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BD096F05-02D0-4B7A-930A-38FC107CA841}" xr6:coauthVersionLast="47" xr6:coauthVersionMax="47" xr10:uidLastSave="{00000000-0000-0000-0000-000000000000}"/>
  <bookViews>
    <workbookView xWindow="-120" yWindow="-120" windowWidth="20730" windowHeight="11760" xr2:uid="{00000000-000D-0000-FFFF-FFFF00000000}"/>
  </bookViews>
  <sheets>
    <sheet name="SUMMARY" sheetId="1" r:id="rId1"/>
    <sheet name="Data Collection_QQC" sheetId="2" r:id="rId2"/>
    <sheet name="Data Collection_HMIS" sheetId="3" r:id="rId3"/>
    <sheet name="QA Log" sheetId="4" r:id="rId4"/>
    <sheet name="FR_Daily_ATT" sheetId="5" r:id="rId5"/>
    <sheet name="Health Directorate TR" sheetId="6" r:id="rId6"/>
    <sheet name="RED_FLAG" sheetId="7" r:id="rId7"/>
    <sheet name="Sampling Issue_Log" sheetId="8" r:id="rId8"/>
    <sheet name="Issue_Log" sheetId="9" r:id="rId9"/>
    <sheet name="Tools &amp; Targets_Guideline" sheetId="10" r:id="rId10"/>
    <sheet name="DC Team" sheetId="11" r:id="rId11"/>
    <sheet name="FRs_List" sheetId="12" r:id="rId12"/>
  </sheets>
  <definedNames>
    <definedName name="_xlnm._FilterDatabase" localSheetId="3" hidden="1">'QA Log'!$A$1:$AR$268</definedName>
    <definedName name="Z_6D6385CF_5334_46BC_876B_AA38DD1033DE_.wvu.FilterData" localSheetId="3" hidden="1">'QA Log'!$A$1:$AR$175</definedName>
    <definedName name="Z_828CB8D8_574F_4F4D_A98F_8FCB4246B5BA_.wvu.FilterData" localSheetId="3" hidden="1">'QA Log'!$A$1:$AR$268</definedName>
    <definedName name="Z_E7099443_FD04_4B3C_A7C5_E56FF9ADDA4F_.wvu.FilterData" localSheetId="3" hidden="1">'QA Log'!$A$1:$AR$268</definedName>
  </definedNames>
  <calcPr calcId="191029"/>
  <customWorkbookViews>
    <customWorkbookView name="Filter 1" guid="{6D6385CF-5334-46BC-876B-AA38DD1033DE}" maximized="1" windowWidth="0" windowHeight="0" activeSheetId="0"/>
    <customWorkbookView name="Filter 3" guid="{E7099443-FD04-4B3C-A7C5-E56FF9ADDA4F}" maximized="1" windowWidth="0" windowHeight="0" activeSheetId="0"/>
    <customWorkbookView name="Filter 2" guid="{828CB8D8-574F-4F4D-A98F-8FCB4246B5B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7" i="10" l="1"/>
  <c r="H36" i="10"/>
  <c r="H35" i="10"/>
  <c r="H34" i="10"/>
  <c r="H33" i="10"/>
  <c r="H32" i="10"/>
  <c r="H40" i="10" s="1"/>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I217" i="5"/>
  <c r="H217" i="5"/>
  <c r="G217" i="5"/>
  <c r="F217" i="5"/>
  <c r="I216" i="5"/>
  <c r="H216" i="5"/>
  <c r="G216" i="5"/>
  <c r="F216" i="5"/>
  <c r="I215" i="5"/>
  <c r="H215" i="5"/>
  <c r="G215" i="5"/>
  <c r="F215" i="5"/>
  <c r="I214" i="5"/>
  <c r="H214" i="5"/>
  <c r="G214" i="5"/>
  <c r="F214" i="5"/>
  <c r="I213" i="5"/>
  <c r="H213" i="5"/>
  <c r="G213" i="5"/>
  <c r="F213" i="5"/>
  <c r="I212" i="5"/>
  <c r="H212" i="5"/>
  <c r="G212" i="5"/>
  <c r="F212" i="5"/>
  <c r="I211" i="5"/>
  <c r="H211" i="5"/>
  <c r="G211" i="5"/>
  <c r="F211" i="5"/>
  <c r="I210" i="5"/>
  <c r="H210" i="5"/>
  <c r="G210" i="5"/>
  <c r="F210" i="5"/>
  <c r="I209" i="5"/>
  <c r="H209" i="5"/>
  <c r="G209" i="5"/>
  <c r="F209" i="5"/>
  <c r="I208" i="5"/>
  <c r="H208" i="5"/>
  <c r="G208" i="5"/>
  <c r="F208"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G145" i="5"/>
  <c r="F145" i="5"/>
  <c r="I144" i="5"/>
  <c r="H144" i="5"/>
  <c r="G144" i="5"/>
  <c r="F144" i="5"/>
  <c r="I143" i="5"/>
  <c r="H143" i="5"/>
  <c r="G143" i="5"/>
  <c r="F143" i="5"/>
  <c r="I142" i="5"/>
  <c r="H142" i="5"/>
  <c r="G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2" i="5"/>
  <c r="H2" i="5"/>
  <c r="G2" i="5"/>
  <c r="F2" i="5"/>
  <c r="Y268" i="4"/>
  <c r="X268" i="4"/>
  <c r="N268" i="4"/>
  <c r="M268" i="4"/>
  <c r="L268" i="4"/>
  <c r="K268" i="4"/>
  <c r="J268" i="4"/>
  <c r="I268" i="4"/>
  <c r="H268" i="4"/>
  <c r="G268" i="4"/>
  <c r="F268" i="4"/>
  <c r="E268" i="4"/>
  <c r="D268" i="4"/>
  <c r="C268" i="4"/>
  <c r="B268" i="4"/>
  <c r="A268" i="4"/>
  <c r="Y267" i="4"/>
  <c r="X267" i="4"/>
  <c r="N267" i="4"/>
  <c r="M267" i="4"/>
  <c r="L267" i="4"/>
  <c r="K267" i="4"/>
  <c r="J267" i="4"/>
  <c r="I267" i="4"/>
  <c r="H267" i="4"/>
  <c r="G267" i="4"/>
  <c r="F267" i="4"/>
  <c r="E267" i="4"/>
  <c r="D267" i="4"/>
  <c r="C267" i="4"/>
  <c r="B267" i="4"/>
  <c r="A267" i="4"/>
  <c r="AB266" i="4"/>
  <c r="AA266" i="4"/>
  <c r="Z266" i="4"/>
  <c r="Y266" i="4"/>
  <c r="X266" i="4"/>
  <c r="N266" i="4"/>
  <c r="M266" i="4"/>
  <c r="L266" i="4"/>
  <c r="K266" i="4"/>
  <c r="J266" i="4"/>
  <c r="I266" i="4"/>
  <c r="H266" i="4"/>
  <c r="G266" i="4"/>
  <c r="F266" i="4"/>
  <c r="E266" i="4"/>
  <c r="D266" i="4"/>
  <c r="C266" i="4"/>
  <c r="B266" i="4"/>
  <c r="A266" i="4"/>
  <c r="AB265" i="4"/>
  <c r="Z265" i="4"/>
  <c r="Y265" i="4"/>
  <c r="X265" i="4"/>
  <c r="N265" i="4"/>
  <c r="M265" i="4"/>
  <c r="L265" i="4"/>
  <c r="K265" i="4"/>
  <c r="J265" i="4"/>
  <c r="I265" i="4"/>
  <c r="H265" i="4"/>
  <c r="G265" i="4"/>
  <c r="F265" i="4"/>
  <c r="E265" i="4"/>
  <c r="D265" i="4"/>
  <c r="C265" i="4"/>
  <c r="B265" i="4"/>
  <c r="A265" i="4"/>
  <c r="N264" i="4"/>
  <c r="M264" i="4"/>
  <c r="L264" i="4"/>
  <c r="K264" i="4"/>
  <c r="J264" i="4"/>
  <c r="I264" i="4"/>
  <c r="H264" i="4"/>
  <c r="G264" i="4"/>
  <c r="F264" i="4"/>
  <c r="E264" i="4"/>
  <c r="D264" i="4"/>
  <c r="C264" i="4"/>
  <c r="B264" i="4"/>
  <c r="A264" i="4"/>
  <c r="N263" i="4"/>
  <c r="M263" i="4"/>
  <c r="L263" i="4"/>
  <c r="K263" i="4"/>
  <c r="J263" i="4"/>
  <c r="I263" i="4"/>
  <c r="H263" i="4"/>
  <c r="G263" i="4"/>
  <c r="F263" i="4"/>
  <c r="E263" i="4"/>
  <c r="D263" i="4"/>
  <c r="C263" i="4"/>
  <c r="B263" i="4"/>
  <c r="A263" i="4"/>
  <c r="N262" i="4"/>
  <c r="M262" i="4"/>
  <c r="L262" i="4"/>
  <c r="K262" i="4"/>
  <c r="J262" i="4"/>
  <c r="I262" i="4"/>
  <c r="H262" i="4"/>
  <c r="G262" i="4"/>
  <c r="F262" i="4"/>
  <c r="E262" i="4"/>
  <c r="D262" i="4"/>
  <c r="C262" i="4"/>
  <c r="B262" i="4"/>
  <c r="A262" i="4"/>
  <c r="N261" i="4"/>
  <c r="M261" i="4"/>
  <c r="L261" i="4"/>
  <c r="K261" i="4"/>
  <c r="J261" i="4"/>
  <c r="I261" i="4"/>
  <c r="H261" i="4"/>
  <c r="G261" i="4"/>
  <c r="F261" i="4"/>
  <c r="E261" i="4"/>
  <c r="D261" i="4"/>
  <c r="C261" i="4"/>
  <c r="B261" i="4"/>
  <c r="A261" i="4"/>
  <c r="N260" i="4"/>
  <c r="M260" i="4"/>
  <c r="L260" i="4"/>
  <c r="K260" i="4"/>
  <c r="J260" i="4"/>
  <c r="I260" i="4"/>
  <c r="H260" i="4"/>
  <c r="G260" i="4"/>
  <c r="F260" i="4"/>
  <c r="E260" i="4"/>
  <c r="D260" i="4"/>
  <c r="C260" i="4"/>
  <c r="B260" i="4"/>
  <c r="A260" i="4"/>
  <c r="N259" i="4"/>
  <c r="M259" i="4"/>
  <c r="L259" i="4"/>
  <c r="K259" i="4"/>
  <c r="J259" i="4"/>
  <c r="I259" i="4"/>
  <c r="H259" i="4"/>
  <c r="G259" i="4"/>
  <c r="F259" i="4"/>
  <c r="E259" i="4"/>
  <c r="D259" i="4"/>
  <c r="C259" i="4"/>
  <c r="B259" i="4"/>
  <c r="A259" i="4"/>
  <c r="N258" i="4"/>
  <c r="M258" i="4"/>
  <c r="L258" i="4"/>
  <c r="K258" i="4"/>
  <c r="J258" i="4"/>
  <c r="I258" i="4"/>
  <c r="H258" i="4"/>
  <c r="G258" i="4"/>
  <c r="F258" i="4"/>
  <c r="E258" i="4"/>
  <c r="D258" i="4"/>
  <c r="C258" i="4"/>
  <c r="B258" i="4"/>
  <c r="A258" i="4"/>
  <c r="N257" i="4"/>
  <c r="M257" i="4"/>
  <c r="L257" i="4"/>
  <c r="K257" i="4"/>
  <c r="J257" i="4"/>
  <c r="I257" i="4"/>
  <c r="H257" i="4"/>
  <c r="G257" i="4"/>
  <c r="F257" i="4"/>
  <c r="E257" i="4"/>
  <c r="D257" i="4"/>
  <c r="C257" i="4"/>
  <c r="B257" i="4"/>
  <c r="A257" i="4"/>
  <c r="N256" i="4"/>
  <c r="M256" i="4"/>
  <c r="L256" i="4"/>
  <c r="K256" i="4"/>
  <c r="J256" i="4"/>
  <c r="I256" i="4"/>
  <c r="H256" i="4"/>
  <c r="G256" i="4"/>
  <c r="F256" i="4"/>
  <c r="E256" i="4"/>
  <c r="D256" i="4"/>
  <c r="C256" i="4"/>
  <c r="B256" i="4"/>
  <c r="A256" i="4"/>
  <c r="N255" i="4"/>
  <c r="M255" i="4"/>
  <c r="L255" i="4"/>
  <c r="K255" i="4"/>
  <c r="J255" i="4"/>
  <c r="I255" i="4"/>
  <c r="H255" i="4"/>
  <c r="G255" i="4"/>
  <c r="F255" i="4"/>
  <c r="E255" i="4"/>
  <c r="D255" i="4"/>
  <c r="C255" i="4"/>
  <c r="B255" i="4"/>
  <c r="A255" i="4"/>
  <c r="N254" i="4"/>
  <c r="M254" i="4"/>
  <c r="L254" i="4"/>
  <c r="K254" i="4"/>
  <c r="J254" i="4"/>
  <c r="I254" i="4"/>
  <c r="H254" i="4"/>
  <c r="G254" i="4"/>
  <c r="F254" i="4"/>
  <c r="E254" i="4"/>
  <c r="D254" i="4"/>
  <c r="C254" i="4"/>
  <c r="B254" i="4"/>
  <c r="A254" i="4"/>
  <c r="N253" i="4"/>
  <c r="M253" i="4"/>
  <c r="L253" i="4"/>
  <c r="K253" i="4"/>
  <c r="J253" i="4"/>
  <c r="I253" i="4"/>
  <c r="H253" i="4"/>
  <c r="G253" i="4"/>
  <c r="F253" i="4"/>
  <c r="E253" i="4"/>
  <c r="D253" i="4"/>
  <c r="C253" i="4"/>
  <c r="B253" i="4"/>
  <c r="A253" i="4"/>
  <c r="N252" i="4"/>
  <c r="M252" i="4"/>
  <c r="L252" i="4"/>
  <c r="K252" i="4"/>
  <c r="J252" i="4"/>
  <c r="I252" i="4"/>
  <c r="H252" i="4"/>
  <c r="G252" i="4"/>
  <c r="F252" i="4"/>
  <c r="E252" i="4"/>
  <c r="D252" i="4"/>
  <c r="C252" i="4"/>
  <c r="B252" i="4"/>
  <c r="A252" i="4"/>
  <c r="N251" i="4"/>
  <c r="M251" i="4"/>
  <c r="L251" i="4"/>
  <c r="K251" i="4"/>
  <c r="J251" i="4"/>
  <c r="I251" i="4"/>
  <c r="H251" i="4"/>
  <c r="G251" i="4"/>
  <c r="F251" i="4"/>
  <c r="E251" i="4"/>
  <c r="D251" i="4"/>
  <c r="C251" i="4"/>
  <c r="B251" i="4"/>
  <c r="A251" i="4"/>
  <c r="N250" i="4"/>
  <c r="M250" i="4"/>
  <c r="L250" i="4"/>
  <c r="K250" i="4"/>
  <c r="J250" i="4"/>
  <c r="I250" i="4"/>
  <c r="H250" i="4"/>
  <c r="G250" i="4"/>
  <c r="F250" i="4"/>
  <c r="E250" i="4"/>
  <c r="D250" i="4"/>
  <c r="C250" i="4"/>
  <c r="B250" i="4"/>
  <c r="A250" i="4"/>
  <c r="N249" i="4"/>
  <c r="M249" i="4"/>
  <c r="L249" i="4"/>
  <c r="K249" i="4"/>
  <c r="J249" i="4"/>
  <c r="I249" i="4"/>
  <c r="H249" i="4"/>
  <c r="G249" i="4"/>
  <c r="F249" i="4"/>
  <c r="E249" i="4"/>
  <c r="D249" i="4"/>
  <c r="C249" i="4"/>
  <c r="B249" i="4"/>
  <c r="A249" i="4"/>
  <c r="N248" i="4"/>
  <c r="M248" i="4"/>
  <c r="L248" i="4"/>
  <c r="K248" i="4"/>
  <c r="J248" i="4"/>
  <c r="I248" i="4"/>
  <c r="H248" i="4"/>
  <c r="G248" i="4"/>
  <c r="F248" i="4"/>
  <c r="E248" i="4"/>
  <c r="D248" i="4"/>
  <c r="C248" i="4"/>
  <c r="B248" i="4"/>
  <c r="A248" i="4"/>
  <c r="N247" i="4"/>
  <c r="M247" i="4"/>
  <c r="L247" i="4"/>
  <c r="K247" i="4"/>
  <c r="J247" i="4"/>
  <c r="I247" i="4"/>
  <c r="H247" i="4"/>
  <c r="G247" i="4"/>
  <c r="F247" i="4"/>
  <c r="E247" i="4"/>
  <c r="D247" i="4"/>
  <c r="C247" i="4"/>
  <c r="B247" i="4"/>
  <c r="A247" i="4"/>
  <c r="AB246" i="4"/>
  <c r="N246" i="4"/>
  <c r="M246" i="4"/>
  <c r="L246" i="4"/>
  <c r="K246" i="4"/>
  <c r="J246" i="4"/>
  <c r="I246" i="4"/>
  <c r="H246" i="4"/>
  <c r="G246" i="4"/>
  <c r="F246" i="4"/>
  <c r="E246" i="4"/>
  <c r="D246" i="4"/>
  <c r="C246" i="4"/>
  <c r="B246" i="4"/>
  <c r="A246" i="4"/>
  <c r="N245" i="4"/>
  <c r="M245" i="4"/>
  <c r="L245" i="4"/>
  <c r="K245" i="4"/>
  <c r="J245" i="4"/>
  <c r="I245" i="4"/>
  <c r="H245" i="4"/>
  <c r="G245" i="4"/>
  <c r="F245" i="4"/>
  <c r="E245" i="4"/>
  <c r="D245" i="4"/>
  <c r="C245" i="4"/>
  <c r="B245" i="4"/>
  <c r="A245" i="4"/>
  <c r="N244" i="4"/>
  <c r="M244" i="4"/>
  <c r="L244" i="4"/>
  <c r="K244" i="4"/>
  <c r="J244" i="4"/>
  <c r="I244" i="4"/>
  <c r="H244" i="4"/>
  <c r="G244" i="4"/>
  <c r="F244" i="4"/>
  <c r="E244" i="4"/>
  <c r="D244" i="4"/>
  <c r="C244" i="4"/>
  <c r="B244" i="4"/>
  <c r="A244" i="4"/>
  <c r="N243" i="4"/>
  <c r="M243" i="4"/>
  <c r="L243" i="4"/>
  <c r="K243" i="4"/>
  <c r="J243" i="4"/>
  <c r="I243" i="4"/>
  <c r="H243" i="4"/>
  <c r="G243" i="4"/>
  <c r="F243" i="4"/>
  <c r="E243" i="4"/>
  <c r="D243" i="4"/>
  <c r="C243" i="4"/>
  <c r="B243" i="4"/>
  <c r="A243" i="4"/>
  <c r="AB242" i="4"/>
  <c r="AA242" i="4"/>
  <c r="N242" i="4"/>
  <c r="M242" i="4"/>
  <c r="L242" i="4"/>
  <c r="K242" i="4"/>
  <c r="J242" i="4"/>
  <c r="I242" i="4"/>
  <c r="H242" i="4"/>
  <c r="G242" i="4"/>
  <c r="F242" i="4"/>
  <c r="E242" i="4"/>
  <c r="D242" i="4"/>
  <c r="C242" i="4"/>
  <c r="B242" i="4"/>
  <c r="A242" i="4"/>
  <c r="N241" i="4"/>
  <c r="M241" i="4"/>
  <c r="L241" i="4"/>
  <c r="K241" i="4"/>
  <c r="J241" i="4"/>
  <c r="I241" i="4"/>
  <c r="H241" i="4"/>
  <c r="G241" i="4"/>
  <c r="F241" i="4"/>
  <c r="E241" i="4"/>
  <c r="D241" i="4"/>
  <c r="C241" i="4"/>
  <c r="B241" i="4"/>
  <c r="A241" i="4"/>
  <c r="N240" i="4"/>
  <c r="M240" i="4"/>
  <c r="L240" i="4"/>
  <c r="K240" i="4"/>
  <c r="J240" i="4"/>
  <c r="I240" i="4"/>
  <c r="H240" i="4"/>
  <c r="G240" i="4"/>
  <c r="F240" i="4"/>
  <c r="E240" i="4"/>
  <c r="D240" i="4"/>
  <c r="C240" i="4"/>
  <c r="B240" i="4"/>
  <c r="A240" i="4"/>
  <c r="N239" i="4"/>
  <c r="M239" i="4"/>
  <c r="L239" i="4"/>
  <c r="K239" i="4"/>
  <c r="J239" i="4"/>
  <c r="I239" i="4"/>
  <c r="H239" i="4"/>
  <c r="G239" i="4"/>
  <c r="F239" i="4"/>
  <c r="E239" i="4"/>
  <c r="D239" i="4"/>
  <c r="C239" i="4"/>
  <c r="B239" i="4"/>
  <c r="A239" i="4"/>
  <c r="N238" i="4"/>
  <c r="M238" i="4"/>
  <c r="L238" i="4"/>
  <c r="K238" i="4"/>
  <c r="J238" i="4"/>
  <c r="I238" i="4"/>
  <c r="H238" i="4"/>
  <c r="G238" i="4"/>
  <c r="F238" i="4"/>
  <c r="E238" i="4"/>
  <c r="D238" i="4"/>
  <c r="C238" i="4"/>
  <c r="B238" i="4"/>
  <c r="A238" i="4"/>
  <c r="N237" i="4"/>
  <c r="M237" i="4"/>
  <c r="L237" i="4"/>
  <c r="K237" i="4"/>
  <c r="J237" i="4"/>
  <c r="I237" i="4"/>
  <c r="H237" i="4"/>
  <c r="G237" i="4"/>
  <c r="F237" i="4"/>
  <c r="E237" i="4"/>
  <c r="D237" i="4"/>
  <c r="C237" i="4"/>
  <c r="B237" i="4"/>
  <c r="A237" i="4"/>
  <c r="N236" i="4"/>
  <c r="M236" i="4"/>
  <c r="L236" i="4"/>
  <c r="K236" i="4"/>
  <c r="J236" i="4"/>
  <c r="I236" i="4"/>
  <c r="H236" i="4"/>
  <c r="G236" i="4"/>
  <c r="F236" i="4"/>
  <c r="E236" i="4"/>
  <c r="D236" i="4"/>
  <c r="C236" i="4"/>
  <c r="B236" i="4"/>
  <c r="A236" i="4"/>
  <c r="AB235" i="4"/>
  <c r="N235" i="4"/>
  <c r="M235" i="4"/>
  <c r="L235" i="4"/>
  <c r="K235" i="4"/>
  <c r="J235" i="4"/>
  <c r="I235" i="4"/>
  <c r="H235" i="4"/>
  <c r="G235" i="4"/>
  <c r="F235" i="4"/>
  <c r="E235" i="4"/>
  <c r="D235" i="4"/>
  <c r="C235" i="4"/>
  <c r="B235" i="4"/>
  <c r="A235" i="4"/>
  <c r="AB234" i="4"/>
  <c r="N234" i="4"/>
  <c r="M234" i="4"/>
  <c r="L234" i="4"/>
  <c r="K234" i="4"/>
  <c r="J234" i="4"/>
  <c r="I234" i="4"/>
  <c r="H234" i="4"/>
  <c r="G234" i="4"/>
  <c r="F234" i="4"/>
  <c r="E234" i="4"/>
  <c r="D234" i="4"/>
  <c r="C234" i="4"/>
  <c r="B234" i="4"/>
  <c r="A234" i="4"/>
  <c r="AB233" i="4"/>
  <c r="N233" i="4"/>
  <c r="M233" i="4"/>
  <c r="L233" i="4"/>
  <c r="K233" i="4"/>
  <c r="J233" i="4"/>
  <c r="I233" i="4"/>
  <c r="H233" i="4"/>
  <c r="G233" i="4"/>
  <c r="F233" i="4"/>
  <c r="E233" i="4"/>
  <c r="D233" i="4"/>
  <c r="C233" i="4"/>
  <c r="B233" i="4"/>
  <c r="A233" i="4"/>
  <c r="N232" i="4"/>
  <c r="M232" i="4"/>
  <c r="L232" i="4"/>
  <c r="K232" i="4"/>
  <c r="J232" i="4"/>
  <c r="I232" i="4"/>
  <c r="H232" i="4"/>
  <c r="G232" i="4"/>
  <c r="F232" i="4"/>
  <c r="E232" i="4"/>
  <c r="D232" i="4"/>
  <c r="C232" i="4"/>
  <c r="B232" i="4"/>
  <c r="A232" i="4"/>
  <c r="N231" i="4"/>
  <c r="M231" i="4"/>
  <c r="L231" i="4"/>
  <c r="K231" i="4"/>
  <c r="J231" i="4"/>
  <c r="I231" i="4"/>
  <c r="H231" i="4"/>
  <c r="G231" i="4"/>
  <c r="F231" i="4"/>
  <c r="E231" i="4"/>
  <c r="D231" i="4"/>
  <c r="C231" i="4"/>
  <c r="B231" i="4"/>
  <c r="A231" i="4"/>
  <c r="N230" i="4"/>
  <c r="M230" i="4"/>
  <c r="L230" i="4"/>
  <c r="K230" i="4"/>
  <c r="J230" i="4"/>
  <c r="I230" i="4"/>
  <c r="H230" i="4"/>
  <c r="G230" i="4"/>
  <c r="F230" i="4"/>
  <c r="E230" i="4"/>
  <c r="D230" i="4"/>
  <c r="C230" i="4"/>
  <c r="B230" i="4"/>
  <c r="A230" i="4"/>
  <c r="AB229" i="4"/>
  <c r="N229" i="4"/>
  <c r="M229" i="4"/>
  <c r="L229" i="4"/>
  <c r="K229" i="4"/>
  <c r="J229" i="4"/>
  <c r="I229" i="4"/>
  <c r="H229" i="4"/>
  <c r="G229" i="4"/>
  <c r="F229" i="4"/>
  <c r="E229" i="4"/>
  <c r="D229" i="4"/>
  <c r="C229" i="4"/>
  <c r="B229" i="4"/>
  <c r="A229" i="4"/>
  <c r="AB228" i="4"/>
  <c r="N228" i="4"/>
  <c r="M228" i="4"/>
  <c r="L228" i="4"/>
  <c r="K228" i="4"/>
  <c r="J228" i="4"/>
  <c r="I228" i="4"/>
  <c r="H228" i="4"/>
  <c r="G228" i="4"/>
  <c r="F228" i="4"/>
  <c r="E228" i="4"/>
  <c r="D228" i="4"/>
  <c r="C228" i="4"/>
  <c r="B228" i="4"/>
  <c r="A228" i="4"/>
  <c r="AB227" i="4"/>
  <c r="N227" i="4"/>
  <c r="M227" i="4"/>
  <c r="L227" i="4"/>
  <c r="K227" i="4"/>
  <c r="J227" i="4"/>
  <c r="I227" i="4"/>
  <c r="H227" i="4"/>
  <c r="G227" i="4"/>
  <c r="F227" i="4"/>
  <c r="E227" i="4"/>
  <c r="D227" i="4"/>
  <c r="C227" i="4"/>
  <c r="B227" i="4"/>
  <c r="A227" i="4"/>
  <c r="AB226" i="4"/>
  <c r="N226" i="4"/>
  <c r="M226" i="4"/>
  <c r="L226" i="4"/>
  <c r="K226" i="4"/>
  <c r="J226" i="4"/>
  <c r="I226" i="4"/>
  <c r="H226" i="4"/>
  <c r="G226" i="4"/>
  <c r="F226" i="4"/>
  <c r="E226" i="4"/>
  <c r="D226" i="4"/>
  <c r="C226" i="4"/>
  <c r="B226" i="4"/>
  <c r="A226" i="4"/>
  <c r="N225" i="4"/>
  <c r="M225" i="4"/>
  <c r="L225" i="4"/>
  <c r="K225" i="4"/>
  <c r="J225" i="4"/>
  <c r="I225" i="4"/>
  <c r="H225" i="4"/>
  <c r="G225" i="4"/>
  <c r="F225" i="4"/>
  <c r="E225" i="4"/>
  <c r="D225" i="4"/>
  <c r="C225" i="4"/>
  <c r="B225" i="4"/>
  <c r="A225" i="4"/>
  <c r="N224" i="4"/>
  <c r="M224" i="4"/>
  <c r="L224" i="4"/>
  <c r="K224" i="4"/>
  <c r="J224" i="4"/>
  <c r="I224" i="4"/>
  <c r="H224" i="4"/>
  <c r="G224" i="4"/>
  <c r="F224" i="4"/>
  <c r="E224" i="4"/>
  <c r="D224" i="4"/>
  <c r="C224" i="4"/>
  <c r="B224" i="4"/>
  <c r="A224" i="4"/>
  <c r="N223" i="4"/>
  <c r="M223" i="4"/>
  <c r="L223" i="4"/>
  <c r="K223" i="4"/>
  <c r="J223" i="4"/>
  <c r="I223" i="4"/>
  <c r="H223" i="4"/>
  <c r="G223" i="4"/>
  <c r="F223" i="4"/>
  <c r="E223" i="4"/>
  <c r="D223" i="4"/>
  <c r="C223" i="4"/>
  <c r="B223" i="4"/>
  <c r="A223" i="4"/>
  <c r="N222" i="4"/>
  <c r="M222" i="4"/>
  <c r="L222" i="4"/>
  <c r="K222" i="4"/>
  <c r="J222" i="4"/>
  <c r="I222" i="4"/>
  <c r="H222" i="4"/>
  <c r="G222" i="4"/>
  <c r="F222" i="4"/>
  <c r="E222" i="4"/>
  <c r="D222" i="4"/>
  <c r="C222" i="4"/>
  <c r="B222" i="4"/>
  <c r="A222" i="4"/>
  <c r="AB221" i="4"/>
  <c r="N221" i="4"/>
  <c r="M221" i="4"/>
  <c r="L221" i="4"/>
  <c r="K221" i="4"/>
  <c r="J221" i="4"/>
  <c r="I221" i="4"/>
  <c r="H221" i="4"/>
  <c r="G221" i="4"/>
  <c r="F221" i="4"/>
  <c r="E221" i="4"/>
  <c r="D221" i="4"/>
  <c r="C221" i="4"/>
  <c r="B221" i="4"/>
  <c r="A221" i="4"/>
  <c r="AB220" i="4"/>
  <c r="N220" i="4"/>
  <c r="M220" i="4"/>
  <c r="L220" i="4"/>
  <c r="K220" i="4"/>
  <c r="J220" i="4"/>
  <c r="I220" i="4"/>
  <c r="H220" i="4"/>
  <c r="G220" i="4"/>
  <c r="F220" i="4"/>
  <c r="E220" i="4"/>
  <c r="D220" i="4"/>
  <c r="C220" i="4"/>
  <c r="B220" i="4"/>
  <c r="A220" i="4"/>
  <c r="N219" i="4"/>
  <c r="M219" i="4"/>
  <c r="L219" i="4"/>
  <c r="K219" i="4"/>
  <c r="J219" i="4"/>
  <c r="I219" i="4"/>
  <c r="H219" i="4"/>
  <c r="G219" i="4"/>
  <c r="F219" i="4"/>
  <c r="E219" i="4"/>
  <c r="D219" i="4"/>
  <c r="C219" i="4"/>
  <c r="B219" i="4"/>
  <c r="A219" i="4"/>
  <c r="N218" i="4"/>
  <c r="M218" i="4"/>
  <c r="L218" i="4"/>
  <c r="K218" i="4"/>
  <c r="J218" i="4"/>
  <c r="I218" i="4"/>
  <c r="H218" i="4"/>
  <c r="G218" i="4"/>
  <c r="F218" i="4"/>
  <c r="E218" i="4"/>
  <c r="D218" i="4"/>
  <c r="C218" i="4"/>
  <c r="B218" i="4"/>
  <c r="A218" i="4"/>
  <c r="AB217" i="4"/>
  <c r="N217" i="4"/>
  <c r="M217" i="4"/>
  <c r="L217" i="4"/>
  <c r="K217" i="4"/>
  <c r="J217" i="4"/>
  <c r="I217" i="4"/>
  <c r="H217" i="4"/>
  <c r="G217" i="4"/>
  <c r="F217" i="4"/>
  <c r="E217" i="4"/>
  <c r="D217" i="4"/>
  <c r="C217" i="4"/>
  <c r="B217" i="4"/>
  <c r="A217" i="4"/>
  <c r="N216" i="4"/>
  <c r="M216" i="4"/>
  <c r="L216" i="4"/>
  <c r="K216" i="4"/>
  <c r="J216" i="4"/>
  <c r="I216" i="4"/>
  <c r="H216" i="4"/>
  <c r="G216" i="4"/>
  <c r="F216" i="4"/>
  <c r="E216" i="4"/>
  <c r="D216" i="4"/>
  <c r="C216" i="4"/>
  <c r="B216" i="4"/>
  <c r="A216" i="4"/>
  <c r="Y215" i="4"/>
  <c r="X215" i="4"/>
  <c r="N215" i="4"/>
  <c r="M215" i="4"/>
  <c r="L215" i="4"/>
  <c r="K215" i="4"/>
  <c r="J215" i="4"/>
  <c r="I215" i="4"/>
  <c r="H215" i="4"/>
  <c r="G215" i="4"/>
  <c r="F215" i="4"/>
  <c r="E215" i="4"/>
  <c r="D215" i="4"/>
  <c r="C215" i="4"/>
  <c r="B215" i="4"/>
  <c r="A215" i="4"/>
  <c r="Y214" i="4"/>
  <c r="X214" i="4"/>
  <c r="N214" i="4"/>
  <c r="M214" i="4"/>
  <c r="L214" i="4"/>
  <c r="K214" i="4"/>
  <c r="J214" i="4"/>
  <c r="I214" i="4"/>
  <c r="H214" i="4"/>
  <c r="G214" i="4"/>
  <c r="F214" i="4"/>
  <c r="E214" i="4"/>
  <c r="D214" i="4"/>
  <c r="C214" i="4"/>
  <c r="B214" i="4"/>
  <c r="A214" i="4"/>
  <c r="Z213" i="4"/>
  <c r="Y213" i="4"/>
  <c r="X213" i="4"/>
  <c r="W213" i="4"/>
  <c r="V213" i="4"/>
  <c r="U213" i="4"/>
  <c r="T213" i="4"/>
  <c r="R213" i="4"/>
  <c r="Q213" i="4"/>
  <c r="P213" i="4"/>
  <c r="N213" i="4"/>
  <c r="M213" i="4"/>
  <c r="L213" i="4"/>
  <c r="K213" i="4"/>
  <c r="J213" i="4"/>
  <c r="I213" i="4"/>
  <c r="H213" i="4"/>
  <c r="G213" i="4"/>
  <c r="F213" i="4"/>
  <c r="E213" i="4"/>
  <c r="D213" i="4"/>
  <c r="C213" i="4"/>
  <c r="B213" i="4"/>
  <c r="A213" i="4"/>
  <c r="AB212" i="4"/>
  <c r="Z212" i="4"/>
  <c r="Y212" i="4"/>
  <c r="X212" i="4"/>
  <c r="W212" i="4"/>
  <c r="V212" i="4"/>
  <c r="U212" i="4"/>
  <c r="T212" i="4"/>
  <c r="R212" i="4"/>
  <c r="Q212" i="4"/>
  <c r="P212" i="4"/>
  <c r="O212" i="4"/>
  <c r="N212" i="4"/>
  <c r="M212" i="4"/>
  <c r="L212" i="4"/>
  <c r="K212" i="4"/>
  <c r="J212" i="4"/>
  <c r="I212" i="4"/>
  <c r="H212" i="4"/>
  <c r="G212" i="4"/>
  <c r="F212" i="4"/>
  <c r="E212" i="4"/>
  <c r="D212" i="4"/>
  <c r="C212" i="4"/>
  <c r="B212" i="4"/>
  <c r="A212" i="4"/>
  <c r="AB211" i="4"/>
  <c r="Z211" i="4"/>
  <c r="Y211" i="4"/>
  <c r="X211" i="4"/>
  <c r="W211" i="4"/>
  <c r="V211" i="4"/>
  <c r="U211" i="4"/>
  <c r="T211" i="4"/>
  <c r="R211" i="4"/>
  <c r="Q211" i="4"/>
  <c r="P211" i="4"/>
  <c r="O211" i="4"/>
  <c r="N211" i="4"/>
  <c r="M211" i="4"/>
  <c r="L211" i="4"/>
  <c r="K211" i="4"/>
  <c r="J211" i="4"/>
  <c r="I211" i="4"/>
  <c r="H211" i="4"/>
  <c r="G211" i="4"/>
  <c r="F211" i="4"/>
  <c r="E211" i="4"/>
  <c r="D211" i="4"/>
  <c r="C211" i="4"/>
  <c r="B211" i="4"/>
  <c r="A211" i="4"/>
  <c r="Z210" i="4"/>
  <c r="Y210" i="4"/>
  <c r="X210" i="4"/>
  <c r="W210" i="4"/>
  <c r="V210" i="4"/>
  <c r="U210" i="4"/>
  <c r="T210" i="4"/>
  <c r="R210" i="4"/>
  <c r="Q210" i="4"/>
  <c r="P210" i="4"/>
  <c r="N210" i="4"/>
  <c r="M210" i="4"/>
  <c r="L210" i="4"/>
  <c r="K210" i="4"/>
  <c r="J210" i="4"/>
  <c r="I210" i="4"/>
  <c r="H210" i="4"/>
  <c r="G210" i="4"/>
  <c r="F210" i="4"/>
  <c r="E210" i="4"/>
  <c r="D210" i="4"/>
  <c r="C210" i="4"/>
  <c r="B210" i="4"/>
  <c r="A210" i="4"/>
  <c r="Z209" i="4"/>
  <c r="Y209" i="4"/>
  <c r="X209" i="4"/>
  <c r="W209" i="4"/>
  <c r="V209" i="4"/>
  <c r="U209" i="4"/>
  <c r="T209" i="4"/>
  <c r="R209" i="4"/>
  <c r="Q209" i="4"/>
  <c r="P209" i="4"/>
  <c r="N209" i="4"/>
  <c r="M209" i="4"/>
  <c r="L209" i="4"/>
  <c r="K209" i="4"/>
  <c r="J209" i="4"/>
  <c r="I209" i="4"/>
  <c r="H209" i="4"/>
  <c r="G209" i="4"/>
  <c r="F209" i="4"/>
  <c r="E209" i="4"/>
  <c r="D209" i="4"/>
  <c r="C209" i="4"/>
  <c r="B209" i="4"/>
  <c r="A209" i="4"/>
  <c r="Z208" i="4"/>
  <c r="Y208" i="4"/>
  <c r="X208" i="4"/>
  <c r="W208" i="4"/>
  <c r="V208" i="4"/>
  <c r="U208" i="4"/>
  <c r="T208" i="4"/>
  <c r="R208" i="4"/>
  <c r="Q208" i="4"/>
  <c r="P208" i="4"/>
  <c r="N208" i="4"/>
  <c r="M208" i="4"/>
  <c r="L208" i="4"/>
  <c r="K208" i="4"/>
  <c r="J208" i="4"/>
  <c r="I208" i="4"/>
  <c r="H208" i="4"/>
  <c r="G208" i="4"/>
  <c r="F208" i="4"/>
  <c r="E208" i="4"/>
  <c r="D208" i="4"/>
  <c r="C208" i="4"/>
  <c r="B208" i="4"/>
  <c r="A208" i="4"/>
  <c r="AB207" i="4"/>
  <c r="Z207" i="4"/>
  <c r="Y207" i="4"/>
  <c r="X207" i="4"/>
  <c r="W207" i="4"/>
  <c r="V207" i="4"/>
  <c r="U207" i="4"/>
  <c r="T207" i="4"/>
  <c r="S207" i="4"/>
  <c r="R207" i="4"/>
  <c r="Q207" i="4"/>
  <c r="P207" i="4"/>
  <c r="N207" i="4"/>
  <c r="M207" i="4"/>
  <c r="L207" i="4"/>
  <c r="K207" i="4"/>
  <c r="J207" i="4"/>
  <c r="I207" i="4"/>
  <c r="H207" i="4"/>
  <c r="G207" i="4"/>
  <c r="F207" i="4"/>
  <c r="E207" i="4"/>
  <c r="D207" i="4"/>
  <c r="C207" i="4"/>
  <c r="B207" i="4"/>
  <c r="A207" i="4"/>
  <c r="Z206" i="4"/>
  <c r="Y206" i="4"/>
  <c r="X206" i="4"/>
  <c r="W206" i="4"/>
  <c r="V206" i="4"/>
  <c r="U206" i="4"/>
  <c r="T206" i="4"/>
  <c r="S206" i="4"/>
  <c r="R206" i="4"/>
  <c r="Q206" i="4"/>
  <c r="P206" i="4"/>
  <c r="N206" i="4"/>
  <c r="M206" i="4"/>
  <c r="L206" i="4"/>
  <c r="K206" i="4"/>
  <c r="J206" i="4"/>
  <c r="I206" i="4"/>
  <c r="H206" i="4"/>
  <c r="G206" i="4"/>
  <c r="F206" i="4"/>
  <c r="E206" i="4"/>
  <c r="D206" i="4"/>
  <c r="C206" i="4"/>
  <c r="B206" i="4"/>
  <c r="A206" i="4"/>
  <c r="N205" i="4"/>
  <c r="M205" i="4"/>
  <c r="L205" i="4"/>
  <c r="K205" i="4"/>
  <c r="J205" i="4"/>
  <c r="I205" i="4"/>
  <c r="H205" i="4"/>
  <c r="G205" i="4"/>
  <c r="F205" i="4"/>
  <c r="E205" i="4"/>
  <c r="D205" i="4"/>
  <c r="C205" i="4"/>
  <c r="B205" i="4"/>
  <c r="A205" i="4"/>
  <c r="Y204" i="4"/>
  <c r="X204" i="4"/>
  <c r="N204" i="4"/>
  <c r="M204" i="4"/>
  <c r="L204" i="4"/>
  <c r="K204" i="4"/>
  <c r="J204" i="4"/>
  <c r="I204" i="4"/>
  <c r="H204" i="4"/>
  <c r="G204" i="4"/>
  <c r="F204" i="4"/>
  <c r="E204" i="4"/>
  <c r="D204" i="4"/>
  <c r="C204" i="4"/>
  <c r="B204" i="4"/>
  <c r="A204" i="4"/>
  <c r="N203" i="4"/>
  <c r="M203" i="4"/>
  <c r="L203" i="4"/>
  <c r="K203" i="4"/>
  <c r="J203" i="4"/>
  <c r="I203" i="4"/>
  <c r="H203" i="4"/>
  <c r="G203" i="4"/>
  <c r="F203" i="4"/>
  <c r="E203" i="4"/>
  <c r="D203" i="4"/>
  <c r="C203" i="4"/>
  <c r="B203" i="4"/>
  <c r="A203" i="4"/>
  <c r="Y202" i="4"/>
  <c r="X202" i="4"/>
  <c r="N202" i="4"/>
  <c r="M202" i="4"/>
  <c r="L202" i="4"/>
  <c r="K202" i="4"/>
  <c r="J202" i="4"/>
  <c r="I202" i="4"/>
  <c r="H202" i="4"/>
  <c r="G202" i="4"/>
  <c r="F202" i="4"/>
  <c r="E202" i="4"/>
  <c r="D202" i="4"/>
  <c r="C202" i="4"/>
  <c r="B202" i="4"/>
  <c r="A202" i="4"/>
  <c r="Y201" i="4"/>
  <c r="X201" i="4"/>
  <c r="N201" i="4"/>
  <c r="M201" i="4"/>
  <c r="L201" i="4"/>
  <c r="K201" i="4"/>
  <c r="J201" i="4"/>
  <c r="I201" i="4"/>
  <c r="H201" i="4"/>
  <c r="G201" i="4"/>
  <c r="F201" i="4"/>
  <c r="E201" i="4"/>
  <c r="D201" i="4"/>
  <c r="C201" i="4"/>
  <c r="B201" i="4"/>
  <c r="A201" i="4"/>
  <c r="Z200" i="4"/>
  <c r="Y200" i="4"/>
  <c r="X200" i="4"/>
  <c r="W200" i="4"/>
  <c r="V200" i="4"/>
  <c r="U200" i="4"/>
  <c r="T200" i="4"/>
  <c r="Q200" i="4"/>
  <c r="P200" i="4"/>
  <c r="N200" i="4"/>
  <c r="M200" i="4"/>
  <c r="L200" i="4"/>
  <c r="K200" i="4"/>
  <c r="J200" i="4"/>
  <c r="I200" i="4"/>
  <c r="H200" i="4"/>
  <c r="G200" i="4"/>
  <c r="F200" i="4"/>
  <c r="E200" i="4"/>
  <c r="D200" i="4"/>
  <c r="C200" i="4"/>
  <c r="B200" i="4"/>
  <c r="A200" i="4"/>
  <c r="N199" i="4"/>
  <c r="M199" i="4"/>
  <c r="L199" i="4"/>
  <c r="K199" i="4"/>
  <c r="J199" i="4"/>
  <c r="I199" i="4"/>
  <c r="H199" i="4"/>
  <c r="G199" i="4"/>
  <c r="F199" i="4"/>
  <c r="E199" i="4"/>
  <c r="D199" i="4"/>
  <c r="C199" i="4"/>
  <c r="B199" i="4"/>
  <c r="A199" i="4"/>
  <c r="N198" i="4"/>
  <c r="M198" i="4"/>
  <c r="L198" i="4"/>
  <c r="K198" i="4"/>
  <c r="J198" i="4"/>
  <c r="I198" i="4"/>
  <c r="H198" i="4"/>
  <c r="G198" i="4"/>
  <c r="F198" i="4"/>
  <c r="E198" i="4"/>
  <c r="D198" i="4"/>
  <c r="C198" i="4"/>
  <c r="B198" i="4"/>
  <c r="A198" i="4"/>
  <c r="Z197" i="4"/>
  <c r="Y197" i="4"/>
  <c r="X197" i="4"/>
  <c r="W197" i="4"/>
  <c r="V197" i="4"/>
  <c r="U197" i="4"/>
  <c r="T197" i="4"/>
  <c r="R197" i="4"/>
  <c r="P197" i="4"/>
  <c r="N197" i="4"/>
  <c r="M197" i="4"/>
  <c r="L197" i="4"/>
  <c r="K197" i="4"/>
  <c r="J197" i="4"/>
  <c r="I197" i="4"/>
  <c r="H197" i="4"/>
  <c r="G197" i="4"/>
  <c r="F197" i="4"/>
  <c r="E197" i="4"/>
  <c r="D197" i="4"/>
  <c r="C197" i="4"/>
  <c r="B197" i="4"/>
  <c r="A197" i="4"/>
  <c r="Z196" i="4"/>
  <c r="Y196" i="4"/>
  <c r="X196" i="4"/>
  <c r="W196" i="4"/>
  <c r="V196" i="4"/>
  <c r="U196" i="4"/>
  <c r="T196" i="4"/>
  <c r="S196" i="4"/>
  <c r="R196" i="4"/>
  <c r="Q196" i="4"/>
  <c r="P196" i="4"/>
  <c r="N196" i="4"/>
  <c r="M196" i="4"/>
  <c r="L196" i="4"/>
  <c r="K196" i="4"/>
  <c r="J196" i="4"/>
  <c r="I196" i="4"/>
  <c r="H196" i="4"/>
  <c r="G196" i="4"/>
  <c r="F196" i="4"/>
  <c r="E196" i="4"/>
  <c r="D196" i="4"/>
  <c r="C196" i="4"/>
  <c r="B196" i="4"/>
  <c r="A196" i="4"/>
  <c r="N195" i="4"/>
  <c r="M195" i="4"/>
  <c r="L195" i="4"/>
  <c r="K195" i="4"/>
  <c r="J195" i="4"/>
  <c r="I195" i="4"/>
  <c r="H195" i="4"/>
  <c r="G195" i="4"/>
  <c r="F195" i="4"/>
  <c r="E195" i="4"/>
  <c r="D195" i="4"/>
  <c r="C195" i="4"/>
  <c r="B195" i="4"/>
  <c r="A195" i="4"/>
  <c r="N194" i="4"/>
  <c r="M194" i="4"/>
  <c r="L194" i="4"/>
  <c r="K194" i="4"/>
  <c r="J194" i="4"/>
  <c r="I194" i="4"/>
  <c r="H194" i="4"/>
  <c r="G194" i="4"/>
  <c r="F194" i="4"/>
  <c r="E194" i="4"/>
  <c r="D194" i="4"/>
  <c r="C194" i="4"/>
  <c r="B194" i="4"/>
  <c r="A194" i="4"/>
  <c r="AB193" i="4"/>
  <c r="N193" i="4"/>
  <c r="M193" i="4"/>
  <c r="L193" i="4"/>
  <c r="K193" i="4"/>
  <c r="J193" i="4"/>
  <c r="I193" i="4"/>
  <c r="H193" i="4"/>
  <c r="G193" i="4"/>
  <c r="F193" i="4"/>
  <c r="E193" i="4"/>
  <c r="D193" i="4"/>
  <c r="C193" i="4"/>
  <c r="B193" i="4"/>
  <c r="A193" i="4"/>
  <c r="AB192" i="4"/>
  <c r="N192" i="4"/>
  <c r="M192" i="4"/>
  <c r="L192" i="4"/>
  <c r="K192" i="4"/>
  <c r="J192" i="4"/>
  <c r="I192" i="4"/>
  <c r="H192" i="4"/>
  <c r="G192" i="4"/>
  <c r="F192" i="4"/>
  <c r="E192" i="4"/>
  <c r="D192" i="4"/>
  <c r="C192" i="4"/>
  <c r="B192" i="4"/>
  <c r="A192" i="4"/>
  <c r="AA191" i="4"/>
  <c r="N191" i="4"/>
  <c r="M191" i="4"/>
  <c r="L191" i="4"/>
  <c r="K191" i="4"/>
  <c r="J191" i="4"/>
  <c r="I191" i="4"/>
  <c r="H191" i="4"/>
  <c r="G191" i="4"/>
  <c r="F191" i="4"/>
  <c r="E191" i="4"/>
  <c r="D191" i="4"/>
  <c r="C191" i="4"/>
  <c r="B191" i="4"/>
  <c r="A191" i="4"/>
  <c r="AA190" i="4"/>
  <c r="N190" i="4"/>
  <c r="M190" i="4"/>
  <c r="L190" i="4"/>
  <c r="K190" i="4"/>
  <c r="J190" i="4"/>
  <c r="I190" i="4"/>
  <c r="H190" i="4"/>
  <c r="G190" i="4"/>
  <c r="F190" i="4"/>
  <c r="E190" i="4"/>
  <c r="D190" i="4"/>
  <c r="C190" i="4"/>
  <c r="B190" i="4"/>
  <c r="A190" i="4"/>
  <c r="N189" i="4"/>
  <c r="M189" i="4"/>
  <c r="L189" i="4"/>
  <c r="K189" i="4"/>
  <c r="J189" i="4"/>
  <c r="I189" i="4"/>
  <c r="H189" i="4"/>
  <c r="G189" i="4"/>
  <c r="F189" i="4"/>
  <c r="E189" i="4"/>
  <c r="D189" i="4"/>
  <c r="C189" i="4"/>
  <c r="B189" i="4"/>
  <c r="A189" i="4"/>
  <c r="N188" i="4"/>
  <c r="M188" i="4"/>
  <c r="L188" i="4"/>
  <c r="K188" i="4"/>
  <c r="J188" i="4"/>
  <c r="I188" i="4"/>
  <c r="H188" i="4"/>
  <c r="G188" i="4"/>
  <c r="F188" i="4"/>
  <c r="E188" i="4"/>
  <c r="D188" i="4"/>
  <c r="C188" i="4"/>
  <c r="B188" i="4"/>
  <c r="A188" i="4"/>
  <c r="N187" i="4"/>
  <c r="M187" i="4"/>
  <c r="L187" i="4"/>
  <c r="K187" i="4"/>
  <c r="J187" i="4"/>
  <c r="I187" i="4"/>
  <c r="H187" i="4"/>
  <c r="G187" i="4"/>
  <c r="F187" i="4"/>
  <c r="E187" i="4"/>
  <c r="D187" i="4"/>
  <c r="C187" i="4"/>
  <c r="B187" i="4"/>
  <c r="A187" i="4"/>
  <c r="N186" i="4"/>
  <c r="M186" i="4"/>
  <c r="L186" i="4"/>
  <c r="K186" i="4"/>
  <c r="J186" i="4"/>
  <c r="I186" i="4"/>
  <c r="H186" i="4"/>
  <c r="G186" i="4"/>
  <c r="F186" i="4"/>
  <c r="E186" i="4"/>
  <c r="D186" i="4"/>
  <c r="C186" i="4"/>
  <c r="B186" i="4"/>
  <c r="A186" i="4"/>
  <c r="N185" i="4"/>
  <c r="M185" i="4"/>
  <c r="L185" i="4"/>
  <c r="K185" i="4"/>
  <c r="J185" i="4"/>
  <c r="I185" i="4"/>
  <c r="H185" i="4"/>
  <c r="G185" i="4"/>
  <c r="F185" i="4"/>
  <c r="E185" i="4"/>
  <c r="D185" i="4"/>
  <c r="C185" i="4"/>
  <c r="B185" i="4"/>
  <c r="A185" i="4"/>
  <c r="N184" i="4"/>
  <c r="M184" i="4"/>
  <c r="L184" i="4"/>
  <c r="K184" i="4"/>
  <c r="J184" i="4"/>
  <c r="I184" i="4"/>
  <c r="H184" i="4"/>
  <c r="G184" i="4"/>
  <c r="F184" i="4"/>
  <c r="E184" i="4"/>
  <c r="D184" i="4"/>
  <c r="C184" i="4"/>
  <c r="B184" i="4"/>
  <c r="A184" i="4"/>
  <c r="AB183" i="4"/>
  <c r="N183" i="4"/>
  <c r="M183" i="4"/>
  <c r="L183" i="4"/>
  <c r="K183" i="4"/>
  <c r="J183" i="4"/>
  <c r="I183" i="4"/>
  <c r="H183" i="4"/>
  <c r="G183" i="4"/>
  <c r="F183" i="4"/>
  <c r="E183" i="4"/>
  <c r="D183" i="4"/>
  <c r="C183" i="4"/>
  <c r="B183" i="4"/>
  <c r="A183" i="4"/>
  <c r="AB182" i="4"/>
  <c r="N182" i="4"/>
  <c r="M182" i="4"/>
  <c r="L182" i="4"/>
  <c r="K182" i="4"/>
  <c r="J182" i="4"/>
  <c r="I182" i="4"/>
  <c r="H182" i="4"/>
  <c r="G182" i="4"/>
  <c r="F182" i="4"/>
  <c r="E182" i="4"/>
  <c r="D182" i="4"/>
  <c r="C182" i="4"/>
  <c r="B182" i="4"/>
  <c r="A182" i="4"/>
  <c r="N181" i="4"/>
  <c r="M181" i="4"/>
  <c r="L181" i="4"/>
  <c r="K181" i="4"/>
  <c r="J181" i="4"/>
  <c r="I181" i="4"/>
  <c r="H181" i="4"/>
  <c r="G181" i="4"/>
  <c r="F181" i="4"/>
  <c r="E181" i="4"/>
  <c r="D181" i="4"/>
  <c r="C181" i="4"/>
  <c r="B181" i="4"/>
  <c r="A181" i="4"/>
  <c r="Z180" i="4"/>
  <c r="Y180" i="4"/>
  <c r="X180" i="4"/>
  <c r="W180" i="4"/>
  <c r="V180" i="4"/>
  <c r="U180" i="4"/>
  <c r="T180" i="4"/>
  <c r="S180" i="4"/>
  <c r="R180" i="4"/>
  <c r="Q180" i="4"/>
  <c r="P180" i="4"/>
  <c r="N180" i="4"/>
  <c r="M180" i="4"/>
  <c r="L180" i="4"/>
  <c r="K180" i="4"/>
  <c r="J180" i="4"/>
  <c r="I180" i="4"/>
  <c r="H180" i="4"/>
  <c r="G180" i="4"/>
  <c r="F180" i="4"/>
  <c r="E180" i="4"/>
  <c r="D180" i="4"/>
  <c r="C180" i="4"/>
  <c r="B180" i="4"/>
  <c r="A180" i="4"/>
  <c r="Y179" i="4"/>
  <c r="X179" i="4"/>
  <c r="N179" i="4"/>
  <c r="M179" i="4"/>
  <c r="L179" i="4"/>
  <c r="K179" i="4"/>
  <c r="J179" i="4"/>
  <c r="I179" i="4"/>
  <c r="H179" i="4"/>
  <c r="G179" i="4"/>
  <c r="F179" i="4"/>
  <c r="E179" i="4"/>
  <c r="D179" i="4"/>
  <c r="C179" i="4"/>
  <c r="B179" i="4"/>
  <c r="A179" i="4"/>
  <c r="AA178" i="4"/>
  <c r="N178" i="4"/>
  <c r="M178" i="4"/>
  <c r="L178" i="4"/>
  <c r="K178" i="4"/>
  <c r="J178" i="4"/>
  <c r="I178" i="4"/>
  <c r="H178" i="4"/>
  <c r="G178" i="4"/>
  <c r="F178" i="4"/>
  <c r="E178" i="4"/>
  <c r="D178" i="4"/>
  <c r="C178" i="4"/>
  <c r="B178" i="4"/>
  <c r="A178" i="4"/>
  <c r="N177" i="4"/>
  <c r="M177" i="4"/>
  <c r="L177" i="4"/>
  <c r="K177" i="4"/>
  <c r="J177" i="4"/>
  <c r="I177" i="4"/>
  <c r="H177" i="4"/>
  <c r="G177" i="4"/>
  <c r="F177" i="4"/>
  <c r="E177" i="4"/>
  <c r="D177" i="4"/>
  <c r="C177" i="4"/>
  <c r="B177" i="4"/>
  <c r="A177" i="4"/>
  <c r="N176" i="4"/>
  <c r="M176" i="4"/>
  <c r="L176" i="4"/>
  <c r="K176" i="4"/>
  <c r="J176" i="4"/>
  <c r="I176" i="4"/>
  <c r="H176" i="4"/>
  <c r="G176" i="4"/>
  <c r="F176" i="4"/>
  <c r="E176" i="4"/>
  <c r="D176" i="4"/>
  <c r="C176" i="4"/>
  <c r="B176" i="4"/>
  <c r="A176" i="4"/>
  <c r="N175" i="4"/>
  <c r="M175" i="4"/>
  <c r="L175" i="4"/>
  <c r="K175" i="4"/>
  <c r="J175" i="4"/>
  <c r="I175" i="4"/>
  <c r="H175" i="4"/>
  <c r="G175" i="4"/>
  <c r="F175" i="4"/>
  <c r="E175" i="4"/>
  <c r="D175" i="4"/>
  <c r="C175" i="4"/>
  <c r="B175" i="4"/>
  <c r="A175" i="4"/>
  <c r="N174" i="4"/>
  <c r="M174" i="4"/>
  <c r="L174" i="4"/>
  <c r="K174" i="4"/>
  <c r="J174" i="4"/>
  <c r="I174" i="4"/>
  <c r="H174" i="4"/>
  <c r="G174" i="4"/>
  <c r="F174" i="4"/>
  <c r="E174" i="4"/>
  <c r="D174" i="4"/>
  <c r="C174" i="4"/>
  <c r="B174" i="4"/>
  <c r="A174" i="4"/>
  <c r="N173" i="4"/>
  <c r="M173" i="4"/>
  <c r="L173" i="4"/>
  <c r="K173" i="4"/>
  <c r="J173" i="4"/>
  <c r="I173" i="4"/>
  <c r="H173" i="4"/>
  <c r="G173" i="4"/>
  <c r="F173" i="4"/>
  <c r="E173" i="4"/>
  <c r="D173" i="4"/>
  <c r="C173" i="4"/>
  <c r="B173" i="4"/>
  <c r="A173" i="4"/>
  <c r="N172" i="4"/>
  <c r="M172" i="4"/>
  <c r="L172" i="4"/>
  <c r="K172" i="4"/>
  <c r="J172" i="4"/>
  <c r="I172" i="4"/>
  <c r="H172" i="4"/>
  <c r="G172" i="4"/>
  <c r="F172" i="4"/>
  <c r="E172" i="4"/>
  <c r="D172" i="4"/>
  <c r="C172" i="4"/>
  <c r="B172" i="4"/>
  <c r="A172" i="4"/>
  <c r="AB171" i="4"/>
  <c r="AA171" i="4"/>
  <c r="N171" i="4"/>
  <c r="M171" i="4"/>
  <c r="L171" i="4"/>
  <c r="K171" i="4"/>
  <c r="J171" i="4"/>
  <c r="I171" i="4"/>
  <c r="H171" i="4"/>
  <c r="G171" i="4"/>
  <c r="F171" i="4"/>
  <c r="E171" i="4"/>
  <c r="D171" i="4"/>
  <c r="C171" i="4"/>
  <c r="B171" i="4"/>
  <c r="A171" i="4"/>
  <c r="Z170" i="4"/>
  <c r="Y170" i="4"/>
  <c r="X170" i="4"/>
  <c r="W170" i="4"/>
  <c r="V170" i="4"/>
  <c r="U170" i="4"/>
  <c r="T170" i="4"/>
  <c r="R170" i="4"/>
  <c r="Q170" i="4"/>
  <c r="P170" i="4"/>
  <c r="O170" i="4"/>
  <c r="N170" i="4"/>
  <c r="M170" i="4"/>
  <c r="L170" i="4"/>
  <c r="K170" i="4"/>
  <c r="J170" i="4"/>
  <c r="I170" i="4"/>
  <c r="H170" i="4"/>
  <c r="G170" i="4"/>
  <c r="F170" i="4"/>
  <c r="E170" i="4"/>
  <c r="D170" i="4"/>
  <c r="C170" i="4"/>
  <c r="B170" i="4"/>
  <c r="A170" i="4"/>
  <c r="Z169" i="4"/>
  <c r="Y169" i="4"/>
  <c r="X169" i="4"/>
  <c r="W169" i="4"/>
  <c r="V169" i="4"/>
  <c r="U169" i="4"/>
  <c r="T169" i="4"/>
  <c r="R169" i="4"/>
  <c r="Q169" i="4"/>
  <c r="P169" i="4"/>
  <c r="O169" i="4"/>
  <c r="N169" i="4"/>
  <c r="M169" i="4"/>
  <c r="L169" i="4"/>
  <c r="K169" i="4"/>
  <c r="J169" i="4"/>
  <c r="I169" i="4"/>
  <c r="H169" i="4"/>
  <c r="G169" i="4"/>
  <c r="F169" i="4"/>
  <c r="E169" i="4"/>
  <c r="D169" i="4"/>
  <c r="C169" i="4"/>
  <c r="B169" i="4"/>
  <c r="A169" i="4"/>
  <c r="Z168" i="4"/>
  <c r="Y168" i="4"/>
  <c r="X168" i="4"/>
  <c r="W168" i="4"/>
  <c r="V168" i="4"/>
  <c r="U168" i="4"/>
  <c r="T168" i="4"/>
  <c r="R168" i="4"/>
  <c r="Q168" i="4"/>
  <c r="P168" i="4"/>
  <c r="O168" i="4"/>
  <c r="N168" i="4"/>
  <c r="M168" i="4"/>
  <c r="L168" i="4"/>
  <c r="K168" i="4"/>
  <c r="J168" i="4"/>
  <c r="I168" i="4"/>
  <c r="H168" i="4"/>
  <c r="G168" i="4"/>
  <c r="F168" i="4"/>
  <c r="E168" i="4"/>
  <c r="D168" i="4"/>
  <c r="C168" i="4"/>
  <c r="B168" i="4"/>
  <c r="A168" i="4"/>
  <c r="N167" i="4"/>
  <c r="M167" i="4"/>
  <c r="L167" i="4"/>
  <c r="K167" i="4"/>
  <c r="J167" i="4"/>
  <c r="I167" i="4"/>
  <c r="H167" i="4"/>
  <c r="G167" i="4"/>
  <c r="F167" i="4"/>
  <c r="E167" i="4"/>
  <c r="D167" i="4"/>
  <c r="C167" i="4"/>
  <c r="B167" i="4"/>
  <c r="A167" i="4"/>
  <c r="N166" i="4"/>
  <c r="M166" i="4"/>
  <c r="L166" i="4"/>
  <c r="K166" i="4"/>
  <c r="J166" i="4"/>
  <c r="I166" i="4"/>
  <c r="H166" i="4"/>
  <c r="G166" i="4"/>
  <c r="F166" i="4"/>
  <c r="E166" i="4"/>
  <c r="D166" i="4"/>
  <c r="C166" i="4"/>
  <c r="B166" i="4"/>
  <c r="A166" i="4"/>
  <c r="N165" i="4"/>
  <c r="M165" i="4"/>
  <c r="L165" i="4"/>
  <c r="K165" i="4"/>
  <c r="J165" i="4"/>
  <c r="I165" i="4"/>
  <c r="H165" i="4"/>
  <c r="G165" i="4"/>
  <c r="F165" i="4"/>
  <c r="E165" i="4"/>
  <c r="D165" i="4"/>
  <c r="C165" i="4"/>
  <c r="B165" i="4"/>
  <c r="A165" i="4"/>
  <c r="N164" i="4"/>
  <c r="M164" i="4"/>
  <c r="L164" i="4"/>
  <c r="K164" i="4"/>
  <c r="J164" i="4"/>
  <c r="I164" i="4"/>
  <c r="H164" i="4"/>
  <c r="G164" i="4"/>
  <c r="F164" i="4"/>
  <c r="E164" i="4"/>
  <c r="D164" i="4"/>
  <c r="C164" i="4"/>
  <c r="B164" i="4"/>
  <c r="A164" i="4"/>
  <c r="N163" i="4"/>
  <c r="M163" i="4"/>
  <c r="L163" i="4"/>
  <c r="K163" i="4"/>
  <c r="J163" i="4"/>
  <c r="I163" i="4"/>
  <c r="H163" i="4"/>
  <c r="G163" i="4"/>
  <c r="F163" i="4"/>
  <c r="E163" i="4"/>
  <c r="D163" i="4"/>
  <c r="C163" i="4"/>
  <c r="B163" i="4"/>
  <c r="A163" i="4"/>
  <c r="Z162" i="4"/>
  <c r="Y162" i="4"/>
  <c r="X162" i="4"/>
  <c r="W162" i="4"/>
  <c r="V162" i="4"/>
  <c r="U162" i="4"/>
  <c r="T162" i="4"/>
  <c r="S162" i="4"/>
  <c r="R162" i="4"/>
  <c r="Q162" i="4"/>
  <c r="P162" i="4"/>
  <c r="O162" i="4"/>
  <c r="N162" i="4"/>
  <c r="M162" i="4"/>
  <c r="L162" i="4"/>
  <c r="K162" i="4"/>
  <c r="J162" i="4"/>
  <c r="I162" i="4"/>
  <c r="H162" i="4"/>
  <c r="G162" i="4"/>
  <c r="F162" i="4"/>
  <c r="E162" i="4"/>
  <c r="D162" i="4"/>
  <c r="C162" i="4"/>
  <c r="B162" i="4"/>
  <c r="A162" i="4"/>
  <c r="Z161" i="4"/>
  <c r="Y161" i="4"/>
  <c r="X161" i="4"/>
  <c r="W161" i="4"/>
  <c r="V161" i="4"/>
  <c r="U161" i="4"/>
  <c r="T161" i="4"/>
  <c r="S161" i="4"/>
  <c r="R161" i="4"/>
  <c r="Q161" i="4"/>
  <c r="P161" i="4"/>
  <c r="O161" i="4"/>
  <c r="N161" i="4"/>
  <c r="M161" i="4"/>
  <c r="L161" i="4"/>
  <c r="K161" i="4"/>
  <c r="J161" i="4"/>
  <c r="I161" i="4"/>
  <c r="H161" i="4"/>
  <c r="G161" i="4"/>
  <c r="F161" i="4"/>
  <c r="E161" i="4"/>
  <c r="D161" i="4"/>
  <c r="C161" i="4"/>
  <c r="B161" i="4"/>
  <c r="A161" i="4"/>
  <c r="Z160" i="4"/>
  <c r="Y160" i="4"/>
  <c r="X160" i="4"/>
  <c r="W160" i="4"/>
  <c r="V160" i="4"/>
  <c r="U160" i="4"/>
  <c r="T160" i="4"/>
  <c r="S160" i="4"/>
  <c r="R160" i="4"/>
  <c r="Q160" i="4"/>
  <c r="P160" i="4"/>
  <c r="O160" i="4"/>
  <c r="N160" i="4"/>
  <c r="M160" i="4"/>
  <c r="L160" i="4"/>
  <c r="K160" i="4"/>
  <c r="J160" i="4"/>
  <c r="I160" i="4"/>
  <c r="H160" i="4"/>
  <c r="G160" i="4"/>
  <c r="F160" i="4"/>
  <c r="E160" i="4"/>
  <c r="D160" i="4"/>
  <c r="C160" i="4"/>
  <c r="B160" i="4"/>
  <c r="A160" i="4"/>
  <c r="Z159" i="4"/>
  <c r="Y159" i="4"/>
  <c r="X159" i="4"/>
  <c r="W159" i="4"/>
  <c r="V159" i="4"/>
  <c r="U159" i="4"/>
  <c r="T159" i="4"/>
  <c r="S159" i="4"/>
  <c r="R159" i="4"/>
  <c r="Q159" i="4"/>
  <c r="P159" i="4"/>
  <c r="O159" i="4"/>
  <c r="N159" i="4"/>
  <c r="M159" i="4"/>
  <c r="L159" i="4"/>
  <c r="K159" i="4"/>
  <c r="J159" i="4"/>
  <c r="I159" i="4"/>
  <c r="H159" i="4"/>
  <c r="G159" i="4"/>
  <c r="F159" i="4"/>
  <c r="E159" i="4"/>
  <c r="D159" i="4"/>
  <c r="C159" i="4"/>
  <c r="B159" i="4"/>
  <c r="A159" i="4"/>
  <c r="Z158" i="4"/>
  <c r="Y158" i="4"/>
  <c r="X158" i="4"/>
  <c r="W158" i="4"/>
  <c r="V158" i="4"/>
  <c r="U158" i="4"/>
  <c r="T158" i="4"/>
  <c r="S158" i="4"/>
  <c r="R158" i="4"/>
  <c r="Q158" i="4"/>
  <c r="P158" i="4"/>
  <c r="O158" i="4"/>
  <c r="N158" i="4"/>
  <c r="M158" i="4"/>
  <c r="L158" i="4"/>
  <c r="K158" i="4"/>
  <c r="J158" i="4"/>
  <c r="I158" i="4"/>
  <c r="H158" i="4"/>
  <c r="G158" i="4"/>
  <c r="F158" i="4"/>
  <c r="E158" i="4"/>
  <c r="D158" i="4"/>
  <c r="C158" i="4"/>
  <c r="B158" i="4"/>
  <c r="A158" i="4"/>
  <c r="Z157" i="4"/>
  <c r="Y157" i="4"/>
  <c r="X157" i="4"/>
  <c r="W157" i="4"/>
  <c r="V157" i="4"/>
  <c r="U157" i="4"/>
  <c r="T157" i="4"/>
  <c r="S157" i="4"/>
  <c r="R157" i="4"/>
  <c r="Q157" i="4"/>
  <c r="P157" i="4"/>
  <c r="O157" i="4"/>
  <c r="N157" i="4"/>
  <c r="M157" i="4"/>
  <c r="L157" i="4"/>
  <c r="K157" i="4"/>
  <c r="J157" i="4"/>
  <c r="I157" i="4"/>
  <c r="H157" i="4"/>
  <c r="G157" i="4"/>
  <c r="F157" i="4"/>
  <c r="E157" i="4"/>
  <c r="D157" i="4"/>
  <c r="C157" i="4"/>
  <c r="B157" i="4"/>
  <c r="A157" i="4"/>
  <c r="Z156" i="4"/>
  <c r="Y156" i="4"/>
  <c r="X156" i="4"/>
  <c r="W156" i="4"/>
  <c r="V156" i="4"/>
  <c r="U156" i="4"/>
  <c r="T156" i="4"/>
  <c r="S156" i="4"/>
  <c r="R156" i="4"/>
  <c r="Q156" i="4"/>
  <c r="P156" i="4"/>
  <c r="O156" i="4"/>
  <c r="N156" i="4"/>
  <c r="M156" i="4"/>
  <c r="L156" i="4"/>
  <c r="K156" i="4"/>
  <c r="J156" i="4"/>
  <c r="I156" i="4"/>
  <c r="H156" i="4"/>
  <c r="G156" i="4"/>
  <c r="F156" i="4"/>
  <c r="E156" i="4"/>
  <c r="D156" i="4"/>
  <c r="C156" i="4"/>
  <c r="B156" i="4"/>
  <c r="A156" i="4"/>
  <c r="Z155" i="4"/>
  <c r="Y155" i="4"/>
  <c r="X155" i="4"/>
  <c r="W155" i="4"/>
  <c r="V155" i="4"/>
  <c r="U155" i="4"/>
  <c r="T155" i="4"/>
  <c r="S155" i="4"/>
  <c r="R155" i="4"/>
  <c r="Q155" i="4"/>
  <c r="P155" i="4"/>
  <c r="O155" i="4"/>
  <c r="N155" i="4"/>
  <c r="M155" i="4"/>
  <c r="L155" i="4"/>
  <c r="K155" i="4"/>
  <c r="J155" i="4"/>
  <c r="I155" i="4"/>
  <c r="H155" i="4"/>
  <c r="G155" i="4"/>
  <c r="F155" i="4"/>
  <c r="E155" i="4"/>
  <c r="D155" i="4"/>
  <c r="C155" i="4"/>
  <c r="B155" i="4"/>
  <c r="A155" i="4"/>
  <c r="AB154" i="4"/>
  <c r="N154" i="4"/>
  <c r="M154" i="4"/>
  <c r="L154" i="4"/>
  <c r="K154" i="4"/>
  <c r="J154" i="4"/>
  <c r="I154" i="4"/>
  <c r="H154" i="4"/>
  <c r="G154" i="4"/>
  <c r="F154" i="4"/>
  <c r="E154" i="4"/>
  <c r="D154" i="4"/>
  <c r="C154" i="4"/>
  <c r="B154" i="4"/>
  <c r="A154" i="4"/>
  <c r="AB153" i="4"/>
  <c r="N153" i="4"/>
  <c r="M153" i="4"/>
  <c r="L153" i="4"/>
  <c r="K153" i="4"/>
  <c r="J153" i="4"/>
  <c r="I153" i="4"/>
  <c r="H153" i="4"/>
  <c r="G153" i="4"/>
  <c r="F153" i="4"/>
  <c r="E153" i="4"/>
  <c r="D153" i="4"/>
  <c r="C153" i="4"/>
  <c r="B153" i="4"/>
  <c r="A153" i="4"/>
  <c r="AB152" i="4"/>
  <c r="N152" i="4"/>
  <c r="M152" i="4"/>
  <c r="L152" i="4"/>
  <c r="K152" i="4"/>
  <c r="J152" i="4"/>
  <c r="I152" i="4"/>
  <c r="H152" i="4"/>
  <c r="G152" i="4"/>
  <c r="F152" i="4"/>
  <c r="E152" i="4"/>
  <c r="D152" i="4"/>
  <c r="C152" i="4"/>
  <c r="B152" i="4"/>
  <c r="A152" i="4"/>
  <c r="AB151" i="4"/>
  <c r="N151" i="4"/>
  <c r="M151" i="4"/>
  <c r="L151" i="4"/>
  <c r="K151" i="4"/>
  <c r="J151" i="4"/>
  <c r="I151" i="4"/>
  <c r="H151" i="4"/>
  <c r="G151" i="4"/>
  <c r="F151" i="4"/>
  <c r="E151" i="4"/>
  <c r="D151" i="4"/>
  <c r="C151" i="4"/>
  <c r="B151" i="4"/>
  <c r="A151" i="4"/>
  <c r="N150" i="4"/>
  <c r="M150" i="4"/>
  <c r="L150" i="4"/>
  <c r="K150" i="4"/>
  <c r="J150" i="4"/>
  <c r="I150" i="4"/>
  <c r="H150" i="4"/>
  <c r="G150" i="4"/>
  <c r="F150" i="4"/>
  <c r="E150" i="4"/>
  <c r="D150" i="4"/>
  <c r="C150" i="4"/>
  <c r="B150" i="4"/>
  <c r="A150" i="4"/>
  <c r="N149" i="4"/>
  <c r="M149" i="4"/>
  <c r="L149" i="4"/>
  <c r="K149" i="4"/>
  <c r="J149" i="4"/>
  <c r="I149" i="4"/>
  <c r="H149" i="4"/>
  <c r="G149" i="4"/>
  <c r="F149" i="4"/>
  <c r="E149" i="4"/>
  <c r="D149" i="4"/>
  <c r="C149" i="4"/>
  <c r="B149" i="4"/>
  <c r="A149" i="4"/>
  <c r="N148" i="4"/>
  <c r="M148" i="4"/>
  <c r="L148" i="4"/>
  <c r="K148" i="4"/>
  <c r="J148" i="4"/>
  <c r="I148" i="4"/>
  <c r="H148" i="4"/>
  <c r="G148" i="4"/>
  <c r="F148" i="4"/>
  <c r="E148" i="4"/>
  <c r="D148" i="4"/>
  <c r="C148" i="4"/>
  <c r="B148" i="4"/>
  <c r="A148" i="4"/>
  <c r="AB147" i="4"/>
  <c r="N147" i="4"/>
  <c r="M147" i="4"/>
  <c r="L147" i="4"/>
  <c r="K147" i="4"/>
  <c r="J147" i="4"/>
  <c r="I147" i="4"/>
  <c r="H147" i="4"/>
  <c r="G147" i="4"/>
  <c r="F147" i="4"/>
  <c r="E147" i="4"/>
  <c r="D147" i="4"/>
  <c r="C147" i="4"/>
  <c r="B147" i="4"/>
  <c r="A147" i="4"/>
  <c r="AB146" i="4"/>
  <c r="N146" i="4"/>
  <c r="M146" i="4"/>
  <c r="L146" i="4"/>
  <c r="K146" i="4"/>
  <c r="J146" i="4"/>
  <c r="I146" i="4"/>
  <c r="H146" i="4"/>
  <c r="G146" i="4"/>
  <c r="F146" i="4"/>
  <c r="E146" i="4"/>
  <c r="D146" i="4"/>
  <c r="C146" i="4"/>
  <c r="B146" i="4"/>
  <c r="A146" i="4"/>
  <c r="AB145" i="4"/>
  <c r="N145" i="4"/>
  <c r="M145" i="4"/>
  <c r="L145" i="4"/>
  <c r="K145" i="4"/>
  <c r="J145" i="4"/>
  <c r="I145" i="4"/>
  <c r="H145" i="4"/>
  <c r="G145" i="4"/>
  <c r="F145" i="4"/>
  <c r="E145" i="4"/>
  <c r="D145" i="4"/>
  <c r="C145" i="4"/>
  <c r="B145" i="4"/>
  <c r="A145" i="4"/>
  <c r="AB144" i="4"/>
  <c r="N144" i="4"/>
  <c r="M144" i="4"/>
  <c r="L144" i="4"/>
  <c r="K144" i="4"/>
  <c r="J144" i="4"/>
  <c r="I144" i="4"/>
  <c r="H144" i="4"/>
  <c r="G144" i="4"/>
  <c r="F144" i="4"/>
  <c r="E144" i="4"/>
  <c r="D144" i="4"/>
  <c r="C144" i="4"/>
  <c r="B144" i="4"/>
  <c r="A144" i="4"/>
  <c r="N143" i="4"/>
  <c r="M143" i="4"/>
  <c r="L143" i="4"/>
  <c r="K143" i="4"/>
  <c r="J143" i="4"/>
  <c r="I143" i="4"/>
  <c r="H143" i="4"/>
  <c r="G143" i="4"/>
  <c r="F143" i="4"/>
  <c r="E143" i="4"/>
  <c r="D143" i="4"/>
  <c r="C143" i="4"/>
  <c r="B143" i="4"/>
  <c r="A143" i="4"/>
  <c r="AA142" i="4"/>
  <c r="N142" i="4"/>
  <c r="M142" i="4"/>
  <c r="L142" i="4"/>
  <c r="K142" i="4"/>
  <c r="J142" i="4"/>
  <c r="I142" i="4"/>
  <c r="H142" i="4"/>
  <c r="G142" i="4"/>
  <c r="F142" i="4"/>
  <c r="E142" i="4"/>
  <c r="D142" i="4"/>
  <c r="C142" i="4"/>
  <c r="B142" i="4"/>
  <c r="A142" i="4"/>
  <c r="N141" i="4"/>
  <c r="M141" i="4"/>
  <c r="L141" i="4"/>
  <c r="K141" i="4"/>
  <c r="J141" i="4"/>
  <c r="I141" i="4"/>
  <c r="H141" i="4"/>
  <c r="G141" i="4"/>
  <c r="F141" i="4"/>
  <c r="E141" i="4"/>
  <c r="D141" i="4"/>
  <c r="C141" i="4"/>
  <c r="B141" i="4"/>
  <c r="A141" i="4"/>
  <c r="AB140" i="4"/>
  <c r="AA140" i="4"/>
  <c r="N140" i="4"/>
  <c r="M140" i="4"/>
  <c r="L140" i="4"/>
  <c r="K140" i="4"/>
  <c r="J140" i="4"/>
  <c r="I140" i="4"/>
  <c r="H140" i="4"/>
  <c r="G140" i="4"/>
  <c r="F140" i="4"/>
  <c r="E140" i="4"/>
  <c r="D140" i="4"/>
  <c r="C140" i="4"/>
  <c r="B140" i="4"/>
  <c r="A140" i="4"/>
  <c r="N139" i="4"/>
  <c r="M139" i="4"/>
  <c r="L139" i="4"/>
  <c r="K139" i="4"/>
  <c r="J139" i="4"/>
  <c r="I139" i="4"/>
  <c r="H139" i="4"/>
  <c r="G139" i="4"/>
  <c r="F139" i="4"/>
  <c r="E139" i="4"/>
  <c r="D139" i="4"/>
  <c r="C139" i="4"/>
  <c r="B139" i="4"/>
  <c r="A139" i="4"/>
  <c r="N138" i="4"/>
  <c r="M138" i="4"/>
  <c r="L138" i="4"/>
  <c r="K138" i="4"/>
  <c r="J138" i="4"/>
  <c r="I138" i="4"/>
  <c r="H138" i="4"/>
  <c r="G138" i="4"/>
  <c r="F138" i="4"/>
  <c r="E138" i="4"/>
  <c r="D138" i="4"/>
  <c r="C138" i="4"/>
  <c r="B138" i="4"/>
  <c r="A138" i="4"/>
  <c r="N137" i="4"/>
  <c r="M137" i="4"/>
  <c r="L137" i="4"/>
  <c r="K137" i="4"/>
  <c r="J137" i="4"/>
  <c r="I137" i="4"/>
  <c r="H137" i="4"/>
  <c r="G137" i="4"/>
  <c r="F137" i="4"/>
  <c r="E137" i="4"/>
  <c r="D137" i="4"/>
  <c r="C137" i="4"/>
  <c r="B137" i="4"/>
  <c r="A137" i="4"/>
  <c r="N136" i="4"/>
  <c r="M136" i="4"/>
  <c r="L136" i="4"/>
  <c r="K136" i="4"/>
  <c r="J136" i="4"/>
  <c r="I136" i="4"/>
  <c r="H136" i="4"/>
  <c r="G136" i="4"/>
  <c r="F136" i="4"/>
  <c r="E136" i="4"/>
  <c r="D136" i="4"/>
  <c r="C136" i="4"/>
  <c r="B136" i="4"/>
  <c r="A136" i="4"/>
  <c r="N135" i="4"/>
  <c r="M135" i="4"/>
  <c r="L135" i="4"/>
  <c r="K135" i="4"/>
  <c r="J135" i="4"/>
  <c r="I135" i="4"/>
  <c r="H135" i="4"/>
  <c r="G135" i="4"/>
  <c r="F135" i="4"/>
  <c r="E135" i="4"/>
  <c r="D135" i="4"/>
  <c r="C135" i="4"/>
  <c r="B135" i="4"/>
  <c r="A135" i="4"/>
  <c r="N134" i="4"/>
  <c r="M134" i="4"/>
  <c r="L134" i="4"/>
  <c r="K134" i="4"/>
  <c r="J134" i="4"/>
  <c r="I134" i="4"/>
  <c r="H134" i="4"/>
  <c r="G134" i="4"/>
  <c r="F134" i="4"/>
  <c r="E134" i="4"/>
  <c r="D134" i="4"/>
  <c r="C134" i="4"/>
  <c r="B134" i="4"/>
  <c r="A134" i="4"/>
  <c r="N133" i="4"/>
  <c r="M133" i="4"/>
  <c r="L133" i="4"/>
  <c r="K133" i="4"/>
  <c r="J133" i="4"/>
  <c r="I133" i="4"/>
  <c r="H133" i="4"/>
  <c r="G133" i="4"/>
  <c r="F133" i="4"/>
  <c r="E133" i="4"/>
  <c r="D133" i="4"/>
  <c r="C133" i="4"/>
  <c r="B133" i="4"/>
  <c r="A133" i="4"/>
  <c r="N132" i="4"/>
  <c r="M132" i="4"/>
  <c r="L132" i="4"/>
  <c r="K132" i="4"/>
  <c r="J132" i="4"/>
  <c r="I132" i="4"/>
  <c r="H132" i="4"/>
  <c r="G132" i="4"/>
  <c r="F132" i="4"/>
  <c r="E132" i="4"/>
  <c r="D132" i="4"/>
  <c r="C132" i="4"/>
  <c r="B132" i="4"/>
  <c r="A132" i="4"/>
  <c r="N131" i="4"/>
  <c r="M131" i="4"/>
  <c r="L131" i="4"/>
  <c r="K131" i="4"/>
  <c r="J131" i="4"/>
  <c r="I131" i="4"/>
  <c r="H131" i="4"/>
  <c r="G131" i="4"/>
  <c r="F131" i="4"/>
  <c r="E131" i="4"/>
  <c r="D131" i="4"/>
  <c r="C131" i="4"/>
  <c r="B131" i="4"/>
  <c r="A131" i="4"/>
  <c r="N130" i="4"/>
  <c r="M130" i="4"/>
  <c r="L130" i="4"/>
  <c r="K130" i="4"/>
  <c r="J130" i="4"/>
  <c r="I130" i="4"/>
  <c r="H130" i="4"/>
  <c r="G130" i="4"/>
  <c r="F130" i="4"/>
  <c r="E130" i="4"/>
  <c r="D130" i="4"/>
  <c r="C130" i="4"/>
  <c r="B130" i="4"/>
  <c r="A130" i="4"/>
  <c r="N129" i="4"/>
  <c r="M129" i="4"/>
  <c r="L129" i="4"/>
  <c r="K129" i="4"/>
  <c r="J129" i="4"/>
  <c r="I129" i="4"/>
  <c r="H129" i="4"/>
  <c r="G129" i="4"/>
  <c r="F129" i="4"/>
  <c r="E129" i="4"/>
  <c r="D129" i="4"/>
  <c r="C129" i="4"/>
  <c r="B129" i="4"/>
  <c r="A129" i="4"/>
  <c r="N128" i="4"/>
  <c r="M128" i="4"/>
  <c r="L128" i="4"/>
  <c r="K128" i="4"/>
  <c r="J128" i="4"/>
  <c r="I128" i="4"/>
  <c r="H128" i="4"/>
  <c r="G128" i="4"/>
  <c r="F128" i="4"/>
  <c r="E128" i="4"/>
  <c r="D128" i="4"/>
  <c r="C128" i="4"/>
  <c r="B128" i="4"/>
  <c r="A128" i="4"/>
  <c r="N127" i="4"/>
  <c r="M127" i="4"/>
  <c r="L127" i="4"/>
  <c r="K127" i="4"/>
  <c r="J127" i="4"/>
  <c r="I127" i="4"/>
  <c r="H127" i="4"/>
  <c r="G127" i="4"/>
  <c r="F127" i="4"/>
  <c r="E127" i="4"/>
  <c r="D127" i="4"/>
  <c r="C127" i="4"/>
  <c r="B127" i="4"/>
  <c r="A127" i="4"/>
  <c r="N126" i="4"/>
  <c r="M126" i="4"/>
  <c r="L126" i="4"/>
  <c r="K126" i="4"/>
  <c r="J126" i="4"/>
  <c r="I126" i="4"/>
  <c r="H126" i="4"/>
  <c r="G126" i="4"/>
  <c r="F126" i="4"/>
  <c r="E126" i="4"/>
  <c r="D126" i="4"/>
  <c r="C126" i="4"/>
  <c r="B126" i="4"/>
  <c r="A126" i="4"/>
  <c r="Y125" i="4"/>
  <c r="X125" i="4"/>
  <c r="N125" i="4"/>
  <c r="M125" i="4"/>
  <c r="L125" i="4"/>
  <c r="K125" i="4"/>
  <c r="J125" i="4"/>
  <c r="I125" i="4"/>
  <c r="H125" i="4"/>
  <c r="G125" i="4"/>
  <c r="F125" i="4"/>
  <c r="E125" i="4"/>
  <c r="D125" i="4"/>
  <c r="C125" i="4"/>
  <c r="B125" i="4"/>
  <c r="A125" i="4"/>
  <c r="Y124" i="4"/>
  <c r="X124" i="4"/>
  <c r="N124" i="4"/>
  <c r="M124" i="4"/>
  <c r="L124" i="4"/>
  <c r="K124" i="4"/>
  <c r="J124" i="4"/>
  <c r="I124" i="4"/>
  <c r="H124" i="4"/>
  <c r="G124" i="4"/>
  <c r="F124" i="4"/>
  <c r="E124" i="4"/>
  <c r="D124" i="4"/>
  <c r="C124" i="4"/>
  <c r="B124" i="4"/>
  <c r="A124" i="4"/>
  <c r="Y123" i="4"/>
  <c r="X123" i="4"/>
  <c r="N123" i="4"/>
  <c r="M123" i="4"/>
  <c r="L123" i="4"/>
  <c r="K123" i="4"/>
  <c r="J123" i="4"/>
  <c r="I123" i="4"/>
  <c r="H123" i="4"/>
  <c r="G123" i="4"/>
  <c r="F123" i="4"/>
  <c r="E123" i="4"/>
  <c r="D123" i="4"/>
  <c r="C123" i="4"/>
  <c r="B123" i="4"/>
  <c r="A123" i="4"/>
  <c r="Y122" i="4"/>
  <c r="X122" i="4"/>
  <c r="N122" i="4"/>
  <c r="M122" i="4"/>
  <c r="L122" i="4"/>
  <c r="K122" i="4"/>
  <c r="J122" i="4"/>
  <c r="I122" i="4"/>
  <c r="H122" i="4"/>
  <c r="G122" i="4"/>
  <c r="F122" i="4"/>
  <c r="E122" i="4"/>
  <c r="D122" i="4"/>
  <c r="C122" i="4"/>
  <c r="B122" i="4"/>
  <c r="A122" i="4"/>
  <c r="N121" i="4"/>
  <c r="M121" i="4"/>
  <c r="L121" i="4"/>
  <c r="K121" i="4"/>
  <c r="J121" i="4"/>
  <c r="I121" i="4"/>
  <c r="H121" i="4"/>
  <c r="G121" i="4"/>
  <c r="F121" i="4"/>
  <c r="E121" i="4"/>
  <c r="D121" i="4"/>
  <c r="C121" i="4"/>
  <c r="B121" i="4"/>
  <c r="A121" i="4"/>
  <c r="AB120" i="4"/>
  <c r="AA120" i="4"/>
  <c r="Z120" i="4"/>
  <c r="Y120" i="4"/>
  <c r="X120" i="4"/>
  <c r="N120" i="4"/>
  <c r="M120" i="4"/>
  <c r="L120" i="4"/>
  <c r="K120" i="4"/>
  <c r="J120" i="4"/>
  <c r="I120" i="4"/>
  <c r="H120" i="4"/>
  <c r="G120" i="4"/>
  <c r="F120" i="4"/>
  <c r="E120" i="4"/>
  <c r="D120" i="4"/>
  <c r="C120" i="4"/>
  <c r="B120" i="4"/>
  <c r="A120" i="4"/>
  <c r="AB119" i="4"/>
  <c r="AA119" i="4"/>
  <c r="Z119" i="4"/>
  <c r="Y119" i="4"/>
  <c r="X119" i="4"/>
  <c r="N119" i="4"/>
  <c r="M119" i="4"/>
  <c r="L119" i="4"/>
  <c r="K119" i="4"/>
  <c r="J119" i="4"/>
  <c r="I119" i="4"/>
  <c r="H119" i="4"/>
  <c r="G119" i="4"/>
  <c r="F119" i="4"/>
  <c r="E119" i="4"/>
  <c r="D119" i="4"/>
  <c r="C119" i="4"/>
  <c r="B119" i="4"/>
  <c r="A119" i="4"/>
  <c r="AB118" i="4"/>
  <c r="N118" i="4"/>
  <c r="M118" i="4"/>
  <c r="L118" i="4"/>
  <c r="K118" i="4"/>
  <c r="J118" i="4"/>
  <c r="I118" i="4"/>
  <c r="H118" i="4"/>
  <c r="G118" i="4"/>
  <c r="F118" i="4"/>
  <c r="E118" i="4"/>
  <c r="D118" i="4"/>
  <c r="C118" i="4"/>
  <c r="B118" i="4"/>
  <c r="A118" i="4"/>
  <c r="AB117" i="4"/>
  <c r="N117" i="4"/>
  <c r="M117" i="4"/>
  <c r="L117" i="4"/>
  <c r="K117" i="4"/>
  <c r="J117" i="4"/>
  <c r="I117" i="4"/>
  <c r="H117" i="4"/>
  <c r="G117" i="4"/>
  <c r="F117" i="4"/>
  <c r="E117" i="4"/>
  <c r="D117" i="4"/>
  <c r="C117" i="4"/>
  <c r="B117" i="4"/>
  <c r="A117" i="4"/>
  <c r="AB116" i="4"/>
  <c r="N116" i="4"/>
  <c r="M116" i="4"/>
  <c r="L116" i="4"/>
  <c r="K116" i="4"/>
  <c r="J116" i="4"/>
  <c r="I116" i="4"/>
  <c r="H116" i="4"/>
  <c r="G116" i="4"/>
  <c r="F116" i="4"/>
  <c r="E116" i="4"/>
  <c r="D116" i="4"/>
  <c r="C116" i="4"/>
  <c r="B116" i="4"/>
  <c r="A116" i="4"/>
  <c r="AB115" i="4"/>
  <c r="N115" i="4"/>
  <c r="M115" i="4"/>
  <c r="L115" i="4"/>
  <c r="K115" i="4"/>
  <c r="J115" i="4"/>
  <c r="I115" i="4"/>
  <c r="H115" i="4"/>
  <c r="G115" i="4"/>
  <c r="F115" i="4"/>
  <c r="E115" i="4"/>
  <c r="D115" i="4"/>
  <c r="C115" i="4"/>
  <c r="B115" i="4"/>
  <c r="A115" i="4"/>
  <c r="N114" i="4"/>
  <c r="M114" i="4"/>
  <c r="L114" i="4"/>
  <c r="K114" i="4"/>
  <c r="J114" i="4"/>
  <c r="I114" i="4"/>
  <c r="H114" i="4"/>
  <c r="G114" i="4"/>
  <c r="F114" i="4"/>
  <c r="E114" i="4"/>
  <c r="D114" i="4"/>
  <c r="C114" i="4"/>
  <c r="B114" i="4"/>
  <c r="A114" i="4"/>
  <c r="AB113" i="4"/>
  <c r="N113" i="4"/>
  <c r="M113" i="4"/>
  <c r="L113" i="4"/>
  <c r="K113" i="4"/>
  <c r="J113" i="4"/>
  <c r="I113" i="4"/>
  <c r="H113" i="4"/>
  <c r="G113" i="4"/>
  <c r="F113" i="4"/>
  <c r="E113" i="4"/>
  <c r="D113" i="4"/>
  <c r="C113" i="4"/>
  <c r="B113" i="4"/>
  <c r="A113" i="4"/>
  <c r="AB112" i="4"/>
  <c r="N112" i="4"/>
  <c r="M112" i="4"/>
  <c r="L112" i="4"/>
  <c r="K112" i="4"/>
  <c r="J112" i="4"/>
  <c r="I112" i="4"/>
  <c r="H112" i="4"/>
  <c r="G112" i="4"/>
  <c r="F112" i="4"/>
  <c r="E112" i="4"/>
  <c r="D112" i="4"/>
  <c r="C112" i="4"/>
  <c r="B112" i="4"/>
  <c r="A112" i="4"/>
  <c r="N111" i="4"/>
  <c r="M111" i="4"/>
  <c r="L111" i="4"/>
  <c r="K111" i="4"/>
  <c r="J111" i="4"/>
  <c r="I111" i="4"/>
  <c r="H111" i="4"/>
  <c r="G111" i="4"/>
  <c r="F111" i="4"/>
  <c r="E111" i="4"/>
  <c r="D111" i="4"/>
  <c r="C111" i="4"/>
  <c r="B111" i="4"/>
  <c r="A111" i="4"/>
  <c r="AB110" i="4"/>
  <c r="N110" i="4"/>
  <c r="M110" i="4"/>
  <c r="L110" i="4"/>
  <c r="K110" i="4"/>
  <c r="J110" i="4"/>
  <c r="I110" i="4"/>
  <c r="H110" i="4"/>
  <c r="G110" i="4"/>
  <c r="F110" i="4"/>
  <c r="E110" i="4"/>
  <c r="D110" i="4"/>
  <c r="C110" i="4"/>
  <c r="B110" i="4"/>
  <c r="A110" i="4"/>
  <c r="AB109" i="4"/>
  <c r="N109" i="4"/>
  <c r="M109" i="4"/>
  <c r="L109" i="4"/>
  <c r="K109" i="4"/>
  <c r="J109" i="4"/>
  <c r="I109" i="4"/>
  <c r="H109" i="4"/>
  <c r="G109" i="4"/>
  <c r="F109" i="4"/>
  <c r="E109" i="4"/>
  <c r="D109" i="4"/>
  <c r="C109" i="4"/>
  <c r="B109" i="4"/>
  <c r="A109" i="4"/>
  <c r="AB108" i="4"/>
  <c r="N108" i="4"/>
  <c r="M108" i="4"/>
  <c r="L108" i="4"/>
  <c r="K108" i="4"/>
  <c r="J108" i="4"/>
  <c r="I108" i="4"/>
  <c r="H108" i="4"/>
  <c r="G108" i="4"/>
  <c r="F108" i="4"/>
  <c r="E108" i="4"/>
  <c r="D108" i="4"/>
  <c r="C108" i="4"/>
  <c r="B108" i="4"/>
  <c r="A108" i="4"/>
  <c r="N107" i="4"/>
  <c r="M107" i="4"/>
  <c r="L107" i="4"/>
  <c r="K107" i="4"/>
  <c r="J107" i="4"/>
  <c r="I107" i="4"/>
  <c r="H107" i="4"/>
  <c r="G107" i="4"/>
  <c r="F107" i="4"/>
  <c r="E107" i="4"/>
  <c r="D107" i="4"/>
  <c r="C107" i="4"/>
  <c r="B107" i="4"/>
  <c r="A107" i="4"/>
  <c r="N106" i="4"/>
  <c r="M106" i="4"/>
  <c r="L106" i="4"/>
  <c r="K106" i="4"/>
  <c r="J106" i="4"/>
  <c r="I106" i="4"/>
  <c r="H106" i="4"/>
  <c r="G106" i="4"/>
  <c r="F106" i="4"/>
  <c r="E106" i="4"/>
  <c r="D106" i="4"/>
  <c r="C106" i="4"/>
  <c r="B106" i="4"/>
  <c r="A106" i="4"/>
  <c r="N105" i="4"/>
  <c r="M105" i="4"/>
  <c r="L105" i="4"/>
  <c r="K105" i="4"/>
  <c r="J105" i="4"/>
  <c r="I105" i="4"/>
  <c r="H105" i="4"/>
  <c r="G105" i="4"/>
  <c r="F105" i="4"/>
  <c r="E105" i="4"/>
  <c r="D105" i="4"/>
  <c r="C105" i="4"/>
  <c r="B105" i="4"/>
  <c r="A105" i="4"/>
  <c r="Z104" i="4"/>
  <c r="Y104" i="4"/>
  <c r="X104" i="4"/>
  <c r="W104" i="4"/>
  <c r="V104" i="4"/>
  <c r="U104" i="4"/>
  <c r="T104" i="4"/>
  <c r="S104" i="4"/>
  <c r="R104" i="4"/>
  <c r="Q104" i="4"/>
  <c r="P104" i="4"/>
  <c r="O104" i="4"/>
  <c r="N104" i="4"/>
  <c r="M104" i="4"/>
  <c r="L104" i="4"/>
  <c r="K104" i="4"/>
  <c r="J104" i="4"/>
  <c r="I104" i="4"/>
  <c r="H104" i="4"/>
  <c r="G104" i="4"/>
  <c r="F104" i="4"/>
  <c r="E104" i="4"/>
  <c r="D104" i="4"/>
  <c r="C104" i="4"/>
  <c r="B104" i="4"/>
  <c r="A104" i="4"/>
  <c r="Z103" i="4"/>
  <c r="Y103" i="4"/>
  <c r="X103" i="4"/>
  <c r="W103" i="4"/>
  <c r="V103" i="4"/>
  <c r="U103" i="4"/>
  <c r="T103" i="4"/>
  <c r="S103" i="4"/>
  <c r="R103" i="4"/>
  <c r="Q103" i="4"/>
  <c r="P103" i="4"/>
  <c r="O103" i="4"/>
  <c r="N103" i="4"/>
  <c r="M103" i="4"/>
  <c r="L103" i="4"/>
  <c r="K103" i="4"/>
  <c r="J103" i="4"/>
  <c r="I103" i="4"/>
  <c r="H103" i="4"/>
  <c r="G103" i="4"/>
  <c r="F103" i="4"/>
  <c r="E103" i="4"/>
  <c r="D103" i="4"/>
  <c r="C103" i="4"/>
  <c r="B103" i="4"/>
  <c r="A103" i="4"/>
  <c r="Y102" i="4"/>
  <c r="X102" i="4"/>
  <c r="N102" i="4"/>
  <c r="M102" i="4"/>
  <c r="L102" i="4"/>
  <c r="K102" i="4"/>
  <c r="J102" i="4"/>
  <c r="I102" i="4"/>
  <c r="H102" i="4"/>
  <c r="G102" i="4"/>
  <c r="F102" i="4"/>
  <c r="E102" i="4"/>
  <c r="D102" i="4"/>
  <c r="C102" i="4"/>
  <c r="B102" i="4"/>
  <c r="A102" i="4"/>
  <c r="Y101" i="4"/>
  <c r="X101" i="4"/>
  <c r="N101" i="4"/>
  <c r="M101" i="4"/>
  <c r="L101" i="4"/>
  <c r="K101" i="4"/>
  <c r="J101" i="4"/>
  <c r="I101" i="4"/>
  <c r="H101" i="4"/>
  <c r="G101" i="4"/>
  <c r="F101" i="4"/>
  <c r="E101" i="4"/>
  <c r="D101" i="4"/>
  <c r="C101" i="4"/>
  <c r="B101" i="4"/>
  <c r="A101" i="4"/>
  <c r="Z100" i="4"/>
  <c r="Y100" i="4"/>
  <c r="X100" i="4"/>
  <c r="W100" i="4"/>
  <c r="V100" i="4"/>
  <c r="U100" i="4"/>
  <c r="T100" i="4"/>
  <c r="S100" i="4"/>
  <c r="R100" i="4"/>
  <c r="Q100" i="4"/>
  <c r="P100" i="4"/>
  <c r="O100" i="4"/>
  <c r="N100" i="4"/>
  <c r="M100" i="4"/>
  <c r="L100" i="4"/>
  <c r="K100" i="4"/>
  <c r="J100" i="4"/>
  <c r="I100" i="4"/>
  <c r="H100" i="4"/>
  <c r="G100" i="4"/>
  <c r="F100" i="4"/>
  <c r="E100" i="4"/>
  <c r="D100" i="4"/>
  <c r="C100" i="4"/>
  <c r="B100" i="4"/>
  <c r="A100" i="4"/>
  <c r="Y99" i="4"/>
  <c r="X99" i="4"/>
  <c r="N99" i="4"/>
  <c r="M99" i="4"/>
  <c r="L99" i="4"/>
  <c r="K99" i="4"/>
  <c r="J99" i="4"/>
  <c r="I99" i="4"/>
  <c r="H99" i="4"/>
  <c r="G99" i="4"/>
  <c r="F99" i="4"/>
  <c r="E99" i="4"/>
  <c r="D99" i="4"/>
  <c r="C99" i="4"/>
  <c r="B99" i="4"/>
  <c r="A99" i="4"/>
  <c r="Z98" i="4"/>
  <c r="Y98" i="4"/>
  <c r="X98" i="4"/>
  <c r="W98" i="4"/>
  <c r="V98" i="4"/>
  <c r="U98" i="4"/>
  <c r="T98" i="4"/>
  <c r="S98" i="4"/>
  <c r="R98" i="4"/>
  <c r="Q98" i="4"/>
  <c r="P98" i="4"/>
  <c r="O98" i="4"/>
  <c r="N98" i="4"/>
  <c r="M98" i="4"/>
  <c r="L98" i="4"/>
  <c r="K98" i="4"/>
  <c r="J98" i="4"/>
  <c r="I98" i="4"/>
  <c r="H98" i="4"/>
  <c r="G98" i="4"/>
  <c r="F98" i="4"/>
  <c r="E98" i="4"/>
  <c r="D98" i="4"/>
  <c r="C98" i="4"/>
  <c r="B98" i="4"/>
  <c r="A98" i="4"/>
  <c r="Y97" i="4"/>
  <c r="X97" i="4"/>
  <c r="N97" i="4"/>
  <c r="M97" i="4"/>
  <c r="L97" i="4"/>
  <c r="K97" i="4"/>
  <c r="J97" i="4"/>
  <c r="I97" i="4"/>
  <c r="H97" i="4"/>
  <c r="G97" i="4"/>
  <c r="F97" i="4"/>
  <c r="E97" i="4"/>
  <c r="D97" i="4"/>
  <c r="C97" i="4"/>
  <c r="B97" i="4"/>
  <c r="A97" i="4"/>
  <c r="N96" i="4"/>
  <c r="M96" i="4"/>
  <c r="L96" i="4"/>
  <c r="K96" i="4"/>
  <c r="J96" i="4"/>
  <c r="I96" i="4"/>
  <c r="H96" i="4"/>
  <c r="G96" i="4"/>
  <c r="F96" i="4"/>
  <c r="E96" i="4"/>
  <c r="D96" i="4"/>
  <c r="C96" i="4"/>
  <c r="B96" i="4"/>
  <c r="A96" i="4"/>
  <c r="Y95" i="4"/>
  <c r="X95" i="4"/>
  <c r="N95" i="4"/>
  <c r="M95" i="4"/>
  <c r="L95" i="4"/>
  <c r="K95" i="4"/>
  <c r="J95" i="4"/>
  <c r="I95" i="4"/>
  <c r="H95" i="4"/>
  <c r="G95" i="4"/>
  <c r="F95" i="4"/>
  <c r="E95" i="4"/>
  <c r="D95" i="4"/>
  <c r="C95" i="4"/>
  <c r="B95" i="4"/>
  <c r="A95" i="4"/>
  <c r="N94" i="4"/>
  <c r="M94" i="4"/>
  <c r="L94" i="4"/>
  <c r="K94" i="4"/>
  <c r="J94" i="4"/>
  <c r="I94" i="4"/>
  <c r="H94" i="4"/>
  <c r="G94" i="4"/>
  <c r="F94" i="4"/>
  <c r="E94" i="4"/>
  <c r="D94" i="4"/>
  <c r="C94" i="4"/>
  <c r="B94" i="4"/>
  <c r="A94" i="4"/>
  <c r="Y93" i="4"/>
  <c r="X93" i="4"/>
  <c r="N93" i="4"/>
  <c r="M93" i="4"/>
  <c r="L93" i="4"/>
  <c r="K93" i="4"/>
  <c r="J93" i="4"/>
  <c r="I93" i="4"/>
  <c r="H93" i="4"/>
  <c r="G93" i="4"/>
  <c r="F93" i="4"/>
  <c r="E93" i="4"/>
  <c r="D93" i="4"/>
  <c r="C93" i="4"/>
  <c r="B93" i="4"/>
  <c r="A93" i="4"/>
  <c r="Z92" i="4"/>
  <c r="Y92" i="4"/>
  <c r="X92" i="4"/>
  <c r="W92" i="4"/>
  <c r="V92" i="4"/>
  <c r="U92" i="4"/>
  <c r="T92" i="4"/>
  <c r="S92" i="4"/>
  <c r="R92" i="4"/>
  <c r="Q92" i="4"/>
  <c r="P92" i="4"/>
  <c r="O92" i="4"/>
  <c r="N92" i="4"/>
  <c r="M92" i="4"/>
  <c r="L92" i="4"/>
  <c r="K92" i="4"/>
  <c r="J92" i="4"/>
  <c r="I92" i="4"/>
  <c r="H92" i="4"/>
  <c r="G92" i="4"/>
  <c r="F92" i="4"/>
  <c r="E92" i="4"/>
  <c r="D92" i="4"/>
  <c r="C92" i="4"/>
  <c r="B92" i="4"/>
  <c r="A92" i="4"/>
  <c r="AB91" i="4"/>
  <c r="Y91" i="4"/>
  <c r="X91" i="4"/>
  <c r="N91" i="4"/>
  <c r="M91" i="4"/>
  <c r="L91" i="4"/>
  <c r="K91" i="4"/>
  <c r="J91" i="4"/>
  <c r="I91" i="4"/>
  <c r="H91" i="4"/>
  <c r="G91" i="4"/>
  <c r="F91" i="4"/>
  <c r="E91" i="4"/>
  <c r="D91" i="4"/>
  <c r="C91" i="4"/>
  <c r="B91" i="4"/>
  <c r="A91" i="4"/>
  <c r="Z90" i="4"/>
  <c r="Y90" i="4"/>
  <c r="X90" i="4"/>
  <c r="W90" i="4"/>
  <c r="V90" i="4"/>
  <c r="U90" i="4"/>
  <c r="S90" i="4"/>
  <c r="R90" i="4"/>
  <c r="Q90" i="4"/>
  <c r="P90" i="4"/>
  <c r="N90" i="4"/>
  <c r="M90" i="4"/>
  <c r="L90" i="4"/>
  <c r="K90" i="4"/>
  <c r="J90" i="4"/>
  <c r="I90" i="4"/>
  <c r="H90" i="4"/>
  <c r="G90" i="4"/>
  <c r="F90" i="4"/>
  <c r="E90" i="4"/>
  <c r="D90" i="4"/>
  <c r="C90" i="4"/>
  <c r="B90" i="4"/>
  <c r="A90" i="4"/>
  <c r="Z89" i="4"/>
  <c r="Y89" i="4"/>
  <c r="X89" i="4"/>
  <c r="W89" i="4"/>
  <c r="V89" i="4"/>
  <c r="U89" i="4"/>
  <c r="S89" i="4"/>
  <c r="R89" i="4"/>
  <c r="Q89" i="4"/>
  <c r="P89" i="4"/>
  <c r="N89" i="4"/>
  <c r="M89" i="4"/>
  <c r="L89" i="4"/>
  <c r="K89" i="4"/>
  <c r="J89" i="4"/>
  <c r="I89" i="4"/>
  <c r="H89" i="4"/>
  <c r="G89" i="4"/>
  <c r="F89" i="4"/>
  <c r="E89" i="4"/>
  <c r="D89" i="4"/>
  <c r="C89" i="4"/>
  <c r="B89" i="4"/>
  <c r="A89" i="4"/>
  <c r="Z88" i="4"/>
  <c r="Y88" i="4"/>
  <c r="X88" i="4"/>
  <c r="W88" i="4"/>
  <c r="V88" i="4"/>
  <c r="U88" i="4"/>
  <c r="R88" i="4"/>
  <c r="Q88" i="4"/>
  <c r="P88" i="4"/>
  <c r="N88" i="4"/>
  <c r="M88" i="4"/>
  <c r="L88" i="4"/>
  <c r="K88" i="4"/>
  <c r="J88" i="4"/>
  <c r="I88" i="4"/>
  <c r="H88" i="4"/>
  <c r="G88" i="4"/>
  <c r="F88" i="4"/>
  <c r="E88" i="4"/>
  <c r="D88" i="4"/>
  <c r="C88" i="4"/>
  <c r="B88" i="4"/>
  <c r="A88" i="4"/>
  <c r="Y87" i="4"/>
  <c r="X87" i="4"/>
  <c r="N87" i="4"/>
  <c r="M87" i="4"/>
  <c r="L87" i="4"/>
  <c r="K87" i="4"/>
  <c r="J87" i="4"/>
  <c r="I87" i="4"/>
  <c r="H87" i="4"/>
  <c r="G87" i="4"/>
  <c r="F87" i="4"/>
  <c r="E87" i="4"/>
  <c r="D87" i="4"/>
  <c r="C87" i="4"/>
  <c r="B87" i="4"/>
  <c r="A87" i="4"/>
  <c r="Y86" i="4"/>
  <c r="X86" i="4"/>
  <c r="N86" i="4"/>
  <c r="M86" i="4"/>
  <c r="L86" i="4"/>
  <c r="K86" i="4"/>
  <c r="J86" i="4"/>
  <c r="I86" i="4"/>
  <c r="H86" i="4"/>
  <c r="G86" i="4"/>
  <c r="F86" i="4"/>
  <c r="E86" i="4"/>
  <c r="D86" i="4"/>
  <c r="C86" i="4"/>
  <c r="B86" i="4"/>
  <c r="A86" i="4"/>
  <c r="Y85" i="4"/>
  <c r="X85" i="4"/>
  <c r="N85" i="4"/>
  <c r="M85" i="4"/>
  <c r="L85" i="4"/>
  <c r="K85" i="4"/>
  <c r="J85" i="4"/>
  <c r="I85" i="4"/>
  <c r="H85" i="4"/>
  <c r="G85" i="4"/>
  <c r="F85" i="4"/>
  <c r="E85" i="4"/>
  <c r="D85" i="4"/>
  <c r="C85" i="4"/>
  <c r="B85" i="4"/>
  <c r="A85" i="4"/>
  <c r="Y84" i="4"/>
  <c r="X84" i="4"/>
  <c r="N84" i="4"/>
  <c r="M84" i="4"/>
  <c r="L84" i="4"/>
  <c r="K84" i="4"/>
  <c r="J84" i="4"/>
  <c r="I84" i="4"/>
  <c r="H84" i="4"/>
  <c r="G84" i="4"/>
  <c r="F84" i="4"/>
  <c r="E84" i="4"/>
  <c r="D84" i="4"/>
  <c r="C84" i="4"/>
  <c r="B84" i="4"/>
  <c r="A84" i="4"/>
  <c r="Z83" i="4"/>
  <c r="Y83" i="4"/>
  <c r="X83" i="4"/>
  <c r="W83" i="4"/>
  <c r="V83" i="4"/>
  <c r="U83" i="4"/>
  <c r="T83" i="4"/>
  <c r="S83" i="4"/>
  <c r="R83" i="4"/>
  <c r="Q83" i="4"/>
  <c r="P83" i="4"/>
  <c r="N83" i="4"/>
  <c r="M83" i="4"/>
  <c r="L83" i="4"/>
  <c r="K83" i="4"/>
  <c r="J83" i="4"/>
  <c r="I83" i="4"/>
  <c r="H83" i="4"/>
  <c r="G83" i="4"/>
  <c r="F83" i="4"/>
  <c r="E83" i="4"/>
  <c r="D83" i="4"/>
  <c r="C83" i="4"/>
  <c r="B83" i="4"/>
  <c r="A83" i="4"/>
  <c r="AB82" i="4"/>
  <c r="AA82" i="4"/>
  <c r="Z82" i="4"/>
  <c r="Y82" i="4"/>
  <c r="X82" i="4"/>
  <c r="W82" i="4"/>
  <c r="V82" i="4"/>
  <c r="U82" i="4"/>
  <c r="T82" i="4"/>
  <c r="S82" i="4"/>
  <c r="R82" i="4"/>
  <c r="Q82" i="4"/>
  <c r="P82" i="4"/>
  <c r="N82" i="4"/>
  <c r="M82" i="4"/>
  <c r="L82" i="4"/>
  <c r="K82" i="4"/>
  <c r="J82" i="4"/>
  <c r="I82" i="4"/>
  <c r="H82" i="4"/>
  <c r="G82" i="4"/>
  <c r="F82" i="4"/>
  <c r="E82" i="4"/>
  <c r="D82" i="4"/>
  <c r="C82" i="4"/>
  <c r="B82" i="4"/>
  <c r="A82" i="4"/>
  <c r="Z81" i="4"/>
  <c r="Y81" i="4"/>
  <c r="X81" i="4"/>
  <c r="W81" i="4"/>
  <c r="V81" i="4"/>
  <c r="U81" i="4"/>
  <c r="T81" i="4"/>
  <c r="R81" i="4"/>
  <c r="Q81" i="4"/>
  <c r="P81" i="4"/>
  <c r="O81" i="4"/>
  <c r="N81" i="4"/>
  <c r="M81" i="4"/>
  <c r="L81" i="4"/>
  <c r="K81" i="4"/>
  <c r="J81" i="4"/>
  <c r="I81" i="4"/>
  <c r="H81" i="4"/>
  <c r="G81" i="4"/>
  <c r="F81" i="4"/>
  <c r="E81" i="4"/>
  <c r="D81" i="4"/>
  <c r="C81" i="4"/>
  <c r="B81" i="4"/>
  <c r="A81" i="4"/>
  <c r="N80" i="4"/>
  <c r="M80" i="4"/>
  <c r="L80" i="4"/>
  <c r="K80" i="4"/>
  <c r="J80" i="4"/>
  <c r="I80" i="4"/>
  <c r="H80" i="4"/>
  <c r="G80" i="4"/>
  <c r="F80" i="4"/>
  <c r="E80" i="4"/>
  <c r="D80" i="4"/>
  <c r="C80" i="4"/>
  <c r="B80" i="4"/>
  <c r="A80" i="4"/>
  <c r="N79" i="4"/>
  <c r="M79" i="4"/>
  <c r="L79" i="4"/>
  <c r="K79" i="4"/>
  <c r="J79" i="4"/>
  <c r="I79" i="4"/>
  <c r="H79" i="4"/>
  <c r="G79" i="4"/>
  <c r="F79" i="4"/>
  <c r="E79" i="4"/>
  <c r="D79" i="4"/>
  <c r="C79" i="4"/>
  <c r="B79" i="4"/>
  <c r="A79" i="4"/>
  <c r="Y78" i="4"/>
  <c r="X78" i="4"/>
  <c r="N78" i="4"/>
  <c r="M78" i="4"/>
  <c r="L78" i="4"/>
  <c r="K78" i="4"/>
  <c r="J78" i="4"/>
  <c r="I78" i="4"/>
  <c r="H78" i="4"/>
  <c r="G78" i="4"/>
  <c r="F78" i="4"/>
  <c r="E78" i="4"/>
  <c r="D78" i="4"/>
  <c r="C78" i="4"/>
  <c r="B78" i="4"/>
  <c r="A78" i="4"/>
  <c r="Z77" i="4"/>
  <c r="Y77" i="4"/>
  <c r="X77" i="4"/>
  <c r="W77" i="4"/>
  <c r="T77" i="4"/>
  <c r="S77" i="4"/>
  <c r="R77" i="4"/>
  <c r="P77" i="4"/>
  <c r="O77" i="4"/>
  <c r="N77" i="4"/>
  <c r="M77" i="4"/>
  <c r="L77" i="4"/>
  <c r="K77" i="4"/>
  <c r="J77" i="4"/>
  <c r="I77" i="4"/>
  <c r="H77" i="4"/>
  <c r="G77" i="4"/>
  <c r="F77" i="4"/>
  <c r="E77" i="4"/>
  <c r="D77" i="4"/>
  <c r="C77" i="4"/>
  <c r="B77" i="4"/>
  <c r="A77" i="4"/>
  <c r="Z76" i="4"/>
  <c r="Y76" i="4"/>
  <c r="X76" i="4"/>
  <c r="W76" i="4"/>
  <c r="V76" i="4"/>
  <c r="U76" i="4"/>
  <c r="T76" i="4"/>
  <c r="R76" i="4"/>
  <c r="Q76" i="4"/>
  <c r="P76" i="4"/>
  <c r="O76" i="4"/>
  <c r="N76" i="4"/>
  <c r="M76" i="4"/>
  <c r="L76" i="4"/>
  <c r="K76" i="4"/>
  <c r="J76" i="4"/>
  <c r="I76" i="4"/>
  <c r="H76" i="4"/>
  <c r="G76" i="4"/>
  <c r="F76" i="4"/>
  <c r="E76" i="4"/>
  <c r="D76" i="4"/>
  <c r="C76" i="4"/>
  <c r="B76" i="4"/>
  <c r="A76" i="4"/>
  <c r="Z75" i="4"/>
  <c r="Y75" i="4"/>
  <c r="X75" i="4"/>
  <c r="W75" i="4"/>
  <c r="V75" i="4"/>
  <c r="U75" i="4"/>
  <c r="T75" i="4"/>
  <c r="R75" i="4"/>
  <c r="Q75" i="4"/>
  <c r="P75" i="4"/>
  <c r="O75" i="4"/>
  <c r="N75" i="4"/>
  <c r="M75" i="4"/>
  <c r="L75" i="4"/>
  <c r="K75" i="4"/>
  <c r="J75" i="4"/>
  <c r="I75" i="4"/>
  <c r="H75" i="4"/>
  <c r="G75" i="4"/>
  <c r="F75" i="4"/>
  <c r="E75" i="4"/>
  <c r="D75" i="4"/>
  <c r="C75" i="4"/>
  <c r="B75" i="4"/>
  <c r="A75" i="4"/>
  <c r="N74" i="4"/>
  <c r="M74" i="4"/>
  <c r="L74" i="4"/>
  <c r="K74" i="4"/>
  <c r="J74" i="4"/>
  <c r="I74" i="4"/>
  <c r="H74" i="4"/>
  <c r="G74" i="4"/>
  <c r="F74" i="4"/>
  <c r="E74" i="4"/>
  <c r="D74" i="4"/>
  <c r="C74" i="4"/>
  <c r="B74" i="4"/>
  <c r="A74" i="4"/>
  <c r="N73" i="4"/>
  <c r="M73" i="4"/>
  <c r="L73" i="4"/>
  <c r="K73" i="4"/>
  <c r="J73" i="4"/>
  <c r="I73" i="4"/>
  <c r="H73" i="4"/>
  <c r="G73" i="4"/>
  <c r="F73" i="4"/>
  <c r="E73" i="4"/>
  <c r="D73" i="4"/>
  <c r="C73" i="4"/>
  <c r="B73" i="4"/>
  <c r="A73" i="4"/>
  <c r="N72" i="4"/>
  <c r="M72" i="4"/>
  <c r="L72" i="4"/>
  <c r="K72" i="4"/>
  <c r="J72" i="4"/>
  <c r="I72" i="4"/>
  <c r="H72" i="4"/>
  <c r="G72" i="4"/>
  <c r="F72" i="4"/>
  <c r="E72" i="4"/>
  <c r="D72" i="4"/>
  <c r="C72" i="4"/>
  <c r="B72" i="4"/>
  <c r="A72" i="4"/>
  <c r="N71" i="4"/>
  <c r="M71" i="4"/>
  <c r="L71" i="4"/>
  <c r="K71" i="4"/>
  <c r="J71" i="4"/>
  <c r="I71" i="4"/>
  <c r="H71" i="4"/>
  <c r="G71" i="4"/>
  <c r="F71" i="4"/>
  <c r="E71" i="4"/>
  <c r="D71" i="4"/>
  <c r="C71" i="4"/>
  <c r="B71" i="4"/>
  <c r="A71" i="4"/>
  <c r="N70" i="4"/>
  <c r="M70" i="4"/>
  <c r="L70" i="4"/>
  <c r="K70" i="4"/>
  <c r="J70" i="4"/>
  <c r="I70" i="4"/>
  <c r="H70" i="4"/>
  <c r="G70" i="4"/>
  <c r="F70" i="4"/>
  <c r="E70" i="4"/>
  <c r="D70" i="4"/>
  <c r="C70" i="4"/>
  <c r="B70" i="4"/>
  <c r="A70" i="4"/>
  <c r="Z69" i="4"/>
  <c r="Y69" i="4"/>
  <c r="X69" i="4"/>
  <c r="W69" i="4"/>
  <c r="V69" i="4"/>
  <c r="T69" i="4"/>
  <c r="S69" i="4"/>
  <c r="R69" i="4"/>
  <c r="P69" i="4"/>
  <c r="O69" i="4"/>
  <c r="N69" i="4"/>
  <c r="M69" i="4"/>
  <c r="L69" i="4"/>
  <c r="K69" i="4"/>
  <c r="J69" i="4"/>
  <c r="I69" i="4"/>
  <c r="H69" i="4"/>
  <c r="G69" i="4"/>
  <c r="F69" i="4"/>
  <c r="E69" i="4"/>
  <c r="D69" i="4"/>
  <c r="C69" i="4"/>
  <c r="B69" i="4"/>
  <c r="A69" i="4"/>
  <c r="Z68" i="4"/>
  <c r="Y68" i="4"/>
  <c r="X68" i="4"/>
  <c r="W68" i="4"/>
  <c r="V68" i="4"/>
  <c r="T68" i="4"/>
  <c r="S68" i="4"/>
  <c r="R68" i="4"/>
  <c r="P68" i="4"/>
  <c r="O68" i="4"/>
  <c r="N68" i="4"/>
  <c r="M68" i="4"/>
  <c r="L68" i="4"/>
  <c r="K68" i="4"/>
  <c r="J68" i="4"/>
  <c r="I68" i="4"/>
  <c r="H68" i="4"/>
  <c r="G68" i="4"/>
  <c r="F68" i="4"/>
  <c r="E68" i="4"/>
  <c r="D68" i="4"/>
  <c r="C68" i="4"/>
  <c r="B68" i="4"/>
  <c r="A68" i="4"/>
  <c r="Z67" i="4"/>
  <c r="Y67" i="4"/>
  <c r="X67" i="4"/>
  <c r="W67" i="4"/>
  <c r="V67" i="4"/>
  <c r="T67" i="4"/>
  <c r="S67" i="4"/>
  <c r="R67" i="4"/>
  <c r="P67" i="4"/>
  <c r="O67" i="4"/>
  <c r="N67" i="4"/>
  <c r="M67" i="4"/>
  <c r="L67" i="4"/>
  <c r="K67" i="4"/>
  <c r="J67" i="4"/>
  <c r="I67" i="4"/>
  <c r="H67" i="4"/>
  <c r="G67" i="4"/>
  <c r="F67" i="4"/>
  <c r="E67" i="4"/>
  <c r="D67" i="4"/>
  <c r="C67" i="4"/>
  <c r="B67" i="4"/>
  <c r="A67" i="4"/>
  <c r="N66" i="4"/>
  <c r="M66" i="4"/>
  <c r="L66" i="4"/>
  <c r="K66" i="4"/>
  <c r="J66" i="4"/>
  <c r="I66" i="4"/>
  <c r="H66" i="4"/>
  <c r="G66" i="4"/>
  <c r="F66" i="4"/>
  <c r="E66" i="4"/>
  <c r="D66" i="4"/>
  <c r="C66" i="4"/>
  <c r="B66" i="4"/>
  <c r="A66" i="4"/>
  <c r="N65" i="4"/>
  <c r="M65" i="4"/>
  <c r="L65" i="4"/>
  <c r="K65" i="4"/>
  <c r="J65" i="4"/>
  <c r="I65" i="4"/>
  <c r="H65" i="4"/>
  <c r="G65" i="4"/>
  <c r="F65" i="4"/>
  <c r="E65" i="4"/>
  <c r="D65" i="4"/>
  <c r="C65" i="4"/>
  <c r="B65" i="4"/>
  <c r="A65" i="4"/>
  <c r="N64" i="4"/>
  <c r="M64" i="4"/>
  <c r="L64" i="4"/>
  <c r="K64" i="4"/>
  <c r="J64" i="4"/>
  <c r="I64" i="4"/>
  <c r="H64" i="4"/>
  <c r="G64" i="4"/>
  <c r="F64" i="4"/>
  <c r="E64" i="4"/>
  <c r="D64" i="4"/>
  <c r="C64" i="4"/>
  <c r="B64" i="4"/>
  <c r="A64" i="4"/>
  <c r="N63" i="4"/>
  <c r="M63" i="4"/>
  <c r="L63" i="4"/>
  <c r="K63" i="4"/>
  <c r="J63" i="4"/>
  <c r="I63" i="4"/>
  <c r="H63" i="4"/>
  <c r="G63" i="4"/>
  <c r="F63" i="4"/>
  <c r="E63" i="4"/>
  <c r="D63" i="4"/>
  <c r="C63" i="4"/>
  <c r="B63" i="4"/>
  <c r="A63" i="4"/>
  <c r="N62" i="4"/>
  <c r="M62" i="4"/>
  <c r="L62" i="4"/>
  <c r="K62" i="4"/>
  <c r="J62" i="4"/>
  <c r="I62" i="4"/>
  <c r="H62" i="4"/>
  <c r="G62" i="4"/>
  <c r="F62" i="4"/>
  <c r="E62" i="4"/>
  <c r="D62" i="4"/>
  <c r="C62" i="4"/>
  <c r="B62" i="4"/>
  <c r="A62" i="4"/>
  <c r="N61" i="4"/>
  <c r="M61" i="4"/>
  <c r="L61" i="4"/>
  <c r="K61" i="4"/>
  <c r="J61" i="4"/>
  <c r="I61" i="4"/>
  <c r="H61" i="4"/>
  <c r="G61" i="4"/>
  <c r="F61" i="4"/>
  <c r="E61" i="4"/>
  <c r="D61" i="4"/>
  <c r="C61" i="4"/>
  <c r="B61" i="4"/>
  <c r="A61" i="4"/>
  <c r="N60" i="4"/>
  <c r="M60" i="4"/>
  <c r="L60" i="4"/>
  <c r="K60" i="4"/>
  <c r="J60" i="4"/>
  <c r="I60" i="4"/>
  <c r="H60" i="4"/>
  <c r="G60" i="4"/>
  <c r="F60" i="4"/>
  <c r="E60" i="4"/>
  <c r="D60" i="4"/>
  <c r="C60" i="4"/>
  <c r="B60" i="4"/>
  <c r="A60" i="4"/>
  <c r="N59" i="4"/>
  <c r="M59" i="4"/>
  <c r="L59" i="4"/>
  <c r="K59" i="4"/>
  <c r="J59" i="4"/>
  <c r="I59" i="4"/>
  <c r="H59" i="4"/>
  <c r="G59" i="4"/>
  <c r="F59" i="4"/>
  <c r="E59" i="4"/>
  <c r="D59" i="4"/>
  <c r="C59" i="4"/>
  <c r="B59" i="4"/>
  <c r="A59" i="4"/>
  <c r="N58" i="4"/>
  <c r="M58" i="4"/>
  <c r="L58" i="4"/>
  <c r="K58" i="4"/>
  <c r="J58" i="4"/>
  <c r="I58" i="4"/>
  <c r="H58" i="4"/>
  <c r="G58" i="4"/>
  <c r="F58" i="4"/>
  <c r="E58" i="4"/>
  <c r="D58" i="4"/>
  <c r="C58" i="4"/>
  <c r="B58" i="4"/>
  <c r="A58" i="4"/>
  <c r="N57" i="4"/>
  <c r="M57" i="4"/>
  <c r="L57" i="4"/>
  <c r="K57" i="4"/>
  <c r="J57" i="4"/>
  <c r="I57" i="4"/>
  <c r="H57" i="4"/>
  <c r="G57" i="4"/>
  <c r="F57" i="4"/>
  <c r="E57" i="4"/>
  <c r="D57" i="4"/>
  <c r="C57" i="4"/>
  <c r="B57" i="4"/>
  <c r="A57" i="4"/>
  <c r="N56" i="4"/>
  <c r="M56" i="4"/>
  <c r="L56" i="4"/>
  <c r="K56" i="4"/>
  <c r="J56" i="4"/>
  <c r="I56" i="4"/>
  <c r="H56" i="4"/>
  <c r="G56" i="4"/>
  <c r="F56" i="4"/>
  <c r="E56" i="4"/>
  <c r="D56" i="4"/>
  <c r="C56" i="4"/>
  <c r="B56" i="4"/>
  <c r="A56" i="4"/>
  <c r="N55" i="4"/>
  <c r="M55" i="4"/>
  <c r="L55" i="4"/>
  <c r="K55" i="4"/>
  <c r="J55" i="4"/>
  <c r="I55" i="4"/>
  <c r="H55" i="4"/>
  <c r="G55" i="4"/>
  <c r="F55" i="4"/>
  <c r="E55" i="4"/>
  <c r="D55" i="4"/>
  <c r="C55" i="4"/>
  <c r="B55" i="4"/>
  <c r="A55" i="4"/>
  <c r="N54" i="4"/>
  <c r="M54" i="4"/>
  <c r="L54" i="4"/>
  <c r="K54" i="4"/>
  <c r="J54" i="4"/>
  <c r="I54" i="4"/>
  <c r="H54" i="4"/>
  <c r="G54" i="4"/>
  <c r="F54" i="4"/>
  <c r="E54" i="4"/>
  <c r="D54" i="4"/>
  <c r="C54" i="4"/>
  <c r="B54" i="4"/>
  <c r="A54" i="4"/>
  <c r="N53" i="4"/>
  <c r="M53" i="4"/>
  <c r="L53" i="4"/>
  <c r="K53" i="4"/>
  <c r="J53" i="4"/>
  <c r="I53" i="4"/>
  <c r="H53" i="4"/>
  <c r="G53" i="4"/>
  <c r="F53" i="4"/>
  <c r="E53" i="4"/>
  <c r="D53" i="4"/>
  <c r="C53" i="4"/>
  <c r="B53" i="4"/>
  <c r="A53" i="4"/>
  <c r="N52" i="4"/>
  <c r="M52" i="4"/>
  <c r="L52" i="4"/>
  <c r="K52" i="4"/>
  <c r="J52" i="4"/>
  <c r="I52" i="4"/>
  <c r="H52" i="4"/>
  <c r="G52" i="4"/>
  <c r="F52" i="4"/>
  <c r="E52" i="4"/>
  <c r="D52" i="4"/>
  <c r="C52" i="4"/>
  <c r="B52" i="4"/>
  <c r="A52" i="4"/>
  <c r="N51" i="4"/>
  <c r="M51" i="4"/>
  <c r="L51" i="4"/>
  <c r="K51" i="4"/>
  <c r="J51" i="4"/>
  <c r="I51" i="4"/>
  <c r="H51" i="4"/>
  <c r="G51" i="4"/>
  <c r="F51" i="4"/>
  <c r="E51" i="4"/>
  <c r="D51" i="4"/>
  <c r="C51" i="4"/>
  <c r="B51" i="4"/>
  <c r="A51" i="4"/>
  <c r="N50" i="4"/>
  <c r="M50" i="4"/>
  <c r="L50" i="4"/>
  <c r="K50" i="4"/>
  <c r="J50" i="4"/>
  <c r="I50" i="4"/>
  <c r="H50" i="4"/>
  <c r="G50" i="4"/>
  <c r="F50" i="4"/>
  <c r="E50" i="4"/>
  <c r="D50" i="4"/>
  <c r="C50" i="4"/>
  <c r="B50" i="4"/>
  <c r="A50" i="4"/>
  <c r="N49" i="4"/>
  <c r="M49" i="4"/>
  <c r="L49" i="4"/>
  <c r="K49" i="4"/>
  <c r="J49" i="4"/>
  <c r="I49" i="4"/>
  <c r="H49" i="4"/>
  <c r="G49" i="4"/>
  <c r="F49" i="4"/>
  <c r="E49" i="4"/>
  <c r="D49" i="4"/>
  <c r="C49" i="4"/>
  <c r="B49" i="4"/>
  <c r="A49" i="4"/>
  <c r="N48" i="4"/>
  <c r="M48" i="4"/>
  <c r="L48" i="4"/>
  <c r="K48" i="4"/>
  <c r="J48" i="4"/>
  <c r="I48" i="4"/>
  <c r="H48" i="4"/>
  <c r="G48" i="4"/>
  <c r="F48" i="4"/>
  <c r="E48" i="4"/>
  <c r="D48" i="4"/>
  <c r="C48" i="4"/>
  <c r="B48" i="4"/>
  <c r="A48" i="4"/>
  <c r="N47" i="4"/>
  <c r="M47" i="4"/>
  <c r="L47" i="4"/>
  <c r="K47" i="4"/>
  <c r="J47" i="4"/>
  <c r="I47" i="4"/>
  <c r="H47" i="4"/>
  <c r="G47" i="4"/>
  <c r="F47" i="4"/>
  <c r="E47" i="4"/>
  <c r="D47" i="4"/>
  <c r="C47" i="4"/>
  <c r="B47" i="4"/>
  <c r="A47" i="4"/>
  <c r="AB46" i="4"/>
  <c r="N46" i="4"/>
  <c r="M46" i="4"/>
  <c r="L46" i="4"/>
  <c r="K46" i="4"/>
  <c r="J46" i="4"/>
  <c r="I46" i="4"/>
  <c r="H46" i="4"/>
  <c r="G46" i="4"/>
  <c r="F46" i="4"/>
  <c r="E46" i="4"/>
  <c r="D46" i="4"/>
  <c r="C46" i="4"/>
  <c r="B46" i="4"/>
  <c r="A46" i="4"/>
  <c r="N45" i="4"/>
  <c r="M45" i="4"/>
  <c r="L45" i="4"/>
  <c r="K45" i="4"/>
  <c r="J45" i="4"/>
  <c r="I45" i="4"/>
  <c r="H45" i="4"/>
  <c r="G45" i="4"/>
  <c r="F45" i="4"/>
  <c r="E45" i="4"/>
  <c r="D45" i="4"/>
  <c r="C45" i="4"/>
  <c r="B45" i="4"/>
  <c r="A45" i="4"/>
  <c r="Z44" i="4"/>
  <c r="Y44" i="4"/>
  <c r="X44" i="4"/>
  <c r="N44" i="4"/>
  <c r="M44" i="4"/>
  <c r="L44" i="4"/>
  <c r="K44" i="4"/>
  <c r="J44" i="4"/>
  <c r="I44" i="4"/>
  <c r="H44" i="4"/>
  <c r="G44" i="4"/>
  <c r="F44" i="4"/>
  <c r="E44" i="4"/>
  <c r="D44" i="4"/>
  <c r="C44" i="4"/>
  <c r="B44" i="4"/>
  <c r="A44" i="4"/>
  <c r="AB43" i="4"/>
  <c r="AA43" i="4"/>
  <c r="Z43" i="4"/>
  <c r="Y43" i="4"/>
  <c r="X43" i="4"/>
  <c r="N43" i="4"/>
  <c r="M43" i="4"/>
  <c r="L43" i="4"/>
  <c r="K43" i="4"/>
  <c r="J43" i="4"/>
  <c r="I43" i="4"/>
  <c r="H43" i="4"/>
  <c r="G43" i="4"/>
  <c r="F43" i="4"/>
  <c r="E43" i="4"/>
  <c r="D43" i="4"/>
  <c r="C43" i="4"/>
  <c r="B43" i="4"/>
  <c r="A43" i="4"/>
  <c r="Z42" i="4"/>
  <c r="Y42" i="4"/>
  <c r="X42" i="4"/>
  <c r="W42" i="4"/>
  <c r="V42" i="4"/>
  <c r="U42" i="4"/>
  <c r="T42" i="4"/>
  <c r="S42" i="4"/>
  <c r="R42" i="4"/>
  <c r="P42" i="4"/>
  <c r="N42" i="4"/>
  <c r="M42" i="4"/>
  <c r="L42" i="4"/>
  <c r="K42" i="4"/>
  <c r="J42" i="4"/>
  <c r="I42" i="4"/>
  <c r="H42" i="4"/>
  <c r="G42" i="4"/>
  <c r="F42" i="4"/>
  <c r="E42" i="4"/>
  <c r="D42" i="4"/>
  <c r="C42" i="4"/>
  <c r="B42" i="4"/>
  <c r="A42" i="4"/>
  <c r="Z41" i="4"/>
  <c r="Y41" i="4"/>
  <c r="X41" i="4"/>
  <c r="W41" i="4"/>
  <c r="V41" i="4"/>
  <c r="U41" i="4"/>
  <c r="T41" i="4"/>
  <c r="S41" i="4"/>
  <c r="R41" i="4"/>
  <c r="P41" i="4"/>
  <c r="N41" i="4"/>
  <c r="M41" i="4"/>
  <c r="L41" i="4"/>
  <c r="K41" i="4"/>
  <c r="J41" i="4"/>
  <c r="I41" i="4"/>
  <c r="H41" i="4"/>
  <c r="G41" i="4"/>
  <c r="F41" i="4"/>
  <c r="E41" i="4"/>
  <c r="D41" i="4"/>
  <c r="C41" i="4"/>
  <c r="B41" i="4"/>
  <c r="A41" i="4"/>
  <c r="Z40" i="4"/>
  <c r="Y40" i="4"/>
  <c r="X40" i="4"/>
  <c r="W40" i="4"/>
  <c r="V40" i="4"/>
  <c r="U40" i="4"/>
  <c r="T40" i="4"/>
  <c r="S40" i="4"/>
  <c r="R40" i="4"/>
  <c r="P40" i="4"/>
  <c r="N40" i="4"/>
  <c r="M40" i="4"/>
  <c r="L40" i="4"/>
  <c r="K40" i="4"/>
  <c r="J40" i="4"/>
  <c r="I40" i="4"/>
  <c r="H40" i="4"/>
  <c r="G40" i="4"/>
  <c r="F40" i="4"/>
  <c r="E40" i="4"/>
  <c r="D40" i="4"/>
  <c r="C40" i="4"/>
  <c r="B40" i="4"/>
  <c r="A40" i="4"/>
  <c r="Z39" i="4"/>
  <c r="Y39" i="4"/>
  <c r="X39" i="4"/>
  <c r="W39" i="4"/>
  <c r="V39" i="4"/>
  <c r="U39" i="4"/>
  <c r="T39" i="4"/>
  <c r="S39" i="4"/>
  <c r="R39" i="4"/>
  <c r="P39" i="4"/>
  <c r="N39" i="4"/>
  <c r="M39" i="4"/>
  <c r="L39" i="4"/>
  <c r="K39" i="4"/>
  <c r="J39" i="4"/>
  <c r="I39" i="4"/>
  <c r="H39" i="4"/>
  <c r="G39" i="4"/>
  <c r="F39" i="4"/>
  <c r="E39" i="4"/>
  <c r="D39" i="4"/>
  <c r="C39" i="4"/>
  <c r="B39" i="4"/>
  <c r="A39" i="4"/>
  <c r="Z38" i="4"/>
  <c r="Y38" i="4"/>
  <c r="X38" i="4"/>
  <c r="W38" i="4"/>
  <c r="V38" i="4"/>
  <c r="U38" i="4"/>
  <c r="T38" i="4"/>
  <c r="S38" i="4"/>
  <c r="R38" i="4"/>
  <c r="P38" i="4"/>
  <c r="N38" i="4"/>
  <c r="M38" i="4"/>
  <c r="L38" i="4"/>
  <c r="K38" i="4"/>
  <c r="J38" i="4"/>
  <c r="I38" i="4"/>
  <c r="H38" i="4"/>
  <c r="G38" i="4"/>
  <c r="F38" i="4"/>
  <c r="E38" i="4"/>
  <c r="D38" i="4"/>
  <c r="C38" i="4"/>
  <c r="B38" i="4"/>
  <c r="A38" i="4"/>
  <c r="Y37" i="4"/>
  <c r="X37" i="4"/>
  <c r="N37" i="4"/>
  <c r="M37" i="4"/>
  <c r="L37" i="4"/>
  <c r="K37" i="4"/>
  <c r="J37" i="4"/>
  <c r="I37" i="4"/>
  <c r="H37" i="4"/>
  <c r="G37" i="4"/>
  <c r="F37" i="4"/>
  <c r="E37" i="4"/>
  <c r="D37" i="4"/>
  <c r="C37" i="4"/>
  <c r="B37" i="4"/>
  <c r="A37" i="4"/>
  <c r="AB36" i="4"/>
  <c r="AA36" i="4"/>
  <c r="Z36" i="4"/>
  <c r="Y36" i="4"/>
  <c r="X36" i="4"/>
  <c r="W36" i="4"/>
  <c r="V36" i="4"/>
  <c r="U36" i="4"/>
  <c r="T36" i="4"/>
  <c r="R36" i="4"/>
  <c r="Q36" i="4"/>
  <c r="P36" i="4"/>
  <c r="O36" i="4"/>
  <c r="N36" i="4"/>
  <c r="M36" i="4"/>
  <c r="L36" i="4"/>
  <c r="K36" i="4"/>
  <c r="J36" i="4"/>
  <c r="I36" i="4"/>
  <c r="H36" i="4"/>
  <c r="G36" i="4"/>
  <c r="F36" i="4"/>
  <c r="E36" i="4"/>
  <c r="D36" i="4"/>
  <c r="C36" i="4"/>
  <c r="B36" i="4"/>
  <c r="A36" i="4"/>
  <c r="Z35" i="4"/>
  <c r="Y35" i="4"/>
  <c r="X35" i="4"/>
  <c r="W35" i="4"/>
  <c r="V35" i="4"/>
  <c r="U35" i="4"/>
  <c r="T35" i="4"/>
  <c r="R35" i="4"/>
  <c r="Q35" i="4"/>
  <c r="P35" i="4"/>
  <c r="O35" i="4"/>
  <c r="N35" i="4"/>
  <c r="M35" i="4"/>
  <c r="L35" i="4"/>
  <c r="K35" i="4"/>
  <c r="J35" i="4"/>
  <c r="I35" i="4"/>
  <c r="H35" i="4"/>
  <c r="G35" i="4"/>
  <c r="F35" i="4"/>
  <c r="E35" i="4"/>
  <c r="D35" i="4"/>
  <c r="C35" i="4"/>
  <c r="B35" i="4"/>
  <c r="A35" i="4"/>
  <c r="Z34" i="4"/>
  <c r="Y34" i="4"/>
  <c r="X34" i="4"/>
  <c r="W34" i="4"/>
  <c r="V34" i="4"/>
  <c r="U34" i="4"/>
  <c r="T34" i="4"/>
  <c r="R34" i="4"/>
  <c r="Q34" i="4"/>
  <c r="P34" i="4"/>
  <c r="N34" i="4"/>
  <c r="M34" i="4"/>
  <c r="L34" i="4"/>
  <c r="K34" i="4"/>
  <c r="J34" i="4"/>
  <c r="I34" i="4"/>
  <c r="H34" i="4"/>
  <c r="G34" i="4"/>
  <c r="F34" i="4"/>
  <c r="E34" i="4"/>
  <c r="D34" i="4"/>
  <c r="C34" i="4"/>
  <c r="B34" i="4"/>
  <c r="A34" i="4"/>
  <c r="Z33" i="4"/>
  <c r="Y33" i="4"/>
  <c r="X33" i="4"/>
  <c r="W33" i="4"/>
  <c r="V33" i="4"/>
  <c r="U33" i="4"/>
  <c r="T33" i="4"/>
  <c r="R33" i="4"/>
  <c r="Q33" i="4"/>
  <c r="P33" i="4"/>
  <c r="N33" i="4"/>
  <c r="M33" i="4"/>
  <c r="L33" i="4"/>
  <c r="K33" i="4"/>
  <c r="J33" i="4"/>
  <c r="I33" i="4"/>
  <c r="H33" i="4"/>
  <c r="G33" i="4"/>
  <c r="F33" i="4"/>
  <c r="E33" i="4"/>
  <c r="D33" i="4"/>
  <c r="C33" i="4"/>
  <c r="B33" i="4"/>
  <c r="A33" i="4"/>
  <c r="Z32" i="4"/>
  <c r="Y32" i="4"/>
  <c r="X32" i="4"/>
  <c r="W32" i="4"/>
  <c r="V32" i="4"/>
  <c r="U32" i="4"/>
  <c r="T32" i="4"/>
  <c r="R32" i="4"/>
  <c r="Q32" i="4"/>
  <c r="P32" i="4"/>
  <c r="N32" i="4"/>
  <c r="M32" i="4"/>
  <c r="L32" i="4"/>
  <c r="K32" i="4"/>
  <c r="J32" i="4"/>
  <c r="I32" i="4"/>
  <c r="H32" i="4"/>
  <c r="G32" i="4"/>
  <c r="F32" i="4"/>
  <c r="E32" i="4"/>
  <c r="D32" i="4"/>
  <c r="C32" i="4"/>
  <c r="B32" i="4"/>
  <c r="A32" i="4"/>
  <c r="Z31" i="4"/>
  <c r="Y31" i="4"/>
  <c r="X31" i="4"/>
  <c r="W31" i="4"/>
  <c r="V31" i="4"/>
  <c r="U31" i="4"/>
  <c r="T31" i="4"/>
  <c r="S31" i="4"/>
  <c r="R31" i="4"/>
  <c r="Q31" i="4"/>
  <c r="P31" i="4"/>
  <c r="O31" i="4"/>
  <c r="N31" i="4"/>
  <c r="M31" i="4"/>
  <c r="L31" i="4"/>
  <c r="K31" i="4"/>
  <c r="J31" i="4"/>
  <c r="I31" i="4"/>
  <c r="H31" i="4"/>
  <c r="G31" i="4"/>
  <c r="F31" i="4"/>
  <c r="E31" i="4"/>
  <c r="D31" i="4"/>
  <c r="C31" i="4"/>
  <c r="B31" i="4"/>
  <c r="A31" i="4"/>
  <c r="Z30" i="4"/>
  <c r="Y30" i="4"/>
  <c r="X30" i="4"/>
  <c r="W30" i="4"/>
  <c r="V30" i="4"/>
  <c r="U30" i="4"/>
  <c r="T30" i="4"/>
  <c r="S30" i="4"/>
  <c r="R30" i="4"/>
  <c r="Q30" i="4"/>
  <c r="P30" i="4"/>
  <c r="O30" i="4"/>
  <c r="N30" i="4"/>
  <c r="M30" i="4"/>
  <c r="L30" i="4"/>
  <c r="K30" i="4"/>
  <c r="J30" i="4"/>
  <c r="I30" i="4"/>
  <c r="H30" i="4"/>
  <c r="G30" i="4"/>
  <c r="F30" i="4"/>
  <c r="E30" i="4"/>
  <c r="D30" i="4"/>
  <c r="C30" i="4"/>
  <c r="B30" i="4"/>
  <c r="A30" i="4"/>
  <c r="Y29" i="4"/>
  <c r="X29" i="4"/>
  <c r="N29" i="4"/>
  <c r="M29" i="4"/>
  <c r="L29" i="4"/>
  <c r="K29" i="4"/>
  <c r="J29" i="4"/>
  <c r="I29" i="4"/>
  <c r="H29" i="4"/>
  <c r="G29" i="4"/>
  <c r="F29" i="4"/>
  <c r="E29" i="4"/>
  <c r="D29" i="4"/>
  <c r="C29" i="4"/>
  <c r="B29" i="4"/>
  <c r="A29" i="4"/>
  <c r="AB28" i="4"/>
  <c r="Y28" i="4"/>
  <c r="X28" i="4"/>
  <c r="N28" i="4"/>
  <c r="M28" i="4"/>
  <c r="L28" i="4"/>
  <c r="K28" i="4"/>
  <c r="J28" i="4"/>
  <c r="I28" i="4"/>
  <c r="H28" i="4"/>
  <c r="G28" i="4"/>
  <c r="F28" i="4"/>
  <c r="E28" i="4"/>
  <c r="D28" i="4"/>
  <c r="C28" i="4"/>
  <c r="B28" i="4"/>
  <c r="A28" i="4"/>
  <c r="Z27" i="4"/>
  <c r="Y27" i="4"/>
  <c r="X27" i="4"/>
  <c r="W27" i="4"/>
  <c r="V27" i="4"/>
  <c r="U27" i="4"/>
  <c r="T27" i="4"/>
  <c r="S27" i="4"/>
  <c r="R27" i="4"/>
  <c r="Q27" i="4"/>
  <c r="P27" i="4"/>
  <c r="N27" i="4"/>
  <c r="M27" i="4"/>
  <c r="L27" i="4"/>
  <c r="K27" i="4"/>
  <c r="J27" i="4"/>
  <c r="I27" i="4"/>
  <c r="H27" i="4"/>
  <c r="G27" i="4"/>
  <c r="F27" i="4"/>
  <c r="E27" i="4"/>
  <c r="D27" i="4"/>
  <c r="C27" i="4"/>
  <c r="B27" i="4"/>
  <c r="A27" i="4"/>
  <c r="AB26" i="4"/>
  <c r="Z26" i="4"/>
  <c r="Y26" i="4"/>
  <c r="X26" i="4"/>
  <c r="W26" i="4"/>
  <c r="V26" i="4"/>
  <c r="U26" i="4"/>
  <c r="T26" i="4"/>
  <c r="S26" i="4"/>
  <c r="R26" i="4"/>
  <c r="Q26" i="4"/>
  <c r="P26" i="4"/>
  <c r="N26" i="4"/>
  <c r="M26" i="4"/>
  <c r="L26" i="4"/>
  <c r="K26" i="4"/>
  <c r="J26" i="4"/>
  <c r="I26" i="4"/>
  <c r="H26" i="4"/>
  <c r="G26" i="4"/>
  <c r="F26" i="4"/>
  <c r="E26" i="4"/>
  <c r="D26" i="4"/>
  <c r="C26" i="4"/>
  <c r="B26" i="4"/>
  <c r="A26" i="4"/>
  <c r="Z25" i="4"/>
  <c r="Y25" i="4"/>
  <c r="X25" i="4"/>
  <c r="W25" i="4"/>
  <c r="V25" i="4"/>
  <c r="U25" i="4"/>
  <c r="T25" i="4"/>
  <c r="R25" i="4"/>
  <c r="Q25" i="4"/>
  <c r="P25" i="4"/>
  <c r="N25" i="4"/>
  <c r="M25" i="4"/>
  <c r="L25" i="4"/>
  <c r="K25" i="4"/>
  <c r="J25" i="4"/>
  <c r="I25" i="4"/>
  <c r="H25" i="4"/>
  <c r="G25" i="4"/>
  <c r="F25" i="4"/>
  <c r="E25" i="4"/>
  <c r="D25" i="4"/>
  <c r="C25" i="4"/>
  <c r="B25" i="4"/>
  <c r="A25" i="4"/>
  <c r="Z24" i="4"/>
  <c r="Y24" i="4"/>
  <c r="X24" i="4"/>
  <c r="W24" i="4"/>
  <c r="V24" i="4"/>
  <c r="U24" i="4"/>
  <c r="R24" i="4"/>
  <c r="Q24" i="4"/>
  <c r="P24" i="4"/>
  <c r="N24" i="4"/>
  <c r="M24" i="4"/>
  <c r="L24" i="4"/>
  <c r="K24" i="4"/>
  <c r="J24" i="4"/>
  <c r="I24" i="4"/>
  <c r="H24" i="4"/>
  <c r="G24" i="4"/>
  <c r="F24" i="4"/>
  <c r="E24" i="4"/>
  <c r="D24" i="4"/>
  <c r="C24" i="4"/>
  <c r="B24" i="4"/>
  <c r="A24" i="4"/>
  <c r="Z23" i="4"/>
  <c r="Y23" i="4"/>
  <c r="X23" i="4"/>
  <c r="W23" i="4"/>
  <c r="V23" i="4"/>
  <c r="U23" i="4"/>
  <c r="Q23" i="4"/>
  <c r="P23" i="4"/>
  <c r="O23" i="4"/>
  <c r="N23" i="4"/>
  <c r="M23" i="4"/>
  <c r="L23" i="4"/>
  <c r="K23" i="4"/>
  <c r="J23" i="4"/>
  <c r="I23" i="4"/>
  <c r="H23" i="4"/>
  <c r="G23" i="4"/>
  <c r="F23" i="4"/>
  <c r="E23" i="4"/>
  <c r="D23" i="4"/>
  <c r="C23" i="4"/>
  <c r="B23" i="4"/>
  <c r="A23" i="4"/>
  <c r="Z22" i="4"/>
  <c r="Y22" i="4"/>
  <c r="X22" i="4"/>
  <c r="W22" i="4"/>
  <c r="V22" i="4"/>
  <c r="U22" i="4"/>
  <c r="Q22" i="4"/>
  <c r="P22" i="4"/>
  <c r="O22" i="4"/>
  <c r="N22" i="4"/>
  <c r="M22" i="4"/>
  <c r="L22" i="4"/>
  <c r="K22" i="4"/>
  <c r="J22" i="4"/>
  <c r="I22" i="4"/>
  <c r="H22" i="4"/>
  <c r="G22" i="4"/>
  <c r="F22" i="4"/>
  <c r="E22" i="4"/>
  <c r="D22" i="4"/>
  <c r="C22" i="4"/>
  <c r="B22" i="4"/>
  <c r="A22" i="4"/>
  <c r="Z21" i="4"/>
  <c r="Y21" i="4"/>
  <c r="X21" i="4"/>
  <c r="W21" i="4"/>
  <c r="V21" i="4"/>
  <c r="U21" i="4"/>
  <c r="R21" i="4"/>
  <c r="Q21" i="4"/>
  <c r="P21" i="4"/>
  <c r="O21" i="4"/>
  <c r="N21" i="4"/>
  <c r="M21" i="4"/>
  <c r="L21" i="4"/>
  <c r="K21" i="4"/>
  <c r="J21" i="4"/>
  <c r="I21" i="4"/>
  <c r="H21" i="4"/>
  <c r="G21" i="4"/>
  <c r="F21" i="4"/>
  <c r="E21" i="4"/>
  <c r="D21" i="4"/>
  <c r="C21" i="4"/>
  <c r="B21" i="4"/>
  <c r="A21" i="4"/>
  <c r="Z20" i="4"/>
  <c r="Y20" i="4"/>
  <c r="X20" i="4"/>
  <c r="W20" i="4"/>
  <c r="V20" i="4"/>
  <c r="U20" i="4"/>
  <c r="S20" i="4"/>
  <c r="R20" i="4"/>
  <c r="Q20" i="4"/>
  <c r="P20" i="4"/>
  <c r="O20" i="4"/>
  <c r="N20" i="4"/>
  <c r="M20" i="4"/>
  <c r="L20" i="4"/>
  <c r="K20" i="4"/>
  <c r="J20" i="4"/>
  <c r="I20" i="4"/>
  <c r="H20" i="4"/>
  <c r="G20" i="4"/>
  <c r="F20" i="4"/>
  <c r="E20" i="4"/>
  <c r="D20" i="4"/>
  <c r="C20" i="4"/>
  <c r="B20" i="4"/>
  <c r="A20" i="4"/>
  <c r="Z19" i="4"/>
  <c r="Y19" i="4"/>
  <c r="X19" i="4"/>
  <c r="W19" i="4"/>
  <c r="V19" i="4"/>
  <c r="U19" i="4"/>
  <c r="R19" i="4"/>
  <c r="Q19" i="4"/>
  <c r="P19" i="4"/>
  <c r="O19" i="4"/>
  <c r="N19" i="4"/>
  <c r="M19" i="4"/>
  <c r="L19" i="4"/>
  <c r="K19" i="4"/>
  <c r="J19" i="4"/>
  <c r="I19" i="4"/>
  <c r="H19" i="4"/>
  <c r="G19" i="4"/>
  <c r="F19" i="4"/>
  <c r="E19" i="4"/>
  <c r="D19" i="4"/>
  <c r="C19" i="4"/>
  <c r="B19" i="4"/>
  <c r="A19" i="4"/>
  <c r="Z18" i="4"/>
  <c r="Y18" i="4"/>
  <c r="X18" i="4"/>
  <c r="W18" i="4"/>
  <c r="V18" i="4"/>
  <c r="U18" i="4"/>
  <c r="S18" i="4"/>
  <c r="R18" i="4"/>
  <c r="Q18" i="4"/>
  <c r="P18" i="4"/>
  <c r="O18" i="4"/>
  <c r="N18" i="4"/>
  <c r="M18" i="4"/>
  <c r="L18" i="4"/>
  <c r="K18" i="4"/>
  <c r="J18" i="4"/>
  <c r="I18" i="4"/>
  <c r="H18" i="4"/>
  <c r="G18" i="4"/>
  <c r="F18" i="4"/>
  <c r="E18" i="4"/>
  <c r="D18" i="4"/>
  <c r="C18" i="4"/>
  <c r="B18" i="4"/>
  <c r="A18" i="4"/>
  <c r="Z17" i="4"/>
  <c r="Y17" i="4"/>
  <c r="X17" i="4"/>
  <c r="W17" i="4"/>
  <c r="V17" i="4"/>
  <c r="U17" i="4"/>
  <c r="R17" i="4"/>
  <c r="P17" i="4"/>
  <c r="O17" i="4"/>
  <c r="N17" i="4"/>
  <c r="M17" i="4"/>
  <c r="L17" i="4"/>
  <c r="K17" i="4"/>
  <c r="J17" i="4"/>
  <c r="I17" i="4"/>
  <c r="H17" i="4"/>
  <c r="G17" i="4"/>
  <c r="F17" i="4"/>
  <c r="E17" i="4"/>
  <c r="D17" i="4"/>
  <c r="C17" i="4"/>
  <c r="B17" i="4"/>
  <c r="A17" i="4"/>
  <c r="Z16" i="4"/>
  <c r="Y16" i="4"/>
  <c r="X16" i="4"/>
  <c r="U16" i="4"/>
  <c r="R16" i="4"/>
  <c r="Q16" i="4"/>
  <c r="P16" i="4"/>
  <c r="O16" i="4"/>
  <c r="N16" i="4"/>
  <c r="M16" i="4"/>
  <c r="L16" i="4"/>
  <c r="K16" i="4"/>
  <c r="J16" i="4"/>
  <c r="I16" i="4"/>
  <c r="H16" i="4"/>
  <c r="G16" i="4"/>
  <c r="F16" i="4"/>
  <c r="E16" i="4"/>
  <c r="D16" i="4"/>
  <c r="C16" i="4"/>
  <c r="B16" i="4"/>
  <c r="A16" i="4"/>
  <c r="AB15" i="4"/>
  <c r="Z15" i="4"/>
  <c r="Y15" i="4"/>
  <c r="X15" i="4"/>
  <c r="W15" i="4"/>
  <c r="V15" i="4"/>
  <c r="U15" i="4"/>
  <c r="S15" i="4"/>
  <c r="R15" i="4"/>
  <c r="Q15" i="4"/>
  <c r="P15" i="4"/>
  <c r="O15" i="4"/>
  <c r="N15" i="4"/>
  <c r="M15" i="4"/>
  <c r="L15" i="4"/>
  <c r="K15" i="4"/>
  <c r="J15" i="4"/>
  <c r="I15" i="4"/>
  <c r="H15" i="4"/>
  <c r="G15" i="4"/>
  <c r="F15" i="4"/>
  <c r="E15" i="4"/>
  <c r="D15" i="4"/>
  <c r="C15" i="4"/>
  <c r="B15" i="4"/>
  <c r="A15" i="4"/>
  <c r="Z14" i="4"/>
  <c r="Y14" i="4"/>
  <c r="X14" i="4"/>
  <c r="W14" i="4"/>
  <c r="V14" i="4"/>
  <c r="U14" i="4"/>
  <c r="T14" i="4"/>
  <c r="S14" i="4"/>
  <c r="R14" i="4"/>
  <c r="Q14" i="4"/>
  <c r="P14" i="4"/>
  <c r="O14" i="4"/>
  <c r="N14" i="4"/>
  <c r="M14" i="4"/>
  <c r="L14" i="4"/>
  <c r="K14" i="4"/>
  <c r="J14" i="4"/>
  <c r="I14" i="4"/>
  <c r="H14" i="4"/>
  <c r="G14" i="4"/>
  <c r="F14" i="4"/>
  <c r="E14" i="4"/>
  <c r="D14" i="4"/>
  <c r="C14" i="4"/>
  <c r="B14" i="4"/>
  <c r="A14" i="4"/>
  <c r="AB13" i="4"/>
  <c r="Z13" i="4"/>
  <c r="Y13" i="4"/>
  <c r="X13" i="4"/>
  <c r="W13" i="4"/>
  <c r="V13" i="4"/>
  <c r="U13" i="4"/>
  <c r="T13" i="4"/>
  <c r="R13" i="4"/>
  <c r="Q13" i="4"/>
  <c r="P13" i="4"/>
  <c r="N13" i="4"/>
  <c r="M13" i="4"/>
  <c r="L13" i="4"/>
  <c r="K13" i="4"/>
  <c r="J13" i="4"/>
  <c r="I13" i="4"/>
  <c r="H13" i="4"/>
  <c r="G13" i="4"/>
  <c r="F13" i="4"/>
  <c r="E13" i="4"/>
  <c r="D13" i="4"/>
  <c r="C13" i="4"/>
  <c r="B13" i="4"/>
  <c r="A13" i="4"/>
  <c r="Z12" i="4"/>
  <c r="Y12" i="4"/>
  <c r="X12" i="4"/>
  <c r="W12" i="4"/>
  <c r="V12" i="4"/>
  <c r="U12" i="4"/>
  <c r="T12" i="4"/>
  <c r="R12" i="4"/>
  <c r="Q12" i="4"/>
  <c r="P12" i="4"/>
  <c r="N12" i="4"/>
  <c r="M12" i="4"/>
  <c r="L12" i="4"/>
  <c r="K12" i="4"/>
  <c r="J12" i="4"/>
  <c r="I12" i="4"/>
  <c r="H12" i="4"/>
  <c r="G12" i="4"/>
  <c r="F12" i="4"/>
  <c r="E12" i="4"/>
  <c r="D12" i="4"/>
  <c r="C12" i="4"/>
  <c r="B12" i="4"/>
  <c r="A12" i="4"/>
  <c r="Z11" i="4"/>
  <c r="Y11" i="4"/>
  <c r="X11" i="4"/>
  <c r="W11" i="4"/>
  <c r="V11" i="4"/>
  <c r="U11" i="4"/>
  <c r="T11" i="4"/>
  <c r="R11" i="4"/>
  <c r="Q11" i="4"/>
  <c r="P11" i="4"/>
  <c r="N11" i="4"/>
  <c r="M11" i="4"/>
  <c r="L11" i="4"/>
  <c r="K11" i="4"/>
  <c r="J11" i="4"/>
  <c r="I11" i="4"/>
  <c r="H11" i="4"/>
  <c r="G11" i="4"/>
  <c r="F11" i="4"/>
  <c r="E11" i="4"/>
  <c r="D11" i="4"/>
  <c r="C11" i="4"/>
  <c r="B11" i="4"/>
  <c r="A11" i="4"/>
  <c r="Z10" i="4"/>
  <c r="Y10" i="4"/>
  <c r="X10" i="4"/>
  <c r="W10" i="4"/>
  <c r="V10" i="4"/>
  <c r="U10" i="4"/>
  <c r="T10" i="4"/>
  <c r="R10" i="4"/>
  <c r="Q10" i="4"/>
  <c r="P10" i="4"/>
  <c r="N10" i="4"/>
  <c r="M10" i="4"/>
  <c r="L10" i="4"/>
  <c r="K10" i="4"/>
  <c r="J10" i="4"/>
  <c r="I10" i="4"/>
  <c r="H10" i="4"/>
  <c r="G10" i="4"/>
  <c r="F10" i="4"/>
  <c r="E10" i="4"/>
  <c r="D10" i="4"/>
  <c r="C10" i="4"/>
  <c r="B10" i="4"/>
  <c r="A10" i="4"/>
  <c r="Z9" i="4"/>
  <c r="Y9" i="4"/>
  <c r="X9" i="4"/>
  <c r="W9" i="4"/>
  <c r="V9" i="4"/>
  <c r="U9" i="4"/>
  <c r="T9" i="4"/>
  <c r="S9" i="4"/>
  <c r="R9" i="4"/>
  <c r="Q9" i="4"/>
  <c r="P9" i="4"/>
  <c r="N9" i="4"/>
  <c r="M9" i="4"/>
  <c r="L9" i="4"/>
  <c r="K9" i="4"/>
  <c r="J9" i="4"/>
  <c r="I9" i="4"/>
  <c r="H9" i="4"/>
  <c r="G9" i="4"/>
  <c r="F9" i="4"/>
  <c r="E9" i="4"/>
  <c r="D9" i="4"/>
  <c r="C9" i="4"/>
  <c r="B9" i="4"/>
  <c r="A9" i="4"/>
  <c r="Z8" i="4"/>
  <c r="Y8" i="4"/>
  <c r="X8" i="4"/>
  <c r="W8" i="4"/>
  <c r="V8" i="4"/>
  <c r="U8" i="4"/>
  <c r="T8" i="4"/>
  <c r="S8" i="4"/>
  <c r="R8" i="4"/>
  <c r="Q8" i="4"/>
  <c r="P8" i="4"/>
  <c r="O8" i="4"/>
  <c r="N8" i="4"/>
  <c r="M8" i="4"/>
  <c r="L8" i="4"/>
  <c r="K8" i="4"/>
  <c r="J8" i="4"/>
  <c r="I8" i="4"/>
  <c r="H8" i="4"/>
  <c r="G8" i="4"/>
  <c r="F8" i="4"/>
  <c r="E8" i="4"/>
  <c r="D8" i="4"/>
  <c r="C8" i="4"/>
  <c r="B8" i="4"/>
  <c r="A8" i="4"/>
  <c r="Z7" i="4"/>
  <c r="Y7" i="4"/>
  <c r="X7" i="4"/>
  <c r="W7" i="4"/>
  <c r="V7" i="4"/>
  <c r="U7" i="4"/>
  <c r="T7" i="4"/>
  <c r="R7" i="4"/>
  <c r="Q7" i="4"/>
  <c r="P7" i="4"/>
  <c r="O7" i="4"/>
  <c r="N7" i="4"/>
  <c r="M7" i="4"/>
  <c r="L7" i="4"/>
  <c r="K7" i="4"/>
  <c r="J7" i="4"/>
  <c r="I7" i="4"/>
  <c r="H7" i="4"/>
  <c r="G7" i="4"/>
  <c r="F7" i="4"/>
  <c r="E7" i="4"/>
  <c r="D7" i="4"/>
  <c r="C7" i="4"/>
  <c r="B7" i="4"/>
  <c r="A7" i="4"/>
  <c r="AB6" i="4"/>
  <c r="Z6" i="4"/>
  <c r="Y6" i="4"/>
  <c r="X6" i="4"/>
  <c r="W6" i="4"/>
  <c r="V6" i="4"/>
  <c r="U6" i="4"/>
  <c r="T6" i="4"/>
  <c r="R6" i="4"/>
  <c r="Q6" i="4"/>
  <c r="P6" i="4"/>
  <c r="O6" i="4"/>
  <c r="N6" i="4"/>
  <c r="M6" i="4"/>
  <c r="L6" i="4"/>
  <c r="K6" i="4"/>
  <c r="J6" i="4"/>
  <c r="I6" i="4"/>
  <c r="H6" i="4"/>
  <c r="G6" i="4"/>
  <c r="F6" i="4"/>
  <c r="E6" i="4"/>
  <c r="D6" i="4"/>
  <c r="C6" i="4"/>
  <c r="B6" i="4"/>
  <c r="A6" i="4"/>
  <c r="Z5" i="4"/>
  <c r="Y5" i="4"/>
  <c r="X5" i="4"/>
  <c r="W5" i="4"/>
  <c r="V5" i="4"/>
  <c r="U5" i="4"/>
  <c r="T5" i="4"/>
  <c r="R5" i="4"/>
  <c r="Q5" i="4"/>
  <c r="P5" i="4"/>
  <c r="O5" i="4"/>
  <c r="N5" i="4"/>
  <c r="M5" i="4"/>
  <c r="L5" i="4"/>
  <c r="K5" i="4"/>
  <c r="J5" i="4"/>
  <c r="I5" i="4"/>
  <c r="H5" i="4"/>
  <c r="G5" i="4"/>
  <c r="F5" i="4"/>
  <c r="E5" i="4"/>
  <c r="D5" i="4"/>
  <c r="C5" i="4"/>
  <c r="B5" i="4"/>
  <c r="A5" i="4"/>
  <c r="Z4" i="4"/>
  <c r="Y4" i="4"/>
  <c r="X4" i="4"/>
  <c r="W4" i="4"/>
  <c r="V4" i="4"/>
  <c r="U4" i="4"/>
  <c r="T4" i="4"/>
  <c r="R4" i="4"/>
  <c r="Q4" i="4"/>
  <c r="P4" i="4"/>
  <c r="O4" i="4"/>
  <c r="N4" i="4"/>
  <c r="M4" i="4"/>
  <c r="L4" i="4"/>
  <c r="K4" i="4"/>
  <c r="J4" i="4"/>
  <c r="I4" i="4"/>
  <c r="H4" i="4"/>
  <c r="G4" i="4"/>
  <c r="F4" i="4"/>
  <c r="E4" i="4"/>
  <c r="D4" i="4"/>
  <c r="C4" i="4"/>
  <c r="B4" i="4"/>
  <c r="A4" i="4"/>
  <c r="Z3" i="4"/>
  <c r="Y3" i="4"/>
  <c r="X3" i="4"/>
  <c r="W3" i="4"/>
  <c r="V3" i="4"/>
  <c r="U3" i="4"/>
  <c r="T3" i="4"/>
  <c r="R3" i="4"/>
  <c r="Q3" i="4"/>
  <c r="P3" i="4"/>
  <c r="O3" i="4"/>
  <c r="N3" i="4"/>
  <c r="M3" i="4"/>
  <c r="L3" i="4"/>
  <c r="K3" i="4"/>
  <c r="J3" i="4"/>
  <c r="I3" i="4"/>
  <c r="H3" i="4"/>
  <c r="G3" i="4"/>
  <c r="F3" i="4"/>
  <c r="E3" i="4"/>
  <c r="D3" i="4"/>
  <c r="C3" i="4"/>
  <c r="B3" i="4"/>
  <c r="A3" i="4"/>
  <c r="Z2" i="4"/>
  <c r="Y2" i="4"/>
  <c r="X2" i="4"/>
  <c r="W2" i="4"/>
  <c r="V2" i="4"/>
  <c r="T2" i="4"/>
  <c r="R2" i="4"/>
  <c r="Q2" i="4"/>
  <c r="P2" i="4"/>
  <c r="O2" i="4"/>
  <c r="N2" i="4"/>
  <c r="M2" i="4"/>
  <c r="L2" i="4"/>
  <c r="K2" i="4"/>
  <c r="J2" i="4"/>
  <c r="I2" i="4"/>
  <c r="H2" i="4"/>
  <c r="G2" i="4"/>
  <c r="F2" i="4"/>
  <c r="E2" i="4"/>
  <c r="D2" i="4"/>
  <c r="C2" i="4"/>
  <c r="B2" i="4"/>
  <c r="A2" i="4"/>
  <c r="AB1" i="4"/>
  <c r="AA1" i="4"/>
  <c r="Z1" i="4"/>
  <c r="Y1" i="4"/>
  <c r="X1" i="4"/>
  <c r="W1" i="4"/>
  <c r="V1" i="4"/>
  <c r="U1" i="4"/>
  <c r="T1" i="4"/>
  <c r="S1" i="4"/>
  <c r="R1" i="4"/>
  <c r="Q1" i="4"/>
  <c r="P1" i="4"/>
  <c r="O1" i="4"/>
  <c r="N1" i="4"/>
  <c r="M1" i="4"/>
  <c r="L1" i="4"/>
  <c r="K1" i="4"/>
  <c r="J1" i="4"/>
  <c r="I1" i="4"/>
  <c r="H1" i="4"/>
  <c r="G1" i="4"/>
  <c r="F1" i="4"/>
  <c r="E1" i="4"/>
  <c r="D1" i="4"/>
  <c r="V13" i="2" s="1"/>
  <c r="C1" i="4"/>
  <c r="B1" i="4"/>
  <c r="A1" i="4"/>
  <c r="BF531" i="3"/>
  <c r="BE531" i="3"/>
  <c r="BD531" i="3"/>
  <c r="BC531" i="3"/>
  <c r="BB531" i="3"/>
  <c r="BA531" i="3"/>
  <c r="AZ531" i="3"/>
  <c r="AY531" i="3"/>
  <c r="AX531" i="3"/>
  <c r="AW531" i="3"/>
  <c r="AV531" i="3"/>
  <c r="AU531" i="3"/>
  <c r="AK531" i="3"/>
  <c r="AH531" i="3"/>
  <c r="AG531" i="3" a="1"/>
  <c r="AG531" i="3" s="1"/>
  <c r="AE531" i="3" a="1"/>
  <c r="AE531" i="3" s="1"/>
  <c r="AC531" i="3" a="1"/>
  <c r="AC531" i="3" s="1"/>
  <c r="AA531" i="3" a="1"/>
  <c r="AA531" i="3" s="1"/>
  <c r="Y531" i="3" a="1"/>
  <c r="Y531" i="3" s="1"/>
  <c r="V531" i="3"/>
  <c r="R531" i="3" a="1"/>
  <c r="R531" i="3"/>
  <c r="P531" i="3" a="1"/>
  <c r="P531" i="3"/>
  <c r="N531" i="3" a="1"/>
  <c r="N531" i="3"/>
  <c r="L531" i="3" a="1"/>
  <c r="L531" i="3"/>
  <c r="I531" i="3"/>
  <c r="E531" i="3" a="1"/>
  <c r="E531" i="3" s="1"/>
  <c r="C531" i="3" a="1"/>
  <c r="C531" i="3" s="1"/>
  <c r="BF530" i="3"/>
  <c r="BE530" i="3"/>
  <c r="BD530" i="3"/>
  <c r="BC530" i="3"/>
  <c r="BB530" i="3"/>
  <c r="BA530" i="3"/>
  <c r="AZ530" i="3"/>
  <c r="AY530" i="3"/>
  <c r="AX530" i="3"/>
  <c r="AW530" i="3"/>
  <c r="AV530" i="3"/>
  <c r="AU530" i="3"/>
  <c r="AK530" i="3"/>
  <c r="AH530" i="3"/>
  <c r="AG530" i="3" a="1"/>
  <c r="AG530" i="3" s="1"/>
  <c r="AE530" i="3" a="1"/>
  <c r="AE530" i="3" s="1"/>
  <c r="AC530" i="3" a="1"/>
  <c r="AC530" i="3" s="1"/>
  <c r="AA530" i="3" a="1"/>
  <c r="AA530" i="3" s="1"/>
  <c r="Y530" i="3" a="1"/>
  <c r="Y530" i="3" s="1"/>
  <c r="V530" i="3"/>
  <c r="R530" i="3" a="1"/>
  <c r="R530" i="3"/>
  <c r="P530" i="3" a="1"/>
  <c r="P530" i="3"/>
  <c r="N530" i="3" a="1"/>
  <c r="N530" i="3"/>
  <c r="L530" i="3" a="1"/>
  <c r="L530" i="3"/>
  <c r="I530" i="3"/>
  <c r="E530" i="3" a="1"/>
  <c r="E530" i="3" s="1"/>
  <c r="C530" i="3" a="1"/>
  <c r="C530" i="3" s="1"/>
  <c r="BF529" i="3"/>
  <c r="BE529" i="3"/>
  <c r="BD529" i="3"/>
  <c r="BC529" i="3"/>
  <c r="BB529" i="3"/>
  <c r="BA529" i="3"/>
  <c r="AZ529" i="3"/>
  <c r="AY529" i="3"/>
  <c r="AX529" i="3"/>
  <c r="AW529" i="3"/>
  <c r="AV529" i="3"/>
  <c r="AU529" i="3"/>
  <c r="AK529" i="3"/>
  <c r="AH529" i="3"/>
  <c r="AG529" i="3" a="1"/>
  <c r="AG529" i="3" s="1"/>
  <c r="AE529" i="3" a="1"/>
  <c r="AE529" i="3" s="1"/>
  <c r="AC529" i="3" a="1"/>
  <c r="AC529" i="3" s="1"/>
  <c r="AA529" i="3" a="1"/>
  <c r="AA529" i="3" s="1"/>
  <c r="Y529" i="3" a="1"/>
  <c r="Y529" i="3" s="1"/>
  <c r="V529" i="3"/>
  <c r="R529" i="3" a="1"/>
  <c r="R529" i="3"/>
  <c r="P529" i="3" a="1"/>
  <c r="P529" i="3"/>
  <c r="N529" i="3" a="1"/>
  <c r="N529" i="3"/>
  <c r="L529" i="3" a="1"/>
  <c r="L529" i="3"/>
  <c r="I529" i="3"/>
  <c r="E529" i="3" a="1"/>
  <c r="E529" i="3" s="1"/>
  <c r="C529" i="3" a="1"/>
  <c r="C529" i="3" s="1"/>
  <c r="BF528" i="3"/>
  <c r="BE528" i="3"/>
  <c r="BD528" i="3"/>
  <c r="BC528" i="3"/>
  <c r="BB528" i="3"/>
  <c r="BA528" i="3"/>
  <c r="AZ528" i="3"/>
  <c r="AY528" i="3"/>
  <c r="AX528" i="3"/>
  <c r="AW528" i="3"/>
  <c r="AV528" i="3"/>
  <c r="AU528" i="3"/>
  <c r="AK528" i="3"/>
  <c r="AH528" i="3"/>
  <c r="AG528" i="3" a="1"/>
  <c r="AG528" i="3" s="1"/>
  <c r="AE528" i="3" a="1"/>
  <c r="AE528" i="3" s="1"/>
  <c r="AC528" i="3" a="1"/>
  <c r="AC528" i="3" s="1"/>
  <c r="AA528" i="3" a="1"/>
  <c r="AA528" i="3" s="1"/>
  <c r="Y528" i="3" a="1"/>
  <c r="Y528" i="3" s="1"/>
  <c r="V528" i="3"/>
  <c r="R528" i="3" a="1"/>
  <c r="R528" i="3"/>
  <c r="P528" i="3" a="1"/>
  <c r="P528" i="3"/>
  <c r="N528" i="3" a="1"/>
  <c r="N528" i="3"/>
  <c r="L528" i="3" a="1"/>
  <c r="L528" i="3"/>
  <c r="I528" i="3"/>
  <c r="E528" i="3" a="1"/>
  <c r="E528" i="3" s="1"/>
  <c r="C528" i="3" a="1"/>
  <c r="C528" i="3" s="1"/>
  <c r="BF527" i="3"/>
  <c r="BE527" i="3"/>
  <c r="BD527" i="3"/>
  <c r="BC527" i="3"/>
  <c r="BB527" i="3"/>
  <c r="BA527" i="3"/>
  <c r="AZ527" i="3"/>
  <c r="AY527" i="3"/>
  <c r="AX527" i="3"/>
  <c r="AW527" i="3"/>
  <c r="AV527" i="3"/>
  <c r="AU527" i="3"/>
  <c r="AK527" i="3"/>
  <c r="AH527" i="3"/>
  <c r="AG527" i="3" a="1"/>
  <c r="AG527" i="3" s="1"/>
  <c r="AE527" i="3" a="1"/>
  <c r="AE527" i="3" s="1"/>
  <c r="AC527" i="3" a="1"/>
  <c r="AC527" i="3" s="1"/>
  <c r="AA527" i="3" a="1"/>
  <c r="AA527" i="3" s="1"/>
  <c r="Y527" i="3" a="1"/>
  <c r="Y527" i="3" s="1"/>
  <c r="V527" i="3"/>
  <c r="R527" i="3" a="1"/>
  <c r="R527" i="3"/>
  <c r="P527" i="3" a="1"/>
  <c r="P527" i="3"/>
  <c r="N527" i="3" a="1"/>
  <c r="N527" i="3"/>
  <c r="L527" i="3" a="1"/>
  <c r="L527" i="3"/>
  <c r="I527" i="3"/>
  <c r="E527" i="3" a="1"/>
  <c r="E527" i="3" s="1"/>
  <c r="C527" i="3" a="1"/>
  <c r="C527" i="3" s="1"/>
  <c r="BF526" i="3"/>
  <c r="BE526" i="3"/>
  <c r="BD526" i="3"/>
  <c r="BC526" i="3"/>
  <c r="BB526" i="3"/>
  <c r="BA526" i="3"/>
  <c r="AZ526" i="3"/>
  <c r="AY526" i="3"/>
  <c r="AX526" i="3"/>
  <c r="AW526" i="3"/>
  <c r="AV526" i="3"/>
  <c r="AU526" i="3"/>
  <c r="AK526" i="3"/>
  <c r="AH526" i="3"/>
  <c r="AG526" i="3" a="1"/>
  <c r="AG526" i="3" s="1"/>
  <c r="AE526" i="3" a="1"/>
  <c r="AE526" i="3" s="1"/>
  <c r="AC526" i="3" a="1"/>
  <c r="AC526" i="3" s="1"/>
  <c r="AA526" i="3" a="1"/>
  <c r="AA526" i="3" s="1"/>
  <c r="Y526" i="3" a="1"/>
  <c r="Y526" i="3" s="1"/>
  <c r="V526" i="3"/>
  <c r="R526" i="3" a="1"/>
  <c r="R526" i="3"/>
  <c r="P526" i="3" a="1"/>
  <c r="P526" i="3"/>
  <c r="N526" i="3" a="1"/>
  <c r="N526" i="3"/>
  <c r="L526" i="3" a="1"/>
  <c r="L526" i="3"/>
  <c r="I526" i="3"/>
  <c r="E526" i="3" a="1"/>
  <c r="E526" i="3" s="1"/>
  <c r="C526" i="3" a="1"/>
  <c r="C526" i="3" s="1"/>
  <c r="BF525" i="3"/>
  <c r="BE525" i="3"/>
  <c r="BD525" i="3"/>
  <c r="BC525" i="3"/>
  <c r="BB525" i="3"/>
  <c r="BA525" i="3"/>
  <c r="AZ525" i="3"/>
  <c r="AY525" i="3"/>
  <c r="AX525" i="3"/>
  <c r="AW525" i="3"/>
  <c r="AV525" i="3"/>
  <c r="AU525" i="3"/>
  <c r="AK525" i="3"/>
  <c r="AH525" i="3"/>
  <c r="AG525" i="3" a="1"/>
  <c r="AG525" i="3" s="1"/>
  <c r="AE525" i="3" a="1"/>
  <c r="AE525" i="3" s="1"/>
  <c r="AC525" i="3" a="1"/>
  <c r="AC525" i="3" s="1"/>
  <c r="AA525" i="3" a="1"/>
  <c r="AA525" i="3" s="1"/>
  <c r="Y525" i="3" a="1"/>
  <c r="Y525" i="3" s="1"/>
  <c r="V525" i="3"/>
  <c r="R525" i="3" a="1"/>
  <c r="R525" i="3"/>
  <c r="P525" i="3" a="1"/>
  <c r="P525" i="3"/>
  <c r="N525" i="3" a="1"/>
  <c r="N525" i="3"/>
  <c r="L525" i="3" a="1"/>
  <c r="L525" i="3"/>
  <c r="I525" i="3"/>
  <c r="E525" i="3" a="1"/>
  <c r="E525" i="3" s="1"/>
  <c r="C525" i="3" a="1"/>
  <c r="C525" i="3" s="1"/>
  <c r="BF524" i="3"/>
  <c r="BE524" i="3"/>
  <c r="BD524" i="3"/>
  <c r="BC524" i="3"/>
  <c r="BB524" i="3"/>
  <c r="BA524" i="3"/>
  <c r="AZ524" i="3"/>
  <c r="AY524" i="3"/>
  <c r="AX524" i="3"/>
  <c r="AW524" i="3"/>
  <c r="AV524" i="3"/>
  <c r="AU524" i="3"/>
  <c r="AK524" i="3"/>
  <c r="AH524" i="3"/>
  <c r="AG524" i="3" a="1"/>
  <c r="AG524" i="3" s="1"/>
  <c r="AE524" i="3" a="1"/>
  <c r="AE524" i="3" s="1"/>
  <c r="AC524" i="3" a="1"/>
  <c r="AC524" i="3" s="1"/>
  <c r="AA524" i="3" a="1"/>
  <c r="AA524" i="3" s="1"/>
  <c r="Y524" i="3" a="1"/>
  <c r="Y524" i="3" s="1"/>
  <c r="V524" i="3"/>
  <c r="R524" i="3" a="1"/>
  <c r="R524" i="3"/>
  <c r="P524" i="3" a="1"/>
  <c r="P524" i="3"/>
  <c r="N524" i="3" a="1"/>
  <c r="N524" i="3"/>
  <c r="L524" i="3" a="1"/>
  <c r="L524" i="3"/>
  <c r="I524" i="3"/>
  <c r="E524" i="3" a="1"/>
  <c r="E524" i="3" s="1"/>
  <c r="C524" i="3" a="1"/>
  <c r="C524" i="3" s="1"/>
  <c r="BF523" i="3"/>
  <c r="BE523" i="3"/>
  <c r="BD523" i="3"/>
  <c r="BC523" i="3"/>
  <c r="BB523" i="3"/>
  <c r="BA523" i="3"/>
  <c r="AZ523" i="3"/>
  <c r="AY523" i="3"/>
  <c r="AX523" i="3"/>
  <c r="AW523" i="3"/>
  <c r="AV523" i="3"/>
  <c r="AU523" i="3"/>
  <c r="AK523" i="3"/>
  <c r="AH523" i="3"/>
  <c r="AG523" i="3" a="1"/>
  <c r="AG523" i="3" s="1"/>
  <c r="AE523" i="3" a="1"/>
  <c r="AE523" i="3" s="1"/>
  <c r="AC523" i="3" a="1"/>
  <c r="AC523" i="3" s="1"/>
  <c r="AA523" i="3" a="1"/>
  <c r="AA523" i="3" s="1"/>
  <c r="Y523" i="3" a="1"/>
  <c r="Y523" i="3" s="1"/>
  <c r="V523" i="3"/>
  <c r="R523" i="3" a="1"/>
  <c r="R523" i="3"/>
  <c r="P523" i="3" a="1"/>
  <c r="P523" i="3"/>
  <c r="N523" i="3" a="1"/>
  <c r="N523" i="3"/>
  <c r="L523" i="3" a="1"/>
  <c r="L523" i="3"/>
  <c r="I523" i="3"/>
  <c r="E523" i="3" a="1"/>
  <c r="E523" i="3" s="1"/>
  <c r="C523" i="3" a="1"/>
  <c r="C523" i="3" s="1"/>
  <c r="BF522" i="3"/>
  <c r="BE522" i="3"/>
  <c r="BD522" i="3"/>
  <c r="BC522" i="3"/>
  <c r="BB522" i="3"/>
  <c r="BA522" i="3"/>
  <c r="AZ522" i="3"/>
  <c r="AY522" i="3"/>
  <c r="AX522" i="3"/>
  <c r="AW522" i="3"/>
  <c r="AV522" i="3"/>
  <c r="AU522" i="3"/>
  <c r="AK522" i="3"/>
  <c r="AH522" i="3"/>
  <c r="AG522" i="3" a="1"/>
  <c r="AG522" i="3" s="1"/>
  <c r="AE522" i="3" a="1"/>
  <c r="AE522" i="3" s="1"/>
  <c r="AC522" i="3" a="1"/>
  <c r="AC522" i="3" s="1"/>
  <c r="AA522" i="3" a="1"/>
  <c r="AA522" i="3" s="1"/>
  <c r="Y522" i="3" a="1"/>
  <c r="Y522" i="3" s="1"/>
  <c r="V522" i="3"/>
  <c r="R522" i="3" a="1"/>
  <c r="R522" i="3"/>
  <c r="P522" i="3" a="1"/>
  <c r="P522" i="3"/>
  <c r="N522" i="3" a="1"/>
  <c r="N522" i="3"/>
  <c r="L522" i="3" a="1"/>
  <c r="L522" i="3"/>
  <c r="I522" i="3"/>
  <c r="E522" i="3" a="1"/>
  <c r="E522" i="3" s="1"/>
  <c r="C522" i="3" a="1"/>
  <c r="C522" i="3" s="1"/>
  <c r="BF521" i="3"/>
  <c r="BE521" i="3"/>
  <c r="BD521" i="3"/>
  <c r="BC521" i="3"/>
  <c r="BB521" i="3"/>
  <c r="BA521" i="3"/>
  <c r="AZ521" i="3"/>
  <c r="AY521" i="3"/>
  <c r="AX521" i="3"/>
  <c r="AW521" i="3"/>
  <c r="AV521" i="3"/>
  <c r="AU521" i="3"/>
  <c r="AK521" i="3"/>
  <c r="AH521" i="3"/>
  <c r="AG521" i="3" a="1"/>
  <c r="AG521" i="3" s="1"/>
  <c r="AE521" i="3" a="1"/>
  <c r="AE521" i="3" s="1"/>
  <c r="AC521" i="3" a="1"/>
  <c r="AC521" i="3" s="1"/>
  <c r="AA521" i="3" a="1"/>
  <c r="AA521" i="3" s="1"/>
  <c r="Y521" i="3" a="1"/>
  <c r="Y521" i="3" s="1"/>
  <c r="V521" i="3"/>
  <c r="R521" i="3" a="1"/>
  <c r="R521" i="3"/>
  <c r="P521" i="3" a="1"/>
  <c r="P521" i="3"/>
  <c r="N521" i="3" a="1"/>
  <c r="N521" i="3"/>
  <c r="L521" i="3" a="1"/>
  <c r="L521" i="3"/>
  <c r="I521" i="3"/>
  <c r="E521" i="3" a="1"/>
  <c r="E521" i="3" s="1"/>
  <c r="C521" i="3" a="1"/>
  <c r="C521" i="3" s="1"/>
  <c r="BF520" i="3"/>
  <c r="BE520" i="3"/>
  <c r="BD520" i="3"/>
  <c r="BC520" i="3"/>
  <c r="BB520" i="3"/>
  <c r="BA520" i="3"/>
  <c r="AZ520" i="3"/>
  <c r="AY520" i="3"/>
  <c r="AX520" i="3"/>
  <c r="AW520" i="3"/>
  <c r="AV520" i="3"/>
  <c r="AU520" i="3"/>
  <c r="AK520" i="3"/>
  <c r="AH520" i="3"/>
  <c r="AG520" i="3" a="1"/>
  <c r="AG520" i="3" s="1"/>
  <c r="AE520" i="3" a="1"/>
  <c r="AE520" i="3" s="1"/>
  <c r="AC520" i="3" a="1"/>
  <c r="AC520" i="3" s="1"/>
  <c r="AA520" i="3" a="1"/>
  <c r="AA520" i="3" s="1"/>
  <c r="Y520" i="3" a="1"/>
  <c r="Y520" i="3" s="1"/>
  <c r="V520" i="3"/>
  <c r="R520" i="3" a="1"/>
  <c r="R520" i="3"/>
  <c r="P520" i="3" a="1"/>
  <c r="P520" i="3"/>
  <c r="N520" i="3" a="1"/>
  <c r="N520" i="3"/>
  <c r="L520" i="3" a="1"/>
  <c r="L520" i="3"/>
  <c r="I520" i="3"/>
  <c r="E520" i="3" a="1"/>
  <c r="E520" i="3" s="1"/>
  <c r="C520" i="3" a="1"/>
  <c r="C520" i="3" s="1"/>
  <c r="BF519" i="3"/>
  <c r="BE519" i="3"/>
  <c r="BD519" i="3"/>
  <c r="BC519" i="3"/>
  <c r="BB519" i="3"/>
  <c r="BA519" i="3"/>
  <c r="AZ519" i="3"/>
  <c r="AY519" i="3"/>
  <c r="AX519" i="3"/>
  <c r="AW519" i="3"/>
  <c r="AV519" i="3"/>
  <c r="AU519" i="3"/>
  <c r="AK519" i="3"/>
  <c r="AH519" i="3"/>
  <c r="AG519" i="3" a="1"/>
  <c r="AG519" i="3" s="1"/>
  <c r="AE519" i="3" a="1"/>
  <c r="AE519" i="3" s="1"/>
  <c r="AC519" i="3" a="1"/>
  <c r="AC519" i="3" s="1"/>
  <c r="AA519" i="3" a="1"/>
  <c r="AA519" i="3" s="1"/>
  <c r="Y519" i="3" a="1"/>
  <c r="Y519" i="3" s="1"/>
  <c r="V519" i="3"/>
  <c r="R519" i="3" a="1"/>
  <c r="R519" i="3"/>
  <c r="P519" i="3" a="1"/>
  <c r="P519" i="3"/>
  <c r="N519" i="3" a="1"/>
  <c r="N519" i="3"/>
  <c r="L519" i="3" a="1"/>
  <c r="L519" i="3"/>
  <c r="I519" i="3"/>
  <c r="E519" i="3" a="1"/>
  <c r="E519" i="3" s="1"/>
  <c r="C519" i="3" a="1"/>
  <c r="C519" i="3" s="1"/>
  <c r="BF518" i="3"/>
  <c r="BE518" i="3"/>
  <c r="BD518" i="3"/>
  <c r="BC518" i="3"/>
  <c r="BB518" i="3"/>
  <c r="BA518" i="3"/>
  <c r="AZ518" i="3"/>
  <c r="AY518" i="3"/>
  <c r="AX518" i="3"/>
  <c r="AW518" i="3"/>
  <c r="AV518" i="3"/>
  <c r="AU518" i="3"/>
  <c r="AK518" i="3"/>
  <c r="AH518" i="3"/>
  <c r="AG518" i="3" a="1"/>
  <c r="AG518" i="3" s="1"/>
  <c r="AE518" i="3" a="1"/>
  <c r="AE518" i="3" s="1"/>
  <c r="AC518" i="3" a="1"/>
  <c r="AC518" i="3" s="1"/>
  <c r="AA518" i="3" a="1"/>
  <c r="AA518" i="3" s="1"/>
  <c r="Y518" i="3" a="1"/>
  <c r="Y518" i="3" s="1"/>
  <c r="V518" i="3"/>
  <c r="R518" i="3" a="1"/>
  <c r="R518" i="3"/>
  <c r="P518" i="3" a="1"/>
  <c r="P518" i="3"/>
  <c r="N518" i="3" a="1"/>
  <c r="N518" i="3"/>
  <c r="L518" i="3" a="1"/>
  <c r="L518" i="3"/>
  <c r="I518" i="3"/>
  <c r="E518" i="3" a="1"/>
  <c r="E518" i="3" s="1"/>
  <c r="C518" i="3" a="1"/>
  <c r="C518" i="3" s="1"/>
  <c r="BF517" i="3"/>
  <c r="BE517" i="3"/>
  <c r="BD517" i="3"/>
  <c r="BC517" i="3"/>
  <c r="BB517" i="3"/>
  <c r="BA517" i="3"/>
  <c r="AZ517" i="3"/>
  <c r="AY517" i="3"/>
  <c r="AX517" i="3"/>
  <c r="AW517" i="3"/>
  <c r="AV517" i="3"/>
  <c r="AU517" i="3"/>
  <c r="AK517" i="3"/>
  <c r="AH517" i="3"/>
  <c r="AG517" i="3" a="1"/>
  <c r="AG517" i="3" s="1"/>
  <c r="AE517" i="3" a="1"/>
  <c r="AE517" i="3" s="1"/>
  <c r="AC517" i="3" a="1"/>
  <c r="AC517" i="3" s="1"/>
  <c r="AA517" i="3" a="1"/>
  <c r="AA517" i="3" s="1"/>
  <c r="Y517" i="3" a="1"/>
  <c r="Y517" i="3" s="1"/>
  <c r="V517" i="3"/>
  <c r="R517" i="3" a="1"/>
  <c r="R517" i="3"/>
  <c r="P517" i="3" a="1"/>
  <c r="P517" i="3"/>
  <c r="N517" i="3" a="1"/>
  <c r="N517" i="3"/>
  <c r="L517" i="3" a="1"/>
  <c r="L517" i="3"/>
  <c r="I517" i="3"/>
  <c r="E517" i="3" a="1"/>
  <c r="E517" i="3" s="1"/>
  <c r="C517" i="3" a="1"/>
  <c r="C517" i="3" s="1"/>
  <c r="BF516" i="3"/>
  <c r="BE516" i="3"/>
  <c r="BD516" i="3"/>
  <c r="BC516" i="3"/>
  <c r="BB516" i="3"/>
  <c r="BA516" i="3"/>
  <c r="AZ516" i="3"/>
  <c r="AY516" i="3"/>
  <c r="AX516" i="3"/>
  <c r="AW516" i="3"/>
  <c r="AV516" i="3"/>
  <c r="AU516" i="3"/>
  <c r="AK516" i="3"/>
  <c r="AH516" i="3"/>
  <c r="AG516" i="3" a="1"/>
  <c r="AG516" i="3" s="1"/>
  <c r="AE516" i="3" a="1"/>
  <c r="AE516" i="3" s="1"/>
  <c r="AC516" i="3" a="1"/>
  <c r="AC516" i="3" s="1"/>
  <c r="AA516" i="3" a="1"/>
  <c r="AA516" i="3" s="1"/>
  <c r="Y516" i="3" a="1"/>
  <c r="Y516" i="3" s="1"/>
  <c r="V516" i="3"/>
  <c r="R516" i="3" a="1"/>
  <c r="R516" i="3"/>
  <c r="P516" i="3" a="1"/>
  <c r="P516" i="3"/>
  <c r="N516" i="3" a="1"/>
  <c r="N516" i="3"/>
  <c r="L516" i="3" a="1"/>
  <c r="L516" i="3"/>
  <c r="I516" i="3"/>
  <c r="E516" i="3" a="1"/>
  <c r="E516" i="3" s="1"/>
  <c r="C516" i="3" a="1"/>
  <c r="C516" i="3" s="1"/>
  <c r="BF515" i="3"/>
  <c r="BE515" i="3"/>
  <c r="BD515" i="3"/>
  <c r="BC515" i="3"/>
  <c r="BB515" i="3"/>
  <c r="BA515" i="3"/>
  <c r="AZ515" i="3"/>
  <c r="AY515" i="3"/>
  <c r="AX515" i="3"/>
  <c r="AW515" i="3"/>
  <c r="AV515" i="3"/>
  <c r="AU515" i="3"/>
  <c r="AK515" i="3"/>
  <c r="AH515" i="3"/>
  <c r="AG515" i="3" a="1"/>
  <c r="AG515" i="3" s="1"/>
  <c r="AE515" i="3" a="1"/>
  <c r="AE515" i="3" s="1"/>
  <c r="AC515" i="3" a="1"/>
  <c r="AC515" i="3" s="1"/>
  <c r="AA515" i="3" a="1"/>
  <c r="AA515" i="3" s="1"/>
  <c r="Y515" i="3" a="1"/>
  <c r="Y515" i="3" s="1"/>
  <c r="V515" i="3"/>
  <c r="R515" i="3" a="1"/>
  <c r="R515" i="3"/>
  <c r="P515" i="3" a="1"/>
  <c r="P515" i="3"/>
  <c r="N515" i="3" a="1"/>
  <c r="N515" i="3"/>
  <c r="L515" i="3" a="1"/>
  <c r="L515" i="3"/>
  <c r="I515" i="3"/>
  <c r="E515" i="3" a="1"/>
  <c r="E515" i="3" s="1"/>
  <c r="C515" i="3" a="1"/>
  <c r="C515" i="3" s="1"/>
  <c r="BF514" i="3"/>
  <c r="BE514" i="3"/>
  <c r="BD514" i="3"/>
  <c r="BC514" i="3"/>
  <c r="BB514" i="3"/>
  <c r="BA514" i="3"/>
  <c r="AZ514" i="3"/>
  <c r="AY514" i="3"/>
  <c r="AX514" i="3"/>
  <c r="AW514" i="3"/>
  <c r="AV514" i="3"/>
  <c r="AU514" i="3"/>
  <c r="AK514" i="3"/>
  <c r="AH514" i="3"/>
  <c r="AG514" i="3" a="1"/>
  <c r="AG514" i="3" s="1"/>
  <c r="AE514" i="3" a="1"/>
  <c r="AE514" i="3" s="1"/>
  <c r="AC514" i="3" a="1"/>
  <c r="AC514" i="3" s="1"/>
  <c r="AA514" i="3" a="1"/>
  <c r="AA514" i="3" s="1"/>
  <c r="Y514" i="3" a="1"/>
  <c r="Y514" i="3" s="1"/>
  <c r="V514" i="3"/>
  <c r="R514" i="3" a="1"/>
  <c r="R514" i="3"/>
  <c r="P514" i="3" a="1"/>
  <c r="P514" i="3"/>
  <c r="N514" i="3" a="1"/>
  <c r="N514" i="3"/>
  <c r="L514" i="3" a="1"/>
  <c r="L514" i="3"/>
  <c r="I514" i="3"/>
  <c r="E514" i="3" a="1"/>
  <c r="E514" i="3" s="1"/>
  <c r="C514" i="3" a="1"/>
  <c r="C514" i="3" s="1"/>
  <c r="BF513" i="3"/>
  <c r="BE513" i="3"/>
  <c r="BD513" i="3"/>
  <c r="BC513" i="3"/>
  <c r="BB513" i="3"/>
  <c r="BA513" i="3"/>
  <c r="AZ513" i="3"/>
  <c r="AY513" i="3"/>
  <c r="AX513" i="3"/>
  <c r="AW513" i="3"/>
  <c r="AV513" i="3"/>
  <c r="AU513" i="3"/>
  <c r="AK513" i="3"/>
  <c r="AH513" i="3"/>
  <c r="AG513" i="3" a="1"/>
  <c r="AG513" i="3" s="1"/>
  <c r="AE513" i="3" a="1"/>
  <c r="AE513" i="3" s="1"/>
  <c r="AC513" i="3" a="1"/>
  <c r="AC513" i="3" s="1"/>
  <c r="AA513" i="3" a="1"/>
  <c r="AA513" i="3" s="1"/>
  <c r="Y513" i="3" a="1"/>
  <c r="Y513" i="3" s="1"/>
  <c r="V513" i="3"/>
  <c r="R513" i="3" a="1"/>
  <c r="R513" i="3"/>
  <c r="P513" i="3" a="1"/>
  <c r="P513" i="3"/>
  <c r="N513" i="3" a="1"/>
  <c r="N513" i="3"/>
  <c r="L513" i="3" a="1"/>
  <c r="L513" i="3"/>
  <c r="I513" i="3"/>
  <c r="E513" i="3" a="1"/>
  <c r="E513" i="3" s="1"/>
  <c r="C513" i="3" a="1"/>
  <c r="C513" i="3" s="1"/>
  <c r="BF512" i="3"/>
  <c r="BE512" i="3"/>
  <c r="BD512" i="3"/>
  <c r="BC512" i="3"/>
  <c r="BB512" i="3"/>
  <c r="BA512" i="3"/>
  <c r="AZ512" i="3"/>
  <c r="AY512" i="3"/>
  <c r="AX512" i="3"/>
  <c r="AW512" i="3"/>
  <c r="AV512" i="3"/>
  <c r="AU512" i="3"/>
  <c r="AK512" i="3"/>
  <c r="AH512" i="3"/>
  <c r="AG512" i="3" a="1"/>
  <c r="AG512" i="3" s="1"/>
  <c r="AE512" i="3" a="1"/>
  <c r="AE512" i="3" s="1"/>
  <c r="AC512" i="3" a="1"/>
  <c r="AC512" i="3" s="1"/>
  <c r="AA512" i="3" a="1"/>
  <c r="AA512" i="3" s="1"/>
  <c r="Y512" i="3" a="1"/>
  <c r="Y512" i="3" s="1"/>
  <c r="V512" i="3"/>
  <c r="R512" i="3" a="1"/>
  <c r="R512" i="3"/>
  <c r="P512" i="3" a="1"/>
  <c r="P512" i="3"/>
  <c r="N512" i="3" a="1"/>
  <c r="N512" i="3"/>
  <c r="L512" i="3" a="1"/>
  <c r="L512" i="3"/>
  <c r="I512" i="3"/>
  <c r="E512" i="3" a="1"/>
  <c r="E512" i="3" s="1"/>
  <c r="C512" i="3" a="1"/>
  <c r="C512" i="3" s="1"/>
  <c r="BF511" i="3"/>
  <c r="BE511" i="3"/>
  <c r="BD511" i="3"/>
  <c r="BC511" i="3"/>
  <c r="BB511" i="3"/>
  <c r="BA511" i="3"/>
  <c r="AZ511" i="3"/>
  <c r="AY511" i="3"/>
  <c r="AX511" i="3"/>
  <c r="AW511" i="3"/>
  <c r="AV511" i="3"/>
  <c r="AU511" i="3"/>
  <c r="AK511" i="3"/>
  <c r="AH511" i="3"/>
  <c r="AG511" i="3" a="1"/>
  <c r="AG511" i="3" s="1"/>
  <c r="AE511" i="3" a="1"/>
  <c r="AE511" i="3" s="1"/>
  <c r="AC511" i="3" a="1"/>
  <c r="AC511" i="3" s="1"/>
  <c r="AA511" i="3" a="1"/>
  <c r="AA511" i="3" s="1"/>
  <c r="Y511" i="3" a="1"/>
  <c r="Y511" i="3" s="1"/>
  <c r="V511" i="3"/>
  <c r="R511" i="3" a="1"/>
  <c r="R511" i="3"/>
  <c r="P511" i="3" a="1"/>
  <c r="P511" i="3"/>
  <c r="N511" i="3" a="1"/>
  <c r="N511" i="3"/>
  <c r="L511" i="3" a="1"/>
  <c r="L511" i="3"/>
  <c r="I511" i="3"/>
  <c r="E511" i="3" a="1"/>
  <c r="E511" i="3" s="1"/>
  <c r="C511" i="3" a="1"/>
  <c r="C511" i="3" s="1"/>
  <c r="BF510" i="3"/>
  <c r="BE510" i="3"/>
  <c r="BD510" i="3"/>
  <c r="BC510" i="3"/>
  <c r="BB510" i="3"/>
  <c r="BA510" i="3"/>
  <c r="AZ510" i="3"/>
  <c r="AY510" i="3"/>
  <c r="AX510" i="3"/>
  <c r="AW510" i="3"/>
  <c r="AV510" i="3"/>
  <c r="AU510" i="3"/>
  <c r="AK510" i="3"/>
  <c r="AH510" i="3"/>
  <c r="AG510" i="3" a="1"/>
  <c r="AG510" i="3" s="1"/>
  <c r="AE510" i="3" a="1"/>
  <c r="AE510" i="3" s="1"/>
  <c r="AC510" i="3" a="1"/>
  <c r="AC510" i="3" s="1"/>
  <c r="AA510" i="3" a="1"/>
  <c r="AA510" i="3" s="1"/>
  <c r="Y510" i="3" a="1"/>
  <c r="Y510" i="3" s="1"/>
  <c r="V510" i="3"/>
  <c r="R510" i="3" a="1"/>
  <c r="R510" i="3"/>
  <c r="P510" i="3" a="1"/>
  <c r="P510" i="3"/>
  <c r="N510" i="3" a="1"/>
  <c r="N510" i="3"/>
  <c r="L510" i="3" a="1"/>
  <c r="L510" i="3"/>
  <c r="I510" i="3"/>
  <c r="E510" i="3" a="1"/>
  <c r="E510" i="3" s="1"/>
  <c r="C510" i="3" a="1"/>
  <c r="C510" i="3" s="1"/>
  <c r="BF509" i="3"/>
  <c r="BE509" i="3"/>
  <c r="BD509" i="3"/>
  <c r="BC509" i="3"/>
  <c r="BB509" i="3"/>
  <c r="BA509" i="3"/>
  <c r="AZ509" i="3"/>
  <c r="AY509" i="3"/>
  <c r="AX509" i="3"/>
  <c r="AW509" i="3"/>
  <c r="AV509" i="3"/>
  <c r="AU509" i="3"/>
  <c r="AK509" i="3"/>
  <c r="AH509" i="3"/>
  <c r="AG509" i="3" a="1"/>
  <c r="AG509" i="3" s="1"/>
  <c r="AE509" i="3" a="1"/>
  <c r="AE509" i="3" s="1"/>
  <c r="AC509" i="3" a="1"/>
  <c r="AC509" i="3" s="1"/>
  <c r="AA509" i="3" a="1"/>
  <c r="AA509" i="3" s="1"/>
  <c r="Y509" i="3" a="1"/>
  <c r="Y509" i="3" s="1"/>
  <c r="V509" i="3"/>
  <c r="R509" i="3" a="1"/>
  <c r="R509" i="3"/>
  <c r="P509" i="3" a="1"/>
  <c r="P509" i="3"/>
  <c r="N509" i="3" a="1"/>
  <c r="N509" i="3"/>
  <c r="L509" i="3" a="1"/>
  <c r="L509" i="3"/>
  <c r="I509" i="3"/>
  <c r="E509" i="3" a="1"/>
  <c r="E509" i="3" s="1"/>
  <c r="C509" i="3" a="1"/>
  <c r="C509" i="3" s="1"/>
  <c r="BF508" i="3"/>
  <c r="BE508" i="3"/>
  <c r="BD508" i="3"/>
  <c r="BC508" i="3"/>
  <c r="BB508" i="3"/>
  <c r="BA508" i="3"/>
  <c r="AZ508" i="3"/>
  <c r="AY508" i="3"/>
  <c r="AX508" i="3"/>
  <c r="AW508" i="3"/>
  <c r="AV508" i="3"/>
  <c r="AU508" i="3"/>
  <c r="AK508" i="3"/>
  <c r="AH508" i="3"/>
  <c r="AG508" i="3" a="1"/>
  <c r="AG508" i="3" s="1"/>
  <c r="AE508" i="3" a="1"/>
  <c r="AE508" i="3" s="1"/>
  <c r="AC508" i="3" a="1"/>
  <c r="AC508" i="3" s="1"/>
  <c r="AA508" i="3" a="1"/>
  <c r="AA508" i="3" s="1"/>
  <c r="Y508" i="3" a="1"/>
  <c r="Y508" i="3" s="1"/>
  <c r="V508" i="3"/>
  <c r="R508" i="3" a="1"/>
  <c r="R508" i="3"/>
  <c r="P508" i="3" a="1"/>
  <c r="P508" i="3"/>
  <c r="N508" i="3" a="1"/>
  <c r="N508" i="3"/>
  <c r="L508" i="3" a="1"/>
  <c r="L508" i="3"/>
  <c r="I508" i="3"/>
  <c r="E508" i="3" a="1"/>
  <c r="E508" i="3" s="1"/>
  <c r="C508" i="3" a="1"/>
  <c r="C508" i="3" s="1"/>
  <c r="BF507" i="3"/>
  <c r="BE507" i="3"/>
  <c r="BD507" i="3"/>
  <c r="BC507" i="3"/>
  <c r="BB507" i="3"/>
  <c r="BA507" i="3"/>
  <c r="AZ507" i="3"/>
  <c r="AY507" i="3"/>
  <c r="AX507" i="3"/>
  <c r="AW507" i="3"/>
  <c r="AV507" i="3"/>
  <c r="AU507" i="3"/>
  <c r="AK507" i="3"/>
  <c r="AH507" i="3"/>
  <c r="AG507" i="3" a="1"/>
  <c r="AG507" i="3" s="1"/>
  <c r="AE507" i="3" a="1"/>
  <c r="AE507" i="3" s="1"/>
  <c r="AC507" i="3" a="1"/>
  <c r="AC507" i="3" s="1"/>
  <c r="AA507" i="3" a="1"/>
  <c r="AA507" i="3" s="1"/>
  <c r="Y507" i="3" a="1"/>
  <c r="Y507" i="3" s="1"/>
  <c r="V507" i="3"/>
  <c r="R507" i="3" a="1"/>
  <c r="R507" i="3"/>
  <c r="P507" i="3" a="1"/>
  <c r="P507" i="3"/>
  <c r="N507" i="3" a="1"/>
  <c r="N507" i="3"/>
  <c r="L507" i="3" a="1"/>
  <c r="L507" i="3"/>
  <c r="I507" i="3"/>
  <c r="E507" i="3" a="1"/>
  <c r="E507" i="3" s="1"/>
  <c r="C507" i="3" a="1"/>
  <c r="C507" i="3" s="1"/>
  <c r="BF506" i="3"/>
  <c r="BE506" i="3"/>
  <c r="BD506" i="3"/>
  <c r="BC506" i="3"/>
  <c r="BB506" i="3"/>
  <c r="BA506" i="3"/>
  <c r="AZ506" i="3"/>
  <c r="AY506" i="3"/>
  <c r="AX506" i="3"/>
  <c r="AW506" i="3"/>
  <c r="AV506" i="3"/>
  <c r="AU506" i="3"/>
  <c r="AK506" i="3"/>
  <c r="AH506" i="3"/>
  <c r="AG506" i="3" a="1"/>
  <c r="AG506" i="3" s="1"/>
  <c r="AE506" i="3" a="1"/>
  <c r="AE506" i="3" s="1"/>
  <c r="AC506" i="3" a="1"/>
  <c r="AC506" i="3" s="1"/>
  <c r="AA506" i="3" a="1"/>
  <c r="AA506" i="3" s="1"/>
  <c r="Y506" i="3" a="1"/>
  <c r="Y506" i="3" s="1"/>
  <c r="V506" i="3"/>
  <c r="R506" i="3" a="1"/>
  <c r="R506" i="3"/>
  <c r="P506" i="3" a="1"/>
  <c r="P506" i="3"/>
  <c r="N506" i="3" a="1"/>
  <c r="N506" i="3"/>
  <c r="L506" i="3" a="1"/>
  <c r="L506" i="3"/>
  <c r="I506" i="3"/>
  <c r="E506" i="3" a="1"/>
  <c r="E506" i="3" s="1"/>
  <c r="C506" i="3" a="1"/>
  <c r="C506" i="3" s="1"/>
  <c r="BF505" i="3"/>
  <c r="BE505" i="3"/>
  <c r="BD505" i="3"/>
  <c r="BC505" i="3"/>
  <c r="BB505" i="3"/>
  <c r="BA505" i="3"/>
  <c r="AZ505" i="3"/>
  <c r="AY505" i="3"/>
  <c r="AX505" i="3"/>
  <c r="AW505" i="3"/>
  <c r="AV505" i="3"/>
  <c r="AU505" i="3"/>
  <c r="AK505" i="3"/>
  <c r="AH505" i="3"/>
  <c r="AG505" i="3" a="1"/>
  <c r="AG505" i="3" s="1"/>
  <c r="AE505" i="3" a="1"/>
  <c r="AE505" i="3" s="1"/>
  <c r="AC505" i="3" a="1"/>
  <c r="AC505" i="3" s="1"/>
  <c r="AA505" i="3" a="1"/>
  <c r="AA505" i="3" s="1"/>
  <c r="Y505" i="3" a="1"/>
  <c r="Y505" i="3" s="1"/>
  <c r="V505" i="3"/>
  <c r="R505" i="3" a="1"/>
  <c r="R505" i="3"/>
  <c r="P505" i="3" a="1"/>
  <c r="P505" i="3"/>
  <c r="N505" i="3" a="1"/>
  <c r="N505" i="3"/>
  <c r="L505" i="3" a="1"/>
  <c r="L505" i="3"/>
  <c r="I505" i="3"/>
  <c r="E505" i="3" a="1"/>
  <c r="E505" i="3" s="1"/>
  <c r="C505" i="3" a="1"/>
  <c r="C505" i="3" s="1"/>
  <c r="BF504" i="3"/>
  <c r="BE504" i="3"/>
  <c r="BD504" i="3"/>
  <c r="BC504" i="3"/>
  <c r="BB504" i="3"/>
  <c r="BA504" i="3"/>
  <c r="AZ504" i="3"/>
  <c r="AY504" i="3"/>
  <c r="AX504" i="3"/>
  <c r="AW504" i="3"/>
  <c r="AV504" i="3"/>
  <c r="AU504" i="3"/>
  <c r="AK504" i="3"/>
  <c r="AH504" i="3"/>
  <c r="AG504" i="3" a="1"/>
  <c r="AG504" i="3" s="1"/>
  <c r="AE504" i="3" a="1"/>
  <c r="AE504" i="3" s="1"/>
  <c r="AC504" i="3" a="1"/>
  <c r="AC504" i="3" s="1"/>
  <c r="AA504" i="3" a="1"/>
  <c r="AA504" i="3" s="1"/>
  <c r="Y504" i="3" a="1"/>
  <c r="Y504" i="3" s="1"/>
  <c r="V504" i="3"/>
  <c r="R504" i="3" a="1"/>
  <c r="R504" i="3"/>
  <c r="P504" i="3" a="1"/>
  <c r="P504" i="3"/>
  <c r="N504" i="3" a="1"/>
  <c r="N504" i="3"/>
  <c r="L504" i="3" a="1"/>
  <c r="L504" i="3"/>
  <c r="I504" i="3"/>
  <c r="E504" i="3" a="1"/>
  <c r="E504" i="3" s="1"/>
  <c r="C504" i="3" a="1"/>
  <c r="C504" i="3" s="1"/>
  <c r="BF503" i="3"/>
  <c r="BE503" i="3"/>
  <c r="BD503" i="3"/>
  <c r="BC503" i="3"/>
  <c r="BB503" i="3"/>
  <c r="BA503" i="3"/>
  <c r="AZ503" i="3"/>
  <c r="AY503" i="3"/>
  <c r="AX503" i="3"/>
  <c r="AW503" i="3"/>
  <c r="AV503" i="3"/>
  <c r="AU503" i="3"/>
  <c r="AK503" i="3"/>
  <c r="AH503" i="3"/>
  <c r="AG503" i="3" a="1"/>
  <c r="AG503" i="3" s="1"/>
  <c r="AE503" i="3" a="1"/>
  <c r="AE503" i="3" s="1"/>
  <c r="AC503" i="3" a="1"/>
  <c r="AC503" i="3" s="1"/>
  <c r="AA503" i="3" a="1"/>
  <c r="AA503" i="3" s="1"/>
  <c r="Y503" i="3" a="1"/>
  <c r="Y503" i="3" s="1"/>
  <c r="V503" i="3"/>
  <c r="R503" i="3" a="1"/>
  <c r="R503" i="3"/>
  <c r="P503" i="3" a="1"/>
  <c r="P503" i="3"/>
  <c r="N503" i="3" a="1"/>
  <c r="N503" i="3"/>
  <c r="L503" i="3" a="1"/>
  <c r="L503" i="3"/>
  <c r="I503" i="3"/>
  <c r="E503" i="3" a="1"/>
  <c r="E503" i="3" s="1"/>
  <c r="C503" i="3" a="1"/>
  <c r="C503" i="3" s="1"/>
  <c r="BF502" i="3"/>
  <c r="BE502" i="3"/>
  <c r="BD502" i="3"/>
  <c r="BC502" i="3"/>
  <c r="BB502" i="3"/>
  <c r="BA502" i="3"/>
  <c r="AZ502" i="3"/>
  <c r="AY502" i="3"/>
  <c r="AX502" i="3"/>
  <c r="AW502" i="3"/>
  <c r="AV502" i="3"/>
  <c r="AU502" i="3"/>
  <c r="AK502" i="3"/>
  <c r="AH502" i="3"/>
  <c r="AG502" i="3" a="1"/>
  <c r="AG502" i="3" s="1"/>
  <c r="AE502" i="3" a="1"/>
  <c r="AE502" i="3" s="1"/>
  <c r="AC502" i="3" a="1"/>
  <c r="AC502" i="3" s="1"/>
  <c r="AA502" i="3" a="1"/>
  <c r="AA502" i="3" s="1"/>
  <c r="Y502" i="3" a="1"/>
  <c r="Y502" i="3" s="1"/>
  <c r="V502" i="3"/>
  <c r="R502" i="3" a="1"/>
  <c r="R502" i="3"/>
  <c r="P502" i="3" a="1"/>
  <c r="P502" i="3"/>
  <c r="N502" i="3" a="1"/>
  <c r="N502" i="3"/>
  <c r="L502" i="3" a="1"/>
  <c r="L502" i="3"/>
  <c r="I502" i="3"/>
  <c r="E502" i="3" a="1"/>
  <c r="E502" i="3" s="1"/>
  <c r="C502" i="3" a="1"/>
  <c r="C502" i="3" s="1"/>
  <c r="BF501" i="3"/>
  <c r="BE501" i="3"/>
  <c r="BD501" i="3"/>
  <c r="BC501" i="3"/>
  <c r="BB501" i="3"/>
  <c r="BA501" i="3"/>
  <c r="AZ501" i="3"/>
  <c r="AY501" i="3"/>
  <c r="AX501" i="3"/>
  <c r="AW501" i="3"/>
  <c r="AV501" i="3"/>
  <c r="AU501" i="3"/>
  <c r="AK501" i="3"/>
  <c r="AH501" i="3"/>
  <c r="AG501" i="3" a="1"/>
  <c r="AG501" i="3" s="1"/>
  <c r="AE501" i="3" a="1"/>
  <c r="AE501" i="3" s="1"/>
  <c r="AC501" i="3" a="1"/>
  <c r="AC501" i="3" s="1"/>
  <c r="AA501" i="3" a="1"/>
  <c r="AA501" i="3" s="1"/>
  <c r="Y501" i="3" a="1"/>
  <c r="Y501" i="3" s="1"/>
  <c r="V501" i="3"/>
  <c r="R501" i="3" a="1"/>
  <c r="R501" i="3"/>
  <c r="P501" i="3" a="1"/>
  <c r="P501" i="3"/>
  <c r="N501" i="3" a="1"/>
  <c r="N501" i="3"/>
  <c r="L501" i="3" a="1"/>
  <c r="L501" i="3"/>
  <c r="I501" i="3"/>
  <c r="E501" i="3" a="1"/>
  <c r="E501" i="3" s="1"/>
  <c r="C501" i="3" a="1"/>
  <c r="C501" i="3" s="1"/>
  <c r="BF500" i="3"/>
  <c r="BE500" i="3"/>
  <c r="BD500" i="3"/>
  <c r="BC500" i="3"/>
  <c r="BB500" i="3"/>
  <c r="BA500" i="3"/>
  <c r="AZ500" i="3"/>
  <c r="AY500" i="3"/>
  <c r="AX500" i="3"/>
  <c r="AW500" i="3"/>
  <c r="AV500" i="3"/>
  <c r="AU500" i="3"/>
  <c r="AK500" i="3"/>
  <c r="AH500" i="3"/>
  <c r="AG500" i="3" a="1"/>
  <c r="AG500" i="3" s="1"/>
  <c r="AE500" i="3" a="1"/>
  <c r="AE500" i="3" s="1"/>
  <c r="AC500" i="3" a="1"/>
  <c r="AC500" i="3" s="1"/>
  <c r="AA500" i="3" a="1"/>
  <c r="AA500" i="3" s="1"/>
  <c r="Y500" i="3" a="1"/>
  <c r="Y500" i="3" s="1"/>
  <c r="V500" i="3"/>
  <c r="R500" i="3" a="1"/>
  <c r="R500" i="3"/>
  <c r="P500" i="3" a="1"/>
  <c r="P500" i="3"/>
  <c r="N500" i="3" a="1"/>
  <c r="N500" i="3"/>
  <c r="L500" i="3" a="1"/>
  <c r="L500" i="3"/>
  <c r="I500" i="3"/>
  <c r="E500" i="3" a="1"/>
  <c r="E500" i="3" s="1"/>
  <c r="C500" i="3" a="1"/>
  <c r="C500" i="3" s="1"/>
  <c r="BF499" i="3"/>
  <c r="BE499" i="3"/>
  <c r="BD499" i="3"/>
  <c r="BC499" i="3"/>
  <c r="BB499" i="3"/>
  <c r="BA499" i="3"/>
  <c r="AZ499" i="3"/>
  <c r="AY499" i="3"/>
  <c r="AX499" i="3"/>
  <c r="AW499" i="3"/>
  <c r="AV499" i="3"/>
  <c r="AU499" i="3"/>
  <c r="AK499" i="3"/>
  <c r="AH499" i="3"/>
  <c r="AG499" i="3" a="1"/>
  <c r="AG499" i="3" s="1"/>
  <c r="AE499" i="3" a="1"/>
  <c r="AE499" i="3" s="1"/>
  <c r="AC499" i="3" a="1"/>
  <c r="AC499" i="3" s="1"/>
  <c r="AA499" i="3" a="1"/>
  <c r="AA499" i="3" s="1"/>
  <c r="Y499" i="3" a="1"/>
  <c r="Y499" i="3" s="1"/>
  <c r="V499" i="3"/>
  <c r="R499" i="3" a="1"/>
  <c r="R499" i="3"/>
  <c r="P499" i="3" a="1"/>
  <c r="P499" i="3"/>
  <c r="N499" i="3" a="1"/>
  <c r="N499" i="3"/>
  <c r="L499" i="3" a="1"/>
  <c r="L499" i="3"/>
  <c r="I499" i="3"/>
  <c r="E499" i="3" a="1"/>
  <c r="E499" i="3" s="1"/>
  <c r="C499" i="3" a="1"/>
  <c r="C499" i="3" s="1"/>
  <c r="BF498" i="3"/>
  <c r="BE498" i="3"/>
  <c r="BD498" i="3"/>
  <c r="BC498" i="3"/>
  <c r="BB498" i="3"/>
  <c r="BA498" i="3"/>
  <c r="AZ498" i="3"/>
  <c r="AY498" i="3"/>
  <c r="AX498" i="3"/>
  <c r="AW498" i="3"/>
  <c r="AV498" i="3"/>
  <c r="AU498" i="3"/>
  <c r="AK498" i="3"/>
  <c r="AH498" i="3"/>
  <c r="AG498" i="3" a="1"/>
  <c r="AG498" i="3" s="1"/>
  <c r="AE498" i="3" a="1"/>
  <c r="AE498" i="3" s="1"/>
  <c r="AC498" i="3" a="1"/>
  <c r="AC498" i="3" s="1"/>
  <c r="AA498" i="3" a="1"/>
  <c r="AA498" i="3" s="1"/>
  <c r="Y498" i="3" a="1"/>
  <c r="Y498" i="3" s="1"/>
  <c r="V498" i="3"/>
  <c r="R498" i="3" a="1"/>
  <c r="R498" i="3"/>
  <c r="P498" i="3" a="1"/>
  <c r="P498" i="3"/>
  <c r="N498" i="3" a="1"/>
  <c r="N498" i="3"/>
  <c r="L498" i="3" a="1"/>
  <c r="L498" i="3"/>
  <c r="I498" i="3"/>
  <c r="E498" i="3" a="1"/>
  <c r="E498" i="3" s="1"/>
  <c r="C498" i="3" a="1"/>
  <c r="C498" i="3" s="1"/>
  <c r="BF497" i="3"/>
  <c r="BE497" i="3"/>
  <c r="BD497" i="3"/>
  <c r="BC497" i="3"/>
  <c r="BB497" i="3"/>
  <c r="BA497" i="3"/>
  <c r="AZ497" i="3"/>
  <c r="AY497" i="3"/>
  <c r="AX497" i="3"/>
  <c r="AW497" i="3"/>
  <c r="AV497" i="3"/>
  <c r="AU497" i="3"/>
  <c r="AK497" i="3"/>
  <c r="AH497" i="3"/>
  <c r="AG497" i="3" a="1"/>
  <c r="AG497" i="3" s="1"/>
  <c r="AE497" i="3" a="1"/>
  <c r="AE497" i="3" s="1"/>
  <c r="AC497" i="3" a="1"/>
  <c r="AC497" i="3" s="1"/>
  <c r="AA497" i="3" a="1"/>
  <c r="AA497" i="3" s="1"/>
  <c r="Y497" i="3" a="1"/>
  <c r="Y497" i="3" s="1"/>
  <c r="V497" i="3"/>
  <c r="R497" i="3" a="1"/>
  <c r="R497" i="3"/>
  <c r="P497" i="3" a="1"/>
  <c r="P497" i="3"/>
  <c r="N497" i="3" a="1"/>
  <c r="N497" i="3"/>
  <c r="L497" i="3" a="1"/>
  <c r="L497" i="3"/>
  <c r="I497" i="3"/>
  <c r="E497" i="3" a="1"/>
  <c r="E497" i="3" s="1"/>
  <c r="C497" i="3" a="1"/>
  <c r="C497" i="3" s="1"/>
  <c r="BF496" i="3"/>
  <c r="BE496" i="3"/>
  <c r="BD496" i="3"/>
  <c r="BC496" i="3"/>
  <c r="BB496" i="3"/>
  <c r="BA496" i="3"/>
  <c r="AZ496" i="3"/>
  <c r="AY496" i="3"/>
  <c r="AX496" i="3"/>
  <c r="AW496" i="3"/>
  <c r="AV496" i="3"/>
  <c r="AU496" i="3"/>
  <c r="AK496" i="3"/>
  <c r="AH496" i="3"/>
  <c r="AG496" i="3" a="1"/>
  <c r="AG496" i="3" s="1"/>
  <c r="AE496" i="3" a="1"/>
  <c r="AE496" i="3" s="1"/>
  <c r="AC496" i="3" a="1"/>
  <c r="AC496" i="3" s="1"/>
  <c r="AA496" i="3" a="1"/>
  <c r="AA496" i="3" s="1"/>
  <c r="Y496" i="3" a="1"/>
  <c r="Y496" i="3" s="1"/>
  <c r="V496" i="3"/>
  <c r="R496" i="3" a="1"/>
  <c r="R496" i="3"/>
  <c r="P496" i="3" a="1"/>
  <c r="P496" i="3"/>
  <c r="N496" i="3" a="1"/>
  <c r="N496" i="3"/>
  <c r="L496" i="3" a="1"/>
  <c r="L496" i="3"/>
  <c r="I496" i="3"/>
  <c r="E496" i="3" a="1"/>
  <c r="E496" i="3" s="1"/>
  <c r="C496" i="3" a="1"/>
  <c r="C496" i="3" s="1"/>
  <c r="BF495" i="3"/>
  <c r="BE495" i="3"/>
  <c r="BD495" i="3"/>
  <c r="BC495" i="3"/>
  <c r="BB495" i="3"/>
  <c r="BA495" i="3"/>
  <c r="AZ495" i="3"/>
  <c r="AY495" i="3"/>
  <c r="AX495" i="3"/>
  <c r="AW495" i="3"/>
  <c r="AV495" i="3"/>
  <c r="AU495" i="3"/>
  <c r="AK495" i="3"/>
  <c r="AH495" i="3"/>
  <c r="AG495" i="3" a="1"/>
  <c r="AG495" i="3" s="1"/>
  <c r="AE495" i="3" a="1"/>
  <c r="AE495" i="3" s="1"/>
  <c r="AC495" i="3" a="1"/>
  <c r="AC495" i="3" s="1"/>
  <c r="AA495" i="3" a="1"/>
  <c r="AA495" i="3" s="1"/>
  <c r="Y495" i="3" a="1"/>
  <c r="Y495" i="3" s="1"/>
  <c r="V495" i="3"/>
  <c r="R495" i="3" a="1"/>
  <c r="R495" i="3"/>
  <c r="P495" i="3" a="1"/>
  <c r="P495" i="3"/>
  <c r="N495" i="3" a="1"/>
  <c r="N495" i="3"/>
  <c r="L495" i="3" a="1"/>
  <c r="L495" i="3"/>
  <c r="I495" i="3"/>
  <c r="E495" i="3" a="1"/>
  <c r="E495" i="3" s="1"/>
  <c r="C495" i="3" a="1"/>
  <c r="C495" i="3" s="1"/>
  <c r="BF494" i="3"/>
  <c r="BE494" i="3"/>
  <c r="BD494" i="3"/>
  <c r="BC494" i="3"/>
  <c r="BB494" i="3"/>
  <c r="BA494" i="3"/>
  <c r="AZ494" i="3"/>
  <c r="AY494" i="3"/>
  <c r="AX494" i="3"/>
  <c r="AW494" i="3"/>
  <c r="AV494" i="3"/>
  <c r="AU494" i="3"/>
  <c r="AK494" i="3"/>
  <c r="AH494" i="3"/>
  <c r="AG494" i="3" a="1"/>
  <c r="AG494" i="3" s="1"/>
  <c r="AE494" i="3" a="1"/>
  <c r="AE494" i="3" s="1"/>
  <c r="AC494" i="3" a="1"/>
  <c r="AC494" i="3" s="1"/>
  <c r="AA494" i="3" a="1"/>
  <c r="AA494" i="3" s="1"/>
  <c r="Y494" i="3" a="1"/>
  <c r="Y494" i="3" s="1"/>
  <c r="V494" i="3"/>
  <c r="R494" i="3" a="1"/>
  <c r="R494" i="3"/>
  <c r="P494" i="3" a="1"/>
  <c r="P494" i="3"/>
  <c r="N494" i="3" a="1"/>
  <c r="N494" i="3"/>
  <c r="L494" i="3" a="1"/>
  <c r="L494" i="3"/>
  <c r="I494" i="3"/>
  <c r="E494" i="3" a="1"/>
  <c r="E494" i="3" s="1"/>
  <c r="C494" i="3" a="1"/>
  <c r="C494" i="3" s="1"/>
  <c r="BF493" i="3"/>
  <c r="BE493" i="3"/>
  <c r="BD493" i="3"/>
  <c r="BC493" i="3"/>
  <c r="BB493" i="3"/>
  <c r="BA493" i="3"/>
  <c r="AZ493" i="3"/>
  <c r="AY493" i="3"/>
  <c r="AX493" i="3"/>
  <c r="AW493" i="3"/>
  <c r="AV493" i="3"/>
  <c r="AU493" i="3"/>
  <c r="AK493" i="3"/>
  <c r="AH493" i="3"/>
  <c r="AG493" i="3" a="1"/>
  <c r="AG493" i="3" s="1"/>
  <c r="AE493" i="3" a="1"/>
  <c r="AE493" i="3" s="1"/>
  <c r="AC493" i="3" a="1"/>
  <c r="AC493" i="3" s="1"/>
  <c r="AA493" i="3" a="1"/>
  <c r="AA493" i="3" s="1"/>
  <c r="Y493" i="3" a="1"/>
  <c r="Y493" i="3" s="1"/>
  <c r="V493" i="3"/>
  <c r="R493" i="3" a="1"/>
  <c r="R493" i="3"/>
  <c r="P493" i="3" a="1"/>
  <c r="P493" i="3"/>
  <c r="N493" i="3" a="1"/>
  <c r="N493" i="3"/>
  <c r="L493" i="3" a="1"/>
  <c r="L493" i="3"/>
  <c r="I493" i="3"/>
  <c r="E493" i="3" a="1"/>
  <c r="E493" i="3" s="1"/>
  <c r="C493" i="3" a="1"/>
  <c r="C493" i="3" s="1"/>
  <c r="BF492" i="3"/>
  <c r="BE492" i="3"/>
  <c r="BD492" i="3"/>
  <c r="BC492" i="3"/>
  <c r="BB492" i="3"/>
  <c r="BA492" i="3"/>
  <c r="AZ492" i="3"/>
  <c r="AY492" i="3"/>
  <c r="AX492" i="3"/>
  <c r="AW492" i="3"/>
  <c r="AV492" i="3"/>
  <c r="AU492" i="3"/>
  <c r="AK492" i="3"/>
  <c r="AH492" i="3"/>
  <c r="AG492" i="3" a="1"/>
  <c r="AG492" i="3" s="1"/>
  <c r="AE492" i="3" a="1"/>
  <c r="AE492" i="3" s="1"/>
  <c r="AC492" i="3" a="1"/>
  <c r="AC492" i="3" s="1"/>
  <c r="AA492" i="3" a="1"/>
  <c r="AA492" i="3" s="1"/>
  <c r="Y492" i="3" a="1"/>
  <c r="Y492" i="3" s="1"/>
  <c r="V492" i="3"/>
  <c r="R492" i="3" a="1"/>
  <c r="R492" i="3"/>
  <c r="P492" i="3" a="1"/>
  <c r="P492" i="3"/>
  <c r="N492" i="3" a="1"/>
  <c r="N492" i="3"/>
  <c r="L492" i="3" a="1"/>
  <c r="L492" i="3"/>
  <c r="I492" i="3"/>
  <c r="E492" i="3" a="1"/>
  <c r="E492" i="3" s="1"/>
  <c r="C492" i="3" a="1"/>
  <c r="C492" i="3" s="1"/>
  <c r="BF491" i="3"/>
  <c r="BE491" i="3"/>
  <c r="BD491" i="3"/>
  <c r="BC491" i="3"/>
  <c r="BB491" i="3"/>
  <c r="BA491" i="3"/>
  <c r="AZ491" i="3"/>
  <c r="AY491" i="3"/>
  <c r="AX491" i="3"/>
  <c r="AW491" i="3"/>
  <c r="AV491" i="3"/>
  <c r="AU491" i="3"/>
  <c r="AK491" i="3"/>
  <c r="AH491" i="3"/>
  <c r="AG491" i="3" a="1"/>
  <c r="AG491" i="3" s="1"/>
  <c r="AE491" i="3" a="1"/>
  <c r="AE491" i="3" s="1"/>
  <c r="AC491" i="3" a="1"/>
  <c r="AC491" i="3" s="1"/>
  <c r="AA491" i="3" a="1"/>
  <c r="AA491" i="3" s="1"/>
  <c r="Y491" i="3" a="1"/>
  <c r="Y491" i="3" s="1"/>
  <c r="V491" i="3"/>
  <c r="R491" i="3" a="1"/>
  <c r="R491" i="3"/>
  <c r="P491" i="3" a="1"/>
  <c r="P491" i="3"/>
  <c r="N491" i="3" a="1"/>
  <c r="N491" i="3"/>
  <c r="L491" i="3" a="1"/>
  <c r="L491" i="3"/>
  <c r="I491" i="3"/>
  <c r="E491" i="3" a="1"/>
  <c r="E491" i="3" s="1"/>
  <c r="C491" i="3" a="1"/>
  <c r="C491" i="3" s="1"/>
  <c r="BF490" i="3"/>
  <c r="BE490" i="3"/>
  <c r="BD490" i="3"/>
  <c r="BC490" i="3"/>
  <c r="BB490" i="3"/>
  <c r="BA490" i="3"/>
  <c r="AZ490" i="3"/>
  <c r="AY490" i="3"/>
  <c r="AX490" i="3"/>
  <c r="AW490" i="3"/>
  <c r="AV490" i="3"/>
  <c r="AU490" i="3"/>
  <c r="AK490" i="3"/>
  <c r="AH490" i="3"/>
  <c r="AG490" i="3" a="1"/>
  <c r="AG490" i="3" s="1"/>
  <c r="AE490" i="3" a="1"/>
  <c r="AE490" i="3" s="1"/>
  <c r="AC490" i="3" a="1"/>
  <c r="AC490" i="3" s="1"/>
  <c r="AA490" i="3" a="1"/>
  <c r="AA490" i="3" s="1"/>
  <c r="Y490" i="3" a="1"/>
  <c r="Y490" i="3" s="1"/>
  <c r="V490" i="3"/>
  <c r="R490" i="3" a="1"/>
  <c r="R490" i="3"/>
  <c r="P490" i="3" a="1"/>
  <c r="P490" i="3"/>
  <c r="N490" i="3" a="1"/>
  <c r="N490" i="3"/>
  <c r="L490" i="3" a="1"/>
  <c r="L490" i="3"/>
  <c r="I490" i="3"/>
  <c r="E490" i="3" a="1"/>
  <c r="E490" i="3" s="1"/>
  <c r="C490" i="3" a="1"/>
  <c r="C490" i="3" s="1"/>
  <c r="BF489" i="3"/>
  <c r="BE489" i="3"/>
  <c r="BD489" i="3"/>
  <c r="BC489" i="3"/>
  <c r="BB489" i="3"/>
  <c r="BA489" i="3"/>
  <c r="AZ489" i="3"/>
  <c r="AY489" i="3"/>
  <c r="AX489" i="3"/>
  <c r="AW489" i="3"/>
  <c r="AV489" i="3"/>
  <c r="AU489" i="3"/>
  <c r="AK489" i="3"/>
  <c r="AH489" i="3"/>
  <c r="AG489" i="3" a="1"/>
  <c r="AG489" i="3" s="1"/>
  <c r="AE489" i="3" a="1"/>
  <c r="AE489" i="3" s="1"/>
  <c r="AC489" i="3" a="1"/>
  <c r="AC489" i="3" s="1"/>
  <c r="AA489" i="3" a="1"/>
  <c r="AA489" i="3" s="1"/>
  <c r="Y489" i="3" a="1"/>
  <c r="Y489" i="3" s="1"/>
  <c r="V489" i="3"/>
  <c r="R489" i="3" a="1"/>
  <c r="R489" i="3"/>
  <c r="P489" i="3" a="1"/>
  <c r="P489" i="3"/>
  <c r="N489" i="3" a="1"/>
  <c r="N489" i="3"/>
  <c r="L489" i="3" a="1"/>
  <c r="L489" i="3"/>
  <c r="I489" i="3"/>
  <c r="E489" i="3" a="1"/>
  <c r="E489" i="3" s="1"/>
  <c r="C489" i="3" a="1"/>
  <c r="C489" i="3" s="1"/>
  <c r="BF488" i="3"/>
  <c r="BE488" i="3"/>
  <c r="BD488" i="3"/>
  <c r="BC488" i="3"/>
  <c r="BB488" i="3"/>
  <c r="BA488" i="3"/>
  <c r="AZ488" i="3"/>
  <c r="AY488" i="3"/>
  <c r="AX488" i="3"/>
  <c r="AW488" i="3"/>
  <c r="AV488" i="3"/>
  <c r="AU488" i="3"/>
  <c r="AK488" i="3"/>
  <c r="AH488" i="3"/>
  <c r="AG488" i="3" a="1"/>
  <c r="AG488" i="3" s="1"/>
  <c r="AE488" i="3" a="1"/>
  <c r="AE488" i="3" s="1"/>
  <c r="AC488" i="3" a="1"/>
  <c r="AC488" i="3" s="1"/>
  <c r="AA488" i="3" a="1"/>
  <c r="AA488" i="3" s="1"/>
  <c r="Y488" i="3" a="1"/>
  <c r="Y488" i="3" s="1"/>
  <c r="V488" i="3"/>
  <c r="R488" i="3" a="1"/>
  <c r="R488" i="3"/>
  <c r="P488" i="3" a="1"/>
  <c r="P488" i="3"/>
  <c r="N488" i="3" a="1"/>
  <c r="N488" i="3"/>
  <c r="L488" i="3" a="1"/>
  <c r="L488" i="3"/>
  <c r="I488" i="3"/>
  <c r="E488" i="3" a="1"/>
  <c r="E488" i="3" s="1"/>
  <c r="C488" i="3" a="1"/>
  <c r="C488" i="3" s="1"/>
  <c r="BF487" i="3"/>
  <c r="BE487" i="3"/>
  <c r="BD487" i="3"/>
  <c r="BC487" i="3"/>
  <c r="BB487" i="3"/>
  <c r="BA487" i="3"/>
  <c r="AZ487" i="3"/>
  <c r="AY487" i="3"/>
  <c r="AX487" i="3"/>
  <c r="AW487" i="3"/>
  <c r="AV487" i="3"/>
  <c r="AU487" i="3"/>
  <c r="AK487" i="3"/>
  <c r="AH487" i="3"/>
  <c r="AG487" i="3" a="1"/>
  <c r="AG487" i="3" s="1"/>
  <c r="AE487" i="3" a="1"/>
  <c r="AE487" i="3" s="1"/>
  <c r="AC487" i="3" a="1"/>
  <c r="AC487" i="3" s="1"/>
  <c r="AA487" i="3" a="1"/>
  <c r="AA487" i="3" s="1"/>
  <c r="Y487" i="3" a="1"/>
  <c r="Y487" i="3" s="1"/>
  <c r="V487" i="3"/>
  <c r="R487" i="3" a="1"/>
  <c r="R487" i="3"/>
  <c r="P487" i="3" a="1"/>
  <c r="P487" i="3"/>
  <c r="N487" i="3" a="1"/>
  <c r="N487" i="3"/>
  <c r="L487" i="3" a="1"/>
  <c r="L487" i="3"/>
  <c r="I487" i="3"/>
  <c r="E487" i="3" a="1"/>
  <c r="E487" i="3" s="1"/>
  <c r="C487" i="3" a="1"/>
  <c r="C487" i="3" s="1"/>
  <c r="BF486" i="3"/>
  <c r="BE486" i="3"/>
  <c r="BD486" i="3"/>
  <c r="BC486" i="3"/>
  <c r="BB486" i="3"/>
  <c r="BA486" i="3"/>
  <c r="AZ486" i="3"/>
  <c r="AY486" i="3"/>
  <c r="AX486" i="3"/>
  <c r="AW486" i="3"/>
  <c r="AV486" i="3"/>
  <c r="AU486" i="3"/>
  <c r="AK486" i="3"/>
  <c r="AH486" i="3"/>
  <c r="AG486" i="3" a="1"/>
  <c r="AG486" i="3" s="1"/>
  <c r="AE486" i="3" a="1"/>
  <c r="AE486" i="3" s="1"/>
  <c r="AC486" i="3" a="1"/>
  <c r="AC486" i="3" s="1"/>
  <c r="AA486" i="3" a="1"/>
  <c r="AA486" i="3" s="1"/>
  <c r="Y486" i="3" a="1"/>
  <c r="Y486" i="3" s="1"/>
  <c r="V486" i="3"/>
  <c r="R486" i="3" a="1"/>
  <c r="R486" i="3"/>
  <c r="P486" i="3" a="1"/>
  <c r="P486" i="3"/>
  <c r="N486" i="3" a="1"/>
  <c r="N486" i="3"/>
  <c r="L486" i="3" a="1"/>
  <c r="L486" i="3"/>
  <c r="I486" i="3"/>
  <c r="E486" i="3" a="1"/>
  <c r="E486" i="3" s="1"/>
  <c r="C486" i="3" a="1"/>
  <c r="C486" i="3" s="1"/>
  <c r="BF485" i="3"/>
  <c r="BE485" i="3"/>
  <c r="BD485" i="3"/>
  <c r="BC485" i="3"/>
  <c r="BB485" i="3"/>
  <c r="BA485" i="3"/>
  <c r="AZ485" i="3"/>
  <c r="AY485" i="3"/>
  <c r="AX485" i="3"/>
  <c r="AW485" i="3"/>
  <c r="AV485" i="3"/>
  <c r="AU485" i="3"/>
  <c r="AK485" i="3"/>
  <c r="AH485" i="3"/>
  <c r="AG485" i="3" a="1"/>
  <c r="AG485" i="3" s="1"/>
  <c r="AE485" i="3" a="1"/>
  <c r="AE485" i="3" s="1"/>
  <c r="AC485" i="3" a="1"/>
  <c r="AC485" i="3" s="1"/>
  <c r="AA485" i="3" a="1"/>
  <c r="AA485" i="3" s="1"/>
  <c r="Y485" i="3" a="1"/>
  <c r="Y485" i="3" s="1"/>
  <c r="V485" i="3"/>
  <c r="R485" i="3" a="1"/>
  <c r="R485" i="3"/>
  <c r="P485" i="3" a="1"/>
  <c r="P485" i="3"/>
  <c r="N485" i="3" a="1"/>
  <c r="N485" i="3"/>
  <c r="L485" i="3" a="1"/>
  <c r="L485" i="3"/>
  <c r="I485" i="3"/>
  <c r="E485" i="3" a="1"/>
  <c r="E485" i="3" s="1"/>
  <c r="C485" i="3" a="1"/>
  <c r="C485" i="3" s="1"/>
  <c r="BF484" i="3"/>
  <c r="BE484" i="3"/>
  <c r="BD484" i="3"/>
  <c r="BC484" i="3"/>
  <c r="BB484" i="3"/>
  <c r="BA484" i="3"/>
  <c r="AZ484" i="3"/>
  <c r="AY484" i="3"/>
  <c r="AX484" i="3"/>
  <c r="AW484" i="3"/>
  <c r="AV484" i="3"/>
  <c r="AU484" i="3"/>
  <c r="AK484" i="3"/>
  <c r="AH484" i="3"/>
  <c r="AG484" i="3" a="1"/>
  <c r="AG484" i="3" s="1"/>
  <c r="AE484" i="3" a="1"/>
  <c r="AE484" i="3" s="1"/>
  <c r="AC484" i="3" a="1"/>
  <c r="AC484" i="3" s="1"/>
  <c r="AA484" i="3" a="1"/>
  <c r="AA484" i="3" s="1"/>
  <c r="Y484" i="3" a="1"/>
  <c r="Y484" i="3" s="1"/>
  <c r="V484" i="3"/>
  <c r="R484" i="3" a="1"/>
  <c r="R484" i="3"/>
  <c r="P484" i="3" a="1"/>
  <c r="P484" i="3"/>
  <c r="N484" i="3" a="1"/>
  <c r="N484" i="3"/>
  <c r="L484" i="3" a="1"/>
  <c r="L484" i="3"/>
  <c r="I484" i="3"/>
  <c r="E484" i="3" a="1"/>
  <c r="E484" i="3" s="1"/>
  <c r="C484" i="3" a="1"/>
  <c r="C484" i="3" s="1"/>
  <c r="BF483" i="3"/>
  <c r="BE483" i="3"/>
  <c r="BD483" i="3"/>
  <c r="BC483" i="3"/>
  <c r="BB483" i="3"/>
  <c r="BA483" i="3"/>
  <c r="AZ483" i="3"/>
  <c r="AY483" i="3"/>
  <c r="AX483" i="3"/>
  <c r="AW483" i="3"/>
  <c r="AV483" i="3"/>
  <c r="AU483" i="3"/>
  <c r="AK483" i="3"/>
  <c r="AH483" i="3"/>
  <c r="AG483" i="3" a="1"/>
  <c r="AG483" i="3" s="1"/>
  <c r="AE483" i="3" a="1"/>
  <c r="AE483" i="3" s="1"/>
  <c r="AC483" i="3" a="1"/>
  <c r="AC483" i="3" s="1"/>
  <c r="AA483" i="3" a="1"/>
  <c r="AA483" i="3" s="1"/>
  <c r="Y483" i="3" a="1"/>
  <c r="Y483" i="3"/>
  <c r="V483" i="3"/>
  <c r="R483" i="3" a="1"/>
  <c r="R483" i="3" s="1"/>
  <c r="P483" i="3" a="1"/>
  <c r="P483" i="3" s="1"/>
  <c r="N483" i="3" a="1"/>
  <c r="N483" i="3" s="1"/>
  <c r="L483" i="3" a="1"/>
  <c r="L483" i="3" s="1"/>
  <c r="I483" i="3"/>
  <c r="E483" i="3" a="1"/>
  <c r="E483" i="3" s="1"/>
  <c r="C483" i="3" a="1"/>
  <c r="C483" i="3" s="1"/>
  <c r="BF482" i="3"/>
  <c r="BE482" i="3"/>
  <c r="BD482" i="3"/>
  <c r="BC482" i="3"/>
  <c r="BB482" i="3"/>
  <c r="BA482" i="3"/>
  <c r="AZ482" i="3"/>
  <c r="AY482" i="3"/>
  <c r="AX482" i="3"/>
  <c r="AW482" i="3"/>
  <c r="AV482" i="3"/>
  <c r="AU482" i="3"/>
  <c r="AK482" i="3"/>
  <c r="AH482" i="3"/>
  <c r="AG482" i="3" a="1"/>
  <c r="AG482" i="3"/>
  <c r="AE482" i="3" a="1"/>
  <c r="AE482" i="3"/>
  <c r="AC482" i="3" a="1"/>
  <c r="AC482" i="3" s="1"/>
  <c r="AA482" i="3" a="1"/>
  <c r="AA482" i="3"/>
  <c r="Y482" i="3" a="1"/>
  <c r="Y482" i="3" s="1"/>
  <c r="V482" i="3"/>
  <c r="R482" i="3" a="1"/>
  <c r="R482" i="3" s="1"/>
  <c r="P482" i="3" a="1"/>
  <c r="P482" i="3"/>
  <c r="N482" i="3" a="1"/>
  <c r="N482" i="3" s="1"/>
  <c r="L482" i="3" a="1"/>
  <c r="L482" i="3" s="1"/>
  <c r="I482" i="3"/>
  <c r="E482" i="3" a="1"/>
  <c r="E482" i="3" s="1"/>
  <c r="C482" i="3" a="1"/>
  <c r="C482" i="3" s="1"/>
  <c r="BF481" i="3"/>
  <c r="BE481" i="3"/>
  <c r="BD481" i="3"/>
  <c r="BC481" i="3"/>
  <c r="BB481" i="3"/>
  <c r="BA481" i="3"/>
  <c r="AZ481" i="3"/>
  <c r="AY481" i="3"/>
  <c r="AX481" i="3"/>
  <c r="AW481" i="3"/>
  <c r="AV481" i="3"/>
  <c r="AU481" i="3"/>
  <c r="AK481" i="3"/>
  <c r="AH481" i="3"/>
  <c r="AG481" i="3" a="1"/>
  <c r="AG481" i="3"/>
  <c r="AE481" i="3" a="1"/>
  <c r="AE481" i="3" s="1"/>
  <c r="AC481" i="3" a="1"/>
  <c r="AC481" i="3" s="1"/>
  <c r="AA481" i="3" a="1"/>
  <c r="AA481" i="3" s="1"/>
  <c r="Y481" i="3" a="1"/>
  <c r="Y481" i="3" s="1"/>
  <c r="V481" i="3"/>
  <c r="R481" i="3" a="1"/>
  <c r="R481" i="3"/>
  <c r="P481" i="3" a="1"/>
  <c r="P481" i="3"/>
  <c r="N481" i="3" a="1"/>
  <c r="N481" i="3"/>
  <c r="L481" i="3" a="1"/>
  <c r="L481" i="3" s="1"/>
  <c r="I481" i="3"/>
  <c r="E481" i="3" a="1"/>
  <c r="E481" i="3" s="1"/>
  <c r="C481" i="3" a="1"/>
  <c r="C481" i="3" s="1"/>
  <c r="BF480" i="3"/>
  <c r="BE480" i="3"/>
  <c r="BD480" i="3"/>
  <c r="BC480" i="3"/>
  <c r="BB480" i="3"/>
  <c r="BA480" i="3"/>
  <c r="AZ480" i="3"/>
  <c r="AY480" i="3"/>
  <c r="AX480" i="3"/>
  <c r="AW480" i="3"/>
  <c r="AV480" i="3"/>
  <c r="AU480" i="3"/>
  <c r="AK480" i="3"/>
  <c r="AH480" i="3"/>
  <c r="AG480" i="3" a="1"/>
  <c r="AG480" i="3" s="1"/>
  <c r="AE480" i="3" a="1"/>
  <c r="AE480" i="3" s="1"/>
  <c r="AC480" i="3" a="1"/>
  <c r="AC480" i="3" s="1"/>
  <c r="AA480" i="3" a="1"/>
  <c r="AA480" i="3" s="1"/>
  <c r="Y480" i="3" a="1"/>
  <c r="Y480" i="3" s="1"/>
  <c r="V480" i="3"/>
  <c r="R480" i="3" a="1"/>
  <c r="R480" i="3"/>
  <c r="P480" i="3" a="1"/>
  <c r="P480" i="3"/>
  <c r="N480" i="3" a="1"/>
  <c r="N480" i="3"/>
  <c r="L480" i="3" a="1"/>
  <c r="L480" i="3"/>
  <c r="I480" i="3"/>
  <c r="E480" i="3" a="1"/>
  <c r="E480" i="3" s="1"/>
  <c r="C480" i="3" a="1"/>
  <c r="C480" i="3" s="1"/>
  <c r="BF479" i="3"/>
  <c r="BE479" i="3"/>
  <c r="BD479" i="3"/>
  <c r="BC479" i="3"/>
  <c r="BB479" i="3"/>
  <c r="BA479" i="3"/>
  <c r="AZ479" i="3"/>
  <c r="AY479" i="3"/>
  <c r="AX479" i="3"/>
  <c r="AW479" i="3"/>
  <c r="AV479" i="3"/>
  <c r="AU479" i="3"/>
  <c r="AK479" i="3"/>
  <c r="AH479" i="3"/>
  <c r="AG479" i="3" a="1"/>
  <c r="AG479" i="3" s="1"/>
  <c r="AE479" i="3" a="1"/>
  <c r="AE479" i="3" s="1"/>
  <c r="AC479" i="3" a="1"/>
  <c r="AC479" i="3" s="1"/>
  <c r="AA479" i="3" a="1"/>
  <c r="AA479" i="3" s="1"/>
  <c r="Y479" i="3" a="1"/>
  <c r="Y479" i="3" s="1"/>
  <c r="V479" i="3"/>
  <c r="R479" i="3" a="1"/>
  <c r="R479" i="3"/>
  <c r="P479" i="3" a="1"/>
  <c r="P479" i="3"/>
  <c r="N479" i="3" a="1"/>
  <c r="N479" i="3"/>
  <c r="L479" i="3" a="1"/>
  <c r="L479" i="3"/>
  <c r="I479" i="3"/>
  <c r="E479" i="3" a="1"/>
  <c r="E479" i="3" s="1"/>
  <c r="C479" i="3" a="1"/>
  <c r="C479" i="3" s="1"/>
  <c r="BF478" i="3"/>
  <c r="BE478" i="3"/>
  <c r="BD478" i="3"/>
  <c r="BC478" i="3"/>
  <c r="BB478" i="3"/>
  <c r="BA478" i="3"/>
  <c r="AZ478" i="3"/>
  <c r="AY478" i="3"/>
  <c r="AX478" i="3"/>
  <c r="AW478" i="3"/>
  <c r="AV478" i="3"/>
  <c r="AU478" i="3"/>
  <c r="AK478" i="3"/>
  <c r="AH478" i="3"/>
  <c r="AG478" i="3" a="1"/>
  <c r="AG478" i="3" s="1"/>
  <c r="AE478" i="3" a="1"/>
  <c r="AE478" i="3" s="1"/>
  <c r="AC478" i="3" a="1"/>
  <c r="AC478" i="3" s="1"/>
  <c r="AA478" i="3" a="1"/>
  <c r="AA478" i="3" s="1"/>
  <c r="Y478" i="3" a="1"/>
  <c r="Y478" i="3" s="1"/>
  <c r="V478" i="3"/>
  <c r="R478" i="3" a="1"/>
  <c r="R478" i="3"/>
  <c r="P478" i="3" a="1"/>
  <c r="P478" i="3"/>
  <c r="N478" i="3" a="1"/>
  <c r="N478" i="3"/>
  <c r="L478" i="3" a="1"/>
  <c r="L478" i="3"/>
  <c r="I478" i="3"/>
  <c r="E478" i="3" a="1"/>
  <c r="E478" i="3" s="1"/>
  <c r="C478" i="3" a="1"/>
  <c r="C478" i="3" s="1"/>
  <c r="BF477" i="3"/>
  <c r="BE477" i="3"/>
  <c r="BD477" i="3"/>
  <c r="BC477" i="3"/>
  <c r="BB477" i="3"/>
  <c r="BA477" i="3"/>
  <c r="AZ477" i="3"/>
  <c r="AY477" i="3"/>
  <c r="AX477" i="3"/>
  <c r="AW477" i="3"/>
  <c r="AV477" i="3"/>
  <c r="AU477" i="3"/>
  <c r="AK477" i="3"/>
  <c r="AH477" i="3"/>
  <c r="AG477" i="3" a="1"/>
  <c r="AG477" i="3" s="1"/>
  <c r="AE477" i="3" a="1"/>
  <c r="AE477" i="3" s="1"/>
  <c r="AC477" i="3" a="1"/>
  <c r="AC477" i="3" s="1"/>
  <c r="AA477" i="3" a="1"/>
  <c r="AA477" i="3" s="1"/>
  <c r="Y477" i="3" a="1"/>
  <c r="Y477" i="3" s="1"/>
  <c r="V477" i="3"/>
  <c r="R477" i="3" a="1"/>
  <c r="R477" i="3"/>
  <c r="P477" i="3" a="1"/>
  <c r="P477" i="3"/>
  <c r="N477" i="3" a="1"/>
  <c r="N477" i="3"/>
  <c r="L477" i="3" a="1"/>
  <c r="L477" i="3"/>
  <c r="I477" i="3"/>
  <c r="E477" i="3" a="1"/>
  <c r="E477" i="3" s="1"/>
  <c r="C477" i="3" a="1"/>
  <c r="C477" i="3" s="1"/>
  <c r="BF476" i="3"/>
  <c r="BE476" i="3"/>
  <c r="BD476" i="3"/>
  <c r="BC476" i="3"/>
  <c r="BB476" i="3"/>
  <c r="BA476" i="3"/>
  <c r="AZ476" i="3"/>
  <c r="AY476" i="3"/>
  <c r="AX476" i="3"/>
  <c r="AW476" i="3"/>
  <c r="AV476" i="3"/>
  <c r="AU476" i="3"/>
  <c r="AK476" i="3"/>
  <c r="AH476" i="3"/>
  <c r="AG476" i="3" a="1"/>
  <c r="AG476" i="3" s="1"/>
  <c r="AE476" i="3" a="1"/>
  <c r="AE476" i="3" s="1"/>
  <c r="AC476" i="3" a="1"/>
  <c r="AC476" i="3" s="1"/>
  <c r="AA476" i="3" a="1"/>
  <c r="AA476" i="3" s="1"/>
  <c r="Y476" i="3" a="1"/>
  <c r="Y476" i="3" s="1"/>
  <c r="V476" i="3"/>
  <c r="R476" i="3" a="1"/>
  <c r="R476" i="3"/>
  <c r="P476" i="3" a="1"/>
  <c r="P476" i="3"/>
  <c r="N476" i="3" a="1"/>
  <c r="N476" i="3"/>
  <c r="L476" i="3" a="1"/>
  <c r="L476" i="3"/>
  <c r="I476" i="3"/>
  <c r="E476" i="3" a="1"/>
  <c r="E476" i="3" s="1"/>
  <c r="C476" i="3" a="1"/>
  <c r="C476" i="3" s="1"/>
  <c r="BF475" i="3"/>
  <c r="BE475" i="3"/>
  <c r="BD475" i="3"/>
  <c r="BC475" i="3"/>
  <c r="BB475" i="3"/>
  <c r="BA475" i="3"/>
  <c r="AZ475" i="3"/>
  <c r="AY475" i="3"/>
  <c r="AX475" i="3"/>
  <c r="AW475" i="3"/>
  <c r="AV475" i="3"/>
  <c r="AU475" i="3"/>
  <c r="AK475" i="3"/>
  <c r="AH475" i="3"/>
  <c r="AG475" i="3" a="1"/>
  <c r="AG475" i="3" s="1"/>
  <c r="AE475" i="3" a="1"/>
  <c r="AE475" i="3" s="1"/>
  <c r="AC475" i="3" a="1"/>
  <c r="AC475" i="3" s="1"/>
  <c r="AA475" i="3" a="1"/>
  <c r="AA475" i="3" s="1"/>
  <c r="Y475" i="3" a="1"/>
  <c r="Y475" i="3" s="1"/>
  <c r="V475" i="3"/>
  <c r="R475" i="3" a="1"/>
  <c r="R475" i="3"/>
  <c r="P475" i="3" a="1"/>
  <c r="P475" i="3"/>
  <c r="N475" i="3" a="1"/>
  <c r="N475" i="3"/>
  <c r="L475" i="3" a="1"/>
  <c r="L475" i="3"/>
  <c r="I475" i="3"/>
  <c r="E475" i="3" a="1"/>
  <c r="E475" i="3" s="1"/>
  <c r="C475" i="3" a="1"/>
  <c r="C475" i="3" s="1"/>
  <c r="BF474" i="3"/>
  <c r="BE474" i="3"/>
  <c r="BD474" i="3"/>
  <c r="BC474" i="3"/>
  <c r="BB474" i="3"/>
  <c r="BA474" i="3"/>
  <c r="AZ474" i="3"/>
  <c r="AY474" i="3"/>
  <c r="AX474" i="3"/>
  <c r="AW474" i="3"/>
  <c r="AV474" i="3"/>
  <c r="AU474" i="3"/>
  <c r="AK474" i="3"/>
  <c r="AH474" i="3"/>
  <c r="AG474" i="3" a="1"/>
  <c r="AG474" i="3" s="1"/>
  <c r="AE474" i="3" a="1"/>
  <c r="AE474" i="3" s="1"/>
  <c r="AC474" i="3" a="1"/>
  <c r="AC474" i="3" s="1"/>
  <c r="AA474" i="3" a="1"/>
  <c r="AA474" i="3" s="1"/>
  <c r="Y474" i="3" a="1"/>
  <c r="Y474" i="3" s="1"/>
  <c r="V474" i="3"/>
  <c r="R474" i="3" a="1"/>
  <c r="R474" i="3"/>
  <c r="P474" i="3" a="1"/>
  <c r="P474" i="3"/>
  <c r="N474" i="3" a="1"/>
  <c r="N474" i="3"/>
  <c r="L474" i="3" a="1"/>
  <c r="L474" i="3"/>
  <c r="I474" i="3"/>
  <c r="E474" i="3" a="1"/>
  <c r="E474" i="3" s="1"/>
  <c r="C474" i="3" a="1"/>
  <c r="C474" i="3" s="1"/>
  <c r="BF473" i="3"/>
  <c r="BE473" i="3"/>
  <c r="BD473" i="3"/>
  <c r="BC473" i="3"/>
  <c r="BB473" i="3"/>
  <c r="BA473" i="3"/>
  <c r="AZ473" i="3"/>
  <c r="AY473" i="3"/>
  <c r="AX473" i="3"/>
  <c r="AW473" i="3"/>
  <c r="AV473" i="3"/>
  <c r="AU473" i="3"/>
  <c r="AK473" i="3"/>
  <c r="AH473" i="3"/>
  <c r="AG473" i="3" a="1"/>
  <c r="AG473" i="3" s="1"/>
  <c r="AE473" i="3" a="1"/>
  <c r="AE473" i="3" s="1"/>
  <c r="AC473" i="3" a="1"/>
  <c r="AC473" i="3" s="1"/>
  <c r="AA473" i="3" a="1"/>
  <c r="AA473" i="3" s="1"/>
  <c r="Y473" i="3" a="1"/>
  <c r="Y473" i="3" s="1"/>
  <c r="V473" i="3"/>
  <c r="R473" i="3" a="1"/>
  <c r="R473" i="3"/>
  <c r="P473" i="3" a="1"/>
  <c r="P473" i="3"/>
  <c r="N473" i="3" a="1"/>
  <c r="N473" i="3"/>
  <c r="L473" i="3" a="1"/>
  <c r="L473" i="3"/>
  <c r="I473" i="3"/>
  <c r="E473" i="3" a="1"/>
  <c r="E473" i="3" s="1"/>
  <c r="C473" i="3" a="1"/>
  <c r="C473" i="3" s="1"/>
  <c r="BF472" i="3"/>
  <c r="BE472" i="3"/>
  <c r="BD472" i="3"/>
  <c r="BC472" i="3"/>
  <c r="BB472" i="3"/>
  <c r="BA472" i="3"/>
  <c r="AZ472" i="3"/>
  <c r="AY472" i="3"/>
  <c r="AX472" i="3"/>
  <c r="AW472" i="3"/>
  <c r="AV472" i="3"/>
  <c r="AU472" i="3"/>
  <c r="AK472" i="3"/>
  <c r="AH472" i="3"/>
  <c r="AG472" i="3" a="1"/>
  <c r="AG472" i="3" s="1"/>
  <c r="AE472" i="3" a="1"/>
  <c r="AE472" i="3" s="1"/>
  <c r="AC472" i="3" a="1"/>
  <c r="AC472" i="3" s="1"/>
  <c r="AA472" i="3" a="1"/>
  <c r="AA472" i="3" s="1"/>
  <c r="Y472" i="3" a="1"/>
  <c r="Y472" i="3" s="1"/>
  <c r="V472" i="3"/>
  <c r="R472" i="3" a="1"/>
  <c r="R472" i="3"/>
  <c r="P472" i="3" a="1"/>
  <c r="P472" i="3"/>
  <c r="N472" i="3" a="1"/>
  <c r="N472" i="3"/>
  <c r="L472" i="3" a="1"/>
  <c r="L472" i="3"/>
  <c r="I472" i="3"/>
  <c r="E472" i="3" a="1"/>
  <c r="E472" i="3" s="1"/>
  <c r="C472" i="3" a="1"/>
  <c r="C472" i="3" s="1"/>
  <c r="BF471" i="3"/>
  <c r="BE471" i="3"/>
  <c r="BD471" i="3"/>
  <c r="BC471" i="3"/>
  <c r="BB471" i="3"/>
  <c r="BA471" i="3"/>
  <c r="AZ471" i="3"/>
  <c r="AY471" i="3"/>
  <c r="AX471" i="3"/>
  <c r="AW471" i="3"/>
  <c r="AV471" i="3"/>
  <c r="AU471" i="3"/>
  <c r="AK471" i="3"/>
  <c r="AH471" i="3"/>
  <c r="AG471" i="3" a="1"/>
  <c r="AG471" i="3" s="1"/>
  <c r="AE471" i="3" a="1"/>
  <c r="AE471" i="3" s="1"/>
  <c r="AC471" i="3" a="1"/>
  <c r="AC471" i="3" s="1"/>
  <c r="AA471" i="3" a="1"/>
  <c r="AA471" i="3" s="1"/>
  <c r="Y471" i="3" a="1"/>
  <c r="Y471" i="3" s="1"/>
  <c r="V471" i="3"/>
  <c r="R471" i="3" a="1"/>
  <c r="R471" i="3"/>
  <c r="P471" i="3" a="1"/>
  <c r="P471" i="3"/>
  <c r="N471" i="3" a="1"/>
  <c r="N471" i="3"/>
  <c r="L471" i="3" a="1"/>
  <c r="L471" i="3"/>
  <c r="I471" i="3"/>
  <c r="E471" i="3" a="1"/>
  <c r="E471" i="3" s="1"/>
  <c r="C471" i="3" a="1"/>
  <c r="C471" i="3" s="1"/>
  <c r="BF470" i="3"/>
  <c r="BE470" i="3"/>
  <c r="BD470" i="3"/>
  <c r="BC470" i="3"/>
  <c r="BB470" i="3"/>
  <c r="BA470" i="3"/>
  <c r="AZ470" i="3"/>
  <c r="AY470" i="3"/>
  <c r="AX470" i="3"/>
  <c r="AW470" i="3"/>
  <c r="AV470" i="3"/>
  <c r="AU470" i="3"/>
  <c r="AK470" i="3"/>
  <c r="AH470" i="3"/>
  <c r="AG470" i="3" a="1"/>
  <c r="AG470" i="3" s="1"/>
  <c r="AE470" i="3" a="1"/>
  <c r="AE470" i="3" s="1"/>
  <c r="AC470" i="3" a="1"/>
  <c r="AC470" i="3" s="1"/>
  <c r="AA470" i="3" a="1"/>
  <c r="AA470" i="3" s="1"/>
  <c r="Y470" i="3" a="1"/>
  <c r="Y470" i="3" s="1"/>
  <c r="V470" i="3"/>
  <c r="R470" i="3" a="1"/>
  <c r="R470" i="3"/>
  <c r="P470" i="3" a="1"/>
  <c r="P470" i="3"/>
  <c r="N470" i="3" a="1"/>
  <c r="N470" i="3"/>
  <c r="L470" i="3" a="1"/>
  <c r="L470" i="3"/>
  <c r="I470" i="3"/>
  <c r="E470" i="3" a="1"/>
  <c r="E470" i="3" s="1"/>
  <c r="C470" i="3" a="1"/>
  <c r="C470" i="3" s="1"/>
  <c r="BF469" i="3"/>
  <c r="BE469" i="3"/>
  <c r="BD469" i="3"/>
  <c r="BC469" i="3"/>
  <c r="BB469" i="3"/>
  <c r="BA469" i="3"/>
  <c r="AZ469" i="3"/>
  <c r="AY469" i="3"/>
  <c r="AX469" i="3"/>
  <c r="AW469" i="3"/>
  <c r="AV469" i="3"/>
  <c r="AU469" i="3"/>
  <c r="AK469" i="3"/>
  <c r="AH469" i="3"/>
  <c r="AG469" i="3" a="1"/>
  <c r="AG469" i="3" s="1"/>
  <c r="AE469" i="3" a="1"/>
  <c r="AE469" i="3" s="1"/>
  <c r="AC469" i="3" a="1"/>
  <c r="AC469" i="3" s="1"/>
  <c r="AA469" i="3" a="1"/>
  <c r="AA469" i="3" s="1"/>
  <c r="Y469" i="3" a="1"/>
  <c r="Y469" i="3" s="1"/>
  <c r="V469" i="3"/>
  <c r="R469" i="3" a="1"/>
  <c r="R469" i="3"/>
  <c r="P469" i="3" a="1"/>
  <c r="P469" i="3"/>
  <c r="N469" i="3" a="1"/>
  <c r="N469" i="3"/>
  <c r="L469" i="3" a="1"/>
  <c r="L469" i="3"/>
  <c r="I469" i="3"/>
  <c r="E469" i="3" a="1"/>
  <c r="E469" i="3" s="1"/>
  <c r="C469" i="3" a="1"/>
  <c r="C469" i="3" s="1"/>
  <c r="BF468" i="3"/>
  <c r="BE468" i="3"/>
  <c r="BD468" i="3"/>
  <c r="BC468" i="3"/>
  <c r="BB468" i="3"/>
  <c r="BA468" i="3"/>
  <c r="AZ468" i="3"/>
  <c r="AY468" i="3"/>
  <c r="AX468" i="3"/>
  <c r="AW468" i="3"/>
  <c r="AV468" i="3"/>
  <c r="AU468" i="3"/>
  <c r="AK468" i="3"/>
  <c r="AH468" i="3"/>
  <c r="AG468" i="3" a="1"/>
  <c r="AG468" i="3" s="1"/>
  <c r="AE468" i="3" a="1"/>
  <c r="AE468" i="3" s="1"/>
  <c r="AC468" i="3" a="1"/>
  <c r="AC468" i="3" s="1"/>
  <c r="AA468" i="3" a="1"/>
  <c r="AA468" i="3" s="1"/>
  <c r="Y468" i="3" a="1"/>
  <c r="Y468" i="3" s="1"/>
  <c r="V468" i="3"/>
  <c r="R468" i="3" a="1"/>
  <c r="R468" i="3"/>
  <c r="P468" i="3" a="1"/>
  <c r="P468" i="3"/>
  <c r="N468" i="3" a="1"/>
  <c r="N468" i="3"/>
  <c r="L468" i="3" a="1"/>
  <c r="L468" i="3"/>
  <c r="I468" i="3"/>
  <c r="E468" i="3" a="1"/>
  <c r="E468" i="3" s="1"/>
  <c r="C468" i="3" a="1"/>
  <c r="C468" i="3" s="1"/>
  <c r="BF467" i="3"/>
  <c r="BE467" i="3"/>
  <c r="BD467" i="3"/>
  <c r="BC467" i="3"/>
  <c r="BB467" i="3"/>
  <c r="BA467" i="3"/>
  <c r="AZ467" i="3"/>
  <c r="AY467" i="3"/>
  <c r="AX467" i="3"/>
  <c r="AW467" i="3"/>
  <c r="AV467" i="3"/>
  <c r="AU467" i="3"/>
  <c r="AK467" i="3"/>
  <c r="AH467" i="3"/>
  <c r="AG467" i="3" a="1"/>
  <c r="AG467" i="3" s="1"/>
  <c r="AE467" i="3" a="1"/>
  <c r="AE467" i="3" s="1"/>
  <c r="AC467" i="3" a="1"/>
  <c r="AC467" i="3" s="1"/>
  <c r="AA467" i="3" a="1"/>
  <c r="AA467" i="3" s="1"/>
  <c r="Y467" i="3" a="1"/>
  <c r="Y467" i="3" s="1"/>
  <c r="V467" i="3"/>
  <c r="R467" i="3" a="1"/>
  <c r="R467" i="3"/>
  <c r="P467" i="3" a="1"/>
  <c r="P467" i="3"/>
  <c r="N467" i="3" a="1"/>
  <c r="N467" i="3"/>
  <c r="L467" i="3" a="1"/>
  <c r="L467" i="3"/>
  <c r="I467" i="3"/>
  <c r="E467" i="3" a="1"/>
  <c r="E467" i="3" s="1"/>
  <c r="C467" i="3" a="1"/>
  <c r="C467" i="3" s="1"/>
  <c r="BF466" i="3"/>
  <c r="BE466" i="3"/>
  <c r="BD466" i="3"/>
  <c r="BC466" i="3"/>
  <c r="BB466" i="3"/>
  <c r="BA466" i="3"/>
  <c r="AZ466" i="3"/>
  <c r="AY466" i="3"/>
  <c r="AX466" i="3"/>
  <c r="AW466" i="3"/>
  <c r="AV466" i="3"/>
  <c r="AU466" i="3"/>
  <c r="AK466" i="3"/>
  <c r="AH466" i="3"/>
  <c r="AG466" i="3" a="1"/>
  <c r="AG466" i="3" s="1"/>
  <c r="AE466" i="3" a="1"/>
  <c r="AE466" i="3" s="1"/>
  <c r="AC466" i="3" a="1"/>
  <c r="AC466" i="3" s="1"/>
  <c r="AA466" i="3" a="1"/>
  <c r="AA466" i="3" s="1"/>
  <c r="Y466" i="3" a="1"/>
  <c r="Y466" i="3" s="1"/>
  <c r="V466" i="3"/>
  <c r="R466" i="3" a="1"/>
  <c r="R466" i="3"/>
  <c r="P466" i="3" a="1"/>
  <c r="P466" i="3"/>
  <c r="N466" i="3" a="1"/>
  <c r="N466" i="3"/>
  <c r="L466" i="3" a="1"/>
  <c r="L466" i="3"/>
  <c r="I466" i="3"/>
  <c r="E466" i="3" a="1"/>
  <c r="E466" i="3" s="1"/>
  <c r="C466" i="3" a="1"/>
  <c r="C466" i="3" s="1"/>
  <c r="BF465" i="3"/>
  <c r="BE465" i="3"/>
  <c r="BD465" i="3"/>
  <c r="BC465" i="3"/>
  <c r="BB465" i="3"/>
  <c r="BA465" i="3"/>
  <c r="AZ465" i="3"/>
  <c r="AY465" i="3"/>
  <c r="AX465" i="3"/>
  <c r="AW465" i="3"/>
  <c r="AV465" i="3"/>
  <c r="AU465" i="3"/>
  <c r="AK465" i="3"/>
  <c r="AH465" i="3"/>
  <c r="AG465" i="3" a="1"/>
  <c r="AG465" i="3" s="1"/>
  <c r="AE465" i="3" a="1"/>
  <c r="AE465" i="3" s="1"/>
  <c r="AC465" i="3" a="1"/>
  <c r="AC465" i="3" s="1"/>
  <c r="AA465" i="3" a="1"/>
  <c r="AA465" i="3" s="1"/>
  <c r="Y465" i="3" a="1"/>
  <c r="Y465" i="3" s="1"/>
  <c r="V465" i="3"/>
  <c r="R465" i="3" a="1"/>
  <c r="R465" i="3"/>
  <c r="P465" i="3" a="1"/>
  <c r="P465" i="3"/>
  <c r="N465" i="3" a="1"/>
  <c r="N465" i="3"/>
  <c r="L465" i="3" a="1"/>
  <c r="L465" i="3"/>
  <c r="I465" i="3"/>
  <c r="E465" i="3" a="1"/>
  <c r="E465" i="3" s="1"/>
  <c r="C465" i="3" a="1"/>
  <c r="C465" i="3" s="1"/>
  <c r="BF464" i="3"/>
  <c r="BE464" i="3"/>
  <c r="BD464" i="3"/>
  <c r="BC464" i="3"/>
  <c r="BB464" i="3"/>
  <c r="BA464" i="3"/>
  <c r="AZ464" i="3"/>
  <c r="AY464" i="3"/>
  <c r="AX464" i="3"/>
  <c r="AW464" i="3"/>
  <c r="AV464" i="3"/>
  <c r="AU464" i="3"/>
  <c r="AK464" i="3"/>
  <c r="AH464" i="3"/>
  <c r="AG464" i="3" a="1"/>
  <c r="AG464" i="3" s="1"/>
  <c r="AE464" i="3" a="1"/>
  <c r="AE464" i="3" s="1"/>
  <c r="AC464" i="3" a="1"/>
  <c r="AC464" i="3" s="1"/>
  <c r="AA464" i="3" a="1"/>
  <c r="AA464" i="3" s="1"/>
  <c r="Y464" i="3" a="1"/>
  <c r="Y464" i="3" s="1"/>
  <c r="V464" i="3"/>
  <c r="R464" i="3" a="1"/>
  <c r="R464" i="3"/>
  <c r="P464" i="3" a="1"/>
  <c r="P464" i="3"/>
  <c r="N464" i="3" a="1"/>
  <c r="N464" i="3"/>
  <c r="L464" i="3" a="1"/>
  <c r="L464" i="3"/>
  <c r="I464" i="3"/>
  <c r="E464" i="3" a="1"/>
  <c r="E464" i="3" s="1"/>
  <c r="C464" i="3" a="1"/>
  <c r="C464" i="3" s="1"/>
  <c r="BF463" i="3"/>
  <c r="BE463" i="3"/>
  <c r="BD463" i="3"/>
  <c r="BC463" i="3"/>
  <c r="BB463" i="3"/>
  <c r="BA463" i="3"/>
  <c r="AZ463" i="3"/>
  <c r="AY463" i="3"/>
  <c r="AX463" i="3"/>
  <c r="AW463" i="3"/>
  <c r="AV463" i="3"/>
  <c r="AU463" i="3"/>
  <c r="AK463" i="3"/>
  <c r="AH463" i="3"/>
  <c r="AG463" i="3" a="1"/>
  <c r="AG463" i="3" s="1"/>
  <c r="AE463" i="3" a="1"/>
  <c r="AE463" i="3" s="1"/>
  <c r="AC463" i="3" a="1"/>
  <c r="AC463" i="3" s="1"/>
  <c r="AA463" i="3" a="1"/>
  <c r="AA463" i="3" s="1"/>
  <c r="Y463" i="3" a="1"/>
  <c r="Y463" i="3" s="1"/>
  <c r="V463" i="3"/>
  <c r="R463" i="3" a="1"/>
  <c r="R463" i="3"/>
  <c r="P463" i="3" a="1"/>
  <c r="P463" i="3"/>
  <c r="N463" i="3" a="1"/>
  <c r="N463" i="3"/>
  <c r="L463" i="3" a="1"/>
  <c r="L463" i="3"/>
  <c r="I463" i="3"/>
  <c r="E463" i="3" a="1"/>
  <c r="E463" i="3" s="1"/>
  <c r="C463" i="3" a="1"/>
  <c r="C463" i="3" s="1"/>
  <c r="BF462" i="3"/>
  <c r="BE462" i="3"/>
  <c r="BD462" i="3"/>
  <c r="BC462" i="3"/>
  <c r="BB462" i="3"/>
  <c r="BA462" i="3"/>
  <c r="AZ462" i="3"/>
  <c r="AY462" i="3"/>
  <c r="AX462" i="3"/>
  <c r="AW462" i="3"/>
  <c r="AV462" i="3"/>
  <c r="AU462" i="3"/>
  <c r="AK462" i="3"/>
  <c r="AH462" i="3"/>
  <c r="AG462" i="3" a="1"/>
  <c r="AG462" i="3" s="1"/>
  <c r="AE462" i="3" a="1"/>
  <c r="AE462" i="3"/>
  <c r="AC462" i="3" a="1"/>
  <c r="AC462" i="3" s="1"/>
  <c r="AA462" i="3" a="1"/>
  <c r="AA462" i="3"/>
  <c r="Y462" i="3" a="1"/>
  <c r="Y462" i="3" s="1"/>
  <c r="V462" i="3"/>
  <c r="R462" i="3" a="1"/>
  <c r="R462" i="3" s="1"/>
  <c r="P462" i="3" a="1"/>
  <c r="P462" i="3"/>
  <c r="N462" i="3" a="1"/>
  <c r="N462" i="3" s="1"/>
  <c r="L462" i="3" a="1"/>
  <c r="L462" i="3"/>
  <c r="I462" i="3"/>
  <c r="E462" i="3" a="1"/>
  <c r="E462" i="3" s="1"/>
  <c r="C462" i="3" a="1"/>
  <c r="C462" i="3" s="1"/>
  <c r="BF461" i="3"/>
  <c r="BE461" i="3"/>
  <c r="BD461" i="3"/>
  <c r="BC461" i="3"/>
  <c r="BB461" i="3"/>
  <c r="BA461" i="3"/>
  <c r="AZ461" i="3"/>
  <c r="AY461" i="3"/>
  <c r="AX461" i="3"/>
  <c r="AW461" i="3"/>
  <c r="AV461" i="3"/>
  <c r="AU461" i="3"/>
  <c r="AK461" i="3"/>
  <c r="AH461" i="3"/>
  <c r="AG461" i="3" a="1"/>
  <c r="AG461" i="3" s="1"/>
  <c r="AE461" i="3" a="1"/>
  <c r="AE461" i="3" s="1"/>
  <c r="AC461" i="3" a="1"/>
  <c r="AC461" i="3"/>
  <c r="AA461" i="3" a="1"/>
  <c r="AA461" i="3" s="1"/>
  <c r="Y461" i="3" a="1"/>
  <c r="Y461" i="3" s="1"/>
  <c r="V461" i="3"/>
  <c r="R461" i="3" a="1"/>
  <c r="R461" i="3"/>
  <c r="P461" i="3" a="1"/>
  <c r="P461" i="3"/>
  <c r="N461" i="3" a="1"/>
  <c r="N461" i="3"/>
  <c r="L461" i="3" a="1"/>
  <c r="L461" i="3"/>
  <c r="I461" i="3"/>
  <c r="E461" i="3" a="1"/>
  <c r="E461" i="3" s="1"/>
  <c r="C461" i="3" a="1"/>
  <c r="C461" i="3" s="1"/>
  <c r="BF460" i="3"/>
  <c r="BE460" i="3"/>
  <c r="BD460" i="3"/>
  <c r="BC460" i="3"/>
  <c r="BB460" i="3"/>
  <c r="BA460" i="3"/>
  <c r="AZ460" i="3"/>
  <c r="AY460" i="3"/>
  <c r="AX460" i="3"/>
  <c r="AW460" i="3"/>
  <c r="AV460" i="3"/>
  <c r="AU460" i="3"/>
  <c r="AK460" i="3"/>
  <c r="AH460" i="3"/>
  <c r="AG460" i="3" a="1"/>
  <c r="AG460" i="3" s="1"/>
  <c r="AE460" i="3" a="1"/>
  <c r="AE460" i="3" s="1"/>
  <c r="AC460" i="3" a="1"/>
  <c r="AC460" i="3" s="1"/>
  <c r="AA460" i="3" a="1"/>
  <c r="AA460" i="3"/>
  <c r="Y460" i="3" a="1"/>
  <c r="Y460" i="3" s="1"/>
  <c r="V460" i="3"/>
  <c r="R460" i="3" a="1"/>
  <c r="R460" i="3" s="1"/>
  <c r="P460" i="3" a="1"/>
  <c r="P460" i="3"/>
  <c r="N460" i="3" a="1"/>
  <c r="N460" i="3" s="1"/>
  <c r="L460" i="3" a="1"/>
  <c r="L460" i="3"/>
  <c r="I460" i="3"/>
  <c r="E460" i="3" a="1"/>
  <c r="E460" i="3" s="1"/>
  <c r="C460" i="3" a="1"/>
  <c r="C460" i="3" s="1"/>
  <c r="BF459" i="3"/>
  <c r="BE459" i="3"/>
  <c r="BD459" i="3"/>
  <c r="BC459" i="3"/>
  <c r="BB459" i="3"/>
  <c r="BA459" i="3"/>
  <c r="AZ459" i="3"/>
  <c r="AY459" i="3"/>
  <c r="AX459" i="3"/>
  <c r="AW459" i="3"/>
  <c r="AV459" i="3"/>
  <c r="AU459" i="3"/>
  <c r="AK459" i="3"/>
  <c r="AH459" i="3"/>
  <c r="AG459" i="3" a="1"/>
  <c r="AG459" i="3"/>
  <c r="AE459" i="3" a="1"/>
  <c r="AE459" i="3" s="1"/>
  <c r="AC459" i="3" a="1"/>
  <c r="AC459" i="3" s="1"/>
  <c r="AA459" i="3" a="1"/>
  <c r="AA459" i="3" s="1"/>
  <c r="Y459" i="3" a="1"/>
  <c r="Y459" i="3" s="1"/>
  <c r="V459" i="3"/>
  <c r="R459" i="3" a="1"/>
  <c r="R459" i="3"/>
  <c r="P459" i="3" a="1"/>
  <c r="P459" i="3" s="1"/>
  <c r="N459" i="3" a="1"/>
  <c r="N459" i="3"/>
  <c r="L459" i="3" a="1"/>
  <c r="L459" i="3" s="1"/>
  <c r="I459" i="3"/>
  <c r="E459" i="3" a="1"/>
  <c r="E459" i="3" s="1"/>
  <c r="C459" i="3" a="1"/>
  <c r="C459" i="3" s="1"/>
  <c r="BF458" i="3"/>
  <c r="BE458" i="3"/>
  <c r="BD458" i="3"/>
  <c r="BC458" i="3"/>
  <c r="BB458" i="3"/>
  <c r="BA458" i="3"/>
  <c r="AZ458" i="3"/>
  <c r="AY458" i="3"/>
  <c r="AX458" i="3"/>
  <c r="AW458" i="3"/>
  <c r="AV458" i="3"/>
  <c r="AU458" i="3"/>
  <c r="AK458" i="3"/>
  <c r="AH458" i="3"/>
  <c r="AG458" i="3" a="1"/>
  <c r="AG458" i="3" s="1"/>
  <c r="AE458" i="3" a="1"/>
  <c r="AE458" i="3"/>
  <c r="AC458" i="3" a="1"/>
  <c r="AC458" i="3" s="1"/>
  <c r="AA458" i="3" a="1"/>
  <c r="AA458" i="3" s="1"/>
  <c r="Y458" i="3" a="1"/>
  <c r="Y458" i="3" s="1"/>
  <c r="V458" i="3"/>
  <c r="R458" i="3" a="1"/>
  <c r="R458" i="3"/>
  <c r="P458" i="3" a="1"/>
  <c r="P458" i="3" s="1"/>
  <c r="N458" i="3" a="1"/>
  <c r="N458" i="3"/>
  <c r="L458" i="3" a="1"/>
  <c r="L458" i="3" s="1"/>
  <c r="I458" i="3"/>
  <c r="E458" i="3" a="1"/>
  <c r="E458" i="3" s="1"/>
  <c r="C458" i="3" a="1"/>
  <c r="C458" i="3" s="1"/>
  <c r="BF457" i="3"/>
  <c r="BE457" i="3"/>
  <c r="BD457" i="3"/>
  <c r="BC457" i="3"/>
  <c r="BB457" i="3"/>
  <c r="BA457" i="3"/>
  <c r="AZ457" i="3"/>
  <c r="AY457" i="3"/>
  <c r="AX457" i="3"/>
  <c r="AW457" i="3"/>
  <c r="AV457" i="3"/>
  <c r="AU457" i="3"/>
  <c r="AK457" i="3"/>
  <c r="AH457" i="3"/>
  <c r="AG457" i="3" a="1"/>
  <c r="AG457" i="3" s="1"/>
  <c r="AE457" i="3" a="1"/>
  <c r="AE457" i="3" s="1"/>
  <c r="AC457" i="3" a="1"/>
  <c r="AC457" i="3" s="1"/>
  <c r="AA457" i="3" a="1"/>
  <c r="AA457" i="3" s="1"/>
  <c r="Y457" i="3" a="1"/>
  <c r="Y457" i="3" s="1"/>
  <c r="V457" i="3"/>
  <c r="R457" i="3" a="1"/>
  <c r="R457" i="3"/>
  <c r="P457" i="3" a="1"/>
  <c r="P457" i="3"/>
  <c r="N457" i="3" a="1"/>
  <c r="N457" i="3" s="1"/>
  <c r="L457" i="3" a="1"/>
  <c r="L457" i="3"/>
  <c r="I457" i="3"/>
  <c r="E457" i="3" a="1"/>
  <c r="E457" i="3" s="1"/>
  <c r="C457" i="3" a="1"/>
  <c r="C457" i="3" s="1"/>
  <c r="BF456" i="3"/>
  <c r="BE456" i="3"/>
  <c r="BD456" i="3"/>
  <c r="BC456" i="3"/>
  <c r="BB456" i="3"/>
  <c r="BA456" i="3"/>
  <c r="AZ456" i="3"/>
  <c r="AY456" i="3"/>
  <c r="AX456" i="3"/>
  <c r="AW456" i="3"/>
  <c r="AV456" i="3"/>
  <c r="AU456" i="3"/>
  <c r="AK456" i="3"/>
  <c r="AH456" i="3"/>
  <c r="AG456" i="3" a="1"/>
  <c r="AG456" i="3" s="1"/>
  <c r="AE456" i="3" a="1"/>
  <c r="AE456" i="3" s="1"/>
  <c r="AC456" i="3" a="1"/>
  <c r="AC456" i="3" s="1"/>
  <c r="AA456" i="3" a="1"/>
  <c r="AA456" i="3" s="1"/>
  <c r="Y456" i="3" a="1"/>
  <c r="Y456" i="3" s="1"/>
  <c r="V456" i="3"/>
  <c r="R456" i="3" a="1"/>
  <c r="R456" i="3"/>
  <c r="P456" i="3" a="1"/>
  <c r="P456" i="3"/>
  <c r="N456" i="3" a="1"/>
  <c r="N456" i="3"/>
  <c r="L456" i="3" a="1"/>
  <c r="L456" i="3"/>
  <c r="I456" i="3"/>
  <c r="E456" i="3" a="1"/>
  <c r="E456" i="3" s="1"/>
  <c r="C456" i="3" a="1"/>
  <c r="C456" i="3" s="1"/>
  <c r="BF455" i="3"/>
  <c r="BE455" i="3"/>
  <c r="BD455" i="3"/>
  <c r="BC455" i="3"/>
  <c r="BB455" i="3"/>
  <c r="BA455" i="3"/>
  <c r="AZ455" i="3"/>
  <c r="AY455" i="3"/>
  <c r="AX455" i="3"/>
  <c r="AW455" i="3"/>
  <c r="AV455" i="3"/>
  <c r="AU455" i="3"/>
  <c r="AK455" i="3"/>
  <c r="AH455" i="3"/>
  <c r="AG455" i="3" a="1"/>
  <c r="AG455" i="3" s="1"/>
  <c r="AE455" i="3" a="1"/>
  <c r="AE455" i="3" s="1"/>
  <c r="AC455" i="3" a="1"/>
  <c r="AC455" i="3" s="1"/>
  <c r="AA455" i="3" a="1"/>
  <c r="AA455" i="3" s="1"/>
  <c r="Y455" i="3" a="1"/>
  <c r="Y455" i="3" s="1"/>
  <c r="V455" i="3"/>
  <c r="R455" i="3" a="1"/>
  <c r="R455" i="3"/>
  <c r="P455" i="3" a="1"/>
  <c r="P455" i="3"/>
  <c r="N455" i="3" a="1"/>
  <c r="N455" i="3"/>
  <c r="L455" i="3" a="1"/>
  <c r="L455" i="3"/>
  <c r="I455" i="3"/>
  <c r="E455" i="3" a="1"/>
  <c r="E455" i="3" s="1"/>
  <c r="C455" i="3" a="1"/>
  <c r="C455" i="3" s="1"/>
  <c r="BF454" i="3"/>
  <c r="BE454" i="3"/>
  <c r="BD454" i="3"/>
  <c r="BC454" i="3"/>
  <c r="BB454" i="3"/>
  <c r="BA454" i="3"/>
  <c r="AZ454" i="3"/>
  <c r="AY454" i="3"/>
  <c r="AX454" i="3"/>
  <c r="AW454" i="3"/>
  <c r="AV454" i="3"/>
  <c r="AU454" i="3"/>
  <c r="AK454" i="3"/>
  <c r="AH454" i="3"/>
  <c r="AG454" i="3" a="1"/>
  <c r="AG454" i="3" s="1"/>
  <c r="AE454" i="3" a="1"/>
  <c r="AE454" i="3" s="1"/>
  <c r="AC454" i="3" a="1"/>
  <c r="AC454" i="3" s="1"/>
  <c r="AA454" i="3" a="1"/>
  <c r="AA454" i="3" s="1"/>
  <c r="Y454" i="3" a="1"/>
  <c r="Y454" i="3" s="1"/>
  <c r="V454" i="3"/>
  <c r="R454" i="3" a="1"/>
  <c r="R454" i="3"/>
  <c r="P454" i="3" a="1"/>
  <c r="P454" i="3"/>
  <c r="N454" i="3" a="1"/>
  <c r="N454" i="3"/>
  <c r="L454" i="3" a="1"/>
  <c r="L454" i="3"/>
  <c r="I454" i="3"/>
  <c r="E454" i="3" a="1"/>
  <c r="E454" i="3" s="1"/>
  <c r="C454" i="3" a="1"/>
  <c r="C454" i="3" s="1"/>
  <c r="BF453" i="3"/>
  <c r="BE453" i="3"/>
  <c r="BD453" i="3"/>
  <c r="BC453" i="3"/>
  <c r="BB453" i="3"/>
  <c r="BA453" i="3"/>
  <c r="AZ453" i="3"/>
  <c r="AY453" i="3"/>
  <c r="AX453" i="3"/>
  <c r="AW453" i="3"/>
  <c r="AV453" i="3"/>
  <c r="AU453" i="3"/>
  <c r="AK453" i="3"/>
  <c r="AH453" i="3"/>
  <c r="AG453" i="3" a="1"/>
  <c r="AG453" i="3" s="1"/>
  <c r="AE453" i="3" a="1"/>
  <c r="AE453" i="3" s="1"/>
  <c r="AC453" i="3" a="1"/>
  <c r="AC453" i="3" s="1"/>
  <c r="AA453" i="3" a="1"/>
  <c r="AA453" i="3" s="1"/>
  <c r="Y453" i="3" a="1"/>
  <c r="Y453" i="3" s="1"/>
  <c r="V453" i="3"/>
  <c r="R453" i="3" a="1"/>
  <c r="R453" i="3"/>
  <c r="P453" i="3" a="1"/>
  <c r="P453" i="3"/>
  <c r="N453" i="3" a="1"/>
  <c r="N453" i="3"/>
  <c r="L453" i="3" a="1"/>
  <c r="L453" i="3"/>
  <c r="I453" i="3"/>
  <c r="E453" i="3" a="1"/>
  <c r="E453" i="3" s="1"/>
  <c r="C453" i="3" a="1"/>
  <c r="C453" i="3" s="1"/>
  <c r="BF452" i="3"/>
  <c r="BE452" i="3"/>
  <c r="BD452" i="3"/>
  <c r="BC452" i="3"/>
  <c r="BB452" i="3"/>
  <c r="BA452" i="3"/>
  <c r="AZ452" i="3"/>
  <c r="AY452" i="3"/>
  <c r="AX452" i="3"/>
  <c r="AW452" i="3"/>
  <c r="AV452" i="3"/>
  <c r="AU452" i="3"/>
  <c r="AK452" i="3"/>
  <c r="AH452" i="3"/>
  <c r="AG452" i="3" a="1"/>
  <c r="AG452" i="3" s="1"/>
  <c r="AE452" i="3" a="1"/>
  <c r="AE452" i="3" s="1"/>
  <c r="AC452" i="3" a="1"/>
  <c r="AC452" i="3" s="1"/>
  <c r="AA452" i="3" a="1"/>
  <c r="AA452" i="3" s="1"/>
  <c r="Y452" i="3" a="1"/>
  <c r="Y452" i="3" s="1"/>
  <c r="V452" i="3"/>
  <c r="R452" i="3" a="1"/>
  <c r="R452" i="3"/>
  <c r="P452" i="3" a="1"/>
  <c r="P452" i="3"/>
  <c r="N452" i="3" a="1"/>
  <c r="N452" i="3"/>
  <c r="L452" i="3" a="1"/>
  <c r="L452" i="3"/>
  <c r="I452" i="3"/>
  <c r="E452" i="3" a="1"/>
  <c r="E452" i="3" s="1"/>
  <c r="C452" i="3" a="1"/>
  <c r="C452" i="3" s="1"/>
  <c r="BF451" i="3"/>
  <c r="BE451" i="3"/>
  <c r="BD451" i="3"/>
  <c r="BC451" i="3"/>
  <c r="BB451" i="3"/>
  <c r="BA451" i="3"/>
  <c r="AZ451" i="3"/>
  <c r="AY451" i="3"/>
  <c r="AX451" i="3"/>
  <c r="AW451" i="3"/>
  <c r="AV451" i="3"/>
  <c r="AU451" i="3"/>
  <c r="AK451" i="3"/>
  <c r="AH451" i="3"/>
  <c r="AG451" i="3" a="1"/>
  <c r="AG451" i="3" s="1"/>
  <c r="AE451" i="3" a="1"/>
  <c r="AE451" i="3" s="1"/>
  <c r="AC451" i="3" a="1"/>
  <c r="AC451" i="3" s="1"/>
  <c r="AA451" i="3" a="1"/>
  <c r="AA451" i="3" s="1"/>
  <c r="Y451" i="3" a="1"/>
  <c r="Y451" i="3" s="1"/>
  <c r="V451" i="3"/>
  <c r="R451" i="3" a="1"/>
  <c r="R451" i="3"/>
  <c r="P451" i="3" a="1"/>
  <c r="P451" i="3"/>
  <c r="N451" i="3" a="1"/>
  <c r="N451" i="3"/>
  <c r="L451" i="3" a="1"/>
  <c r="L451" i="3"/>
  <c r="I451" i="3"/>
  <c r="E451" i="3" a="1"/>
  <c r="E451" i="3" s="1"/>
  <c r="C451" i="3" a="1"/>
  <c r="C451" i="3" s="1"/>
  <c r="BF450" i="3"/>
  <c r="BE450" i="3"/>
  <c r="BD450" i="3"/>
  <c r="BC450" i="3"/>
  <c r="BB450" i="3"/>
  <c r="BA450" i="3"/>
  <c r="AZ450" i="3"/>
  <c r="AY450" i="3"/>
  <c r="AX450" i="3"/>
  <c r="AW450" i="3"/>
  <c r="AV450" i="3"/>
  <c r="AU450" i="3"/>
  <c r="AK450" i="3"/>
  <c r="AH450" i="3"/>
  <c r="AG450" i="3" a="1"/>
  <c r="AG450" i="3" s="1"/>
  <c r="AE450" i="3" a="1"/>
  <c r="AE450" i="3" s="1"/>
  <c r="AC450" i="3" a="1"/>
  <c r="AC450" i="3" s="1"/>
  <c r="AA450" i="3" a="1"/>
  <c r="AA450" i="3" s="1"/>
  <c r="Y450" i="3" a="1"/>
  <c r="Y450" i="3" s="1"/>
  <c r="V450" i="3"/>
  <c r="R450" i="3" a="1"/>
  <c r="R450" i="3"/>
  <c r="P450" i="3" a="1"/>
  <c r="P450" i="3"/>
  <c r="N450" i="3" a="1"/>
  <c r="N450" i="3"/>
  <c r="L450" i="3" a="1"/>
  <c r="L450" i="3"/>
  <c r="I450" i="3"/>
  <c r="E450" i="3" a="1"/>
  <c r="E450" i="3" s="1"/>
  <c r="C450" i="3" a="1"/>
  <c r="C450" i="3" s="1"/>
  <c r="BF449" i="3"/>
  <c r="BE449" i="3"/>
  <c r="BD449" i="3"/>
  <c r="BC449" i="3"/>
  <c r="BB449" i="3"/>
  <c r="BA449" i="3"/>
  <c r="AZ449" i="3"/>
  <c r="AY449" i="3"/>
  <c r="AX449" i="3"/>
  <c r="AW449" i="3"/>
  <c r="AV449" i="3"/>
  <c r="AU449" i="3"/>
  <c r="AK449" i="3"/>
  <c r="AH449" i="3"/>
  <c r="AG449" i="3" a="1"/>
  <c r="AG449" i="3" s="1"/>
  <c r="AE449" i="3" a="1"/>
  <c r="AE449" i="3" s="1"/>
  <c r="AC449" i="3" a="1"/>
  <c r="AC449" i="3" s="1"/>
  <c r="AA449" i="3" a="1"/>
  <c r="AA449" i="3" s="1"/>
  <c r="Y449" i="3" a="1"/>
  <c r="Y449" i="3" s="1"/>
  <c r="V449" i="3"/>
  <c r="R449" i="3" a="1"/>
  <c r="R449" i="3"/>
  <c r="P449" i="3" a="1"/>
  <c r="P449" i="3"/>
  <c r="N449" i="3" a="1"/>
  <c r="N449" i="3"/>
  <c r="L449" i="3" a="1"/>
  <c r="L449" i="3"/>
  <c r="I449" i="3"/>
  <c r="E449" i="3" a="1"/>
  <c r="E449" i="3" s="1"/>
  <c r="C449" i="3" a="1"/>
  <c r="C449" i="3" s="1"/>
  <c r="BF448" i="3"/>
  <c r="BE448" i="3"/>
  <c r="BD448" i="3"/>
  <c r="BC448" i="3"/>
  <c r="BB448" i="3"/>
  <c r="BA448" i="3"/>
  <c r="AZ448" i="3"/>
  <c r="AY448" i="3"/>
  <c r="AX448" i="3"/>
  <c r="AW448" i="3"/>
  <c r="AV448" i="3"/>
  <c r="AU448" i="3"/>
  <c r="AK448" i="3"/>
  <c r="AH448" i="3"/>
  <c r="AG448" i="3" a="1"/>
  <c r="AG448" i="3" s="1"/>
  <c r="AE448" i="3" a="1"/>
  <c r="AE448" i="3" s="1"/>
  <c r="AC448" i="3" a="1"/>
  <c r="AC448" i="3" s="1"/>
  <c r="AA448" i="3" a="1"/>
  <c r="AA448" i="3" s="1"/>
  <c r="Y448" i="3" a="1"/>
  <c r="Y448" i="3" s="1"/>
  <c r="V448" i="3"/>
  <c r="R448" i="3" a="1"/>
  <c r="R448" i="3"/>
  <c r="P448" i="3" a="1"/>
  <c r="P448" i="3"/>
  <c r="N448" i="3" a="1"/>
  <c r="N448" i="3"/>
  <c r="L448" i="3" a="1"/>
  <c r="L448" i="3"/>
  <c r="I448" i="3"/>
  <c r="E448" i="3" a="1"/>
  <c r="E448" i="3" s="1"/>
  <c r="C448" i="3" a="1"/>
  <c r="C448" i="3" s="1"/>
  <c r="BF447" i="3"/>
  <c r="BE447" i="3"/>
  <c r="BD447" i="3"/>
  <c r="BC447" i="3"/>
  <c r="BB447" i="3"/>
  <c r="BA447" i="3"/>
  <c r="AZ447" i="3"/>
  <c r="AY447" i="3"/>
  <c r="AX447" i="3"/>
  <c r="AW447" i="3"/>
  <c r="AV447" i="3"/>
  <c r="AU447" i="3"/>
  <c r="AK447" i="3"/>
  <c r="AH447" i="3"/>
  <c r="AG447" i="3" a="1"/>
  <c r="AG447" i="3" s="1"/>
  <c r="AE447" i="3" a="1"/>
  <c r="AE447" i="3" s="1"/>
  <c r="AC447" i="3" a="1"/>
  <c r="AC447" i="3" s="1"/>
  <c r="AA447" i="3" a="1"/>
  <c r="AA447" i="3" s="1"/>
  <c r="Y447" i="3" a="1"/>
  <c r="Y447" i="3" s="1"/>
  <c r="V447" i="3"/>
  <c r="R447" i="3" a="1"/>
  <c r="R447" i="3"/>
  <c r="P447" i="3" a="1"/>
  <c r="P447" i="3"/>
  <c r="N447" i="3" a="1"/>
  <c r="N447" i="3"/>
  <c r="L447" i="3" a="1"/>
  <c r="L447" i="3"/>
  <c r="I447" i="3"/>
  <c r="E447" i="3" a="1"/>
  <c r="E447" i="3" s="1"/>
  <c r="C447" i="3" a="1"/>
  <c r="C447" i="3" s="1"/>
  <c r="BF446" i="3"/>
  <c r="BE446" i="3"/>
  <c r="BD446" i="3"/>
  <c r="BC446" i="3"/>
  <c r="BB446" i="3"/>
  <c r="BA446" i="3"/>
  <c r="AZ446" i="3"/>
  <c r="AY446" i="3"/>
  <c r="AX446" i="3"/>
  <c r="AW446" i="3"/>
  <c r="AV446" i="3"/>
  <c r="AU446" i="3"/>
  <c r="AK446" i="3"/>
  <c r="AH446" i="3"/>
  <c r="AG446" i="3" a="1"/>
  <c r="AG446" i="3" s="1"/>
  <c r="AE446" i="3" a="1"/>
  <c r="AE446" i="3" s="1"/>
  <c r="AC446" i="3" a="1"/>
  <c r="AC446" i="3" s="1"/>
  <c r="AA446" i="3" a="1"/>
  <c r="AA446" i="3" s="1"/>
  <c r="Y446" i="3" a="1"/>
  <c r="Y446" i="3" s="1"/>
  <c r="V446" i="3"/>
  <c r="R446" i="3" a="1"/>
  <c r="R446" i="3"/>
  <c r="P446" i="3" a="1"/>
  <c r="P446" i="3"/>
  <c r="N446" i="3" a="1"/>
  <c r="N446" i="3"/>
  <c r="L446" i="3" a="1"/>
  <c r="L446" i="3"/>
  <c r="I446" i="3"/>
  <c r="E446" i="3" a="1"/>
  <c r="E446" i="3" s="1"/>
  <c r="C446" i="3" a="1"/>
  <c r="C446" i="3" s="1"/>
  <c r="BF445" i="3"/>
  <c r="BE445" i="3"/>
  <c r="BD445" i="3"/>
  <c r="BC445" i="3"/>
  <c r="BB445" i="3"/>
  <c r="BA445" i="3"/>
  <c r="AZ445" i="3"/>
  <c r="AY445" i="3"/>
  <c r="AX445" i="3"/>
  <c r="AW445" i="3"/>
  <c r="AV445" i="3"/>
  <c r="AU445" i="3"/>
  <c r="AK445" i="3"/>
  <c r="AH445" i="3"/>
  <c r="AG445" i="3" a="1"/>
  <c r="AG445" i="3" s="1"/>
  <c r="AE445" i="3" a="1"/>
  <c r="AE445" i="3" s="1"/>
  <c r="AC445" i="3" a="1"/>
  <c r="AC445" i="3" s="1"/>
  <c r="AA445" i="3" a="1"/>
  <c r="AA445" i="3" s="1"/>
  <c r="Y445" i="3" a="1"/>
  <c r="Y445" i="3" s="1"/>
  <c r="V445" i="3"/>
  <c r="R445" i="3" a="1"/>
  <c r="R445" i="3"/>
  <c r="P445" i="3" a="1"/>
  <c r="P445" i="3"/>
  <c r="N445" i="3" a="1"/>
  <c r="N445" i="3"/>
  <c r="L445" i="3" a="1"/>
  <c r="L445" i="3"/>
  <c r="I445" i="3"/>
  <c r="E445" i="3" a="1"/>
  <c r="E445" i="3" s="1"/>
  <c r="C445" i="3" a="1"/>
  <c r="C445" i="3" s="1"/>
  <c r="BF444" i="3"/>
  <c r="BE444" i="3"/>
  <c r="BD444" i="3"/>
  <c r="BC444" i="3"/>
  <c r="BB444" i="3"/>
  <c r="BA444" i="3"/>
  <c r="AZ444" i="3"/>
  <c r="AY444" i="3"/>
  <c r="AX444" i="3"/>
  <c r="AW444" i="3"/>
  <c r="AV444" i="3"/>
  <c r="AU444" i="3"/>
  <c r="AK444" i="3"/>
  <c r="AH444" i="3"/>
  <c r="AG444" i="3" a="1"/>
  <c r="AG444" i="3" s="1"/>
  <c r="AE444" i="3" a="1"/>
  <c r="AE444" i="3" s="1"/>
  <c r="AC444" i="3" a="1"/>
  <c r="AC444" i="3" s="1"/>
  <c r="AA444" i="3" a="1"/>
  <c r="AA444" i="3" s="1"/>
  <c r="Y444" i="3" a="1"/>
  <c r="Y444" i="3" s="1"/>
  <c r="V444" i="3"/>
  <c r="R444" i="3" a="1"/>
  <c r="R444" i="3"/>
  <c r="P444" i="3" a="1"/>
  <c r="P444" i="3"/>
  <c r="N444" i="3" a="1"/>
  <c r="N444" i="3"/>
  <c r="L444" i="3" a="1"/>
  <c r="L444" i="3"/>
  <c r="I444" i="3"/>
  <c r="E444" i="3" a="1"/>
  <c r="E444" i="3" s="1"/>
  <c r="C444" i="3" a="1"/>
  <c r="C444" i="3" s="1"/>
  <c r="BF443" i="3"/>
  <c r="BE443" i="3"/>
  <c r="BD443" i="3"/>
  <c r="BC443" i="3"/>
  <c r="BB443" i="3"/>
  <c r="BA443" i="3"/>
  <c r="AZ443" i="3"/>
  <c r="AY443" i="3"/>
  <c r="AX443" i="3"/>
  <c r="AW443" i="3"/>
  <c r="AV443" i="3"/>
  <c r="AU443" i="3"/>
  <c r="AK443" i="3"/>
  <c r="AH443" i="3"/>
  <c r="AG443" i="3" a="1"/>
  <c r="AG443" i="3" s="1"/>
  <c r="AE443" i="3" a="1"/>
  <c r="AE443" i="3" s="1"/>
  <c r="AC443" i="3" a="1"/>
  <c r="AC443" i="3" s="1"/>
  <c r="AA443" i="3" a="1"/>
  <c r="AA443" i="3" s="1"/>
  <c r="Y443" i="3" a="1"/>
  <c r="Y443" i="3" s="1"/>
  <c r="V443" i="3"/>
  <c r="R443" i="3" a="1"/>
  <c r="R443" i="3"/>
  <c r="P443" i="3" a="1"/>
  <c r="P443" i="3"/>
  <c r="N443" i="3" a="1"/>
  <c r="N443" i="3"/>
  <c r="L443" i="3" a="1"/>
  <c r="L443" i="3"/>
  <c r="I443" i="3"/>
  <c r="E443" i="3" a="1"/>
  <c r="E443" i="3" s="1"/>
  <c r="C443" i="3" a="1"/>
  <c r="C443" i="3" s="1"/>
  <c r="BF442" i="3"/>
  <c r="BE442" i="3"/>
  <c r="BD442" i="3"/>
  <c r="BC442" i="3"/>
  <c r="BB442" i="3"/>
  <c r="BA442" i="3"/>
  <c r="AZ442" i="3"/>
  <c r="AY442" i="3"/>
  <c r="AX442" i="3"/>
  <c r="AW442" i="3"/>
  <c r="AV442" i="3"/>
  <c r="AU442" i="3"/>
  <c r="AK442" i="3"/>
  <c r="AH442" i="3"/>
  <c r="AG442" i="3" a="1"/>
  <c r="AG442" i="3" s="1"/>
  <c r="AE442" i="3" a="1"/>
  <c r="AE442" i="3" s="1"/>
  <c r="AC442" i="3" a="1"/>
  <c r="AC442" i="3" s="1"/>
  <c r="AA442" i="3" a="1"/>
  <c r="AA442" i="3" s="1"/>
  <c r="Y442" i="3" a="1"/>
  <c r="Y442" i="3" s="1"/>
  <c r="V442" i="3"/>
  <c r="R442" i="3" a="1"/>
  <c r="R442" i="3"/>
  <c r="P442" i="3" a="1"/>
  <c r="P442" i="3"/>
  <c r="N442" i="3" a="1"/>
  <c r="N442" i="3"/>
  <c r="L442" i="3" a="1"/>
  <c r="L442" i="3"/>
  <c r="I442" i="3"/>
  <c r="E442" i="3" a="1"/>
  <c r="E442" i="3" s="1"/>
  <c r="C442" i="3" a="1"/>
  <c r="C442" i="3" s="1"/>
  <c r="BF441" i="3"/>
  <c r="BE441" i="3"/>
  <c r="BD441" i="3"/>
  <c r="BC441" i="3"/>
  <c r="BB441" i="3"/>
  <c r="BA441" i="3"/>
  <c r="AZ441" i="3"/>
  <c r="AY441" i="3"/>
  <c r="AX441" i="3"/>
  <c r="AW441" i="3"/>
  <c r="AV441" i="3"/>
  <c r="AU441" i="3"/>
  <c r="AK441" i="3"/>
  <c r="AH441" i="3"/>
  <c r="AG441" i="3" a="1"/>
  <c r="AG441" i="3" s="1"/>
  <c r="AE441" i="3" a="1"/>
  <c r="AE441" i="3" s="1"/>
  <c r="AC441" i="3" a="1"/>
  <c r="AC441" i="3" s="1"/>
  <c r="AA441" i="3" a="1"/>
  <c r="AA441" i="3" s="1"/>
  <c r="Y441" i="3" a="1"/>
  <c r="Y441" i="3" s="1"/>
  <c r="V441" i="3"/>
  <c r="R441" i="3" a="1"/>
  <c r="R441" i="3"/>
  <c r="P441" i="3" a="1"/>
  <c r="P441" i="3"/>
  <c r="N441" i="3" a="1"/>
  <c r="N441" i="3"/>
  <c r="L441" i="3" a="1"/>
  <c r="L441" i="3"/>
  <c r="I441" i="3"/>
  <c r="E441" i="3" a="1"/>
  <c r="E441" i="3" s="1"/>
  <c r="C441" i="3" a="1"/>
  <c r="C441" i="3" s="1"/>
  <c r="BF440" i="3"/>
  <c r="BE440" i="3"/>
  <c r="BD440" i="3"/>
  <c r="BC440" i="3"/>
  <c r="BB440" i="3"/>
  <c r="BA440" i="3"/>
  <c r="AZ440" i="3"/>
  <c r="AY440" i="3"/>
  <c r="AX440" i="3"/>
  <c r="AW440" i="3"/>
  <c r="AV440" i="3"/>
  <c r="AU440" i="3"/>
  <c r="AK440" i="3"/>
  <c r="AH440" i="3"/>
  <c r="AG440" i="3" a="1"/>
  <c r="AG440" i="3" s="1"/>
  <c r="AE440" i="3" a="1"/>
  <c r="AE440" i="3" s="1"/>
  <c r="AC440" i="3" a="1"/>
  <c r="AC440" i="3" s="1"/>
  <c r="AA440" i="3" a="1"/>
  <c r="AA440" i="3" s="1"/>
  <c r="Y440" i="3" a="1"/>
  <c r="Y440" i="3" s="1"/>
  <c r="V440" i="3"/>
  <c r="R440" i="3" a="1"/>
  <c r="R440" i="3"/>
  <c r="P440" i="3" a="1"/>
  <c r="P440" i="3"/>
  <c r="N440" i="3" a="1"/>
  <c r="N440" i="3"/>
  <c r="L440" i="3" a="1"/>
  <c r="L440" i="3"/>
  <c r="I440" i="3"/>
  <c r="E440" i="3" a="1"/>
  <c r="E440" i="3" s="1"/>
  <c r="C440" i="3" a="1"/>
  <c r="C440" i="3" s="1"/>
  <c r="BF439" i="3"/>
  <c r="BE439" i="3"/>
  <c r="BD439" i="3"/>
  <c r="BC439" i="3"/>
  <c r="BB439" i="3"/>
  <c r="BA439" i="3"/>
  <c r="AZ439" i="3"/>
  <c r="AY439" i="3"/>
  <c r="AX439" i="3"/>
  <c r="AW439" i="3"/>
  <c r="AV439" i="3"/>
  <c r="AU439" i="3"/>
  <c r="AK439" i="3"/>
  <c r="AH439" i="3"/>
  <c r="AG439" i="3" a="1"/>
  <c r="AG439" i="3" s="1"/>
  <c r="AE439" i="3" a="1"/>
  <c r="AE439" i="3" s="1"/>
  <c r="AC439" i="3" a="1"/>
  <c r="AC439" i="3" s="1"/>
  <c r="AA439" i="3" a="1"/>
  <c r="AA439" i="3" s="1"/>
  <c r="Y439" i="3" a="1"/>
  <c r="Y439" i="3" s="1"/>
  <c r="V439" i="3"/>
  <c r="R439" i="3" a="1"/>
  <c r="R439" i="3"/>
  <c r="P439" i="3" a="1"/>
  <c r="P439" i="3"/>
  <c r="N439" i="3" a="1"/>
  <c r="N439" i="3"/>
  <c r="L439" i="3" a="1"/>
  <c r="L439" i="3"/>
  <c r="I439" i="3"/>
  <c r="E439" i="3" a="1"/>
  <c r="E439" i="3" s="1"/>
  <c r="C439" i="3" a="1"/>
  <c r="C439" i="3" s="1"/>
  <c r="BF438" i="3"/>
  <c r="BE438" i="3"/>
  <c r="BD438" i="3"/>
  <c r="BC438" i="3"/>
  <c r="BB438" i="3"/>
  <c r="BA438" i="3"/>
  <c r="AZ438" i="3"/>
  <c r="AY438" i="3"/>
  <c r="AX438" i="3"/>
  <c r="AW438" i="3"/>
  <c r="AV438" i="3"/>
  <c r="AU438" i="3"/>
  <c r="AK438" i="3"/>
  <c r="AH438" i="3"/>
  <c r="AG438" i="3" a="1"/>
  <c r="AG438" i="3" s="1"/>
  <c r="AE438" i="3" a="1"/>
  <c r="AE438" i="3" s="1"/>
  <c r="AC438" i="3" a="1"/>
  <c r="AC438" i="3" s="1"/>
  <c r="AA438" i="3" a="1"/>
  <c r="AA438" i="3" s="1"/>
  <c r="Y438" i="3" a="1"/>
  <c r="Y438" i="3" s="1"/>
  <c r="V438" i="3"/>
  <c r="R438" i="3" a="1"/>
  <c r="R438" i="3"/>
  <c r="P438" i="3" a="1"/>
  <c r="P438" i="3"/>
  <c r="N438" i="3" a="1"/>
  <c r="N438" i="3"/>
  <c r="L438" i="3" a="1"/>
  <c r="L438" i="3"/>
  <c r="I438" i="3"/>
  <c r="E438" i="3" a="1"/>
  <c r="E438" i="3" s="1"/>
  <c r="C438" i="3" a="1"/>
  <c r="C438" i="3" s="1"/>
  <c r="BF437" i="3"/>
  <c r="BE437" i="3"/>
  <c r="BD437" i="3"/>
  <c r="BC437" i="3"/>
  <c r="BB437" i="3"/>
  <c r="BA437" i="3"/>
  <c r="AZ437" i="3"/>
  <c r="AY437" i="3"/>
  <c r="AX437" i="3"/>
  <c r="AW437" i="3"/>
  <c r="AV437" i="3"/>
  <c r="AU437" i="3"/>
  <c r="AK437" i="3"/>
  <c r="AH437" i="3"/>
  <c r="AG437" i="3" a="1"/>
  <c r="AG437" i="3" s="1"/>
  <c r="AE437" i="3" a="1"/>
  <c r="AE437" i="3" s="1"/>
  <c r="AC437" i="3" a="1"/>
  <c r="AC437" i="3" s="1"/>
  <c r="AA437" i="3" a="1"/>
  <c r="AA437" i="3" s="1"/>
  <c r="Y437" i="3" a="1"/>
  <c r="Y437" i="3" s="1"/>
  <c r="V437" i="3"/>
  <c r="R437" i="3" a="1"/>
  <c r="R437" i="3"/>
  <c r="P437" i="3" a="1"/>
  <c r="P437" i="3"/>
  <c r="N437" i="3" a="1"/>
  <c r="N437" i="3"/>
  <c r="L437" i="3" a="1"/>
  <c r="L437" i="3"/>
  <c r="I437" i="3"/>
  <c r="E437" i="3" a="1"/>
  <c r="E437" i="3" s="1"/>
  <c r="C437" i="3" a="1"/>
  <c r="C437" i="3" s="1"/>
  <c r="BF436" i="3"/>
  <c r="BE436" i="3"/>
  <c r="BD436" i="3"/>
  <c r="BC436" i="3"/>
  <c r="BB436" i="3"/>
  <c r="BA436" i="3"/>
  <c r="AZ436" i="3"/>
  <c r="AY436" i="3"/>
  <c r="AX436" i="3"/>
  <c r="AW436" i="3"/>
  <c r="AV436" i="3"/>
  <c r="AU436" i="3"/>
  <c r="AK436" i="3"/>
  <c r="AH436" i="3"/>
  <c r="AG436" i="3" a="1"/>
  <c r="AG436" i="3" s="1"/>
  <c r="AE436" i="3" a="1"/>
  <c r="AE436" i="3" s="1"/>
  <c r="AC436" i="3" a="1"/>
  <c r="AC436" i="3" s="1"/>
  <c r="AA436" i="3" a="1"/>
  <c r="AA436" i="3" s="1"/>
  <c r="Y436" i="3" a="1"/>
  <c r="Y436" i="3" s="1"/>
  <c r="V436" i="3"/>
  <c r="R436" i="3" a="1"/>
  <c r="R436" i="3"/>
  <c r="P436" i="3" a="1"/>
  <c r="P436" i="3"/>
  <c r="N436" i="3" a="1"/>
  <c r="N436" i="3"/>
  <c r="L436" i="3" a="1"/>
  <c r="L436" i="3"/>
  <c r="I436" i="3"/>
  <c r="E436" i="3" a="1"/>
  <c r="E436" i="3" s="1"/>
  <c r="C436" i="3" a="1"/>
  <c r="C436" i="3" s="1"/>
  <c r="BF435" i="3"/>
  <c r="BE435" i="3"/>
  <c r="BD435" i="3"/>
  <c r="BC435" i="3"/>
  <c r="BB435" i="3"/>
  <c r="BA435" i="3"/>
  <c r="AZ435" i="3"/>
  <c r="AY435" i="3"/>
  <c r="AX435" i="3"/>
  <c r="AW435" i="3"/>
  <c r="AV435" i="3"/>
  <c r="AU435" i="3"/>
  <c r="AK435" i="3"/>
  <c r="AH435" i="3"/>
  <c r="AG435" i="3" a="1"/>
  <c r="AG435" i="3" s="1"/>
  <c r="AE435" i="3" a="1"/>
  <c r="AE435" i="3" s="1"/>
  <c r="AC435" i="3" a="1"/>
  <c r="AC435" i="3" s="1"/>
  <c r="AA435" i="3" a="1"/>
  <c r="AA435" i="3" s="1"/>
  <c r="Y435" i="3" a="1"/>
  <c r="Y435" i="3" s="1"/>
  <c r="V435" i="3"/>
  <c r="R435" i="3" a="1"/>
  <c r="R435" i="3"/>
  <c r="P435" i="3" a="1"/>
  <c r="P435" i="3"/>
  <c r="N435" i="3" a="1"/>
  <c r="N435" i="3"/>
  <c r="L435" i="3" a="1"/>
  <c r="L435" i="3"/>
  <c r="I435" i="3"/>
  <c r="E435" i="3" a="1"/>
  <c r="E435" i="3" s="1"/>
  <c r="C435" i="3" a="1"/>
  <c r="C435" i="3" s="1"/>
  <c r="BF434" i="3"/>
  <c r="BE434" i="3"/>
  <c r="BD434" i="3"/>
  <c r="BC434" i="3"/>
  <c r="BB434" i="3"/>
  <c r="BA434" i="3"/>
  <c r="AZ434" i="3"/>
  <c r="AY434" i="3"/>
  <c r="AX434" i="3"/>
  <c r="AW434" i="3"/>
  <c r="AV434" i="3"/>
  <c r="AU434" i="3"/>
  <c r="AK434" i="3"/>
  <c r="AH434" i="3"/>
  <c r="AG434" i="3" a="1"/>
  <c r="AG434" i="3" s="1"/>
  <c r="AE434" i="3" a="1"/>
  <c r="AE434" i="3" s="1"/>
  <c r="AC434" i="3" a="1"/>
  <c r="AC434" i="3" s="1"/>
  <c r="AA434" i="3" a="1"/>
  <c r="AA434" i="3" s="1"/>
  <c r="Y434" i="3" a="1"/>
  <c r="Y434" i="3" s="1"/>
  <c r="V434" i="3"/>
  <c r="R434" i="3" a="1"/>
  <c r="R434" i="3"/>
  <c r="P434" i="3" a="1"/>
  <c r="P434" i="3"/>
  <c r="N434" i="3" a="1"/>
  <c r="N434" i="3"/>
  <c r="L434" i="3" a="1"/>
  <c r="L434" i="3"/>
  <c r="I434" i="3"/>
  <c r="E434" i="3" a="1"/>
  <c r="E434" i="3" s="1"/>
  <c r="C434" i="3" a="1"/>
  <c r="C434" i="3" s="1"/>
  <c r="BF433" i="3"/>
  <c r="BE433" i="3"/>
  <c r="BD433" i="3"/>
  <c r="BC433" i="3"/>
  <c r="BB433" i="3"/>
  <c r="BA433" i="3"/>
  <c r="AZ433" i="3"/>
  <c r="AY433" i="3"/>
  <c r="AX433" i="3"/>
  <c r="AW433" i="3"/>
  <c r="AV433" i="3"/>
  <c r="AU433" i="3"/>
  <c r="AK433" i="3"/>
  <c r="AH433" i="3"/>
  <c r="AG433" i="3" a="1"/>
  <c r="AG433" i="3" s="1"/>
  <c r="AE433" i="3" a="1"/>
  <c r="AE433" i="3" s="1"/>
  <c r="AC433" i="3" a="1"/>
  <c r="AC433" i="3" s="1"/>
  <c r="AA433" i="3" a="1"/>
  <c r="AA433" i="3" s="1"/>
  <c r="Y433" i="3" a="1"/>
  <c r="Y433" i="3" s="1"/>
  <c r="V433" i="3"/>
  <c r="R433" i="3" a="1"/>
  <c r="R433" i="3"/>
  <c r="P433" i="3" a="1"/>
  <c r="P433" i="3"/>
  <c r="N433" i="3" a="1"/>
  <c r="N433" i="3"/>
  <c r="L433" i="3" a="1"/>
  <c r="L433" i="3"/>
  <c r="I433" i="3"/>
  <c r="E433" i="3" a="1"/>
  <c r="E433" i="3" s="1"/>
  <c r="C433" i="3" a="1"/>
  <c r="C433" i="3" s="1"/>
  <c r="BF432" i="3"/>
  <c r="BE432" i="3"/>
  <c r="BD432" i="3"/>
  <c r="BC432" i="3"/>
  <c r="BB432" i="3"/>
  <c r="BA432" i="3"/>
  <c r="AZ432" i="3"/>
  <c r="AY432" i="3"/>
  <c r="AX432" i="3"/>
  <c r="AW432" i="3"/>
  <c r="AV432" i="3"/>
  <c r="AU432" i="3"/>
  <c r="AK432" i="3"/>
  <c r="AH432" i="3"/>
  <c r="AG432" i="3" a="1"/>
  <c r="AG432" i="3" s="1"/>
  <c r="AE432" i="3" a="1"/>
  <c r="AE432" i="3" s="1"/>
  <c r="AC432" i="3" a="1"/>
  <c r="AC432" i="3" s="1"/>
  <c r="AA432" i="3" a="1"/>
  <c r="AA432" i="3" s="1"/>
  <c r="Y432" i="3" a="1"/>
  <c r="Y432" i="3" s="1"/>
  <c r="V432" i="3"/>
  <c r="R432" i="3" a="1"/>
  <c r="R432" i="3"/>
  <c r="P432" i="3" a="1"/>
  <c r="P432" i="3"/>
  <c r="N432" i="3" a="1"/>
  <c r="N432" i="3"/>
  <c r="L432" i="3" a="1"/>
  <c r="L432" i="3"/>
  <c r="I432" i="3"/>
  <c r="E432" i="3" a="1"/>
  <c r="E432" i="3" s="1"/>
  <c r="C432" i="3" a="1"/>
  <c r="C432" i="3" s="1"/>
  <c r="BF431" i="3"/>
  <c r="BE431" i="3"/>
  <c r="BD431" i="3"/>
  <c r="BC431" i="3"/>
  <c r="BB431" i="3"/>
  <c r="BA431" i="3"/>
  <c r="AZ431" i="3"/>
  <c r="AY431" i="3"/>
  <c r="AX431" i="3"/>
  <c r="AW431" i="3"/>
  <c r="AV431" i="3"/>
  <c r="AU431" i="3"/>
  <c r="AK431" i="3"/>
  <c r="AH431" i="3"/>
  <c r="AG431" i="3" a="1"/>
  <c r="AG431" i="3" s="1"/>
  <c r="AE431" i="3" a="1"/>
  <c r="AE431" i="3" s="1"/>
  <c r="AC431" i="3" a="1"/>
  <c r="AC431" i="3" s="1"/>
  <c r="AA431" i="3" a="1"/>
  <c r="AA431" i="3" s="1"/>
  <c r="Y431" i="3" a="1"/>
  <c r="Y431" i="3" s="1"/>
  <c r="V431" i="3"/>
  <c r="R431" i="3" a="1"/>
  <c r="R431" i="3"/>
  <c r="P431" i="3" a="1"/>
  <c r="P431" i="3"/>
  <c r="N431" i="3" a="1"/>
  <c r="N431" i="3"/>
  <c r="L431" i="3" a="1"/>
  <c r="L431" i="3"/>
  <c r="I431" i="3"/>
  <c r="E431" i="3" a="1"/>
  <c r="E431" i="3" s="1"/>
  <c r="C431" i="3" a="1"/>
  <c r="C431" i="3" s="1"/>
  <c r="BF430" i="3"/>
  <c r="BE430" i="3"/>
  <c r="BD430" i="3"/>
  <c r="BC430" i="3"/>
  <c r="BB430" i="3"/>
  <c r="BA430" i="3"/>
  <c r="AZ430" i="3"/>
  <c r="AY430" i="3"/>
  <c r="AX430" i="3"/>
  <c r="AW430" i="3"/>
  <c r="AV430" i="3"/>
  <c r="AU430" i="3"/>
  <c r="AK430" i="3"/>
  <c r="AH430" i="3"/>
  <c r="AG430" i="3" a="1"/>
  <c r="AG430" i="3" s="1"/>
  <c r="AE430" i="3" a="1"/>
  <c r="AE430" i="3" s="1"/>
  <c r="AC430" i="3" a="1"/>
  <c r="AC430" i="3" s="1"/>
  <c r="AA430" i="3" a="1"/>
  <c r="AA430" i="3" s="1"/>
  <c r="Y430" i="3" a="1"/>
  <c r="Y430" i="3" s="1"/>
  <c r="V430" i="3"/>
  <c r="R430" i="3" a="1"/>
  <c r="R430" i="3"/>
  <c r="P430" i="3" a="1"/>
  <c r="P430" i="3"/>
  <c r="N430" i="3" a="1"/>
  <c r="N430" i="3"/>
  <c r="L430" i="3" a="1"/>
  <c r="L430" i="3"/>
  <c r="I430" i="3"/>
  <c r="E430" i="3" a="1"/>
  <c r="E430" i="3" s="1"/>
  <c r="C430" i="3" a="1"/>
  <c r="C430" i="3" s="1"/>
  <c r="BF429" i="3"/>
  <c r="BE429" i="3"/>
  <c r="BD429" i="3"/>
  <c r="BC429" i="3"/>
  <c r="BB429" i="3"/>
  <c r="BA429" i="3"/>
  <c r="AZ429" i="3"/>
  <c r="AY429" i="3"/>
  <c r="AX429" i="3"/>
  <c r="AW429" i="3"/>
  <c r="AV429" i="3"/>
  <c r="AU429" i="3"/>
  <c r="AK429" i="3"/>
  <c r="AH429" i="3"/>
  <c r="AG429" i="3" a="1"/>
  <c r="AG429" i="3" s="1"/>
  <c r="AE429" i="3" a="1"/>
  <c r="AE429" i="3" s="1"/>
  <c r="AC429" i="3" a="1"/>
  <c r="AC429" i="3" s="1"/>
  <c r="AA429" i="3" a="1"/>
  <c r="AA429" i="3" s="1"/>
  <c r="Y429" i="3" a="1"/>
  <c r="Y429" i="3" s="1"/>
  <c r="V429" i="3"/>
  <c r="R429" i="3" a="1"/>
  <c r="R429" i="3"/>
  <c r="P429" i="3" a="1"/>
  <c r="P429" i="3"/>
  <c r="N429" i="3" a="1"/>
  <c r="N429" i="3"/>
  <c r="L429" i="3" a="1"/>
  <c r="L429" i="3"/>
  <c r="I429" i="3"/>
  <c r="E429" i="3" a="1"/>
  <c r="E429" i="3" s="1"/>
  <c r="C429" i="3" a="1"/>
  <c r="C429" i="3" s="1"/>
  <c r="BF428" i="3"/>
  <c r="BE428" i="3"/>
  <c r="BD428" i="3"/>
  <c r="BC428" i="3"/>
  <c r="BB428" i="3"/>
  <c r="BA428" i="3"/>
  <c r="AZ428" i="3"/>
  <c r="AY428" i="3"/>
  <c r="AX428" i="3"/>
  <c r="AW428" i="3"/>
  <c r="AV428" i="3"/>
  <c r="AU428" i="3"/>
  <c r="AK428" i="3"/>
  <c r="AH428" i="3"/>
  <c r="AG428" i="3" a="1"/>
  <c r="AG428" i="3" s="1"/>
  <c r="AE428" i="3" a="1"/>
  <c r="AE428" i="3" s="1"/>
  <c r="AC428" i="3" a="1"/>
  <c r="AC428" i="3" s="1"/>
  <c r="AA428" i="3" a="1"/>
  <c r="AA428" i="3" s="1"/>
  <c r="Y428" i="3" a="1"/>
  <c r="Y428" i="3" s="1"/>
  <c r="V428" i="3"/>
  <c r="R428" i="3" a="1"/>
  <c r="R428" i="3"/>
  <c r="P428" i="3" a="1"/>
  <c r="P428" i="3"/>
  <c r="N428" i="3" a="1"/>
  <c r="N428" i="3"/>
  <c r="L428" i="3" a="1"/>
  <c r="L428" i="3"/>
  <c r="I428" i="3"/>
  <c r="E428" i="3" a="1"/>
  <c r="E428" i="3" s="1"/>
  <c r="C428" i="3" a="1"/>
  <c r="C428" i="3" s="1"/>
  <c r="BF427" i="3"/>
  <c r="BE427" i="3"/>
  <c r="BD427" i="3"/>
  <c r="BC427" i="3"/>
  <c r="BB427" i="3"/>
  <c r="BA427" i="3"/>
  <c r="AZ427" i="3"/>
  <c r="AY427" i="3"/>
  <c r="AX427" i="3"/>
  <c r="AW427" i="3"/>
  <c r="AV427" i="3"/>
  <c r="AU427" i="3"/>
  <c r="AK427" i="3"/>
  <c r="AH427" i="3"/>
  <c r="AG427" i="3" a="1"/>
  <c r="AG427" i="3" s="1"/>
  <c r="AE427" i="3" a="1"/>
  <c r="AE427" i="3" s="1"/>
  <c r="AC427" i="3" a="1"/>
  <c r="AC427" i="3" s="1"/>
  <c r="AA427" i="3" a="1"/>
  <c r="AA427" i="3" s="1"/>
  <c r="Y427" i="3" a="1"/>
  <c r="Y427" i="3" s="1"/>
  <c r="V427" i="3"/>
  <c r="R427" i="3" a="1"/>
  <c r="R427" i="3"/>
  <c r="P427" i="3" a="1"/>
  <c r="P427" i="3"/>
  <c r="N427" i="3" a="1"/>
  <c r="N427" i="3"/>
  <c r="L427" i="3" a="1"/>
  <c r="L427" i="3"/>
  <c r="I427" i="3"/>
  <c r="E427" i="3" a="1"/>
  <c r="E427" i="3" s="1"/>
  <c r="C427" i="3" a="1"/>
  <c r="C427" i="3" s="1"/>
  <c r="BF426" i="3"/>
  <c r="BE426" i="3"/>
  <c r="BD426" i="3"/>
  <c r="BC426" i="3"/>
  <c r="BB426" i="3"/>
  <c r="BA426" i="3"/>
  <c r="AZ426" i="3"/>
  <c r="AY426" i="3"/>
  <c r="AX426" i="3"/>
  <c r="AW426" i="3"/>
  <c r="AV426" i="3"/>
  <c r="AU426" i="3"/>
  <c r="AK426" i="3"/>
  <c r="AH426" i="3"/>
  <c r="AG426" i="3" a="1"/>
  <c r="AG426" i="3" s="1"/>
  <c r="AE426" i="3" a="1"/>
  <c r="AE426" i="3" s="1"/>
  <c r="AC426" i="3" a="1"/>
  <c r="AC426" i="3" s="1"/>
  <c r="AA426" i="3" a="1"/>
  <c r="AA426" i="3" s="1"/>
  <c r="Y426" i="3" a="1"/>
  <c r="Y426" i="3" s="1"/>
  <c r="V426" i="3"/>
  <c r="R426" i="3" a="1"/>
  <c r="R426" i="3"/>
  <c r="P426" i="3" a="1"/>
  <c r="P426" i="3"/>
  <c r="N426" i="3" a="1"/>
  <c r="N426" i="3"/>
  <c r="L426" i="3" a="1"/>
  <c r="L426" i="3"/>
  <c r="I426" i="3"/>
  <c r="E426" i="3" a="1"/>
  <c r="E426" i="3" s="1"/>
  <c r="C426" i="3" a="1"/>
  <c r="C426" i="3" s="1"/>
  <c r="BF425" i="3"/>
  <c r="BE425" i="3"/>
  <c r="BD425" i="3"/>
  <c r="BC425" i="3"/>
  <c r="BB425" i="3"/>
  <c r="BA425" i="3"/>
  <c r="AZ425" i="3"/>
  <c r="AY425" i="3"/>
  <c r="AX425" i="3"/>
  <c r="AW425" i="3"/>
  <c r="AV425" i="3"/>
  <c r="AU425" i="3"/>
  <c r="AK425" i="3"/>
  <c r="AH425" i="3"/>
  <c r="AG425" i="3" a="1"/>
  <c r="AG425" i="3" s="1"/>
  <c r="AE425" i="3" a="1"/>
  <c r="AE425" i="3" s="1"/>
  <c r="AC425" i="3" a="1"/>
  <c r="AC425" i="3" s="1"/>
  <c r="AA425" i="3" a="1"/>
  <c r="AA425" i="3" s="1"/>
  <c r="Y425" i="3" a="1"/>
  <c r="Y425" i="3" s="1"/>
  <c r="V425" i="3"/>
  <c r="R425" i="3" a="1"/>
  <c r="R425" i="3"/>
  <c r="P425" i="3" a="1"/>
  <c r="P425" i="3"/>
  <c r="N425" i="3" a="1"/>
  <c r="N425" i="3"/>
  <c r="L425" i="3" a="1"/>
  <c r="L425" i="3"/>
  <c r="I425" i="3"/>
  <c r="E425" i="3" a="1"/>
  <c r="E425" i="3" s="1"/>
  <c r="C425" i="3" a="1"/>
  <c r="C425" i="3" s="1"/>
  <c r="BF424" i="3"/>
  <c r="BE424" i="3"/>
  <c r="BD424" i="3"/>
  <c r="BC424" i="3"/>
  <c r="BB424" i="3"/>
  <c r="BA424" i="3"/>
  <c r="AZ424" i="3"/>
  <c r="AY424" i="3"/>
  <c r="AX424" i="3"/>
  <c r="AW424" i="3"/>
  <c r="AV424" i="3"/>
  <c r="AU424" i="3"/>
  <c r="AK424" i="3"/>
  <c r="AH424" i="3"/>
  <c r="AG424" i="3" a="1"/>
  <c r="AG424" i="3" s="1"/>
  <c r="AE424" i="3" a="1"/>
  <c r="AE424" i="3" s="1"/>
  <c r="AC424" i="3" a="1"/>
  <c r="AC424" i="3" s="1"/>
  <c r="AA424" i="3" a="1"/>
  <c r="AA424" i="3" s="1"/>
  <c r="Y424" i="3" a="1"/>
  <c r="Y424" i="3" s="1"/>
  <c r="V424" i="3"/>
  <c r="R424" i="3" a="1"/>
  <c r="R424" i="3"/>
  <c r="P424" i="3" a="1"/>
  <c r="P424" i="3"/>
  <c r="N424" i="3" a="1"/>
  <c r="N424" i="3"/>
  <c r="L424" i="3" a="1"/>
  <c r="L424" i="3"/>
  <c r="I424" i="3"/>
  <c r="E424" i="3" a="1"/>
  <c r="E424" i="3" s="1"/>
  <c r="C424" i="3" a="1"/>
  <c r="C424" i="3" s="1"/>
  <c r="BF423" i="3"/>
  <c r="BE423" i="3"/>
  <c r="BD423" i="3"/>
  <c r="BC423" i="3"/>
  <c r="BB423" i="3"/>
  <c r="BA423" i="3"/>
  <c r="AZ423" i="3"/>
  <c r="AY423" i="3"/>
  <c r="AX423" i="3"/>
  <c r="AW423" i="3"/>
  <c r="AV423" i="3"/>
  <c r="AU423" i="3"/>
  <c r="AK423" i="3"/>
  <c r="AH423" i="3"/>
  <c r="AG423" i="3" a="1"/>
  <c r="AG423" i="3" s="1"/>
  <c r="AE423" i="3" a="1"/>
  <c r="AE423" i="3" s="1"/>
  <c r="AC423" i="3" a="1"/>
  <c r="AC423" i="3" s="1"/>
  <c r="AA423" i="3" a="1"/>
  <c r="AA423" i="3" s="1"/>
  <c r="Y423" i="3" a="1"/>
  <c r="Y423" i="3" s="1"/>
  <c r="V423" i="3"/>
  <c r="R423" i="3" a="1"/>
  <c r="R423" i="3"/>
  <c r="P423" i="3" a="1"/>
  <c r="P423" i="3"/>
  <c r="N423" i="3" a="1"/>
  <c r="N423" i="3"/>
  <c r="L423" i="3" a="1"/>
  <c r="L423" i="3"/>
  <c r="I423" i="3"/>
  <c r="E423" i="3" a="1"/>
  <c r="E423" i="3" s="1"/>
  <c r="C423" i="3" a="1"/>
  <c r="C423" i="3" s="1"/>
  <c r="BF422" i="3"/>
  <c r="BE422" i="3"/>
  <c r="BD422" i="3"/>
  <c r="BC422" i="3"/>
  <c r="BB422" i="3"/>
  <c r="BA422" i="3"/>
  <c r="AZ422" i="3"/>
  <c r="AY422" i="3"/>
  <c r="AX422" i="3"/>
  <c r="AW422" i="3"/>
  <c r="AV422" i="3"/>
  <c r="AU422" i="3"/>
  <c r="AK422" i="3"/>
  <c r="AH422" i="3"/>
  <c r="AG422" i="3" a="1"/>
  <c r="AG422" i="3" s="1"/>
  <c r="AE422" i="3" a="1"/>
  <c r="AE422" i="3" s="1"/>
  <c r="AC422" i="3" a="1"/>
  <c r="AC422" i="3" s="1"/>
  <c r="AA422" i="3" a="1"/>
  <c r="AA422" i="3" s="1"/>
  <c r="Y422" i="3" a="1"/>
  <c r="Y422" i="3" s="1"/>
  <c r="V422" i="3"/>
  <c r="R422" i="3" a="1"/>
  <c r="R422" i="3"/>
  <c r="P422" i="3" a="1"/>
  <c r="P422" i="3"/>
  <c r="N422" i="3" a="1"/>
  <c r="N422" i="3"/>
  <c r="L422" i="3" a="1"/>
  <c r="L422" i="3"/>
  <c r="I422" i="3"/>
  <c r="E422" i="3" a="1"/>
  <c r="E422" i="3" s="1"/>
  <c r="C422" i="3" a="1"/>
  <c r="C422" i="3" s="1"/>
  <c r="BF421" i="3"/>
  <c r="BE421" i="3"/>
  <c r="BD421" i="3"/>
  <c r="BC421" i="3"/>
  <c r="BB421" i="3"/>
  <c r="BA421" i="3"/>
  <c r="AZ421" i="3"/>
  <c r="AY421" i="3"/>
  <c r="AX421" i="3"/>
  <c r="AW421" i="3"/>
  <c r="AV421" i="3"/>
  <c r="AU421" i="3"/>
  <c r="AK421" i="3"/>
  <c r="AH421" i="3"/>
  <c r="AG421" i="3" a="1"/>
  <c r="AG421" i="3" s="1"/>
  <c r="AE421" i="3" a="1"/>
  <c r="AE421" i="3" s="1"/>
  <c r="AC421" i="3" a="1"/>
  <c r="AC421" i="3" s="1"/>
  <c r="AA421" i="3" a="1"/>
  <c r="AA421" i="3" s="1"/>
  <c r="Y421" i="3" a="1"/>
  <c r="Y421" i="3" s="1"/>
  <c r="V421" i="3"/>
  <c r="R421" i="3" a="1"/>
  <c r="R421" i="3"/>
  <c r="P421" i="3" a="1"/>
  <c r="P421" i="3"/>
  <c r="N421" i="3" a="1"/>
  <c r="N421" i="3"/>
  <c r="L421" i="3" a="1"/>
  <c r="L421" i="3"/>
  <c r="I421" i="3"/>
  <c r="E421" i="3" a="1"/>
  <c r="E421" i="3" s="1"/>
  <c r="C421" i="3" a="1"/>
  <c r="C421" i="3" s="1"/>
  <c r="BF420" i="3"/>
  <c r="BE420" i="3"/>
  <c r="BD420" i="3"/>
  <c r="BC420" i="3"/>
  <c r="BB420" i="3"/>
  <c r="BA420" i="3"/>
  <c r="AZ420" i="3"/>
  <c r="AY420" i="3"/>
  <c r="AX420" i="3"/>
  <c r="AW420" i="3"/>
  <c r="AV420" i="3"/>
  <c r="AU420" i="3"/>
  <c r="AK420" i="3"/>
  <c r="AH420" i="3"/>
  <c r="AG420" i="3" a="1"/>
  <c r="AG420" i="3" s="1"/>
  <c r="AE420" i="3" a="1"/>
  <c r="AE420" i="3" s="1"/>
  <c r="AC420" i="3" a="1"/>
  <c r="AC420" i="3" s="1"/>
  <c r="AA420" i="3" a="1"/>
  <c r="AA420" i="3" s="1"/>
  <c r="Y420" i="3" a="1"/>
  <c r="Y420" i="3" s="1"/>
  <c r="V420" i="3"/>
  <c r="R420" i="3" a="1"/>
  <c r="R420" i="3"/>
  <c r="P420" i="3" a="1"/>
  <c r="P420" i="3"/>
  <c r="N420" i="3" a="1"/>
  <c r="N420" i="3"/>
  <c r="L420" i="3" a="1"/>
  <c r="L420" i="3"/>
  <c r="I420" i="3"/>
  <c r="E420" i="3" a="1"/>
  <c r="E420" i="3" s="1"/>
  <c r="C420" i="3" a="1"/>
  <c r="C420" i="3" s="1"/>
  <c r="BF419" i="3"/>
  <c r="BE419" i="3"/>
  <c r="BD419" i="3"/>
  <c r="BC419" i="3"/>
  <c r="BB419" i="3"/>
  <c r="BA419" i="3"/>
  <c r="AZ419" i="3"/>
  <c r="AY419" i="3"/>
  <c r="AX419" i="3"/>
  <c r="AW419" i="3"/>
  <c r="AV419" i="3"/>
  <c r="AU419" i="3"/>
  <c r="AK419" i="3"/>
  <c r="AH419" i="3"/>
  <c r="AG419" i="3" a="1"/>
  <c r="AG419" i="3" s="1"/>
  <c r="AE419" i="3" a="1"/>
  <c r="AE419" i="3" s="1"/>
  <c r="AC419" i="3" a="1"/>
  <c r="AC419" i="3" s="1"/>
  <c r="AA419" i="3" a="1"/>
  <c r="AA419" i="3" s="1"/>
  <c r="Y419" i="3" a="1"/>
  <c r="Y419" i="3" s="1"/>
  <c r="V419" i="3"/>
  <c r="R419" i="3" a="1"/>
  <c r="R419" i="3"/>
  <c r="P419" i="3" a="1"/>
  <c r="P419" i="3"/>
  <c r="N419" i="3" a="1"/>
  <c r="N419" i="3"/>
  <c r="L419" i="3" a="1"/>
  <c r="L419" i="3"/>
  <c r="I419" i="3"/>
  <c r="E419" i="3" a="1"/>
  <c r="E419" i="3" s="1"/>
  <c r="C419" i="3" a="1"/>
  <c r="C419" i="3" s="1"/>
  <c r="BF418" i="3"/>
  <c r="BE418" i="3"/>
  <c r="BD418" i="3"/>
  <c r="BC418" i="3"/>
  <c r="BB418" i="3"/>
  <c r="BA418" i="3"/>
  <c r="AZ418" i="3"/>
  <c r="AY418" i="3"/>
  <c r="AX418" i="3"/>
  <c r="AW418" i="3"/>
  <c r="AV418" i="3"/>
  <c r="AU418" i="3"/>
  <c r="AK418" i="3"/>
  <c r="AH418" i="3"/>
  <c r="AG418" i="3" a="1"/>
  <c r="AG418" i="3" s="1"/>
  <c r="AE418" i="3" a="1"/>
  <c r="AE418" i="3" s="1"/>
  <c r="AC418" i="3" a="1"/>
  <c r="AC418" i="3" s="1"/>
  <c r="AA418" i="3" a="1"/>
  <c r="AA418" i="3" s="1"/>
  <c r="Y418" i="3" a="1"/>
  <c r="Y418" i="3" s="1"/>
  <c r="V418" i="3"/>
  <c r="R418" i="3" a="1"/>
  <c r="R418" i="3"/>
  <c r="P418" i="3" a="1"/>
  <c r="P418" i="3"/>
  <c r="N418" i="3" a="1"/>
  <c r="N418" i="3"/>
  <c r="L418" i="3" a="1"/>
  <c r="L418" i="3"/>
  <c r="I418" i="3"/>
  <c r="E418" i="3" a="1"/>
  <c r="E418" i="3" s="1"/>
  <c r="C418" i="3" a="1"/>
  <c r="C418" i="3" s="1"/>
  <c r="BF417" i="3"/>
  <c r="BE417" i="3"/>
  <c r="BD417" i="3"/>
  <c r="BC417" i="3"/>
  <c r="BB417" i="3"/>
  <c r="BA417" i="3"/>
  <c r="AZ417" i="3"/>
  <c r="AY417" i="3"/>
  <c r="AX417" i="3"/>
  <c r="AW417" i="3"/>
  <c r="AV417" i="3"/>
  <c r="AU417" i="3"/>
  <c r="AK417" i="3"/>
  <c r="AH417" i="3"/>
  <c r="AG417" i="3" a="1"/>
  <c r="AG417" i="3" s="1"/>
  <c r="AE417" i="3" a="1"/>
  <c r="AE417" i="3" s="1"/>
  <c r="AC417" i="3" a="1"/>
  <c r="AC417" i="3" s="1"/>
  <c r="AA417" i="3" a="1"/>
  <c r="AA417" i="3" s="1"/>
  <c r="Y417" i="3" a="1"/>
  <c r="Y417" i="3" s="1"/>
  <c r="V417" i="3"/>
  <c r="R417" i="3" a="1"/>
  <c r="R417" i="3"/>
  <c r="P417" i="3" a="1"/>
  <c r="P417" i="3"/>
  <c r="N417" i="3" a="1"/>
  <c r="N417" i="3"/>
  <c r="L417" i="3" a="1"/>
  <c r="L417" i="3"/>
  <c r="I417" i="3"/>
  <c r="E417" i="3" a="1"/>
  <c r="E417" i="3" s="1"/>
  <c r="C417" i="3" a="1"/>
  <c r="C417" i="3" s="1"/>
  <c r="BF416" i="3"/>
  <c r="BE416" i="3"/>
  <c r="BD416" i="3"/>
  <c r="BC416" i="3"/>
  <c r="BB416" i="3"/>
  <c r="BA416" i="3"/>
  <c r="AZ416" i="3"/>
  <c r="AY416" i="3"/>
  <c r="AX416" i="3"/>
  <c r="AW416" i="3"/>
  <c r="AV416" i="3"/>
  <c r="AU416" i="3"/>
  <c r="AK416" i="3"/>
  <c r="AH416" i="3"/>
  <c r="AG416" i="3" a="1"/>
  <c r="AG416" i="3" s="1"/>
  <c r="AE416" i="3" a="1"/>
  <c r="AE416" i="3" s="1"/>
  <c r="AC416" i="3" a="1"/>
  <c r="AC416" i="3" s="1"/>
  <c r="AA416" i="3" a="1"/>
  <c r="AA416" i="3" s="1"/>
  <c r="Y416" i="3" a="1"/>
  <c r="Y416" i="3" s="1"/>
  <c r="V416" i="3"/>
  <c r="R416" i="3" a="1"/>
  <c r="R416" i="3"/>
  <c r="P416" i="3" a="1"/>
  <c r="P416" i="3"/>
  <c r="N416" i="3" a="1"/>
  <c r="N416" i="3"/>
  <c r="L416" i="3" a="1"/>
  <c r="L416" i="3"/>
  <c r="I416" i="3"/>
  <c r="E416" i="3" a="1"/>
  <c r="E416" i="3" s="1"/>
  <c r="C416" i="3" a="1"/>
  <c r="C416" i="3" s="1"/>
  <c r="BF415" i="3"/>
  <c r="BE415" i="3"/>
  <c r="BD415" i="3"/>
  <c r="BC415" i="3"/>
  <c r="BB415" i="3"/>
  <c r="BA415" i="3"/>
  <c r="AZ415" i="3"/>
  <c r="AY415" i="3"/>
  <c r="AX415" i="3"/>
  <c r="AW415" i="3"/>
  <c r="AV415" i="3"/>
  <c r="AU415" i="3"/>
  <c r="AK415" i="3"/>
  <c r="AH415" i="3"/>
  <c r="AG415" i="3" a="1"/>
  <c r="AG415" i="3" s="1"/>
  <c r="AE415" i="3" a="1"/>
  <c r="AE415" i="3" s="1"/>
  <c r="AC415" i="3" a="1"/>
  <c r="AC415" i="3" s="1"/>
  <c r="AA415" i="3" a="1"/>
  <c r="AA415" i="3" s="1"/>
  <c r="Y415" i="3" a="1"/>
  <c r="Y415" i="3" s="1"/>
  <c r="V415" i="3"/>
  <c r="R415" i="3" a="1"/>
  <c r="R415" i="3"/>
  <c r="P415" i="3" a="1"/>
  <c r="P415" i="3"/>
  <c r="N415" i="3" a="1"/>
  <c r="N415" i="3"/>
  <c r="L415" i="3" a="1"/>
  <c r="L415" i="3"/>
  <c r="I415" i="3"/>
  <c r="E415" i="3" a="1"/>
  <c r="E415" i="3" s="1"/>
  <c r="C415" i="3" a="1"/>
  <c r="C415" i="3" s="1"/>
  <c r="BF414" i="3"/>
  <c r="BE414" i="3"/>
  <c r="BD414" i="3"/>
  <c r="BC414" i="3"/>
  <c r="BB414" i="3"/>
  <c r="BA414" i="3"/>
  <c r="AZ414" i="3"/>
  <c r="AY414" i="3"/>
  <c r="AX414" i="3"/>
  <c r="AW414" i="3"/>
  <c r="AV414" i="3"/>
  <c r="AU414" i="3"/>
  <c r="AK414" i="3"/>
  <c r="AH414" i="3"/>
  <c r="AG414" i="3" a="1"/>
  <c r="AG414" i="3" s="1"/>
  <c r="AE414" i="3" a="1"/>
  <c r="AE414" i="3" s="1"/>
  <c r="AC414" i="3" a="1"/>
  <c r="AC414" i="3" s="1"/>
  <c r="AA414" i="3" a="1"/>
  <c r="AA414" i="3" s="1"/>
  <c r="Y414" i="3" a="1"/>
  <c r="Y414" i="3" s="1"/>
  <c r="V414" i="3"/>
  <c r="R414" i="3" a="1"/>
  <c r="R414" i="3"/>
  <c r="P414" i="3" a="1"/>
  <c r="P414" i="3"/>
  <c r="N414" i="3" a="1"/>
  <c r="N414" i="3"/>
  <c r="L414" i="3" a="1"/>
  <c r="L414" i="3"/>
  <c r="I414" i="3"/>
  <c r="E414" i="3" a="1"/>
  <c r="E414" i="3" s="1"/>
  <c r="C414" i="3" a="1"/>
  <c r="C414" i="3" s="1"/>
  <c r="BF413" i="3"/>
  <c r="BE413" i="3"/>
  <c r="BD413" i="3"/>
  <c r="BC413" i="3"/>
  <c r="BB413" i="3"/>
  <c r="BA413" i="3"/>
  <c r="AZ413" i="3"/>
  <c r="AY413" i="3"/>
  <c r="AX413" i="3"/>
  <c r="AW413" i="3"/>
  <c r="AV413" i="3"/>
  <c r="AU413" i="3"/>
  <c r="AK413" i="3"/>
  <c r="AH413" i="3"/>
  <c r="AG413" i="3" a="1"/>
  <c r="AG413" i="3" s="1"/>
  <c r="AE413" i="3" a="1"/>
  <c r="AE413" i="3" s="1"/>
  <c r="AC413" i="3" a="1"/>
  <c r="AC413" i="3" s="1"/>
  <c r="AA413" i="3" a="1"/>
  <c r="AA413" i="3" s="1"/>
  <c r="Y413" i="3" a="1"/>
  <c r="Y413" i="3" s="1"/>
  <c r="V413" i="3"/>
  <c r="R413" i="3" a="1"/>
  <c r="R413" i="3"/>
  <c r="P413" i="3" a="1"/>
  <c r="P413" i="3"/>
  <c r="N413" i="3" a="1"/>
  <c r="N413" i="3"/>
  <c r="L413" i="3" a="1"/>
  <c r="L413" i="3"/>
  <c r="I413" i="3"/>
  <c r="E413" i="3" a="1"/>
  <c r="E413" i="3" s="1"/>
  <c r="C413" i="3" a="1"/>
  <c r="C413" i="3" s="1"/>
  <c r="BF412" i="3"/>
  <c r="BE412" i="3"/>
  <c r="BD412" i="3"/>
  <c r="BC412" i="3"/>
  <c r="BB412" i="3"/>
  <c r="BA412" i="3"/>
  <c r="AZ412" i="3"/>
  <c r="AY412" i="3"/>
  <c r="AX412" i="3"/>
  <c r="AW412" i="3"/>
  <c r="AV412" i="3"/>
  <c r="AU412" i="3"/>
  <c r="AK412" i="3"/>
  <c r="AH412" i="3"/>
  <c r="AG412" i="3" a="1"/>
  <c r="AG412" i="3"/>
  <c r="AE412" i="3" a="1"/>
  <c r="AE412" i="3" s="1"/>
  <c r="AC412" i="3" a="1"/>
  <c r="AC412" i="3" s="1"/>
  <c r="AA412" i="3" a="1"/>
  <c r="AA412" i="3" s="1"/>
  <c r="Y412" i="3" a="1"/>
  <c r="Y412" i="3" s="1"/>
  <c r="V412" i="3"/>
  <c r="R412" i="3" a="1"/>
  <c r="R412" i="3"/>
  <c r="P412" i="3" a="1"/>
  <c r="P412" i="3" s="1"/>
  <c r="N412" i="3" a="1"/>
  <c r="N412" i="3"/>
  <c r="L412" i="3" a="1"/>
  <c r="L412" i="3" s="1"/>
  <c r="I412" i="3"/>
  <c r="E412" i="3" a="1"/>
  <c r="E412" i="3" s="1"/>
  <c r="C412" i="3" a="1"/>
  <c r="C412" i="3" s="1"/>
  <c r="BF411" i="3"/>
  <c r="BE411" i="3"/>
  <c r="BD411" i="3"/>
  <c r="BC411" i="3"/>
  <c r="BB411" i="3"/>
  <c r="BA411" i="3"/>
  <c r="AZ411" i="3"/>
  <c r="AY411" i="3"/>
  <c r="AX411" i="3"/>
  <c r="AW411" i="3"/>
  <c r="AV411" i="3"/>
  <c r="AU411" i="3"/>
  <c r="AK411" i="3"/>
  <c r="AH411" i="3"/>
  <c r="AG411" i="3" a="1"/>
  <c r="AG411" i="3" s="1"/>
  <c r="AE411" i="3" a="1"/>
  <c r="AE411" i="3"/>
  <c r="AC411" i="3" a="1"/>
  <c r="AC411" i="3" s="1"/>
  <c r="AA411" i="3" a="1"/>
  <c r="AA411" i="3" s="1"/>
  <c r="Y411" i="3" a="1"/>
  <c r="Y411" i="3"/>
  <c r="V411" i="3"/>
  <c r="R411" i="3" a="1"/>
  <c r="R411" i="3"/>
  <c r="P411" i="3" a="1"/>
  <c r="P411" i="3" s="1"/>
  <c r="N411" i="3" a="1"/>
  <c r="N411" i="3"/>
  <c r="L411" i="3" a="1"/>
  <c r="L411" i="3" s="1"/>
  <c r="I411" i="3"/>
  <c r="E411" i="3" a="1"/>
  <c r="E411" i="3" s="1"/>
  <c r="C411" i="3" a="1"/>
  <c r="C411" i="3" s="1"/>
  <c r="BF410" i="3"/>
  <c r="BE410" i="3"/>
  <c r="BD410" i="3"/>
  <c r="BC410" i="3"/>
  <c r="BB410" i="3"/>
  <c r="BA410" i="3"/>
  <c r="AZ410" i="3"/>
  <c r="AY410" i="3"/>
  <c r="AX410" i="3"/>
  <c r="AW410" i="3"/>
  <c r="AV410" i="3"/>
  <c r="AU410" i="3"/>
  <c r="AK410" i="3"/>
  <c r="AH410" i="3"/>
  <c r="AG410" i="3" a="1"/>
  <c r="AG410" i="3" s="1"/>
  <c r="AE410" i="3" a="1"/>
  <c r="AE410" i="3"/>
  <c r="AC410" i="3" a="1"/>
  <c r="AC410" i="3" s="1"/>
  <c r="AA410" i="3" a="1"/>
  <c r="AA410" i="3"/>
  <c r="Y410" i="3" a="1"/>
  <c r="Y410" i="3" s="1"/>
  <c r="V410" i="3"/>
  <c r="R410" i="3" a="1"/>
  <c r="R410" i="3"/>
  <c r="P410" i="3" a="1"/>
  <c r="P410" i="3"/>
  <c r="N410" i="3" a="1"/>
  <c r="N410" i="3" s="1"/>
  <c r="L410" i="3" a="1"/>
  <c r="L410" i="3"/>
  <c r="I410" i="3"/>
  <c r="E410" i="3" a="1"/>
  <c r="E410" i="3" s="1"/>
  <c r="C410" i="3" a="1"/>
  <c r="C410" i="3" s="1"/>
  <c r="BF409" i="3"/>
  <c r="BE409" i="3"/>
  <c r="BD409" i="3"/>
  <c r="BC409" i="3"/>
  <c r="BB409" i="3"/>
  <c r="BA409" i="3"/>
  <c r="AZ409" i="3"/>
  <c r="AY409" i="3"/>
  <c r="AX409" i="3"/>
  <c r="AW409" i="3"/>
  <c r="AV409" i="3"/>
  <c r="AU409" i="3"/>
  <c r="AK409" i="3"/>
  <c r="AH409" i="3"/>
  <c r="AG409" i="3" a="1"/>
  <c r="AG409" i="3"/>
  <c r="AE409" i="3" a="1"/>
  <c r="AE409" i="3" s="1"/>
  <c r="AC409" i="3" a="1"/>
  <c r="AC409" i="3" s="1"/>
  <c r="AA409" i="3" a="1"/>
  <c r="AA409" i="3" s="1"/>
  <c r="Y409" i="3" a="1"/>
  <c r="Y409" i="3" s="1"/>
  <c r="V409" i="3"/>
  <c r="R409" i="3" a="1"/>
  <c r="R409" i="3"/>
  <c r="P409" i="3" a="1"/>
  <c r="P409" i="3"/>
  <c r="N409" i="3" a="1"/>
  <c r="N409" i="3"/>
  <c r="L409" i="3" a="1"/>
  <c r="L409" i="3"/>
  <c r="I409" i="3"/>
  <c r="E409" i="3" a="1"/>
  <c r="E409" i="3" s="1"/>
  <c r="C409" i="3" a="1"/>
  <c r="C409" i="3" s="1"/>
  <c r="BF408" i="3"/>
  <c r="BE408" i="3"/>
  <c r="BD408" i="3"/>
  <c r="BC408" i="3"/>
  <c r="BB408" i="3"/>
  <c r="BA408" i="3"/>
  <c r="AZ408" i="3"/>
  <c r="AY408" i="3"/>
  <c r="AX408" i="3"/>
  <c r="AW408" i="3"/>
  <c r="AV408" i="3"/>
  <c r="AU408" i="3"/>
  <c r="AK408" i="3"/>
  <c r="AH408" i="3"/>
  <c r="AG408" i="3" a="1"/>
  <c r="AG408" i="3" s="1"/>
  <c r="AE408" i="3" a="1"/>
  <c r="AE408" i="3" s="1"/>
  <c r="AC408" i="3" a="1"/>
  <c r="AC408" i="3" s="1"/>
  <c r="AA408" i="3" a="1"/>
  <c r="AA408" i="3" s="1"/>
  <c r="Y408" i="3" a="1"/>
  <c r="Y408" i="3" s="1"/>
  <c r="V408" i="3"/>
  <c r="R408" i="3" a="1"/>
  <c r="R408" i="3"/>
  <c r="P408" i="3" a="1"/>
  <c r="P408" i="3"/>
  <c r="N408" i="3" a="1"/>
  <c r="N408" i="3"/>
  <c r="L408" i="3" a="1"/>
  <c r="L408" i="3"/>
  <c r="I408" i="3"/>
  <c r="E408" i="3" a="1"/>
  <c r="E408" i="3" s="1"/>
  <c r="C408" i="3" a="1"/>
  <c r="C408" i="3" s="1"/>
  <c r="BF407" i="3"/>
  <c r="BE407" i="3"/>
  <c r="BD407" i="3"/>
  <c r="BC407" i="3"/>
  <c r="BB407" i="3"/>
  <c r="BA407" i="3"/>
  <c r="AZ407" i="3"/>
  <c r="AY407" i="3"/>
  <c r="AX407" i="3"/>
  <c r="AW407" i="3"/>
  <c r="AV407" i="3"/>
  <c r="AU407" i="3"/>
  <c r="AK407" i="3"/>
  <c r="AH407" i="3"/>
  <c r="AG407" i="3" a="1"/>
  <c r="AG407" i="3" s="1"/>
  <c r="AE407" i="3" a="1"/>
  <c r="AE407" i="3" s="1"/>
  <c r="AC407" i="3" a="1"/>
  <c r="AC407" i="3" s="1"/>
  <c r="AA407" i="3" a="1"/>
  <c r="AA407" i="3" s="1"/>
  <c r="Y407" i="3" a="1"/>
  <c r="Y407" i="3" s="1"/>
  <c r="V407" i="3"/>
  <c r="R407" i="3" a="1"/>
  <c r="R407" i="3"/>
  <c r="P407" i="3" a="1"/>
  <c r="P407" i="3"/>
  <c r="N407" i="3" a="1"/>
  <c r="N407" i="3"/>
  <c r="L407" i="3" a="1"/>
  <c r="L407" i="3"/>
  <c r="I407" i="3"/>
  <c r="E407" i="3" a="1"/>
  <c r="E407" i="3" s="1"/>
  <c r="C407" i="3" a="1"/>
  <c r="C407" i="3" s="1"/>
  <c r="BF406" i="3"/>
  <c r="BE406" i="3"/>
  <c r="BD406" i="3"/>
  <c r="BC406" i="3"/>
  <c r="BB406" i="3"/>
  <c r="BA406" i="3"/>
  <c r="AZ406" i="3"/>
  <c r="AY406" i="3"/>
  <c r="AX406" i="3"/>
  <c r="AW406" i="3"/>
  <c r="AV406" i="3"/>
  <c r="AU406" i="3"/>
  <c r="AK406" i="3"/>
  <c r="AH406" i="3"/>
  <c r="AG406" i="3" a="1"/>
  <c r="AG406" i="3" s="1"/>
  <c r="AE406" i="3" a="1"/>
  <c r="AE406" i="3" s="1"/>
  <c r="AC406" i="3" a="1"/>
  <c r="AC406" i="3" s="1"/>
  <c r="AA406" i="3" a="1"/>
  <c r="AA406" i="3" s="1"/>
  <c r="Y406" i="3" a="1"/>
  <c r="Y406" i="3" s="1"/>
  <c r="V406" i="3"/>
  <c r="R406" i="3" a="1"/>
  <c r="R406" i="3"/>
  <c r="P406" i="3" a="1"/>
  <c r="P406" i="3"/>
  <c r="N406" i="3" a="1"/>
  <c r="N406" i="3"/>
  <c r="L406" i="3" a="1"/>
  <c r="L406" i="3"/>
  <c r="I406" i="3"/>
  <c r="E406" i="3" a="1"/>
  <c r="E406" i="3" s="1"/>
  <c r="C406" i="3" a="1"/>
  <c r="C406" i="3" s="1"/>
  <c r="BF405" i="3"/>
  <c r="BE405" i="3"/>
  <c r="BD405" i="3"/>
  <c r="BC405" i="3"/>
  <c r="BB405" i="3"/>
  <c r="BA405" i="3"/>
  <c r="AZ405" i="3"/>
  <c r="AY405" i="3"/>
  <c r="AX405" i="3"/>
  <c r="AW405" i="3"/>
  <c r="AV405" i="3"/>
  <c r="AU405" i="3"/>
  <c r="AK405" i="3"/>
  <c r="AH405" i="3"/>
  <c r="AG405" i="3" a="1"/>
  <c r="AG405" i="3" s="1"/>
  <c r="AE405" i="3" a="1"/>
  <c r="AE405" i="3" s="1"/>
  <c r="AC405" i="3" a="1"/>
  <c r="AC405" i="3" s="1"/>
  <c r="AA405" i="3" a="1"/>
  <c r="AA405" i="3" s="1"/>
  <c r="Y405" i="3" a="1"/>
  <c r="Y405" i="3" s="1"/>
  <c r="V405" i="3"/>
  <c r="R405" i="3" a="1"/>
  <c r="R405" i="3"/>
  <c r="P405" i="3" a="1"/>
  <c r="P405" i="3"/>
  <c r="N405" i="3" a="1"/>
  <c r="N405" i="3"/>
  <c r="L405" i="3" a="1"/>
  <c r="L405" i="3"/>
  <c r="I405" i="3"/>
  <c r="E405" i="3" a="1"/>
  <c r="E405" i="3" s="1"/>
  <c r="C405" i="3" a="1"/>
  <c r="C405" i="3" s="1"/>
  <c r="BF404" i="3"/>
  <c r="BE404" i="3"/>
  <c r="BD404" i="3"/>
  <c r="BC404" i="3"/>
  <c r="BB404" i="3"/>
  <c r="BA404" i="3"/>
  <c r="AZ404" i="3"/>
  <c r="AY404" i="3"/>
  <c r="AX404" i="3"/>
  <c r="AW404" i="3"/>
  <c r="AV404" i="3"/>
  <c r="AU404" i="3"/>
  <c r="AK404" i="3"/>
  <c r="AH404" i="3"/>
  <c r="AG404" i="3" a="1"/>
  <c r="AG404" i="3" s="1"/>
  <c r="AE404" i="3" a="1"/>
  <c r="AE404" i="3" s="1"/>
  <c r="AC404" i="3" a="1"/>
  <c r="AC404" i="3" s="1"/>
  <c r="AA404" i="3" a="1"/>
  <c r="AA404" i="3" s="1"/>
  <c r="Y404" i="3" a="1"/>
  <c r="Y404" i="3" s="1"/>
  <c r="V404" i="3"/>
  <c r="R404" i="3" a="1"/>
  <c r="R404" i="3"/>
  <c r="P404" i="3" a="1"/>
  <c r="P404" i="3"/>
  <c r="N404" i="3" a="1"/>
  <c r="N404" i="3"/>
  <c r="L404" i="3" a="1"/>
  <c r="L404" i="3"/>
  <c r="I404" i="3"/>
  <c r="E404" i="3" a="1"/>
  <c r="E404" i="3" s="1"/>
  <c r="C404" i="3" a="1"/>
  <c r="C404" i="3" s="1"/>
  <c r="BF403" i="3"/>
  <c r="BE403" i="3"/>
  <c r="BD403" i="3"/>
  <c r="BC403" i="3"/>
  <c r="BB403" i="3"/>
  <c r="BA403" i="3"/>
  <c r="AZ403" i="3"/>
  <c r="AY403" i="3"/>
  <c r="AX403" i="3"/>
  <c r="AW403" i="3"/>
  <c r="AV403" i="3"/>
  <c r="AU403" i="3"/>
  <c r="AK403" i="3"/>
  <c r="AH403" i="3"/>
  <c r="AG403" i="3" a="1"/>
  <c r="AG403" i="3" s="1"/>
  <c r="AE403" i="3" a="1"/>
  <c r="AE403" i="3" s="1"/>
  <c r="AC403" i="3" a="1"/>
  <c r="AC403" i="3" s="1"/>
  <c r="AA403" i="3" a="1"/>
  <c r="AA403" i="3" s="1"/>
  <c r="Y403" i="3" a="1"/>
  <c r="Y403" i="3" s="1"/>
  <c r="V403" i="3"/>
  <c r="R403" i="3" a="1"/>
  <c r="R403" i="3"/>
  <c r="P403" i="3" a="1"/>
  <c r="P403" i="3"/>
  <c r="N403" i="3" a="1"/>
  <c r="N403" i="3"/>
  <c r="L403" i="3" a="1"/>
  <c r="L403" i="3"/>
  <c r="I403" i="3"/>
  <c r="E403" i="3" a="1"/>
  <c r="E403" i="3" s="1"/>
  <c r="C403" i="3" a="1"/>
  <c r="C403" i="3" s="1"/>
  <c r="BF402" i="3"/>
  <c r="BE402" i="3"/>
  <c r="BD402" i="3"/>
  <c r="BC402" i="3"/>
  <c r="BB402" i="3"/>
  <c r="BA402" i="3"/>
  <c r="AZ402" i="3"/>
  <c r="AY402" i="3"/>
  <c r="AX402" i="3"/>
  <c r="AW402" i="3"/>
  <c r="AV402" i="3"/>
  <c r="AU402" i="3"/>
  <c r="AK402" i="3"/>
  <c r="AH402" i="3"/>
  <c r="AG402" i="3" a="1"/>
  <c r="AG402" i="3" s="1"/>
  <c r="AE402" i="3" a="1"/>
  <c r="AE402" i="3" s="1"/>
  <c r="AC402" i="3" a="1"/>
  <c r="AC402" i="3" s="1"/>
  <c r="AA402" i="3" a="1"/>
  <c r="AA402" i="3" s="1"/>
  <c r="Y402" i="3" a="1"/>
  <c r="Y402" i="3" s="1"/>
  <c r="V402" i="3"/>
  <c r="R402" i="3" a="1"/>
  <c r="R402" i="3"/>
  <c r="P402" i="3" a="1"/>
  <c r="P402" i="3"/>
  <c r="N402" i="3" a="1"/>
  <c r="N402" i="3"/>
  <c r="L402" i="3" a="1"/>
  <c r="L402" i="3"/>
  <c r="I402" i="3"/>
  <c r="E402" i="3" a="1"/>
  <c r="E402" i="3" s="1"/>
  <c r="C402" i="3" a="1"/>
  <c r="C402" i="3" s="1"/>
  <c r="BF401" i="3"/>
  <c r="BE401" i="3"/>
  <c r="BD401" i="3"/>
  <c r="BC401" i="3"/>
  <c r="BB401" i="3"/>
  <c r="BA401" i="3"/>
  <c r="AZ401" i="3"/>
  <c r="AY401" i="3"/>
  <c r="AX401" i="3"/>
  <c r="AW401" i="3"/>
  <c r="AV401" i="3"/>
  <c r="AU401" i="3"/>
  <c r="AK401" i="3"/>
  <c r="AH401" i="3"/>
  <c r="AG401" i="3" a="1"/>
  <c r="AG401" i="3" s="1"/>
  <c r="AE401" i="3" a="1"/>
  <c r="AE401" i="3" s="1"/>
  <c r="AC401" i="3" a="1"/>
  <c r="AC401" i="3" s="1"/>
  <c r="AA401" i="3" a="1"/>
  <c r="AA401" i="3" s="1"/>
  <c r="Y401" i="3" a="1"/>
  <c r="Y401" i="3" s="1"/>
  <c r="V401" i="3"/>
  <c r="R401" i="3" a="1"/>
  <c r="R401" i="3"/>
  <c r="P401" i="3" a="1"/>
  <c r="P401" i="3"/>
  <c r="N401" i="3" a="1"/>
  <c r="N401" i="3"/>
  <c r="L401" i="3" a="1"/>
  <c r="L401" i="3"/>
  <c r="I401" i="3"/>
  <c r="E401" i="3" a="1"/>
  <c r="E401" i="3" s="1"/>
  <c r="C401" i="3" a="1"/>
  <c r="C401" i="3" s="1"/>
  <c r="BF400" i="3"/>
  <c r="BE400" i="3"/>
  <c r="BD400" i="3"/>
  <c r="BC400" i="3"/>
  <c r="BB400" i="3"/>
  <c r="BA400" i="3"/>
  <c r="AZ400" i="3"/>
  <c r="AY400" i="3"/>
  <c r="AX400" i="3"/>
  <c r="AW400" i="3"/>
  <c r="AV400" i="3"/>
  <c r="AU400" i="3"/>
  <c r="AK400" i="3"/>
  <c r="AH400" i="3"/>
  <c r="AG400" i="3" a="1"/>
  <c r="AG400" i="3" s="1"/>
  <c r="AE400" i="3" a="1"/>
  <c r="AE400" i="3" s="1"/>
  <c r="AC400" i="3" a="1"/>
  <c r="AC400" i="3" s="1"/>
  <c r="AA400" i="3" a="1"/>
  <c r="AA400" i="3" s="1"/>
  <c r="Y400" i="3" a="1"/>
  <c r="Y400" i="3" s="1"/>
  <c r="V400" i="3"/>
  <c r="R400" i="3" a="1"/>
  <c r="R400" i="3"/>
  <c r="P400" i="3" a="1"/>
  <c r="P400" i="3"/>
  <c r="N400" i="3" a="1"/>
  <c r="N400" i="3"/>
  <c r="L400" i="3" a="1"/>
  <c r="L400" i="3"/>
  <c r="I400" i="3"/>
  <c r="E400" i="3" a="1"/>
  <c r="E400" i="3" s="1"/>
  <c r="C400" i="3" a="1"/>
  <c r="C400" i="3" s="1"/>
  <c r="BF399" i="3"/>
  <c r="BE399" i="3"/>
  <c r="BD399" i="3"/>
  <c r="BC399" i="3"/>
  <c r="BB399" i="3"/>
  <c r="BA399" i="3"/>
  <c r="AZ399" i="3"/>
  <c r="AY399" i="3"/>
  <c r="AX399" i="3"/>
  <c r="AW399" i="3"/>
  <c r="AV399" i="3"/>
  <c r="AU399" i="3"/>
  <c r="AK399" i="3"/>
  <c r="AH399" i="3"/>
  <c r="AG399" i="3" a="1"/>
  <c r="AG399" i="3" s="1"/>
  <c r="AE399" i="3" a="1"/>
  <c r="AE399" i="3" s="1"/>
  <c r="AC399" i="3" a="1"/>
  <c r="AC399" i="3" s="1"/>
  <c r="AA399" i="3" a="1"/>
  <c r="AA399" i="3" s="1"/>
  <c r="Y399" i="3" a="1"/>
  <c r="Y399" i="3" s="1"/>
  <c r="V399" i="3"/>
  <c r="R399" i="3" a="1"/>
  <c r="R399" i="3"/>
  <c r="P399" i="3" a="1"/>
  <c r="P399" i="3"/>
  <c r="N399" i="3" a="1"/>
  <c r="N399" i="3"/>
  <c r="L399" i="3" a="1"/>
  <c r="L399" i="3"/>
  <c r="I399" i="3"/>
  <c r="E399" i="3" a="1"/>
  <c r="E399" i="3" s="1"/>
  <c r="C399" i="3" a="1"/>
  <c r="C399" i="3" s="1"/>
  <c r="BF398" i="3"/>
  <c r="BE398" i="3"/>
  <c r="BD398" i="3"/>
  <c r="BC398" i="3"/>
  <c r="BB398" i="3"/>
  <c r="BA398" i="3"/>
  <c r="AZ398" i="3"/>
  <c r="AY398" i="3"/>
  <c r="AX398" i="3"/>
  <c r="AW398" i="3"/>
  <c r="AV398" i="3"/>
  <c r="AU398" i="3"/>
  <c r="AK398" i="3"/>
  <c r="AH398" i="3"/>
  <c r="AG398" i="3" a="1"/>
  <c r="AG398" i="3" s="1"/>
  <c r="AE398" i="3" a="1"/>
  <c r="AE398" i="3" s="1"/>
  <c r="AC398" i="3" a="1"/>
  <c r="AC398" i="3" s="1"/>
  <c r="AA398" i="3" a="1"/>
  <c r="AA398" i="3" s="1"/>
  <c r="Y398" i="3" a="1"/>
  <c r="Y398" i="3" s="1"/>
  <c r="V398" i="3"/>
  <c r="R398" i="3" a="1"/>
  <c r="R398" i="3"/>
  <c r="P398" i="3" a="1"/>
  <c r="P398" i="3"/>
  <c r="N398" i="3" a="1"/>
  <c r="N398" i="3"/>
  <c r="L398" i="3" a="1"/>
  <c r="L398" i="3"/>
  <c r="I398" i="3"/>
  <c r="E398" i="3" a="1"/>
  <c r="E398" i="3" s="1"/>
  <c r="C398" i="3" a="1"/>
  <c r="C398" i="3" s="1"/>
  <c r="BF397" i="3"/>
  <c r="BE397" i="3"/>
  <c r="BD397" i="3"/>
  <c r="BC397" i="3"/>
  <c r="BB397" i="3"/>
  <c r="BA397" i="3"/>
  <c r="AZ397" i="3"/>
  <c r="AY397" i="3"/>
  <c r="AX397" i="3"/>
  <c r="AW397" i="3"/>
  <c r="AV397" i="3"/>
  <c r="AU397" i="3"/>
  <c r="AK397" i="3"/>
  <c r="AH397" i="3"/>
  <c r="AG397" i="3" a="1"/>
  <c r="AG397" i="3" s="1"/>
  <c r="AE397" i="3" a="1"/>
  <c r="AE397" i="3" s="1"/>
  <c r="AC397" i="3" a="1"/>
  <c r="AC397" i="3" s="1"/>
  <c r="AA397" i="3" a="1"/>
  <c r="AA397" i="3" s="1"/>
  <c r="Y397" i="3" a="1"/>
  <c r="Y397" i="3" s="1"/>
  <c r="V397" i="3"/>
  <c r="R397" i="3" a="1"/>
  <c r="R397" i="3"/>
  <c r="P397" i="3" a="1"/>
  <c r="P397" i="3"/>
  <c r="N397" i="3" a="1"/>
  <c r="N397" i="3"/>
  <c r="L397" i="3" a="1"/>
  <c r="L397" i="3"/>
  <c r="I397" i="3"/>
  <c r="E397" i="3" a="1"/>
  <c r="E397" i="3" s="1"/>
  <c r="C397" i="3" a="1"/>
  <c r="C397" i="3" s="1"/>
  <c r="BF396" i="3"/>
  <c r="BE396" i="3"/>
  <c r="BD396" i="3"/>
  <c r="BC396" i="3"/>
  <c r="BB396" i="3"/>
  <c r="BA396" i="3"/>
  <c r="AZ396" i="3"/>
  <c r="AY396" i="3"/>
  <c r="AX396" i="3"/>
  <c r="AW396" i="3"/>
  <c r="AV396" i="3"/>
  <c r="AU396" i="3"/>
  <c r="AK396" i="3"/>
  <c r="AH396" i="3"/>
  <c r="AG396" i="3" a="1"/>
  <c r="AG396" i="3" s="1"/>
  <c r="AE396" i="3" a="1"/>
  <c r="AE396" i="3" s="1"/>
  <c r="AC396" i="3" a="1"/>
  <c r="AC396" i="3" s="1"/>
  <c r="AA396" i="3" a="1"/>
  <c r="AA396" i="3" s="1"/>
  <c r="Y396" i="3" a="1"/>
  <c r="Y396" i="3" s="1"/>
  <c r="V396" i="3"/>
  <c r="R396" i="3" a="1"/>
  <c r="R396" i="3"/>
  <c r="P396" i="3" a="1"/>
  <c r="P396" i="3"/>
  <c r="N396" i="3" a="1"/>
  <c r="N396" i="3"/>
  <c r="L396" i="3" a="1"/>
  <c r="L396" i="3"/>
  <c r="I396" i="3"/>
  <c r="E396" i="3" a="1"/>
  <c r="E396" i="3" s="1"/>
  <c r="C396" i="3" a="1"/>
  <c r="C396" i="3" s="1"/>
  <c r="BF395" i="3"/>
  <c r="BE395" i="3"/>
  <c r="BD395" i="3"/>
  <c r="BC395" i="3"/>
  <c r="BB395" i="3"/>
  <c r="BA395" i="3"/>
  <c r="AZ395" i="3"/>
  <c r="AY395" i="3"/>
  <c r="AX395" i="3"/>
  <c r="AW395" i="3"/>
  <c r="AV395" i="3"/>
  <c r="AU395" i="3"/>
  <c r="AK395" i="3"/>
  <c r="AH395" i="3"/>
  <c r="AG395" i="3" a="1"/>
  <c r="AG395" i="3" s="1"/>
  <c r="AE395" i="3" a="1"/>
  <c r="AE395" i="3" s="1"/>
  <c r="AC395" i="3" a="1"/>
  <c r="AC395" i="3" s="1"/>
  <c r="AA395" i="3" a="1"/>
  <c r="AA395" i="3" s="1"/>
  <c r="Y395" i="3" a="1"/>
  <c r="Y395" i="3" s="1"/>
  <c r="V395" i="3"/>
  <c r="R395" i="3" a="1"/>
  <c r="R395" i="3"/>
  <c r="P395" i="3" a="1"/>
  <c r="P395" i="3"/>
  <c r="N395" i="3" a="1"/>
  <c r="N395" i="3"/>
  <c r="L395" i="3" a="1"/>
  <c r="L395" i="3"/>
  <c r="I395" i="3"/>
  <c r="E395" i="3" a="1"/>
  <c r="E395" i="3" s="1"/>
  <c r="C395" i="3" a="1"/>
  <c r="C395" i="3" s="1"/>
  <c r="BF394" i="3"/>
  <c r="BE394" i="3"/>
  <c r="BD394" i="3"/>
  <c r="BC394" i="3"/>
  <c r="BB394" i="3"/>
  <c r="BA394" i="3"/>
  <c r="AZ394" i="3"/>
  <c r="AY394" i="3"/>
  <c r="AX394" i="3"/>
  <c r="AW394" i="3"/>
  <c r="AV394" i="3"/>
  <c r="AU394" i="3"/>
  <c r="AK394" i="3"/>
  <c r="AH394" i="3"/>
  <c r="AG394" i="3" a="1"/>
  <c r="AG394" i="3" s="1"/>
  <c r="AE394" i="3" a="1"/>
  <c r="AE394" i="3" s="1"/>
  <c r="AC394" i="3" a="1"/>
  <c r="AC394" i="3" s="1"/>
  <c r="AA394" i="3" a="1"/>
  <c r="AA394" i="3" s="1"/>
  <c r="Y394" i="3" a="1"/>
  <c r="Y394" i="3" s="1"/>
  <c r="V394" i="3"/>
  <c r="R394" i="3" a="1"/>
  <c r="R394" i="3"/>
  <c r="P394" i="3" a="1"/>
  <c r="P394" i="3"/>
  <c r="N394" i="3" a="1"/>
  <c r="N394" i="3"/>
  <c r="L394" i="3" a="1"/>
  <c r="L394" i="3"/>
  <c r="I394" i="3"/>
  <c r="E394" i="3" a="1"/>
  <c r="E394" i="3" s="1"/>
  <c r="C394" i="3" a="1"/>
  <c r="C394" i="3" s="1"/>
  <c r="BF393" i="3"/>
  <c r="BE393" i="3"/>
  <c r="BD393" i="3"/>
  <c r="BC393" i="3"/>
  <c r="BB393" i="3"/>
  <c r="BA393" i="3"/>
  <c r="AZ393" i="3"/>
  <c r="AY393" i="3"/>
  <c r="AX393" i="3"/>
  <c r="AW393" i="3"/>
  <c r="AV393" i="3"/>
  <c r="AU393" i="3"/>
  <c r="AK393" i="3"/>
  <c r="AH393" i="3"/>
  <c r="AG393" i="3" a="1"/>
  <c r="AG393" i="3" s="1"/>
  <c r="AE393" i="3" a="1"/>
  <c r="AE393" i="3" s="1"/>
  <c r="AC393" i="3" a="1"/>
  <c r="AC393" i="3" s="1"/>
  <c r="AA393" i="3" a="1"/>
  <c r="AA393" i="3" s="1"/>
  <c r="Y393" i="3" a="1"/>
  <c r="Y393" i="3" s="1"/>
  <c r="V393" i="3"/>
  <c r="R393" i="3" a="1"/>
  <c r="R393" i="3"/>
  <c r="P393" i="3" a="1"/>
  <c r="P393" i="3"/>
  <c r="N393" i="3" a="1"/>
  <c r="N393" i="3"/>
  <c r="L393" i="3" a="1"/>
  <c r="L393" i="3"/>
  <c r="I393" i="3"/>
  <c r="E393" i="3" a="1"/>
  <c r="E393" i="3" s="1"/>
  <c r="C393" i="3" a="1"/>
  <c r="C393" i="3" s="1"/>
  <c r="BF392" i="3"/>
  <c r="BE392" i="3"/>
  <c r="BD392" i="3"/>
  <c r="BC392" i="3"/>
  <c r="BB392" i="3"/>
  <c r="BA392" i="3"/>
  <c r="AZ392" i="3"/>
  <c r="AY392" i="3"/>
  <c r="AX392" i="3"/>
  <c r="AW392" i="3"/>
  <c r="AV392" i="3"/>
  <c r="AU392" i="3"/>
  <c r="AK392" i="3"/>
  <c r="AH392" i="3"/>
  <c r="AG392" i="3" a="1"/>
  <c r="AG392" i="3" s="1"/>
  <c r="AE392" i="3" a="1"/>
  <c r="AE392" i="3" s="1"/>
  <c r="AC392" i="3" a="1"/>
  <c r="AC392" i="3" s="1"/>
  <c r="AA392" i="3" a="1"/>
  <c r="AA392" i="3" s="1"/>
  <c r="Y392" i="3" a="1"/>
  <c r="Y392" i="3" s="1"/>
  <c r="V392" i="3"/>
  <c r="R392" i="3" a="1"/>
  <c r="R392" i="3"/>
  <c r="P392" i="3" a="1"/>
  <c r="P392" i="3"/>
  <c r="N392" i="3" a="1"/>
  <c r="N392" i="3"/>
  <c r="L392" i="3" a="1"/>
  <c r="L392" i="3"/>
  <c r="I392" i="3"/>
  <c r="E392" i="3" a="1"/>
  <c r="E392" i="3" s="1"/>
  <c r="C392" i="3" a="1"/>
  <c r="C392" i="3" s="1"/>
  <c r="BF391" i="3"/>
  <c r="BE391" i="3"/>
  <c r="BD391" i="3"/>
  <c r="BC391" i="3"/>
  <c r="BB391" i="3"/>
  <c r="BA391" i="3"/>
  <c r="AZ391" i="3"/>
  <c r="AY391" i="3"/>
  <c r="AX391" i="3"/>
  <c r="AW391" i="3"/>
  <c r="AV391" i="3"/>
  <c r="AU391" i="3"/>
  <c r="AK391" i="3"/>
  <c r="AH391" i="3"/>
  <c r="AG391" i="3" a="1"/>
  <c r="AG391" i="3" s="1"/>
  <c r="AE391" i="3" a="1"/>
  <c r="AE391" i="3" s="1"/>
  <c r="AC391" i="3" a="1"/>
  <c r="AC391" i="3" s="1"/>
  <c r="AA391" i="3" a="1"/>
  <c r="AA391" i="3" s="1"/>
  <c r="Y391" i="3" a="1"/>
  <c r="Y391" i="3" s="1"/>
  <c r="V391" i="3"/>
  <c r="R391" i="3" a="1"/>
  <c r="R391" i="3"/>
  <c r="P391" i="3" a="1"/>
  <c r="P391" i="3"/>
  <c r="N391" i="3" a="1"/>
  <c r="N391" i="3"/>
  <c r="L391" i="3" a="1"/>
  <c r="L391" i="3"/>
  <c r="I391" i="3"/>
  <c r="E391" i="3" a="1"/>
  <c r="E391" i="3" s="1"/>
  <c r="C391" i="3" a="1"/>
  <c r="C391" i="3" s="1"/>
  <c r="BF390" i="3"/>
  <c r="BE390" i="3"/>
  <c r="BD390" i="3"/>
  <c r="BC390" i="3"/>
  <c r="BB390" i="3"/>
  <c r="BA390" i="3"/>
  <c r="AZ390" i="3"/>
  <c r="AY390" i="3"/>
  <c r="AX390" i="3"/>
  <c r="AW390" i="3"/>
  <c r="AV390" i="3"/>
  <c r="AU390" i="3"/>
  <c r="AK390" i="3"/>
  <c r="AH390" i="3"/>
  <c r="AG390" i="3" a="1"/>
  <c r="AG390" i="3" s="1"/>
  <c r="AE390" i="3" a="1"/>
  <c r="AE390" i="3" s="1"/>
  <c r="AC390" i="3" a="1"/>
  <c r="AC390" i="3" s="1"/>
  <c r="AA390" i="3" a="1"/>
  <c r="AA390" i="3" s="1"/>
  <c r="Y390" i="3" a="1"/>
  <c r="Y390" i="3" s="1"/>
  <c r="V390" i="3"/>
  <c r="R390" i="3" a="1"/>
  <c r="R390" i="3"/>
  <c r="P390" i="3" a="1"/>
  <c r="P390" i="3"/>
  <c r="N390" i="3" a="1"/>
  <c r="N390" i="3"/>
  <c r="L390" i="3" a="1"/>
  <c r="L390" i="3"/>
  <c r="I390" i="3"/>
  <c r="E390" i="3" a="1"/>
  <c r="E390" i="3" s="1"/>
  <c r="C390" i="3" a="1"/>
  <c r="C390" i="3" s="1"/>
  <c r="BF389" i="3"/>
  <c r="BE389" i="3"/>
  <c r="BD389" i="3"/>
  <c r="BC389" i="3"/>
  <c r="BB389" i="3"/>
  <c r="BA389" i="3"/>
  <c r="AZ389" i="3"/>
  <c r="AY389" i="3"/>
  <c r="AX389" i="3"/>
  <c r="AW389" i="3"/>
  <c r="AV389" i="3"/>
  <c r="AU389" i="3"/>
  <c r="AK389" i="3"/>
  <c r="AH389" i="3"/>
  <c r="AG389" i="3" a="1"/>
  <c r="AG389" i="3" s="1"/>
  <c r="AE389" i="3" a="1"/>
  <c r="AE389" i="3" s="1"/>
  <c r="AC389" i="3" a="1"/>
  <c r="AC389" i="3" s="1"/>
  <c r="AA389" i="3" a="1"/>
  <c r="AA389" i="3" s="1"/>
  <c r="Y389" i="3" a="1"/>
  <c r="Y389" i="3" s="1"/>
  <c r="V389" i="3"/>
  <c r="R389" i="3" a="1"/>
  <c r="R389" i="3"/>
  <c r="P389" i="3" a="1"/>
  <c r="P389" i="3"/>
  <c r="N389" i="3" a="1"/>
  <c r="N389" i="3"/>
  <c r="L389" i="3" a="1"/>
  <c r="L389" i="3"/>
  <c r="I389" i="3"/>
  <c r="E389" i="3" a="1"/>
  <c r="E389" i="3" s="1"/>
  <c r="C389" i="3" a="1"/>
  <c r="C389" i="3" s="1"/>
  <c r="BF388" i="3"/>
  <c r="BE388" i="3"/>
  <c r="BD388" i="3"/>
  <c r="BC388" i="3"/>
  <c r="BB388" i="3"/>
  <c r="BA388" i="3"/>
  <c r="AZ388" i="3"/>
  <c r="AY388" i="3"/>
  <c r="AX388" i="3"/>
  <c r="AW388" i="3"/>
  <c r="AV388" i="3"/>
  <c r="AU388" i="3"/>
  <c r="AK388" i="3"/>
  <c r="AH388" i="3"/>
  <c r="AG388" i="3" a="1"/>
  <c r="AG388" i="3" s="1"/>
  <c r="AE388" i="3" a="1"/>
  <c r="AE388" i="3" s="1"/>
  <c r="AC388" i="3" a="1"/>
  <c r="AC388" i="3" s="1"/>
  <c r="AA388" i="3" a="1"/>
  <c r="AA388" i="3" s="1"/>
  <c r="Y388" i="3" a="1"/>
  <c r="Y388" i="3" s="1"/>
  <c r="V388" i="3"/>
  <c r="R388" i="3" a="1"/>
  <c r="R388" i="3"/>
  <c r="P388" i="3" a="1"/>
  <c r="P388" i="3"/>
  <c r="N388" i="3" a="1"/>
  <c r="N388" i="3"/>
  <c r="L388" i="3" a="1"/>
  <c r="L388" i="3"/>
  <c r="I388" i="3"/>
  <c r="E388" i="3" a="1"/>
  <c r="E388" i="3" s="1"/>
  <c r="C388" i="3" a="1"/>
  <c r="C388" i="3" s="1"/>
  <c r="BF387" i="3"/>
  <c r="BE387" i="3"/>
  <c r="BD387" i="3"/>
  <c r="BC387" i="3"/>
  <c r="BB387" i="3"/>
  <c r="BA387" i="3"/>
  <c r="AZ387" i="3"/>
  <c r="AY387" i="3"/>
  <c r="AX387" i="3"/>
  <c r="AW387" i="3"/>
  <c r="AV387" i="3"/>
  <c r="AU387" i="3"/>
  <c r="AK387" i="3"/>
  <c r="AH387" i="3"/>
  <c r="AG387" i="3" a="1"/>
  <c r="AG387" i="3" s="1"/>
  <c r="AE387" i="3" a="1"/>
  <c r="AE387" i="3" s="1"/>
  <c r="AC387" i="3" a="1"/>
  <c r="AC387" i="3" s="1"/>
  <c r="AA387" i="3" a="1"/>
  <c r="AA387" i="3" s="1"/>
  <c r="Y387" i="3" a="1"/>
  <c r="Y387" i="3" s="1"/>
  <c r="V387" i="3"/>
  <c r="R387" i="3" a="1"/>
  <c r="R387" i="3"/>
  <c r="P387" i="3" a="1"/>
  <c r="P387" i="3"/>
  <c r="N387" i="3" a="1"/>
  <c r="N387" i="3"/>
  <c r="L387" i="3" a="1"/>
  <c r="L387" i="3"/>
  <c r="I387" i="3"/>
  <c r="E387" i="3" a="1"/>
  <c r="E387" i="3" s="1"/>
  <c r="C387" i="3" a="1"/>
  <c r="C387" i="3" s="1"/>
  <c r="BF386" i="3"/>
  <c r="BE386" i="3"/>
  <c r="BD386" i="3"/>
  <c r="BC386" i="3"/>
  <c r="BB386" i="3"/>
  <c r="BA386" i="3"/>
  <c r="AZ386" i="3"/>
  <c r="AY386" i="3"/>
  <c r="AX386" i="3"/>
  <c r="AW386" i="3"/>
  <c r="AV386" i="3"/>
  <c r="AU386" i="3"/>
  <c r="AK386" i="3"/>
  <c r="AH386" i="3"/>
  <c r="AG386" i="3" a="1"/>
  <c r="AG386" i="3" s="1"/>
  <c r="AE386" i="3" a="1"/>
  <c r="AE386" i="3" s="1"/>
  <c r="AC386" i="3" a="1"/>
  <c r="AC386" i="3" s="1"/>
  <c r="AA386" i="3" a="1"/>
  <c r="AA386" i="3" s="1"/>
  <c r="Y386" i="3" a="1"/>
  <c r="Y386" i="3" s="1"/>
  <c r="V386" i="3"/>
  <c r="R386" i="3" a="1"/>
  <c r="R386" i="3"/>
  <c r="P386" i="3" a="1"/>
  <c r="P386" i="3"/>
  <c r="N386" i="3" a="1"/>
  <c r="N386" i="3"/>
  <c r="L386" i="3" a="1"/>
  <c r="L386" i="3"/>
  <c r="I386" i="3"/>
  <c r="E386" i="3" a="1"/>
  <c r="E386" i="3" s="1"/>
  <c r="C386" i="3" a="1"/>
  <c r="C386" i="3" s="1"/>
  <c r="BF385" i="3"/>
  <c r="BE385" i="3"/>
  <c r="BD385" i="3"/>
  <c r="BC385" i="3"/>
  <c r="BB385" i="3"/>
  <c r="BA385" i="3"/>
  <c r="AZ385" i="3"/>
  <c r="AY385" i="3"/>
  <c r="AX385" i="3"/>
  <c r="AW385" i="3"/>
  <c r="AV385" i="3"/>
  <c r="AU385" i="3"/>
  <c r="AK385" i="3"/>
  <c r="AH385" i="3"/>
  <c r="AG385" i="3" a="1"/>
  <c r="AG385" i="3" s="1"/>
  <c r="AE385" i="3" a="1"/>
  <c r="AE385" i="3" s="1"/>
  <c r="AC385" i="3" a="1"/>
  <c r="AC385" i="3" s="1"/>
  <c r="AA385" i="3" a="1"/>
  <c r="AA385" i="3" s="1"/>
  <c r="Y385" i="3" a="1"/>
  <c r="Y385" i="3" s="1"/>
  <c r="V385" i="3"/>
  <c r="R385" i="3" a="1"/>
  <c r="R385" i="3"/>
  <c r="P385" i="3" a="1"/>
  <c r="P385" i="3"/>
  <c r="N385" i="3" a="1"/>
  <c r="N385" i="3"/>
  <c r="L385" i="3" a="1"/>
  <c r="L385" i="3"/>
  <c r="I385" i="3"/>
  <c r="E385" i="3" a="1"/>
  <c r="E385" i="3" s="1"/>
  <c r="C385" i="3" a="1"/>
  <c r="C385" i="3" s="1"/>
  <c r="BF384" i="3"/>
  <c r="BE384" i="3"/>
  <c r="BD384" i="3"/>
  <c r="BC384" i="3"/>
  <c r="BB384" i="3"/>
  <c r="BA384" i="3"/>
  <c r="AZ384" i="3"/>
  <c r="AY384" i="3"/>
  <c r="AX384" i="3"/>
  <c r="AW384" i="3"/>
  <c r="AV384" i="3"/>
  <c r="AU384" i="3"/>
  <c r="AK384" i="3"/>
  <c r="AH384" i="3"/>
  <c r="AG384" i="3" a="1"/>
  <c r="AG384" i="3" s="1"/>
  <c r="AE384" i="3" a="1"/>
  <c r="AE384" i="3" s="1"/>
  <c r="AC384" i="3" a="1"/>
  <c r="AC384" i="3" s="1"/>
  <c r="AA384" i="3" a="1"/>
  <c r="AA384" i="3" s="1"/>
  <c r="Y384" i="3" a="1"/>
  <c r="Y384" i="3" s="1"/>
  <c r="V384" i="3"/>
  <c r="R384" i="3" a="1"/>
  <c r="R384" i="3"/>
  <c r="P384" i="3" a="1"/>
  <c r="P384" i="3"/>
  <c r="N384" i="3" a="1"/>
  <c r="N384" i="3"/>
  <c r="L384" i="3" a="1"/>
  <c r="L384" i="3"/>
  <c r="I384" i="3"/>
  <c r="E384" i="3" a="1"/>
  <c r="E384" i="3" s="1"/>
  <c r="C384" i="3" a="1"/>
  <c r="C384" i="3" s="1"/>
  <c r="BF383" i="3"/>
  <c r="BE383" i="3"/>
  <c r="BD383" i="3"/>
  <c r="BC383" i="3"/>
  <c r="BB383" i="3"/>
  <c r="BA383" i="3"/>
  <c r="AZ383" i="3"/>
  <c r="AY383" i="3"/>
  <c r="AX383" i="3"/>
  <c r="AW383" i="3"/>
  <c r="AV383" i="3"/>
  <c r="AU383" i="3"/>
  <c r="AK383" i="3"/>
  <c r="AH383" i="3"/>
  <c r="AG383" i="3" a="1"/>
  <c r="AG383" i="3" s="1"/>
  <c r="AE383" i="3" a="1"/>
  <c r="AE383" i="3" s="1"/>
  <c r="AC383" i="3" a="1"/>
  <c r="AC383" i="3" s="1"/>
  <c r="AA383" i="3" a="1"/>
  <c r="AA383" i="3" s="1"/>
  <c r="Y383" i="3" a="1"/>
  <c r="Y383" i="3" s="1"/>
  <c r="V383" i="3"/>
  <c r="R383" i="3" a="1"/>
  <c r="R383" i="3"/>
  <c r="P383" i="3" a="1"/>
  <c r="P383" i="3"/>
  <c r="N383" i="3" a="1"/>
  <c r="N383" i="3"/>
  <c r="L383" i="3" a="1"/>
  <c r="L383" i="3"/>
  <c r="I383" i="3"/>
  <c r="E383" i="3" a="1"/>
  <c r="E383" i="3" s="1"/>
  <c r="C383" i="3" a="1"/>
  <c r="C383" i="3" s="1"/>
  <c r="BF382" i="3"/>
  <c r="BE382" i="3"/>
  <c r="BD382" i="3"/>
  <c r="BC382" i="3"/>
  <c r="BB382" i="3"/>
  <c r="BA382" i="3"/>
  <c r="AZ382" i="3"/>
  <c r="AY382" i="3"/>
  <c r="AX382" i="3"/>
  <c r="AW382" i="3"/>
  <c r="AV382" i="3"/>
  <c r="AU382" i="3"/>
  <c r="AK382" i="3"/>
  <c r="AH382" i="3"/>
  <c r="AG382" i="3" a="1"/>
  <c r="AG382" i="3" s="1"/>
  <c r="AE382" i="3" a="1"/>
  <c r="AE382" i="3" s="1"/>
  <c r="AC382" i="3" a="1"/>
  <c r="AC382" i="3" s="1"/>
  <c r="AA382" i="3" a="1"/>
  <c r="AA382" i="3" s="1"/>
  <c r="Y382" i="3" a="1"/>
  <c r="Y382" i="3" s="1"/>
  <c r="V382" i="3"/>
  <c r="R382" i="3" a="1"/>
  <c r="R382" i="3"/>
  <c r="P382" i="3" a="1"/>
  <c r="P382" i="3"/>
  <c r="N382" i="3" a="1"/>
  <c r="N382" i="3"/>
  <c r="L382" i="3" a="1"/>
  <c r="L382" i="3"/>
  <c r="I382" i="3"/>
  <c r="E382" i="3" a="1"/>
  <c r="E382" i="3" s="1"/>
  <c r="C382" i="3" a="1"/>
  <c r="C382" i="3" s="1"/>
  <c r="BF381" i="3"/>
  <c r="BE381" i="3"/>
  <c r="BD381" i="3"/>
  <c r="BC381" i="3"/>
  <c r="BB381" i="3"/>
  <c r="BA381" i="3"/>
  <c r="AZ381" i="3"/>
  <c r="AY381" i="3"/>
  <c r="AX381" i="3"/>
  <c r="AW381" i="3"/>
  <c r="AV381" i="3"/>
  <c r="AU381" i="3"/>
  <c r="AK381" i="3"/>
  <c r="AH381" i="3"/>
  <c r="AG381" i="3" a="1"/>
  <c r="AG381" i="3" s="1"/>
  <c r="AE381" i="3" a="1"/>
  <c r="AE381" i="3" s="1"/>
  <c r="AC381" i="3" a="1"/>
  <c r="AC381" i="3" s="1"/>
  <c r="AA381" i="3" a="1"/>
  <c r="AA381" i="3" s="1"/>
  <c r="Y381" i="3" a="1"/>
  <c r="Y381" i="3" s="1"/>
  <c r="V381" i="3"/>
  <c r="R381" i="3" a="1"/>
  <c r="R381" i="3"/>
  <c r="P381" i="3" a="1"/>
  <c r="P381" i="3"/>
  <c r="N381" i="3" a="1"/>
  <c r="N381" i="3"/>
  <c r="L381" i="3" a="1"/>
  <c r="L381" i="3"/>
  <c r="I381" i="3"/>
  <c r="E381" i="3" a="1"/>
  <c r="E381" i="3" s="1"/>
  <c r="C381" i="3" a="1"/>
  <c r="C381" i="3" s="1"/>
  <c r="BF380" i="3"/>
  <c r="BE380" i="3"/>
  <c r="BD380" i="3"/>
  <c r="BC380" i="3"/>
  <c r="BB380" i="3"/>
  <c r="BA380" i="3"/>
  <c r="AZ380" i="3"/>
  <c r="AY380" i="3"/>
  <c r="AX380" i="3"/>
  <c r="AW380" i="3"/>
  <c r="AV380" i="3"/>
  <c r="AU380" i="3"/>
  <c r="AK380" i="3"/>
  <c r="AH380" i="3"/>
  <c r="AG380" i="3" a="1"/>
  <c r="AG380" i="3" s="1"/>
  <c r="AE380" i="3" a="1"/>
  <c r="AE380" i="3" s="1"/>
  <c r="AC380" i="3" a="1"/>
  <c r="AC380" i="3" s="1"/>
  <c r="AA380" i="3" a="1"/>
  <c r="AA380" i="3" s="1"/>
  <c r="Y380" i="3" a="1"/>
  <c r="Y380" i="3" s="1"/>
  <c r="V380" i="3"/>
  <c r="R380" i="3" a="1"/>
  <c r="R380" i="3"/>
  <c r="P380" i="3" a="1"/>
  <c r="P380" i="3"/>
  <c r="N380" i="3" a="1"/>
  <c r="N380" i="3"/>
  <c r="L380" i="3" a="1"/>
  <c r="L380" i="3"/>
  <c r="I380" i="3"/>
  <c r="E380" i="3" a="1"/>
  <c r="E380" i="3" s="1"/>
  <c r="C380" i="3" a="1"/>
  <c r="C380" i="3" s="1"/>
  <c r="BF379" i="3"/>
  <c r="BE379" i="3"/>
  <c r="BD379" i="3"/>
  <c r="BC379" i="3"/>
  <c r="BB379" i="3"/>
  <c r="BA379" i="3"/>
  <c r="AZ379" i="3"/>
  <c r="AY379" i="3"/>
  <c r="AX379" i="3"/>
  <c r="AW379" i="3"/>
  <c r="AV379" i="3"/>
  <c r="AU379" i="3"/>
  <c r="AK379" i="3"/>
  <c r="AH379" i="3"/>
  <c r="AG379" i="3" a="1"/>
  <c r="AG379" i="3" s="1"/>
  <c r="AE379" i="3" a="1"/>
  <c r="AE379" i="3" s="1"/>
  <c r="AC379" i="3" a="1"/>
  <c r="AC379" i="3" s="1"/>
  <c r="AA379" i="3" a="1"/>
  <c r="AA379" i="3" s="1"/>
  <c r="Y379" i="3" a="1"/>
  <c r="Y379" i="3" s="1"/>
  <c r="V379" i="3"/>
  <c r="R379" i="3" a="1"/>
  <c r="R379" i="3"/>
  <c r="P379" i="3" a="1"/>
  <c r="P379" i="3"/>
  <c r="N379" i="3" a="1"/>
  <c r="N379" i="3"/>
  <c r="L379" i="3" a="1"/>
  <c r="L379" i="3"/>
  <c r="I379" i="3"/>
  <c r="E379" i="3" a="1"/>
  <c r="E379" i="3" s="1"/>
  <c r="C379" i="3" a="1"/>
  <c r="C379" i="3" s="1"/>
  <c r="BF378" i="3"/>
  <c r="BE378" i="3"/>
  <c r="BD378" i="3"/>
  <c r="BC378" i="3"/>
  <c r="BB378" i="3"/>
  <c r="BA378" i="3"/>
  <c r="AZ378" i="3"/>
  <c r="AY378" i="3"/>
  <c r="AX378" i="3"/>
  <c r="AW378" i="3"/>
  <c r="AV378" i="3"/>
  <c r="AU378" i="3"/>
  <c r="AK378" i="3"/>
  <c r="AH378" i="3"/>
  <c r="AG378" i="3" a="1"/>
  <c r="AG378" i="3" s="1"/>
  <c r="AE378" i="3" a="1"/>
  <c r="AE378" i="3" s="1"/>
  <c r="AC378" i="3" a="1"/>
  <c r="AC378" i="3" s="1"/>
  <c r="AA378" i="3" a="1"/>
  <c r="AA378" i="3" s="1"/>
  <c r="Y378" i="3" a="1"/>
  <c r="Y378" i="3" s="1"/>
  <c r="V378" i="3"/>
  <c r="R378" i="3" a="1"/>
  <c r="R378" i="3"/>
  <c r="P378" i="3" a="1"/>
  <c r="P378" i="3"/>
  <c r="N378" i="3" a="1"/>
  <c r="N378" i="3"/>
  <c r="L378" i="3" a="1"/>
  <c r="L378" i="3"/>
  <c r="I378" i="3"/>
  <c r="E378" i="3" a="1"/>
  <c r="E378" i="3" s="1"/>
  <c r="C378" i="3" a="1"/>
  <c r="C378" i="3" s="1"/>
  <c r="BF377" i="3"/>
  <c r="BE377" i="3"/>
  <c r="BD377" i="3"/>
  <c r="BC377" i="3"/>
  <c r="BB377" i="3"/>
  <c r="BA377" i="3"/>
  <c r="AZ377" i="3"/>
  <c r="AY377" i="3"/>
  <c r="AX377" i="3"/>
  <c r="AW377" i="3"/>
  <c r="AV377" i="3"/>
  <c r="AU377" i="3"/>
  <c r="AK377" i="3"/>
  <c r="AH377" i="3"/>
  <c r="AG377" i="3" a="1"/>
  <c r="AG377" i="3" s="1"/>
  <c r="AE377" i="3" a="1"/>
  <c r="AE377" i="3" s="1"/>
  <c r="AC377" i="3" a="1"/>
  <c r="AC377" i="3" s="1"/>
  <c r="AA377" i="3" a="1"/>
  <c r="AA377" i="3" s="1"/>
  <c r="Y377" i="3" a="1"/>
  <c r="Y377" i="3" s="1"/>
  <c r="V377" i="3"/>
  <c r="R377" i="3" a="1"/>
  <c r="R377" i="3"/>
  <c r="P377" i="3" a="1"/>
  <c r="P377" i="3"/>
  <c r="N377" i="3" a="1"/>
  <c r="N377" i="3"/>
  <c r="L377" i="3" a="1"/>
  <c r="L377" i="3"/>
  <c r="I377" i="3"/>
  <c r="E377" i="3" a="1"/>
  <c r="E377" i="3" s="1"/>
  <c r="C377" i="3" a="1"/>
  <c r="C377" i="3" s="1"/>
  <c r="BF376" i="3"/>
  <c r="BE376" i="3"/>
  <c r="BD376" i="3"/>
  <c r="BC376" i="3"/>
  <c r="BB376" i="3"/>
  <c r="BA376" i="3"/>
  <c r="AZ376" i="3"/>
  <c r="AY376" i="3"/>
  <c r="AX376" i="3"/>
  <c r="AW376" i="3"/>
  <c r="AV376" i="3"/>
  <c r="AU376" i="3"/>
  <c r="AK376" i="3"/>
  <c r="AH376" i="3"/>
  <c r="AG376" i="3" a="1"/>
  <c r="AG376" i="3" s="1"/>
  <c r="AE376" i="3" a="1"/>
  <c r="AE376" i="3" s="1"/>
  <c r="AC376" i="3" a="1"/>
  <c r="AC376" i="3" s="1"/>
  <c r="AA376" i="3" a="1"/>
  <c r="AA376" i="3" s="1"/>
  <c r="Y376" i="3" a="1"/>
  <c r="Y376" i="3" s="1"/>
  <c r="V376" i="3"/>
  <c r="R376" i="3" a="1"/>
  <c r="R376" i="3"/>
  <c r="P376" i="3" a="1"/>
  <c r="P376" i="3"/>
  <c r="N376" i="3" a="1"/>
  <c r="N376" i="3"/>
  <c r="L376" i="3" a="1"/>
  <c r="L376" i="3"/>
  <c r="I376" i="3"/>
  <c r="E376" i="3" a="1"/>
  <c r="E376" i="3" s="1"/>
  <c r="C376" i="3" a="1"/>
  <c r="C376" i="3" s="1"/>
  <c r="BF375" i="3"/>
  <c r="BE375" i="3"/>
  <c r="BD375" i="3"/>
  <c r="BC375" i="3"/>
  <c r="BB375" i="3"/>
  <c r="BA375" i="3"/>
  <c r="AZ375" i="3"/>
  <c r="AY375" i="3"/>
  <c r="AX375" i="3"/>
  <c r="AW375" i="3"/>
  <c r="AV375" i="3"/>
  <c r="AU375" i="3"/>
  <c r="AK375" i="3"/>
  <c r="AH375" i="3"/>
  <c r="AG375" i="3" a="1"/>
  <c r="AG375" i="3" s="1"/>
  <c r="AE375" i="3" a="1"/>
  <c r="AE375" i="3" s="1"/>
  <c r="AC375" i="3" a="1"/>
  <c r="AC375" i="3" s="1"/>
  <c r="AA375" i="3" a="1"/>
  <c r="AA375" i="3" s="1"/>
  <c r="Y375" i="3" a="1"/>
  <c r="Y375" i="3" s="1"/>
  <c r="V375" i="3"/>
  <c r="R375" i="3" a="1"/>
  <c r="R375" i="3"/>
  <c r="P375" i="3" a="1"/>
  <c r="P375" i="3"/>
  <c r="N375" i="3" a="1"/>
  <c r="N375" i="3"/>
  <c r="L375" i="3" a="1"/>
  <c r="L375" i="3"/>
  <c r="I375" i="3"/>
  <c r="E375" i="3" a="1"/>
  <c r="E375" i="3" s="1"/>
  <c r="C375" i="3" a="1"/>
  <c r="C375" i="3" s="1"/>
  <c r="BF374" i="3"/>
  <c r="BE374" i="3"/>
  <c r="BD374" i="3"/>
  <c r="BC374" i="3"/>
  <c r="BB374" i="3"/>
  <c r="BA374" i="3"/>
  <c r="AZ374" i="3"/>
  <c r="AY374" i="3"/>
  <c r="AX374" i="3"/>
  <c r="AW374" i="3"/>
  <c r="AV374" i="3"/>
  <c r="AU374" i="3"/>
  <c r="AK374" i="3"/>
  <c r="AH374" i="3"/>
  <c r="AG374" i="3" a="1"/>
  <c r="AG374" i="3" s="1"/>
  <c r="AE374" i="3" a="1"/>
  <c r="AE374" i="3" s="1"/>
  <c r="AC374" i="3" a="1"/>
  <c r="AC374" i="3" s="1"/>
  <c r="AA374" i="3" a="1"/>
  <c r="AA374" i="3" s="1"/>
  <c r="Y374" i="3" a="1"/>
  <c r="Y374" i="3" s="1"/>
  <c r="V374" i="3"/>
  <c r="R374" i="3" a="1"/>
  <c r="R374" i="3"/>
  <c r="P374" i="3" a="1"/>
  <c r="P374" i="3"/>
  <c r="N374" i="3" a="1"/>
  <c r="N374" i="3"/>
  <c r="L374" i="3" a="1"/>
  <c r="L374" i="3"/>
  <c r="I374" i="3"/>
  <c r="E374" i="3" a="1"/>
  <c r="E374" i="3" s="1"/>
  <c r="C374" i="3" a="1"/>
  <c r="C374" i="3" s="1"/>
  <c r="BF373" i="3"/>
  <c r="BE373" i="3"/>
  <c r="BD373" i="3"/>
  <c r="BC373" i="3"/>
  <c r="BB373" i="3"/>
  <c r="BA373" i="3"/>
  <c r="AZ373" i="3"/>
  <c r="AY373" i="3"/>
  <c r="AX373" i="3"/>
  <c r="AW373" i="3"/>
  <c r="AV373" i="3"/>
  <c r="AU373" i="3"/>
  <c r="AK373" i="3"/>
  <c r="AH373" i="3"/>
  <c r="AG373" i="3" a="1"/>
  <c r="AG373" i="3" s="1"/>
  <c r="AE373" i="3" a="1"/>
  <c r="AE373" i="3" s="1"/>
  <c r="AC373" i="3" a="1"/>
  <c r="AC373" i="3" s="1"/>
  <c r="AA373" i="3" a="1"/>
  <c r="AA373" i="3" s="1"/>
  <c r="Y373" i="3" a="1"/>
  <c r="Y373" i="3" s="1"/>
  <c r="V373" i="3"/>
  <c r="R373" i="3" a="1"/>
  <c r="R373" i="3"/>
  <c r="P373" i="3" a="1"/>
  <c r="P373" i="3"/>
  <c r="N373" i="3" a="1"/>
  <c r="N373" i="3"/>
  <c r="L373" i="3" a="1"/>
  <c r="L373" i="3"/>
  <c r="I373" i="3"/>
  <c r="E373" i="3" a="1"/>
  <c r="E373" i="3" s="1"/>
  <c r="C373" i="3" a="1"/>
  <c r="C373" i="3" s="1"/>
  <c r="BF372" i="3"/>
  <c r="BE372" i="3"/>
  <c r="BD372" i="3"/>
  <c r="BC372" i="3"/>
  <c r="BB372" i="3"/>
  <c r="BA372" i="3"/>
  <c r="AZ372" i="3"/>
  <c r="AY372" i="3"/>
  <c r="AX372" i="3"/>
  <c r="AW372" i="3"/>
  <c r="AV372" i="3"/>
  <c r="AU372" i="3"/>
  <c r="AK372" i="3"/>
  <c r="AH372" i="3"/>
  <c r="AG372" i="3" a="1"/>
  <c r="AG372" i="3" s="1"/>
  <c r="AE372" i="3" a="1"/>
  <c r="AE372" i="3" s="1"/>
  <c r="AC372" i="3" a="1"/>
  <c r="AC372" i="3" s="1"/>
  <c r="AA372" i="3" a="1"/>
  <c r="AA372" i="3" s="1"/>
  <c r="Y372" i="3" a="1"/>
  <c r="Y372" i="3" s="1"/>
  <c r="V372" i="3"/>
  <c r="R372" i="3" a="1"/>
  <c r="R372" i="3"/>
  <c r="P372" i="3" a="1"/>
  <c r="P372" i="3"/>
  <c r="N372" i="3" a="1"/>
  <c r="N372" i="3"/>
  <c r="L372" i="3" a="1"/>
  <c r="L372" i="3"/>
  <c r="I372" i="3"/>
  <c r="E372" i="3" a="1"/>
  <c r="E372" i="3" s="1"/>
  <c r="C372" i="3" a="1"/>
  <c r="C372" i="3" s="1"/>
  <c r="BF371" i="3"/>
  <c r="BE371" i="3"/>
  <c r="BD371" i="3"/>
  <c r="BC371" i="3"/>
  <c r="BB371" i="3"/>
  <c r="BA371" i="3"/>
  <c r="AZ371" i="3"/>
  <c r="AY371" i="3"/>
  <c r="AX371" i="3"/>
  <c r="AW371" i="3"/>
  <c r="AV371" i="3"/>
  <c r="AU371" i="3"/>
  <c r="AK371" i="3"/>
  <c r="AH371" i="3"/>
  <c r="AG371" i="3" a="1"/>
  <c r="AG371" i="3" s="1"/>
  <c r="AE371" i="3" a="1"/>
  <c r="AE371" i="3" s="1"/>
  <c r="AC371" i="3" a="1"/>
  <c r="AC371" i="3" s="1"/>
  <c r="AA371" i="3" a="1"/>
  <c r="AA371" i="3" s="1"/>
  <c r="Y371" i="3" a="1"/>
  <c r="Y371" i="3" s="1"/>
  <c r="V371" i="3"/>
  <c r="R371" i="3" a="1"/>
  <c r="R371" i="3"/>
  <c r="P371" i="3" a="1"/>
  <c r="P371" i="3"/>
  <c r="N371" i="3" a="1"/>
  <c r="N371" i="3"/>
  <c r="L371" i="3" a="1"/>
  <c r="L371" i="3"/>
  <c r="I371" i="3"/>
  <c r="E371" i="3" a="1"/>
  <c r="E371" i="3" s="1"/>
  <c r="C371" i="3" a="1"/>
  <c r="C371" i="3" s="1"/>
  <c r="BF370" i="3"/>
  <c r="BE370" i="3"/>
  <c r="BD370" i="3"/>
  <c r="BC370" i="3"/>
  <c r="BB370" i="3"/>
  <c r="BA370" i="3"/>
  <c r="AZ370" i="3"/>
  <c r="AY370" i="3"/>
  <c r="AX370" i="3"/>
  <c r="AW370" i="3"/>
  <c r="AV370" i="3"/>
  <c r="AU370" i="3"/>
  <c r="AK370" i="3"/>
  <c r="AH370" i="3"/>
  <c r="AG370" i="3" a="1"/>
  <c r="AG370" i="3" s="1"/>
  <c r="AE370" i="3" a="1"/>
  <c r="AE370" i="3" s="1"/>
  <c r="AC370" i="3" a="1"/>
  <c r="AC370" i="3" s="1"/>
  <c r="AA370" i="3" a="1"/>
  <c r="AA370" i="3" s="1"/>
  <c r="Y370" i="3" a="1"/>
  <c r="Y370" i="3" s="1"/>
  <c r="V370" i="3"/>
  <c r="R370" i="3" a="1"/>
  <c r="R370" i="3"/>
  <c r="P370" i="3" a="1"/>
  <c r="P370" i="3"/>
  <c r="N370" i="3" a="1"/>
  <c r="N370" i="3"/>
  <c r="L370" i="3" a="1"/>
  <c r="L370" i="3"/>
  <c r="I370" i="3"/>
  <c r="E370" i="3" a="1"/>
  <c r="E370" i="3" s="1"/>
  <c r="C370" i="3" a="1"/>
  <c r="C370" i="3" s="1"/>
  <c r="BF369" i="3"/>
  <c r="BE369" i="3"/>
  <c r="BD369" i="3"/>
  <c r="BC369" i="3"/>
  <c r="BB369" i="3"/>
  <c r="BA369" i="3"/>
  <c r="AZ369" i="3"/>
  <c r="AY369" i="3"/>
  <c r="AX369" i="3"/>
  <c r="AW369" i="3"/>
  <c r="AV369" i="3"/>
  <c r="AU369" i="3"/>
  <c r="AK369" i="3"/>
  <c r="AH369" i="3"/>
  <c r="AG369" i="3" a="1"/>
  <c r="AG369" i="3" s="1"/>
  <c r="AE369" i="3" a="1"/>
  <c r="AE369" i="3" s="1"/>
  <c r="AC369" i="3" a="1"/>
  <c r="AC369" i="3" s="1"/>
  <c r="AA369" i="3" a="1"/>
  <c r="AA369" i="3" s="1"/>
  <c r="Y369" i="3" a="1"/>
  <c r="Y369" i="3" s="1"/>
  <c r="V369" i="3"/>
  <c r="R369" i="3" a="1"/>
  <c r="R369" i="3"/>
  <c r="P369" i="3" a="1"/>
  <c r="P369" i="3"/>
  <c r="N369" i="3" a="1"/>
  <c r="N369" i="3"/>
  <c r="L369" i="3" a="1"/>
  <c r="L369" i="3"/>
  <c r="I369" i="3"/>
  <c r="E369" i="3" a="1"/>
  <c r="E369" i="3" s="1"/>
  <c r="C369" i="3" a="1"/>
  <c r="C369" i="3" s="1"/>
  <c r="BF368" i="3"/>
  <c r="BE368" i="3"/>
  <c r="BD368" i="3"/>
  <c r="BC368" i="3"/>
  <c r="BB368" i="3"/>
  <c r="BA368" i="3"/>
  <c r="AZ368" i="3"/>
  <c r="AY368" i="3"/>
  <c r="AX368" i="3"/>
  <c r="AW368" i="3"/>
  <c r="AV368" i="3"/>
  <c r="AU368" i="3"/>
  <c r="AK368" i="3"/>
  <c r="AH368" i="3"/>
  <c r="AG368" i="3" a="1"/>
  <c r="AG368" i="3" s="1"/>
  <c r="AE368" i="3" a="1"/>
  <c r="AE368" i="3" s="1"/>
  <c r="AC368" i="3" a="1"/>
  <c r="AC368" i="3" s="1"/>
  <c r="AA368" i="3" a="1"/>
  <c r="AA368" i="3" s="1"/>
  <c r="Y368" i="3" a="1"/>
  <c r="Y368" i="3" s="1"/>
  <c r="V368" i="3"/>
  <c r="R368" i="3" a="1"/>
  <c r="R368" i="3"/>
  <c r="P368" i="3" a="1"/>
  <c r="P368" i="3"/>
  <c r="N368" i="3" a="1"/>
  <c r="N368" i="3"/>
  <c r="L368" i="3" a="1"/>
  <c r="L368" i="3"/>
  <c r="I368" i="3"/>
  <c r="E368" i="3" a="1"/>
  <c r="E368" i="3" s="1"/>
  <c r="C368" i="3" a="1"/>
  <c r="C368" i="3" s="1"/>
  <c r="BF367" i="3"/>
  <c r="BE367" i="3"/>
  <c r="BD367" i="3"/>
  <c r="BC367" i="3"/>
  <c r="BB367" i="3"/>
  <c r="BA367" i="3"/>
  <c r="AZ367" i="3"/>
  <c r="AY367" i="3"/>
  <c r="AX367" i="3"/>
  <c r="AW367" i="3"/>
  <c r="AV367" i="3"/>
  <c r="AU367" i="3"/>
  <c r="AK367" i="3"/>
  <c r="AH367" i="3"/>
  <c r="AG367" i="3" a="1"/>
  <c r="AG367" i="3" s="1"/>
  <c r="AE367" i="3" a="1"/>
  <c r="AE367" i="3" s="1"/>
  <c r="AC367" i="3" a="1"/>
  <c r="AC367" i="3" s="1"/>
  <c r="AA367" i="3" a="1"/>
  <c r="AA367" i="3" s="1"/>
  <c r="Y367" i="3" a="1"/>
  <c r="Y367" i="3" s="1"/>
  <c r="V367" i="3"/>
  <c r="R367" i="3" a="1"/>
  <c r="R367" i="3"/>
  <c r="P367" i="3" a="1"/>
  <c r="P367" i="3"/>
  <c r="N367" i="3" a="1"/>
  <c r="N367" i="3"/>
  <c r="L367" i="3" a="1"/>
  <c r="L367" i="3"/>
  <c r="I367" i="3"/>
  <c r="E367" i="3" a="1"/>
  <c r="E367" i="3" s="1"/>
  <c r="C367" i="3" a="1"/>
  <c r="C367" i="3" s="1"/>
  <c r="BF366" i="3"/>
  <c r="BE366" i="3"/>
  <c r="BD366" i="3"/>
  <c r="BC366" i="3"/>
  <c r="BB366" i="3"/>
  <c r="BA366" i="3"/>
  <c r="AZ366" i="3"/>
  <c r="AY366" i="3"/>
  <c r="AX366" i="3"/>
  <c r="AW366" i="3"/>
  <c r="AV366" i="3"/>
  <c r="AU366" i="3"/>
  <c r="AK366" i="3"/>
  <c r="AH366" i="3"/>
  <c r="AG366" i="3" a="1"/>
  <c r="AG366" i="3" s="1"/>
  <c r="AE366" i="3" a="1"/>
  <c r="AE366" i="3" s="1"/>
  <c r="AC366" i="3" a="1"/>
  <c r="AC366" i="3" s="1"/>
  <c r="AA366" i="3" a="1"/>
  <c r="AA366" i="3" s="1"/>
  <c r="Y366" i="3" a="1"/>
  <c r="Y366" i="3" s="1"/>
  <c r="V366" i="3"/>
  <c r="R366" i="3" a="1"/>
  <c r="R366" i="3"/>
  <c r="P366" i="3" a="1"/>
  <c r="P366" i="3"/>
  <c r="N366" i="3" a="1"/>
  <c r="N366" i="3"/>
  <c r="L366" i="3" a="1"/>
  <c r="L366" i="3"/>
  <c r="I366" i="3"/>
  <c r="E366" i="3" a="1"/>
  <c r="E366" i="3" s="1"/>
  <c r="C366" i="3" a="1"/>
  <c r="C366" i="3" s="1"/>
  <c r="BF365" i="3"/>
  <c r="BE365" i="3"/>
  <c r="BD365" i="3"/>
  <c r="BC365" i="3"/>
  <c r="BB365" i="3"/>
  <c r="BA365" i="3"/>
  <c r="AZ365" i="3"/>
  <c r="AY365" i="3"/>
  <c r="AX365" i="3"/>
  <c r="AW365" i="3"/>
  <c r="AV365" i="3"/>
  <c r="AU365" i="3"/>
  <c r="AK365" i="3"/>
  <c r="AH365" i="3"/>
  <c r="AG365" i="3" a="1"/>
  <c r="AG365" i="3" s="1"/>
  <c r="AE365" i="3" a="1"/>
  <c r="AE365" i="3" s="1"/>
  <c r="AC365" i="3" a="1"/>
  <c r="AC365" i="3" s="1"/>
  <c r="AA365" i="3" a="1"/>
  <c r="AA365" i="3" s="1"/>
  <c r="Y365" i="3" a="1"/>
  <c r="Y365" i="3" s="1"/>
  <c r="V365" i="3"/>
  <c r="R365" i="3" a="1"/>
  <c r="R365" i="3"/>
  <c r="P365" i="3" a="1"/>
  <c r="P365" i="3"/>
  <c r="N365" i="3" a="1"/>
  <c r="N365" i="3"/>
  <c r="L365" i="3" a="1"/>
  <c r="L365" i="3"/>
  <c r="I365" i="3"/>
  <c r="E365" i="3" a="1"/>
  <c r="E365" i="3" s="1"/>
  <c r="C365" i="3" a="1"/>
  <c r="C365" i="3" s="1"/>
  <c r="BF364" i="3"/>
  <c r="BE364" i="3"/>
  <c r="BD364" i="3"/>
  <c r="BC364" i="3"/>
  <c r="BB364" i="3"/>
  <c r="BA364" i="3"/>
  <c r="AZ364" i="3"/>
  <c r="AY364" i="3"/>
  <c r="AX364" i="3"/>
  <c r="AW364" i="3"/>
  <c r="AV364" i="3"/>
  <c r="AU364" i="3"/>
  <c r="AK364" i="3"/>
  <c r="AH364" i="3"/>
  <c r="AG364" i="3" a="1"/>
  <c r="AG364" i="3" s="1"/>
  <c r="AE364" i="3" a="1"/>
  <c r="AE364" i="3" s="1"/>
  <c r="AC364" i="3" a="1"/>
  <c r="AC364" i="3" s="1"/>
  <c r="AA364" i="3" a="1"/>
  <c r="AA364" i="3" s="1"/>
  <c r="Y364" i="3" a="1"/>
  <c r="Y364" i="3" s="1"/>
  <c r="V364" i="3"/>
  <c r="R364" i="3" a="1"/>
  <c r="R364" i="3"/>
  <c r="P364" i="3" a="1"/>
  <c r="P364" i="3"/>
  <c r="N364" i="3" a="1"/>
  <c r="N364" i="3"/>
  <c r="L364" i="3" a="1"/>
  <c r="L364" i="3"/>
  <c r="I364" i="3"/>
  <c r="E364" i="3" a="1"/>
  <c r="E364" i="3" s="1"/>
  <c r="C364" i="3" a="1"/>
  <c r="C364" i="3" s="1"/>
  <c r="BF363" i="3"/>
  <c r="BE363" i="3"/>
  <c r="BD363" i="3"/>
  <c r="BC363" i="3"/>
  <c r="BB363" i="3"/>
  <c r="BA363" i="3"/>
  <c r="AZ363" i="3"/>
  <c r="AY363" i="3"/>
  <c r="AX363" i="3"/>
  <c r="AW363" i="3"/>
  <c r="AV363" i="3"/>
  <c r="AU363" i="3"/>
  <c r="AK363" i="3"/>
  <c r="AH363" i="3"/>
  <c r="AG363" i="3" a="1"/>
  <c r="AG363" i="3" s="1"/>
  <c r="AE363" i="3" a="1"/>
  <c r="AE363" i="3" s="1"/>
  <c r="AC363" i="3" a="1"/>
  <c r="AC363" i="3" s="1"/>
  <c r="AA363" i="3" a="1"/>
  <c r="AA363" i="3" s="1"/>
  <c r="Y363" i="3" a="1"/>
  <c r="Y363" i="3" s="1"/>
  <c r="V363" i="3"/>
  <c r="R363" i="3" a="1"/>
  <c r="R363" i="3"/>
  <c r="P363" i="3" a="1"/>
  <c r="P363" i="3"/>
  <c r="N363" i="3" a="1"/>
  <c r="N363" i="3"/>
  <c r="L363" i="3" a="1"/>
  <c r="L363" i="3"/>
  <c r="I363" i="3"/>
  <c r="E363" i="3" a="1"/>
  <c r="E363" i="3" s="1"/>
  <c r="C363" i="3" a="1"/>
  <c r="C363" i="3" s="1"/>
  <c r="BF362" i="3"/>
  <c r="BE362" i="3"/>
  <c r="BD362" i="3"/>
  <c r="BC362" i="3"/>
  <c r="BB362" i="3"/>
  <c r="BA362" i="3"/>
  <c r="AZ362" i="3"/>
  <c r="AY362" i="3"/>
  <c r="AX362" i="3"/>
  <c r="AW362" i="3"/>
  <c r="AV362" i="3"/>
  <c r="AU362" i="3"/>
  <c r="AK362" i="3"/>
  <c r="AH362" i="3"/>
  <c r="AG362" i="3" a="1"/>
  <c r="AG362" i="3" s="1"/>
  <c r="AE362" i="3" a="1"/>
  <c r="AE362" i="3" s="1"/>
  <c r="AC362" i="3" a="1"/>
  <c r="AC362" i="3" s="1"/>
  <c r="AA362" i="3" a="1"/>
  <c r="AA362" i="3" s="1"/>
  <c r="Y362" i="3" a="1"/>
  <c r="Y362" i="3" s="1"/>
  <c r="V362" i="3"/>
  <c r="R362" i="3" a="1"/>
  <c r="R362" i="3"/>
  <c r="P362" i="3" a="1"/>
  <c r="P362" i="3"/>
  <c r="N362" i="3" a="1"/>
  <c r="N362" i="3"/>
  <c r="L362" i="3" a="1"/>
  <c r="L362" i="3"/>
  <c r="I362" i="3"/>
  <c r="E362" i="3" a="1"/>
  <c r="E362" i="3" s="1"/>
  <c r="C362" i="3" a="1"/>
  <c r="C362" i="3" s="1"/>
  <c r="BF361" i="3"/>
  <c r="BE361" i="3"/>
  <c r="BD361" i="3"/>
  <c r="BC361" i="3"/>
  <c r="BB361" i="3"/>
  <c r="BA361" i="3"/>
  <c r="AZ361" i="3"/>
  <c r="AY361" i="3"/>
  <c r="AX361" i="3"/>
  <c r="AW361" i="3"/>
  <c r="AV361" i="3"/>
  <c r="AU361" i="3"/>
  <c r="AK361" i="3"/>
  <c r="AH361" i="3"/>
  <c r="AG361" i="3" a="1"/>
  <c r="AG361" i="3" s="1"/>
  <c r="AE361" i="3" a="1"/>
  <c r="AE361" i="3" s="1"/>
  <c r="AC361" i="3" a="1"/>
  <c r="AC361" i="3" s="1"/>
  <c r="AA361" i="3" a="1"/>
  <c r="AA361" i="3" s="1"/>
  <c r="Y361" i="3" a="1"/>
  <c r="Y361" i="3" s="1"/>
  <c r="V361" i="3"/>
  <c r="R361" i="3" a="1"/>
  <c r="R361" i="3"/>
  <c r="P361" i="3" a="1"/>
  <c r="P361" i="3"/>
  <c r="N361" i="3" a="1"/>
  <c r="N361" i="3"/>
  <c r="L361" i="3" a="1"/>
  <c r="L361" i="3"/>
  <c r="I361" i="3"/>
  <c r="E361" i="3" a="1"/>
  <c r="E361" i="3" s="1"/>
  <c r="C361" i="3" a="1"/>
  <c r="C361" i="3" s="1"/>
  <c r="BF360" i="3"/>
  <c r="BE360" i="3"/>
  <c r="BD360" i="3"/>
  <c r="BC360" i="3"/>
  <c r="BB360" i="3"/>
  <c r="BA360" i="3"/>
  <c r="AZ360" i="3"/>
  <c r="AY360" i="3"/>
  <c r="AX360" i="3"/>
  <c r="AW360" i="3"/>
  <c r="AV360" i="3"/>
  <c r="AU360" i="3"/>
  <c r="AK360" i="3"/>
  <c r="AH360" i="3"/>
  <c r="AG360" i="3" a="1"/>
  <c r="AG360" i="3" s="1"/>
  <c r="AE360" i="3" a="1"/>
  <c r="AE360" i="3" s="1"/>
  <c r="AC360" i="3" a="1"/>
  <c r="AC360" i="3" s="1"/>
  <c r="AA360" i="3" a="1"/>
  <c r="AA360" i="3" s="1"/>
  <c r="Y360" i="3" a="1"/>
  <c r="Y360" i="3" s="1"/>
  <c r="V360" i="3"/>
  <c r="R360" i="3" a="1"/>
  <c r="R360" i="3"/>
  <c r="P360" i="3" a="1"/>
  <c r="P360" i="3"/>
  <c r="N360" i="3" a="1"/>
  <c r="N360" i="3"/>
  <c r="L360" i="3" a="1"/>
  <c r="L360" i="3"/>
  <c r="I360" i="3"/>
  <c r="E360" i="3" a="1"/>
  <c r="E360" i="3" s="1"/>
  <c r="C360" i="3" a="1"/>
  <c r="C360" i="3" s="1"/>
  <c r="BF359" i="3"/>
  <c r="BE359" i="3"/>
  <c r="BD359" i="3"/>
  <c r="BC359" i="3"/>
  <c r="BB359" i="3"/>
  <c r="BA359" i="3"/>
  <c r="AZ359" i="3"/>
  <c r="AY359" i="3"/>
  <c r="AX359" i="3"/>
  <c r="AW359" i="3"/>
  <c r="AV359" i="3"/>
  <c r="AU359" i="3"/>
  <c r="AK359" i="3"/>
  <c r="AH359" i="3"/>
  <c r="AG359" i="3" a="1"/>
  <c r="AG359" i="3" s="1"/>
  <c r="AE359" i="3" a="1"/>
  <c r="AE359" i="3" s="1"/>
  <c r="AC359" i="3" a="1"/>
  <c r="AC359" i="3" s="1"/>
  <c r="AA359" i="3" a="1"/>
  <c r="AA359" i="3" s="1"/>
  <c r="Y359" i="3" a="1"/>
  <c r="Y359" i="3" s="1"/>
  <c r="V359" i="3"/>
  <c r="R359" i="3" a="1"/>
  <c r="R359" i="3"/>
  <c r="P359" i="3" a="1"/>
  <c r="P359" i="3"/>
  <c r="N359" i="3" a="1"/>
  <c r="N359" i="3"/>
  <c r="L359" i="3" a="1"/>
  <c r="L359" i="3"/>
  <c r="I359" i="3"/>
  <c r="E359" i="3" a="1"/>
  <c r="E359" i="3" s="1"/>
  <c r="C359" i="3" a="1"/>
  <c r="C359" i="3" s="1"/>
  <c r="BF358" i="3"/>
  <c r="BE358" i="3"/>
  <c r="BD358" i="3"/>
  <c r="BC358" i="3"/>
  <c r="BB358" i="3"/>
  <c r="BA358" i="3"/>
  <c r="AZ358" i="3"/>
  <c r="AY358" i="3"/>
  <c r="AX358" i="3"/>
  <c r="AW358" i="3"/>
  <c r="AV358" i="3"/>
  <c r="AU358" i="3"/>
  <c r="AK358" i="3"/>
  <c r="AH358" i="3"/>
  <c r="AG358" i="3" a="1"/>
  <c r="AG358" i="3" s="1"/>
  <c r="AE358" i="3" a="1"/>
  <c r="AE358" i="3" s="1"/>
  <c r="AC358" i="3" a="1"/>
  <c r="AC358" i="3" s="1"/>
  <c r="AA358" i="3" a="1"/>
  <c r="AA358" i="3" s="1"/>
  <c r="Y358" i="3" a="1"/>
  <c r="Y358" i="3" s="1"/>
  <c r="V358" i="3"/>
  <c r="R358" i="3" a="1"/>
  <c r="R358" i="3"/>
  <c r="P358" i="3" a="1"/>
  <c r="P358" i="3"/>
  <c r="N358" i="3" a="1"/>
  <c r="N358" i="3"/>
  <c r="L358" i="3" a="1"/>
  <c r="L358" i="3"/>
  <c r="I358" i="3"/>
  <c r="E358" i="3" a="1"/>
  <c r="E358" i="3" s="1"/>
  <c r="C358" i="3" a="1"/>
  <c r="C358" i="3" s="1"/>
  <c r="BF357" i="3"/>
  <c r="BE357" i="3"/>
  <c r="BD357" i="3"/>
  <c r="BC357" i="3"/>
  <c r="BB357" i="3"/>
  <c r="BA357" i="3"/>
  <c r="AZ357" i="3"/>
  <c r="AY357" i="3"/>
  <c r="AX357" i="3"/>
  <c r="AW357" i="3"/>
  <c r="AV357" i="3"/>
  <c r="AU357" i="3"/>
  <c r="AK357" i="3"/>
  <c r="AH357" i="3"/>
  <c r="AG357" i="3" a="1"/>
  <c r="AG357" i="3" s="1"/>
  <c r="AE357" i="3" a="1"/>
  <c r="AE357" i="3" s="1"/>
  <c r="AC357" i="3" a="1"/>
  <c r="AC357" i="3" s="1"/>
  <c r="AA357" i="3" a="1"/>
  <c r="AA357" i="3" s="1"/>
  <c r="Y357" i="3" a="1"/>
  <c r="Y357" i="3" s="1"/>
  <c r="V357" i="3"/>
  <c r="R357" i="3" a="1"/>
  <c r="R357" i="3"/>
  <c r="P357" i="3" a="1"/>
  <c r="P357" i="3"/>
  <c r="N357" i="3" a="1"/>
  <c r="N357" i="3"/>
  <c r="L357" i="3" a="1"/>
  <c r="L357" i="3"/>
  <c r="I357" i="3"/>
  <c r="E357" i="3" a="1"/>
  <c r="E357" i="3" s="1"/>
  <c r="C357" i="3" a="1"/>
  <c r="C357" i="3" s="1"/>
  <c r="BF356" i="3"/>
  <c r="BE356" i="3"/>
  <c r="BD356" i="3"/>
  <c r="BC356" i="3"/>
  <c r="BB356" i="3"/>
  <c r="BA356" i="3"/>
  <c r="AZ356" i="3"/>
  <c r="AY356" i="3"/>
  <c r="AX356" i="3"/>
  <c r="AW356" i="3"/>
  <c r="AV356" i="3"/>
  <c r="AU356" i="3"/>
  <c r="AK356" i="3"/>
  <c r="AH356" i="3"/>
  <c r="AG356" i="3" a="1"/>
  <c r="AG356" i="3" s="1"/>
  <c r="AE356" i="3" a="1"/>
  <c r="AE356" i="3" s="1"/>
  <c r="AC356" i="3" a="1"/>
  <c r="AC356" i="3" s="1"/>
  <c r="AA356" i="3" a="1"/>
  <c r="AA356" i="3" s="1"/>
  <c r="Y356" i="3" a="1"/>
  <c r="Y356" i="3" s="1"/>
  <c r="V356" i="3"/>
  <c r="R356" i="3" a="1"/>
  <c r="R356" i="3"/>
  <c r="P356" i="3" a="1"/>
  <c r="P356" i="3"/>
  <c r="N356" i="3" a="1"/>
  <c r="N356" i="3"/>
  <c r="L356" i="3" a="1"/>
  <c r="L356" i="3"/>
  <c r="I356" i="3"/>
  <c r="E356" i="3" a="1"/>
  <c r="E356" i="3" s="1"/>
  <c r="C356" i="3" a="1"/>
  <c r="C356" i="3" s="1"/>
  <c r="BF355" i="3"/>
  <c r="BE355" i="3"/>
  <c r="BD355" i="3"/>
  <c r="BC355" i="3"/>
  <c r="BB355" i="3"/>
  <c r="BA355" i="3"/>
  <c r="AZ355" i="3"/>
  <c r="AY355" i="3"/>
  <c r="AX355" i="3"/>
  <c r="AW355" i="3"/>
  <c r="AV355" i="3"/>
  <c r="AU355" i="3"/>
  <c r="AK355" i="3"/>
  <c r="AH355" i="3"/>
  <c r="AG355" i="3" a="1"/>
  <c r="AG355" i="3" s="1"/>
  <c r="AE355" i="3" a="1"/>
  <c r="AE355" i="3" s="1"/>
  <c r="AC355" i="3" a="1"/>
  <c r="AC355" i="3" s="1"/>
  <c r="AA355" i="3" a="1"/>
  <c r="AA355" i="3" s="1"/>
  <c r="Y355" i="3" a="1"/>
  <c r="Y355" i="3" s="1"/>
  <c r="V355" i="3"/>
  <c r="R355" i="3" a="1"/>
  <c r="R355" i="3"/>
  <c r="P355" i="3" a="1"/>
  <c r="P355" i="3"/>
  <c r="N355" i="3" a="1"/>
  <c r="N355" i="3"/>
  <c r="L355" i="3" a="1"/>
  <c r="L355" i="3"/>
  <c r="I355" i="3"/>
  <c r="E355" i="3" a="1"/>
  <c r="E355" i="3" s="1"/>
  <c r="C355" i="3" a="1"/>
  <c r="C355" i="3" s="1"/>
  <c r="BF354" i="3"/>
  <c r="BE354" i="3"/>
  <c r="BD354" i="3"/>
  <c r="BC354" i="3"/>
  <c r="BB354" i="3"/>
  <c r="BA354" i="3"/>
  <c r="AZ354" i="3"/>
  <c r="AY354" i="3"/>
  <c r="AX354" i="3"/>
  <c r="AW354" i="3"/>
  <c r="AV354" i="3"/>
  <c r="AU354" i="3"/>
  <c r="AK354" i="3"/>
  <c r="AH354" i="3"/>
  <c r="AG354" i="3" a="1"/>
  <c r="AG354" i="3" s="1"/>
  <c r="AE354" i="3" a="1"/>
  <c r="AE354" i="3" s="1"/>
  <c r="AC354" i="3" a="1"/>
  <c r="AC354" i="3" s="1"/>
  <c r="AA354" i="3" a="1"/>
  <c r="AA354" i="3" s="1"/>
  <c r="Y354" i="3" a="1"/>
  <c r="Y354" i="3" s="1"/>
  <c r="V354" i="3"/>
  <c r="R354" i="3" a="1"/>
  <c r="R354" i="3"/>
  <c r="P354" i="3" a="1"/>
  <c r="P354" i="3"/>
  <c r="N354" i="3" a="1"/>
  <c r="N354" i="3"/>
  <c r="L354" i="3" a="1"/>
  <c r="L354" i="3"/>
  <c r="I354" i="3"/>
  <c r="E354" i="3" a="1"/>
  <c r="E354" i="3" s="1"/>
  <c r="C354" i="3" a="1"/>
  <c r="C354" i="3" s="1"/>
  <c r="BF353" i="3"/>
  <c r="BE353" i="3"/>
  <c r="BD353" i="3"/>
  <c r="BC353" i="3"/>
  <c r="BB353" i="3"/>
  <c r="BA353" i="3"/>
  <c r="AZ353" i="3"/>
  <c r="AY353" i="3"/>
  <c r="AX353" i="3"/>
  <c r="AW353" i="3"/>
  <c r="AV353" i="3"/>
  <c r="AU353" i="3"/>
  <c r="AK353" i="3"/>
  <c r="AH353" i="3"/>
  <c r="AG353" i="3" a="1"/>
  <c r="AG353" i="3" s="1"/>
  <c r="AE353" i="3" a="1"/>
  <c r="AE353" i="3" s="1"/>
  <c r="AC353" i="3" a="1"/>
  <c r="AC353" i="3" s="1"/>
  <c r="AA353" i="3" a="1"/>
  <c r="AA353" i="3" s="1"/>
  <c r="Y353" i="3" a="1"/>
  <c r="Y353" i="3" s="1"/>
  <c r="V353" i="3"/>
  <c r="R353" i="3" a="1"/>
  <c r="R353" i="3"/>
  <c r="P353" i="3" a="1"/>
  <c r="P353" i="3"/>
  <c r="N353" i="3" a="1"/>
  <c r="N353" i="3"/>
  <c r="L353" i="3" a="1"/>
  <c r="L353" i="3"/>
  <c r="I353" i="3"/>
  <c r="E353" i="3" a="1"/>
  <c r="E353" i="3" s="1"/>
  <c r="C353" i="3" a="1"/>
  <c r="C353" i="3" s="1"/>
  <c r="BF352" i="3"/>
  <c r="BE352" i="3"/>
  <c r="BD352" i="3"/>
  <c r="BC352" i="3"/>
  <c r="BB352" i="3"/>
  <c r="BA352" i="3"/>
  <c r="AZ352" i="3"/>
  <c r="AY352" i="3"/>
  <c r="AX352" i="3"/>
  <c r="AW352" i="3"/>
  <c r="AV352" i="3"/>
  <c r="AU352" i="3"/>
  <c r="AK352" i="3"/>
  <c r="AH352" i="3"/>
  <c r="AG352" i="3" a="1"/>
  <c r="AG352" i="3" s="1"/>
  <c r="AE352" i="3" a="1"/>
  <c r="AE352" i="3" s="1"/>
  <c r="AC352" i="3" a="1"/>
  <c r="AC352" i="3" s="1"/>
  <c r="AA352" i="3" a="1"/>
  <c r="AA352" i="3" s="1"/>
  <c r="Y352" i="3" a="1"/>
  <c r="Y352" i="3" s="1"/>
  <c r="V352" i="3"/>
  <c r="R352" i="3" a="1"/>
  <c r="R352" i="3"/>
  <c r="P352" i="3" a="1"/>
  <c r="P352" i="3"/>
  <c r="N352" i="3" a="1"/>
  <c r="N352" i="3"/>
  <c r="L352" i="3" a="1"/>
  <c r="L352" i="3"/>
  <c r="I352" i="3"/>
  <c r="E352" i="3" a="1"/>
  <c r="E352" i="3" s="1"/>
  <c r="C352" i="3" a="1"/>
  <c r="C352" i="3" s="1"/>
  <c r="BF351" i="3"/>
  <c r="BE351" i="3"/>
  <c r="BD351" i="3"/>
  <c r="BC351" i="3"/>
  <c r="BB351" i="3"/>
  <c r="BA351" i="3"/>
  <c r="AZ351" i="3"/>
  <c r="AY351" i="3"/>
  <c r="AX351" i="3"/>
  <c r="AW351" i="3"/>
  <c r="AV351" i="3"/>
  <c r="AU351" i="3"/>
  <c r="AK351" i="3"/>
  <c r="AH351" i="3"/>
  <c r="AG351" i="3" a="1"/>
  <c r="AG351" i="3" s="1"/>
  <c r="AE351" i="3" a="1"/>
  <c r="AE351" i="3" s="1"/>
  <c r="AC351" i="3" a="1"/>
  <c r="AC351" i="3" s="1"/>
  <c r="AA351" i="3" a="1"/>
  <c r="AA351" i="3" s="1"/>
  <c r="Y351" i="3" a="1"/>
  <c r="Y351" i="3" s="1"/>
  <c r="V351" i="3"/>
  <c r="R351" i="3" a="1"/>
  <c r="R351" i="3"/>
  <c r="P351" i="3" a="1"/>
  <c r="P351" i="3"/>
  <c r="N351" i="3" a="1"/>
  <c r="N351" i="3"/>
  <c r="L351" i="3" a="1"/>
  <c r="L351" i="3"/>
  <c r="I351" i="3"/>
  <c r="E351" i="3" a="1"/>
  <c r="E351" i="3" s="1"/>
  <c r="C351" i="3" a="1"/>
  <c r="C351" i="3" s="1"/>
  <c r="BF350" i="3"/>
  <c r="BE350" i="3"/>
  <c r="BD350" i="3"/>
  <c r="BC350" i="3"/>
  <c r="BB350" i="3"/>
  <c r="BA350" i="3"/>
  <c r="AZ350" i="3"/>
  <c r="AY350" i="3"/>
  <c r="AX350" i="3"/>
  <c r="AW350" i="3"/>
  <c r="AV350" i="3"/>
  <c r="AU350" i="3"/>
  <c r="AK350" i="3"/>
  <c r="AH350" i="3"/>
  <c r="AG350" i="3" a="1"/>
  <c r="AG350" i="3" s="1"/>
  <c r="AE350" i="3" a="1"/>
  <c r="AE350" i="3" s="1"/>
  <c r="AC350" i="3" a="1"/>
  <c r="AC350" i="3" s="1"/>
  <c r="AA350" i="3" a="1"/>
  <c r="AA350" i="3" s="1"/>
  <c r="Y350" i="3" a="1"/>
  <c r="Y350" i="3" s="1"/>
  <c r="V350" i="3"/>
  <c r="R350" i="3" a="1"/>
  <c r="R350" i="3"/>
  <c r="P350" i="3" a="1"/>
  <c r="P350" i="3"/>
  <c r="N350" i="3" a="1"/>
  <c r="N350" i="3"/>
  <c r="L350" i="3" a="1"/>
  <c r="L350" i="3"/>
  <c r="I350" i="3"/>
  <c r="E350" i="3" a="1"/>
  <c r="E350" i="3" s="1"/>
  <c r="C350" i="3" a="1"/>
  <c r="C350" i="3" s="1"/>
  <c r="BF349" i="3"/>
  <c r="BE349" i="3"/>
  <c r="BD349" i="3"/>
  <c r="BC349" i="3"/>
  <c r="BB349" i="3"/>
  <c r="BA349" i="3"/>
  <c r="AZ349" i="3"/>
  <c r="AY349" i="3"/>
  <c r="AX349" i="3"/>
  <c r="AW349" i="3"/>
  <c r="AV349" i="3"/>
  <c r="AU349" i="3"/>
  <c r="AK349" i="3"/>
  <c r="AH349" i="3"/>
  <c r="AG349" i="3" a="1"/>
  <c r="AG349" i="3" s="1"/>
  <c r="AE349" i="3" a="1"/>
  <c r="AE349" i="3" s="1"/>
  <c r="AC349" i="3" a="1"/>
  <c r="AC349" i="3" s="1"/>
  <c r="AA349" i="3" a="1"/>
  <c r="AA349" i="3" s="1"/>
  <c r="Y349" i="3" a="1"/>
  <c r="Y349" i="3" s="1"/>
  <c r="V349" i="3"/>
  <c r="R349" i="3" a="1"/>
  <c r="R349" i="3"/>
  <c r="P349" i="3" a="1"/>
  <c r="P349" i="3"/>
  <c r="N349" i="3" a="1"/>
  <c r="N349" i="3"/>
  <c r="L349" i="3" a="1"/>
  <c r="L349" i="3"/>
  <c r="I349" i="3"/>
  <c r="E349" i="3" a="1"/>
  <c r="E349" i="3" s="1"/>
  <c r="C349" i="3" a="1"/>
  <c r="C349" i="3" s="1"/>
  <c r="BF348" i="3"/>
  <c r="BE348" i="3"/>
  <c r="BD348" i="3"/>
  <c r="BC348" i="3"/>
  <c r="BB348" i="3"/>
  <c r="BA348" i="3"/>
  <c r="AZ348" i="3"/>
  <c r="AY348" i="3"/>
  <c r="AX348" i="3"/>
  <c r="AW348" i="3"/>
  <c r="AV348" i="3"/>
  <c r="AU348" i="3"/>
  <c r="AK348" i="3"/>
  <c r="AH348" i="3"/>
  <c r="AG348" i="3" a="1"/>
  <c r="AG348" i="3" s="1"/>
  <c r="AE348" i="3" a="1"/>
  <c r="AE348" i="3" s="1"/>
  <c r="AC348" i="3" a="1"/>
  <c r="AC348" i="3" s="1"/>
  <c r="AA348" i="3" a="1"/>
  <c r="AA348" i="3" s="1"/>
  <c r="Y348" i="3" a="1"/>
  <c r="Y348" i="3" s="1"/>
  <c r="V348" i="3"/>
  <c r="R348" i="3" a="1"/>
  <c r="R348" i="3"/>
  <c r="P348" i="3" a="1"/>
  <c r="P348" i="3"/>
  <c r="N348" i="3" a="1"/>
  <c r="N348" i="3"/>
  <c r="L348" i="3" a="1"/>
  <c r="L348" i="3"/>
  <c r="I348" i="3"/>
  <c r="E348" i="3" a="1"/>
  <c r="E348" i="3" s="1"/>
  <c r="C348" i="3" a="1"/>
  <c r="C348" i="3" s="1"/>
  <c r="BF347" i="3"/>
  <c r="BE347" i="3"/>
  <c r="BD347" i="3"/>
  <c r="BC347" i="3"/>
  <c r="BB347" i="3"/>
  <c r="BA347" i="3"/>
  <c r="AZ347" i="3"/>
  <c r="AY347" i="3"/>
  <c r="AX347" i="3"/>
  <c r="AW347" i="3"/>
  <c r="AV347" i="3"/>
  <c r="AU347" i="3"/>
  <c r="AK347" i="3"/>
  <c r="AH347" i="3"/>
  <c r="AG347" i="3" a="1"/>
  <c r="AG347" i="3" s="1"/>
  <c r="AE347" i="3" a="1"/>
  <c r="AE347" i="3" s="1"/>
  <c r="AC347" i="3" a="1"/>
  <c r="AC347" i="3" s="1"/>
  <c r="AA347" i="3" a="1"/>
  <c r="AA347" i="3" s="1"/>
  <c r="Y347" i="3" a="1"/>
  <c r="Y347" i="3" s="1"/>
  <c r="V347" i="3"/>
  <c r="R347" i="3" a="1"/>
  <c r="R347" i="3"/>
  <c r="P347" i="3" a="1"/>
  <c r="P347" i="3"/>
  <c r="N347" i="3" a="1"/>
  <c r="N347" i="3"/>
  <c r="L347" i="3" a="1"/>
  <c r="L347" i="3"/>
  <c r="I347" i="3"/>
  <c r="E347" i="3" a="1"/>
  <c r="E347" i="3" s="1"/>
  <c r="C347" i="3" a="1"/>
  <c r="C347" i="3" s="1"/>
  <c r="BF346" i="3"/>
  <c r="BE346" i="3"/>
  <c r="BD346" i="3"/>
  <c r="BC346" i="3"/>
  <c r="BB346" i="3"/>
  <c r="BA346" i="3"/>
  <c r="AZ346" i="3"/>
  <c r="AY346" i="3"/>
  <c r="AX346" i="3"/>
  <c r="AW346" i="3"/>
  <c r="AV346" i="3"/>
  <c r="AU346" i="3"/>
  <c r="AK346" i="3"/>
  <c r="AH346" i="3"/>
  <c r="AG346" i="3" a="1"/>
  <c r="AG346" i="3" s="1"/>
  <c r="AE346" i="3" a="1"/>
  <c r="AE346" i="3" s="1"/>
  <c r="AC346" i="3" a="1"/>
  <c r="AC346" i="3" s="1"/>
  <c r="AA346" i="3" a="1"/>
  <c r="AA346" i="3" s="1"/>
  <c r="Y346" i="3" a="1"/>
  <c r="Y346" i="3" s="1"/>
  <c r="V346" i="3"/>
  <c r="R346" i="3" a="1"/>
  <c r="R346" i="3"/>
  <c r="P346" i="3" a="1"/>
  <c r="P346" i="3"/>
  <c r="N346" i="3" a="1"/>
  <c r="N346" i="3"/>
  <c r="L346" i="3" a="1"/>
  <c r="L346" i="3"/>
  <c r="I346" i="3"/>
  <c r="E346" i="3" a="1"/>
  <c r="E346" i="3" s="1"/>
  <c r="C346" i="3" a="1"/>
  <c r="C346" i="3" s="1"/>
  <c r="BF345" i="3"/>
  <c r="BE345" i="3"/>
  <c r="BD345" i="3"/>
  <c r="BC345" i="3"/>
  <c r="BB345" i="3"/>
  <c r="BA345" i="3"/>
  <c r="AZ345" i="3"/>
  <c r="AY345" i="3"/>
  <c r="AX345" i="3"/>
  <c r="AW345" i="3"/>
  <c r="AV345" i="3"/>
  <c r="AU345" i="3"/>
  <c r="AK345" i="3"/>
  <c r="AH345" i="3"/>
  <c r="AG345" i="3" a="1"/>
  <c r="AG345" i="3" s="1"/>
  <c r="AE345" i="3" a="1"/>
  <c r="AE345" i="3" s="1"/>
  <c r="AC345" i="3" a="1"/>
  <c r="AC345" i="3" s="1"/>
  <c r="AA345" i="3" a="1"/>
  <c r="AA345" i="3" s="1"/>
  <c r="Y345" i="3" a="1"/>
  <c r="Y345" i="3" s="1"/>
  <c r="V345" i="3"/>
  <c r="R345" i="3" a="1"/>
  <c r="R345" i="3"/>
  <c r="P345" i="3" a="1"/>
  <c r="P345" i="3"/>
  <c r="N345" i="3" a="1"/>
  <c r="N345" i="3"/>
  <c r="L345" i="3" a="1"/>
  <c r="L345" i="3"/>
  <c r="I345" i="3"/>
  <c r="E345" i="3" a="1"/>
  <c r="E345" i="3" s="1"/>
  <c r="C345" i="3" a="1"/>
  <c r="C345" i="3" s="1"/>
  <c r="BF344" i="3"/>
  <c r="BE344" i="3"/>
  <c r="BD344" i="3"/>
  <c r="BC344" i="3"/>
  <c r="BB344" i="3"/>
  <c r="BA344" i="3"/>
  <c r="AZ344" i="3"/>
  <c r="AY344" i="3"/>
  <c r="AX344" i="3"/>
  <c r="AW344" i="3"/>
  <c r="AV344" i="3"/>
  <c r="AU344" i="3"/>
  <c r="AK344" i="3"/>
  <c r="AH344" i="3"/>
  <c r="AG344" i="3" a="1"/>
  <c r="AG344" i="3" s="1"/>
  <c r="AE344" i="3" a="1"/>
  <c r="AE344" i="3" s="1"/>
  <c r="AC344" i="3" a="1"/>
  <c r="AC344" i="3" s="1"/>
  <c r="AA344" i="3" a="1"/>
  <c r="AA344" i="3" s="1"/>
  <c r="Y344" i="3" a="1"/>
  <c r="Y344" i="3" s="1"/>
  <c r="V344" i="3"/>
  <c r="R344" i="3" a="1"/>
  <c r="R344" i="3"/>
  <c r="P344" i="3" a="1"/>
  <c r="P344" i="3"/>
  <c r="N344" i="3" a="1"/>
  <c r="N344" i="3"/>
  <c r="L344" i="3" a="1"/>
  <c r="L344" i="3"/>
  <c r="I344" i="3"/>
  <c r="E344" i="3" a="1"/>
  <c r="E344" i="3" s="1"/>
  <c r="C344" i="3" a="1"/>
  <c r="C344" i="3" s="1"/>
  <c r="BF343" i="3"/>
  <c r="BE343" i="3"/>
  <c r="BD343" i="3"/>
  <c r="BC343" i="3"/>
  <c r="BB343" i="3"/>
  <c r="BA343" i="3"/>
  <c r="AZ343" i="3"/>
  <c r="AY343" i="3"/>
  <c r="AX343" i="3"/>
  <c r="AW343" i="3"/>
  <c r="AV343" i="3"/>
  <c r="AU343" i="3"/>
  <c r="AK343" i="3"/>
  <c r="AH343" i="3"/>
  <c r="AG343" i="3" a="1"/>
  <c r="AG343" i="3" s="1"/>
  <c r="AE343" i="3" a="1"/>
  <c r="AE343" i="3" s="1"/>
  <c r="AC343" i="3" a="1"/>
  <c r="AC343" i="3" s="1"/>
  <c r="AA343" i="3" a="1"/>
  <c r="AA343" i="3" s="1"/>
  <c r="Y343" i="3" a="1"/>
  <c r="Y343" i="3" s="1"/>
  <c r="V343" i="3"/>
  <c r="R343" i="3" a="1"/>
  <c r="R343" i="3"/>
  <c r="P343" i="3" a="1"/>
  <c r="P343" i="3"/>
  <c r="N343" i="3" a="1"/>
  <c r="N343" i="3"/>
  <c r="L343" i="3" a="1"/>
  <c r="L343" i="3"/>
  <c r="I343" i="3"/>
  <c r="E343" i="3" a="1"/>
  <c r="E343" i="3" s="1"/>
  <c r="C343" i="3" a="1"/>
  <c r="C343" i="3" s="1"/>
  <c r="BF342" i="3"/>
  <c r="BE342" i="3"/>
  <c r="BD342" i="3"/>
  <c r="BC342" i="3"/>
  <c r="BB342" i="3"/>
  <c r="BA342" i="3"/>
  <c r="AZ342" i="3"/>
  <c r="AY342" i="3"/>
  <c r="AX342" i="3"/>
  <c r="AW342" i="3"/>
  <c r="AV342" i="3"/>
  <c r="AU342" i="3"/>
  <c r="AK342" i="3"/>
  <c r="AH342" i="3"/>
  <c r="AG342" i="3" a="1"/>
  <c r="AG342" i="3" s="1"/>
  <c r="AE342" i="3" a="1"/>
  <c r="AE342" i="3" s="1"/>
  <c r="AC342" i="3" a="1"/>
  <c r="AC342" i="3" s="1"/>
  <c r="AA342" i="3" a="1"/>
  <c r="AA342" i="3" s="1"/>
  <c r="Y342" i="3" a="1"/>
  <c r="Y342" i="3" s="1"/>
  <c r="V342" i="3"/>
  <c r="R342" i="3" a="1"/>
  <c r="R342" i="3"/>
  <c r="P342" i="3" a="1"/>
  <c r="P342" i="3"/>
  <c r="N342" i="3" a="1"/>
  <c r="N342" i="3"/>
  <c r="L342" i="3" a="1"/>
  <c r="L342" i="3"/>
  <c r="I342" i="3"/>
  <c r="E342" i="3" a="1"/>
  <c r="E342" i="3" s="1"/>
  <c r="C342" i="3" a="1"/>
  <c r="C342" i="3" s="1"/>
  <c r="BF341" i="3"/>
  <c r="BE341" i="3"/>
  <c r="BD341" i="3"/>
  <c r="BC341" i="3"/>
  <c r="BB341" i="3"/>
  <c r="BA341" i="3"/>
  <c r="AZ341" i="3"/>
  <c r="AY341" i="3"/>
  <c r="AX341" i="3"/>
  <c r="AW341" i="3"/>
  <c r="AV341" i="3"/>
  <c r="AU341" i="3"/>
  <c r="AK341" i="3"/>
  <c r="AH341" i="3"/>
  <c r="AG341" i="3" a="1"/>
  <c r="AG341" i="3" s="1"/>
  <c r="AE341" i="3" a="1"/>
  <c r="AE341" i="3" s="1"/>
  <c r="AC341" i="3" a="1"/>
  <c r="AC341" i="3" s="1"/>
  <c r="AA341" i="3" a="1"/>
  <c r="AA341" i="3" s="1"/>
  <c r="Y341" i="3" a="1"/>
  <c r="Y341" i="3" s="1"/>
  <c r="V341" i="3"/>
  <c r="R341" i="3" a="1"/>
  <c r="R341" i="3"/>
  <c r="P341" i="3" a="1"/>
  <c r="P341" i="3"/>
  <c r="N341" i="3" a="1"/>
  <c r="N341" i="3"/>
  <c r="L341" i="3" a="1"/>
  <c r="L341" i="3"/>
  <c r="I341" i="3"/>
  <c r="E341" i="3" a="1"/>
  <c r="E341" i="3" s="1"/>
  <c r="C341" i="3" a="1"/>
  <c r="C341" i="3" s="1"/>
  <c r="BF340" i="3"/>
  <c r="BE340" i="3"/>
  <c r="BD340" i="3"/>
  <c r="BC340" i="3"/>
  <c r="BB340" i="3"/>
  <c r="BA340" i="3"/>
  <c r="AZ340" i="3"/>
  <c r="AY340" i="3"/>
  <c r="AX340" i="3"/>
  <c r="AW340" i="3"/>
  <c r="AV340" i="3"/>
  <c r="AU340" i="3"/>
  <c r="AK340" i="3"/>
  <c r="AH340" i="3"/>
  <c r="AG340" i="3" a="1"/>
  <c r="AG340" i="3" s="1"/>
  <c r="AE340" i="3" a="1"/>
  <c r="AE340" i="3" s="1"/>
  <c r="AC340" i="3" a="1"/>
  <c r="AC340" i="3" s="1"/>
  <c r="AA340" i="3" a="1"/>
  <c r="AA340" i="3" s="1"/>
  <c r="Y340" i="3" a="1"/>
  <c r="Y340" i="3" s="1"/>
  <c r="V340" i="3"/>
  <c r="R340" i="3" a="1"/>
  <c r="R340" i="3"/>
  <c r="P340" i="3" a="1"/>
  <c r="P340" i="3"/>
  <c r="N340" i="3" a="1"/>
  <c r="N340" i="3"/>
  <c r="L340" i="3" a="1"/>
  <c r="L340" i="3"/>
  <c r="I340" i="3"/>
  <c r="E340" i="3" a="1"/>
  <c r="E340" i="3" s="1"/>
  <c r="C340" i="3" a="1"/>
  <c r="C340" i="3" s="1"/>
  <c r="BF339" i="3"/>
  <c r="BE339" i="3"/>
  <c r="BD339" i="3"/>
  <c r="BC339" i="3"/>
  <c r="BB339" i="3"/>
  <c r="BA339" i="3"/>
  <c r="AZ339" i="3"/>
  <c r="AY339" i="3"/>
  <c r="AX339" i="3"/>
  <c r="AW339" i="3"/>
  <c r="AV339" i="3"/>
  <c r="AU339" i="3"/>
  <c r="AK339" i="3"/>
  <c r="AH339" i="3"/>
  <c r="AG339" i="3" a="1"/>
  <c r="AG339" i="3" s="1"/>
  <c r="AE339" i="3" a="1"/>
  <c r="AE339" i="3" s="1"/>
  <c r="AC339" i="3" a="1"/>
  <c r="AC339" i="3" s="1"/>
  <c r="AA339" i="3" a="1"/>
  <c r="AA339" i="3" s="1"/>
  <c r="Y339" i="3" a="1"/>
  <c r="Y339" i="3" s="1"/>
  <c r="V339" i="3"/>
  <c r="R339" i="3" a="1"/>
  <c r="R339" i="3"/>
  <c r="P339" i="3" a="1"/>
  <c r="P339" i="3"/>
  <c r="N339" i="3" a="1"/>
  <c r="N339" i="3"/>
  <c r="L339" i="3" a="1"/>
  <c r="L339" i="3"/>
  <c r="I339" i="3"/>
  <c r="E339" i="3" a="1"/>
  <c r="E339" i="3" s="1"/>
  <c r="C339" i="3" a="1"/>
  <c r="C339" i="3" s="1"/>
  <c r="BF338" i="3"/>
  <c r="BE338" i="3"/>
  <c r="BD338" i="3"/>
  <c r="BC338" i="3"/>
  <c r="BB338" i="3"/>
  <c r="BA338" i="3"/>
  <c r="AZ338" i="3"/>
  <c r="AY338" i="3"/>
  <c r="AX338" i="3"/>
  <c r="AW338" i="3"/>
  <c r="AV338" i="3"/>
  <c r="AU338" i="3"/>
  <c r="AK338" i="3"/>
  <c r="AH338" i="3"/>
  <c r="AG338" i="3" a="1"/>
  <c r="AG338" i="3" s="1"/>
  <c r="AE338" i="3" a="1"/>
  <c r="AE338" i="3" s="1"/>
  <c r="AC338" i="3" a="1"/>
  <c r="AC338" i="3" s="1"/>
  <c r="AA338" i="3" a="1"/>
  <c r="AA338" i="3" s="1"/>
  <c r="Y338" i="3" a="1"/>
  <c r="Y338" i="3" s="1"/>
  <c r="V338" i="3"/>
  <c r="R338" i="3" a="1"/>
  <c r="R338" i="3"/>
  <c r="P338" i="3" a="1"/>
  <c r="P338" i="3"/>
  <c r="N338" i="3" a="1"/>
  <c r="N338" i="3"/>
  <c r="L338" i="3" a="1"/>
  <c r="L338" i="3"/>
  <c r="I338" i="3"/>
  <c r="E338" i="3" a="1"/>
  <c r="E338" i="3" s="1"/>
  <c r="C338" i="3" a="1"/>
  <c r="C338" i="3" s="1"/>
  <c r="BF337" i="3"/>
  <c r="BE337" i="3"/>
  <c r="BD337" i="3"/>
  <c r="BC337" i="3"/>
  <c r="BB337" i="3"/>
  <c r="BA337" i="3"/>
  <c r="AZ337" i="3"/>
  <c r="AY337" i="3"/>
  <c r="AX337" i="3"/>
  <c r="AW337" i="3"/>
  <c r="AV337" i="3"/>
  <c r="AU337" i="3"/>
  <c r="AK337" i="3"/>
  <c r="AH337" i="3"/>
  <c r="AG337" i="3" a="1"/>
  <c r="AG337" i="3" s="1"/>
  <c r="AE337" i="3" a="1"/>
  <c r="AE337" i="3" s="1"/>
  <c r="AC337" i="3" a="1"/>
  <c r="AC337" i="3" s="1"/>
  <c r="AA337" i="3" a="1"/>
  <c r="AA337" i="3" s="1"/>
  <c r="Y337" i="3" a="1"/>
  <c r="Y337" i="3" s="1"/>
  <c r="V337" i="3"/>
  <c r="R337" i="3" a="1"/>
  <c r="R337" i="3"/>
  <c r="P337" i="3" a="1"/>
  <c r="P337" i="3"/>
  <c r="N337" i="3" a="1"/>
  <c r="N337" i="3"/>
  <c r="L337" i="3" a="1"/>
  <c r="L337" i="3"/>
  <c r="I337" i="3"/>
  <c r="E337" i="3" a="1"/>
  <c r="E337" i="3" s="1"/>
  <c r="C337" i="3" a="1"/>
  <c r="C337" i="3" s="1"/>
  <c r="BF336" i="3"/>
  <c r="BE336" i="3"/>
  <c r="BD336" i="3"/>
  <c r="BC336" i="3"/>
  <c r="BB336" i="3"/>
  <c r="BA336" i="3"/>
  <c r="AZ336" i="3"/>
  <c r="AY336" i="3"/>
  <c r="AX336" i="3"/>
  <c r="AW336" i="3"/>
  <c r="AV336" i="3"/>
  <c r="AU336" i="3"/>
  <c r="AK336" i="3"/>
  <c r="AH336" i="3"/>
  <c r="AG336" i="3" a="1"/>
  <c r="AG336" i="3" s="1"/>
  <c r="AE336" i="3" a="1"/>
  <c r="AE336" i="3" s="1"/>
  <c r="AC336" i="3" a="1"/>
  <c r="AC336" i="3" s="1"/>
  <c r="AA336" i="3" a="1"/>
  <c r="AA336" i="3" s="1"/>
  <c r="Y336" i="3" a="1"/>
  <c r="Y336" i="3" s="1"/>
  <c r="V336" i="3"/>
  <c r="R336" i="3" a="1"/>
  <c r="R336" i="3"/>
  <c r="P336" i="3" a="1"/>
  <c r="P336" i="3"/>
  <c r="N336" i="3" a="1"/>
  <c r="N336" i="3"/>
  <c r="L336" i="3" a="1"/>
  <c r="L336" i="3"/>
  <c r="I336" i="3"/>
  <c r="E336" i="3" a="1"/>
  <c r="E336" i="3" s="1"/>
  <c r="C336" i="3" a="1"/>
  <c r="C336" i="3" s="1"/>
  <c r="BF335" i="3"/>
  <c r="BE335" i="3"/>
  <c r="BD335" i="3"/>
  <c r="BC335" i="3"/>
  <c r="BB335" i="3"/>
  <c r="BA335" i="3"/>
  <c r="AZ335" i="3"/>
  <c r="AY335" i="3"/>
  <c r="AX335" i="3"/>
  <c r="AW335" i="3"/>
  <c r="AV335" i="3"/>
  <c r="AU335" i="3"/>
  <c r="AK335" i="3"/>
  <c r="AH335" i="3"/>
  <c r="AG335" i="3" a="1"/>
  <c r="AG335" i="3" s="1"/>
  <c r="AE335" i="3" a="1"/>
  <c r="AE335" i="3" s="1"/>
  <c r="AC335" i="3" a="1"/>
  <c r="AC335" i="3" s="1"/>
  <c r="AA335" i="3" a="1"/>
  <c r="AA335" i="3" s="1"/>
  <c r="Y335" i="3" a="1"/>
  <c r="Y335" i="3" s="1"/>
  <c r="V335" i="3"/>
  <c r="R335" i="3" a="1"/>
  <c r="R335" i="3"/>
  <c r="P335" i="3" a="1"/>
  <c r="P335" i="3"/>
  <c r="N335" i="3" a="1"/>
  <c r="N335" i="3"/>
  <c r="L335" i="3" a="1"/>
  <c r="L335" i="3"/>
  <c r="I335" i="3"/>
  <c r="E335" i="3" a="1"/>
  <c r="E335" i="3" s="1"/>
  <c r="C335" i="3" a="1"/>
  <c r="C335" i="3" s="1"/>
  <c r="BF334" i="3"/>
  <c r="BE334" i="3"/>
  <c r="BD334" i="3"/>
  <c r="BC334" i="3"/>
  <c r="BB334" i="3"/>
  <c r="BA334" i="3"/>
  <c r="AZ334" i="3"/>
  <c r="AY334" i="3"/>
  <c r="AX334" i="3"/>
  <c r="AW334" i="3"/>
  <c r="AV334" i="3"/>
  <c r="AU334" i="3"/>
  <c r="AK334" i="3"/>
  <c r="AH334" i="3"/>
  <c r="AG334" i="3" a="1"/>
  <c r="AG334" i="3" s="1"/>
  <c r="AE334" i="3" a="1"/>
  <c r="AE334" i="3" s="1"/>
  <c r="AC334" i="3" a="1"/>
  <c r="AC334" i="3" s="1"/>
  <c r="AA334" i="3" a="1"/>
  <c r="AA334" i="3" s="1"/>
  <c r="Y334" i="3" a="1"/>
  <c r="Y334" i="3" s="1"/>
  <c r="V334" i="3"/>
  <c r="R334" i="3" a="1"/>
  <c r="R334" i="3"/>
  <c r="P334" i="3" a="1"/>
  <c r="P334" i="3"/>
  <c r="N334" i="3" a="1"/>
  <c r="N334" i="3"/>
  <c r="L334" i="3" a="1"/>
  <c r="L334" i="3"/>
  <c r="I334" i="3"/>
  <c r="E334" i="3" a="1"/>
  <c r="E334" i="3" s="1"/>
  <c r="C334" i="3" a="1"/>
  <c r="C334" i="3" s="1"/>
  <c r="BF333" i="3"/>
  <c r="BE333" i="3"/>
  <c r="BD333" i="3"/>
  <c r="BC333" i="3"/>
  <c r="BB333" i="3"/>
  <c r="BA333" i="3"/>
  <c r="AZ333" i="3"/>
  <c r="AY333" i="3"/>
  <c r="AX333" i="3"/>
  <c r="AW333" i="3"/>
  <c r="AV333" i="3"/>
  <c r="AU333" i="3"/>
  <c r="AK333" i="3"/>
  <c r="AH333" i="3"/>
  <c r="AG333" i="3" a="1"/>
  <c r="AG333" i="3" s="1"/>
  <c r="AE333" i="3" a="1"/>
  <c r="AE333" i="3" s="1"/>
  <c r="AC333" i="3" a="1"/>
  <c r="AC333" i="3" s="1"/>
  <c r="AA333" i="3" a="1"/>
  <c r="AA333" i="3" s="1"/>
  <c r="Y333" i="3" a="1"/>
  <c r="Y333" i="3" s="1"/>
  <c r="V333" i="3"/>
  <c r="R333" i="3" a="1"/>
  <c r="R333" i="3"/>
  <c r="P333" i="3" a="1"/>
  <c r="P333" i="3"/>
  <c r="N333" i="3" a="1"/>
  <c r="N333" i="3"/>
  <c r="L333" i="3" a="1"/>
  <c r="L333" i="3"/>
  <c r="I333" i="3"/>
  <c r="E333" i="3" a="1"/>
  <c r="E333" i="3" s="1"/>
  <c r="C333" i="3" a="1"/>
  <c r="C333" i="3" s="1"/>
  <c r="BF332" i="3"/>
  <c r="BE332" i="3"/>
  <c r="BD332" i="3"/>
  <c r="BC332" i="3"/>
  <c r="BB332" i="3"/>
  <c r="BA332" i="3"/>
  <c r="AZ332" i="3"/>
  <c r="AY332" i="3"/>
  <c r="AX332" i="3"/>
  <c r="AW332" i="3"/>
  <c r="AV332" i="3"/>
  <c r="AU332" i="3"/>
  <c r="AK332" i="3"/>
  <c r="AH332" i="3"/>
  <c r="AG332" i="3" a="1"/>
  <c r="AG332" i="3" s="1"/>
  <c r="AE332" i="3" a="1"/>
  <c r="AE332" i="3" s="1"/>
  <c r="AC332" i="3" a="1"/>
  <c r="AC332" i="3" s="1"/>
  <c r="AA332" i="3" a="1"/>
  <c r="AA332" i="3" s="1"/>
  <c r="Y332" i="3" a="1"/>
  <c r="Y332" i="3" s="1"/>
  <c r="V332" i="3"/>
  <c r="R332" i="3" a="1"/>
  <c r="R332" i="3"/>
  <c r="P332" i="3" a="1"/>
  <c r="P332" i="3"/>
  <c r="N332" i="3" a="1"/>
  <c r="N332" i="3"/>
  <c r="L332" i="3" a="1"/>
  <c r="L332" i="3"/>
  <c r="I332" i="3"/>
  <c r="E332" i="3" a="1"/>
  <c r="E332" i="3" s="1"/>
  <c r="C332" i="3" a="1"/>
  <c r="C332" i="3" s="1"/>
  <c r="BF331" i="3"/>
  <c r="BE331" i="3"/>
  <c r="BD331" i="3"/>
  <c r="BC331" i="3"/>
  <c r="BB331" i="3"/>
  <c r="BA331" i="3"/>
  <c r="AZ331" i="3"/>
  <c r="AY331" i="3"/>
  <c r="AX331" i="3"/>
  <c r="AW331" i="3"/>
  <c r="AV331" i="3"/>
  <c r="AU331" i="3"/>
  <c r="AK331" i="3"/>
  <c r="AH331" i="3"/>
  <c r="AG331" i="3" a="1"/>
  <c r="AG331" i="3" s="1"/>
  <c r="AE331" i="3" a="1"/>
  <c r="AE331" i="3" s="1"/>
  <c r="AC331" i="3" a="1"/>
  <c r="AC331" i="3" s="1"/>
  <c r="AA331" i="3" a="1"/>
  <c r="AA331" i="3" s="1"/>
  <c r="Y331" i="3" a="1"/>
  <c r="Y331" i="3" s="1"/>
  <c r="V331" i="3"/>
  <c r="R331" i="3" a="1"/>
  <c r="R331" i="3"/>
  <c r="P331" i="3" a="1"/>
  <c r="P331" i="3"/>
  <c r="N331" i="3" a="1"/>
  <c r="N331" i="3"/>
  <c r="L331" i="3" a="1"/>
  <c r="L331" i="3"/>
  <c r="I331" i="3"/>
  <c r="E331" i="3" a="1"/>
  <c r="E331" i="3" s="1"/>
  <c r="C331" i="3" a="1"/>
  <c r="C331" i="3" s="1"/>
  <c r="BF330" i="3"/>
  <c r="BE330" i="3"/>
  <c r="BD330" i="3"/>
  <c r="BC330" i="3"/>
  <c r="BB330" i="3"/>
  <c r="BA330" i="3"/>
  <c r="AZ330" i="3"/>
  <c r="AY330" i="3"/>
  <c r="AX330" i="3"/>
  <c r="AW330" i="3"/>
  <c r="AV330" i="3"/>
  <c r="AU330" i="3"/>
  <c r="AK330" i="3"/>
  <c r="AH330" i="3"/>
  <c r="AG330" i="3" a="1"/>
  <c r="AG330" i="3" s="1"/>
  <c r="AE330" i="3" a="1"/>
  <c r="AE330" i="3" s="1"/>
  <c r="AC330" i="3" a="1"/>
  <c r="AC330" i="3" s="1"/>
  <c r="AA330" i="3" a="1"/>
  <c r="AA330" i="3" s="1"/>
  <c r="Y330" i="3" a="1"/>
  <c r="Y330" i="3" s="1"/>
  <c r="V330" i="3"/>
  <c r="R330" i="3" a="1"/>
  <c r="R330" i="3"/>
  <c r="P330" i="3" a="1"/>
  <c r="P330" i="3"/>
  <c r="N330" i="3" a="1"/>
  <c r="N330" i="3"/>
  <c r="L330" i="3" a="1"/>
  <c r="L330" i="3"/>
  <c r="I330" i="3"/>
  <c r="E330" i="3" a="1"/>
  <c r="E330" i="3" s="1"/>
  <c r="C330" i="3" a="1"/>
  <c r="C330" i="3" s="1"/>
  <c r="BF329" i="3"/>
  <c r="BE329" i="3"/>
  <c r="BD329" i="3"/>
  <c r="BC329" i="3"/>
  <c r="BB329" i="3"/>
  <c r="BA329" i="3"/>
  <c r="AZ329" i="3"/>
  <c r="AY329" i="3"/>
  <c r="AX329" i="3"/>
  <c r="AW329" i="3"/>
  <c r="AV329" i="3"/>
  <c r="AU329" i="3"/>
  <c r="AK329" i="3"/>
  <c r="AH329" i="3"/>
  <c r="AG329" i="3" a="1"/>
  <c r="AG329" i="3" s="1"/>
  <c r="AE329" i="3" a="1"/>
  <c r="AE329" i="3" s="1"/>
  <c r="AC329" i="3" a="1"/>
  <c r="AC329" i="3" s="1"/>
  <c r="AA329" i="3" a="1"/>
  <c r="AA329" i="3" s="1"/>
  <c r="Y329" i="3" a="1"/>
  <c r="Y329" i="3" s="1"/>
  <c r="V329" i="3"/>
  <c r="R329" i="3" a="1"/>
  <c r="R329" i="3"/>
  <c r="P329" i="3" a="1"/>
  <c r="P329" i="3"/>
  <c r="N329" i="3" a="1"/>
  <c r="N329" i="3"/>
  <c r="L329" i="3" a="1"/>
  <c r="L329" i="3"/>
  <c r="I329" i="3"/>
  <c r="E329" i="3" a="1"/>
  <c r="E329" i="3" s="1"/>
  <c r="C329" i="3" a="1"/>
  <c r="C329" i="3" s="1"/>
  <c r="BF328" i="3"/>
  <c r="BE328" i="3"/>
  <c r="BD328" i="3"/>
  <c r="BC328" i="3"/>
  <c r="BB328" i="3"/>
  <c r="BA328" i="3"/>
  <c r="AZ328" i="3"/>
  <c r="AY328" i="3"/>
  <c r="AX328" i="3"/>
  <c r="AW328" i="3"/>
  <c r="AV328" i="3"/>
  <c r="AU328" i="3"/>
  <c r="AK328" i="3"/>
  <c r="AH328" i="3"/>
  <c r="AG328" i="3" a="1"/>
  <c r="AG328" i="3" s="1"/>
  <c r="AE328" i="3" a="1"/>
  <c r="AE328" i="3" s="1"/>
  <c r="AC328" i="3" a="1"/>
  <c r="AC328" i="3" s="1"/>
  <c r="AA328" i="3" a="1"/>
  <c r="AA328" i="3" s="1"/>
  <c r="Y328" i="3" a="1"/>
  <c r="Y328" i="3" s="1"/>
  <c r="V328" i="3"/>
  <c r="R328" i="3" a="1"/>
  <c r="R328" i="3"/>
  <c r="P328" i="3" a="1"/>
  <c r="P328" i="3"/>
  <c r="N328" i="3" a="1"/>
  <c r="N328" i="3"/>
  <c r="L328" i="3" a="1"/>
  <c r="L328" i="3"/>
  <c r="I328" i="3"/>
  <c r="E328" i="3" a="1"/>
  <c r="E328" i="3" s="1"/>
  <c r="C328" i="3" a="1"/>
  <c r="C328" i="3" s="1"/>
  <c r="BF327" i="3"/>
  <c r="BE327" i="3"/>
  <c r="BD327" i="3"/>
  <c r="BC327" i="3"/>
  <c r="BB327" i="3"/>
  <c r="BA327" i="3"/>
  <c r="AZ327" i="3"/>
  <c r="AY327" i="3"/>
  <c r="AX327" i="3"/>
  <c r="AW327" i="3"/>
  <c r="AV327" i="3"/>
  <c r="AU327" i="3"/>
  <c r="AK327" i="3"/>
  <c r="AH327" i="3"/>
  <c r="AG327" i="3" a="1"/>
  <c r="AG327" i="3" s="1"/>
  <c r="AE327" i="3" a="1"/>
  <c r="AE327" i="3" s="1"/>
  <c r="AC327" i="3" a="1"/>
  <c r="AC327" i="3" s="1"/>
  <c r="AA327" i="3" a="1"/>
  <c r="AA327" i="3" s="1"/>
  <c r="Y327" i="3" a="1"/>
  <c r="Y327" i="3" s="1"/>
  <c r="V327" i="3"/>
  <c r="R327" i="3" a="1"/>
  <c r="R327" i="3"/>
  <c r="P327" i="3" a="1"/>
  <c r="P327" i="3"/>
  <c r="N327" i="3" a="1"/>
  <c r="N327" i="3"/>
  <c r="L327" i="3" a="1"/>
  <c r="L327" i="3"/>
  <c r="I327" i="3"/>
  <c r="E327" i="3" a="1"/>
  <c r="E327" i="3" s="1"/>
  <c r="C327" i="3" a="1"/>
  <c r="C327" i="3" s="1"/>
  <c r="BF326" i="3"/>
  <c r="BE326" i="3"/>
  <c r="BD326" i="3"/>
  <c r="BC326" i="3"/>
  <c r="BB326" i="3"/>
  <c r="BA326" i="3"/>
  <c r="AZ326" i="3"/>
  <c r="AY326" i="3"/>
  <c r="AX326" i="3"/>
  <c r="AW326" i="3"/>
  <c r="AV326" i="3"/>
  <c r="AU326" i="3"/>
  <c r="AK326" i="3"/>
  <c r="AH326" i="3"/>
  <c r="AG326" i="3" a="1"/>
  <c r="AG326" i="3" s="1"/>
  <c r="AE326" i="3" a="1"/>
  <c r="AE326" i="3" s="1"/>
  <c r="AC326" i="3" a="1"/>
  <c r="AC326" i="3" s="1"/>
  <c r="AA326" i="3" a="1"/>
  <c r="AA326" i="3" s="1"/>
  <c r="Y326" i="3" a="1"/>
  <c r="Y326" i="3" s="1"/>
  <c r="V326" i="3"/>
  <c r="R326" i="3" a="1"/>
  <c r="R326" i="3"/>
  <c r="P326" i="3" a="1"/>
  <c r="P326" i="3"/>
  <c r="N326" i="3" a="1"/>
  <c r="N326" i="3"/>
  <c r="L326" i="3" a="1"/>
  <c r="L326" i="3"/>
  <c r="I326" i="3"/>
  <c r="E326" i="3" a="1"/>
  <c r="E326" i="3" s="1"/>
  <c r="C326" i="3" a="1"/>
  <c r="C326" i="3" s="1"/>
  <c r="BF325" i="3"/>
  <c r="BE325" i="3"/>
  <c r="BD325" i="3"/>
  <c r="BC325" i="3"/>
  <c r="BB325" i="3"/>
  <c r="BA325" i="3"/>
  <c r="AZ325" i="3"/>
  <c r="AY325" i="3"/>
  <c r="AX325" i="3"/>
  <c r="AW325" i="3"/>
  <c r="AV325" i="3"/>
  <c r="AU325" i="3"/>
  <c r="AK325" i="3"/>
  <c r="AH325" i="3"/>
  <c r="AG325" i="3" a="1"/>
  <c r="AG325" i="3" s="1"/>
  <c r="AE325" i="3" a="1"/>
  <c r="AE325" i="3" s="1"/>
  <c r="AC325" i="3" a="1"/>
  <c r="AC325" i="3" s="1"/>
  <c r="AA325" i="3" a="1"/>
  <c r="AA325" i="3" s="1"/>
  <c r="Y325" i="3" a="1"/>
  <c r="Y325" i="3" s="1"/>
  <c r="V325" i="3"/>
  <c r="R325" i="3" a="1"/>
  <c r="R325" i="3"/>
  <c r="P325" i="3" a="1"/>
  <c r="P325" i="3"/>
  <c r="N325" i="3" a="1"/>
  <c r="N325" i="3"/>
  <c r="L325" i="3" a="1"/>
  <c r="L325" i="3"/>
  <c r="I325" i="3"/>
  <c r="E325" i="3" a="1"/>
  <c r="E325" i="3" s="1"/>
  <c r="C325" i="3" a="1"/>
  <c r="C325" i="3" s="1"/>
  <c r="BF324" i="3"/>
  <c r="BE324" i="3"/>
  <c r="BD324" i="3"/>
  <c r="BC324" i="3"/>
  <c r="BB324" i="3"/>
  <c r="BA324" i="3"/>
  <c r="AZ324" i="3"/>
  <c r="AY324" i="3"/>
  <c r="AX324" i="3"/>
  <c r="AW324" i="3"/>
  <c r="AV324" i="3"/>
  <c r="AU324" i="3"/>
  <c r="AK324" i="3"/>
  <c r="AH324" i="3"/>
  <c r="AG324" i="3" a="1"/>
  <c r="AG324" i="3" s="1"/>
  <c r="AE324" i="3" a="1"/>
  <c r="AE324" i="3" s="1"/>
  <c r="AC324" i="3" a="1"/>
  <c r="AC324" i="3" s="1"/>
  <c r="AA324" i="3" a="1"/>
  <c r="AA324" i="3" s="1"/>
  <c r="Y324" i="3" a="1"/>
  <c r="Y324" i="3" s="1"/>
  <c r="V324" i="3"/>
  <c r="R324" i="3" a="1"/>
  <c r="R324" i="3"/>
  <c r="P324" i="3" a="1"/>
  <c r="P324" i="3"/>
  <c r="N324" i="3" a="1"/>
  <c r="N324" i="3"/>
  <c r="L324" i="3" a="1"/>
  <c r="L324" i="3"/>
  <c r="I324" i="3"/>
  <c r="E324" i="3" a="1"/>
  <c r="E324" i="3" s="1"/>
  <c r="C324" i="3" a="1"/>
  <c r="C324" i="3" s="1"/>
  <c r="BF323" i="3"/>
  <c r="BE323" i="3"/>
  <c r="BD323" i="3"/>
  <c r="BC323" i="3"/>
  <c r="BB323" i="3"/>
  <c r="BA323" i="3"/>
  <c r="AZ323" i="3"/>
  <c r="AY323" i="3"/>
  <c r="AX323" i="3"/>
  <c r="AW323" i="3"/>
  <c r="AV323" i="3"/>
  <c r="AU323" i="3"/>
  <c r="AK323" i="3"/>
  <c r="AH323" i="3"/>
  <c r="AG323" i="3" a="1"/>
  <c r="AG323" i="3" s="1"/>
  <c r="AE323" i="3" a="1"/>
  <c r="AE323" i="3" s="1"/>
  <c r="AC323" i="3" a="1"/>
  <c r="AC323" i="3" s="1"/>
  <c r="AA323" i="3" a="1"/>
  <c r="AA323" i="3" s="1"/>
  <c r="Y323" i="3" a="1"/>
  <c r="Y323" i="3" s="1"/>
  <c r="V323" i="3"/>
  <c r="R323" i="3" a="1"/>
  <c r="R323" i="3"/>
  <c r="P323" i="3" a="1"/>
  <c r="P323" i="3"/>
  <c r="N323" i="3" a="1"/>
  <c r="N323" i="3"/>
  <c r="L323" i="3" a="1"/>
  <c r="L323" i="3"/>
  <c r="I323" i="3"/>
  <c r="E323" i="3" a="1"/>
  <c r="E323" i="3" s="1"/>
  <c r="C323" i="3" a="1"/>
  <c r="C323" i="3" s="1"/>
  <c r="BF322" i="3"/>
  <c r="BE322" i="3"/>
  <c r="BD322" i="3"/>
  <c r="BC322" i="3"/>
  <c r="BB322" i="3"/>
  <c r="BA322" i="3"/>
  <c r="AZ322" i="3"/>
  <c r="AY322" i="3"/>
  <c r="AX322" i="3"/>
  <c r="AW322" i="3"/>
  <c r="AV322" i="3"/>
  <c r="AU322" i="3"/>
  <c r="AK322" i="3"/>
  <c r="AH322" i="3"/>
  <c r="AG322" i="3" a="1"/>
  <c r="AG322" i="3" s="1"/>
  <c r="AE322" i="3" a="1"/>
  <c r="AE322" i="3" s="1"/>
  <c r="AC322" i="3" a="1"/>
  <c r="AC322" i="3" s="1"/>
  <c r="AA322" i="3" a="1"/>
  <c r="AA322" i="3" s="1"/>
  <c r="Y322" i="3" a="1"/>
  <c r="Y322" i="3" s="1"/>
  <c r="V322" i="3"/>
  <c r="R322" i="3" a="1"/>
  <c r="R322" i="3"/>
  <c r="P322" i="3" a="1"/>
  <c r="P322" i="3"/>
  <c r="N322" i="3" a="1"/>
  <c r="N322" i="3"/>
  <c r="L322" i="3" a="1"/>
  <c r="L322" i="3"/>
  <c r="I322" i="3"/>
  <c r="E322" i="3" a="1"/>
  <c r="E322" i="3" s="1"/>
  <c r="C322" i="3" a="1"/>
  <c r="C322" i="3" s="1"/>
  <c r="BF321" i="3"/>
  <c r="BE321" i="3"/>
  <c r="BD321" i="3"/>
  <c r="BC321" i="3"/>
  <c r="BB321" i="3"/>
  <c r="BA321" i="3"/>
  <c r="AZ321" i="3"/>
  <c r="AY321" i="3"/>
  <c r="AX321" i="3"/>
  <c r="AW321" i="3"/>
  <c r="AV321" i="3"/>
  <c r="AU321" i="3"/>
  <c r="AK321" i="3"/>
  <c r="AH321" i="3"/>
  <c r="AG321" i="3" a="1"/>
  <c r="AG321" i="3" s="1"/>
  <c r="AE321" i="3" a="1"/>
  <c r="AE321" i="3" s="1"/>
  <c r="AC321" i="3" a="1"/>
  <c r="AC321" i="3" s="1"/>
  <c r="AA321" i="3" a="1"/>
  <c r="AA321" i="3" s="1"/>
  <c r="Y321" i="3" a="1"/>
  <c r="Y321" i="3" s="1"/>
  <c r="V321" i="3"/>
  <c r="R321" i="3" a="1"/>
  <c r="R321" i="3"/>
  <c r="P321" i="3" a="1"/>
  <c r="P321" i="3"/>
  <c r="N321" i="3" a="1"/>
  <c r="N321" i="3"/>
  <c r="L321" i="3" a="1"/>
  <c r="L321" i="3"/>
  <c r="I321" i="3"/>
  <c r="E321" i="3" a="1"/>
  <c r="E321" i="3" s="1"/>
  <c r="C321" i="3" a="1"/>
  <c r="C321" i="3" s="1"/>
  <c r="BF320" i="3"/>
  <c r="BE320" i="3"/>
  <c r="BD320" i="3"/>
  <c r="BC320" i="3"/>
  <c r="BB320" i="3"/>
  <c r="BA320" i="3"/>
  <c r="AZ320" i="3"/>
  <c r="AY320" i="3"/>
  <c r="AX320" i="3"/>
  <c r="AW320" i="3"/>
  <c r="AV320" i="3"/>
  <c r="AU320" i="3"/>
  <c r="AK320" i="3"/>
  <c r="AH320" i="3"/>
  <c r="AG320" i="3" a="1"/>
  <c r="AG320" i="3" s="1"/>
  <c r="AE320" i="3" a="1"/>
  <c r="AE320" i="3" s="1"/>
  <c r="AC320" i="3" a="1"/>
  <c r="AC320" i="3" s="1"/>
  <c r="AA320" i="3" a="1"/>
  <c r="AA320" i="3" s="1"/>
  <c r="Y320" i="3" a="1"/>
  <c r="Y320" i="3" s="1"/>
  <c r="V320" i="3"/>
  <c r="R320" i="3" a="1"/>
  <c r="R320" i="3"/>
  <c r="P320" i="3" a="1"/>
  <c r="P320" i="3"/>
  <c r="N320" i="3" a="1"/>
  <c r="N320" i="3"/>
  <c r="L320" i="3" a="1"/>
  <c r="L320" i="3"/>
  <c r="I320" i="3"/>
  <c r="E320" i="3" a="1"/>
  <c r="E320" i="3" s="1"/>
  <c r="C320" i="3" a="1"/>
  <c r="C320" i="3" s="1"/>
  <c r="BF319" i="3"/>
  <c r="BE319" i="3"/>
  <c r="BD319" i="3"/>
  <c r="BC319" i="3"/>
  <c r="BB319" i="3"/>
  <c r="BA319" i="3"/>
  <c r="AZ319" i="3"/>
  <c r="AY319" i="3"/>
  <c r="AX319" i="3"/>
  <c r="AW319" i="3"/>
  <c r="AV319" i="3"/>
  <c r="AU319" i="3"/>
  <c r="AK319" i="3"/>
  <c r="AH319" i="3"/>
  <c r="AG319" i="3" a="1"/>
  <c r="AG319" i="3" s="1"/>
  <c r="AE319" i="3" a="1"/>
  <c r="AE319" i="3" s="1"/>
  <c r="AC319" i="3" a="1"/>
  <c r="AC319" i="3" s="1"/>
  <c r="AA319" i="3" a="1"/>
  <c r="AA319" i="3" s="1"/>
  <c r="Y319" i="3" a="1"/>
  <c r="Y319" i="3" s="1"/>
  <c r="V319" i="3"/>
  <c r="R319" i="3" a="1"/>
  <c r="R319" i="3"/>
  <c r="P319" i="3" a="1"/>
  <c r="P319" i="3"/>
  <c r="N319" i="3" a="1"/>
  <c r="N319" i="3"/>
  <c r="L319" i="3" a="1"/>
  <c r="L319" i="3"/>
  <c r="I319" i="3"/>
  <c r="E319" i="3" a="1"/>
  <c r="E319" i="3" s="1"/>
  <c r="C319" i="3" a="1"/>
  <c r="C319" i="3" s="1"/>
  <c r="BF318" i="3"/>
  <c r="BE318" i="3"/>
  <c r="BD318" i="3"/>
  <c r="BC318" i="3"/>
  <c r="BB318" i="3"/>
  <c r="BA318" i="3"/>
  <c r="AZ318" i="3"/>
  <c r="AY318" i="3"/>
  <c r="AX318" i="3"/>
  <c r="AW318" i="3"/>
  <c r="AV318" i="3"/>
  <c r="AU318" i="3"/>
  <c r="AK318" i="3"/>
  <c r="AH318" i="3"/>
  <c r="AG318" i="3" a="1"/>
  <c r="AG318" i="3" s="1"/>
  <c r="AE318" i="3" a="1"/>
  <c r="AE318" i="3" s="1"/>
  <c r="AC318" i="3" a="1"/>
  <c r="AC318" i="3" s="1"/>
  <c r="AA318" i="3" a="1"/>
  <c r="AA318" i="3" s="1"/>
  <c r="Y318" i="3" a="1"/>
  <c r="Y318" i="3" s="1"/>
  <c r="V318" i="3"/>
  <c r="R318" i="3" a="1"/>
  <c r="R318" i="3"/>
  <c r="P318" i="3" a="1"/>
  <c r="P318" i="3"/>
  <c r="N318" i="3" a="1"/>
  <c r="N318" i="3"/>
  <c r="L318" i="3" a="1"/>
  <c r="L318" i="3"/>
  <c r="I318" i="3"/>
  <c r="E318" i="3" a="1"/>
  <c r="E318" i="3" s="1"/>
  <c r="C318" i="3" a="1"/>
  <c r="C318" i="3" s="1"/>
  <c r="BF317" i="3"/>
  <c r="BE317" i="3"/>
  <c r="BD317" i="3"/>
  <c r="BC317" i="3"/>
  <c r="BB317" i="3"/>
  <c r="BA317" i="3"/>
  <c r="AZ317" i="3"/>
  <c r="AY317" i="3"/>
  <c r="AX317" i="3"/>
  <c r="AW317" i="3"/>
  <c r="AV317" i="3"/>
  <c r="AU317" i="3"/>
  <c r="AK317" i="3"/>
  <c r="AH317" i="3"/>
  <c r="AG317" i="3" a="1"/>
  <c r="AG317" i="3" s="1"/>
  <c r="AE317" i="3" a="1"/>
  <c r="AE317" i="3" s="1"/>
  <c r="AC317" i="3" a="1"/>
  <c r="AC317" i="3" s="1"/>
  <c r="AA317" i="3" a="1"/>
  <c r="AA317" i="3" s="1"/>
  <c r="Y317" i="3" a="1"/>
  <c r="Y317" i="3" s="1"/>
  <c r="V317" i="3"/>
  <c r="R317" i="3" a="1"/>
  <c r="R317" i="3"/>
  <c r="P317" i="3" a="1"/>
  <c r="P317" i="3"/>
  <c r="N317" i="3" a="1"/>
  <c r="N317" i="3"/>
  <c r="L317" i="3" a="1"/>
  <c r="L317" i="3"/>
  <c r="I317" i="3"/>
  <c r="E317" i="3" a="1"/>
  <c r="E317" i="3" s="1"/>
  <c r="C317" i="3" a="1"/>
  <c r="C317" i="3" s="1"/>
  <c r="BF316" i="3"/>
  <c r="BE316" i="3"/>
  <c r="BD316" i="3"/>
  <c r="BC316" i="3"/>
  <c r="BB316" i="3"/>
  <c r="BA316" i="3"/>
  <c r="AZ316" i="3"/>
  <c r="AY316" i="3"/>
  <c r="AX316" i="3"/>
  <c r="AW316" i="3"/>
  <c r="AV316" i="3"/>
  <c r="AU316" i="3"/>
  <c r="AK316" i="3"/>
  <c r="AH316" i="3"/>
  <c r="AG316" i="3" a="1"/>
  <c r="AG316" i="3" s="1"/>
  <c r="AE316" i="3" a="1"/>
  <c r="AE316" i="3" s="1"/>
  <c r="AC316" i="3" a="1"/>
  <c r="AC316" i="3" s="1"/>
  <c r="AA316" i="3" a="1"/>
  <c r="AA316" i="3" s="1"/>
  <c r="Y316" i="3" a="1"/>
  <c r="Y316" i="3" s="1"/>
  <c r="V316" i="3"/>
  <c r="R316" i="3" a="1"/>
  <c r="R316" i="3"/>
  <c r="P316" i="3" a="1"/>
  <c r="P316" i="3"/>
  <c r="N316" i="3" a="1"/>
  <c r="N316" i="3"/>
  <c r="L316" i="3" a="1"/>
  <c r="L316" i="3"/>
  <c r="I316" i="3"/>
  <c r="E316" i="3" a="1"/>
  <c r="E316" i="3" s="1"/>
  <c r="C316" i="3" a="1"/>
  <c r="C316" i="3" s="1"/>
  <c r="BF315" i="3"/>
  <c r="BE315" i="3"/>
  <c r="BD315" i="3"/>
  <c r="BC315" i="3"/>
  <c r="BB315" i="3"/>
  <c r="BA315" i="3"/>
  <c r="AZ315" i="3"/>
  <c r="AY315" i="3"/>
  <c r="AX315" i="3"/>
  <c r="AW315" i="3"/>
  <c r="AV315" i="3"/>
  <c r="AU315" i="3"/>
  <c r="AK315" i="3"/>
  <c r="AH315" i="3"/>
  <c r="AG315" i="3" a="1"/>
  <c r="AG315" i="3" s="1"/>
  <c r="AE315" i="3" a="1"/>
  <c r="AE315" i="3" s="1"/>
  <c r="AC315" i="3" a="1"/>
  <c r="AC315" i="3" s="1"/>
  <c r="AA315" i="3" a="1"/>
  <c r="AA315" i="3" s="1"/>
  <c r="Y315" i="3" a="1"/>
  <c r="Y315" i="3" s="1"/>
  <c r="V315" i="3"/>
  <c r="R315" i="3" a="1"/>
  <c r="R315" i="3"/>
  <c r="P315" i="3" a="1"/>
  <c r="P315" i="3"/>
  <c r="N315" i="3" a="1"/>
  <c r="N315" i="3"/>
  <c r="L315" i="3" a="1"/>
  <c r="L315" i="3"/>
  <c r="I315" i="3"/>
  <c r="E315" i="3" a="1"/>
  <c r="E315" i="3" s="1"/>
  <c r="C315" i="3" a="1"/>
  <c r="C315" i="3" s="1"/>
  <c r="BF314" i="3"/>
  <c r="BE314" i="3"/>
  <c r="BD314" i="3"/>
  <c r="BC314" i="3"/>
  <c r="BB314" i="3"/>
  <c r="BA314" i="3"/>
  <c r="AZ314" i="3"/>
  <c r="AY314" i="3"/>
  <c r="AX314" i="3"/>
  <c r="AW314" i="3"/>
  <c r="AV314" i="3"/>
  <c r="AU314" i="3"/>
  <c r="AK314" i="3"/>
  <c r="AH314" i="3"/>
  <c r="AG314" i="3" a="1"/>
  <c r="AG314" i="3" s="1"/>
  <c r="AE314" i="3" a="1"/>
  <c r="AE314" i="3" s="1"/>
  <c r="AC314" i="3" a="1"/>
  <c r="AC314" i="3" s="1"/>
  <c r="AA314" i="3" a="1"/>
  <c r="AA314" i="3" s="1"/>
  <c r="Y314" i="3" a="1"/>
  <c r="Y314" i="3" s="1"/>
  <c r="V314" i="3"/>
  <c r="R314" i="3" a="1"/>
  <c r="R314" i="3"/>
  <c r="P314" i="3" a="1"/>
  <c r="P314" i="3"/>
  <c r="N314" i="3" a="1"/>
  <c r="N314" i="3"/>
  <c r="L314" i="3" a="1"/>
  <c r="L314" i="3"/>
  <c r="I314" i="3"/>
  <c r="E314" i="3" a="1"/>
  <c r="E314" i="3" s="1"/>
  <c r="C314" i="3" a="1"/>
  <c r="C314" i="3" s="1"/>
  <c r="BF313" i="3"/>
  <c r="BE313" i="3"/>
  <c r="BD313" i="3"/>
  <c r="BC313" i="3"/>
  <c r="BB313" i="3"/>
  <c r="BA313" i="3"/>
  <c r="AZ313" i="3"/>
  <c r="AY313" i="3"/>
  <c r="AX313" i="3"/>
  <c r="AW313" i="3"/>
  <c r="AV313" i="3"/>
  <c r="AU313" i="3"/>
  <c r="AK313" i="3"/>
  <c r="AH313" i="3"/>
  <c r="AG313" i="3" a="1"/>
  <c r="AG313" i="3" s="1"/>
  <c r="AE313" i="3" a="1"/>
  <c r="AE313" i="3" s="1"/>
  <c r="AC313" i="3" a="1"/>
  <c r="AC313" i="3" s="1"/>
  <c r="AA313" i="3" a="1"/>
  <c r="AA313" i="3" s="1"/>
  <c r="Y313" i="3" a="1"/>
  <c r="Y313" i="3" s="1"/>
  <c r="V313" i="3"/>
  <c r="R313" i="3" a="1"/>
  <c r="R313" i="3"/>
  <c r="P313" i="3" a="1"/>
  <c r="P313" i="3"/>
  <c r="N313" i="3" a="1"/>
  <c r="N313" i="3"/>
  <c r="L313" i="3" a="1"/>
  <c r="L313" i="3"/>
  <c r="I313" i="3"/>
  <c r="E313" i="3" a="1"/>
  <c r="E313" i="3" s="1"/>
  <c r="C313" i="3" a="1"/>
  <c r="C313" i="3" s="1"/>
  <c r="BF312" i="3"/>
  <c r="BE312" i="3"/>
  <c r="BD312" i="3"/>
  <c r="BC312" i="3"/>
  <c r="BB312" i="3"/>
  <c r="BA312" i="3"/>
  <c r="AZ312" i="3"/>
  <c r="AY312" i="3"/>
  <c r="AX312" i="3"/>
  <c r="AW312" i="3"/>
  <c r="AV312" i="3"/>
  <c r="AU312" i="3"/>
  <c r="AK312" i="3"/>
  <c r="AH312" i="3"/>
  <c r="AG312" i="3" a="1"/>
  <c r="AG312" i="3" s="1"/>
  <c r="AE312" i="3" a="1"/>
  <c r="AE312" i="3" s="1"/>
  <c r="AC312" i="3" a="1"/>
  <c r="AC312" i="3" s="1"/>
  <c r="AA312" i="3" a="1"/>
  <c r="AA312" i="3" s="1"/>
  <c r="Y312" i="3" a="1"/>
  <c r="Y312" i="3" s="1"/>
  <c r="V312" i="3"/>
  <c r="R312" i="3" a="1"/>
  <c r="R312" i="3"/>
  <c r="P312" i="3" a="1"/>
  <c r="P312" i="3"/>
  <c r="N312" i="3" a="1"/>
  <c r="N312" i="3"/>
  <c r="L312" i="3" a="1"/>
  <c r="L312" i="3"/>
  <c r="I312" i="3"/>
  <c r="E312" i="3" a="1"/>
  <c r="E312" i="3" s="1"/>
  <c r="C312" i="3" a="1"/>
  <c r="C312" i="3" s="1"/>
  <c r="BF311" i="3"/>
  <c r="BE311" i="3"/>
  <c r="BD311" i="3"/>
  <c r="BC311" i="3"/>
  <c r="BB311" i="3"/>
  <c r="BA311" i="3"/>
  <c r="AZ311" i="3"/>
  <c r="AY311" i="3"/>
  <c r="AX311" i="3"/>
  <c r="AW311" i="3"/>
  <c r="AV311" i="3"/>
  <c r="AU311" i="3"/>
  <c r="AK311" i="3"/>
  <c r="AH311" i="3"/>
  <c r="AG311" i="3" a="1"/>
  <c r="AG311" i="3" s="1"/>
  <c r="AE311" i="3" a="1"/>
  <c r="AE311" i="3" s="1"/>
  <c r="AC311" i="3" a="1"/>
  <c r="AC311" i="3" s="1"/>
  <c r="AA311" i="3" a="1"/>
  <c r="AA311" i="3" s="1"/>
  <c r="Y311" i="3" a="1"/>
  <c r="Y311" i="3" s="1"/>
  <c r="V311" i="3"/>
  <c r="R311" i="3" a="1"/>
  <c r="R311" i="3"/>
  <c r="P311" i="3" a="1"/>
  <c r="P311" i="3"/>
  <c r="N311" i="3" a="1"/>
  <c r="N311" i="3"/>
  <c r="L311" i="3" a="1"/>
  <c r="L311" i="3"/>
  <c r="I311" i="3"/>
  <c r="E311" i="3" a="1"/>
  <c r="E311" i="3" s="1"/>
  <c r="C311" i="3" a="1"/>
  <c r="C311" i="3" s="1"/>
  <c r="BF310" i="3"/>
  <c r="BE310" i="3"/>
  <c r="BD310" i="3"/>
  <c r="BC310" i="3"/>
  <c r="BB310" i="3"/>
  <c r="BA310" i="3"/>
  <c r="AZ310" i="3"/>
  <c r="AY310" i="3"/>
  <c r="AX310" i="3"/>
  <c r="AW310" i="3"/>
  <c r="AV310" i="3"/>
  <c r="AU310" i="3"/>
  <c r="AK310" i="3"/>
  <c r="AH310" i="3"/>
  <c r="AG310" i="3" a="1"/>
  <c r="AG310" i="3" s="1"/>
  <c r="AE310" i="3" a="1"/>
  <c r="AE310" i="3" s="1"/>
  <c r="AC310" i="3" a="1"/>
  <c r="AC310" i="3" s="1"/>
  <c r="AA310" i="3" a="1"/>
  <c r="AA310" i="3" s="1"/>
  <c r="Y310" i="3" a="1"/>
  <c r="Y310" i="3" s="1"/>
  <c r="V310" i="3"/>
  <c r="R310" i="3" a="1"/>
  <c r="R310" i="3"/>
  <c r="P310" i="3" a="1"/>
  <c r="P310" i="3"/>
  <c r="N310" i="3" a="1"/>
  <c r="N310" i="3"/>
  <c r="L310" i="3" a="1"/>
  <c r="L310" i="3"/>
  <c r="I310" i="3"/>
  <c r="E310" i="3" a="1"/>
  <c r="E310" i="3" s="1"/>
  <c r="C310" i="3" a="1"/>
  <c r="C310" i="3" s="1"/>
  <c r="BF309" i="3"/>
  <c r="BE309" i="3"/>
  <c r="BD309" i="3"/>
  <c r="BC309" i="3"/>
  <c r="BB309" i="3"/>
  <c r="BA309" i="3"/>
  <c r="AZ309" i="3"/>
  <c r="AY309" i="3"/>
  <c r="AX309" i="3"/>
  <c r="AW309" i="3"/>
  <c r="AV309" i="3"/>
  <c r="AU309" i="3"/>
  <c r="AK309" i="3"/>
  <c r="AH309" i="3"/>
  <c r="AG309" i="3" a="1"/>
  <c r="AG309" i="3" s="1"/>
  <c r="AE309" i="3" a="1"/>
  <c r="AE309" i="3" s="1"/>
  <c r="AC309" i="3" a="1"/>
  <c r="AC309" i="3" s="1"/>
  <c r="AA309" i="3" a="1"/>
  <c r="AA309" i="3" s="1"/>
  <c r="Y309" i="3" a="1"/>
  <c r="Y309" i="3" s="1"/>
  <c r="V309" i="3"/>
  <c r="R309" i="3" a="1"/>
  <c r="R309" i="3"/>
  <c r="P309" i="3" a="1"/>
  <c r="P309" i="3"/>
  <c r="N309" i="3" a="1"/>
  <c r="N309" i="3"/>
  <c r="L309" i="3" a="1"/>
  <c r="L309" i="3"/>
  <c r="I309" i="3"/>
  <c r="E309" i="3" a="1"/>
  <c r="E309" i="3" s="1"/>
  <c r="C309" i="3" a="1"/>
  <c r="C309" i="3" s="1"/>
  <c r="BF308" i="3"/>
  <c r="BE308" i="3"/>
  <c r="BD308" i="3"/>
  <c r="BC308" i="3"/>
  <c r="BB308" i="3"/>
  <c r="BA308" i="3"/>
  <c r="AZ308" i="3"/>
  <c r="AY308" i="3"/>
  <c r="AX308" i="3"/>
  <c r="AW308" i="3"/>
  <c r="AV308" i="3"/>
  <c r="AU308" i="3"/>
  <c r="AK308" i="3"/>
  <c r="AH308" i="3"/>
  <c r="AG308" i="3" a="1"/>
  <c r="AG308" i="3" s="1"/>
  <c r="AE308" i="3" a="1"/>
  <c r="AE308" i="3" s="1"/>
  <c r="AC308" i="3" a="1"/>
  <c r="AC308" i="3" s="1"/>
  <c r="AA308" i="3" a="1"/>
  <c r="AA308" i="3" s="1"/>
  <c r="Y308" i="3" a="1"/>
  <c r="Y308" i="3" s="1"/>
  <c r="V308" i="3"/>
  <c r="R308" i="3" a="1"/>
  <c r="R308" i="3"/>
  <c r="P308" i="3" a="1"/>
  <c r="P308" i="3"/>
  <c r="N308" i="3" a="1"/>
  <c r="N308" i="3"/>
  <c r="L308" i="3" a="1"/>
  <c r="L308" i="3"/>
  <c r="I308" i="3"/>
  <c r="E308" i="3" a="1"/>
  <c r="E308" i="3" s="1"/>
  <c r="C308" i="3" a="1"/>
  <c r="C308" i="3" s="1"/>
  <c r="BF307" i="3"/>
  <c r="BE307" i="3"/>
  <c r="BD307" i="3"/>
  <c r="BC307" i="3"/>
  <c r="BB307" i="3"/>
  <c r="BA307" i="3"/>
  <c r="AZ307" i="3"/>
  <c r="AY307" i="3"/>
  <c r="AX307" i="3"/>
  <c r="AW307" i="3"/>
  <c r="AV307" i="3"/>
  <c r="AU307" i="3"/>
  <c r="AK307" i="3"/>
  <c r="AH307" i="3"/>
  <c r="AG307" i="3" a="1"/>
  <c r="AG307" i="3" s="1"/>
  <c r="AE307" i="3" a="1"/>
  <c r="AE307" i="3" s="1"/>
  <c r="AC307" i="3" a="1"/>
  <c r="AC307" i="3" s="1"/>
  <c r="AA307" i="3" a="1"/>
  <c r="AA307" i="3" s="1"/>
  <c r="Y307" i="3" a="1"/>
  <c r="Y307" i="3" s="1"/>
  <c r="V307" i="3"/>
  <c r="R307" i="3" a="1"/>
  <c r="R307" i="3"/>
  <c r="P307" i="3" a="1"/>
  <c r="P307" i="3"/>
  <c r="N307" i="3" a="1"/>
  <c r="N307" i="3"/>
  <c r="L307" i="3" a="1"/>
  <c r="L307" i="3"/>
  <c r="I307" i="3"/>
  <c r="E307" i="3" a="1"/>
  <c r="E307" i="3" s="1"/>
  <c r="C307" i="3" a="1"/>
  <c r="C307" i="3" s="1"/>
  <c r="BF306" i="3"/>
  <c r="BE306" i="3"/>
  <c r="BD306" i="3"/>
  <c r="BC306" i="3"/>
  <c r="BB306" i="3"/>
  <c r="BA306" i="3"/>
  <c r="AZ306" i="3"/>
  <c r="AY306" i="3"/>
  <c r="AX306" i="3"/>
  <c r="AW306" i="3"/>
  <c r="AV306" i="3"/>
  <c r="AU306" i="3"/>
  <c r="AK306" i="3"/>
  <c r="AH306" i="3"/>
  <c r="AG306" i="3" a="1"/>
  <c r="AG306" i="3" s="1"/>
  <c r="AE306" i="3" a="1"/>
  <c r="AE306" i="3" s="1"/>
  <c r="AC306" i="3" a="1"/>
  <c r="AC306" i="3" s="1"/>
  <c r="AA306" i="3" a="1"/>
  <c r="AA306" i="3" s="1"/>
  <c r="Y306" i="3" a="1"/>
  <c r="Y306" i="3" s="1"/>
  <c r="V306" i="3"/>
  <c r="R306" i="3" a="1"/>
  <c r="R306" i="3"/>
  <c r="P306" i="3" a="1"/>
  <c r="P306" i="3"/>
  <c r="N306" i="3" a="1"/>
  <c r="N306" i="3"/>
  <c r="L306" i="3" a="1"/>
  <c r="L306" i="3"/>
  <c r="I306" i="3"/>
  <c r="E306" i="3" a="1"/>
  <c r="E306" i="3" s="1"/>
  <c r="C306" i="3" a="1"/>
  <c r="C306" i="3" s="1"/>
  <c r="BF305" i="3"/>
  <c r="BE305" i="3"/>
  <c r="BD305" i="3"/>
  <c r="BC305" i="3"/>
  <c r="BB305" i="3"/>
  <c r="BA305" i="3"/>
  <c r="AZ305" i="3"/>
  <c r="AY305" i="3"/>
  <c r="AX305" i="3"/>
  <c r="AW305" i="3"/>
  <c r="AV305" i="3"/>
  <c r="AU305" i="3"/>
  <c r="AK305" i="3"/>
  <c r="AH305" i="3"/>
  <c r="AG305" i="3" a="1"/>
  <c r="AG305" i="3" s="1"/>
  <c r="AE305" i="3" a="1"/>
  <c r="AE305" i="3" s="1"/>
  <c r="AC305" i="3" a="1"/>
  <c r="AC305" i="3" s="1"/>
  <c r="AA305" i="3" a="1"/>
  <c r="AA305" i="3" s="1"/>
  <c r="Y305" i="3" a="1"/>
  <c r="Y305" i="3" s="1"/>
  <c r="V305" i="3"/>
  <c r="R305" i="3" a="1"/>
  <c r="R305" i="3"/>
  <c r="P305" i="3" a="1"/>
  <c r="P305" i="3"/>
  <c r="N305" i="3" a="1"/>
  <c r="N305" i="3"/>
  <c r="L305" i="3" a="1"/>
  <c r="L305" i="3"/>
  <c r="I305" i="3"/>
  <c r="E305" i="3" a="1"/>
  <c r="E305" i="3" s="1"/>
  <c r="C305" i="3" a="1"/>
  <c r="C305" i="3" s="1"/>
  <c r="BF304" i="3"/>
  <c r="BE304" i="3"/>
  <c r="BD304" i="3"/>
  <c r="BC304" i="3"/>
  <c r="BB304" i="3"/>
  <c r="BA304" i="3"/>
  <c r="AZ304" i="3"/>
  <c r="AY304" i="3"/>
  <c r="AX304" i="3"/>
  <c r="AW304" i="3"/>
  <c r="AV304" i="3"/>
  <c r="AU304" i="3"/>
  <c r="AK304" i="3"/>
  <c r="AH304" i="3"/>
  <c r="AG304" i="3" a="1"/>
  <c r="AG304" i="3" s="1"/>
  <c r="AE304" i="3" a="1"/>
  <c r="AE304" i="3" s="1"/>
  <c r="AC304" i="3" a="1"/>
  <c r="AC304" i="3" s="1"/>
  <c r="AA304" i="3" a="1"/>
  <c r="AA304" i="3" s="1"/>
  <c r="Y304" i="3" a="1"/>
  <c r="Y304" i="3" s="1"/>
  <c r="V304" i="3"/>
  <c r="R304" i="3" a="1"/>
  <c r="R304" i="3"/>
  <c r="P304" i="3" a="1"/>
  <c r="P304" i="3"/>
  <c r="N304" i="3" a="1"/>
  <c r="N304" i="3"/>
  <c r="L304" i="3" a="1"/>
  <c r="L304" i="3"/>
  <c r="I304" i="3"/>
  <c r="E304" i="3" a="1"/>
  <c r="E304" i="3" s="1"/>
  <c r="C304" i="3" a="1"/>
  <c r="C304" i="3" s="1"/>
  <c r="BF303" i="3"/>
  <c r="BE303" i="3"/>
  <c r="BD303" i="3"/>
  <c r="BC303" i="3"/>
  <c r="BB303" i="3"/>
  <c r="BA303" i="3"/>
  <c r="AZ303" i="3"/>
  <c r="AY303" i="3"/>
  <c r="AX303" i="3"/>
  <c r="AW303" i="3"/>
  <c r="AV303" i="3"/>
  <c r="AU303" i="3"/>
  <c r="AK303" i="3"/>
  <c r="AH303" i="3"/>
  <c r="AG303" i="3" a="1"/>
  <c r="AG303" i="3" s="1"/>
  <c r="AE303" i="3" a="1"/>
  <c r="AE303" i="3" s="1"/>
  <c r="AC303" i="3" a="1"/>
  <c r="AC303" i="3" s="1"/>
  <c r="AA303" i="3" a="1"/>
  <c r="AA303" i="3" s="1"/>
  <c r="Y303" i="3" a="1"/>
  <c r="Y303" i="3" s="1"/>
  <c r="V303" i="3"/>
  <c r="R303" i="3" a="1"/>
  <c r="R303" i="3"/>
  <c r="P303" i="3" a="1"/>
  <c r="P303" i="3"/>
  <c r="N303" i="3" a="1"/>
  <c r="N303" i="3"/>
  <c r="L303" i="3" a="1"/>
  <c r="L303" i="3"/>
  <c r="I303" i="3"/>
  <c r="E303" i="3" a="1"/>
  <c r="E303" i="3" s="1"/>
  <c r="C303" i="3" a="1"/>
  <c r="C303" i="3" s="1"/>
  <c r="BF302" i="3"/>
  <c r="BE302" i="3"/>
  <c r="BD302" i="3"/>
  <c r="BC302" i="3"/>
  <c r="BB302" i="3"/>
  <c r="BA302" i="3"/>
  <c r="AZ302" i="3"/>
  <c r="AY302" i="3"/>
  <c r="AX302" i="3"/>
  <c r="AW302" i="3"/>
  <c r="AV302" i="3"/>
  <c r="AU302" i="3"/>
  <c r="AK302" i="3"/>
  <c r="AH302" i="3"/>
  <c r="AG302" i="3" a="1"/>
  <c r="AG302" i="3" s="1"/>
  <c r="AE302" i="3" a="1"/>
  <c r="AE302" i="3" s="1"/>
  <c r="AC302" i="3" a="1"/>
  <c r="AC302" i="3" s="1"/>
  <c r="AA302" i="3" a="1"/>
  <c r="AA302" i="3" s="1"/>
  <c r="Y302" i="3" a="1"/>
  <c r="Y302" i="3" s="1"/>
  <c r="V302" i="3"/>
  <c r="R302" i="3" a="1"/>
  <c r="R302" i="3"/>
  <c r="P302" i="3" a="1"/>
  <c r="P302" i="3"/>
  <c r="N302" i="3" a="1"/>
  <c r="N302" i="3"/>
  <c r="L302" i="3" a="1"/>
  <c r="L302" i="3"/>
  <c r="I302" i="3"/>
  <c r="E302" i="3" a="1"/>
  <c r="E302" i="3" s="1"/>
  <c r="C302" i="3" a="1"/>
  <c r="C302" i="3" s="1"/>
  <c r="BF301" i="3"/>
  <c r="BE301" i="3"/>
  <c r="BD301" i="3"/>
  <c r="BC301" i="3"/>
  <c r="BB301" i="3"/>
  <c r="BA301" i="3"/>
  <c r="AZ301" i="3"/>
  <c r="AY301" i="3"/>
  <c r="AX301" i="3"/>
  <c r="AW301" i="3"/>
  <c r="AV301" i="3"/>
  <c r="AU301" i="3"/>
  <c r="AK301" i="3"/>
  <c r="AH301" i="3"/>
  <c r="AG301" i="3" a="1"/>
  <c r="AG301" i="3" s="1"/>
  <c r="AE301" i="3" a="1"/>
  <c r="AE301" i="3" s="1"/>
  <c r="AC301" i="3" a="1"/>
  <c r="AC301" i="3" s="1"/>
  <c r="AA301" i="3" a="1"/>
  <c r="AA301" i="3" s="1"/>
  <c r="Y301" i="3" a="1"/>
  <c r="Y301" i="3" s="1"/>
  <c r="V301" i="3"/>
  <c r="R301" i="3" a="1"/>
  <c r="R301" i="3"/>
  <c r="P301" i="3" a="1"/>
  <c r="P301" i="3"/>
  <c r="N301" i="3" a="1"/>
  <c r="N301" i="3"/>
  <c r="L301" i="3" a="1"/>
  <c r="L301" i="3"/>
  <c r="I301" i="3"/>
  <c r="E301" i="3" a="1"/>
  <c r="E301" i="3" s="1"/>
  <c r="C301" i="3" a="1"/>
  <c r="C301" i="3" s="1"/>
  <c r="BF300" i="3"/>
  <c r="BE300" i="3"/>
  <c r="BD300" i="3"/>
  <c r="BC300" i="3"/>
  <c r="BB300" i="3"/>
  <c r="BA300" i="3"/>
  <c r="AZ300" i="3"/>
  <c r="AY300" i="3"/>
  <c r="AX300" i="3"/>
  <c r="AW300" i="3"/>
  <c r="AV300" i="3"/>
  <c r="AU300" i="3"/>
  <c r="AK300" i="3"/>
  <c r="AH300" i="3"/>
  <c r="AG300" i="3" a="1"/>
  <c r="AG300" i="3" s="1"/>
  <c r="AE300" i="3" a="1"/>
  <c r="AE300" i="3" s="1"/>
  <c r="AC300" i="3" a="1"/>
  <c r="AC300" i="3" s="1"/>
  <c r="AA300" i="3" a="1"/>
  <c r="AA300" i="3" s="1"/>
  <c r="Y300" i="3" a="1"/>
  <c r="Y300" i="3" s="1"/>
  <c r="V300" i="3"/>
  <c r="R300" i="3" a="1"/>
  <c r="R300" i="3"/>
  <c r="P300" i="3" a="1"/>
  <c r="P300" i="3"/>
  <c r="N300" i="3" a="1"/>
  <c r="N300" i="3"/>
  <c r="L300" i="3" a="1"/>
  <c r="L300" i="3"/>
  <c r="I300" i="3"/>
  <c r="E300" i="3" a="1"/>
  <c r="E300" i="3" s="1"/>
  <c r="C300" i="3" a="1"/>
  <c r="C300" i="3" s="1"/>
  <c r="BF299" i="3"/>
  <c r="BE299" i="3"/>
  <c r="BD299" i="3"/>
  <c r="BC299" i="3"/>
  <c r="BB299" i="3"/>
  <c r="BA299" i="3"/>
  <c r="AZ299" i="3"/>
  <c r="AY299" i="3"/>
  <c r="AX299" i="3"/>
  <c r="AW299" i="3"/>
  <c r="AV299" i="3"/>
  <c r="AU299" i="3"/>
  <c r="AK299" i="3"/>
  <c r="AH299" i="3"/>
  <c r="AG299" i="3" a="1"/>
  <c r="AG299" i="3" s="1"/>
  <c r="AE299" i="3" a="1"/>
  <c r="AE299" i="3" s="1"/>
  <c r="AC299" i="3" a="1"/>
  <c r="AC299" i="3" s="1"/>
  <c r="AA299" i="3" a="1"/>
  <c r="AA299" i="3" s="1"/>
  <c r="Y299" i="3" a="1"/>
  <c r="Y299" i="3" s="1"/>
  <c r="V299" i="3"/>
  <c r="R299" i="3" a="1"/>
  <c r="R299" i="3"/>
  <c r="P299" i="3" a="1"/>
  <c r="P299" i="3"/>
  <c r="N299" i="3" a="1"/>
  <c r="N299" i="3"/>
  <c r="L299" i="3" a="1"/>
  <c r="L299" i="3"/>
  <c r="I299" i="3"/>
  <c r="E299" i="3" a="1"/>
  <c r="E299" i="3" s="1"/>
  <c r="C299" i="3" a="1"/>
  <c r="C299" i="3" s="1"/>
  <c r="BF298" i="3"/>
  <c r="BE298" i="3"/>
  <c r="BD298" i="3"/>
  <c r="BC298" i="3"/>
  <c r="BB298" i="3"/>
  <c r="BA298" i="3"/>
  <c r="AZ298" i="3"/>
  <c r="AY298" i="3"/>
  <c r="AX298" i="3"/>
  <c r="AW298" i="3"/>
  <c r="AV298" i="3"/>
  <c r="AU298" i="3"/>
  <c r="AK298" i="3"/>
  <c r="AH298" i="3"/>
  <c r="AG298" i="3" a="1"/>
  <c r="AG298" i="3" s="1"/>
  <c r="AE298" i="3" a="1"/>
  <c r="AE298" i="3" s="1"/>
  <c r="AC298" i="3" a="1"/>
  <c r="AC298" i="3" s="1"/>
  <c r="AA298" i="3" a="1"/>
  <c r="AA298" i="3" s="1"/>
  <c r="Y298" i="3" a="1"/>
  <c r="Y298" i="3" s="1"/>
  <c r="V298" i="3"/>
  <c r="R298" i="3" a="1"/>
  <c r="R298" i="3"/>
  <c r="P298" i="3" a="1"/>
  <c r="P298" i="3"/>
  <c r="N298" i="3" a="1"/>
  <c r="N298" i="3"/>
  <c r="L298" i="3" a="1"/>
  <c r="L298" i="3"/>
  <c r="I298" i="3"/>
  <c r="E298" i="3" a="1"/>
  <c r="E298" i="3" s="1"/>
  <c r="C298" i="3" a="1"/>
  <c r="C298" i="3" s="1"/>
  <c r="BF297" i="3"/>
  <c r="BE297" i="3"/>
  <c r="BD297" i="3"/>
  <c r="BC297" i="3"/>
  <c r="BB297" i="3"/>
  <c r="BA297" i="3"/>
  <c r="AZ297" i="3"/>
  <c r="AY297" i="3"/>
  <c r="AX297" i="3"/>
  <c r="AW297" i="3"/>
  <c r="AV297" i="3"/>
  <c r="AU297" i="3"/>
  <c r="AK297" i="3"/>
  <c r="AH297" i="3"/>
  <c r="AG297" i="3" a="1"/>
  <c r="AG297" i="3" s="1"/>
  <c r="AE297" i="3" a="1"/>
  <c r="AE297" i="3" s="1"/>
  <c r="AC297" i="3" a="1"/>
  <c r="AC297" i="3" s="1"/>
  <c r="AA297" i="3" a="1"/>
  <c r="AA297" i="3" s="1"/>
  <c r="Y297" i="3" a="1"/>
  <c r="Y297" i="3" s="1"/>
  <c r="V297" i="3"/>
  <c r="R297" i="3" a="1"/>
  <c r="R297" i="3"/>
  <c r="P297" i="3" a="1"/>
  <c r="P297" i="3"/>
  <c r="N297" i="3" a="1"/>
  <c r="N297" i="3"/>
  <c r="L297" i="3" a="1"/>
  <c r="L297" i="3"/>
  <c r="I297" i="3"/>
  <c r="E297" i="3" a="1"/>
  <c r="E297" i="3" s="1"/>
  <c r="C297" i="3" a="1"/>
  <c r="C297" i="3" s="1"/>
  <c r="BF296" i="3"/>
  <c r="BE296" i="3"/>
  <c r="BD296" i="3"/>
  <c r="BC296" i="3"/>
  <c r="BB296" i="3"/>
  <c r="BA296" i="3"/>
  <c r="AZ296" i="3"/>
  <c r="AY296" i="3"/>
  <c r="AX296" i="3"/>
  <c r="AW296" i="3"/>
  <c r="AV296" i="3"/>
  <c r="AU296" i="3"/>
  <c r="AK296" i="3"/>
  <c r="AH296" i="3"/>
  <c r="AG296" i="3" a="1"/>
  <c r="AG296" i="3" s="1"/>
  <c r="AE296" i="3" a="1"/>
  <c r="AE296" i="3" s="1"/>
  <c r="AC296" i="3" a="1"/>
  <c r="AC296" i="3" s="1"/>
  <c r="AA296" i="3" a="1"/>
  <c r="AA296" i="3" s="1"/>
  <c r="Y296" i="3" a="1"/>
  <c r="Y296" i="3" s="1"/>
  <c r="V296" i="3"/>
  <c r="R296" i="3" a="1"/>
  <c r="R296" i="3"/>
  <c r="P296" i="3" a="1"/>
  <c r="P296" i="3"/>
  <c r="N296" i="3" a="1"/>
  <c r="N296" i="3"/>
  <c r="L296" i="3" a="1"/>
  <c r="L296" i="3"/>
  <c r="I296" i="3"/>
  <c r="E296" i="3" a="1"/>
  <c r="E296" i="3" s="1"/>
  <c r="C296" i="3" a="1"/>
  <c r="C296" i="3" s="1"/>
  <c r="BF295" i="3"/>
  <c r="BE295" i="3"/>
  <c r="BD295" i="3"/>
  <c r="BC295" i="3"/>
  <c r="BB295" i="3"/>
  <c r="BA295" i="3"/>
  <c r="AZ295" i="3"/>
  <c r="AY295" i="3"/>
  <c r="AX295" i="3"/>
  <c r="AW295" i="3"/>
  <c r="AV295" i="3"/>
  <c r="AU295" i="3"/>
  <c r="AK295" i="3"/>
  <c r="AH295" i="3"/>
  <c r="AG295" i="3" a="1"/>
  <c r="AG295" i="3" s="1"/>
  <c r="AE295" i="3" a="1"/>
  <c r="AE295" i="3" s="1"/>
  <c r="AC295" i="3" a="1"/>
  <c r="AC295" i="3" s="1"/>
  <c r="AA295" i="3" a="1"/>
  <c r="AA295" i="3" s="1"/>
  <c r="Y295" i="3" a="1"/>
  <c r="Y295" i="3" s="1"/>
  <c r="V295" i="3"/>
  <c r="R295" i="3" a="1"/>
  <c r="R295" i="3"/>
  <c r="P295" i="3" a="1"/>
  <c r="P295" i="3"/>
  <c r="N295" i="3" a="1"/>
  <c r="N295" i="3"/>
  <c r="L295" i="3" a="1"/>
  <c r="L295" i="3"/>
  <c r="I295" i="3"/>
  <c r="E295" i="3" a="1"/>
  <c r="E295" i="3" s="1"/>
  <c r="C295" i="3" a="1"/>
  <c r="C295" i="3" s="1"/>
  <c r="BF294" i="3"/>
  <c r="BE294" i="3"/>
  <c r="BD294" i="3"/>
  <c r="BC294" i="3"/>
  <c r="BB294" i="3"/>
  <c r="BA294" i="3"/>
  <c r="AZ294" i="3"/>
  <c r="AY294" i="3"/>
  <c r="AX294" i="3"/>
  <c r="AW294" i="3"/>
  <c r="AV294" i="3"/>
  <c r="AU294" i="3"/>
  <c r="AK294" i="3"/>
  <c r="AH294" i="3"/>
  <c r="AG294" i="3" a="1"/>
  <c r="AG294" i="3" s="1"/>
  <c r="AE294" i="3" a="1"/>
  <c r="AE294" i="3" s="1"/>
  <c r="AC294" i="3" a="1"/>
  <c r="AC294" i="3" s="1"/>
  <c r="AA294" i="3" a="1"/>
  <c r="AA294" i="3" s="1"/>
  <c r="Y294" i="3" a="1"/>
  <c r="Y294" i="3" s="1"/>
  <c r="V294" i="3"/>
  <c r="R294" i="3" a="1"/>
  <c r="R294" i="3"/>
  <c r="P294" i="3" a="1"/>
  <c r="P294" i="3"/>
  <c r="N294" i="3" a="1"/>
  <c r="N294" i="3"/>
  <c r="L294" i="3" a="1"/>
  <c r="L294" i="3"/>
  <c r="I294" i="3"/>
  <c r="E294" i="3" a="1"/>
  <c r="E294" i="3" s="1"/>
  <c r="C294" i="3" a="1"/>
  <c r="C294" i="3" s="1"/>
  <c r="BF293" i="3"/>
  <c r="BE293" i="3"/>
  <c r="BD293" i="3"/>
  <c r="BC293" i="3"/>
  <c r="BB293" i="3"/>
  <c r="BA293" i="3"/>
  <c r="AZ293" i="3"/>
  <c r="AY293" i="3"/>
  <c r="AX293" i="3"/>
  <c r="AW293" i="3"/>
  <c r="AV293" i="3"/>
  <c r="AU293" i="3"/>
  <c r="AK293" i="3"/>
  <c r="AH293" i="3"/>
  <c r="AG293" i="3" a="1"/>
  <c r="AG293" i="3" s="1"/>
  <c r="AE293" i="3" a="1"/>
  <c r="AE293" i="3" s="1"/>
  <c r="AC293" i="3" a="1"/>
  <c r="AC293" i="3" s="1"/>
  <c r="AA293" i="3" a="1"/>
  <c r="AA293" i="3" s="1"/>
  <c r="Y293" i="3" a="1"/>
  <c r="Y293" i="3" s="1"/>
  <c r="V293" i="3"/>
  <c r="R293" i="3" a="1"/>
  <c r="R293" i="3"/>
  <c r="P293" i="3" a="1"/>
  <c r="P293" i="3"/>
  <c r="N293" i="3" a="1"/>
  <c r="N293" i="3"/>
  <c r="L293" i="3" a="1"/>
  <c r="L293" i="3"/>
  <c r="I293" i="3"/>
  <c r="E293" i="3" a="1"/>
  <c r="E293" i="3" s="1"/>
  <c r="C293" i="3" a="1"/>
  <c r="C293" i="3" s="1"/>
  <c r="BF292" i="3"/>
  <c r="BE292" i="3"/>
  <c r="BD292" i="3"/>
  <c r="BC292" i="3"/>
  <c r="BB292" i="3"/>
  <c r="BA292" i="3"/>
  <c r="AZ292" i="3"/>
  <c r="AY292" i="3"/>
  <c r="AX292" i="3"/>
  <c r="AW292" i="3"/>
  <c r="AV292" i="3"/>
  <c r="AU292" i="3"/>
  <c r="AK292" i="3"/>
  <c r="AH292" i="3"/>
  <c r="AG292" i="3" a="1"/>
  <c r="AG292" i="3" s="1"/>
  <c r="AE292" i="3" a="1"/>
  <c r="AE292" i="3" s="1"/>
  <c r="AC292" i="3" a="1"/>
  <c r="AC292" i="3" s="1"/>
  <c r="AA292" i="3" a="1"/>
  <c r="AA292" i="3" s="1"/>
  <c r="Y292" i="3" a="1"/>
  <c r="Y292" i="3" s="1"/>
  <c r="V292" i="3"/>
  <c r="R292" i="3" a="1"/>
  <c r="R292" i="3"/>
  <c r="P292" i="3" a="1"/>
  <c r="P292" i="3"/>
  <c r="N292" i="3" a="1"/>
  <c r="N292" i="3"/>
  <c r="L292" i="3" a="1"/>
  <c r="L292" i="3"/>
  <c r="I292" i="3"/>
  <c r="E292" i="3" a="1"/>
  <c r="E292" i="3" s="1"/>
  <c r="C292" i="3" a="1"/>
  <c r="C292" i="3" s="1"/>
  <c r="BF291" i="3"/>
  <c r="BE291" i="3"/>
  <c r="BD291" i="3"/>
  <c r="BC291" i="3"/>
  <c r="BB291" i="3"/>
  <c r="BA291" i="3"/>
  <c r="AZ291" i="3"/>
  <c r="AY291" i="3"/>
  <c r="AX291" i="3"/>
  <c r="AW291" i="3"/>
  <c r="AV291" i="3"/>
  <c r="AU291" i="3"/>
  <c r="AK291" i="3"/>
  <c r="AH291" i="3"/>
  <c r="AG291" i="3" a="1"/>
  <c r="AG291" i="3" s="1"/>
  <c r="AE291" i="3" a="1"/>
  <c r="AE291" i="3" s="1"/>
  <c r="AC291" i="3" a="1"/>
  <c r="AC291" i="3" s="1"/>
  <c r="AA291" i="3" a="1"/>
  <c r="AA291" i="3" s="1"/>
  <c r="Y291" i="3" a="1"/>
  <c r="Y291" i="3" s="1"/>
  <c r="V291" i="3"/>
  <c r="R291" i="3" a="1"/>
  <c r="R291" i="3"/>
  <c r="P291" i="3" a="1"/>
  <c r="P291" i="3"/>
  <c r="N291" i="3" a="1"/>
  <c r="N291" i="3"/>
  <c r="L291" i="3" a="1"/>
  <c r="L291" i="3"/>
  <c r="I291" i="3"/>
  <c r="E291" i="3" a="1"/>
  <c r="E291" i="3" s="1"/>
  <c r="C291" i="3" a="1"/>
  <c r="C291" i="3" s="1"/>
  <c r="BF290" i="3"/>
  <c r="BE290" i="3"/>
  <c r="BD290" i="3"/>
  <c r="BC290" i="3"/>
  <c r="BB290" i="3"/>
  <c r="BA290" i="3"/>
  <c r="AZ290" i="3"/>
  <c r="AY290" i="3"/>
  <c r="AX290" i="3"/>
  <c r="AW290" i="3"/>
  <c r="AV290" i="3"/>
  <c r="AU290" i="3"/>
  <c r="AK290" i="3"/>
  <c r="AH290" i="3"/>
  <c r="AG290" i="3" a="1"/>
  <c r="AG290" i="3" s="1"/>
  <c r="AE290" i="3" a="1"/>
  <c r="AE290" i="3" s="1"/>
  <c r="AC290" i="3" a="1"/>
  <c r="AC290" i="3" s="1"/>
  <c r="AA290" i="3" a="1"/>
  <c r="AA290" i="3" s="1"/>
  <c r="Y290" i="3" a="1"/>
  <c r="Y290" i="3" s="1"/>
  <c r="V290" i="3"/>
  <c r="R290" i="3" a="1"/>
  <c r="R290" i="3"/>
  <c r="P290" i="3" a="1"/>
  <c r="P290" i="3"/>
  <c r="N290" i="3" a="1"/>
  <c r="N290" i="3"/>
  <c r="L290" i="3" a="1"/>
  <c r="L290" i="3"/>
  <c r="I290" i="3"/>
  <c r="E290" i="3" a="1"/>
  <c r="E290" i="3" s="1"/>
  <c r="C290" i="3" a="1"/>
  <c r="C290" i="3" s="1"/>
  <c r="BF289" i="3"/>
  <c r="BE289" i="3"/>
  <c r="BD289" i="3"/>
  <c r="BC289" i="3"/>
  <c r="BB289" i="3"/>
  <c r="BA289" i="3"/>
  <c r="AZ289" i="3"/>
  <c r="AY289" i="3"/>
  <c r="AX289" i="3"/>
  <c r="AW289" i="3"/>
  <c r="AV289" i="3"/>
  <c r="AU289" i="3"/>
  <c r="AK289" i="3"/>
  <c r="AH289" i="3"/>
  <c r="AG289" i="3" a="1"/>
  <c r="AG289" i="3" s="1"/>
  <c r="AE289" i="3" a="1"/>
  <c r="AE289" i="3" s="1"/>
  <c r="AC289" i="3" a="1"/>
  <c r="AC289" i="3" s="1"/>
  <c r="AA289" i="3" a="1"/>
  <c r="AA289" i="3" s="1"/>
  <c r="Y289" i="3" a="1"/>
  <c r="Y289" i="3" s="1"/>
  <c r="V289" i="3"/>
  <c r="R289" i="3" a="1"/>
  <c r="R289" i="3"/>
  <c r="P289" i="3" a="1"/>
  <c r="P289" i="3"/>
  <c r="N289" i="3" a="1"/>
  <c r="N289" i="3"/>
  <c r="L289" i="3" a="1"/>
  <c r="L289" i="3"/>
  <c r="I289" i="3"/>
  <c r="E289" i="3" a="1"/>
  <c r="E289" i="3" s="1"/>
  <c r="C289" i="3" a="1"/>
  <c r="C289" i="3" s="1"/>
  <c r="BF288" i="3"/>
  <c r="BE288" i="3"/>
  <c r="BD288" i="3"/>
  <c r="BC288" i="3"/>
  <c r="BB288" i="3"/>
  <c r="BA288" i="3"/>
  <c r="AZ288" i="3"/>
  <c r="AY288" i="3"/>
  <c r="AX288" i="3"/>
  <c r="AW288" i="3"/>
  <c r="AV288" i="3"/>
  <c r="AU288" i="3"/>
  <c r="AK288" i="3"/>
  <c r="AH288" i="3"/>
  <c r="AG288" i="3" a="1"/>
  <c r="AG288" i="3" s="1"/>
  <c r="AE288" i="3" a="1"/>
  <c r="AE288" i="3" s="1"/>
  <c r="AC288" i="3" a="1"/>
  <c r="AC288" i="3" s="1"/>
  <c r="AA288" i="3" a="1"/>
  <c r="AA288" i="3" s="1"/>
  <c r="Y288" i="3" a="1"/>
  <c r="Y288" i="3" s="1"/>
  <c r="V288" i="3"/>
  <c r="R288" i="3" a="1"/>
  <c r="R288" i="3"/>
  <c r="P288" i="3" a="1"/>
  <c r="P288" i="3"/>
  <c r="N288" i="3" a="1"/>
  <c r="N288" i="3"/>
  <c r="L288" i="3" a="1"/>
  <c r="L288" i="3"/>
  <c r="I288" i="3"/>
  <c r="E288" i="3" a="1"/>
  <c r="E288" i="3" s="1"/>
  <c r="C288" i="3" a="1"/>
  <c r="C288" i="3" s="1"/>
  <c r="BF287" i="3"/>
  <c r="BE287" i="3"/>
  <c r="BD287" i="3"/>
  <c r="BC287" i="3"/>
  <c r="BB287" i="3"/>
  <c r="BA287" i="3"/>
  <c r="AZ287" i="3"/>
  <c r="AY287" i="3"/>
  <c r="AX287" i="3"/>
  <c r="AW287" i="3"/>
  <c r="AV287" i="3"/>
  <c r="AU287" i="3"/>
  <c r="AK287" i="3"/>
  <c r="AH287" i="3"/>
  <c r="AG287" i="3" a="1"/>
  <c r="AG287" i="3" s="1"/>
  <c r="AE287" i="3" a="1"/>
  <c r="AE287" i="3" s="1"/>
  <c r="AC287" i="3" a="1"/>
  <c r="AC287" i="3" s="1"/>
  <c r="AA287" i="3" a="1"/>
  <c r="AA287" i="3" s="1"/>
  <c r="Y287" i="3" a="1"/>
  <c r="Y287" i="3" s="1"/>
  <c r="V287" i="3"/>
  <c r="R287" i="3" a="1"/>
  <c r="R287" i="3"/>
  <c r="P287" i="3" a="1"/>
  <c r="P287" i="3"/>
  <c r="N287" i="3" a="1"/>
  <c r="N287" i="3"/>
  <c r="L287" i="3" a="1"/>
  <c r="L287" i="3"/>
  <c r="I287" i="3"/>
  <c r="E287" i="3" a="1"/>
  <c r="E287" i="3" s="1"/>
  <c r="C287" i="3" a="1"/>
  <c r="C287" i="3" s="1"/>
  <c r="BF286" i="3"/>
  <c r="BE286" i="3"/>
  <c r="BD286" i="3"/>
  <c r="BC286" i="3"/>
  <c r="BB286" i="3"/>
  <c r="BA286" i="3"/>
  <c r="AZ286" i="3"/>
  <c r="AY286" i="3"/>
  <c r="AX286" i="3"/>
  <c r="AW286" i="3"/>
  <c r="AV286" i="3"/>
  <c r="AU286" i="3"/>
  <c r="AK286" i="3"/>
  <c r="AH286" i="3"/>
  <c r="AG286" i="3" a="1"/>
  <c r="AG286" i="3" s="1"/>
  <c r="AE286" i="3" a="1"/>
  <c r="AE286" i="3" s="1"/>
  <c r="AC286" i="3" a="1"/>
  <c r="AC286" i="3" s="1"/>
  <c r="AA286" i="3" a="1"/>
  <c r="AA286" i="3" s="1"/>
  <c r="Y286" i="3" a="1"/>
  <c r="Y286" i="3" s="1"/>
  <c r="V286" i="3"/>
  <c r="R286" i="3" a="1"/>
  <c r="R286" i="3"/>
  <c r="P286" i="3" a="1"/>
  <c r="P286" i="3"/>
  <c r="N286" i="3" a="1"/>
  <c r="N286" i="3"/>
  <c r="L286" i="3" a="1"/>
  <c r="L286" i="3"/>
  <c r="I286" i="3"/>
  <c r="E286" i="3" a="1"/>
  <c r="E286" i="3" s="1"/>
  <c r="C286" i="3" a="1"/>
  <c r="C286" i="3" s="1"/>
  <c r="BF285" i="3"/>
  <c r="BE285" i="3"/>
  <c r="BD285" i="3"/>
  <c r="BC285" i="3"/>
  <c r="BB285" i="3"/>
  <c r="BA285" i="3"/>
  <c r="AZ285" i="3"/>
  <c r="AY285" i="3"/>
  <c r="AX285" i="3"/>
  <c r="AW285" i="3"/>
  <c r="AV285" i="3"/>
  <c r="AU285" i="3"/>
  <c r="AK285" i="3"/>
  <c r="AH285" i="3"/>
  <c r="AG285" i="3" a="1"/>
  <c r="AG285" i="3" s="1"/>
  <c r="AE285" i="3" a="1"/>
  <c r="AE285" i="3" s="1"/>
  <c r="AC285" i="3" a="1"/>
  <c r="AC285" i="3" s="1"/>
  <c r="AA285" i="3" a="1"/>
  <c r="AA285" i="3" s="1"/>
  <c r="Y285" i="3" a="1"/>
  <c r="Y285" i="3" s="1"/>
  <c r="V285" i="3"/>
  <c r="R285" i="3" a="1"/>
  <c r="R285" i="3"/>
  <c r="P285" i="3" a="1"/>
  <c r="P285" i="3"/>
  <c r="N285" i="3" a="1"/>
  <c r="N285" i="3"/>
  <c r="L285" i="3" a="1"/>
  <c r="L285" i="3"/>
  <c r="I285" i="3"/>
  <c r="E285" i="3" a="1"/>
  <c r="E285" i="3" s="1"/>
  <c r="C285" i="3" a="1"/>
  <c r="C285" i="3" s="1"/>
  <c r="BF284" i="3"/>
  <c r="BE284" i="3"/>
  <c r="BD284" i="3"/>
  <c r="BC284" i="3"/>
  <c r="BB284" i="3"/>
  <c r="BA284" i="3"/>
  <c r="AZ284" i="3"/>
  <c r="AY284" i="3"/>
  <c r="AX284" i="3"/>
  <c r="AW284" i="3"/>
  <c r="AV284" i="3"/>
  <c r="AU284" i="3"/>
  <c r="AK284" i="3"/>
  <c r="AH284" i="3"/>
  <c r="AG284" i="3" a="1"/>
  <c r="AG284" i="3" s="1"/>
  <c r="AE284" i="3" a="1"/>
  <c r="AE284" i="3" s="1"/>
  <c r="AC284" i="3" a="1"/>
  <c r="AC284" i="3" s="1"/>
  <c r="AA284" i="3" a="1"/>
  <c r="AA284" i="3" s="1"/>
  <c r="Y284" i="3" a="1"/>
  <c r="Y284" i="3" s="1"/>
  <c r="V284" i="3"/>
  <c r="R284" i="3" a="1"/>
  <c r="R284" i="3"/>
  <c r="P284" i="3" a="1"/>
  <c r="P284" i="3"/>
  <c r="N284" i="3" a="1"/>
  <c r="N284" i="3"/>
  <c r="L284" i="3" a="1"/>
  <c r="L284" i="3"/>
  <c r="I284" i="3"/>
  <c r="E284" i="3" a="1"/>
  <c r="E284" i="3" s="1"/>
  <c r="C284" i="3" a="1"/>
  <c r="C284" i="3" s="1"/>
  <c r="BF283" i="3"/>
  <c r="BE283" i="3"/>
  <c r="BD283" i="3"/>
  <c r="BC283" i="3"/>
  <c r="BB283" i="3"/>
  <c r="BA283" i="3"/>
  <c r="AZ283" i="3"/>
  <c r="AY283" i="3"/>
  <c r="AX283" i="3"/>
  <c r="AW283" i="3"/>
  <c r="AV283" i="3"/>
  <c r="AU283" i="3"/>
  <c r="AK283" i="3"/>
  <c r="AH283" i="3"/>
  <c r="AG283" i="3" a="1"/>
  <c r="AG283" i="3" s="1"/>
  <c r="AE283" i="3" a="1"/>
  <c r="AE283" i="3" s="1"/>
  <c r="AC283" i="3" a="1"/>
  <c r="AC283" i="3" s="1"/>
  <c r="AA283" i="3" a="1"/>
  <c r="AA283" i="3" s="1"/>
  <c r="Y283" i="3" a="1"/>
  <c r="Y283" i="3" s="1"/>
  <c r="V283" i="3"/>
  <c r="R283" i="3" a="1"/>
  <c r="R283" i="3"/>
  <c r="P283" i="3" a="1"/>
  <c r="P283" i="3"/>
  <c r="N283" i="3" a="1"/>
  <c r="N283" i="3"/>
  <c r="L283" i="3" a="1"/>
  <c r="L283" i="3"/>
  <c r="I283" i="3"/>
  <c r="E283" i="3" a="1"/>
  <c r="E283" i="3" s="1"/>
  <c r="C283" i="3" a="1"/>
  <c r="C283" i="3" s="1"/>
  <c r="BF282" i="3"/>
  <c r="BE282" i="3"/>
  <c r="BD282" i="3"/>
  <c r="BC282" i="3"/>
  <c r="BB282" i="3"/>
  <c r="BA282" i="3"/>
  <c r="AZ282" i="3"/>
  <c r="AY282" i="3"/>
  <c r="AX282" i="3"/>
  <c r="AW282" i="3"/>
  <c r="AV282" i="3"/>
  <c r="AU282" i="3"/>
  <c r="AK282" i="3"/>
  <c r="AH282" i="3"/>
  <c r="AG282" i="3" a="1"/>
  <c r="AG282" i="3" s="1"/>
  <c r="AE282" i="3" a="1"/>
  <c r="AE282" i="3" s="1"/>
  <c r="AC282" i="3" a="1"/>
  <c r="AC282" i="3" s="1"/>
  <c r="AA282" i="3" a="1"/>
  <c r="AA282" i="3" s="1"/>
  <c r="Y282" i="3" a="1"/>
  <c r="Y282" i="3" s="1"/>
  <c r="V282" i="3"/>
  <c r="R282" i="3" a="1"/>
  <c r="R282" i="3"/>
  <c r="P282" i="3" a="1"/>
  <c r="P282" i="3"/>
  <c r="N282" i="3" a="1"/>
  <c r="N282" i="3"/>
  <c r="L282" i="3" a="1"/>
  <c r="L282" i="3"/>
  <c r="I282" i="3"/>
  <c r="E282" i="3" a="1"/>
  <c r="E282" i="3" s="1"/>
  <c r="C282" i="3" a="1"/>
  <c r="C282" i="3" s="1"/>
  <c r="BF281" i="3"/>
  <c r="BE281" i="3"/>
  <c r="BD281" i="3"/>
  <c r="BC281" i="3"/>
  <c r="BB281" i="3"/>
  <c r="BA281" i="3"/>
  <c r="AZ281" i="3"/>
  <c r="AY281" i="3"/>
  <c r="AX281" i="3"/>
  <c r="AW281" i="3"/>
  <c r="AV281" i="3"/>
  <c r="AU281" i="3"/>
  <c r="AK281" i="3"/>
  <c r="AH281" i="3"/>
  <c r="AG281" i="3" a="1"/>
  <c r="AG281" i="3" s="1"/>
  <c r="AE281" i="3" a="1"/>
  <c r="AE281" i="3" s="1"/>
  <c r="AC281" i="3" a="1"/>
  <c r="AC281" i="3" s="1"/>
  <c r="AA281" i="3" a="1"/>
  <c r="AA281" i="3" s="1"/>
  <c r="Y281" i="3" a="1"/>
  <c r="Y281" i="3" s="1"/>
  <c r="V281" i="3"/>
  <c r="R281" i="3" a="1"/>
  <c r="R281" i="3"/>
  <c r="P281" i="3" a="1"/>
  <c r="P281" i="3"/>
  <c r="N281" i="3" a="1"/>
  <c r="N281" i="3"/>
  <c r="L281" i="3" a="1"/>
  <c r="L281" i="3"/>
  <c r="I281" i="3"/>
  <c r="E281" i="3" a="1"/>
  <c r="E281" i="3" s="1"/>
  <c r="C281" i="3" a="1"/>
  <c r="C281" i="3" s="1"/>
  <c r="BF280" i="3"/>
  <c r="BE280" i="3"/>
  <c r="BD280" i="3"/>
  <c r="BC280" i="3"/>
  <c r="BB280" i="3"/>
  <c r="BA280" i="3"/>
  <c r="AZ280" i="3"/>
  <c r="AY280" i="3"/>
  <c r="AX280" i="3"/>
  <c r="AW280" i="3"/>
  <c r="AV280" i="3"/>
  <c r="AU280" i="3"/>
  <c r="AK280" i="3"/>
  <c r="AH280" i="3"/>
  <c r="AG280" i="3" a="1"/>
  <c r="AG280" i="3" s="1"/>
  <c r="AE280" i="3" a="1"/>
  <c r="AE280" i="3" s="1"/>
  <c r="AC280" i="3" a="1"/>
  <c r="AC280" i="3" s="1"/>
  <c r="AA280" i="3" a="1"/>
  <c r="AA280" i="3" s="1"/>
  <c r="Y280" i="3" a="1"/>
  <c r="Y280" i="3" s="1"/>
  <c r="V280" i="3"/>
  <c r="R280" i="3" a="1"/>
  <c r="R280" i="3"/>
  <c r="P280" i="3" a="1"/>
  <c r="P280" i="3"/>
  <c r="N280" i="3" a="1"/>
  <c r="N280" i="3"/>
  <c r="L280" i="3" a="1"/>
  <c r="L280" i="3"/>
  <c r="I280" i="3"/>
  <c r="E280" i="3" a="1"/>
  <c r="E280" i="3" s="1"/>
  <c r="C280" i="3" a="1"/>
  <c r="C280" i="3" s="1"/>
  <c r="BF279" i="3"/>
  <c r="BE279" i="3"/>
  <c r="BD279" i="3"/>
  <c r="BC279" i="3"/>
  <c r="BB279" i="3"/>
  <c r="BA279" i="3"/>
  <c r="AZ279" i="3"/>
  <c r="AY279" i="3"/>
  <c r="AX279" i="3"/>
  <c r="AW279" i="3"/>
  <c r="AV279" i="3"/>
  <c r="AU279" i="3"/>
  <c r="AK279" i="3"/>
  <c r="AH279" i="3"/>
  <c r="AG279" i="3" a="1"/>
  <c r="AG279" i="3" s="1"/>
  <c r="AE279" i="3" a="1"/>
  <c r="AE279" i="3" s="1"/>
  <c r="AC279" i="3" a="1"/>
  <c r="AC279" i="3" s="1"/>
  <c r="AA279" i="3" a="1"/>
  <c r="AA279" i="3" s="1"/>
  <c r="Y279" i="3" a="1"/>
  <c r="Y279" i="3" s="1"/>
  <c r="V279" i="3"/>
  <c r="R279" i="3" a="1"/>
  <c r="R279" i="3"/>
  <c r="P279" i="3" a="1"/>
  <c r="P279" i="3"/>
  <c r="N279" i="3" a="1"/>
  <c r="N279" i="3"/>
  <c r="L279" i="3" a="1"/>
  <c r="L279" i="3"/>
  <c r="I279" i="3"/>
  <c r="E279" i="3" a="1"/>
  <c r="E279" i="3" s="1"/>
  <c r="C279" i="3" a="1"/>
  <c r="C279" i="3" s="1"/>
  <c r="BF278" i="3"/>
  <c r="BE278" i="3"/>
  <c r="BD278" i="3"/>
  <c r="BC278" i="3"/>
  <c r="BB278" i="3"/>
  <c r="BA278" i="3"/>
  <c r="AZ278" i="3"/>
  <c r="AY278" i="3"/>
  <c r="AX278" i="3"/>
  <c r="AW278" i="3"/>
  <c r="AV278" i="3"/>
  <c r="AU278" i="3"/>
  <c r="AK278" i="3"/>
  <c r="AH278" i="3"/>
  <c r="AG278" i="3" a="1"/>
  <c r="AG278" i="3" s="1"/>
  <c r="AE278" i="3" a="1"/>
  <c r="AE278" i="3" s="1"/>
  <c r="AC278" i="3" a="1"/>
  <c r="AC278" i="3" s="1"/>
  <c r="AA278" i="3" a="1"/>
  <c r="AA278" i="3" s="1"/>
  <c r="Y278" i="3" a="1"/>
  <c r="Y278" i="3" s="1"/>
  <c r="V278" i="3"/>
  <c r="R278" i="3" a="1"/>
  <c r="R278" i="3"/>
  <c r="P278" i="3" a="1"/>
  <c r="P278" i="3"/>
  <c r="N278" i="3" a="1"/>
  <c r="N278" i="3"/>
  <c r="L278" i="3" a="1"/>
  <c r="L278" i="3"/>
  <c r="I278" i="3"/>
  <c r="E278" i="3" a="1"/>
  <c r="E278" i="3" s="1"/>
  <c r="C278" i="3" a="1"/>
  <c r="C278" i="3" s="1"/>
  <c r="BF277" i="3"/>
  <c r="BE277" i="3"/>
  <c r="BD277" i="3"/>
  <c r="BC277" i="3"/>
  <c r="BB277" i="3"/>
  <c r="BA277" i="3"/>
  <c r="AZ277" i="3"/>
  <c r="AY277" i="3"/>
  <c r="AX277" i="3"/>
  <c r="AW277" i="3"/>
  <c r="AV277" i="3"/>
  <c r="AU277" i="3"/>
  <c r="AK277" i="3"/>
  <c r="AH277" i="3"/>
  <c r="AG277" i="3" a="1"/>
  <c r="AG277" i="3" s="1"/>
  <c r="AE277" i="3" a="1"/>
  <c r="AE277" i="3" s="1"/>
  <c r="AC277" i="3" a="1"/>
  <c r="AC277" i="3" s="1"/>
  <c r="AA277" i="3" a="1"/>
  <c r="AA277" i="3" s="1"/>
  <c r="Y277" i="3" a="1"/>
  <c r="Y277" i="3" s="1"/>
  <c r="V277" i="3"/>
  <c r="R277" i="3" a="1"/>
  <c r="R277" i="3"/>
  <c r="P277" i="3" a="1"/>
  <c r="P277" i="3"/>
  <c r="N277" i="3" a="1"/>
  <c r="N277" i="3"/>
  <c r="L277" i="3" a="1"/>
  <c r="L277" i="3"/>
  <c r="I277" i="3"/>
  <c r="E277" i="3" a="1"/>
  <c r="E277" i="3" s="1"/>
  <c r="C277" i="3" a="1"/>
  <c r="C277" i="3" s="1"/>
  <c r="BF276" i="3"/>
  <c r="BE276" i="3"/>
  <c r="BD276" i="3"/>
  <c r="BC276" i="3"/>
  <c r="BB276" i="3"/>
  <c r="BA276" i="3"/>
  <c r="AZ276" i="3"/>
  <c r="AY276" i="3"/>
  <c r="AX276" i="3"/>
  <c r="AW276" i="3"/>
  <c r="AV276" i="3"/>
  <c r="AU276" i="3"/>
  <c r="AK276" i="3"/>
  <c r="AH276" i="3"/>
  <c r="AG276" i="3" a="1"/>
  <c r="AG276" i="3" s="1"/>
  <c r="AE276" i="3" a="1"/>
  <c r="AE276" i="3" s="1"/>
  <c r="AC276" i="3" a="1"/>
  <c r="AC276" i="3" s="1"/>
  <c r="AA276" i="3" a="1"/>
  <c r="AA276" i="3" s="1"/>
  <c r="Y276" i="3" a="1"/>
  <c r="Y276" i="3" s="1"/>
  <c r="V276" i="3"/>
  <c r="R276" i="3" a="1"/>
  <c r="R276" i="3"/>
  <c r="P276" i="3" a="1"/>
  <c r="P276" i="3"/>
  <c r="N276" i="3" a="1"/>
  <c r="N276" i="3"/>
  <c r="L276" i="3" a="1"/>
  <c r="L276" i="3"/>
  <c r="I276" i="3"/>
  <c r="E276" i="3" a="1"/>
  <c r="E276" i="3" s="1"/>
  <c r="C276" i="3" a="1"/>
  <c r="C276" i="3" s="1"/>
  <c r="BF275" i="3"/>
  <c r="BE275" i="3"/>
  <c r="BD275" i="3"/>
  <c r="BC275" i="3"/>
  <c r="BB275" i="3"/>
  <c r="BA275" i="3"/>
  <c r="AZ275" i="3"/>
  <c r="AY275" i="3"/>
  <c r="AX275" i="3"/>
  <c r="AW275" i="3"/>
  <c r="AV275" i="3"/>
  <c r="AU275" i="3"/>
  <c r="AK275" i="3"/>
  <c r="AH275" i="3"/>
  <c r="AG275" i="3" a="1"/>
  <c r="AG275" i="3" s="1"/>
  <c r="AE275" i="3" a="1"/>
  <c r="AE275" i="3" s="1"/>
  <c r="AC275" i="3" a="1"/>
  <c r="AC275" i="3" s="1"/>
  <c r="AA275" i="3" a="1"/>
  <c r="AA275" i="3" s="1"/>
  <c r="Y275" i="3" a="1"/>
  <c r="Y275" i="3" s="1"/>
  <c r="V275" i="3"/>
  <c r="R275" i="3" a="1"/>
  <c r="R275" i="3"/>
  <c r="P275" i="3" a="1"/>
  <c r="P275" i="3"/>
  <c r="N275" i="3" a="1"/>
  <c r="N275" i="3"/>
  <c r="L275" i="3" a="1"/>
  <c r="L275" i="3"/>
  <c r="I275" i="3"/>
  <c r="E275" i="3" a="1"/>
  <c r="E275" i="3" s="1"/>
  <c r="C275" i="3" a="1"/>
  <c r="C275" i="3" s="1"/>
  <c r="BF274" i="3"/>
  <c r="BE274" i="3"/>
  <c r="BD274" i="3"/>
  <c r="BC274" i="3"/>
  <c r="BB274" i="3"/>
  <c r="BA274" i="3"/>
  <c r="AZ274" i="3"/>
  <c r="AY274" i="3"/>
  <c r="AX274" i="3"/>
  <c r="AW274" i="3"/>
  <c r="AV274" i="3"/>
  <c r="AU274" i="3"/>
  <c r="AK274" i="3"/>
  <c r="AH274" i="3"/>
  <c r="AG274" i="3" a="1"/>
  <c r="AG274" i="3" s="1"/>
  <c r="AE274" i="3" a="1"/>
  <c r="AE274" i="3" s="1"/>
  <c r="AC274" i="3" a="1"/>
  <c r="AC274" i="3" s="1"/>
  <c r="AA274" i="3" a="1"/>
  <c r="AA274" i="3" s="1"/>
  <c r="Y274" i="3" a="1"/>
  <c r="Y274" i="3" s="1"/>
  <c r="V274" i="3"/>
  <c r="R274" i="3" a="1"/>
  <c r="R274" i="3"/>
  <c r="P274" i="3" a="1"/>
  <c r="P274" i="3"/>
  <c r="N274" i="3" a="1"/>
  <c r="N274" i="3"/>
  <c r="L274" i="3" a="1"/>
  <c r="L274" i="3"/>
  <c r="I274" i="3"/>
  <c r="E274" i="3" a="1"/>
  <c r="E274" i="3" s="1"/>
  <c r="C274" i="3" a="1"/>
  <c r="C274" i="3" s="1"/>
  <c r="BF273" i="3"/>
  <c r="BE273" i="3"/>
  <c r="BD273" i="3"/>
  <c r="BC273" i="3"/>
  <c r="BB273" i="3"/>
  <c r="BA273" i="3"/>
  <c r="AZ273" i="3"/>
  <c r="AY273" i="3"/>
  <c r="AX273" i="3"/>
  <c r="AW273" i="3"/>
  <c r="AV273" i="3"/>
  <c r="AU273" i="3"/>
  <c r="AK273" i="3"/>
  <c r="AH273" i="3"/>
  <c r="AG273" i="3" a="1"/>
  <c r="AG273" i="3" s="1"/>
  <c r="AE273" i="3" a="1"/>
  <c r="AE273" i="3" s="1"/>
  <c r="AC273" i="3" a="1"/>
  <c r="AC273" i="3" s="1"/>
  <c r="AA273" i="3" a="1"/>
  <c r="AA273" i="3" s="1"/>
  <c r="Y273" i="3" a="1"/>
  <c r="Y273" i="3" s="1"/>
  <c r="V273" i="3"/>
  <c r="R273" i="3" a="1"/>
  <c r="R273" i="3"/>
  <c r="P273" i="3" a="1"/>
  <c r="P273" i="3"/>
  <c r="N273" i="3" a="1"/>
  <c r="N273" i="3"/>
  <c r="L273" i="3" a="1"/>
  <c r="L273" i="3"/>
  <c r="I273" i="3"/>
  <c r="E273" i="3" a="1"/>
  <c r="E273" i="3" s="1"/>
  <c r="C273" i="3" a="1"/>
  <c r="C273" i="3" s="1"/>
  <c r="BF272" i="3"/>
  <c r="BE272" i="3"/>
  <c r="BD272" i="3"/>
  <c r="BC272" i="3"/>
  <c r="BB272" i="3"/>
  <c r="BA272" i="3"/>
  <c r="AZ272" i="3"/>
  <c r="AY272" i="3"/>
  <c r="AX272" i="3"/>
  <c r="AW272" i="3"/>
  <c r="AV272" i="3"/>
  <c r="AU272" i="3"/>
  <c r="AK272" i="3"/>
  <c r="AH272" i="3"/>
  <c r="AG272" i="3" a="1"/>
  <c r="AG272" i="3" s="1"/>
  <c r="AE272" i="3" a="1"/>
  <c r="AE272" i="3" s="1"/>
  <c r="AC272" i="3" a="1"/>
  <c r="AC272" i="3" s="1"/>
  <c r="AA272" i="3" a="1"/>
  <c r="AA272" i="3" s="1"/>
  <c r="Y272" i="3" a="1"/>
  <c r="Y272" i="3" s="1"/>
  <c r="V272" i="3"/>
  <c r="R272" i="3" a="1"/>
  <c r="R272" i="3"/>
  <c r="P272" i="3" a="1"/>
  <c r="P272" i="3"/>
  <c r="N272" i="3" a="1"/>
  <c r="N272" i="3"/>
  <c r="L272" i="3" a="1"/>
  <c r="L272" i="3"/>
  <c r="I272" i="3"/>
  <c r="E272" i="3" a="1"/>
  <c r="E272" i="3" s="1"/>
  <c r="C272" i="3" a="1"/>
  <c r="C272" i="3" s="1"/>
  <c r="BF271" i="3"/>
  <c r="BE271" i="3"/>
  <c r="BD271" i="3"/>
  <c r="BC271" i="3"/>
  <c r="BB271" i="3"/>
  <c r="BA271" i="3"/>
  <c r="AZ271" i="3"/>
  <c r="AY271" i="3"/>
  <c r="AX271" i="3"/>
  <c r="AW271" i="3"/>
  <c r="AV271" i="3"/>
  <c r="AU271" i="3"/>
  <c r="AK271" i="3"/>
  <c r="AH271" i="3"/>
  <c r="AG271" i="3" a="1"/>
  <c r="AG271" i="3" s="1"/>
  <c r="AE271" i="3" a="1"/>
  <c r="AE271" i="3" s="1"/>
  <c r="AC271" i="3" a="1"/>
  <c r="AC271" i="3" s="1"/>
  <c r="AA271" i="3" a="1"/>
  <c r="AA271" i="3" s="1"/>
  <c r="Y271" i="3" a="1"/>
  <c r="Y271" i="3" s="1"/>
  <c r="V271" i="3"/>
  <c r="R271" i="3" a="1"/>
  <c r="R271" i="3"/>
  <c r="P271" i="3" a="1"/>
  <c r="P271" i="3"/>
  <c r="N271" i="3" a="1"/>
  <c r="N271" i="3"/>
  <c r="L271" i="3" a="1"/>
  <c r="L271" i="3"/>
  <c r="I271" i="3"/>
  <c r="E271" i="3" a="1"/>
  <c r="E271" i="3" s="1"/>
  <c r="C271" i="3" a="1"/>
  <c r="C271" i="3" s="1"/>
  <c r="BF270" i="3"/>
  <c r="BE270" i="3"/>
  <c r="BD270" i="3"/>
  <c r="BC270" i="3"/>
  <c r="BB270" i="3"/>
  <c r="BA270" i="3"/>
  <c r="AZ270" i="3"/>
  <c r="AY270" i="3"/>
  <c r="AX270" i="3"/>
  <c r="AW270" i="3"/>
  <c r="AV270" i="3"/>
  <c r="AU270" i="3"/>
  <c r="AK270" i="3"/>
  <c r="AH270" i="3"/>
  <c r="AG270" i="3" a="1"/>
  <c r="AG270" i="3" s="1"/>
  <c r="AE270" i="3" a="1"/>
  <c r="AE270" i="3" s="1"/>
  <c r="AC270" i="3" a="1"/>
  <c r="AC270" i="3" s="1"/>
  <c r="AA270" i="3" a="1"/>
  <c r="AA270" i="3" s="1"/>
  <c r="Y270" i="3" a="1"/>
  <c r="Y270" i="3" s="1"/>
  <c r="V270" i="3"/>
  <c r="R270" i="3" a="1"/>
  <c r="R270" i="3"/>
  <c r="P270" i="3" a="1"/>
  <c r="P270" i="3"/>
  <c r="N270" i="3" a="1"/>
  <c r="N270" i="3"/>
  <c r="L270" i="3" a="1"/>
  <c r="L270" i="3"/>
  <c r="I270" i="3"/>
  <c r="E270" i="3" a="1"/>
  <c r="E270" i="3" s="1"/>
  <c r="C270" i="3" a="1"/>
  <c r="C270" i="3" s="1"/>
  <c r="BF269" i="3"/>
  <c r="BE269" i="3"/>
  <c r="BD269" i="3"/>
  <c r="BC269" i="3"/>
  <c r="BB269" i="3"/>
  <c r="BA269" i="3"/>
  <c r="AZ269" i="3"/>
  <c r="AY269" i="3"/>
  <c r="AX269" i="3"/>
  <c r="AW269" i="3"/>
  <c r="AV269" i="3"/>
  <c r="AU269" i="3"/>
  <c r="AK269" i="3"/>
  <c r="AH269" i="3"/>
  <c r="AG269" i="3" a="1"/>
  <c r="AG269" i="3" s="1"/>
  <c r="AE269" i="3" a="1"/>
  <c r="AE269" i="3" s="1"/>
  <c r="AC269" i="3" a="1"/>
  <c r="AC269" i="3" s="1"/>
  <c r="AA269" i="3" a="1"/>
  <c r="AA269" i="3" s="1"/>
  <c r="Y269" i="3" a="1"/>
  <c r="Y269" i="3" s="1"/>
  <c r="V269" i="3"/>
  <c r="R269" i="3" a="1"/>
  <c r="R269" i="3"/>
  <c r="P269" i="3" a="1"/>
  <c r="P269" i="3"/>
  <c r="N269" i="3" a="1"/>
  <c r="N269" i="3"/>
  <c r="L269" i="3" a="1"/>
  <c r="L269" i="3"/>
  <c r="I269" i="3"/>
  <c r="E269" i="3" a="1"/>
  <c r="E269" i="3" s="1"/>
  <c r="C269" i="3" a="1"/>
  <c r="C269" i="3" s="1"/>
  <c r="BF268" i="3"/>
  <c r="BE268" i="3"/>
  <c r="BD268" i="3"/>
  <c r="BC268" i="3"/>
  <c r="BB268" i="3"/>
  <c r="BA268" i="3"/>
  <c r="AZ268" i="3"/>
  <c r="AY268" i="3"/>
  <c r="AX268" i="3"/>
  <c r="AW268" i="3"/>
  <c r="AV268" i="3"/>
  <c r="AU268" i="3"/>
  <c r="AK268" i="3"/>
  <c r="AH268" i="3"/>
  <c r="AG268" i="3" a="1"/>
  <c r="AG268" i="3" s="1"/>
  <c r="AE268" i="3" a="1"/>
  <c r="AE268" i="3" s="1"/>
  <c r="AC268" i="3" a="1"/>
  <c r="AC268" i="3" s="1"/>
  <c r="AA268" i="3" a="1"/>
  <c r="AA268" i="3" s="1"/>
  <c r="Y268" i="3" a="1"/>
  <c r="Y268" i="3" s="1"/>
  <c r="V268" i="3"/>
  <c r="R268" i="3" a="1"/>
  <c r="R268" i="3"/>
  <c r="P268" i="3" a="1"/>
  <c r="P268" i="3"/>
  <c r="N268" i="3" a="1"/>
  <c r="N268" i="3"/>
  <c r="L268" i="3" a="1"/>
  <c r="L268" i="3"/>
  <c r="I268" i="3"/>
  <c r="E268" i="3" a="1"/>
  <c r="E268" i="3" s="1"/>
  <c r="C268" i="3" a="1"/>
  <c r="C268" i="3" s="1"/>
  <c r="BF267" i="3"/>
  <c r="BE267" i="3"/>
  <c r="BD267" i="3"/>
  <c r="BC267" i="3"/>
  <c r="BB267" i="3"/>
  <c r="BA267" i="3"/>
  <c r="AZ267" i="3"/>
  <c r="AY267" i="3"/>
  <c r="AX267" i="3"/>
  <c r="AW267" i="3"/>
  <c r="AV267" i="3"/>
  <c r="AU267" i="3"/>
  <c r="AK267" i="3"/>
  <c r="AH267" i="3"/>
  <c r="AG267" i="3" a="1"/>
  <c r="AG267" i="3" s="1"/>
  <c r="AE267" i="3" a="1"/>
  <c r="AE267" i="3" s="1"/>
  <c r="AC267" i="3" a="1"/>
  <c r="AC267" i="3" s="1"/>
  <c r="AA267" i="3" a="1"/>
  <c r="AA267" i="3" s="1"/>
  <c r="Y267" i="3" a="1"/>
  <c r="Y267" i="3" s="1"/>
  <c r="V267" i="3"/>
  <c r="R267" i="3" a="1"/>
  <c r="R267" i="3"/>
  <c r="P267" i="3" a="1"/>
  <c r="P267" i="3"/>
  <c r="N267" i="3" a="1"/>
  <c r="N267" i="3"/>
  <c r="L267" i="3" a="1"/>
  <c r="L267" i="3"/>
  <c r="I267" i="3"/>
  <c r="E267" i="3" a="1"/>
  <c r="E267" i="3" s="1"/>
  <c r="C267" i="3" a="1"/>
  <c r="C267" i="3" s="1"/>
  <c r="BF266" i="3"/>
  <c r="BE266" i="3"/>
  <c r="BD266" i="3"/>
  <c r="BC266" i="3"/>
  <c r="BB266" i="3"/>
  <c r="BA266" i="3"/>
  <c r="AZ266" i="3"/>
  <c r="AY266" i="3"/>
  <c r="AX266" i="3"/>
  <c r="AW266" i="3"/>
  <c r="AV266" i="3"/>
  <c r="AU266" i="3"/>
  <c r="AK266" i="3"/>
  <c r="AH266" i="3"/>
  <c r="AG266" i="3" a="1"/>
  <c r="AG266" i="3" s="1"/>
  <c r="AE266" i="3" a="1"/>
  <c r="AE266" i="3"/>
  <c r="AC266" i="3" a="1"/>
  <c r="AC266" i="3" s="1"/>
  <c r="AA266" i="3" a="1"/>
  <c r="AA266" i="3"/>
  <c r="Y266" i="3" a="1"/>
  <c r="Y266" i="3" s="1"/>
  <c r="V266" i="3"/>
  <c r="R266" i="3" a="1"/>
  <c r="R266" i="3" s="1"/>
  <c r="P266" i="3" a="1"/>
  <c r="P266" i="3"/>
  <c r="N266" i="3" a="1"/>
  <c r="N266" i="3" s="1"/>
  <c r="L266" i="3" a="1"/>
  <c r="L266" i="3"/>
  <c r="I266" i="3"/>
  <c r="E266" i="3" a="1"/>
  <c r="E266" i="3" s="1"/>
  <c r="C266" i="3" a="1"/>
  <c r="C266" i="3" s="1"/>
  <c r="BF265" i="3"/>
  <c r="BE265" i="3"/>
  <c r="BD265" i="3"/>
  <c r="BC265" i="3"/>
  <c r="BB265" i="3"/>
  <c r="BA265" i="3"/>
  <c r="AZ265" i="3"/>
  <c r="AY265" i="3"/>
  <c r="AX265" i="3"/>
  <c r="AW265" i="3"/>
  <c r="AV265" i="3"/>
  <c r="AU265" i="3"/>
  <c r="AK265" i="3"/>
  <c r="AH265" i="3"/>
  <c r="AG265" i="3" a="1"/>
  <c r="AG265" i="3"/>
  <c r="AE265" i="3" a="1"/>
  <c r="AE265" i="3" s="1"/>
  <c r="AC265" i="3" a="1"/>
  <c r="AC265" i="3"/>
  <c r="AA265" i="3" a="1"/>
  <c r="AA265" i="3" s="1"/>
  <c r="Y265" i="3" a="1"/>
  <c r="Y265" i="3"/>
  <c r="V265" i="3"/>
  <c r="R265" i="3" a="1"/>
  <c r="R265" i="3"/>
  <c r="P265" i="3" a="1"/>
  <c r="P265" i="3" s="1"/>
  <c r="N265" i="3" a="1"/>
  <c r="N265" i="3"/>
  <c r="L265" i="3" a="1"/>
  <c r="L265" i="3" s="1"/>
  <c r="I265" i="3"/>
  <c r="E265" i="3" a="1"/>
  <c r="E265" i="3" s="1"/>
  <c r="C265" i="3" a="1"/>
  <c r="C265" i="3" s="1"/>
  <c r="BF264" i="3"/>
  <c r="BE264" i="3"/>
  <c r="BD264" i="3"/>
  <c r="BC264" i="3"/>
  <c r="BB264" i="3"/>
  <c r="BA264" i="3"/>
  <c r="AZ264" i="3"/>
  <c r="AY264" i="3"/>
  <c r="AX264" i="3"/>
  <c r="AW264" i="3"/>
  <c r="AV264" i="3"/>
  <c r="AU264" i="3"/>
  <c r="AK264" i="3"/>
  <c r="AH264" i="3"/>
  <c r="AG264" i="3" a="1"/>
  <c r="AG264" i="3" s="1"/>
  <c r="AE264" i="3" a="1"/>
  <c r="AE264" i="3"/>
  <c r="AC264" i="3" a="1"/>
  <c r="AC264" i="3" s="1"/>
  <c r="AA264" i="3" a="1"/>
  <c r="AA264" i="3"/>
  <c r="Y264" i="3" a="1"/>
  <c r="Y264" i="3" s="1"/>
  <c r="V264" i="3"/>
  <c r="R264" i="3" a="1"/>
  <c r="R264" i="3" s="1"/>
  <c r="P264" i="3" a="1"/>
  <c r="P264" i="3"/>
  <c r="N264" i="3" a="1"/>
  <c r="N264" i="3" s="1"/>
  <c r="L264" i="3" a="1"/>
  <c r="L264" i="3"/>
  <c r="I264" i="3"/>
  <c r="E264" i="3" a="1"/>
  <c r="E264" i="3" s="1"/>
  <c r="C264" i="3" a="1"/>
  <c r="C264" i="3" s="1"/>
  <c r="BF263" i="3"/>
  <c r="BE263" i="3"/>
  <c r="BD263" i="3"/>
  <c r="BC263" i="3"/>
  <c r="BB263" i="3"/>
  <c r="BA263" i="3"/>
  <c r="AZ263" i="3"/>
  <c r="AY263" i="3"/>
  <c r="AX263" i="3"/>
  <c r="AW263" i="3"/>
  <c r="AV263" i="3"/>
  <c r="AU263" i="3"/>
  <c r="AK263" i="3"/>
  <c r="AH263" i="3"/>
  <c r="AG263" i="3" a="1"/>
  <c r="AG263" i="3"/>
  <c r="AE263" i="3" a="1"/>
  <c r="AE263" i="3" s="1"/>
  <c r="AC263" i="3" a="1"/>
  <c r="AC263" i="3"/>
  <c r="AA263" i="3" a="1"/>
  <c r="AA263" i="3" s="1"/>
  <c r="Y263" i="3" a="1"/>
  <c r="Y263" i="3"/>
  <c r="V263" i="3"/>
  <c r="R263" i="3" a="1"/>
  <c r="R263" i="3"/>
  <c r="P263" i="3" a="1"/>
  <c r="P263" i="3" s="1"/>
  <c r="N263" i="3" a="1"/>
  <c r="N263" i="3"/>
  <c r="L263" i="3" a="1"/>
  <c r="L263" i="3" s="1"/>
  <c r="I263" i="3"/>
  <c r="E263" i="3" a="1"/>
  <c r="E263" i="3" s="1"/>
  <c r="C263" i="3" a="1"/>
  <c r="C263" i="3" s="1"/>
  <c r="BF262" i="3"/>
  <c r="BE262" i="3"/>
  <c r="BD262" i="3"/>
  <c r="BC262" i="3"/>
  <c r="BB262" i="3"/>
  <c r="BA262" i="3"/>
  <c r="AZ262" i="3"/>
  <c r="AY262" i="3"/>
  <c r="AX262" i="3"/>
  <c r="AW262" i="3"/>
  <c r="AV262" i="3"/>
  <c r="AU262" i="3"/>
  <c r="AK262" i="3"/>
  <c r="AH262" i="3"/>
  <c r="AG262" i="3" a="1"/>
  <c r="AG262" i="3" s="1"/>
  <c r="AE262" i="3" a="1"/>
  <c r="AE262" i="3"/>
  <c r="AC262" i="3" a="1"/>
  <c r="AC262" i="3" s="1"/>
  <c r="AA262" i="3" a="1"/>
  <c r="AA262" i="3"/>
  <c r="Y262" i="3" a="1"/>
  <c r="Y262" i="3" s="1"/>
  <c r="V262" i="3"/>
  <c r="R262" i="3" a="1"/>
  <c r="R262" i="3" s="1"/>
  <c r="P262" i="3" a="1"/>
  <c r="P262" i="3"/>
  <c r="N262" i="3" a="1"/>
  <c r="N262" i="3" s="1"/>
  <c r="L262" i="3" a="1"/>
  <c r="L262" i="3"/>
  <c r="I262" i="3"/>
  <c r="E262" i="3" a="1"/>
  <c r="E262" i="3" s="1"/>
  <c r="C262" i="3" a="1"/>
  <c r="C262" i="3" s="1"/>
  <c r="BF261" i="3"/>
  <c r="BE261" i="3"/>
  <c r="BD261" i="3"/>
  <c r="BC261" i="3"/>
  <c r="BB261" i="3"/>
  <c r="BA261" i="3"/>
  <c r="AZ261" i="3"/>
  <c r="AY261" i="3"/>
  <c r="AX261" i="3"/>
  <c r="AW261" i="3"/>
  <c r="AV261" i="3"/>
  <c r="AU261" i="3"/>
  <c r="AK261" i="3"/>
  <c r="AH261" i="3"/>
  <c r="AG261" i="3" a="1"/>
  <c r="AG261" i="3"/>
  <c r="AE261" i="3" a="1"/>
  <c r="AE261" i="3" s="1"/>
  <c r="AC261" i="3" a="1"/>
  <c r="AC261" i="3"/>
  <c r="AA261" i="3" a="1"/>
  <c r="AA261" i="3" s="1"/>
  <c r="Y261" i="3" a="1"/>
  <c r="Y261" i="3"/>
  <c r="V261" i="3"/>
  <c r="R261" i="3" a="1"/>
  <c r="R261" i="3"/>
  <c r="P261" i="3" a="1"/>
  <c r="P261" i="3" s="1"/>
  <c r="N261" i="3" a="1"/>
  <c r="N261" i="3"/>
  <c r="L261" i="3" a="1"/>
  <c r="L261" i="3" s="1"/>
  <c r="I261" i="3"/>
  <c r="E261" i="3" a="1"/>
  <c r="E261" i="3" s="1"/>
  <c r="C261" i="3" a="1"/>
  <c r="C261" i="3" s="1"/>
  <c r="BF260" i="3"/>
  <c r="BE260" i="3"/>
  <c r="BD260" i="3"/>
  <c r="BC260" i="3"/>
  <c r="BB260" i="3"/>
  <c r="BA260" i="3"/>
  <c r="AZ260" i="3"/>
  <c r="AY260" i="3"/>
  <c r="AX260" i="3"/>
  <c r="AW260" i="3"/>
  <c r="AV260" i="3"/>
  <c r="AU260" i="3"/>
  <c r="AK260" i="3"/>
  <c r="AH260" i="3"/>
  <c r="AG260" i="3" a="1"/>
  <c r="AG260" i="3" s="1"/>
  <c r="AE260" i="3" a="1"/>
  <c r="AE260" i="3"/>
  <c r="AC260" i="3" a="1"/>
  <c r="AC260" i="3" s="1"/>
  <c r="AA260" i="3" a="1"/>
  <c r="AA260" i="3"/>
  <c r="Y260" i="3" a="1"/>
  <c r="Y260" i="3" s="1"/>
  <c r="V260" i="3"/>
  <c r="R260" i="3" a="1"/>
  <c r="R260" i="3" s="1"/>
  <c r="P260" i="3" a="1"/>
  <c r="P260" i="3"/>
  <c r="N260" i="3" a="1"/>
  <c r="N260" i="3" s="1"/>
  <c r="L260" i="3" a="1"/>
  <c r="L260" i="3"/>
  <c r="I260" i="3"/>
  <c r="E260" i="3" a="1"/>
  <c r="E260" i="3" s="1"/>
  <c r="C260" i="3" a="1"/>
  <c r="C260" i="3" s="1"/>
  <c r="BF259" i="3"/>
  <c r="BE259" i="3"/>
  <c r="BD259" i="3"/>
  <c r="BC259" i="3"/>
  <c r="BB259" i="3"/>
  <c r="BA259" i="3"/>
  <c r="AZ259" i="3"/>
  <c r="AY259" i="3"/>
  <c r="AX259" i="3"/>
  <c r="AW259" i="3"/>
  <c r="AV259" i="3"/>
  <c r="AU259" i="3"/>
  <c r="AK259" i="3"/>
  <c r="AH259" i="3"/>
  <c r="AG259" i="3" a="1"/>
  <c r="AG259" i="3"/>
  <c r="AE259" i="3" a="1"/>
  <c r="AE259" i="3" s="1"/>
  <c r="AC259" i="3" a="1"/>
  <c r="AC259" i="3"/>
  <c r="AA259" i="3" a="1"/>
  <c r="AA259" i="3" s="1"/>
  <c r="Y259" i="3" a="1"/>
  <c r="Y259" i="3"/>
  <c r="V259" i="3"/>
  <c r="R259" i="3" a="1"/>
  <c r="R259" i="3"/>
  <c r="P259" i="3" a="1"/>
  <c r="P259" i="3" s="1"/>
  <c r="N259" i="3" a="1"/>
  <c r="N259" i="3"/>
  <c r="L259" i="3" a="1"/>
  <c r="L259" i="3" s="1"/>
  <c r="I259" i="3"/>
  <c r="E259" i="3" a="1"/>
  <c r="E259" i="3" s="1"/>
  <c r="C259" i="3" a="1"/>
  <c r="C259" i="3" s="1"/>
  <c r="BF258" i="3"/>
  <c r="BE258" i="3"/>
  <c r="BD258" i="3"/>
  <c r="BC258" i="3"/>
  <c r="BB258" i="3"/>
  <c r="BA258" i="3"/>
  <c r="AZ258" i="3"/>
  <c r="AY258" i="3"/>
  <c r="AX258" i="3"/>
  <c r="AW258" i="3"/>
  <c r="AV258" i="3"/>
  <c r="AU258" i="3"/>
  <c r="AK258" i="3"/>
  <c r="AH258" i="3"/>
  <c r="AG258" i="3" a="1"/>
  <c r="AG258" i="3" s="1"/>
  <c r="AE258" i="3" a="1"/>
  <c r="AE258" i="3"/>
  <c r="AC258" i="3" a="1"/>
  <c r="AC258" i="3" s="1"/>
  <c r="AA258" i="3" a="1"/>
  <c r="AA258" i="3"/>
  <c r="Y258" i="3" a="1"/>
  <c r="Y258" i="3" s="1"/>
  <c r="V258" i="3"/>
  <c r="R258" i="3" a="1"/>
  <c r="R258" i="3" s="1"/>
  <c r="P258" i="3" a="1"/>
  <c r="P258" i="3"/>
  <c r="N258" i="3" a="1"/>
  <c r="N258" i="3" s="1"/>
  <c r="L258" i="3" a="1"/>
  <c r="L258" i="3"/>
  <c r="I258" i="3"/>
  <c r="E258" i="3" a="1"/>
  <c r="E258" i="3" s="1"/>
  <c r="C258" i="3" a="1"/>
  <c r="C258" i="3" s="1"/>
  <c r="BF257" i="3"/>
  <c r="BE257" i="3"/>
  <c r="BD257" i="3"/>
  <c r="BC257" i="3"/>
  <c r="BB257" i="3"/>
  <c r="BA257" i="3"/>
  <c r="AZ257" i="3"/>
  <c r="AY257" i="3"/>
  <c r="AX257" i="3"/>
  <c r="AW257" i="3"/>
  <c r="AV257" i="3"/>
  <c r="AU257" i="3"/>
  <c r="AK257" i="3"/>
  <c r="AH257" i="3"/>
  <c r="AG257" i="3" a="1"/>
  <c r="AG257" i="3"/>
  <c r="AE257" i="3" a="1"/>
  <c r="AE257" i="3" s="1"/>
  <c r="AC257" i="3" a="1"/>
  <c r="AC257" i="3"/>
  <c r="AA257" i="3" a="1"/>
  <c r="AA257" i="3" s="1"/>
  <c r="Y257" i="3" a="1"/>
  <c r="Y257" i="3"/>
  <c r="V257" i="3"/>
  <c r="R257" i="3" a="1"/>
  <c r="R257" i="3"/>
  <c r="P257" i="3" a="1"/>
  <c r="P257" i="3" s="1"/>
  <c r="N257" i="3" a="1"/>
  <c r="N257" i="3"/>
  <c r="L257" i="3" a="1"/>
  <c r="L257" i="3" s="1"/>
  <c r="I257" i="3"/>
  <c r="E257" i="3" a="1"/>
  <c r="E257" i="3" s="1"/>
  <c r="C257" i="3" a="1"/>
  <c r="C257" i="3" s="1"/>
  <c r="BF256" i="3"/>
  <c r="BE256" i="3"/>
  <c r="BD256" i="3"/>
  <c r="BC256" i="3"/>
  <c r="BB256" i="3"/>
  <c r="BA256" i="3"/>
  <c r="AZ256" i="3"/>
  <c r="AY256" i="3"/>
  <c r="AX256" i="3"/>
  <c r="AW256" i="3"/>
  <c r="AV256" i="3"/>
  <c r="AU256" i="3"/>
  <c r="AK256" i="3"/>
  <c r="AH256" i="3"/>
  <c r="AG256" i="3" a="1"/>
  <c r="AG256" i="3" s="1"/>
  <c r="AE256" i="3" a="1"/>
  <c r="AE256" i="3"/>
  <c r="AC256" i="3" a="1"/>
  <c r="AC256" i="3" s="1"/>
  <c r="AA256" i="3" a="1"/>
  <c r="AA256" i="3"/>
  <c r="Y256" i="3" a="1"/>
  <c r="Y256" i="3" s="1"/>
  <c r="V256" i="3"/>
  <c r="R256" i="3" a="1"/>
  <c r="R256" i="3" s="1"/>
  <c r="P256" i="3" a="1"/>
  <c r="P256" i="3"/>
  <c r="N256" i="3" a="1"/>
  <c r="N256" i="3" s="1"/>
  <c r="L256" i="3" a="1"/>
  <c r="L256" i="3"/>
  <c r="I256" i="3"/>
  <c r="E256" i="3" a="1"/>
  <c r="E256" i="3" s="1"/>
  <c r="C256" i="3" a="1"/>
  <c r="C256" i="3" s="1"/>
  <c r="BF255" i="3"/>
  <c r="BE255" i="3"/>
  <c r="BD255" i="3"/>
  <c r="BC255" i="3"/>
  <c r="BB255" i="3"/>
  <c r="BA255" i="3"/>
  <c r="AZ255" i="3"/>
  <c r="AY255" i="3"/>
  <c r="AX255" i="3"/>
  <c r="AW255" i="3"/>
  <c r="AV255" i="3"/>
  <c r="AU255" i="3"/>
  <c r="AK255" i="3"/>
  <c r="AH255" i="3"/>
  <c r="AG255" i="3" a="1"/>
  <c r="AG255" i="3"/>
  <c r="AE255" i="3" a="1"/>
  <c r="AE255" i="3" s="1"/>
  <c r="AC255" i="3" a="1"/>
  <c r="AC255" i="3"/>
  <c r="AA255" i="3" a="1"/>
  <c r="AA255" i="3" s="1"/>
  <c r="Y255" i="3" a="1"/>
  <c r="Y255" i="3"/>
  <c r="V255" i="3"/>
  <c r="R255" i="3" a="1"/>
  <c r="R255" i="3"/>
  <c r="P255" i="3" a="1"/>
  <c r="P255" i="3" s="1"/>
  <c r="N255" i="3" a="1"/>
  <c r="N255" i="3"/>
  <c r="L255" i="3" a="1"/>
  <c r="L255" i="3" s="1"/>
  <c r="I255" i="3"/>
  <c r="E255" i="3" a="1"/>
  <c r="E255" i="3" s="1"/>
  <c r="C255" i="3" a="1"/>
  <c r="C255" i="3" s="1"/>
  <c r="BF254" i="3"/>
  <c r="BE254" i="3"/>
  <c r="BD254" i="3"/>
  <c r="BC254" i="3"/>
  <c r="BB254" i="3"/>
  <c r="BA254" i="3"/>
  <c r="AZ254" i="3"/>
  <c r="AY254" i="3"/>
  <c r="AX254" i="3"/>
  <c r="AW254" i="3"/>
  <c r="AV254" i="3"/>
  <c r="AU254" i="3"/>
  <c r="AK254" i="3"/>
  <c r="AH254" i="3"/>
  <c r="AG254" i="3" a="1"/>
  <c r="AG254" i="3" s="1"/>
  <c r="AE254" i="3" a="1"/>
  <c r="AE254" i="3"/>
  <c r="AC254" i="3" a="1"/>
  <c r="AC254" i="3" s="1"/>
  <c r="AA254" i="3" a="1"/>
  <c r="AA254" i="3"/>
  <c r="Y254" i="3" a="1"/>
  <c r="Y254" i="3" s="1"/>
  <c r="V254" i="3"/>
  <c r="R254" i="3" a="1"/>
  <c r="R254" i="3" s="1"/>
  <c r="P254" i="3" a="1"/>
  <c r="P254" i="3"/>
  <c r="N254" i="3" a="1"/>
  <c r="N254" i="3" s="1"/>
  <c r="L254" i="3" a="1"/>
  <c r="L254" i="3"/>
  <c r="I254" i="3"/>
  <c r="E254" i="3" a="1"/>
  <c r="E254" i="3" s="1"/>
  <c r="C254" i="3" a="1"/>
  <c r="C254" i="3" s="1"/>
  <c r="BF253" i="3"/>
  <c r="BE253" i="3"/>
  <c r="BD253" i="3"/>
  <c r="BC253" i="3"/>
  <c r="BB253" i="3"/>
  <c r="BA253" i="3"/>
  <c r="AZ253" i="3"/>
  <c r="AY253" i="3"/>
  <c r="AX253" i="3"/>
  <c r="AW253" i="3"/>
  <c r="AV253" i="3"/>
  <c r="AU253" i="3"/>
  <c r="AK253" i="3"/>
  <c r="AH253" i="3"/>
  <c r="AG253" i="3" a="1"/>
  <c r="AG253" i="3"/>
  <c r="AE253" i="3" a="1"/>
  <c r="AE253" i="3" s="1"/>
  <c r="AC253" i="3" a="1"/>
  <c r="AC253" i="3"/>
  <c r="AA253" i="3" a="1"/>
  <c r="AA253" i="3" s="1"/>
  <c r="Y253" i="3" a="1"/>
  <c r="Y253" i="3"/>
  <c r="V253" i="3"/>
  <c r="R253" i="3" a="1"/>
  <c r="R253" i="3"/>
  <c r="P253" i="3" a="1"/>
  <c r="P253" i="3" s="1"/>
  <c r="N253" i="3" a="1"/>
  <c r="N253" i="3"/>
  <c r="L253" i="3" a="1"/>
  <c r="L253" i="3" s="1"/>
  <c r="I253" i="3"/>
  <c r="E253" i="3" a="1"/>
  <c r="E253" i="3" s="1"/>
  <c r="C253" i="3" a="1"/>
  <c r="C253" i="3" s="1"/>
  <c r="BF252" i="3"/>
  <c r="BE252" i="3"/>
  <c r="BD252" i="3"/>
  <c r="BC252" i="3"/>
  <c r="BB252" i="3"/>
  <c r="BA252" i="3"/>
  <c r="AZ252" i="3"/>
  <c r="AY252" i="3"/>
  <c r="AX252" i="3"/>
  <c r="AW252" i="3"/>
  <c r="AV252" i="3"/>
  <c r="AU252" i="3"/>
  <c r="AK252" i="3"/>
  <c r="AH252" i="3"/>
  <c r="AG252" i="3" a="1"/>
  <c r="AG252" i="3" s="1"/>
  <c r="AE252" i="3" a="1"/>
  <c r="AE252" i="3"/>
  <c r="AC252" i="3" a="1"/>
  <c r="AC252" i="3" s="1"/>
  <c r="AA252" i="3" a="1"/>
  <c r="AA252" i="3"/>
  <c r="Y252" i="3" a="1"/>
  <c r="Y252" i="3" s="1"/>
  <c r="V252" i="3"/>
  <c r="R252" i="3" a="1"/>
  <c r="R252" i="3" s="1"/>
  <c r="P252" i="3" a="1"/>
  <c r="P252" i="3"/>
  <c r="N252" i="3" a="1"/>
  <c r="N252" i="3" s="1"/>
  <c r="L252" i="3" a="1"/>
  <c r="L252" i="3"/>
  <c r="I252" i="3"/>
  <c r="E252" i="3" a="1"/>
  <c r="E252" i="3" s="1"/>
  <c r="C252" i="3" a="1"/>
  <c r="C252" i="3" s="1"/>
  <c r="BF251" i="3"/>
  <c r="BE251" i="3"/>
  <c r="BD251" i="3"/>
  <c r="BC251" i="3"/>
  <c r="BB251" i="3"/>
  <c r="BA251" i="3"/>
  <c r="AZ251" i="3"/>
  <c r="AY251" i="3"/>
  <c r="AX251" i="3"/>
  <c r="AW251" i="3"/>
  <c r="AV251" i="3"/>
  <c r="AU251" i="3"/>
  <c r="AK251" i="3"/>
  <c r="AH251" i="3"/>
  <c r="AG251" i="3" a="1"/>
  <c r="AG251" i="3"/>
  <c r="AE251" i="3" a="1"/>
  <c r="AE251" i="3" s="1"/>
  <c r="AC251" i="3" a="1"/>
  <c r="AC251" i="3"/>
  <c r="AA251" i="3" a="1"/>
  <c r="AA251" i="3" s="1"/>
  <c r="Y251" i="3" a="1"/>
  <c r="Y251" i="3"/>
  <c r="V251" i="3"/>
  <c r="R251" i="3" a="1"/>
  <c r="R251" i="3"/>
  <c r="P251" i="3" a="1"/>
  <c r="P251" i="3" s="1"/>
  <c r="N251" i="3" a="1"/>
  <c r="N251" i="3"/>
  <c r="L251" i="3" a="1"/>
  <c r="L251" i="3" s="1"/>
  <c r="I251" i="3"/>
  <c r="E251" i="3" a="1"/>
  <c r="E251" i="3" s="1"/>
  <c r="C251" i="3" a="1"/>
  <c r="C251" i="3" s="1"/>
  <c r="BF250" i="3"/>
  <c r="BE250" i="3"/>
  <c r="BD250" i="3"/>
  <c r="BC250" i="3"/>
  <c r="BB250" i="3"/>
  <c r="BA250" i="3"/>
  <c r="AZ250" i="3"/>
  <c r="AY250" i="3"/>
  <c r="AX250" i="3"/>
  <c r="AW250" i="3"/>
  <c r="AV250" i="3"/>
  <c r="AU250" i="3"/>
  <c r="AK250" i="3"/>
  <c r="AH250" i="3"/>
  <c r="AG250" i="3" a="1"/>
  <c r="AG250" i="3" s="1"/>
  <c r="AE250" i="3" a="1"/>
  <c r="AE250" i="3"/>
  <c r="AC250" i="3" a="1"/>
  <c r="AC250" i="3" s="1"/>
  <c r="AA250" i="3" a="1"/>
  <c r="AA250" i="3"/>
  <c r="Y250" i="3" a="1"/>
  <c r="Y250" i="3" s="1"/>
  <c r="V250" i="3"/>
  <c r="R250" i="3" a="1"/>
  <c r="R250" i="3" s="1"/>
  <c r="P250" i="3" a="1"/>
  <c r="P250" i="3"/>
  <c r="N250" i="3" a="1"/>
  <c r="N250" i="3" s="1"/>
  <c r="L250" i="3" a="1"/>
  <c r="L250" i="3"/>
  <c r="I250" i="3"/>
  <c r="E250" i="3" a="1"/>
  <c r="E250" i="3" s="1"/>
  <c r="C250" i="3" a="1"/>
  <c r="C250" i="3" s="1"/>
  <c r="BF249" i="3"/>
  <c r="BE249" i="3"/>
  <c r="BD249" i="3"/>
  <c r="BC249" i="3"/>
  <c r="BB249" i="3"/>
  <c r="BA249" i="3"/>
  <c r="AZ249" i="3"/>
  <c r="AY249" i="3"/>
  <c r="AX249" i="3"/>
  <c r="AW249" i="3"/>
  <c r="AV249" i="3"/>
  <c r="AU249" i="3"/>
  <c r="AK249" i="3"/>
  <c r="AH249" i="3"/>
  <c r="AG249" i="3" a="1"/>
  <c r="AG249" i="3"/>
  <c r="AE249" i="3" a="1"/>
  <c r="AE249" i="3" s="1"/>
  <c r="AC249" i="3" a="1"/>
  <c r="AC249" i="3"/>
  <c r="AA249" i="3" a="1"/>
  <c r="AA249" i="3" s="1"/>
  <c r="Y249" i="3" a="1"/>
  <c r="Y249" i="3"/>
  <c r="V249" i="3"/>
  <c r="R249" i="3" a="1"/>
  <c r="R249" i="3"/>
  <c r="P249" i="3" a="1"/>
  <c r="P249" i="3" s="1"/>
  <c r="N249" i="3" a="1"/>
  <c r="N249" i="3"/>
  <c r="L249" i="3" a="1"/>
  <c r="L249" i="3" s="1"/>
  <c r="I249" i="3"/>
  <c r="E249" i="3" a="1"/>
  <c r="E249" i="3" s="1"/>
  <c r="C249" i="3" a="1"/>
  <c r="C249" i="3" s="1"/>
  <c r="BF248" i="3"/>
  <c r="BE248" i="3"/>
  <c r="BD248" i="3"/>
  <c r="BC248" i="3"/>
  <c r="BB248" i="3"/>
  <c r="BA248" i="3"/>
  <c r="AZ248" i="3"/>
  <c r="AY248" i="3"/>
  <c r="AX248" i="3"/>
  <c r="AW248" i="3"/>
  <c r="AV248" i="3"/>
  <c r="AU248" i="3"/>
  <c r="AK248" i="3"/>
  <c r="AH248" i="3"/>
  <c r="AG248" i="3" a="1"/>
  <c r="AG248" i="3" s="1"/>
  <c r="AE248" i="3" a="1"/>
  <c r="AE248" i="3"/>
  <c r="AC248" i="3" a="1"/>
  <c r="AC248" i="3" s="1"/>
  <c r="AA248" i="3" a="1"/>
  <c r="AA248" i="3"/>
  <c r="Y248" i="3" a="1"/>
  <c r="Y248" i="3" s="1"/>
  <c r="V248" i="3"/>
  <c r="R248" i="3" a="1"/>
  <c r="R248" i="3" s="1"/>
  <c r="P248" i="3" a="1"/>
  <c r="P248" i="3"/>
  <c r="N248" i="3" a="1"/>
  <c r="N248" i="3" s="1"/>
  <c r="L248" i="3" a="1"/>
  <c r="L248" i="3"/>
  <c r="I248" i="3"/>
  <c r="E248" i="3" a="1"/>
  <c r="E248" i="3" s="1"/>
  <c r="C248" i="3" a="1"/>
  <c r="C248" i="3" s="1"/>
  <c r="BF247" i="3"/>
  <c r="BE247" i="3"/>
  <c r="BD247" i="3"/>
  <c r="BC247" i="3"/>
  <c r="BB247" i="3"/>
  <c r="BA247" i="3"/>
  <c r="AZ247" i="3"/>
  <c r="AY247" i="3"/>
  <c r="AX247" i="3"/>
  <c r="AW247" i="3"/>
  <c r="AV247" i="3"/>
  <c r="AU247" i="3"/>
  <c r="AK247" i="3"/>
  <c r="AH247" i="3"/>
  <c r="AG247" i="3" a="1"/>
  <c r="AG247" i="3"/>
  <c r="AE247" i="3" a="1"/>
  <c r="AE247" i="3" s="1"/>
  <c r="AC247" i="3" a="1"/>
  <c r="AC247" i="3"/>
  <c r="AA247" i="3" a="1"/>
  <c r="AA247" i="3" s="1"/>
  <c r="Y247" i="3" a="1"/>
  <c r="Y247" i="3"/>
  <c r="V247" i="3"/>
  <c r="R247" i="3" a="1"/>
  <c r="R247" i="3"/>
  <c r="P247" i="3" a="1"/>
  <c r="P247" i="3"/>
  <c r="N247" i="3" a="1"/>
  <c r="N247" i="3"/>
  <c r="L247" i="3" a="1"/>
  <c r="L247" i="3"/>
  <c r="I247" i="3"/>
  <c r="E247" i="3" a="1"/>
  <c r="E247" i="3" s="1"/>
  <c r="C247" i="3" a="1"/>
  <c r="C247" i="3" s="1"/>
  <c r="BF246" i="3"/>
  <c r="BE246" i="3"/>
  <c r="BD246" i="3"/>
  <c r="BC246" i="3"/>
  <c r="BB246" i="3"/>
  <c r="BA246" i="3"/>
  <c r="AZ246" i="3"/>
  <c r="AY246" i="3"/>
  <c r="AX246" i="3"/>
  <c r="AW246" i="3"/>
  <c r="AV246" i="3"/>
  <c r="AU246" i="3"/>
  <c r="AK246" i="3"/>
  <c r="AH246" i="3"/>
  <c r="AG246" i="3" a="1"/>
  <c r="AG246" i="3" s="1"/>
  <c r="AE246" i="3" a="1"/>
  <c r="AE246" i="3"/>
  <c r="AC246" i="3" a="1"/>
  <c r="AC246" i="3" s="1"/>
  <c r="AA246" i="3" a="1"/>
  <c r="AA246" i="3"/>
  <c r="Y246" i="3" a="1"/>
  <c r="Y246" i="3" s="1"/>
  <c r="V246" i="3"/>
  <c r="R246" i="3" a="1"/>
  <c r="R246" i="3"/>
  <c r="P246" i="3" a="1"/>
  <c r="P246" i="3"/>
  <c r="N246" i="3" a="1"/>
  <c r="N246" i="3"/>
  <c r="L246" i="3" a="1"/>
  <c r="L246" i="3"/>
  <c r="I246" i="3"/>
  <c r="E246" i="3" a="1"/>
  <c r="E246" i="3" s="1"/>
  <c r="C246" i="3" a="1"/>
  <c r="C246" i="3" s="1"/>
  <c r="BF245" i="3"/>
  <c r="BE245" i="3"/>
  <c r="BD245" i="3"/>
  <c r="BC245" i="3"/>
  <c r="BB245" i="3"/>
  <c r="BA245" i="3"/>
  <c r="AZ245" i="3"/>
  <c r="AY245" i="3"/>
  <c r="AX245" i="3"/>
  <c r="AW245" i="3"/>
  <c r="AV245" i="3"/>
  <c r="AU245" i="3"/>
  <c r="AK245" i="3"/>
  <c r="AH245" i="3"/>
  <c r="AG245" i="3" a="1"/>
  <c r="AG245" i="3"/>
  <c r="AE245" i="3" a="1"/>
  <c r="AE245" i="3" s="1"/>
  <c r="AC245" i="3" a="1"/>
  <c r="AC245" i="3"/>
  <c r="AA245" i="3" a="1"/>
  <c r="AA245" i="3" s="1"/>
  <c r="Y245" i="3" a="1"/>
  <c r="Y245" i="3"/>
  <c r="V245" i="3"/>
  <c r="R245" i="3" a="1"/>
  <c r="R245" i="3"/>
  <c r="P245" i="3" a="1"/>
  <c r="P245" i="3" s="1"/>
  <c r="N245" i="3" a="1"/>
  <c r="N245" i="3"/>
  <c r="L245" i="3" a="1"/>
  <c r="L245" i="3" s="1"/>
  <c r="I245" i="3"/>
  <c r="E245" i="3" a="1"/>
  <c r="E245" i="3" s="1"/>
  <c r="C245" i="3" a="1"/>
  <c r="C245" i="3" s="1"/>
  <c r="BF244" i="3"/>
  <c r="BE244" i="3"/>
  <c r="BD244" i="3"/>
  <c r="BC244" i="3"/>
  <c r="BB244" i="3"/>
  <c r="BA244" i="3"/>
  <c r="AZ244" i="3"/>
  <c r="AY244" i="3"/>
  <c r="AX244" i="3"/>
  <c r="AW244" i="3"/>
  <c r="AV244" i="3"/>
  <c r="AU244" i="3"/>
  <c r="AK244" i="3"/>
  <c r="AH244" i="3"/>
  <c r="AG244" i="3" a="1"/>
  <c r="AG244" i="3" s="1"/>
  <c r="AE244" i="3" a="1"/>
  <c r="AE244" i="3"/>
  <c r="AC244" i="3" a="1"/>
  <c r="AC244" i="3" s="1"/>
  <c r="AA244" i="3" a="1"/>
  <c r="AA244" i="3"/>
  <c r="Y244" i="3" a="1"/>
  <c r="Y244" i="3" s="1"/>
  <c r="V244" i="3"/>
  <c r="R244" i="3" a="1"/>
  <c r="R244" i="3" s="1"/>
  <c r="P244" i="3" a="1"/>
  <c r="P244" i="3"/>
  <c r="N244" i="3" a="1"/>
  <c r="N244" i="3" s="1"/>
  <c r="L244" i="3" a="1"/>
  <c r="L244" i="3"/>
  <c r="I244" i="3"/>
  <c r="E244" i="3" a="1"/>
  <c r="E244" i="3" s="1"/>
  <c r="C244" i="3" a="1"/>
  <c r="C244" i="3" s="1"/>
  <c r="BF243" i="3"/>
  <c r="BE243" i="3"/>
  <c r="BD243" i="3"/>
  <c r="BC243" i="3"/>
  <c r="BB243" i="3"/>
  <c r="BA243" i="3"/>
  <c r="AZ243" i="3"/>
  <c r="AY243" i="3"/>
  <c r="AX243" i="3"/>
  <c r="AW243" i="3"/>
  <c r="AV243" i="3"/>
  <c r="AU243" i="3"/>
  <c r="AK243" i="3"/>
  <c r="AH243" i="3"/>
  <c r="AG243" i="3" a="1"/>
  <c r="AG243" i="3"/>
  <c r="AE243" i="3" a="1"/>
  <c r="AE243" i="3" s="1"/>
  <c r="AC243" i="3" a="1"/>
  <c r="AC243" i="3"/>
  <c r="AA243" i="3" a="1"/>
  <c r="AA243" i="3" s="1"/>
  <c r="Y243" i="3" a="1"/>
  <c r="Y243" i="3"/>
  <c r="V243" i="3"/>
  <c r="R243" i="3" a="1"/>
  <c r="R243" i="3"/>
  <c r="P243" i="3" a="1"/>
  <c r="P243" i="3" s="1"/>
  <c r="N243" i="3" a="1"/>
  <c r="N243" i="3"/>
  <c r="L243" i="3" a="1"/>
  <c r="L243" i="3" s="1"/>
  <c r="I243" i="3"/>
  <c r="E243" i="3" a="1"/>
  <c r="E243" i="3" s="1"/>
  <c r="C243" i="3" a="1"/>
  <c r="C243" i="3" s="1"/>
  <c r="BF242" i="3"/>
  <c r="BE242" i="3"/>
  <c r="BD242" i="3"/>
  <c r="BC242" i="3"/>
  <c r="BB242" i="3"/>
  <c r="BA242" i="3"/>
  <c r="AZ242" i="3"/>
  <c r="AY242" i="3"/>
  <c r="AX242" i="3"/>
  <c r="AW242" i="3"/>
  <c r="AV242" i="3"/>
  <c r="AU242" i="3"/>
  <c r="AK242" i="3"/>
  <c r="AH242" i="3"/>
  <c r="AG242" i="3" a="1"/>
  <c r="AG242" i="3" s="1"/>
  <c r="AE242" i="3" a="1"/>
  <c r="AE242" i="3"/>
  <c r="AC242" i="3" a="1"/>
  <c r="AC242" i="3" s="1"/>
  <c r="AA242" i="3" a="1"/>
  <c r="AA242" i="3"/>
  <c r="Y242" i="3" a="1"/>
  <c r="Y242" i="3" s="1"/>
  <c r="V242" i="3"/>
  <c r="R242" i="3" a="1"/>
  <c r="R242" i="3" s="1"/>
  <c r="P242" i="3" a="1"/>
  <c r="P242" i="3"/>
  <c r="N242" i="3" a="1"/>
  <c r="N242" i="3" s="1"/>
  <c r="L242" i="3" a="1"/>
  <c r="L242" i="3"/>
  <c r="I242" i="3"/>
  <c r="E242" i="3" a="1"/>
  <c r="E242" i="3" s="1"/>
  <c r="C242" i="3" a="1"/>
  <c r="C242" i="3" s="1"/>
  <c r="BF241" i="3"/>
  <c r="BE241" i="3"/>
  <c r="BD241" i="3"/>
  <c r="BC241" i="3"/>
  <c r="BB241" i="3"/>
  <c r="BA241" i="3"/>
  <c r="AZ241" i="3"/>
  <c r="AY241" i="3"/>
  <c r="AX241" i="3"/>
  <c r="AW241" i="3"/>
  <c r="AV241" i="3"/>
  <c r="AU241" i="3"/>
  <c r="AK241" i="3"/>
  <c r="AH241" i="3"/>
  <c r="AG241" i="3" a="1"/>
  <c r="AG241" i="3"/>
  <c r="AE241" i="3" a="1"/>
  <c r="AE241" i="3" s="1"/>
  <c r="AC241" i="3" a="1"/>
  <c r="AC241" i="3"/>
  <c r="AA241" i="3" a="1"/>
  <c r="AA241" i="3" s="1"/>
  <c r="Y241" i="3" a="1"/>
  <c r="Y241" i="3"/>
  <c r="V241" i="3"/>
  <c r="R241" i="3" a="1"/>
  <c r="R241" i="3"/>
  <c r="P241" i="3" a="1"/>
  <c r="P241" i="3"/>
  <c r="N241" i="3" a="1"/>
  <c r="N241" i="3"/>
  <c r="L241" i="3" a="1"/>
  <c r="L241" i="3"/>
  <c r="I241" i="3"/>
  <c r="E241" i="3" a="1"/>
  <c r="E241" i="3" s="1"/>
  <c r="C241" i="3" a="1"/>
  <c r="C241" i="3" s="1"/>
  <c r="BF240" i="3"/>
  <c r="BE240" i="3"/>
  <c r="BD240" i="3"/>
  <c r="BC240" i="3"/>
  <c r="BB240" i="3"/>
  <c r="BA240" i="3"/>
  <c r="AZ240" i="3"/>
  <c r="AY240" i="3"/>
  <c r="AX240" i="3"/>
  <c r="AW240" i="3"/>
  <c r="AV240" i="3"/>
  <c r="AU240" i="3"/>
  <c r="AK240" i="3"/>
  <c r="AH240" i="3"/>
  <c r="AG240" i="3" a="1"/>
  <c r="AG240" i="3" s="1"/>
  <c r="AE240" i="3" a="1"/>
  <c r="AE240" i="3"/>
  <c r="AC240" i="3" a="1"/>
  <c r="AC240" i="3" s="1"/>
  <c r="AA240" i="3" a="1"/>
  <c r="AA240" i="3"/>
  <c r="Y240" i="3" a="1"/>
  <c r="Y240" i="3" s="1"/>
  <c r="V240" i="3"/>
  <c r="R240" i="3" a="1"/>
  <c r="R240" i="3"/>
  <c r="P240" i="3" a="1"/>
  <c r="P240" i="3"/>
  <c r="N240" i="3" a="1"/>
  <c r="N240" i="3"/>
  <c r="L240" i="3" a="1"/>
  <c r="L240" i="3"/>
  <c r="I240" i="3"/>
  <c r="E240" i="3" a="1"/>
  <c r="E240" i="3" s="1"/>
  <c r="C240" i="3" a="1"/>
  <c r="C240" i="3" s="1"/>
  <c r="BF239" i="3"/>
  <c r="BE239" i="3"/>
  <c r="BD239" i="3"/>
  <c r="BC239" i="3"/>
  <c r="BB239" i="3"/>
  <c r="BA239" i="3"/>
  <c r="AZ239" i="3"/>
  <c r="AY239" i="3"/>
  <c r="AX239" i="3"/>
  <c r="AW239" i="3"/>
  <c r="AV239" i="3"/>
  <c r="AU239" i="3"/>
  <c r="AK239" i="3"/>
  <c r="AH239" i="3"/>
  <c r="AG239" i="3" a="1"/>
  <c r="AG239" i="3"/>
  <c r="AE239" i="3" a="1"/>
  <c r="AE239" i="3" s="1"/>
  <c r="AC239" i="3" a="1"/>
  <c r="AC239" i="3"/>
  <c r="AA239" i="3" a="1"/>
  <c r="AA239" i="3" s="1"/>
  <c r="Y239" i="3" a="1"/>
  <c r="Y239" i="3"/>
  <c r="V239" i="3"/>
  <c r="R239" i="3" a="1"/>
  <c r="R239" i="3"/>
  <c r="P239" i="3" a="1"/>
  <c r="P239" i="3"/>
  <c r="N239" i="3" a="1"/>
  <c r="N239" i="3"/>
  <c r="L239" i="3" a="1"/>
  <c r="L239" i="3"/>
  <c r="I239" i="3"/>
  <c r="E239" i="3" a="1"/>
  <c r="E239" i="3" s="1"/>
  <c r="C239" i="3" a="1"/>
  <c r="C239" i="3" s="1"/>
  <c r="BF238" i="3"/>
  <c r="BE238" i="3"/>
  <c r="BD238" i="3"/>
  <c r="BC238" i="3"/>
  <c r="BB238" i="3"/>
  <c r="BA238" i="3"/>
  <c r="AZ238" i="3"/>
  <c r="AY238" i="3"/>
  <c r="AX238" i="3"/>
  <c r="AW238" i="3"/>
  <c r="AV238" i="3"/>
  <c r="AU238" i="3"/>
  <c r="AK238" i="3"/>
  <c r="AH238" i="3"/>
  <c r="AG238" i="3" a="1"/>
  <c r="AG238" i="3" s="1"/>
  <c r="AE238" i="3" a="1"/>
  <c r="AE238" i="3"/>
  <c r="AC238" i="3" a="1"/>
  <c r="AC238" i="3" s="1"/>
  <c r="AA238" i="3" a="1"/>
  <c r="AA238" i="3"/>
  <c r="Y238" i="3" a="1"/>
  <c r="Y238" i="3" s="1"/>
  <c r="V238" i="3"/>
  <c r="R238" i="3" a="1"/>
  <c r="R238" i="3"/>
  <c r="P238" i="3" a="1"/>
  <c r="P238" i="3"/>
  <c r="N238" i="3" a="1"/>
  <c r="N238" i="3"/>
  <c r="L238" i="3" a="1"/>
  <c r="L238" i="3"/>
  <c r="I238" i="3"/>
  <c r="E238" i="3" a="1"/>
  <c r="E238" i="3" s="1"/>
  <c r="C238" i="3" a="1"/>
  <c r="C238" i="3" s="1"/>
  <c r="BF237" i="3"/>
  <c r="BE237" i="3"/>
  <c r="BD237" i="3"/>
  <c r="BC237" i="3"/>
  <c r="BB237" i="3"/>
  <c r="BA237" i="3"/>
  <c r="AZ237" i="3"/>
  <c r="AY237" i="3"/>
  <c r="AX237" i="3"/>
  <c r="AW237" i="3"/>
  <c r="AV237" i="3"/>
  <c r="AU237" i="3"/>
  <c r="AK237" i="3"/>
  <c r="AH237" i="3"/>
  <c r="AG237" i="3" a="1"/>
  <c r="AG237" i="3"/>
  <c r="AE237" i="3" a="1"/>
  <c r="AE237" i="3" s="1"/>
  <c r="AC237" i="3" a="1"/>
  <c r="AC237" i="3"/>
  <c r="AA237" i="3" a="1"/>
  <c r="AA237" i="3" s="1"/>
  <c r="Y237" i="3" a="1"/>
  <c r="Y237" i="3"/>
  <c r="V237" i="3"/>
  <c r="R237" i="3" a="1"/>
  <c r="R237" i="3"/>
  <c r="P237" i="3" a="1"/>
  <c r="P237" i="3" s="1"/>
  <c r="N237" i="3" a="1"/>
  <c r="N237" i="3"/>
  <c r="L237" i="3" a="1"/>
  <c r="L237" i="3" s="1"/>
  <c r="I237" i="3"/>
  <c r="E237" i="3" a="1"/>
  <c r="E237" i="3" s="1"/>
  <c r="C237" i="3" a="1"/>
  <c r="C237" i="3" s="1"/>
  <c r="BF236" i="3"/>
  <c r="BE236" i="3"/>
  <c r="BD236" i="3"/>
  <c r="BC236" i="3"/>
  <c r="BB236" i="3"/>
  <c r="BA236" i="3"/>
  <c r="AZ236" i="3"/>
  <c r="AY236" i="3"/>
  <c r="AX236" i="3"/>
  <c r="AW236" i="3"/>
  <c r="AV236" i="3"/>
  <c r="AU236" i="3"/>
  <c r="AK236" i="3"/>
  <c r="AH236" i="3"/>
  <c r="AG236" i="3" a="1"/>
  <c r="AG236" i="3" s="1"/>
  <c r="AE236" i="3" a="1"/>
  <c r="AE236" i="3"/>
  <c r="AC236" i="3" a="1"/>
  <c r="AC236" i="3" s="1"/>
  <c r="AA236" i="3" a="1"/>
  <c r="AA236" i="3"/>
  <c r="Y236" i="3" a="1"/>
  <c r="Y236" i="3" s="1"/>
  <c r="V236" i="3"/>
  <c r="R236" i="3" a="1"/>
  <c r="R236" i="3" s="1"/>
  <c r="P236" i="3" a="1"/>
  <c r="P236" i="3"/>
  <c r="N236" i="3" a="1"/>
  <c r="N236" i="3" s="1"/>
  <c r="L236" i="3" a="1"/>
  <c r="L236" i="3"/>
  <c r="I236" i="3"/>
  <c r="E236" i="3" a="1"/>
  <c r="E236" i="3" s="1"/>
  <c r="C236" i="3" a="1"/>
  <c r="C236" i="3" s="1"/>
  <c r="BF235" i="3"/>
  <c r="BE235" i="3"/>
  <c r="BD235" i="3"/>
  <c r="BC235" i="3"/>
  <c r="BB235" i="3"/>
  <c r="BA235" i="3"/>
  <c r="AZ235" i="3"/>
  <c r="AY235" i="3"/>
  <c r="AX235" i="3"/>
  <c r="AW235" i="3"/>
  <c r="AV235" i="3"/>
  <c r="AU235" i="3"/>
  <c r="AK235" i="3"/>
  <c r="AH235" i="3"/>
  <c r="AG235" i="3" a="1"/>
  <c r="AG235" i="3"/>
  <c r="AE235" i="3" a="1"/>
  <c r="AE235" i="3" s="1"/>
  <c r="AC235" i="3" a="1"/>
  <c r="AC235" i="3"/>
  <c r="AA235" i="3" a="1"/>
  <c r="AA235" i="3" s="1"/>
  <c r="Y235" i="3" a="1"/>
  <c r="Y235" i="3"/>
  <c r="V235" i="3"/>
  <c r="R235" i="3" a="1"/>
  <c r="R235" i="3"/>
  <c r="P235" i="3" a="1"/>
  <c r="P235" i="3" s="1"/>
  <c r="N235" i="3" a="1"/>
  <c r="N235" i="3"/>
  <c r="L235" i="3" a="1"/>
  <c r="L235" i="3" s="1"/>
  <c r="I235" i="3"/>
  <c r="E235" i="3" a="1"/>
  <c r="E235" i="3" s="1"/>
  <c r="C235" i="3" a="1"/>
  <c r="C235" i="3" s="1"/>
  <c r="BF234" i="3"/>
  <c r="BE234" i="3"/>
  <c r="BD234" i="3"/>
  <c r="BC234" i="3"/>
  <c r="BB234" i="3"/>
  <c r="BA234" i="3"/>
  <c r="AZ234" i="3"/>
  <c r="AY234" i="3"/>
  <c r="AX234" i="3"/>
  <c r="AW234" i="3"/>
  <c r="AV234" i="3"/>
  <c r="AU234" i="3"/>
  <c r="AK234" i="3"/>
  <c r="AH234" i="3"/>
  <c r="AG234" i="3" a="1"/>
  <c r="AG234" i="3" s="1"/>
  <c r="AE234" i="3" a="1"/>
  <c r="AE234" i="3"/>
  <c r="AC234" i="3" a="1"/>
  <c r="AC234" i="3" s="1"/>
  <c r="AA234" i="3" a="1"/>
  <c r="AA234" i="3"/>
  <c r="Y234" i="3" a="1"/>
  <c r="Y234" i="3" s="1"/>
  <c r="V234" i="3"/>
  <c r="R234" i="3" a="1"/>
  <c r="R234" i="3" s="1"/>
  <c r="P234" i="3" a="1"/>
  <c r="P234" i="3"/>
  <c r="N234" i="3" a="1"/>
  <c r="N234" i="3" s="1"/>
  <c r="L234" i="3" a="1"/>
  <c r="L234" i="3"/>
  <c r="I234" i="3"/>
  <c r="E234" i="3" a="1"/>
  <c r="E234" i="3" s="1"/>
  <c r="C234" i="3" a="1"/>
  <c r="C234" i="3" s="1"/>
  <c r="BF233" i="3"/>
  <c r="BE233" i="3"/>
  <c r="BD233" i="3"/>
  <c r="BC233" i="3"/>
  <c r="BB233" i="3"/>
  <c r="BA233" i="3"/>
  <c r="AZ233" i="3"/>
  <c r="AY233" i="3"/>
  <c r="AX233" i="3"/>
  <c r="AW233" i="3"/>
  <c r="AV233" i="3"/>
  <c r="AU233" i="3"/>
  <c r="AK233" i="3"/>
  <c r="AH233" i="3"/>
  <c r="AG233" i="3" a="1"/>
  <c r="AG233" i="3"/>
  <c r="AE233" i="3" a="1"/>
  <c r="AE233" i="3" s="1"/>
  <c r="AC233" i="3" a="1"/>
  <c r="AC233" i="3"/>
  <c r="AA233" i="3" a="1"/>
  <c r="AA233" i="3" s="1"/>
  <c r="Y233" i="3" a="1"/>
  <c r="Y233" i="3"/>
  <c r="V233" i="3"/>
  <c r="R233" i="3" a="1"/>
  <c r="R233" i="3"/>
  <c r="P233" i="3" a="1"/>
  <c r="P233" i="3"/>
  <c r="N233" i="3" a="1"/>
  <c r="N233" i="3"/>
  <c r="L233" i="3" a="1"/>
  <c r="L233" i="3"/>
  <c r="I233" i="3"/>
  <c r="E233" i="3" a="1"/>
  <c r="E233" i="3" s="1"/>
  <c r="C233" i="3" a="1"/>
  <c r="C233" i="3" s="1"/>
  <c r="BF232" i="3"/>
  <c r="BE232" i="3"/>
  <c r="BD232" i="3"/>
  <c r="BC232" i="3"/>
  <c r="BB232" i="3"/>
  <c r="BA232" i="3"/>
  <c r="AZ232" i="3"/>
  <c r="AY232" i="3"/>
  <c r="AX232" i="3"/>
  <c r="AW232" i="3"/>
  <c r="AV232" i="3"/>
  <c r="AU232" i="3"/>
  <c r="AK232" i="3"/>
  <c r="AH232" i="3"/>
  <c r="AG232" i="3" a="1"/>
  <c r="AG232" i="3" s="1"/>
  <c r="AE232" i="3" a="1"/>
  <c r="AE232" i="3"/>
  <c r="AC232" i="3" a="1"/>
  <c r="AC232" i="3" s="1"/>
  <c r="AA232" i="3" a="1"/>
  <c r="AA232" i="3"/>
  <c r="Y232" i="3" a="1"/>
  <c r="Y232" i="3" s="1"/>
  <c r="V232" i="3"/>
  <c r="R232" i="3" a="1"/>
  <c r="R232" i="3"/>
  <c r="P232" i="3" a="1"/>
  <c r="P232" i="3"/>
  <c r="N232" i="3" a="1"/>
  <c r="N232" i="3"/>
  <c r="L232" i="3" a="1"/>
  <c r="L232" i="3"/>
  <c r="I232" i="3"/>
  <c r="E232" i="3" a="1"/>
  <c r="E232" i="3" s="1"/>
  <c r="C232" i="3" a="1"/>
  <c r="C232" i="3" s="1"/>
  <c r="BF231" i="3"/>
  <c r="BE231" i="3"/>
  <c r="BD231" i="3"/>
  <c r="BC231" i="3"/>
  <c r="BB231" i="3"/>
  <c r="BA231" i="3"/>
  <c r="AZ231" i="3"/>
  <c r="AY231" i="3"/>
  <c r="AX231" i="3"/>
  <c r="AW231" i="3"/>
  <c r="AV231" i="3"/>
  <c r="AU231" i="3"/>
  <c r="AK231" i="3"/>
  <c r="AH231" i="3"/>
  <c r="AG231" i="3" a="1"/>
  <c r="AG231" i="3"/>
  <c r="AE231" i="3" a="1"/>
  <c r="AE231" i="3" s="1"/>
  <c r="AC231" i="3" a="1"/>
  <c r="AC231" i="3"/>
  <c r="AA231" i="3" a="1"/>
  <c r="AA231" i="3" s="1"/>
  <c r="Y231" i="3" a="1"/>
  <c r="Y231" i="3"/>
  <c r="V231" i="3"/>
  <c r="R231" i="3" a="1"/>
  <c r="R231" i="3"/>
  <c r="P231" i="3" a="1"/>
  <c r="P231" i="3"/>
  <c r="N231" i="3" a="1"/>
  <c r="N231" i="3"/>
  <c r="L231" i="3" a="1"/>
  <c r="L231" i="3"/>
  <c r="I231" i="3"/>
  <c r="E231" i="3" a="1"/>
  <c r="E231" i="3" s="1"/>
  <c r="C231" i="3" a="1"/>
  <c r="C231" i="3" s="1"/>
  <c r="BF230" i="3"/>
  <c r="BE230" i="3"/>
  <c r="BD230" i="3"/>
  <c r="BC230" i="3"/>
  <c r="BB230" i="3"/>
  <c r="BA230" i="3"/>
  <c r="AZ230" i="3"/>
  <c r="AY230" i="3"/>
  <c r="AX230" i="3"/>
  <c r="AW230" i="3"/>
  <c r="AV230" i="3"/>
  <c r="AU230" i="3"/>
  <c r="AK230" i="3"/>
  <c r="AH230" i="3"/>
  <c r="AG230" i="3" a="1"/>
  <c r="AG230" i="3" s="1"/>
  <c r="AE230" i="3" a="1"/>
  <c r="AE230" i="3"/>
  <c r="AC230" i="3" a="1"/>
  <c r="AC230" i="3" s="1"/>
  <c r="AA230" i="3" a="1"/>
  <c r="AA230" i="3"/>
  <c r="Y230" i="3" a="1"/>
  <c r="Y230" i="3" s="1"/>
  <c r="V230" i="3"/>
  <c r="R230" i="3" a="1"/>
  <c r="R230" i="3"/>
  <c r="P230" i="3" a="1"/>
  <c r="P230" i="3"/>
  <c r="N230" i="3" a="1"/>
  <c r="N230" i="3"/>
  <c r="L230" i="3" a="1"/>
  <c r="L230" i="3"/>
  <c r="I230" i="3"/>
  <c r="E230" i="3" a="1"/>
  <c r="E230" i="3" s="1"/>
  <c r="C230" i="3" a="1"/>
  <c r="C230" i="3" s="1"/>
  <c r="BF229" i="3"/>
  <c r="BE229" i="3"/>
  <c r="BD229" i="3"/>
  <c r="BC229" i="3"/>
  <c r="BB229" i="3"/>
  <c r="BA229" i="3"/>
  <c r="AZ229" i="3"/>
  <c r="AY229" i="3"/>
  <c r="AX229" i="3"/>
  <c r="AW229" i="3"/>
  <c r="AV229" i="3"/>
  <c r="AU229" i="3"/>
  <c r="AK229" i="3"/>
  <c r="AH229" i="3"/>
  <c r="AG229" i="3" a="1"/>
  <c r="AG229" i="3"/>
  <c r="AE229" i="3" a="1"/>
  <c r="AE229" i="3" s="1"/>
  <c r="AC229" i="3" a="1"/>
  <c r="AC229" i="3"/>
  <c r="AA229" i="3" a="1"/>
  <c r="AA229" i="3" s="1"/>
  <c r="Y229" i="3" a="1"/>
  <c r="Y229" i="3"/>
  <c r="V229" i="3"/>
  <c r="R229" i="3" a="1"/>
  <c r="R229" i="3"/>
  <c r="P229" i="3" a="1"/>
  <c r="P229" i="3" s="1"/>
  <c r="N229" i="3" a="1"/>
  <c r="N229" i="3"/>
  <c r="L229" i="3" a="1"/>
  <c r="L229" i="3" s="1"/>
  <c r="I229" i="3"/>
  <c r="E229" i="3" a="1"/>
  <c r="E229" i="3" s="1"/>
  <c r="C229" i="3" a="1"/>
  <c r="C229" i="3" s="1"/>
  <c r="BF228" i="3"/>
  <c r="BE228" i="3"/>
  <c r="BD228" i="3"/>
  <c r="BC228" i="3"/>
  <c r="BB228" i="3"/>
  <c r="BA228" i="3"/>
  <c r="AZ228" i="3"/>
  <c r="AY228" i="3"/>
  <c r="AX228" i="3"/>
  <c r="AW228" i="3"/>
  <c r="AV228" i="3"/>
  <c r="AU228" i="3"/>
  <c r="AK228" i="3"/>
  <c r="AH228" i="3"/>
  <c r="AG228" i="3" a="1"/>
  <c r="AG228" i="3" s="1"/>
  <c r="AE228" i="3" a="1"/>
  <c r="AE228" i="3"/>
  <c r="AC228" i="3" a="1"/>
  <c r="AC228" i="3" s="1"/>
  <c r="AA228" i="3" a="1"/>
  <c r="AA228" i="3"/>
  <c r="Y228" i="3" a="1"/>
  <c r="Y228" i="3" s="1"/>
  <c r="V228" i="3"/>
  <c r="R228" i="3" a="1"/>
  <c r="R228" i="3" s="1"/>
  <c r="P228" i="3" a="1"/>
  <c r="P228" i="3"/>
  <c r="N228" i="3" a="1"/>
  <c r="N228" i="3" s="1"/>
  <c r="L228" i="3" a="1"/>
  <c r="L228" i="3"/>
  <c r="I228" i="3"/>
  <c r="E228" i="3" a="1"/>
  <c r="E228" i="3" s="1"/>
  <c r="C228" i="3" a="1"/>
  <c r="C228" i="3" s="1"/>
  <c r="BF227" i="3"/>
  <c r="BE227" i="3"/>
  <c r="BD227" i="3"/>
  <c r="BC227" i="3"/>
  <c r="BB227" i="3"/>
  <c r="BA227" i="3"/>
  <c r="AZ227" i="3"/>
  <c r="AY227" i="3"/>
  <c r="AX227" i="3"/>
  <c r="AW227" i="3"/>
  <c r="AV227" i="3"/>
  <c r="AU227" i="3"/>
  <c r="AK227" i="3"/>
  <c r="AH227" i="3"/>
  <c r="AG227" i="3" a="1"/>
  <c r="AG227" i="3"/>
  <c r="AE227" i="3" a="1"/>
  <c r="AE227" i="3" s="1"/>
  <c r="AC227" i="3" a="1"/>
  <c r="AC227" i="3"/>
  <c r="AA227" i="3" a="1"/>
  <c r="AA227" i="3" s="1"/>
  <c r="Y227" i="3" a="1"/>
  <c r="Y227" i="3"/>
  <c r="V227" i="3"/>
  <c r="R227" i="3" a="1"/>
  <c r="R227" i="3"/>
  <c r="P227" i="3" a="1"/>
  <c r="P227" i="3" s="1"/>
  <c r="N227" i="3" a="1"/>
  <c r="N227" i="3"/>
  <c r="L227" i="3" a="1"/>
  <c r="L227" i="3" s="1"/>
  <c r="I227" i="3"/>
  <c r="E227" i="3" a="1"/>
  <c r="E227" i="3" s="1"/>
  <c r="C227" i="3" a="1"/>
  <c r="C227" i="3" s="1"/>
  <c r="BF226" i="3"/>
  <c r="BE226" i="3"/>
  <c r="BD226" i="3"/>
  <c r="BC226" i="3"/>
  <c r="BB226" i="3"/>
  <c r="BA226" i="3"/>
  <c r="AZ226" i="3"/>
  <c r="AY226" i="3"/>
  <c r="AX226" i="3"/>
  <c r="AW226" i="3"/>
  <c r="AV226" i="3"/>
  <c r="AU226" i="3"/>
  <c r="AK226" i="3"/>
  <c r="AH226" i="3"/>
  <c r="AG226" i="3" a="1"/>
  <c r="AG226" i="3" s="1"/>
  <c r="AE226" i="3" a="1"/>
  <c r="AE226" i="3"/>
  <c r="AC226" i="3" a="1"/>
  <c r="AC226" i="3" s="1"/>
  <c r="AA226" i="3" a="1"/>
  <c r="AA226" i="3"/>
  <c r="Y226" i="3" a="1"/>
  <c r="Y226" i="3" s="1"/>
  <c r="V226" i="3"/>
  <c r="R226" i="3" a="1"/>
  <c r="R226" i="3" s="1"/>
  <c r="P226" i="3" a="1"/>
  <c r="P226" i="3"/>
  <c r="N226" i="3" a="1"/>
  <c r="N226" i="3" s="1"/>
  <c r="L226" i="3" a="1"/>
  <c r="L226" i="3"/>
  <c r="I226" i="3"/>
  <c r="E226" i="3" a="1"/>
  <c r="E226" i="3" s="1"/>
  <c r="C226" i="3" a="1"/>
  <c r="C226" i="3" s="1"/>
  <c r="BF225" i="3"/>
  <c r="BE225" i="3"/>
  <c r="BD225" i="3"/>
  <c r="BC225" i="3"/>
  <c r="BB225" i="3"/>
  <c r="BA225" i="3"/>
  <c r="AZ225" i="3"/>
  <c r="AY225" i="3"/>
  <c r="AX225" i="3"/>
  <c r="AW225" i="3"/>
  <c r="AV225" i="3"/>
  <c r="AU225" i="3"/>
  <c r="AK225" i="3"/>
  <c r="AH225" i="3"/>
  <c r="AG225" i="3" a="1"/>
  <c r="AG225" i="3"/>
  <c r="AE225" i="3" a="1"/>
  <c r="AE225" i="3" s="1"/>
  <c r="AC225" i="3" a="1"/>
  <c r="AC225" i="3"/>
  <c r="AA225" i="3" a="1"/>
  <c r="AA225" i="3" s="1"/>
  <c r="Y225" i="3" a="1"/>
  <c r="Y225" i="3"/>
  <c r="V225" i="3"/>
  <c r="R225" i="3" a="1"/>
  <c r="R225" i="3"/>
  <c r="P225" i="3" a="1"/>
  <c r="P225" i="3"/>
  <c r="N225" i="3" a="1"/>
  <c r="N225" i="3"/>
  <c r="L225" i="3" a="1"/>
  <c r="L225" i="3"/>
  <c r="I225" i="3"/>
  <c r="E225" i="3" a="1"/>
  <c r="E225" i="3" s="1"/>
  <c r="C225" i="3" a="1"/>
  <c r="C225" i="3" s="1"/>
  <c r="BF224" i="3"/>
  <c r="BE224" i="3"/>
  <c r="BD224" i="3"/>
  <c r="BC224" i="3"/>
  <c r="BB224" i="3"/>
  <c r="BA224" i="3"/>
  <c r="AZ224" i="3"/>
  <c r="AY224" i="3"/>
  <c r="AX224" i="3"/>
  <c r="AW224" i="3"/>
  <c r="AV224" i="3"/>
  <c r="AU224" i="3"/>
  <c r="AK224" i="3"/>
  <c r="AH224" i="3"/>
  <c r="AG224" i="3" a="1"/>
  <c r="AG224" i="3" s="1"/>
  <c r="AE224" i="3" a="1"/>
  <c r="AE224" i="3"/>
  <c r="AC224" i="3" a="1"/>
  <c r="AC224" i="3" s="1"/>
  <c r="AA224" i="3" a="1"/>
  <c r="AA224" i="3"/>
  <c r="Y224" i="3" a="1"/>
  <c r="Y224" i="3" s="1"/>
  <c r="V224" i="3"/>
  <c r="R224" i="3" a="1"/>
  <c r="R224" i="3"/>
  <c r="P224" i="3" a="1"/>
  <c r="P224" i="3"/>
  <c r="N224" i="3" a="1"/>
  <c r="N224" i="3"/>
  <c r="L224" i="3" a="1"/>
  <c r="L224" i="3"/>
  <c r="I224" i="3"/>
  <c r="E224" i="3" a="1"/>
  <c r="E224" i="3" s="1"/>
  <c r="C224" i="3" a="1"/>
  <c r="C224" i="3" s="1"/>
  <c r="BF223" i="3"/>
  <c r="BE223" i="3"/>
  <c r="BD223" i="3"/>
  <c r="BC223" i="3"/>
  <c r="BB223" i="3"/>
  <c r="BA223" i="3"/>
  <c r="AZ223" i="3"/>
  <c r="AY223" i="3"/>
  <c r="AX223" i="3"/>
  <c r="AW223" i="3"/>
  <c r="AV223" i="3"/>
  <c r="AU223" i="3"/>
  <c r="AK223" i="3"/>
  <c r="AH223" i="3"/>
  <c r="AG223" i="3" a="1"/>
  <c r="AG223" i="3"/>
  <c r="AE223" i="3" a="1"/>
  <c r="AE223" i="3" s="1"/>
  <c r="AC223" i="3" a="1"/>
  <c r="AC223" i="3"/>
  <c r="AA223" i="3" a="1"/>
  <c r="AA223" i="3" s="1"/>
  <c r="Y223" i="3" a="1"/>
  <c r="Y223" i="3"/>
  <c r="V223" i="3"/>
  <c r="R223" i="3" a="1"/>
  <c r="R223" i="3"/>
  <c r="P223" i="3" a="1"/>
  <c r="P223" i="3"/>
  <c r="N223" i="3" a="1"/>
  <c r="N223" i="3"/>
  <c r="L223" i="3" a="1"/>
  <c r="L223" i="3"/>
  <c r="I223" i="3"/>
  <c r="E223" i="3" a="1"/>
  <c r="E223" i="3" s="1"/>
  <c r="C223" i="3" a="1"/>
  <c r="C223" i="3" s="1"/>
  <c r="BF222" i="3"/>
  <c r="BE222" i="3"/>
  <c r="BD222" i="3"/>
  <c r="BC222" i="3"/>
  <c r="BB222" i="3"/>
  <c r="BA222" i="3"/>
  <c r="AZ222" i="3"/>
  <c r="AY222" i="3"/>
  <c r="AX222" i="3"/>
  <c r="AW222" i="3"/>
  <c r="AV222" i="3"/>
  <c r="AU222" i="3"/>
  <c r="AK222" i="3"/>
  <c r="AH222" i="3"/>
  <c r="AG222" i="3" a="1"/>
  <c r="AG222" i="3" s="1"/>
  <c r="AE222" i="3" a="1"/>
  <c r="AE222" i="3" s="1"/>
  <c r="AC222" i="3" a="1"/>
  <c r="AC222" i="3" s="1"/>
  <c r="AA222" i="3" a="1"/>
  <c r="AA222" i="3"/>
  <c r="Y222" i="3" a="1"/>
  <c r="Y222" i="3" s="1"/>
  <c r="V222" i="3"/>
  <c r="R222" i="3" a="1"/>
  <c r="R222" i="3"/>
  <c r="P222" i="3" a="1"/>
  <c r="P222" i="3"/>
  <c r="N222" i="3" a="1"/>
  <c r="N222" i="3"/>
  <c r="L222" i="3" a="1"/>
  <c r="L222" i="3"/>
  <c r="I222" i="3"/>
  <c r="E222" i="3" a="1"/>
  <c r="E222" i="3" s="1"/>
  <c r="C222" i="3" a="1"/>
  <c r="C222" i="3" s="1"/>
  <c r="BF221" i="3"/>
  <c r="BE221" i="3"/>
  <c r="BD221" i="3"/>
  <c r="BC221" i="3"/>
  <c r="BB221" i="3"/>
  <c r="BA221" i="3"/>
  <c r="AZ221" i="3"/>
  <c r="AY221" i="3"/>
  <c r="AX221" i="3"/>
  <c r="AW221" i="3"/>
  <c r="AV221" i="3"/>
  <c r="AU221" i="3"/>
  <c r="AK221" i="3"/>
  <c r="AH221" i="3"/>
  <c r="AG221" i="3" a="1"/>
  <c r="AG221" i="3" s="1"/>
  <c r="AE221" i="3" a="1"/>
  <c r="AE221" i="3" s="1"/>
  <c r="AC221" i="3" a="1"/>
  <c r="AC221" i="3" s="1"/>
  <c r="AA221" i="3" a="1"/>
  <c r="AA221" i="3" s="1"/>
  <c r="Y221" i="3" a="1"/>
  <c r="Y221" i="3"/>
  <c r="V221" i="3"/>
  <c r="R221" i="3" a="1"/>
  <c r="R221" i="3"/>
  <c r="P221" i="3" a="1"/>
  <c r="P221" i="3" s="1"/>
  <c r="N221" i="3" a="1"/>
  <c r="N221" i="3"/>
  <c r="L221" i="3" a="1"/>
  <c r="L221" i="3" s="1"/>
  <c r="I221" i="3"/>
  <c r="E221" i="3" a="1"/>
  <c r="E221" i="3" s="1"/>
  <c r="C221" i="3" a="1"/>
  <c r="C221" i="3" s="1"/>
  <c r="BF220" i="3"/>
  <c r="BE220" i="3"/>
  <c r="BD220" i="3"/>
  <c r="BC220" i="3"/>
  <c r="BB220" i="3"/>
  <c r="BA220" i="3"/>
  <c r="AZ220" i="3"/>
  <c r="AY220" i="3"/>
  <c r="AX220" i="3"/>
  <c r="AW220" i="3"/>
  <c r="AV220" i="3"/>
  <c r="AU220" i="3"/>
  <c r="AK220" i="3"/>
  <c r="AH220" i="3"/>
  <c r="AG220" i="3" a="1"/>
  <c r="AG220" i="3" s="1"/>
  <c r="AE220" i="3" a="1"/>
  <c r="AE220" i="3" s="1"/>
  <c r="AC220" i="3" a="1"/>
  <c r="AC220" i="3" s="1"/>
  <c r="AA220" i="3" a="1"/>
  <c r="AA220" i="3" s="1"/>
  <c r="Y220" i="3" a="1"/>
  <c r="Y220" i="3" s="1"/>
  <c r="V220" i="3"/>
  <c r="R220" i="3" a="1"/>
  <c r="R220" i="3" s="1"/>
  <c r="P220" i="3" a="1"/>
  <c r="P220" i="3"/>
  <c r="N220" i="3" a="1"/>
  <c r="N220" i="3" s="1"/>
  <c r="L220" i="3" a="1"/>
  <c r="L220" i="3"/>
  <c r="I220" i="3"/>
  <c r="E220" i="3" a="1"/>
  <c r="E220" i="3" s="1"/>
  <c r="C220" i="3" a="1"/>
  <c r="C220" i="3" s="1"/>
  <c r="BF219" i="3"/>
  <c r="BE219" i="3"/>
  <c r="BD219" i="3"/>
  <c r="BC219" i="3"/>
  <c r="BB219" i="3"/>
  <c r="BA219" i="3"/>
  <c r="AZ219" i="3"/>
  <c r="AY219" i="3"/>
  <c r="AX219" i="3"/>
  <c r="AW219" i="3"/>
  <c r="AV219" i="3"/>
  <c r="AU219" i="3"/>
  <c r="AK219" i="3"/>
  <c r="AH219" i="3"/>
  <c r="AG219" i="3" a="1"/>
  <c r="AG219" i="3"/>
  <c r="AE219" i="3" a="1"/>
  <c r="AE219" i="3" s="1"/>
  <c r="AC219" i="3" a="1"/>
  <c r="AC219" i="3"/>
  <c r="AA219" i="3" a="1"/>
  <c r="AA219" i="3" s="1"/>
  <c r="Y219" i="3" a="1"/>
  <c r="Y219" i="3" s="1"/>
  <c r="V219" i="3"/>
  <c r="R219" i="3" a="1"/>
  <c r="R219" i="3"/>
  <c r="P219" i="3" a="1"/>
  <c r="P219" i="3"/>
  <c r="N219" i="3" a="1"/>
  <c r="N219" i="3"/>
  <c r="L219" i="3" a="1"/>
  <c r="L219" i="3" s="1"/>
  <c r="I219" i="3"/>
  <c r="E219" i="3" a="1"/>
  <c r="E219" i="3" s="1"/>
  <c r="C219" i="3" a="1"/>
  <c r="C219" i="3" s="1"/>
  <c r="BF218" i="3"/>
  <c r="BE218" i="3"/>
  <c r="BD218" i="3"/>
  <c r="BC218" i="3"/>
  <c r="BB218" i="3"/>
  <c r="BA218" i="3"/>
  <c r="AZ218" i="3"/>
  <c r="AY218" i="3"/>
  <c r="AX218" i="3"/>
  <c r="AW218" i="3"/>
  <c r="AV218" i="3"/>
  <c r="AU218" i="3"/>
  <c r="AK218" i="3"/>
  <c r="AH218" i="3"/>
  <c r="AG218" i="3" a="1"/>
  <c r="AG218" i="3" s="1"/>
  <c r="AE218" i="3" a="1"/>
  <c r="AE218" i="3"/>
  <c r="AC218" i="3" a="1"/>
  <c r="AC218" i="3" s="1"/>
  <c r="AA218" i="3" a="1"/>
  <c r="AA218" i="3"/>
  <c r="Y218" i="3" a="1"/>
  <c r="Y218" i="3" s="1"/>
  <c r="V218" i="3"/>
  <c r="R218" i="3" a="1"/>
  <c r="R218" i="3"/>
  <c r="P218" i="3" a="1"/>
  <c r="P218" i="3" s="1"/>
  <c r="N218" i="3" a="1"/>
  <c r="N218" i="3"/>
  <c r="L218" i="3" a="1"/>
  <c r="L218" i="3" s="1"/>
  <c r="I218" i="3"/>
  <c r="E218" i="3" a="1"/>
  <c r="E218" i="3" s="1"/>
  <c r="C218" i="3" a="1"/>
  <c r="C218" i="3" s="1"/>
  <c r="BF217" i="3"/>
  <c r="BE217" i="3"/>
  <c r="BD217" i="3"/>
  <c r="BC217" i="3"/>
  <c r="BB217" i="3"/>
  <c r="BA217" i="3"/>
  <c r="AZ217" i="3"/>
  <c r="AY217" i="3"/>
  <c r="AX217" i="3"/>
  <c r="AW217" i="3"/>
  <c r="AV217" i="3"/>
  <c r="AU217" i="3"/>
  <c r="AK217" i="3"/>
  <c r="AH217" i="3"/>
  <c r="AG217" i="3" a="1"/>
  <c r="AG217" i="3"/>
  <c r="AE217" i="3" a="1"/>
  <c r="AE217" i="3" s="1"/>
  <c r="AC217" i="3" a="1"/>
  <c r="AC217" i="3"/>
  <c r="AA217" i="3" a="1"/>
  <c r="AA217" i="3" s="1"/>
  <c r="Y217" i="3" a="1"/>
  <c r="Y217" i="3"/>
  <c r="V217" i="3"/>
  <c r="R217" i="3" a="1"/>
  <c r="R217" i="3"/>
  <c r="P217" i="3" a="1"/>
  <c r="P217" i="3"/>
  <c r="N217" i="3" a="1"/>
  <c r="N217" i="3"/>
  <c r="L217" i="3" a="1"/>
  <c r="L217" i="3"/>
  <c r="I217" i="3"/>
  <c r="E217" i="3" a="1"/>
  <c r="E217" i="3" s="1"/>
  <c r="C217" i="3" a="1"/>
  <c r="C217" i="3" s="1"/>
  <c r="BF216" i="3"/>
  <c r="BE216" i="3"/>
  <c r="BD216" i="3"/>
  <c r="BC216" i="3"/>
  <c r="BB216" i="3"/>
  <c r="BA216" i="3"/>
  <c r="AZ216" i="3"/>
  <c r="AY216" i="3"/>
  <c r="AX216" i="3"/>
  <c r="AW216" i="3"/>
  <c r="AV216" i="3"/>
  <c r="AU216" i="3"/>
  <c r="AK216" i="3"/>
  <c r="AH216" i="3"/>
  <c r="AG216" i="3" a="1"/>
  <c r="AG216" i="3" s="1"/>
  <c r="AE216" i="3" a="1"/>
  <c r="AE216" i="3"/>
  <c r="AC216" i="3" a="1"/>
  <c r="AC216" i="3" s="1"/>
  <c r="AA216" i="3" a="1"/>
  <c r="AA216" i="3"/>
  <c r="Y216" i="3" a="1"/>
  <c r="Y216" i="3" s="1"/>
  <c r="V216" i="3"/>
  <c r="R216" i="3" a="1"/>
  <c r="R216" i="3"/>
  <c r="P216" i="3" a="1"/>
  <c r="P216" i="3"/>
  <c r="N216" i="3" a="1"/>
  <c r="N216" i="3"/>
  <c r="L216" i="3" a="1"/>
  <c r="L216" i="3"/>
  <c r="I216" i="3"/>
  <c r="E216" i="3" a="1"/>
  <c r="E216" i="3" s="1"/>
  <c r="C216" i="3" a="1"/>
  <c r="C216" i="3" s="1"/>
  <c r="BF215" i="3"/>
  <c r="BE215" i="3"/>
  <c r="BD215" i="3"/>
  <c r="BC215" i="3"/>
  <c r="BB215" i="3"/>
  <c r="BA215" i="3"/>
  <c r="AZ215" i="3"/>
  <c r="AY215" i="3"/>
  <c r="AX215" i="3"/>
  <c r="AW215" i="3"/>
  <c r="AV215" i="3"/>
  <c r="AU215" i="3"/>
  <c r="AK215" i="3"/>
  <c r="AH215" i="3"/>
  <c r="AG215" i="3" a="1"/>
  <c r="AG215" i="3"/>
  <c r="AE215" i="3" a="1"/>
  <c r="AE215" i="3" s="1"/>
  <c r="AC215" i="3" a="1"/>
  <c r="AC215" i="3"/>
  <c r="AA215" i="3" a="1"/>
  <c r="AA215" i="3" s="1"/>
  <c r="Y215" i="3" a="1"/>
  <c r="Y215" i="3"/>
  <c r="V215" i="3"/>
  <c r="R215" i="3" a="1"/>
  <c r="R215" i="3"/>
  <c r="P215" i="3" a="1"/>
  <c r="P215" i="3"/>
  <c r="N215" i="3" a="1"/>
  <c r="N215" i="3"/>
  <c r="L215" i="3" a="1"/>
  <c r="L215" i="3"/>
  <c r="I215" i="3"/>
  <c r="E215" i="3" a="1"/>
  <c r="E215" i="3" s="1"/>
  <c r="C215" i="3" a="1"/>
  <c r="C215" i="3" s="1"/>
  <c r="BF214" i="3"/>
  <c r="BE214" i="3"/>
  <c r="BD214" i="3"/>
  <c r="BC214" i="3"/>
  <c r="BB214" i="3"/>
  <c r="BA214" i="3"/>
  <c r="AZ214" i="3"/>
  <c r="AY214" i="3"/>
  <c r="AX214" i="3"/>
  <c r="AW214" i="3"/>
  <c r="AV214" i="3"/>
  <c r="AU214" i="3"/>
  <c r="AK214" i="3"/>
  <c r="AH214" i="3"/>
  <c r="AG214" i="3" a="1"/>
  <c r="AG214" i="3" s="1"/>
  <c r="AE214" i="3" a="1"/>
  <c r="AE214" i="3"/>
  <c r="AC214" i="3" a="1"/>
  <c r="AC214" i="3" s="1"/>
  <c r="AA214" i="3" a="1"/>
  <c r="AA214" i="3"/>
  <c r="Y214" i="3" a="1"/>
  <c r="Y214" i="3" s="1"/>
  <c r="V214" i="3"/>
  <c r="R214" i="3" a="1"/>
  <c r="R214" i="3"/>
  <c r="P214" i="3" a="1"/>
  <c r="P214" i="3"/>
  <c r="N214" i="3" a="1"/>
  <c r="N214" i="3"/>
  <c r="L214" i="3" a="1"/>
  <c r="L214" i="3"/>
  <c r="I214" i="3"/>
  <c r="E214" i="3" a="1"/>
  <c r="E214" i="3" s="1"/>
  <c r="C214" i="3" a="1"/>
  <c r="C214" i="3" s="1"/>
  <c r="BF213" i="3"/>
  <c r="BE213" i="3"/>
  <c r="BD213" i="3"/>
  <c r="BC213" i="3"/>
  <c r="BB213" i="3"/>
  <c r="BA213" i="3"/>
  <c r="AZ213" i="3"/>
  <c r="AY213" i="3"/>
  <c r="AX213" i="3"/>
  <c r="AW213" i="3"/>
  <c r="AV213" i="3"/>
  <c r="AU213" i="3"/>
  <c r="AK213" i="3"/>
  <c r="AH213" i="3"/>
  <c r="AG213" i="3" a="1"/>
  <c r="AG213" i="3"/>
  <c r="AE213" i="3" a="1"/>
  <c r="AE213" i="3" s="1"/>
  <c r="AC213" i="3" a="1"/>
  <c r="AC213" i="3"/>
  <c r="AA213" i="3" a="1"/>
  <c r="AA213" i="3" s="1"/>
  <c r="Y213" i="3" a="1"/>
  <c r="Y213" i="3"/>
  <c r="V213" i="3"/>
  <c r="R213" i="3" a="1"/>
  <c r="R213" i="3"/>
  <c r="P213" i="3" a="1"/>
  <c r="P213" i="3"/>
  <c r="N213" i="3" a="1"/>
  <c r="N213" i="3"/>
  <c r="L213" i="3" a="1"/>
  <c r="L213" i="3"/>
  <c r="I213" i="3"/>
  <c r="E213" i="3" a="1"/>
  <c r="E213" i="3"/>
  <c r="C213" i="3" a="1"/>
  <c r="C213" i="3" s="1"/>
  <c r="BF212" i="3"/>
  <c r="BE212" i="3"/>
  <c r="BD212" i="3"/>
  <c r="BC212" i="3"/>
  <c r="BB212" i="3"/>
  <c r="BA212" i="3"/>
  <c r="AZ212" i="3"/>
  <c r="AY212" i="3"/>
  <c r="AX212" i="3"/>
  <c r="AW212" i="3"/>
  <c r="AV212" i="3"/>
  <c r="AU212" i="3"/>
  <c r="AK212" i="3"/>
  <c r="AH212" i="3"/>
  <c r="AG212" i="3" a="1"/>
  <c r="AG212" i="3" s="1"/>
  <c r="AE212" i="3" a="1"/>
  <c r="AE212" i="3"/>
  <c r="AC212" i="3" a="1"/>
  <c r="AC212" i="3" s="1"/>
  <c r="AA212" i="3" a="1"/>
  <c r="AA212" i="3"/>
  <c r="Y212" i="3" a="1"/>
  <c r="Y212" i="3" s="1"/>
  <c r="V212" i="3"/>
  <c r="R212" i="3" a="1"/>
  <c r="R212" i="3"/>
  <c r="P212" i="3" a="1"/>
  <c r="P212" i="3"/>
  <c r="N212" i="3" a="1"/>
  <c r="N212" i="3"/>
  <c r="L212" i="3" a="1"/>
  <c r="L212" i="3"/>
  <c r="I212" i="3"/>
  <c r="E212" i="3" a="1"/>
  <c r="E212" i="3" s="1"/>
  <c r="C212" i="3" a="1"/>
  <c r="C212" i="3" s="1"/>
  <c r="BF211" i="3"/>
  <c r="BE211" i="3"/>
  <c r="BD211" i="3"/>
  <c r="BC211" i="3"/>
  <c r="BB211" i="3"/>
  <c r="BA211" i="3"/>
  <c r="AZ211" i="3"/>
  <c r="AY211" i="3"/>
  <c r="AX211" i="3"/>
  <c r="AW211" i="3"/>
  <c r="AV211" i="3"/>
  <c r="AU211" i="3"/>
  <c r="AK211" i="3"/>
  <c r="AH211" i="3"/>
  <c r="AG211" i="3" a="1"/>
  <c r="AG211" i="3"/>
  <c r="AE211" i="3" a="1"/>
  <c r="AE211" i="3" s="1"/>
  <c r="AC211" i="3" a="1"/>
  <c r="AC211" i="3"/>
  <c r="AA211" i="3" a="1"/>
  <c r="AA211" i="3" s="1"/>
  <c r="Y211" i="3" a="1"/>
  <c r="Y211" i="3"/>
  <c r="V211" i="3"/>
  <c r="R211" i="3" a="1"/>
  <c r="R211" i="3"/>
  <c r="P211" i="3" a="1"/>
  <c r="P211" i="3"/>
  <c r="N211" i="3" a="1"/>
  <c r="N211" i="3"/>
  <c r="L211" i="3" a="1"/>
  <c r="L211" i="3"/>
  <c r="I211" i="3"/>
  <c r="E211" i="3" a="1"/>
  <c r="E211" i="3" s="1"/>
  <c r="C211" i="3" a="1"/>
  <c r="C211" i="3" s="1"/>
  <c r="BF210" i="3"/>
  <c r="BE210" i="3"/>
  <c r="BD210" i="3"/>
  <c r="BC210" i="3"/>
  <c r="BB210" i="3"/>
  <c r="BA210" i="3"/>
  <c r="AZ210" i="3"/>
  <c r="AY210" i="3"/>
  <c r="AX210" i="3"/>
  <c r="AW210" i="3"/>
  <c r="AV210" i="3"/>
  <c r="AU210" i="3"/>
  <c r="AK210" i="3"/>
  <c r="AH210" i="3"/>
  <c r="AG210" i="3" a="1"/>
  <c r="AG210" i="3" s="1"/>
  <c r="AE210" i="3" a="1"/>
  <c r="AE210" i="3"/>
  <c r="AC210" i="3" a="1"/>
  <c r="AC210" i="3" s="1"/>
  <c r="AA210" i="3" a="1"/>
  <c r="AA210" i="3"/>
  <c r="Y210" i="3" a="1"/>
  <c r="Y210" i="3" s="1"/>
  <c r="V210" i="3"/>
  <c r="R210" i="3" a="1"/>
  <c r="R210" i="3"/>
  <c r="P210" i="3" a="1"/>
  <c r="P210" i="3"/>
  <c r="N210" i="3" a="1"/>
  <c r="N210" i="3"/>
  <c r="L210" i="3" a="1"/>
  <c r="L210" i="3"/>
  <c r="I210" i="3"/>
  <c r="E210" i="3" a="1"/>
  <c r="E210" i="3" s="1"/>
  <c r="C210" i="3" a="1"/>
  <c r="C210" i="3" s="1"/>
  <c r="BF209" i="3"/>
  <c r="BE209" i="3"/>
  <c r="BD209" i="3"/>
  <c r="BC209" i="3"/>
  <c r="BB209" i="3"/>
  <c r="BA209" i="3"/>
  <c r="AZ209" i="3"/>
  <c r="AY209" i="3"/>
  <c r="AX209" i="3"/>
  <c r="AW209" i="3"/>
  <c r="AV209" i="3"/>
  <c r="AU209" i="3"/>
  <c r="AK209" i="3"/>
  <c r="AH209" i="3"/>
  <c r="AG209" i="3" a="1"/>
  <c r="AG209" i="3"/>
  <c r="AE209" i="3" a="1"/>
  <c r="AE209" i="3" s="1"/>
  <c r="AC209" i="3" a="1"/>
  <c r="AC209" i="3"/>
  <c r="AA209" i="3" a="1"/>
  <c r="AA209" i="3" s="1"/>
  <c r="Y209" i="3" a="1"/>
  <c r="Y209" i="3"/>
  <c r="V209" i="3"/>
  <c r="R209" i="3" a="1"/>
  <c r="R209" i="3"/>
  <c r="P209" i="3" a="1"/>
  <c r="P209" i="3"/>
  <c r="N209" i="3" a="1"/>
  <c r="N209" i="3"/>
  <c r="L209" i="3" a="1"/>
  <c r="L209" i="3"/>
  <c r="I209" i="3"/>
  <c r="E209" i="3" a="1"/>
  <c r="E209" i="3" s="1"/>
  <c r="C209" i="3" a="1"/>
  <c r="C209" i="3" s="1"/>
  <c r="BF208" i="3"/>
  <c r="BE208" i="3"/>
  <c r="BD208" i="3"/>
  <c r="BC208" i="3"/>
  <c r="BB208" i="3"/>
  <c r="BA208" i="3"/>
  <c r="AZ208" i="3"/>
  <c r="AY208" i="3"/>
  <c r="AX208" i="3"/>
  <c r="AW208" i="3"/>
  <c r="AV208" i="3"/>
  <c r="AU208" i="3"/>
  <c r="AK208" i="3"/>
  <c r="AH208" i="3"/>
  <c r="AG208" i="3" a="1"/>
  <c r="AG208" i="3" s="1"/>
  <c r="AE208" i="3" a="1"/>
  <c r="AE208" i="3"/>
  <c r="AC208" i="3" a="1"/>
  <c r="AC208" i="3" s="1"/>
  <c r="AA208" i="3" a="1"/>
  <c r="AA208" i="3"/>
  <c r="Y208" i="3" a="1"/>
  <c r="Y208" i="3" s="1"/>
  <c r="V208" i="3"/>
  <c r="R208" i="3" a="1"/>
  <c r="R208" i="3"/>
  <c r="P208" i="3" a="1"/>
  <c r="P208" i="3"/>
  <c r="N208" i="3" a="1"/>
  <c r="N208" i="3"/>
  <c r="L208" i="3" a="1"/>
  <c r="L208" i="3"/>
  <c r="I208" i="3"/>
  <c r="E208" i="3" a="1"/>
  <c r="E208" i="3" s="1"/>
  <c r="C208" i="3" a="1"/>
  <c r="C208" i="3" s="1"/>
  <c r="BF207" i="3"/>
  <c r="BE207" i="3"/>
  <c r="BD207" i="3"/>
  <c r="BC207" i="3"/>
  <c r="BB207" i="3"/>
  <c r="BA207" i="3"/>
  <c r="AZ207" i="3"/>
  <c r="AY207" i="3"/>
  <c r="AX207" i="3"/>
  <c r="AW207" i="3"/>
  <c r="AV207" i="3"/>
  <c r="AU207" i="3"/>
  <c r="AK207" i="3"/>
  <c r="AH207" i="3"/>
  <c r="AG207" i="3" a="1"/>
  <c r="AG207" i="3"/>
  <c r="AE207" i="3" a="1"/>
  <c r="AE207" i="3" s="1"/>
  <c r="AC207" i="3" a="1"/>
  <c r="AC207" i="3"/>
  <c r="AA207" i="3" a="1"/>
  <c r="AA207" i="3" s="1"/>
  <c r="Y207" i="3" a="1"/>
  <c r="Y207" i="3"/>
  <c r="V207" i="3"/>
  <c r="R207" i="3" a="1"/>
  <c r="R207" i="3"/>
  <c r="P207" i="3" a="1"/>
  <c r="P207" i="3"/>
  <c r="N207" i="3" a="1"/>
  <c r="N207" i="3"/>
  <c r="L207" i="3" a="1"/>
  <c r="L207" i="3"/>
  <c r="I207" i="3"/>
  <c r="E207" i="3" a="1"/>
  <c r="E207" i="3" s="1"/>
  <c r="C207" i="3" a="1"/>
  <c r="C207" i="3" s="1"/>
  <c r="BF206" i="3"/>
  <c r="BE206" i="3"/>
  <c r="BD206" i="3"/>
  <c r="BC206" i="3"/>
  <c r="BB206" i="3"/>
  <c r="BA206" i="3"/>
  <c r="AZ206" i="3"/>
  <c r="AY206" i="3"/>
  <c r="AX206" i="3"/>
  <c r="AW206" i="3"/>
  <c r="AV206" i="3"/>
  <c r="AU206" i="3"/>
  <c r="AK206" i="3"/>
  <c r="AH206" i="3"/>
  <c r="AG206" i="3" a="1"/>
  <c r="AG206" i="3" s="1"/>
  <c r="AE206" i="3" a="1"/>
  <c r="AE206" i="3"/>
  <c r="AC206" i="3" a="1"/>
  <c r="AC206" i="3" s="1"/>
  <c r="AA206" i="3" a="1"/>
  <c r="AA206" i="3"/>
  <c r="Y206" i="3" a="1"/>
  <c r="Y206" i="3" s="1"/>
  <c r="V206" i="3"/>
  <c r="R206" i="3" a="1"/>
  <c r="R206" i="3"/>
  <c r="P206" i="3" a="1"/>
  <c r="P206" i="3"/>
  <c r="N206" i="3" a="1"/>
  <c r="N206" i="3"/>
  <c r="L206" i="3" a="1"/>
  <c r="L206" i="3"/>
  <c r="I206" i="3"/>
  <c r="E206" i="3" a="1"/>
  <c r="E206" i="3" s="1"/>
  <c r="C206" i="3" a="1"/>
  <c r="C206" i="3"/>
  <c r="BF205" i="3"/>
  <c r="BE205" i="3"/>
  <c r="BD205" i="3"/>
  <c r="BC205" i="3"/>
  <c r="BB205" i="3"/>
  <c r="BA205" i="3"/>
  <c r="AZ205" i="3"/>
  <c r="AY205" i="3"/>
  <c r="AX205" i="3"/>
  <c r="AW205" i="3"/>
  <c r="AV205" i="3"/>
  <c r="AU205" i="3"/>
  <c r="AK205" i="3"/>
  <c r="AH205" i="3"/>
  <c r="AG205" i="3" a="1"/>
  <c r="AG205" i="3"/>
  <c r="AE205" i="3" a="1"/>
  <c r="AE205" i="3" s="1"/>
  <c r="AC205" i="3" a="1"/>
  <c r="AC205" i="3"/>
  <c r="AA205" i="3" a="1"/>
  <c r="AA205" i="3" s="1"/>
  <c r="Y205" i="3" a="1"/>
  <c r="Y205" i="3"/>
  <c r="V205" i="3"/>
  <c r="R205" i="3" a="1"/>
  <c r="R205" i="3"/>
  <c r="P205" i="3" a="1"/>
  <c r="P205" i="3"/>
  <c r="N205" i="3" a="1"/>
  <c r="N205" i="3"/>
  <c r="L205" i="3" a="1"/>
  <c r="L205" i="3"/>
  <c r="I205" i="3"/>
  <c r="E205" i="3" a="1"/>
  <c r="E205" i="3" s="1"/>
  <c r="C205" i="3" a="1"/>
  <c r="C205" i="3" s="1"/>
  <c r="BF204" i="3"/>
  <c r="BE204" i="3"/>
  <c r="BD204" i="3"/>
  <c r="BC204" i="3"/>
  <c r="BB204" i="3"/>
  <c r="BA204" i="3"/>
  <c r="AZ204" i="3"/>
  <c r="AY204" i="3"/>
  <c r="AX204" i="3"/>
  <c r="AW204" i="3"/>
  <c r="AV204" i="3"/>
  <c r="AU204" i="3"/>
  <c r="AK204" i="3"/>
  <c r="AH204" i="3"/>
  <c r="AG204" i="3" a="1"/>
  <c r="AG204" i="3" s="1"/>
  <c r="AE204" i="3" a="1"/>
  <c r="AE204" i="3"/>
  <c r="AC204" i="3" a="1"/>
  <c r="AC204" i="3" s="1"/>
  <c r="AA204" i="3" a="1"/>
  <c r="AA204" i="3"/>
  <c r="Y204" i="3" a="1"/>
  <c r="Y204" i="3" s="1"/>
  <c r="V204" i="3"/>
  <c r="R204" i="3" a="1"/>
  <c r="R204" i="3"/>
  <c r="P204" i="3" a="1"/>
  <c r="P204" i="3"/>
  <c r="N204" i="3" a="1"/>
  <c r="N204" i="3"/>
  <c r="L204" i="3" a="1"/>
  <c r="L204" i="3"/>
  <c r="I204" i="3"/>
  <c r="E204" i="3" a="1"/>
  <c r="E204" i="3" s="1"/>
  <c r="C204" i="3" a="1"/>
  <c r="C204" i="3"/>
  <c r="BF203" i="3"/>
  <c r="BE203" i="3"/>
  <c r="BD203" i="3"/>
  <c r="BC203" i="3"/>
  <c r="BB203" i="3"/>
  <c r="BA203" i="3"/>
  <c r="AZ203" i="3"/>
  <c r="AY203" i="3"/>
  <c r="AX203" i="3"/>
  <c r="AW203" i="3"/>
  <c r="AV203" i="3"/>
  <c r="AU203" i="3"/>
  <c r="AK203" i="3"/>
  <c r="AH203" i="3"/>
  <c r="AG203" i="3" a="1"/>
  <c r="AG203" i="3"/>
  <c r="AE203" i="3" a="1"/>
  <c r="AE203" i="3" s="1"/>
  <c r="AC203" i="3" a="1"/>
  <c r="AC203" i="3"/>
  <c r="AA203" i="3" a="1"/>
  <c r="AA203" i="3" s="1"/>
  <c r="Y203" i="3" a="1"/>
  <c r="Y203" i="3"/>
  <c r="V203" i="3"/>
  <c r="R203" i="3" a="1"/>
  <c r="R203" i="3"/>
  <c r="P203" i="3" a="1"/>
  <c r="P203" i="3"/>
  <c r="N203" i="3" a="1"/>
  <c r="N203" i="3"/>
  <c r="L203" i="3" a="1"/>
  <c r="L203" i="3"/>
  <c r="I203" i="3"/>
  <c r="E203" i="3" a="1"/>
  <c r="E203" i="3" s="1"/>
  <c r="C203" i="3" a="1"/>
  <c r="C203" i="3" s="1"/>
  <c r="BF202" i="3"/>
  <c r="BE202" i="3"/>
  <c r="BD202" i="3"/>
  <c r="BC202" i="3"/>
  <c r="BB202" i="3"/>
  <c r="BA202" i="3"/>
  <c r="AZ202" i="3"/>
  <c r="AY202" i="3"/>
  <c r="AX202" i="3"/>
  <c r="AW202" i="3"/>
  <c r="AV202" i="3"/>
  <c r="AU202" i="3"/>
  <c r="AK202" i="3"/>
  <c r="AH202" i="3"/>
  <c r="AG202" i="3" a="1"/>
  <c r="AG202" i="3" s="1"/>
  <c r="AE202" i="3" a="1"/>
  <c r="AE202" i="3"/>
  <c r="AC202" i="3" a="1"/>
  <c r="AC202" i="3" s="1"/>
  <c r="AA202" i="3" a="1"/>
  <c r="AA202" i="3"/>
  <c r="Y202" i="3" a="1"/>
  <c r="Y202" i="3" s="1"/>
  <c r="V202" i="3"/>
  <c r="R202" i="3" a="1"/>
  <c r="R202" i="3"/>
  <c r="P202" i="3" a="1"/>
  <c r="P202" i="3"/>
  <c r="N202" i="3" a="1"/>
  <c r="N202" i="3"/>
  <c r="L202" i="3" a="1"/>
  <c r="L202" i="3"/>
  <c r="I202" i="3"/>
  <c r="E202" i="3" a="1"/>
  <c r="E202" i="3" s="1"/>
  <c r="C202" i="3" a="1"/>
  <c r="C202" i="3" s="1"/>
  <c r="BF201" i="3"/>
  <c r="BE201" i="3"/>
  <c r="BD201" i="3"/>
  <c r="BC201" i="3"/>
  <c r="BB201" i="3"/>
  <c r="BA201" i="3"/>
  <c r="AZ201" i="3"/>
  <c r="AY201" i="3"/>
  <c r="AX201" i="3"/>
  <c r="AW201" i="3"/>
  <c r="AV201" i="3"/>
  <c r="AU201" i="3"/>
  <c r="AK201" i="3"/>
  <c r="AH201" i="3"/>
  <c r="AG201" i="3" a="1"/>
  <c r="AG201" i="3"/>
  <c r="AE201" i="3" a="1"/>
  <c r="AE201" i="3" s="1"/>
  <c r="AC201" i="3" a="1"/>
  <c r="AC201" i="3"/>
  <c r="AA201" i="3" a="1"/>
  <c r="AA201" i="3" s="1"/>
  <c r="Y201" i="3" a="1"/>
  <c r="Y201" i="3"/>
  <c r="V201" i="3"/>
  <c r="R201" i="3" a="1"/>
  <c r="R201" i="3"/>
  <c r="P201" i="3" a="1"/>
  <c r="P201" i="3"/>
  <c r="N201" i="3" a="1"/>
  <c r="N201" i="3"/>
  <c r="L201" i="3" a="1"/>
  <c r="L201" i="3"/>
  <c r="I201" i="3"/>
  <c r="E201" i="3" a="1"/>
  <c r="E201" i="3" s="1"/>
  <c r="C201" i="3" a="1"/>
  <c r="C201" i="3" s="1"/>
  <c r="BF200" i="3"/>
  <c r="BE200" i="3"/>
  <c r="BD200" i="3"/>
  <c r="BC200" i="3"/>
  <c r="BB200" i="3"/>
  <c r="BA200" i="3"/>
  <c r="AZ200" i="3"/>
  <c r="AY200" i="3"/>
  <c r="AX200" i="3"/>
  <c r="AW200" i="3"/>
  <c r="AV200" i="3"/>
  <c r="AU200" i="3"/>
  <c r="AK200" i="3"/>
  <c r="AH200" i="3"/>
  <c r="AG200" i="3" a="1"/>
  <c r="AG200" i="3" s="1"/>
  <c r="AE200" i="3" a="1"/>
  <c r="AE200" i="3"/>
  <c r="AC200" i="3" a="1"/>
  <c r="AC200" i="3" s="1"/>
  <c r="AA200" i="3" a="1"/>
  <c r="AA200" i="3"/>
  <c r="Y200" i="3" a="1"/>
  <c r="Y200" i="3" s="1"/>
  <c r="V200" i="3"/>
  <c r="R200" i="3" a="1"/>
  <c r="R200" i="3"/>
  <c r="P200" i="3" a="1"/>
  <c r="P200" i="3"/>
  <c r="N200" i="3" a="1"/>
  <c r="N200" i="3"/>
  <c r="L200" i="3" a="1"/>
  <c r="L200" i="3"/>
  <c r="I200" i="3"/>
  <c r="E200" i="3" a="1"/>
  <c r="E200" i="3" s="1"/>
  <c r="C200" i="3" a="1"/>
  <c r="C200" i="3" s="1"/>
  <c r="BF199" i="3"/>
  <c r="BE199" i="3"/>
  <c r="BD199" i="3"/>
  <c r="BC199" i="3"/>
  <c r="BB199" i="3"/>
  <c r="BA199" i="3"/>
  <c r="AZ199" i="3"/>
  <c r="AY199" i="3"/>
  <c r="AX199" i="3"/>
  <c r="AW199" i="3"/>
  <c r="AV199" i="3"/>
  <c r="AU199" i="3"/>
  <c r="AK199" i="3"/>
  <c r="AH199" i="3"/>
  <c r="AG199" i="3" a="1"/>
  <c r="AG199" i="3"/>
  <c r="AE199" i="3" a="1"/>
  <c r="AE199" i="3" s="1"/>
  <c r="AC199" i="3" a="1"/>
  <c r="AC199" i="3"/>
  <c r="AA199" i="3" a="1"/>
  <c r="AA199" i="3" s="1"/>
  <c r="Y199" i="3" a="1"/>
  <c r="Y199" i="3"/>
  <c r="V199" i="3"/>
  <c r="R199" i="3" a="1"/>
  <c r="R199" i="3"/>
  <c r="P199" i="3" a="1"/>
  <c r="P199" i="3"/>
  <c r="N199" i="3" a="1"/>
  <c r="N199" i="3"/>
  <c r="L199" i="3" a="1"/>
  <c r="L199" i="3"/>
  <c r="I199" i="3"/>
  <c r="E199" i="3" a="1"/>
  <c r="E199" i="3" s="1"/>
  <c r="C199" i="3" a="1"/>
  <c r="C199" i="3" s="1"/>
  <c r="BF198" i="3"/>
  <c r="BE198" i="3"/>
  <c r="BD198" i="3"/>
  <c r="BC198" i="3"/>
  <c r="BB198" i="3"/>
  <c r="BA198" i="3"/>
  <c r="AZ198" i="3"/>
  <c r="AY198" i="3"/>
  <c r="AX198" i="3"/>
  <c r="AW198" i="3"/>
  <c r="AV198" i="3"/>
  <c r="AU198" i="3"/>
  <c r="AK198" i="3"/>
  <c r="AH198" i="3"/>
  <c r="AG198" i="3" a="1"/>
  <c r="AG198" i="3" s="1"/>
  <c r="AE198" i="3" a="1"/>
  <c r="AE198" i="3"/>
  <c r="AC198" i="3" a="1"/>
  <c r="AC198" i="3" s="1"/>
  <c r="AA198" i="3" a="1"/>
  <c r="AA198" i="3"/>
  <c r="Y198" i="3" a="1"/>
  <c r="Y198" i="3" s="1"/>
  <c r="V198" i="3"/>
  <c r="R198" i="3" a="1"/>
  <c r="R198" i="3"/>
  <c r="P198" i="3" a="1"/>
  <c r="P198" i="3"/>
  <c r="N198" i="3" a="1"/>
  <c r="N198" i="3"/>
  <c r="L198" i="3" a="1"/>
  <c r="L198" i="3"/>
  <c r="I198" i="3"/>
  <c r="E198" i="3" a="1"/>
  <c r="E198" i="3" s="1"/>
  <c r="C198" i="3" a="1"/>
  <c r="C198" i="3" s="1"/>
  <c r="BF197" i="3"/>
  <c r="BE197" i="3"/>
  <c r="BD197" i="3"/>
  <c r="BC197" i="3"/>
  <c r="BB197" i="3"/>
  <c r="BA197" i="3"/>
  <c r="AZ197" i="3"/>
  <c r="AY197" i="3"/>
  <c r="AX197" i="3"/>
  <c r="AW197" i="3"/>
  <c r="AV197" i="3"/>
  <c r="AU197" i="3"/>
  <c r="AK197" i="3"/>
  <c r="AH197" i="3"/>
  <c r="AG197" i="3" a="1"/>
  <c r="AG197" i="3"/>
  <c r="AE197" i="3" a="1"/>
  <c r="AE197" i="3" s="1"/>
  <c r="AC197" i="3" a="1"/>
  <c r="AC197" i="3"/>
  <c r="AA197" i="3" a="1"/>
  <c r="AA197" i="3" s="1"/>
  <c r="Y197" i="3" a="1"/>
  <c r="Y197" i="3"/>
  <c r="V197" i="3"/>
  <c r="R197" i="3" a="1"/>
  <c r="R197" i="3"/>
  <c r="P197" i="3" a="1"/>
  <c r="P197" i="3"/>
  <c r="N197" i="3" a="1"/>
  <c r="N197" i="3"/>
  <c r="L197" i="3" a="1"/>
  <c r="L197" i="3"/>
  <c r="I197" i="3"/>
  <c r="E197" i="3" a="1"/>
  <c r="E197" i="3" s="1"/>
  <c r="C197" i="3" a="1"/>
  <c r="C197" i="3" s="1"/>
  <c r="BF196" i="3"/>
  <c r="BE196" i="3"/>
  <c r="BD196" i="3"/>
  <c r="BC196" i="3"/>
  <c r="BB196" i="3"/>
  <c r="BA196" i="3"/>
  <c r="AZ196" i="3"/>
  <c r="AY196" i="3"/>
  <c r="AX196" i="3"/>
  <c r="AW196" i="3"/>
  <c r="AV196" i="3"/>
  <c r="AU196" i="3"/>
  <c r="AK196" i="3"/>
  <c r="AH196" i="3"/>
  <c r="AG196" i="3" a="1"/>
  <c r="AG196" i="3" s="1"/>
  <c r="AE196" i="3" a="1"/>
  <c r="AE196" i="3"/>
  <c r="AC196" i="3" a="1"/>
  <c r="AC196" i="3" s="1"/>
  <c r="AA196" i="3" a="1"/>
  <c r="AA196" i="3"/>
  <c r="Y196" i="3" a="1"/>
  <c r="Y196" i="3" s="1"/>
  <c r="V196" i="3"/>
  <c r="R196" i="3" a="1"/>
  <c r="R196" i="3"/>
  <c r="P196" i="3" a="1"/>
  <c r="P196" i="3"/>
  <c r="N196" i="3" a="1"/>
  <c r="N196" i="3"/>
  <c r="L196" i="3" a="1"/>
  <c r="L196" i="3"/>
  <c r="I196" i="3"/>
  <c r="E196" i="3" a="1"/>
  <c r="E196" i="3" s="1"/>
  <c r="C196" i="3" a="1"/>
  <c r="C196" i="3" s="1"/>
  <c r="BF195" i="3"/>
  <c r="BE195" i="3"/>
  <c r="BD195" i="3"/>
  <c r="BC195" i="3"/>
  <c r="BB195" i="3"/>
  <c r="BA195" i="3"/>
  <c r="AZ195" i="3"/>
  <c r="AY195" i="3"/>
  <c r="AX195" i="3"/>
  <c r="AW195" i="3"/>
  <c r="AV195" i="3"/>
  <c r="AU195" i="3"/>
  <c r="AK195" i="3"/>
  <c r="AH195" i="3"/>
  <c r="AG195" i="3" a="1"/>
  <c r="AG195" i="3"/>
  <c r="AE195" i="3" a="1"/>
  <c r="AE195" i="3" s="1"/>
  <c r="AC195" i="3" a="1"/>
  <c r="AC195" i="3"/>
  <c r="AA195" i="3" a="1"/>
  <c r="AA195" i="3" s="1"/>
  <c r="Y195" i="3" a="1"/>
  <c r="Y195" i="3"/>
  <c r="V195" i="3"/>
  <c r="R195" i="3" a="1"/>
  <c r="R195" i="3"/>
  <c r="P195" i="3" a="1"/>
  <c r="P195" i="3"/>
  <c r="N195" i="3" a="1"/>
  <c r="N195" i="3"/>
  <c r="L195" i="3" a="1"/>
  <c r="L195" i="3"/>
  <c r="I195" i="3"/>
  <c r="E195" i="3" a="1"/>
  <c r="E195" i="3" s="1"/>
  <c r="C195" i="3" a="1"/>
  <c r="C195" i="3" s="1"/>
  <c r="BF194" i="3"/>
  <c r="BE194" i="3"/>
  <c r="BD194" i="3"/>
  <c r="BC194" i="3"/>
  <c r="BB194" i="3"/>
  <c r="BA194" i="3"/>
  <c r="AZ194" i="3"/>
  <c r="AY194" i="3"/>
  <c r="AX194" i="3"/>
  <c r="AW194" i="3"/>
  <c r="AV194" i="3"/>
  <c r="AU194" i="3"/>
  <c r="AK194" i="3"/>
  <c r="AH194" i="3"/>
  <c r="AG194" i="3" a="1"/>
  <c r="AG194" i="3" s="1"/>
  <c r="AE194" i="3" a="1"/>
  <c r="AE194" i="3"/>
  <c r="AC194" i="3" a="1"/>
  <c r="AC194" i="3" s="1"/>
  <c r="AA194" i="3" a="1"/>
  <c r="AA194" i="3"/>
  <c r="Y194" i="3" a="1"/>
  <c r="Y194" i="3" s="1"/>
  <c r="V194" i="3"/>
  <c r="R194" i="3" a="1"/>
  <c r="R194" i="3"/>
  <c r="P194" i="3" a="1"/>
  <c r="P194" i="3"/>
  <c r="N194" i="3" a="1"/>
  <c r="N194" i="3"/>
  <c r="L194" i="3" a="1"/>
  <c r="L194" i="3"/>
  <c r="I194" i="3"/>
  <c r="E194" i="3" a="1"/>
  <c r="E194" i="3" s="1"/>
  <c r="C194" i="3" a="1"/>
  <c r="C194" i="3" s="1"/>
  <c r="BF193" i="3"/>
  <c r="BE193" i="3"/>
  <c r="BD193" i="3"/>
  <c r="BC193" i="3"/>
  <c r="BB193" i="3"/>
  <c r="BA193" i="3"/>
  <c r="AZ193" i="3"/>
  <c r="AY193" i="3"/>
  <c r="AX193" i="3"/>
  <c r="AW193" i="3"/>
  <c r="AV193" i="3"/>
  <c r="AU193" i="3"/>
  <c r="AK193" i="3"/>
  <c r="AH193" i="3"/>
  <c r="AG193" i="3" a="1"/>
  <c r="AG193" i="3"/>
  <c r="AE193" i="3" a="1"/>
  <c r="AE193" i="3" s="1"/>
  <c r="AC193" i="3" a="1"/>
  <c r="AC193" i="3"/>
  <c r="AA193" i="3" a="1"/>
  <c r="AA193" i="3" s="1"/>
  <c r="Y193" i="3" a="1"/>
  <c r="Y193" i="3"/>
  <c r="V193" i="3"/>
  <c r="R193" i="3" a="1"/>
  <c r="R193" i="3"/>
  <c r="P193" i="3" a="1"/>
  <c r="P193" i="3"/>
  <c r="N193" i="3" a="1"/>
  <c r="N193" i="3"/>
  <c r="L193" i="3" a="1"/>
  <c r="L193" i="3"/>
  <c r="I193" i="3"/>
  <c r="E193" i="3" a="1"/>
  <c r="E193" i="3" s="1"/>
  <c r="C193" i="3" a="1"/>
  <c r="C193" i="3" s="1"/>
  <c r="BF192" i="3"/>
  <c r="BE192" i="3"/>
  <c r="BD192" i="3"/>
  <c r="BC192" i="3"/>
  <c r="BB192" i="3"/>
  <c r="BA192" i="3"/>
  <c r="AZ192" i="3"/>
  <c r="AY192" i="3"/>
  <c r="AX192" i="3"/>
  <c r="AW192" i="3"/>
  <c r="AV192" i="3"/>
  <c r="AU192" i="3"/>
  <c r="AK192" i="3"/>
  <c r="AH192" i="3"/>
  <c r="AG192" i="3" a="1"/>
  <c r="AG192" i="3" s="1"/>
  <c r="AE192" i="3" a="1"/>
  <c r="AE192" i="3"/>
  <c r="AC192" i="3" a="1"/>
  <c r="AC192" i="3" s="1"/>
  <c r="AA192" i="3" a="1"/>
  <c r="AA192" i="3"/>
  <c r="Y192" i="3" a="1"/>
  <c r="Y192" i="3" s="1"/>
  <c r="V192" i="3"/>
  <c r="R192" i="3" a="1"/>
  <c r="R192" i="3"/>
  <c r="P192" i="3" a="1"/>
  <c r="P192" i="3"/>
  <c r="N192" i="3" a="1"/>
  <c r="N192" i="3"/>
  <c r="L192" i="3" a="1"/>
  <c r="L192" i="3"/>
  <c r="I192" i="3"/>
  <c r="E192" i="3" a="1"/>
  <c r="E192" i="3" s="1"/>
  <c r="C192" i="3" a="1"/>
  <c r="C192" i="3" s="1"/>
  <c r="BF191" i="3"/>
  <c r="BE191" i="3"/>
  <c r="BD191" i="3"/>
  <c r="BC191" i="3"/>
  <c r="BB191" i="3"/>
  <c r="BA191" i="3"/>
  <c r="AZ191" i="3"/>
  <c r="AY191" i="3"/>
  <c r="AX191" i="3"/>
  <c r="AW191" i="3"/>
  <c r="AV191" i="3"/>
  <c r="AU191" i="3"/>
  <c r="AK191" i="3"/>
  <c r="AH191" i="3"/>
  <c r="AG191" i="3" a="1"/>
  <c r="AG191" i="3"/>
  <c r="AE191" i="3" a="1"/>
  <c r="AE191" i="3" s="1"/>
  <c r="AC191" i="3" a="1"/>
  <c r="AC191" i="3"/>
  <c r="AA191" i="3" a="1"/>
  <c r="AA191" i="3" s="1"/>
  <c r="Y191" i="3" a="1"/>
  <c r="Y191" i="3"/>
  <c r="V191" i="3"/>
  <c r="R191" i="3" a="1"/>
  <c r="R191" i="3"/>
  <c r="P191" i="3" a="1"/>
  <c r="P191" i="3"/>
  <c r="N191" i="3" a="1"/>
  <c r="N191" i="3"/>
  <c r="L191" i="3" a="1"/>
  <c r="L191" i="3"/>
  <c r="I191" i="3"/>
  <c r="E191" i="3" a="1"/>
  <c r="E191" i="3" s="1"/>
  <c r="C191" i="3" a="1"/>
  <c r="C191" i="3" s="1"/>
  <c r="BF190" i="3"/>
  <c r="BE190" i="3"/>
  <c r="BD190" i="3"/>
  <c r="BC190" i="3"/>
  <c r="BB190" i="3"/>
  <c r="BA190" i="3"/>
  <c r="AZ190" i="3"/>
  <c r="AY190" i="3"/>
  <c r="AX190" i="3"/>
  <c r="AW190" i="3"/>
  <c r="AV190" i="3"/>
  <c r="AU190" i="3"/>
  <c r="AK190" i="3"/>
  <c r="AH190" i="3"/>
  <c r="AG190" i="3" a="1"/>
  <c r="AG190" i="3" s="1"/>
  <c r="AE190" i="3" a="1"/>
  <c r="AE190" i="3"/>
  <c r="AC190" i="3" a="1"/>
  <c r="AC190" i="3" s="1"/>
  <c r="AA190" i="3" a="1"/>
  <c r="AA190" i="3"/>
  <c r="Y190" i="3" a="1"/>
  <c r="Y190" i="3" s="1"/>
  <c r="V190" i="3"/>
  <c r="R190" i="3" a="1"/>
  <c r="R190" i="3"/>
  <c r="P190" i="3" a="1"/>
  <c r="P190" i="3"/>
  <c r="N190" i="3" a="1"/>
  <c r="N190" i="3"/>
  <c r="L190" i="3" a="1"/>
  <c r="L190" i="3"/>
  <c r="I190" i="3"/>
  <c r="E190" i="3" a="1"/>
  <c r="E190" i="3" s="1"/>
  <c r="C190" i="3" a="1"/>
  <c r="C190" i="3" s="1"/>
  <c r="BF189" i="3"/>
  <c r="BE189" i="3"/>
  <c r="BD189" i="3"/>
  <c r="BC189" i="3"/>
  <c r="BB189" i="3"/>
  <c r="BA189" i="3"/>
  <c r="AZ189" i="3"/>
  <c r="AY189" i="3"/>
  <c r="AX189" i="3"/>
  <c r="AW189" i="3"/>
  <c r="AV189" i="3"/>
  <c r="AU189" i="3"/>
  <c r="AK189" i="3"/>
  <c r="AH189" i="3"/>
  <c r="AG189" i="3" a="1"/>
  <c r="AG189" i="3"/>
  <c r="AE189" i="3" a="1"/>
  <c r="AE189" i="3" s="1"/>
  <c r="AC189" i="3" a="1"/>
  <c r="AC189" i="3"/>
  <c r="AA189" i="3" a="1"/>
  <c r="AA189" i="3" s="1"/>
  <c r="Y189" i="3" a="1"/>
  <c r="Y189" i="3"/>
  <c r="V189" i="3"/>
  <c r="R189" i="3" a="1"/>
  <c r="R189" i="3"/>
  <c r="P189" i="3" a="1"/>
  <c r="P189" i="3"/>
  <c r="N189" i="3" a="1"/>
  <c r="N189" i="3"/>
  <c r="L189" i="3" a="1"/>
  <c r="L189" i="3"/>
  <c r="I189" i="3"/>
  <c r="E189" i="3" a="1"/>
  <c r="E189" i="3" s="1"/>
  <c r="C189" i="3" a="1"/>
  <c r="C189" i="3" s="1"/>
  <c r="BF188" i="3"/>
  <c r="BE188" i="3"/>
  <c r="BD188" i="3"/>
  <c r="BC188" i="3"/>
  <c r="BB188" i="3"/>
  <c r="BA188" i="3"/>
  <c r="AZ188" i="3"/>
  <c r="AY188" i="3"/>
  <c r="AX188" i="3"/>
  <c r="AW188" i="3"/>
  <c r="AV188" i="3"/>
  <c r="AU188" i="3"/>
  <c r="AK188" i="3"/>
  <c r="AH188" i="3"/>
  <c r="AG188" i="3" a="1"/>
  <c r="AG188" i="3" s="1"/>
  <c r="AE188" i="3" a="1"/>
  <c r="AE188" i="3"/>
  <c r="AC188" i="3" a="1"/>
  <c r="AC188" i="3" s="1"/>
  <c r="AA188" i="3" a="1"/>
  <c r="AA188" i="3"/>
  <c r="Y188" i="3" a="1"/>
  <c r="Y188" i="3" s="1"/>
  <c r="V188" i="3"/>
  <c r="R188" i="3" a="1"/>
  <c r="R188" i="3"/>
  <c r="P188" i="3" a="1"/>
  <c r="P188" i="3"/>
  <c r="N188" i="3" a="1"/>
  <c r="N188" i="3"/>
  <c r="L188" i="3" a="1"/>
  <c r="L188" i="3"/>
  <c r="I188" i="3"/>
  <c r="E188" i="3" a="1"/>
  <c r="E188" i="3" s="1"/>
  <c r="C188" i="3" a="1"/>
  <c r="C188" i="3" s="1"/>
  <c r="BF187" i="3"/>
  <c r="BE187" i="3"/>
  <c r="BD187" i="3"/>
  <c r="BC187" i="3"/>
  <c r="BB187" i="3"/>
  <c r="BA187" i="3"/>
  <c r="AZ187" i="3"/>
  <c r="AY187" i="3"/>
  <c r="AX187" i="3"/>
  <c r="AW187" i="3"/>
  <c r="AV187" i="3"/>
  <c r="AU187" i="3"/>
  <c r="AK187" i="3"/>
  <c r="AH187" i="3"/>
  <c r="AG187" i="3" a="1"/>
  <c r="AG187" i="3"/>
  <c r="AE187" i="3" a="1"/>
  <c r="AE187" i="3" s="1"/>
  <c r="AC187" i="3" a="1"/>
  <c r="AC187" i="3"/>
  <c r="AA187" i="3" a="1"/>
  <c r="AA187" i="3" s="1"/>
  <c r="Y187" i="3" a="1"/>
  <c r="Y187" i="3"/>
  <c r="V187" i="3"/>
  <c r="R187" i="3" a="1"/>
  <c r="R187" i="3"/>
  <c r="P187" i="3" a="1"/>
  <c r="P187" i="3"/>
  <c r="N187" i="3" a="1"/>
  <c r="N187" i="3"/>
  <c r="L187" i="3" a="1"/>
  <c r="L187" i="3"/>
  <c r="I187" i="3"/>
  <c r="E187" i="3" a="1"/>
  <c r="E187" i="3" s="1"/>
  <c r="C187" i="3" a="1"/>
  <c r="C187" i="3" s="1"/>
  <c r="BF186" i="3"/>
  <c r="BE186" i="3"/>
  <c r="BD186" i="3"/>
  <c r="BC186" i="3"/>
  <c r="BB186" i="3"/>
  <c r="BA186" i="3"/>
  <c r="AZ186" i="3"/>
  <c r="AY186" i="3"/>
  <c r="AX186" i="3"/>
  <c r="AW186" i="3"/>
  <c r="AV186" i="3"/>
  <c r="AU186" i="3"/>
  <c r="AK186" i="3"/>
  <c r="AH186" i="3"/>
  <c r="AG186" i="3" a="1"/>
  <c r="AG186" i="3" s="1"/>
  <c r="AE186" i="3" a="1"/>
  <c r="AE186" i="3"/>
  <c r="AC186" i="3" a="1"/>
  <c r="AC186" i="3" s="1"/>
  <c r="AA186" i="3" a="1"/>
  <c r="AA186" i="3"/>
  <c r="Y186" i="3" a="1"/>
  <c r="Y186" i="3" s="1"/>
  <c r="V186" i="3"/>
  <c r="R186" i="3" a="1"/>
  <c r="R186" i="3"/>
  <c r="P186" i="3" a="1"/>
  <c r="P186" i="3"/>
  <c r="N186" i="3" a="1"/>
  <c r="N186" i="3"/>
  <c r="L186" i="3" a="1"/>
  <c r="L186" i="3"/>
  <c r="I186" i="3"/>
  <c r="E186" i="3" a="1"/>
  <c r="E186" i="3" s="1"/>
  <c r="C186" i="3" a="1"/>
  <c r="C186" i="3" s="1"/>
  <c r="BF185" i="3"/>
  <c r="BE185" i="3"/>
  <c r="BD185" i="3"/>
  <c r="BC185" i="3"/>
  <c r="BB185" i="3"/>
  <c r="BA185" i="3"/>
  <c r="AZ185" i="3"/>
  <c r="AY185" i="3"/>
  <c r="AX185" i="3"/>
  <c r="AW185" i="3"/>
  <c r="AV185" i="3"/>
  <c r="AU185" i="3"/>
  <c r="AK185" i="3"/>
  <c r="AH185" i="3"/>
  <c r="AG185" i="3" a="1"/>
  <c r="AG185" i="3"/>
  <c r="AE185" i="3" a="1"/>
  <c r="AE185" i="3" s="1"/>
  <c r="AC185" i="3" a="1"/>
  <c r="AC185" i="3"/>
  <c r="AA185" i="3" a="1"/>
  <c r="AA185" i="3" s="1"/>
  <c r="Y185" i="3" a="1"/>
  <c r="Y185" i="3"/>
  <c r="V185" i="3"/>
  <c r="R185" i="3" a="1"/>
  <c r="R185" i="3"/>
  <c r="P185" i="3" a="1"/>
  <c r="P185" i="3"/>
  <c r="N185" i="3" a="1"/>
  <c r="N185" i="3"/>
  <c r="L185" i="3" a="1"/>
  <c r="L185" i="3"/>
  <c r="I185" i="3"/>
  <c r="E185" i="3" a="1"/>
  <c r="E185" i="3" s="1"/>
  <c r="C185" i="3" a="1"/>
  <c r="C185" i="3" s="1"/>
  <c r="BF184" i="3"/>
  <c r="BE184" i="3"/>
  <c r="BD184" i="3"/>
  <c r="BC184" i="3"/>
  <c r="BB184" i="3"/>
  <c r="BA184" i="3"/>
  <c r="AZ184" i="3"/>
  <c r="AY184" i="3"/>
  <c r="AX184" i="3"/>
  <c r="AW184" i="3"/>
  <c r="AV184" i="3"/>
  <c r="AU184" i="3"/>
  <c r="AK184" i="3"/>
  <c r="AH184" i="3"/>
  <c r="AG184" i="3" a="1"/>
  <c r="AG184" i="3" s="1"/>
  <c r="AE184" i="3" a="1"/>
  <c r="AE184" i="3"/>
  <c r="AC184" i="3" a="1"/>
  <c r="AC184" i="3" s="1"/>
  <c r="AA184" i="3" a="1"/>
  <c r="AA184" i="3"/>
  <c r="Y184" i="3" a="1"/>
  <c r="Y184" i="3" s="1"/>
  <c r="V184" i="3"/>
  <c r="R184" i="3" a="1"/>
  <c r="R184" i="3"/>
  <c r="P184" i="3" a="1"/>
  <c r="P184" i="3"/>
  <c r="N184" i="3" a="1"/>
  <c r="N184" i="3"/>
  <c r="L184" i="3" a="1"/>
  <c r="L184" i="3"/>
  <c r="I184" i="3"/>
  <c r="E184" i="3" a="1"/>
  <c r="E184" i="3" s="1"/>
  <c r="C184" i="3" a="1"/>
  <c r="C184" i="3" s="1"/>
  <c r="BF183" i="3"/>
  <c r="BE183" i="3"/>
  <c r="BD183" i="3"/>
  <c r="BC183" i="3"/>
  <c r="BB183" i="3"/>
  <c r="BA183" i="3"/>
  <c r="AZ183" i="3"/>
  <c r="AY183" i="3"/>
  <c r="AX183" i="3"/>
  <c r="AW183" i="3"/>
  <c r="AV183" i="3"/>
  <c r="AU183" i="3"/>
  <c r="AK183" i="3"/>
  <c r="AH183" i="3"/>
  <c r="AG183" i="3" a="1"/>
  <c r="AG183" i="3"/>
  <c r="AE183" i="3" a="1"/>
  <c r="AE183" i="3" s="1"/>
  <c r="AC183" i="3" a="1"/>
  <c r="AC183" i="3"/>
  <c r="AA183" i="3" a="1"/>
  <c r="AA183" i="3" s="1"/>
  <c r="Y183" i="3" a="1"/>
  <c r="Y183" i="3"/>
  <c r="V183" i="3"/>
  <c r="R183" i="3" a="1"/>
  <c r="R183" i="3"/>
  <c r="P183" i="3" a="1"/>
  <c r="P183" i="3"/>
  <c r="N183" i="3" a="1"/>
  <c r="N183" i="3"/>
  <c r="L183" i="3" a="1"/>
  <c r="L183" i="3"/>
  <c r="I183" i="3"/>
  <c r="E183" i="3" a="1"/>
  <c r="E183" i="3" s="1"/>
  <c r="C183" i="3" a="1"/>
  <c r="C183" i="3" s="1"/>
  <c r="BF182" i="3"/>
  <c r="BE182" i="3"/>
  <c r="BD182" i="3"/>
  <c r="BC182" i="3"/>
  <c r="BB182" i="3"/>
  <c r="BA182" i="3"/>
  <c r="AZ182" i="3"/>
  <c r="AY182" i="3"/>
  <c r="AX182" i="3"/>
  <c r="AW182" i="3"/>
  <c r="AV182" i="3"/>
  <c r="AU182" i="3"/>
  <c r="AK182" i="3"/>
  <c r="AH182" i="3"/>
  <c r="AG182" i="3" a="1"/>
  <c r="AG182" i="3" s="1"/>
  <c r="AE182" i="3" a="1"/>
  <c r="AE182" i="3"/>
  <c r="AC182" i="3" a="1"/>
  <c r="AC182" i="3" s="1"/>
  <c r="AA182" i="3" a="1"/>
  <c r="AA182" i="3"/>
  <c r="Y182" i="3" a="1"/>
  <c r="Y182" i="3" s="1"/>
  <c r="V182" i="3"/>
  <c r="R182" i="3" a="1"/>
  <c r="R182" i="3"/>
  <c r="P182" i="3" a="1"/>
  <c r="P182" i="3"/>
  <c r="N182" i="3" a="1"/>
  <c r="N182" i="3"/>
  <c r="L182" i="3" a="1"/>
  <c r="L182" i="3"/>
  <c r="I182" i="3"/>
  <c r="E182" i="3" a="1"/>
  <c r="E182" i="3" s="1"/>
  <c r="C182" i="3" a="1"/>
  <c r="C182" i="3" s="1"/>
  <c r="BF181" i="3"/>
  <c r="BE181" i="3"/>
  <c r="BD181" i="3"/>
  <c r="BC181" i="3"/>
  <c r="BB181" i="3"/>
  <c r="BA181" i="3"/>
  <c r="AZ181" i="3"/>
  <c r="AY181" i="3"/>
  <c r="AX181" i="3"/>
  <c r="AW181" i="3"/>
  <c r="AV181" i="3"/>
  <c r="AU181" i="3"/>
  <c r="AK181" i="3"/>
  <c r="AH181" i="3"/>
  <c r="AG181" i="3" a="1"/>
  <c r="AG181" i="3"/>
  <c r="AE181" i="3" a="1"/>
  <c r="AE181" i="3" s="1"/>
  <c r="AC181" i="3" a="1"/>
  <c r="AC181" i="3"/>
  <c r="AA181" i="3" a="1"/>
  <c r="AA181" i="3" s="1"/>
  <c r="Y181" i="3" a="1"/>
  <c r="Y181" i="3"/>
  <c r="V181" i="3"/>
  <c r="R181" i="3" a="1"/>
  <c r="R181" i="3"/>
  <c r="P181" i="3" a="1"/>
  <c r="P181" i="3"/>
  <c r="N181" i="3" a="1"/>
  <c r="N181" i="3"/>
  <c r="L181" i="3" a="1"/>
  <c r="L181" i="3"/>
  <c r="I181" i="3"/>
  <c r="E181" i="3" a="1"/>
  <c r="E181" i="3" s="1"/>
  <c r="C181" i="3" a="1"/>
  <c r="C181" i="3" s="1"/>
  <c r="BF180" i="3"/>
  <c r="BE180" i="3"/>
  <c r="BD180" i="3"/>
  <c r="BC180" i="3"/>
  <c r="BB180" i="3"/>
  <c r="BA180" i="3"/>
  <c r="AZ180" i="3"/>
  <c r="AY180" i="3"/>
  <c r="AX180" i="3"/>
  <c r="AW180" i="3"/>
  <c r="AV180" i="3"/>
  <c r="AU180" i="3"/>
  <c r="AK180" i="3"/>
  <c r="AH180" i="3"/>
  <c r="AG180" i="3" a="1"/>
  <c r="AG180" i="3" s="1"/>
  <c r="AE180" i="3" a="1"/>
  <c r="AE180" i="3"/>
  <c r="AC180" i="3" a="1"/>
  <c r="AC180" i="3" s="1"/>
  <c r="AA180" i="3" a="1"/>
  <c r="AA180" i="3"/>
  <c r="Y180" i="3" a="1"/>
  <c r="Y180" i="3" s="1"/>
  <c r="V180" i="3"/>
  <c r="R180" i="3" a="1"/>
  <c r="R180" i="3"/>
  <c r="P180" i="3" a="1"/>
  <c r="P180" i="3"/>
  <c r="N180" i="3" a="1"/>
  <c r="N180" i="3"/>
  <c r="L180" i="3" a="1"/>
  <c r="L180" i="3"/>
  <c r="I180" i="3"/>
  <c r="E180" i="3" a="1"/>
  <c r="E180" i="3" s="1"/>
  <c r="C180" i="3" a="1"/>
  <c r="C180" i="3" s="1"/>
  <c r="BF179" i="3"/>
  <c r="BE179" i="3"/>
  <c r="BD179" i="3"/>
  <c r="BC179" i="3"/>
  <c r="BB179" i="3"/>
  <c r="BA179" i="3"/>
  <c r="AZ179" i="3"/>
  <c r="AY179" i="3"/>
  <c r="AX179" i="3"/>
  <c r="AW179" i="3"/>
  <c r="AV179" i="3"/>
  <c r="AU179" i="3"/>
  <c r="AK179" i="3"/>
  <c r="AH179" i="3"/>
  <c r="AG179" i="3" a="1"/>
  <c r="AG179" i="3"/>
  <c r="AE179" i="3" a="1"/>
  <c r="AE179" i="3" s="1"/>
  <c r="AC179" i="3" a="1"/>
  <c r="AC179" i="3"/>
  <c r="AA179" i="3" a="1"/>
  <c r="AA179" i="3" s="1"/>
  <c r="Y179" i="3" a="1"/>
  <c r="Y179" i="3"/>
  <c r="V179" i="3"/>
  <c r="R179" i="3" a="1"/>
  <c r="R179" i="3"/>
  <c r="P179" i="3" a="1"/>
  <c r="P179" i="3"/>
  <c r="N179" i="3" a="1"/>
  <c r="N179" i="3"/>
  <c r="L179" i="3" a="1"/>
  <c r="L179" i="3"/>
  <c r="I179" i="3"/>
  <c r="E179" i="3" a="1"/>
  <c r="E179" i="3" s="1"/>
  <c r="C179" i="3" a="1"/>
  <c r="C179" i="3" s="1"/>
  <c r="BF178" i="3"/>
  <c r="BE178" i="3"/>
  <c r="BD178" i="3"/>
  <c r="BC178" i="3"/>
  <c r="BB178" i="3"/>
  <c r="BA178" i="3"/>
  <c r="AZ178" i="3"/>
  <c r="AY178" i="3"/>
  <c r="AX178" i="3"/>
  <c r="AW178" i="3"/>
  <c r="AV178" i="3"/>
  <c r="AU178" i="3"/>
  <c r="AK178" i="3"/>
  <c r="AH178" i="3"/>
  <c r="AG178" i="3" a="1"/>
  <c r="AG178" i="3" s="1"/>
  <c r="AE178" i="3" a="1"/>
  <c r="AE178" i="3"/>
  <c r="AC178" i="3" a="1"/>
  <c r="AC178" i="3" s="1"/>
  <c r="AA178" i="3" a="1"/>
  <c r="AA178" i="3"/>
  <c r="Y178" i="3" a="1"/>
  <c r="Y178" i="3" s="1"/>
  <c r="V178" i="3"/>
  <c r="R178" i="3" a="1"/>
  <c r="R178" i="3"/>
  <c r="P178" i="3" a="1"/>
  <c r="P178" i="3"/>
  <c r="N178" i="3" a="1"/>
  <c r="N178" i="3"/>
  <c r="L178" i="3" a="1"/>
  <c r="L178" i="3"/>
  <c r="I178" i="3"/>
  <c r="E178" i="3" a="1"/>
  <c r="E178" i="3" s="1"/>
  <c r="C178" i="3" a="1"/>
  <c r="C178" i="3" s="1"/>
  <c r="BF177" i="3"/>
  <c r="BE177" i="3"/>
  <c r="BD177" i="3"/>
  <c r="BC177" i="3"/>
  <c r="BB177" i="3"/>
  <c r="BA177" i="3"/>
  <c r="AZ177" i="3"/>
  <c r="AY177" i="3"/>
  <c r="AX177" i="3"/>
  <c r="AW177" i="3"/>
  <c r="AV177" i="3"/>
  <c r="AU177" i="3"/>
  <c r="AK177" i="3"/>
  <c r="AH177" i="3"/>
  <c r="AG177" i="3" a="1"/>
  <c r="AG177" i="3"/>
  <c r="AE177" i="3" a="1"/>
  <c r="AE177" i="3" s="1"/>
  <c r="AC177" i="3" a="1"/>
  <c r="AC177" i="3"/>
  <c r="AA177" i="3" a="1"/>
  <c r="AA177" i="3" s="1"/>
  <c r="Y177" i="3" a="1"/>
  <c r="Y177" i="3"/>
  <c r="V177" i="3"/>
  <c r="R177" i="3" a="1"/>
  <c r="R177" i="3"/>
  <c r="P177" i="3" a="1"/>
  <c r="P177" i="3"/>
  <c r="N177" i="3" a="1"/>
  <c r="N177" i="3"/>
  <c r="L177" i="3" a="1"/>
  <c r="L177" i="3"/>
  <c r="I177" i="3"/>
  <c r="E177" i="3" a="1"/>
  <c r="E177" i="3" s="1"/>
  <c r="C177" i="3" a="1"/>
  <c r="C177" i="3" s="1"/>
  <c r="BF176" i="3"/>
  <c r="BE176" i="3"/>
  <c r="BD176" i="3"/>
  <c r="BC176" i="3"/>
  <c r="BB176" i="3"/>
  <c r="BA176" i="3"/>
  <c r="AZ176" i="3"/>
  <c r="AY176" i="3"/>
  <c r="AX176" i="3"/>
  <c r="AW176" i="3"/>
  <c r="AV176" i="3"/>
  <c r="AU176" i="3"/>
  <c r="AK176" i="3"/>
  <c r="AH176" i="3"/>
  <c r="AG176" i="3" a="1"/>
  <c r="AG176" i="3" s="1"/>
  <c r="AE176" i="3" a="1"/>
  <c r="AE176" i="3"/>
  <c r="AC176" i="3" a="1"/>
  <c r="AC176" i="3" s="1"/>
  <c r="AA176" i="3" a="1"/>
  <c r="AA176" i="3"/>
  <c r="Y176" i="3" a="1"/>
  <c r="Y176" i="3" s="1"/>
  <c r="V176" i="3"/>
  <c r="R176" i="3" a="1"/>
  <c r="R176" i="3"/>
  <c r="P176" i="3" a="1"/>
  <c r="P176" i="3"/>
  <c r="N176" i="3" a="1"/>
  <c r="N176" i="3"/>
  <c r="L176" i="3" a="1"/>
  <c r="L176" i="3"/>
  <c r="I176" i="3"/>
  <c r="E176" i="3" a="1"/>
  <c r="E176" i="3" s="1"/>
  <c r="C176" i="3" a="1"/>
  <c r="C176" i="3" s="1"/>
  <c r="BF175" i="3"/>
  <c r="BE175" i="3"/>
  <c r="BD175" i="3"/>
  <c r="BC175" i="3"/>
  <c r="BB175" i="3"/>
  <c r="BA175" i="3"/>
  <c r="AZ175" i="3"/>
  <c r="AY175" i="3"/>
  <c r="AX175" i="3"/>
  <c r="AW175" i="3"/>
  <c r="AV175" i="3"/>
  <c r="AU175" i="3"/>
  <c r="AK175" i="3"/>
  <c r="AH175" i="3"/>
  <c r="AG175" i="3" a="1"/>
  <c r="AG175" i="3"/>
  <c r="AE175" i="3" a="1"/>
  <c r="AE175" i="3" s="1"/>
  <c r="AC175" i="3" a="1"/>
  <c r="AC175" i="3"/>
  <c r="AA175" i="3" a="1"/>
  <c r="AA175" i="3" s="1"/>
  <c r="Y175" i="3" a="1"/>
  <c r="Y175" i="3"/>
  <c r="V175" i="3"/>
  <c r="R175" i="3" a="1"/>
  <c r="R175" i="3"/>
  <c r="P175" i="3" a="1"/>
  <c r="P175" i="3"/>
  <c r="N175" i="3" a="1"/>
  <c r="N175" i="3"/>
  <c r="L175" i="3" a="1"/>
  <c r="L175" i="3"/>
  <c r="I175" i="3"/>
  <c r="E175" i="3" a="1"/>
  <c r="E175" i="3" s="1"/>
  <c r="C175" i="3" a="1"/>
  <c r="C175" i="3" s="1"/>
  <c r="BF174" i="3"/>
  <c r="BE174" i="3"/>
  <c r="BD174" i="3"/>
  <c r="BC174" i="3"/>
  <c r="BB174" i="3"/>
  <c r="BA174" i="3"/>
  <c r="AZ174" i="3"/>
  <c r="AY174" i="3"/>
  <c r="AX174" i="3"/>
  <c r="AW174" i="3"/>
  <c r="AV174" i="3"/>
  <c r="AU174" i="3"/>
  <c r="AK174" i="3"/>
  <c r="AH174" i="3"/>
  <c r="AG174" i="3" a="1"/>
  <c r="AG174" i="3" s="1"/>
  <c r="AE174" i="3" a="1"/>
  <c r="AE174" i="3"/>
  <c r="AC174" i="3" a="1"/>
  <c r="AC174" i="3" s="1"/>
  <c r="AA174" i="3" a="1"/>
  <c r="AA174" i="3"/>
  <c r="Y174" i="3" a="1"/>
  <c r="Y174" i="3" s="1"/>
  <c r="V174" i="3"/>
  <c r="R174" i="3" a="1"/>
  <c r="R174" i="3"/>
  <c r="P174" i="3" a="1"/>
  <c r="P174" i="3"/>
  <c r="N174" i="3" a="1"/>
  <c r="N174" i="3"/>
  <c r="L174" i="3" a="1"/>
  <c r="L174" i="3"/>
  <c r="I174" i="3"/>
  <c r="E174" i="3" a="1"/>
  <c r="E174" i="3" s="1"/>
  <c r="C174" i="3" a="1"/>
  <c r="C174" i="3" s="1"/>
  <c r="BF173" i="3"/>
  <c r="BE173" i="3"/>
  <c r="BD173" i="3"/>
  <c r="BC173" i="3"/>
  <c r="BB173" i="3"/>
  <c r="BA173" i="3"/>
  <c r="AZ173" i="3"/>
  <c r="AY173" i="3"/>
  <c r="AX173" i="3"/>
  <c r="AW173" i="3"/>
  <c r="AV173" i="3"/>
  <c r="AU173" i="3"/>
  <c r="AK173" i="3"/>
  <c r="AH173" i="3"/>
  <c r="AG173" i="3" a="1"/>
  <c r="AG173" i="3"/>
  <c r="AE173" i="3" a="1"/>
  <c r="AE173" i="3" s="1"/>
  <c r="AC173" i="3" a="1"/>
  <c r="AC173" i="3"/>
  <c r="AA173" i="3" a="1"/>
  <c r="AA173" i="3" s="1"/>
  <c r="Y173" i="3" a="1"/>
  <c r="Y173" i="3"/>
  <c r="V173" i="3"/>
  <c r="R173" i="3" a="1"/>
  <c r="R173" i="3"/>
  <c r="P173" i="3" a="1"/>
  <c r="P173" i="3"/>
  <c r="N173" i="3" a="1"/>
  <c r="N173" i="3"/>
  <c r="L173" i="3" a="1"/>
  <c r="L173" i="3"/>
  <c r="I173" i="3"/>
  <c r="E173" i="3" a="1"/>
  <c r="E173" i="3" s="1"/>
  <c r="C173" i="3" a="1"/>
  <c r="C173" i="3" s="1"/>
  <c r="BF172" i="3"/>
  <c r="BE172" i="3"/>
  <c r="BD172" i="3"/>
  <c r="BC172" i="3"/>
  <c r="BB172" i="3"/>
  <c r="BA172" i="3"/>
  <c r="AZ172" i="3"/>
  <c r="AY172" i="3"/>
  <c r="AX172" i="3"/>
  <c r="AW172" i="3"/>
  <c r="AV172" i="3"/>
  <c r="AU172" i="3"/>
  <c r="AK172" i="3"/>
  <c r="AH172" i="3"/>
  <c r="AG172" i="3" a="1"/>
  <c r="AG172" i="3" s="1"/>
  <c r="AE172" i="3" a="1"/>
  <c r="AE172" i="3"/>
  <c r="AC172" i="3" a="1"/>
  <c r="AC172" i="3" s="1"/>
  <c r="AA172" i="3" a="1"/>
  <c r="AA172" i="3"/>
  <c r="Y172" i="3" a="1"/>
  <c r="Y172" i="3" s="1"/>
  <c r="V172" i="3"/>
  <c r="R172" i="3" a="1"/>
  <c r="R172" i="3"/>
  <c r="P172" i="3" a="1"/>
  <c r="P172" i="3"/>
  <c r="N172" i="3" a="1"/>
  <c r="N172" i="3"/>
  <c r="L172" i="3" a="1"/>
  <c r="L172" i="3"/>
  <c r="I172" i="3"/>
  <c r="E172" i="3" a="1"/>
  <c r="E172" i="3" s="1"/>
  <c r="C172" i="3" a="1"/>
  <c r="C172" i="3" s="1"/>
  <c r="BF171" i="3"/>
  <c r="BE171" i="3"/>
  <c r="BD171" i="3"/>
  <c r="BC171" i="3"/>
  <c r="BB171" i="3"/>
  <c r="BA171" i="3"/>
  <c r="AZ171" i="3"/>
  <c r="AY171" i="3"/>
  <c r="AX171" i="3"/>
  <c r="AW171" i="3"/>
  <c r="AV171" i="3"/>
  <c r="AU171" i="3"/>
  <c r="AK171" i="3"/>
  <c r="AH171" i="3"/>
  <c r="AG171" i="3" a="1"/>
  <c r="AG171" i="3"/>
  <c r="AE171" i="3" a="1"/>
  <c r="AE171" i="3" s="1"/>
  <c r="AC171" i="3" a="1"/>
  <c r="AC171" i="3"/>
  <c r="AA171" i="3" a="1"/>
  <c r="AA171" i="3" s="1"/>
  <c r="Y171" i="3" a="1"/>
  <c r="Y171" i="3"/>
  <c r="V171" i="3"/>
  <c r="R171" i="3" a="1"/>
  <c r="R171" i="3"/>
  <c r="P171" i="3" a="1"/>
  <c r="P171" i="3"/>
  <c r="N171" i="3" a="1"/>
  <c r="N171" i="3"/>
  <c r="L171" i="3" a="1"/>
  <c r="L171" i="3"/>
  <c r="I171" i="3"/>
  <c r="E171" i="3" a="1"/>
  <c r="E171" i="3" s="1"/>
  <c r="C171" i="3" a="1"/>
  <c r="C171" i="3" s="1"/>
  <c r="BF170" i="3"/>
  <c r="BE170" i="3"/>
  <c r="BD170" i="3"/>
  <c r="BC170" i="3"/>
  <c r="BB170" i="3"/>
  <c r="BA170" i="3"/>
  <c r="AZ170" i="3"/>
  <c r="AY170" i="3"/>
  <c r="AX170" i="3"/>
  <c r="AW170" i="3"/>
  <c r="AV170" i="3"/>
  <c r="AU170" i="3"/>
  <c r="AK170" i="3"/>
  <c r="AH170" i="3"/>
  <c r="AG170" i="3" a="1"/>
  <c r="AG170" i="3" s="1"/>
  <c r="AE170" i="3" a="1"/>
  <c r="AE170" i="3"/>
  <c r="AC170" i="3" a="1"/>
  <c r="AC170" i="3" s="1"/>
  <c r="AA170" i="3" a="1"/>
  <c r="AA170" i="3"/>
  <c r="Y170" i="3" a="1"/>
  <c r="Y170" i="3" s="1"/>
  <c r="V170" i="3"/>
  <c r="R170" i="3" a="1"/>
  <c r="R170" i="3"/>
  <c r="P170" i="3" a="1"/>
  <c r="P170" i="3"/>
  <c r="N170" i="3" a="1"/>
  <c r="N170" i="3"/>
  <c r="L170" i="3" a="1"/>
  <c r="L170" i="3"/>
  <c r="I170" i="3"/>
  <c r="E170" i="3" a="1"/>
  <c r="E170" i="3" s="1"/>
  <c r="C170" i="3" a="1"/>
  <c r="C170" i="3" s="1"/>
  <c r="BF169" i="3"/>
  <c r="BE169" i="3"/>
  <c r="BD169" i="3"/>
  <c r="BC169" i="3"/>
  <c r="BB169" i="3"/>
  <c r="BA169" i="3"/>
  <c r="AZ169" i="3"/>
  <c r="AY169" i="3"/>
  <c r="AX169" i="3"/>
  <c r="AW169" i="3"/>
  <c r="AV169" i="3"/>
  <c r="AU169" i="3"/>
  <c r="AK169" i="3"/>
  <c r="AH169" i="3"/>
  <c r="AG169" i="3" a="1"/>
  <c r="AG169" i="3"/>
  <c r="AE169" i="3" a="1"/>
  <c r="AE169" i="3" s="1"/>
  <c r="AC169" i="3" a="1"/>
  <c r="AC169" i="3"/>
  <c r="AA169" i="3" a="1"/>
  <c r="AA169" i="3" s="1"/>
  <c r="Y169" i="3" a="1"/>
  <c r="Y169" i="3"/>
  <c r="V169" i="3"/>
  <c r="R169" i="3" a="1"/>
  <c r="R169" i="3"/>
  <c r="P169" i="3" a="1"/>
  <c r="P169" i="3"/>
  <c r="N169" i="3" a="1"/>
  <c r="N169" i="3"/>
  <c r="L169" i="3" a="1"/>
  <c r="L169" i="3"/>
  <c r="I169" i="3"/>
  <c r="E169" i="3" a="1"/>
  <c r="E169" i="3" s="1"/>
  <c r="C169" i="3" a="1"/>
  <c r="C169" i="3" s="1"/>
  <c r="BF168" i="3"/>
  <c r="BE168" i="3"/>
  <c r="BD168" i="3"/>
  <c r="BC168" i="3"/>
  <c r="BB168" i="3"/>
  <c r="BA168" i="3"/>
  <c r="AZ168" i="3"/>
  <c r="AY168" i="3"/>
  <c r="AX168" i="3"/>
  <c r="AW168" i="3"/>
  <c r="AV168" i="3"/>
  <c r="AU168" i="3"/>
  <c r="AK168" i="3"/>
  <c r="AH168" i="3"/>
  <c r="AG168" i="3" a="1"/>
  <c r="AG168" i="3" s="1"/>
  <c r="AE168" i="3" a="1"/>
  <c r="AE168" i="3"/>
  <c r="AC168" i="3" a="1"/>
  <c r="AC168" i="3" s="1"/>
  <c r="AA168" i="3" a="1"/>
  <c r="AA168" i="3"/>
  <c r="Y168" i="3" a="1"/>
  <c r="Y168" i="3" s="1"/>
  <c r="V168" i="3"/>
  <c r="R168" i="3" a="1"/>
  <c r="R168" i="3"/>
  <c r="P168" i="3" a="1"/>
  <c r="P168" i="3"/>
  <c r="N168" i="3" a="1"/>
  <c r="N168" i="3"/>
  <c r="L168" i="3" a="1"/>
  <c r="L168" i="3"/>
  <c r="I168" i="3"/>
  <c r="E168" i="3" a="1"/>
  <c r="E168" i="3" s="1"/>
  <c r="C168" i="3" a="1"/>
  <c r="C168" i="3" s="1"/>
  <c r="BF167" i="3"/>
  <c r="BE167" i="3"/>
  <c r="BD167" i="3"/>
  <c r="BC167" i="3"/>
  <c r="BB167" i="3"/>
  <c r="BA167" i="3"/>
  <c r="AZ167" i="3"/>
  <c r="AY167" i="3"/>
  <c r="AX167" i="3"/>
  <c r="AW167" i="3"/>
  <c r="AV167" i="3"/>
  <c r="AU167" i="3"/>
  <c r="AK167" i="3"/>
  <c r="AH167" i="3"/>
  <c r="AG167" i="3" a="1"/>
  <c r="AG167" i="3"/>
  <c r="AE167" i="3" a="1"/>
  <c r="AE167" i="3" s="1"/>
  <c r="AC167" i="3" a="1"/>
  <c r="AC167" i="3"/>
  <c r="AA167" i="3" a="1"/>
  <c r="AA167" i="3" s="1"/>
  <c r="Y167" i="3" a="1"/>
  <c r="Y167" i="3"/>
  <c r="V167" i="3"/>
  <c r="R167" i="3" a="1"/>
  <c r="R167" i="3"/>
  <c r="P167" i="3" a="1"/>
  <c r="P167" i="3"/>
  <c r="N167" i="3" a="1"/>
  <c r="N167" i="3"/>
  <c r="L167" i="3" a="1"/>
  <c r="L167" i="3"/>
  <c r="I167" i="3"/>
  <c r="E167" i="3" a="1"/>
  <c r="E167" i="3" s="1"/>
  <c r="C167" i="3" a="1"/>
  <c r="C167" i="3" s="1"/>
  <c r="BF166" i="3"/>
  <c r="BE166" i="3"/>
  <c r="BD166" i="3"/>
  <c r="BC166" i="3"/>
  <c r="BB166" i="3"/>
  <c r="BA166" i="3"/>
  <c r="AZ166" i="3"/>
  <c r="AY166" i="3"/>
  <c r="AX166" i="3"/>
  <c r="AW166" i="3"/>
  <c r="AV166" i="3"/>
  <c r="AU166" i="3"/>
  <c r="AK166" i="3"/>
  <c r="AH166" i="3"/>
  <c r="AG166" i="3" a="1"/>
  <c r="AG166" i="3" s="1"/>
  <c r="AE166" i="3" a="1"/>
  <c r="AE166" i="3"/>
  <c r="AC166" i="3" a="1"/>
  <c r="AC166" i="3" s="1"/>
  <c r="AA166" i="3" a="1"/>
  <c r="AA166" i="3"/>
  <c r="Y166" i="3" a="1"/>
  <c r="Y166" i="3" s="1"/>
  <c r="V166" i="3"/>
  <c r="R166" i="3" a="1"/>
  <c r="R166" i="3"/>
  <c r="P166" i="3" a="1"/>
  <c r="P166" i="3"/>
  <c r="N166" i="3" a="1"/>
  <c r="N166" i="3"/>
  <c r="L166" i="3" a="1"/>
  <c r="L166" i="3"/>
  <c r="I166" i="3"/>
  <c r="E166" i="3" a="1"/>
  <c r="E166" i="3" s="1"/>
  <c r="C166" i="3" a="1"/>
  <c r="C166" i="3" s="1"/>
  <c r="BF165" i="3"/>
  <c r="BE165" i="3"/>
  <c r="BD165" i="3"/>
  <c r="BC165" i="3"/>
  <c r="BB165" i="3"/>
  <c r="BA165" i="3"/>
  <c r="AZ165" i="3"/>
  <c r="AY165" i="3"/>
  <c r="AX165" i="3"/>
  <c r="AW165" i="3"/>
  <c r="AV165" i="3"/>
  <c r="AU165" i="3"/>
  <c r="AK165" i="3"/>
  <c r="AH165" i="3"/>
  <c r="AG165" i="3" a="1"/>
  <c r="AG165" i="3"/>
  <c r="AE165" i="3" a="1"/>
  <c r="AE165" i="3" s="1"/>
  <c r="AC165" i="3" a="1"/>
  <c r="AC165" i="3"/>
  <c r="AA165" i="3" a="1"/>
  <c r="AA165" i="3" s="1"/>
  <c r="Y165" i="3" a="1"/>
  <c r="Y165" i="3"/>
  <c r="V165" i="3"/>
  <c r="R165" i="3" a="1"/>
  <c r="R165" i="3"/>
  <c r="P165" i="3" a="1"/>
  <c r="P165" i="3"/>
  <c r="N165" i="3" a="1"/>
  <c r="N165" i="3"/>
  <c r="L165" i="3" a="1"/>
  <c r="L165" i="3"/>
  <c r="I165" i="3"/>
  <c r="E165" i="3" a="1"/>
  <c r="E165" i="3" s="1"/>
  <c r="C165" i="3" a="1"/>
  <c r="C165" i="3" s="1"/>
  <c r="BF164" i="3"/>
  <c r="BE164" i="3"/>
  <c r="BD164" i="3"/>
  <c r="BC164" i="3"/>
  <c r="BB164" i="3"/>
  <c r="BA164" i="3"/>
  <c r="AZ164" i="3"/>
  <c r="AY164" i="3"/>
  <c r="AX164" i="3"/>
  <c r="AW164" i="3"/>
  <c r="AV164" i="3"/>
  <c r="AU164" i="3"/>
  <c r="AK164" i="3"/>
  <c r="AH164" i="3"/>
  <c r="AG164" i="3" a="1"/>
  <c r="AG164" i="3" s="1"/>
  <c r="AE164" i="3" a="1"/>
  <c r="AE164" i="3"/>
  <c r="AC164" i="3" a="1"/>
  <c r="AC164" i="3" s="1"/>
  <c r="AA164" i="3" a="1"/>
  <c r="AA164" i="3"/>
  <c r="Y164" i="3" a="1"/>
  <c r="Y164" i="3" s="1"/>
  <c r="V164" i="3"/>
  <c r="R164" i="3" a="1"/>
  <c r="R164" i="3"/>
  <c r="P164" i="3" a="1"/>
  <c r="P164" i="3"/>
  <c r="N164" i="3" a="1"/>
  <c r="N164" i="3"/>
  <c r="L164" i="3" a="1"/>
  <c r="L164" i="3"/>
  <c r="I164" i="3"/>
  <c r="E164" i="3" a="1"/>
  <c r="E164" i="3" s="1"/>
  <c r="C164" i="3" a="1"/>
  <c r="C164" i="3" s="1"/>
  <c r="BF163" i="3"/>
  <c r="BE163" i="3"/>
  <c r="BD163" i="3"/>
  <c r="BC163" i="3"/>
  <c r="BB163" i="3"/>
  <c r="BA163" i="3"/>
  <c r="AZ163" i="3"/>
  <c r="AY163" i="3"/>
  <c r="AX163" i="3"/>
  <c r="AW163" i="3"/>
  <c r="AV163" i="3"/>
  <c r="AU163" i="3"/>
  <c r="AK163" i="3"/>
  <c r="AH163" i="3"/>
  <c r="AG163" i="3" a="1"/>
  <c r="AG163" i="3"/>
  <c r="AE163" i="3" a="1"/>
  <c r="AE163" i="3" s="1"/>
  <c r="AC163" i="3" a="1"/>
  <c r="AC163" i="3"/>
  <c r="AA163" i="3" a="1"/>
  <c r="AA163" i="3" s="1"/>
  <c r="Y163" i="3" a="1"/>
  <c r="Y163" i="3"/>
  <c r="V163" i="3"/>
  <c r="R163" i="3" a="1"/>
  <c r="R163" i="3"/>
  <c r="P163" i="3" a="1"/>
  <c r="P163" i="3"/>
  <c r="N163" i="3" a="1"/>
  <c r="N163" i="3"/>
  <c r="L163" i="3" a="1"/>
  <c r="L163" i="3"/>
  <c r="I163" i="3"/>
  <c r="E163" i="3" a="1"/>
  <c r="E163" i="3" s="1"/>
  <c r="C163" i="3" a="1"/>
  <c r="C163" i="3" s="1"/>
  <c r="BF162" i="3"/>
  <c r="BE162" i="3"/>
  <c r="BD162" i="3"/>
  <c r="BC162" i="3"/>
  <c r="BB162" i="3"/>
  <c r="BA162" i="3"/>
  <c r="AZ162" i="3"/>
  <c r="AY162" i="3"/>
  <c r="AX162" i="3"/>
  <c r="AW162" i="3"/>
  <c r="AV162" i="3"/>
  <c r="AU162" i="3"/>
  <c r="AK162" i="3"/>
  <c r="AH162" i="3"/>
  <c r="AG162" i="3" a="1"/>
  <c r="AG162" i="3" s="1"/>
  <c r="AE162" i="3" a="1"/>
  <c r="AE162" i="3"/>
  <c r="AC162" i="3" a="1"/>
  <c r="AC162" i="3" s="1"/>
  <c r="AA162" i="3" a="1"/>
  <c r="AA162" i="3"/>
  <c r="Y162" i="3" a="1"/>
  <c r="Y162" i="3" s="1"/>
  <c r="V162" i="3"/>
  <c r="R162" i="3" a="1"/>
  <c r="R162" i="3"/>
  <c r="P162" i="3" a="1"/>
  <c r="P162" i="3"/>
  <c r="N162" i="3" a="1"/>
  <c r="N162" i="3"/>
  <c r="L162" i="3" a="1"/>
  <c r="L162" i="3"/>
  <c r="I162" i="3"/>
  <c r="E162" i="3" a="1"/>
  <c r="E162" i="3" s="1"/>
  <c r="C162" i="3" a="1"/>
  <c r="C162" i="3" s="1"/>
  <c r="BF161" i="3"/>
  <c r="BE161" i="3"/>
  <c r="BD161" i="3"/>
  <c r="BC161" i="3"/>
  <c r="BB161" i="3"/>
  <c r="BA161" i="3"/>
  <c r="AZ161" i="3"/>
  <c r="AY161" i="3"/>
  <c r="AX161" i="3"/>
  <c r="AW161" i="3"/>
  <c r="AV161" i="3"/>
  <c r="AU161" i="3"/>
  <c r="AK161" i="3"/>
  <c r="AH161" i="3"/>
  <c r="AG161" i="3" a="1"/>
  <c r="AG161" i="3"/>
  <c r="AE161" i="3" a="1"/>
  <c r="AE161" i="3" s="1"/>
  <c r="AC161" i="3" a="1"/>
  <c r="AC161" i="3"/>
  <c r="AA161" i="3" a="1"/>
  <c r="AA161" i="3" s="1"/>
  <c r="Y161" i="3" a="1"/>
  <c r="Y161" i="3"/>
  <c r="V161" i="3"/>
  <c r="R161" i="3" a="1"/>
  <c r="R161" i="3"/>
  <c r="P161" i="3" a="1"/>
  <c r="P161" i="3"/>
  <c r="N161" i="3" a="1"/>
  <c r="N161" i="3"/>
  <c r="L161" i="3" a="1"/>
  <c r="L161" i="3"/>
  <c r="I161" i="3"/>
  <c r="E161" i="3" a="1"/>
  <c r="E161" i="3" s="1"/>
  <c r="C161" i="3" a="1"/>
  <c r="C161" i="3" s="1"/>
  <c r="BF160" i="3"/>
  <c r="BE160" i="3"/>
  <c r="BD160" i="3"/>
  <c r="BC160" i="3"/>
  <c r="BB160" i="3"/>
  <c r="BA160" i="3"/>
  <c r="AZ160" i="3"/>
  <c r="AY160" i="3"/>
  <c r="AX160" i="3"/>
  <c r="AW160" i="3"/>
  <c r="AV160" i="3"/>
  <c r="AU160" i="3"/>
  <c r="AK160" i="3"/>
  <c r="AH160" i="3"/>
  <c r="AG160" i="3" a="1"/>
  <c r="AG160" i="3" s="1"/>
  <c r="AE160" i="3" a="1"/>
  <c r="AE160" i="3"/>
  <c r="AC160" i="3" a="1"/>
  <c r="AC160" i="3" s="1"/>
  <c r="AA160" i="3" a="1"/>
  <c r="AA160" i="3"/>
  <c r="Y160" i="3" a="1"/>
  <c r="Y160" i="3" s="1"/>
  <c r="V160" i="3"/>
  <c r="R160" i="3" a="1"/>
  <c r="R160" i="3"/>
  <c r="P160" i="3" a="1"/>
  <c r="P160" i="3"/>
  <c r="N160" i="3" a="1"/>
  <c r="N160" i="3"/>
  <c r="L160" i="3" a="1"/>
  <c r="L160" i="3"/>
  <c r="I160" i="3"/>
  <c r="E160" i="3" a="1"/>
  <c r="E160" i="3" s="1"/>
  <c r="C160" i="3" a="1"/>
  <c r="C160" i="3" s="1"/>
  <c r="BF159" i="3"/>
  <c r="BE159" i="3"/>
  <c r="BD159" i="3"/>
  <c r="BC159" i="3"/>
  <c r="BB159" i="3"/>
  <c r="BA159" i="3"/>
  <c r="AZ159" i="3"/>
  <c r="AY159" i="3"/>
  <c r="AX159" i="3"/>
  <c r="AW159" i="3"/>
  <c r="AV159" i="3"/>
  <c r="AU159" i="3"/>
  <c r="AK159" i="3"/>
  <c r="AH159" i="3"/>
  <c r="AG159" i="3" a="1"/>
  <c r="AG159" i="3"/>
  <c r="AE159" i="3" a="1"/>
  <c r="AE159" i="3" s="1"/>
  <c r="AC159" i="3" a="1"/>
  <c r="AC159" i="3"/>
  <c r="AA159" i="3" a="1"/>
  <c r="AA159" i="3" s="1"/>
  <c r="Y159" i="3" a="1"/>
  <c r="Y159" i="3"/>
  <c r="V159" i="3"/>
  <c r="R159" i="3" a="1"/>
  <c r="R159" i="3"/>
  <c r="P159" i="3" a="1"/>
  <c r="P159" i="3"/>
  <c r="N159" i="3" a="1"/>
  <c r="N159" i="3"/>
  <c r="L159" i="3" a="1"/>
  <c r="L159" i="3"/>
  <c r="I159" i="3"/>
  <c r="E159" i="3" a="1"/>
  <c r="E159" i="3" s="1"/>
  <c r="C159" i="3" a="1"/>
  <c r="C159" i="3" s="1"/>
  <c r="BF158" i="3"/>
  <c r="BE158" i="3"/>
  <c r="BD158" i="3"/>
  <c r="BC158" i="3"/>
  <c r="BB158" i="3"/>
  <c r="BA158" i="3"/>
  <c r="AZ158" i="3"/>
  <c r="AY158" i="3"/>
  <c r="AX158" i="3"/>
  <c r="AW158" i="3"/>
  <c r="AV158" i="3"/>
  <c r="AU158" i="3"/>
  <c r="AK158" i="3"/>
  <c r="AH158" i="3"/>
  <c r="AG158" i="3" a="1"/>
  <c r="AG158" i="3" s="1"/>
  <c r="AE158" i="3" a="1"/>
  <c r="AE158" i="3"/>
  <c r="AC158" i="3" a="1"/>
  <c r="AC158" i="3" s="1"/>
  <c r="AA158" i="3" a="1"/>
  <c r="AA158" i="3"/>
  <c r="Y158" i="3" a="1"/>
  <c r="Y158" i="3" s="1"/>
  <c r="V158" i="3"/>
  <c r="R158" i="3" a="1"/>
  <c r="R158" i="3"/>
  <c r="P158" i="3" a="1"/>
  <c r="P158" i="3"/>
  <c r="N158" i="3" a="1"/>
  <c r="N158" i="3"/>
  <c r="L158" i="3" a="1"/>
  <c r="L158" i="3"/>
  <c r="I158" i="3"/>
  <c r="E158" i="3" a="1"/>
  <c r="E158" i="3" s="1"/>
  <c r="C158" i="3" a="1"/>
  <c r="C158" i="3" s="1"/>
  <c r="BF157" i="3"/>
  <c r="BE157" i="3"/>
  <c r="BD157" i="3"/>
  <c r="BC157" i="3"/>
  <c r="BB157" i="3"/>
  <c r="BA157" i="3"/>
  <c r="AZ157" i="3"/>
  <c r="AY157" i="3"/>
  <c r="AX157" i="3"/>
  <c r="AW157" i="3"/>
  <c r="AV157" i="3"/>
  <c r="AU157" i="3"/>
  <c r="AK157" i="3"/>
  <c r="AH157" i="3"/>
  <c r="AG157" i="3" a="1"/>
  <c r="AG157" i="3"/>
  <c r="AE157" i="3" a="1"/>
  <c r="AE157" i="3" s="1"/>
  <c r="AC157" i="3" a="1"/>
  <c r="AC157" i="3"/>
  <c r="AA157" i="3" a="1"/>
  <c r="AA157" i="3" s="1"/>
  <c r="Y157" i="3" a="1"/>
  <c r="Y157" i="3"/>
  <c r="V157" i="3"/>
  <c r="R157" i="3" a="1"/>
  <c r="R157" i="3"/>
  <c r="P157" i="3" a="1"/>
  <c r="P157" i="3"/>
  <c r="N157" i="3" a="1"/>
  <c r="N157" i="3"/>
  <c r="L157" i="3" a="1"/>
  <c r="L157" i="3"/>
  <c r="I157" i="3"/>
  <c r="E157" i="3" a="1"/>
  <c r="E157" i="3" s="1"/>
  <c r="C157" i="3" a="1"/>
  <c r="C157" i="3" s="1"/>
  <c r="BF156" i="3"/>
  <c r="BE156" i="3"/>
  <c r="BD156" i="3"/>
  <c r="BC156" i="3"/>
  <c r="BB156" i="3"/>
  <c r="BA156" i="3"/>
  <c r="AZ156" i="3"/>
  <c r="AY156" i="3"/>
  <c r="AX156" i="3"/>
  <c r="AW156" i="3"/>
  <c r="AV156" i="3"/>
  <c r="AU156" i="3"/>
  <c r="AK156" i="3"/>
  <c r="AH156" i="3"/>
  <c r="AG156" i="3" a="1"/>
  <c r="AG156" i="3" s="1"/>
  <c r="AE156" i="3" a="1"/>
  <c r="AE156" i="3"/>
  <c r="AC156" i="3" a="1"/>
  <c r="AC156" i="3" s="1"/>
  <c r="AA156" i="3" a="1"/>
  <c r="AA156" i="3"/>
  <c r="Y156" i="3" a="1"/>
  <c r="Y156" i="3" s="1"/>
  <c r="V156" i="3"/>
  <c r="R156" i="3" a="1"/>
  <c r="R156" i="3"/>
  <c r="P156" i="3" a="1"/>
  <c r="P156" i="3"/>
  <c r="N156" i="3" a="1"/>
  <c r="N156" i="3"/>
  <c r="L156" i="3" a="1"/>
  <c r="L156" i="3"/>
  <c r="I156" i="3"/>
  <c r="E156" i="3" a="1"/>
  <c r="E156" i="3" s="1"/>
  <c r="C156" i="3" a="1"/>
  <c r="C156" i="3" s="1"/>
  <c r="BF155" i="3"/>
  <c r="BE155" i="3"/>
  <c r="BD155" i="3"/>
  <c r="BC155" i="3"/>
  <c r="BB155" i="3"/>
  <c r="BA155" i="3"/>
  <c r="AZ155" i="3"/>
  <c r="AY155" i="3"/>
  <c r="AX155" i="3"/>
  <c r="AW155" i="3"/>
  <c r="AV155" i="3"/>
  <c r="AU155" i="3"/>
  <c r="AK155" i="3"/>
  <c r="AH155" i="3"/>
  <c r="AG155" i="3" a="1"/>
  <c r="AG155" i="3"/>
  <c r="AE155" i="3" a="1"/>
  <c r="AE155" i="3" s="1"/>
  <c r="AC155" i="3" a="1"/>
  <c r="AC155" i="3"/>
  <c r="AA155" i="3" a="1"/>
  <c r="AA155" i="3" s="1"/>
  <c r="Y155" i="3" a="1"/>
  <c r="Y155" i="3"/>
  <c r="V155" i="3"/>
  <c r="R155" i="3" a="1"/>
  <c r="R155" i="3"/>
  <c r="P155" i="3" a="1"/>
  <c r="P155" i="3"/>
  <c r="N155" i="3" a="1"/>
  <c r="N155" i="3"/>
  <c r="L155" i="3" a="1"/>
  <c r="L155" i="3"/>
  <c r="I155" i="3"/>
  <c r="E155" i="3" a="1"/>
  <c r="E155" i="3" s="1"/>
  <c r="C155" i="3" a="1"/>
  <c r="C155" i="3" s="1"/>
  <c r="BF154" i="3"/>
  <c r="BE154" i="3"/>
  <c r="BD154" i="3"/>
  <c r="BC154" i="3"/>
  <c r="BB154" i="3"/>
  <c r="BA154" i="3"/>
  <c r="AZ154" i="3"/>
  <c r="AY154" i="3"/>
  <c r="AX154" i="3"/>
  <c r="AW154" i="3"/>
  <c r="AV154" i="3"/>
  <c r="AU154" i="3"/>
  <c r="AK154" i="3"/>
  <c r="AH154" i="3"/>
  <c r="AG154" i="3" a="1"/>
  <c r="AG154" i="3" s="1"/>
  <c r="AE154" i="3" a="1"/>
  <c r="AE154" i="3"/>
  <c r="AC154" i="3" a="1"/>
  <c r="AC154" i="3" s="1"/>
  <c r="AA154" i="3" a="1"/>
  <c r="AA154" i="3"/>
  <c r="Y154" i="3" a="1"/>
  <c r="Y154" i="3" s="1"/>
  <c r="V154" i="3"/>
  <c r="R154" i="3" a="1"/>
  <c r="R154" i="3"/>
  <c r="P154" i="3" a="1"/>
  <c r="P154" i="3"/>
  <c r="N154" i="3" a="1"/>
  <c r="N154" i="3" s="1"/>
  <c r="L154" i="3" a="1"/>
  <c r="L154" i="3"/>
  <c r="I154" i="3"/>
  <c r="E154" i="3" a="1"/>
  <c r="E154" i="3" s="1"/>
  <c r="C154" i="3" a="1"/>
  <c r="C154" i="3" s="1"/>
  <c r="BF153" i="3"/>
  <c r="BE153" i="3"/>
  <c r="BD153" i="3"/>
  <c r="BC153" i="3"/>
  <c r="BB153" i="3"/>
  <c r="BA153" i="3"/>
  <c r="AZ153" i="3"/>
  <c r="AY153" i="3"/>
  <c r="AX153" i="3"/>
  <c r="AW153" i="3"/>
  <c r="AV153" i="3"/>
  <c r="AU153" i="3"/>
  <c r="AK153" i="3"/>
  <c r="AH153" i="3"/>
  <c r="AG153" i="3" a="1"/>
  <c r="AG153" i="3"/>
  <c r="AE153" i="3" a="1"/>
  <c r="AE153" i="3" s="1"/>
  <c r="AC153" i="3" a="1"/>
  <c r="AC153" i="3"/>
  <c r="AA153" i="3" a="1"/>
  <c r="AA153" i="3" s="1"/>
  <c r="Y153" i="3" a="1"/>
  <c r="Y153" i="3"/>
  <c r="V153" i="3"/>
  <c r="R153" i="3" a="1"/>
  <c r="R153" i="3"/>
  <c r="P153" i="3" a="1"/>
  <c r="P153" i="3"/>
  <c r="N153" i="3" a="1"/>
  <c r="N153" i="3"/>
  <c r="L153" i="3" a="1"/>
  <c r="L153" i="3"/>
  <c r="I153" i="3"/>
  <c r="E153" i="3" a="1"/>
  <c r="E153" i="3" s="1"/>
  <c r="C153" i="3" a="1"/>
  <c r="C153" i="3" s="1"/>
  <c r="BF152" i="3"/>
  <c r="BE152" i="3"/>
  <c r="BD152" i="3"/>
  <c r="BC152" i="3"/>
  <c r="BB152" i="3"/>
  <c r="BA152" i="3"/>
  <c r="AZ152" i="3"/>
  <c r="AY152" i="3"/>
  <c r="AX152" i="3"/>
  <c r="AW152" i="3"/>
  <c r="AV152" i="3"/>
  <c r="AU152" i="3"/>
  <c r="AK152" i="3"/>
  <c r="AH152" i="3"/>
  <c r="AG152" i="3" a="1"/>
  <c r="AG152" i="3" s="1"/>
  <c r="AE152" i="3" a="1"/>
  <c r="AE152" i="3"/>
  <c r="AC152" i="3" a="1"/>
  <c r="AC152" i="3" s="1"/>
  <c r="AA152" i="3" a="1"/>
  <c r="AA152" i="3"/>
  <c r="Y152" i="3" a="1"/>
  <c r="Y152" i="3" s="1"/>
  <c r="V152" i="3"/>
  <c r="R152" i="3" a="1"/>
  <c r="R152" i="3"/>
  <c r="P152" i="3" a="1"/>
  <c r="P152" i="3"/>
  <c r="N152" i="3" a="1"/>
  <c r="N152" i="3"/>
  <c r="L152" i="3" a="1"/>
  <c r="L152" i="3"/>
  <c r="I152" i="3"/>
  <c r="E152" i="3" a="1"/>
  <c r="E152" i="3" s="1"/>
  <c r="C152" i="3" a="1"/>
  <c r="C152" i="3" s="1"/>
  <c r="BF151" i="3"/>
  <c r="BE151" i="3"/>
  <c r="BD151" i="3"/>
  <c r="BC151" i="3"/>
  <c r="BB151" i="3"/>
  <c r="BA151" i="3"/>
  <c r="AZ151" i="3"/>
  <c r="AY151" i="3"/>
  <c r="AX151" i="3"/>
  <c r="AW151" i="3"/>
  <c r="AV151" i="3"/>
  <c r="AU151" i="3"/>
  <c r="AK151" i="3"/>
  <c r="AH151" i="3"/>
  <c r="AG151" i="3" a="1"/>
  <c r="AG151" i="3"/>
  <c r="AE151" i="3" a="1"/>
  <c r="AE151" i="3" s="1"/>
  <c r="AC151" i="3" a="1"/>
  <c r="AC151" i="3"/>
  <c r="AA151" i="3" a="1"/>
  <c r="AA151" i="3" s="1"/>
  <c r="Y151" i="3" a="1"/>
  <c r="Y151" i="3"/>
  <c r="V151" i="3"/>
  <c r="R151" i="3" a="1"/>
  <c r="R151" i="3"/>
  <c r="P151" i="3" a="1"/>
  <c r="P151" i="3" s="1"/>
  <c r="N151" i="3" a="1"/>
  <c r="N151" i="3"/>
  <c r="L151" i="3" a="1"/>
  <c r="L151" i="3" s="1"/>
  <c r="I151" i="3"/>
  <c r="E151" i="3" a="1"/>
  <c r="E151" i="3" s="1"/>
  <c r="C151" i="3" a="1"/>
  <c r="C151" i="3" s="1"/>
  <c r="BF150" i="3"/>
  <c r="BE150" i="3"/>
  <c r="BD150" i="3"/>
  <c r="BC150" i="3"/>
  <c r="BB150" i="3"/>
  <c r="BA150" i="3"/>
  <c r="AZ150" i="3"/>
  <c r="AY150" i="3"/>
  <c r="AX150" i="3"/>
  <c r="AW150" i="3"/>
  <c r="AV150" i="3"/>
  <c r="AU150" i="3"/>
  <c r="AK150" i="3"/>
  <c r="AH150" i="3"/>
  <c r="AG150" i="3" a="1"/>
  <c r="AG150" i="3" s="1"/>
  <c r="AE150" i="3" a="1"/>
  <c r="AE150" i="3"/>
  <c r="AC150" i="3" a="1"/>
  <c r="AC150" i="3" s="1"/>
  <c r="AA150" i="3" a="1"/>
  <c r="AA150" i="3"/>
  <c r="Y150" i="3" a="1"/>
  <c r="Y150" i="3" s="1"/>
  <c r="V150" i="3"/>
  <c r="R150" i="3" a="1"/>
  <c r="R150" i="3" s="1"/>
  <c r="P150" i="3" a="1"/>
  <c r="P150" i="3"/>
  <c r="N150" i="3" a="1"/>
  <c r="N150" i="3" s="1"/>
  <c r="L150" i="3" a="1"/>
  <c r="L150" i="3"/>
  <c r="I150" i="3"/>
  <c r="E150" i="3" a="1"/>
  <c r="E150" i="3" s="1"/>
  <c r="C150" i="3" a="1"/>
  <c r="C150" i="3" s="1"/>
  <c r="BF149" i="3"/>
  <c r="BE149" i="3"/>
  <c r="BD149" i="3"/>
  <c r="BC149" i="3"/>
  <c r="BB149" i="3"/>
  <c r="BA149" i="3"/>
  <c r="AZ149" i="3"/>
  <c r="AY149" i="3"/>
  <c r="AX149" i="3"/>
  <c r="AW149" i="3"/>
  <c r="AV149" i="3"/>
  <c r="AU149" i="3"/>
  <c r="AK149" i="3"/>
  <c r="AH149" i="3"/>
  <c r="AG149" i="3" a="1"/>
  <c r="AG149" i="3"/>
  <c r="AE149" i="3" a="1"/>
  <c r="AE149" i="3" s="1"/>
  <c r="AC149" i="3" a="1"/>
  <c r="AC149" i="3"/>
  <c r="AA149" i="3" a="1"/>
  <c r="AA149" i="3" s="1"/>
  <c r="Y149" i="3" a="1"/>
  <c r="Y149" i="3"/>
  <c r="V149" i="3"/>
  <c r="R149" i="3" a="1"/>
  <c r="R149" i="3"/>
  <c r="P149" i="3" a="1"/>
  <c r="P149" i="3" s="1"/>
  <c r="N149" i="3" a="1"/>
  <c r="N149" i="3"/>
  <c r="L149" i="3" a="1"/>
  <c r="L149" i="3" s="1"/>
  <c r="I149" i="3"/>
  <c r="E149" i="3" a="1"/>
  <c r="E149" i="3" s="1"/>
  <c r="C149" i="3" a="1"/>
  <c r="C149" i="3" s="1"/>
  <c r="BF148" i="3"/>
  <c r="BE148" i="3"/>
  <c r="BD148" i="3"/>
  <c r="BC148" i="3"/>
  <c r="BB148" i="3"/>
  <c r="BA148" i="3"/>
  <c r="AZ148" i="3"/>
  <c r="AY148" i="3"/>
  <c r="AX148" i="3"/>
  <c r="AW148" i="3"/>
  <c r="AV148" i="3"/>
  <c r="AU148" i="3"/>
  <c r="AK148" i="3"/>
  <c r="AH148" i="3"/>
  <c r="AG148" i="3" a="1"/>
  <c r="AG148" i="3" s="1"/>
  <c r="AE148" i="3" a="1"/>
  <c r="AE148" i="3"/>
  <c r="AC148" i="3" a="1"/>
  <c r="AC148" i="3" s="1"/>
  <c r="AA148" i="3" a="1"/>
  <c r="AA148" i="3"/>
  <c r="Y148" i="3" a="1"/>
  <c r="Y148" i="3" s="1"/>
  <c r="V148" i="3"/>
  <c r="R148" i="3" a="1"/>
  <c r="R148" i="3" s="1"/>
  <c r="P148" i="3" a="1"/>
  <c r="P148" i="3"/>
  <c r="N148" i="3" a="1"/>
  <c r="N148" i="3" s="1"/>
  <c r="L148" i="3" a="1"/>
  <c r="L148" i="3"/>
  <c r="I148" i="3"/>
  <c r="E148" i="3" a="1"/>
  <c r="E148" i="3" s="1"/>
  <c r="C148" i="3" a="1"/>
  <c r="C148" i="3" s="1"/>
  <c r="BF147" i="3"/>
  <c r="BE147" i="3"/>
  <c r="BD147" i="3"/>
  <c r="BC147" i="3"/>
  <c r="BB147" i="3"/>
  <c r="BA147" i="3"/>
  <c r="AZ147" i="3"/>
  <c r="AY147" i="3"/>
  <c r="AX147" i="3"/>
  <c r="AW147" i="3"/>
  <c r="AV147" i="3"/>
  <c r="AU147" i="3"/>
  <c r="AK147" i="3"/>
  <c r="AH147" i="3"/>
  <c r="AG147" i="3" a="1"/>
  <c r="AG147" i="3"/>
  <c r="AE147" i="3" a="1"/>
  <c r="AE147" i="3" s="1"/>
  <c r="AC147" i="3" a="1"/>
  <c r="AC147" i="3"/>
  <c r="AA147" i="3" a="1"/>
  <c r="AA147" i="3" s="1"/>
  <c r="Y147" i="3" a="1"/>
  <c r="Y147" i="3"/>
  <c r="V147" i="3"/>
  <c r="R147" i="3" a="1"/>
  <c r="R147" i="3"/>
  <c r="P147" i="3" a="1"/>
  <c r="P147" i="3"/>
  <c r="N147" i="3" a="1"/>
  <c r="N147" i="3"/>
  <c r="L147" i="3" a="1"/>
  <c r="L147" i="3" s="1"/>
  <c r="I147" i="3"/>
  <c r="E147" i="3" a="1"/>
  <c r="E147" i="3" s="1"/>
  <c r="C147" i="3" a="1"/>
  <c r="C147" i="3" s="1"/>
  <c r="BF146" i="3"/>
  <c r="BE146" i="3"/>
  <c r="BD146" i="3"/>
  <c r="BC146" i="3"/>
  <c r="BB146" i="3"/>
  <c r="BA146" i="3"/>
  <c r="AZ146" i="3"/>
  <c r="AY146" i="3"/>
  <c r="AX146" i="3"/>
  <c r="AW146" i="3"/>
  <c r="AV146" i="3"/>
  <c r="AU146" i="3"/>
  <c r="AK146" i="3"/>
  <c r="AH146" i="3"/>
  <c r="AG146" i="3" a="1"/>
  <c r="AG146" i="3" s="1"/>
  <c r="AE146" i="3" a="1"/>
  <c r="AE146" i="3"/>
  <c r="AC146" i="3" a="1"/>
  <c r="AC146" i="3" s="1"/>
  <c r="AA146" i="3" a="1"/>
  <c r="AA146" i="3"/>
  <c r="Y146" i="3" a="1"/>
  <c r="Y146" i="3" s="1"/>
  <c r="V146" i="3"/>
  <c r="R146" i="3" a="1"/>
  <c r="R146" i="3" s="1"/>
  <c r="P146" i="3" a="1"/>
  <c r="P146" i="3"/>
  <c r="N146" i="3" a="1"/>
  <c r="N146" i="3" s="1"/>
  <c r="L146" i="3" a="1"/>
  <c r="L146" i="3"/>
  <c r="I146" i="3"/>
  <c r="E146" i="3" a="1"/>
  <c r="E146" i="3" s="1"/>
  <c r="C146" i="3" a="1"/>
  <c r="C146" i="3" s="1"/>
  <c r="BF145" i="3"/>
  <c r="BE145" i="3"/>
  <c r="BD145" i="3"/>
  <c r="BC145" i="3"/>
  <c r="BB145" i="3"/>
  <c r="BA145" i="3"/>
  <c r="AZ145" i="3"/>
  <c r="AY145" i="3"/>
  <c r="AX145" i="3"/>
  <c r="AW145" i="3"/>
  <c r="AV145" i="3"/>
  <c r="AU145" i="3"/>
  <c r="AK145" i="3"/>
  <c r="AH145" i="3"/>
  <c r="AG145" i="3" a="1"/>
  <c r="AG145" i="3"/>
  <c r="AE145" i="3" a="1"/>
  <c r="AE145" i="3" s="1"/>
  <c r="AC145" i="3" a="1"/>
  <c r="AC145" i="3"/>
  <c r="AA145" i="3" a="1"/>
  <c r="AA145" i="3" s="1"/>
  <c r="Y145" i="3" a="1"/>
  <c r="Y145" i="3"/>
  <c r="V145" i="3"/>
  <c r="R145" i="3" a="1"/>
  <c r="R145" i="3"/>
  <c r="P145" i="3" a="1"/>
  <c r="P145" i="3"/>
  <c r="N145" i="3" a="1"/>
  <c r="N145" i="3"/>
  <c r="L145" i="3" a="1"/>
  <c r="L145" i="3"/>
  <c r="I145" i="3"/>
  <c r="E145" i="3" a="1"/>
  <c r="E145" i="3" s="1"/>
  <c r="C145" i="3" a="1"/>
  <c r="C145" i="3" s="1"/>
  <c r="BF144" i="3"/>
  <c r="BE144" i="3"/>
  <c r="BD144" i="3"/>
  <c r="BC144" i="3"/>
  <c r="BB144" i="3"/>
  <c r="BA144" i="3"/>
  <c r="AZ144" i="3"/>
  <c r="AY144" i="3"/>
  <c r="AX144" i="3"/>
  <c r="AW144" i="3"/>
  <c r="AV144" i="3"/>
  <c r="AU144" i="3"/>
  <c r="AK144" i="3"/>
  <c r="AH144" i="3"/>
  <c r="AG144" i="3" a="1"/>
  <c r="AG144" i="3" s="1"/>
  <c r="AE144" i="3" a="1"/>
  <c r="AE144" i="3"/>
  <c r="AC144" i="3" a="1"/>
  <c r="AC144" i="3" s="1"/>
  <c r="AA144" i="3" a="1"/>
  <c r="AA144" i="3"/>
  <c r="Y144" i="3" a="1"/>
  <c r="Y144" i="3" s="1"/>
  <c r="V144" i="3"/>
  <c r="R144" i="3" a="1"/>
  <c r="R144" i="3"/>
  <c r="P144" i="3" a="1"/>
  <c r="P144" i="3"/>
  <c r="N144" i="3" a="1"/>
  <c r="N144" i="3"/>
  <c r="L144" i="3" a="1"/>
  <c r="L144" i="3"/>
  <c r="I144" i="3"/>
  <c r="E144" i="3" a="1"/>
  <c r="E144" i="3" s="1"/>
  <c r="C144" i="3" a="1"/>
  <c r="C144" i="3" s="1"/>
  <c r="BF143" i="3"/>
  <c r="BE143" i="3"/>
  <c r="BD143" i="3"/>
  <c r="BC143" i="3"/>
  <c r="BB143" i="3"/>
  <c r="BA143" i="3"/>
  <c r="AZ143" i="3"/>
  <c r="AY143" i="3"/>
  <c r="AX143" i="3"/>
  <c r="AW143" i="3"/>
  <c r="AV143" i="3"/>
  <c r="AU143" i="3"/>
  <c r="AK143" i="3"/>
  <c r="AH143" i="3"/>
  <c r="AG143" i="3" a="1"/>
  <c r="AG143" i="3"/>
  <c r="AE143" i="3" a="1"/>
  <c r="AE143" i="3" s="1"/>
  <c r="AC143" i="3" a="1"/>
  <c r="AC143" i="3"/>
  <c r="AA143" i="3" a="1"/>
  <c r="AA143" i="3" s="1"/>
  <c r="Y143" i="3" a="1"/>
  <c r="Y143" i="3"/>
  <c r="V143" i="3"/>
  <c r="R143" i="3" a="1"/>
  <c r="R143" i="3"/>
  <c r="P143" i="3" a="1"/>
  <c r="P143" i="3" s="1"/>
  <c r="N143" i="3" a="1"/>
  <c r="N143" i="3"/>
  <c r="L143" i="3" a="1"/>
  <c r="L143" i="3" s="1"/>
  <c r="I143" i="3"/>
  <c r="E143" i="3" a="1"/>
  <c r="E143" i="3" s="1"/>
  <c r="C143" i="3" a="1"/>
  <c r="C143" i="3" s="1"/>
  <c r="BF142" i="3"/>
  <c r="BE142" i="3"/>
  <c r="BD142" i="3"/>
  <c r="BC142" i="3"/>
  <c r="BB142" i="3"/>
  <c r="BA142" i="3"/>
  <c r="AZ142" i="3"/>
  <c r="AY142" i="3"/>
  <c r="AX142" i="3"/>
  <c r="AW142" i="3"/>
  <c r="AV142" i="3"/>
  <c r="AU142" i="3"/>
  <c r="AK142" i="3"/>
  <c r="AH142" i="3"/>
  <c r="AG142" i="3" a="1"/>
  <c r="AG142" i="3" s="1"/>
  <c r="AE142" i="3" a="1"/>
  <c r="AE142" i="3"/>
  <c r="AC142" i="3" a="1"/>
  <c r="AC142" i="3" s="1"/>
  <c r="AA142" i="3" a="1"/>
  <c r="AA142" i="3"/>
  <c r="Y142" i="3" a="1"/>
  <c r="Y142" i="3" s="1"/>
  <c r="V142" i="3"/>
  <c r="R142" i="3" a="1"/>
  <c r="R142" i="3" s="1"/>
  <c r="P142" i="3" a="1"/>
  <c r="P142" i="3"/>
  <c r="N142" i="3" a="1"/>
  <c r="N142" i="3" s="1"/>
  <c r="L142" i="3" a="1"/>
  <c r="L142" i="3"/>
  <c r="I142" i="3"/>
  <c r="E142" i="3" a="1"/>
  <c r="E142" i="3" s="1"/>
  <c r="C142" i="3" a="1"/>
  <c r="C142" i="3" s="1"/>
  <c r="BF141" i="3"/>
  <c r="BE141" i="3"/>
  <c r="BD141" i="3"/>
  <c r="BC141" i="3"/>
  <c r="BB141" i="3"/>
  <c r="BA141" i="3"/>
  <c r="AZ141" i="3"/>
  <c r="AY141" i="3"/>
  <c r="AX141" i="3"/>
  <c r="AW141" i="3"/>
  <c r="AV141" i="3"/>
  <c r="AU141" i="3"/>
  <c r="AK141" i="3"/>
  <c r="AH141" i="3"/>
  <c r="AG141" i="3" a="1"/>
  <c r="AG141" i="3"/>
  <c r="AE141" i="3" a="1"/>
  <c r="AE141" i="3" s="1"/>
  <c r="AC141" i="3" a="1"/>
  <c r="AC141" i="3"/>
  <c r="AA141" i="3" a="1"/>
  <c r="AA141" i="3" s="1"/>
  <c r="Y141" i="3" a="1"/>
  <c r="Y141" i="3"/>
  <c r="V141" i="3"/>
  <c r="R141" i="3" a="1"/>
  <c r="R141" i="3"/>
  <c r="P141" i="3" a="1"/>
  <c r="P141" i="3" s="1"/>
  <c r="N141" i="3" a="1"/>
  <c r="N141" i="3"/>
  <c r="L141" i="3" a="1"/>
  <c r="L141" i="3" s="1"/>
  <c r="I141" i="3"/>
  <c r="E141" i="3" a="1"/>
  <c r="E141" i="3" s="1"/>
  <c r="C141" i="3" a="1"/>
  <c r="C141" i="3" s="1"/>
  <c r="BF140" i="3"/>
  <c r="BE140" i="3"/>
  <c r="BD140" i="3"/>
  <c r="BC140" i="3"/>
  <c r="BB140" i="3"/>
  <c r="BA140" i="3"/>
  <c r="AZ140" i="3"/>
  <c r="AY140" i="3"/>
  <c r="AX140" i="3"/>
  <c r="AW140" i="3"/>
  <c r="AV140" i="3"/>
  <c r="AU140" i="3"/>
  <c r="AK140" i="3"/>
  <c r="AH140" i="3"/>
  <c r="AG140" i="3" a="1"/>
  <c r="AG140" i="3" s="1"/>
  <c r="AE140" i="3" a="1"/>
  <c r="AE140" i="3"/>
  <c r="AC140" i="3" a="1"/>
  <c r="AC140" i="3" s="1"/>
  <c r="AA140" i="3" a="1"/>
  <c r="AA140" i="3"/>
  <c r="Y140" i="3" a="1"/>
  <c r="Y140" i="3" s="1"/>
  <c r="V140" i="3"/>
  <c r="R140" i="3" a="1"/>
  <c r="R140" i="3" s="1"/>
  <c r="P140" i="3" a="1"/>
  <c r="P140" i="3"/>
  <c r="N140" i="3" a="1"/>
  <c r="N140" i="3" s="1"/>
  <c r="L140" i="3" a="1"/>
  <c r="L140" i="3"/>
  <c r="I140" i="3"/>
  <c r="E140" i="3" a="1"/>
  <c r="E140" i="3" s="1"/>
  <c r="C140" i="3" a="1"/>
  <c r="C140" i="3" s="1"/>
  <c r="BF139" i="3"/>
  <c r="BE139" i="3"/>
  <c r="BD139" i="3"/>
  <c r="BC139" i="3"/>
  <c r="BB139" i="3"/>
  <c r="BA139" i="3"/>
  <c r="AZ139" i="3"/>
  <c r="AY139" i="3"/>
  <c r="AX139" i="3"/>
  <c r="AW139" i="3"/>
  <c r="AV139" i="3"/>
  <c r="AU139" i="3"/>
  <c r="AK139" i="3"/>
  <c r="AH139" i="3"/>
  <c r="AG139" i="3" a="1"/>
  <c r="AG139" i="3"/>
  <c r="AE139" i="3" a="1"/>
  <c r="AE139" i="3" s="1"/>
  <c r="AC139" i="3" a="1"/>
  <c r="AC139" i="3"/>
  <c r="AA139" i="3" a="1"/>
  <c r="AA139" i="3" s="1"/>
  <c r="Y139" i="3" a="1"/>
  <c r="Y139" i="3"/>
  <c r="V139" i="3"/>
  <c r="R139" i="3" a="1"/>
  <c r="R139" i="3"/>
  <c r="P139" i="3" a="1"/>
  <c r="P139" i="3"/>
  <c r="N139" i="3" a="1"/>
  <c r="N139" i="3"/>
  <c r="L139" i="3" a="1"/>
  <c r="L139" i="3"/>
  <c r="I139" i="3"/>
  <c r="E139" i="3" a="1"/>
  <c r="E139" i="3" s="1"/>
  <c r="C139" i="3" a="1"/>
  <c r="C139" i="3" s="1"/>
  <c r="BF138" i="3"/>
  <c r="BE138" i="3"/>
  <c r="BD138" i="3"/>
  <c r="BC138" i="3"/>
  <c r="BB138" i="3"/>
  <c r="BA138" i="3"/>
  <c r="AZ138" i="3"/>
  <c r="AY138" i="3"/>
  <c r="AX138" i="3"/>
  <c r="AW138" i="3"/>
  <c r="AV138" i="3"/>
  <c r="AU138" i="3"/>
  <c r="AK138" i="3"/>
  <c r="AH138" i="3"/>
  <c r="AG138" i="3" a="1"/>
  <c r="AG138" i="3" s="1"/>
  <c r="AE138" i="3" a="1"/>
  <c r="AE138" i="3"/>
  <c r="AC138" i="3" a="1"/>
  <c r="AC138" i="3" s="1"/>
  <c r="AA138" i="3" a="1"/>
  <c r="AA138" i="3"/>
  <c r="Y138" i="3" a="1"/>
  <c r="Y138" i="3" s="1"/>
  <c r="V138" i="3"/>
  <c r="R138" i="3" a="1"/>
  <c r="R138" i="3" s="1"/>
  <c r="P138" i="3" a="1"/>
  <c r="P138" i="3"/>
  <c r="N138" i="3" a="1"/>
  <c r="N138" i="3" s="1"/>
  <c r="L138" i="3" a="1"/>
  <c r="L138" i="3"/>
  <c r="I138" i="3"/>
  <c r="E138" i="3" a="1"/>
  <c r="E138" i="3" s="1"/>
  <c r="C138" i="3" a="1"/>
  <c r="C138" i="3" s="1"/>
  <c r="BF137" i="3"/>
  <c r="BE137" i="3"/>
  <c r="BD137" i="3"/>
  <c r="BC137" i="3"/>
  <c r="BB137" i="3"/>
  <c r="BA137" i="3"/>
  <c r="AZ137" i="3"/>
  <c r="AY137" i="3"/>
  <c r="AX137" i="3"/>
  <c r="AW137" i="3"/>
  <c r="AV137" i="3"/>
  <c r="AU137" i="3"/>
  <c r="AK137" i="3"/>
  <c r="AH137" i="3"/>
  <c r="AG137" i="3" a="1"/>
  <c r="AG137" i="3"/>
  <c r="AE137" i="3" a="1"/>
  <c r="AE137" i="3" s="1"/>
  <c r="AC137" i="3" a="1"/>
  <c r="AC137" i="3"/>
  <c r="AA137" i="3" a="1"/>
  <c r="AA137" i="3" s="1"/>
  <c r="Y137" i="3" a="1"/>
  <c r="Y137" i="3"/>
  <c r="V137" i="3"/>
  <c r="R137" i="3" a="1"/>
  <c r="R137" i="3"/>
  <c r="P137" i="3" a="1"/>
  <c r="P137" i="3"/>
  <c r="N137" i="3" a="1"/>
  <c r="N137" i="3"/>
  <c r="L137" i="3" a="1"/>
  <c r="L137" i="3"/>
  <c r="I137" i="3"/>
  <c r="E137" i="3" a="1"/>
  <c r="E137" i="3" s="1"/>
  <c r="C137" i="3" a="1"/>
  <c r="C137" i="3" s="1"/>
  <c r="BF136" i="3"/>
  <c r="BE136" i="3"/>
  <c r="BD136" i="3"/>
  <c r="BC136" i="3"/>
  <c r="BB136" i="3"/>
  <c r="BA136" i="3"/>
  <c r="AZ136" i="3"/>
  <c r="AY136" i="3"/>
  <c r="AX136" i="3"/>
  <c r="AW136" i="3"/>
  <c r="AV136" i="3"/>
  <c r="AU136" i="3"/>
  <c r="AK136" i="3"/>
  <c r="AH136" i="3"/>
  <c r="AG136" i="3" a="1"/>
  <c r="AG136" i="3" s="1"/>
  <c r="AE136" i="3" a="1"/>
  <c r="AE136" i="3"/>
  <c r="AC136" i="3" a="1"/>
  <c r="AC136" i="3" s="1"/>
  <c r="AA136" i="3" a="1"/>
  <c r="AA136" i="3"/>
  <c r="Y136" i="3" a="1"/>
  <c r="Y136" i="3" s="1"/>
  <c r="V136" i="3"/>
  <c r="R136" i="3" a="1"/>
  <c r="R136" i="3"/>
  <c r="P136" i="3" a="1"/>
  <c r="P136" i="3"/>
  <c r="N136" i="3" a="1"/>
  <c r="N136" i="3"/>
  <c r="L136" i="3" a="1"/>
  <c r="L136" i="3"/>
  <c r="I136" i="3"/>
  <c r="E136" i="3" a="1"/>
  <c r="E136" i="3" s="1"/>
  <c r="C136" i="3" a="1"/>
  <c r="C136" i="3" s="1"/>
  <c r="BF135" i="3"/>
  <c r="BE135" i="3"/>
  <c r="BD135" i="3"/>
  <c r="BC135" i="3"/>
  <c r="BB135" i="3"/>
  <c r="BA135" i="3"/>
  <c r="AZ135" i="3"/>
  <c r="AY135" i="3"/>
  <c r="AX135" i="3"/>
  <c r="AW135" i="3"/>
  <c r="AV135" i="3"/>
  <c r="AU135" i="3"/>
  <c r="AK135" i="3"/>
  <c r="AH135" i="3"/>
  <c r="AG135" i="3" a="1"/>
  <c r="AG135" i="3"/>
  <c r="AE135" i="3" a="1"/>
  <c r="AE135" i="3" s="1"/>
  <c r="AC135" i="3" a="1"/>
  <c r="AC135" i="3"/>
  <c r="AA135" i="3" a="1"/>
  <c r="AA135" i="3" s="1"/>
  <c r="Y135" i="3" a="1"/>
  <c r="Y135" i="3"/>
  <c r="V135" i="3"/>
  <c r="R135" i="3" a="1"/>
  <c r="R135" i="3"/>
  <c r="P135" i="3" a="1"/>
  <c r="P135" i="3" s="1"/>
  <c r="N135" i="3" a="1"/>
  <c r="N135" i="3"/>
  <c r="L135" i="3" a="1"/>
  <c r="L135" i="3" s="1"/>
  <c r="I135" i="3"/>
  <c r="E135" i="3" a="1"/>
  <c r="E135" i="3" s="1"/>
  <c r="C135" i="3" a="1"/>
  <c r="C135" i="3" s="1"/>
  <c r="BF134" i="3"/>
  <c r="BE134" i="3"/>
  <c r="BD134" i="3"/>
  <c r="BC134" i="3"/>
  <c r="BB134" i="3"/>
  <c r="BA134" i="3"/>
  <c r="AZ134" i="3"/>
  <c r="AY134" i="3"/>
  <c r="AX134" i="3"/>
  <c r="AW134" i="3"/>
  <c r="AV134" i="3"/>
  <c r="AU134" i="3"/>
  <c r="AK134" i="3"/>
  <c r="AH134" i="3"/>
  <c r="AG134" i="3" a="1"/>
  <c r="AG134" i="3" s="1"/>
  <c r="AE134" i="3" a="1"/>
  <c r="AE134" i="3" s="1"/>
  <c r="AC134" i="3" a="1"/>
  <c r="AC134" i="3" s="1"/>
  <c r="AA134" i="3" a="1"/>
  <c r="AA134" i="3" s="1"/>
  <c r="Y134" i="3" a="1"/>
  <c r="Y134" i="3" s="1"/>
  <c r="V134" i="3"/>
  <c r="R134" i="3" a="1"/>
  <c r="R134" i="3" s="1"/>
  <c r="P134" i="3" a="1"/>
  <c r="P134" i="3"/>
  <c r="N134" i="3" a="1"/>
  <c r="N134" i="3" s="1"/>
  <c r="L134" i="3" a="1"/>
  <c r="L134" i="3"/>
  <c r="I134" i="3"/>
  <c r="E134" i="3" a="1"/>
  <c r="E134" i="3" s="1"/>
  <c r="C134" i="3" a="1"/>
  <c r="C134" i="3" s="1"/>
  <c r="BF133" i="3"/>
  <c r="BE133" i="3"/>
  <c r="BD133" i="3"/>
  <c r="BC133" i="3"/>
  <c r="BB133" i="3"/>
  <c r="BA133" i="3"/>
  <c r="AZ133" i="3"/>
  <c r="AY133" i="3"/>
  <c r="AX133" i="3"/>
  <c r="AW133" i="3"/>
  <c r="AV133" i="3"/>
  <c r="AU133" i="3"/>
  <c r="AK133" i="3"/>
  <c r="AH133" i="3"/>
  <c r="AG133" i="3" a="1"/>
  <c r="AG133" i="3" s="1"/>
  <c r="AE133" i="3" a="1"/>
  <c r="AE133" i="3" s="1"/>
  <c r="AC133" i="3" a="1"/>
  <c r="AC133" i="3" s="1"/>
  <c r="AA133" i="3" a="1"/>
  <c r="AA133" i="3" s="1"/>
  <c r="Y133" i="3" a="1"/>
  <c r="Y133" i="3" s="1"/>
  <c r="V133" i="3"/>
  <c r="R133" i="3" a="1"/>
  <c r="R133" i="3"/>
  <c r="P133" i="3" a="1"/>
  <c r="P133" i="3" s="1"/>
  <c r="N133" i="3" a="1"/>
  <c r="N133" i="3"/>
  <c r="L133" i="3" a="1"/>
  <c r="L133" i="3" s="1"/>
  <c r="I133" i="3"/>
  <c r="E133" i="3" a="1"/>
  <c r="E133" i="3" s="1"/>
  <c r="C133" i="3" a="1"/>
  <c r="C133" i="3" s="1"/>
  <c r="BF132" i="3"/>
  <c r="BE132" i="3"/>
  <c r="BD132" i="3"/>
  <c r="BC132" i="3"/>
  <c r="BB132" i="3"/>
  <c r="BA132" i="3"/>
  <c r="AZ132" i="3"/>
  <c r="AY132" i="3"/>
  <c r="AX132" i="3"/>
  <c r="AW132" i="3"/>
  <c r="AV132" i="3"/>
  <c r="AU132" i="3"/>
  <c r="AK132" i="3"/>
  <c r="AH132" i="3"/>
  <c r="AG132" i="3" a="1"/>
  <c r="AG132" i="3" s="1"/>
  <c r="AE132" i="3" a="1"/>
  <c r="AE132" i="3" s="1"/>
  <c r="AC132" i="3" a="1"/>
  <c r="AC132" i="3" s="1"/>
  <c r="AA132" i="3" a="1"/>
  <c r="AA132" i="3" s="1"/>
  <c r="Y132" i="3" a="1"/>
  <c r="Y132" i="3" s="1"/>
  <c r="V132" i="3"/>
  <c r="R132" i="3" a="1"/>
  <c r="R132" i="3" s="1"/>
  <c r="P132" i="3" a="1"/>
  <c r="P132" i="3"/>
  <c r="N132" i="3" a="1"/>
  <c r="N132" i="3" s="1"/>
  <c r="L132" i="3" a="1"/>
  <c r="L132" i="3"/>
  <c r="I132" i="3"/>
  <c r="E132" i="3" a="1"/>
  <c r="E132" i="3" s="1"/>
  <c r="C132" i="3" a="1"/>
  <c r="C132" i="3" s="1"/>
  <c r="BF131" i="3"/>
  <c r="BE131" i="3"/>
  <c r="BD131" i="3"/>
  <c r="BC131" i="3"/>
  <c r="BB131" i="3"/>
  <c r="BA131" i="3"/>
  <c r="AZ131" i="3"/>
  <c r="AY131" i="3"/>
  <c r="AX131" i="3"/>
  <c r="AW131" i="3"/>
  <c r="AV131" i="3"/>
  <c r="AU131" i="3"/>
  <c r="AK131" i="3"/>
  <c r="AH131" i="3"/>
  <c r="AG131" i="3" a="1"/>
  <c r="AG131" i="3"/>
  <c r="AE131" i="3" a="1"/>
  <c r="AE131" i="3" s="1"/>
  <c r="AC131" i="3" a="1"/>
  <c r="AC131" i="3"/>
  <c r="AA131" i="3" a="1"/>
  <c r="AA131" i="3" s="1"/>
  <c r="Y131" i="3" a="1"/>
  <c r="Y131" i="3" s="1"/>
  <c r="V131" i="3"/>
  <c r="R131" i="3" a="1"/>
  <c r="R131" i="3"/>
  <c r="P131" i="3" a="1"/>
  <c r="P131" i="3"/>
  <c r="N131" i="3" a="1"/>
  <c r="N131" i="3"/>
  <c r="L131" i="3" a="1"/>
  <c r="L131" i="3"/>
  <c r="I131" i="3"/>
  <c r="E131" i="3" a="1"/>
  <c r="E131" i="3" s="1"/>
  <c r="C131" i="3" a="1"/>
  <c r="C131" i="3" s="1"/>
  <c r="BF130" i="3"/>
  <c r="BE130" i="3"/>
  <c r="BD130" i="3"/>
  <c r="BC130" i="3"/>
  <c r="BB130" i="3"/>
  <c r="BA130" i="3"/>
  <c r="AZ130" i="3"/>
  <c r="AY130" i="3"/>
  <c r="AX130" i="3"/>
  <c r="AW130" i="3"/>
  <c r="AV130" i="3"/>
  <c r="AU130" i="3"/>
  <c r="AK130" i="3"/>
  <c r="AH130" i="3"/>
  <c r="AG130" i="3" a="1"/>
  <c r="AG130" i="3" s="1"/>
  <c r="AE130" i="3" a="1"/>
  <c r="AE130" i="3"/>
  <c r="AC130" i="3" a="1"/>
  <c r="AC130" i="3" s="1"/>
  <c r="AA130" i="3" a="1"/>
  <c r="AA130" i="3" s="1"/>
  <c r="Y130" i="3" a="1"/>
  <c r="Y130" i="3" s="1"/>
  <c r="V130" i="3"/>
  <c r="R130" i="3" a="1"/>
  <c r="R130" i="3" s="1"/>
  <c r="P130" i="3" a="1"/>
  <c r="P130" i="3"/>
  <c r="N130" i="3" a="1"/>
  <c r="N130" i="3" s="1"/>
  <c r="L130" i="3" a="1"/>
  <c r="L130" i="3"/>
  <c r="I130" i="3"/>
  <c r="E130" i="3" a="1"/>
  <c r="E130" i="3" s="1"/>
  <c r="C130" i="3" a="1"/>
  <c r="C130" i="3" s="1"/>
  <c r="BF129" i="3"/>
  <c r="BE129" i="3"/>
  <c r="BD129" i="3"/>
  <c r="BC129" i="3"/>
  <c r="BB129" i="3"/>
  <c r="BA129" i="3"/>
  <c r="AZ129" i="3"/>
  <c r="AY129" i="3"/>
  <c r="AX129" i="3"/>
  <c r="AW129" i="3"/>
  <c r="AV129" i="3"/>
  <c r="AU129" i="3"/>
  <c r="AK129" i="3"/>
  <c r="AH129" i="3"/>
  <c r="AG129" i="3" a="1"/>
  <c r="AG129" i="3" s="1"/>
  <c r="AE129" i="3" a="1"/>
  <c r="AE129" i="3" s="1"/>
  <c r="AC129" i="3" a="1"/>
  <c r="AC129" i="3"/>
  <c r="AA129" i="3" a="1"/>
  <c r="AA129" i="3" s="1"/>
  <c r="Y129" i="3" a="1"/>
  <c r="Y129" i="3" s="1"/>
  <c r="V129" i="3"/>
  <c r="R129" i="3" a="1"/>
  <c r="R129" i="3"/>
  <c r="P129" i="3" a="1"/>
  <c r="P129" i="3"/>
  <c r="N129" i="3" a="1"/>
  <c r="N129" i="3"/>
  <c r="L129" i="3" a="1"/>
  <c r="L129" i="3"/>
  <c r="I129" i="3"/>
  <c r="E129" i="3" a="1"/>
  <c r="E129" i="3" s="1"/>
  <c r="C129" i="3" a="1"/>
  <c r="C129" i="3" s="1"/>
  <c r="BF128" i="3"/>
  <c r="BE128" i="3"/>
  <c r="BD128" i="3"/>
  <c r="BC128" i="3"/>
  <c r="BB128" i="3"/>
  <c r="BA128" i="3"/>
  <c r="AZ128" i="3"/>
  <c r="AY128" i="3"/>
  <c r="AX128" i="3"/>
  <c r="AW128" i="3"/>
  <c r="AV128" i="3"/>
  <c r="AU128" i="3"/>
  <c r="AK128" i="3"/>
  <c r="AH128" i="3"/>
  <c r="AG128" i="3" a="1"/>
  <c r="AG128" i="3" s="1"/>
  <c r="AE128" i="3" a="1"/>
  <c r="AE128" i="3" s="1"/>
  <c r="AC128" i="3" a="1"/>
  <c r="AC128" i="3" s="1"/>
  <c r="AA128" i="3" a="1"/>
  <c r="AA128" i="3"/>
  <c r="Y128" i="3" a="1"/>
  <c r="Y128" i="3" s="1"/>
  <c r="V128" i="3"/>
  <c r="R128" i="3" a="1"/>
  <c r="R128" i="3"/>
  <c r="P128" i="3" a="1"/>
  <c r="P128" i="3"/>
  <c r="N128" i="3" a="1"/>
  <c r="N128" i="3"/>
  <c r="L128" i="3" a="1"/>
  <c r="L128" i="3"/>
  <c r="I128" i="3"/>
  <c r="E128" i="3" a="1"/>
  <c r="E128" i="3" s="1"/>
  <c r="C128" i="3" a="1"/>
  <c r="C128" i="3" s="1"/>
  <c r="BF127" i="3"/>
  <c r="BE127" i="3"/>
  <c r="BD127" i="3"/>
  <c r="BC127" i="3"/>
  <c r="BB127" i="3"/>
  <c r="BA127" i="3"/>
  <c r="AZ127" i="3"/>
  <c r="AY127" i="3"/>
  <c r="AX127" i="3"/>
  <c r="AW127" i="3"/>
  <c r="AV127" i="3"/>
  <c r="AU127" i="3"/>
  <c r="AK127" i="3"/>
  <c r="AH127" i="3"/>
  <c r="AG127" i="3" a="1"/>
  <c r="AG127" i="3" s="1"/>
  <c r="AE127" i="3" a="1"/>
  <c r="AE127" i="3" s="1"/>
  <c r="AC127" i="3" a="1"/>
  <c r="AC127" i="3" s="1"/>
  <c r="AA127" i="3" a="1"/>
  <c r="AA127" i="3" s="1"/>
  <c r="Y127" i="3" a="1"/>
  <c r="Y127" i="3"/>
  <c r="V127" i="3"/>
  <c r="R127" i="3" a="1"/>
  <c r="R127" i="3" s="1"/>
  <c r="P127" i="3" a="1"/>
  <c r="P127" i="3" s="1"/>
  <c r="N127" i="3" a="1"/>
  <c r="N127" i="3" s="1"/>
  <c r="L127" i="3" a="1"/>
  <c r="L127" i="3" s="1"/>
  <c r="I127" i="3"/>
  <c r="E127" i="3" a="1"/>
  <c r="E127" i="3" s="1"/>
  <c r="C127" i="3" a="1"/>
  <c r="C127" i="3" s="1"/>
  <c r="BF126" i="3"/>
  <c r="BE126" i="3"/>
  <c r="BD126" i="3"/>
  <c r="BC126" i="3"/>
  <c r="BB126" i="3"/>
  <c r="BA126" i="3"/>
  <c r="AZ126" i="3"/>
  <c r="AY126" i="3"/>
  <c r="AX126" i="3"/>
  <c r="AW126" i="3"/>
  <c r="AV126" i="3"/>
  <c r="AU126" i="3"/>
  <c r="AK126" i="3"/>
  <c r="AH126" i="3"/>
  <c r="AG126" i="3" a="1"/>
  <c r="AG126" i="3" s="1"/>
  <c r="AE126" i="3" a="1"/>
  <c r="AE126" i="3"/>
  <c r="AC126" i="3" a="1"/>
  <c r="AC126" i="3" s="1"/>
  <c r="AA126" i="3" a="1"/>
  <c r="AA126" i="3"/>
  <c r="Y126" i="3" a="1"/>
  <c r="Y126" i="3" s="1"/>
  <c r="V126" i="3"/>
  <c r="R126" i="3" a="1"/>
  <c r="R126" i="3" s="1"/>
  <c r="P126" i="3" a="1"/>
  <c r="P126" i="3"/>
  <c r="N126" i="3" a="1"/>
  <c r="N126" i="3" s="1"/>
  <c r="L126" i="3" a="1"/>
  <c r="L126" i="3" s="1"/>
  <c r="I126" i="3"/>
  <c r="E126" i="3" a="1"/>
  <c r="E126" i="3" s="1"/>
  <c r="C126" i="3" a="1"/>
  <c r="C126" i="3" s="1"/>
  <c r="BF125" i="3"/>
  <c r="BE125" i="3"/>
  <c r="BD125" i="3"/>
  <c r="BC125" i="3"/>
  <c r="BB125" i="3"/>
  <c r="BA125" i="3"/>
  <c r="AZ125" i="3"/>
  <c r="AY125" i="3"/>
  <c r="AX125" i="3"/>
  <c r="AW125" i="3"/>
  <c r="AV125" i="3"/>
  <c r="AU125" i="3"/>
  <c r="AK125" i="3"/>
  <c r="AH125" i="3"/>
  <c r="AG125" i="3" a="1"/>
  <c r="AG125" i="3"/>
  <c r="AE125" i="3" a="1"/>
  <c r="AE125" i="3" s="1"/>
  <c r="AC125" i="3" a="1"/>
  <c r="AC125" i="3"/>
  <c r="AA125" i="3" a="1"/>
  <c r="AA125" i="3" s="1"/>
  <c r="Y125" i="3" a="1"/>
  <c r="Y125" i="3"/>
  <c r="V125" i="3"/>
  <c r="R125" i="3" a="1"/>
  <c r="R125" i="3"/>
  <c r="P125" i="3" a="1"/>
  <c r="P125" i="3" s="1"/>
  <c r="N125" i="3" a="1"/>
  <c r="N125" i="3"/>
  <c r="L125" i="3" a="1"/>
  <c r="L125" i="3" s="1"/>
  <c r="I125" i="3"/>
  <c r="E125" i="3" a="1"/>
  <c r="E125" i="3" s="1"/>
  <c r="C125" i="3" a="1"/>
  <c r="C125" i="3" s="1"/>
  <c r="BF124" i="3"/>
  <c r="BE124" i="3"/>
  <c r="BD124" i="3"/>
  <c r="BC124" i="3"/>
  <c r="BB124" i="3"/>
  <c r="BA124" i="3"/>
  <c r="AZ124" i="3"/>
  <c r="AY124" i="3"/>
  <c r="AX124" i="3"/>
  <c r="AW124" i="3"/>
  <c r="AV124" i="3"/>
  <c r="AU124" i="3"/>
  <c r="AK124" i="3"/>
  <c r="AH124" i="3"/>
  <c r="AG124" i="3" a="1"/>
  <c r="AG124" i="3" s="1"/>
  <c r="AE124" i="3" a="1"/>
  <c r="AE124" i="3"/>
  <c r="AC124" i="3" a="1"/>
  <c r="AC124" i="3" s="1"/>
  <c r="AA124" i="3" a="1"/>
  <c r="AA124" i="3"/>
  <c r="Y124" i="3" a="1"/>
  <c r="Y124" i="3" s="1"/>
  <c r="V124" i="3"/>
  <c r="R124" i="3" a="1"/>
  <c r="R124" i="3" s="1"/>
  <c r="P124" i="3" a="1"/>
  <c r="P124" i="3"/>
  <c r="N124" i="3" a="1"/>
  <c r="N124" i="3" s="1"/>
  <c r="L124" i="3" a="1"/>
  <c r="L124" i="3"/>
  <c r="I124" i="3"/>
  <c r="E124" i="3" a="1"/>
  <c r="E124" i="3" s="1"/>
  <c r="C124" i="3" a="1"/>
  <c r="C124" i="3" s="1"/>
  <c r="BF123" i="3"/>
  <c r="BE123" i="3"/>
  <c r="BD123" i="3"/>
  <c r="BC123" i="3"/>
  <c r="BB123" i="3"/>
  <c r="BA123" i="3"/>
  <c r="AZ123" i="3"/>
  <c r="AY123" i="3"/>
  <c r="AX123" i="3"/>
  <c r="AW123" i="3"/>
  <c r="AV123" i="3"/>
  <c r="AU123" i="3"/>
  <c r="AK123" i="3"/>
  <c r="AH123" i="3"/>
  <c r="AG123" i="3" a="1"/>
  <c r="AG123" i="3"/>
  <c r="AE123" i="3" a="1"/>
  <c r="AE123" i="3" s="1"/>
  <c r="AC123" i="3" a="1"/>
  <c r="AC123" i="3"/>
  <c r="AA123" i="3" a="1"/>
  <c r="AA123" i="3" s="1"/>
  <c r="Y123" i="3" a="1"/>
  <c r="Y123" i="3"/>
  <c r="V123" i="3"/>
  <c r="R123" i="3" a="1"/>
  <c r="R123" i="3"/>
  <c r="P123" i="3" a="1"/>
  <c r="P123" i="3" s="1"/>
  <c r="N123" i="3" a="1"/>
  <c r="N123" i="3"/>
  <c r="L123" i="3" a="1"/>
  <c r="L123" i="3" s="1"/>
  <c r="I123" i="3"/>
  <c r="E123" i="3" a="1"/>
  <c r="E123" i="3" s="1"/>
  <c r="C123" i="3" a="1"/>
  <c r="C123" i="3" s="1"/>
  <c r="BF122" i="3"/>
  <c r="BE122" i="3"/>
  <c r="BD122" i="3"/>
  <c r="BC122" i="3"/>
  <c r="BB122" i="3"/>
  <c r="BA122" i="3"/>
  <c r="AZ122" i="3"/>
  <c r="AY122" i="3"/>
  <c r="AX122" i="3"/>
  <c r="AW122" i="3"/>
  <c r="AV122" i="3"/>
  <c r="AU122" i="3"/>
  <c r="AK122" i="3"/>
  <c r="AH122" i="3"/>
  <c r="AG122" i="3" a="1"/>
  <c r="AG122" i="3" s="1"/>
  <c r="AE122" i="3" a="1"/>
  <c r="AE122" i="3"/>
  <c r="AC122" i="3" a="1"/>
  <c r="AC122" i="3" s="1"/>
  <c r="AA122" i="3" a="1"/>
  <c r="AA122" i="3"/>
  <c r="Y122" i="3" a="1"/>
  <c r="Y122" i="3" s="1"/>
  <c r="V122" i="3"/>
  <c r="R122" i="3" a="1"/>
  <c r="R122" i="3" s="1"/>
  <c r="P122" i="3" a="1"/>
  <c r="P122" i="3"/>
  <c r="N122" i="3" a="1"/>
  <c r="N122" i="3" s="1"/>
  <c r="L122" i="3" a="1"/>
  <c r="L122" i="3"/>
  <c r="I122" i="3"/>
  <c r="E122" i="3" a="1"/>
  <c r="E122" i="3" s="1"/>
  <c r="C122" i="3" a="1"/>
  <c r="C122" i="3" s="1"/>
  <c r="BF121" i="3"/>
  <c r="BE121" i="3"/>
  <c r="BD121" i="3"/>
  <c r="BC121" i="3"/>
  <c r="BB121" i="3"/>
  <c r="BA121" i="3"/>
  <c r="AZ121" i="3"/>
  <c r="AY121" i="3"/>
  <c r="AX121" i="3"/>
  <c r="AW121" i="3"/>
  <c r="AV121" i="3"/>
  <c r="AU121" i="3"/>
  <c r="AK121" i="3"/>
  <c r="AH121" i="3"/>
  <c r="AG121" i="3" a="1"/>
  <c r="AG121" i="3"/>
  <c r="AE121" i="3" a="1"/>
  <c r="AE121" i="3" s="1"/>
  <c r="AC121" i="3" a="1"/>
  <c r="AC121" i="3"/>
  <c r="AA121" i="3" a="1"/>
  <c r="AA121" i="3" s="1"/>
  <c r="Y121" i="3" a="1"/>
  <c r="Y121" i="3"/>
  <c r="V121" i="3"/>
  <c r="R121" i="3" a="1"/>
  <c r="R121" i="3"/>
  <c r="P121" i="3" a="1"/>
  <c r="P121" i="3" s="1"/>
  <c r="N121" i="3" a="1"/>
  <c r="N121" i="3"/>
  <c r="L121" i="3" a="1"/>
  <c r="L121" i="3" s="1"/>
  <c r="I121" i="3"/>
  <c r="E121" i="3" a="1"/>
  <c r="E121" i="3" s="1"/>
  <c r="C121" i="3" a="1"/>
  <c r="C121" i="3" s="1"/>
  <c r="BF120" i="3"/>
  <c r="BE120" i="3"/>
  <c r="BD120" i="3"/>
  <c r="BC120" i="3"/>
  <c r="BB120" i="3"/>
  <c r="BA120" i="3"/>
  <c r="AZ120" i="3"/>
  <c r="AY120" i="3"/>
  <c r="AX120" i="3"/>
  <c r="AW120" i="3"/>
  <c r="AV120" i="3"/>
  <c r="AU120" i="3"/>
  <c r="AK120" i="3"/>
  <c r="AH120" i="3"/>
  <c r="AG120" i="3" a="1"/>
  <c r="AG120" i="3" s="1"/>
  <c r="AE120" i="3" a="1"/>
  <c r="AE120" i="3"/>
  <c r="AC120" i="3" a="1"/>
  <c r="AC120" i="3" s="1"/>
  <c r="AA120" i="3" a="1"/>
  <c r="AA120" i="3"/>
  <c r="Y120" i="3" a="1"/>
  <c r="Y120" i="3" s="1"/>
  <c r="V120" i="3"/>
  <c r="R120" i="3" a="1"/>
  <c r="R120" i="3" s="1"/>
  <c r="P120" i="3" a="1"/>
  <c r="P120" i="3"/>
  <c r="N120" i="3" a="1"/>
  <c r="N120" i="3" s="1"/>
  <c r="L120" i="3" a="1"/>
  <c r="L120" i="3"/>
  <c r="I120" i="3"/>
  <c r="E120" i="3" a="1"/>
  <c r="E120" i="3" s="1"/>
  <c r="C120" i="3" a="1"/>
  <c r="C120" i="3" s="1"/>
  <c r="BF119" i="3"/>
  <c r="BE119" i="3"/>
  <c r="BD119" i="3"/>
  <c r="BC119" i="3"/>
  <c r="BB119" i="3"/>
  <c r="BA119" i="3"/>
  <c r="AZ119" i="3"/>
  <c r="AY119" i="3"/>
  <c r="AX119" i="3"/>
  <c r="AW119" i="3"/>
  <c r="AV119" i="3"/>
  <c r="AU119" i="3"/>
  <c r="AK119" i="3"/>
  <c r="AH119" i="3"/>
  <c r="AG119" i="3" a="1"/>
  <c r="AG119" i="3"/>
  <c r="AE119" i="3" a="1"/>
  <c r="AE119" i="3" s="1"/>
  <c r="AC119" i="3" a="1"/>
  <c r="AC119" i="3"/>
  <c r="AA119" i="3" a="1"/>
  <c r="AA119" i="3" s="1"/>
  <c r="Y119" i="3" a="1"/>
  <c r="Y119" i="3"/>
  <c r="V119" i="3"/>
  <c r="R119" i="3" a="1"/>
  <c r="R119" i="3"/>
  <c r="P119" i="3" a="1"/>
  <c r="P119" i="3" s="1"/>
  <c r="N119" i="3" a="1"/>
  <c r="N119" i="3"/>
  <c r="L119" i="3" a="1"/>
  <c r="L119" i="3" s="1"/>
  <c r="I119" i="3"/>
  <c r="E119" i="3" a="1"/>
  <c r="E119" i="3" s="1"/>
  <c r="C119" i="3" a="1"/>
  <c r="C119" i="3" s="1"/>
  <c r="BF118" i="3"/>
  <c r="BE118" i="3"/>
  <c r="BD118" i="3"/>
  <c r="BC118" i="3"/>
  <c r="BB118" i="3"/>
  <c r="BA118" i="3"/>
  <c r="AZ118" i="3"/>
  <c r="AY118" i="3"/>
  <c r="AX118" i="3"/>
  <c r="AW118" i="3"/>
  <c r="AV118" i="3"/>
  <c r="AU118" i="3"/>
  <c r="AK118" i="3"/>
  <c r="AH118" i="3"/>
  <c r="AG118" i="3" a="1"/>
  <c r="AG118" i="3" s="1"/>
  <c r="AE118" i="3" a="1"/>
  <c r="AE118" i="3"/>
  <c r="AC118" i="3" a="1"/>
  <c r="AC118" i="3" s="1"/>
  <c r="AA118" i="3" a="1"/>
  <c r="AA118" i="3"/>
  <c r="Y118" i="3" a="1"/>
  <c r="Y118" i="3" s="1"/>
  <c r="V118" i="3"/>
  <c r="R118" i="3" a="1"/>
  <c r="R118" i="3" s="1"/>
  <c r="P118" i="3" a="1"/>
  <c r="P118" i="3"/>
  <c r="N118" i="3" a="1"/>
  <c r="N118" i="3" s="1"/>
  <c r="L118" i="3" a="1"/>
  <c r="L118" i="3"/>
  <c r="I118" i="3"/>
  <c r="E118" i="3" a="1"/>
  <c r="E118" i="3" s="1"/>
  <c r="C118" i="3" a="1"/>
  <c r="C118" i="3" s="1"/>
  <c r="BF117" i="3"/>
  <c r="BE117" i="3"/>
  <c r="BD117" i="3"/>
  <c r="BC117" i="3"/>
  <c r="BB117" i="3"/>
  <c r="BA117" i="3"/>
  <c r="AZ117" i="3"/>
  <c r="AY117" i="3"/>
  <c r="AX117" i="3"/>
  <c r="AW117" i="3"/>
  <c r="AV117" i="3"/>
  <c r="AU117" i="3"/>
  <c r="AK117" i="3"/>
  <c r="AH117" i="3"/>
  <c r="AG117" i="3" a="1"/>
  <c r="AG117" i="3"/>
  <c r="AE117" i="3" a="1"/>
  <c r="AE117" i="3" s="1"/>
  <c r="AC117" i="3" a="1"/>
  <c r="AC117" i="3"/>
  <c r="AA117" i="3" a="1"/>
  <c r="AA117" i="3" s="1"/>
  <c r="Y117" i="3" a="1"/>
  <c r="Y117" i="3"/>
  <c r="V117" i="3"/>
  <c r="R117" i="3" a="1"/>
  <c r="R117" i="3"/>
  <c r="P117" i="3" a="1"/>
  <c r="P117" i="3" s="1"/>
  <c r="N117" i="3" a="1"/>
  <c r="N117" i="3"/>
  <c r="L117" i="3" a="1"/>
  <c r="L117" i="3" s="1"/>
  <c r="I117" i="3"/>
  <c r="E117" i="3" a="1"/>
  <c r="E117" i="3" s="1"/>
  <c r="C117" i="3" a="1"/>
  <c r="C117" i="3" s="1"/>
  <c r="BF116" i="3"/>
  <c r="BE116" i="3"/>
  <c r="BD116" i="3"/>
  <c r="BC116" i="3"/>
  <c r="BB116" i="3"/>
  <c r="BA116" i="3"/>
  <c r="AZ116" i="3"/>
  <c r="AY116" i="3"/>
  <c r="AX116" i="3"/>
  <c r="AW116" i="3"/>
  <c r="AV116" i="3"/>
  <c r="AU116" i="3"/>
  <c r="AK116" i="3"/>
  <c r="AH116" i="3"/>
  <c r="AG116" i="3" a="1"/>
  <c r="AG116" i="3" s="1"/>
  <c r="AE116" i="3" a="1"/>
  <c r="AE116" i="3"/>
  <c r="AC116" i="3" a="1"/>
  <c r="AC116" i="3" s="1"/>
  <c r="AA116" i="3" a="1"/>
  <c r="AA116" i="3"/>
  <c r="Y116" i="3" a="1"/>
  <c r="Y116" i="3" s="1"/>
  <c r="V116" i="3"/>
  <c r="R116" i="3" a="1"/>
  <c r="R116" i="3" s="1"/>
  <c r="P116" i="3" a="1"/>
  <c r="P116" i="3"/>
  <c r="N116" i="3" a="1"/>
  <c r="N116" i="3" s="1"/>
  <c r="L116" i="3" a="1"/>
  <c r="L116" i="3"/>
  <c r="I116" i="3"/>
  <c r="E116" i="3" a="1"/>
  <c r="E116" i="3" s="1"/>
  <c r="C116" i="3" a="1"/>
  <c r="C116" i="3" s="1"/>
  <c r="BF115" i="3"/>
  <c r="BE115" i="3"/>
  <c r="BD115" i="3"/>
  <c r="BC115" i="3"/>
  <c r="BB115" i="3"/>
  <c r="BA115" i="3"/>
  <c r="AZ115" i="3"/>
  <c r="AY115" i="3"/>
  <c r="AX115" i="3"/>
  <c r="AW115" i="3"/>
  <c r="AV115" i="3"/>
  <c r="AU115" i="3"/>
  <c r="AK115" i="3"/>
  <c r="AH115" i="3"/>
  <c r="AG115" i="3" a="1"/>
  <c r="AG115" i="3"/>
  <c r="AE115" i="3" a="1"/>
  <c r="AE115" i="3" s="1"/>
  <c r="AC115" i="3" a="1"/>
  <c r="AC115" i="3"/>
  <c r="AA115" i="3" a="1"/>
  <c r="AA115" i="3" s="1"/>
  <c r="Y115" i="3" a="1"/>
  <c r="Y115" i="3"/>
  <c r="V115" i="3"/>
  <c r="R115" i="3" a="1"/>
  <c r="R115" i="3"/>
  <c r="P115" i="3" a="1"/>
  <c r="P115" i="3" s="1"/>
  <c r="N115" i="3" a="1"/>
  <c r="N115" i="3"/>
  <c r="L115" i="3" a="1"/>
  <c r="L115" i="3" s="1"/>
  <c r="I115" i="3"/>
  <c r="E115" i="3" a="1"/>
  <c r="E115" i="3" s="1"/>
  <c r="C115" i="3" a="1"/>
  <c r="C115" i="3" s="1"/>
  <c r="BF114" i="3"/>
  <c r="BE114" i="3"/>
  <c r="BD114" i="3"/>
  <c r="BC114" i="3"/>
  <c r="BB114" i="3"/>
  <c r="BA114" i="3"/>
  <c r="AZ114" i="3"/>
  <c r="AY114" i="3"/>
  <c r="AX114" i="3"/>
  <c r="AW114" i="3"/>
  <c r="AV114" i="3"/>
  <c r="AU114" i="3"/>
  <c r="AK114" i="3"/>
  <c r="AH114" i="3"/>
  <c r="AG114" i="3" a="1"/>
  <c r="AG114" i="3" s="1"/>
  <c r="AE114" i="3" a="1"/>
  <c r="AE114" i="3"/>
  <c r="AC114" i="3" a="1"/>
  <c r="AC114" i="3" s="1"/>
  <c r="AA114" i="3" a="1"/>
  <c r="AA114" i="3"/>
  <c r="Y114" i="3" a="1"/>
  <c r="Y114" i="3" s="1"/>
  <c r="V114" i="3"/>
  <c r="R114" i="3" a="1"/>
  <c r="R114" i="3" s="1"/>
  <c r="P114" i="3" a="1"/>
  <c r="P114" i="3"/>
  <c r="N114" i="3" a="1"/>
  <c r="N114" i="3" s="1"/>
  <c r="L114" i="3" a="1"/>
  <c r="L114" i="3"/>
  <c r="I114" i="3"/>
  <c r="E114" i="3" a="1"/>
  <c r="E114" i="3" s="1"/>
  <c r="C114" i="3" a="1"/>
  <c r="C114" i="3" s="1"/>
  <c r="BF113" i="3"/>
  <c r="BE113" i="3"/>
  <c r="BD113" i="3"/>
  <c r="BC113" i="3"/>
  <c r="BB113" i="3"/>
  <c r="BA113" i="3"/>
  <c r="AZ113" i="3"/>
  <c r="AY113" i="3"/>
  <c r="AX113" i="3"/>
  <c r="AW113" i="3"/>
  <c r="AV113" i="3"/>
  <c r="AU113" i="3"/>
  <c r="AK113" i="3"/>
  <c r="AH113" i="3"/>
  <c r="AG113" i="3" a="1"/>
  <c r="AG113" i="3"/>
  <c r="AE113" i="3" a="1"/>
  <c r="AE113" i="3" s="1"/>
  <c r="AC113" i="3" a="1"/>
  <c r="AC113" i="3"/>
  <c r="AA113" i="3" a="1"/>
  <c r="AA113" i="3" s="1"/>
  <c r="Y113" i="3" a="1"/>
  <c r="Y113" i="3"/>
  <c r="V113" i="3"/>
  <c r="R113" i="3" a="1"/>
  <c r="R113" i="3"/>
  <c r="P113" i="3" a="1"/>
  <c r="P113" i="3" s="1"/>
  <c r="N113" i="3" a="1"/>
  <c r="N113" i="3"/>
  <c r="L113" i="3" a="1"/>
  <c r="L113" i="3" s="1"/>
  <c r="I113" i="3"/>
  <c r="E113" i="3" a="1"/>
  <c r="E113" i="3" s="1"/>
  <c r="C113" i="3" a="1"/>
  <c r="C113" i="3" s="1"/>
  <c r="BF112" i="3"/>
  <c r="BE112" i="3"/>
  <c r="BD112" i="3"/>
  <c r="BC112" i="3"/>
  <c r="BB112" i="3"/>
  <c r="BA112" i="3"/>
  <c r="AZ112" i="3"/>
  <c r="AY112" i="3"/>
  <c r="AX112" i="3"/>
  <c r="AW112" i="3"/>
  <c r="AV112" i="3"/>
  <c r="AU112" i="3"/>
  <c r="AK112" i="3"/>
  <c r="AH112" i="3"/>
  <c r="AG112" i="3" a="1"/>
  <c r="AG112" i="3" s="1"/>
  <c r="AE112" i="3" a="1"/>
  <c r="AE112" i="3"/>
  <c r="AC112" i="3" a="1"/>
  <c r="AC112" i="3" s="1"/>
  <c r="AA112" i="3" a="1"/>
  <c r="AA112" i="3"/>
  <c r="Y112" i="3" a="1"/>
  <c r="Y112" i="3" s="1"/>
  <c r="V112" i="3"/>
  <c r="R112" i="3" a="1"/>
  <c r="R112" i="3" s="1"/>
  <c r="P112" i="3" a="1"/>
  <c r="P112" i="3"/>
  <c r="N112" i="3" a="1"/>
  <c r="N112" i="3" s="1"/>
  <c r="L112" i="3" a="1"/>
  <c r="L112" i="3"/>
  <c r="I112" i="3"/>
  <c r="E112" i="3" a="1"/>
  <c r="E112" i="3" s="1"/>
  <c r="C112" i="3" a="1"/>
  <c r="C112" i="3" s="1"/>
  <c r="BF111" i="3"/>
  <c r="BE111" i="3"/>
  <c r="BD111" i="3"/>
  <c r="BC111" i="3"/>
  <c r="BB111" i="3"/>
  <c r="BA111" i="3"/>
  <c r="AZ111" i="3"/>
  <c r="AY111" i="3"/>
  <c r="AX111" i="3"/>
  <c r="AW111" i="3"/>
  <c r="AV111" i="3"/>
  <c r="AU111" i="3"/>
  <c r="AK111" i="3"/>
  <c r="AH111" i="3"/>
  <c r="AG111" i="3" a="1"/>
  <c r="AG111" i="3"/>
  <c r="AE111" i="3" a="1"/>
  <c r="AE111" i="3" s="1"/>
  <c r="AC111" i="3" a="1"/>
  <c r="AC111" i="3"/>
  <c r="AA111" i="3" a="1"/>
  <c r="AA111" i="3" s="1"/>
  <c r="Y111" i="3" a="1"/>
  <c r="Y111" i="3"/>
  <c r="V111" i="3"/>
  <c r="R111" i="3" a="1"/>
  <c r="R111" i="3"/>
  <c r="P111" i="3" a="1"/>
  <c r="P111" i="3" s="1"/>
  <c r="N111" i="3" a="1"/>
  <c r="N111" i="3"/>
  <c r="L111" i="3" a="1"/>
  <c r="L111" i="3" s="1"/>
  <c r="I111" i="3"/>
  <c r="E111" i="3" a="1"/>
  <c r="E111" i="3" s="1"/>
  <c r="C111" i="3" a="1"/>
  <c r="C111" i="3" s="1"/>
  <c r="BF110" i="3"/>
  <c r="BE110" i="3"/>
  <c r="BD110" i="3"/>
  <c r="BC110" i="3"/>
  <c r="BB110" i="3"/>
  <c r="BA110" i="3"/>
  <c r="AZ110" i="3"/>
  <c r="AY110" i="3"/>
  <c r="AX110" i="3"/>
  <c r="AW110" i="3"/>
  <c r="AV110" i="3"/>
  <c r="AU110" i="3"/>
  <c r="AK110" i="3"/>
  <c r="AH110" i="3"/>
  <c r="AG110" i="3" a="1"/>
  <c r="AG110" i="3" s="1"/>
  <c r="AE110" i="3" a="1"/>
  <c r="AE110" i="3"/>
  <c r="AC110" i="3" a="1"/>
  <c r="AC110" i="3" s="1"/>
  <c r="AA110" i="3" a="1"/>
  <c r="AA110" i="3"/>
  <c r="Y110" i="3" a="1"/>
  <c r="Y110" i="3" s="1"/>
  <c r="V110" i="3"/>
  <c r="R110" i="3" a="1"/>
  <c r="R110" i="3" s="1"/>
  <c r="P110" i="3" a="1"/>
  <c r="P110" i="3"/>
  <c r="N110" i="3" a="1"/>
  <c r="N110" i="3" s="1"/>
  <c r="L110" i="3" a="1"/>
  <c r="L110" i="3"/>
  <c r="I110" i="3"/>
  <c r="E110" i="3" a="1"/>
  <c r="E110" i="3" s="1"/>
  <c r="C110" i="3" a="1"/>
  <c r="C110" i="3" s="1"/>
  <c r="BF109" i="3"/>
  <c r="BE109" i="3"/>
  <c r="BD109" i="3"/>
  <c r="BC109" i="3"/>
  <c r="BB109" i="3"/>
  <c r="BA109" i="3"/>
  <c r="AZ109" i="3"/>
  <c r="AY109" i="3"/>
  <c r="AX109" i="3"/>
  <c r="AW109" i="3"/>
  <c r="AV109" i="3"/>
  <c r="AU109" i="3"/>
  <c r="AK109" i="3"/>
  <c r="AH109" i="3"/>
  <c r="AG109" i="3" a="1"/>
  <c r="AG109" i="3"/>
  <c r="AE109" i="3" a="1"/>
  <c r="AE109" i="3" s="1"/>
  <c r="AC109" i="3" a="1"/>
  <c r="AC109" i="3"/>
  <c r="AA109" i="3" a="1"/>
  <c r="AA109" i="3" s="1"/>
  <c r="Y109" i="3" a="1"/>
  <c r="Y109" i="3"/>
  <c r="V109" i="3"/>
  <c r="R109" i="3" a="1"/>
  <c r="R109" i="3"/>
  <c r="P109" i="3" a="1"/>
  <c r="P109" i="3" s="1"/>
  <c r="N109" i="3" a="1"/>
  <c r="N109" i="3"/>
  <c r="L109" i="3" a="1"/>
  <c r="L109" i="3" s="1"/>
  <c r="I109" i="3"/>
  <c r="E109" i="3" a="1"/>
  <c r="E109" i="3" s="1"/>
  <c r="C109" i="3" a="1"/>
  <c r="C109" i="3" s="1"/>
  <c r="BF108" i="3"/>
  <c r="BE108" i="3"/>
  <c r="BD108" i="3"/>
  <c r="BC108" i="3"/>
  <c r="BB108" i="3"/>
  <c r="BA108" i="3"/>
  <c r="AZ108" i="3"/>
  <c r="AY108" i="3"/>
  <c r="AX108" i="3"/>
  <c r="AW108" i="3"/>
  <c r="AV108" i="3"/>
  <c r="AU108" i="3"/>
  <c r="AK108" i="3"/>
  <c r="AH108" i="3"/>
  <c r="AG108" i="3" a="1"/>
  <c r="AG108" i="3" s="1"/>
  <c r="AE108" i="3" a="1"/>
  <c r="AE108" i="3"/>
  <c r="AC108" i="3" a="1"/>
  <c r="AC108" i="3" s="1"/>
  <c r="AA108" i="3" a="1"/>
  <c r="AA108" i="3"/>
  <c r="Y108" i="3" a="1"/>
  <c r="Y108" i="3" s="1"/>
  <c r="V108" i="3"/>
  <c r="R108" i="3" a="1"/>
  <c r="R108" i="3" s="1"/>
  <c r="P108" i="3" a="1"/>
  <c r="P108" i="3"/>
  <c r="N108" i="3" a="1"/>
  <c r="N108" i="3" s="1"/>
  <c r="L108" i="3" a="1"/>
  <c r="L108" i="3"/>
  <c r="I108" i="3"/>
  <c r="E108" i="3" a="1"/>
  <c r="E108" i="3" s="1"/>
  <c r="C108" i="3" a="1"/>
  <c r="C108" i="3" s="1"/>
  <c r="BF107" i="3"/>
  <c r="BE107" i="3"/>
  <c r="BD107" i="3"/>
  <c r="BC107" i="3"/>
  <c r="BB107" i="3"/>
  <c r="BA107" i="3"/>
  <c r="AZ107" i="3"/>
  <c r="AY107" i="3"/>
  <c r="AX107" i="3"/>
  <c r="AW107" i="3"/>
  <c r="AV107" i="3"/>
  <c r="AU107" i="3"/>
  <c r="AK107" i="3"/>
  <c r="AH107" i="3"/>
  <c r="AG107" i="3" a="1"/>
  <c r="AG107" i="3"/>
  <c r="AE107" i="3" a="1"/>
  <c r="AE107" i="3" s="1"/>
  <c r="AC107" i="3" a="1"/>
  <c r="AC107" i="3"/>
  <c r="AA107" i="3" a="1"/>
  <c r="AA107" i="3" s="1"/>
  <c r="Y107" i="3" a="1"/>
  <c r="Y107" i="3"/>
  <c r="V107" i="3"/>
  <c r="R107" i="3" a="1"/>
  <c r="R107" i="3"/>
  <c r="P107" i="3" a="1"/>
  <c r="P107" i="3" s="1"/>
  <c r="N107" i="3" a="1"/>
  <c r="N107" i="3"/>
  <c r="L107" i="3" a="1"/>
  <c r="L107" i="3" s="1"/>
  <c r="I107" i="3"/>
  <c r="E107" i="3" a="1"/>
  <c r="E107" i="3" s="1"/>
  <c r="C107" i="3" a="1"/>
  <c r="C107" i="3" s="1"/>
  <c r="BF106" i="3"/>
  <c r="BE106" i="3"/>
  <c r="BD106" i="3"/>
  <c r="BC106" i="3"/>
  <c r="BB106" i="3"/>
  <c r="BA106" i="3"/>
  <c r="AZ106" i="3"/>
  <c r="AY106" i="3"/>
  <c r="AX106" i="3"/>
  <c r="AW106" i="3"/>
  <c r="AV106" i="3"/>
  <c r="AU106" i="3"/>
  <c r="AK106" i="3"/>
  <c r="AH106" i="3"/>
  <c r="AG106" i="3" a="1"/>
  <c r="AG106" i="3" s="1"/>
  <c r="AE106" i="3" a="1"/>
  <c r="AE106" i="3"/>
  <c r="AC106" i="3" a="1"/>
  <c r="AC106" i="3" s="1"/>
  <c r="AA106" i="3" a="1"/>
  <c r="AA106" i="3"/>
  <c r="Y106" i="3" a="1"/>
  <c r="Y106" i="3" s="1"/>
  <c r="V106" i="3"/>
  <c r="R106" i="3" a="1"/>
  <c r="R106" i="3" s="1"/>
  <c r="P106" i="3" a="1"/>
  <c r="P106" i="3"/>
  <c r="N106" i="3" a="1"/>
  <c r="N106" i="3" s="1"/>
  <c r="L106" i="3" a="1"/>
  <c r="L106" i="3"/>
  <c r="I106" i="3"/>
  <c r="E106" i="3" a="1"/>
  <c r="E106" i="3" s="1"/>
  <c r="C106" i="3" a="1"/>
  <c r="C106" i="3" s="1"/>
  <c r="BF105" i="3"/>
  <c r="BE105" i="3"/>
  <c r="BD105" i="3"/>
  <c r="BC105" i="3"/>
  <c r="BB105" i="3"/>
  <c r="BA105" i="3"/>
  <c r="AZ105" i="3"/>
  <c r="AY105" i="3"/>
  <c r="AX105" i="3"/>
  <c r="AW105" i="3"/>
  <c r="AV105" i="3"/>
  <c r="AU105" i="3"/>
  <c r="AK105" i="3"/>
  <c r="AH105" i="3"/>
  <c r="AG105" i="3" a="1"/>
  <c r="AG105" i="3"/>
  <c r="AE105" i="3" a="1"/>
  <c r="AE105" i="3" s="1"/>
  <c r="AC105" i="3" a="1"/>
  <c r="AC105" i="3"/>
  <c r="AA105" i="3" a="1"/>
  <c r="AA105" i="3" s="1"/>
  <c r="Y105" i="3" a="1"/>
  <c r="Y105" i="3"/>
  <c r="V105" i="3"/>
  <c r="R105" i="3" a="1"/>
  <c r="R105" i="3"/>
  <c r="P105" i="3" a="1"/>
  <c r="P105" i="3" s="1"/>
  <c r="N105" i="3" a="1"/>
  <c r="N105" i="3"/>
  <c r="L105" i="3" a="1"/>
  <c r="L105" i="3" s="1"/>
  <c r="I105" i="3"/>
  <c r="E105" i="3" a="1"/>
  <c r="E105" i="3" s="1"/>
  <c r="C105" i="3" a="1"/>
  <c r="C105" i="3" s="1"/>
  <c r="BF104" i="3"/>
  <c r="BE104" i="3"/>
  <c r="BD104" i="3"/>
  <c r="BC104" i="3"/>
  <c r="BB104" i="3"/>
  <c r="BA104" i="3"/>
  <c r="AZ104" i="3"/>
  <c r="AY104" i="3"/>
  <c r="AX104" i="3"/>
  <c r="AW104" i="3"/>
  <c r="AV104" i="3"/>
  <c r="AU104" i="3"/>
  <c r="AK104" i="3"/>
  <c r="AH104" i="3"/>
  <c r="AG104" i="3" a="1"/>
  <c r="AG104" i="3" s="1"/>
  <c r="AE104" i="3" a="1"/>
  <c r="AE104" i="3"/>
  <c r="AC104" i="3" a="1"/>
  <c r="AC104" i="3" s="1"/>
  <c r="AA104" i="3" a="1"/>
  <c r="AA104" i="3"/>
  <c r="Y104" i="3" a="1"/>
  <c r="Y104" i="3" s="1"/>
  <c r="V104" i="3"/>
  <c r="R104" i="3" a="1"/>
  <c r="R104" i="3" s="1"/>
  <c r="P104" i="3" a="1"/>
  <c r="P104" i="3"/>
  <c r="N104" i="3" a="1"/>
  <c r="N104" i="3" s="1"/>
  <c r="L104" i="3" a="1"/>
  <c r="L104" i="3"/>
  <c r="I104" i="3"/>
  <c r="E104" i="3" a="1"/>
  <c r="E104" i="3" s="1"/>
  <c r="C104" i="3" a="1"/>
  <c r="C104" i="3" s="1"/>
  <c r="BF103" i="3"/>
  <c r="BE103" i="3"/>
  <c r="BD103" i="3"/>
  <c r="BC103" i="3"/>
  <c r="BB103" i="3"/>
  <c r="BA103" i="3"/>
  <c r="AZ103" i="3"/>
  <c r="AY103" i="3"/>
  <c r="AX103" i="3"/>
  <c r="AW103" i="3"/>
  <c r="AV103" i="3"/>
  <c r="AU103" i="3"/>
  <c r="AK103" i="3"/>
  <c r="AH103" i="3"/>
  <c r="AG103" i="3" a="1"/>
  <c r="AG103" i="3"/>
  <c r="AE103" i="3" a="1"/>
  <c r="AE103" i="3" s="1"/>
  <c r="AC103" i="3" a="1"/>
  <c r="AC103" i="3"/>
  <c r="AA103" i="3" a="1"/>
  <c r="AA103" i="3" s="1"/>
  <c r="Y103" i="3" a="1"/>
  <c r="Y103" i="3"/>
  <c r="V103" i="3"/>
  <c r="R103" i="3" a="1"/>
  <c r="R103" i="3"/>
  <c r="P103" i="3" a="1"/>
  <c r="P103" i="3" s="1"/>
  <c r="N103" i="3" a="1"/>
  <c r="N103" i="3"/>
  <c r="L103" i="3" a="1"/>
  <c r="L103" i="3" s="1"/>
  <c r="I103" i="3"/>
  <c r="E103" i="3" a="1"/>
  <c r="E103" i="3" s="1"/>
  <c r="C103" i="3" a="1"/>
  <c r="C103" i="3" s="1"/>
  <c r="BF102" i="3"/>
  <c r="BE102" i="3"/>
  <c r="BD102" i="3"/>
  <c r="BC102" i="3"/>
  <c r="BB102" i="3"/>
  <c r="BA102" i="3"/>
  <c r="AZ102" i="3"/>
  <c r="AY102" i="3"/>
  <c r="AX102" i="3"/>
  <c r="AW102" i="3"/>
  <c r="AV102" i="3"/>
  <c r="AU102" i="3"/>
  <c r="AK102" i="3"/>
  <c r="AH102" i="3"/>
  <c r="AG102" i="3" a="1"/>
  <c r="AG102" i="3" s="1"/>
  <c r="AE102" i="3" a="1"/>
  <c r="AE102" i="3"/>
  <c r="AC102" i="3" a="1"/>
  <c r="AC102" i="3" s="1"/>
  <c r="AA102" i="3" a="1"/>
  <c r="AA102" i="3"/>
  <c r="Y102" i="3" a="1"/>
  <c r="Y102" i="3" s="1"/>
  <c r="V102" i="3"/>
  <c r="R102" i="3" a="1"/>
  <c r="R102" i="3" s="1"/>
  <c r="P102" i="3" a="1"/>
  <c r="P102" i="3"/>
  <c r="N102" i="3" a="1"/>
  <c r="N102" i="3" s="1"/>
  <c r="L102" i="3" a="1"/>
  <c r="L102" i="3"/>
  <c r="I102" i="3"/>
  <c r="E102" i="3" a="1"/>
  <c r="E102" i="3" s="1"/>
  <c r="C102" i="3" a="1"/>
  <c r="C102" i="3" s="1"/>
  <c r="BF101" i="3"/>
  <c r="BE101" i="3"/>
  <c r="BD101" i="3"/>
  <c r="BC101" i="3"/>
  <c r="BB101" i="3"/>
  <c r="BA101" i="3"/>
  <c r="AZ101" i="3"/>
  <c r="AY101" i="3"/>
  <c r="AX101" i="3"/>
  <c r="AW101" i="3"/>
  <c r="AV101" i="3"/>
  <c r="AU101" i="3"/>
  <c r="AK101" i="3"/>
  <c r="AH101" i="3"/>
  <c r="AG101" i="3" a="1"/>
  <c r="AG101" i="3"/>
  <c r="AE101" i="3" a="1"/>
  <c r="AE101" i="3" s="1"/>
  <c r="AC101" i="3" a="1"/>
  <c r="AC101" i="3"/>
  <c r="AA101" i="3" a="1"/>
  <c r="AA101" i="3" s="1"/>
  <c r="Y101" i="3" a="1"/>
  <c r="Y101" i="3"/>
  <c r="V101" i="3"/>
  <c r="R101" i="3" a="1"/>
  <c r="R101" i="3"/>
  <c r="P101" i="3" a="1"/>
  <c r="P101" i="3" s="1"/>
  <c r="N101" i="3" a="1"/>
  <c r="N101" i="3"/>
  <c r="L101" i="3" a="1"/>
  <c r="L101" i="3" s="1"/>
  <c r="I101" i="3"/>
  <c r="E101" i="3" a="1"/>
  <c r="E101" i="3" s="1"/>
  <c r="C101" i="3" a="1"/>
  <c r="C101" i="3" s="1"/>
  <c r="BF100" i="3"/>
  <c r="BE100" i="3"/>
  <c r="BD100" i="3"/>
  <c r="BC100" i="3"/>
  <c r="BB100" i="3"/>
  <c r="BA100" i="3"/>
  <c r="AZ100" i="3"/>
  <c r="AY100" i="3"/>
  <c r="AX100" i="3"/>
  <c r="AW100" i="3"/>
  <c r="AV100" i="3"/>
  <c r="AU100" i="3"/>
  <c r="AK100" i="3"/>
  <c r="AH100" i="3"/>
  <c r="AG100" i="3" a="1"/>
  <c r="AG100" i="3" s="1"/>
  <c r="AE100" i="3" a="1"/>
  <c r="AE100" i="3"/>
  <c r="AC100" i="3" a="1"/>
  <c r="AC100" i="3" s="1"/>
  <c r="AA100" i="3" a="1"/>
  <c r="AA100" i="3"/>
  <c r="Y100" i="3" a="1"/>
  <c r="Y100" i="3" s="1"/>
  <c r="V100" i="3"/>
  <c r="R100" i="3" a="1"/>
  <c r="R100" i="3" s="1"/>
  <c r="P100" i="3" a="1"/>
  <c r="P100" i="3"/>
  <c r="N100" i="3" a="1"/>
  <c r="N100" i="3" s="1"/>
  <c r="L100" i="3" a="1"/>
  <c r="L100" i="3"/>
  <c r="I100" i="3"/>
  <c r="E100" i="3" a="1"/>
  <c r="E100" i="3" s="1"/>
  <c r="C100" i="3" a="1"/>
  <c r="C100" i="3" s="1"/>
  <c r="BF99" i="3"/>
  <c r="BE99" i="3"/>
  <c r="BD99" i="3"/>
  <c r="BC99" i="3"/>
  <c r="BB99" i="3"/>
  <c r="BA99" i="3"/>
  <c r="AZ99" i="3"/>
  <c r="AY99" i="3"/>
  <c r="AX99" i="3"/>
  <c r="AW99" i="3"/>
  <c r="AV99" i="3"/>
  <c r="AU99" i="3"/>
  <c r="AK99" i="3"/>
  <c r="AH99" i="3"/>
  <c r="AG99" i="3" a="1"/>
  <c r="AG99" i="3"/>
  <c r="AE99" i="3" a="1"/>
  <c r="AE99" i="3" s="1"/>
  <c r="AC99" i="3" a="1"/>
  <c r="AC99" i="3"/>
  <c r="AA99" i="3" a="1"/>
  <c r="AA99" i="3" s="1"/>
  <c r="Y99" i="3" a="1"/>
  <c r="Y99" i="3"/>
  <c r="V99" i="3"/>
  <c r="R99" i="3" a="1"/>
  <c r="R99" i="3"/>
  <c r="P99" i="3" a="1"/>
  <c r="P99" i="3" s="1"/>
  <c r="N99" i="3" a="1"/>
  <c r="N99" i="3"/>
  <c r="L99" i="3" a="1"/>
  <c r="L99" i="3" s="1"/>
  <c r="I99" i="3"/>
  <c r="E99" i="3" a="1"/>
  <c r="E99" i="3" s="1"/>
  <c r="C99" i="3" a="1"/>
  <c r="C99" i="3" s="1"/>
  <c r="BF98" i="3"/>
  <c r="BE98" i="3"/>
  <c r="BD98" i="3"/>
  <c r="BC98" i="3"/>
  <c r="BB98" i="3"/>
  <c r="BA98" i="3"/>
  <c r="AZ98" i="3"/>
  <c r="AY98" i="3"/>
  <c r="AX98" i="3"/>
  <c r="AW98" i="3"/>
  <c r="AV98" i="3"/>
  <c r="AU98" i="3"/>
  <c r="AK98" i="3"/>
  <c r="AH98" i="3"/>
  <c r="AG98" i="3" a="1"/>
  <c r="AG98" i="3" s="1"/>
  <c r="AE98" i="3" a="1"/>
  <c r="AE98" i="3"/>
  <c r="AC98" i="3" a="1"/>
  <c r="AC98" i="3" s="1"/>
  <c r="AA98" i="3" a="1"/>
  <c r="AA98" i="3"/>
  <c r="Y98" i="3" a="1"/>
  <c r="Y98" i="3" s="1"/>
  <c r="V98" i="3"/>
  <c r="R98" i="3" a="1"/>
  <c r="R98" i="3" s="1"/>
  <c r="P98" i="3" a="1"/>
  <c r="P98" i="3"/>
  <c r="N98" i="3" a="1"/>
  <c r="N98" i="3" s="1"/>
  <c r="L98" i="3" a="1"/>
  <c r="L98" i="3"/>
  <c r="I98" i="3"/>
  <c r="E98" i="3" a="1"/>
  <c r="E98" i="3" s="1"/>
  <c r="C98" i="3" a="1"/>
  <c r="C98" i="3" s="1"/>
  <c r="BF97" i="3"/>
  <c r="BE97" i="3"/>
  <c r="BD97" i="3"/>
  <c r="BC97" i="3"/>
  <c r="BB97" i="3"/>
  <c r="BA97" i="3"/>
  <c r="AZ97" i="3"/>
  <c r="AY97" i="3"/>
  <c r="AX97" i="3"/>
  <c r="AW97" i="3"/>
  <c r="AV97" i="3"/>
  <c r="AU97" i="3"/>
  <c r="AK97" i="3"/>
  <c r="AH97" i="3"/>
  <c r="AG97" i="3" a="1"/>
  <c r="AG97" i="3"/>
  <c r="AE97" i="3" a="1"/>
  <c r="AE97" i="3" s="1"/>
  <c r="AC97" i="3" a="1"/>
  <c r="AC97" i="3"/>
  <c r="AA97" i="3" a="1"/>
  <c r="AA97" i="3" s="1"/>
  <c r="Y97" i="3" a="1"/>
  <c r="Y97" i="3"/>
  <c r="V97" i="3"/>
  <c r="R97" i="3" a="1"/>
  <c r="R97" i="3"/>
  <c r="P97" i="3" a="1"/>
  <c r="P97" i="3" s="1"/>
  <c r="N97" i="3" a="1"/>
  <c r="N97" i="3"/>
  <c r="L97" i="3" a="1"/>
  <c r="L97" i="3" s="1"/>
  <c r="I97" i="3"/>
  <c r="E97" i="3" a="1"/>
  <c r="E97" i="3" s="1"/>
  <c r="C97" i="3" a="1"/>
  <c r="C97" i="3" s="1"/>
  <c r="BF96" i="3"/>
  <c r="BE96" i="3"/>
  <c r="BD96" i="3"/>
  <c r="BC96" i="3"/>
  <c r="BB96" i="3"/>
  <c r="BA96" i="3"/>
  <c r="AZ96" i="3"/>
  <c r="AY96" i="3"/>
  <c r="AX96" i="3"/>
  <c r="AW96" i="3"/>
  <c r="AV96" i="3"/>
  <c r="AU96" i="3"/>
  <c r="AK96" i="3"/>
  <c r="AH96" i="3"/>
  <c r="AG96" i="3" a="1"/>
  <c r="AG96" i="3" s="1"/>
  <c r="AE96" i="3" a="1"/>
  <c r="AE96" i="3"/>
  <c r="AC96" i="3" a="1"/>
  <c r="AC96" i="3" s="1"/>
  <c r="AA96" i="3" a="1"/>
  <c r="AA96" i="3"/>
  <c r="Y96" i="3" a="1"/>
  <c r="Y96" i="3" s="1"/>
  <c r="V96" i="3"/>
  <c r="R96" i="3" a="1"/>
  <c r="R96" i="3" s="1"/>
  <c r="P96" i="3" a="1"/>
  <c r="P96" i="3"/>
  <c r="N96" i="3" a="1"/>
  <c r="N96" i="3" s="1"/>
  <c r="L96" i="3" a="1"/>
  <c r="L96" i="3"/>
  <c r="I96" i="3"/>
  <c r="E96" i="3" a="1"/>
  <c r="E96" i="3" s="1"/>
  <c r="C96" i="3" a="1"/>
  <c r="C96" i="3" s="1"/>
  <c r="BF95" i="3"/>
  <c r="BE95" i="3"/>
  <c r="BD95" i="3"/>
  <c r="BC95" i="3"/>
  <c r="BB95" i="3"/>
  <c r="BA95" i="3"/>
  <c r="AZ95" i="3"/>
  <c r="AY95" i="3"/>
  <c r="AX95" i="3"/>
  <c r="AW95" i="3"/>
  <c r="AV95" i="3"/>
  <c r="AU95" i="3"/>
  <c r="AK95" i="3"/>
  <c r="AH95" i="3"/>
  <c r="AG95" i="3" a="1"/>
  <c r="AG95" i="3"/>
  <c r="AE95" i="3" a="1"/>
  <c r="AE95" i="3" s="1"/>
  <c r="AC95" i="3" a="1"/>
  <c r="AC95" i="3"/>
  <c r="AA95" i="3" a="1"/>
  <c r="AA95" i="3" s="1"/>
  <c r="Y95" i="3" a="1"/>
  <c r="Y95" i="3"/>
  <c r="V95" i="3"/>
  <c r="R95" i="3" a="1"/>
  <c r="R95" i="3"/>
  <c r="P95" i="3" a="1"/>
  <c r="P95" i="3" s="1"/>
  <c r="N95" i="3" a="1"/>
  <c r="N95" i="3"/>
  <c r="L95" i="3" a="1"/>
  <c r="L95" i="3" s="1"/>
  <c r="I95" i="3"/>
  <c r="E95" i="3" a="1"/>
  <c r="E95" i="3" s="1"/>
  <c r="C95" i="3" a="1"/>
  <c r="C95" i="3" s="1"/>
  <c r="BF94" i="3"/>
  <c r="BE94" i="3"/>
  <c r="BD94" i="3"/>
  <c r="BC94" i="3"/>
  <c r="BB94" i="3"/>
  <c r="BA94" i="3"/>
  <c r="AZ94" i="3"/>
  <c r="AY94" i="3"/>
  <c r="AX94" i="3"/>
  <c r="AW94" i="3"/>
  <c r="AV94" i="3"/>
  <c r="AU94" i="3"/>
  <c r="AK94" i="3"/>
  <c r="AH94" i="3"/>
  <c r="AG94" i="3" a="1"/>
  <c r="AG94" i="3" s="1"/>
  <c r="AE94" i="3" a="1"/>
  <c r="AE94" i="3"/>
  <c r="AC94" i="3" a="1"/>
  <c r="AC94" i="3" s="1"/>
  <c r="AA94" i="3" a="1"/>
  <c r="AA94" i="3"/>
  <c r="Y94" i="3" a="1"/>
  <c r="Y94" i="3" s="1"/>
  <c r="V94" i="3"/>
  <c r="R94" i="3" a="1"/>
  <c r="R94" i="3" s="1"/>
  <c r="P94" i="3" a="1"/>
  <c r="P94" i="3"/>
  <c r="N94" i="3" a="1"/>
  <c r="N94" i="3" s="1"/>
  <c r="L94" i="3" a="1"/>
  <c r="L94" i="3"/>
  <c r="I94" i="3"/>
  <c r="E94" i="3" a="1"/>
  <c r="E94" i="3" s="1"/>
  <c r="C94" i="3" a="1"/>
  <c r="C94" i="3" s="1"/>
  <c r="BF93" i="3"/>
  <c r="BE93" i="3"/>
  <c r="BD93" i="3"/>
  <c r="BC93" i="3"/>
  <c r="BB93" i="3"/>
  <c r="BA93" i="3"/>
  <c r="AZ93" i="3"/>
  <c r="AY93" i="3"/>
  <c r="AX93" i="3"/>
  <c r="AW93" i="3"/>
  <c r="AV93" i="3"/>
  <c r="AU93" i="3"/>
  <c r="AK93" i="3"/>
  <c r="AH93" i="3"/>
  <c r="AG93" i="3" a="1"/>
  <c r="AG93" i="3"/>
  <c r="AE93" i="3" a="1"/>
  <c r="AE93" i="3" s="1"/>
  <c r="AC93" i="3" a="1"/>
  <c r="AC93" i="3"/>
  <c r="AA93" i="3" a="1"/>
  <c r="AA93" i="3" s="1"/>
  <c r="Y93" i="3" a="1"/>
  <c r="Y93" i="3"/>
  <c r="V93" i="3"/>
  <c r="R93" i="3" a="1"/>
  <c r="R93" i="3"/>
  <c r="P93" i="3" a="1"/>
  <c r="P93" i="3" s="1"/>
  <c r="N93" i="3" a="1"/>
  <c r="N93" i="3"/>
  <c r="L93" i="3" a="1"/>
  <c r="L93" i="3" s="1"/>
  <c r="I93" i="3"/>
  <c r="E93" i="3" a="1"/>
  <c r="E93" i="3" s="1"/>
  <c r="C93" i="3" a="1"/>
  <c r="C93" i="3" s="1"/>
  <c r="BF92" i="3"/>
  <c r="BE92" i="3"/>
  <c r="BD92" i="3"/>
  <c r="BC92" i="3"/>
  <c r="BB92" i="3"/>
  <c r="BA92" i="3"/>
  <c r="AZ92" i="3"/>
  <c r="AY92" i="3"/>
  <c r="AX92" i="3"/>
  <c r="AW92" i="3"/>
  <c r="AV92" i="3"/>
  <c r="AU92" i="3"/>
  <c r="AK92" i="3"/>
  <c r="AH92" i="3"/>
  <c r="AG92" i="3" a="1"/>
  <c r="AG92" i="3" s="1"/>
  <c r="AE92" i="3" a="1"/>
  <c r="AE92" i="3"/>
  <c r="AC92" i="3" a="1"/>
  <c r="AC92" i="3" s="1"/>
  <c r="AA92" i="3" a="1"/>
  <c r="AA92" i="3"/>
  <c r="Y92" i="3" a="1"/>
  <c r="Y92" i="3" s="1"/>
  <c r="V92" i="3"/>
  <c r="R92" i="3" a="1"/>
  <c r="R92" i="3" s="1"/>
  <c r="P92" i="3" a="1"/>
  <c r="P92" i="3"/>
  <c r="N92" i="3" a="1"/>
  <c r="N92" i="3" s="1"/>
  <c r="L92" i="3" a="1"/>
  <c r="L92" i="3"/>
  <c r="I92" i="3"/>
  <c r="E92" i="3" a="1"/>
  <c r="E92" i="3" s="1"/>
  <c r="C92" i="3" a="1"/>
  <c r="C92" i="3" s="1"/>
  <c r="BF91" i="3"/>
  <c r="BE91" i="3"/>
  <c r="BD91" i="3"/>
  <c r="BC91" i="3"/>
  <c r="BB91" i="3"/>
  <c r="BA91" i="3"/>
  <c r="AZ91" i="3"/>
  <c r="AY91" i="3"/>
  <c r="AX91" i="3"/>
  <c r="AW91" i="3"/>
  <c r="AV91" i="3"/>
  <c r="AU91" i="3"/>
  <c r="AK91" i="3"/>
  <c r="AH91" i="3"/>
  <c r="AG91" i="3" a="1"/>
  <c r="AG91" i="3"/>
  <c r="AE91" i="3" a="1"/>
  <c r="AE91" i="3" s="1"/>
  <c r="AC91" i="3" a="1"/>
  <c r="AC91" i="3"/>
  <c r="AA91" i="3" a="1"/>
  <c r="AA91" i="3" s="1"/>
  <c r="Y91" i="3" a="1"/>
  <c r="Y91" i="3"/>
  <c r="V91" i="3"/>
  <c r="R91" i="3" a="1"/>
  <c r="R91" i="3"/>
  <c r="P91" i="3" a="1"/>
  <c r="P91" i="3" s="1"/>
  <c r="N91" i="3" a="1"/>
  <c r="N91" i="3"/>
  <c r="L91" i="3" a="1"/>
  <c r="L91" i="3" s="1"/>
  <c r="I91" i="3"/>
  <c r="E91" i="3" a="1"/>
  <c r="E91" i="3" s="1"/>
  <c r="C91" i="3" a="1"/>
  <c r="C91" i="3" s="1"/>
  <c r="BF90" i="3"/>
  <c r="BE90" i="3"/>
  <c r="BD90" i="3"/>
  <c r="BC90" i="3"/>
  <c r="BB90" i="3"/>
  <c r="BA90" i="3"/>
  <c r="AZ90" i="3"/>
  <c r="AY90" i="3"/>
  <c r="AX90" i="3"/>
  <c r="AW90" i="3"/>
  <c r="AV90" i="3"/>
  <c r="AU90" i="3"/>
  <c r="AK90" i="3"/>
  <c r="AH90" i="3"/>
  <c r="AG90" i="3" a="1"/>
  <c r="AG90" i="3" s="1"/>
  <c r="AE90" i="3" a="1"/>
  <c r="AE90" i="3"/>
  <c r="AC90" i="3" a="1"/>
  <c r="AC90" i="3" s="1"/>
  <c r="AA90" i="3" a="1"/>
  <c r="AA90" i="3"/>
  <c r="Y90" i="3" a="1"/>
  <c r="Y90" i="3" s="1"/>
  <c r="V90" i="3"/>
  <c r="R90" i="3" a="1"/>
  <c r="R90" i="3" s="1"/>
  <c r="P90" i="3" a="1"/>
  <c r="P90" i="3"/>
  <c r="N90" i="3" a="1"/>
  <c r="N90" i="3" s="1"/>
  <c r="L90" i="3" a="1"/>
  <c r="L90" i="3"/>
  <c r="I90" i="3"/>
  <c r="E90" i="3" a="1"/>
  <c r="E90" i="3" s="1"/>
  <c r="C90" i="3" a="1"/>
  <c r="C90" i="3" s="1"/>
  <c r="BF89" i="3"/>
  <c r="BE89" i="3"/>
  <c r="BD89" i="3"/>
  <c r="BC89" i="3"/>
  <c r="BB89" i="3"/>
  <c r="BA89" i="3"/>
  <c r="AZ89" i="3"/>
  <c r="AY89" i="3"/>
  <c r="AX89" i="3"/>
  <c r="AW89" i="3"/>
  <c r="AV89" i="3"/>
  <c r="AU89" i="3"/>
  <c r="AK89" i="3"/>
  <c r="AH89" i="3"/>
  <c r="AG89" i="3" a="1"/>
  <c r="AG89" i="3"/>
  <c r="AE89" i="3" a="1"/>
  <c r="AE89" i="3" s="1"/>
  <c r="AC89" i="3" a="1"/>
  <c r="AC89" i="3"/>
  <c r="AA89" i="3" a="1"/>
  <c r="AA89" i="3" s="1"/>
  <c r="Y89" i="3" a="1"/>
  <c r="Y89" i="3"/>
  <c r="V89" i="3"/>
  <c r="R89" i="3" a="1"/>
  <c r="R89" i="3"/>
  <c r="P89" i="3" a="1"/>
  <c r="P89" i="3" s="1"/>
  <c r="N89" i="3" a="1"/>
  <c r="N89" i="3"/>
  <c r="L89" i="3" a="1"/>
  <c r="L89" i="3" s="1"/>
  <c r="I89" i="3"/>
  <c r="E89" i="3" a="1"/>
  <c r="E89" i="3" s="1"/>
  <c r="C89" i="3" a="1"/>
  <c r="C89" i="3" s="1"/>
  <c r="BF88" i="3"/>
  <c r="BE88" i="3"/>
  <c r="BD88" i="3"/>
  <c r="BC88" i="3"/>
  <c r="BB88" i="3"/>
  <c r="BA88" i="3"/>
  <c r="AZ88" i="3"/>
  <c r="AY88" i="3"/>
  <c r="AX88" i="3"/>
  <c r="AW88" i="3"/>
  <c r="AV88" i="3"/>
  <c r="AU88" i="3"/>
  <c r="AK88" i="3"/>
  <c r="AH88" i="3"/>
  <c r="AG88" i="3" a="1"/>
  <c r="AG88" i="3" s="1"/>
  <c r="AE88" i="3" a="1"/>
  <c r="AE88" i="3"/>
  <c r="AC88" i="3" a="1"/>
  <c r="AC88" i="3" s="1"/>
  <c r="AA88" i="3" a="1"/>
  <c r="AA88" i="3"/>
  <c r="Y88" i="3" a="1"/>
  <c r="Y88" i="3" s="1"/>
  <c r="V88" i="3"/>
  <c r="R88" i="3" a="1"/>
  <c r="R88" i="3" s="1"/>
  <c r="P88" i="3" a="1"/>
  <c r="P88" i="3"/>
  <c r="N88" i="3" a="1"/>
  <c r="N88" i="3" s="1"/>
  <c r="L88" i="3" a="1"/>
  <c r="L88" i="3"/>
  <c r="I88" i="3"/>
  <c r="E88" i="3" a="1"/>
  <c r="E88" i="3" s="1"/>
  <c r="C88" i="3" a="1"/>
  <c r="C88" i="3" s="1"/>
  <c r="BF87" i="3"/>
  <c r="BE87" i="3"/>
  <c r="BD87" i="3"/>
  <c r="BC87" i="3"/>
  <c r="BB87" i="3"/>
  <c r="BA87" i="3"/>
  <c r="AZ87" i="3"/>
  <c r="AY87" i="3"/>
  <c r="AX87" i="3"/>
  <c r="AW87" i="3"/>
  <c r="AV87" i="3"/>
  <c r="AU87" i="3"/>
  <c r="AK87" i="3"/>
  <c r="AH87" i="3"/>
  <c r="AG87" i="3" a="1"/>
  <c r="AG87" i="3"/>
  <c r="AE87" i="3" a="1"/>
  <c r="AE87" i="3" s="1"/>
  <c r="AC87" i="3" a="1"/>
  <c r="AC87" i="3"/>
  <c r="AA87" i="3" a="1"/>
  <c r="AA87" i="3" s="1"/>
  <c r="Y87" i="3" a="1"/>
  <c r="Y87" i="3"/>
  <c r="V87" i="3"/>
  <c r="R87" i="3" a="1"/>
  <c r="R87" i="3"/>
  <c r="P87" i="3" a="1"/>
  <c r="P87" i="3" s="1"/>
  <c r="N87" i="3" a="1"/>
  <c r="N87" i="3"/>
  <c r="L87" i="3" a="1"/>
  <c r="L87" i="3" s="1"/>
  <c r="I87" i="3"/>
  <c r="E87" i="3" a="1"/>
  <c r="E87" i="3" s="1"/>
  <c r="C87" i="3" a="1"/>
  <c r="C87" i="3" s="1"/>
  <c r="BF86" i="3"/>
  <c r="BE86" i="3"/>
  <c r="BD86" i="3"/>
  <c r="BC86" i="3"/>
  <c r="BB86" i="3"/>
  <c r="BA86" i="3"/>
  <c r="AZ86" i="3"/>
  <c r="AY86" i="3"/>
  <c r="AX86" i="3"/>
  <c r="AW86" i="3"/>
  <c r="AV86" i="3"/>
  <c r="AU86" i="3"/>
  <c r="AK86" i="3"/>
  <c r="AH86" i="3"/>
  <c r="AG86" i="3" a="1"/>
  <c r="AG86" i="3" s="1"/>
  <c r="AE86" i="3" a="1"/>
  <c r="AE86" i="3"/>
  <c r="AC86" i="3" a="1"/>
  <c r="AC86" i="3" s="1"/>
  <c r="AA86" i="3" a="1"/>
  <c r="AA86" i="3"/>
  <c r="Y86" i="3" a="1"/>
  <c r="Y86" i="3" s="1"/>
  <c r="V86" i="3"/>
  <c r="R86" i="3" a="1"/>
  <c r="R86" i="3" s="1"/>
  <c r="P86" i="3" a="1"/>
  <c r="P86" i="3"/>
  <c r="N86" i="3" a="1"/>
  <c r="N86" i="3" s="1"/>
  <c r="L86" i="3" a="1"/>
  <c r="L86" i="3"/>
  <c r="I86" i="3"/>
  <c r="E86" i="3" a="1"/>
  <c r="E86" i="3" s="1"/>
  <c r="C86" i="3" a="1"/>
  <c r="C86" i="3" s="1"/>
  <c r="BF85" i="3"/>
  <c r="BE85" i="3"/>
  <c r="BD85" i="3"/>
  <c r="BC85" i="3"/>
  <c r="BB85" i="3"/>
  <c r="BA85" i="3"/>
  <c r="AZ85" i="3"/>
  <c r="AY85" i="3"/>
  <c r="AX85" i="3"/>
  <c r="AW85" i="3"/>
  <c r="AV85" i="3"/>
  <c r="AU85" i="3"/>
  <c r="AK85" i="3"/>
  <c r="AH85" i="3"/>
  <c r="AG85" i="3" a="1"/>
  <c r="AG85" i="3"/>
  <c r="AE85" i="3" a="1"/>
  <c r="AE85" i="3" s="1"/>
  <c r="AC85" i="3" a="1"/>
  <c r="AC85" i="3"/>
  <c r="AA85" i="3" a="1"/>
  <c r="AA85" i="3" s="1"/>
  <c r="Y85" i="3" a="1"/>
  <c r="Y85" i="3"/>
  <c r="V85" i="3"/>
  <c r="R85" i="3" a="1"/>
  <c r="R85" i="3"/>
  <c r="P85" i="3" a="1"/>
  <c r="P85" i="3" s="1"/>
  <c r="N85" i="3" a="1"/>
  <c r="N85" i="3"/>
  <c r="L85" i="3" a="1"/>
  <c r="L85" i="3" s="1"/>
  <c r="I85" i="3"/>
  <c r="E85" i="3" a="1"/>
  <c r="E85" i="3" s="1"/>
  <c r="C85" i="3" a="1"/>
  <c r="C85" i="3" s="1"/>
  <c r="BF84" i="3"/>
  <c r="BE84" i="3"/>
  <c r="BD84" i="3"/>
  <c r="BC84" i="3"/>
  <c r="BB84" i="3"/>
  <c r="BA84" i="3"/>
  <c r="AZ84" i="3"/>
  <c r="AY84" i="3"/>
  <c r="AX84" i="3"/>
  <c r="AW84" i="3"/>
  <c r="AV84" i="3"/>
  <c r="AU84" i="3"/>
  <c r="AK84" i="3"/>
  <c r="AH84" i="3"/>
  <c r="AG84" i="3" a="1"/>
  <c r="AG84" i="3" s="1"/>
  <c r="AE84" i="3" a="1"/>
  <c r="AE84" i="3"/>
  <c r="AC84" i="3" a="1"/>
  <c r="AC84" i="3" s="1"/>
  <c r="AA84" i="3" a="1"/>
  <c r="AA84" i="3"/>
  <c r="Y84" i="3" a="1"/>
  <c r="Y84" i="3" s="1"/>
  <c r="V84" i="3"/>
  <c r="R84" i="3" a="1"/>
  <c r="R84" i="3" s="1"/>
  <c r="P84" i="3" a="1"/>
  <c r="P84" i="3"/>
  <c r="N84" i="3" a="1"/>
  <c r="N84" i="3" s="1"/>
  <c r="L84" i="3" a="1"/>
  <c r="L84" i="3"/>
  <c r="I84" i="3"/>
  <c r="E84" i="3" a="1"/>
  <c r="E84" i="3" s="1"/>
  <c r="C84" i="3" a="1"/>
  <c r="C84" i="3" s="1"/>
  <c r="BF83" i="3"/>
  <c r="BE83" i="3"/>
  <c r="BD83" i="3"/>
  <c r="BC83" i="3"/>
  <c r="BB83" i="3"/>
  <c r="BA83" i="3"/>
  <c r="AZ83" i="3"/>
  <c r="AY83" i="3"/>
  <c r="AX83" i="3"/>
  <c r="AW83" i="3"/>
  <c r="AV83" i="3"/>
  <c r="AU83" i="3"/>
  <c r="AK83" i="3"/>
  <c r="AH83" i="3"/>
  <c r="AG83" i="3" a="1"/>
  <c r="AG83" i="3"/>
  <c r="AE83" i="3" a="1"/>
  <c r="AE83" i="3" s="1"/>
  <c r="AC83" i="3" a="1"/>
  <c r="AC83" i="3"/>
  <c r="AA83" i="3" a="1"/>
  <c r="AA83" i="3" s="1"/>
  <c r="Y83" i="3" a="1"/>
  <c r="Y83" i="3"/>
  <c r="V83" i="3"/>
  <c r="R83" i="3" a="1"/>
  <c r="R83" i="3"/>
  <c r="P83" i="3" a="1"/>
  <c r="P83" i="3" s="1"/>
  <c r="N83" i="3" a="1"/>
  <c r="N83" i="3"/>
  <c r="L83" i="3" a="1"/>
  <c r="L83" i="3" s="1"/>
  <c r="I83" i="3"/>
  <c r="E83" i="3" a="1"/>
  <c r="E83" i="3" s="1"/>
  <c r="C83" i="3" a="1"/>
  <c r="C83" i="3" s="1"/>
  <c r="BF82" i="3"/>
  <c r="BE82" i="3"/>
  <c r="BD82" i="3"/>
  <c r="BC82" i="3"/>
  <c r="BB82" i="3"/>
  <c r="BA82" i="3"/>
  <c r="AZ82" i="3"/>
  <c r="AY82" i="3"/>
  <c r="AX82" i="3"/>
  <c r="AW82" i="3"/>
  <c r="AV82" i="3"/>
  <c r="AU82" i="3"/>
  <c r="AK82" i="3"/>
  <c r="AH82" i="3"/>
  <c r="AG82" i="3" a="1"/>
  <c r="AG82" i="3" s="1"/>
  <c r="AE82" i="3" a="1"/>
  <c r="AE82" i="3"/>
  <c r="AC82" i="3" a="1"/>
  <c r="AC82" i="3" s="1"/>
  <c r="AA82" i="3" a="1"/>
  <c r="AA82" i="3"/>
  <c r="Y82" i="3" a="1"/>
  <c r="Y82" i="3" s="1"/>
  <c r="V82" i="3"/>
  <c r="R82" i="3" a="1"/>
  <c r="R82" i="3" s="1"/>
  <c r="P82" i="3" a="1"/>
  <c r="P82" i="3"/>
  <c r="N82" i="3" a="1"/>
  <c r="N82" i="3" s="1"/>
  <c r="L82" i="3" a="1"/>
  <c r="L82" i="3"/>
  <c r="I82" i="3"/>
  <c r="E82" i="3" a="1"/>
  <c r="E82" i="3" s="1"/>
  <c r="C82" i="3" a="1"/>
  <c r="C82" i="3" s="1"/>
  <c r="BF81" i="3"/>
  <c r="BE81" i="3"/>
  <c r="BD81" i="3"/>
  <c r="BC81" i="3"/>
  <c r="BB81" i="3"/>
  <c r="BA81" i="3"/>
  <c r="AZ81" i="3"/>
  <c r="AY81" i="3"/>
  <c r="AX81" i="3"/>
  <c r="AW81" i="3"/>
  <c r="AV81" i="3"/>
  <c r="AU81" i="3"/>
  <c r="AK81" i="3"/>
  <c r="AH81" i="3"/>
  <c r="AG81" i="3" a="1"/>
  <c r="AG81" i="3"/>
  <c r="AE81" i="3" a="1"/>
  <c r="AE81" i="3" s="1"/>
  <c r="AC81" i="3" a="1"/>
  <c r="AC81" i="3"/>
  <c r="AA81" i="3" a="1"/>
  <c r="AA81" i="3" s="1"/>
  <c r="Y81" i="3" a="1"/>
  <c r="Y81" i="3"/>
  <c r="V81" i="3"/>
  <c r="R81" i="3" a="1"/>
  <c r="R81" i="3"/>
  <c r="P81" i="3" a="1"/>
  <c r="P81" i="3" s="1"/>
  <c r="N81" i="3" a="1"/>
  <c r="N81" i="3"/>
  <c r="L81" i="3" a="1"/>
  <c r="L81" i="3" s="1"/>
  <c r="I81" i="3"/>
  <c r="E81" i="3" a="1"/>
  <c r="E81" i="3" s="1"/>
  <c r="C81" i="3" a="1"/>
  <c r="C81" i="3" s="1"/>
  <c r="BF80" i="3"/>
  <c r="BE80" i="3"/>
  <c r="BD80" i="3"/>
  <c r="BC80" i="3"/>
  <c r="BB80" i="3"/>
  <c r="BA80" i="3"/>
  <c r="AZ80" i="3"/>
  <c r="AY80" i="3"/>
  <c r="AX80" i="3"/>
  <c r="AW80" i="3"/>
  <c r="AV80" i="3"/>
  <c r="AU80" i="3"/>
  <c r="AK80" i="3"/>
  <c r="AH80" i="3"/>
  <c r="AG80" i="3" a="1"/>
  <c r="AG80" i="3" s="1"/>
  <c r="AE80" i="3" a="1"/>
  <c r="AE80" i="3"/>
  <c r="AC80" i="3" a="1"/>
  <c r="AC80" i="3" s="1"/>
  <c r="AA80" i="3" a="1"/>
  <c r="AA80" i="3"/>
  <c r="Y80" i="3" a="1"/>
  <c r="Y80" i="3" s="1"/>
  <c r="V80" i="3"/>
  <c r="R80" i="3" a="1"/>
  <c r="R80" i="3" s="1"/>
  <c r="P80" i="3" a="1"/>
  <c r="P80" i="3"/>
  <c r="N80" i="3" a="1"/>
  <c r="N80" i="3" s="1"/>
  <c r="L80" i="3" a="1"/>
  <c r="L80" i="3"/>
  <c r="I80" i="3"/>
  <c r="E80" i="3" a="1"/>
  <c r="E80" i="3" s="1"/>
  <c r="C80" i="3" a="1"/>
  <c r="C80" i="3" s="1"/>
  <c r="BF79" i="3"/>
  <c r="BE79" i="3"/>
  <c r="BD79" i="3"/>
  <c r="BC79" i="3"/>
  <c r="BB79" i="3"/>
  <c r="BA79" i="3"/>
  <c r="AZ79" i="3"/>
  <c r="AY79" i="3"/>
  <c r="AX79" i="3"/>
  <c r="AW79" i="3"/>
  <c r="AV79" i="3"/>
  <c r="AU79" i="3"/>
  <c r="AK79" i="3"/>
  <c r="AH79" i="3"/>
  <c r="AG79" i="3" a="1"/>
  <c r="AG79" i="3"/>
  <c r="AE79" i="3" a="1"/>
  <c r="AE79" i="3" s="1"/>
  <c r="AC79" i="3" a="1"/>
  <c r="AC79" i="3"/>
  <c r="AA79" i="3" a="1"/>
  <c r="AA79" i="3" s="1"/>
  <c r="Y79" i="3" a="1"/>
  <c r="Y79" i="3"/>
  <c r="V79" i="3"/>
  <c r="R79" i="3" a="1"/>
  <c r="R79" i="3"/>
  <c r="P79" i="3" a="1"/>
  <c r="P79" i="3" s="1"/>
  <c r="N79" i="3" a="1"/>
  <c r="N79" i="3"/>
  <c r="L79" i="3" a="1"/>
  <c r="L79" i="3" s="1"/>
  <c r="I79" i="3"/>
  <c r="E79" i="3" a="1"/>
  <c r="E79" i="3" s="1"/>
  <c r="C79" i="3" a="1"/>
  <c r="C79" i="3" s="1"/>
  <c r="BF78" i="3"/>
  <c r="BE78" i="3"/>
  <c r="BD78" i="3"/>
  <c r="BC78" i="3"/>
  <c r="BB78" i="3"/>
  <c r="BA78" i="3"/>
  <c r="AZ78" i="3"/>
  <c r="AY78" i="3"/>
  <c r="AX78" i="3"/>
  <c r="AW78" i="3"/>
  <c r="AV78" i="3"/>
  <c r="AU78" i="3"/>
  <c r="AK78" i="3"/>
  <c r="AH78" i="3"/>
  <c r="AG78" i="3" a="1"/>
  <c r="AG78" i="3" s="1"/>
  <c r="AE78" i="3" a="1"/>
  <c r="AE78" i="3"/>
  <c r="AC78" i="3" a="1"/>
  <c r="AC78" i="3" s="1"/>
  <c r="AA78" i="3" a="1"/>
  <c r="AA78" i="3"/>
  <c r="Y78" i="3" a="1"/>
  <c r="Y78" i="3" s="1"/>
  <c r="V78" i="3"/>
  <c r="R78" i="3" a="1"/>
  <c r="R78" i="3" s="1"/>
  <c r="P78" i="3" a="1"/>
  <c r="P78" i="3"/>
  <c r="N78" i="3" a="1"/>
  <c r="N78" i="3" s="1"/>
  <c r="L78" i="3" a="1"/>
  <c r="L78" i="3"/>
  <c r="I78" i="3"/>
  <c r="E78" i="3" a="1"/>
  <c r="E78" i="3" s="1"/>
  <c r="C78" i="3" a="1"/>
  <c r="C78" i="3" s="1"/>
  <c r="BF77" i="3"/>
  <c r="BE77" i="3"/>
  <c r="BD77" i="3"/>
  <c r="BC77" i="3"/>
  <c r="BB77" i="3"/>
  <c r="BA77" i="3"/>
  <c r="AZ77" i="3"/>
  <c r="AY77" i="3"/>
  <c r="AX77" i="3"/>
  <c r="AW77" i="3"/>
  <c r="AV77" i="3"/>
  <c r="AU77" i="3"/>
  <c r="AK77" i="3"/>
  <c r="AH77" i="3"/>
  <c r="AG77" i="3" a="1"/>
  <c r="AG77" i="3"/>
  <c r="AE77" i="3" a="1"/>
  <c r="AE77" i="3" s="1"/>
  <c r="AC77" i="3" a="1"/>
  <c r="AC77" i="3"/>
  <c r="AA77" i="3" a="1"/>
  <c r="AA77" i="3" s="1"/>
  <c r="Y77" i="3" a="1"/>
  <c r="Y77" i="3"/>
  <c r="V77" i="3"/>
  <c r="R77" i="3" a="1"/>
  <c r="R77" i="3"/>
  <c r="P77" i="3" a="1"/>
  <c r="P77" i="3" s="1"/>
  <c r="N77" i="3" a="1"/>
  <c r="N77" i="3"/>
  <c r="L77" i="3" a="1"/>
  <c r="L77" i="3" s="1"/>
  <c r="I77" i="3"/>
  <c r="E77" i="3" a="1"/>
  <c r="E77" i="3" s="1"/>
  <c r="C77" i="3" a="1"/>
  <c r="C77" i="3" s="1"/>
  <c r="BF76" i="3"/>
  <c r="BE76" i="3"/>
  <c r="BD76" i="3"/>
  <c r="BC76" i="3"/>
  <c r="BB76" i="3"/>
  <c r="BA76" i="3"/>
  <c r="AZ76" i="3"/>
  <c r="AY76" i="3"/>
  <c r="AX76" i="3"/>
  <c r="AW76" i="3"/>
  <c r="AV76" i="3"/>
  <c r="AU76" i="3"/>
  <c r="AK76" i="3"/>
  <c r="AH76" i="3"/>
  <c r="AG76" i="3" a="1"/>
  <c r="AG76" i="3" s="1"/>
  <c r="AE76" i="3" a="1"/>
  <c r="AE76" i="3"/>
  <c r="AC76" i="3" a="1"/>
  <c r="AC76" i="3" s="1"/>
  <c r="AA76" i="3" a="1"/>
  <c r="AA76" i="3"/>
  <c r="Y76" i="3" a="1"/>
  <c r="Y76" i="3" s="1"/>
  <c r="V76" i="3"/>
  <c r="R76" i="3" a="1"/>
  <c r="R76" i="3" s="1"/>
  <c r="P76" i="3" a="1"/>
  <c r="P76" i="3"/>
  <c r="N76" i="3" a="1"/>
  <c r="N76" i="3" s="1"/>
  <c r="L76" i="3" a="1"/>
  <c r="L76" i="3"/>
  <c r="I76" i="3"/>
  <c r="E76" i="3" a="1"/>
  <c r="E76" i="3" s="1"/>
  <c r="C76" i="3" a="1"/>
  <c r="C76" i="3" s="1"/>
  <c r="BF75" i="3"/>
  <c r="BE75" i="3"/>
  <c r="BD75" i="3"/>
  <c r="BC75" i="3"/>
  <c r="BB75" i="3"/>
  <c r="BA75" i="3"/>
  <c r="AZ75" i="3"/>
  <c r="AY75" i="3"/>
  <c r="AX75" i="3"/>
  <c r="AW75" i="3"/>
  <c r="AV75" i="3"/>
  <c r="AU75" i="3"/>
  <c r="AK75" i="3"/>
  <c r="AH75" i="3"/>
  <c r="AG75" i="3" a="1"/>
  <c r="AG75" i="3"/>
  <c r="AE75" i="3" a="1"/>
  <c r="AE75" i="3" s="1"/>
  <c r="AC75" i="3" a="1"/>
  <c r="AC75" i="3"/>
  <c r="AA75" i="3" a="1"/>
  <c r="AA75" i="3" s="1"/>
  <c r="Y75" i="3" a="1"/>
  <c r="Y75" i="3"/>
  <c r="V75" i="3"/>
  <c r="R75" i="3" a="1"/>
  <c r="R75" i="3"/>
  <c r="P75" i="3" a="1"/>
  <c r="P75" i="3" s="1"/>
  <c r="N75" i="3" a="1"/>
  <c r="N75" i="3"/>
  <c r="L75" i="3" a="1"/>
  <c r="L75" i="3" s="1"/>
  <c r="I75" i="3"/>
  <c r="E75" i="3" a="1"/>
  <c r="E75" i="3" s="1"/>
  <c r="C75" i="3" a="1"/>
  <c r="C75" i="3" s="1"/>
  <c r="BF74" i="3"/>
  <c r="BE74" i="3"/>
  <c r="BD74" i="3"/>
  <c r="BC74" i="3"/>
  <c r="BB74" i="3"/>
  <c r="BA74" i="3"/>
  <c r="AZ74" i="3"/>
  <c r="AY74" i="3"/>
  <c r="AX74" i="3"/>
  <c r="AW74" i="3"/>
  <c r="AV74" i="3"/>
  <c r="AU74" i="3"/>
  <c r="AK74" i="3"/>
  <c r="AH74" i="3"/>
  <c r="AG74" i="3" a="1"/>
  <c r="AG74" i="3" s="1"/>
  <c r="AE74" i="3" a="1"/>
  <c r="AE74" i="3"/>
  <c r="AC74" i="3" a="1"/>
  <c r="AC74" i="3" s="1"/>
  <c r="AA74" i="3" a="1"/>
  <c r="AA74" i="3"/>
  <c r="Y74" i="3" a="1"/>
  <c r="Y74" i="3" s="1"/>
  <c r="V74" i="3"/>
  <c r="R74" i="3" a="1"/>
  <c r="R74" i="3" s="1"/>
  <c r="P74" i="3" a="1"/>
  <c r="P74" i="3"/>
  <c r="N74" i="3" a="1"/>
  <c r="N74" i="3" s="1"/>
  <c r="L74" i="3" a="1"/>
  <c r="L74" i="3"/>
  <c r="I74" i="3"/>
  <c r="E74" i="3" a="1"/>
  <c r="E74" i="3" s="1"/>
  <c r="C74" i="3" a="1"/>
  <c r="C74" i="3" s="1"/>
  <c r="BF73" i="3"/>
  <c r="BE73" i="3"/>
  <c r="BD73" i="3"/>
  <c r="BC73" i="3"/>
  <c r="BB73" i="3"/>
  <c r="BA73" i="3"/>
  <c r="AZ73" i="3"/>
  <c r="AY73" i="3"/>
  <c r="AX73" i="3"/>
  <c r="AW73" i="3"/>
  <c r="AV73" i="3"/>
  <c r="AU73" i="3"/>
  <c r="AK73" i="3"/>
  <c r="AH73" i="3"/>
  <c r="AG73" i="3" a="1"/>
  <c r="AG73" i="3"/>
  <c r="AE73" i="3" a="1"/>
  <c r="AE73" i="3" s="1"/>
  <c r="AC73" i="3" a="1"/>
  <c r="AC73" i="3"/>
  <c r="AA73" i="3" a="1"/>
  <c r="AA73" i="3" s="1"/>
  <c r="Y73" i="3" a="1"/>
  <c r="Y73" i="3"/>
  <c r="V73" i="3"/>
  <c r="R73" i="3" a="1"/>
  <c r="R73" i="3"/>
  <c r="P73" i="3" a="1"/>
  <c r="P73" i="3" s="1"/>
  <c r="N73" i="3" a="1"/>
  <c r="N73" i="3"/>
  <c r="L73" i="3" a="1"/>
  <c r="L73" i="3" s="1"/>
  <c r="I73" i="3"/>
  <c r="E73" i="3" a="1"/>
  <c r="E73" i="3" s="1"/>
  <c r="C73" i="3" a="1"/>
  <c r="C73" i="3" s="1"/>
  <c r="BF72" i="3"/>
  <c r="BE72" i="3"/>
  <c r="BD72" i="3"/>
  <c r="BC72" i="3"/>
  <c r="BB72" i="3"/>
  <c r="BA72" i="3"/>
  <c r="AZ72" i="3"/>
  <c r="AY72" i="3"/>
  <c r="AX72" i="3"/>
  <c r="AW72" i="3"/>
  <c r="AV72" i="3"/>
  <c r="AU72" i="3"/>
  <c r="AK72" i="3"/>
  <c r="AH72" i="3"/>
  <c r="AG72" i="3" a="1"/>
  <c r="AG72" i="3" s="1"/>
  <c r="AE72" i="3" a="1"/>
  <c r="AE72" i="3"/>
  <c r="AC72" i="3" a="1"/>
  <c r="AC72" i="3" s="1"/>
  <c r="AA72" i="3" a="1"/>
  <c r="AA72" i="3"/>
  <c r="Y72" i="3" a="1"/>
  <c r="Y72" i="3" s="1"/>
  <c r="V72" i="3"/>
  <c r="R72" i="3" a="1"/>
  <c r="R72" i="3" s="1"/>
  <c r="P72" i="3" a="1"/>
  <c r="P72" i="3"/>
  <c r="N72" i="3" a="1"/>
  <c r="N72" i="3" s="1"/>
  <c r="L72" i="3" a="1"/>
  <c r="L72" i="3"/>
  <c r="I72" i="3"/>
  <c r="E72" i="3" a="1"/>
  <c r="E72" i="3" s="1"/>
  <c r="C72" i="3" a="1"/>
  <c r="C72" i="3" s="1"/>
  <c r="BF71" i="3"/>
  <c r="BE71" i="3"/>
  <c r="BD71" i="3"/>
  <c r="BC71" i="3"/>
  <c r="BB71" i="3"/>
  <c r="BA71" i="3"/>
  <c r="AZ71" i="3"/>
  <c r="AY71" i="3"/>
  <c r="AX71" i="3"/>
  <c r="AW71" i="3"/>
  <c r="AV71" i="3"/>
  <c r="AU71" i="3"/>
  <c r="AK71" i="3"/>
  <c r="AH71" i="3"/>
  <c r="AG71" i="3" a="1"/>
  <c r="AG71" i="3"/>
  <c r="AE71" i="3" a="1"/>
  <c r="AE71" i="3" s="1"/>
  <c r="AC71" i="3" a="1"/>
  <c r="AC71" i="3"/>
  <c r="AA71" i="3" a="1"/>
  <c r="AA71" i="3" s="1"/>
  <c r="Y71" i="3" a="1"/>
  <c r="Y71" i="3"/>
  <c r="V71" i="3"/>
  <c r="R71" i="3" a="1"/>
  <c r="R71" i="3"/>
  <c r="P71" i="3" a="1"/>
  <c r="P71" i="3" s="1"/>
  <c r="N71" i="3" a="1"/>
  <c r="N71" i="3"/>
  <c r="L71" i="3" a="1"/>
  <c r="L71" i="3" s="1"/>
  <c r="I71" i="3"/>
  <c r="E71" i="3" a="1"/>
  <c r="E71" i="3" s="1"/>
  <c r="C71" i="3" a="1"/>
  <c r="C71" i="3" s="1"/>
  <c r="BF70" i="3"/>
  <c r="BE70" i="3"/>
  <c r="BD70" i="3"/>
  <c r="BC70" i="3"/>
  <c r="BB70" i="3"/>
  <c r="BA70" i="3"/>
  <c r="AZ70" i="3"/>
  <c r="AY70" i="3"/>
  <c r="AX70" i="3"/>
  <c r="AW70" i="3"/>
  <c r="AV70" i="3"/>
  <c r="AU70" i="3"/>
  <c r="AK70" i="3"/>
  <c r="AH70" i="3"/>
  <c r="AG70" i="3" a="1"/>
  <c r="AG70" i="3" s="1"/>
  <c r="AE70" i="3" a="1"/>
  <c r="AE70" i="3"/>
  <c r="AC70" i="3" a="1"/>
  <c r="AC70" i="3" s="1"/>
  <c r="AA70" i="3" a="1"/>
  <c r="AA70" i="3"/>
  <c r="Y70" i="3" a="1"/>
  <c r="Y70" i="3" s="1"/>
  <c r="V70" i="3"/>
  <c r="R70" i="3" a="1"/>
  <c r="R70" i="3" s="1"/>
  <c r="P70" i="3" a="1"/>
  <c r="P70" i="3"/>
  <c r="N70" i="3" a="1"/>
  <c r="N70" i="3" s="1"/>
  <c r="L70" i="3" a="1"/>
  <c r="L70" i="3"/>
  <c r="I70" i="3"/>
  <c r="E70" i="3" a="1"/>
  <c r="E70" i="3" s="1"/>
  <c r="C70" i="3" a="1"/>
  <c r="C70" i="3" s="1"/>
  <c r="BF69" i="3"/>
  <c r="BE69" i="3"/>
  <c r="BD69" i="3"/>
  <c r="BC69" i="3"/>
  <c r="BB69" i="3"/>
  <c r="BA69" i="3"/>
  <c r="AZ69" i="3"/>
  <c r="AY69" i="3"/>
  <c r="AX69" i="3"/>
  <c r="AW69" i="3"/>
  <c r="AV69" i="3"/>
  <c r="AU69" i="3"/>
  <c r="AK69" i="3"/>
  <c r="AH69" i="3"/>
  <c r="AG69" i="3" a="1"/>
  <c r="AG69" i="3"/>
  <c r="AE69" i="3" a="1"/>
  <c r="AE69" i="3" s="1"/>
  <c r="AC69" i="3" a="1"/>
  <c r="AC69" i="3"/>
  <c r="AA69" i="3" a="1"/>
  <c r="AA69" i="3" s="1"/>
  <c r="Y69" i="3" a="1"/>
  <c r="Y69" i="3"/>
  <c r="V69" i="3"/>
  <c r="R69" i="3" a="1"/>
  <c r="R69" i="3"/>
  <c r="P69" i="3" a="1"/>
  <c r="P69" i="3" s="1"/>
  <c r="N69" i="3" a="1"/>
  <c r="N69" i="3"/>
  <c r="L69" i="3" a="1"/>
  <c r="L69" i="3" s="1"/>
  <c r="I69" i="3"/>
  <c r="E69" i="3" a="1"/>
  <c r="E69" i="3" s="1"/>
  <c r="C69" i="3" a="1"/>
  <c r="C69" i="3" s="1"/>
  <c r="BF68" i="3"/>
  <c r="BE68" i="3"/>
  <c r="BD68" i="3"/>
  <c r="BC68" i="3"/>
  <c r="BB68" i="3"/>
  <c r="BA68" i="3"/>
  <c r="AZ68" i="3"/>
  <c r="AY68" i="3"/>
  <c r="AX68" i="3"/>
  <c r="AW68" i="3"/>
  <c r="AV68" i="3"/>
  <c r="AU68" i="3"/>
  <c r="AK68" i="3"/>
  <c r="AH68" i="3"/>
  <c r="AG68" i="3" a="1"/>
  <c r="AG68" i="3" s="1"/>
  <c r="AE68" i="3" a="1"/>
  <c r="AE68" i="3"/>
  <c r="AC68" i="3" a="1"/>
  <c r="AC68" i="3" s="1"/>
  <c r="AA68" i="3" a="1"/>
  <c r="AA68" i="3"/>
  <c r="Y68" i="3" a="1"/>
  <c r="Y68" i="3" s="1"/>
  <c r="V68" i="3"/>
  <c r="R68" i="3" a="1"/>
  <c r="R68" i="3" s="1"/>
  <c r="P68" i="3" a="1"/>
  <c r="P68" i="3"/>
  <c r="N68" i="3" a="1"/>
  <c r="N68" i="3" s="1"/>
  <c r="L68" i="3" a="1"/>
  <c r="L68" i="3"/>
  <c r="I68" i="3"/>
  <c r="E68" i="3" a="1"/>
  <c r="E68" i="3" s="1"/>
  <c r="C68" i="3" a="1"/>
  <c r="C68" i="3" s="1"/>
  <c r="BF67" i="3"/>
  <c r="BE67" i="3"/>
  <c r="BD67" i="3"/>
  <c r="BC67" i="3"/>
  <c r="BB67" i="3"/>
  <c r="BA67" i="3"/>
  <c r="AZ67" i="3"/>
  <c r="AY67" i="3"/>
  <c r="AX67" i="3"/>
  <c r="AW67" i="3"/>
  <c r="AV67" i="3"/>
  <c r="AU67" i="3"/>
  <c r="AK67" i="3"/>
  <c r="AH67" i="3"/>
  <c r="AG67" i="3" a="1"/>
  <c r="AG67" i="3"/>
  <c r="AE67" i="3" a="1"/>
  <c r="AE67" i="3" s="1"/>
  <c r="AC67" i="3" a="1"/>
  <c r="AC67" i="3"/>
  <c r="AA67" i="3" a="1"/>
  <c r="AA67" i="3" s="1"/>
  <c r="Y67" i="3" a="1"/>
  <c r="Y67" i="3"/>
  <c r="V67" i="3"/>
  <c r="R67" i="3" a="1"/>
  <c r="R67" i="3"/>
  <c r="P67" i="3" a="1"/>
  <c r="P67" i="3" s="1"/>
  <c r="N67" i="3" a="1"/>
  <c r="N67" i="3"/>
  <c r="L67" i="3" a="1"/>
  <c r="L67" i="3" s="1"/>
  <c r="I67" i="3"/>
  <c r="E67" i="3" a="1"/>
  <c r="E67" i="3" s="1"/>
  <c r="C67" i="3" a="1"/>
  <c r="C67" i="3" s="1"/>
  <c r="BF66" i="3"/>
  <c r="BE66" i="3"/>
  <c r="BD66" i="3"/>
  <c r="BC66" i="3"/>
  <c r="BB66" i="3"/>
  <c r="BA66" i="3"/>
  <c r="AZ66" i="3"/>
  <c r="AY66" i="3"/>
  <c r="AX66" i="3"/>
  <c r="AW66" i="3"/>
  <c r="AV66" i="3"/>
  <c r="AU66" i="3"/>
  <c r="AK66" i="3"/>
  <c r="AH66" i="3"/>
  <c r="AG66" i="3" a="1"/>
  <c r="AG66" i="3" s="1"/>
  <c r="AE66" i="3" a="1"/>
  <c r="AE66" i="3"/>
  <c r="AC66" i="3" a="1"/>
  <c r="AC66" i="3" s="1"/>
  <c r="AA66" i="3" a="1"/>
  <c r="AA66" i="3"/>
  <c r="Y66" i="3" a="1"/>
  <c r="Y66" i="3" s="1"/>
  <c r="V66" i="3"/>
  <c r="R66" i="3" a="1"/>
  <c r="R66" i="3" s="1"/>
  <c r="P66" i="3" a="1"/>
  <c r="P66" i="3"/>
  <c r="N66" i="3" a="1"/>
  <c r="N66" i="3" s="1"/>
  <c r="L66" i="3" a="1"/>
  <c r="L66" i="3"/>
  <c r="I66" i="3"/>
  <c r="E66" i="3" a="1"/>
  <c r="E66" i="3" s="1"/>
  <c r="C66" i="3" a="1"/>
  <c r="C66" i="3" s="1"/>
  <c r="BF65" i="3"/>
  <c r="BE65" i="3"/>
  <c r="BD65" i="3"/>
  <c r="BC65" i="3"/>
  <c r="BB65" i="3"/>
  <c r="BA65" i="3"/>
  <c r="AZ65" i="3"/>
  <c r="AY65" i="3"/>
  <c r="AX65" i="3"/>
  <c r="AW65" i="3"/>
  <c r="AV65" i="3"/>
  <c r="AU65" i="3"/>
  <c r="AK65" i="3"/>
  <c r="AH65" i="3"/>
  <c r="AG65" i="3" a="1"/>
  <c r="AG65" i="3"/>
  <c r="AE65" i="3" a="1"/>
  <c r="AE65" i="3" s="1"/>
  <c r="AC65" i="3" a="1"/>
  <c r="AC65" i="3"/>
  <c r="AA65" i="3" a="1"/>
  <c r="AA65" i="3" s="1"/>
  <c r="Y65" i="3" a="1"/>
  <c r="Y65" i="3"/>
  <c r="V65" i="3"/>
  <c r="R65" i="3" a="1"/>
  <c r="R65" i="3"/>
  <c r="P65" i="3" a="1"/>
  <c r="P65" i="3" s="1"/>
  <c r="N65" i="3" a="1"/>
  <c r="N65" i="3"/>
  <c r="L65" i="3" a="1"/>
  <c r="L65" i="3" s="1"/>
  <c r="I65" i="3"/>
  <c r="E65" i="3" a="1"/>
  <c r="E65" i="3" s="1"/>
  <c r="C65" i="3" a="1"/>
  <c r="C65" i="3" s="1"/>
  <c r="BF64" i="3"/>
  <c r="BE64" i="3"/>
  <c r="BD64" i="3"/>
  <c r="BC64" i="3"/>
  <c r="BB64" i="3"/>
  <c r="BA64" i="3"/>
  <c r="AZ64" i="3"/>
  <c r="AY64" i="3"/>
  <c r="AX64" i="3"/>
  <c r="AW64" i="3"/>
  <c r="AV64" i="3"/>
  <c r="AU64" i="3"/>
  <c r="AK64" i="3"/>
  <c r="AH64" i="3"/>
  <c r="AG64" i="3" a="1"/>
  <c r="AG64" i="3" s="1"/>
  <c r="AE64" i="3" a="1"/>
  <c r="AE64" i="3"/>
  <c r="AC64" i="3" a="1"/>
  <c r="AC64" i="3" s="1"/>
  <c r="AA64" i="3" a="1"/>
  <c r="AA64" i="3"/>
  <c r="Y64" i="3" a="1"/>
  <c r="Y64" i="3" s="1"/>
  <c r="V64" i="3"/>
  <c r="R64" i="3" a="1"/>
  <c r="R64" i="3" s="1"/>
  <c r="P64" i="3" a="1"/>
  <c r="P64" i="3"/>
  <c r="N64" i="3" a="1"/>
  <c r="N64" i="3" s="1"/>
  <c r="L64" i="3" a="1"/>
  <c r="L64" i="3"/>
  <c r="I64" i="3"/>
  <c r="E64" i="3" a="1"/>
  <c r="E64" i="3" s="1"/>
  <c r="C64" i="3" a="1"/>
  <c r="C64" i="3" s="1"/>
  <c r="BF63" i="3"/>
  <c r="BE63" i="3"/>
  <c r="BD63" i="3"/>
  <c r="BC63" i="3"/>
  <c r="BB63" i="3"/>
  <c r="BA63" i="3"/>
  <c r="AZ63" i="3"/>
  <c r="AY63" i="3"/>
  <c r="AX63" i="3"/>
  <c r="AW63" i="3"/>
  <c r="AV63" i="3"/>
  <c r="AU63" i="3"/>
  <c r="AK63" i="3"/>
  <c r="AH63" i="3"/>
  <c r="AG63" i="3" a="1"/>
  <c r="AG63" i="3"/>
  <c r="AE63" i="3" a="1"/>
  <c r="AE63" i="3" s="1"/>
  <c r="AC63" i="3" a="1"/>
  <c r="AC63" i="3"/>
  <c r="AA63" i="3" a="1"/>
  <c r="AA63" i="3" s="1"/>
  <c r="Y63" i="3" a="1"/>
  <c r="Y63" i="3"/>
  <c r="V63" i="3"/>
  <c r="R63" i="3" a="1"/>
  <c r="R63" i="3"/>
  <c r="P63" i="3" a="1"/>
  <c r="P63" i="3" s="1"/>
  <c r="N63" i="3" a="1"/>
  <c r="N63" i="3"/>
  <c r="L63" i="3" a="1"/>
  <c r="L63" i="3" s="1"/>
  <c r="I63" i="3"/>
  <c r="E63" i="3" a="1"/>
  <c r="E63" i="3" s="1"/>
  <c r="C63" i="3" a="1"/>
  <c r="C63" i="3" s="1"/>
  <c r="BF62" i="3"/>
  <c r="BE62" i="3"/>
  <c r="BD62" i="3"/>
  <c r="BC62" i="3"/>
  <c r="BB62" i="3"/>
  <c r="BA62" i="3"/>
  <c r="AZ62" i="3"/>
  <c r="AY62" i="3"/>
  <c r="AX62" i="3"/>
  <c r="AW62" i="3"/>
  <c r="AV62" i="3"/>
  <c r="AU62" i="3"/>
  <c r="AK62" i="3"/>
  <c r="AH62" i="3"/>
  <c r="AG62" i="3" a="1"/>
  <c r="AG62" i="3" s="1"/>
  <c r="AE62" i="3" a="1"/>
  <c r="AE62" i="3"/>
  <c r="AC62" i="3" a="1"/>
  <c r="AC62" i="3" s="1"/>
  <c r="AA62" i="3" a="1"/>
  <c r="AA62" i="3"/>
  <c r="Y62" i="3" a="1"/>
  <c r="Y62" i="3" s="1"/>
  <c r="V62" i="3"/>
  <c r="R62" i="3" a="1"/>
  <c r="R62" i="3" s="1"/>
  <c r="P62" i="3" a="1"/>
  <c r="P62" i="3"/>
  <c r="N62" i="3" a="1"/>
  <c r="N62" i="3" s="1"/>
  <c r="L62" i="3" a="1"/>
  <c r="L62" i="3"/>
  <c r="I62" i="3"/>
  <c r="E62" i="3" a="1"/>
  <c r="E62" i="3" s="1"/>
  <c r="C62" i="3" a="1"/>
  <c r="C62" i="3" s="1"/>
  <c r="BF61" i="3"/>
  <c r="BE61" i="3"/>
  <c r="BD61" i="3"/>
  <c r="BC61" i="3"/>
  <c r="BB61" i="3"/>
  <c r="BA61" i="3"/>
  <c r="AZ61" i="3"/>
  <c r="AY61" i="3"/>
  <c r="AX61" i="3"/>
  <c r="AW61" i="3"/>
  <c r="AV61" i="3"/>
  <c r="AU61" i="3"/>
  <c r="AK61" i="3"/>
  <c r="AH61" i="3"/>
  <c r="AG61" i="3" a="1"/>
  <c r="AG61" i="3"/>
  <c r="AE61" i="3" a="1"/>
  <c r="AE61" i="3" s="1"/>
  <c r="AC61" i="3" a="1"/>
  <c r="AC61" i="3"/>
  <c r="AA61" i="3" a="1"/>
  <c r="AA61" i="3" s="1"/>
  <c r="Y61" i="3" a="1"/>
  <c r="Y61" i="3"/>
  <c r="V61" i="3"/>
  <c r="R61" i="3" a="1"/>
  <c r="R61" i="3"/>
  <c r="P61" i="3" a="1"/>
  <c r="P61" i="3" s="1"/>
  <c r="N61" i="3" a="1"/>
  <c r="N61" i="3"/>
  <c r="L61" i="3" a="1"/>
  <c r="L61" i="3" s="1"/>
  <c r="I61" i="3"/>
  <c r="E61" i="3" a="1"/>
  <c r="E61" i="3" s="1"/>
  <c r="C61" i="3" a="1"/>
  <c r="C61" i="3" s="1"/>
  <c r="BF60" i="3"/>
  <c r="BE60" i="3"/>
  <c r="BD60" i="3"/>
  <c r="BC60" i="3"/>
  <c r="BB60" i="3"/>
  <c r="BA60" i="3"/>
  <c r="AZ60" i="3"/>
  <c r="AY60" i="3"/>
  <c r="AX60" i="3"/>
  <c r="AW60" i="3"/>
  <c r="AV60" i="3"/>
  <c r="AU60" i="3"/>
  <c r="AK60" i="3"/>
  <c r="AH60" i="3"/>
  <c r="AG60" i="3" a="1"/>
  <c r="AG60" i="3" s="1"/>
  <c r="AE60" i="3" a="1"/>
  <c r="AE60" i="3"/>
  <c r="AC60" i="3" a="1"/>
  <c r="AC60" i="3" s="1"/>
  <c r="AA60" i="3" a="1"/>
  <c r="AA60" i="3"/>
  <c r="Y60" i="3" a="1"/>
  <c r="Y60" i="3" s="1"/>
  <c r="V60" i="3"/>
  <c r="R60" i="3" a="1"/>
  <c r="R60" i="3" s="1"/>
  <c r="P60" i="3" a="1"/>
  <c r="P60" i="3"/>
  <c r="N60" i="3" a="1"/>
  <c r="N60" i="3" s="1"/>
  <c r="L60" i="3" a="1"/>
  <c r="L60" i="3"/>
  <c r="I60" i="3"/>
  <c r="E60" i="3" a="1"/>
  <c r="E60" i="3" s="1"/>
  <c r="C60" i="3" a="1"/>
  <c r="C60" i="3" s="1"/>
  <c r="BF59" i="3"/>
  <c r="BE59" i="3"/>
  <c r="BD59" i="3"/>
  <c r="BC59" i="3"/>
  <c r="BB59" i="3"/>
  <c r="BA59" i="3"/>
  <c r="AZ59" i="3"/>
  <c r="AY59" i="3"/>
  <c r="AX59" i="3"/>
  <c r="AW59" i="3"/>
  <c r="AV59" i="3"/>
  <c r="AU59" i="3"/>
  <c r="AK59" i="3"/>
  <c r="AH59" i="3"/>
  <c r="AG59" i="3" a="1"/>
  <c r="AG59" i="3"/>
  <c r="AE59" i="3" a="1"/>
  <c r="AE59" i="3" s="1"/>
  <c r="AC59" i="3" a="1"/>
  <c r="AC59" i="3"/>
  <c r="AA59" i="3" a="1"/>
  <c r="AA59" i="3" s="1"/>
  <c r="Y59" i="3" a="1"/>
  <c r="Y59" i="3"/>
  <c r="V59" i="3"/>
  <c r="R59" i="3" a="1"/>
  <c r="R59" i="3"/>
  <c r="P59" i="3" a="1"/>
  <c r="P59" i="3" s="1"/>
  <c r="N59" i="3" a="1"/>
  <c r="N59" i="3"/>
  <c r="L59" i="3" a="1"/>
  <c r="L59" i="3" s="1"/>
  <c r="I59" i="3"/>
  <c r="E59" i="3" a="1"/>
  <c r="E59" i="3" s="1"/>
  <c r="C59" i="3" a="1"/>
  <c r="C59" i="3" s="1"/>
  <c r="BF58" i="3"/>
  <c r="BE58" i="3"/>
  <c r="BD58" i="3"/>
  <c r="BC58" i="3"/>
  <c r="BB58" i="3"/>
  <c r="BA58" i="3"/>
  <c r="AZ58" i="3"/>
  <c r="AY58" i="3"/>
  <c r="AX58" i="3"/>
  <c r="AW58" i="3"/>
  <c r="AV58" i="3"/>
  <c r="AU58" i="3"/>
  <c r="AK58" i="3"/>
  <c r="AH58" i="3"/>
  <c r="AG58" i="3" a="1"/>
  <c r="AG58" i="3" s="1"/>
  <c r="AE58" i="3" a="1"/>
  <c r="AE58" i="3"/>
  <c r="AC58" i="3" a="1"/>
  <c r="AC58" i="3" s="1"/>
  <c r="AA58" i="3" a="1"/>
  <c r="AA58" i="3"/>
  <c r="Y58" i="3" a="1"/>
  <c r="Y58" i="3" s="1"/>
  <c r="V58" i="3"/>
  <c r="R58" i="3" a="1"/>
  <c r="R58" i="3" s="1"/>
  <c r="P58" i="3" a="1"/>
  <c r="P58" i="3"/>
  <c r="N58" i="3" a="1"/>
  <c r="N58" i="3" s="1"/>
  <c r="L58" i="3" a="1"/>
  <c r="L58" i="3"/>
  <c r="I58" i="3"/>
  <c r="E58" i="3" a="1"/>
  <c r="E58" i="3" s="1"/>
  <c r="C58" i="3" a="1"/>
  <c r="C58" i="3" s="1"/>
  <c r="BF57" i="3"/>
  <c r="BE57" i="3"/>
  <c r="BD57" i="3"/>
  <c r="BC57" i="3"/>
  <c r="BB57" i="3"/>
  <c r="BA57" i="3"/>
  <c r="AZ57" i="3"/>
  <c r="AY57" i="3"/>
  <c r="AX57" i="3"/>
  <c r="AW57" i="3"/>
  <c r="AV57" i="3"/>
  <c r="AU57" i="3"/>
  <c r="AK57" i="3"/>
  <c r="AH57" i="3"/>
  <c r="AG57" i="3" a="1"/>
  <c r="AG57" i="3"/>
  <c r="AE57" i="3" a="1"/>
  <c r="AE57" i="3" s="1"/>
  <c r="AC57" i="3" a="1"/>
  <c r="AC57" i="3"/>
  <c r="AA57" i="3" a="1"/>
  <c r="AA57" i="3" s="1"/>
  <c r="Y57" i="3" a="1"/>
  <c r="Y57" i="3"/>
  <c r="V57" i="3"/>
  <c r="R57" i="3" a="1"/>
  <c r="R57" i="3"/>
  <c r="P57" i="3" a="1"/>
  <c r="P57" i="3" s="1"/>
  <c r="N57" i="3" a="1"/>
  <c r="N57" i="3"/>
  <c r="L57" i="3" a="1"/>
  <c r="L57" i="3" s="1"/>
  <c r="I57" i="3"/>
  <c r="E57" i="3" a="1"/>
  <c r="E57" i="3" s="1"/>
  <c r="C57" i="3" a="1"/>
  <c r="C57" i="3" s="1"/>
  <c r="BF56" i="3"/>
  <c r="BE56" i="3"/>
  <c r="BD56" i="3"/>
  <c r="BC56" i="3"/>
  <c r="BB56" i="3"/>
  <c r="BA56" i="3"/>
  <c r="AZ56" i="3"/>
  <c r="AY56" i="3"/>
  <c r="AX56" i="3"/>
  <c r="AW56" i="3"/>
  <c r="AV56" i="3"/>
  <c r="AU56" i="3"/>
  <c r="AK56" i="3"/>
  <c r="AH56" i="3"/>
  <c r="AG56" i="3" a="1"/>
  <c r="AG56" i="3" s="1"/>
  <c r="AE56" i="3" a="1"/>
  <c r="AE56" i="3"/>
  <c r="AC56" i="3" a="1"/>
  <c r="AC56" i="3" s="1"/>
  <c r="AA56" i="3" a="1"/>
  <c r="AA56" i="3"/>
  <c r="Y56" i="3" a="1"/>
  <c r="Y56" i="3" s="1"/>
  <c r="V56" i="3"/>
  <c r="R56" i="3" a="1"/>
  <c r="R56" i="3" s="1"/>
  <c r="P56" i="3" a="1"/>
  <c r="P56" i="3"/>
  <c r="N56" i="3" a="1"/>
  <c r="N56" i="3" s="1"/>
  <c r="L56" i="3" a="1"/>
  <c r="L56" i="3"/>
  <c r="I56" i="3"/>
  <c r="E56" i="3" a="1"/>
  <c r="E56" i="3" s="1"/>
  <c r="C56" i="3" a="1"/>
  <c r="C56" i="3" s="1"/>
  <c r="BF55" i="3"/>
  <c r="BE55" i="3"/>
  <c r="BD55" i="3"/>
  <c r="BC55" i="3"/>
  <c r="BB55" i="3"/>
  <c r="BA55" i="3"/>
  <c r="AZ55" i="3"/>
  <c r="AY55" i="3"/>
  <c r="AX55" i="3"/>
  <c r="AW55" i="3"/>
  <c r="AV55" i="3"/>
  <c r="AU55" i="3"/>
  <c r="AK55" i="3"/>
  <c r="AH55" i="3"/>
  <c r="AG55" i="3" a="1"/>
  <c r="AG55" i="3"/>
  <c r="AE55" i="3" a="1"/>
  <c r="AE55" i="3" s="1"/>
  <c r="AC55" i="3" a="1"/>
  <c r="AC55" i="3"/>
  <c r="AA55" i="3" a="1"/>
  <c r="AA55" i="3" s="1"/>
  <c r="Y55" i="3" a="1"/>
  <c r="Y55" i="3"/>
  <c r="V55" i="3"/>
  <c r="R55" i="3" a="1"/>
  <c r="R55" i="3"/>
  <c r="P55" i="3" a="1"/>
  <c r="P55" i="3" s="1"/>
  <c r="N55" i="3" a="1"/>
  <c r="N55" i="3"/>
  <c r="L55" i="3" a="1"/>
  <c r="L55" i="3" s="1"/>
  <c r="I55" i="3"/>
  <c r="E55" i="3" a="1"/>
  <c r="E55" i="3" s="1"/>
  <c r="C55" i="3" a="1"/>
  <c r="C55" i="3" s="1"/>
  <c r="BF54" i="3"/>
  <c r="BE54" i="3"/>
  <c r="BD54" i="3"/>
  <c r="BC54" i="3"/>
  <c r="BB54" i="3"/>
  <c r="BA54" i="3"/>
  <c r="AZ54" i="3"/>
  <c r="AY54" i="3"/>
  <c r="AX54" i="3"/>
  <c r="AW54" i="3"/>
  <c r="AV54" i="3"/>
  <c r="AU54" i="3"/>
  <c r="AK54" i="3"/>
  <c r="AH54" i="3"/>
  <c r="AG54" i="3" a="1"/>
  <c r="AG54" i="3" s="1"/>
  <c r="AE54" i="3" a="1"/>
  <c r="AE54" i="3"/>
  <c r="AC54" i="3" a="1"/>
  <c r="AC54" i="3" s="1"/>
  <c r="AA54" i="3" a="1"/>
  <c r="AA54" i="3"/>
  <c r="Y54" i="3" a="1"/>
  <c r="Y54" i="3" s="1"/>
  <c r="V54" i="3"/>
  <c r="R54" i="3" a="1"/>
  <c r="R54" i="3" s="1"/>
  <c r="P54" i="3" a="1"/>
  <c r="P54" i="3"/>
  <c r="N54" i="3" a="1"/>
  <c r="N54" i="3" s="1"/>
  <c r="L54" i="3" a="1"/>
  <c r="L54" i="3"/>
  <c r="I54" i="3"/>
  <c r="E54" i="3" a="1"/>
  <c r="E54" i="3" s="1"/>
  <c r="C54" i="3" a="1"/>
  <c r="C54" i="3" s="1"/>
  <c r="BF53" i="3"/>
  <c r="BE53" i="3"/>
  <c r="BD53" i="3"/>
  <c r="BC53" i="3"/>
  <c r="BB53" i="3"/>
  <c r="BA53" i="3"/>
  <c r="AZ53" i="3"/>
  <c r="AY53" i="3"/>
  <c r="AX53" i="3"/>
  <c r="AW53" i="3"/>
  <c r="AV53" i="3"/>
  <c r="AU53" i="3"/>
  <c r="AK53" i="3"/>
  <c r="AH53" i="3"/>
  <c r="AG53" i="3" a="1"/>
  <c r="AG53" i="3"/>
  <c r="AE53" i="3" a="1"/>
  <c r="AE53" i="3" s="1"/>
  <c r="AC53" i="3" a="1"/>
  <c r="AC53" i="3"/>
  <c r="AA53" i="3" a="1"/>
  <c r="AA53" i="3" s="1"/>
  <c r="Y53" i="3" a="1"/>
  <c r="Y53" i="3"/>
  <c r="V53" i="3"/>
  <c r="R53" i="3" a="1"/>
  <c r="R53" i="3"/>
  <c r="P53" i="3" a="1"/>
  <c r="P53" i="3" s="1"/>
  <c r="N53" i="3" a="1"/>
  <c r="N53" i="3"/>
  <c r="L53" i="3" a="1"/>
  <c r="L53" i="3" s="1"/>
  <c r="I53" i="3"/>
  <c r="E53" i="3" a="1"/>
  <c r="E53" i="3" s="1"/>
  <c r="C53" i="3" a="1"/>
  <c r="C53" i="3" s="1"/>
  <c r="BF52" i="3"/>
  <c r="BE52" i="3"/>
  <c r="BD52" i="3"/>
  <c r="BC52" i="3"/>
  <c r="BB52" i="3"/>
  <c r="BA52" i="3"/>
  <c r="AZ52" i="3"/>
  <c r="AY52" i="3"/>
  <c r="AX52" i="3"/>
  <c r="AW52" i="3"/>
  <c r="AV52" i="3"/>
  <c r="AU52" i="3"/>
  <c r="AK52" i="3"/>
  <c r="AH52" i="3"/>
  <c r="AG52" i="3" a="1"/>
  <c r="AG52" i="3" s="1"/>
  <c r="AE52" i="3" a="1"/>
  <c r="AE52" i="3"/>
  <c r="AC52" i="3" a="1"/>
  <c r="AC52" i="3" s="1"/>
  <c r="AA52" i="3" a="1"/>
  <c r="AA52" i="3"/>
  <c r="Y52" i="3" a="1"/>
  <c r="Y52" i="3" s="1"/>
  <c r="V52" i="3"/>
  <c r="R52" i="3" a="1"/>
  <c r="R52" i="3" s="1"/>
  <c r="P52" i="3" a="1"/>
  <c r="P52" i="3"/>
  <c r="N52" i="3" a="1"/>
  <c r="N52" i="3" s="1"/>
  <c r="L52" i="3" a="1"/>
  <c r="L52" i="3"/>
  <c r="I52" i="3"/>
  <c r="E52" i="3" a="1"/>
  <c r="E52" i="3" s="1"/>
  <c r="C52" i="3" a="1"/>
  <c r="C52" i="3" s="1"/>
  <c r="BF51" i="3"/>
  <c r="BE51" i="3"/>
  <c r="BD51" i="3"/>
  <c r="BC51" i="3"/>
  <c r="BB51" i="3"/>
  <c r="BA51" i="3"/>
  <c r="AZ51" i="3"/>
  <c r="AY51" i="3"/>
  <c r="AX51" i="3"/>
  <c r="AW51" i="3"/>
  <c r="AV51" i="3"/>
  <c r="AU51" i="3"/>
  <c r="AK51" i="3"/>
  <c r="AH51" i="3"/>
  <c r="AG51" i="3" a="1"/>
  <c r="AG51" i="3"/>
  <c r="AE51" i="3" a="1"/>
  <c r="AE51" i="3" s="1"/>
  <c r="AC51" i="3" a="1"/>
  <c r="AC51" i="3"/>
  <c r="AA51" i="3" a="1"/>
  <c r="AA51" i="3" s="1"/>
  <c r="Y51" i="3" a="1"/>
  <c r="Y51" i="3"/>
  <c r="V51" i="3"/>
  <c r="R51" i="3" a="1"/>
  <c r="R51" i="3"/>
  <c r="P51" i="3" a="1"/>
  <c r="P51" i="3" s="1"/>
  <c r="N51" i="3" a="1"/>
  <c r="N51" i="3"/>
  <c r="L51" i="3" a="1"/>
  <c r="L51" i="3" s="1"/>
  <c r="I51" i="3"/>
  <c r="E51" i="3" a="1"/>
  <c r="E51" i="3" s="1"/>
  <c r="C51" i="3" a="1"/>
  <c r="C51" i="3" s="1"/>
  <c r="BF50" i="3"/>
  <c r="BE50" i="3"/>
  <c r="BD50" i="3"/>
  <c r="BC50" i="3"/>
  <c r="BB50" i="3"/>
  <c r="BA50" i="3"/>
  <c r="AZ50" i="3"/>
  <c r="AY50" i="3"/>
  <c r="AX50" i="3"/>
  <c r="AW50" i="3"/>
  <c r="AV50" i="3"/>
  <c r="AU50" i="3"/>
  <c r="AK50" i="3"/>
  <c r="AH50" i="3"/>
  <c r="AG50" i="3" a="1"/>
  <c r="AG50" i="3" s="1"/>
  <c r="AE50" i="3" a="1"/>
  <c r="AE50" i="3"/>
  <c r="AC50" i="3" a="1"/>
  <c r="AC50" i="3" s="1"/>
  <c r="AA50" i="3" a="1"/>
  <c r="AA50" i="3"/>
  <c r="Y50" i="3" a="1"/>
  <c r="Y50" i="3" s="1"/>
  <c r="V50" i="3"/>
  <c r="R50" i="3" a="1"/>
  <c r="R50" i="3" s="1"/>
  <c r="P50" i="3" a="1"/>
  <c r="P50" i="3"/>
  <c r="N50" i="3" a="1"/>
  <c r="N50" i="3" s="1"/>
  <c r="L50" i="3" a="1"/>
  <c r="L50" i="3"/>
  <c r="I50" i="3"/>
  <c r="E50" i="3" a="1"/>
  <c r="E50" i="3" s="1"/>
  <c r="C50" i="3" a="1"/>
  <c r="C50" i="3" s="1"/>
  <c r="BF49" i="3"/>
  <c r="BE49" i="3"/>
  <c r="BD49" i="3"/>
  <c r="BC49" i="3"/>
  <c r="BB49" i="3"/>
  <c r="BA49" i="3"/>
  <c r="AZ49" i="3"/>
  <c r="AY49" i="3"/>
  <c r="AX49" i="3"/>
  <c r="AW49" i="3"/>
  <c r="AV49" i="3"/>
  <c r="AU49" i="3"/>
  <c r="AK49" i="3"/>
  <c r="AH49" i="3"/>
  <c r="AG49" i="3" a="1"/>
  <c r="AG49" i="3"/>
  <c r="AE49" i="3" a="1"/>
  <c r="AE49" i="3" s="1"/>
  <c r="AC49" i="3" a="1"/>
  <c r="AC49" i="3"/>
  <c r="AA49" i="3" a="1"/>
  <c r="AA49" i="3" s="1"/>
  <c r="Y49" i="3" a="1"/>
  <c r="Y49" i="3"/>
  <c r="V49" i="3"/>
  <c r="R49" i="3" a="1"/>
  <c r="R49" i="3"/>
  <c r="P49" i="3" a="1"/>
  <c r="P49" i="3" s="1"/>
  <c r="N49" i="3" a="1"/>
  <c r="N49" i="3"/>
  <c r="L49" i="3" a="1"/>
  <c r="L49" i="3" s="1"/>
  <c r="I49" i="3"/>
  <c r="E49" i="3" a="1"/>
  <c r="E49" i="3" s="1"/>
  <c r="C49" i="3" a="1"/>
  <c r="C49" i="3" s="1"/>
  <c r="BF48" i="3"/>
  <c r="BE48" i="3"/>
  <c r="BD48" i="3"/>
  <c r="BC48" i="3"/>
  <c r="BB48" i="3"/>
  <c r="BA48" i="3"/>
  <c r="AZ48" i="3"/>
  <c r="AY48" i="3"/>
  <c r="AX48" i="3"/>
  <c r="AW48" i="3"/>
  <c r="AV48" i="3"/>
  <c r="AU48" i="3"/>
  <c r="AK48" i="3"/>
  <c r="AH48" i="3"/>
  <c r="AG48" i="3" a="1"/>
  <c r="AG48" i="3" s="1"/>
  <c r="AE48" i="3" a="1"/>
  <c r="AE48" i="3"/>
  <c r="AC48" i="3" a="1"/>
  <c r="AC48" i="3" s="1"/>
  <c r="AA48" i="3" a="1"/>
  <c r="AA48" i="3"/>
  <c r="Y48" i="3" a="1"/>
  <c r="Y48" i="3" s="1"/>
  <c r="V48" i="3"/>
  <c r="R48" i="3" a="1"/>
  <c r="R48" i="3" s="1"/>
  <c r="P48" i="3" a="1"/>
  <c r="P48" i="3"/>
  <c r="N48" i="3" a="1"/>
  <c r="N48" i="3" s="1"/>
  <c r="L48" i="3" a="1"/>
  <c r="L48" i="3"/>
  <c r="I48" i="3"/>
  <c r="E48" i="3" a="1"/>
  <c r="E48" i="3" s="1"/>
  <c r="C48" i="3" a="1"/>
  <c r="C48" i="3" s="1"/>
  <c r="BF47" i="3"/>
  <c r="BE47" i="3"/>
  <c r="BD47" i="3"/>
  <c r="BC47" i="3"/>
  <c r="BB47" i="3"/>
  <c r="BA47" i="3"/>
  <c r="AZ47" i="3"/>
  <c r="AY47" i="3"/>
  <c r="AX47" i="3"/>
  <c r="AW47" i="3"/>
  <c r="AV47" i="3"/>
  <c r="AU47" i="3"/>
  <c r="AK47" i="3"/>
  <c r="AH47" i="3"/>
  <c r="AG47" i="3" a="1"/>
  <c r="AG47" i="3"/>
  <c r="AE47" i="3" a="1"/>
  <c r="AE47" i="3" s="1"/>
  <c r="AC47" i="3" a="1"/>
  <c r="AC47" i="3"/>
  <c r="AA47" i="3" a="1"/>
  <c r="AA47" i="3" s="1"/>
  <c r="Y47" i="3" a="1"/>
  <c r="Y47" i="3"/>
  <c r="V47" i="3"/>
  <c r="R47" i="3" a="1"/>
  <c r="R47" i="3"/>
  <c r="P47" i="3" a="1"/>
  <c r="P47" i="3" s="1"/>
  <c r="N47" i="3" a="1"/>
  <c r="N47" i="3"/>
  <c r="L47" i="3" a="1"/>
  <c r="L47" i="3" s="1"/>
  <c r="I47" i="3"/>
  <c r="E47" i="3" a="1"/>
  <c r="E47" i="3" s="1"/>
  <c r="C47" i="3" a="1"/>
  <c r="C47" i="3" s="1"/>
  <c r="BF46" i="3"/>
  <c r="BE46" i="3"/>
  <c r="BD46" i="3"/>
  <c r="BC46" i="3"/>
  <c r="BB46" i="3"/>
  <c r="BA46" i="3"/>
  <c r="AZ46" i="3"/>
  <c r="AY46" i="3"/>
  <c r="AX46" i="3"/>
  <c r="AW46" i="3"/>
  <c r="AV46" i="3"/>
  <c r="AU46" i="3"/>
  <c r="AK46" i="3"/>
  <c r="AH46" i="3"/>
  <c r="AG46" i="3" a="1"/>
  <c r="AG46" i="3" s="1"/>
  <c r="AE46" i="3" a="1"/>
  <c r="AE46" i="3"/>
  <c r="AC46" i="3" a="1"/>
  <c r="AC46" i="3" s="1"/>
  <c r="AA46" i="3" a="1"/>
  <c r="AA46" i="3"/>
  <c r="Y46" i="3" a="1"/>
  <c r="Y46" i="3" s="1"/>
  <c r="V46" i="3"/>
  <c r="R46" i="3" a="1"/>
  <c r="R46" i="3" s="1"/>
  <c r="P46" i="3" a="1"/>
  <c r="P46" i="3"/>
  <c r="N46" i="3" a="1"/>
  <c r="N46" i="3" s="1"/>
  <c r="L46" i="3" a="1"/>
  <c r="L46" i="3"/>
  <c r="I46" i="3"/>
  <c r="E46" i="3" a="1"/>
  <c r="E46" i="3" s="1"/>
  <c r="C46" i="3" a="1"/>
  <c r="C46" i="3" s="1"/>
  <c r="BF45" i="3"/>
  <c r="BE45" i="3"/>
  <c r="BD45" i="3"/>
  <c r="BC45" i="3"/>
  <c r="BB45" i="3"/>
  <c r="BA45" i="3"/>
  <c r="AZ45" i="3"/>
  <c r="AY45" i="3"/>
  <c r="AX45" i="3"/>
  <c r="AW45" i="3"/>
  <c r="AV45" i="3"/>
  <c r="AU45" i="3"/>
  <c r="AK45" i="3"/>
  <c r="AH45" i="3"/>
  <c r="AG45" i="3" a="1"/>
  <c r="AG45" i="3"/>
  <c r="AE45" i="3" a="1"/>
  <c r="AE45" i="3" s="1"/>
  <c r="AC45" i="3" a="1"/>
  <c r="AC45" i="3"/>
  <c r="AA45" i="3" a="1"/>
  <c r="AA45" i="3" s="1"/>
  <c r="Y45" i="3" a="1"/>
  <c r="Y45" i="3"/>
  <c r="V45" i="3"/>
  <c r="R45" i="3" a="1"/>
  <c r="R45" i="3"/>
  <c r="P45" i="3" a="1"/>
  <c r="P45" i="3"/>
  <c r="N45" i="3" a="1"/>
  <c r="N45" i="3"/>
  <c r="L45" i="3" a="1"/>
  <c r="L45" i="3"/>
  <c r="I45" i="3"/>
  <c r="E45" i="3" a="1"/>
  <c r="E45" i="3" s="1"/>
  <c r="C45" i="3" a="1"/>
  <c r="C45" i="3" s="1"/>
  <c r="BF44" i="3"/>
  <c r="BE44" i="3"/>
  <c r="BD44" i="3"/>
  <c r="BC44" i="3"/>
  <c r="BB44" i="3"/>
  <c r="BA44" i="3"/>
  <c r="AZ44" i="3"/>
  <c r="AY44" i="3"/>
  <c r="AX44" i="3"/>
  <c r="AW44" i="3"/>
  <c r="AV44" i="3"/>
  <c r="AU44" i="3"/>
  <c r="AK44" i="3"/>
  <c r="AH44" i="3"/>
  <c r="AG44" i="3" a="1"/>
  <c r="AG44" i="3" s="1"/>
  <c r="AE44" i="3" a="1"/>
  <c r="AE44" i="3"/>
  <c r="AC44" i="3" a="1"/>
  <c r="AC44" i="3" s="1"/>
  <c r="AA44" i="3" a="1"/>
  <c r="AA44" i="3"/>
  <c r="Y44" i="3" a="1"/>
  <c r="Y44" i="3" s="1"/>
  <c r="V44" i="3"/>
  <c r="R44" i="3" a="1"/>
  <c r="R44" i="3"/>
  <c r="P44" i="3" a="1"/>
  <c r="P44" i="3"/>
  <c r="N44" i="3" a="1"/>
  <c r="N44" i="3"/>
  <c r="L44" i="3" a="1"/>
  <c r="L44" i="3"/>
  <c r="I44" i="3"/>
  <c r="E44" i="3" a="1"/>
  <c r="E44" i="3" s="1"/>
  <c r="C44" i="3" a="1"/>
  <c r="C44" i="3" s="1"/>
  <c r="BF43" i="3"/>
  <c r="BE43" i="3"/>
  <c r="BD43" i="3"/>
  <c r="BC43" i="3"/>
  <c r="BB43" i="3"/>
  <c r="BA43" i="3"/>
  <c r="AZ43" i="3"/>
  <c r="AY43" i="3"/>
  <c r="AX43" i="3"/>
  <c r="AW43" i="3"/>
  <c r="AV43" i="3"/>
  <c r="AU43" i="3"/>
  <c r="AK43" i="3"/>
  <c r="AH43" i="3"/>
  <c r="AG43" i="3" a="1"/>
  <c r="AG43" i="3"/>
  <c r="AE43" i="3" a="1"/>
  <c r="AE43" i="3" s="1"/>
  <c r="AC43" i="3" a="1"/>
  <c r="AC43" i="3"/>
  <c r="AA43" i="3" a="1"/>
  <c r="AA43" i="3" s="1"/>
  <c r="Y43" i="3" a="1"/>
  <c r="Y43" i="3"/>
  <c r="V43" i="3"/>
  <c r="R43" i="3" a="1"/>
  <c r="R43" i="3"/>
  <c r="P43" i="3" a="1"/>
  <c r="P43" i="3" s="1"/>
  <c r="N43" i="3" a="1"/>
  <c r="N43" i="3"/>
  <c r="L43" i="3" a="1"/>
  <c r="L43" i="3" s="1"/>
  <c r="I43" i="3"/>
  <c r="E43" i="3" a="1"/>
  <c r="E43" i="3" s="1"/>
  <c r="C43" i="3" a="1"/>
  <c r="C43" i="3" s="1"/>
  <c r="BF42" i="3"/>
  <c r="BE42" i="3"/>
  <c r="BD42" i="3"/>
  <c r="BC42" i="3"/>
  <c r="BB42" i="3"/>
  <c r="BA42" i="3"/>
  <c r="AZ42" i="3"/>
  <c r="AY42" i="3"/>
  <c r="AX42" i="3"/>
  <c r="AW42" i="3"/>
  <c r="AV42" i="3"/>
  <c r="AU42" i="3"/>
  <c r="AK42" i="3"/>
  <c r="AH42" i="3"/>
  <c r="AG42" i="3" a="1"/>
  <c r="AG42" i="3" s="1"/>
  <c r="AE42" i="3" a="1"/>
  <c r="AE42" i="3"/>
  <c r="AC42" i="3" a="1"/>
  <c r="AC42" i="3" s="1"/>
  <c r="AA42" i="3" a="1"/>
  <c r="AA42" i="3"/>
  <c r="Y42" i="3" a="1"/>
  <c r="Y42" i="3" s="1"/>
  <c r="V42" i="3"/>
  <c r="R42" i="3" a="1"/>
  <c r="R42" i="3" s="1"/>
  <c r="P42" i="3" a="1"/>
  <c r="P42" i="3"/>
  <c r="N42" i="3" a="1"/>
  <c r="N42" i="3" s="1"/>
  <c r="L42" i="3" a="1"/>
  <c r="L42" i="3"/>
  <c r="I42" i="3"/>
  <c r="E42" i="3" a="1"/>
  <c r="E42" i="3" s="1"/>
  <c r="C42" i="3" a="1"/>
  <c r="C42" i="3" s="1"/>
  <c r="BF41" i="3"/>
  <c r="BE41" i="3"/>
  <c r="BD41" i="3"/>
  <c r="BC41" i="3"/>
  <c r="BB41" i="3"/>
  <c r="BA41" i="3"/>
  <c r="AZ41" i="3"/>
  <c r="AY41" i="3"/>
  <c r="AX41" i="3"/>
  <c r="AW41" i="3"/>
  <c r="AV41" i="3"/>
  <c r="AU41" i="3"/>
  <c r="AK41" i="3"/>
  <c r="AH41" i="3"/>
  <c r="AG41" i="3" a="1"/>
  <c r="AG41" i="3"/>
  <c r="AE41" i="3" a="1"/>
  <c r="AE41" i="3" s="1"/>
  <c r="AC41" i="3" a="1"/>
  <c r="AC41" i="3"/>
  <c r="AA41" i="3" a="1"/>
  <c r="AA41" i="3" s="1"/>
  <c r="Y41" i="3" a="1"/>
  <c r="Y41" i="3"/>
  <c r="V41" i="3"/>
  <c r="R41" i="3" a="1"/>
  <c r="R41" i="3"/>
  <c r="P41" i="3" a="1"/>
  <c r="P41" i="3"/>
  <c r="N41" i="3" a="1"/>
  <c r="N41" i="3"/>
  <c r="L41" i="3" a="1"/>
  <c r="L41" i="3"/>
  <c r="I41" i="3"/>
  <c r="E41" i="3" a="1"/>
  <c r="E41" i="3" s="1"/>
  <c r="C41" i="3" a="1"/>
  <c r="C41" i="3" s="1"/>
  <c r="BF40" i="3"/>
  <c r="BE40" i="3"/>
  <c r="BD40" i="3"/>
  <c r="BC40" i="3"/>
  <c r="BB40" i="3"/>
  <c r="BA40" i="3"/>
  <c r="AZ40" i="3"/>
  <c r="AY40" i="3"/>
  <c r="AX40" i="3"/>
  <c r="AW40" i="3"/>
  <c r="AV40" i="3"/>
  <c r="AU40" i="3"/>
  <c r="AK40" i="3"/>
  <c r="AH40" i="3"/>
  <c r="AG40" i="3" a="1"/>
  <c r="AG40" i="3" s="1"/>
  <c r="AE40" i="3" a="1"/>
  <c r="AE40" i="3"/>
  <c r="AC40" i="3" a="1"/>
  <c r="AC40" i="3" s="1"/>
  <c r="AA40" i="3" a="1"/>
  <c r="AA40" i="3"/>
  <c r="Y40" i="3" a="1"/>
  <c r="Y40" i="3" s="1"/>
  <c r="V40" i="3"/>
  <c r="R40" i="3" a="1"/>
  <c r="R40" i="3"/>
  <c r="P40" i="3" a="1"/>
  <c r="P40" i="3"/>
  <c r="N40" i="3" a="1"/>
  <c r="N40" i="3"/>
  <c r="L40" i="3" a="1"/>
  <c r="L40" i="3"/>
  <c r="I40" i="3"/>
  <c r="E40" i="3" a="1"/>
  <c r="E40" i="3" s="1"/>
  <c r="C40" i="3" a="1"/>
  <c r="C40" i="3" s="1"/>
  <c r="BF39" i="3"/>
  <c r="BE39" i="3"/>
  <c r="BD39" i="3"/>
  <c r="BC39" i="3"/>
  <c r="BB39" i="3"/>
  <c r="BA39" i="3"/>
  <c r="AZ39" i="3"/>
  <c r="AY39" i="3"/>
  <c r="AX39" i="3"/>
  <c r="AW39" i="3"/>
  <c r="AV39" i="3"/>
  <c r="AU39" i="3"/>
  <c r="AK39" i="3"/>
  <c r="AH39" i="3"/>
  <c r="AG39" i="3" a="1"/>
  <c r="AG39" i="3"/>
  <c r="AE39" i="3" a="1"/>
  <c r="AE39" i="3" s="1"/>
  <c r="AC39" i="3" a="1"/>
  <c r="AC39" i="3"/>
  <c r="AA39" i="3" a="1"/>
  <c r="AA39" i="3" s="1"/>
  <c r="Y39" i="3" a="1"/>
  <c r="Y39" i="3"/>
  <c r="V39" i="3"/>
  <c r="R39" i="3" a="1"/>
  <c r="R39" i="3"/>
  <c r="P39" i="3" a="1"/>
  <c r="P39" i="3" s="1"/>
  <c r="N39" i="3" a="1"/>
  <c r="N39" i="3"/>
  <c r="L39" i="3" a="1"/>
  <c r="L39" i="3" s="1"/>
  <c r="I39" i="3"/>
  <c r="E39" i="3" a="1"/>
  <c r="E39" i="3" s="1"/>
  <c r="C39" i="3" a="1"/>
  <c r="C39" i="3" s="1"/>
  <c r="BF38" i="3"/>
  <c r="BE38" i="3"/>
  <c r="BD38" i="3"/>
  <c r="BC38" i="3"/>
  <c r="BB38" i="3"/>
  <c r="BA38" i="3"/>
  <c r="AZ38" i="3"/>
  <c r="AY38" i="3"/>
  <c r="AX38" i="3"/>
  <c r="AW38" i="3"/>
  <c r="AV38" i="3"/>
  <c r="AU38" i="3"/>
  <c r="AK38" i="3"/>
  <c r="AH38" i="3"/>
  <c r="AG38" i="3" a="1"/>
  <c r="AG38" i="3" s="1"/>
  <c r="AE38" i="3" a="1"/>
  <c r="AE38" i="3"/>
  <c r="AC38" i="3" a="1"/>
  <c r="AC38" i="3" s="1"/>
  <c r="AA38" i="3" a="1"/>
  <c r="AA38" i="3"/>
  <c r="Y38" i="3" a="1"/>
  <c r="Y38" i="3" s="1"/>
  <c r="V38" i="3"/>
  <c r="R38" i="3" a="1"/>
  <c r="R38" i="3" s="1"/>
  <c r="P38" i="3" a="1"/>
  <c r="P38" i="3"/>
  <c r="N38" i="3" a="1"/>
  <c r="N38" i="3" s="1"/>
  <c r="L38" i="3" a="1"/>
  <c r="L38" i="3"/>
  <c r="I38" i="3"/>
  <c r="E38" i="3" a="1"/>
  <c r="E38" i="3" s="1"/>
  <c r="C38" i="3" a="1"/>
  <c r="C38" i="3" s="1"/>
  <c r="BF37" i="3"/>
  <c r="BE37" i="3"/>
  <c r="BD37" i="3"/>
  <c r="BC37" i="3"/>
  <c r="BB37" i="3"/>
  <c r="BA37" i="3"/>
  <c r="AZ37" i="3"/>
  <c r="AY37" i="3"/>
  <c r="AX37" i="3"/>
  <c r="AW37" i="3"/>
  <c r="AV37" i="3"/>
  <c r="AU37" i="3"/>
  <c r="AK37" i="3"/>
  <c r="AH37" i="3"/>
  <c r="AG37" i="3" a="1"/>
  <c r="AG37" i="3"/>
  <c r="AE37" i="3" a="1"/>
  <c r="AE37" i="3" s="1"/>
  <c r="AC37" i="3" a="1"/>
  <c r="AC37" i="3"/>
  <c r="AA37" i="3" a="1"/>
  <c r="AA37" i="3" s="1"/>
  <c r="Y37" i="3" a="1"/>
  <c r="Y37" i="3"/>
  <c r="V37" i="3"/>
  <c r="R37" i="3" a="1"/>
  <c r="R37" i="3"/>
  <c r="P37" i="3" a="1"/>
  <c r="P37" i="3"/>
  <c r="N37" i="3" a="1"/>
  <c r="N37" i="3"/>
  <c r="L37" i="3" a="1"/>
  <c r="L37" i="3"/>
  <c r="I37" i="3"/>
  <c r="E37" i="3" a="1"/>
  <c r="E37" i="3" s="1"/>
  <c r="C37" i="3" a="1"/>
  <c r="C37" i="3" s="1"/>
  <c r="BF36" i="3"/>
  <c r="BE36" i="3"/>
  <c r="BD36" i="3"/>
  <c r="BC36" i="3"/>
  <c r="BB36" i="3"/>
  <c r="BA36" i="3"/>
  <c r="AZ36" i="3"/>
  <c r="AY36" i="3"/>
  <c r="AX36" i="3"/>
  <c r="AW36" i="3"/>
  <c r="AV36" i="3"/>
  <c r="AU36" i="3"/>
  <c r="AK36" i="3"/>
  <c r="AH36" i="3"/>
  <c r="AG36" i="3" a="1"/>
  <c r="AG36" i="3" s="1"/>
  <c r="AE36" i="3" a="1"/>
  <c r="AE36" i="3"/>
  <c r="AC36" i="3" a="1"/>
  <c r="AC36" i="3" s="1"/>
  <c r="AA36" i="3" a="1"/>
  <c r="AA36" i="3"/>
  <c r="Y36" i="3" a="1"/>
  <c r="Y36" i="3" s="1"/>
  <c r="V36" i="3"/>
  <c r="R36" i="3" a="1"/>
  <c r="R36" i="3"/>
  <c r="P36" i="3" a="1"/>
  <c r="P36" i="3"/>
  <c r="N36" i="3" a="1"/>
  <c r="N36" i="3"/>
  <c r="L36" i="3" a="1"/>
  <c r="L36" i="3"/>
  <c r="I36" i="3"/>
  <c r="E36" i="3" a="1"/>
  <c r="E36" i="3" s="1"/>
  <c r="C36" i="3" a="1"/>
  <c r="C36" i="3" s="1"/>
  <c r="BF35" i="3"/>
  <c r="BE35" i="3"/>
  <c r="BD35" i="3"/>
  <c r="BC35" i="3"/>
  <c r="BB35" i="3"/>
  <c r="BA35" i="3"/>
  <c r="AZ35" i="3"/>
  <c r="AY35" i="3"/>
  <c r="AX35" i="3"/>
  <c r="AW35" i="3"/>
  <c r="AV35" i="3"/>
  <c r="AU35" i="3"/>
  <c r="AK35" i="3"/>
  <c r="AH35" i="3"/>
  <c r="AG35" i="3" a="1"/>
  <c r="AG35" i="3"/>
  <c r="AE35" i="3" a="1"/>
  <c r="AE35" i="3" s="1"/>
  <c r="AC35" i="3" a="1"/>
  <c r="AC35" i="3"/>
  <c r="AA35" i="3" a="1"/>
  <c r="AA35" i="3" s="1"/>
  <c r="Y35" i="3" a="1"/>
  <c r="Y35" i="3"/>
  <c r="V35" i="3"/>
  <c r="R35" i="3" a="1"/>
  <c r="R35" i="3"/>
  <c r="P35" i="3" a="1"/>
  <c r="P35" i="3" s="1"/>
  <c r="N35" i="3" a="1"/>
  <c r="N35" i="3"/>
  <c r="L35" i="3" a="1"/>
  <c r="L35" i="3" s="1"/>
  <c r="I35" i="3"/>
  <c r="E35" i="3" a="1"/>
  <c r="E35" i="3" s="1"/>
  <c r="C35" i="3" a="1"/>
  <c r="C35" i="3" s="1"/>
  <c r="BF34" i="3"/>
  <c r="BE34" i="3"/>
  <c r="BD34" i="3"/>
  <c r="BC34" i="3"/>
  <c r="BB34" i="3"/>
  <c r="BA34" i="3"/>
  <c r="AZ34" i="3"/>
  <c r="AY34" i="3"/>
  <c r="AX34" i="3"/>
  <c r="AW34" i="3"/>
  <c r="AV34" i="3"/>
  <c r="AU34" i="3"/>
  <c r="AK34" i="3"/>
  <c r="AH34" i="3"/>
  <c r="AG34" i="3" a="1"/>
  <c r="AG34" i="3" s="1"/>
  <c r="AE34" i="3" a="1"/>
  <c r="AE34" i="3"/>
  <c r="AC34" i="3" a="1"/>
  <c r="AC34" i="3" s="1"/>
  <c r="AA34" i="3" a="1"/>
  <c r="AA34" i="3"/>
  <c r="Y34" i="3" a="1"/>
  <c r="Y34" i="3" s="1"/>
  <c r="V34" i="3"/>
  <c r="R34" i="3" a="1"/>
  <c r="R34" i="3" s="1"/>
  <c r="P34" i="3" a="1"/>
  <c r="P34" i="3"/>
  <c r="N34" i="3" a="1"/>
  <c r="N34" i="3" s="1"/>
  <c r="L34" i="3" a="1"/>
  <c r="L34" i="3"/>
  <c r="I34" i="3"/>
  <c r="E34" i="3" a="1"/>
  <c r="E34" i="3" s="1"/>
  <c r="C34" i="3" a="1"/>
  <c r="C34" i="3" s="1"/>
  <c r="BF33" i="3"/>
  <c r="BE33" i="3"/>
  <c r="BD33" i="3"/>
  <c r="BC33" i="3"/>
  <c r="BB33" i="3"/>
  <c r="BA33" i="3"/>
  <c r="AZ33" i="3"/>
  <c r="AY33" i="3"/>
  <c r="AX33" i="3"/>
  <c r="AW33" i="3"/>
  <c r="AV33" i="3"/>
  <c r="AU33" i="3"/>
  <c r="AK33" i="3"/>
  <c r="AH33" i="3"/>
  <c r="AG33" i="3" a="1"/>
  <c r="AG33" i="3"/>
  <c r="AE33" i="3" a="1"/>
  <c r="AE33" i="3" s="1"/>
  <c r="AC33" i="3" a="1"/>
  <c r="AC33" i="3"/>
  <c r="AA33" i="3" a="1"/>
  <c r="AA33" i="3" s="1"/>
  <c r="Y33" i="3" a="1"/>
  <c r="Y33" i="3"/>
  <c r="V33" i="3"/>
  <c r="R33" i="3" a="1"/>
  <c r="R33" i="3"/>
  <c r="P33" i="3" a="1"/>
  <c r="P33" i="3"/>
  <c r="N33" i="3" a="1"/>
  <c r="N33" i="3"/>
  <c r="L33" i="3" a="1"/>
  <c r="L33" i="3"/>
  <c r="I33" i="3"/>
  <c r="E33" i="3" a="1"/>
  <c r="E33" i="3" s="1"/>
  <c r="C33" i="3" a="1"/>
  <c r="C33" i="3" s="1"/>
  <c r="BF32" i="3"/>
  <c r="BE32" i="3"/>
  <c r="BD32" i="3"/>
  <c r="BC32" i="3"/>
  <c r="BB32" i="3"/>
  <c r="BA32" i="3"/>
  <c r="AZ32" i="3"/>
  <c r="AY32" i="3"/>
  <c r="AX32" i="3"/>
  <c r="AW32" i="3"/>
  <c r="AV32" i="3"/>
  <c r="AU32" i="3"/>
  <c r="AK32" i="3"/>
  <c r="AH32" i="3"/>
  <c r="AG32" i="3" a="1"/>
  <c r="AG32" i="3" s="1"/>
  <c r="AE32" i="3" a="1"/>
  <c r="AE32" i="3"/>
  <c r="AC32" i="3" a="1"/>
  <c r="AC32" i="3" s="1"/>
  <c r="AA32" i="3" a="1"/>
  <c r="AA32" i="3"/>
  <c r="Y32" i="3" a="1"/>
  <c r="Y32" i="3" s="1"/>
  <c r="V32" i="3"/>
  <c r="R32" i="3" a="1"/>
  <c r="R32" i="3"/>
  <c r="P32" i="3" a="1"/>
  <c r="P32" i="3"/>
  <c r="N32" i="3" a="1"/>
  <c r="N32" i="3"/>
  <c r="L32" i="3" a="1"/>
  <c r="L32" i="3"/>
  <c r="I32" i="3"/>
  <c r="E32" i="3" a="1"/>
  <c r="E32" i="3" s="1"/>
  <c r="C32" i="3" a="1"/>
  <c r="C32" i="3" s="1"/>
  <c r="BF31" i="3"/>
  <c r="BE31" i="3"/>
  <c r="BD31" i="3"/>
  <c r="BC31" i="3"/>
  <c r="BB31" i="3"/>
  <c r="BA31" i="3"/>
  <c r="AZ31" i="3"/>
  <c r="AY31" i="3"/>
  <c r="AX31" i="3"/>
  <c r="AW31" i="3"/>
  <c r="AV31" i="3"/>
  <c r="AU31" i="3"/>
  <c r="AK31" i="3"/>
  <c r="AH31" i="3"/>
  <c r="AG31" i="3" a="1"/>
  <c r="AG31" i="3"/>
  <c r="AE31" i="3" a="1"/>
  <c r="AE31" i="3" s="1"/>
  <c r="AC31" i="3" a="1"/>
  <c r="AC31" i="3"/>
  <c r="AA31" i="3" a="1"/>
  <c r="AA31" i="3" s="1"/>
  <c r="Y31" i="3" a="1"/>
  <c r="Y31" i="3"/>
  <c r="V31" i="3"/>
  <c r="R31" i="3" a="1"/>
  <c r="R31" i="3"/>
  <c r="P31" i="3" a="1"/>
  <c r="P31" i="3" s="1"/>
  <c r="N31" i="3" a="1"/>
  <c r="N31" i="3"/>
  <c r="L31" i="3" a="1"/>
  <c r="L31" i="3" s="1"/>
  <c r="I31" i="3"/>
  <c r="E31" i="3" a="1"/>
  <c r="E31" i="3" s="1"/>
  <c r="C31" i="3" a="1"/>
  <c r="C31" i="3" s="1"/>
  <c r="BF30" i="3"/>
  <c r="BE30" i="3"/>
  <c r="BD30" i="3"/>
  <c r="BC30" i="3"/>
  <c r="BB30" i="3"/>
  <c r="BA30" i="3"/>
  <c r="AZ30" i="3"/>
  <c r="AY30" i="3"/>
  <c r="AX30" i="3"/>
  <c r="AW30" i="3"/>
  <c r="AV30" i="3"/>
  <c r="AU30" i="3"/>
  <c r="AK30" i="3"/>
  <c r="AH30" i="3"/>
  <c r="AG30" i="3" a="1"/>
  <c r="AG30" i="3" s="1"/>
  <c r="AE30" i="3" a="1"/>
  <c r="AE30" i="3"/>
  <c r="AC30" i="3" a="1"/>
  <c r="AC30" i="3" s="1"/>
  <c r="AA30" i="3" a="1"/>
  <c r="AA30" i="3"/>
  <c r="Y30" i="3" a="1"/>
  <c r="Y30" i="3" s="1"/>
  <c r="V30" i="3"/>
  <c r="R30" i="3" a="1"/>
  <c r="R30" i="3" s="1"/>
  <c r="P30" i="3" a="1"/>
  <c r="P30" i="3"/>
  <c r="N30" i="3" a="1"/>
  <c r="N30" i="3" s="1"/>
  <c r="L30" i="3" a="1"/>
  <c r="L30" i="3"/>
  <c r="I30" i="3"/>
  <c r="E30" i="3" a="1"/>
  <c r="E30" i="3" s="1"/>
  <c r="C30" i="3" a="1"/>
  <c r="C30" i="3" s="1"/>
  <c r="BF29" i="3"/>
  <c r="BE29" i="3"/>
  <c r="BD29" i="3"/>
  <c r="BC29" i="3"/>
  <c r="BB29" i="3"/>
  <c r="BA29" i="3"/>
  <c r="AZ29" i="3"/>
  <c r="AY29" i="3"/>
  <c r="AX29" i="3"/>
  <c r="AW29" i="3"/>
  <c r="AV29" i="3"/>
  <c r="AU29" i="3"/>
  <c r="AK29" i="3"/>
  <c r="AH29" i="3"/>
  <c r="AG29" i="3" a="1"/>
  <c r="AG29" i="3"/>
  <c r="AE29" i="3" a="1"/>
  <c r="AE29" i="3" s="1"/>
  <c r="AC29" i="3" a="1"/>
  <c r="AC29" i="3"/>
  <c r="AA29" i="3" a="1"/>
  <c r="AA29" i="3" s="1"/>
  <c r="Y29" i="3" a="1"/>
  <c r="Y29" i="3"/>
  <c r="V29" i="3"/>
  <c r="R29" i="3" a="1"/>
  <c r="R29" i="3"/>
  <c r="P29" i="3" a="1"/>
  <c r="P29" i="3"/>
  <c r="N29" i="3" a="1"/>
  <c r="N29" i="3"/>
  <c r="L29" i="3" a="1"/>
  <c r="L29" i="3"/>
  <c r="I29" i="3"/>
  <c r="E29" i="3" a="1"/>
  <c r="E29" i="3" s="1"/>
  <c r="C29" i="3" a="1"/>
  <c r="C29" i="3" s="1"/>
  <c r="BF28" i="3"/>
  <c r="BE28" i="3"/>
  <c r="BD28" i="3"/>
  <c r="BC28" i="3"/>
  <c r="BB28" i="3"/>
  <c r="BA28" i="3"/>
  <c r="AZ28" i="3"/>
  <c r="AY28" i="3"/>
  <c r="AX28" i="3"/>
  <c r="AW28" i="3"/>
  <c r="AV28" i="3"/>
  <c r="AU28" i="3"/>
  <c r="AK28" i="3"/>
  <c r="AH28" i="3"/>
  <c r="AG28" i="3" a="1"/>
  <c r="AG28" i="3" s="1"/>
  <c r="AE28" i="3" a="1"/>
  <c r="AE28" i="3"/>
  <c r="AC28" i="3" a="1"/>
  <c r="AC28" i="3" s="1"/>
  <c r="AA28" i="3" a="1"/>
  <c r="AA28" i="3"/>
  <c r="Y28" i="3" a="1"/>
  <c r="Y28" i="3" s="1"/>
  <c r="V28" i="3"/>
  <c r="R28" i="3" a="1"/>
  <c r="R28" i="3"/>
  <c r="P28" i="3" a="1"/>
  <c r="P28" i="3"/>
  <c r="N28" i="3" a="1"/>
  <c r="N28" i="3"/>
  <c r="L28" i="3" a="1"/>
  <c r="L28" i="3"/>
  <c r="I28" i="3"/>
  <c r="E28" i="3" a="1"/>
  <c r="E28" i="3" s="1"/>
  <c r="C28" i="3" a="1"/>
  <c r="C28" i="3" s="1"/>
  <c r="BF27" i="3"/>
  <c r="BE27" i="3"/>
  <c r="BD27" i="3"/>
  <c r="BC27" i="3"/>
  <c r="BB27" i="3"/>
  <c r="BA27" i="3"/>
  <c r="AZ27" i="3"/>
  <c r="AY27" i="3"/>
  <c r="AX27" i="3"/>
  <c r="AW27" i="3"/>
  <c r="AV27" i="3"/>
  <c r="AU27" i="3"/>
  <c r="AK27" i="3"/>
  <c r="AH27" i="3"/>
  <c r="AG27" i="3" a="1"/>
  <c r="AG27" i="3"/>
  <c r="AE27" i="3" a="1"/>
  <c r="AE27" i="3" s="1"/>
  <c r="AC27" i="3" a="1"/>
  <c r="AC27" i="3"/>
  <c r="AA27" i="3" a="1"/>
  <c r="AA27" i="3" s="1"/>
  <c r="Y27" i="3" a="1"/>
  <c r="Y27" i="3"/>
  <c r="V27" i="3"/>
  <c r="R27" i="3" a="1"/>
  <c r="R27" i="3"/>
  <c r="P27" i="3" a="1"/>
  <c r="P27" i="3" s="1"/>
  <c r="N27" i="3" a="1"/>
  <c r="N27" i="3"/>
  <c r="L27" i="3" a="1"/>
  <c r="L27" i="3" s="1"/>
  <c r="I27" i="3"/>
  <c r="E27" i="3" a="1"/>
  <c r="E27" i="3" s="1"/>
  <c r="C27" i="3" a="1"/>
  <c r="C27" i="3" s="1"/>
  <c r="BE26" i="3"/>
  <c r="BD26" i="3"/>
  <c r="BC26" i="3"/>
  <c r="BB26" i="3"/>
  <c r="BA26" i="3"/>
  <c r="AZ26" i="3"/>
  <c r="AX26" i="3"/>
  <c r="AW26" i="3"/>
  <c r="AV26" i="3"/>
  <c r="AU26" i="3"/>
  <c r="AY26" i="3" s="1"/>
  <c r="AK26" i="3"/>
  <c r="E26" i="3" a="1"/>
  <c r="E26" i="3" s="1"/>
  <c r="C26" i="3" a="1"/>
  <c r="C26" i="3" s="1"/>
  <c r="BE25" i="3"/>
  <c r="BC25" i="3"/>
  <c r="BB25" i="3"/>
  <c r="AZ25" i="3"/>
  <c r="AX25" i="3"/>
  <c r="AW25" i="3"/>
  <c r="AV25" i="3"/>
  <c r="AU25" i="3"/>
  <c r="AY25" i="3" s="1"/>
  <c r="AK25" i="3"/>
  <c r="E25" i="3" a="1"/>
  <c r="E25" i="3" s="1"/>
  <c r="C25" i="3" a="1"/>
  <c r="C25" i="3" s="1"/>
  <c r="BE24" i="3"/>
  <c r="BD24" i="3"/>
  <c r="BB24" i="3"/>
  <c r="BA24" i="3"/>
  <c r="AX24" i="3"/>
  <c r="AW24" i="3"/>
  <c r="AV24" i="3"/>
  <c r="AU24" i="3"/>
  <c r="AY24" i="3" s="1"/>
  <c r="AK24" i="3"/>
  <c r="E24" i="3" a="1"/>
  <c r="E24" i="3" s="1"/>
  <c r="C24" i="3" a="1"/>
  <c r="C24" i="3" s="1"/>
  <c r="BE23" i="3"/>
  <c r="BD23" i="3"/>
  <c r="BB23" i="3"/>
  <c r="BA23" i="3"/>
  <c r="AX23" i="3"/>
  <c r="AW23" i="3"/>
  <c r="AV23" i="3"/>
  <c r="AU23" i="3"/>
  <c r="AK23" i="3"/>
  <c r="E23" i="3" a="1"/>
  <c r="E23" i="3" s="1"/>
  <c r="C23" i="3" a="1"/>
  <c r="C23" i="3" s="1"/>
  <c r="BE22" i="3"/>
  <c r="BD22" i="3"/>
  <c r="BB22" i="3"/>
  <c r="BA22" i="3"/>
  <c r="AX22" i="3"/>
  <c r="AW22" i="3"/>
  <c r="AV22" i="3"/>
  <c r="AU22" i="3"/>
  <c r="AY22" i="3" s="1"/>
  <c r="AK22" i="3"/>
  <c r="E22" i="3" a="1"/>
  <c r="E22" i="3" s="1"/>
  <c r="C22" i="3" a="1"/>
  <c r="C22" i="3" s="1"/>
  <c r="BF21" i="3"/>
  <c r="BE21" i="3"/>
  <c r="BC21" i="3"/>
  <c r="BB21" i="3"/>
  <c r="BA21" i="3"/>
  <c r="AZ21" i="3"/>
  <c r="AX21" i="3"/>
  <c r="AW21" i="3"/>
  <c r="AV21" i="3"/>
  <c r="AU21" i="3"/>
  <c r="AY21" i="3" s="1"/>
  <c r="AK21" i="3"/>
  <c r="BD21" i="3" s="1"/>
  <c r="E21" i="3" a="1"/>
  <c r="E21" i="3" s="1"/>
  <c r="C21" i="3" a="1"/>
  <c r="C21" i="3" s="1"/>
  <c r="BE20" i="3"/>
  <c r="BD20" i="3"/>
  <c r="BC20" i="3"/>
  <c r="BB20" i="3"/>
  <c r="BA20" i="3"/>
  <c r="AZ20" i="3"/>
  <c r="AX20" i="3"/>
  <c r="AW20" i="3"/>
  <c r="AV20" i="3"/>
  <c r="AU20" i="3"/>
  <c r="AY20" i="3" s="1"/>
  <c r="AK20" i="3"/>
  <c r="E20" i="3" a="1"/>
  <c r="E20" i="3" s="1"/>
  <c r="C20" i="3" a="1"/>
  <c r="C20" i="3" s="1"/>
  <c r="BF19" i="3"/>
  <c r="BE19" i="3"/>
  <c r="BC19" i="3"/>
  <c r="BB19" i="3"/>
  <c r="BA19" i="3"/>
  <c r="AZ19" i="3"/>
  <c r="AX19" i="3"/>
  <c r="AW19" i="3"/>
  <c r="AV19" i="3"/>
  <c r="AU19" i="3"/>
  <c r="AK19" i="3"/>
  <c r="BD19" i="3" s="1"/>
  <c r="E19" i="3" a="1"/>
  <c r="E19" i="3" s="1"/>
  <c r="C19" i="3" a="1"/>
  <c r="C19" i="3" s="1"/>
  <c r="BE18" i="3"/>
  <c r="BD18" i="3"/>
  <c r="BB18" i="3"/>
  <c r="BA18" i="3"/>
  <c r="AX18" i="3"/>
  <c r="AW18" i="3"/>
  <c r="AV18" i="3"/>
  <c r="AU18" i="3"/>
  <c r="AK18" i="3"/>
  <c r="E18" i="3" a="1"/>
  <c r="E18" i="3" s="1"/>
  <c r="C18" i="3" a="1"/>
  <c r="C18" i="3" s="1"/>
  <c r="BE17" i="3"/>
  <c r="BD17" i="3"/>
  <c r="BB17" i="3"/>
  <c r="BA17" i="3"/>
  <c r="AX17" i="3"/>
  <c r="AW17" i="3"/>
  <c r="AV17" i="3"/>
  <c r="AU17" i="3"/>
  <c r="AY17" i="3" s="1"/>
  <c r="AK17" i="3"/>
  <c r="E17" i="3" a="1"/>
  <c r="E17" i="3" s="1"/>
  <c r="C17" i="3" a="1"/>
  <c r="C17" i="3" s="1"/>
  <c r="BE16" i="3"/>
  <c r="BD16" i="3"/>
  <c r="BB16" i="3"/>
  <c r="BA16" i="3"/>
  <c r="AX16" i="3"/>
  <c r="AW16" i="3"/>
  <c r="AV16" i="3"/>
  <c r="AU16" i="3"/>
  <c r="AK16" i="3"/>
  <c r="E16" i="3" a="1"/>
  <c r="E16" i="3" s="1"/>
  <c r="C16" i="3" a="1"/>
  <c r="C16" i="3" s="1"/>
  <c r="BF15" i="3"/>
  <c r="BE15" i="3"/>
  <c r="BC15" i="3"/>
  <c r="BB15" i="3"/>
  <c r="BA15" i="3"/>
  <c r="AZ15" i="3"/>
  <c r="AX15" i="3"/>
  <c r="AW15" i="3"/>
  <c r="AV15" i="3"/>
  <c r="AU15" i="3"/>
  <c r="AY15" i="3" s="1"/>
  <c r="AK15" i="3"/>
  <c r="BD15" i="3" s="1"/>
  <c r="E15" i="3" a="1"/>
  <c r="E15" i="3" s="1"/>
  <c r="C15" i="3" a="1"/>
  <c r="C15" i="3" s="1"/>
  <c r="BE14" i="3"/>
  <c r="BD14" i="3"/>
  <c r="BC14" i="3"/>
  <c r="BB14" i="3"/>
  <c r="BA14" i="3"/>
  <c r="AZ14" i="3"/>
  <c r="AX14" i="3"/>
  <c r="AW14" i="3"/>
  <c r="AV14" i="3"/>
  <c r="AU14" i="3"/>
  <c r="AY14" i="3" s="1"/>
  <c r="AK14" i="3"/>
  <c r="E14" i="3" a="1"/>
  <c r="E14" i="3" s="1"/>
  <c r="C14" i="3" a="1"/>
  <c r="C14" i="3" s="1"/>
  <c r="BF13" i="3"/>
  <c r="BE13" i="3"/>
  <c r="BC13" i="3"/>
  <c r="BB13" i="3"/>
  <c r="BA13" i="3"/>
  <c r="AZ13" i="3"/>
  <c r="AX13" i="3"/>
  <c r="AW13" i="3"/>
  <c r="AV13" i="3"/>
  <c r="AU13" i="3"/>
  <c r="AY13" i="3" s="1"/>
  <c r="AK13" i="3"/>
  <c r="BD13" i="3" s="1"/>
  <c r="E13" i="3" a="1"/>
  <c r="E13" i="3" s="1"/>
  <c r="C13" i="3" a="1"/>
  <c r="C13" i="3" s="1"/>
  <c r="BE12" i="3"/>
  <c r="BD12" i="3"/>
  <c r="BB12" i="3"/>
  <c r="BA12" i="3"/>
  <c r="AX12" i="3"/>
  <c r="AW12" i="3"/>
  <c r="AV12" i="3"/>
  <c r="AU12" i="3"/>
  <c r="AK12" i="3"/>
  <c r="E12" i="3" a="1"/>
  <c r="E12" i="3" s="1"/>
  <c r="C12" i="3" a="1"/>
  <c r="C12" i="3" s="1"/>
  <c r="BE11" i="3"/>
  <c r="BD11" i="3"/>
  <c r="BB11" i="3"/>
  <c r="BA11" i="3"/>
  <c r="AX11" i="3"/>
  <c r="AW11" i="3"/>
  <c r="AV11" i="3"/>
  <c r="AU11" i="3"/>
  <c r="AY11" i="3" s="1"/>
  <c r="AK11" i="3"/>
  <c r="E11" i="3" a="1"/>
  <c r="E11" i="3" s="1"/>
  <c r="C11" i="3" a="1"/>
  <c r="C11" i="3" s="1"/>
  <c r="BE10" i="3"/>
  <c r="BD10" i="3"/>
  <c r="BB10" i="3"/>
  <c r="BA10" i="3"/>
  <c r="AX10" i="3"/>
  <c r="AW10" i="3"/>
  <c r="AV10" i="3"/>
  <c r="AU10" i="3"/>
  <c r="AK10" i="3"/>
  <c r="E10" i="3" a="1"/>
  <c r="E10" i="3" s="1"/>
  <c r="C10" i="3" a="1"/>
  <c r="C10" i="3" s="1"/>
  <c r="BE9" i="3"/>
  <c r="BC9" i="3"/>
  <c r="BB9" i="3"/>
  <c r="AZ9" i="3"/>
  <c r="AX9" i="3"/>
  <c r="AW9" i="3"/>
  <c r="AV9" i="3"/>
  <c r="AU9" i="3"/>
  <c r="AY9" i="3" s="1"/>
  <c r="AK9" i="3"/>
  <c r="BD9" i="3" s="1"/>
  <c r="BF9" i="3" s="1"/>
  <c r="E9" i="3" a="1"/>
  <c r="E9" i="3" s="1"/>
  <c r="C9" i="3" a="1"/>
  <c r="C9" i="3" s="1"/>
  <c r="BE8" i="3"/>
  <c r="BD8" i="3"/>
  <c r="BC8" i="3"/>
  <c r="BB8" i="3"/>
  <c r="BA8" i="3"/>
  <c r="AZ8" i="3"/>
  <c r="AX8" i="3"/>
  <c r="AW8" i="3"/>
  <c r="AV8" i="3"/>
  <c r="AU8" i="3"/>
  <c r="AK8" i="3"/>
  <c r="E8" i="3" a="1"/>
  <c r="E8" i="3" s="1"/>
  <c r="C8" i="3" a="1"/>
  <c r="C8" i="3" s="1"/>
  <c r="BE7" i="3"/>
  <c r="BC7" i="3"/>
  <c r="BB7" i="3"/>
  <c r="AZ7" i="3"/>
  <c r="AX7" i="3"/>
  <c r="AW7" i="3"/>
  <c r="AV7" i="3"/>
  <c r="AU7" i="3"/>
  <c r="AY7" i="3" s="1"/>
  <c r="AK7" i="3"/>
  <c r="BD7" i="3" s="1"/>
  <c r="BF7" i="3" s="1"/>
  <c r="E7" i="3" a="1"/>
  <c r="E7" i="3" s="1"/>
  <c r="C7" i="3" a="1"/>
  <c r="C7" i="3" s="1"/>
  <c r="BE6" i="3"/>
  <c r="BD6" i="3"/>
  <c r="BB6" i="3"/>
  <c r="BA6" i="3"/>
  <c r="AX6" i="3"/>
  <c r="AW6" i="3"/>
  <c r="AV6" i="3"/>
  <c r="AU6" i="3"/>
  <c r="AY6" i="3" s="1"/>
  <c r="AK6" i="3"/>
  <c r="E6" i="3" a="1"/>
  <c r="E6" i="3" s="1"/>
  <c r="C6" i="3" a="1"/>
  <c r="C6" i="3" s="1"/>
  <c r="BE5" i="3"/>
  <c r="BD5" i="3"/>
  <c r="BB5" i="3"/>
  <c r="BA5" i="3"/>
  <c r="AX5" i="3"/>
  <c r="AW5" i="3"/>
  <c r="AV5" i="3"/>
  <c r="AU5" i="3"/>
  <c r="AK5" i="3"/>
  <c r="E5" i="3" a="1"/>
  <c r="E5" i="3" s="1"/>
  <c r="C5" i="3" a="1"/>
  <c r="C5" i="3" s="1"/>
  <c r="BE4" i="3"/>
  <c r="BD4" i="3"/>
  <c r="BB4" i="3"/>
  <c r="BA4" i="3"/>
  <c r="AX4" i="3"/>
  <c r="AW4" i="3"/>
  <c r="AV4" i="3"/>
  <c r="AU4" i="3"/>
  <c r="AY4" i="3" s="1"/>
  <c r="AK4" i="3"/>
  <c r="E4" i="3" a="1"/>
  <c r="E4" i="3" s="1"/>
  <c r="C4" i="3" a="1"/>
  <c r="C4" i="3" s="1"/>
  <c r="BF3" i="3"/>
  <c r="BE3" i="3"/>
  <c r="BC3" i="3"/>
  <c r="BB3" i="3"/>
  <c r="BA3" i="3"/>
  <c r="AZ3" i="3"/>
  <c r="AX3" i="3"/>
  <c r="AW3" i="3"/>
  <c r="AV3" i="3"/>
  <c r="AU3" i="3"/>
  <c r="AY3" i="3" s="1"/>
  <c r="AK3" i="3"/>
  <c r="BD3" i="3" s="1"/>
  <c r="E3" i="3" a="1"/>
  <c r="E3" i="3" s="1"/>
  <c r="C3" i="3" a="1"/>
  <c r="C3" i="3" s="1"/>
  <c r="B3" i="3" a="1"/>
  <c r="CG531" i="2"/>
  <c r="CF531" i="2"/>
  <c r="CE531" i="2"/>
  <c r="CD531" i="2"/>
  <c r="CC531" i="2"/>
  <c r="CB531" i="2"/>
  <c r="CA531" i="2"/>
  <c r="BZ531" i="2"/>
  <c r="BY531" i="2"/>
  <c r="BX531" i="2"/>
  <c r="BW531" i="2"/>
  <c r="BV531" i="2"/>
  <c r="BU531" i="2"/>
  <c r="BT531" i="2"/>
  <c r="BS531" i="2"/>
  <c r="BR531" i="2"/>
  <c r="BQ531" i="2"/>
  <c r="BP531" i="2"/>
  <c r="BO531" i="2"/>
  <c r="BN531" i="2"/>
  <c r="BM531" i="2"/>
  <c r="BL531" i="2"/>
  <c r="BK531" i="2"/>
  <c r="BJ531" i="2"/>
  <c r="BI531" i="2"/>
  <c r="BH531" i="2"/>
  <c r="BG531" i="2"/>
  <c r="BF531" i="2"/>
  <c r="BE531" i="2"/>
  <c r="BD531" i="2"/>
  <c r="BC531" i="2"/>
  <c r="BB531" i="2"/>
  <c r="BA531" i="2"/>
  <c r="AZ531" i="2"/>
  <c r="AY531" i="2"/>
  <c r="AX531" i="2"/>
  <c r="AW531" i="2"/>
  <c r="AV531" i="2"/>
  <c r="AU531" i="2"/>
  <c r="AT531" i="2"/>
  <c r="AS531" i="2"/>
  <c r="AR531" i="2"/>
  <c r="AQ531" i="2"/>
  <c r="AP531" i="2"/>
  <c r="AO531" i="2"/>
  <c r="AN531" i="2"/>
  <c r="AM531" i="2"/>
  <c r="AL531" i="2"/>
  <c r="AK531" i="2"/>
  <c r="AJ531" i="2"/>
  <c r="AI531" i="2"/>
  <c r="AH531" i="2"/>
  <c r="AG531" i="2"/>
  <c r="AF531" i="2"/>
  <c r="AE531" i="2"/>
  <c r="AD531" i="2"/>
  <c r="AC531" i="2"/>
  <c r="AB531" i="2"/>
  <c r="AA531" i="2"/>
  <c r="Z531" i="2"/>
  <c r="Y531" i="2"/>
  <c r="X531" i="2"/>
  <c r="W531" i="2"/>
  <c r="V531" i="2"/>
  <c r="U531" i="2"/>
  <c r="T531" i="2"/>
  <c r="S531" i="2"/>
  <c r="R531" i="2"/>
  <c r="Q531" i="2"/>
  <c r="P531" i="2"/>
  <c r="O531" i="2"/>
  <c r="N531" i="2"/>
  <c r="M531" i="2"/>
  <c r="L531" i="2"/>
  <c r="K531" i="2"/>
  <c r="J531" i="2"/>
  <c r="I531" i="2"/>
  <c r="E531" i="2" a="1"/>
  <c r="E531" i="2" s="1"/>
  <c r="D531" i="2" a="1"/>
  <c r="D531" i="2" s="1"/>
  <c r="C531" i="2" a="1"/>
  <c r="C531" i="2" s="1"/>
  <c r="B531" i="2" a="1"/>
  <c r="B531" i="2" s="1"/>
  <c r="CG530" i="2"/>
  <c r="CF530" i="2"/>
  <c r="CE530" i="2"/>
  <c r="CD530" i="2"/>
  <c r="CC530" i="2"/>
  <c r="CB530" i="2"/>
  <c r="CA530" i="2"/>
  <c r="BZ530" i="2"/>
  <c r="BY530" i="2"/>
  <c r="BX530" i="2"/>
  <c r="BW530" i="2"/>
  <c r="BV530" i="2"/>
  <c r="BU530" i="2"/>
  <c r="BT530" i="2"/>
  <c r="BS530" i="2"/>
  <c r="BR530" i="2"/>
  <c r="BQ530" i="2"/>
  <c r="BP530" i="2"/>
  <c r="BO530" i="2"/>
  <c r="BN530" i="2"/>
  <c r="BM530" i="2"/>
  <c r="BL530" i="2"/>
  <c r="BK530" i="2"/>
  <c r="BJ530" i="2"/>
  <c r="BI530" i="2"/>
  <c r="BH530" i="2"/>
  <c r="BG530" i="2"/>
  <c r="BF530" i="2"/>
  <c r="BE530" i="2"/>
  <c r="BD530" i="2"/>
  <c r="BC530" i="2"/>
  <c r="BB530" i="2"/>
  <c r="BA530" i="2"/>
  <c r="AZ530" i="2"/>
  <c r="AY530" i="2"/>
  <c r="AX530" i="2"/>
  <c r="AW530" i="2"/>
  <c r="AV530" i="2"/>
  <c r="AU530" i="2"/>
  <c r="AT530" i="2"/>
  <c r="AS530" i="2"/>
  <c r="AR530" i="2"/>
  <c r="AQ530" i="2"/>
  <c r="AP530" i="2"/>
  <c r="AO530" i="2"/>
  <c r="AN530" i="2"/>
  <c r="AM530" i="2"/>
  <c r="AL530" i="2"/>
  <c r="AK530" i="2"/>
  <c r="AJ530" i="2"/>
  <c r="AI530" i="2"/>
  <c r="AH530" i="2"/>
  <c r="AG530" i="2"/>
  <c r="AF530" i="2"/>
  <c r="AE530" i="2"/>
  <c r="AD530" i="2"/>
  <c r="AC530" i="2"/>
  <c r="AB530" i="2"/>
  <c r="AA530" i="2"/>
  <c r="Z530" i="2"/>
  <c r="Y530" i="2"/>
  <c r="X530" i="2"/>
  <c r="W530" i="2"/>
  <c r="V530" i="2"/>
  <c r="U530" i="2"/>
  <c r="T530" i="2"/>
  <c r="S530" i="2"/>
  <c r="R530" i="2"/>
  <c r="Q530" i="2"/>
  <c r="P530" i="2"/>
  <c r="O530" i="2"/>
  <c r="N530" i="2"/>
  <c r="M530" i="2"/>
  <c r="L530" i="2"/>
  <c r="K530" i="2"/>
  <c r="J530" i="2"/>
  <c r="I530" i="2"/>
  <c r="E530" i="2" a="1"/>
  <c r="E530" i="2" s="1"/>
  <c r="D530" i="2" a="1"/>
  <c r="D530" i="2" s="1"/>
  <c r="C530" i="2" a="1"/>
  <c r="C530" i="2" s="1"/>
  <c r="B530" i="2" a="1"/>
  <c r="B530" i="2" s="1"/>
  <c r="CG529" i="2"/>
  <c r="CF529" i="2"/>
  <c r="CE529" i="2"/>
  <c r="CD529" i="2"/>
  <c r="CC529" i="2"/>
  <c r="CB529" i="2"/>
  <c r="CA529" i="2"/>
  <c r="BZ529" i="2"/>
  <c r="BY529" i="2"/>
  <c r="BX529" i="2"/>
  <c r="BW529" i="2"/>
  <c r="BV529" i="2"/>
  <c r="BU529" i="2"/>
  <c r="BT529" i="2"/>
  <c r="BS529" i="2"/>
  <c r="BR529" i="2"/>
  <c r="BQ529" i="2"/>
  <c r="BP529" i="2"/>
  <c r="BO529" i="2"/>
  <c r="BN529" i="2"/>
  <c r="BM529" i="2"/>
  <c r="BL529" i="2"/>
  <c r="BK529" i="2"/>
  <c r="BJ529" i="2"/>
  <c r="BI529" i="2"/>
  <c r="BH529" i="2"/>
  <c r="BG529" i="2"/>
  <c r="BF529" i="2"/>
  <c r="BE529" i="2"/>
  <c r="BC529" i="2"/>
  <c r="BB529" i="2"/>
  <c r="BA529" i="2"/>
  <c r="AZ529" i="2"/>
  <c r="AY529" i="2"/>
  <c r="AX529" i="2"/>
  <c r="AW529" i="2"/>
  <c r="AV529" i="2"/>
  <c r="AU529" i="2"/>
  <c r="AT529" i="2"/>
  <c r="AS529" i="2"/>
  <c r="AR529" i="2"/>
  <c r="AQ529" i="2"/>
  <c r="AP529" i="2"/>
  <c r="AO529" i="2"/>
  <c r="AN529" i="2"/>
  <c r="AM529" i="2"/>
  <c r="AL529" i="2"/>
  <c r="AK529" i="2"/>
  <c r="AJ529" i="2"/>
  <c r="AI529" i="2"/>
  <c r="AH529" i="2"/>
  <c r="AG529" i="2"/>
  <c r="AF529" i="2"/>
  <c r="AE529" i="2"/>
  <c r="AD529" i="2"/>
  <c r="AC529" i="2"/>
  <c r="AB529" i="2"/>
  <c r="AA529" i="2"/>
  <c r="Z529" i="2"/>
  <c r="Y529" i="2"/>
  <c r="X529" i="2"/>
  <c r="W529" i="2"/>
  <c r="V529" i="2"/>
  <c r="U529" i="2"/>
  <c r="T529" i="2"/>
  <c r="S529" i="2"/>
  <c r="R529" i="2"/>
  <c r="Q529" i="2"/>
  <c r="P529" i="2"/>
  <c r="O529" i="2"/>
  <c r="N529" i="2"/>
  <c r="M529" i="2"/>
  <c r="L529" i="2"/>
  <c r="K529" i="2"/>
  <c r="J529" i="2"/>
  <c r="BD529" i="2" s="1"/>
  <c r="I529" i="2"/>
  <c r="E529" i="2" a="1"/>
  <c r="E529" i="2" s="1"/>
  <c r="D529" i="2" a="1"/>
  <c r="D529" i="2" s="1"/>
  <c r="C529" i="2" a="1"/>
  <c r="C529" i="2" s="1"/>
  <c r="B529" i="2" a="1"/>
  <c r="B529" i="2" s="1"/>
  <c r="CG528" i="2"/>
  <c r="CF528" i="2"/>
  <c r="CE528" i="2"/>
  <c r="CD528" i="2"/>
  <c r="CC528" i="2"/>
  <c r="CB528" i="2"/>
  <c r="CA528" i="2"/>
  <c r="BZ528" i="2"/>
  <c r="BY528" i="2"/>
  <c r="BX528" i="2"/>
  <c r="BW528" i="2"/>
  <c r="BV528" i="2"/>
  <c r="BU528" i="2"/>
  <c r="BT528" i="2"/>
  <c r="BS528" i="2"/>
  <c r="BR528" i="2"/>
  <c r="BQ528" i="2"/>
  <c r="BP528" i="2"/>
  <c r="BO528" i="2"/>
  <c r="BN528" i="2"/>
  <c r="BM528" i="2"/>
  <c r="BL528" i="2"/>
  <c r="BK528" i="2"/>
  <c r="BJ528" i="2"/>
  <c r="BI528" i="2"/>
  <c r="BH528" i="2"/>
  <c r="BG528" i="2"/>
  <c r="BF528" i="2"/>
  <c r="BE528" i="2"/>
  <c r="BD528" i="2"/>
  <c r="BC528" i="2"/>
  <c r="BB528" i="2"/>
  <c r="BA528" i="2"/>
  <c r="AZ528" i="2"/>
  <c r="AY528" i="2"/>
  <c r="AX528" i="2"/>
  <c r="AW528" i="2"/>
  <c r="AV528" i="2"/>
  <c r="AU528" i="2"/>
  <c r="AT528" i="2"/>
  <c r="AS528" i="2"/>
  <c r="AR528" i="2"/>
  <c r="AQ528" i="2"/>
  <c r="AP528" i="2"/>
  <c r="AO528" i="2"/>
  <c r="AN528" i="2"/>
  <c r="AM528" i="2"/>
  <c r="AL528" i="2"/>
  <c r="AK528" i="2"/>
  <c r="AJ528" i="2"/>
  <c r="AI528" i="2"/>
  <c r="AH528" i="2"/>
  <c r="AG528" i="2"/>
  <c r="AF528" i="2"/>
  <c r="AE528" i="2"/>
  <c r="AD528" i="2"/>
  <c r="AC528" i="2"/>
  <c r="AB528" i="2"/>
  <c r="AA528" i="2"/>
  <c r="Z528" i="2"/>
  <c r="Y528" i="2"/>
  <c r="X528" i="2"/>
  <c r="W528" i="2"/>
  <c r="V528" i="2"/>
  <c r="U528" i="2"/>
  <c r="T528" i="2"/>
  <c r="S528" i="2"/>
  <c r="R528" i="2"/>
  <c r="Q528" i="2"/>
  <c r="P528" i="2"/>
  <c r="O528" i="2"/>
  <c r="N528" i="2"/>
  <c r="M528" i="2"/>
  <c r="L528" i="2"/>
  <c r="K528" i="2"/>
  <c r="J528" i="2"/>
  <c r="I528" i="2"/>
  <c r="E528" i="2" a="1"/>
  <c r="E528" i="2" s="1"/>
  <c r="D528" i="2" a="1"/>
  <c r="D528" i="2" s="1"/>
  <c r="C528" i="2" a="1"/>
  <c r="C528" i="2" s="1"/>
  <c r="B528" i="2" a="1"/>
  <c r="B528" i="2" s="1"/>
  <c r="CG527" i="2"/>
  <c r="CF527" i="2"/>
  <c r="CE527" i="2"/>
  <c r="CD527" i="2"/>
  <c r="CC527" i="2"/>
  <c r="CB527" i="2"/>
  <c r="CA527" i="2"/>
  <c r="BZ527" i="2"/>
  <c r="BY527" i="2"/>
  <c r="BX527" i="2"/>
  <c r="BW527" i="2"/>
  <c r="BV527" i="2"/>
  <c r="BU527" i="2"/>
  <c r="BT527" i="2"/>
  <c r="BS527" i="2"/>
  <c r="BR527" i="2"/>
  <c r="BQ527" i="2"/>
  <c r="BP527" i="2"/>
  <c r="BO527" i="2"/>
  <c r="BN527" i="2"/>
  <c r="BM527" i="2"/>
  <c r="BL527" i="2"/>
  <c r="BK527" i="2"/>
  <c r="BJ527" i="2"/>
  <c r="BI527" i="2"/>
  <c r="BH527" i="2"/>
  <c r="BG527" i="2"/>
  <c r="BF527" i="2"/>
  <c r="BE527" i="2"/>
  <c r="BD527" i="2"/>
  <c r="BC527" i="2"/>
  <c r="BB527" i="2"/>
  <c r="BA527" i="2"/>
  <c r="AZ527" i="2"/>
  <c r="AY527" i="2"/>
  <c r="AX527" i="2"/>
  <c r="AW527" i="2"/>
  <c r="AV527" i="2"/>
  <c r="AU527" i="2"/>
  <c r="AT527" i="2"/>
  <c r="AS527" i="2"/>
  <c r="AR527" i="2"/>
  <c r="AQ527" i="2"/>
  <c r="AP527" i="2"/>
  <c r="AO527" i="2"/>
  <c r="AN527" i="2"/>
  <c r="AM527" i="2"/>
  <c r="AL527" i="2"/>
  <c r="AK527" i="2"/>
  <c r="AJ527" i="2"/>
  <c r="AI527" i="2"/>
  <c r="AH527" i="2"/>
  <c r="AG527" i="2"/>
  <c r="AF527" i="2"/>
  <c r="AE527" i="2"/>
  <c r="AD527" i="2"/>
  <c r="AC527" i="2"/>
  <c r="AB527" i="2"/>
  <c r="AA527" i="2"/>
  <c r="Z527" i="2"/>
  <c r="Y527" i="2"/>
  <c r="X527" i="2"/>
  <c r="W527" i="2"/>
  <c r="V527" i="2"/>
  <c r="U527" i="2"/>
  <c r="T527" i="2"/>
  <c r="S527" i="2"/>
  <c r="R527" i="2"/>
  <c r="Q527" i="2"/>
  <c r="P527" i="2"/>
  <c r="O527" i="2"/>
  <c r="N527" i="2"/>
  <c r="M527" i="2"/>
  <c r="L527" i="2"/>
  <c r="K527" i="2"/>
  <c r="J527" i="2"/>
  <c r="I527" i="2"/>
  <c r="E527" i="2" a="1"/>
  <c r="E527" i="2" s="1"/>
  <c r="D527" i="2" a="1"/>
  <c r="D527" i="2" s="1"/>
  <c r="C527" i="2" a="1"/>
  <c r="C527" i="2" s="1"/>
  <c r="B527" i="2" a="1"/>
  <c r="B527" i="2" s="1"/>
  <c r="CG526" i="2"/>
  <c r="CF526" i="2"/>
  <c r="CE526" i="2"/>
  <c r="CD526" i="2"/>
  <c r="CC526" i="2"/>
  <c r="CB526" i="2"/>
  <c r="CA526" i="2"/>
  <c r="BZ526" i="2"/>
  <c r="BY526" i="2"/>
  <c r="BX526" i="2"/>
  <c r="BW526" i="2"/>
  <c r="BV526" i="2"/>
  <c r="BU526" i="2"/>
  <c r="BT526" i="2"/>
  <c r="BS526" i="2"/>
  <c r="BR526" i="2"/>
  <c r="BQ526" i="2"/>
  <c r="BP526" i="2"/>
  <c r="BO526" i="2"/>
  <c r="BN526" i="2"/>
  <c r="BM526" i="2"/>
  <c r="BL526" i="2"/>
  <c r="BK526" i="2"/>
  <c r="BJ526" i="2"/>
  <c r="BI526" i="2"/>
  <c r="BH526" i="2"/>
  <c r="BG526" i="2"/>
  <c r="BF526" i="2"/>
  <c r="BE526" i="2"/>
  <c r="BC526" i="2"/>
  <c r="BB526" i="2"/>
  <c r="BA526" i="2"/>
  <c r="AZ526" i="2"/>
  <c r="AY526" i="2"/>
  <c r="AX526" i="2"/>
  <c r="AW526" i="2"/>
  <c r="AV526" i="2"/>
  <c r="AU526" i="2"/>
  <c r="AT526" i="2"/>
  <c r="AS526" i="2"/>
  <c r="AR526" i="2"/>
  <c r="AQ526" i="2"/>
  <c r="AP526" i="2"/>
  <c r="AO526" i="2"/>
  <c r="AN526" i="2"/>
  <c r="AM526" i="2"/>
  <c r="AL526" i="2"/>
  <c r="AK526" i="2"/>
  <c r="AJ526" i="2"/>
  <c r="AI526" i="2"/>
  <c r="AH526" i="2"/>
  <c r="AG526" i="2"/>
  <c r="AF526" i="2"/>
  <c r="AE526" i="2"/>
  <c r="AD526" i="2"/>
  <c r="AC526" i="2"/>
  <c r="AB526" i="2"/>
  <c r="AA526" i="2"/>
  <c r="Z526" i="2"/>
  <c r="Y526" i="2"/>
  <c r="X526" i="2"/>
  <c r="W526" i="2"/>
  <c r="V526" i="2"/>
  <c r="U526" i="2"/>
  <c r="T526" i="2"/>
  <c r="S526" i="2"/>
  <c r="R526" i="2"/>
  <c r="Q526" i="2"/>
  <c r="P526" i="2"/>
  <c r="O526" i="2"/>
  <c r="N526" i="2"/>
  <c r="M526" i="2"/>
  <c r="L526" i="2"/>
  <c r="K526" i="2"/>
  <c r="J526" i="2"/>
  <c r="BD526" i="2" s="1"/>
  <c r="I526" i="2"/>
  <c r="E526" i="2" a="1"/>
  <c r="E526" i="2" s="1"/>
  <c r="D526" i="2" a="1"/>
  <c r="D526" i="2" s="1"/>
  <c r="C526" i="2" a="1"/>
  <c r="C526" i="2" s="1"/>
  <c r="B526" i="2" a="1"/>
  <c r="B526" i="2" s="1"/>
  <c r="CG525" i="2"/>
  <c r="CF525" i="2"/>
  <c r="CE525" i="2"/>
  <c r="CD525" i="2"/>
  <c r="CC525" i="2"/>
  <c r="CB525" i="2"/>
  <c r="CA525" i="2"/>
  <c r="BZ525" i="2"/>
  <c r="BY525" i="2"/>
  <c r="BX525" i="2"/>
  <c r="BW525" i="2"/>
  <c r="BV525" i="2"/>
  <c r="BU525" i="2"/>
  <c r="BT525" i="2"/>
  <c r="BS525" i="2"/>
  <c r="BR525" i="2"/>
  <c r="BQ525" i="2"/>
  <c r="BP525" i="2"/>
  <c r="BO525" i="2"/>
  <c r="BN525" i="2"/>
  <c r="BM525" i="2"/>
  <c r="BL525" i="2"/>
  <c r="BK525" i="2"/>
  <c r="BJ525" i="2"/>
  <c r="BI525" i="2"/>
  <c r="BH525" i="2"/>
  <c r="BG525" i="2"/>
  <c r="BF525" i="2"/>
  <c r="BE525" i="2"/>
  <c r="BC525" i="2"/>
  <c r="BB525" i="2"/>
  <c r="BA525" i="2"/>
  <c r="AZ525" i="2"/>
  <c r="AY525" i="2"/>
  <c r="AX525" i="2"/>
  <c r="AW525" i="2"/>
  <c r="AV525" i="2"/>
  <c r="AU525" i="2"/>
  <c r="AT525" i="2"/>
  <c r="AS525" i="2"/>
  <c r="AR525" i="2"/>
  <c r="AQ525" i="2"/>
  <c r="AP525" i="2"/>
  <c r="AO525" i="2"/>
  <c r="AN525" i="2"/>
  <c r="AM525" i="2"/>
  <c r="AL525" i="2"/>
  <c r="AK525" i="2"/>
  <c r="AJ525" i="2"/>
  <c r="AI525" i="2"/>
  <c r="AH525" i="2"/>
  <c r="AG525" i="2"/>
  <c r="AF525" i="2"/>
  <c r="AE525" i="2"/>
  <c r="AD525" i="2"/>
  <c r="AC525" i="2"/>
  <c r="AB525" i="2"/>
  <c r="AA525" i="2"/>
  <c r="Z525" i="2"/>
  <c r="Y525" i="2"/>
  <c r="X525" i="2"/>
  <c r="W525" i="2"/>
  <c r="V525" i="2"/>
  <c r="U525" i="2"/>
  <c r="T525" i="2"/>
  <c r="S525" i="2"/>
  <c r="R525" i="2"/>
  <c r="Q525" i="2"/>
  <c r="P525" i="2"/>
  <c r="O525" i="2"/>
  <c r="N525" i="2"/>
  <c r="M525" i="2"/>
  <c r="L525" i="2"/>
  <c r="K525" i="2"/>
  <c r="J525" i="2"/>
  <c r="BD525" i="2" s="1"/>
  <c r="I525" i="2"/>
  <c r="E525" i="2" a="1"/>
  <c r="E525" i="2" s="1"/>
  <c r="D525" i="2" a="1"/>
  <c r="D525" i="2" s="1"/>
  <c r="C525" i="2" a="1"/>
  <c r="C525" i="2" s="1"/>
  <c r="B525" i="2" a="1"/>
  <c r="B525" i="2" s="1"/>
  <c r="CG524" i="2"/>
  <c r="CF524" i="2"/>
  <c r="CE524" i="2"/>
  <c r="CD524" i="2"/>
  <c r="CC524" i="2"/>
  <c r="CB524" i="2"/>
  <c r="CA524" i="2"/>
  <c r="BZ524" i="2"/>
  <c r="BY524" i="2"/>
  <c r="BX524" i="2"/>
  <c r="BW524" i="2"/>
  <c r="BV524" i="2"/>
  <c r="BU524" i="2"/>
  <c r="BT524" i="2"/>
  <c r="BS524" i="2"/>
  <c r="BR524" i="2"/>
  <c r="BQ524" i="2"/>
  <c r="BP524" i="2"/>
  <c r="BO524" i="2"/>
  <c r="BN524" i="2"/>
  <c r="BM524" i="2"/>
  <c r="BL524" i="2"/>
  <c r="BK524" i="2"/>
  <c r="BJ524" i="2"/>
  <c r="BI524" i="2"/>
  <c r="BH524" i="2"/>
  <c r="BG524" i="2"/>
  <c r="BF524" i="2"/>
  <c r="BE524" i="2"/>
  <c r="BD524" i="2"/>
  <c r="BC524" i="2"/>
  <c r="BB524" i="2"/>
  <c r="BA524" i="2"/>
  <c r="AZ524" i="2"/>
  <c r="AY524" i="2"/>
  <c r="AX524" i="2"/>
  <c r="AW524" i="2"/>
  <c r="AV524" i="2"/>
  <c r="AU524" i="2"/>
  <c r="AT524" i="2"/>
  <c r="AS524" i="2"/>
  <c r="AR524" i="2"/>
  <c r="AQ524" i="2"/>
  <c r="AP524" i="2"/>
  <c r="AO524" i="2"/>
  <c r="AN524" i="2"/>
  <c r="AM524" i="2"/>
  <c r="AL524" i="2"/>
  <c r="AK524" i="2"/>
  <c r="AJ524" i="2"/>
  <c r="AI524" i="2"/>
  <c r="AH524" i="2"/>
  <c r="AG524" i="2"/>
  <c r="AF524" i="2"/>
  <c r="AE524" i="2"/>
  <c r="AD524" i="2"/>
  <c r="AC524" i="2"/>
  <c r="AB524" i="2"/>
  <c r="AA524" i="2"/>
  <c r="Z524" i="2"/>
  <c r="Y524" i="2"/>
  <c r="X524" i="2"/>
  <c r="W524" i="2"/>
  <c r="V524" i="2"/>
  <c r="U524" i="2"/>
  <c r="T524" i="2"/>
  <c r="S524" i="2"/>
  <c r="R524" i="2"/>
  <c r="Q524" i="2"/>
  <c r="P524" i="2"/>
  <c r="O524" i="2"/>
  <c r="N524" i="2"/>
  <c r="M524" i="2"/>
  <c r="L524" i="2"/>
  <c r="K524" i="2"/>
  <c r="J524" i="2"/>
  <c r="I524" i="2"/>
  <c r="E524" i="2" a="1"/>
  <c r="E524" i="2" s="1"/>
  <c r="D524" i="2" a="1"/>
  <c r="D524" i="2" s="1"/>
  <c r="C524" i="2" a="1"/>
  <c r="C524" i="2" s="1"/>
  <c r="B524" i="2" a="1"/>
  <c r="B524" i="2" s="1"/>
  <c r="CG523" i="2"/>
  <c r="CF523" i="2"/>
  <c r="CE523" i="2"/>
  <c r="CD523" i="2"/>
  <c r="CC523" i="2"/>
  <c r="CB523" i="2"/>
  <c r="CA523" i="2"/>
  <c r="BZ523" i="2"/>
  <c r="BY523" i="2"/>
  <c r="BX523" i="2"/>
  <c r="BW523" i="2"/>
  <c r="BV523" i="2"/>
  <c r="BU523" i="2"/>
  <c r="BT523" i="2"/>
  <c r="BS523" i="2"/>
  <c r="BR523" i="2"/>
  <c r="BQ523" i="2"/>
  <c r="BP523" i="2"/>
  <c r="BO523" i="2"/>
  <c r="BN523" i="2"/>
  <c r="BM523" i="2"/>
  <c r="BL523" i="2"/>
  <c r="BK523" i="2"/>
  <c r="BJ523" i="2"/>
  <c r="BI523" i="2"/>
  <c r="BH523" i="2"/>
  <c r="BG523" i="2"/>
  <c r="BF523" i="2"/>
  <c r="BE523" i="2"/>
  <c r="BD523" i="2"/>
  <c r="BC523" i="2"/>
  <c r="BB523" i="2"/>
  <c r="BA523" i="2"/>
  <c r="AZ523" i="2"/>
  <c r="AY523" i="2"/>
  <c r="AX523" i="2"/>
  <c r="AW523" i="2"/>
  <c r="AV523" i="2"/>
  <c r="AU523" i="2"/>
  <c r="AT523" i="2"/>
  <c r="AS523" i="2"/>
  <c r="AR523" i="2"/>
  <c r="AQ523" i="2"/>
  <c r="AP523" i="2"/>
  <c r="AO523" i="2"/>
  <c r="AN523" i="2"/>
  <c r="AM523" i="2"/>
  <c r="AL523" i="2"/>
  <c r="AK523" i="2"/>
  <c r="AJ523" i="2"/>
  <c r="AI523" i="2"/>
  <c r="AH523" i="2"/>
  <c r="AG523" i="2"/>
  <c r="AF523" i="2"/>
  <c r="AE523" i="2"/>
  <c r="AD523" i="2"/>
  <c r="AC523" i="2"/>
  <c r="AB523" i="2"/>
  <c r="AA523" i="2"/>
  <c r="Z523" i="2"/>
  <c r="Y523" i="2"/>
  <c r="X523" i="2"/>
  <c r="W523" i="2"/>
  <c r="V523" i="2"/>
  <c r="U523" i="2"/>
  <c r="T523" i="2"/>
  <c r="S523" i="2"/>
  <c r="R523" i="2"/>
  <c r="Q523" i="2"/>
  <c r="P523" i="2"/>
  <c r="O523" i="2"/>
  <c r="N523" i="2"/>
  <c r="M523" i="2"/>
  <c r="L523" i="2"/>
  <c r="K523" i="2"/>
  <c r="J523" i="2"/>
  <c r="I523" i="2"/>
  <c r="E523" i="2" a="1"/>
  <c r="E523" i="2" s="1"/>
  <c r="D523" i="2" a="1"/>
  <c r="D523" i="2" s="1"/>
  <c r="C523" i="2" a="1"/>
  <c r="C523" i="2" s="1"/>
  <c r="B523" i="2" a="1"/>
  <c r="B523" i="2" s="1"/>
  <c r="CG522" i="2"/>
  <c r="CF522" i="2"/>
  <c r="CE522" i="2"/>
  <c r="CD522" i="2"/>
  <c r="CC522" i="2"/>
  <c r="CB522" i="2"/>
  <c r="CA522" i="2"/>
  <c r="BZ522" i="2"/>
  <c r="BY522" i="2"/>
  <c r="BX522" i="2"/>
  <c r="BW522" i="2"/>
  <c r="BV522" i="2"/>
  <c r="BU522" i="2"/>
  <c r="BT522" i="2"/>
  <c r="BS522" i="2"/>
  <c r="BR522" i="2"/>
  <c r="BQ522" i="2"/>
  <c r="BP522" i="2"/>
  <c r="BO522" i="2"/>
  <c r="BN522" i="2"/>
  <c r="BM522" i="2"/>
  <c r="BL522" i="2"/>
  <c r="BK522" i="2"/>
  <c r="BJ522" i="2"/>
  <c r="BI522" i="2"/>
  <c r="BH522" i="2"/>
  <c r="BG522" i="2"/>
  <c r="BF522" i="2"/>
  <c r="BE522" i="2"/>
  <c r="BC522" i="2"/>
  <c r="BB522" i="2"/>
  <c r="BA522" i="2"/>
  <c r="AZ522" i="2"/>
  <c r="AY522" i="2"/>
  <c r="AX522" i="2"/>
  <c r="AW522" i="2"/>
  <c r="AV522" i="2"/>
  <c r="AU522" i="2"/>
  <c r="AT522" i="2"/>
  <c r="AS522" i="2"/>
  <c r="AR522" i="2"/>
  <c r="AQ522" i="2"/>
  <c r="AP522" i="2"/>
  <c r="AO522" i="2"/>
  <c r="AN522" i="2"/>
  <c r="AM522" i="2"/>
  <c r="AL522" i="2"/>
  <c r="AK522" i="2"/>
  <c r="AJ522" i="2"/>
  <c r="AI522" i="2"/>
  <c r="AH522" i="2"/>
  <c r="AG522" i="2"/>
  <c r="AF522" i="2"/>
  <c r="AE522" i="2"/>
  <c r="AD522" i="2"/>
  <c r="AC522" i="2"/>
  <c r="AB522" i="2"/>
  <c r="AA522" i="2"/>
  <c r="Z522" i="2"/>
  <c r="Y522" i="2"/>
  <c r="X522" i="2"/>
  <c r="W522" i="2"/>
  <c r="V522" i="2"/>
  <c r="U522" i="2"/>
  <c r="T522" i="2"/>
  <c r="S522" i="2"/>
  <c r="R522" i="2"/>
  <c r="Q522" i="2"/>
  <c r="P522" i="2"/>
  <c r="O522" i="2"/>
  <c r="N522" i="2"/>
  <c r="M522" i="2"/>
  <c r="L522" i="2"/>
  <c r="K522" i="2"/>
  <c r="J522" i="2"/>
  <c r="BD522" i="2" s="1"/>
  <c r="I522" i="2"/>
  <c r="E522" i="2" a="1"/>
  <c r="E522" i="2" s="1"/>
  <c r="D522" i="2" a="1"/>
  <c r="D522" i="2" s="1"/>
  <c r="C522" i="2" a="1"/>
  <c r="C522" i="2" s="1"/>
  <c r="B522" i="2" a="1"/>
  <c r="B522" i="2" s="1"/>
  <c r="CG521" i="2"/>
  <c r="CF521" i="2"/>
  <c r="CE521" i="2"/>
  <c r="CD521" i="2"/>
  <c r="CC521" i="2"/>
  <c r="CB521" i="2"/>
  <c r="CA521" i="2"/>
  <c r="BZ521" i="2"/>
  <c r="BY521" i="2"/>
  <c r="BX521" i="2"/>
  <c r="BW521" i="2"/>
  <c r="BV521" i="2"/>
  <c r="BU521" i="2"/>
  <c r="BT521" i="2"/>
  <c r="BS521" i="2"/>
  <c r="BR521" i="2"/>
  <c r="BQ521" i="2"/>
  <c r="BP521" i="2"/>
  <c r="BO521" i="2"/>
  <c r="BN521" i="2"/>
  <c r="BM521" i="2"/>
  <c r="BL521" i="2"/>
  <c r="BK521" i="2"/>
  <c r="BJ521" i="2"/>
  <c r="BI521" i="2"/>
  <c r="BH521" i="2"/>
  <c r="BG521" i="2"/>
  <c r="BF521" i="2"/>
  <c r="BE521" i="2"/>
  <c r="BC521" i="2"/>
  <c r="BB521" i="2"/>
  <c r="BA521" i="2"/>
  <c r="AZ521" i="2"/>
  <c r="AY521" i="2"/>
  <c r="AX521" i="2"/>
  <c r="AW521" i="2"/>
  <c r="AV521" i="2"/>
  <c r="AU521" i="2"/>
  <c r="AT521" i="2"/>
  <c r="AS521" i="2"/>
  <c r="AR521" i="2"/>
  <c r="AQ521" i="2"/>
  <c r="AP521" i="2"/>
  <c r="AO521" i="2"/>
  <c r="AN521" i="2"/>
  <c r="AM521" i="2"/>
  <c r="AL521" i="2"/>
  <c r="AK521" i="2"/>
  <c r="AJ521" i="2"/>
  <c r="AI521" i="2"/>
  <c r="AH521" i="2"/>
  <c r="AG521" i="2"/>
  <c r="AF521" i="2"/>
  <c r="AE521" i="2"/>
  <c r="AD521" i="2"/>
  <c r="AC521" i="2"/>
  <c r="AB521" i="2"/>
  <c r="AA521" i="2"/>
  <c r="Z521" i="2"/>
  <c r="Y521" i="2"/>
  <c r="X521" i="2"/>
  <c r="W521" i="2"/>
  <c r="V521" i="2"/>
  <c r="U521" i="2"/>
  <c r="T521" i="2"/>
  <c r="S521" i="2"/>
  <c r="R521" i="2"/>
  <c r="Q521" i="2"/>
  <c r="P521" i="2"/>
  <c r="O521" i="2"/>
  <c r="N521" i="2"/>
  <c r="M521" i="2"/>
  <c r="L521" i="2"/>
  <c r="K521" i="2"/>
  <c r="J521" i="2"/>
  <c r="BD521" i="2" s="1"/>
  <c r="I521" i="2"/>
  <c r="E521" i="2" a="1"/>
  <c r="E521" i="2" s="1"/>
  <c r="D521" i="2" a="1"/>
  <c r="D521" i="2" s="1"/>
  <c r="C521" i="2" a="1"/>
  <c r="C521" i="2" s="1"/>
  <c r="B521" i="2" a="1"/>
  <c r="B521" i="2" s="1"/>
  <c r="CG520" i="2"/>
  <c r="CF520" i="2"/>
  <c r="CE520" i="2"/>
  <c r="CD520" i="2"/>
  <c r="CC520" i="2"/>
  <c r="CB520" i="2"/>
  <c r="CA520" i="2"/>
  <c r="BZ520" i="2"/>
  <c r="BY520" i="2"/>
  <c r="BX520" i="2"/>
  <c r="BW520" i="2"/>
  <c r="BV520" i="2"/>
  <c r="BU520" i="2"/>
  <c r="BT520" i="2"/>
  <c r="BS520" i="2"/>
  <c r="BR520" i="2"/>
  <c r="BQ520" i="2"/>
  <c r="BP520" i="2"/>
  <c r="BO520" i="2"/>
  <c r="BN520" i="2"/>
  <c r="BM520" i="2"/>
  <c r="BL520" i="2"/>
  <c r="BK520" i="2"/>
  <c r="BJ520" i="2"/>
  <c r="BI520" i="2"/>
  <c r="BH520" i="2"/>
  <c r="BG520" i="2"/>
  <c r="BF520" i="2"/>
  <c r="BE520" i="2"/>
  <c r="BD520" i="2"/>
  <c r="BC520" i="2"/>
  <c r="BB520" i="2"/>
  <c r="BA520" i="2"/>
  <c r="AZ520" i="2"/>
  <c r="AY520" i="2"/>
  <c r="AX520" i="2"/>
  <c r="AW520" i="2"/>
  <c r="AV520" i="2"/>
  <c r="AU520" i="2"/>
  <c r="AT520" i="2"/>
  <c r="AS520" i="2"/>
  <c r="AR520" i="2"/>
  <c r="AQ520" i="2"/>
  <c r="AP520" i="2"/>
  <c r="AO520" i="2"/>
  <c r="AN520" i="2"/>
  <c r="AM520" i="2"/>
  <c r="AL520" i="2"/>
  <c r="AK520" i="2"/>
  <c r="AJ520" i="2"/>
  <c r="AI520" i="2"/>
  <c r="AH520" i="2"/>
  <c r="AG520" i="2"/>
  <c r="AF520" i="2"/>
  <c r="AE520" i="2"/>
  <c r="AD520" i="2"/>
  <c r="AC520" i="2"/>
  <c r="AB520" i="2"/>
  <c r="AA520" i="2"/>
  <c r="Z520" i="2"/>
  <c r="Y520" i="2"/>
  <c r="X520" i="2"/>
  <c r="W520" i="2"/>
  <c r="V520" i="2"/>
  <c r="U520" i="2"/>
  <c r="T520" i="2"/>
  <c r="S520" i="2"/>
  <c r="R520" i="2"/>
  <c r="Q520" i="2"/>
  <c r="P520" i="2"/>
  <c r="O520" i="2"/>
  <c r="N520" i="2"/>
  <c r="M520" i="2"/>
  <c r="L520" i="2"/>
  <c r="K520" i="2"/>
  <c r="J520" i="2"/>
  <c r="I520" i="2"/>
  <c r="E520" i="2" a="1"/>
  <c r="E520" i="2" s="1"/>
  <c r="D520" i="2" a="1"/>
  <c r="D520" i="2" s="1"/>
  <c r="C520" i="2" a="1"/>
  <c r="C520" i="2" s="1"/>
  <c r="B520" i="2" a="1"/>
  <c r="B520" i="2" s="1"/>
  <c r="CG519" i="2"/>
  <c r="CF519" i="2"/>
  <c r="CE519" i="2"/>
  <c r="CD519" i="2"/>
  <c r="CC519" i="2"/>
  <c r="CB519" i="2"/>
  <c r="CA519" i="2"/>
  <c r="BZ519" i="2"/>
  <c r="BY519" i="2"/>
  <c r="BX519" i="2"/>
  <c r="BW519" i="2"/>
  <c r="BV519" i="2"/>
  <c r="BU519" i="2"/>
  <c r="BT519" i="2"/>
  <c r="BS519" i="2"/>
  <c r="BR519" i="2"/>
  <c r="BQ519" i="2"/>
  <c r="BP519" i="2"/>
  <c r="BO519" i="2"/>
  <c r="BN519" i="2"/>
  <c r="BM519" i="2"/>
  <c r="BL519" i="2"/>
  <c r="BK519" i="2"/>
  <c r="BJ519" i="2"/>
  <c r="BI519" i="2"/>
  <c r="BH519" i="2"/>
  <c r="BG519" i="2"/>
  <c r="BF519" i="2"/>
  <c r="BE519" i="2"/>
  <c r="BD519" i="2"/>
  <c r="BC519" i="2"/>
  <c r="BB519" i="2"/>
  <c r="BA519" i="2"/>
  <c r="AZ519" i="2"/>
  <c r="AY519" i="2"/>
  <c r="AX519" i="2"/>
  <c r="AW519" i="2"/>
  <c r="AV519" i="2"/>
  <c r="AU519" i="2"/>
  <c r="AT519" i="2"/>
  <c r="AS519" i="2"/>
  <c r="AR519" i="2"/>
  <c r="AQ519" i="2"/>
  <c r="AP519" i="2"/>
  <c r="AO519" i="2"/>
  <c r="AN519" i="2"/>
  <c r="AM519" i="2"/>
  <c r="AL519" i="2"/>
  <c r="AK519" i="2"/>
  <c r="AJ519" i="2"/>
  <c r="AI519" i="2"/>
  <c r="AH519" i="2"/>
  <c r="AG519" i="2"/>
  <c r="AF519" i="2"/>
  <c r="AE519" i="2"/>
  <c r="AD519" i="2"/>
  <c r="AC519" i="2"/>
  <c r="AB519" i="2"/>
  <c r="AA519" i="2"/>
  <c r="Z519" i="2"/>
  <c r="Y519" i="2"/>
  <c r="X519" i="2"/>
  <c r="W519" i="2"/>
  <c r="V519" i="2"/>
  <c r="U519" i="2"/>
  <c r="T519" i="2"/>
  <c r="S519" i="2"/>
  <c r="R519" i="2"/>
  <c r="Q519" i="2"/>
  <c r="P519" i="2"/>
  <c r="O519" i="2"/>
  <c r="N519" i="2"/>
  <c r="M519" i="2"/>
  <c r="L519" i="2"/>
  <c r="K519" i="2"/>
  <c r="J519" i="2"/>
  <c r="I519" i="2"/>
  <c r="E519" i="2" a="1"/>
  <c r="E519" i="2" s="1"/>
  <c r="D519" i="2" a="1"/>
  <c r="D519" i="2" s="1"/>
  <c r="C519" i="2" a="1"/>
  <c r="C519" i="2" s="1"/>
  <c r="B519" i="2" a="1"/>
  <c r="B519" i="2" s="1"/>
  <c r="CG518" i="2"/>
  <c r="CF518" i="2"/>
  <c r="CE518" i="2"/>
  <c r="CD518" i="2"/>
  <c r="CC518" i="2"/>
  <c r="CB518" i="2"/>
  <c r="CA518" i="2"/>
  <c r="BZ518" i="2"/>
  <c r="BY518" i="2"/>
  <c r="BX518" i="2"/>
  <c r="BW518" i="2"/>
  <c r="BV518" i="2"/>
  <c r="BU518" i="2"/>
  <c r="BT518" i="2"/>
  <c r="BS518" i="2"/>
  <c r="BR518" i="2"/>
  <c r="BQ518" i="2"/>
  <c r="BP518" i="2"/>
  <c r="BO518" i="2"/>
  <c r="BN518" i="2"/>
  <c r="BM518" i="2"/>
  <c r="BL518" i="2"/>
  <c r="BK518" i="2"/>
  <c r="BJ518" i="2"/>
  <c r="BI518" i="2"/>
  <c r="BH518" i="2"/>
  <c r="BG518" i="2"/>
  <c r="BF518" i="2"/>
  <c r="BE518" i="2"/>
  <c r="BC518" i="2"/>
  <c r="BB518" i="2"/>
  <c r="BA518" i="2"/>
  <c r="AZ518" i="2"/>
  <c r="AY518" i="2"/>
  <c r="AX518" i="2"/>
  <c r="AW518" i="2"/>
  <c r="AV518" i="2"/>
  <c r="AU518" i="2"/>
  <c r="AT518" i="2"/>
  <c r="AS518" i="2"/>
  <c r="AR518" i="2"/>
  <c r="AQ518" i="2"/>
  <c r="AP518" i="2"/>
  <c r="AO518" i="2"/>
  <c r="AN518" i="2"/>
  <c r="AM518" i="2"/>
  <c r="AL518" i="2"/>
  <c r="AK518" i="2"/>
  <c r="AJ518" i="2"/>
  <c r="AI518" i="2"/>
  <c r="AH518" i="2"/>
  <c r="AG518" i="2"/>
  <c r="AF518" i="2"/>
  <c r="AE518" i="2"/>
  <c r="AD518" i="2"/>
  <c r="AC518" i="2"/>
  <c r="AB518" i="2"/>
  <c r="AA518" i="2"/>
  <c r="Z518" i="2"/>
  <c r="Y518" i="2"/>
  <c r="X518" i="2"/>
  <c r="W518" i="2"/>
  <c r="V518" i="2"/>
  <c r="U518" i="2"/>
  <c r="T518" i="2"/>
  <c r="S518" i="2"/>
  <c r="R518" i="2"/>
  <c r="Q518" i="2"/>
  <c r="P518" i="2"/>
  <c r="O518" i="2"/>
  <c r="N518" i="2"/>
  <c r="M518" i="2"/>
  <c r="L518" i="2"/>
  <c r="K518" i="2"/>
  <c r="J518" i="2"/>
  <c r="BD518" i="2" s="1"/>
  <c r="I518" i="2"/>
  <c r="E518" i="2" a="1"/>
  <c r="E518" i="2" s="1"/>
  <c r="D518" i="2" a="1"/>
  <c r="D518" i="2" s="1"/>
  <c r="C518" i="2" a="1"/>
  <c r="C518" i="2" s="1"/>
  <c r="B518" i="2" a="1"/>
  <c r="B518" i="2" s="1"/>
  <c r="CG517" i="2"/>
  <c r="CF517" i="2"/>
  <c r="CE517" i="2"/>
  <c r="CD517" i="2"/>
  <c r="CC517" i="2"/>
  <c r="CB517" i="2"/>
  <c r="CA517" i="2"/>
  <c r="BZ517" i="2"/>
  <c r="BY517" i="2"/>
  <c r="BX517" i="2"/>
  <c r="BW517" i="2"/>
  <c r="BV517" i="2"/>
  <c r="BU517" i="2"/>
  <c r="BT517" i="2"/>
  <c r="BS517" i="2"/>
  <c r="BR517" i="2"/>
  <c r="BQ517" i="2"/>
  <c r="BP517" i="2"/>
  <c r="BO517" i="2"/>
  <c r="BN517" i="2"/>
  <c r="BM517" i="2"/>
  <c r="BL517" i="2"/>
  <c r="BK517" i="2"/>
  <c r="BJ517" i="2"/>
  <c r="BI517" i="2"/>
  <c r="BH517" i="2"/>
  <c r="BG517" i="2"/>
  <c r="BF517" i="2"/>
  <c r="BE517" i="2"/>
  <c r="BC517" i="2"/>
  <c r="BB517" i="2"/>
  <c r="BA517" i="2"/>
  <c r="AZ517" i="2"/>
  <c r="AY517" i="2"/>
  <c r="AX517" i="2"/>
  <c r="AW517" i="2"/>
  <c r="AV517" i="2"/>
  <c r="AU517" i="2"/>
  <c r="AT517" i="2"/>
  <c r="AS517" i="2"/>
  <c r="AR517" i="2"/>
  <c r="AQ517" i="2"/>
  <c r="AP517" i="2"/>
  <c r="AO517" i="2"/>
  <c r="AN517" i="2"/>
  <c r="AM517" i="2"/>
  <c r="AL517" i="2"/>
  <c r="AK517" i="2"/>
  <c r="AJ517" i="2"/>
  <c r="AI517" i="2"/>
  <c r="AH517" i="2"/>
  <c r="AG517" i="2"/>
  <c r="AF517" i="2"/>
  <c r="AE517" i="2"/>
  <c r="AD517" i="2"/>
  <c r="AC517" i="2"/>
  <c r="AB517" i="2"/>
  <c r="AA517" i="2"/>
  <c r="Z517" i="2"/>
  <c r="Y517" i="2"/>
  <c r="X517" i="2"/>
  <c r="W517" i="2"/>
  <c r="V517" i="2"/>
  <c r="U517" i="2"/>
  <c r="T517" i="2"/>
  <c r="S517" i="2"/>
  <c r="R517" i="2"/>
  <c r="Q517" i="2"/>
  <c r="P517" i="2"/>
  <c r="O517" i="2"/>
  <c r="N517" i="2"/>
  <c r="M517" i="2"/>
  <c r="L517" i="2"/>
  <c r="K517" i="2"/>
  <c r="J517" i="2"/>
  <c r="BD517" i="2" s="1"/>
  <c r="I517" i="2"/>
  <c r="E517" i="2" a="1"/>
  <c r="E517" i="2" s="1"/>
  <c r="D517" i="2" a="1"/>
  <c r="D517" i="2" s="1"/>
  <c r="C517" i="2" a="1"/>
  <c r="C517" i="2" s="1"/>
  <c r="B517" i="2" a="1"/>
  <c r="B517" i="2" s="1"/>
  <c r="CG516" i="2"/>
  <c r="CF516" i="2"/>
  <c r="CE516" i="2"/>
  <c r="CD516" i="2"/>
  <c r="CC516" i="2"/>
  <c r="CB516" i="2"/>
  <c r="CA516" i="2"/>
  <c r="BZ516" i="2"/>
  <c r="BY516" i="2"/>
  <c r="BX516" i="2"/>
  <c r="BW516" i="2"/>
  <c r="BV516" i="2"/>
  <c r="BU516" i="2"/>
  <c r="BT516" i="2"/>
  <c r="BS516" i="2"/>
  <c r="BR516" i="2"/>
  <c r="BQ516" i="2"/>
  <c r="BP516" i="2"/>
  <c r="BO516" i="2"/>
  <c r="BN516" i="2"/>
  <c r="BM516" i="2"/>
  <c r="BL516" i="2"/>
  <c r="BK516" i="2"/>
  <c r="BJ516" i="2"/>
  <c r="BI516" i="2"/>
  <c r="BH516" i="2"/>
  <c r="BG516" i="2"/>
  <c r="BF516" i="2"/>
  <c r="BE516" i="2"/>
  <c r="BD516" i="2"/>
  <c r="BC516" i="2"/>
  <c r="BB516" i="2"/>
  <c r="BA516" i="2"/>
  <c r="AZ516" i="2"/>
  <c r="AY516" i="2"/>
  <c r="AX516" i="2"/>
  <c r="AW516" i="2"/>
  <c r="AV516" i="2"/>
  <c r="AU516" i="2"/>
  <c r="AT516" i="2"/>
  <c r="AS516" i="2"/>
  <c r="AR516" i="2"/>
  <c r="AQ516" i="2"/>
  <c r="AP516" i="2"/>
  <c r="AO516" i="2"/>
  <c r="AN516" i="2"/>
  <c r="AM516" i="2"/>
  <c r="AL516" i="2"/>
  <c r="AK516" i="2"/>
  <c r="AJ516" i="2"/>
  <c r="AI516" i="2"/>
  <c r="AH516" i="2"/>
  <c r="AG516" i="2"/>
  <c r="AF516" i="2"/>
  <c r="AE516" i="2"/>
  <c r="AD516" i="2"/>
  <c r="AC516" i="2"/>
  <c r="AB516" i="2"/>
  <c r="AA516" i="2"/>
  <c r="Z516" i="2"/>
  <c r="Y516" i="2"/>
  <c r="X516" i="2"/>
  <c r="W516" i="2"/>
  <c r="V516" i="2"/>
  <c r="U516" i="2"/>
  <c r="T516" i="2"/>
  <c r="S516" i="2"/>
  <c r="R516" i="2"/>
  <c r="Q516" i="2"/>
  <c r="P516" i="2"/>
  <c r="O516" i="2"/>
  <c r="N516" i="2"/>
  <c r="M516" i="2"/>
  <c r="L516" i="2"/>
  <c r="K516" i="2"/>
  <c r="J516" i="2"/>
  <c r="I516" i="2"/>
  <c r="E516" i="2" a="1"/>
  <c r="E516" i="2" s="1"/>
  <c r="D516" i="2" a="1"/>
  <c r="D516" i="2" s="1"/>
  <c r="C516" i="2" a="1"/>
  <c r="C516" i="2" s="1"/>
  <c r="B516" i="2" a="1"/>
  <c r="B516" i="2" s="1"/>
  <c r="CG515" i="2"/>
  <c r="CF515" i="2"/>
  <c r="CE515" i="2"/>
  <c r="CD515" i="2"/>
  <c r="CC515" i="2"/>
  <c r="CB515" i="2"/>
  <c r="CA515" i="2"/>
  <c r="BZ515" i="2"/>
  <c r="BY515" i="2"/>
  <c r="BX515" i="2"/>
  <c r="BW515" i="2"/>
  <c r="BV515" i="2"/>
  <c r="BU515" i="2"/>
  <c r="BT515" i="2"/>
  <c r="BS515" i="2"/>
  <c r="BR515" i="2"/>
  <c r="BQ515" i="2"/>
  <c r="BP515" i="2"/>
  <c r="BO515" i="2"/>
  <c r="BN515" i="2"/>
  <c r="BM515" i="2"/>
  <c r="BL515" i="2"/>
  <c r="BK515" i="2"/>
  <c r="BJ515" i="2"/>
  <c r="BI515" i="2"/>
  <c r="BH515" i="2"/>
  <c r="BG515" i="2"/>
  <c r="BF515" i="2"/>
  <c r="BE515" i="2"/>
  <c r="BD515" i="2"/>
  <c r="BC515" i="2"/>
  <c r="BB515" i="2"/>
  <c r="BA515" i="2"/>
  <c r="AZ515" i="2"/>
  <c r="AY515" i="2"/>
  <c r="AX515" i="2"/>
  <c r="AW515" i="2"/>
  <c r="AV515" i="2"/>
  <c r="AU515" i="2"/>
  <c r="AT515" i="2"/>
  <c r="AS515" i="2"/>
  <c r="AR515" i="2"/>
  <c r="AQ515" i="2"/>
  <c r="AP515" i="2"/>
  <c r="AO515" i="2"/>
  <c r="AN515" i="2"/>
  <c r="AM515" i="2"/>
  <c r="AL515" i="2"/>
  <c r="AK515" i="2"/>
  <c r="AJ515" i="2"/>
  <c r="AI515" i="2"/>
  <c r="AH515" i="2"/>
  <c r="AG515" i="2"/>
  <c r="AF515" i="2"/>
  <c r="AE515" i="2"/>
  <c r="AD515" i="2"/>
  <c r="AC515" i="2"/>
  <c r="AB515" i="2"/>
  <c r="AA515" i="2"/>
  <c r="Z515" i="2"/>
  <c r="Y515" i="2"/>
  <c r="X515" i="2"/>
  <c r="W515" i="2"/>
  <c r="V515" i="2"/>
  <c r="U515" i="2"/>
  <c r="T515" i="2"/>
  <c r="S515" i="2"/>
  <c r="R515" i="2"/>
  <c r="Q515" i="2"/>
  <c r="P515" i="2"/>
  <c r="O515" i="2"/>
  <c r="N515" i="2"/>
  <c r="M515" i="2"/>
  <c r="L515" i="2"/>
  <c r="K515" i="2"/>
  <c r="J515" i="2"/>
  <c r="I515" i="2"/>
  <c r="E515" i="2" a="1"/>
  <c r="E515" i="2" s="1"/>
  <c r="D515" i="2" a="1"/>
  <c r="D515" i="2" s="1"/>
  <c r="C515" i="2" a="1"/>
  <c r="C515" i="2" s="1"/>
  <c r="B515" i="2" a="1"/>
  <c r="B515" i="2" s="1"/>
  <c r="CG514" i="2"/>
  <c r="CF514" i="2"/>
  <c r="CE514" i="2"/>
  <c r="CD514" i="2"/>
  <c r="CC514" i="2"/>
  <c r="CB514" i="2"/>
  <c r="CA514" i="2"/>
  <c r="BZ514" i="2"/>
  <c r="BY514" i="2"/>
  <c r="BX514" i="2"/>
  <c r="BW514" i="2"/>
  <c r="BV514" i="2"/>
  <c r="BU514" i="2"/>
  <c r="BT514" i="2"/>
  <c r="BS514" i="2"/>
  <c r="BR514" i="2"/>
  <c r="BQ514" i="2"/>
  <c r="BP514" i="2"/>
  <c r="BO514" i="2"/>
  <c r="BN514" i="2"/>
  <c r="BM514" i="2"/>
  <c r="BL514" i="2"/>
  <c r="BK514" i="2"/>
  <c r="BJ514" i="2"/>
  <c r="BI514" i="2"/>
  <c r="BH514" i="2"/>
  <c r="BG514" i="2"/>
  <c r="BF514" i="2"/>
  <c r="BE514" i="2"/>
  <c r="BC514" i="2"/>
  <c r="BB514" i="2"/>
  <c r="BA514" i="2"/>
  <c r="AZ514" i="2"/>
  <c r="AY514" i="2"/>
  <c r="AX514" i="2"/>
  <c r="AW514" i="2"/>
  <c r="AV514" i="2"/>
  <c r="AU514" i="2"/>
  <c r="AT514" i="2"/>
  <c r="AS514" i="2"/>
  <c r="AR514" i="2"/>
  <c r="AQ514" i="2"/>
  <c r="AP514" i="2"/>
  <c r="AO514" i="2"/>
  <c r="AN514" i="2"/>
  <c r="AM514" i="2"/>
  <c r="AL514" i="2"/>
  <c r="AK514" i="2"/>
  <c r="AJ514" i="2"/>
  <c r="AI514" i="2"/>
  <c r="AH514" i="2"/>
  <c r="AG514" i="2"/>
  <c r="AF514" i="2"/>
  <c r="AE514" i="2"/>
  <c r="AD514" i="2"/>
  <c r="AC514" i="2"/>
  <c r="AB514" i="2"/>
  <c r="AA514" i="2"/>
  <c r="Z514" i="2"/>
  <c r="Y514" i="2"/>
  <c r="X514" i="2"/>
  <c r="W514" i="2"/>
  <c r="V514" i="2"/>
  <c r="U514" i="2"/>
  <c r="T514" i="2"/>
  <c r="S514" i="2"/>
  <c r="R514" i="2"/>
  <c r="Q514" i="2"/>
  <c r="P514" i="2"/>
  <c r="O514" i="2"/>
  <c r="N514" i="2"/>
  <c r="M514" i="2"/>
  <c r="L514" i="2"/>
  <c r="K514" i="2"/>
  <c r="J514" i="2"/>
  <c r="BD514" i="2" s="1"/>
  <c r="I514" i="2"/>
  <c r="E514" i="2" a="1"/>
  <c r="E514" i="2" s="1"/>
  <c r="D514" i="2" a="1"/>
  <c r="D514" i="2" s="1"/>
  <c r="C514" i="2" a="1"/>
  <c r="C514" i="2" s="1"/>
  <c r="B514" i="2" a="1"/>
  <c r="B514" i="2" s="1"/>
  <c r="CG513" i="2"/>
  <c r="CF513" i="2"/>
  <c r="CE513" i="2"/>
  <c r="CD513" i="2"/>
  <c r="CC513" i="2"/>
  <c r="CB513" i="2"/>
  <c r="CA513" i="2"/>
  <c r="BZ513" i="2"/>
  <c r="BY513" i="2"/>
  <c r="BX513" i="2"/>
  <c r="BW513" i="2"/>
  <c r="BV513" i="2"/>
  <c r="BU513" i="2"/>
  <c r="BT513" i="2"/>
  <c r="BS513" i="2"/>
  <c r="BR513" i="2"/>
  <c r="BQ513" i="2"/>
  <c r="BP513" i="2"/>
  <c r="BO513" i="2"/>
  <c r="BN513" i="2"/>
  <c r="BM513" i="2"/>
  <c r="BL513" i="2"/>
  <c r="BK513" i="2"/>
  <c r="BJ513" i="2"/>
  <c r="BI513" i="2"/>
  <c r="BH513" i="2"/>
  <c r="BG513" i="2"/>
  <c r="BF513" i="2"/>
  <c r="BE513" i="2"/>
  <c r="BC513" i="2"/>
  <c r="BB513" i="2"/>
  <c r="BA513" i="2"/>
  <c r="AZ513" i="2"/>
  <c r="AY513" i="2"/>
  <c r="AX513" i="2"/>
  <c r="AW513" i="2"/>
  <c r="AV513" i="2"/>
  <c r="AU513" i="2"/>
  <c r="AT513" i="2"/>
  <c r="AS513" i="2"/>
  <c r="AR513" i="2"/>
  <c r="AQ513" i="2"/>
  <c r="AP513" i="2"/>
  <c r="AO513" i="2"/>
  <c r="AN513" i="2"/>
  <c r="AM513" i="2"/>
  <c r="AL513" i="2"/>
  <c r="AK513" i="2"/>
  <c r="AJ513" i="2"/>
  <c r="AI513" i="2"/>
  <c r="AH513" i="2"/>
  <c r="AG513" i="2"/>
  <c r="AF513" i="2"/>
  <c r="AE513" i="2"/>
  <c r="AD513" i="2"/>
  <c r="AC513" i="2"/>
  <c r="AB513" i="2"/>
  <c r="AA513" i="2"/>
  <c r="Z513" i="2"/>
  <c r="Y513" i="2"/>
  <c r="X513" i="2"/>
  <c r="W513" i="2"/>
  <c r="V513" i="2"/>
  <c r="U513" i="2"/>
  <c r="T513" i="2"/>
  <c r="S513" i="2"/>
  <c r="R513" i="2"/>
  <c r="Q513" i="2"/>
  <c r="P513" i="2"/>
  <c r="O513" i="2"/>
  <c r="N513" i="2"/>
  <c r="M513" i="2"/>
  <c r="L513" i="2"/>
  <c r="K513" i="2"/>
  <c r="J513" i="2"/>
  <c r="BD513" i="2" s="1"/>
  <c r="I513" i="2"/>
  <c r="E513" i="2" a="1"/>
  <c r="E513" i="2" s="1"/>
  <c r="D513" i="2" a="1"/>
  <c r="D513" i="2" s="1"/>
  <c r="C513" i="2" a="1"/>
  <c r="C513" i="2" s="1"/>
  <c r="B513" i="2" a="1"/>
  <c r="B513" i="2" s="1"/>
  <c r="CG512" i="2"/>
  <c r="CF512" i="2"/>
  <c r="CE512" i="2"/>
  <c r="CD512" i="2"/>
  <c r="CC512" i="2"/>
  <c r="CB512" i="2"/>
  <c r="CA512" i="2"/>
  <c r="BZ512" i="2"/>
  <c r="BY512" i="2"/>
  <c r="BX512" i="2"/>
  <c r="BW512" i="2"/>
  <c r="BV512" i="2"/>
  <c r="BU512" i="2"/>
  <c r="BT512" i="2"/>
  <c r="BS512" i="2"/>
  <c r="BR512" i="2"/>
  <c r="BQ512" i="2"/>
  <c r="BP512" i="2"/>
  <c r="BO512" i="2"/>
  <c r="BN512" i="2"/>
  <c r="BM512" i="2"/>
  <c r="BL512" i="2"/>
  <c r="BK512" i="2"/>
  <c r="BJ512" i="2"/>
  <c r="BI512" i="2"/>
  <c r="BH512" i="2"/>
  <c r="BG512" i="2"/>
  <c r="BF512" i="2"/>
  <c r="BE512" i="2"/>
  <c r="BD512" i="2"/>
  <c r="BC512" i="2"/>
  <c r="BB512" i="2"/>
  <c r="BA512" i="2"/>
  <c r="AZ512" i="2"/>
  <c r="AY512" i="2"/>
  <c r="AX512" i="2"/>
  <c r="AW512" i="2"/>
  <c r="AV512" i="2"/>
  <c r="AU512" i="2"/>
  <c r="AT512" i="2"/>
  <c r="AS512" i="2"/>
  <c r="AR512" i="2"/>
  <c r="AQ512" i="2"/>
  <c r="AP512" i="2"/>
  <c r="AO512" i="2"/>
  <c r="AN512" i="2"/>
  <c r="AM512" i="2"/>
  <c r="AL512" i="2"/>
  <c r="AK512" i="2"/>
  <c r="AJ512" i="2"/>
  <c r="AI512" i="2"/>
  <c r="AH512" i="2"/>
  <c r="AG512" i="2"/>
  <c r="AF512" i="2"/>
  <c r="AE512" i="2"/>
  <c r="AD512" i="2"/>
  <c r="AC512" i="2"/>
  <c r="AB512" i="2"/>
  <c r="AA512" i="2"/>
  <c r="Z512" i="2"/>
  <c r="Y512" i="2"/>
  <c r="X512" i="2"/>
  <c r="W512" i="2"/>
  <c r="V512" i="2"/>
  <c r="U512" i="2"/>
  <c r="T512" i="2"/>
  <c r="S512" i="2"/>
  <c r="R512" i="2"/>
  <c r="Q512" i="2"/>
  <c r="P512" i="2"/>
  <c r="O512" i="2"/>
  <c r="N512" i="2"/>
  <c r="M512" i="2"/>
  <c r="L512" i="2"/>
  <c r="K512" i="2"/>
  <c r="J512" i="2"/>
  <c r="I512" i="2"/>
  <c r="E512" i="2" a="1"/>
  <c r="E512" i="2" s="1"/>
  <c r="D512" i="2" a="1"/>
  <c r="D512" i="2" s="1"/>
  <c r="C512" i="2" a="1"/>
  <c r="C512" i="2" s="1"/>
  <c r="B512" i="2" a="1"/>
  <c r="B512" i="2" s="1"/>
  <c r="CG511" i="2"/>
  <c r="CF511" i="2"/>
  <c r="CE511" i="2"/>
  <c r="CD511" i="2"/>
  <c r="CC511" i="2"/>
  <c r="CB511" i="2"/>
  <c r="CA511" i="2"/>
  <c r="BZ511" i="2"/>
  <c r="BY511" i="2"/>
  <c r="BX511" i="2"/>
  <c r="BW511" i="2"/>
  <c r="BV511" i="2"/>
  <c r="BU511" i="2"/>
  <c r="BT511" i="2"/>
  <c r="BS511" i="2"/>
  <c r="BR511" i="2"/>
  <c r="BQ511" i="2"/>
  <c r="BP511" i="2"/>
  <c r="BO511" i="2"/>
  <c r="BN511" i="2"/>
  <c r="BM511" i="2"/>
  <c r="BL511" i="2"/>
  <c r="BK511" i="2"/>
  <c r="BJ511" i="2"/>
  <c r="BI511" i="2"/>
  <c r="BH511" i="2"/>
  <c r="BG511" i="2"/>
  <c r="BF511" i="2"/>
  <c r="BE511" i="2"/>
  <c r="BD511" i="2"/>
  <c r="BC511" i="2"/>
  <c r="BB511" i="2"/>
  <c r="BA511" i="2"/>
  <c r="AZ511" i="2"/>
  <c r="AY511" i="2"/>
  <c r="AX511" i="2"/>
  <c r="AW511" i="2"/>
  <c r="AV511" i="2"/>
  <c r="AU511" i="2"/>
  <c r="AT511" i="2"/>
  <c r="AS511" i="2"/>
  <c r="AR511" i="2"/>
  <c r="AQ511" i="2"/>
  <c r="AP511" i="2"/>
  <c r="AO511" i="2"/>
  <c r="AN511" i="2"/>
  <c r="AM511" i="2"/>
  <c r="AL511" i="2"/>
  <c r="AK511" i="2"/>
  <c r="AJ511" i="2"/>
  <c r="AI511" i="2"/>
  <c r="AH511" i="2"/>
  <c r="AG511" i="2"/>
  <c r="AF511" i="2"/>
  <c r="AE511" i="2"/>
  <c r="AD511" i="2"/>
  <c r="AC511" i="2"/>
  <c r="AB511" i="2"/>
  <c r="AA511" i="2"/>
  <c r="Z511" i="2"/>
  <c r="Y511" i="2"/>
  <c r="X511" i="2"/>
  <c r="W511" i="2"/>
  <c r="V511" i="2"/>
  <c r="U511" i="2"/>
  <c r="T511" i="2"/>
  <c r="S511" i="2"/>
  <c r="R511" i="2"/>
  <c r="Q511" i="2"/>
  <c r="P511" i="2"/>
  <c r="O511" i="2"/>
  <c r="N511" i="2"/>
  <c r="M511" i="2"/>
  <c r="L511" i="2"/>
  <c r="K511" i="2"/>
  <c r="J511" i="2"/>
  <c r="I511" i="2"/>
  <c r="E511" i="2" a="1"/>
  <c r="E511" i="2" s="1"/>
  <c r="D511" i="2" a="1"/>
  <c r="D511" i="2" s="1"/>
  <c r="C511" i="2" a="1"/>
  <c r="C511" i="2" s="1"/>
  <c r="B511" i="2" a="1"/>
  <c r="B511" i="2" s="1"/>
  <c r="CG510" i="2"/>
  <c r="CF510" i="2"/>
  <c r="CE510" i="2"/>
  <c r="CD510" i="2"/>
  <c r="CC510" i="2"/>
  <c r="CB510" i="2"/>
  <c r="CA510" i="2"/>
  <c r="BZ510" i="2"/>
  <c r="BY510" i="2"/>
  <c r="BX510" i="2"/>
  <c r="BW510" i="2"/>
  <c r="BV510" i="2"/>
  <c r="BU510" i="2"/>
  <c r="BT510" i="2"/>
  <c r="BS510" i="2"/>
  <c r="BR510" i="2"/>
  <c r="BQ510" i="2"/>
  <c r="BP510" i="2"/>
  <c r="BO510" i="2"/>
  <c r="BN510" i="2"/>
  <c r="BM510" i="2"/>
  <c r="BL510" i="2"/>
  <c r="BK510" i="2"/>
  <c r="BJ510" i="2"/>
  <c r="BI510" i="2"/>
  <c r="BH510" i="2"/>
  <c r="BG510" i="2"/>
  <c r="BF510" i="2"/>
  <c r="BE510" i="2"/>
  <c r="BC510" i="2"/>
  <c r="BB510" i="2"/>
  <c r="BA510" i="2"/>
  <c r="AZ510" i="2"/>
  <c r="AY510" i="2"/>
  <c r="AX510" i="2"/>
  <c r="AW510" i="2"/>
  <c r="AV510" i="2"/>
  <c r="AU510" i="2"/>
  <c r="AT510" i="2"/>
  <c r="AS510" i="2"/>
  <c r="AR510" i="2"/>
  <c r="AQ510" i="2"/>
  <c r="AP510" i="2"/>
  <c r="AO510" i="2"/>
  <c r="AN510" i="2"/>
  <c r="AM510" i="2"/>
  <c r="AL510" i="2"/>
  <c r="AK510" i="2"/>
  <c r="AJ510" i="2"/>
  <c r="AI510" i="2"/>
  <c r="AH510" i="2"/>
  <c r="AG510" i="2"/>
  <c r="AF510" i="2"/>
  <c r="AE510" i="2"/>
  <c r="AD510" i="2"/>
  <c r="AC510" i="2"/>
  <c r="AB510" i="2"/>
  <c r="AA510" i="2"/>
  <c r="Z510" i="2"/>
  <c r="Y510" i="2"/>
  <c r="X510" i="2"/>
  <c r="W510" i="2"/>
  <c r="V510" i="2"/>
  <c r="U510" i="2"/>
  <c r="T510" i="2"/>
  <c r="S510" i="2"/>
  <c r="R510" i="2"/>
  <c r="Q510" i="2"/>
  <c r="P510" i="2"/>
  <c r="O510" i="2"/>
  <c r="N510" i="2"/>
  <c r="M510" i="2"/>
  <c r="L510" i="2"/>
  <c r="K510" i="2"/>
  <c r="J510" i="2"/>
  <c r="BD510" i="2" s="1"/>
  <c r="I510" i="2"/>
  <c r="E510" i="2" a="1"/>
  <c r="E510" i="2" s="1"/>
  <c r="D510" i="2" a="1"/>
  <c r="D510" i="2" s="1"/>
  <c r="C510" i="2" a="1"/>
  <c r="C510" i="2" s="1"/>
  <c r="B510" i="2" a="1"/>
  <c r="B510" i="2" s="1"/>
  <c r="CG509" i="2"/>
  <c r="CF509" i="2"/>
  <c r="CE509" i="2"/>
  <c r="CD509" i="2"/>
  <c r="CC509" i="2"/>
  <c r="CB509" i="2"/>
  <c r="CA509" i="2"/>
  <c r="BZ509" i="2"/>
  <c r="BY509" i="2"/>
  <c r="BX509" i="2"/>
  <c r="BW509" i="2"/>
  <c r="BV509" i="2"/>
  <c r="BU509" i="2"/>
  <c r="BT509" i="2"/>
  <c r="BS509" i="2"/>
  <c r="BR509" i="2"/>
  <c r="BQ509" i="2"/>
  <c r="BP509" i="2"/>
  <c r="BO509" i="2"/>
  <c r="BN509" i="2"/>
  <c r="BM509" i="2"/>
  <c r="BL509" i="2"/>
  <c r="BK509" i="2"/>
  <c r="BJ509" i="2"/>
  <c r="BI509" i="2"/>
  <c r="BH509" i="2"/>
  <c r="BG509" i="2"/>
  <c r="BF509" i="2"/>
  <c r="BE509" i="2"/>
  <c r="BC509" i="2"/>
  <c r="BB509" i="2"/>
  <c r="BA509" i="2"/>
  <c r="AZ509" i="2"/>
  <c r="AY509" i="2"/>
  <c r="AX509" i="2"/>
  <c r="AW509" i="2"/>
  <c r="AV509" i="2"/>
  <c r="AU509" i="2"/>
  <c r="AT509" i="2"/>
  <c r="AS509" i="2"/>
  <c r="AR509" i="2"/>
  <c r="AQ509" i="2"/>
  <c r="AP509" i="2"/>
  <c r="AO509" i="2"/>
  <c r="AN509" i="2"/>
  <c r="AM509" i="2"/>
  <c r="AL509" i="2"/>
  <c r="AK509" i="2"/>
  <c r="AJ509" i="2"/>
  <c r="AI509" i="2"/>
  <c r="AH509" i="2"/>
  <c r="AG509" i="2"/>
  <c r="AF509" i="2"/>
  <c r="AE509" i="2"/>
  <c r="AD509" i="2"/>
  <c r="AC509" i="2"/>
  <c r="AB509" i="2"/>
  <c r="AA509" i="2"/>
  <c r="Z509" i="2"/>
  <c r="Y509" i="2"/>
  <c r="X509" i="2"/>
  <c r="W509" i="2"/>
  <c r="V509" i="2"/>
  <c r="U509" i="2"/>
  <c r="T509" i="2"/>
  <c r="S509" i="2"/>
  <c r="R509" i="2"/>
  <c r="Q509" i="2"/>
  <c r="P509" i="2"/>
  <c r="O509" i="2"/>
  <c r="N509" i="2"/>
  <c r="M509" i="2"/>
  <c r="L509" i="2"/>
  <c r="K509" i="2"/>
  <c r="J509" i="2"/>
  <c r="BD509" i="2" s="1"/>
  <c r="I509" i="2"/>
  <c r="E509" i="2" a="1"/>
  <c r="E509" i="2" s="1"/>
  <c r="D509" i="2" a="1"/>
  <c r="D509" i="2" s="1"/>
  <c r="C509" i="2" a="1"/>
  <c r="C509" i="2" s="1"/>
  <c r="B509" i="2" a="1"/>
  <c r="B509" i="2" s="1"/>
  <c r="CG508" i="2"/>
  <c r="CF508" i="2"/>
  <c r="CE508" i="2"/>
  <c r="CD508" i="2"/>
  <c r="CC508" i="2"/>
  <c r="CB508" i="2"/>
  <c r="CA508" i="2"/>
  <c r="BZ508" i="2"/>
  <c r="BY508" i="2"/>
  <c r="BX508" i="2"/>
  <c r="BW508" i="2"/>
  <c r="BV508" i="2"/>
  <c r="BU508" i="2"/>
  <c r="BT508" i="2"/>
  <c r="BS508" i="2"/>
  <c r="BR508" i="2"/>
  <c r="BQ508" i="2"/>
  <c r="BP508" i="2"/>
  <c r="BO508" i="2"/>
  <c r="BN508" i="2"/>
  <c r="BM508" i="2"/>
  <c r="BL508" i="2"/>
  <c r="BK508" i="2"/>
  <c r="BJ508" i="2"/>
  <c r="BI508" i="2"/>
  <c r="BH508" i="2"/>
  <c r="BG508" i="2"/>
  <c r="BF508" i="2"/>
  <c r="BE508" i="2"/>
  <c r="BD508" i="2"/>
  <c r="BC508" i="2"/>
  <c r="BB508" i="2"/>
  <c r="BA508" i="2"/>
  <c r="AZ508" i="2"/>
  <c r="AY508" i="2"/>
  <c r="AX508" i="2"/>
  <c r="AW508" i="2"/>
  <c r="AV508" i="2"/>
  <c r="AU508" i="2"/>
  <c r="AT508" i="2"/>
  <c r="AS508" i="2"/>
  <c r="AR508" i="2"/>
  <c r="AQ508" i="2"/>
  <c r="AP508" i="2"/>
  <c r="AO508" i="2"/>
  <c r="AN508" i="2"/>
  <c r="AM508" i="2"/>
  <c r="AL508" i="2"/>
  <c r="AK508" i="2"/>
  <c r="AJ508" i="2"/>
  <c r="AI508" i="2"/>
  <c r="AH508" i="2"/>
  <c r="AG508" i="2"/>
  <c r="AF508" i="2"/>
  <c r="AE508" i="2"/>
  <c r="AD508" i="2"/>
  <c r="AC508" i="2"/>
  <c r="AB508" i="2"/>
  <c r="AA508" i="2"/>
  <c r="Z508" i="2"/>
  <c r="Y508" i="2"/>
  <c r="X508" i="2"/>
  <c r="W508" i="2"/>
  <c r="V508" i="2"/>
  <c r="U508" i="2"/>
  <c r="T508" i="2"/>
  <c r="S508" i="2"/>
  <c r="R508" i="2"/>
  <c r="Q508" i="2"/>
  <c r="P508" i="2"/>
  <c r="O508" i="2"/>
  <c r="N508" i="2"/>
  <c r="M508" i="2"/>
  <c r="L508" i="2"/>
  <c r="K508" i="2"/>
  <c r="J508" i="2"/>
  <c r="I508" i="2"/>
  <c r="E508" i="2" a="1"/>
  <c r="E508" i="2" s="1"/>
  <c r="D508" i="2" a="1"/>
  <c r="D508" i="2" s="1"/>
  <c r="C508" i="2" a="1"/>
  <c r="C508" i="2" s="1"/>
  <c r="B508" i="2" a="1"/>
  <c r="B508" i="2" s="1"/>
  <c r="CG507" i="2"/>
  <c r="CF507" i="2"/>
  <c r="CE507" i="2"/>
  <c r="CD507" i="2"/>
  <c r="CC507" i="2"/>
  <c r="CB507" i="2"/>
  <c r="CA507" i="2"/>
  <c r="BZ507" i="2"/>
  <c r="BY507" i="2"/>
  <c r="BX507" i="2"/>
  <c r="BW507" i="2"/>
  <c r="BV507" i="2"/>
  <c r="BU507" i="2"/>
  <c r="BT507" i="2"/>
  <c r="BS507" i="2"/>
  <c r="BR507" i="2"/>
  <c r="BQ507" i="2"/>
  <c r="BP507" i="2"/>
  <c r="BO507" i="2"/>
  <c r="BN507" i="2"/>
  <c r="BM507" i="2"/>
  <c r="BL507" i="2"/>
  <c r="BK507" i="2"/>
  <c r="BJ507" i="2"/>
  <c r="BI507" i="2"/>
  <c r="BH507" i="2"/>
  <c r="BG507" i="2"/>
  <c r="BF507" i="2"/>
  <c r="BE507" i="2"/>
  <c r="BD507" i="2"/>
  <c r="BC507" i="2"/>
  <c r="BB507" i="2"/>
  <c r="BA507" i="2"/>
  <c r="AZ507" i="2"/>
  <c r="AY507" i="2"/>
  <c r="AX507" i="2"/>
  <c r="AW507" i="2"/>
  <c r="AV507" i="2"/>
  <c r="AU507" i="2"/>
  <c r="AT507" i="2"/>
  <c r="AS507" i="2"/>
  <c r="AR507" i="2"/>
  <c r="AQ507" i="2"/>
  <c r="AP507" i="2"/>
  <c r="AO507" i="2"/>
  <c r="AN507" i="2"/>
  <c r="AM507" i="2"/>
  <c r="AL507" i="2"/>
  <c r="AK507" i="2"/>
  <c r="AJ507" i="2"/>
  <c r="AI507" i="2"/>
  <c r="AH507" i="2"/>
  <c r="AG507" i="2"/>
  <c r="AF507" i="2"/>
  <c r="AE507" i="2"/>
  <c r="AD507" i="2"/>
  <c r="AC507" i="2"/>
  <c r="AB507" i="2"/>
  <c r="AA507" i="2"/>
  <c r="Z507" i="2"/>
  <c r="Y507" i="2"/>
  <c r="X507" i="2"/>
  <c r="W507" i="2"/>
  <c r="V507" i="2"/>
  <c r="U507" i="2"/>
  <c r="T507" i="2"/>
  <c r="S507" i="2"/>
  <c r="R507" i="2"/>
  <c r="Q507" i="2"/>
  <c r="P507" i="2"/>
  <c r="O507" i="2"/>
  <c r="N507" i="2"/>
  <c r="M507" i="2"/>
  <c r="L507" i="2"/>
  <c r="K507" i="2"/>
  <c r="J507" i="2"/>
  <c r="I507" i="2"/>
  <c r="E507" i="2" a="1"/>
  <c r="E507" i="2" s="1"/>
  <c r="D507" i="2" a="1"/>
  <c r="D507" i="2" s="1"/>
  <c r="C507" i="2" a="1"/>
  <c r="C507" i="2" s="1"/>
  <c r="B507" i="2" a="1"/>
  <c r="B507" i="2" s="1"/>
  <c r="CG506" i="2"/>
  <c r="CF506" i="2"/>
  <c r="CE506" i="2"/>
  <c r="CD506" i="2"/>
  <c r="CC506" i="2"/>
  <c r="CB506" i="2"/>
  <c r="CA506" i="2"/>
  <c r="BZ506" i="2"/>
  <c r="BY506" i="2"/>
  <c r="BX506" i="2"/>
  <c r="BW506" i="2"/>
  <c r="BV506" i="2"/>
  <c r="BU506" i="2"/>
  <c r="BT506" i="2"/>
  <c r="BS506" i="2"/>
  <c r="BR506" i="2"/>
  <c r="BQ506" i="2"/>
  <c r="BP506" i="2"/>
  <c r="BO506" i="2"/>
  <c r="BN506" i="2"/>
  <c r="BM506" i="2"/>
  <c r="BL506" i="2"/>
  <c r="BK506" i="2"/>
  <c r="BJ506" i="2"/>
  <c r="BI506" i="2"/>
  <c r="BH506" i="2"/>
  <c r="BG506" i="2"/>
  <c r="BF506" i="2"/>
  <c r="BE506" i="2"/>
  <c r="BC506" i="2"/>
  <c r="BB506" i="2"/>
  <c r="BA506" i="2"/>
  <c r="AZ506" i="2"/>
  <c r="AY506" i="2"/>
  <c r="AX506" i="2"/>
  <c r="AW506" i="2"/>
  <c r="AV506" i="2"/>
  <c r="AU506" i="2"/>
  <c r="AT506" i="2"/>
  <c r="AS506" i="2"/>
  <c r="AR506" i="2"/>
  <c r="AQ506" i="2"/>
  <c r="AP506" i="2"/>
  <c r="AO506" i="2"/>
  <c r="AN506" i="2"/>
  <c r="AM506" i="2"/>
  <c r="AL506" i="2"/>
  <c r="AK506" i="2"/>
  <c r="AJ506" i="2"/>
  <c r="AI506" i="2"/>
  <c r="AH506" i="2"/>
  <c r="AG506" i="2"/>
  <c r="AF506" i="2"/>
  <c r="AE506" i="2"/>
  <c r="AD506" i="2"/>
  <c r="AC506" i="2"/>
  <c r="AB506" i="2"/>
  <c r="AA506" i="2"/>
  <c r="Z506" i="2"/>
  <c r="Y506" i="2"/>
  <c r="X506" i="2"/>
  <c r="W506" i="2"/>
  <c r="V506" i="2"/>
  <c r="U506" i="2"/>
  <c r="T506" i="2"/>
  <c r="S506" i="2"/>
  <c r="R506" i="2"/>
  <c r="Q506" i="2"/>
  <c r="P506" i="2"/>
  <c r="O506" i="2"/>
  <c r="N506" i="2"/>
  <c r="M506" i="2"/>
  <c r="L506" i="2"/>
  <c r="K506" i="2"/>
  <c r="J506" i="2"/>
  <c r="BD506" i="2" s="1"/>
  <c r="I506" i="2"/>
  <c r="E506" i="2" a="1"/>
  <c r="E506" i="2" s="1"/>
  <c r="D506" i="2" a="1"/>
  <c r="D506" i="2" s="1"/>
  <c r="C506" i="2" a="1"/>
  <c r="C506" i="2" s="1"/>
  <c r="B506" i="2" a="1"/>
  <c r="B506" i="2" s="1"/>
  <c r="CG505" i="2"/>
  <c r="CF505" i="2"/>
  <c r="CE505" i="2"/>
  <c r="CD505" i="2"/>
  <c r="CC505" i="2"/>
  <c r="CB505" i="2"/>
  <c r="CA505" i="2"/>
  <c r="BZ505" i="2"/>
  <c r="BY505" i="2"/>
  <c r="BX505" i="2"/>
  <c r="BW505" i="2"/>
  <c r="BV505" i="2"/>
  <c r="BU505" i="2"/>
  <c r="BT505" i="2"/>
  <c r="BS505" i="2"/>
  <c r="BR505" i="2"/>
  <c r="BQ505" i="2"/>
  <c r="BP505" i="2"/>
  <c r="BO505" i="2"/>
  <c r="BN505" i="2"/>
  <c r="BM505" i="2"/>
  <c r="BL505" i="2"/>
  <c r="BK505" i="2"/>
  <c r="BJ505" i="2"/>
  <c r="BI505" i="2"/>
  <c r="BH505" i="2"/>
  <c r="BG505" i="2"/>
  <c r="BF505" i="2"/>
  <c r="BE505" i="2"/>
  <c r="BC505" i="2"/>
  <c r="BB505" i="2"/>
  <c r="BA505" i="2"/>
  <c r="AZ505" i="2"/>
  <c r="AY505" i="2"/>
  <c r="AX505" i="2"/>
  <c r="AW505" i="2"/>
  <c r="AV505" i="2"/>
  <c r="AU505" i="2"/>
  <c r="AT505" i="2"/>
  <c r="AS505" i="2"/>
  <c r="AR505" i="2"/>
  <c r="AQ505" i="2"/>
  <c r="AP505" i="2"/>
  <c r="AO505" i="2"/>
  <c r="AN505" i="2"/>
  <c r="AM505" i="2"/>
  <c r="AL505" i="2"/>
  <c r="AK505" i="2"/>
  <c r="AJ505" i="2"/>
  <c r="AI505" i="2"/>
  <c r="AH505" i="2"/>
  <c r="AG505" i="2"/>
  <c r="AF505" i="2"/>
  <c r="AE505" i="2"/>
  <c r="AD505" i="2"/>
  <c r="AC505" i="2"/>
  <c r="AB505" i="2"/>
  <c r="AA505" i="2"/>
  <c r="Z505" i="2"/>
  <c r="Y505" i="2"/>
  <c r="X505" i="2"/>
  <c r="W505" i="2"/>
  <c r="V505" i="2"/>
  <c r="U505" i="2"/>
  <c r="T505" i="2"/>
  <c r="S505" i="2"/>
  <c r="R505" i="2"/>
  <c r="Q505" i="2"/>
  <c r="P505" i="2"/>
  <c r="O505" i="2"/>
  <c r="N505" i="2"/>
  <c r="M505" i="2"/>
  <c r="L505" i="2"/>
  <c r="K505" i="2"/>
  <c r="J505" i="2"/>
  <c r="BD505" i="2" s="1"/>
  <c r="I505" i="2"/>
  <c r="E505" i="2" a="1"/>
  <c r="E505" i="2" s="1"/>
  <c r="D505" i="2" a="1"/>
  <c r="D505" i="2" s="1"/>
  <c r="C505" i="2" a="1"/>
  <c r="C505" i="2" s="1"/>
  <c r="B505" i="2" a="1"/>
  <c r="B505" i="2" s="1"/>
  <c r="CG504" i="2"/>
  <c r="CF504" i="2"/>
  <c r="CE504" i="2"/>
  <c r="CD504" i="2"/>
  <c r="CC504" i="2"/>
  <c r="CB504" i="2"/>
  <c r="CA504" i="2"/>
  <c r="BZ504" i="2"/>
  <c r="BY504" i="2"/>
  <c r="BX504" i="2"/>
  <c r="BW504" i="2"/>
  <c r="BV504" i="2"/>
  <c r="BU504" i="2"/>
  <c r="BT504" i="2"/>
  <c r="BS504" i="2"/>
  <c r="BR504" i="2"/>
  <c r="BQ504" i="2"/>
  <c r="BP504" i="2"/>
  <c r="BO504" i="2"/>
  <c r="BN504" i="2"/>
  <c r="BM504" i="2"/>
  <c r="BL504" i="2"/>
  <c r="BK504" i="2"/>
  <c r="BJ504" i="2"/>
  <c r="BI504" i="2"/>
  <c r="BH504" i="2"/>
  <c r="BG504" i="2"/>
  <c r="BF504" i="2"/>
  <c r="BE504" i="2"/>
  <c r="BD504" i="2"/>
  <c r="BC504" i="2"/>
  <c r="BB504" i="2"/>
  <c r="BA504" i="2"/>
  <c r="AZ504" i="2"/>
  <c r="AY504" i="2"/>
  <c r="AX504" i="2"/>
  <c r="AW504" i="2"/>
  <c r="AV504" i="2"/>
  <c r="AU504" i="2"/>
  <c r="AT504" i="2"/>
  <c r="AS504" i="2"/>
  <c r="AR504" i="2"/>
  <c r="AQ504" i="2"/>
  <c r="AP504" i="2"/>
  <c r="AO504" i="2"/>
  <c r="AN504" i="2"/>
  <c r="AM504" i="2"/>
  <c r="AL504" i="2"/>
  <c r="AK504" i="2"/>
  <c r="AJ504" i="2"/>
  <c r="AI504" i="2"/>
  <c r="AH504" i="2"/>
  <c r="AG504" i="2"/>
  <c r="AF504" i="2"/>
  <c r="AE504" i="2"/>
  <c r="AD504" i="2"/>
  <c r="AC504" i="2"/>
  <c r="AB504" i="2"/>
  <c r="AA504" i="2"/>
  <c r="Z504" i="2"/>
  <c r="Y504" i="2"/>
  <c r="X504" i="2"/>
  <c r="W504" i="2"/>
  <c r="V504" i="2"/>
  <c r="U504" i="2"/>
  <c r="T504" i="2"/>
  <c r="S504" i="2"/>
  <c r="R504" i="2"/>
  <c r="Q504" i="2"/>
  <c r="P504" i="2"/>
  <c r="O504" i="2"/>
  <c r="N504" i="2"/>
  <c r="M504" i="2"/>
  <c r="L504" i="2"/>
  <c r="K504" i="2"/>
  <c r="J504" i="2"/>
  <c r="I504" i="2"/>
  <c r="E504" i="2" a="1"/>
  <c r="E504" i="2" s="1"/>
  <c r="D504" i="2" a="1"/>
  <c r="D504" i="2" s="1"/>
  <c r="C504" i="2" a="1"/>
  <c r="C504" i="2" s="1"/>
  <c r="B504" i="2" a="1"/>
  <c r="B504" i="2" s="1"/>
  <c r="CG503" i="2"/>
  <c r="CF503" i="2"/>
  <c r="CE503" i="2"/>
  <c r="CD503" i="2"/>
  <c r="CC503" i="2"/>
  <c r="CB503" i="2"/>
  <c r="CA503" i="2"/>
  <c r="BZ503" i="2"/>
  <c r="BY503" i="2"/>
  <c r="BX503" i="2"/>
  <c r="BW503" i="2"/>
  <c r="BV503" i="2"/>
  <c r="BU503" i="2"/>
  <c r="BT503" i="2"/>
  <c r="BS503" i="2"/>
  <c r="BR503" i="2"/>
  <c r="BQ503" i="2"/>
  <c r="BP503" i="2"/>
  <c r="BO503" i="2"/>
  <c r="BN503" i="2"/>
  <c r="BM503" i="2"/>
  <c r="BL503" i="2"/>
  <c r="BK503" i="2"/>
  <c r="BJ503" i="2"/>
  <c r="BI503" i="2"/>
  <c r="BH503" i="2"/>
  <c r="BG503" i="2"/>
  <c r="BF503" i="2"/>
  <c r="BE503" i="2"/>
  <c r="BD503" i="2"/>
  <c r="BC503" i="2"/>
  <c r="BB503" i="2"/>
  <c r="BA503" i="2"/>
  <c r="AZ503" i="2"/>
  <c r="AY503" i="2"/>
  <c r="AX503" i="2"/>
  <c r="AW503" i="2"/>
  <c r="AV503" i="2"/>
  <c r="AU503" i="2"/>
  <c r="AT503" i="2"/>
  <c r="AS503" i="2"/>
  <c r="AR503" i="2"/>
  <c r="AQ503" i="2"/>
  <c r="AP503" i="2"/>
  <c r="AO503" i="2"/>
  <c r="AN503" i="2"/>
  <c r="AM503" i="2"/>
  <c r="AL503" i="2"/>
  <c r="AK503" i="2"/>
  <c r="AJ503" i="2"/>
  <c r="AI503" i="2"/>
  <c r="AH503" i="2"/>
  <c r="AG503" i="2"/>
  <c r="AF503" i="2"/>
  <c r="AE503" i="2"/>
  <c r="AD503" i="2"/>
  <c r="AC503" i="2"/>
  <c r="AB503" i="2"/>
  <c r="AA503" i="2"/>
  <c r="Z503" i="2"/>
  <c r="Y503" i="2"/>
  <c r="X503" i="2"/>
  <c r="W503" i="2"/>
  <c r="V503" i="2"/>
  <c r="U503" i="2"/>
  <c r="T503" i="2"/>
  <c r="S503" i="2"/>
  <c r="R503" i="2"/>
  <c r="Q503" i="2"/>
  <c r="P503" i="2"/>
  <c r="O503" i="2"/>
  <c r="N503" i="2"/>
  <c r="M503" i="2"/>
  <c r="L503" i="2"/>
  <c r="K503" i="2"/>
  <c r="J503" i="2"/>
  <c r="I503" i="2"/>
  <c r="E503" i="2" a="1"/>
  <c r="E503" i="2" s="1"/>
  <c r="D503" i="2" a="1"/>
  <c r="D503" i="2" s="1"/>
  <c r="C503" i="2" a="1"/>
  <c r="C503" i="2" s="1"/>
  <c r="B503" i="2" a="1"/>
  <c r="B503" i="2" s="1"/>
  <c r="CG502" i="2"/>
  <c r="CF502" i="2"/>
  <c r="CE502" i="2"/>
  <c r="CD502" i="2"/>
  <c r="CC502" i="2"/>
  <c r="CB502" i="2"/>
  <c r="CA502" i="2"/>
  <c r="BZ502" i="2"/>
  <c r="BY502" i="2"/>
  <c r="BX502" i="2"/>
  <c r="BW502" i="2"/>
  <c r="BV502" i="2"/>
  <c r="BU502" i="2"/>
  <c r="BT502" i="2"/>
  <c r="BS502" i="2"/>
  <c r="BR502" i="2"/>
  <c r="BQ502" i="2"/>
  <c r="BP502" i="2"/>
  <c r="BO502" i="2"/>
  <c r="BN502" i="2"/>
  <c r="BM502" i="2"/>
  <c r="BL502" i="2"/>
  <c r="BK502" i="2"/>
  <c r="BJ502" i="2"/>
  <c r="BI502" i="2"/>
  <c r="BH502" i="2"/>
  <c r="BG502" i="2"/>
  <c r="BF502" i="2"/>
  <c r="BE502" i="2"/>
  <c r="BC502" i="2"/>
  <c r="BB502" i="2"/>
  <c r="BA502" i="2"/>
  <c r="AZ502" i="2"/>
  <c r="AY502" i="2"/>
  <c r="AX502" i="2"/>
  <c r="AW502" i="2"/>
  <c r="AV502" i="2"/>
  <c r="AU502" i="2"/>
  <c r="AT502" i="2"/>
  <c r="AS502" i="2"/>
  <c r="AR502" i="2"/>
  <c r="AQ502" i="2"/>
  <c r="AP502" i="2"/>
  <c r="AO502" i="2"/>
  <c r="AN502" i="2"/>
  <c r="AM502" i="2"/>
  <c r="AL502" i="2"/>
  <c r="AK502" i="2"/>
  <c r="AJ502" i="2"/>
  <c r="AI502" i="2"/>
  <c r="AH502" i="2"/>
  <c r="AG502" i="2"/>
  <c r="AF502" i="2"/>
  <c r="AE502" i="2"/>
  <c r="AD502" i="2"/>
  <c r="AC502" i="2"/>
  <c r="AB502" i="2"/>
  <c r="AA502" i="2"/>
  <c r="Z502" i="2"/>
  <c r="Y502" i="2"/>
  <c r="X502" i="2"/>
  <c r="W502" i="2"/>
  <c r="V502" i="2"/>
  <c r="U502" i="2"/>
  <c r="T502" i="2"/>
  <c r="S502" i="2"/>
  <c r="R502" i="2"/>
  <c r="Q502" i="2"/>
  <c r="P502" i="2"/>
  <c r="O502" i="2"/>
  <c r="N502" i="2"/>
  <c r="M502" i="2"/>
  <c r="L502" i="2"/>
  <c r="K502" i="2"/>
  <c r="J502" i="2"/>
  <c r="BD502" i="2" s="1"/>
  <c r="I502" i="2"/>
  <c r="E502" i="2" a="1"/>
  <c r="E502" i="2" s="1"/>
  <c r="D502" i="2" a="1"/>
  <c r="D502" i="2" s="1"/>
  <c r="C502" i="2" a="1"/>
  <c r="C502" i="2" s="1"/>
  <c r="B502" i="2" a="1"/>
  <c r="B502" i="2" s="1"/>
  <c r="CG501" i="2"/>
  <c r="CF501" i="2"/>
  <c r="CE501" i="2"/>
  <c r="CD501" i="2"/>
  <c r="CC501" i="2"/>
  <c r="CB501" i="2"/>
  <c r="CA501" i="2"/>
  <c r="BZ501" i="2"/>
  <c r="BY501" i="2"/>
  <c r="BX501" i="2"/>
  <c r="BW501" i="2"/>
  <c r="BV501" i="2"/>
  <c r="BU501" i="2"/>
  <c r="BT501" i="2"/>
  <c r="BS501" i="2"/>
  <c r="BR501" i="2"/>
  <c r="BQ501" i="2"/>
  <c r="BP501" i="2"/>
  <c r="BO501" i="2"/>
  <c r="BN501" i="2"/>
  <c r="BM501" i="2"/>
  <c r="BL501" i="2"/>
  <c r="BK501" i="2"/>
  <c r="BJ501" i="2"/>
  <c r="BI501" i="2"/>
  <c r="BH501" i="2"/>
  <c r="BG501" i="2"/>
  <c r="BF501" i="2"/>
  <c r="BE501" i="2"/>
  <c r="BC501" i="2"/>
  <c r="BB501" i="2"/>
  <c r="BA501" i="2"/>
  <c r="AZ501" i="2"/>
  <c r="AY501" i="2"/>
  <c r="AX501" i="2"/>
  <c r="AW501" i="2"/>
  <c r="AV501" i="2"/>
  <c r="AU501" i="2"/>
  <c r="AT501" i="2"/>
  <c r="AS501" i="2"/>
  <c r="AR501" i="2"/>
  <c r="AQ501" i="2"/>
  <c r="AP501" i="2"/>
  <c r="AO501" i="2"/>
  <c r="AN501" i="2"/>
  <c r="AM501" i="2"/>
  <c r="AL501" i="2"/>
  <c r="AK501" i="2"/>
  <c r="AJ501" i="2"/>
  <c r="AI501" i="2"/>
  <c r="AH501" i="2"/>
  <c r="AG501" i="2"/>
  <c r="AF501" i="2"/>
  <c r="AE501" i="2"/>
  <c r="AD501" i="2"/>
  <c r="AC501" i="2"/>
  <c r="AB501" i="2"/>
  <c r="AA501" i="2"/>
  <c r="Z501" i="2"/>
  <c r="Y501" i="2"/>
  <c r="X501" i="2"/>
  <c r="W501" i="2"/>
  <c r="V501" i="2"/>
  <c r="U501" i="2"/>
  <c r="T501" i="2"/>
  <c r="S501" i="2"/>
  <c r="R501" i="2"/>
  <c r="Q501" i="2"/>
  <c r="P501" i="2"/>
  <c r="O501" i="2"/>
  <c r="N501" i="2"/>
  <c r="M501" i="2"/>
  <c r="L501" i="2"/>
  <c r="K501" i="2"/>
  <c r="J501" i="2"/>
  <c r="BD501" i="2" s="1"/>
  <c r="I501" i="2"/>
  <c r="E501" i="2" a="1"/>
  <c r="E501" i="2" s="1"/>
  <c r="D501" i="2" a="1"/>
  <c r="D501" i="2" s="1"/>
  <c r="C501" i="2" a="1"/>
  <c r="C501" i="2" s="1"/>
  <c r="B501" i="2" a="1"/>
  <c r="B501" i="2" s="1"/>
  <c r="CG500" i="2"/>
  <c r="CF500" i="2"/>
  <c r="CE500" i="2"/>
  <c r="CD500" i="2"/>
  <c r="CC500" i="2"/>
  <c r="CB500" i="2"/>
  <c r="CA500" i="2"/>
  <c r="BZ500" i="2"/>
  <c r="BY500" i="2"/>
  <c r="BX500" i="2"/>
  <c r="BW500" i="2"/>
  <c r="BV500" i="2"/>
  <c r="BU500" i="2"/>
  <c r="BT500" i="2"/>
  <c r="BS500" i="2"/>
  <c r="BR500" i="2"/>
  <c r="BQ500" i="2"/>
  <c r="BP500" i="2"/>
  <c r="BO500" i="2"/>
  <c r="BN500" i="2"/>
  <c r="BM500" i="2"/>
  <c r="BL500" i="2"/>
  <c r="BK500" i="2"/>
  <c r="BJ500" i="2"/>
  <c r="BI500" i="2"/>
  <c r="BH500" i="2"/>
  <c r="BG500" i="2"/>
  <c r="BF500" i="2"/>
  <c r="BE500" i="2"/>
  <c r="BD500" i="2"/>
  <c r="BC500" i="2"/>
  <c r="BB500" i="2"/>
  <c r="BA500" i="2"/>
  <c r="AZ500" i="2"/>
  <c r="AY500" i="2"/>
  <c r="AX500" i="2"/>
  <c r="AW500" i="2"/>
  <c r="AV500" i="2"/>
  <c r="AU500" i="2"/>
  <c r="AT500" i="2"/>
  <c r="AS500" i="2"/>
  <c r="AR500" i="2"/>
  <c r="AQ500" i="2"/>
  <c r="AP500" i="2"/>
  <c r="AO500" i="2"/>
  <c r="AN500" i="2"/>
  <c r="AM500" i="2"/>
  <c r="AL500" i="2"/>
  <c r="AK500" i="2"/>
  <c r="AJ500" i="2"/>
  <c r="AI500" i="2"/>
  <c r="AH500" i="2"/>
  <c r="AG500" i="2"/>
  <c r="AF500" i="2"/>
  <c r="AE500" i="2"/>
  <c r="AD500" i="2"/>
  <c r="AC500" i="2"/>
  <c r="AB500" i="2"/>
  <c r="AA500" i="2"/>
  <c r="Z500" i="2"/>
  <c r="Y500" i="2"/>
  <c r="X500" i="2"/>
  <c r="W500" i="2"/>
  <c r="V500" i="2"/>
  <c r="U500" i="2"/>
  <c r="T500" i="2"/>
  <c r="S500" i="2"/>
  <c r="R500" i="2"/>
  <c r="Q500" i="2"/>
  <c r="P500" i="2"/>
  <c r="O500" i="2"/>
  <c r="N500" i="2"/>
  <c r="M500" i="2"/>
  <c r="L500" i="2"/>
  <c r="K500" i="2"/>
  <c r="J500" i="2"/>
  <c r="I500" i="2"/>
  <c r="E500" i="2" a="1"/>
  <c r="E500" i="2" s="1"/>
  <c r="D500" i="2" a="1"/>
  <c r="D500" i="2" s="1"/>
  <c r="C500" i="2" a="1"/>
  <c r="C500" i="2" s="1"/>
  <c r="B500" i="2" a="1"/>
  <c r="B500" i="2" s="1"/>
  <c r="CG499" i="2"/>
  <c r="CF499" i="2"/>
  <c r="CE499" i="2"/>
  <c r="CD499" i="2"/>
  <c r="CC499" i="2"/>
  <c r="CB499" i="2"/>
  <c r="CA499" i="2"/>
  <c r="BZ499" i="2"/>
  <c r="BY499" i="2"/>
  <c r="BX499" i="2"/>
  <c r="BW499" i="2"/>
  <c r="BV499" i="2"/>
  <c r="BU499" i="2"/>
  <c r="BT499" i="2"/>
  <c r="BS499" i="2"/>
  <c r="BR499" i="2"/>
  <c r="BQ499" i="2"/>
  <c r="BP499" i="2"/>
  <c r="BO499" i="2"/>
  <c r="BN499" i="2"/>
  <c r="BM499" i="2"/>
  <c r="BL499" i="2"/>
  <c r="BK499" i="2"/>
  <c r="BJ499" i="2"/>
  <c r="BI499" i="2"/>
  <c r="BH499" i="2"/>
  <c r="BG499" i="2"/>
  <c r="BF499" i="2"/>
  <c r="BE499" i="2"/>
  <c r="BD499" i="2"/>
  <c r="BC499" i="2"/>
  <c r="BB499" i="2"/>
  <c r="BA499" i="2"/>
  <c r="AZ499" i="2"/>
  <c r="AY499" i="2"/>
  <c r="AX499" i="2"/>
  <c r="AW499" i="2"/>
  <c r="AV499" i="2"/>
  <c r="AU499" i="2"/>
  <c r="AT499" i="2"/>
  <c r="AS499" i="2"/>
  <c r="AR499" i="2"/>
  <c r="AQ499" i="2"/>
  <c r="AP499" i="2"/>
  <c r="AO499" i="2"/>
  <c r="AN499" i="2"/>
  <c r="AM499" i="2"/>
  <c r="AL499" i="2"/>
  <c r="AK499" i="2"/>
  <c r="AJ499" i="2"/>
  <c r="AI499" i="2"/>
  <c r="AH499" i="2"/>
  <c r="AG499" i="2"/>
  <c r="AF499" i="2"/>
  <c r="AE499" i="2"/>
  <c r="AD499" i="2"/>
  <c r="AC499" i="2"/>
  <c r="AB499" i="2"/>
  <c r="AA499" i="2"/>
  <c r="Z499" i="2"/>
  <c r="Y499" i="2"/>
  <c r="X499" i="2"/>
  <c r="W499" i="2"/>
  <c r="V499" i="2"/>
  <c r="U499" i="2"/>
  <c r="T499" i="2"/>
  <c r="S499" i="2"/>
  <c r="R499" i="2"/>
  <c r="Q499" i="2"/>
  <c r="P499" i="2"/>
  <c r="O499" i="2"/>
  <c r="N499" i="2"/>
  <c r="M499" i="2"/>
  <c r="L499" i="2"/>
  <c r="K499" i="2"/>
  <c r="J499" i="2"/>
  <c r="I499" i="2"/>
  <c r="E499" i="2" a="1"/>
  <c r="E499" i="2" s="1"/>
  <c r="D499" i="2" a="1"/>
  <c r="D499" i="2" s="1"/>
  <c r="C499" i="2" a="1"/>
  <c r="C499" i="2" s="1"/>
  <c r="B499" i="2" a="1"/>
  <c r="B499" i="2" s="1"/>
  <c r="CG498" i="2"/>
  <c r="CF498" i="2"/>
  <c r="CE498" i="2"/>
  <c r="CD498" i="2"/>
  <c r="CC498" i="2"/>
  <c r="CB498" i="2"/>
  <c r="CA498" i="2"/>
  <c r="BZ498" i="2"/>
  <c r="BY498" i="2"/>
  <c r="BX498" i="2"/>
  <c r="BW498" i="2"/>
  <c r="BV498" i="2"/>
  <c r="BU498" i="2"/>
  <c r="BT498" i="2"/>
  <c r="BS498" i="2"/>
  <c r="BR498" i="2"/>
  <c r="BQ498" i="2"/>
  <c r="BP498" i="2"/>
  <c r="BO498" i="2"/>
  <c r="BN498" i="2"/>
  <c r="BM498" i="2"/>
  <c r="BL498" i="2"/>
  <c r="BK498" i="2"/>
  <c r="BJ498" i="2"/>
  <c r="BI498" i="2"/>
  <c r="BH498" i="2"/>
  <c r="BG498" i="2"/>
  <c r="BF498" i="2"/>
  <c r="BE498" i="2"/>
  <c r="BC498" i="2"/>
  <c r="BB498" i="2"/>
  <c r="BA498" i="2"/>
  <c r="AZ498" i="2"/>
  <c r="AY498" i="2"/>
  <c r="AX498" i="2"/>
  <c r="AW498" i="2"/>
  <c r="AV498" i="2"/>
  <c r="AU498" i="2"/>
  <c r="AT498" i="2"/>
  <c r="AS498" i="2"/>
  <c r="AR498" i="2"/>
  <c r="AQ498" i="2"/>
  <c r="AP498" i="2"/>
  <c r="AO498" i="2"/>
  <c r="AN498" i="2"/>
  <c r="AM498" i="2"/>
  <c r="AL498" i="2"/>
  <c r="AK498" i="2"/>
  <c r="AJ498" i="2"/>
  <c r="AI498" i="2"/>
  <c r="AH498" i="2"/>
  <c r="AG498" i="2"/>
  <c r="AF498" i="2"/>
  <c r="AE498" i="2"/>
  <c r="AD498" i="2"/>
  <c r="AC498" i="2"/>
  <c r="AB498" i="2"/>
  <c r="AA498" i="2"/>
  <c r="Z498" i="2"/>
  <c r="Y498" i="2"/>
  <c r="X498" i="2"/>
  <c r="W498" i="2"/>
  <c r="V498" i="2"/>
  <c r="U498" i="2"/>
  <c r="T498" i="2"/>
  <c r="S498" i="2"/>
  <c r="R498" i="2"/>
  <c r="Q498" i="2"/>
  <c r="P498" i="2"/>
  <c r="O498" i="2"/>
  <c r="N498" i="2"/>
  <c r="M498" i="2"/>
  <c r="L498" i="2"/>
  <c r="K498" i="2"/>
  <c r="J498" i="2"/>
  <c r="BD498" i="2" s="1"/>
  <c r="I498" i="2"/>
  <c r="E498" i="2" a="1"/>
  <c r="E498" i="2" s="1"/>
  <c r="D498" i="2" a="1"/>
  <c r="D498" i="2" s="1"/>
  <c r="C498" i="2" a="1"/>
  <c r="C498" i="2" s="1"/>
  <c r="B498" i="2" a="1"/>
  <c r="B498" i="2" s="1"/>
  <c r="CG497" i="2"/>
  <c r="CF497" i="2"/>
  <c r="CE497" i="2"/>
  <c r="CD497" i="2"/>
  <c r="CC497" i="2"/>
  <c r="CB497" i="2"/>
  <c r="CA497" i="2"/>
  <c r="BZ497" i="2"/>
  <c r="BY497" i="2"/>
  <c r="BX497" i="2"/>
  <c r="BW497" i="2"/>
  <c r="BV497" i="2"/>
  <c r="BU497" i="2"/>
  <c r="BT497" i="2"/>
  <c r="BS497" i="2"/>
  <c r="BR497" i="2"/>
  <c r="BQ497" i="2"/>
  <c r="BP497" i="2"/>
  <c r="BO497" i="2"/>
  <c r="BN497" i="2"/>
  <c r="BM497" i="2"/>
  <c r="BL497" i="2"/>
  <c r="BK497" i="2"/>
  <c r="BJ497" i="2"/>
  <c r="BI497" i="2"/>
  <c r="BH497" i="2"/>
  <c r="BG497" i="2"/>
  <c r="BF497" i="2"/>
  <c r="BE497" i="2"/>
  <c r="BC497" i="2"/>
  <c r="BB497" i="2"/>
  <c r="BA497" i="2"/>
  <c r="AZ497" i="2"/>
  <c r="AY497" i="2"/>
  <c r="AX497" i="2"/>
  <c r="AW497" i="2"/>
  <c r="AV497" i="2"/>
  <c r="AU497" i="2"/>
  <c r="AT497" i="2"/>
  <c r="AS497" i="2"/>
  <c r="AR497" i="2"/>
  <c r="AQ497" i="2"/>
  <c r="AP497" i="2"/>
  <c r="AO497" i="2"/>
  <c r="AN497" i="2"/>
  <c r="AM497" i="2"/>
  <c r="AL497" i="2"/>
  <c r="AK497" i="2"/>
  <c r="AJ497" i="2"/>
  <c r="AI497" i="2"/>
  <c r="AH497" i="2"/>
  <c r="AG497" i="2"/>
  <c r="AF497" i="2"/>
  <c r="AE497" i="2"/>
  <c r="AD497" i="2"/>
  <c r="AC497" i="2"/>
  <c r="AB497" i="2"/>
  <c r="AA497" i="2"/>
  <c r="Z497" i="2"/>
  <c r="Y497" i="2"/>
  <c r="X497" i="2"/>
  <c r="W497" i="2"/>
  <c r="V497" i="2"/>
  <c r="U497" i="2"/>
  <c r="T497" i="2"/>
  <c r="S497" i="2"/>
  <c r="R497" i="2"/>
  <c r="Q497" i="2"/>
  <c r="P497" i="2"/>
  <c r="O497" i="2"/>
  <c r="N497" i="2"/>
  <c r="M497" i="2"/>
  <c r="L497" i="2"/>
  <c r="K497" i="2"/>
  <c r="J497" i="2"/>
  <c r="BD497" i="2" s="1"/>
  <c r="I497" i="2"/>
  <c r="E497" i="2" a="1"/>
  <c r="E497" i="2" s="1"/>
  <c r="D497" i="2" a="1"/>
  <c r="D497" i="2" s="1"/>
  <c r="C497" i="2" a="1"/>
  <c r="C497" i="2" s="1"/>
  <c r="B497" i="2" a="1"/>
  <c r="B497" i="2" s="1"/>
  <c r="CG496" i="2"/>
  <c r="CF496" i="2"/>
  <c r="CE496" i="2"/>
  <c r="CD496" i="2"/>
  <c r="CC496" i="2"/>
  <c r="CB496" i="2"/>
  <c r="CA496" i="2"/>
  <c r="BZ496" i="2"/>
  <c r="BY496" i="2"/>
  <c r="BX496" i="2"/>
  <c r="BW496" i="2"/>
  <c r="BV496" i="2"/>
  <c r="BU496" i="2"/>
  <c r="BT496" i="2"/>
  <c r="BS496" i="2"/>
  <c r="BR496" i="2"/>
  <c r="BQ496" i="2"/>
  <c r="BP496" i="2"/>
  <c r="BO496" i="2"/>
  <c r="BN496" i="2"/>
  <c r="BM496" i="2"/>
  <c r="BL496" i="2"/>
  <c r="BK496" i="2"/>
  <c r="BJ496" i="2"/>
  <c r="BI496" i="2"/>
  <c r="BH496" i="2"/>
  <c r="BG496" i="2"/>
  <c r="BF496" i="2"/>
  <c r="BE496" i="2"/>
  <c r="BD496" i="2"/>
  <c r="BC496" i="2"/>
  <c r="BB496" i="2"/>
  <c r="BA496" i="2"/>
  <c r="AZ496" i="2"/>
  <c r="AY496" i="2"/>
  <c r="AX496" i="2"/>
  <c r="AW496" i="2"/>
  <c r="AV496" i="2"/>
  <c r="AU496" i="2"/>
  <c r="AT496" i="2"/>
  <c r="AS496" i="2"/>
  <c r="AR496" i="2"/>
  <c r="AQ496" i="2"/>
  <c r="AP496" i="2"/>
  <c r="AO496" i="2"/>
  <c r="AN496" i="2"/>
  <c r="AM496" i="2"/>
  <c r="AL496" i="2"/>
  <c r="AK496" i="2"/>
  <c r="AJ496" i="2"/>
  <c r="AI496" i="2"/>
  <c r="AH496" i="2"/>
  <c r="AG496" i="2"/>
  <c r="AF496" i="2"/>
  <c r="AE496" i="2"/>
  <c r="AD496" i="2"/>
  <c r="AC496" i="2"/>
  <c r="AB496" i="2"/>
  <c r="AA496" i="2"/>
  <c r="Z496" i="2"/>
  <c r="Y496" i="2"/>
  <c r="X496" i="2"/>
  <c r="W496" i="2"/>
  <c r="V496" i="2"/>
  <c r="U496" i="2"/>
  <c r="T496" i="2"/>
  <c r="S496" i="2"/>
  <c r="R496" i="2"/>
  <c r="Q496" i="2"/>
  <c r="P496" i="2"/>
  <c r="O496" i="2"/>
  <c r="N496" i="2"/>
  <c r="M496" i="2"/>
  <c r="L496" i="2"/>
  <c r="K496" i="2"/>
  <c r="J496" i="2"/>
  <c r="I496" i="2"/>
  <c r="E496" i="2" a="1"/>
  <c r="E496" i="2" s="1"/>
  <c r="D496" i="2" a="1"/>
  <c r="D496" i="2" s="1"/>
  <c r="C496" i="2" a="1"/>
  <c r="C496" i="2" s="1"/>
  <c r="B496" i="2" a="1"/>
  <c r="B496" i="2" s="1"/>
  <c r="CG495" i="2"/>
  <c r="CF495" i="2"/>
  <c r="CE495" i="2"/>
  <c r="CD495" i="2"/>
  <c r="CC495" i="2"/>
  <c r="CB495" i="2"/>
  <c r="CA495" i="2"/>
  <c r="BZ495" i="2"/>
  <c r="BY495" i="2"/>
  <c r="BX495" i="2"/>
  <c r="BW495" i="2"/>
  <c r="BV495" i="2"/>
  <c r="BU495" i="2"/>
  <c r="BT495" i="2"/>
  <c r="BS495" i="2"/>
  <c r="BR495" i="2"/>
  <c r="BQ495" i="2"/>
  <c r="BP495" i="2"/>
  <c r="BO495" i="2"/>
  <c r="BN495" i="2"/>
  <c r="BM495" i="2"/>
  <c r="BL495" i="2"/>
  <c r="BK495" i="2"/>
  <c r="BJ495" i="2"/>
  <c r="BI495" i="2"/>
  <c r="BH495" i="2"/>
  <c r="BG495" i="2"/>
  <c r="BF495" i="2"/>
  <c r="BE495" i="2"/>
  <c r="BD495" i="2"/>
  <c r="BC495" i="2"/>
  <c r="BB495" i="2"/>
  <c r="BA495" i="2"/>
  <c r="AZ495" i="2"/>
  <c r="AY495" i="2"/>
  <c r="AX495" i="2"/>
  <c r="AW495" i="2"/>
  <c r="AV495" i="2"/>
  <c r="AU495" i="2"/>
  <c r="AT495" i="2"/>
  <c r="AS495" i="2"/>
  <c r="AR495" i="2"/>
  <c r="AQ495" i="2"/>
  <c r="AP495" i="2"/>
  <c r="AO495" i="2"/>
  <c r="AN495" i="2"/>
  <c r="AM495" i="2"/>
  <c r="AL495" i="2"/>
  <c r="AK495" i="2"/>
  <c r="AJ495" i="2"/>
  <c r="AI495" i="2"/>
  <c r="AH495" i="2"/>
  <c r="AG495" i="2"/>
  <c r="AF495" i="2"/>
  <c r="AE495" i="2"/>
  <c r="AD495" i="2"/>
  <c r="AC495" i="2"/>
  <c r="AB495" i="2"/>
  <c r="AA495" i="2"/>
  <c r="Z495" i="2"/>
  <c r="Y495" i="2"/>
  <c r="X495" i="2"/>
  <c r="W495" i="2"/>
  <c r="V495" i="2"/>
  <c r="U495" i="2"/>
  <c r="T495" i="2"/>
  <c r="S495" i="2"/>
  <c r="R495" i="2"/>
  <c r="Q495" i="2"/>
  <c r="P495" i="2"/>
  <c r="O495" i="2"/>
  <c r="N495" i="2"/>
  <c r="M495" i="2"/>
  <c r="L495" i="2"/>
  <c r="K495" i="2"/>
  <c r="J495" i="2"/>
  <c r="I495" i="2"/>
  <c r="E495" i="2" a="1"/>
  <c r="E495" i="2" s="1"/>
  <c r="D495" i="2" a="1"/>
  <c r="D495" i="2" s="1"/>
  <c r="C495" i="2" a="1"/>
  <c r="C495" i="2" s="1"/>
  <c r="B495" i="2" a="1"/>
  <c r="B495" i="2" s="1"/>
  <c r="CG494" i="2"/>
  <c r="CF494" i="2"/>
  <c r="CE494" i="2"/>
  <c r="CD494" i="2"/>
  <c r="CC494" i="2"/>
  <c r="CB494" i="2"/>
  <c r="CA494" i="2"/>
  <c r="BZ494" i="2"/>
  <c r="BY494" i="2"/>
  <c r="BX494" i="2"/>
  <c r="BW494" i="2"/>
  <c r="BV494" i="2"/>
  <c r="BU494" i="2"/>
  <c r="BT494" i="2"/>
  <c r="BS494" i="2"/>
  <c r="BR494" i="2"/>
  <c r="BQ494" i="2"/>
  <c r="BP494" i="2"/>
  <c r="BO494" i="2"/>
  <c r="BN494" i="2"/>
  <c r="BM494" i="2"/>
  <c r="BL494" i="2"/>
  <c r="BK494" i="2"/>
  <c r="BJ494" i="2"/>
  <c r="BI494" i="2"/>
  <c r="BH494" i="2"/>
  <c r="BG494" i="2"/>
  <c r="BF494" i="2"/>
  <c r="BE494" i="2"/>
  <c r="BC494" i="2"/>
  <c r="BB494" i="2"/>
  <c r="BA494" i="2"/>
  <c r="AZ494" i="2"/>
  <c r="AY494" i="2"/>
  <c r="AX494" i="2"/>
  <c r="AW494" i="2"/>
  <c r="AV494" i="2"/>
  <c r="AU494" i="2"/>
  <c r="AT494" i="2"/>
  <c r="AS494" i="2"/>
  <c r="AR494" i="2"/>
  <c r="AQ494" i="2"/>
  <c r="AP494" i="2"/>
  <c r="AO494" i="2"/>
  <c r="AN494" i="2"/>
  <c r="AM494" i="2"/>
  <c r="AL494" i="2"/>
  <c r="AK494" i="2"/>
  <c r="AJ494" i="2"/>
  <c r="AI494" i="2"/>
  <c r="AH494" i="2"/>
  <c r="AG494" i="2"/>
  <c r="AF494" i="2"/>
  <c r="AE494" i="2"/>
  <c r="AD494" i="2"/>
  <c r="AC494" i="2"/>
  <c r="AB494" i="2"/>
  <c r="AA494" i="2"/>
  <c r="Z494" i="2"/>
  <c r="Y494" i="2"/>
  <c r="X494" i="2"/>
  <c r="W494" i="2"/>
  <c r="V494" i="2"/>
  <c r="U494" i="2"/>
  <c r="T494" i="2"/>
  <c r="S494" i="2"/>
  <c r="R494" i="2"/>
  <c r="Q494" i="2"/>
  <c r="P494" i="2"/>
  <c r="O494" i="2"/>
  <c r="N494" i="2"/>
  <c r="M494" i="2"/>
  <c r="L494" i="2"/>
  <c r="K494" i="2"/>
  <c r="J494" i="2"/>
  <c r="BD494" i="2" s="1"/>
  <c r="I494" i="2"/>
  <c r="E494" i="2" a="1"/>
  <c r="E494" i="2" s="1"/>
  <c r="D494" i="2" a="1"/>
  <c r="D494" i="2" s="1"/>
  <c r="C494" i="2" a="1"/>
  <c r="C494" i="2" s="1"/>
  <c r="B494" i="2" a="1"/>
  <c r="B494" i="2" s="1"/>
  <c r="CG493" i="2"/>
  <c r="CF493" i="2"/>
  <c r="CE493" i="2"/>
  <c r="CD493" i="2"/>
  <c r="CC493" i="2"/>
  <c r="CB493" i="2"/>
  <c r="CA493" i="2"/>
  <c r="BZ493" i="2"/>
  <c r="BY493" i="2"/>
  <c r="BX493" i="2"/>
  <c r="BW493" i="2"/>
  <c r="BV493" i="2"/>
  <c r="BU493" i="2"/>
  <c r="BT493" i="2"/>
  <c r="BS493" i="2"/>
  <c r="BR493" i="2"/>
  <c r="BQ493" i="2"/>
  <c r="BP493" i="2"/>
  <c r="BO493" i="2"/>
  <c r="BN493" i="2"/>
  <c r="BM493" i="2"/>
  <c r="BL493" i="2"/>
  <c r="BK493" i="2"/>
  <c r="BJ493" i="2"/>
  <c r="BI493" i="2"/>
  <c r="BH493" i="2"/>
  <c r="BG493" i="2"/>
  <c r="BF493" i="2"/>
  <c r="BE493" i="2"/>
  <c r="BC493" i="2"/>
  <c r="BB493" i="2"/>
  <c r="BA493" i="2"/>
  <c r="AZ493" i="2"/>
  <c r="AY493" i="2"/>
  <c r="AX493" i="2"/>
  <c r="AW493" i="2"/>
  <c r="AV493" i="2"/>
  <c r="AU493" i="2"/>
  <c r="AT493" i="2"/>
  <c r="AS493" i="2"/>
  <c r="AR493" i="2"/>
  <c r="AQ493" i="2"/>
  <c r="AP493" i="2"/>
  <c r="AO493" i="2"/>
  <c r="AN493" i="2"/>
  <c r="AM493" i="2"/>
  <c r="AL493" i="2"/>
  <c r="AK493" i="2"/>
  <c r="AJ493" i="2"/>
  <c r="AI493" i="2"/>
  <c r="AH493" i="2"/>
  <c r="AG493" i="2"/>
  <c r="AF493" i="2"/>
  <c r="AE493" i="2"/>
  <c r="AD493" i="2"/>
  <c r="AC493" i="2"/>
  <c r="AB493" i="2"/>
  <c r="AA493" i="2"/>
  <c r="Z493" i="2"/>
  <c r="Y493" i="2"/>
  <c r="X493" i="2"/>
  <c r="W493" i="2"/>
  <c r="V493" i="2"/>
  <c r="U493" i="2"/>
  <c r="T493" i="2"/>
  <c r="S493" i="2"/>
  <c r="R493" i="2"/>
  <c r="Q493" i="2"/>
  <c r="P493" i="2"/>
  <c r="O493" i="2"/>
  <c r="N493" i="2"/>
  <c r="M493" i="2"/>
  <c r="L493" i="2"/>
  <c r="K493" i="2"/>
  <c r="J493" i="2"/>
  <c r="BD493" i="2" s="1"/>
  <c r="I493" i="2"/>
  <c r="E493" i="2" a="1"/>
  <c r="E493" i="2" s="1"/>
  <c r="D493" i="2" a="1"/>
  <c r="D493" i="2" s="1"/>
  <c r="C493" i="2" a="1"/>
  <c r="C493" i="2" s="1"/>
  <c r="B493" i="2" a="1"/>
  <c r="B493" i="2" s="1"/>
  <c r="CG492" i="2"/>
  <c r="CF492" i="2"/>
  <c r="CE492" i="2"/>
  <c r="CD492" i="2"/>
  <c r="CC492" i="2"/>
  <c r="CB492" i="2"/>
  <c r="CA492" i="2"/>
  <c r="BZ492" i="2"/>
  <c r="BY492" i="2"/>
  <c r="BX492" i="2"/>
  <c r="BW492" i="2"/>
  <c r="BV492" i="2"/>
  <c r="BU492" i="2"/>
  <c r="BT492" i="2"/>
  <c r="BS492" i="2"/>
  <c r="BR492" i="2"/>
  <c r="BQ492" i="2"/>
  <c r="BP492" i="2"/>
  <c r="BO492" i="2"/>
  <c r="BN492" i="2"/>
  <c r="BM492" i="2"/>
  <c r="BL492" i="2"/>
  <c r="BK492" i="2"/>
  <c r="BJ492" i="2"/>
  <c r="BI492" i="2"/>
  <c r="BH492" i="2"/>
  <c r="BG492" i="2"/>
  <c r="BF492" i="2"/>
  <c r="BE492" i="2"/>
  <c r="BD492" i="2"/>
  <c r="BC492" i="2"/>
  <c r="BB492" i="2"/>
  <c r="BA492" i="2"/>
  <c r="AZ492" i="2"/>
  <c r="AY492" i="2"/>
  <c r="AX492" i="2"/>
  <c r="AW492" i="2"/>
  <c r="AV492" i="2"/>
  <c r="AU492" i="2"/>
  <c r="AT492" i="2"/>
  <c r="AS492" i="2"/>
  <c r="AR492" i="2"/>
  <c r="AQ492" i="2"/>
  <c r="AP492" i="2"/>
  <c r="AO492" i="2"/>
  <c r="AN492" i="2"/>
  <c r="AM492" i="2"/>
  <c r="AL492" i="2"/>
  <c r="AK492" i="2"/>
  <c r="AJ492" i="2"/>
  <c r="AI492" i="2"/>
  <c r="AH492" i="2"/>
  <c r="AG492" i="2"/>
  <c r="AF492" i="2"/>
  <c r="AE492" i="2"/>
  <c r="AD492" i="2"/>
  <c r="AC492" i="2"/>
  <c r="AB492" i="2"/>
  <c r="AA492" i="2"/>
  <c r="Z492" i="2"/>
  <c r="Y492" i="2"/>
  <c r="X492" i="2"/>
  <c r="W492" i="2"/>
  <c r="V492" i="2"/>
  <c r="U492" i="2"/>
  <c r="T492" i="2"/>
  <c r="S492" i="2"/>
  <c r="R492" i="2"/>
  <c r="Q492" i="2"/>
  <c r="P492" i="2"/>
  <c r="O492" i="2"/>
  <c r="N492" i="2"/>
  <c r="M492" i="2"/>
  <c r="L492" i="2"/>
  <c r="K492" i="2"/>
  <c r="J492" i="2"/>
  <c r="I492" i="2"/>
  <c r="E492" i="2" a="1"/>
  <c r="E492" i="2" s="1"/>
  <c r="D492" i="2" a="1"/>
  <c r="D492" i="2" s="1"/>
  <c r="C492" i="2" a="1"/>
  <c r="C492" i="2" s="1"/>
  <c r="B492" i="2" a="1"/>
  <c r="B492" i="2" s="1"/>
  <c r="CG491" i="2"/>
  <c r="CF491" i="2"/>
  <c r="CE491" i="2"/>
  <c r="CD491" i="2"/>
  <c r="CC491" i="2"/>
  <c r="CB491" i="2"/>
  <c r="CA491" i="2"/>
  <c r="BZ491" i="2"/>
  <c r="BY491" i="2"/>
  <c r="BX491" i="2"/>
  <c r="BW491" i="2"/>
  <c r="BV491" i="2"/>
  <c r="BU491" i="2"/>
  <c r="BT491" i="2"/>
  <c r="BS491" i="2"/>
  <c r="BR491" i="2"/>
  <c r="BQ491" i="2"/>
  <c r="BP491" i="2"/>
  <c r="BO491" i="2"/>
  <c r="BN491" i="2"/>
  <c r="BM491" i="2"/>
  <c r="BL491" i="2"/>
  <c r="BK491" i="2"/>
  <c r="BJ491" i="2"/>
  <c r="BI491" i="2"/>
  <c r="BH491" i="2"/>
  <c r="BG491" i="2"/>
  <c r="BF491" i="2"/>
  <c r="BE491" i="2"/>
  <c r="BD491" i="2"/>
  <c r="BC491" i="2"/>
  <c r="BB491" i="2"/>
  <c r="BA491" i="2"/>
  <c r="AZ491" i="2"/>
  <c r="AY491" i="2"/>
  <c r="AX491" i="2"/>
  <c r="AW491" i="2"/>
  <c r="AV491" i="2"/>
  <c r="AU491" i="2"/>
  <c r="AT491" i="2"/>
  <c r="AS491" i="2"/>
  <c r="AR491" i="2"/>
  <c r="AQ491" i="2"/>
  <c r="AP491" i="2"/>
  <c r="AO491" i="2"/>
  <c r="AN491" i="2"/>
  <c r="AM491" i="2"/>
  <c r="AL491" i="2"/>
  <c r="AK491" i="2"/>
  <c r="AJ491" i="2"/>
  <c r="AI491" i="2"/>
  <c r="AH491" i="2"/>
  <c r="AG491" i="2"/>
  <c r="AF491" i="2"/>
  <c r="AE491" i="2"/>
  <c r="AD491" i="2"/>
  <c r="AC491" i="2"/>
  <c r="AB491" i="2"/>
  <c r="AA491" i="2"/>
  <c r="Z491" i="2"/>
  <c r="Y491" i="2"/>
  <c r="X491" i="2"/>
  <c r="W491" i="2"/>
  <c r="V491" i="2"/>
  <c r="U491" i="2"/>
  <c r="T491" i="2"/>
  <c r="S491" i="2"/>
  <c r="R491" i="2"/>
  <c r="Q491" i="2"/>
  <c r="P491" i="2"/>
  <c r="O491" i="2"/>
  <c r="N491" i="2"/>
  <c r="M491" i="2"/>
  <c r="L491" i="2"/>
  <c r="K491" i="2"/>
  <c r="J491" i="2"/>
  <c r="I491" i="2"/>
  <c r="E491" i="2" a="1"/>
  <c r="E491" i="2" s="1"/>
  <c r="D491" i="2" a="1"/>
  <c r="D491" i="2" s="1"/>
  <c r="C491" i="2" a="1"/>
  <c r="C491" i="2" s="1"/>
  <c r="B491" i="2" a="1"/>
  <c r="B491" i="2" s="1"/>
  <c r="CG490" i="2"/>
  <c r="CF490" i="2"/>
  <c r="CE490" i="2"/>
  <c r="CD490" i="2"/>
  <c r="CC490" i="2"/>
  <c r="CB490" i="2"/>
  <c r="CA490" i="2"/>
  <c r="BZ490" i="2"/>
  <c r="BY490" i="2"/>
  <c r="BX490" i="2"/>
  <c r="BW490" i="2"/>
  <c r="BV490" i="2"/>
  <c r="BU490" i="2"/>
  <c r="BT490" i="2"/>
  <c r="BS490" i="2"/>
  <c r="BR490" i="2"/>
  <c r="BQ490" i="2"/>
  <c r="BP490" i="2"/>
  <c r="BO490" i="2"/>
  <c r="BN490" i="2"/>
  <c r="BM490" i="2"/>
  <c r="BL490" i="2"/>
  <c r="BK490" i="2"/>
  <c r="BJ490" i="2"/>
  <c r="BI490" i="2"/>
  <c r="BH490" i="2"/>
  <c r="BG490" i="2"/>
  <c r="BF490" i="2"/>
  <c r="BE490" i="2"/>
  <c r="BC490" i="2"/>
  <c r="BB490" i="2"/>
  <c r="BA490" i="2"/>
  <c r="AZ490" i="2"/>
  <c r="AY490" i="2"/>
  <c r="AX490" i="2"/>
  <c r="AW490" i="2"/>
  <c r="AV490" i="2"/>
  <c r="AU490" i="2"/>
  <c r="AT490" i="2"/>
  <c r="AS490" i="2"/>
  <c r="AR490" i="2"/>
  <c r="AQ490" i="2"/>
  <c r="AP490" i="2"/>
  <c r="AO490" i="2"/>
  <c r="AN490" i="2"/>
  <c r="AM490" i="2"/>
  <c r="AL490" i="2"/>
  <c r="AK490" i="2"/>
  <c r="AJ490" i="2"/>
  <c r="AI490" i="2"/>
  <c r="AH490" i="2"/>
  <c r="AG490" i="2"/>
  <c r="AF490" i="2"/>
  <c r="AE490" i="2"/>
  <c r="AD490" i="2"/>
  <c r="AC490" i="2"/>
  <c r="AB490" i="2"/>
  <c r="AA490" i="2"/>
  <c r="Z490" i="2"/>
  <c r="Y490" i="2"/>
  <c r="X490" i="2"/>
  <c r="W490" i="2"/>
  <c r="V490" i="2"/>
  <c r="U490" i="2"/>
  <c r="T490" i="2"/>
  <c r="S490" i="2"/>
  <c r="R490" i="2"/>
  <c r="Q490" i="2"/>
  <c r="P490" i="2"/>
  <c r="O490" i="2"/>
  <c r="N490" i="2"/>
  <c r="M490" i="2"/>
  <c r="L490" i="2"/>
  <c r="K490" i="2"/>
  <c r="J490" i="2"/>
  <c r="BD490" i="2" s="1"/>
  <c r="I490" i="2"/>
  <c r="E490" i="2" a="1"/>
  <c r="E490" i="2" s="1"/>
  <c r="D490" i="2" a="1"/>
  <c r="D490" i="2" s="1"/>
  <c r="C490" i="2" a="1"/>
  <c r="C490" i="2" s="1"/>
  <c r="B490" i="2" a="1"/>
  <c r="B490" i="2" s="1"/>
  <c r="CG489" i="2"/>
  <c r="CF489" i="2"/>
  <c r="CE489" i="2"/>
  <c r="CD489" i="2"/>
  <c r="CC489" i="2"/>
  <c r="CB489" i="2"/>
  <c r="CA489" i="2"/>
  <c r="BZ489" i="2"/>
  <c r="BY489" i="2"/>
  <c r="BX489" i="2"/>
  <c r="BW489" i="2"/>
  <c r="BV489" i="2"/>
  <c r="BU489" i="2"/>
  <c r="BT489" i="2"/>
  <c r="BS489" i="2"/>
  <c r="BR489" i="2"/>
  <c r="BQ489" i="2"/>
  <c r="BP489" i="2"/>
  <c r="BO489" i="2"/>
  <c r="BN489" i="2"/>
  <c r="BM489" i="2"/>
  <c r="BL489" i="2"/>
  <c r="BK489" i="2"/>
  <c r="BJ489" i="2"/>
  <c r="BI489" i="2"/>
  <c r="BH489" i="2"/>
  <c r="BG489" i="2"/>
  <c r="BF489" i="2"/>
  <c r="BE489" i="2"/>
  <c r="BC489" i="2"/>
  <c r="BB489" i="2"/>
  <c r="BA489" i="2"/>
  <c r="AZ489" i="2"/>
  <c r="AY489" i="2"/>
  <c r="AX489" i="2"/>
  <c r="AW489" i="2"/>
  <c r="AV489" i="2"/>
  <c r="AU489" i="2"/>
  <c r="AT489" i="2"/>
  <c r="AS489" i="2"/>
  <c r="AR489" i="2"/>
  <c r="AQ489" i="2"/>
  <c r="AP489" i="2"/>
  <c r="AO489" i="2"/>
  <c r="AN489" i="2"/>
  <c r="AM489" i="2"/>
  <c r="AL489" i="2"/>
  <c r="AK489" i="2"/>
  <c r="AJ489" i="2"/>
  <c r="AI489" i="2"/>
  <c r="AH489" i="2"/>
  <c r="AG489" i="2"/>
  <c r="AF489" i="2"/>
  <c r="AE489" i="2"/>
  <c r="AD489" i="2"/>
  <c r="AC489" i="2"/>
  <c r="AB489" i="2"/>
  <c r="AA489" i="2"/>
  <c r="Z489" i="2"/>
  <c r="Y489" i="2"/>
  <c r="X489" i="2"/>
  <c r="W489" i="2"/>
  <c r="V489" i="2"/>
  <c r="U489" i="2"/>
  <c r="T489" i="2"/>
  <c r="S489" i="2"/>
  <c r="R489" i="2"/>
  <c r="Q489" i="2"/>
  <c r="P489" i="2"/>
  <c r="O489" i="2"/>
  <c r="N489" i="2"/>
  <c r="M489" i="2"/>
  <c r="L489" i="2"/>
  <c r="K489" i="2"/>
  <c r="J489" i="2"/>
  <c r="BD489" i="2" s="1"/>
  <c r="I489" i="2"/>
  <c r="E489" i="2" a="1"/>
  <c r="E489" i="2" s="1"/>
  <c r="D489" i="2" a="1"/>
  <c r="D489" i="2" s="1"/>
  <c r="C489" i="2" a="1"/>
  <c r="C489" i="2" s="1"/>
  <c r="B489" i="2" a="1"/>
  <c r="B489" i="2" s="1"/>
  <c r="CG488" i="2"/>
  <c r="CF488" i="2"/>
  <c r="CE488" i="2"/>
  <c r="CD488" i="2"/>
  <c r="CC488" i="2"/>
  <c r="CB488" i="2"/>
  <c r="CA488" i="2"/>
  <c r="BZ488" i="2"/>
  <c r="BY488" i="2"/>
  <c r="BX488" i="2"/>
  <c r="BW488" i="2"/>
  <c r="BV488" i="2"/>
  <c r="BU488" i="2"/>
  <c r="BT488" i="2"/>
  <c r="BS488" i="2"/>
  <c r="BR488" i="2"/>
  <c r="BQ488" i="2"/>
  <c r="BP488" i="2"/>
  <c r="BO488" i="2"/>
  <c r="BN488" i="2"/>
  <c r="BM488" i="2"/>
  <c r="BL488" i="2"/>
  <c r="BK488" i="2"/>
  <c r="BJ488" i="2"/>
  <c r="BI488" i="2"/>
  <c r="BH488" i="2"/>
  <c r="BG488" i="2"/>
  <c r="BF488" i="2"/>
  <c r="BE488" i="2"/>
  <c r="BD488" i="2"/>
  <c r="BC488" i="2"/>
  <c r="BB488" i="2"/>
  <c r="BA488" i="2"/>
  <c r="AZ488" i="2"/>
  <c r="AY488" i="2"/>
  <c r="AX488" i="2"/>
  <c r="AW488" i="2"/>
  <c r="AV488" i="2"/>
  <c r="AU488" i="2"/>
  <c r="AT488" i="2"/>
  <c r="AS488" i="2"/>
  <c r="AR488" i="2"/>
  <c r="AQ488" i="2"/>
  <c r="AP488" i="2"/>
  <c r="AO488" i="2"/>
  <c r="AN488" i="2"/>
  <c r="AM488" i="2"/>
  <c r="AL488" i="2"/>
  <c r="AK488" i="2"/>
  <c r="AJ488" i="2"/>
  <c r="AI488" i="2"/>
  <c r="AH488" i="2"/>
  <c r="AG488" i="2"/>
  <c r="AF488" i="2"/>
  <c r="AE488" i="2"/>
  <c r="AD488" i="2"/>
  <c r="AC488" i="2"/>
  <c r="AB488" i="2"/>
  <c r="AA488" i="2"/>
  <c r="Z488" i="2"/>
  <c r="Y488" i="2"/>
  <c r="X488" i="2"/>
  <c r="W488" i="2"/>
  <c r="V488" i="2"/>
  <c r="U488" i="2"/>
  <c r="T488" i="2"/>
  <c r="S488" i="2"/>
  <c r="R488" i="2"/>
  <c r="Q488" i="2"/>
  <c r="P488" i="2"/>
  <c r="O488" i="2"/>
  <c r="N488" i="2"/>
  <c r="M488" i="2"/>
  <c r="L488" i="2"/>
  <c r="K488" i="2"/>
  <c r="J488" i="2"/>
  <c r="I488" i="2"/>
  <c r="E488" i="2" a="1"/>
  <c r="E488" i="2" s="1"/>
  <c r="D488" i="2" a="1"/>
  <c r="D488" i="2" s="1"/>
  <c r="C488" i="2" a="1"/>
  <c r="C488" i="2" s="1"/>
  <c r="B488" i="2" a="1"/>
  <c r="B488" i="2" s="1"/>
  <c r="CG487" i="2"/>
  <c r="CF487" i="2"/>
  <c r="CE487" i="2"/>
  <c r="CD487" i="2"/>
  <c r="CC487" i="2"/>
  <c r="CB487" i="2"/>
  <c r="CA487" i="2"/>
  <c r="BZ487" i="2"/>
  <c r="BY487" i="2"/>
  <c r="BX487" i="2"/>
  <c r="BW487" i="2"/>
  <c r="BV487" i="2"/>
  <c r="BU487" i="2"/>
  <c r="BT487" i="2"/>
  <c r="BS487" i="2"/>
  <c r="BR487" i="2"/>
  <c r="BQ487" i="2"/>
  <c r="BP487" i="2"/>
  <c r="BO487" i="2"/>
  <c r="BN487" i="2"/>
  <c r="BM487" i="2"/>
  <c r="BL487" i="2"/>
  <c r="BK487" i="2"/>
  <c r="BJ487" i="2"/>
  <c r="BI487" i="2"/>
  <c r="BH487" i="2"/>
  <c r="BG487" i="2"/>
  <c r="BF487" i="2"/>
  <c r="BE487" i="2"/>
  <c r="BD487" i="2"/>
  <c r="BC487" i="2"/>
  <c r="BB487" i="2"/>
  <c r="BA487" i="2"/>
  <c r="AZ487" i="2"/>
  <c r="AY487" i="2"/>
  <c r="AX487" i="2"/>
  <c r="AW487" i="2"/>
  <c r="AV487" i="2"/>
  <c r="AU487" i="2"/>
  <c r="AT487" i="2"/>
  <c r="AS487" i="2"/>
  <c r="AR487" i="2"/>
  <c r="AQ487" i="2"/>
  <c r="AP487" i="2"/>
  <c r="AO487" i="2"/>
  <c r="AN487" i="2"/>
  <c r="AM487" i="2"/>
  <c r="AL487" i="2"/>
  <c r="AK487" i="2"/>
  <c r="AJ487" i="2"/>
  <c r="AI487" i="2"/>
  <c r="AH487" i="2"/>
  <c r="AG487" i="2"/>
  <c r="AF487" i="2"/>
  <c r="AE487" i="2"/>
  <c r="AD487" i="2"/>
  <c r="AC487" i="2"/>
  <c r="AB487" i="2"/>
  <c r="AA487" i="2"/>
  <c r="Z487" i="2"/>
  <c r="Y487" i="2"/>
  <c r="X487" i="2"/>
  <c r="W487" i="2"/>
  <c r="V487" i="2"/>
  <c r="U487" i="2"/>
  <c r="T487" i="2"/>
  <c r="S487" i="2"/>
  <c r="R487" i="2"/>
  <c r="Q487" i="2"/>
  <c r="P487" i="2"/>
  <c r="O487" i="2"/>
  <c r="N487" i="2"/>
  <c r="M487" i="2"/>
  <c r="L487" i="2"/>
  <c r="K487" i="2"/>
  <c r="J487" i="2"/>
  <c r="I487" i="2"/>
  <c r="E487" i="2" a="1"/>
  <c r="E487" i="2" s="1"/>
  <c r="D487" i="2" a="1"/>
  <c r="D487" i="2" s="1"/>
  <c r="C487" i="2" a="1"/>
  <c r="C487" i="2" s="1"/>
  <c r="B487" i="2" a="1"/>
  <c r="B487" i="2" s="1"/>
  <c r="CG486" i="2"/>
  <c r="CF486" i="2"/>
  <c r="CE486" i="2"/>
  <c r="CD486" i="2"/>
  <c r="CC486" i="2"/>
  <c r="CB486" i="2"/>
  <c r="CA486" i="2"/>
  <c r="BZ486" i="2"/>
  <c r="BY486" i="2"/>
  <c r="BX486" i="2"/>
  <c r="BW486" i="2"/>
  <c r="BV486" i="2"/>
  <c r="BU486" i="2"/>
  <c r="BT486" i="2"/>
  <c r="BS486" i="2"/>
  <c r="BR486" i="2"/>
  <c r="BQ486" i="2"/>
  <c r="BP486" i="2"/>
  <c r="BO486" i="2"/>
  <c r="BN486" i="2"/>
  <c r="BM486" i="2"/>
  <c r="BL486" i="2"/>
  <c r="BK486" i="2"/>
  <c r="BJ486" i="2"/>
  <c r="BI486" i="2"/>
  <c r="BH486" i="2"/>
  <c r="BG486" i="2"/>
  <c r="BF486" i="2"/>
  <c r="BE486" i="2"/>
  <c r="BC486" i="2"/>
  <c r="BB486" i="2"/>
  <c r="BA486" i="2"/>
  <c r="AZ486" i="2"/>
  <c r="AY486" i="2"/>
  <c r="AX486" i="2"/>
  <c r="AW486" i="2"/>
  <c r="AV486" i="2"/>
  <c r="AU486" i="2"/>
  <c r="AT486" i="2"/>
  <c r="AS486" i="2"/>
  <c r="AR486" i="2"/>
  <c r="AQ486" i="2"/>
  <c r="AP486" i="2"/>
  <c r="AO486" i="2"/>
  <c r="AN486" i="2"/>
  <c r="AM486" i="2"/>
  <c r="AL486" i="2"/>
  <c r="AK486" i="2"/>
  <c r="AJ486" i="2"/>
  <c r="AI486" i="2"/>
  <c r="AH486" i="2"/>
  <c r="AG486" i="2"/>
  <c r="AF486" i="2"/>
  <c r="AE486" i="2"/>
  <c r="AD486" i="2"/>
  <c r="AC486" i="2"/>
  <c r="AB486" i="2"/>
  <c r="AA486" i="2"/>
  <c r="Z486" i="2"/>
  <c r="Y486" i="2"/>
  <c r="X486" i="2"/>
  <c r="W486" i="2"/>
  <c r="V486" i="2"/>
  <c r="U486" i="2"/>
  <c r="T486" i="2"/>
  <c r="S486" i="2"/>
  <c r="R486" i="2"/>
  <c r="Q486" i="2"/>
  <c r="P486" i="2"/>
  <c r="O486" i="2"/>
  <c r="N486" i="2"/>
  <c r="M486" i="2"/>
  <c r="L486" i="2"/>
  <c r="K486" i="2"/>
  <c r="J486" i="2"/>
  <c r="BD486" i="2" s="1"/>
  <c r="I486" i="2"/>
  <c r="E486" i="2" a="1"/>
  <c r="E486" i="2" s="1"/>
  <c r="D486" i="2" a="1"/>
  <c r="D486" i="2" s="1"/>
  <c r="C486" i="2" a="1"/>
  <c r="C486" i="2" s="1"/>
  <c r="B486" i="2" a="1"/>
  <c r="B486" i="2" s="1"/>
  <c r="CG485" i="2"/>
  <c r="CF485" i="2"/>
  <c r="CE485" i="2"/>
  <c r="CD485" i="2"/>
  <c r="CC485" i="2"/>
  <c r="CB485" i="2"/>
  <c r="CA485" i="2"/>
  <c r="BZ485" i="2"/>
  <c r="BY485" i="2"/>
  <c r="BX485" i="2"/>
  <c r="BW485" i="2"/>
  <c r="BV485" i="2"/>
  <c r="BU485" i="2"/>
  <c r="BT485" i="2"/>
  <c r="BS485" i="2"/>
  <c r="BR485" i="2"/>
  <c r="BQ485" i="2"/>
  <c r="BP485" i="2"/>
  <c r="BO485" i="2"/>
  <c r="BN485" i="2"/>
  <c r="BM485" i="2"/>
  <c r="BL485" i="2"/>
  <c r="BK485" i="2"/>
  <c r="BJ485" i="2"/>
  <c r="BI485" i="2"/>
  <c r="BH485" i="2"/>
  <c r="BG485" i="2"/>
  <c r="BF485" i="2"/>
  <c r="BE485" i="2"/>
  <c r="BC485" i="2"/>
  <c r="BB485" i="2"/>
  <c r="BA485" i="2"/>
  <c r="AZ485" i="2"/>
  <c r="AY485" i="2"/>
  <c r="AX485" i="2"/>
  <c r="AW485" i="2"/>
  <c r="AV485" i="2"/>
  <c r="AU485" i="2"/>
  <c r="AT485" i="2"/>
  <c r="AS485" i="2"/>
  <c r="AR485" i="2"/>
  <c r="AQ485" i="2"/>
  <c r="AP485" i="2"/>
  <c r="AO485" i="2"/>
  <c r="AN485" i="2"/>
  <c r="AM485" i="2"/>
  <c r="AL485" i="2"/>
  <c r="AK485" i="2"/>
  <c r="AJ485" i="2"/>
  <c r="AI485" i="2"/>
  <c r="AH485" i="2"/>
  <c r="AG485" i="2"/>
  <c r="AF485" i="2"/>
  <c r="AE485" i="2"/>
  <c r="AD485" i="2"/>
  <c r="AC485" i="2"/>
  <c r="AB485" i="2"/>
  <c r="AA485" i="2"/>
  <c r="Z485" i="2"/>
  <c r="Y485" i="2"/>
  <c r="X485" i="2"/>
  <c r="W485" i="2"/>
  <c r="V485" i="2"/>
  <c r="U485" i="2"/>
  <c r="T485" i="2"/>
  <c r="S485" i="2"/>
  <c r="R485" i="2"/>
  <c r="Q485" i="2"/>
  <c r="P485" i="2"/>
  <c r="O485" i="2"/>
  <c r="N485" i="2"/>
  <c r="M485" i="2"/>
  <c r="L485" i="2"/>
  <c r="K485" i="2"/>
  <c r="J485" i="2"/>
  <c r="BD485" i="2" s="1"/>
  <c r="I485" i="2"/>
  <c r="E485" i="2" a="1"/>
  <c r="E485" i="2" s="1"/>
  <c r="D485" i="2" a="1"/>
  <c r="D485" i="2" s="1"/>
  <c r="C485" i="2" a="1"/>
  <c r="C485" i="2" s="1"/>
  <c r="B485" i="2" a="1"/>
  <c r="B485" i="2" s="1"/>
  <c r="CG484" i="2"/>
  <c r="CF484" i="2"/>
  <c r="CE484" i="2"/>
  <c r="CD484" i="2"/>
  <c r="CC484" i="2"/>
  <c r="CB484" i="2"/>
  <c r="CA484" i="2"/>
  <c r="BZ484" i="2"/>
  <c r="BY484" i="2"/>
  <c r="BX484" i="2"/>
  <c r="BW484" i="2"/>
  <c r="BV484" i="2"/>
  <c r="BU484" i="2"/>
  <c r="BT484" i="2"/>
  <c r="BS484" i="2"/>
  <c r="BR484" i="2"/>
  <c r="BQ484" i="2"/>
  <c r="BP484" i="2"/>
  <c r="BO484" i="2"/>
  <c r="BN484" i="2"/>
  <c r="BM484" i="2"/>
  <c r="BL484" i="2"/>
  <c r="BK484" i="2"/>
  <c r="BJ484" i="2"/>
  <c r="BI484" i="2"/>
  <c r="BH484" i="2"/>
  <c r="BG484" i="2"/>
  <c r="BF484" i="2"/>
  <c r="BE484" i="2"/>
  <c r="BD484" i="2"/>
  <c r="BC484" i="2"/>
  <c r="BB484" i="2"/>
  <c r="BA484" i="2"/>
  <c r="AZ484" i="2"/>
  <c r="AY484" i="2"/>
  <c r="AX484" i="2"/>
  <c r="AW484" i="2"/>
  <c r="AV484" i="2"/>
  <c r="AU484" i="2"/>
  <c r="AT484" i="2"/>
  <c r="AS484" i="2"/>
  <c r="AR484" i="2"/>
  <c r="AQ484" i="2"/>
  <c r="AP484" i="2"/>
  <c r="AO484" i="2"/>
  <c r="AN484" i="2"/>
  <c r="AM484" i="2"/>
  <c r="AL484" i="2"/>
  <c r="AK484" i="2"/>
  <c r="AJ484" i="2"/>
  <c r="AI484" i="2"/>
  <c r="AH484" i="2"/>
  <c r="AG484" i="2"/>
  <c r="AF484" i="2"/>
  <c r="AE484" i="2"/>
  <c r="AD484" i="2"/>
  <c r="AC484" i="2"/>
  <c r="AB484" i="2"/>
  <c r="AA484" i="2"/>
  <c r="Z484" i="2"/>
  <c r="Y484" i="2"/>
  <c r="X484" i="2"/>
  <c r="W484" i="2"/>
  <c r="V484" i="2"/>
  <c r="U484" i="2"/>
  <c r="T484" i="2"/>
  <c r="S484" i="2"/>
  <c r="R484" i="2"/>
  <c r="Q484" i="2"/>
  <c r="P484" i="2"/>
  <c r="O484" i="2"/>
  <c r="N484" i="2"/>
  <c r="M484" i="2"/>
  <c r="L484" i="2"/>
  <c r="K484" i="2"/>
  <c r="J484" i="2"/>
  <c r="I484" i="2"/>
  <c r="E484" i="2" a="1"/>
  <c r="E484" i="2" s="1"/>
  <c r="D484" i="2" a="1"/>
  <c r="D484" i="2" s="1"/>
  <c r="C484" i="2" a="1"/>
  <c r="C484" i="2" s="1"/>
  <c r="B484" i="2" a="1"/>
  <c r="B484" i="2" s="1"/>
  <c r="CG483" i="2"/>
  <c r="CF483" i="2"/>
  <c r="CE483" i="2"/>
  <c r="CD483" i="2"/>
  <c r="CC483" i="2"/>
  <c r="CB483" i="2"/>
  <c r="CA483" i="2"/>
  <c r="BZ483" i="2"/>
  <c r="BY483" i="2"/>
  <c r="BX483" i="2"/>
  <c r="BW483" i="2"/>
  <c r="BV483" i="2"/>
  <c r="BU483" i="2"/>
  <c r="BT483" i="2"/>
  <c r="BS483" i="2"/>
  <c r="BR483" i="2"/>
  <c r="BQ483" i="2"/>
  <c r="BP483" i="2"/>
  <c r="BO483" i="2"/>
  <c r="BN483" i="2"/>
  <c r="BM483" i="2"/>
  <c r="BL483" i="2"/>
  <c r="BK483" i="2"/>
  <c r="BJ483" i="2"/>
  <c r="BI483" i="2"/>
  <c r="BH483" i="2"/>
  <c r="BG483" i="2"/>
  <c r="BF483" i="2"/>
  <c r="BE483" i="2"/>
  <c r="BD483" i="2"/>
  <c r="BC483" i="2"/>
  <c r="BB483" i="2"/>
  <c r="BA483" i="2"/>
  <c r="AZ483" i="2"/>
  <c r="AY483" i="2"/>
  <c r="AX483" i="2"/>
  <c r="AW483" i="2"/>
  <c r="AV483" i="2"/>
  <c r="AU483" i="2"/>
  <c r="AT483" i="2"/>
  <c r="AS483" i="2"/>
  <c r="AR483" i="2"/>
  <c r="AQ483" i="2"/>
  <c r="AP483" i="2"/>
  <c r="AO483" i="2"/>
  <c r="AN483" i="2"/>
  <c r="AM483" i="2"/>
  <c r="AL483" i="2"/>
  <c r="AK483" i="2"/>
  <c r="AJ483" i="2"/>
  <c r="AI483" i="2"/>
  <c r="AH483" i="2"/>
  <c r="AG483" i="2"/>
  <c r="AF483" i="2"/>
  <c r="AE483" i="2"/>
  <c r="AD483" i="2"/>
  <c r="AC483" i="2"/>
  <c r="AB483" i="2"/>
  <c r="AA483" i="2"/>
  <c r="Z483" i="2"/>
  <c r="Y483" i="2"/>
  <c r="X483" i="2"/>
  <c r="W483" i="2"/>
  <c r="V483" i="2"/>
  <c r="U483" i="2"/>
  <c r="T483" i="2"/>
  <c r="S483" i="2"/>
  <c r="R483" i="2"/>
  <c r="Q483" i="2"/>
  <c r="P483" i="2"/>
  <c r="O483" i="2"/>
  <c r="N483" i="2"/>
  <c r="M483" i="2"/>
  <c r="L483" i="2"/>
  <c r="K483" i="2"/>
  <c r="J483" i="2"/>
  <c r="I483" i="2"/>
  <c r="E483" i="2" a="1"/>
  <c r="E483" i="2" s="1"/>
  <c r="D483" i="2" a="1"/>
  <c r="D483" i="2" s="1"/>
  <c r="C483" i="2" a="1"/>
  <c r="C483" i="2" s="1"/>
  <c r="B483" i="2" a="1"/>
  <c r="B483" i="2" s="1"/>
  <c r="CG482" i="2"/>
  <c r="CF482" i="2"/>
  <c r="CE482" i="2"/>
  <c r="CD482" i="2"/>
  <c r="CC482" i="2"/>
  <c r="CB482" i="2"/>
  <c r="CA482" i="2"/>
  <c r="BZ482" i="2"/>
  <c r="BY482" i="2"/>
  <c r="BX482" i="2"/>
  <c r="BW482" i="2"/>
  <c r="BV482" i="2"/>
  <c r="BU482" i="2"/>
  <c r="BT482" i="2"/>
  <c r="BS482" i="2"/>
  <c r="BR482" i="2"/>
  <c r="BQ482" i="2"/>
  <c r="BP482" i="2"/>
  <c r="BO482" i="2"/>
  <c r="BN482" i="2"/>
  <c r="BM482" i="2"/>
  <c r="BL482" i="2"/>
  <c r="BK482" i="2"/>
  <c r="BJ482" i="2"/>
  <c r="BI482" i="2"/>
  <c r="BH482" i="2"/>
  <c r="BG482" i="2"/>
  <c r="BF482" i="2"/>
  <c r="BE482" i="2"/>
  <c r="BC482" i="2"/>
  <c r="BB482" i="2"/>
  <c r="BA482" i="2"/>
  <c r="AZ482" i="2"/>
  <c r="AY482" i="2"/>
  <c r="AX482" i="2"/>
  <c r="AW482" i="2"/>
  <c r="AV482" i="2"/>
  <c r="AU482" i="2"/>
  <c r="AT482" i="2"/>
  <c r="AS482" i="2"/>
  <c r="AR482" i="2"/>
  <c r="AQ482" i="2"/>
  <c r="AP482" i="2"/>
  <c r="AO482" i="2"/>
  <c r="AN482" i="2"/>
  <c r="AM482" i="2"/>
  <c r="AL482" i="2"/>
  <c r="AK482" i="2"/>
  <c r="AJ482" i="2"/>
  <c r="AI482" i="2"/>
  <c r="AH482" i="2"/>
  <c r="AG482" i="2"/>
  <c r="AF482" i="2"/>
  <c r="AE482" i="2"/>
  <c r="AD482" i="2"/>
  <c r="AC482" i="2"/>
  <c r="AB482" i="2"/>
  <c r="AA482" i="2"/>
  <c r="Z482" i="2"/>
  <c r="Y482" i="2"/>
  <c r="X482" i="2"/>
  <c r="W482" i="2"/>
  <c r="V482" i="2"/>
  <c r="U482" i="2"/>
  <c r="T482" i="2"/>
  <c r="S482" i="2"/>
  <c r="R482" i="2"/>
  <c r="Q482" i="2"/>
  <c r="P482" i="2"/>
  <c r="O482" i="2"/>
  <c r="N482" i="2"/>
  <c r="M482" i="2"/>
  <c r="L482" i="2"/>
  <c r="K482" i="2"/>
  <c r="J482" i="2"/>
  <c r="BD482" i="2" s="1"/>
  <c r="I482" i="2"/>
  <c r="E482" i="2" a="1"/>
  <c r="E482" i="2" s="1"/>
  <c r="D482" i="2" a="1"/>
  <c r="D482" i="2" s="1"/>
  <c r="C482" i="2" a="1"/>
  <c r="C482" i="2" s="1"/>
  <c r="B482" i="2" a="1"/>
  <c r="B482" i="2" s="1"/>
  <c r="CG481" i="2"/>
  <c r="CF481" i="2"/>
  <c r="CE481" i="2"/>
  <c r="CD481" i="2"/>
  <c r="CC481" i="2"/>
  <c r="CB481" i="2"/>
  <c r="CA481" i="2"/>
  <c r="BZ481" i="2"/>
  <c r="BY481" i="2"/>
  <c r="BX481" i="2"/>
  <c r="BW481" i="2"/>
  <c r="BV481" i="2"/>
  <c r="BU481" i="2"/>
  <c r="BT481" i="2"/>
  <c r="BS481" i="2"/>
  <c r="BR481" i="2"/>
  <c r="BQ481" i="2"/>
  <c r="BP481" i="2"/>
  <c r="BO481" i="2"/>
  <c r="BN481" i="2"/>
  <c r="BM481" i="2"/>
  <c r="BL481" i="2"/>
  <c r="BK481" i="2"/>
  <c r="BJ481" i="2"/>
  <c r="BI481" i="2"/>
  <c r="BH481" i="2"/>
  <c r="BG481" i="2"/>
  <c r="BF481" i="2"/>
  <c r="BE481" i="2"/>
  <c r="BC481" i="2"/>
  <c r="BB481" i="2"/>
  <c r="BA481" i="2"/>
  <c r="AZ481" i="2"/>
  <c r="AY481" i="2"/>
  <c r="AX481" i="2"/>
  <c r="AW481" i="2"/>
  <c r="AV481" i="2"/>
  <c r="AU481" i="2"/>
  <c r="AT481" i="2"/>
  <c r="AS481" i="2"/>
  <c r="AR481" i="2"/>
  <c r="AQ481" i="2"/>
  <c r="AP481" i="2"/>
  <c r="AO481" i="2"/>
  <c r="AN481" i="2"/>
  <c r="AM481" i="2"/>
  <c r="AL481" i="2"/>
  <c r="AK481" i="2"/>
  <c r="AJ481" i="2"/>
  <c r="AI481" i="2"/>
  <c r="AH481" i="2"/>
  <c r="AG481" i="2"/>
  <c r="AF481" i="2"/>
  <c r="AE481" i="2"/>
  <c r="AD481" i="2"/>
  <c r="AC481" i="2"/>
  <c r="AB481" i="2"/>
  <c r="AA481" i="2"/>
  <c r="Z481" i="2"/>
  <c r="Y481" i="2"/>
  <c r="X481" i="2"/>
  <c r="W481" i="2"/>
  <c r="V481" i="2"/>
  <c r="U481" i="2"/>
  <c r="T481" i="2"/>
  <c r="S481" i="2"/>
  <c r="R481" i="2"/>
  <c r="Q481" i="2"/>
  <c r="P481" i="2"/>
  <c r="O481" i="2"/>
  <c r="N481" i="2"/>
  <c r="M481" i="2"/>
  <c r="L481" i="2"/>
  <c r="K481" i="2"/>
  <c r="J481" i="2"/>
  <c r="BD481" i="2" s="1"/>
  <c r="I481" i="2"/>
  <c r="E481" i="2" a="1"/>
  <c r="E481" i="2" s="1"/>
  <c r="D481" i="2" a="1"/>
  <c r="D481" i="2" s="1"/>
  <c r="C481" i="2" a="1"/>
  <c r="C481" i="2" s="1"/>
  <c r="B481" i="2" a="1"/>
  <c r="B481" i="2" s="1"/>
  <c r="CG480" i="2"/>
  <c r="CF480" i="2"/>
  <c r="CE480" i="2"/>
  <c r="CD480" i="2"/>
  <c r="CC480" i="2"/>
  <c r="CB480" i="2"/>
  <c r="CA480" i="2"/>
  <c r="BZ480" i="2"/>
  <c r="BY480" i="2"/>
  <c r="BX480" i="2"/>
  <c r="BW480" i="2"/>
  <c r="BV480" i="2"/>
  <c r="BU480" i="2"/>
  <c r="BT480" i="2"/>
  <c r="BS480" i="2"/>
  <c r="BR480" i="2"/>
  <c r="BQ480" i="2"/>
  <c r="BP480" i="2"/>
  <c r="BO480" i="2"/>
  <c r="BN480" i="2"/>
  <c r="BM480" i="2"/>
  <c r="BL480" i="2"/>
  <c r="BK480" i="2"/>
  <c r="BJ480" i="2"/>
  <c r="BI480" i="2"/>
  <c r="BH480" i="2"/>
  <c r="BG480" i="2"/>
  <c r="BF480" i="2"/>
  <c r="BE480" i="2"/>
  <c r="BD480" i="2"/>
  <c r="BC480" i="2"/>
  <c r="BB480" i="2"/>
  <c r="BA480" i="2"/>
  <c r="AZ480" i="2"/>
  <c r="AY480" i="2"/>
  <c r="AX480" i="2"/>
  <c r="AW480" i="2"/>
  <c r="AV480" i="2"/>
  <c r="AU480" i="2"/>
  <c r="AT480" i="2"/>
  <c r="AS480" i="2"/>
  <c r="AR480" i="2"/>
  <c r="AQ480" i="2"/>
  <c r="AP480" i="2"/>
  <c r="AO480" i="2"/>
  <c r="AN480" i="2"/>
  <c r="AM480" i="2"/>
  <c r="AL480" i="2"/>
  <c r="AK480" i="2"/>
  <c r="AJ480" i="2"/>
  <c r="AI480" i="2"/>
  <c r="AH480" i="2"/>
  <c r="AG480" i="2"/>
  <c r="AF480" i="2"/>
  <c r="AE480" i="2"/>
  <c r="AD480" i="2"/>
  <c r="AC480" i="2"/>
  <c r="AB480" i="2"/>
  <c r="AA480" i="2"/>
  <c r="Z480" i="2"/>
  <c r="Y480" i="2"/>
  <c r="X480" i="2"/>
  <c r="W480" i="2"/>
  <c r="V480" i="2"/>
  <c r="U480" i="2"/>
  <c r="T480" i="2"/>
  <c r="S480" i="2"/>
  <c r="R480" i="2"/>
  <c r="Q480" i="2"/>
  <c r="P480" i="2"/>
  <c r="O480" i="2"/>
  <c r="N480" i="2"/>
  <c r="M480" i="2"/>
  <c r="L480" i="2"/>
  <c r="K480" i="2"/>
  <c r="J480" i="2"/>
  <c r="I480" i="2"/>
  <c r="E480" i="2" a="1"/>
  <c r="E480" i="2" s="1"/>
  <c r="D480" i="2" a="1"/>
  <c r="D480" i="2" s="1"/>
  <c r="C480" i="2" a="1"/>
  <c r="C480" i="2" s="1"/>
  <c r="B480" i="2" a="1"/>
  <c r="B480" i="2" s="1"/>
  <c r="CG479" i="2"/>
  <c r="CF479" i="2"/>
  <c r="CE479" i="2"/>
  <c r="CD479" i="2"/>
  <c r="CC479" i="2"/>
  <c r="CB479" i="2"/>
  <c r="CA479" i="2"/>
  <c r="BZ479" i="2"/>
  <c r="BY479" i="2"/>
  <c r="BX479" i="2"/>
  <c r="BW479" i="2"/>
  <c r="BV479" i="2"/>
  <c r="BU479" i="2"/>
  <c r="BT479" i="2"/>
  <c r="BS479" i="2"/>
  <c r="BR479" i="2"/>
  <c r="BQ479" i="2"/>
  <c r="BP479" i="2"/>
  <c r="BO479" i="2"/>
  <c r="BN479" i="2"/>
  <c r="BM479" i="2"/>
  <c r="BL479" i="2"/>
  <c r="BK479" i="2"/>
  <c r="BJ479" i="2"/>
  <c r="BI479" i="2"/>
  <c r="BH479" i="2"/>
  <c r="BG479" i="2"/>
  <c r="BF479" i="2"/>
  <c r="BE479" i="2"/>
  <c r="BD479" i="2"/>
  <c r="BC479" i="2"/>
  <c r="BB479" i="2"/>
  <c r="BA479" i="2"/>
  <c r="AZ479" i="2"/>
  <c r="AY479" i="2"/>
  <c r="AX479" i="2"/>
  <c r="AW479" i="2"/>
  <c r="AV479" i="2"/>
  <c r="AU479" i="2"/>
  <c r="AT479" i="2"/>
  <c r="AS479" i="2"/>
  <c r="AR479" i="2"/>
  <c r="AQ479" i="2"/>
  <c r="AP479" i="2"/>
  <c r="AO479" i="2"/>
  <c r="AN479" i="2"/>
  <c r="AM479" i="2"/>
  <c r="AL479" i="2"/>
  <c r="AK479" i="2"/>
  <c r="AJ479" i="2"/>
  <c r="AI479" i="2"/>
  <c r="AH479" i="2"/>
  <c r="AG479" i="2"/>
  <c r="AF479" i="2"/>
  <c r="AE479" i="2"/>
  <c r="AD479" i="2"/>
  <c r="AC479" i="2"/>
  <c r="AB479" i="2"/>
  <c r="AA479" i="2"/>
  <c r="Z479" i="2"/>
  <c r="Y479" i="2"/>
  <c r="X479" i="2"/>
  <c r="W479" i="2"/>
  <c r="V479" i="2"/>
  <c r="U479" i="2"/>
  <c r="T479" i="2"/>
  <c r="S479" i="2"/>
  <c r="R479" i="2"/>
  <c r="Q479" i="2"/>
  <c r="P479" i="2"/>
  <c r="O479" i="2"/>
  <c r="N479" i="2"/>
  <c r="M479" i="2"/>
  <c r="L479" i="2"/>
  <c r="K479" i="2"/>
  <c r="J479" i="2"/>
  <c r="I479" i="2"/>
  <c r="E479" i="2" a="1"/>
  <c r="E479" i="2" s="1"/>
  <c r="D479" i="2" a="1"/>
  <c r="D479" i="2" s="1"/>
  <c r="C479" i="2" a="1"/>
  <c r="C479" i="2" s="1"/>
  <c r="B479" i="2" a="1"/>
  <c r="B479" i="2" s="1"/>
  <c r="CG478" i="2"/>
  <c r="CF478" i="2"/>
  <c r="CE478" i="2"/>
  <c r="CD478" i="2"/>
  <c r="CC478" i="2"/>
  <c r="CB478" i="2"/>
  <c r="CA478" i="2"/>
  <c r="BZ478" i="2"/>
  <c r="BY478" i="2"/>
  <c r="BX478" i="2"/>
  <c r="BW478" i="2"/>
  <c r="BV478" i="2"/>
  <c r="BU478" i="2"/>
  <c r="BT478" i="2"/>
  <c r="BS478" i="2"/>
  <c r="BR478" i="2"/>
  <c r="BQ478" i="2"/>
  <c r="BP478" i="2"/>
  <c r="BO478" i="2"/>
  <c r="BN478" i="2"/>
  <c r="BM478" i="2"/>
  <c r="BL478" i="2"/>
  <c r="BK478" i="2"/>
  <c r="BJ478" i="2"/>
  <c r="BI478" i="2"/>
  <c r="BH478" i="2"/>
  <c r="BG478" i="2"/>
  <c r="BF478" i="2"/>
  <c r="BE478" i="2"/>
  <c r="BC478" i="2"/>
  <c r="BB478" i="2"/>
  <c r="BA478" i="2"/>
  <c r="AZ478" i="2"/>
  <c r="AY478" i="2"/>
  <c r="AX478" i="2"/>
  <c r="AW478" i="2"/>
  <c r="AV478" i="2"/>
  <c r="AU478" i="2"/>
  <c r="AT478" i="2"/>
  <c r="AS478" i="2"/>
  <c r="AR478" i="2"/>
  <c r="AQ478" i="2"/>
  <c r="AP478" i="2"/>
  <c r="AO478" i="2"/>
  <c r="AN478" i="2"/>
  <c r="AM478" i="2"/>
  <c r="AL478" i="2"/>
  <c r="AK478" i="2"/>
  <c r="AJ478" i="2"/>
  <c r="AI478" i="2"/>
  <c r="AH478" i="2"/>
  <c r="AG478" i="2"/>
  <c r="AF478" i="2"/>
  <c r="AE478" i="2"/>
  <c r="AD478" i="2"/>
  <c r="AC478" i="2"/>
  <c r="AB478" i="2"/>
  <c r="AA478" i="2"/>
  <c r="Z478" i="2"/>
  <c r="Y478" i="2"/>
  <c r="X478" i="2"/>
  <c r="W478" i="2"/>
  <c r="V478" i="2"/>
  <c r="U478" i="2"/>
  <c r="T478" i="2"/>
  <c r="S478" i="2"/>
  <c r="R478" i="2"/>
  <c r="Q478" i="2"/>
  <c r="P478" i="2"/>
  <c r="O478" i="2"/>
  <c r="N478" i="2"/>
  <c r="M478" i="2"/>
  <c r="L478" i="2"/>
  <c r="K478" i="2"/>
  <c r="J478" i="2"/>
  <c r="BD478" i="2" s="1"/>
  <c r="I478" i="2"/>
  <c r="E478" i="2" a="1"/>
  <c r="E478" i="2" s="1"/>
  <c r="D478" i="2" a="1"/>
  <c r="D478" i="2" s="1"/>
  <c r="C478" i="2" a="1"/>
  <c r="C478" i="2" s="1"/>
  <c r="B478" i="2" a="1"/>
  <c r="B478" i="2" s="1"/>
  <c r="CG477" i="2"/>
  <c r="CF477" i="2"/>
  <c r="CE477" i="2"/>
  <c r="CD477" i="2"/>
  <c r="CC477" i="2"/>
  <c r="CB477" i="2"/>
  <c r="CA477" i="2"/>
  <c r="BZ477" i="2"/>
  <c r="BY477" i="2"/>
  <c r="BX477" i="2"/>
  <c r="BW477" i="2"/>
  <c r="BV477" i="2"/>
  <c r="BU477" i="2"/>
  <c r="BT477" i="2"/>
  <c r="BS477" i="2"/>
  <c r="BR477" i="2"/>
  <c r="BQ477" i="2"/>
  <c r="BP477" i="2"/>
  <c r="BO477" i="2"/>
  <c r="BN477" i="2"/>
  <c r="BM477" i="2"/>
  <c r="BL477" i="2"/>
  <c r="BK477" i="2"/>
  <c r="BJ477" i="2"/>
  <c r="BI477" i="2"/>
  <c r="BH477" i="2"/>
  <c r="BG477" i="2"/>
  <c r="BF477" i="2"/>
  <c r="BE477" i="2"/>
  <c r="BC477" i="2"/>
  <c r="BB477" i="2"/>
  <c r="BA477" i="2"/>
  <c r="AZ477" i="2"/>
  <c r="AY477" i="2"/>
  <c r="AX477" i="2"/>
  <c r="AW477" i="2"/>
  <c r="AV477" i="2"/>
  <c r="AU477" i="2"/>
  <c r="AT477" i="2"/>
  <c r="AS477" i="2"/>
  <c r="AR477" i="2"/>
  <c r="AQ477" i="2"/>
  <c r="AP477" i="2"/>
  <c r="AO477" i="2"/>
  <c r="AN477" i="2"/>
  <c r="AM477" i="2"/>
  <c r="AL477" i="2"/>
  <c r="AK477" i="2"/>
  <c r="AJ477" i="2"/>
  <c r="AI477" i="2"/>
  <c r="AH477" i="2"/>
  <c r="AG477" i="2"/>
  <c r="AF477" i="2"/>
  <c r="AE477" i="2"/>
  <c r="AD477" i="2"/>
  <c r="AC477" i="2"/>
  <c r="AB477" i="2"/>
  <c r="AA477" i="2"/>
  <c r="Z477" i="2"/>
  <c r="Y477" i="2"/>
  <c r="X477" i="2"/>
  <c r="W477" i="2"/>
  <c r="V477" i="2"/>
  <c r="U477" i="2"/>
  <c r="T477" i="2"/>
  <c r="S477" i="2"/>
  <c r="R477" i="2"/>
  <c r="Q477" i="2"/>
  <c r="P477" i="2"/>
  <c r="O477" i="2"/>
  <c r="N477" i="2"/>
  <c r="M477" i="2"/>
  <c r="L477" i="2"/>
  <c r="K477" i="2"/>
  <c r="J477" i="2"/>
  <c r="BD477" i="2" s="1"/>
  <c r="I477" i="2"/>
  <c r="E477" i="2" a="1"/>
  <c r="E477" i="2" s="1"/>
  <c r="D477" i="2" a="1"/>
  <c r="D477" i="2" s="1"/>
  <c r="C477" i="2" a="1"/>
  <c r="C477" i="2" s="1"/>
  <c r="B477" i="2" a="1"/>
  <c r="B477" i="2" s="1"/>
  <c r="CG476" i="2"/>
  <c r="CF476" i="2"/>
  <c r="CE476" i="2"/>
  <c r="CD476" i="2"/>
  <c r="CC476" i="2"/>
  <c r="CB476" i="2"/>
  <c r="CA476" i="2"/>
  <c r="BZ476" i="2"/>
  <c r="BY476" i="2"/>
  <c r="BX476" i="2"/>
  <c r="BW476" i="2"/>
  <c r="BV476" i="2"/>
  <c r="BU476" i="2"/>
  <c r="BT476" i="2"/>
  <c r="BS476" i="2"/>
  <c r="BR476" i="2"/>
  <c r="BQ476" i="2"/>
  <c r="BP476" i="2"/>
  <c r="BO476" i="2"/>
  <c r="BN476" i="2"/>
  <c r="BM476" i="2"/>
  <c r="BL476" i="2"/>
  <c r="BK476" i="2"/>
  <c r="BJ476" i="2"/>
  <c r="BI476" i="2"/>
  <c r="BH476" i="2"/>
  <c r="BG476" i="2"/>
  <c r="BF476" i="2"/>
  <c r="BE476" i="2"/>
  <c r="BD476" i="2"/>
  <c r="BC476" i="2"/>
  <c r="BB476" i="2"/>
  <c r="BA476" i="2"/>
  <c r="AZ476" i="2"/>
  <c r="AY476" i="2"/>
  <c r="AX476" i="2"/>
  <c r="AW476" i="2"/>
  <c r="AV476" i="2"/>
  <c r="AU476" i="2"/>
  <c r="AT476" i="2"/>
  <c r="AS476" i="2"/>
  <c r="AR476" i="2"/>
  <c r="AQ476" i="2"/>
  <c r="AP476" i="2"/>
  <c r="AO476" i="2"/>
  <c r="AN476" i="2"/>
  <c r="AM476" i="2"/>
  <c r="AL476" i="2"/>
  <c r="AK476" i="2"/>
  <c r="AJ476" i="2"/>
  <c r="AI476" i="2"/>
  <c r="AH476" i="2"/>
  <c r="AG476" i="2"/>
  <c r="AF476" i="2"/>
  <c r="AE476" i="2"/>
  <c r="AD476" i="2"/>
  <c r="AC476" i="2"/>
  <c r="AB476" i="2"/>
  <c r="AA476" i="2"/>
  <c r="Z476" i="2"/>
  <c r="Y476" i="2"/>
  <c r="X476" i="2"/>
  <c r="W476" i="2"/>
  <c r="V476" i="2"/>
  <c r="U476" i="2"/>
  <c r="T476" i="2"/>
  <c r="S476" i="2"/>
  <c r="R476" i="2"/>
  <c r="Q476" i="2"/>
  <c r="P476" i="2"/>
  <c r="O476" i="2"/>
  <c r="N476" i="2"/>
  <c r="M476" i="2"/>
  <c r="L476" i="2"/>
  <c r="K476" i="2"/>
  <c r="J476" i="2"/>
  <c r="I476" i="2"/>
  <c r="E476" i="2" a="1"/>
  <c r="E476" i="2" s="1"/>
  <c r="D476" i="2" a="1"/>
  <c r="D476" i="2" s="1"/>
  <c r="C476" i="2" a="1"/>
  <c r="C476" i="2" s="1"/>
  <c r="B476" i="2" a="1"/>
  <c r="B476" i="2" s="1"/>
  <c r="CG475" i="2"/>
  <c r="CF475" i="2"/>
  <c r="CE475" i="2"/>
  <c r="CD475" i="2"/>
  <c r="CC475" i="2"/>
  <c r="CB475" i="2"/>
  <c r="CA475" i="2"/>
  <c r="BZ475" i="2"/>
  <c r="BY475" i="2"/>
  <c r="BX475" i="2"/>
  <c r="BW475" i="2"/>
  <c r="BV475" i="2"/>
  <c r="BU475" i="2"/>
  <c r="BT475" i="2"/>
  <c r="BS475" i="2"/>
  <c r="BR475" i="2"/>
  <c r="BQ475" i="2"/>
  <c r="BP475" i="2"/>
  <c r="BO475" i="2"/>
  <c r="BN475" i="2"/>
  <c r="BM475" i="2"/>
  <c r="BL475" i="2"/>
  <c r="BK475" i="2"/>
  <c r="BJ475" i="2"/>
  <c r="BI475" i="2"/>
  <c r="BH475" i="2"/>
  <c r="BG475" i="2"/>
  <c r="BF475" i="2"/>
  <c r="BE475" i="2"/>
  <c r="BD475" i="2"/>
  <c r="BC475" i="2"/>
  <c r="BB475" i="2"/>
  <c r="BA475" i="2"/>
  <c r="AZ475" i="2"/>
  <c r="AY475" i="2"/>
  <c r="AX475" i="2"/>
  <c r="AW475" i="2"/>
  <c r="AV475" i="2"/>
  <c r="AU475" i="2"/>
  <c r="AT475" i="2"/>
  <c r="AS475" i="2"/>
  <c r="AR475" i="2"/>
  <c r="AQ475" i="2"/>
  <c r="AP475" i="2"/>
  <c r="AO475" i="2"/>
  <c r="AN475" i="2"/>
  <c r="AM475" i="2"/>
  <c r="AL475" i="2"/>
  <c r="AK475" i="2"/>
  <c r="AJ475" i="2"/>
  <c r="AI475" i="2"/>
  <c r="AH475" i="2"/>
  <c r="AG475" i="2"/>
  <c r="AF475" i="2"/>
  <c r="AE475" i="2"/>
  <c r="AD475" i="2"/>
  <c r="AC475" i="2"/>
  <c r="AB475" i="2"/>
  <c r="AA475" i="2"/>
  <c r="Z475" i="2"/>
  <c r="Y475" i="2"/>
  <c r="X475" i="2"/>
  <c r="W475" i="2"/>
  <c r="V475" i="2"/>
  <c r="U475" i="2"/>
  <c r="T475" i="2"/>
  <c r="S475" i="2"/>
  <c r="R475" i="2"/>
  <c r="Q475" i="2"/>
  <c r="P475" i="2"/>
  <c r="O475" i="2"/>
  <c r="N475" i="2"/>
  <c r="M475" i="2"/>
  <c r="L475" i="2"/>
  <c r="K475" i="2"/>
  <c r="J475" i="2"/>
  <c r="I475" i="2"/>
  <c r="E475" i="2" a="1"/>
  <c r="E475" i="2" s="1"/>
  <c r="D475" i="2" a="1"/>
  <c r="D475" i="2" s="1"/>
  <c r="C475" i="2" a="1"/>
  <c r="C475" i="2" s="1"/>
  <c r="B475" i="2" a="1"/>
  <c r="B475" i="2" s="1"/>
  <c r="CG474" i="2"/>
  <c r="CF474" i="2"/>
  <c r="CE474" i="2"/>
  <c r="CD474" i="2"/>
  <c r="CC474" i="2"/>
  <c r="CB474" i="2"/>
  <c r="CA474" i="2"/>
  <c r="BZ474" i="2"/>
  <c r="BY474" i="2"/>
  <c r="BX474" i="2"/>
  <c r="BW474" i="2"/>
  <c r="BV474" i="2"/>
  <c r="BU474" i="2"/>
  <c r="BT474" i="2"/>
  <c r="BS474" i="2"/>
  <c r="BR474" i="2"/>
  <c r="BQ474" i="2"/>
  <c r="BP474" i="2"/>
  <c r="BO474" i="2"/>
  <c r="BN474" i="2"/>
  <c r="BM474" i="2"/>
  <c r="BL474" i="2"/>
  <c r="BK474" i="2"/>
  <c r="BJ474" i="2"/>
  <c r="BI474" i="2"/>
  <c r="BH474" i="2"/>
  <c r="BG474" i="2"/>
  <c r="BF474" i="2"/>
  <c r="BE474" i="2"/>
  <c r="BC474" i="2"/>
  <c r="BB474" i="2"/>
  <c r="BA474" i="2"/>
  <c r="AZ474" i="2"/>
  <c r="AY474" i="2"/>
  <c r="AX474" i="2"/>
  <c r="AW474" i="2"/>
  <c r="AV474" i="2"/>
  <c r="AU474" i="2"/>
  <c r="AT474" i="2"/>
  <c r="AS474" i="2"/>
  <c r="AR474" i="2"/>
  <c r="AQ474" i="2"/>
  <c r="AP474" i="2"/>
  <c r="AO474" i="2"/>
  <c r="AN474" i="2"/>
  <c r="AM474" i="2"/>
  <c r="AL474" i="2"/>
  <c r="AK474" i="2"/>
  <c r="AJ474" i="2"/>
  <c r="AI474" i="2"/>
  <c r="AH474" i="2"/>
  <c r="AG474" i="2"/>
  <c r="AF474" i="2"/>
  <c r="AE474" i="2"/>
  <c r="AD474" i="2"/>
  <c r="AC474" i="2"/>
  <c r="AB474" i="2"/>
  <c r="AA474" i="2"/>
  <c r="Z474" i="2"/>
  <c r="Y474" i="2"/>
  <c r="X474" i="2"/>
  <c r="W474" i="2"/>
  <c r="V474" i="2"/>
  <c r="U474" i="2"/>
  <c r="T474" i="2"/>
  <c r="S474" i="2"/>
  <c r="R474" i="2"/>
  <c r="Q474" i="2"/>
  <c r="P474" i="2"/>
  <c r="O474" i="2"/>
  <c r="N474" i="2"/>
  <c r="M474" i="2"/>
  <c r="L474" i="2"/>
  <c r="K474" i="2"/>
  <c r="J474" i="2"/>
  <c r="BD474" i="2" s="1"/>
  <c r="I474" i="2"/>
  <c r="E474" i="2" a="1"/>
  <c r="E474" i="2" s="1"/>
  <c r="D474" i="2" a="1"/>
  <c r="D474" i="2" s="1"/>
  <c r="C474" i="2" a="1"/>
  <c r="C474" i="2" s="1"/>
  <c r="B474" i="2" a="1"/>
  <c r="B474" i="2" s="1"/>
  <c r="CG473" i="2"/>
  <c r="CF473" i="2"/>
  <c r="CE473" i="2"/>
  <c r="CD473" i="2"/>
  <c r="CC473" i="2"/>
  <c r="CB473" i="2"/>
  <c r="CA473" i="2"/>
  <c r="BZ473" i="2"/>
  <c r="BY473" i="2"/>
  <c r="BX473" i="2"/>
  <c r="BW473" i="2"/>
  <c r="BV473" i="2"/>
  <c r="BU473" i="2"/>
  <c r="BT473" i="2"/>
  <c r="BS473" i="2"/>
  <c r="BR473" i="2"/>
  <c r="BQ473" i="2"/>
  <c r="BP473" i="2"/>
  <c r="BO473" i="2"/>
  <c r="BN473" i="2"/>
  <c r="BM473" i="2"/>
  <c r="BL473" i="2"/>
  <c r="BK473" i="2"/>
  <c r="BJ473" i="2"/>
  <c r="BI473" i="2"/>
  <c r="BH473" i="2"/>
  <c r="BG473" i="2"/>
  <c r="BF473" i="2"/>
  <c r="BE473" i="2"/>
  <c r="BC473" i="2"/>
  <c r="BB473" i="2"/>
  <c r="BA473" i="2"/>
  <c r="AZ473" i="2"/>
  <c r="AY473" i="2"/>
  <c r="AX473" i="2"/>
  <c r="AW473" i="2"/>
  <c r="AV473" i="2"/>
  <c r="AU473" i="2"/>
  <c r="AT473" i="2"/>
  <c r="AS473" i="2"/>
  <c r="AR473" i="2"/>
  <c r="AQ473" i="2"/>
  <c r="AP473" i="2"/>
  <c r="AO473" i="2"/>
  <c r="AN473" i="2"/>
  <c r="AM473" i="2"/>
  <c r="AL473" i="2"/>
  <c r="AK473" i="2"/>
  <c r="AJ473" i="2"/>
  <c r="AI473" i="2"/>
  <c r="AH473" i="2"/>
  <c r="AG473" i="2"/>
  <c r="AF473" i="2"/>
  <c r="AE473" i="2"/>
  <c r="AD473" i="2"/>
  <c r="AC473" i="2"/>
  <c r="AB473" i="2"/>
  <c r="AA473" i="2"/>
  <c r="Z473" i="2"/>
  <c r="Y473" i="2"/>
  <c r="X473" i="2"/>
  <c r="W473" i="2"/>
  <c r="V473" i="2"/>
  <c r="U473" i="2"/>
  <c r="T473" i="2"/>
  <c r="S473" i="2"/>
  <c r="R473" i="2"/>
  <c r="Q473" i="2"/>
  <c r="P473" i="2"/>
  <c r="O473" i="2"/>
  <c r="N473" i="2"/>
  <c r="M473" i="2"/>
  <c r="L473" i="2"/>
  <c r="K473" i="2"/>
  <c r="J473" i="2"/>
  <c r="BD473" i="2" s="1"/>
  <c r="I473" i="2"/>
  <c r="E473" i="2" a="1"/>
  <c r="E473" i="2" s="1"/>
  <c r="D473" i="2" a="1"/>
  <c r="D473" i="2" s="1"/>
  <c r="C473" i="2" a="1"/>
  <c r="C473" i="2" s="1"/>
  <c r="B473" i="2" a="1"/>
  <c r="B473" i="2" s="1"/>
  <c r="CG472" i="2"/>
  <c r="CF472" i="2"/>
  <c r="CE472" i="2"/>
  <c r="CD472" i="2"/>
  <c r="CC472" i="2"/>
  <c r="CB472" i="2"/>
  <c r="CA472" i="2"/>
  <c r="BZ472" i="2"/>
  <c r="BY472" i="2"/>
  <c r="BX472" i="2"/>
  <c r="BW472" i="2"/>
  <c r="BV472" i="2"/>
  <c r="BU472" i="2"/>
  <c r="BT472" i="2"/>
  <c r="BS472" i="2"/>
  <c r="BR472" i="2"/>
  <c r="BQ472" i="2"/>
  <c r="BP472" i="2"/>
  <c r="BO472" i="2"/>
  <c r="BN472" i="2"/>
  <c r="BM472" i="2"/>
  <c r="BL472" i="2"/>
  <c r="BK472" i="2"/>
  <c r="BJ472" i="2"/>
  <c r="BI472" i="2"/>
  <c r="BH472" i="2"/>
  <c r="BG472" i="2"/>
  <c r="BF472" i="2"/>
  <c r="BE472" i="2"/>
  <c r="BD472" i="2"/>
  <c r="BC472" i="2"/>
  <c r="BB472" i="2"/>
  <c r="BA472" i="2"/>
  <c r="AZ472" i="2"/>
  <c r="AY472" i="2"/>
  <c r="AX472" i="2"/>
  <c r="AW472" i="2"/>
  <c r="AV472" i="2"/>
  <c r="AU472" i="2"/>
  <c r="AT472" i="2"/>
  <c r="AS472" i="2"/>
  <c r="AR472" i="2"/>
  <c r="AQ472" i="2"/>
  <c r="AP472" i="2"/>
  <c r="AO472" i="2"/>
  <c r="AN472" i="2"/>
  <c r="AM472" i="2"/>
  <c r="AL472" i="2"/>
  <c r="AK472" i="2"/>
  <c r="AJ472" i="2"/>
  <c r="AI472" i="2"/>
  <c r="AH472" i="2"/>
  <c r="AG472" i="2"/>
  <c r="AF472" i="2"/>
  <c r="AE472" i="2"/>
  <c r="AD472" i="2"/>
  <c r="AC472" i="2"/>
  <c r="AB472" i="2"/>
  <c r="AA472" i="2"/>
  <c r="Z472" i="2"/>
  <c r="Y472" i="2"/>
  <c r="X472" i="2"/>
  <c r="W472" i="2"/>
  <c r="V472" i="2"/>
  <c r="U472" i="2"/>
  <c r="T472" i="2"/>
  <c r="S472" i="2"/>
  <c r="R472" i="2"/>
  <c r="Q472" i="2"/>
  <c r="P472" i="2"/>
  <c r="O472" i="2"/>
  <c r="N472" i="2"/>
  <c r="M472" i="2"/>
  <c r="L472" i="2"/>
  <c r="K472" i="2"/>
  <c r="J472" i="2"/>
  <c r="I472" i="2"/>
  <c r="E472" i="2" a="1"/>
  <c r="E472" i="2" s="1"/>
  <c r="D472" i="2" a="1"/>
  <c r="D472" i="2" s="1"/>
  <c r="C472" i="2" a="1"/>
  <c r="C472" i="2" s="1"/>
  <c r="B472" i="2" a="1"/>
  <c r="B472" i="2" s="1"/>
  <c r="CG471" i="2"/>
  <c r="CF471" i="2"/>
  <c r="CE471" i="2"/>
  <c r="CD471" i="2"/>
  <c r="CC471" i="2"/>
  <c r="CB471" i="2"/>
  <c r="CA471" i="2"/>
  <c r="BZ471" i="2"/>
  <c r="BY471" i="2"/>
  <c r="BX471" i="2"/>
  <c r="BW471" i="2"/>
  <c r="BV471" i="2"/>
  <c r="BU471" i="2"/>
  <c r="BT471" i="2"/>
  <c r="BS471" i="2"/>
  <c r="BR471" i="2"/>
  <c r="BQ471" i="2"/>
  <c r="BP471" i="2"/>
  <c r="BO471" i="2"/>
  <c r="BN471" i="2"/>
  <c r="BM471" i="2"/>
  <c r="BL471" i="2"/>
  <c r="BK471" i="2"/>
  <c r="BJ471" i="2"/>
  <c r="BI471" i="2"/>
  <c r="BH471" i="2"/>
  <c r="BG471" i="2"/>
  <c r="BF471" i="2"/>
  <c r="BE471" i="2"/>
  <c r="BD471" i="2"/>
  <c r="BC471" i="2"/>
  <c r="BB471" i="2"/>
  <c r="BA471" i="2"/>
  <c r="AZ471" i="2"/>
  <c r="AY471" i="2"/>
  <c r="AX471" i="2"/>
  <c r="AW471" i="2"/>
  <c r="AV471" i="2"/>
  <c r="AU471" i="2"/>
  <c r="AT471" i="2"/>
  <c r="AS471" i="2"/>
  <c r="AR471" i="2"/>
  <c r="AQ471" i="2"/>
  <c r="AP471" i="2"/>
  <c r="AO471" i="2"/>
  <c r="AN471" i="2"/>
  <c r="AM471" i="2"/>
  <c r="AL471" i="2"/>
  <c r="AK471" i="2"/>
  <c r="AJ471" i="2"/>
  <c r="AI471" i="2"/>
  <c r="AH471" i="2"/>
  <c r="AG471" i="2"/>
  <c r="AF471" i="2"/>
  <c r="AE471" i="2"/>
  <c r="AD471" i="2"/>
  <c r="AC471" i="2"/>
  <c r="AB471" i="2"/>
  <c r="AA471" i="2"/>
  <c r="Z471" i="2"/>
  <c r="Y471" i="2"/>
  <c r="X471" i="2"/>
  <c r="W471" i="2"/>
  <c r="V471" i="2"/>
  <c r="U471" i="2"/>
  <c r="T471" i="2"/>
  <c r="S471" i="2"/>
  <c r="R471" i="2"/>
  <c r="Q471" i="2"/>
  <c r="P471" i="2"/>
  <c r="O471" i="2"/>
  <c r="N471" i="2"/>
  <c r="M471" i="2"/>
  <c r="L471" i="2"/>
  <c r="K471" i="2"/>
  <c r="J471" i="2"/>
  <c r="I471" i="2"/>
  <c r="E471" i="2" a="1"/>
  <c r="E471" i="2" s="1"/>
  <c r="D471" i="2" a="1"/>
  <c r="D471" i="2" s="1"/>
  <c r="C471" i="2" a="1"/>
  <c r="C471" i="2" s="1"/>
  <c r="B471" i="2" a="1"/>
  <c r="B471" i="2" s="1"/>
  <c r="CG470" i="2"/>
  <c r="CF470" i="2"/>
  <c r="CE470" i="2"/>
  <c r="CD470" i="2"/>
  <c r="CC470" i="2"/>
  <c r="CB470" i="2"/>
  <c r="CA470" i="2"/>
  <c r="BZ470" i="2"/>
  <c r="BY470" i="2"/>
  <c r="BX470" i="2"/>
  <c r="BW470" i="2"/>
  <c r="BV470" i="2"/>
  <c r="BU470" i="2"/>
  <c r="BT470" i="2"/>
  <c r="BS470" i="2"/>
  <c r="BR470" i="2"/>
  <c r="BQ470" i="2"/>
  <c r="BP470" i="2"/>
  <c r="BO470" i="2"/>
  <c r="BN470" i="2"/>
  <c r="BM470" i="2"/>
  <c r="BL470" i="2"/>
  <c r="BK470" i="2"/>
  <c r="BJ470" i="2"/>
  <c r="BI470" i="2"/>
  <c r="BH470" i="2"/>
  <c r="BG470" i="2"/>
  <c r="BF470" i="2"/>
  <c r="BE470" i="2"/>
  <c r="BC470" i="2"/>
  <c r="BB470" i="2"/>
  <c r="BA470" i="2"/>
  <c r="AZ470" i="2"/>
  <c r="AY470" i="2"/>
  <c r="AX470" i="2"/>
  <c r="AW470" i="2"/>
  <c r="AV470" i="2"/>
  <c r="AU470" i="2"/>
  <c r="AT470" i="2"/>
  <c r="AS470" i="2"/>
  <c r="AR470" i="2"/>
  <c r="AQ470" i="2"/>
  <c r="AP470" i="2"/>
  <c r="AO470" i="2"/>
  <c r="AN470" i="2"/>
  <c r="AM470" i="2"/>
  <c r="AL470" i="2"/>
  <c r="AK470" i="2"/>
  <c r="AJ470" i="2"/>
  <c r="AI470" i="2"/>
  <c r="AH470" i="2"/>
  <c r="AG470" i="2"/>
  <c r="AF470" i="2"/>
  <c r="AE470" i="2"/>
  <c r="AD470" i="2"/>
  <c r="AC470" i="2"/>
  <c r="AB470" i="2"/>
  <c r="AA470" i="2"/>
  <c r="Z470" i="2"/>
  <c r="Y470" i="2"/>
  <c r="X470" i="2"/>
  <c r="W470" i="2"/>
  <c r="V470" i="2"/>
  <c r="U470" i="2"/>
  <c r="T470" i="2"/>
  <c r="S470" i="2"/>
  <c r="R470" i="2"/>
  <c r="Q470" i="2"/>
  <c r="P470" i="2"/>
  <c r="O470" i="2"/>
  <c r="N470" i="2"/>
  <c r="M470" i="2"/>
  <c r="L470" i="2"/>
  <c r="K470" i="2"/>
  <c r="J470" i="2"/>
  <c r="BD470" i="2" s="1"/>
  <c r="I470" i="2"/>
  <c r="E470" i="2" a="1"/>
  <c r="E470" i="2" s="1"/>
  <c r="D470" i="2" a="1"/>
  <c r="D470" i="2" s="1"/>
  <c r="C470" i="2" a="1"/>
  <c r="C470" i="2" s="1"/>
  <c r="B470" i="2" a="1"/>
  <c r="B470" i="2" s="1"/>
  <c r="CG469" i="2"/>
  <c r="CF469" i="2"/>
  <c r="CE469" i="2"/>
  <c r="CD469" i="2"/>
  <c r="CC469" i="2"/>
  <c r="CB469" i="2"/>
  <c r="CA469" i="2"/>
  <c r="BZ469" i="2"/>
  <c r="BY469" i="2"/>
  <c r="BX469" i="2"/>
  <c r="BW469" i="2"/>
  <c r="BV469" i="2"/>
  <c r="BU469" i="2"/>
  <c r="BT469" i="2"/>
  <c r="BS469" i="2"/>
  <c r="BR469" i="2"/>
  <c r="BQ469" i="2"/>
  <c r="BP469" i="2"/>
  <c r="BO469" i="2"/>
  <c r="BN469" i="2"/>
  <c r="BM469" i="2"/>
  <c r="BL469" i="2"/>
  <c r="BK469" i="2"/>
  <c r="BJ469" i="2"/>
  <c r="BI469" i="2"/>
  <c r="BH469" i="2"/>
  <c r="BG469" i="2"/>
  <c r="BF469" i="2"/>
  <c r="BE469" i="2"/>
  <c r="BC469" i="2"/>
  <c r="BB469" i="2"/>
  <c r="BA469" i="2"/>
  <c r="AZ469" i="2"/>
  <c r="AY469" i="2"/>
  <c r="AX469" i="2"/>
  <c r="AW469" i="2"/>
  <c r="AV469" i="2"/>
  <c r="AU469" i="2"/>
  <c r="AT469" i="2"/>
  <c r="AS469" i="2"/>
  <c r="AR469" i="2"/>
  <c r="AQ469" i="2"/>
  <c r="AP469" i="2"/>
  <c r="AO469" i="2"/>
  <c r="AN469" i="2"/>
  <c r="AM469" i="2"/>
  <c r="AL469" i="2"/>
  <c r="AK469" i="2"/>
  <c r="AJ469" i="2"/>
  <c r="AI469" i="2"/>
  <c r="AH469" i="2"/>
  <c r="AG469" i="2"/>
  <c r="AF469" i="2"/>
  <c r="AE469" i="2"/>
  <c r="AD469" i="2"/>
  <c r="AC469" i="2"/>
  <c r="AB469" i="2"/>
  <c r="AA469" i="2"/>
  <c r="Z469" i="2"/>
  <c r="Y469" i="2"/>
  <c r="X469" i="2"/>
  <c r="W469" i="2"/>
  <c r="V469" i="2"/>
  <c r="U469" i="2"/>
  <c r="T469" i="2"/>
  <c r="S469" i="2"/>
  <c r="R469" i="2"/>
  <c r="Q469" i="2"/>
  <c r="P469" i="2"/>
  <c r="O469" i="2"/>
  <c r="N469" i="2"/>
  <c r="M469" i="2"/>
  <c r="L469" i="2"/>
  <c r="K469" i="2"/>
  <c r="J469" i="2"/>
  <c r="BD469" i="2" s="1"/>
  <c r="I469" i="2"/>
  <c r="E469" i="2" a="1"/>
  <c r="E469" i="2" s="1"/>
  <c r="D469" i="2" a="1"/>
  <c r="D469" i="2" s="1"/>
  <c r="C469" i="2" a="1"/>
  <c r="C469" i="2" s="1"/>
  <c r="B469" i="2" a="1"/>
  <c r="B469" i="2" s="1"/>
  <c r="CG468" i="2"/>
  <c r="CF468" i="2"/>
  <c r="CE468" i="2"/>
  <c r="CD468" i="2"/>
  <c r="CC468" i="2"/>
  <c r="CB468" i="2"/>
  <c r="CA468" i="2"/>
  <c r="BZ468" i="2"/>
  <c r="BY468" i="2"/>
  <c r="BX468" i="2"/>
  <c r="BW468" i="2"/>
  <c r="BV468" i="2"/>
  <c r="BU468" i="2"/>
  <c r="BT468" i="2"/>
  <c r="BS468" i="2"/>
  <c r="BR468" i="2"/>
  <c r="BQ468" i="2"/>
  <c r="BP468" i="2"/>
  <c r="BO468" i="2"/>
  <c r="BN468" i="2"/>
  <c r="BM468" i="2"/>
  <c r="BL468" i="2"/>
  <c r="BK468" i="2"/>
  <c r="BJ468" i="2"/>
  <c r="BI468" i="2"/>
  <c r="BH468" i="2"/>
  <c r="BG468" i="2"/>
  <c r="BF468" i="2"/>
  <c r="BE468" i="2"/>
  <c r="BD468" i="2"/>
  <c r="BC468" i="2"/>
  <c r="BB468" i="2"/>
  <c r="BA468" i="2"/>
  <c r="AZ468" i="2"/>
  <c r="AY468" i="2"/>
  <c r="AX468" i="2"/>
  <c r="AW468" i="2"/>
  <c r="AV468" i="2"/>
  <c r="AU468" i="2"/>
  <c r="AT468" i="2"/>
  <c r="AS468" i="2"/>
  <c r="AR468" i="2"/>
  <c r="AQ468" i="2"/>
  <c r="AP468" i="2"/>
  <c r="AO468" i="2"/>
  <c r="AN468" i="2"/>
  <c r="AM468" i="2"/>
  <c r="AL468" i="2"/>
  <c r="AK468" i="2"/>
  <c r="AJ468" i="2"/>
  <c r="AI468" i="2"/>
  <c r="AH468" i="2"/>
  <c r="AG468" i="2"/>
  <c r="AF468" i="2"/>
  <c r="AE468" i="2"/>
  <c r="AD468" i="2"/>
  <c r="AC468" i="2"/>
  <c r="AB468" i="2"/>
  <c r="AA468" i="2"/>
  <c r="Z468" i="2"/>
  <c r="Y468" i="2"/>
  <c r="X468" i="2"/>
  <c r="W468" i="2"/>
  <c r="V468" i="2"/>
  <c r="U468" i="2"/>
  <c r="T468" i="2"/>
  <c r="S468" i="2"/>
  <c r="R468" i="2"/>
  <c r="Q468" i="2"/>
  <c r="P468" i="2"/>
  <c r="O468" i="2"/>
  <c r="N468" i="2"/>
  <c r="M468" i="2"/>
  <c r="L468" i="2"/>
  <c r="K468" i="2"/>
  <c r="J468" i="2"/>
  <c r="I468" i="2"/>
  <c r="E468" i="2" a="1"/>
  <c r="E468" i="2" s="1"/>
  <c r="D468" i="2" a="1"/>
  <c r="D468" i="2" s="1"/>
  <c r="C468" i="2" a="1"/>
  <c r="C468" i="2" s="1"/>
  <c r="B468" i="2" a="1"/>
  <c r="B468" i="2" s="1"/>
  <c r="CG467" i="2"/>
  <c r="CF467" i="2"/>
  <c r="CE467" i="2"/>
  <c r="CD467" i="2"/>
  <c r="CC467" i="2"/>
  <c r="CB467" i="2"/>
  <c r="CA467" i="2"/>
  <c r="BZ467" i="2"/>
  <c r="BY467" i="2"/>
  <c r="BX467" i="2"/>
  <c r="BW467" i="2"/>
  <c r="BV467" i="2"/>
  <c r="BU467" i="2"/>
  <c r="BT467" i="2"/>
  <c r="BS467" i="2"/>
  <c r="BR467" i="2"/>
  <c r="BQ467" i="2"/>
  <c r="BP467" i="2"/>
  <c r="BO467" i="2"/>
  <c r="BN467" i="2"/>
  <c r="BM467" i="2"/>
  <c r="BL467" i="2"/>
  <c r="BK467" i="2"/>
  <c r="BJ467" i="2"/>
  <c r="BI467" i="2"/>
  <c r="BH467" i="2"/>
  <c r="BG467" i="2"/>
  <c r="BF467" i="2"/>
  <c r="BE467" i="2"/>
  <c r="BD467" i="2"/>
  <c r="BC467" i="2"/>
  <c r="BB467" i="2"/>
  <c r="BA467" i="2"/>
  <c r="AZ467" i="2"/>
  <c r="AY467" i="2"/>
  <c r="AX467" i="2"/>
  <c r="AW467" i="2"/>
  <c r="AV467" i="2"/>
  <c r="AU467" i="2"/>
  <c r="AT467" i="2"/>
  <c r="AS467" i="2"/>
  <c r="AR467" i="2"/>
  <c r="AQ467" i="2"/>
  <c r="AP467" i="2"/>
  <c r="AO467" i="2"/>
  <c r="AN467" i="2"/>
  <c r="AM467" i="2"/>
  <c r="AL467" i="2"/>
  <c r="AK467" i="2"/>
  <c r="AJ467" i="2"/>
  <c r="AI467" i="2"/>
  <c r="AH467" i="2"/>
  <c r="AG467" i="2"/>
  <c r="AF467" i="2"/>
  <c r="AE467" i="2"/>
  <c r="AD467" i="2"/>
  <c r="AC467" i="2"/>
  <c r="AB467" i="2"/>
  <c r="AA467" i="2"/>
  <c r="Z467" i="2"/>
  <c r="Y467" i="2"/>
  <c r="X467" i="2"/>
  <c r="W467" i="2"/>
  <c r="V467" i="2"/>
  <c r="U467" i="2"/>
  <c r="T467" i="2"/>
  <c r="S467" i="2"/>
  <c r="R467" i="2"/>
  <c r="Q467" i="2"/>
  <c r="P467" i="2"/>
  <c r="O467" i="2"/>
  <c r="N467" i="2"/>
  <c r="M467" i="2"/>
  <c r="L467" i="2"/>
  <c r="K467" i="2"/>
  <c r="J467" i="2"/>
  <c r="I467" i="2"/>
  <c r="E467" i="2" a="1"/>
  <c r="E467" i="2" s="1"/>
  <c r="D467" i="2" a="1"/>
  <c r="D467" i="2" s="1"/>
  <c r="C467" i="2" a="1"/>
  <c r="C467" i="2" s="1"/>
  <c r="B467" i="2" a="1"/>
  <c r="B467" i="2" s="1"/>
  <c r="CG466" i="2"/>
  <c r="CF466" i="2"/>
  <c r="CE466" i="2"/>
  <c r="CD466" i="2"/>
  <c r="CC466" i="2"/>
  <c r="CB466" i="2"/>
  <c r="CA466" i="2"/>
  <c r="BZ466" i="2"/>
  <c r="BY466" i="2"/>
  <c r="BX466" i="2"/>
  <c r="BW466" i="2"/>
  <c r="BV466" i="2"/>
  <c r="BU466" i="2"/>
  <c r="BT466" i="2"/>
  <c r="BS466" i="2"/>
  <c r="BR466" i="2"/>
  <c r="BQ466" i="2"/>
  <c r="BP466" i="2"/>
  <c r="BO466" i="2"/>
  <c r="BN466" i="2"/>
  <c r="BM466" i="2"/>
  <c r="BL466" i="2"/>
  <c r="BK466" i="2"/>
  <c r="BJ466" i="2"/>
  <c r="BI466" i="2"/>
  <c r="BH466" i="2"/>
  <c r="BG466" i="2"/>
  <c r="BF466" i="2"/>
  <c r="BE466" i="2"/>
  <c r="BC466" i="2"/>
  <c r="BB466" i="2"/>
  <c r="BA466" i="2"/>
  <c r="AZ466" i="2"/>
  <c r="AY466" i="2"/>
  <c r="AX466" i="2"/>
  <c r="AW466" i="2"/>
  <c r="AV466" i="2"/>
  <c r="AU466" i="2"/>
  <c r="AT466" i="2"/>
  <c r="AS466" i="2"/>
  <c r="AR466" i="2"/>
  <c r="AQ466" i="2"/>
  <c r="AP466" i="2"/>
  <c r="AO466" i="2"/>
  <c r="AN466" i="2"/>
  <c r="AM466" i="2"/>
  <c r="AL466" i="2"/>
  <c r="AK466" i="2"/>
  <c r="AJ466" i="2"/>
  <c r="AI466" i="2"/>
  <c r="AH466" i="2"/>
  <c r="AG466" i="2"/>
  <c r="AF466" i="2"/>
  <c r="AE466" i="2"/>
  <c r="AD466" i="2"/>
  <c r="AC466" i="2"/>
  <c r="AB466" i="2"/>
  <c r="AA466" i="2"/>
  <c r="Z466" i="2"/>
  <c r="Y466" i="2"/>
  <c r="X466" i="2"/>
  <c r="W466" i="2"/>
  <c r="V466" i="2"/>
  <c r="U466" i="2"/>
  <c r="T466" i="2"/>
  <c r="S466" i="2"/>
  <c r="R466" i="2"/>
  <c r="Q466" i="2"/>
  <c r="P466" i="2"/>
  <c r="O466" i="2"/>
  <c r="N466" i="2"/>
  <c r="M466" i="2"/>
  <c r="L466" i="2"/>
  <c r="K466" i="2"/>
  <c r="J466" i="2"/>
  <c r="BD466" i="2" s="1"/>
  <c r="I466" i="2"/>
  <c r="E466" i="2" a="1"/>
  <c r="E466" i="2" s="1"/>
  <c r="D466" i="2" a="1"/>
  <c r="D466" i="2" s="1"/>
  <c r="C466" i="2" a="1"/>
  <c r="C466" i="2" s="1"/>
  <c r="B466" i="2" a="1"/>
  <c r="B466" i="2" s="1"/>
  <c r="CG465" i="2"/>
  <c r="CF465" i="2"/>
  <c r="CE465" i="2"/>
  <c r="CD465" i="2"/>
  <c r="CC465" i="2"/>
  <c r="CB465" i="2"/>
  <c r="CA465" i="2"/>
  <c r="BZ465" i="2"/>
  <c r="BY465" i="2"/>
  <c r="BX465" i="2"/>
  <c r="BW465" i="2"/>
  <c r="BV465" i="2"/>
  <c r="BU465" i="2"/>
  <c r="BT465" i="2"/>
  <c r="BS465" i="2"/>
  <c r="BR465" i="2"/>
  <c r="BQ465" i="2"/>
  <c r="BP465" i="2"/>
  <c r="BO465" i="2"/>
  <c r="BN465" i="2"/>
  <c r="BM465" i="2"/>
  <c r="BL465" i="2"/>
  <c r="BK465" i="2"/>
  <c r="BJ465" i="2"/>
  <c r="BI465" i="2"/>
  <c r="BH465" i="2"/>
  <c r="BG465" i="2"/>
  <c r="BF465" i="2"/>
  <c r="BE465" i="2"/>
  <c r="BC465" i="2"/>
  <c r="BB465" i="2"/>
  <c r="BA465" i="2"/>
  <c r="AZ465" i="2"/>
  <c r="AY465" i="2"/>
  <c r="AX465" i="2"/>
  <c r="AW465" i="2"/>
  <c r="AV465" i="2"/>
  <c r="AU465" i="2"/>
  <c r="AT465" i="2"/>
  <c r="AS465" i="2"/>
  <c r="AR465" i="2"/>
  <c r="AQ465" i="2"/>
  <c r="AP465" i="2"/>
  <c r="AO465" i="2"/>
  <c r="AN465" i="2"/>
  <c r="AM465" i="2"/>
  <c r="AL465" i="2"/>
  <c r="AK465" i="2"/>
  <c r="AJ465" i="2"/>
  <c r="AI465" i="2"/>
  <c r="AH465" i="2"/>
  <c r="AG465" i="2"/>
  <c r="AF465" i="2"/>
  <c r="AE465" i="2"/>
  <c r="AD465" i="2"/>
  <c r="AC465" i="2"/>
  <c r="AB465" i="2"/>
  <c r="AA465" i="2"/>
  <c r="Z465" i="2"/>
  <c r="Y465" i="2"/>
  <c r="X465" i="2"/>
  <c r="W465" i="2"/>
  <c r="V465" i="2"/>
  <c r="U465" i="2"/>
  <c r="T465" i="2"/>
  <c r="S465" i="2"/>
  <c r="R465" i="2"/>
  <c r="Q465" i="2"/>
  <c r="P465" i="2"/>
  <c r="O465" i="2"/>
  <c r="N465" i="2"/>
  <c r="M465" i="2"/>
  <c r="L465" i="2"/>
  <c r="K465" i="2"/>
  <c r="J465" i="2"/>
  <c r="BD465" i="2" s="1"/>
  <c r="I465" i="2"/>
  <c r="E465" i="2" a="1"/>
  <c r="E465" i="2" s="1"/>
  <c r="D465" i="2" a="1"/>
  <c r="D465" i="2" s="1"/>
  <c r="C465" i="2" a="1"/>
  <c r="C465" i="2" s="1"/>
  <c r="B465" i="2" a="1"/>
  <c r="B465" i="2" s="1"/>
  <c r="CG464" i="2"/>
  <c r="CF464" i="2"/>
  <c r="CE464" i="2"/>
  <c r="CD464" i="2"/>
  <c r="CC464" i="2"/>
  <c r="CB464" i="2"/>
  <c r="CA464" i="2"/>
  <c r="BZ464" i="2"/>
  <c r="BY464" i="2"/>
  <c r="BX464" i="2"/>
  <c r="BW464" i="2"/>
  <c r="BV464" i="2"/>
  <c r="BU464" i="2"/>
  <c r="BT464" i="2"/>
  <c r="BS464" i="2"/>
  <c r="BR464" i="2"/>
  <c r="BQ464" i="2"/>
  <c r="BP464" i="2"/>
  <c r="BO464" i="2"/>
  <c r="BN464" i="2"/>
  <c r="BM464" i="2"/>
  <c r="BL464" i="2"/>
  <c r="BK464" i="2"/>
  <c r="BJ464" i="2"/>
  <c r="BI464" i="2"/>
  <c r="BH464" i="2"/>
  <c r="BG464" i="2"/>
  <c r="BF464" i="2"/>
  <c r="BE464" i="2"/>
  <c r="BD464" i="2"/>
  <c r="BC464" i="2"/>
  <c r="BB464" i="2"/>
  <c r="BA464" i="2"/>
  <c r="AZ464" i="2"/>
  <c r="AY464" i="2"/>
  <c r="AX464" i="2"/>
  <c r="AW464" i="2"/>
  <c r="AV464" i="2"/>
  <c r="AU464" i="2"/>
  <c r="AT464" i="2"/>
  <c r="AS464" i="2"/>
  <c r="AR464" i="2"/>
  <c r="AQ464" i="2"/>
  <c r="AP464" i="2"/>
  <c r="AO464" i="2"/>
  <c r="AN464" i="2"/>
  <c r="AM464" i="2"/>
  <c r="AL464" i="2"/>
  <c r="AK464" i="2"/>
  <c r="AJ464" i="2"/>
  <c r="AI464" i="2"/>
  <c r="AH464" i="2"/>
  <c r="AG464" i="2"/>
  <c r="AF464" i="2"/>
  <c r="AE464" i="2"/>
  <c r="AD464" i="2"/>
  <c r="AC464" i="2"/>
  <c r="AB464" i="2"/>
  <c r="AA464" i="2"/>
  <c r="Z464" i="2"/>
  <c r="Y464" i="2"/>
  <c r="X464" i="2"/>
  <c r="W464" i="2"/>
  <c r="V464" i="2"/>
  <c r="U464" i="2"/>
  <c r="T464" i="2"/>
  <c r="S464" i="2"/>
  <c r="R464" i="2"/>
  <c r="Q464" i="2"/>
  <c r="P464" i="2"/>
  <c r="O464" i="2"/>
  <c r="N464" i="2"/>
  <c r="M464" i="2"/>
  <c r="L464" i="2"/>
  <c r="K464" i="2"/>
  <c r="J464" i="2"/>
  <c r="I464" i="2"/>
  <c r="E464" i="2" a="1"/>
  <c r="E464" i="2" s="1"/>
  <c r="D464" i="2" a="1"/>
  <c r="D464" i="2" s="1"/>
  <c r="C464" i="2" a="1"/>
  <c r="C464" i="2" s="1"/>
  <c r="B464" i="2" a="1"/>
  <c r="B464" i="2" s="1"/>
  <c r="CG463" i="2"/>
  <c r="CF463" i="2"/>
  <c r="CE463" i="2"/>
  <c r="CD463" i="2"/>
  <c r="CC463" i="2"/>
  <c r="CB463" i="2"/>
  <c r="CA463" i="2"/>
  <c r="BZ463" i="2"/>
  <c r="BY463" i="2"/>
  <c r="BX463" i="2"/>
  <c r="BW463" i="2"/>
  <c r="BV463" i="2"/>
  <c r="BU463" i="2"/>
  <c r="BT463" i="2"/>
  <c r="BS463" i="2"/>
  <c r="BR463" i="2"/>
  <c r="BQ463" i="2"/>
  <c r="BP463" i="2"/>
  <c r="BO463" i="2"/>
  <c r="BN463" i="2"/>
  <c r="BM463" i="2"/>
  <c r="BL463" i="2"/>
  <c r="BK463" i="2"/>
  <c r="BJ463" i="2"/>
  <c r="BI463" i="2"/>
  <c r="BH463" i="2"/>
  <c r="BG463" i="2"/>
  <c r="BF463" i="2"/>
  <c r="BE463" i="2"/>
  <c r="BD463" i="2"/>
  <c r="BC463" i="2"/>
  <c r="BB463" i="2"/>
  <c r="BA463" i="2"/>
  <c r="AZ463" i="2"/>
  <c r="AY463" i="2"/>
  <c r="AX463" i="2"/>
  <c r="AW463" i="2"/>
  <c r="AV463" i="2"/>
  <c r="AU463" i="2"/>
  <c r="AT463" i="2"/>
  <c r="AS463" i="2"/>
  <c r="AR463" i="2"/>
  <c r="AQ463" i="2"/>
  <c r="AP463" i="2"/>
  <c r="AO463" i="2"/>
  <c r="AN463" i="2"/>
  <c r="AM463" i="2"/>
  <c r="AL463" i="2"/>
  <c r="AK463" i="2"/>
  <c r="AJ463" i="2"/>
  <c r="AI463" i="2"/>
  <c r="AH463" i="2"/>
  <c r="AG463" i="2"/>
  <c r="AF463" i="2"/>
  <c r="AE463" i="2"/>
  <c r="AD463" i="2"/>
  <c r="AC463" i="2"/>
  <c r="AB463" i="2"/>
  <c r="AA463" i="2"/>
  <c r="Z463" i="2"/>
  <c r="Y463" i="2"/>
  <c r="X463" i="2"/>
  <c r="W463" i="2"/>
  <c r="V463" i="2"/>
  <c r="U463" i="2"/>
  <c r="T463" i="2"/>
  <c r="S463" i="2"/>
  <c r="R463" i="2"/>
  <c r="Q463" i="2"/>
  <c r="P463" i="2"/>
  <c r="O463" i="2"/>
  <c r="N463" i="2"/>
  <c r="M463" i="2"/>
  <c r="L463" i="2"/>
  <c r="K463" i="2"/>
  <c r="J463" i="2"/>
  <c r="I463" i="2"/>
  <c r="E463" i="2" a="1"/>
  <c r="E463" i="2" s="1"/>
  <c r="D463" i="2" a="1"/>
  <c r="D463" i="2" s="1"/>
  <c r="C463" i="2" a="1"/>
  <c r="C463" i="2" s="1"/>
  <c r="B463" i="2" a="1"/>
  <c r="B463" i="2" s="1"/>
  <c r="CG462" i="2"/>
  <c r="CF462" i="2"/>
  <c r="CE462" i="2"/>
  <c r="CD462" i="2"/>
  <c r="CC462" i="2"/>
  <c r="CB462" i="2"/>
  <c r="CA462" i="2"/>
  <c r="BZ462" i="2"/>
  <c r="BY462" i="2"/>
  <c r="BX462" i="2"/>
  <c r="BW462" i="2"/>
  <c r="BV462" i="2"/>
  <c r="BU462" i="2"/>
  <c r="BT462" i="2"/>
  <c r="BS462" i="2"/>
  <c r="BR462" i="2"/>
  <c r="BQ462" i="2"/>
  <c r="BP462" i="2"/>
  <c r="BO462" i="2"/>
  <c r="BN462" i="2"/>
  <c r="BM462" i="2"/>
  <c r="BL462" i="2"/>
  <c r="BK462" i="2"/>
  <c r="BJ462" i="2"/>
  <c r="BI462" i="2"/>
  <c r="BH462" i="2"/>
  <c r="BG462" i="2"/>
  <c r="BF462" i="2"/>
  <c r="BE462" i="2"/>
  <c r="BC462" i="2"/>
  <c r="BB462" i="2"/>
  <c r="BA462" i="2"/>
  <c r="AZ462" i="2"/>
  <c r="AY462" i="2"/>
  <c r="AX462" i="2"/>
  <c r="AW462" i="2"/>
  <c r="AV462" i="2"/>
  <c r="AU462" i="2"/>
  <c r="AT462" i="2"/>
  <c r="AS462" i="2"/>
  <c r="AR462" i="2"/>
  <c r="AQ462" i="2"/>
  <c r="AP462" i="2"/>
  <c r="AO462" i="2"/>
  <c r="AN462" i="2"/>
  <c r="AM462" i="2"/>
  <c r="AL462" i="2"/>
  <c r="AK462" i="2"/>
  <c r="AJ462" i="2"/>
  <c r="AI462" i="2"/>
  <c r="AH462" i="2"/>
  <c r="AG462" i="2"/>
  <c r="AF462" i="2"/>
  <c r="AE462" i="2"/>
  <c r="AD462" i="2"/>
  <c r="AC462" i="2"/>
  <c r="AB462" i="2"/>
  <c r="AA462" i="2"/>
  <c r="Z462" i="2"/>
  <c r="Y462" i="2"/>
  <c r="X462" i="2"/>
  <c r="W462" i="2"/>
  <c r="V462" i="2"/>
  <c r="U462" i="2"/>
  <c r="T462" i="2"/>
  <c r="S462" i="2"/>
  <c r="R462" i="2"/>
  <c r="Q462" i="2"/>
  <c r="P462" i="2"/>
  <c r="O462" i="2"/>
  <c r="N462" i="2"/>
  <c r="M462" i="2"/>
  <c r="L462" i="2"/>
  <c r="K462" i="2"/>
  <c r="J462" i="2"/>
  <c r="BD462" i="2" s="1"/>
  <c r="I462" i="2"/>
  <c r="E462" i="2" a="1"/>
  <c r="E462" i="2" s="1"/>
  <c r="D462" i="2" a="1"/>
  <c r="D462" i="2" s="1"/>
  <c r="C462" i="2" a="1"/>
  <c r="C462" i="2" s="1"/>
  <c r="B462" i="2" a="1"/>
  <c r="B462" i="2" s="1"/>
  <c r="CG461" i="2"/>
  <c r="CF461" i="2"/>
  <c r="CE461" i="2"/>
  <c r="CD461" i="2"/>
  <c r="CC461" i="2"/>
  <c r="CB461" i="2"/>
  <c r="CA461" i="2"/>
  <c r="BZ461" i="2"/>
  <c r="BY461" i="2"/>
  <c r="BX461" i="2"/>
  <c r="BW461" i="2"/>
  <c r="BV461" i="2"/>
  <c r="BU461" i="2"/>
  <c r="BT461" i="2"/>
  <c r="BS461" i="2"/>
  <c r="BR461" i="2"/>
  <c r="BQ461" i="2"/>
  <c r="BP461" i="2"/>
  <c r="BO461" i="2"/>
  <c r="BN461" i="2"/>
  <c r="BM461" i="2"/>
  <c r="BL461" i="2"/>
  <c r="BK461" i="2"/>
  <c r="BJ461" i="2"/>
  <c r="BI461" i="2"/>
  <c r="BH461" i="2"/>
  <c r="BG461" i="2"/>
  <c r="BF461" i="2"/>
  <c r="BE461" i="2"/>
  <c r="BC461" i="2"/>
  <c r="BB461" i="2"/>
  <c r="BA461" i="2"/>
  <c r="AZ461" i="2"/>
  <c r="AY461" i="2"/>
  <c r="AX461" i="2"/>
  <c r="AW461" i="2"/>
  <c r="AV461" i="2"/>
  <c r="AU461" i="2"/>
  <c r="AT461" i="2"/>
  <c r="AS461" i="2"/>
  <c r="AR461" i="2"/>
  <c r="AQ461" i="2"/>
  <c r="AP461" i="2"/>
  <c r="AO461" i="2"/>
  <c r="AN461" i="2"/>
  <c r="AM461" i="2"/>
  <c r="AL461" i="2"/>
  <c r="AK461" i="2"/>
  <c r="AJ461" i="2"/>
  <c r="AI461" i="2"/>
  <c r="AH461" i="2"/>
  <c r="AG461" i="2"/>
  <c r="AF461" i="2"/>
  <c r="AE461" i="2"/>
  <c r="AD461" i="2"/>
  <c r="AC461" i="2"/>
  <c r="AB461" i="2"/>
  <c r="AA461" i="2"/>
  <c r="Z461" i="2"/>
  <c r="Y461" i="2"/>
  <c r="X461" i="2"/>
  <c r="W461" i="2"/>
  <c r="V461" i="2"/>
  <c r="U461" i="2"/>
  <c r="T461" i="2"/>
  <c r="S461" i="2"/>
  <c r="R461" i="2"/>
  <c r="Q461" i="2"/>
  <c r="P461" i="2"/>
  <c r="O461" i="2"/>
  <c r="N461" i="2"/>
  <c r="M461" i="2"/>
  <c r="L461" i="2"/>
  <c r="K461" i="2"/>
  <c r="J461" i="2"/>
  <c r="BD461" i="2" s="1"/>
  <c r="I461" i="2"/>
  <c r="E461" i="2" a="1"/>
  <c r="E461" i="2" s="1"/>
  <c r="D461" i="2" a="1"/>
  <c r="D461" i="2" s="1"/>
  <c r="C461" i="2" a="1"/>
  <c r="C461" i="2" s="1"/>
  <c r="B461" i="2" a="1"/>
  <c r="B461" i="2" s="1"/>
  <c r="CG460" i="2"/>
  <c r="CF460" i="2"/>
  <c r="CE460" i="2"/>
  <c r="CD460" i="2"/>
  <c r="CC460" i="2"/>
  <c r="CB460" i="2"/>
  <c r="CA460" i="2"/>
  <c r="BZ460" i="2"/>
  <c r="BY460" i="2"/>
  <c r="BX460" i="2"/>
  <c r="BW460" i="2"/>
  <c r="BV460" i="2"/>
  <c r="BU460" i="2"/>
  <c r="BT460" i="2"/>
  <c r="BS460" i="2"/>
  <c r="BR460" i="2"/>
  <c r="BQ460" i="2"/>
  <c r="BP460" i="2"/>
  <c r="BO460" i="2"/>
  <c r="BN460" i="2"/>
  <c r="BM460" i="2"/>
  <c r="BL460" i="2"/>
  <c r="BK460" i="2"/>
  <c r="BJ460" i="2"/>
  <c r="BI460" i="2"/>
  <c r="BH460" i="2"/>
  <c r="BG460" i="2"/>
  <c r="BF460" i="2"/>
  <c r="BE460" i="2"/>
  <c r="BD460" i="2"/>
  <c r="BC460" i="2"/>
  <c r="BB460" i="2"/>
  <c r="BA460" i="2"/>
  <c r="AZ460" i="2"/>
  <c r="AY460" i="2"/>
  <c r="AX460" i="2"/>
  <c r="AW460" i="2"/>
  <c r="AV460" i="2"/>
  <c r="AU460" i="2"/>
  <c r="AT460" i="2"/>
  <c r="AS460" i="2"/>
  <c r="AR460" i="2"/>
  <c r="AQ460" i="2"/>
  <c r="AP460" i="2"/>
  <c r="AO460" i="2"/>
  <c r="AN460" i="2"/>
  <c r="AM460" i="2"/>
  <c r="AL460" i="2"/>
  <c r="AK460" i="2"/>
  <c r="AJ460" i="2"/>
  <c r="AI460" i="2"/>
  <c r="AH460" i="2"/>
  <c r="AG460" i="2"/>
  <c r="AF460" i="2"/>
  <c r="AE460" i="2"/>
  <c r="AD460" i="2"/>
  <c r="AC460" i="2"/>
  <c r="AB460" i="2"/>
  <c r="AA460" i="2"/>
  <c r="Z460" i="2"/>
  <c r="Y460" i="2"/>
  <c r="X460" i="2"/>
  <c r="W460" i="2"/>
  <c r="V460" i="2"/>
  <c r="U460" i="2"/>
  <c r="T460" i="2"/>
  <c r="S460" i="2"/>
  <c r="R460" i="2"/>
  <c r="Q460" i="2"/>
  <c r="P460" i="2"/>
  <c r="O460" i="2"/>
  <c r="N460" i="2"/>
  <c r="M460" i="2"/>
  <c r="L460" i="2"/>
  <c r="K460" i="2"/>
  <c r="J460" i="2"/>
  <c r="I460" i="2"/>
  <c r="E460" i="2" a="1"/>
  <c r="E460" i="2" s="1"/>
  <c r="D460" i="2" a="1"/>
  <c r="D460" i="2" s="1"/>
  <c r="C460" i="2" a="1"/>
  <c r="C460" i="2" s="1"/>
  <c r="B460" i="2" a="1"/>
  <c r="B460" i="2" s="1"/>
  <c r="CG459" i="2"/>
  <c r="CF459" i="2"/>
  <c r="CE459" i="2"/>
  <c r="CD459" i="2"/>
  <c r="CC459" i="2"/>
  <c r="CB459" i="2"/>
  <c r="CA459" i="2"/>
  <c r="BZ459" i="2"/>
  <c r="BY459" i="2"/>
  <c r="BX459" i="2"/>
  <c r="BW459" i="2"/>
  <c r="BV459" i="2"/>
  <c r="BU459" i="2"/>
  <c r="BT459" i="2"/>
  <c r="BS459" i="2"/>
  <c r="BR459" i="2"/>
  <c r="BQ459" i="2"/>
  <c r="BP459" i="2"/>
  <c r="BO459" i="2"/>
  <c r="BN459" i="2"/>
  <c r="BM459" i="2"/>
  <c r="BL459" i="2"/>
  <c r="BK459" i="2"/>
  <c r="BJ459" i="2"/>
  <c r="BI459" i="2"/>
  <c r="BH459" i="2"/>
  <c r="BG459" i="2"/>
  <c r="BF459" i="2"/>
  <c r="BE459" i="2"/>
  <c r="BD459" i="2"/>
  <c r="BC459" i="2"/>
  <c r="BB459" i="2"/>
  <c r="BA459" i="2"/>
  <c r="AZ459" i="2"/>
  <c r="AY459" i="2"/>
  <c r="AX459" i="2"/>
  <c r="AW459" i="2"/>
  <c r="AV459" i="2"/>
  <c r="AU459" i="2"/>
  <c r="AT459" i="2"/>
  <c r="AS459" i="2"/>
  <c r="AR459" i="2"/>
  <c r="AQ459" i="2"/>
  <c r="AP459" i="2"/>
  <c r="AO459" i="2"/>
  <c r="AN459" i="2"/>
  <c r="AM459" i="2"/>
  <c r="AL459" i="2"/>
  <c r="AK459" i="2"/>
  <c r="AJ459" i="2"/>
  <c r="AI459" i="2"/>
  <c r="AH459" i="2"/>
  <c r="AG459" i="2"/>
  <c r="AF459" i="2"/>
  <c r="AE459" i="2"/>
  <c r="AD459" i="2"/>
  <c r="AC459" i="2"/>
  <c r="AB459" i="2"/>
  <c r="AA459" i="2"/>
  <c r="Z459" i="2"/>
  <c r="Y459" i="2"/>
  <c r="X459" i="2"/>
  <c r="W459" i="2"/>
  <c r="V459" i="2"/>
  <c r="U459" i="2"/>
  <c r="T459" i="2"/>
  <c r="S459" i="2"/>
  <c r="R459" i="2"/>
  <c r="Q459" i="2"/>
  <c r="P459" i="2"/>
  <c r="O459" i="2"/>
  <c r="N459" i="2"/>
  <c r="M459" i="2"/>
  <c r="L459" i="2"/>
  <c r="K459" i="2"/>
  <c r="J459" i="2"/>
  <c r="I459" i="2"/>
  <c r="E459" i="2" a="1"/>
  <c r="E459" i="2" s="1"/>
  <c r="D459" i="2" a="1"/>
  <c r="D459" i="2" s="1"/>
  <c r="C459" i="2" a="1"/>
  <c r="C459" i="2" s="1"/>
  <c r="B459" i="2" a="1"/>
  <c r="B459" i="2" s="1"/>
  <c r="CG458" i="2"/>
  <c r="CF458" i="2"/>
  <c r="CE458" i="2"/>
  <c r="CD458" i="2"/>
  <c r="CC458" i="2"/>
  <c r="CB458" i="2"/>
  <c r="CA458" i="2"/>
  <c r="BZ458" i="2"/>
  <c r="BY458" i="2"/>
  <c r="BX458" i="2"/>
  <c r="BW458" i="2"/>
  <c r="BV458" i="2"/>
  <c r="BU458" i="2"/>
  <c r="BT458" i="2"/>
  <c r="BS458" i="2"/>
  <c r="BR458" i="2"/>
  <c r="BQ458" i="2"/>
  <c r="BP458" i="2"/>
  <c r="BO458" i="2"/>
  <c r="BN458" i="2"/>
  <c r="BM458" i="2"/>
  <c r="BL458" i="2"/>
  <c r="BK458" i="2"/>
  <c r="BJ458" i="2"/>
  <c r="BI458" i="2"/>
  <c r="BH458" i="2"/>
  <c r="BG458" i="2"/>
  <c r="BF458" i="2"/>
  <c r="BE458" i="2"/>
  <c r="BC458" i="2"/>
  <c r="BB458" i="2"/>
  <c r="BA458" i="2"/>
  <c r="AZ458" i="2"/>
  <c r="AY458" i="2"/>
  <c r="AX458" i="2"/>
  <c r="AW458" i="2"/>
  <c r="AV458" i="2"/>
  <c r="AU458" i="2"/>
  <c r="AT458" i="2"/>
  <c r="AS458" i="2"/>
  <c r="AR458" i="2"/>
  <c r="AQ458" i="2"/>
  <c r="AP458" i="2"/>
  <c r="AO458" i="2"/>
  <c r="AN458" i="2"/>
  <c r="AM458" i="2"/>
  <c r="AL458" i="2"/>
  <c r="AK458" i="2"/>
  <c r="AJ458" i="2"/>
  <c r="AI458" i="2"/>
  <c r="AH458" i="2"/>
  <c r="AG458" i="2"/>
  <c r="AF458" i="2"/>
  <c r="AE458" i="2"/>
  <c r="AD458" i="2"/>
  <c r="AC458" i="2"/>
  <c r="AB458" i="2"/>
  <c r="AA458" i="2"/>
  <c r="Z458" i="2"/>
  <c r="Y458" i="2"/>
  <c r="X458" i="2"/>
  <c r="W458" i="2"/>
  <c r="V458" i="2"/>
  <c r="U458" i="2"/>
  <c r="T458" i="2"/>
  <c r="S458" i="2"/>
  <c r="R458" i="2"/>
  <c r="Q458" i="2"/>
  <c r="P458" i="2"/>
  <c r="O458" i="2"/>
  <c r="N458" i="2"/>
  <c r="M458" i="2"/>
  <c r="L458" i="2"/>
  <c r="K458" i="2"/>
  <c r="J458" i="2"/>
  <c r="BD458" i="2" s="1"/>
  <c r="I458" i="2"/>
  <c r="E458" i="2" a="1"/>
  <c r="E458" i="2" s="1"/>
  <c r="D458" i="2" a="1"/>
  <c r="D458" i="2" s="1"/>
  <c r="C458" i="2" a="1"/>
  <c r="C458" i="2" s="1"/>
  <c r="B458" i="2" a="1"/>
  <c r="B458" i="2" s="1"/>
  <c r="CG457" i="2"/>
  <c r="CF457" i="2"/>
  <c r="CE457" i="2"/>
  <c r="CD457" i="2"/>
  <c r="CC457" i="2"/>
  <c r="CB457" i="2"/>
  <c r="CA457" i="2"/>
  <c r="BZ457" i="2"/>
  <c r="BY457" i="2"/>
  <c r="BX457" i="2"/>
  <c r="BW457" i="2"/>
  <c r="BV457" i="2"/>
  <c r="BU457" i="2"/>
  <c r="BT457" i="2"/>
  <c r="BS457" i="2"/>
  <c r="BR457" i="2"/>
  <c r="BQ457" i="2"/>
  <c r="BP457" i="2"/>
  <c r="BO457" i="2"/>
  <c r="BN457" i="2"/>
  <c r="BM457" i="2"/>
  <c r="BL457" i="2"/>
  <c r="BK457" i="2"/>
  <c r="BJ457" i="2"/>
  <c r="BI457" i="2"/>
  <c r="BH457" i="2"/>
  <c r="BG457" i="2"/>
  <c r="BF457" i="2"/>
  <c r="BE457" i="2"/>
  <c r="BC457" i="2"/>
  <c r="BB457" i="2"/>
  <c r="BA457" i="2"/>
  <c r="AZ457" i="2"/>
  <c r="AY457" i="2"/>
  <c r="AX457" i="2"/>
  <c r="AW457" i="2"/>
  <c r="AV457" i="2"/>
  <c r="AU457" i="2"/>
  <c r="AT457" i="2"/>
  <c r="AS457" i="2"/>
  <c r="AR457" i="2"/>
  <c r="AQ457" i="2"/>
  <c r="AP457" i="2"/>
  <c r="AO457" i="2"/>
  <c r="AN457" i="2"/>
  <c r="AM457" i="2"/>
  <c r="AL457" i="2"/>
  <c r="AK457" i="2"/>
  <c r="AJ457" i="2"/>
  <c r="AI457" i="2"/>
  <c r="AH457" i="2"/>
  <c r="AG457" i="2"/>
  <c r="AF457" i="2"/>
  <c r="AE457" i="2"/>
  <c r="AD457" i="2"/>
  <c r="AC457" i="2"/>
  <c r="AB457" i="2"/>
  <c r="AA457" i="2"/>
  <c r="Z457" i="2"/>
  <c r="Y457" i="2"/>
  <c r="X457" i="2"/>
  <c r="W457" i="2"/>
  <c r="V457" i="2"/>
  <c r="U457" i="2"/>
  <c r="T457" i="2"/>
  <c r="S457" i="2"/>
  <c r="R457" i="2"/>
  <c r="Q457" i="2"/>
  <c r="P457" i="2"/>
  <c r="O457" i="2"/>
  <c r="N457" i="2"/>
  <c r="M457" i="2"/>
  <c r="L457" i="2"/>
  <c r="K457" i="2"/>
  <c r="J457" i="2"/>
  <c r="BD457" i="2" s="1"/>
  <c r="I457" i="2"/>
  <c r="E457" i="2" a="1"/>
  <c r="E457" i="2" s="1"/>
  <c r="D457" i="2" a="1"/>
  <c r="D457" i="2" s="1"/>
  <c r="C457" i="2" a="1"/>
  <c r="C457" i="2" s="1"/>
  <c r="B457" i="2" a="1"/>
  <c r="B457" i="2" s="1"/>
  <c r="CG456" i="2"/>
  <c r="CF456" i="2"/>
  <c r="CE456" i="2"/>
  <c r="CD456" i="2"/>
  <c r="CC456" i="2"/>
  <c r="CB456" i="2"/>
  <c r="CA456" i="2"/>
  <c r="BZ456" i="2"/>
  <c r="BY456" i="2"/>
  <c r="BX456" i="2"/>
  <c r="BW456" i="2"/>
  <c r="BV456" i="2"/>
  <c r="BU456" i="2"/>
  <c r="BT456" i="2"/>
  <c r="BS456" i="2"/>
  <c r="BR456" i="2"/>
  <c r="BQ456" i="2"/>
  <c r="BP456" i="2"/>
  <c r="BO456" i="2"/>
  <c r="BN456" i="2"/>
  <c r="BM456" i="2"/>
  <c r="BL456" i="2"/>
  <c r="BK456" i="2"/>
  <c r="BJ456" i="2"/>
  <c r="BI456" i="2"/>
  <c r="BH456" i="2"/>
  <c r="BG456" i="2"/>
  <c r="BF456" i="2"/>
  <c r="BE456" i="2"/>
  <c r="BD456" i="2"/>
  <c r="BC456" i="2"/>
  <c r="BB456" i="2"/>
  <c r="BA456" i="2"/>
  <c r="AZ456" i="2"/>
  <c r="AY456" i="2"/>
  <c r="AX456" i="2"/>
  <c r="AW456" i="2"/>
  <c r="AV456" i="2"/>
  <c r="AU456" i="2"/>
  <c r="AT456" i="2"/>
  <c r="AS456" i="2"/>
  <c r="AR456" i="2"/>
  <c r="AQ456" i="2"/>
  <c r="AP456" i="2"/>
  <c r="AO456" i="2"/>
  <c r="AN456" i="2"/>
  <c r="AM456" i="2"/>
  <c r="AL456" i="2"/>
  <c r="AK456" i="2"/>
  <c r="AJ456" i="2"/>
  <c r="AI456" i="2"/>
  <c r="AH456" i="2"/>
  <c r="AG456" i="2"/>
  <c r="AF456" i="2"/>
  <c r="AE456" i="2"/>
  <c r="AD456" i="2"/>
  <c r="AC456" i="2"/>
  <c r="AB456" i="2"/>
  <c r="AA456" i="2"/>
  <c r="Z456" i="2"/>
  <c r="Y456" i="2"/>
  <c r="X456" i="2"/>
  <c r="W456" i="2"/>
  <c r="V456" i="2"/>
  <c r="U456" i="2"/>
  <c r="T456" i="2"/>
  <c r="S456" i="2"/>
  <c r="R456" i="2"/>
  <c r="Q456" i="2"/>
  <c r="P456" i="2"/>
  <c r="O456" i="2"/>
  <c r="N456" i="2"/>
  <c r="M456" i="2"/>
  <c r="L456" i="2"/>
  <c r="K456" i="2"/>
  <c r="J456" i="2"/>
  <c r="I456" i="2"/>
  <c r="E456" i="2" a="1"/>
  <c r="E456" i="2" s="1"/>
  <c r="D456" i="2" a="1"/>
  <c r="D456" i="2" s="1"/>
  <c r="C456" i="2" a="1"/>
  <c r="C456" i="2" s="1"/>
  <c r="B456" i="2" a="1"/>
  <c r="B456" i="2" s="1"/>
  <c r="CG455" i="2"/>
  <c r="CF455" i="2"/>
  <c r="CE455" i="2"/>
  <c r="CD455" i="2"/>
  <c r="CC455" i="2"/>
  <c r="CB455" i="2"/>
  <c r="CA455" i="2"/>
  <c r="BZ455" i="2"/>
  <c r="BY455" i="2"/>
  <c r="BX455" i="2"/>
  <c r="BW455" i="2"/>
  <c r="BV455" i="2"/>
  <c r="BU455" i="2"/>
  <c r="BT455" i="2"/>
  <c r="BS455" i="2"/>
  <c r="BR455" i="2"/>
  <c r="BQ455" i="2"/>
  <c r="BP455" i="2"/>
  <c r="BO455" i="2"/>
  <c r="BN455" i="2"/>
  <c r="BM455" i="2"/>
  <c r="BL455" i="2"/>
  <c r="BK455" i="2"/>
  <c r="BJ455" i="2"/>
  <c r="BI455" i="2"/>
  <c r="BH455" i="2"/>
  <c r="BG455" i="2"/>
  <c r="BF455" i="2"/>
  <c r="BE455" i="2"/>
  <c r="BD455" i="2"/>
  <c r="BC455" i="2"/>
  <c r="BB455" i="2"/>
  <c r="BA455" i="2"/>
  <c r="AZ455" i="2"/>
  <c r="AY455" i="2"/>
  <c r="AX455" i="2"/>
  <c r="AW455" i="2"/>
  <c r="AV455" i="2"/>
  <c r="AU455" i="2"/>
  <c r="AT455" i="2"/>
  <c r="AS455" i="2"/>
  <c r="AR455" i="2"/>
  <c r="AQ455" i="2"/>
  <c r="AP455" i="2"/>
  <c r="AO455" i="2"/>
  <c r="AN455" i="2"/>
  <c r="AM455" i="2"/>
  <c r="AL455" i="2"/>
  <c r="AK455" i="2"/>
  <c r="AJ455" i="2"/>
  <c r="AI455" i="2"/>
  <c r="AH455" i="2"/>
  <c r="AG455" i="2"/>
  <c r="AF455" i="2"/>
  <c r="AE455" i="2"/>
  <c r="AD455" i="2"/>
  <c r="AC455" i="2"/>
  <c r="AB455" i="2"/>
  <c r="AA455" i="2"/>
  <c r="Z455" i="2"/>
  <c r="Y455" i="2"/>
  <c r="X455" i="2"/>
  <c r="W455" i="2"/>
  <c r="V455" i="2"/>
  <c r="U455" i="2"/>
  <c r="T455" i="2"/>
  <c r="S455" i="2"/>
  <c r="R455" i="2"/>
  <c r="Q455" i="2"/>
  <c r="P455" i="2"/>
  <c r="O455" i="2"/>
  <c r="N455" i="2"/>
  <c r="M455" i="2"/>
  <c r="L455" i="2"/>
  <c r="K455" i="2"/>
  <c r="J455" i="2"/>
  <c r="I455" i="2"/>
  <c r="E455" i="2" a="1"/>
  <c r="E455" i="2" s="1"/>
  <c r="D455" i="2" a="1"/>
  <c r="D455" i="2" s="1"/>
  <c r="C455" i="2" a="1"/>
  <c r="C455" i="2" s="1"/>
  <c r="B455" i="2" a="1"/>
  <c r="B455" i="2" s="1"/>
  <c r="CG454" i="2"/>
  <c r="CF454" i="2"/>
  <c r="CE454" i="2"/>
  <c r="CD454" i="2"/>
  <c r="CC454" i="2"/>
  <c r="CB454" i="2"/>
  <c r="CA454" i="2"/>
  <c r="BZ454" i="2"/>
  <c r="BY454" i="2"/>
  <c r="BX454" i="2"/>
  <c r="BW454" i="2"/>
  <c r="BV454" i="2"/>
  <c r="BU454" i="2"/>
  <c r="BT454" i="2"/>
  <c r="BS454" i="2"/>
  <c r="BR454" i="2"/>
  <c r="BQ454" i="2"/>
  <c r="BP454" i="2"/>
  <c r="BO454" i="2"/>
  <c r="BN454" i="2"/>
  <c r="BM454" i="2"/>
  <c r="BL454" i="2"/>
  <c r="BK454" i="2"/>
  <c r="BJ454" i="2"/>
  <c r="BI454" i="2"/>
  <c r="BH454" i="2"/>
  <c r="BG454" i="2"/>
  <c r="BF454" i="2"/>
  <c r="BE454" i="2"/>
  <c r="BC454" i="2"/>
  <c r="BB454" i="2"/>
  <c r="BA454" i="2"/>
  <c r="AZ454" i="2"/>
  <c r="AY454" i="2"/>
  <c r="AX454" i="2"/>
  <c r="AW454" i="2"/>
  <c r="AV454" i="2"/>
  <c r="AU454" i="2"/>
  <c r="AT454" i="2"/>
  <c r="AS454" i="2"/>
  <c r="AR454" i="2"/>
  <c r="AQ454" i="2"/>
  <c r="AP454" i="2"/>
  <c r="AO454" i="2"/>
  <c r="AN454" i="2"/>
  <c r="AM454" i="2"/>
  <c r="AL454" i="2"/>
  <c r="AK454" i="2"/>
  <c r="AJ454" i="2"/>
  <c r="AI454" i="2"/>
  <c r="AH454" i="2"/>
  <c r="AG454" i="2"/>
  <c r="AF454" i="2"/>
  <c r="AE454" i="2"/>
  <c r="AD454" i="2"/>
  <c r="AC454" i="2"/>
  <c r="AB454" i="2"/>
  <c r="AA454" i="2"/>
  <c r="Z454" i="2"/>
  <c r="Y454" i="2"/>
  <c r="X454" i="2"/>
  <c r="W454" i="2"/>
  <c r="V454" i="2"/>
  <c r="U454" i="2"/>
  <c r="T454" i="2"/>
  <c r="S454" i="2"/>
  <c r="R454" i="2"/>
  <c r="Q454" i="2"/>
  <c r="P454" i="2"/>
  <c r="O454" i="2"/>
  <c r="N454" i="2"/>
  <c r="M454" i="2"/>
  <c r="L454" i="2"/>
  <c r="K454" i="2"/>
  <c r="J454" i="2"/>
  <c r="BD454" i="2" s="1"/>
  <c r="I454" i="2"/>
  <c r="E454" i="2" a="1"/>
  <c r="E454" i="2" s="1"/>
  <c r="D454" i="2" a="1"/>
  <c r="D454" i="2" s="1"/>
  <c r="C454" i="2" a="1"/>
  <c r="C454" i="2" s="1"/>
  <c r="B454" i="2" a="1"/>
  <c r="B454" i="2" s="1"/>
  <c r="CG453" i="2"/>
  <c r="CF453" i="2"/>
  <c r="CE453" i="2"/>
  <c r="CD453" i="2"/>
  <c r="CC453" i="2"/>
  <c r="CB453" i="2"/>
  <c r="CA453" i="2"/>
  <c r="BZ453" i="2"/>
  <c r="BY453" i="2"/>
  <c r="BX453" i="2"/>
  <c r="BW453" i="2"/>
  <c r="BV453" i="2"/>
  <c r="BU453" i="2"/>
  <c r="BT453" i="2"/>
  <c r="BS453" i="2"/>
  <c r="BR453" i="2"/>
  <c r="BQ453" i="2"/>
  <c r="BP453" i="2"/>
  <c r="BO453" i="2"/>
  <c r="BN453" i="2"/>
  <c r="BM453" i="2"/>
  <c r="BL453" i="2"/>
  <c r="BK453" i="2"/>
  <c r="BJ453" i="2"/>
  <c r="BI453" i="2"/>
  <c r="BH453" i="2"/>
  <c r="BG453" i="2"/>
  <c r="BF453" i="2"/>
  <c r="BE453" i="2"/>
  <c r="BC453" i="2"/>
  <c r="BB453" i="2"/>
  <c r="BA453" i="2"/>
  <c r="AZ453" i="2"/>
  <c r="AY453" i="2"/>
  <c r="AX453" i="2"/>
  <c r="AW453" i="2"/>
  <c r="AV453" i="2"/>
  <c r="AU453" i="2"/>
  <c r="AT453" i="2"/>
  <c r="AS453" i="2"/>
  <c r="AR453" i="2"/>
  <c r="AQ453" i="2"/>
  <c r="AP453" i="2"/>
  <c r="AO453" i="2"/>
  <c r="AN453" i="2"/>
  <c r="AM453" i="2"/>
  <c r="AL453" i="2"/>
  <c r="AK453" i="2"/>
  <c r="AJ453" i="2"/>
  <c r="AI453" i="2"/>
  <c r="AH453" i="2"/>
  <c r="AG453" i="2"/>
  <c r="AF453" i="2"/>
  <c r="AE453" i="2"/>
  <c r="AD453" i="2"/>
  <c r="AC453" i="2"/>
  <c r="AB453" i="2"/>
  <c r="AA453" i="2"/>
  <c r="Z453" i="2"/>
  <c r="Y453" i="2"/>
  <c r="X453" i="2"/>
  <c r="W453" i="2"/>
  <c r="V453" i="2"/>
  <c r="U453" i="2"/>
  <c r="T453" i="2"/>
  <c r="S453" i="2"/>
  <c r="R453" i="2"/>
  <c r="Q453" i="2"/>
  <c r="P453" i="2"/>
  <c r="O453" i="2"/>
  <c r="N453" i="2"/>
  <c r="M453" i="2"/>
  <c r="L453" i="2"/>
  <c r="K453" i="2"/>
  <c r="J453" i="2"/>
  <c r="BD453" i="2" s="1"/>
  <c r="I453" i="2"/>
  <c r="E453" i="2" a="1"/>
  <c r="E453" i="2" s="1"/>
  <c r="D453" i="2" a="1"/>
  <c r="D453" i="2" s="1"/>
  <c r="C453" i="2" a="1"/>
  <c r="C453" i="2" s="1"/>
  <c r="B453" i="2" a="1"/>
  <c r="B453" i="2" s="1"/>
  <c r="CG452" i="2"/>
  <c r="CF452" i="2"/>
  <c r="CE452" i="2"/>
  <c r="CD452" i="2"/>
  <c r="CC452" i="2"/>
  <c r="CB452" i="2"/>
  <c r="CA452" i="2"/>
  <c r="BZ452" i="2"/>
  <c r="BY452" i="2"/>
  <c r="BX452" i="2"/>
  <c r="BW452" i="2"/>
  <c r="BV452" i="2"/>
  <c r="BU452" i="2"/>
  <c r="BT452" i="2"/>
  <c r="BS452" i="2"/>
  <c r="BR452" i="2"/>
  <c r="BQ452" i="2"/>
  <c r="BP452" i="2"/>
  <c r="BO452" i="2"/>
  <c r="BN452" i="2"/>
  <c r="BM452" i="2"/>
  <c r="BL452" i="2"/>
  <c r="BK452" i="2"/>
  <c r="BJ452" i="2"/>
  <c r="BI452" i="2"/>
  <c r="BH452" i="2"/>
  <c r="BG452" i="2"/>
  <c r="BF452" i="2"/>
  <c r="BE452" i="2"/>
  <c r="BD452" i="2"/>
  <c r="BC452" i="2"/>
  <c r="BB452" i="2"/>
  <c r="BA452" i="2"/>
  <c r="AZ452" i="2"/>
  <c r="AY452" i="2"/>
  <c r="AX452" i="2"/>
  <c r="AW452" i="2"/>
  <c r="AV452" i="2"/>
  <c r="AU452" i="2"/>
  <c r="AT452" i="2"/>
  <c r="AS452" i="2"/>
  <c r="AR452" i="2"/>
  <c r="AQ452" i="2"/>
  <c r="AP452" i="2"/>
  <c r="AO452" i="2"/>
  <c r="AN452" i="2"/>
  <c r="AM452" i="2"/>
  <c r="AL452" i="2"/>
  <c r="AK452" i="2"/>
  <c r="AJ452" i="2"/>
  <c r="AI452" i="2"/>
  <c r="AH452" i="2"/>
  <c r="AG452" i="2"/>
  <c r="AF452" i="2"/>
  <c r="AE452" i="2"/>
  <c r="AD452" i="2"/>
  <c r="AC452" i="2"/>
  <c r="AB452" i="2"/>
  <c r="AA452" i="2"/>
  <c r="Z452" i="2"/>
  <c r="Y452" i="2"/>
  <c r="X452" i="2"/>
  <c r="W452" i="2"/>
  <c r="V452" i="2"/>
  <c r="U452" i="2"/>
  <c r="T452" i="2"/>
  <c r="S452" i="2"/>
  <c r="R452" i="2"/>
  <c r="Q452" i="2"/>
  <c r="P452" i="2"/>
  <c r="O452" i="2"/>
  <c r="N452" i="2"/>
  <c r="M452" i="2"/>
  <c r="L452" i="2"/>
  <c r="K452" i="2"/>
  <c r="J452" i="2"/>
  <c r="I452" i="2"/>
  <c r="E452" i="2" a="1"/>
  <c r="E452" i="2" s="1"/>
  <c r="D452" i="2" a="1"/>
  <c r="D452" i="2" s="1"/>
  <c r="C452" i="2" a="1"/>
  <c r="C452" i="2" s="1"/>
  <c r="B452" i="2" a="1"/>
  <c r="B452" i="2" s="1"/>
  <c r="CG451" i="2"/>
  <c r="CF451" i="2"/>
  <c r="CE451" i="2"/>
  <c r="CD451" i="2"/>
  <c r="CC451" i="2"/>
  <c r="CB451" i="2"/>
  <c r="CA451" i="2"/>
  <c r="BZ451" i="2"/>
  <c r="BY451" i="2"/>
  <c r="BX451" i="2"/>
  <c r="BW451" i="2"/>
  <c r="BV451" i="2"/>
  <c r="BU451" i="2"/>
  <c r="BT451" i="2"/>
  <c r="BS451" i="2"/>
  <c r="BR451" i="2"/>
  <c r="BQ451" i="2"/>
  <c r="BP451" i="2"/>
  <c r="BO451" i="2"/>
  <c r="BN451" i="2"/>
  <c r="BM451" i="2"/>
  <c r="BL451" i="2"/>
  <c r="BK451" i="2"/>
  <c r="BJ451" i="2"/>
  <c r="BI451" i="2"/>
  <c r="BH451" i="2"/>
  <c r="BG451" i="2"/>
  <c r="BF451" i="2"/>
  <c r="BE451" i="2"/>
  <c r="BD451" i="2"/>
  <c r="BC451" i="2"/>
  <c r="BB451" i="2"/>
  <c r="BA451" i="2"/>
  <c r="AZ451" i="2"/>
  <c r="AY451" i="2"/>
  <c r="AX451" i="2"/>
  <c r="AW451" i="2"/>
  <c r="AV451" i="2"/>
  <c r="AU451" i="2"/>
  <c r="AT451" i="2"/>
  <c r="AS451" i="2"/>
  <c r="AR451" i="2"/>
  <c r="AQ451" i="2"/>
  <c r="AP451" i="2"/>
  <c r="AO451" i="2"/>
  <c r="AN451" i="2"/>
  <c r="AM451" i="2"/>
  <c r="AL451" i="2"/>
  <c r="AK451" i="2"/>
  <c r="AJ451" i="2"/>
  <c r="AI451" i="2"/>
  <c r="AH451" i="2"/>
  <c r="AG451" i="2"/>
  <c r="AF451" i="2"/>
  <c r="AE451" i="2"/>
  <c r="AD451" i="2"/>
  <c r="AC451" i="2"/>
  <c r="AB451" i="2"/>
  <c r="AA451" i="2"/>
  <c r="Z451" i="2"/>
  <c r="Y451" i="2"/>
  <c r="X451" i="2"/>
  <c r="W451" i="2"/>
  <c r="V451" i="2"/>
  <c r="U451" i="2"/>
  <c r="T451" i="2"/>
  <c r="S451" i="2"/>
  <c r="R451" i="2"/>
  <c r="Q451" i="2"/>
  <c r="P451" i="2"/>
  <c r="O451" i="2"/>
  <c r="N451" i="2"/>
  <c r="M451" i="2"/>
  <c r="L451" i="2"/>
  <c r="K451" i="2"/>
  <c r="J451" i="2"/>
  <c r="I451" i="2"/>
  <c r="E451" i="2" a="1"/>
  <c r="E451" i="2" s="1"/>
  <c r="D451" i="2" a="1"/>
  <c r="D451" i="2" s="1"/>
  <c r="C451" i="2" a="1"/>
  <c r="C451" i="2" s="1"/>
  <c r="B451" i="2" a="1"/>
  <c r="B451" i="2" s="1"/>
  <c r="CG450" i="2"/>
  <c r="CF450" i="2"/>
  <c r="CE450" i="2"/>
  <c r="CD450" i="2"/>
  <c r="CC450" i="2"/>
  <c r="CB450" i="2"/>
  <c r="CA450" i="2"/>
  <c r="BZ450" i="2"/>
  <c r="BY450" i="2"/>
  <c r="BX450" i="2"/>
  <c r="BW450" i="2"/>
  <c r="BV450" i="2"/>
  <c r="BU450" i="2"/>
  <c r="BT450" i="2"/>
  <c r="BS450" i="2"/>
  <c r="BR450" i="2"/>
  <c r="BQ450" i="2"/>
  <c r="BP450" i="2"/>
  <c r="BO450" i="2"/>
  <c r="BN450" i="2"/>
  <c r="BM450" i="2"/>
  <c r="BL450" i="2"/>
  <c r="BK450" i="2"/>
  <c r="BJ450" i="2"/>
  <c r="BI450" i="2"/>
  <c r="BH450" i="2"/>
  <c r="BG450" i="2"/>
  <c r="BF450" i="2"/>
  <c r="BE450" i="2"/>
  <c r="BC450" i="2"/>
  <c r="BB450" i="2"/>
  <c r="BA450" i="2"/>
  <c r="AZ450" i="2"/>
  <c r="AY450" i="2"/>
  <c r="AX450" i="2"/>
  <c r="AW450" i="2"/>
  <c r="AV450" i="2"/>
  <c r="AU450" i="2"/>
  <c r="AT450" i="2"/>
  <c r="AS450" i="2"/>
  <c r="AR450" i="2"/>
  <c r="AQ450" i="2"/>
  <c r="AP450" i="2"/>
  <c r="AO450" i="2"/>
  <c r="AN450" i="2"/>
  <c r="AM450" i="2"/>
  <c r="AL450" i="2"/>
  <c r="AK450" i="2"/>
  <c r="AJ450" i="2"/>
  <c r="AI450" i="2"/>
  <c r="AH450" i="2"/>
  <c r="AG450" i="2"/>
  <c r="AF450" i="2"/>
  <c r="AE450" i="2"/>
  <c r="AD450" i="2"/>
  <c r="AC450" i="2"/>
  <c r="AB450" i="2"/>
  <c r="AA450" i="2"/>
  <c r="Z450" i="2"/>
  <c r="Y450" i="2"/>
  <c r="X450" i="2"/>
  <c r="W450" i="2"/>
  <c r="V450" i="2"/>
  <c r="U450" i="2"/>
  <c r="T450" i="2"/>
  <c r="S450" i="2"/>
  <c r="R450" i="2"/>
  <c r="Q450" i="2"/>
  <c r="P450" i="2"/>
  <c r="O450" i="2"/>
  <c r="N450" i="2"/>
  <c r="M450" i="2"/>
  <c r="L450" i="2"/>
  <c r="K450" i="2"/>
  <c r="J450" i="2"/>
  <c r="BD450" i="2" s="1"/>
  <c r="I450" i="2"/>
  <c r="E450" i="2" a="1"/>
  <c r="E450" i="2" s="1"/>
  <c r="D450" i="2" a="1"/>
  <c r="D450" i="2" s="1"/>
  <c r="C450" i="2" a="1"/>
  <c r="C450" i="2" s="1"/>
  <c r="B450" i="2" a="1"/>
  <c r="B450" i="2" s="1"/>
  <c r="CG449" i="2"/>
  <c r="CF449" i="2"/>
  <c r="CE449" i="2"/>
  <c r="CD449" i="2"/>
  <c r="CC449" i="2"/>
  <c r="CB449" i="2"/>
  <c r="CA449" i="2"/>
  <c r="BZ449" i="2"/>
  <c r="BY449" i="2"/>
  <c r="BX449" i="2"/>
  <c r="BW449" i="2"/>
  <c r="BV449" i="2"/>
  <c r="BU449" i="2"/>
  <c r="BT449" i="2"/>
  <c r="BS449" i="2"/>
  <c r="BR449" i="2"/>
  <c r="BQ449" i="2"/>
  <c r="BP449" i="2"/>
  <c r="BO449" i="2"/>
  <c r="BN449" i="2"/>
  <c r="BM449" i="2"/>
  <c r="BL449" i="2"/>
  <c r="BK449" i="2"/>
  <c r="BJ449" i="2"/>
  <c r="BI449" i="2"/>
  <c r="BH449" i="2"/>
  <c r="BG449" i="2"/>
  <c r="BF449" i="2"/>
  <c r="BE449" i="2"/>
  <c r="BC449" i="2"/>
  <c r="BB449" i="2"/>
  <c r="BA449" i="2"/>
  <c r="AZ449" i="2"/>
  <c r="AY449" i="2"/>
  <c r="AX449" i="2"/>
  <c r="AW449" i="2"/>
  <c r="AV449" i="2"/>
  <c r="AU449" i="2"/>
  <c r="AT449" i="2"/>
  <c r="AS449" i="2"/>
  <c r="AR449" i="2"/>
  <c r="AQ449" i="2"/>
  <c r="AP449" i="2"/>
  <c r="AO449" i="2"/>
  <c r="AN449" i="2"/>
  <c r="AM449" i="2"/>
  <c r="AL449" i="2"/>
  <c r="AK449" i="2"/>
  <c r="AJ449" i="2"/>
  <c r="AI449" i="2"/>
  <c r="AH449" i="2"/>
  <c r="AG449" i="2"/>
  <c r="AF449" i="2"/>
  <c r="AE449" i="2"/>
  <c r="AD449" i="2"/>
  <c r="AC449" i="2"/>
  <c r="AB449" i="2"/>
  <c r="AA449" i="2"/>
  <c r="Z449" i="2"/>
  <c r="Y449" i="2"/>
  <c r="X449" i="2"/>
  <c r="W449" i="2"/>
  <c r="V449" i="2"/>
  <c r="U449" i="2"/>
  <c r="T449" i="2"/>
  <c r="S449" i="2"/>
  <c r="R449" i="2"/>
  <c r="Q449" i="2"/>
  <c r="P449" i="2"/>
  <c r="O449" i="2"/>
  <c r="N449" i="2"/>
  <c r="M449" i="2"/>
  <c r="L449" i="2"/>
  <c r="K449" i="2"/>
  <c r="J449" i="2"/>
  <c r="BD449" i="2" s="1"/>
  <c r="I449" i="2"/>
  <c r="E449" i="2" a="1"/>
  <c r="E449" i="2" s="1"/>
  <c r="D449" i="2" a="1"/>
  <c r="D449" i="2" s="1"/>
  <c r="C449" i="2" a="1"/>
  <c r="C449" i="2" s="1"/>
  <c r="B449" i="2" a="1"/>
  <c r="B449" i="2" s="1"/>
  <c r="CG448" i="2"/>
  <c r="CF448" i="2"/>
  <c r="CE448" i="2"/>
  <c r="CD448" i="2"/>
  <c r="CC448" i="2"/>
  <c r="CB448" i="2"/>
  <c r="CA448" i="2"/>
  <c r="BZ448" i="2"/>
  <c r="BY448" i="2"/>
  <c r="BX448" i="2"/>
  <c r="BW448" i="2"/>
  <c r="BV448" i="2"/>
  <c r="BU448" i="2"/>
  <c r="BT448" i="2"/>
  <c r="BS448" i="2"/>
  <c r="BR448" i="2"/>
  <c r="BQ448" i="2"/>
  <c r="BP448" i="2"/>
  <c r="BO448" i="2"/>
  <c r="BN448" i="2"/>
  <c r="BM448" i="2"/>
  <c r="BL448" i="2"/>
  <c r="BK448" i="2"/>
  <c r="BJ448" i="2"/>
  <c r="BI448" i="2"/>
  <c r="BH448" i="2"/>
  <c r="BG448" i="2"/>
  <c r="BF448" i="2"/>
  <c r="BE448" i="2"/>
  <c r="BD448" i="2"/>
  <c r="BC448" i="2"/>
  <c r="BB448" i="2"/>
  <c r="BA448" i="2"/>
  <c r="AZ448" i="2"/>
  <c r="AY448" i="2"/>
  <c r="AX448" i="2"/>
  <c r="AW448" i="2"/>
  <c r="AV448" i="2"/>
  <c r="AU448" i="2"/>
  <c r="AT448" i="2"/>
  <c r="AS448" i="2"/>
  <c r="AR448" i="2"/>
  <c r="AQ448" i="2"/>
  <c r="AP448" i="2"/>
  <c r="AO448" i="2"/>
  <c r="AN448" i="2"/>
  <c r="AM448" i="2"/>
  <c r="AL448" i="2"/>
  <c r="AK448" i="2"/>
  <c r="AJ448" i="2"/>
  <c r="AI448" i="2"/>
  <c r="AH448" i="2"/>
  <c r="AG448" i="2"/>
  <c r="AF448" i="2"/>
  <c r="AE448" i="2"/>
  <c r="AD448" i="2"/>
  <c r="AC448" i="2"/>
  <c r="AB448" i="2"/>
  <c r="AA448" i="2"/>
  <c r="Z448" i="2"/>
  <c r="Y448" i="2"/>
  <c r="X448" i="2"/>
  <c r="W448" i="2"/>
  <c r="V448" i="2"/>
  <c r="U448" i="2"/>
  <c r="T448" i="2"/>
  <c r="S448" i="2"/>
  <c r="R448" i="2"/>
  <c r="Q448" i="2"/>
  <c r="P448" i="2"/>
  <c r="O448" i="2"/>
  <c r="N448" i="2"/>
  <c r="M448" i="2"/>
  <c r="L448" i="2"/>
  <c r="K448" i="2"/>
  <c r="J448" i="2"/>
  <c r="I448" i="2"/>
  <c r="E448" i="2" a="1"/>
  <c r="E448" i="2" s="1"/>
  <c r="D448" i="2" a="1"/>
  <c r="D448" i="2" s="1"/>
  <c r="C448" i="2" a="1"/>
  <c r="C448" i="2" s="1"/>
  <c r="B448" i="2" a="1"/>
  <c r="B448" i="2" s="1"/>
  <c r="CG447" i="2"/>
  <c r="CF447" i="2"/>
  <c r="CE447" i="2"/>
  <c r="CD447" i="2"/>
  <c r="CC447" i="2"/>
  <c r="CB447" i="2"/>
  <c r="CA447" i="2"/>
  <c r="BZ447" i="2"/>
  <c r="BY447" i="2"/>
  <c r="BX447" i="2"/>
  <c r="BW447" i="2"/>
  <c r="BV447" i="2"/>
  <c r="BU447" i="2"/>
  <c r="BT447" i="2"/>
  <c r="BS447" i="2"/>
  <c r="BR447" i="2"/>
  <c r="BQ447" i="2"/>
  <c r="BP447" i="2"/>
  <c r="BO447" i="2"/>
  <c r="BN447" i="2"/>
  <c r="BM447" i="2"/>
  <c r="BL447" i="2"/>
  <c r="BK447" i="2"/>
  <c r="BJ447" i="2"/>
  <c r="BI447" i="2"/>
  <c r="BH447" i="2"/>
  <c r="BG447" i="2"/>
  <c r="BF447" i="2"/>
  <c r="BE447" i="2"/>
  <c r="BD447" i="2"/>
  <c r="BC447" i="2"/>
  <c r="BB447" i="2"/>
  <c r="BA447" i="2"/>
  <c r="AZ447" i="2"/>
  <c r="AY447" i="2"/>
  <c r="AX447" i="2"/>
  <c r="AW447" i="2"/>
  <c r="AV447" i="2"/>
  <c r="AU447" i="2"/>
  <c r="AT447" i="2"/>
  <c r="AS447" i="2"/>
  <c r="AR447" i="2"/>
  <c r="AQ447" i="2"/>
  <c r="AP447" i="2"/>
  <c r="AO447" i="2"/>
  <c r="AN447" i="2"/>
  <c r="AM447" i="2"/>
  <c r="AL447" i="2"/>
  <c r="AK447" i="2"/>
  <c r="AJ447" i="2"/>
  <c r="AI447" i="2"/>
  <c r="AH447" i="2"/>
  <c r="AG447" i="2"/>
  <c r="AF447" i="2"/>
  <c r="AE447" i="2"/>
  <c r="AD447" i="2"/>
  <c r="AC447" i="2"/>
  <c r="AB447" i="2"/>
  <c r="AA447" i="2"/>
  <c r="Z447" i="2"/>
  <c r="Y447" i="2"/>
  <c r="X447" i="2"/>
  <c r="W447" i="2"/>
  <c r="V447" i="2"/>
  <c r="U447" i="2"/>
  <c r="T447" i="2"/>
  <c r="S447" i="2"/>
  <c r="R447" i="2"/>
  <c r="Q447" i="2"/>
  <c r="P447" i="2"/>
  <c r="O447" i="2"/>
  <c r="N447" i="2"/>
  <c r="M447" i="2"/>
  <c r="L447" i="2"/>
  <c r="K447" i="2"/>
  <c r="J447" i="2"/>
  <c r="I447" i="2"/>
  <c r="E447" i="2" a="1"/>
  <c r="E447" i="2" s="1"/>
  <c r="D447" i="2" a="1"/>
  <c r="D447" i="2" s="1"/>
  <c r="C447" i="2" a="1"/>
  <c r="C447" i="2" s="1"/>
  <c r="B447" i="2" a="1"/>
  <c r="B447" i="2" s="1"/>
  <c r="CG446" i="2"/>
  <c r="CF446" i="2"/>
  <c r="CE446" i="2"/>
  <c r="CD446" i="2"/>
  <c r="CC446" i="2"/>
  <c r="CB446" i="2"/>
  <c r="CA446" i="2"/>
  <c r="BZ446" i="2"/>
  <c r="BY446" i="2"/>
  <c r="BX446" i="2"/>
  <c r="BW446" i="2"/>
  <c r="BV446" i="2"/>
  <c r="BU446" i="2"/>
  <c r="BT446" i="2"/>
  <c r="BS446" i="2"/>
  <c r="BR446" i="2"/>
  <c r="BQ446" i="2"/>
  <c r="BP446" i="2"/>
  <c r="BO446" i="2"/>
  <c r="BN446" i="2"/>
  <c r="BM446" i="2"/>
  <c r="BL446" i="2"/>
  <c r="BK446" i="2"/>
  <c r="BJ446" i="2"/>
  <c r="BI446" i="2"/>
  <c r="BH446" i="2"/>
  <c r="BG446" i="2"/>
  <c r="BF446" i="2"/>
  <c r="BE446" i="2"/>
  <c r="BC446" i="2"/>
  <c r="BB446" i="2"/>
  <c r="BA446" i="2"/>
  <c r="AZ446" i="2"/>
  <c r="AY446" i="2"/>
  <c r="AX446" i="2"/>
  <c r="AW446" i="2"/>
  <c r="AV446" i="2"/>
  <c r="AU446" i="2"/>
  <c r="AT446" i="2"/>
  <c r="AS446" i="2"/>
  <c r="AR446" i="2"/>
  <c r="AQ446" i="2"/>
  <c r="AP446" i="2"/>
  <c r="AO446" i="2"/>
  <c r="AN446" i="2"/>
  <c r="AM446" i="2"/>
  <c r="AL446" i="2"/>
  <c r="AK446" i="2"/>
  <c r="AJ446" i="2"/>
  <c r="AI446" i="2"/>
  <c r="AH446" i="2"/>
  <c r="AG446" i="2"/>
  <c r="AF446" i="2"/>
  <c r="AE446" i="2"/>
  <c r="AD446" i="2"/>
  <c r="AC446" i="2"/>
  <c r="AB446" i="2"/>
  <c r="AA446" i="2"/>
  <c r="Z446" i="2"/>
  <c r="Y446" i="2"/>
  <c r="X446" i="2"/>
  <c r="W446" i="2"/>
  <c r="V446" i="2"/>
  <c r="U446" i="2"/>
  <c r="T446" i="2"/>
  <c r="S446" i="2"/>
  <c r="R446" i="2"/>
  <c r="Q446" i="2"/>
  <c r="P446" i="2"/>
  <c r="O446" i="2"/>
  <c r="N446" i="2"/>
  <c r="M446" i="2"/>
  <c r="L446" i="2"/>
  <c r="K446" i="2"/>
  <c r="J446" i="2"/>
  <c r="BD446" i="2" s="1"/>
  <c r="I446" i="2"/>
  <c r="E446" i="2" a="1"/>
  <c r="E446" i="2" s="1"/>
  <c r="D446" i="2" a="1"/>
  <c r="D446" i="2" s="1"/>
  <c r="C446" i="2" a="1"/>
  <c r="C446" i="2" s="1"/>
  <c r="B446" i="2" a="1"/>
  <c r="B446" i="2" s="1"/>
  <c r="CG445" i="2"/>
  <c r="CF445" i="2"/>
  <c r="CE445" i="2"/>
  <c r="CD445" i="2"/>
  <c r="CC445" i="2"/>
  <c r="CB445" i="2"/>
  <c r="CA445" i="2"/>
  <c r="BZ445" i="2"/>
  <c r="BY445" i="2"/>
  <c r="BX445" i="2"/>
  <c r="BW445" i="2"/>
  <c r="BV445" i="2"/>
  <c r="BU445" i="2"/>
  <c r="BT445" i="2"/>
  <c r="BS445" i="2"/>
  <c r="BR445" i="2"/>
  <c r="BQ445" i="2"/>
  <c r="BP445" i="2"/>
  <c r="BO445" i="2"/>
  <c r="BN445" i="2"/>
  <c r="BM445" i="2"/>
  <c r="BL445" i="2"/>
  <c r="BK445" i="2"/>
  <c r="BJ445" i="2"/>
  <c r="BI445" i="2"/>
  <c r="BH445" i="2"/>
  <c r="BG445" i="2"/>
  <c r="BF445" i="2"/>
  <c r="BE445" i="2"/>
  <c r="BC445" i="2"/>
  <c r="BB445" i="2"/>
  <c r="BA445" i="2"/>
  <c r="AZ445" i="2"/>
  <c r="AY445" i="2"/>
  <c r="AX445" i="2"/>
  <c r="AW445" i="2"/>
  <c r="AV445" i="2"/>
  <c r="AU445" i="2"/>
  <c r="AT445" i="2"/>
  <c r="AS445" i="2"/>
  <c r="AR445" i="2"/>
  <c r="AQ445" i="2"/>
  <c r="AP445" i="2"/>
  <c r="AO445" i="2"/>
  <c r="AN445" i="2"/>
  <c r="AM445" i="2"/>
  <c r="AL445" i="2"/>
  <c r="AK445" i="2"/>
  <c r="AJ445" i="2"/>
  <c r="AI445" i="2"/>
  <c r="AH445" i="2"/>
  <c r="AG445" i="2"/>
  <c r="AF445" i="2"/>
  <c r="AE445" i="2"/>
  <c r="AD445" i="2"/>
  <c r="AC445" i="2"/>
  <c r="AB445" i="2"/>
  <c r="AA445" i="2"/>
  <c r="Z445" i="2"/>
  <c r="Y445" i="2"/>
  <c r="X445" i="2"/>
  <c r="W445" i="2"/>
  <c r="V445" i="2"/>
  <c r="U445" i="2"/>
  <c r="T445" i="2"/>
  <c r="S445" i="2"/>
  <c r="R445" i="2"/>
  <c r="Q445" i="2"/>
  <c r="P445" i="2"/>
  <c r="O445" i="2"/>
  <c r="N445" i="2"/>
  <c r="M445" i="2"/>
  <c r="L445" i="2"/>
  <c r="K445" i="2"/>
  <c r="J445" i="2"/>
  <c r="BD445" i="2" s="1"/>
  <c r="I445" i="2"/>
  <c r="E445" i="2" a="1"/>
  <c r="E445" i="2" s="1"/>
  <c r="D445" i="2" a="1"/>
  <c r="D445" i="2" s="1"/>
  <c r="C445" i="2" a="1"/>
  <c r="C445" i="2" s="1"/>
  <c r="B445" i="2" a="1"/>
  <c r="B445" i="2" s="1"/>
  <c r="CG444" i="2"/>
  <c r="CF444" i="2"/>
  <c r="CE444" i="2"/>
  <c r="CD444" i="2"/>
  <c r="CC444" i="2"/>
  <c r="CB444" i="2"/>
  <c r="CA444" i="2"/>
  <c r="BZ444" i="2"/>
  <c r="BY444" i="2"/>
  <c r="BX444" i="2"/>
  <c r="BW444" i="2"/>
  <c r="BV444" i="2"/>
  <c r="BU444" i="2"/>
  <c r="BT444" i="2"/>
  <c r="BS444" i="2"/>
  <c r="BR444" i="2"/>
  <c r="BQ444" i="2"/>
  <c r="BP444" i="2"/>
  <c r="BO444" i="2"/>
  <c r="BN444" i="2"/>
  <c r="BM444" i="2"/>
  <c r="BL444" i="2"/>
  <c r="BK444" i="2"/>
  <c r="BJ444" i="2"/>
  <c r="BI444" i="2"/>
  <c r="BH444" i="2"/>
  <c r="BG444" i="2"/>
  <c r="BF444" i="2"/>
  <c r="BE444" i="2"/>
  <c r="BD444" i="2"/>
  <c r="BC444" i="2"/>
  <c r="BB444" i="2"/>
  <c r="BA444" i="2"/>
  <c r="AZ444" i="2"/>
  <c r="AY444" i="2"/>
  <c r="AX444" i="2"/>
  <c r="AW444" i="2"/>
  <c r="AV444" i="2"/>
  <c r="AU444" i="2"/>
  <c r="AT444" i="2"/>
  <c r="AS444" i="2"/>
  <c r="AR444" i="2"/>
  <c r="AQ444" i="2"/>
  <c r="AP444" i="2"/>
  <c r="AO444" i="2"/>
  <c r="AN444" i="2"/>
  <c r="AM444" i="2"/>
  <c r="AL444" i="2"/>
  <c r="AK444" i="2"/>
  <c r="AJ444" i="2"/>
  <c r="AI444" i="2"/>
  <c r="AH444" i="2"/>
  <c r="AG444" i="2"/>
  <c r="AF444" i="2"/>
  <c r="AE444" i="2"/>
  <c r="AD444" i="2"/>
  <c r="AC444" i="2"/>
  <c r="AB444" i="2"/>
  <c r="AA444" i="2"/>
  <c r="Z444" i="2"/>
  <c r="Y444" i="2"/>
  <c r="X444" i="2"/>
  <c r="W444" i="2"/>
  <c r="V444" i="2"/>
  <c r="U444" i="2"/>
  <c r="T444" i="2"/>
  <c r="S444" i="2"/>
  <c r="R444" i="2"/>
  <c r="Q444" i="2"/>
  <c r="P444" i="2"/>
  <c r="O444" i="2"/>
  <c r="N444" i="2"/>
  <c r="M444" i="2"/>
  <c r="L444" i="2"/>
  <c r="K444" i="2"/>
  <c r="J444" i="2"/>
  <c r="I444" i="2"/>
  <c r="E444" i="2" a="1"/>
  <c r="E444" i="2" s="1"/>
  <c r="D444" i="2" a="1"/>
  <c r="D444" i="2" s="1"/>
  <c r="C444" i="2" a="1"/>
  <c r="C444" i="2" s="1"/>
  <c r="B444" i="2" a="1"/>
  <c r="B444" i="2" s="1"/>
  <c r="CG443" i="2"/>
  <c r="CF443" i="2"/>
  <c r="CE443" i="2"/>
  <c r="CD443" i="2"/>
  <c r="CC443" i="2"/>
  <c r="CB443" i="2"/>
  <c r="CA443" i="2"/>
  <c r="BZ443" i="2"/>
  <c r="BY443" i="2"/>
  <c r="BX443" i="2"/>
  <c r="BW443" i="2"/>
  <c r="BV443" i="2"/>
  <c r="BU443" i="2"/>
  <c r="BT443" i="2"/>
  <c r="BS443" i="2"/>
  <c r="BR443" i="2"/>
  <c r="BQ443" i="2"/>
  <c r="BP443" i="2"/>
  <c r="BO443" i="2"/>
  <c r="BN443" i="2"/>
  <c r="BM443" i="2"/>
  <c r="BL443" i="2"/>
  <c r="BK443" i="2"/>
  <c r="BJ443" i="2"/>
  <c r="BI443" i="2"/>
  <c r="BH443" i="2"/>
  <c r="BG443" i="2"/>
  <c r="BF443" i="2"/>
  <c r="BE443" i="2"/>
  <c r="BD443" i="2"/>
  <c r="BC443" i="2"/>
  <c r="BB443" i="2"/>
  <c r="BA443" i="2"/>
  <c r="AZ443" i="2"/>
  <c r="AY443" i="2"/>
  <c r="AX443" i="2"/>
  <c r="AW443" i="2"/>
  <c r="AV443" i="2"/>
  <c r="AU443" i="2"/>
  <c r="AT443" i="2"/>
  <c r="AS443" i="2"/>
  <c r="AR443" i="2"/>
  <c r="AQ443" i="2"/>
  <c r="AP443" i="2"/>
  <c r="AO443" i="2"/>
  <c r="AN443" i="2"/>
  <c r="AM443" i="2"/>
  <c r="AL443" i="2"/>
  <c r="AK443" i="2"/>
  <c r="AJ443" i="2"/>
  <c r="AI443" i="2"/>
  <c r="AH443" i="2"/>
  <c r="AG443" i="2"/>
  <c r="AF443" i="2"/>
  <c r="AE443" i="2"/>
  <c r="AD443" i="2"/>
  <c r="AC443" i="2"/>
  <c r="AB443" i="2"/>
  <c r="AA443" i="2"/>
  <c r="Z443" i="2"/>
  <c r="Y443" i="2"/>
  <c r="X443" i="2"/>
  <c r="W443" i="2"/>
  <c r="V443" i="2"/>
  <c r="U443" i="2"/>
  <c r="T443" i="2"/>
  <c r="S443" i="2"/>
  <c r="R443" i="2"/>
  <c r="Q443" i="2"/>
  <c r="P443" i="2"/>
  <c r="O443" i="2"/>
  <c r="N443" i="2"/>
  <c r="M443" i="2"/>
  <c r="L443" i="2"/>
  <c r="K443" i="2"/>
  <c r="J443" i="2"/>
  <c r="I443" i="2"/>
  <c r="E443" i="2" a="1"/>
  <c r="E443" i="2" s="1"/>
  <c r="D443" i="2" a="1"/>
  <c r="D443" i="2" s="1"/>
  <c r="C443" i="2" a="1"/>
  <c r="C443" i="2" s="1"/>
  <c r="B443" i="2" a="1"/>
  <c r="B443" i="2" s="1"/>
  <c r="CG442" i="2"/>
  <c r="CF442" i="2"/>
  <c r="CE442" i="2"/>
  <c r="CD442" i="2"/>
  <c r="CC442" i="2"/>
  <c r="CB442" i="2"/>
  <c r="CA442" i="2"/>
  <c r="BZ442" i="2"/>
  <c r="BY442" i="2"/>
  <c r="BX442" i="2"/>
  <c r="BW442" i="2"/>
  <c r="BV442" i="2"/>
  <c r="BU442" i="2"/>
  <c r="BT442" i="2"/>
  <c r="BS442" i="2"/>
  <c r="BR442" i="2"/>
  <c r="BQ442" i="2"/>
  <c r="BP442" i="2"/>
  <c r="BO442" i="2"/>
  <c r="BN442" i="2"/>
  <c r="BM442" i="2"/>
  <c r="BL442" i="2"/>
  <c r="BK442" i="2"/>
  <c r="BJ442" i="2"/>
  <c r="BI442" i="2"/>
  <c r="BH442" i="2"/>
  <c r="BG442" i="2"/>
  <c r="BF442" i="2"/>
  <c r="BE442" i="2"/>
  <c r="BC442" i="2"/>
  <c r="BB442" i="2"/>
  <c r="BA442" i="2"/>
  <c r="AZ442" i="2"/>
  <c r="AY442" i="2"/>
  <c r="AX442" i="2"/>
  <c r="AW442" i="2"/>
  <c r="AV442" i="2"/>
  <c r="AU442" i="2"/>
  <c r="AT442" i="2"/>
  <c r="AS442" i="2"/>
  <c r="AR442" i="2"/>
  <c r="AQ442" i="2"/>
  <c r="AP442" i="2"/>
  <c r="AO442" i="2"/>
  <c r="AN442" i="2"/>
  <c r="AM442" i="2"/>
  <c r="AL442" i="2"/>
  <c r="AK442" i="2"/>
  <c r="AJ442" i="2"/>
  <c r="AI442" i="2"/>
  <c r="AH442" i="2"/>
  <c r="AG442" i="2"/>
  <c r="AF442" i="2"/>
  <c r="AE442" i="2"/>
  <c r="AD442" i="2"/>
  <c r="AC442" i="2"/>
  <c r="AB442" i="2"/>
  <c r="AA442" i="2"/>
  <c r="Z442" i="2"/>
  <c r="Y442" i="2"/>
  <c r="X442" i="2"/>
  <c r="W442" i="2"/>
  <c r="V442" i="2"/>
  <c r="U442" i="2"/>
  <c r="T442" i="2"/>
  <c r="S442" i="2"/>
  <c r="R442" i="2"/>
  <c r="Q442" i="2"/>
  <c r="P442" i="2"/>
  <c r="O442" i="2"/>
  <c r="N442" i="2"/>
  <c r="M442" i="2"/>
  <c r="L442" i="2"/>
  <c r="K442" i="2"/>
  <c r="J442" i="2"/>
  <c r="BD442" i="2" s="1"/>
  <c r="I442" i="2"/>
  <c r="E442" i="2" a="1"/>
  <c r="E442" i="2" s="1"/>
  <c r="D442" i="2" a="1"/>
  <c r="D442" i="2" s="1"/>
  <c r="C442" i="2" a="1"/>
  <c r="C442" i="2" s="1"/>
  <c r="B442" i="2" a="1"/>
  <c r="B442" i="2" s="1"/>
  <c r="CG441" i="2"/>
  <c r="CF441" i="2"/>
  <c r="CE441" i="2"/>
  <c r="CD441" i="2"/>
  <c r="CC441" i="2"/>
  <c r="CB441" i="2"/>
  <c r="CA441" i="2"/>
  <c r="BZ441" i="2"/>
  <c r="BY441" i="2"/>
  <c r="BX441" i="2"/>
  <c r="BW441" i="2"/>
  <c r="BV441" i="2"/>
  <c r="BU441" i="2"/>
  <c r="BT441" i="2"/>
  <c r="BS441" i="2"/>
  <c r="BR441" i="2"/>
  <c r="BQ441" i="2"/>
  <c r="BP441" i="2"/>
  <c r="BO441" i="2"/>
  <c r="BN441" i="2"/>
  <c r="BM441" i="2"/>
  <c r="BL441" i="2"/>
  <c r="BK441" i="2"/>
  <c r="BJ441" i="2"/>
  <c r="BI441" i="2"/>
  <c r="BH441" i="2"/>
  <c r="BG441" i="2"/>
  <c r="BF441" i="2"/>
  <c r="BE441" i="2"/>
  <c r="BC441" i="2"/>
  <c r="BB441" i="2"/>
  <c r="BA441" i="2"/>
  <c r="AZ441" i="2"/>
  <c r="AY441" i="2"/>
  <c r="AX441" i="2"/>
  <c r="AW441" i="2"/>
  <c r="AV441" i="2"/>
  <c r="AU441" i="2"/>
  <c r="AT441" i="2"/>
  <c r="AS441" i="2"/>
  <c r="AR441" i="2"/>
  <c r="AQ441" i="2"/>
  <c r="AP441" i="2"/>
  <c r="AO441" i="2"/>
  <c r="AN441" i="2"/>
  <c r="AM441" i="2"/>
  <c r="AL441" i="2"/>
  <c r="AK441" i="2"/>
  <c r="AJ441" i="2"/>
  <c r="AI441" i="2"/>
  <c r="AH441" i="2"/>
  <c r="AG441" i="2"/>
  <c r="AF441" i="2"/>
  <c r="AE441" i="2"/>
  <c r="AD441" i="2"/>
  <c r="AC441" i="2"/>
  <c r="AB441" i="2"/>
  <c r="AA441" i="2"/>
  <c r="Z441" i="2"/>
  <c r="Y441" i="2"/>
  <c r="X441" i="2"/>
  <c r="W441" i="2"/>
  <c r="V441" i="2"/>
  <c r="U441" i="2"/>
  <c r="T441" i="2"/>
  <c r="S441" i="2"/>
  <c r="R441" i="2"/>
  <c r="Q441" i="2"/>
  <c r="P441" i="2"/>
  <c r="O441" i="2"/>
  <c r="N441" i="2"/>
  <c r="M441" i="2"/>
  <c r="L441" i="2"/>
  <c r="K441" i="2"/>
  <c r="J441" i="2"/>
  <c r="BD441" i="2" s="1"/>
  <c r="I441" i="2"/>
  <c r="E441" i="2" a="1"/>
  <c r="E441" i="2" s="1"/>
  <c r="D441" i="2" a="1"/>
  <c r="D441" i="2" s="1"/>
  <c r="C441" i="2" a="1"/>
  <c r="C441" i="2" s="1"/>
  <c r="B441" i="2" a="1"/>
  <c r="B441" i="2" s="1"/>
  <c r="CG440" i="2"/>
  <c r="CF440" i="2"/>
  <c r="CE440" i="2"/>
  <c r="CD440" i="2"/>
  <c r="CC440" i="2"/>
  <c r="CB440" i="2"/>
  <c r="CA440" i="2"/>
  <c r="BZ440" i="2"/>
  <c r="BY440" i="2"/>
  <c r="BX440" i="2"/>
  <c r="BW440" i="2"/>
  <c r="BV440" i="2"/>
  <c r="BU440" i="2"/>
  <c r="BT440" i="2"/>
  <c r="BS440" i="2"/>
  <c r="BR440" i="2"/>
  <c r="BQ440" i="2"/>
  <c r="BP440" i="2"/>
  <c r="BO440" i="2"/>
  <c r="BN440" i="2"/>
  <c r="BM440" i="2"/>
  <c r="BL440" i="2"/>
  <c r="BK440" i="2"/>
  <c r="BJ440" i="2"/>
  <c r="BI440" i="2"/>
  <c r="BH440" i="2"/>
  <c r="BG440" i="2"/>
  <c r="BF440" i="2"/>
  <c r="BE440" i="2"/>
  <c r="BD440" i="2"/>
  <c r="BC440" i="2"/>
  <c r="BB440" i="2"/>
  <c r="BA440" i="2"/>
  <c r="AZ440" i="2"/>
  <c r="AY440" i="2"/>
  <c r="AX440" i="2"/>
  <c r="AW440" i="2"/>
  <c r="AV440" i="2"/>
  <c r="AU440" i="2"/>
  <c r="AT440" i="2"/>
  <c r="AS440" i="2"/>
  <c r="AR440" i="2"/>
  <c r="AQ440" i="2"/>
  <c r="AP440" i="2"/>
  <c r="AO440" i="2"/>
  <c r="AN440" i="2"/>
  <c r="AM440" i="2"/>
  <c r="AL440" i="2"/>
  <c r="AK440" i="2"/>
  <c r="AJ440" i="2"/>
  <c r="AI440" i="2"/>
  <c r="AH440" i="2"/>
  <c r="AG440" i="2"/>
  <c r="AF440" i="2"/>
  <c r="AE440" i="2"/>
  <c r="AD440" i="2"/>
  <c r="AC440" i="2"/>
  <c r="AB440" i="2"/>
  <c r="AA440" i="2"/>
  <c r="Z440" i="2"/>
  <c r="Y440" i="2"/>
  <c r="X440" i="2"/>
  <c r="W440" i="2"/>
  <c r="V440" i="2"/>
  <c r="U440" i="2"/>
  <c r="T440" i="2"/>
  <c r="S440" i="2"/>
  <c r="R440" i="2"/>
  <c r="Q440" i="2"/>
  <c r="P440" i="2"/>
  <c r="O440" i="2"/>
  <c r="N440" i="2"/>
  <c r="M440" i="2"/>
  <c r="L440" i="2"/>
  <c r="K440" i="2"/>
  <c r="J440" i="2"/>
  <c r="I440" i="2"/>
  <c r="E440" i="2" a="1"/>
  <c r="E440" i="2" s="1"/>
  <c r="D440" i="2" a="1"/>
  <c r="D440" i="2" s="1"/>
  <c r="C440" i="2" a="1"/>
  <c r="C440" i="2" s="1"/>
  <c r="B440" i="2" a="1"/>
  <c r="B440" i="2" s="1"/>
  <c r="CG439" i="2"/>
  <c r="CF439" i="2"/>
  <c r="CE439" i="2"/>
  <c r="CD439" i="2"/>
  <c r="CC439" i="2"/>
  <c r="CB439" i="2"/>
  <c r="CA439" i="2"/>
  <c r="BZ439" i="2"/>
  <c r="BY439" i="2"/>
  <c r="BX439" i="2"/>
  <c r="BW439" i="2"/>
  <c r="BV439" i="2"/>
  <c r="BU439" i="2"/>
  <c r="BT439" i="2"/>
  <c r="BS439" i="2"/>
  <c r="BR439" i="2"/>
  <c r="BQ439" i="2"/>
  <c r="BP439" i="2"/>
  <c r="BO439" i="2"/>
  <c r="BN439" i="2"/>
  <c r="BM439" i="2"/>
  <c r="BL439" i="2"/>
  <c r="BK439" i="2"/>
  <c r="BJ439" i="2"/>
  <c r="BI439" i="2"/>
  <c r="BH439" i="2"/>
  <c r="BG439" i="2"/>
  <c r="BF439" i="2"/>
  <c r="BE439" i="2"/>
  <c r="BD439" i="2"/>
  <c r="BC439" i="2"/>
  <c r="BB439" i="2"/>
  <c r="BA439" i="2"/>
  <c r="AZ439" i="2"/>
  <c r="AY439" i="2"/>
  <c r="AX439" i="2"/>
  <c r="AW439" i="2"/>
  <c r="AV439" i="2"/>
  <c r="AU439" i="2"/>
  <c r="AT439" i="2"/>
  <c r="AS439" i="2"/>
  <c r="AR439" i="2"/>
  <c r="AQ439" i="2"/>
  <c r="AP439" i="2"/>
  <c r="AO439" i="2"/>
  <c r="AN439" i="2"/>
  <c r="AM439" i="2"/>
  <c r="AL439" i="2"/>
  <c r="AK439" i="2"/>
  <c r="AJ439" i="2"/>
  <c r="AI439" i="2"/>
  <c r="AH439" i="2"/>
  <c r="AG439" i="2"/>
  <c r="AF439" i="2"/>
  <c r="AE439" i="2"/>
  <c r="AD439" i="2"/>
  <c r="AC439" i="2"/>
  <c r="AB439" i="2"/>
  <c r="AA439" i="2"/>
  <c r="Z439" i="2"/>
  <c r="Y439" i="2"/>
  <c r="X439" i="2"/>
  <c r="W439" i="2"/>
  <c r="V439" i="2"/>
  <c r="U439" i="2"/>
  <c r="T439" i="2"/>
  <c r="S439" i="2"/>
  <c r="R439" i="2"/>
  <c r="Q439" i="2"/>
  <c r="P439" i="2"/>
  <c r="O439" i="2"/>
  <c r="N439" i="2"/>
  <c r="M439" i="2"/>
  <c r="L439" i="2"/>
  <c r="K439" i="2"/>
  <c r="J439" i="2"/>
  <c r="I439" i="2"/>
  <c r="E439" i="2" a="1"/>
  <c r="E439" i="2" s="1"/>
  <c r="D439" i="2" a="1"/>
  <c r="D439" i="2" s="1"/>
  <c r="C439" i="2" a="1"/>
  <c r="C439" i="2" s="1"/>
  <c r="B439" i="2" a="1"/>
  <c r="B439" i="2" s="1"/>
  <c r="CG438" i="2"/>
  <c r="CF438" i="2"/>
  <c r="CE438" i="2"/>
  <c r="CD438" i="2"/>
  <c r="CC438" i="2"/>
  <c r="CB438" i="2"/>
  <c r="CA438" i="2"/>
  <c r="BZ438" i="2"/>
  <c r="BY438" i="2"/>
  <c r="BX438" i="2"/>
  <c r="BW438" i="2"/>
  <c r="BV438" i="2"/>
  <c r="BU438" i="2"/>
  <c r="BT438" i="2"/>
  <c r="BS438" i="2"/>
  <c r="BR438" i="2"/>
  <c r="BQ438" i="2"/>
  <c r="BP438" i="2"/>
  <c r="BO438" i="2"/>
  <c r="BN438" i="2"/>
  <c r="BM438" i="2"/>
  <c r="BL438" i="2"/>
  <c r="BK438" i="2"/>
  <c r="BJ438" i="2"/>
  <c r="BI438" i="2"/>
  <c r="BH438" i="2"/>
  <c r="BG438" i="2"/>
  <c r="BF438" i="2"/>
  <c r="BE438" i="2"/>
  <c r="BC438" i="2"/>
  <c r="BB438" i="2"/>
  <c r="BA438" i="2"/>
  <c r="AZ438" i="2"/>
  <c r="AY438" i="2"/>
  <c r="AX438" i="2"/>
  <c r="AW438" i="2"/>
  <c r="AV438" i="2"/>
  <c r="AU438" i="2"/>
  <c r="AT438" i="2"/>
  <c r="AS438" i="2"/>
  <c r="AR438" i="2"/>
  <c r="AQ438" i="2"/>
  <c r="AP438" i="2"/>
  <c r="AO438" i="2"/>
  <c r="AN438" i="2"/>
  <c r="AM438" i="2"/>
  <c r="AL438" i="2"/>
  <c r="AK438" i="2"/>
  <c r="AJ438" i="2"/>
  <c r="AI438" i="2"/>
  <c r="AH438" i="2"/>
  <c r="AG438" i="2"/>
  <c r="AF438" i="2"/>
  <c r="AE438" i="2"/>
  <c r="AD438" i="2"/>
  <c r="AC438" i="2"/>
  <c r="AB438" i="2"/>
  <c r="AA438" i="2"/>
  <c r="Z438" i="2"/>
  <c r="Y438" i="2"/>
  <c r="X438" i="2"/>
  <c r="W438" i="2"/>
  <c r="V438" i="2"/>
  <c r="U438" i="2"/>
  <c r="T438" i="2"/>
  <c r="S438" i="2"/>
  <c r="R438" i="2"/>
  <c r="Q438" i="2"/>
  <c r="P438" i="2"/>
  <c r="O438" i="2"/>
  <c r="N438" i="2"/>
  <c r="M438" i="2"/>
  <c r="L438" i="2"/>
  <c r="K438" i="2"/>
  <c r="J438" i="2"/>
  <c r="BD438" i="2" s="1"/>
  <c r="I438" i="2"/>
  <c r="E438" i="2" a="1"/>
  <c r="E438" i="2" s="1"/>
  <c r="D438" i="2" a="1"/>
  <c r="D438" i="2" s="1"/>
  <c r="C438" i="2" a="1"/>
  <c r="C438" i="2" s="1"/>
  <c r="B438" i="2" a="1"/>
  <c r="B438" i="2" s="1"/>
  <c r="CG437" i="2"/>
  <c r="CF437" i="2"/>
  <c r="CE437" i="2"/>
  <c r="CD437" i="2"/>
  <c r="CC437" i="2"/>
  <c r="CB437" i="2"/>
  <c r="CA437" i="2"/>
  <c r="BZ437" i="2"/>
  <c r="BY437" i="2"/>
  <c r="BX437" i="2"/>
  <c r="BW437" i="2"/>
  <c r="BV437" i="2"/>
  <c r="BU437" i="2"/>
  <c r="BT437" i="2"/>
  <c r="BS437" i="2"/>
  <c r="BR437" i="2"/>
  <c r="BQ437" i="2"/>
  <c r="BP437" i="2"/>
  <c r="BO437" i="2"/>
  <c r="BN437" i="2"/>
  <c r="BM437" i="2"/>
  <c r="BL437" i="2"/>
  <c r="BK437" i="2"/>
  <c r="BJ437" i="2"/>
  <c r="BI437" i="2"/>
  <c r="BH437" i="2"/>
  <c r="BG437" i="2"/>
  <c r="BF437" i="2"/>
  <c r="BE437" i="2"/>
  <c r="BC437" i="2"/>
  <c r="BB437" i="2"/>
  <c r="BA437" i="2"/>
  <c r="AZ437" i="2"/>
  <c r="AY437" i="2"/>
  <c r="AX437" i="2"/>
  <c r="AW437" i="2"/>
  <c r="AV437" i="2"/>
  <c r="AU437" i="2"/>
  <c r="AT437" i="2"/>
  <c r="AS437" i="2"/>
  <c r="AR437" i="2"/>
  <c r="AQ437" i="2"/>
  <c r="AP437" i="2"/>
  <c r="AO437" i="2"/>
  <c r="AN437" i="2"/>
  <c r="AM437" i="2"/>
  <c r="AL437" i="2"/>
  <c r="AK437" i="2"/>
  <c r="AJ437" i="2"/>
  <c r="AI437" i="2"/>
  <c r="AH437" i="2"/>
  <c r="AG437" i="2"/>
  <c r="AF437" i="2"/>
  <c r="AE437" i="2"/>
  <c r="AD437" i="2"/>
  <c r="AC437" i="2"/>
  <c r="AB437" i="2"/>
  <c r="AA437" i="2"/>
  <c r="Z437" i="2"/>
  <c r="Y437" i="2"/>
  <c r="X437" i="2"/>
  <c r="W437" i="2"/>
  <c r="V437" i="2"/>
  <c r="U437" i="2"/>
  <c r="T437" i="2"/>
  <c r="S437" i="2"/>
  <c r="R437" i="2"/>
  <c r="Q437" i="2"/>
  <c r="P437" i="2"/>
  <c r="O437" i="2"/>
  <c r="N437" i="2"/>
  <c r="M437" i="2"/>
  <c r="L437" i="2"/>
  <c r="K437" i="2"/>
  <c r="J437" i="2"/>
  <c r="BD437" i="2" s="1"/>
  <c r="I437" i="2"/>
  <c r="E437" i="2" a="1"/>
  <c r="E437" i="2" s="1"/>
  <c r="D437" i="2" a="1"/>
  <c r="D437" i="2" s="1"/>
  <c r="C437" i="2" a="1"/>
  <c r="C437" i="2" s="1"/>
  <c r="B437" i="2" a="1"/>
  <c r="B437" i="2" s="1"/>
  <c r="CG436" i="2"/>
  <c r="CF436" i="2"/>
  <c r="CE436" i="2"/>
  <c r="CD436" i="2"/>
  <c r="CC436" i="2"/>
  <c r="CB436" i="2"/>
  <c r="CA436" i="2"/>
  <c r="BZ436" i="2"/>
  <c r="BY436" i="2"/>
  <c r="BX436" i="2"/>
  <c r="BW436" i="2"/>
  <c r="BV436" i="2"/>
  <c r="BU436" i="2"/>
  <c r="BT436" i="2"/>
  <c r="BS436" i="2"/>
  <c r="BR436" i="2"/>
  <c r="BQ436" i="2"/>
  <c r="BP436" i="2"/>
  <c r="BO436" i="2"/>
  <c r="BN436" i="2"/>
  <c r="BM436" i="2"/>
  <c r="BL436" i="2"/>
  <c r="BK436" i="2"/>
  <c r="BJ436" i="2"/>
  <c r="BI436" i="2"/>
  <c r="BH436" i="2"/>
  <c r="BG436" i="2"/>
  <c r="BF436" i="2"/>
  <c r="BE436" i="2"/>
  <c r="BD436" i="2"/>
  <c r="BC436" i="2"/>
  <c r="BB436" i="2"/>
  <c r="BA436" i="2"/>
  <c r="AZ436" i="2"/>
  <c r="AY436" i="2"/>
  <c r="AX436" i="2"/>
  <c r="AW436" i="2"/>
  <c r="AV436" i="2"/>
  <c r="AU436" i="2"/>
  <c r="AT436" i="2"/>
  <c r="AS436" i="2"/>
  <c r="AR436" i="2"/>
  <c r="AQ436" i="2"/>
  <c r="AP436" i="2"/>
  <c r="AO436" i="2"/>
  <c r="AN436" i="2"/>
  <c r="AM436" i="2"/>
  <c r="AL436" i="2"/>
  <c r="AK436" i="2"/>
  <c r="AJ436" i="2"/>
  <c r="AI436" i="2"/>
  <c r="AH436" i="2"/>
  <c r="AG436" i="2"/>
  <c r="AF436" i="2"/>
  <c r="AE436" i="2"/>
  <c r="AD436" i="2"/>
  <c r="AC436" i="2"/>
  <c r="AB436" i="2"/>
  <c r="AA436" i="2"/>
  <c r="Z436" i="2"/>
  <c r="Y436" i="2"/>
  <c r="X436" i="2"/>
  <c r="W436" i="2"/>
  <c r="V436" i="2"/>
  <c r="U436" i="2"/>
  <c r="T436" i="2"/>
  <c r="S436" i="2"/>
  <c r="R436" i="2"/>
  <c r="Q436" i="2"/>
  <c r="P436" i="2"/>
  <c r="O436" i="2"/>
  <c r="N436" i="2"/>
  <c r="M436" i="2"/>
  <c r="L436" i="2"/>
  <c r="K436" i="2"/>
  <c r="J436" i="2"/>
  <c r="I436" i="2"/>
  <c r="E436" i="2" a="1"/>
  <c r="E436" i="2" s="1"/>
  <c r="D436" i="2" a="1"/>
  <c r="D436" i="2"/>
  <c r="C436" i="2" a="1"/>
  <c r="C436" i="2" s="1"/>
  <c r="B436" i="2" a="1"/>
  <c r="B436" i="2" s="1"/>
  <c r="CG435" i="2"/>
  <c r="CF435" i="2"/>
  <c r="CE435" i="2"/>
  <c r="CD435" i="2"/>
  <c r="CC435" i="2"/>
  <c r="CB435" i="2"/>
  <c r="CA435" i="2"/>
  <c r="BZ435" i="2"/>
  <c r="BY435" i="2"/>
  <c r="BX435" i="2"/>
  <c r="BW435" i="2"/>
  <c r="BV435" i="2"/>
  <c r="BU435" i="2"/>
  <c r="BT435" i="2"/>
  <c r="BS435" i="2"/>
  <c r="BR435" i="2"/>
  <c r="BQ435" i="2"/>
  <c r="BP435" i="2"/>
  <c r="BO435" i="2"/>
  <c r="BN435" i="2"/>
  <c r="BM435" i="2"/>
  <c r="BL435" i="2"/>
  <c r="BK435" i="2"/>
  <c r="BJ435" i="2"/>
  <c r="BI435" i="2"/>
  <c r="BH435" i="2"/>
  <c r="BG435" i="2"/>
  <c r="BF435" i="2"/>
  <c r="BE435" i="2"/>
  <c r="BD435" i="2"/>
  <c r="BC435" i="2"/>
  <c r="BB435" i="2"/>
  <c r="BA435" i="2"/>
  <c r="AZ435" i="2"/>
  <c r="AY435" i="2"/>
  <c r="AX435" i="2"/>
  <c r="AW435" i="2"/>
  <c r="AV435" i="2"/>
  <c r="AU435" i="2"/>
  <c r="AT435" i="2"/>
  <c r="AS435" i="2"/>
  <c r="AR435" i="2"/>
  <c r="AQ435" i="2"/>
  <c r="AP435" i="2"/>
  <c r="AO435" i="2"/>
  <c r="AN435" i="2"/>
  <c r="AM435" i="2"/>
  <c r="AL435" i="2"/>
  <c r="AK435" i="2"/>
  <c r="AJ435" i="2"/>
  <c r="AI435" i="2"/>
  <c r="AH435" i="2"/>
  <c r="AG435" i="2"/>
  <c r="AF435" i="2"/>
  <c r="AE435" i="2"/>
  <c r="AD435" i="2"/>
  <c r="AC435" i="2"/>
  <c r="AB435" i="2"/>
  <c r="AA435" i="2"/>
  <c r="Z435" i="2"/>
  <c r="Y435" i="2"/>
  <c r="X435" i="2"/>
  <c r="W435" i="2"/>
  <c r="V435" i="2"/>
  <c r="U435" i="2"/>
  <c r="T435" i="2"/>
  <c r="S435" i="2"/>
  <c r="R435" i="2"/>
  <c r="Q435" i="2"/>
  <c r="P435" i="2"/>
  <c r="O435" i="2"/>
  <c r="N435" i="2"/>
  <c r="M435" i="2"/>
  <c r="L435" i="2"/>
  <c r="K435" i="2"/>
  <c r="J435" i="2"/>
  <c r="I435" i="2"/>
  <c r="E435" i="2" a="1"/>
  <c r="E435" i="2" s="1"/>
  <c r="D435" i="2" a="1"/>
  <c r="D435" i="2" s="1"/>
  <c r="C435" i="2" a="1"/>
  <c r="C435" i="2" s="1"/>
  <c r="B435" i="2" a="1"/>
  <c r="B435" i="2" s="1"/>
  <c r="CG434" i="2"/>
  <c r="CF434" i="2"/>
  <c r="CE434" i="2"/>
  <c r="CD434" i="2"/>
  <c r="CC434" i="2"/>
  <c r="CB434" i="2"/>
  <c r="CA434" i="2"/>
  <c r="BZ434" i="2"/>
  <c r="BY434" i="2"/>
  <c r="BX434" i="2"/>
  <c r="BW434" i="2"/>
  <c r="BV434" i="2"/>
  <c r="BU434" i="2"/>
  <c r="BT434" i="2"/>
  <c r="BS434" i="2"/>
  <c r="BR434" i="2"/>
  <c r="BQ434" i="2"/>
  <c r="BP434" i="2"/>
  <c r="BO434" i="2"/>
  <c r="BN434" i="2"/>
  <c r="BM434" i="2"/>
  <c r="BL434" i="2"/>
  <c r="BK434" i="2"/>
  <c r="BJ434" i="2"/>
  <c r="BI434" i="2"/>
  <c r="BH434" i="2"/>
  <c r="BG434" i="2"/>
  <c r="BF434" i="2"/>
  <c r="BE434" i="2"/>
  <c r="BC434" i="2"/>
  <c r="BB434" i="2"/>
  <c r="BA434" i="2"/>
  <c r="AZ434" i="2"/>
  <c r="AY434" i="2"/>
  <c r="AX434" i="2"/>
  <c r="AW434" i="2"/>
  <c r="AV434" i="2"/>
  <c r="AU434" i="2"/>
  <c r="AT434" i="2"/>
  <c r="AS434" i="2"/>
  <c r="AR434" i="2"/>
  <c r="AQ434" i="2"/>
  <c r="AP434" i="2"/>
  <c r="AO434" i="2"/>
  <c r="AN434" i="2"/>
  <c r="AM434" i="2"/>
  <c r="AL434" i="2"/>
  <c r="AK434" i="2"/>
  <c r="AJ434" i="2"/>
  <c r="AI434" i="2"/>
  <c r="AH434" i="2"/>
  <c r="AG434" i="2"/>
  <c r="AF434" i="2"/>
  <c r="AE434" i="2"/>
  <c r="AD434" i="2"/>
  <c r="AC434" i="2"/>
  <c r="AB434" i="2"/>
  <c r="AA434" i="2"/>
  <c r="Z434" i="2"/>
  <c r="Y434" i="2"/>
  <c r="X434" i="2"/>
  <c r="W434" i="2"/>
  <c r="V434" i="2"/>
  <c r="U434" i="2"/>
  <c r="T434" i="2"/>
  <c r="S434" i="2"/>
  <c r="R434" i="2"/>
  <c r="Q434" i="2"/>
  <c r="P434" i="2"/>
  <c r="O434" i="2"/>
  <c r="N434" i="2"/>
  <c r="M434" i="2"/>
  <c r="L434" i="2"/>
  <c r="K434" i="2"/>
  <c r="J434" i="2"/>
  <c r="BD434" i="2" s="1"/>
  <c r="I434" i="2"/>
  <c r="E434" i="2" a="1"/>
  <c r="E434" i="2" s="1"/>
  <c r="D434" i="2" a="1"/>
  <c r="D434" i="2" s="1"/>
  <c r="C434" i="2" a="1"/>
  <c r="C434" i="2" s="1"/>
  <c r="B434" i="2" a="1"/>
  <c r="B434" i="2" s="1"/>
  <c r="CG433" i="2"/>
  <c r="CF433" i="2"/>
  <c r="CE433" i="2"/>
  <c r="CD433" i="2"/>
  <c r="CC433" i="2"/>
  <c r="CB433" i="2"/>
  <c r="CA433" i="2"/>
  <c r="BZ433" i="2"/>
  <c r="BY433" i="2"/>
  <c r="BX433" i="2"/>
  <c r="BW433" i="2"/>
  <c r="BV433" i="2"/>
  <c r="BU433" i="2"/>
  <c r="BT433" i="2"/>
  <c r="BS433" i="2"/>
  <c r="BR433" i="2"/>
  <c r="BQ433" i="2"/>
  <c r="BP433" i="2"/>
  <c r="BO433" i="2"/>
  <c r="BN433" i="2"/>
  <c r="BM433" i="2"/>
  <c r="BL433" i="2"/>
  <c r="BK433" i="2"/>
  <c r="BJ433" i="2"/>
  <c r="BI433" i="2"/>
  <c r="BH433" i="2"/>
  <c r="BG433" i="2"/>
  <c r="BF433" i="2"/>
  <c r="BE433" i="2"/>
  <c r="BC433" i="2"/>
  <c r="BB433" i="2"/>
  <c r="BA433" i="2"/>
  <c r="AZ433" i="2"/>
  <c r="AY433" i="2"/>
  <c r="AX433" i="2"/>
  <c r="AW433" i="2"/>
  <c r="AV433" i="2"/>
  <c r="AU433" i="2"/>
  <c r="AT433" i="2"/>
  <c r="AS433" i="2"/>
  <c r="AR433" i="2"/>
  <c r="AQ433" i="2"/>
  <c r="AP433" i="2"/>
  <c r="AO433" i="2"/>
  <c r="AN433" i="2"/>
  <c r="AM433" i="2"/>
  <c r="AL433" i="2"/>
  <c r="AK433" i="2"/>
  <c r="AJ433" i="2"/>
  <c r="AI433" i="2"/>
  <c r="AH433" i="2"/>
  <c r="AG433" i="2"/>
  <c r="AF433" i="2"/>
  <c r="AE433" i="2"/>
  <c r="AD433" i="2"/>
  <c r="AC433" i="2"/>
  <c r="AB433" i="2"/>
  <c r="AA433" i="2"/>
  <c r="Z433" i="2"/>
  <c r="Y433" i="2"/>
  <c r="X433" i="2"/>
  <c r="W433" i="2"/>
  <c r="V433" i="2"/>
  <c r="U433" i="2"/>
  <c r="T433" i="2"/>
  <c r="S433" i="2"/>
  <c r="R433" i="2"/>
  <c r="Q433" i="2"/>
  <c r="P433" i="2"/>
  <c r="O433" i="2"/>
  <c r="N433" i="2"/>
  <c r="M433" i="2"/>
  <c r="L433" i="2"/>
  <c r="K433" i="2"/>
  <c r="J433" i="2"/>
  <c r="BD433" i="2" s="1"/>
  <c r="I433" i="2"/>
  <c r="E433" i="2" a="1"/>
  <c r="E433" i="2" s="1"/>
  <c r="D433" i="2" a="1"/>
  <c r="D433" i="2" s="1"/>
  <c r="C433" i="2" a="1"/>
  <c r="C433" i="2" s="1"/>
  <c r="B433" i="2" a="1"/>
  <c r="B433" i="2" s="1"/>
  <c r="CG432" i="2"/>
  <c r="CF432" i="2"/>
  <c r="CE432" i="2"/>
  <c r="CD432" i="2"/>
  <c r="CC432" i="2"/>
  <c r="CB432" i="2"/>
  <c r="CA432" i="2"/>
  <c r="BZ432" i="2"/>
  <c r="BY432" i="2"/>
  <c r="BX432" i="2"/>
  <c r="BW432" i="2"/>
  <c r="BV432" i="2"/>
  <c r="BU432" i="2"/>
  <c r="BT432" i="2"/>
  <c r="BS432" i="2"/>
  <c r="BR432" i="2"/>
  <c r="BQ432" i="2"/>
  <c r="BP432" i="2"/>
  <c r="BO432" i="2"/>
  <c r="BN432" i="2"/>
  <c r="BM432" i="2"/>
  <c r="BL432" i="2"/>
  <c r="BK432" i="2"/>
  <c r="BJ432" i="2"/>
  <c r="BI432" i="2"/>
  <c r="BH432" i="2"/>
  <c r="BG432" i="2"/>
  <c r="BF432" i="2"/>
  <c r="BE432" i="2"/>
  <c r="BD432" i="2"/>
  <c r="BC432" i="2"/>
  <c r="BB432" i="2"/>
  <c r="BA432" i="2"/>
  <c r="AZ432" i="2"/>
  <c r="AY432" i="2"/>
  <c r="AX432" i="2"/>
  <c r="AW432" i="2"/>
  <c r="AV432" i="2"/>
  <c r="AU432" i="2"/>
  <c r="AT432" i="2"/>
  <c r="AS432" i="2"/>
  <c r="AR432" i="2"/>
  <c r="AQ432" i="2"/>
  <c r="AP432" i="2"/>
  <c r="AO432" i="2"/>
  <c r="AN432" i="2"/>
  <c r="AM432" i="2"/>
  <c r="AL432" i="2"/>
  <c r="AK432" i="2"/>
  <c r="AJ432" i="2"/>
  <c r="AI432" i="2"/>
  <c r="AH432" i="2"/>
  <c r="AG432" i="2"/>
  <c r="AF432" i="2"/>
  <c r="AE432" i="2"/>
  <c r="AD432" i="2"/>
  <c r="AC432" i="2"/>
  <c r="AB432" i="2"/>
  <c r="AA432" i="2"/>
  <c r="Z432" i="2"/>
  <c r="Y432" i="2"/>
  <c r="X432" i="2"/>
  <c r="W432" i="2"/>
  <c r="V432" i="2"/>
  <c r="U432" i="2"/>
  <c r="T432" i="2"/>
  <c r="S432" i="2"/>
  <c r="R432" i="2"/>
  <c r="Q432" i="2"/>
  <c r="P432" i="2"/>
  <c r="O432" i="2"/>
  <c r="N432" i="2"/>
  <c r="M432" i="2"/>
  <c r="L432" i="2"/>
  <c r="K432" i="2"/>
  <c r="J432" i="2"/>
  <c r="I432" i="2"/>
  <c r="E432" i="2" a="1"/>
  <c r="E432" i="2" s="1"/>
  <c r="D432" i="2" a="1"/>
  <c r="D432" i="2" s="1"/>
  <c r="C432" i="2" a="1"/>
  <c r="C432" i="2" s="1"/>
  <c r="B432" i="2" a="1"/>
  <c r="B432" i="2" s="1"/>
  <c r="CG431" i="2"/>
  <c r="CF431" i="2"/>
  <c r="CE431" i="2"/>
  <c r="CD431" i="2"/>
  <c r="CC431" i="2"/>
  <c r="CB431" i="2"/>
  <c r="CA431" i="2"/>
  <c r="BZ431" i="2"/>
  <c r="BY431" i="2"/>
  <c r="BX431" i="2"/>
  <c r="BW431" i="2"/>
  <c r="BV431" i="2"/>
  <c r="BU431" i="2"/>
  <c r="BT431" i="2"/>
  <c r="BS431" i="2"/>
  <c r="BR431" i="2"/>
  <c r="BQ431" i="2"/>
  <c r="BP431" i="2"/>
  <c r="BO431" i="2"/>
  <c r="BN431" i="2"/>
  <c r="BM431" i="2"/>
  <c r="BL431" i="2"/>
  <c r="BK431" i="2"/>
  <c r="BJ431" i="2"/>
  <c r="BI431" i="2"/>
  <c r="BH431" i="2"/>
  <c r="BG431" i="2"/>
  <c r="BF431" i="2"/>
  <c r="BE431" i="2"/>
  <c r="BD431" i="2"/>
  <c r="BC431" i="2"/>
  <c r="BB431" i="2"/>
  <c r="BA431" i="2"/>
  <c r="AZ431" i="2"/>
  <c r="AY431" i="2"/>
  <c r="AX431" i="2"/>
  <c r="AW431" i="2"/>
  <c r="AV431" i="2"/>
  <c r="AU431" i="2"/>
  <c r="AT431" i="2"/>
  <c r="AS431" i="2"/>
  <c r="AR431" i="2"/>
  <c r="AQ431" i="2"/>
  <c r="AP431" i="2"/>
  <c r="AO431" i="2"/>
  <c r="AN431" i="2"/>
  <c r="AM431" i="2"/>
  <c r="AL431" i="2"/>
  <c r="AK431" i="2"/>
  <c r="AJ431" i="2"/>
  <c r="AI431" i="2"/>
  <c r="AH431" i="2"/>
  <c r="AG431" i="2"/>
  <c r="AF431" i="2"/>
  <c r="AE431" i="2"/>
  <c r="AD431" i="2"/>
  <c r="AC431" i="2"/>
  <c r="AB431" i="2"/>
  <c r="AA431" i="2"/>
  <c r="Z431" i="2"/>
  <c r="Y431" i="2"/>
  <c r="X431" i="2"/>
  <c r="W431" i="2"/>
  <c r="V431" i="2"/>
  <c r="U431" i="2"/>
  <c r="T431" i="2"/>
  <c r="S431" i="2"/>
  <c r="R431" i="2"/>
  <c r="Q431" i="2"/>
  <c r="P431" i="2"/>
  <c r="O431" i="2"/>
  <c r="N431" i="2"/>
  <c r="M431" i="2"/>
  <c r="L431" i="2"/>
  <c r="K431" i="2"/>
  <c r="J431" i="2"/>
  <c r="I431" i="2"/>
  <c r="E431" i="2" a="1"/>
  <c r="E431" i="2" s="1"/>
  <c r="D431" i="2" a="1"/>
  <c r="D431" i="2" s="1"/>
  <c r="C431" i="2" a="1"/>
  <c r="C431" i="2" s="1"/>
  <c r="B431" i="2" a="1"/>
  <c r="B431" i="2" s="1"/>
  <c r="CG430" i="2"/>
  <c r="CF430" i="2"/>
  <c r="CE430" i="2"/>
  <c r="CD430" i="2"/>
  <c r="CC430" i="2"/>
  <c r="CB430" i="2"/>
  <c r="CA430" i="2"/>
  <c r="BZ430" i="2"/>
  <c r="BY430" i="2"/>
  <c r="BX430" i="2"/>
  <c r="BW430" i="2"/>
  <c r="BV430" i="2"/>
  <c r="BU430" i="2"/>
  <c r="BT430" i="2"/>
  <c r="BS430" i="2"/>
  <c r="BR430" i="2"/>
  <c r="BQ430" i="2"/>
  <c r="BP430" i="2"/>
  <c r="BO430" i="2"/>
  <c r="BN430" i="2"/>
  <c r="BM430" i="2"/>
  <c r="BL430" i="2"/>
  <c r="BK430" i="2"/>
  <c r="BJ430" i="2"/>
  <c r="BI430" i="2"/>
  <c r="BH430" i="2"/>
  <c r="BG430" i="2"/>
  <c r="BF430" i="2"/>
  <c r="BE430" i="2"/>
  <c r="BC430" i="2"/>
  <c r="BB430" i="2"/>
  <c r="BA430" i="2"/>
  <c r="AZ430" i="2"/>
  <c r="AY430" i="2"/>
  <c r="AX430" i="2"/>
  <c r="AW430" i="2"/>
  <c r="AV430" i="2"/>
  <c r="AU430" i="2"/>
  <c r="AT430" i="2"/>
  <c r="AS430" i="2"/>
  <c r="AR430" i="2"/>
  <c r="AQ430" i="2"/>
  <c r="AP430" i="2"/>
  <c r="AO430" i="2"/>
  <c r="AN430" i="2"/>
  <c r="AM430" i="2"/>
  <c r="AL430" i="2"/>
  <c r="AK430" i="2"/>
  <c r="AJ430" i="2"/>
  <c r="AI430" i="2"/>
  <c r="AH430" i="2"/>
  <c r="AG430" i="2"/>
  <c r="AF430" i="2"/>
  <c r="AE430" i="2"/>
  <c r="AD430" i="2"/>
  <c r="AC430" i="2"/>
  <c r="AB430" i="2"/>
  <c r="AA430" i="2"/>
  <c r="Z430" i="2"/>
  <c r="Y430" i="2"/>
  <c r="X430" i="2"/>
  <c r="W430" i="2"/>
  <c r="V430" i="2"/>
  <c r="U430" i="2"/>
  <c r="T430" i="2"/>
  <c r="S430" i="2"/>
  <c r="R430" i="2"/>
  <c r="Q430" i="2"/>
  <c r="P430" i="2"/>
  <c r="O430" i="2"/>
  <c r="N430" i="2"/>
  <c r="M430" i="2"/>
  <c r="L430" i="2"/>
  <c r="K430" i="2"/>
  <c r="J430" i="2"/>
  <c r="BD430" i="2" s="1"/>
  <c r="I430" i="2"/>
  <c r="E430" i="2" a="1"/>
  <c r="E430" i="2" s="1"/>
  <c r="D430" i="2" a="1"/>
  <c r="D430" i="2" s="1"/>
  <c r="C430" i="2" a="1"/>
  <c r="C430" i="2" s="1"/>
  <c r="B430" i="2" a="1"/>
  <c r="B430" i="2" s="1"/>
  <c r="CG429" i="2"/>
  <c r="CF429" i="2"/>
  <c r="CE429" i="2"/>
  <c r="CD429" i="2"/>
  <c r="CC429" i="2"/>
  <c r="CB429" i="2"/>
  <c r="CA429" i="2"/>
  <c r="BZ429" i="2"/>
  <c r="BY429" i="2"/>
  <c r="BX429" i="2"/>
  <c r="BW429" i="2"/>
  <c r="BV429" i="2"/>
  <c r="BU429" i="2"/>
  <c r="BT429" i="2"/>
  <c r="BS429" i="2"/>
  <c r="BR429" i="2"/>
  <c r="BQ429" i="2"/>
  <c r="BP429" i="2"/>
  <c r="BO429" i="2"/>
  <c r="BN429" i="2"/>
  <c r="BM429" i="2"/>
  <c r="BL429" i="2"/>
  <c r="BK429" i="2"/>
  <c r="BJ429" i="2"/>
  <c r="BI429" i="2"/>
  <c r="BH429" i="2"/>
  <c r="BG429" i="2"/>
  <c r="BF429" i="2"/>
  <c r="BE429" i="2"/>
  <c r="BC429" i="2"/>
  <c r="BB429" i="2"/>
  <c r="BA429" i="2"/>
  <c r="AZ429" i="2"/>
  <c r="AY429" i="2"/>
  <c r="AX429" i="2"/>
  <c r="AW429" i="2"/>
  <c r="AV429" i="2"/>
  <c r="AU429" i="2"/>
  <c r="AT429" i="2"/>
  <c r="AS429" i="2"/>
  <c r="AR429" i="2"/>
  <c r="AQ429" i="2"/>
  <c r="AP429" i="2"/>
  <c r="AO429" i="2"/>
  <c r="AN429" i="2"/>
  <c r="AM429" i="2"/>
  <c r="AL429" i="2"/>
  <c r="AK429" i="2"/>
  <c r="AJ429" i="2"/>
  <c r="AI429" i="2"/>
  <c r="AH429" i="2"/>
  <c r="AG429" i="2"/>
  <c r="AF429" i="2"/>
  <c r="AE429" i="2"/>
  <c r="AD429" i="2"/>
  <c r="AC429" i="2"/>
  <c r="AB429" i="2"/>
  <c r="AA429" i="2"/>
  <c r="Z429" i="2"/>
  <c r="Y429" i="2"/>
  <c r="X429" i="2"/>
  <c r="W429" i="2"/>
  <c r="V429" i="2"/>
  <c r="U429" i="2"/>
  <c r="T429" i="2"/>
  <c r="S429" i="2"/>
  <c r="R429" i="2"/>
  <c r="Q429" i="2"/>
  <c r="P429" i="2"/>
  <c r="O429" i="2"/>
  <c r="N429" i="2"/>
  <c r="M429" i="2"/>
  <c r="L429" i="2"/>
  <c r="K429" i="2"/>
  <c r="J429" i="2"/>
  <c r="BD429" i="2" s="1"/>
  <c r="I429" i="2"/>
  <c r="E429" i="2" a="1"/>
  <c r="E429" i="2" s="1"/>
  <c r="D429" i="2" a="1"/>
  <c r="D429" i="2" s="1"/>
  <c r="C429" i="2" a="1"/>
  <c r="C429" i="2" s="1"/>
  <c r="B429" i="2" a="1"/>
  <c r="B429" i="2" s="1"/>
  <c r="CG428" i="2"/>
  <c r="CF428" i="2"/>
  <c r="CE428" i="2"/>
  <c r="CD428" i="2"/>
  <c r="CC428" i="2"/>
  <c r="CB428" i="2"/>
  <c r="CA428" i="2"/>
  <c r="BZ428" i="2"/>
  <c r="BY428" i="2"/>
  <c r="BX428" i="2"/>
  <c r="BW428" i="2"/>
  <c r="BV428" i="2"/>
  <c r="BU428" i="2"/>
  <c r="BT428" i="2"/>
  <c r="BS428" i="2"/>
  <c r="BR428" i="2"/>
  <c r="BQ428" i="2"/>
  <c r="BP428" i="2"/>
  <c r="BO428" i="2"/>
  <c r="BN428" i="2"/>
  <c r="BM428" i="2"/>
  <c r="BL428" i="2"/>
  <c r="BK428" i="2"/>
  <c r="BJ428" i="2"/>
  <c r="BI428" i="2"/>
  <c r="BH428" i="2"/>
  <c r="BG428" i="2"/>
  <c r="BF428" i="2"/>
  <c r="BE428" i="2"/>
  <c r="BD428" i="2"/>
  <c r="BC428" i="2"/>
  <c r="BB428" i="2"/>
  <c r="BA428" i="2"/>
  <c r="AZ428" i="2"/>
  <c r="AY428" i="2"/>
  <c r="AX428" i="2"/>
  <c r="AW428" i="2"/>
  <c r="AV428" i="2"/>
  <c r="AU428" i="2"/>
  <c r="AT428" i="2"/>
  <c r="AS428" i="2"/>
  <c r="AR428" i="2"/>
  <c r="AQ428" i="2"/>
  <c r="AP428" i="2"/>
  <c r="AO428" i="2"/>
  <c r="AN428" i="2"/>
  <c r="AM428" i="2"/>
  <c r="AL428" i="2"/>
  <c r="AK428" i="2"/>
  <c r="AJ428" i="2"/>
  <c r="AI428" i="2"/>
  <c r="AH428" i="2"/>
  <c r="AG428" i="2"/>
  <c r="AF428" i="2"/>
  <c r="AE428" i="2"/>
  <c r="AD428" i="2"/>
  <c r="AC428" i="2"/>
  <c r="AB428" i="2"/>
  <c r="AA428" i="2"/>
  <c r="Z428" i="2"/>
  <c r="Y428" i="2"/>
  <c r="X428" i="2"/>
  <c r="W428" i="2"/>
  <c r="V428" i="2"/>
  <c r="U428" i="2"/>
  <c r="T428" i="2"/>
  <c r="S428" i="2"/>
  <c r="R428" i="2"/>
  <c r="Q428" i="2"/>
  <c r="P428" i="2"/>
  <c r="O428" i="2"/>
  <c r="N428" i="2"/>
  <c r="M428" i="2"/>
  <c r="L428" i="2"/>
  <c r="K428" i="2"/>
  <c r="J428" i="2"/>
  <c r="I428" i="2"/>
  <c r="E428" i="2" a="1"/>
  <c r="E428" i="2" s="1"/>
  <c r="D428" i="2" a="1"/>
  <c r="D428" i="2" s="1"/>
  <c r="C428" i="2" a="1"/>
  <c r="C428" i="2" s="1"/>
  <c r="B428" i="2" a="1"/>
  <c r="B428" i="2" s="1"/>
  <c r="CG427" i="2"/>
  <c r="CF427" i="2"/>
  <c r="CE427" i="2"/>
  <c r="CD427" i="2"/>
  <c r="CC427" i="2"/>
  <c r="CB427" i="2"/>
  <c r="CA427" i="2"/>
  <c r="BZ427" i="2"/>
  <c r="BY427" i="2"/>
  <c r="BX427" i="2"/>
  <c r="BW427" i="2"/>
  <c r="BV427" i="2"/>
  <c r="BU427" i="2"/>
  <c r="BT427" i="2"/>
  <c r="BS427" i="2"/>
  <c r="BR427" i="2"/>
  <c r="BQ427" i="2"/>
  <c r="BP427" i="2"/>
  <c r="BO427" i="2"/>
  <c r="BN427" i="2"/>
  <c r="BM427" i="2"/>
  <c r="BL427" i="2"/>
  <c r="BK427" i="2"/>
  <c r="BJ427" i="2"/>
  <c r="BI427" i="2"/>
  <c r="BH427" i="2"/>
  <c r="BG427" i="2"/>
  <c r="BF427" i="2"/>
  <c r="BE427" i="2"/>
  <c r="BD427" i="2"/>
  <c r="BC427" i="2"/>
  <c r="BB427" i="2"/>
  <c r="BA427" i="2"/>
  <c r="AZ427" i="2"/>
  <c r="AY427" i="2"/>
  <c r="AX427" i="2"/>
  <c r="AW427" i="2"/>
  <c r="AV427" i="2"/>
  <c r="AU427" i="2"/>
  <c r="AT427" i="2"/>
  <c r="AS427" i="2"/>
  <c r="AR427" i="2"/>
  <c r="AQ427" i="2"/>
  <c r="AP427" i="2"/>
  <c r="AO427" i="2"/>
  <c r="AN427" i="2"/>
  <c r="AM427" i="2"/>
  <c r="AL427" i="2"/>
  <c r="AK427" i="2"/>
  <c r="AJ427" i="2"/>
  <c r="AI427" i="2"/>
  <c r="AH427" i="2"/>
  <c r="AG427" i="2"/>
  <c r="AF427" i="2"/>
  <c r="AE427" i="2"/>
  <c r="AD427" i="2"/>
  <c r="AC427" i="2"/>
  <c r="AB427" i="2"/>
  <c r="AA427" i="2"/>
  <c r="Z427" i="2"/>
  <c r="Y427" i="2"/>
  <c r="X427" i="2"/>
  <c r="W427" i="2"/>
  <c r="V427" i="2"/>
  <c r="U427" i="2"/>
  <c r="T427" i="2"/>
  <c r="S427" i="2"/>
  <c r="R427" i="2"/>
  <c r="Q427" i="2"/>
  <c r="P427" i="2"/>
  <c r="O427" i="2"/>
  <c r="N427" i="2"/>
  <c r="M427" i="2"/>
  <c r="L427" i="2"/>
  <c r="K427" i="2"/>
  <c r="J427" i="2"/>
  <c r="I427" i="2"/>
  <c r="E427" i="2" a="1"/>
  <c r="E427" i="2" s="1"/>
  <c r="D427" i="2" a="1"/>
  <c r="D427" i="2" s="1"/>
  <c r="C427" i="2" a="1"/>
  <c r="C427" i="2" s="1"/>
  <c r="B427" i="2" a="1"/>
  <c r="B427" i="2" s="1"/>
  <c r="CG426" i="2"/>
  <c r="CF426" i="2"/>
  <c r="CE426" i="2"/>
  <c r="CD426" i="2"/>
  <c r="CC426" i="2"/>
  <c r="CB426" i="2"/>
  <c r="CA426" i="2"/>
  <c r="BZ426" i="2"/>
  <c r="BY426" i="2"/>
  <c r="BX426" i="2"/>
  <c r="BW426" i="2"/>
  <c r="BV426" i="2"/>
  <c r="BU426" i="2"/>
  <c r="BT426" i="2"/>
  <c r="BS426" i="2"/>
  <c r="BR426" i="2"/>
  <c r="BQ426" i="2"/>
  <c r="BP426" i="2"/>
  <c r="BO426" i="2"/>
  <c r="BN426" i="2"/>
  <c r="BM426" i="2"/>
  <c r="BL426" i="2"/>
  <c r="BK426" i="2"/>
  <c r="BJ426" i="2"/>
  <c r="BI426" i="2"/>
  <c r="BH426" i="2"/>
  <c r="BG426" i="2"/>
  <c r="BF426" i="2"/>
  <c r="BE426" i="2"/>
  <c r="BC426" i="2"/>
  <c r="BB426" i="2"/>
  <c r="BA426" i="2"/>
  <c r="AZ426" i="2"/>
  <c r="AY426" i="2"/>
  <c r="AX426" i="2"/>
  <c r="AW426" i="2"/>
  <c r="AV426" i="2"/>
  <c r="AU426" i="2"/>
  <c r="AT426" i="2"/>
  <c r="AS426" i="2"/>
  <c r="AR426" i="2"/>
  <c r="AQ426" i="2"/>
  <c r="AP426" i="2"/>
  <c r="AO426" i="2"/>
  <c r="AN426" i="2"/>
  <c r="AM426" i="2"/>
  <c r="AL426" i="2"/>
  <c r="AK426" i="2"/>
  <c r="AJ426" i="2"/>
  <c r="AI426" i="2"/>
  <c r="AH426" i="2"/>
  <c r="AG426" i="2"/>
  <c r="AF426" i="2"/>
  <c r="AE426" i="2"/>
  <c r="AD426" i="2"/>
  <c r="AC426" i="2"/>
  <c r="AB426" i="2"/>
  <c r="AA426" i="2"/>
  <c r="Z426" i="2"/>
  <c r="Y426" i="2"/>
  <c r="X426" i="2"/>
  <c r="W426" i="2"/>
  <c r="V426" i="2"/>
  <c r="U426" i="2"/>
  <c r="T426" i="2"/>
  <c r="S426" i="2"/>
  <c r="R426" i="2"/>
  <c r="Q426" i="2"/>
  <c r="P426" i="2"/>
  <c r="O426" i="2"/>
  <c r="N426" i="2"/>
  <c r="M426" i="2"/>
  <c r="L426" i="2"/>
  <c r="K426" i="2"/>
  <c r="J426" i="2"/>
  <c r="BD426" i="2" s="1"/>
  <c r="I426" i="2"/>
  <c r="E426" i="2" a="1"/>
  <c r="E426" i="2" s="1"/>
  <c r="D426" i="2" a="1"/>
  <c r="D426" i="2" s="1"/>
  <c r="C426" i="2" a="1"/>
  <c r="C426" i="2" s="1"/>
  <c r="B426" i="2" a="1"/>
  <c r="B426" i="2" s="1"/>
  <c r="CG425" i="2"/>
  <c r="CF425" i="2"/>
  <c r="CE425" i="2"/>
  <c r="CD425" i="2"/>
  <c r="CC425" i="2"/>
  <c r="CB425" i="2"/>
  <c r="CA425" i="2"/>
  <c r="BZ425" i="2"/>
  <c r="BY425" i="2"/>
  <c r="BX425" i="2"/>
  <c r="BW425" i="2"/>
  <c r="BV425" i="2"/>
  <c r="BU425" i="2"/>
  <c r="BT425" i="2"/>
  <c r="BS425" i="2"/>
  <c r="BR425" i="2"/>
  <c r="BQ425" i="2"/>
  <c r="BP425" i="2"/>
  <c r="BO425" i="2"/>
  <c r="BN425" i="2"/>
  <c r="BM425" i="2"/>
  <c r="BL425" i="2"/>
  <c r="BK425" i="2"/>
  <c r="BJ425" i="2"/>
  <c r="BI425" i="2"/>
  <c r="BH425" i="2"/>
  <c r="BG425" i="2"/>
  <c r="BF425" i="2"/>
  <c r="BE425" i="2"/>
  <c r="BC425" i="2"/>
  <c r="BB425" i="2"/>
  <c r="BA425" i="2"/>
  <c r="AZ425" i="2"/>
  <c r="AY425" i="2"/>
  <c r="AX425" i="2"/>
  <c r="AW425" i="2"/>
  <c r="AV425" i="2"/>
  <c r="AU425" i="2"/>
  <c r="AT425" i="2"/>
  <c r="AS425" i="2"/>
  <c r="AR425" i="2"/>
  <c r="AQ425" i="2"/>
  <c r="AP425" i="2"/>
  <c r="AO425" i="2"/>
  <c r="AN425" i="2"/>
  <c r="AM425" i="2"/>
  <c r="AL425" i="2"/>
  <c r="AK425" i="2"/>
  <c r="AJ425" i="2"/>
  <c r="AI425" i="2"/>
  <c r="AH425" i="2"/>
  <c r="AG425" i="2"/>
  <c r="AF425" i="2"/>
  <c r="AE425" i="2"/>
  <c r="AD425" i="2"/>
  <c r="AC425" i="2"/>
  <c r="AB425" i="2"/>
  <c r="AA425" i="2"/>
  <c r="Z425" i="2"/>
  <c r="Y425" i="2"/>
  <c r="X425" i="2"/>
  <c r="W425" i="2"/>
  <c r="V425" i="2"/>
  <c r="U425" i="2"/>
  <c r="T425" i="2"/>
  <c r="S425" i="2"/>
  <c r="R425" i="2"/>
  <c r="Q425" i="2"/>
  <c r="P425" i="2"/>
  <c r="O425" i="2"/>
  <c r="N425" i="2"/>
  <c r="M425" i="2"/>
  <c r="L425" i="2"/>
  <c r="K425" i="2"/>
  <c r="J425" i="2"/>
  <c r="BD425" i="2" s="1"/>
  <c r="I425" i="2"/>
  <c r="E425" i="2" a="1"/>
  <c r="E425" i="2" s="1"/>
  <c r="D425" i="2" a="1"/>
  <c r="D425" i="2" s="1"/>
  <c r="C425" i="2" a="1"/>
  <c r="C425" i="2" s="1"/>
  <c r="B425" i="2" a="1"/>
  <c r="B425" i="2" s="1"/>
  <c r="CG424" i="2"/>
  <c r="CF424" i="2"/>
  <c r="CE424" i="2"/>
  <c r="CD424" i="2"/>
  <c r="CC424" i="2"/>
  <c r="CB424" i="2"/>
  <c r="CA424" i="2"/>
  <c r="BZ424" i="2"/>
  <c r="BY424" i="2"/>
  <c r="BX424" i="2"/>
  <c r="BW424" i="2"/>
  <c r="BV424" i="2"/>
  <c r="BU424" i="2"/>
  <c r="BT424" i="2"/>
  <c r="BS424" i="2"/>
  <c r="BR424" i="2"/>
  <c r="BQ424" i="2"/>
  <c r="BP424" i="2"/>
  <c r="BO424" i="2"/>
  <c r="BN424" i="2"/>
  <c r="BM424" i="2"/>
  <c r="BL424" i="2"/>
  <c r="BK424" i="2"/>
  <c r="BJ424" i="2"/>
  <c r="BI424" i="2"/>
  <c r="BH424" i="2"/>
  <c r="BG424" i="2"/>
  <c r="BF424" i="2"/>
  <c r="BE424" i="2"/>
  <c r="BD424" i="2"/>
  <c r="BC424" i="2"/>
  <c r="BB424" i="2"/>
  <c r="BA424" i="2"/>
  <c r="AZ424" i="2"/>
  <c r="AY424" i="2"/>
  <c r="AX424" i="2"/>
  <c r="AW424" i="2"/>
  <c r="AV424" i="2"/>
  <c r="AU424" i="2"/>
  <c r="AT424" i="2"/>
  <c r="AS424" i="2"/>
  <c r="AR424" i="2"/>
  <c r="AQ424" i="2"/>
  <c r="AP424" i="2"/>
  <c r="AO424" i="2"/>
  <c r="AN424" i="2"/>
  <c r="AM424" i="2"/>
  <c r="AL424" i="2"/>
  <c r="AK424" i="2"/>
  <c r="AJ424" i="2"/>
  <c r="AI424" i="2"/>
  <c r="AH424" i="2"/>
  <c r="AG424" i="2"/>
  <c r="AF424" i="2"/>
  <c r="AE424" i="2"/>
  <c r="AD424" i="2"/>
  <c r="AC424" i="2"/>
  <c r="AB424" i="2"/>
  <c r="AA424" i="2"/>
  <c r="Z424" i="2"/>
  <c r="Y424" i="2"/>
  <c r="X424" i="2"/>
  <c r="W424" i="2"/>
  <c r="V424" i="2"/>
  <c r="U424" i="2"/>
  <c r="T424" i="2"/>
  <c r="S424" i="2"/>
  <c r="R424" i="2"/>
  <c r="Q424" i="2"/>
  <c r="P424" i="2"/>
  <c r="O424" i="2"/>
  <c r="N424" i="2"/>
  <c r="M424" i="2"/>
  <c r="L424" i="2"/>
  <c r="K424" i="2"/>
  <c r="J424" i="2"/>
  <c r="I424" i="2"/>
  <c r="E424" i="2" a="1"/>
  <c r="E424" i="2" s="1"/>
  <c r="D424" i="2" a="1"/>
  <c r="D424" i="2" s="1"/>
  <c r="C424" i="2" a="1"/>
  <c r="C424" i="2" s="1"/>
  <c r="B424" i="2" a="1"/>
  <c r="B424" i="2" s="1"/>
  <c r="CG423" i="2"/>
  <c r="CF423" i="2"/>
  <c r="CE423" i="2"/>
  <c r="CD423" i="2"/>
  <c r="CC423" i="2"/>
  <c r="CB423" i="2"/>
  <c r="CA423" i="2"/>
  <c r="BZ423" i="2"/>
  <c r="BY423" i="2"/>
  <c r="BX423" i="2"/>
  <c r="BW423" i="2"/>
  <c r="BV423" i="2"/>
  <c r="BU423" i="2"/>
  <c r="BT423" i="2"/>
  <c r="BS423" i="2"/>
  <c r="BR423" i="2"/>
  <c r="BQ423" i="2"/>
  <c r="BP423" i="2"/>
  <c r="BO423" i="2"/>
  <c r="BN423" i="2"/>
  <c r="BM423" i="2"/>
  <c r="BL423" i="2"/>
  <c r="BK423" i="2"/>
  <c r="BJ423" i="2"/>
  <c r="BI423" i="2"/>
  <c r="BH423" i="2"/>
  <c r="BG423" i="2"/>
  <c r="BF423" i="2"/>
  <c r="BE423" i="2"/>
  <c r="BD423" i="2"/>
  <c r="BC423" i="2"/>
  <c r="BB423" i="2"/>
  <c r="BA423" i="2"/>
  <c r="AZ423" i="2"/>
  <c r="AY423" i="2"/>
  <c r="AX423" i="2"/>
  <c r="AW423" i="2"/>
  <c r="AV423" i="2"/>
  <c r="AU423" i="2"/>
  <c r="AT423" i="2"/>
  <c r="AS423" i="2"/>
  <c r="AR423" i="2"/>
  <c r="AQ423" i="2"/>
  <c r="AP423" i="2"/>
  <c r="AO423" i="2"/>
  <c r="AN423" i="2"/>
  <c r="AM423" i="2"/>
  <c r="AL423" i="2"/>
  <c r="AK423" i="2"/>
  <c r="AJ423" i="2"/>
  <c r="AI423" i="2"/>
  <c r="AH423" i="2"/>
  <c r="AG423" i="2"/>
  <c r="AF423" i="2"/>
  <c r="AE423" i="2"/>
  <c r="AD423" i="2"/>
  <c r="AC423" i="2"/>
  <c r="AB423" i="2"/>
  <c r="AA423" i="2"/>
  <c r="Z423" i="2"/>
  <c r="Y423" i="2"/>
  <c r="X423" i="2"/>
  <c r="W423" i="2"/>
  <c r="V423" i="2"/>
  <c r="U423" i="2"/>
  <c r="T423" i="2"/>
  <c r="S423" i="2"/>
  <c r="R423" i="2"/>
  <c r="Q423" i="2"/>
  <c r="P423" i="2"/>
  <c r="O423" i="2"/>
  <c r="N423" i="2"/>
  <c r="M423" i="2"/>
  <c r="L423" i="2"/>
  <c r="K423" i="2"/>
  <c r="J423" i="2"/>
  <c r="I423" i="2"/>
  <c r="E423" i="2" a="1"/>
  <c r="E423" i="2" s="1"/>
  <c r="D423" i="2" a="1"/>
  <c r="D423" i="2" s="1"/>
  <c r="C423" i="2" a="1"/>
  <c r="C423" i="2" s="1"/>
  <c r="B423" i="2" a="1"/>
  <c r="B423" i="2"/>
  <c r="CG422" i="2"/>
  <c r="CF422" i="2"/>
  <c r="CE422" i="2"/>
  <c r="CD422" i="2"/>
  <c r="CC422" i="2"/>
  <c r="CB422" i="2"/>
  <c r="CA422" i="2"/>
  <c r="BZ422" i="2"/>
  <c r="BY422" i="2"/>
  <c r="BX422" i="2"/>
  <c r="BW422" i="2"/>
  <c r="BV422" i="2"/>
  <c r="BU422" i="2"/>
  <c r="BT422" i="2"/>
  <c r="BS422" i="2"/>
  <c r="BR422" i="2"/>
  <c r="BQ422" i="2"/>
  <c r="BP422" i="2"/>
  <c r="BO422" i="2"/>
  <c r="BN422" i="2"/>
  <c r="BM422" i="2"/>
  <c r="BL422" i="2"/>
  <c r="BK422" i="2"/>
  <c r="BJ422" i="2"/>
  <c r="BI422" i="2"/>
  <c r="BH422" i="2"/>
  <c r="BG422" i="2"/>
  <c r="BF422" i="2"/>
  <c r="BE422" i="2"/>
  <c r="BC422" i="2"/>
  <c r="BB422" i="2"/>
  <c r="BA422" i="2"/>
  <c r="AZ422" i="2"/>
  <c r="AY422" i="2"/>
  <c r="AX422" i="2"/>
  <c r="AW422" i="2"/>
  <c r="AV422" i="2"/>
  <c r="AU422" i="2"/>
  <c r="AT422" i="2"/>
  <c r="AS422" i="2"/>
  <c r="AR422" i="2"/>
  <c r="AQ422" i="2"/>
  <c r="AP422" i="2"/>
  <c r="AO422" i="2"/>
  <c r="AN422" i="2"/>
  <c r="AM422" i="2"/>
  <c r="AL422" i="2"/>
  <c r="AK422" i="2"/>
  <c r="AJ422" i="2"/>
  <c r="AI422" i="2"/>
  <c r="AH422" i="2"/>
  <c r="AG422" i="2"/>
  <c r="AF422" i="2"/>
  <c r="AE422" i="2"/>
  <c r="AD422" i="2"/>
  <c r="AC422" i="2"/>
  <c r="AB422" i="2"/>
  <c r="AA422" i="2"/>
  <c r="Z422" i="2"/>
  <c r="Y422" i="2"/>
  <c r="X422" i="2"/>
  <c r="W422" i="2"/>
  <c r="V422" i="2"/>
  <c r="U422" i="2"/>
  <c r="T422" i="2"/>
  <c r="S422" i="2"/>
  <c r="R422" i="2"/>
  <c r="Q422" i="2"/>
  <c r="P422" i="2"/>
  <c r="O422" i="2"/>
  <c r="N422" i="2"/>
  <c r="M422" i="2"/>
  <c r="L422" i="2"/>
  <c r="K422" i="2"/>
  <c r="J422" i="2"/>
  <c r="BD422" i="2" s="1"/>
  <c r="I422" i="2"/>
  <c r="E422" i="2" a="1"/>
  <c r="E422" i="2" s="1"/>
  <c r="D422" i="2" a="1"/>
  <c r="D422" i="2" s="1"/>
  <c r="C422" i="2" a="1"/>
  <c r="C422" i="2" s="1"/>
  <c r="B422" i="2" a="1"/>
  <c r="B422" i="2" s="1"/>
  <c r="CG421" i="2"/>
  <c r="CF421" i="2"/>
  <c r="CE421" i="2"/>
  <c r="CD421" i="2"/>
  <c r="CC421" i="2"/>
  <c r="CB421" i="2"/>
  <c r="CA421" i="2"/>
  <c r="BZ421" i="2"/>
  <c r="BY421" i="2"/>
  <c r="BX421" i="2"/>
  <c r="BW421" i="2"/>
  <c r="BV421" i="2"/>
  <c r="BU421" i="2"/>
  <c r="BT421" i="2"/>
  <c r="BS421" i="2"/>
  <c r="BR421" i="2"/>
  <c r="BQ421" i="2"/>
  <c r="BP421" i="2"/>
  <c r="BO421" i="2"/>
  <c r="BN421" i="2"/>
  <c r="BM421" i="2"/>
  <c r="BL421" i="2"/>
  <c r="BK421" i="2"/>
  <c r="BJ421" i="2"/>
  <c r="BI421" i="2"/>
  <c r="BH421" i="2"/>
  <c r="BG421" i="2"/>
  <c r="BF421" i="2"/>
  <c r="BE421" i="2"/>
  <c r="BC421" i="2"/>
  <c r="BB421" i="2"/>
  <c r="BA421" i="2"/>
  <c r="AZ421" i="2"/>
  <c r="AY421" i="2"/>
  <c r="AX421" i="2"/>
  <c r="AW421" i="2"/>
  <c r="AV421" i="2"/>
  <c r="AU421" i="2"/>
  <c r="AT421" i="2"/>
  <c r="AS421" i="2"/>
  <c r="AR421" i="2"/>
  <c r="AQ421" i="2"/>
  <c r="AP421" i="2"/>
  <c r="AO421" i="2"/>
  <c r="AN421" i="2"/>
  <c r="AM421" i="2"/>
  <c r="AL421" i="2"/>
  <c r="AK421" i="2"/>
  <c r="AJ421" i="2"/>
  <c r="AI421" i="2"/>
  <c r="AH421" i="2"/>
  <c r="AG421" i="2"/>
  <c r="AF421" i="2"/>
  <c r="AE421" i="2"/>
  <c r="AD421" i="2"/>
  <c r="AC421" i="2"/>
  <c r="AB421" i="2"/>
  <c r="AA421" i="2"/>
  <c r="Z421" i="2"/>
  <c r="Y421" i="2"/>
  <c r="X421" i="2"/>
  <c r="W421" i="2"/>
  <c r="V421" i="2"/>
  <c r="U421" i="2"/>
  <c r="T421" i="2"/>
  <c r="S421" i="2"/>
  <c r="R421" i="2"/>
  <c r="Q421" i="2"/>
  <c r="P421" i="2"/>
  <c r="O421" i="2"/>
  <c r="N421" i="2"/>
  <c r="M421" i="2"/>
  <c r="L421" i="2"/>
  <c r="K421" i="2"/>
  <c r="J421" i="2"/>
  <c r="BD421" i="2" s="1"/>
  <c r="I421" i="2"/>
  <c r="E421" i="2" a="1"/>
  <c r="E421" i="2" s="1"/>
  <c r="D421" i="2" a="1"/>
  <c r="D421" i="2" s="1"/>
  <c r="C421" i="2" a="1"/>
  <c r="C421" i="2" s="1"/>
  <c r="B421" i="2" a="1"/>
  <c r="B421" i="2" s="1"/>
  <c r="CG420" i="2"/>
  <c r="CF420" i="2"/>
  <c r="CE420" i="2"/>
  <c r="CD420" i="2"/>
  <c r="CC420" i="2"/>
  <c r="CB420" i="2"/>
  <c r="CA420" i="2"/>
  <c r="BZ420" i="2"/>
  <c r="BY420" i="2"/>
  <c r="BX420" i="2"/>
  <c r="BW420" i="2"/>
  <c r="BV420" i="2"/>
  <c r="BU420" i="2"/>
  <c r="BT420" i="2"/>
  <c r="BS420" i="2"/>
  <c r="BR420" i="2"/>
  <c r="BQ420" i="2"/>
  <c r="BP420" i="2"/>
  <c r="BO420" i="2"/>
  <c r="BN420" i="2"/>
  <c r="BM420" i="2"/>
  <c r="BL420" i="2"/>
  <c r="BK420" i="2"/>
  <c r="BJ420" i="2"/>
  <c r="BI420" i="2"/>
  <c r="BH420" i="2"/>
  <c r="BG420" i="2"/>
  <c r="BF420" i="2"/>
  <c r="BE420" i="2"/>
  <c r="BD420" i="2"/>
  <c r="BC420" i="2"/>
  <c r="BB420" i="2"/>
  <c r="BA420" i="2"/>
  <c r="AZ420" i="2"/>
  <c r="AY420" i="2"/>
  <c r="AX420" i="2"/>
  <c r="AW420" i="2"/>
  <c r="AV420" i="2"/>
  <c r="AU420" i="2"/>
  <c r="AT420" i="2"/>
  <c r="AS420" i="2"/>
  <c r="AR420" i="2"/>
  <c r="AQ420" i="2"/>
  <c r="AP420" i="2"/>
  <c r="AO420" i="2"/>
  <c r="AN420" i="2"/>
  <c r="AM420" i="2"/>
  <c r="AL420" i="2"/>
  <c r="AK420" i="2"/>
  <c r="AJ420" i="2"/>
  <c r="AI420" i="2"/>
  <c r="AH420" i="2"/>
  <c r="AG420" i="2"/>
  <c r="AF420" i="2"/>
  <c r="AE420" i="2"/>
  <c r="AD420" i="2"/>
  <c r="AC420" i="2"/>
  <c r="AB420" i="2"/>
  <c r="AA420" i="2"/>
  <c r="Z420" i="2"/>
  <c r="Y420" i="2"/>
  <c r="X420" i="2"/>
  <c r="W420" i="2"/>
  <c r="V420" i="2"/>
  <c r="U420" i="2"/>
  <c r="T420" i="2"/>
  <c r="S420" i="2"/>
  <c r="R420" i="2"/>
  <c r="Q420" i="2"/>
  <c r="P420" i="2"/>
  <c r="O420" i="2"/>
  <c r="N420" i="2"/>
  <c r="M420" i="2"/>
  <c r="L420" i="2"/>
  <c r="K420" i="2"/>
  <c r="J420" i="2"/>
  <c r="I420" i="2"/>
  <c r="E420" i="2" a="1"/>
  <c r="E420" i="2" s="1"/>
  <c r="D420" i="2" a="1"/>
  <c r="D420" i="2" s="1"/>
  <c r="C420" i="2" a="1"/>
  <c r="C420" i="2" s="1"/>
  <c r="B420" i="2" a="1"/>
  <c r="B420" i="2" s="1"/>
  <c r="CG419" i="2"/>
  <c r="CF419" i="2"/>
  <c r="CE419" i="2"/>
  <c r="CD419" i="2"/>
  <c r="CC419" i="2"/>
  <c r="CB419" i="2"/>
  <c r="CA419" i="2"/>
  <c r="BZ419" i="2"/>
  <c r="BY419" i="2"/>
  <c r="BX419" i="2"/>
  <c r="BW419" i="2"/>
  <c r="BV419" i="2"/>
  <c r="BU419" i="2"/>
  <c r="BT419" i="2"/>
  <c r="BS419" i="2"/>
  <c r="BR419" i="2"/>
  <c r="BQ419" i="2"/>
  <c r="BP419" i="2"/>
  <c r="BO419" i="2"/>
  <c r="BN419" i="2"/>
  <c r="BM419" i="2"/>
  <c r="BL419" i="2"/>
  <c r="BK419" i="2"/>
  <c r="BJ419" i="2"/>
  <c r="BI419" i="2"/>
  <c r="BH419" i="2"/>
  <c r="BG419" i="2"/>
  <c r="BF419" i="2"/>
  <c r="BE419" i="2"/>
  <c r="BD419" i="2"/>
  <c r="BC419" i="2"/>
  <c r="BB419" i="2"/>
  <c r="BA419" i="2"/>
  <c r="AZ419" i="2"/>
  <c r="AY419" i="2"/>
  <c r="AX419" i="2"/>
  <c r="AW419" i="2"/>
  <c r="AV419" i="2"/>
  <c r="AU419" i="2"/>
  <c r="AT419" i="2"/>
  <c r="AS419" i="2"/>
  <c r="AR419" i="2"/>
  <c r="AQ419" i="2"/>
  <c r="AP419" i="2"/>
  <c r="AO419" i="2"/>
  <c r="AN419" i="2"/>
  <c r="AM419" i="2"/>
  <c r="AL419" i="2"/>
  <c r="AK419" i="2"/>
  <c r="AJ419" i="2"/>
  <c r="AI419" i="2"/>
  <c r="AH419" i="2"/>
  <c r="AG419" i="2"/>
  <c r="AF419" i="2"/>
  <c r="AE419" i="2"/>
  <c r="AD419" i="2"/>
  <c r="AC419" i="2"/>
  <c r="AB419" i="2"/>
  <c r="AA419" i="2"/>
  <c r="Z419" i="2"/>
  <c r="Y419" i="2"/>
  <c r="X419" i="2"/>
  <c r="W419" i="2"/>
  <c r="V419" i="2"/>
  <c r="U419" i="2"/>
  <c r="T419" i="2"/>
  <c r="S419" i="2"/>
  <c r="R419" i="2"/>
  <c r="Q419" i="2"/>
  <c r="P419" i="2"/>
  <c r="O419" i="2"/>
  <c r="N419" i="2"/>
  <c r="M419" i="2"/>
  <c r="L419" i="2"/>
  <c r="K419" i="2"/>
  <c r="J419" i="2"/>
  <c r="I419" i="2"/>
  <c r="E419" i="2" a="1"/>
  <c r="E419" i="2" s="1"/>
  <c r="D419" i="2" a="1"/>
  <c r="D419" i="2" s="1"/>
  <c r="C419" i="2" a="1"/>
  <c r="C419" i="2" s="1"/>
  <c r="B419" i="2" a="1"/>
  <c r="B419" i="2" s="1"/>
  <c r="CG418" i="2"/>
  <c r="CF418" i="2"/>
  <c r="CE418" i="2"/>
  <c r="CD418" i="2"/>
  <c r="CC418" i="2"/>
  <c r="CB418" i="2"/>
  <c r="CA418" i="2"/>
  <c r="BZ418" i="2"/>
  <c r="BY418" i="2"/>
  <c r="BX418" i="2"/>
  <c r="BW418" i="2"/>
  <c r="BV418" i="2"/>
  <c r="BU418" i="2"/>
  <c r="BT418" i="2"/>
  <c r="BS418" i="2"/>
  <c r="BR418" i="2"/>
  <c r="BQ418" i="2"/>
  <c r="BP418" i="2"/>
  <c r="BO418" i="2"/>
  <c r="BN418" i="2"/>
  <c r="BM418" i="2"/>
  <c r="BL418" i="2"/>
  <c r="BK418" i="2"/>
  <c r="BJ418" i="2"/>
  <c r="BI418" i="2"/>
  <c r="BH418" i="2"/>
  <c r="BG418" i="2"/>
  <c r="BF418" i="2"/>
  <c r="BE418" i="2"/>
  <c r="BC418" i="2"/>
  <c r="BB418" i="2"/>
  <c r="BA418" i="2"/>
  <c r="AZ418" i="2"/>
  <c r="AY418" i="2"/>
  <c r="AX418" i="2"/>
  <c r="AW418" i="2"/>
  <c r="AV418" i="2"/>
  <c r="AU418" i="2"/>
  <c r="AT418" i="2"/>
  <c r="AS418" i="2"/>
  <c r="AR418" i="2"/>
  <c r="AQ418" i="2"/>
  <c r="AP418" i="2"/>
  <c r="AO418" i="2"/>
  <c r="AN418" i="2"/>
  <c r="AM418" i="2"/>
  <c r="AL418" i="2"/>
  <c r="AK418" i="2"/>
  <c r="AJ418" i="2"/>
  <c r="AI418" i="2"/>
  <c r="AH418" i="2"/>
  <c r="AG418" i="2"/>
  <c r="AF418" i="2"/>
  <c r="AE418" i="2"/>
  <c r="AD418" i="2"/>
  <c r="AC418" i="2"/>
  <c r="AB418" i="2"/>
  <c r="AA418" i="2"/>
  <c r="Z418" i="2"/>
  <c r="Y418" i="2"/>
  <c r="X418" i="2"/>
  <c r="W418" i="2"/>
  <c r="V418" i="2"/>
  <c r="U418" i="2"/>
  <c r="T418" i="2"/>
  <c r="S418" i="2"/>
  <c r="R418" i="2"/>
  <c r="Q418" i="2"/>
  <c r="P418" i="2"/>
  <c r="O418" i="2"/>
  <c r="N418" i="2"/>
  <c r="M418" i="2"/>
  <c r="L418" i="2"/>
  <c r="K418" i="2"/>
  <c r="J418" i="2"/>
  <c r="BD418" i="2" s="1"/>
  <c r="I418" i="2"/>
  <c r="E418" i="2" a="1"/>
  <c r="E418" i="2" s="1"/>
  <c r="D418" i="2" a="1"/>
  <c r="D418" i="2" s="1"/>
  <c r="C418" i="2" a="1"/>
  <c r="C418" i="2" s="1"/>
  <c r="B418" i="2" a="1"/>
  <c r="B418" i="2" s="1"/>
  <c r="CG417" i="2"/>
  <c r="CF417" i="2"/>
  <c r="CE417" i="2"/>
  <c r="CD417" i="2"/>
  <c r="CC417" i="2"/>
  <c r="CB417" i="2"/>
  <c r="CA417" i="2"/>
  <c r="BZ417" i="2"/>
  <c r="BY417" i="2"/>
  <c r="BX417" i="2"/>
  <c r="BW417" i="2"/>
  <c r="BV417" i="2"/>
  <c r="BU417" i="2"/>
  <c r="BT417" i="2"/>
  <c r="BS417" i="2"/>
  <c r="BR417" i="2"/>
  <c r="BQ417" i="2"/>
  <c r="BP417" i="2"/>
  <c r="BO417" i="2"/>
  <c r="BN417" i="2"/>
  <c r="BM417" i="2"/>
  <c r="BL417" i="2"/>
  <c r="BK417" i="2"/>
  <c r="BJ417" i="2"/>
  <c r="BI417" i="2"/>
  <c r="BH417" i="2"/>
  <c r="BG417" i="2"/>
  <c r="BF417" i="2"/>
  <c r="BE417" i="2"/>
  <c r="BC417" i="2"/>
  <c r="BB417" i="2"/>
  <c r="BA417" i="2"/>
  <c r="AZ417" i="2"/>
  <c r="AY417" i="2"/>
  <c r="AX417" i="2"/>
  <c r="AW417" i="2"/>
  <c r="AV417" i="2"/>
  <c r="AU417" i="2"/>
  <c r="AT417" i="2"/>
  <c r="AS417" i="2"/>
  <c r="AR417" i="2"/>
  <c r="AQ417" i="2"/>
  <c r="AP417" i="2"/>
  <c r="AO417" i="2"/>
  <c r="AN417" i="2"/>
  <c r="AM417" i="2"/>
  <c r="AL417" i="2"/>
  <c r="AK417" i="2"/>
  <c r="AJ417" i="2"/>
  <c r="AI417" i="2"/>
  <c r="AH417" i="2"/>
  <c r="AG417" i="2"/>
  <c r="AF417" i="2"/>
  <c r="AE417" i="2"/>
  <c r="AD417" i="2"/>
  <c r="AC417" i="2"/>
  <c r="AB417" i="2"/>
  <c r="AA417" i="2"/>
  <c r="Z417" i="2"/>
  <c r="Y417" i="2"/>
  <c r="X417" i="2"/>
  <c r="W417" i="2"/>
  <c r="V417" i="2"/>
  <c r="U417" i="2"/>
  <c r="T417" i="2"/>
  <c r="S417" i="2"/>
  <c r="R417" i="2"/>
  <c r="Q417" i="2"/>
  <c r="P417" i="2"/>
  <c r="O417" i="2"/>
  <c r="N417" i="2"/>
  <c r="M417" i="2"/>
  <c r="L417" i="2"/>
  <c r="K417" i="2"/>
  <c r="J417" i="2"/>
  <c r="BD417" i="2" s="1"/>
  <c r="I417" i="2"/>
  <c r="E417" i="2" a="1"/>
  <c r="E417" i="2" s="1"/>
  <c r="D417" i="2" a="1"/>
  <c r="D417" i="2" s="1"/>
  <c r="C417" i="2" a="1"/>
  <c r="C417" i="2" s="1"/>
  <c r="B417" i="2" a="1"/>
  <c r="B417" i="2" s="1"/>
  <c r="CG416" i="2"/>
  <c r="CF416" i="2"/>
  <c r="CE416" i="2"/>
  <c r="CD416" i="2"/>
  <c r="CC416" i="2"/>
  <c r="CB416" i="2"/>
  <c r="CA416" i="2"/>
  <c r="BZ416" i="2"/>
  <c r="BY416" i="2"/>
  <c r="BX416" i="2"/>
  <c r="BW416" i="2"/>
  <c r="BV416" i="2"/>
  <c r="BU416" i="2"/>
  <c r="BT416" i="2"/>
  <c r="BS416" i="2"/>
  <c r="BR416" i="2"/>
  <c r="BQ416" i="2"/>
  <c r="BP416" i="2"/>
  <c r="BO416" i="2"/>
  <c r="BN416" i="2"/>
  <c r="BM416" i="2"/>
  <c r="BL416" i="2"/>
  <c r="BK416" i="2"/>
  <c r="BJ416" i="2"/>
  <c r="BI416" i="2"/>
  <c r="BH416" i="2"/>
  <c r="BG416" i="2"/>
  <c r="BF416" i="2"/>
  <c r="BE416" i="2"/>
  <c r="BD416" i="2"/>
  <c r="BC416" i="2"/>
  <c r="BB416" i="2"/>
  <c r="BA416" i="2"/>
  <c r="AZ416" i="2"/>
  <c r="AY416" i="2"/>
  <c r="AX416" i="2"/>
  <c r="AW416" i="2"/>
  <c r="AV416" i="2"/>
  <c r="AU416" i="2"/>
  <c r="AT416" i="2"/>
  <c r="AS416" i="2"/>
  <c r="AR416" i="2"/>
  <c r="AQ416" i="2"/>
  <c r="AP416" i="2"/>
  <c r="AO416" i="2"/>
  <c r="AN416" i="2"/>
  <c r="AM416" i="2"/>
  <c r="AL416" i="2"/>
  <c r="AK416" i="2"/>
  <c r="AJ416" i="2"/>
  <c r="AI416" i="2"/>
  <c r="AH416" i="2"/>
  <c r="AG416" i="2"/>
  <c r="AF416" i="2"/>
  <c r="AE416" i="2"/>
  <c r="AD416" i="2"/>
  <c r="AC416" i="2"/>
  <c r="AB416" i="2"/>
  <c r="AA416" i="2"/>
  <c r="Z416" i="2"/>
  <c r="Y416" i="2"/>
  <c r="X416" i="2"/>
  <c r="W416" i="2"/>
  <c r="V416" i="2"/>
  <c r="U416" i="2"/>
  <c r="T416" i="2"/>
  <c r="S416" i="2"/>
  <c r="R416" i="2"/>
  <c r="Q416" i="2"/>
  <c r="P416" i="2"/>
  <c r="O416" i="2"/>
  <c r="N416" i="2"/>
  <c r="M416" i="2"/>
  <c r="L416" i="2"/>
  <c r="K416" i="2"/>
  <c r="J416" i="2"/>
  <c r="I416" i="2"/>
  <c r="E416" i="2" a="1"/>
  <c r="E416" i="2" s="1"/>
  <c r="D416" i="2" a="1"/>
  <c r="D416" i="2" s="1"/>
  <c r="C416" i="2" a="1"/>
  <c r="C416" i="2" s="1"/>
  <c r="B416" i="2" a="1"/>
  <c r="B416" i="2" s="1"/>
  <c r="CG415" i="2"/>
  <c r="CF415" i="2"/>
  <c r="CE415" i="2"/>
  <c r="CD415" i="2"/>
  <c r="CC415" i="2"/>
  <c r="CB415" i="2"/>
  <c r="CA415" i="2"/>
  <c r="BZ415" i="2"/>
  <c r="BY415" i="2"/>
  <c r="BX415" i="2"/>
  <c r="BW415" i="2"/>
  <c r="BV415" i="2"/>
  <c r="BU415" i="2"/>
  <c r="BT415" i="2"/>
  <c r="BS415" i="2"/>
  <c r="BR415" i="2"/>
  <c r="BQ415" i="2"/>
  <c r="BP415" i="2"/>
  <c r="BO415" i="2"/>
  <c r="BN415" i="2"/>
  <c r="BM415" i="2"/>
  <c r="BL415" i="2"/>
  <c r="BK415" i="2"/>
  <c r="BJ415" i="2"/>
  <c r="BI415" i="2"/>
  <c r="BH415" i="2"/>
  <c r="BG415" i="2"/>
  <c r="BF415" i="2"/>
  <c r="BE415" i="2"/>
  <c r="BD415" i="2"/>
  <c r="BC415" i="2"/>
  <c r="BB415" i="2"/>
  <c r="BA415" i="2"/>
  <c r="AZ415" i="2"/>
  <c r="AY415" i="2"/>
  <c r="AX415" i="2"/>
  <c r="AW415" i="2"/>
  <c r="AV415" i="2"/>
  <c r="AU415" i="2"/>
  <c r="AT415" i="2"/>
  <c r="AS415" i="2"/>
  <c r="AR415" i="2"/>
  <c r="AQ415" i="2"/>
  <c r="AP415" i="2"/>
  <c r="AO415" i="2"/>
  <c r="AN415" i="2"/>
  <c r="AM415" i="2"/>
  <c r="AL415" i="2"/>
  <c r="AK415" i="2"/>
  <c r="AJ415" i="2"/>
  <c r="AI415" i="2"/>
  <c r="AH415" i="2"/>
  <c r="AG415" i="2"/>
  <c r="AF415" i="2"/>
  <c r="AE415" i="2"/>
  <c r="AD415" i="2"/>
  <c r="AC415" i="2"/>
  <c r="AB415" i="2"/>
  <c r="AA415" i="2"/>
  <c r="Z415" i="2"/>
  <c r="Y415" i="2"/>
  <c r="X415" i="2"/>
  <c r="W415" i="2"/>
  <c r="V415" i="2"/>
  <c r="U415" i="2"/>
  <c r="T415" i="2"/>
  <c r="S415" i="2"/>
  <c r="R415" i="2"/>
  <c r="Q415" i="2"/>
  <c r="P415" i="2"/>
  <c r="O415" i="2"/>
  <c r="N415" i="2"/>
  <c r="M415" i="2"/>
  <c r="L415" i="2"/>
  <c r="K415" i="2"/>
  <c r="J415" i="2"/>
  <c r="I415" i="2"/>
  <c r="E415" i="2" a="1"/>
  <c r="E415" i="2" s="1"/>
  <c r="D415" i="2" a="1"/>
  <c r="D415" i="2" s="1"/>
  <c r="C415" i="2" a="1"/>
  <c r="C415" i="2" s="1"/>
  <c r="B415" i="2" a="1"/>
  <c r="B415" i="2" s="1"/>
  <c r="CG414" i="2"/>
  <c r="CF414" i="2"/>
  <c r="CE414" i="2"/>
  <c r="CD414" i="2"/>
  <c r="CC414" i="2"/>
  <c r="CB414" i="2"/>
  <c r="CA414" i="2"/>
  <c r="BZ414" i="2"/>
  <c r="BY414" i="2"/>
  <c r="BX414" i="2"/>
  <c r="BW414" i="2"/>
  <c r="BV414" i="2"/>
  <c r="BU414" i="2"/>
  <c r="BT414" i="2"/>
  <c r="BS414" i="2"/>
  <c r="BR414" i="2"/>
  <c r="BQ414" i="2"/>
  <c r="BP414" i="2"/>
  <c r="BO414" i="2"/>
  <c r="BN414" i="2"/>
  <c r="BM414" i="2"/>
  <c r="BL414" i="2"/>
  <c r="BK414" i="2"/>
  <c r="BJ414" i="2"/>
  <c r="BI414" i="2"/>
  <c r="BH414" i="2"/>
  <c r="BG414" i="2"/>
  <c r="BF414" i="2"/>
  <c r="BE414" i="2"/>
  <c r="BC414" i="2"/>
  <c r="BB414" i="2"/>
  <c r="BA414" i="2"/>
  <c r="AZ414" i="2"/>
  <c r="AY414" i="2"/>
  <c r="AX414" i="2"/>
  <c r="AW414" i="2"/>
  <c r="AV414" i="2"/>
  <c r="AU414" i="2"/>
  <c r="AT414" i="2"/>
  <c r="AS414" i="2"/>
  <c r="AR414" i="2"/>
  <c r="AQ414" i="2"/>
  <c r="AP414" i="2"/>
  <c r="AO414" i="2"/>
  <c r="AN414" i="2"/>
  <c r="AM414" i="2"/>
  <c r="AL414" i="2"/>
  <c r="AK414" i="2"/>
  <c r="AJ414" i="2"/>
  <c r="AI414" i="2"/>
  <c r="AH414" i="2"/>
  <c r="AG414" i="2"/>
  <c r="AF414" i="2"/>
  <c r="AE414" i="2"/>
  <c r="AD414" i="2"/>
  <c r="AC414" i="2"/>
  <c r="AB414" i="2"/>
  <c r="AA414" i="2"/>
  <c r="Z414" i="2"/>
  <c r="Y414" i="2"/>
  <c r="X414" i="2"/>
  <c r="W414" i="2"/>
  <c r="V414" i="2"/>
  <c r="U414" i="2"/>
  <c r="T414" i="2"/>
  <c r="S414" i="2"/>
  <c r="R414" i="2"/>
  <c r="Q414" i="2"/>
  <c r="P414" i="2"/>
  <c r="O414" i="2"/>
  <c r="N414" i="2"/>
  <c r="M414" i="2"/>
  <c r="L414" i="2"/>
  <c r="K414" i="2"/>
  <c r="J414" i="2"/>
  <c r="BD414" i="2" s="1"/>
  <c r="I414" i="2"/>
  <c r="E414" i="2" a="1"/>
  <c r="E414" i="2" s="1"/>
  <c r="D414" i="2" a="1"/>
  <c r="D414" i="2" s="1"/>
  <c r="C414" i="2" a="1"/>
  <c r="C414" i="2" s="1"/>
  <c r="B414" i="2" a="1"/>
  <c r="B414" i="2" s="1"/>
  <c r="CG413" i="2"/>
  <c r="CF413" i="2"/>
  <c r="CE413" i="2"/>
  <c r="CD413" i="2"/>
  <c r="CC413" i="2"/>
  <c r="CB413" i="2"/>
  <c r="CA413" i="2"/>
  <c r="BZ413" i="2"/>
  <c r="BY413" i="2"/>
  <c r="BX413" i="2"/>
  <c r="BW413" i="2"/>
  <c r="BV413" i="2"/>
  <c r="BU413" i="2"/>
  <c r="BT413" i="2"/>
  <c r="BS413" i="2"/>
  <c r="BR413" i="2"/>
  <c r="BQ413" i="2"/>
  <c r="BP413" i="2"/>
  <c r="BO413" i="2"/>
  <c r="BN413" i="2"/>
  <c r="BM413" i="2"/>
  <c r="BL413" i="2"/>
  <c r="BK413" i="2"/>
  <c r="BJ413" i="2"/>
  <c r="BI413" i="2"/>
  <c r="BH413" i="2"/>
  <c r="BG413" i="2"/>
  <c r="BF413" i="2"/>
  <c r="BE413" i="2"/>
  <c r="BC413" i="2"/>
  <c r="BB413" i="2"/>
  <c r="BA413" i="2"/>
  <c r="AZ413" i="2"/>
  <c r="AY413" i="2"/>
  <c r="AX413" i="2"/>
  <c r="AW413" i="2"/>
  <c r="AV413" i="2"/>
  <c r="AU413" i="2"/>
  <c r="AT413" i="2"/>
  <c r="AS413" i="2"/>
  <c r="AR413" i="2"/>
  <c r="AQ413" i="2"/>
  <c r="AP413" i="2"/>
  <c r="AO413" i="2"/>
  <c r="AN413" i="2"/>
  <c r="AM413" i="2"/>
  <c r="AL413" i="2"/>
  <c r="AK413" i="2"/>
  <c r="AJ413" i="2"/>
  <c r="AI413" i="2"/>
  <c r="AH413" i="2"/>
  <c r="AG413" i="2"/>
  <c r="AF413" i="2"/>
  <c r="AE413" i="2"/>
  <c r="AD413" i="2"/>
  <c r="AC413" i="2"/>
  <c r="AB413" i="2"/>
  <c r="AA413" i="2"/>
  <c r="Z413" i="2"/>
  <c r="Y413" i="2"/>
  <c r="X413" i="2"/>
  <c r="W413" i="2"/>
  <c r="V413" i="2"/>
  <c r="U413" i="2"/>
  <c r="T413" i="2"/>
  <c r="S413" i="2"/>
  <c r="R413" i="2"/>
  <c r="Q413" i="2"/>
  <c r="P413" i="2"/>
  <c r="O413" i="2"/>
  <c r="N413" i="2"/>
  <c r="M413" i="2"/>
  <c r="L413" i="2"/>
  <c r="K413" i="2"/>
  <c r="J413" i="2"/>
  <c r="BD413" i="2" s="1"/>
  <c r="I413" i="2"/>
  <c r="E413" i="2" a="1"/>
  <c r="E413" i="2" s="1"/>
  <c r="D413" i="2" a="1"/>
  <c r="D413" i="2" s="1"/>
  <c r="C413" i="2" a="1"/>
  <c r="C413" i="2" s="1"/>
  <c r="B413" i="2" a="1"/>
  <c r="B413" i="2" s="1"/>
  <c r="CG412" i="2"/>
  <c r="CF412" i="2"/>
  <c r="CE412" i="2"/>
  <c r="CD412" i="2"/>
  <c r="CC412" i="2"/>
  <c r="CB412" i="2"/>
  <c r="CA412" i="2"/>
  <c r="BZ412" i="2"/>
  <c r="BY412" i="2"/>
  <c r="BX412" i="2"/>
  <c r="BW412" i="2"/>
  <c r="BV412" i="2"/>
  <c r="BU412" i="2"/>
  <c r="BT412" i="2"/>
  <c r="BS412" i="2"/>
  <c r="BR412" i="2"/>
  <c r="BQ412" i="2"/>
  <c r="BP412" i="2"/>
  <c r="BO412" i="2"/>
  <c r="BN412" i="2"/>
  <c r="BM412" i="2"/>
  <c r="BL412" i="2"/>
  <c r="BK412" i="2"/>
  <c r="BJ412" i="2"/>
  <c r="BI412" i="2"/>
  <c r="BH412" i="2"/>
  <c r="BG412" i="2"/>
  <c r="BF412" i="2"/>
  <c r="BE412" i="2"/>
  <c r="BD412" i="2"/>
  <c r="BC412" i="2"/>
  <c r="BB412" i="2"/>
  <c r="BA412" i="2"/>
  <c r="AZ412" i="2"/>
  <c r="AY412" i="2"/>
  <c r="AX412" i="2"/>
  <c r="AW412" i="2"/>
  <c r="AV412" i="2"/>
  <c r="AU412" i="2"/>
  <c r="AT412" i="2"/>
  <c r="AS412" i="2"/>
  <c r="AR412" i="2"/>
  <c r="AQ412" i="2"/>
  <c r="AP412" i="2"/>
  <c r="AO412" i="2"/>
  <c r="AN412" i="2"/>
  <c r="AM412" i="2"/>
  <c r="AL412" i="2"/>
  <c r="AK412" i="2"/>
  <c r="AJ412" i="2"/>
  <c r="AI412" i="2"/>
  <c r="AH412" i="2"/>
  <c r="AG412" i="2"/>
  <c r="AF412" i="2"/>
  <c r="AE412" i="2"/>
  <c r="AD412" i="2"/>
  <c r="AC412" i="2"/>
  <c r="AB412" i="2"/>
  <c r="AA412" i="2"/>
  <c r="Z412" i="2"/>
  <c r="Y412" i="2"/>
  <c r="X412" i="2"/>
  <c r="W412" i="2"/>
  <c r="V412" i="2"/>
  <c r="U412" i="2"/>
  <c r="T412" i="2"/>
  <c r="S412" i="2"/>
  <c r="R412" i="2"/>
  <c r="Q412" i="2"/>
  <c r="P412" i="2"/>
  <c r="O412" i="2"/>
  <c r="N412" i="2"/>
  <c r="M412" i="2"/>
  <c r="L412" i="2"/>
  <c r="K412" i="2"/>
  <c r="J412" i="2"/>
  <c r="I412" i="2"/>
  <c r="E412" i="2" a="1"/>
  <c r="E412" i="2" s="1"/>
  <c r="D412" i="2" a="1"/>
  <c r="D412" i="2" s="1"/>
  <c r="C412" i="2" a="1"/>
  <c r="C412" i="2" s="1"/>
  <c r="B412" i="2" a="1"/>
  <c r="B412" i="2" s="1"/>
  <c r="CG411" i="2"/>
  <c r="CF411" i="2"/>
  <c r="CE411" i="2"/>
  <c r="CD411" i="2"/>
  <c r="CC411" i="2"/>
  <c r="CB411" i="2"/>
  <c r="CA411" i="2"/>
  <c r="BZ411" i="2"/>
  <c r="BY411" i="2"/>
  <c r="BX411" i="2"/>
  <c r="BW411" i="2"/>
  <c r="BV411" i="2"/>
  <c r="BU411" i="2"/>
  <c r="BT411" i="2"/>
  <c r="BS411" i="2"/>
  <c r="BR411" i="2"/>
  <c r="BQ411" i="2"/>
  <c r="BP411" i="2"/>
  <c r="BO411" i="2"/>
  <c r="BN411" i="2"/>
  <c r="BM411" i="2"/>
  <c r="BL411" i="2"/>
  <c r="BK411" i="2"/>
  <c r="BJ411" i="2"/>
  <c r="BI411" i="2"/>
  <c r="BH411" i="2"/>
  <c r="BG411" i="2"/>
  <c r="BF411" i="2"/>
  <c r="BE411" i="2"/>
  <c r="BD411" i="2"/>
  <c r="BC411" i="2"/>
  <c r="BB411" i="2"/>
  <c r="BA411" i="2"/>
  <c r="AZ411" i="2"/>
  <c r="AY411" i="2"/>
  <c r="AX411" i="2"/>
  <c r="AW411" i="2"/>
  <c r="AV411" i="2"/>
  <c r="AU411" i="2"/>
  <c r="AT411" i="2"/>
  <c r="AS411" i="2"/>
  <c r="AR411" i="2"/>
  <c r="AQ411" i="2"/>
  <c r="AP411" i="2"/>
  <c r="AO411" i="2"/>
  <c r="AN411" i="2"/>
  <c r="AM411" i="2"/>
  <c r="AL411" i="2"/>
  <c r="AK411" i="2"/>
  <c r="AJ411" i="2"/>
  <c r="AI411" i="2"/>
  <c r="AH411" i="2"/>
  <c r="AG411" i="2"/>
  <c r="AF411" i="2"/>
  <c r="AE411" i="2"/>
  <c r="AD411" i="2"/>
  <c r="AC411" i="2"/>
  <c r="AB411" i="2"/>
  <c r="AA411" i="2"/>
  <c r="Z411" i="2"/>
  <c r="Y411" i="2"/>
  <c r="X411" i="2"/>
  <c r="W411" i="2"/>
  <c r="V411" i="2"/>
  <c r="U411" i="2"/>
  <c r="T411" i="2"/>
  <c r="S411" i="2"/>
  <c r="R411" i="2"/>
  <c r="Q411" i="2"/>
  <c r="P411" i="2"/>
  <c r="O411" i="2"/>
  <c r="N411" i="2"/>
  <c r="M411" i="2"/>
  <c r="L411" i="2"/>
  <c r="K411" i="2"/>
  <c r="J411" i="2"/>
  <c r="I411" i="2"/>
  <c r="E411" i="2" a="1"/>
  <c r="E411" i="2" s="1"/>
  <c r="D411" i="2" a="1"/>
  <c r="D411" i="2" s="1"/>
  <c r="C411" i="2" a="1"/>
  <c r="C411" i="2" s="1"/>
  <c r="B411" i="2" a="1"/>
  <c r="B411" i="2" s="1"/>
  <c r="CG410" i="2"/>
  <c r="CF410" i="2"/>
  <c r="CE410" i="2"/>
  <c r="CD410" i="2"/>
  <c r="CC410" i="2"/>
  <c r="CB410" i="2"/>
  <c r="CA410" i="2"/>
  <c r="BZ410" i="2"/>
  <c r="BY410" i="2"/>
  <c r="BX410" i="2"/>
  <c r="BW410" i="2"/>
  <c r="BV410" i="2"/>
  <c r="BU410" i="2"/>
  <c r="BT410" i="2"/>
  <c r="BS410" i="2"/>
  <c r="BR410" i="2"/>
  <c r="BQ410" i="2"/>
  <c r="BP410" i="2"/>
  <c r="BO410" i="2"/>
  <c r="BN410" i="2"/>
  <c r="BM410" i="2"/>
  <c r="BL410" i="2"/>
  <c r="BK410" i="2"/>
  <c r="BJ410" i="2"/>
  <c r="BI410" i="2"/>
  <c r="BH410" i="2"/>
  <c r="BG410" i="2"/>
  <c r="BF410" i="2"/>
  <c r="BE410" i="2"/>
  <c r="BC410" i="2"/>
  <c r="BB410" i="2"/>
  <c r="BA410" i="2"/>
  <c r="AZ410" i="2"/>
  <c r="AY410" i="2"/>
  <c r="AX410" i="2"/>
  <c r="AW410" i="2"/>
  <c r="AV410" i="2"/>
  <c r="AU410" i="2"/>
  <c r="AT410" i="2"/>
  <c r="AS410" i="2"/>
  <c r="AR410" i="2"/>
  <c r="AQ410" i="2"/>
  <c r="AP410" i="2"/>
  <c r="AO410" i="2"/>
  <c r="AN410" i="2"/>
  <c r="AM410" i="2"/>
  <c r="AL410" i="2"/>
  <c r="AK410" i="2"/>
  <c r="AJ410" i="2"/>
  <c r="AI410" i="2"/>
  <c r="AH410" i="2"/>
  <c r="AG410" i="2"/>
  <c r="AF410" i="2"/>
  <c r="AE410" i="2"/>
  <c r="AD410" i="2"/>
  <c r="AC410" i="2"/>
  <c r="AB410" i="2"/>
  <c r="AA410" i="2"/>
  <c r="Z410" i="2"/>
  <c r="Y410" i="2"/>
  <c r="X410" i="2"/>
  <c r="W410" i="2"/>
  <c r="V410" i="2"/>
  <c r="U410" i="2"/>
  <c r="T410" i="2"/>
  <c r="S410" i="2"/>
  <c r="R410" i="2"/>
  <c r="Q410" i="2"/>
  <c r="P410" i="2"/>
  <c r="O410" i="2"/>
  <c r="N410" i="2"/>
  <c r="M410" i="2"/>
  <c r="L410" i="2"/>
  <c r="K410" i="2"/>
  <c r="J410" i="2"/>
  <c r="BD410" i="2" s="1"/>
  <c r="I410" i="2"/>
  <c r="E410" i="2" a="1"/>
  <c r="E410" i="2" s="1"/>
  <c r="D410" i="2" a="1"/>
  <c r="D410" i="2"/>
  <c r="C410" i="2" a="1"/>
  <c r="C410" i="2" s="1"/>
  <c r="B410" i="2" a="1"/>
  <c r="B410" i="2" s="1"/>
  <c r="CG409" i="2"/>
  <c r="CF409" i="2"/>
  <c r="CE409" i="2"/>
  <c r="CD409" i="2"/>
  <c r="CC409" i="2"/>
  <c r="CB409" i="2"/>
  <c r="CA409" i="2"/>
  <c r="BZ409" i="2"/>
  <c r="BY409" i="2"/>
  <c r="BX409" i="2"/>
  <c r="BW409" i="2"/>
  <c r="BV409" i="2"/>
  <c r="BU409" i="2"/>
  <c r="BT409" i="2"/>
  <c r="BS409" i="2"/>
  <c r="BR409" i="2"/>
  <c r="BQ409" i="2"/>
  <c r="BP409" i="2"/>
  <c r="BO409" i="2"/>
  <c r="BN409" i="2"/>
  <c r="BM409" i="2"/>
  <c r="BL409" i="2"/>
  <c r="BK409" i="2"/>
  <c r="BJ409" i="2"/>
  <c r="BI409" i="2"/>
  <c r="BH409" i="2"/>
  <c r="BG409" i="2"/>
  <c r="BF409" i="2"/>
  <c r="BE409" i="2"/>
  <c r="BC409" i="2"/>
  <c r="BB409" i="2"/>
  <c r="BA409" i="2"/>
  <c r="AZ409" i="2"/>
  <c r="AY409" i="2"/>
  <c r="AX409" i="2"/>
  <c r="AW409" i="2"/>
  <c r="AV409" i="2"/>
  <c r="AU409" i="2"/>
  <c r="AT409" i="2"/>
  <c r="AS409" i="2"/>
  <c r="AR409" i="2"/>
  <c r="AQ409" i="2"/>
  <c r="AP409" i="2"/>
  <c r="AO409" i="2"/>
  <c r="AN409" i="2"/>
  <c r="AM409" i="2"/>
  <c r="AL409" i="2"/>
  <c r="AK409" i="2"/>
  <c r="AJ409" i="2"/>
  <c r="AI409" i="2"/>
  <c r="AH409" i="2"/>
  <c r="AG409" i="2"/>
  <c r="AF409" i="2"/>
  <c r="AE409" i="2"/>
  <c r="AD409" i="2"/>
  <c r="AC409" i="2"/>
  <c r="AB409" i="2"/>
  <c r="AA409" i="2"/>
  <c r="Z409" i="2"/>
  <c r="Y409" i="2"/>
  <c r="X409" i="2"/>
  <c r="W409" i="2"/>
  <c r="V409" i="2"/>
  <c r="U409" i="2"/>
  <c r="T409" i="2"/>
  <c r="S409" i="2"/>
  <c r="R409" i="2"/>
  <c r="Q409" i="2"/>
  <c r="P409" i="2"/>
  <c r="O409" i="2"/>
  <c r="N409" i="2"/>
  <c r="M409" i="2"/>
  <c r="L409" i="2"/>
  <c r="K409" i="2"/>
  <c r="J409" i="2"/>
  <c r="BD409" i="2" s="1"/>
  <c r="I409" i="2"/>
  <c r="E409" i="2" a="1"/>
  <c r="E409" i="2" s="1"/>
  <c r="D409" i="2" a="1"/>
  <c r="D409" i="2" s="1"/>
  <c r="C409" i="2" a="1"/>
  <c r="C409" i="2" s="1"/>
  <c r="B409" i="2" a="1"/>
  <c r="B409" i="2" s="1"/>
  <c r="CG408" i="2"/>
  <c r="CF408" i="2"/>
  <c r="CE408" i="2"/>
  <c r="CD408" i="2"/>
  <c r="CC408" i="2"/>
  <c r="CB408" i="2"/>
  <c r="CA408" i="2"/>
  <c r="BZ408" i="2"/>
  <c r="BY408" i="2"/>
  <c r="BX408" i="2"/>
  <c r="BW408" i="2"/>
  <c r="BV408" i="2"/>
  <c r="BU408" i="2"/>
  <c r="BT408" i="2"/>
  <c r="BS408" i="2"/>
  <c r="BR408" i="2"/>
  <c r="BQ408" i="2"/>
  <c r="BP408" i="2"/>
  <c r="BO408" i="2"/>
  <c r="BN408" i="2"/>
  <c r="BM408" i="2"/>
  <c r="BL408" i="2"/>
  <c r="BK408" i="2"/>
  <c r="BJ408" i="2"/>
  <c r="BI408" i="2"/>
  <c r="BH408" i="2"/>
  <c r="BG408" i="2"/>
  <c r="BF408" i="2"/>
  <c r="BE408" i="2"/>
  <c r="BD408" i="2"/>
  <c r="BC408" i="2"/>
  <c r="BB408" i="2"/>
  <c r="BA408" i="2"/>
  <c r="AZ408" i="2"/>
  <c r="AY408" i="2"/>
  <c r="AX408" i="2"/>
  <c r="AW408" i="2"/>
  <c r="AV408" i="2"/>
  <c r="AU408" i="2"/>
  <c r="AT408" i="2"/>
  <c r="AS408" i="2"/>
  <c r="AR408" i="2"/>
  <c r="AQ408" i="2"/>
  <c r="AP408" i="2"/>
  <c r="AO408" i="2"/>
  <c r="AN408" i="2"/>
  <c r="AM408" i="2"/>
  <c r="AL408" i="2"/>
  <c r="AK408" i="2"/>
  <c r="AJ408" i="2"/>
  <c r="AI408" i="2"/>
  <c r="AH408" i="2"/>
  <c r="AG408" i="2"/>
  <c r="AF408" i="2"/>
  <c r="AE408" i="2"/>
  <c r="AD408" i="2"/>
  <c r="AC408" i="2"/>
  <c r="AB408" i="2"/>
  <c r="AA408" i="2"/>
  <c r="Z408" i="2"/>
  <c r="Y408" i="2"/>
  <c r="X408" i="2"/>
  <c r="W408" i="2"/>
  <c r="V408" i="2"/>
  <c r="U408" i="2"/>
  <c r="T408" i="2"/>
  <c r="S408" i="2"/>
  <c r="R408" i="2"/>
  <c r="Q408" i="2"/>
  <c r="P408" i="2"/>
  <c r="O408" i="2"/>
  <c r="N408" i="2"/>
  <c r="M408" i="2"/>
  <c r="L408" i="2"/>
  <c r="K408" i="2"/>
  <c r="J408" i="2"/>
  <c r="I408" i="2"/>
  <c r="E408" i="2" a="1"/>
  <c r="E408" i="2" s="1"/>
  <c r="D408" i="2" a="1"/>
  <c r="D408" i="2" s="1"/>
  <c r="C408" i="2" a="1"/>
  <c r="C408" i="2" s="1"/>
  <c r="B408" i="2" a="1"/>
  <c r="B408" i="2" s="1"/>
  <c r="CG407" i="2"/>
  <c r="CF407" i="2"/>
  <c r="CE407" i="2"/>
  <c r="CD407" i="2"/>
  <c r="CC407" i="2"/>
  <c r="CB407" i="2"/>
  <c r="CA407" i="2"/>
  <c r="BZ407" i="2"/>
  <c r="BY407" i="2"/>
  <c r="BX407" i="2"/>
  <c r="BW407" i="2"/>
  <c r="BV407" i="2"/>
  <c r="BU407" i="2"/>
  <c r="BT407" i="2"/>
  <c r="BS407" i="2"/>
  <c r="BR407" i="2"/>
  <c r="BQ407" i="2"/>
  <c r="BP407" i="2"/>
  <c r="BO407" i="2"/>
  <c r="BN407" i="2"/>
  <c r="BM407" i="2"/>
  <c r="BL407" i="2"/>
  <c r="BK407" i="2"/>
  <c r="BJ407" i="2"/>
  <c r="BI407" i="2"/>
  <c r="BH407" i="2"/>
  <c r="BG407" i="2"/>
  <c r="BF407" i="2"/>
  <c r="BE407" i="2"/>
  <c r="BD407" i="2"/>
  <c r="BC407" i="2"/>
  <c r="BB407" i="2"/>
  <c r="BA407" i="2"/>
  <c r="AZ407" i="2"/>
  <c r="AY407" i="2"/>
  <c r="AX407" i="2"/>
  <c r="AW407" i="2"/>
  <c r="AV407" i="2"/>
  <c r="AU407" i="2"/>
  <c r="AT407" i="2"/>
  <c r="AS407" i="2"/>
  <c r="AR407" i="2"/>
  <c r="AQ407" i="2"/>
  <c r="AP407" i="2"/>
  <c r="AO407" i="2"/>
  <c r="AN407" i="2"/>
  <c r="AM407" i="2"/>
  <c r="AL407" i="2"/>
  <c r="AK407" i="2"/>
  <c r="AJ407" i="2"/>
  <c r="AI407" i="2"/>
  <c r="AH407" i="2"/>
  <c r="AG407" i="2"/>
  <c r="AF407" i="2"/>
  <c r="AE407" i="2"/>
  <c r="AD407" i="2"/>
  <c r="AC407" i="2"/>
  <c r="AB407" i="2"/>
  <c r="AA407" i="2"/>
  <c r="Z407" i="2"/>
  <c r="Y407" i="2"/>
  <c r="X407" i="2"/>
  <c r="W407" i="2"/>
  <c r="V407" i="2"/>
  <c r="U407" i="2"/>
  <c r="T407" i="2"/>
  <c r="S407" i="2"/>
  <c r="R407" i="2"/>
  <c r="Q407" i="2"/>
  <c r="P407" i="2"/>
  <c r="O407" i="2"/>
  <c r="N407" i="2"/>
  <c r="M407" i="2"/>
  <c r="L407" i="2"/>
  <c r="K407" i="2"/>
  <c r="J407" i="2"/>
  <c r="I407" i="2"/>
  <c r="E407" i="2" a="1"/>
  <c r="E407" i="2" s="1"/>
  <c r="D407" i="2" a="1"/>
  <c r="D407" i="2" s="1"/>
  <c r="C407" i="2" a="1"/>
  <c r="C407" i="2" s="1"/>
  <c r="B407" i="2" a="1"/>
  <c r="B407" i="2" s="1"/>
  <c r="CG406" i="2"/>
  <c r="CF406" i="2"/>
  <c r="CE406" i="2"/>
  <c r="CD406" i="2"/>
  <c r="CC406" i="2"/>
  <c r="CB406" i="2"/>
  <c r="CA406" i="2"/>
  <c r="BZ406" i="2"/>
  <c r="BY406" i="2"/>
  <c r="BX406" i="2"/>
  <c r="BW406" i="2"/>
  <c r="BV406" i="2"/>
  <c r="BU406" i="2"/>
  <c r="BT406" i="2"/>
  <c r="BS406" i="2"/>
  <c r="BR406" i="2"/>
  <c r="BQ406" i="2"/>
  <c r="BP406" i="2"/>
  <c r="BO406" i="2"/>
  <c r="BN406" i="2"/>
  <c r="BM406" i="2"/>
  <c r="BL406" i="2"/>
  <c r="BK406" i="2"/>
  <c r="BJ406" i="2"/>
  <c r="BI406" i="2"/>
  <c r="BH406" i="2"/>
  <c r="BG406" i="2"/>
  <c r="BF406" i="2"/>
  <c r="BE406" i="2"/>
  <c r="BC406" i="2"/>
  <c r="BB406" i="2"/>
  <c r="BA406" i="2"/>
  <c r="AZ406" i="2"/>
  <c r="AY406" i="2"/>
  <c r="AX406" i="2"/>
  <c r="AW406" i="2"/>
  <c r="AV406" i="2"/>
  <c r="AU406" i="2"/>
  <c r="AT406" i="2"/>
  <c r="AS406" i="2"/>
  <c r="AR406" i="2"/>
  <c r="AQ406" i="2"/>
  <c r="AP406" i="2"/>
  <c r="AO406" i="2"/>
  <c r="AN406" i="2"/>
  <c r="AM406" i="2"/>
  <c r="AL406" i="2"/>
  <c r="AK406" i="2"/>
  <c r="AJ406" i="2"/>
  <c r="AI406" i="2"/>
  <c r="AH406" i="2"/>
  <c r="AG406" i="2"/>
  <c r="AF406" i="2"/>
  <c r="AE406" i="2"/>
  <c r="AD406" i="2"/>
  <c r="AC406" i="2"/>
  <c r="AB406" i="2"/>
  <c r="AA406" i="2"/>
  <c r="Z406" i="2"/>
  <c r="Y406" i="2"/>
  <c r="X406" i="2"/>
  <c r="W406" i="2"/>
  <c r="V406" i="2"/>
  <c r="U406" i="2"/>
  <c r="T406" i="2"/>
  <c r="S406" i="2"/>
  <c r="R406" i="2"/>
  <c r="Q406" i="2"/>
  <c r="P406" i="2"/>
  <c r="O406" i="2"/>
  <c r="N406" i="2"/>
  <c r="M406" i="2"/>
  <c r="L406" i="2"/>
  <c r="K406" i="2"/>
  <c r="J406" i="2"/>
  <c r="BD406" i="2" s="1"/>
  <c r="I406" i="2"/>
  <c r="E406" i="2" a="1"/>
  <c r="E406" i="2" s="1"/>
  <c r="D406" i="2" a="1"/>
  <c r="D406" i="2" s="1"/>
  <c r="C406" i="2" a="1"/>
  <c r="C406" i="2" s="1"/>
  <c r="B406" i="2" a="1"/>
  <c r="B406" i="2" s="1"/>
  <c r="CG405" i="2"/>
  <c r="CF405" i="2"/>
  <c r="CE405" i="2"/>
  <c r="CD405" i="2"/>
  <c r="CC405" i="2"/>
  <c r="CB405" i="2"/>
  <c r="CA405" i="2"/>
  <c r="BZ405" i="2"/>
  <c r="BY405" i="2"/>
  <c r="BX405" i="2"/>
  <c r="BW405" i="2"/>
  <c r="BV405" i="2"/>
  <c r="BU405" i="2"/>
  <c r="BT405" i="2"/>
  <c r="BS405" i="2"/>
  <c r="BR405" i="2"/>
  <c r="BQ405" i="2"/>
  <c r="BP405" i="2"/>
  <c r="BO405" i="2"/>
  <c r="BN405" i="2"/>
  <c r="BM405" i="2"/>
  <c r="BL405" i="2"/>
  <c r="BK405" i="2"/>
  <c r="BJ405" i="2"/>
  <c r="BI405" i="2"/>
  <c r="BH405" i="2"/>
  <c r="BG405" i="2"/>
  <c r="BF405" i="2"/>
  <c r="BE405" i="2"/>
  <c r="BC405" i="2"/>
  <c r="BB405" i="2"/>
  <c r="BA405" i="2"/>
  <c r="AZ405" i="2"/>
  <c r="AY405" i="2"/>
  <c r="AX405" i="2"/>
  <c r="AW405" i="2"/>
  <c r="AV405" i="2"/>
  <c r="AU405" i="2"/>
  <c r="AT405" i="2"/>
  <c r="AS405" i="2"/>
  <c r="AR405" i="2"/>
  <c r="AQ405" i="2"/>
  <c r="AP405" i="2"/>
  <c r="AO405" i="2"/>
  <c r="AN405" i="2"/>
  <c r="AM405" i="2"/>
  <c r="AL405" i="2"/>
  <c r="AK405" i="2"/>
  <c r="AJ405" i="2"/>
  <c r="AI405" i="2"/>
  <c r="AH405" i="2"/>
  <c r="AG405" i="2"/>
  <c r="AF405" i="2"/>
  <c r="AE405" i="2"/>
  <c r="AD405" i="2"/>
  <c r="AC405" i="2"/>
  <c r="AB405" i="2"/>
  <c r="AA405" i="2"/>
  <c r="Z405" i="2"/>
  <c r="Y405" i="2"/>
  <c r="X405" i="2"/>
  <c r="W405" i="2"/>
  <c r="V405" i="2"/>
  <c r="U405" i="2"/>
  <c r="T405" i="2"/>
  <c r="S405" i="2"/>
  <c r="R405" i="2"/>
  <c r="Q405" i="2"/>
  <c r="P405" i="2"/>
  <c r="O405" i="2"/>
  <c r="N405" i="2"/>
  <c r="M405" i="2"/>
  <c r="L405" i="2"/>
  <c r="K405" i="2"/>
  <c r="J405" i="2"/>
  <c r="BD405" i="2" s="1"/>
  <c r="I405" i="2"/>
  <c r="E405" i="2" a="1"/>
  <c r="E405" i="2" s="1"/>
  <c r="D405" i="2" a="1"/>
  <c r="D405" i="2" s="1"/>
  <c r="C405" i="2" a="1"/>
  <c r="C405" i="2" s="1"/>
  <c r="B405" i="2" a="1"/>
  <c r="B405" i="2" s="1"/>
  <c r="CG404" i="2"/>
  <c r="CF404" i="2"/>
  <c r="CE404" i="2"/>
  <c r="CD404" i="2"/>
  <c r="CC404" i="2"/>
  <c r="CB404" i="2"/>
  <c r="CA404" i="2"/>
  <c r="BZ404" i="2"/>
  <c r="BY404" i="2"/>
  <c r="BX404" i="2"/>
  <c r="BW404" i="2"/>
  <c r="BV404" i="2"/>
  <c r="BU404" i="2"/>
  <c r="BT404" i="2"/>
  <c r="BS404" i="2"/>
  <c r="BR404" i="2"/>
  <c r="BQ404" i="2"/>
  <c r="BP404" i="2"/>
  <c r="BO404" i="2"/>
  <c r="BN404" i="2"/>
  <c r="BM404" i="2"/>
  <c r="BL404" i="2"/>
  <c r="BK404" i="2"/>
  <c r="BJ404" i="2"/>
  <c r="BI404" i="2"/>
  <c r="BH404" i="2"/>
  <c r="BG404" i="2"/>
  <c r="BF404" i="2"/>
  <c r="BE404" i="2"/>
  <c r="BD404" i="2"/>
  <c r="BC404" i="2"/>
  <c r="BB404" i="2"/>
  <c r="BA404" i="2"/>
  <c r="AZ404" i="2"/>
  <c r="AY404" i="2"/>
  <c r="AX404" i="2"/>
  <c r="AW404" i="2"/>
  <c r="AV404" i="2"/>
  <c r="AU404" i="2"/>
  <c r="AT404" i="2"/>
  <c r="AS404" i="2"/>
  <c r="AR404" i="2"/>
  <c r="AQ404" i="2"/>
  <c r="AP404" i="2"/>
  <c r="AO404" i="2"/>
  <c r="AN404" i="2"/>
  <c r="AM404" i="2"/>
  <c r="AL404" i="2"/>
  <c r="AK404" i="2"/>
  <c r="AJ404" i="2"/>
  <c r="AI404" i="2"/>
  <c r="AH404" i="2"/>
  <c r="AG404" i="2"/>
  <c r="AF404" i="2"/>
  <c r="AE404" i="2"/>
  <c r="AD404" i="2"/>
  <c r="AC404" i="2"/>
  <c r="AB404" i="2"/>
  <c r="AA404" i="2"/>
  <c r="Z404" i="2"/>
  <c r="Y404" i="2"/>
  <c r="X404" i="2"/>
  <c r="W404" i="2"/>
  <c r="V404" i="2"/>
  <c r="U404" i="2"/>
  <c r="T404" i="2"/>
  <c r="S404" i="2"/>
  <c r="R404" i="2"/>
  <c r="Q404" i="2"/>
  <c r="P404" i="2"/>
  <c r="O404" i="2"/>
  <c r="N404" i="2"/>
  <c r="M404" i="2"/>
  <c r="L404" i="2"/>
  <c r="K404" i="2"/>
  <c r="J404" i="2"/>
  <c r="I404" i="2"/>
  <c r="E404" i="2" a="1"/>
  <c r="E404" i="2" s="1"/>
  <c r="D404" i="2" a="1"/>
  <c r="D404" i="2" s="1"/>
  <c r="C404" i="2" a="1"/>
  <c r="C404" i="2" s="1"/>
  <c r="B404" i="2" a="1"/>
  <c r="B404" i="2" s="1"/>
  <c r="CG403" i="2"/>
  <c r="CF403" i="2"/>
  <c r="CE403" i="2"/>
  <c r="CD403" i="2"/>
  <c r="CC403" i="2"/>
  <c r="CB403" i="2"/>
  <c r="CA403" i="2"/>
  <c r="BZ403" i="2"/>
  <c r="BY403" i="2"/>
  <c r="BX403" i="2"/>
  <c r="BW403" i="2"/>
  <c r="BV403" i="2"/>
  <c r="BU403" i="2"/>
  <c r="BT403" i="2"/>
  <c r="BS403" i="2"/>
  <c r="BR403" i="2"/>
  <c r="BQ403" i="2"/>
  <c r="BP403" i="2"/>
  <c r="BO403" i="2"/>
  <c r="BN403" i="2"/>
  <c r="BM403" i="2"/>
  <c r="BL403" i="2"/>
  <c r="BK403" i="2"/>
  <c r="BJ403" i="2"/>
  <c r="BI403" i="2"/>
  <c r="BH403" i="2"/>
  <c r="BG403" i="2"/>
  <c r="BF403" i="2"/>
  <c r="BE403" i="2"/>
  <c r="BD403" i="2"/>
  <c r="BC403" i="2"/>
  <c r="BB403" i="2"/>
  <c r="BA403" i="2"/>
  <c r="AZ403" i="2"/>
  <c r="AY403" i="2"/>
  <c r="AX403" i="2"/>
  <c r="AW403" i="2"/>
  <c r="AV403" i="2"/>
  <c r="AU403" i="2"/>
  <c r="AT403" i="2"/>
  <c r="AS403" i="2"/>
  <c r="AR403" i="2"/>
  <c r="AQ403" i="2"/>
  <c r="AP403" i="2"/>
  <c r="AO403" i="2"/>
  <c r="AN403" i="2"/>
  <c r="AM403" i="2"/>
  <c r="AL403" i="2"/>
  <c r="AK403" i="2"/>
  <c r="AJ403" i="2"/>
  <c r="AI403" i="2"/>
  <c r="AH403" i="2"/>
  <c r="AG403" i="2"/>
  <c r="AF403" i="2"/>
  <c r="AE403" i="2"/>
  <c r="AD403" i="2"/>
  <c r="AC403" i="2"/>
  <c r="AB403" i="2"/>
  <c r="AA403" i="2"/>
  <c r="Z403" i="2"/>
  <c r="Y403" i="2"/>
  <c r="X403" i="2"/>
  <c r="W403" i="2"/>
  <c r="V403" i="2"/>
  <c r="U403" i="2"/>
  <c r="T403" i="2"/>
  <c r="S403" i="2"/>
  <c r="R403" i="2"/>
  <c r="Q403" i="2"/>
  <c r="P403" i="2"/>
  <c r="O403" i="2"/>
  <c r="N403" i="2"/>
  <c r="M403" i="2"/>
  <c r="L403" i="2"/>
  <c r="K403" i="2"/>
  <c r="J403" i="2"/>
  <c r="I403" i="2"/>
  <c r="E403" i="2" a="1"/>
  <c r="E403" i="2" s="1"/>
  <c r="D403" i="2" a="1"/>
  <c r="D403" i="2" s="1"/>
  <c r="C403" i="2" a="1"/>
  <c r="C403" i="2" s="1"/>
  <c r="B403" i="2" a="1"/>
  <c r="B403" i="2" s="1"/>
  <c r="CG402" i="2"/>
  <c r="CF402" i="2"/>
  <c r="CE402" i="2"/>
  <c r="CD402" i="2"/>
  <c r="CC402" i="2"/>
  <c r="CB402" i="2"/>
  <c r="CA402" i="2"/>
  <c r="BZ402" i="2"/>
  <c r="BY402" i="2"/>
  <c r="BX402" i="2"/>
  <c r="BW402" i="2"/>
  <c r="BV402" i="2"/>
  <c r="BU402" i="2"/>
  <c r="BT402" i="2"/>
  <c r="BS402" i="2"/>
  <c r="BR402" i="2"/>
  <c r="BQ402" i="2"/>
  <c r="BP402" i="2"/>
  <c r="BO402" i="2"/>
  <c r="BN402" i="2"/>
  <c r="BM402" i="2"/>
  <c r="BL402" i="2"/>
  <c r="BK402" i="2"/>
  <c r="BJ402" i="2"/>
  <c r="BI402" i="2"/>
  <c r="BH402" i="2"/>
  <c r="BG402" i="2"/>
  <c r="BF402" i="2"/>
  <c r="BE402" i="2"/>
  <c r="BC402" i="2"/>
  <c r="BB402" i="2"/>
  <c r="BA402" i="2"/>
  <c r="AZ402" i="2"/>
  <c r="AY402" i="2"/>
  <c r="AX402" i="2"/>
  <c r="AW402" i="2"/>
  <c r="AV402" i="2"/>
  <c r="AU402" i="2"/>
  <c r="AT402" i="2"/>
  <c r="AS402" i="2"/>
  <c r="AR402" i="2"/>
  <c r="AQ402" i="2"/>
  <c r="AP402" i="2"/>
  <c r="AO402" i="2"/>
  <c r="AN402" i="2"/>
  <c r="AM402" i="2"/>
  <c r="AL402" i="2"/>
  <c r="AK402" i="2"/>
  <c r="AJ402" i="2"/>
  <c r="AI402" i="2"/>
  <c r="AH402" i="2"/>
  <c r="AG402" i="2"/>
  <c r="AF402" i="2"/>
  <c r="AE402" i="2"/>
  <c r="AD402" i="2"/>
  <c r="AC402" i="2"/>
  <c r="AB402" i="2"/>
  <c r="AA402" i="2"/>
  <c r="Z402" i="2"/>
  <c r="Y402" i="2"/>
  <c r="X402" i="2"/>
  <c r="W402" i="2"/>
  <c r="V402" i="2"/>
  <c r="U402" i="2"/>
  <c r="T402" i="2"/>
  <c r="S402" i="2"/>
  <c r="R402" i="2"/>
  <c r="Q402" i="2"/>
  <c r="P402" i="2"/>
  <c r="O402" i="2"/>
  <c r="N402" i="2"/>
  <c r="M402" i="2"/>
  <c r="L402" i="2"/>
  <c r="K402" i="2"/>
  <c r="J402" i="2"/>
  <c r="BD402" i="2" s="1"/>
  <c r="I402" i="2"/>
  <c r="E402" i="2" a="1"/>
  <c r="E402" i="2" s="1"/>
  <c r="D402" i="2" a="1"/>
  <c r="D402" i="2" s="1"/>
  <c r="C402" i="2" a="1"/>
  <c r="C402" i="2" s="1"/>
  <c r="B402" i="2" a="1"/>
  <c r="B402" i="2" s="1"/>
  <c r="CG401" i="2"/>
  <c r="CF401" i="2"/>
  <c r="CE401" i="2"/>
  <c r="CD401" i="2"/>
  <c r="CC401" i="2"/>
  <c r="CB401" i="2"/>
  <c r="CA401" i="2"/>
  <c r="BZ401" i="2"/>
  <c r="BY401" i="2"/>
  <c r="BX401" i="2"/>
  <c r="BW401" i="2"/>
  <c r="BV401" i="2"/>
  <c r="BU401" i="2"/>
  <c r="BT401" i="2"/>
  <c r="BS401" i="2"/>
  <c r="BR401" i="2"/>
  <c r="BQ401" i="2"/>
  <c r="BP401" i="2"/>
  <c r="BO401" i="2"/>
  <c r="BN401" i="2"/>
  <c r="BM401" i="2"/>
  <c r="BL401" i="2"/>
  <c r="BK401" i="2"/>
  <c r="BJ401" i="2"/>
  <c r="BI401" i="2"/>
  <c r="BH401" i="2"/>
  <c r="BG401" i="2"/>
  <c r="BF401" i="2"/>
  <c r="BE401" i="2"/>
  <c r="BC401" i="2"/>
  <c r="BB401" i="2"/>
  <c r="BA401" i="2"/>
  <c r="AZ401" i="2"/>
  <c r="AY401" i="2"/>
  <c r="AX401" i="2"/>
  <c r="AW401" i="2"/>
  <c r="AV401" i="2"/>
  <c r="AU401" i="2"/>
  <c r="AT401" i="2"/>
  <c r="AS401" i="2"/>
  <c r="AR401" i="2"/>
  <c r="AQ401" i="2"/>
  <c r="AP401" i="2"/>
  <c r="AO401" i="2"/>
  <c r="AN401" i="2"/>
  <c r="AM401" i="2"/>
  <c r="AL401" i="2"/>
  <c r="AK401" i="2"/>
  <c r="AJ401" i="2"/>
  <c r="AI401" i="2"/>
  <c r="AH401" i="2"/>
  <c r="AG401" i="2"/>
  <c r="AF401" i="2"/>
  <c r="AE401" i="2"/>
  <c r="AD401" i="2"/>
  <c r="AC401" i="2"/>
  <c r="AB401" i="2"/>
  <c r="AA401" i="2"/>
  <c r="Z401" i="2"/>
  <c r="Y401" i="2"/>
  <c r="X401" i="2"/>
  <c r="W401" i="2"/>
  <c r="V401" i="2"/>
  <c r="U401" i="2"/>
  <c r="T401" i="2"/>
  <c r="S401" i="2"/>
  <c r="R401" i="2"/>
  <c r="Q401" i="2"/>
  <c r="P401" i="2"/>
  <c r="O401" i="2"/>
  <c r="N401" i="2"/>
  <c r="M401" i="2"/>
  <c r="L401" i="2"/>
  <c r="K401" i="2"/>
  <c r="J401" i="2"/>
  <c r="BD401" i="2" s="1"/>
  <c r="I401" i="2"/>
  <c r="E401" i="2" a="1"/>
  <c r="E401" i="2" s="1"/>
  <c r="D401" i="2" a="1"/>
  <c r="D401" i="2" s="1"/>
  <c r="C401" i="2" a="1"/>
  <c r="C401" i="2" s="1"/>
  <c r="B401" i="2" a="1"/>
  <c r="B401" i="2" s="1"/>
  <c r="CG400" i="2"/>
  <c r="CF400" i="2"/>
  <c r="CE400" i="2"/>
  <c r="CD400" i="2"/>
  <c r="CC400" i="2"/>
  <c r="CB400" i="2"/>
  <c r="CA400" i="2"/>
  <c r="BZ400" i="2"/>
  <c r="BY400" i="2"/>
  <c r="BX400" i="2"/>
  <c r="BW400" i="2"/>
  <c r="BV400" i="2"/>
  <c r="BU400" i="2"/>
  <c r="BT400" i="2"/>
  <c r="BS400" i="2"/>
  <c r="BR400" i="2"/>
  <c r="BQ400" i="2"/>
  <c r="BP400" i="2"/>
  <c r="BO400" i="2"/>
  <c r="BN400" i="2"/>
  <c r="BM400" i="2"/>
  <c r="BL400" i="2"/>
  <c r="BK400" i="2"/>
  <c r="BJ400" i="2"/>
  <c r="BI400" i="2"/>
  <c r="BH400" i="2"/>
  <c r="BG400" i="2"/>
  <c r="BF400" i="2"/>
  <c r="BE400" i="2"/>
  <c r="BD400" i="2"/>
  <c r="BC400" i="2"/>
  <c r="BB400" i="2"/>
  <c r="BA400" i="2"/>
  <c r="AZ400" i="2"/>
  <c r="AY400" i="2"/>
  <c r="AX400" i="2"/>
  <c r="AW400" i="2"/>
  <c r="AV400" i="2"/>
  <c r="AU400" i="2"/>
  <c r="AT400" i="2"/>
  <c r="AS400" i="2"/>
  <c r="AR400" i="2"/>
  <c r="AQ400" i="2"/>
  <c r="AP400" i="2"/>
  <c r="AO400" i="2"/>
  <c r="AN400" i="2"/>
  <c r="AM400" i="2"/>
  <c r="AL400" i="2"/>
  <c r="AK400" i="2"/>
  <c r="AJ400" i="2"/>
  <c r="AI400" i="2"/>
  <c r="AH400" i="2"/>
  <c r="AG400" i="2"/>
  <c r="AF400" i="2"/>
  <c r="AE400" i="2"/>
  <c r="AD400" i="2"/>
  <c r="AC400" i="2"/>
  <c r="AB400" i="2"/>
  <c r="AA400" i="2"/>
  <c r="Z400" i="2"/>
  <c r="Y400" i="2"/>
  <c r="X400" i="2"/>
  <c r="W400" i="2"/>
  <c r="V400" i="2"/>
  <c r="U400" i="2"/>
  <c r="T400" i="2"/>
  <c r="S400" i="2"/>
  <c r="R400" i="2"/>
  <c r="Q400" i="2"/>
  <c r="P400" i="2"/>
  <c r="O400" i="2"/>
  <c r="N400" i="2"/>
  <c r="M400" i="2"/>
  <c r="L400" i="2"/>
  <c r="K400" i="2"/>
  <c r="J400" i="2"/>
  <c r="I400" i="2"/>
  <c r="E400" i="2" a="1"/>
  <c r="E400" i="2" s="1"/>
  <c r="D400" i="2" a="1"/>
  <c r="D400" i="2" s="1"/>
  <c r="C400" i="2" a="1"/>
  <c r="C400" i="2" s="1"/>
  <c r="B400" i="2" a="1"/>
  <c r="B400" i="2" s="1"/>
  <c r="CG399" i="2"/>
  <c r="CF399" i="2"/>
  <c r="CE399" i="2"/>
  <c r="CD399" i="2"/>
  <c r="CC399" i="2"/>
  <c r="CB399" i="2"/>
  <c r="CA399" i="2"/>
  <c r="BZ399" i="2"/>
  <c r="BY399" i="2"/>
  <c r="BX399" i="2"/>
  <c r="BW399" i="2"/>
  <c r="BV399" i="2"/>
  <c r="BU399" i="2"/>
  <c r="BT399" i="2"/>
  <c r="BS399" i="2"/>
  <c r="BR399" i="2"/>
  <c r="BQ399" i="2"/>
  <c r="BP399" i="2"/>
  <c r="BO399" i="2"/>
  <c r="BN399" i="2"/>
  <c r="BM399" i="2"/>
  <c r="BL399" i="2"/>
  <c r="BK399" i="2"/>
  <c r="BJ399" i="2"/>
  <c r="BI399" i="2"/>
  <c r="BH399" i="2"/>
  <c r="BG399" i="2"/>
  <c r="BF399" i="2"/>
  <c r="BE399" i="2"/>
  <c r="BD399" i="2"/>
  <c r="BC399" i="2"/>
  <c r="BB399" i="2"/>
  <c r="BA399" i="2"/>
  <c r="AZ399" i="2"/>
  <c r="AY399" i="2"/>
  <c r="AX399" i="2"/>
  <c r="AW399" i="2"/>
  <c r="AV399" i="2"/>
  <c r="AU399" i="2"/>
  <c r="AT399" i="2"/>
  <c r="AS399" i="2"/>
  <c r="AR399" i="2"/>
  <c r="AQ399" i="2"/>
  <c r="AP399" i="2"/>
  <c r="AO399" i="2"/>
  <c r="AN399" i="2"/>
  <c r="AM399" i="2"/>
  <c r="AL399" i="2"/>
  <c r="AK399" i="2"/>
  <c r="AJ399" i="2"/>
  <c r="AI399" i="2"/>
  <c r="AH399" i="2"/>
  <c r="AG399" i="2"/>
  <c r="AF399" i="2"/>
  <c r="AE399" i="2"/>
  <c r="AD399" i="2"/>
  <c r="AC399" i="2"/>
  <c r="AB399" i="2"/>
  <c r="AA399" i="2"/>
  <c r="Z399" i="2"/>
  <c r="Y399" i="2"/>
  <c r="X399" i="2"/>
  <c r="W399" i="2"/>
  <c r="V399" i="2"/>
  <c r="U399" i="2"/>
  <c r="T399" i="2"/>
  <c r="S399" i="2"/>
  <c r="R399" i="2"/>
  <c r="Q399" i="2"/>
  <c r="P399" i="2"/>
  <c r="O399" i="2"/>
  <c r="N399" i="2"/>
  <c r="M399" i="2"/>
  <c r="L399" i="2"/>
  <c r="K399" i="2"/>
  <c r="J399" i="2"/>
  <c r="I399" i="2"/>
  <c r="E399" i="2" a="1"/>
  <c r="E399" i="2" s="1"/>
  <c r="D399" i="2" a="1"/>
  <c r="D399" i="2" s="1"/>
  <c r="C399" i="2" a="1"/>
  <c r="C399" i="2" s="1"/>
  <c r="B399" i="2" a="1"/>
  <c r="B399" i="2" s="1"/>
  <c r="CG398" i="2"/>
  <c r="CF398" i="2"/>
  <c r="CE398" i="2"/>
  <c r="CD398" i="2"/>
  <c r="CC398" i="2"/>
  <c r="CB398" i="2"/>
  <c r="CA398" i="2"/>
  <c r="BZ398" i="2"/>
  <c r="BY398" i="2"/>
  <c r="BX398" i="2"/>
  <c r="BW398" i="2"/>
  <c r="BV398" i="2"/>
  <c r="BU398" i="2"/>
  <c r="BT398" i="2"/>
  <c r="BS398" i="2"/>
  <c r="BR398" i="2"/>
  <c r="BQ398" i="2"/>
  <c r="BP398" i="2"/>
  <c r="BO398" i="2"/>
  <c r="BN398" i="2"/>
  <c r="BM398" i="2"/>
  <c r="BL398" i="2"/>
  <c r="BK398" i="2"/>
  <c r="BJ398" i="2"/>
  <c r="BI398" i="2"/>
  <c r="BH398" i="2"/>
  <c r="BG398" i="2"/>
  <c r="BF398" i="2"/>
  <c r="BE398" i="2"/>
  <c r="BC398" i="2"/>
  <c r="BB398" i="2"/>
  <c r="BA398" i="2"/>
  <c r="AZ398" i="2"/>
  <c r="AY398" i="2"/>
  <c r="AX398" i="2"/>
  <c r="AW398" i="2"/>
  <c r="AV398" i="2"/>
  <c r="AU398" i="2"/>
  <c r="AT398" i="2"/>
  <c r="AS398" i="2"/>
  <c r="AR398" i="2"/>
  <c r="AQ398" i="2"/>
  <c r="AP398" i="2"/>
  <c r="AO398" i="2"/>
  <c r="AN398" i="2"/>
  <c r="AM398" i="2"/>
  <c r="AL398" i="2"/>
  <c r="AK398" i="2"/>
  <c r="AJ398" i="2"/>
  <c r="AI398" i="2"/>
  <c r="AH398" i="2"/>
  <c r="AG398" i="2"/>
  <c r="AF398" i="2"/>
  <c r="AE398" i="2"/>
  <c r="AD398" i="2"/>
  <c r="AC398" i="2"/>
  <c r="AB398" i="2"/>
  <c r="AA398" i="2"/>
  <c r="Z398" i="2"/>
  <c r="Y398" i="2"/>
  <c r="X398" i="2"/>
  <c r="W398" i="2"/>
  <c r="V398" i="2"/>
  <c r="U398" i="2"/>
  <c r="T398" i="2"/>
  <c r="S398" i="2"/>
  <c r="R398" i="2"/>
  <c r="Q398" i="2"/>
  <c r="P398" i="2"/>
  <c r="O398" i="2"/>
  <c r="N398" i="2"/>
  <c r="M398" i="2"/>
  <c r="L398" i="2"/>
  <c r="K398" i="2"/>
  <c r="J398" i="2"/>
  <c r="BD398" i="2" s="1"/>
  <c r="I398" i="2"/>
  <c r="E398" i="2" a="1"/>
  <c r="E398" i="2" s="1"/>
  <c r="D398" i="2" a="1"/>
  <c r="D398" i="2" s="1"/>
  <c r="C398" i="2" a="1"/>
  <c r="C398" i="2" s="1"/>
  <c r="B398" i="2" a="1"/>
  <c r="B398" i="2" s="1"/>
  <c r="CG397" i="2"/>
  <c r="CF397" i="2"/>
  <c r="CE397" i="2"/>
  <c r="CD397" i="2"/>
  <c r="CC397" i="2"/>
  <c r="CB397" i="2"/>
  <c r="CA397" i="2"/>
  <c r="BZ397" i="2"/>
  <c r="BY397" i="2"/>
  <c r="BX397" i="2"/>
  <c r="BW397" i="2"/>
  <c r="BV397" i="2"/>
  <c r="BU397" i="2"/>
  <c r="BT397" i="2"/>
  <c r="BS397" i="2"/>
  <c r="BR397" i="2"/>
  <c r="BQ397" i="2"/>
  <c r="BP397" i="2"/>
  <c r="BO397" i="2"/>
  <c r="BN397" i="2"/>
  <c r="BM397" i="2"/>
  <c r="BL397" i="2"/>
  <c r="BK397" i="2"/>
  <c r="BJ397" i="2"/>
  <c r="BI397" i="2"/>
  <c r="BH397" i="2"/>
  <c r="BG397" i="2"/>
  <c r="BF397" i="2"/>
  <c r="BE397" i="2"/>
  <c r="BC397" i="2"/>
  <c r="BB397" i="2"/>
  <c r="BA397" i="2"/>
  <c r="AZ397" i="2"/>
  <c r="AY397" i="2"/>
  <c r="AX397" i="2"/>
  <c r="AW397" i="2"/>
  <c r="AV397" i="2"/>
  <c r="AU397" i="2"/>
  <c r="AT397" i="2"/>
  <c r="AS397" i="2"/>
  <c r="AR397" i="2"/>
  <c r="AQ397" i="2"/>
  <c r="AP397" i="2"/>
  <c r="AO397" i="2"/>
  <c r="AN397" i="2"/>
  <c r="AM397" i="2"/>
  <c r="AL397" i="2"/>
  <c r="AK397" i="2"/>
  <c r="AJ397" i="2"/>
  <c r="AI397" i="2"/>
  <c r="AH397" i="2"/>
  <c r="AG397" i="2"/>
  <c r="AF397" i="2"/>
  <c r="AE397" i="2"/>
  <c r="AD397" i="2"/>
  <c r="AC397" i="2"/>
  <c r="AB397" i="2"/>
  <c r="AA397" i="2"/>
  <c r="Z397" i="2"/>
  <c r="Y397" i="2"/>
  <c r="X397" i="2"/>
  <c r="W397" i="2"/>
  <c r="V397" i="2"/>
  <c r="U397" i="2"/>
  <c r="T397" i="2"/>
  <c r="S397" i="2"/>
  <c r="R397" i="2"/>
  <c r="Q397" i="2"/>
  <c r="P397" i="2"/>
  <c r="O397" i="2"/>
  <c r="N397" i="2"/>
  <c r="M397" i="2"/>
  <c r="L397" i="2"/>
  <c r="K397" i="2"/>
  <c r="J397" i="2"/>
  <c r="BD397" i="2" s="1"/>
  <c r="I397" i="2"/>
  <c r="E397" i="2" a="1"/>
  <c r="E397" i="2" s="1"/>
  <c r="D397" i="2" a="1"/>
  <c r="D397" i="2" s="1"/>
  <c r="C397" i="2" a="1"/>
  <c r="C397" i="2" s="1"/>
  <c r="B397" i="2" a="1"/>
  <c r="B397" i="2" s="1"/>
  <c r="CG396" i="2"/>
  <c r="CF396" i="2"/>
  <c r="CE396" i="2"/>
  <c r="CD396" i="2"/>
  <c r="CC396" i="2"/>
  <c r="CB396" i="2"/>
  <c r="CA396" i="2"/>
  <c r="BZ396" i="2"/>
  <c r="BY396" i="2"/>
  <c r="BX396" i="2"/>
  <c r="BW396" i="2"/>
  <c r="BV396" i="2"/>
  <c r="BU396" i="2"/>
  <c r="BT396" i="2"/>
  <c r="BS396" i="2"/>
  <c r="BR396" i="2"/>
  <c r="BQ396" i="2"/>
  <c r="BP396" i="2"/>
  <c r="BO396" i="2"/>
  <c r="BN396" i="2"/>
  <c r="BM396" i="2"/>
  <c r="BL396" i="2"/>
  <c r="BK396" i="2"/>
  <c r="BJ396" i="2"/>
  <c r="BI396" i="2"/>
  <c r="BH396" i="2"/>
  <c r="BG396" i="2"/>
  <c r="BF396" i="2"/>
  <c r="BE396" i="2"/>
  <c r="BD396" i="2"/>
  <c r="BC396" i="2"/>
  <c r="BB396" i="2"/>
  <c r="BA396" i="2"/>
  <c r="AZ396" i="2"/>
  <c r="AY396" i="2"/>
  <c r="AX396" i="2"/>
  <c r="AW396" i="2"/>
  <c r="AV396" i="2"/>
  <c r="AU396" i="2"/>
  <c r="AT396" i="2"/>
  <c r="AS396" i="2"/>
  <c r="AR396" i="2"/>
  <c r="AQ396" i="2"/>
  <c r="AP396" i="2"/>
  <c r="AO396" i="2"/>
  <c r="AN396" i="2"/>
  <c r="AM396" i="2"/>
  <c r="AL396" i="2"/>
  <c r="AK396" i="2"/>
  <c r="AJ396" i="2"/>
  <c r="AI396" i="2"/>
  <c r="AH396" i="2"/>
  <c r="AG396" i="2"/>
  <c r="AF396" i="2"/>
  <c r="AE396" i="2"/>
  <c r="AD396" i="2"/>
  <c r="AC396" i="2"/>
  <c r="AB396" i="2"/>
  <c r="AA396" i="2"/>
  <c r="Z396" i="2"/>
  <c r="Y396" i="2"/>
  <c r="X396" i="2"/>
  <c r="W396" i="2"/>
  <c r="V396" i="2"/>
  <c r="U396" i="2"/>
  <c r="T396" i="2"/>
  <c r="S396" i="2"/>
  <c r="R396" i="2"/>
  <c r="Q396" i="2"/>
  <c r="P396" i="2"/>
  <c r="O396" i="2"/>
  <c r="N396" i="2"/>
  <c r="M396" i="2"/>
  <c r="L396" i="2"/>
  <c r="K396" i="2"/>
  <c r="J396" i="2"/>
  <c r="I396" i="2"/>
  <c r="E396" i="2" a="1"/>
  <c r="E396" i="2" s="1"/>
  <c r="D396" i="2" a="1"/>
  <c r="D396" i="2" s="1"/>
  <c r="C396" i="2" a="1"/>
  <c r="C396" i="2" s="1"/>
  <c r="B396" i="2" a="1"/>
  <c r="B396" i="2" s="1"/>
  <c r="CG395" i="2"/>
  <c r="CF395" i="2"/>
  <c r="CE395" i="2"/>
  <c r="CD395" i="2"/>
  <c r="CC395" i="2"/>
  <c r="CB395" i="2"/>
  <c r="CA395" i="2"/>
  <c r="BZ395" i="2"/>
  <c r="BY395" i="2"/>
  <c r="BX395" i="2"/>
  <c r="BW395" i="2"/>
  <c r="BV395" i="2"/>
  <c r="BU395" i="2"/>
  <c r="BT395" i="2"/>
  <c r="BS395" i="2"/>
  <c r="BR395" i="2"/>
  <c r="BQ395" i="2"/>
  <c r="BP395" i="2"/>
  <c r="BO395" i="2"/>
  <c r="BN395" i="2"/>
  <c r="BM395" i="2"/>
  <c r="BL395" i="2"/>
  <c r="BK395" i="2"/>
  <c r="BJ395" i="2"/>
  <c r="BI395" i="2"/>
  <c r="BH395" i="2"/>
  <c r="BG395" i="2"/>
  <c r="BF395" i="2"/>
  <c r="BE395" i="2"/>
  <c r="BD395" i="2"/>
  <c r="BC395" i="2"/>
  <c r="BB395" i="2"/>
  <c r="BA395" i="2"/>
  <c r="AZ395" i="2"/>
  <c r="AY395" i="2"/>
  <c r="AX395" i="2"/>
  <c r="AW395" i="2"/>
  <c r="AV395" i="2"/>
  <c r="AU395" i="2"/>
  <c r="AT395" i="2"/>
  <c r="AS395" i="2"/>
  <c r="AR395" i="2"/>
  <c r="AQ395" i="2"/>
  <c r="AP395" i="2"/>
  <c r="AO395" i="2"/>
  <c r="AN395" i="2"/>
  <c r="AM395" i="2"/>
  <c r="AL395" i="2"/>
  <c r="AK395" i="2"/>
  <c r="AJ395" i="2"/>
  <c r="AI395" i="2"/>
  <c r="AH395" i="2"/>
  <c r="AG395" i="2"/>
  <c r="AF395" i="2"/>
  <c r="AE395" i="2"/>
  <c r="AD395" i="2"/>
  <c r="AC395" i="2"/>
  <c r="AB395" i="2"/>
  <c r="AA395" i="2"/>
  <c r="Z395" i="2"/>
  <c r="Y395" i="2"/>
  <c r="X395" i="2"/>
  <c r="W395" i="2"/>
  <c r="V395" i="2"/>
  <c r="U395" i="2"/>
  <c r="T395" i="2"/>
  <c r="S395" i="2"/>
  <c r="R395" i="2"/>
  <c r="Q395" i="2"/>
  <c r="P395" i="2"/>
  <c r="O395" i="2"/>
  <c r="N395" i="2"/>
  <c r="M395" i="2"/>
  <c r="L395" i="2"/>
  <c r="K395" i="2"/>
  <c r="J395" i="2"/>
  <c r="I395" i="2"/>
  <c r="E395" i="2" a="1"/>
  <c r="E395" i="2" s="1"/>
  <c r="D395" i="2" a="1"/>
  <c r="D395" i="2" s="1"/>
  <c r="C395" i="2" a="1"/>
  <c r="C395" i="2" s="1"/>
  <c r="B395" i="2" a="1"/>
  <c r="B395" i="2" s="1"/>
  <c r="CG394" i="2"/>
  <c r="CF394" i="2"/>
  <c r="CE394" i="2"/>
  <c r="CD394" i="2"/>
  <c r="CC394" i="2"/>
  <c r="CB394" i="2"/>
  <c r="CA394" i="2"/>
  <c r="BZ394" i="2"/>
  <c r="BY394" i="2"/>
  <c r="BX394" i="2"/>
  <c r="BW394" i="2"/>
  <c r="BV394" i="2"/>
  <c r="BU394" i="2"/>
  <c r="BT394" i="2"/>
  <c r="BS394" i="2"/>
  <c r="BR394" i="2"/>
  <c r="BQ394" i="2"/>
  <c r="BP394" i="2"/>
  <c r="BO394" i="2"/>
  <c r="BN394" i="2"/>
  <c r="BM394" i="2"/>
  <c r="BL394" i="2"/>
  <c r="BK394" i="2"/>
  <c r="BJ394" i="2"/>
  <c r="BI394" i="2"/>
  <c r="BH394" i="2"/>
  <c r="BG394" i="2"/>
  <c r="BF394" i="2"/>
  <c r="BE394" i="2"/>
  <c r="BC394" i="2"/>
  <c r="BB394" i="2"/>
  <c r="BA394" i="2"/>
  <c r="AZ394" i="2"/>
  <c r="AY394" i="2"/>
  <c r="AX394" i="2"/>
  <c r="AW394" i="2"/>
  <c r="AV394" i="2"/>
  <c r="AU394" i="2"/>
  <c r="AT394" i="2"/>
  <c r="AS394" i="2"/>
  <c r="AR394" i="2"/>
  <c r="AQ394" i="2"/>
  <c r="AP394" i="2"/>
  <c r="AO394" i="2"/>
  <c r="AN394" i="2"/>
  <c r="AM394" i="2"/>
  <c r="AL394" i="2"/>
  <c r="AK394" i="2"/>
  <c r="AJ394" i="2"/>
  <c r="AI394" i="2"/>
  <c r="AH394" i="2"/>
  <c r="AG394" i="2"/>
  <c r="AF394" i="2"/>
  <c r="AE394" i="2"/>
  <c r="AD394" i="2"/>
  <c r="AC394" i="2"/>
  <c r="AB394" i="2"/>
  <c r="AA394" i="2"/>
  <c r="Z394" i="2"/>
  <c r="Y394" i="2"/>
  <c r="X394" i="2"/>
  <c r="W394" i="2"/>
  <c r="V394" i="2"/>
  <c r="U394" i="2"/>
  <c r="T394" i="2"/>
  <c r="S394" i="2"/>
  <c r="R394" i="2"/>
  <c r="Q394" i="2"/>
  <c r="P394" i="2"/>
  <c r="O394" i="2"/>
  <c r="N394" i="2"/>
  <c r="M394" i="2"/>
  <c r="L394" i="2"/>
  <c r="K394" i="2"/>
  <c r="J394" i="2"/>
  <c r="BD394" i="2" s="1"/>
  <c r="I394" i="2"/>
  <c r="E394" i="2" a="1"/>
  <c r="E394" i="2" s="1"/>
  <c r="D394" i="2" a="1"/>
  <c r="D394" i="2" s="1"/>
  <c r="C394" i="2" a="1"/>
  <c r="C394" i="2" s="1"/>
  <c r="B394" i="2" a="1"/>
  <c r="B394" i="2" s="1"/>
  <c r="CG393" i="2"/>
  <c r="CF393" i="2"/>
  <c r="CE393" i="2"/>
  <c r="CD393" i="2"/>
  <c r="CC393" i="2"/>
  <c r="CB393" i="2"/>
  <c r="CA393" i="2"/>
  <c r="BZ393" i="2"/>
  <c r="BY393" i="2"/>
  <c r="BX393" i="2"/>
  <c r="BW393" i="2"/>
  <c r="BV393" i="2"/>
  <c r="BU393" i="2"/>
  <c r="BT393" i="2"/>
  <c r="BS393" i="2"/>
  <c r="BR393" i="2"/>
  <c r="BQ393" i="2"/>
  <c r="BP393" i="2"/>
  <c r="BO393" i="2"/>
  <c r="BN393" i="2"/>
  <c r="BM393" i="2"/>
  <c r="BL393" i="2"/>
  <c r="BK393" i="2"/>
  <c r="BJ393" i="2"/>
  <c r="BI393" i="2"/>
  <c r="BH393" i="2"/>
  <c r="BG393" i="2"/>
  <c r="BF393" i="2"/>
  <c r="BE393" i="2"/>
  <c r="BC393" i="2"/>
  <c r="BB393" i="2"/>
  <c r="BA393" i="2"/>
  <c r="AZ393" i="2"/>
  <c r="AY393" i="2"/>
  <c r="AX393" i="2"/>
  <c r="AW393" i="2"/>
  <c r="AV393" i="2"/>
  <c r="AU393" i="2"/>
  <c r="AT393" i="2"/>
  <c r="AS393" i="2"/>
  <c r="AR393" i="2"/>
  <c r="AQ393" i="2"/>
  <c r="AP393" i="2"/>
  <c r="AO393" i="2"/>
  <c r="AN393" i="2"/>
  <c r="AM393" i="2"/>
  <c r="AL393" i="2"/>
  <c r="AK393" i="2"/>
  <c r="AJ393" i="2"/>
  <c r="AI393" i="2"/>
  <c r="AH393" i="2"/>
  <c r="AG393" i="2"/>
  <c r="AF393" i="2"/>
  <c r="AE393" i="2"/>
  <c r="AD393" i="2"/>
  <c r="AC393" i="2"/>
  <c r="AB393" i="2"/>
  <c r="AA393" i="2"/>
  <c r="Z393" i="2"/>
  <c r="Y393" i="2"/>
  <c r="X393" i="2"/>
  <c r="W393" i="2"/>
  <c r="V393" i="2"/>
  <c r="U393" i="2"/>
  <c r="T393" i="2"/>
  <c r="S393" i="2"/>
  <c r="R393" i="2"/>
  <c r="Q393" i="2"/>
  <c r="P393" i="2"/>
  <c r="O393" i="2"/>
  <c r="N393" i="2"/>
  <c r="M393" i="2"/>
  <c r="L393" i="2"/>
  <c r="K393" i="2"/>
  <c r="J393" i="2"/>
  <c r="BD393" i="2" s="1"/>
  <c r="I393" i="2"/>
  <c r="E393" i="2" a="1"/>
  <c r="E393" i="2" s="1"/>
  <c r="D393" i="2" a="1"/>
  <c r="D393" i="2" s="1"/>
  <c r="C393" i="2" a="1"/>
  <c r="C393" i="2" s="1"/>
  <c r="B393" i="2" a="1"/>
  <c r="B393" i="2" s="1"/>
  <c r="CG392" i="2"/>
  <c r="CF392" i="2"/>
  <c r="CE392" i="2"/>
  <c r="CD392" i="2"/>
  <c r="CC392" i="2"/>
  <c r="CB392" i="2"/>
  <c r="CA392" i="2"/>
  <c r="BZ392" i="2"/>
  <c r="BY392" i="2"/>
  <c r="BX392" i="2"/>
  <c r="BW392" i="2"/>
  <c r="BV392" i="2"/>
  <c r="BU392" i="2"/>
  <c r="BT392" i="2"/>
  <c r="BS392" i="2"/>
  <c r="BR392" i="2"/>
  <c r="BQ392" i="2"/>
  <c r="BP392" i="2"/>
  <c r="BO392" i="2"/>
  <c r="BN392" i="2"/>
  <c r="BM392" i="2"/>
  <c r="BL392" i="2"/>
  <c r="BK392" i="2"/>
  <c r="BJ392" i="2"/>
  <c r="BI392" i="2"/>
  <c r="BH392" i="2"/>
  <c r="BG392" i="2"/>
  <c r="BF392" i="2"/>
  <c r="BE392" i="2"/>
  <c r="BD392" i="2"/>
  <c r="BC392" i="2"/>
  <c r="BB392" i="2"/>
  <c r="BA392" i="2"/>
  <c r="AZ392" i="2"/>
  <c r="AY392" i="2"/>
  <c r="AX392" i="2"/>
  <c r="AW392" i="2"/>
  <c r="AV392" i="2"/>
  <c r="AU392" i="2"/>
  <c r="AT392" i="2"/>
  <c r="AS392" i="2"/>
  <c r="AR392" i="2"/>
  <c r="AQ392" i="2"/>
  <c r="AP392" i="2"/>
  <c r="AO392" i="2"/>
  <c r="AN392" i="2"/>
  <c r="AM392" i="2"/>
  <c r="AL392" i="2"/>
  <c r="AK392" i="2"/>
  <c r="AJ392" i="2"/>
  <c r="AI392" i="2"/>
  <c r="AH392" i="2"/>
  <c r="AG392" i="2"/>
  <c r="AF392" i="2"/>
  <c r="AE392" i="2"/>
  <c r="AD392" i="2"/>
  <c r="AC392" i="2"/>
  <c r="AB392" i="2"/>
  <c r="AA392" i="2"/>
  <c r="Z392" i="2"/>
  <c r="Y392" i="2"/>
  <c r="X392" i="2"/>
  <c r="W392" i="2"/>
  <c r="V392" i="2"/>
  <c r="U392" i="2"/>
  <c r="T392" i="2"/>
  <c r="S392" i="2"/>
  <c r="R392" i="2"/>
  <c r="Q392" i="2"/>
  <c r="P392" i="2"/>
  <c r="O392" i="2"/>
  <c r="N392" i="2"/>
  <c r="M392" i="2"/>
  <c r="L392" i="2"/>
  <c r="K392" i="2"/>
  <c r="J392" i="2"/>
  <c r="I392" i="2"/>
  <c r="E392" i="2" a="1"/>
  <c r="E392" i="2" s="1"/>
  <c r="D392" i="2" a="1"/>
  <c r="D392" i="2" s="1"/>
  <c r="C392" i="2" a="1"/>
  <c r="C392" i="2" s="1"/>
  <c r="B392" i="2" a="1"/>
  <c r="B392" i="2" s="1"/>
  <c r="CG391" i="2"/>
  <c r="CF391" i="2"/>
  <c r="CE391" i="2"/>
  <c r="CD391" i="2"/>
  <c r="CC391" i="2"/>
  <c r="CB391" i="2"/>
  <c r="CA391" i="2"/>
  <c r="BZ391" i="2"/>
  <c r="BY391" i="2"/>
  <c r="BX391" i="2"/>
  <c r="BW391" i="2"/>
  <c r="BV391" i="2"/>
  <c r="BU391" i="2"/>
  <c r="BT391" i="2"/>
  <c r="BS391" i="2"/>
  <c r="BR391" i="2"/>
  <c r="BQ391" i="2"/>
  <c r="BP391" i="2"/>
  <c r="BO391" i="2"/>
  <c r="BN391" i="2"/>
  <c r="BM391" i="2"/>
  <c r="BL391" i="2"/>
  <c r="BK391" i="2"/>
  <c r="BJ391" i="2"/>
  <c r="BI391" i="2"/>
  <c r="BH391" i="2"/>
  <c r="BG391" i="2"/>
  <c r="BF391" i="2"/>
  <c r="BE391" i="2"/>
  <c r="BD391" i="2"/>
  <c r="BC391" i="2"/>
  <c r="BB391" i="2"/>
  <c r="BA391" i="2"/>
  <c r="AZ391" i="2"/>
  <c r="AY391" i="2"/>
  <c r="AX391" i="2"/>
  <c r="AW391" i="2"/>
  <c r="AV391" i="2"/>
  <c r="AU391" i="2"/>
  <c r="AT391" i="2"/>
  <c r="AS391" i="2"/>
  <c r="AR391" i="2"/>
  <c r="AQ391" i="2"/>
  <c r="AP391" i="2"/>
  <c r="AO391" i="2"/>
  <c r="AN391" i="2"/>
  <c r="AM391" i="2"/>
  <c r="AL391" i="2"/>
  <c r="AK391" i="2"/>
  <c r="AJ391" i="2"/>
  <c r="AI391" i="2"/>
  <c r="AH391" i="2"/>
  <c r="AG391" i="2"/>
  <c r="AF391" i="2"/>
  <c r="AE391" i="2"/>
  <c r="AD391" i="2"/>
  <c r="AC391" i="2"/>
  <c r="AB391" i="2"/>
  <c r="AA391" i="2"/>
  <c r="Z391" i="2"/>
  <c r="Y391" i="2"/>
  <c r="X391" i="2"/>
  <c r="W391" i="2"/>
  <c r="V391" i="2"/>
  <c r="U391" i="2"/>
  <c r="T391" i="2"/>
  <c r="S391" i="2"/>
  <c r="R391" i="2"/>
  <c r="Q391" i="2"/>
  <c r="P391" i="2"/>
  <c r="O391" i="2"/>
  <c r="N391" i="2"/>
  <c r="M391" i="2"/>
  <c r="L391" i="2"/>
  <c r="K391" i="2"/>
  <c r="J391" i="2"/>
  <c r="I391" i="2"/>
  <c r="E391" i="2" a="1"/>
  <c r="E391" i="2" s="1"/>
  <c r="D391" i="2" a="1"/>
  <c r="D391" i="2" s="1"/>
  <c r="C391" i="2" a="1"/>
  <c r="C391" i="2" s="1"/>
  <c r="B391" i="2" a="1"/>
  <c r="B391" i="2" s="1"/>
  <c r="CG390" i="2"/>
  <c r="CF390" i="2"/>
  <c r="CE390" i="2"/>
  <c r="CD390" i="2"/>
  <c r="CC390" i="2"/>
  <c r="CB390" i="2"/>
  <c r="CA390" i="2"/>
  <c r="BZ390" i="2"/>
  <c r="BY390" i="2"/>
  <c r="BX390" i="2"/>
  <c r="BW390" i="2"/>
  <c r="BV390" i="2"/>
  <c r="BU390" i="2"/>
  <c r="BT390" i="2"/>
  <c r="BS390" i="2"/>
  <c r="BR390" i="2"/>
  <c r="BQ390" i="2"/>
  <c r="BP390" i="2"/>
  <c r="BO390" i="2"/>
  <c r="BN390" i="2"/>
  <c r="BM390" i="2"/>
  <c r="BL390" i="2"/>
  <c r="BK390" i="2"/>
  <c r="BJ390" i="2"/>
  <c r="BI390" i="2"/>
  <c r="BH390" i="2"/>
  <c r="BG390" i="2"/>
  <c r="BF390" i="2"/>
  <c r="BE390" i="2"/>
  <c r="BC390" i="2"/>
  <c r="BB390" i="2"/>
  <c r="BA390" i="2"/>
  <c r="AZ390" i="2"/>
  <c r="AY390" i="2"/>
  <c r="AX390" i="2"/>
  <c r="AW390" i="2"/>
  <c r="AV390" i="2"/>
  <c r="AU390" i="2"/>
  <c r="AT390" i="2"/>
  <c r="AS390" i="2"/>
  <c r="AR390" i="2"/>
  <c r="AQ390" i="2"/>
  <c r="AP390" i="2"/>
  <c r="AO390" i="2"/>
  <c r="AN390" i="2"/>
  <c r="AM390" i="2"/>
  <c r="AL390" i="2"/>
  <c r="AK390" i="2"/>
  <c r="AJ390" i="2"/>
  <c r="AI390" i="2"/>
  <c r="AH390" i="2"/>
  <c r="AG390" i="2"/>
  <c r="AF390" i="2"/>
  <c r="AE390" i="2"/>
  <c r="AD390" i="2"/>
  <c r="AC390" i="2"/>
  <c r="AB390" i="2"/>
  <c r="AA390" i="2"/>
  <c r="Z390" i="2"/>
  <c r="Y390" i="2"/>
  <c r="X390" i="2"/>
  <c r="W390" i="2"/>
  <c r="V390" i="2"/>
  <c r="U390" i="2"/>
  <c r="T390" i="2"/>
  <c r="S390" i="2"/>
  <c r="R390" i="2"/>
  <c r="Q390" i="2"/>
  <c r="P390" i="2"/>
  <c r="O390" i="2"/>
  <c r="N390" i="2"/>
  <c r="M390" i="2"/>
  <c r="L390" i="2"/>
  <c r="K390" i="2"/>
  <c r="J390" i="2"/>
  <c r="BD390" i="2" s="1"/>
  <c r="I390" i="2"/>
  <c r="E390" i="2" a="1"/>
  <c r="E390" i="2" s="1"/>
  <c r="D390" i="2" a="1"/>
  <c r="D390" i="2" s="1"/>
  <c r="C390" i="2" a="1"/>
  <c r="C390" i="2" s="1"/>
  <c r="B390" i="2" a="1"/>
  <c r="B390" i="2" s="1"/>
  <c r="CG389" i="2"/>
  <c r="CF389" i="2"/>
  <c r="CE389" i="2"/>
  <c r="CD389" i="2"/>
  <c r="CC389" i="2"/>
  <c r="CB389" i="2"/>
  <c r="CA389" i="2"/>
  <c r="BZ389" i="2"/>
  <c r="BY389" i="2"/>
  <c r="BX389" i="2"/>
  <c r="BW389" i="2"/>
  <c r="BV389" i="2"/>
  <c r="BU389" i="2"/>
  <c r="BT389" i="2"/>
  <c r="BS389" i="2"/>
  <c r="BR389" i="2"/>
  <c r="BQ389" i="2"/>
  <c r="BP389" i="2"/>
  <c r="BO389" i="2"/>
  <c r="BN389" i="2"/>
  <c r="BM389" i="2"/>
  <c r="BL389" i="2"/>
  <c r="BK389" i="2"/>
  <c r="BJ389" i="2"/>
  <c r="BI389" i="2"/>
  <c r="BH389" i="2"/>
  <c r="BG389" i="2"/>
  <c r="BF389" i="2"/>
  <c r="BE389" i="2"/>
  <c r="BC389" i="2"/>
  <c r="BB389" i="2"/>
  <c r="BA389" i="2"/>
  <c r="AZ389" i="2"/>
  <c r="AY389" i="2"/>
  <c r="AX389" i="2"/>
  <c r="AW389" i="2"/>
  <c r="AV389" i="2"/>
  <c r="AU389" i="2"/>
  <c r="AT389" i="2"/>
  <c r="AS389" i="2"/>
  <c r="AR389" i="2"/>
  <c r="AQ389" i="2"/>
  <c r="AP389" i="2"/>
  <c r="AO389" i="2"/>
  <c r="AN389" i="2"/>
  <c r="AM389" i="2"/>
  <c r="AL389" i="2"/>
  <c r="AK389" i="2"/>
  <c r="AJ389" i="2"/>
  <c r="AI389" i="2"/>
  <c r="AH389" i="2"/>
  <c r="AG389" i="2"/>
  <c r="AF389" i="2"/>
  <c r="AE389" i="2"/>
  <c r="AD389" i="2"/>
  <c r="AC389" i="2"/>
  <c r="AB389" i="2"/>
  <c r="AA389" i="2"/>
  <c r="Z389" i="2"/>
  <c r="Y389" i="2"/>
  <c r="X389" i="2"/>
  <c r="W389" i="2"/>
  <c r="V389" i="2"/>
  <c r="U389" i="2"/>
  <c r="T389" i="2"/>
  <c r="S389" i="2"/>
  <c r="R389" i="2"/>
  <c r="Q389" i="2"/>
  <c r="P389" i="2"/>
  <c r="O389" i="2"/>
  <c r="N389" i="2"/>
  <c r="M389" i="2"/>
  <c r="L389" i="2"/>
  <c r="K389" i="2"/>
  <c r="J389" i="2"/>
  <c r="BD389" i="2" s="1"/>
  <c r="I389" i="2"/>
  <c r="E389" i="2" a="1"/>
  <c r="E389" i="2" s="1"/>
  <c r="D389" i="2" a="1"/>
  <c r="D389" i="2" s="1"/>
  <c r="C389" i="2" a="1"/>
  <c r="C389" i="2" s="1"/>
  <c r="B389" i="2" a="1"/>
  <c r="B389" i="2" s="1"/>
  <c r="CG388" i="2"/>
  <c r="CF388" i="2"/>
  <c r="CE388" i="2"/>
  <c r="CD388" i="2"/>
  <c r="CC388" i="2"/>
  <c r="CB388" i="2"/>
  <c r="CA388" i="2"/>
  <c r="BZ388" i="2"/>
  <c r="BY388" i="2"/>
  <c r="BX388" i="2"/>
  <c r="BW388" i="2"/>
  <c r="BV388" i="2"/>
  <c r="BU388" i="2"/>
  <c r="BT388" i="2"/>
  <c r="BS388" i="2"/>
  <c r="BR388" i="2"/>
  <c r="BQ388" i="2"/>
  <c r="BP388" i="2"/>
  <c r="BO388" i="2"/>
  <c r="BN388" i="2"/>
  <c r="BM388" i="2"/>
  <c r="BL388" i="2"/>
  <c r="BK388" i="2"/>
  <c r="BJ388" i="2"/>
  <c r="BI388" i="2"/>
  <c r="BH388" i="2"/>
  <c r="BG388" i="2"/>
  <c r="BF388" i="2"/>
  <c r="BE388" i="2"/>
  <c r="BD388" i="2"/>
  <c r="BC388" i="2"/>
  <c r="BB388" i="2"/>
  <c r="BA388" i="2"/>
  <c r="AZ388" i="2"/>
  <c r="AY388" i="2"/>
  <c r="AX388" i="2"/>
  <c r="AW388" i="2"/>
  <c r="AV388" i="2"/>
  <c r="AU388" i="2"/>
  <c r="AT388" i="2"/>
  <c r="AS388" i="2"/>
  <c r="AR388" i="2"/>
  <c r="AQ388" i="2"/>
  <c r="AP388" i="2"/>
  <c r="AO388" i="2"/>
  <c r="AN388" i="2"/>
  <c r="AM388" i="2"/>
  <c r="AL388" i="2"/>
  <c r="AK388" i="2"/>
  <c r="AJ388" i="2"/>
  <c r="AI388" i="2"/>
  <c r="AH388" i="2"/>
  <c r="AG388" i="2"/>
  <c r="AF388" i="2"/>
  <c r="AE388" i="2"/>
  <c r="AD388" i="2"/>
  <c r="AC388" i="2"/>
  <c r="AB388" i="2"/>
  <c r="AA388" i="2"/>
  <c r="Z388" i="2"/>
  <c r="Y388" i="2"/>
  <c r="X388" i="2"/>
  <c r="W388" i="2"/>
  <c r="V388" i="2"/>
  <c r="U388" i="2"/>
  <c r="T388" i="2"/>
  <c r="S388" i="2"/>
  <c r="R388" i="2"/>
  <c r="Q388" i="2"/>
  <c r="P388" i="2"/>
  <c r="O388" i="2"/>
  <c r="N388" i="2"/>
  <c r="M388" i="2"/>
  <c r="L388" i="2"/>
  <c r="K388" i="2"/>
  <c r="J388" i="2"/>
  <c r="I388" i="2"/>
  <c r="E388" i="2" a="1"/>
  <c r="E388" i="2" s="1"/>
  <c r="D388" i="2" a="1"/>
  <c r="D388" i="2" s="1"/>
  <c r="C388" i="2" a="1"/>
  <c r="C388" i="2" s="1"/>
  <c r="B388" i="2" a="1"/>
  <c r="B388" i="2" s="1"/>
  <c r="CG387" i="2"/>
  <c r="CF387" i="2"/>
  <c r="CE387" i="2"/>
  <c r="CD387" i="2"/>
  <c r="CC387" i="2"/>
  <c r="CB387" i="2"/>
  <c r="CA387" i="2"/>
  <c r="BZ387" i="2"/>
  <c r="BY387" i="2"/>
  <c r="BX387" i="2"/>
  <c r="BW387" i="2"/>
  <c r="BV387" i="2"/>
  <c r="BU387" i="2"/>
  <c r="BT387" i="2"/>
  <c r="BS387" i="2"/>
  <c r="BR387" i="2"/>
  <c r="BQ387" i="2"/>
  <c r="BP387" i="2"/>
  <c r="BO387" i="2"/>
  <c r="BN387" i="2"/>
  <c r="BM387" i="2"/>
  <c r="BL387" i="2"/>
  <c r="BK387" i="2"/>
  <c r="BJ387" i="2"/>
  <c r="BI387" i="2"/>
  <c r="BH387" i="2"/>
  <c r="BG387" i="2"/>
  <c r="BF387" i="2"/>
  <c r="BE387" i="2"/>
  <c r="BD387" i="2"/>
  <c r="BC387" i="2"/>
  <c r="BB387" i="2"/>
  <c r="BA387" i="2"/>
  <c r="AZ387" i="2"/>
  <c r="AY387" i="2"/>
  <c r="AX387" i="2"/>
  <c r="AW387" i="2"/>
  <c r="AV387" i="2"/>
  <c r="AU387" i="2"/>
  <c r="AT387" i="2"/>
  <c r="AS387" i="2"/>
  <c r="AR387" i="2"/>
  <c r="AQ387" i="2"/>
  <c r="AP387" i="2"/>
  <c r="AO387" i="2"/>
  <c r="AN387" i="2"/>
  <c r="AM387" i="2"/>
  <c r="AL387" i="2"/>
  <c r="AK387" i="2"/>
  <c r="AJ387" i="2"/>
  <c r="AI387" i="2"/>
  <c r="AH387" i="2"/>
  <c r="AG387" i="2"/>
  <c r="AF387" i="2"/>
  <c r="AE387" i="2"/>
  <c r="AD387" i="2"/>
  <c r="AC387" i="2"/>
  <c r="AB387" i="2"/>
  <c r="AA387" i="2"/>
  <c r="Z387" i="2"/>
  <c r="Y387" i="2"/>
  <c r="X387" i="2"/>
  <c r="W387" i="2"/>
  <c r="V387" i="2"/>
  <c r="U387" i="2"/>
  <c r="T387" i="2"/>
  <c r="S387" i="2"/>
  <c r="R387" i="2"/>
  <c r="Q387" i="2"/>
  <c r="P387" i="2"/>
  <c r="O387" i="2"/>
  <c r="N387" i="2"/>
  <c r="M387" i="2"/>
  <c r="L387" i="2"/>
  <c r="K387" i="2"/>
  <c r="J387" i="2"/>
  <c r="I387" i="2"/>
  <c r="E387" i="2" a="1"/>
  <c r="E387" i="2" s="1"/>
  <c r="D387" i="2" a="1"/>
  <c r="D387" i="2" s="1"/>
  <c r="C387" i="2" a="1"/>
  <c r="C387" i="2" s="1"/>
  <c r="B387" i="2" a="1"/>
  <c r="B387" i="2" s="1"/>
  <c r="CG386" i="2"/>
  <c r="CF386" i="2"/>
  <c r="CE386" i="2"/>
  <c r="CD386" i="2"/>
  <c r="CC386" i="2"/>
  <c r="CB386" i="2"/>
  <c r="CA386" i="2"/>
  <c r="BZ386" i="2"/>
  <c r="BY386" i="2"/>
  <c r="BX386" i="2"/>
  <c r="BW386" i="2"/>
  <c r="BV386" i="2"/>
  <c r="BU386" i="2"/>
  <c r="BT386" i="2"/>
  <c r="BS386" i="2"/>
  <c r="BR386" i="2"/>
  <c r="BQ386" i="2"/>
  <c r="BP386" i="2"/>
  <c r="BO386" i="2"/>
  <c r="BN386" i="2"/>
  <c r="BM386" i="2"/>
  <c r="BL386" i="2"/>
  <c r="BK386" i="2"/>
  <c r="BJ386" i="2"/>
  <c r="BI386" i="2"/>
  <c r="BH386" i="2"/>
  <c r="BG386" i="2"/>
  <c r="BF386" i="2"/>
  <c r="BE386" i="2"/>
  <c r="BC386" i="2"/>
  <c r="BB386" i="2"/>
  <c r="BA386" i="2"/>
  <c r="AZ386" i="2"/>
  <c r="AY386" i="2"/>
  <c r="AX386" i="2"/>
  <c r="AW386" i="2"/>
  <c r="AV386" i="2"/>
  <c r="AU386" i="2"/>
  <c r="AT386" i="2"/>
  <c r="AS386" i="2"/>
  <c r="AR386" i="2"/>
  <c r="AQ386" i="2"/>
  <c r="AP386" i="2"/>
  <c r="AO386" i="2"/>
  <c r="AN386" i="2"/>
  <c r="AM386" i="2"/>
  <c r="AL386" i="2"/>
  <c r="AK386" i="2"/>
  <c r="AJ386" i="2"/>
  <c r="AI386" i="2"/>
  <c r="AH386" i="2"/>
  <c r="AG386" i="2"/>
  <c r="AF386" i="2"/>
  <c r="AE386" i="2"/>
  <c r="AD386" i="2"/>
  <c r="AC386" i="2"/>
  <c r="AB386" i="2"/>
  <c r="AA386" i="2"/>
  <c r="Z386" i="2"/>
  <c r="Y386" i="2"/>
  <c r="X386" i="2"/>
  <c r="W386" i="2"/>
  <c r="V386" i="2"/>
  <c r="U386" i="2"/>
  <c r="T386" i="2"/>
  <c r="S386" i="2"/>
  <c r="R386" i="2"/>
  <c r="Q386" i="2"/>
  <c r="P386" i="2"/>
  <c r="O386" i="2"/>
  <c r="N386" i="2"/>
  <c r="M386" i="2"/>
  <c r="L386" i="2"/>
  <c r="K386" i="2"/>
  <c r="J386" i="2"/>
  <c r="BD386" i="2" s="1"/>
  <c r="I386" i="2"/>
  <c r="E386" i="2" a="1"/>
  <c r="E386" i="2" s="1"/>
  <c r="D386" i="2" a="1"/>
  <c r="D386" i="2" s="1"/>
  <c r="C386" i="2" a="1"/>
  <c r="C386" i="2" s="1"/>
  <c r="B386" i="2" a="1"/>
  <c r="B386" i="2" s="1"/>
  <c r="CG385" i="2"/>
  <c r="CF385" i="2"/>
  <c r="CE385" i="2"/>
  <c r="CD385" i="2"/>
  <c r="CC385" i="2"/>
  <c r="CB385" i="2"/>
  <c r="CA385" i="2"/>
  <c r="BZ385" i="2"/>
  <c r="BY385" i="2"/>
  <c r="BX385" i="2"/>
  <c r="BW385" i="2"/>
  <c r="BV385" i="2"/>
  <c r="BU385" i="2"/>
  <c r="BT385" i="2"/>
  <c r="BS385" i="2"/>
  <c r="BR385" i="2"/>
  <c r="BQ385" i="2"/>
  <c r="BP385" i="2"/>
  <c r="BO385" i="2"/>
  <c r="BN385" i="2"/>
  <c r="BM385" i="2"/>
  <c r="BL385" i="2"/>
  <c r="BK385" i="2"/>
  <c r="BJ385" i="2"/>
  <c r="BI385" i="2"/>
  <c r="BH385" i="2"/>
  <c r="BG385" i="2"/>
  <c r="BF385" i="2"/>
  <c r="BE385" i="2"/>
  <c r="BC385" i="2"/>
  <c r="BB385" i="2"/>
  <c r="BA385" i="2"/>
  <c r="AZ385" i="2"/>
  <c r="AY385" i="2"/>
  <c r="AX385" i="2"/>
  <c r="AW385" i="2"/>
  <c r="AV385" i="2"/>
  <c r="AU385" i="2"/>
  <c r="AT385" i="2"/>
  <c r="AS385" i="2"/>
  <c r="AR385" i="2"/>
  <c r="AQ385" i="2"/>
  <c r="AP385" i="2"/>
  <c r="AO385" i="2"/>
  <c r="AN385" i="2"/>
  <c r="AM385" i="2"/>
  <c r="AL385" i="2"/>
  <c r="AK385" i="2"/>
  <c r="AJ385" i="2"/>
  <c r="AI385" i="2"/>
  <c r="AH385" i="2"/>
  <c r="AG385" i="2"/>
  <c r="AF385" i="2"/>
  <c r="AE385" i="2"/>
  <c r="AD385" i="2"/>
  <c r="AC385" i="2"/>
  <c r="AB385" i="2"/>
  <c r="AA385" i="2"/>
  <c r="Z385" i="2"/>
  <c r="Y385" i="2"/>
  <c r="X385" i="2"/>
  <c r="W385" i="2"/>
  <c r="V385" i="2"/>
  <c r="U385" i="2"/>
  <c r="T385" i="2"/>
  <c r="S385" i="2"/>
  <c r="R385" i="2"/>
  <c r="Q385" i="2"/>
  <c r="P385" i="2"/>
  <c r="O385" i="2"/>
  <c r="N385" i="2"/>
  <c r="M385" i="2"/>
  <c r="L385" i="2"/>
  <c r="K385" i="2"/>
  <c r="J385" i="2"/>
  <c r="BD385" i="2" s="1"/>
  <c r="I385" i="2"/>
  <c r="E385" i="2" a="1"/>
  <c r="E385" i="2" s="1"/>
  <c r="D385" i="2" a="1"/>
  <c r="D385" i="2" s="1"/>
  <c r="C385" i="2" a="1"/>
  <c r="C385" i="2" s="1"/>
  <c r="B385" i="2" a="1"/>
  <c r="B385" i="2" s="1"/>
  <c r="CG384" i="2"/>
  <c r="CF384" i="2"/>
  <c r="CE384" i="2"/>
  <c r="CD384" i="2"/>
  <c r="CC384" i="2"/>
  <c r="CB384" i="2"/>
  <c r="CA384" i="2"/>
  <c r="BZ384" i="2"/>
  <c r="BY384" i="2"/>
  <c r="BX384" i="2"/>
  <c r="BW384" i="2"/>
  <c r="BV384" i="2"/>
  <c r="BU384" i="2"/>
  <c r="BT384" i="2"/>
  <c r="BS384" i="2"/>
  <c r="BR384" i="2"/>
  <c r="BQ384" i="2"/>
  <c r="BP384" i="2"/>
  <c r="BO384" i="2"/>
  <c r="BN384" i="2"/>
  <c r="BM384" i="2"/>
  <c r="BL384" i="2"/>
  <c r="BK384" i="2"/>
  <c r="BJ384" i="2"/>
  <c r="BI384" i="2"/>
  <c r="BH384" i="2"/>
  <c r="BG384" i="2"/>
  <c r="BF384" i="2"/>
  <c r="BE384" i="2"/>
  <c r="BD384" i="2"/>
  <c r="BC384" i="2"/>
  <c r="BB384" i="2"/>
  <c r="BA384" i="2"/>
  <c r="AZ384" i="2"/>
  <c r="AY384" i="2"/>
  <c r="AX384" i="2"/>
  <c r="AW384" i="2"/>
  <c r="AV384" i="2"/>
  <c r="AU384" i="2"/>
  <c r="AT384" i="2"/>
  <c r="AS384" i="2"/>
  <c r="AR384" i="2"/>
  <c r="AQ384" i="2"/>
  <c r="AP384" i="2"/>
  <c r="AO384" i="2"/>
  <c r="AN384" i="2"/>
  <c r="AM384" i="2"/>
  <c r="AL384" i="2"/>
  <c r="AK384" i="2"/>
  <c r="AJ384" i="2"/>
  <c r="AI384" i="2"/>
  <c r="AH384" i="2"/>
  <c r="AG384" i="2"/>
  <c r="AF384" i="2"/>
  <c r="AE384" i="2"/>
  <c r="AD384" i="2"/>
  <c r="AC384" i="2"/>
  <c r="AB384" i="2"/>
  <c r="AA384" i="2"/>
  <c r="Z384" i="2"/>
  <c r="Y384" i="2"/>
  <c r="X384" i="2"/>
  <c r="W384" i="2"/>
  <c r="V384" i="2"/>
  <c r="U384" i="2"/>
  <c r="T384" i="2"/>
  <c r="S384" i="2"/>
  <c r="R384" i="2"/>
  <c r="Q384" i="2"/>
  <c r="P384" i="2"/>
  <c r="O384" i="2"/>
  <c r="N384" i="2"/>
  <c r="M384" i="2"/>
  <c r="L384" i="2"/>
  <c r="K384" i="2"/>
  <c r="J384" i="2"/>
  <c r="I384" i="2"/>
  <c r="E384" i="2" a="1"/>
  <c r="E384" i="2" s="1"/>
  <c r="D384" i="2" a="1"/>
  <c r="D384" i="2" s="1"/>
  <c r="C384" i="2" a="1"/>
  <c r="C384" i="2" s="1"/>
  <c r="B384" i="2" a="1"/>
  <c r="B384" i="2" s="1"/>
  <c r="CG383" i="2"/>
  <c r="CF383" i="2"/>
  <c r="CE383" i="2"/>
  <c r="CD383" i="2"/>
  <c r="CC383" i="2"/>
  <c r="CB383" i="2"/>
  <c r="CA383" i="2"/>
  <c r="BZ383" i="2"/>
  <c r="BY383" i="2"/>
  <c r="BX383" i="2"/>
  <c r="BW383" i="2"/>
  <c r="BV383" i="2"/>
  <c r="BU383" i="2"/>
  <c r="BT383" i="2"/>
  <c r="BS383" i="2"/>
  <c r="BR383" i="2"/>
  <c r="BQ383" i="2"/>
  <c r="BP383" i="2"/>
  <c r="BO383" i="2"/>
  <c r="BN383" i="2"/>
  <c r="BM383" i="2"/>
  <c r="BL383" i="2"/>
  <c r="BK383" i="2"/>
  <c r="BJ383" i="2"/>
  <c r="BI383" i="2"/>
  <c r="BH383" i="2"/>
  <c r="BG383" i="2"/>
  <c r="BF383" i="2"/>
  <c r="BE383" i="2"/>
  <c r="BD383" i="2"/>
  <c r="BC383" i="2"/>
  <c r="BB383" i="2"/>
  <c r="BA383" i="2"/>
  <c r="AZ383" i="2"/>
  <c r="AY383" i="2"/>
  <c r="AX383" i="2"/>
  <c r="AW383" i="2"/>
  <c r="AV383" i="2"/>
  <c r="AU383" i="2"/>
  <c r="AT383" i="2"/>
  <c r="AS383" i="2"/>
  <c r="AR383" i="2"/>
  <c r="AQ383" i="2"/>
  <c r="AP383" i="2"/>
  <c r="AO383" i="2"/>
  <c r="AN383" i="2"/>
  <c r="AM383" i="2"/>
  <c r="AL383" i="2"/>
  <c r="AK383" i="2"/>
  <c r="AJ383" i="2"/>
  <c r="AI383" i="2"/>
  <c r="AH383" i="2"/>
  <c r="AG383" i="2"/>
  <c r="AF383" i="2"/>
  <c r="AE383" i="2"/>
  <c r="AD383" i="2"/>
  <c r="AC383" i="2"/>
  <c r="AB383" i="2"/>
  <c r="AA383" i="2"/>
  <c r="Z383" i="2"/>
  <c r="Y383" i="2"/>
  <c r="X383" i="2"/>
  <c r="W383" i="2"/>
  <c r="V383" i="2"/>
  <c r="U383" i="2"/>
  <c r="T383" i="2"/>
  <c r="S383" i="2"/>
  <c r="R383" i="2"/>
  <c r="Q383" i="2"/>
  <c r="P383" i="2"/>
  <c r="O383" i="2"/>
  <c r="N383" i="2"/>
  <c r="M383" i="2"/>
  <c r="L383" i="2"/>
  <c r="K383" i="2"/>
  <c r="J383" i="2"/>
  <c r="I383" i="2"/>
  <c r="E383" i="2" a="1"/>
  <c r="E383" i="2" s="1"/>
  <c r="D383" i="2" a="1"/>
  <c r="D383" i="2" s="1"/>
  <c r="C383" i="2" a="1"/>
  <c r="C383" i="2" s="1"/>
  <c r="B383" i="2" a="1"/>
  <c r="B383" i="2" s="1"/>
  <c r="CG382" i="2"/>
  <c r="CF382" i="2"/>
  <c r="CE382" i="2"/>
  <c r="CD382" i="2"/>
  <c r="CC382" i="2"/>
  <c r="CB382" i="2"/>
  <c r="CA382" i="2"/>
  <c r="BZ382" i="2"/>
  <c r="BY382" i="2"/>
  <c r="BX382" i="2"/>
  <c r="BW382" i="2"/>
  <c r="BV382" i="2"/>
  <c r="BU382" i="2"/>
  <c r="BT382" i="2"/>
  <c r="BS382" i="2"/>
  <c r="BR382" i="2"/>
  <c r="BQ382" i="2"/>
  <c r="BP382" i="2"/>
  <c r="BO382" i="2"/>
  <c r="BN382" i="2"/>
  <c r="BM382" i="2"/>
  <c r="BL382" i="2"/>
  <c r="BK382" i="2"/>
  <c r="BJ382" i="2"/>
  <c r="BI382" i="2"/>
  <c r="BH382" i="2"/>
  <c r="BG382" i="2"/>
  <c r="BF382" i="2"/>
  <c r="BE382" i="2"/>
  <c r="BC382" i="2"/>
  <c r="BB382" i="2"/>
  <c r="BA382" i="2"/>
  <c r="AZ382" i="2"/>
  <c r="AY382" i="2"/>
  <c r="AX382" i="2"/>
  <c r="AW382" i="2"/>
  <c r="AV382" i="2"/>
  <c r="AU382" i="2"/>
  <c r="AT382" i="2"/>
  <c r="AS382" i="2"/>
  <c r="AR382" i="2"/>
  <c r="AQ382" i="2"/>
  <c r="AP382" i="2"/>
  <c r="AO382" i="2"/>
  <c r="AN382" i="2"/>
  <c r="AM382" i="2"/>
  <c r="AL382" i="2"/>
  <c r="AK382" i="2"/>
  <c r="AJ382" i="2"/>
  <c r="AI382" i="2"/>
  <c r="AH382" i="2"/>
  <c r="AG382" i="2"/>
  <c r="AF382" i="2"/>
  <c r="AE382" i="2"/>
  <c r="AD382" i="2"/>
  <c r="AC382" i="2"/>
  <c r="AB382" i="2"/>
  <c r="AA382" i="2"/>
  <c r="Z382" i="2"/>
  <c r="Y382" i="2"/>
  <c r="X382" i="2"/>
  <c r="W382" i="2"/>
  <c r="V382" i="2"/>
  <c r="U382" i="2"/>
  <c r="T382" i="2"/>
  <c r="S382" i="2"/>
  <c r="R382" i="2"/>
  <c r="Q382" i="2"/>
  <c r="P382" i="2"/>
  <c r="O382" i="2"/>
  <c r="N382" i="2"/>
  <c r="M382" i="2"/>
  <c r="L382" i="2"/>
  <c r="K382" i="2"/>
  <c r="J382" i="2"/>
  <c r="BD382" i="2" s="1"/>
  <c r="I382" i="2"/>
  <c r="E382" i="2" a="1"/>
  <c r="E382" i="2" s="1"/>
  <c r="D382" i="2" a="1"/>
  <c r="D382" i="2" s="1"/>
  <c r="C382" i="2" a="1"/>
  <c r="C382" i="2" s="1"/>
  <c r="B382" i="2" a="1"/>
  <c r="B382" i="2" s="1"/>
  <c r="CG381" i="2"/>
  <c r="CF381" i="2"/>
  <c r="CE381" i="2"/>
  <c r="CD381" i="2"/>
  <c r="CC381" i="2"/>
  <c r="CB381" i="2"/>
  <c r="CA381" i="2"/>
  <c r="BZ381" i="2"/>
  <c r="BY381" i="2"/>
  <c r="BX381" i="2"/>
  <c r="BW381" i="2"/>
  <c r="BV381" i="2"/>
  <c r="BU381" i="2"/>
  <c r="BT381" i="2"/>
  <c r="BS381" i="2"/>
  <c r="BR381" i="2"/>
  <c r="BQ381" i="2"/>
  <c r="BP381" i="2"/>
  <c r="BO381" i="2"/>
  <c r="BN381" i="2"/>
  <c r="BM381" i="2"/>
  <c r="BL381" i="2"/>
  <c r="BK381" i="2"/>
  <c r="BJ381" i="2"/>
  <c r="BI381" i="2"/>
  <c r="BH381" i="2"/>
  <c r="BG381" i="2"/>
  <c r="BF381" i="2"/>
  <c r="BE381" i="2"/>
  <c r="BC381" i="2"/>
  <c r="BB381" i="2"/>
  <c r="BA381" i="2"/>
  <c r="AZ381" i="2"/>
  <c r="AY381" i="2"/>
  <c r="AX381" i="2"/>
  <c r="AW381" i="2"/>
  <c r="AV381" i="2"/>
  <c r="AU381" i="2"/>
  <c r="AT381" i="2"/>
  <c r="AS381" i="2"/>
  <c r="AR381" i="2"/>
  <c r="AQ381" i="2"/>
  <c r="AP381" i="2"/>
  <c r="AO381" i="2"/>
  <c r="AN381" i="2"/>
  <c r="AM381" i="2"/>
  <c r="AL381" i="2"/>
  <c r="AK381" i="2"/>
  <c r="AJ381" i="2"/>
  <c r="AI381" i="2"/>
  <c r="AH381" i="2"/>
  <c r="AG381" i="2"/>
  <c r="AF381" i="2"/>
  <c r="AE381" i="2"/>
  <c r="AD381" i="2"/>
  <c r="AC381" i="2"/>
  <c r="AB381" i="2"/>
  <c r="AA381" i="2"/>
  <c r="Z381" i="2"/>
  <c r="Y381" i="2"/>
  <c r="X381" i="2"/>
  <c r="W381" i="2"/>
  <c r="V381" i="2"/>
  <c r="U381" i="2"/>
  <c r="T381" i="2"/>
  <c r="S381" i="2"/>
  <c r="R381" i="2"/>
  <c r="Q381" i="2"/>
  <c r="P381" i="2"/>
  <c r="O381" i="2"/>
  <c r="N381" i="2"/>
  <c r="M381" i="2"/>
  <c r="L381" i="2"/>
  <c r="K381" i="2"/>
  <c r="J381" i="2"/>
  <c r="BD381" i="2" s="1"/>
  <c r="I381" i="2"/>
  <c r="E381" i="2" a="1"/>
  <c r="E381" i="2" s="1"/>
  <c r="D381" i="2" a="1"/>
  <c r="D381" i="2" s="1"/>
  <c r="C381" i="2" a="1"/>
  <c r="C381" i="2" s="1"/>
  <c r="B381" i="2" a="1"/>
  <c r="B381" i="2" s="1"/>
  <c r="CG380" i="2"/>
  <c r="CF380" i="2"/>
  <c r="CE380" i="2"/>
  <c r="CD380" i="2"/>
  <c r="CC380" i="2"/>
  <c r="CB380" i="2"/>
  <c r="CA380" i="2"/>
  <c r="BZ380" i="2"/>
  <c r="BY380" i="2"/>
  <c r="BX380" i="2"/>
  <c r="BW380" i="2"/>
  <c r="BV380" i="2"/>
  <c r="BU380" i="2"/>
  <c r="BT380" i="2"/>
  <c r="BS380" i="2"/>
  <c r="BR380" i="2"/>
  <c r="BQ380" i="2"/>
  <c r="BP380" i="2"/>
  <c r="BO380" i="2"/>
  <c r="BN380" i="2"/>
  <c r="BM380" i="2"/>
  <c r="BL380" i="2"/>
  <c r="BK380" i="2"/>
  <c r="BJ380" i="2"/>
  <c r="BI380" i="2"/>
  <c r="BH380" i="2"/>
  <c r="BG380" i="2"/>
  <c r="BF380" i="2"/>
  <c r="BE380" i="2"/>
  <c r="BD380" i="2"/>
  <c r="BC380" i="2"/>
  <c r="BB380" i="2"/>
  <c r="BA380" i="2"/>
  <c r="AZ380" i="2"/>
  <c r="AY380" i="2"/>
  <c r="AX380" i="2"/>
  <c r="AW380" i="2"/>
  <c r="AV380" i="2"/>
  <c r="AU380" i="2"/>
  <c r="AT380" i="2"/>
  <c r="AS380" i="2"/>
  <c r="AR380" i="2"/>
  <c r="AQ380" i="2"/>
  <c r="AP380" i="2"/>
  <c r="AO380" i="2"/>
  <c r="AN380" i="2"/>
  <c r="AM380" i="2"/>
  <c r="AL380" i="2"/>
  <c r="AK380" i="2"/>
  <c r="AJ380" i="2"/>
  <c r="AI380" i="2"/>
  <c r="AH380" i="2"/>
  <c r="AG380" i="2"/>
  <c r="AF380" i="2"/>
  <c r="AE380" i="2"/>
  <c r="AD380" i="2"/>
  <c r="AC380" i="2"/>
  <c r="AB380" i="2"/>
  <c r="AA380" i="2"/>
  <c r="Z380" i="2"/>
  <c r="Y380" i="2"/>
  <c r="X380" i="2"/>
  <c r="W380" i="2"/>
  <c r="V380" i="2"/>
  <c r="U380" i="2"/>
  <c r="T380" i="2"/>
  <c r="S380" i="2"/>
  <c r="R380" i="2"/>
  <c r="Q380" i="2"/>
  <c r="P380" i="2"/>
  <c r="O380" i="2"/>
  <c r="N380" i="2"/>
  <c r="M380" i="2"/>
  <c r="L380" i="2"/>
  <c r="K380" i="2"/>
  <c r="J380" i="2"/>
  <c r="I380" i="2"/>
  <c r="E380" i="2" a="1"/>
  <c r="E380" i="2" s="1"/>
  <c r="D380" i="2" a="1"/>
  <c r="D380" i="2" s="1"/>
  <c r="C380" i="2" a="1"/>
  <c r="C380" i="2" s="1"/>
  <c r="B380" i="2" a="1"/>
  <c r="B380" i="2" s="1"/>
  <c r="CG379" i="2"/>
  <c r="CF379" i="2"/>
  <c r="CE379" i="2"/>
  <c r="CD379" i="2"/>
  <c r="CC379" i="2"/>
  <c r="CB379" i="2"/>
  <c r="CA379" i="2"/>
  <c r="BZ379" i="2"/>
  <c r="BY379" i="2"/>
  <c r="BX379" i="2"/>
  <c r="BW379" i="2"/>
  <c r="BV379" i="2"/>
  <c r="BU379" i="2"/>
  <c r="BT379" i="2"/>
  <c r="BS379" i="2"/>
  <c r="BR379" i="2"/>
  <c r="BQ379" i="2"/>
  <c r="BP379" i="2"/>
  <c r="BO379" i="2"/>
  <c r="BN379" i="2"/>
  <c r="BM379" i="2"/>
  <c r="BL379" i="2"/>
  <c r="BK379" i="2"/>
  <c r="BJ379" i="2"/>
  <c r="BI379" i="2"/>
  <c r="BH379" i="2"/>
  <c r="BG379" i="2"/>
  <c r="BF379" i="2"/>
  <c r="BE379" i="2"/>
  <c r="BD379" i="2"/>
  <c r="BC379" i="2"/>
  <c r="BB379" i="2"/>
  <c r="BA379" i="2"/>
  <c r="AZ379" i="2"/>
  <c r="AY379" i="2"/>
  <c r="AX379" i="2"/>
  <c r="AW379" i="2"/>
  <c r="AV379" i="2"/>
  <c r="AU379" i="2"/>
  <c r="AT379" i="2"/>
  <c r="AS379" i="2"/>
  <c r="AR379" i="2"/>
  <c r="AQ379" i="2"/>
  <c r="AP379" i="2"/>
  <c r="AO379" i="2"/>
  <c r="AN379" i="2"/>
  <c r="AM379" i="2"/>
  <c r="AL379" i="2"/>
  <c r="AK379" i="2"/>
  <c r="AJ379" i="2"/>
  <c r="AI379" i="2"/>
  <c r="AH379" i="2"/>
  <c r="AG379" i="2"/>
  <c r="AF379" i="2"/>
  <c r="AE379" i="2"/>
  <c r="AD379" i="2"/>
  <c r="AC379" i="2"/>
  <c r="AB379" i="2"/>
  <c r="AA379" i="2"/>
  <c r="Z379" i="2"/>
  <c r="Y379" i="2"/>
  <c r="X379" i="2"/>
  <c r="W379" i="2"/>
  <c r="V379" i="2"/>
  <c r="U379" i="2"/>
  <c r="T379" i="2"/>
  <c r="S379" i="2"/>
  <c r="R379" i="2"/>
  <c r="Q379" i="2"/>
  <c r="P379" i="2"/>
  <c r="O379" i="2"/>
  <c r="N379" i="2"/>
  <c r="M379" i="2"/>
  <c r="L379" i="2"/>
  <c r="K379" i="2"/>
  <c r="J379" i="2"/>
  <c r="I379" i="2"/>
  <c r="E379" i="2" a="1"/>
  <c r="E379" i="2" s="1"/>
  <c r="D379" i="2" a="1"/>
  <c r="D379" i="2" s="1"/>
  <c r="C379" i="2" a="1"/>
  <c r="C379" i="2" s="1"/>
  <c r="B379" i="2" a="1"/>
  <c r="B379" i="2" s="1"/>
  <c r="CG378" i="2"/>
  <c r="CF378" i="2"/>
  <c r="CE378" i="2"/>
  <c r="CD378" i="2"/>
  <c r="CC378" i="2"/>
  <c r="CB378" i="2"/>
  <c r="CA378" i="2"/>
  <c r="BZ378" i="2"/>
  <c r="BY378" i="2"/>
  <c r="BX378" i="2"/>
  <c r="BW378" i="2"/>
  <c r="BV378" i="2"/>
  <c r="BU378" i="2"/>
  <c r="BT378" i="2"/>
  <c r="BS378" i="2"/>
  <c r="BR378" i="2"/>
  <c r="BQ378" i="2"/>
  <c r="BP378" i="2"/>
  <c r="BO378" i="2"/>
  <c r="BN378" i="2"/>
  <c r="BM378" i="2"/>
  <c r="BL378" i="2"/>
  <c r="BK378" i="2"/>
  <c r="BJ378" i="2"/>
  <c r="BI378" i="2"/>
  <c r="BH378" i="2"/>
  <c r="BG378" i="2"/>
  <c r="BF378" i="2"/>
  <c r="BE378" i="2"/>
  <c r="BC378" i="2"/>
  <c r="BB378" i="2"/>
  <c r="BA378" i="2"/>
  <c r="AZ378" i="2"/>
  <c r="AY378" i="2"/>
  <c r="AX378" i="2"/>
  <c r="AW378" i="2"/>
  <c r="AV378" i="2"/>
  <c r="AU378" i="2"/>
  <c r="AT378" i="2"/>
  <c r="AS378" i="2"/>
  <c r="AR378" i="2"/>
  <c r="AQ378" i="2"/>
  <c r="AP378" i="2"/>
  <c r="AO378" i="2"/>
  <c r="AN378" i="2"/>
  <c r="AM378" i="2"/>
  <c r="AL378" i="2"/>
  <c r="AK378" i="2"/>
  <c r="AJ378" i="2"/>
  <c r="AI378" i="2"/>
  <c r="AH378" i="2"/>
  <c r="AG378" i="2"/>
  <c r="AF378" i="2"/>
  <c r="AE378" i="2"/>
  <c r="AD378" i="2"/>
  <c r="AC378" i="2"/>
  <c r="AB378" i="2"/>
  <c r="AA378" i="2"/>
  <c r="Z378" i="2"/>
  <c r="Y378" i="2"/>
  <c r="X378" i="2"/>
  <c r="W378" i="2"/>
  <c r="V378" i="2"/>
  <c r="U378" i="2"/>
  <c r="T378" i="2"/>
  <c r="S378" i="2"/>
  <c r="R378" i="2"/>
  <c r="Q378" i="2"/>
  <c r="P378" i="2"/>
  <c r="O378" i="2"/>
  <c r="N378" i="2"/>
  <c r="M378" i="2"/>
  <c r="L378" i="2"/>
  <c r="K378" i="2"/>
  <c r="J378" i="2"/>
  <c r="BD378" i="2" s="1"/>
  <c r="I378" i="2"/>
  <c r="E378" i="2" a="1"/>
  <c r="E378" i="2" s="1"/>
  <c r="D378" i="2" a="1"/>
  <c r="D378" i="2" s="1"/>
  <c r="C378" i="2" a="1"/>
  <c r="C378" i="2" s="1"/>
  <c r="B378" i="2" a="1"/>
  <c r="B378" i="2" s="1"/>
  <c r="CG377" i="2"/>
  <c r="CF377" i="2"/>
  <c r="CE377" i="2"/>
  <c r="CD377" i="2"/>
  <c r="CC377" i="2"/>
  <c r="CB377" i="2"/>
  <c r="CA377" i="2"/>
  <c r="BZ377" i="2"/>
  <c r="BY377" i="2"/>
  <c r="BX377" i="2"/>
  <c r="BW377" i="2"/>
  <c r="BV377" i="2"/>
  <c r="BU377" i="2"/>
  <c r="BT377" i="2"/>
  <c r="BS377" i="2"/>
  <c r="BR377" i="2"/>
  <c r="BQ377" i="2"/>
  <c r="BP377" i="2"/>
  <c r="BO377" i="2"/>
  <c r="BN377" i="2"/>
  <c r="BM377" i="2"/>
  <c r="BL377" i="2"/>
  <c r="BK377" i="2"/>
  <c r="BJ377" i="2"/>
  <c r="BI377" i="2"/>
  <c r="BH377" i="2"/>
  <c r="BG377" i="2"/>
  <c r="BF377" i="2"/>
  <c r="BE377" i="2"/>
  <c r="BC377" i="2"/>
  <c r="BB377" i="2"/>
  <c r="BA377" i="2"/>
  <c r="AZ377" i="2"/>
  <c r="AY377" i="2"/>
  <c r="AX377" i="2"/>
  <c r="AW377" i="2"/>
  <c r="AV377" i="2"/>
  <c r="AU377" i="2"/>
  <c r="AT377" i="2"/>
  <c r="AS377" i="2"/>
  <c r="AR377" i="2"/>
  <c r="AQ377" i="2"/>
  <c r="AP377" i="2"/>
  <c r="AO377" i="2"/>
  <c r="AN377" i="2"/>
  <c r="AM377" i="2"/>
  <c r="AL377" i="2"/>
  <c r="AK377" i="2"/>
  <c r="AJ377" i="2"/>
  <c r="AI377" i="2"/>
  <c r="AH377" i="2"/>
  <c r="AG377" i="2"/>
  <c r="AF377" i="2"/>
  <c r="AE377" i="2"/>
  <c r="AD377" i="2"/>
  <c r="AC377" i="2"/>
  <c r="AB377" i="2"/>
  <c r="AA377" i="2"/>
  <c r="Z377" i="2"/>
  <c r="Y377" i="2"/>
  <c r="X377" i="2"/>
  <c r="W377" i="2"/>
  <c r="V377" i="2"/>
  <c r="U377" i="2"/>
  <c r="T377" i="2"/>
  <c r="S377" i="2"/>
  <c r="R377" i="2"/>
  <c r="Q377" i="2"/>
  <c r="P377" i="2"/>
  <c r="O377" i="2"/>
  <c r="N377" i="2"/>
  <c r="M377" i="2"/>
  <c r="L377" i="2"/>
  <c r="K377" i="2"/>
  <c r="J377" i="2"/>
  <c r="BD377" i="2" s="1"/>
  <c r="I377" i="2"/>
  <c r="E377" i="2" a="1"/>
  <c r="E377" i="2" s="1"/>
  <c r="D377" i="2" a="1"/>
  <c r="D377" i="2" s="1"/>
  <c r="C377" i="2" a="1"/>
  <c r="C377" i="2" s="1"/>
  <c r="B377" i="2" a="1"/>
  <c r="B377" i="2" s="1"/>
  <c r="CG376" i="2"/>
  <c r="CF376" i="2"/>
  <c r="CE376" i="2"/>
  <c r="CD376" i="2"/>
  <c r="CC376" i="2"/>
  <c r="CB376" i="2"/>
  <c r="CA376" i="2"/>
  <c r="BZ376" i="2"/>
  <c r="BY376" i="2"/>
  <c r="BX376" i="2"/>
  <c r="BW376" i="2"/>
  <c r="BV376" i="2"/>
  <c r="BU376" i="2"/>
  <c r="BT376" i="2"/>
  <c r="BS376" i="2"/>
  <c r="BR376" i="2"/>
  <c r="BQ376" i="2"/>
  <c r="BP376" i="2"/>
  <c r="BO376" i="2"/>
  <c r="BN376" i="2"/>
  <c r="BM376" i="2"/>
  <c r="BL376" i="2"/>
  <c r="BK376" i="2"/>
  <c r="BJ376" i="2"/>
  <c r="BI376" i="2"/>
  <c r="BH376" i="2"/>
  <c r="BG376" i="2"/>
  <c r="BF376" i="2"/>
  <c r="BE376" i="2"/>
  <c r="BD376" i="2"/>
  <c r="BC376" i="2"/>
  <c r="BB376" i="2"/>
  <c r="BA376" i="2"/>
  <c r="AZ376" i="2"/>
  <c r="AY376" i="2"/>
  <c r="AX376" i="2"/>
  <c r="AW376" i="2"/>
  <c r="AV376" i="2"/>
  <c r="AU376" i="2"/>
  <c r="AT376" i="2"/>
  <c r="AS376" i="2"/>
  <c r="AR376" i="2"/>
  <c r="AQ376" i="2"/>
  <c r="AP376" i="2"/>
  <c r="AO376" i="2"/>
  <c r="AN376" i="2"/>
  <c r="AM376" i="2"/>
  <c r="AL376" i="2"/>
  <c r="AK376" i="2"/>
  <c r="AJ376" i="2"/>
  <c r="AI376" i="2"/>
  <c r="AH376" i="2"/>
  <c r="AG376" i="2"/>
  <c r="AF376" i="2"/>
  <c r="AE376" i="2"/>
  <c r="AD376" i="2"/>
  <c r="AC376" i="2"/>
  <c r="AB376" i="2"/>
  <c r="AA376" i="2"/>
  <c r="Z376" i="2"/>
  <c r="Y376" i="2"/>
  <c r="X376" i="2"/>
  <c r="W376" i="2"/>
  <c r="V376" i="2"/>
  <c r="U376" i="2"/>
  <c r="T376" i="2"/>
  <c r="S376" i="2"/>
  <c r="R376" i="2"/>
  <c r="Q376" i="2"/>
  <c r="P376" i="2"/>
  <c r="O376" i="2"/>
  <c r="N376" i="2"/>
  <c r="M376" i="2"/>
  <c r="L376" i="2"/>
  <c r="K376" i="2"/>
  <c r="J376" i="2"/>
  <c r="I376" i="2"/>
  <c r="E376" i="2" a="1"/>
  <c r="E376" i="2" s="1"/>
  <c r="D376" i="2" a="1"/>
  <c r="D376" i="2" s="1"/>
  <c r="C376" i="2" a="1"/>
  <c r="C376" i="2" s="1"/>
  <c r="B376" i="2" a="1"/>
  <c r="B376" i="2" s="1"/>
  <c r="CG375" i="2"/>
  <c r="CF375" i="2"/>
  <c r="CE375" i="2"/>
  <c r="CD375" i="2"/>
  <c r="CC375" i="2"/>
  <c r="CB375" i="2"/>
  <c r="CA375" i="2"/>
  <c r="BZ375" i="2"/>
  <c r="BY375" i="2"/>
  <c r="BX375" i="2"/>
  <c r="BW375" i="2"/>
  <c r="BV375" i="2"/>
  <c r="BU375" i="2"/>
  <c r="BT375" i="2"/>
  <c r="BS375" i="2"/>
  <c r="BR375" i="2"/>
  <c r="BQ375" i="2"/>
  <c r="BP375" i="2"/>
  <c r="BO375" i="2"/>
  <c r="BN375" i="2"/>
  <c r="BM375" i="2"/>
  <c r="BL375" i="2"/>
  <c r="BK375" i="2"/>
  <c r="BJ375" i="2"/>
  <c r="BI375" i="2"/>
  <c r="BH375" i="2"/>
  <c r="BG375" i="2"/>
  <c r="BF375" i="2"/>
  <c r="BE375" i="2"/>
  <c r="BD375" i="2"/>
  <c r="BC375" i="2"/>
  <c r="BB375" i="2"/>
  <c r="BA375" i="2"/>
  <c r="AZ375" i="2"/>
  <c r="AY375" i="2"/>
  <c r="AX375" i="2"/>
  <c r="AW375" i="2"/>
  <c r="AV375" i="2"/>
  <c r="AU375" i="2"/>
  <c r="AT375" i="2"/>
  <c r="AS375" i="2"/>
  <c r="AR375" i="2"/>
  <c r="AQ375" i="2"/>
  <c r="AP375" i="2"/>
  <c r="AO375" i="2"/>
  <c r="AN375" i="2"/>
  <c r="AM375" i="2"/>
  <c r="AL375" i="2"/>
  <c r="AK375" i="2"/>
  <c r="AJ375" i="2"/>
  <c r="AI375" i="2"/>
  <c r="AH375" i="2"/>
  <c r="AG375" i="2"/>
  <c r="AF375" i="2"/>
  <c r="AE375" i="2"/>
  <c r="AD375" i="2"/>
  <c r="AC375" i="2"/>
  <c r="AB375" i="2"/>
  <c r="AA375" i="2"/>
  <c r="Z375" i="2"/>
  <c r="Y375" i="2"/>
  <c r="X375" i="2"/>
  <c r="W375" i="2"/>
  <c r="V375" i="2"/>
  <c r="U375" i="2"/>
  <c r="T375" i="2"/>
  <c r="S375" i="2"/>
  <c r="R375" i="2"/>
  <c r="Q375" i="2"/>
  <c r="P375" i="2"/>
  <c r="O375" i="2"/>
  <c r="N375" i="2"/>
  <c r="M375" i="2"/>
  <c r="L375" i="2"/>
  <c r="K375" i="2"/>
  <c r="J375" i="2"/>
  <c r="I375" i="2"/>
  <c r="E375" i="2" a="1"/>
  <c r="E375" i="2" s="1"/>
  <c r="D375" i="2" a="1"/>
  <c r="D375" i="2" s="1"/>
  <c r="C375" i="2" a="1"/>
  <c r="C375" i="2" s="1"/>
  <c r="B375" i="2" a="1"/>
  <c r="B375" i="2" s="1"/>
  <c r="CG374" i="2"/>
  <c r="CF374" i="2"/>
  <c r="CE374" i="2"/>
  <c r="CD374" i="2"/>
  <c r="CC374" i="2"/>
  <c r="CB374" i="2"/>
  <c r="CA374" i="2"/>
  <c r="BZ374" i="2"/>
  <c r="BY374" i="2"/>
  <c r="BX374" i="2"/>
  <c r="BW374" i="2"/>
  <c r="BV374" i="2"/>
  <c r="BU374" i="2"/>
  <c r="BT374" i="2"/>
  <c r="BS374" i="2"/>
  <c r="BR374" i="2"/>
  <c r="BQ374" i="2"/>
  <c r="BP374" i="2"/>
  <c r="BO374" i="2"/>
  <c r="BN374" i="2"/>
  <c r="BM374" i="2"/>
  <c r="BL374" i="2"/>
  <c r="BK374" i="2"/>
  <c r="BJ374" i="2"/>
  <c r="BI374" i="2"/>
  <c r="BH374" i="2"/>
  <c r="BG374" i="2"/>
  <c r="BF374" i="2"/>
  <c r="BE374" i="2"/>
  <c r="BC374" i="2"/>
  <c r="BB374" i="2"/>
  <c r="BA374" i="2"/>
  <c r="AZ374" i="2"/>
  <c r="AY374" i="2"/>
  <c r="AX374" i="2"/>
  <c r="AW374" i="2"/>
  <c r="AV374" i="2"/>
  <c r="AU374" i="2"/>
  <c r="AT374" i="2"/>
  <c r="AS374" i="2"/>
  <c r="AR374" i="2"/>
  <c r="AQ374" i="2"/>
  <c r="AP374" i="2"/>
  <c r="AO374" i="2"/>
  <c r="AN374" i="2"/>
  <c r="AM374" i="2"/>
  <c r="AL374" i="2"/>
  <c r="AK374" i="2"/>
  <c r="AJ374" i="2"/>
  <c r="AI374" i="2"/>
  <c r="AH374" i="2"/>
  <c r="AG374" i="2"/>
  <c r="AF374" i="2"/>
  <c r="AE374" i="2"/>
  <c r="AD374" i="2"/>
  <c r="AC374" i="2"/>
  <c r="AB374" i="2"/>
  <c r="AA374" i="2"/>
  <c r="Z374" i="2"/>
  <c r="Y374" i="2"/>
  <c r="X374" i="2"/>
  <c r="W374" i="2"/>
  <c r="V374" i="2"/>
  <c r="U374" i="2"/>
  <c r="T374" i="2"/>
  <c r="S374" i="2"/>
  <c r="R374" i="2"/>
  <c r="Q374" i="2"/>
  <c r="P374" i="2"/>
  <c r="O374" i="2"/>
  <c r="N374" i="2"/>
  <c r="M374" i="2"/>
  <c r="L374" i="2"/>
  <c r="K374" i="2"/>
  <c r="J374" i="2"/>
  <c r="BD374" i="2" s="1"/>
  <c r="I374" i="2"/>
  <c r="E374" i="2" a="1"/>
  <c r="E374" i="2" s="1"/>
  <c r="D374" i="2" a="1"/>
  <c r="D374" i="2" s="1"/>
  <c r="C374" i="2" a="1"/>
  <c r="C374" i="2" s="1"/>
  <c r="B374" i="2" a="1"/>
  <c r="B374" i="2" s="1"/>
  <c r="CG373" i="2"/>
  <c r="CF373" i="2"/>
  <c r="CE373" i="2"/>
  <c r="CD373" i="2"/>
  <c r="CC373" i="2"/>
  <c r="CB373" i="2"/>
  <c r="CA373" i="2"/>
  <c r="BZ373" i="2"/>
  <c r="BY373" i="2"/>
  <c r="BX373" i="2"/>
  <c r="BW373" i="2"/>
  <c r="BV373" i="2"/>
  <c r="BU373" i="2"/>
  <c r="BT373" i="2"/>
  <c r="BS373" i="2"/>
  <c r="BR373" i="2"/>
  <c r="BQ373" i="2"/>
  <c r="BP373" i="2"/>
  <c r="BO373" i="2"/>
  <c r="BN373" i="2"/>
  <c r="BM373" i="2"/>
  <c r="BL373" i="2"/>
  <c r="BK373" i="2"/>
  <c r="BJ373" i="2"/>
  <c r="BI373" i="2"/>
  <c r="BH373" i="2"/>
  <c r="BG373" i="2"/>
  <c r="BF373" i="2"/>
  <c r="BE373" i="2"/>
  <c r="BC373" i="2"/>
  <c r="BB373" i="2"/>
  <c r="BA373" i="2"/>
  <c r="AZ373" i="2"/>
  <c r="AY373" i="2"/>
  <c r="AX373" i="2"/>
  <c r="AW373" i="2"/>
  <c r="AV373" i="2"/>
  <c r="AU373" i="2"/>
  <c r="AT373" i="2"/>
  <c r="AS373" i="2"/>
  <c r="AR373" i="2"/>
  <c r="AQ373" i="2"/>
  <c r="AP373" i="2"/>
  <c r="AO373" i="2"/>
  <c r="AN373" i="2"/>
  <c r="AM373" i="2"/>
  <c r="AL373" i="2"/>
  <c r="AK373" i="2"/>
  <c r="AJ373" i="2"/>
  <c r="AI373" i="2"/>
  <c r="AH373" i="2"/>
  <c r="AG373" i="2"/>
  <c r="AF373" i="2"/>
  <c r="AE373" i="2"/>
  <c r="AD373" i="2"/>
  <c r="AC373" i="2"/>
  <c r="AB373" i="2"/>
  <c r="AA373" i="2"/>
  <c r="Z373" i="2"/>
  <c r="Y373" i="2"/>
  <c r="X373" i="2"/>
  <c r="W373" i="2"/>
  <c r="V373" i="2"/>
  <c r="U373" i="2"/>
  <c r="T373" i="2"/>
  <c r="S373" i="2"/>
  <c r="R373" i="2"/>
  <c r="Q373" i="2"/>
  <c r="P373" i="2"/>
  <c r="O373" i="2"/>
  <c r="N373" i="2"/>
  <c r="M373" i="2"/>
  <c r="L373" i="2"/>
  <c r="K373" i="2"/>
  <c r="J373" i="2"/>
  <c r="BD373" i="2" s="1"/>
  <c r="I373" i="2"/>
  <c r="E373" i="2" a="1"/>
  <c r="E373" i="2" s="1"/>
  <c r="D373" i="2" a="1"/>
  <c r="D373" i="2" s="1"/>
  <c r="C373" i="2" a="1"/>
  <c r="C373" i="2" s="1"/>
  <c r="B373" i="2" a="1"/>
  <c r="B373" i="2" s="1"/>
  <c r="CG372" i="2"/>
  <c r="CF372" i="2"/>
  <c r="CE372" i="2"/>
  <c r="CD372" i="2"/>
  <c r="CC372" i="2"/>
  <c r="CB372" i="2"/>
  <c r="CA372" i="2"/>
  <c r="BZ372" i="2"/>
  <c r="BY372" i="2"/>
  <c r="BX372" i="2"/>
  <c r="BW372" i="2"/>
  <c r="BV372" i="2"/>
  <c r="BU372" i="2"/>
  <c r="BT372" i="2"/>
  <c r="BS372" i="2"/>
  <c r="BR372" i="2"/>
  <c r="BQ372" i="2"/>
  <c r="BP372" i="2"/>
  <c r="BO372" i="2"/>
  <c r="BN372" i="2"/>
  <c r="BM372" i="2"/>
  <c r="BL372" i="2"/>
  <c r="BK372" i="2"/>
  <c r="BJ372" i="2"/>
  <c r="BI372" i="2"/>
  <c r="BH372" i="2"/>
  <c r="BG372" i="2"/>
  <c r="BF372" i="2"/>
  <c r="BE372" i="2"/>
  <c r="BD372" i="2"/>
  <c r="BC372" i="2"/>
  <c r="BB372" i="2"/>
  <c r="BA372" i="2"/>
  <c r="AZ372" i="2"/>
  <c r="AY372" i="2"/>
  <c r="AX372" i="2"/>
  <c r="AW372" i="2"/>
  <c r="AV372" i="2"/>
  <c r="AU372" i="2"/>
  <c r="AT372" i="2"/>
  <c r="AS372" i="2"/>
  <c r="AR372" i="2"/>
  <c r="AQ372" i="2"/>
  <c r="AP372" i="2"/>
  <c r="AO372" i="2"/>
  <c r="AN372" i="2"/>
  <c r="AM372" i="2"/>
  <c r="AL372" i="2"/>
  <c r="AK372" i="2"/>
  <c r="AJ372" i="2"/>
  <c r="AI372" i="2"/>
  <c r="AH372" i="2"/>
  <c r="AG372" i="2"/>
  <c r="AF372" i="2"/>
  <c r="AE372" i="2"/>
  <c r="AD372" i="2"/>
  <c r="AC372" i="2"/>
  <c r="AB372" i="2"/>
  <c r="AA372" i="2"/>
  <c r="Z372" i="2"/>
  <c r="Y372" i="2"/>
  <c r="X372" i="2"/>
  <c r="W372" i="2"/>
  <c r="V372" i="2"/>
  <c r="U372" i="2"/>
  <c r="T372" i="2"/>
  <c r="S372" i="2"/>
  <c r="R372" i="2"/>
  <c r="Q372" i="2"/>
  <c r="P372" i="2"/>
  <c r="O372" i="2"/>
  <c r="N372" i="2"/>
  <c r="M372" i="2"/>
  <c r="L372" i="2"/>
  <c r="K372" i="2"/>
  <c r="J372" i="2"/>
  <c r="I372" i="2"/>
  <c r="E372" i="2" a="1"/>
  <c r="E372" i="2" s="1"/>
  <c r="D372" i="2" a="1"/>
  <c r="D372" i="2" s="1"/>
  <c r="C372" i="2" a="1"/>
  <c r="C372" i="2" s="1"/>
  <c r="B372" i="2" a="1"/>
  <c r="B372" i="2" s="1"/>
  <c r="CG371" i="2"/>
  <c r="CF371" i="2"/>
  <c r="CE371" i="2"/>
  <c r="CD371" i="2"/>
  <c r="CC371" i="2"/>
  <c r="CB371" i="2"/>
  <c r="CA371" i="2"/>
  <c r="BZ371" i="2"/>
  <c r="BY371" i="2"/>
  <c r="BX371" i="2"/>
  <c r="BW371" i="2"/>
  <c r="BV371" i="2"/>
  <c r="BU371" i="2"/>
  <c r="BT371" i="2"/>
  <c r="BS371" i="2"/>
  <c r="BR371" i="2"/>
  <c r="BQ371" i="2"/>
  <c r="BP371" i="2"/>
  <c r="BO371" i="2"/>
  <c r="BN371" i="2"/>
  <c r="BM371" i="2"/>
  <c r="BL371" i="2"/>
  <c r="BK371" i="2"/>
  <c r="BJ371" i="2"/>
  <c r="BI371" i="2"/>
  <c r="BH371" i="2"/>
  <c r="BG371" i="2"/>
  <c r="BF371" i="2"/>
  <c r="BE371" i="2"/>
  <c r="BD371" i="2"/>
  <c r="BC371" i="2"/>
  <c r="BB371" i="2"/>
  <c r="BA371" i="2"/>
  <c r="AZ371" i="2"/>
  <c r="AY371" i="2"/>
  <c r="AX371" i="2"/>
  <c r="AW371" i="2"/>
  <c r="AV371" i="2"/>
  <c r="AU371" i="2"/>
  <c r="AT371" i="2"/>
  <c r="AS371" i="2"/>
  <c r="AR371" i="2"/>
  <c r="AQ371" i="2"/>
  <c r="AP371" i="2"/>
  <c r="AO371" i="2"/>
  <c r="AN371" i="2"/>
  <c r="AM371" i="2"/>
  <c r="AL371" i="2"/>
  <c r="AK371" i="2"/>
  <c r="AJ371" i="2"/>
  <c r="AI371" i="2"/>
  <c r="AH371" i="2"/>
  <c r="AG371" i="2"/>
  <c r="AF371" i="2"/>
  <c r="AE371" i="2"/>
  <c r="AD371" i="2"/>
  <c r="AC371" i="2"/>
  <c r="AB371" i="2"/>
  <c r="AA371" i="2"/>
  <c r="Z371" i="2"/>
  <c r="Y371" i="2"/>
  <c r="X371" i="2"/>
  <c r="W371" i="2"/>
  <c r="V371" i="2"/>
  <c r="U371" i="2"/>
  <c r="T371" i="2"/>
  <c r="S371" i="2"/>
  <c r="R371" i="2"/>
  <c r="Q371" i="2"/>
  <c r="P371" i="2"/>
  <c r="O371" i="2"/>
  <c r="N371" i="2"/>
  <c r="M371" i="2"/>
  <c r="L371" i="2"/>
  <c r="K371" i="2"/>
  <c r="J371" i="2"/>
  <c r="I371" i="2"/>
  <c r="E371" i="2" a="1"/>
  <c r="E371" i="2" s="1"/>
  <c r="D371" i="2" a="1"/>
  <c r="D371" i="2" s="1"/>
  <c r="C371" i="2" a="1"/>
  <c r="C371" i="2" s="1"/>
  <c r="B371" i="2" a="1"/>
  <c r="B371" i="2" s="1"/>
  <c r="CG370" i="2"/>
  <c r="CF370" i="2"/>
  <c r="CE370" i="2"/>
  <c r="CD370" i="2"/>
  <c r="CC370" i="2"/>
  <c r="CB370" i="2"/>
  <c r="CA370" i="2"/>
  <c r="BZ370" i="2"/>
  <c r="BY370" i="2"/>
  <c r="BX370" i="2"/>
  <c r="BW370" i="2"/>
  <c r="BV370" i="2"/>
  <c r="BU370" i="2"/>
  <c r="BT370" i="2"/>
  <c r="BS370" i="2"/>
  <c r="BR370" i="2"/>
  <c r="BQ370" i="2"/>
  <c r="BP370" i="2"/>
  <c r="BO370" i="2"/>
  <c r="BN370" i="2"/>
  <c r="BM370" i="2"/>
  <c r="BL370" i="2"/>
  <c r="BK370" i="2"/>
  <c r="BJ370" i="2"/>
  <c r="BI370" i="2"/>
  <c r="BH370" i="2"/>
  <c r="BG370" i="2"/>
  <c r="BF370" i="2"/>
  <c r="BE370" i="2"/>
  <c r="BC370" i="2"/>
  <c r="BB370" i="2"/>
  <c r="BA370" i="2"/>
  <c r="AZ370" i="2"/>
  <c r="AY370" i="2"/>
  <c r="AX370" i="2"/>
  <c r="AW370" i="2"/>
  <c r="AV370" i="2"/>
  <c r="AU370" i="2"/>
  <c r="AT370" i="2"/>
  <c r="AS370" i="2"/>
  <c r="AR370" i="2"/>
  <c r="AQ370" i="2"/>
  <c r="AP370" i="2"/>
  <c r="AO370" i="2"/>
  <c r="AN370" i="2"/>
  <c r="AM370" i="2"/>
  <c r="AL370" i="2"/>
  <c r="AK370" i="2"/>
  <c r="AJ370" i="2"/>
  <c r="AI370" i="2"/>
  <c r="AH370" i="2"/>
  <c r="AG370" i="2"/>
  <c r="AF370" i="2"/>
  <c r="AE370" i="2"/>
  <c r="AD370" i="2"/>
  <c r="AC370" i="2"/>
  <c r="AB370" i="2"/>
  <c r="AA370" i="2"/>
  <c r="Z370" i="2"/>
  <c r="Y370" i="2"/>
  <c r="X370" i="2"/>
  <c r="W370" i="2"/>
  <c r="V370" i="2"/>
  <c r="U370" i="2"/>
  <c r="T370" i="2"/>
  <c r="S370" i="2"/>
  <c r="R370" i="2"/>
  <c r="Q370" i="2"/>
  <c r="P370" i="2"/>
  <c r="O370" i="2"/>
  <c r="N370" i="2"/>
  <c r="M370" i="2"/>
  <c r="L370" i="2"/>
  <c r="K370" i="2"/>
  <c r="J370" i="2"/>
  <c r="BD370" i="2" s="1"/>
  <c r="I370" i="2"/>
  <c r="E370" i="2" a="1"/>
  <c r="E370" i="2" s="1"/>
  <c r="D370" i="2" a="1"/>
  <c r="D370" i="2" s="1"/>
  <c r="C370" i="2" a="1"/>
  <c r="C370" i="2" s="1"/>
  <c r="B370" i="2" a="1"/>
  <c r="B370" i="2" s="1"/>
  <c r="CG369" i="2"/>
  <c r="CF369" i="2"/>
  <c r="CE369" i="2"/>
  <c r="CD369" i="2"/>
  <c r="CC369" i="2"/>
  <c r="CB369" i="2"/>
  <c r="CA369" i="2"/>
  <c r="BZ369" i="2"/>
  <c r="BY369" i="2"/>
  <c r="BX369" i="2"/>
  <c r="BW369" i="2"/>
  <c r="BV369" i="2"/>
  <c r="BU369" i="2"/>
  <c r="BT369" i="2"/>
  <c r="BS369" i="2"/>
  <c r="BR369" i="2"/>
  <c r="BQ369" i="2"/>
  <c r="BP369" i="2"/>
  <c r="BO369" i="2"/>
  <c r="BN369" i="2"/>
  <c r="BM369" i="2"/>
  <c r="BL369" i="2"/>
  <c r="BK369" i="2"/>
  <c r="BJ369" i="2"/>
  <c r="BI369" i="2"/>
  <c r="BH369" i="2"/>
  <c r="BG369" i="2"/>
  <c r="BF369" i="2"/>
  <c r="BE369" i="2"/>
  <c r="BC369" i="2"/>
  <c r="BB369" i="2"/>
  <c r="BA369" i="2"/>
  <c r="AZ369" i="2"/>
  <c r="AY369" i="2"/>
  <c r="AX369" i="2"/>
  <c r="AW369" i="2"/>
  <c r="AV369" i="2"/>
  <c r="AU369" i="2"/>
  <c r="AT369" i="2"/>
  <c r="AS369" i="2"/>
  <c r="AR369" i="2"/>
  <c r="AQ369" i="2"/>
  <c r="AP369" i="2"/>
  <c r="AO369" i="2"/>
  <c r="AN369" i="2"/>
  <c r="AM369" i="2"/>
  <c r="AL369" i="2"/>
  <c r="AK369" i="2"/>
  <c r="AJ369" i="2"/>
  <c r="AI369" i="2"/>
  <c r="AH369" i="2"/>
  <c r="AG369" i="2"/>
  <c r="AF369" i="2"/>
  <c r="AE369" i="2"/>
  <c r="AD369" i="2"/>
  <c r="AC369" i="2"/>
  <c r="AB369" i="2"/>
  <c r="AA369" i="2"/>
  <c r="Z369" i="2"/>
  <c r="Y369" i="2"/>
  <c r="X369" i="2"/>
  <c r="W369" i="2"/>
  <c r="V369" i="2"/>
  <c r="U369" i="2"/>
  <c r="T369" i="2"/>
  <c r="S369" i="2"/>
  <c r="R369" i="2"/>
  <c r="Q369" i="2"/>
  <c r="P369" i="2"/>
  <c r="O369" i="2"/>
  <c r="N369" i="2"/>
  <c r="M369" i="2"/>
  <c r="L369" i="2"/>
  <c r="K369" i="2"/>
  <c r="J369" i="2"/>
  <c r="BD369" i="2" s="1"/>
  <c r="I369" i="2"/>
  <c r="E369" i="2" a="1"/>
  <c r="E369" i="2" s="1"/>
  <c r="D369" i="2" a="1"/>
  <c r="D369" i="2" s="1"/>
  <c r="C369" i="2" a="1"/>
  <c r="C369" i="2" s="1"/>
  <c r="B369" i="2" a="1"/>
  <c r="B369" i="2" s="1"/>
  <c r="CG368" i="2"/>
  <c r="CF368" i="2"/>
  <c r="CE368" i="2"/>
  <c r="CD368" i="2"/>
  <c r="CC368" i="2"/>
  <c r="CB368" i="2"/>
  <c r="CA368" i="2"/>
  <c r="BZ368" i="2"/>
  <c r="BY368" i="2"/>
  <c r="BX368" i="2"/>
  <c r="BW368" i="2"/>
  <c r="BV368" i="2"/>
  <c r="BU368" i="2"/>
  <c r="BT368" i="2"/>
  <c r="BS368" i="2"/>
  <c r="BR368" i="2"/>
  <c r="BQ368" i="2"/>
  <c r="BP368" i="2"/>
  <c r="BO368" i="2"/>
  <c r="BN368" i="2"/>
  <c r="BM368" i="2"/>
  <c r="BL368" i="2"/>
  <c r="BK368" i="2"/>
  <c r="BJ368" i="2"/>
  <c r="BI368" i="2"/>
  <c r="BH368" i="2"/>
  <c r="BG368" i="2"/>
  <c r="BF368" i="2"/>
  <c r="BE368" i="2"/>
  <c r="BD368" i="2"/>
  <c r="BC368" i="2"/>
  <c r="BB368" i="2"/>
  <c r="BA368" i="2"/>
  <c r="AZ368" i="2"/>
  <c r="AY368" i="2"/>
  <c r="AX368" i="2"/>
  <c r="AW368" i="2"/>
  <c r="AV368" i="2"/>
  <c r="AU368" i="2"/>
  <c r="AT368" i="2"/>
  <c r="AS368" i="2"/>
  <c r="AR368" i="2"/>
  <c r="AQ368" i="2"/>
  <c r="AP368" i="2"/>
  <c r="AO368" i="2"/>
  <c r="AN368" i="2"/>
  <c r="AM368" i="2"/>
  <c r="AL368" i="2"/>
  <c r="AK368" i="2"/>
  <c r="AJ368" i="2"/>
  <c r="AI368" i="2"/>
  <c r="AH368" i="2"/>
  <c r="AG368" i="2"/>
  <c r="AF368" i="2"/>
  <c r="AE368" i="2"/>
  <c r="AD368" i="2"/>
  <c r="AC368" i="2"/>
  <c r="AB368" i="2"/>
  <c r="AA368" i="2"/>
  <c r="Z368" i="2"/>
  <c r="Y368" i="2"/>
  <c r="X368" i="2"/>
  <c r="W368" i="2"/>
  <c r="V368" i="2"/>
  <c r="U368" i="2"/>
  <c r="T368" i="2"/>
  <c r="S368" i="2"/>
  <c r="R368" i="2"/>
  <c r="Q368" i="2"/>
  <c r="P368" i="2"/>
  <c r="O368" i="2"/>
  <c r="N368" i="2"/>
  <c r="M368" i="2"/>
  <c r="L368" i="2"/>
  <c r="K368" i="2"/>
  <c r="J368" i="2"/>
  <c r="I368" i="2"/>
  <c r="E368" i="2" a="1"/>
  <c r="E368" i="2" s="1"/>
  <c r="D368" i="2" a="1"/>
  <c r="D368" i="2" s="1"/>
  <c r="C368" i="2" a="1"/>
  <c r="C368" i="2" s="1"/>
  <c r="B368" i="2" a="1"/>
  <c r="B368" i="2" s="1"/>
  <c r="CG367" i="2"/>
  <c r="CF367" i="2"/>
  <c r="CE367" i="2"/>
  <c r="CD367" i="2"/>
  <c r="CC367" i="2"/>
  <c r="CB367" i="2"/>
  <c r="CA367" i="2"/>
  <c r="BZ367" i="2"/>
  <c r="BY367" i="2"/>
  <c r="BX367" i="2"/>
  <c r="BW367" i="2"/>
  <c r="BV367" i="2"/>
  <c r="BU367" i="2"/>
  <c r="BT367" i="2"/>
  <c r="BS367" i="2"/>
  <c r="BR367" i="2"/>
  <c r="BQ367" i="2"/>
  <c r="BP367" i="2"/>
  <c r="BO367" i="2"/>
  <c r="BN367" i="2"/>
  <c r="BM367" i="2"/>
  <c r="BL367" i="2"/>
  <c r="BK367" i="2"/>
  <c r="BJ367" i="2"/>
  <c r="BI367" i="2"/>
  <c r="BH367" i="2"/>
  <c r="BG367" i="2"/>
  <c r="BF367" i="2"/>
  <c r="BE367" i="2"/>
  <c r="BD367" i="2"/>
  <c r="BC367" i="2"/>
  <c r="BB367" i="2"/>
  <c r="BA367" i="2"/>
  <c r="AZ367" i="2"/>
  <c r="AY367" i="2"/>
  <c r="AX367" i="2"/>
  <c r="AW367" i="2"/>
  <c r="AV367" i="2"/>
  <c r="AU367" i="2"/>
  <c r="AT367" i="2"/>
  <c r="AS367" i="2"/>
  <c r="AR367" i="2"/>
  <c r="AQ367" i="2"/>
  <c r="AP367" i="2"/>
  <c r="AO367" i="2"/>
  <c r="AN367" i="2"/>
  <c r="AM367" i="2"/>
  <c r="AL367" i="2"/>
  <c r="AK367" i="2"/>
  <c r="AJ367" i="2"/>
  <c r="AI367" i="2"/>
  <c r="AH367" i="2"/>
  <c r="AG367" i="2"/>
  <c r="AF367" i="2"/>
  <c r="AE367" i="2"/>
  <c r="AD367" i="2"/>
  <c r="AC367" i="2"/>
  <c r="AB367" i="2"/>
  <c r="AA367" i="2"/>
  <c r="Z367" i="2"/>
  <c r="Y367" i="2"/>
  <c r="X367" i="2"/>
  <c r="W367" i="2"/>
  <c r="V367" i="2"/>
  <c r="U367" i="2"/>
  <c r="T367" i="2"/>
  <c r="S367" i="2"/>
  <c r="R367" i="2"/>
  <c r="Q367" i="2"/>
  <c r="P367" i="2"/>
  <c r="O367" i="2"/>
  <c r="N367" i="2"/>
  <c r="M367" i="2"/>
  <c r="L367" i="2"/>
  <c r="K367" i="2"/>
  <c r="J367" i="2"/>
  <c r="I367" i="2"/>
  <c r="E367" i="2" a="1"/>
  <c r="E367" i="2" s="1"/>
  <c r="D367" i="2" a="1"/>
  <c r="D367" i="2" s="1"/>
  <c r="C367" i="2" a="1"/>
  <c r="C367" i="2" s="1"/>
  <c r="B367" i="2" a="1"/>
  <c r="B367" i="2" s="1"/>
  <c r="CG366" i="2"/>
  <c r="CF366" i="2"/>
  <c r="CE366" i="2"/>
  <c r="CD366" i="2"/>
  <c r="CC366" i="2"/>
  <c r="CB366" i="2"/>
  <c r="CA366" i="2"/>
  <c r="BZ366" i="2"/>
  <c r="BY366" i="2"/>
  <c r="BX366" i="2"/>
  <c r="BW366" i="2"/>
  <c r="BV366" i="2"/>
  <c r="BU366" i="2"/>
  <c r="BT366" i="2"/>
  <c r="BS366" i="2"/>
  <c r="BR366" i="2"/>
  <c r="BQ366" i="2"/>
  <c r="BP366" i="2"/>
  <c r="BO366" i="2"/>
  <c r="BN366" i="2"/>
  <c r="BM366" i="2"/>
  <c r="BL366" i="2"/>
  <c r="BK366" i="2"/>
  <c r="BJ366" i="2"/>
  <c r="BI366" i="2"/>
  <c r="BH366" i="2"/>
  <c r="BG366" i="2"/>
  <c r="BF366" i="2"/>
  <c r="BE366" i="2"/>
  <c r="BC366" i="2"/>
  <c r="BB366" i="2"/>
  <c r="BA366" i="2"/>
  <c r="AZ366" i="2"/>
  <c r="AY366" i="2"/>
  <c r="AX366" i="2"/>
  <c r="AW366" i="2"/>
  <c r="AV366" i="2"/>
  <c r="AU366" i="2"/>
  <c r="AT366" i="2"/>
  <c r="AS366" i="2"/>
  <c r="AR366" i="2"/>
  <c r="AQ366" i="2"/>
  <c r="AP366" i="2"/>
  <c r="AO366" i="2"/>
  <c r="AN366" i="2"/>
  <c r="AM366" i="2"/>
  <c r="AL366" i="2"/>
  <c r="AK366" i="2"/>
  <c r="AJ366" i="2"/>
  <c r="AI366" i="2"/>
  <c r="AH366" i="2"/>
  <c r="AG366" i="2"/>
  <c r="AF366" i="2"/>
  <c r="AE366" i="2"/>
  <c r="AD366" i="2"/>
  <c r="AC366" i="2"/>
  <c r="AB366" i="2"/>
  <c r="AA366" i="2"/>
  <c r="Z366" i="2"/>
  <c r="Y366" i="2"/>
  <c r="X366" i="2"/>
  <c r="W366" i="2"/>
  <c r="V366" i="2"/>
  <c r="U366" i="2"/>
  <c r="T366" i="2"/>
  <c r="S366" i="2"/>
  <c r="R366" i="2"/>
  <c r="Q366" i="2"/>
  <c r="P366" i="2"/>
  <c r="O366" i="2"/>
  <c r="N366" i="2"/>
  <c r="M366" i="2"/>
  <c r="L366" i="2"/>
  <c r="K366" i="2"/>
  <c r="J366" i="2"/>
  <c r="BD366" i="2" s="1"/>
  <c r="I366" i="2"/>
  <c r="E366" i="2" a="1"/>
  <c r="E366" i="2" s="1"/>
  <c r="D366" i="2" a="1"/>
  <c r="D366" i="2" s="1"/>
  <c r="C366" i="2" a="1"/>
  <c r="C366" i="2" s="1"/>
  <c r="B366" i="2" a="1"/>
  <c r="B366" i="2" s="1"/>
  <c r="CG365" i="2"/>
  <c r="CF365" i="2"/>
  <c r="CE365" i="2"/>
  <c r="CD365" i="2"/>
  <c r="CC365" i="2"/>
  <c r="CB365" i="2"/>
  <c r="CA365" i="2"/>
  <c r="BZ365" i="2"/>
  <c r="BY365" i="2"/>
  <c r="BX365" i="2"/>
  <c r="BW365" i="2"/>
  <c r="BV365" i="2"/>
  <c r="BU365" i="2"/>
  <c r="BT365" i="2"/>
  <c r="BS365" i="2"/>
  <c r="BR365" i="2"/>
  <c r="BQ365" i="2"/>
  <c r="BP365" i="2"/>
  <c r="BO365" i="2"/>
  <c r="BN365" i="2"/>
  <c r="BM365" i="2"/>
  <c r="BL365" i="2"/>
  <c r="BK365" i="2"/>
  <c r="BJ365" i="2"/>
  <c r="BI365" i="2"/>
  <c r="BH365" i="2"/>
  <c r="BG365" i="2"/>
  <c r="BF365" i="2"/>
  <c r="BE365" i="2"/>
  <c r="BC365" i="2"/>
  <c r="BB365" i="2"/>
  <c r="BA365" i="2"/>
  <c r="AZ365" i="2"/>
  <c r="AY365" i="2"/>
  <c r="AX365" i="2"/>
  <c r="AW365" i="2"/>
  <c r="AV365" i="2"/>
  <c r="AU365" i="2"/>
  <c r="AT365" i="2"/>
  <c r="AS365" i="2"/>
  <c r="AR365" i="2"/>
  <c r="AQ365" i="2"/>
  <c r="AP365" i="2"/>
  <c r="AO365" i="2"/>
  <c r="AN365" i="2"/>
  <c r="AM365" i="2"/>
  <c r="AL365" i="2"/>
  <c r="AK365" i="2"/>
  <c r="AJ365" i="2"/>
  <c r="AI365" i="2"/>
  <c r="AH365" i="2"/>
  <c r="AG365" i="2"/>
  <c r="AF365" i="2"/>
  <c r="AE365" i="2"/>
  <c r="AD365" i="2"/>
  <c r="AC365" i="2"/>
  <c r="AB365" i="2"/>
  <c r="AA365" i="2"/>
  <c r="Z365" i="2"/>
  <c r="Y365" i="2"/>
  <c r="X365" i="2"/>
  <c r="W365" i="2"/>
  <c r="V365" i="2"/>
  <c r="U365" i="2"/>
  <c r="T365" i="2"/>
  <c r="S365" i="2"/>
  <c r="R365" i="2"/>
  <c r="Q365" i="2"/>
  <c r="P365" i="2"/>
  <c r="O365" i="2"/>
  <c r="N365" i="2"/>
  <c r="M365" i="2"/>
  <c r="L365" i="2"/>
  <c r="K365" i="2"/>
  <c r="J365" i="2"/>
  <c r="BD365" i="2" s="1"/>
  <c r="I365" i="2"/>
  <c r="E365" i="2" a="1"/>
  <c r="E365" i="2" s="1"/>
  <c r="D365" i="2" a="1"/>
  <c r="D365" i="2" s="1"/>
  <c r="C365" i="2" a="1"/>
  <c r="C365" i="2" s="1"/>
  <c r="B365" i="2" a="1"/>
  <c r="B365" i="2" s="1"/>
  <c r="CG364" i="2"/>
  <c r="CF364" i="2"/>
  <c r="CE364" i="2"/>
  <c r="CD364" i="2"/>
  <c r="CC364" i="2"/>
  <c r="CB364" i="2"/>
  <c r="CA364" i="2"/>
  <c r="BZ364" i="2"/>
  <c r="BY364" i="2"/>
  <c r="BX364" i="2"/>
  <c r="BW364" i="2"/>
  <c r="BV364" i="2"/>
  <c r="BU364" i="2"/>
  <c r="BT364" i="2"/>
  <c r="BS364" i="2"/>
  <c r="BR364" i="2"/>
  <c r="BQ364" i="2"/>
  <c r="BP364" i="2"/>
  <c r="BO364" i="2"/>
  <c r="BN364" i="2"/>
  <c r="BM364" i="2"/>
  <c r="BL364" i="2"/>
  <c r="BK364" i="2"/>
  <c r="BJ364" i="2"/>
  <c r="BI364" i="2"/>
  <c r="BH364" i="2"/>
  <c r="BG364" i="2"/>
  <c r="BF364" i="2"/>
  <c r="BE364" i="2"/>
  <c r="BD364" i="2"/>
  <c r="BC364" i="2"/>
  <c r="BB364" i="2"/>
  <c r="BA364" i="2"/>
  <c r="AZ364" i="2"/>
  <c r="AY364" i="2"/>
  <c r="AX364" i="2"/>
  <c r="AW364" i="2"/>
  <c r="AV364" i="2"/>
  <c r="AU364" i="2"/>
  <c r="AT364" i="2"/>
  <c r="AS364" i="2"/>
  <c r="AR364" i="2"/>
  <c r="AQ364" i="2"/>
  <c r="AP364" i="2"/>
  <c r="AO364" i="2"/>
  <c r="AN364" i="2"/>
  <c r="AM364" i="2"/>
  <c r="AL364" i="2"/>
  <c r="AK364" i="2"/>
  <c r="AJ364" i="2"/>
  <c r="AI364" i="2"/>
  <c r="AH364" i="2"/>
  <c r="AG364" i="2"/>
  <c r="AF364" i="2"/>
  <c r="AE364" i="2"/>
  <c r="AD364" i="2"/>
  <c r="AC364" i="2"/>
  <c r="AB364" i="2"/>
  <c r="AA364" i="2"/>
  <c r="Z364" i="2"/>
  <c r="Y364" i="2"/>
  <c r="X364" i="2"/>
  <c r="W364" i="2"/>
  <c r="V364" i="2"/>
  <c r="U364" i="2"/>
  <c r="T364" i="2"/>
  <c r="S364" i="2"/>
  <c r="R364" i="2"/>
  <c r="Q364" i="2"/>
  <c r="P364" i="2"/>
  <c r="O364" i="2"/>
  <c r="N364" i="2"/>
  <c r="M364" i="2"/>
  <c r="L364" i="2"/>
  <c r="K364" i="2"/>
  <c r="J364" i="2"/>
  <c r="I364" i="2"/>
  <c r="E364" i="2" a="1"/>
  <c r="E364" i="2" s="1"/>
  <c r="D364" i="2" a="1"/>
  <c r="D364" i="2" s="1"/>
  <c r="C364" i="2" a="1"/>
  <c r="C364" i="2" s="1"/>
  <c r="B364" i="2" a="1"/>
  <c r="B364" i="2" s="1"/>
  <c r="CG363" i="2"/>
  <c r="CF363" i="2"/>
  <c r="CE363" i="2"/>
  <c r="CD363" i="2"/>
  <c r="CC363" i="2"/>
  <c r="CB363" i="2"/>
  <c r="CA363" i="2"/>
  <c r="BZ363" i="2"/>
  <c r="BY363" i="2"/>
  <c r="BX363" i="2"/>
  <c r="BW363" i="2"/>
  <c r="BV363" i="2"/>
  <c r="BU363" i="2"/>
  <c r="BT363" i="2"/>
  <c r="BS363" i="2"/>
  <c r="BR363" i="2"/>
  <c r="BQ363" i="2"/>
  <c r="BP363" i="2"/>
  <c r="BO363" i="2"/>
  <c r="BN363" i="2"/>
  <c r="BM363" i="2"/>
  <c r="BL363" i="2"/>
  <c r="BK363" i="2"/>
  <c r="BJ363" i="2"/>
  <c r="BI363" i="2"/>
  <c r="BH363" i="2"/>
  <c r="BG363" i="2"/>
  <c r="BF363" i="2"/>
  <c r="BE363" i="2"/>
  <c r="BD363" i="2"/>
  <c r="BC363" i="2"/>
  <c r="BB363" i="2"/>
  <c r="BA363" i="2"/>
  <c r="AZ363" i="2"/>
  <c r="AY363" i="2"/>
  <c r="AX363" i="2"/>
  <c r="AW363" i="2"/>
  <c r="AV363" i="2"/>
  <c r="AU363" i="2"/>
  <c r="AT363" i="2"/>
  <c r="AS363" i="2"/>
  <c r="AR363" i="2"/>
  <c r="AQ363" i="2"/>
  <c r="AP363" i="2"/>
  <c r="AO363" i="2"/>
  <c r="AN363" i="2"/>
  <c r="AM363" i="2"/>
  <c r="AL363" i="2"/>
  <c r="AK363" i="2"/>
  <c r="AJ363" i="2"/>
  <c r="AI363" i="2"/>
  <c r="AH363" i="2"/>
  <c r="AG363" i="2"/>
  <c r="AF363" i="2"/>
  <c r="AE363" i="2"/>
  <c r="AD363" i="2"/>
  <c r="AC363" i="2"/>
  <c r="AB363" i="2"/>
  <c r="AA363" i="2"/>
  <c r="Z363" i="2"/>
  <c r="Y363" i="2"/>
  <c r="X363" i="2"/>
  <c r="W363" i="2"/>
  <c r="V363" i="2"/>
  <c r="U363" i="2"/>
  <c r="T363" i="2"/>
  <c r="S363" i="2"/>
  <c r="R363" i="2"/>
  <c r="Q363" i="2"/>
  <c r="P363" i="2"/>
  <c r="O363" i="2"/>
  <c r="N363" i="2"/>
  <c r="M363" i="2"/>
  <c r="L363" i="2"/>
  <c r="K363" i="2"/>
  <c r="J363" i="2"/>
  <c r="I363" i="2"/>
  <c r="E363" i="2" a="1"/>
  <c r="E363" i="2" s="1"/>
  <c r="D363" i="2" a="1"/>
  <c r="D363" i="2" s="1"/>
  <c r="C363" i="2" a="1"/>
  <c r="C363" i="2" s="1"/>
  <c r="B363" i="2" a="1"/>
  <c r="B363" i="2" s="1"/>
  <c r="CG362" i="2"/>
  <c r="CF362" i="2"/>
  <c r="CE362" i="2"/>
  <c r="CD362" i="2"/>
  <c r="CC362" i="2"/>
  <c r="CB362" i="2"/>
  <c r="CA362" i="2"/>
  <c r="BZ362" i="2"/>
  <c r="BY362" i="2"/>
  <c r="BX362" i="2"/>
  <c r="BW362" i="2"/>
  <c r="BV362" i="2"/>
  <c r="BU362" i="2"/>
  <c r="BT362" i="2"/>
  <c r="BS362" i="2"/>
  <c r="BR362" i="2"/>
  <c r="BQ362" i="2"/>
  <c r="BP362" i="2"/>
  <c r="BO362" i="2"/>
  <c r="BN362" i="2"/>
  <c r="BM362" i="2"/>
  <c r="BL362" i="2"/>
  <c r="BK362" i="2"/>
  <c r="BJ362" i="2"/>
  <c r="BI362" i="2"/>
  <c r="BH362" i="2"/>
  <c r="BG362" i="2"/>
  <c r="BF362" i="2"/>
  <c r="BE362" i="2"/>
  <c r="BC362" i="2"/>
  <c r="BB362" i="2"/>
  <c r="BA362" i="2"/>
  <c r="AZ362" i="2"/>
  <c r="AY362" i="2"/>
  <c r="AX362" i="2"/>
  <c r="AW362" i="2"/>
  <c r="AV362" i="2"/>
  <c r="AU362" i="2"/>
  <c r="AT362" i="2"/>
  <c r="AS362" i="2"/>
  <c r="AR362" i="2"/>
  <c r="AQ362" i="2"/>
  <c r="AP362" i="2"/>
  <c r="AO362" i="2"/>
  <c r="AN362" i="2"/>
  <c r="AM362" i="2"/>
  <c r="AL362" i="2"/>
  <c r="AK362" i="2"/>
  <c r="AJ362" i="2"/>
  <c r="AI362" i="2"/>
  <c r="AH362" i="2"/>
  <c r="AG362" i="2"/>
  <c r="AF362" i="2"/>
  <c r="AE362" i="2"/>
  <c r="AD362" i="2"/>
  <c r="AC362" i="2"/>
  <c r="AB362" i="2"/>
  <c r="AA362" i="2"/>
  <c r="Z362" i="2"/>
  <c r="Y362" i="2"/>
  <c r="X362" i="2"/>
  <c r="W362" i="2"/>
  <c r="V362" i="2"/>
  <c r="U362" i="2"/>
  <c r="T362" i="2"/>
  <c r="S362" i="2"/>
  <c r="R362" i="2"/>
  <c r="Q362" i="2"/>
  <c r="P362" i="2"/>
  <c r="O362" i="2"/>
  <c r="N362" i="2"/>
  <c r="M362" i="2"/>
  <c r="L362" i="2"/>
  <c r="K362" i="2"/>
  <c r="J362" i="2"/>
  <c r="BD362" i="2" s="1"/>
  <c r="I362" i="2"/>
  <c r="E362" i="2" a="1"/>
  <c r="E362" i="2" s="1"/>
  <c r="D362" i="2" a="1"/>
  <c r="D362" i="2" s="1"/>
  <c r="C362" i="2" a="1"/>
  <c r="C362" i="2" s="1"/>
  <c r="B362" i="2" a="1"/>
  <c r="B362" i="2" s="1"/>
  <c r="CG361" i="2"/>
  <c r="CF361" i="2"/>
  <c r="CE361" i="2"/>
  <c r="CD361" i="2"/>
  <c r="CC361" i="2"/>
  <c r="CB361" i="2"/>
  <c r="CA361" i="2"/>
  <c r="BZ361" i="2"/>
  <c r="BY361" i="2"/>
  <c r="BX361" i="2"/>
  <c r="BW361" i="2"/>
  <c r="BV361" i="2"/>
  <c r="BU361" i="2"/>
  <c r="BT361" i="2"/>
  <c r="BS361" i="2"/>
  <c r="BR361" i="2"/>
  <c r="BQ361" i="2"/>
  <c r="BP361" i="2"/>
  <c r="BO361" i="2"/>
  <c r="BN361" i="2"/>
  <c r="BM361" i="2"/>
  <c r="BL361" i="2"/>
  <c r="BK361" i="2"/>
  <c r="BJ361" i="2"/>
  <c r="BI361" i="2"/>
  <c r="BH361" i="2"/>
  <c r="BG361" i="2"/>
  <c r="BF361" i="2"/>
  <c r="BE361" i="2"/>
  <c r="BC361" i="2"/>
  <c r="BB361" i="2"/>
  <c r="BA361" i="2"/>
  <c r="AZ361" i="2"/>
  <c r="AY361" i="2"/>
  <c r="AX361" i="2"/>
  <c r="AW361" i="2"/>
  <c r="AV361" i="2"/>
  <c r="AU361" i="2"/>
  <c r="AT361" i="2"/>
  <c r="AS361" i="2"/>
  <c r="AR361" i="2"/>
  <c r="AQ361" i="2"/>
  <c r="AP361" i="2"/>
  <c r="AO361" i="2"/>
  <c r="AN361" i="2"/>
  <c r="AM361" i="2"/>
  <c r="AL361" i="2"/>
  <c r="AK361" i="2"/>
  <c r="AJ361" i="2"/>
  <c r="AI361" i="2"/>
  <c r="AH361" i="2"/>
  <c r="AG361" i="2"/>
  <c r="AF361" i="2"/>
  <c r="AE361" i="2"/>
  <c r="AD361" i="2"/>
  <c r="AC361" i="2"/>
  <c r="AB361" i="2"/>
  <c r="AA361" i="2"/>
  <c r="Z361" i="2"/>
  <c r="Y361" i="2"/>
  <c r="X361" i="2"/>
  <c r="W361" i="2"/>
  <c r="V361" i="2"/>
  <c r="U361" i="2"/>
  <c r="T361" i="2"/>
  <c r="S361" i="2"/>
  <c r="R361" i="2"/>
  <c r="Q361" i="2"/>
  <c r="P361" i="2"/>
  <c r="O361" i="2"/>
  <c r="N361" i="2"/>
  <c r="M361" i="2"/>
  <c r="L361" i="2"/>
  <c r="K361" i="2"/>
  <c r="J361" i="2"/>
  <c r="BD361" i="2" s="1"/>
  <c r="I361" i="2"/>
  <c r="E361" i="2" a="1"/>
  <c r="E361" i="2" s="1"/>
  <c r="D361" i="2" a="1"/>
  <c r="D361" i="2" s="1"/>
  <c r="C361" i="2" a="1"/>
  <c r="C361" i="2" s="1"/>
  <c r="B361" i="2" a="1"/>
  <c r="B361" i="2" s="1"/>
  <c r="CG360" i="2"/>
  <c r="CF360" i="2"/>
  <c r="CE360" i="2"/>
  <c r="CD360" i="2"/>
  <c r="CC360" i="2"/>
  <c r="CB360" i="2"/>
  <c r="CA360" i="2"/>
  <c r="BZ360" i="2"/>
  <c r="BY360" i="2"/>
  <c r="BX360" i="2"/>
  <c r="BW360" i="2"/>
  <c r="BV360" i="2"/>
  <c r="BU360" i="2"/>
  <c r="BT360" i="2"/>
  <c r="BS360" i="2"/>
  <c r="BR360" i="2"/>
  <c r="BQ360" i="2"/>
  <c r="BP360" i="2"/>
  <c r="BO360" i="2"/>
  <c r="BN360" i="2"/>
  <c r="BM360" i="2"/>
  <c r="BL360" i="2"/>
  <c r="BK360" i="2"/>
  <c r="BJ360" i="2"/>
  <c r="BI360" i="2"/>
  <c r="BH360" i="2"/>
  <c r="BG360" i="2"/>
  <c r="BF360" i="2"/>
  <c r="BE360" i="2"/>
  <c r="BD360" i="2"/>
  <c r="BC360" i="2"/>
  <c r="BB360" i="2"/>
  <c r="BA360" i="2"/>
  <c r="AZ360" i="2"/>
  <c r="AY360" i="2"/>
  <c r="AX360" i="2"/>
  <c r="AW360" i="2"/>
  <c r="AV360" i="2"/>
  <c r="AU360" i="2"/>
  <c r="AT360" i="2"/>
  <c r="AS360" i="2"/>
  <c r="AR360" i="2"/>
  <c r="AQ360" i="2"/>
  <c r="AP360" i="2"/>
  <c r="AO360" i="2"/>
  <c r="AN360" i="2"/>
  <c r="AM360" i="2"/>
  <c r="AL360" i="2"/>
  <c r="AK360" i="2"/>
  <c r="AJ360" i="2"/>
  <c r="AI360" i="2"/>
  <c r="AH360" i="2"/>
  <c r="AG360" i="2"/>
  <c r="AF360" i="2"/>
  <c r="AE360" i="2"/>
  <c r="AD360" i="2"/>
  <c r="AC360" i="2"/>
  <c r="AB360" i="2"/>
  <c r="AA360" i="2"/>
  <c r="Z360" i="2"/>
  <c r="Y360" i="2"/>
  <c r="X360" i="2"/>
  <c r="W360" i="2"/>
  <c r="V360" i="2"/>
  <c r="U360" i="2"/>
  <c r="T360" i="2"/>
  <c r="S360" i="2"/>
  <c r="R360" i="2"/>
  <c r="Q360" i="2"/>
  <c r="P360" i="2"/>
  <c r="O360" i="2"/>
  <c r="N360" i="2"/>
  <c r="M360" i="2"/>
  <c r="L360" i="2"/>
  <c r="K360" i="2"/>
  <c r="J360" i="2"/>
  <c r="I360" i="2"/>
  <c r="E360" i="2" a="1"/>
  <c r="E360" i="2" s="1"/>
  <c r="D360" i="2" a="1"/>
  <c r="D360" i="2" s="1"/>
  <c r="C360" i="2" a="1"/>
  <c r="C360" i="2" s="1"/>
  <c r="B360" i="2" a="1"/>
  <c r="B360" i="2" s="1"/>
  <c r="CG359" i="2"/>
  <c r="CF359" i="2"/>
  <c r="CE359" i="2"/>
  <c r="CD359" i="2"/>
  <c r="CC359" i="2"/>
  <c r="CB359" i="2"/>
  <c r="CA359" i="2"/>
  <c r="BZ359" i="2"/>
  <c r="BY359" i="2"/>
  <c r="BX359" i="2"/>
  <c r="BW359" i="2"/>
  <c r="BV359" i="2"/>
  <c r="BU359" i="2"/>
  <c r="BT359" i="2"/>
  <c r="BS359" i="2"/>
  <c r="BR359" i="2"/>
  <c r="BQ359" i="2"/>
  <c r="BP359" i="2"/>
  <c r="BO359" i="2"/>
  <c r="BN359" i="2"/>
  <c r="BM359" i="2"/>
  <c r="BL359" i="2"/>
  <c r="BK359" i="2"/>
  <c r="BJ359" i="2"/>
  <c r="BI359" i="2"/>
  <c r="BH359" i="2"/>
  <c r="BG359" i="2"/>
  <c r="BF359" i="2"/>
  <c r="BE359" i="2"/>
  <c r="BD359" i="2"/>
  <c r="BC359" i="2"/>
  <c r="BB359" i="2"/>
  <c r="BA359" i="2"/>
  <c r="AZ359" i="2"/>
  <c r="AY359" i="2"/>
  <c r="AX359" i="2"/>
  <c r="AW359" i="2"/>
  <c r="AV359" i="2"/>
  <c r="AU359" i="2"/>
  <c r="AT359" i="2"/>
  <c r="AS359" i="2"/>
  <c r="AR359" i="2"/>
  <c r="AQ359" i="2"/>
  <c r="AP359" i="2"/>
  <c r="AO359" i="2"/>
  <c r="AN359" i="2"/>
  <c r="AM359" i="2"/>
  <c r="AL359" i="2"/>
  <c r="AK359" i="2"/>
  <c r="AJ359" i="2"/>
  <c r="AI359" i="2"/>
  <c r="AH359" i="2"/>
  <c r="AG359" i="2"/>
  <c r="AF359" i="2"/>
  <c r="AE359" i="2"/>
  <c r="AD359" i="2"/>
  <c r="AC359" i="2"/>
  <c r="AB359" i="2"/>
  <c r="AA359" i="2"/>
  <c r="Z359" i="2"/>
  <c r="Y359" i="2"/>
  <c r="X359" i="2"/>
  <c r="W359" i="2"/>
  <c r="V359" i="2"/>
  <c r="U359" i="2"/>
  <c r="T359" i="2"/>
  <c r="S359" i="2"/>
  <c r="R359" i="2"/>
  <c r="Q359" i="2"/>
  <c r="P359" i="2"/>
  <c r="O359" i="2"/>
  <c r="N359" i="2"/>
  <c r="M359" i="2"/>
  <c r="L359" i="2"/>
  <c r="K359" i="2"/>
  <c r="J359" i="2"/>
  <c r="I359" i="2"/>
  <c r="E359" i="2" a="1"/>
  <c r="E359" i="2" s="1"/>
  <c r="D359" i="2" a="1"/>
  <c r="D359" i="2" s="1"/>
  <c r="C359" i="2" a="1"/>
  <c r="C359" i="2" s="1"/>
  <c r="B359" i="2" a="1"/>
  <c r="B359" i="2" s="1"/>
  <c r="CG358" i="2"/>
  <c r="CF358" i="2"/>
  <c r="CE358" i="2"/>
  <c r="CD358" i="2"/>
  <c r="CC358" i="2"/>
  <c r="CB358" i="2"/>
  <c r="CA358" i="2"/>
  <c r="BZ358" i="2"/>
  <c r="BY358" i="2"/>
  <c r="BX358" i="2"/>
  <c r="BW358" i="2"/>
  <c r="BV358" i="2"/>
  <c r="BU358" i="2"/>
  <c r="BT358" i="2"/>
  <c r="BS358" i="2"/>
  <c r="BR358" i="2"/>
  <c r="BQ358" i="2"/>
  <c r="BP358" i="2"/>
  <c r="BO358" i="2"/>
  <c r="BN358" i="2"/>
  <c r="BM358" i="2"/>
  <c r="BL358" i="2"/>
  <c r="BK358" i="2"/>
  <c r="BJ358" i="2"/>
  <c r="BI358" i="2"/>
  <c r="BH358" i="2"/>
  <c r="BG358" i="2"/>
  <c r="BF358" i="2"/>
  <c r="BE358" i="2"/>
  <c r="BC358" i="2"/>
  <c r="BB358" i="2"/>
  <c r="BA358" i="2"/>
  <c r="AZ358" i="2"/>
  <c r="AY358" i="2"/>
  <c r="AX358" i="2"/>
  <c r="AW358" i="2"/>
  <c r="AV358" i="2"/>
  <c r="AU358" i="2"/>
  <c r="AT358" i="2"/>
  <c r="AS358" i="2"/>
  <c r="AR358" i="2"/>
  <c r="AQ358" i="2"/>
  <c r="AP358" i="2"/>
  <c r="AO358" i="2"/>
  <c r="AN358" i="2"/>
  <c r="AM358" i="2"/>
  <c r="AL358" i="2"/>
  <c r="AK358" i="2"/>
  <c r="AJ358" i="2"/>
  <c r="AI358" i="2"/>
  <c r="AH358" i="2"/>
  <c r="AG358" i="2"/>
  <c r="AF358" i="2"/>
  <c r="AE358" i="2"/>
  <c r="AD358" i="2"/>
  <c r="AC358" i="2"/>
  <c r="AB358" i="2"/>
  <c r="AA358" i="2"/>
  <c r="Z358" i="2"/>
  <c r="Y358" i="2"/>
  <c r="X358" i="2"/>
  <c r="W358" i="2"/>
  <c r="V358" i="2"/>
  <c r="U358" i="2"/>
  <c r="T358" i="2"/>
  <c r="S358" i="2"/>
  <c r="R358" i="2"/>
  <c r="Q358" i="2"/>
  <c r="P358" i="2"/>
  <c r="O358" i="2"/>
  <c r="N358" i="2"/>
  <c r="M358" i="2"/>
  <c r="L358" i="2"/>
  <c r="K358" i="2"/>
  <c r="J358" i="2"/>
  <c r="BD358" i="2" s="1"/>
  <c r="I358" i="2"/>
  <c r="E358" i="2" a="1"/>
  <c r="E358" i="2" s="1"/>
  <c r="D358" i="2" a="1"/>
  <c r="D358" i="2" s="1"/>
  <c r="C358" i="2" a="1"/>
  <c r="C358" i="2" s="1"/>
  <c r="B358" i="2" a="1"/>
  <c r="B358" i="2" s="1"/>
  <c r="CG357" i="2"/>
  <c r="CF357" i="2"/>
  <c r="CE357" i="2"/>
  <c r="CD357" i="2"/>
  <c r="CC357" i="2"/>
  <c r="CB357" i="2"/>
  <c r="CA357" i="2"/>
  <c r="BZ357" i="2"/>
  <c r="BY357" i="2"/>
  <c r="BX357" i="2"/>
  <c r="BW357" i="2"/>
  <c r="BV357" i="2"/>
  <c r="BU357" i="2"/>
  <c r="BT357" i="2"/>
  <c r="BS357" i="2"/>
  <c r="BR357" i="2"/>
  <c r="BQ357" i="2"/>
  <c r="BP357" i="2"/>
  <c r="BO357" i="2"/>
  <c r="BN357" i="2"/>
  <c r="BM357" i="2"/>
  <c r="BL357" i="2"/>
  <c r="BK357" i="2"/>
  <c r="BJ357" i="2"/>
  <c r="BI357" i="2"/>
  <c r="BH357" i="2"/>
  <c r="BG357" i="2"/>
  <c r="BF357" i="2"/>
  <c r="BE357" i="2"/>
  <c r="BC357" i="2"/>
  <c r="BB357" i="2"/>
  <c r="BA357" i="2"/>
  <c r="AZ357" i="2"/>
  <c r="AY357" i="2"/>
  <c r="AX357" i="2"/>
  <c r="AW357" i="2"/>
  <c r="AV357" i="2"/>
  <c r="AU357" i="2"/>
  <c r="AT357" i="2"/>
  <c r="AS357" i="2"/>
  <c r="AR357" i="2"/>
  <c r="AQ357" i="2"/>
  <c r="AP357" i="2"/>
  <c r="AO357" i="2"/>
  <c r="AN357" i="2"/>
  <c r="AM357" i="2"/>
  <c r="AL357" i="2"/>
  <c r="AK357" i="2"/>
  <c r="AJ357" i="2"/>
  <c r="AI357" i="2"/>
  <c r="AH357" i="2"/>
  <c r="AG357" i="2"/>
  <c r="AF357" i="2"/>
  <c r="AE357" i="2"/>
  <c r="AD357" i="2"/>
  <c r="AC357" i="2"/>
  <c r="AB357" i="2"/>
  <c r="AA357" i="2"/>
  <c r="Z357" i="2"/>
  <c r="Y357" i="2"/>
  <c r="X357" i="2"/>
  <c r="W357" i="2"/>
  <c r="V357" i="2"/>
  <c r="U357" i="2"/>
  <c r="T357" i="2"/>
  <c r="S357" i="2"/>
  <c r="R357" i="2"/>
  <c r="Q357" i="2"/>
  <c r="P357" i="2"/>
  <c r="O357" i="2"/>
  <c r="N357" i="2"/>
  <c r="M357" i="2"/>
  <c r="L357" i="2"/>
  <c r="K357" i="2"/>
  <c r="J357" i="2"/>
  <c r="BD357" i="2" s="1"/>
  <c r="I357" i="2"/>
  <c r="E357" i="2" a="1"/>
  <c r="E357" i="2" s="1"/>
  <c r="D357" i="2" a="1"/>
  <c r="D357" i="2" s="1"/>
  <c r="C357" i="2" a="1"/>
  <c r="C357" i="2" s="1"/>
  <c r="B357" i="2" a="1"/>
  <c r="B357" i="2" s="1"/>
  <c r="CG356" i="2"/>
  <c r="CF356" i="2"/>
  <c r="CE356" i="2"/>
  <c r="CD356" i="2"/>
  <c r="CC356" i="2"/>
  <c r="CB356" i="2"/>
  <c r="CA356" i="2"/>
  <c r="BZ356" i="2"/>
  <c r="BY356" i="2"/>
  <c r="BX356" i="2"/>
  <c r="BW356" i="2"/>
  <c r="BV356" i="2"/>
  <c r="BU356" i="2"/>
  <c r="BT356" i="2"/>
  <c r="BS356" i="2"/>
  <c r="BR356" i="2"/>
  <c r="BQ356" i="2"/>
  <c r="BP356" i="2"/>
  <c r="BO356" i="2"/>
  <c r="BN356" i="2"/>
  <c r="BM356" i="2"/>
  <c r="BL356" i="2"/>
  <c r="BK356" i="2"/>
  <c r="BJ356" i="2"/>
  <c r="BI356" i="2"/>
  <c r="BH356" i="2"/>
  <c r="BG356" i="2"/>
  <c r="BF356" i="2"/>
  <c r="BE356" i="2"/>
  <c r="BD356" i="2"/>
  <c r="BC356" i="2"/>
  <c r="BB356" i="2"/>
  <c r="BA356" i="2"/>
  <c r="AZ356" i="2"/>
  <c r="AY356" i="2"/>
  <c r="AX356" i="2"/>
  <c r="AW356" i="2"/>
  <c r="AV356" i="2"/>
  <c r="AU356" i="2"/>
  <c r="AT356" i="2"/>
  <c r="AS356" i="2"/>
  <c r="AR356" i="2"/>
  <c r="AQ356" i="2"/>
  <c r="AP356" i="2"/>
  <c r="AO356" i="2"/>
  <c r="AN356" i="2"/>
  <c r="AM356" i="2"/>
  <c r="AL356" i="2"/>
  <c r="AK356" i="2"/>
  <c r="AJ356" i="2"/>
  <c r="AI356" i="2"/>
  <c r="AH356" i="2"/>
  <c r="AG356" i="2"/>
  <c r="AF356" i="2"/>
  <c r="AE356" i="2"/>
  <c r="AD356" i="2"/>
  <c r="AC356" i="2"/>
  <c r="AB356" i="2"/>
  <c r="AA356" i="2"/>
  <c r="Z356" i="2"/>
  <c r="Y356" i="2"/>
  <c r="X356" i="2"/>
  <c r="W356" i="2"/>
  <c r="V356" i="2"/>
  <c r="U356" i="2"/>
  <c r="T356" i="2"/>
  <c r="S356" i="2"/>
  <c r="R356" i="2"/>
  <c r="Q356" i="2"/>
  <c r="P356" i="2"/>
  <c r="O356" i="2"/>
  <c r="N356" i="2"/>
  <c r="M356" i="2"/>
  <c r="L356" i="2"/>
  <c r="K356" i="2"/>
  <c r="J356" i="2"/>
  <c r="I356" i="2"/>
  <c r="E356" i="2" a="1"/>
  <c r="E356" i="2" s="1"/>
  <c r="D356" i="2" a="1"/>
  <c r="D356" i="2" s="1"/>
  <c r="C356" i="2" a="1"/>
  <c r="C356" i="2" s="1"/>
  <c r="B356" i="2" a="1"/>
  <c r="B356" i="2" s="1"/>
  <c r="CG355" i="2"/>
  <c r="CF355" i="2"/>
  <c r="CE355" i="2"/>
  <c r="CD355" i="2"/>
  <c r="CC355" i="2"/>
  <c r="CB355" i="2"/>
  <c r="CA355" i="2"/>
  <c r="BZ355" i="2"/>
  <c r="BY355" i="2"/>
  <c r="BX355" i="2"/>
  <c r="BW355" i="2"/>
  <c r="BV355" i="2"/>
  <c r="BU355" i="2"/>
  <c r="BT355" i="2"/>
  <c r="BS355" i="2"/>
  <c r="BR355" i="2"/>
  <c r="BQ355" i="2"/>
  <c r="BP355" i="2"/>
  <c r="BO355" i="2"/>
  <c r="BN355" i="2"/>
  <c r="BM355" i="2"/>
  <c r="BL355" i="2"/>
  <c r="BK355" i="2"/>
  <c r="BJ355" i="2"/>
  <c r="BI355" i="2"/>
  <c r="BH355" i="2"/>
  <c r="BG355" i="2"/>
  <c r="BF355" i="2"/>
  <c r="BE355" i="2"/>
  <c r="BD355" i="2"/>
  <c r="BC355" i="2"/>
  <c r="BB355" i="2"/>
  <c r="BA355" i="2"/>
  <c r="AZ355" i="2"/>
  <c r="AY355" i="2"/>
  <c r="AX355" i="2"/>
  <c r="AW355" i="2"/>
  <c r="AV355" i="2"/>
  <c r="AU355" i="2"/>
  <c r="AT355" i="2"/>
  <c r="AS355" i="2"/>
  <c r="AR355" i="2"/>
  <c r="AQ355" i="2"/>
  <c r="AP355" i="2"/>
  <c r="AO355" i="2"/>
  <c r="AN355" i="2"/>
  <c r="AM355" i="2"/>
  <c r="AL355" i="2"/>
  <c r="AK355" i="2"/>
  <c r="AJ355" i="2"/>
  <c r="AI355" i="2"/>
  <c r="AH355" i="2"/>
  <c r="AG355" i="2"/>
  <c r="AF355" i="2"/>
  <c r="AE355" i="2"/>
  <c r="AD355" i="2"/>
  <c r="AC355" i="2"/>
  <c r="AB355" i="2"/>
  <c r="AA355" i="2"/>
  <c r="Z355" i="2"/>
  <c r="Y355" i="2"/>
  <c r="X355" i="2"/>
  <c r="W355" i="2"/>
  <c r="V355" i="2"/>
  <c r="U355" i="2"/>
  <c r="T355" i="2"/>
  <c r="S355" i="2"/>
  <c r="R355" i="2"/>
  <c r="Q355" i="2"/>
  <c r="P355" i="2"/>
  <c r="O355" i="2"/>
  <c r="N355" i="2"/>
  <c r="M355" i="2"/>
  <c r="L355" i="2"/>
  <c r="K355" i="2"/>
  <c r="J355" i="2"/>
  <c r="I355" i="2"/>
  <c r="E355" i="2" a="1"/>
  <c r="E355" i="2" s="1"/>
  <c r="D355" i="2" a="1"/>
  <c r="D355" i="2" s="1"/>
  <c r="C355" i="2" a="1"/>
  <c r="C355" i="2" s="1"/>
  <c r="B355" i="2" a="1"/>
  <c r="B355" i="2" s="1"/>
  <c r="CG354" i="2"/>
  <c r="CF354" i="2"/>
  <c r="CE354" i="2"/>
  <c r="CD354" i="2"/>
  <c r="CC354" i="2"/>
  <c r="CB354" i="2"/>
  <c r="CA354" i="2"/>
  <c r="BZ354" i="2"/>
  <c r="BY354" i="2"/>
  <c r="BX354" i="2"/>
  <c r="BW354" i="2"/>
  <c r="BV354" i="2"/>
  <c r="BU354" i="2"/>
  <c r="BT354" i="2"/>
  <c r="BS354" i="2"/>
  <c r="BR354" i="2"/>
  <c r="BQ354" i="2"/>
  <c r="BP354" i="2"/>
  <c r="BO354" i="2"/>
  <c r="BN354" i="2"/>
  <c r="BM354" i="2"/>
  <c r="BL354" i="2"/>
  <c r="BK354" i="2"/>
  <c r="BJ354" i="2"/>
  <c r="BI354" i="2"/>
  <c r="BH354" i="2"/>
  <c r="BG354" i="2"/>
  <c r="BF354" i="2"/>
  <c r="BE354" i="2"/>
  <c r="BC354" i="2"/>
  <c r="BB354" i="2"/>
  <c r="BA354" i="2"/>
  <c r="AZ354" i="2"/>
  <c r="AY354" i="2"/>
  <c r="AX354" i="2"/>
  <c r="AW354" i="2"/>
  <c r="AV354" i="2"/>
  <c r="AU354" i="2"/>
  <c r="AT354" i="2"/>
  <c r="AS354" i="2"/>
  <c r="AR354" i="2"/>
  <c r="AQ354" i="2"/>
  <c r="AP354" i="2"/>
  <c r="AO354" i="2"/>
  <c r="AN354" i="2"/>
  <c r="AM354" i="2"/>
  <c r="AL354" i="2"/>
  <c r="AK354" i="2"/>
  <c r="AJ354" i="2"/>
  <c r="AI354" i="2"/>
  <c r="AH354" i="2"/>
  <c r="AG354" i="2"/>
  <c r="AF354" i="2"/>
  <c r="AE354" i="2"/>
  <c r="AD354" i="2"/>
  <c r="AC354" i="2"/>
  <c r="AB354" i="2"/>
  <c r="AA354" i="2"/>
  <c r="Z354" i="2"/>
  <c r="Y354" i="2"/>
  <c r="X354" i="2"/>
  <c r="W354" i="2"/>
  <c r="V354" i="2"/>
  <c r="U354" i="2"/>
  <c r="T354" i="2"/>
  <c r="S354" i="2"/>
  <c r="R354" i="2"/>
  <c r="Q354" i="2"/>
  <c r="P354" i="2"/>
  <c r="O354" i="2"/>
  <c r="N354" i="2"/>
  <c r="M354" i="2"/>
  <c r="L354" i="2"/>
  <c r="K354" i="2"/>
  <c r="J354" i="2"/>
  <c r="BD354" i="2" s="1"/>
  <c r="I354" i="2"/>
  <c r="E354" i="2" a="1"/>
  <c r="E354" i="2" s="1"/>
  <c r="D354" i="2" a="1"/>
  <c r="D354" i="2" s="1"/>
  <c r="C354" i="2" a="1"/>
  <c r="C354" i="2" s="1"/>
  <c r="B354" i="2" a="1"/>
  <c r="B354" i="2" s="1"/>
  <c r="CG353" i="2"/>
  <c r="CF353" i="2"/>
  <c r="CE353" i="2"/>
  <c r="CD353" i="2"/>
  <c r="CC353" i="2"/>
  <c r="CB353" i="2"/>
  <c r="CA353" i="2"/>
  <c r="BZ353" i="2"/>
  <c r="BY353" i="2"/>
  <c r="BX353" i="2"/>
  <c r="BW353" i="2"/>
  <c r="BV353" i="2"/>
  <c r="BU353" i="2"/>
  <c r="BT353" i="2"/>
  <c r="BS353" i="2"/>
  <c r="BR353" i="2"/>
  <c r="BQ353" i="2"/>
  <c r="BP353" i="2"/>
  <c r="BO353" i="2"/>
  <c r="BN353" i="2"/>
  <c r="BM353" i="2"/>
  <c r="BL353" i="2"/>
  <c r="BK353" i="2"/>
  <c r="BJ353" i="2"/>
  <c r="BI353" i="2"/>
  <c r="BH353" i="2"/>
  <c r="BG353" i="2"/>
  <c r="BF353" i="2"/>
  <c r="BE353" i="2"/>
  <c r="BC353" i="2"/>
  <c r="BB353" i="2"/>
  <c r="BA353" i="2"/>
  <c r="AZ353" i="2"/>
  <c r="AY353" i="2"/>
  <c r="AX353" i="2"/>
  <c r="AW353" i="2"/>
  <c r="AV353" i="2"/>
  <c r="AU353" i="2"/>
  <c r="AT353" i="2"/>
  <c r="AS353" i="2"/>
  <c r="AR353" i="2"/>
  <c r="AQ353" i="2"/>
  <c r="AP353" i="2"/>
  <c r="AO353" i="2"/>
  <c r="AN353" i="2"/>
  <c r="AM353" i="2"/>
  <c r="AL353" i="2"/>
  <c r="AK353" i="2"/>
  <c r="AJ353" i="2"/>
  <c r="AI353" i="2"/>
  <c r="AH353" i="2"/>
  <c r="AG353" i="2"/>
  <c r="AF353" i="2"/>
  <c r="AE353" i="2"/>
  <c r="AD353" i="2"/>
  <c r="AC353" i="2"/>
  <c r="AB353" i="2"/>
  <c r="AA353" i="2"/>
  <c r="Z353" i="2"/>
  <c r="Y353" i="2"/>
  <c r="X353" i="2"/>
  <c r="W353" i="2"/>
  <c r="V353" i="2"/>
  <c r="U353" i="2"/>
  <c r="T353" i="2"/>
  <c r="S353" i="2"/>
  <c r="R353" i="2"/>
  <c r="Q353" i="2"/>
  <c r="P353" i="2"/>
  <c r="O353" i="2"/>
  <c r="N353" i="2"/>
  <c r="M353" i="2"/>
  <c r="L353" i="2"/>
  <c r="K353" i="2"/>
  <c r="J353" i="2"/>
  <c r="BD353" i="2" s="1"/>
  <c r="I353" i="2"/>
  <c r="E353" i="2" a="1"/>
  <c r="E353" i="2" s="1"/>
  <c r="D353" i="2" a="1"/>
  <c r="D353" i="2" s="1"/>
  <c r="C353" i="2" a="1"/>
  <c r="C353" i="2" s="1"/>
  <c r="B353" i="2" a="1"/>
  <c r="B353" i="2" s="1"/>
  <c r="CG352" i="2"/>
  <c r="CF352" i="2"/>
  <c r="CE352" i="2"/>
  <c r="CD352" i="2"/>
  <c r="CC352" i="2"/>
  <c r="CB352" i="2"/>
  <c r="CA352" i="2"/>
  <c r="BZ352" i="2"/>
  <c r="BY352" i="2"/>
  <c r="BX352" i="2"/>
  <c r="BW352" i="2"/>
  <c r="BV352" i="2"/>
  <c r="BU352" i="2"/>
  <c r="BT352" i="2"/>
  <c r="BS352" i="2"/>
  <c r="BR352" i="2"/>
  <c r="BQ352" i="2"/>
  <c r="BP352" i="2"/>
  <c r="BO352" i="2"/>
  <c r="BN352" i="2"/>
  <c r="BM352" i="2"/>
  <c r="BL352" i="2"/>
  <c r="BK352" i="2"/>
  <c r="BJ352" i="2"/>
  <c r="BI352" i="2"/>
  <c r="BH352" i="2"/>
  <c r="BG352" i="2"/>
  <c r="BF352" i="2"/>
  <c r="BE352" i="2"/>
  <c r="BD352" i="2"/>
  <c r="BC352" i="2"/>
  <c r="BB352" i="2"/>
  <c r="BA352" i="2"/>
  <c r="AZ352" i="2"/>
  <c r="AY352" i="2"/>
  <c r="AX352" i="2"/>
  <c r="AW352" i="2"/>
  <c r="AV352" i="2"/>
  <c r="AU352" i="2"/>
  <c r="AT352" i="2"/>
  <c r="AS352" i="2"/>
  <c r="AR352" i="2"/>
  <c r="AQ352" i="2"/>
  <c r="AP352" i="2"/>
  <c r="AO352" i="2"/>
  <c r="AN352" i="2"/>
  <c r="AM352" i="2"/>
  <c r="AL352" i="2"/>
  <c r="AK352" i="2"/>
  <c r="AJ352" i="2"/>
  <c r="AI352" i="2"/>
  <c r="AH352" i="2"/>
  <c r="AG352" i="2"/>
  <c r="AF352" i="2"/>
  <c r="AE352" i="2"/>
  <c r="AD352" i="2"/>
  <c r="AC352" i="2"/>
  <c r="AB352" i="2"/>
  <c r="AA352" i="2"/>
  <c r="Z352" i="2"/>
  <c r="Y352" i="2"/>
  <c r="X352" i="2"/>
  <c r="W352" i="2"/>
  <c r="V352" i="2"/>
  <c r="U352" i="2"/>
  <c r="T352" i="2"/>
  <c r="S352" i="2"/>
  <c r="R352" i="2"/>
  <c r="Q352" i="2"/>
  <c r="P352" i="2"/>
  <c r="O352" i="2"/>
  <c r="N352" i="2"/>
  <c r="M352" i="2"/>
  <c r="L352" i="2"/>
  <c r="K352" i="2"/>
  <c r="J352" i="2"/>
  <c r="I352" i="2"/>
  <c r="E352" i="2" a="1"/>
  <c r="E352" i="2" s="1"/>
  <c r="D352" i="2" a="1"/>
  <c r="D352" i="2" s="1"/>
  <c r="C352" i="2" a="1"/>
  <c r="C352" i="2" s="1"/>
  <c r="B352" i="2" a="1"/>
  <c r="B352" i="2" s="1"/>
  <c r="CG351" i="2"/>
  <c r="CF351" i="2"/>
  <c r="CE351" i="2"/>
  <c r="CD351" i="2"/>
  <c r="CC351" i="2"/>
  <c r="CB351" i="2"/>
  <c r="CA351" i="2"/>
  <c r="BZ351" i="2"/>
  <c r="BY351" i="2"/>
  <c r="BX351" i="2"/>
  <c r="BW351" i="2"/>
  <c r="BV351" i="2"/>
  <c r="BU351" i="2"/>
  <c r="BT351" i="2"/>
  <c r="BS351" i="2"/>
  <c r="BR351" i="2"/>
  <c r="BQ351" i="2"/>
  <c r="BP351" i="2"/>
  <c r="BO351" i="2"/>
  <c r="BN351" i="2"/>
  <c r="BM351" i="2"/>
  <c r="BL351" i="2"/>
  <c r="BK351" i="2"/>
  <c r="BJ351" i="2"/>
  <c r="BI351" i="2"/>
  <c r="BH351" i="2"/>
  <c r="BG351" i="2"/>
  <c r="BF351" i="2"/>
  <c r="BE351" i="2"/>
  <c r="BD351" i="2"/>
  <c r="BC351" i="2"/>
  <c r="BB351" i="2"/>
  <c r="BA351" i="2"/>
  <c r="AZ351" i="2"/>
  <c r="AY351" i="2"/>
  <c r="AX351" i="2"/>
  <c r="AW351" i="2"/>
  <c r="AV351" i="2"/>
  <c r="AU351" i="2"/>
  <c r="AT351" i="2"/>
  <c r="AS351" i="2"/>
  <c r="AR351" i="2"/>
  <c r="AQ351" i="2"/>
  <c r="AP351" i="2"/>
  <c r="AO351" i="2"/>
  <c r="AN351" i="2"/>
  <c r="AM351" i="2"/>
  <c r="AL351" i="2"/>
  <c r="AK351" i="2"/>
  <c r="AJ351" i="2"/>
  <c r="AI351" i="2"/>
  <c r="AH351" i="2"/>
  <c r="AG351" i="2"/>
  <c r="AF351" i="2"/>
  <c r="AE351" i="2"/>
  <c r="AD351" i="2"/>
  <c r="AC351" i="2"/>
  <c r="AB351" i="2"/>
  <c r="AA351" i="2"/>
  <c r="Z351" i="2"/>
  <c r="Y351" i="2"/>
  <c r="X351" i="2"/>
  <c r="W351" i="2"/>
  <c r="V351" i="2"/>
  <c r="U351" i="2"/>
  <c r="T351" i="2"/>
  <c r="S351" i="2"/>
  <c r="R351" i="2"/>
  <c r="Q351" i="2"/>
  <c r="P351" i="2"/>
  <c r="O351" i="2"/>
  <c r="N351" i="2"/>
  <c r="M351" i="2"/>
  <c r="L351" i="2"/>
  <c r="K351" i="2"/>
  <c r="J351" i="2"/>
  <c r="I351" i="2"/>
  <c r="E351" i="2" a="1"/>
  <c r="E351" i="2" s="1"/>
  <c r="D351" i="2" a="1"/>
  <c r="D351" i="2" s="1"/>
  <c r="C351" i="2" a="1"/>
  <c r="C351" i="2" s="1"/>
  <c r="B351" i="2" a="1"/>
  <c r="B351" i="2" s="1"/>
  <c r="CG350" i="2"/>
  <c r="CF350" i="2"/>
  <c r="CE350" i="2"/>
  <c r="CD350" i="2"/>
  <c r="CC350" i="2"/>
  <c r="CB350" i="2"/>
  <c r="CA350" i="2"/>
  <c r="BZ350" i="2"/>
  <c r="BY350" i="2"/>
  <c r="BX350" i="2"/>
  <c r="BW350" i="2"/>
  <c r="BV350" i="2"/>
  <c r="BU350" i="2"/>
  <c r="BT350" i="2"/>
  <c r="BS350" i="2"/>
  <c r="BR350" i="2"/>
  <c r="BQ350" i="2"/>
  <c r="BP350" i="2"/>
  <c r="BO350" i="2"/>
  <c r="BN350" i="2"/>
  <c r="BM350" i="2"/>
  <c r="BL350" i="2"/>
  <c r="BK350" i="2"/>
  <c r="BJ350" i="2"/>
  <c r="BI350" i="2"/>
  <c r="BH350" i="2"/>
  <c r="BG350" i="2"/>
  <c r="BF350" i="2"/>
  <c r="BE350" i="2"/>
  <c r="BC350" i="2"/>
  <c r="BB350" i="2"/>
  <c r="BA350" i="2"/>
  <c r="AZ350" i="2"/>
  <c r="AY350" i="2"/>
  <c r="AX350" i="2"/>
  <c r="AW350" i="2"/>
  <c r="AV350" i="2"/>
  <c r="AU350" i="2"/>
  <c r="AT350" i="2"/>
  <c r="AS350" i="2"/>
  <c r="AR350" i="2"/>
  <c r="AQ350" i="2"/>
  <c r="AP350" i="2"/>
  <c r="AO350" i="2"/>
  <c r="AN350" i="2"/>
  <c r="AM350" i="2"/>
  <c r="AL350" i="2"/>
  <c r="AK350" i="2"/>
  <c r="AJ350" i="2"/>
  <c r="AI350" i="2"/>
  <c r="AH350" i="2"/>
  <c r="AG350" i="2"/>
  <c r="AF350" i="2"/>
  <c r="AE350" i="2"/>
  <c r="AD350" i="2"/>
  <c r="AC350" i="2"/>
  <c r="AB350" i="2"/>
  <c r="AA350" i="2"/>
  <c r="Z350" i="2"/>
  <c r="Y350" i="2"/>
  <c r="X350" i="2"/>
  <c r="W350" i="2"/>
  <c r="V350" i="2"/>
  <c r="U350" i="2"/>
  <c r="T350" i="2"/>
  <c r="S350" i="2"/>
  <c r="R350" i="2"/>
  <c r="Q350" i="2"/>
  <c r="P350" i="2"/>
  <c r="O350" i="2"/>
  <c r="N350" i="2"/>
  <c r="M350" i="2"/>
  <c r="L350" i="2"/>
  <c r="K350" i="2"/>
  <c r="J350" i="2"/>
  <c r="BD350" i="2" s="1"/>
  <c r="I350" i="2"/>
  <c r="E350" i="2" a="1"/>
  <c r="E350" i="2" s="1"/>
  <c r="D350" i="2" a="1"/>
  <c r="D350" i="2" s="1"/>
  <c r="C350" i="2" a="1"/>
  <c r="C350" i="2" s="1"/>
  <c r="B350" i="2" a="1"/>
  <c r="B350" i="2" s="1"/>
  <c r="CG349" i="2"/>
  <c r="CF349" i="2"/>
  <c r="CE349" i="2"/>
  <c r="CD349" i="2"/>
  <c r="CC349" i="2"/>
  <c r="CB349" i="2"/>
  <c r="CA349" i="2"/>
  <c r="BZ349" i="2"/>
  <c r="BY349" i="2"/>
  <c r="BX349" i="2"/>
  <c r="BW349" i="2"/>
  <c r="BV349" i="2"/>
  <c r="BU349" i="2"/>
  <c r="BT349" i="2"/>
  <c r="BS349" i="2"/>
  <c r="BR349" i="2"/>
  <c r="BQ349" i="2"/>
  <c r="BP349" i="2"/>
  <c r="BO349" i="2"/>
  <c r="BN349" i="2"/>
  <c r="BM349" i="2"/>
  <c r="BL349" i="2"/>
  <c r="BK349" i="2"/>
  <c r="BJ349" i="2"/>
  <c r="BI349" i="2"/>
  <c r="BH349" i="2"/>
  <c r="BG349" i="2"/>
  <c r="BF349" i="2"/>
  <c r="BE349" i="2"/>
  <c r="BC349" i="2"/>
  <c r="BB349" i="2"/>
  <c r="BA349" i="2"/>
  <c r="AZ349" i="2"/>
  <c r="AY349" i="2"/>
  <c r="AX349" i="2"/>
  <c r="AW349" i="2"/>
  <c r="AV349" i="2"/>
  <c r="AU349" i="2"/>
  <c r="AT349" i="2"/>
  <c r="AS349" i="2"/>
  <c r="AR349" i="2"/>
  <c r="AQ349" i="2"/>
  <c r="AP349" i="2"/>
  <c r="AO349" i="2"/>
  <c r="AN349" i="2"/>
  <c r="AM349" i="2"/>
  <c r="AL349" i="2"/>
  <c r="AK349" i="2"/>
  <c r="AJ349" i="2"/>
  <c r="AI349" i="2"/>
  <c r="AH349" i="2"/>
  <c r="AG349" i="2"/>
  <c r="AF349" i="2"/>
  <c r="AE349" i="2"/>
  <c r="AD349" i="2"/>
  <c r="AC349" i="2"/>
  <c r="AB349" i="2"/>
  <c r="AA349" i="2"/>
  <c r="Z349" i="2"/>
  <c r="Y349" i="2"/>
  <c r="X349" i="2"/>
  <c r="W349" i="2"/>
  <c r="V349" i="2"/>
  <c r="U349" i="2"/>
  <c r="T349" i="2"/>
  <c r="S349" i="2"/>
  <c r="R349" i="2"/>
  <c r="Q349" i="2"/>
  <c r="P349" i="2"/>
  <c r="O349" i="2"/>
  <c r="N349" i="2"/>
  <c r="M349" i="2"/>
  <c r="L349" i="2"/>
  <c r="K349" i="2"/>
  <c r="J349" i="2"/>
  <c r="BD349" i="2" s="1"/>
  <c r="I349" i="2"/>
  <c r="E349" i="2" a="1"/>
  <c r="E349" i="2" s="1"/>
  <c r="D349" i="2" a="1"/>
  <c r="D349" i="2" s="1"/>
  <c r="C349" i="2" a="1"/>
  <c r="C349" i="2" s="1"/>
  <c r="B349" i="2" a="1"/>
  <c r="B349" i="2" s="1"/>
  <c r="CG348" i="2"/>
  <c r="CF348" i="2"/>
  <c r="CE348" i="2"/>
  <c r="CD348" i="2"/>
  <c r="CC348" i="2"/>
  <c r="CB348" i="2"/>
  <c r="CA348" i="2"/>
  <c r="BZ348" i="2"/>
  <c r="BY348" i="2"/>
  <c r="BX348" i="2"/>
  <c r="BW348" i="2"/>
  <c r="BV348" i="2"/>
  <c r="BU348" i="2"/>
  <c r="BT348" i="2"/>
  <c r="BS348" i="2"/>
  <c r="BR348" i="2"/>
  <c r="BQ348" i="2"/>
  <c r="BP348" i="2"/>
  <c r="BO348" i="2"/>
  <c r="BN348" i="2"/>
  <c r="BM348" i="2"/>
  <c r="BL348" i="2"/>
  <c r="BK348" i="2"/>
  <c r="BJ348" i="2"/>
  <c r="BI348" i="2"/>
  <c r="BH348" i="2"/>
  <c r="BG348" i="2"/>
  <c r="BF348" i="2"/>
  <c r="BE348" i="2"/>
  <c r="BD348" i="2"/>
  <c r="BC348" i="2"/>
  <c r="BB348" i="2"/>
  <c r="BA348" i="2"/>
  <c r="AZ348" i="2"/>
  <c r="AY348" i="2"/>
  <c r="AX348" i="2"/>
  <c r="AW348" i="2"/>
  <c r="AV348" i="2"/>
  <c r="AU348" i="2"/>
  <c r="AT348" i="2"/>
  <c r="AS348" i="2"/>
  <c r="AR348" i="2"/>
  <c r="AQ348" i="2"/>
  <c r="AP348" i="2"/>
  <c r="AO348" i="2"/>
  <c r="AN348" i="2"/>
  <c r="AM348" i="2"/>
  <c r="AL348" i="2"/>
  <c r="AK348" i="2"/>
  <c r="AJ348" i="2"/>
  <c r="AI348" i="2"/>
  <c r="AH348" i="2"/>
  <c r="AG348" i="2"/>
  <c r="AF348" i="2"/>
  <c r="AE348" i="2"/>
  <c r="AD348" i="2"/>
  <c r="AC348" i="2"/>
  <c r="AB348" i="2"/>
  <c r="AA348" i="2"/>
  <c r="Z348" i="2"/>
  <c r="Y348" i="2"/>
  <c r="X348" i="2"/>
  <c r="W348" i="2"/>
  <c r="V348" i="2"/>
  <c r="U348" i="2"/>
  <c r="T348" i="2"/>
  <c r="S348" i="2"/>
  <c r="R348" i="2"/>
  <c r="Q348" i="2"/>
  <c r="P348" i="2"/>
  <c r="O348" i="2"/>
  <c r="N348" i="2"/>
  <c r="M348" i="2"/>
  <c r="L348" i="2"/>
  <c r="K348" i="2"/>
  <c r="J348" i="2"/>
  <c r="I348" i="2"/>
  <c r="E348" i="2" a="1"/>
  <c r="E348" i="2" s="1"/>
  <c r="D348" i="2" a="1"/>
  <c r="D348" i="2" s="1"/>
  <c r="C348" i="2" a="1"/>
  <c r="C348" i="2" s="1"/>
  <c r="B348" i="2" a="1"/>
  <c r="B348" i="2" s="1"/>
  <c r="CG347" i="2"/>
  <c r="CF347" i="2"/>
  <c r="CE347" i="2"/>
  <c r="CD347" i="2"/>
  <c r="CC347" i="2"/>
  <c r="CB347" i="2"/>
  <c r="CA347" i="2"/>
  <c r="BZ347" i="2"/>
  <c r="BY347" i="2"/>
  <c r="BX347" i="2"/>
  <c r="BW347" i="2"/>
  <c r="BV347" i="2"/>
  <c r="BU347" i="2"/>
  <c r="BT347" i="2"/>
  <c r="BS347" i="2"/>
  <c r="BR347" i="2"/>
  <c r="BQ347" i="2"/>
  <c r="BP347" i="2"/>
  <c r="BO347" i="2"/>
  <c r="BN347" i="2"/>
  <c r="BM347" i="2"/>
  <c r="BL347" i="2"/>
  <c r="BK347" i="2"/>
  <c r="BJ347" i="2"/>
  <c r="BI347" i="2"/>
  <c r="BH347" i="2"/>
  <c r="BG347" i="2"/>
  <c r="BF347" i="2"/>
  <c r="BE347" i="2"/>
  <c r="BD347" i="2"/>
  <c r="BC347" i="2"/>
  <c r="BB347" i="2"/>
  <c r="BA347" i="2"/>
  <c r="AZ347" i="2"/>
  <c r="AY347" i="2"/>
  <c r="AX347" i="2"/>
  <c r="AW347" i="2"/>
  <c r="AV347" i="2"/>
  <c r="AU347" i="2"/>
  <c r="AT347" i="2"/>
  <c r="AS347" i="2"/>
  <c r="AR347" i="2"/>
  <c r="AQ347" i="2"/>
  <c r="AP347" i="2"/>
  <c r="AO347" i="2"/>
  <c r="AN347" i="2"/>
  <c r="AM347" i="2"/>
  <c r="AL347" i="2"/>
  <c r="AK347" i="2"/>
  <c r="AJ347" i="2"/>
  <c r="AI347" i="2"/>
  <c r="AH347" i="2"/>
  <c r="AG347" i="2"/>
  <c r="AF347" i="2"/>
  <c r="AE347" i="2"/>
  <c r="AD347" i="2"/>
  <c r="AC347" i="2"/>
  <c r="AB347" i="2"/>
  <c r="AA347" i="2"/>
  <c r="Z347" i="2"/>
  <c r="Y347" i="2"/>
  <c r="X347" i="2"/>
  <c r="W347" i="2"/>
  <c r="V347" i="2"/>
  <c r="U347" i="2"/>
  <c r="T347" i="2"/>
  <c r="S347" i="2"/>
  <c r="R347" i="2"/>
  <c r="Q347" i="2"/>
  <c r="P347" i="2"/>
  <c r="O347" i="2"/>
  <c r="N347" i="2"/>
  <c r="M347" i="2"/>
  <c r="L347" i="2"/>
  <c r="K347" i="2"/>
  <c r="J347" i="2"/>
  <c r="I347" i="2"/>
  <c r="E347" i="2" a="1"/>
  <c r="E347" i="2" s="1"/>
  <c r="D347" i="2" a="1"/>
  <c r="D347" i="2" s="1"/>
  <c r="C347" i="2" a="1"/>
  <c r="C347" i="2" s="1"/>
  <c r="B347" i="2" a="1"/>
  <c r="B347" i="2" s="1"/>
  <c r="CG346" i="2"/>
  <c r="CF346" i="2"/>
  <c r="CE346" i="2"/>
  <c r="CD346" i="2"/>
  <c r="CC346" i="2"/>
  <c r="CB346" i="2"/>
  <c r="CA346" i="2"/>
  <c r="BZ346" i="2"/>
  <c r="BY346" i="2"/>
  <c r="BX346" i="2"/>
  <c r="BW346" i="2"/>
  <c r="BV346" i="2"/>
  <c r="BU346" i="2"/>
  <c r="BT346" i="2"/>
  <c r="BS346" i="2"/>
  <c r="BR346" i="2"/>
  <c r="BQ346" i="2"/>
  <c r="BP346" i="2"/>
  <c r="BO346" i="2"/>
  <c r="BN346" i="2"/>
  <c r="BM346" i="2"/>
  <c r="BL346" i="2"/>
  <c r="BK346" i="2"/>
  <c r="BJ346" i="2"/>
  <c r="BI346" i="2"/>
  <c r="BH346" i="2"/>
  <c r="BG346" i="2"/>
  <c r="BF346" i="2"/>
  <c r="BE346" i="2"/>
  <c r="BC346" i="2"/>
  <c r="BB346" i="2"/>
  <c r="BA346" i="2"/>
  <c r="AZ346" i="2"/>
  <c r="AY346" i="2"/>
  <c r="AX346" i="2"/>
  <c r="AW346" i="2"/>
  <c r="AV346" i="2"/>
  <c r="AU346" i="2"/>
  <c r="AT346" i="2"/>
  <c r="AS346" i="2"/>
  <c r="AR346" i="2"/>
  <c r="AQ346" i="2"/>
  <c r="AP346" i="2"/>
  <c r="AO346" i="2"/>
  <c r="AN346" i="2"/>
  <c r="AM346" i="2"/>
  <c r="AL346" i="2"/>
  <c r="AK346" i="2"/>
  <c r="AJ346" i="2"/>
  <c r="AI346" i="2"/>
  <c r="AH346" i="2"/>
  <c r="AG346" i="2"/>
  <c r="AF346" i="2"/>
  <c r="AE346" i="2"/>
  <c r="AD346" i="2"/>
  <c r="AC346" i="2"/>
  <c r="AB346" i="2"/>
  <c r="AA346" i="2"/>
  <c r="Z346" i="2"/>
  <c r="Y346" i="2"/>
  <c r="X346" i="2"/>
  <c r="W346" i="2"/>
  <c r="V346" i="2"/>
  <c r="U346" i="2"/>
  <c r="T346" i="2"/>
  <c r="S346" i="2"/>
  <c r="R346" i="2"/>
  <c r="Q346" i="2"/>
  <c r="P346" i="2"/>
  <c r="O346" i="2"/>
  <c r="N346" i="2"/>
  <c r="M346" i="2"/>
  <c r="L346" i="2"/>
  <c r="K346" i="2"/>
  <c r="J346" i="2"/>
  <c r="BD346" i="2" s="1"/>
  <c r="I346" i="2"/>
  <c r="E346" i="2" a="1"/>
  <c r="E346" i="2" s="1"/>
  <c r="D346" i="2" a="1"/>
  <c r="D346" i="2" s="1"/>
  <c r="C346" i="2" a="1"/>
  <c r="C346" i="2" s="1"/>
  <c r="B346" i="2" a="1"/>
  <c r="B346" i="2"/>
  <c r="CG345" i="2"/>
  <c r="CF345" i="2"/>
  <c r="CE345" i="2"/>
  <c r="CD345" i="2"/>
  <c r="CC345" i="2"/>
  <c r="CB345" i="2"/>
  <c r="CA345" i="2"/>
  <c r="BZ345" i="2"/>
  <c r="BY345" i="2"/>
  <c r="BX345" i="2"/>
  <c r="BW345" i="2"/>
  <c r="BV345" i="2"/>
  <c r="BU345" i="2"/>
  <c r="BT345" i="2"/>
  <c r="BS345" i="2"/>
  <c r="BR345" i="2"/>
  <c r="BQ345" i="2"/>
  <c r="BP345" i="2"/>
  <c r="BO345" i="2"/>
  <c r="BN345" i="2"/>
  <c r="BM345" i="2"/>
  <c r="BL345" i="2"/>
  <c r="BK345" i="2"/>
  <c r="BJ345" i="2"/>
  <c r="BI345" i="2"/>
  <c r="BH345" i="2"/>
  <c r="BG345" i="2"/>
  <c r="BF345" i="2"/>
  <c r="BE345" i="2"/>
  <c r="BC345" i="2"/>
  <c r="BB345" i="2"/>
  <c r="BA345" i="2"/>
  <c r="AZ345" i="2"/>
  <c r="AY345" i="2"/>
  <c r="AX345" i="2"/>
  <c r="AW345" i="2"/>
  <c r="AV345" i="2"/>
  <c r="AU345" i="2"/>
  <c r="AT345" i="2"/>
  <c r="AS345" i="2"/>
  <c r="AR345" i="2"/>
  <c r="AQ345" i="2"/>
  <c r="AP345" i="2"/>
  <c r="AO345" i="2"/>
  <c r="AN345" i="2"/>
  <c r="AM345" i="2"/>
  <c r="AL345" i="2"/>
  <c r="AK345" i="2"/>
  <c r="AJ345" i="2"/>
  <c r="AI345" i="2"/>
  <c r="AH345" i="2"/>
  <c r="AG345" i="2"/>
  <c r="AF345" i="2"/>
  <c r="AE345" i="2"/>
  <c r="AD345" i="2"/>
  <c r="AC345" i="2"/>
  <c r="AB345" i="2"/>
  <c r="AA345" i="2"/>
  <c r="Z345" i="2"/>
  <c r="Y345" i="2"/>
  <c r="X345" i="2"/>
  <c r="W345" i="2"/>
  <c r="V345" i="2"/>
  <c r="U345" i="2"/>
  <c r="T345" i="2"/>
  <c r="S345" i="2"/>
  <c r="R345" i="2"/>
  <c r="Q345" i="2"/>
  <c r="P345" i="2"/>
  <c r="O345" i="2"/>
  <c r="N345" i="2"/>
  <c r="M345" i="2"/>
  <c r="L345" i="2"/>
  <c r="K345" i="2"/>
  <c r="J345" i="2"/>
  <c r="BD345" i="2" s="1"/>
  <c r="I345" i="2"/>
  <c r="E345" i="2" a="1"/>
  <c r="E345" i="2" s="1"/>
  <c r="D345" i="2" a="1"/>
  <c r="D345" i="2" s="1"/>
  <c r="C345" i="2" a="1"/>
  <c r="C345" i="2" s="1"/>
  <c r="B345" i="2" a="1"/>
  <c r="B345" i="2" s="1"/>
  <c r="CG344" i="2"/>
  <c r="CF344" i="2"/>
  <c r="CE344" i="2"/>
  <c r="CD344" i="2"/>
  <c r="CC344" i="2"/>
  <c r="CB344" i="2"/>
  <c r="CA344" i="2"/>
  <c r="BZ344" i="2"/>
  <c r="BY344" i="2"/>
  <c r="BX344" i="2"/>
  <c r="BW344" i="2"/>
  <c r="BV344" i="2"/>
  <c r="BU344" i="2"/>
  <c r="BT344" i="2"/>
  <c r="BS344" i="2"/>
  <c r="BR344" i="2"/>
  <c r="BQ344" i="2"/>
  <c r="BP344" i="2"/>
  <c r="BO344" i="2"/>
  <c r="BN344" i="2"/>
  <c r="BM344" i="2"/>
  <c r="BL344" i="2"/>
  <c r="BK344" i="2"/>
  <c r="BJ344" i="2"/>
  <c r="BI344" i="2"/>
  <c r="BH344" i="2"/>
  <c r="BG344" i="2"/>
  <c r="BF344" i="2"/>
  <c r="BE344" i="2"/>
  <c r="BD344" i="2"/>
  <c r="BC344" i="2"/>
  <c r="BB344" i="2"/>
  <c r="BA344" i="2"/>
  <c r="AZ344" i="2"/>
  <c r="AY344" i="2"/>
  <c r="AX344" i="2"/>
  <c r="AW344" i="2"/>
  <c r="AV344" i="2"/>
  <c r="AU344" i="2"/>
  <c r="AT344" i="2"/>
  <c r="AS344" i="2"/>
  <c r="AR344" i="2"/>
  <c r="AQ344" i="2"/>
  <c r="AP344" i="2"/>
  <c r="AO344" i="2"/>
  <c r="AN344" i="2"/>
  <c r="AM344" i="2"/>
  <c r="AL344" i="2"/>
  <c r="AK344" i="2"/>
  <c r="AJ344" i="2"/>
  <c r="AI344" i="2"/>
  <c r="AH344" i="2"/>
  <c r="AG344" i="2"/>
  <c r="AF344" i="2"/>
  <c r="AE344" i="2"/>
  <c r="AD344" i="2"/>
  <c r="AC344" i="2"/>
  <c r="AB344" i="2"/>
  <c r="AA344" i="2"/>
  <c r="Z344" i="2"/>
  <c r="Y344" i="2"/>
  <c r="X344" i="2"/>
  <c r="W344" i="2"/>
  <c r="V344" i="2"/>
  <c r="U344" i="2"/>
  <c r="T344" i="2"/>
  <c r="S344" i="2"/>
  <c r="R344" i="2"/>
  <c r="Q344" i="2"/>
  <c r="P344" i="2"/>
  <c r="O344" i="2"/>
  <c r="N344" i="2"/>
  <c r="M344" i="2"/>
  <c r="L344" i="2"/>
  <c r="K344" i="2"/>
  <c r="J344" i="2"/>
  <c r="I344" i="2"/>
  <c r="E344" i="2" a="1"/>
  <c r="E344" i="2" s="1"/>
  <c r="D344" i="2" a="1"/>
  <c r="D344" i="2" s="1"/>
  <c r="C344" i="2" a="1"/>
  <c r="C344" i="2" s="1"/>
  <c r="B344" i="2" a="1"/>
  <c r="B344" i="2" s="1"/>
  <c r="CG343" i="2"/>
  <c r="CF343" i="2"/>
  <c r="CE343" i="2"/>
  <c r="CD343" i="2"/>
  <c r="CC343" i="2"/>
  <c r="CB343" i="2"/>
  <c r="CA343" i="2"/>
  <c r="BZ343" i="2"/>
  <c r="BY343" i="2"/>
  <c r="BX343" i="2"/>
  <c r="BW343" i="2"/>
  <c r="BV343" i="2"/>
  <c r="BU343" i="2"/>
  <c r="BT343" i="2"/>
  <c r="BS343" i="2"/>
  <c r="BR343" i="2"/>
  <c r="BQ343" i="2"/>
  <c r="BP343" i="2"/>
  <c r="BO343" i="2"/>
  <c r="BN343" i="2"/>
  <c r="BM343" i="2"/>
  <c r="BL343" i="2"/>
  <c r="BK343" i="2"/>
  <c r="BJ343" i="2"/>
  <c r="BI343" i="2"/>
  <c r="BH343" i="2"/>
  <c r="BG343" i="2"/>
  <c r="BF343" i="2"/>
  <c r="BE343" i="2"/>
  <c r="BD343" i="2"/>
  <c r="BC343" i="2"/>
  <c r="BB343" i="2"/>
  <c r="BA343" i="2"/>
  <c r="AZ343" i="2"/>
  <c r="AY343" i="2"/>
  <c r="AX343" i="2"/>
  <c r="AW343" i="2"/>
  <c r="AV343" i="2"/>
  <c r="AU343" i="2"/>
  <c r="AT343" i="2"/>
  <c r="AS343" i="2"/>
  <c r="AR343" i="2"/>
  <c r="AQ343" i="2"/>
  <c r="AP343" i="2"/>
  <c r="AO343" i="2"/>
  <c r="AN343" i="2"/>
  <c r="AM343" i="2"/>
  <c r="AL343" i="2"/>
  <c r="AK343" i="2"/>
  <c r="AJ343" i="2"/>
  <c r="AI343" i="2"/>
  <c r="AH343" i="2"/>
  <c r="AG343" i="2"/>
  <c r="AF343" i="2"/>
  <c r="AE343" i="2"/>
  <c r="AD343" i="2"/>
  <c r="AC343" i="2"/>
  <c r="AB343" i="2"/>
  <c r="AA343" i="2"/>
  <c r="Z343" i="2"/>
  <c r="Y343" i="2"/>
  <c r="X343" i="2"/>
  <c r="W343" i="2"/>
  <c r="V343" i="2"/>
  <c r="U343" i="2"/>
  <c r="T343" i="2"/>
  <c r="S343" i="2"/>
  <c r="R343" i="2"/>
  <c r="Q343" i="2"/>
  <c r="P343" i="2"/>
  <c r="O343" i="2"/>
  <c r="N343" i="2"/>
  <c r="M343" i="2"/>
  <c r="L343" i="2"/>
  <c r="K343" i="2"/>
  <c r="J343" i="2"/>
  <c r="I343" i="2"/>
  <c r="E343" i="2" a="1"/>
  <c r="E343" i="2" s="1"/>
  <c r="D343" i="2" a="1"/>
  <c r="D343" i="2" s="1"/>
  <c r="C343" i="2" a="1"/>
  <c r="C343" i="2" s="1"/>
  <c r="B343" i="2" a="1"/>
  <c r="B343" i="2" s="1"/>
  <c r="CG342" i="2"/>
  <c r="CF342" i="2"/>
  <c r="CE342" i="2"/>
  <c r="CD342" i="2"/>
  <c r="CC342" i="2"/>
  <c r="CB342" i="2"/>
  <c r="CA342" i="2"/>
  <c r="BZ342" i="2"/>
  <c r="BY342" i="2"/>
  <c r="BX342" i="2"/>
  <c r="BW342" i="2"/>
  <c r="BV342" i="2"/>
  <c r="BU342" i="2"/>
  <c r="BT342" i="2"/>
  <c r="BS342" i="2"/>
  <c r="BR342" i="2"/>
  <c r="BQ342" i="2"/>
  <c r="BP342" i="2"/>
  <c r="BO342" i="2"/>
  <c r="BN342" i="2"/>
  <c r="BM342" i="2"/>
  <c r="BL342" i="2"/>
  <c r="BK342" i="2"/>
  <c r="BJ342" i="2"/>
  <c r="BI342" i="2"/>
  <c r="BH342" i="2"/>
  <c r="BG342" i="2"/>
  <c r="BF342" i="2"/>
  <c r="BE342" i="2"/>
  <c r="BC342" i="2"/>
  <c r="BB342" i="2"/>
  <c r="BA342" i="2"/>
  <c r="AZ342" i="2"/>
  <c r="AY342" i="2"/>
  <c r="AX342" i="2"/>
  <c r="AW342" i="2"/>
  <c r="AV342" i="2"/>
  <c r="AU342" i="2"/>
  <c r="AT342" i="2"/>
  <c r="AS342" i="2"/>
  <c r="AR342" i="2"/>
  <c r="AQ342" i="2"/>
  <c r="AP342" i="2"/>
  <c r="AO342" i="2"/>
  <c r="AN342" i="2"/>
  <c r="AM342" i="2"/>
  <c r="AL342" i="2"/>
  <c r="AK342" i="2"/>
  <c r="AJ342" i="2"/>
  <c r="AI342" i="2"/>
  <c r="AH342" i="2"/>
  <c r="AG342" i="2"/>
  <c r="AF342" i="2"/>
  <c r="AE342" i="2"/>
  <c r="AD342" i="2"/>
  <c r="AC342" i="2"/>
  <c r="AB342" i="2"/>
  <c r="AA342" i="2"/>
  <c r="Z342" i="2"/>
  <c r="Y342" i="2"/>
  <c r="X342" i="2"/>
  <c r="W342" i="2"/>
  <c r="V342" i="2"/>
  <c r="U342" i="2"/>
  <c r="T342" i="2"/>
  <c r="S342" i="2"/>
  <c r="R342" i="2"/>
  <c r="Q342" i="2"/>
  <c r="P342" i="2"/>
  <c r="O342" i="2"/>
  <c r="N342" i="2"/>
  <c r="M342" i="2"/>
  <c r="L342" i="2"/>
  <c r="K342" i="2"/>
  <c r="J342" i="2"/>
  <c r="BD342" i="2" s="1"/>
  <c r="I342" i="2"/>
  <c r="E342" i="2" a="1"/>
  <c r="E342" i="2" s="1"/>
  <c r="D342" i="2" a="1"/>
  <c r="D342" i="2" s="1"/>
  <c r="C342" i="2" a="1"/>
  <c r="C342" i="2" s="1"/>
  <c r="B342" i="2" a="1"/>
  <c r="B342" i="2" s="1"/>
  <c r="CG341" i="2"/>
  <c r="CF341" i="2"/>
  <c r="CE341" i="2"/>
  <c r="CD341" i="2"/>
  <c r="CC341" i="2"/>
  <c r="CB341" i="2"/>
  <c r="CA341" i="2"/>
  <c r="BZ341" i="2"/>
  <c r="BY341" i="2"/>
  <c r="BX341" i="2"/>
  <c r="BW341" i="2"/>
  <c r="BV341" i="2"/>
  <c r="BU341" i="2"/>
  <c r="BT341" i="2"/>
  <c r="BS341" i="2"/>
  <c r="BR341" i="2"/>
  <c r="BQ341" i="2"/>
  <c r="BP341" i="2"/>
  <c r="BO341" i="2"/>
  <c r="BN341" i="2"/>
  <c r="BM341" i="2"/>
  <c r="BL341" i="2"/>
  <c r="BK341" i="2"/>
  <c r="BJ341" i="2"/>
  <c r="BI341" i="2"/>
  <c r="BH341" i="2"/>
  <c r="BG341" i="2"/>
  <c r="BF341" i="2"/>
  <c r="BE341" i="2"/>
  <c r="BC341" i="2"/>
  <c r="BB341" i="2"/>
  <c r="BA341" i="2"/>
  <c r="AZ341" i="2"/>
  <c r="AY341" i="2"/>
  <c r="AX341" i="2"/>
  <c r="AW341" i="2"/>
  <c r="AV341" i="2"/>
  <c r="AU341" i="2"/>
  <c r="AT341" i="2"/>
  <c r="AS341" i="2"/>
  <c r="AR341" i="2"/>
  <c r="AQ341" i="2"/>
  <c r="AP341" i="2"/>
  <c r="AO341" i="2"/>
  <c r="AN341" i="2"/>
  <c r="AM341" i="2"/>
  <c r="AL341" i="2"/>
  <c r="AK341" i="2"/>
  <c r="AJ341" i="2"/>
  <c r="AI341" i="2"/>
  <c r="AH341" i="2"/>
  <c r="AG341" i="2"/>
  <c r="AF341" i="2"/>
  <c r="AE341" i="2"/>
  <c r="AD341" i="2"/>
  <c r="AC341" i="2"/>
  <c r="AB341" i="2"/>
  <c r="AA341" i="2"/>
  <c r="Z341" i="2"/>
  <c r="Y341" i="2"/>
  <c r="X341" i="2"/>
  <c r="W341" i="2"/>
  <c r="V341" i="2"/>
  <c r="U341" i="2"/>
  <c r="T341" i="2"/>
  <c r="S341" i="2"/>
  <c r="R341" i="2"/>
  <c r="Q341" i="2"/>
  <c r="P341" i="2"/>
  <c r="O341" i="2"/>
  <c r="N341" i="2"/>
  <c r="M341" i="2"/>
  <c r="L341" i="2"/>
  <c r="K341" i="2"/>
  <c r="J341" i="2"/>
  <c r="BD341" i="2" s="1"/>
  <c r="I341" i="2"/>
  <c r="E341" i="2" a="1"/>
  <c r="E341" i="2" s="1"/>
  <c r="D341" i="2" a="1"/>
  <c r="D341" i="2" s="1"/>
  <c r="C341" i="2" a="1"/>
  <c r="C341" i="2" s="1"/>
  <c r="B341" i="2" a="1"/>
  <c r="B341" i="2" s="1"/>
  <c r="CG340" i="2"/>
  <c r="CF340" i="2"/>
  <c r="CE340" i="2"/>
  <c r="CD340" i="2"/>
  <c r="CC340" i="2"/>
  <c r="CB340" i="2"/>
  <c r="CA340" i="2"/>
  <c r="BZ340" i="2"/>
  <c r="BY340" i="2"/>
  <c r="BX340" i="2"/>
  <c r="BW340" i="2"/>
  <c r="BV340" i="2"/>
  <c r="BU340" i="2"/>
  <c r="BT340" i="2"/>
  <c r="BS340" i="2"/>
  <c r="BR340" i="2"/>
  <c r="BQ340" i="2"/>
  <c r="BP340" i="2"/>
  <c r="BO340" i="2"/>
  <c r="BN340" i="2"/>
  <c r="BM340" i="2"/>
  <c r="BL340" i="2"/>
  <c r="BK340" i="2"/>
  <c r="BJ340" i="2"/>
  <c r="BI340" i="2"/>
  <c r="BH340" i="2"/>
  <c r="BG340" i="2"/>
  <c r="BF340" i="2"/>
  <c r="BE340" i="2"/>
  <c r="BD340" i="2"/>
  <c r="BC340" i="2"/>
  <c r="BB340" i="2"/>
  <c r="BA340" i="2"/>
  <c r="AZ340" i="2"/>
  <c r="AY340" i="2"/>
  <c r="AX340" i="2"/>
  <c r="AW340" i="2"/>
  <c r="AV340" i="2"/>
  <c r="AU340" i="2"/>
  <c r="AT340" i="2"/>
  <c r="AS340" i="2"/>
  <c r="AR340" i="2"/>
  <c r="AQ340" i="2"/>
  <c r="AP340" i="2"/>
  <c r="AO340" i="2"/>
  <c r="AN340" i="2"/>
  <c r="AM340" i="2"/>
  <c r="AL340" i="2"/>
  <c r="AK340" i="2"/>
  <c r="AJ340" i="2"/>
  <c r="AI340" i="2"/>
  <c r="AH340" i="2"/>
  <c r="AG340" i="2"/>
  <c r="AF340" i="2"/>
  <c r="AE340" i="2"/>
  <c r="AD340" i="2"/>
  <c r="AC340" i="2"/>
  <c r="AB340" i="2"/>
  <c r="AA340" i="2"/>
  <c r="Z340" i="2"/>
  <c r="Y340" i="2"/>
  <c r="X340" i="2"/>
  <c r="W340" i="2"/>
  <c r="V340" i="2"/>
  <c r="U340" i="2"/>
  <c r="T340" i="2"/>
  <c r="S340" i="2"/>
  <c r="R340" i="2"/>
  <c r="Q340" i="2"/>
  <c r="P340" i="2"/>
  <c r="O340" i="2"/>
  <c r="N340" i="2"/>
  <c r="M340" i="2"/>
  <c r="L340" i="2"/>
  <c r="K340" i="2"/>
  <c r="J340" i="2"/>
  <c r="I340" i="2"/>
  <c r="E340" i="2" a="1"/>
  <c r="E340" i="2" s="1"/>
  <c r="D340" i="2" a="1"/>
  <c r="D340" i="2" s="1"/>
  <c r="C340" i="2" a="1"/>
  <c r="C340" i="2" s="1"/>
  <c r="B340" i="2" a="1"/>
  <c r="B340" i="2" s="1"/>
  <c r="CG339" i="2"/>
  <c r="CF339" i="2"/>
  <c r="CE339" i="2"/>
  <c r="CD339" i="2"/>
  <c r="CC339" i="2"/>
  <c r="CB339" i="2"/>
  <c r="CA339" i="2"/>
  <c r="BZ339" i="2"/>
  <c r="BY339" i="2"/>
  <c r="BX339" i="2"/>
  <c r="BW339" i="2"/>
  <c r="BV339" i="2"/>
  <c r="BU339" i="2"/>
  <c r="BT339" i="2"/>
  <c r="BS339" i="2"/>
  <c r="BR339" i="2"/>
  <c r="BQ339" i="2"/>
  <c r="BP339" i="2"/>
  <c r="BO339" i="2"/>
  <c r="BN339" i="2"/>
  <c r="BM339" i="2"/>
  <c r="BL339" i="2"/>
  <c r="BK339" i="2"/>
  <c r="BJ339" i="2"/>
  <c r="BI339" i="2"/>
  <c r="BH339" i="2"/>
  <c r="BG339" i="2"/>
  <c r="BF339" i="2"/>
  <c r="BE339" i="2"/>
  <c r="BD339" i="2"/>
  <c r="BC339" i="2"/>
  <c r="BB339" i="2"/>
  <c r="BA339" i="2"/>
  <c r="AZ339" i="2"/>
  <c r="AY339" i="2"/>
  <c r="AX339" i="2"/>
  <c r="AW339" i="2"/>
  <c r="AV339" i="2"/>
  <c r="AU339" i="2"/>
  <c r="AT339" i="2"/>
  <c r="AS339" i="2"/>
  <c r="AR339" i="2"/>
  <c r="AQ339" i="2"/>
  <c r="AP339" i="2"/>
  <c r="AO339" i="2"/>
  <c r="AN339" i="2"/>
  <c r="AM339" i="2"/>
  <c r="AL339" i="2"/>
  <c r="AK339" i="2"/>
  <c r="AJ339" i="2"/>
  <c r="AI339" i="2"/>
  <c r="AH339" i="2"/>
  <c r="AG339" i="2"/>
  <c r="AF339" i="2"/>
  <c r="AE339" i="2"/>
  <c r="AD339" i="2"/>
  <c r="AC339" i="2"/>
  <c r="AB339" i="2"/>
  <c r="AA339" i="2"/>
  <c r="Z339" i="2"/>
  <c r="Y339" i="2"/>
  <c r="X339" i="2"/>
  <c r="W339" i="2"/>
  <c r="V339" i="2"/>
  <c r="U339" i="2"/>
  <c r="T339" i="2"/>
  <c r="S339" i="2"/>
  <c r="R339" i="2"/>
  <c r="Q339" i="2"/>
  <c r="P339" i="2"/>
  <c r="O339" i="2"/>
  <c r="N339" i="2"/>
  <c r="M339" i="2"/>
  <c r="L339" i="2"/>
  <c r="K339" i="2"/>
  <c r="J339" i="2"/>
  <c r="I339" i="2"/>
  <c r="E339" i="2" a="1"/>
  <c r="E339" i="2" s="1"/>
  <c r="D339" i="2" a="1"/>
  <c r="D339" i="2" s="1"/>
  <c r="C339" i="2" a="1"/>
  <c r="C339" i="2" s="1"/>
  <c r="B339" i="2" a="1"/>
  <c r="B339" i="2" s="1"/>
  <c r="CG338" i="2"/>
  <c r="CF338" i="2"/>
  <c r="CE338" i="2"/>
  <c r="CD338" i="2"/>
  <c r="CC338" i="2"/>
  <c r="CB338" i="2"/>
  <c r="CA338" i="2"/>
  <c r="BZ338" i="2"/>
  <c r="BY338" i="2"/>
  <c r="BX338" i="2"/>
  <c r="BW338" i="2"/>
  <c r="BV338" i="2"/>
  <c r="BU338" i="2"/>
  <c r="BT338" i="2"/>
  <c r="BS338" i="2"/>
  <c r="BR338" i="2"/>
  <c r="BQ338" i="2"/>
  <c r="BP338" i="2"/>
  <c r="BO338" i="2"/>
  <c r="BN338" i="2"/>
  <c r="BM338" i="2"/>
  <c r="BL338" i="2"/>
  <c r="BK338" i="2"/>
  <c r="BJ338" i="2"/>
  <c r="BI338" i="2"/>
  <c r="BH338" i="2"/>
  <c r="BG338" i="2"/>
  <c r="BF338" i="2"/>
  <c r="BE338" i="2"/>
  <c r="BC338" i="2"/>
  <c r="BB338" i="2"/>
  <c r="BA338" i="2"/>
  <c r="AZ338" i="2"/>
  <c r="AY338" i="2"/>
  <c r="AX338" i="2"/>
  <c r="AW338" i="2"/>
  <c r="AV338" i="2"/>
  <c r="AU338" i="2"/>
  <c r="AT338" i="2"/>
  <c r="AS338" i="2"/>
  <c r="AR338" i="2"/>
  <c r="AQ338" i="2"/>
  <c r="AP338" i="2"/>
  <c r="AO338" i="2"/>
  <c r="AN338" i="2"/>
  <c r="AM338" i="2"/>
  <c r="AL338" i="2"/>
  <c r="AK338" i="2"/>
  <c r="AJ338" i="2"/>
  <c r="AI338" i="2"/>
  <c r="AH338" i="2"/>
  <c r="AG338" i="2"/>
  <c r="AF338" i="2"/>
  <c r="AE338" i="2"/>
  <c r="AD338" i="2"/>
  <c r="AC338" i="2"/>
  <c r="AB338" i="2"/>
  <c r="AA338" i="2"/>
  <c r="Z338" i="2"/>
  <c r="Y338" i="2"/>
  <c r="X338" i="2"/>
  <c r="W338" i="2"/>
  <c r="V338" i="2"/>
  <c r="U338" i="2"/>
  <c r="T338" i="2"/>
  <c r="S338" i="2"/>
  <c r="R338" i="2"/>
  <c r="Q338" i="2"/>
  <c r="P338" i="2"/>
  <c r="O338" i="2"/>
  <c r="N338" i="2"/>
  <c r="M338" i="2"/>
  <c r="L338" i="2"/>
  <c r="K338" i="2"/>
  <c r="J338" i="2"/>
  <c r="BD338" i="2" s="1"/>
  <c r="I338" i="2"/>
  <c r="E338" i="2" a="1"/>
  <c r="E338" i="2" s="1"/>
  <c r="D338" i="2" a="1"/>
  <c r="D338" i="2" s="1"/>
  <c r="C338" i="2" a="1"/>
  <c r="C338" i="2" s="1"/>
  <c r="B338" i="2" a="1"/>
  <c r="B338" i="2" s="1"/>
  <c r="CG337" i="2"/>
  <c r="CF337" i="2"/>
  <c r="CE337" i="2"/>
  <c r="CD337" i="2"/>
  <c r="CC337" i="2"/>
  <c r="CB337" i="2"/>
  <c r="CA337" i="2"/>
  <c r="BZ337" i="2"/>
  <c r="BY337" i="2"/>
  <c r="BX337" i="2"/>
  <c r="BW337" i="2"/>
  <c r="BV337" i="2"/>
  <c r="BU337" i="2"/>
  <c r="BT337" i="2"/>
  <c r="BS337" i="2"/>
  <c r="BR337" i="2"/>
  <c r="BQ337" i="2"/>
  <c r="BP337" i="2"/>
  <c r="BO337" i="2"/>
  <c r="BN337" i="2"/>
  <c r="BM337" i="2"/>
  <c r="BL337" i="2"/>
  <c r="BK337" i="2"/>
  <c r="BJ337" i="2"/>
  <c r="BI337" i="2"/>
  <c r="BH337" i="2"/>
  <c r="BG337" i="2"/>
  <c r="BF337" i="2"/>
  <c r="BE337" i="2"/>
  <c r="BC337" i="2"/>
  <c r="BB337" i="2"/>
  <c r="BA337" i="2"/>
  <c r="AZ337" i="2"/>
  <c r="AY337" i="2"/>
  <c r="AX337" i="2"/>
  <c r="AW337" i="2"/>
  <c r="AV337" i="2"/>
  <c r="AU337" i="2"/>
  <c r="AT337" i="2"/>
  <c r="AS337" i="2"/>
  <c r="AR337" i="2"/>
  <c r="AQ337" i="2"/>
  <c r="AP337" i="2"/>
  <c r="AO337" i="2"/>
  <c r="AN337" i="2"/>
  <c r="AM337" i="2"/>
  <c r="AL337" i="2"/>
  <c r="AK337" i="2"/>
  <c r="AJ337" i="2"/>
  <c r="AI337" i="2"/>
  <c r="AH337" i="2"/>
  <c r="AG337" i="2"/>
  <c r="AF337" i="2"/>
  <c r="AE337" i="2"/>
  <c r="AD337" i="2"/>
  <c r="AC337" i="2"/>
  <c r="AB337" i="2"/>
  <c r="AA337" i="2"/>
  <c r="Z337" i="2"/>
  <c r="Y337" i="2"/>
  <c r="X337" i="2"/>
  <c r="W337" i="2"/>
  <c r="V337" i="2"/>
  <c r="U337" i="2"/>
  <c r="T337" i="2"/>
  <c r="S337" i="2"/>
  <c r="R337" i="2"/>
  <c r="Q337" i="2"/>
  <c r="P337" i="2"/>
  <c r="O337" i="2"/>
  <c r="N337" i="2"/>
  <c r="M337" i="2"/>
  <c r="L337" i="2"/>
  <c r="K337" i="2"/>
  <c r="J337" i="2"/>
  <c r="BD337" i="2" s="1"/>
  <c r="I337" i="2"/>
  <c r="E337" i="2" a="1"/>
  <c r="E337" i="2" s="1"/>
  <c r="D337" i="2" a="1"/>
  <c r="D337" i="2" s="1"/>
  <c r="C337" i="2" a="1"/>
  <c r="C337" i="2" s="1"/>
  <c r="B337" i="2" a="1"/>
  <c r="B337" i="2" s="1"/>
  <c r="CG336" i="2"/>
  <c r="CF336" i="2"/>
  <c r="CE336" i="2"/>
  <c r="CD336" i="2"/>
  <c r="CC336" i="2"/>
  <c r="CB336" i="2"/>
  <c r="CA336" i="2"/>
  <c r="BZ336" i="2"/>
  <c r="BY336" i="2"/>
  <c r="BX336" i="2"/>
  <c r="BW336" i="2"/>
  <c r="BV336" i="2"/>
  <c r="BU336" i="2"/>
  <c r="BT336" i="2"/>
  <c r="BS336" i="2"/>
  <c r="BR336" i="2"/>
  <c r="BQ336" i="2"/>
  <c r="BP336" i="2"/>
  <c r="BO336" i="2"/>
  <c r="BN336" i="2"/>
  <c r="BM336" i="2"/>
  <c r="BL336" i="2"/>
  <c r="BK336" i="2"/>
  <c r="BJ336" i="2"/>
  <c r="BI336" i="2"/>
  <c r="BH336" i="2"/>
  <c r="BG336" i="2"/>
  <c r="BF336" i="2"/>
  <c r="BE336" i="2"/>
  <c r="BD336" i="2"/>
  <c r="BC336" i="2"/>
  <c r="BB336" i="2"/>
  <c r="BA336" i="2"/>
  <c r="AZ336" i="2"/>
  <c r="AY336" i="2"/>
  <c r="AX336" i="2"/>
  <c r="AW336" i="2"/>
  <c r="AV336" i="2"/>
  <c r="AU336" i="2"/>
  <c r="AT336" i="2"/>
  <c r="AS336" i="2"/>
  <c r="AR336" i="2"/>
  <c r="AQ336" i="2"/>
  <c r="AP336" i="2"/>
  <c r="AO336" i="2"/>
  <c r="AN336" i="2"/>
  <c r="AM336" i="2"/>
  <c r="AL336" i="2"/>
  <c r="AK336" i="2"/>
  <c r="AJ336" i="2"/>
  <c r="AI336" i="2"/>
  <c r="AH336" i="2"/>
  <c r="AG336" i="2"/>
  <c r="AF336" i="2"/>
  <c r="AE336" i="2"/>
  <c r="AD336" i="2"/>
  <c r="AC336" i="2"/>
  <c r="AB336" i="2"/>
  <c r="AA336" i="2"/>
  <c r="Z336" i="2"/>
  <c r="Y336" i="2"/>
  <c r="X336" i="2"/>
  <c r="W336" i="2"/>
  <c r="V336" i="2"/>
  <c r="U336" i="2"/>
  <c r="T336" i="2"/>
  <c r="S336" i="2"/>
  <c r="R336" i="2"/>
  <c r="Q336" i="2"/>
  <c r="P336" i="2"/>
  <c r="O336" i="2"/>
  <c r="N336" i="2"/>
  <c r="M336" i="2"/>
  <c r="L336" i="2"/>
  <c r="K336" i="2"/>
  <c r="J336" i="2"/>
  <c r="I336" i="2"/>
  <c r="E336" i="2" a="1"/>
  <c r="E336" i="2" s="1"/>
  <c r="D336" i="2" a="1"/>
  <c r="D336" i="2" s="1"/>
  <c r="C336" i="2" a="1"/>
  <c r="C336" i="2" s="1"/>
  <c r="B336" i="2" a="1"/>
  <c r="B336" i="2" s="1"/>
  <c r="CG335" i="2"/>
  <c r="CF335" i="2"/>
  <c r="CE335" i="2"/>
  <c r="CD335" i="2"/>
  <c r="CC335" i="2"/>
  <c r="CB335" i="2"/>
  <c r="CA335" i="2"/>
  <c r="BZ335" i="2"/>
  <c r="BY335" i="2"/>
  <c r="BX335" i="2"/>
  <c r="BW335" i="2"/>
  <c r="BV335" i="2"/>
  <c r="BU335" i="2"/>
  <c r="BT335" i="2"/>
  <c r="BS335" i="2"/>
  <c r="BR335" i="2"/>
  <c r="BQ335" i="2"/>
  <c r="BP335" i="2"/>
  <c r="BO335" i="2"/>
  <c r="BN335" i="2"/>
  <c r="BM335" i="2"/>
  <c r="BL335" i="2"/>
  <c r="BK335" i="2"/>
  <c r="BJ335" i="2"/>
  <c r="BI335" i="2"/>
  <c r="BH335" i="2"/>
  <c r="BG335" i="2"/>
  <c r="BF335" i="2"/>
  <c r="BE335" i="2"/>
  <c r="BD335" i="2"/>
  <c r="BC335" i="2"/>
  <c r="BB335" i="2"/>
  <c r="BA335" i="2"/>
  <c r="AZ335" i="2"/>
  <c r="AY335" i="2"/>
  <c r="AX335" i="2"/>
  <c r="AW335" i="2"/>
  <c r="AV335" i="2"/>
  <c r="AU335" i="2"/>
  <c r="AT335" i="2"/>
  <c r="AS335" i="2"/>
  <c r="AR335" i="2"/>
  <c r="AQ335" i="2"/>
  <c r="AP335" i="2"/>
  <c r="AO335" i="2"/>
  <c r="AN335" i="2"/>
  <c r="AM335" i="2"/>
  <c r="AL335" i="2"/>
  <c r="AK335" i="2"/>
  <c r="AJ335" i="2"/>
  <c r="AI335" i="2"/>
  <c r="AH335" i="2"/>
  <c r="AG335" i="2"/>
  <c r="AF335" i="2"/>
  <c r="AE335" i="2"/>
  <c r="AD335" i="2"/>
  <c r="AC335" i="2"/>
  <c r="AB335" i="2"/>
  <c r="AA335" i="2"/>
  <c r="Z335" i="2"/>
  <c r="Y335" i="2"/>
  <c r="X335" i="2"/>
  <c r="W335" i="2"/>
  <c r="V335" i="2"/>
  <c r="U335" i="2"/>
  <c r="T335" i="2"/>
  <c r="S335" i="2"/>
  <c r="R335" i="2"/>
  <c r="Q335" i="2"/>
  <c r="P335" i="2"/>
  <c r="O335" i="2"/>
  <c r="N335" i="2"/>
  <c r="M335" i="2"/>
  <c r="L335" i="2"/>
  <c r="K335" i="2"/>
  <c r="J335" i="2"/>
  <c r="I335" i="2"/>
  <c r="E335" i="2" a="1"/>
  <c r="E335" i="2" s="1"/>
  <c r="D335" i="2" a="1"/>
  <c r="D335" i="2" s="1"/>
  <c r="C335" i="2" a="1"/>
  <c r="C335" i="2" s="1"/>
  <c r="B335" i="2" a="1"/>
  <c r="B335" i="2" s="1"/>
  <c r="CG334" i="2"/>
  <c r="CF334" i="2"/>
  <c r="CE334" i="2"/>
  <c r="CD334" i="2"/>
  <c r="CC334" i="2"/>
  <c r="CB334" i="2"/>
  <c r="CA334" i="2"/>
  <c r="BZ334" i="2"/>
  <c r="BY334" i="2"/>
  <c r="BX334" i="2"/>
  <c r="BW334" i="2"/>
  <c r="BV334" i="2"/>
  <c r="BU334" i="2"/>
  <c r="BT334" i="2"/>
  <c r="BS334" i="2"/>
  <c r="BR334" i="2"/>
  <c r="BQ334" i="2"/>
  <c r="BP334" i="2"/>
  <c r="BO334" i="2"/>
  <c r="BN334" i="2"/>
  <c r="BM334" i="2"/>
  <c r="BL334" i="2"/>
  <c r="BK334" i="2"/>
  <c r="BJ334" i="2"/>
  <c r="BI334" i="2"/>
  <c r="BH334" i="2"/>
  <c r="BG334" i="2"/>
  <c r="BF334" i="2"/>
  <c r="BE334" i="2"/>
  <c r="BC334" i="2"/>
  <c r="BB334" i="2"/>
  <c r="BA334" i="2"/>
  <c r="AZ334" i="2"/>
  <c r="AY334" i="2"/>
  <c r="AX334" i="2"/>
  <c r="AW334" i="2"/>
  <c r="AV334" i="2"/>
  <c r="AU334" i="2"/>
  <c r="AT334" i="2"/>
  <c r="AS334" i="2"/>
  <c r="AR334" i="2"/>
  <c r="AQ334" i="2"/>
  <c r="AP334" i="2"/>
  <c r="AO334" i="2"/>
  <c r="AN334" i="2"/>
  <c r="AM334" i="2"/>
  <c r="AL334" i="2"/>
  <c r="AK334" i="2"/>
  <c r="AJ334" i="2"/>
  <c r="AI334" i="2"/>
  <c r="AH334" i="2"/>
  <c r="AG334" i="2"/>
  <c r="AF334" i="2"/>
  <c r="AE334" i="2"/>
  <c r="AD334" i="2"/>
  <c r="AC334" i="2"/>
  <c r="AB334" i="2"/>
  <c r="AA334" i="2"/>
  <c r="Z334" i="2"/>
  <c r="Y334" i="2"/>
  <c r="X334" i="2"/>
  <c r="W334" i="2"/>
  <c r="V334" i="2"/>
  <c r="U334" i="2"/>
  <c r="T334" i="2"/>
  <c r="S334" i="2"/>
  <c r="R334" i="2"/>
  <c r="Q334" i="2"/>
  <c r="P334" i="2"/>
  <c r="O334" i="2"/>
  <c r="N334" i="2"/>
  <c r="M334" i="2"/>
  <c r="L334" i="2"/>
  <c r="K334" i="2"/>
  <c r="J334" i="2"/>
  <c r="BD334" i="2" s="1"/>
  <c r="I334" i="2"/>
  <c r="E334" i="2" a="1"/>
  <c r="E334" i="2" s="1"/>
  <c r="D334" i="2" a="1"/>
  <c r="D334" i="2" s="1"/>
  <c r="C334" i="2" a="1"/>
  <c r="C334" i="2" s="1"/>
  <c r="B334" i="2" a="1"/>
  <c r="B334" i="2" s="1"/>
  <c r="CG333" i="2"/>
  <c r="CF333" i="2"/>
  <c r="CE333" i="2"/>
  <c r="CD333" i="2"/>
  <c r="CC333" i="2"/>
  <c r="CB333" i="2"/>
  <c r="CA333" i="2"/>
  <c r="BZ333" i="2"/>
  <c r="BY333" i="2"/>
  <c r="BX333" i="2"/>
  <c r="BW333" i="2"/>
  <c r="BV333" i="2"/>
  <c r="BU333" i="2"/>
  <c r="BT333" i="2"/>
  <c r="BS333" i="2"/>
  <c r="BR333" i="2"/>
  <c r="BQ333" i="2"/>
  <c r="BP333" i="2"/>
  <c r="BO333" i="2"/>
  <c r="BN333" i="2"/>
  <c r="BM333" i="2"/>
  <c r="BL333" i="2"/>
  <c r="BK333" i="2"/>
  <c r="BJ333" i="2"/>
  <c r="BI333" i="2"/>
  <c r="BH333" i="2"/>
  <c r="BG333" i="2"/>
  <c r="BF333" i="2"/>
  <c r="BE333" i="2"/>
  <c r="BC333" i="2"/>
  <c r="BB333" i="2"/>
  <c r="BA333" i="2"/>
  <c r="AZ333" i="2"/>
  <c r="AY333" i="2"/>
  <c r="AX333" i="2"/>
  <c r="AW333" i="2"/>
  <c r="AV333" i="2"/>
  <c r="AU333" i="2"/>
  <c r="AT333" i="2"/>
  <c r="AS333" i="2"/>
  <c r="AR333" i="2"/>
  <c r="AQ333" i="2"/>
  <c r="AP333" i="2"/>
  <c r="AO333" i="2"/>
  <c r="AN333" i="2"/>
  <c r="AM333" i="2"/>
  <c r="AL333" i="2"/>
  <c r="AK333" i="2"/>
  <c r="AJ333" i="2"/>
  <c r="AI333" i="2"/>
  <c r="AH333" i="2"/>
  <c r="AG333" i="2"/>
  <c r="AF333" i="2"/>
  <c r="AE333" i="2"/>
  <c r="AD333" i="2"/>
  <c r="AC333" i="2"/>
  <c r="AB333" i="2"/>
  <c r="AA333" i="2"/>
  <c r="Z333" i="2"/>
  <c r="Y333" i="2"/>
  <c r="X333" i="2"/>
  <c r="W333" i="2"/>
  <c r="V333" i="2"/>
  <c r="U333" i="2"/>
  <c r="T333" i="2"/>
  <c r="S333" i="2"/>
  <c r="R333" i="2"/>
  <c r="Q333" i="2"/>
  <c r="P333" i="2"/>
  <c r="O333" i="2"/>
  <c r="N333" i="2"/>
  <c r="M333" i="2"/>
  <c r="L333" i="2"/>
  <c r="K333" i="2"/>
  <c r="J333" i="2"/>
  <c r="BD333" i="2" s="1"/>
  <c r="I333" i="2"/>
  <c r="E333" i="2" a="1"/>
  <c r="E333" i="2" s="1"/>
  <c r="D333" i="2" a="1"/>
  <c r="D333" i="2" s="1"/>
  <c r="C333" i="2" a="1"/>
  <c r="C333" i="2" s="1"/>
  <c r="B333" i="2" a="1"/>
  <c r="B333" i="2" s="1"/>
  <c r="CG332" i="2"/>
  <c r="CF332" i="2"/>
  <c r="CE332" i="2"/>
  <c r="CD332" i="2"/>
  <c r="CC332" i="2"/>
  <c r="CB332" i="2"/>
  <c r="CA332" i="2"/>
  <c r="BZ332" i="2"/>
  <c r="BY332" i="2"/>
  <c r="BX332" i="2"/>
  <c r="BW332" i="2"/>
  <c r="BV332" i="2"/>
  <c r="BU332" i="2"/>
  <c r="BT332" i="2"/>
  <c r="BS332" i="2"/>
  <c r="BR332" i="2"/>
  <c r="BQ332" i="2"/>
  <c r="BP332" i="2"/>
  <c r="BO332" i="2"/>
  <c r="BN332" i="2"/>
  <c r="BM332" i="2"/>
  <c r="BL332" i="2"/>
  <c r="BK332" i="2"/>
  <c r="BJ332" i="2"/>
  <c r="BI332" i="2"/>
  <c r="BH332" i="2"/>
  <c r="BG332" i="2"/>
  <c r="BF332" i="2"/>
  <c r="BE332" i="2"/>
  <c r="BD332" i="2"/>
  <c r="BC332" i="2"/>
  <c r="BB332" i="2"/>
  <c r="BA332" i="2"/>
  <c r="AZ332" i="2"/>
  <c r="AY332" i="2"/>
  <c r="AX332" i="2"/>
  <c r="AW332" i="2"/>
  <c r="AV332" i="2"/>
  <c r="AU332" i="2"/>
  <c r="AT332" i="2"/>
  <c r="AS332" i="2"/>
  <c r="AR332" i="2"/>
  <c r="AQ332" i="2"/>
  <c r="AP332" i="2"/>
  <c r="AO332" i="2"/>
  <c r="AN332" i="2"/>
  <c r="AM332" i="2"/>
  <c r="AL332" i="2"/>
  <c r="AK332" i="2"/>
  <c r="AJ332" i="2"/>
  <c r="AI332" i="2"/>
  <c r="AH332" i="2"/>
  <c r="AG332" i="2"/>
  <c r="AF332" i="2"/>
  <c r="AE332" i="2"/>
  <c r="AD332" i="2"/>
  <c r="AC332" i="2"/>
  <c r="AB332" i="2"/>
  <c r="AA332" i="2"/>
  <c r="Z332" i="2"/>
  <c r="Y332" i="2"/>
  <c r="X332" i="2"/>
  <c r="W332" i="2"/>
  <c r="V332" i="2"/>
  <c r="U332" i="2"/>
  <c r="T332" i="2"/>
  <c r="S332" i="2"/>
  <c r="R332" i="2"/>
  <c r="Q332" i="2"/>
  <c r="P332" i="2"/>
  <c r="O332" i="2"/>
  <c r="N332" i="2"/>
  <c r="M332" i="2"/>
  <c r="L332" i="2"/>
  <c r="K332" i="2"/>
  <c r="J332" i="2"/>
  <c r="I332" i="2"/>
  <c r="E332" i="2" a="1"/>
  <c r="E332" i="2" s="1"/>
  <c r="D332" i="2" a="1"/>
  <c r="D332" i="2" s="1"/>
  <c r="C332" i="2" a="1"/>
  <c r="C332" i="2" s="1"/>
  <c r="B332" i="2" a="1"/>
  <c r="B332" i="2" s="1"/>
  <c r="CG331" i="2"/>
  <c r="CF331" i="2"/>
  <c r="CE331" i="2"/>
  <c r="CD331" i="2"/>
  <c r="CC331" i="2"/>
  <c r="CB331" i="2"/>
  <c r="CA331" i="2"/>
  <c r="BZ331" i="2"/>
  <c r="BY331" i="2"/>
  <c r="BX331" i="2"/>
  <c r="BW331" i="2"/>
  <c r="BV331" i="2"/>
  <c r="BU331" i="2"/>
  <c r="BT331" i="2"/>
  <c r="BS331" i="2"/>
  <c r="BR331" i="2"/>
  <c r="BQ331" i="2"/>
  <c r="BP331" i="2"/>
  <c r="BO331" i="2"/>
  <c r="BN331" i="2"/>
  <c r="BM331" i="2"/>
  <c r="BL331" i="2"/>
  <c r="BK331" i="2"/>
  <c r="BJ331" i="2"/>
  <c r="BI331" i="2"/>
  <c r="BH331" i="2"/>
  <c r="BG331" i="2"/>
  <c r="BF331" i="2"/>
  <c r="BE331" i="2"/>
  <c r="BD331" i="2"/>
  <c r="BC331" i="2"/>
  <c r="BB331" i="2"/>
  <c r="BA331" i="2"/>
  <c r="AZ331" i="2"/>
  <c r="AY331" i="2"/>
  <c r="AX331" i="2"/>
  <c r="AW331" i="2"/>
  <c r="AV331" i="2"/>
  <c r="AU331" i="2"/>
  <c r="AT331" i="2"/>
  <c r="AS331" i="2"/>
  <c r="AR331" i="2"/>
  <c r="AQ331" i="2"/>
  <c r="AP331" i="2"/>
  <c r="AO331" i="2"/>
  <c r="AN331" i="2"/>
  <c r="AM331" i="2"/>
  <c r="AL331" i="2"/>
  <c r="AK331" i="2"/>
  <c r="AJ331" i="2"/>
  <c r="AI331" i="2"/>
  <c r="AH331" i="2"/>
  <c r="AG331" i="2"/>
  <c r="AF331" i="2"/>
  <c r="AE331" i="2"/>
  <c r="AD331" i="2"/>
  <c r="AC331" i="2"/>
  <c r="AB331" i="2"/>
  <c r="AA331" i="2"/>
  <c r="Z331" i="2"/>
  <c r="Y331" i="2"/>
  <c r="X331" i="2"/>
  <c r="W331" i="2"/>
  <c r="V331" i="2"/>
  <c r="U331" i="2"/>
  <c r="T331" i="2"/>
  <c r="S331" i="2"/>
  <c r="R331" i="2"/>
  <c r="Q331" i="2"/>
  <c r="P331" i="2"/>
  <c r="O331" i="2"/>
  <c r="N331" i="2"/>
  <c r="M331" i="2"/>
  <c r="L331" i="2"/>
  <c r="K331" i="2"/>
  <c r="J331" i="2"/>
  <c r="I331" i="2"/>
  <c r="E331" i="2" a="1"/>
  <c r="E331" i="2" s="1"/>
  <c r="D331" i="2" a="1"/>
  <c r="D331" i="2" s="1"/>
  <c r="C331" i="2" a="1"/>
  <c r="C331" i="2" s="1"/>
  <c r="B331" i="2" a="1"/>
  <c r="B331" i="2" s="1"/>
  <c r="CG330" i="2"/>
  <c r="CF330" i="2"/>
  <c r="CE330" i="2"/>
  <c r="CD330" i="2"/>
  <c r="CC330" i="2"/>
  <c r="CB330" i="2"/>
  <c r="CA330" i="2"/>
  <c r="BZ330" i="2"/>
  <c r="BY330" i="2"/>
  <c r="BX330" i="2"/>
  <c r="BW330" i="2"/>
  <c r="BV330" i="2"/>
  <c r="BU330" i="2"/>
  <c r="BT330" i="2"/>
  <c r="BS330" i="2"/>
  <c r="BR330" i="2"/>
  <c r="BQ330" i="2"/>
  <c r="BP330" i="2"/>
  <c r="BO330" i="2"/>
  <c r="BN330" i="2"/>
  <c r="BM330" i="2"/>
  <c r="BL330" i="2"/>
  <c r="BK330" i="2"/>
  <c r="BJ330" i="2"/>
  <c r="BI330" i="2"/>
  <c r="BH330" i="2"/>
  <c r="BG330" i="2"/>
  <c r="BF330" i="2"/>
  <c r="BE330" i="2"/>
  <c r="BC330" i="2"/>
  <c r="BB330" i="2"/>
  <c r="BA330" i="2"/>
  <c r="AZ330" i="2"/>
  <c r="AY330" i="2"/>
  <c r="AX330" i="2"/>
  <c r="AW330" i="2"/>
  <c r="AV330" i="2"/>
  <c r="AU330" i="2"/>
  <c r="AT330" i="2"/>
  <c r="AS330" i="2"/>
  <c r="AR330" i="2"/>
  <c r="AQ330" i="2"/>
  <c r="AP330" i="2"/>
  <c r="AO330" i="2"/>
  <c r="AN330" i="2"/>
  <c r="AM330" i="2"/>
  <c r="AL330" i="2"/>
  <c r="AK330" i="2"/>
  <c r="AJ330" i="2"/>
  <c r="AI330" i="2"/>
  <c r="AH330" i="2"/>
  <c r="AG330" i="2"/>
  <c r="AF330" i="2"/>
  <c r="AE330" i="2"/>
  <c r="AD330" i="2"/>
  <c r="AC330" i="2"/>
  <c r="AB330" i="2"/>
  <c r="AA330" i="2"/>
  <c r="Z330" i="2"/>
  <c r="Y330" i="2"/>
  <c r="X330" i="2"/>
  <c r="W330" i="2"/>
  <c r="V330" i="2"/>
  <c r="U330" i="2"/>
  <c r="T330" i="2"/>
  <c r="S330" i="2"/>
  <c r="R330" i="2"/>
  <c r="Q330" i="2"/>
  <c r="P330" i="2"/>
  <c r="O330" i="2"/>
  <c r="N330" i="2"/>
  <c r="M330" i="2"/>
  <c r="L330" i="2"/>
  <c r="K330" i="2"/>
  <c r="J330" i="2"/>
  <c r="BD330" i="2" s="1"/>
  <c r="I330" i="2"/>
  <c r="E330" i="2" a="1"/>
  <c r="E330" i="2" s="1"/>
  <c r="D330" i="2" a="1"/>
  <c r="D330" i="2" s="1"/>
  <c r="C330" i="2" a="1"/>
  <c r="C330" i="2" s="1"/>
  <c r="B330" i="2" a="1"/>
  <c r="B330" i="2" s="1"/>
  <c r="CG329" i="2"/>
  <c r="CF329" i="2"/>
  <c r="CE329" i="2"/>
  <c r="CD329" i="2"/>
  <c r="CC329" i="2"/>
  <c r="CB329" i="2"/>
  <c r="CA329" i="2"/>
  <c r="BZ329" i="2"/>
  <c r="BY329" i="2"/>
  <c r="BX329" i="2"/>
  <c r="BW329" i="2"/>
  <c r="BV329" i="2"/>
  <c r="BU329" i="2"/>
  <c r="BT329" i="2"/>
  <c r="BS329" i="2"/>
  <c r="BR329" i="2"/>
  <c r="BQ329" i="2"/>
  <c r="BP329" i="2"/>
  <c r="BO329" i="2"/>
  <c r="BN329" i="2"/>
  <c r="BM329" i="2"/>
  <c r="BL329" i="2"/>
  <c r="BK329" i="2"/>
  <c r="BJ329" i="2"/>
  <c r="BI329" i="2"/>
  <c r="BH329" i="2"/>
  <c r="BG329" i="2"/>
  <c r="BF329" i="2"/>
  <c r="BE329" i="2"/>
  <c r="BC329" i="2"/>
  <c r="BB329" i="2"/>
  <c r="BA329" i="2"/>
  <c r="AZ329" i="2"/>
  <c r="AY329" i="2"/>
  <c r="AX329" i="2"/>
  <c r="AW329" i="2"/>
  <c r="AV329" i="2"/>
  <c r="AU329" i="2"/>
  <c r="AT329" i="2"/>
  <c r="AS329" i="2"/>
  <c r="AR329" i="2"/>
  <c r="AQ329" i="2"/>
  <c r="AP329" i="2"/>
  <c r="AO329" i="2"/>
  <c r="AN329" i="2"/>
  <c r="AM329" i="2"/>
  <c r="AL329" i="2"/>
  <c r="AK329" i="2"/>
  <c r="AJ329" i="2"/>
  <c r="AI329" i="2"/>
  <c r="AH329" i="2"/>
  <c r="AG329" i="2"/>
  <c r="AF329" i="2"/>
  <c r="AE329" i="2"/>
  <c r="AD329" i="2"/>
  <c r="AC329" i="2"/>
  <c r="AB329" i="2"/>
  <c r="AA329" i="2"/>
  <c r="Z329" i="2"/>
  <c r="Y329" i="2"/>
  <c r="X329" i="2"/>
  <c r="W329" i="2"/>
  <c r="V329" i="2"/>
  <c r="U329" i="2"/>
  <c r="T329" i="2"/>
  <c r="S329" i="2"/>
  <c r="R329" i="2"/>
  <c r="Q329" i="2"/>
  <c r="P329" i="2"/>
  <c r="O329" i="2"/>
  <c r="N329" i="2"/>
  <c r="M329" i="2"/>
  <c r="L329" i="2"/>
  <c r="K329" i="2"/>
  <c r="J329" i="2"/>
  <c r="BD329" i="2" s="1"/>
  <c r="I329" i="2"/>
  <c r="E329" i="2" a="1"/>
  <c r="E329" i="2" s="1"/>
  <c r="D329" i="2" a="1"/>
  <c r="D329" i="2" s="1"/>
  <c r="C329" i="2" a="1"/>
  <c r="C329" i="2" s="1"/>
  <c r="B329" i="2" a="1"/>
  <c r="B329" i="2" s="1"/>
  <c r="CG328" i="2"/>
  <c r="CF328" i="2"/>
  <c r="CE328" i="2"/>
  <c r="CD328" i="2"/>
  <c r="CC328" i="2"/>
  <c r="CB328" i="2"/>
  <c r="CA328" i="2"/>
  <c r="BZ328" i="2"/>
  <c r="BY328" i="2"/>
  <c r="BX328" i="2"/>
  <c r="BW328" i="2"/>
  <c r="BV328" i="2"/>
  <c r="BU328" i="2"/>
  <c r="BT328" i="2"/>
  <c r="BS328" i="2"/>
  <c r="BR328" i="2"/>
  <c r="BQ328" i="2"/>
  <c r="BP328" i="2"/>
  <c r="BO328" i="2"/>
  <c r="BN328" i="2"/>
  <c r="BM328" i="2"/>
  <c r="BL328" i="2"/>
  <c r="BK328" i="2"/>
  <c r="BJ328" i="2"/>
  <c r="BI328" i="2"/>
  <c r="BH328" i="2"/>
  <c r="BG328" i="2"/>
  <c r="BF328" i="2"/>
  <c r="BE328" i="2"/>
  <c r="BD328" i="2"/>
  <c r="BC328" i="2"/>
  <c r="BB328" i="2"/>
  <c r="BA328" i="2"/>
  <c r="AZ328" i="2"/>
  <c r="AY328" i="2"/>
  <c r="AX328" i="2"/>
  <c r="AW328" i="2"/>
  <c r="AV328" i="2"/>
  <c r="AU328" i="2"/>
  <c r="AT328" i="2"/>
  <c r="AS328" i="2"/>
  <c r="AR328" i="2"/>
  <c r="AQ328" i="2"/>
  <c r="AP328" i="2"/>
  <c r="AO328" i="2"/>
  <c r="AN328" i="2"/>
  <c r="AM328" i="2"/>
  <c r="AL328" i="2"/>
  <c r="AK328" i="2"/>
  <c r="AJ328" i="2"/>
  <c r="AI328" i="2"/>
  <c r="AH328" i="2"/>
  <c r="AG328" i="2"/>
  <c r="AF328" i="2"/>
  <c r="AE328" i="2"/>
  <c r="AD328" i="2"/>
  <c r="AC328" i="2"/>
  <c r="AB328" i="2"/>
  <c r="AA328" i="2"/>
  <c r="Z328" i="2"/>
  <c r="Y328" i="2"/>
  <c r="X328" i="2"/>
  <c r="W328" i="2"/>
  <c r="V328" i="2"/>
  <c r="U328" i="2"/>
  <c r="T328" i="2"/>
  <c r="S328" i="2"/>
  <c r="R328" i="2"/>
  <c r="Q328" i="2"/>
  <c r="P328" i="2"/>
  <c r="O328" i="2"/>
  <c r="N328" i="2"/>
  <c r="M328" i="2"/>
  <c r="L328" i="2"/>
  <c r="K328" i="2"/>
  <c r="J328" i="2"/>
  <c r="I328" i="2"/>
  <c r="E328" i="2" a="1"/>
  <c r="E328" i="2" s="1"/>
  <c r="D328" i="2" a="1"/>
  <c r="D328" i="2" s="1"/>
  <c r="C328" i="2" a="1"/>
  <c r="C328" i="2" s="1"/>
  <c r="B328" i="2" a="1"/>
  <c r="B328" i="2"/>
  <c r="CG327" i="2"/>
  <c r="CF327" i="2"/>
  <c r="CE327" i="2"/>
  <c r="CD327" i="2"/>
  <c r="CC327" i="2"/>
  <c r="CB327" i="2"/>
  <c r="CA327" i="2"/>
  <c r="BZ327" i="2"/>
  <c r="BY327" i="2"/>
  <c r="BX327" i="2"/>
  <c r="BW327" i="2"/>
  <c r="BV327" i="2"/>
  <c r="BU327" i="2"/>
  <c r="BT327" i="2"/>
  <c r="BS327" i="2"/>
  <c r="BR327" i="2"/>
  <c r="BQ327" i="2"/>
  <c r="BP327" i="2"/>
  <c r="BO327" i="2"/>
  <c r="BN327" i="2"/>
  <c r="BM327" i="2"/>
  <c r="BL327" i="2"/>
  <c r="BK327" i="2"/>
  <c r="BJ327" i="2"/>
  <c r="BI327" i="2"/>
  <c r="BH327" i="2"/>
  <c r="BG327" i="2"/>
  <c r="BF327" i="2"/>
  <c r="BE327" i="2"/>
  <c r="BD327" i="2"/>
  <c r="BC327" i="2"/>
  <c r="BB327" i="2"/>
  <c r="BA327" i="2"/>
  <c r="AZ327" i="2"/>
  <c r="AY327" i="2"/>
  <c r="AX327" i="2"/>
  <c r="AW327" i="2"/>
  <c r="AV327" i="2"/>
  <c r="AU327" i="2"/>
  <c r="AT327" i="2"/>
  <c r="AS327" i="2"/>
  <c r="AR327" i="2"/>
  <c r="AQ327" i="2"/>
  <c r="AP327" i="2"/>
  <c r="AO327" i="2"/>
  <c r="AN327" i="2"/>
  <c r="AM327" i="2"/>
  <c r="AL327" i="2"/>
  <c r="AK327" i="2"/>
  <c r="AJ327" i="2"/>
  <c r="AI327" i="2"/>
  <c r="AH327" i="2"/>
  <c r="AG327" i="2"/>
  <c r="AF327" i="2"/>
  <c r="AE327" i="2"/>
  <c r="AD327" i="2"/>
  <c r="AC327" i="2"/>
  <c r="AB327" i="2"/>
  <c r="AA327" i="2"/>
  <c r="Z327" i="2"/>
  <c r="Y327" i="2"/>
  <c r="X327" i="2"/>
  <c r="W327" i="2"/>
  <c r="V327" i="2"/>
  <c r="U327" i="2"/>
  <c r="T327" i="2"/>
  <c r="S327" i="2"/>
  <c r="R327" i="2"/>
  <c r="Q327" i="2"/>
  <c r="P327" i="2"/>
  <c r="O327" i="2"/>
  <c r="N327" i="2"/>
  <c r="M327" i="2"/>
  <c r="L327" i="2"/>
  <c r="K327" i="2"/>
  <c r="J327" i="2"/>
  <c r="I327" i="2"/>
  <c r="E327" i="2" a="1"/>
  <c r="E327" i="2" s="1"/>
  <c r="D327" i="2" a="1"/>
  <c r="D327" i="2" s="1"/>
  <c r="C327" i="2" a="1"/>
  <c r="C327" i="2" s="1"/>
  <c r="B327" i="2" a="1"/>
  <c r="B327" i="2" s="1"/>
  <c r="CG326" i="2"/>
  <c r="CF326" i="2"/>
  <c r="CE326" i="2"/>
  <c r="CD326" i="2"/>
  <c r="CC326" i="2"/>
  <c r="CB326" i="2"/>
  <c r="CA326" i="2"/>
  <c r="BZ326" i="2"/>
  <c r="BY326" i="2"/>
  <c r="BX326" i="2"/>
  <c r="BW326" i="2"/>
  <c r="BV326" i="2"/>
  <c r="BU326" i="2"/>
  <c r="BT326" i="2"/>
  <c r="BS326" i="2"/>
  <c r="BR326" i="2"/>
  <c r="BQ326" i="2"/>
  <c r="BP326" i="2"/>
  <c r="BO326" i="2"/>
  <c r="BN326" i="2"/>
  <c r="BM326" i="2"/>
  <c r="BL326" i="2"/>
  <c r="BK326" i="2"/>
  <c r="BJ326" i="2"/>
  <c r="BI326" i="2"/>
  <c r="BH326" i="2"/>
  <c r="BG326" i="2"/>
  <c r="BF326" i="2"/>
  <c r="BE326" i="2"/>
  <c r="BC326" i="2"/>
  <c r="BB326" i="2"/>
  <c r="BA326" i="2"/>
  <c r="AZ326" i="2"/>
  <c r="AY326" i="2"/>
  <c r="AX326" i="2"/>
  <c r="AW326" i="2"/>
  <c r="AV326" i="2"/>
  <c r="AU326" i="2"/>
  <c r="AT326" i="2"/>
  <c r="AS326" i="2"/>
  <c r="AR326" i="2"/>
  <c r="AQ326" i="2"/>
  <c r="AP326" i="2"/>
  <c r="AO326" i="2"/>
  <c r="AN326" i="2"/>
  <c r="AM326" i="2"/>
  <c r="AL326" i="2"/>
  <c r="AK326" i="2"/>
  <c r="AJ326" i="2"/>
  <c r="AI326" i="2"/>
  <c r="AH326" i="2"/>
  <c r="AG326" i="2"/>
  <c r="AF326" i="2"/>
  <c r="AE326" i="2"/>
  <c r="AD326" i="2"/>
  <c r="AC326" i="2"/>
  <c r="AB326" i="2"/>
  <c r="AA326" i="2"/>
  <c r="Z326" i="2"/>
  <c r="Y326" i="2"/>
  <c r="X326" i="2"/>
  <c r="W326" i="2"/>
  <c r="V326" i="2"/>
  <c r="U326" i="2"/>
  <c r="T326" i="2"/>
  <c r="S326" i="2"/>
  <c r="R326" i="2"/>
  <c r="Q326" i="2"/>
  <c r="P326" i="2"/>
  <c r="O326" i="2"/>
  <c r="N326" i="2"/>
  <c r="M326" i="2"/>
  <c r="L326" i="2"/>
  <c r="K326" i="2"/>
  <c r="J326" i="2"/>
  <c r="BD326" i="2" s="1"/>
  <c r="I326" i="2"/>
  <c r="E326" i="2" a="1"/>
  <c r="E326" i="2" s="1"/>
  <c r="D326" i="2" a="1"/>
  <c r="D326" i="2" s="1"/>
  <c r="C326" i="2" a="1"/>
  <c r="C326" i="2" s="1"/>
  <c r="B326" i="2" a="1"/>
  <c r="B326" i="2" s="1"/>
  <c r="CG325" i="2"/>
  <c r="CF325" i="2"/>
  <c r="CE325" i="2"/>
  <c r="CD325" i="2"/>
  <c r="CC325" i="2"/>
  <c r="CB325" i="2"/>
  <c r="CA325" i="2"/>
  <c r="BZ325" i="2"/>
  <c r="BY325" i="2"/>
  <c r="BX325" i="2"/>
  <c r="BW325" i="2"/>
  <c r="BV325" i="2"/>
  <c r="BU325" i="2"/>
  <c r="BT325" i="2"/>
  <c r="BS325" i="2"/>
  <c r="BR325" i="2"/>
  <c r="BQ325" i="2"/>
  <c r="BP325" i="2"/>
  <c r="BO325" i="2"/>
  <c r="BN325" i="2"/>
  <c r="BM325" i="2"/>
  <c r="BL325" i="2"/>
  <c r="BK325" i="2"/>
  <c r="BJ325" i="2"/>
  <c r="BI325" i="2"/>
  <c r="BH325" i="2"/>
  <c r="BG325" i="2"/>
  <c r="BF325" i="2"/>
  <c r="BE325" i="2"/>
  <c r="BC325" i="2"/>
  <c r="BB325" i="2"/>
  <c r="BA325" i="2"/>
  <c r="AZ325" i="2"/>
  <c r="AY325" i="2"/>
  <c r="AX325" i="2"/>
  <c r="AW325" i="2"/>
  <c r="AV325" i="2"/>
  <c r="AU325" i="2"/>
  <c r="AT325" i="2"/>
  <c r="AS325" i="2"/>
  <c r="AR325" i="2"/>
  <c r="AQ325" i="2"/>
  <c r="AP325" i="2"/>
  <c r="AO325" i="2"/>
  <c r="AN325" i="2"/>
  <c r="AM325" i="2"/>
  <c r="AL325" i="2"/>
  <c r="AK325" i="2"/>
  <c r="AJ325" i="2"/>
  <c r="AI325" i="2"/>
  <c r="AH325" i="2"/>
  <c r="AG325" i="2"/>
  <c r="AF325" i="2"/>
  <c r="AE325" i="2"/>
  <c r="AD325" i="2"/>
  <c r="AC325" i="2"/>
  <c r="AB325" i="2"/>
  <c r="AA325" i="2"/>
  <c r="Z325" i="2"/>
  <c r="Y325" i="2"/>
  <c r="X325" i="2"/>
  <c r="W325" i="2"/>
  <c r="V325" i="2"/>
  <c r="U325" i="2"/>
  <c r="T325" i="2"/>
  <c r="S325" i="2"/>
  <c r="R325" i="2"/>
  <c r="Q325" i="2"/>
  <c r="P325" i="2"/>
  <c r="O325" i="2"/>
  <c r="N325" i="2"/>
  <c r="M325" i="2"/>
  <c r="L325" i="2"/>
  <c r="K325" i="2"/>
  <c r="J325" i="2"/>
  <c r="BD325" i="2" s="1"/>
  <c r="I325" i="2"/>
  <c r="E325" i="2" a="1"/>
  <c r="E325" i="2" s="1"/>
  <c r="D325" i="2" a="1"/>
  <c r="D325" i="2" s="1"/>
  <c r="C325" i="2" a="1"/>
  <c r="C325" i="2" s="1"/>
  <c r="B325" i="2" a="1"/>
  <c r="B325" i="2" s="1"/>
  <c r="CG324" i="2"/>
  <c r="CF324" i="2"/>
  <c r="CE324" i="2"/>
  <c r="CD324" i="2"/>
  <c r="CC324" i="2"/>
  <c r="CB324" i="2"/>
  <c r="CA324" i="2"/>
  <c r="BZ324" i="2"/>
  <c r="BY324" i="2"/>
  <c r="BX324" i="2"/>
  <c r="BW324" i="2"/>
  <c r="BV324" i="2"/>
  <c r="BU324" i="2"/>
  <c r="BT324" i="2"/>
  <c r="BS324" i="2"/>
  <c r="BR324" i="2"/>
  <c r="BQ324" i="2"/>
  <c r="BP324" i="2"/>
  <c r="BO324" i="2"/>
  <c r="BN324" i="2"/>
  <c r="BM324" i="2"/>
  <c r="BL324" i="2"/>
  <c r="BK324" i="2"/>
  <c r="BJ324" i="2"/>
  <c r="BI324" i="2"/>
  <c r="BH324" i="2"/>
  <c r="BG324" i="2"/>
  <c r="BF324" i="2"/>
  <c r="BE324" i="2"/>
  <c r="BD324" i="2"/>
  <c r="BC324" i="2"/>
  <c r="BB324" i="2"/>
  <c r="BA324" i="2"/>
  <c r="AZ324" i="2"/>
  <c r="AY324" i="2"/>
  <c r="AX324" i="2"/>
  <c r="AW324" i="2"/>
  <c r="AV324" i="2"/>
  <c r="AU324" i="2"/>
  <c r="AT324" i="2"/>
  <c r="AS324" i="2"/>
  <c r="AR324" i="2"/>
  <c r="AQ324" i="2"/>
  <c r="AP324" i="2"/>
  <c r="AO324" i="2"/>
  <c r="AN324" i="2"/>
  <c r="AM324" i="2"/>
  <c r="AL324" i="2"/>
  <c r="AK324" i="2"/>
  <c r="AJ324" i="2"/>
  <c r="AI324" i="2"/>
  <c r="AH324" i="2"/>
  <c r="AG324" i="2"/>
  <c r="AF324" i="2"/>
  <c r="AE324" i="2"/>
  <c r="AD324" i="2"/>
  <c r="AC324" i="2"/>
  <c r="AB324" i="2"/>
  <c r="AA324" i="2"/>
  <c r="Z324" i="2"/>
  <c r="Y324" i="2"/>
  <c r="X324" i="2"/>
  <c r="W324" i="2"/>
  <c r="V324" i="2"/>
  <c r="U324" i="2"/>
  <c r="T324" i="2"/>
  <c r="S324" i="2"/>
  <c r="R324" i="2"/>
  <c r="Q324" i="2"/>
  <c r="P324" i="2"/>
  <c r="O324" i="2"/>
  <c r="N324" i="2"/>
  <c r="M324" i="2"/>
  <c r="L324" i="2"/>
  <c r="K324" i="2"/>
  <c r="J324" i="2"/>
  <c r="I324" i="2"/>
  <c r="E324" i="2" a="1"/>
  <c r="E324" i="2" s="1"/>
  <c r="D324" i="2" a="1"/>
  <c r="D324" i="2" s="1"/>
  <c r="C324" i="2" a="1"/>
  <c r="C324" i="2" s="1"/>
  <c r="B324" i="2" a="1"/>
  <c r="B324" i="2" s="1"/>
  <c r="CG323" i="2"/>
  <c r="CF323" i="2"/>
  <c r="CE323" i="2"/>
  <c r="CD323" i="2"/>
  <c r="CC323" i="2"/>
  <c r="CB323" i="2"/>
  <c r="CA323" i="2"/>
  <c r="BZ323" i="2"/>
  <c r="BY323" i="2"/>
  <c r="BX323" i="2"/>
  <c r="BW323" i="2"/>
  <c r="BV323" i="2"/>
  <c r="BU323" i="2"/>
  <c r="BT323" i="2"/>
  <c r="BS323" i="2"/>
  <c r="BR323" i="2"/>
  <c r="BQ323" i="2"/>
  <c r="BP323" i="2"/>
  <c r="BO323" i="2"/>
  <c r="BN323" i="2"/>
  <c r="BM323" i="2"/>
  <c r="BL323" i="2"/>
  <c r="BK323" i="2"/>
  <c r="BJ323" i="2"/>
  <c r="BI323" i="2"/>
  <c r="BH323" i="2"/>
  <c r="BG323" i="2"/>
  <c r="BF323" i="2"/>
  <c r="BE323" i="2"/>
  <c r="BD323" i="2"/>
  <c r="BC323" i="2"/>
  <c r="BB323" i="2"/>
  <c r="BA323" i="2"/>
  <c r="AZ323" i="2"/>
  <c r="AY323" i="2"/>
  <c r="AX323" i="2"/>
  <c r="AW323" i="2"/>
  <c r="AV323" i="2"/>
  <c r="AU323" i="2"/>
  <c r="AT323" i="2"/>
  <c r="AS323" i="2"/>
  <c r="AR323" i="2"/>
  <c r="AQ323" i="2"/>
  <c r="AP323" i="2"/>
  <c r="AO323" i="2"/>
  <c r="AN323" i="2"/>
  <c r="AM323" i="2"/>
  <c r="AL323" i="2"/>
  <c r="AK323" i="2"/>
  <c r="AJ323" i="2"/>
  <c r="AI323" i="2"/>
  <c r="AH323" i="2"/>
  <c r="AG323" i="2"/>
  <c r="AF323" i="2"/>
  <c r="AE323" i="2"/>
  <c r="AD323" i="2"/>
  <c r="AC323" i="2"/>
  <c r="AB323" i="2"/>
  <c r="AA323" i="2"/>
  <c r="Z323" i="2"/>
  <c r="Y323" i="2"/>
  <c r="X323" i="2"/>
  <c r="W323" i="2"/>
  <c r="V323" i="2"/>
  <c r="U323" i="2"/>
  <c r="T323" i="2"/>
  <c r="S323" i="2"/>
  <c r="R323" i="2"/>
  <c r="Q323" i="2"/>
  <c r="P323" i="2"/>
  <c r="O323" i="2"/>
  <c r="N323" i="2"/>
  <c r="M323" i="2"/>
  <c r="L323" i="2"/>
  <c r="K323" i="2"/>
  <c r="J323" i="2"/>
  <c r="I323" i="2"/>
  <c r="E323" i="2" a="1"/>
  <c r="E323" i="2" s="1"/>
  <c r="D323" i="2" a="1"/>
  <c r="D323" i="2" s="1"/>
  <c r="C323" i="2" a="1"/>
  <c r="C323" i="2" s="1"/>
  <c r="B323" i="2" a="1"/>
  <c r="B323" i="2" s="1"/>
  <c r="CG322" i="2"/>
  <c r="CF322" i="2"/>
  <c r="CE322" i="2"/>
  <c r="CD322" i="2"/>
  <c r="CC322" i="2"/>
  <c r="CB322" i="2"/>
  <c r="CA322" i="2"/>
  <c r="BZ322" i="2"/>
  <c r="BY322" i="2"/>
  <c r="BX322" i="2"/>
  <c r="BW322" i="2"/>
  <c r="BV322" i="2"/>
  <c r="BU322" i="2"/>
  <c r="BT322" i="2"/>
  <c r="BS322" i="2"/>
  <c r="BR322" i="2"/>
  <c r="BQ322" i="2"/>
  <c r="BP322" i="2"/>
  <c r="BO322" i="2"/>
  <c r="BN322" i="2"/>
  <c r="BM322" i="2"/>
  <c r="BL322" i="2"/>
  <c r="BK322" i="2"/>
  <c r="BJ322" i="2"/>
  <c r="BI322" i="2"/>
  <c r="BH322" i="2"/>
  <c r="BG322" i="2"/>
  <c r="BF322" i="2"/>
  <c r="BE322" i="2"/>
  <c r="BC322" i="2"/>
  <c r="BB322" i="2"/>
  <c r="BA322" i="2"/>
  <c r="AZ322" i="2"/>
  <c r="AY322" i="2"/>
  <c r="AX322" i="2"/>
  <c r="AW322" i="2"/>
  <c r="AV322" i="2"/>
  <c r="AU322" i="2"/>
  <c r="AT322" i="2"/>
  <c r="AS322" i="2"/>
  <c r="AR322" i="2"/>
  <c r="AQ322" i="2"/>
  <c r="AP322" i="2"/>
  <c r="AO322" i="2"/>
  <c r="AN322" i="2"/>
  <c r="AM322" i="2"/>
  <c r="AL322" i="2"/>
  <c r="AK322" i="2"/>
  <c r="AJ322" i="2"/>
  <c r="AI322" i="2"/>
  <c r="AH322" i="2"/>
  <c r="AG322" i="2"/>
  <c r="AF322" i="2"/>
  <c r="AE322" i="2"/>
  <c r="AD322" i="2"/>
  <c r="AC322" i="2"/>
  <c r="AB322" i="2"/>
  <c r="AA322" i="2"/>
  <c r="Z322" i="2"/>
  <c r="Y322" i="2"/>
  <c r="X322" i="2"/>
  <c r="W322" i="2"/>
  <c r="V322" i="2"/>
  <c r="U322" i="2"/>
  <c r="T322" i="2"/>
  <c r="S322" i="2"/>
  <c r="R322" i="2"/>
  <c r="Q322" i="2"/>
  <c r="P322" i="2"/>
  <c r="O322" i="2"/>
  <c r="N322" i="2"/>
  <c r="M322" i="2"/>
  <c r="L322" i="2"/>
  <c r="K322" i="2"/>
  <c r="J322" i="2"/>
  <c r="BD322" i="2" s="1"/>
  <c r="I322" i="2"/>
  <c r="E322" i="2" a="1"/>
  <c r="E322" i="2" s="1"/>
  <c r="D322" i="2" a="1"/>
  <c r="D322" i="2" s="1"/>
  <c r="C322" i="2" a="1"/>
  <c r="C322" i="2" s="1"/>
  <c r="B322" i="2" a="1"/>
  <c r="B322" i="2" s="1"/>
  <c r="CG321" i="2"/>
  <c r="CF321" i="2"/>
  <c r="CE321" i="2"/>
  <c r="CD321" i="2"/>
  <c r="CC321" i="2"/>
  <c r="CB321" i="2"/>
  <c r="CA321" i="2"/>
  <c r="BZ321" i="2"/>
  <c r="BY321" i="2"/>
  <c r="BX321" i="2"/>
  <c r="BW321" i="2"/>
  <c r="BV321" i="2"/>
  <c r="BU321" i="2"/>
  <c r="BT321" i="2"/>
  <c r="BS321" i="2"/>
  <c r="BR321" i="2"/>
  <c r="BQ321" i="2"/>
  <c r="BP321" i="2"/>
  <c r="BO321" i="2"/>
  <c r="BN321" i="2"/>
  <c r="BM321" i="2"/>
  <c r="BL321" i="2"/>
  <c r="BK321" i="2"/>
  <c r="BJ321" i="2"/>
  <c r="BI321" i="2"/>
  <c r="BH321" i="2"/>
  <c r="BG321" i="2"/>
  <c r="BF321" i="2"/>
  <c r="BE321" i="2"/>
  <c r="BC321" i="2"/>
  <c r="BB321" i="2"/>
  <c r="BA321" i="2"/>
  <c r="AZ321" i="2"/>
  <c r="AY321" i="2"/>
  <c r="AX321" i="2"/>
  <c r="AW321" i="2"/>
  <c r="AV321" i="2"/>
  <c r="AU321" i="2"/>
  <c r="AT321" i="2"/>
  <c r="AS321" i="2"/>
  <c r="AR321" i="2"/>
  <c r="AQ321" i="2"/>
  <c r="AP321" i="2"/>
  <c r="AO321" i="2"/>
  <c r="AN321" i="2"/>
  <c r="AM321" i="2"/>
  <c r="AL321" i="2"/>
  <c r="AK321" i="2"/>
  <c r="AJ321" i="2"/>
  <c r="AI321" i="2"/>
  <c r="AH321" i="2"/>
  <c r="AG321" i="2"/>
  <c r="AF321" i="2"/>
  <c r="AE321" i="2"/>
  <c r="AD321" i="2"/>
  <c r="AC321" i="2"/>
  <c r="AB321" i="2"/>
  <c r="AA321" i="2"/>
  <c r="Z321" i="2"/>
  <c r="Y321" i="2"/>
  <c r="X321" i="2"/>
  <c r="W321" i="2"/>
  <c r="V321" i="2"/>
  <c r="U321" i="2"/>
  <c r="T321" i="2"/>
  <c r="S321" i="2"/>
  <c r="R321" i="2"/>
  <c r="Q321" i="2"/>
  <c r="P321" i="2"/>
  <c r="O321" i="2"/>
  <c r="N321" i="2"/>
  <c r="M321" i="2"/>
  <c r="L321" i="2"/>
  <c r="K321" i="2"/>
  <c r="J321" i="2"/>
  <c r="BD321" i="2" s="1"/>
  <c r="I321" i="2"/>
  <c r="E321" i="2" a="1"/>
  <c r="E321" i="2" s="1"/>
  <c r="D321" i="2" a="1"/>
  <c r="D321" i="2" s="1"/>
  <c r="C321" i="2" a="1"/>
  <c r="C321" i="2" s="1"/>
  <c r="B321" i="2" a="1"/>
  <c r="B321" i="2" s="1"/>
  <c r="CG320" i="2"/>
  <c r="CF320" i="2"/>
  <c r="CE320" i="2"/>
  <c r="CD320" i="2"/>
  <c r="CC320" i="2"/>
  <c r="CB320" i="2"/>
  <c r="CA320" i="2"/>
  <c r="BZ320" i="2"/>
  <c r="BY320" i="2"/>
  <c r="BX320" i="2"/>
  <c r="BW320" i="2"/>
  <c r="BV320" i="2"/>
  <c r="BU320" i="2"/>
  <c r="BT320" i="2"/>
  <c r="BS320" i="2"/>
  <c r="BR320" i="2"/>
  <c r="BQ320" i="2"/>
  <c r="BP320" i="2"/>
  <c r="BO320" i="2"/>
  <c r="BN320" i="2"/>
  <c r="BM320" i="2"/>
  <c r="BL320" i="2"/>
  <c r="BK320" i="2"/>
  <c r="BJ320" i="2"/>
  <c r="BI320" i="2"/>
  <c r="BH320" i="2"/>
  <c r="BG320" i="2"/>
  <c r="BF320" i="2"/>
  <c r="BE320" i="2"/>
  <c r="BD320" i="2"/>
  <c r="BC320" i="2"/>
  <c r="BB320" i="2"/>
  <c r="BA320" i="2"/>
  <c r="AZ320" i="2"/>
  <c r="AY320" i="2"/>
  <c r="AX320" i="2"/>
  <c r="AW320" i="2"/>
  <c r="AV320" i="2"/>
  <c r="AU320" i="2"/>
  <c r="AT320" i="2"/>
  <c r="AS320" i="2"/>
  <c r="AR320" i="2"/>
  <c r="AQ320" i="2"/>
  <c r="AP320" i="2"/>
  <c r="AO320" i="2"/>
  <c r="AN320" i="2"/>
  <c r="AM320" i="2"/>
  <c r="AL320" i="2"/>
  <c r="AK320" i="2"/>
  <c r="AJ320" i="2"/>
  <c r="AI320" i="2"/>
  <c r="AH320" i="2"/>
  <c r="AG320" i="2"/>
  <c r="AF320" i="2"/>
  <c r="AE320" i="2"/>
  <c r="AD320" i="2"/>
  <c r="AC320" i="2"/>
  <c r="AB320" i="2"/>
  <c r="AA320" i="2"/>
  <c r="Z320" i="2"/>
  <c r="Y320" i="2"/>
  <c r="X320" i="2"/>
  <c r="W320" i="2"/>
  <c r="V320" i="2"/>
  <c r="U320" i="2"/>
  <c r="T320" i="2"/>
  <c r="S320" i="2"/>
  <c r="R320" i="2"/>
  <c r="Q320" i="2"/>
  <c r="P320" i="2"/>
  <c r="O320" i="2"/>
  <c r="N320" i="2"/>
  <c r="M320" i="2"/>
  <c r="L320" i="2"/>
  <c r="K320" i="2"/>
  <c r="J320" i="2"/>
  <c r="I320" i="2"/>
  <c r="E320" i="2" a="1"/>
  <c r="E320" i="2" s="1"/>
  <c r="D320" i="2" a="1"/>
  <c r="D320" i="2" s="1"/>
  <c r="C320" i="2" a="1"/>
  <c r="C320" i="2" s="1"/>
  <c r="B320" i="2" a="1"/>
  <c r="B320" i="2" s="1"/>
  <c r="CG319" i="2"/>
  <c r="CF319" i="2"/>
  <c r="CE319" i="2"/>
  <c r="CD319" i="2"/>
  <c r="CC319" i="2"/>
  <c r="CB319" i="2"/>
  <c r="CA319" i="2"/>
  <c r="BZ319" i="2"/>
  <c r="BY319" i="2"/>
  <c r="BX319" i="2"/>
  <c r="BW319" i="2"/>
  <c r="BV319" i="2"/>
  <c r="BU319" i="2"/>
  <c r="BT319" i="2"/>
  <c r="BS319" i="2"/>
  <c r="BR319" i="2"/>
  <c r="BQ319" i="2"/>
  <c r="BP319" i="2"/>
  <c r="BO319" i="2"/>
  <c r="BN319" i="2"/>
  <c r="BM319" i="2"/>
  <c r="BL319" i="2"/>
  <c r="BK319" i="2"/>
  <c r="BJ319" i="2"/>
  <c r="BI319" i="2"/>
  <c r="BH319" i="2"/>
  <c r="BG319" i="2"/>
  <c r="BF319" i="2"/>
  <c r="BE319" i="2"/>
  <c r="BD319" i="2"/>
  <c r="BC319" i="2"/>
  <c r="BB319" i="2"/>
  <c r="BA319" i="2"/>
  <c r="AZ319" i="2"/>
  <c r="AY319" i="2"/>
  <c r="AX319" i="2"/>
  <c r="AW319" i="2"/>
  <c r="AV319" i="2"/>
  <c r="AU319" i="2"/>
  <c r="AT319" i="2"/>
  <c r="AS319" i="2"/>
  <c r="AR319" i="2"/>
  <c r="AQ319" i="2"/>
  <c r="AP319" i="2"/>
  <c r="AO319" i="2"/>
  <c r="AN319" i="2"/>
  <c r="AM319" i="2"/>
  <c r="AL319" i="2"/>
  <c r="AK319" i="2"/>
  <c r="AJ319" i="2"/>
  <c r="AI319" i="2"/>
  <c r="AH319" i="2"/>
  <c r="AG319" i="2"/>
  <c r="AF319" i="2"/>
  <c r="AE319" i="2"/>
  <c r="AD319" i="2"/>
  <c r="AC319" i="2"/>
  <c r="AB319" i="2"/>
  <c r="AA319" i="2"/>
  <c r="Z319" i="2"/>
  <c r="Y319" i="2"/>
  <c r="X319" i="2"/>
  <c r="W319" i="2"/>
  <c r="V319" i="2"/>
  <c r="U319" i="2"/>
  <c r="T319" i="2"/>
  <c r="S319" i="2"/>
  <c r="R319" i="2"/>
  <c r="Q319" i="2"/>
  <c r="P319" i="2"/>
  <c r="O319" i="2"/>
  <c r="N319" i="2"/>
  <c r="M319" i="2"/>
  <c r="L319" i="2"/>
  <c r="K319" i="2"/>
  <c r="J319" i="2"/>
  <c r="I319" i="2"/>
  <c r="E319" i="2" a="1"/>
  <c r="E319" i="2" s="1"/>
  <c r="D319" i="2" a="1"/>
  <c r="D319" i="2" s="1"/>
  <c r="C319" i="2" a="1"/>
  <c r="C319" i="2" s="1"/>
  <c r="B319" i="2" a="1"/>
  <c r="B319" i="2" s="1"/>
  <c r="CG318" i="2"/>
  <c r="CF318" i="2"/>
  <c r="CE318" i="2"/>
  <c r="CD318" i="2"/>
  <c r="CC318" i="2"/>
  <c r="CB318" i="2"/>
  <c r="CA318" i="2"/>
  <c r="BZ318" i="2"/>
  <c r="BY318" i="2"/>
  <c r="BX318" i="2"/>
  <c r="BW318" i="2"/>
  <c r="BV318" i="2"/>
  <c r="BU318" i="2"/>
  <c r="BT318" i="2"/>
  <c r="BS318" i="2"/>
  <c r="BR318" i="2"/>
  <c r="BQ318" i="2"/>
  <c r="BP318" i="2"/>
  <c r="BO318" i="2"/>
  <c r="BN318" i="2"/>
  <c r="BM318" i="2"/>
  <c r="BL318" i="2"/>
  <c r="BK318" i="2"/>
  <c r="BJ318" i="2"/>
  <c r="BI318" i="2"/>
  <c r="BH318" i="2"/>
  <c r="BG318" i="2"/>
  <c r="BF318" i="2"/>
  <c r="BE318" i="2"/>
  <c r="BC318" i="2"/>
  <c r="BB318" i="2"/>
  <c r="BA318" i="2"/>
  <c r="AZ318" i="2"/>
  <c r="AY318" i="2"/>
  <c r="AX318" i="2"/>
  <c r="AW318" i="2"/>
  <c r="AV318" i="2"/>
  <c r="AU318" i="2"/>
  <c r="AT318" i="2"/>
  <c r="AS318" i="2"/>
  <c r="AR318" i="2"/>
  <c r="AQ318" i="2"/>
  <c r="AP318" i="2"/>
  <c r="AO318" i="2"/>
  <c r="AN318" i="2"/>
  <c r="AM318" i="2"/>
  <c r="AL318" i="2"/>
  <c r="AK318" i="2"/>
  <c r="AJ318" i="2"/>
  <c r="AI318" i="2"/>
  <c r="AH318" i="2"/>
  <c r="AG318" i="2"/>
  <c r="AF318" i="2"/>
  <c r="AE318" i="2"/>
  <c r="AD318" i="2"/>
  <c r="AC318" i="2"/>
  <c r="AB318" i="2"/>
  <c r="AA318" i="2"/>
  <c r="Z318" i="2"/>
  <c r="Y318" i="2"/>
  <c r="X318" i="2"/>
  <c r="W318" i="2"/>
  <c r="V318" i="2"/>
  <c r="U318" i="2"/>
  <c r="T318" i="2"/>
  <c r="S318" i="2"/>
  <c r="R318" i="2"/>
  <c r="Q318" i="2"/>
  <c r="P318" i="2"/>
  <c r="O318" i="2"/>
  <c r="N318" i="2"/>
  <c r="M318" i="2"/>
  <c r="L318" i="2"/>
  <c r="K318" i="2"/>
  <c r="J318" i="2"/>
  <c r="BD318" i="2" s="1"/>
  <c r="I318" i="2"/>
  <c r="E318" i="2" a="1"/>
  <c r="E318" i="2" s="1"/>
  <c r="D318" i="2" a="1"/>
  <c r="D318" i="2" s="1"/>
  <c r="C318" i="2" a="1"/>
  <c r="C318" i="2" s="1"/>
  <c r="B318" i="2" a="1"/>
  <c r="B318" i="2" s="1"/>
  <c r="CG317" i="2"/>
  <c r="CF317" i="2"/>
  <c r="CE317" i="2"/>
  <c r="CD317" i="2"/>
  <c r="CC317" i="2"/>
  <c r="CB317" i="2"/>
  <c r="CA317" i="2"/>
  <c r="BZ317" i="2"/>
  <c r="BY317" i="2"/>
  <c r="BX317" i="2"/>
  <c r="BW317" i="2"/>
  <c r="BV317" i="2"/>
  <c r="BU317" i="2"/>
  <c r="BT317" i="2"/>
  <c r="BS317" i="2"/>
  <c r="BR317" i="2"/>
  <c r="BQ317" i="2"/>
  <c r="BP317" i="2"/>
  <c r="BO317" i="2"/>
  <c r="BN317" i="2"/>
  <c r="BM317" i="2"/>
  <c r="BL317" i="2"/>
  <c r="BK317" i="2"/>
  <c r="BJ317" i="2"/>
  <c r="BI317" i="2"/>
  <c r="BH317" i="2"/>
  <c r="BG317" i="2"/>
  <c r="BF317" i="2"/>
  <c r="BE317" i="2"/>
  <c r="BC317" i="2"/>
  <c r="BB317" i="2"/>
  <c r="BA317" i="2"/>
  <c r="AZ317" i="2"/>
  <c r="AY317" i="2"/>
  <c r="AX317" i="2"/>
  <c r="AW317" i="2"/>
  <c r="AV317" i="2"/>
  <c r="AU317" i="2"/>
  <c r="AT317" i="2"/>
  <c r="AS317" i="2"/>
  <c r="AR317" i="2"/>
  <c r="AQ317" i="2"/>
  <c r="AP317" i="2"/>
  <c r="AO317" i="2"/>
  <c r="AN317" i="2"/>
  <c r="AM317" i="2"/>
  <c r="AL317" i="2"/>
  <c r="AK317" i="2"/>
  <c r="AJ317" i="2"/>
  <c r="AI317" i="2"/>
  <c r="AH317" i="2"/>
  <c r="AG317" i="2"/>
  <c r="AF317" i="2"/>
  <c r="AE317" i="2"/>
  <c r="AD317" i="2"/>
  <c r="AC317" i="2"/>
  <c r="AB317" i="2"/>
  <c r="AA317" i="2"/>
  <c r="Z317" i="2"/>
  <c r="Y317" i="2"/>
  <c r="X317" i="2"/>
  <c r="W317" i="2"/>
  <c r="V317" i="2"/>
  <c r="U317" i="2"/>
  <c r="T317" i="2"/>
  <c r="S317" i="2"/>
  <c r="R317" i="2"/>
  <c r="Q317" i="2"/>
  <c r="P317" i="2"/>
  <c r="O317" i="2"/>
  <c r="N317" i="2"/>
  <c r="M317" i="2"/>
  <c r="L317" i="2"/>
  <c r="K317" i="2"/>
  <c r="J317" i="2"/>
  <c r="BD317" i="2" s="1"/>
  <c r="I317" i="2"/>
  <c r="E317" i="2" a="1"/>
  <c r="E317" i="2" s="1"/>
  <c r="D317" i="2" a="1"/>
  <c r="D317" i="2" s="1"/>
  <c r="C317" i="2" a="1"/>
  <c r="C317" i="2" s="1"/>
  <c r="B317" i="2" a="1"/>
  <c r="B317" i="2" s="1"/>
  <c r="CG316" i="2"/>
  <c r="CF316" i="2"/>
  <c r="CE316" i="2"/>
  <c r="CD316" i="2"/>
  <c r="CC316" i="2"/>
  <c r="CB316" i="2"/>
  <c r="CA316" i="2"/>
  <c r="BZ316" i="2"/>
  <c r="BY316" i="2"/>
  <c r="BX316" i="2"/>
  <c r="BW316" i="2"/>
  <c r="BV316" i="2"/>
  <c r="BU316" i="2"/>
  <c r="BT316" i="2"/>
  <c r="BS316" i="2"/>
  <c r="BR316" i="2"/>
  <c r="BQ316" i="2"/>
  <c r="BP316" i="2"/>
  <c r="BO316" i="2"/>
  <c r="BN316" i="2"/>
  <c r="BM316" i="2"/>
  <c r="BL316" i="2"/>
  <c r="BK316" i="2"/>
  <c r="BJ316" i="2"/>
  <c r="BI316" i="2"/>
  <c r="BH316" i="2"/>
  <c r="BG316" i="2"/>
  <c r="BF316" i="2"/>
  <c r="BE316" i="2"/>
  <c r="BD316" i="2"/>
  <c r="BC316" i="2"/>
  <c r="BB316" i="2"/>
  <c r="BA316" i="2"/>
  <c r="AZ316" i="2"/>
  <c r="AY316" i="2"/>
  <c r="AX316" i="2"/>
  <c r="AW316" i="2"/>
  <c r="AV316" i="2"/>
  <c r="AU316" i="2"/>
  <c r="AT316" i="2"/>
  <c r="AS316" i="2"/>
  <c r="AR316" i="2"/>
  <c r="AQ316" i="2"/>
  <c r="AP316" i="2"/>
  <c r="AO316" i="2"/>
  <c r="AN316" i="2"/>
  <c r="AM316" i="2"/>
  <c r="AL316" i="2"/>
  <c r="AK316" i="2"/>
  <c r="AJ316" i="2"/>
  <c r="AI316" i="2"/>
  <c r="AH316" i="2"/>
  <c r="AG316" i="2"/>
  <c r="AF316" i="2"/>
  <c r="AE316" i="2"/>
  <c r="AD316" i="2"/>
  <c r="AC316" i="2"/>
  <c r="AB316" i="2"/>
  <c r="AA316" i="2"/>
  <c r="Z316" i="2"/>
  <c r="Y316" i="2"/>
  <c r="X316" i="2"/>
  <c r="W316" i="2"/>
  <c r="V316" i="2"/>
  <c r="U316" i="2"/>
  <c r="T316" i="2"/>
  <c r="S316" i="2"/>
  <c r="R316" i="2"/>
  <c r="Q316" i="2"/>
  <c r="P316" i="2"/>
  <c r="O316" i="2"/>
  <c r="N316" i="2"/>
  <c r="M316" i="2"/>
  <c r="L316" i="2"/>
  <c r="K316" i="2"/>
  <c r="J316" i="2"/>
  <c r="I316" i="2"/>
  <c r="E316" i="2" a="1"/>
  <c r="E316" i="2" s="1"/>
  <c r="D316" i="2" a="1"/>
  <c r="D316" i="2" s="1"/>
  <c r="C316" i="2" a="1"/>
  <c r="C316" i="2" s="1"/>
  <c r="B316" i="2" a="1"/>
  <c r="B316" i="2" s="1"/>
  <c r="CG315" i="2"/>
  <c r="CF315" i="2"/>
  <c r="CE315" i="2"/>
  <c r="CD315" i="2"/>
  <c r="CC315" i="2"/>
  <c r="CB315" i="2"/>
  <c r="CA315" i="2"/>
  <c r="BZ315" i="2"/>
  <c r="BY315" i="2"/>
  <c r="BX315" i="2"/>
  <c r="BW315" i="2"/>
  <c r="BV315" i="2"/>
  <c r="BU315" i="2"/>
  <c r="BT315" i="2"/>
  <c r="BS315" i="2"/>
  <c r="BR315" i="2"/>
  <c r="BQ315" i="2"/>
  <c r="BP315" i="2"/>
  <c r="BO315" i="2"/>
  <c r="BN315" i="2"/>
  <c r="BM315" i="2"/>
  <c r="BL315" i="2"/>
  <c r="BK315" i="2"/>
  <c r="BJ315" i="2"/>
  <c r="BI315" i="2"/>
  <c r="BH315" i="2"/>
  <c r="BG315" i="2"/>
  <c r="BF315" i="2"/>
  <c r="BE315" i="2"/>
  <c r="BD315" i="2"/>
  <c r="BC315" i="2"/>
  <c r="BB315" i="2"/>
  <c r="BA315" i="2"/>
  <c r="AZ315" i="2"/>
  <c r="AY315" i="2"/>
  <c r="AX315" i="2"/>
  <c r="AW315" i="2"/>
  <c r="AV315" i="2"/>
  <c r="AU315" i="2"/>
  <c r="AT315" i="2"/>
  <c r="AS315" i="2"/>
  <c r="AR315" i="2"/>
  <c r="AQ315" i="2"/>
  <c r="AP315" i="2"/>
  <c r="AO315" i="2"/>
  <c r="AN315" i="2"/>
  <c r="AM315" i="2"/>
  <c r="AL315" i="2"/>
  <c r="AK315" i="2"/>
  <c r="AJ315" i="2"/>
  <c r="AI315" i="2"/>
  <c r="AH315" i="2"/>
  <c r="AG315" i="2"/>
  <c r="AF315" i="2"/>
  <c r="AE315" i="2"/>
  <c r="AD315" i="2"/>
  <c r="AC315" i="2"/>
  <c r="AB315" i="2"/>
  <c r="AA315" i="2"/>
  <c r="Z315" i="2"/>
  <c r="Y315" i="2"/>
  <c r="X315" i="2"/>
  <c r="W315" i="2"/>
  <c r="V315" i="2"/>
  <c r="U315" i="2"/>
  <c r="T315" i="2"/>
  <c r="S315" i="2"/>
  <c r="R315" i="2"/>
  <c r="Q315" i="2"/>
  <c r="P315" i="2"/>
  <c r="O315" i="2"/>
  <c r="N315" i="2"/>
  <c r="M315" i="2"/>
  <c r="L315" i="2"/>
  <c r="K315" i="2"/>
  <c r="J315" i="2"/>
  <c r="I315" i="2"/>
  <c r="E315" i="2" a="1"/>
  <c r="E315" i="2" s="1"/>
  <c r="D315" i="2" a="1"/>
  <c r="D315" i="2" s="1"/>
  <c r="C315" i="2" a="1"/>
  <c r="C315" i="2" s="1"/>
  <c r="B315" i="2" a="1"/>
  <c r="B315" i="2" s="1"/>
  <c r="CG314" i="2"/>
  <c r="CF314" i="2"/>
  <c r="CE314" i="2"/>
  <c r="CD314" i="2"/>
  <c r="CC314" i="2"/>
  <c r="CB314" i="2"/>
  <c r="CA314" i="2"/>
  <c r="BZ314" i="2"/>
  <c r="BY314" i="2"/>
  <c r="BX314" i="2"/>
  <c r="BW314" i="2"/>
  <c r="BV314" i="2"/>
  <c r="BU314" i="2"/>
  <c r="BT314" i="2"/>
  <c r="BS314" i="2"/>
  <c r="BR314" i="2"/>
  <c r="BQ314" i="2"/>
  <c r="BP314" i="2"/>
  <c r="BO314" i="2"/>
  <c r="BN314" i="2"/>
  <c r="BM314" i="2"/>
  <c r="BL314" i="2"/>
  <c r="BK314" i="2"/>
  <c r="BJ314" i="2"/>
  <c r="BI314" i="2"/>
  <c r="BH314" i="2"/>
  <c r="BG314" i="2"/>
  <c r="BF314" i="2"/>
  <c r="BE314" i="2"/>
  <c r="BC314" i="2"/>
  <c r="BB314" i="2"/>
  <c r="BA314" i="2"/>
  <c r="AZ314" i="2"/>
  <c r="AY314" i="2"/>
  <c r="AX314" i="2"/>
  <c r="AW314" i="2"/>
  <c r="AV314" i="2"/>
  <c r="AU314" i="2"/>
  <c r="AT314" i="2"/>
  <c r="AS314" i="2"/>
  <c r="AR314" i="2"/>
  <c r="AQ314" i="2"/>
  <c r="AP314" i="2"/>
  <c r="AO314" i="2"/>
  <c r="AN314" i="2"/>
  <c r="AM314" i="2"/>
  <c r="AL314" i="2"/>
  <c r="AK314" i="2"/>
  <c r="AJ314" i="2"/>
  <c r="AI314" i="2"/>
  <c r="AH314" i="2"/>
  <c r="AG314" i="2"/>
  <c r="AF314" i="2"/>
  <c r="AE314" i="2"/>
  <c r="AD314" i="2"/>
  <c r="AC314" i="2"/>
  <c r="AB314" i="2"/>
  <c r="AA314" i="2"/>
  <c r="Z314" i="2"/>
  <c r="Y314" i="2"/>
  <c r="X314" i="2"/>
  <c r="W314" i="2"/>
  <c r="V314" i="2"/>
  <c r="U314" i="2"/>
  <c r="T314" i="2"/>
  <c r="S314" i="2"/>
  <c r="R314" i="2"/>
  <c r="Q314" i="2"/>
  <c r="P314" i="2"/>
  <c r="O314" i="2"/>
  <c r="N314" i="2"/>
  <c r="M314" i="2"/>
  <c r="L314" i="2"/>
  <c r="K314" i="2"/>
  <c r="J314" i="2"/>
  <c r="BD314" i="2" s="1"/>
  <c r="I314" i="2"/>
  <c r="E314" i="2" a="1"/>
  <c r="E314" i="2" s="1"/>
  <c r="D314" i="2" a="1"/>
  <c r="D314" i="2" s="1"/>
  <c r="C314" i="2" a="1"/>
  <c r="C314" i="2" s="1"/>
  <c r="B314" i="2" a="1"/>
  <c r="B314" i="2" s="1"/>
  <c r="CG313" i="2"/>
  <c r="CF313" i="2"/>
  <c r="CE313" i="2"/>
  <c r="CD313" i="2"/>
  <c r="CC313" i="2"/>
  <c r="CB313" i="2"/>
  <c r="CA313" i="2"/>
  <c r="BZ313" i="2"/>
  <c r="BY313" i="2"/>
  <c r="BX313" i="2"/>
  <c r="BW313" i="2"/>
  <c r="BV313" i="2"/>
  <c r="BU313" i="2"/>
  <c r="BT313" i="2"/>
  <c r="BS313" i="2"/>
  <c r="BR313" i="2"/>
  <c r="BQ313" i="2"/>
  <c r="BP313" i="2"/>
  <c r="BO313" i="2"/>
  <c r="BN313" i="2"/>
  <c r="BM313" i="2"/>
  <c r="BL313" i="2"/>
  <c r="BK313" i="2"/>
  <c r="BJ313" i="2"/>
  <c r="BI313" i="2"/>
  <c r="BH313" i="2"/>
  <c r="BG313" i="2"/>
  <c r="BF313" i="2"/>
  <c r="BE313" i="2"/>
  <c r="BC313" i="2"/>
  <c r="BB313" i="2"/>
  <c r="BA313" i="2"/>
  <c r="AZ313" i="2"/>
  <c r="AY313" i="2"/>
  <c r="AX313" i="2"/>
  <c r="AW313" i="2"/>
  <c r="AV313" i="2"/>
  <c r="AU313" i="2"/>
  <c r="AT313" i="2"/>
  <c r="AS313" i="2"/>
  <c r="AR313" i="2"/>
  <c r="AQ313" i="2"/>
  <c r="AP313" i="2"/>
  <c r="AO313" i="2"/>
  <c r="AN313" i="2"/>
  <c r="AM313" i="2"/>
  <c r="AL313" i="2"/>
  <c r="AK313" i="2"/>
  <c r="AJ313" i="2"/>
  <c r="AI313" i="2"/>
  <c r="AH313" i="2"/>
  <c r="AG313" i="2"/>
  <c r="AF313" i="2"/>
  <c r="AE313" i="2"/>
  <c r="AD313" i="2"/>
  <c r="AC313" i="2"/>
  <c r="AB313" i="2"/>
  <c r="AA313" i="2"/>
  <c r="Z313" i="2"/>
  <c r="Y313" i="2"/>
  <c r="X313" i="2"/>
  <c r="W313" i="2"/>
  <c r="V313" i="2"/>
  <c r="U313" i="2"/>
  <c r="T313" i="2"/>
  <c r="S313" i="2"/>
  <c r="R313" i="2"/>
  <c r="Q313" i="2"/>
  <c r="P313" i="2"/>
  <c r="O313" i="2"/>
  <c r="N313" i="2"/>
  <c r="M313" i="2"/>
  <c r="L313" i="2"/>
  <c r="K313" i="2"/>
  <c r="J313" i="2"/>
  <c r="BD313" i="2" s="1"/>
  <c r="I313" i="2"/>
  <c r="E313" i="2" a="1"/>
  <c r="E313" i="2" s="1"/>
  <c r="D313" i="2" a="1"/>
  <c r="D313" i="2" s="1"/>
  <c r="C313" i="2" a="1"/>
  <c r="C313" i="2" s="1"/>
  <c r="B313" i="2" a="1"/>
  <c r="B313" i="2" s="1"/>
  <c r="CG312" i="2"/>
  <c r="CF312" i="2"/>
  <c r="CE312" i="2"/>
  <c r="CD312" i="2"/>
  <c r="CC312" i="2"/>
  <c r="CB312" i="2"/>
  <c r="CA312" i="2"/>
  <c r="BZ312" i="2"/>
  <c r="BY312" i="2"/>
  <c r="BX312" i="2"/>
  <c r="BW312" i="2"/>
  <c r="BV312" i="2"/>
  <c r="BU312" i="2"/>
  <c r="BT312" i="2"/>
  <c r="BS312" i="2"/>
  <c r="BR312" i="2"/>
  <c r="BQ312" i="2"/>
  <c r="BP312" i="2"/>
  <c r="BO312" i="2"/>
  <c r="BN312" i="2"/>
  <c r="BM312" i="2"/>
  <c r="BL312" i="2"/>
  <c r="BK312" i="2"/>
  <c r="BJ312" i="2"/>
  <c r="BI312" i="2"/>
  <c r="BH312" i="2"/>
  <c r="BG312" i="2"/>
  <c r="BF312" i="2"/>
  <c r="BE312" i="2"/>
  <c r="BD312" i="2"/>
  <c r="BC312" i="2"/>
  <c r="BB312" i="2"/>
  <c r="BA312" i="2"/>
  <c r="AZ312" i="2"/>
  <c r="AY312" i="2"/>
  <c r="AX312" i="2"/>
  <c r="AW312" i="2"/>
  <c r="AV312" i="2"/>
  <c r="AU312" i="2"/>
  <c r="AT312" i="2"/>
  <c r="AS312" i="2"/>
  <c r="AR312" i="2"/>
  <c r="AQ312" i="2"/>
  <c r="AP312" i="2"/>
  <c r="AO312" i="2"/>
  <c r="AN312" i="2"/>
  <c r="AM312" i="2"/>
  <c r="AL312" i="2"/>
  <c r="AK312" i="2"/>
  <c r="AJ312" i="2"/>
  <c r="AI312" i="2"/>
  <c r="AH312" i="2"/>
  <c r="AG312" i="2"/>
  <c r="AF312" i="2"/>
  <c r="AE312" i="2"/>
  <c r="AD312" i="2"/>
  <c r="AC312" i="2"/>
  <c r="AB312" i="2"/>
  <c r="AA312" i="2"/>
  <c r="Z312" i="2"/>
  <c r="Y312" i="2"/>
  <c r="X312" i="2"/>
  <c r="W312" i="2"/>
  <c r="V312" i="2"/>
  <c r="U312" i="2"/>
  <c r="T312" i="2"/>
  <c r="S312" i="2"/>
  <c r="R312" i="2"/>
  <c r="Q312" i="2"/>
  <c r="P312" i="2"/>
  <c r="O312" i="2"/>
  <c r="N312" i="2"/>
  <c r="M312" i="2"/>
  <c r="L312" i="2"/>
  <c r="K312" i="2"/>
  <c r="J312" i="2"/>
  <c r="I312" i="2"/>
  <c r="E312" i="2" a="1"/>
  <c r="E312" i="2" s="1"/>
  <c r="D312" i="2" a="1"/>
  <c r="D312" i="2" s="1"/>
  <c r="C312" i="2" a="1"/>
  <c r="C312" i="2" s="1"/>
  <c r="B312" i="2" a="1"/>
  <c r="B312" i="2" s="1"/>
  <c r="CG311" i="2"/>
  <c r="CF311" i="2"/>
  <c r="CE311" i="2"/>
  <c r="CD311" i="2"/>
  <c r="CC311" i="2"/>
  <c r="CB311" i="2"/>
  <c r="CA311" i="2"/>
  <c r="BZ311" i="2"/>
  <c r="BY311" i="2"/>
  <c r="BX311" i="2"/>
  <c r="BW311" i="2"/>
  <c r="BV311" i="2"/>
  <c r="BU311" i="2"/>
  <c r="BT311" i="2"/>
  <c r="BS311" i="2"/>
  <c r="BR311" i="2"/>
  <c r="BQ311" i="2"/>
  <c r="BP311" i="2"/>
  <c r="BO311" i="2"/>
  <c r="BN311" i="2"/>
  <c r="BM311" i="2"/>
  <c r="BL311" i="2"/>
  <c r="BK311" i="2"/>
  <c r="BJ311" i="2"/>
  <c r="BI311" i="2"/>
  <c r="BH311" i="2"/>
  <c r="BG311" i="2"/>
  <c r="BF311" i="2"/>
  <c r="BE311" i="2"/>
  <c r="BD311" i="2"/>
  <c r="BC311" i="2"/>
  <c r="BB311" i="2"/>
  <c r="BA311" i="2"/>
  <c r="AZ311" i="2"/>
  <c r="AY311" i="2"/>
  <c r="AX311" i="2"/>
  <c r="AW311" i="2"/>
  <c r="AV311" i="2"/>
  <c r="AU311" i="2"/>
  <c r="AT311" i="2"/>
  <c r="AS311" i="2"/>
  <c r="AR311" i="2"/>
  <c r="AQ311" i="2"/>
  <c r="AP311" i="2"/>
  <c r="AO311" i="2"/>
  <c r="AN311" i="2"/>
  <c r="AM311" i="2"/>
  <c r="AL311" i="2"/>
  <c r="AK311" i="2"/>
  <c r="AJ311" i="2"/>
  <c r="AI311" i="2"/>
  <c r="AH311" i="2"/>
  <c r="AG311" i="2"/>
  <c r="AF311" i="2"/>
  <c r="AE311" i="2"/>
  <c r="AD311" i="2"/>
  <c r="AC311" i="2"/>
  <c r="AB311" i="2"/>
  <c r="AA311" i="2"/>
  <c r="Z311" i="2"/>
  <c r="Y311" i="2"/>
  <c r="X311" i="2"/>
  <c r="W311" i="2"/>
  <c r="V311" i="2"/>
  <c r="U311" i="2"/>
  <c r="T311" i="2"/>
  <c r="S311" i="2"/>
  <c r="R311" i="2"/>
  <c r="Q311" i="2"/>
  <c r="P311" i="2"/>
  <c r="O311" i="2"/>
  <c r="N311" i="2"/>
  <c r="M311" i="2"/>
  <c r="L311" i="2"/>
  <c r="K311" i="2"/>
  <c r="J311" i="2"/>
  <c r="I311" i="2"/>
  <c r="E311" i="2" a="1"/>
  <c r="E311" i="2" s="1"/>
  <c r="D311" i="2" a="1"/>
  <c r="D311" i="2" s="1"/>
  <c r="C311" i="2" a="1"/>
  <c r="C311" i="2" s="1"/>
  <c r="B311" i="2" a="1"/>
  <c r="B311" i="2" s="1"/>
  <c r="CG310" i="2"/>
  <c r="CF310" i="2"/>
  <c r="CE310" i="2"/>
  <c r="CD310" i="2"/>
  <c r="CC310" i="2"/>
  <c r="CB310" i="2"/>
  <c r="CA310" i="2"/>
  <c r="BZ310" i="2"/>
  <c r="BY310" i="2"/>
  <c r="BX310" i="2"/>
  <c r="BW310" i="2"/>
  <c r="BV310" i="2"/>
  <c r="BU310" i="2"/>
  <c r="BT310" i="2"/>
  <c r="BS310" i="2"/>
  <c r="BR310" i="2"/>
  <c r="BQ310" i="2"/>
  <c r="BP310" i="2"/>
  <c r="BO310" i="2"/>
  <c r="BN310" i="2"/>
  <c r="BM310" i="2"/>
  <c r="BL310" i="2"/>
  <c r="BK310" i="2"/>
  <c r="BJ310" i="2"/>
  <c r="BI310" i="2"/>
  <c r="BH310" i="2"/>
  <c r="BG310" i="2"/>
  <c r="BF310" i="2"/>
  <c r="BE310" i="2"/>
  <c r="BC310" i="2"/>
  <c r="BB310" i="2"/>
  <c r="BA310" i="2"/>
  <c r="AZ310" i="2"/>
  <c r="AY310" i="2"/>
  <c r="AX310" i="2"/>
  <c r="AW310" i="2"/>
  <c r="AV310" i="2"/>
  <c r="AU310" i="2"/>
  <c r="AT310" i="2"/>
  <c r="AS310" i="2"/>
  <c r="AR310" i="2"/>
  <c r="AQ310" i="2"/>
  <c r="AP310" i="2"/>
  <c r="AO310" i="2"/>
  <c r="AN310" i="2"/>
  <c r="AM310" i="2"/>
  <c r="AL310" i="2"/>
  <c r="AK310" i="2"/>
  <c r="AJ310" i="2"/>
  <c r="AI310" i="2"/>
  <c r="AH310" i="2"/>
  <c r="AG310" i="2"/>
  <c r="AF310" i="2"/>
  <c r="AE310" i="2"/>
  <c r="AD310" i="2"/>
  <c r="AC310" i="2"/>
  <c r="AB310" i="2"/>
  <c r="AA310" i="2"/>
  <c r="Z310" i="2"/>
  <c r="Y310" i="2"/>
  <c r="X310" i="2"/>
  <c r="W310" i="2"/>
  <c r="V310" i="2"/>
  <c r="U310" i="2"/>
  <c r="T310" i="2"/>
  <c r="S310" i="2"/>
  <c r="R310" i="2"/>
  <c r="Q310" i="2"/>
  <c r="P310" i="2"/>
  <c r="O310" i="2"/>
  <c r="N310" i="2"/>
  <c r="M310" i="2"/>
  <c r="L310" i="2"/>
  <c r="K310" i="2"/>
  <c r="J310" i="2"/>
  <c r="BD310" i="2" s="1"/>
  <c r="I310" i="2"/>
  <c r="E310" i="2" a="1"/>
  <c r="E310" i="2" s="1"/>
  <c r="D310" i="2" a="1"/>
  <c r="D310" i="2" s="1"/>
  <c r="C310" i="2" a="1"/>
  <c r="C310" i="2" s="1"/>
  <c r="B310" i="2" a="1"/>
  <c r="B310" i="2" s="1"/>
  <c r="CG309" i="2"/>
  <c r="CF309" i="2"/>
  <c r="CE309" i="2"/>
  <c r="CD309" i="2"/>
  <c r="CC309" i="2"/>
  <c r="CB309" i="2"/>
  <c r="CA309" i="2"/>
  <c r="BZ309" i="2"/>
  <c r="BY309" i="2"/>
  <c r="BX309" i="2"/>
  <c r="BW309" i="2"/>
  <c r="BV309" i="2"/>
  <c r="BU309" i="2"/>
  <c r="BT309" i="2"/>
  <c r="BS309" i="2"/>
  <c r="BR309" i="2"/>
  <c r="BQ309" i="2"/>
  <c r="BP309" i="2"/>
  <c r="BO309" i="2"/>
  <c r="BN309" i="2"/>
  <c r="BM309" i="2"/>
  <c r="BL309" i="2"/>
  <c r="BK309" i="2"/>
  <c r="BJ309" i="2"/>
  <c r="BI309" i="2"/>
  <c r="BH309" i="2"/>
  <c r="BG309" i="2"/>
  <c r="BF309" i="2"/>
  <c r="BE309" i="2"/>
  <c r="BC309" i="2"/>
  <c r="BB309" i="2"/>
  <c r="BA309" i="2"/>
  <c r="AZ309" i="2"/>
  <c r="AY309" i="2"/>
  <c r="AX309" i="2"/>
  <c r="AW309" i="2"/>
  <c r="AV309" i="2"/>
  <c r="AU309" i="2"/>
  <c r="AT309" i="2"/>
  <c r="AS309" i="2"/>
  <c r="AR309" i="2"/>
  <c r="AQ309" i="2"/>
  <c r="AP309" i="2"/>
  <c r="AO309" i="2"/>
  <c r="AN309" i="2"/>
  <c r="AM309" i="2"/>
  <c r="AL309" i="2"/>
  <c r="AK309" i="2"/>
  <c r="AJ309" i="2"/>
  <c r="AI309" i="2"/>
  <c r="AH309" i="2"/>
  <c r="AG309" i="2"/>
  <c r="AF309" i="2"/>
  <c r="AE309" i="2"/>
  <c r="AD309" i="2"/>
  <c r="AC309" i="2"/>
  <c r="AB309" i="2"/>
  <c r="AA309" i="2"/>
  <c r="Z309" i="2"/>
  <c r="Y309" i="2"/>
  <c r="X309" i="2"/>
  <c r="W309" i="2"/>
  <c r="V309" i="2"/>
  <c r="U309" i="2"/>
  <c r="T309" i="2"/>
  <c r="S309" i="2"/>
  <c r="R309" i="2"/>
  <c r="Q309" i="2"/>
  <c r="P309" i="2"/>
  <c r="O309" i="2"/>
  <c r="N309" i="2"/>
  <c r="M309" i="2"/>
  <c r="L309" i="2"/>
  <c r="K309" i="2"/>
  <c r="J309" i="2"/>
  <c r="BD309" i="2" s="1"/>
  <c r="I309" i="2"/>
  <c r="E309" i="2" a="1"/>
  <c r="E309" i="2" s="1"/>
  <c r="D309" i="2" a="1"/>
  <c r="D309" i="2" s="1"/>
  <c r="C309" i="2" a="1"/>
  <c r="C309" i="2" s="1"/>
  <c r="B309" i="2" a="1"/>
  <c r="B309" i="2" s="1"/>
  <c r="CG308" i="2"/>
  <c r="CF308" i="2"/>
  <c r="CE308" i="2"/>
  <c r="CD308" i="2"/>
  <c r="CC308" i="2"/>
  <c r="CB308" i="2"/>
  <c r="CA308" i="2"/>
  <c r="BZ308" i="2"/>
  <c r="BY308" i="2"/>
  <c r="BX308" i="2"/>
  <c r="BW308" i="2"/>
  <c r="BV308" i="2"/>
  <c r="BU308" i="2"/>
  <c r="BT308" i="2"/>
  <c r="BS308" i="2"/>
  <c r="BR308" i="2"/>
  <c r="BQ308" i="2"/>
  <c r="BP308" i="2"/>
  <c r="BO308" i="2"/>
  <c r="BN308" i="2"/>
  <c r="BM308" i="2"/>
  <c r="BL308" i="2"/>
  <c r="BK308" i="2"/>
  <c r="BJ308" i="2"/>
  <c r="BI308" i="2"/>
  <c r="BH308" i="2"/>
  <c r="BG308" i="2"/>
  <c r="BF308" i="2"/>
  <c r="BE308" i="2"/>
  <c r="BD308" i="2"/>
  <c r="BC308" i="2"/>
  <c r="BB308" i="2"/>
  <c r="BA308" i="2"/>
  <c r="AZ308" i="2"/>
  <c r="AY308" i="2"/>
  <c r="AX308" i="2"/>
  <c r="AW308" i="2"/>
  <c r="AV308" i="2"/>
  <c r="AU308" i="2"/>
  <c r="AT308" i="2"/>
  <c r="AS308" i="2"/>
  <c r="AR308" i="2"/>
  <c r="AQ308" i="2"/>
  <c r="AP308" i="2"/>
  <c r="AO308" i="2"/>
  <c r="AN308" i="2"/>
  <c r="AM308" i="2"/>
  <c r="AL308" i="2"/>
  <c r="AK308" i="2"/>
  <c r="AJ308" i="2"/>
  <c r="AI308" i="2"/>
  <c r="AH308" i="2"/>
  <c r="AG308" i="2"/>
  <c r="AF308" i="2"/>
  <c r="AE308" i="2"/>
  <c r="AD308" i="2"/>
  <c r="AC308" i="2"/>
  <c r="AB308" i="2"/>
  <c r="AA308" i="2"/>
  <c r="Z308" i="2"/>
  <c r="Y308" i="2"/>
  <c r="X308" i="2"/>
  <c r="W308" i="2"/>
  <c r="V308" i="2"/>
  <c r="U308" i="2"/>
  <c r="T308" i="2"/>
  <c r="S308" i="2"/>
  <c r="R308" i="2"/>
  <c r="Q308" i="2"/>
  <c r="P308" i="2"/>
  <c r="O308" i="2"/>
  <c r="N308" i="2"/>
  <c r="M308" i="2"/>
  <c r="L308" i="2"/>
  <c r="K308" i="2"/>
  <c r="J308" i="2"/>
  <c r="I308" i="2"/>
  <c r="E308" i="2" a="1"/>
  <c r="E308" i="2" s="1"/>
  <c r="D308" i="2" a="1"/>
  <c r="D308" i="2" s="1"/>
  <c r="C308" i="2" a="1"/>
  <c r="C308" i="2" s="1"/>
  <c r="B308" i="2" a="1"/>
  <c r="B308" i="2" s="1"/>
  <c r="CG307" i="2"/>
  <c r="CF307" i="2"/>
  <c r="CE307" i="2"/>
  <c r="CD307" i="2"/>
  <c r="CC307" i="2"/>
  <c r="CB307" i="2"/>
  <c r="CA307" i="2"/>
  <c r="BZ307" i="2"/>
  <c r="BY307" i="2"/>
  <c r="BX307" i="2"/>
  <c r="BW307" i="2"/>
  <c r="BV307" i="2"/>
  <c r="BU307" i="2"/>
  <c r="BT307" i="2"/>
  <c r="BS307" i="2"/>
  <c r="BR307" i="2"/>
  <c r="BQ307" i="2"/>
  <c r="BP307" i="2"/>
  <c r="BO307" i="2"/>
  <c r="BN307" i="2"/>
  <c r="BM307" i="2"/>
  <c r="BL307" i="2"/>
  <c r="BK307" i="2"/>
  <c r="BJ307" i="2"/>
  <c r="BI307" i="2"/>
  <c r="BH307" i="2"/>
  <c r="BG307" i="2"/>
  <c r="BF307" i="2"/>
  <c r="BE307" i="2"/>
  <c r="BD307" i="2"/>
  <c r="BC307" i="2"/>
  <c r="BB307" i="2"/>
  <c r="BA307" i="2"/>
  <c r="AZ307" i="2"/>
  <c r="AY307" i="2"/>
  <c r="AX307" i="2"/>
  <c r="AW307" i="2"/>
  <c r="AV307" i="2"/>
  <c r="AU307" i="2"/>
  <c r="AT307" i="2"/>
  <c r="AS307" i="2"/>
  <c r="AR307" i="2"/>
  <c r="AQ307" i="2"/>
  <c r="AP307" i="2"/>
  <c r="AO307" i="2"/>
  <c r="AN307" i="2"/>
  <c r="AM307" i="2"/>
  <c r="AL307" i="2"/>
  <c r="AK307" i="2"/>
  <c r="AJ307" i="2"/>
  <c r="AI307" i="2"/>
  <c r="AH307" i="2"/>
  <c r="AG307" i="2"/>
  <c r="AF307" i="2"/>
  <c r="AE307" i="2"/>
  <c r="AD307" i="2"/>
  <c r="AC307" i="2"/>
  <c r="AB307" i="2"/>
  <c r="AA307" i="2"/>
  <c r="Z307" i="2"/>
  <c r="Y307" i="2"/>
  <c r="X307" i="2"/>
  <c r="W307" i="2"/>
  <c r="V307" i="2"/>
  <c r="U307" i="2"/>
  <c r="T307" i="2"/>
  <c r="S307" i="2"/>
  <c r="R307" i="2"/>
  <c r="Q307" i="2"/>
  <c r="P307" i="2"/>
  <c r="O307" i="2"/>
  <c r="N307" i="2"/>
  <c r="M307" i="2"/>
  <c r="L307" i="2"/>
  <c r="K307" i="2"/>
  <c r="J307" i="2"/>
  <c r="I307" i="2"/>
  <c r="E307" i="2" a="1"/>
  <c r="E307" i="2" s="1"/>
  <c r="D307" i="2" a="1"/>
  <c r="D307" i="2" s="1"/>
  <c r="C307" i="2" a="1"/>
  <c r="C307" i="2" s="1"/>
  <c r="B307" i="2" a="1"/>
  <c r="B307" i="2"/>
  <c r="CG306" i="2"/>
  <c r="CF306" i="2"/>
  <c r="CE306" i="2"/>
  <c r="CD306" i="2"/>
  <c r="CC306" i="2"/>
  <c r="CB306" i="2"/>
  <c r="CA306" i="2"/>
  <c r="BZ306" i="2"/>
  <c r="BY306" i="2"/>
  <c r="BX306" i="2"/>
  <c r="BW306" i="2"/>
  <c r="BV306" i="2"/>
  <c r="BU306" i="2"/>
  <c r="BT306" i="2"/>
  <c r="BS306" i="2"/>
  <c r="BR306" i="2"/>
  <c r="BQ306" i="2"/>
  <c r="BP306" i="2"/>
  <c r="BO306" i="2"/>
  <c r="BN306" i="2"/>
  <c r="BM306" i="2"/>
  <c r="BL306" i="2"/>
  <c r="BK306" i="2"/>
  <c r="BJ306" i="2"/>
  <c r="BI306" i="2"/>
  <c r="BH306" i="2"/>
  <c r="BG306" i="2"/>
  <c r="BF306" i="2"/>
  <c r="BE306" i="2"/>
  <c r="BC306" i="2"/>
  <c r="BB306" i="2"/>
  <c r="BA306" i="2"/>
  <c r="AZ306" i="2"/>
  <c r="AY306" i="2"/>
  <c r="AX306" i="2"/>
  <c r="AW306" i="2"/>
  <c r="AV306" i="2"/>
  <c r="AU306" i="2"/>
  <c r="AT306" i="2"/>
  <c r="AS306" i="2"/>
  <c r="AR306" i="2"/>
  <c r="AQ306" i="2"/>
  <c r="AP306" i="2"/>
  <c r="AO306" i="2"/>
  <c r="AN306" i="2"/>
  <c r="AM306" i="2"/>
  <c r="AL306" i="2"/>
  <c r="AK306" i="2"/>
  <c r="AJ306" i="2"/>
  <c r="AI306" i="2"/>
  <c r="AH306" i="2"/>
  <c r="AG306" i="2"/>
  <c r="AF306" i="2"/>
  <c r="AE306" i="2"/>
  <c r="AD306" i="2"/>
  <c r="AC306" i="2"/>
  <c r="AB306" i="2"/>
  <c r="AA306" i="2"/>
  <c r="Z306" i="2"/>
  <c r="Y306" i="2"/>
  <c r="X306" i="2"/>
  <c r="W306" i="2"/>
  <c r="V306" i="2"/>
  <c r="U306" i="2"/>
  <c r="T306" i="2"/>
  <c r="S306" i="2"/>
  <c r="R306" i="2"/>
  <c r="Q306" i="2"/>
  <c r="P306" i="2"/>
  <c r="O306" i="2"/>
  <c r="N306" i="2"/>
  <c r="M306" i="2"/>
  <c r="L306" i="2"/>
  <c r="K306" i="2"/>
  <c r="J306" i="2"/>
  <c r="BD306" i="2" s="1"/>
  <c r="I306" i="2"/>
  <c r="E306" i="2" a="1"/>
  <c r="E306" i="2" s="1"/>
  <c r="D306" i="2" a="1"/>
  <c r="D306" i="2" s="1"/>
  <c r="C306" i="2" a="1"/>
  <c r="C306" i="2" s="1"/>
  <c r="B306" i="2" a="1"/>
  <c r="B306" i="2" s="1"/>
  <c r="CG305" i="2"/>
  <c r="CF305" i="2"/>
  <c r="CE305" i="2"/>
  <c r="CD305" i="2"/>
  <c r="CC305" i="2"/>
  <c r="CB305" i="2"/>
  <c r="CA305" i="2"/>
  <c r="BZ305" i="2"/>
  <c r="BY305" i="2"/>
  <c r="BX305" i="2"/>
  <c r="BW305" i="2"/>
  <c r="BV305" i="2"/>
  <c r="BU305" i="2"/>
  <c r="BT305" i="2"/>
  <c r="BS305" i="2"/>
  <c r="BR305" i="2"/>
  <c r="BQ305" i="2"/>
  <c r="BP305" i="2"/>
  <c r="BO305" i="2"/>
  <c r="BN305" i="2"/>
  <c r="BM305" i="2"/>
  <c r="BL305" i="2"/>
  <c r="BK305" i="2"/>
  <c r="BJ305" i="2"/>
  <c r="BI305" i="2"/>
  <c r="BH305" i="2"/>
  <c r="BG305" i="2"/>
  <c r="BF305" i="2"/>
  <c r="BE305" i="2"/>
  <c r="BC305" i="2"/>
  <c r="BB305" i="2"/>
  <c r="BA305" i="2"/>
  <c r="AZ305" i="2"/>
  <c r="AY305" i="2"/>
  <c r="AX305" i="2"/>
  <c r="AW305" i="2"/>
  <c r="AV305" i="2"/>
  <c r="AU305" i="2"/>
  <c r="AT305" i="2"/>
  <c r="AS305" i="2"/>
  <c r="AR305" i="2"/>
  <c r="AQ305" i="2"/>
  <c r="AP305" i="2"/>
  <c r="AO305" i="2"/>
  <c r="AN305" i="2"/>
  <c r="AM305" i="2"/>
  <c r="AL305" i="2"/>
  <c r="AK305" i="2"/>
  <c r="AJ305" i="2"/>
  <c r="AI305" i="2"/>
  <c r="AH305" i="2"/>
  <c r="AG305" i="2"/>
  <c r="AF305" i="2"/>
  <c r="AE305" i="2"/>
  <c r="AD305" i="2"/>
  <c r="AC305" i="2"/>
  <c r="AB305" i="2"/>
  <c r="AA305" i="2"/>
  <c r="Z305" i="2"/>
  <c r="Y305" i="2"/>
  <c r="X305" i="2"/>
  <c r="W305" i="2"/>
  <c r="V305" i="2"/>
  <c r="U305" i="2"/>
  <c r="T305" i="2"/>
  <c r="S305" i="2"/>
  <c r="R305" i="2"/>
  <c r="Q305" i="2"/>
  <c r="P305" i="2"/>
  <c r="O305" i="2"/>
  <c r="N305" i="2"/>
  <c r="M305" i="2"/>
  <c r="L305" i="2"/>
  <c r="K305" i="2"/>
  <c r="J305" i="2"/>
  <c r="BD305" i="2" s="1"/>
  <c r="I305" i="2"/>
  <c r="E305" i="2" a="1"/>
  <c r="E305" i="2" s="1"/>
  <c r="D305" i="2" a="1"/>
  <c r="D305" i="2" s="1"/>
  <c r="C305" i="2" a="1"/>
  <c r="C305" i="2" s="1"/>
  <c r="B305" i="2" a="1"/>
  <c r="B305" i="2" s="1"/>
  <c r="CG304" i="2"/>
  <c r="CF304" i="2"/>
  <c r="CE304" i="2"/>
  <c r="CD304" i="2"/>
  <c r="CC304" i="2"/>
  <c r="CB304" i="2"/>
  <c r="CA304" i="2"/>
  <c r="BZ304" i="2"/>
  <c r="BY304" i="2"/>
  <c r="BX304" i="2"/>
  <c r="BW304" i="2"/>
  <c r="BV304" i="2"/>
  <c r="BU304" i="2"/>
  <c r="BT304" i="2"/>
  <c r="BS304" i="2"/>
  <c r="BR304" i="2"/>
  <c r="BQ304" i="2"/>
  <c r="BP304" i="2"/>
  <c r="BO304" i="2"/>
  <c r="BN304" i="2"/>
  <c r="BM304" i="2"/>
  <c r="BL304" i="2"/>
  <c r="BK304" i="2"/>
  <c r="BJ304" i="2"/>
  <c r="BI304" i="2"/>
  <c r="BH304" i="2"/>
  <c r="BG304" i="2"/>
  <c r="BF304" i="2"/>
  <c r="BE304" i="2"/>
  <c r="BD304" i="2"/>
  <c r="BC304" i="2"/>
  <c r="BB304" i="2"/>
  <c r="BA304" i="2"/>
  <c r="AZ304" i="2"/>
  <c r="AY304" i="2"/>
  <c r="AX304" i="2"/>
  <c r="AW304" i="2"/>
  <c r="AV304" i="2"/>
  <c r="AU304" i="2"/>
  <c r="AT304" i="2"/>
  <c r="AS304" i="2"/>
  <c r="AR304" i="2"/>
  <c r="AQ304" i="2"/>
  <c r="AP304" i="2"/>
  <c r="AO304" i="2"/>
  <c r="AN304" i="2"/>
  <c r="AM304" i="2"/>
  <c r="AL304" i="2"/>
  <c r="AK304" i="2"/>
  <c r="AJ304" i="2"/>
  <c r="AI304" i="2"/>
  <c r="AH304" i="2"/>
  <c r="AG304" i="2"/>
  <c r="AF304" i="2"/>
  <c r="AE304" i="2"/>
  <c r="AD304" i="2"/>
  <c r="AC304" i="2"/>
  <c r="AB304" i="2"/>
  <c r="AA304" i="2"/>
  <c r="Z304" i="2"/>
  <c r="Y304" i="2"/>
  <c r="X304" i="2"/>
  <c r="W304" i="2"/>
  <c r="V304" i="2"/>
  <c r="U304" i="2"/>
  <c r="T304" i="2"/>
  <c r="S304" i="2"/>
  <c r="R304" i="2"/>
  <c r="Q304" i="2"/>
  <c r="P304" i="2"/>
  <c r="O304" i="2"/>
  <c r="N304" i="2"/>
  <c r="M304" i="2"/>
  <c r="L304" i="2"/>
  <c r="K304" i="2"/>
  <c r="J304" i="2"/>
  <c r="I304" i="2"/>
  <c r="E304" i="2" a="1"/>
  <c r="E304" i="2" s="1"/>
  <c r="D304" i="2" a="1"/>
  <c r="D304" i="2" s="1"/>
  <c r="C304" i="2" a="1"/>
  <c r="C304" i="2" s="1"/>
  <c r="B304" i="2" a="1"/>
  <c r="B304" i="2" s="1"/>
  <c r="CG303" i="2"/>
  <c r="CF303" i="2"/>
  <c r="CE303" i="2"/>
  <c r="CD303" i="2"/>
  <c r="CC303" i="2"/>
  <c r="CB303" i="2"/>
  <c r="CA303" i="2"/>
  <c r="BZ303" i="2"/>
  <c r="BY303" i="2"/>
  <c r="BX303" i="2"/>
  <c r="BW303" i="2"/>
  <c r="BV303" i="2"/>
  <c r="BU303" i="2"/>
  <c r="BT303" i="2"/>
  <c r="BS303" i="2"/>
  <c r="BR303" i="2"/>
  <c r="BQ303" i="2"/>
  <c r="BP303" i="2"/>
  <c r="BO303" i="2"/>
  <c r="BN303" i="2"/>
  <c r="BM303" i="2"/>
  <c r="BL303" i="2"/>
  <c r="BK303" i="2"/>
  <c r="BJ303" i="2"/>
  <c r="BI303" i="2"/>
  <c r="BH303" i="2"/>
  <c r="BG303" i="2"/>
  <c r="BF303" i="2"/>
  <c r="BE303" i="2"/>
  <c r="BD303" i="2"/>
  <c r="BC303" i="2"/>
  <c r="BB303" i="2"/>
  <c r="BA303" i="2"/>
  <c r="AZ303" i="2"/>
  <c r="AY303" i="2"/>
  <c r="AX303" i="2"/>
  <c r="AW303" i="2"/>
  <c r="AV303" i="2"/>
  <c r="AU303" i="2"/>
  <c r="AT303" i="2"/>
  <c r="AS303" i="2"/>
  <c r="AR303" i="2"/>
  <c r="AQ303" i="2"/>
  <c r="AP303" i="2"/>
  <c r="AO303" i="2"/>
  <c r="AN303" i="2"/>
  <c r="AM303" i="2"/>
  <c r="AL303" i="2"/>
  <c r="AK303" i="2"/>
  <c r="AJ303" i="2"/>
  <c r="AI303" i="2"/>
  <c r="AH303" i="2"/>
  <c r="AG303" i="2"/>
  <c r="AF303" i="2"/>
  <c r="AE303" i="2"/>
  <c r="AD303" i="2"/>
  <c r="AC303" i="2"/>
  <c r="AB303" i="2"/>
  <c r="AA303" i="2"/>
  <c r="Z303" i="2"/>
  <c r="Y303" i="2"/>
  <c r="X303" i="2"/>
  <c r="W303" i="2"/>
  <c r="V303" i="2"/>
  <c r="U303" i="2"/>
  <c r="T303" i="2"/>
  <c r="S303" i="2"/>
  <c r="R303" i="2"/>
  <c r="Q303" i="2"/>
  <c r="P303" i="2"/>
  <c r="O303" i="2"/>
  <c r="N303" i="2"/>
  <c r="M303" i="2"/>
  <c r="L303" i="2"/>
  <c r="K303" i="2"/>
  <c r="J303" i="2"/>
  <c r="I303" i="2"/>
  <c r="E303" i="2" a="1"/>
  <c r="E303" i="2" s="1"/>
  <c r="D303" i="2" a="1"/>
  <c r="D303" i="2" s="1"/>
  <c r="C303" i="2" a="1"/>
  <c r="C303" i="2" s="1"/>
  <c r="B303" i="2" a="1"/>
  <c r="B303" i="2" s="1"/>
  <c r="CG302" i="2"/>
  <c r="CF302" i="2"/>
  <c r="CE302" i="2"/>
  <c r="CD302" i="2"/>
  <c r="CC302" i="2"/>
  <c r="CB302" i="2"/>
  <c r="CA302" i="2"/>
  <c r="BZ302" i="2"/>
  <c r="BY302" i="2"/>
  <c r="BX302" i="2"/>
  <c r="BW302" i="2"/>
  <c r="BV302" i="2"/>
  <c r="BU302" i="2"/>
  <c r="BT302" i="2"/>
  <c r="BS302" i="2"/>
  <c r="BR302" i="2"/>
  <c r="BQ302" i="2"/>
  <c r="BP302" i="2"/>
  <c r="BO302" i="2"/>
  <c r="BN302" i="2"/>
  <c r="BM302" i="2"/>
  <c r="BL302" i="2"/>
  <c r="BK302" i="2"/>
  <c r="BJ302" i="2"/>
  <c r="BI302" i="2"/>
  <c r="BH302" i="2"/>
  <c r="BG302" i="2"/>
  <c r="BF302" i="2"/>
  <c r="BE302" i="2"/>
  <c r="BC302" i="2"/>
  <c r="BB302" i="2"/>
  <c r="BA302" i="2"/>
  <c r="AZ302" i="2"/>
  <c r="AY302" i="2"/>
  <c r="AX302" i="2"/>
  <c r="AW302" i="2"/>
  <c r="AV302" i="2"/>
  <c r="AU302" i="2"/>
  <c r="AT302" i="2"/>
  <c r="AS302" i="2"/>
  <c r="AR302" i="2"/>
  <c r="AQ302" i="2"/>
  <c r="AP302" i="2"/>
  <c r="AO302" i="2"/>
  <c r="AN302" i="2"/>
  <c r="AM302" i="2"/>
  <c r="AL302" i="2"/>
  <c r="AK302" i="2"/>
  <c r="AJ302" i="2"/>
  <c r="AI302" i="2"/>
  <c r="AH302" i="2"/>
  <c r="AG302" i="2"/>
  <c r="AF302" i="2"/>
  <c r="AE302" i="2"/>
  <c r="AD302" i="2"/>
  <c r="AC302" i="2"/>
  <c r="AB302" i="2"/>
  <c r="AA302" i="2"/>
  <c r="Z302" i="2"/>
  <c r="Y302" i="2"/>
  <c r="X302" i="2"/>
  <c r="W302" i="2"/>
  <c r="V302" i="2"/>
  <c r="U302" i="2"/>
  <c r="T302" i="2"/>
  <c r="S302" i="2"/>
  <c r="R302" i="2"/>
  <c r="Q302" i="2"/>
  <c r="P302" i="2"/>
  <c r="O302" i="2"/>
  <c r="N302" i="2"/>
  <c r="M302" i="2"/>
  <c r="L302" i="2"/>
  <c r="K302" i="2"/>
  <c r="J302" i="2"/>
  <c r="BD302" i="2" s="1"/>
  <c r="I302" i="2"/>
  <c r="E302" i="2" a="1"/>
  <c r="E302" i="2" s="1"/>
  <c r="D302" i="2" a="1"/>
  <c r="D302" i="2" s="1"/>
  <c r="C302" i="2" a="1"/>
  <c r="C302" i="2" s="1"/>
  <c r="B302" i="2" a="1"/>
  <c r="B302" i="2" s="1"/>
  <c r="CG301" i="2"/>
  <c r="CF301" i="2"/>
  <c r="CE301" i="2"/>
  <c r="CD301" i="2"/>
  <c r="CC301" i="2"/>
  <c r="CB301" i="2"/>
  <c r="CA301" i="2"/>
  <c r="BZ301" i="2"/>
  <c r="BY301" i="2"/>
  <c r="BX301" i="2"/>
  <c r="BW301" i="2"/>
  <c r="BV301" i="2"/>
  <c r="BU301" i="2"/>
  <c r="BT301" i="2"/>
  <c r="BS301" i="2"/>
  <c r="BR301" i="2"/>
  <c r="BQ301" i="2"/>
  <c r="BP301" i="2"/>
  <c r="BO301" i="2"/>
  <c r="BN301" i="2"/>
  <c r="BM301" i="2"/>
  <c r="BL301" i="2"/>
  <c r="BK301" i="2"/>
  <c r="BJ301" i="2"/>
  <c r="BI301" i="2"/>
  <c r="BH301" i="2"/>
  <c r="BG301" i="2"/>
  <c r="BF301" i="2"/>
  <c r="BE301" i="2"/>
  <c r="BC301" i="2"/>
  <c r="BB301" i="2"/>
  <c r="BA301" i="2"/>
  <c r="AZ301" i="2"/>
  <c r="AY301" i="2"/>
  <c r="AX301" i="2"/>
  <c r="AW301" i="2"/>
  <c r="AV301" i="2"/>
  <c r="AU301" i="2"/>
  <c r="AT301" i="2"/>
  <c r="AS301" i="2"/>
  <c r="AR301" i="2"/>
  <c r="AQ301" i="2"/>
  <c r="AP301" i="2"/>
  <c r="AO301" i="2"/>
  <c r="AN301" i="2"/>
  <c r="AM301" i="2"/>
  <c r="AL301" i="2"/>
  <c r="AK301" i="2"/>
  <c r="AJ301" i="2"/>
  <c r="AI301" i="2"/>
  <c r="AH301" i="2"/>
  <c r="AG301" i="2"/>
  <c r="AF301" i="2"/>
  <c r="AE301" i="2"/>
  <c r="AD301" i="2"/>
  <c r="AC301" i="2"/>
  <c r="AB301" i="2"/>
  <c r="AA301" i="2"/>
  <c r="Z301" i="2"/>
  <c r="Y301" i="2"/>
  <c r="X301" i="2"/>
  <c r="W301" i="2"/>
  <c r="V301" i="2"/>
  <c r="U301" i="2"/>
  <c r="T301" i="2"/>
  <c r="S301" i="2"/>
  <c r="R301" i="2"/>
  <c r="Q301" i="2"/>
  <c r="P301" i="2"/>
  <c r="O301" i="2"/>
  <c r="N301" i="2"/>
  <c r="M301" i="2"/>
  <c r="L301" i="2"/>
  <c r="K301" i="2"/>
  <c r="J301" i="2"/>
  <c r="BD301" i="2" s="1"/>
  <c r="I301" i="2"/>
  <c r="E301" i="2" a="1"/>
  <c r="E301" i="2" s="1"/>
  <c r="D301" i="2" a="1"/>
  <c r="D301" i="2" s="1"/>
  <c r="C301" i="2" a="1"/>
  <c r="C301" i="2" s="1"/>
  <c r="B301" i="2" a="1"/>
  <c r="B301" i="2" s="1"/>
  <c r="CG300" i="2"/>
  <c r="CF300" i="2"/>
  <c r="CE300" i="2"/>
  <c r="CD300" i="2"/>
  <c r="CC300" i="2"/>
  <c r="CB300" i="2"/>
  <c r="CA300" i="2"/>
  <c r="BZ300" i="2"/>
  <c r="BY300" i="2"/>
  <c r="BX300" i="2"/>
  <c r="BW300" i="2"/>
  <c r="BV300" i="2"/>
  <c r="BU300" i="2"/>
  <c r="BT300" i="2"/>
  <c r="BS300" i="2"/>
  <c r="BR300" i="2"/>
  <c r="BQ300" i="2"/>
  <c r="BP300" i="2"/>
  <c r="BO300" i="2"/>
  <c r="BN300" i="2"/>
  <c r="BM300" i="2"/>
  <c r="BL300" i="2"/>
  <c r="BK300" i="2"/>
  <c r="BJ300" i="2"/>
  <c r="BI300" i="2"/>
  <c r="BH300" i="2"/>
  <c r="BG300" i="2"/>
  <c r="BF300" i="2"/>
  <c r="BE300" i="2"/>
  <c r="BD300" i="2"/>
  <c r="BC300" i="2"/>
  <c r="BB300" i="2"/>
  <c r="BA300" i="2"/>
  <c r="AZ300" i="2"/>
  <c r="AY300" i="2"/>
  <c r="AX300" i="2"/>
  <c r="AW300" i="2"/>
  <c r="AV300" i="2"/>
  <c r="AU300" i="2"/>
  <c r="AT300" i="2"/>
  <c r="AS300" i="2"/>
  <c r="AR300" i="2"/>
  <c r="AQ300" i="2"/>
  <c r="AP300" i="2"/>
  <c r="AO300" i="2"/>
  <c r="AN300" i="2"/>
  <c r="AM300" i="2"/>
  <c r="AL300" i="2"/>
  <c r="AK300" i="2"/>
  <c r="AJ300" i="2"/>
  <c r="AI300" i="2"/>
  <c r="AH300" i="2"/>
  <c r="AG300" i="2"/>
  <c r="AF300" i="2"/>
  <c r="AE300" i="2"/>
  <c r="AD300" i="2"/>
  <c r="AC300" i="2"/>
  <c r="AB300" i="2"/>
  <c r="AA300" i="2"/>
  <c r="Z300" i="2"/>
  <c r="Y300" i="2"/>
  <c r="X300" i="2"/>
  <c r="W300" i="2"/>
  <c r="V300" i="2"/>
  <c r="U300" i="2"/>
  <c r="T300" i="2"/>
  <c r="S300" i="2"/>
  <c r="R300" i="2"/>
  <c r="Q300" i="2"/>
  <c r="P300" i="2"/>
  <c r="O300" i="2"/>
  <c r="N300" i="2"/>
  <c r="M300" i="2"/>
  <c r="L300" i="2"/>
  <c r="K300" i="2"/>
  <c r="J300" i="2"/>
  <c r="I300" i="2"/>
  <c r="E300" i="2" a="1"/>
  <c r="E300" i="2" s="1"/>
  <c r="D300" i="2" a="1"/>
  <c r="D300" i="2" s="1"/>
  <c r="C300" i="2" a="1"/>
  <c r="C300" i="2" s="1"/>
  <c r="B300" i="2" a="1"/>
  <c r="B300" i="2" s="1"/>
  <c r="CG299" i="2"/>
  <c r="CF299" i="2"/>
  <c r="CE299" i="2"/>
  <c r="CD299" i="2"/>
  <c r="CC299" i="2"/>
  <c r="CB299" i="2"/>
  <c r="CA299" i="2"/>
  <c r="BZ299" i="2"/>
  <c r="BY299" i="2"/>
  <c r="BX299" i="2"/>
  <c r="BW299" i="2"/>
  <c r="BV299" i="2"/>
  <c r="BU299" i="2"/>
  <c r="BT299" i="2"/>
  <c r="BS299" i="2"/>
  <c r="BR299" i="2"/>
  <c r="BQ299" i="2"/>
  <c r="BP299" i="2"/>
  <c r="BO299" i="2"/>
  <c r="BN299" i="2"/>
  <c r="BM299" i="2"/>
  <c r="BL299" i="2"/>
  <c r="BK299" i="2"/>
  <c r="BJ299" i="2"/>
  <c r="BI299" i="2"/>
  <c r="BH299" i="2"/>
  <c r="BG299" i="2"/>
  <c r="BF299" i="2"/>
  <c r="BE299" i="2"/>
  <c r="BD299" i="2"/>
  <c r="BC299" i="2"/>
  <c r="BB299" i="2"/>
  <c r="BA299" i="2"/>
  <c r="AZ299" i="2"/>
  <c r="AY299" i="2"/>
  <c r="AX299" i="2"/>
  <c r="AW299" i="2"/>
  <c r="AV299" i="2"/>
  <c r="AU299" i="2"/>
  <c r="AT299" i="2"/>
  <c r="AS299" i="2"/>
  <c r="AR299" i="2"/>
  <c r="AQ299" i="2"/>
  <c r="AP299" i="2"/>
  <c r="AO299" i="2"/>
  <c r="AN299" i="2"/>
  <c r="AM299" i="2"/>
  <c r="AL299" i="2"/>
  <c r="AK299" i="2"/>
  <c r="AJ299" i="2"/>
  <c r="AI299" i="2"/>
  <c r="AH299" i="2"/>
  <c r="AG299" i="2"/>
  <c r="AF299" i="2"/>
  <c r="AE299" i="2"/>
  <c r="AD299" i="2"/>
  <c r="AC299" i="2"/>
  <c r="AB299" i="2"/>
  <c r="AA299" i="2"/>
  <c r="Z299" i="2"/>
  <c r="Y299" i="2"/>
  <c r="X299" i="2"/>
  <c r="W299" i="2"/>
  <c r="V299" i="2"/>
  <c r="U299" i="2"/>
  <c r="T299" i="2"/>
  <c r="S299" i="2"/>
  <c r="R299" i="2"/>
  <c r="Q299" i="2"/>
  <c r="P299" i="2"/>
  <c r="O299" i="2"/>
  <c r="N299" i="2"/>
  <c r="M299" i="2"/>
  <c r="L299" i="2"/>
  <c r="K299" i="2"/>
  <c r="J299" i="2"/>
  <c r="I299" i="2"/>
  <c r="E299" i="2" a="1"/>
  <c r="E299" i="2" s="1"/>
  <c r="D299" i="2" a="1"/>
  <c r="D299" i="2" s="1"/>
  <c r="C299" i="2" a="1"/>
  <c r="C299" i="2" s="1"/>
  <c r="B299" i="2" a="1"/>
  <c r="B299" i="2" s="1"/>
  <c r="CG298" i="2"/>
  <c r="CF298" i="2"/>
  <c r="CE298" i="2"/>
  <c r="CD298" i="2"/>
  <c r="CC298" i="2"/>
  <c r="CB298" i="2"/>
  <c r="CA298" i="2"/>
  <c r="BZ298" i="2"/>
  <c r="BY298" i="2"/>
  <c r="BX298" i="2"/>
  <c r="BW298" i="2"/>
  <c r="BV298" i="2"/>
  <c r="BU298" i="2"/>
  <c r="BT298" i="2"/>
  <c r="BS298" i="2"/>
  <c r="BR298" i="2"/>
  <c r="BQ298" i="2"/>
  <c r="BP298" i="2"/>
  <c r="BO298" i="2"/>
  <c r="BN298" i="2"/>
  <c r="BM298" i="2"/>
  <c r="BL298" i="2"/>
  <c r="BK298" i="2"/>
  <c r="BJ298" i="2"/>
  <c r="BI298" i="2"/>
  <c r="BH298" i="2"/>
  <c r="BG298" i="2"/>
  <c r="BF298" i="2"/>
  <c r="BE298" i="2"/>
  <c r="BC298" i="2"/>
  <c r="BB298" i="2"/>
  <c r="BA298" i="2"/>
  <c r="AZ298" i="2"/>
  <c r="AY298" i="2"/>
  <c r="AX298" i="2"/>
  <c r="AW298" i="2"/>
  <c r="AV298" i="2"/>
  <c r="AU298" i="2"/>
  <c r="AT298" i="2"/>
  <c r="AS298" i="2"/>
  <c r="AR298" i="2"/>
  <c r="AQ298" i="2"/>
  <c r="AP298" i="2"/>
  <c r="AO298" i="2"/>
  <c r="AN298" i="2"/>
  <c r="AM298" i="2"/>
  <c r="AL298" i="2"/>
  <c r="AK298" i="2"/>
  <c r="AJ298" i="2"/>
  <c r="AI298" i="2"/>
  <c r="AH298" i="2"/>
  <c r="AG298" i="2"/>
  <c r="AF298" i="2"/>
  <c r="AE298" i="2"/>
  <c r="AD298" i="2"/>
  <c r="AC298" i="2"/>
  <c r="AB298" i="2"/>
  <c r="AA298" i="2"/>
  <c r="Z298" i="2"/>
  <c r="Y298" i="2"/>
  <c r="X298" i="2"/>
  <c r="W298" i="2"/>
  <c r="V298" i="2"/>
  <c r="U298" i="2"/>
  <c r="T298" i="2"/>
  <c r="S298" i="2"/>
  <c r="R298" i="2"/>
  <c r="Q298" i="2"/>
  <c r="P298" i="2"/>
  <c r="O298" i="2"/>
  <c r="N298" i="2"/>
  <c r="M298" i="2"/>
  <c r="L298" i="2"/>
  <c r="K298" i="2"/>
  <c r="J298" i="2"/>
  <c r="BD298" i="2" s="1"/>
  <c r="I298" i="2"/>
  <c r="E298" i="2" a="1"/>
  <c r="E298" i="2" s="1"/>
  <c r="D298" i="2" a="1"/>
  <c r="D298" i="2" s="1"/>
  <c r="C298" i="2" a="1"/>
  <c r="C298" i="2" s="1"/>
  <c r="B298" i="2" a="1"/>
  <c r="B298" i="2" s="1"/>
  <c r="CG297" i="2"/>
  <c r="CF297" i="2"/>
  <c r="CE297" i="2"/>
  <c r="CD297" i="2"/>
  <c r="CC297" i="2"/>
  <c r="CB297" i="2"/>
  <c r="CA297" i="2"/>
  <c r="BZ297" i="2"/>
  <c r="BY297" i="2"/>
  <c r="BX297" i="2"/>
  <c r="BW297" i="2"/>
  <c r="BV297" i="2"/>
  <c r="BU297" i="2"/>
  <c r="BT297" i="2"/>
  <c r="BS297" i="2"/>
  <c r="BR297" i="2"/>
  <c r="BQ297" i="2"/>
  <c r="BP297" i="2"/>
  <c r="BO297" i="2"/>
  <c r="BN297" i="2"/>
  <c r="BM297" i="2"/>
  <c r="BL297" i="2"/>
  <c r="BK297" i="2"/>
  <c r="BJ297" i="2"/>
  <c r="BI297" i="2"/>
  <c r="BH297" i="2"/>
  <c r="BG297" i="2"/>
  <c r="BF297" i="2"/>
  <c r="BE297" i="2"/>
  <c r="BC297" i="2"/>
  <c r="BB297" i="2"/>
  <c r="BA297" i="2"/>
  <c r="AZ297" i="2"/>
  <c r="AY297" i="2"/>
  <c r="AX297" i="2"/>
  <c r="AW297" i="2"/>
  <c r="AV297" i="2"/>
  <c r="AU297" i="2"/>
  <c r="AT297" i="2"/>
  <c r="AS297" i="2"/>
  <c r="AR297" i="2"/>
  <c r="AQ297" i="2"/>
  <c r="AP297" i="2"/>
  <c r="AO297" i="2"/>
  <c r="AN297" i="2"/>
  <c r="AM297" i="2"/>
  <c r="AL297" i="2"/>
  <c r="AK297" i="2"/>
  <c r="AJ297" i="2"/>
  <c r="AI297" i="2"/>
  <c r="AH297" i="2"/>
  <c r="AG297" i="2"/>
  <c r="AF297" i="2"/>
  <c r="AE297" i="2"/>
  <c r="AD297" i="2"/>
  <c r="AC297" i="2"/>
  <c r="AB297" i="2"/>
  <c r="AA297" i="2"/>
  <c r="Z297" i="2"/>
  <c r="Y297" i="2"/>
  <c r="X297" i="2"/>
  <c r="W297" i="2"/>
  <c r="V297" i="2"/>
  <c r="U297" i="2"/>
  <c r="T297" i="2"/>
  <c r="S297" i="2"/>
  <c r="R297" i="2"/>
  <c r="Q297" i="2"/>
  <c r="P297" i="2"/>
  <c r="O297" i="2"/>
  <c r="N297" i="2"/>
  <c r="M297" i="2"/>
  <c r="L297" i="2"/>
  <c r="K297" i="2"/>
  <c r="J297" i="2"/>
  <c r="BD297" i="2" s="1"/>
  <c r="I297" i="2"/>
  <c r="E297" i="2" a="1"/>
  <c r="E297" i="2" s="1"/>
  <c r="D297" i="2" a="1"/>
  <c r="D297" i="2" s="1"/>
  <c r="C297" i="2" a="1"/>
  <c r="C297" i="2" s="1"/>
  <c r="B297" i="2" a="1"/>
  <c r="B297" i="2" s="1"/>
  <c r="CG296" i="2"/>
  <c r="CF296" i="2"/>
  <c r="CE296" i="2"/>
  <c r="CD296" i="2"/>
  <c r="CC296" i="2"/>
  <c r="CB296" i="2"/>
  <c r="CA296" i="2"/>
  <c r="BZ296" i="2"/>
  <c r="BY296" i="2"/>
  <c r="BX296" i="2"/>
  <c r="BW296" i="2"/>
  <c r="BV296" i="2"/>
  <c r="BU296" i="2"/>
  <c r="BT296" i="2"/>
  <c r="BS296" i="2"/>
  <c r="BR296" i="2"/>
  <c r="BQ296" i="2"/>
  <c r="BP296" i="2"/>
  <c r="BO296" i="2"/>
  <c r="BN296" i="2"/>
  <c r="BM296" i="2"/>
  <c r="BL296" i="2"/>
  <c r="BK296" i="2"/>
  <c r="BJ296" i="2"/>
  <c r="BI296" i="2"/>
  <c r="BH296" i="2"/>
  <c r="BG296" i="2"/>
  <c r="BF296" i="2"/>
  <c r="BE296" i="2"/>
  <c r="BD296" i="2"/>
  <c r="BC296" i="2"/>
  <c r="BB296" i="2"/>
  <c r="BA296" i="2"/>
  <c r="AZ296" i="2"/>
  <c r="AY296" i="2"/>
  <c r="AX296" i="2"/>
  <c r="AW296" i="2"/>
  <c r="AV296" i="2"/>
  <c r="AU296" i="2"/>
  <c r="AT296" i="2"/>
  <c r="AS296" i="2"/>
  <c r="AR296" i="2"/>
  <c r="AQ296" i="2"/>
  <c r="AP296" i="2"/>
  <c r="AO296" i="2"/>
  <c r="AN296" i="2"/>
  <c r="AM296" i="2"/>
  <c r="AL296" i="2"/>
  <c r="AK296" i="2"/>
  <c r="AJ296" i="2"/>
  <c r="AI296" i="2"/>
  <c r="AH296" i="2"/>
  <c r="AG296" i="2"/>
  <c r="AF296" i="2"/>
  <c r="AE296" i="2"/>
  <c r="AD296" i="2"/>
  <c r="AC296" i="2"/>
  <c r="AB296" i="2"/>
  <c r="AA296" i="2"/>
  <c r="Z296" i="2"/>
  <c r="Y296" i="2"/>
  <c r="X296" i="2"/>
  <c r="W296" i="2"/>
  <c r="V296" i="2"/>
  <c r="U296" i="2"/>
  <c r="T296" i="2"/>
  <c r="S296" i="2"/>
  <c r="R296" i="2"/>
  <c r="Q296" i="2"/>
  <c r="P296" i="2"/>
  <c r="O296" i="2"/>
  <c r="N296" i="2"/>
  <c r="M296" i="2"/>
  <c r="L296" i="2"/>
  <c r="K296" i="2"/>
  <c r="J296" i="2"/>
  <c r="I296" i="2"/>
  <c r="E296" i="2" a="1"/>
  <c r="E296" i="2" s="1"/>
  <c r="D296" i="2" a="1"/>
  <c r="D296" i="2" s="1"/>
  <c r="C296" i="2" a="1"/>
  <c r="C296" i="2" s="1"/>
  <c r="B296" i="2" a="1"/>
  <c r="B296" i="2" s="1"/>
  <c r="CG295" i="2"/>
  <c r="CF295" i="2"/>
  <c r="CE295" i="2"/>
  <c r="CD295" i="2"/>
  <c r="CC295" i="2"/>
  <c r="CB295" i="2"/>
  <c r="CA295" i="2"/>
  <c r="BZ295" i="2"/>
  <c r="BY295" i="2"/>
  <c r="BX295" i="2"/>
  <c r="BW295" i="2"/>
  <c r="BV295" i="2"/>
  <c r="BU295" i="2"/>
  <c r="BT295" i="2"/>
  <c r="BS295" i="2"/>
  <c r="BR295" i="2"/>
  <c r="BQ295" i="2"/>
  <c r="BP295" i="2"/>
  <c r="BO295" i="2"/>
  <c r="BN295" i="2"/>
  <c r="BM295" i="2"/>
  <c r="BL295" i="2"/>
  <c r="BK295" i="2"/>
  <c r="BJ295" i="2"/>
  <c r="BI295" i="2"/>
  <c r="BH295" i="2"/>
  <c r="BG295" i="2"/>
  <c r="BF295" i="2"/>
  <c r="BE295" i="2"/>
  <c r="BD295" i="2"/>
  <c r="BC295" i="2"/>
  <c r="BB295" i="2"/>
  <c r="BA295" i="2"/>
  <c r="AZ295" i="2"/>
  <c r="AY295" i="2"/>
  <c r="AX295" i="2"/>
  <c r="AW295" i="2"/>
  <c r="AV295" i="2"/>
  <c r="AU295" i="2"/>
  <c r="AT295" i="2"/>
  <c r="AS295" i="2"/>
  <c r="AR295" i="2"/>
  <c r="AQ295" i="2"/>
  <c r="AP295" i="2"/>
  <c r="AO295" i="2"/>
  <c r="AN295" i="2"/>
  <c r="AM295" i="2"/>
  <c r="AL295" i="2"/>
  <c r="AK295" i="2"/>
  <c r="AJ295" i="2"/>
  <c r="AI295" i="2"/>
  <c r="AH295" i="2"/>
  <c r="AG295" i="2"/>
  <c r="AF295" i="2"/>
  <c r="AE295" i="2"/>
  <c r="AD295" i="2"/>
  <c r="AC295" i="2"/>
  <c r="AB295" i="2"/>
  <c r="AA295" i="2"/>
  <c r="Z295" i="2"/>
  <c r="Y295" i="2"/>
  <c r="X295" i="2"/>
  <c r="W295" i="2"/>
  <c r="V295" i="2"/>
  <c r="U295" i="2"/>
  <c r="T295" i="2"/>
  <c r="S295" i="2"/>
  <c r="R295" i="2"/>
  <c r="Q295" i="2"/>
  <c r="P295" i="2"/>
  <c r="O295" i="2"/>
  <c r="N295" i="2"/>
  <c r="M295" i="2"/>
  <c r="L295" i="2"/>
  <c r="K295" i="2"/>
  <c r="J295" i="2"/>
  <c r="I295" i="2"/>
  <c r="E295" i="2" a="1"/>
  <c r="E295" i="2" s="1"/>
  <c r="D295" i="2" a="1"/>
  <c r="D295" i="2" s="1"/>
  <c r="C295" i="2" a="1"/>
  <c r="C295" i="2" s="1"/>
  <c r="B295" i="2" a="1"/>
  <c r="B295" i="2" s="1"/>
  <c r="CG294" i="2"/>
  <c r="CF294" i="2"/>
  <c r="CE294" i="2"/>
  <c r="CD294" i="2"/>
  <c r="CC294" i="2"/>
  <c r="CB294" i="2"/>
  <c r="CA294" i="2"/>
  <c r="BZ294" i="2"/>
  <c r="BY294" i="2"/>
  <c r="BX294" i="2"/>
  <c r="BW294" i="2"/>
  <c r="BV294" i="2"/>
  <c r="BU294" i="2"/>
  <c r="BT294" i="2"/>
  <c r="BS294" i="2"/>
  <c r="BR294" i="2"/>
  <c r="BQ294" i="2"/>
  <c r="BP294" i="2"/>
  <c r="BO294" i="2"/>
  <c r="BN294" i="2"/>
  <c r="BM294" i="2"/>
  <c r="BL294" i="2"/>
  <c r="BK294" i="2"/>
  <c r="BJ294" i="2"/>
  <c r="BI294" i="2"/>
  <c r="BH294" i="2"/>
  <c r="BG294" i="2"/>
  <c r="BF294" i="2"/>
  <c r="BE294" i="2"/>
  <c r="BC294" i="2"/>
  <c r="BB294" i="2"/>
  <c r="BA294" i="2"/>
  <c r="AZ294" i="2"/>
  <c r="AY294" i="2"/>
  <c r="AX294" i="2"/>
  <c r="AW294" i="2"/>
  <c r="AV294" i="2"/>
  <c r="AU294" i="2"/>
  <c r="AT294" i="2"/>
  <c r="AS294" i="2"/>
  <c r="AR294" i="2"/>
  <c r="AQ294" i="2"/>
  <c r="AP294" i="2"/>
  <c r="AO294" i="2"/>
  <c r="AN294" i="2"/>
  <c r="AM294" i="2"/>
  <c r="AL294" i="2"/>
  <c r="AK294" i="2"/>
  <c r="AJ294" i="2"/>
  <c r="AI294" i="2"/>
  <c r="AH294" i="2"/>
  <c r="AG294" i="2"/>
  <c r="AF294" i="2"/>
  <c r="AE294" i="2"/>
  <c r="AD294" i="2"/>
  <c r="AC294" i="2"/>
  <c r="AB294" i="2"/>
  <c r="AA294" i="2"/>
  <c r="Z294" i="2"/>
  <c r="Y294" i="2"/>
  <c r="X294" i="2"/>
  <c r="W294" i="2"/>
  <c r="V294" i="2"/>
  <c r="U294" i="2"/>
  <c r="T294" i="2"/>
  <c r="S294" i="2"/>
  <c r="R294" i="2"/>
  <c r="Q294" i="2"/>
  <c r="P294" i="2"/>
  <c r="O294" i="2"/>
  <c r="N294" i="2"/>
  <c r="M294" i="2"/>
  <c r="L294" i="2"/>
  <c r="K294" i="2"/>
  <c r="J294" i="2"/>
  <c r="BD294" i="2" s="1"/>
  <c r="I294" i="2"/>
  <c r="E294" i="2" a="1"/>
  <c r="E294" i="2" s="1"/>
  <c r="D294" i="2" a="1"/>
  <c r="D294" i="2" s="1"/>
  <c r="C294" i="2" a="1"/>
  <c r="C294" i="2" s="1"/>
  <c r="B294" i="2" a="1"/>
  <c r="B294" i="2" s="1"/>
  <c r="CG293" i="2"/>
  <c r="CF293" i="2"/>
  <c r="CE293" i="2"/>
  <c r="CD293" i="2"/>
  <c r="CC293" i="2"/>
  <c r="CB293" i="2"/>
  <c r="CA293" i="2"/>
  <c r="BZ293" i="2"/>
  <c r="BY293" i="2"/>
  <c r="BX293" i="2"/>
  <c r="BW293" i="2"/>
  <c r="BV293" i="2"/>
  <c r="BU293" i="2"/>
  <c r="BT293" i="2"/>
  <c r="BS293" i="2"/>
  <c r="BR293" i="2"/>
  <c r="BQ293" i="2"/>
  <c r="BP293" i="2"/>
  <c r="BO293" i="2"/>
  <c r="BN293" i="2"/>
  <c r="BM293" i="2"/>
  <c r="BL293" i="2"/>
  <c r="BK293" i="2"/>
  <c r="BJ293" i="2"/>
  <c r="BI293" i="2"/>
  <c r="BH293" i="2"/>
  <c r="BG293" i="2"/>
  <c r="BF293" i="2"/>
  <c r="BE293" i="2"/>
  <c r="BC293" i="2"/>
  <c r="BB293" i="2"/>
  <c r="BA293" i="2"/>
  <c r="AZ293" i="2"/>
  <c r="AY293" i="2"/>
  <c r="AX293" i="2"/>
  <c r="AW293" i="2"/>
  <c r="AV293" i="2"/>
  <c r="AU293" i="2"/>
  <c r="AT293" i="2"/>
  <c r="AS293" i="2"/>
  <c r="AR293" i="2"/>
  <c r="AQ293" i="2"/>
  <c r="AP293" i="2"/>
  <c r="AO293" i="2"/>
  <c r="AN293" i="2"/>
  <c r="AM293" i="2"/>
  <c r="AL293" i="2"/>
  <c r="AK293" i="2"/>
  <c r="AJ293" i="2"/>
  <c r="AI293" i="2"/>
  <c r="AH293" i="2"/>
  <c r="AG293" i="2"/>
  <c r="AF293" i="2"/>
  <c r="AE293" i="2"/>
  <c r="AD293" i="2"/>
  <c r="AC293" i="2"/>
  <c r="AB293" i="2"/>
  <c r="AA293" i="2"/>
  <c r="Z293" i="2"/>
  <c r="Y293" i="2"/>
  <c r="X293" i="2"/>
  <c r="W293" i="2"/>
  <c r="V293" i="2"/>
  <c r="U293" i="2"/>
  <c r="T293" i="2"/>
  <c r="S293" i="2"/>
  <c r="R293" i="2"/>
  <c r="Q293" i="2"/>
  <c r="P293" i="2"/>
  <c r="O293" i="2"/>
  <c r="N293" i="2"/>
  <c r="M293" i="2"/>
  <c r="L293" i="2"/>
  <c r="K293" i="2"/>
  <c r="J293" i="2"/>
  <c r="BD293" i="2" s="1"/>
  <c r="I293" i="2"/>
  <c r="E293" i="2" a="1"/>
  <c r="E293" i="2" s="1"/>
  <c r="D293" i="2" a="1"/>
  <c r="D293" i="2" s="1"/>
  <c r="C293" i="2" a="1"/>
  <c r="C293" i="2" s="1"/>
  <c r="B293" i="2" a="1"/>
  <c r="B293" i="2" s="1"/>
  <c r="CG292" i="2"/>
  <c r="CF292" i="2"/>
  <c r="CE292" i="2"/>
  <c r="CD292" i="2"/>
  <c r="CC292" i="2"/>
  <c r="CB292" i="2"/>
  <c r="CA292" i="2"/>
  <c r="BZ292" i="2"/>
  <c r="BY292" i="2"/>
  <c r="BX292" i="2"/>
  <c r="BW292" i="2"/>
  <c r="BV292" i="2"/>
  <c r="BU292" i="2"/>
  <c r="BT292" i="2"/>
  <c r="BS292" i="2"/>
  <c r="BR292" i="2"/>
  <c r="BQ292" i="2"/>
  <c r="BP292" i="2"/>
  <c r="BO292" i="2"/>
  <c r="BN292" i="2"/>
  <c r="BM292" i="2"/>
  <c r="BL292" i="2"/>
  <c r="BK292" i="2"/>
  <c r="BJ292" i="2"/>
  <c r="BI292" i="2"/>
  <c r="BH292" i="2"/>
  <c r="BG292" i="2"/>
  <c r="BF292" i="2"/>
  <c r="BE292" i="2"/>
  <c r="BD292" i="2"/>
  <c r="BC292" i="2"/>
  <c r="BB292" i="2"/>
  <c r="BA292" i="2"/>
  <c r="AZ292" i="2"/>
  <c r="AY292" i="2"/>
  <c r="AX292" i="2"/>
  <c r="AW292" i="2"/>
  <c r="AV292" i="2"/>
  <c r="AU292" i="2"/>
  <c r="AT292" i="2"/>
  <c r="AS292" i="2"/>
  <c r="AR292" i="2"/>
  <c r="AQ292" i="2"/>
  <c r="AP292" i="2"/>
  <c r="AO292" i="2"/>
  <c r="AN292" i="2"/>
  <c r="AM292" i="2"/>
  <c r="AL292" i="2"/>
  <c r="AK292" i="2"/>
  <c r="AJ292" i="2"/>
  <c r="AI292" i="2"/>
  <c r="AH292" i="2"/>
  <c r="AG292" i="2"/>
  <c r="AF292" i="2"/>
  <c r="AE292" i="2"/>
  <c r="AD292" i="2"/>
  <c r="AC292" i="2"/>
  <c r="AB292" i="2"/>
  <c r="AA292" i="2"/>
  <c r="Z292" i="2"/>
  <c r="Y292" i="2"/>
  <c r="X292" i="2"/>
  <c r="W292" i="2"/>
  <c r="V292" i="2"/>
  <c r="U292" i="2"/>
  <c r="T292" i="2"/>
  <c r="S292" i="2"/>
  <c r="R292" i="2"/>
  <c r="Q292" i="2"/>
  <c r="P292" i="2"/>
  <c r="O292" i="2"/>
  <c r="N292" i="2"/>
  <c r="M292" i="2"/>
  <c r="L292" i="2"/>
  <c r="K292" i="2"/>
  <c r="J292" i="2"/>
  <c r="I292" i="2"/>
  <c r="E292" i="2" a="1"/>
  <c r="E292" i="2" s="1"/>
  <c r="D292" i="2" a="1"/>
  <c r="D292" i="2" s="1"/>
  <c r="C292" i="2" a="1"/>
  <c r="C292" i="2" s="1"/>
  <c r="B292" i="2" a="1"/>
  <c r="B292" i="2" s="1"/>
  <c r="CG291" i="2"/>
  <c r="CF291" i="2"/>
  <c r="CE291" i="2"/>
  <c r="CD291" i="2"/>
  <c r="CC291" i="2"/>
  <c r="CB291" i="2"/>
  <c r="CA291" i="2"/>
  <c r="BZ291" i="2"/>
  <c r="BY291" i="2"/>
  <c r="BX291" i="2"/>
  <c r="BW291" i="2"/>
  <c r="BV291" i="2"/>
  <c r="BU291" i="2"/>
  <c r="BT291" i="2"/>
  <c r="BS291" i="2"/>
  <c r="BR291" i="2"/>
  <c r="BQ291" i="2"/>
  <c r="BP291" i="2"/>
  <c r="BO291" i="2"/>
  <c r="BN291" i="2"/>
  <c r="BM291" i="2"/>
  <c r="BL291" i="2"/>
  <c r="BK291" i="2"/>
  <c r="BJ291" i="2"/>
  <c r="BI291" i="2"/>
  <c r="BH291" i="2"/>
  <c r="BG291" i="2"/>
  <c r="BF291" i="2"/>
  <c r="BE291" i="2"/>
  <c r="BD291" i="2"/>
  <c r="BC291" i="2"/>
  <c r="BB291" i="2"/>
  <c r="BA291" i="2"/>
  <c r="AZ291" i="2"/>
  <c r="AY291" i="2"/>
  <c r="AX291" i="2"/>
  <c r="AW291" i="2"/>
  <c r="AV291" i="2"/>
  <c r="AU291" i="2"/>
  <c r="AT291" i="2"/>
  <c r="AS291" i="2"/>
  <c r="AR291" i="2"/>
  <c r="AQ291" i="2"/>
  <c r="AP291" i="2"/>
  <c r="AO291" i="2"/>
  <c r="AN291" i="2"/>
  <c r="AM291" i="2"/>
  <c r="AL291" i="2"/>
  <c r="AK291" i="2"/>
  <c r="AJ291" i="2"/>
  <c r="AI291" i="2"/>
  <c r="AH291" i="2"/>
  <c r="AG291" i="2"/>
  <c r="AF291" i="2"/>
  <c r="AE291" i="2"/>
  <c r="AD291" i="2"/>
  <c r="AC291" i="2"/>
  <c r="AB291" i="2"/>
  <c r="AA291" i="2"/>
  <c r="Z291" i="2"/>
  <c r="Y291" i="2"/>
  <c r="X291" i="2"/>
  <c r="W291" i="2"/>
  <c r="V291" i="2"/>
  <c r="U291" i="2"/>
  <c r="T291" i="2"/>
  <c r="S291" i="2"/>
  <c r="R291" i="2"/>
  <c r="Q291" i="2"/>
  <c r="P291" i="2"/>
  <c r="O291" i="2"/>
  <c r="N291" i="2"/>
  <c r="M291" i="2"/>
  <c r="L291" i="2"/>
  <c r="K291" i="2"/>
  <c r="J291" i="2"/>
  <c r="I291" i="2"/>
  <c r="E291" i="2" a="1"/>
  <c r="E291" i="2" s="1"/>
  <c r="D291" i="2" a="1"/>
  <c r="D291" i="2" s="1"/>
  <c r="C291" i="2" a="1"/>
  <c r="C291" i="2" s="1"/>
  <c r="B291" i="2" a="1"/>
  <c r="B291" i="2" s="1"/>
  <c r="CG290" i="2"/>
  <c r="CF290" i="2"/>
  <c r="CE290" i="2"/>
  <c r="CD290" i="2"/>
  <c r="CC290" i="2"/>
  <c r="CB290" i="2"/>
  <c r="CA290" i="2"/>
  <c r="BZ290" i="2"/>
  <c r="BY290" i="2"/>
  <c r="BX290" i="2"/>
  <c r="BW290" i="2"/>
  <c r="BV290" i="2"/>
  <c r="BU290" i="2"/>
  <c r="BT290" i="2"/>
  <c r="BS290" i="2"/>
  <c r="BR290" i="2"/>
  <c r="BQ290" i="2"/>
  <c r="BP290" i="2"/>
  <c r="BO290" i="2"/>
  <c r="BN290" i="2"/>
  <c r="BM290" i="2"/>
  <c r="BL290" i="2"/>
  <c r="BK290" i="2"/>
  <c r="BJ290" i="2"/>
  <c r="BI290" i="2"/>
  <c r="BH290" i="2"/>
  <c r="BG290" i="2"/>
  <c r="BF290" i="2"/>
  <c r="BE290" i="2"/>
  <c r="BC290" i="2"/>
  <c r="BB290" i="2"/>
  <c r="BA290" i="2"/>
  <c r="AZ290" i="2"/>
  <c r="AY290" i="2"/>
  <c r="AX290" i="2"/>
  <c r="AW290" i="2"/>
  <c r="AV290" i="2"/>
  <c r="AU290" i="2"/>
  <c r="AT290" i="2"/>
  <c r="AS290" i="2"/>
  <c r="AR290" i="2"/>
  <c r="AQ290" i="2"/>
  <c r="AP290" i="2"/>
  <c r="AO290" i="2"/>
  <c r="AN290" i="2"/>
  <c r="AM290" i="2"/>
  <c r="AL290" i="2"/>
  <c r="AK290" i="2"/>
  <c r="AJ290" i="2"/>
  <c r="AI290" i="2"/>
  <c r="AH290" i="2"/>
  <c r="AG290" i="2"/>
  <c r="AF290" i="2"/>
  <c r="AE290" i="2"/>
  <c r="AD290" i="2"/>
  <c r="AC290" i="2"/>
  <c r="AB290" i="2"/>
  <c r="AA290" i="2"/>
  <c r="Z290" i="2"/>
  <c r="Y290" i="2"/>
  <c r="X290" i="2"/>
  <c r="W290" i="2"/>
  <c r="V290" i="2"/>
  <c r="U290" i="2"/>
  <c r="T290" i="2"/>
  <c r="S290" i="2"/>
  <c r="R290" i="2"/>
  <c r="Q290" i="2"/>
  <c r="P290" i="2"/>
  <c r="O290" i="2"/>
  <c r="N290" i="2"/>
  <c r="M290" i="2"/>
  <c r="L290" i="2"/>
  <c r="K290" i="2"/>
  <c r="J290" i="2"/>
  <c r="BD290" i="2" s="1"/>
  <c r="I290" i="2"/>
  <c r="E290" i="2" a="1"/>
  <c r="E290" i="2" s="1"/>
  <c r="D290" i="2" a="1"/>
  <c r="D290" i="2" s="1"/>
  <c r="C290" i="2" a="1"/>
  <c r="C290" i="2" s="1"/>
  <c r="B290" i="2" a="1"/>
  <c r="B290" i="2" s="1"/>
  <c r="CG289" i="2"/>
  <c r="CF289" i="2"/>
  <c r="CE289" i="2"/>
  <c r="CD289" i="2"/>
  <c r="CC289" i="2"/>
  <c r="CB289" i="2"/>
  <c r="CA289" i="2"/>
  <c r="BZ289" i="2"/>
  <c r="BY289" i="2"/>
  <c r="BX289" i="2"/>
  <c r="BW289" i="2"/>
  <c r="BV289" i="2"/>
  <c r="BU289" i="2"/>
  <c r="BT289" i="2"/>
  <c r="BS289" i="2"/>
  <c r="BR289" i="2"/>
  <c r="BQ289" i="2"/>
  <c r="BP289" i="2"/>
  <c r="BO289" i="2"/>
  <c r="BN289" i="2"/>
  <c r="BM289" i="2"/>
  <c r="BL289" i="2"/>
  <c r="BK289" i="2"/>
  <c r="BJ289" i="2"/>
  <c r="BI289" i="2"/>
  <c r="BH289" i="2"/>
  <c r="BG289" i="2"/>
  <c r="BF289" i="2"/>
  <c r="BE289" i="2"/>
  <c r="BC289" i="2"/>
  <c r="BB289" i="2"/>
  <c r="BA289" i="2"/>
  <c r="AZ289" i="2"/>
  <c r="AY289" i="2"/>
  <c r="AX289" i="2"/>
  <c r="AW289" i="2"/>
  <c r="AV289" i="2"/>
  <c r="AU289" i="2"/>
  <c r="AT289" i="2"/>
  <c r="AS289" i="2"/>
  <c r="AR289" i="2"/>
  <c r="AQ289" i="2"/>
  <c r="AP289" i="2"/>
  <c r="AO289" i="2"/>
  <c r="AN289" i="2"/>
  <c r="AM289" i="2"/>
  <c r="AL289" i="2"/>
  <c r="AK289" i="2"/>
  <c r="AJ289" i="2"/>
  <c r="AI289" i="2"/>
  <c r="AH289" i="2"/>
  <c r="AG289" i="2"/>
  <c r="AF289" i="2"/>
  <c r="AE289" i="2"/>
  <c r="AD289" i="2"/>
  <c r="AC289" i="2"/>
  <c r="AB289" i="2"/>
  <c r="AA289" i="2"/>
  <c r="Z289" i="2"/>
  <c r="Y289" i="2"/>
  <c r="X289" i="2"/>
  <c r="W289" i="2"/>
  <c r="V289" i="2"/>
  <c r="U289" i="2"/>
  <c r="T289" i="2"/>
  <c r="S289" i="2"/>
  <c r="R289" i="2"/>
  <c r="Q289" i="2"/>
  <c r="P289" i="2"/>
  <c r="O289" i="2"/>
  <c r="N289" i="2"/>
  <c r="M289" i="2"/>
  <c r="L289" i="2"/>
  <c r="K289" i="2"/>
  <c r="J289" i="2"/>
  <c r="BD289" i="2" s="1"/>
  <c r="I289" i="2"/>
  <c r="E289" i="2" a="1"/>
  <c r="E289" i="2" s="1"/>
  <c r="D289" i="2" a="1"/>
  <c r="D289" i="2" s="1"/>
  <c r="C289" i="2" a="1"/>
  <c r="C289" i="2" s="1"/>
  <c r="B289" i="2" a="1"/>
  <c r="B289" i="2" s="1"/>
  <c r="CG288" i="2"/>
  <c r="CF288" i="2"/>
  <c r="CE288" i="2"/>
  <c r="CD288" i="2"/>
  <c r="CC288" i="2"/>
  <c r="CB288" i="2"/>
  <c r="CA288" i="2"/>
  <c r="BZ288" i="2"/>
  <c r="BY288" i="2"/>
  <c r="BX288" i="2"/>
  <c r="BW288" i="2"/>
  <c r="BV288" i="2"/>
  <c r="BU288" i="2"/>
  <c r="BT288" i="2"/>
  <c r="BS288" i="2"/>
  <c r="BR288" i="2"/>
  <c r="BQ288" i="2"/>
  <c r="BP288" i="2"/>
  <c r="BO288" i="2"/>
  <c r="BN288" i="2"/>
  <c r="BM288" i="2"/>
  <c r="BL288" i="2"/>
  <c r="BK288" i="2"/>
  <c r="BJ288" i="2"/>
  <c r="BI288" i="2"/>
  <c r="BH288" i="2"/>
  <c r="BG288" i="2"/>
  <c r="BF288" i="2"/>
  <c r="BE288" i="2"/>
  <c r="BD288" i="2"/>
  <c r="BC288" i="2"/>
  <c r="BB288" i="2"/>
  <c r="BA288" i="2"/>
  <c r="AZ288" i="2"/>
  <c r="AY288" i="2"/>
  <c r="AX288" i="2"/>
  <c r="AW288" i="2"/>
  <c r="AV288" i="2"/>
  <c r="AU288" i="2"/>
  <c r="AT288" i="2"/>
  <c r="AS288" i="2"/>
  <c r="AR288" i="2"/>
  <c r="AQ288" i="2"/>
  <c r="AP288" i="2"/>
  <c r="AO288" i="2"/>
  <c r="AN288" i="2"/>
  <c r="AM288" i="2"/>
  <c r="AL288" i="2"/>
  <c r="AK288" i="2"/>
  <c r="AJ288" i="2"/>
  <c r="AI288" i="2"/>
  <c r="AH288" i="2"/>
  <c r="AG288" i="2"/>
  <c r="AF288" i="2"/>
  <c r="AE288" i="2"/>
  <c r="AD288" i="2"/>
  <c r="AC288" i="2"/>
  <c r="AB288" i="2"/>
  <c r="AA288" i="2"/>
  <c r="Z288" i="2"/>
  <c r="Y288" i="2"/>
  <c r="X288" i="2"/>
  <c r="W288" i="2"/>
  <c r="V288" i="2"/>
  <c r="U288" i="2"/>
  <c r="T288" i="2"/>
  <c r="S288" i="2"/>
  <c r="R288" i="2"/>
  <c r="Q288" i="2"/>
  <c r="P288" i="2"/>
  <c r="O288" i="2"/>
  <c r="N288" i="2"/>
  <c r="M288" i="2"/>
  <c r="L288" i="2"/>
  <c r="K288" i="2"/>
  <c r="J288" i="2"/>
  <c r="I288" i="2"/>
  <c r="E288" i="2" a="1"/>
  <c r="E288" i="2" s="1"/>
  <c r="D288" i="2" a="1"/>
  <c r="D288" i="2" s="1"/>
  <c r="C288" i="2" a="1"/>
  <c r="C288" i="2" s="1"/>
  <c r="B288" i="2" a="1"/>
  <c r="B288" i="2" s="1"/>
  <c r="CG287" i="2"/>
  <c r="CF287" i="2"/>
  <c r="CE287" i="2"/>
  <c r="CD287" i="2"/>
  <c r="CC287" i="2"/>
  <c r="CB287" i="2"/>
  <c r="CA287" i="2"/>
  <c r="BZ287" i="2"/>
  <c r="BY287" i="2"/>
  <c r="BX287" i="2"/>
  <c r="BW287" i="2"/>
  <c r="BV287" i="2"/>
  <c r="BU287" i="2"/>
  <c r="BT287" i="2"/>
  <c r="BS287" i="2"/>
  <c r="BR287" i="2"/>
  <c r="BQ287" i="2"/>
  <c r="BP287" i="2"/>
  <c r="BO287" i="2"/>
  <c r="BN287" i="2"/>
  <c r="BM287" i="2"/>
  <c r="BL287" i="2"/>
  <c r="BK287" i="2"/>
  <c r="BJ287" i="2"/>
  <c r="BI287" i="2"/>
  <c r="BH287" i="2"/>
  <c r="BG287" i="2"/>
  <c r="BF287" i="2"/>
  <c r="BE287" i="2"/>
  <c r="BD287" i="2"/>
  <c r="BC287" i="2"/>
  <c r="BB287" i="2"/>
  <c r="BA287" i="2"/>
  <c r="AZ287" i="2"/>
  <c r="AY287" i="2"/>
  <c r="AX287" i="2"/>
  <c r="AW287" i="2"/>
  <c r="AV287" i="2"/>
  <c r="AU287" i="2"/>
  <c r="AT287" i="2"/>
  <c r="AS287" i="2"/>
  <c r="AR287" i="2"/>
  <c r="AQ287" i="2"/>
  <c r="AP287" i="2"/>
  <c r="AO287" i="2"/>
  <c r="AN287" i="2"/>
  <c r="AM287" i="2"/>
  <c r="AL287" i="2"/>
  <c r="AK287" i="2"/>
  <c r="AJ287" i="2"/>
  <c r="AI287" i="2"/>
  <c r="AH287" i="2"/>
  <c r="AG287" i="2"/>
  <c r="AF287" i="2"/>
  <c r="AE287" i="2"/>
  <c r="AD287" i="2"/>
  <c r="AC287" i="2"/>
  <c r="AB287" i="2"/>
  <c r="AA287" i="2"/>
  <c r="Z287" i="2"/>
  <c r="Y287" i="2"/>
  <c r="X287" i="2"/>
  <c r="W287" i="2"/>
  <c r="V287" i="2"/>
  <c r="U287" i="2"/>
  <c r="T287" i="2"/>
  <c r="S287" i="2"/>
  <c r="R287" i="2"/>
  <c r="Q287" i="2"/>
  <c r="P287" i="2"/>
  <c r="O287" i="2"/>
  <c r="N287" i="2"/>
  <c r="M287" i="2"/>
  <c r="L287" i="2"/>
  <c r="K287" i="2"/>
  <c r="J287" i="2"/>
  <c r="I287" i="2"/>
  <c r="E287" i="2" a="1"/>
  <c r="E287" i="2" s="1"/>
  <c r="D287" i="2" a="1"/>
  <c r="D287" i="2" s="1"/>
  <c r="C287" i="2" a="1"/>
  <c r="C287" i="2" s="1"/>
  <c r="B287" i="2" a="1"/>
  <c r="B287" i="2" s="1"/>
  <c r="CG286" i="2"/>
  <c r="CF286" i="2"/>
  <c r="CE286" i="2"/>
  <c r="CD286" i="2"/>
  <c r="CC286" i="2"/>
  <c r="CB286" i="2"/>
  <c r="CA286" i="2"/>
  <c r="BZ286" i="2"/>
  <c r="BY286" i="2"/>
  <c r="BX286" i="2"/>
  <c r="BW286" i="2"/>
  <c r="BV286" i="2"/>
  <c r="BU286" i="2"/>
  <c r="BT286" i="2"/>
  <c r="BS286" i="2"/>
  <c r="BR286" i="2"/>
  <c r="BQ286" i="2"/>
  <c r="BP286" i="2"/>
  <c r="BO286" i="2"/>
  <c r="BN286" i="2"/>
  <c r="BM286" i="2"/>
  <c r="BL286" i="2"/>
  <c r="BK286" i="2"/>
  <c r="BJ286" i="2"/>
  <c r="BI286" i="2"/>
  <c r="BH286" i="2"/>
  <c r="BG286" i="2"/>
  <c r="BF286" i="2"/>
  <c r="BE286" i="2"/>
  <c r="BC286" i="2"/>
  <c r="BB286" i="2"/>
  <c r="BA286" i="2"/>
  <c r="AZ286" i="2"/>
  <c r="AY286" i="2"/>
  <c r="AX286" i="2"/>
  <c r="AW286" i="2"/>
  <c r="AV286" i="2"/>
  <c r="AU286" i="2"/>
  <c r="AT286" i="2"/>
  <c r="AS286" i="2"/>
  <c r="AR286" i="2"/>
  <c r="AQ286" i="2"/>
  <c r="AP286" i="2"/>
  <c r="AO286" i="2"/>
  <c r="AN286" i="2"/>
  <c r="AM286" i="2"/>
  <c r="AL286" i="2"/>
  <c r="AK286" i="2"/>
  <c r="AJ286" i="2"/>
  <c r="AI286" i="2"/>
  <c r="AH286" i="2"/>
  <c r="AG286" i="2"/>
  <c r="AF286" i="2"/>
  <c r="AE286" i="2"/>
  <c r="AD286" i="2"/>
  <c r="AC286" i="2"/>
  <c r="AB286" i="2"/>
  <c r="AA286" i="2"/>
  <c r="Z286" i="2"/>
  <c r="Y286" i="2"/>
  <c r="X286" i="2"/>
  <c r="W286" i="2"/>
  <c r="V286" i="2"/>
  <c r="U286" i="2"/>
  <c r="T286" i="2"/>
  <c r="S286" i="2"/>
  <c r="R286" i="2"/>
  <c r="Q286" i="2"/>
  <c r="P286" i="2"/>
  <c r="O286" i="2"/>
  <c r="N286" i="2"/>
  <c r="M286" i="2"/>
  <c r="L286" i="2"/>
  <c r="K286" i="2"/>
  <c r="J286" i="2"/>
  <c r="BD286" i="2" s="1"/>
  <c r="I286" i="2"/>
  <c r="E286" i="2" a="1"/>
  <c r="E286" i="2" s="1"/>
  <c r="D286" i="2" a="1"/>
  <c r="D286" i="2" s="1"/>
  <c r="C286" i="2" a="1"/>
  <c r="C286" i="2" s="1"/>
  <c r="B286" i="2" a="1"/>
  <c r="B286" i="2" s="1"/>
  <c r="CG285" i="2"/>
  <c r="CF285" i="2"/>
  <c r="CE285" i="2"/>
  <c r="CD285" i="2"/>
  <c r="CC285" i="2"/>
  <c r="CB285" i="2"/>
  <c r="CA285" i="2"/>
  <c r="BZ285" i="2"/>
  <c r="BY285" i="2"/>
  <c r="BX285" i="2"/>
  <c r="BW285" i="2"/>
  <c r="BV285" i="2"/>
  <c r="BU285" i="2"/>
  <c r="BT285" i="2"/>
  <c r="BS285" i="2"/>
  <c r="BR285" i="2"/>
  <c r="BQ285" i="2"/>
  <c r="BP285" i="2"/>
  <c r="BO285" i="2"/>
  <c r="BN285" i="2"/>
  <c r="BM285" i="2"/>
  <c r="BL285" i="2"/>
  <c r="BK285" i="2"/>
  <c r="BJ285" i="2"/>
  <c r="BI285" i="2"/>
  <c r="BH285" i="2"/>
  <c r="BG285" i="2"/>
  <c r="BF285" i="2"/>
  <c r="BE285" i="2"/>
  <c r="BC285" i="2"/>
  <c r="BB285" i="2"/>
  <c r="BA285" i="2"/>
  <c r="AZ285" i="2"/>
  <c r="AY285" i="2"/>
  <c r="AX285" i="2"/>
  <c r="AW285" i="2"/>
  <c r="AV285" i="2"/>
  <c r="AU285" i="2"/>
  <c r="AT285" i="2"/>
  <c r="AS285" i="2"/>
  <c r="AR285" i="2"/>
  <c r="AQ285" i="2"/>
  <c r="AP285" i="2"/>
  <c r="AO285" i="2"/>
  <c r="AN285" i="2"/>
  <c r="AM285" i="2"/>
  <c r="AL285" i="2"/>
  <c r="AK285" i="2"/>
  <c r="AJ285" i="2"/>
  <c r="AI285" i="2"/>
  <c r="AH285" i="2"/>
  <c r="AG285" i="2"/>
  <c r="AF285" i="2"/>
  <c r="AE285" i="2"/>
  <c r="AD285" i="2"/>
  <c r="AC285" i="2"/>
  <c r="AB285" i="2"/>
  <c r="AA285" i="2"/>
  <c r="Z285" i="2"/>
  <c r="Y285" i="2"/>
  <c r="X285" i="2"/>
  <c r="W285" i="2"/>
  <c r="V285" i="2"/>
  <c r="U285" i="2"/>
  <c r="T285" i="2"/>
  <c r="S285" i="2"/>
  <c r="R285" i="2"/>
  <c r="Q285" i="2"/>
  <c r="P285" i="2"/>
  <c r="O285" i="2"/>
  <c r="N285" i="2"/>
  <c r="M285" i="2"/>
  <c r="L285" i="2"/>
  <c r="K285" i="2"/>
  <c r="J285" i="2"/>
  <c r="BD285" i="2" s="1"/>
  <c r="I285" i="2"/>
  <c r="E285" i="2" a="1"/>
  <c r="E285" i="2" s="1"/>
  <c r="D285" i="2" a="1"/>
  <c r="D285" i="2" s="1"/>
  <c r="C285" i="2" a="1"/>
  <c r="C285" i="2" s="1"/>
  <c r="B285" i="2" a="1"/>
  <c r="B285" i="2" s="1"/>
  <c r="CG284" i="2"/>
  <c r="CF284" i="2"/>
  <c r="CE284" i="2"/>
  <c r="CD284" i="2"/>
  <c r="CC284" i="2"/>
  <c r="CB284" i="2"/>
  <c r="CA284" i="2"/>
  <c r="BZ284" i="2"/>
  <c r="BY284" i="2"/>
  <c r="BX284" i="2"/>
  <c r="BW284" i="2"/>
  <c r="BV284" i="2"/>
  <c r="BU284" i="2"/>
  <c r="BT284" i="2"/>
  <c r="BS284" i="2"/>
  <c r="BR284" i="2"/>
  <c r="BQ284" i="2"/>
  <c r="BP284" i="2"/>
  <c r="BO284" i="2"/>
  <c r="BN284" i="2"/>
  <c r="BM284" i="2"/>
  <c r="BL284" i="2"/>
  <c r="BK284" i="2"/>
  <c r="BJ284" i="2"/>
  <c r="BI284" i="2"/>
  <c r="BH284" i="2"/>
  <c r="BG284" i="2"/>
  <c r="BF284" i="2"/>
  <c r="BE284" i="2"/>
  <c r="BD284" i="2"/>
  <c r="BC284" i="2"/>
  <c r="BB284" i="2"/>
  <c r="BA284" i="2"/>
  <c r="AZ284" i="2"/>
  <c r="AY284" i="2"/>
  <c r="AX284" i="2"/>
  <c r="AW284" i="2"/>
  <c r="AV284" i="2"/>
  <c r="AU284" i="2"/>
  <c r="AT284" i="2"/>
  <c r="AS284" i="2"/>
  <c r="AR284" i="2"/>
  <c r="AQ284" i="2"/>
  <c r="AP284" i="2"/>
  <c r="AO284" i="2"/>
  <c r="AN284" i="2"/>
  <c r="AM284" i="2"/>
  <c r="AL284" i="2"/>
  <c r="AK284" i="2"/>
  <c r="AJ284" i="2"/>
  <c r="AI284" i="2"/>
  <c r="AH284" i="2"/>
  <c r="AG284" i="2"/>
  <c r="AF284" i="2"/>
  <c r="AE284" i="2"/>
  <c r="AD284" i="2"/>
  <c r="AC284" i="2"/>
  <c r="AB284" i="2"/>
  <c r="AA284" i="2"/>
  <c r="Z284" i="2"/>
  <c r="Y284" i="2"/>
  <c r="X284" i="2"/>
  <c r="W284" i="2"/>
  <c r="V284" i="2"/>
  <c r="U284" i="2"/>
  <c r="T284" i="2"/>
  <c r="S284" i="2"/>
  <c r="R284" i="2"/>
  <c r="Q284" i="2"/>
  <c r="P284" i="2"/>
  <c r="O284" i="2"/>
  <c r="N284" i="2"/>
  <c r="M284" i="2"/>
  <c r="L284" i="2"/>
  <c r="K284" i="2"/>
  <c r="J284" i="2"/>
  <c r="I284" i="2"/>
  <c r="E284" i="2" a="1"/>
  <c r="E284" i="2" s="1"/>
  <c r="D284" i="2" a="1"/>
  <c r="D284" i="2" s="1"/>
  <c r="C284" i="2" a="1"/>
  <c r="C284" i="2" s="1"/>
  <c r="B284" i="2" a="1"/>
  <c r="B284" i="2" s="1"/>
  <c r="CG283" i="2"/>
  <c r="CF283" i="2"/>
  <c r="CE283" i="2"/>
  <c r="CD283" i="2"/>
  <c r="CC283" i="2"/>
  <c r="CB283" i="2"/>
  <c r="CA283" i="2"/>
  <c r="BZ283" i="2"/>
  <c r="BY283" i="2"/>
  <c r="BX283" i="2"/>
  <c r="BW283" i="2"/>
  <c r="BV283" i="2"/>
  <c r="BU283" i="2"/>
  <c r="BT283" i="2"/>
  <c r="BS283" i="2"/>
  <c r="BR283" i="2"/>
  <c r="BQ283" i="2"/>
  <c r="BP283" i="2"/>
  <c r="BO283" i="2"/>
  <c r="BN283" i="2"/>
  <c r="BM283" i="2"/>
  <c r="BL283" i="2"/>
  <c r="BK283" i="2"/>
  <c r="BJ283" i="2"/>
  <c r="BI283" i="2"/>
  <c r="BH283" i="2"/>
  <c r="BG283" i="2"/>
  <c r="BF283" i="2"/>
  <c r="BE283" i="2"/>
  <c r="BD283" i="2"/>
  <c r="BC283" i="2"/>
  <c r="BB283" i="2"/>
  <c r="BA283" i="2"/>
  <c r="AZ283" i="2"/>
  <c r="AY283" i="2"/>
  <c r="AX283" i="2"/>
  <c r="AW283" i="2"/>
  <c r="AV283" i="2"/>
  <c r="AU283" i="2"/>
  <c r="AT283" i="2"/>
  <c r="AS283" i="2"/>
  <c r="AR283" i="2"/>
  <c r="AQ283" i="2"/>
  <c r="AP283" i="2"/>
  <c r="AO283" i="2"/>
  <c r="AN283" i="2"/>
  <c r="AM283" i="2"/>
  <c r="AL283" i="2"/>
  <c r="AK283" i="2"/>
  <c r="AJ283" i="2"/>
  <c r="AI283" i="2"/>
  <c r="AH283" i="2"/>
  <c r="AG283" i="2"/>
  <c r="AF283" i="2"/>
  <c r="AE283" i="2"/>
  <c r="AD283" i="2"/>
  <c r="AC283" i="2"/>
  <c r="AB283" i="2"/>
  <c r="AA283" i="2"/>
  <c r="Z283" i="2"/>
  <c r="Y283" i="2"/>
  <c r="X283" i="2"/>
  <c r="W283" i="2"/>
  <c r="V283" i="2"/>
  <c r="U283" i="2"/>
  <c r="T283" i="2"/>
  <c r="S283" i="2"/>
  <c r="R283" i="2"/>
  <c r="Q283" i="2"/>
  <c r="P283" i="2"/>
  <c r="O283" i="2"/>
  <c r="N283" i="2"/>
  <c r="M283" i="2"/>
  <c r="L283" i="2"/>
  <c r="K283" i="2"/>
  <c r="J283" i="2"/>
  <c r="I283" i="2"/>
  <c r="E283" i="2" a="1"/>
  <c r="E283" i="2" s="1"/>
  <c r="D283" i="2" a="1"/>
  <c r="D283" i="2" s="1"/>
  <c r="C283" i="2" a="1"/>
  <c r="C283" i="2" s="1"/>
  <c r="B283" i="2" a="1"/>
  <c r="B283" i="2" s="1"/>
  <c r="CG282" i="2"/>
  <c r="CF282" i="2"/>
  <c r="CE282" i="2"/>
  <c r="CD282" i="2"/>
  <c r="CC282" i="2"/>
  <c r="CB282" i="2"/>
  <c r="CA282" i="2"/>
  <c r="BZ282" i="2"/>
  <c r="BY282" i="2"/>
  <c r="BX282" i="2"/>
  <c r="BW282" i="2"/>
  <c r="BV282" i="2"/>
  <c r="BU282" i="2"/>
  <c r="BT282" i="2"/>
  <c r="BS282" i="2"/>
  <c r="BR282" i="2"/>
  <c r="BQ282" i="2"/>
  <c r="BP282" i="2"/>
  <c r="BO282" i="2"/>
  <c r="BN282" i="2"/>
  <c r="BM282" i="2"/>
  <c r="BL282" i="2"/>
  <c r="BK282" i="2"/>
  <c r="BJ282" i="2"/>
  <c r="BI282" i="2"/>
  <c r="BH282" i="2"/>
  <c r="BG282" i="2"/>
  <c r="BF282" i="2"/>
  <c r="BE282" i="2"/>
  <c r="BC282" i="2"/>
  <c r="BB282" i="2"/>
  <c r="BA282" i="2"/>
  <c r="AZ282" i="2"/>
  <c r="AY282" i="2"/>
  <c r="AX282" i="2"/>
  <c r="AW282" i="2"/>
  <c r="AV282" i="2"/>
  <c r="AU282" i="2"/>
  <c r="AT282" i="2"/>
  <c r="AS282" i="2"/>
  <c r="AR282" i="2"/>
  <c r="AQ282" i="2"/>
  <c r="AP282" i="2"/>
  <c r="AO282" i="2"/>
  <c r="AN282" i="2"/>
  <c r="AM282" i="2"/>
  <c r="AL282" i="2"/>
  <c r="AK282" i="2"/>
  <c r="AJ282" i="2"/>
  <c r="AI282" i="2"/>
  <c r="AH282" i="2"/>
  <c r="AG282" i="2"/>
  <c r="AF282" i="2"/>
  <c r="AE282" i="2"/>
  <c r="AD282" i="2"/>
  <c r="AC282" i="2"/>
  <c r="AB282" i="2"/>
  <c r="AA282" i="2"/>
  <c r="Z282" i="2"/>
  <c r="Y282" i="2"/>
  <c r="X282" i="2"/>
  <c r="W282" i="2"/>
  <c r="V282" i="2"/>
  <c r="U282" i="2"/>
  <c r="T282" i="2"/>
  <c r="S282" i="2"/>
  <c r="R282" i="2"/>
  <c r="Q282" i="2"/>
  <c r="P282" i="2"/>
  <c r="O282" i="2"/>
  <c r="N282" i="2"/>
  <c r="M282" i="2"/>
  <c r="L282" i="2"/>
  <c r="K282" i="2"/>
  <c r="J282" i="2"/>
  <c r="BD282" i="2" s="1"/>
  <c r="I282" i="2"/>
  <c r="E282" i="2" a="1"/>
  <c r="E282" i="2" s="1"/>
  <c r="D282" i="2" a="1"/>
  <c r="D282" i="2" s="1"/>
  <c r="C282" i="2" a="1"/>
  <c r="C282" i="2" s="1"/>
  <c r="B282" i="2" a="1"/>
  <c r="B282" i="2" s="1"/>
  <c r="CG281" i="2"/>
  <c r="CF281" i="2"/>
  <c r="CE281" i="2"/>
  <c r="CD281" i="2"/>
  <c r="CC281" i="2"/>
  <c r="CB281" i="2"/>
  <c r="CA281" i="2"/>
  <c r="BZ281" i="2"/>
  <c r="BY281" i="2"/>
  <c r="BX281" i="2"/>
  <c r="BW281" i="2"/>
  <c r="BV281" i="2"/>
  <c r="BU281" i="2"/>
  <c r="BT281" i="2"/>
  <c r="BS281" i="2"/>
  <c r="BR281" i="2"/>
  <c r="BQ281" i="2"/>
  <c r="BP281" i="2"/>
  <c r="BO281" i="2"/>
  <c r="BN281" i="2"/>
  <c r="BM281" i="2"/>
  <c r="BL281" i="2"/>
  <c r="BK281" i="2"/>
  <c r="BJ281" i="2"/>
  <c r="BI281" i="2"/>
  <c r="BH281" i="2"/>
  <c r="BG281" i="2"/>
  <c r="BF281" i="2"/>
  <c r="BE281" i="2"/>
  <c r="BC281" i="2"/>
  <c r="BB281" i="2"/>
  <c r="BA281" i="2"/>
  <c r="AZ281" i="2"/>
  <c r="AY281" i="2"/>
  <c r="AX281" i="2"/>
  <c r="AW281" i="2"/>
  <c r="AV281" i="2"/>
  <c r="AU281" i="2"/>
  <c r="AT281" i="2"/>
  <c r="AS281" i="2"/>
  <c r="AR281" i="2"/>
  <c r="AQ281" i="2"/>
  <c r="AP281" i="2"/>
  <c r="AO281" i="2"/>
  <c r="AN281" i="2"/>
  <c r="AM281" i="2"/>
  <c r="AL281" i="2"/>
  <c r="AK281" i="2"/>
  <c r="AJ281" i="2"/>
  <c r="AI281" i="2"/>
  <c r="AH281" i="2"/>
  <c r="AG281" i="2"/>
  <c r="AF281" i="2"/>
  <c r="AE281" i="2"/>
  <c r="AD281" i="2"/>
  <c r="AC281" i="2"/>
  <c r="AB281" i="2"/>
  <c r="AA281" i="2"/>
  <c r="Z281" i="2"/>
  <c r="Y281" i="2"/>
  <c r="X281" i="2"/>
  <c r="W281" i="2"/>
  <c r="V281" i="2"/>
  <c r="U281" i="2"/>
  <c r="T281" i="2"/>
  <c r="S281" i="2"/>
  <c r="R281" i="2"/>
  <c r="Q281" i="2"/>
  <c r="P281" i="2"/>
  <c r="O281" i="2"/>
  <c r="N281" i="2"/>
  <c r="M281" i="2"/>
  <c r="L281" i="2"/>
  <c r="K281" i="2"/>
  <c r="J281" i="2"/>
  <c r="BD281" i="2" s="1"/>
  <c r="I281" i="2"/>
  <c r="E281" i="2" a="1"/>
  <c r="E281" i="2" s="1"/>
  <c r="D281" i="2" a="1"/>
  <c r="D281" i="2" s="1"/>
  <c r="C281" i="2" a="1"/>
  <c r="C281" i="2" s="1"/>
  <c r="B281" i="2" a="1"/>
  <c r="B281" i="2" s="1"/>
  <c r="CG280" i="2"/>
  <c r="CF280" i="2"/>
  <c r="CE280" i="2"/>
  <c r="CD280" i="2"/>
  <c r="CC280" i="2"/>
  <c r="CB280" i="2"/>
  <c r="CA280" i="2"/>
  <c r="BZ280" i="2"/>
  <c r="BY280" i="2"/>
  <c r="BX280" i="2"/>
  <c r="BW280" i="2"/>
  <c r="BV280" i="2"/>
  <c r="BU280" i="2"/>
  <c r="BT280" i="2"/>
  <c r="BS280" i="2"/>
  <c r="BR280" i="2"/>
  <c r="BQ280" i="2"/>
  <c r="BP280" i="2"/>
  <c r="BO280" i="2"/>
  <c r="BN280" i="2"/>
  <c r="BM280" i="2"/>
  <c r="BL280" i="2"/>
  <c r="BK280" i="2"/>
  <c r="BJ280" i="2"/>
  <c r="BI280" i="2"/>
  <c r="BH280" i="2"/>
  <c r="BG280" i="2"/>
  <c r="BF280" i="2"/>
  <c r="BE280" i="2"/>
  <c r="BD280" i="2"/>
  <c r="BC280" i="2"/>
  <c r="BB280" i="2"/>
  <c r="BA280" i="2"/>
  <c r="AZ280" i="2"/>
  <c r="AY280" i="2"/>
  <c r="AX280" i="2"/>
  <c r="AW280" i="2"/>
  <c r="AV280" i="2"/>
  <c r="AU280" i="2"/>
  <c r="AT280" i="2"/>
  <c r="AS280" i="2"/>
  <c r="AR280" i="2"/>
  <c r="AQ280" i="2"/>
  <c r="AP280" i="2"/>
  <c r="AO280" i="2"/>
  <c r="AN280" i="2"/>
  <c r="AM280" i="2"/>
  <c r="AL280" i="2"/>
  <c r="AK280" i="2"/>
  <c r="AJ280" i="2"/>
  <c r="AI280" i="2"/>
  <c r="AH280" i="2"/>
  <c r="AG280" i="2"/>
  <c r="AF280" i="2"/>
  <c r="AE280" i="2"/>
  <c r="AD280" i="2"/>
  <c r="AC280" i="2"/>
  <c r="AB280" i="2"/>
  <c r="AA280" i="2"/>
  <c r="Z280" i="2"/>
  <c r="Y280" i="2"/>
  <c r="X280" i="2"/>
  <c r="W280" i="2"/>
  <c r="V280" i="2"/>
  <c r="U280" i="2"/>
  <c r="T280" i="2"/>
  <c r="S280" i="2"/>
  <c r="R280" i="2"/>
  <c r="Q280" i="2"/>
  <c r="P280" i="2"/>
  <c r="O280" i="2"/>
  <c r="N280" i="2"/>
  <c r="M280" i="2"/>
  <c r="L280" i="2"/>
  <c r="K280" i="2"/>
  <c r="J280" i="2"/>
  <c r="I280" i="2"/>
  <c r="E280" i="2" a="1"/>
  <c r="E280" i="2" s="1"/>
  <c r="D280" i="2" a="1"/>
  <c r="D280" i="2" s="1"/>
  <c r="C280" i="2" a="1"/>
  <c r="C280" i="2" s="1"/>
  <c r="B280" i="2" a="1"/>
  <c r="B280" i="2" s="1"/>
  <c r="CG279" i="2"/>
  <c r="CF279" i="2"/>
  <c r="CE279" i="2"/>
  <c r="CD279" i="2"/>
  <c r="CC279" i="2"/>
  <c r="CB279" i="2"/>
  <c r="CA279" i="2"/>
  <c r="BZ279" i="2"/>
  <c r="BY279" i="2"/>
  <c r="BX279" i="2"/>
  <c r="BW279" i="2"/>
  <c r="BV279" i="2"/>
  <c r="BU279" i="2"/>
  <c r="BT279" i="2"/>
  <c r="BS279" i="2"/>
  <c r="BR279" i="2"/>
  <c r="BQ279" i="2"/>
  <c r="BP279" i="2"/>
  <c r="BO279" i="2"/>
  <c r="BN279" i="2"/>
  <c r="BM279" i="2"/>
  <c r="BL279" i="2"/>
  <c r="BK279" i="2"/>
  <c r="BJ279" i="2"/>
  <c r="BI279" i="2"/>
  <c r="BH279" i="2"/>
  <c r="BG279" i="2"/>
  <c r="BF279" i="2"/>
  <c r="BE279" i="2"/>
  <c r="BD279" i="2"/>
  <c r="BC279" i="2"/>
  <c r="BB279" i="2"/>
  <c r="BA279" i="2"/>
  <c r="AZ279" i="2"/>
  <c r="AY279" i="2"/>
  <c r="AX279" i="2"/>
  <c r="AW279" i="2"/>
  <c r="AV279" i="2"/>
  <c r="AU279" i="2"/>
  <c r="AT279" i="2"/>
  <c r="AS279" i="2"/>
  <c r="AR279" i="2"/>
  <c r="AQ279" i="2"/>
  <c r="AP279" i="2"/>
  <c r="AO279" i="2"/>
  <c r="AN279" i="2"/>
  <c r="AM279" i="2"/>
  <c r="AL279" i="2"/>
  <c r="AK279" i="2"/>
  <c r="AJ279" i="2"/>
  <c r="AI279" i="2"/>
  <c r="AH279" i="2"/>
  <c r="AG279" i="2"/>
  <c r="AF279" i="2"/>
  <c r="AE279" i="2"/>
  <c r="AD279" i="2"/>
  <c r="AC279" i="2"/>
  <c r="AB279" i="2"/>
  <c r="AA279" i="2"/>
  <c r="Z279" i="2"/>
  <c r="Y279" i="2"/>
  <c r="X279" i="2"/>
  <c r="W279" i="2"/>
  <c r="V279" i="2"/>
  <c r="U279" i="2"/>
  <c r="T279" i="2"/>
  <c r="S279" i="2"/>
  <c r="R279" i="2"/>
  <c r="Q279" i="2"/>
  <c r="P279" i="2"/>
  <c r="O279" i="2"/>
  <c r="N279" i="2"/>
  <c r="M279" i="2"/>
  <c r="L279" i="2"/>
  <c r="K279" i="2"/>
  <c r="J279" i="2"/>
  <c r="I279" i="2"/>
  <c r="E279" i="2" a="1"/>
  <c r="E279" i="2" s="1"/>
  <c r="D279" i="2" a="1"/>
  <c r="D279" i="2" s="1"/>
  <c r="C279" i="2" a="1"/>
  <c r="C279" i="2" s="1"/>
  <c r="B279" i="2" a="1"/>
  <c r="B279" i="2" s="1"/>
  <c r="CG278" i="2"/>
  <c r="CF278" i="2"/>
  <c r="CE278" i="2"/>
  <c r="CD278" i="2"/>
  <c r="CC278" i="2"/>
  <c r="CB278" i="2"/>
  <c r="CA278" i="2"/>
  <c r="BZ278" i="2"/>
  <c r="BY278" i="2"/>
  <c r="BX278" i="2"/>
  <c r="BW278" i="2"/>
  <c r="BV278" i="2"/>
  <c r="BU278" i="2"/>
  <c r="BT278" i="2"/>
  <c r="BS278" i="2"/>
  <c r="BR278" i="2"/>
  <c r="BQ278" i="2"/>
  <c r="BP278" i="2"/>
  <c r="BO278" i="2"/>
  <c r="BN278" i="2"/>
  <c r="BM278" i="2"/>
  <c r="BL278" i="2"/>
  <c r="BK278" i="2"/>
  <c r="BJ278" i="2"/>
  <c r="BI278" i="2"/>
  <c r="BH278" i="2"/>
  <c r="BG278" i="2"/>
  <c r="BF278" i="2"/>
  <c r="BE278" i="2"/>
  <c r="BC278" i="2"/>
  <c r="BB278" i="2"/>
  <c r="BA278" i="2"/>
  <c r="AZ278" i="2"/>
  <c r="AY278" i="2"/>
  <c r="AX278" i="2"/>
  <c r="AW278" i="2"/>
  <c r="AV278" i="2"/>
  <c r="AU278" i="2"/>
  <c r="AT278" i="2"/>
  <c r="AS278" i="2"/>
  <c r="AR278" i="2"/>
  <c r="AQ278" i="2"/>
  <c r="AP278" i="2"/>
  <c r="AO278" i="2"/>
  <c r="AN278" i="2"/>
  <c r="AM278" i="2"/>
  <c r="AL278" i="2"/>
  <c r="AK278" i="2"/>
  <c r="AJ278" i="2"/>
  <c r="AI278" i="2"/>
  <c r="AH278" i="2"/>
  <c r="AG278" i="2"/>
  <c r="AF278" i="2"/>
  <c r="AE278" i="2"/>
  <c r="AD278" i="2"/>
  <c r="AC278" i="2"/>
  <c r="AB278" i="2"/>
  <c r="AA278" i="2"/>
  <c r="Z278" i="2"/>
  <c r="Y278" i="2"/>
  <c r="X278" i="2"/>
  <c r="W278" i="2"/>
  <c r="V278" i="2"/>
  <c r="U278" i="2"/>
  <c r="T278" i="2"/>
  <c r="S278" i="2"/>
  <c r="R278" i="2"/>
  <c r="Q278" i="2"/>
  <c r="P278" i="2"/>
  <c r="O278" i="2"/>
  <c r="N278" i="2"/>
  <c r="M278" i="2"/>
  <c r="L278" i="2"/>
  <c r="K278" i="2"/>
  <c r="J278" i="2"/>
  <c r="BD278" i="2" s="1"/>
  <c r="I278" i="2"/>
  <c r="E278" i="2" a="1"/>
  <c r="E278" i="2" s="1"/>
  <c r="D278" i="2" a="1"/>
  <c r="D278" i="2" s="1"/>
  <c r="C278" i="2" a="1"/>
  <c r="C278" i="2" s="1"/>
  <c r="B278" i="2" a="1"/>
  <c r="B278" i="2" s="1"/>
  <c r="CG277" i="2"/>
  <c r="CF277" i="2"/>
  <c r="CE277" i="2"/>
  <c r="CD277" i="2"/>
  <c r="CC277" i="2"/>
  <c r="CB277" i="2"/>
  <c r="CA277" i="2"/>
  <c r="BZ277" i="2"/>
  <c r="BY277" i="2"/>
  <c r="BX277" i="2"/>
  <c r="BW277" i="2"/>
  <c r="BV277" i="2"/>
  <c r="BU277" i="2"/>
  <c r="BT277" i="2"/>
  <c r="BS277" i="2"/>
  <c r="BR277" i="2"/>
  <c r="BQ277" i="2"/>
  <c r="BP277" i="2"/>
  <c r="BO277" i="2"/>
  <c r="BN277" i="2"/>
  <c r="BM277" i="2"/>
  <c r="BL277" i="2"/>
  <c r="BK277" i="2"/>
  <c r="BJ277" i="2"/>
  <c r="BI277" i="2"/>
  <c r="BH277" i="2"/>
  <c r="BG277" i="2"/>
  <c r="BF277" i="2"/>
  <c r="BE277" i="2"/>
  <c r="BC277" i="2"/>
  <c r="BB277" i="2"/>
  <c r="BA277" i="2"/>
  <c r="AZ277" i="2"/>
  <c r="AY277" i="2"/>
  <c r="AX277" i="2"/>
  <c r="AW277" i="2"/>
  <c r="AV277" i="2"/>
  <c r="AU277" i="2"/>
  <c r="AT277" i="2"/>
  <c r="AS277" i="2"/>
  <c r="AR277" i="2"/>
  <c r="AQ277" i="2"/>
  <c r="AP277" i="2"/>
  <c r="AO277" i="2"/>
  <c r="AN277" i="2"/>
  <c r="AM277" i="2"/>
  <c r="AL277" i="2"/>
  <c r="AK277" i="2"/>
  <c r="AJ277" i="2"/>
  <c r="AI277" i="2"/>
  <c r="AH277" i="2"/>
  <c r="AG277" i="2"/>
  <c r="AF277" i="2"/>
  <c r="AE277" i="2"/>
  <c r="AD277" i="2"/>
  <c r="AC277" i="2"/>
  <c r="AB277" i="2"/>
  <c r="AA277" i="2"/>
  <c r="Z277" i="2"/>
  <c r="Y277" i="2"/>
  <c r="X277" i="2"/>
  <c r="W277" i="2"/>
  <c r="V277" i="2"/>
  <c r="U277" i="2"/>
  <c r="T277" i="2"/>
  <c r="S277" i="2"/>
  <c r="R277" i="2"/>
  <c r="Q277" i="2"/>
  <c r="P277" i="2"/>
  <c r="O277" i="2"/>
  <c r="N277" i="2"/>
  <c r="M277" i="2"/>
  <c r="L277" i="2"/>
  <c r="K277" i="2"/>
  <c r="J277" i="2"/>
  <c r="BD277" i="2" s="1"/>
  <c r="I277" i="2"/>
  <c r="E277" i="2" a="1"/>
  <c r="E277" i="2" s="1"/>
  <c r="D277" i="2" a="1"/>
  <c r="D277" i="2" s="1"/>
  <c r="C277" i="2" a="1"/>
  <c r="C277" i="2" s="1"/>
  <c r="B277" i="2" a="1"/>
  <c r="B277" i="2" s="1"/>
  <c r="CG276" i="2"/>
  <c r="CF276" i="2"/>
  <c r="CE276" i="2"/>
  <c r="CD276" i="2"/>
  <c r="CC276" i="2"/>
  <c r="CB276" i="2"/>
  <c r="CA276" i="2"/>
  <c r="BZ276" i="2"/>
  <c r="BY276" i="2"/>
  <c r="BX276" i="2"/>
  <c r="BW276" i="2"/>
  <c r="BV276" i="2"/>
  <c r="BU276" i="2"/>
  <c r="BT276" i="2"/>
  <c r="BS276" i="2"/>
  <c r="BR276" i="2"/>
  <c r="BQ276" i="2"/>
  <c r="BP276" i="2"/>
  <c r="BO276" i="2"/>
  <c r="BN276" i="2"/>
  <c r="BM276" i="2"/>
  <c r="BL276" i="2"/>
  <c r="BK276" i="2"/>
  <c r="BJ276" i="2"/>
  <c r="BI276" i="2"/>
  <c r="BH276" i="2"/>
  <c r="BG276" i="2"/>
  <c r="BF276" i="2"/>
  <c r="BE276" i="2"/>
  <c r="BD276" i="2"/>
  <c r="BC276" i="2"/>
  <c r="BB276" i="2"/>
  <c r="BA276" i="2"/>
  <c r="AZ276" i="2"/>
  <c r="AY276" i="2"/>
  <c r="AX276" i="2"/>
  <c r="AW276" i="2"/>
  <c r="AV276" i="2"/>
  <c r="AU276" i="2"/>
  <c r="AT276" i="2"/>
  <c r="AS276" i="2"/>
  <c r="AR276" i="2"/>
  <c r="AQ276" i="2"/>
  <c r="AP276" i="2"/>
  <c r="AO276" i="2"/>
  <c r="AN276" i="2"/>
  <c r="AM276" i="2"/>
  <c r="AL276" i="2"/>
  <c r="AK276" i="2"/>
  <c r="AJ276" i="2"/>
  <c r="AI276" i="2"/>
  <c r="AH276" i="2"/>
  <c r="AG276" i="2"/>
  <c r="AF276" i="2"/>
  <c r="AE276" i="2"/>
  <c r="AD276" i="2"/>
  <c r="AC276" i="2"/>
  <c r="AB276" i="2"/>
  <c r="AA276" i="2"/>
  <c r="Z276" i="2"/>
  <c r="Y276" i="2"/>
  <c r="X276" i="2"/>
  <c r="W276" i="2"/>
  <c r="V276" i="2"/>
  <c r="U276" i="2"/>
  <c r="T276" i="2"/>
  <c r="S276" i="2"/>
  <c r="R276" i="2"/>
  <c r="Q276" i="2"/>
  <c r="P276" i="2"/>
  <c r="O276" i="2"/>
  <c r="N276" i="2"/>
  <c r="M276" i="2"/>
  <c r="L276" i="2"/>
  <c r="K276" i="2"/>
  <c r="J276" i="2"/>
  <c r="I276" i="2"/>
  <c r="E276" i="2" a="1"/>
  <c r="E276" i="2" s="1"/>
  <c r="D276" i="2" a="1"/>
  <c r="D276" i="2" s="1"/>
  <c r="C276" i="2" a="1"/>
  <c r="C276" i="2" s="1"/>
  <c r="B276" i="2" a="1"/>
  <c r="B276" i="2" s="1"/>
  <c r="CG275" i="2"/>
  <c r="CF275" i="2"/>
  <c r="CE275" i="2"/>
  <c r="CD275" i="2"/>
  <c r="CC275" i="2"/>
  <c r="CB275" i="2"/>
  <c r="CA275" i="2"/>
  <c r="BZ275" i="2"/>
  <c r="BY275" i="2"/>
  <c r="BX275" i="2"/>
  <c r="BW275" i="2"/>
  <c r="BV275" i="2"/>
  <c r="BU275" i="2"/>
  <c r="BT275" i="2"/>
  <c r="BS275" i="2"/>
  <c r="BR275" i="2"/>
  <c r="BQ275" i="2"/>
  <c r="BP275" i="2"/>
  <c r="BO275" i="2"/>
  <c r="BN275" i="2"/>
  <c r="BM275" i="2"/>
  <c r="BL275" i="2"/>
  <c r="BK275" i="2"/>
  <c r="BJ275" i="2"/>
  <c r="BI275" i="2"/>
  <c r="BH275" i="2"/>
  <c r="BG275" i="2"/>
  <c r="BF275" i="2"/>
  <c r="BE275" i="2"/>
  <c r="BD275" i="2"/>
  <c r="BC275" i="2"/>
  <c r="BB275" i="2"/>
  <c r="BA275" i="2"/>
  <c r="AZ275" i="2"/>
  <c r="AY275" i="2"/>
  <c r="AX275" i="2"/>
  <c r="AW275" i="2"/>
  <c r="AV275" i="2"/>
  <c r="AU275" i="2"/>
  <c r="AT275" i="2"/>
  <c r="AS275" i="2"/>
  <c r="AR275" i="2"/>
  <c r="AQ275" i="2"/>
  <c r="AP275" i="2"/>
  <c r="AO275" i="2"/>
  <c r="AN275" i="2"/>
  <c r="AM275" i="2"/>
  <c r="AL275" i="2"/>
  <c r="AK275" i="2"/>
  <c r="AJ275" i="2"/>
  <c r="AI275" i="2"/>
  <c r="AH275" i="2"/>
  <c r="AG275" i="2"/>
  <c r="AF275" i="2"/>
  <c r="AE275" i="2"/>
  <c r="AD275" i="2"/>
  <c r="AC275" i="2"/>
  <c r="AB275" i="2"/>
  <c r="AA275" i="2"/>
  <c r="Z275" i="2"/>
  <c r="Y275" i="2"/>
  <c r="X275" i="2"/>
  <c r="W275" i="2"/>
  <c r="V275" i="2"/>
  <c r="U275" i="2"/>
  <c r="T275" i="2"/>
  <c r="S275" i="2"/>
  <c r="R275" i="2"/>
  <c r="Q275" i="2"/>
  <c r="P275" i="2"/>
  <c r="O275" i="2"/>
  <c r="N275" i="2"/>
  <c r="M275" i="2"/>
  <c r="L275" i="2"/>
  <c r="K275" i="2"/>
  <c r="J275" i="2"/>
  <c r="I275" i="2"/>
  <c r="E275" i="2" a="1"/>
  <c r="E275" i="2" s="1"/>
  <c r="D275" i="2" a="1"/>
  <c r="D275" i="2" s="1"/>
  <c r="C275" i="2" a="1"/>
  <c r="C275" i="2" s="1"/>
  <c r="B275" i="2" a="1"/>
  <c r="B275" i="2" s="1"/>
  <c r="CG274" i="2"/>
  <c r="CF274" i="2"/>
  <c r="CE274" i="2"/>
  <c r="CD274" i="2"/>
  <c r="CC274" i="2"/>
  <c r="CB274" i="2"/>
  <c r="CA274" i="2"/>
  <c r="BZ274" i="2"/>
  <c r="BY274" i="2"/>
  <c r="BX274" i="2"/>
  <c r="BW274" i="2"/>
  <c r="BV274" i="2"/>
  <c r="BU274" i="2"/>
  <c r="BT274" i="2"/>
  <c r="BS274" i="2"/>
  <c r="BR274" i="2"/>
  <c r="BQ274" i="2"/>
  <c r="BP274" i="2"/>
  <c r="BO274" i="2"/>
  <c r="BN274" i="2"/>
  <c r="BM274" i="2"/>
  <c r="BL274" i="2"/>
  <c r="BK274" i="2"/>
  <c r="BJ274" i="2"/>
  <c r="BI274" i="2"/>
  <c r="BH274" i="2"/>
  <c r="BG274" i="2"/>
  <c r="BF274" i="2"/>
  <c r="BE274" i="2"/>
  <c r="BC274" i="2"/>
  <c r="BB274" i="2"/>
  <c r="BA274" i="2"/>
  <c r="AZ274" i="2"/>
  <c r="AY274" i="2"/>
  <c r="AX274" i="2"/>
  <c r="AW274" i="2"/>
  <c r="AV274" i="2"/>
  <c r="AU274" i="2"/>
  <c r="AT274" i="2"/>
  <c r="AS274" i="2"/>
  <c r="AR274" i="2"/>
  <c r="AQ274" i="2"/>
  <c r="AP274" i="2"/>
  <c r="AO274" i="2"/>
  <c r="AN274" i="2"/>
  <c r="AM274" i="2"/>
  <c r="AL274" i="2"/>
  <c r="AK274" i="2"/>
  <c r="AJ274" i="2"/>
  <c r="AI274" i="2"/>
  <c r="AH274" i="2"/>
  <c r="AG274" i="2"/>
  <c r="AF274" i="2"/>
  <c r="AE274" i="2"/>
  <c r="AD274" i="2"/>
  <c r="AC274" i="2"/>
  <c r="AB274" i="2"/>
  <c r="AA274" i="2"/>
  <c r="Z274" i="2"/>
  <c r="Y274" i="2"/>
  <c r="X274" i="2"/>
  <c r="W274" i="2"/>
  <c r="V274" i="2"/>
  <c r="U274" i="2"/>
  <c r="T274" i="2"/>
  <c r="S274" i="2"/>
  <c r="R274" i="2"/>
  <c r="Q274" i="2"/>
  <c r="P274" i="2"/>
  <c r="O274" i="2"/>
  <c r="N274" i="2"/>
  <c r="M274" i="2"/>
  <c r="L274" i="2"/>
  <c r="K274" i="2"/>
  <c r="J274" i="2"/>
  <c r="BD274" i="2" s="1"/>
  <c r="I274" i="2"/>
  <c r="E274" i="2" a="1"/>
  <c r="E274" i="2" s="1"/>
  <c r="D274" i="2" a="1"/>
  <c r="D274" i="2" s="1"/>
  <c r="C274" i="2" a="1"/>
  <c r="C274" i="2" s="1"/>
  <c r="B274" i="2" a="1"/>
  <c r="B274" i="2" s="1"/>
  <c r="CG273" i="2"/>
  <c r="CF273" i="2"/>
  <c r="CE273" i="2"/>
  <c r="CD273" i="2"/>
  <c r="CC273" i="2"/>
  <c r="CB273" i="2"/>
  <c r="CA273" i="2"/>
  <c r="BZ273" i="2"/>
  <c r="BY273" i="2"/>
  <c r="BX273" i="2"/>
  <c r="BW273" i="2"/>
  <c r="BV273" i="2"/>
  <c r="BU273" i="2"/>
  <c r="BT273" i="2"/>
  <c r="BS273" i="2"/>
  <c r="BR273" i="2"/>
  <c r="BQ273" i="2"/>
  <c r="BP273" i="2"/>
  <c r="BO273" i="2"/>
  <c r="BN273" i="2"/>
  <c r="BM273" i="2"/>
  <c r="BL273" i="2"/>
  <c r="BK273" i="2"/>
  <c r="BJ273" i="2"/>
  <c r="BI273" i="2"/>
  <c r="BH273" i="2"/>
  <c r="BG273" i="2"/>
  <c r="BF273" i="2"/>
  <c r="BE273" i="2"/>
  <c r="BC273" i="2"/>
  <c r="BB273" i="2"/>
  <c r="BA273" i="2"/>
  <c r="AZ273" i="2"/>
  <c r="AY273" i="2"/>
  <c r="AX273" i="2"/>
  <c r="AW273" i="2"/>
  <c r="AV273" i="2"/>
  <c r="AU273" i="2"/>
  <c r="AT273" i="2"/>
  <c r="AS273" i="2"/>
  <c r="AR273" i="2"/>
  <c r="AQ273" i="2"/>
  <c r="AP273" i="2"/>
  <c r="AO273" i="2"/>
  <c r="AN273" i="2"/>
  <c r="AM273" i="2"/>
  <c r="AL273" i="2"/>
  <c r="AK273" i="2"/>
  <c r="AJ273" i="2"/>
  <c r="AI273" i="2"/>
  <c r="AH273" i="2"/>
  <c r="AG273" i="2"/>
  <c r="AF273" i="2"/>
  <c r="AE273" i="2"/>
  <c r="AD273" i="2"/>
  <c r="AC273" i="2"/>
  <c r="AB273" i="2"/>
  <c r="AA273" i="2"/>
  <c r="Z273" i="2"/>
  <c r="Y273" i="2"/>
  <c r="X273" i="2"/>
  <c r="W273" i="2"/>
  <c r="V273" i="2"/>
  <c r="U273" i="2"/>
  <c r="T273" i="2"/>
  <c r="S273" i="2"/>
  <c r="R273" i="2"/>
  <c r="Q273" i="2"/>
  <c r="P273" i="2"/>
  <c r="O273" i="2"/>
  <c r="N273" i="2"/>
  <c r="M273" i="2"/>
  <c r="L273" i="2"/>
  <c r="K273" i="2"/>
  <c r="J273" i="2"/>
  <c r="BD273" i="2" s="1"/>
  <c r="I273" i="2"/>
  <c r="E273" i="2" a="1"/>
  <c r="E273" i="2" s="1"/>
  <c r="D273" i="2" a="1"/>
  <c r="D273" i="2" s="1"/>
  <c r="C273" i="2" a="1"/>
  <c r="C273" i="2" s="1"/>
  <c r="B273" i="2" a="1"/>
  <c r="B273" i="2" s="1"/>
  <c r="CG272" i="2"/>
  <c r="CF272" i="2"/>
  <c r="CE272" i="2"/>
  <c r="CD272" i="2"/>
  <c r="CC272" i="2"/>
  <c r="CB272" i="2"/>
  <c r="CA272" i="2"/>
  <c r="BZ272" i="2"/>
  <c r="BY272" i="2"/>
  <c r="BX272" i="2"/>
  <c r="BW272" i="2"/>
  <c r="BV272" i="2"/>
  <c r="BU272" i="2"/>
  <c r="BT272" i="2"/>
  <c r="BS272" i="2"/>
  <c r="BR272" i="2"/>
  <c r="BQ272" i="2"/>
  <c r="BP272" i="2"/>
  <c r="BO272" i="2"/>
  <c r="BN272" i="2"/>
  <c r="BM272" i="2"/>
  <c r="BL272" i="2"/>
  <c r="BK272" i="2"/>
  <c r="BJ272" i="2"/>
  <c r="BI272" i="2"/>
  <c r="BH272" i="2"/>
  <c r="BG272" i="2"/>
  <c r="BF272" i="2"/>
  <c r="BE272" i="2"/>
  <c r="BD272" i="2"/>
  <c r="BC272" i="2"/>
  <c r="BB272" i="2"/>
  <c r="BA272" i="2"/>
  <c r="AZ272" i="2"/>
  <c r="AY272" i="2"/>
  <c r="AX272" i="2"/>
  <c r="AW272" i="2"/>
  <c r="AV272" i="2"/>
  <c r="AU272" i="2"/>
  <c r="AT272" i="2"/>
  <c r="AS272" i="2"/>
  <c r="AR272" i="2"/>
  <c r="AQ272" i="2"/>
  <c r="AP272" i="2"/>
  <c r="AO272" i="2"/>
  <c r="AN272" i="2"/>
  <c r="AM272" i="2"/>
  <c r="AL272" i="2"/>
  <c r="AK272" i="2"/>
  <c r="AJ272" i="2"/>
  <c r="AI272" i="2"/>
  <c r="AH272" i="2"/>
  <c r="AG272" i="2"/>
  <c r="AF272" i="2"/>
  <c r="AE272" i="2"/>
  <c r="AD272" i="2"/>
  <c r="AC272" i="2"/>
  <c r="AB272" i="2"/>
  <c r="AA272" i="2"/>
  <c r="Z272" i="2"/>
  <c r="Y272" i="2"/>
  <c r="X272" i="2"/>
  <c r="W272" i="2"/>
  <c r="V272" i="2"/>
  <c r="U272" i="2"/>
  <c r="T272" i="2"/>
  <c r="S272" i="2"/>
  <c r="R272" i="2"/>
  <c r="Q272" i="2"/>
  <c r="P272" i="2"/>
  <c r="O272" i="2"/>
  <c r="N272" i="2"/>
  <c r="M272" i="2"/>
  <c r="L272" i="2"/>
  <c r="K272" i="2"/>
  <c r="J272" i="2"/>
  <c r="I272" i="2"/>
  <c r="E272" i="2" a="1"/>
  <c r="E272" i="2" s="1"/>
  <c r="D272" i="2" a="1"/>
  <c r="D272" i="2" s="1"/>
  <c r="C272" i="2" a="1"/>
  <c r="C272" i="2" s="1"/>
  <c r="B272" i="2" a="1"/>
  <c r="B272" i="2"/>
  <c r="CG271" i="2"/>
  <c r="CF271" i="2"/>
  <c r="CE271" i="2"/>
  <c r="CD271" i="2"/>
  <c r="CC271" i="2"/>
  <c r="CB271" i="2"/>
  <c r="CA271" i="2"/>
  <c r="BZ271" i="2"/>
  <c r="BY271" i="2"/>
  <c r="BX271" i="2"/>
  <c r="BW271" i="2"/>
  <c r="BV271" i="2"/>
  <c r="BU271" i="2"/>
  <c r="BT271" i="2"/>
  <c r="BS271" i="2"/>
  <c r="BR271" i="2"/>
  <c r="BQ271" i="2"/>
  <c r="BP271" i="2"/>
  <c r="BO271" i="2"/>
  <c r="BN271" i="2"/>
  <c r="BM271" i="2"/>
  <c r="BL271" i="2"/>
  <c r="BK271" i="2"/>
  <c r="BJ271" i="2"/>
  <c r="BI271" i="2"/>
  <c r="BH271" i="2"/>
  <c r="BG271" i="2"/>
  <c r="BF271" i="2"/>
  <c r="BE271" i="2"/>
  <c r="BD271" i="2"/>
  <c r="BC271" i="2"/>
  <c r="BB271" i="2"/>
  <c r="BA271" i="2"/>
  <c r="AZ271" i="2"/>
  <c r="AY271" i="2"/>
  <c r="AX271" i="2"/>
  <c r="AW271" i="2"/>
  <c r="AV271" i="2"/>
  <c r="AU271" i="2"/>
  <c r="AT271" i="2"/>
  <c r="AS271" i="2"/>
  <c r="AR271" i="2"/>
  <c r="AQ271" i="2"/>
  <c r="AP271" i="2"/>
  <c r="AO271" i="2"/>
  <c r="AN271" i="2"/>
  <c r="AM271" i="2"/>
  <c r="AL271" i="2"/>
  <c r="AK271" i="2"/>
  <c r="AJ271" i="2"/>
  <c r="AI271" i="2"/>
  <c r="AH271" i="2"/>
  <c r="AG271" i="2"/>
  <c r="AF271" i="2"/>
  <c r="AE271" i="2"/>
  <c r="AD271" i="2"/>
  <c r="AC271" i="2"/>
  <c r="AB271" i="2"/>
  <c r="AA271" i="2"/>
  <c r="Z271" i="2"/>
  <c r="Y271" i="2"/>
  <c r="X271" i="2"/>
  <c r="W271" i="2"/>
  <c r="V271" i="2"/>
  <c r="U271" i="2"/>
  <c r="T271" i="2"/>
  <c r="S271" i="2"/>
  <c r="R271" i="2"/>
  <c r="Q271" i="2"/>
  <c r="P271" i="2"/>
  <c r="O271" i="2"/>
  <c r="N271" i="2"/>
  <c r="M271" i="2"/>
  <c r="L271" i="2"/>
  <c r="K271" i="2"/>
  <c r="J271" i="2"/>
  <c r="I271" i="2"/>
  <c r="E271" i="2" a="1"/>
  <c r="E271" i="2" s="1"/>
  <c r="D271" i="2" a="1"/>
  <c r="D271" i="2" s="1"/>
  <c r="C271" i="2" a="1"/>
  <c r="C271" i="2" s="1"/>
  <c r="B271" i="2" a="1"/>
  <c r="B271" i="2" s="1"/>
  <c r="CG270" i="2"/>
  <c r="CF270" i="2"/>
  <c r="CE270" i="2"/>
  <c r="CD270" i="2"/>
  <c r="CC270" i="2"/>
  <c r="CB270" i="2"/>
  <c r="CA270" i="2"/>
  <c r="BZ270" i="2"/>
  <c r="BY270" i="2"/>
  <c r="BX270" i="2"/>
  <c r="BW270" i="2"/>
  <c r="BV270" i="2"/>
  <c r="BU270" i="2"/>
  <c r="BT270" i="2"/>
  <c r="BS270" i="2"/>
  <c r="BR270" i="2"/>
  <c r="BQ270" i="2"/>
  <c r="BP270" i="2"/>
  <c r="BO270" i="2"/>
  <c r="BN270" i="2"/>
  <c r="BM270" i="2"/>
  <c r="BL270" i="2"/>
  <c r="BK270" i="2"/>
  <c r="BJ270" i="2"/>
  <c r="BI270" i="2"/>
  <c r="BH270" i="2"/>
  <c r="BG270" i="2"/>
  <c r="BF270" i="2"/>
  <c r="BE270" i="2"/>
  <c r="BC270" i="2"/>
  <c r="BB270" i="2"/>
  <c r="BA270" i="2"/>
  <c r="AZ270" i="2"/>
  <c r="AY270" i="2"/>
  <c r="AX270" i="2"/>
  <c r="AW270" i="2"/>
  <c r="AV270" i="2"/>
  <c r="AU270" i="2"/>
  <c r="AT270" i="2"/>
  <c r="AS270" i="2"/>
  <c r="AR270" i="2"/>
  <c r="AQ270" i="2"/>
  <c r="AP270" i="2"/>
  <c r="AO270" i="2"/>
  <c r="AN270" i="2"/>
  <c r="AM270" i="2"/>
  <c r="AL270" i="2"/>
  <c r="AK270" i="2"/>
  <c r="AJ270" i="2"/>
  <c r="AI270" i="2"/>
  <c r="AH270" i="2"/>
  <c r="AG270" i="2"/>
  <c r="AF270" i="2"/>
  <c r="AE270" i="2"/>
  <c r="AD270" i="2"/>
  <c r="AC270" i="2"/>
  <c r="AB270" i="2"/>
  <c r="AA270" i="2"/>
  <c r="Z270" i="2"/>
  <c r="Y270" i="2"/>
  <c r="X270" i="2"/>
  <c r="W270" i="2"/>
  <c r="V270" i="2"/>
  <c r="U270" i="2"/>
  <c r="T270" i="2"/>
  <c r="S270" i="2"/>
  <c r="R270" i="2"/>
  <c r="Q270" i="2"/>
  <c r="P270" i="2"/>
  <c r="O270" i="2"/>
  <c r="N270" i="2"/>
  <c r="M270" i="2"/>
  <c r="L270" i="2"/>
  <c r="K270" i="2"/>
  <c r="J270" i="2"/>
  <c r="BD270" i="2" s="1"/>
  <c r="I270" i="2"/>
  <c r="E270" i="2" a="1"/>
  <c r="E270" i="2" s="1"/>
  <c r="D270" i="2" a="1"/>
  <c r="D270" i="2" s="1"/>
  <c r="C270" i="2" a="1"/>
  <c r="C270" i="2" s="1"/>
  <c r="B270" i="2" a="1"/>
  <c r="B270" i="2" s="1"/>
  <c r="CG269" i="2"/>
  <c r="CF269" i="2"/>
  <c r="CE269" i="2"/>
  <c r="CD269" i="2"/>
  <c r="CC269" i="2"/>
  <c r="CB269" i="2"/>
  <c r="CA269" i="2"/>
  <c r="BZ269" i="2"/>
  <c r="BY269" i="2"/>
  <c r="BX269" i="2"/>
  <c r="BW269" i="2"/>
  <c r="BV269" i="2"/>
  <c r="BU269" i="2"/>
  <c r="BT269" i="2"/>
  <c r="BS269" i="2"/>
  <c r="BR269" i="2"/>
  <c r="BQ269" i="2"/>
  <c r="BP269" i="2"/>
  <c r="BO269" i="2"/>
  <c r="BN269" i="2"/>
  <c r="BM269" i="2"/>
  <c r="BL269" i="2"/>
  <c r="BK269" i="2"/>
  <c r="BJ269" i="2"/>
  <c r="BI269" i="2"/>
  <c r="BH269" i="2"/>
  <c r="BG269" i="2"/>
  <c r="BF269" i="2"/>
  <c r="BE269" i="2"/>
  <c r="BC269" i="2"/>
  <c r="BB269" i="2"/>
  <c r="BA269" i="2"/>
  <c r="AZ269" i="2"/>
  <c r="AY269" i="2"/>
  <c r="AX269" i="2"/>
  <c r="AW269" i="2"/>
  <c r="AV269" i="2"/>
  <c r="AU269" i="2"/>
  <c r="AT269" i="2"/>
  <c r="AS269" i="2"/>
  <c r="AR269" i="2"/>
  <c r="AQ269" i="2"/>
  <c r="AP269" i="2"/>
  <c r="AO269" i="2"/>
  <c r="AN269" i="2"/>
  <c r="AM269" i="2"/>
  <c r="AL269" i="2"/>
  <c r="AK269" i="2"/>
  <c r="AJ269" i="2"/>
  <c r="AI269" i="2"/>
  <c r="AH269" i="2"/>
  <c r="AG269" i="2"/>
  <c r="AF269" i="2"/>
  <c r="AE269" i="2"/>
  <c r="AD269" i="2"/>
  <c r="AC269" i="2"/>
  <c r="AB269" i="2"/>
  <c r="AA269" i="2"/>
  <c r="Z269" i="2"/>
  <c r="Y269" i="2"/>
  <c r="X269" i="2"/>
  <c r="W269" i="2"/>
  <c r="V269" i="2"/>
  <c r="U269" i="2"/>
  <c r="T269" i="2"/>
  <c r="S269" i="2"/>
  <c r="R269" i="2"/>
  <c r="Q269" i="2"/>
  <c r="P269" i="2"/>
  <c r="O269" i="2"/>
  <c r="N269" i="2"/>
  <c r="M269" i="2"/>
  <c r="L269" i="2"/>
  <c r="K269" i="2"/>
  <c r="J269" i="2"/>
  <c r="BD269" i="2" s="1"/>
  <c r="I269" i="2"/>
  <c r="E269" i="2" a="1"/>
  <c r="E269" i="2" s="1"/>
  <c r="D269" i="2" a="1"/>
  <c r="D269" i="2" s="1"/>
  <c r="C269" i="2" a="1"/>
  <c r="C269" i="2" s="1"/>
  <c r="B269" i="2" a="1"/>
  <c r="B269" i="2" s="1"/>
  <c r="CG268" i="2"/>
  <c r="CF268" i="2"/>
  <c r="CE268" i="2"/>
  <c r="CD268" i="2"/>
  <c r="CC268" i="2"/>
  <c r="CB268" i="2"/>
  <c r="CA268" i="2"/>
  <c r="BZ268" i="2"/>
  <c r="BY268" i="2"/>
  <c r="BX268" i="2"/>
  <c r="BW268" i="2"/>
  <c r="BV268" i="2"/>
  <c r="BU268" i="2"/>
  <c r="BT268" i="2"/>
  <c r="BS268" i="2"/>
  <c r="BR268" i="2"/>
  <c r="BQ268" i="2"/>
  <c r="BP268" i="2"/>
  <c r="BO268" i="2"/>
  <c r="BN268" i="2"/>
  <c r="BM268" i="2"/>
  <c r="BL268" i="2"/>
  <c r="BK268" i="2"/>
  <c r="BJ268" i="2"/>
  <c r="BI268" i="2"/>
  <c r="BH268" i="2"/>
  <c r="BG268" i="2"/>
  <c r="BF268" i="2"/>
  <c r="BE268" i="2"/>
  <c r="BD268" i="2"/>
  <c r="BC268" i="2"/>
  <c r="BB268" i="2"/>
  <c r="BA268" i="2"/>
  <c r="AZ268" i="2"/>
  <c r="AY268" i="2"/>
  <c r="AX268" i="2"/>
  <c r="AW268" i="2"/>
  <c r="AV268" i="2"/>
  <c r="AU268" i="2"/>
  <c r="AT268" i="2"/>
  <c r="AS268" i="2"/>
  <c r="AR268" i="2"/>
  <c r="AQ268" i="2"/>
  <c r="AP268" i="2"/>
  <c r="AO268" i="2"/>
  <c r="AN268" i="2"/>
  <c r="AM268" i="2"/>
  <c r="AL268" i="2"/>
  <c r="AK268" i="2"/>
  <c r="AJ268" i="2"/>
  <c r="AI268" i="2"/>
  <c r="AH268" i="2"/>
  <c r="AG268" i="2"/>
  <c r="AF268" i="2"/>
  <c r="AE268" i="2"/>
  <c r="AD268" i="2"/>
  <c r="AC268" i="2"/>
  <c r="AB268" i="2"/>
  <c r="AA268" i="2"/>
  <c r="Z268" i="2"/>
  <c r="Y268" i="2"/>
  <c r="X268" i="2"/>
  <c r="W268" i="2"/>
  <c r="V268" i="2"/>
  <c r="U268" i="2"/>
  <c r="T268" i="2"/>
  <c r="S268" i="2"/>
  <c r="R268" i="2"/>
  <c r="Q268" i="2"/>
  <c r="P268" i="2"/>
  <c r="O268" i="2"/>
  <c r="N268" i="2"/>
  <c r="M268" i="2"/>
  <c r="L268" i="2"/>
  <c r="K268" i="2"/>
  <c r="J268" i="2"/>
  <c r="I268" i="2"/>
  <c r="E268" i="2" a="1"/>
  <c r="E268" i="2" s="1"/>
  <c r="D268" i="2" a="1"/>
  <c r="D268" i="2" s="1"/>
  <c r="C268" i="2" a="1"/>
  <c r="C268" i="2" s="1"/>
  <c r="B268" i="2" a="1"/>
  <c r="B268" i="2" s="1"/>
  <c r="CG267" i="2"/>
  <c r="CF267" i="2"/>
  <c r="CE267" i="2"/>
  <c r="CD267" i="2"/>
  <c r="CC267" i="2"/>
  <c r="CB267" i="2"/>
  <c r="CA267" i="2"/>
  <c r="BZ267" i="2"/>
  <c r="BY267" i="2"/>
  <c r="BX267" i="2"/>
  <c r="BW267" i="2"/>
  <c r="BV267" i="2"/>
  <c r="BU267" i="2"/>
  <c r="BT267" i="2"/>
  <c r="BS267" i="2"/>
  <c r="BR267" i="2"/>
  <c r="BQ267" i="2"/>
  <c r="BP267" i="2"/>
  <c r="BO267" i="2"/>
  <c r="BN267" i="2"/>
  <c r="BM267" i="2"/>
  <c r="BL267" i="2"/>
  <c r="BK267" i="2"/>
  <c r="BJ267" i="2"/>
  <c r="BI267" i="2"/>
  <c r="BH267" i="2"/>
  <c r="BG267" i="2"/>
  <c r="BF267" i="2"/>
  <c r="BE267" i="2"/>
  <c r="BD267" i="2"/>
  <c r="BC267" i="2"/>
  <c r="BB267" i="2"/>
  <c r="BA267" i="2"/>
  <c r="AZ267" i="2"/>
  <c r="AY267" i="2"/>
  <c r="AX267" i="2"/>
  <c r="AW267" i="2"/>
  <c r="AV267" i="2"/>
  <c r="AU267" i="2"/>
  <c r="AT267" i="2"/>
  <c r="AS267" i="2"/>
  <c r="AR267" i="2"/>
  <c r="AQ267" i="2"/>
  <c r="AP267" i="2"/>
  <c r="AO267" i="2"/>
  <c r="AN267" i="2"/>
  <c r="AM267" i="2"/>
  <c r="AL267" i="2"/>
  <c r="AK267" i="2"/>
  <c r="AJ267" i="2"/>
  <c r="AI267" i="2"/>
  <c r="AH267" i="2"/>
  <c r="AG267" i="2"/>
  <c r="AF267" i="2"/>
  <c r="AE267" i="2"/>
  <c r="AD267" i="2"/>
  <c r="AC267" i="2"/>
  <c r="AB267" i="2"/>
  <c r="AA267" i="2"/>
  <c r="Z267" i="2"/>
  <c r="Y267" i="2"/>
  <c r="X267" i="2"/>
  <c r="W267" i="2"/>
  <c r="V267" i="2"/>
  <c r="U267" i="2"/>
  <c r="T267" i="2"/>
  <c r="S267" i="2"/>
  <c r="R267" i="2"/>
  <c r="Q267" i="2"/>
  <c r="P267" i="2"/>
  <c r="O267" i="2"/>
  <c r="N267" i="2"/>
  <c r="M267" i="2"/>
  <c r="L267" i="2"/>
  <c r="K267" i="2"/>
  <c r="J267" i="2"/>
  <c r="I267" i="2"/>
  <c r="E267" i="2" a="1"/>
  <c r="E267" i="2" s="1"/>
  <c r="D267" i="2" a="1"/>
  <c r="D267" i="2" s="1"/>
  <c r="C267" i="2" a="1"/>
  <c r="C267" i="2" s="1"/>
  <c r="B267" i="2" a="1"/>
  <c r="B267" i="2" s="1"/>
  <c r="CG266" i="2"/>
  <c r="CF266" i="2"/>
  <c r="CE266" i="2"/>
  <c r="CD266" i="2"/>
  <c r="CC266" i="2"/>
  <c r="CB266" i="2"/>
  <c r="CA266" i="2"/>
  <c r="BZ266" i="2"/>
  <c r="BY266" i="2"/>
  <c r="BX266" i="2"/>
  <c r="BW266" i="2"/>
  <c r="BV266" i="2"/>
  <c r="BU266" i="2"/>
  <c r="BT266" i="2"/>
  <c r="BS266" i="2"/>
  <c r="BR266" i="2"/>
  <c r="BQ266" i="2"/>
  <c r="BP266" i="2"/>
  <c r="BO266" i="2"/>
  <c r="BN266" i="2"/>
  <c r="BM266" i="2"/>
  <c r="BL266" i="2"/>
  <c r="BK266" i="2"/>
  <c r="BJ266" i="2"/>
  <c r="BI266" i="2"/>
  <c r="BH266" i="2"/>
  <c r="BG266" i="2"/>
  <c r="BF266" i="2"/>
  <c r="BE266" i="2"/>
  <c r="BC266" i="2"/>
  <c r="BB266" i="2"/>
  <c r="BA266" i="2"/>
  <c r="AZ266" i="2"/>
  <c r="AY266" i="2"/>
  <c r="AX266" i="2"/>
  <c r="AW266" i="2"/>
  <c r="AV266" i="2"/>
  <c r="AU266" i="2"/>
  <c r="AT266" i="2"/>
  <c r="AS266" i="2"/>
  <c r="AR266" i="2"/>
  <c r="AQ266" i="2"/>
  <c r="AP266" i="2"/>
  <c r="AO266" i="2"/>
  <c r="AN266" i="2"/>
  <c r="AM266" i="2"/>
  <c r="AL266" i="2"/>
  <c r="AK266" i="2"/>
  <c r="AJ266" i="2"/>
  <c r="AI266" i="2"/>
  <c r="AH266" i="2"/>
  <c r="AG266" i="2"/>
  <c r="AF266" i="2"/>
  <c r="AE266" i="2"/>
  <c r="AD266" i="2"/>
  <c r="AC266" i="2"/>
  <c r="AB266" i="2"/>
  <c r="AA266" i="2"/>
  <c r="Z266" i="2"/>
  <c r="Y266" i="2"/>
  <c r="X266" i="2"/>
  <c r="W266" i="2"/>
  <c r="V266" i="2"/>
  <c r="U266" i="2"/>
  <c r="T266" i="2"/>
  <c r="S266" i="2"/>
  <c r="R266" i="2"/>
  <c r="Q266" i="2"/>
  <c r="P266" i="2"/>
  <c r="O266" i="2"/>
  <c r="N266" i="2"/>
  <c r="M266" i="2"/>
  <c r="L266" i="2"/>
  <c r="K266" i="2"/>
  <c r="J266" i="2"/>
  <c r="BD266" i="2" s="1"/>
  <c r="I266" i="2"/>
  <c r="E266" i="2" a="1"/>
  <c r="E266" i="2" s="1"/>
  <c r="D266" i="2" a="1"/>
  <c r="D266" i="2" s="1"/>
  <c r="C266" i="2" a="1"/>
  <c r="C266" i="2" s="1"/>
  <c r="B266" i="2" a="1"/>
  <c r="B266" i="2" s="1"/>
  <c r="CG265" i="2"/>
  <c r="CF265" i="2"/>
  <c r="CE265" i="2"/>
  <c r="CD265" i="2"/>
  <c r="CC265" i="2"/>
  <c r="CB265" i="2"/>
  <c r="CA265" i="2"/>
  <c r="BZ265" i="2"/>
  <c r="BY265" i="2"/>
  <c r="BX265" i="2"/>
  <c r="BW265" i="2"/>
  <c r="BV265" i="2"/>
  <c r="BU265" i="2"/>
  <c r="BT265" i="2"/>
  <c r="BS265" i="2"/>
  <c r="BR265" i="2"/>
  <c r="BQ265" i="2"/>
  <c r="BP265" i="2"/>
  <c r="BO265" i="2"/>
  <c r="BN265" i="2"/>
  <c r="BM265" i="2"/>
  <c r="BL265" i="2"/>
  <c r="BK265" i="2"/>
  <c r="BJ265" i="2"/>
  <c r="BI265" i="2"/>
  <c r="BH265" i="2"/>
  <c r="BG265" i="2"/>
  <c r="BF265" i="2"/>
  <c r="BE265" i="2"/>
  <c r="BC265" i="2"/>
  <c r="BB265" i="2"/>
  <c r="BA265" i="2"/>
  <c r="AZ265" i="2"/>
  <c r="AY265" i="2"/>
  <c r="AX265" i="2"/>
  <c r="AW265" i="2"/>
  <c r="AV265" i="2"/>
  <c r="AU265" i="2"/>
  <c r="AT265" i="2"/>
  <c r="AS265" i="2"/>
  <c r="AR265" i="2"/>
  <c r="AQ265" i="2"/>
  <c r="AP265" i="2"/>
  <c r="AO265" i="2"/>
  <c r="AN265" i="2"/>
  <c r="AM265" i="2"/>
  <c r="AL265" i="2"/>
  <c r="AK265" i="2"/>
  <c r="AJ265" i="2"/>
  <c r="AI265" i="2"/>
  <c r="AH265" i="2"/>
  <c r="AG265" i="2"/>
  <c r="AF265" i="2"/>
  <c r="AE265" i="2"/>
  <c r="AD265" i="2"/>
  <c r="AC265" i="2"/>
  <c r="AB265" i="2"/>
  <c r="AA265" i="2"/>
  <c r="Z265" i="2"/>
  <c r="Y265" i="2"/>
  <c r="X265" i="2"/>
  <c r="W265" i="2"/>
  <c r="V265" i="2"/>
  <c r="U265" i="2"/>
  <c r="T265" i="2"/>
  <c r="S265" i="2"/>
  <c r="R265" i="2"/>
  <c r="Q265" i="2"/>
  <c r="P265" i="2"/>
  <c r="O265" i="2"/>
  <c r="N265" i="2"/>
  <c r="M265" i="2"/>
  <c r="L265" i="2"/>
  <c r="K265" i="2"/>
  <c r="J265" i="2"/>
  <c r="BD265" i="2" s="1"/>
  <c r="I265" i="2"/>
  <c r="E265" i="2" a="1"/>
  <c r="E265" i="2" s="1"/>
  <c r="D265" i="2" a="1"/>
  <c r="D265" i="2" s="1"/>
  <c r="C265" i="2" a="1"/>
  <c r="C265" i="2" s="1"/>
  <c r="B265" i="2" a="1"/>
  <c r="B265" i="2" s="1"/>
  <c r="CG264" i="2"/>
  <c r="CF264" i="2"/>
  <c r="CE264" i="2"/>
  <c r="CD264" i="2"/>
  <c r="CC264" i="2"/>
  <c r="CB264" i="2"/>
  <c r="CA264" i="2"/>
  <c r="BZ264" i="2"/>
  <c r="BY264" i="2"/>
  <c r="BX264" i="2"/>
  <c r="BW264" i="2"/>
  <c r="BV264" i="2"/>
  <c r="BU264" i="2"/>
  <c r="BT264" i="2"/>
  <c r="BS264" i="2"/>
  <c r="BR264" i="2"/>
  <c r="BQ264" i="2"/>
  <c r="BP264" i="2"/>
  <c r="BO264" i="2"/>
  <c r="BN264" i="2"/>
  <c r="BM264" i="2"/>
  <c r="BL264" i="2"/>
  <c r="BK264" i="2"/>
  <c r="BJ264" i="2"/>
  <c r="BI264" i="2"/>
  <c r="BH264" i="2"/>
  <c r="BG264" i="2"/>
  <c r="BF264" i="2"/>
  <c r="BE264" i="2"/>
  <c r="BD264" i="2"/>
  <c r="BC264" i="2"/>
  <c r="BB264" i="2"/>
  <c r="BA264" i="2"/>
  <c r="AZ264" i="2"/>
  <c r="AY264" i="2"/>
  <c r="AX264" i="2"/>
  <c r="AW264" i="2"/>
  <c r="AV264" i="2"/>
  <c r="AU264" i="2"/>
  <c r="AT264" i="2"/>
  <c r="AS264" i="2"/>
  <c r="AR264" i="2"/>
  <c r="AQ264" i="2"/>
  <c r="AP264" i="2"/>
  <c r="AO264" i="2"/>
  <c r="AN264" i="2"/>
  <c r="AM264" i="2"/>
  <c r="AL264" i="2"/>
  <c r="AK264" i="2"/>
  <c r="AJ264" i="2"/>
  <c r="AI264" i="2"/>
  <c r="AH264" i="2"/>
  <c r="AG264" i="2"/>
  <c r="AF264" i="2"/>
  <c r="AE264" i="2"/>
  <c r="AD264" i="2"/>
  <c r="AC264" i="2"/>
  <c r="AB264" i="2"/>
  <c r="AA264" i="2"/>
  <c r="Z264" i="2"/>
  <c r="Y264" i="2"/>
  <c r="X264" i="2"/>
  <c r="W264" i="2"/>
  <c r="V264" i="2"/>
  <c r="U264" i="2"/>
  <c r="T264" i="2"/>
  <c r="S264" i="2"/>
  <c r="R264" i="2"/>
  <c r="Q264" i="2"/>
  <c r="P264" i="2"/>
  <c r="O264" i="2"/>
  <c r="N264" i="2"/>
  <c r="M264" i="2"/>
  <c r="L264" i="2"/>
  <c r="K264" i="2"/>
  <c r="J264" i="2"/>
  <c r="I264" i="2"/>
  <c r="E264" i="2" a="1"/>
  <c r="E264" i="2" s="1"/>
  <c r="D264" i="2" a="1"/>
  <c r="D264" i="2" s="1"/>
  <c r="C264" i="2" a="1"/>
  <c r="C264" i="2" s="1"/>
  <c r="B264" i="2" a="1"/>
  <c r="B264" i="2" s="1"/>
  <c r="CG263" i="2"/>
  <c r="CF263" i="2"/>
  <c r="CE263" i="2"/>
  <c r="CD263" i="2"/>
  <c r="CC263" i="2"/>
  <c r="CB263" i="2"/>
  <c r="CA263" i="2"/>
  <c r="BZ263" i="2"/>
  <c r="BY263" i="2"/>
  <c r="BX263" i="2"/>
  <c r="BW263" i="2"/>
  <c r="BV263" i="2"/>
  <c r="BU263" i="2"/>
  <c r="BT263" i="2"/>
  <c r="BS263" i="2"/>
  <c r="BR263" i="2"/>
  <c r="BQ263" i="2"/>
  <c r="BP263" i="2"/>
  <c r="BO263" i="2"/>
  <c r="BN263" i="2"/>
  <c r="BM263" i="2"/>
  <c r="BL263" i="2"/>
  <c r="BK263" i="2"/>
  <c r="BJ263" i="2"/>
  <c r="BI263" i="2"/>
  <c r="BH263" i="2"/>
  <c r="BG263" i="2"/>
  <c r="BF263" i="2"/>
  <c r="BE263" i="2"/>
  <c r="BD263" i="2"/>
  <c r="BC263" i="2"/>
  <c r="BB263" i="2"/>
  <c r="BA263" i="2"/>
  <c r="AZ263" i="2"/>
  <c r="AY263" i="2"/>
  <c r="AX263" i="2"/>
  <c r="AW263" i="2"/>
  <c r="AV263" i="2"/>
  <c r="AU263" i="2"/>
  <c r="AT263" i="2"/>
  <c r="AS263" i="2"/>
  <c r="AR263" i="2"/>
  <c r="AQ263" i="2"/>
  <c r="AP263" i="2"/>
  <c r="AO263" i="2"/>
  <c r="AN263" i="2"/>
  <c r="AM263" i="2"/>
  <c r="AL263" i="2"/>
  <c r="AK263" i="2"/>
  <c r="AJ263" i="2"/>
  <c r="AI263" i="2"/>
  <c r="AH263" i="2"/>
  <c r="AG263" i="2"/>
  <c r="AF263" i="2"/>
  <c r="AE263" i="2"/>
  <c r="AD263" i="2"/>
  <c r="AC263" i="2"/>
  <c r="AB263" i="2"/>
  <c r="AA263" i="2"/>
  <c r="Z263" i="2"/>
  <c r="Y263" i="2"/>
  <c r="X263" i="2"/>
  <c r="W263" i="2"/>
  <c r="V263" i="2"/>
  <c r="U263" i="2"/>
  <c r="T263" i="2"/>
  <c r="S263" i="2"/>
  <c r="R263" i="2"/>
  <c r="Q263" i="2"/>
  <c r="P263" i="2"/>
  <c r="O263" i="2"/>
  <c r="N263" i="2"/>
  <c r="M263" i="2"/>
  <c r="L263" i="2"/>
  <c r="K263" i="2"/>
  <c r="J263" i="2"/>
  <c r="I263" i="2"/>
  <c r="E263" i="2" a="1"/>
  <c r="E263" i="2" s="1"/>
  <c r="D263" i="2" a="1"/>
  <c r="D263" i="2" s="1"/>
  <c r="C263" i="2" a="1"/>
  <c r="C263" i="2" s="1"/>
  <c r="B263" i="2" a="1"/>
  <c r="B263" i="2" s="1"/>
  <c r="CG262" i="2"/>
  <c r="CF262" i="2"/>
  <c r="CE262" i="2"/>
  <c r="CD262" i="2"/>
  <c r="CC262" i="2"/>
  <c r="CB262" i="2"/>
  <c r="CA262" i="2"/>
  <c r="BZ262" i="2"/>
  <c r="BY262" i="2"/>
  <c r="BX262" i="2"/>
  <c r="BW262" i="2"/>
  <c r="BV262" i="2"/>
  <c r="BU262" i="2"/>
  <c r="BT262" i="2"/>
  <c r="BS262" i="2"/>
  <c r="BR262" i="2"/>
  <c r="BQ262" i="2"/>
  <c r="BP262" i="2"/>
  <c r="BO262" i="2"/>
  <c r="BN262" i="2"/>
  <c r="BM262" i="2"/>
  <c r="BL262" i="2"/>
  <c r="BK262" i="2"/>
  <c r="BJ262" i="2"/>
  <c r="BI262" i="2"/>
  <c r="BH262" i="2"/>
  <c r="BG262" i="2"/>
  <c r="BF262" i="2"/>
  <c r="BE262" i="2"/>
  <c r="BC262" i="2"/>
  <c r="BB262" i="2"/>
  <c r="BA262" i="2"/>
  <c r="AZ262" i="2"/>
  <c r="AY262" i="2"/>
  <c r="AX262" i="2"/>
  <c r="AW262" i="2"/>
  <c r="AV262" i="2"/>
  <c r="AU262" i="2"/>
  <c r="AT262" i="2"/>
  <c r="AS262" i="2"/>
  <c r="AR262" i="2"/>
  <c r="AQ262" i="2"/>
  <c r="AP262" i="2"/>
  <c r="AO262" i="2"/>
  <c r="AN262" i="2"/>
  <c r="AM262" i="2"/>
  <c r="AL262" i="2"/>
  <c r="AK262" i="2"/>
  <c r="AJ262" i="2"/>
  <c r="AI262" i="2"/>
  <c r="AH262" i="2"/>
  <c r="AG262" i="2"/>
  <c r="AF262" i="2"/>
  <c r="AE262" i="2"/>
  <c r="AD262" i="2"/>
  <c r="AC262" i="2"/>
  <c r="AB262" i="2"/>
  <c r="AA262" i="2"/>
  <c r="Z262" i="2"/>
  <c r="Y262" i="2"/>
  <c r="X262" i="2"/>
  <c r="W262" i="2"/>
  <c r="V262" i="2"/>
  <c r="U262" i="2"/>
  <c r="T262" i="2"/>
  <c r="S262" i="2"/>
  <c r="R262" i="2"/>
  <c r="Q262" i="2"/>
  <c r="P262" i="2"/>
  <c r="O262" i="2"/>
  <c r="N262" i="2"/>
  <c r="M262" i="2"/>
  <c r="L262" i="2"/>
  <c r="K262" i="2"/>
  <c r="J262" i="2"/>
  <c r="BD262" i="2" s="1"/>
  <c r="I262" i="2"/>
  <c r="E262" i="2" a="1"/>
  <c r="E262" i="2" s="1"/>
  <c r="D262" i="2" a="1"/>
  <c r="D262" i="2" s="1"/>
  <c r="C262" i="2" a="1"/>
  <c r="C262" i="2" s="1"/>
  <c r="B262" i="2" a="1"/>
  <c r="B262" i="2" s="1"/>
  <c r="CG261" i="2"/>
  <c r="CF261" i="2"/>
  <c r="CE261" i="2"/>
  <c r="CD261" i="2"/>
  <c r="CC261" i="2"/>
  <c r="CB261" i="2"/>
  <c r="CA261" i="2"/>
  <c r="BZ261" i="2"/>
  <c r="BY261" i="2"/>
  <c r="BX261" i="2"/>
  <c r="BW261" i="2"/>
  <c r="BV261" i="2"/>
  <c r="BU261" i="2"/>
  <c r="BT261" i="2"/>
  <c r="BS261" i="2"/>
  <c r="BR261" i="2"/>
  <c r="BQ261" i="2"/>
  <c r="BP261" i="2"/>
  <c r="BO261" i="2"/>
  <c r="BN261" i="2"/>
  <c r="BM261" i="2"/>
  <c r="BL261" i="2"/>
  <c r="BK261" i="2"/>
  <c r="BJ261" i="2"/>
  <c r="BI261" i="2"/>
  <c r="BH261" i="2"/>
  <c r="BG261" i="2"/>
  <c r="BF261" i="2"/>
  <c r="BE261" i="2"/>
  <c r="BC261" i="2"/>
  <c r="BB261" i="2"/>
  <c r="BA261" i="2"/>
  <c r="AZ261" i="2"/>
  <c r="AY261" i="2"/>
  <c r="AX261" i="2"/>
  <c r="AW261" i="2"/>
  <c r="AV261" i="2"/>
  <c r="AU261" i="2"/>
  <c r="AT261" i="2"/>
  <c r="AS261" i="2"/>
  <c r="AR261" i="2"/>
  <c r="AQ261" i="2"/>
  <c r="AP261" i="2"/>
  <c r="AO261" i="2"/>
  <c r="AN261" i="2"/>
  <c r="AM261" i="2"/>
  <c r="AL261" i="2"/>
  <c r="AK261" i="2"/>
  <c r="AJ261" i="2"/>
  <c r="AI261" i="2"/>
  <c r="AH261" i="2"/>
  <c r="AG261" i="2"/>
  <c r="AF261" i="2"/>
  <c r="AE261" i="2"/>
  <c r="AD261" i="2"/>
  <c r="AC261" i="2"/>
  <c r="AB261" i="2"/>
  <c r="AA261" i="2"/>
  <c r="Z261" i="2"/>
  <c r="Y261" i="2"/>
  <c r="X261" i="2"/>
  <c r="W261" i="2"/>
  <c r="V261" i="2"/>
  <c r="U261" i="2"/>
  <c r="T261" i="2"/>
  <c r="S261" i="2"/>
  <c r="R261" i="2"/>
  <c r="Q261" i="2"/>
  <c r="P261" i="2"/>
  <c r="O261" i="2"/>
  <c r="N261" i="2"/>
  <c r="M261" i="2"/>
  <c r="L261" i="2"/>
  <c r="K261" i="2"/>
  <c r="J261" i="2"/>
  <c r="BD261" i="2" s="1"/>
  <c r="I261" i="2"/>
  <c r="E261" i="2" a="1"/>
  <c r="E261" i="2" s="1"/>
  <c r="D261" i="2" a="1"/>
  <c r="D261" i="2" s="1"/>
  <c r="C261" i="2" a="1"/>
  <c r="C261" i="2" s="1"/>
  <c r="B261" i="2" a="1"/>
  <c r="B261" i="2" s="1"/>
  <c r="CG260" i="2"/>
  <c r="CF260" i="2"/>
  <c r="CE260" i="2"/>
  <c r="CD260" i="2"/>
  <c r="CC260" i="2"/>
  <c r="CB260" i="2"/>
  <c r="CA260" i="2"/>
  <c r="BZ260" i="2"/>
  <c r="BY260" i="2"/>
  <c r="BX260" i="2"/>
  <c r="BW260" i="2"/>
  <c r="BV260" i="2"/>
  <c r="BU260" i="2"/>
  <c r="BT260" i="2"/>
  <c r="BS260" i="2"/>
  <c r="BR260" i="2"/>
  <c r="BQ260" i="2"/>
  <c r="BP260" i="2"/>
  <c r="BO260" i="2"/>
  <c r="BN260" i="2"/>
  <c r="BM260" i="2"/>
  <c r="BL260" i="2"/>
  <c r="BK260" i="2"/>
  <c r="BJ260" i="2"/>
  <c r="BI260" i="2"/>
  <c r="BH260" i="2"/>
  <c r="BG260" i="2"/>
  <c r="BF260" i="2"/>
  <c r="BE260" i="2"/>
  <c r="BD260" i="2"/>
  <c r="BC260" i="2"/>
  <c r="BB260" i="2"/>
  <c r="BA260" i="2"/>
  <c r="AZ260" i="2"/>
  <c r="AY260" i="2"/>
  <c r="AX260" i="2"/>
  <c r="AW260" i="2"/>
  <c r="AV260" i="2"/>
  <c r="AU260" i="2"/>
  <c r="AT260" i="2"/>
  <c r="AS260" i="2"/>
  <c r="AR260" i="2"/>
  <c r="AQ260" i="2"/>
  <c r="AP260" i="2"/>
  <c r="AO260" i="2"/>
  <c r="AN260" i="2"/>
  <c r="AM260" i="2"/>
  <c r="AL260" i="2"/>
  <c r="AK260" i="2"/>
  <c r="AJ260" i="2"/>
  <c r="AI260" i="2"/>
  <c r="AH260" i="2"/>
  <c r="AG260" i="2"/>
  <c r="AF260" i="2"/>
  <c r="AE260" i="2"/>
  <c r="AD260" i="2"/>
  <c r="AC260" i="2"/>
  <c r="AB260" i="2"/>
  <c r="AA260" i="2"/>
  <c r="Z260" i="2"/>
  <c r="Y260" i="2"/>
  <c r="X260" i="2"/>
  <c r="W260" i="2"/>
  <c r="V260" i="2"/>
  <c r="U260" i="2"/>
  <c r="T260" i="2"/>
  <c r="S260" i="2"/>
  <c r="R260" i="2"/>
  <c r="Q260" i="2"/>
  <c r="P260" i="2"/>
  <c r="O260" i="2"/>
  <c r="N260" i="2"/>
  <c r="M260" i="2"/>
  <c r="L260" i="2"/>
  <c r="K260" i="2"/>
  <c r="J260" i="2"/>
  <c r="I260" i="2"/>
  <c r="E260" i="2" a="1"/>
  <c r="E260" i="2" s="1"/>
  <c r="D260" i="2" a="1"/>
  <c r="D260" i="2" s="1"/>
  <c r="C260" i="2" a="1"/>
  <c r="C260" i="2" s="1"/>
  <c r="B260" i="2" a="1"/>
  <c r="B260" i="2" s="1"/>
  <c r="CG259" i="2"/>
  <c r="CF259" i="2"/>
  <c r="CE259" i="2"/>
  <c r="CD259" i="2"/>
  <c r="CC259" i="2"/>
  <c r="CB259" i="2"/>
  <c r="CA259" i="2"/>
  <c r="BZ259" i="2"/>
  <c r="BY259" i="2"/>
  <c r="BX259" i="2"/>
  <c r="BW259" i="2"/>
  <c r="BV259" i="2"/>
  <c r="BU259" i="2"/>
  <c r="BT259" i="2"/>
  <c r="BS259" i="2"/>
  <c r="BR259" i="2"/>
  <c r="BQ259" i="2"/>
  <c r="BP259" i="2"/>
  <c r="BO259" i="2"/>
  <c r="BN259" i="2"/>
  <c r="BM259" i="2"/>
  <c r="BL259" i="2"/>
  <c r="BK259" i="2"/>
  <c r="BJ259" i="2"/>
  <c r="BI259" i="2"/>
  <c r="BH259" i="2"/>
  <c r="BG259" i="2"/>
  <c r="BF259" i="2"/>
  <c r="BE259" i="2"/>
  <c r="BD259" i="2"/>
  <c r="BC259" i="2"/>
  <c r="BB259" i="2"/>
  <c r="BA259" i="2"/>
  <c r="AZ259" i="2"/>
  <c r="AY259" i="2"/>
  <c r="AX259" i="2"/>
  <c r="AW259" i="2"/>
  <c r="AV259" i="2"/>
  <c r="AU259" i="2"/>
  <c r="AT259" i="2"/>
  <c r="AS259" i="2"/>
  <c r="AR259" i="2"/>
  <c r="AQ259" i="2"/>
  <c r="AP259" i="2"/>
  <c r="AO259" i="2"/>
  <c r="AN259" i="2"/>
  <c r="AM259" i="2"/>
  <c r="AL259" i="2"/>
  <c r="AK259" i="2"/>
  <c r="AJ259" i="2"/>
  <c r="AI259" i="2"/>
  <c r="AH259" i="2"/>
  <c r="AG259" i="2"/>
  <c r="AF259" i="2"/>
  <c r="AE259" i="2"/>
  <c r="AD259" i="2"/>
  <c r="AC259" i="2"/>
  <c r="AB259" i="2"/>
  <c r="AA259" i="2"/>
  <c r="Z259" i="2"/>
  <c r="Y259" i="2"/>
  <c r="X259" i="2"/>
  <c r="W259" i="2"/>
  <c r="V259" i="2"/>
  <c r="U259" i="2"/>
  <c r="T259" i="2"/>
  <c r="S259" i="2"/>
  <c r="R259" i="2"/>
  <c r="Q259" i="2"/>
  <c r="P259" i="2"/>
  <c r="O259" i="2"/>
  <c r="N259" i="2"/>
  <c r="M259" i="2"/>
  <c r="L259" i="2"/>
  <c r="K259" i="2"/>
  <c r="J259" i="2"/>
  <c r="I259" i="2"/>
  <c r="E259" i="2" a="1"/>
  <c r="E259" i="2" s="1"/>
  <c r="D259" i="2" a="1"/>
  <c r="D259" i="2" s="1"/>
  <c r="C259" i="2" a="1"/>
  <c r="C259" i="2" s="1"/>
  <c r="B259" i="2" a="1"/>
  <c r="B259" i="2" s="1"/>
  <c r="CG258" i="2"/>
  <c r="CF258" i="2"/>
  <c r="CE258" i="2"/>
  <c r="CD258" i="2"/>
  <c r="CC258" i="2"/>
  <c r="CB258" i="2"/>
  <c r="CA258" i="2"/>
  <c r="BZ258" i="2"/>
  <c r="BY258" i="2"/>
  <c r="BX258" i="2"/>
  <c r="BW258" i="2"/>
  <c r="BV258" i="2"/>
  <c r="BU258" i="2"/>
  <c r="BT258" i="2"/>
  <c r="BS258" i="2"/>
  <c r="BR258" i="2"/>
  <c r="BQ258" i="2"/>
  <c r="BP258" i="2"/>
  <c r="BO258" i="2"/>
  <c r="BN258" i="2"/>
  <c r="BM258" i="2"/>
  <c r="BL258" i="2"/>
  <c r="BK258" i="2"/>
  <c r="BJ258" i="2"/>
  <c r="BI258" i="2"/>
  <c r="BH258" i="2"/>
  <c r="BG258" i="2"/>
  <c r="BF258" i="2"/>
  <c r="BE258" i="2"/>
  <c r="BC258" i="2"/>
  <c r="BB258" i="2"/>
  <c r="BA258" i="2"/>
  <c r="AZ258" i="2"/>
  <c r="AY258" i="2"/>
  <c r="AX258" i="2"/>
  <c r="AW258" i="2"/>
  <c r="AV258" i="2"/>
  <c r="AU258" i="2"/>
  <c r="AT258" i="2"/>
  <c r="AS258" i="2"/>
  <c r="AR258" i="2"/>
  <c r="AQ258" i="2"/>
  <c r="AP258" i="2"/>
  <c r="AO258" i="2"/>
  <c r="AN258" i="2"/>
  <c r="AM258" i="2"/>
  <c r="AL258" i="2"/>
  <c r="AK258" i="2"/>
  <c r="AJ258" i="2"/>
  <c r="AI258" i="2"/>
  <c r="AH258" i="2"/>
  <c r="AG258" i="2"/>
  <c r="AF258" i="2"/>
  <c r="AE258" i="2"/>
  <c r="AD258" i="2"/>
  <c r="AC258" i="2"/>
  <c r="AB258" i="2"/>
  <c r="AA258" i="2"/>
  <c r="Z258" i="2"/>
  <c r="Y258" i="2"/>
  <c r="X258" i="2"/>
  <c r="W258" i="2"/>
  <c r="V258" i="2"/>
  <c r="U258" i="2"/>
  <c r="T258" i="2"/>
  <c r="S258" i="2"/>
  <c r="R258" i="2"/>
  <c r="Q258" i="2"/>
  <c r="P258" i="2"/>
  <c r="O258" i="2"/>
  <c r="N258" i="2"/>
  <c r="M258" i="2"/>
  <c r="L258" i="2"/>
  <c r="K258" i="2"/>
  <c r="J258" i="2"/>
  <c r="BD258" i="2" s="1"/>
  <c r="I258" i="2"/>
  <c r="E258" i="2" a="1"/>
  <c r="E258" i="2" s="1"/>
  <c r="D258" i="2" a="1"/>
  <c r="D258" i="2" s="1"/>
  <c r="C258" i="2" a="1"/>
  <c r="C258" i="2" s="1"/>
  <c r="B258" i="2" a="1"/>
  <c r="B258" i="2" s="1"/>
  <c r="CG257" i="2"/>
  <c r="CF257" i="2"/>
  <c r="CE257" i="2"/>
  <c r="CD257" i="2"/>
  <c r="CC257" i="2"/>
  <c r="CB257" i="2"/>
  <c r="CA257" i="2"/>
  <c r="BZ257" i="2"/>
  <c r="BY257" i="2"/>
  <c r="BX257" i="2"/>
  <c r="BW257" i="2"/>
  <c r="BV257" i="2"/>
  <c r="BU257" i="2"/>
  <c r="BT257" i="2"/>
  <c r="BS257" i="2"/>
  <c r="BR257" i="2"/>
  <c r="BQ257" i="2"/>
  <c r="BP257" i="2"/>
  <c r="BO257" i="2"/>
  <c r="BN257" i="2"/>
  <c r="BM257" i="2"/>
  <c r="BL257" i="2"/>
  <c r="BK257" i="2"/>
  <c r="BJ257" i="2"/>
  <c r="BI257" i="2"/>
  <c r="BH257" i="2"/>
  <c r="BG257" i="2"/>
  <c r="BF257" i="2"/>
  <c r="BE257" i="2"/>
  <c r="BC257" i="2"/>
  <c r="BB257" i="2"/>
  <c r="BA257" i="2"/>
  <c r="AZ257" i="2"/>
  <c r="AY257" i="2"/>
  <c r="AX257" i="2"/>
  <c r="AW257" i="2"/>
  <c r="AV257" i="2"/>
  <c r="AU257" i="2"/>
  <c r="AT257" i="2"/>
  <c r="AS257" i="2"/>
  <c r="AR257" i="2"/>
  <c r="AQ257" i="2"/>
  <c r="AP257" i="2"/>
  <c r="AO257" i="2"/>
  <c r="AN257" i="2"/>
  <c r="AM257" i="2"/>
  <c r="AL257" i="2"/>
  <c r="AK257" i="2"/>
  <c r="AJ257" i="2"/>
  <c r="AI257" i="2"/>
  <c r="AH257" i="2"/>
  <c r="AG257" i="2"/>
  <c r="AF257" i="2"/>
  <c r="AE257" i="2"/>
  <c r="AD257" i="2"/>
  <c r="AC257" i="2"/>
  <c r="AB257" i="2"/>
  <c r="AA257" i="2"/>
  <c r="Z257" i="2"/>
  <c r="Y257" i="2"/>
  <c r="X257" i="2"/>
  <c r="W257" i="2"/>
  <c r="V257" i="2"/>
  <c r="U257" i="2"/>
  <c r="T257" i="2"/>
  <c r="S257" i="2"/>
  <c r="R257" i="2"/>
  <c r="Q257" i="2"/>
  <c r="P257" i="2"/>
  <c r="O257" i="2"/>
  <c r="N257" i="2"/>
  <c r="M257" i="2"/>
  <c r="L257" i="2"/>
  <c r="K257" i="2"/>
  <c r="J257" i="2"/>
  <c r="BD257" i="2" s="1"/>
  <c r="I257" i="2"/>
  <c r="E257" i="2" a="1"/>
  <c r="E257" i="2" s="1"/>
  <c r="D257" i="2" a="1"/>
  <c r="D257" i="2" s="1"/>
  <c r="C257" i="2" a="1"/>
  <c r="C257" i="2" s="1"/>
  <c r="B257" i="2" a="1"/>
  <c r="B257" i="2" s="1"/>
  <c r="CG256" i="2"/>
  <c r="CF256" i="2"/>
  <c r="CE256" i="2"/>
  <c r="CD256" i="2"/>
  <c r="CC256" i="2"/>
  <c r="CB256" i="2"/>
  <c r="CA256" i="2"/>
  <c r="BZ256" i="2"/>
  <c r="BY256" i="2"/>
  <c r="BX256" i="2"/>
  <c r="BW256" i="2"/>
  <c r="BV256" i="2"/>
  <c r="BU256" i="2"/>
  <c r="BT256" i="2"/>
  <c r="BS256" i="2"/>
  <c r="BR256" i="2"/>
  <c r="BQ256" i="2"/>
  <c r="BP256" i="2"/>
  <c r="BO256" i="2"/>
  <c r="BN256" i="2"/>
  <c r="BM256" i="2"/>
  <c r="BL256" i="2"/>
  <c r="BK256" i="2"/>
  <c r="BJ256" i="2"/>
  <c r="BI256" i="2"/>
  <c r="BH256" i="2"/>
  <c r="BG256" i="2"/>
  <c r="BF256" i="2"/>
  <c r="BE256" i="2"/>
  <c r="BD256" i="2"/>
  <c r="BC256" i="2"/>
  <c r="BB256" i="2"/>
  <c r="BA256" i="2"/>
  <c r="AZ256" i="2"/>
  <c r="AY256" i="2"/>
  <c r="AX256" i="2"/>
  <c r="AW256" i="2"/>
  <c r="AV256" i="2"/>
  <c r="AU256" i="2"/>
  <c r="AT256" i="2"/>
  <c r="AS256" i="2"/>
  <c r="AR256" i="2"/>
  <c r="AQ256" i="2"/>
  <c r="AP256" i="2"/>
  <c r="AO256" i="2"/>
  <c r="AN256" i="2"/>
  <c r="AM256" i="2"/>
  <c r="AL256" i="2"/>
  <c r="AK256" i="2"/>
  <c r="AJ256" i="2"/>
  <c r="AI256" i="2"/>
  <c r="AH256" i="2"/>
  <c r="AG256" i="2"/>
  <c r="AF256" i="2"/>
  <c r="AE256" i="2"/>
  <c r="AD256" i="2"/>
  <c r="AC256" i="2"/>
  <c r="AB256" i="2"/>
  <c r="AA256" i="2"/>
  <c r="Z256" i="2"/>
  <c r="Y256" i="2"/>
  <c r="X256" i="2"/>
  <c r="W256" i="2"/>
  <c r="V256" i="2"/>
  <c r="U256" i="2"/>
  <c r="T256" i="2"/>
  <c r="S256" i="2"/>
  <c r="R256" i="2"/>
  <c r="Q256" i="2"/>
  <c r="P256" i="2"/>
  <c r="O256" i="2"/>
  <c r="N256" i="2"/>
  <c r="M256" i="2"/>
  <c r="L256" i="2"/>
  <c r="K256" i="2"/>
  <c r="J256" i="2"/>
  <c r="I256" i="2"/>
  <c r="E256" i="2" a="1"/>
  <c r="E256" i="2" s="1"/>
  <c r="D256" i="2" a="1"/>
  <c r="D256" i="2" s="1"/>
  <c r="C256" i="2" a="1"/>
  <c r="C256" i="2" s="1"/>
  <c r="B256" i="2" a="1"/>
  <c r="B256" i="2" s="1"/>
  <c r="CG255" i="2"/>
  <c r="CF255" i="2"/>
  <c r="CE255" i="2"/>
  <c r="CD255" i="2"/>
  <c r="CC255" i="2"/>
  <c r="CB255" i="2"/>
  <c r="CA255" i="2"/>
  <c r="BZ255" i="2"/>
  <c r="BY255" i="2"/>
  <c r="BX255" i="2"/>
  <c r="BW255" i="2"/>
  <c r="BV255" i="2"/>
  <c r="BU255" i="2"/>
  <c r="BT255" i="2"/>
  <c r="BS255" i="2"/>
  <c r="BR255" i="2"/>
  <c r="BQ255" i="2"/>
  <c r="BP255" i="2"/>
  <c r="BO255" i="2"/>
  <c r="BN255" i="2"/>
  <c r="BM255" i="2"/>
  <c r="BL255" i="2"/>
  <c r="BK255" i="2"/>
  <c r="BJ255" i="2"/>
  <c r="BI255" i="2"/>
  <c r="BH255" i="2"/>
  <c r="BG255" i="2"/>
  <c r="BF255" i="2"/>
  <c r="BE255" i="2"/>
  <c r="BD255" i="2"/>
  <c r="BC255" i="2"/>
  <c r="BB255" i="2"/>
  <c r="BA255" i="2"/>
  <c r="AZ255" i="2"/>
  <c r="AY255" i="2"/>
  <c r="AX255" i="2"/>
  <c r="AW255" i="2"/>
  <c r="AV255" i="2"/>
  <c r="AU255" i="2"/>
  <c r="AT255" i="2"/>
  <c r="AS255" i="2"/>
  <c r="AR255" i="2"/>
  <c r="AQ255" i="2"/>
  <c r="AP255" i="2"/>
  <c r="AO255" i="2"/>
  <c r="AN255" i="2"/>
  <c r="AM255" i="2"/>
  <c r="AL255" i="2"/>
  <c r="AK255" i="2"/>
  <c r="AJ255" i="2"/>
  <c r="AI255" i="2"/>
  <c r="AH255" i="2"/>
  <c r="AG255" i="2"/>
  <c r="AF255" i="2"/>
  <c r="AE255" i="2"/>
  <c r="AD255" i="2"/>
  <c r="AC255" i="2"/>
  <c r="AB255" i="2"/>
  <c r="AA255" i="2"/>
  <c r="Z255" i="2"/>
  <c r="Y255" i="2"/>
  <c r="X255" i="2"/>
  <c r="W255" i="2"/>
  <c r="V255" i="2"/>
  <c r="U255" i="2"/>
  <c r="T255" i="2"/>
  <c r="S255" i="2"/>
  <c r="R255" i="2"/>
  <c r="Q255" i="2"/>
  <c r="P255" i="2"/>
  <c r="O255" i="2"/>
  <c r="N255" i="2"/>
  <c r="M255" i="2"/>
  <c r="L255" i="2"/>
  <c r="K255" i="2"/>
  <c r="J255" i="2"/>
  <c r="I255" i="2"/>
  <c r="E255" i="2" a="1"/>
  <c r="E255" i="2" s="1"/>
  <c r="D255" i="2" a="1"/>
  <c r="D255" i="2" s="1"/>
  <c r="C255" i="2" a="1"/>
  <c r="C255" i="2" s="1"/>
  <c r="B255" i="2" a="1"/>
  <c r="B255" i="2" s="1"/>
  <c r="CG254" i="2"/>
  <c r="CF254" i="2"/>
  <c r="CE254" i="2"/>
  <c r="CD254" i="2"/>
  <c r="CC254" i="2"/>
  <c r="CB254" i="2"/>
  <c r="CA254" i="2"/>
  <c r="BZ254" i="2"/>
  <c r="BY254" i="2"/>
  <c r="BX254" i="2"/>
  <c r="BW254" i="2"/>
  <c r="BV254" i="2"/>
  <c r="BU254" i="2"/>
  <c r="BT254" i="2"/>
  <c r="BS254" i="2"/>
  <c r="BR254" i="2"/>
  <c r="BQ254" i="2"/>
  <c r="BP254" i="2"/>
  <c r="BO254" i="2"/>
  <c r="BN254" i="2"/>
  <c r="BM254" i="2"/>
  <c r="BL254" i="2"/>
  <c r="BK254" i="2"/>
  <c r="BJ254" i="2"/>
  <c r="BI254" i="2"/>
  <c r="BH254" i="2"/>
  <c r="BG254" i="2"/>
  <c r="BF254" i="2"/>
  <c r="BE254" i="2"/>
  <c r="BC254" i="2"/>
  <c r="BB254" i="2"/>
  <c r="BA254" i="2"/>
  <c r="AZ254" i="2"/>
  <c r="AY254" i="2"/>
  <c r="AX254" i="2"/>
  <c r="AW254" i="2"/>
  <c r="AV254" i="2"/>
  <c r="AU254" i="2"/>
  <c r="AT254" i="2"/>
  <c r="AS254" i="2"/>
  <c r="AR254" i="2"/>
  <c r="AQ254" i="2"/>
  <c r="AP254" i="2"/>
  <c r="AO254" i="2"/>
  <c r="AN254" i="2"/>
  <c r="AM254" i="2"/>
  <c r="AL254" i="2"/>
  <c r="AK254" i="2"/>
  <c r="AJ254" i="2"/>
  <c r="AI254" i="2"/>
  <c r="AH254" i="2"/>
  <c r="AG254" i="2"/>
  <c r="AF254" i="2"/>
  <c r="AE254" i="2"/>
  <c r="AD254" i="2"/>
  <c r="AC254" i="2"/>
  <c r="AB254" i="2"/>
  <c r="AA254" i="2"/>
  <c r="Z254" i="2"/>
  <c r="Y254" i="2"/>
  <c r="X254" i="2"/>
  <c r="W254" i="2"/>
  <c r="V254" i="2"/>
  <c r="U254" i="2"/>
  <c r="T254" i="2"/>
  <c r="S254" i="2"/>
  <c r="R254" i="2"/>
  <c r="Q254" i="2"/>
  <c r="P254" i="2"/>
  <c r="O254" i="2"/>
  <c r="N254" i="2"/>
  <c r="M254" i="2"/>
  <c r="L254" i="2"/>
  <c r="K254" i="2"/>
  <c r="J254" i="2"/>
  <c r="BD254" i="2" s="1"/>
  <c r="I254" i="2"/>
  <c r="E254" i="2" a="1"/>
  <c r="E254" i="2" s="1"/>
  <c r="D254" i="2" a="1"/>
  <c r="D254" i="2" s="1"/>
  <c r="C254" i="2" a="1"/>
  <c r="C254" i="2" s="1"/>
  <c r="B254" i="2" a="1"/>
  <c r="B254" i="2" s="1"/>
  <c r="CG253" i="2"/>
  <c r="CF253" i="2"/>
  <c r="CE253" i="2"/>
  <c r="CD253" i="2"/>
  <c r="CC253" i="2"/>
  <c r="CB253" i="2"/>
  <c r="CA253" i="2"/>
  <c r="BZ253" i="2"/>
  <c r="BY253" i="2"/>
  <c r="BX253" i="2"/>
  <c r="BW253" i="2"/>
  <c r="BV253" i="2"/>
  <c r="BU253" i="2"/>
  <c r="BT253" i="2"/>
  <c r="BS253" i="2"/>
  <c r="BR253" i="2"/>
  <c r="BQ253" i="2"/>
  <c r="BP253" i="2"/>
  <c r="BO253" i="2"/>
  <c r="BN253" i="2"/>
  <c r="BM253" i="2"/>
  <c r="BL253" i="2"/>
  <c r="BK253" i="2"/>
  <c r="BJ253" i="2"/>
  <c r="BI253" i="2"/>
  <c r="BH253" i="2"/>
  <c r="BG253" i="2"/>
  <c r="BF253" i="2"/>
  <c r="BE253" i="2"/>
  <c r="BC253" i="2"/>
  <c r="BB253" i="2"/>
  <c r="BA253" i="2"/>
  <c r="AZ253" i="2"/>
  <c r="AY253" i="2"/>
  <c r="AX253" i="2"/>
  <c r="AW253" i="2"/>
  <c r="AV253" i="2"/>
  <c r="AU253" i="2"/>
  <c r="AT253" i="2"/>
  <c r="AS253" i="2"/>
  <c r="AR253" i="2"/>
  <c r="AQ253" i="2"/>
  <c r="AP253" i="2"/>
  <c r="AO253" i="2"/>
  <c r="AN253" i="2"/>
  <c r="AM253" i="2"/>
  <c r="AL253" i="2"/>
  <c r="AK253" i="2"/>
  <c r="AJ253" i="2"/>
  <c r="AI253" i="2"/>
  <c r="AH253" i="2"/>
  <c r="AG253" i="2"/>
  <c r="AF253" i="2"/>
  <c r="AE253" i="2"/>
  <c r="AD253" i="2"/>
  <c r="AC253" i="2"/>
  <c r="AB253" i="2"/>
  <c r="AA253" i="2"/>
  <c r="Z253" i="2"/>
  <c r="Y253" i="2"/>
  <c r="X253" i="2"/>
  <c r="W253" i="2"/>
  <c r="V253" i="2"/>
  <c r="U253" i="2"/>
  <c r="T253" i="2"/>
  <c r="S253" i="2"/>
  <c r="R253" i="2"/>
  <c r="Q253" i="2"/>
  <c r="P253" i="2"/>
  <c r="O253" i="2"/>
  <c r="N253" i="2"/>
  <c r="M253" i="2"/>
  <c r="L253" i="2"/>
  <c r="K253" i="2"/>
  <c r="J253" i="2"/>
  <c r="BD253" i="2" s="1"/>
  <c r="I253" i="2"/>
  <c r="E253" i="2" a="1"/>
  <c r="E253" i="2" s="1"/>
  <c r="D253" i="2" a="1"/>
  <c r="D253" i="2" s="1"/>
  <c r="C253" i="2" a="1"/>
  <c r="C253" i="2" s="1"/>
  <c r="B253" i="2" a="1"/>
  <c r="B253" i="2" s="1"/>
  <c r="CG252" i="2"/>
  <c r="CF252" i="2"/>
  <c r="CE252" i="2"/>
  <c r="CD252" i="2"/>
  <c r="CC252" i="2"/>
  <c r="CB252" i="2"/>
  <c r="CA252" i="2"/>
  <c r="BZ252" i="2"/>
  <c r="BY252" i="2"/>
  <c r="BX252" i="2"/>
  <c r="BW252" i="2"/>
  <c r="BV252" i="2"/>
  <c r="BU252" i="2"/>
  <c r="BT252" i="2"/>
  <c r="BS252" i="2"/>
  <c r="BR252" i="2"/>
  <c r="BQ252" i="2"/>
  <c r="BP252" i="2"/>
  <c r="BO252" i="2"/>
  <c r="BN252" i="2"/>
  <c r="BM252" i="2"/>
  <c r="BL252" i="2"/>
  <c r="BK252" i="2"/>
  <c r="BJ252" i="2"/>
  <c r="BI252" i="2"/>
  <c r="BH252" i="2"/>
  <c r="BG252" i="2"/>
  <c r="BF252" i="2"/>
  <c r="BE252" i="2"/>
  <c r="BD252" i="2"/>
  <c r="BC252" i="2"/>
  <c r="BB252" i="2"/>
  <c r="BA252" i="2"/>
  <c r="AZ252" i="2"/>
  <c r="AY252" i="2"/>
  <c r="AX252" i="2"/>
  <c r="AW252" i="2"/>
  <c r="AV252" i="2"/>
  <c r="AU252" i="2"/>
  <c r="AT252" i="2"/>
  <c r="AS252" i="2"/>
  <c r="AR252" i="2"/>
  <c r="AQ252" i="2"/>
  <c r="AP252" i="2"/>
  <c r="AO252" i="2"/>
  <c r="AN252" i="2"/>
  <c r="AM252" i="2"/>
  <c r="AL252" i="2"/>
  <c r="AK252" i="2"/>
  <c r="AJ252" i="2"/>
  <c r="AI252" i="2"/>
  <c r="AH252" i="2"/>
  <c r="AG252" i="2"/>
  <c r="AF252" i="2"/>
  <c r="AE252" i="2"/>
  <c r="AD252" i="2"/>
  <c r="AC252" i="2"/>
  <c r="AB252" i="2"/>
  <c r="AA252" i="2"/>
  <c r="Z252" i="2"/>
  <c r="Y252" i="2"/>
  <c r="X252" i="2"/>
  <c r="W252" i="2"/>
  <c r="V252" i="2"/>
  <c r="U252" i="2"/>
  <c r="T252" i="2"/>
  <c r="S252" i="2"/>
  <c r="R252" i="2"/>
  <c r="Q252" i="2"/>
  <c r="P252" i="2"/>
  <c r="O252" i="2"/>
  <c r="N252" i="2"/>
  <c r="M252" i="2"/>
  <c r="L252" i="2"/>
  <c r="K252" i="2"/>
  <c r="J252" i="2"/>
  <c r="I252" i="2"/>
  <c r="E252" i="2" a="1"/>
  <c r="E252" i="2" s="1"/>
  <c r="D252" i="2" a="1"/>
  <c r="D252" i="2" s="1"/>
  <c r="C252" i="2" a="1"/>
  <c r="C252" i="2" s="1"/>
  <c r="B252" i="2" a="1"/>
  <c r="B252" i="2" s="1"/>
  <c r="CG251" i="2"/>
  <c r="CF251" i="2"/>
  <c r="CE251" i="2"/>
  <c r="CD251" i="2"/>
  <c r="CC251" i="2"/>
  <c r="CB251" i="2"/>
  <c r="CA251" i="2"/>
  <c r="BZ251" i="2"/>
  <c r="BY251" i="2"/>
  <c r="BX251" i="2"/>
  <c r="BW251" i="2"/>
  <c r="BV251" i="2"/>
  <c r="BU251" i="2"/>
  <c r="BT251" i="2"/>
  <c r="BS251" i="2"/>
  <c r="BR251" i="2"/>
  <c r="BQ251" i="2"/>
  <c r="BP251" i="2"/>
  <c r="BO251" i="2"/>
  <c r="BN251" i="2"/>
  <c r="BM251" i="2"/>
  <c r="BL251" i="2"/>
  <c r="BK251" i="2"/>
  <c r="BJ251" i="2"/>
  <c r="BI251" i="2"/>
  <c r="BH251" i="2"/>
  <c r="BG251" i="2"/>
  <c r="BF251" i="2"/>
  <c r="BE251" i="2"/>
  <c r="BD251" i="2"/>
  <c r="BC251" i="2"/>
  <c r="BB251" i="2"/>
  <c r="BA251" i="2"/>
  <c r="AZ251" i="2"/>
  <c r="AY251" i="2"/>
  <c r="AX251" i="2"/>
  <c r="AW251" i="2"/>
  <c r="AV251" i="2"/>
  <c r="AU251" i="2"/>
  <c r="AT251" i="2"/>
  <c r="AS251" i="2"/>
  <c r="AR251" i="2"/>
  <c r="AQ251" i="2"/>
  <c r="AP251" i="2"/>
  <c r="AO251" i="2"/>
  <c r="AN251" i="2"/>
  <c r="AM251" i="2"/>
  <c r="AL251" i="2"/>
  <c r="AK251" i="2"/>
  <c r="AJ251" i="2"/>
  <c r="AI251" i="2"/>
  <c r="AH251" i="2"/>
  <c r="AG251" i="2"/>
  <c r="AF251" i="2"/>
  <c r="AE251" i="2"/>
  <c r="AD251" i="2"/>
  <c r="AC251" i="2"/>
  <c r="AB251" i="2"/>
  <c r="AA251" i="2"/>
  <c r="Z251" i="2"/>
  <c r="Y251" i="2"/>
  <c r="X251" i="2"/>
  <c r="W251" i="2"/>
  <c r="V251" i="2"/>
  <c r="U251" i="2"/>
  <c r="T251" i="2"/>
  <c r="S251" i="2"/>
  <c r="R251" i="2"/>
  <c r="Q251" i="2"/>
  <c r="P251" i="2"/>
  <c r="O251" i="2"/>
  <c r="N251" i="2"/>
  <c r="M251" i="2"/>
  <c r="L251" i="2"/>
  <c r="K251" i="2"/>
  <c r="J251" i="2"/>
  <c r="I251" i="2"/>
  <c r="E251" i="2" a="1"/>
  <c r="E251" i="2" s="1"/>
  <c r="D251" i="2" a="1"/>
  <c r="D251" i="2" s="1"/>
  <c r="C251" i="2" a="1"/>
  <c r="C251" i="2" s="1"/>
  <c r="B251" i="2" a="1"/>
  <c r="B251" i="2" s="1"/>
  <c r="CG250" i="2"/>
  <c r="CF250" i="2"/>
  <c r="CE250" i="2"/>
  <c r="CD250" i="2"/>
  <c r="CC250" i="2"/>
  <c r="CB250" i="2"/>
  <c r="CA250" i="2"/>
  <c r="BZ250" i="2"/>
  <c r="BY250" i="2"/>
  <c r="BX250" i="2"/>
  <c r="BW250" i="2"/>
  <c r="BV250" i="2"/>
  <c r="BU250" i="2"/>
  <c r="BT250" i="2"/>
  <c r="BS250" i="2"/>
  <c r="BR250" i="2"/>
  <c r="BQ250" i="2"/>
  <c r="BP250" i="2"/>
  <c r="BO250" i="2"/>
  <c r="BN250" i="2"/>
  <c r="BM250" i="2"/>
  <c r="BL250" i="2"/>
  <c r="BK250" i="2"/>
  <c r="BJ250" i="2"/>
  <c r="BI250" i="2"/>
  <c r="BH250" i="2"/>
  <c r="BG250" i="2"/>
  <c r="BF250" i="2"/>
  <c r="BE250" i="2"/>
  <c r="BC250" i="2"/>
  <c r="BB250" i="2"/>
  <c r="BA250" i="2"/>
  <c r="AZ250" i="2"/>
  <c r="AY250" i="2"/>
  <c r="AX250" i="2"/>
  <c r="AW250" i="2"/>
  <c r="AV250" i="2"/>
  <c r="AU250" i="2"/>
  <c r="AT250" i="2"/>
  <c r="AS250" i="2"/>
  <c r="AR250" i="2"/>
  <c r="AQ250" i="2"/>
  <c r="AP250" i="2"/>
  <c r="AO250" i="2"/>
  <c r="AN250" i="2"/>
  <c r="AM250" i="2"/>
  <c r="AL250" i="2"/>
  <c r="AK250" i="2"/>
  <c r="AJ250" i="2"/>
  <c r="AI250" i="2"/>
  <c r="AH250" i="2"/>
  <c r="AG250" i="2"/>
  <c r="AF250" i="2"/>
  <c r="AE250" i="2"/>
  <c r="AD250" i="2"/>
  <c r="AC250" i="2"/>
  <c r="AB250" i="2"/>
  <c r="AA250" i="2"/>
  <c r="Z250" i="2"/>
  <c r="Y250" i="2"/>
  <c r="X250" i="2"/>
  <c r="W250" i="2"/>
  <c r="V250" i="2"/>
  <c r="U250" i="2"/>
  <c r="T250" i="2"/>
  <c r="S250" i="2"/>
  <c r="R250" i="2"/>
  <c r="Q250" i="2"/>
  <c r="P250" i="2"/>
  <c r="O250" i="2"/>
  <c r="N250" i="2"/>
  <c r="M250" i="2"/>
  <c r="L250" i="2"/>
  <c r="K250" i="2"/>
  <c r="J250" i="2"/>
  <c r="BD250" i="2" s="1"/>
  <c r="I250" i="2"/>
  <c r="E250" i="2" a="1"/>
  <c r="E250" i="2" s="1"/>
  <c r="D250" i="2" a="1"/>
  <c r="D250" i="2" s="1"/>
  <c r="C250" i="2" a="1"/>
  <c r="C250" i="2" s="1"/>
  <c r="B250" i="2" a="1"/>
  <c r="B250" i="2" s="1"/>
  <c r="CG249" i="2"/>
  <c r="CF249" i="2"/>
  <c r="CE249" i="2"/>
  <c r="CD249" i="2"/>
  <c r="CC249" i="2"/>
  <c r="CB249" i="2"/>
  <c r="CA249" i="2"/>
  <c r="BZ249" i="2"/>
  <c r="BY249" i="2"/>
  <c r="BX249" i="2"/>
  <c r="BW249" i="2"/>
  <c r="BV249" i="2"/>
  <c r="BU249" i="2"/>
  <c r="BT249" i="2"/>
  <c r="BS249" i="2"/>
  <c r="BR249" i="2"/>
  <c r="BQ249" i="2"/>
  <c r="BP249" i="2"/>
  <c r="BO249" i="2"/>
  <c r="BN249" i="2"/>
  <c r="BM249" i="2"/>
  <c r="BL249" i="2"/>
  <c r="BK249" i="2"/>
  <c r="BJ249" i="2"/>
  <c r="BI249" i="2"/>
  <c r="BH249" i="2"/>
  <c r="BG249" i="2"/>
  <c r="BF249" i="2"/>
  <c r="BE249" i="2"/>
  <c r="BC249" i="2"/>
  <c r="BB249" i="2"/>
  <c r="BA249" i="2"/>
  <c r="AZ249" i="2"/>
  <c r="AY249" i="2"/>
  <c r="AX249" i="2"/>
  <c r="AW249" i="2"/>
  <c r="AV249" i="2"/>
  <c r="AU249" i="2"/>
  <c r="AT249" i="2"/>
  <c r="AS249" i="2"/>
  <c r="AR249" i="2"/>
  <c r="AQ249" i="2"/>
  <c r="AP249" i="2"/>
  <c r="AO249" i="2"/>
  <c r="AN249" i="2"/>
  <c r="AM249" i="2"/>
  <c r="AL249" i="2"/>
  <c r="AK249" i="2"/>
  <c r="AJ249" i="2"/>
  <c r="AI249" i="2"/>
  <c r="AH249" i="2"/>
  <c r="AG249" i="2"/>
  <c r="AF249" i="2"/>
  <c r="AE249" i="2"/>
  <c r="AD249" i="2"/>
  <c r="AC249" i="2"/>
  <c r="AB249" i="2"/>
  <c r="AA249" i="2"/>
  <c r="Z249" i="2"/>
  <c r="Y249" i="2"/>
  <c r="X249" i="2"/>
  <c r="W249" i="2"/>
  <c r="V249" i="2"/>
  <c r="U249" i="2"/>
  <c r="T249" i="2"/>
  <c r="S249" i="2"/>
  <c r="R249" i="2"/>
  <c r="Q249" i="2"/>
  <c r="P249" i="2"/>
  <c r="O249" i="2"/>
  <c r="N249" i="2"/>
  <c r="M249" i="2"/>
  <c r="L249" i="2"/>
  <c r="K249" i="2"/>
  <c r="J249" i="2"/>
  <c r="BD249" i="2" s="1"/>
  <c r="I249" i="2"/>
  <c r="E249" i="2" a="1"/>
  <c r="E249" i="2" s="1"/>
  <c r="D249" i="2" a="1"/>
  <c r="D249" i="2" s="1"/>
  <c r="C249" i="2" a="1"/>
  <c r="C249" i="2" s="1"/>
  <c r="B249" i="2" a="1"/>
  <c r="B249" i="2" s="1"/>
  <c r="CG248" i="2"/>
  <c r="CF248" i="2"/>
  <c r="CE248" i="2"/>
  <c r="CD248" i="2"/>
  <c r="CC248" i="2"/>
  <c r="CB248" i="2"/>
  <c r="CA248" i="2"/>
  <c r="BZ248" i="2"/>
  <c r="BY248" i="2"/>
  <c r="BX248" i="2"/>
  <c r="BW248" i="2"/>
  <c r="BV248" i="2"/>
  <c r="BU248" i="2"/>
  <c r="BT248" i="2"/>
  <c r="BS248" i="2"/>
  <c r="BR248" i="2"/>
  <c r="BQ248" i="2"/>
  <c r="BP248" i="2"/>
  <c r="BO248" i="2"/>
  <c r="BN248" i="2"/>
  <c r="BM248" i="2"/>
  <c r="BL248" i="2"/>
  <c r="BK248" i="2"/>
  <c r="BJ248" i="2"/>
  <c r="BI248" i="2"/>
  <c r="BH248" i="2"/>
  <c r="BG248" i="2"/>
  <c r="BF248" i="2"/>
  <c r="BE248" i="2"/>
  <c r="BD248" i="2"/>
  <c r="BC248" i="2"/>
  <c r="BB248" i="2"/>
  <c r="BA248" i="2"/>
  <c r="AZ248" i="2"/>
  <c r="AY248" i="2"/>
  <c r="AX248" i="2"/>
  <c r="AW248" i="2"/>
  <c r="AV248" i="2"/>
  <c r="AU248" i="2"/>
  <c r="AT248" i="2"/>
  <c r="AS248" i="2"/>
  <c r="AR248" i="2"/>
  <c r="AQ248" i="2"/>
  <c r="AP248" i="2"/>
  <c r="AO248" i="2"/>
  <c r="AN248" i="2"/>
  <c r="AM248" i="2"/>
  <c r="AL248" i="2"/>
  <c r="AK248" i="2"/>
  <c r="AJ248" i="2"/>
  <c r="AI248" i="2"/>
  <c r="AH248" i="2"/>
  <c r="AG248" i="2"/>
  <c r="AF248" i="2"/>
  <c r="AE248" i="2"/>
  <c r="AD248" i="2"/>
  <c r="AC248" i="2"/>
  <c r="AB248" i="2"/>
  <c r="AA248" i="2"/>
  <c r="Z248" i="2"/>
  <c r="Y248" i="2"/>
  <c r="X248" i="2"/>
  <c r="W248" i="2"/>
  <c r="V248" i="2"/>
  <c r="U248" i="2"/>
  <c r="T248" i="2"/>
  <c r="S248" i="2"/>
  <c r="R248" i="2"/>
  <c r="Q248" i="2"/>
  <c r="P248" i="2"/>
  <c r="O248" i="2"/>
  <c r="N248" i="2"/>
  <c r="M248" i="2"/>
  <c r="L248" i="2"/>
  <c r="K248" i="2"/>
  <c r="J248" i="2"/>
  <c r="I248" i="2"/>
  <c r="E248" i="2" a="1"/>
  <c r="E248" i="2" s="1"/>
  <c r="D248" i="2" a="1"/>
  <c r="D248" i="2" s="1"/>
  <c r="C248" i="2" a="1"/>
  <c r="C248" i="2" s="1"/>
  <c r="B248" i="2" a="1"/>
  <c r="B248" i="2" s="1"/>
  <c r="CG247" i="2"/>
  <c r="CF247" i="2"/>
  <c r="CE247" i="2"/>
  <c r="CD247" i="2"/>
  <c r="CC247" i="2"/>
  <c r="CB247" i="2"/>
  <c r="CA247" i="2"/>
  <c r="BZ247" i="2"/>
  <c r="BY247" i="2"/>
  <c r="BX247" i="2"/>
  <c r="BW247" i="2"/>
  <c r="BV247" i="2"/>
  <c r="BU247" i="2"/>
  <c r="BT247" i="2"/>
  <c r="BS247" i="2"/>
  <c r="BR247" i="2"/>
  <c r="BQ247" i="2"/>
  <c r="BP247" i="2"/>
  <c r="BO247" i="2"/>
  <c r="BN247" i="2"/>
  <c r="BM247" i="2"/>
  <c r="BL247" i="2"/>
  <c r="BK247" i="2"/>
  <c r="BJ247" i="2"/>
  <c r="BI247" i="2"/>
  <c r="BH247" i="2"/>
  <c r="BG247" i="2"/>
  <c r="BF247" i="2"/>
  <c r="BE247" i="2"/>
  <c r="BD247" i="2"/>
  <c r="BC247" i="2"/>
  <c r="BB247" i="2"/>
  <c r="BA247" i="2"/>
  <c r="AZ247" i="2"/>
  <c r="AY247" i="2"/>
  <c r="AX247" i="2"/>
  <c r="AW247" i="2"/>
  <c r="AV247" i="2"/>
  <c r="AU247" i="2"/>
  <c r="AT247" i="2"/>
  <c r="AS247" i="2"/>
  <c r="AR247" i="2"/>
  <c r="AQ247" i="2"/>
  <c r="AP247" i="2"/>
  <c r="AO247" i="2"/>
  <c r="AN247" i="2"/>
  <c r="AM247" i="2"/>
  <c r="AL247" i="2"/>
  <c r="AK247" i="2"/>
  <c r="AJ247" i="2"/>
  <c r="AI247" i="2"/>
  <c r="AH247" i="2"/>
  <c r="AG247" i="2"/>
  <c r="AF247" i="2"/>
  <c r="AE247" i="2"/>
  <c r="AD247" i="2"/>
  <c r="AC247" i="2"/>
  <c r="AB247" i="2"/>
  <c r="AA247" i="2"/>
  <c r="Z247" i="2"/>
  <c r="Y247" i="2"/>
  <c r="X247" i="2"/>
  <c r="W247" i="2"/>
  <c r="V247" i="2"/>
  <c r="U247" i="2"/>
  <c r="T247" i="2"/>
  <c r="S247" i="2"/>
  <c r="R247" i="2"/>
  <c r="Q247" i="2"/>
  <c r="P247" i="2"/>
  <c r="O247" i="2"/>
  <c r="N247" i="2"/>
  <c r="M247" i="2"/>
  <c r="L247" i="2"/>
  <c r="K247" i="2"/>
  <c r="J247" i="2"/>
  <c r="I247" i="2"/>
  <c r="E247" i="2" a="1"/>
  <c r="E247" i="2" s="1"/>
  <c r="D247" i="2" a="1"/>
  <c r="D247" i="2" s="1"/>
  <c r="C247" i="2" a="1"/>
  <c r="C247" i="2" s="1"/>
  <c r="B247" i="2" a="1"/>
  <c r="B247" i="2" s="1"/>
  <c r="CG246" i="2"/>
  <c r="CF246" i="2"/>
  <c r="CE246" i="2"/>
  <c r="CD246" i="2"/>
  <c r="CC246" i="2"/>
  <c r="CB246" i="2"/>
  <c r="CA246" i="2"/>
  <c r="BZ246" i="2"/>
  <c r="BY246" i="2"/>
  <c r="BX246" i="2"/>
  <c r="BW246" i="2"/>
  <c r="BV246" i="2"/>
  <c r="BU246" i="2"/>
  <c r="BT246" i="2"/>
  <c r="BS246" i="2"/>
  <c r="BR246" i="2"/>
  <c r="BQ246" i="2"/>
  <c r="BP246" i="2"/>
  <c r="BO246" i="2"/>
  <c r="BN246" i="2"/>
  <c r="BM246" i="2"/>
  <c r="BL246" i="2"/>
  <c r="BK246" i="2"/>
  <c r="BJ246" i="2"/>
  <c r="BI246" i="2"/>
  <c r="BH246" i="2"/>
  <c r="BG246" i="2"/>
  <c r="BF246" i="2"/>
  <c r="BE246" i="2"/>
  <c r="BC246" i="2"/>
  <c r="BB246" i="2"/>
  <c r="BA246" i="2"/>
  <c r="AZ246" i="2"/>
  <c r="AY246" i="2"/>
  <c r="AX246" i="2"/>
  <c r="AW246" i="2"/>
  <c r="AV246" i="2"/>
  <c r="AU246" i="2"/>
  <c r="AT246" i="2"/>
  <c r="AS246" i="2"/>
  <c r="AR246" i="2"/>
  <c r="AQ246" i="2"/>
  <c r="AP246" i="2"/>
  <c r="AO246" i="2"/>
  <c r="AN246" i="2"/>
  <c r="AM246" i="2"/>
  <c r="AL246" i="2"/>
  <c r="AK246" i="2"/>
  <c r="AJ246" i="2"/>
  <c r="AI246" i="2"/>
  <c r="AH246" i="2"/>
  <c r="AG246" i="2"/>
  <c r="AF246" i="2"/>
  <c r="AE246" i="2"/>
  <c r="AD246" i="2"/>
  <c r="AC246" i="2"/>
  <c r="AB246" i="2"/>
  <c r="AA246" i="2"/>
  <c r="Z246" i="2"/>
  <c r="Y246" i="2"/>
  <c r="X246" i="2"/>
  <c r="W246" i="2"/>
  <c r="V246" i="2"/>
  <c r="U246" i="2"/>
  <c r="T246" i="2"/>
  <c r="S246" i="2"/>
  <c r="R246" i="2"/>
  <c r="Q246" i="2"/>
  <c r="P246" i="2"/>
  <c r="O246" i="2"/>
  <c r="N246" i="2"/>
  <c r="M246" i="2"/>
  <c r="L246" i="2"/>
  <c r="K246" i="2"/>
  <c r="J246" i="2"/>
  <c r="BD246" i="2" s="1"/>
  <c r="I246" i="2"/>
  <c r="E246" i="2" a="1"/>
  <c r="E246" i="2" s="1"/>
  <c r="D246" i="2" a="1"/>
  <c r="D246" i="2" s="1"/>
  <c r="C246" i="2" a="1"/>
  <c r="C246" i="2" s="1"/>
  <c r="B246" i="2" a="1"/>
  <c r="B246" i="2" s="1"/>
  <c r="CG245" i="2"/>
  <c r="CF245" i="2"/>
  <c r="CE245" i="2"/>
  <c r="CD245" i="2"/>
  <c r="CC245" i="2"/>
  <c r="CB245" i="2"/>
  <c r="CA245" i="2"/>
  <c r="BZ245" i="2"/>
  <c r="BY245" i="2"/>
  <c r="BX245" i="2"/>
  <c r="BW245" i="2"/>
  <c r="BV245" i="2"/>
  <c r="BU245" i="2"/>
  <c r="BT245" i="2"/>
  <c r="BS245" i="2"/>
  <c r="BR245" i="2"/>
  <c r="BQ245" i="2"/>
  <c r="BP245" i="2"/>
  <c r="BO245" i="2"/>
  <c r="BN245" i="2"/>
  <c r="BM245" i="2"/>
  <c r="BL245" i="2"/>
  <c r="BK245" i="2"/>
  <c r="BJ245" i="2"/>
  <c r="BI245" i="2"/>
  <c r="BH245" i="2"/>
  <c r="BG245" i="2"/>
  <c r="BF245" i="2"/>
  <c r="BE245" i="2"/>
  <c r="BC245" i="2"/>
  <c r="BB245" i="2"/>
  <c r="BA245" i="2"/>
  <c r="AZ245" i="2"/>
  <c r="AY245" i="2"/>
  <c r="AX245" i="2"/>
  <c r="AW245" i="2"/>
  <c r="AV245" i="2"/>
  <c r="AU245" i="2"/>
  <c r="AT245" i="2"/>
  <c r="AS245" i="2"/>
  <c r="AR245" i="2"/>
  <c r="AQ245" i="2"/>
  <c r="AP245" i="2"/>
  <c r="AO245" i="2"/>
  <c r="AN245" i="2"/>
  <c r="AM245" i="2"/>
  <c r="AL245" i="2"/>
  <c r="AK245" i="2"/>
  <c r="AJ245" i="2"/>
  <c r="AI245" i="2"/>
  <c r="AH245" i="2"/>
  <c r="AG245" i="2"/>
  <c r="AF245" i="2"/>
  <c r="AE245" i="2"/>
  <c r="AD245" i="2"/>
  <c r="AC245" i="2"/>
  <c r="AB245" i="2"/>
  <c r="AA245" i="2"/>
  <c r="Z245" i="2"/>
  <c r="Y245" i="2"/>
  <c r="X245" i="2"/>
  <c r="W245" i="2"/>
  <c r="V245" i="2"/>
  <c r="U245" i="2"/>
  <c r="T245" i="2"/>
  <c r="S245" i="2"/>
  <c r="R245" i="2"/>
  <c r="Q245" i="2"/>
  <c r="P245" i="2"/>
  <c r="O245" i="2"/>
  <c r="N245" i="2"/>
  <c r="M245" i="2"/>
  <c r="L245" i="2"/>
  <c r="K245" i="2"/>
  <c r="J245" i="2"/>
  <c r="BD245" i="2" s="1"/>
  <c r="I245" i="2"/>
  <c r="E245" i="2" a="1"/>
  <c r="E245" i="2" s="1"/>
  <c r="D245" i="2" a="1"/>
  <c r="D245" i="2" s="1"/>
  <c r="C245" i="2" a="1"/>
  <c r="C245" i="2" s="1"/>
  <c r="B245" i="2" a="1"/>
  <c r="B245" i="2" s="1"/>
  <c r="CG244" i="2"/>
  <c r="CF244" i="2"/>
  <c r="CE244" i="2"/>
  <c r="CD244" i="2"/>
  <c r="CC244" i="2"/>
  <c r="CB244" i="2"/>
  <c r="CA244" i="2"/>
  <c r="BZ244" i="2"/>
  <c r="BY244" i="2"/>
  <c r="BX244" i="2"/>
  <c r="BW244" i="2"/>
  <c r="BV244" i="2"/>
  <c r="BU244" i="2"/>
  <c r="BT244" i="2"/>
  <c r="BS244" i="2"/>
  <c r="BR244" i="2"/>
  <c r="BQ244" i="2"/>
  <c r="BP244" i="2"/>
  <c r="BO244" i="2"/>
  <c r="BN244" i="2"/>
  <c r="BM244" i="2"/>
  <c r="BL244" i="2"/>
  <c r="BK244" i="2"/>
  <c r="BJ244" i="2"/>
  <c r="BI244" i="2"/>
  <c r="BH244" i="2"/>
  <c r="BG244" i="2"/>
  <c r="BF244" i="2"/>
  <c r="BE244" i="2"/>
  <c r="BD244" i="2"/>
  <c r="BC244" i="2"/>
  <c r="BB244" i="2"/>
  <c r="BA244" i="2"/>
  <c r="AZ244" i="2"/>
  <c r="AY244" i="2"/>
  <c r="AX244" i="2"/>
  <c r="AW244" i="2"/>
  <c r="AV244" i="2"/>
  <c r="AU244" i="2"/>
  <c r="AT244" i="2"/>
  <c r="AS244" i="2"/>
  <c r="AR244" i="2"/>
  <c r="AQ244" i="2"/>
  <c r="AP244" i="2"/>
  <c r="AO244" i="2"/>
  <c r="AN244" i="2"/>
  <c r="AM244" i="2"/>
  <c r="AL244" i="2"/>
  <c r="AK244" i="2"/>
  <c r="AJ244" i="2"/>
  <c r="AI244" i="2"/>
  <c r="AH244" i="2"/>
  <c r="AG244" i="2"/>
  <c r="AF244" i="2"/>
  <c r="AE244" i="2"/>
  <c r="AD244" i="2"/>
  <c r="AC244" i="2"/>
  <c r="AB244" i="2"/>
  <c r="AA244" i="2"/>
  <c r="Z244" i="2"/>
  <c r="Y244" i="2"/>
  <c r="X244" i="2"/>
  <c r="W244" i="2"/>
  <c r="V244" i="2"/>
  <c r="U244" i="2"/>
  <c r="T244" i="2"/>
  <c r="S244" i="2"/>
  <c r="R244" i="2"/>
  <c r="Q244" i="2"/>
  <c r="P244" i="2"/>
  <c r="O244" i="2"/>
  <c r="N244" i="2"/>
  <c r="M244" i="2"/>
  <c r="L244" i="2"/>
  <c r="K244" i="2"/>
  <c r="J244" i="2"/>
  <c r="I244" i="2"/>
  <c r="E244" i="2" a="1"/>
  <c r="E244" i="2" s="1"/>
  <c r="D244" i="2" a="1"/>
  <c r="D244" i="2" s="1"/>
  <c r="C244" i="2" a="1"/>
  <c r="C244" i="2" s="1"/>
  <c r="B244" i="2" a="1"/>
  <c r="B244" i="2" s="1"/>
  <c r="CG243" i="2"/>
  <c r="CF243" i="2"/>
  <c r="CE243" i="2"/>
  <c r="CD243" i="2"/>
  <c r="CC243" i="2"/>
  <c r="CB243" i="2"/>
  <c r="CA243" i="2"/>
  <c r="BZ243" i="2"/>
  <c r="BY243" i="2"/>
  <c r="BX243" i="2"/>
  <c r="BW243" i="2"/>
  <c r="BV243" i="2"/>
  <c r="BU243" i="2"/>
  <c r="BT243" i="2"/>
  <c r="BS243" i="2"/>
  <c r="BR243" i="2"/>
  <c r="BQ243" i="2"/>
  <c r="BP243" i="2"/>
  <c r="BO243" i="2"/>
  <c r="BN243" i="2"/>
  <c r="BM243" i="2"/>
  <c r="BL243" i="2"/>
  <c r="BK243" i="2"/>
  <c r="BJ243" i="2"/>
  <c r="BI243" i="2"/>
  <c r="BH243" i="2"/>
  <c r="BG243" i="2"/>
  <c r="BF243" i="2"/>
  <c r="BE243" i="2"/>
  <c r="BD243" i="2"/>
  <c r="BC243" i="2"/>
  <c r="BB243" i="2"/>
  <c r="BA243" i="2"/>
  <c r="AZ243" i="2"/>
  <c r="AY243" i="2"/>
  <c r="AX243" i="2"/>
  <c r="AW243" i="2"/>
  <c r="AV243" i="2"/>
  <c r="AU243" i="2"/>
  <c r="AT243" i="2"/>
  <c r="AS243" i="2"/>
  <c r="AR243" i="2"/>
  <c r="AQ243" i="2"/>
  <c r="AP243" i="2"/>
  <c r="AO243" i="2"/>
  <c r="AN243" i="2"/>
  <c r="AM243" i="2"/>
  <c r="AL243" i="2"/>
  <c r="AK243" i="2"/>
  <c r="AJ243" i="2"/>
  <c r="AI243" i="2"/>
  <c r="AH243" i="2"/>
  <c r="AG243" i="2"/>
  <c r="AF243" i="2"/>
  <c r="AE243" i="2"/>
  <c r="AD243" i="2"/>
  <c r="AC243" i="2"/>
  <c r="AB243" i="2"/>
  <c r="AA243" i="2"/>
  <c r="Z243" i="2"/>
  <c r="Y243" i="2"/>
  <c r="X243" i="2"/>
  <c r="W243" i="2"/>
  <c r="V243" i="2"/>
  <c r="U243" i="2"/>
  <c r="T243" i="2"/>
  <c r="S243" i="2"/>
  <c r="R243" i="2"/>
  <c r="Q243" i="2"/>
  <c r="P243" i="2"/>
  <c r="O243" i="2"/>
  <c r="N243" i="2"/>
  <c r="M243" i="2"/>
  <c r="L243" i="2"/>
  <c r="K243" i="2"/>
  <c r="J243" i="2"/>
  <c r="I243" i="2"/>
  <c r="E243" i="2" a="1"/>
  <c r="E243" i="2" s="1"/>
  <c r="D243" i="2" a="1"/>
  <c r="D243" i="2" s="1"/>
  <c r="C243" i="2" a="1"/>
  <c r="C243" i="2" s="1"/>
  <c r="B243" i="2" a="1"/>
  <c r="B243" i="2" s="1"/>
  <c r="CG242" i="2"/>
  <c r="CF242" i="2"/>
  <c r="CE242" i="2"/>
  <c r="CD242" i="2"/>
  <c r="CC242" i="2"/>
  <c r="CB242" i="2"/>
  <c r="CA242" i="2"/>
  <c r="BZ242" i="2"/>
  <c r="BY242" i="2"/>
  <c r="BX242" i="2"/>
  <c r="BW242" i="2"/>
  <c r="BV242" i="2"/>
  <c r="BU242" i="2"/>
  <c r="BT242" i="2"/>
  <c r="BS242" i="2"/>
  <c r="BR242" i="2"/>
  <c r="BQ242" i="2"/>
  <c r="BP242" i="2"/>
  <c r="BO242" i="2"/>
  <c r="BN242" i="2"/>
  <c r="BM242" i="2"/>
  <c r="BL242" i="2"/>
  <c r="BK242" i="2"/>
  <c r="BJ242" i="2"/>
  <c r="BI242" i="2"/>
  <c r="BH242" i="2"/>
  <c r="BG242" i="2"/>
  <c r="BF242" i="2"/>
  <c r="BE242" i="2"/>
  <c r="BC242" i="2"/>
  <c r="BB242" i="2"/>
  <c r="BA242" i="2"/>
  <c r="AZ242" i="2"/>
  <c r="AY242" i="2"/>
  <c r="AX242" i="2"/>
  <c r="AW242" i="2"/>
  <c r="AV242" i="2"/>
  <c r="AU242" i="2"/>
  <c r="AT242" i="2"/>
  <c r="AS242" i="2"/>
  <c r="AR242" i="2"/>
  <c r="AQ242" i="2"/>
  <c r="AP242" i="2"/>
  <c r="AO242" i="2"/>
  <c r="AN242" i="2"/>
  <c r="AM242" i="2"/>
  <c r="AL242" i="2"/>
  <c r="AK242" i="2"/>
  <c r="AJ242" i="2"/>
  <c r="AI242" i="2"/>
  <c r="AH242" i="2"/>
  <c r="AG242" i="2"/>
  <c r="AF242" i="2"/>
  <c r="AE242" i="2"/>
  <c r="AD242" i="2"/>
  <c r="AC242" i="2"/>
  <c r="AB242" i="2"/>
  <c r="AA242" i="2"/>
  <c r="Z242" i="2"/>
  <c r="Y242" i="2"/>
  <c r="X242" i="2"/>
  <c r="W242" i="2"/>
  <c r="V242" i="2"/>
  <c r="U242" i="2"/>
  <c r="T242" i="2"/>
  <c r="S242" i="2"/>
  <c r="R242" i="2"/>
  <c r="Q242" i="2"/>
  <c r="P242" i="2"/>
  <c r="O242" i="2"/>
  <c r="N242" i="2"/>
  <c r="M242" i="2"/>
  <c r="L242" i="2"/>
  <c r="K242" i="2"/>
  <c r="J242" i="2"/>
  <c r="BD242" i="2" s="1"/>
  <c r="I242" i="2"/>
  <c r="E242" i="2" a="1"/>
  <c r="E242" i="2" s="1"/>
  <c r="D242" i="2" a="1"/>
  <c r="D242" i="2" s="1"/>
  <c r="C242" i="2" a="1"/>
  <c r="C242" i="2" s="1"/>
  <c r="B242" i="2" a="1"/>
  <c r="B242" i="2" s="1"/>
  <c r="CG241" i="2"/>
  <c r="CF241" i="2"/>
  <c r="CE241" i="2"/>
  <c r="CD241" i="2"/>
  <c r="CC241" i="2"/>
  <c r="CB241" i="2"/>
  <c r="CA241" i="2"/>
  <c r="BZ241" i="2"/>
  <c r="BY241" i="2"/>
  <c r="BX241" i="2"/>
  <c r="BW241" i="2"/>
  <c r="BV241" i="2"/>
  <c r="BU241" i="2"/>
  <c r="BT241" i="2"/>
  <c r="BS241" i="2"/>
  <c r="BR241" i="2"/>
  <c r="BQ241" i="2"/>
  <c r="BP241" i="2"/>
  <c r="BO241" i="2"/>
  <c r="BN241" i="2"/>
  <c r="BM241" i="2"/>
  <c r="BL241" i="2"/>
  <c r="BK241" i="2"/>
  <c r="BJ241" i="2"/>
  <c r="BI241" i="2"/>
  <c r="BH241" i="2"/>
  <c r="BG241" i="2"/>
  <c r="BF241" i="2"/>
  <c r="BE241" i="2"/>
  <c r="BC241" i="2"/>
  <c r="BB241" i="2"/>
  <c r="BA241" i="2"/>
  <c r="AZ241" i="2"/>
  <c r="AY241" i="2"/>
  <c r="AX241" i="2"/>
  <c r="AW241" i="2"/>
  <c r="AV241" i="2"/>
  <c r="AU241" i="2"/>
  <c r="AT241" i="2"/>
  <c r="AS241" i="2"/>
  <c r="AR241" i="2"/>
  <c r="AQ241" i="2"/>
  <c r="AP241" i="2"/>
  <c r="AO241" i="2"/>
  <c r="AN241" i="2"/>
  <c r="AM241" i="2"/>
  <c r="AL241" i="2"/>
  <c r="AK241" i="2"/>
  <c r="AJ241" i="2"/>
  <c r="AI241" i="2"/>
  <c r="AH241" i="2"/>
  <c r="AG241" i="2"/>
  <c r="AF241" i="2"/>
  <c r="AE241" i="2"/>
  <c r="AD241" i="2"/>
  <c r="AC241" i="2"/>
  <c r="AB241" i="2"/>
  <c r="AA241" i="2"/>
  <c r="Z241" i="2"/>
  <c r="Y241" i="2"/>
  <c r="X241" i="2"/>
  <c r="W241" i="2"/>
  <c r="V241" i="2"/>
  <c r="U241" i="2"/>
  <c r="T241" i="2"/>
  <c r="S241" i="2"/>
  <c r="R241" i="2"/>
  <c r="Q241" i="2"/>
  <c r="P241" i="2"/>
  <c r="O241" i="2"/>
  <c r="N241" i="2"/>
  <c r="M241" i="2"/>
  <c r="L241" i="2"/>
  <c r="K241" i="2"/>
  <c r="J241" i="2"/>
  <c r="BD241" i="2" s="1"/>
  <c r="I241" i="2"/>
  <c r="E241" i="2" a="1"/>
  <c r="E241" i="2" s="1"/>
  <c r="D241" i="2" a="1"/>
  <c r="D241" i="2" s="1"/>
  <c r="C241" i="2" a="1"/>
  <c r="C241" i="2" s="1"/>
  <c r="B241" i="2" a="1"/>
  <c r="B241" i="2" s="1"/>
  <c r="CG240" i="2"/>
  <c r="CF240" i="2"/>
  <c r="CE240" i="2"/>
  <c r="CD240" i="2"/>
  <c r="CC240" i="2"/>
  <c r="CB240" i="2"/>
  <c r="CA240" i="2"/>
  <c r="BZ240" i="2"/>
  <c r="BY240" i="2"/>
  <c r="BX240" i="2"/>
  <c r="BW240" i="2"/>
  <c r="BV240" i="2"/>
  <c r="BU240" i="2"/>
  <c r="BT240" i="2"/>
  <c r="BS240" i="2"/>
  <c r="BR240" i="2"/>
  <c r="BQ240" i="2"/>
  <c r="BP240" i="2"/>
  <c r="BO240" i="2"/>
  <c r="BN240" i="2"/>
  <c r="BM240" i="2"/>
  <c r="BL240" i="2"/>
  <c r="BK240" i="2"/>
  <c r="BJ240" i="2"/>
  <c r="BI240" i="2"/>
  <c r="BH240" i="2"/>
  <c r="BG240" i="2"/>
  <c r="BF240" i="2"/>
  <c r="BE240" i="2"/>
  <c r="BD240" i="2"/>
  <c r="BC240" i="2"/>
  <c r="BB240" i="2"/>
  <c r="BA240" i="2"/>
  <c r="AZ240" i="2"/>
  <c r="AY240" i="2"/>
  <c r="AX240" i="2"/>
  <c r="AW240" i="2"/>
  <c r="AV240" i="2"/>
  <c r="AU240" i="2"/>
  <c r="AT240" i="2"/>
  <c r="AS240" i="2"/>
  <c r="AR240" i="2"/>
  <c r="AQ240" i="2"/>
  <c r="AP240" i="2"/>
  <c r="AO240" i="2"/>
  <c r="AN240" i="2"/>
  <c r="AM240" i="2"/>
  <c r="AL240" i="2"/>
  <c r="AK240" i="2"/>
  <c r="AJ240" i="2"/>
  <c r="AI240" i="2"/>
  <c r="AH240" i="2"/>
  <c r="AG240" i="2"/>
  <c r="AF240" i="2"/>
  <c r="AE240" i="2"/>
  <c r="AD240" i="2"/>
  <c r="AC240" i="2"/>
  <c r="AB240" i="2"/>
  <c r="AA240" i="2"/>
  <c r="Z240" i="2"/>
  <c r="Y240" i="2"/>
  <c r="X240" i="2"/>
  <c r="W240" i="2"/>
  <c r="V240" i="2"/>
  <c r="U240" i="2"/>
  <c r="T240" i="2"/>
  <c r="S240" i="2"/>
  <c r="R240" i="2"/>
  <c r="Q240" i="2"/>
  <c r="P240" i="2"/>
  <c r="O240" i="2"/>
  <c r="N240" i="2"/>
  <c r="M240" i="2"/>
  <c r="L240" i="2"/>
  <c r="K240" i="2"/>
  <c r="J240" i="2"/>
  <c r="I240" i="2"/>
  <c r="E240" i="2" a="1"/>
  <c r="E240" i="2" s="1"/>
  <c r="D240" i="2" a="1"/>
  <c r="D240" i="2" s="1"/>
  <c r="C240" i="2" a="1"/>
  <c r="C240" i="2" s="1"/>
  <c r="B240" i="2" a="1"/>
  <c r="B240" i="2" s="1"/>
  <c r="CG239" i="2"/>
  <c r="CF239" i="2"/>
  <c r="CE239" i="2"/>
  <c r="CD239" i="2"/>
  <c r="CC239" i="2"/>
  <c r="CB239" i="2"/>
  <c r="CA239" i="2"/>
  <c r="BZ239" i="2"/>
  <c r="BY239" i="2"/>
  <c r="BX239" i="2"/>
  <c r="BW239" i="2"/>
  <c r="BV239" i="2"/>
  <c r="BU239" i="2"/>
  <c r="BT239" i="2"/>
  <c r="BS239" i="2"/>
  <c r="BR239" i="2"/>
  <c r="BQ239" i="2"/>
  <c r="BP239" i="2"/>
  <c r="BO239" i="2"/>
  <c r="BN239" i="2"/>
  <c r="BM239" i="2"/>
  <c r="BL239" i="2"/>
  <c r="BK239" i="2"/>
  <c r="BJ239" i="2"/>
  <c r="BI239" i="2"/>
  <c r="BH239" i="2"/>
  <c r="BG239" i="2"/>
  <c r="BF239" i="2"/>
  <c r="BE239" i="2"/>
  <c r="BD239" i="2"/>
  <c r="BC239" i="2"/>
  <c r="BB239" i="2"/>
  <c r="BA239" i="2"/>
  <c r="AZ239" i="2"/>
  <c r="AY239" i="2"/>
  <c r="AX239" i="2"/>
  <c r="AW239" i="2"/>
  <c r="AV239" i="2"/>
  <c r="AU239" i="2"/>
  <c r="AT239" i="2"/>
  <c r="AS239" i="2"/>
  <c r="AR239" i="2"/>
  <c r="AQ239" i="2"/>
  <c r="AP239" i="2"/>
  <c r="AO239" i="2"/>
  <c r="AN239" i="2"/>
  <c r="AM239" i="2"/>
  <c r="AL239" i="2"/>
  <c r="AK239" i="2"/>
  <c r="AJ239" i="2"/>
  <c r="AI239" i="2"/>
  <c r="AH239" i="2"/>
  <c r="AG239" i="2"/>
  <c r="AF239" i="2"/>
  <c r="AE239" i="2"/>
  <c r="AD239" i="2"/>
  <c r="AC239" i="2"/>
  <c r="AB239" i="2"/>
  <c r="AA239" i="2"/>
  <c r="Z239" i="2"/>
  <c r="Y239" i="2"/>
  <c r="X239" i="2"/>
  <c r="W239" i="2"/>
  <c r="V239" i="2"/>
  <c r="U239" i="2"/>
  <c r="T239" i="2"/>
  <c r="S239" i="2"/>
  <c r="R239" i="2"/>
  <c r="Q239" i="2"/>
  <c r="P239" i="2"/>
  <c r="O239" i="2"/>
  <c r="N239" i="2"/>
  <c r="M239" i="2"/>
  <c r="L239" i="2"/>
  <c r="K239" i="2"/>
  <c r="J239" i="2"/>
  <c r="I239" i="2"/>
  <c r="E239" i="2" a="1"/>
  <c r="E239" i="2" s="1"/>
  <c r="D239" i="2" a="1"/>
  <c r="D239" i="2" s="1"/>
  <c r="C239" i="2" a="1"/>
  <c r="C239" i="2" s="1"/>
  <c r="B239" i="2" a="1"/>
  <c r="B239" i="2" s="1"/>
  <c r="CG238" i="2"/>
  <c r="CF238" i="2"/>
  <c r="CE238" i="2"/>
  <c r="CD238" i="2"/>
  <c r="CC238" i="2"/>
  <c r="CB238" i="2"/>
  <c r="CA238" i="2"/>
  <c r="BZ238" i="2"/>
  <c r="BY238" i="2"/>
  <c r="BX238" i="2"/>
  <c r="BW238" i="2"/>
  <c r="BV238" i="2"/>
  <c r="BU238" i="2"/>
  <c r="BT238" i="2"/>
  <c r="BS238" i="2"/>
  <c r="BR238" i="2"/>
  <c r="BQ238" i="2"/>
  <c r="BP238" i="2"/>
  <c r="BO238" i="2"/>
  <c r="BN238" i="2"/>
  <c r="BM238" i="2"/>
  <c r="BL238" i="2"/>
  <c r="BK238" i="2"/>
  <c r="BJ238" i="2"/>
  <c r="BI238" i="2"/>
  <c r="BH238" i="2"/>
  <c r="BG238" i="2"/>
  <c r="BF238" i="2"/>
  <c r="BE238" i="2"/>
  <c r="BC238" i="2"/>
  <c r="BB238" i="2"/>
  <c r="BA238" i="2"/>
  <c r="AZ238" i="2"/>
  <c r="AY238" i="2"/>
  <c r="AX238" i="2"/>
  <c r="AW238" i="2"/>
  <c r="AV238" i="2"/>
  <c r="AU238" i="2"/>
  <c r="AT238" i="2"/>
  <c r="AS238" i="2"/>
  <c r="AR238" i="2"/>
  <c r="AQ238" i="2"/>
  <c r="AP238" i="2"/>
  <c r="AO238" i="2"/>
  <c r="AN238" i="2"/>
  <c r="AM238" i="2"/>
  <c r="AL238" i="2"/>
  <c r="AK238" i="2"/>
  <c r="AJ238" i="2"/>
  <c r="AI238" i="2"/>
  <c r="AH238" i="2"/>
  <c r="AG238" i="2"/>
  <c r="AF238" i="2"/>
  <c r="AE238" i="2"/>
  <c r="AD238" i="2"/>
  <c r="AC238" i="2"/>
  <c r="AB238" i="2"/>
  <c r="AA238" i="2"/>
  <c r="Z238" i="2"/>
  <c r="Y238" i="2"/>
  <c r="X238" i="2"/>
  <c r="W238" i="2"/>
  <c r="V238" i="2"/>
  <c r="U238" i="2"/>
  <c r="T238" i="2"/>
  <c r="S238" i="2"/>
  <c r="R238" i="2"/>
  <c r="Q238" i="2"/>
  <c r="P238" i="2"/>
  <c r="O238" i="2"/>
  <c r="N238" i="2"/>
  <c r="M238" i="2"/>
  <c r="L238" i="2"/>
  <c r="K238" i="2"/>
  <c r="J238" i="2"/>
  <c r="BD238" i="2" s="1"/>
  <c r="I238" i="2"/>
  <c r="E238" i="2" a="1"/>
  <c r="E238" i="2" s="1"/>
  <c r="D238" i="2" a="1"/>
  <c r="D238" i="2" s="1"/>
  <c r="C238" i="2" a="1"/>
  <c r="C238" i="2" s="1"/>
  <c r="B238" i="2" a="1"/>
  <c r="B238" i="2" s="1"/>
  <c r="CG237" i="2"/>
  <c r="CF237" i="2"/>
  <c r="CE237" i="2"/>
  <c r="CD237" i="2"/>
  <c r="CC237" i="2"/>
  <c r="CB237" i="2"/>
  <c r="CA237" i="2"/>
  <c r="BZ237" i="2"/>
  <c r="BY237" i="2"/>
  <c r="BX237" i="2"/>
  <c r="BW237" i="2"/>
  <c r="BV237" i="2"/>
  <c r="BU237" i="2"/>
  <c r="BT237" i="2"/>
  <c r="BS237" i="2"/>
  <c r="BR237" i="2"/>
  <c r="BQ237" i="2"/>
  <c r="BP237" i="2"/>
  <c r="BO237" i="2"/>
  <c r="BN237" i="2"/>
  <c r="BM237" i="2"/>
  <c r="BL237" i="2"/>
  <c r="BK237" i="2"/>
  <c r="BJ237" i="2"/>
  <c r="BI237" i="2"/>
  <c r="BH237" i="2"/>
  <c r="BG237" i="2"/>
  <c r="BF237" i="2"/>
  <c r="BE237" i="2"/>
  <c r="BC237" i="2"/>
  <c r="BB237" i="2"/>
  <c r="BA237" i="2"/>
  <c r="AZ237" i="2"/>
  <c r="AY237" i="2"/>
  <c r="AX237" i="2"/>
  <c r="AW237" i="2"/>
  <c r="AV237" i="2"/>
  <c r="AU237" i="2"/>
  <c r="AT237" i="2"/>
  <c r="AS237" i="2"/>
  <c r="AR237" i="2"/>
  <c r="AQ237" i="2"/>
  <c r="AP237" i="2"/>
  <c r="AO237" i="2"/>
  <c r="AN237" i="2"/>
  <c r="AM237" i="2"/>
  <c r="AL237" i="2"/>
  <c r="AK237" i="2"/>
  <c r="AJ237" i="2"/>
  <c r="AI237" i="2"/>
  <c r="AH237" i="2"/>
  <c r="AG237" i="2"/>
  <c r="AF237" i="2"/>
  <c r="AE237" i="2"/>
  <c r="AD237" i="2"/>
  <c r="AC237" i="2"/>
  <c r="AB237" i="2"/>
  <c r="AA237" i="2"/>
  <c r="Z237" i="2"/>
  <c r="Y237" i="2"/>
  <c r="X237" i="2"/>
  <c r="W237" i="2"/>
  <c r="V237" i="2"/>
  <c r="U237" i="2"/>
  <c r="T237" i="2"/>
  <c r="S237" i="2"/>
  <c r="R237" i="2"/>
  <c r="Q237" i="2"/>
  <c r="P237" i="2"/>
  <c r="O237" i="2"/>
  <c r="N237" i="2"/>
  <c r="M237" i="2"/>
  <c r="L237" i="2"/>
  <c r="K237" i="2"/>
  <c r="J237" i="2"/>
  <c r="BD237" i="2" s="1"/>
  <c r="I237" i="2"/>
  <c r="E237" i="2" a="1"/>
  <c r="E237" i="2" s="1"/>
  <c r="D237" i="2" a="1"/>
  <c r="D237" i="2" s="1"/>
  <c r="C237" i="2" a="1"/>
  <c r="C237" i="2" s="1"/>
  <c r="B237" i="2" a="1"/>
  <c r="B237" i="2" s="1"/>
  <c r="CG236" i="2"/>
  <c r="CF236" i="2"/>
  <c r="CE236" i="2"/>
  <c r="CD236" i="2"/>
  <c r="CC236" i="2"/>
  <c r="CB236" i="2"/>
  <c r="CA236" i="2"/>
  <c r="BZ236" i="2"/>
  <c r="BY236" i="2"/>
  <c r="BX236" i="2"/>
  <c r="BW236" i="2"/>
  <c r="BV236" i="2"/>
  <c r="BU236" i="2"/>
  <c r="BT236" i="2"/>
  <c r="BS236" i="2"/>
  <c r="BR236" i="2"/>
  <c r="BQ236" i="2"/>
  <c r="BP236" i="2"/>
  <c r="BO236" i="2"/>
  <c r="BN236" i="2"/>
  <c r="BM236" i="2"/>
  <c r="BL236" i="2"/>
  <c r="BK236" i="2"/>
  <c r="BJ236" i="2"/>
  <c r="BI236" i="2"/>
  <c r="BH236" i="2"/>
  <c r="BG236" i="2"/>
  <c r="BF236" i="2"/>
  <c r="BE236" i="2"/>
  <c r="BD236" i="2"/>
  <c r="BC236" i="2"/>
  <c r="BB236" i="2"/>
  <c r="BA236" i="2"/>
  <c r="AZ236" i="2"/>
  <c r="AY236" i="2"/>
  <c r="AX236" i="2"/>
  <c r="AW236" i="2"/>
  <c r="AV236" i="2"/>
  <c r="AU236" i="2"/>
  <c r="AT236" i="2"/>
  <c r="AS236" i="2"/>
  <c r="AR236" i="2"/>
  <c r="AQ236" i="2"/>
  <c r="AP236" i="2"/>
  <c r="AO236" i="2"/>
  <c r="AN236" i="2"/>
  <c r="AM236" i="2"/>
  <c r="AL236" i="2"/>
  <c r="AK236" i="2"/>
  <c r="AJ236" i="2"/>
  <c r="AI236" i="2"/>
  <c r="AH236" i="2"/>
  <c r="AG236" i="2"/>
  <c r="AF236" i="2"/>
  <c r="AE236" i="2"/>
  <c r="AD236" i="2"/>
  <c r="AC236" i="2"/>
  <c r="AB236" i="2"/>
  <c r="AA236" i="2"/>
  <c r="Z236" i="2"/>
  <c r="Y236" i="2"/>
  <c r="X236" i="2"/>
  <c r="W236" i="2"/>
  <c r="V236" i="2"/>
  <c r="U236" i="2"/>
  <c r="T236" i="2"/>
  <c r="S236" i="2"/>
  <c r="R236" i="2"/>
  <c r="Q236" i="2"/>
  <c r="P236" i="2"/>
  <c r="O236" i="2"/>
  <c r="N236" i="2"/>
  <c r="M236" i="2"/>
  <c r="L236" i="2"/>
  <c r="K236" i="2"/>
  <c r="J236" i="2"/>
  <c r="I236" i="2"/>
  <c r="E236" i="2" a="1"/>
  <c r="E236" i="2" s="1"/>
  <c r="D236" i="2" a="1"/>
  <c r="D236" i="2" s="1"/>
  <c r="C236" i="2" a="1"/>
  <c r="C236" i="2" s="1"/>
  <c r="B236" i="2" a="1"/>
  <c r="B236" i="2" s="1"/>
  <c r="CG235" i="2"/>
  <c r="CF235" i="2"/>
  <c r="CE235" i="2"/>
  <c r="CD235" i="2"/>
  <c r="CC235" i="2"/>
  <c r="CB235" i="2"/>
  <c r="CA235" i="2"/>
  <c r="BZ235" i="2"/>
  <c r="BY235" i="2"/>
  <c r="BX235" i="2"/>
  <c r="BW235" i="2"/>
  <c r="BV235" i="2"/>
  <c r="BU235" i="2"/>
  <c r="BT235" i="2"/>
  <c r="BS235" i="2"/>
  <c r="BR235" i="2"/>
  <c r="BQ235" i="2"/>
  <c r="BP235" i="2"/>
  <c r="BO235" i="2"/>
  <c r="BN235" i="2"/>
  <c r="BM235" i="2"/>
  <c r="BL235" i="2"/>
  <c r="BK235" i="2"/>
  <c r="BJ235" i="2"/>
  <c r="BI235" i="2"/>
  <c r="BH235" i="2"/>
  <c r="BG235" i="2"/>
  <c r="BF235" i="2"/>
  <c r="BE235" i="2"/>
  <c r="BD235" i="2"/>
  <c r="BC235" i="2"/>
  <c r="BB235" i="2"/>
  <c r="BA235" i="2"/>
  <c r="AZ235" i="2"/>
  <c r="AY235" i="2"/>
  <c r="AX235" i="2"/>
  <c r="AW235" i="2"/>
  <c r="AV235" i="2"/>
  <c r="AU235" i="2"/>
  <c r="AT235" i="2"/>
  <c r="AS235" i="2"/>
  <c r="AR235" i="2"/>
  <c r="AQ235" i="2"/>
  <c r="AP235" i="2"/>
  <c r="AO235" i="2"/>
  <c r="AN235" i="2"/>
  <c r="AM235" i="2"/>
  <c r="AL235" i="2"/>
  <c r="AK235" i="2"/>
  <c r="AJ235" i="2"/>
  <c r="AI235" i="2"/>
  <c r="AH235" i="2"/>
  <c r="AG235" i="2"/>
  <c r="AF235" i="2"/>
  <c r="AE235" i="2"/>
  <c r="AD235" i="2"/>
  <c r="AC235" i="2"/>
  <c r="AB235" i="2"/>
  <c r="AA235" i="2"/>
  <c r="Z235" i="2"/>
  <c r="Y235" i="2"/>
  <c r="X235" i="2"/>
  <c r="W235" i="2"/>
  <c r="V235" i="2"/>
  <c r="U235" i="2"/>
  <c r="T235" i="2"/>
  <c r="S235" i="2"/>
  <c r="R235" i="2"/>
  <c r="Q235" i="2"/>
  <c r="P235" i="2"/>
  <c r="O235" i="2"/>
  <c r="N235" i="2"/>
  <c r="M235" i="2"/>
  <c r="L235" i="2"/>
  <c r="K235" i="2"/>
  <c r="J235" i="2"/>
  <c r="I235" i="2"/>
  <c r="E235" i="2" a="1"/>
  <c r="E235" i="2" s="1"/>
  <c r="D235" i="2" a="1"/>
  <c r="D235" i="2" s="1"/>
  <c r="C235" i="2" a="1"/>
  <c r="C235" i="2" s="1"/>
  <c r="B235" i="2" a="1"/>
  <c r="B235" i="2" s="1"/>
  <c r="CG234" i="2"/>
  <c r="CF234" i="2"/>
  <c r="CE234" i="2"/>
  <c r="CD234" i="2"/>
  <c r="CC234" i="2"/>
  <c r="CB234" i="2"/>
  <c r="CA234" i="2"/>
  <c r="BZ234" i="2"/>
  <c r="BY234" i="2"/>
  <c r="BX234" i="2"/>
  <c r="BW234" i="2"/>
  <c r="BV234" i="2"/>
  <c r="BU234" i="2"/>
  <c r="BT234" i="2"/>
  <c r="BS234" i="2"/>
  <c r="BR234" i="2"/>
  <c r="BQ234" i="2"/>
  <c r="BP234" i="2"/>
  <c r="BO234" i="2"/>
  <c r="BN234" i="2"/>
  <c r="BM234" i="2"/>
  <c r="BL234" i="2"/>
  <c r="BK234" i="2"/>
  <c r="BJ234" i="2"/>
  <c r="BI234" i="2"/>
  <c r="BH234" i="2"/>
  <c r="BG234" i="2"/>
  <c r="BF234" i="2"/>
  <c r="BE234" i="2"/>
  <c r="BC234" i="2"/>
  <c r="BB234" i="2"/>
  <c r="BA234" i="2"/>
  <c r="AZ234" i="2"/>
  <c r="AY234" i="2"/>
  <c r="AX234" i="2"/>
  <c r="AW234" i="2"/>
  <c r="AV234" i="2"/>
  <c r="AU234" i="2"/>
  <c r="AT234" i="2"/>
  <c r="AS234" i="2"/>
  <c r="AR234" i="2"/>
  <c r="AQ234" i="2"/>
  <c r="AP234" i="2"/>
  <c r="AO234" i="2"/>
  <c r="AN234" i="2"/>
  <c r="AM234" i="2"/>
  <c r="AL234" i="2"/>
  <c r="AK234" i="2"/>
  <c r="AJ234" i="2"/>
  <c r="AI234" i="2"/>
  <c r="AH234" i="2"/>
  <c r="AG234" i="2"/>
  <c r="AF234" i="2"/>
  <c r="AE234" i="2"/>
  <c r="AD234" i="2"/>
  <c r="AC234" i="2"/>
  <c r="AB234" i="2"/>
  <c r="AA234" i="2"/>
  <c r="Z234" i="2"/>
  <c r="Y234" i="2"/>
  <c r="X234" i="2"/>
  <c r="W234" i="2"/>
  <c r="V234" i="2"/>
  <c r="U234" i="2"/>
  <c r="T234" i="2"/>
  <c r="S234" i="2"/>
  <c r="R234" i="2"/>
  <c r="Q234" i="2"/>
  <c r="P234" i="2"/>
  <c r="O234" i="2"/>
  <c r="N234" i="2"/>
  <c r="M234" i="2"/>
  <c r="L234" i="2"/>
  <c r="K234" i="2"/>
  <c r="J234" i="2"/>
  <c r="BD234" i="2" s="1"/>
  <c r="I234" i="2"/>
  <c r="E234" i="2" a="1"/>
  <c r="E234" i="2" s="1"/>
  <c r="D234" i="2" a="1"/>
  <c r="D234" i="2" s="1"/>
  <c r="C234" i="2" a="1"/>
  <c r="C234" i="2" s="1"/>
  <c r="B234" i="2" a="1"/>
  <c r="B234" i="2" s="1"/>
  <c r="CG233" i="2"/>
  <c r="CF233" i="2"/>
  <c r="CE233" i="2"/>
  <c r="CD233" i="2"/>
  <c r="CC233" i="2"/>
  <c r="CB233" i="2"/>
  <c r="CA233" i="2"/>
  <c r="BZ233" i="2"/>
  <c r="BY233" i="2"/>
  <c r="BX233" i="2"/>
  <c r="BW233" i="2"/>
  <c r="BV233" i="2"/>
  <c r="BU233" i="2"/>
  <c r="BT233" i="2"/>
  <c r="BS233" i="2"/>
  <c r="BR233" i="2"/>
  <c r="BQ233" i="2"/>
  <c r="BP233" i="2"/>
  <c r="BO233" i="2"/>
  <c r="BN233" i="2"/>
  <c r="BM233" i="2"/>
  <c r="BL233" i="2"/>
  <c r="BK233" i="2"/>
  <c r="BJ233" i="2"/>
  <c r="BI233" i="2"/>
  <c r="BH233" i="2"/>
  <c r="BG233" i="2"/>
  <c r="BF233" i="2"/>
  <c r="BE233" i="2"/>
  <c r="BC233" i="2"/>
  <c r="BB233" i="2"/>
  <c r="BA233" i="2"/>
  <c r="AZ233" i="2"/>
  <c r="AY233" i="2"/>
  <c r="AX233" i="2"/>
  <c r="AW233" i="2"/>
  <c r="AV233" i="2"/>
  <c r="AU233" i="2"/>
  <c r="AT233" i="2"/>
  <c r="AS233" i="2"/>
  <c r="AR233" i="2"/>
  <c r="AQ233" i="2"/>
  <c r="AP233" i="2"/>
  <c r="AO233" i="2"/>
  <c r="AN233" i="2"/>
  <c r="AM233" i="2"/>
  <c r="AL233" i="2"/>
  <c r="AK233" i="2"/>
  <c r="AJ233" i="2"/>
  <c r="AI233" i="2"/>
  <c r="AH233" i="2"/>
  <c r="AG233" i="2"/>
  <c r="AF233" i="2"/>
  <c r="AE233" i="2"/>
  <c r="AD233" i="2"/>
  <c r="AC233" i="2"/>
  <c r="AB233" i="2"/>
  <c r="AA233" i="2"/>
  <c r="Z233" i="2"/>
  <c r="Y233" i="2"/>
  <c r="X233" i="2"/>
  <c r="W233" i="2"/>
  <c r="V233" i="2"/>
  <c r="U233" i="2"/>
  <c r="T233" i="2"/>
  <c r="S233" i="2"/>
  <c r="R233" i="2"/>
  <c r="Q233" i="2"/>
  <c r="P233" i="2"/>
  <c r="O233" i="2"/>
  <c r="N233" i="2"/>
  <c r="M233" i="2"/>
  <c r="L233" i="2"/>
  <c r="K233" i="2"/>
  <c r="J233" i="2"/>
  <c r="BD233" i="2" s="1"/>
  <c r="I233" i="2"/>
  <c r="E233" i="2" a="1"/>
  <c r="E233" i="2" s="1"/>
  <c r="D233" i="2" a="1"/>
  <c r="D233" i="2" s="1"/>
  <c r="C233" i="2" a="1"/>
  <c r="C233" i="2" s="1"/>
  <c r="B233" i="2" a="1"/>
  <c r="B233" i="2" s="1"/>
  <c r="CG232" i="2"/>
  <c r="CF232" i="2"/>
  <c r="CE232" i="2"/>
  <c r="CD232" i="2"/>
  <c r="CC232" i="2"/>
  <c r="CB232" i="2"/>
  <c r="CA232" i="2"/>
  <c r="BZ232" i="2"/>
  <c r="BY232" i="2"/>
  <c r="BX232" i="2"/>
  <c r="BW232" i="2"/>
  <c r="BV232" i="2"/>
  <c r="BU232" i="2"/>
  <c r="BT232" i="2"/>
  <c r="BS232" i="2"/>
  <c r="BR232" i="2"/>
  <c r="BQ232" i="2"/>
  <c r="BP232" i="2"/>
  <c r="BO232" i="2"/>
  <c r="BN232" i="2"/>
  <c r="BM232" i="2"/>
  <c r="BL232" i="2"/>
  <c r="BK232" i="2"/>
  <c r="BJ232" i="2"/>
  <c r="BI232" i="2"/>
  <c r="BH232" i="2"/>
  <c r="BG232" i="2"/>
  <c r="BF232" i="2"/>
  <c r="BE232" i="2"/>
  <c r="BD232" i="2"/>
  <c r="BC232" i="2"/>
  <c r="BB232" i="2"/>
  <c r="BA232" i="2"/>
  <c r="AZ232" i="2"/>
  <c r="AY232" i="2"/>
  <c r="AX232" i="2"/>
  <c r="AW232" i="2"/>
  <c r="AV232" i="2"/>
  <c r="AU232" i="2"/>
  <c r="AT232" i="2"/>
  <c r="AS232" i="2"/>
  <c r="AR232" i="2"/>
  <c r="AQ232" i="2"/>
  <c r="AP232" i="2"/>
  <c r="AO232" i="2"/>
  <c r="AN232" i="2"/>
  <c r="AM232" i="2"/>
  <c r="AL232" i="2"/>
  <c r="AK232" i="2"/>
  <c r="AJ232" i="2"/>
  <c r="AI232" i="2"/>
  <c r="AH232" i="2"/>
  <c r="AG232" i="2"/>
  <c r="AF232" i="2"/>
  <c r="AE232" i="2"/>
  <c r="AD232" i="2"/>
  <c r="AC232" i="2"/>
  <c r="AB232" i="2"/>
  <c r="AA232" i="2"/>
  <c r="Z232" i="2"/>
  <c r="Y232" i="2"/>
  <c r="X232" i="2"/>
  <c r="W232" i="2"/>
  <c r="V232" i="2"/>
  <c r="U232" i="2"/>
  <c r="T232" i="2"/>
  <c r="S232" i="2"/>
  <c r="R232" i="2"/>
  <c r="Q232" i="2"/>
  <c r="P232" i="2"/>
  <c r="O232" i="2"/>
  <c r="N232" i="2"/>
  <c r="M232" i="2"/>
  <c r="L232" i="2"/>
  <c r="K232" i="2"/>
  <c r="J232" i="2"/>
  <c r="I232" i="2"/>
  <c r="E232" i="2" a="1"/>
  <c r="E232" i="2" s="1"/>
  <c r="D232" i="2" a="1"/>
  <c r="D232" i="2" s="1"/>
  <c r="C232" i="2" a="1"/>
  <c r="C232" i="2" s="1"/>
  <c r="B232" i="2" a="1"/>
  <c r="B232" i="2" s="1"/>
  <c r="CG231" i="2"/>
  <c r="CF231" i="2"/>
  <c r="CE231" i="2"/>
  <c r="CD231" i="2"/>
  <c r="CC231" i="2"/>
  <c r="CB231" i="2"/>
  <c r="CA231" i="2"/>
  <c r="BZ231" i="2"/>
  <c r="BY231" i="2"/>
  <c r="BX231" i="2"/>
  <c r="BW231" i="2"/>
  <c r="BV231" i="2"/>
  <c r="BU231" i="2"/>
  <c r="BT231" i="2"/>
  <c r="BS231" i="2"/>
  <c r="BR231" i="2"/>
  <c r="BQ231" i="2"/>
  <c r="BP231" i="2"/>
  <c r="BO231" i="2"/>
  <c r="BN231" i="2"/>
  <c r="BM231" i="2"/>
  <c r="BL231" i="2"/>
  <c r="BK231" i="2"/>
  <c r="BJ231" i="2"/>
  <c r="BI231" i="2"/>
  <c r="BH231" i="2"/>
  <c r="BG231" i="2"/>
  <c r="BF231" i="2"/>
  <c r="BE231" i="2"/>
  <c r="BD231" i="2"/>
  <c r="BC231" i="2"/>
  <c r="BB231" i="2"/>
  <c r="BA231" i="2"/>
  <c r="AZ231" i="2"/>
  <c r="AY231" i="2"/>
  <c r="AX231" i="2"/>
  <c r="AW231" i="2"/>
  <c r="AV231" i="2"/>
  <c r="AU231" i="2"/>
  <c r="AT231" i="2"/>
  <c r="AS231" i="2"/>
  <c r="AR231" i="2"/>
  <c r="AQ231" i="2"/>
  <c r="AP231" i="2"/>
  <c r="AO231" i="2"/>
  <c r="AN231" i="2"/>
  <c r="AM231" i="2"/>
  <c r="AL231" i="2"/>
  <c r="AK231" i="2"/>
  <c r="AJ231" i="2"/>
  <c r="AI231" i="2"/>
  <c r="AH231" i="2"/>
  <c r="AG231" i="2"/>
  <c r="AF231" i="2"/>
  <c r="AE231" i="2"/>
  <c r="AD231" i="2"/>
  <c r="AC231" i="2"/>
  <c r="AB231" i="2"/>
  <c r="AA231" i="2"/>
  <c r="Z231" i="2"/>
  <c r="Y231" i="2"/>
  <c r="X231" i="2"/>
  <c r="W231" i="2"/>
  <c r="V231" i="2"/>
  <c r="U231" i="2"/>
  <c r="T231" i="2"/>
  <c r="S231" i="2"/>
  <c r="R231" i="2"/>
  <c r="Q231" i="2"/>
  <c r="P231" i="2"/>
  <c r="O231" i="2"/>
  <c r="N231" i="2"/>
  <c r="M231" i="2"/>
  <c r="L231" i="2"/>
  <c r="K231" i="2"/>
  <c r="J231" i="2"/>
  <c r="I231" i="2"/>
  <c r="E231" i="2" a="1"/>
  <c r="E231" i="2" s="1"/>
  <c r="D231" i="2" a="1"/>
  <c r="D231" i="2" s="1"/>
  <c r="C231" i="2" a="1"/>
  <c r="C231" i="2" s="1"/>
  <c r="B231" i="2" a="1"/>
  <c r="B231" i="2" s="1"/>
  <c r="CG230" i="2"/>
  <c r="CF230" i="2"/>
  <c r="CE230" i="2"/>
  <c r="CD230" i="2"/>
  <c r="CC230" i="2"/>
  <c r="CB230" i="2"/>
  <c r="CA230" i="2"/>
  <c r="BZ230" i="2"/>
  <c r="BY230" i="2"/>
  <c r="BX230" i="2"/>
  <c r="BW230" i="2"/>
  <c r="BV230" i="2"/>
  <c r="BU230" i="2"/>
  <c r="BT230" i="2"/>
  <c r="BS230" i="2"/>
  <c r="BR230" i="2"/>
  <c r="BQ230" i="2"/>
  <c r="BP230" i="2"/>
  <c r="BO230" i="2"/>
  <c r="BN230" i="2"/>
  <c r="BM230" i="2"/>
  <c r="BL230" i="2"/>
  <c r="BK230" i="2"/>
  <c r="BJ230" i="2"/>
  <c r="BI230" i="2"/>
  <c r="BH230" i="2"/>
  <c r="BG230" i="2"/>
  <c r="BF230" i="2"/>
  <c r="BE230" i="2"/>
  <c r="BC230" i="2"/>
  <c r="BB230" i="2"/>
  <c r="BA230" i="2"/>
  <c r="AZ230" i="2"/>
  <c r="AY230" i="2"/>
  <c r="AX230" i="2"/>
  <c r="AW230" i="2"/>
  <c r="AV230" i="2"/>
  <c r="AU230" i="2"/>
  <c r="AT230" i="2"/>
  <c r="AS230" i="2"/>
  <c r="AR230" i="2"/>
  <c r="AQ230" i="2"/>
  <c r="AP230" i="2"/>
  <c r="AO230" i="2"/>
  <c r="AN230" i="2"/>
  <c r="AM230" i="2"/>
  <c r="AL230" i="2"/>
  <c r="AK230" i="2"/>
  <c r="AJ230" i="2"/>
  <c r="AI230" i="2"/>
  <c r="AH230" i="2"/>
  <c r="AG230" i="2"/>
  <c r="AF230" i="2"/>
  <c r="AE230" i="2"/>
  <c r="AD230" i="2"/>
  <c r="AC230" i="2"/>
  <c r="AB230" i="2"/>
  <c r="AA230" i="2"/>
  <c r="Z230" i="2"/>
  <c r="Y230" i="2"/>
  <c r="X230" i="2"/>
  <c r="W230" i="2"/>
  <c r="V230" i="2"/>
  <c r="U230" i="2"/>
  <c r="T230" i="2"/>
  <c r="S230" i="2"/>
  <c r="R230" i="2"/>
  <c r="Q230" i="2"/>
  <c r="P230" i="2"/>
  <c r="O230" i="2"/>
  <c r="N230" i="2"/>
  <c r="M230" i="2"/>
  <c r="L230" i="2"/>
  <c r="K230" i="2"/>
  <c r="J230" i="2"/>
  <c r="BD230" i="2" s="1"/>
  <c r="I230" i="2"/>
  <c r="E230" i="2" a="1"/>
  <c r="E230" i="2" s="1"/>
  <c r="D230" i="2" a="1"/>
  <c r="D230" i="2" s="1"/>
  <c r="C230" i="2" a="1"/>
  <c r="C230" i="2" s="1"/>
  <c r="B230" i="2" a="1"/>
  <c r="B230" i="2" s="1"/>
  <c r="CG229" i="2"/>
  <c r="CF229" i="2"/>
  <c r="CE229" i="2"/>
  <c r="CD229" i="2"/>
  <c r="CC229" i="2"/>
  <c r="CB229" i="2"/>
  <c r="CA229" i="2"/>
  <c r="BZ229" i="2"/>
  <c r="BY229" i="2"/>
  <c r="BX229" i="2"/>
  <c r="BW229" i="2"/>
  <c r="BV229" i="2"/>
  <c r="BU229" i="2"/>
  <c r="BT229" i="2"/>
  <c r="BS229" i="2"/>
  <c r="BR229" i="2"/>
  <c r="BQ229" i="2"/>
  <c r="BP229" i="2"/>
  <c r="BO229" i="2"/>
  <c r="BN229" i="2"/>
  <c r="BM229" i="2"/>
  <c r="BL229" i="2"/>
  <c r="BK229" i="2"/>
  <c r="BJ229" i="2"/>
  <c r="BI229" i="2"/>
  <c r="BH229" i="2"/>
  <c r="BG229" i="2"/>
  <c r="BF229" i="2"/>
  <c r="BE229" i="2"/>
  <c r="BC229" i="2"/>
  <c r="BB229" i="2"/>
  <c r="BA229" i="2"/>
  <c r="AZ229" i="2"/>
  <c r="AY229" i="2"/>
  <c r="AX229" i="2"/>
  <c r="AW229" i="2"/>
  <c r="AV229" i="2"/>
  <c r="AU229" i="2"/>
  <c r="AT229" i="2"/>
  <c r="AS229" i="2"/>
  <c r="AR229" i="2"/>
  <c r="AQ229" i="2"/>
  <c r="AP229" i="2"/>
  <c r="AO229" i="2"/>
  <c r="AN229" i="2"/>
  <c r="AM229" i="2"/>
  <c r="AL229" i="2"/>
  <c r="AK229" i="2"/>
  <c r="AJ229" i="2"/>
  <c r="AI229" i="2"/>
  <c r="AH229" i="2"/>
  <c r="AG229" i="2"/>
  <c r="AF229" i="2"/>
  <c r="AE229" i="2"/>
  <c r="AD229" i="2"/>
  <c r="AC229" i="2"/>
  <c r="AB229" i="2"/>
  <c r="AA229" i="2"/>
  <c r="Z229" i="2"/>
  <c r="Y229" i="2"/>
  <c r="X229" i="2"/>
  <c r="W229" i="2"/>
  <c r="V229" i="2"/>
  <c r="U229" i="2"/>
  <c r="T229" i="2"/>
  <c r="S229" i="2"/>
  <c r="R229" i="2"/>
  <c r="Q229" i="2"/>
  <c r="P229" i="2"/>
  <c r="O229" i="2"/>
  <c r="N229" i="2"/>
  <c r="M229" i="2"/>
  <c r="L229" i="2"/>
  <c r="K229" i="2"/>
  <c r="J229" i="2"/>
  <c r="BD229" i="2" s="1"/>
  <c r="I229" i="2"/>
  <c r="E229" i="2" a="1"/>
  <c r="E229" i="2" s="1"/>
  <c r="D229" i="2" a="1"/>
  <c r="D229" i="2" s="1"/>
  <c r="C229" i="2" a="1"/>
  <c r="C229" i="2" s="1"/>
  <c r="B229" i="2" a="1"/>
  <c r="B229" i="2" s="1"/>
  <c r="CG228" i="2"/>
  <c r="CF228" i="2"/>
  <c r="CE228" i="2"/>
  <c r="CD228" i="2"/>
  <c r="CC228" i="2"/>
  <c r="CB228" i="2"/>
  <c r="CA228" i="2"/>
  <c r="BZ228" i="2"/>
  <c r="BY228" i="2"/>
  <c r="BX228" i="2"/>
  <c r="BW228" i="2"/>
  <c r="BV228" i="2"/>
  <c r="BU228" i="2"/>
  <c r="BT228" i="2"/>
  <c r="BS228" i="2"/>
  <c r="BR228" i="2"/>
  <c r="BQ228" i="2"/>
  <c r="BP228" i="2"/>
  <c r="BO228" i="2"/>
  <c r="BN228" i="2"/>
  <c r="BM228" i="2"/>
  <c r="BL228" i="2"/>
  <c r="BK228" i="2"/>
  <c r="BJ228" i="2"/>
  <c r="BI228" i="2"/>
  <c r="BH228" i="2"/>
  <c r="BG228" i="2"/>
  <c r="BF228" i="2"/>
  <c r="BE228" i="2"/>
  <c r="BD228" i="2"/>
  <c r="BC228" i="2"/>
  <c r="BB228" i="2"/>
  <c r="BA228" i="2"/>
  <c r="AZ228" i="2"/>
  <c r="AY228" i="2"/>
  <c r="AX228" i="2"/>
  <c r="AW228" i="2"/>
  <c r="AV228" i="2"/>
  <c r="AU228" i="2"/>
  <c r="AT228" i="2"/>
  <c r="AS228" i="2"/>
  <c r="AR228" i="2"/>
  <c r="AQ228" i="2"/>
  <c r="AP228" i="2"/>
  <c r="AO228" i="2"/>
  <c r="AN228" i="2"/>
  <c r="AM228" i="2"/>
  <c r="AL228" i="2"/>
  <c r="AK228" i="2"/>
  <c r="AJ228" i="2"/>
  <c r="AI228" i="2"/>
  <c r="AH228" i="2"/>
  <c r="AG228" i="2"/>
  <c r="AF228" i="2"/>
  <c r="AE228" i="2"/>
  <c r="AD228" i="2"/>
  <c r="AC228" i="2"/>
  <c r="AB228" i="2"/>
  <c r="AA228" i="2"/>
  <c r="Z228" i="2"/>
  <c r="Y228" i="2"/>
  <c r="X228" i="2"/>
  <c r="W228" i="2"/>
  <c r="V228" i="2"/>
  <c r="U228" i="2"/>
  <c r="T228" i="2"/>
  <c r="S228" i="2"/>
  <c r="R228" i="2"/>
  <c r="Q228" i="2"/>
  <c r="P228" i="2"/>
  <c r="O228" i="2"/>
  <c r="N228" i="2"/>
  <c r="M228" i="2"/>
  <c r="L228" i="2"/>
  <c r="K228" i="2"/>
  <c r="J228" i="2"/>
  <c r="I228" i="2"/>
  <c r="E228" i="2" a="1"/>
  <c r="E228" i="2" s="1"/>
  <c r="D228" i="2" a="1"/>
  <c r="D228" i="2" s="1"/>
  <c r="C228" i="2" a="1"/>
  <c r="C228" i="2" s="1"/>
  <c r="B228" i="2" a="1"/>
  <c r="B228" i="2" s="1"/>
  <c r="CG227" i="2"/>
  <c r="CF227" i="2"/>
  <c r="CE227" i="2"/>
  <c r="CD227" i="2"/>
  <c r="CC227" i="2"/>
  <c r="CB227" i="2"/>
  <c r="CA227" i="2"/>
  <c r="BZ227" i="2"/>
  <c r="BY227" i="2"/>
  <c r="BX227" i="2"/>
  <c r="BW227" i="2"/>
  <c r="BV227" i="2"/>
  <c r="BU227" i="2"/>
  <c r="BT227" i="2"/>
  <c r="BS227" i="2"/>
  <c r="BR227" i="2"/>
  <c r="BQ227" i="2"/>
  <c r="BP227" i="2"/>
  <c r="BO227" i="2"/>
  <c r="BN227" i="2"/>
  <c r="BM227" i="2"/>
  <c r="BL227" i="2"/>
  <c r="BK227" i="2"/>
  <c r="BJ227" i="2"/>
  <c r="BI227" i="2"/>
  <c r="BH227" i="2"/>
  <c r="BG227" i="2"/>
  <c r="BF227" i="2"/>
  <c r="BE227" i="2"/>
  <c r="BD227" i="2"/>
  <c r="BC227" i="2"/>
  <c r="BB227" i="2"/>
  <c r="BA227" i="2"/>
  <c r="AZ227" i="2"/>
  <c r="AY227" i="2"/>
  <c r="AX227" i="2"/>
  <c r="AW227" i="2"/>
  <c r="AV227" i="2"/>
  <c r="AU227" i="2"/>
  <c r="AT227" i="2"/>
  <c r="AS227" i="2"/>
  <c r="AR227" i="2"/>
  <c r="AQ227" i="2"/>
  <c r="AP227" i="2"/>
  <c r="AO227" i="2"/>
  <c r="AN227" i="2"/>
  <c r="AM227" i="2"/>
  <c r="AL227" i="2"/>
  <c r="AK227" i="2"/>
  <c r="AJ227" i="2"/>
  <c r="AI227" i="2"/>
  <c r="AH227" i="2"/>
  <c r="AG227" i="2"/>
  <c r="AF227" i="2"/>
  <c r="AE227" i="2"/>
  <c r="AD227" i="2"/>
  <c r="AC227" i="2"/>
  <c r="AB227" i="2"/>
  <c r="AA227" i="2"/>
  <c r="Z227" i="2"/>
  <c r="Y227" i="2"/>
  <c r="X227" i="2"/>
  <c r="W227" i="2"/>
  <c r="V227" i="2"/>
  <c r="U227" i="2"/>
  <c r="T227" i="2"/>
  <c r="S227" i="2"/>
  <c r="R227" i="2"/>
  <c r="Q227" i="2"/>
  <c r="P227" i="2"/>
  <c r="O227" i="2"/>
  <c r="N227" i="2"/>
  <c r="M227" i="2"/>
  <c r="L227" i="2"/>
  <c r="K227" i="2"/>
  <c r="J227" i="2"/>
  <c r="I227" i="2"/>
  <c r="E227" i="2" a="1"/>
  <c r="E227" i="2" s="1"/>
  <c r="D227" i="2" a="1"/>
  <c r="D227" i="2" s="1"/>
  <c r="C227" i="2" a="1"/>
  <c r="C227" i="2" s="1"/>
  <c r="B227" i="2" a="1"/>
  <c r="B227" i="2" s="1"/>
  <c r="CG226" i="2"/>
  <c r="CF226" i="2"/>
  <c r="CE226" i="2"/>
  <c r="CD226" i="2"/>
  <c r="CC226" i="2"/>
  <c r="CB226" i="2"/>
  <c r="CA226" i="2"/>
  <c r="BZ226" i="2"/>
  <c r="BY226" i="2"/>
  <c r="BX226" i="2"/>
  <c r="BW226" i="2"/>
  <c r="BV226" i="2"/>
  <c r="BU226" i="2"/>
  <c r="BT226" i="2"/>
  <c r="BS226" i="2"/>
  <c r="BR226" i="2"/>
  <c r="BQ226" i="2"/>
  <c r="BP226" i="2"/>
  <c r="BO226" i="2"/>
  <c r="BN226" i="2"/>
  <c r="BM226" i="2"/>
  <c r="BL226" i="2"/>
  <c r="BK226" i="2"/>
  <c r="BJ226" i="2"/>
  <c r="BI226" i="2"/>
  <c r="BH226" i="2"/>
  <c r="BG226" i="2"/>
  <c r="BF226" i="2"/>
  <c r="BE226" i="2"/>
  <c r="BC226" i="2"/>
  <c r="BB226" i="2"/>
  <c r="BA226" i="2"/>
  <c r="AZ226" i="2"/>
  <c r="AY226" i="2"/>
  <c r="AX226" i="2"/>
  <c r="AW226" i="2"/>
  <c r="AV226" i="2"/>
  <c r="AU226" i="2"/>
  <c r="AT226" i="2"/>
  <c r="AS226" i="2"/>
  <c r="AR226" i="2"/>
  <c r="AQ226" i="2"/>
  <c r="AP226" i="2"/>
  <c r="AO226" i="2"/>
  <c r="AN226" i="2"/>
  <c r="AM226" i="2"/>
  <c r="AL226" i="2"/>
  <c r="AK226" i="2"/>
  <c r="AJ226" i="2"/>
  <c r="AI226" i="2"/>
  <c r="AH226" i="2"/>
  <c r="AG226" i="2"/>
  <c r="AF226" i="2"/>
  <c r="AE226" i="2"/>
  <c r="AD226" i="2"/>
  <c r="AC226" i="2"/>
  <c r="AB226" i="2"/>
  <c r="AA226" i="2"/>
  <c r="Z226" i="2"/>
  <c r="Y226" i="2"/>
  <c r="X226" i="2"/>
  <c r="W226" i="2"/>
  <c r="V226" i="2"/>
  <c r="U226" i="2"/>
  <c r="T226" i="2"/>
  <c r="S226" i="2"/>
  <c r="R226" i="2"/>
  <c r="Q226" i="2"/>
  <c r="P226" i="2"/>
  <c r="O226" i="2"/>
  <c r="N226" i="2"/>
  <c r="M226" i="2"/>
  <c r="L226" i="2"/>
  <c r="K226" i="2"/>
  <c r="J226" i="2"/>
  <c r="BD226" i="2" s="1"/>
  <c r="I226" i="2"/>
  <c r="E226" i="2" a="1"/>
  <c r="E226" i="2" s="1"/>
  <c r="D226" i="2" a="1"/>
  <c r="D226" i="2" s="1"/>
  <c r="C226" i="2" a="1"/>
  <c r="C226" i="2" s="1"/>
  <c r="B226" i="2" a="1"/>
  <c r="B226" i="2" s="1"/>
  <c r="CG225" i="2"/>
  <c r="CF225" i="2"/>
  <c r="CE225" i="2"/>
  <c r="CD225" i="2"/>
  <c r="CC225" i="2"/>
  <c r="CB225" i="2"/>
  <c r="CA225" i="2"/>
  <c r="BZ225" i="2"/>
  <c r="BY225" i="2"/>
  <c r="BX225" i="2"/>
  <c r="BW225" i="2"/>
  <c r="BV225" i="2"/>
  <c r="BU225" i="2"/>
  <c r="BT225" i="2"/>
  <c r="BS225" i="2"/>
  <c r="BR225" i="2"/>
  <c r="BQ225" i="2"/>
  <c r="BP225" i="2"/>
  <c r="BO225" i="2"/>
  <c r="BN225" i="2"/>
  <c r="BM225" i="2"/>
  <c r="BL225" i="2"/>
  <c r="BK225" i="2"/>
  <c r="BJ225" i="2"/>
  <c r="BI225" i="2"/>
  <c r="BH225" i="2"/>
  <c r="BG225" i="2"/>
  <c r="BF225" i="2"/>
  <c r="BE225" i="2"/>
  <c r="BC225" i="2"/>
  <c r="BB225" i="2"/>
  <c r="BA225" i="2"/>
  <c r="AZ225" i="2"/>
  <c r="AY225" i="2"/>
  <c r="AX225" i="2"/>
  <c r="AW225" i="2"/>
  <c r="AV225" i="2"/>
  <c r="AU225" i="2"/>
  <c r="AT225" i="2"/>
  <c r="AS225" i="2"/>
  <c r="AR225" i="2"/>
  <c r="AQ225" i="2"/>
  <c r="AP225" i="2"/>
  <c r="AO225" i="2"/>
  <c r="AN225" i="2"/>
  <c r="AM225" i="2"/>
  <c r="AL225" i="2"/>
  <c r="AK225" i="2"/>
  <c r="AJ225" i="2"/>
  <c r="AI225" i="2"/>
  <c r="AH225" i="2"/>
  <c r="AG225" i="2"/>
  <c r="AF225" i="2"/>
  <c r="AE225" i="2"/>
  <c r="AD225" i="2"/>
  <c r="AC225" i="2"/>
  <c r="AB225" i="2"/>
  <c r="AA225" i="2"/>
  <c r="Z225" i="2"/>
  <c r="Y225" i="2"/>
  <c r="X225" i="2"/>
  <c r="W225" i="2"/>
  <c r="V225" i="2"/>
  <c r="U225" i="2"/>
  <c r="T225" i="2"/>
  <c r="S225" i="2"/>
  <c r="R225" i="2"/>
  <c r="Q225" i="2"/>
  <c r="P225" i="2"/>
  <c r="O225" i="2"/>
  <c r="N225" i="2"/>
  <c r="M225" i="2"/>
  <c r="L225" i="2"/>
  <c r="K225" i="2"/>
  <c r="J225" i="2"/>
  <c r="BD225" i="2" s="1"/>
  <c r="I225" i="2"/>
  <c r="E225" i="2" a="1"/>
  <c r="E225" i="2" s="1"/>
  <c r="D225" i="2" a="1"/>
  <c r="D225" i="2" s="1"/>
  <c r="C225" i="2" a="1"/>
  <c r="C225" i="2" s="1"/>
  <c r="B225" i="2" a="1"/>
  <c r="B225" i="2" s="1"/>
  <c r="CG224" i="2"/>
  <c r="CF224" i="2"/>
  <c r="CE224" i="2"/>
  <c r="CD224" i="2"/>
  <c r="CC224" i="2"/>
  <c r="CB224" i="2"/>
  <c r="CA224" i="2"/>
  <c r="BZ224" i="2"/>
  <c r="BY224" i="2"/>
  <c r="BX224" i="2"/>
  <c r="BW224" i="2"/>
  <c r="BV224" i="2"/>
  <c r="BU224" i="2"/>
  <c r="BT224" i="2"/>
  <c r="BS224" i="2"/>
  <c r="BR224" i="2"/>
  <c r="BQ224" i="2"/>
  <c r="BP224" i="2"/>
  <c r="BO224" i="2"/>
  <c r="BN224" i="2"/>
  <c r="BM224" i="2"/>
  <c r="BL224" i="2"/>
  <c r="BK224" i="2"/>
  <c r="BJ224" i="2"/>
  <c r="BI224" i="2"/>
  <c r="BH224" i="2"/>
  <c r="BG224" i="2"/>
  <c r="BF224" i="2"/>
  <c r="BE224" i="2"/>
  <c r="BD224" i="2"/>
  <c r="BC224" i="2"/>
  <c r="BB224" i="2"/>
  <c r="BA224" i="2"/>
  <c r="AZ224" i="2"/>
  <c r="AY224" i="2"/>
  <c r="AX224" i="2"/>
  <c r="AW224" i="2"/>
  <c r="AV224" i="2"/>
  <c r="AU224" i="2"/>
  <c r="AT224" i="2"/>
  <c r="AS224" i="2"/>
  <c r="AR224" i="2"/>
  <c r="AQ224" i="2"/>
  <c r="AP224" i="2"/>
  <c r="AO224" i="2"/>
  <c r="AN224" i="2"/>
  <c r="AM224" i="2"/>
  <c r="AL224" i="2"/>
  <c r="AK224" i="2"/>
  <c r="AJ224" i="2"/>
  <c r="AI224" i="2"/>
  <c r="AH224" i="2"/>
  <c r="AG224" i="2"/>
  <c r="AF224" i="2"/>
  <c r="AE224" i="2"/>
  <c r="AD224" i="2"/>
  <c r="AC224" i="2"/>
  <c r="AB224" i="2"/>
  <c r="AA224" i="2"/>
  <c r="Z224" i="2"/>
  <c r="Y224" i="2"/>
  <c r="X224" i="2"/>
  <c r="W224" i="2"/>
  <c r="V224" i="2"/>
  <c r="U224" i="2"/>
  <c r="T224" i="2"/>
  <c r="S224" i="2"/>
  <c r="R224" i="2"/>
  <c r="Q224" i="2"/>
  <c r="P224" i="2"/>
  <c r="O224" i="2"/>
  <c r="N224" i="2"/>
  <c r="M224" i="2"/>
  <c r="L224" i="2"/>
  <c r="K224" i="2"/>
  <c r="J224" i="2"/>
  <c r="I224" i="2"/>
  <c r="E224" i="2" a="1"/>
  <c r="E224" i="2" s="1"/>
  <c r="D224" i="2" a="1"/>
  <c r="D224" i="2" s="1"/>
  <c r="C224" i="2" a="1"/>
  <c r="C224" i="2" s="1"/>
  <c r="B224" i="2" a="1"/>
  <c r="B224" i="2" s="1"/>
  <c r="CG223" i="2"/>
  <c r="CF223" i="2"/>
  <c r="CE223" i="2"/>
  <c r="CD223" i="2"/>
  <c r="CC223" i="2"/>
  <c r="CB223" i="2"/>
  <c r="CA223" i="2"/>
  <c r="BZ223" i="2"/>
  <c r="BY223" i="2"/>
  <c r="BX223" i="2"/>
  <c r="BW223" i="2"/>
  <c r="BV223" i="2"/>
  <c r="BU223" i="2"/>
  <c r="BT223" i="2"/>
  <c r="BS223" i="2"/>
  <c r="BR223" i="2"/>
  <c r="BQ223" i="2"/>
  <c r="BP223" i="2"/>
  <c r="BO223" i="2"/>
  <c r="BN223" i="2"/>
  <c r="BM223" i="2"/>
  <c r="BL223" i="2"/>
  <c r="BK223" i="2"/>
  <c r="BJ223" i="2"/>
  <c r="BI223" i="2"/>
  <c r="BH223" i="2"/>
  <c r="BG223" i="2"/>
  <c r="BF223" i="2"/>
  <c r="BE223" i="2"/>
  <c r="BD223" i="2"/>
  <c r="BC223" i="2"/>
  <c r="BB223" i="2"/>
  <c r="BA223" i="2"/>
  <c r="AZ223" i="2"/>
  <c r="AY223" i="2"/>
  <c r="AX223" i="2"/>
  <c r="AW223" i="2"/>
  <c r="AV223" i="2"/>
  <c r="AU223" i="2"/>
  <c r="AT223" i="2"/>
  <c r="AS223" i="2"/>
  <c r="AR223" i="2"/>
  <c r="AQ223" i="2"/>
  <c r="AP223" i="2"/>
  <c r="AO223" i="2"/>
  <c r="AN223" i="2"/>
  <c r="AM223" i="2"/>
  <c r="AL223" i="2"/>
  <c r="AK223" i="2"/>
  <c r="AJ223" i="2"/>
  <c r="AI223" i="2"/>
  <c r="AH223" i="2"/>
  <c r="AG223" i="2"/>
  <c r="AF223" i="2"/>
  <c r="AE223" i="2"/>
  <c r="AD223" i="2"/>
  <c r="AC223" i="2"/>
  <c r="AB223" i="2"/>
  <c r="AA223" i="2"/>
  <c r="Z223" i="2"/>
  <c r="Y223" i="2"/>
  <c r="X223" i="2"/>
  <c r="W223" i="2"/>
  <c r="V223" i="2"/>
  <c r="U223" i="2"/>
  <c r="T223" i="2"/>
  <c r="S223" i="2"/>
  <c r="R223" i="2"/>
  <c r="Q223" i="2"/>
  <c r="P223" i="2"/>
  <c r="O223" i="2"/>
  <c r="N223" i="2"/>
  <c r="M223" i="2"/>
  <c r="L223" i="2"/>
  <c r="K223" i="2"/>
  <c r="J223" i="2"/>
  <c r="I223" i="2"/>
  <c r="E223" i="2" a="1"/>
  <c r="E223" i="2" s="1"/>
  <c r="D223" i="2" a="1"/>
  <c r="D223" i="2" s="1"/>
  <c r="C223" i="2" a="1"/>
  <c r="C223" i="2" s="1"/>
  <c r="B223" i="2" a="1"/>
  <c r="B223" i="2" s="1"/>
  <c r="CG222" i="2"/>
  <c r="CF222" i="2"/>
  <c r="CE222" i="2"/>
  <c r="CD222" i="2"/>
  <c r="CC222" i="2"/>
  <c r="CB222" i="2"/>
  <c r="CA222" i="2"/>
  <c r="BZ222" i="2"/>
  <c r="BY222" i="2"/>
  <c r="BX222" i="2"/>
  <c r="BW222" i="2"/>
  <c r="BV222" i="2"/>
  <c r="BU222" i="2"/>
  <c r="BT222" i="2"/>
  <c r="BS222" i="2"/>
  <c r="BR222" i="2"/>
  <c r="BQ222" i="2"/>
  <c r="BP222" i="2"/>
  <c r="BO222" i="2"/>
  <c r="BN222" i="2"/>
  <c r="BM222" i="2"/>
  <c r="BL222" i="2"/>
  <c r="BK222" i="2"/>
  <c r="BJ222" i="2"/>
  <c r="BI222" i="2"/>
  <c r="BH222" i="2"/>
  <c r="BG222" i="2"/>
  <c r="BF222" i="2"/>
  <c r="BE222" i="2"/>
  <c r="BC222" i="2"/>
  <c r="BB222" i="2"/>
  <c r="BA222" i="2"/>
  <c r="AZ222" i="2"/>
  <c r="AY222" i="2"/>
  <c r="AX222" i="2"/>
  <c r="AW222" i="2"/>
  <c r="AV222" i="2"/>
  <c r="AU222" i="2"/>
  <c r="AT222" i="2"/>
  <c r="AS222" i="2"/>
  <c r="AR222" i="2"/>
  <c r="AQ222" i="2"/>
  <c r="AP222" i="2"/>
  <c r="AO222" i="2"/>
  <c r="AN222" i="2"/>
  <c r="AM222" i="2"/>
  <c r="AL222" i="2"/>
  <c r="AK222" i="2"/>
  <c r="AJ222" i="2"/>
  <c r="AI222" i="2"/>
  <c r="AH222" i="2"/>
  <c r="AG222" i="2"/>
  <c r="AF222" i="2"/>
  <c r="AE222" i="2"/>
  <c r="AD222" i="2"/>
  <c r="AC222" i="2"/>
  <c r="AB222" i="2"/>
  <c r="AA222" i="2"/>
  <c r="Z222" i="2"/>
  <c r="Y222" i="2"/>
  <c r="X222" i="2"/>
  <c r="W222" i="2"/>
  <c r="V222" i="2"/>
  <c r="U222" i="2"/>
  <c r="T222" i="2"/>
  <c r="S222" i="2"/>
  <c r="R222" i="2"/>
  <c r="Q222" i="2"/>
  <c r="P222" i="2"/>
  <c r="O222" i="2"/>
  <c r="N222" i="2"/>
  <c r="M222" i="2"/>
  <c r="L222" i="2"/>
  <c r="K222" i="2"/>
  <c r="J222" i="2"/>
  <c r="BD222" i="2" s="1"/>
  <c r="I222" i="2"/>
  <c r="E222" i="2" a="1"/>
  <c r="E222" i="2" s="1"/>
  <c r="D222" i="2" a="1"/>
  <c r="D222" i="2" s="1"/>
  <c r="C222" i="2" a="1"/>
  <c r="C222" i="2" s="1"/>
  <c r="B222" i="2" a="1"/>
  <c r="B222" i="2" s="1"/>
  <c r="CG221" i="2"/>
  <c r="CF221" i="2"/>
  <c r="CE221" i="2"/>
  <c r="CD221" i="2"/>
  <c r="CC221" i="2"/>
  <c r="CB221" i="2"/>
  <c r="CA221" i="2"/>
  <c r="BZ221" i="2"/>
  <c r="BY221" i="2"/>
  <c r="BX221" i="2"/>
  <c r="BW221" i="2"/>
  <c r="BV221" i="2"/>
  <c r="BU221" i="2"/>
  <c r="BT221" i="2"/>
  <c r="BS221" i="2"/>
  <c r="BR221" i="2"/>
  <c r="BQ221" i="2"/>
  <c r="BP221" i="2"/>
  <c r="BO221" i="2"/>
  <c r="BN221" i="2"/>
  <c r="BM221" i="2"/>
  <c r="BL221" i="2"/>
  <c r="BK221" i="2"/>
  <c r="BJ221" i="2"/>
  <c r="BI221" i="2"/>
  <c r="BH221" i="2"/>
  <c r="BG221" i="2"/>
  <c r="BF221" i="2"/>
  <c r="BE221" i="2"/>
  <c r="BC221" i="2"/>
  <c r="BB221" i="2"/>
  <c r="BA221" i="2"/>
  <c r="AZ221" i="2"/>
  <c r="AY221" i="2"/>
  <c r="AX221" i="2"/>
  <c r="AW221" i="2"/>
  <c r="AV221" i="2"/>
  <c r="AU221" i="2"/>
  <c r="AT221" i="2"/>
  <c r="AS221" i="2"/>
  <c r="AR221" i="2"/>
  <c r="AQ221" i="2"/>
  <c r="AP221" i="2"/>
  <c r="AO221" i="2"/>
  <c r="AN221" i="2"/>
  <c r="AM221" i="2"/>
  <c r="AL221" i="2"/>
  <c r="AK221" i="2"/>
  <c r="AJ221" i="2"/>
  <c r="AI221" i="2"/>
  <c r="AH221" i="2"/>
  <c r="AG221" i="2"/>
  <c r="AF221" i="2"/>
  <c r="AE221" i="2"/>
  <c r="AD221" i="2"/>
  <c r="AC221" i="2"/>
  <c r="AB221" i="2"/>
  <c r="AA221" i="2"/>
  <c r="Z221" i="2"/>
  <c r="Y221" i="2"/>
  <c r="X221" i="2"/>
  <c r="W221" i="2"/>
  <c r="V221" i="2"/>
  <c r="U221" i="2"/>
  <c r="T221" i="2"/>
  <c r="S221" i="2"/>
  <c r="R221" i="2"/>
  <c r="Q221" i="2"/>
  <c r="P221" i="2"/>
  <c r="O221" i="2"/>
  <c r="N221" i="2"/>
  <c r="M221" i="2"/>
  <c r="L221" i="2"/>
  <c r="K221" i="2"/>
  <c r="J221" i="2"/>
  <c r="BD221" i="2" s="1"/>
  <c r="I221" i="2"/>
  <c r="E221" i="2" a="1"/>
  <c r="E221" i="2" s="1"/>
  <c r="D221" i="2" a="1"/>
  <c r="D221" i="2" s="1"/>
  <c r="C221" i="2" a="1"/>
  <c r="C221" i="2" s="1"/>
  <c r="B221" i="2" a="1"/>
  <c r="B221" i="2" s="1"/>
  <c r="CG220" i="2"/>
  <c r="CF220" i="2"/>
  <c r="CE220" i="2"/>
  <c r="CD220" i="2"/>
  <c r="CC220" i="2"/>
  <c r="CB220" i="2"/>
  <c r="CA220" i="2"/>
  <c r="BZ220" i="2"/>
  <c r="BY220" i="2"/>
  <c r="BX220" i="2"/>
  <c r="BW220" i="2"/>
  <c r="BV220" i="2"/>
  <c r="BU220" i="2"/>
  <c r="BT220" i="2"/>
  <c r="BS220" i="2"/>
  <c r="BR220" i="2"/>
  <c r="BQ220" i="2"/>
  <c r="BP220" i="2"/>
  <c r="BO220" i="2"/>
  <c r="BN220" i="2"/>
  <c r="BM220" i="2"/>
  <c r="BL220" i="2"/>
  <c r="BK220" i="2"/>
  <c r="BJ220" i="2"/>
  <c r="BI220" i="2"/>
  <c r="BH220" i="2"/>
  <c r="BG220" i="2"/>
  <c r="BF220" i="2"/>
  <c r="BE220" i="2"/>
  <c r="BD220" i="2"/>
  <c r="BC220" i="2"/>
  <c r="BB220" i="2"/>
  <c r="BA220" i="2"/>
  <c r="AZ220" i="2"/>
  <c r="AY220" i="2"/>
  <c r="AX220" i="2"/>
  <c r="AW220" i="2"/>
  <c r="AV220" i="2"/>
  <c r="AU220" i="2"/>
  <c r="AT220" i="2"/>
  <c r="AS220" i="2"/>
  <c r="AR220" i="2"/>
  <c r="AQ220" i="2"/>
  <c r="AP220" i="2"/>
  <c r="AO220" i="2"/>
  <c r="AN220" i="2"/>
  <c r="AM220" i="2"/>
  <c r="AL220" i="2"/>
  <c r="AK220" i="2"/>
  <c r="AJ220" i="2"/>
  <c r="AI220" i="2"/>
  <c r="AH220" i="2"/>
  <c r="AG220" i="2"/>
  <c r="AF220" i="2"/>
  <c r="AE220" i="2"/>
  <c r="AD220" i="2"/>
  <c r="AC220" i="2"/>
  <c r="AB220" i="2"/>
  <c r="AA220" i="2"/>
  <c r="Z220" i="2"/>
  <c r="Y220" i="2"/>
  <c r="X220" i="2"/>
  <c r="W220" i="2"/>
  <c r="V220" i="2"/>
  <c r="U220" i="2"/>
  <c r="T220" i="2"/>
  <c r="S220" i="2"/>
  <c r="R220" i="2"/>
  <c r="Q220" i="2"/>
  <c r="P220" i="2"/>
  <c r="O220" i="2"/>
  <c r="N220" i="2"/>
  <c r="M220" i="2"/>
  <c r="L220" i="2"/>
  <c r="K220" i="2"/>
  <c r="J220" i="2"/>
  <c r="I220" i="2"/>
  <c r="E220" i="2" a="1"/>
  <c r="E220" i="2" s="1"/>
  <c r="D220" i="2" a="1"/>
  <c r="D220" i="2" s="1"/>
  <c r="C220" i="2" a="1"/>
  <c r="C220" i="2" s="1"/>
  <c r="B220" i="2" a="1"/>
  <c r="B220" i="2" s="1"/>
  <c r="CG219" i="2"/>
  <c r="CF219" i="2"/>
  <c r="CE219" i="2"/>
  <c r="CD219" i="2"/>
  <c r="CC219" i="2"/>
  <c r="CB219" i="2"/>
  <c r="CA219" i="2"/>
  <c r="BZ219" i="2"/>
  <c r="BY219" i="2"/>
  <c r="BX219" i="2"/>
  <c r="BW219" i="2"/>
  <c r="BV219" i="2"/>
  <c r="BU219" i="2"/>
  <c r="BT219" i="2"/>
  <c r="BS219" i="2"/>
  <c r="BR219" i="2"/>
  <c r="BQ219" i="2"/>
  <c r="BP219" i="2"/>
  <c r="BO219" i="2"/>
  <c r="BN219" i="2"/>
  <c r="BM219" i="2"/>
  <c r="BL219" i="2"/>
  <c r="BK219" i="2"/>
  <c r="BJ219" i="2"/>
  <c r="BI219" i="2"/>
  <c r="BH219" i="2"/>
  <c r="BG219" i="2"/>
  <c r="BF219" i="2"/>
  <c r="BE219" i="2"/>
  <c r="BD219" i="2"/>
  <c r="BC219" i="2"/>
  <c r="BB219" i="2"/>
  <c r="BA219" i="2"/>
  <c r="AZ219" i="2"/>
  <c r="AY219" i="2"/>
  <c r="AX219" i="2"/>
  <c r="AW219" i="2"/>
  <c r="AV219" i="2"/>
  <c r="AU219" i="2"/>
  <c r="AT219" i="2"/>
  <c r="AS219" i="2"/>
  <c r="AR219" i="2"/>
  <c r="AQ219" i="2"/>
  <c r="AP219" i="2"/>
  <c r="AO219" i="2"/>
  <c r="AN219" i="2"/>
  <c r="AM219" i="2"/>
  <c r="AL219" i="2"/>
  <c r="AK219" i="2"/>
  <c r="AJ219" i="2"/>
  <c r="AI219" i="2"/>
  <c r="AH219" i="2"/>
  <c r="AG219" i="2"/>
  <c r="AF219" i="2"/>
  <c r="AE219" i="2"/>
  <c r="AD219" i="2"/>
  <c r="AC219" i="2"/>
  <c r="AB219" i="2"/>
  <c r="AA219" i="2"/>
  <c r="Z219" i="2"/>
  <c r="Y219" i="2"/>
  <c r="X219" i="2"/>
  <c r="W219" i="2"/>
  <c r="V219" i="2"/>
  <c r="U219" i="2"/>
  <c r="T219" i="2"/>
  <c r="S219" i="2"/>
  <c r="R219" i="2"/>
  <c r="Q219" i="2"/>
  <c r="P219" i="2"/>
  <c r="O219" i="2"/>
  <c r="N219" i="2"/>
  <c r="M219" i="2"/>
  <c r="L219" i="2"/>
  <c r="K219" i="2"/>
  <c r="J219" i="2"/>
  <c r="I219" i="2"/>
  <c r="E219" i="2" a="1"/>
  <c r="E219" i="2" s="1"/>
  <c r="D219" i="2" a="1"/>
  <c r="D219" i="2" s="1"/>
  <c r="C219" i="2" a="1"/>
  <c r="C219" i="2" s="1"/>
  <c r="B219" i="2" a="1"/>
  <c r="B219" i="2" s="1"/>
  <c r="CG218" i="2"/>
  <c r="CF218" i="2"/>
  <c r="CE218" i="2"/>
  <c r="CD218" i="2"/>
  <c r="CC218" i="2"/>
  <c r="CB218" i="2"/>
  <c r="CA218" i="2"/>
  <c r="BZ218" i="2"/>
  <c r="BY218" i="2"/>
  <c r="BX218" i="2"/>
  <c r="BW218" i="2"/>
  <c r="BV218" i="2"/>
  <c r="BU218" i="2"/>
  <c r="BT218" i="2"/>
  <c r="BS218" i="2"/>
  <c r="BR218" i="2"/>
  <c r="BQ218" i="2"/>
  <c r="BP218" i="2"/>
  <c r="BO218" i="2"/>
  <c r="BN218" i="2"/>
  <c r="BM218" i="2"/>
  <c r="BL218" i="2"/>
  <c r="BK218" i="2"/>
  <c r="BJ218" i="2"/>
  <c r="BI218" i="2"/>
  <c r="BH218" i="2"/>
  <c r="BG218" i="2"/>
  <c r="BF218" i="2"/>
  <c r="BE218" i="2"/>
  <c r="BC218" i="2"/>
  <c r="BB218" i="2"/>
  <c r="BA218" i="2"/>
  <c r="AZ218" i="2"/>
  <c r="AY218" i="2"/>
  <c r="AX218" i="2"/>
  <c r="AW218" i="2"/>
  <c r="AV218" i="2"/>
  <c r="AU218" i="2"/>
  <c r="AT218" i="2"/>
  <c r="AS218" i="2"/>
  <c r="AR218" i="2"/>
  <c r="AQ218" i="2"/>
  <c r="AP218" i="2"/>
  <c r="AO218" i="2"/>
  <c r="AN218" i="2"/>
  <c r="AM218" i="2"/>
  <c r="AL218" i="2"/>
  <c r="AK218" i="2"/>
  <c r="AJ218" i="2"/>
  <c r="AI218" i="2"/>
  <c r="AH218" i="2"/>
  <c r="AG218" i="2"/>
  <c r="AF218" i="2"/>
  <c r="AE218" i="2"/>
  <c r="AD218" i="2"/>
  <c r="AC218" i="2"/>
  <c r="AB218" i="2"/>
  <c r="AA218" i="2"/>
  <c r="Z218" i="2"/>
  <c r="Y218" i="2"/>
  <c r="X218" i="2"/>
  <c r="W218" i="2"/>
  <c r="V218" i="2"/>
  <c r="U218" i="2"/>
  <c r="T218" i="2"/>
  <c r="S218" i="2"/>
  <c r="R218" i="2"/>
  <c r="Q218" i="2"/>
  <c r="P218" i="2"/>
  <c r="O218" i="2"/>
  <c r="N218" i="2"/>
  <c r="M218" i="2"/>
  <c r="L218" i="2"/>
  <c r="K218" i="2"/>
  <c r="J218" i="2"/>
  <c r="BD218" i="2" s="1"/>
  <c r="I218" i="2"/>
  <c r="E218" i="2" a="1"/>
  <c r="E218" i="2" s="1"/>
  <c r="D218" i="2" a="1"/>
  <c r="D218" i="2" s="1"/>
  <c r="C218" i="2" a="1"/>
  <c r="C218" i="2" s="1"/>
  <c r="B218" i="2" a="1"/>
  <c r="B218" i="2" s="1"/>
  <c r="CG217" i="2"/>
  <c r="CF217" i="2"/>
  <c r="CE217" i="2"/>
  <c r="CD217" i="2"/>
  <c r="CC217" i="2"/>
  <c r="CB217" i="2"/>
  <c r="CA217" i="2"/>
  <c r="BZ217" i="2"/>
  <c r="BY217" i="2"/>
  <c r="BX217" i="2"/>
  <c r="BW217" i="2"/>
  <c r="BV217" i="2"/>
  <c r="BU217" i="2"/>
  <c r="BT217" i="2"/>
  <c r="BS217" i="2"/>
  <c r="BR217" i="2"/>
  <c r="BQ217" i="2"/>
  <c r="BP217" i="2"/>
  <c r="BO217" i="2"/>
  <c r="BN217" i="2"/>
  <c r="BM217" i="2"/>
  <c r="BL217" i="2"/>
  <c r="BK217" i="2"/>
  <c r="BJ217" i="2"/>
  <c r="BI217" i="2"/>
  <c r="BH217" i="2"/>
  <c r="BG217" i="2"/>
  <c r="BF217" i="2"/>
  <c r="BE217" i="2"/>
  <c r="BC217" i="2"/>
  <c r="BB217" i="2"/>
  <c r="BA217" i="2"/>
  <c r="AZ217" i="2"/>
  <c r="AY217" i="2"/>
  <c r="AX217" i="2"/>
  <c r="AW217" i="2"/>
  <c r="AV217" i="2"/>
  <c r="AU217" i="2"/>
  <c r="AT217" i="2"/>
  <c r="AS217" i="2"/>
  <c r="AR217" i="2"/>
  <c r="AQ217" i="2"/>
  <c r="AP217" i="2"/>
  <c r="AO217" i="2"/>
  <c r="AN217" i="2"/>
  <c r="AM217" i="2"/>
  <c r="AL217" i="2"/>
  <c r="AK217" i="2"/>
  <c r="AJ217" i="2"/>
  <c r="AI217" i="2"/>
  <c r="AH217" i="2"/>
  <c r="AG217" i="2"/>
  <c r="AF217" i="2"/>
  <c r="AE217" i="2"/>
  <c r="AD217" i="2"/>
  <c r="AC217" i="2"/>
  <c r="AB217" i="2"/>
  <c r="AA217" i="2"/>
  <c r="Z217" i="2"/>
  <c r="Y217" i="2"/>
  <c r="X217" i="2"/>
  <c r="W217" i="2"/>
  <c r="V217" i="2"/>
  <c r="U217" i="2"/>
  <c r="T217" i="2"/>
  <c r="S217" i="2"/>
  <c r="R217" i="2"/>
  <c r="Q217" i="2"/>
  <c r="P217" i="2"/>
  <c r="O217" i="2"/>
  <c r="N217" i="2"/>
  <c r="M217" i="2"/>
  <c r="L217" i="2"/>
  <c r="K217" i="2"/>
  <c r="J217" i="2"/>
  <c r="BD217" i="2" s="1"/>
  <c r="I217" i="2"/>
  <c r="E217" i="2" a="1"/>
  <c r="E217" i="2" s="1"/>
  <c r="D217" i="2" a="1"/>
  <c r="D217" i="2" s="1"/>
  <c r="C217" i="2" a="1"/>
  <c r="C217" i="2" s="1"/>
  <c r="B217" i="2" a="1"/>
  <c r="B217" i="2" s="1"/>
  <c r="CG216" i="2"/>
  <c r="CF216" i="2"/>
  <c r="CE216" i="2"/>
  <c r="CD216" i="2"/>
  <c r="CC216" i="2"/>
  <c r="CB216" i="2"/>
  <c r="CA216" i="2"/>
  <c r="BZ216" i="2"/>
  <c r="BY216" i="2"/>
  <c r="BX216" i="2"/>
  <c r="BW216" i="2"/>
  <c r="BV216" i="2"/>
  <c r="BU216" i="2"/>
  <c r="BT216" i="2"/>
  <c r="BS216" i="2"/>
  <c r="BR216" i="2"/>
  <c r="BQ216" i="2"/>
  <c r="BP216" i="2"/>
  <c r="BO216" i="2"/>
  <c r="BN216" i="2"/>
  <c r="BM216" i="2"/>
  <c r="BL216" i="2"/>
  <c r="BK216" i="2"/>
  <c r="BJ216" i="2"/>
  <c r="BI216" i="2"/>
  <c r="BH216" i="2"/>
  <c r="BG216" i="2"/>
  <c r="BF216" i="2"/>
  <c r="BE216" i="2"/>
  <c r="BD216" i="2"/>
  <c r="BC216" i="2"/>
  <c r="BB216" i="2"/>
  <c r="BA216" i="2"/>
  <c r="AZ216" i="2"/>
  <c r="AY216" i="2"/>
  <c r="AX216" i="2"/>
  <c r="AW216" i="2"/>
  <c r="AV216" i="2"/>
  <c r="AU216" i="2"/>
  <c r="AT216" i="2"/>
  <c r="AS216" i="2"/>
  <c r="AR216" i="2"/>
  <c r="AQ216" i="2"/>
  <c r="AP216" i="2"/>
  <c r="AO216" i="2"/>
  <c r="AN216" i="2"/>
  <c r="AM216" i="2"/>
  <c r="AL216" i="2"/>
  <c r="AK216" i="2"/>
  <c r="AJ216" i="2"/>
  <c r="AI216" i="2"/>
  <c r="AH216" i="2"/>
  <c r="AG216" i="2"/>
  <c r="AF216" i="2"/>
  <c r="AE216" i="2"/>
  <c r="AD216" i="2"/>
  <c r="AC216" i="2"/>
  <c r="AB216" i="2"/>
  <c r="AA216" i="2"/>
  <c r="Z216" i="2"/>
  <c r="Y216" i="2"/>
  <c r="X216" i="2"/>
  <c r="W216" i="2"/>
  <c r="V216" i="2"/>
  <c r="U216" i="2"/>
  <c r="T216" i="2"/>
  <c r="S216" i="2"/>
  <c r="R216" i="2"/>
  <c r="Q216" i="2"/>
  <c r="P216" i="2"/>
  <c r="O216" i="2"/>
  <c r="N216" i="2"/>
  <c r="M216" i="2"/>
  <c r="L216" i="2"/>
  <c r="K216" i="2"/>
  <c r="J216" i="2"/>
  <c r="I216" i="2"/>
  <c r="E216" i="2" a="1"/>
  <c r="E216" i="2" s="1"/>
  <c r="D216" i="2" a="1"/>
  <c r="D216" i="2" s="1"/>
  <c r="C216" i="2" a="1"/>
  <c r="C216" i="2" s="1"/>
  <c r="B216" i="2" a="1"/>
  <c r="B216" i="2" s="1"/>
  <c r="CG215" i="2"/>
  <c r="CF215" i="2"/>
  <c r="CE215" i="2"/>
  <c r="CD215" i="2"/>
  <c r="CC215" i="2"/>
  <c r="CB215" i="2"/>
  <c r="CA215" i="2"/>
  <c r="BZ215" i="2"/>
  <c r="BY215" i="2"/>
  <c r="BX215" i="2"/>
  <c r="BW215" i="2"/>
  <c r="BV215" i="2"/>
  <c r="BU215" i="2"/>
  <c r="BT215" i="2"/>
  <c r="BS215" i="2"/>
  <c r="BR215" i="2"/>
  <c r="BQ215" i="2"/>
  <c r="BP215" i="2"/>
  <c r="BO215" i="2"/>
  <c r="BN215" i="2"/>
  <c r="BM215" i="2"/>
  <c r="BL215" i="2"/>
  <c r="BK215" i="2"/>
  <c r="BJ215" i="2"/>
  <c r="BI215" i="2"/>
  <c r="BH215" i="2"/>
  <c r="BG215" i="2"/>
  <c r="BF215" i="2"/>
  <c r="BE215" i="2"/>
  <c r="BD215" i="2"/>
  <c r="BC215" i="2"/>
  <c r="BB215" i="2"/>
  <c r="BA215" i="2"/>
  <c r="AZ215" i="2"/>
  <c r="AY215" i="2"/>
  <c r="AX215" i="2"/>
  <c r="AW215" i="2"/>
  <c r="AV215" i="2"/>
  <c r="AU215" i="2"/>
  <c r="AT215" i="2"/>
  <c r="AS215" i="2"/>
  <c r="AR215" i="2"/>
  <c r="AQ215" i="2"/>
  <c r="AP215" i="2"/>
  <c r="AO215" i="2"/>
  <c r="AN215" i="2"/>
  <c r="AM215" i="2"/>
  <c r="AL215" i="2"/>
  <c r="AK215" i="2"/>
  <c r="AJ215" i="2"/>
  <c r="AI215" i="2"/>
  <c r="AH215" i="2"/>
  <c r="AG215" i="2"/>
  <c r="AF215" i="2"/>
  <c r="AE215" i="2"/>
  <c r="AD215" i="2"/>
  <c r="AC215" i="2"/>
  <c r="AB215" i="2"/>
  <c r="AA215" i="2"/>
  <c r="Z215" i="2"/>
  <c r="Y215" i="2"/>
  <c r="X215" i="2"/>
  <c r="W215" i="2"/>
  <c r="V215" i="2"/>
  <c r="U215" i="2"/>
  <c r="T215" i="2"/>
  <c r="S215" i="2"/>
  <c r="R215" i="2"/>
  <c r="Q215" i="2"/>
  <c r="P215" i="2"/>
  <c r="O215" i="2"/>
  <c r="N215" i="2"/>
  <c r="M215" i="2"/>
  <c r="L215" i="2"/>
  <c r="K215" i="2"/>
  <c r="J215" i="2"/>
  <c r="I215" i="2"/>
  <c r="E215" i="2" a="1"/>
  <c r="E215" i="2" s="1"/>
  <c r="D215" i="2" a="1"/>
  <c r="D215" i="2" s="1"/>
  <c r="C215" i="2" a="1"/>
  <c r="C215" i="2" s="1"/>
  <c r="B215" i="2" a="1"/>
  <c r="B215" i="2" s="1"/>
  <c r="CG214" i="2"/>
  <c r="CF214" i="2"/>
  <c r="CE214" i="2"/>
  <c r="CD214" i="2"/>
  <c r="CC214" i="2"/>
  <c r="CB214" i="2"/>
  <c r="CA214" i="2"/>
  <c r="BZ214" i="2"/>
  <c r="BY214" i="2"/>
  <c r="BX214" i="2"/>
  <c r="BW214" i="2"/>
  <c r="BV214" i="2"/>
  <c r="BU214" i="2"/>
  <c r="BT214" i="2"/>
  <c r="BS214" i="2"/>
  <c r="BR214" i="2"/>
  <c r="BQ214" i="2"/>
  <c r="BP214" i="2"/>
  <c r="BO214" i="2"/>
  <c r="BN214" i="2"/>
  <c r="BM214" i="2"/>
  <c r="BL214" i="2"/>
  <c r="BK214" i="2"/>
  <c r="BJ214" i="2"/>
  <c r="BI214" i="2"/>
  <c r="BH214" i="2"/>
  <c r="BG214" i="2"/>
  <c r="BF214" i="2"/>
  <c r="BE214" i="2"/>
  <c r="BC214" i="2"/>
  <c r="BB214" i="2"/>
  <c r="BA214" i="2"/>
  <c r="AZ214" i="2"/>
  <c r="AY214" i="2"/>
  <c r="AX214" i="2"/>
  <c r="AW214" i="2"/>
  <c r="AV214" i="2"/>
  <c r="AU214" i="2"/>
  <c r="AT214" i="2"/>
  <c r="AS214" i="2"/>
  <c r="AR214" i="2"/>
  <c r="AQ214" i="2"/>
  <c r="AP214" i="2"/>
  <c r="AO214" i="2"/>
  <c r="AN214" i="2"/>
  <c r="AM214" i="2"/>
  <c r="AL214" i="2"/>
  <c r="AK214" i="2"/>
  <c r="AJ214" i="2"/>
  <c r="AI214" i="2"/>
  <c r="AH214" i="2"/>
  <c r="AG214" i="2"/>
  <c r="AF214" i="2"/>
  <c r="AE214" i="2"/>
  <c r="AD214" i="2"/>
  <c r="AC214" i="2"/>
  <c r="AB214" i="2"/>
  <c r="AA214" i="2"/>
  <c r="Z214" i="2"/>
  <c r="Y214" i="2"/>
  <c r="X214" i="2"/>
  <c r="W214" i="2"/>
  <c r="V214" i="2"/>
  <c r="U214" i="2"/>
  <c r="T214" i="2"/>
  <c r="S214" i="2"/>
  <c r="R214" i="2"/>
  <c r="Q214" i="2"/>
  <c r="P214" i="2"/>
  <c r="O214" i="2"/>
  <c r="N214" i="2"/>
  <c r="M214" i="2"/>
  <c r="L214" i="2"/>
  <c r="K214" i="2"/>
  <c r="J214" i="2"/>
  <c r="BD214" i="2" s="1"/>
  <c r="I214" i="2"/>
  <c r="E214" i="2" a="1"/>
  <c r="E214" i="2" s="1"/>
  <c r="D214" i="2" a="1"/>
  <c r="D214" i="2" s="1"/>
  <c r="C214" i="2" a="1"/>
  <c r="C214" i="2" s="1"/>
  <c r="B214" i="2" a="1"/>
  <c r="B214" i="2" s="1"/>
  <c r="CG213" i="2"/>
  <c r="CF213" i="2"/>
  <c r="CE213" i="2"/>
  <c r="CD213" i="2"/>
  <c r="CC213" i="2"/>
  <c r="CB213" i="2"/>
  <c r="CA213" i="2"/>
  <c r="BZ213" i="2"/>
  <c r="BY213" i="2"/>
  <c r="BX213" i="2"/>
  <c r="BW213" i="2"/>
  <c r="BV213" i="2"/>
  <c r="BU213" i="2"/>
  <c r="BT213" i="2"/>
  <c r="BS213" i="2"/>
  <c r="BR213" i="2"/>
  <c r="BQ213" i="2"/>
  <c r="BP213" i="2"/>
  <c r="BO213" i="2"/>
  <c r="BN213" i="2"/>
  <c r="BM213" i="2"/>
  <c r="BL213" i="2"/>
  <c r="BK213" i="2"/>
  <c r="BJ213" i="2"/>
  <c r="BI213" i="2"/>
  <c r="BH213" i="2"/>
  <c r="BG213" i="2"/>
  <c r="BF213" i="2"/>
  <c r="BE213" i="2"/>
  <c r="BC213" i="2"/>
  <c r="BB213" i="2"/>
  <c r="BA213" i="2"/>
  <c r="AZ213" i="2"/>
  <c r="AY213" i="2"/>
  <c r="AX213" i="2"/>
  <c r="AW213" i="2"/>
  <c r="AV213" i="2"/>
  <c r="AU213" i="2"/>
  <c r="AT213" i="2"/>
  <c r="AS213" i="2"/>
  <c r="AR213" i="2"/>
  <c r="AQ213" i="2"/>
  <c r="AP213" i="2"/>
  <c r="AO213" i="2"/>
  <c r="AN213" i="2"/>
  <c r="AM213" i="2"/>
  <c r="AL213" i="2"/>
  <c r="AK213" i="2"/>
  <c r="AJ213" i="2"/>
  <c r="AI213" i="2"/>
  <c r="AH213" i="2"/>
  <c r="AG213" i="2"/>
  <c r="AF213" i="2"/>
  <c r="AE213" i="2"/>
  <c r="AD213" i="2"/>
  <c r="AC213" i="2"/>
  <c r="AB213" i="2"/>
  <c r="AA213" i="2"/>
  <c r="Z213" i="2"/>
  <c r="Y213" i="2"/>
  <c r="X213" i="2"/>
  <c r="W213" i="2"/>
  <c r="V213" i="2"/>
  <c r="U213" i="2"/>
  <c r="T213" i="2"/>
  <c r="S213" i="2"/>
  <c r="R213" i="2"/>
  <c r="Q213" i="2"/>
  <c r="P213" i="2"/>
  <c r="O213" i="2"/>
  <c r="N213" i="2"/>
  <c r="M213" i="2"/>
  <c r="L213" i="2"/>
  <c r="K213" i="2"/>
  <c r="J213" i="2"/>
  <c r="BD213" i="2" s="1"/>
  <c r="I213" i="2"/>
  <c r="E213" i="2" a="1"/>
  <c r="E213" i="2" s="1"/>
  <c r="D213" i="2" a="1"/>
  <c r="D213" i="2" s="1"/>
  <c r="C213" i="2" a="1"/>
  <c r="C213" i="2" s="1"/>
  <c r="B213" i="2" a="1"/>
  <c r="B213" i="2" s="1"/>
  <c r="CG212" i="2"/>
  <c r="CF212" i="2"/>
  <c r="CE212" i="2"/>
  <c r="CD212" i="2"/>
  <c r="CC212" i="2"/>
  <c r="CB212" i="2"/>
  <c r="CA212" i="2"/>
  <c r="BZ212" i="2"/>
  <c r="BY212" i="2"/>
  <c r="BX212" i="2"/>
  <c r="BW212" i="2"/>
  <c r="BV212" i="2"/>
  <c r="BU212" i="2"/>
  <c r="BT212" i="2"/>
  <c r="BS212" i="2"/>
  <c r="BR212" i="2"/>
  <c r="BQ212" i="2"/>
  <c r="BP212" i="2"/>
  <c r="BO212" i="2"/>
  <c r="BN212" i="2"/>
  <c r="BM212" i="2"/>
  <c r="BL212" i="2"/>
  <c r="BK212" i="2"/>
  <c r="BJ212" i="2"/>
  <c r="BI212" i="2"/>
  <c r="BH212" i="2"/>
  <c r="BG212" i="2"/>
  <c r="BF212" i="2"/>
  <c r="BE212" i="2"/>
  <c r="BD212" i="2"/>
  <c r="BC212" i="2"/>
  <c r="BB212" i="2"/>
  <c r="BA212" i="2"/>
  <c r="AZ212" i="2"/>
  <c r="AY212" i="2"/>
  <c r="AX212" i="2"/>
  <c r="AW212" i="2"/>
  <c r="AV212" i="2"/>
  <c r="AU212" i="2"/>
  <c r="AT212" i="2"/>
  <c r="AS212" i="2"/>
  <c r="AR212" i="2"/>
  <c r="AQ212" i="2"/>
  <c r="AP212" i="2"/>
  <c r="AO212" i="2"/>
  <c r="AN212" i="2"/>
  <c r="AM212" i="2"/>
  <c r="AL212" i="2"/>
  <c r="AK212" i="2"/>
  <c r="AJ212" i="2"/>
  <c r="AI212" i="2"/>
  <c r="AH212" i="2"/>
  <c r="AG212" i="2"/>
  <c r="AF212" i="2"/>
  <c r="AE212" i="2"/>
  <c r="AD212" i="2"/>
  <c r="AC212" i="2"/>
  <c r="AB212" i="2"/>
  <c r="AA212" i="2"/>
  <c r="Z212" i="2"/>
  <c r="Y212" i="2"/>
  <c r="X212" i="2"/>
  <c r="W212" i="2"/>
  <c r="V212" i="2"/>
  <c r="U212" i="2"/>
  <c r="T212" i="2"/>
  <c r="S212" i="2"/>
  <c r="R212" i="2"/>
  <c r="Q212" i="2"/>
  <c r="P212" i="2"/>
  <c r="O212" i="2"/>
  <c r="N212" i="2"/>
  <c r="M212" i="2"/>
  <c r="L212" i="2"/>
  <c r="K212" i="2"/>
  <c r="J212" i="2"/>
  <c r="I212" i="2"/>
  <c r="E212" i="2" a="1"/>
  <c r="E212" i="2" s="1"/>
  <c r="D212" i="2" a="1"/>
  <c r="D212" i="2" s="1"/>
  <c r="C212" i="2" a="1"/>
  <c r="C212" i="2" s="1"/>
  <c r="B212" i="2" a="1"/>
  <c r="B212" i="2" s="1"/>
  <c r="CG211" i="2"/>
  <c r="CF211" i="2"/>
  <c r="CE211" i="2"/>
  <c r="CD211" i="2"/>
  <c r="CC211" i="2"/>
  <c r="CB211" i="2"/>
  <c r="CA211" i="2"/>
  <c r="BZ211" i="2"/>
  <c r="BY211" i="2"/>
  <c r="BX211" i="2"/>
  <c r="BW211" i="2"/>
  <c r="BV211" i="2"/>
  <c r="BU211" i="2"/>
  <c r="BT211" i="2"/>
  <c r="BS211" i="2"/>
  <c r="BR211" i="2"/>
  <c r="BQ211" i="2"/>
  <c r="BP211" i="2"/>
  <c r="BO211" i="2"/>
  <c r="BN211" i="2"/>
  <c r="BM211" i="2"/>
  <c r="BL211" i="2"/>
  <c r="BK211" i="2"/>
  <c r="BJ211" i="2"/>
  <c r="BI211" i="2"/>
  <c r="BH211" i="2"/>
  <c r="BG211" i="2"/>
  <c r="BF211" i="2"/>
  <c r="BE211" i="2"/>
  <c r="BD211" i="2"/>
  <c r="BC211" i="2"/>
  <c r="BB211" i="2"/>
  <c r="BA211" i="2"/>
  <c r="AZ211" i="2"/>
  <c r="AY211" i="2"/>
  <c r="AX211" i="2"/>
  <c r="AW211" i="2"/>
  <c r="AV211" i="2"/>
  <c r="AU211" i="2"/>
  <c r="AT211" i="2"/>
  <c r="AS211" i="2"/>
  <c r="AR211" i="2"/>
  <c r="AQ211" i="2"/>
  <c r="AP211" i="2"/>
  <c r="AO211" i="2"/>
  <c r="AN211" i="2"/>
  <c r="AM211" i="2"/>
  <c r="AL211" i="2"/>
  <c r="AK211" i="2"/>
  <c r="AJ211" i="2"/>
  <c r="AI211" i="2"/>
  <c r="AH211" i="2"/>
  <c r="AG211" i="2"/>
  <c r="AF211" i="2"/>
  <c r="AE211" i="2"/>
  <c r="AD211" i="2"/>
  <c r="AC211" i="2"/>
  <c r="AB211" i="2"/>
  <c r="AA211" i="2"/>
  <c r="Z211" i="2"/>
  <c r="Y211" i="2"/>
  <c r="X211" i="2"/>
  <c r="W211" i="2"/>
  <c r="V211" i="2"/>
  <c r="U211" i="2"/>
  <c r="T211" i="2"/>
  <c r="S211" i="2"/>
  <c r="R211" i="2"/>
  <c r="Q211" i="2"/>
  <c r="P211" i="2"/>
  <c r="O211" i="2"/>
  <c r="N211" i="2"/>
  <c r="M211" i="2"/>
  <c r="L211" i="2"/>
  <c r="K211" i="2"/>
  <c r="J211" i="2"/>
  <c r="I211" i="2"/>
  <c r="E211" i="2" a="1"/>
  <c r="E211" i="2" s="1"/>
  <c r="D211" i="2" a="1"/>
  <c r="D211" i="2" s="1"/>
  <c r="C211" i="2" a="1"/>
  <c r="C211" i="2" s="1"/>
  <c r="B211" i="2" a="1"/>
  <c r="B211" i="2" s="1"/>
  <c r="CG210" i="2"/>
  <c r="CF210" i="2"/>
  <c r="CE210" i="2"/>
  <c r="CD210" i="2"/>
  <c r="CC210" i="2"/>
  <c r="CB210" i="2"/>
  <c r="CA210" i="2"/>
  <c r="BZ210" i="2"/>
  <c r="BY210" i="2"/>
  <c r="BX210" i="2"/>
  <c r="BW210" i="2"/>
  <c r="BV210" i="2"/>
  <c r="BU210" i="2"/>
  <c r="BT210" i="2"/>
  <c r="BS210" i="2"/>
  <c r="BR210" i="2"/>
  <c r="BQ210" i="2"/>
  <c r="BP210" i="2"/>
  <c r="BO210" i="2"/>
  <c r="BN210" i="2"/>
  <c r="BM210" i="2"/>
  <c r="BL210" i="2"/>
  <c r="BK210" i="2"/>
  <c r="BJ210" i="2"/>
  <c r="BI210" i="2"/>
  <c r="BH210" i="2"/>
  <c r="BG210" i="2"/>
  <c r="BF210" i="2"/>
  <c r="BE210" i="2"/>
  <c r="BC210" i="2"/>
  <c r="BB210" i="2"/>
  <c r="BA210" i="2"/>
  <c r="AZ210" i="2"/>
  <c r="AY210" i="2"/>
  <c r="AX210" i="2"/>
  <c r="AW210" i="2"/>
  <c r="AV210" i="2"/>
  <c r="AU210" i="2"/>
  <c r="AT210" i="2"/>
  <c r="AS210" i="2"/>
  <c r="AR210" i="2"/>
  <c r="AQ210" i="2"/>
  <c r="AP210" i="2"/>
  <c r="AO210" i="2"/>
  <c r="AN210" i="2"/>
  <c r="AM210" i="2"/>
  <c r="AL210" i="2"/>
  <c r="AK210" i="2"/>
  <c r="AJ210" i="2"/>
  <c r="AI210" i="2"/>
  <c r="AH210" i="2"/>
  <c r="AG210" i="2"/>
  <c r="AF210" i="2"/>
  <c r="AE210" i="2"/>
  <c r="AD210" i="2"/>
  <c r="AC210" i="2"/>
  <c r="AB210" i="2"/>
  <c r="AA210" i="2"/>
  <c r="Z210" i="2"/>
  <c r="Y210" i="2"/>
  <c r="X210" i="2"/>
  <c r="W210" i="2"/>
  <c r="V210" i="2"/>
  <c r="U210" i="2"/>
  <c r="T210" i="2"/>
  <c r="S210" i="2"/>
  <c r="R210" i="2"/>
  <c r="Q210" i="2"/>
  <c r="P210" i="2"/>
  <c r="O210" i="2"/>
  <c r="N210" i="2"/>
  <c r="M210" i="2"/>
  <c r="L210" i="2"/>
  <c r="K210" i="2"/>
  <c r="J210" i="2"/>
  <c r="BD210" i="2" s="1"/>
  <c r="I210" i="2"/>
  <c r="E210" i="2" a="1"/>
  <c r="E210" i="2" s="1"/>
  <c r="D210" i="2" a="1"/>
  <c r="D210" i="2" s="1"/>
  <c r="C210" i="2" a="1"/>
  <c r="C210" i="2" s="1"/>
  <c r="B210" i="2" a="1"/>
  <c r="B210" i="2" s="1"/>
  <c r="CG209" i="2"/>
  <c r="CF209" i="2"/>
  <c r="CE209" i="2"/>
  <c r="CD209" i="2"/>
  <c r="CC209" i="2"/>
  <c r="CB209" i="2"/>
  <c r="CA209" i="2"/>
  <c r="BZ209" i="2"/>
  <c r="BY209" i="2"/>
  <c r="BX209" i="2"/>
  <c r="BW209" i="2"/>
  <c r="BV209" i="2"/>
  <c r="BU209" i="2"/>
  <c r="BT209" i="2"/>
  <c r="BS209" i="2"/>
  <c r="BR209" i="2"/>
  <c r="BQ209" i="2"/>
  <c r="BP209" i="2"/>
  <c r="BO209" i="2"/>
  <c r="BN209" i="2"/>
  <c r="BM209" i="2"/>
  <c r="BL209" i="2"/>
  <c r="BK209" i="2"/>
  <c r="BJ209" i="2"/>
  <c r="BI209" i="2"/>
  <c r="BH209" i="2"/>
  <c r="BG209" i="2"/>
  <c r="BF209" i="2"/>
  <c r="BE209" i="2"/>
  <c r="BC209" i="2"/>
  <c r="BB209" i="2"/>
  <c r="BA209" i="2"/>
  <c r="AZ209" i="2"/>
  <c r="AY209" i="2"/>
  <c r="AX209" i="2"/>
  <c r="AW209" i="2"/>
  <c r="AV209" i="2"/>
  <c r="AU209" i="2"/>
  <c r="AT209" i="2"/>
  <c r="AS209" i="2"/>
  <c r="AR209" i="2"/>
  <c r="AQ209" i="2"/>
  <c r="AP209" i="2"/>
  <c r="AO209" i="2"/>
  <c r="AN209" i="2"/>
  <c r="AM209" i="2"/>
  <c r="AL209" i="2"/>
  <c r="AK209" i="2"/>
  <c r="AJ209" i="2"/>
  <c r="AI209" i="2"/>
  <c r="AH209" i="2"/>
  <c r="AG209" i="2"/>
  <c r="AF209" i="2"/>
  <c r="AE209" i="2"/>
  <c r="AD209" i="2"/>
  <c r="AC209" i="2"/>
  <c r="AB209" i="2"/>
  <c r="AA209" i="2"/>
  <c r="Z209" i="2"/>
  <c r="Y209" i="2"/>
  <c r="X209" i="2"/>
  <c r="W209" i="2"/>
  <c r="V209" i="2"/>
  <c r="U209" i="2"/>
  <c r="T209" i="2"/>
  <c r="S209" i="2"/>
  <c r="R209" i="2"/>
  <c r="Q209" i="2"/>
  <c r="P209" i="2"/>
  <c r="O209" i="2"/>
  <c r="N209" i="2"/>
  <c r="M209" i="2"/>
  <c r="L209" i="2"/>
  <c r="K209" i="2"/>
  <c r="J209" i="2"/>
  <c r="BD209" i="2" s="1"/>
  <c r="I209" i="2"/>
  <c r="E209" i="2" a="1"/>
  <c r="E209" i="2" s="1"/>
  <c r="D209" i="2" a="1"/>
  <c r="D209" i="2" s="1"/>
  <c r="C209" i="2" a="1"/>
  <c r="C209" i="2" s="1"/>
  <c r="B209" i="2" a="1"/>
  <c r="B209" i="2" s="1"/>
  <c r="CG208" i="2"/>
  <c r="CF208" i="2"/>
  <c r="CE208" i="2"/>
  <c r="CD208" i="2"/>
  <c r="CC208" i="2"/>
  <c r="CB208" i="2"/>
  <c r="CA208" i="2"/>
  <c r="BZ208" i="2"/>
  <c r="BY208" i="2"/>
  <c r="BX208" i="2"/>
  <c r="BW208" i="2"/>
  <c r="BV208" i="2"/>
  <c r="BU208" i="2"/>
  <c r="BT208" i="2"/>
  <c r="BS208" i="2"/>
  <c r="BR208" i="2"/>
  <c r="BQ208" i="2"/>
  <c r="BP208" i="2"/>
  <c r="BO208" i="2"/>
  <c r="BN208" i="2"/>
  <c r="BM208" i="2"/>
  <c r="BL208" i="2"/>
  <c r="BK208" i="2"/>
  <c r="BJ208" i="2"/>
  <c r="BI208" i="2"/>
  <c r="BH208" i="2"/>
  <c r="BG208" i="2"/>
  <c r="BF208" i="2"/>
  <c r="BE208" i="2"/>
  <c r="BD208" i="2"/>
  <c r="BC208" i="2"/>
  <c r="BB208" i="2"/>
  <c r="BA208" i="2"/>
  <c r="AZ208" i="2"/>
  <c r="AY208" i="2"/>
  <c r="AX208" i="2"/>
  <c r="AW208" i="2"/>
  <c r="AV208" i="2"/>
  <c r="AU208" i="2"/>
  <c r="AT208" i="2"/>
  <c r="AS208" i="2"/>
  <c r="AR208" i="2"/>
  <c r="AQ208" i="2"/>
  <c r="AP208" i="2"/>
  <c r="AO208" i="2"/>
  <c r="AN208" i="2"/>
  <c r="AM208" i="2"/>
  <c r="AL208" i="2"/>
  <c r="AK208" i="2"/>
  <c r="AJ208" i="2"/>
  <c r="AI208" i="2"/>
  <c r="AH208" i="2"/>
  <c r="AG208" i="2"/>
  <c r="AF208" i="2"/>
  <c r="AE208" i="2"/>
  <c r="AD208" i="2"/>
  <c r="AC208" i="2"/>
  <c r="AB208" i="2"/>
  <c r="AA208" i="2"/>
  <c r="Z208" i="2"/>
  <c r="Y208" i="2"/>
  <c r="X208" i="2"/>
  <c r="W208" i="2"/>
  <c r="V208" i="2"/>
  <c r="U208" i="2"/>
  <c r="T208" i="2"/>
  <c r="S208" i="2"/>
  <c r="R208" i="2"/>
  <c r="Q208" i="2"/>
  <c r="P208" i="2"/>
  <c r="O208" i="2"/>
  <c r="N208" i="2"/>
  <c r="M208" i="2"/>
  <c r="L208" i="2"/>
  <c r="K208" i="2"/>
  <c r="J208" i="2"/>
  <c r="I208" i="2"/>
  <c r="E208" i="2" a="1"/>
  <c r="E208" i="2" s="1"/>
  <c r="D208" i="2" a="1"/>
  <c r="D208" i="2" s="1"/>
  <c r="C208" i="2" a="1"/>
  <c r="C208" i="2" s="1"/>
  <c r="B208" i="2" a="1"/>
  <c r="B208" i="2" s="1"/>
  <c r="CG207" i="2"/>
  <c r="CF207" i="2"/>
  <c r="CE207" i="2"/>
  <c r="CD207" i="2"/>
  <c r="CC207" i="2"/>
  <c r="CB207" i="2"/>
  <c r="CA207" i="2"/>
  <c r="BZ207" i="2"/>
  <c r="BY207" i="2"/>
  <c r="BX207" i="2"/>
  <c r="BW207" i="2"/>
  <c r="BV207" i="2"/>
  <c r="BU207" i="2"/>
  <c r="BT207" i="2"/>
  <c r="BS207" i="2"/>
  <c r="BR207" i="2"/>
  <c r="BQ207" i="2"/>
  <c r="BP207" i="2"/>
  <c r="BO207" i="2"/>
  <c r="BN207" i="2"/>
  <c r="BM207" i="2"/>
  <c r="BL207" i="2"/>
  <c r="BK207" i="2"/>
  <c r="BJ207" i="2"/>
  <c r="BI207" i="2"/>
  <c r="BH207" i="2"/>
  <c r="BG207" i="2"/>
  <c r="BF207" i="2"/>
  <c r="BE207" i="2"/>
  <c r="BD207" i="2"/>
  <c r="BC207" i="2"/>
  <c r="BB207" i="2"/>
  <c r="BA207" i="2"/>
  <c r="AZ207" i="2"/>
  <c r="AY207" i="2"/>
  <c r="AX207" i="2"/>
  <c r="AW207" i="2"/>
  <c r="AV207" i="2"/>
  <c r="AU207" i="2"/>
  <c r="AT207" i="2"/>
  <c r="AS207" i="2"/>
  <c r="AR207" i="2"/>
  <c r="AQ207" i="2"/>
  <c r="AP207" i="2"/>
  <c r="AO207" i="2"/>
  <c r="AN207" i="2"/>
  <c r="AM207" i="2"/>
  <c r="AL207" i="2"/>
  <c r="AK207" i="2"/>
  <c r="AJ207" i="2"/>
  <c r="AI207" i="2"/>
  <c r="AH207" i="2"/>
  <c r="AG207" i="2"/>
  <c r="AF207" i="2"/>
  <c r="AE207" i="2"/>
  <c r="AD207" i="2"/>
  <c r="AC207" i="2"/>
  <c r="AB207" i="2"/>
  <c r="AA207" i="2"/>
  <c r="Z207" i="2"/>
  <c r="Y207" i="2"/>
  <c r="X207" i="2"/>
  <c r="W207" i="2"/>
  <c r="V207" i="2"/>
  <c r="U207" i="2"/>
  <c r="T207" i="2"/>
  <c r="S207" i="2"/>
  <c r="R207" i="2"/>
  <c r="Q207" i="2"/>
  <c r="P207" i="2"/>
  <c r="O207" i="2"/>
  <c r="N207" i="2"/>
  <c r="M207" i="2"/>
  <c r="L207" i="2"/>
  <c r="K207" i="2"/>
  <c r="J207" i="2"/>
  <c r="I207" i="2"/>
  <c r="E207" i="2" a="1"/>
  <c r="E207" i="2" s="1"/>
  <c r="D207" i="2" a="1"/>
  <c r="D207" i="2" s="1"/>
  <c r="C207" i="2" a="1"/>
  <c r="C207" i="2" s="1"/>
  <c r="B207" i="2" a="1"/>
  <c r="B207" i="2" s="1"/>
  <c r="CG206" i="2"/>
  <c r="CF206" i="2"/>
  <c r="CE206" i="2"/>
  <c r="CD206" i="2"/>
  <c r="CC206" i="2"/>
  <c r="CB206" i="2"/>
  <c r="CA206" i="2"/>
  <c r="BZ206" i="2"/>
  <c r="BY206" i="2"/>
  <c r="BX206" i="2"/>
  <c r="BW206" i="2"/>
  <c r="BV206" i="2"/>
  <c r="BU206" i="2"/>
  <c r="BT206" i="2"/>
  <c r="BS206" i="2"/>
  <c r="BR206" i="2"/>
  <c r="BQ206" i="2"/>
  <c r="BP206" i="2"/>
  <c r="BO206" i="2"/>
  <c r="BN206" i="2"/>
  <c r="BM206" i="2"/>
  <c r="BL206" i="2"/>
  <c r="BK206" i="2"/>
  <c r="BJ206" i="2"/>
  <c r="BI206" i="2"/>
  <c r="BH206" i="2"/>
  <c r="BG206" i="2"/>
  <c r="BF206" i="2"/>
  <c r="BE206" i="2"/>
  <c r="BC206" i="2"/>
  <c r="BB206" i="2"/>
  <c r="BA206" i="2"/>
  <c r="AZ206" i="2"/>
  <c r="AY206" i="2"/>
  <c r="AX206" i="2"/>
  <c r="AW206" i="2"/>
  <c r="AV206" i="2"/>
  <c r="AU206" i="2"/>
  <c r="AT206" i="2"/>
  <c r="AS206" i="2"/>
  <c r="AR206" i="2"/>
  <c r="AQ206" i="2"/>
  <c r="AP206" i="2"/>
  <c r="AO206" i="2"/>
  <c r="AN206" i="2"/>
  <c r="AM206" i="2"/>
  <c r="AL206" i="2"/>
  <c r="AK206" i="2"/>
  <c r="AJ206" i="2"/>
  <c r="AI206" i="2"/>
  <c r="AH206" i="2"/>
  <c r="AG206" i="2"/>
  <c r="AF206" i="2"/>
  <c r="AE206" i="2"/>
  <c r="AD206" i="2"/>
  <c r="AC206" i="2"/>
  <c r="AB206" i="2"/>
  <c r="AA206" i="2"/>
  <c r="Z206" i="2"/>
  <c r="Y206" i="2"/>
  <c r="X206" i="2"/>
  <c r="W206" i="2"/>
  <c r="V206" i="2"/>
  <c r="U206" i="2"/>
  <c r="T206" i="2"/>
  <c r="S206" i="2"/>
  <c r="R206" i="2"/>
  <c r="Q206" i="2"/>
  <c r="P206" i="2"/>
  <c r="O206" i="2"/>
  <c r="N206" i="2"/>
  <c r="M206" i="2"/>
  <c r="L206" i="2"/>
  <c r="K206" i="2"/>
  <c r="J206" i="2"/>
  <c r="BD206" i="2" s="1"/>
  <c r="I206" i="2"/>
  <c r="E206" i="2" a="1"/>
  <c r="E206" i="2" s="1"/>
  <c r="D206" i="2" a="1"/>
  <c r="D206" i="2" s="1"/>
  <c r="C206" i="2" a="1"/>
  <c r="C206" i="2" s="1"/>
  <c r="B206" i="2" a="1"/>
  <c r="B206" i="2" s="1"/>
  <c r="CG205" i="2"/>
  <c r="CF205" i="2"/>
  <c r="CE205" i="2"/>
  <c r="CD205" i="2"/>
  <c r="CC205" i="2"/>
  <c r="CB205" i="2"/>
  <c r="CA205" i="2"/>
  <c r="BZ205" i="2"/>
  <c r="BY205" i="2"/>
  <c r="BX205" i="2"/>
  <c r="BW205" i="2"/>
  <c r="BV205" i="2"/>
  <c r="BU205" i="2"/>
  <c r="BT205" i="2"/>
  <c r="BS205" i="2"/>
  <c r="BR205" i="2"/>
  <c r="BQ205" i="2"/>
  <c r="BP205" i="2"/>
  <c r="BO205" i="2"/>
  <c r="BN205" i="2"/>
  <c r="BM205" i="2"/>
  <c r="BL205" i="2"/>
  <c r="BK205" i="2"/>
  <c r="BJ205" i="2"/>
  <c r="BI205" i="2"/>
  <c r="BH205" i="2"/>
  <c r="BG205" i="2"/>
  <c r="BF205" i="2"/>
  <c r="BE205" i="2"/>
  <c r="BC205" i="2"/>
  <c r="BB205" i="2"/>
  <c r="BA205" i="2"/>
  <c r="AZ205" i="2"/>
  <c r="AY205" i="2"/>
  <c r="AX205" i="2"/>
  <c r="AW205" i="2"/>
  <c r="AV205" i="2"/>
  <c r="AU205" i="2"/>
  <c r="AT205" i="2"/>
  <c r="AS205" i="2"/>
  <c r="AR205" i="2"/>
  <c r="AQ205" i="2"/>
  <c r="AP205" i="2"/>
  <c r="AO205" i="2"/>
  <c r="AN205" i="2"/>
  <c r="AM205" i="2"/>
  <c r="AL205" i="2"/>
  <c r="AK205" i="2"/>
  <c r="AJ205" i="2"/>
  <c r="AI205" i="2"/>
  <c r="AH205" i="2"/>
  <c r="AG205" i="2"/>
  <c r="AF205" i="2"/>
  <c r="AE205" i="2"/>
  <c r="AD205" i="2"/>
  <c r="AC205" i="2"/>
  <c r="AB205" i="2"/>
  <c r="AA205" i="2"/>
  <c r="Z205" i="2"/>
  <c r="Y205" i="2"/>
  <c r="X205" i="2"/>
  <c r="W205" i="2"/>
  <c r="V205" i="2"/>
  <c r="U205" i="2"/>
  <c r="T205" i="2"/>
  <c r="S205" i="2"/>
  <c r="R205" i="2"/>
  <c r="Q205" i="2"/>
  <c r="P205" i="2"/>
  <c r="O205" i="2"/>
  <c r="N205" i="2"/>
  <c r="M205" i="2"/>
  <c r="L205" i="2"/>
  <c r="K205" i="2"/>
  <c r="J205" i="2"/>
  <c r="BD205" i="2" s="1"/>
  <c r="I205" i="2"/>
  <c r="E205" i="2" a="1"/>
  <c r="E205" i="2" s="1"/>
  <c r="D205" i="2" a="1"/>
  <c r="D205" i="2" s="1"/>
  <c r="C205" i="2" a="1"/>
  <c r="C205" i="2" s="1"/>
  <c r="B205" i="2" a="1"/>
  <c r="B205" i="2" s="1"/>
  <c r="CG204" i="2"/>
  <c r="CF204" i="2"/>
  <c r="CE204" i="2"/>
  <c r="CD204" i="2"/>
  <c r="CC204" i="2"/>
  <c r="CB204" i="2"/>
  <c r="CA204" i="2"/>
  <c r="BZ204" i="2"/>
  <c r="BY204" i="2"/>
  <c r="BX204" i="2"/>
  <c r="BW204" i="2"/>
  <c r="BV204" i="2"/>
  <c r="BU204" i="2"/>
  <c r="BT204" i="2"/>
  <c r="BS204" i="2"/>
  <c r="BR204" i="2"/>
  <c r="BQ204" i="2"/>
  <c r="BP204" i="2"/>
  <c r="BO204" i="2"/>
  <c r="BN204" i="2"/>
  <c r="BM204" i="2"/>
  <c r="BL204" i="2"/>
  <c r="BK204" i="2"/>
  <c r="BJ204" i="2"/>
  <c r="BI204" i="2"/>
  <c r="BH204" i="2"/>
  <c r="BG204" i="2"/>
  <c r="BF204" i="2"/>
  <c r="BE204" i="2"/>
  <c r="BD204" i="2"/>
  <c r="BC204" i="2"/>
  <c r="BB204" i="2"/>
  <c r="BA204" i="2"/>
  <c r="AZ204" i="2"/>
  <c r="AY204" i="2"/>
  <c r="AX204" i="2"/>
  <c r="AW204" i="2"/>
  <c r="AV204" i="2"/>
  <c r="AU204" i="2"/>
  <c r="AT204" i="2"/>
  <c r="AS204" i="2"/>
  <c r="AR204" i="2"/>
  <c r="AQ204" i="2"/>
  <c r="AP204" i="2"/>
  <c r="AO204" i="2"/>
  <c r="AN204" i="2"/>
  <c r="AM204" i="2"/>
  <c r="AL204" i="2"/>
  <c r="AK204" i="2"/>
  <c r="AJ204" i="2"/>
  <c r="AI204" i="2"/>
  <c r="AH204" i="2"/>
  <c r="AG204" i="2"/>
  <c r="AF204" i="2"/>
  <c r="AE204" i="2"/>
  <c r="AD204" i="2"/>
  <c r="AC204" i="2"/>
  <c r="AB204" i="2"/>
  <c r="AA204" i="2"/>
  <c r="Z204" i="2"/>
  <c r="Y204" i="2"/>
  <c r="X204" i="2"/>
  <c r="W204" i="2"/>
  <c r="V204" i="2"/>
  <c r="U204" i="2"/>
  <c r="T204" i="2"/>
  <c r="S204" i="2"/>
  <c r="R204" i="2"/>
  <c r="Q204" i="2"/>
  <c r="P204" i="2"/>
  <c r="O204" i="2"/>
  <c r="N204" i="2"/>
  <c r="M204" i="2"/>
  <c r="L204" i="2"/>
  <c r="K204" i="2"/>
  <c r="J204" i="2"/>
  <c r="I204" i="2"/>
  <c r="E204" i="2" a="1"/>
  <c r="E204" i="2" s="1"/>
  <c r="D204" i="2" a="1"/>
  <c r="D204" i="2" s="1"/>
  <c r="C204" i="2" a="1"/>
  <c r="C204" i="2" s="1"/>
  <c r="B204" i="2" a="1"/>
  <c r="B204" i="2" s="1"/>
  <c r="CG203" i="2"/>
  <c r="CF203" i="2"/>
  <c r="CE203" i="2"/>
  <c r="CD203" i="2"/>
  <c r="CC203" i="2"/>
  <c r="CB203" i="2"/>
  <c r="CA203" i="2"/>
  <c r="BZ203" i="2"/>
  <c r="BY203" i="2"/>
  <c r="BX203" i="2"/>
  <c r="BW203" i="2"/>
  <c r="BV203" i="2"/>
  <c r="BU203" i="2"/>
  <c r="BT203" i="2"/>
  <c r="BS203" i="2"/>
  <c r="BR203" i="2"/>
  <c r="BQ203" i="2"/>
  <c r="BP203" i="2"/>
  <c r="BO203" i="2"/>
  <c r="BN203" i="2"/>
  <c r="BM203" i="2"/>
  <c r="BL203" i="2"/>
  <c r="BK203" i="2"/>
  <c r="BJ203" i="2"/>
  <c r="BI203" i="2"/>
  <c r="BH203" i="2"/>
  <c r="BG203" i="2"/>
  <c r="BF203" i="2"/>
  <c r="BE203" i="2"/>
  <c r="BD203" i="2"/>
  <c r="BC203" i="2"/>
  <c r="BB203" i="2"/>
  <c r="BA203" i="2"/>
  <c r="AZ203" i="2"/>
  <c r="AY203" i="2"/>
  <c r="AX203" i="2"/>
  <c r="AW203" i="2"/>
  <c r="AV203" i="2"/>
  <c r="AU203" i="2"/>
  <c r="AT203" i="2"/>
  <c r="AS203" i="2"/>
  <c r="AR203" i="2"/>
  <c r="AQ203" i="2"/>
  <c r="AP203" i="2"/>
  <c r="AO203" i="2"/>
  <c r="AN203" i="2"/>
  <c r="AM203" i="2"/>
  <c r="AL203" i="2"/>
  <c r="AK203" i="2"/>
  <c r="AJ203" i="2"/>
  <c r="AI203" i="2"/>
  <c r="AH203" i="2"/>
  <c r="AG203" i="2"/>
  <c r="AF203" i="2"/>
  <c r="AE203" i="2"/>
  <c r="AD203" i="2"/>
  <c r="AC203" i="2"/>
  <c r="AB203" i="2"/>
  <c r="AA203" i="2"/>
  <c r="Z203" i="2"/>
  <c r="Y203" i="2"/>
  <c r="X203" i="2"/>
  <c r="W203" i="2"/>
  <c r="V203" i="2"/>
  <c r="U203" i="2"/>
  <c r="T203" i="2"/>
  <c r="S203" i="2"/>
  <c r="R203" i="2"/>
  <c r="Q203" i="2"/>
  <c r="P203" i="2"/>
  <c r="O203" i="2"/>
  <c r="N203" i="2"/>
  <c r="M203" i="2"/>
  <c r="L203" i="2"/>
  <c r="K203" i="2"/>
  <c r="J203" i="2"/>
  <c r="I203" i="2"/>
  <c r="E203" i="2" a="1"/>
  <c r="E203" i="2" s="1"/>
  <c r="D203" i="2" a="1"/>
  <c r="D203" i="2" s="1"/>
  <c r="C203" i="2" a="1"/>
  <c r="C203" i="2" s="1"/>
  <c r="B203" i="2" a="1"/>
  <c r="B203" i="2" s="1"/>
  <c r="CG202" i="2"/>
  <c r="CF202" i="2"/>
  <c r="CE202" i="2"/>
  <c r="CD202" i="2"/>
  <c r="CC202" i="2"/>
  <c r="CB202" i="2"/>
  <c r="CA202" i="2"/>
  <c r="BZ202" i="2"/>
  <c r="BY202" i="2"/>
  <c r="BX202" i="2"/>
  <c r="BW202" i="2"/>
  <c r="BV202" i="2"/>
  <c r="BU202" i="2"/>
  <c r="BT202" i="2"/>
  <c r="BS202" i="2"/>
  <c r="BR202" i="2"/>
  <c r="BQ202" i="2"/>
  <c r="BP202" i="2"/>
  <c r="BO202" i="2"/>
  <c r="BN202" i="2"/>
  <c r="BM202" i="2"/>
  <c r="BL202" i="2"/>
  <c r="BK202" i="2"/>
  <c r="BJ202" i="2"/>
  <c r="BI202" i="2"/>
  <c r="BH202" i="2"/>
  <c r="BG202" i="2"/>
  <c r="BF202" i="2"/>
  <c r="BE202" i="2"/>
  <c r="BC202" i="2"/>
  <c r="BB202" i="2"/>
  <c r="BA202" i="2"/>
  <c r="AZ202" i="2"/>
  <c r="AY202" i="2"/>
  <c r="AX202" i="2"/>
  <c r="AW202" i="2"/>
  <c r="AV202" i="2"/>
  <c r="AU202" i="2"/>
  <c r="AT202" i="2"/>
  <c r="AS202" i="2"/>
  <c r="AR202" i="2"/>
  <c r="AQ202" i="2"/>
  <c r="AP202" i="2"/>
  <c r="AO202" i="2"/>
  <c r="AN202" i="2"/>
  <c r="AM202" i="2"/>
  <c r="AL202" i="2"/>
  <c r="AK202" i="2"/>
  <c r="AJ202" i="2"/>
  <c r="AI202" i="2"/>
  <c r="AH202" i="2"/>
  <c r="AG202" i="2"/>
  <c r="AF202" i="2"/>
  <c r="AE202" i="2"/>
  <c r="AD202" i="2"/>
  <c r="AC202" i="2"/>
  <c r="AB202" i="2"/>
  <c r="AA202" i="2"/>
  <c r="Z202" i="2"/>
  <c r="Y202" i="2"/>
  <c r="X202" i="2"/>
  <c r="W202" i="2"/>
  <c r="V202" i="2"/>
  <c r="U202" i="2"/>
  <c r="T202" i="2"/>
  <c r="S202" i="2"/>
  <c r="R202" i="2"/>
  <c r="Q202" i="2"/>
  <c r="P202" i="2"/>
  <c r="O202" i="2"/>
  <c r="N202" i="2"/>
  <c r="M202" i="2"/>
  <c r="L202" i="2"/>
  <c r="K202" i="2"/>
  <c r="J202" i="2"/>
  <c r="BD202" i="2" s="1"/>
  <c r="I202" i="2"/>
  <c r="E202" i="2" a="1"/>
  <c r="E202" i="2" s="1"/>
  <c r="D202" i="2" a="1"/>
  <c r="D202" i="2" s="1"/>
  <c r="C202" i="2" a="1"/>
  <c r="C202" i="2" s="1"/>
  <c r="B202" i="2" a="1"/>
  <c r="B202" i="2" s="1"/>
  <c r="CG201" i="2"/>
  <c r="CF201" i="2"/>
  <c r="CE201" i="2"/>
  <c r="CD201" i="2"/>
  <c r="CC201" i="2"/>
  <c r="CB201" i="2"/>
  <c r="CA201" i="2"/>
  <c r="BZ201" i="2"/>
  <c r="BY201" i="2"/>
  <c r="BX201" i="2"/>
  <c r="BW201" i="2"/>
  <c r="BV201" i="2"/>
  <c r="BU201" i="2"/>
  <c r="BT201" i="2"/>
  <c r="BS201" i="2"/>
  <c r="BR201" i="2"/>
  <c r="BQ201" i="2"/>
  <c r="BP201" i="2"/>
  <c r="BO201" i="2"/>
  <c r="BN201" i="2"/>
  <c r="BM201" i="2"/>
  <c r="BL201" i="2"/>
  <c r="BK201" i="2"/>
  <c r="BJ201" i="2"/>
  <c r="BI201" i="2"/>
  <c r="BH201" i="2"/>
  <c r="BG201" i="2"/>
  <c r="BF201" i="2"/>
  <c r="BE201" i="2"/>
  <c r="BC201" i="2"/>
  <c r="BB201" i="2"/>
  <c r="BA201" i="2"/>
  <c r="AZ201" i="2"/>
  <c r="AY201" i="2"/>
  <c r="AX201" i="2"/>
  <c r="AW201" i="2"/>
  <c r="AV201" i="2"/>
  <c r="AU201" i="2"/>
  <c r="AT201" i="2"/>
  <c r="AS201" i="2"/>
  <c r="AR201" i="2"/>
  <c r="AQ201" i="2"/>
  <c r="AP201" i="2"/>
  <c r="AO201" i="2"/>
  <c r="AN201" i="2"/>
  <c r="AM201" i="2"/>
  <c r="AL201" i="2"/>
  <c r="AK201" i="2"/>
  <c r="AJ201" i="2"/>
  <c r="AI201" i="2"/>
  <c r="AH201" i="2"/>
  <c r="AG201" i="2"/>
  <c r="AF201" i="2"/>
  <c r="AE201" i="2"/>
  <c r="AD201" i="2"/>
  <c r="AC201" i="2"/>
  <c r="AB201" i="2"/>
  <c r="AA201" i="2"/>
  <c r="Z201" i="2"/>
  <c r="Y201" i="2"/>
  <c r="X201" i="2"/>
  <c r="W201" i="2"/>
  <c r="V201" i="2"/>
  <c r="U201" i="2"/>
  <c r="T201" i="2"/>
  <c r="S201" i="2"/>
  <c r="R201" i="2"/>
  <c r="Q201" i="2"/>
  <c r="P201" i="2"/>
  <c r="O201" i="2"/>
  <c r="N201" i="2"/>
  <c r="M201" i="2"/>
  <c r="L201" i="2"/>
  <c r="K201" i="2"/>
  <c r="J201" i="2"/>
  <c r="BD201" i="2" s="1"/>
  <c r="I201" i="2"/>
  <c r="E201" i="2" a="1"/>
  <c r="E201" i="2" s="1"/>
  <c r="D201" i="2" a="1"/>
  <c r="D201" i="2" s="1"/>
  <c r="C201" i="2" a="1"/>
  <c r="C201" i="2" s="1"/>
  <c r="B201" i="2" a="1"/>
  <c r="B201" i="2" s="1"/>
  <c r="CG200" i="2"/>
  <c r="CF200" i="2"/>
  <c r="CE200" i="2"/>
  <c r="CD200" i="2"/>
  <c r="CC200" i="2"/>
  <c r="CB200" i="2"/>
  <c r="CA200" i="2"/>
  <c r="BZ200" i="2"/>
  <c r="BY200" i="2"/>
  <c r="BX200" i="2"/>
  <c r="BW200" i="2"/>
  <c r="BV200" i="2"/>
  <c r="BU200" i="2"/>
  <c r="BT200" i="2"/>
  <c r="BS200" i="2"/>
  <c r="BR200" i="2"/>
  <c r="BQ200" i="2"/>
  <c r="BP200" i="2"/>
  <c r="BO200" i="2"/>
  <c r="BN200" i="2"/>
  <c r="BM200" i="2"/>
  <c r="BL200" i="2"/>
  <c r="BK200" i="2"/>
  <c r="BJ200" i="2"/>
  <c r="BI200" i="2"/>
  <c r="BH200" i="2"/>
  <c r="BG200" i="2"/>
  <c r="BF200" i="2"/>
  <c r="BE200" i="2"/>
  <c r="BD200" i="2"/>
  <c r="BC200" i="2"/>
  <c r="BB200" i="2"/>
  <c r="BA200" i="2"/>
  <c r="AZ200" i="2"/>
  <c r="AY200" i="2"/>
  <c r="AX200" i="2"/>
  <c r="AW200" i="2"/>
  <c r="AV200" i="2"/>
  <c r="AU200" i="2"/>
  <c r="AT200" i="2"/>
  <c r="AS200" i="2"/>
  <c r="AR200" i="2"/>
  <c r="AQ200" i="2"/>
  <c r="AP200" i="2"/>
  <c r="AO200" i="2"/>
  <c r="AN200" i="2"/>
  <c r="AM200" i="2"/>
  <c r="AL200" i="2"/>
  <c r="AK200" i="2"/>
  <c r="AJ200" i="2"/>
  <c r="AI200" i="2"/>
  <c r="AH200" i="2"/>
  <c r="AG200" i="2"/>
  <c r="AF200" i="2"/>
  <c r="AE200" i="2"/>
  <c r="AD200" i="2"/>
  <c r="AC200" i="2"/>
  <c r="AB200" i="2"/>
  <c r="AA200" i="2"/>
  <c r="Z200" i="2"/>
  <c r="Y200" i="2"/>
  <c r="X200" i="2"/>
  <c r="W200" i="2"/>
  <c r="V200" i="2"/>
  <c r="U200" i="2"/>
  <c r="T200" i="2"/>
  <c r="S200" i="2"/>
  <c r="R200" i="2"/>
  <c r="Q200" i="2"/>
  <c r="P200" i="2"/>
  <c r="O200" i="2"/>
  <c r="N200" i="2"/>
  <c r="M200" i="2"/>
  <c r="L200" i="2"/>
  <c r="K200" i="2"/>
  <c r="J200" i="2"/>
  <c r="I200" i="2"/>
  <c r="E200" i="2" a="1"/>
  <c r="E200" i="2" s="1"/>
  <c r="D200" i="2" a="1"/>
  <c r="D200" i="2" s="1"/>
  <c r="C200" i="2" a="1"/>
  <c r="C200" i="2" s="1"/>
  <c r="B200" i="2" a="1"/>
  <c r="B200" i="2" s="1"/>
  <c r="CG199" i="2"/>
  <c r="CF199" i="2"/>
  <c r="CE199" i="2"/>
  <c r="CD199" i="2"/>
  <c r="CC199" i="2"/>
  <c r="CB199" i="2"/>
  <c r="CA199" i="2"/>
  <c r="BZ199" i="2"/>
  <c r="BY199" i="2"/>
  <c r="BX199" i="2"/>
  <c r="BW199" i="2"/>
  <c r="BV199" i="2"/>
  <c r="BU199" i="2"/>
  <c r="BT199" i="2"/>
  <c r="BS199" i="2"/>
  <c r="BR199" i="2"/>
  <c r="BQ199" i="2"/>
  <c r="BP199" i="2"/>
  <c r="BO199" i="2"/>
  <c r="BN199" i="2"/>
  <c r="BM199" i="2"/>
  <c r="BL199" i="2"/>
  <c r="BK199" i="2"/>
  <c r="BJ199" i="2"/>
  <c r="BI199" i="2"/>
  <c r="BH199" i="2"/>
  <c r="BG199" i="2"/>
  <c r="BF199" i="2"/>
  <c r="BE199" i="2"/>
  <c r="BD199" i="2"/>
  <c r="BC199" i="2"/>
  <c r="BB199" i="2"/>
  <c r="BA199" i="2"/>
  <c r="AZ199" i="2"/>
  <c r="AY199" i="2"/>
  <c r="AX199" i="2"/>
  <c r="AW199" i="2"/>
  <c r="AV199" i="2"/>
  <c r="AU199" i="2"/>
  <c r="AT199" i="2"/>
  <c r="AS199" i="2"/>
  <c r="AR199" i="2"/>
  <c r="AQ199" i="2"/>
  <c r="AP199" i="2"/>
  <c r="AO199" i="2"/>
  <c r="AN199" i="2"/>
  <c r="AM199" i="2"/>
  <c r="AL199" i="2"/>
  <c r="AK199" i="2"/>
  <c r="AJ199" i="2"/>
  <c r="AI199" i="2"/>
  <c r="AH199" i="2"/>
  <c r="AG199" i="2"/>
  <c r="AF199" i="2"/>
  <c r="AE199" i="2"/>
  <c r="AD199" i="2"/>
  <c r="AC199" i="2"/>
  <c r="AB199" i="2"/>
  <c r="AA199" i="2"/>
  <c r="Z199" i="2"/>
  <c r="Y199" i="2"/>
  <c r="X199" i="2"/>
  <c r="W199" i="2"/>
  <c r="V199" i="2"/>
  <c r="U199" i="2"/>
  <c r="T199" i="2"/>
  <c r="S199" i="2"/>
  <c r="R199" i="2"/>
  <c r="Q199" i="2"/>
  <c r="P199" i="2"/>
  <c r="O199" i="2"/>
  <c r="N199" i="2"/>
  <c r="M199" i="2"/>
  <c r="L199" i="2"/>
  <c r="K199" i="2"/>
  <c r="J199" i="2"/>
  <c r="I199" i="2"/>
  <c r="E199" i="2" a="1"/>
  <c r="E199" i="2" s="1"/>
  <c r="D199" i="2" a="1"/>
  <c r="D199" i="2" s="1"/>
  <c r="C199" i="2" a="1"/>
  <c r="C199" i="2" s="1"/>
  <c r="B199" i="2" a="1"/>
  <c r="B199" i="2" s="1"/>
  <c r="CG198" i="2"/>
  <c r="CF198" i="2"/>
  <c r="CE198" i="2"/>
  <c r="CD198" i="2"/>
  <c r="CC198" i="2"/>
  <c r="CB198" i="2"/>
  <c r="CA198" i="2"/>
  <c r="BZ198" i="2"/>
  <c r="BY198" i="2"/>
  <c r="BX198" i="2"/>
  <c r="BW198" i="2"/>
  <c r="BV198" i="2"/>
  <c r="BU198" i="2"/>
  <c r="BT198" i="2"/>
  <c r="BS198" i="2"/>
  <c r="BR198" i="2"/>
  <c r="BQ198" i="2"/>
  <c r="BP198" i="2"/>
  <c r="BO198" i="2"/>
  <c r="BN198" i="2"/>
  <c r="BM198" i="2"/>
  <c r="BL198" i="2"/>
  <c r="BK198" i="2"/>
  <c r="BJ198" i="2"/>
  <c r="BI198" i="2"/>
  <c r="BH198" i="2"/>
  <c r="BG198" i="2"/>
  <c r="BF198" i="2"/>
  <c r="BE198" i="2"/>
  <c r="BC198" i="2"/>
  <c r="BB198" i="2"/>
  <c r="BA198" i="2"/>
  <c r="AZ198" i="2"/>
  <c r="AY198" i="2"/>
  <c r="AX198" i="2"/>
  <c r="AW198" i="2"/>
  <c r="AV198" i="2"/>
  <c r="AU198" i="2"/>
  <c r="AT198" i="2"/>
  <c r="AS198" i="2"/>
  <c r="AR198" i="2"/>
  <c r="AQ198" i="2"/>
  <c r="AP198" i="2"/>
  <c r="AO198" i="2"/>
  <c r="AN198" i="2"/>
  <c r="AM198" i="2"/>
  <c r="AL198" i="2"/>
  <c r="AK198" i="2"/>
  <c r="AJ198" i="2"/>
  <c r="AI198" i="2"/>
  <c r="AH198" i="2"/>
  <c r="AG198" i="2"/>
  <c r="AF198" i="2"/>
  <c r="AE198" i="2"/>
  <c r="AD198" i="2"/>
  <c r="AC198" i="2"/>
  <c r="AB198" i="2"/>
  <c r="AA198" i="2"/>
  <c r="Z198" i="2"/>
  <c r="Y198" i="2"/>
  <c r="X198" i="2"/>
  <c r="W198" i="2"/>
  <c r="V198" i="2"/>
  <c r="U198" i="2"/>
  <c r="T198" i="2"/>
  <c r="S198" i="2"/>
  <c r="R198" i="2"/>
  <c r="Q198" i="2"/>
  <c r="P198" i="2"/>
  <c r="O198" i="2"/>
  <c r="N198" i="2"/>
  <c r="M198" i="2"/>
  <c r="L198" i="2"/>
  <c r="K198" i="2"/>
  <c r="J198" i="2"/>
  <c r="BD198" i="2" s="1"/>
  <c r="I198" i="2"/>
  <c r="E198" i="2" a="1"/>
  <c r="E198" i="2" s="1"/>
  <c r="D198" i="2" a="1"/>
  <c r="D198" i="2" s="1"/>
  <c r="C198" i="2" a="1"/>
  <c r="C198" i="2" s="1"/>
  <c r="B198" i="2" a="1"/>
  <c r="B198" i="2" s="1"/>
  <c r="CG197" i="2"/>
  <c r="CF197" i="2"/>
  <c r="CE197" i="2"/>
  <c r="CD197" i="2"/>
  <c r="CC197" i="2"/>
  <c r="CB197" i="2"/>
  <c r="CA197" i="2"/>
  <c r="BZ197" i="2"/>
  <c r="BY197" i="2"/>
  <c r="BX197" i="2"/>
  <c r="BW197" i="2"/>
  <c r="BV197" i="2"/>
  <c r="BU197" i="2"/>
  <c r="BT197" i="2"/>
  <c r="BS197" i="2"/>
  <c r="BR197" i="2"/>
  <c r="BQ197" i="2"/>
  <c r="BP197" i="2"/>
  <c r="BO197" i="2"/>
  <c r="BN197" i="2"/>
  <c r="BM197" i="2"/>
  <c r="BL197" i="2"/>
  <c r="BK197" i="2"/>
  <c r="BJ197" i="2"/>
  <c r="BI197" i="2"/>
  <c r="BH197" i="2"/>
  <c r="BG197" i="2"/>
  <c r="BF197" i="2"/>
  <c r="BE197" i="2"/>
  <c r="BC197" i="2"/>
  <c r="BB197" i="2"/>
  <c r="BA197" i="2"/>
  <c r="AZ197" i="2"/>
  <c r="AY197" i="2"/>
  <c r="AX197" i="2"/>
  <c r="AW197" i="2"/>
  <c r="AV197" i="2"/>
  <c r="AU197" i="2"/>
  <c r="AT197" i="2"/>
  <c r="AS197" i="2"/>
  <c r="AR197" i="2"/>
  <c r="AQ197" i="2"/>
  <c r="AP197" i="2"/>
  <c r="AO197" i="2"/>
  <c r="AN197" i="2"/>
  <c r="AM197" i="2"/>
  <c r="AL197" i="2"/>
  <c r="AK197" i="2"/>
  <c r="AJ197" i="2"/>
  <c r="AI197" i="2"/>
  <c r="AH197" i="2"/>
  <c r="AG197" i="2"/>
  <c r="AF197" i="2"/>
  <c r="AE197" i="2"/>
  <c r="AD197" i="2"/>
  <c r="AC197" i="2"/>
  <c r="AB197" i="2"/>
  <c r="AA197" i="2"/>
  <c r="Z197" i="2"/>
  <c r="Y197" i="2"/>
  <c r="X197" i="2"/>
  <c r="W197" i="2"/>
  <c r="V197" i="2"/>
  <c r="U197" i="2"/>
  <c r="T197" i="2"/>
  <c r="S197" i="2"/>
  <c r="R197" i="2"/>
  <c r="Q197" i="2"/>
  <c r="P197" i="2"/>
  <c r="O197" i="2"/>
  <c r="N197" i="2"/>
  <c r="M197" i="2"/>
  <c r="L197" i="2"/>
  <c r="K197" i="2"/>
  <c r="J197" i="2"/>
  <c r="BD197" i="2" s="1"/>
  <c r="I197" i="2"/>
  <c r="E197" i="2" a="1"/>
  <c r="E197" i="2" s="1"/>
  <c r="D197" i="2" a="1"/>
  <c r="D197" i="2" s="1"/>
  <c r="C197" i="2" a="1"/>
  <c r="C197" i="2" s="1"/>
  <c r="B197" i="2" a="1"/>
  <c r="B197" i="2" s="1"/>
  <c r="CG196" i="2"/>
  <c r="CF196" i="2"/>
  <c r="CE196" i="2"/>
  <c r="CD196" i="2"/>
  <c r="CC196" i="2"/>
  <c r="CB196" i="2"/>
  <c r="CA196" i="2"/>
  <c r="BZ196" i="2"/>
  <c r="BY196" i="2"/>
  <c r="BX196" i="2"/>
  <c r="BW196" i="2"/>
  <c r="BV196" i="2"/>
  <c r="BU196" i="2"/>
  <c r="BT196" i="2"/>
  <c r="BS196" i="2"/>
  <c r="BR196" i="2"/>
  <c r="BQ196" i="2"/>
  <c r="BP196" i="2"/>
  <c r="BO196" i="2"/>
  <c r="BN196" i="2"/>
  <c r="BM196" i="2"/>
  <c r="BL196" i="2"/>
  <c r="BK196" i="2"/>
  <c r="BJ196" i="2"/>
  <c r="BI196" i="2"/>
  <c r="BH196" i="2"/>
  <c r="BG196" i="2"/>
  <c r="BF196" i="2"/>
  <c r="BE196" i="2"/>
  <c r="BD196" i="2"/>
  <c r="BC196" i="2"/>
  <c r="BB196" i="2"/>
  <c r="BA196" i="2"/>
  <c r="AZ196" i="2"/>
  <c r="AY196" i="2"/>
  <c r="AX196" i="2"/>
  <c r="AW196" i="2"/>
  <c r="AV196" i="2"/>
  <c r="AU196" i="2"/>
  <c r="AT196" i="2"/>
  <c r="AS196" i="2"/>
  <c r="AR196" i="2"/>
  <c r="AQ196" i="2"/>
  <c r="AP196" i="2"/>
  <c r="AO196" i="2"/>
  <c r="AN196" i="2"/>
  <c r="AM196" i="2"/>
  <c r="AL196" i="2"/>
  <c r="AK196" i="2"/>
  <c r="AJ196" i="2"/>
  <c r="AI196" i="2"/>
  <c r="AH196" i="2"/>
  <c r="AG196" i="2"/>
  <c r="AF196" i="2"/>
  <c r="AE196" i="2"/>
  <c r="AD196" i="2"/>
  <c r="AC196" i="2"/>
  <c r="AB196" i="2"/>
  <c r="AA196" i="2"/>
  <c r="Z196" i="2"/>
  <c r="Y196" i="2"/>
  <c r="X196" i="2"/>
  <c r="W196" i="2"/>
  <c r="V196" i="2"/>
  <c r="U196" i="2"/>
  <c r="T196" i="2"/>
  <c r="S196" i="2"/>
  <c r="R196" i="2"/>
  <c r="Q196" i="2"/>
  <c r="P196" i="2"/>
  <c r="O196" i="2"/>
  <c r="N196" i="2"/>
  <c r="M196" i="2"/>
  <c r="L196" i="2"/>
  <c r="K196" i="2"/>
  <c r="J196" i="2"/>
  <c r="I196" i="2"/>
  <c r="E196" i="2" a="1"/>
  <c r="E196" i="2" s="1"/>
  <c r="D196" i="2" a="1"/>
  <c r="D196" i="2" s="1"/>
  <c r="C196" i="2" a="1"/>
  <c r="C196" i="2" s="1"/>
  <c r="B196" i="2" a="1"/>
  <c r="B196" i="2" s="1"/>
  <c r="CG195" i="2"/>
  <c r="CF195" i="2"/>
  <c r="CE195" i="2"/>
  <c r="CD195" i="2"/>
  <c r="CC195" i="2"/>
  <c r="CB195" i="2"/>
  <c r="CA195" i="2"/>
  <c r="BZ195" i="2"/>
  <c r="BY195" i="2"/>
  <c r="BX195" i="2"/>
  <c r="BW195" i="2"/>
  <c r="BV195" i="2"/>
  <c r="BU195" i="2"/>
  <c r="BT195" i="2"/>
  <c r="BS195" i="2"/>
  <c r="BR195" i="2"/>
  <c r="BQ195" i="2"/>
  <c r="BP195" i="2"/>
  <c r="BO195" i="2"/>
  <c r="BN195" i="2"/>
  <c r="BM195" i="2"/>
  <c r="BL195" i="2"/>
  <c r="BK195" i="2"/>
  <c r="BJ195" i="2"/>
  <c r="BI195" i="2"/>
  <c r="BH195" i="2"/>
  <c r="BG195" i="2"/>
  <c r="BF195" i="2"/>
  <c r="BE195" i="2"/>
  <c r="BC195" i="2"/>
  <c r="BB195" i="2"/>
  <c r="BA195" i="2"/>
  <c r="AZ195" i="2"/>
  <c r="AY195" i="2"/>
  <c r="AX195" i="2"/>
  <c r="AW195" i="2"/>
  <c r="AV195" i="2"/>
  <c r="AU195" i="2"/>
  <c r="AT195" i="2"/>
  <c r="AS195" i="2"/>
  <c r="AR195" i="2"/>
  <c r="AQ195" i="2"/>
  <c r="AP195" i="2"/>
  <c r="AO195" i="2"/>
  <c r="AN195" i="2"/>
  <c r="AM195" i="2"/>
  <c r="AL195" i="2"/>
  <c r="AK195" i="2"/>
  <c r="AJ195" i="2"/>
  <c r="AI195" i="2"/>
  <c r="AH195" i="2"/>
  <c r="AG195" i="2"/>
  <c r="AF195" i="2"/>
  <c r="AE195" i="2"/>
  <c r="AD195" i="2"/>
  <c r="AC195" i="2"/>
  <c r="AB195" i="2"/>
  <c r="AA195" i="2"/>
  <c r="Z195" i="2"/>
  <c r="Y195" i="2"/>
  <c r="X195" i="2"/>
  <c r="W195" i="2"/>
  <c r="V195" i="2"/>
  <c r="U195" i="2"/>
  <c r="T195" i="2"/>
  <c r="S195" i="2"/>
  <c r="R195" i="2"/>
  <c r="Q195" i="2"/>
  <c r="P195" i="2"/>
  <c r="O195" i="2"/>
  <c r="N195" i="2"/>
  <c r="M195" i="2"/>
  <c r="L195" i="2"/>
  <c r="K195" i="2"/>
  <c r="J195" i="2"/>
  <c r="BD195" i="2" s="1"/>
  <c r="I195" i="2"/>
  <c r="E195" i="2" a="1"/>
  <c r="E195" i="2" s="1"/>
  <c r="D195" i="2" a="1"/>
  <c r="D195" i="2" s="1"/>
  <c r="C195" i="2" a="1"/>
  <c r="C195" i="2" s="1"/>
  <c r="B195" i="2" a="1"/>
  <c r="B195" i="2" s="1"/>
  <c r="CG194" i="2"/>
  <c r="CF194" i="2"/>
  <c r="CE194" i="2"/>
  <c r="CD194" i="2"/>
  <c r="CC194" i="2"/>
  <c r="CB194" i="2"/>
  <c r="CA194" i="2"/>
  <c r="BZ194" i="2"/>
  <c r="BY194" i="2"/>
  <c r="BX194" i="2"/>
  <c r="BW194" i="2"/>
  <c r="BV194" i="2"/>
  <c r="BU194" i="2"/>
  <c r="BT194" i="2"/>
  <c r="BS194" i="2"/>
  <c r="BR194" i="2"/>
  <c r="BQ194" i="2"/>
  <c r="BP194" i="2"/>
  <c r="BO194" i="2"/>
  <c r="BN194" i="2"/>
  <c r="BM194" i="2"/>
  <c r="BL194" i="2"/>
  <c r="BK194" i="2"/>
  <c r="BJ194" i="2"/>
  <c r="BI194" i="2"/>
  <c r="BH194" i="2"/>
  <c r="BG194" i="2"/>
  <c r="BF194" i="2"/>
  <c r="BE194" i="2"/>
  <c r="BC194" i="2"/>
  <c r="BB194" i="2"/>
  <c r="BA194" i="2"/>
  <c r="AZ194" i="2"/>
  <c r="AY194" i="2"/>
  <c r="AX194" i="2"/>
  <c r="AW194" i="2"/>
  <c r="AV194" i="2"/>
  <c r="AU194" i="2"/>
  <c r="AT194" i="2"/>
  <c r="AS194" i="2"/>
  <c r="AR194" i="2"/>
  <c r="AQ194" i="2"/>
  <c r="AP194" i="2"/>
  <c r="AO194" i="2"/>
  <c r="AN194" i="2"/>
  <c r="AM194" i="2"/>
  <c r="AL194" i="2"/>
  <c r="AK194" i="2"/>
  <c r="AJ194" i="2"/>
  <c r="AI194" i="2"/>
  <c r="AH194" i="2"/>
  <c r="AG194" i="2"/>
  <c r="AF194" i="2"/>
  <c r="AE194" i="2"/>
  <c r="AD194" i="2"/>
  <c r="AC194" i="2"/>
  <c r="AB194" i="2"/>
  <c r="AA194" i="2"/>
  <c r="Z194" i="2"/>
  <c r="Y194" i="2"/>
  <c r="X194" i="2"/>
  <c r="W194" i="2"/>
  <c r="V194" i="2"/>
  <c r="U194" i="2"/>
  <c r="T194" i="2"/>
  <c r="S194" i="2"/>
  <c r="R194" i="2"/>
  <c r="Q194" i="2"/>
  <c r="P194" i="2"/>
  <c r="O194" i="2"/>
  <c r="N194" i="2"/>
  <c r="M194" i="2"/>
  <c r="L194" i="2"/>
  <c r="K194" i="2"/>
  <c r="J194" i="2"/>
  <c r="BD194" i="2" s="1"/>
  <c r="I194" i="2"/>
  <c r="E194" i="2" a="1"/>
  <c r="E194" i="2" s="1"/>
  <c r="D194" i="2" a="1"/>
  <c r="D194" i="2" s="1"/>
  <c r="C194" i="2" a="1"/>
  <c r="C194" i="2" s="1"/>
  <c r="B194" i="2" a="1"/>
  <c r="B194" i="2" s="1"/>
  <c r="CG193" i="2"/>
  <c r="CF193" i="2"/>
  <c r="CE193" i="2"/>
  <c r="CD193" i="2"/>
  <c r="CC193" i="2"/>
  <c r="CB193" i="2"/>
  <c r="CA193" i="2"/>
  <c r="BZ193" i="2"/>
  <c r="BY193" i="2"/>
  <c r="BX193" i="2"/>
  <c r="BW193" i="2"/>
  <c r="BV193" i="2"/>
  <c r="BU193" i="2"/>
  <c r="BT193" i="2"/>
  <c r="BS193" i="2"/>
  <c r="BR193" i="2"/>
  <c r="BQ193" i="2"/>
  <c r="BP193" i="2"/>
  <c r="BO193" i="2"/>
  <c r="BN193" i="2"/>
  <c r="BM193" i="2"/>
  <c r="BL193" i="2"/>
  <c r="BK193" i="2"/>
  <c r="BJ193" i="2"/>
  <c r="BI193" i="2"/>
  <c r="BH193" i="2"/>
  <c r="BG193" i="2"/>
  <c r="BF193" i="2"/>
  <c r="BE193" i="2"/>
  <c r="BD193" i="2"/>
  <c r="BC193" i="2"/>
  <c r="BB193" i="2"/>
  <c r="BA193" i="2"/>
  <c r="AZ193" i="2"/>
  <c r="AY193" i="2"/>
  <c r="AX193" i="2"/>
  <c r="AW193" i="2"/>
  <c r="AV193" i="2"/>
  <c r="AU193" i="2"/>
  <c r="AT193" i="2"/>
  <c r="AS193" i="2"/>
  <c r="AR193" i="2"/>
  <c r="AQ193" i="2"/>
  <c r="AP193" i="2"/>
  <c r="AO193" i="2"/>
  <c r="AN193" i="2"/>
  <c r="AM193" i="2"/>
  <c r="AL193" i="2"/>
  <c r="AK193" i="2"/>
  <c r="AJ193" i="2"/>
  <c r="AI193" i="2"/>
  <c r="AH193" i="2"/>
  <c r="AG193" i="2"/>
  <c r="AF193" i="2"/>
  <c r="AE193" i="2"/>
  <c r="AD193" i="2"/>
  <c r="AC193" i="2"/>
  <c r="AB193" i="2"/>
  <c r="AA193" i="2"/>
  <c r="Z193" i="2"/>
  <c r="Y193" i="2"/>
  <c r="X193" i="2"/>
  <c r="W193" i="2"/>
  <c r="V193" i="2"/>
  <c r="U193" i="2"/>
  <c r="T193" i="2"/>
  <c r="S193" i="2"/>
  <c r="R193" i="2"/>
  <c r="Q193" i="2"/>
  <c r="P193" i="2"/>
  <c r="O193" i="2"/>
  <c r="N193" i="2"/>
  <c r="M193" i="2"/>
  <c r="L193" i="2"/>
  <c r="K193" i="2"/>
  <c r="J193" i="2"/>
  <c r="I193" i="2"/>
  <c r="E193" i="2" a="1"/>
  <c r="E193" i="2" s="1"/>
  <c r="D193" i="2" a="1"/>
  <c r="D193" i="2" s="1"/>
  <c r="C193" i="2" a="1"/>
  <c r="C193" i="2" s="1"/>
  <c r="B193" i="2" a="1"/>
  <c r="B193" i="2" s="1"/>
  <c r="CG192" i="2"/>
  <c r="CF192" i="2"/>
  <c r="CE192" i="2"/>
  <c r="CD192" i="2"/>
  <c r="CC192" i="2"/>
  <c r="CB192" i="2"/>
  <c r="CA192" i="2"/>
  <c r="BZ192" i="2"/>
  <c r="BY192" i="2"/>
  <c r="BX192" i="2"/>
  <c r="BW192" i="2"/>
  <c r="BV192" i="2"/>
  <c r="BU192" i="2"/>
  <c r="BT192" i="2"/>
  <c r="BS192" i="2"/>
  <c r="BR192" i="2"/>
  <c r="BQ192" i="2"/>
  <c r="BP192" i="2"/>
  <c r="BO192" i="2"/>
  <c r="BN192" i="2"/>
  <c r="BM192" i="2"/>
  <c r="BL192" i="2"/>
  <c r="BK192" i="2"/>
  <c r="BJ192" i="2"/>
  <c r="BI192" i="2"/>
  <c r="BH192" i="2"/>
  <c r="BG192" i="2"/>
  <c r="BF192" i="2"/>
  <c r="BE192" i="2"/>
  <c r="BD192" i="2"/>
  <c r="BC192" i="2"/>
  <c r="BB192" i="2"/>
  <c r="BA192" i="2"/>
  <c r="AZ192" i="2"/>
  <c r="AY192" i="2"/>
  <c r="AX192" i="2"/>
  <c r="AW192" i="2"/>
  <c r="AV192" i="2"/>
  <c r="AU192" i="2"/>
  <c r="AT192" i="2"/>
  <c r="AS192" i="2"/>
  <c r="AR192" i="2"/>
  <c r="AQ192" i="2"/>
  <c r="AP192" i="2"/>
  <c r="AO192" i="2"/>
  <c r="AN192" i="2"/>
  <c r="AM192" i="2"/>
  <c r="AL192" i="2"/>
  <c r="AK192" i="2"/>
  <c r="AJ192" i="2"/>
  <c r="AI192" i="2"/>
  <c r="AH192" i="2"/>
  <c r="AG192" i="2"/>
  <c r="AF192" i="2"/>
  <c r="AE192" i="2"/>
  <c r="AD192" i="2"/>
  <c r="AC192" i="2"/>
  <c r="AB192" i="2"/>
  <c r="AA192" i="2"/>
  <c r="Z192" i="2"/>
  <c r="Y192" i="2"/>
  <c r="X192" i="2"/>
  <c r="W192" i="2"/>
  <c r="V192" i="2"/>
  <c r="U192" i="2"/>
  <c r="T192" i="2"/>
  <c r="S192" i="2"/>
  <c r="R192" i="2"/>
  <c r="Q192" i="2"/>
  <c r="P192" i="2"/>
  <c r="O192" i="2"/>
  <c r="N192" i="2"/>
  <c r="M192" i="2"/>
  <c r="L192" i="2"/>
  <c r="K192" i="2"/>
  <c r="J192" i="2"/>
  <c r="I192" i="2"/>
  <c r="E192" i="2" a="1"/>
  <c r="E192" i="2" s="1"/>
  <c r="D192" i="2" a="1"/>
  <c r="D192" i="2" s="1"/>
  <c r="C192" i="2" a="1"/>
  <c r="C192" i="2" s="1"/>
  <c r="B192" i="2" a="1"/>
  <c r="B192" i="2" s="1"/>
  <c r="CG191" i="2"/>
  <c r="CF191" i="2"/>
  <c r="CE191" i="2"/>
  <c r="CD191" i="2"/>
  <c r="CC191" i="2"/>
  <c r="CB191" i="2"/>
  <c r="CA191" i="2"/>
  <c r="BZ191" i="2"/>
  <c r="BY191" i="2"/>
  <c r="BX191" i="2"/>
  <c r="BW191" i="2"/>
  <c r="BV191" i="2"/>
  <c r="BU191" i="2"/>
  <c r="BT191" i="2"/>
  <c r="BS191" i="2"/>
  <c r="BR191" i="2"/>
  <c r="BQ191" i="2"/>
  <c r="BP191" i="2"/>
  <c r="BO191" i="2"/>
  <c r="BN191" i="2"/>
  <c r="BM191" i="2"/>
  <c r="BL191" i="2"/>
  <c r="BK191" i="2"/>
  <c r="BJ191" i="2"/>
  <c r="BI191" i="2"/>
  <c r="BH191" i="2"/>
  <c r="BG191" i="2"/>
  <c r="BF191" i="2"/>
  <c r="BE191" i="2"/>
  <c r="BC191" i="2"/>
  <c r="BB191" i="2"/>
  <c r="BA191" i="2"/>
  <c r="AZ191" i="2"/>
  <c r="AY191" i="2"/>
  <c r="AX191" i="2"/>
  <c r="AW191" i="2"/>
  <c r="AV191" i="2"/>
  <c r="AU191" i="2"/>
  <c r="AT191" i="2"/>
  <c r="AS191" i="2"/>
  <c r="AR191" i="2"/>
  <c r="AQ191" i="2"/>
  <c r="AP191" i="2"/>
  <c r="AO191" i="2"/>
  <c r="AN191" i="2"/>
  <c r="AM191" i="2"/>
  <c r="AL191" i="2"/>
  <c r="AK191" i="2"/>
  <c r="AJ191" i="2"/>
  <c r="AI191" i="2"/>
  <c r="AH191" i="2"/>
  <c r="AG191" i="2"/>
  <c r="AF191" i="2"/>
  <c r="AE191" i="2"/>
  <c r="AD191" i="2"/>
  <c r="AC191" i="2"/>
  <c r="AB191" i="2"/>
  <c r="AA191" i="2"/>
  <c r="Z191" i="2"/>
  <c r="Y191" i="2"/>
  <c r="X191" i="2"/>
  <c r="W191" i="2"/>
  <c r="V191" i="2"/>
  <c r="U191" i="2"/>
  <c r="T191" i="2"/>
  <c r="S191" i="2"/>
  <c r="R191" i="2"/>
  <c r="Q191" i="2"/>
  <c r="P191" i="2"/>
  <c r="O191" i="2"/>
  <c r="N191" i="2"/>
  <c r="M191" i="2"/>
  <c r="L191" i="2"/>
  <c r="K191" i="2"/>
  <c r="J191" i="2"/>
  <c r="BD191" i="2" s="1"/>
  <c r="I191" i="2"/>
  <c r="E191" i="2" a="1"/>
  <c r="E191" i="2" s="1"/>
  <c r="D191" i="2" a="1"/>
  <c r="D191" i="2" s="1"/>
  <c r="C191" i="2" a="1"/>
  <c r="C191" i="2" s="1"/>
  <c r="B191" i="2" a="1"/>
  <c r="B191" i="2" s="1"/>
  <c r="CG190" i="2"/>
  <c r="CF190" i="2"/>
  <c r="CE190" i="2"/>
  <c r="CD190" i="2"/>
  <c r="CC190" i="2"/>
  <c r="CB190" i="2"/>
  <c r="CA190" i="2"/>
  <c r="BZ190" i="2"/>
  <c r="BY190" i="2"/>
  <c r="BX190" i="2"/>
  <c r="BW190" i="2"/>
  <c r="BV190" i="2"/>
  <c r="BU190" i="2"/>
  <c r="BT190" i="2"/>
  <c r="BS190" i="2"/>
  <c r="BR190" i="2"/>
  <c r="BQ190" i="2"/>
  <c r="BP190" i="2"/>
  <c r="BO190" i="2"/>
  <c r="BN190" i="2"/>
  <c r="BM190" i="2"/>
  <c r="BL190" i="2"/>
  <c r="BK190" i="2"/>
  <c r="BJ190" i="2"/>
  <c r="BI190" i="2"/>
  <c r="BH190" i="2"/>
  <c r="BG190" i="2"/>
  <c r="BF190" i="2"/>
  <c r="BE190" i="2"/>
  <c r="BC190" i="2"/>
  <c r="BB190" i="2"/>
  <c r="BA190" i="2"/>
  <c r="AZ190" i="2"/>
  <c r="AY190" i="2"/>
  <c r="AX190" i="2"/>
  <c r="AW190" i="2"/>
  <c r="AV190" i="2"/>
  <c r="AU190" i="2"/>
  <c r="AT190" i="2"/>
  <c r="AS190" i="2"/>
  <c r="AR190" i="2"/>
  <c r="AQ190" i="2"/>
  <c r="AP190" i="2"/>
  <c r="AO190" i="2"/>
  <c r="AN190" i="2"/>
  <c r="AM190" i="2"/>
  <c r="AL190" i="2"/>
  <c r="AK190" i="2"/>
  <c r="AJ190" i="2"/>
  <c r="AI190" i="2"/>
  <c r="AH190" i="2"/>
  <c r="AG190" i="2"/>
  <c r="AF190" i="2"/>
  <c r="AE190" i="2"/>
  <c r="AD190" i="2"/>
  <c r="AC190" i="2"/>
  <c r="AB190" i="2"/>
  <c r="AA190" i="2"/>
  <c r="Z190" i="2"/>
  <c r="Y190" i="2"/>
  <c r="X190" i="2"/>
  <c r="W190" i="2"/>
  <c r="V190" i="2"/>
  <c r="U190" i="2"/>
  <c r="T190" i="2"/>
  <c r="S190" i="2"/>
  <c r="R190" i="2"/>
  <c r="Q190" i="2"/>
  <c r="P190" i="2"/>
  <c r="O190" i="2"/>
  <c r="N190" i="2"/>
  <c r="M190" i="2"/>
  <c r="L190" i="2"/>
  <c r="K190" i="2"/>
  <c r="J190" i="2"/>
  <c r="BD190" i="2" s="1"/>
  <c r="I190" i="2"/>
  <c r="E190" i="2" a="1"/>
  <c r="E190" i="2" s="1"/>
  <c r="D190" i="2" a="1"/>
  <c r="D190" i="2" s="1"/>
  <c r="C190" i="2" a="1"/>
  <c r="C190" i="2" s="1"/>
  <c r="B190" i="2" a="1"/>
  <c r="B190" i="2" s="1"/>
  <c r="CG189" i="2"/>
  <c r="CF189" i="2"/>
  <c r="CE189" i="2"/>
  <c r="CD189" i="2"/>
  <c r="CC189" i="2"/>
  <c r="CB189" i="2"/>
  <c r="CA189" i="2"/>
  <c r="BZ189" i="2"/>
  <c r="BY189" i="2"/>
  <c r="BX189" i="2"/>
  <c r="BW189" i="2"/>
  <c r="BV189" i="2"/>
  <c r="BU189" i="2"/>
  <c r="BT189" i="2"/>
  <c r="BS189" i="2"/>
  <c r="BR189" i="2"/>
  <c r="BQ189" i="2"/>
  <c r="BP189" i="2"/>
  <c r="BO189" i="2"/>
  <c r="BN189" i="2"/>
  <c r="BM189" i="2"/>
  <c r="BL189" i="2"/>
  <c r="BK189" i="2"/>
  <c r="BJ189" i="2"/>
  <c r="BI189" i="2"/>
  <c r="BH189" i="2"/>
  <c r="BG189" i="2"/>
  <c r="BF189" i="2"/>
  <c r="BE189" i="2"/>
  <c r="BD189" i="2"/>
  <c r="BC189" i="2"/>
  <c r="BB189" i="2"/>
  <c r="BA189" i="2"/>
  <c r="AZ189" i="2"/>
  <c r="AY189" i="2"/>
  <c r="AX189" i="2"/>
  <c r="AW189" i="2"/>
  <c r="AV189" i="2"/>
  <c r="AU189" i="2"/>
  <c r="AT189" i="2"/>
  <c r="AS189" i="2"/>
  <c r="AR189" i="2"/>
  <c r="AQ189" i="2"/>
  <c r="AP189" i="2"/>
  <c r="AO189" i="2"/>
  <c r="AN189" i="2"/>
  <c r="AM189" i="2"/>
  <c r="AL189" i="2"/>
  <c r="AK189" i="2"/>
  <c r="AJ189" i="2"/>
  <c r="AI189" i="2"/>
  <c r="AH189" i="2"/>
  <c r="AG189" i="2"/>
  <c r="AF189" i="2"/>
  <c r="AE189" i="2"/>
  <c r="AD189" i="2"/>
  <c r="AC189" i="2"/>
  <c r="AB189" i="2"/>
  <c r="AA189" i="2"/>
  <c r="Z189" i="2"/>
  <c r="Y189" i="2"/>
  <c r="X189" i="2"/>
  <c r="W189" i="2"/>
  <c r="V189" i="2"/>
  <c r="U189" i="2"/>
  <c r="T189" i="2"/>
  <c r="S189" i="2"/>
  <c r="R189" i="2"/>
  <c r="Q189" i="2"/>
  <c r="P189" i="2"/>
  <c r="O189" i="2"/>
  <c r="N189" i="2"/>
  <c r="M189" i="2"/>
  <c r="L189" i="2"/>
  <c r="K189" i="2"/>
  <c r="J189" i="2"/>
  <c r="I189" i="2"/>
  <c r="E189" i="2" a="1"/>
  <c r="E189" i="2" s="1"/>
  <c r="D189" i="2" a="1"/>
  <c r="D189" i="2" s="1"/>
  <c r="C189" i="2" a="1"/>
  <c r="C189" i="2" s="1"/>
  <c r="B189" i="2" a="1"/>
  <c r="B189" i="2" s="1"/>
  <c r="CG188" i="2"/>
  <c r="CF188" i="2"/>
  <c r="CE188" i="2"/>
  <c r="CD188" i="2"/>
  <c r="CC188" i="2"/>
  <c r="CB188" i="2"/>
  <c r="CA188" i="2"/>
  <c r="BZ188" i="2"/>
  <c r="BY188" i="2"/>
  <c r="BX188" i="2"/>
  <c r="BW188" i="2"/>
  <c r="BV188" i="2"/>
  <c r="BU188" i="2"/>
  <c r="BT188" i="2"/>
  <c r="BS188" i="2"/>
  <c r="BR188" i="2"/>
  <c r="BQ188" i="2"/>
  <c r="BP188" i="2"/>
  <c r="BO188" i="2"/>
  <c r="BN188" i="2"/>
  <c r="BM188" i="2"/>
  <c r="BL188" i="2"/>
  <c r="BK188" i="2"/>
  <c r="BJ188" i="2"/>
  <c r="BI188" i="2"/>
  <c r="BH188" i="2"/>
  <c r="BG188" i="2"/>
  <c r="BF188" i="2"/>
  <c r="BE188" i="2"/>
  <c r="BD188" i="2"/>
  <c r="BC188" i="2"/>
  <c r="BB188" i="2"/>
  <c r="BA188" i="2"/>
  <c r="AZ188" i="2"/>
  <c r="AY188" i="2"/>
  <c r="AX188" i="2"/>
  <c r="AW188" i="2"/>
  <c r="AV188" i="2"/>
  <c r="AU188" i="2"/>
  <c r="AT188" i="2"/>
  <c r="AS188" i="2"/>
  <c r="AR188" i="2"/>
  <c r="AQ188" i="2"/>
  <c r="AP188" i="2"/>
  <c r="AO188" i="2"/>
  <c r="AN188" i="2"/>
  <c r="AM188" i="2"/>
  <c r="AL188" i="2"/>
  <c r="AK188" i="2"/>
  <c r="AJ188" i="2"/>
  <c r="AI188" i="2"/>
  <c r="AH188" i="2"/>
  <c r="AG188" i="2"/>
  <c r="AF188" i="2"/>
  <c r="AE188" i="2"/>
  <c r="AD188" i="2"/>
  <c r="AC188" i="2"/>
  <c r="AB188" i="2"/>
  <c r="AA188" i="2"/>
  <c r="Z188" i="2"/>
  <c r="Y188" i="2"/>
  <c r="X188" i="2"/>
  <c r="W188" i="2"/>
  <c r="V188" i="2"/>
  <c r="U188" i="2"/>
  <c r="T188" i="2"/>
  <c r="S188" i="2"/>
  <c r="R188" i="2"/>
  <c r="Q188" i="2"/>
  <c r="P188" i="2"/>
  <c r="O188" i="2"/>
  <c r="N188" i="2"/>
  <c r="M188" i="2"/>
  <c r="L188" i="2"/>
  <c r="K188" i="2"/>
  <c r="J188" i="2"/>
  <c r="I188" i="2"/>
  <c r="E188" i="2" a="1"/>
  <c r="E188" i="2" s="1"/>
  <c r="D188" i="2" a="1"/>
  <c r="D188" i="2" s="1"/>
  <c r="C188" i="2" a="1"/>
  <c r="C188" i="2" s="1"/>
  <c r="B188" i="2" a="1"/>
  <c r="B188" i="2" s="1"/>
  <c r="CG187" i="2"/>
  <c r="CF187" i="2"/>
  <c r="CE187" i="2"/>
  <c r="CD187" i="2"/>
  <c r="CC187" i="2"/>
  <c r="CB187" i="2"/>
  <c r="CA187" i="2"/>
  <c r="BZ187" i="2"/>
  <c r="BY187" i="2"/>
  <c r="BX187" i="2"/>
  <c r="BW187" i="2"/>
  <c r="BV187" i="2"/>
  <c r="BU187" i="2"/>
  <c r="BT187" i="2"/>
  <c r="BS187" i="2"/>
  <c r="BR187" i="2"/>
  <c r="BQ187" i="2"/>
  <c r="BP187" i="2"/>
  <c r="BO187" i="2"/>
  <c r="BN187" i="2"/>
  <c r="BM187" i="2"/>
  <c r="BL187" i="2"/>
  <c r="BK187" i="2"/>
  <c r="BJ187" i="2"/>
  <c r="BI187" i="2"/>
  <c r="BH187" i="2"/>
  <c r="BG187" i="2"/>
  <c r="BF187" i="2"/>
  <c r="BE187" i="2"/>
  <c r="BD187" i="2"/>
  <c r="BC187" i="2"/>
  <c r="BB187" i="2"/>
  <c r="BA187" i="2"/>
  <c r="AZ187" i="2"/>
  <c r="AY187" i="2"/>
  <c r="AX187" i="2"/>
  <c r="AW187" i="2"/>
  <c r="AV187" i="2"/>
  <c r="AU187" i="2"/>
  <c r="AT187" i="2"/>
  <c r="AS187" i="2"/>
  <c r="AR187" i="2"/>
  <c r="AQ187" i="2"/>
  <c r="AP187" i="2"/>
  <c r="AO187" i="2"/>
  <c r="AN187" i="2"/>
  <c r="AM187" i="2"/>
  <c r="AL187" i="2"/>
  <c r="AK187" i="2"/>
  <c r="AJ187" i="2"/>
  <c r="AI187" i="2"/>
  <c r="AH187" i="2"/>
  <c r="AG187" i="2"/>
  <c r="AF187" i="2"/>
  <c r="AE187" i="2"/>
  <c r="AD187" i="2"/>
  <c r="AC187" i="2"/>
  <c r="AB187" i="2"/>
  <c r="AA187" i="2"/>
  <c r="Z187" i="2"/>
  <c r="Y187" i="2"/>
  <c r="X187" i="2"/>
  <c r="W187" i="2"/>
  <c r="V187" i="2"/>
  <c r="U187" i="2"/>
  <c r="T187" i="2"/>
  <c r="S187" i="2"/>
  <c r="R187" i="2"/>
  <c r="Q187" i="2"/>
  <c r="P187" i="2"/>
  <c r="O187" i="2"/>
  <c r="N187" i="2"/>
  <c r="M187" i="2"/>
  <c r="L187" i="2"/>
  <c r="K187" i="2"/>
  <c r="J187" i="2"/>
  <c r="I187" i="2"/>
  <c r="E187" i="2" a="1"/>
  <c r="E187" i="2" s="1"/>
  <c r="D187" i="2" a="1"/>
  <c r="D187" i="2" s="1"/>
  <c r="C187" i="2" a="1"/>
  <c r="C187" i="2" s="1"/>
  <c r="B187" i="2" a="1"/>
  <c r="B187" i="2" s="1"/>
  <c r="CG186" i="2"/>
  <c r="CF186" i="2"/>
  <c r="CE186" i="2"/>
  <c r="CD186" i="2"/>
  <c r="CC186" i="2"/>
  <c r="CB186" i="2"/>
  <c r="CA186" i="2"/>
  <c r="BZ186" i="2"/>
  <c r="BY186" i="2"/>
  <c r="BX186" i="2"/>
  <c r="BW186" i="2"/>
  <c r="BV186" i="2"/>
  <c r="BU186" i="2"/>
  <c r="BT186" i="2"/>
  <c r="BS186" i="2"/>
  <c r="BR186" i="2"/>
  <c r="BQ186" i="2"/>
  <c r="BP186" i="2"/>
  <c r="BO186" i="2"/>
  <c r="BN186" i="2"/>
  <c r="BM186" i="2"/>
  <c r="BL186" i="2"/>
  <c r="BK186" i="2"/>
  <c r="BJ186" i="2"/>
  <c r="BI186" i="2"/>
  <c r="BH186" i="2"/>
  <c r="BG186" i="2"/>
  <c r="BF186" i="2"/>
  <c r="BE186" i="2"/>
  <c r="BC186" i="2"/>
  <c r="BB186" i="2"/>
  <c r="BA186" i="2"/>
  <c r="AZ186" i="2"/>
  <c r="AY186" i="2"/>
  <c r="AX186" i="2"/>
  <c r="AW186" i="2"/>
  <c r="AV186" i="2"/>
  <c r="AU186" i="2"/>
  <c r="AT186" i="2"/>
  <c r="AS186" i="2"/>
  <c r="AR186" i="2"/>
  <c r="AQ186" i="2"/>
  <c r="AP186" i="2"/>
  <c r="AO186" i="2"/>
  <c r="AN186" i="2"/>
  <c r="AM186" i="2"/>
  <c r="AL186" i="2"/>
  <c r="AK186" i="2"/>
  <c r="AJ186" i="2"/>
  <c r="AI186" i="2"/>
  <c r="AH186" i="2"/>
  <c r="AG186" i="2"/>
  <c r="AF186" i="2"/>
  <c r="AE186" i="2"/>
  <c r="AD186" i="2"/>
  <c r="AC186" i="2"/>
  <c r="AB186" i="2"/>
  <c r="AA186" i="2"/>
  <c r="Z186" i="2"/>
  <c r="Y186" i="2"/>
  <c r="X186" i="2"/>
  <c r="W186" i="2"/>
  <c r="V186" i="2"/>
  <c r="U186" i="2"/>
  <c r="T186" i="2"/>
  <c r="S186" i="2"/>
  <c r="R186" i="2"/>
  <c r="Q186" i="2"/>
  <c r="P186" i="2"/>
  <c r="O186" i="2"/>
  <c r="N186" i="2"/>
  <c r="M186" i="2"/>
  <c r="L186" i="2"/>
  <c r="K186" i="2"/>
  <c r="J186" i="2"/>
  <c r="BD186" i="2" s="1"/>
  <c r="I186" i="2"/>
  <c r="E186" i="2" a="1"/>
  <c r="E186" i="2" s="1"/>
  <c r="D186" i="2" a="1"/>
  <c r="D186" i="2" s="1"/>
  <c r="C186" i="2" a="1"/>
  <c r="C186" i="2" s="1"/>
  <c r="B186" i="2" a="1"/>
  <c r="B186" i="2" s="1"/>
  <c r="CG185" i="2"/>
  <c r="CF185" i="2"/>
  <c r="CE185" i="2"/>
  <c r="CD185" i="2"/>
  <c r="CC185" i="2"/>
  <c r="CB185" i="2"/>
  <c r="CA185" i="2"/>
  <c r="BZ185" i="2"/>
  <c r="BY185" i="2"/>
  <c r="BX185" i="2"/>
  <c r="BW185" i="2"/>
  <c r="BV185" i="2"/>
  <c r="BU185" i="2"/>
  <c r="BT185" i="2"/>
  <c r="BS185" i="2"/>
  <c r="BR185" i="2"/>
  <c r="BQ185" i="2"/>
  <c r="BP185" i="2"/>
  <c r="BO185" i="2"/>
  <c r="BN185" i="2"/>
  <c r="BM185" i="2"/>
  <c r="BL185" i="2"/>
  <c r="BK185" i="2"/>
  <c r="BJ185" i="2"/>
  <c r="BI185" i="2"/>
  <c r="BH185" i="2"/>
  <c r="BG185" i="2"/>
  <c r="BF185" i="2"/>
  <c r="BE185" i="2"/>
  <c r="BD185" i="2"/>
  <c r="BC185" i="2"/>
  <c r="BB185" i="2"/>
  <c r="BA185" i="2"/>
  <c r="AZ185" i="2"/>
  <c r="AY185" i="2"/>
  <c r="AX185" i="2"/>
  <c r="AW185" i="2"/>
  <c r="AV185" i="2"/>
  <c r="AU185" i="2"/>
  <c r="AT185" i="2"/>
  <c r="AS185" i="2"/>
  <c r="AR185" i="2"/>
  <c r="AQ185" i="2"/>
  <c r="AP185" i="2"/>
  <c r="AO185" i="2"/>
  <c r="AN185" i="2"/>
  <c r="AM185" i="2"/>
  <c r="AL185" i="2"/>
  <c r="AK185" i="2"/>
  <c r="AJ185" i="2"/>
  <c r="AI185" i="2"/>
  <c r="AH185" i="2"/>
  <c r="AG185" i="2"/>
  <c r="AF185" i="2"/>
  <c r="AE185" i="2"/>
  <c r="AD185" i="2"/>
  <c r="AC185" i="2"/>
  <c r="AB185" i="2"/>
  <c r="AA185" i="2"/>
  <c r="Z185" i="2"/>
  <c r="Y185" i="2"/>
  <c r="X185" i="2"/>
  <c r="W185" i="2"/>
  <c r="V185" i="2"/>
  <c r="U185" i="2"/>
  <c r="T185" i="2"/>
  <c r="S185" i="2"/>
  <c r="R185" i="2"/>
  <c r="Q185" i="2"/>
  <c r="P185" i="2"/>
  <c r="O185" i="2"/>
  <c r="N185" i="2"/>
  <c r="M185" i="2"/>
  <c r="L185" i="2"/>
  <c r="K185" i="2"/>
  <c r="J185" i="2"/>
  <c r="I185" i="2"/>
  <c r="E185" i="2" a="1"/>
  <c r="E185" i="2" s="1"/>
  <c r="D185" i="2" a="1"/>
  <c r="D185" i="2" s="1"/>
  <c r="C185" i="2" a="1"/>
  <c r="C185" i="2" s="1"/>
  <c r="B185" i="2" a="1"/>
  <c r="B185" i="2" s="1"/>
  <c r="CG184" i="2"/>
  <c r="CF184" i="2"/>
  <c r="CE184" i="2"/>
  <c r="CD184" i="2"/>
  <c r="CC184" i="2"/>
  <c r="CB184" i="2"/>
  <c r="CA184" i="2"/>
  <c r="BZ184" i="2"/>
  <c r="BY184" i="2"/>
  <c r="BX184" i="2"/>
  <c r="BW184" i="2"/>
  <c r="BV184" i="2"/>
  <c r="BU184" i="2"/>
  <c r="BT184" i="2"/>
  <c r="BS184" i="2"/>
  <c r="BR184" i="2"/>
  <c r="BQ184" i="2"/>
  <c r="BP184" i="2"/>
  <c r="BO184" i="2"/>
  <c r="BN184" i="2"/>
  <c r="BM184" i="2"/>
  <c r="BL184" i="2"/>
  <c r="BK184" i="2"/>
  <c r="BJ184" i="2"/>
  <c r="BI184" i="2"/>
  <c r="BH184" i="2"/>
  <c r="BG184" i="2"/>
  <c r="BF184" i="2"/>
  <c r="BE184" i="2"/>
  <c r="BD184" i="2"/>
  <c r="BC184" i="2"/>
  <c r="BB184" i="2"/>
  <c r="BA184" i="2"/>
  <c r="AZ184" i="2"/>
  <c r="AY184" i="2"/>
  <c r="AX184" i="2"/>
  <c r="AW184" i="2"/>
  <c r="AV184" i="2"/>
  <c r="AU184" i="2"/>
  <c r="AT184" i="2"/>
  <c r="AS184" i="2"/>
  <c r="AR184" i="2"/>
  <c r="AQ184" i="2"/>
  <c r="AP184" i="2"/>
  <c r="AO184" i="2"/>
  <c r="AN184" i="2"/>
  <c r="AM184" i="2"/>
  <c r="AL184" i="2"/>
  <c r="AK184" i="2"/>
  <c r="AJ184" i="2"/>
  <c r="AI184" i="2"/>
  <c r="AH184" i="2"/>
  <c r="AG184" i="2"/>
  <c r="AF184" i="2"/>
  <c r="AE184" i="2"/>
  <c r="AD184" i="2"/>
  <c r="AC184" i="2"/>
  <c r="AB184" i="2"/>
  <c r="AA184" i="2"/>
  <c r="Z184" i="2"/>
  <c r="Y184" i="2"/>
  <c r="X184" i="2"/>
  <c r="W184" i="2"/>
  <c r="V184" i="2"/>
  <c r="U184" i="2"/>
  <c r="T184" i="2"/>
  <c r="S184" i="2"/>
  <c r="R184" i="2"/>
  <c r="Q184" i="2"/>
  <c r="P184" i="2"/>
  <c r="O184" i="2"/>
  <c r="N184" i="2"/>
  <c r="M184" i="2"/>
  <c r="L184" i="2"/>
  <c r="K184" i="2"/>
  <c r="J184" i="2"/>
  <c r="I184" i="2"/>
  <c r="E184" i="2" a="1"/>
  <c r="E184" i="2" s="1"/>
  <c r="D184" i="2" a="1"/>
  <c r="D184" i="2" s="1"/>
  <c r="C184" i="2" a="1"/>
  <c r="C184" i="2" s="1"/>
  <c r="B184" i="2" a="1"/>
  <c r="B184" i="2" s="1"/>
  <c r="CG183" i="2"/>
  <c r="CF183" i="2"/>
  <c r="CE183" i="2"/>
  <c r="CD183" i="2"/>
  <c r="CC183" i="2"/>
  <c r="CB183" i="2"/>
  <c r="CA183" i="2"/>
  <c r="BZ183" i="2"/>
  <c r="BY183" i="2"/>
  <c r="BX183" i="2"/>
  <c r="BW183" i="2"/>
  <c r="BV183" i="2"/>
  <c r="BU183" i="2"/>
  <c r="BT183" i="2"/>
  <c r="BS183" i="2"/>
  <c r="BR183" i="2"/>
  <c r="BQ183" i="2"/>
  <c r="BP183" i="2"/>
  <c r="BO183" i="2"/>
  <c r="BN183" i="2"/>
  <c r="BM183" i="2"/>
  <c r="BL183" i="2"/>
  <c r="BK183" i="2"/>
  <c r="BJ183" i="2"/>
  <c r="BI183" i="2"/>
  <c r="BH183" i="2"/>
  <c r="BG183" i="2"/>
  <c r="BF183" i="2"/>
  <c r="BE183" i="2"/>
  <c r="BD183" i="2"/>
  <c r="BC183" i="2"/>
  <c r="BB183" i="2"/>
  <c r="BA183" i="2"/>
  <c r="AZ183" i="2"/>
  <c r="AY183" i="2"/>
  <c r="AX183" i="2"/>
  <c r="AW183" i="2"/>
  <c r="AV183" i="2"/>
  <c r="AU183" i="2"/>
  <c r="AT183" i="2"/>
  <c r="AS183" i="2"/>
  <c r="AR183" i="2"/>
  <c r="AQ183" i="2"/>
  <c r="AP183" i="2"/>
  <c r="AO183" i="2"/>
  <c r="AN183" i="2"/>
  <c r="AM183" i="2"/>
  <c r="AL183" i="2"/>
  <c r="AK183" i="2"/>
  <c r="AJ183" i="2"/>
  <c r="AI183" i="2"/>
  <c r="AH183" i="2"/>
  <c r="AG183" i="2"/>
  <c r="AF183" i="2"/>
  <c r="AE183" i="2"/>
  <c r="AD183" i="2"/>
  <c r="AC183" i="2"/>
  <c r="AB183" i="2"/>
  <c r="AA183" i="2"/>
  <c r="Z183" i="2"/>
  <c r="Y183" i="2"/>
  <c r="X183" i="2"/>
  <c r="W183" i="2"/>
  <c r="V183" i="2"/>
  <c r="U183" i="2"/>
  <c r="T183" i="2"/>
  <c r="S183" i="2"/>
  <c r="R183" i="2"/>
  <c r="Q183" i="2"/>
  <c r="P183" i="2"/>
  <c r="O183" i="2"/>
  <c r="N183" i="2"/>
  <c r="M183" i="2"/>
  <c r="L183" i="2"/>
  <c r="K183" i="2"/>
  <c r="J183" i="2"/>
  <c r="I183" i="2"/>
  <c r="E183" i="2" a="1"/>
  <c r="E183" i="2" s="1"/>
  <c r="D183" i="2" a="1"/>
  <c r="D183" i="2" s="1"/>
  <c r="C183" i="2" a="1"/>
  <c r="C183" i="2" s="1"/>
  <c r="B183" i="2" a="1"/>
  <c r="B183" i="2" s="1"/>
  <c r="CG182" i="2"/>
  <c r="CF182" i="2"/>
  <c r="CE182" i="2"/>
  <c r="CD182" i="2"/>
  <c r="CC182" i="2"/>
  <c r="CB182" i="2"/>
  <c r="CA182" i="2"/>
  <c r="BZ182" i="2"/>
  <c r="BY182" i="2"/>
  <c r="BX182" i="2"/>
  <c r="BW182" i="2"/>
  <c r="BV182" i="2"/>
  <c r="BU182" i="2"/>
  <c r="BT182" i="2"/>
  <c r="BS182" i="2"/>
  <c r="BR182" i="2"/>
  <c r="BQ182" i="2"/>
  <c r="BP182" i="2"/>
  <c r="BO182" i="2"/>
  <c r="BN182" i="2"/>
  <c r="BM182" i="2"/>
  <c r="BL182" i="2"/>
  <c r="BK182" i="2"/>
  <c r="BJ182" i="2"/>
  <c r="BI182" i="2"/>
  <c r="BH182" i="2"/>
  <c r="BG182" i="2"/>
  <c r="BF182" i="2"/>
  <c r="BE182" i="2"/>
  <c r="BC182" i="2"/>
  <c r="BB182" i="2"/>
  <c r="BA182" i="2"/>
  <c r="AZ182" i="2"/>
  <c r="AY182" i="2"/>
  <c r="AX182" i="2"/>
  <c r="AW182" i="2"/>
  <c r="AV182" i="2"/>
  <c r="AU182" i="2"/>
  <c r="AT182" i="2"/>
  <c r="AS182" i="2"/>
  <c r="AR182" i="2"/>
  <c r="AQ182" i="2"/>
  <c r="AP182" i="2"/>
  <c r="AO182" i="2"/>
  <c r="AN182" i="2"/>
  <c r="AM182" i="2"/>
  <c r="AL182" i="2"/>
  <c r="AK182" i="2"/>
  <c r="AJ182" i="2"/>
  <c r="AI182" i="2"/>
  <c r="AH182" i="2"/>
  <c r="AG182" i="2"/>
  <c r="AF182" i="2"/>
  <c r="AE182" i="2"/>
  <c r="AD182" i="2"/>
  <c r="AC182" i="2"/>
  <c r="AB182" i="2"/>
  <c r="AA182" i="2"/>
  <c r="Z182" i="2"/>
  <c r="Y182" i="2"/>
  <c r="X182" i="2"/>
  <c r="W182" i="2"/>
  <c r="V182" i="2"/>
  <c r="U182" i="2"/>
  <c r="T182" i="2"/>
  <c r="S182" i="2"/>
  <c r="R182" i="2"/>
  <c r="Q182" i="2"/>
  <c r="P182" i="2"/>
  <c r="O182" i="2"/>
  <c r="N182" i="2"/>
  <c r="M182" i="2"/>
  <c r="L182" i="2"/>
  <c r="K182" i="2"/>
  <c r="J182" i="2"/>
  <c r="BD182" i="2" s="1"/>
  <c r="I182" i="2"/>
  <c r="E182" i="2" a="1"/>
  <c r="E182" i="2" s="1"/>
  <c r="D182" i="2" a="1"/>
  <c r="D182" i="2" s="1"/>
  <c r="C182" i="2" a="1"/>
  <c r="C182" i="2" s="1"/>
  <c r="B182" i="2" a="1"/>
  <c r="B182" i="2" s="1"/>
  <c r="CG181" i="2"/>
  <c r="CF181" i="2"/>
  <c r="CE181" i="2"/>
  <c r="CD181" i="2"/>
  <c r="CC181" i="2"/>
  <c r="CB181" i="2"/>
  <c r="CA181" i="2"/>
  <c r="BZ181" i="2"/>
  <c r="BY181" i="2"/>
  <c r="BX181" i="2"/>
  <c r="BW181" i="2"/>
  <c r="BV181" i="2"/>
  <c r="BU181" i="2"/>
  <c r="BT181" i="2"/>
  <c r="BS181" i="2"/>
  <c r="BR181" i="2"/>
  <c r="BQ181" i="2"/>
  <c r="BP181" i="2"/>
  <c r="BO181" i="2"/>
  <c r="BN181" i="2"/>
  <c r="BM181" i="2"/>
  <c r="BL181" i="2"/>
  <c r="BK181" i="2"/>
  <c r="BJ181" i="2"/>
  <c r="BI181" i="2"/>
  <c r="BH181" i="2"/>
  <c r="BG181" i="2"/>
  <c r="BF181" i="2"/>
  <c r="BE181" i="2"/>
  <c r="BC181" i="2"/>
  <c r="BB181" i="2"/>
  <c r="BA181" i="2"/>
  <c r="AZ181" i="2"/>
  <c r="AY181" i="2"/>
  <c r="AX181" i="2"/>
  <c r="AW181" i="2"/>
  <c r="AV181" i="2"/>
  <c r="AU181" i="2"/>
  <c r="AT181" i="2"/>
  <c r="AS181" i="2"/>
  <c r="AR181" i="2"/>
  <c r="AQ181" i="2"/>
  <c r="AP181" i="2"/>
  <c r="AO181" i="2"/>
  <c r="AN181" i="2"/>
  <c r="AM181" i="2"/>
  <c r="AL181" i="2"/>
  <c r="AK181" i="2"/>
  <c r="AJ181" i="2"/>
  <c r="AI181" i="2"/>
  <c r="AH181" i="2"/>
  <c r="AG181" i="2"/>
  <c r="AF181" i="2"/>
  <c r="AE181" i="2"/>
  <c r="AD181" i="2"/>
  <c r="AC181" i="2"/>
  <c r="AB181" i="2"/>
  <c r="AA181" i="2"/>
  <c r="Z181" i="2"/>
  <c r="Y181" i="2"/>
  <c r="X181" i="2"/>
  <c r="W181" i="2"/>
  <c r="V181" i="2"/>
  <c r="U181" i="2"/>
  <c r="T181" i="2"/>
  <c r="S181" i="2"/>
  <c r="R181" i="2"/>
  <c r="Q181" i="2"/>
  <c r="P181" i="2"/>
  <c r="O181" i="2"/>
  <c r="N181" i="2"/>
  <c r="M181" i="2"/>
  <c r="L181" i="2"/>
  <c r="K181" i="2"/>
  <c r="J181" i="2"/>
  <c r="BD181" i="2" s="1"/>
  <c r="I181" i="2"/>
  <c r="E181" i="2" a="1"/>
  <c r="E181" i="2" s="1"/>
  <c r="D181" i="2" a="1"/>
  <c r="D181" i="2" s="1"/>
  <c r="C181" i="2" a="1"/>
  <c r="C181" i="2" s="1"/>
  <c r="B181" i="2" a="1"/>
  <c r="B181" i="2" s="1"/>
  <c r="CG180" i="2"/>
  <c r="CF180" i="2"/>
  <c r="CE180" i="2"/>
  <c r="CD180" i="2"/>
  <c r="CC180" i="2"/>
  <c r="CB180" i="2"/>
  <c r="CA180" i="2"/>
  <c r="BZ180" i="2"/>
  <c r="BY180" i="2"/>
  <c r="BX180" i="2"/>
  <c r="BW180" i="2"/>
  <c r="BV180" i="2"/>
  <c r="BU180" i="2"/>
  <c r="BT180" i="2"/>
  <c r="BS180" i="2"/>
  <c r="BR180" i="2"/>
  <c r="BQ180" i="2"/>
  <c r="BP180" i="2"/>
  <c r="BO180" i="2"/>
  <c r="BN180" i="2"/>
  <c r="BM180" i="2"/>
  <c r="BL180" i="2"/>
  <c r="BK180" i="2"/>
  <c r="BJ180" i="2"/>
  <c r="BI180" i="2"/>
  <c r="BH180" i="2"/>
  <c r="BG180" i="2"/>
  <c r="BF180" i="2"/>
  <c r="BE180" i="2"/>
  <c r="BD180" i="2"/>
  <c r="BC180" i="2"/>
  <c r="BB180" i="2"/>
  <c r="BA180" i="2"/>
  <c r="AZ180" i="2"/>
  <c r="AY180" i="2"/>
  <c r="AX180" i="2"/>
  <c r="AW180" i="2"/>
  <c r="AV180" i="2"/>
  <c r="AU180" i="2"/>
  <c r="AT180" i="2"/>
  <c r="AS180" i="2"/>
  <c r="AR180" i="2"/>
  <c r="AQ180" i="2"/>
  <c r="AP180" i="2"/>
  <c r="AO180" i="2"/>
  <c r="AN180" i="2"/>
  <c r="AM180" i="2"/>
  <c r="AL180" i="2"/>
  <c r="AK180" i="2"/>
  <c r="AJ180" i="2"/>
  <c r="AI180" i="2"/>
  <c r="AH180" i="2"/>
  <c r="AG180" i="2"/>
  <c r="AF180" i="2"/>
  <c r="AE180" i="2"/>
  <c r="AD180" i="2"/>
  <c r="AC180" i="2"/>
  <c r="AB180" i="2"/>
  <c r="AA180" i="2"/>
  <c r="Z180" i="2"/>
  <c r="Y180" i="2"/>
  <c r="X180" i="2"/>
  <c r="W180" i="2"/>
  <c r="V180" i="2"/>
  <c r="U180" i="2"/>
  <c r="T180" i="2"/>
  <c r="S180" i="2"/>
  <c r="R180" i="2"/>
  <c r="Q180" i="2"/>
  <c r="P180" i="2"/>
  <c r="O180" i="2"/>
  <c r="N180" i="2"/>
  <c r="M180" i="2"/>
  <c r="L180" i="2"/>
  <c r="K180" i="2"/>
  <c r="J180" i="2"/>
  <c r="I180" i="2"/>
  <c r="E180" i="2" a="1"/>
  <c r="E180" i="2" s="1"/>
  <c r="D180" i="2" a="1"/>
  <c r="D180" i="2" s="1"/>
  <c r="C180" i="2" a="1"/>
  <c r="C180" i="2" s="1"/>
  <c r="B180" i="2" a="1"/>
  <c r="B180" i="2" s="1"/>
  <c r="CG179" i="2"/>
  <c r="CF179" i="2"/>
  <c r="CE179" i="2"/>
  <c r="CD179" i="2"/>
  <c r="CC179" i="2"/>
  <c r="CB179" i="2"/>
  <c r="CA179" i="2"/>
  <c r="BZ179" i="2"/>
  <c r="BY179" i="2"/>
  <c r="BX179" i="2"/>
  <c r="BW179" i="2"/>
  <c r="BV179" i="2"/>
  <c r="BU179" i="2"/>
  <c r="BT179" i="2"/>
  <c r="BS179" i="2"/>
  <c r="BR179" i="2"/>
  <c r="BQ179" i="2"/>
  <c r="BP179" i="2"/>
  <c r="BO179" i="2"/>
  <c r="BN179" i="2"/>
  <c r="BM179" i="2"/>
  <c r="BL179" i="2"/>
  <c r="BK179" i="2"/>
  <c r="BJ179" i="2"/>
  <c r="BI179" i="2"/>
  <c r="BH179" i="2"/>
  <c r="BG179" i="2"/>
  <c r="BF179" i="2"/>
  <c r="BE179" i="2"/>
  <c r="BC179" i="2"/>
  <c r="BB179" i="2"/>
  <c r="BA179" i="2"/>
  <c r="AZ179" i="2"/>
  <c r="AY179" i="2"/>
  <c r="AX179" i="2"/>
  <c r="AW179" i="2"/>
  <c r="AV179" i="2"/>
  <c r="AU179" i="2"/>
  <c r="AT179" i="2"/>
  <c r="AS179" i="2"/>
  <c r="AR179" i="2"/>
  <c r="AQ179" i="2"/>
  <c r="AP179" i="2"/>
  <c r="AO179" i="2"/>
  <c r="AN179" i="2"/>
  <c r="AM179" i="2"/>
  <c r="AL179" i="2"/>
  <c r="AK179" i="2"/>
  <c r="AJ179" i="2"/>
  <c r="AI179" i="2"/>
  <c r="AH179" i="2"/>
  <c r="AG179" i="2"/>
  <c r="AF179" i="2"/>
  <c r="AE179" i="2"/>
  <c r="AD179" i="2"/>
  <c r="AC179" i="2"/>
  <c r="AB179" i="2"/>
  <c r="AA179" i="2"/>
  <c r="Z179" i="2"/>
  <c r="Y179" i="2"/>
  <c r="X179" i="2"/>
  <c r="W179" i="2"/>
  <c r="V179" i="2"/>
  <c r="U179" i="2"/>
  <c r="T179" i="2"/>
  <c r="S179" i="2"/>
  <c r="R179" i="2"/>
  <c r="Q179" i="2"/>
  <c r="P179" i="2"/>
  <c r="O179" i="2"/>
  <c r="N179" i="2"/>
  <c r="M179" i="2"/>
  <c r="L179" i="2"/>
  <c r="K179" i="2"/>
  <c r="J179" i="2"/>
  <c r="BD179" i="2" s="1"/>
  <c r="I179" i="2"/>
  <c r="E179" i="2" a="1"/>
  <c r="E179" i="2" s="1"/>
  <c r="D179" i="2" a="1"/>
  <c r="D179" i="2" s="1"/>
  <c r="C179" i="2" a="1"/>
  <c r="C179" i="2" s="1"/>
  <c r="B179" i="2" a="1"/>
  <c r="B179" i="2" s="1"/>
  <c r="CG178" i="2"/>
  <c r="CF178" i="2"/>
  <c r="CE178" i="2"/>
  <c r="CD178" i="2"/>
  <c r="CC178" i="2"/>
  <c r="CB178" i="2"/>
  <c r="CA178" i="2"/>
  <c r="BZ178" i="2"/>
  <c r="BY178" i="2"/>
  <c r="BX178" i="2"/>
  <c r="BW178" i="2"/>
  <c r="BV178" i="2"/>
  <c r="BU178" i="2"/>
  <c r="BT178" i="2"/>
  <c r="BS178" i="2"/>
  <c r="BR178" i="2"/>
  <c r="BQ178" i="2"/>
  <c r="BP178" i="2"/>
  <c r="BO178" i="2"/>
  <c r="BN178" i="2"/>
  <c r="BM178" i="2"/>
  <c r="BL178" i="2"/>
  <c r="BK178" i="2"/>
  <c r="BJ178" i="2"/>
  <c r="BI178" i="2"/>
  <c r="BH178" i="2"/>
  <c r="BG178" i="2"/>
  <c r="BF178" i="2"/>
  <c r="BE178" i="2"/>
  <c r="BC178" i="2"/>
  <c r="BB178" i="2"/>
  <c r="BA178" i="2"/>
  <c r="AZ178" i="2"/>
  <c r="AY178" i="2"/>
  <c r="AX178" i="2"/>
  <c r="AW178" i="2"/>
  <c r="AV178" i="2"/>
  <c r="AU178" i="2"/>
  <c r="AT178" i="2"/>
  <c r="AS178" i="2"/>
  <c r="AR178" i="2"/>
  <c r="AQ178" i="2"/>
  <c r="AP178" i="2"/>
  <c r="AO178" i="2"/>
  <c r="AN178" i="2"/>
  <c r="AM178" i="2"/>
  <c r="AL178" i="2"/>
  <c r="AK178" i="2"/>
  <c r="AJ178" i="2"/>
  <c r="AI178" i="2"/>
  <c r="AH178" i="2"/>
  <c r="AG178" i="2"/>
  <c r="AF178" i="2"/>
  <c r="AE178" i="2"/>
  <c r="AD178" i="2"/>
  <c r="AC178" i="2"/>
  <c r="AB178" i="2"/>
  <c r="AA178" i="2"/>
  <c r="Z178" i="2"/>
  <c r="Y178" i="2"/>
  <c r="X178" i="2"/>
  <c r="W178" i="2"/>
  <c r="V178" i="2"/>
  <c r="U178" i="2"/>
  <c r="T178" i="2"/>
  <c r="S178" i="2"/>
  <c r="R178" i="2"/>
  <c r="Q178" i="2"/>
  <c r="P178" i="2"/>
  <c r="O178" i="2"/>
  <c r="N178" i="2"/>
  <c r="M178" i="2"/>
  <c r="L178" i="2"/>
  <c r="K178" i="2"/>
  <c r="J178" i="2"/>
  <c r="BD178" i="2" s="1"/>
  <c r="I178" i="2"/>
  <c r="E178" i="2" a="1"/>
  <c r="E178" i="2" s="1"/>
  <c r="D178" i="2" a="1"/>
  <c r="D178" i="2" s="1"/>
  <c r="C178" i="2" a="1"/>
  <c r="C178" i="2" s="1"/>
  <c r="B178" i="2" a="1"/>
  <c r="B178" i="2" s="1"/>
  <c r="CG177" i="2"/>
  <c r="CF177" i="2"/>
  <c r="CE177" i="2"/>
  <c r="CD177" i="2"/>
  <c r="CC177" i="2"/>
  <c r="CB177" i="2"/>
  <c r="CA177" i="2"/>
  <c r="BZ177" i="2"/>
  <c r="BY177" i="2"/>
  <c r="BX177" i="2"/>
  <c r="BW177" i="2"/>
  <c r="BV177" i="2"/>
  <c r="BU177" i="2"/>
  <c r="BT177" i="2"/>
  <c r="BS177" i="2"/>
  <c r="BR177" i="2"/>
  <c r="BQ177" i="2"/>
  <c r="BP177" i="2"/>
  <c r="BO177" i="2"/>
  <c r="BN177" i="2"/>
  <c r="BM177" i="2"/>
  <c r="BL177" i="2"/>
  <c r="BK177" i="2"/>
  <c r="BJ177" i="2"/>
  <c r="BI177" i="2"/>
  <c r="BH177" i="2"/>
  <c r="BG177" i="2"/>
  <c r="BF177" i="2"/>
  <c r="BE177" i="2"/>
  <c r="BC177" i="2"/>
  <c r="BB177" i="2"/>
  <c r="BA177" i="2"/>
  <c r="AZ177" i="2"/>
  <c r="AY177" i="2"/>
  <c r="AX177" i="2"/>
  <c r="AW177" i="2"/>
  <c r="AV177" i="2"/>
  <c r="AU177" i="2"/>
  <c r="AT177" i="2"/>
  <c r="AS177" i="2"/>
  <c r="AR177" i="2"/>
  <c r="AQ177" i="2"/>
  <c r="AP177" i="2"/>
  <c r="AO177" i="2"/>
  <c r="AN177" i="2"/>
  <c r="AM177" i="2"/>
  <c r="AL177" i="2"/>
  <c r="AK177" i="2"/>
  <c r="AJ177" i="2"/>
  <c r="AI177" i="2"/>
  <c r="AH177" i="2"/>
  <c r="AG177" i="2"/>
  <c r="AF177" i="2"/>
  <c r="AE177" i="2"/>
  <c r="AD177" i="2"/>
  <c r="AC177" i="2"/>
  <c r="AB177" i="2"/>
  <c r="AA177" i="2"/>
  <c r="Z177" i="2"/>
  <c r="Y177" i="2"/>
  <c r="X177" i="2"/>
  <c r="W177" i="2"/>
  <c r="V177" i="2"/>
  <c r="U177" i="2"/>
  <c r="T177" i="2"/>
  <c r="S177" i="2"/>
  <c r="R177" i="2"/>
  <c r="Q177" i="2"/>
  <c r="P177" i="2"/>
  <c r="O177" i="2"/>
  <c r="N177" i="2"/>
  <c r="M177" i="2"/>
  <c r="L177" i="2"/>
  <c r="K177" i="2"/>
  <c r="J177" i="2"/>
  <c r="BD177" i="2" s="1"/>
  <c r="I177" i="2"/>
  <c r="E177" i="2" a="1"/>
  <c r="E177" i="2" s="1"/>
  <c r="D177" i="2" a="1"/>
  <c r="D177" i="2" s="1"/>
  <c r="C177" i="2" a="1"/>
  <c r="C177" i="2" s="1"/>
  <c r="B177" i="2" a="1"/>
  <c r="B177" i="2" s="1"/>
  <c r="CG176" i="2"/>
  <c r="CF176" i="2"/>
  <c r="CE176" i="2"/>
  <c r="CD176" i="2"/>
  <c r="CC176" i="2"/>
  <c r="CB176" i="2"/>
  <c r="CA176" i="2"/>
  <c r="BZ176" i="2"/>
  <c r="BY176" i="2"/>
  <c r="BX176" i="2"/>
  <c r="BW176" i="2"/>
  <c r="BV176" i="2"/>
  <c r="BU176" i="2"/>
  <c r="BT176" i="2"/>
  <c r="BS176" i="2"/>
  <c r="BR176" i="2"/>
  <c r="BQ176" i="2"/>
  <c r="BP176" i="2"/>
  <c r="BO176" i="2"/>
  <c r="BN176" i="2"/>
  <c r="BM176" i="2"/>
  <c r="BL176" i="2"/>
  <c r="BK176" i="2"/>
  <c r="BJ176" i="2"/>
  <c r="BI176" i="2"/>
  <c r="BH176" i="2"/>
  <c r="BG176" i="2"/>
  <c r="BF176" i="2"/>
  <c r="BE176" i="2"/>
  <c r="BD176" i="2"/>
  <c r="BC176" i="2"/>
  <c r="BB176" i="2"/>
  <c r="BA176" i="2"/>
  <c r="AZ176" i="2"/>
  <c r="AY176" i="2"/>
  <c r="AX176" i="2"/>
  <c r="AW176" i="2"/>
  <c r="AV176" i="2"/>
  <c r="AU176" i="2"/>
  <c r="AT176" i="2"/>
  <c r="AS176" i="2"/>
  <c r="AR176" i="2"/>
  <c r="AQ176" i="2"/>
  <c r="AP176" i="2"/>
  <c r="AO176" i="2"/>
  <c r="AN176" i="2"/>
  <c r="AM176" i="2"/>
  <c r="AL176" i="2"/>
  <c r="AK176" i="2"/>
  <c r="AJ176" i="2"/>
  <c r="AI176" i="2"/>
  <c r="AH176" i="2"/>
  <c r="AG176" i="2"/>
  <c r="AF176" i="2"/>
  <c r="AE176" i="2"/>
  <c r="AD176" i="2"/>
  <c r="AC176" i="2"/>
  <c r="AB176" i="2"/>
  <c r="AA176" i="2"/>
  <c r="Z176" i="2"/>
  <c r="Y176" i="2"/>
  <c r="X176" i="2"/>
  <c r="W176" i="2"/>
  <c r="V176" i="2"/>
  <c r="U176" i="2"/>
  <c r="T176" i="2"/>
  <c r="S176" i="2"/>
  <c r="R176" i="2"/>
  <c r="Q176" i="2"/>
  <c r="P176" i="2"/>
  <c r="O176" i="2"/>
  <c r="N176" i="2"/>
  <c r="M176" i="2"/>
  <c r="L176" i="2"/>
  <c r="K176" i="2"/>
  <c r="J176" i="2"/>
  <c r="I176" i="2"/>
  <c r="E176" i="2" a="1"/>
  <c r="E176" i="2" s="1"/>
  <c r="D176" i="2" a="1"/>
  <c r="D176" i="2" s="1"/>
  <c r="C176" i="2" a="1"/>
  <c r="C176" i="2" s="1"/>
  <c r="B176" i="2" a="1"/>
  <c r="B176" i="2" s="1"/>
  <c r="CG175" i="2"/>
  <c r="CF175" i="2"/>
  <c r="CE175" i="2"/>
  <c r="CD175" i="2"/>
  <c r="CC175" i="2"/>
  <c r="CB175" i="2"/>
  <c r="CA175" i="2"/>
  <c r="BZ175" i="2"/>
  <c r="BY175" i="2"/>
  <c r="BX175" i="2"/>
  <c r="BW175" i="2"/>
  <c r="BV175" i="2"/>
  <c r="BU175" i="2"/>
  <c r="BT175" i="2"/>
  <c r="BS175" i="2"/>
  <c r="BR175" i="2"/>
  <c r="BQ175" i="2"/>
  <c r="BP175" i="2"/>
  <c r="BO175" i="2"/>
  <c r="BN175" i="2"/>
  <c r="BM175" i="2"/>
  <c r="BL175" i="2"/>
  <c r="BK175" i="2"/>
  <c r="BJ175" i="2"/>
  <c r="BI175" i="2"/>
  <c r="BH175" i="2"/>
  <c r="BG175" i="2"/>
  <c r="BF175" i="2"/>
  <c r="BE175" i="2"/>
  <c r="BD175" i="2"/>
  <c r="BC175" i="2"/>
  <c r="BB175" i="2"/>
  <c r="BA175" i="2"/>
  <c r="AZ175" i="2"/>
  <c r="AY175" i="2"/>
  <c r="AX175" i="2"/>
  <c r="AW175" i="2"/>
  <c r="AV175" i="2"/>
  <c r="AU175" i="2"/>
  <c r="AT175" i="2"/>
  <c r="AS175" i="2"/>
  <c r="AR175" i="2"/>
  <c r="AQ175" i="2"/>
  <c r="AP175" i="2"/>
  <c r="AO175" i="2"/>
  <c r="AN175" i="2"/>
  <c r="AM175" i="2"/>
  <c r="AL175" i="2"/>
  <c r="AK175" i="2"/>
  <c r="AJ175" i="2"/>
  <c r="AI175" i="2"/>
  <c r="AH175" i="2"/>
  <c r="AG175" i="2"/>
  <c r="AF175" i="2"/>
  <c r="AE175" i="2"/>
  <c r="AD175" i="2"/>
  <c r="AC175" i="2"/>
  <c r="AB175" i="2"/>
  <c r="AA175" i="2"/>
  <c r="Z175" i="2"/>
  <c r="Y175" i="2"/>
  <c r="X175" i="2"/>
  <c r="W175" i="2"/>
  <c r="V175" i="2"/>
  <c r="U175" i="2"/>
  <c r="T175" i="2"/>
  <c r="S175" i="2"/>
  <c r="R175" i="2"/>
  <c r="Q175" i="2"/>
  <c r="P175" i="2"/>
  <c r="O175" i="2"/>
  <c r="N175" i="2"/>
  <c r="M175" i="2"/>
  <c r="L175" i="2"/>
  <c r="K175" i="2"/>
  <c r="J175" i="2"/>
  <c r="I175" i="2"/>
  <c r="E175" i="2" a="1"/>
  <c r="E175" i="2" s="1"/>
  <c r="D175" i="2" a="1"/>
  <c r="D175" i="2" s="1"/>
  <c r="C175" i="2" a="1"/>
  <c r="C175" i="2" s="1"/>
  <c r="B175" i="2" a="1"/>
  <c r="B175" i="2" s="1"/>
  <c r="CG174" i="2"/>
  <c r="CF174" i="2"/>
  <c r="CE174" i="2"/>
  <c r="CD174" i="2"/>
  <c r="CC174" i="2"/>
  <c r="CB174" i="2"/>
  <c r="CA174" i="2"/>
  <c r="BZ174" i="2"/>
  <c r="BY174" i="2"/>
  <c r="BX174" i="2"/>
  <c r="BW174" i="2"/>
  <c r="BV174" i="2"/>
  <c r="BU174" i="2"/>
  <c r="BT174" i="2"/>
  <c r="BS174" i="2"/>
  <c r="BR174" i="2"/>
  <c r="BQ174" i="2"/>
  <c r="BP174" i="2"/>
  <c r="BO174" i="2"/>
  <c r="BN174" i="2"/>
  <c r="BM174" i="2"/>
  <c r="BL174" i="2"/>
  <c r="BK174" i="2"/>
  <c r="BJ174" i="2"/>
  <c r="BI174" i="2"/>
  <c r="BH174" i="2"/>
  <c r="BG174" i="2"/>
  <c r="BF174" i="2"/>
  <c r="BE174" i="2"/>
  <c r="BC174" i="2"/>
  <c r="BB174" i="2"/>
  <c r="BA174" i="2"/>
  <c r="AZ174" i="2"/>
  <c r="AY174" i="2"/>
  <c r="AX174" i="2"/>
  <c r="AW174" i="2"/>
  <c r="AV174" i="2"/>
  <c r="AU174" i="2"/>
  <c r="AT174" i="2"/>
  <c r="AS174" i="2"/>
  <c r="AR174" i="2"/>
  <c r="AQ174" i="2"/>
  <c r="AP174" i="2"/>
  <c r="AO174" i="2"/>
  <c r="AN174" i="2"/>
  <c r="AM174" i="2"/>
  <c r="AL174" i="2"/>
  <c r="AK174" i="2"/>
  <c r="AJ174" i="2"/>
  <c r="AI174" i="2"/>
  <c r="AH174" i="2"/>
  <c r="AG174" i="2"/>
  <c r="AF174" i="2"/>
  <c r="AE174" i="2"/>
  <c r="AD174" i="2"/>
  <c r="AC174" i="2"/>
  <c r="AB174" i="2"/>
  <c r="AA174" i="2"/>
  <c r="Z174" i="2"/>
  <c r="Y174" i="2"/>
  <c r="X174" i="2"/>
  <c r="W174" i="2"/>
  <c r="V174" i="2"/>
  <c r="U174" i="2"/>
  <c r="T174" i="2"/>
  <c r="S174" i="2"/>
  <c r="R174" i="2"/>
  <c r="Q174" i="2"/>
  <c r="P174" i="2"/>
  <c r="O174" i="2"/>
  <c r="N174" i="2"/>
  <c r="M174" i="2"/>
  <c r="L174" i="2"/>
  <c r="K174" i="2"/>
  <c r="J174" i="2"/>
  <c r="BD174" i="2" s="1"/>
  <c r="I174" i="2"/>
  <c r="E174" i="2" a="1"/>
  <c r="E174" i="2" s="1"/>
  <c r="D174" i="2" a="1"/>
  <c r="D174" i="2" s="1"/>
  <c r="C174" i="2" a="1"/>
  <c r="C174" i="2" s="1"/>
  <c r="B174" i="2" a="1"/>
  <c r="B174" i="2" s="1"/>
  <c r="CG173" i="2"/>
  <c r="CF173" i="2"/>
  <c r="CE173" i="2"/>
  <c r="CD173" i="2"/>
  <c r="CC173" i="2"/>
  <c r="CB173" i="2"/>
  <c r="CA173" i="2"/>
  <c r="BZ173" i="2"/>
  <c r="BY173" i="2"/>
  <c r="BX173" i="2"/>
  <c r="BW173" i="2"/>
  <c r="BV173" i="2"/>
  <c r="BU173" i="2"/>
  <c r="BT173" i="2"/>
  <c r="BS173" i="2"/>
  <c r="BR173" i="2"/>
  <c r="BQ173" i="2"/>
  <c r="BP173" i="2"/>
  <c r="BO173" i="2"/>
  <c r="BN173" i="2"/>
  <c r="BM173" i="2"/>
  <c r="BL173" i="2"/>
  <c r="BK173" i="2"/>
  <c r="BJ173" i="2"/>
  <c r="BI173" i="2"/>
  <c r="BH173" i="2"/>
  <c r="BG173" i="2"/>
  <c r="BF173" i="2"/>
  <c r="BE173" i="2"/>
  <c r="BD173" i="2"/>
  <c r="BC173" i="2"/>
  <c r="BB173" i="2"/>
  <c r="BA173" i="2"/>
  <c r="AZ173" i="2"/>
  <c r="AY173" i="2"/>
  <c r="AX173" i="2"/>
  <c r="AW173" i="2"/>
  <c r="AV173" i="2"/>
  <c r="AU173" i="2"/>
  <c r="AT173" i="2"/>
  <c r="AS173" i="2"/>
  <c r="AR173" i="2"/>
  <c r="AQ173" i="2"/>
  <c r="AP173" i="2"/>
  <c r="AO173" i="2"/>
  <c r="AN173" i="2"/>
  <c r="AM173" i="2"/>
  <c r="AL173" i="2"/>
  <c r="AK173" i="2"/>
  <c r="AJ173" i="2"/>
  <c r="AI173" i="2"/>
  <c r="AH173" i="2"/>
  <c r="AG173" i="2"/>
  <c r="AF173" i="2"/>
  <c r="AE173" i="2"/>
  <c r="AD173" i="2"/>
  <c r="AC173" i="2"/>
  <c r="AB173" i="2"/>
  <c r="AA173" i="2"/>
  <c r="Z173" i="2"/>
  <c r="Y173" i="2"/>
  <c r="X173" i="2"/>
  <c r="W173" i="2"/>
  <c r="V173" i="2"/>
  <c r="U173" i="2"/>
  <c r="T173" i="2"/>
  <c r="S173" i="2"/>
  <c r="R173" i="2"/>
  <c r="Q173" i="2"/>
  <c r="P173" i="2"/>
  <c r="O173" i="2"/>
  <c r="N173" i="2"/>
  <c r="M173" i="2"/>
  <c r="L173" i="2"/>
  <c r="K173" i="2"/>
  <c r="J173" i="2"/>
  <c r="I173" i="2"/>
  <c r="E173" i="2" a="1"/>
  <c r="E173" i="2" s="1"/>
  <c r="D173" i="2" a="1"/>
  <c r="D173" i="2" s="1"/>
  <c r="C173" i="2" a="1"/>
  <c r="C173" i="2" s="1"/>
  <c r="B173" i="2" a="1"/>
  <c r="B173" i="2" s="1"/>
  <c r="CG172" i="2"/>
  <c r="CF172" i="2"/>
  <c r="CE172" i="2"/>
  <c r="CD172" i="2"/>
  <c r="CC172" i="2"/>
  <c r="CB172" i="2"/>
  <c r="CA172" i="2"/>
  <c r="BZ172" i="2"/>
  <c r="BY172" i="2"/>
  <c r="BX172" i="2"/>
  <c r="BW172" i="2"/>
  <c r="BV172" i="2"/>
  <c r="BU172" i="2"/>
  <c r="BT172" i="2"/>
  <c r="BS172" i="2"/>
  <c r="BR172" i="2"/>
  <c r="BQ172" i="2"/>
  <c r="BP172" i="2"/>
  <c r="BO172" i="2"/>
  <c r="BN172" i="2"/>
  <c r="BM172" i="2"/>
  <c r="BL172" i="2"/>
  <c r="BK172" i="2"/>
  <c r="BJ172" i="2"/>
  <c r="BI172" i="2"/>
  <c r="BH172" i="2"/>
  <c r="BG172" i="2"/>
  <c r="BF172" i="2"/>
  <c r="BE172" i="2"/>
  <c r="BD172" i="2"/>
  <c r="BC172" i="2"/>
  <c r="BB172" i="2"/>
  <c r="BA172" i="2"/>
  <c r="AZ172" i="2"/>
  <c r="AY172" i="2"/>
  <c r="AX172" i="2"/>
  <c r="AW172" i="2"/>
  <c r="AV172" i="2"/>
  <c r="AU172" i="2"/>
  <c r="AT172" i="2"/>
  <c r="AS172" i="2"/>
  <c r="AR172" i="2"/>
  <c r="AQ172" i="2"/>
  <c r="AP172" i="2"/>
  <c r="AO172" i="2"/>
  <c r="AN172" i="2"/>
  <c r="AM172" i="2"/>
  <c r="AL172" i="2"/>
  <c r="AK172" i="2"/>
  <c r="AJ172" i="2"/>
  <c r="AI172" i="2"/>
  <c r="AH172" i="2"/>
  <c r="AG172" i="2"/>
  <c r="AF172" i="2"/>
  <c r="AE172" i="2"/>
  <c r="AD172" i="2"/>
  <c r="AC172" i="2"/>
  <c r="AB172" i="2"/>
  <c r="AA172" i="2"/>
  <c r="Z172" i="2"/>
  <c r="Y172" i="2"/>
  <c r="X172" i="2"/>
  <c r="W172" i="2"/>
  <c r="V172" i="2"/>
  <c r="U172" i="2"/>
  <c r="T172" i="2"/>
  <c r="S172" i="2"/>
  <c r="R172" i="2"/>
  <c r="Q172" i="2"/>
  <c r="P172" i="2"/>
  <c r="O172" i="2"/>
  <c r="N172" i="2"/>
  <c r="M172" i="2"/>
  <c r="L172" i="2"/>
  <c r="K172" i="2"/>
  <c r="J172" i="2"/>
  <c r="I172" i="2"/>
  <c r="E172" i="2" a="1"/>
  <c r="E172" i="2" s="1"/>
  <c r="D172" i="2" a="1"/>
  <c r="D172" i="2" s="1"/>
  <c r="C172" i="2" a="1"/>
  <c r="C172" i="2" s="1"/>
  <c r="B172" i="2" a="1"/>
  <c r="B172" i="2" s="1"/>
  <c r="CG171" i="2"/>
  <c r="CF171" i="2"/>
  <c r="CE171" i="2"/>
  <c r="CD171" i="2"/>
  <c r="CC171" i="2"/>
  <c r="CB171" i="2"/>
  <c r="CA171" i="2"/>
  <c r="BZ171" i="2"/>
  <c r="BY171" i="2"/>
  <c r="BX171" i="2"/>
  <c r="BW171" i="2"/>
  <c r="BV171" i="2"/>
  <c r="BU171" i="2"/>
  <c r="BT171" i="2"/>
  <c r="BS171" i="2"/>
  <c r="BR171" i="2"/>
  <c r="BQ171" i="2"/>
  <c r="BP171" i="2"/>
  <c r="BO171" i="2"/>
  <c r="BN171" i="2"/>
  <c r="BM171" i="2"/>
  <c r="BL171" i="2"/>
  <c r="BK171" i="2"/>
  <c r="BJ171" i="2"/>
  <c r="BI171" i="2"/>
  <c r="BH171" i="2"/>
  <c r="BG171" i="2"/>
  <c r="BF171" i="2"/>
  <c r="BE171" i="2"/>
  <c r="BD171" i="2"/>
  <c r="BC171" i="2"/>
  <c r="BB171" i="2"/>
  <c r="BA171" i="2"/>
  <c r="AZ171" i="2"/>
  <c r="AY171" i="2"/>
  <c r="AX171" i="2"/>
  <c r="AW171" i="2"/>
  <c r="AV171" i="2"/>
  <c r="AU171" i="2"/>
  <c r="AT171" i="2"/>
  <c r="AS171" i="2"/>
  <c r="AR171" i="2"/>
  <c r="AQ171" i="2"/>
  <c r="AP171" i="2"/>
  <c r="AO171" i="2"/>
  <c r="AN171" i="2"/>
  <c r="AM171" i="2"/>
  <c r="AL171" i="2"/>
  <c r="AK171" i="2"/>
  <c r="AJ171" i="2"/>
  <c r="AI171" i="2"/>
  <c r="AH171" i="2"/>
  <c r="AG171" i="2"/>
  <c r="AF171" i="2"/>
  <c r="AE171" i="2"/>
  <c r="AD171" i="2"/>
  <c r="AC171" i="2"/>
  <c r="AB171" i="2"/>
  <c r="AA171" i="2"/>
  <c r="Z171" i="2"/>
  <c r="Y171" i="2"/>
  <c r="X171" i="2"/>
  <c r="W171" i="2"/>
  <c r="V171" i="2"/>
  <c r="U171" i="2"/>
  <c r="T171" i="2"/>
  <c r="S171" i="2"/>
  <c r="R171" i="2"/>
  <c r="Q171" i="2"/>
  <c r="P171" i="2"/>
  <c r="O171" i="2"/>
  <c r="N171" i="2"/>
  <c r="M171" i="2"/>
  <c r="L171" i="2"/>
  <c r="K171" i="2"/>
  <c r="J171" i="2"/>
  <c r="I171" i="2"/>
  <c r="E171" i="2" a="1"/>
  <c r="E171" i="2" s="1"/>
  <c r="D171" i="2" a="1"/>
  <c r="D171" i="2" s="1"/>
  <c r="C171" i="2" a="1"/>
  <c r="C171" i="2" s="1"/>
  <c r="B171" i="2" a="1"/>
  <c r="B171" i="2" s="1"/>
  <c r="CG170" i="2"/>
  <c r="CF170" i="2"/>
  <c r="CE170" i="2"/>
  <c r="CD170" i="2"/>
  <c r="CC170" i="2"/>
  <c r="CB170" i="2"/>
  <c r="CA170" i="2"/>
  <c r="BZ170" i="2"/>
  <c r="BY170" i="2"/>
  <c r="BX170" i="2"/>
  <c r="BW170" i="2"/>
  <c r="BV170" i="2"/>
  <c r="BU170" i="2"/>
  <c r="BT170" i="2"/>
  <c r="BS170" i="2"/>
  <c r="BR170" i="2"/>
  <c r="BQ170" i="2"/>
  <c r="BP170" i="2"/>
  <c r="BO170" i="2"/>
  <c r="BN170" i="2"/>
  <c r="BM170" i="2"/>
  <c r="BL170" i="2"/>
  <c r="BK170" i="2"/>
  <c r="BJ170" i="2"/>
  <c r="BI170" i="2"/>
  <c r="BH170" i="2"/>
  <c r="BG170" i="2"/>
  <c r="BF170" i="2"/>
  <c r="BE170" i="2"/>
  <c r="BC170" i="2"/>
  <c r="BB170" i="2"/>
  <c r="BA170" i="2"/>
  <c r="AZ170" i="2"/>
  <c r="AY170" i="2"/>
  <c r="AX170" i="2"/>
  <c r="AW170" i="2"/>
  <c r="AV170" i="2"/>
  <c r="AU170" i="2"/>
  <c r="AT170" i="2"/>
  <c r="AS170" i="2"/>
  <c r="AR170" i="2"/>
  <c r="AQ170" i="2"/>
  <c r="AP170" i="2"/>
  <c r="AO170" i="2"/>
  <c r="AN170" i="2"/>
  <c r="AM170" i="2"/>
  <c r="AL170" i="2"/>
  <c r="AK170" i="2"/>
  <c r="AJ170" i="2"/>
  <c r="AI170" i="2"/>
  <c r="AH170" i="2"/>
  <c r="AG170" i="2"/>
  <c r="AF170" i="2"/>
  <c r="AE170" i="2"/>
  <c r="AD170" i="2"/>
  <c r="AC170" i="2"/>
  <c r="AB170" i="2"/>
  <c r="AA170" i="2"/>
  <c r="Z170" i="2"/>
  <c r="Y170" i="2"/>
  <c r="X170" i="2"/>
  <c r="W170" i="2"/>
  <c r="V170" i="2"/>
  <c r="U170" i="2"/>
  <c r="T170" i="2"/>
  <c r="S170" i="2"/>
  <c r="R170" i="2"/>
  <c r="Q170" i="2"/>
  <c r="P170" i="2"/>
  <c r="O170" i="2"/>
  <c r="N170" i="2"/>
  <c r="M170" i="2"/>
  <c r="L170" i="2"/>
  <c r="K170" i="2"/>
  <c r="J170" i="2"/>
  <c r="BD170" i="2" s="1"/>
  <c r="I170" i="2"/>
  <c r="E170" i="2" a="1"/>
  <c r="E170" i="2" s="1"/>
  <c r="D170" i="2" a="1"/>
  <c r="D170" i="2" s="1"/>
  <c r="C170" i="2" a="1"/>
  <c r="C170" i="2" s="1"/>
  <c r="B170" i="2" a="1"/>
  <c r="B170" i="2" s="1"/>
  <c r="CG169" i="2"/>
  <c r="CF169" i="2"/>
  <c r="CE169" i="2"/>
  <c r="CD169" i="2"/>
  <c r="CC169" i="2"/>
  <c r="CB169" i="2"/>
  <c r="CA169" i="2"/>
  <c r="BZ169" i="2"/>
  <c r="BY169" i="2"/>
  <c r="BX169" i="2"/>
  <c r="BW169" i="2"/>
  <c r="BV169" i="2"/>
  <c r="BU169" i="2"/>
  <c r="BT169" i="2"/>
  <c r="BS169" i="2"/>
  <c r="BR169" i="2"/>
  <c r="BQ169" i="2"/>
  <c r="BP169" i="2"/>
  <c r="BO169" i="2"/>
  <c r="BN169" i="2"/>
  <c r="BM169" i="2"/>
  <c r="BL169" i="2"/>
  <c r="BK169" i="2"/>
  <c r="BJ169" i="2"/>
  <c r="BI169" i="2"/>
  <c r="BH169" i="2"/>
  <c r="BG169" i="2"/>
  <c r="BF169" i="2"/>
  <c r="BE169" i="2"/>
  <c r="BC169" i="2"/>
  <c r="BB169" i="2"/>
  <c r="BA169" i="2"/>
  <c r="AZ169" i="2"/>
  <c r="AY169" i="2"/>
  <c r="AX169" i="2"/>
  <c r="AW169" i="2"/>
  <c r="AV169" i="2"/>
  <c r="AU169" i="2"/>
  <c r="AT169" i="2"/>
  <c r="AS169" i="2"/>
  <c r="AR169" i="2"/>
  <c r="AQ169" i="2"/>
  <c r="AP169" i="2"/>
  <c r="AO169" i="2"/>
  <c r="AN169" i="2"/>
  <c r="AM169" i="2"/>
  <c r="AL169" i="2"/>
  <c r="AK169" i="2"/>
  <c r="AJ169" i="2"/>
  <c r="AI169" i="2"/>
  <c r="AH169" i="2"/>
  <c r="AG169" i="2"/>
  <c r="AF169" i="2"/>
  <c r="AE169" i="2"/>
  <c r="AD169" i="2"/>
  <c r="AC169" i="2"/>
  <c r="AB169" i="2"/>
  <c r="AA169" i="2"/>
  <c r="Z169" i="2"/>
  <c r="Y169" i="2"/>
  <c r="X169" i="2"/>
  <c r="W169" i="2"/>
  <c r="V169" i="2"/>
  <c r="U169" i="2"/>
  <c r="T169" i="2"/>
  <c r="S169" i="2"/>
  <c r="R169" i="2"/>
  <c r="Q169" i="2"/>
  <c r="P169" i="2"/>
  <c r="O169" i="2"/>
  <c r="N169" i="2"/>
  <c r="M169" i="2"/>
  <c r="L169" i="2"/>
  <c r="K169" i="2"/>
  <c r="J169" i="2"/>
  <c r="BD169" i="2" s="1"/>
  <c r="I169" i="2"/>
  <c r="E169" i="2" a="1"/>
  <c r="E169" i="2" s="1"/>
  <c r="D169" i="2" a="1"/>
  <c r="D169" i="2" s="1"/>
  <c r="C169" i="2" a="1"/>
  <c r="C169" i="2" s="1"/>
  <c r="B169" i="2" a="1"/>
  <c r="B169" i="2" s="1"/>
  <c r="CG168" i="2"/>
  <c r="CF168" i="2"/>
  <c r="CE168" i="2"/>
  <c r="CD168" i="2"/>
  <c r="CC168" i="2"/>
  <c r="CB168" i="2"/>
  <c r="CA168" i="2"/>
  <c r="BZ168" i="2"/>
  <c r="BY168" i="2"/>
  <c r="BX168" i="2"/>
  <c r="BW168" i="2"/>
  <c r="BV168" i="2"/>
  <c r="BU168" i="2"/>
  <c r="BT168" i="2"/>
  <c r="BS168" i="2"/>
  <c r="BR168" i="2"/>
  <c r="BQ168" i="2"/>
  <c r="BP168" i="2"/>
  <c r="BO168" i="2"/>
  <c r="BN168" i="2"/>
  <c r="BM168" i="2"/>
  <c r="BL168" i="2"/>
  <c r="BK168" i="2"/>
  <c r="BJ168" i="2"/>
  <c r="BI168" i="2"/>
  <c r="BH168" i="2"/>
  <c r="BG168" i="2"/>
  <c r="BF168" i="2"/>
  <c r="BE168" i="2"/>
  <c r="BD168" i="2"/>
  <c r="BC168" i="2"/>
  <c r="BB168" i="2"/>
  <c r="BA168" i="2"/>
  <c r="AZ168" i="2"/>
  <c r="AY168" i="2"/>
  <c r="AX168" i="2"/>
  <c r="AW168" i="2"/>
  <c r="AV168" i="2"/>
  <c r="AU168" i="2"/>
  <c r="AT168" i="2"/>
  <c r="AS168" i="2"/>
  <c r="AR168" i="2"/>
  <c r="AQ168" i="2"/>
  <c r="AP168" i="2"/>
  <c r="AO168" i="2"/>
  <c r="AN168" i="2"/>
  <c r="AM168" i="2"/>
  <c r="AL168" i="2"/>
  <c r="AK168" i="2"/>
  <c r="AJ168" i="2"/>
  <c r="AI168" i="2"/>
  <c r="AH168" i="2"/>
  <c r="AG168" i="2"/>
  <c r="AF168" i="2"/>
  <c r="AE168" i="2"/>
  <c r="AD168" i="2"/>
  <c r="AC168" i="2"/>
  <c r="AB168" i="2"/>
  <c r="AA168" i="2"/>
  <c r="Z168" i="2"/>
  <c r="Y168" i="2"/>
  <c r="X168" i="2"/>
  <c r="W168" i="2"/>
  <c r="V168" i="2"/>
  <c r="U168" i="2"/>
  <c r="T168" i="2"/>
  <c r="S168" i="2"/>
  <c r="R168" i="2"/>
  <c r="Q168" i="2"/>
  <c r="P168" i="2"/>
  <c r="O168" i="2"/>
  <c r="N168" i="2"/>
  <c r="M168" i="2"/>
  <c r="L168" i="2"/>
  <c r="K168" i="2"/>
  <c r="J168" i="2"/>
  <c r="I168" i="2"/>
  <c r="E168" i="2" a="1"/>
  <c r="E168" i="2" s="1"/>
  <c r="D168" i="2" a="1"/>
  <c r="D168" i="2" s="1"/>
  <c r="C168" i="2" a="1"/>
  <c r="C168" i="2" s="1"/>
  <c r="B168" i="2" a="1"/>
  <c r="B168" i="2" s="1"/>
  <c r="CG167" i="2"/>
  <c r="CF167" i="2"/>
  <c r="CE167" i="2"/>
  <c r="CD167" i="2"/>
  <c r="CC167" i="2"/>
  <c r="CB167" i="2"/>
  <c r="CA167" i="2"/>
  <c r="BZ167" i="2"/>
  <c r="BY167" i="2"/>
  <c r="BX167" i="2"/>
  <c r="BW167" i="2"/>
  <c r="BV167" i="2"/>
  <c r="BU167" i="2"/>
  <c r="BT167" i="2"/>
  <c r="BS167" i="2"/>
  <c r="BR167" i="2"/>
  <c r="BQ167" i="2"/>
  <c r="BP167" i="2"/>
  <c r="BO167" i="2"/>
  <c r="BN167" i="2"/>
  <c r="BM167" i="2"/>
  <c r="BL167" i="2"/>
  <c r="BK167" i="2"/>
  <c r="BJ167" i="2"/>
  <c r="BI167" i="2"/>
  <c r="BH167" i="2"/>
  <c r="BG167" i="2"/>
  <c r="BF167" i="2"/>
  <c r="BE167" i="2"/>
  <c r="BC167" i="2"/>
  <c r="BB167" i="2"/>
  <c r="BA167" i="2"/>
  <c r="AZ167" i="2"/>
  <c r="AY167" i="2"/>
  <c r="AX167" i="2"/>
  <c r="AW167" i="2"/>
  <c r="AV167" i="2"/>
  <c r="AU167" i="2"/>
  <c r="AT167" i="2"/>
  <c r="AS167" i="2"/>
  <c r="AR167" i="2"/>
  <c r="AQ167" i="2"/>
  <c r="AP167" i="2"/>
  <c r="AO167" i="2"/>
  <c r="AN167" i="2"/>
  <c r="AM167" i="2"/>
  <c r="AL167" i="2"/>
  <c r="AK167" i="2"/>
  <c r="AJ167" i="2"/>
  <c r="AI167" i="2"/>
  <c r="AH167" i="2"/>
  <c r="AG167" i="2"/>
  <c r="AF167" i="2"/>
  <c r="AE167" i="2"/>
  <c r="AD167" i="2"/>
  <c r="AC167" i="2"/>
  <c r="AB167" i="2"/>
  <c r="AA167" i="2"/>
  <c r="Z167" i="2"/>
  <c r="Y167" i="2"/>
  <c r="X167" i="2"/>
  <c r="W167" i="2"/>
  <c r="V167" i="2"/>
  <c r="U167" i="2"/>
  <c r="T167" i="2"/>
  <c r="S167" i="2"/>
  <c r="R167" i="2"/>
  <c r="Q167" i="2"/>
  <c r="P167" i="2"/>
  <c r="O167" i="2"/>
  <c r="N167" i="2"/>
  <c r="M167" i="2"/>
  <c r="L167" i="2"/>
  <c r="K167" i="2"/>
  <c r="J167" i="2"/>
  <c r="BD167" i="2" s="1"/>
  <c r="I167" i="2"/>
  <c r="E167" i="2" a="1"/>
  <c r="E167" i="2" s="1"/>
  <c r="D167" i="2" a="1"/>
  <c r="D167" i="2" s="1"/>
  <c r="C167" i="2" a="1"/>
  <c r="C167" i="2" s="1"/>
  <c r="B167" i="2" a="1"/>
  <c r="B167" i="2" s="1"/>
  <c r="CG166" i="2"/>
  <c r="CF166" i="2"/>
  <c r="CE166" i="2"/>
  <c r="CD166" i="2"/>
  <c r="CC166" i="2"/>
  <c r="CB166" i="2"/>
  <c r="CA166" i="2"/>
  <c r="BZ166" i="2"/>
  <c r="BY166" i="2"/>
  <c r="BX166" i="2"/>
  <c r="BW166" i="2"/>
  <c r="BV166" i="2"/>
  <c r="BU166" i="2"/>
  <c r="BT166" i="2"/>
  <c r="BS166" i="2"/>
  <c r="BR166" i="2"/>
  <c r="BQ166" i="2"/>
  <c r="BP166" i="2"/>
  <c r="BO166" i="2"/>
  <c r="BN166" i="2"/>
  <c r="BM166" i="2"/>
  <c r="BL166" i="2"/>
  <c r="BK166" i="2"/>
  <c r="BJ166" i="2"/>
  <c r="BI166" i="2"/>
  <c r="BH166" i="2"/>
  <c r="BG166" i="2"/>
  <c r="BF166" i="2"/>
  <c r="BE166" i="2"/>
  <c r="BC166" i="2"/>
  <c r="BB166" i="2"/>
  <c r="BA166" i="2"/>
  <c r="AZ166" i="2"/>
  <c r="AY166" i="2"/>
  <c r="AX166" i="2"/>
  <c r="AW166" i="2"/>
  <c r="AV166" i="2"/>
  <c r="AU166" i="2"/>
  <c r="AT166" i="2"/>
  <c r="AS166" i="2"/>
  <c r="AR166" i="2"/>
  <c r="AQ166" i="2"/>
  <c r="AP166" i="2"/>
  <c r="AO166" i="2"/>
  <c r="AN166" i="2"/>
  <c r="AM166" i="2"/>
  <c r="AL166" i="2"/>
  <c r="AK166" i="2"/>
  <c r="AJ166" i="2"/>
  <c r="AI166" i="2"/>
  <c r="AH166" i="2"/>
  <c r="AG166" i="2"/>
  <c r="AF166" i="2"/>
  <c r="AE166" i="2"/>
  <c r="AD166" i="2"/>
  <c r="AC166" i="2"/>
  <c r="AB166" i="2"/>
  <c r="AA166" i="2"/>
  <c r="Z166" i="2"/>
  <c r="Y166" i="2"/>
  <c r="X166" i="2"/>
  <c r="W166" i="2"/>
  <c r="V166" i="2"/>
  <c r="U166" i="2"/>
  <c r="T166" i="2"/>
  <c r="S166" i="2"/>
  <c r="R166" i="2"/>
  <c r="Q166" i="2"/>
  <c r="P166" i="2"/>
  <c r="O166" i="2"/>
  <c r="N166" i="2"/>
  <c r="M166" i="2"/>
  <c r="L166" i="2"/>
  <c r="K166" i="2"/>
  <c r="J166" i="2"/>
  <c r="BD166" i="2" s="1"/>
  <c r="I166" i="2"/>
  <c r="E166" i="2" a="1"/>
  <c r="E166" i="2" s="1"/>
  <c r="D166" i="2" a="1"/>
  <c r="D166" i="2" s="1"/>
  <c r="C166" i="2" a="1"/>
  <c r="C166" i="2" s="1"/>
  <c r="B166" i="2" a="1"/>
  <c r="B166" i="2" s="1"/>
  <c r="CG165" i="2"/>
  <c r="CF165" i="2"/>
  <c r="CE165" i="2"/>
  <c r="CD165" i="2"/>
  <c r="CC165" i="2"/>
  <c r="CB165" i="2"/>
  <c r="CA165" i="2"/>
  <c r="BZ165" i="2"/>
  <c r="BY165" i="2"/>
  <c r="BX165" i="2"/>
  <c r="BW165" i="2"/>
  <c r="BV165" i="2"/>
  <c r="BU165" i="2"/>
  <c r="BT165" i="2"/>
  <c r="BS165" i="2"/>
  <c r="BR165" i="2"/>
  <c r="BQ165" i="2"/>
  <c r="BP165" i="2"/>
  <c r="BO165" i="2"/>
  <c r="BN165" i="2"/>
  <c r="BM165" i="2"/>
  <c r="BL165" i="2"/>
  <c r="BK165" i="2"/>
  <c r="BJ165" i="2"/>
  <c r="BI165" i="2"/>
  <c r="BH165" i="2"/>
  <c r="BG165" i="2"/>
  <c r="BF165" i="2"/>
  <c r="BE165" i="2"/>
  <c r="BC165" i="2"/>
  <c r="BB165" i="2"/>
  <c r="BA165" i="2"/>
  <c r="AZ165" i="2"/>
  <c r="AY165" i="2"/>
  <c r="AX165" i="2"/>
  <c r="AW165" i="2"/>
  <c r="AV165" i="2"/>
  <c r="AU165" i="2"/>
  <c r="AT165" i="2"/>
  <c r="AS165" i="2"/>
  <c r="AR165" i="2"/>
  <c r="AQ165" i="2"/>
  <c r="AP165" i="2"/>
  <c r="AO165" i="2"/>
  <c r="AN165" i="2"/>
  <c r="AM165" i="2"/>
  <c r="AL165" i="2"/>
  <c r="AK165" i="2"/>
  <c r="AJ165" i="2"/>
  <c r="AI165" i="2"/>
  <c r="AH165" i="2"/>
  <c r="AG165" i="2"/>
  <c r="AF165" i="2"/>
  <c r="AE165" i="2"/>
  <c r="AD165" i="2"/>
  <c r="AC165" i="2"/>
  <c r="AB165" i="2"/>
  <c r="AA165" i="2"/>
  <c r="Z165" i="2"/>
  <c r="Y165" i="2"/>
  <c r="X165" i="2"/>
  <c r="W165" i="2"/>
  <c r="V165" i="2"/>
  <c r="U165" i="2"/>
  <c r="T165" i="2"/>
  <c r="S165" i="2"/>
  <c r="R165" i="2"/>
  <c r="Q165" i="2"/>
  <c r="P165" i="2"/>
  <c r="O165" i="2"/>
  <c r="N165" i="2"/>
  <c r="M165" i="2"/>
  <c r="L165" i="2"/>
  <c r="K165" i="2"/>
  <c r="J165" i="2"/>
  <c r="BD165" i="2" s="1"/>
  <c r="I165" i="2"/>
  <c r="E165" i="2" a="1"/>
  <c r="E165" i="2" s="1"/>
  <c r="D165" i="2" a="1"/>
  <c r="D165" i="2" s="1"/>
  <c r="C165" i="2" a="1"/>
  <c r="C165" i="2" s="1"/>
  <c r="B165" i="2" a="1"/>
  <c r="B165" i="2" s="1"/>
  <c r="CG164" i="2"/>
  <c r="CF164" i="2"/>
  <c r="CE164" i="2"/>
  <c r="CD164" i="2"/>
  <c r="CC164" i="2"/>
  <c r="CB164" i="2"/>
  <c r="CA164" i="2"/>
  <c r="BZ164" i="2"/>
  <c r="BY164" i="2"/>
  <c r="BX164" i="2"/>
  <c r="BW164" i="2"/>
  <c r="BV164" i="2"/>
  <c r="BU164" i="2"/>
  <c r="BT164" i="2"/>
  <c r="BS164" i="2"/>
  <c r="BR164" i="2"/>
  <c r="BQ164" i="2"/>
  <c r="BP164" i="2"/>
  <c r="BO164" i="2"/>
  <c r="BN164" i="2"/>
  <c r="BM164" i="2"/>
  <c r="BL164" i="2"/>
  <c r="BK164" i="2"/>
  <c r="BJ164" i="2"/>
  <c r="BI164" i="2"/>
  <c r="BH164" i="2"/>
  <c r="BG164" i="2"/>
  <c r="BF164" i="2"/>
  <c r="BE164" i="2"/>
  <c r="BD164" i="2"/>
  <c r="BC164" i="2"/>
  <c r="BB164" i="2"/>
  <c r="BA164" i="2"/>
  <c r="AZ164" i="2"/>
  <c r="AY164" i="2"/>
  <c r="AX164" i="2"/>
  <c r="AW164" i="2"/>
  <c r="AV164" i="2"/>
  <c r="AU164" i="2"/>
  <c r="AT164" i="2"/>
  <c r="AS164" i="2"/>
  <c r="AR164" i="2"/>
  <c r="AQ164" i="2"/>
  <c r="AP164" i="2"/>
  <c r="AO164" i="2"/>
  <c r="AN164" i="2"/>
  <c r="AM164" i="2"/>
  <c r="AL164" i="2"/>
  <c r="AK164" i="2"/>
  <c r="AJ164" i="2"/>
  <c r="AI164" i="2"/>
  <c r="AH164" i="2"/>
  <c r="AG164" i="2"/>
  <c r="AF164" i="2"/>
  <c r="AE164" i="2"/>
  <c r="AD164" i="2"/>
  <c r="AC164" i="2"/>
  <c r="AB164" i="2"/>
  <c r="AA164" i="2"/>
  <c r="Z164" i="2"/>
  <c r="Y164" i="2"/>
  <c r="X164" i="2"/>
  <c r="W164" i="2"/>
  <c r="V164" i="2"/>
  <c r="U164" i="2"/>
  <c r="T164" i="2"/>
  <c r="S164" i="2"/>
  <c r="R164" i="2"/>
  <c r="Q164" i="2"/>
  <c r="P164" i="2"/>
  <c r="O164" i="2"/>
  <c r="N164" i="2"/>
  <c r="M164" i="2"/>
  <c r="L164" i="2"/>
  <c r="K164" i="2"/>
  <c r="J164" i="2"/>
  <c r="I164" i="2"/>
  <c r="E164" i="2" a="1"/>
  <c r="E164" i="2" s="1"/>
  <c r="D164" i="2" a="1"/>
  <c r="D164" i="2" s="1"/>
  <c r="C164" i="2" a="1"/>
  <c r="C164" i="2" s="1"/>
  <c r="B164" i="2" a="1"/>
  <c r="B164" i="2" s="1"/>
  <c r="CG163" i="2"/>
  <c r="CF163" i="2"/>
  <c r="CE163" i="2"/>
  <c r="CD163" i="2"/>
  <c r="CC163" i="2"/>
  <c r="CB163" i="2"/>
  <c r="CA163" i="2"/>
  <c r="BZ163" i="2"/>
  <c r="BY163" i="2"/>
  <c r="BX163" i="2"/>
  <c r="BW163" i="2"/>
  <c r="BV163" i="2"/>
  <c r="BU163" i="2"/>
  <c r="BT163" i="2"/>
  <c r="BS163" i="2"/>
  <c r="BR163" i="2"/>
  <c r="BQ163" i="2"/>
  <c r="BP163" i="2"/>
  <c r="BO163" i="2"/>
  <c r="BN163" i="2"/>
  <c r="BM163" i="2"/>
  <c r="BL163" i="2"/>
  <c r="BK163" i="2"/>
  <c r="BJ163" i="2"/>
  <c r="BI163" i="2"/>
  <c r="BH163" i="2"/>
  <c r="BG163" i="2"/>
  <c r="BF163" i="2"/>
  <c r="BE163" i="2"/>
  <c r="BC163" i="2"/>
  <c r="BB163" i="2"/>
  <c r="BA163" i="2"/>
  <c r="AZ163" i="2"/>
  <c r="AY163" i="2"/>
  <c r="AX163" i="2"/>
  <c r="AW163" i="2"/>
  <c r="AV163" i="2"/>
  <c r="AU163" i="2"/>
  <c r="AT163" i="2"/>
  <c r="AS163" i="2"/>
  <c r="AR163" i="2"/>
  <c r="AQ163" i="2"/>
  <c r="AP163" i="2"/>
  <c r="AO163" i="2"/>
  <c r="AN163" i="2"/>
  <c r="AM163" i="2"/>
  <c r="AL163" i="2"/>
  <c r="AK163" i="2"/>
  <c r="AJ163" i="2"/>
  <c r="AI163" i="2"/>
  <c r="AH163" i="2"/>
  <c r="AG163" i="2"/>
  <c r="AF163" i="2"/>
  <c r="AE163" i="2"/>
  <c r="AD163" i="2"/>
  <c r="AC163" i="2"/>
  <c r="AB163" i="2"/>
  <c r="AA163" i="2"/>
  <c r="Z163" i="2"/>
  <c r="Y163" i="2"/>
  <c r="X163" i="2"/>
  <c r="W163" i="2"/>
  <c r="V163" i="2"/>
  <c r="U163" i="2"/>
  <c r="T163" i="2"/>
  <c r="S163" i="2"/>
  <c r="R163" i="2"/>
  <c r="Q163" i="2"/>
  <c r="P163" i="2"/>
  <c r="O163" i="2"/>
  <c r="N163" i="2"/>
  <c r="M163" i="2"/>
  <c r="L163" i="2"/>
  <c r="K163" i="2"/>
  <c r="J163" i="2"/>
  <c r="BD163" i="2" s="1"/>
  <c r="I163" i="2"/>
  <c r="E163" i="2" a="1"/>
  <c r="E163" i="2" s="1"/>
  <c r="D163" i="2" a="1"/>
  <c r="D163" i="2" s="1"/>
  <c r="C163" i="2" a="1"/>
  <c r="C163" i="2" s="1"/>
  <c r="B163" i="2" a="1"/>
  <c r="B163" i="2" s="1"/>
  <c r="CG162" i="2"/>
  <c r="CF162" i="2"/>
  <c r="CE162" i="2"/>
  <c r="CD162" i="2"/>
  <c r="CC162" i="2"/>
  <c r="CB162" i="2"/>
  <c r="CA162" i="2"/>
  <c r="BZ162" i="2"/>
  <c r="BY162" i="2"/>
  <c r="BX162" i="2"/>
  <c r="BW162" i="2"/>
  <c r="BV162" i="2"/>
  <c r="BU162" i="2"/>
  <c r="BT162" i="2"/>
  <c r="BS162" i="2"/>
  <c r="BR162" i="2"/>
  <c r="BQ162" i="2"/>
  <c r="BP162" i="2"/>
  <c r="BO162" i="2"/>
  <c r="BN162" i="2"/>
  <c r="BM162" i="2"/>
  <c r="BL162" i="2"/>
  <c r="BK162" i="2"/>
  <c r="BJ162" i="2"/>
  <c r="BI162" i="2"/>
  <c r="BH162" i="2"/>
  <c r="BG162" i="2"/>
  <c r="BF162" i="2"/>
  <c r="BE162" i="2"/>
  <c r="BC162" i="2"/>
  <c r="BB162" i="2"/>
  <c r="BA162" i="2"/>
  <c r="AZ162" i="2"/>
  <c r="AY162" i="2"/>
  <c r="AX162" i="2"/>
  <c r="AW162" i="2"/>
  <c r="AV162" i="2"/>
  <c r="AU162" i="2"/>
  <c r="AT162" i="2"/>
  <c r="AS162" i="2"/>
  <c r="AR162" i="2"/>
  <c r="AQ162" i="2"/>
  <c r="AP162" i="2"/>
  <c r="AO162" i="2"/>
  <c r="AN162" i="2"/>
  <c r="AM162" i="2"/>
  <c r="AL162" i="2"/>
  <c r="AK162" i="2"/>
  <c r="AJ162" i="2"/>
  <c r="AI162" i="2"/>
  <c r="AH162" i="2"/>
  <c r="AG162" i="2"/>
  <c r="AF162" i="2"/>
  <c r="AE162" i="2"/>
  <c r="AD162" i="2"/>
  <c r="AC162" i="2"/>
  <c r="AB162" i="2"/>
  <c r="AA162" i="2"/>
  <c r="Z162" i="2"/>
  <c r="Y162" i="2"/>
  <c r="X162" i="2"/>
  <c r="W162" i="2"/>
  <c r="V162" i="2"/>
  <c r="U162" i="2"/>
  <c r="T162" i="2"/>
  <c r="S162" i="2"/>
  <c r="R162" i="2"/>
  <c r="Q162" i="2"/>
  <c r="P162" i="2"/>
  <c r="O162" i="2"/>
  <c r="N162" i="2"/>
  <c r="M162" i="2"/>
  <c r="L162" i="2"/>
  <c r="K162" i="2"/>
  <c r="J162" i="2"/>
  <c r="BD162" i="2" s="1"/>
  <c r="I162" i="2"/>
  <c r="E162" i="2" a="1"/>
  <c r="E162" i="2" s="1"/>
  <c r="D162" i="2" a="1"/>
  <c r="D162" i="2" s="1"/>
  <c r="C162" i="2" a="1"/>
  <c r="C162" i="2" s="1"/>
  <c r="B162" i="2" a="1"/>
  <c r="B162" i="2" s="1"/>
  <c r="CG161" i="2"/>
  <c r="CF161" i="2"/>
  <c r="CE161" i="2"/>
  <c r="CD161" i="2"/>
  <c r="CC161" i="2"/>
  <c r="CB161" i="2"/>
  <c r="CA161" i="2"/>
  <c r="BZ161" i="2"/>
  <c r="BY161" i="2"/>
  <c r="BX161" i="2"/>
  <c r="BW161" i="2"/>
  <c r="BV161" i="2"/>
  <c r="BU161" i="2"/>
  <c r="BT161" i="2"/>
  <c r="BS161" i="2"/>
  <c r="BR161" i="2"/>
  <c r="BQ161" i="2"/>
  <c r="BP161" i="2"/>
  <c r="BO161" i="2"/>
  <c r="BN161" i="2"/>
  <c r="BM161" i="2"/>
  <c r="BL161" i="2"/>
  <c r="BK161" i="2"/>
  <c r="BJ161" i="2"/>
  <c r="BI161" i="2"/>
  <c r="BH161" i="2"/>
  <c r="BG161" i="2"/>
  <c r="BF161" i="2"/>
  <c r="BE161" i="2"/>
  <c r="BD161" i="2"/>
  <c r="BC161" i="2"/>
  <c r="BB161" i="2"/>
  <c r="BA161" i="2"/>
  <c r="AZ161" i="2"/>
  <c r="AY161" i="2"/>
  <c r="AX161" i="2"/>
  <c r="AW161" i="2"/>
  <c r="AV161" i="2"/>
  <c r="AU161" i="2"/>
  <c r="AT161" i="2"/>
  <c r="AS161" i="2"/>
  <c r="AR161" i="2"/>
  <c r="AQ161" i="2"/>
  <c r="AP161" i="2"/>
  <c r="AO161" i="2"/>
  <c r="AN161" i="2"/>
  <c r="AM161" i="2"/>
  <c r="AL161" i="2"/>
  <c r="AK161" i="2"/>
  <c r="AJ161" i="2"/>
  <c r="AI161" i="2"/>
  <c r="AH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E161" i="2" a="1"/>
  <c r="E161" i="2" s="1"/>
  <c r="D161" i="2" a="1"/>
  <c r="D161" i="2" s="1"/>
  <c r="C161" i="2" a="1"/>
  <c r="C161" i="2" s="1"/>
  <c r="B161" i="2" a="1"/>
  <c r="B161" i="2" s="1"/>
  <c r="CG160" i="2"/>
  <c r="CF160" i="2"/>
  <c r="CE160" i="2"/>
  <c r="CD160" i="2"/>
  <c r="CC160" i="2"/>
  <c r="CB160" i="2"/>
  <c r="CA160" i="2"/>
  <c r="BZ160" i="2"/>
  <c r="BY160" i="2"/>
  <c r="BX160" i="2"/>
  <c r="BW160" i="2"/>
  <c r="BV160" i="2"/>
  <c r="BU160" i="2"/>
  <c r="BT160" i="2"/>
  <c r="BS160" i="2"/>
  <c r="BR160" i="2"/>
  <c r="BQ160" i="2"/>
  <c r="BP160" i="2"/>
  <c r="BO160" i="2"/>
  <c r="BN160" i="2"/>
  <c r="BM160" i="2"/>
  <c r="BL160" i="2"/>
  <c r="BK160" i="2"/>
  <c r="BJ160" i="2"/>
  <c r="BI160" i="2"/>
  <c r="BH160" i="2"/>
  <c r="BG160" i="2"/>
  <c r="BF160" i="2"/>
  <c r="BE160" i="2"/>
  <c r="BD160" i="2"/>
  <c r="BC160" i="2"/>
  <c r="BB160" i="2"/>
  <c r="BA160" i="2"/>
  <c r="AZ160" i="2"/>
  <c r="AY160" i="2"/>
  <c r="AX160" i="2"/>
  <c r="AW160" i="2"/>
  <c r="AV160" i="2"/>
  <c r="AU160" i="2"/>
  <c r="AT160" i="2"/>
  <c r="AS160" i="2"/>
  <c r="AR160" i="2"/>
  <c r="AQ160" i="2"/>
  <c r="AP160" i="2"/>
  <c r="AO160" i="2"/>
  <c r="AN160" i="2"/>
  <c r="AM160" i="2"/>
  <c r="AL160" i="2"/>
  <c r="AK160" i="2"/>
  <c r="AJ160" i="2"/>
  <c r="AI160" i="2"/>
  <c r="AH160" i="2"/>
  <c r="AG160" i="2"/>
  <c r="AF160" i="2"/>
  <c r="AE160" i="2"/>
  <c r="AD160" i="2"/>
  <c r="AC160" i="2"/>
  <c r="AB160" i="2"/>
  <c r="AA160" i="2"/>
  <c r="Z160" i="2"/>
  <c r="Y160" i="2"/>
  <c r="X160" i="2"/>
  <c r="W160" i="2"/>
  <c r="V160" i="2"/>
  <c r="U160" i="2"/>
  <c r="T160" i="2"/>
  <c r="S160" i="2"/>
  <c r="R160" i="2"/>
  <c r="Q160" i="2"/>
  <c r="P160" i="2"/>
  <c r="O160" i="2"/>
  <c r="N160" i="2"/>
  <c r="M160" i="2"/>
  <c r="L160" i="2"/>
  <c r="K160" i="2"/>
  <c r="J160" i="2"/>
  <c r="I160" i="2"/>
  <c r="E160" i="2" a="1"/>
  <c r="E160" i="2" s="1"/>
  <c r="D160" i="2" a="1"/>
  <c r="D160" i="2" s="1"/>
  <c r="C160" i="2" a="1"/>
  <c r="C160" i="2" s="1"/>
  <c r="B160" i="2" a="1"/>
  <c r="B160" i="2" s="1"/>
  <c r="CG159" i="2"/>
  <c r="CF159" i="2"/>
  <c r="CE159" i="2"/>
  <c r="CD159" i="2"/>
  <c r="CC159" i="2"/>
  <c r="CB159" i="2"/>
  <c r="CA159" i="2"/>
  <c r="BZ159" i="2"/>
  <c r="BY159" i="2"/>
  <c r="BX159" i="2"/>
  <c r="BW159" i="2"/>
  <c r="BV159" i="2"/>
  <c r="BU159" i="2"/>
  <c r="BT159" i="2"/>
  <c r="BS159" i="2"/>
  <c r="BR159" i="2"/>
  <c r="BQ159" i="2"/>
  <c r="BP159" i="2"/>
  <c r="BO159" i="2"/>
  <c r="BN159" i="2"/>
  <c r="BM159" i="2"/>
  <c r="BL159" i="2"/>
  <c r="BK159" i="2"/>
  <c r="BJ159" i="2"/>
  <c r="BI159" i="2"/>
  <c r="BH159" i="2"/>
  <c r="BG159" i="2"/>
  <c r="BF159" i="2"/>
  <c r="BE159" i="2"/>
  <c r="BC159" i="2"/>
  <c r="BB159" i="2"/>
  <c r="BA159" i="2"/>
  <c r="AZ159" i="2"/>
  <c r="AY159" i="2"/>
  <c r="AX159" i="2"/>
  <c r="AW159" i="2"/>
  <c r="AV159" i="2"/>
  <c r="AU159" i="2"/>
  <c r="AT159" i="2"/>
  <c r="AS159" i="2"/>
  <c r="AR159" i="2"/>
  <c r="AQ159" i="2"/>
  <c r="AP159" i="2"/>
  <c r="AO159" i="2"/>
  <c r="AN159" i="2"/>
  <c r="AM159" i="2"/>
  <c r="AL159" i="2"/>
  <c r="AK159" i="2"/>
  <c r="AJ159" i="2"/>
  <c r="AI159" i="2"/>
  <c r="AH159" i="2"/>
  <c r="AG159" i="2"/>
  <c r="AF159" i="2"/>
  <c r="AE159" i="2"/>
  <c r="AD159" i="2"/>
  <c r="AC159" i="2"/>
  <c r="AB159" i="2"/>
  <c r="AA159" i="2"/>
  <c r="Z159" i="2"/>
  <c r="Y159" i="2"/>
  <c r="X159" i="2"/>
  <c r="W159" i="2"/>
  <c r="V159" i="2"/>
  <c r="U159" i="2"/>
  <c r="T159" i="2"/>
  <c r="S159" i="2"/>
  <c r="R159" i="2"/>
  <c r="Q159" i="2"/>
  <c r="P159" i="2"/>
  <c r="O159" i="2"/>
  <c r="N159" i="2"/>
  <c r="M159" i="2"/>
  <c r="L159" i="2"/>
  <c r="K159" i="2"/>
  <c r="J159" i="2"/>
  <c r="BD159" i="2" s="1"/>
  <c r="I159" i="2"/>
  <c r="E159" i="2" a="1"/>
  <c r="E159" i="2" s="1"/>
  <c r="D159" i="2" a="1"/>
  <c r="D159" i="2" s="1"/>
  <c r="C159" i="2" a="1"/>
  <c r="C159" i="2" s="1"/>
  <c r="B159" i="2" a="1"/>
  <c r="B159" i="2" s="1"/>
  <c r="CG158" i="2"/>
  <c r="CF158" i="2"/>
  <c r="CE158" i="2"/>
  <c r="CD158" i="2"/>
  <c r="CC158" i="2"/>
  <c r="CB158" i="2"/>
  <c r="CA158" i="2"/>
  <c r="BZ158" i="2"/>
  <c r="BY158" i="2"/>
  <c r="BX158" i="2"/>
  <c r="BW158" i="2"/>
  <c r="BV158" i="2"/>
  <c r="BU158" i="2"/>
  <c r="BT158" i="2"/>
  <c r="BS158" i="2"/>
  <c r="BR158" i="2"/>
  <c r="BQ158" i="2"/>
  <c r="BP158" i="2"/>
  <c r="BO158" i="2"/>
  <c r="BN158" i="2"/>
  <c r="BM158" i="2"/>
  <c r="BL158" i="2"/>
  <c r="BK158" i="2"/>
  <c r="BJ158" i="2"/>
  <c r="BI158" i="2"/>
  <c r="BH158" i="2"/>
  <c r="BG158" i="2"/>
  <c r="BF158" i="2"/>
  <c r="BE158" i="2"/>
  <c r="BC158" i="2"/>
  <c r="BB158" i="2"/>
  <c r="BA158" i="2"/>
  <c r="AZ158" i="2"/>
  <c r="AY158" i="2"/>
  <c r="AX158" i="2"/>
  <c r="AW158" i="2"/>
  <c r="AV158" i="2"/>
  <c r="AU158" i="2"/>
  <c r="AT158" i="2"/>
  <c r="AS158" i="2"/>
  <c r="AR158" i="2"/>
  <c r="AQ158" i="2"/>
  <c r="AP158" i="2"/>
  <c r="AO158" i="2"/>
  <c r="AN158" i="2"/>
  <c r="AM158" i="2"/>
  <c r="AL158" i="2"/>
  <c r="AK158" i="2"/>
  <c r="AJ158" i="2"/>
  <c r="AI158" i="2"/>
  <c r="AH158" i="2"/>
  <c r="AG158" i="2"/>
  <c r="AF158" i="2"/>
  <c r="AE158" i="2"/>
  <c r="AD158" i="2"/>
  <c r="AC158" i="2"/>
  <c r="AB158" i="2"/>
  <c r="AA158" i="2"/>
  <c r="Z158" i="2"/>
  <c r="Y158" i="2"/>
  <c r="X158" i="2"/>
  <c r="W158" i="2"/>
  <c r="V158" i="2"/>
  <c r="U158" i="2"/>
  <c r="T158" i="2"/>
  <c r="S158" i="2"/>
  <c r="R158" i="2"/>
  <c r="Q158" i="2"/>
  <c r="P158" i="2"/>
  <c r="O158" i="2"/>
  <c r="N158" i="2"/>
  <c r="M158" i="2"/>
  <c r="L158" i="2"/>
  <c r="K158" i="2"/>
  <c r="J158" i="2"/>
  <c r="BD158" i="2" s="1"/>
  <c r="I158" i="2"/>
  <c r="E158" i="2" a="1"/>
  <c r="E158" i="2" s="1"/>
  <c r="D158" i="2" a="1"/>
  <c r="D158" i="2" s="1"/>
  <c r="C158" i="2" a="1"/>
  <c r="C158" i="2" s="1"/>
  <c r="B158" i="2" a="1"/>
  <c r="B158" i="2" s="1"/>
  <c r="CG157" i="2"/>
  <c r="CF157" i="2"/>
  <c r="CE157" i="2"/>
  <c r="CD157" i="2"/>
  <c r="CC157" i="2"/>
  <c r="CB157" i="2"/>
  <c r="CA157" i="2"/>
  <c r="BZ157" i="2"/>
  <c r="BY157" i="2"/>
  <c r="BX157" i="2"/>
  <c r="BW157" i="2"/>
  <c r="BV157" i="2"/>
  <c r="BU157" i="2"/>
  <c r="BT157" i="2"/>
  <c r="BS157" i="2"/>
  <c r="BR157" i="2"/>
  <c r="BQ157" i="2"/>
  <c r="BP157" i="2"/>
  <c r="BO157" i="2"/>
  <c r="BN157" i="2"/>
  <c r="BM157" i="2"/>
  <c r="BL157" i="2"/>
  <c r="BK157" i="2"/>
  <c r="BJ157" i="2"/>
  <c r="BI157" i="2"/>
  <c r="BH157" i="2"/>
  <c r="BG157" i="2"/>
  <c r="BF157" i="2"/>
  <c r="BE157" i="2"/>
  <c r="BD157" i="2"/>
  <c r="BC157" i="2"/>
  <c r="BB157" i="2"/>
  <c r="BA157" i="2"/>
  <c r="AZ157" i="2"/>
  <c r="AY157" i="2"/>
  <c r="AX157" i="2"/>
  <c r="AW157" i="2"/>
  <c r="AV157" i="2"/>
  <c r="AU157" i="2"/>
  <c r="AT157" i="2"/>
  <c r="AS157" i="2"/>
  <c r="AR157" i="2"/>
  <c r="AQ157" i="2"/>
  <c r="AP157" i="2"/>
  <c r="AO157" i="2"/>
  <c r="AN157" i="2"/>
  <c r="AM157" i="2"/>
  <c r="AL157" i="2"/>
  <c r="AK157" i="2"/>
  <c r="AJ157" i="2"/>
  <c r="AI157" i="2"/>
  <c r="AH157" i="2"/>
  <c r="AG157" i="2"/>
  <c r="AF157" i="2"/>
  <c r="AE157" i="2"/>
  <c r="AD157" i="2"/>
  <c r="AC157" i="2"/>
  <c r="AB157" i="2"/>
  <c r="AA157" i="2"/>
  <c r="Z157" i="2"/>
  <c r="Y157" i="2"/>
  <c r="X157" i="2"/>
  <c r="W157" i="2"/>
  <c r="V157" i="2"/>
  <c r="U157" i="2"/>
  <c r="T157" i="2"/>
  <c r="S157" i="2"/>
  <c r="R157" i="2"/>
  <c r="Q157" i="2"/>
  <c r="P157" i="2"/>
  <c r="O157" i="2"/>
  <c r="N157" i="2"/>
  <c r="M157" i="2"/>
  <c r="L157" i="2"/>
  <c r="K157" i="2"/>
  <c r="J157" i="2"/>
  <c r="I157" i="2"/>
  <c r="E157" i="2" a="1"/>
  <c r="E157" i="2" s="1"/>
  <c r="D157" i="2" a="1"/>
  <c r="D157" i="2" s="1"/>
  <c r="C157" i="2" a="1"/>
  <c r="C157" i="2" s="1"/>
  <c r="B157" i="2" a="1"/>
  <c r="B157" i="2" s="1"/>
  <c r="CG156" i="2"/>
  <c r="CF156" i="2"/>
  <c r="CE156" i="2"/>
  <c r="CD156" i="2"/>
  <c r="CC156" i="2"/>
  <c r="CB156" i="2"/>
  <c r="CA156" i="2"/>
  <c r="BZ156" i="2"/>
  <c r="BY156" i="2"/>
  <c r="BX156" i="2"/>
  <c r="BW156" i="2"/>
  <c r="BV156" i="2"/>
  <c r="BU156" i="2"/>
  <c r="BT156" i="2"/>
  <c r="BS156" i="2"/>
  <c r="BR156" i="2"/>
  <c r="BQ156" i="2"/>
  <c r="BP156" i="2"/>
  <c r="BO156" i="2"/>
  <c r="BN156" i="2"/>
  <c r="BM156" i="2"/>
  <c r="BL156" i="2"/>
  <c r="BK156" i="2"/>
  <c r="BJ156" i="2"/>
  <c r="BI156" i="2"/>
  <c r="BH156" i="2"/>
  <c r="BG156" i="2"/>
  <c r="BF156" i="2"/>
  <c r="BE156" i="2"/>
  <c r="BD156" i="2"/>
  <c r="BC156" i="2"/>
  <c r="BB156" i="2"/>
  <c r="BA156" i="2"/>
  <c r="AZ156" i="2"/>
  <c r="AY156" i="2"/>
  <c r="AX156" i="2"/>
  <c r="AW156" i="2"/>
  <c r="AV156" i="2"/>
  <c r="AU156" i="2"/>
  <c r="AT156" i="2"/>
  <c r="AS156" i="2"/>
  <c r="AR156" i="2"/>
  <c r="AQ156" i="2"/>
  <c r="AP156" i="2"/>
  <c r="AO156" i="2"/>
  <c r="AN156" i="2"/>
  <c r="AM156" i="2"/>
  <c r="AL156" i="2"/>
  <c r="AK156" i="2"/>
  <c r="AJ156" i="2"/>
  <c r="AI156" i="2"/>
  <c r="AH156" i="2"/>
  <c r="AG156" i="2"/>
  <c r="AF156" i="2"/>
  <c r="AE156" i="2"/>
  <c r="AD156" i="2"/>
  <c r="AC156" i="2"/>
  <c r="AB156" i="2"/>
  <c r="AA156" i="2"/>
  <c r="Z156" i="2"/>
  <c r="Y156" i="2"/>
  <c r="X156" i="2"/>
  <c r="W156" i="2"/>
  <c r="V156" i="2"/>
  <c r="U156" i="2"/>
  <c r="T156" i="2"/>
  <c r="S156" i="2"/>
  <c r="R156" i="2"/>
  <c r="Q156" i="2"/>
  <c r="P156" i="2"/>
  <c r="O156" i="2"/>
  <c r="N156" i="2"/>
  <c r="M156" i="2"/>
  <c r="L156" i="2"/>
  <c r="K156" i="2"/>
  <c r="J156" i="2"/>
  <c r="I156" i="2"/>
  <c r="E156" i="2" a="1"/>
  <c r="E156" i="2" s="1"/>
  <c r="D156" i="2" a="1"/>
  <c r="D156" i="2" s="1"/>
  <c r="C156" i="2" a="1"/>
  <c r="C156" i="2" s="1"/>
  <c r="B156" i="2" a="1"/>
  <c r="B156" i="2" s="1"/>
  <c r="CG155" i="2"/>
  <c r="CF155" i="2"/>
  <c r="CE155" i="2"/>
  <c r="CD155" i="2"/>
  <c r="CC155" i="2"/>
  <c r="CB155" i="2"/>
  <c r="CA155" i="2"/>
  <c r="BZ155" i="2"/>
  <c r="BY155" i="2"/>
  <c r="BX155" i="2"/>
  <c r="BW155" i="2"/>
  <c r="BV155" i="2"/>
  <c r="BU155" i="2"/>
  <c r="BT155" i="2"/>
  <c r="BS155" i="2"/>
  <c r="BR155" i="2"/>
  <c r="BQ155" i="2"/>
  <c r="BP155" i="2"/>
  <c r="BO155" i="2"/>
  <c r="BN155" i="2"/>
  <c r="BM155" i="2"/>
  <c r="BL155" i="2"/>
  <c r="BK155" i="2"/>
  <c r="BJ155" i="2"/>
  <c r="BI155" i="2"/>
  <c r="BH155" i="2"/>
  <c r="BG155" i="2"/>
  <c r="BF155" i="2"/>
  <c r="BE155" i="2"/>
  <c r="BD155" i="2"/>
  <c r="BC155" i="2"/>
  <c r="BB155" i="2"/>
  <c r="BA155" i="2"/>
  <c r="AZ155" i="2"/>
  <c r="AY155" i="2"/>
  <c r="AX155" i="2"/>
  <c r="AW155" i="2"/>
  <c r="AV155" i="2"/>
  <c r="AU155" i="2"/>
  <c r="AT155" i="2"/>
  <c r="AS155" i="2"/>
  <c r="AR155" i="2"/>
  <c r="AQ155" i="2"/>
  <c r="AP155" i="2"/>
  <c r="AO155" i="2"/>
  <c r="AN155" i="2"/>
  <c r="AM155" i="2"/>
  <c r="AL155" i="2"/>
  <c r="AK155" i="2"/>
  <c r="AJ155" i="2"/>
  <c r="AI155" i="2"/>
  <c r="AH155" i="2"/>
  <c r="AG155" i="2"/>
  <c r="AF155" i="2"/>
  <c r="AE155" i="2"/>
  <c r="AD155" i="2"/>
  <c r="AC155" i="2"/>
  <c r="AB155" i="2"/>
  <c r="AA155" i="2"/>
  <c r="Z155" i="2"/>
  <c r="Y155" i="2"/>
  <c r="X155" i="2"/>
  <c r="W155" i="2"/>
  <c r="V155" i="2"/>
  <c r="U155" i="2"/>
  <c r="T155" i="2"/>
  <c r="S155" i="2"/>
  <c r="R155" i="2"/>
  <c r="Q155" i="2"/>
  <c r="P155" i="2"/>
  <c r="O155" i="2"/>
  <c r="N155" i="2"/>
  <c r="M155" i="2"/>
  <c r="L155" i="2"/>
  <c r="K155" i="2"/>
  <c r="J155" i="2"/>
  <c r="I155" i="2"/>
  <c r="E155" i="2" a="1"/>
  <c r="E155" i="2" s="1"/>
  <c r="D155" i="2" a="1"/>
  <c r="D155" i="2" s="1"/>
  <c r="C155" i="2" a="1"/>
  <c r="C155" i="2" s="1"/>
  <c r="B155" i="2" a="1"/>
  <c r="B155" i="2" s="1"/>
  <c r="CG154" i="2"/>
  <c r="CF154" i="2"/>
  <c r="CE154" i="2"/>
  <c r="CD154" i="2"/>
  <c r="CC154" i="2"/>
  <c r="CB154" i="2"/>
  <c r="CA154" i="2"/>
  <c r="BZ154" i="2"/>
  <c r="BY154" i="2"/>
  <c r="BX154" i="2"/>
  <c r="BW154" i="2"/>
  <c r="BV154" i="2"/>
  <c r="BU154" i="2"/>
  <c r="BT154" i="2"/>
  <c r="BS154" i="2"/>
  <c r="BR154" i="2"/>
  <c r="BQ154" i="2"/>
  <c r="BP154" i="2"/>
  <c r="BO154" i="2"/>
  <c r="BN154" i="2"/>
  <c r="BM154" i="2"/>
  <c r="BL154" i="2"/>
  <c r="BK154" i="2"/>
  <c r="BJ154" i="2"/>
  <c r="BI154" i="2"/>
  <c r="BH154" i="2"/>
  <c r="BG154" i="2"/>
  <c r="BF154" i="2"/>
  <c r="BE154" i="2"/>
  <c r="BC154" i="2"/>
  <c r="BB154" i="2"/>
  <c r="BA154" i="2"/>
  <c r="AZ154" i="2"/>
  <c r="AY154" i="2"/>
  <c r="AX154" i="2"/>
  <c r="AW154" i="2"/>
  <c r="AV154" i="2"/>
  <c r="AU154" i="2"/>
  <c r="AT154" i="2"/>
  <c r="AS154" i="2"/>
  <c r="AR154" i="2"/>
  <c r="AQ154" i="2"/>
  <c r="AP154" i="2"/>
  <c r="AO154" i="2"/>
  <c r="AN154" i="2"/>
  <c r="AM154" i="2"/>
  <c r="AL154" i="2"/>
  <c r="AK154" i="2"/>
  <c r="AJ154" i="2"/>
  <c r="AI154" i="2"/>
  <c r="AH154" i="2"/>
  <c r="AG154" i="2"/>
  <c r="AF154" i="2"/>
  <c r="AE154" i="2"/>
  <c r="AD154" i="2"/>
  <c r="AC154" i="2"/>
  <c r="AB154" i="2"/>
  <c r="AA154" i="2"/>
  <c r="Z154" i="2"/>
  <c r="Y154" i="2"/>
  <c r="X154" i="2"/>
  <c r="W154" i="2"/>
  <c r="V154" i="2"/>
  <c r="U154" i="2"/>
  <c r="T154" i="2"/>
  <c r="S154" i="2"/>
  <c r="R154" i="2"/>
  <c r="Q154" i="2"/>
  <c r="P154" i="2"/>
  <c r="O154" i="2"/>
  <c r="N154" i="2"/>
  <c r="M154" i="2"/>
  <c r="L154" i="2"/>
  <c r="K154" i="2"/>
  <c r="J154" i="2"/>
  <c r="BD154" i="2" s="1"/>
  <c r="I154" i="2"/>
  <c r="E154" i="2" a="1"/>
  <c r="E154" i="2" s="1"/>
  <c r="D154" i="2" a="1"/>
  <c r="D154" i="2" s="1"/>
  <c r="C154" i="2" a="1"/>
  <c r="C154" i="2" s="1"/>
  <c r="B154" i="2" a="1"/>
  <c r="B154" i="2" s="1"/>
  <c r="CG153" i="2"/>
  <c r="CF153" i="2"/>
  <c r="CE153" i="2"/>
  <c r="CD153" i="2"/>
  <c r="CC153" i="2"/>
  <c r="CB153" i="2"/>
  <c r="CA153" i="2"/>
  <c r="BZ153" i="2"/>
  <c r="BY153" i="2"/>
  <c r="BX153" i="2"/>
  <c r="BW153" i="2"/>
  <c r="BV153" i="2"/>
  <c r="BU153" i="2"/>
  <c r="BT153" i="2"/>
  <c r="BS153" i="2"/>
  <c r="BR153" i="2"/>
  <c r="BQ153" i="2"/>
  <c r="BP153" i="2"/>
  <c r="BO153" i="2"/>
  <c r="BN153" i="2"/>
  <c r="BM153" i="2"/>
  <c r="BL153" i="2"/>
  <c r="BK153" i="2"/>
  <c r="BJ153" i="2"/>
  <c r="BI153" i="2"/>
  <c r="BH153" i="2"/>
  <c r="BG153" i="2"/>
  <c r="BF153" i="2"/>
  <c r="BE153" i="2"/>
  <c r="BD153" i="2"/>
  <c r="BC153" i="2"/>
  <c r="BB153" i="2"/>
  <c r="BA153" i="2"/>
  <c r="AZ153" i="2"/>
  <c r="AY153" i="2"/>
  <c r="AX153" i="2"/>
  <c r="AW153" i="2"/>
  <c r="AV153" i="2"/>
  <c r="AU153" i="2"/>
  <c r="AT153" i="2"/>
  <c r="AS153" i="2"/>
  <c r="AR153" i="2"/>
  <c r="AQ153" i="2"/>
  <c r="AP153" i="2"/>
  <c r="AO153" i="2"/>
  <c r="AN153" i="2"/>
  <c r="AM153" i="2"/>
  <c r="AL153" i="2"/>
  <c r="AK153" i="2"/>
  <c r="AJ153" i="2"/>
  <c r="AI153" i="2"/>
  <c r="AH153" i="2"/>
  <c r="AG153" i="2"/>
  <c r="AF153" i="2"/>
  <c r="AE153" i="2"/>
  <c r="AD153" i="2"/>
  <c r="AC153" i="2"/>
  <c r="AB153" i="2"/>
  <c r="AA153" i="2"/>
  <c r="Z153" i="2"/>
  <c r="Y153" i="2"/>
  <c r="X153" i="2"/>
  <c r="W153" i="2"/>
  <c r="V153" i="2"/>
  <c r="U153" i="2"/>
  <c r="T153" i="2"/>
  <c r="S153" i="2"/>
  <c r="R153" i="2"/>
  <c r="Q153" i="2"/>
  <c r="P153" i="2"/>
  <c r="O153" i="2"/>
  <c r="N153" i="2"/>
  <c r="M153" i="2"/>
  <c r="L153" i="2"/>
  <c r="K153" i="2"/>
  <c r="J153" i="2"/>
  <c r="I153" i="2"/>
  <c r="E153" i="2" a="1"/>
  <c r="E153" i="2" s="1"/>
  <c r="D153" i="2" a="1"/>
  <c r="D153" i="2" s="1"/>
  <c r="C153" i="2" a="1"/>
  <c r="C153" i="2" s="1"/>
  <c r="B153" i="2" a="1"/>
  <c r="B153" i="2" s="1"/>
  <c r="CG152" i="2"/>
  <c r="CF152" i="2"/>
  <c r="CE152" i="2"/>
  <c r="CD152" i="2"/>
  <c r="CC152" i="2"/>
  <c r="CB152" i="2"/>
  <c r="CA152" i="2"/>
  <c r="BZ152" i="2"/>
  <c r="BY152" i="2"/>
  <c r="BX152" i="2"/>
  <c r="BW152" i="2"/>
  <c r="BV152" i="2"/>
  <c r="BU152" i="2"/>
  <c r="BT152" i="2"/>
  <c r="BS152" i="2"/>
  <c r="BR152" i="2"/>
  <c r="BQ152" i="2"/>
  <c r="BP152" i="2"/>
  <c r="BO152" i="2"/>
  <c r="BN152" i="2"/>
  <c r="BM152" i="2"/>
  <c r="BL152" i="2"/>
  <c r="BK152" i="2"/>
  <c r="BJ152" i="2"/>
  <c r="BI152" i="2"/>
  <c r="BH152" i="2"/>
  <c r="BG152" i="2"/>
  <c r="BF152" i="2"/>
  <c r="BE152" i="2"/>
  <c r="BD152" i="2"/>
  <c r="BC152" i="2"/>
  <c r="BB152" i="2"/>
  <c r="BA152" i="2"/>
  <c r="AZ152" i="2"/>
  <c r="AY152" i="2"/>
  <c r="AX152" i="2"/>
  <c r="AW152" i="2"/>
  <c r="AV152" i="2"/>
  <c r="AU152" i="2"/>
  <c r="AT152" i="2"/>
  <c r="AS152" i="2"/>
  <c r="AR152" i="2"/>
  <c r="AQ152" i="2"/>
  <c r="AP152" i="2"/>
  <c r="AO152" i="2"/>
  <c r="AN152" i="2"/>
  <c r="AM152" i="2"/>
  <c r="AL152" i="2"/>
  <c r="AK152" i="2"/>
  <c r="AJ152" i="2"/>
  <c r="AI152" i="2"/>
  <c r="AH152" i="2"/>
  <c r="AG152" i="2"/>
  <c r="AF152" i="2"/>
  <c r="AE152" i="2"/>
  <c r="AD152" i="2"/>
  <c r="AC152" i="2"/>
  <c r="AB152" i="2"/>
  <c r="AA152" i="2"/>
  <c r="Z152" i="2"/>
  <c r="Y152" i="2"/>
  <c r="X152" i="2"/>
  <c r="W152" i="2"/>
  <c r="V152" i="2"/>
  <c r="U152" i="2"/>
  <c r="T152" i="2"/>
  <c r="S152" i="2"/>
  <c r="R152" i="2"/>
  <c r="Q152" i="2"/>
  <c r="P152" i="2"/>
  <c r="O152" i="2"/>
  <c r="N152" i="2"/>
  <c r="M152" i="2"/>
  <c r="L152" i="2"/>
  <c r="K152" i="2"/>
  <c r="J152" i="2"/>
  <c r="I152" i="2"/>
  <c r="E152" i="2" a="1"/>
  <c r="E152" i="2" s="1"/>
  <c r="D152" i="2" a="1"/>
  <c r="D152" i="2" s="1"/>
  <c r="C152" i="2" a="1"/>
  <c r="C152" i="2" s="1"/>
  <c r="B152" i="2" a="1"/>
  <c r="B152" i="2" s="1"/>
  <c r="CG151" i="2"/>
  <c r="CF151" i="2"/>
  <c r="CE151" i="2"/>
  <c r="CD151" i="2"/>
  <c r="CC151" i="2"/>
  <c r="CB151" i="2"/>
  <c r="CA151" i="2"/>
  <c r="BZ151" i="2"/>
  <c r="BY151" i="2"/>
  <c r="BX151" i="2"/>
  <c r="BW151" i="2"/>
  <c r="BV151" i="2"/>
  <c r="BU151" i="2"/>
  <c r="BT151" i="2"/>
  <c r="BS151" i="2"/>
  <c r="BR151" i="2"/>
  <c r="BQ151" i="2"/>
  <c r="BP151" i="2"/>
  <c r="BO151" i="2"/>
  <c r="BN151" i="2"/>
  <c r="BM151" i="2"/>
  <c r="BL151" i="2"/>
  <c r="BK151" i="2"/>
  <c r="BJ151" i="2"/>
  <c r="BI151" i="2"/>
  <c r="BH151" i="2"/>
  <c r="BG151" i="2"/>
  <c r="BF151" i="2"/>
  <c r="BE151" i="2"/>
  <c r="BD151" i="2"/>
  <c r="BC151" i="2"/>
  <c r="BB151" i="2"/>
  <c r="BA151" i="2"/>
  <c r="AZ151" i="2"/>
  <c r="AY151" i="2"/>
  <c r="AX151" i="2"/>
  <c r="AW151" i="2"/>
  <c r="AV151" i="2"/>
  <c r="AU151" i="2"/>
  <c r="AT151" i="2"/>
  <c r="AS151" i="2"/>
  <c r="AR151" i="2"/>
  <c r="AQ151" i="2"/>
  <c r="AP151" i="2"/>
  <c r="AO151" i="2"/>
  <c r="AN151" i="2"/>
  <c r="AM151" i="2"/>
  <c r="AL151" i="2"/>
  <c r="AK151" i="2"/>
  <c r="AJ151" i="2"/>
  <c r="AI151" i="2"/>
  <c r="AH151" i="2"/>
  <c r="AG151" i="2"/>
  <c r="AF151" i="2"/>
  <c r="AE151" i="2"/>
  <c r="AD151" i="2"/>
  <c r="AC151" i="2"/>
  <c r="AB151" i="2"/>
  <c r="AA151" i="2"/>
  <c r="Z151" i="2"/>
  <c r="Y151" i="2"/>
  <c r="X151" i="2"/>
  <c r="W151" i="2"/>
  <c r="V151" i="2"/>
  <c r="U151" i="2"/>
  <c r="T151" i="2"/>
  <c r="S151" i="2"/>
  <c r="R151" i="2"/>
  <c r="Q151" i="2"/>
  <c r="P151" i="2"/>
  <c r="O151" i="2"/>
  <c r="N151" i="2"/>
  <c r="M151" i="2"/>
  <c r="L151" i="2"/>
  <c r="K151" i="2"/>
  <c r="J151" i="2"/>
  <c r="I151" i="2"/>
  <c r="E151" i="2" a="1"/>
  <c r="E151" i="2" s="1"/>
  <c r="D151" i="2" a="1"/>
  <c r="D151" i="2" s="1"/>
  <c r="C151" i="2" a="1"/>
  <c r="C151" i="2" s="1"/>
  <c r="B151" i="2" a="1"/>
  <c r="B151" i="2" s="1"/>
  <c r="CG150" i="2"/>
  <c r="CF150" i="2"/>
  <c r="CE150" i="2"/>
  <c r="CD150" i="2"/>
  <c r="CC150" i="2"/>
  <c r="CB150" i="2"/>
  <c r="CA150" i="2"/>
  <c r="BZ150" i="2"/>
  <c r="BY150" i="2"/>
  <c r="BX150" i="2"/>
  <c r="BW150" i="2"/>
  <c r="BV150" i="2"/>
  <c r="BU150" i="2"/>
  <c r="BT150" i="2"/>
  <c r="BS150" i="2"/>
  <c r="BR150" i="2"/>
  <c r="BQ150" i="2"/>
  <c r="BP150" i="2"/>
  <c r="BO150" i="2"/>
  <c r="BN150" i="2"/>
  <c r="BM150" i="2"/>
  <c r="BL150" i="2"/>
  <c r="BK150" i="2"/>
  <c r="BJ150" i="2"/>
  <c r="BI150" i="2"/>
  <c r="BH150" i="2"/>
  <c r="BG150" i="2"/>
  <c r="BF150" i="2"/>
  <c r="BE150" i="2"/>
  <c r="BC150" i="2"/>
  <c r="BB150" i="2"/>
  <c r="BA150" i="2"/>
  <c r="AZ150" i="2"/>
  <c r="AY150" i="2"/>
  <c r="AX150" i="2"/>
  <c r="AW150" i="2"/>
  <c r="AV150" i="2"/>
  <c r="AU150" i="2"/>
  <c r="AT150" i="2"/>
  <c r="AS150" i="2"/>
  <c r="AR150" i="2"/>
  <c r="AQ150" i="2"/>
  <c r="AP150" i="2"/>
  <c r="AO150" i="2"/>
  <c r="AN150" i="2"/>
  <c r="AM150" i="2"/>
  <c r="AL150" i="2"/>
  <c r="AK150" i="2"/>
  <c r="AJ150" i="2"/>
  <c r="AI150" i="2"/>
  <c r="AH150" i="2"/>
  <c r="AG150" i="2"/>
  <c r="AF150" i="2"/>
  <c r="AE150" i="2"/>
  <c r="AD150" i="2"/>
  <c r="AC150" i="2"/>
  <c r="AB150" i="2"/>
  <c r="AA150" i="2"/>
  <c r="Z150" i="2"/>
  <c r="Y150" i="2"/>
  <c r="X150" i="2"/>
  <c r="W150" i="2"/>
  <c r="V150" i="2"/>
  <c r="U150" i="2"/>
  <c r="T150" i="2"/>
  <c r="S150" i="2"/>
  <c r="R150" i="2"/>
  <c r="Q150" i="2"/>
  <c r="P150" i="2"/>
  <c r="O150" i="2"/>
  <c r="N150" i="2"/>
  <c r="M150" i="2"/>
  <c r="L150" i="2"/>
  <c r="K150" i="2"/>
  <c r="J150" i="2"/>
  <c r="BD150" i="2" s="1"/>
  <c r="I150" i="2"/>
  <c r="E150" i="2" a="1"/>
  <c r="E150" i="2" s="1"/>
  <c r="D150" i="2" a="1"/>
  <c r="D150" i="2" s="1"/>
  <c r="C150" i="2" a="1"/>
  <c r="C150" i="2" s="1"/>
  <c r="B150" i="2" a="1"/>
  <c r="B150" i="2" s="1"/>
  <c r="CG149" i="2"/>
  <c r="CF149" i="2"/>
  <c r="CE149" i="2"/>
  <c r="CD149" i="2"/>
  <c r="CC149" i="2"/>
  <c r="CB149" i="2"/>
  <c r="CA149" i="2"/>
  <c r="BZ149" i="2"/>
  <c r="BY149" i="2"/>
  <c r="BX149" i="2"/>
  <c r="BW149" i="2"/>
  <c r="BV149" i="2"/>
  <c r="BU149" i="2"/>
  <c r="BT149" i="2"/>
  <c r="BS149" i="2"/>
  <c r="BR149" i="2"/>
  <c r="BQ149" i="2"/>
  <c r="BP149" i="2"/>
  <c r="BO149" i="2"/>
  <c r="BN149" i="2"/>
  <c r="BM149" i="2"/>
  <c r="BL149" i="2"/>
  <c r="BK149" i="2"/>
  <c r="BJ149" i="2"/>
  <c r="BI149" i="2"/>
  <c r="BH149" i="2"/>
  <c r="BG149" i="2"/>
  <c r="BF149" i="2"/>
  <c r="BE149" i="2"/>
  <c r="BC149" i="2"/>
  <c r="BB149" i="2"/>
  <c r="BA149" i="2"/>
  <c r="AZ149" i="2"/>
  <c r="AY149" i="2"/>
  <c r="AX149" i="2"/>
  <c r="AW149" i="2"/>
  <c r="AV149" i="2"/>
  <c r="AU149" i="2"/>
  <c r="AT149" i="2"/>
  <c r="AS149" i="2"/>
  <c r="AR149" i="2"/>
  <c r="AQ149" i="2"/>
  <c r="AP149" i="2"/>
  <c r="AO149" i="2"/>
  <c r="AN149" i="2"/>
  <c r="AM149" i="2"/>
  <c r="AL149" i="2"/>
  <c r="AK149" i="2"/>
  <c r="AJ149" i="2"/>
  <c r="AI149" i="2"/>
  <c r="AH149" i="2"/>
  <c r="AG149" i="2"/>
  <c r="AF149" i="2"/>
  <c r="AE149" i="2"/>
  <c r="AD149" i="2"/>
  <c r="AC149" i="2"/>
  <c r="AB149" i="2"/>
  <c r="AA149" i="2"/>
  <c r="Z149" i="2"/>
  <c r="Y149" i="2"/>
  <c r="X149" i="2"/>
  <c r="W149" i="2"/>
  <c r="V149" i="2"/>
  <c r="U149" i="2"/>
  <c r="T149" i="2"/>
  <c r="S149" i="2"/>
  <c r="R149" i="2"/>
  <c r="Q149" i="2"/>
  <c r="P149" i="2"/>
  <c r="O149" i="2"/>
  <c r="N149" i="2"/>
  <c r="M149" i="2"/>
  <c r="L149" i="2"/>
  <c r="K149" i="2"/>
  <c r="J149" i="2"/>
  <c r="BD149" i="2" s="1"/>
  <c r="I149" i="2"/>
  <c r="E149" i="2" a="1"/>
  <c r="E149" i="2" s="1"/>
  <c r="D149" i="2" a="1"/>
  <c r="D149" i="2" s="1"/>
  <c r="C149" i="2" a="1"/>
  <c r="C149" i="2" s="1"/>
  <c r="B149" i="2" a="1"/>
  <c r="B149" i="2" s="1"/>
  <c r="CG148" i="2"/>
  <c r="CF148" i="2"/>
  <c r="CE148" i="2"/>
  <c r="CD148" i="2"/>
  <c r="CC148" i="2"/>
  <c r="CB148" i="2"/>
  <c r="CA148" i="2"/>
  <c r="BZ148" i="2"/>
  <c r="BY148" i="2"/>
  <c r="BX148" i="2"/>
  <c r="BW148" i="2"/>
  <c r="BV148" i="2"/>
  <c r="BU148" i="2"/>
  <c r="BT148" i="2"/>
  <c r="BS148" i="2"/>
  <c r="BR148" i="2"/>
  <c r="BQ148" i="2"/>
  <c r="BP148" i="2"/>
  <c r="BO148" i="2"/>
  <c r="BN148" i="2"/>
  <c r="BM148" i="2"/>
  <c r="BL148" i="2"/>
  <c r="BK148" i="2"/>
  <c r="BJ148" i="2"/>
  <c r="BI148" i="2"/>
  <c r="BH148" i="2"/>
  <c r="BG148" i="2"/>
  <c r="BF148" i="2"/>
  <c r="BE148" i="2"/>
  <c r="BD148" i="2"/>
  <c r="BC148" i="2"/>
  <c r="BB148" i="2"/>
  <c r="BA148" i="2"/>
  <c r="AZ148" i="2"/>
  <c r="AY148" i="2"/>
  <c r="AX148" i="2"/>
  <c r="AW148" i="2"/>
  <c r="AV148" i="2"/>
  <c r="AU148" i="2"/>
  <c r="AT148" i="2"/>
  <c r="AS148" i="2"/>
  <c r="AR148" i="2"/>
  <c r="AQ148" i="2"/>
  <c r="AP148" i="2"/>
  <c r="AO148" i="2"/>
  <c r="AN148" i="2"/>
  <c r="AM148" i="2"/>
  <c r="AL148" i="2"/>
  <c r="AK148" i="2"/>
  <c r="AJ148" i="2"/>
  <c r="AI148" i="2"/>
  <c r="AH148" i="2"/>
  <c r="AG148" i="2"/>
  <c r="AF148" i="2"/>
  <c r="AE148" i="2"/>
  <c r="AD148" i="2"/>
  <c r="AC148" i="2"/>
  <c r="AB148" i="2"/>
  <c r="AA148" i="2"/>
  <c r="Z148" i="2"/>
  <c r="Y148" i="2"/>
  <c r="X148" i="2"/>
  <c r="W148" i="2"/>
  <c r="V148" i="2"/>
  <c r="U148" i="2"/>
  <c r="T148" i="2"/>
  <c r="S148" i="2"/>
  <c r="R148" i="2"/>
  <c r="Q148" i="2"/>
  <c r="P148" i="2"/>
  <c r="O148" i="2"/>
  <c r="N148" i="2"/>
  <c r="M148" i="2"/>
  <c r="L148" i="2"/>
  <c r="K148" i="2"/>
  <c r="J148" i="2"/>
  <c r="I148" i="2"/>
  <c r="E148" i="2" a="1"/>
  <c r="E148" i="2" s="1"/>
  <c r="D148" i="2" a="1"/>
  <c r="D148" i="2" s="1"/>
  <c r="C148" i="2" a="1"/>
  <c r="C148" i="2" s="1"/>
  <c r="B148" i="2" a="1"/>
  <c r="B148" i="2" s="1"/>
  <c r="CG147" i="2"/>
  <c r="CF147" i="2"/>
  <c r="CE147" i="2"/>
  <c r="CD147" i="2"/>
  <c r="CC147" i="2"/>
  <c r="CB147" i="2"/>
  <c r="CA147" i="2"/>
  <c r="BZ147" i="2"/>
  <c r="BY147" i="2"/>
  <c r="BX147" i="2"/>
  <c r="BW147" i="2"/>
  <c r="BV147" i="2"/>
  <c r="BU147" i="2"/>
  <c r="BT147" i="2"/>
  <c r="BS147" i="2"/>
  <c r="BR147" i="2"/>
  <c r="BQ147" i="2"/>
  <c r="BP147" i="2"/>
  <c r="BO147" i="2"/>
  <c r="BN147" i="2"/>
  <c r="BM147" i="2"/>
  <c r="BL147" i="2"/>
  <c r="BK147" i="2"/>
  <c r="BJ147" i="2"/>
  <c r="BI147" i="2"/>
  <c r="BH147" i="2"/>
  <c r="BG147" i="2"/>
  <c r="BF147" i="2"/>
  <c r="BE147" i="2"/>
  <c r="BC147" i="2"/>
  <c r="BB147" i="2"/>
  <c r="BA147" i="2"/>
  <c r="AZ147" i="2"/>
  <c r="AY147" i="2"/>
  <c r="AX147" i="2"/>
  <c r="AW147" i="2"/>
  <c r="AV147" i="2"/>
  <c r="AU147" i="2"/>
  <c r="AT147" i="2"/>
  <c r="AS147" i="2"/>
  <c r="AR147" i="2"/>
  <c r="AQ147" i="2"/>
  <c r="AP147" i="2"/>
  <c r="AO147" i="2"/>
  <c r="AN147" i="2"/>
  <c r="AM147" i="2"/>
  <c r="AL147" i="2"/>
  <c r="AK147" i="2"/>
  <c r="AJ147" i="2"/>
  <c r="AI147" i="2"/>
  <c r="AH147" i="2"/>
  <c r="AG147" i="2"/>
  <c r="AF147" i="2"/>
  <c r="AE147" i="2"/>
  <c r="AD147" i="2"/>
  <c r="AC147" i="2"/>
  <c r="AB147" i="2"/>
  <c r="AA147" i="2"/>
  <c r="Z147" i="2"/>
  <c r="Y147" i="2"/>
  <c r="X147" i="2"/>
  <c r="W147" i="2"/>
  <c r="V147" i="2"/>
  <c r="U147" i="2"/>
  <c r="T147" i="2"/>
  <c r="S147" i="2"/>
  <c r="R147" i="2"/>
  <c r="Q147" i="2"/>
  <c r="P147" i="2"/>
  <c r="O147" i="2"/>
  <c r="N147" i="2"/>
  <c r="M147" i="2"/>
  <c r="L147" i="2"/>
  <c r="K147" i="2"/>
  <c r="J147" i="2"/>
  <c r="BD147" i="2" s="1"/>
  <c r="I147" i="2"/>
  <c r="E147" i="2" a="1"/>
  <c r="E147" i="2" s="1"/>
  <c r="D147" i="2" a="1"/>
  <c r="D147" i="2" s="1"/>
  <c r="C147" i="2" a="1"/>
  <c r="C147" i="2" s="1"/>
  <c r="B147" i="2" a="1"/>
  <c r="B147" i="2" s="1"/>
  <c r="CG146" i="2"/>
  <c r="CF146" i="2"/>
  <c r="CE146" i="2"/>
  <c r="CD146" i="2"/>
  <c r="CC146" i="2"/>
  <c r="CB146" i="2"/>
  <c r="CA146" i="2"/>
  <c r="BZ146" i="2"/>
  <c r="BY146" i="2"/>
  <c r="BX146" i="2"/>
  <c r="BW146" i="2"/>
  <c r="BV146" i="2"/>
  <c r="BU146" i="2"/>
  <c r="BT146" i="2"/>
  <c r="BS146" i="2"/>
  <c r="BR146" i="2"/>
  <c r="BQ146" i="2"/>
  <c r="BP146" i="2"/>
  <c r="BO146" i="2"/>
  <c r="BN146" i="2"/>
  <c r="BM146" i="2"/>
  <c r="BL146" i="2"/>
  <c r="BK146" i="2"/>
  <c r="BJ146" i="2"/>
  <c r="BI146" i="2"/>
  <c r="BH146" i="2"/>
  <c r="BG146" i="2"/>
  <c r="BF146" i="2"/>
  <c r="BE146" i="2"/>
  <c r="BC146" i="2"/>
  <c r="BB146" i="2"/>
  <c r="BA146" i="2"/>
  <c r="AZ146" i="2"/>
  <c r="AY146" i="2"/>
  <c r="AX146" i="2"/>
  <c r="AW146" i="2"/>
  <c r="AV146" i="2"/>
  <c r="AU146" i="2"/>
  <c r="AT146" i="2"/>
  <c r="AS146" i="2"/>
  <c r="AR146" i="2"/>
  <c r="AQ146" i="2"/>
  <c r="AP146" i="2"/>
  <c r="AO146" i="2"/>
  <c r="AN146" i="2"/>
  <c r="AM146" i="2"/>
  <c r="AL146" i="2"/>
  <c r="AK146" i="2"/>
  <c r="AJ146" i="2"/>
  <c r="AI146" i="2"/>
  <c r="AH146" i="2"/>
  <c r="AG146" i="2"/>
  <c r="AF146" i="2"/>
  <c r="AE146" i="2"/>
  <c r="AD146" i="2"/>
  <c r="AC146" i="2"/>
  <c r="AB146" i="2"/>
  <c r="AA146" i="2"/>
  <c r="Z146" i="2"/>
  <c r="Y146" i="2"/>
  <c r="X146" i="2"/>
  <c r="W146" i="2"/>
  <c r="V146" i="2"/>
  <c r="U146" i="2"/>
  <c r="T146" i="2"/>
  <c r="S146" i="2"/>
  <c r="R146" i="2"/>
  <c r="Q146" i="2"/>
  <c r="P146" i="2"/>
  <c r="O146" i="2"/>
  <c r="N146" i="2"/>
  <c r="M146" i="2"/>
  <c r="L146" i="2"/>
  <c r="K146" i="2"/>
  <c r="J146" i="2"/>
  <c r="BD146" i="2" s="1"/>
  <c r="I146" i="2"/>
  <c r="E146" i="2" a="1"/>
  <c r="E146" i="2" s="1"/>
  <c r="D146" i="2" a="1"/>
  <c r="D146" i="2" s="1"/>
  <c r="C146" i="2" a="1"/>
  <c r="C146" i="2" s="1"/>
  <c r="B146" i="2" a="1"/>
  <c r="B146" i="2" s="1"/>
  <c r="CG145" i="2"/>
  <c r="CF145" i="2"/>
  <c r="CE145" i="2"/>
  <c r="CD145" i="2"/>
  <c r="CC145" i="2"/>
  <c r="CB145" i="2"/>
  <c r="CA145" i="2"/>
  <c r="BZ145" i="2"/>
  <c r="BY145" i="2"/>
  <c r="BX145" i="2"/>
  <c r="BW145" i="2"/>
  <c r="BV145" i="2"/>
  <c r="BU145" i="2"/>
  <c r="BT145" i="2"/>
  <c r="BS145" i="2"/>
  <c r="BR145" i="2"/>
  <c r="BQ145" i="2"/>
  <c r="BP145" i="2"/>
  <c r="BO145" i="2"/>
  <c r="BN145" i="2"/>
  <c r="BM145" i="2"/>
  <c r="BL145" i="2"/>
  <c r="BK145" i="2"/>
  <c r="BJ145" i="2"/>
  <c r="BI145" i="2"/>
  <c r="BH145" i="2"/>
  <c r="BG145" i="2"/>
  <c r="BF145" i="2"/>
  <c r="BE145" i="2"/>
  <c r="BC145" i="2"/>
  <c r="BB145" i="2"/>
  <c r="BA145" i="2"/>
  <c r="AZ145" i="2"/>
  <c r="AY145" i="2"/>
  <c r="AX145" i="2"/>
  <c r="AW145" i="2"/>
  <c r="AV145" i="2"/>
  <c r="AU145" i="2"/>
  <c r="AT145" i="2"/>
  <c r="AS145" i="2"/>
  <c r="AR145" i="2"/>
  <c r="AQ145" i="2"/>
  <c r="AP145" i="2"/>
  <c r="AO145" i="2"/>
  <c r="AN145" i="2"/>
  <c r="AM145" i="2"/>
  <c r="AL145" i="2"/>
  <c r="AK145" i="2"/>
  <c r="AJ145" i="2"/>
  <c r="AI145" i="2"/>
  <c r="AH145" i="2"/>
  <c r="AG145" i="2"/>
  <c r="AF145" i="2"/>
  <c r="AE145" i="2"/>
  <c r="AD145" i="2"/>
  <c r="AC145" i="2"/>
  <c r="AB145" i="2"/>
  <c r="AA145" i="2"/>
  <c r="Z145" i="2"/>
  <c r="Y145" i="2"/>
  <c r="X145" i="2"/>
  <c r="W145" i="2"/>
  <c r="V145" i="2"/>
  <c r="U145" i="2"/>
  <c r="T145" i="2"/>
  <c r="S145" i="2"/>
  <c r="R145" i="2"/>
  <c r="Q145" i="2"/>
  <c r="P145" i="2"/>
  <c r="O145" i="2"/>
  <c r="N145" i="2"/>
  <c r="M145" i="2"/>
  <c r="L145" i="2"/>
  <c r="K145" i="2"/>
  <c r="J145" i="2"/>
  <c r="BD145" i="2" s="1"/>
  <c r="I145" i="2"/>
  <c r="E145" i="2" a="1"/>
  <c r="E145" i="2" s="1"/>
  <c r="D145" i="2" a="1"/>
  <c r="D145" i="2" s="1"/>
  <c r="C145" i="2" a="1"/>
  <c r="C145" i="2" s="1"/>
  <c r="B145" i="2" a="1"/>
  <c r="B145" i="2" s="1"/>
  <c r="CG144" i="2"/>
  <c r="CF144" i="2"/>
  <c r="CE144" i="2"/>
  <c r="CD144" i="2"/>
  <c r="CC144" i="2"/>
  <c r="CB144" i="2"/>
  <c r="CA144" i="2"/>
  <c r="BZ144" i="2"/>
  <c r="BY144" i="2"/>
  <c r="BX144" i="2"/>
  <c r="BW144" i="2"/>
  <c r="BV144" i="2"/>
  <c r="BU144" i="2"/>
  <c r="BT144" i="2"/>
  <c r="BS144" i="2"/>
  <c r="BR144" i="2"/>
  <c r="BQ144" i="2"/>
  <c r="BP144" i="2"/>
  <c r="BO144" i="2"/>
  <c r="BN144" i="2"/>
  <c r="BM144" i="2"/>
  <c r="BL144" i="2"/>
  <c r="BK144" i="2"/>
  <c r="BJ144" i="2"/>
  <c r="BI144" i="2"/>
  <c r="BH144" i="2"/>
  <c r="BG144" i="2"/>
  <c r="BF144" i="2"/>
  <c r="BE144" i="2"/>
  <c r="BD144" i="2"/>
  <c r="BC144" i="2"/>
  <c r="BB144" i="2"/>
  <c r="BA144" i="2"/>
  <c r="AZ144" i="2"/>
  <c r="AY144" i="2"/>
  <c r="AX144" i="2"/>
  <c r="AW144" i="2"/>
  <c r="AV144" i="2"/>
  <c r="AU144" i="2"/>
  <c r="AT144" i="2"/>
  <c r="AS144" i="2"/>
  <c r="AR144" i="2"/>
  <c r="AQ144" i="2"/>
  <c r="AP144" i="2"/>
  <c r="AO144" i="2"/>
  <c r="AN144" i="2"/>
  <c r="AM144" i="2"/>
  <c r="AL144" i="2"/>
  <c r="AK144" i="2"/>
  <c r="AJ144" i="2"/>
  <c r="AI144" i="2"/>
  <c r="AH144" i="2"/>
  <c r="AG144" i="2"/>
  <c r="AF144" i="2"/>
  <c r="AE144" i="2"/>
  <c r="AD144" i="2"/>
  <c r="AC144" i="2"/>
  <c r="AB144" i="2"/>
  <c r="AA144" i="2"/>
  <c r="Z144" i="2"/>
  <c r="Y144" i="2"/>
  <c r="X144" i="2"/>
  <c r="W144" i="2"/>
  <c r="V144" i="2"/>
  <c r="U144" i="2"/>
  <c r="T144" i="2"/>
  <c r="S144" i="2"/>
  <c r="R144" i="2"/>
  <c r="Q144" i="2"/>
  <c r="P144" i="2"/>
  <c r="O144" i="2"/>
  <c r="N144" i="2"/>
  <c r="M144" i="2"/>
  <c r="L144" i="2"/>
  <c r="K144" i="2"/>
  <c r="J144" i="2"/>
  <c r="I144" i="2"/>
  <c r="E144" i="2" a="1"/>
  <c r="E144" i="2" s="1"/>
  <c r="D144" i="2" a="1"/>
  <c r="D144" i="2" s="1"/>
  <c r="C144" i="2" a="1"/>
  <c r="C144" i="2" s="1"/>
  <c r="B144" i="2" a="1"/>
  <c r="B144" i="2" s="1"/>
  <c r="CG143" i="2"/>
  <c r="CF143" i="2"/>
  <c r="CE143" i="2"/>
  <c r="CD143" i="2"/>
  <c r="CC143" i="2"/>
  <c r="CB143" i="2"/>
  <c r="CA143" i="2"/>
  <c r="BZ143" i="2"/>
  <c r="BY143" i="2"/>
  <c r="BX143" i="2"/>
  <c r="BW143" i="2"/>
  <c r="BV143" i="2"/>
  <c r="BU143" i="2"/>
  <c r="BT143" i="2"/>
  <c r="BS143" i="2"/>
  <c r="BR143" i="2"/>
  <c r="BQ143" i="2"/>
  <c r="BP143" i="2"/>
  <c r="BO143" i="2"/>
  <c r="BN143" i="2"/>
  <c r="BM143" i="2"/>
  <c r="BL143" i="2"/>
  <c r="BK143" i="2"/>
  <c r="BJ143" i="2"/>
  <c r="BI143" i="2"/>
  <c r="BH143" i="2"/>
  <c r="BG143" i="2"/>
  <c r="BF143" i="2"/>
  <c r="BE143" i="2"/>
  <c r="BD143" i="2"/>
  <c r="BC143" i="2"/>
  <c r="BB143" i="2"/>
  <c r="BA143" i="2"/>
  <c r="AZ143" i="2"/>
  <c r="AY143" i="2"/>
  <c r="AX143" i="2"/>
  <c r="AW143" i="2"/>
  <c r="AV143" i="2"/>
  <c r="AU143" i="2"/>
  <c r="AT143" i="2"/>
  <c r="AS143" i="2"/>
  <c r="AR143" i="2"/>
  <c r="AQ143" i="2"/>
  <c r="AP143" i="2"/>
  <c r="AO143" i="2"/>
  <c r="AN143" i="2"/>
  <c r="AM143" i="2"/>
  <c r="AL143" i="2"/>
  <c r="AK143" i="2"/>
  <c r="AJ143" i="2"/>
  <c r="AI143" i="2"/>
  <c r="AH143" i="2"/>
  <c r="AG143" i="2"/>
  <c r="AF143" i="2"/>
  <c r="AE143" i="2"/>
  <c r="AD143" i="2"/>
  <c r="AC143" i="2"/>
  <c r="AB143" i="2"/>
  <c r="AA143" i="2"/>
  <c r="Z143" i="2"/>
  <c r="Y143" i="2"/>
  <c r="X143" i="2"/>
  <c r="W143" i="2"/>
  <c r="V143" i="2"/>
  <c r="U143" i="2"/>
  <c r="T143" i="2"/>
  <c r="S143" i="2"/>
  <c r="R143" i="2"/>
  <c r="Q143" i="2"/>
  <c r="P143" i="2"/>
  <c r="O143" i="2"/>
  <c r="N143" i="2"/>
  <c r="M143" i="2"/>
  <c r="L143" i="2"/>
  <c r="K143" i="2"/>
  <c r="J143" i="2"/>
  <c r="I143" i="2"/>
  <c r="E143" i="2" a="1"/>
  <c r="E143" i="2" s="1"/>
  <c r="D143" i="2" a="1"/>
  <c r="D143" i="2" s="1"/>
  <c r="C143" i="2" a="1"/>
  <c r="C143" i="2" s="1"/>
  <c r="B143" i="2" a="1"/>
  <c r="B143" i="2" s="1"/>
  <c r="CG142" i="2"/>
  <c r="CF142" i="2"/>
  <c r="CE142" i="2"/>
  <c r="CD142" i="2"/>
  <c r="CC142" i="2"/>
  <c r="CB142" i="2"/>
  <c r="CA142" i="2"/>
  <c r="BZ142" i="2"/>
  <c r="BY142" i="2"/>
  <c r="BX142" i="2"/>
  <c r="BW142" i="2"/>
  <c r="BV142" i="2"/>
  <c r="BU142" i="2"/>
  <c r="BT142" i="2"/>
  <c r="BS142" i="2"/>
  <c r="BR142" i="2"/>
  <c r="BQ142" i="2"/>
  <c r="BP142" i="2"/>
  <c r="BO142" i="2"/>
  <c r="BN142" i="2"/>
  <c r="BM142" i="2"/>
  <c r="BL142" i="2"/>
  <c r="BK142" i="2"/>
  <c r="BJ142" i="2"/>
  <c r="BI142" i="2"/>
  <c r="BH142" i="2"/>
  <c r="BG142" i="2"/>
  <c r="BF142" i="2"/>
  <c r="BE142" i="2"/>
  <c r="BC142" i="2"/>
  <c r="BB142" i="2"/>
  <c r="BA142" i="2"/>
  <c r="AZ142" i="2"/>
  <c r="AY142" i="2"/>
  <c r="AX142" i="2"/>
  <c r="AW142" i="2"/>
  <c r="AV142" i="2"/>
  <c r="AU142" i="2"/>
  <c r="AT142" i="2"/>
  <c r="AS142" i="2"/>
  <c r="AR142" i="2"/>
  <c r="AQ142" i="2"/>
  <c r="AP142" i="2"/>
  <c r="AO142" i="2"/>
  <c r="AN142" i="2"/>
  <c r="AM142" i="2"/>
  <c r="AL142" i="2"/>
  <c r="AK142" i="2"/>
  <c r="AJ142" i="2"/>
  <c r="AI142" i="2"/>
  <c r="AH142" i="2"/>
  <c r="AG142" i="2"/>
  <c r="AF142" i="2"/>
  <c r="AE142" i="2"/>
  <c r="AD142" i="2"/>
  <c r="AC142" i="2"/>
  <c r="AB142" i="2"/>
  <c r="AA142" i="2"/>
  <c r="Z142" i="2"/>
  <c r="Y142" i="2"/>
  <c r="X142" i="2"/>
  <c r="W142" i="2"/>
  <c r="V142" i="2"/>
  <c r="U142" i="2"/>
  <c r="T142" i="2"/>
  <c r="S142" i="2"/>
  <c r="R142" i="2"/>
  <c r="Q142" i="2"/>
  <c r="P142" i="2"/>
  <c r="O142" i="2"/>
  <c r="N142" i="2"/>
  <c r="M142" i="2"/>
  <c r="L142" i="2"/>
  <c r="K142" i="2"/>
  <c r="J142" i="2"/>
  <c r="BD142" i="2" s="1"/>
  <c r="I142" i="2"/>
  <c r="E142" i="2" a="1"/>
  <c r="E142" i="2" s="1"/>
  <c r="D142" i="2" a="1"/>
  <c r="D142" i="2" s="1"/>
  <c r="C142" i="2" a="1"/>
  <c r="C142" i="2" s="1"/>
  <c r="B142" i="2" a="1"/>
  <c r="B142" i="2" s="1"/>
  <c r="CG141" i="2"/>
  <c r="CF141" i="2"/>
  <c r="CE141" i="2"/>
  <c r="CD141" i="2"/>
  <c r="CC141" i="2"/>
  <c r="CB141" i="2"/>
  <c r="CA141" i="2"/>
  <c r="BZ141" i="2"/>
  <c r="BY141" i="2"/>
  <c r="BX141" i="2"/>
  <c r="BW141" i="2"/>
  <c r="BV141" i="2"/>
  <c r="BU141" i="2"/>
  <c r="BT141" i="2"/>
  <c r="BS141" i="2"/>
  <c r="BR141" i="2"/>
  <c r="BQ141" i="2"/>
  <c r="BP141" i="2"/>
  <c r="BO141" i="2"/>
  <c r="BN141" i="2"/>
  <c r="BM141" i="2"/>
  <c r="BL141" i="2"/>
  <c r="BK141" i="2"/>
  <c r="BJ141" i="2"/>
  <c r="BI141" i="2"/>
  <c r="BH141" i="2"/>
  <c r="BG141" i="2"/>
  <c r="BF141" i="2"/>
  <c r="BE141" i="2"/>
  <c r="BD141" i="2"/>
  <c r="BC141" i="2"/>
  <c r="BB141" i="2"/>
  <c r="BA141" i="2"/>
  <c r="AZ141" i="2"/>
  <c r="AY141" i="2"/>
  <c r="AX141" i="2"/>
  <c r="AW141" i="2"/>
  <c r="AV141" i="2"/>
  <c r="AU141" i="2"/>
  <c r="AT141" i="2"/>
  <c r="AS141" i="2"/>
  <c r="AR141" i="2"/>
  <c r="AQ141" i="2"/>
  <c r="AP141" i="2"/>
  <c r="AO141" i="2"/>
  <c r="AN141" i="2"/>
  <c r="AM141" i="2"/>
  <c r="AL141" i="2"/>
  <c r="AK141" i="2"/>
  <c r="AJ141" i="2"/>
  <c r="AI141" i="2"/>
  <c r="AH141" i="2"/>
  <c r="AG141" i="2"/>
  <c r="AF141" i="2"/>
  <c r="AE141" i="2"/>
  <c r="AD141" i="2"/>
  <c r="AC141" i="2"/>
  <c r="AB141" i="2"/>
  <c r="AA141" i="2"/>
  <c r="Z141" i="2"/>
  <c r="Y141" i="2"/>
  <c r="X141" i="2"/>
  <c r="W141" i="2"/>
  <c r="V141" i="2"/>
  <c r="U141" i="2"/>
  <c r="T141" i="2"/>
  <c r="S141" i="2"/>
  <c r="R141" i="2"/>
  <c r="Q141" i="2"/>
  <c r="P141" i="2"/>
  <c r="O141" i="2"/>
  <c r="N141" i="2"/>
  <c r="M141" i="2"/>
  <c r="L141" i="2"/>
  <c r="K141" i="2"/>
  <c r="J141" i="2"/>
  <c r="I141" i="2"/>
  <c r="E141" i="2" a="1"/>
  <c r="E141" i="2" s="1"/>
  <c r="D141" i="2" a="1"/>
  <c r="D141" i="2" s="1"/>
  <c r="C141" i="2" a="1"/>
  <c r="C141" i="2" s="1"/>
  <c r="B141" i="2" a="1"/>
  <c r="B141" i="2" s="1"/>
  <c r="CG140" i="2"/>
  <c r="CF140" i="2"/>
  <c r="CE140" i="2"/>
  <c r="CD140" i="2"/>
  <c r="CC140" i="2"/>
  <c r="CB140" i="2"/>
  <c r="CA140" i="2"/>
  <c r="BZ140" i="2"/>
  <c r="BY140" i="2"/>
  <c r="BX140" i="2"/>
  <c r="BW140" i="2"/>
  <c r="BV140" i="2"/>
  <c r="BU140" i="2"/>
  <c r="BT140" i="2"/>
  <c r="BS140" i="2"/>
  <c r="BR140" i="2"/>
  <c r="BQ140" i="2"/>
  <c r="BP140" i="2"/>
  <c r="BO140" i="2"/>
  <c r="BN140" i="2"/>
  <c r="BM140" i="2"/>
  <c r="BL140" i="2"/>
  <c r="BK140" i="2"/>
  <c r="BJ140" i="2"/>
  <c r="BI140" i="2"/>
  <c r="BH140" i="2"/>
  <c r="BG140" i="2"/>
  <c r="BF140" i="2"/>
  <c r="BE140" i="2"/>
  <c r="BD140" i="2"/>
  <c r="BC140" i="2"/>
  <c r="BB140" i="2"/>
  <c r="BA140" i="2"/>
  <c r="AZ140" i="2"/>
  <c r="AY140" i="2"/>
  <c r="AX140" i="2"/>
  <c r="AW140" i="2"/>
  <c r="AV140" i="2"/>
  <c r="AU140" i="2"/>
  <c r="AT140" i="2"/>
  <c r="AS140" i="2"/>
  <c r="AR140" i="2"/>
  <c r="AQ140" i="2"/>
  <c r="AP140" i="2"/>
  <c r="AO140" i="2"/>
  <c r="AN140" i="2"/>
  <c r="AM140" i="2"/>
  <c r="AL140" i="2"/>
  <c r="AK140" i="2"/>
  <c r="AJ140" i="2"/>
  <c r="AI140" i="2"/>
  <c r="AH140" i="2"/>
  <c r="AG140" i="2"/>
  <c r="AF140" i="2"/>
  <c r="AE140" i="2"/>
  <c r="AD140" i="2"/>
  <c r="AC140" i="2"/>
  <c r="AB140" i="2"/>
  <c r="AA140" i="2"/>
  <c r="Z140" i="2"/>
  <c r="Y140" i="2"/>
  <c r="X140" i="2"/>
  <c r="W140" i="2"/>
  <c r="V140" i="2"/>
  <c r="U140" i="2"/>
  <c r="T140" i="2"/>
  <c r="S140" i="2"/>
  <c r="R140" i="2"/>
  <c r="Q140" i="2"/>
  <c r="P140" i="2"/>
  <c r="O140" i="2"/>
  <c r="N140" i="2"/>
  <c r="M140" i="2"/>
  <c r="L140" i="2"/>
  <c r="K140" i="2"/>
  <c r="J140" i="2"/>
  <c r="I140" i="2"/>
  <c r="E140" i="2" a="1"/>
  <c r="E140" i="2" s="1"/>
  <c r="D140" i="2" a="1"/>
  <c r="D140" i="2" s="1"/>
  <c r="C140" i="2" a="1"/>
  <c r="C140" i="2" s="1"/>
  <c r="B140" i="2" a="1"/>
  <c r="B140" i="2" s="1"/>
  <c r="CG139" i="2"/>
  <c r="CF139" i="2"/>
  <c r="CE139" i="2"/>
  <c r="CD139" i="2"/>
  <c r="CC139" i="2"/>
  <c r="CB139" i="2"/>
  <c r="CA139" i="2"/>
  <c r="BZ139" i="2"/>
  <c r="BY139" i="2"/>
  <c r="BX139" i="2"/>
  <c r="BW139" i="2"/>
  <c r="BV139" i="2"/>
  <c r="BU139" i="2"/>
  <c r="BT139" i="2"/>
  <c r="BS139" i="2"/>
  <c r="BR139" i="2"/>
  <c r="BQ139" i="2"/>
  <c r="BP139" i="2"/>
  <c r="BO139" i="2"/>
  <c r="BN139" i="2"/>
  <c r="BM139" i="2"/>
  <c r="BL139" i="2"/>
  <c r="BK139" i="2"/>
  <c r="BJ139" i="2"/>
  <c r="BI139" i="2"/>
  <c r="BH139" i="2"/>
  <c r="BG139" i="2"/>
  <c r="BF139" i="2"/>
  <c r="BE139" i="2"/>
  <c r="BD139" i="2"/>
  <c r="BC139" i="2"/>
  <c r="BB139" i="2"/>
  <c r="BA139" i="2"/>
  <c r="AZ139" i="2"/>
  <c r="AY139" i="2"/>
  <c r="AX139" i="2"/>
  <c r="AW139" i="2"/>
  <c r="AV139" i="2"/>
  <c r="AU139" i="2"/>
  <c r="AT139" i="2"/>
  <c r="AS139" i="2"/>
  <c r="AR139" i="2"/>
  <c r="AQ139" i="2"/>
  <c r="AP139" i="2"/>
  <c r="AO139" i="2"/>
  <c r="AN139" i="2"/>
  <c r="AM139" i="2"/>
  <c r="AL139" i="2"/>
  <c r="AK139" i="2"/>
  <c r="AJ139" i="2"/>
  <c r="AI139" i="2"/>
  <c r="AH139" i="2"/>
  <c r="AG139" i="2"/>
  <c r="AF139" i="2"/>
  <c r="AE139" i="2"/>
  <c r="AD139" i="2"/>
  <c r="AC139" i="2"/>
  <c r="AB139" i="2"/>
  <c r="AA139" i="2"/>
  <c r="Z139" i="2"/>
  <c r="Y139" i="2"/>
  <c r="X139" i="2"/>
  <c r="W139" i="2"/>
  <c r="V139" i="2"/>
  <c r="U139" i="2"/>
  <c r="T139" i="2"/>
  <c r="S139" i="2"/>
  <c r="R139" i="2"/>
  <c r="Q139" i="2"/>
  <c r="P139" i="2"/>
  <c r="O139" i="2"/>
  <c r="N139" i="2"/>
  <c r="M139" i="2"/>
  <c r="L139" i="2"/>
  <c r="K139" i="2"/>
  <c r="J139" i="2"/>
  <c r="I139" i="2"/>
  <c r="E139" i="2" a="1"/>
  <c r="E139" i="2" s="1"/>
  <c r="D139" i="2" a="1"/>
  <c r="D139" i="2" s="1"/>
  <c r="C139" i="2" a="1"/>
  <c r="C139" i="2" s="1"/>
  <c r="B139" i="2" a="1"/>
  <c r="B139" i="2" s="1"/>
  <c r="CG138" i="2"/>
  <c r="CF138" i="2"/>
  <c r="CE138" i="2"/>
  <c r="CD138" i="2"/>
  <c r="CC138" i="2"/>
  <c r="CB138" i="2"/>
  <c r="CA138" i="2"/>
  <c r="BZ138" i="2"/>
  <c r="BY138" i="2"/>
  <c r="BX138" i="2"/>
  <c r="BW138" i="2"/>
  <c r="BV138" i="2"/>
  <c r="BU138" i="2"/>
  <c r="BT138" i="2"/>
  <c r="BS138" i="2"/>
  <c r="BR138" i="2"/>
  <c r="BQ138" i="2"/>
  <c r="BP138" i="2"/>
  <c r="BO138" i="2"/>
  <c r="BN138" i="2"/>
  <c r="BM138" i="2"/>
  <c r="BL138" i="2"/>
  <c r="BK138" i="2"/>
  <c r="BJ138" i="2"/>
  <c r="BI138" i="2"/>
  <c r="BH138" i="2"/>
  <c r="BG138" i="2"/>
  <c r="BF138" i="2"/>
  <c r="BE138" i="2"/>
  <c r="BC138" i="2"/>
  <c r="BB138" i="2"/>
  <c r="BA138" i="2"/>
  <c r="AZ138" i="2"/>
  <c r="AY138" i="2"/>
  <c r="AX138" i="2"/>
  <c r="AW138" i="2"/>
  <c r="AV138" i="2"/>
  <c r="AU138" i="2"/>
  <c r="AT138" i="2"/>
  <c r="AS138" i="2"/>
  <c r="AR138" i="2"/>
  <c r="AQ138" i="2"/>
  <c r="AP138" i="2"/>
  <c r="AO138" i="2"/>
  <c r="AN138" i="2"/>
  <c r="AM138" i="2"/>
  <c r="AL138" i="2"/>
  <c r="AK138" i="2"/>
  <c r="AJ138" i="2"/>
  <c r="AI138" i="2"/>
  <c r="AH138" i="2"/>
  <c r="AG138" i="2"/>
  <c r="AF138" i="2"/>
  <c r="AE138" i="2"/>
  <c r="AD138" i="2"/>
  <c r="AC138" i="2"/>
  <c r="AB138" i="2"/>
  <c r="AA138" i="2"/>
  <c r="Z138" i="2"/>
  <c r="Y138" i="2"/>
  <c r="X138" i="2"/>
  <c r="W138" i="2"/>
  <c r="V138" i="2"/>
  <c r="U138" i="2"/>
  <c r="T138" i="2"/>
  <c r="S138" i="2"/>
  <c r="R138" i="2"/>
  <c r="Q138" i="2"/>
  <c r="P138" i="2"/>
  <c r="O138" i="2"/>
  <c r="N138" i="2"/>
  <c r="M138" i="2"/>
  <c r="L138" i="2"/>
  <c r="K138" i="2"/>
  <c r="J138" i="2"/>
  <c r="BD138" i="2" s="1"/>
  <c r="I138" i="2"/>
  <c r="E138" i="2" a="1"/>
  <c r="E138" i="2" s="1"/>
  <c r="D138" i="2" a="1"/>
  <c r="D138" i="2" s="1"/>
  <c r="C138" i="2" a="1"/>
  <c r="C138" i="2" s="1"/>
  <c r="B138" i="2" a="1"/>
  <c r="B138" i="2" s="1"/>
  <c r="CG137" i="2"/>
  <c r="CF137" i="2"/>
  <c r="CE137" i="2"/>
  <c r="CD137" i="2"/>
  <c r="CC137" i="2"/>
  <c r="CB137" i="2"/>
  <c r="CA137" i="2"/>
  <c r="BZ137" i="2"/>
  <c r="BY137" i="2"/>
  <c r="BX137" i="2"/>
  <c r="BW137" i="2"/>
  <c r="BV137" i="2"/>
  <c r="BU137" i="2"/>
  <c r="BT137" i="2"/>
  <c r="BS137" i="2"/>
  <c r="BR137" i="2"/>
  <c r="BQ137" i="2"/>
  <c r="BP137" i="2"/>
  <c r="BO137" i="2"/>
  <c r="BN137" i="2"/>
  <c r="BM137" i="2"/>
  <c r="BL137" i="2"/>
  <c r="BK137" i="2"/>
  <c r="BJ137" i="2"/>
  <c r="BI137" i="2"/>
  <c r="BH137" i="2"/>
  <c r="BG137" i="2"/>
  <c r="BF137" i="2"/>
  <c r="BE137" i="2"/>
  <c r="BC137" i="2"/>
  <c r="BB137" i="2"/>
  <c r="BA137" i="2"/>
  <c r="AZ137" i="2"/>
  <c r="AY137" i="2"/>
  <c r="AX137" i="2"/>
  <c r="AW137" i="2"/>
  <c r="AV137" i="2"/>
  <c r="AU137" i="2"/>
  <c r="AT137" i="2"/>
  <c r="AS137" i="2"/>
  <c r="AR137" i="2"/>
  <c r="AQ137" i="2"/>
  <c r="AP137" i="2"/>
  <c r="AO137" i="2"/>
  <c r="AN137" i="2"/>
  <c r="AM137" i="2"/>
  <c r="AL137" i="2"/>
  <c r="AK137" i="2"/>
  <c r="AJ137" i="2"/>
  <c r="AI137" i="2"/>
  <c r="AH137" i="2"/>
  <c r="AG137" i="2"/>
  <c r="AF137" i="2"/>
  <c r="AE137" i="2"/>
  <c r="AD137" i="2"/>
  <c r="AC137" i="2"/>
  <c r="AB137" i="2"/>
  <c r="AA137" i="2"/>
  <c r="Z137" i="2"/>
  <c r="Y137" i="2"/>
  <c r="X137" i="2"/>
  <c r="W137" i="2"/>
  <c r="V137" i="2"/>
  <c r="U137" i="2"/>
  <c r="T137" i="2"/>
  <c r="S137" i="2"/>
  <c r="R137" i="2"/>
  <c r="Q137" i="2"/>
  <c r="P137" i="2"/>
  <c r="O137" i="2"/>
  <c r="N137" i="2"/>
  <c r="M137" i="2"/>
  <c r="L137" i="2"/>
  <c r="K137" i="2"/>
  <c r="J137" i="2"/>
  <c r="BD137" i="2" s="1"/>
  <c r="I137" i="2"/>
  <c r="E137" i="2" a="1"/>
  <c r="E137" i="2" s="1"/>
  <c r="D137" i="2" a="1"/>
  <c r="D137" i="2" s="1"/>
  <c r="C137" i="2" a="1"/>
  <c r="C137" i="2" s="1"/>
  <c r="B137" i="2" a="1"/>
  <c r="B137" i="2" s="1"/>
  <c r="CG136" i="2"/>
  <c r="CF136" i="2"/>
  <c r="CE136" i="2"/>
  <c r="CD136" i="2"/>
  <c r="CC136" i="2"/>
  <c r="CB136" i="2"/>
  <c r="CA136" i="2"/>
  <c r="BZ136" i="2"/>
  <c r="BY136" i="2"/>
  <c r="BX136" i="2"/>
  <c r="BW136" i="2"/>
  <c r="BV136" i="2"/>
  <c r="BU136" i="2"/>
  <c r="BT136" i="2"/>
  <c r="BS136" i="2"/>
  <c r="BR136" i="2"/>
  <c r="BQ136" i="2"/>
  <c r="BP136" i="2"/>
  <c r="BO136" i="2"/>
  <c r="BN136" i="2"/>
  <c r="BM136" i="2"/>
  <c r="BL136" i="2"/>
  <c r="BK136" i="2"/>
  <c r="BJ136" i="2"/>
  <c r="BI136" i="2"/>
  <c r="BH136" i="2"/>
  <c r="BG136" i="2"/>
  <c r="BF136" i="2"/>
  <c r="BE136" i="2"/>
  <c r="BD136" i="2"/>
  <c r="BC136" i="2"/>
  <c r="BB136" i="2"/>
  <c r="BA136" i="2"/>
  <c r="AZ136" i="2"/>
  <c r="AY136" i="2"/>
  <c r="AX136" i="2"/>
  <c r="AW136" i="2"/>
  <c r="AV136" i="2"/>
  <c r="AU136" i="2"/>
  <c r="AT136" i="2"/>
  <c r="AS136" i="2"/>
  <c r="AR136" i="2"/>
  <c r="AQ136" i="2"/>
  <c r="AP136" i="2"/>
  <c r="AO136" i="2"/>
  <c r="AN136" i="2"/>
  <c r="AM136" i="2"/>
  <c r="AL136" i="2"/>
  <c r="AK136" i="2"/>
  <c r="AJ136" i="2"/>
  <c r="AI136" i="2"/>
  <c r="AH136" i="2"/>
  <c r="AG136" i="2"/>
  <c r="AF136" i="2"/>
  <c r="AE136" i="2"/>
  <c r="AD136" i="2"/>
  <c r="AC136" i="2"/>
  <c r="AB136" i="2"/>
  <c r="AA136" i="2"/>
  <c r="Z136" i="2"/>
  <c r="Y136" i="2"/>
  <c r="X136" i="2"/>
  <c r="W136" i="2"/>
  <c r="V136" i="2"/>
  <c r="U136" i="2"/>
  <c r="T136" i="2"/>
  <c r="S136" i="2"/>
  <c r="R136" i="2"/>
  <c r="Q136" i="2"/>
  <c r="P136" i="2"/>
  <c r="O136" i="2"/>
  <c r="N136" i="2"/>
  <c r="M136" i="2"/>
  <c r="L136" i="2"/>
  <c r="K136" i="2"/>
  <c r="J136" i="2"/>
  <c r="I136" i="2"/>
  <c r="E136" i="2" a="1"/>
  <c r="E136" i="2" s="1"/>
  <c r="D136" i="2" a="1"/>
  <c r="D136" i="2"/>
  <c r="C136" i="2" a="1"/>
  <c r="C136" i="2" s="1"/>
  <c r="B136" i="2" a="1"/>
  <c r="B136" i="2" s="1"/>
  <c r="CG135" i="2"/>
  <c r="CF135" i="2"/>
  <c r="CE135" i="2"/>
  <c r="CD135" i="2"/>
  <c r="CC135" i="2"/>
  <c r="CB135" i="2"/>
  <c r="CA135" i="2"/>
  <c r="BZ135" i="2"/>
  <c r="BY135" i="2"/>
  <c r="BX135" i="2"/>
  <c r="BW135" i="2"/>
  <c r="BV135" i="2"/>
  <c r="BU135" i="2"/>
  <c r="BT135" i="2"/>
  <c r="BS135" i="2"/>
  <c r="BR135" i="2"/>
  <c r="BQ135" i="2"/>
  <c r="BP135" i="2"/>
  <c r="BO135" i="2"/>
  <c r="BN135" i="2"/>
  <c r="BM135" i="2"/>
  <c r="BL135" i="2"/>
  <c r="BK135" i="2"/>
  <c r="BJ135" i="2"/>
  <c r="BI135" i="2"/>
  <c r="BH135" i="2"/>
  <c r="BG135" i="2"/>
  <c r="BF135" i="2"/>
  <c r="BE135" i="2"/>
  <c r="BC135" i="2"/>
  <c r="BB135" i="2"/>
  <c r="BA135" i="2"/>
  <c r="AZ135" i="2"/>
  <c r="AY135" i="2"/>
  <c r="AX135" i="2"/>
  <c r="AW135" i="2"/>
  <c r="AV135" i="2"/>
  <c r="AU135" i="2"/>
  <c r="AT135" i="2"/>
  <c r="AS135" i="2"/>
  <c r="AR135" i="2"/>
  <c r="AQ135" i="2"/>
  <c r="AP135" i="2"/>
  <c r="AO135" i="2"/>
  <c r="AN135" i="2"/>
  <c r="AM135" i="2"/>
  <c r="AL135" i="2"/>
  <c r="AK135" i="2"/>
  <c r="AJ135" i="2"/>
  <c r="AI135" i="2"/>
  <c r="AH135" i="2"/>
  <c r="AG135" i="2"/>
  <c r="AF135" i="2"/>
  <c r="AE135" i="2"/>
  <c r="AD135" i="2"/>
  <c r="AC135" i="2"/>
  <c r="AB135" i="2"/>
  <c r="AA135" i="2"/>
  <c r="Z135" i="2"/>
  <c r="Y135" i="2"/>
  <c r="X135" i="2"/>
  <c r="W135" i="2"/>
  <c r="V135" i="2"/>
  <c r="U135" i="2"/>
  <c r="T135" i="2"/>
  <c r="S135" i="2"/>
  <c r="R135" i="2"/>
  <c r="Q135" i="2"/>
  <c r="P135" i="2"/>
  <c r="O135" i="2"/>
  <c r="N135" i="2"/>
  <c r="M135" i="2"/>
  <c r="L135" i="2"/>
  <c r="K135" i="2"/>
  <c r="J135" i="2"/>
  <c r="BD135" i="2" s="1"/>
  <c r="I135" i="2"/>
  <c r="E135" i="2" a="1"/>
  <c r="E135" i="2" s="1"/>
  <c r="D135" i="2" a="1"/>
  <c r="D135" i="2" s="1"/>
  <c r="C135" i="2" a="1"/>
  <c r="C135" i="2" s="1"/>
  <c r="B135" i="2" a="1"/>
  <c r="B135" i="2" s="1"/>
  <c r="CG134" i="2"/>
  <c r="CF134" i="2"/>
  <c r="CE134" i="2"/>
  <c r="CD134" i="2"/>
  <c r="CC134" i="2"/>
  <c r="CB134" i="2"/>
  <c r="CA134" i="2"/>
  <c r="BZ134" i="2"/>
  <c r="BY134" i="2"/>
  <c r="BX134" i="2"/>
  <c r="BW134" i="2"/>
  <c r="BV134" i="2"/>
  <c r="BU134" i="2"/>
  <c r="BT134" i="2"/>
  <c r="BS134" i="2"/>
  <c r="BR134" i="2"/>
  <c r="BQ134" i="2"/>
  <c r="BP134" i="2"/>
  <c r="BO134" i="2"/>
  <c r="BN134" i="2"/>
  <c r="BM134" i="2"/>
  <c r="BL134" i="2"/>
  <c r="BK134" i="2"/>
  <c r="BJ134" i="2"/>
  <c r="BI134" i="2"/>
  <c r="BH134" i="2"/>
  <c r="BG134" i="2"/>
  <c r="BF134" i="2"/>
  <c r="BE134" i="2"/>
  <c r="BC134" i="2"/>
  <c r="BB134" i="2"/>
  <c r="BA134" i="2"/>
  <c r="AZ134" i="2"/>
  <c r="AY134" i="2"/>
  <c r="AX134" i="2"/>
  <c r="AW134" i="2"/>
  <c r="AV134" i="2"/>
  <c r="AU134" i="2"/>
  <c r="AT134" i="2"/>
  <c r="AS134" i="2"/>
  <c r="AR134" i="2"/>
  <c r="AQ134" i="2"/>
  <c r="AP134" i="2"/>
  <c r="AO134" i="2"/>
  <c r="AN134" i="2"/>
  <c r="AM134" i="2"/>
  <c r="AL134" i="2"/>
  <c r="AK134" i="2"/>
  <c r="AJ134" i="2"/>
  <c r="AI134" i="2"/>
  <c r="AH134" i="2"/>
  <c r="AG134" i="2"/>
  <c r="AF134" i="2"/>
  <c r="AE134" i="2"/>
  <c r="AD134" i="2"/>
  <c r="AC134" i="2"/>
  <c r="AB134" i="2"/>
  <c r="AA134" i="2"/>
  <c r="Z134" i="2"/>
  <c r="Y134" i="2"/>
  <c r="X134" i="2"/>
  <c r="W134" i="2"/>
  <c r="V134" i="2"/>
  <c r="U134" i="2"/>
  <c r="T134" i="2"/>
  <c r="S134" i="2"/>
  <c r="R134" i="2"/>
  <c r="Q134" i="2"/>
  <c r="P134" i="2"/>
  <c r="O134" i="2"/>
  <c r="N134" i="2"/>
  <c r="M134" i="2"/>
  <c r="L134" i="2"/>
  <c r="K134" i="2"/>
  <c r="J134" i="2"/>
  <c r="BD134" i="2" s="1"/>
  <c r="I134" i="2"/>
  <c r="E134" i="2" a="1"/>
  <c r="E134" i="2" s="1"/>
  <c r="D134" i="2" a="1"/>
  <c r="D134" i="2" s="1"/>
  <c r="C134" i="2" a="1"/>
  <c r="C134" i="2" s="1"/>
  <c r="B134" i="2" a="1"/>
  <c r="B134" i="2" s="1"/>
  <c r="CG133" i="2"/>
  <c r="CF133" i="2"/>
  <c r="CE133" i="2"/>
  <c r="CD133" i="2"/>
  <c r="CC133" i="2"/>
  <c r="CB133" i="2"/>
  <c r="CA133" i="2"/>
  <c r="BZ133" i="2"/>
  <c r="BY133" i="2"/>
  <c r="BX133" i="2"/>
  <c r="BW133" i="2"/>
  <c r="BV133" i="2"/>
  <c r="BU133" i="2"/>
  <c r="BT133" i="2"/>
  <c r="BS133" i="2"/>
  <c r="BR133" i="2"/>
  <c r="BQ133" i="2"/>
  <c r="BP133" i="2"/>
  <c r="BO133" i="2"/>
  <c r="BN133" i="2"/>
  <c r="BM133" i="2"/>
  <c r="BL133" i="2"/>
  <c r="BK133" i="2"/>
  <c r="BJ133" i="2"/>
  <c r="BI133" i="2"/>
  <c r="BH133" i="2"/>
  <c r="BG133" i="2"/>
  <c r="BF133" i="2"/>
  <c r="BE133" i="2"/>
  <c r="BC133" i="2"/>
  <c r="BB133" i="2"/>
  <c r="BA133" i="2"/>
  <c r="AZ133" i="2"/>
  <c r="AY133" i="2"/>
  <c r="AX133" i="2"/>
  <c r="AW133" i="2"/>
  <c r="AV133" i="2"/>
  <c r="AU133" i="2"/>
  <c r="AT133" i="2"/>
  <c r="AS133" i="2"/>
  <c r="AR133" i="2"/>
  <c r="AQ133" i="2"/>
  <c r="AP133" i="2"/>
  <c r="AO133" i="2"/>
  <c r="AN133" i="2"/>
  <c r="AM133" i="2"/>
  <c r="AL133" i="2"/>
  <c r="AK133" i="2"/>
  <c r="AJ133" i="2"/>
  <c r="AI133" i="2"/>
  <c r="AH133" i="2"/>
  <c r="AG133" i="2"/>
  <c r="AF133" i="2"/>
  <c r="AE133" i="2"/>
  <c r="AD133" i="2"/>
  <c r="AC133" i="2"/>
  <c r="AB133" i="2"/>
  <c r="AA133" i="2"/>
  <c r="Z133" i="2"/>
  <c r="Y133" i="2"/>
  <c r="X133" i="2"/>
  <c r="W133" i="2"/>
  <c r="V133" i="2"/>
  <c r="U133" i="2"/>
  <c r="T133" i="2"/>
  <c r="S133" i="2"/>
  <c r="R133" i="2"/>
  <c r="Q133" i="2"/>
  <c r="P133" i="2"/>
  <c r="O133" i="2"/>
  <c r="N133" i="2"/>
  <c r="M133" i="2"/>
  <c r="L133" i="2"/>
  <c r="K133" i="2"/>
  <c r="J133" i="2"/>
  <c r="BD133" i="2" s="1"/>
  <c r="I133" i="2"/>
  <c r="E133" i="2" a="1"/>
  <c r="E133" i="2"/>
  <c r="D133" i="2" a="1"/>
  <c r="D133" i="2" s="1"/>
  <c r="C133" i="2" a="1"/>
  <c r="C133" i="2" s="1"/>
  <c r="B133" i="2" a="1"/>
  <c r="B133" i="2" s="1"/>
  <c r="CG132" i="2"/>
  <c r="CF132" i="2"/>
  <c r="CE132" i="2"/>
  <c r="CD132" i="2"/>
  <c r="CC132" i="2"/>
  <c r="CB132" i="2"/>
  <c r="CA132" i="2"/>
  <c r="BZ132" i="2"/>
  <c r="BY132" i="2"/>
  <c r="BX132" i="2"/>
  <c r="BW132" i="2"/>
  <c r="BV132" i="2"/>
  <c r="BU132" i="2"/>
  <c r="BT132" i="2"/>
  <c r="BS132" i="2"/>
  <c r="BR132" i="2"/>
  <c r="BQ132" i="2"/>
  <c r="BP132" i="2"/>
  <c r="BO132" i="2"/>
  <c r="BN132" i="2"/>
  <c r="BM132" i="2"/>
  <c r="BL132" i="2"/>
  <c r="BK132" i="2"/>
  <c r="BJ132" i="2"/>
  <c r="BI132" i="2"/>
  <c r="BH132" i="2"/>
  <c r="BG132" i="2"/>
  <c r="BF132" i="2"/>
  <c r="BE132" i="2"/>
  <c r="BD132" i="2"/>
  <c r="BC132" i="2"/>
  <c r="BB132" i="2"/>
  <c r="BA132" i="2"/>
  <c r="AZ132" i="2"/>
  <c r="AY132" i="2"/>
  <c r="AX132" i="2"/>
  <c r="AW132" i="2"/>
  <c r="AV132" i="2"/>
  <c r="AU132" i="2"/>
  <c r="AT132" i="2"/>
  <c r="AS132" i="2"/>
  <c r="AR132" i="2"/>
  <c r="AQ132" i="2"/>
  <c r="AP132" i="2"/>
  <c r="AO132" i="2"/>
  <c r="AN132" i="2"/>
  <c r="AM132" i="2"/>
  <c r="AL132" i="2"/>
  <c r="AK132" i="2"/>
  <c r="AJ132" i="2"/>
  <c r="AI132" i="2"/>
  <c r="AH132" i="2"/>
  <c r="AG132" i="2"/>
  <c r="AF132" i="2"/>
  <c r="AE132" i="2"/>
  <c r="AD132" i="2"/>
  <c r="AC132" i="2"/>
  <c r="AB132" i="2"/>
  <c r="AA132" i="2"/>
  <c r="Z132" i="2"/>
  <c r="Y132" i="2"/>
  <c r="X132" i="2"/>
  <c r="W132" i="2"/>
  <c r="V132" i="2"/>
  <c r="U132" i="2"/>
  <c r="T132" i="2"/>
  <c r="S132" i="2"/>
  <c r="R132" i="2"/>
  <c r="Q132" i="2"/>
  <c r="P132" i="2"/>
  <c r="O132" i="2"/>
  <c r="N132" i="2"/>
  <c r="M132" i="2"/>
  <c r="L132" i="2"/>
  <c r="K132" i="2"/>
  <c r="J132" i="2"/>
  <c r="I132" i="2"/>
  <c r="E132" i="2" a="1"/>
  <c r="E132" i="2" s="1"/>
  <c r="D132" i="2" a="1"/>
  <c r="D132" i="2" s="1"/>
  <c r="C132" i="2" a="1"/>
  <c r="C132" i="2" s="1"/>
  <c r="B132" i="2" a="1"/>
  <c r="B132" i="2" s="1"/>
  <c r="CG131" i="2"/>
  <c r="CF131" i="2"/>
  <c r="CE131" i="2"/>
  <c r="CD131" i="2"/>
  <c r="CC131" i="2"/>
  <c r="CB131" i="2"/>
  <c r="CA131" i="2"/>
  <c r="BZ131" i="2"/>
  <c r="BY131" i="2"/>
  <c r="BX131" i="2"/>
  <c r="BW131" i="2"/>
  <c r="BV131" i="2"/>
  <c r="BU131" i="2"/>
  <c r="BT131" i="2"/>
  <c r="BS131" i="2"/>
  <c r="BR131" i="2"/>
  <c r="BQ131" i="2"/>
  <c r="BP131" i="2"/>
  <c r="BO131" i="2"/>
  <c r="BN131" i="2"/>
  <c r="BM131" i="2"/>
  <c r="BL131" i="2"/>
  <c r="BK131" i="2"/>
  <c r="BJ131" i="2"/>
  <c r="BI131" i="2"/>
  <c r="BH131" i="2"/>
  <c r="BG131" i="2"/>
  <c r="BF131" i="2"/>
  <c r="BE131" i="2"/>
  <c r="BC131" i="2"/>
  <c r="BB131" i="2"/>
  <c r="BA131" i="2"/>
  <c r="AZ131" i="2"/>
  <c r="AY131" i="2"/>
  <c r="AX131" i="2"/>
  <c r="AW131" i="2"/>
  <c r="AV131" i="2"/>
  <c r="AU131" i="2"/>
  <c r="AT131" i="2"/>
  <c r="AS131" i="2"/>
  <c r="AR131" i="2"/>
  <c r="AQ131" i="2"/>
  <c r="AP131" i="2"/>
  <c r="AO131" i="2"/>
  <c r="AN131" i="2"/>
  <c r="AM131" i="2"/>
  <c r="AL131" i="2"/>
  <c r="AK131" i="2"/>
  <c r="AJ131" i="2"/>
  <c r="AI131" i="2"/>
  <c r="AH131" i="2"/>
  <c r="AG131" i="2"/>
  <c r="AF131" i="2"/>
  <c r="AE131" i="2"/>
  <c r="AD131" i="2"/>
  <c r="AC131" i="2"/>
  <c r="AB131" i="2"/>
  <c r="AA131" i="2"/>
  <c r="Z131" i="2"/>
  <c r="Y131" i="2"/>
  <c r="X131" i="2"/>
  <c r="W131" i="2"/>
  <c r="V131" i="2"/>
  <c r="U131" i="2"/>
  <c r="T131" i="2"/>
  <c r="S131" i="2"/>
  <c r="R131" i="2"/>
  <c r="Q131" i="2"/>
  <c r="P131" i="2"/>
  <c r="O131" i="2"/>
  <c r="N131" i="2"/>
  <c r="M131" i="2"/>
  <c r="L131" i="2"/>
  <c r="K131" i="2"/>
  <c r="J131" i="2"/>
  <c r="BD131" i="2" s="1"/>
  <c r="I131" i="2"/>
  <c r="E131" i="2" a="1"/>
  <c r="E131" i="2" s="1"/>
  <c r="D131" i="2" a="1"/>
  <c r="D131" i="2" s="1"/>
  <c r="C131" i="2" a="1"/>
  <c r="C131" i="2" s="1"/>
  <c r="B131" i="2" a="1"/>
  <c r="B131" i="2" s="1"/>
  <c r="CG130" i="2"/>
  <c r="CF130" i="2"/>
  <c r="CE130" i="2"/>
  <c r="CD130" i="2"/>
  <c r="CC130" i="2"/>
  <c r="CB130" i="2"/>
  <c r="CA130" i="2"/>
  <c r="BZ130" i="2"/>
  <c r="BY130" i="2"/>
  <c r="BX130" i="2"/>
  <c r="BW130" i="2"/>
  <c r="BV130" i="2"/>
  <c r="BU130" i="2"/>
  <c r="BT130" i="2"/>
  <c r="BS130" i="2"/>
  <c r="BR130" i="2"/>
  <c r="BQ130" i="2"/>
  <c r="BP130" i="2"/>
  <c r="BO130" i="2"/>
  <c r="BN130" i="2"/>
  <c r="BM130" i="2"/>
  <c r="BL130" i="2"/>
  <c r="BK130" i="2"/>
  <c r="BJ130" i="2"/>
  <c r="BI130" i="2"/>
  <c r="BH130" i="2"/>
  <c r="BG130" i="2"/>
  <c r="BF130" i="2"/>
  <c r="BE130" i="2"/>
  <c r="BC130" i="2"/>
  <c r="BB130" i="2"/>
  <c r="BA130" i="2"/>
  <c r="AZ130" i="2"/>
  <c r="AY130" i="2"/>
  <c r="AX130" i="2"/>
  <c r="AW130" i="2"/>
  <c r="AV130" i="2"/>
  <c r="AU130" i="2"/>
  <c r="AT130" i="2"/>
  <c r="AS130" i="2"/>
  <c r="AR130" i="2"/>
  <c r="AQ130" i="2"/>
  <c r="AP130" i="2"/>
  <c r="AO130" i="2"/>
  <c r="AN130" i="2"/>
  <c r="AM130" i="2"/>
  <c r="AL130" i="2"/>
  <c r="AK130" i="2"/>
  <c r="AJ130" i="2"/>
  <c r="AI130" i="2"/>
  <c r="AH130" i="2"/>
  <c r="AG130" i="2"/>
  <c r="AF130" i="2"/>
  <c r="AE130" i="2"/>
  <c r="AD130" i="2"/>
  <c r="AC130" i="2"/>
  <c r="AB130" i="2"/>
  <c r="AA130" i="2"/>
  <c r="Z130" i="2"/>
  <c r="Y130" i="2"/>
  <c r="X130" i="2"/>
  <c r="W130" i="2"/>
  <c r="V130" i="2"/>
  <c r="U130" i="2"/>
  <c r="T130" i="2"/>
  <c r="S130" i="2"/>
  <c r="R130" i="2"/>
  <c r="Q130" i="2"/>
  <c r="P130" i="2"/>
  <c r="O130" i="2"/>
  <c r="N130" i="2"/>
  <c r="M130" i="2"/>
  <c r="L130" i="2"/>
  <c r="K130" i="2"/>
  <c r="J130" i="2"/>
  <c r="BD130" i="2" s="1"/>
  <c r="I130" i="2"/>
  <c r="E130" i="2" a="1"/>
  <c r="E130" i="2" s="1"/>
  <c r="D130" i="2" a="1"/>
  <c r="D130" i="2" s="1"/>
  <c r="C130" i="2" a="1"/>
  <c r="C130" i="2" s="1"/>
  <c r="B130" i="2" a="1"/>
  <c r="B130" i="2"/>
  <c r="CG129" i="2"/>
  <c r="CF129" i="2"/>
  <c r="CE129" i="2"/>
  <c r="CD129" i="2"/>
  <c r="CC129" i="2"/>
  <c r="CB129" i="2"/>
  <c r="CA129" i="2"/>
  <c r="BZ129" i="2"/>
  <c r="BY129" i="2"/>
  <c r="BX129" i="2"/>
  <c r="BW129" i="2"/>
  <c r="BV129" i="2"/>
  <c r="BU129" i="2"/>
  <c r="BT129" i="2"/>
  <c r="BS129" i="2"/>
  <c r="BR129" i="2"/>
  <c r="BQ129" i="2"/>
  <c r="BP129" i="2"/>
  <c r="BO129" i="2"/>
  <c r="BN129" i="2"/>
  <c r="BM129" i="2"/>
  <c r="BL129" i="2"/>
  <c r="BK129" i="2"/>
  <c r="BJ129" i="2"/>
  <c r="BI129" i="2"/>
  <c r="BH129" i="2"/>
  <c r="BG129" i="2"/>
  <c r="BF129" i="2"/>
  <c r="BE129" i="2"/>
  <c r="BD129" i="2"/>
  <c r="BC129" i="2"/>
  <c r="BB129" i="2"/>
  <c r="BA129" i="2"/>
  <c r="AZ129" i="2"/>
  <c r="AY129" i="2"/>
  <c r="AX129" i="2"/>
  <c r="AW129" i="2"/>
  <c r="AV129" i="2"/>
  <c r="AU129" i="2"/>
  <c r="AT129" i="2"/>
  <c r="AS129" i="2"/>
  <c r="AR129" i="2"/>
  <c r="AQ129" i="2"/>
  <c r="AP129" i="2"/>
  <c r="AO129" i="2"/>
  <c r="AN129" i="2"/>
  <c r="AM129" i="2"/>
  <c r="AL129" i="2"/>
  <c r="AK129" i="2"/>
  <c r="AJ129" i="2"/>
  <c r="AI129" i="2"/>
  <c r="AH129" i="2"/>
  <c r="AG129" i="2"/>
  <c r="AF129" i="2"/>
  <c r="AE129" i="2"/>
  <c r="AD129" i="2"/>
  <c r="AC129" i="2"/>
  <c r="AB129" i="2"/>
  <c r="AA129" i="2"/>
  <c r="Z129" i="2"/>
  <c r="Y129" i="2"/>
  <c r="X129" i="2"/>
  <c r="W129" i="2"/>
  <c r="V129" i="2"/>
  <c r="U129" i="2"/>
  <c r="T129" i="2"/>
  <c r="S129" i="2"/>
  <c r="R129" i="2"/>
  <c r="Q129" i="2"/>
  <c r="P129" i="2"/>
  <c r="O129" i="2"/>
  <c r="N129" i="2"/>
  <c r="M129" i="2"/>
  <c r="L129" i="2"/>
  <c r="K129" i="2"/>
  <c r="J129" i="2"/>
  <c r="I129" i="2"/>
  <c r="E129" i="2" a="1"/>
  <c r="E129" i="2" s="1"/>
  <c r="D129" i="2" a="1"/>
  <c r="D129" i="2" s="1"/>
  <c r="C129" i="2" a="1"/>
  <c r="C129" i="2" s="1"/>
  <c r="B129" i="2" a="1"/>
  <c r="B129" i="2" s="1"/>
  <c r="CG128" i="2"/>
  <c r="CF128" i="2"/>
  <c r="CE128" i="2"/>
  <c r="CD128" i="2"/>
  <c r="CC128" i="2"/>
  <c r="CB128" i="2"/>
  <c r="CA128" i="2"/>
  <c r="BZ128" i="2"/>
  <c r="BY128" i="2"/>
  <c r="BX128" i="2"/>
  <c r="BW128" i="2"/>
  <c r="BV128" i="2"/>
  <c r="BU128" i="2"/>
  <c r="BT128" i="2"/>
  <c r="BS128" i="2"/>
  <c r="BR128" i="2"/>
  <c r="BQ128" i="2"/>
  <c r="BP128" i="2"/>
  <c r="BO128" i="2"/>
  <c r="BN128" i="2"/>
  <c r="BM128" i="2"/>
  <c r="BL128" i="2"/>
  <c r="BK128" i="2"/>
  <c r="BJ128" i="2"/>
  <c r="BI128" i="2"/>
  <c r="BH128" i="2"/>
  <c r="BG128" i="2"/>
  <c r="BF128" i="2"/>
  <c r="BE128" i="2"/>
  <c r="BD128" i="2"/>
  <c r="BC128" i="2"/>
  <c r="BB128" i="2"/>
  <c r="BA128" i="2"/>
  <c r="AZ128" i="2"/>
  <c r="AY128" i="2"/>
  <c r="AX128" i="2"/>
  <c r="AW128" i="2"/>
  <c r="AV128" i="2"/>
  <c r="AU128" i="2"/>
  <c r="AT128" i="2"/>
  <c r="AS128" i="2"/>
  <c r="AR128" i="2"/>
  <c r="AQ128" i="2"/>
  <c r="AP128" i="2"/>
  <c r="AO128" i="2"/>
  <c r="AN128" i="2"/>
  <c r="AM128" i="2"/>
  <c r="AL128" i="2"/>
  <c r="AK128" i="2"/>
  <c r="AJ128" i="2"/>
  <c r="AI128" i="2"/>
  <c r="AH128" i="2"/>
  <c r="AG128" i="2"/>
  <c r="AF128" i="2"/>
  <c r="AE128" i="2"/>
  <c r="AD128" i="2"/>
  <c r="AC128" i="2"/>
  <c r="AB128" i="2"/>
  <c r="AA128" i="2"/>
  <c r="Z128" i="2"/>
  <c r="Y128" i="2"/>
  <c r="X128" i="2"/>
  <c r="W128" i="2"/>
  <c r="V128" i="2"/>
  <c r="U128" i="2"/>
  <c r="T128" i="2"/>
  <c r="S128" i="2"/>
  <c r="R128" i="2"/>
  <c r="Q128" i="2"/>
  <c r="P128" i="2"/>
  <c r="O128" i="2"/>
  <c r="N128" i="2"/>
  <c r="M128" i="2"/>
  <c r="L128" i="2"/>
  <c r="K128" i="2"/>
  <c r="J128" i="2"/>
  <c r="I128" i="2"/>
  <c r="E128" i="2" a="1"/>
  <c r="E128" i="2" s="1"/>
  <c r="D128" i="2" a="1"/>
  <c r="D128" i="2" s="1"/>
  <c r="C128" i="2" a="1"/>
  <c r="C128" i="2" s="1"/>
  <c r="B128" i="2" a="1"/>
  <c r="B128" i="2" s="1"/>
  <c r="CG127" i="2"/>
  <c r="CF127" i="2"/>
  <c r="CE127" i="2"/>
  <c r="CD127" i="2"/>
  <c r="CC127" i="2"/>
  <c r="CB127" i="2"/>
  <c r="CA127" i="2"/>
  <c r="BZ127" i="2"/>
  <c r="BY127" i="2"/>
  <c r="BX127" i="2"/>
  <c r="BW127" i="2"/>
  <c r="BV127" i="2"/>
  <c r="BU127" i="2"/>
  <c r="BT127" i="2"/>
  <c r="BS127" i="2"/>
  <c r="BR127" i="2"/>
  <c r="BQ127" i="2"/>
  <c r="BP127" i="2"/>
  <c r="BO127" i="2"/>
  <c r="BN127" i="2"/>
  <c r="BM127" i="2"/>
  <c r="BL127" i="2"/>
  <c r="BK127" i="2"/>
  <c r="BJ127" i="2"/>
  <c r="BI127" i="2"/>
  <c r="BH127" i="2"/>
  <c r="BG127" i="2"/>
  <c r="BF127" i="2"/>
  <c r="BE127" i="2"/>
  <c r="BC127" i="2"/>
  <c r="BB127" i="2"/>
  <c r="BA127" i="2"/>
  <c r="AZ127" i="2"/>
  <c r="AY127" i="2"/>
  <c r="AX127" i="2"/>
  <c r="AW127" i="2"/>
  <c r="AV127" i="2"/>
  <c r="AU127" i="2"/>
  <c r="AT127" i="2"/>
  <c r="AS127" i="2"/>
  <c r="AR127" i="2"/>
  <c r="AQ127" i="2"/>
  <c r="AP127" i="2"/>
  <c r="AO127" i="2"/>
  <c r="AN127" i="2"/>
  <c r="AM127" i="2"/>
  <c r="AL127" i="2"/>
  <c r="AK127" i="2"/>
  <c r="AJ127" i="2"/>
  <c r="AI127" i="2"/>
  <c r="AH127" i="2"/>
  <c r="AG127" i="2"/>
  <c r="AF127" i="2"/>
  <c r="AE127" i="2"/>
  <c r="AD127" i="2"/>
  <c r="AC127" i="2"/>
  <c r="AB127" i="2"/>
  <c r="AA127" i="2"/>
  <c r="Z127" i="2"/>
  <c r="Y127" i="2"/>
  <c r="X127" i="2"/>
  <c r="W127" i="2"/>
  <c r="V127" i="2"/>
  <c r="U127" i="2"/>
  <c r="T127" i="2"/>
  <c r="S127" i="2"/>
  <c r="R127" i="2"/>
  <c r="Q127" i="2"/>
  <c r="P127" i="2"/>
  <c r="O127" i="2"/>
  <c r="N127" i="2"/>
  <c r="M127" i="2"/>
  <c r="L127" i="2"/>
  <c r="K127" i="2"/>
  <c r="J127" i="2"/>
  <c r="BD127" i="2" s="1"/>
  <c r="I127" i="2"/>
  <c r="E127" i="2" a="1"/>
  <c r="E127" i="2" s="1"/>
  <c r="D127" i="2" a="1"/>
  <c r="D127" i="2" s="1"/>
  <c r="C127" i="2" a="1"/>
  <c r="C127" i="2" s="1"/>
  <c r="B127" i="2" a="1"/>
  <c r="B127" i="2" s="1"/>
  <c r="CG126" i="2"/>
  <c r="CF126" i="2"/>
  <c r="CE126" i="2"/>
  <c r="CD126" i="2"/>
  <c r="CC126" i="2"/>
  <c r="CB126" i="2"/>
  <c r="CA126" i="2"/>
  <c r="BZ126" i="2"/>
  <c r="BY126" i="2"/>
  <c r="BX126" i="2"/>
  <c r="BW126" i="2"/>
  <c r="BV126" i="2"/>
  <c r="BU126" i="2"/>
  <c r="BT126" i="2"/>
  <c r="BS126" i="2"/>
  <c r="BR126" i="2"/>
  <c r="BQ126" i="2"/>
  <c r="BP126" i="2"/>
  <c r="BO126" i="2"/>
  <c r="BN126" i="2"/>
  <c r="BM126" i="2"/>
  <c r="BL126" i="2"/>
  <c r="BK126" i="2"/>
  <c r="BJ126" i="2"/>
  <c r="BI126" i="2"/>
  <c r="BH126" i="2"/>
  <c r="BG126" i="2"/>
  <c r="BF126" i="2"/>
  <c r="BE126" i="2"/>
  <c r="BC126" i="2"/>
  <c r="BB126" i="2"/>
  <c r="BA126" i="2"/>
  <c r="AZ126" i="2"/>
  <c r="AY126" i="2"/>
  <c r="AX126" i="2"/>
  <c r="AW126" i="2"/>
  <c r="AV126" i="2"/>
  <c r="AU126" i="2"/>
  <c r="AT126" i="2"/>
  <c r="AS126" i="2"/>
  <c r="AR126" i="2"/>
  <c r="AQ126" i="2"/>
  <c r="AP126" i="2"/>
  <c r="AO126" i="2"/>
  <c r="AN126" i="2"/>
  <c r="AM126" i="2"/>
  <c r="AL126" i="2"/>
  <c r="AK126" i="2"/>
  <c r="AJ126" i="2"/>
  <c r="AI126" i="2"/>
  <c r="AH126" i="2"/>
  <c r="AG126" i="2"/>
  <c r="AF126" i="2"/>
  <c r="AE126" i="2"/>
  <c r="AD126" i="2"/>
  <c r="AC126" i="2"/>
  <c r="AB126" i="2"/>
  <c r="AA126" i="2"/>
  <c r="Z126" i="2"/>
  <c r="Y126" i="2"/>
  <c r="X126" i="2"/>
  <c r="W126" i="2"/>
  <c r="V126" i="2"/>
  <c r="U126" i="2"/>
  <c r="T126" i="2"/>
  <c r="S126" i="2"/>
  <c r="R126" i="2"/>
  <c r="Q126" i="2"/>
  <c r="P126" i="2"/>
  <c r="O126" i="2"/>
  <c r="N126" i="2"/>
  <c r="M126" i="2"/>
  <c r="L126" i="2"/>
  <c r="K126" i="2"/>
  <c r="J126" i="2"/>
  <c r="BD126" i="2" s="1"/>
  <c r="I126" i="2"/>
  <c r="E126" i="2" a="1"/>
  <c r="E126" i="2" s="1"/>
  <c r="D126" i="2" a="1"/>
  <c r="D126" i="2" s="1"/>
  <c r="C126" i="2" a="1"/>
  <c r="C126" i="2" s="1"/>
  <c r="B126" i="2" a="1"/>
  <c r="B126" i="2" s="1"/>
  <c r="CG125" i="2"/>
  <c r="CF125" i="2"/>
  <c r="CE125" i="2"/>
  <c r="CD125" i="2"/>
  <c r="CC125" i="2"/>
  <c r="CB125" i="2"/>
  <c r="CA125" i="2"/>
  <c r="BZ125" i="2"/>
  <c r="BY125" i="2"/>
  <c r="BX125" i="2"/>
  <c r="BW125" i="2"/>
  <c r="BV125" i="2"/>
  <c r="BU125" i="2"/>
  <c r="BT125" i="2"/>
  <c r="BS125" i="2"/>
  <c r="BR125" i="2"/>
  <c r="BQ125" i="2"/>
  <c r="BP125" i="2"/>
  <c r="BO125" i="2"/>
  <c r="BN125" i="2"/>
  <c r="BM125" i="2"/>
  <c r="BL125" i="2"/>
  <c r="BK125" i="2"/>
  <c r="BJ125" i="2"/>
  <c r="BI125" i="2"/>
  <c r="BH125" i="2"/>
  <c r="BG125" i="2"/>
  <c r="BF125" i="2"/>
  <c r="BE125" i="2"/>
  <c r="BD125" i="2"/>
  <c r="BC125" i="2"/>
  <c r="BB125" i="2"/>
  <c r="BA125" i="2"/>
  <c r="AZ125" i="2"/>
  <c r="AY125" i="2"/>
  <c r="AX125" i="2"/>
  <c r="AW125" i="2"/>
  <c r="AV125" i="2"/>
  <c r="AU125" i="2"/>
  <c r="AT125" i="2"/>
  <c r="AS125" i="2"/>
  <c r="AR125" i="2"/>
  <c r="AQ125" i="2"/>
  <c r="AP125"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I125" i="2"/>
  <c r="E125" i="2" a="1"/>
  <c r="E125" i="2" s="1"/>
  <c r="D125" i="2" a="1"/>
  <c r="D125" i="2" s="1"/>
  <c r="C125" i="2" a="1"/>
  <c r="C125" i="2"/>
  <c r="B125" i="2" a="1"/>
  <c r="B125" i="2" s="1"/>
  <c r="CG124" i="2"/>
  <c r="CF124" i="2"/>
  <c r="CE124" i="2"/>
  <c r="CD124" i="2"/>
  <c r="CC124" i="2"/>
  <c r="CB124" i="2"/>
  <c r="CA124" i="2"/>
  <c r="BZ124" i="2"/>
  <c r="BY124" i="2"/>
  <c r="BX124" i="2"/>
  <c r="BW124" i="2"/>
  <c r="BV124" i="2"/>
  <c r="BU124" i="2"/>
  <c r="BT124" i="2"/>
  <c r="BS124" i="2"/>
  <c r="BR124" i="2"/>
  <c r="BQ124" i="2"/>
  <c r="BP124" i="2"/>
  <c r="BO124" i="2"/>
  <c r="BN124" i="2"/>
  <c r="BM124" i="2"/>
  <c r="BL124" i="2"/>
  <c r="BK124" i="2"/>
  <c r="BJ124" i="2"/>
  <c r="BI124" i="2"/>
  <c r="BH124" i="2"/>
  <c r="BG124" i="2"/>
  <c r="BF124" i="2"/>
  <c r="BE124" i="2"/>
  <c r="BD124" i="2"/>
  <c r="BC124" i="2"/>
  <c r="BB124" i="2"/>
  <c r="BA124" i="2"/>
  <c r="AZ124" i="2"/>
  <c r="AY124" i="2"/>
  <c r="AX124" i="2"/>
  <c r="AW124" i="2"/>
  <c r="AV124" i="2"/>
  <c r="AU124" i="2"/>
  <c r="AT124" i="2"/>
  <c r="AS124" i="2"/>
  <c r="AR124" i="2"/>
  <c r="AQ124" i="2"/>
  <c r="AP124" i="2"/>
  <c r="AO124" i="2"/>
  <c r="AN124" i="2"/>
  <c r="AM124" i="2"/>
  <c r="AL124" i="2"/>
  <c r="AK124" i="2"/>
  <c r="AJ124" i="2"/>
  <c r="AI124" i="2"/>
  <c r="AH124" i="2"/>
  <c r="AG124" i="2"/>
  <c r="AF124" i="2"/>
  <c r="AE124" i="2"/>
  <c r="AD124" i="2"/>
  <c r="AC124" i="2"/>
  <c r="AB124" i="2"/>
  <c r="AA124" i="2"/>
  <c r="Z124" i="2"/>
  <c r="Y124" i="2"/>
  <c r="X124" i="2"/>
  <c r="W124" i="2"/>
  <c r="V124" i="2"/>
  <c r="U124" i="2"/>
  <c r="T124" i="2"/>
  <c r="S124" i="2"/>
  <c r="R124" i="2"/>
  <c r="Q124" i="2"/>
  <c r="P124" i="2"/>
  <c r="O124" i="2"/>
  <c r="N124" i="2"/>
  <c r="M124" i="2"/>
  <c r="L124" i="2"/>
  <c r="K124" i="2"/>
  <c r="J124" i="2"/>
  <c r="I124" i="2"/>
  <c r="E124" i="2" a="1"/>
  <c r="E124" i="2"/>
  <c r="D124" i="2" a="1"/>
  <c r="D124" i="2" s="1"/>
  <c r="C124" i="2" a="1"/>
  <c r="C124" i="2" s="1"/>
  <c r="B124" i="2" a="1"/>
  <c r="B124" i="2" s="1"/>
  <c r="CG123" i="2"/>
  <c r="CF123" i="2"/>
  <c r="CE123" i="2"/>
  <c r="CD123" i="2"/>
  <c r="CC123" i="2"/>
  <c r="CB123" i="2"/>
  <c r="CA123" i="2"/>
  <c r="BZ123" i="2"/>
  <c r="BY123" i="2"/>
  <c r="BX123" i="2"/>
  <c r="BW123" i="2"/>
  <c r="BV123" i="2"/>
  <c r="BU123" i="2"/>
  <c r="BT123" i="2"/>
  <c r="BS123" i="2"/>
  <c r="BR123" i="2"/>
  <c r="BQ123" i="2"/>
  <c r="BP123" i="2"/>
  <c r="BO123" i="2"/>
  <c r="BN123" i="2"/>
  <c r="BM123" i="2"/>
  <c r="BL123" i="2"/>
  <c r="BK123" i="2"/>
  <c r="BJ123" i="2"/>
  <c r="BI123" i="2"/>
  <c r="BH123" i="2"/>
  <c r="BG123" i="2"/>
  <c r="BF123" i="2"/>
  <c r="BE123" i="2"/>
  <c r="BD123" i="2"/>
  <c r="BC123" i="2"/>
  <c r="BB123" i="2"/>
  <c r="BA123" i="2"/>
  <c r="AZ123" i="2"/>
  <c r="AY123" i="2"/>
  <c r="AX123" i="2"/>
  <c r="AW123" i="2"/>
  <c r="AV123" i="2"/>
  <c r="AU123" i="2"/>
  <c r="AT123" i="2"/>
  <c r="AS123" i="2"/>
  <c r="AR123" i="2"/>
  <c r="AQ123" i="2"/>
  <c r="AP123" i="2"/>
  <c r="AO123" i="2"/>
  <c r="AN123" i="2"/>
  <c r="AM123" i="2"/>
  <c r="AL123" i="2"/>
  <c r="AK123" i="2"/>
  <c r="AJ123" i="2"/>
  <c r="AI123" i="2"/>
  <c r="AH123" i="2"/>
  <c r="AG123" i="2"/>
  <c r="AF123" i="2"/>
  <c r="AE123" i="2"/>
  <c r="AD123" i="2"/>
  <c r="AC123" i="2"/>
  <c r="AB123" i="2"/>
  <c r="AA123" i="2"/>
  <c r="Z123" i="2"/>
  <c r="Y123" i="2"/>
  <c r="X123" i="2"/>
  <c r="W123" i="2"/>
  <c r="V123" i="2"/>
  <c r="U123" i="2"/>
  <c r="T123" i="2"/>
  <c r="S123" i="2"/>
  <c r="R123" i="2"/>
  <c r="Q123" i="2"/>
  <c r="P123" i="2"/>
  <c r="O123" i="2"/>
  <c r="N123" i="2"/>
  <c r="M123" i="2"/>
  <c r="L123" i="2"/>
  <c r="K123" i="2"/>
  <c r="J123" i="2"/>
  <c r="I123" i="2"/>
  <c r="E123" i="2" a="1"/>
  <c r="E123" i="2" s="1"/>
  <c r="D123" i="2" a="1"/>
  <c r="D123" i="2" s="1"/>
  <c r="C123" i="2" a="1"/>
  <c r="C123" i="2" s="1"/>
  <c r="B123" i="2" a="1"/>
  <c r="B123" i="2" s="1"/>
  <c r="CG122" i="2"/>
  <c r="CF122" i="2"/>
  <c r="CE122" i="2"/>
  <c r="CD122" i="2"/>
  <c r="CC122" i="2"/>
  <c r="CB122" i="2"/>
  <c r="CA122" i="2"/>
  <c r="BZ122" i="2"/>
  <c r="BY122" i="2"/>
  <c r="BX122" i="2"/>
  <c r="BW122" i="2"/>
  <c r="BV122" i="2"/>
  <c r="BU122" i="2"/>
  <c r="BT122" i="2"/>
  <c r="BS122" i="2"/>
  <c r="BR122" i="2"/>
  <c r="BQ122" i="2"/>
  <c r="BP122" i="2"/>
  <c r="BO122" i="2"/>
  <c r="BN122" i="2"/>
  <c r="BM122" i="2"/>
  <c r="BL122" i="2"/>
  <c r="BK122" i="2"/>
  <c r="BJ122" i="2"/>
  <c r="BI122" i="2"/>
  <c r="BH122" i="2"/>
  <c r="BG122" i="2"/>
  <c r="BF122" i="2"/>
  <c r="BE122" i="2"/>
  <c r="BC122" i="2"/>
  <c r="BB122" i="2"/>
  <c r="BA122" i="2"/>
  <c r="AZ122" i="2"/>
  <c r="AY122" i="2"/>
  <c r="AX122" i="2"/>
  <c r="AW122" i="2"/>
  <c r="AV122" i="2"/>
  <c r="AU122" i="2"/>
  <c r="AT122" i="2"/>
  <c r="AS122" i="2"/>
  <c r="AR122" i="2"/>
  <c r="AQ122" i="2"/>
  <c r="AP122" i="2"/>
  <c r="AO122" i="2"/>
  <c r="AN122" i="2"/>
  <c r="AM122" i="2"/>
  <c r="AL122" i="2"/>
  <c r="AK122" i="2"/>
  <c r="AJ122" i="2"/>
  <c r="AI122" i="2"/>
  <c r="AH122" i="2"/>
  <c r="AG122" i="2"/>
  <c r="AF122" i="2"/>
  <c r="AE122" i="2"/>
  <c r="AD122" i="2"/>
  <c r="AC122" i="2"/>
  <c r="AB122" i="2"/>
  <c r="AA122" i="2"/>
  <c r="Z122" i="2"/>
  <c r="Y122" i="2"/>
  <c r="X122" i="2"/>
  <c r="W122" i="2"/>
  <c r="V122" i="2"/>
  <c r="U122" i="2"/>
  <c r="T122" i="2"/>
  <c r="S122" i="2"/>
  <c r="R122" i="2"/>
  <c r="Q122" i="2"/>
  <c r="P122" i="2"/>
  <c r="O122" i="2"/>
  <c r="N122" i="2"/>
  <c r="M122" i="2"/>
  <c r="L122" i="2"/>
  <c r="K122" i="2"/>
  <c r="J122" i="2"/>
  <c r="BD122" i="2" s="1"/>
  <c r="I122" i="2"/>
  <c r="E122" i="2" a="1"/>
  <c r="E122" i="2" s="1"/>
  <c r="D122" i="2" a="1"/>
  <c r="D122" i="2" s="1"/>
  <c r="C122" i="2" a="1"/>
  <c r="C122" i="2" s="1"/>
  <c r="B122" i="2" a="1"/>
  <c r="B122" i="2"/>
  <c r="CG121" i="2"/>
  <c r="CF121" i="2"/>
  <c r="CE121" i="2"/>
  <c r="CD121" i="2"/>
  <c r="CC121" i="2"/>
  <c r="CB121" i="2"/>
  <c r="CA121" i="2"/>
  <c r="BZ121" i="2"/>
  <c r="BY121" i="2"/>
  <c r="BX121" i="2"/>
  <c r="BW121" i="2"/>
  <c r="BV121" i="2"/>
  <c r="BU121" i="2"/>
  <c r="BT121" i="2"/>
  <c r="BS121" i="2"/>
  <c r="BR121" i="2"/>
  <c r="BQ121" i="2"/>
  <c r="BP121" i="2"/>
  <c r="BO121" i="2"/>
  <c r="BN121" i="2"/>
  <c r="BM121" i="2"/>
  <c r="BL121" i="2"/>
  <c r="BK121" i="2"/>
  <c r="BJ121" i="2"/>
  <c r="BI121" i="2"/>
  <c r="BH121" i="2"/>
  <c r="BG121" i="2"/>
  <c r="BF121" i="2"/>
  <c r="BE121" i="2"/>
  <c r="BD121" i="2"/>
  <c r="BC121" i="2"/>
  <c r="BB121" i="2"/>
  <c r="BA121" i="2"/>
  <c r="AZ121" i="2"/>
  <c r="AY121" i="2"/>
  <c r="AX121" i="2"/>
  <c r="AW121" i="2"/>
  <c r="AV121" i="2"/>
  <c r="AU121" i="2"/>
  <c r="AT121" i="2"/>
  <c r="AS121" i="2"/>
  <c r="AR121" i="2"/>
  <c r="AQ121" i="2"/>
  <c r="AP121" i="2"/>
  <c r="AO121" i="2"/>
  <c r="AN121" i="2"/>
  <c r="AM121" i="2"/>
  <c r="AL121" i="2"/>
  <c r="AK121" i="2"/>
  <c r="AJ121" i="2"/>
  <c r="AI121" i="2"/>
  <c r="AH121" i="2"/>
  <c r="AG121" i="2"/>
  <c r="AF121" i="2"/>
  <c r="AE121" i="2"/>
  <c r="AD121" i="2"/>
  <c r="AC121" i="2"/>
  <c r="AB121" i="2"/>
  <c r="AA121" i="2"/>
  <c r="Z121" i="2"/>
  <c r="Y121" i="2"/>
  <c r="X121" i="2"/>
  <c r="W121" i="2"/>
  <c r="V121" i="2"/>
  <c r="U121" i="2"/>
  <c r="T121" i="2"/>
  <c r="S121" i="2"/>
  <c r="R121" i="2"/>
  <c r="Q121" i="2"/>
  <c r="P121" i="2"/>
  <c r="O121" i="2"/>
  <c r="N121" i="2"/>
  <c r="M121" i="2"/>
  <c r="L121" i="2"/>
  <c r="K121" i="2"/>
  <c r="J121" i="2"/>
  <c r="I121" i="2"/>
  <c r="E121" i="2" a="1"/>
  <c r="E121" i="2" s="1"/>
  <c r="D121" i="2" a="1"/>
  <c r="D121" i="2" s="1"/>
  <c r="C121" i="2" a="1"/>
  <c r="C121" i="2" s="1"/>
  <c r="B121" i="2" a="1"/>
  <c r="B121" i="2" s="1"/>
  <c r="CG120" i="2"/>
  <c r="CF120" i="2"/>
  <c r="CE120" i="2"/>
  <c r="CD120" i="2"/>
  <c r="CC120" i="2"/>
  <c r="CB120" i="2"/>
  <c r="CA120" i="2"/>
  <c r="BZ120" i="2"/>
  <c r="BY120" i="2"/>
  <c r="BX120" i="2"/>
  <c r="BW120" i="2"/>
  <c r="BV120" i="2"/>
  <c r="BU120" i="2"/>
  <c r="BT120" i="2"/>
  <c r="BS120" i="2"/>
  <c r="BR120" i="2"/>
  <c r="BQ120" i="2"/>
  <c r="BP120" i="2"/>
  <c r="BO120" i="2"/>
  <c r="BN120" i="2"/>
  <c r="BM120" i="2"/>
  <c r="BL120" i="2"/>
  <c r="BK120" i="2"/>
  <c r="BJ120" i="2"/>
  <c r="BI120" i="2"/>
  <c r="BH120" i="2"/>
  <c r="BG120" i="2"/>
  <c r="BF120" i="2"/>
  <c r="BE120" i="2"/>
  <c r="BD120" i="2"/>
  <c r="BC120" i="2"/>
  <c r="BB120" i="2"/>
  <c r="BA120" i="2"/>
  <c r="AZ120" i="2"/>
  <c r="AY120" i="2"/>
  <c r="AX120" i="2"/>
  <c r="AW120" i="2"/>
  <c r="AV120" i="2"/>
  <c r="AU120" i="2"/>
  <c r="AT120" i="2"/>
  <c r="AS120" i="2"/>
  <c r="AR120" i="2"/>
  <c r="AQ120" i="2"/>
  <c r="AP120" i="2"/>
  <c r="AO120" i="2"/>
  <c r="AN120" i="2"/>
  <c r="AM120" i="2"/>
  <c r="AL120" i="2"/>
  <c r="AK120" i="2"/>
  <c r="AJ120" i="2"/>
  <c r="AI120" i="2"/>
  <c r="AH120" i="2"/>
  <c r="AG120" i="2"/>
  <c r="AF120" i="2"/>
  <c r="AE120" i="2"/>
  <c r="AD120" i="2"/>
  <c r="AC120" i="2"/>
  <c r="AB120" i="2"/>
  <c r="AA120" i="2"/>
  <c r="Z120" i="2"/>
  <c r="Y120" i="2"/>
  <c r="X120" i="2"/>
  <c r="W120" i="2"/>
  <c r="V120" i="2"/>
  <c r="U120" i="2"/>
  <c r="T120" i="2"/>
  <c r="S120" i="2"/>
  <c r="R120" i="2"/>
  <c r="Q120" i="2"/>
  <c r="P120" i="2"/>
  <c r="O120" i="2"/>
  <c r="N120" i="2"/>
  <c r="M120" i="2"/>
  <c r="L120" i="2"/>
  <c r="K120" i="2"/>
  <c r="J120" i="2"/>
  <c r="I120" i="2"/>
  <c r="E120" i="2" a="1"/>
  <c r="E120" i="2" s="1"/>
  <c r="D120" i="2" a="1"/>
  <c r="D120" i="2" s="1"/>
  <c r="C120" i="2" a="1"/>
  <c r="C120" i="2" s="1"/>
  <c r="B120" i="2" a="1"/>
  <c r="B120" i="2" s="1"/>
  <c r="CG119" i="2"/>
  <c r="CF119" i="2"/>
  <c r="CE119" i="2"/>
  <c r="CD119" i="2"/>
  <c r="CC119" i="2"/>
  <c r="CB119" i="2"/>
  <c r="CA119" i="2"/>
  <c r="BZ119" i="2"/>
  <c r="BY119" i="2"/>
  <c r="BX119" i="2"/>
  <c r="BW119" i="2"/>
  <c r="BV119" i="2"/>
  <c r="BU119" i="2"/>
  <c r="BT119" i="2"/>
  <c r="BS119" i="2"/>
  <c r="BR119" i="2"/>
  <c r="BQ119" i="2"/>
  <c r="BP119" i="2"/>
  <c r="BO119" i="2"/>
  <c r="BN119" i="2"/>
  <c r="BM119" i="2"/>
  <c r="BL119" i="2"/>
  <c r="BK119" i="2"/>
  <c r="BJ119" i="2"/>
  <c r="BI119" i="2"/>
  <c r="BH119" i="2"/>
  <c r="BG119" i="2"/>
  <c r="BF119" i="2"/>
  <c r="BE119" i="2"/>
  <c r="BD119" i="2"/>
  <c r="BC119" i="2"/>
  <c r="BB119" i="2"/>
  <c r="BA119" i="2"/>
  <c r="AZ119" i="2"/>
  <c r="AY119" i="2"/>
  <c r="AX119" i="2"/>
  <c r="AW119" i="2"/>
  <c r="AV119" i="2"/>
  <c r="AU119" i="2"/>
  <c r="AT119" i="2"/>
  <c r="AS119" i="2"/>
  <c r="AR119" i="2"/>
  <c r="AQ119" i="2"/>
  <c r="AP119" i="2"/>
  <c r="AO119" i="2"/>
  <c r="AN119" i="2"/>
  <c r="AM119" i="2"/>
  <c r="AL119" i="2"/>
  <c r="AK119" i="2"/>
  <c r="AJ119" i="2"/>
  <c r="AI119" i="2"/>
  <c r="AH119" i="2"/>
  <c r="AG119" i="2"/>
  <c r="AF119" i="2"/>
  <c r="AE119" i="2"/>
  <c r="AD119" i="2"/>
  <c r="AC119" i="2"/>
  <c r="AB119" i="2"/>
  <c r="AA119" i="2"/>
  <c r="Z119" i="2"/>
  <c r="Y119" i="2"/>
  <c r="X119" i="2"/>
  <c r="W119" i="2"/>
  <c r="V119" i="2"/>
  <c r="U119" i="2"/>
  <c r="T119" i="2"/>
  <c r="S119" i="2"/>
  <c r="R119" i="2"/>
  <c r="Q119" i="2"/>
  <c r="P119" i="2"/>
  <c r="O119" i="2"/>
  <c r="N119" i="2"/>
  <c r="M119" i="2"/>
  <c r="L119" i="2"/>
  <c r="K119" i="2"/>
  <c r="J119" i="2"/>
  <c r="I119" i="2"/>
  <c r="E119" i="2" a="1"/>
  <c r="E119" i="2" s="1"/>
  <c r="D119" i="2" a="1"/>
  <c r="D119" i="2" s="1"/>
  <c r="C119" i="2" a="1"/>
  <c r="C119" i="2" s="1"/>
  <c r="B119" i="2" a="1"/>
  <c r="B119" i="2" s="1"/>
  <c r="CG118" i="2"/>
  <c r="CF118" i="2"/>
  <c r="CE118" i="2"/>
  <c r="CD118" i="2"/>
  <c r="CC118" i="2"/>
  <c r="CB118" i="2"/>
  <c r="CA118" i="2"/>
  <c r="BZ118" i="2"/>
  <c r="BY118" i="2"/>
  <c r="BX118" i="2"/>
  <c r="BW118" i="2"/>
  <c r="BV118" i="2"/>
  <c r="BU118" i="2"/>
  <c r="BT118" i="2"/>
  <c r="BS118" i="2"/>
  <c r="BR118" i="2"/>
  <c r="BQ118" i="2"/>
  <c r="BP118" i="2"/>
  <c r="BO118" i="2"/>
  <c r="BN118" i="2"/>
  <c r="BM118" i="2"/>
  <c r="BL118" i="2"/>
  <c r="BK118" i="2"/>
  <c r="BJ118" i="2"/>
  <c r="BI118" i="2"/>
  <c r="BH118" i="2"/>
  <c r="BG118" i="2"/>
  <c r="BF118" i="2"/>
  <c r="BE118" i="2"/>
  <c r="BC118" i="2"/>
  <c r="BB118" i="2"/>
  <c r="BA118" i="2"/>
  <c r="AZ118" i="2"/>
  <c r="AY118" i="2"/>
  <c r="AX118" i="2"/>
  <c r="AW118" i="2"/>
  <c r="AV118" i="2"/>
  <c r="AU118" i="2"/>
  <c r="AT118" i="2"/>
  <c r="AS118" i="2"/>
  <c r="AR118" i="2"/>
  <c r="AQ118" i="2"/>
  <c r="AP118" i="2"/>
  <c r="AO118" i="2"/>
  <c r="AN118" i="2"/>
  <c r="AM118" i="2"/>
  <c r="AL118" i="2"/>
  <c r="AK118" i="2"/>
  <c r="AJ118" i="2"/>
  <c r="AI118" i="2"/>
  <c r="AH118" i="2"/>
  <c r="AG118" i="2"/>
  <c r="AF118" i="2"/>
  <c r="AE118" i="2"/>
  <c r="AD118" i="2"/>
  <c r="AC118" i="2"/>
  <c r="AB118" i="2"/>
  <c r="AA118" i="2"/>
  <c r="Z118" i="2"/>
  <c r="Y118" i="2"/>
  <c r="X118" i="2"/>
  <c r="W118" i="2"/>
  <c r="V118" i="2"/>
  <c r="U118" i="2"/>
  <c r="T118" i="2"/>
  <c r="S118" i="2"/>
  <c r="R118" i="2"/>
  <c r="Q118" i="2"/>
  <c r="P118" i="2"/>
  <c r="O118" i="2"/>
  <c r="N118" i="2"/>
  <c r="M118" i="2"/>
  <c r="L118" i="2"/>
  <c r="K118" i="2"/>
  <c r="J118" i="2"/>
  <c r="BD118" i="2" s="1"/>
  <c r="I118" i="2"/>
  <c r="E118" i="2" a="1"/>
  <c r="E118" i="2" s="1"/>
  <c r="D118" i="2" a="1"/>
  <c r="D118" i="2" s="1"/>
  <c r="C118" i="2" a="1"/>
  <c r="C118" i="2" s="1"/>
  <c r="B118" i="2" a="1"/>
  <c r="B118" i="2" s="1"/>
  <c r="CG117" i="2"/>
  <c r="CF117" i="2"/>
  <c r="CE117" i="2"/>
  <c r="CD117" i="2"/>
  <c r="CC117" i="2"/>
  <c r="CB117" i="2"/>
  <c r="CA117" i="2"/>
  <c r="BZ117" i="2"/>
  <c r="BY117" i="2"/>
  <c r="BX117" i="2"/>
  <c r="BW117" i="2"/>
  <c r="BV117" i="2"/>
  <c r="BU117" i="2"/>
  <c r="BT117" i="2"/>
  <c r="BS117" i="2"/>
  <c r="BR117" i="2"/>
  <c r="BQ117" i="2"/>
  <c r="BP117" i="2"/>
  <c r="BO117" i="2"/>
  <c r="BN117" i="2"/>
  <c r="BM117" i="2"/>
  <c r="BL117" i="2"/>
  <c r="BK117" i="2"/>
  <c r="BJ117" i="2"/>
  <c r="BI117" i="2"/>
  <c r="BH117" i="2"/>
  <c r="BG117" i="2"/>
  <c r="BF117" i="2"/>
  <c r="BE117" i="2"/>
  <c r="BC117" i="2"/>
  <c r="BB117" i="2"/>
  <c r="BA117" i="2"/>
  <c r="AZ117" i="2"/>
  <c r="AY117" i="2"/>
  <c r="AX117" i="2"/>
  <c r="AW117" i="2"/>
  <c r="AV117" i="2"/>
  <c r="AU117" i="2"/>
  <c r="AT117" i="2"/>
  <c r="AS117" i="2"/>
  <c r="AR117" i="2"/>
  <c r="AQ117" i="2"/>
  <c r="AP117" i="2"/>
  <c r="AO117" i="2"/>
  <c r="AN117" i="2"/>
  <c r="AM117" i="2"/>
  <c r="AL117" i="2"/>
  <c r="AK117" i="2"/>
  <c r="AJ117" i="2"/>
  <c r="AI117" i="2"/>
  <c r="AH117" i="2"/>
  <c r="AG117" i="2"/>
  <c r="AF117" i="2"/>
  <c r="AE117" i="2"/>
  <c r="AD117" i="2"/>
  <c r="AC117" i="2"/>
  <c r="AB117" i="2"/>
  <c r="AA117" i="2"/>
  <c r="Z117" i="2"/>
  <c r="Y117" i="2"/>
  <c r="X117" i="2"/>
  <c r="W117" i="2"/>
  <c r="V117" i="2"/>
  <c r="U117" i="2"/>
  <c r="T117" i="2"/>
  <c r="S117" i="2"/>
  <c r="R117" i="2"/>
  <c r="Q117" i="2"/>
  <c r="P117" i="2"/>
  <c r="O117" i="2"/>
  <c r="N117" i="2"/>
  <c r="M117" i="2"/>
  <c r="L117" i="2"/>
  <c r="K117" i="2"/>
  <c r="J117" i="2"/>
  <c r="BD117" i="2" s="1"/>
  <c r="I117" i="2"/>
  <c r="E117" i="2" a="1"/>
  <c r="E117" i="2" s="1"/>
  <c r="D117" i="2" a="1"/>
  <c r="D117" i="2" s="1"/>
  <c r="C117" i="2" a="1"/>
  <c r="C117" i="2" s="1"/>
  <c r="B117" i="2" a="1"/>
  <c r="B117" i="2" s="1"/>
  <c r="CG116" i="2"/>
  <c r="CF116" i="2"/>
  <c r="CE116" i="2"/>
  <c r="CD116" i="2"/>
  <c r="CC116" i="2"/>
  <c r="CB116" i="2"/>
  <c r="CA116" i="2"/>
  <c r="BZ116" i="2"/>
  <c r="BY116" i="2"/>
  <c r="BX116" i="2"/>
  <c r="BW116" i="2"/>
  <c r="BV116" i="2"/>
  <c r="BU116" i="2"/>
  <c r="BT116" i="2"/>
  <c r="BS116" i="2"/>
  <c r="BR116" i="2"/>
  <c r="BQ116" i="2"/>
  <c r="BP116" i="2"/>
  <c r="BO116" i="2"/>
  <c r="BN116" i="2"/>
  <c r="BM116" i="2"/>
  <c r="BL116" i="2"/>
  <c r="BK116" i="2"/>
  <c r="BJ116" i="2"/>
  <c r="BI116" i="2"/>
  <c r="BH116" i="2"/>
  <c r="BG116" i="2"/>
  <c r="BF116" i="2"/>
  <c r="BE116" i="2"/>
  <c r="BD116" i="2"/>
  <c r="BC116" i="2"/>
  <c r="BB116" i="2"/>
  <c r="BA116" i="2"/>
  <c r="AZ116" i="2"/>
  <c r="AY116" i="2"/>
  <c r="AX116" i="2"/>
  <c r="AW116" i="2"/>
  <c r="AV116" i="2"/>
  <c r="AU116" i="2"/>
  <c r="AT116" i="2"/>
  <c r="AS116" i="2"/>
  <c r="AR116" i="2"/>
  <c r="AQ116" i="2"/>
  <c r="AP116" i="2"/>
  <c r="AO116" i="2"/>
  <c r="AN116" i="2"/>
  <c r="AM116" i="2"/>
  <c r="AL116" i="2"/>
  <c r="AK116" i="2"/>
  <c r="AJ116" i="2"/>
  <c r="AI116" i="2"/>
  <c r="AH116" i="2"/>
  <c r="AG116" i="2"/>
  <c r="AF116" i="2"/>
  <c r="AE116" i="2"/>
  <c r="AD116" i="2"/>
  <c r="AC116" i="2"/>
  <c r="AB116" i="2"/>
  <c r="AA116" i="2"/>
  <c r="Z116" i="2"/>
  <c r="Y116" i="2"/>
  <c r="X116" i="2"/>
  <c r="W116" i="2"/>
  <c r="V116" i="2"/>
  <c r="U116" i="2"/>
  <c r="T116" i="2"/>
  <c r="S116" i="2"/>
  <c r="R116" i="2"/>
  <c r="Q116" i="2"/>
  <c r="P116" i="2"/>
  <c r="O116" i="2"/>
  <c r="N116" i="2"/>
  <c r="M116" i="2"/>
  <c r="L116" i="2"/>
  <c r="K116" i="2"/>
  <c r="J116" i="2"/>
  <c r="I116" i="2"/>
  <c r="E116" i="2" a="1"/>
  <c r="E116" i="2" s="1"/>
  <c r="D116" i="2" a="1"/>
  <c r="D116" i="2" s="1"/>
  <c r="C116" i="2" a="1"/>
  <c r="C116" i="2" s="1"/>
  <c r="B116" i="2" a="1"/>
  <c r="B116" i="2" s="1"/>
  <c r="CG115" i="2"/>
  <c r="CF115" i="2"/>
  <c r="CE115" i="2"/>
  <c r="CD115" i="2"/>
  <c r="CC115" i="2"/>
  <c r="CB115" i="2"/>
  <c r="CA115" i="2"/>
  <c r="BZ115" i="2"/>
  <c r="BY115" i="2"/>
  <c r="BX115" i="2"/>
  <c r="BW115" i="2"/>
  <c r="BV115" i="2"/>
  <c r="BU115" i="2"/>
  <c r="BT115" i="2"/>
  <c r="BS115" i="2"/>
  <c r="BR115" i="2"/>
  <c r="BQ115" i="2"/>
  <c r="BP115" i="2"/>
  <c r="BO115" i="2"/>
  <c r="BN115" i="2"/>
  <c r="BM115" i="2"/>
  <c r="BL115" i="2"/>
  <c r="BK115" i="2"/>
  <c r="BJ115" i="2"/>
  <c r="BI115" i="2"/>
  <c r="BH115" i="2"/>
  <c r="BG115" i="2"/>
  <c r="BF115" i="2"/>
  <c r="BE115" i="2"/>
  <c r="BC115" i="2"/>
  <c r="BB115" i="2"/>
  <c r="BA115" i="2"/>
  <c r="AZ115" i="2"/>
  <c r="AY115" i="2"/>
  <c r="AX115" i="2"/>
  <c r="AW115" i="2"/>
  <c r="AV115" i="2"/>
  <c r="AU115" i="2"/>
  <c r="AT115" i="2"/>
  <c r="AS115" i="2"/>
  <c r="AR115" i="2"/>
  <c r="AQ115" i="2"/>
  <c r="AP115" i="2"/>
  <c r="AO115" i="2"/>
  <c r="AN115" i="2"/>
  <c r="AM115" i="2"/>
  <c r="AL115" i="2"/>
  <c r="AK115" i="2"/>
  <c r="AJ115" i="2"/>
  <c r="AI115" i="2"/>
  <c r="AH115" i="2"/>
  <c r="AG115" i="2"/>
  <c r="AF115" i="2"/>
  <c r="AE115" i="2"/>
  <c r="AD115" i="2"/>
  <c r="AC115" i="2"/>
  <c r="AB115" i="2"/>
  <c r="AA115" i="2"/>
  <c r="Z115" i="2"/>
  <c r="Y115" i="2"/>
  <c r="X115" i="2"/>
  <c r="W115" i="2"/>
  <c r="V115" i="2"/>
  <c r="U115" i="2"/>
  <c r="T115" i="2"/>
  <c r="S115" i="2"/>
  <c r="R115" i="2"/>
  <c r="Q115" i="2"/>
  <c r="P115" i="2"/>
  <c r="O115" i="2"/>
  <c r="N115" i="2"/>
  <c r="M115" i="2"/>
  <c r="L115" i="2"/>
  <c r="K115" i="2"/>
  <c r="J115" i="2"/>
  <c r="BD115" i="2" s="1"/>
  <c r="I115" i="2"/>
  <c r="E115" i="2" a="1"/>
  <c r="E115" i="2" s="1"/>
  <c r="D115" i="2" a="1"/>
  <c r="D115" i="2" s="1"/>
  <c r="C115" i="2" a="1"/>
  <c r="C115" i="2" s="1"/>
  <c r="B115" i="2" a="1"/>
  <c r="B115" i="2" s="1"/>
  <c r="CG114" i="2"/>
  <c r="CF114" i="2"/>
  <c r="CE114" i="2"/>
  <c r="CD114" i="2"/>
  <c r="CC114" i="2"/>
  <c r="CB114" i="2"/>
  <c r="CA114" i="2"/>
  <c r="BZ114" i="2"/>
  <c r="BY114" i="2"/>
  <c r="BX114" i="2"/>
  <c r="BW114" i="2"/>
  <c r="BV114" i="2"/>
  <c r="BU114" i="2"/>
  <c r="BT114" i="2"/>
  <c r="BS114" i="2"/>
  <c r="BR114" i="2"/>
  <c r="BQ114" i="2"/>
  <c r="BP114" i="2"/>
  <c r="BO114" i="2"/>
  <c r="BN114" i="2"/>
  <c r="BM114" i="2"/>
  <c r="BL114" i="2"/>
  <c r="BK114" i="2"/>
  <c r="BJ114" i="2"/>
  <c r="BI114" i="2"/>
  <c r="BH114" i="2"/>
  <c r="BG114" i="2"/>
  <c r="BF114" i="2"/>
  <c r="BE114" i="2"/>
  <c r="BC114" i="2"/>
  <c r="BB114" i="2"/>
  <c r="BA114" i="2"/>
  <c r="AZ114" i="2"/>
  <c r="AY114" i="2"/>
  <c r="AX114" i="2"/>
  <c r="AW114" i="2"/>
  <c r="AV114" i="2"/>
  <c r="AU114" i="2"/>
  <c r="AT114" i="2"/>
  <c r="AS114" i="2"/>
  <c r="AR114" i="2"/>
  <c r="AQ114" i="2"/>
  <c r="AP114" i="2"/>
  <c r="AO114" i="2"/>
  <c r="AN114" i="2"/>
  <c r="AM114" i="2"/>
  <c r="AL114" i="2"/>
  <c r="AK114" i="2"/>
  <c r="AJ114" i="2"/>
  <c r="AI114" i="2"/>
  <c r="AH114" i="2"/>
  <c r="AG114" i="2"/>
  <c r="AF114" i="2"/>
  <c r="AE114" i="2"/>
  <c r="AD114" i="2"/>
  <c r="AC114" i="2"/>
  <c r="AB114" i="2"/>
  <c r="AA114" i="2"/>
  <c r="Z114" i="2"/>
  <c r="Y114" i="2"/>
  <c r="X114" i="2"/>
  <c r="W114" i="2"/>
  <c r="V114" i="2"/>
  <c r="U114" i="2"/>
  <c r="T114" i="2"/>
  <c r="S114" i="2"/>
  <c r="R114" i="2"/>
  <c r="Q114" i="2"/>
  <c r="P114" i="2"/>
  <c r="O114" i="2"/>
  <c r="N114" i="2"/>
  <c r="M114" i="2"/>
  <c r="L114" i="2"/>
  <c r="K114" i="2"/>
  <c r="J114" i="2"/>
  <c r="BD114" i="2" s="1"/>
  <c r="I114" i="2"/>
  <c r="E114" i="2" a="1"/>
  <c r="E114" i="2" s="1"/>
  <c r="D114" i="2" a="1"/>
  <c r="D114" i="2" s="1"/>
  <c r="C114" i="2" a="1"/>
  <c r="C114" i="2" s="1"/>
  <c r="B114" i="2" a="1"/>
  <c r="B114" i="2" s="1"/>
  <c r="CG113" i="2"/>
  <c r="CF113" i="2"/>
  <c r="CE113" i="2"/>
  <c r="CD113" i="2"/>
  <c r="CC113" i="2"/>
  <c r="CB113" i="2"/>
  <c r="CA113" i="2"/>
  <c r="BZ113" i="2"/>
  <c r="BY113" i="2"/>
  <c r="BX113" i="2"/>
  <c r="BW113" i="2"/>
  <c r="BV113" i="2"/>
  <c r="BU113" i="2"/>
  <c r="BT113" i="2"/>
  <c r="BS113" i="2"/>
  <c r="BR113" i="2"/>
  <c r="BQ113" i="2"/>
  <c r="BP113" i="2"/>
  <c r="BO113" i="2"/>
  <c r="BN113" i="2"/>
  <c r="BM113" i="2"/>
  <c r="BL113" i="2"/>
  <c r="BK113" i="2"/>
  <c r="BJ113" i="2"/>
  <c r="BI113" i="2"/>
  <c r="BH113" i="2"/>
  <c r="BG113" i="2"/>
  <c r="BF113" i="2"/>
  <c r="BE113" i="2"/>
  <c r="BC113" i="2"/>
  <c r="BB113" i="2"/>
  <c r="BA113" i="2"/>
  <c r="AZ113" i="2"/>
  <c r="AY113" i="2"/>
  <c r="AX113" i="2"/>
  <c r="AW113" i="2"/>
  <c r="AV113" i="2"/>
  <c r="AU113" i="2"/>
  <c r="AT113" i="2"/>
  <c r="AS113" i="2"/>
  <c r="AR113" i="2"/>
  <c r="AQ113" i="2"/>
  <c r="AP113" i="2"/>
  <c r="AO113" i="2"/>
  <c r="AN113" i="2"/>
  <c r="AM113" i="2"/>
  <c r="AL113" i="2"/>
  <c r="AK113" i="2"/>
  <c r="AJ113" i="2"/>
  <c r="AI113" i="2"/>
  <c r="AH113" i="2"/>
  <c r="AG113" i="2"/>
  <c r="AF113" i="2"/>
  <c r="AE113" i="2"/>
  <c r="AD113" i="2"/>
  <c r="AC113" i="2"/>
  <c r="AB113" i="2"/>
  <c r="AA113" i="2"/>
  <c r="Z113" i="2"/>
  <c r="Y113" i="2"/>
  <c r="X113" i="2"/>
  <c r="W113" i="2"/>
  <c r="V113" i="2"/>
  <c r="U113" i="2"/>
  <c r="T113" i="2"/>
  <c r="S113" i="2"/>
  <c r="R113" i="2"/>
  <c r="Q113" i="2"/>
  <c r="P113" i="2"/>
  <c r="O113" i="2"/>
  <c r="N113" i="2"/>
  <c r="M113" i="2"/>
  <c r="L113" i="2"/>
  <c r="K113" i="2"/>
  <c r="J113" i="2"/>
  <c r="BD113" i="2" s="1"/>
  <c r="I113" i="2"/>
  <c r="E113" i="2" a="1"/>
  <c r="E113" i="2" s="1"/>
  <c r="D113" i="2" a="1"/>
  <c r="D113" i="2" s="1"/>
  <c r="C113" i="2" a="1"/>
  <c r="C113" i="2" s="1"/>
  <c r="B113" i="2" a="1"/>
  <c r="B113" i="2" s="1"/>
  <c r="CG112" i="2"/>
  <c r="CF112" i="2"/>
  <c r="CE112" i="2"/>
  <c r="CD112" i="2"/>
  <c r="CC112" i="2"/>
  <c r="CB112" i="2"/>
  <c r="CA112" i="2"/>
  <c r="BZ112" i="2"/>
  <c r="BY112" i="2"/>
  <c r="BX112" i="2"/>
  <c r="BW112" i="2"/>
  <c r="BV112" i="2"/>
  <c r="BU112" i="2"/>
  <c r="BT112" i="2"/>
  <c r="BS112" i="2"/>
  <c r="BR112" i="2"/>
  <c r="BQ112" i="2"/>
  <c r="BP112" i="2"/>
  <c r="BO112" i="2"/>
  <c r="BN112" i="2"/>
  <c r="BM112" i="2"/>
  <c r="BL112" i="2"/>
  <c r="BK112" i="2"/>
  <c r="BJ112" i="2"/>
  <c r="BI112" i="2"/>
  <c r="BH112" i="2"/>
  <c r="BG112" i="2"/>
  <c r="BF112" i="2"/>
  <c r="BE112" i="2"/>
  <c r="BD112" i="2"/>
  <c r="BC112" i="2"/>
  <c r="BB112" i="2"/>
  <c r="BA112" i="2"/>
  <c r="AZ112" i="2"/>
  <c r="AY112" i="2"/>
  <c r="AX112" i="2"/>
  <c r="AW112" i="2"/>
  <c r="AV112" i="2"/>
  <c r="AU112" i="2"/>
  <c r="AT112" i="2"/>
  <c r="AS112" i="2"/>
  <c r="AR112" i="2"/>
  <c r="AQ112" i="2"/>
  <c r="AP112" i="2"/>
  <c r="AO112" i="2"/>
  <c r="AN112" i="2"/>
  <c r="AM112" i="2"/>
  <c r="AL112" i="2"/>
  <c r="AK112" i="2"/>
  <c r="AJ112" i="2"/>
  <c r="AI112" i="2"/>
  <c r="AH112" i="2"/>
  <c r="AG112" i="2"/>
  <c r="AF112" i="2"/>
  <c r="AE112" i="2"/>
  <c r="AD112" i="2"/>
  <c r="AC112" i="2"/>
  <c r="AB112" i="2"/>
  <c r="AA112" i="2"/>
  <c r="Z112" i="2"/>
  <c r="Y112" i="2"/>
  <c r="X112" i="2"/>
  <c r="W112" i="2"/>
  <c r="V112" i="2"/>
  <c r="U112" i="2"/>
  <c r="T112" i="2"/>
  <c r="S112" i="2"/>
  <c r="R112" i="2"/>
  <c r="Q112" i="2"/>
  <c r="P112" i="2"/>
  <c r="O112" i="2"/>
  <c r="N112" i="2"/>
  <c r="M112" i="2"/>
  <c r="L112" i="2"/>
  <c r="K112" i="2"/>
  <c r="J112" i="2"/>
  <c r="I112" i="2"/>
  <c r="E112" i="2" a="1"/>
  <c r="E112" i="2" s="1"/>
  <c r="D112" i="2" a="1"/>
  <c r="D112" i="2" s="1"/>
  <c r="C112" i="2" a="1"/>
  <c r="C112" i="2" s="1"/>
  <c r="B112" i="2" a="1"/>
  <c r="B112" i="2" s="1"/>
  <c r="CG111" i="2"/>
  <c r="CF111" i="2"/>
  <c r="CE111" i="2"/>
  <c r="CD111" i="2"/>
  <c r="CC111" i="2"/>
  <c r="CB111" i="2"/>
  <c r="CA111" i="2"/>
  <c r="BZ111" i="2"/>
  <c r="BY111" i="2"/>
  <c r="BX111" i="2"/>
  <c r="BW111" i="2"/>
  <c r="BV111" i="2"/>
  <c r="BU111" i="2"/>
  <c r="BT111" i="2"/>
  <c r="BS111" i="2"/>
  <c r="BR111" i="2"/>
  <c r="BQ111" i="2"/>
  <c r="BP111" i="2"/>
  <c r="BO111" i="2"/>
  <c r="BN111" i="2"/>
  <c r="BM111" i="2"/>
  <c r="BL111" i="2"/>
  <c r="BK111" i="2"/>
  <c r="BJ111" i="2"/>
  <c r="BI111" i="2"/>
  <c r="BH111" i="2"/>
  <c r="BG111" i="2"/>
  <c r="BF111" i="2"/>
  <c r="BE111" i="2"/>
  <c r="BD111" i="2"/>
  <c r="BC111" i="2"/>
  <c r="BB111" i="2"/>
  <c r="BA111" i="2"/>
  <c r="AZ111" i="2"/>
  <c r="AY111" i="2"/>
  <c r="AX111" i="2"/>
  <c r="AW111" i="2"/>
  <c r="AV111" i="2"/>
  <c r="AU111" i="2"/>
  <c r="AT111" i="2"/>
  <c r="AS111" i="2"/>
  <c r="AR111" i="2"/>
  <c r="AQ111" i="2"/>
  <c r="AP111" i="2"/>
  <c r="AO111" i="2"/>
  <c r="AN111" i="2"/>
  <c r="AM111" i="2"/>
  <c r="AL111" i="2"/>
  <c r="AK111" i="2"/>
  <c r="AJ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I111" i="2"/>
  <c r="E111" i="2" a="1"/>
  <c r="E111" i="2" s="1"/>
  <c r="D111" i="2" a="1"/>
  <c r="D111" i="2" s="1"/>
  <c r="C111" i="2" a="1"/>
  <c r="C111" i="2" s="1"/>
  <c r="B111" i="2" a="1"/>
  <c r="B111" i="2" s="1"/>
  <c r="CG110" i="2"/>
  <c r="CF110" i="2"/>
  <c r="CE110" i="2"/>
  <c r="CD110" i="2"/>
  <c r="CC110" i="2"/>
  <c r="CB110" i="2"/>
  <c r="CA110" i="2"/>
  <c r="BZ110" i="2"/>
  <c r="BY110" i="2"/>
  <c r="BX110" i="2"/>
  <c r="BW110" i="2"/>
  <c r="BV110" i="2"/>
  <c r="BU110" i="2"/>
  <c r="BT110" i="2"/>
  <c r="BS110" i="2"/>
  <c r="BR110" i="2"/>
  <c r="BQ110" i="2"/>
  <c r="BP110" i="2"/>
  <c r="BO110" i="2"/>
  <c r="BN110" i="2"/>
  <c r="BM110" i="2"/>
  <c r="BL110" i="2"/>
  <c r="BK110" i="2"/>
  <c r="BJ110" i="2"/>
  <c r="BI110" i="2"/>
  <c r="BH110" i="2"/>
  <c r="BG110" i="2"/>
  <c r="BF110" i="2"/>
  <c r="BE110" i="2"/>
  <c r="BC110" i="2"/>
  <c r="BB110" i="2"/>
  <c r="BA110" i="2"/>
  <c r="AZ110" i="2"/>
  <c r="AY110" i="2"/>
  <c r="AX110" i="2"/>
  <c r="AW110" i="2"/>
  <c r="AV110" i="2"/>
  <c r="AU110" i="2"/>
  <c r="AT110" i="2"/>
  <c r="AS110" i="2"/>
  <c r="AR110" i="2"/>
  <c r="AQ110" i="2"/>
  <c r="AP110" i="2"/>
  <c r="AO110" i="2"/>
  <c r="AN110" i="2"/>
  <c r="AM110" i="2"/>
  <c r="AL110" i="2"/>
  <c r="AK110" i="2"/>
  <c r="AJ110"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BD110" i="2" s="1"/>
  <c r="I110" i="2"/>
  <c r="E110" i="2" a="1"/>
  <c r="E110" i="2" s="1"/>
  <c r="D110" i="2" a="1"/>
  <c r="D110" i="2" s="1"/>
  <c r="C110" i="2" a="1"/>
  <c r="C110" i="2" s="1"/>
  <c r="B110" i="2" a="1"/>
  <c r="B110" i="2" s="1"/>
  <c r="CG109" i="2"/>
  <c r="CF109" i="2"/>
  <c r="CE109" i="2"/>
  <c r="CD109" i="2"/>
  <c r="CC109" i="2"/>
  <c r="CB109" i="2"/>
  <c r="CA109" i="2"/>
  <c r="BZ109" i="2"/>
  <c r="BY109" i="2"/>
  <c r="BX109" i="2"/>
  <c r="BW109" i="2"/>
  <c r="BV109" i="2"/>
  <c r="BU109" i="2"/>
  <c r="BT109" i="2"/>
  <c r="BS109" i="2"/>
  <c r="BR109" i="2"/>
  <c r="BQ109" i="2"/>
  <c r="BP109" i="2"/>
  <c r="BO109" i="2"/>
  <c r="BN109" i="2"/>
  <c r="BM109" i="2"/>
  <c r="BL109" i="2"/>
  <c r="BK109" i="2"/>
  <c r="BJ109" i="2"/>
  <c r="BI109" i="2"/>
  <c r="BH109" i="2"/>
  <c r="BG109" i="2"/>
  <c r="BF109" i="2"/>
  <c r="BE109" i="2"/>
  <c r="BD109" i="2"/>
  <c r="BC109" i="2"/>
  <c r="BB109" i="2"/>
  <c r="BA109" i="2"/>
  <c r="AZ109" i="2"/>
  <c r="AY109" i="2"/>
  <c r="AX109" i="2"/>
  <c r="AW109" i="2"/>
  <c r="AV109" i="2"/>
  <c r="AU109" i="2"/>
  <c r="AT109" i="2"/>
  <c r="AS109" i="2"/>
  <c r="AR109" i="2"/>
  <c r="AQ109" i="2"/>
  <c r="AP109" i="2"/>
  <c r="AO109" i="2"/>
  <c r="AN109" i="2"/>
  <c r="AM109" i="2"/>
  <c r="AL109" i="2"/>
  <c r="AK109" i="2"/>
  <c r="AJ109" i="2"/>
  <c r="AI109" i="2"/>
  <c r="AH109" i="2"/>
  <c r="AG109" i="2"/>
  <c r="AF109" i="2"/>
  <c r="AE109" i="2"/>
  <c r="AD109" i="2"/>
  <c r="AC109" i="2"/>
  <c r="AB109" i="2"/>
  <c r="AA109" i="2"/>
  <c r="Z109" i="2"/>
  <c r="Y109" i="2"/>
  <c r="X109" i="2"/>
  <c r="W109" i="2"/>
  <c r="V109" i="2"/>
  <c r="U109" i="2"/>
  <c r="T109" i="2"/>
  <c r="S109" i="2"/>
  <c r="R109" i="2"/>
  <c r="Q109" i="2"/>
  <c r="P109" i="2"/>
  <c r="O109" i="2"/>
  <c r="N109" i="2"/>
  <c r="M109" i="2"/>
  <c r="L109" i="2"/>
  <c r="K109" i="2"/>
  <c r="J109" i="2"/>
  <c r="I109" i="2"/>
  <c r="E109" i="2" a="1"/>
  <c r="E109" i="2" s="1"/>
  <c r="D109" i="2" a="1"/>
  <c r="D109" i="2" s="1"/>
  <c r="C109" i="2" a="1"/>
  <c r="C109" i="2" s="1"/>
  <c r="B109" i="2" a="1"/>
  <c r="B109" i="2" s="1"/>
  <c r="CG108" i="2"/>
  <c r="CF108" i="2"/>
  <c r="CE108" i="2"/>
  <c r="CD108" i="2"/>
  <c r="CC108" i="2"/>
  <c r="CB108" i="2"/>
  <c r="CA108" i="2"/>
  <c r="BZ108" i="2"/>
  <c r="BY108" i="2"/>
  <c r="BX108" i="2"/>
  <c r="BW108" i="2"/>
  <c r="BV108" i="2"/>
  <c r="BU108" i="2"/>
  <c r="BT108" i="2"/>
  <c r="BS108" i="2"/>
  <c r="BR108" i="2"/>
  <c r="BQ108" i="2"/>
  <c r="BP108" i="2"/>
  <c r="BO108" i="2"/>
  <c r="BN108" i="2"/>
  <c r="BM108" i="2"/>
  <c r="BL108" i="2"/>
  <c r="BK108" i="2"/>
  <c r="BJ108" i="2"/>
  <c r="BI108" i="2"/>
  <c r="BH108" i="2"/>
  <c r="BG108" i="2"/>
  <c r="BF108" i="2"/>
  <c r="BE108" i="2"/>
  <c r="BD108" i="2"/>
  <c r="BC108" i="2"/>
  <c r="BB108" i="2"/>
  <c r="BA108" i="2"/>
  <c r="AZ108" i="2"/>
  <c r="AY108" i="2"/>
  <c r="AX108" i="2"/>
  <c r="AW108" i="2"/>
  <c r="AV108" i="2"/>
  <c r="AU108" i="2"/>
  <c r="AT108" i="2"/>
  <c r="AS108" i="2"/>
  <c r="AR108" i="2"/>
  <c r="AQ108" i="2"/>
  <c r="AP108" i="2"/>
  <c r="AO108" i="2"/>
  <c r="AN108" i="2"/>
  <c r="AM108" i="2"/>
  <c r="AL108" i="2"/>
  <c r="AK108" i="2"/>
  <c r="AJ108" i="2"/>
  <c r="AI108" i="2"/>
  <c r="AH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I108" i="2"/>
  <c r="E108" i="2" a="1"/>
  <c r="E108" i="2" s="1"/>
  <c r="D108" i="2" a="1"/>
  <c r="D108" i="2" s="1"/>
  <c r="C108" i="2" a="1"/>
  <c r="C108" i="2" s="1"/>
  <c r="B108" i="2" a="1"/>
  <c r="B108" i="2" s="1"/>
  <c r="CG107" i="2"/>
  <c r="CF107" i="2"/>
  <c r="CE107" i="2"/>
  <c r="CD107" i="2"/>
  <c r="CC107" i="2"/>
  <c r="CB107" i="2"/>
  <c r="CA107" i="2"/>
  <c r="BZ107" i="2"/>
  <c r="BY107" i="2"/>
  <c r="BX107" i="2"/>
  <c r="BW107" i="2"/>
  <c r="BV107" i="2"/>
  <c r="BU107" i="2"/>
  <c r="BT107" i="2"/>
  <c r="BS107" i="2"/>
  <c r="BR107" i="2"/>
  <c r="BQ107" i="2"/>
  <c r="BP107" i="2"/>
  <c r="BO107" i="2"/>
  <c r="BN107" i="2"/>
  <c r="BM107" i="2"/>
  <c r="BL107" i="2"/>
  <c r="BK107" i="2"/>
  <c r="BJ107" i="2"/>
  <c r="BI107" i="2"/>
  <c r="BH107" i="2"/>
  <c r="BG107" i="2"/>
  <c r="BF107" i="2"/>
  <c r="BE107" i="2"/>
  <c r="BD107" i="2"/>
  <c r="BC107" i="2"/>
  <c r="BB107" i="2"/>
  <c r="BA107" i="2"/>
  <c r="AZ107" i="2"/>
  <c r="AY107" i="2"/>
  <c r="AX107" i="2"/>
  <c r="AW107" i="2"/>
  <c r="AV107" i="2"/>
  <c r="AU107" i="2"/>
  <c r="AT107" i="2"/>
  <c r="AS107" i="2"/>
  <c r="AR107" i="2"/>
  <c r="AQ107" i="2"/>
  <c r="AP107" i="2"/>
  <c r="AO107" i="2"/>
  <c r="AN107" i="2"/>
  <c r="AM107" i="2"/>
  <c r="AL107" i="2"/>
  <c r="AK107" i="2"/>
  <c r="AJ107" i="2"/>
  <c r="AI107" i="2"/>
  <c r="AH107" i="2"/>
  <c r="AG107" i="2"/>
  <c r="AF107" i="2"/>
  <c r="AE107" i="2"/>
  <c r="AD107" i="2"/>
  <c r="AC107" i="2"/>
  <c r="AB107" i="2"/>
  <c r="AA107" i="2"/>
  <c r="Z107" i="2"/>
  <c r="Y107" i="2"/>
  <c r="X107" i="2"/>
  <c r="W107" i="2"/>
  <c r="V107" i="2"/>
  <c r="U107" i="2"/>
  <c r="T107" i="2"/>
  <c r="S107" i="2"/>
  <c r="R107" i="2"/>
  <c r="Q107" i="2"/>
  <c r="P107" i="2"/>
  <c r="O107" i="2"/>
  <c r="N107" i="2"/>
  <c r="M107" i="2"/>
  <c r="L107" i="2"/>
  <c r="K107" i="2"/>
  <c r="J107" i="2"/>
  <c r="I107" i="2"/>
  <c r="E107" i="2" a="1"/>
  <c r="E107" i="2" s="1"/>
  <c r="D107" i="2" a="1"/>
  <c r="D107" i="2" s="1"/>
  <c r="C107" i="2" a="1"/>
  <c r="C107" i="2" s="1"/>
  <c r="B107" i="2" a="1"/>
  <c r="B107" i="2" s="1"/>
  <c r="CG106" i="2"/>
  <c r="CF106" i="2"/>
  <c r="CE106" i="2"/>
  <c r="CD106" i="2"/>
  <c r="CC106" i="2"/>
  <c r="CB106" i="2"/>
  <c r="CA106" i="2"/>
  <c r="BZ106" i="2"/>
  <c r="BY106" i="2"/>
  <c r="BX106" i="2"/>
  <c r="BW106" i="2"/>
  <c r="BV106" i="2"/>
  <c r="BU106" i="2"/>
  <c r="BT106" i="2"/>
  <c r="BS106" i="2"/>
  <c r="BR106" i="2"/>
  <c r="BQ106" i="2"/>
  <c r="BP106" i="2"/>
  <c r="BO106" i="2"/>
  <c r="BN106" i="2"/>
  <c r="BM106" i="2"/>
  <c r="BL106" i="2"/>
  <c r="BK106" i="2"/>
  <c r="BJ106" i="2"/>
  <c r="BI106" i="2"/>
  <c r="BH106" i="2"/>
  <c r="BG106" i="2"/>
  <c r="BF106" i="2"/>
  <c r="BE106" i="2"/>
  <c r="BC106" i="2"/>
  <c r="BB106" i="2"/>
  <c r="BA106" i="2"/>
  <c r="AZ106" i="2"/>
  <c r="AY106" i="2"/>
  <c r="AX106" i="2"/>
  <c r="AW106" i="2"/>
  <c r="AV106" i="2"/>
  <c r="AU106" i="2"/>
  <c r="AT106" i="2"/>
  <c r="AS106" i="2"/>
  <c r="AR106" i="2"/>
  <c r="AQ106" i="2"/>
  <c r="AP106" i="2"/>
  <c r="AO106" i="2"/>
  <c r="AN106" i="2"/>
  <c r="AM106" i="2"/>
  <c r="AL106" i="2"/>
  <c r="AK106" i="2"/>
  <c r="AJ106" i="2"/>
  <c r="AI106" i="2"/>
  <c r="AH106" i="2"/>
  <c r="AG106" i="2"/>
  <c r="AF106" i="2"/>
  <c r="AE106" i="2"/>
  <c r="AD106" i="2"/>
  <c r="AC106" i="2"/>
  <c r="AB106" i="2"/>
  <c r="AA106" i="2"/>
  <c r="Z106" i="2"/>
  <c r="Y106" i="2"/>
  <c r="X106" i="2"/>
  <c r="W106" i="2"/>
  <c r="V106" i="2"/>
  <c r="U106" i="2"/>
  <c r="T106" i="2"/>
  <c r="S106" i="2"/>
  <c r="R106" i="2"/>
  <c r="Q106" i="2"/>
  <c r="P106" i="2"/>
  <c r="O106" i="2"/>
  <c r="N106" i="2"/>
  <c r="M106" i="2"/>
  <c r="L106" i="2"/>
  <c r="K106" i="2"/>
  <c r="J106" i="2"/>
  <c r="BD106" i="2" s="1"/>
  <c r="I106" i="2"/>
  <c r="E106" i="2" a="1"/>
  <c r="E106" i="2" s="1"/>
  <c r="D106" i="2" a="1"/>
  <c r="D106" i="2" s="1"/>
  <c r="C106" i="2" a="1"/>
  <c r="C106" i="2" s="1"/>
  <c r="B106" i="2" a="1"/>
  <c r="B106" i="2" s="1"/>
  <c r="CG105" i="2"/>
  <c r="CF105" i="2"/>
  <c r="CE105" i="2"/>
  <c r="CD105" i="2"/>
  <c r="CC105" i="2"/>
  <c r="CB105" i="2"/>
  <c r="CA105" i="2"/>
  <c r="BZ105" i="2"/>
  <c r="BY105" i="2"/>
  <c r="BX105" i="2"/>
  <c r="BW105" i="2"/>
  <c r="BV105" i="2"/>
  <c r="BU105" i="2"/>
  <c r="BT105" i="2"/>
  <c r="BS105" i="2"/>
  <c r="BR105" i="2"/>
  <c r="BQ105" i="2"/>
  <c r="BP105" i="2"/>
  <c r="BO105" i="2"/>
  <c r="BN105" i="2"/>
  <c r="BM105" i="2"/>
  <c r="BL105" i="2"/>
  <c r="BK105" i="2"/>
  <c r="BJ105" i="2"/>
  <c r="BI105" i="2"/>
  <c r="BH105" i="2"/>
  <c r="BG105" i="2"/>
  <c r="BF105" i="2"/>
  <c r="BE105" i="2"/>
  <c r="BC105" i="2"/>
  <c r="BB105" i="2"/>
  <c r="BA105" i="2"/>
  <c r="AZ105" i="2"/>
  <c r="AY105" i="2"/>
  <c r="AX105" i="2"/>
  <c r="AW105" i="2"/>
  <c r="AV105" i="2"/>
  <c r="AU105" i="2"/>
  <c r="AT105" i="2"/>
  <c r="AS105" i="2"/>
  <c r="AR105" i="2"/>
  <c r="AQ105" i="2"/>
  <c r="AP105" i="2"/>
  <c r="AO105" i="2"/>
  <c r="AN105" i="2"/>
  <c r="AM105" i="2"/>
  <c r="AL105" i="2"/>
  <c r="AK105" i="2"/>
  <c r="AJ105" i="2"/>
  <c r="AI105" i="2"/>
  <c r="AH105" i="2"/>
  <c r="AG105" i="2"/>
  <c r="AF105" i="2"/>
  <c r="AE105" i="2"/>
  <c r="AD105" i="2"/>
  <c r="AC105" i="2"/>
  <c r="AB105" i="2"/>
  <c r="AA105" i="2"/>
  <c r="Z105" i="2"/>
  <c r="Y105" i="2"/>
  <c r="X105" i="2"/>
  <c r="W105" i="2"/>
  <c r="V105" i="2"/>
  <c r="U105" i="2"/>
  <c r="T105" i="2"/>
  <c r="S105" i="2"/>
  <c r="R105" i="2"/>
  <c r="Q105" i="2"/>
  <c r="P105" i="2"/>
  <c r="O105" i="2"/>
  <c r="N105" i="2"/>
  <c r="M105" i="2"/>
  <c r="L105" i="2"/>
  <c r="K105" i="2"/>
  <c r="J105" i="2"/>
  <c r="BD105" i="2" s="1"/>
  <c r="I105" i="2"/>
  <c r="E105" i="2" a="1"/>
  <c r="E105" i="2" s="1"/>
  <c r="D105" i="2" a="1"/>
  <c r="D105" i="2" s="1"/>
  <c r="C105" i="2" a="1"/>
  <c r="C105" i="2" s="1"/>
  <c r="B105" i="2" a="1"/>
  <c r="B105" i="2" s="1"/>
  <c r="CG104" i="2"/>
  <c r="CF104" i="2"/>
  <c r="CE104" i="2"/>
  <c r="CD104" i="2"/>
  <c r="CC104" i="2"/>
  <c r="CB104" i="2"/>
  <c r="CA104" i="2"/>
  <c r="BZ104" i="2"/>
  <c r="BY104" i="2"/>
  <c r="BX104" i="2"/>
  <c r="BW104" i="2"/>
  <c r="BV104" i="2"/>
  <c r="BU104" i="2"/>
  <c r="BT104" i="2"/>
  <c r="BS104" i="2"/>
  <c r="BR104" i="2"/>
  <c r="BQ104" i="2"/>
  <c r="BP104" i="2"/>
  <c r="BO104" i="2"/>
  <c r="BN104" i="2"/>
  <c r="BM104" i="2"/>
  <c r="BL104" i="2"/>
  <c r="BK104" i="2"/>
  <c r="BJ104" i="2"/>
  <c r="BI104" i="2"/>
  <c r="BH104" i="2"/>
  <c r="BG104" i="2"/>
  <c r="BF104" i="2"/>
  <c r="BE104" i="2"/>
  <c r="BD104" i="2"/>
  <c r="BC104" i="2"/>
  <c r="BB104" i="2"/>
  <c r="BA104" i="2"/>
  <c r="AZ104" i="2"/>
  <c r="AY104" i="2"/>
  <c r="AX104" i="2"/>
  <c r="AW104" i="2"/>
  <c r="AV104" i="2"/>
  <c r="AU104" i="2"/>
  <c r="AT104" i="2"/>
  <c r="AS104" i="2"/>
  <c r="AR104" i="2"/>
  <c r="AQ104" i="2"/>
  <c r="AP104" i="2"/>
  <c r="AO104" i="2"/>
  <c r="AN104" i="2"/>
  <c r="AM104" i="2"/>
  <c r="AL104" i="2"/>
  <c r="AK104" i="2"/>
  <c r="AJ104" i="2"/>
  <c r="AI104" i="2"/>
  <c r="AH104" i="2"/>
  <c r="AG104" i="2"/>
  <c r="AF104" i="2"/>
  <c r="AE104" i="2"/>
  <c r="AD104" i="2"/>
  <c r="AC104" i="2"/>
  <c r="AB104" i="2"/>
  <c r="AA104" i="2"/>
  <c r="Z104" i="2"/>
  <c r="Y104" i="2"/>
  <c r="X104" i="2"/>
  <c r="W104" i="2"/>
  <c r="V104" i="2"/>
  <c r="U104" i="2"/>
  <c r="T104" i="2"/>
  <c r="S104" i="2"/>
  <c r="R104" i="2"/>
  <c r="Q104" i="2"/>
  <c r="P104" i="2"/>
  <c r="O104" i="2"/>
  <c r="N104" i="2"/>
  <c r="M104" i="2"/>
  <c r="L104" i="2"/>
  <c r="K104" i="2"/>
  <c r="J104" i="2"/>
  <c r="I104" i="2"/>
  <c r="E104" i="2" a="1"/>
  <c r="E104" i="2" s="1"/>
  <c r="D104" i="2" a="1"/>
  <c r="D104" i="2" s="1"/>
  <c r="C104" i="2" a="1"/>
  <c r="C104" i="2" s="1"/>
  <c r="B104" i="2" a="1"/>
  <c r="B104" i="2" s="1"/>
  <c r="CG103" i="2"/>
  <c r="CF103" i="2"/>
  <c r="CE103" i="2"/>
  <c r="CD103" i="2"/>
  <c r="CC103" i="2"/>
  <c r="CB103" i="2"/>
  <c r="CA103" i="2"/>
  <c r="BZ103" i="2"/>
  <c r="BY103" i="2"/>
  <c r="BX103" i="2"/>
  <c r="BW103" i="2"/>
  <c r="BV103" i="2"/>
  <c r="BU103" i="2"/>
  <c r="BT103" i="2"/>
  <c r="BS103" i="2"/>
  <c r="BR103" i="2"/>
  <c r="BQ103" i="2"/>
  <c r="BP103" i="2"/>
  <c r="BO103" i="2"/>
  <c r="BN103" i="2"/>
  <c r="BM103" i="2"/>
  <c r="BL103" i="2"/>
  <c r="BK103" i="2"/>
  <c r="BJ103" i="2"/>
  <c r="BI103" i="2"/>
  <c r="BH103" i="2"/>
  <c r="BG103" i="2"/>
  <c r="BF103" i="2"/>
  <c r="BE103" i="2"/>
  <c r="BC103" i="2"/>
  <c r="BB103" i="2"/>
  <c r="BA103" i="2"/>
  <c r="AZ103" i="2"/>
  <c r="AY103" i="2"/>
  <c r="AX103" i="2"/>
  <c r="AW103" i="2"/>
  <c r="AV103" i="2"/>
  <c r="AU103" i="2"/>
  <c r="AT103" i="2"/>
  <c r="AS103" i="2"/>
  <c r="AR103" i="2"/>
  <c r="AQ103" i="2"/>
  <c r="AP103" i="2"/>
  <c r="AO103" i="2"/>
  <c r="AN103" i="2"/>
  <c r="AM103" i="2"/>
  <c r="AL103" i="2"/>
  <c r="AK103" i="2"/>
  <c r="AJ103" i="2"/>
  <c r="AI103" i="2"/>
  <c r="AH103" i="2"/>
  <c r="AG103" i="2"/>
  <c r="AF103" i="2"/>
  <c r="AE103" i="2"/>
  <c r="AD103" i="2"/>
  <c r="AC103" i="2"/>
  <c r="AB103" i="2"/>
  <c r="AA103" i="2"/>
  <c r="Z103" i="2"/>
  <c r="Y103" i="2"/>
  <c r="X103" i="2"/>
  <c r="W103" i="2"/>
  <c r="V103" i="2"/>
  <c r="U103" i="2"/>
  <c r="T103" i="2"/>
  <c r="S103" i="2"/>
  <c r="R103" i="2"/>
  <c r="Q103" i="2"/>
  <c r="P103" i="2"/>
  <c r="O103" i="2"/>
  <c r="N103" i="2"/>
  <c r="M103" i="2"/>
  <c r="L103" i="2"/>
  <c r="K103" i="2"/>
  <c r="J103" i="2"/>
  <c r="BD103" i="2" s="1"/>
  <c r="I103" i="2"/>
  <c r="E103" i="2" a="1"/>
  <c r="E103" i="2" s="1"/>
  <c r="D103" i="2" a="1"/>
  <c r="D103" i="2" s="1"/>
  <c r="C103" i="2" a="1"/>
  <c r="C103" i="2" s="1"/>
  <c r="B103" i="2" a="1"/>
  <c r="B103" i="2" s="1"/>
  <c r="CG102" i="2"/>
  <c r="CF102" i="2"/>
  <c r="CE102" i="2"/>
  <c r="CD102" i="2"/>
  <c r="CC102" i="2"/>
  <c r="CB102" i="2"/>
  <c r="CA102" i="2"/>
  <c r="BZ102" i="2"/>
  <c r="BY102" i="2"/>
  <c r="BX102" i="2"/>
  <c r="BW102" i="2"/>
  <c r="BV102" i="2"/>
  <c r="BU102" i="2"/>
  <c r="BT102" i="2"/>
  <c r="BS102" i="2"/>
  <c r="BR102" i="2"/>
  <c r="BQ102" i="2"/>
  <c r="BP102" i="2"/>
  <c r="BO102" i="2"/>
  <c r="BN102" i="2"/>
  <c r="BM102" i="2"/>
  <c r="BL102" i="2"/>
  <c r="BK102" i="2"/>
  <c r="BJ102" i="2"/>
  <c r="BI102" i="2"/>
  <c r="BH102" i="2"/>
  <c r="BG102" i="2"/>
  <c r="BF102" i="2"/>
  <c r="BE102" i="2"/>
  <c r="BC102" i="2"/>
  <c r="BB102" i="2"/>
  <c r="BA102" i="2"/>
  <c r="AZ102" i="2"/>
  <c r="AY102" i="2"/>
  <c r="AX102" i="2"/>
  <c r="AW102" i="2"/>
  <c r="AV102" i="2"/>
  <c r="AU102" i="2"/>
  <c r="AT102" i="2"/>
  <c r="AS102" i="2"/>
  <c r="AR102" i="2"/>
  <c r="AQ102" i="2"/>
  <c r="AP102" i="2"/>
  <c r="AO102" i="2"/>
  <c r="AN102" i="2"/>
  <c r="AM102" i="2"/>
  <c r="AL102" i="2"/>
  <c r="AK102" i="2"/>
  <c r="AJ102" i="2"/>
  <c r="AI102" i="2"/>
  <c r="AH102" i="2"/>
  <c r="AG102" i="2"/>
  <c r="AF102" i="2"/>
  <c r="AE102" i="2"/>
  <c r="AD102" i="2"/>
  <c r="AC102" i="2"/>
  <c r="AB102" i="2"/>
  <c r="AA102" i="2"/>
  <c r="Z102" i="2"/>
  <c r="Y102" i="2"/>
  <c r="X102" i="2"/>
  <c r="W102" i="2"/>
  <c r="V102" i="2"/>
  <c r="U102" i="2"/>
  <c r="T102" i="2"/>
  <c r="S102" i="2"/>
  <c r="R102" i="2"/>
  <c r="Q102" i="2"/>
  <c r="P102" i="2"/>
  <c r="O102" i="2"/>
  <c r="N102" i="2"/>
  <c r="M102" i="2"/>
  <c r="L102" i="2"/>
  <c r="K102" i="2"/>
  <c r="J102" i="2"/>
  <c r="BD102" i="2" s="1"/>
  <c r="I102" i="2"/>
  <c r="E102" i="2" a="1"/>
  <c r="E102" i="2" s="1"/>
  <c r="D102" i="2" a="1"/>
  <c r="D102" i="2" s="1"/>
  <c r="C102" i="2" a="1"/>
  <c r="C102" i="2" s="1"/>
  <c r="B102" i="2" a="1"/>
  <c r="B102" i="2" s="1"/>
  <c r="CG101" i="2"/>
  <c r="CF101" i="2"/>
  <c r="CE101" i="2"/>
  <c r="CD101" i="2"/>
  <c r="CC101" i="2"/>
  <c r="CB101" i="2"/>
  <c r="CA101" i="2"/>
  <c r="BZ101" i="2"/>
  <c r="BY101" i="2"/>
  <c r="BX101" i="2"/>
  <c r="BW101" i="2"/>
  <c r="BV101" i="2"/>
  <c r="BU101" i="2"/>
  <c r="BT101" i="2"/>
  <c r="BS101" i="2"/>
  <c r="BR101" i="2"/>
  <c r="BQ101" i="2"/>
  <c r="BP101" i="2"/>
  <c r="BO101" i="2"/>
  <c r="BN101" i="2"/>
  <c r="BM101" i="2"/>
  <c r="BL101" i="2"/>
  <c r="BK101" i="2"/>
  <c r="BJ101" i="2"/>
  <c r="BI101" i="2"/>
  <c r="BH101" i="2"/>
  <c r="BG101" i="2"/>
  <c r="BF101" i="2"/>
  <c r="BE101" i="2"/>
  <c r="BC101" i="2"/>
  <c r="BB101" i="2"/>
  <c r="BA101" i="2"/>
  <c r="AZ101" i="2"/>
  <c r="AY101" i="2"/>
  <c r="AX101" i="2"/>
  <c r="AW101" i="2"/>
  <c r="AV101" i="2"/>
  <c r="AU101" i="2"/>
  <c r="AT101" i="2"/>
  <c r="AS101" i="2"/>
  <c r="AR101" i="2"/>
  <c r="AQ101" i="2"/>
  <c r="AP101" i="2"/>
  <c r="AO101" i="2"/>
  <c r="AN101" i="2"/>
  <c r="AM101" i="2"/>
  <c r="AL101" i="2"/>
  <c r="AK101" i="2"/>
  <c r="AJ101"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BD101" i="2" s="1"/>
  <c r="I101" i="2"/>
  <c r="E101" i="2" a="1"/>
  <c r="E101" i="2" s="1"/>
  <c r="D101" i="2" a="1"/>
  <c r="D101" i="2" s="1"/>
  <c r="C101" i="2" a="1"/>
  <c r="C101" i="2" s="1"/>
  <c r="B101" i="2" a="1"/>
  <c r="B101" i="2" s="1"/>
  <c r="CG100" i="2"/>
  <c r="CF100" i="2"/>
  <c r="CE100" i="2"/>
  <c r="CD100" i="2"/>
  <c r="CC100" i="2"/>
  <c r="CB100" i="2"/>
  <c r="CA100" i="2"/>
  <c r="BZ100" i="2"/>
  <c r="BY100" i="2"/>
  <c r="BX100" i="2"/>
  <c r="BW100" i="2"/>
  <c r="BV100" i="2"/>
  <c r="BU100" i="2"/>
  <c r="BT100" i="2"/>
  <c r="BS100" i="2"/>
  <c r="BR100" i="2"/>
  <c r="BQ100" i="2"/>
  <c r="BP100" i="2"/>
  <c r="BO100" i="2"/>
  <c r="BN100" i="2"/>
  <c r="BM100" i="2"/>
  <c r="BL100" i="2"/>
  <c r="BK100" i="2"/>
  <c r="BJ100" i="2"/>
  <c r="BI100" i="2"/>
  <c r="BH100" i="2"/>
  <c r="BG100" i="2"/>
  <c r="BF100" i="2"/>
  <c r="BE100" i="2"/>
  <c r="BD100" i="2"/>
  <c r="BC100" i="2"/>
  <c r="BB100" i="2"/>
  <c r="BA100" i="2"/>
  <c r="AZ100" i="2"/>
  <c r="AY100" i="2"/>
  <c r="AX100" i="2"/>
  <c r="AW100" i="2"/>
  <c r="AV100" i="2"/>
  <c r="AU100" i="2"/>
  <c r="AT100" i="2"/>
  <c r="AS100" i="2"/>
  <c r="AR100" i="2"/>
  <c r="AQ100" i="2"/>
  <c r="AP100" i="2"/>
  <c r="AO100" i="2"/>
  <c r="AN100" i="2"/>
  <c r="AM100" i="2"/>
  <c r="AL100" i="2"/>
  <c r="AK100" i="2"/>
  <c r="AJ100"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E100" i="2" a="1"/>
  <c r="E100" i="2" s="1"/>
  <c r="D100" i="2" a="1"/>
  <c r="D100" i="2" s="1"/>
  <c r="C100" i="2" a="1"/>
  <c r="C100" i="2" s="1"/>
  <c r="B100" i="2" a="1"/>
  <c r="B100" i="2" s="1"/>
  <c r="CG99" i="2"/>
  <c r="CF99" i="2"/>
  <c r="CE99" i="2"/>
  <c r="CD99" i="2"/>
  <c r="CC99" i="2"/>
  <c r="CB99" i="2"/>
  <c r="CA99" i="2"/>
  <c r="BZ99" i="2"/>
  <c r="BY99" i="2"/>
  <c r="BX99" i="2"/>
  <c r="BW99" i="2"/>
  <c r="BV99" i="2"/>
  <c r="BU99" i="2"/>
  <c r="BT99" i="2"/>
  <c r="BS99" i="2"/>
  <c r="BR99" i="2"/>
  <c r="BQ99" i="2"/>
  <c r="BP99" i="2"/>
  <c r="BO99" i="2"/>
  <c r="BN99" i="2"/>
  <c r="BM99" i="2"/>
  <c r="BL99" i="2"/>
  <c r="BK99" i="2"/>
  <c r="BJ99" i="2"/>
  <c r="BI99" i="2"/>
  <c r="BH99" i="2"/>
  <c r="BG99" i="2"/>
  <c r="BF99" i="2"/>
  <c r="BE99" i="2"/>
  <c r="BC99" i="2"/>
  <c r="BB99" i="2"/>
  <c r="BA99" i="2"/>
  <c r="AZ99" i="2"/>
  <c r="AY99" i="2"/>
  <c r="AX99" i="2"/>
  <c r="AW99" i="2"/>
  <c r="AV99" i="2"/>
  <c r="AU99" i="2"/>
  <c r="AT99" i="2"/>
  <c r="AS99" i="2"/>
  <c r="AR99" i="2"/>
  <c r="AQ99" i="2"/>
  <c r="AP99" i="2"/>
  <c r="AO99" i="2"/>
  <c r="AN99" i="2"/>
  <c r="AM99" i="2"/>
  <c r="AL99" i="2"/>
  <c r="AK99" i="2"/>
  <c r="AJ99" i="2"/>
  <c r="AI99" i="2"/>
  <c r="AH99" i="2"/>
  <c r="AG99" i="2"/>
  <c r="AF99" i="2"/>
  <c r="AE99" i="2"/>
  <c r="AD99" i="2"/>
  <c r="AC99" i="2"/>
  <c r="AB99" i="2"/>
  <c r="AA99" i="2"/>
  <c r="Z99" i="2"/>
  <c r="Y99" i="2"/>
  <c r="X99" i="2"/>
  <c r="W99" i="2"/>
  <c r="V99" i="2"/>
  <c r="U99" i="2"/>
  <c r="T99" i="2"/>
  <c r="S99" i="2"/>
  <c r="R99" i="2"/>
  <c r="Q99" i="2"/>
  <c r="P99" i="2"/>
  <c r="O99" i="2"/>
  <c r="N99" i="2"/>
  <c r="M99" i="2"/>
  <c r="L99" i="2"/>
  <c r="K99" i="2"/>
  <c r="J99" i="2"/>
  <c r="BD99" i="2" s="1"/>
  <c r="I99" i="2"/>
  <c r="E99" i="2" a="1"/>
  <c r="E99" i="2" s="1"/>
  <c r="D99" i="2" a="1"/>
  <c r="D99" i="2" s="1"/>
  <c r="C99" i="2" a="1"/>
  <c r="C99" i="2" s="1"/>
  <c r="B99" i="2" a="1"/>
  <c r="B99" i="2" s="1"/>
  <c r="CG98" i="2"/>
  <c r="CF98" i="2"/>
  <c r="CE98" i="2"/>
  <c r="CD98" i="2"/>
  <c r="CC98" i="2"/>
  <c r="CB98" i="2"/>
  <c r="CA98" i="2"/>
  <c r="BZ98" i="2"/>
  <c r="BY98" i="2"/>
  <c r="BX98" i="2"/>
  <c r="BW98" i="2"/>
  <c r="BV98" i="2"/>
  <c r="BU98" i="2"/>
  <c r="BT98" i="2"/>
  <c r="BS98" i="2"/>
  <c r="BR98" i="2"/>
  <c r="BQ98" i="2"/>
  <c r="BP98" i="2"/>
  <c r="BO98" i="2"/>
  <c r="BN98" i="2"/>
  <c r="BM98" i="2"/>
  <c r="BL98" i="2"/>
  <c r="BK98" i="2"/>
  <c r="BJ98" i="2"/>
  <c r="BI98" i="2"/>
  <c r="BH98" i="2"/>
  <c r="BG98" i="2"/>
  <c r="BF98" i="2"/>
  <c r="BE98" i="2"/>
  <c r="BC98" i="2"/>
  <c r="BB98" i="2"/>
  <c r="BA98" i="2"/>
  <c r="AZ98" i="2"/>
  <c r="AY98" i="2"/>
  <c r="AX98" i="2"/>
  <c r="AW98" i="2"/>
  <c r="AV98" i="2"/>
  <c r="AU98"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BD98" i="2" s="1"/>
  <c r="I98" i="2"/>
  <c r="E98" i="2" a="1"/>
  <c r="E98" i="2" s="1"/>
  <c r="D98" i="2" a="1"/>
  <c r="D98" i="2" s="1"/>
  <c r="C98" i="2" a="1"/>
  <c r="C98" i="2" s="1"/>
  <c r="B98" i="2" a="1"/>
  <c r="B98" i="2" s="1"/>
  <c r="CG97" i="2"/>
  <c r="CF97" i="2"/>
  <c r="CE97" i="2"/>
  <c r="CD97" i="2"/>
  <c r="CC97" i="2"/>
  <c r="CB97" i="2"/>
  <c r="CA97" i="2"/>
  <c r="BZ97" i="2"/>
  <c r="BY97" i="2"/>
  <c r="BX97" i="2"/>
  <c r="BW97" i="2"/>
  <c r="BV97" i="2"/>
  <c r="BU97" i="2"/>
  <c r="BT97" i="2"/>
  <c r="BS97" i="2"/>
  <c r="BR97" i="2"/>
  <c r="BQ97" i="2"/>
  <c r="BP97" i="2"/>
  <c r="BO97" i="2"/>
  <c r="BN97" i="2"/>
  <c r="BM97" i="2"/>
  <c r="BL97" i="2"/>
  <c r="BK97" i="2"/>
  <c r="BJ97" i="2"/>
  <c r="BI97" i="2"/>
  <c r="BH97" i="2"/>
  <c r="BG97" i="2"/>
  <c r="BF97" i="2"/>
  <c r="BE97" i="2"/>
  <c r="BD97" i="2"/>
  <c r="BC97" i="2"/>
  <c r="BB97" i="2"/>
  <c r="BA97" i="2"/>
  <c r="AZ97" i="2"/>
  <c r="AY97" i="2"/>
  <c r="AX97" i="2"/>
  <c r="AW97" i="2"/>
  <c r="AV97" i="2"/>
  <c r="AU97" i="2"/>
  <c r="AT97" i="2"/>
  <c r="AS97" i="2"/>
  <c r="AR97" i="2"/>
  <c r="AQ97" i="2"/>
  <c r="AP97" i="2"/>
  <c r="AO97" i="2"/>
  <c r="AN97" i="2"/>
  <c r="AM97" i="2"/>
  <c r="AL97" i="2"/>
  <c r="AK97" i="2"/>
  <c r="AJ97" i="2"/>
  <c r="AI97" i="2"/>
  <c r="AH97" i="2"/>
  <c r="AG97" i="2"/>
  <c r="AF97" i="2"/>
  <c r="AE97" i="2"/>
  <c r="AD97" i="2"/>
  <c r="AC97" i="2"/>
  <c r="AB97" i="2"/>
  <c r="AA97" i="2"/>
  <c r="Z97" i="2"/>
  <c r="Y97" i="2"/>
  <c r="X97" i="2"/>
  <c r="W97" i="2"/>
  <c r="V97" i="2"/>
  <c r="U97" i="2"/>
  <c r="T97" i="2"/>
  <c r="S97" i="2"/>
  <c r="R97" i="2"/>
  <c r="Q97" i="2"/>
  <c r="P97" i="2"/>
  <c r="O97" i="2"/>
  <c r="N97" i="2"/>
  <c r="M97" i="2"/>
  <c r="L97" i="2"/>
  <c r="K97" i="2"/>
  <c r="J97" i="2"/>
  <c r="I97" i="2"/>
  <c r="E97" i="2" a="1"/>
  <c r="E97" i="2" s="1"/>
  <c r="D97" i="2" a="1"/>
  <c r="D97" i="2" s="1"/>
  <c r="C97" i="2" a="1"/>
  <c r="C97" i="2" s="1"/>
  <c r="B97" i="2" a="1"/>
  <c r="B97" i="2" s="1"/>
  <c r="CG96" i="2"/>
  <c r="CF96" i="2"/>
  <c r="CE96" i="2"/>
  <c r="CD96" i="2"/>
  <c r="CC96" i="2"/>
  <c r="CB96" i="2"/>
  <c r="CA96" i="2"/>
  <c r="BZ96" i="2"/>
  <c r="BY96" i="2"/>
  <c r="BX96" i="2"/>
  <c r="BW96" i="2"/>
  <c r="BV96" i="2"/>
  <c r="BU96" i="2"/>
  <c r="BT96" i="2"/>
  <c r="BS96" i="2"/>
  <c r="BR96" i="2"/>
  <c r="BQ96" i="2"/>
  <c r="BP96" i="2"/>
  <c r="BO96" i="2"/>
  <c r="BN96" i="2"/>
  <c r="BM96" i="2"/>
  <c r="BL96" i="2"/>
  <c r="BK96" i="2"/>
  <c r="BJ96" i="2"/>
  <c r="BI96" i="2"/>
  <c r="BH96" i="2"/>
  <c r="BG96" i="2"/>
  <c r="BF96" i="2"/>
  <c r="BE96" i="2"/>
  <c r="BD96" i="2"/>
  <c r="BC96" i="2"/>
  <c r="BB96" i="2"/>
  <c r="BA96" i="2"/>
  <c r="AZ96" i="2"/>
  <c r="AY96" i="2"/>
  <c r="AX96" i="2"/>
  <c r="AW96" i="2"/>
  <c r="AV96" i="2"/>
  <c r="AU96" i="2"/>
  <c r="AT96" i="2"/>
  <c r="AS96" i="2"/>
  <c r="AR96" i="2"/>
  <c r="AQ96" i="2"/>
  <c r="AP96" i="2"/>
  <c r="AO96" i="2"/>
  <c r="AN96" i="2"/>
  <c r="AM96" i="2"/>
  <c r="AL96" i="2"/>
  <c r="AK96" i="2"/>
  <c r="AJ96" i="2"/>
  <c r="AI96" i="2"/>
  <c r="AH96" i="2"/>
  <c r="AG96" i="2"/>
  <c r="AF96" i="2"/>
  <c r="AE96" i="2"/>
  <c r="AD96" i="2"/>
  <c r="AC96" i="2"/>
  <c r="AB96" i="2"/>
  <c r="AA96" i="2"/>
  <c r="Z96" i="2"/>
  <c r="Y96" i="2"/>
  <c r="X96" i="2"/>
  <c r="W96" i="2"/>
  <c r="V96" i="2"/>
  <c r="U96" i="2"/>
  <c r="T96" i="2"/>
  <c r="S96" i="2"/>
  <c r="R96" i="2"/>
  <c r="Q96" i="2"/>
  <c r="P96" i="2"/>
  <c r="O96" i="2"/>
  <c r="N96" i="2"/>
  <c r="M96" i="2"/>
  <c r="L96" i="2"/>
  <c r="K96" i="2"/>
  <c r="J96" i="2"/>
  <c r="I96" i="2"/>
  <c r="E96" i="2" a="1"/>
  <c r="E96" i="2" s="1"/>
  <c r="D96" i="2" a="1"/>
  <c r="D96" i="2" s="1"/>
  <c r="C96" i="2" a="1"/>
  <c r="C96" i="2" s="1"/>
  <c r="B96" i="2" a="1"/>
  <c r="B96" i="2" s="1"/>
  <c r="CG95" i="2"/>
  <c r="CF95" i="2"/>
  <c r="CE95" i="2"/>
  <c r="CD95" i="2"/>
  <c r="CC95" i="2"/>
  <c r="CB95" i="2"/>
  <c r="CA95" i="2"/>
  <c r="BZ95" i="2"/>
  <c r="BY95" i="2"/>
  <c r="BX95" i="2"/>
  <c r="BW95" i="2"/>
  <c r="BV95" i="2"/>
  <c r="BU95" i="2"/>
  <c r="BT95" i="2"/>
  <c r="BS95" i="2"/>
  <c r="BR95" i="2"/>
  <c r="BQ95" i="2"/>
  <c r="BP95" i="2"/>
  <c r="BO95" i="2"/>
  <c r="BN95" i="2"/>
  <c r="BM95" i="2"/>
  <c r="BL95" i="2"/>
  <c r="BK95" i="2"/>
  <c r="BJ95" i="2"/>
  <c r="BI95" i="2"/>
  <c r="BH95" i="2"/>
  <c r="BG95" i="2"/>
  <c r="BF95" i="2"/>
  <c r="BE95" i="2"/>
  <c r="BC95" i="2"/>
  <c r="BB95" i="2"/>
  <c r="BA95" i="2"/>
  <c r="AZ95" i="2"/>
  <c r="AY95" i="2"/>
  <c r="AX95" i="2"/>
  <c r="AW95" i="2"/>
  <c r="AV95" i="2"/>
  <c r="AU95" i="2"/>
  <c r="AT95" i="2"/>
  <c r="AS95" i="2"/>
  <c r="AR95" i="2"/>
  <c r="AQ95" i="2"/>
  <c r="AP95" i="2"/>
  <c r="AO95" i="2"/>
  <c r="AN95" i="2"/>
  <c r="AM95" i="2"/>
  <c r="AL95" i="2"/>
  <c r="AK95" i="2"/>
  <c r="AJ95" i="2"/>
  <c r="AI95" i="2"/>
  <c r="AH95" i="2"/>
  <c r="AG95" i="2"/>
  <c r="AF95" i="2"/>
  <c r="AE95" i="2"/>
  <c r="AD95" i="2"/>
  <c r="AC95" i="2"/>
  <c r="AB95" i="2"/>
  <c r="AA95" i="2"/>
  <c r="Z95" i="2"/>
  <c r="Y95" i="2"/>
  <c r="X95" i="2"/>
  <c r="W95" i="2"/>
  <c r="V95" i="2"/>
  <c r="U95" i="2"/>
  <c r="T95" i="2"/>
  <c r="S95" i="2"/>
  <c r="R95" i="2"/>
  <c r="Q95" i="2"/>
  <c r="P95" i="2"/>
  <c r="O95" i="2"/>
  <c r="N95" i="2"/>
  <c r="M95" i="2"/>
  <c r="L95" i="2"/>
  <c r="K95" i="2"/>
  <c r="J95" i="2"/>
  <c r="BD95" i="2" s="1"/>
  <c r="I95" i="2"/>
  <c r="E95" i="2" a="1"/>
  <c r="E95" i="2" s="1"/>
  <c r="D95" i="2" a="1"/>
  <c r="D95" i="2" s="1"/>
  <c r="C95" i="2" a="1"/>
  <c r="C95" i="2" s="1"/>
  <c r="B95" i="2" a="1"/>
  <c r="B95" i="2" s="1"/>
  <c r="CG94" i="2"/>
  <c r="CF94" i="2"/>
  <c r="CE94" i="2"/>
  <c r="CD94" i="2"/>
  <c r="CC94" i="2"/>
  <c r="CB94" i="2"/>
  <c r="CA94" i="2"/>
  <c r="BZ94" i="2"/>
  <c r="BY94" i="2"/>
  <c r="BX94" i="2"/>
  <c r="BW94" i="2"/>
  <c r="BV94" i="2"/>
  <c r="BU94" i="2"/>
  <c r="BT94" i="2"/>
  <c r="BS94" i="2"/>
  <c r="BR94" i="2"/>
  <c r="BQ94" i="2"/>
  <c r="BP94" i="2"/>
  <c r="BO94" i="2"/>
  <c r="BN94" i="2"/>
  <c r="BM94" i="2"/>
  <c r="BL94" i="2"/>
  <c r="BK94" i="2"/>
  <c r="BJ94" i="2"/>
  <c r="BI94" i="2"/>
  <c r="BH94" i="2"/>
  <c r="BG94" i="2"/>
  <c r="BF94" i="2"/>
  <c r="BE94" i="2"/>
  <c r="BC94" i="2"/>
  <c r="BB94" i="2"/>
  <c r="BA94" i="2"/>
  <c r="AZ94" i="2"/>
  <c r="AY94" i="2"/>
  <c r="AX94" i="2"/>
  <c r="AW94" i="2"/>
  <c r="AV94" i="2"/>
  <c r="AU94" i="2"/>
  <c r="AT94" i="2"/>
  <c r="AS94" i="2"/>
  <c r="AR94" i="2"/>
  <c r="AQ94" i="2"/>
  <c r="AP94"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BD94" i="2" s="1"/>
  <c r="I94" i="2"/>
  <c r="E94" i="2" a="1"/>
  <c r="E94" i="2" s="1"/>
  <c r="D94" i="2" a="1"/>
  <c r="D94" i="2" s="1"/>
  <c r="C94" i="2" a="1"/>
  <c r="C94" i="2" s="1"/>
  <c r="B94" i="2" a="1"/>
  <c r="B94" i="2" s="1"/>
  <c r="CG93" i="2"/>
  <c r="CF93" i="2"/>
  <c r="CE93" i="2"/>
  <c r="CD93" i="2"/>
  <c r="CC93" i="2"/>
  <c r="CB93" i="2"/>
  <c r="CA93" i="2"/>
  <c r="BZ93" i="2"/>
  <c r="BY93" i="2"/>
  <c r="BX93" i="2"/>
  <c r="BW93" i="2"/>
  <c r="BV93" i="2"/>
  <c r="BU93" i="2"/>
  <c r="BT93" i="2"/>
  <c r="BS93" i="2"/>
  <c r="BR93" i="2"/>
  <c r="BQ93" i="2"/>
  <c r="BP93" i="2"/>
  <c r="BO93" i="2"/>
  <c r="BN93" i="2"/>
  <c r="BM93" i="2"/>
  <c r="BL93" i="2"/>
  <c r="BK93" i="2"/>
  <c r="BJ93" i="2"/>
  <c r="BI93" i="2"/>
  <c r="BH93" i="2"/>
  <c r="BG93" i="2"/>
  <c r="BF93" i="2"/>
  <c r="BE93" i="2"/>
  <c r="BD93" i="2"/>
  <c r="BC93" i="2"/>
  <c r="BB93" i="2"/>
  <c r="BA93" i="2"/>
  <c r="AZ93" i="2"/>
  <c r="AY93" i="2"/>
  <c r="AX93" i="2"/>
  <c r="AW93" i="2"/>
  <c r="AV93" i="2"/>
  <c r="AU93" i="2"/>
  <c r="AT93" i="2"/>
  <c r="AS93" i="2"/>
  <c r="AR93" i="2"/>
  <c r="AQ93" i="2"/>
  <c r="AP93" i="2"/>
  <c r="AO93" i="2"/>
  <c r="AN93" i="2"/>
  <c r="AM93" i="2"/>
  <c r="AL93" i="2"/>
  <c r="AK93" i="2"/>
  <c r="AJ93" i="2"/>
  <c r="AI93" i="2"/>
  <c r="AH93" i="2"/>
  <c r="AG93" i="2"/>
  <c r="AF93" i="2"/>
  <c r="AE93" i="2"/>
  <c r="AD93" i="2"/>
  <c r="AC93" i="2"/>
  <c r="AB93" i="2"/>
  <c r="AA93" i="2"/>
  <c r="Z93" i="2"/>
  <c r="Y93" i="2"/>
  <c r="X93" i="2"/>
  <c r="W93" i="2"/>
  <c r="V93" i="2"/>
  <c r="U93" i="2"/>
  <c r="T93" i="2"/>
  <c r="S93" i="2"/>
  <c r="R93" i="2"/>
  <c r="Q93" i="2"/>
  <c r="P93" i="2"/>
  <c r="O93" i="2"/>
  <c r="N93" i="2"/>
  <c r="M93" i="2"/>
  <c r="L93" i="2"/>
  <c r="K93" i="2"/>
  <c r="J93" i="2"/>
  <c r="I93" i="2"/>
  <c r="E93" i="2" a="1"/>
  <c r="E93" i="2" s="1"/>
  <c r="D93" i="2" a="1"/>
  <c r="D93" i="2" s="1"/>
  <c r="C93" i="2" a="1"/>
  <c r="C93" i="2" s="1"/>
  <c r="B93" i="2" a="1"/>
  <c r="B93" i="2" s="1"/>
  <c r="CG92" i="2"/>
  <c r="CF92" i="2"/>
  <c r="CE92" i="2"/>
  <c r="CD92" i="2"/>
  <c r="CC92" i="2"/>
  <c r="CB92" i="2"/>
  <c r="CA92" i="2"/>
  <c r="BZ92" i="2"/>
  <c r="BY92" i="2"/>
  <c r="BX92" i="2"/>
  <c r="BW92" i="2"/>
  <c r="BV92" i="2"/>
  <c r="BU92" i="2"/>
  <c r="BT92" i="2"/>
  <c r="BS92" i="2"/>
  <c r="BR92" i="2"/>
  <c r="BQ92" i="2"/>
  <c r="BP92" i="2"/>
  <c r="BO92" i="2"/>
  <c r="BN92" i="2"/>
  <c r="BM92" i="2"/>
  <c r="BL92" i="2"/>
  <c r="BK92" i="2"/>
  <c r="BJ92" i="2"/>
  <c r="BI92" i="2"/>
  <c r="BH92" i="2"/>
  <c r="BG92" i="2"/>
  <c r="BF92" i="2"/>
  <c r="BE92" i="2"/>
  <c r="BD92" i="2"/>
  <c r="BC92" i="2"/>
  <c r="BB92" i="2"/>
  <c r="BA92" i="2"/>
  <c r="AZ92" i="2"/>
  <c r="AY92" i="2"/>
  <c r="AX92" i="2"/>
  <c r="AW92" i="2"/>
  <c r="AV92" i="2"/>
  <c r="AU92" i="2"/>
  <c r="AT92" i="2"/>
  <c r="AS92" i="2"/>
  <c r="AR92" i="2"/>
  <c r="AQ92" i="2"/>
  <c r="AP92" i="2"/>
  <c r="AO92" i="2"/>
  <c r="AN92" i="2"/>
  <c r="AM92" i="2"/>
  <c r="AL92" i="2"/>
  <c r="AK92" i="2"/>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E92" i="2" a="1"/>
  <c r="E92" i="2" s="1"/>
  <c r="D92" i="2" a="1"/>
  <c r="D92" i="2" s="1"/>
  <c r="C92" i="2" a="1"/>
  <c r="C92" i="2" s="1"/>
  <c r="B92" i="2" a="1"/>
  <c r="B92" i="2" s="1"/>
  <c r="CG91" i="2"/>
  <c r="CF91" i="2"/>
  <c r="CE91" i="2"/>
  <c r="CD91" i="2"/>
  <c r="CC91" i="2"/>
  <c r="CB91" i="2"/>
  <c r="CA91" i="2"/>
  <c r="BZ91" i="2"/>
  <c r="BY91" i="2"/>
  <c r="BX91" i="2"/>
  <c r="BW91" i="2"/>
  <c r="BV91" i="2"/>
  <c r="BU91" i="2"/>
  <c r="BT91" i="2"/>
  <c r="BS91" i="2"/>
  <c r="BR91" i="2"/>
  <c r="BQ91" i="2"/>
  <c r="BP91" i="2"/>
  <c r="BO91" i="2"/>
  <c r="BN91" i="2"/>
  <c r="BM91" i="2"/>
  <c r="BL91" i="2"/>
  <c r="BK91" i="2"/>
  <c r="BJ91" i="2"/>
  <c r="BI91" i="2"/>
  <c r="BH91" i="2"/>
  <c r="BG91" i="2"/>
  <c r="BF91" i="2"/>
  <c r="BE91" i="2"/>
  <c r="BD91" i="2"/>
  <c r="BC91" i="2"/>
  <c r="BB91" i="2"/>
  <c r="BA91" i="2"/>
  <c r="AZ91" i="2"/>
  <c r="AY91" i="2"/>
  <c r="AX91" i="2"/>
  <c r="AW91" i="2"/>
  <c r="AV91" i="2"/>
  <c r="AU91" i="2"/>
  <c r="AT91" i="2"/>
  <c r="AS91" i="2"/>
  <c r="AR91" i="2"/>
  <c r="AQ91" i="2"/>
  <c r="AP91" i="2"/>
  <c r="AO91" i="2"/>
  <c r="AN91" i="2"/>
  <c r="AM91" i="2"/>
  <c r="AL91" i="2"/>
  <c r="AK91" i="2"/>
  <c r="AJ91" i="2"/>
  <c r="AI91" i="2"/>
  <c r="AH91" i="2"/>
  <c r="AG91" i="2"/>
  <c r="AF91" i="2"/>
  <c r="AE91" i="2"/>
  <c r="AD91" i="2"/>
  <c r="AC91" i="2"/>
  <c r="AB91" i="2"/>
  <c r="AA91" i="2"/>
  <c r="Z91" i="2"/>
  <c r="Y91" i="2"/>
  <c r="X91" i="2"/>
  <c r="W91" i="2"/>
  <c r="V91" i="2"/>
  <c r="U91" i="2"/>
  <c r="T91" i="2"/>
  <c r="S91" i="2"/>
  <c r="R91" i="2"/>
  <c r="Q91" i="2"/>
  <c r="P91" i="2"/>
  <c r="O91" i="2"/>
  <c r="N91" i="2"/>
  <c r="M91" i="2"/>
  <c r="L91" i="2"/>
  <c r="K91" i="2"/>
  <c r="J91" i="2"/>
  <c r="I91" i="2"/>
  <c r="E91" i="2" a="1"/>
  <c r="E91" i="2" s="1"/>
  <c r="D91" i="2" a="1"/>
  <c r="D91" i="2" s="1"/>
  <c r="C91" i="2" a="1"/>
  <c r="C91" i="2" s="1"/>
  <c r="B91" i="2" a="1"/>
  <c r="B91" i="2" s="1"/>
  <c r="CG90" i="2"/>
  <c r="CF90" i="2"/>
  <c r="CE90" i="2"/>
  <c r="CD90" i="2"/>
  <c r="CC90" i="2"/>
  <c r="CB90" i="2"/>
  <c r="CA90" i="2"/>
  <c r="BZ90" i="2"/>
  <c r="BY90" i="2"/>
  <c r="BX90" i="2"/>
  <c r="BW90" i="2"/>
  <c r="BV90" i="2"/>
  <c r="BU90" i="2"/>
  <c r="BT90" i="2"/>
  <c r="BS90" i="2"/>
  <c r="BR90" i="2"/>
  <c r="BQ90" i="2"/>
  <c r="BP90" i="2"/>
  <c r="BO90" i="2"/>
  <c r="BN90" i="2"/>
  <c r="BM90" i="2"/>
  <c r="BL90" i="2"/>
  <c r="BK90" i="2"/>
  <c r="BJ90" i="2"/>
  <c r="BI90" i="2"/>
  <c r="BH90" i="2"/>
  <c r="BG90" i="2"/>
  <c r="BF90" i="2"/>
  <c r="BE90" i="2"/>
  <c r="BC90" i="2"/>
  <c r="BB90" i="2"/>
  <c r="BA90" i="2"/>
  <c r="AZ90" i="2"/>
  <c r="AY90" i="2"/>
  <c r="AX90" i="2"/>
  <c r="AW90" i="2"/>
  <c r="AV90" i="2"/>
  <c r="AU90" i="2"/>
  <c r="AT90" i="2"/>
  <c r="AS90" i="2"/>
  <c r="AR90" i="2"/>
  <c r="AQ90" i="2"/>
  <c r="AP90" i="2"/>
  <c r="AO90" i="2"/>
  <c r="AN90" i="2"/>
  <c r="AM90" i="2"/>
  <c r="AL90" i="2"/>
  <c r="AK90" i="2"/>
  <c r="AJ90" i="2"/>
  <c r="AI90" i="2"/>
  <c r="AH90" i="2"/>
  <c r="AG90" i="2"/>
  <c r="AF90" i="2"/>
  <c r="AE90" i="2"/>
  <c r="AD90" i="2"/>
  <c r="AC90" i="2"/>
  <c r="AB90" i="2"/>
  <c r="AA90" i="2"/>
  <c r="Z90" i="2"/>
  <c r="Y90" i="2"/>
  <c r="X90" i="2"/>
  <c r="W90" i="2"/>
  <c r="V90" i="2"/>
  <c r="U90" i="2"/>
  <c r="T90" i="2"/>
  <c r="S90" i="2"/>
  <c r="R90" i="2"/>
  <c r="Q90" i="2"/>
  <c r="P90" i="2"/>
  <c r="O90" i="2"/>
  <c r="N90" i="2"/>
  <c r="M90" i="2"/>
  <c r="L90" i="2"/>
  <c r="K90" i="2"/>
  <c r="J90" i="2"/>
  <c r="BD90" i="2" s="1"/>
  <c r="I90" i="2"/>
  <c r="E90" i="2" a="1"/>
  <c r="E90" i="2" s="1"/>
  <c r="D90" i="2" a="1"/>
  <c r="D90" i="2" s="1"/>
  <c r="C90" i="2" a="1"/>
  <c r="C90" i="2" s="1"/>
  <c r="B90" i="2" a="1"/>
  <c r="B90" i="2" s="1"/>
  <c r="CG89" i="2"/>
  <c r="CF89" i="2"/>
  <c r="CE89" i="2"/>
  <c r="CD89" i="2"/>
  <c r="CC89" i="2"/>
  <c r="CB89" i="2"/>
  <c r="CA89" i="2"/>
  <c r="BZ89" i="2"/>
  <c r="BY89" i="2"/>
  <c r="BX89" i="2"/>
  <c r="BW89" i="2"/>
  <c r="BV89" i="2"/>
  <c r="BU89" i="2"/>
  <c r="BT89" i="2"/>
  <c r="BS89" i="2"/>
  <c r="BR89" i="2"/>
  <c r="BQ89" i="2"/>
  <c r="BP89" i="2"/>
  <c r="BO89" i="2"/>
  <c r="BN89" i="2"/>
  <c r="BM89" i="2"/>
  <c r="BL89" i="2"/>
  <c r="BK89" i="2"/>
  <c r="BJ89" i="2"/>
  <c r="BI89" i="2"/>
  <c r="BH89" i="2"/>
  <c r="BG89" i="2"/>
  <c r="BF89" i="2"/>
  <c r="BE89" i="2"/>
  <c r="BD89" i="2"/>
  <c r="BC89" i="2"/>
  <c r="BB89" i="2"/>
  <c r="BA89" i="2"/>
  <c r="AZ89"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X89" i="2"/>
  <c r="W89" i="2"/>
  <c r="V89" i="2"/>
  <c r="U89" i="2"/>
  <c r="T89" i="2"/>
  <c r="S89" i="2"/>
  <c r="R89" i="2"/>
  <c r="Q89" i="2"/>
  <c r="P89" i="2"/>
  <c r="O89" i="2"/>
  <c r="N89" i="2"/>
  <c r="M89" i="2"/>
  <c r="L89" i="2"/>
  <c r="K89" i="2"/>
  <c r="J89" i="2"/>
  <c r="I89" i="2"/>
  <c r="E89" i="2" a="1"/>
  <c r="E89" i="2" s="1"/>
  <c r="D89" i="2" a="1"/>
  <c r="D89" i="2" s="1"/>
  <c r="C89" i="2" a="1"/>
  <c r="C89" i="2" s="1"/>
  <c r="B89" i="2" a="1"/>
  <c r="B89" i="2" s="1"/>
  <c r="CG88" i="2"/>
  <c r="CF88" i="2"/>
  <c r="CE88" i="2"/>
  <c r="CD88" i="2"/>
  <c r="CC88" i="2"/>
  <c r="CB88" i="2"/>
  <c r="CA88" i="2"/>
  <c r="BZ88" i="2"/>
  <c r="BY88" i="2"/>
  <c r="BX88" i="2"/>
  <c r="BW88" i="2"/>
  <c r="BV88" i="2"/>
  <c r="BU88" i="2"/>
  <c r="BT88" i="2"/>
  <c r="BS88" i="2"/>
  <c r="BR88" i="2"/>
  <c r="BQ88" i="2"/>
  <c r="BP88" i="2"/>
  <c r="BO88" i="2"/>
  <c r="BN88" i="2"/>
  <c r="BM88" i="2"/>
  <c r="BL88" i="2"/>
  <c r="BK88" i="2"/>
  <c r="BJ88" i="2"/>
  <c r="BI88" i="2"/>
  <c r="BH88" i="2"/>
  <c r="BG88" i="2"/>
  <c r="BF88" i="2"/>
  <c r="BE88" i="2"/>
  <c r="BD88" i="2"/>
  <c r="BC88" i="2"/>
  <c r="BB88" i="2"/>
  <c r="BA88" i="2"/>
  <c r="AZ88" i="2"/>
  <c r="AY88" i="2"/>
  <c r="AX88" i="2"/>
  <c r="AW88" i="2"/>
  <c r="AV88" i="2"/>
  <c r="AU88" i="2"/>
  <c r="AT88" i="2"/>
  <c r="AS88" i="2"/>
  <c r="AR88" i="2"/>
  <c r="AQ88" i="2"/>
  <c r="AP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E88" i="2" a="1"/>
  <c r="E88" i="2" s="1"/>
  <c r="D88" i="2" a="1"/>
  <c r="D88" i="2" s="1"/>
  <c r="C88" i="2" a="1"/>
  <c r="C88" i="2" s="1"/>
  <c r="B88" i="2" a="1"/>
  <c r="B88" i="2" s="1"/>
  <c r="CG87" i="2"/>
  <c r="CF87" i="2"/>
  <c r="CE87" i="2"/>
  <c r="CD87" i="2"/>
  <c r="CC87" i="2"/>
  <c r="CB87" i="2"/>
  <c r="CA87" i="2"/>
  <c r="BZ87" i="2"/>
  <c r="BY87" i="2"/>
  <c r="BX87" i="2"/>
  <c r="BW87" i="2"/>
  <c r="BV87" i="2"/>
  <c r="BU87" i="2"/>
  <c r="BT87" i="2"/>
  <c r="BS87" i="2"/>
  <c r="BR87" i="2"/>
  <c r="BQ87" i="2"/>
  <c r="BP87" i="2"/>
  <c r="BO87" i="2"/>
  <c r="BN87" i="2"/>
  <c r="BM87" i="2"/>
  <c r="BL87" i="2"/>
  <c r="BK87" i="2"/>
  <c r="BJ87" i="2"/>
  <c r="BI87" i="2"/>
  <c r="BH87" i="2"/>
  <c r="BG87" i="2"/>
  <c r="BF87" i="2"/>
  <c r="BE87" i="2"/>
  <c r="BD87" i="2"/>
  <c r="BC87" i="2"/>
  <c r="BB87" i="2"/>
  <c r="BA87" i="2"/>
  <c r="AZ87" i="2"/>
  <c r="AY87" i="2"/>
  <c r="AX87" i="2"/>
  <c r="AW87" i="2"/>
  <c r="AV87" i="2"/>
  <c r="AU87" i="2"/>
  <c r="AT87" i="2"/>
  <c r="AS87" i="2"/>
  <c r="AR87" i="2"/>
  <c r="AQ87" i="2"/>
  <c r="AP87" i="2"/>
  <c r="AO87" i="2"/>
  <c r="AN87" i="2"/>
  <c r="AM87" i="2"/>
  <c r="AL87" i="2"/>
  <c r="AK87" i="2"/>
  <c r="AJ87" i="2"/>
  <c r="AI87" i="2"/>
  <c r="AH87" i="2"/>
  <c r="AG87" i="2"/>
  <c r="AF87" i="2"/>
  <c r="AE87" i="2"/>
  <c r="AD87" i="2"/>
  <c r="AC87" i="2"/>
  <c r="AB87" i="2"/>
  <c r="AA87" i="2"/>
  <c r="Z87" i="2"/>
  <c r="Y87" i="2"/>
  <c r="X87" i="2"/>
  <c r="W87" i="2"/>
  <c r="V87" i="2"/>
  <c r="U87" i="2"/>
  <c r="T87" i="2"/>
  <c r="S87" i="2"/>
  <c r="R87" i="2"/>
  <c r="Q87" i="2"/>
  <c r="P87" i="2"/>
  <c r="O87" i="2"/>
  <c r="N87" i="2"/>
  <c r="M87" i="2"/>
  <c r="L87" i="2"/>
  <c r="K87" i="2"/>
  <c r="J87" i="2"/>
  <c r="I87" i="2"/>
  <c r="E87" i="2" a="1"/>
  <c r="E87" i="2" s="1"/>
  <c r="D87" i="2" a="1"/>
  <c r="D87" i="2" s="1"/>
  <c r="C87" i="2" a="1"/>
  <c r="C87" i="2" s="1"/>
  <c r="B87" i="2" a="1"/>
  <c r="B87" i="2" s="1"/>
  <c r="CG86" i="2"/>
  <c r="CF86" i="2"/>
  <c r="CE86" i="2"/>
  <c r="CD86" i="2"/>
  <c r="CC86" i="2"/>
  <c r="CB86" i="2"/>
  <c r="CA86" i="2"/>
  <c r="BZ86" i="2"/>
  <c r="BY86" i="2"/>
  <c r="BX86" i="2"/>
  <c r="BW86" i="2"/>
  <c r="BV86" i="2"/>
  <c r="BU86" i="2"/>
  <c r="BT86" i="2"/>
  <c r="BS86" i="2"/>
  <c r="BR86" i="2"/>
  <c r="BQ86" i="2"/>
  <c r="BP86" i="2"/>
  <c r="BO86" i="2"/>
  <c r="BN86" i="2"/>
  <c r="BM86" i="2"/>
  <c r="BL86" i="2"/>
  <c r="BK86" i="2"/>
  <c r="BJ86" i="2"/>
  <c r="BI86" i="2"/>
  <c r="BH86" i="2"/>
  <c r="BG86" i="2"/>
  <c r="BF86" i="2"/>
  <c r="BE86" i="2"/>
  <c r="BD86" i="2"/>
  <c r="BC86" i="2"/>
  <c r="BB86" i="2"/>
  <c r="BA86" i="2"/>
  <c r="AZ86" i="2"/>
  <c r="AY86" i="2"/>
  <c r="AX86" i="2"/>
  <c r="AW86" i="2"/>
  <c r="AV86" i="2"/>
  <c r="AU86" i="2"/>
  <c r="AT86" i="2"/>
  <c r="AS86" i="2"/>
  <c r="AR86" i="2"/>
  <c r="AQ86" i="2"/>
  <c r="AP86" i="2"/>
  <c r="AO86" i="2"/>
  <c r="AN86" i="2"/>
  <c r="AM86" i="2"/>
  <c r="AL86" i="2"/>
  <c r="AK86" i="2"/>
  <c r="AJ86" i="2"/>
  <c r="AI86" i="2"/>
  <c r="AH86" i="2"/>
  <c r="AG86" i="2"/>
  <c r="AF86" i="2"/>
  <c r="AE86" i="2"/>
  <c r="AD86" i="2"/>
  <c r="AC86" i="2"/>
  <c r="AB86" i="2"/>
  <c r="AA86" i="2"/>
  <c r="Z86" i="2"/>
  <c r="Y86" i="2"/>
  <c r="X86" i="2"/>
  <c r="W86" i="2"/>
  <c r="V86" i="2"/>
  <c r="U86" i="2"/>
  <c r="T86" i="2"/>
  <c r="S86" i="2"/>
  <c r="R86" i="2"/>
  <c r="Q86" i="2"/>
  <c r="P86" i="2"/>
  <c r="O86" i="2"/>
  <c r="N86" i="2"/>
  <c r="M86" i="2"/>
  <c r="L86" i="2"/>
  <c r="K86" i="2"/>
  <c r="J86" i="2"/>
  <c r="I86" i="2"/>
  <c r="E86" i="2" a="1"/>
  <c r="E86" i="2" s="1"/>
  <c r="D86" i="2" a="1"/>
  <c r="D86" i="2" s="1"/>
  <c r="C86" i="2" a="1"/>
  <c r="C86" i="2" s="1"/>
  <c r="B86" i="2" a="1"/>
  <c r="B86" i="2" s="1"/>
  <c r="CG85" i="2"/>
  <c r="CF85" i="2"/>
  <c r="CE85" i="2"/>
  <c r="CD85" i="2"/>
  <c r="CC85" i="2"/>
  <c r="CB85" i="2"/>
  <c r="CA85" i="2"/>
  <c r="BZ85" i="2"/>
  <c r="BY85" i="2"/>
  <c r="BX85" i="2"/>
  <c r="BW85" i="2"/>
  <c r="BV85" i="2"/>
  <c r="BU85" i="2"/>
  <c r="BT85" i="2"/>
  <c r="BS85" i="2"/>
  <c r="BR85" i="2"/>
  <c r="BQ85" i="2"/>
  <c r="BP85" i="2"/>
  <c r="BO85" i="2"/>
  <c r="BN85" i="2"/>
  <c r="BM85" i="2"/>
  <c r="BL85" i="2"/>
  <c r="BK85" i="2"/>
  <c r="BJ85" i="2"/>
  <c r="BI85" i="2"/>
  <c r="BH85" i="2"/>
  <c r="BG85" i="2"/>
  <c r="BF85" i="2"/>
  <c r="BE85" i="2"/>
  <c r="BC85" i="2"/>
  <c r="BB85" i="2"/>
  <c r="BA85" i="2"/>
  <c r="AZ85" i="2"/>
  <c r="AY85" i="2"/>
  <c r="AX85" i="2"/>
  <c r="AW85" i="2"/>
  <c r="AV85" i="2"/>
  <c r="AU85" i="2"/>
  <c r="AT85" i="2"/>
  <c r="AS85" i="2"/>
  <c r="AR85" i="2"/>
  <c r="AQ85" i="2"/>
  <c r="AP85" i="2"/>
  <c r="AO85" i="2"/>
  <c r="AN85" i="2"/>
  <c r="AM85" i="2"/>
  <c r="AL85" i="2"/>
  <c r="AK85" i="2"/>
  <c r="AJ85" i="2"/>
  <c r="AI85" i="2"/>
  <c r="AH85" i="2"/>
  <c r="AG85" i="2"/>
  <c r="AF85" i="2"/>
  <c r="AE85" i="2"/>
  <c r="AD85" i="2"/>
  <c r="AC85" i="2"/>
  <c r="AB85" i="2"/>
  <c r="AA85" i="2"/>
  <c r="Z85" i="2"/>
  <c r="Y85" i="2"/>
  <c r="X85" i="2"/>
  <c r="W85" i="2"/>
  <c r="V85" i="2"/>
  <c r="U85" i="2"/>
  <c r="T85" i="2"/>
  <c r="S85" i="2"/>
  <c r="R85" i="2"/>
  <c r="Q85" i="2"/>
  <c r="P85" i="2"/>
  <c r="O85" i="2"/>
  <c r="N85" i="2"/>
  <c r="M85" i="2"/>
  <c r="L85" i="2"/>
  <c r="K85" i="2"/>
  <c r="J85" i="2"/>
  <c r="BD85" i="2" s="1"/>
  <c r="I85" i="2"/>
  <c r="E85" i="2" a="1"/>
  <c r="E85" i="2" s="1"/>
  <c r="D85" i="2" a="1"/>
  <c r="D85" i="2" s="1"/>
  <c r="C85" i="2" a="1"/>
  <c r="C85" i="2" s="1"/>
  <c r="B85" i="2" a="1"/>
  <c r="B85" i="2" s="1"/>
  <c r="CG84" i="2"/>
  <c r="CF84" i="2"/>
  <c r="CE84" i="2"/>
  <c r="CD84" i="2"/>
  <c r="CC84" i="2"/>
  <c r="CB84" i="2"/>
  <c r="CA84" i="2"/>
  <c r="BZ84" i="2"/>
  <c r="BY84" i="2"/>
  <c r="BX84" i="2"/>
  <c r="BW84" i="2"/>
  <c r="BV84" i="2"/>
  <c r="BU84" i="2"/>
  <c r="BT84" i="2"/>
  <c r="BS84" i="2"/>
  <c r="BR84" i="2"/>
  <c r="BQ84" i="2"/>
  <c r="BP84" i="2"/>
  <c r="BO84" i="2"/>
  <c r="BN84" i="2"/>
  <c r="BM84" i="2"/>
  <c r="BL84" i="2"/>
  <c r="BK84" i="2"/>
  <c r="BJ84" i="2"/>
  <c r="BI84" i="2"/>
  <c r="BH84" i="2"/>
  <c r="BG84" i="2"/>
  <c r="BF84" i="2"/>
  <c r="BE84" i="2"/>
  <c r="BD84" i="2"/>
  <c r="BC84" i="2"/>
  <c r="BB84" i="2"/>
  <c r="BA84" i="2"/>
  <c r="AZ84" i="2"/>
  <c r="AY84" i="2"/>
  <c r="AX84" i="2"/>
  <c r="AW84" i="2"/>
  <c r="AV84" i="2"/>
  <c r="AU84" i="2"/>
  <c r="AT84" i="2"/>
  <c r="AS84" i="2"/>
  <c r="AR84" i="2"/>
  <c r="AQ84" i="2"/>
  <c r="AP84" i="2"/>
  <c r="AO84" i="2"/>
  <c r="AN84" i="2"/>
  <c r="AM84" i="2"/>
  <c r="AL84" i="2"/>
  <c r="AK84" i="2"/>
  <c r="AJ84" i="2"/>
  <c r="AI84" i="2"/>
  <c r="AH84" i="2"/>
  <c r="AG84" i="2"/>
  <c r="AF84" i="2"/>
  <c r="AE84" i="2"/>
  <c r="AD84" i="2"/>
  <c r="AC84" i="2"/>
  <c r="AB84" i="2"/>
  <c r="AA84" i="2"/>
  <c r="Z84" i="2"/>
  <c r="Y84" i="2"/>
  <c r="X84" i="2"/>
  <c r="W84" i="2"/>
  <c r="V84" i="2"/>
  <c r="U84" i="2"/>
  <c r="T84" i="2"/>
  <c r="S84" i="2"/>
  <c r="R84" i="2"/>
  <c r="Q84" i="2"/>
  <c r="P84" i="2"/>
  <c r="O84" i="2"/>
  <c r="N84" i="2"/>
  <c r="M84" i="2"/>
  <c r="L84" i="2"/>
  <c r="K84" i="2"/>
  <c r="J84" i="2"/>
  <c r="I84" i="2"/>
  <c r="E84" i="2" a="1"/>
  <c r="E84" i="2" s="1"/>
  <c r="D84" i="2" a="1"/>
  <c r="D84" i="2" s="1"/>
  <c r="C84" i="2" a="1"/>
  <c r="C84" i="2" s="1"/>
  <c r="B84" i="2" a="1"/>
  <c r="B84" i="2" s="1"/>
  <c r="CG83" i="2"/>
  <c r="CF83" i="2"/>
  <c r="CE83" i="2"/>
  <c r="CD83" i="2"/>
  <c r="CC83" i="2"/>
  <c r="CB83" i="2"/>
  <c r="CA83" i="2"/>
  <c r="BZ83" i="2"/>
  <c r="BY83" i="2"/>
  <c r="BX83" i="2"/>
  <c r="BW83" i="2"/>
  <c r="BV83" i="2"/>
  <c r="BU83" i="2"/>
  <c r="BT83" i="2"/>
  <c r="BS83" i="2"/>
  <c r="BR83" i="2"/>
  <c r="BQ83" i="2"/>
  <c r="BP83" i="2"/>
  <c r="BO83" i="2"/>
  <c r="BN83" i="2"/>
  <c r="BM83" i="2"/>
  <c r="BL83" i="2"/>
  <c r="BK83" i="2"/>
  <c r="BJ83" i="2"/>
  <c r="BI83" i="2"/>
  <c r="BH83" i="2"/>
  <c r="BG83" i="2"/>
  <c r="BF83" i="2"/>
  <c r="BE83" i="2"/>
  <c r="BD83" i="2"/>
  <c r="BC83" i="2"/>
  <c r="BB83" i="2"/>
  <c r="BA83" i="2"/>
  <c r="AZ83" i="2"/>
  <c r="AY83" i="2"/>
  <c r="AX83" i="2"/>
  <c r="AW83" i="2"/>
  <c r="AV83" i="2"/>
  <c r="AU83" i="2"/>
  <c r="AT83" i="2"/>
  <c r="AS83" i="2"/>
  <c r="AR83" i="2"/>
  <c r="AQ83" i="2"/>
  <c r="AP83" i="2"/>
  <c r="AO83" i="2"/>
  <c r="AN83" i="2"/>
  <c r="AM83" i="2"/>
  <c r="AL83" i="2"/>
  <c r="AK83" i="2"/>
  <c r="AJ83" i="2"/>
  <c r="AI83" i="2"/>
  <c r="AH83" i="2"/>
  <c r="AG83" i="2"/>
  <c r="AF83" i="2"/>
  <c r="AE83" i="2"/>
  <c r="AD83" i="2"/>
  <c r="AC83" i="2"/>
  <c r="AB83" i="2"/>
  <c r="AA83" i="2"/>
  <c r="Z83" i="2"/>
  <c r="Y83" i="2"/>
  <c r="X83" i="2"/>
  <c r="W83" i="2"/>
  <c r="V83" i="2"/>
  <c r="U83" i="2"/>
  <c r="T83" i="2"/>
  <c r="S83" i="2"/>
  <c r="R83" i="2"/>
  <c r="Q83" i="2"/>
  <c r="P83" i="2"/>
  <c r="O83" i="2"/>
  <c r="N83" i="2"/>
  <c r="M83" i="2"/>
  <c r="L83" i="2"/>
  <c r="K83" i="2"/>
  <c r="J83" i="2"/>
  <c r="I83" i="2"/>
  <c r="E83" i="2" a="1"/>
  <c r="E83" i="2" s="1"/>
  <c r="D83" i="2" a="1"/>
  <c r="D83" i="2" s="1"/>
  <c r="C83" i="2" a="1"/>
  <c r="C83" i="2" s="1"/>
  <c r="B83" i="2" a="1"/>
  <c r="B83" i="2" s="1"/>
  <c r="CG82" i="2"/>
  <c r="CF82" i="2"/>
  <c r="CE82" i="2"/>
  <c r="CD82" i="2"/>
  <c r="CC82" i="2"/>
  <c r="CB82" i="2"/>
  <c r="CA82" i="2"/>
  <c r="BZ82" i="2"/>
  <c r="BY82" i="2"/>
  <c r="BX82" i="2"/>
  <c r="BW82" i="2"/>
  <c r="BV82" i="2"/>
  <c r="BU82" i="2"/>
  <c r="BT82" i="2"/>
  <c r="BS82" i="2"/>
  <c r="BR82" i="2"/>
  <c r="BQ82" i="2"/>
  <c r="BP82" i="2"/>
  <c r="BO82" i="2"/>
  <c r="BN82" i="2"/>
  <c r="BM82" i="2"/>
  <c r="BL82" i="2"/>
  <c r="BK82" i="2"/>
  <c r="BJ82" i="2"/>
  <c r="BI82" i="2"/>
  <c r="BH82" i="2"/>
  <c r="BG82" i="2"/>
  <c r="BF82" i="2"/>
  <c r="BE82" i="2"/>
  <c r="BD82" i="2"/>
  <c r="BC82" i="2"/>
  <c r="BB82" i="2"/>
  <c r="BA82" i="2"/>
  <c r="AZ82" i="2"/>
  <c r="AY82" i="2"/>
  <c r="AX82" i="2"/>
  <c r="AW82" i="2"/>
  <c r="AV82" i="2"/>
  <c r="AU82" i="2"/>
  <c r="AT82" i="2"/>
  <c r="AS82" i="2"/>
  <c r="AR82" i="2"/>
  <c r="AQ82" i="2"/>
  <c r="AP82" i="2"/>
  <c r="AO82" i="2"/>
  <c r="AN82" i="2"/>
  <c r="AM82" i="2"/>
  <c r="AL82" i="2"/>
  <c r="AK82" i="2"/>
  <c r="AJ82" i="2"/>
  <c r="AI82" i="2"/>
  <c r="AH82" i="2"/>
  <c r="AG82" i="2"/>
  <c r="AF82" i="2"/>
  <c r="AE82" i="2"/>
  <c r="AD82" i="2"/>
  <c r="AC82" i="2"/>
  <c r="AB82" i="2"/>
  <c r="AA82" i="2"/>
  <c r="Z82" i="2"/>
  <c r="Y82" i="2"/>
  <c r="X82" i="2"/>
  <c r="W82" i="2"/>
  <c r="V82" i="2"/>
  <c r="U82" i="2"/>
  <c r="T82" i="2"/>
  <c r="S82" i="2"/>
  <c r="R82" i="2"/>
  <c r="Q82" i="2"/>
  <c r="P82" i="2"/>
  <c r="O82" i="2"/>
  <c r="N82" i="2"/>
  <c r="M82" i="2"/>
  <c r="L82" i="2"/>
  <c r="K82" i="2"/>
  <c r="J82" i="2"/>
  <c r="I82" i="2"/>
  <c r="E82" i="2" a="1"/>
  <c r="E82" i="2" s="1"/>
  <c r="D82" i="2" a="1"/>
  <c r="D82" i="2" s="1"/>
  <c r="C82" i="2" a="1"/>
  <c r="C82" i="2" s="1"/>
  <c r="B82" i="2" a="1"/>
  <c r="B82" i="2" s="1"/>
  <c r="CG81" i="2"/>
  <c r="CF81" i="2"/>
  <c r="CE81" i="2"/>
  <c r="CD81" i="2"/>
  <c r="CC81" i="2"/>
  <c r="CB81" i="2"/>
  <c r="CA81" i="2"/>
  <c r="BZ81" i="2"/>
  <c r="BY81" i="2"/>
  <c r="BX81" i="2"/>
  <c r="BW81" i="2"/>
  <c r="BV81" i="2"/>
  <c r="BU81" i="2"/>
  <c r="BT81" i="2"/>
  <c r="BS81" i="2"/>
  <c r="BR81" i="2"/>
  <c r="BQ81" i="2"/>
  <c r="BP81" i="2"/>
  <c r="BO81" i="2"/>
  <c r="BN81" i="2"/>
  <c r="BM81" i="2"/>
  <c r="BL81" i="2"/>
  <c r="BK81" i="2"/>
  <c r="BJ81" i="2"/>
  <c r="BI81" i="2"/>
  <c r="BH81" i="2"/>
  <c r="BG81" i="2"/>
  <c r="BF81" i="2"/>
  <c r="BE81" i="2"/>
  <c r="BC81" i="2"/>
  <c r="BB81" i="2"/>
  <c r="BA81" i="2"/>
  <c r="AZ81" i="2"/>
  <c r="AY81" i="2"/>
  <c r="AX81" i="2"/>
  <c r="AW81" i="2"/>
  <c r="AV81" i="2"/>
  <c r="AU81" i="2"/>
  <c r="AT81" i="2"/>
  <c r="AS81" i="2"/>
  <c r="AR81" i="2"/>
  <c r="AQ81" i="2"/>
  <c r="AP81" i="2"/>
  <c r="AO81" i="2"/>
  <c r="AN81" i="2"/>
  <c r="AM81" i="2"/>
  <c r="AL81" i="2"/>
  <c r="AK81" i="2"/>
  <c r="AJ81" i="2"/>
  <c r="AI81" i="2"/>
  <c r="AH81" i="2"/>
  <c r="AG81" i="2"/>
  <c r="AF81" i="2"/>
  <c r="AE81" i="2"/>
  <c r="AD81" i="2"/>
  <c r="AC81" i="2"/>
  <c r="AB81" i="2"/>
  <c r="AA81" i="2"/>
  <c r="Z81" i="2"/>
  <c r="Y81" i="2"/>
  <c r="X81" i="2"/>
  <c r="W81" i="2"/>
  <c r="V81" i="2"/>
  <c r="U81" i="2"/>
  <c r="T81" i="2"/>
  <c r="S81" i="2"/>
  <c r="R81" i="2"/>
  <c r="Q81" i="2"/>
  <c r="P81" i="2"/>
  <c r="O81" i="2"/>
  <c r="N81" i="2"/>
  <c r="M81" i="2"/>
  <c r="L81" i="2"/>
  <c r="K81" i="2"/>
  <c r="J81" i="2"/>
  <c r="BD81" i="2" s="1"/>
  <c r="I81" i="2"/>
  <c r="E81" i="2" a="1"/>
  <c r="E81" i="2" s="1"/>
  <c r="D81" i="2" a="1"/>
  <c r="D81" i="2" s="1"/>
  <c r="C81" i="2" a="1"/>
  <c r="C81" i="2" s="1"/>
  <c r="B81" i="2" a="1"/>
  <c r="B81" i="2" s="1"/>
  <c r="CG80" i="2"/>
  <c r="CF80" i="2"/>
  <c r="CE80" i="2"/>
  <c r="CD80" i="2"/>
  <c r="CC80" i="2"/>
  <c r="CB80" i="2"/>
  <c r="CA80" i="2"/>
  <c r="BZ80" i="2"/>
  <c r="BY80" i="2"/>
  <c r="BX80" i="2"/>
  <c r="BW80" i="2"/>
  <c r="BV80" i="2"/>
  <c r="BU80" i="2"/>
  <c r="BT80" i="2"/>
  <c r="BS80" i="2"/>
  <c r="BR80" i="2"/>
  <c r="BQ80" i="2"/>
  <c r="BP80" i="2"/>
  <c r="BO80" i="2"/>
  <c r="BN80" i="2"/>
  <c r="BM80" i="2"/>
  <c r="BL80" i="2"/>
  <c r="BK80" i="2"/>
  <c r="BJ80" i="2"/>
  <c r="BI80" i="2"/>
  <c r="BH80" i="2"/>
  <c r="BG80" i="2"/>
  <c r="BF80" i="2"/>
  <c r="BE80" i="2"/>
  <c r="BC80" i="2"/>
  <c r="BB80" i="2"/>
  <c r="BA80" i="2"/>
  <c r="AZ80" i="2"/>
  <c r="AY80" i="2"/>
  <c r="AX80" i="2"/>
  <c r="AW80" i="2"/>
  <c r="AV80" i="2"/>
  <c r="AU80" i="2"/>
  <c r="AT80" i="2"/>
  <c r="AS80" i="2"/>
  <c r="AR80" i="2"/>
  <c r="AQ80" i="2"/>
  <c r="AP80" i="2"/>
  <c r="AO80" i="2"/>
  <c r="AN80" i="2"/>
  <c r="AM80" i="2"/>
  <c r="AL80" i="2"/>
  <c r="AK80" i="2"/>
  <c r="AJ80" i="2"/>
  <c r="AI80" i="2"/>
  <c r="AH80" i="2"/>
  <c r="AG80" i="2"/>
  <c r="AF80" i="2"/>
  <c r="AE80" i="2"/>
  <c r="AD80" i="2"/>
  <c r="AC80" i="2"/>
  <c r="AB80" i="2"/>
  <c r="AA80" i="2"/>
  <c r="Z80" i="2"/>
  <c r="Y80" i="2"/>
  <c r="X80" i="2"/>
  <c r="W80" i="2"/>
  <c r="V80" i="2"/>
  <c r="U80" i="2"/>
  <c r="T80" i="2"/>
  <c r="S80" i="2"/>
  <c r="R80" i="2"/>
  <c r="Q80" i="2"/>
  <c r="P80" i="2"/>
  <c r="O80" i="2"/>
  <c r="N80" i="2"/>
  <c r="M80" i="2"/>
  <c r="L80" i="2"/>
  <c r="K80" i="2"/>
  <c r="J80" i="2"/>
  <c r="BD80" i="2" s="1"/>
  <c r="I80" i="2"/>
  <c r="E80" i="2" a="1"/>
  <c r="E80" i="2" s="1"/>
  <c r="D80" i="2" a="1"/>
  <c r="D80" i="2" s="1"/>
  <c r="C80" i="2" a="1"/>
  <c r="C80" i="2" s="1"/>
  <c r="B80" i="2" a="1"/>
  <c r="B80" i="2" s="1"/>
  <c r="CG79" i="2"/>
  <c r="CF79" i="2"/>
  <c r="CE79" i="2"/>
  <c r="CD79" i="2"/>
  <c r="CC79" i="2"/>
  <c r="CB79" i="2"/>
  <c r="CA79" i="2"/>
  <c r="BZ79" i="2"/>
  <c r="BY79" i="2"/>
  <c r="BX79" i="2"/>
  <c r="BW79" i="2"/>
  <c r="BV79" i="2"/>
  <c r="BU79" i="2"/>
  <c r="BT79" i="2"/>
  <c r="BS79" i="2"/>
  <c r="BR79" i="2"/>
  <c r="BQ79" i="2"/>
  <c r="BP79" i="2"/>
  <c r="BO79" i="2"/>
  <c r="BN79" i="2"/>
  <c r="BM79" i="2"/>
  <c r="BL79" i="2"/>
  <c r="BK79" i="2"/>
  <c r="BJ79" i="2"/>
  <c r="BI79" i="2"/>
  <c r="BH79" i="2"/>
  <c r="BG79" i="2"/>
  <c r="BF79" i="2"/>
  <c r="BE79" i="2"/>
  <c r="BD79" i="2"/>
  <c r="BC79" i="2"/>
  <c r="BB79" i="2"/>
  <c r="BA79" i="2"/>
  <c r="AZ79" i="2"/>
  <c r="AY79" i="2"/>
  <c r="AX79" i="2"/>
  <c r="AW79" i="2"/>
  <c r="AV79" i="2"/>
  <c r="AU79" i="2"/>
  <c r="AT79" i="2"/>
  <c r="AS79" i="2"/>
  <c r="AR79" i="2"/>
  <c r="AQ79" i="2"/>
  <c r="AP79" i="2"/>
  <c r="AO79" i="2"/>
  <c r="AN79" i="2"/>
  <c r="AM79" i="2"/>
  <c r="AL79" i="2"/>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E79" i="2" a="1"/>
  <c r="E79" i="2" s="1"/>
  <c r="D79" i="2" a="1"/>
  <c r="D79" i="2" s="1"/>
  <c r="C79" i="2" a="1"/>
  <c r="C79" i="2" s="1"/>
  <c r="B79" i="2" a="1"/>
  <c r="B79" i="2" s="1"/>
  <c r="CG78" i="2"/>
  <c r="CF78" i="2"/>
  <c r="CE78" i="2"/>
  <c r="CD78" i="2"/>
  <c r="CC78" i="2"/>
  <c r="CB78" i="2"/>
  <c r="CA78" i="2"/>
  <c r="BZ78" i="2"/>
  <c r="BY78" i="2"/>
  <c r="BX78" i="2"/>
  <c r="BW78" i="2"/>
  <c r="BV78" i="2"/>
  <c r="BU78" i="2"/>
  <c r="BT78" i="2"/>
  <c r="BS78" i="2"/>
  <c r="BR78" i="2"/>
  <c r="BQ78" i="2"/>
  <c r="BP78" i="2"/>
  <c r="BO78" i="2"/>
  <c r="BN78" i="2"/>
  <c r="BM78" i="2"/>
  <c r="BL78" i="2"/>
  <c r="BK78" i="2"/>
  <c r="BJ78" i="2"/>
  <c r="BI78" i="2"/>
  <c r="BH78" i="2"/>
  <c r="BG78" i="2"/>
  <c r="BF78" i="2"/>
  <c r="BE78" i="2"/>
  <c r="BC78" i="2"/>
  <c r="BB78" i="2"/>
  <c r="BA78" i="2"/>
  <c r="AZ78" i="2"/>
  <c r="AY78" i="2"/>
  <c r="AX78" i="2"/>
  <c r="AW78" i="2"/>
  <c r="AV78" i="2"/>
  <c r="AU78" i="2"/>
  <c r="AT78" i="2"/>
  <c r="AS78" i="2"/>
  <c r="AR78" i="2"/>
  <c r="AQ78" i="2"/>
  <c r="AP78"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BD78" i="2" s="1"/>
  <c r="I78" i="2"/>
  <c r="E78" i="2" a="1"/>
  <c r="E78" i="2" s="1"/>
  <c r="D78" i="2" a="1"/>
  <c r="D78" i="2" s="1"/>
  <c r="C78" i="2" a="1"/>
  <c r="C78" i="2" s="1"/>
  <c r="B78" i="2" a="1"/>
  <c r="B78" i="2" s="1"/>
  <c r="CG77" i="2"/>
  <c r="CF77" i="2"/>
  <c r="CE77" i="2"/>
  <c r="CD77" i="2"/>
  <c r="CC77" i="2"/>
  <c r="CB77" i="2"/>
  <c r="CA77" i="2"/>
  <c r="BZ77" i="2"/>
  <c r="BY77" i="2"/>
  <c r="BX77" i="2"/>
  <c r="BW77" i="2"/>
  <c r="BV77" i="2"/>
  <c r="BU77" i="2"/>
  <c r="BT77" i="2"/>
  <c r="BS77" i="2"/>
  <c r="BR77" i="2"/>
  <c r="BQ77" i="2"/>
  <c r="BP77" i="2"/>
  <c r="BO77" i="2"/>
  <c r="BN77" i="2"/>
  <c r="BM77" i="2"/>
  <c r="BL77" i="2"/>
  <c r="BK77" i="2"/>
  <c r="BJ77" i="2"/>
  <c r="BI77" i="2"/>
  <c r="BH77" i="2"/>
  <c r="BG77" i="2"/>
  <c r="BF77" i="2"/>
  <c r="BE77" i="2"/>
  <c r="BC77" i="2"/>
  <c r="BB77" i="2"/>
  <c r="BA77" i="2"/>
  <c r="AZ77" i="2"/>
  <c r="AY77" i="2"/>
  <c r="AX77" i="2"/>
  <c r="AW77" i="2"/>
  <c r="AV77" i="2"/>
  <c r="AU77" i="2"/>
  <c r="AT77" i="2"/>
  <c r="AS77" i="2"/>
  <c r="AR77" i="2"/>
  <c r="AQ77" i="2"/>
  <c r="AP77" i="2"/>
  <c r="AO77" i="2"/>
  <c r="AN77" i="2"/>
  <c r="AM77" i="2"/>
  <c r="AL77" i="2"/>
  <c r="AK77" i="2"/>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BD77" i="2" s="1"/>
  <c r="I77" i="2"/>
  <c r="E77" i="2" a="1"/>
  <c r="E77" i="2" s="1"/>
  <c r="D77" i="2" a="1"/>
  <c r="D77" i="2" s="1"/>
  <c r="C77" i="2" a="1"/>
  <c r="C77" i="2" s="1"/>
  <c r="B77" i="2" a="1"/>
  <c r="B77" i="2" s="1"/>
  <c r="CG76" i="2"/>
  <c r="CF76" i="2"/>
  <c r="CE76" i="2"/>
  <c r="CD76" i="2"/>
  <c r="CC76" i="2"/>
  <c r="CB76" i="2"/>
  <c r="CA76" i="2"/>
  <c r="BZ76" i="2"/>
  <c r="BY76" i="2"/>
  <c r="BX76" i="2"/>
  <c r="BW76" i="2"/>
  <c r="BV76" i="2"/>
  <c r="BU76" i="2"/>
  <c r="BT76" i="2"/>
  <c r="BS76" i="2"/>
  <c r="BR76" i="2"/>
  <c r="BQ76" i="2"/>
  <c r="BP76" i="2"/>
  <c r="BO76" i="2"/>
  <c r="BN76" i="2"/>
  <c r="BM76" i="2"/>
  <c r="BL76" i="2"/>
  <c r="BK76" i="2"/>
  <c r="BJ76" i="2"/>
  <c r="BI76" i="2"/>
  <c r="BH76" i="2"/>
  <c r="BG76" i="2"/>
  <c r="BF76" i="2"/>
  <c r="BE76" i="2"/>
  <c r="BC76" i="2"/>
  <c r="BB76" i="2"/>
  <c r="BA76" i="2"/>
  <c r="AZ76" i="2"/>
  <c r="AY76" i="2"/>
  <c r="AX76" i="2"/>
  <c r="AW76" i="2"/>
  <c r="AV76" i="2"/>
  <c r="AU76" i="2"/>
  <c r="AT76" i="2"/>
  <c r="AS76" i="2"/>
  <c r="AR76" i="2"/>
  <c r="AQ76" i="2"/>
  <c r="AP76" i="2"/>
  <c r="AO76" i="2"/>
  <c r="AN76" i="2"/>
  <c r="AM76" i="2"/>
  <c r="AL76" i="2"/>
  <c r="AK76" i="2"/>
  <c r="AJ76" i="2"/>
  <c r="AI76" i="2"/>
  <c r="AH76" i="2"/>
  <c r="AG76" i="2"/>
  <c r="AF76" i="2"/>
  <c r="AE76" i="2"/>
  <c r="AD76" i="2"/>
  <c r="AC76" i="2"/>
  <c r="AB76" i="2"/>
  <c r="AA76" i="2"/>
  <c r="Z76" i="2"/>
  <c r="Y76" i="2"/>
  <c r="X76" i="2"/>
  <c r="W76" i="2"/>
  <c r="V76" i="2"/>
  <c r="U76" i="2"/>
  <c r="T76" i="2"/>
  <c r="S76" i="2"/>
  <c r="R76" i="2"/>
  <c r="Q76" i="2"/>
  <c r="P76" i="2"/>
  <c r="O76" i="2"/>
  <c r="N76" i="2"/>
  <c r="M76" i="2"/>
  <c r="L76" i="2"/>
  <c r="K76" i="2"/>
  <c r="J76" i="2"/>
  <c r="BD76" i="2" s="1"/>
  <c r="I76" i="2"/>
  <c r="E76" i="2" a="1"/>
  <c r="E76" i="2" s="1"/>
  <c r="D76" i="2" a="1"/>
  <c r="D76" i="2" s="1"/>
  <c r="C76" i="2" a="1"/>
  <c r="C76" i="2" s="1"/>
  <c r="B76" i="2" a="1"/>
  <c r="B76" i="2" s="1"/>
  <c r="CG75" i="2"/>
  <c r="CF75" i="2"/>
  <c r="CE75" i="2"/>
  <c r="CD75" i="2"/>
  <c r="CC75" i="2"/>
  <c r="CB75" i="2"/>
  <c r="CA75" i="2"/>
  <c r="BZ75" i="2"/>
  <c r="BY75" i="2"/>
  <c r="BX75" i="2"/>
  <c r="BW75" i="2"/>
  <c r="BV75" i="2"/>
  <c r="BU75" i="2"/>
  <c r="BT75" i="2"/>
  <c r="BS75" i="2"/>
  <c r="BR75" i="2"/>
  <c r="BQ75" i="2"/>
  <c r="BP75" i="2"/>
  <c r="BO75" i="2"/>
  <c r="BN75" i="2"/>
  <c r="BM75" i="2"/>
  <c r="BL75" i="2"/>
  <c r="BK75" i="2"/>
  <c r="BJ75" i="2"/>
  <c r="BI75" i="2"/>
  <c r="BH75" i="2"/>
  <c r="BG75" i="2"/>
  <c r="BF75" i="2"/>
  <c r="BE75" i="2"/>
  <c r="BD75" i="2"/>
  <c r="BC75" i="2"/>
  <c r="BB75" i="2"/>
  <c r="BA75" i="2"/>
  <c r="AZ75" i="2"/>
  <c r="AY75" i="2"/>
  <c r="AX75" i="2"/>
  <c r="AW75" i="2"/>
  <c r="AV75" i="2"/>
  <c r="AU75" i="2"/>
  <c r="AT75" i="2"/>
  <c r="AS75" i="2"/>
  <c r="AR75" i="2"/>
  <c r="AQ75" i="2"/>
  <c r="AP75" i="2"/>
  <c r="AO75" i="2"/>
  <c r="AN75" i="2"/>
  <c r="AM75" i="2"/>
  <c r="AL75" i="2"/>
  <c r="AK75" i="2"/>
  <c r="AJ75" i="2"/>
  <c r="AI75" i="2"/>
  <c r="AH75" i="2"/>
  <c r="AG75" i="2"/>
  <c r="AF75" i="2"/>
  <c r="AE75" i="2"/>
  <c r="AD75" i="2"/>
  <c r="AC75" i="2"/>
  <c r="AB75" i="2"/>
  <c r="AA75" i="2"/>
  <c r="Z75" i="2"/>
  <c r="Y75" i="2"/>
  <c r="X75" i="2"/>
  <c r="W75" i="2"/>
  <c r="V75" i="2"/>
  <c r="U75" i="2"/>
  <c r="T75" i="2"/>
  <c r="S75" i="2"/>
  <c r="R75" i="2"/>
  <c r="Q75" i="2"/>
  <c r="P75" i="2"/>
  <c r="O75" i="2"/>
  <c r="N75" i="2"/>
  <c r="M75" i="2"/>
  <c r="L75" i="2"/>
  <c r="K75" i="2"/>
  <c r="J75" i="2"/>
  <c r="I75" i="2"/>
  <c r="E75" i="2" a="1"/>
  <c r="E75" i="2" s="1"/>
  <c r="D75" i="2" a="1"/>
  <c r="D75" i="2" s="1"/>
  <c r="C75" i="2" a="1"/>
  <c r="C75" i="2" s="1"/>
  <c r="B75" i="2" a="1"/>
  <c r="B75" i="2" s="1"/>
  <c r="CG74" i="2"/>
  <c r="CF74" i="2"/>
  <c r="CE74" i="2"/>
  <c r="CD74" i="2"/>
  <c r="CC74" i="2"/>
  <c r="CB74" i="2"/>
  <c r="CA74" i="2"/>
  <c r="BZ74" i="2"/>
  <c r="BY74" i="2"/>
  <c r="BX74" i="2"/>
  <c r="BW74" i="2"/>
  <c r="BV74" i="2"/>
  <c r="BU74" i="2"/>
  <c r="BT74" i="2"/>
  <c r="BS74" i="2"/>
  <c r="BR74" i="2"/>
  <c r="BQ74" i="2"/>
  <c r="BP74" i="2"/>
  <c r="BO74" i="2"/>
  <c r="BN74" i="2"/>
  <c r="BM74" i="2"/>
  <c r="BL74" i="2"/>
  <c r="BK74" i="2"/>
  <c r="BJ74" i="2"/>
  <c r="BI74" i="2"/>
  <c r="BH74" i="2"/>
  <c r="BG74" i="2"/>
  <c r="BF74" i="2"/>
  <c r="BE74" i="2"/>
  <c r="BC74" i="2"/>
  <c r="BB74" i="2"/>
  <c r="BA74" i="2"/>
  <c r="AZ74" i="2"/>
  <c r="AY74" i="2"/>
  <c r="AX74" i="2"/>
  <c r="AW74" i="2"/>
  <c r="AV74" i="2"/>
  <c r="AU74" i="2"/>
  <c r="AT74" i="2"/>
  <c r="AS74" i="2"/>
  <c r="AR74" i="2"/>
  <c r="AQ74" i="2"/>
  <c r="AP74" i="2"/>
  <c r="AO74" i="2"/>
  <c r="AN74" i="2"/>
  <c r="AM74" i="2"/>
  <c r="AL74" i="2"/>
  <c r="AK74" i="2"/>
  <c r="AJ74" i="2"/>
  <c r="AI74" i="2"/>
  <c r="AH74" i="2"/>
  <c r="AG74" i="2"/>
  <c r="AF74" i="2"/>
  <c r="AE74" i="2"/>
  <c r="AD74" i="2"/>
  <c r="AC74" i="2"/>
  <c r="AB74" i="2"/>
  <c r="AA74" i="2"/>
  <c r="Z74" i="2"/>
  <c r="Y74" i="2"/>
  <c r="X74" i="2"/>
  <c r="W74" i="2"/>
  <c r="V74" i="2"/>
  <c r="U74" i="2"/>
  <c r="T74" i="2"/>
  <c r="S74" i="2"/>
  <c r="R74" i="2"/>
  <c r="Q74" i="2"/>
  <c r="P74" i="2"/>
  <c r="O74" i="2"/>
  <c r="N74" i="2"/>
  <c r="M74" i="2"/>
  <c r="L74" i="2"/>
  <c r="K74" i="2"/>
  <c r="J74" i="2"/>
  <c r="BD74" i="2" s="1"/>
  <c r="I74" i="2"/>
  <c r="E74" i="2" a="1"/>
  <c r="E74" i="2" s="1"/>
  <c r="D74" i="2" a="1"/>
  <c r="D74" i="2" s="1"/>
  <c r="C74" i="2" a="1"/>
  <c r="C74" i="2" s="1"/>
  <c r="B74" i="2" a="1"/>
  <c r="B74" i="2" s="1"/>
  <c r="CG73" i="2"/>
  <c r="CF73" i="2"/>
  <c r="CE73" i="2"/>
  <c r="CD73" i="2"/>
  <c r="CC73" i="2"/>
  <c r="CB73" i="2"/>
  <c r="CA73" i="2"/>
  <c r="BZ73" i="2"/>
  <c r="BY73" i="2"/>
  <c r="BX73" i="2"/>
  <c r="BW73" i="2"/>
  <c r="BV73" i="2"/>
  <c r="BU73" i="2"/>
  <c r="BT73" i="2"/>
  <c r="BS73" i="2"/>
  <c r="BR73" i="2"/>
  <c r="BQ73" i="2"/>
  <c r="BP73" i="2"/>
  <c r="BO73" i="2"/>
  <c r="BN73" i="2"/>
  <c r="BM73" i="2"/>
  <c r="BL73" i="2"/>
  <c r="BK73" i="2"/>
  <c r="BJ73" i="2"/>
  <c r="BI73" i="2"/>
  <c r="BH73" i="2"/>
  <c r="BG73" i="2"/>
  <c r="BF73" i="2"/>
  <c r="BE73" i="2"/>
  <c r="BC73" i="2"/>
  <c r="BB73" i="2"/>
  <c r="BA73" i="2"/>
  <c r="AZ73" i="2"/>
  <c r="AY73" i="2"/>
  <c r="AX73" i="2"/>
  <c r="AW73" i="2"/>
  <c r="AV73" i="2"/>
  <c r="AU73" i="2"/>
  <c r="AT73" i="2"/>
  <c r="AS73" i="2"/>
  <c r="AR73" i="2"/>
  <c r="AQ73" i="2"/>
  <c r="AP73" i="2"/>
  <c r="AO73" i="2"/>
  <c r="AN73" i="2"/>
  <c r="AM73" i="2"/>
  <c r="AL73" i="2"/>
  <c r="AK73" i="2"/>
  <c r="AJ73" i="2"/>
  <c r="AI73" i="2"/>
  <c r="AH73" i="2"/>
  <c r="AG73" i="2"/>
  <c r="AF73" i="2"/>
  <c r="AE73" i="2"/>
  <c r="AD73" i="2"/>
  <c r="AC73" i="2"/>
  <c r="AB73" i="2"/>
  <c r="AA73" i="2"/>
  <c r="Z73" i="2"/>
  <c r="Y73" i="2"/>
  <c r="X73" i="2"/>
  <c r="W73" i="2"/>
  <c r="V73" i="2"/>
  <c r="U73" i="2"/>
  <c r="T73" i="2"/>
  <c r="S73" i="2"/>
  <c r="R73" i="2"/>
  <c r="Q73" i="2"/>
  <c r="P73" i="2"/>
  <c r="O73" i="2"/>
  <c r="N73" i="2"/>
  <c r="M73" i="2"/>
  <c r="L73" i="2"/>
  <c r="K73" i="2"/>
  <c r="J73" i="2"/>
  <c r="BD73" i="2" s="1"/>
  <c r="I73" i="2"/>
  <c r="E73" i="2" a="1"/>
  <c r="E73" i="2" s="1"/>
  <c r="D73" i="2" a="1"/>
  <c r="D73" i="2" s="1"/>
  <c r="C73" i="2" a="1"/>
  <c r="C73" i="2" s="1"/>
  <c r="B73" i="2" a="1"/>
  <c r="B73" i="2" s="1"/>
  <c r="CG72" i="2"/>
  <c r="CF72" i="2"/>
  <c r="CE72" i="2"/>
  <c r="CD72" i="2"/>
  <c r="CC72" i="2"/>
  <c r="CB72" i="2"/>
  <c r="CA72" i="2"/>
  <c r="BZ72" i="2"/>
  <c r="BY72" i="2"/>
  <c r="BX72" i="2"/>
  <c r="BW72" i="2"/>
  <c r="BV72" i="2"/>
  <c r="BU72" i="2"/>
  <c r="BT72" i="2"/>
  <c r="BS72" i="2"/>
  <c r="BR72" i="2"/>
  <c r="BQ72" i="2"/>
  <c r="BP72" i="2"/>
  <c r="BO72" i="2"/>
  <c r="BN72" i="2"/>
  <c r="BM72" i="2"/>
  <c r="BL72" i="2"/>
  <c r="BK72" i="2"/>
  <c r="BJ72" i="2"/>
  <c r="BI72" i="2"/>
  <c r="BH72" i="2"/>
  <c r="BG72" i="2"/>
  <c r="BF72" i="2"/>
  <c r="BE72" i="2"/>
  <c r="BD72" i="2"/>
  <c r="BC72" i="2"/>
  <c r="BB72" i="2"/>
  <c r="BA72" i="2"/>
  <c r="AZ72" i="2"/>
  <c r="AY72" i="2"/>
  <c r="AX72" i="2"/>
  <c r="AW72" i="2"/>
  <c r="AV72" i="2"/>
  <c r="AU72" i="2"/>
  <c r="AT72" i="2"/>
  <c r="AS72" i="2"/>
  <c r="AR72" i="2"/>
  <c r="AQ72" i="2"/>
  <c r="AP72" i="2"/>
  <c r="AO72" i="2"/>
  <c r="AN72" i="2"/>
  <c r="AM72" i="2"/>
  <c r="AL72" i="2"/>
  <c r="AK72" i="2"/>
  <c r="AJ72" i="2"/>
  <c r="AI72" i="2"/>
  <c r="AH72" i="2"/>
  <c r="AG72" i="2"/>
  <c r="AF72" i="2"/>
  <c r="AE72" i="2"/>
  <c r="AD72" i="2"/>
  <c r="AC72" i="2"/>
  <c r="AB72" i="2"/>
  <c r="AA72" i="2"/>
  <c r="Z72" i="2"/>
  <c r="Y72" i="2"/>
  <c r="X72" i="2"/>
  <c r="W72" i="2"/>
  <c r="V72" i="2"/>
  <c r="U72" i="2"/>
  <c r="T72" i="2"/>
  <c r="S72" i="2"/>
  <c r="R72" i="2"/>
  <c r="Q72" i="2"/>
  <c r="P72" i="2"/>
  <c r="O72" i="2"/>
  <c r="N72" i="2"/>
  <c r="M72" i="2"/>
  <c r="L72" i="2"/>
  <c r="K72" i="2"/>
  <c r="J72" i="2"/>
  <c r="I72" i="2"/>
  <c r="E72" i="2" a="1"/>
  <c r="E72" i="2" s="1"/>
  <c r="D72" i="2" a="1"/>
  <c r="D72" i="2" s="1"/>
  <c r="C72" i="2" a="1"/>
  <c r="C72" i="2" s="1"/>
  <c r="B72" i="2" a="1"/>
  <c r="B72" i="2" s="1"/>
  <c r="CG71" i="2"/>
  <c r="CF71" i="2"/>
  <c r="CE71" i="2"/>
  <c r="CD71" i="2"/>
  <c r="CC71" i="2"/>
  <c r="CB71" i="2"/>
  <c r="CA71" i="2"/>
  <c r="BZ71" i="2"/>
  <c r="BY71" i="2"/>
  <c r="BX71" i="2"/>
  <c r="BW71" i="2"/>
  <c r="BV71" i="2"/>
  <c r="BU71" i="2"/>
  <c r="BT71" i="2"/>
  <c r="BS71" i="2"/>
  <c r="BR71" i="2"/>
  <c r="BQ71" i="2"/>
  <c r="BP71" i="2"/>
  <c r="BO71" i="2"/>
  <c r="BN71" i="2"/>
  <c r="BM71" i="2"/>
  <c r="BL71" i="2"/>
  <c r="BK71" i="2"/>
  <c r="BJ71" i="2"/>
  <c r="BI71" i="2"/>
  <c r="BH71" i="2"/>
  <c r="BG71" i="2"/>
  <c r="BF71" i="2"/>
  <c r="BE71" i="2"/>
  <c r="BD71" i="2"/>
  <c r="BC71" i="2"/>
  <c r="BB71" i="2"/>
  <c r="BA71" i="2"/>
  <c r="AZ71" i="2"/>
  <c r="AY71" i="2"/>
  <c r="AX71" i="2"/>
  <c r="AW71" i="2"/>
  <c r="AV71" i="2"/>
  <c r="AU71" i="2"/>
  <c r="AT71" i="2"/>
  <c r="AS71" i="2"/>
  <c r="AR71" i="2"/>
  <c r="AQ71" i="2"/>
  <c r="AP71" i="2"/>
  <c r="AO71" i="2"/>
  <c r="AN71" i="2"/>
  <c r="AM71" i="2"/>
  <c r="AL71" i="2"/>
  <c r="AK71" i="2"/>
  <c r="AJ71" i="2"/>
  <c r="AI71" i="2"/>
  <c r="AH71" i="2"/>
  <c r="AG71" i="2"/>
  <c r="AF71" i="2"/>
  <c r="AE71" i="2"/>
  <c r="AD71" i="2"/>
  <c r="AC71" i="2"/>
  <c r="AB71" i="2"/>
  <c r="AA71" i="2"/>
  <c r="Z71" i="2"/>
  <c r="Y71" i="2"/>
  <c r="X71" i="2"/>
  <c r="W71" i="2"/>
  <c r="V71" i="2"/>
  <c r="U71" i="2"/>
  <c r="T71" i="2"/>
  <c r="S71" i="2"/>
  <c r="R71" i="2"/>
  <c r="Q71" i="2"/>
  <c r="P71" i="2"/>
  <c r="O71" i="2"/>
  <c r="N71" i="2"/>
  <c r="M71" i="2"/>
  <c r="L71" i="2"/>
  <c r="K71" i="2"/>
  <c r="J71" i="2"/>
  <c r="I71" i="2"/>
  <c r="E71" i="2" a="1"/>
  <c r="E71" i="2" s="1"/>
  <c r="D71" i="2" a="1"/>
  <c r="D71" i="2" s="1"/>
  <c r="C71" i="2" a="1"/>
  <c r="C71" i="2" s="1"/>
  <c r="B71" i="2" a="1"/>
  <c r="B71" i="2" s="1"/>
  <c r="CG70" i="2"/>
  <c r="CF70" i="2"/>
  <c r="CE70" i="2"/>
  <c r="CD70" i="2"/>
  <c r="CC70" i="2"/>
  <c r="CB70" i="2"/>
  <c r="CA70" i="2"/>
  <c r="BZ70" i="2"/>
  <c r="BY70" i="2"/>
  <c r="BX70" i="2"/>
  <c r="BW70" i="2"/>
  <c r="BV70" i="2"/>
  <c r="BU70" i="2"/>
  <c r="BT70" i="2"/>
  <c r="BS70" i="2"/>
  <c r="BR70" i="2"/>
  <c r="BQ70" i="2"/>
  <c r="BP70" i="2"/>
  <c r="BO70" i="2"/>
  <c r="BN70" i="2"/>
  <c r="BM70" i="2"/>
  <c r="BL70" i="2"/>
  <c r="BK70" i="2"/>
  <c r="BJ70" i="2"/>
  <c r="BI70" i="2"/>
  <c r="BH70" i="2"/>
  <c r="BG70" i="2"/>
  <c r="BF70" i="2"/>
  <c r="BE70" i="2"/>
  <c r="BD70" i="2"/>
  <c r="BC70" i="2"/>
  <c r="BB70" i="2"/>
  <c r="BA70" i="2"/>
  <c r="AZ70" i="2"/>
  <c r="AY70" i="2"/>
  <c r="AX70" i="2"/>
  <c r="AW70" i="2"/>
  <c r="AV70" i="2"/>
  <c r="AU70" i="2"/>
  <c r="AT70" i="2"/>
  <c r="AS70" i="2"/>
  <c r="AR70" i="2"/>
  <c r="AQ70" i="2"/>
  <c r="AP70" i="2"/>
  <c r="AO70" i="2"/>
  <c r="AN70" i="2"/>
  <c r="AM70" i="2"/>
  <c r="AL70" i="2"/>
  <c r="AK70" i="2"/>
  <c r="AJ70" i="2"/>
  <c r="AI70" i="2"/>
  <c r="AH70" i="2"/>
  <c r="AG70" i="2"/>
  <c r="AF70" i="2"/>
  <c r="AE70" i="2"/>
  <c r="AD70" i="2"/>
  <c r="AC70" i="2"/>
  <c r="AB70" i="2"/>
  <c r="AA70" i="2"/>
  <c r="Z70" i="2"/>
  <c r="Y70" i="2"/>
  <c r="X70" i="2"/>
  <c r="W70" i="2"/>
  <c r="V70" i="2"/>
  <c r="U70" i="2"/>
  <c r="T70" i="2"/>
  <c r="S70" i="2"/>
  <c r="R70" i="2"/>
  <c r="Q70" i="2"/>
  <c r="P70" i="2"/>
  <c r="O70" i="2"/>
  <c r="N70" i="2"/>
  <c r="M70" i="2"/>
  <c r="L70" i="2"/>
  <c r="K70" i="2"/>
  <c r="J70" i="2"/>
  <c r="I70" i="2"/>
  <c r="E70" i="2" a="1"/>
  <c r="E70" i="2" s="1"/>
  <c r="D70" i="2" a="1"/>
  <c r="D70" i="2" s="1"/>
  <c r="C70" i="2" a="1"/>
  <c r="C70" i="2" s="1"/>
  <c r="B70" i="2" a="1"/>
  <c r="B70" i="2" s="1"/>
  <c r="CG69" i="2"/>
  <c r="CF69" i="2"/>
  <c r="CE69" i="2"/>
  <c r="CD69" i="2"/>
  <c r="CC69" i="2"/>
  <c r="CB69" i="2"/>
  <c r="CA69" i="2"/>
  <c r="BZ69" i="2"/>
  <c r="BY69" i="2"/>
  <c r="BX69" i="2"/>
  <c r="BW69" i="2"/>
  <c r="BV69" i="2"/>
  <c r="BU69" i="2"/>
  <c r="BT69" i="2"/>
  <c r="BS69" i="2"/>
  <c r="BR69" i="2"/>
  <c r="BQ69" i="2"/>
  <c r="BP69" i="2"/>
  <c r="BO69" i="2"/>
  <c r="BN69" i="2"/>
  <c r="BM69" i="2"/>
  <c r="BL69" i="2"/>
  <c r="BK69" i="2"/>
  <c r="BJ69" i="2"/>
  <c r="BI69" i="2"/>
  <c r="BH69" i="2"/>
  <c r="BG69" i="2"/>
  <c r="BF69" i="2"/>
  <c r="BE69" i="2"/>
  <c r="BC69" i="2"/>
  <c r="BB69" i="2"/>
  <c r="BA69" i="2"/>
  <c r="AZ69" i="2"/>
  <c r="AY69" i="2"/>
  <c r="AX69" i="2"/>
  <c r="AW69" i="2"/>
  <c r="AV69" i="2"/>
  <c r="AU69" i="2"/>
  <c r="AT69" i="2"/>
  <c r="AS69" i="2"/>
  <c r="AR69" i="2"/>
  <c r="AQ69" i="2"/>
  <c r="AP69" i="2"/>
  <c r="AO69" i="2"/>
  <c r="AN69" i="2"/>
  <c r="AM69" i="2"/>
  <c r="AL69" i="2"/>
  <c r="AK69" i="2"/>
  <c r="AJ69" i="2"/>
  <c r="AI69" i="2"/>
  <c r="AH69" i="2"/>
  <c r="AG69" i="2"/>
  <c r="AF69" i="2"/>
  <c r="AE69" i="2"/>
  <c r="AD69" i="2"/>
  <c r="AC69" i="2"/>
  <c r="AB69" i="2"/>
  <c r="AA69" i="2"/>
  <c r="Z69" i="2"/>
  <c r="Y69" i="2"/>
  <c r="X69" i="2"/>
  <c r="W69" i="2"/>
  <c r="V69" i="2"/>
  <c r="U69" i="2"/>
  <c r="T69" i="2"/>
  <c r="S69" i="2"/>
  <c r="R69" i="2"/>
  <c r="Q69" i="2"/>
  <c r="P69" i="2"/>
  <c r="O69" i="2"/>
  <c r="N69" i="2"/>
  <c r="M69" i="2"/>
  <c r="L69" i="2"/>
  <c r="K69" i="2"/>
  <c r="J69" i="2"/>
  <c r="BD69" i="2" s="1"/>
  <c r="I69" i="2"/>
  <c r="E69" i="2" a="1"/>
  <c r="E69" i="2" s="1"/>
  <c r="D69" i="2" a="1"/>
  <c r="D69" i="2" s="1"/>
  <c r="C69" i="2" a="1"/>
  <c r="C69" i="2" s="1"/>
  <c r="B69" i="2" a="1"/>
  <c r="B69" i="2" s="1"/>
  <c r="CG68" i="2"/>
  <c r="CF68" i="2"/>
  <c r="CE68" i="2"/>
  <c r="CD68" i="2"/>
  <c r="CC68" i="2"/>
  <c r="CB68" i="2"/>
  <c r="CA68" i="2"/>
  <c r="BZ68" i="2"/>
  <c r="BY68" i="2"/>
  <c r="BX68" i="2"/>
  <c r="BW68" i="2"/>
  <c r="BV68" i="2"/>
  <c r="BU68" i="2"/>
  <c r="BT68" i="2"/>
  <c r="BS68" i="2"/>
  <c r="BR68" i="2"/>
  <c r="BQ68" i="2"/>
  <c r="BP68" i="2"/>
  <c r="BO68" i="2"/>
  <c r="BN68" i="2"/>
  <c r="BM68" i="2"/>
  <c r="BL68" i="2"/>
  <c r="BK68" i="2"/>
  <c r="BJ68" i="2"/>
  <c r="BI68" i="2"/>
  <c r="BH68" i="2"/>
  <c r="BG68" i="2"/>
  <c r="BF68" i="2"/>
  <c r="BE68" i="2"/>
  <c r="BD68" i="2"/>
  <c r="BC68" i="2"/>
  <c r="BB68" i="2"/>
  <c r="BA68" i="2"/>
  <c r="AZ68" i="2"/>
  <c r="AY68" i="2"/>
  <c r="AX68" i="2"/>
  <c r="AW68" i="2"/>
  <c r="AV68" i="2"/>
  <c r="AU68" i="2"/>
  <c r="AT68" i="2"/>
  <c r="AS68" i="2"/>
  <c r="AR68" i="2"/>
  <c r="AQ68" i="2"/>
  <c r="AP6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L68" i="2"/>
  <c r="K68" i="2"/>
  <c r="J68" i="2"/>
  <c r="I68" i="2"/>
  <c r="E68" i="2" a="1"/>
  <c r="E68" i="2" s="1"/>
  <c r="D68" i="2" a="1"/>
  <c r="D68" i="2" s="1"/>
  <c r="C68" i="2" a="1"/>
  <c r="C68" i="2" s="1"/>
  <c r="B68" i="2" a="1"/>
  <c r="B68" i="2" s="1"/>
  <c r="CG67" i="2"/>
  <c r="CF67" i="2"/>
  <c r="CE67" i="2"/>
  <c r="CD67" i="2"/>
  <c r="CC67" i="2"/>
  <c r="CB67" i="2"/>
  <c r="CA67" i="2"/>
  <c r="BZ67" i="2"/>
  <c r="BY67" i="2"/>
  <c r="BX67" i="2"/>
  <c r="BW67" i="2"/>
  <c r="BV67" i="2"/>
  <c r="BU67" i="2"/>
  <c r="BT67" i="2"/>
  <c r="BS67" i="2"/>
  <c r="BR67" i="2"/>
  <c r="BQ67" i="2"/>
  <c r="BP67" i="2"/>
  <c r="BO67" i="2"/>
  <c r="BN67" i="2"/>
  <c r="BM67" i="2"/>
  <c r="BL67" i="2"/>
  <c r="BK67" i="2"/>
  <c r="BJ67" i="2"/>
  <c r="BI67" i="2"/>
  <c r="BH67" i="2"/>
  <c r="BG67" i="2"/>
  <c r="BF67" i="2"/>
  <c r="BE67" i="2"/>
  <c r="BD67" i="2"/>
  <c r="BC67" i="2"/>
  <c r="BB67" i="2"/>
  <c r="BA67" i="2"/>
  <c r="AZ67" i="2"/>
  <c r="AY67" i="2"/>
  <c r="AX67" i="2"/>
  <c r="AW67" i="2"/>
  <c r="AV67" i="2"/>
  <c r="AU67" i="2"/>
  <c r="AT67" i="2"/>
  <c r="AS67" i="2"/>
  <c r="AR67" i="2"/>
  <c r="AQ67" i="2"/>
  <c r="AP67" i="2"/>
  <c r="AO67" i="2"/>
  <c r="AN67" i="2"/>
  <c r="AM67" i="2"/>
  <c r="AL67" i="2"/>
  <c r="AK67" i="2"/>
  <c r="AJ67" i="2"/>
  <c r="AI67" i="2"/>
  <c r="AH67" i="2"/>
  <c r="AG67" i="2"/>
  <c r="AF67" i="2"/>
  <c r="AE67" i="2"/>
  <c r="AD67" i="2"/>
  <c r="AC67" i="2"/>
  <c r="AB67" i="2"/>
  <c r="AA67" i="2"/>
  <c r="Z67" i="2"/>
  <c r="Y67" i="2"/>
  <c r="X67" i="2"/>
  <c r="W67" i="2"/>
  <c r="V67" i="2"/>
  <c r="U67" i="2"/>
  <c r="T67" i="2"/>
  <c r="S67" i="2"/>
  <c r="R67" i="2"/>
  <c r="Q67" i="2"/>
  <c r="P67" i="2"/>
  <c r="O67" i="2"/>
  <c r="N67" i="2"/>
  <c r="M67" i="2"/>
  <c r="L67" i="2"/>
  <c r="K67" i="2"/>
  <c r="J67" i="2"/>
  <c r="I67" i="2"/>
  <c r="E67" i="2" a="1"/>
  <c r="E67" i="2" s="1"/>
  <c r="D67" i="2" a="1"/>
  <c r="D67" i="2" s="1"/>
  <c r="C67" i="2" a="1"/>
  <c r="C67" i="2" s="1"/>
  <c r="B67" i="2" a="1"/>
  <c r="B67" i="2" s="1"/>
  <c r="CG66" i="2"/>
  <c r="CF66" i="2"/>
  <c r="CE66" i="2"/>
  <c r="CD66" i="2"/>
  <c r="CC66" i="2"/>
  <c r="CB66" i="2"/>
  <c r="CA66" i="2"/>
  <c r="BZ66" i="2"/>
  <c r="BY66" i="2"/>
  <c r="BX66" i="2"/>
  <c r="BW66" i="2"/>
  <c r="BV66" i="2"/>
  <c r="BU66" i="2"/>
  <c r="BT66" i="2"/>
  <c r="BS66" i="2"/>
  <c r="BR66" i="2"/>
  <c r="BQ66" i="2"/>
  <c r="BP66" i="2"/>
  <c r="BO66" i="2"/>
  <c r="BN66" i="2"/>
  <c r="BM66" i="2"/>
  <c r="BL66" i="2"/>
  <c r="BK66" i="2"/>
  <c r="BJ66" i="2"/>
  <c r="BI66" i="2"/>
  <c r="BH66" i="2"/>
  <c r="BG66" i="2"/>
  <c r="BF66" i="2"/>
  <c r="BE66" i="2"/>
  <c r="BD66" i="2"/>
  <c r="BC66" i="2"/>
  <c r="BB66" i="2"/>
  <c r="BA66" i="2"/>
  <c r="AZ66" i="2"/>
  <c r="AY66" i="2"/>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K66" i="2"/>
  <c r="J66" i="2"/>
  <c r="I66" i="2"/>
  <c r="E66" i="2" a="1"/>
  <c r="E66" i="2" s="1"/>
  <c r="D66" i="2" a="1"/>
  <c r="D66" i="2" s="1"/>
  <c r="C66" i="2" a="1"/>
  <c r="C66" i="2" s="1"/>
  <c r="B66" i="2" a="1"/>
  <c r="B66" i="2" s="1"/>
  <c r="CG65" i="2"/>
  <c r="CF65" i="2"/>
  <c r="CE65" i="2"/>
  <c r="CD65" i="2"/>
  <c r="CC65" i="2"/>
  <c r="CB65" i="2"/>
  <c r="CA65" i="2"/>
  <c r="BZ65" i="2"/>
  <c r="BY65" i="2"/>
  <c r="BX65" i="2"/>
  <c r="BW65" i="2"/>
  <c r="BV65" i="2"/>
  <c r="BU65" i="2"/>
  <c r="BT65" i="2"/>
  <c r="BS65" i="2"/>
  <c r="BR65" i="2"/>
  <c r="BQ65" i="2"/>
  <c r="BP65" i="2"/>
  <c r="BO65" i="2"/>
  <c r="BN65" i="2"/>
  <c r="BM65" i="2"/>
  <c r="BL65" i="2"/>
  <c r="BK65" i="2"/>
  <c r="BJ65" i="2"/>
  <c r="BI65" i="2"/>
  <c r="BH65" i="2"/>
  <c r="BG65" i="2"/>
  <c r="BF65" i="2"/>
  <c r="BE65" i="2"/>
  <c r="BC65" i="2"/>
  <c r="BB65" i="2"/>
  <c r="BA65" i="2"/>
  <c r="AZ65" i="2"/>
  <c r="AY65" i="2"/>
  <c r="AX65" i="2"/>
  <c r="AW65" i="2"/>
  <c r="AV65" i="2"/>
  <c r="AU65" i="2"/>
  <c r="AT65" i="2"/>
  <c r="AS65" i="2"/>
  <c r="AR65" i="2"/>
  <c r="AQ65"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K65" i="2"/>
  <c r="J65" i="2"/>
  <c r="BD65" i="2" s="1"/>
  <c r="I65" i="2"/>
  <c r="E65" i="2" a="1"/>
  <c r="E65" i="2" s="1"/>
  <c r="D65" i="2" a="1"/>
  <c r="D65" i="2" s="1"/>
  <c r="C65" i="2" a="1"/>
  <c r="C65" i="2" s="1"/>
  <c r="B65" i="2" a="1"/>
  <c r="B65" i="2" s="1"/>
  <c r="CG64" i="2"/>
  <c r="CF64" i="2"/>
  <c r="CE64" i="2"/>
  <c r="CD64" i="2"/>
  <c r="CC64" i="2"/>
  <c r="CB64" i="2"/>
  <c r="CA64" i="2"/>
  <c r="BZ64" i="2"/>
  <c r="BY64" i="2"/>
  <c r="BX64" i="2"/>
  <c r="BW64" i="2"/>
  <c r="BV64" i="2"/>
  <c r="BU64" i="2"/>
  <c r="BT64" i="2"/>
  <c r="BS64" i="2"/>
  <c r="BR64" i="2"/>
  <c r="BQ64" i="2"/>
  <c r="BP64" i="2"/>
  <c r="BO64" i="2"/>
  <c r="BN64" i="2"/>
  <c r="BM64" i="2"/>
  <c r="BL64" i="2"/>
  <c r="BK64" i="2"/>
  <c r="BJ64" i="2"/>
  <c r="BI64" i="2"/>
  <c r="BH64" i="2"/>
  <c r="BG64" i="2"/>
  <c r="BF64" i="2"/>
  <c r="BE64" i="2"/>
  <c r="BC64" i="2"/>
  <c r="BB64" i="2"/>
  <c r="BA64" i="2"/>
  <c r="AZ64" i="2"/>
  <c r="AY64" i="2"/>
  <c r="AX64" i="2"/>
  <c r="AW64" i="2"/>
  <c r="AV64" i="2"/>
  <c r="AU64" i="2"/>
  <c r="AT64" i="2"/>
  <c r="AS64" i="2"/>
  <c r="AR64" i="2"/>
  <c r="AQ64" i="2"/>
  <c r="AP64" i="2"/>
  <c r="AO64" i="2"/>
  <c r="AN64" i="2"/>
  <c r="AM64" i="2"/>
  <c r="AL64" i="2"/>
  <c r="AK64" i="2"/>
  <c r="AJ64" i="2"/>
  <c r="AI64" i="2"/>
  <c r="AH64" i="2"/>
  <c r="AG64" i="2"/>
  <c r="AF64" i="2"/>
  <c r="AE64" i="2"/>
  <c r="AD64" i="2"/>
  <c r="AC64" i="2"/>
  <c r="AB64" i="2"/>
  <c r="AA64" i="2"/>
  <c r="Z64" i="2"/>
  <c r="Y64" i="2"/>
  <c r="X64" i="2"/>
  <c r="W64" i="2"/>
  <c r="V64" i="2"/>
  <c r="U64" i="2"/>
  <c r="T64" i="2"/>
  <c r="S64" i="2"/>
  <c r="R64" i="2"/>
  <c r="Q64" i="2"/>
  <c r="P64" i="2"/>
  <c r="O64" i="2"/>
  <c r="N64" i="2"/>
  <c r="M64" i="2"/>
  <c r="L64" i="2"/>
  <c r="K64" i="2"/>
  <c r="J64" i="2"/>
  <c r="BD64" i="2" s="1"/>
  <c r="I64" i="2"/>
  <c r="E64" i="2" a="1"/>
  <c r="E64" i="2" s="1"/>
  <c r="D64" i="2" a="1"/>
  <c r="D64" i="2" s="1"/>
  <c r="C64" i="2" a="1"/>
  <c r="C64" i="2" s="1"/>
  <c r="B64" i="2" a="1"/>
  <c r="B64" i="2" s="1"/>
  <c r="CG63" i="2"/>
  <c r="CF63" i="2"/>
  <c r="CE63" i="2"/>
  <c r="CD63" i="2"/>
  <c r="CC63" i="2"/>
  <c r="CB63" i="2"/>
  <c r="CA63" i="2"/>
  <c r="BZ63" i="2"/>
  <c r="BY63" i="2"/>
  <c r="BX63" i="2"/>
  <c r="BW63" i="2"/>
  <c r="BV63" i="2"/>
  <c r="BU63" i="2"/>
  <c r="BT63" i="2"/>
  <c r="BS63" i="2"/>
  <c r="BR63" i="2"/>
  <c r="BQ63" i="2"/>
  <c r="BP63" i="2"/>
  <c r="BO63" i="2"/>
  <c r="BN63" i="2"/>
  <c r="BM63" i="2"/>
  <c r="BL63" i="2"/>
  <c r="BK63" i="2"/>
  <c r="BJ63" i="2"/>
  <c r="BI63" i="2"/>
  <c r="BH63" i="2"/>
  <c r="BG63" i="2"/>
  <c r="BF63" i="2"/>
  <c r="BE63" i="2"/>
  <c r="BD63" i="2"/>
  <c r="BC63" i="2"/>
  <c r="BB63" i="2"/>
  <c r="BA63" i="2"/>
  <c r="AZ63" i="2"/>
  <c r="AY63" i="2"/>
  <c r="AX63" i="2"/>
  <c r="AW63" i="2"/>
  <c r="AV63" i="2"/>
  <c r="AU63" i="2"/>
  <c r="AT63" i="2"/>
  <c r="AS63" i="2"/>
  <c r="AR63" i="2"/>
  <c r="AQ63" i="2"/>
  <c r="AP63" i="2"/>
  <c r="AO63" i="2"/>
  <c r="AN63" i="2"/>
  <c r="AM63" i="2"/>
  <c r="AL63"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E63" i="2" a="1"/>
  <c r="E63" i="2" s="1"/>
  <c r="D63" i="2" a="1"/>
  <c r="D63" i="2" s="1"/>
  <c r="C63" i="2" a="1"/>
  <c r="C63" i="2" s="1"/>
  <c r="B63" i="2" a="1"/>
  <c r="B63" i="2" s="1"/>
  <c r="CG62" i="2"/>
  <c r="CF62" i="2"/>
  <c r="CE62" i="2"/>
  <c r="CD62" i="2"/>
  <c r="CC62" i="2"/>
  <c r="CB62" i="2"/>
  <c r="CA62" i="2"/>
  <c r="BZ62" i="2"/>
  <c r="BY62" i="2"/>
  <c r="BX62" i="2"/>
  <c r="BW62" i="2"/>
  <c r="BV62" i="2"/>
  <c r="BU62" i="2"/>
  <c r="BT62" i="2"/>
  <c r="BS62" i="2"/>
  <c r="BR62" i="2"/>
  <c r="BQ62" i="2"/>
  <c r="BP62" i="2"/>
  <c r="BO62" i="2"/>
  <c r="BN62" i="2"/>
  <c r="BM62" i="2"/>
  <c r="BL62" i="2"/>
  <c r="BK62" i="2"/>
  <c r="BJ62" i="2"/>
  <c r="BI62" i="2"/>
  <c r="BH62" i="2"/>
  <c r="BG62" i="2"/>
  <c r="BF62" i="2"/>
  <c r="BE62" i="2"/>
  <c r="BC62" i="2"/>
  <c r="BB62" i="2"/>
  <c r="BA62" i="2"/>
  <c r="AZ62" i="2"/>
  <c r="AY62" i="2"/>
  <c r="AX62" i="2"/>
  <c r="AW62" i="2"/>
  <c r="AV62" i="2"/>
  <c r="AU62" i="2"/>
  <c r="AT62" i="2"/>
  <c r="AS62" i="2"/>
  <c r="AR62" i="2"/>
  <c r="AQ62" i="2"/>
  <c r="AP62" i="2"/>
  <c r="AO62" i="2"/>
  <c r="AN62" i="2"/>
  <c r="AM62" i="2"/>
  <c r="AL62" i="2"/>
  <c r="AK62" i="2"/>
  <c r="AJ62" i="2"/>
  <c r="AI62" i="2"/>
  <c r="AH62" i="2"/>
  <c r="AG62" i="2"/>
  <c r="AF62" i="2"/>
  <c r="AE62" i="2"/>
  <c r="AD62" i="2"/>
  <c r="AC62" i="2"/>
  <c r="AB62" i="2"/>
  <c r="AA62" i="2"/>
  <c r="Z62" i="2"/>
  <c r="Y62" i="2"/>
  <c r="X62" i="2"/>
  <c r="W62" i="2"/>
  <c r="V62" i="2"/>
  <c r="U62" i="2"/>
  <c r="T62" i="2"/>
  <c r="S62" i="2"/>
  <c r="R62" i="2"/>
  <c r="Q62" i="2"/>
  <c r="P62" i="2"/>
  <c r="O62" i="2"/>
  <c r="N62" i="2"/>
  <c r="M62" i="2"/>
  <c r="L62" i="2"/>
  <c r="K62" i="2"/>
  <c r="J62" i="2"/>
  <c r="BD62" i="2" s="1"/>
  <c r="I62" i="2"/>
  <c r="E62" i="2" a="1"/>
  <c r="E62" i="2" s="1"/>
  <c r="D62" i="2" a="1"/>
  <c r="D62" i="2" s="1"/>
  <c r="C62" i="2" a="1"/>
  <c r="C62" i="2" s="1"/>
  <c r="B62" i="2" a="1"/>
  <c r="B62" i="2" s="1"/>
  <c r="CG61" i="2"/>
  <c r="CF61" i="2"/>
  <c r="CE61" i="2"/>
  <c r="CD61" i="2"/>
  <c r="CC61" i="2"/>
  <c r="CB61" i="2"/>
  <c r="CA61" i="2"/>
  <c r="BZ61" i="2"/>
  <c r="BY61" i="2"/>
  <c r="BX61" i="2"/>
  <c r="BW61" i="2"/>
  <c r="BV61" i="2"/>
  <c r="BU61" i="2"/>
  <c r="BT61" i="2"/>
  <c r="BS61" i="2"/>
  <c r="BR61" i="2"/>
  <c r="BQ61" i="2"/>
  <c r="BP61" i="2"/>
  <c r="BO61" i="2"/>
  <c r="BN61" i="2"/>
  <c r="BM61" i="2"/>
  <c r="BL61" i="2"/>
  <c r="BK61" i="2"/>
  <c r="BJ61" i="2"/>
  <c r="BI61" i="2"/>
  <c r="BH61" i="2"/>
  <c r="BG61" i="2"/>
  <c r="BF61" i="2"/>
  <c r="BE61" i="2"/>
  <c r="BC61" i="2"/>
  <c r="BB61" i="2"/>
  <c r="BA61" i="2"/>
  <c r="AZ61" i="2"/>
  <c r="AY61" i="2"/>
  <c r="AX61" i="2"/>
  <c r="AW61" i="2"/>
  <c r="AV61" i="2"/>
  <c r="AU61" i="2"/>
  <c r="AT61" i="2"/>
  <c r="AS61" i="2"/>
  <c r="AR61" i="2"/>
  <c r="AQ61" i="2"/>
  <c r="AP61" i="2"/>
  <c r="AO61" i="2"/>
  <c r="AN61" i="2"/>
  <c r="AM61" i="2"/>
  <c r="AL61" i="2"/>
  <c r="AK61" i="2"/>
  <c r="AJ61" i="2"/>
  <c r="AI61" i="2"/>
  <c r="AH61" i="2"/>
  <c r="AG61" i="2"/>
  <c r="AF61" i="2"/>
  <c r="AE61" i="2"/>
  <c r="AD61" i="2"/>
  <c r="AC61" i="2"/>
  <c r="AB61" i="2"/>
  <c r="AA61" i="2"/>
  <c r="Z61" i="2"/>
  <c r="Y61" i="2"/>
  <c r="X61" i="2"/>
  <c r="W61" i="2"/>
  <c r="V61" i="2"/>
  <c r="U61" i="2"/>
  <c r="T61" i="2"/>
  <c r="S61" i="2"/>
  <c r="R61" i="2"/>
  <c r="Q61" i="2"/>
  <c r="P61" i="2"/>
  <c r="O61" i="2"/>
  <c r="N61" i="2"/>
  <c r="M61" i="2"/>
  <c r="L61" i="2"/>
  <c r="K61" i="2"/>
  <c r="J61" i="2"/>
  <c r="BD61" i="2" s="1"/>
  <c r="I61" i="2"/>
  <c r="E61" i="2" a="1"/>
  <c r="E61" i="2" s="1"/>
  <c r="D61" i="2" a="1"/>
  <c r="D61" i="2" s="1"/>
  <c r="C61" i="2" a="1"/>
  <c r="C61" i="2" s="1"/>
  <c r="B61" i="2" a="1"/>
  <c r="B61" i="2" s="1"/>
  <c r="CG60" i="2"/>
  <c r="CF60" i="2"/>
  <c r="CE60" i="2"/>
  <c r="CD60" i="2"/>
  <c r="CC60" i="2"/>
  <c r="CB60" i="2"/>
  <c r="CA60" i="2"/>
  <c r="BZ60" i="2"/>
  <c r="BY60" i="2"/>
  <c r="BX60" i="2"/>
  <c r="BW60" i="2"/>
  <c r="BV60" i="2"/>
  <c r="BU60" i="2"/>
  <c r="BT60" i="2"/>
  <c r="BS60" i="2"/>
  <c r="BR60" i="2"/>
  <c r="BQ60" i="2"/>
  <c r="BP60" i="2"/>
  <c r="BO60" i="2"/>
  <c r="BN60" i="2"/>
  <c r="BM60" i="2"/>
  <c r="BL60" i="2"/>
  <c r="BK60" i="2"/>
  <c r="BJ60" i="2"/>
  <c r="BI60" i="2"/>
  <c r="BH60" i="2"/>
  <c r="BG60" i="2"/>
  <c r="BF60" i="2"/>
  <c r="BE60" i="2"/>
  <c r="BC60" i="2"/>
  <c r="BB60" i="2"/>
  <c r="BA60" i="2"/>
  <c r="AZ60" i="2"/>
  <c r="AY60" i="2"/>
  <c r="AX60" i="2"/>
  <c r="AW60" i="2"/>
  <c r="AV60" i="2"/>
  <c r="AU60" i="2"/>
  <c r="AT60" i="2"/>
  <c r="AS60" i="2"/>
  <c r="AR60" i="2"/>
  <c r="AQ60" i="2"/>
  <c r="AP60" i="2"/>
  <c r="AO60" i="2"/>
  <c r="AN60" i="2"/>
  <c r="AM60" i="2"/>
  <c r="AL60" i="2"/>
  <c r="AK60" i="2"/>
  <c r="AJ60" i="2"/>
  <c r="AI60" i="2"/>
  <c r="AH60" i="2"/>
  <c r="AG60" i="2"/>
  <c r="AF60" i="2"/>
  <c r="AE60" i="2"/>
  <c r="AD60" i="2"/>
  <c r="AC60" i="2"/>
  <c r="AB60" i="2"/>
  <c r="AA60" i="2"/>
  <c r="Z60" i="2"/>
  <c r="Y60" i="2"/>
  <c r="X60" i="2"/>
  <c r="W60" i="2"/>
  <c r="V60" i="2"/>
  <c r="U60" i="2"/>
  <c r="T60" i="2"/>
  <c r="S60" i="2"/>
  <c r="R60" i="2"/>
  <c r="Q60" i="2"/>
  <c r="P60" i="2"/>
  <c r="O60" i="2"/>
  <c r="N60" i="2"/>
  <c r="M60" i="2"/>
  <c r="L60" i="2"/>
  <c r="K60" i="2"/>
  <c r="J60" i="2"/>
  <c r="BD60" i="2" s="1"/>
  <c r="I60" i="2"/>
  <c r="E60" i="2" a="1"/>
  <c r="E60" i="2" s="1"/>
  <c r="D60" i="2" a="1"/>
  <c r="D60" i="2" s="1"/>
  <c r="C60" i="2" a="1"/>
  <c r="C60" i="2" s="1"/>
  <c r="B60" i="2" a="1"/>
  <c r="B60" i="2" s="1"/>
  <c r="CG59" i="2"/>
  <c r="CF59" i="2"/>
  <c r="CE59" i="2"/>
  <c r="CD59" i="2"/>
  <c r="CC59" i="2"/>
  <c r="CB59" i="2"/>
  <c r="CA59" i="2"/>
  <c r="BZ59" i="2"/>
  <c r="BY59" i="2"/>
  <c r="BX59" i="2"/>
  <c r="BW59" i="2"/>
  <c r="BV59" i="2"/>
  <c r="BU59" i="2"/>
  <c r="BT59" i="2"/>
  <c r="BS59" i="2"/>
  <c r="BR59" i="2"/>
  <c r="BQ59" i="2"/>
  <c r="BP59" i="2"/>
  <c r="BO59" i="2"/>
  <c r="BN59" i="2"/>
  <c r="BM59" i="2"/>
  <c r="BL59" i="2"/>
  <c r="BK59" i="2"/>
  <c r="BJ59" i="2"/>
  <c r="BI59" i="2"/>
  <c r="BH59" i="2"/>
  <c r="BG59" i="2"/>
  <c r="BF59" i="2"/>
  <c r="BE59" i="2"/>
  <c r="BD59" i="2"/>
  <c r="BC59" i="2"/>
  <c r="BB59" i="2"/>
  <c r="BA59" i="2"/>
  <c r="AZ59" i="2"/>
  <c r="AY59" i="2"/>
  <c r="AX59" i="2"/>
  <c r="AW59" i="2"/>
  <c r="AV59" i="2"/>
  <c r="AU59" i="2"/>
  <c r="AT59" i="2"/>
  <c r="AS59" i="2"/>
  <c r="AR59" i="2"/>
  <c r="AQ59" i="2"/>
  <c r="AP59" i="2"/>
  <c r="AO59" i="2"/>
  <c r="AN59" i="2"/>
  <c r="AM59"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E59" i="2" a="1"/>
  <c r="E59" i="2" s="1"/>
  <c r="D59" i="2" a="1"/>
  <c r="D59" i="2" s="1"/>
  <c r="C59" i="2" a="1"/>
  <c r="C59" i="2" s="1"/>
  <c r="B59" i="2" a="1"/>
  <c r="B59" i="2" s="1"/>
  <c r="CG58" i="2"/>
  <c r="CF58" i="2"/>
  <c r="CE58" i="2"/>
  <c r="CD58" i="2"/>
  <c r="CC58" i="2"/>
  <c r="CB58" i="2"/>
  <c r="CA58" i="2"/>
  <c r="BZ58" i="2"/>
  <c r="BY58" i="2"/>
  <c r="BX58" i="2"/>
  <c r="BW58" i="2"/>
  <c r="BV58" i="2"/>
  <c r="BU58" i="2"/>
  <c r="BT58" i="2"/>
  <c r="BS58" i="2"/>
  <c r="BR58" i="2"/>
  <c r="BQ58" i="2"/>
  <c r="BP58" i="2"/>
  <c r="BO58" i="2"/>
  <c r="BN58" i="2"/>
  <c r="BM58" i="2"/>
  <c r="BL58" i="2"/>
  <c r="BK58" i="2"/>
  <c r="BJ58" i="2"/>
  <c r="BI58" i="2"/>
  <c r="BH58" i="2"/>
  <c r="BG58" i="2"/>
  <c r="BF58" i="2"/>
  <c r="BE58" i="2"/>
  <c r="BC58" i="2"/>
  <c r="BB58" i="2"/>
  <c r="BA58" i="2"/>
  <c r="AZ58" i="2"/>
  <c r="AY58" i="2"/>
  <c r="AX58" i="2"/>
  <c r="AW58" i="2"/>
  <c r="AV58" i="2"/>
  <c r="AU58" i="2"/>
  <c r="AT58" i="2"/>
  <c r="AS58" i="2"/>
  <c r="AR58" i="2"/>
  <c r="AQ58" i="2"/>
  <c r="AP58" i="2"/>
  <c r="AO58" i="2"/>
  <c r="AN58" i="2"/>
  <c r="AM58" i="2"/>
  <c r="AL58" i="2"/>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BD58" i="2" s="1"/>
  <c r="I58" i="2"/>
  <c r="E58" i="2" a="1"/>
  <c r="E58" i="2" s="1"/>
  <c r="D58" i="2" a="1"/>
  <c r="D58" i="2" s="1"/>
  <c r="C58" i="2" a="1"/>
  <c r="C58" i="2" s="1"/>
  <c r="B58" i="2" a="1"/>
  <c r="B58" i="2" s="1"/>
  <c r="CG57" i="2"/>
  <c r="CF57" i="2"/>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BC57" i="2"/>
  <c r="BB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BD57" i="2" s="1"/>
  <c r="I57" i="2"/>
  <c r="E57" i="2" a="1"/>
  <c r="E57" i="2" s="1"/>
  <c r="D57" i="2" a="1"/>
  <c r="D57" i="2" s="1"/>
  <c r="C57" i="2" a="1"/>
  <c r="C57" i="2" s="1"/>
  <c r="B57" i="2" a="1"/>
  <c r="B57" i="2" s="1"/>
  <c r="CG56" i="2"/>
  <c r="CF56" i="2"/>
  <c r="CE56" i="2"/>
  <c r="CD56" i="2"/>
  <c r="CC56" i="2"/>
  <c r="CB56" i="2"/>
  <c r="CA56" i="2"/>
  <c r="BZ56" i="2"/>
  <c r="BY56" i="2"/>
  <c r="BX56" i="2"/>
  <c r="BW56" i="2"/>
  <c r="BV56" i="2"/>
  <c r="BU56" i="2"/>
  <c r="BT56" i="2"/>
  <c r="BS56" i="2"/>
  <c r="BR56" i="2"/>
  <c r="BQ56" i="2"/>
  <c r="BP56" i="2"/>
  <c r="BO56" i="2"/>
  <c r="BN56" i="2"/>
  <c r="BM56" i="2"/>
  <c r="BL56" i="2"/>
  <c r="BK56" i="2"/>
  <c r="BJ56" i="2"/>
  <c r="BI56" i="2"/>
  <c r="BH56" i="2"/>
  <c r="BG56" i="2"/>
  <c r="BF56" i="2"/>
  <c r="BE56" i="2"/>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E56" i="2" a="1"/>
  <c r="E56" i="2" s="1"/>
  <c r="D56" i="2" a="1"/>
  <c r="D56" i="2" s="1"/>
  <c r="C56" i="2" a="1"/>
  <c r="C56" i="2" s="1"/>
  <c r="B56" i="2" a="1"/>
  <c r="B56" i="2" s="1"/>
  <c r="CG55" i="2"/>
  <c r="CF55" i="2"/>
  <c r="CE55" i="2"/>
  <c r="CD55" i="2"/>
  <c r="CC55" i="2"/>
  <c r="CB55" i="2"/>
  <c r="CA55" i="2"/>
  <c r="BZ55" i="2"/>
  <c r="BY55" i="2"/>
  <c r="BX55" i="2"/>
  <c r="BW55" i="2"/>
  <c r="BV55" i="2"/>
  <c r="BU55" i="2"/>
  <c r="BT55" i="2"/>
  <c r="BS55" i="2"/>
  <c r="BR55" i="2"/>
  <c r="BQ55" i="2"/>
  <c r="BP55" i="2"/>
  <c r="BO55" i="2"/>
  <c r="BN55" i="2"/>
  <c r="BM55" i="2"/>
  <c r="BL55" i="2"/>
  <c r="BK55" i="2"/>
  <c r="BJ55" i="2"/>
  <c r="BI55" i="2"/>
  <c r="BH55" i="2"/>
  <c r="BG55" i="2"/>
  <c r="BF55" i="2"/>
  <c r="BE55" i="2"/>
  <c r="BD55" i="2"/>
  <c r="BC55" i="2"/>
  <c r="BB55" i="2"/>
  <c r="BA55" i="2"/>
  <c r="AZ55" i="2"/>
  <c r="AY55" i="2"/>
  <c r="AX55" i="2"/>
  <c r="AW55" i="2"/>
  <c r="AV55" i="2"/>
  <c r="AU55" i="2"/>
  <c r="AT55" i="2"/>
  <c r="AS55" i="2"/>
  <c r="AR55" i="2"/>
  <c r="AQ55" i="2"/>
  <c r="AP55" i="2"/>
  <c r="AO55" i="2"/>
  <c r="AN55" i="2"/>
  <c r="AM55" i="2"/>
  <c r="AL55"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E55" i="2" a="1"/>
  <c r="E55" i="2" s="1"/>
  <c r="D55" i="2" a="1"/>
  <c r="D55" i="2" s="1"/>
  <c r="C55" i="2" a="1"/>
  <c r="C55" i="2" s="1"/>
  <c r="B55" i="2" a="1"/>
  <c r="B55" i="2" s="1"/>
  <c r="CG54" i="2"/>
  <c r="CF54" i="2"/>
  <c r="CE54" i="2"/>
  <c r="CD54" i="2"/>
  <c r="CC54" i="2"/>
  <c r="CB54" i="2"/>
  <c r="CA54" i="2"/>
  <c r="BZ54" i="2"/>
  <c r="BY54" i="2"/>
  <c r="BX54" i="2"/>
  <c r="BW54" i="2"/>
  <c r="BV54" i="2"/>
  <c r="BU54" i="2"/>
  <c r="BT54" i="2"/>
  <c r="BS54" i="2"/>
  <c r="BR54" i="2"/>
  <c r="BQ54" i="2"/>
  <c r="BP54" i="2"/>
  <c r="BO54" i="2"/>
  <c r="BN54" i="2"/>
  <c r="BM54" i="2"/>
  <c r="BL54" i="2"/>
  <c r="BK54" i="2"/>
  <c r="BJ54" i="2"/>
  <c r="BI54" i="2"/>
  <c r="BH54" i="2"/>
  <c r="BG54" i="2"/>
  <c r="BF54" i="2"/>
  <c r="BE54" i="2"/>
  <c r="BD54" i="2"/>
  <c r="BC54" i="2"/>
  <c r="BB54" i="2"/>
  <c r="BA54" i="2"/>
  <c r="AZ54" i="2"/>
  <c r="AY54" i="2"/>
  <c r="AX54" i="2"/>
  <c r="AW54" i="2"/>
  <c r="AV54" i="2"/>
  <c r="AU54" i="2"/>
  <c r="AT54" i="2"/>
  <c r="AS54" i="2"/>
  <c r="AR54" i="2"/>
  <c r="AQ54" i="2"/>
  <c r="AP54" i="2"/>
  <c r="AO54" i="2"/>
  <c r="AN54" i="2"/>
  <c r="AM54" i="2"/>
  <c r="AL54" i="2"/>
  <c r="AK54" i="2"/>
  <c r="AJ54" i="2"/>
  <c r="AI54" i="2"/>
  <c r="AH54" i="2"/>
  <c r="AG54" i="2"/>
  <c r="AF54" i="2"/>
  <c r="AE54" i="2"/>
  <c r="AD54" i="2"/>
  <c r="AC54" i="2"/>
  <c r="AB54" i="2"/>
  <c r="AA54" i="2"/>
  <c r="Z54" i="2"/>
  <c r="Y54" i="2"/>
  <c r="X54" i="2"/>
  <c r="W54" i="2"/>
  <c r="V54" i="2"/>
  <c r="U54" i="2"/>
  <c r="T54" i="2"/>
  <c r="S54" i="2"/>
  <c r="R54" i="2"/>
  <c r="Q54" i="2"/>
  <c r="P54" i="2"/>
  <c r="O54" i="2"/>
  <c r="N54" i="2"/>
  <c r="M54" i="2"/>
  <c r="L54" i="2"/>
  <c r="K54" i="2"/>
  <c r="J54" i="2"/>
  <c r="I54" i="2"/>
  <c r="E54" i="2" a="1"/>
  <c r="E54" i="2" s="1"/>
  <c r="D54" i="2" a="1"/>
  <c r="D54" i="2" s="1"/>
  <c r="C54" i="2" a="1"/>
  <c r="C54" i="2" s="1"/>
  <c r="B54" i="2" a="1"/>
  <c r="B54" i="2" s="1"/>
  <c r="CG53" i="2"/>
  <c r="CF53" i="2"/>
  <c r="CE53" i="2"/>
  <c r="CD53" i="2"/>
  <c r="CC53" i="2"/>
  <c r="CB53" i="2"/>
  <c r="CA53" i="2"/>
  <c r="BZ53" i="2"/>
  <c r="BY53" i="2"/>
  <c r="BX53" i="2"/>
  <c r="BW53" i="2"/>
  <c r="BV53" i="2"/>
  <c r="BU53" i="2"/>
  <c r="BT53" i="2"/>
  <c r="BS53" i="2"/>
  <c r="BR53" i="2"/>
  <c r="BQ53" i="2"/>
  <c r="BP53" i="2"/>
  <c r="BO53" i="2"/>
  <c r="BN53" i="2"/>
  <c r="BM53" i="2"/>
  <c r="BL53" i="2"/>
  <c r="BK53" i="2"/>
  <c r="BJ53" i="2"/>
  <c r="BI53" i="2"/>
  <c r="BH53" i="2"/>
  <c r="BG53" i="2"/>
  <c r="BF53" i="2"/>
  <c r="BE53" i="2"/>
  <c r="BC53" i="2"/>
  <c r="BB53" i="2"/>
  <c r="BA53" i="2"/>
  <c r="AZ53" i="2"/>
  <c r="AY53" i="2"/>
  <c r="AX53" i="2"/>
  <c r="AW53" i="2"/>
  <c r="AV53" i="2"/>
  <c r="AU53" i="2"/>
  <c r="AT53" i="2"/>
  <c r="AS53" i="2"/>
  <c r="AR53" i="2"/>
  <c r="AQ53" i="2"/>
  <c r="AP53" i="2"/>
  <c r="AO53" i="2"/>
  <c r="AN53" i="2"/>
  <c r="AM53" i="2"/>
  <c r="AL53" i="2"/>
  <c r="AK53" i="2"/>
  <c r="AJ53" i="2"/>
  <c r="AI53" i="2"/>
  <c r="AH53" i="2"/>
  <c r="AG53" i="2"/>
  <c r="AF53" i="2"/>
  <c r="AE53" i="2"/>
  <c r="AD53" i="2"/>
  <c r="AC53" i="2"/>
  <c r="AB53" i="2"/>
  <c r="AA53" i="2"/>
  <c r="Z53" i="2"/>
  <c r="Y53" i="2"/>
  <c r="X53" i="2"/>
  <c r="W53" i="2"/>
  <c r="V53" i="2"/>
  <c r="U53" i="2"/>
  <c r="T53" i="2"/>
  <c r="S53" i="2"/>
  <c r="R53" i="2"/>
  <c r="Q53" i="2"/>
  <c r="P53" i="2"/>
  <c r="O53" i="2"/>
  <c r="N53" i="2"/>
  <c r="M53" i="2"/>
  <c r="L53" i="2"/>
  <c r="K53" i="2"/>
  <c r="J53" i="2"/>
  <c r="BD53" i="2" s="1"/>
  <c r="I53" i="2"/>
  <c r="E53" i="2" a="1"/>
  <c r="E53" i="2" s="1"/>
  <c r="D53" i="2" a="1"/>
  <c r="D53" i="2" s="1"/>
  <c r="C53" i="2" a="1"/>
  <c r="C53" i="2" s="1"/>
  <c r="B53" i="2" a="1"/>
  <c r="B53" i="2" s="1"/>
  <c r="CG52" i="2"/>
  <c r="CF52" i="2"/>
  <c r="CE52" i="2"/>
  <c r="CD52" i="2"/>
  <c r="CC52" i="2"/>
  <c r="CB52" i="2"/>
  <c r="CA52" i="2"/>
  <c r="BZ52" i="2"/>
  <c r="BY52" i="2"/>
  <c r="BX52" i="2"/>
  <c r="BW52" i="2"/>
  <c r="BV52" i="2"/>
  <c r="BU52" i="2"/>
  <c r="BT52" i="2"/>
  <c r="BS52" i="2"/>
  <c r="BR52" i="2"/>
  <c r="BQ52" i="2"/>
  <c r="BP52" i="2"/>
  <c r="BO52" i="2"/>
  <c r="BN52" i="2"/>
  <c r="BM52" i="2"/>
  <c r="BL52" i="2"/>
  <c r="BK52" i="2"/>
  <c r="BJ52" i="2"/>
  <c r="BI52" i="2"/>
  <c r="BH52" i="2"/>
  <c r="BG52" i="2"/>
  <c r="BF52" i="2"/>
  <c r="BE52" i="2"/>
  <c r="BD52" i="2"/>
  <c r="BC52" i="2"/>
  <c r="BB52" i="2"/>
  <c r="BA52" i="2"/>
  <c r="AZ52" i="2"/>
  <c r="AY52" i="2"/>
  <c r="AX52" i="2"/>
  <c r="AW52" i="2"/>
  <c r="AV52" i="2"/>
  <c r="AU52" i="2"/>
  <c r="AT52" i="2"/>
  <c r="AS52" i="2"/>
  <c r="AR52" i="2"/>
  <c r="AQ52" i="2"/>
  <c r="AP52" i="2"/>
  <c r="AO52" i="2"/>
  <c r="AN52" i="2"/>
  <c r="AM52" i="2"/>
  <c r="AL52"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E52" i="2" a="1"/>
  <c r="E52" i="2" s="1"/>
  <c r="D52" i="2" a="1"/>
  <c r="D52" i="2" s="1"/>
  <c r="C52" i="2" a="1"/>
  <c r="C52" i="2" s="1"/>
  <c r="B52" i="2" a="1"/>
  <c r="B52" i="2" s="1"/>
  <c r="CG51" i="2"/>
  <c r="CF51" i="2"/>
  <c r="CE51" i="2"/>
  <c r="CD51" i="2"/>
  <c r="CC51" i="2"/>
  <c r="CB51" i="2"/>
  <c r="CA51" i="2"/>
  <c r="BZ51" i="2"/>
  <c r="BY51" i="2"/>
  <c r="BX51" i="2"/>
  <c r="BW51" i="2"/>
  <c r="BV51" i="2"/>
  <c r="BU51" i="2"/>
  <c r="BT51" i="2"/>
  <c r="BS51" i="2"/>
  <c r="BR51" i="2"/>
  <c r="BQ51" i="2"/>
  <c r="BP51" i="2"/>
  <c r="BO51" i="2"/>
  <c r="BN51" i="2"/>
  <c r="BM51" i="2"/>
  <c r="BL51" i="2"/>
  <c r="BK51" i="2"/>
  <c r="BJ51" i="2"/>
  <c r="BI51" i="2"/>
  <c r="BH51" i="2"/>
  <c r="BG51" i="2"/>
  <c r="BF51" i="2"/>
  <c r="BE51" i="2"/>
  <c r="BD51" i="2"/>
  <c r="BC51" i="2"/>
  <c r="BB51" i="2"/>
  <c r="BA51" i="2"/>
  <c r="AZ51" i="2"/>
  <c r="AY51" i="2"/>
  <c r="AX51" i="2"/>
  <c r="AW51" i="2"/>
  <c r="AV51" i="2"/>
  <c r="AU51" i="2"/>
  <c r="AT51" i="2"/>
  <c r="AS51" i="2"/>
  <c r="AR51" i="2"/>
  <c r="AQ51" i="2"/>
  <c r="AP51" i="2"/>
  <c r="AO51" i="2"/>
  <c r="AN51" i="2"/>
  <c r="AM51"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E51" i="2" a="1"/>
  <c r="E51" i="2" s="1"/>
  <c r="D51" i="2" a="1"/>
  <c r="D51" i="2" s="1"/>
  <c r="C51" i="2" a="1"/>
  <c r="C51" i="2" s="1"/>
  <c r="B51" i="2" a="1"/>
  <c r="B51" i="2" s="1"/>
  <c r="CG50" i="2"/>
  <c r="CF50" i="2"/>
  <c r="CE50" i="2"/>
  <c r="CD50" i="2"/>
  <c r="CC50" i="2"/>
  <c r="CB50" i="2"/>
  <c r="CA50" i="2"/>
  <c r="BZ50" i="2"/>
  <c r="BY50" i="2"/>
  <c r="BX50" i="2"/>
  <c r="BW50" i="2"/>
  <c r="BV50" i="2"/>
  <c r="BU50" i="2"/>
  <c r="BT50" i="2"/>
  <c r="BS50" i="2"/>
  <c r="BR50" i="2"/>
  <c r="BQ50" i="2"/>
  <c r="BP50" i="2"/>
  <c r="BO50" i="2"/>
  <c r="BN50" i="2"/>
  <c r="BM50" i="2"/>
  <c r="BL50" i="2"/>
  <c r="BK50" i="2"/>
  <c r="BJ50" i="2"/>
  <c r="BI50" i="2"/>
  <c r="BH50" i="2"/>
  <c r="BG50" i="2"/>
  <c r="BF50" i="2"/>
  <c r="BE50" i="2"/>
  <c r="BD50" i="2"/>
  <c r="BC50" i="2"/>
  <c r="BB50" i="2"/>
  <c r="BA50" i="2"/>
  <c r="AZ50" i="2"/>
  <c r="AY50" i="2"/>
  <c r="AX50" i="2"/>
  <c r="AW50" i="2"/>
  <c r="AV50" i="2"/>
  <c r="AU50" i="2"/>
  <c r="AT50" i="2"/>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E50" i="2" a="1"/>
  <c r="E50" i="2" s="1"/>
  <c r="D50" i="2" a="1"/>
  <c r="D50" i="2" s="1"/>
  <c r="C50" i="2" a="1"/>
  <c r="C50" i="2" s="1"/>
  <c r="B50" i="2" a="1"/>
  <c r="B50" i="2" s="1"/>
  <c r="CG49" i="2"/>
  <c r="CF49" i="2"/>
  <c r="CE49" i="2"/>
  <c r="CD49" i="2"/>
  <c r="CC49" i="2"/>
  <c r="CB49" i="2"/>
  <c r="CA49" i="2"/>
  <c r="BZ49" i="2"/>
  <c r="BY49" i="2"/>
  <c r="BX49" i="2"/>
  <c r="BW49" i="2"/>
  <c r="BV49" i="2"/>
  <c r="BU49" i="2"/>
  <c r="BT49" i="2"/>
  <c r="BS49" i="2"/>
  <c r="BR49" i="2"/>
  <c r="BQ49" i="2"/>
  <c r="BP49" i="2"/>
  <c r="BO49" i="2"/>
  <c r="BN49" i="2"/>
  <c r="BM49" i="2"/>
  <c r="BL49" i="2"/>
  <c r="BK49" i="2"/>
  <c r="BJ49" i="2"/>
  <c r="BI49" i="2"/>
  <c r="BH49" i="2"/>
  <c r="BG49" i="2"/>
  <c r="BF49" i="2"/>
  <c r="BE49" i="2"/>
  <c r="BC49" i="2"/>
  <c r="BB49" i="2"/>
  <c r="BA49" i="2"/>
  <c r="AZ49" i="2"/>
  <c r="AY49" i="2"/>
  <c r="AX49" i="2"/>
  <c r="AW49" i="2"/>
  <c r="AV49" i="2"/>
  <c r="AU49" i="2"/>
  <c r="AT49" i="2"/>
  <c r="AS49" i="2"/>
  <c r="AR49" i="2"/>
  <c r="AQ49" i="2"/>
  <c r="AP49"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BD49" i="2" s="1"/>
  <c r="I49" i="2"/>
  <c r="E49" i="2" a="1"/>
  <c r="E49" i="2" s="1"/>
  <c r="D49" i="2" a="1"/>
  <c r="D49" i="2" s="1"/>
  <c r="C49" i="2" a="1"/>
  <c r="C49" i="2" s="1"/>
  <c r="B49" i="2" a="1"/>
  <c r="B49" i="2" s="1"/>
  <c r="CG48" i="2"/>
  <c r="CF48" i="2"/>
  <c r="CE48" i="2"/>
  <c r="CD48" i="2"/>
  <c r="CC48" i="2"/>
  <c r="CB48" i="2"/>
  <c r="CA48" i="2"/>
  <c r="BZ48" i="2"/>
  <c r="BY48" i="2"/>
  <c r="BX48" i="2"/>
  <c r="BW48" i="2"/>
  <c r="BV48" i="2"/>
  <c r="BU48" i="2"/>
  <c r="BT48" i="2"/>
  <c r="BS48" i="2"/>
  <c r="BR48" i="2"/>
  <c r="BQ48" i="2"/>
  <c r="BP48" i="2"/>
  <c r="BO48" i="2"/>
  <c r="BN48" i="2"/>
  <c r="BM48" i="2"/>
  <c r="BL48" i="2"/>
  <c r="BK48" i="2"/>
  <c r="BJ48" i="2"/>
  <c r="BI48" i="2"/>
  <c r="BH48" i="2"/>
  <c r="BG48" i="2"/>
  <c r="BF48" i="2"/>
  <c r="BE48" i="2"/>
  <c r="BC48" i="2"/>
  <c r="BB48" i="2"/>
  <c r="BA48" i="2"/>
  <c r="AZ48" i="2"/>
  <c r="AY48" i="2"/>
  <c r="AX48" i="2"/>
  <c r="AW48" i="2"/>
  <c r="AV48" i="2"/>
  <c r="AU48" i="2"/>
  <c r="AT48" i="2"/>
  <c r="AS48" i="2"/>
  <c r="AR48" i="2"/>
  <c r="AQ48" i="2"/>
  <c r="AP48" i="2"/>
  <c r="AO48" i="2"/>
  <c r="AN48" i="2"/>
  <c r="AM48" i="2"/>
  <c r="AL48" i="2"/>
  <c r="AK48" i="2"/>
  <c r="AJ48" i="2"/>
  <c r="AI48" i="2"/>
  <c r="AH48" i="2"/>
  <c r="AG48" i="2"/>
  <c r="AF48" i="2"/>
  <c r="AE48" i="2"/>
  <c r="AD48" i="2"/>
  <c r="AC48" i="2"/>
  <c r="AB48" i="2"/>
  <c r="AA48" i="2"/>
  <c r="Z48" i="2"/>
  <c r="Y48" i="2"/>
  <c r="X48" i="2"/>
  <c r="W48" i="2"/>
  <c r="V48" i="2"/>
  <c r="U48" i="2"/>
  <c r="T48" i="2"/>
  <c r="S48" i="2"/>
  <c r="R48" i="2"/>
  <c r="Q48" i="2"/>
  <c r="P48" i="2"/>
  <c r="O48" i="2"/>
  <c r="N48" i="2"/>
  <c r="M48" i="2"/>
  <c r="L48" i="2"/>
  <c r="K48" i="2"/>
  <c r="J48" i="2"/>
  <c r="BD48" i="2" s="1"/>
  <c r="I48" i="2"/>
  <c r="E48" i="2" a="1"/>
  <c r="E48" i="2" s="1"/>
  <c r="D48" i="2" a="1"/>
  <c r="D48" i="2" s="1"/>
  <c r="C48" i="2" a="1"/>
  <c r="C48" i="2" s="1"/>
  <c r="B48" i="2" a="1"/>
  <c r="B48" i="2" s="1"/>
  <c r="CG47" i="2"/>
  <c r="CF47" i="2"/>
  <c r="CE47" i="2"/>
  <c r="CD47" i="2"/>
  <c r="CC47" i="2"/>
  <c r="CB47" i="2"/>
  <c r="CA47" i="2"/>
  <c r="BZ47" i="2"/>
  <c r="BY47" i="2"/>
  <c r="BX47" i="2"/>
  <c r="BW47" i="2"/>
  <c r="BV47" i="2"/>
  <c r="BU47" i="2"/>
  <c r="BT47" i="2"/>
  <c r="BS47" i="2"/>
  <c r="BR47" i="2"/>
  <c r="BQ47" i="2"/>
  <c r="BP47" i="2"/>
  <c r="BO47" i="2"/>
  <c r="BN47" i="2"/>
  <c r="BM47" i="2"/>
  <c r="BL47" i="2"/>
  <c r="BK47" i="2"/>
  <c r="BJ47" i="2"/>
  <c r="BI47" i="2"/>
  <c r="BH47" i="2"/>
  <c r="BG47" i="2"/>
  <c r="BF47" i="2"/>
  <c r="BE47" i="2"/>
  <c r="BD47" i="2"/>
  <c r="BC47" i="2"/>
  <c r="BB47" i="2"/>
  <c r="BA47" i="2"/>
  <c r="AZ47" i="2"/>
  <c r="AY47" i="2"/>
  <c r="AX47" i="2"/>
  <c r="AW47" i="2"/>
  <c r="AV47" i="2"/>
  <c r="AU47" i="2"/>
  <c r="AT47" i="2"/>
  <c r="AS47" i="2"/>
  <c r="AR47" i="2"/>
  <c r="AQ47" i="2"/>
  <c r="AP47" i="2"/>
  <c r="AO47" i="2"/>
  <c r="AN47" i="2"/>
  <c r="AM47" i="2"/>
  <c r="AL47" i="2"/>
  <c r="AK47" i="2"/>
  <c r="AJ47" i="2"/>
  <c r="AI47" i="2"/>
  <c r="AH47" i="2"/>
  <c r="AG47" i="2"/>
  <c r="AF47" i="2"/>
  <c r="AE47" i="2"/>
  <c r="AD47" i="2"/>
  <c r="AC47" i="2"/>
  <c r="AB47" i="2"/>
  <c r="AA47" i="2"/>
  <c r="Z47" i="2"/>
  <c r="Y47" i="2"/>
  <c r="X47" i="2"/>
  <c r="W47" i="2"/>
  <c r="V47" i="2"/>
  <c r="U47" i="2"/>
  <c r="T47" i="2"/>
  <c r="S47" i="2"/>
  <c r="R47" i="2"/>
  <c r="Q47" i="2"/>
  <c r="P47" i="2"/>
  <c r="O47" i="2"/>
  <c r="N47" i="2"/>
  <c r="M47" i="2"/>
  <c r="L47" i="2"/>
  <c r="K47" i="2"/>
  <c r="J47" i="2"/>
  <c r="I47" i="2"/>
  <c r="E47" i="2" a="1"/>
  <c r="E47" i="2" s="1"/>
  <c r="D47" i="2" a="1"/>
  <c r="D47" i="2" s="1"/>
  <c r="C47" i="2" a="1"/>
  <c r="C47" i="2" s="1"/>
  <c r="B47" i="2" a="1"/>
  <c r="B47" i="2" s="1"/>
  <c r="CG46" i="2"/>
  <c r="CF46" i="2"/>
  <c r="CE46" i="2"/>
  <c r="CD46" i="2"/>
  <c r="CC46" i="2"/>
  <c r="CB46" i="2"/>
  <c r="CA46" i="2"/>
  <c r="BZ46" i="2"/>
  <c r="BY46" i="2"/>
  <c r="BX46" i="2"/>
  <c r="BW46" i="2"/>
  <c r="BV46" i="2"/>
  <c r="BU46" i="2"/>
  <c r="BT46" i="2"/>
  <c r="BS46" i="2"/>
  <c r="BR46" i="2"/>
  <c r="BQ46" i="2"/>
  <c r="BP46" i="2"/>
  <c r="BO46" i="2"/>
  <c r="BN46" i="2"/>
  <c r="BM46" i="2"/>
  <c r="BL46" i="2"/>
  <c r="BK46" i="2"/>
  <c r="BJ46" i="2"/>
  <c r="BI46" i="2"/>
  <c r="BH46" i="2"/>
  <c r="BG46" i="2"/>
  <c r="BF46" i="2"/>
  <c r="BE46" i="2"/>
  <c r="BC46" i="2"/>
  <c r="BB46" i="2"/>
  <c r="BA46" i="2"/>
  <c r="AZ46" i="2"/>
  <c r="AY46" i="2"/>
  <c r="AX46" i="2"/>
  <c r="AW46" i="2"/>
  <c r="AV46" i="2"/>
  <c r="AU46" i="2"/>
  <c r="AT46" i="2"/>
  <c r="AS46" i="2"/>
  <c r="AR46" i="2"/>
  <c r="AQ46" i="2"/>
  <c r="AP46" i="2"/>
  <c r="AO46" i="2"/>
  <c r="AN46" i="2"/>
  <c r="AM46"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BD46" i="2" s="1"/>
  <c r="I46" i="2"/>
  <c r="E46" i="2" a="1"/>
  <c r="E46" i="2" s="1"/>
  <c r="D46" i="2" a="1"/>
  <c r="D46" i="2" s="1"/>
  <c r="C46" i="2" a="1"/>
  <c r="C46" i="2" s="1"/>
  <c r="B46" i="2" a="1"/>
  <c r="B46" i="2" s="1"/>
  <c r="CG45" i="2"/>
  <c r="CF45" i="2"/>
  <c r="CE45" i="2"/>
  <c r="CD45" i="2"/>
  <c r="CC45" i="2"/>
  <c r="CB45" i="2"/>
  <c r="CA45" i="2"/>
  <c r="BZ45" i="2"/>
  <c r="BY45" i="2"/>
  <c r="BX45" i="2"/>
  <c r="BW45" i="2"/>
  <c r="BV45" i="2"/>
  <c r="BU45" i="2"/>
  <c r="BT45" i="2"/>
  <c r="BS45" i="2"/>
  <c r="BR45" i="2"/>
  <c r="BQ45" i="2"/>
  <c r="BP45" i="2"/>
  <c r="BO45" i="2"/>
  <c r="BN45" i="2"/>
  <c r="BM45" i="2"/>
  <c r="BL45" i="2"/>
  <c r="BK45" i="2"/>
  <c r="BJ45" i="2"/>
  <c r="BI45" i="2"/>
  <c r="BH45" i="2"/>
  <c r="BG45" i="2"/>
  <c r="BF45" i="2"/>
  <c r="BE45" i="2"/>
  <c r="BC45"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BD45" i="2" s="1"/>
  <c r="I45" i="2"/>
  <c r="E45" i="2" a="1"/>
  <c r="E45" i="2" s="1"/>
  <c r="D45" i="2" a="1"/>
  <c r="D45" i="2" s="1"/>
  <c r="C45" i="2" a="1"/>
  <c r="C45" i="2" s="1"/>
  <c r="B45" i="2" a="1"/>
  <c r="B45" i="2" s="1"/>
  <c r="CG44" i="2"/>
  <c r="CF44" i="2"/>
  <c r="CE44" i="2"/>
  <c r="CD44" i="2"/>
  <c r="CC44" i="2"/>
  <c r="CB44" i="2"/>
  <c r="CA44" i="2"/>
  <c r="BZ44" i="2"/>
  <c r="BY44" i="2"/>
  <c r="BX44" i="2"/>
  <c r="BW44" i="2"/>
  <c r="BV44" i="2"/>
  <c r="BU44" i="2"/>
  <c r="BT44" i="2"/>
  <c r="BS44" i="2"/>
  <c r="BR44" i="2"/>
  <c r="BQ44" i="2"/>
  <c r="BP44" i="2"/>
  <c r="BO44" i="2"/>
  <c r="BN44" i="2"/>
  <c r="BM44" i="2"/>
  <c r="BL44" i="2"/>
  <c r="BK44" i="2"/>
  <c r="BJ44" i="2"/>
  <c r="BI44" i="2"/>
  <c r="BH44" i="2"/>
  <c r="BG44" i="2"/>
  <c r="BF44" i="2"/>
  <c r="BE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BD44" i="2" s="1"/>
  <c r="I44" i="2"/>
  <c r="E44" i="2" a="1"/>
  <c r="E44" i="2" s="1"/>
  <c r="D44" i="2" a="1"/>
  <c r="D44" i="2" s="1"/>
  <c r="C44" i="2" a="1"/>
  <c r="C44" i="2" s="1"/>
  <c r="B44" i="2" a="1"/>
  <c r="B44" i="2" s="1"/>
  <c r="CG43" i="2"/>
  <c r="CF43" i="2"/>
  <c r="CE43" i="2"/>
  <c r="CD43" i="2"/>
  <c r="CC43" i="2"/>
  <c r="CB43" i="2"/>
  <c r="CA43" i="2"/>
  <c r="BZ43" i="2"/>
  <c r="BY43" i="2"/>
  <c r="BX43" i="2"/>
  <c r="BW43" i="2"/>
  <c r="BV43" i="2"/>
  <c r="BU43" i="2"/>
  <c r="BT43" i="2"/>
  <c r="BS43" i="2"/>
  <c r="BR43" i="2"/>
  <c r="BQ43" i="2"/>
  <c r="BP43" i="2"/>
  <c r="BO43" i="2"/>
  <c r="BN43" i="2"/>
  <c r="BM43" i="2"/>
  <c r="BL43" i="2"/>
  <c r="BK43" i="2"/>
  <c r="BJ43" i="2"/>
  <c r="BI43" i="2"/>
  <c r="BH43" i="2"/>
  <c r="BG43" i="2"/>
  <c r="BF43" i="2"/>
  <c r="BE43" i="2"/>
  <c r="BD43" i="2"/>
  <c r="BC43" i="2"/>
  <c r="BB43" i="2"/>
  <c r="BA43" i="2"/>
  <c r="AZ43" i="2"/>
  <c r="AY43" i="2"/>
  <c r="AX43" i="2"/>
  <c r="AW43" i="2"/>
  <c r="AV43" i="2"/>
  <c r="AU43" i="2"/>
  <c r="AT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E43" i="2" a="1"/>
  <c r="E43" i="2" s="1"/>
  <c r="D43" i="2" a="1"/>
  <c r="D43" i="2" s="1"/>
  <c r="C43" i="2" a="1"/>
  <c r="C43" i="2" s="1"/>
  <c r="B43" i="2" a="1"/>
  <c r="B43" i="2" s="1"/>
  <c r="CG42" i="2"/>
  <c r="CF42" i="2"/>
  <c r="CE42" i="2"/>
  <c r="CD42" i="2"/>
  <c r="CC42" i="2"/>
  <c r="CB42" i="2"/>
  <c r="CA42" i="2"/>
  <c r="BZ42" i="2"/>
  <c r="BY42" i="2"/>
  <c r="BX42" i="2"/>
  <c r="BW42" i="2"/>
  <c r="BV42" i="2"/>
  <c r="BU42" i="2"/>
  <c r="BT42" i="2"/>
  <c r="BS42" i="2"/>
  <c r="BR42" i="2"/>
  <c r="BQ42" i="2"/>
  <c r="BP42" i="2"/>
  <c r="BO42" i="2"/>
  <c r="BN42" i="2"/>
  <c r="BM42" i="2"/>
  <c r="BL42" i="2"/>
  <c r="BK42" i="2"/>
  <c r="BJ42" i="2"/>
  <c r="BI42" i="2"/>
  <c r="BH42" i="2"/>
  <c r="BG42" i="2"/>
  <c r="BF42" i="2"/>
  <c r="BE42" i="2"/>
  <c r="BC42" i="2"/>
  <c r="BB42" i="2"/>
  <c r="BA42" i="2"/>
  <c r="AZ42" i="2"/>
  <c r="AY42" i="2"/>
  <c r="AX42" i="2"/>
  <c r="AW42" i="2"/>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BD42" i="2" s="1"/>
  <c r="I42" i="2"/>
  <c r="E42" i="2" a="1"/>
  <c r="E42" i="2" s="1"/>
  <c r="D42" i="2" a="1"/>
  <c r="D42" i="2" s="1"/>
  <c r="C42" i="2" a="1"/>
  <c r="C42" i="2" s="1"/>
  <c r="B42" i="2" a="1"/>
  <c r="B42" i="2" s="1"/>
  <c r="CG41" i="2"/>
  <c r="CF41" i="2"/>
  <c r="CE41" i="2"/>
  <c r="CD41" i="2"/>
  <c r="CC41" i="2"/>
  <c r="CB41" i="2"/>
  <c r="CA41" i="2"/>
  <c r="BZ41" i="2"/>
  <c r="BY41" i="2"/>
  <c r="BX41" i="2"/>
  <c r="BW41" i="2"/>
  <c r="BV41" i="2"/>
  <c r="BU41" i="2"/>
  <c r="BT41" i="2"/>
  <c r="BS41" i="2"/>
  <c r="BR41" i="2"/>
  <c r="BQ41" i="2"/>
  <c r="BP41" i="2"/>
  <c r="BO41" i="2"/>
  <c r="BN41" i="2"/>
  <c r="BM41" i="2"/>
  <c r="BL41" i="2"/>
  <c r="BK41" i="2"/>
  <c r="BJ41" i="2"/>
  <c r="BI41" i="2"/>
  <c r="BH41" i="2"/>
  <c r="BG41" i="2"/>
  <c r="BF41" i="2"/>
  <c r="BE41" i="2"/>
  <c r="BC41" i="2"/>
  <c r="BB41" i="2"/>
  <c r="BA41" i="2"/>
  <c r="AZ41" i="2"/>
  <c r="AY41" i="2"/>
  <c r="AX41" i="2"/>
  <c r="AW41" i="2"/>
  <c r="AV41" i="2"/>
  <c r="AU41" i="2"/>
  <c r="AT41" i="2"/>
  <c r="AS41" i="2"/>
  <c r="AR41" i="2"/>
  <c r="AQ41" i="2"/>
  <c r="AP41" i="2"/>
  <c r="AO41" i="2"/>
  <c r="AN41" i="2"/>
  <c r="AM41" i="2"/>
  <c r="AL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BD41" i="2" s="1"/>
  <c r="I41" i="2"/>
  <c r="E41" i="2" a="1"/>
  <c r="E41" i="2" s="1"/>
  <c r="D41" i="2" a="1"/>
  <c r="D41" i="2" s="1"/>
  <c r="C41" i="2" a="1"/>
  <c r="C41" i="2" s="1"/>
  <c r="B41" i="2" a="1"/>
  <c r="B41" i="2" s="1"/>
  <c r="CG40" i="2"/>
  <c r="CF40" i="2"/>
  <c r="CE40" i="2"/>
  <c r="CD40" i="2"/>
  <c r="CC40" i="2"/>
  <c r="CB40" i="2"/>
  <c r="CA40" i="2"/>
  <c r="BZ40" i="2"/>
  <c r="BY40" i="2"/>
  <c r="BX40" i="2"/>
  <c r="BW40" i="2"/>
  <c r="BV40" i="2"/>
  <c r="BU40" i="2"/>
  <c r="BT40" i="2"/>
  <c r="BS40" i="2"/>
  <c r="BR40" i="2"/>
  <c r="BQ40" i="2"/>
  <c r="BP40" i="2"/>
  <c r="BO40" i="2"/>
  <c r="BN40" i="2"/>
  <c r="BM40" i="2"/>
  <c r="BL40" i="2"/>
  <c r="BK40" i="2"/>
  <c r="BJ40" i="2"/>
  <c r="BI40" i="2"/>
  <c r="BH40" i="2"/>
  <c r="BG40" i="2"/>
  <c r="BF40" i="2"/>
  <c r="BE40" i="2"/>
  <c r="BD40" i="2"/>
  <c r="BC40" i="2"/>
  <c r="BB40" i="2"/>
  <c r="BA40" i="2"/>
  <c r="AZ40" i="2"/>
  <c r="AY40" i="2"/>
  <c r="AX40" i="2"/>
  <c r="AW40" i="2"/>
  <c r="AV40" i="2"/>
  <c r="AU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E40" i="2" a="1"/>
  <c r="E40" i="2" s="1"/>
  <c r="D40" i="2" a="1"/>
  <c r="D40" i="2" s="1"/>
  <c r="C40" i="2" a="1"/>
  <c r="C40" i="2" s="1"/>
  <c r="B40" i="2" a="1"/>
  <c r="B40" i="2" s="1"/>
  <c r="CG39" i="2"/>
  <c r="CF39" i="2"/>
  <c r="CE39" i="2"/>
  <c r="CD39" i="2"/>
  <c r="CC39" i="2"/>
  <c r="CB39" i="2"/>
  <c r="CA39" i="2"/>
  <c r="BZ39" i="2"/>
  <c r="BY39" i="2"/>
  <c r="BX39" i="2"/>
  <c r="BW39" i="2"/>
  <c r="BV39" i="2"/>
  <c r="BU39" i="2"/>
  <c r="BT39" i="2"/>
  <c r="BS39" i="2"/>
  <c r="BR39" i="2"/>
  <c r="BQ39" i="2"/>
  <c r="BP39" i="2"/>
  <c r="BO39" i="2"/>
  <c r="BN39" i="2"/>
  <c r="BM39" i="2"/>
  <c r="BL39" i="2"/>
  <c r="BK39" i="2"/>
  <c r="BJ39" i="2"/>
  <c r="BI39" i="2"/>
  <c r="BH39" i="2"/>
  <c r="BG39" i="2"/>
  <c r="BF39" i="2"/>
  <c r="BE39" i="2"/>
  <c r="BD39" i="2"/>
  <c r="BC39" i="2"/>
  <c r="BB39" i="2"/>
  <c r="BA39" i="2"/>
  <c r="AZ39" i="2"/>
  <c r="AY39" i="2"/>
  <c r="AX39" i="2"/>
  <c r="AW39" i="2"/>
  <c r="AV39" i="2"/>
  <c r="AU39" i="2"/>
  <c r="AT39" i="2"/>
  <c r="AS39" i="2"/>
  <c r="AR39" i="2"/>
  <c r="AQ39" i="2"/>
  <c r="AP39" i="2"/>
  <c r="AO39" i="2"/>
  <c r="AN39"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E39" i="2" a="1"/>
  <c r="E39" i="2" s="1"/>
  <c r="D39" i="2" a="1"/>
  <c r="D39" i="2" s="1"/>
  <c r="C39" i="2" a="1"/>
  <c r="C39" i="2" s="1"/>
  <c r="B39" i="2" a="1"/>
  <c r="B39" i="2" s="1"/>
  <c r="CG38" i="2"/>
  <c r="CF38" i="2"/>
  <c r="CE38" i="2"/>
  <c r="CD38" i="2"/>
  <c r="CC38" i="2"/>
  <c r="CB38" i="2"/>
  <c r="CA38" i="2"/>
  <c r="BZ38" i="2"/>
  <c r="BY38" i="2"/>
  <c r="BX38" i="2"/>
  <c r="BW38" i="2"/>
  <c r="BV38" i="2"/>
  <c r="BU38" i="2"/>
  <c r="BT38" i="2"/>
  <c r="BS38" i="2"/>
  <c r="BR38" i="2"/>
  <c r="BQ38" i="2"/>
  <c r="BP38" i="2"/>
  <c r="BO38" i="2"/>
  <c r="BN38" i="2"/>
  <c r="BM38" i="2"/>
  <c r="BL38" i="2"/>
  <c r="BK38" i="2"/>
  <c r="BJ38" i="2"/>
  <c r="BI38" i="2"/>
  <c r="BH38" i="2"/>
  <c r="BG38" i="2"/>
  <c r="BF38" i="2"/>
  <c r="BE38" i="2"/>
  <c r="BD38" i="2"/>
  <c r="BC38" i="2"/>
  <c r="BB38" i="2"/>
  <c r="BA38" i="2"/>
  <c r="AZ38" i="2"/>
  <c r="AY38" i="2"/>
  <c r="AX38" i="2"/>
  <c r="AW38" i="2"/>
  <c r="AV38" i="2"/>
  <c r="AU38" i="2"/>
  <c r="AT38" i="2"/>
  <c r="AS38" i="2"/>
  <c r="AR38" i="2"/>
  <c r="AQ38" i="2"/>
  <c r="AP38" i="2"/>
  <c r="AO38" i="2"/>
  <c r="AN38" i="2"/>
  <c r="AM38" i="2"/>
  <c r="AL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E38" i="2" a="1"/>
  <c r="E38" i="2" s="1"/>
  <c r="D38" i="2" a="1"/>
  <c r="D38" i="2" s="1"/>
  <c r="C38" i="2" a="1"/>
  <c r="C38" i="2" s="1"/>
  <c r="B38" i="2" a="1"/>
  <c r="B38" i="2" s="1"/>
  <c r="CG37" i="2"/>
  <c r="CF37" i="2"/>
  <c r="CE37" i="2"/>
  <c r="CD37" i="2"/>
  <c r="CC37" i="2"/>
  <c r="CB37" i="2"/>
  <c r="CA37" i="2"/>
  <c r="BZ37" i="2"/>
  <c r="BY37" i="2"/>
  <c r="BX37" i="2"/>
  <c r="BW37" i="2"/>
  <c r="BV37" i="2"/>
  <c r="BU37" i="2"/>
  <c r="BT37" i="2"/>
  <c r="BS37" i="2"/>
  <c r="BR37" i="2"/>
  <c r="BQ37" i="2"/>
  <c r="BP37" i="2"/>
  <c r="BO37" i="2"/>
  <c r="BN37" i="2"/>
  <c r="BM37" i="2"/>
  <c r="BL37" i="2"/>
  <c r="BK37" i="2"/>
  <c r="BJ37" i="2"/>
  <c r="BI37" i="2"/>
  <c r="BH37" i="2"/>
  <c r="BG37" i="2"/>
  <c r="BF37" i="2"/>
  <c r="BE37" i="2"/>
  <c r="BC37" i="2"/>
  <c r="BB37" i="2"/>
  <c r="BA37" i="2"/>
  <c r="AZ37" i="2"/>
  <c r="AY37" i="2"/>
  <c r="AX37" i="2"/>
  <c r="AW37" i="2"/>
  <c r="AV37" i="2"/>
  <c r="AU37" i="2"/>
  <c r="AT37" i="2"/>
  <c r="AS37" i="2"/>
  <c r="AR37" i="2"/>
  <c r="AQ37" i="2"/>
  <c r="AP37"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K37" i="2"/>
  <c r="J37" i="2"/>
  <c r="BD37" i="2" s="1"/>
  <c r="I37" i="2"/>
  <c r="E37" i="2" a="1"/>
  <c r="E37" i="2" s="1"/>
  <c r="D37" i="2" a="1"/>
  <c r="D37" i="2" s="1"/>
  <c r="C37" i="2" a="1"/>
  <c r="C37" i="2" s="1"/>
  <c r="B37" i="2" a="1"/>
  <c r="B37" i="2" s="1"/>
  <c r="CG36" i="2"/>
  <c r="CF36" i="2"/>
  <c r="CE36" i="2"/>
  <c r="CD36" i="2"/>
  <c r="CC36" i="2"/>
  <c r="CB36" i="2"/>
  <c r="CA36" i="2"/>
  <c r="BZ36" i="2"/>
  <c r="BY36" i="2"/>
  <c r="BX36" i="2"/>
  <c r="BW36" i="2"/>
  <c r="BV36" i="2"/>
  <c r="BU36" i="2"/>
  <c r="BT36" i="2"/>
  <c r="BS36" i="2"/>
  <c r="BR36" i="2"/>
  <c r="BQ36" i="2"/>
  <c r="BP36" i="2"/>
  <c r="BO36" i="2"/>
  <c r="BN36" i="2"/>
  <c r="BM36" i="2"/>
  <c r="BL36" i="2"/>
  <c r="BK36" i="2"/>
  <c r="BJ36"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E36" i="2" a="1"/>
  <c r="E36" i="2" s="1"/>
  <c r="D36" i="2" a="1"/>
  <c r="D36" i="2" s="1"/>
  <c r="C36" i="2" a="1"/>
  <c r="C36" i="2" s="1"/>
  <c r="B36" i="2" a="1"/>
  <c r="B36" i="2" s="1"/>
  <c r="CG35" i="2"/>
  <c r="CF35" i="2"/>
  <c r="CE35" i="2"/>
  <c r="CD35" i="2"/>
  <c r="CC35" i="2"/>
  <c r="CB35" i="2"/>
  <c r="CA35" i="2"/>
  <c r="BZ35" i="2"/>
  <c r="BY35" i="2"/>
  <c r="BX35" i="2"/>
  <c r="BW35" i="2"/>
  <c r="BV35" i="2"/>
  <c r="BU35" i="2"/>
  <c r="BT35" i="2"/>
  <c r="BS35" i="2"/>
  <c r="BR35" i="2"/>
  <c r="BQ35" i="2"/>
  <c r="BP35" i="2"/>
  <c r="BO35" i="2"/>
  <c r="BN35" i="2"/>
  <c r="BM35" i="2"/>
  <c r="BL35" i="2"/>
  <c r="BK35" i="2"/>
  <c r="BJ35" i="2"/>
  <c r="BI35" i="2"/>
  <c r="BH35" i="2"/>
  <c r="BG35" i="2"/>
  <c r="BF35" i="2"/>
  <c r="BE35" i="2"/>
  <c r="BD35" i="2"/>
  <c r="BC35" i="2"/>
  <c r="BB35" i="2"/>
  <c r="BA35" i="2"/>
  <c r="AZ35" i="2"/>
  <c r="AY35" i="2"/>
  <c r="AX35" i="2"/>
  <c r="AW35" i="2"/>
  <c r="AV35" i="2"/>
  <c r="AU35" i="2"/>
  <c r="AT35" i="2"/>
  <c r="AS35" i="2"/>
  <c r="AR35" i="2"/>
  <c r="AQ35" i="2"/>
  <c r="AP35"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E35" i="2" a="1"/>
  <c r="E35" i="2" s="1"/>
  <c r="D35" i="2" a="1"/>
  <c r="D35" i="2" s="1"/>
  <c r="C35" i="2" a="1"/>
  <c r="C35" i="2" s="1"/>
  <c r="B35" i="2" a="1"/>
  <c r="B35" i="2" s="1"/>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E34" i="2" a="1"/>
  <c r="E34" i="2" s="1"/>
  <c r="D34" i="2" a="1"/>
  <c r="D34" i="2" s="1"/>
  <c r="C34" i="2" a="1"/>
  <c r="C34" i="2" s="1"/>
  <c r="B34" i="2" a="1"/>
  <c r="B34" i="2" s="1"/>
  <c r="CG33" i="2"/>
  <c r="CF33" i="2"/>
  <c r="CE33" i="2"/>
  <c r="CD33" i="2"/>
  <c r="CC33" i="2"/>
  <c r="CB33" i="2"/>
  <c r="CA33" i="2"/>
  <c r="BZ33" i="2"/>
  <c r="BY33" i="2"/>
  <c r="BX33" i="2"/>
  <c r="BW33" i="2"/>
  <c r="BV33" i="2"/>
  <c r="BU33" i="2"/>
  <c r="BT33" i="2"/>
  <c r="BS33" i="2"/>
  <c r="BR33" i="2"/>
  <c r="BQ33" i="2"/>
  <c r="BP33" i="2"/>
  <c r="BO33" i="2"/>
  <c r="BN33" i="2"/>
  <c r="BM33" i="2"/>
  <c r="BL33" i="2"/>
  <c r="BK33" i="2"/>
  <c r="BJ33" i="2"/>
  <c r="BI33" i="2"/>
  <c r="BH33" i="2"/>
  <c r="BG33" i="2"/>
  <c r="BF33" i="2"/>
  <c r="BE33" i="2"/>
  <c r="BC33" i="2"/>
  <c r="BB33" i="2"/>
  <c r="BA33" i="2"/>
  <c r="AZ33" i="2"/>
  <c r="AY33" i="2"/>
  <c r="AX33" i="2"/>
  <c r="AW33" i="2"/>
  <c r="AV33" i="2"/>
  <c r="AU33" i="2"/>
  <c r="AT33" i="2"/>
  <c r="AS33" i="2"/>
  <c r="AR33" i="2"/>
  <c r="AQ33" i="2"/>
  <c r="AP33" i="2"/>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BD33" i="2" s="1"/>
  <c r="I33" i="2"/>
  <c r="E33" i="2" a="1"/>
  <c r="E33" i="2" s="1"/>
  <c r="D33" i="2" a="1"/>
  <c r="D33" i="2" s="1"/>
  <c r="C33" i="2" a="1"/>
  <c r="C33" i="2" s="1"/>
  <c r="B33" i="2" a="1"/>
  <c r="B33" i="2" s="1"/>
  <c r="CG32" i="2"/>
  <c r="CF32" i="2"/>
  <c r="CE32" i="2"/>
  <c r="CD32" i="2"/>
  <c r="CC32" i="2"/>
  <c r="CB32" i="2"/>
  <c r="CA32" i="2"/>
  <c r="BZ32" i="2"/>
  <c r="BY32" i="2"/>
  <c r="BX32" i="2"/>
  <c r="BW32" i="2"/>
  <c r="BV32" i="2"/>
  <c r="BU32" i="2"/>
  <c r="BT32" i="2"/>
  <c r="BS32" i="2"/>
  <c r="BR32" i="2"/>
  <c r="BQ32" i="2"/>
  <c r="BP32" i="2"/>
  <c r="BO32" i="2"/>
  <c r="BN32" i="2"/>
  <c r="BM32" i="2"/>
  <c r="BL32" i="2"/>
  <c r="BK32" i="2"/>
  <c r="BJ32" i="2"/>
  <c r="BI32" i="2"/>
  <c r="BH32" i="2"/>
  <c r="BG32" i="2"/>
  <c r="BF32" i="2"/>
  <c r="BE32" i="2"/>
  <c r="BC32" i="2"/>
  <c r="BB32" i="2"/>
  <c r="BA32" i="2"/>
  <c r="AZ32" i="2"/>
  <c r="AY32" i="2"/>
  <c r="AX32" i="2"/>
  <c r="AW32" i="2"/>
  <c r="AV32" i="2"/>
  <c r="AU32" i="2"/>
  <c r="AT32" i="2"/>
  <c r="AS32" i="2"/>
  <c r="AR32" i="2"/>
  <c r="AQ32" i="2"/>
  <c r="AP32" i="2"/>
  <c r="AO32" i="2"/>
  <c r="AN32" i="2"/>
  <c r="AM32" i="2"/>
  <c r="AL32"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BD32" i="2" s="1"/>
  <c r="I32" i="2"/>
  <c r="E32" i="2" a="1"/>
  <c r="E32" i="2" s="1"/>
  <c r="D32" i="2" a="1"/>
  <c r="D32" i="2" s="1"/>
  <c r="C32" i="2" a="1"/>
  <c r="C32" i="2" s="1"/>
  <c r="B32" i="2" a="1"/>
  <c r="B32" i="2" s="1"/>
  <c r="CG31" i="2"/>
  <c r="CF31" i="2"/>
  <c r="CE31" i="2"/>
  <c r="CD31" i="2"/>
  <c r="CC31" i="2"/>
  <c r="CB31" i="2"/>
  <c r="CA31" i="2"/>
  <c r="BZ31" i="2"/>
  <c r="BY31" i="2"/>
  <c r="BX31" i="2"/>
  <c r="BW31" i="2"/>
  <c r="BV31" i="2"/>
  <c r="BU31" i="2"/>
  <c r="BT31" i="2"/>
  <c r="BS31" i="2"/>
  <c r="BR31" i="2"/>
  <c r="BQ31" i="2"/>
  <c r="BP31" i="2"/>
  <c r="BO31" i="2"/>
  <c r="BN31" i="2"/>
  <c r="BM31" i="2"/>
  <c r="BL31" i="2"/>
  <c r="BK31" i="2"/>
  <c r="BJ31" i="2"/>
  <c r="BI31" i="2"/>
  <c r="BH31" i="2"/>
  <c r="BG31" i="2"/>
  <c r="BF31" i="2"/>
  <c r="BE31" i="2"/>
  <c r="BD31" i="2"/>
  <c r="BC31" i="2"/>
  <c r="BB31" i="2"/>
  <c r="BA31" i="2"/>
  <c r="AZ31" i="2"/>
  <c r="AY31" i="2"/>
  <c r="AX31" i="2"/>
  <c r="AW31" i="2"/>
  <c r="AV31" i="2"/>
  <c r="AU31" i="2"/>
  <c r="AT31" i="2"/>
  <c r="AS31" i="2"/>
  <c r="AR31" i="2"/>
  <c r="AQ31" i="2"/>
  <c r="AP31" i="2"/>
  <c r="AO31" i="2"/>
  <c r="AN31" i="2"/>
  <c r="AM31" i="2"/>
  <c r="AL31" i="2"/>
  <c r="AK31" i="2"/>
  <c r="AJ31"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E31" i="2" a="1"/>
  <c r="E31" i="2" s="1"/>
  <c r="D31" i="2" a="1"/>
  <c r="D31" i="2" s="1"/>
  <c r="C31" i="2" a="1"/>
  <c r="C31" i="2" s="1"/>
  <c r="B31" i="2" a="1"/>
  <c r="B31" i="2" s="1"/>
  <c r="CG30" i="2"/>
  <c r="CF30" i="2"/>
  <c r="CE30" i="2"/>
  <c r="CD30" i="2"/>
  <c r="CC30" i="2"/>
  <c r="CB30" i="2"/>
  <c r="CA30" i="2"/>
  <c r="BZ30" i="2"/>
  <c r="BY30" i="2"/>
  <c r="BX30" i="2"/>
  <c r="BW30" i="2"/>
  <c r="BV30" i="2"/>
  <c r="BU30" i="2"/>
  <c r="BT30" i="2"/>
  <c r="BS30" i="2"/>
  <c r="BR30" i="2"/>
  <c r="BQ30" i="2"/>
  <c r="BP30" i="2"/>
  <c r="BO30" i="2"/>
  <c r="BN30" i="2"/>
  <c r="BM30" i="2"/>
  <c r="BL30" i="2"/>
  <c r="BK30" i="2"/>
  <c r="BJ30" i="2"/>
  <c r="BI30" i="2"/>
  <c r="BH30" i="2"/>
  <c r="BG30" i="2"/>
  <c r="BF30" i="2"/>
  <c r="BE30" i="2"/>
  <c r="BC30" i="2"/>
  <c r="BB30" i="2"/>
  <c r="BA30" i="2"/>
  <c r="AZ30" i="2"/>
  <c r="AY30" i="2"/>
  <c r="AX30" i="2"/>
  <c r="AW30" i="2"/>
  <c r="AV30" i="2"/>
  <c r="AU30" i="2"/>
  <c r="AT30" i="2"/>
  <c r="AS30" i="2"/>
  <c r="AR30" i="2"/>
  <c r="AQ30" i="2"/>
  <c r="AP30" i="2"/>
  <c r="AO30" i="2"/>
  <c r="AN30" i="2"/>
  <c r="AM30" i="2"/>
  <c r="AL30" i="2"/>
  <c r="AK30" i="2"/>
  <c r="AJ30" i="2"/>
  <c r="AI30" i="2"/>
  <c r="AH30" i="2"/>
  <c r="AG30" i="2"/>
  <c r="AF30" i="2"/>
  <c r="AE30" i="2"/>
  <c r="AD30" i="2"/>
  <c r="AC30" i="2"/>
  <c r="AB30" i="2"/>
  <c r="AA30" i="2"/>
  <c r="Z30" i="2"/>
  <c r="Y30" i="2"/>
  <c r="X30" i="2"/>
  <c r="W30" i="2"/>
  <c r="V30" i="2"/>
  <c r="U30" i="2"/>
  <c r="T30" i="2"/>
  <c r="S30" i="2"/>
  <c r="R30" i="2"/>
  <c r="Q30" i="2"/>
  <c r="P30" i="2"/>
  <c r="O30" i="2"/>
  <c r="N30" i="2"/>
  <c r="M30" i="2"/>
  <c r="L30" i="2"/>
  <c r="K30" i="2"/>
  <c r="J30" i="2"/>
  <c r="BD30" i="2" s="1"/>
  <c r="I30" i="2"/>
  <c r="E30" i="2" a="1"/>
  <c r="E30" i="2" s="1"/>
  <c r="D30" i="2" a="1"/>
  <c r="D30" i="2" s="1"/>
  <c r="C30" i="2" a="1"/>
  <c r="C30" i="2" s="1"/>
  <c r="B30" i="2" a="1"/>
  <c r="B30" i="2" s="1"/>
  <c r="CG29" i="2"/>
  <c r="CF29" i="2"/>
  <c r="CE29" i="2"/>
  <c r="CD29" i="2"/>
  <c r="CC29" i="2"/>
  <c r="CB29" i="2"/>
  <c r="CA29" i="2"/>
  <c r="BZ29" i="2"/>
  <c r="BY29" i="2"/>
  <c r="BX29" i="2"/>
  <c r="BW29" i="2"/>
  <c r="BV29" i="2"/>
  <c r="BU29" i="2"/>
  <c r="BT29" i="2"/>
  <c r="BS29" i="2"/>
  <c r="BR29" i="2"/>
  <c r="BQ29" i="2"/>
  <c r="BP29" i="2"/>
  <c r="BO29" i="2"/>
  <c r="BN29" i="2"/>
  <c r="BM29" i="2"/>
  <c r="BL29" i="2"/>
  <c r="BK29" i="2"/>
  <c r="BJ29" i="2"/>
  <c r="BI29" i="2"/>
  <c r="BH29" i="2"/>
  <c r="BG29" i="2"/>
  <c r="BF29" i="2"/>
  <c r="BE29" i="2"/>
  <c r="BC29" i="2"/>
  <c r="BB29" i="2"/>
  <c r="BA29" i="2"/>
  <c r="AZ29" i="2"/>
  <c r="AY29" i="2"/>
  <c r="AX29" i="2"/>
  <c r="AW29" i="2"/>
  <c r="AV29" i="2"/>
  <c r="AU29" i="2"/>
  <c r="AT29" i="2"/>
  <c r="AS29" i="2"/>
  <c r="AR29" i="2"/>
  <c r="AQ29" i="2"/>
  <c r="AP29" i="2"/>
  <c r="AO29" i="2"/>
  <c r="AN29" i="2"/>
  <c r="AM29" i="2"/>
  <c r="AL29"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BD29" i="2" s="1"/>
  <c r="I29" i="2"/>
  <c r="E29" i="2" a="1"/>
  <c r="E29" i="2" s="1"/>
  <c r="D29" i="2" a="1"/>
  <c r="D29" i="2" s="1"/>
  <c r="C29" i="2" a="1"/>
  <c r="C29" i="2" s="1"/>
  <c r="B29" i="2" a="1"/>
  <c r="B29" i="2" s="1"/>
  <c r="CG28" i="2"/>
  <c r="CF28" i="2"/>
  <c r="CE28" i="2"/>
  <c r="CD28" i="2"/>
  <c r="CC28" i="2"/>
  <c r="CB28" i="2"/>
  <c r="CA28" i="2"/>
  <c r="BZ28" i="2"/>
  <c r="BY28" i="2"/>
  <c r="BX28" i="2"/>
  <c r="BW28" i="2"/>
  <c r="BV28" i="2"/>
  <c r="BU28" i="2"/>
  <c r="BT28" i="2"/>
  <c r="BS28" i="2"/>
  <c r="BR28" i="2"/>
  <c r="BQ28" i="2"/>
  <c r="BP28" i="2"/>
  <c r="BO28" i="2"/>
  <c r="BN28" i="2"/>
  <c r="BM28" i="2"/>
  <c r="BL28" i="2"/>
  <c r="BK28" i="2"/>
  <c r="BJ28" i="2"/>
  <c r="BI28" i="2"/>
  <c r="BH28" i="2"/>
  <c r="BG28" i="2"/>
  <c r="BF28" i="2"/>
  <c r="BE28" i="2"/>
  <c r="BC28" i="2"/>
  <c r="BB28" i="2"/>
  <c r="BA28" i="2"/>
  <c r="AZ28" i="2"/>
  <c r="AY28" i="2"/>
  <c r="AX28" i="2"/>
  <c r="AW28" i="2"/>
  <c r="AV28" i="2"/>
  <c r="AU28" i="2"/>
  <c r="AT28" i="2"/>
  <c r="AS28" i="2"/>
  <c r="AR28" i="2"/>
  <c r="AQ28" i="2"/>
  <c r="AP28" i="2"/>
  <c r="AO28" i="2"/>
  <c r="AN28" i="2"/>
  <c r="AM28" i="2"/>
  <c r="AL28" i="2"/>
  <c r="AK28" i="2"/>
  <c r="AJ28" i="2"/>
  <c r="AI28" i="2"/>
  <c r="AH28" i="2"/>
  <c r="AG28" i="2"/>
  <c r="AF28" i="2"/>
  <c r="AE28" i="2"/>
  <c r="AD28" i="2"/>
  <c r="AC28" i="2"/>
  <c r="AB28" i="2"/>
  <c r="AA28" i="2"/>
  <c r="Z28" i="2"/>
  <c r="Y28" i="2"/>
  <c r="X28" i="2"/>
  <c r="W28" i="2"/>
  <c r="V28" i="2"/>
  <c r="U28" i="2"/>
  <c r="T28" i="2"/>
  <c r="S28" i="2"/>
  <c r="R28" i="2"/>
  <c r="Q28" i="2"/>
  <c r="P28" i="2"/>
  <c r="O28" i="2"/>
  <c r="N28" i="2"/>
  <c r="M28" i="2"/>
  <c r="L28" i="2"/>
  <c r="K28" i="2"/>
  <c r="J28" i="2"/>
  <c r="BD28" i="2" s="1"/>
  <c r="I28" i="2"/>
  <c r="E28" i="2" a="1"/>
  <c r="E28" i="2" s="1"/>
  <c r="D28" i="2" a="1"/>
  <c r="D28" i="2" s="1"/>
  <c r="C28" i="2" a="1"/>
  <c r="C28" i="2" s="1"/>
  <c r="B28" i="2" a="1"/>
  <c r="B28" i="2" s="1"/>
  <c r="CG27" i="2"/>
  <c r="CF27" i="2"/>
  <c r="CE27" i="2"/>
  <c r="CD27" i="2"/>
  <c r="CC27" i="2"/>
  <c r="CB27" i="2"/>
  <c r="CA27" i="2"/>
  <c r="BZ27" i="2"/>
  <c r="BY27" i="2"/>
  <c r="BX27" i="2"/>
  <c r="BW27" i="2"/>
  <c r="BV27" i="2"/>
  <c r="BU27" i="2"/>
  <c r="BT27" i="2"/>
  <c r="BS27" i="2"/>
  <c r="BR27" i="2"/>
  <c r="BQ27" i="2"/>
  <c r="BP27" i="2"/>
  <c r="BO27" i="2"/>
  <c r="BN27" i="2"/>
  <c r="BM27" i="2"/>
  <c r="BL27" i="2"/>
  <c r="BK27" i="2"/>
  <c r="BJ27" i="2"/>
  <c r="BI27" i="2"/>
  <c r="BH27" i="2"/>
  <c r="BG27" i="2"/>
  <c r="BF27" i="2"/>
  <c r="BE27" i="2"/>
  <c r="BD27" i="2"/>
  <c r="BC27" i="2"/>
  <c r="BB27" i="2"/>
  <c r="BA27" i="2"/>
  <c r="AZ27" i="2"/>
  <c r="AY27" i="2"/>
  <c r="AX27" i="2"/>
  <c r="AW27" i="2"/>
  <c r="AV27" i="2"/>
  <c r="AU27" i="2"/>
  <c r="AT27" i="2"/>
  <c r="AS27" i="2"/>
  <c r="AR27" i="2"/>
  <c r="AQ27" i="2"/>
  <c r="AP27" i="2"/>
  <c r="AO27" i="2"/>
  <c r="AN27" i="2"/>
  <c r="AM27" i="2"/>
  <c r="AL27" i="2"/>
  <c r="AK27" i="2"/>
  <c r="AJ27"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E27" i="2" a="1"/>
  <c r="E27" i="2" s="1"/>
  <c r="D27" i="2" a="1"/>
  <c r="D27" i="2" s="1"/>
  <c r="C27" i="2" a="1"/>
  <c r="C27" i="2" s="1"/>
  <c r="B27" i="2" a="1"/>
  <c r="B27" i="2" s="1"/>
  <c r="E26" i="2" a="1"/>
  <c r="E26" i="2" s="1"/>
  <c r="D26" i="2" a="1"/>
  <c r="D26" i="2" s="1"/>
  <c r="C26" i="2" a="1"/>
  <c r="C26" i="2" s="1"/>
  <c r="B26" i="2" a="1"/>
  <c r="B26" i="2" s="1"/>
  <c r="A26" i="2"/>
  <c r="E25" i="2" a="1"/>
  <c r="E25" i="2" s="1"/>
  <c r="D25" i="2" a="1"/>
  <c r="D25" i="2" s="1"/>
  <c r="C25" i="2" a="1"/>
  <c r="C25" i="2" s="1"/>
  <c r="B25" i="2" a="1"/>
  <c r="B25" i="2" s="1"/>
  <c r="A25" i="2"/>
  <c r="E24" i="2" a="1"/>
  <c r="E24" i="2" s="1"/>
  <c r="D24" i="2" a="1"/>
  <c r="D24" i="2" s="1"/>
  <c r="C24" i="2" a="1"/>
  <c r="C24" i="2" s="1"/>
  <c r="B24" i="2" a="1"/>
  <c r="B24" i="2" s="1"/>
  <c r="A24" i="2"/>
  <c r="E23" i="2" a="1"/>
  <c r="E23" i="2" s="1"/>
  <c r="D23" i="2" a="1"/>
  <c r="D23" i="2" s="1"/>
  <c r="C23" i="2" a="1"/>
  <c r="C23" i="2" s="1"/>
  <c r="B23" i="2" a="1"/>
  <c r="B23" i="2" s="1"/>
  <c r="A23" i="2"/>
  <c r="BO23" i="2" s="1"/>
  <c r="E22" i="2" a="1"/>
  <c r="E22" i="2" s="1"/>
  <c r="D22" i="2" a="1"/>
  <c r="D22" i="2" s="1"/>
  <c r="C22" i="2" a="1"/>
  <c r="C22" i="2" s="1"/>
  <c r="B22" i="2" a="1"/>
  <c r="B22" i="2" s="1"/>
  <c r="A22" i="2"/>
  <c r="E21" i="2" a="1"/>
  <c r="E21" i="2" s="1"/>
  <c r="D21" i="2" a="1"/>
  <c r="D21" i="2" s="1"/>
  <c r="C21" i="2" a="1"/>
  <c r="C21" i="2" s="1"/>
  <c r="B21" i="2" a="1"/>
  <c r="B21" i="2" s="1"/>
  <c r="A21" i="2"/>
  <c r="E20" i="2" a="1"/>
  <c r="E20" i="2" s="1"/>
  <c r="D20" i="2" a="1"/>
  <c r="D20" i="2" s="1"/>
  <c r="C20" i="2" a="1"/>
  <c r="C20" i="2" s="1"/>
  <c r="B20" i="2" a="1"/>
  <c r="B20" i="2" s="1"/>
  <c r="A20" i="2"/>
  <c r="E19" i="2" a="1"/>
  <c r="E19" i="2" s="1"/>
  <c r="D19" i="2" a="1"/>
  <c r="D19" i="2" s="1"/>
  <c r="C19" i="2" a="1"/>
  <c r="C19" i="2" s="1"/>
  <c r="B19" i="2" a="1"/>
  <c r="B19" i="2" s="1"/>
  <c r="A19" i="2"/>
  <c r="BO19" i="2" s="1"/>
  <c r="E18" i="2" a="1"/>
  <c r="E18" i="2" s="1"/>
  <c r="D18" i="2" a="1"/>
  <c r="D18" i="2" s="1"/>
  <c r="C18" i="2" a="1"/>
  <c r="C18" i="2" s="1"/>
  <c r="B18" i="2" a="1"/>
  <c r="B18" i="2" s="1"/>
  <c r="A18" i="2"/>
  <c r="BO18" i="2" s="1"/>
  <c r="E17" i="2" a="1"/>
  <c r="E17" i="2" s="1"/>
  <c r="D17" i="2" a="1"/>
  <c r="D17" i="2" s="1"/>
  <c r="C17" i="2" a="1"/>
  <c r="C17" i="2" s="1"/>
  <c r="B17" i="2" a="1"/>
  <c r="B17" i="2" s="1"/>
  <c r="A17" i="2"/>
  <c r="E16" i="2" a="1"/>
  <c r="E16" i="2" s="1"/>
  <c r="D16" i="2" a="1"/>
  <c r="D16" i="2" s="1"/>
  <c r="C16" i="2" a="1"/>
  <c r="C16" i="2" s="1"/>
  <c r="B16" i="2" a="1"/>
  <c r="B16" i="2" s="1"/>
  <c r="A16" i="2"/>
  <c r="E15" i="2" a="1"/>
  <c r="E15" i="2" s="1"/>
  <c r="D15" i="2" a="1"/>
  <c r="D15" i="2" s="1"/>
  <c r="C15" i="2" a="1"/>
  <c r="C15" i="2" s="1"/>
  <c r="B15" i="2" a="1"/>
  <c r="B15" i="2" s="1"/>
  <c r="A15" i="2"/>
  <c r="AU15" i="2" s="1"/>
  <c r="E14" i="2" a="1"/>
  <c r="E14" i="2" s="1"/>
  <c r="D14" i="2" a="1"/>
  <c r="D14" i="2" s="1"/>
  <c r="C14" i="2" a="1"/>
  <c r="C14" i="2" s="1"/>
  <c r="B14" i="2" a="1"/>
  <c r="B14" i="2" s="1"/>
  <c r="A14" i="2"/>
  <c r="BO14" i="2" s="1"/>
  <c r="E13" i="2" a="1"/>
  <c r="E13" i="2" s="1"/>
  <c r="D13" i="2" a="1"/>
  <c r="D13" i="2" s="1"/>
  <c r="C13" i="2" a="1"/>
  <c r="C13" i="2" s="1"/>
  <c r="B13" i="2" a="1"/>
  <c r="B13" i="2" s="1"/>
  <c r="A13" i="2"/>
  <c r="E12" i="2" a="1"/>
  <c r="E12" i="2" s="1"/>
  <c r="D12" i="2" a="1"/>
  <c r="D12" i="2" s="1"/>
  <c r="C12" i="2" a="1"/>
  <c r="C12" i="2" s="1"/>
  <c r="B12" i="2" a="1"/>
  <c r="B12" i="2" s="1"/>
  <c r="A12" i="2"/>
  <c r="E11" i="2" a="1"/>
  <c r="E11" i="2" s="1"/>
  <c r="D11" i="2" a="1"/>
  <c r="D11" i="2" s="1"/>
  <c r="C11" i="2" a="1"/>
  <c r="C11" i="2" s="1"/>
  <c r="B11" i="2" a="1"/>
  <c r="B11" i="2" s="1"/>
  <c r="A11" i="2"/>
  <c r="E10" i="2" a="1"/>
  <c r="E10" i="2" s="1"/>
  <c r="D10" i="2" a="1"/>
  <c r="D10" i="2" s="1"/>
  <c r="C10" i="2" a="1"/>
  <c r="C10" i="2" s="1"/>
  <c r="B10" i="2" a="1"/>
  <c r="B10" i="2" s="1"/>
  <c r="A10" i="2"/>
  <c r="E9" i="2" a="1"/>
  <c r="E9" i="2" s="1"/>
  <c r="D9" i="2" a="1"/>
  <c r="D9" i="2" s="1"/>
  <c r="C9" i="2" a="1"/>
  <c r="C9" i="2" s="1"/>
  <c r="B9" i="2" a="1"/>
  <c r="B9" i="2" s="1"/>
  <c r="A9" i="2"/>
  <c r="E8" i="2" a="1"/>
  <c r="E8" i="2" s="1"/>
  <c r="D8" i="2" a="1"/>
  <c r="D8" i="2" s="1"/>
  <c r="C8" i="2" a="1"/>
  <c r="C8" i="2" s="1"/>
  <c r="B8" i="2" a="1"/>
  <c r="B8" i="2" s="1"/>
  <c r="A8" i="2"/>
  <c r="E7" i="2" a="1"/>
  <c r="E7" i="2"/>
  <c r="D7" i="2" a="1"/>
  <c r="D7" i="2" s="1"/>
  <c r="C7" i="2" a="1"/>
  <c r="C7" i="2" s="1"/>
  <c r="B7" i="2" a="1"/>
  <c r="B7" i="2" s="1"/>
  <c r="A7" i="2"/>
  <c r="E6" i="2" a="1"/>
  <c r="E6" i="2" s="1"/>
  <c r="D6" i="2" a="1"/>
  <c r="D6" i="2" s="1"/>
  <c r="C6" i="2" a="1"/>
  <c r="C6" i="2" s="1"/>
  <c r="B6" i="2" a="1"/>
  <c r="B6" i="2" s="1"/>
  <c r="A6" i="2"/>
  <c r="E5" i="2" a="1"/>
  <c r="E5" i="2" s="1"/>
  <c r="D5" i="2" a="1"/>
  <c r="D5" i="2" s="1"/>
  <c r="C5" i="2" a="1"/>
  <c r="C5" i="2" s="1"/>
  <c r="B5" i="2" a="1"/>
  <c r="B5" i="2" s="1"/>
  <c r="A5" i="2"/>
  <c r="E4" i="2" a="1"/>
  <c r="E4" i="2" s="1"/>
  <c r="D4" i="2" a="1"/>
  <c r="D4" i="2" s="1"/>
  <c r="C4" i="2" a="1"/>
  <c r="C4" i="2" s="1"/>
  <c r="B4" i="2" a="1"/>
  <c r="B4" i="2" s="1"/>
  <c r="A4" i="2"/>
  <c r="E3" i="2" a="1"/>
  <c r="E3" i="2"/>
  <c r="D3" i="2" a="1"/>
  <c r="D3" i="2" s="1"/>
  <c r="C3" i="2" a="1"/>
  <c r="C3" i="2" s="1"/>
  <c r="B3" i="2" a="1"/>
  <c r="B3" i="2" s="1"/>
  <c r="A3" i="2"/>
  <c r="A2" i="2"/>
  <c r="P40" i="1"/>
  <c r="O40" i="1"/>
  <c r="N40" i="1"/>
  <c r="M40" i="1"/>
  <c r="L40" i="1"/>
  <c r="K40" i="1"/>
  <c r="J40" i="1"/>
  <c r="P39" i="1"/>
  <c r="O39" i="1"/>
  <c r="N39" i="1"/>
  <c r="M39" i="1"/>
  <c r="L39" i="1"/>
  <c r="K39" i="1"/>
  <c r="J39" i="1"/>
  <c r="P38" i="1"/>
  <c r="O38" i="1"/>
  <c r="N38" i="1"/>
  <c r="M38" i="1"/>
  <c r="L38" i="1"/>
  <c r="K38" i="1"/>
  <c r="J38" i="1"/>
  <c r="P37" i="1"/>
  <c r="O37" i="1"/>
  <c r="N37" i="1"/>
  <c r="M37" i="1"/>
  <c r="L37" i="1"/>
  <c r="K37" i="1"/>
  <c r="J37" i="1"/>
  <c r="P36" i="1"/>
  <c r="O36" i="1"/>
  <c r="N36" i="1"/>
  <c r="M36" i="1"/>
  <c r="L36" i="1"/>
  <c r="K36" i="1"/>
  <c r="J36" i="1"/>
  <c r="P35" i="1"/>
  <c r="P34" i="1"/>
  <c r="P33" i="1"/>
  <c r="P32" i="1"/>
  <c r="P31" i="1"/>
  <c r="P30" i="1"/>
  <c r="P29" i="1"/>
  <c r="P28" i="1"/>
  <c r="P27" i="1"/>
  <c r="P26" i="1"/>
  <c r="P25" i="1"/>
  <c r="P24" i="1"/>
  <c r="P23" i="1"/>
  <c r="P22" i="1"/>
  <c r="P21" i="1"/>
  <c r="P20" i="1"/>
  <c r="P19" i="1"/>
  <c r="P18" i="1"/>
  <c r="P17" i="1"/>
  <c r="I17" i="1" a="1"/>
  <c r="I30" i="1" s="1"/>
  <c r="L30" i="1" s="1"/>
  <c r="N9" i="1"/>
  <c r="J9" i="1"/>
  <c r="F9" i="1"/>
  <c r="B9" i="1"/>
  <c r="AS17" i="2" l="1"/>
  <c r="BQ3" i="2"/>
  <c r="M49" i="1"/>
  <c r="AG15" i="2"/>
  <c r="W8" i="2"/>
  <c r="CE14" i="2"/>
  <c r="BQ7" i="2"/>
  <c r="AY12" i="2"/>
  <c r="I17" i="1"/>
  <c r="M17" i="1" s="1"/>
  <c r="AE21" i="2"/>
  <c r="BA13" i="2"/>
  <c r="F57" i="1"/>
  <c r="B5" i="1"/>
  <c r="M48" i="1"/>
  <c r="F55" i="1"/>
  <c r="M47" i="1"/>
  <c r="I28" i="1"/>
  <c r="F48" i="1"/>
  <c r="F56" i="1"/>
  <c r="BS4" i="2"/>
  <c r="J7" i="2"/>
  <c r="BD7" i="2" s="1"/>
  <c r="BG7" i="2"/>
  <c r="BQ13" i="2"/>
  <c r="AY16" i="2"/>
  <c r="AY22" i="2"/>
  <c r="AX23" i="2"/>
  <c r="AH7" i="2"/>
  <c r="BS5" i="2"/>
  <c r="AP7" i="2"/>
  <c r="V23" i="2"/>
  <c r="BE6" i="2"/>
  <c r="O7" i="2"/>
  <c r="BJ7" i="2"/>
  <c r="BI15" i="2"/>
  <c r="AY20" i="2"/>
  <c r="AR8" i="2"/>
  <c r="I34" i="1"/>
  <c r="L34" i="1" s="1"/>
  <c r="AA3" i="2"/>
  <c r="AY3" i="2"/>
  <c r="AH19" i="2"/>
  <c r="Z5" i="2"/>
  <c r="BM5" i="2"/>
  <c r="BH8" i="2"/>
  <c r="AG13" i="2"/>
  <c r="BI13" i="2"/>
  <c r="CE20" i="2"/>
  <c r="I19" i="1"/>
  <c r="M19" i="1" s="1"/>
  <c r="N17" i="1"/>
  <c r="F58" i="1"/>
  <c r="K3" i="2"/>
  <c r="AG3" i="2"/>
  <c r="BF3" i="2"/>
  <c r="J5" i="2"/>
  <c r="BD5" i="2" s="1"/>
  <c r="AW5" i="2"/>
  <c r="V7" i="2"/>
  <c r="AU7" i="2"/>
  <c r="BO7" i="2"/>
  <c r="AA12" i="2"/>
  <c r="AP13" i="2"/>
  <c r="BO13" i="2"/>
  <c r="I23" i="1"/>
  <c r="M23" i="1" s="1"/>
  <c r="O3" i="2"/>
  <c r="AO3" i="2"/>
  <c r="BK3" i="2"/>
  <c r="U5" i="2"/>
  <c r="BB5" i="2"/>
  <c r="Z7" i="2"/>
  <c r="BA7" i="2"/>
  <c r="AV12" i="2"/>
  <c r="N13" i="2"/>
  <c r="AU13" i="2"/>
  <c r="R15" i="2"/>
  <c r="BI19" i="2"/>
  <c r="V3" i="2"/>
  <c r="AU3" i="2"/>
  <c r="BT12" i="2"/>
  <c r="AI5" i="2"/>
  <c r="AO6" i="2"/>
  <c r="BO11" i="2"/>
  <c r="BE11" i="2"/>
  <c r="AA11" i="2"/>
  <c r="V11" i="2"/>
  <c r="BJ11" i="2"/>
  <c r="AI22" i="2"/>
  <c r="F49" i="1"/>
  <c r="F47" i="1"/>
  <c r="O4" i="2"/>
  <c r="AB4" i="2"/>
  <c r="AO4" i="2"/>
  <c r="BE4" i="2"/>
  <c r="BP4" i="2"/>
  <c r="BR24" i="2"/>
  <c r="Y24" i="2"/>
  <c r="Q24" i="2"/>
  <c r="BB13" i="2"/>
  <c r="Z13" i="2"/>
  <c r="BJ23" i="2"/>
  <c r="AI23" i="2"/>
  <c r="J23" i="2"/>
  <c r="BD23" i="2" s="1"/>
  <c r="AW19" i="2"/>
  <c r="U19" i="2"/>
  <c r="BR17" i="2"/>
  <c r="BA15" i="2"/>
  <c r="AO15" i="2"/>
  <c r="Y15" i="2"/>
  <c r="M15" i="2"/>
  <c r="BS13" i="2"/>
  <c r="BJ13" i="2"/>
  <c r="AI13" i="2"/>
  <c r="R13" i="2"/>
  <c r="J13" i="2"/>
  <c r="BD13" i="2" s="1"/>
  <c r="I20" i="1"/>
  <c r="BO3" i="2"/>
  <c r="BR3" i="2"/>
  <c r="BJ3" i="2"/>
  <c r="BA3" i="2"/>
  <c r="AS3" i="2"/>
  <c r="AI3" i="2"/>
  <c r="Y3" i="2"/>
  <c r="Q3" i="2"/>
  <c r="J3" i="2"/>
  <c r="BD3" i="2" s="1"/>
  <c r="BN3" i="2" s="1"/>
  <c r="CD3" i="2"/>
  <c r="M3" i="2"/>
  <c r="W3" i="2"/>
  <c r="AK3" i="2"/>
  <c r="AX3" i="2"/>
  <c r="BG3" i="2"/>
  <c r="BS3" i="2"/>
  <c r="Q4" i="2"/>
  <c r="AE4" i="2"/>
  <c r="AR4" i="2"/>
  <c r="BG4" i="2"/>
  <c r="N5" i="2"/>
  <c r="AH5" i="2"/>
  <c r="AX5" i="2"/>
  <c r="BR5" i="2"/>
  <c r="R7" i="2"/>
  <c r="AG7" i="2"/>
  <c r="AQ7" i="2"/>
  <c r="BB7" i="2"/>
  <c r="BU7" i="2"/>
  <c r="O8" i="2"/>
  <c r="AZ8" i="2"/>
  <c r="AI11" i="2"/>
  <c r="BQ11" i="2"/>
  <c r="L12" i="2"/>
  <c r="AF12" i="2"/>
  <c r="O13" i="2"/>
  <c r="AH13" i="2"/>
  <c r="AX13" i="2"/>
  <c r="BU13" i="2"/>
  <c r="AQ14" i="2"/>
  <c r="V15" i="2"/>
  <c r="AX15" i="2"/>
  <c r="Q17" i="2"/>
  <c r="AI18" i="2"/>
  <c r="N19" i="2"/>
  <c r="BF21" i="2"/>
  <c r="BR21" i="2"/>
  <c r="AA23" i="2"/>
  <c r="BQ4" i="2"/>
  <c r="BL4" i="2"/>
  <c r="AZ4" i="2"/>
  <c r="AQ4" i="2"/>
  <c r="AG4" i="2"/>
  <c r="W4" i="2"/>
  <c r="L4" i="2"/>
  <c r="U4" i="2"/>
  <c r="AJ4" i="2"/>
  <c r="AV4" i="2"/>
  <c r="BH4" i="2"/>
  <c r="AZ6" i="2"/>
  <c r="AJ6" i="2"/>
  <c r="BK6" i="2"/>
  <c r="J11" i="2"/>
  <c r="BD11" i="2" s="1"/>
  <c r="AQ11" i="2"/>
  <c r="BS12" i="2"/>
  <c r="BK12" i="2"/>
  <c r="AN12" i="2"/>
  <c r="X12" i="2"/>
  <c r="K12" i="2"/>
  <c r="CA12" i="2"/>
  <c r="O12" i="2"/>
  <c r="AI12" i="2"/>
  <c r="BL12" i="2"/>
  <c r="O22" i="2"/>
  <c r="BS22" i="2"/>
  <c r="I33" i="1"/>
  <c r="I31" i="1"/>
  <c r="I24" i="1"/>
  <c r="L24" i="1" s="1"/>
  <c r="I18" i="1"/>
  <c r="L18" i="1" s="1"/>
  <c r="I26" i="1"/>
  <c r="I35" i="1"/>
  <c r="M35" i="1" s="1"/>
  <c r="R3" i="2"/>
  <c r="AE3" i="2"/>
  <c r="AQ3" i="2"/>
  <c r="BE3" i="2"/>
  <c r="BM3" i="2"/>
  <c r="CA4" i="2"/>
  <c r="K4" i="2"/>
  <c r="AA4" i="2"/>
  <c r="AK4" i="2"/>
  <c r="AW4" i="2"/>
  <c r="BM4" i="2"/>
  <c r="V5" i="2"/>
  <c r="AP5" i="2"/>
  <c r="BI5" i="2"/>
  <c r="O6" i="2"/>
  <c r="N7" i="2"/>
  <c r="Y7" i="2"/>
  <c r="AI7" i="2"/>
  <c r="AX7" i="2"/>
  <c r="BI7" i="2"/>
  <c r="BS7" i="2"/>
  <c r="AE8" i="2"/>
  <c r="O11" i="2"/>
  <c r="AX11" i="2"/>
  <c r="W12" i="2"/>
  <c r="AU12" i="2"/>
  <c r="BO12" i="2"/>
  <c r="Y13" i="2"/>
  <c r="AQ13" i="2"/>
  <c r="BG13" i="2"/>
  <c r="J15" i="2"/>
  <c r="BD15" i="2" s="1"/>
  <c r="AI15" i="2"/>
  <c r="K16" i="2"/>
  <c r="AP19" i="2"/>
  <c r="K20" i="2"/>
  <c r="Q21" i="2"/>
  <c r="BE23" i="2"/>
  <c r="AS21" i="2"/>
  <c r="O5" i="2"/>
  <c r="AA5" i="2"/>
  <c r="AQ5" i="2"/>
  <c r="BG5" i="2"/>
  <c r="BR7" i="2"/>
  <c r="M7" i="2"/>
  <c r="U7" i="2"/>
  <c r="AA7" i="2"/>
  <c r="AO7" i="2"/>
  <c r="AW7" i="2"/>
  <c r="BC7" i="2" s="1"/>
  <c r="BE7" i="2"/>
  <c r="BM7" i="2"/>
  <c r="CB8" i="2"/>
  <c r="AK8" i="2"/>
  <c r="BP8" i="2"/>
  <c r="BK10" i="2"/>
  <c r="BR13" i="2"/>
  <c r="M13" i="2"/>
  <c r="U13" i="2"/>
  <c r="AA13" i="2"/>
  <c r="AO13" i="2"/>
  <c r="AW13" i="2"/>
  <c r="BE13" i="2"/>
  <c r="BM13" i="2"/>
  <c r="O15" i="2"/>
  <c r="AA15" i="2"/>
  <c r="AQ15" i="2"/>
  <c r="AY17" i="2"/>
  <c r="BG18" i="2"/>
  <c r="BS19" i="2"/>
  <c r="Z19" i="2"/>
  <c r="BB19" i="2"/>
  <c r="O23" i="2"/>
  <c r="AQ23" i="2"/>
  <c r="BQ23" i="2"/>
  <c r="B25" i="3"/>
  <c r="B12" i="3"/>
  <c r="B21" i="3"/>
  <c r="B7" i="3"/>
  <c r="N7" i="3" s="1" a="1"/>
  <c r="N7" i="3" s="1"/>
  <c r="B20" i="3"/>
  <c r="AC20" i="3" s="1" a="1"/>
  <c r="AC20" i="3" s="1"/>
  <c r="B5" i="3"/>
  <c r="B15" i="3"/>
  <c r="K9" i="2"/>
  <c r="Q9" i="2"/>
  <c r="W9" i="2"/>
  <c r="AE9" i="2"/>
  <c r="AK9" i="2"/>
  <c r="AS9" i="2"/>
  <c r="AY9" i="2"/>
  <c r="BE9" i="2"/>
  <c r="BJ9" i="2"/>
  <c r="BO9" i="2"/>
  <c r="CA10" i="2"/>
  <c r="Y10" i="2"/>
  <c r="AU10" i="2"/>
  <c r="BP10" i="2"/>
  <c r="CB4" i="2"/>
  <c r="P8" i="2"/>
  <c r="Y8" i="2"/>
  <c r="AF8" i="2"/>
  <c r="AM8" i="2"/>
  <c r="AU8" i="2"/>
  <c r="BA8" i="2"/>
  <c r="BK8" i="2"/>
  <c r="BQ8" i="2"/>
  <c r="M9" i="2"/>
  <c r="R9" i="2"/>
  <c r="Y9" i="2"/>
  <c r="AG9" i="2"/>
  <c r="AO9" i="2"/>
  <c r="AU9" i="2"/>
  <c r="BA9" i="2"/>
  <c r="BF9" i="2"/>
  <c r="BK9" i="2"/>
  <c r="BQ9" i="2"/>
  <c r="AE10" i="2"/>
  <c r="AZ10" i="2"/>
  <c r="K11" i="2"/>
  <c r="Q11" i="2"/>
  <c r="W11" i="2"/>
  <c r="AE11" i="2"/>
  <c r="AK11" i="2"/>
  <c r="AS11" i="2"/>
  <c r="AY11" i="2"/>
  <c r="BF11" i="2"/>
  <c r="BK11" i="2"/>
  <c r="BR11" i="2"/>
  <c r="CB12" i="2"/>
  <c r="K14" i="2"/>
  <c r="AY14" i="2"/>
  <c r="BS15" i="2"/>
  <c r="BM15" i="2"/>
  <c r="BG15" i="2"/>
  <c r="BR15" i="2"/>
  <c r="BK15" i="2"/>
  <c r="BF15" i="2"/>
  <c r="BQ15" i="2"/>
  <c r="BJ15" i="2"/>
  <c r="BE15" i="2"/>
  <c r="K15" i="2"/>
  <c r="Q15" i="2"/>
  <c r="W15" i="2"/>
  <c r="AE15" i="2"/>
  <c r="AK15" i="2"/>
  <c r="AS15" i="2"/>
  <c r="AY15" i="2"/>
  <c r="BO15" i="2"/>
  <c r="BU15" i="2" s="1"/>
  <c r="W17" i="2"/>
  <c r="BQ21" i="2"/>
  <c r="BJ21" i="2"/>
  <c r="BE21" i="2"/>
  <c r="AX21" i="2"/>
  <c r="AQ21" i="2"/>
  <c r="AI21" i="2"/>
  <c r="AA21" i="2"/>
  <c r="V21" i="2"/>
  <c r="O21" i="2"/>
  <c r="J21" i="2"/>
  <c r="BD21" i="2" s="1"/>
  <c r="BO21" i="2"/>
  <c r="BI21" i="2"/>
  <c r="BB21" i="2"/>
  <c r="AW21" i="2"/>
  <c r="AP21" i="2"/>
  <c r="AH21" i="2"/>
  <c r="Z21" i="2"/>
  <c r="U21" i="2"/>
  <c r="N21" i="2"/>
  <c r="BS21" i="2"/>
  <c r="BM21" i="2"/>
  <c r="BG21" i="2"/>
  <c r="BA21" i="2"/>
  <c r="AU21" i="2"/>
  <c r="AO21" i="2"/>
  <c r="AG21" i="2"/>
  <c r="Y21" i="2"/>
  <c r="R21" i="2"/>
  <c r="M21" i="2"/>
  <c r="W21" i="2"/>
  <c r="AY21" i="2"/>
  <c r="CA22" i="2"/>
  <c r="K5" i="2"/>
  <c r="Q5" i="2"/>
  <c r="W5" i="2"/>
  <c r="AE5" i="2"/>
  <c r="AK5" i="2"/>
  <c r="AS5" i="2"/>
  <c r="AY5" i="2"/>
  <c r="BE5" i="2"/>
  <c r="BJ5" i="2"/>
  <c r="BO5" i="2"/>
  <c r="I6" i="2"/>
  <c r="Y6" i="2"/>
  <c r="AU6" i="2"/>
  <c r="BP6" i="2"/>
  <c r="CA8" i="2"/>
  <c r="K8" i="2"/>
  <c r="Q8" i="2"/>
  <c r="AA8" i="2"/>
  <c r="AG8" i="2"/>
  <c r="AO8" i="2"/>
  <c r="AV8" i="2"/>
  <c r="BE8" i="2"/>
  <c r="BL8" i="2"/>
  <c r="BS8" i="2"/>
  <c r="N9" i="2"/>
  <c r="U9" i="2"/>
  <c r="Z9" i="2"/>
  <c r="AH9" i="2"/>
  <c r="AP9" i="2"/>
  <c r="AW9" i="2"/>
  <c r="BB9" i="2"/>
  <c r="BG9" i="2"/>
  <c r="BM9" i="2"/>
  <c r="BR9" i="2"/>
  <c r="AJ10" i="2"/>
  <c r="BE10" i="2"/>
  <c r="M11" i="2"/>
  <c r="R11" i="2"/>
  <c r="Y11" i="2"/>
  <c r="AG11" i="2"/>
  <c r="AO11" i="2"/>
  <c r="AU11" i="2"/>
  <c r="BA11" i="2"/>
  <c r="BG11" i="2"/>
  <c r="BM11" i="2"/>
  <c r="BS11" i="2"/>
  <c r="CE12" i="2"/>
  <c r="N30" i="1"/>
  <c r="L17" i="1"/>
  <c r="L20" i="1"/>
  <c r="J26" i="1"/>
  <c r="O31" i="1"/>
  <c r="F50" i="1"/>
  <c r="AA14" i="2"/>
  <c r="BG14" i="2"/>
  <c r="BQ17" i="2"/>
  <c r="BJ17" i="2"/>
  <c r="BE17" i="2"/>
  <c r="AX17" i="2"/>
  <c r="AQ17" i="2"/>
  <c r="AI17" i="2"/>
  <c r="AA17" i="2"/>
  <c r="V17" i="2"/>
  <c r="O17" i="2"/>
  <c r="J17" i="2"/>
  <c r="BD17" i="2" s="1"/>
  <c r="BO17" i="2"/>
  <c r="BU17" i="2" s="1"/>
  <c r="BI17" i="2"/>
  <c r="BB17" i="2"/>
  <c r="AW17" i="2"/>
  <c r="AP17" i="2"/>
  <c r="AH17" i="2"/>
  <c r="Z17" i="2"/>
  <c r="U17" i="2"/>
  <c r="N17" i="2"/>
  <c r="BS17" i="2"/>
  <c r="BM17" i="2"/>
  <c r="BG17" i="2"/>
  <c r="BA17" i="2"/>
  <c r="AU17" i="2"/>
  <c r="AO17" i="2"/>
  <c r="AG17" i="2"/>
  <c r="Y17" i="2"/>
  <c r="R17" i="2"/>
  <c r="M17" i="2"/>
  <c r="AE17" i="2"/>
  <c r="BF17" i="2"/>
  <c r="I22" i="1"/>
  <c r="I27" i="1"/>
  <c r="I32" i="1"/>
  <c r="N19" i="1"/>
  <c r="O24" i="1"/>
  <c r="K26" i="1"/>
  <c r="J31" i="1"/>
  <c r="M33" i="1"/>
  <c r="N35" i="1"/>
  <c r="M50" i="1"/>
  <c r="N3" i="2"/>
  <c r="U3" i="2"/>
  <c r="Z3" i="2"/>
  <c r="AH3" i="2"/>
  <c r="AP3" i="2"/>
  <c r="AW3" i="2"/>
  <c r="BC3" i="2" s="1"/>
  <c r="BB3" i="2"/>
  <c r="BI3" i="2"/>
  <c r="P4" i="2"/>
  <c r="Y4" i="2"/>
  <c r="AF4" i="2"/>
  <c r="AM4" i="2"/>
  <c r="AU4" i="2"/>
  <c r="BC4" i="2" s="1"/>
  <c r="BA4" i="2"/>
  <c r="BK4" i="2"/>
  <c r="M5" i="2"/>
  <c r="R5" i="2"/>
  <c r="Y5" i="2"/>
  <c r="AG5" i="2"/>
  <c r="AO5" i="2"/>
  <c r="AU5" i="2"/>
  <c r="BC5" i="2" s="1"/>
  <c r="BA5" i="2"/>
  <c r="BF5" i="2"/>
  <c r="BN5" i="2" s="1"/>
  <c r="BK5" i="2"/>
  <c r="BQ5" i="2"/>
  <c r="AE6" i="2"/>
  <c r="K7" i="2"/>
  <c r="Q7" i="2"/>
  <c r="W7" i="2"/>
  <c r="AE7" i="2"/>
  <c r="AK7" i="2"/>
  <c r="AS7" i="2"/>
  <c r="AY7" i="2"/>
  <c r="BF7" i="2"/>
  <c r="BN7" i="2" s="1"/>
  <c r="BK7" i="2"/>
  <c r="L8" i="2"/>
  <c r="U8" i="2"/>
  <c r="AB8" i="2"/>
  <c r="AJ8" i="2"/>
  <c r="AQ8" i="2"/>
  <c r="AW8" i="2"/>
  <c r="BC8" i="2" s="1"/>
  <c r="BG8" i="2"/>
  <c r="BM8" i="2"/>
  <c r="J9" i="2"/>
  <c r="BD9" i="2" s="1"/>
  <c r="O9" i="2"/>
  <c r="V9" i="2"/>
  <c r="AA9" i="2"/>
  <c r="AI9" i="2"/>
  <c r="AQ9" i="2"/>
  <c r="AX9" i="2"/>
  <c r="BC9" i="2"/>
  <c r="BI9" i="2"/>
  <c r="BN9" i="2"/>
  <c r="BS9" i="2"/>
  <c r="O10" i="2"/>
  <c r="AO10" i="2"/>
  <c r="N11" i="2"/>
  <c r="U11" i="2"/>
  <c r="Z11" i="2"/>
  <c r="AH11" i="2"/>
  <c r="AP11" i="2"/>
  <c r="AW11" i="2"/>
  <c r="BB11" i="2"/>
  <c r="BI11" i="2"/>
  <c r="P12" i="2"/>
  <c r="AE12" i="2"/>
  <c r="AQ12" i="2"/>
  <c r="BG12" i="2"/>
  <c r="K13" i="2"/>
  <c r="Q13" i="2"/>
  <c r="W13" i="2"/>
  <c r="AE13" i="2"/>
  <c r="AK13" i="2"/>
  <c r="AS13" i="2"/>
  <c r="AY13" i="2"/>
  <c r="BF13" i="2"/>
  <c r="BK13" i="2"/>
  <c r="AI14" i="2"/>
  <c r="N15" i="2"/>
  <c r="U15" i="2"/>
  <c r="Z15" i="2"/>
  <c r="AH15" i="2"/>
  <c r="AP15" i="2"/>
  <c r="AW15" i="2"/>
  <c r="BB15" i="2"/>
  <c r="CE16" i="2"/>
  <c r="K17" i="2"/>
  <c r="AK17" i="2"/>
  <c r="BK17" i="2"/>
  <c r="K21" i="2"/>
  <c r="AK21" i="2"/>
  <c r="BK21" i="2"/>
  <c r="BU23" i="2"/>
  <c r="BN11" i="2"/>
  <c r="AJ24" i="2"/>
  <c r="AS24" i="2"/>
  <c r="BB24" i="2"/>
  <c r="BJ24" i="2"/>
  <c r="BT24" i="2"/>
  <c r="AA16" i="2"/>
  <c r="BG16" i="2"/>
  <c r="AQ18" i="2"/>
  <c r="CE18" i="2"/>
  <c r="J19" i="2"/>
  <c r="BD19" i="2" s="1"/>
  <c r="O19" i="2"/>
  <c r="V19" i="2"/>
  <c r="AA19" i="2"/>
  <c r="AI19" i="2"/>
  <c r="AQ19" i="2"/>
  <c r="AX19" i="2"/>
  <c r="BE19" i="2"/>
  <c r="BJ19" i="2"/>
  <c r="BQ19" i="2"/>
  <c r="BU19" i="2" s="1"/>
  <c r="AA20" i="2"/>
  <c r="BG20" i="2"/>
  <c r="W22" i="2"/>
  <c r="AM22" i="2"/>
  <c r="BG22" i="2"/>
  <c r="K23" i="2"/>
  <c r="Q23" i="2"/>
  <c r="W23" i="2"/>
  <c r="AE23" i="2"/>
  <c r="AK23" i="2"/>
  <c r="AS23" i="2"/>
  <c r="AY23" i="2"/>
  <c r="BF23" i="2"/>
  <c r="BK23" i="2"/>
  <c r="BR23" i="2"/>
  <c r="L24" i="2"/>
  <c r="R24" i="2"/>
  <c r="AB24" i="2"/>
  <c r="AN24" i="2"/>
  <c r="AW24" i="2"/>
  <c r="BE24" i="2"/>
  <c r="BM24" i="2"/>
  <c r="AI16" i="2"/>
  <c r="BO16" i="2"/>
  <c r="K18" i="2"/>
  <c r="AY18" i="2"/>
  <c r="K19" i="2"/>
  <c r="Q19" i="2"/>
  <c r="W19" i="2"/>
  <c r="AE19" i="2"/>
  <c r="AK19" i="2"/>
  <c r="AS19" i="2"/>
  <c r="AY19" i="2"/>
  <c r="BF19" i="2"/>
  <c r="BK19" i="2"/>
  <c r="BR19" i="2"/>
  <c r="AI20" i="2"/>
  <c r="BO20" i="2"/>
  <c r="CD22" i="2"/>
  <c r="AA22" i="2"/>
  <c r="AQ22" i="2"/>
  <c r="BK22" i="2"/>
  <c r="CE22" i="2"/>
  <c r="M23" i="2"/>
  <c r="R23" i="2"/>
  <c r="Y23" i="2"/>
  <c r="AG23" i="2"/>
  <c r="AO23" i="2"/>
  <c r="AU23" i="2"/>
  <c r="BA23" i="2"/>
  <c r="BG23" i="2"/>
  <c r="BM23" i="2"/>
  <c r="BS23" i="2"/>
  <c r="M24" i="2"/>
  <c r="V24" i="2"/>
  <c r="AG24" i="2"/>
  <c r="AO24" i="2"/>
  <c r="AX24" i="2"/>
  <c r="BH24" i="2"/>
  <c r="BP24" i="2"/>
  <c r="AQ16" i="2"/>
  <c r="AA18" i="2"/>
  <c r="M19" i="2"/>
  <c r="R19" i="2"/>
  <c r="Y19" i="2"/>
  <c r="AG19" i="2"/>
  <c r="AO19" i="2"/>
  <c r="AU19" i="2"/>
  <c r="BA19" i="2"/>
  <c r="BG19" i="2"/>
  <c r="BM19" i="2"/>
  <c r="AQ20" i="2"/>
  <c r="K22" i="2"/>
  <c r="AE22" i="2"/>
  <c r="AU22" i="2"/>
  <c r="BO22" i="2"/>
  <c r="N23" i="2"/>
  <c r="U23" i="2"/>
  <c r="Z23" i="2"/>
  <c r="AH23" i="2"/>
  <c r="AP23" i="2"/>
  <c r="AW23" i="2"/>
  <c r="BB23" i="2"/>
  <c r="BI23" i="2"/>
  <c r="N24" i="2"/>
  <c r="X24" i="2"/>
  <c r="AH24" i="2"/>
  <c r="AR24" i="2"/>
  <c r="AZ24" i="2"/>
  <c r="BI24" i="2"/>
  <c r="AH24" i="3"/>
  <c r="AH22" i="3"/>
  <c r="AH18" i="3"/>
  <c r="AH16" i="3"/>
  <c r="AH12" i="3"/>
  <c r="AH10" i="3"/>
  <c r="AH4" i="3"/>
  <c r="AH3" i="3"/>
  <c r="AH26" i="3"/>
  <c r="AH25" i="3"/>
  <c r="AH19" i="3"/>
  <c r="AH13" i="3"/>
  <c r="AH11" i="3"/>
  <c r="AH6" i="3"/>
  <c r="AH5" i="3"/>
  <c r="AH23" i="3"/>
  <c r="AH21" i="3"/>
  <c r="AH20" i="3"/>
  <c r="AH17" i="3"/>
  <c r="AH15" i="3"/>
  <c r="AH14" i="3"/>
  <c r="AH9" i="3"/>
  <c r="AH8" i="3"/>
  <c r="AH7" i="3"/>
  <c r="P12" i="3" a="1"/>
  <c r="P12" i="3" s="1"/>
  <c r="N12" i="3" a="1"/>
  <c r="N12" i="3" s="1"/>
  <c r="AC12" i="3" a="1"/>
  <c r="AC12" i="3" s="1"/>
  <c r="Y12" i="3" a="1"/>
  <c r="Y12" i="3" s="1"/>
  <c r="V12" i="3" s="1"/>
  <c r="B9" i="3"/>
  <c r="B16" i="3"/>
  <c r="B23" i="3"/>
  <c r="N23" i="3" s="1" a="1"/>
  <c r="N23" i="3" s="1"/>
  <c r="B4" i="3"/>
  <c r="B11" i="3"/>
  <c r="B17" i="3"/>
  <c r="N17" i="3" s="1" a="1"/>
  <c r="N17" i="3" s="1"/>
  <c r="CA5" i="2"/>
  <c r="CD5" i="2"/>
  <c r="CE5" i="2"/>
  <c r="AD5" i="2"/>
  <c r="I5" i="2"/>
  <c r="S5" i="2" s="1"/>
  <c r="AM5" i="2"/>
  <c r="AT5" i="2" s="1"/>
  <c r="CA9" i="2"/>
  <c r="CE9" i="2"/>
  <c r="AD9" i="2"/>
  <c r="I9" i="2"/>
  <c r="S9" i="2" s="1"/>
  <c r="CD9" i="2"/>
  <c r="AM9" i="2"/>
  <c r="AT9" i="2" s="1"/>
  <c r="CD11" i="2"/>
  <c r="AM11" i="2"/>
  <c r="AT11" i="2" s="1"/>
  <c r="CA11" i="2"/>
  <c r="CE11" i="2"/>
  <c r="AD11" i="2"/>
  <c r="I11" i="2"/>
  <c r="S11" i="2" s="1"/>
  <c r="CE15" i="2"/>
  <c r="CA15" i="2"/>
  <c r="AM15" i="2"/>
  <c r="AT15" i="2" s="1"/>
  <c r="AD15" i="2"/>
  <c r="CD15" i="2"/>
  <c r="I15" i="2"/>
  <c r="S15" i="2" s="1"/>
  <c r="CE19" i="2"/>
  <c r="CA19" i="2"/>
  <c r="AM19" i="2"/>
  <c r="AD19" i="2"/>
  <c r="CD19" i="2"/>
  <c r="I19" i="2"/>
  <c r="S19" i="2" s="1"/>
  <c r="CD7" i="2"/>
  <c r="AM7" i="2"/>
  <c r="AT7" i="2" s="1"/>
  <c r="CA7" i="2"/>
  <c r="CE7" i="2"/>
  <c r="AD7" i="2"/>
  <c r="I7" i="2"/>
  <c r="S7" i="2" s="1"/>
  <c r="BV9" i="2"/>
  <c r="CE13" i="2"/>
  <c r="CA13" i="2"/>
  <c r="AM13" i="2"/>
  <c r="AT13" i="2" s="1"/>
  <c r="AD13" i="2"/>
  <c r="CD13" i="2"/>
  <c r="I13" i="2"/>
  <c r="S13" i="2" s="1"/>
  <c r="CE17" i="2"/>
  <c r="CA17" i="2"/>
  <c r="AM17" i="2"/>
  <c r="AT17" i="2" s="1"/>
  <c r="AD17" i="2"/>
  <c r="CD17" i="2"/>
  <c r="I17" i="2"/>
  <c r="S17" i="2" s="1"/>
  <c r="CE21" i="2"/>
  <c r="CA21" i="2"/>
  <c r="AM21" i="2"/>
  <c r="AT21" i="2" s="1"/>
  <c r="CD21" i="2"/>
  <c r="AD21" i="2"/>
  <c r="I21" i="2"/>
  <c r="S21" i="2" s="1"/>
  <c r="BV13" i="2"/>
  <c r="BV15" i="2"/>
  <c r="BV19" i="2"/>
  <c r="AD3" i="2"/>
  <c r="CD6" i="2"/>
  <c r="BR6" i="2"/>
  <c r="BJ6" i="2"/>
  <c r="BF6" i="2"/>
  <c r="BB6" i="2"/>
  <c r="AX6" i="2"/>
  <c r="AP6" i="2"/>
  <c r="AH6" i="2"/>
  <c r="AD6" i="2"/>
  <c r="Z6" i="2"/>
  <c r="V6" i="2"/>
  <c r="R6" i="2"/>
  <c r="N6" i="2"/>
  <c r="J6" i="2"/>
  <c r="BD6" i="2" s="1"/>
  <c r="BN6" i="2" s="1"/>
  <c r="M6" i="2"/>
  <c r="X6" i="2"/>
  <c r="AI6" i="2"/>
  <c r="AN6" i="2"/>
  <c r="AS6" i="2"/>
  <c r="AY6" i="2"/>
  <c r="BI6" i="2"/>
  <c r="BO6" i="2"/>
  <c r="BT6" i="2"/>
  <c r="CE6" i="2"/>
  <c r="CD10" i="2"/>
  <c r="BR10" i="2"/>
  <c r="BJ10" i="2"/>
  <c r="BF10" i="2"/>
  <c r="BB10" i="2"/>
  <c r="AX10" i="2"/>
  <c r="AP10" i="2"/>
  <c r="AH10" i="2"/>
  <c r="AD10" i="2"/>
  <c r="Z10" i="2"/>
  <c r="V10" i="2"/>
  <c r="R10" i="2"/>
  <c r="N10" i="2"/>
  <c r="J10" i="2"/>
  <c r="BD10" i="2" s="1"/>
  <c r="BN10" i="2" s="1"/>
  <c r="M10" i="2"/>
  <c r="X10" i="2"/>
  <c r="AI10" i="2"/>
  <c r="AN10" i="2"/>
  <c r="AS10" i="2"/>
  <c r="AY10" i="2"/>
  <c r="BI10" i="2"/>
  <c r="BO10" i="2"/>
  <c r="BT10" i="2"/>
  <c r="CE10" i="2"/>
  <c r="BN13" i="2"/>
  <c r="CD14" i="2"/>
  <c r="BR14" i="2"/>
  <c r="BJ14" i="2"/>
  <c r="BF14" i="2"/>
  <c r="BB14" i="2"/>
  <c r="AX14" i="2"/>
  <c r="AP14" i="2"/>
  <c r="AH14" i="2"/>
  <c r="AD14" i="2"/>
  <c r="Z14" i="2"/>
  <c r="V14" i="2"/>
  <c r="R14" i="2"/>
  <c r="N14" i="2"/>
  <c r="J14" i="2"/>
  <c r="BD14" i="2" s="1"/>
  <c r="BQ14" i="2"/>
  <c r="BU14" i="2" s="1"/>
  <c r="BM14" i="2"/>
  <c r="BI14" i="2"/>
  <c r="BE14" i="2"/>
  <c r="BA14" i="2"/>
  <c r="AW14" i="2"/>
  <c r="AS14" i="2"/>
  <c r="AO14" i="2"/>
  <c r="AK14" i="2"/>
  <c r="AG14" i="2"/>
  <c r="Y14" i="2"/>
  <c r="U14" i="2"/>
  <c r="Q14" i="2"/>
  <c r="M14" i="2"/>
  <c r="I14" i="2"/>
  <c r="S14" i="2" s="1"/>
  <c r="P14" i="2"/>
  <c r="X14" i="2"/>
  <c r="AF14" i="2"/>
  <c r="AN14" i="2"/>
  <c r="AV14" i="2"/>
  <c r="BL14" i="2"/>
  <c r="BT14" i="2"/>
  <c r="CB14" i="2"/>
  <c r="BN15" i="2"/>
  <c r="CD16" i="2"/>
  <c r="BR16" i="2"/>
  <c r="BJ16" i="2"/>
  <c r="BF16" i="2"/>
  <c r="BB16" i="2"/>
  <c r="AX16" i="2"/>
  <c r="AP16" i="2"/>
  <c r="AH16" i="2"/>
  <c r="AD16" i="2"/>
  <c r="Z16" i="2"/>
  <c r="V16" i="2"/>
  <c r="R16" i="2"/>
  <c r="N16" i="2"/>
  <c r="J16" i="2"/>
  <c r="BD16" i="2" s="1"/>
  <c r="BQ16" i="2"/>
  <c r="BU16" i="2" s="1"/>
  <c r="BM16" i="2"/>
  <c r="BI16" i="2"/>
  <c r="BE16" i="2"/>
  <c r="BA16" i="2"/>
  <c r="AW16" i="2"/>
  <c r="AS16" i="2"/>
  <c r="AO16" i="2"/>
  <c r="AK16" i="2"/>
  <c r="AG16" i="2"/>
  <c r="Y16" i="2"/>
  <c r="U16" i="2"/>
  <c r="Q16" i="2"/>
  <c r="M16" i="2"/>
  <c r="I16" i="2"/>
  <c r="S16" i="2" s="1"/>
  <c r="P16" i="2"/>
  <c r="X16" i="2"/>
  <c r="AF16" i="2"/>
  <c r="AL16" i="2" s="1"/>
  <c r="AN16" i="2"/>
  <c r="AV16" i="2"/>
  <c r="BL16" i="2"/>
  <c r="BT16" i="2"/>
  <c r="CB16" i="2"/>
  <c r="BN17" i="2"/>
  <c r="CD18" i="2"/>
  <c r="BR18" i="2"/>
  <c r="BJ18" i="2"/>
  <c r="BF18" i="2"/>
  <c r="BB18" i="2"/>
  <c r="AX18" i="2"/>
  <c r="AP18" i="2"/>
  <c r="AH18" i="2"/>
  <c r="AD18" i="2"/>
  <c r="Z18" i="2"/>
  <c r="V18" i="2"/>
  <c r="R18" i="2"/>
  <c r="N18" i="2"/>
  <c r="J18" i="2"/>
  <c r="BD18" i="2" s="1"/>
  <c r="BQ18" i="2"/>
  <c r="BU18" i="2" s="1"/>
  <c r="BM18" i="2"/>
  <c r="BI18" i="2"/>
  <c r="BE18" i="2"/>
  <c r="BA18" i="2"/>
  <c r="AW18" i="2"/>
  <c r="AS18" i="2"/>
  <c r="AO18" i="2"/>
  <c r="AK18" i="2"/>
  <c r="AG18" i="2"/>
  <c r="Y18" i="2"/>
  <c r="U18" i="2"/>
  <c r="Q18" i="2"/>
  <c r="M18" i="2"/>
  <c r="I18" i="2"/>
  <c r="S18" i="2" s="1"/>
  <c r="P18" i="2"/>
  <c r="X18" i="2"/>
  <c r="AF18" i="2"/>
  <c r="AN18" i="2"/>
  <c r="AV18" i="2"/>
  <c r="BL18" i="2"/>
  <c r="BT18" i="2"/>
  <c r="CB18" i="2"/>
  <c r="BN19" i="2"/>
  <c r="CD20" i="2"/>
  <c r="BR20" i="2"/>
  <c r="BJ20" i="2"/>
  <c r="BF20" i="2"/>
  <c r="BB20" i="2"/>
  <c r="AX20" i="2"/>
  <c r="AP20" i="2"/>
  <c r="AH20" i="2"/>
  <c r="AD20" i="2"/>
  <c r="Z20" i="2"/>
  <c r="V20" i="2"/>
  <c r="R20" i="2"/>
  <c r="N20" i="2"/>
  <c r="J20" i="2"/>
  <c r="BD20" i="2" s="1"/>
  <c r="BQ20" i="2"/>
  <c r="BU20" i="2" s="1"/>
  <c r="BM20" i="2"/>
  <c r="BI20" i="2"/>
  <c r="BE20" i="2"/>
  <c r="BA20" i="2"/>
  <c r="AW20" i="2"/>
  <c r="AS20" i="2"/>
  <c r="AO20" i="2"/>
  <c r="AK20" i="2"/>
  <c r="AG20" i="2"/>
  <c r="Y20" i="2"/>
  <c r="U20" i="2"/>
  <c r="Q20" i="2"/>
  <c r="M20" i="2"/>
  <c r="I20" i="2"/>
  <c r="S20" i="2" s="1"/>
  <c r="P20" i="2"/>
  <c r="X20" i="2"/>
  <c r="AF20" i="2"/>
  <c r="AL20" i="2" s="1"/>
  <c r="AN20" i="2"/>
  <c r="AV20" i="2"/>
  <c r="BL20" i="2"/>
  <c r="BT20" i="2"/>
  <c r="CB20" i="2"/>
  <c r="CF23" i="2"/>
  <c r="N28" i="1"/>
  <c r="J28" i="1"/>
  <c r="K18" i="1"/>
  <c r="K23" i="1"/>
  <c r="L28" i="1"/>
  <c r="K34" i="1"/>
  <c r="BU3" i="2"/>
  <c r="CE3" i="2"/>
  <c r="T6" i="2"/>
  <c r="AC6" i="2" s="1"/>
  <c r="CA6" i="2"/>
  <c r="BV11" i="2"/>
  <c r="BV21" i="2"/>
  <c r="BN21" i="2"/>
  <c r="CD23" i="2"/>
  <c r="CA23" i="2"/>
  <c r="AM23" i="2"/>
  <c r="AT23" i="2" s="1"/>
  <c r="CE23" i="2"/>
  <c r="AD23" i="2"/>
  <c r="I23" i="2"/>
  <c r="S23" i="2" s="1"/>
  <c r="AD24" i="2"/>
  <c r="T24" i="2"/>
  <c r="AC24" i="2" s="1"/>
  <c r="I24" i="2"/>
  <c r="CD24" i="2"/>
  <c r="BV7" i="2"/>
  <c r="I10" i="2"/>
  <c r="T10" i="2"/>
  <c r="AC10" i="2" s="1"/>
  <c r="O17" i="1"/>
  <c r="K17" i="1"/>
  <c r="N20" i="1"/>
  <c r="J20" i="1"/>
  <c r="J17" i="1"/>
  <c r="N18" i="1"/>
  <c r="K19" i="1"/>
  <c r="O20" i="1"/>
  <c r="K22" i="1"/>
  <c r="N23" i="1"/>
  <c r="N26" i="1"/>
  <c r="K27" i="1"/>
  <c r="O28" i="1"/>
  <c r="K30" i="1"/>
  <c r="N31" i="1"/>
  <c r="N34" i="1"/>
  <c r="K35" i="1"/>
  <c r="CD4" i="2"/>
  <c r="BR4" i="2"/>
  <c r="BJ4" i="2"/>
  <c r="BF4" i="2"/>
  <c r="BB4" i="2"/>
  <c r="AX4" i="2"/>
  <c r="AT4" i="2"/>
  <c r="AP4" i="2"/>
  <c r="AH4" i="2"/>
  <c r="AD4" i="2"/>
  <c r="AL4" i="2" s="1"/>
  <c r="Z4" i="2"/>
  <c r="V4" i="2"/>
  <c r="R4" i="2"/>
  <c r="N4" i="2"/>
  <c r="J4" i="2"/>
  <c r="BD4" i="2" s="1"/>
  <c r="M4" i="2"/>
  <c r="X4" i="2"/>
  <c r="AI4" i="2"/>
  <c r="AN4" i="2"/>
  <c r="BW4" i="2" s="1"/>
  <c r="AS4" i="2"/>
  <c r="AY4" i="2"/>
  <c r="BI4" i="2"/>
  <c r="BO4" i="2"/>
  <c r="BU4" i="2" s="1"/>
  <c r="BT4" i="2"/>
  <c r="CE4" i="2"/>
  <c r="K6" i="2"/>
  <c r="S6" i="2" s="1"/>
  <c r="P6" i="2"/>
  <c r="U6" i="2"/>
  <c r="AA6" i="2"/>
  <c r="AF6" i="2"/>
  <c r="AL6" i="2" s="1"/>
  <c r="AK6" i="2"/>
  <c r="AQ6" i="2"/>
  <c r="AV6" i="2"/>
  <c r="BA6" i="2"/>
  <c r="BG6" i="2"/>
  <c r="BL6" i="2"/>
  <c r="BQ6" i="2"/>
  <c r="CB6" i="2"/>
  <c r="CD8" i="2"/>
  <c r="BR8" i="2"/>
  <c r="BJ8" i="2"/>
  <c r="BF8" i="2"/>
  <c r="BB8" i="2"/>
  <c r="AX8" i="2"/>
  <c r="AT8" i="2"/>
  <c r="AP8" i="2"/>
  <c r="AH8" i="2"/>
  <c r="AD8" i="2"/>
  <c r="AL8" i="2" s="1"/>
  <c r="Z8" i="2"/>
  <c r="V8" i="2"/>
  <c r="R8" i="2"/>
  <c r="N8" i="2"/>
  <c r="J8" i="2"/>
  <c r="BD8" i="2" s="1"/>
  <c r="M8" i="2"/>
  <c r="X8" i="2"/>
  <c r="AI8" i="2"/>
  <c r="AN8" i="2"/>
  <c r="BW8" i="2" s="1"/>
  <c r="AS8" i="2"/>
  <c r="AY8" i="2"/>
  <c r="BI8" i="2"/>
  <c r="BO8" i="2"/>
  <c r="BU8" i="2" s="1"/>
  <c r="BT8" i="2"/>
  <c r="CE8" i="2"/>
  <c r="K10" i="2"/>
  <c r="P10" i="2"/>
  <c r="U10" i="2"/>
  <c r="AA10" i="2"/>
  <c r="AF10" i="2"/>
  <c r="AL10" i="2" s="1"/>
  <c r="AK10" i="2"/>
  <c r="AQ10" i="2"/>
  <c r="AV10" i="2"/>
  <c r="CC10" i="2" s="1"/>
  <c r="BA10" i="2"/>
  <c r="BG10" i="2"/>
  <c r="BL10" i="2"/>
  <c r="BQ10" i="2"/>
  <c r="CB10" i="2"/>
  <c r="CD12" i="2"/>
  <c r="BR12" i="2"/>
  <c r="BJ12" i="2"/>
  <c r="BF12" i="2"/>
  <c r="BB12" i="2"/>
  <c r="AX12" i="2"/>
  <c r="AP12" i="2"/>
  <c r="AH12" i="2"/>
  <c r="AD12" i="2"/>
  <c r="AL12" i="2" s="1"/>
  <c r="Z12" i="2"/>
  <c r="V12" i="2"/>
  <c r="R12" i="2"/>
  <c r="N12" i="2"/>
  <c r="J12" i="2"/>
  <c r="BD12" i="2" s="1"/>
  <c r="BU12" i="2"/>
  <c r="BQ12" i="2"/>
  <c r="BM12" i="2"/>
  <c r="BI12" i="2"/>
  <c r="BE12" i="2"/>
  <c r="BA12" i="2"/>
  <c r="AW12" i="2"/>
  <c r="BC12" i="2" s="1"/>
  <c r="AS12" i="2"/>
  <c r="AO12" i="2"/>
  <c r="AK12" i="2"/>
  <c r="AG12" i="2"/>
  <c r="Y12" i="2"/>
  <c r="U12" i="2"/>
  <c r="Q12" i="2"/>
  <c r="M12" i="2"/>
  <c r="T12" i="2"/>
  <c r="AB12" i="2"/>
  <c r="AJ12" i="2"/>
  <c r="AR12" i="2"/>
  <c r="AZ12" i="2"/>
  <c r="BH12" i="2"/>
  <c r="BP12" i="2"/>
  <c r="L14" i="2"/>
  <c r="T14" i="2"/>
  <c r="AC14" i="2" s="1"/>
  <c r="AB14" i="2"/>
  <c r="AJ14" i="2"/>
  <c r="AR14" i="2"/>
  <c r="AZ14" i="2"/>
  <c r="BH14" i="2"/>
  <c r="BP14" i="2"/>
  <c r="BX14" i="2"/>
  <c r="L16" i="2"/>
  <c r="T16" i="2"/>
  <c r="AC16" i="2" s="1"/>
  <c r="AB16" i="2"/>
  <c r="AJ16" i="2"/>
  <c r="AR16" i="2"/>
  <c r="AZ16" i="2"/>
  <c r="BH16" i="2"/>
  <c r="BP16" i="2"/>
  <c r="BX16" i="2"/>
  <c r="L18" i="2"/>
  <c r="T18" i="2"/>
  <c r="AC18" i="2" s="1"/>
  <c r="AB18" i="2"/>
  <c r="AJ18" i="2"/>
  <c r="AR18" i="2"/>
  <c r="AZ18" i="2"/>
  <c r="BH18" i="2"/>
  <c r="BP18" i="2"/>
  <c r="BX18" i="2"/>
  <c r="L20" i="2"/>
  <c r="T20" i="2"/>
  <c r="AC20" i="2" s="1"/>
  <c r="AB20" i="2"/>
  <c r="AJ20" i="2"/>
  <c r="AR20" i="2"/>
  <c r="AZ20" i="2"/>
  <c r="BH20" i="2"/>
  <c r="BP20" i="2"/>
  <c r="BV23" i="2"/>
  <c r="BN23" i="2"/>
  <c r="I3" i="2"/>
  <c r="S3" i="2" s="1"/>
  <c r="N24" i="1"/>
  <c r="J24" i="1"/>
  <c r="M18" i="1"/>
  <c r="J19" i="1"/>
  <c r="O19" i="1"/>
  <c r="L23" i="1"/>
  <c r="K24" i="1"/>
  <c r="M28" i="1"/>
  <c r="J30" i="1"/>
  <c r="O30" i="1"/>
  <c r="M34" i="1"/>
  <c r="J35" i="1"/>
  <c r="O35" i="1"/>
  <c r="CA3" i="2"/>
  <c r="O33" i="1"/>
  <c r="K33" i="1"/>
  <c r="N32" i="1"/>
  <c r="J32" i="1"/>
  <c r="J18" i="1"/>
  <c r="O18" i="1"/>
  <c r="L19" i="1"/>
  <c r="M22" i="1"/>
  <c r="J23" i="1"/>
  <c r="O23" i="1"/>
  <c r="M24" i="1"/>
  <c r="L27" i="1"/>
  <c r="K28" i="1"/>
  <c r="M30" i="1"/>
  <c r="M32" i="1"/>
  <c r="L33" i="1"/>
  <c r="J34" i="1"/>
  <c r="O34" i="1"/>
  <c r="L35" i="1"/>
  <c r="CF3" i="2"/>
  <c r="AM3" i="2"/>
  <c r="AT3" i="2" s="1"/>
  <c r="I4" i="2"/>
  <c r="S4" i="2" s="1"/>
  <c r="T4" i="2"/>
  <c r="AC4" i="2" s="1"/>
  <c r="L6" i="2"/>
  <c r="Q6" i="2"/>
  <c r="W6" i="2"/>
  <c r="AB6" i="2"/>
  <c r="AG6" i="2"/>
  <c r="AM6" i="2"/>
  <c r="AT6" i="2" s="1"/>
  <c r="AR6" i="2"/>
  <c r="AW6" i="2"/>
  <c r="BH6" i="2"/>
  <c r="BM6" i="2"/>
  <c r="BS6" i="2"/>
  <c r="CF7" i="2"/>
  <c r="I8" i="2"/>
  <c r="S8" i="2" s="1"/>
  <c r="T8" i="2"/>
  <c r="L10" i="2"/>
  <c r="Q10" i="2"/>
  <c r="W10" i="2"/>
  <c r="AB10" i="2"/>
  <c r="AG10" i="2"/>
  <c r="AM10" i="2"/>
  <c r="AT10" i="2" s="1"/>
  <c r="AR10" i="2"/>
  <c r="AW10" i="2"/>
  <c r="BH10" i="2"/>
  <c r="BM10" i="2"/>
  <c r="BS10" i="2"/>
  <c r="CF11" i="2"/>
  <c r="I12" i="2"/>
  <c r="S12" i="2" s="1"/>
  <c r="AM12" i="2"/>
  <c r="CF13" i="2"/>
  <c r="BC13" i="2"/>
  <c r="O14" i="2"/>
  <c r="W14" i="2"/>
  <c r="AE14" i="2"/>
  <c r="AM14" i="2"/>
  <c r="AT14" i="2" s="1"/>
  <c r="AU14" i="2"/>
  <c r="CC14" i="2" s="1"/>
  <c r="BK14" i="2"/>
  <c r="BS14" i="2"/>
  <c r="CA14" i="2"/>
  <c r="CF15" i="2"/>
  <c r="BC15" i="2"/>
  <c r="O16" i="2"/>
  <c r="W16" i="2"/>
  <c r="AE16" i="2"/>
  <c r="AM16" i="2"/>
  <c r="AT16" i="2" s="1"/>
  <c r="AU16" i="2"/>
  <c r="BK16" i="2"/>
  <c r="BS16" i="2"/>
  <c r="CA16" i="2"/>
  <c r="CF17" i="2"/>
  <c r="BC17" i="2"/>
  <c r="O18" i="2"/>
  <c r="W18" i="2"/>
  <c r="AE18" i="2"/>
  <c r="AM18" i="2"/>
  <c r="AT18" i="2" s="1"/>
  <c r="AU18" i="2"/>
  <c r="BK18" i="2"/>
  <c r="BS18" i="2"/>
  <c r="CA18" i="2"/>
  <c r="CF19" i="2"/>
  <c r="BC19" i="2"/>
  <c r="O20" i="2"/>
  <c r="W20" i="2"/>
  <c r="AE20" i="2"/>
  <c r="AM20" i="2"/>
  <c r="AT20" i="2" s="1"/>
  <c r="AU20" i="2"/>
  <c r="CF20" i="2" s="1"/>
  <c r="CG20" i="2" s="1"/>
  <c r="BC20" i="2"/>
  <c r="BK20" i="2"/>
  <c r="BS20" i="2"/>
  <c r="CA20" i="2"/>
  <c r="CF21" i="2"/>
  <c r="BC21" i="2"/>
  <c r="L22" i="2"/>
  <c r="P22" i="2"/>
  <c r="T22" i="2"/>
  <c r="X22" i="2"/>
  <c r="AB22" i="2"/>
  <c r="AF22" i="2"/>
  <c r="AJ22" i="2"/>
  <c r="AN22" i="2"/>
  <c r="AR22" i="2"/>
  <c r="AV22" i="2"/>
  <c r="AZ22" i="2"/>
  <c r="BH22" i="2"/>
  <c r="BL22" i="2"/>
  <c r="BP22" i="2"/>
  <c r="BT22" i="2"/>
  <c r="CB22" i="2"/>
  <c r="L25" i="2"/>
  <c r="R25" i="2"/>
  <c r="W25" i="2"/>
  <c r="AB25" i="2"/>
  <c r="AH25" i="2"/>
  <c r="AM25" i="2"/>
  <c r="AR25" i="2"/>
  <c r="AX25" i="2"/>
  <c r="BH25" i="2"/>
  <c r="BS25" i="2"/>
  <c r="CD25" i="2"/>
  <c r="L26" i="2"/>
  <c r="Q26" i="2"/>
  <c r="V26" i="2"/>
  <c r="AB26" i="2"/>
  <c r="AG26" i="2"/>
  <c r="AR26" i="2"/>
  <c r="AW26" i="2"/>
  <c r="BB26" i="2"/>
  <c r="BH26" i="2"/>
  <c r="BM26" i="2"/>
  <c r="BR26" i="2"/>
  <c r="AG9" i="3" a="1"/>
  <c r="AG9" i="3" s="1"/>
  <c r="AC9" i="3" a="1"/>
  <c r="AC9" i="3" s="1"/>
  <c r="Y9" i="3" a="1"/>
  <c r="Y9" i="3" s="1"/>
  <c r="V9" i="3" s="1"/>
  <c r="AA9" i="3" a="1"/>
  <c r="AA9" i="3" s="1"/>
  <c r="R9" i="3" a="1"/>
  <c r="R9" i="3" s="1"/>
  <c r="L9" i="3" a="1"/>
  <c r="L9" i="3" s="1"/>
  <c r="I9" i="3" s="1"/>
  <c r="AE9" i="3" a="1"/>
  <c r="AE9" i="3" s="1"/>
  <c r="P9" i="3" a="1"/>
  <c r="P9" i="3" s="1"/>
  <c r="N9" i="3" a="1"/>
  <c r="N9" i="3" s="1"/>
  <c r="AE16" i="3" a="1"/>
  <c r="AE16" i="3" s="1"/>
  <c r="AA16" i="3" a="1"/>
  <c r="AA16" i="3" s="1"/>
  <c r="AG16" i="3" a="1"/>
  <c r="AG16" i="3" s="1"/>
  <c r="R16" i="3" a="1"/>
  <c r="R16" i="3" s="1"/>
  <c r="L16" i="3" a="1"/>
  <c r="L16" i="3" s="1"/>
  <c r="I16" i="3" s="1"/>
  <c r="P16" i="3" a="1"/>
  <c r="P16" i="3" s="1"/>
  <c r="AC16" i="3" a="1"/>
  <c r="AC16" i="3" s="1"/>
  <c r="N16" i="3" a="1"/>
  <c r="N16" i="3" s="1"/>
  <c r="Y16" i="3" a="1"/>
  <c r="Y16" i="3" s="1"/>
  <c r="V16" i="3" s="1"/>
  <c r="BC23" i="2"/>
  <c r="N25" i="2"/>
  <c r="X25" i="2"/>
  <c r="AD25" i="2"/>
  <c r="AI25" i="2"/>
  <c r="AN25" i="2"/>
  <c r="AY25" i="2"/>
  <c r="BJ25" i="2"/>
  <c r="BO25" i="2"/>
  <c r="BT25" i="2"/>
  <c r="CE25" i="2"/>
  <c r="M26" i="2"/>
  <c r="R26" i="2"/>
  <c r="X26" i="2"/>
  <c r="AH26" i="2"/>
  <c r="AN26" i="2"/>
  <c r="AS26" i="2"/>
  <c r="AX26" i="2"/>
  <c r="BI26" i="2"/>
  <c r="BT26" i="2"/>
  <c r="CD26" i="2"/>
  <c r="AE4" i="3" a="1"/>
  <c r="AE4" i="3" s="1"/>
  <c r="AA4" i="3" a="1"/>
  <c r="AA4" i="3" s="1"/>
  <c r="AG4" i="3" a="1"/>
  <c r="AG4" i="3" s="1"/>
  <c r="R4" i="3" a="1"/>
  <c r="R4" i="3" s="1"/>
  <c r="L4" i="3" a="1"/>
  <c r="L4" i="3" s="1"/>
  <c r="I4" i="3" s="1"/>
  <c r="P4" i="3" a="1"/>
  <c r="P4" i="3" s="1"/>
  <c r="AG11" i="3" a="1"/>
  <c r="AG11" i="3" s="1"/>
  <c r="AC11" i="3" a="1"/>
  <c r="AC11" i="3" s="1"/>
  <c r="Y11" i="3" a="1"/>
  <c r="Y11" i="3" s="1"/>
  <c r="V11" i="3" s="1"/>
  <c r="AA11" i="3" a="1"/>
  <c r="AA11" i="3" s="1"/>
  <c r="R11" i="3" a="1"/>
  <c r="R11" i="3" s="1"/>
  <c r="L11" i="3" a="1"/>
  <c r="L11" i="3" s="1"/>
  <c r="I11" i="3" s="1"/>
  <c r="AE11" i="3" a="1"/>
  <c r="AE11" i="3" s="1"/>
  <c r="P11" i="3" a="1"/>
  <c r="P11" i="3" s="1"/>
  <c r="N11" i="3" a="1"/>
  <c r="N11" i="3" s="1"/>
  <c r="AG25" i="3" a="1"/>
  <c r="AG25" i="3" s="1"/>
  <c r="AC25" i="3" a="1"/>
  <c r="AC25" i="3" s="1"/>
  <c r="Y25" i="3" a="1"/>
  <c r="Y25" i="3" s="1"/>
  <c r="V25" i="3" s="1"/>
  <c r="AA25" i="3" a="1"/>
  <c r="AA25" i="3" s="1"/>
  <c r="R25" i="3" a="1"/>
  <c r="R25" i="3" s="1"/>
  <c r="L25" i="3" a="1"/>
  <c r="L25" i="3" s="1"/>
  <c r="I25" i="3" s="1"/>
  <c r="AE25" i="3" a="1"/>
  <c r="AE25" i="3" s="1"/>
  <c r="P25" i="3" a="1"/>
  <c r="P25" i="3" s="1"/>
  <c r="N25" i="3" a="1"/>
  <c r="N25" i="3" s="1"/>
  <c r="Y4" i="3" a="1"/>
  <c r="Y4" i="3" s="1"/>
  <c r="V4" i="3" s="1"/>
  <c r="I22" i="2"/>
  <c r="S22" i="2" s="1"/>
  <c r="M22" i="2"/>
  <c r="Q22" i="2"/>
  <c r="U22" i="2"/>
  <c r="Y22" i="2"/>
  <c r="AG22" i="2"/>
  <c r="AK22" i="2"/>
  <c r="AO22" i="2"/>
  <c r="AS22" i="2"/>
  <c r="AW22" i="2"/>
  <c r="BC22" i="2" s="1"/>
  <c r="BA22" i="2"/>
  <c r="BE22" i="2"/>
  <c r="BI22" i="2"/>
  <c r="BM22" i="2"/>
  <c r="BQ22" i="2"/>
  <c r="BU22" i="2" s="1"/>
  <c r="I21" i="1"/>
  <c r="I25" i="1"/>
  <c r="I29" i="1"/>
  <c r="L3" i="2"/>
  <c r="P3" i="2"/>
  <c r="T3" i="2"/>
  <c r="AC3" i="2" s="1"/>
  <c r="X3" i="2"/>
  <c r="AB3" i="2"/>
  <c r="AF3" i="2"/>
  <c r="BX3" i="2" s="1"/>
  <c r="AJ3" i="2"/>
  <c r="AN3" i="2"/>
  <c r="AR3" i="2"/>
  <c r="AV3" i="2"/>
  <c r="AZ3" i="2"/>
  <c r="BH3" i="2"/>
  <c r="BL3" i="2"/>
  <c r="BP3" i="2"/>
  <c r="BW3" i="2" s="1"/>
  <c r="BT3" i="2"/>
  <c r="CB3" i="2"/>
  <c r="L5" i="2"/>
  <c r="P5" i="2"/>
  <c r="T5" i="2"/>
  <c r="AC5" i="2" s="1"/>
  <c r="X5" i="2"/>
  <c r="AB5" i="2"/>
  <c r="AF5" i="2"/>
  <c r="BX5" i="2" s="1"/>
  <c r="AJ5" i="2"/>
  <c r="AN5" i="2"/>
  <c r="AR5" i="2"/>
  <c r="AV5" i="2"/>
  <c r="AZ5" i="2"/>
  <c r="BH5" i="2"/>
  <c r="BL5" i="2"/>
  <c r="BP5" i="2"/>
  <c r="BW5" i="2" s="1"/>
  <c r="BT5" i="2"/>
  <c r="CB5" i="2"/>
  <c r="L7" i="2"/>
  <c r="P7" i="2"/>
  <c r="T7" i="2"/>
  <c r="AC7" i="2" s="1"/>
  <c r="X7" i="2"/>
  <c r="AB7" i="2"/>
  <c r="AF7" i="2"/>
  <c r="BX7" i="2" s="1"/>
  <c r="AJ7" i="2"/>
  <c r="AN7" i="2"/>
  <c r="AR7" i="2"/>
  <c r="AV7" i="2"/>
  <c r="AZ7" i="2"/>
  <c r="BH7" i="2"/>
  <c r="BL7" i="2"/>
  <c r="BP7" i="2"/>
  <c r="BT7" i="2"/>
  <c r="CB7" i="2"/>
  <c r="L9" i="2"/>
  <c r="P9" i="2"/>
  <c r="T9" i="2"/>
  <c r="AC9" i="2" s="1"/>
  <c r="X9" i="2"/>
  <c r="AB9" i="2"/>
  <c r="AF9" i="2"/>
  <c r="BX9" i="2" s="1"/>
  <c r="AJ9" i="2"/>
  <c r="AN9" i="2"/>
  <c r="AR9" i="2"/>
  <c r="AV9" i="2"/>
  <c r="AZ9" i="2"/>
  <c r="BH9" i="2"/>
  <c r="BL9" i="2"/>
  <c r="BP9" i="2"/>
  <c r="BT9" i="2"/>
  <c r="CB9" i="2"/>
  <c r="L11" i="2"/>
  <c r="P11" i="2"/>
  <c r="T11" i="2"/>
  <c r="AC11" i="2" s="1"/>
  <c r="X11" i="2"/>
  <c r="AB11" i="2"/>
  <c r="AF11" i="2"/>
  <c r="BX11" i="2" s="1"/>
  <c r="AJ11" i="2"/>
  <c r="AN11" i="2"/>
  <c r="AR11" i="2"/>
  <c r="AV11" i="2"/>
  <c r="AZ11" i="2"/>
  <c r="BH11" i="2"/>
  <c r="BL11" i="2"/>
  <c r="BP11" i="2"/>
  <c r="BT11" i="2"/>
  <c r="CB11" i="2"/>
  <c r="L13" i="2"/>
  <c r="P13" i="2"/>
  <c r="T13" i="2"/>
  <c r="AC13" i="2" s="1"/>
  <c r="X13" i="2"/>
  <c r="AB13" i="2"/>
  <c r="AF13" i="2"/>
  <c r="BX13" i="2" s="1"/>
  <c r="AJ13" i="2"/>
  <c r="AN13" i="2"/>
  <c r="AR13" i="2"/>
  <c r="AV13" i="2"/>
  <c r="AZ13" i="2"/>
  <c r="BH13" i="2"/>
  <c r="BL13" i="2"/>
  <c r="BP13" i="2"/>
  <c r="BT13" i="2"/>
  <c r="CB13" i="2"/>
  <c r="L15" i="2"/>
  <c r="P15" i="2"/>
  <c r="T15" i="2"/>
  <c r="AC15" i="2" s="1"/>
  <c r="X15" i="2"/>
  <c r="AB15" i="2"/>
  <c r="AF15" i="2"/>
  <c r="BX15" i="2" s="1"/>
  <c r="AJ15" i="2"/>
  <c r="AN15" i="2"/>
  <c r="AR15" i="2"/>
  <c r="AV15" i="2"/>
  <c r="AZ15" i="2"/>
  <c r="BH15" i="2"/>
  <c r="BL15" i="2"/>
  <c r="BP15" i="2"/>
  <c r="BT15" i="2"/>
  <c r="CB15" i="2"/>
  <c r="L17" i="2"/>
  <c r="P17" i="2"/>
  <c r="T17" i="2"/>
  <c r="AC17" i="2" s="1"/>
  <c r="X17" i="2"/>
  <c r="AB17" i="2"/>
  <c r="AF17" i="2"/>
  <c r="BX17" i="2" s="1"/>
  <c r="AJ17" i="2"/>
  <c r="AN17" i="2"/>
  <c r="AR17" i="2"/>
  <c r="AV17" i="2"/>
  <c r="AZ17" i="2"/>
  <c r="BH17" i="2"/>
  <c r="BL17" i="2"/>
  <c r="BP17" i="2"/>
  <c r="BT17" i="2"/>
  <c r="CB17" i="2"/>
  <c r="L19" i="2"/>
  <c r="P19" i="2"/>
  <c r="T19" i="2"/>
  <c r="AC19" i="2" s="1"/>
  <c r="X19" i="2"/>
  <c r="AB19" i="2"/>
  <c r="AF19" i="2"/>
  <c r="BX19" i="2" s="1"/>
  <c r="AJ19" i="2"/>
  <c r="AN19" i="2"/>
  <c r="AR19" i="2"/>
  <c r="AV19" i="2"/>
  <c r="AZ19" i="2"/>
  <c r="BH19" i="2"/>
  <c r="BL19" i="2"/>
  <c r="BP19" i="2"/>
  <c r="BT19" i="2"/>
  <c r="CB19" i="2"/>
  <c r="L21" i="2"/>
  <c r="P21" i="2"/>
  <c r="T21" i="2"/>
  <c r="AC21" i="2" s="1"/>
  <c r="X21" i="2"/>
  <c r="AB21" i="2"/>
  <c r="AF21" i="2"/>
  <c r="BX21" i="2" s="1"/>
  <c r="AJ21" i="2"/>
  <c r="AN21" i="2"/>
  <c r="AR21" i="2"/>
  <c r="AV21" i="2"/>
  <c r="AZ21" i="2"/>
  <c r="BH21" i="2"/>
  <c r="BL21" i="2"/>
  <c r="BP21" i="2"/>
  <c r="BT21" i="2"/>
  <c r="CB21" i="2"/>
  <c r="J22" i="2"/>
  <c r="BD22" i="2" s="1"/>
  <c r="N22" i="2"/>
  <c r="R22" i="2"/>
  <c r="V22" i="2"/>
  <c r="AC22" i="2" s="1"/>
  <c r="Z22" i="2"/>
  <c r="AD22" i="2"/>
  <c r="AL22" i="2" s="1"/>
  <c r="AH22" i="2"/>
  <c r="AP22" i="2"/>
  <c r="AT22" i="2"/>
  <c r="AX22" i="2"/>
  <c r="BB22" i="2"/>
  <c r="BF22" i="2"/>
  <c r="BJ22" i="2"/>
  <c r="BR22" i="2"/>
  <c r="CG23" i="2"/>
  <c r="L23" i="2"/>
  <c r="P23" i="2"/>
  <c r="T23" i="2"/>
  <c r="AC23" i="2" s="1"/>
  <c r="X23" i="2"/>
  <c r="AB23" i="2"/>
  <c r="AF23" i="2"/>
  <c r="BX23" i="2" s="1"/>
  <c r="AJ23" i="2"/>
  <c r="AN23" i="2"/>
  <c r="AR23" i="2"/>
  <c r="AV23" i="2"/>
  <c r="CC23" i="2" s="1"/>
  <c r="AZ23" i="2"/>
  <c r="BH23" i="2"/>
  <c r="BL23" i="2"/>
  <c r="BP23" i="2"/>
  <c r="BT23" i="2"/>
  <c r="CB23" i="2"/>
  <c r="CE24" i="2"/>
  <c r="CA24" i="2"/>
  <c r="BS24" i="2"/>
  <c r="BO24" i="2"/>
  <c r="BK24" i="2"/>
  <c r="BG24" i="2"/>
  <c r="AY24" i="2"/>
  <c r="AU24" i="2"/>
  <c r="BC24" i="2" s="1"/>
  <c r="AQ24" i="2"/>
  <c r="AM24" i="2"/>
  <c r="AT24" i="2" s="1"/>
  <c r="AI24" i="2"/>
  <c r="AE24" i="2"/>
  <c r="AA24" i="2"/>
  <c r="W24" i="2"/>
  <c r="O24" i="2"/>
  <c r="K24" i="2"/>
  <c r="S24" i="2" s="1"/>
  <c r="J24" i="2"/>
  <c r="BD24" i="2" s="1"/>
  <c r="P24" i="2"/>
  <c r="U24" i="2"/>
  <c r="Z24" i="2"/>
  <c r="AF24" i="2"/>
  <c r="AK24" i="2"/>
  <c r="BY24" i="2" s="1"/>
  <c r="AP24" i="2"/>
  <c r="AV24" i="2"/>
  <c r="BA24" i="2"/>
  <c r="BF24" i="2"/>
  <c r="BL24" i="2"/>
  <c r="BQ24" i="2"/>
  <c r="CB24" i="2"/>
  <c r="J25" i="2"/>
  <c r="BD25" i="2" s="1"/>
  <c r="O25" i="2"/>
  <c r="T25" i="2"/>
  <c r="Z25" i="2"/>
  <c r="AE25" i="2"/>
  <c r="AJ25" i="2"/>
  <c r="AP25" i="2"/>
  <c r="AU25" i="2"/>
  <c r="AZ25" i="2"/>
  <c r="BF25" i="2"/>
  <c r="BK25" i="2"/>
  <c r="BP25" i="2"/>
  <c r="CA25" i="2"/>
  <c r="I26" i="2"/>
  <c r="N26" i="2"/>
  <c r="T26" i="2"/>
  <c r="AC26" i="2" s="1"/>
  <c r="Y26" i="2"/>
  <c r="AD26" i="2"/>
  <c r="AJ26" i="2"/>
  <c r="AO26" i="2"/>
  <c r="AZ26" i="2"/>
  <c r="BE26" i="2"/>
  <c r="BJ26" i="2"/>
  <c r="BP26" i="2"/>
  <c r="AC4" i="3" a="1"/>
  <c r="AC4" i="3" s="1"/>
  <c r="BQ25" i="2"/>
  <c r="BU25" i="2" s="1"/>
  <c r="BM25" i="2"/>
  <c r="BI25" i="2"/>
  <c r="BE25" i="2"/>
  <c r="BA25" i="2"/>
  <c r="AW25" i="2"/>
  <c r="AS25" i="2"/>
  <c r="AO25" i="2"/>
  <c r="AT25" i="2" s="1"/>
  <c r="AK25" i="2"/>
  <c r="AG25" i="2"/>
  <c r="Y25" i="2"/>
  <c r="U25" i="2"/>
  <c r="Q25" i="2"/>
  <c r="M25" i="2"/>
  <c r="I25" i="2"/>
  <c r="K25" i="2"/>
  <c r="P25" i="2"/>
  <c r="V25" i="2"/>
  <c r="AA25" i="2"/>
  <c r="AF25" i="2"/>
  <c r="AL25" i="2" s="1"/>
  <c r="AQ25" i="2"/>
  <c r="AV25" i="2"/>
  <c r="BB25" i="2"/>
  <c r="BG25" i="2"/>
  <c r="BL25" i="2"/>
  <c r="BR25" i="2"/>
  <c r="CB25" i="2"/>
  <c r="CE26" i="2"/>
  <c r="CA26" i="2"/>
  <c r="BS26" i="2"/>
  <c r="BO26" i="2"/>
  <c r="BK26" i="2"/>
  <c r="BG26" i="2"/>
  <c r="AY26" i="2"/>
  <c r="AU26" i="2"/>
  <c r="AQ26" i="2"/>
  <c r="AM26" i="2"/>
  <c r="AT26" i="2" s="1"/>
  <c r="AI26" i="2"/>
  <c r="AE26" i="2"/>
  <c r="AA26" i="2"/>
  <c r="W26" i="2"/>
  <c r="O26" i="2"/>
  <c r="K26" i="2"/>
  <c r="J26" i="2"/>
  <c r="BD26" i="2" s="1"/>
  <c r="P26" i="2"/>
  <c r="U26" i="2"/>
  <c r="Z26" i="2"/>
  <c r="AF26" i="2"/>
  <c r="AK26" i="2"/>
  <c r="BY26" i="2" s="1"/>
  <c r="AP26" i="2"/>
  <c r="AV26" i="2"/>
  <c r="BA26" i="2"/>
  <c r="BF26" i="2"/>
  <c r="BL26" i="2"/>
  <c r="BQ26" i="2"/>
  <c r="CB26" i="2"/>
  <c r="AG15" i="3" a="1"/>
  <c r="AG15" i="3" s="1"/>
  <c r="AC15" i="3" a="1"/>
  <c r="AC15" i="3" s="1"/>
  <c r="Y15" i="3" a="1"/>
  <c r="Y15" i="3" s="1"/>
  <c r="V15" i="3" s="1"/>
  <c r="AA15" i="3" a="1"/>
  <c r="AA15" i="3" s="1"/>
  <c r="R15" i="3" a="1"/>
  <c r="R15" i="3" s="1"/>
  <c r="L15" i="3" a="1"/>
  <c r="L15" i="3" s="1"/>
  <c r="I15" i="3" s="1"/>
  <c r="AE15" i="3" a="1"/>
  <c r="AE15" i="3" s="1"/>
  <c r="P15" i="3" a="1"/>
  <c r="P15" i="3" s="1"/>
  <c r="N15" i="3" a="1"/>
  <c r="N15" i="3" s="1"/>
  <c r="AG21" i="3" a="1"/>
  <c r="AG21" i="3" s="1"/>
  <c r="AC21" i="3" a="1"/>
  <c r="AC21" i="3" s="1"/>
  <c r="Y21" i="3" a="1"/>
  <c r="Y21" i="3" s="1"/>
  <c r="V21" i="3" s="1"/>
  <c r="AA21" i="3" a="1"/>
  <c r="AA21" i="3" s="1"/>
  <c r="R21" i="3" a="1"/>
  <c r="R21" i="3" s="1"/>
  <c r="L21" i="3" a="1"/>
  <c r="L21" i="3" s="1"/>
  <c r="I21" i="3" s="1"/>
  <c r="AE21" i="3" a="1"/>
  <c r="AE21" i="3" s="1"/>
  <c r="P21" i="3" a="1"/>
  <c r="P21" i="3" s="1"/>
  <c r="N21" i="3" a="1"/>
  <c r="N21" i="3" s="1"/>
  <c r="N4" i="3" a="1"/>
  <c r="N4" i="3" s="1"/>
  <c r="N20" i="3" a="1"/>
  <c r="N20" i="3" s="1"/>
  <c r="BA25" i="3"/>
  <c r="BD25" i="3"/>
  <c r="AG5" i="3" a="1"/>
  <c r="AG5" i="3" s="1"/>
  <c r="AC5" i="3" a="1"/>
  <c r="AC5" i="3" s="1"/>
  <c r="Y5" i="3" a="1"/>
  <c r="Y5" i="3" s="1"/>
  <c r="V5" i="3" s="1"/>
  <c r="AA5" i="3" a="1"/>
  <c r="AA5" i="3" s="1"/>
  <c r="R5" i="3" a="1"/>
  <c r="R5" i="3" s="1"/>
  <c r="L5" i="3" a="1"/>
  <c r="L5" i="3" s="1"/>
  <c r="I5" i="3" s="1"/>
  <c r="AE5" i="3" a="1"/>
  <c r="AE5" i="3" s="1"/>
  <c r="P5" i="3" a="1"/>
  <c r="P5" i="3" s="1"/>
  <c r="AE20" i="3" a="1"/>
  <c r="AE20" i="3" s="1"/>
  <c r="AA20" i="3" a="1"/>
  <c r="AA20" i="3" s="1"/>
  <c r="AG20" i="3" a="1"/>
  <c r="AG20" i="3" s="1"/>
  <c r="R20" i="3" a="1"/>
  <c r="R20" i="3" s="1"/>
  <c r="L20" i="3" a="1"/>
  <c r="L20" i="3" s="1"/>
  <c r="I20" i="3" s="1"/>
  <c r="N5" i="3" a="1"/>
  <c r="N5" i="3" s="1"/>
  <c r="AY5" i="3"/>
  <c r="BA7" i="3"/>
  <c r="AY18" i="3"/>
  <c r="P20" i="3" a="1"/>
  <c r="P20" i="3" s="1"/>
  <c r="AY8" i="3"/>
  <c r="BA9" i="3"/>
  <c r="AY12" i="3"/>
  <c r="AY16" i="3"/>
  <c r="AY19" i="3"/>
  <c r="AY23" i="3"/>
  <c r="AY10" i="3"/>
  <c r="Y20" i="3" a="1"/>
  <c r="Y20" i="3" s="1"/>
  <c r="V20" i="3" s="1"/>
  <c r="BF25" i="3"/>
  <c r="AG7" i="3" a="1"/>
  <c r="AG7" i="3" s="1"/>
  <c r="AC7" i="3" a="1"/>
  <c r="AC7" i="3" s="1"/>
  <c r="Y7" i="3" a="1"/>
  <c r="Y7" i="3" s="1"/>
  <c r="V7" i="3" s="1"/>
  <c r="AE12" i="3" a="1"/>
  <c r="AE12" i="3" s="1"/>
  <c r="AA12" i="3" a="1"/>
  <c r="AA12" i="3" s="1"/>
  <c r="AG17" i="3" a="1"/>
  <c r="AG17" i="3" s="1"/>
  <c r="AC17" i="3" a="1"/>
  <c r="AC17" i="3" s="1"/>
  <c r="Y17" i="3" a="1"/>
  <c r="Y17" i="3" s="1"/>
  <c r="V17" i="3" s="1"/>
  <c r="AG23" i="3" a="1"/>
  <c r="AG23" i="3" s="1"/>
  <c r="AC23" i="3" a="1"/>
  <c r="AC23" i="3" s="1"/>
  <c r="Y23" i="3" a="1"/>
  <c r="Y23" i="3" s="1"/>
  <c r="V23" i="3" s="1"/>
  <c r="P7" i="3" a="1"/>
  <c r="P7" i="3" s="1"/>
  <c r="AE7" i="3" a="1"/>
  <c r="AE7" i="3" s="1"/>
  <c r="BF8" i="3"/>
  <c r="L12" i="3" a="1"/>
  <c r="L12" i="3" s="1"/>
  <c r="I12" i="3" s="1"/>
  <c r="BF14" i="3"/>
  <c r="P17" i="3" a="1"/>
  <c r="P17" i="3" s="1"/>
  <c r="AE17" i="3" a="1"/>
  <c r="AE17" i="3" s="1"/>
  <c r="BF20" i="3"/>
  <c r="P23" i="3" a="1"/>
  <c r="P23" i="3" s="1"/>
  <c r="AE23" i="3" a="1"/>
  <c r="AE23" i="3" s="1"/>
  <c r="B26" i="3"/>
  <c r="B22" i="3"/>
  <c r="B18" i="3"/>
  <c r="B14" i="3"/>
  <c r="B10" i="3"/>
  <c r="B6" i="3"/>
  <c r="B3" i="3"/>
  <c r="B8" i="3"/>
  <c r="B13" i="3"/>
  <c r="B19" i="3"/>
  <c r="B24" i="3"/>
  <c r="L7" i="3" a="1"/>
  <c r="L7" i="3" s="1"/>
  <c r="I7" i="3" s="1"/>
  <c r="R7" i="3" a="1"/>
  <c r="R7" i="3" s="1"/>
  <c r="AA7" i="3" a="1"/>
  <c r="AA7" i="3" s="1"/>
  <c r="R12" i="3" a="1"/>
  <c r="R12" i="3" s="1"/>
  <c r="AG12" i="3" a="1"/>
  <c r="AG12" i="3" s="1"/>
  <c r="L17" i="3" a="1"/>
  <c r="L17" i="3" s="1"/>
  <c r="I17" i="3" s="1"/>
  <c r="R17" i="3" a="1"/>
  <c r="R17" i="3" s="1"/>
  <c r="AA17" i="3" a="1"/>
  <c r="AA17" i="3" s="1"/>
  <c r="L23" i="3" a="1"/>
  <c r="L23" i="3" s="1"/>
  <c r="I23" i="3" s="1"/>
  <c r="R23" i="3" a="1"/>
  <c r="R23" i="3" s="1"/>
  <c r="AA23" i="3" a="1"/>
  <c r="AA23" i="3" s="1"/>
  <c r="BF26" i="3"/>
  <c r="BX20" i="2" l="1"/>
  <c r="CF10" i="2"/>
  <c r="CG10" i="2" s="1"/>
  <c r="BY8" i="2"/>
  <c r="BV25" i="2"/>
  <c r="BY19" i="2"/>
  <c r="BW6" i="2"/>
  <c r="CC25" i="2"/>
  <c r="BY25" i="2"/>
  <c r="AC8" i="2"/>
  <c r="L26" i="1"/>
  <c r="M26" i="1"/>
  <c r="O26" i="1"/>
  <c r="J33" i="1"/>
  <c r="N33" i="1"/>
  <c r="BV24" i="2"/>
  <c r="BW10" i="2"/>
  <c r="BY4" i="2"/>
  <c r="AL18" i="2"/>
  <c r="M20" i="1"/>
  <c r="K20" i="1"/>
  <c r="BW21" i="2"/>
  <c r="BW19" i="2"/>
  <c r="BY17" i="2"/>
  <c r="BV5" i="2"/>
  <c r="CF9" i="2"/>
  <c r="BU11" i="2"/>
  <c r="BW26" i="2"/>
  <c r="BN25" i="2"/>
  <c r="BY3" i="2"/>
  <c r="CC18" i="2"/>
  <c r="BC14" i="2"/>
  <c r="AT12" i="2"/>
  <c r="BX10" i="2"/>
  <c r="BC10" i="2"/>
  <c r="CC6" i="2"/>
  <c r="CF6" i="2"/>
  <c r="CG6" i="2" s="1"/>
  <c r="AT19" i="2"/>
  <c r="M31" i="1"/>
  <c r="L31" i="1"/>
  <c r="K31" i="1"/>
  <c r="BN26" i="2"/>
  <c r="BC25" i="2"/>
  <c r="CC7" i="2"/>
  <c r="CC3" i="2"/>
  <c r="AC12" i="2"/>
  <c r="BV12" i="2"/>
  <c r="CC8" i="2"/>
  <c r="BX8" i="2"/>
  <c r="BV4" i="2"/>
  <c r="BX4" i="2"/>
  <c r="BV20" i="2"/>
  <c r="BZ20" i="2" s="1"/>
  <c r="BV18" i="2"/>
  <c r="BZ18" i="2" s="1"/>
  <c r="BV16" i="2"/>
  <c r="BZ16" i="2" s="1"/>
  <c r="BY14" i="2"/>
  <c r="AL14" i="2"/>
  <c r="BV10" i="2"/>
  <c r="BZ10" i="2" s="1"/>
  <c r="BV6" i="2"/>
  <c r="L22" i="1"/>
  <c r="O22" i="1"/>
  <c r="N22" i="1"/>
  <c r="J22" i="1"/>
  <c r="BC11" i="2"/>
  <c r="BU5" i="2"/>
  <c r="BU9" i="2"/>
  <c r="CF26" i="2"/>
  <c r="CG26" i="2" s="1"/>
  <c r="AL26" i="2"/>
  <c r="S26" i="2"/>
  <c r="AC25" i="2"/>
  <c r="BN24" i="2"/>
  <c r="CF22" i="2"/>
  <c r="CG22" i="2" s="1"/>
  <c r="BY11" i="2"/>
  <c r="CC22" i="2"/>
  <c r="CC16" i="2"/>
  <c r="BY10" i="2"/>
  <c r="BY6" i="2"/>
  <c r="BW18" i="2"/>
  <c r="CF16" i="2"/>
  <c r="CG16" i="2" s="1"/>
  <c r="CF12" i="2"/>
  <c r="CG12" i="2" s="1"/>
  <c r="BY12" i="2"/>
  <c r="BX6" i="2"/>
  <c r="BY20" i="2"/>
  <c r="BY18" i="2"/>
  <c r="BY16" i="2"/>
  <c r="BX26" i="2"/>
  <c r="BW25" i="2"/>
  <c r="S25" i="2"/>
  <c r="BW24" i="2"/>
  <c r="BV22" i="2"/>
  <c r="BY22" i="2"/>
  <c r="BW13" i="2"/>
  <c r="BW11" i="2"/>
  <c r="CC11" i="2"/>
  <c r="BY9" i="2"/>
  <c r="BX22" i="2"/>
  <c r="BX12" i="2"/>
  <c r="S10" i="2"/>
  <c r="L32" i="1"/>
  <c r="K32" i="1"/>
  <c r="O32" i="1"/>
  <c r="CF5" i="2"/>
  <c r="CF14" i="2"/>
  <c r="CG14" i="2" s="1"/>
  <c r="CG3" i="2"/>
  <c r="BV14" i="2"/>
  <c r="BZ14" i="2" s="1"/>
  <c r="CG9" i="2"/>
  <c r="M27" i="1"/>
  <c r="N27" i="1"/>
  <c r="J27" i="1"/>
  <c r="O27" i="1"/>
  <c r="BU21" i="2"/>
  <c r="BZ6" i="2"/>
  <c r="AZ17" i="3"/>
  <c r="BC17" i="3"/>
  <c r="BF17" i="3" s="1"/>
  <c r="AG13" i="3" a="1"/>
  <c r="AG13" i="3" s="1"/>
  <c r="AC13" i="3" a="1"/>
  <c r="AC13" i="3" s="1"/>
  <c r="Y13" i="3" a="1"/>
  <c r="Y13" i="3" s="1"/>
  <c r="V13" i="3" s="1"/>
  <c r="AA13" i="3" a="1"/>
  <c r="AA13" i="3" s="1"/>
  <c r="R13" i="3" a="1"/>
  <c r="R13" i="3" s="1"/>
  <c r="L13" i="3" a="1"/>
  <c r="L13" i="3" s="1"/>
  <c r="I13" i="3" s="1"/>
  <c r="AE13" i="3" a="1"/>
  <c r="AE13" i="3" s="1"/>
  <c r="P13" i="3" a="1"/>
  <c r="P13" i="3" s="1"/>
  <c r="N13" i="3" a="1"/>
  <c r="N13" i="3" s="1"/>
  <c r="AE10" i="3" a="1"/>
  <c r="AE10" i="3" s="1"/>
  <c r="AA10" i="3" a="1"/>
  <c r="AA10" i="3" s="1"/>
  <c r="AG10" i="3" a="1"/>
  <c r="AG10" i="3" s="1"/>
  <c r="R10" i="3" a="1"/>
  <c r="R10" i="3" s="1"/>
  <c r="L10" i="3" a="1"/>
  <c r="L10" i="3" s="1"/>
  <c r="I10" i="3" s="1"/>
  <c r="AC10" i="3" a="1"/>
  <c r="AC10" i="3" s="1"/>
  <c r="N10" i="3" a="1"/>
  <c r="N10" i="3" s="1"/>
  <c r="Y10" i="3" a="1"/>
  <c r="Y10" i="3" s="1"/>
  <c r="V10" i="3" s="1"/>
  <c r="P10" i="3" a="1"/>
  <c r="P10" i="3" s="1"/>
  <c r="P26" i="3" a="1"/>
  <c r="P26" i="3" s="1"/>
  <c r="L26" i="3" a="1"/>
  <c r="L26" i="3" s="1"/>
  <c r="I26" i="3" s="1"/>
  <c r="AE26" i="3" a="1"/>
  <c r="AE26" i="3" s="1"/>
  <c r="AA26" i="3" a="1"/>
  <c r="AA26" i="3" s="1"/>
  <c r="R26" i="3" a="1"/>
  <c r="R26" i="3" s="1"/>
  <c r="AC26" i="3" a="1"/>
  <c r="AC26" i="3" s="1"/>
  <c r="Y26" i="3" a="1"/>
  <c r="Y26" i="3" s="1"/>
  <c r="V26" i="3" s="1"/>
  <c r="N26" i="3" a="1"/>
  <c r="N26" i="3" s="1"/>
  <c r="AG26" i="3" a="1"/>
  <c r="AG26" i="3" s="1"/>
  <c r="CC24" i="2"/>
  <c r="CF24" i="2"/>
  <c r="CG24" i="2" s="1"/>
  <c r="BY23" i="2"/>
  <c r="BN22" i="2"/>
  <c r="BW17" i="2"/>
  <c r="CC17" i="2"/>
  <c r="BY15" i="2"/>
  <c r="BW9" i="2"/>
  <c r="CC9" i="2"/>
  <c r="BY7" i="2"/>
  <c r="AZ4" i="3"/>
  <c r="BC4" i="3"/>
  <c r="BF4" i="3" s="1"/>
  <c r="AZ16" i="3"/>
  <c r="BC16" i="3"/>
  <c r="BF16" i="3" s="1"/>
  <c r="CF25" i="2"/>
  <c r="CG25" i="2" s="1"/>
  <c r="BC16" i="2"/>
  <c r="BC6" i="2"/>
  <c r="AL23" i="2"/>
  <c r="AL3" i="2"/>
  <c r="AL17" i="2"/>
  <c r="AL7" i="2"/>
  <c r="CG7" i="2"/>
  <c r="AL15" i="2"/>
  <c r="AL9" i="2"/>
  <c r="BV17" i="2"/>
  <c r="BZ17" i="2" s="1"/>
  <c r="AL5" i="2"/>
  <c r="AE24" i="3" a="1"/>
  <c r="AE24" i="3" s="1"/>
  <c r="AA24" i="3" a="1"/>
  <c r="AA24" i="3" s="1"/>
  <c r="AG24" i="3" a="1"/>
  <c r="AG24" i="3" s="1"/>
  <c r="R24" i="3" a="1"/>
  <c r="R24" i="3" s="1"/>
  <c r="L24" i="3" a="1"/>
  <c r="L24" i="3" s="1"/>
  <c r="I24" i="3" s="1"/>
  <c r="Y24" i="3" a="1"/>
  <c r="Y24" i="3" s="1"/>
  <c r="V24" i="3" s="1"/>
  <c r="P24" i="3" a="1"/>
  <c r="P24" i="3" s="1"/>
  <c r="AC24" i="3" a="1"/>
  <c r="AC24" i="3" s="1"/>
  <c r="N24" i="3" a="1"/>
  <c r="N24" i="3" s="1"/>
  <c r="AG3" i="3" a="1"/>
  <c r="AG3" i="3" s="1"/>
  <c r="AC3" i="3" a="1"/>
  <c r="AC3" i="3" s="1"/>
  <c r="Y3" i="3" a="1"/>
  <c r="Y3" i="3" s="1"/>
  <c r="V3" i="3" s="1"/>
  <c r="AA3" i="3" a="1"/>
  <c r="AA3" i="3" s="1"/>
  <c r="R3" i="3" a="1"/>
  <c r="R3" i="3" s="1"/>
  <c r="L3" i="3" a="1"/>
  <c r="L3" i="3" s="1"/>
  <c r="I3" i="3" s="1"/>
  <c r="AE3" i="3" a="1"/>
  <c r="AE3" i="3" s="1"/>
  <c r="P3" i="3" a="1"/>
  <c r="P3" i="3" s="1"/>
  <c r="N3" i="3" a="1"/>
  <c r="N3" i="3" s="1"/>
  <c r="AE18" i="3" a="1"/>
  <c r="AE18" i="3" s="1"/>
  <c r="AA18" i="3" a="1"/>
  <c r="AA18" i="3" s="1"/>
  <c r="AG18" i="3" a="1"/>
  <c r="AG18" i="3" s="1"/>
  <c r="R18" i="3" a="1"/>
  <c r="R18" i="3" s="1"/>
  <c r="L18" i="3" a="1"/>
  <c r="L18" i="3" s="1"/>
  <c r="I18" i="3" s="1"/>
  <c r="P18" i="3" a="1"/>
  <c r="P18" i="3" s="1"/>
  <c r="AC18" i="3" a="1"/>
  <c r="AC18" i="3" s="1"/>
  <c r="N18" i="3" a="1"/>
  <c r="N18" i="3" s="1"/>
  <c r="Y18" i="3" a="1"/>
  <c r="Y18" i="3" s="1"/>
  <c r="V18" i="3" s="1"/>
  <c r="AG19" i="3" a="1"/>
  <c r="AG19" i="3" s="1"/>
  <c r="AC19" i="3" a="1"/>
  <c r="AC19" i="3" s="1"/>
  <c r="Y19" i="3" a="1"/>
  <c r="Y19" i="3" s="1"/>
  <c r="V19" i="3" s="1"/>
  <c r="AA19" i="3" a="1"/>
  <c r="AA19" i="3" s="1"/>
  <c r="R19" i="3" a="1"/>
  <c r="R19" i="3" s="1"/>
  <c r="L19" i="3" a="1"/>
  <c r="L19" i="3" s="1"/>
  <c r="I19" i="3" s="1"/>
  <c r="AE19" i="3" a="1"/>
  <c r="AE19" i="3" s="1"/>
  <c r="P19" i="3" a="1"/>
  <c r="P19" i="3" s="1"/>
  <c r="N19" i="3" a="1"/>
  <c r="N19" i="3" s="1"/>
  <c r="AE6" i="3" a="1"/>
  <c r="AE6" i="3" s="1"/>
  <c r="AA6" i="3" a="1"/>
  <c r="AA6" i="3" s="1"/>
  <c r="AG6" i="3" a="1"/>
  <c r="AG6" i="3" s="1"/>
  <c r="R6" i="3" a="1"/>
  <c r="R6" i="3" s="1"/>
  <c r="L6" i="3" a="1"/>
  <c r="L6" i="3" s="1"/>
  <c r="I6" i="3" s="1"/>
  <c r="AC6" i="3" a="1"/>
  <c r="AC6" i="3" s="1"/>
  <c r="N6" i="3" a="1"/>
  <c r="N6" i="3" s="1"/>
  <c r="Y6" i="3" a="1"/>
  <c r="Y6" i="3" s="1"/>
  <c r="V6" i="3" s="1"/>
  <c r="P6" i="3" a="1"/>
  <c r="P6" i="3" s="1"/>
  <c r="AE22" i="3" a="1"/>
  <c r="AE22" i="3" s="1"/>
  <c r="AA22" i="3" a="1"/>
  <c r="AA22" i="3" s="1"/>
  <c r="AG22" i="3" a="1"/>
  <c r="AG22" i="3" s="1"/>
  <c r="R22" i="3" a="1"/>
  <c r="R22" i="3" s="1"/>
  <c r="L22" i="3" a="1"/>
  <c r="L22" i="3" s="1"/>
  <c r="I22" i="3" s="1"/>
  <c r="P22" i="3" a="1"/>
  <c r="P22" i="3" s="1"/>
  <c r="AC22" i="3" a="1"/>
  <c r="AC22" i="3" s="1"/>
  <c r="N22" i="3" a="1"/>
  <c r="N22" i="3" s="1"/>
  <c r="Y22" i="3" a="1"/>
  <c r="Y22" i="3" s="1"/>
  <c r="V22" i="3" s="1"/>
  <c r="AZ12" i="3"/>
  <c r="BC12" i="3"/>
  <c r="BF12" i="3" s="1"/>
  <c r="AZ5" i="3"/>
  <c r="BC5" i="3"/>
  <c r="BF5" i="3" s="1"/>
  <c r="AZ23" i="3"/>
  <c r="BC23" i="3"/>
  <c r="BF23" i="3" s="1"/>
  <c r="AE8" i="3" a="1"/>
  <c r="AE8" i="3" s="1"/>
  <c r="AA8" i="3" a="1"/>
  <c r="AA8" i="3" s="1"/>
  <c r="AG8" i="3" a="1"/>
  <c r="AG8" i="3" s="1"/>
  <c r="R8" i="3" a="1"/>
  <c r="R8" i="3" s="1"/>
  <c r="L8" i="3" a="1"/>
  <c r="L8" i="3" s="1"/>
  <c r="I8" i="3" s="1"/>
  <c r="P8" i="3" a="1"/>
  <c r="P8" i="3" s="1"/>
  <c r="AC8" i="3" a="1"/>
  <c r="AC8" i="3" s="1"/>
  <c r="N8" i="3" a="1"/>
  <c r="N8" i="3" s="1"/>
  <c r="Y8" i="3" a="1"/>
  <c r="Y8" i="3" s="1"/>
  <c r="V8" i="3" s="1"/>
  <c r="AE14" i="3" a="1"/>
  <c r="AE14" i="3" s="1"/>
  <c r="AA14" i="3" a="1"/>
  <c r="AA14" i="3" s="1"/>
  <c r="AG14" i="3" a="1"/>
  <c r="AG14" i="3" s="1"/>
  <c r="R14" i="3" a="1"/>
  <c r="R14" i="3" s="1"/>
  <c r="L14" i="3" a="1"/>
  <c r="L14" i="3" s="1"/>
  <c r="I14" i="3" s="1"/>
  <c r="P14" i="3" a="1"/>
  <c r="P14" i="3" s="1"/>
  <c r="AC14" i="3" a="1"/>
  <c r="AC14" i="3" s="1"/>
  <c r="N14" i="3" a="1"/>
  <c r="N14" i="3" s="1"/>
  <c r="Y14" i="3" a="1"/>
  <c r="Y14" i="3" s="1"/>
  <c r="V14" i="3" s="1"/>
  <c r="BV26" i="2"/>
  <c r="BZ26" i="2" s="1"/>
  <c r="BC26" i="2"/>
  <c r="BU26" i="2"/>
  <c r="BU24" i="2"/>
  <c r="BW23" i="2"/>
  <c r="BY21" i="2"/>
  <c r="BW15" i="2"/>
  <c r="CC15" i="2"/>
  <c r="BY13" i="2"/>
  <c r="BW7" i="2"/>
  <c r="BY5" i="2"/>
  <c r="O29" i="1"/>
  <c r="K29" i="1"/>
  <c r="N29" i="1"/>
  <c r="L29" i="1"/>
  <c r="M29" i="1"/>
  <c r="J29" i="1"/>
  <c r="AZ11" i="3"/>
  <c r="BC11" i="3"/>
  <c r="BF11" i="3" s="1"/>
  <c r="BX25" i="2"/>
  <c r="BZ25" i="2" s="1"/>
  <c r="BC18" i="2"/>
  <c r="BW20" i="2"/>
  <c r="CF18" i="2"/>
  <c r="CG18" i="2" s="1"/>
  <c r="BW16" i="2"/>
  <c r="BW12" i="2"/>
  <c r="CC12" i="2"/>
  <c r="BN12" i="2"/>
  <c r="BN8" i="2"/>
  <c r="BN4" i="2"/>
  <c r="CC20" i="2"/>
  <c r="BN20" i="2"/>
  <c r="BN18" i="2"/>
  <c r="BN16" i="2"/>
  <c r="BN14" i="2"/>
  <c r="BZ19" i="2"/>
  <c r="CC4" i="2"/>
  <c r="AL21" i="2"/>
  <c r="CG13" i="2"/>
  <c r="CG19" i="2"/>
  <c r="AL11" i="2"/>
  <c r="CG11" i="2"/>
  <c r="CC21" i="2"/>
  <c r="CC13" i="2"/>
  <c r="CC5" i="2"/>
  <c r="J5" i="1"/>
  <c r="O25" i="1"/>
  <c r="K25" i="1"/>
  <c r="L25" i="1"/>
  <c r="N25" i="1"/>
  <c r="J25" i="1"/>
  <c r="M25" i="1"/>
  <c r="CC26" i="2"/>
  <c r="BW22" i="2"/>
  <c r="BZ23" i="2"/>
  <c r="BZ7" i="2"/>
  <c r="AL24" i="2"/>
  <c r="BZ21" i="2"/>
  <c r="BU10" i="2"/>
  <c r="BU6" i="2"/>
  <c r="BZ15" i="2"/>
  <c r="BZ13" i="2"/>
  <c r="CG21" i="2"/>
  <c r="AL13" i="2"/>
  <c r="BZ9" i="2"/>
  <c r="CF4" i="2"/>
  <c r="CG4" i="2" s="1"/>
  <c r="AL19" i="2"/>
  <c r="CF8" i="2"/>
  <c r="CG8" i="2" s="1"/>
  <c r="CG5" i="2"/>
  <c r="BX24" i="2"/>
  <c r="BZ24" i="2" s="1"/>
  <c r="CC19" i="2"/>
  <c r="O21" i="1"/>
  <c r="K21" i="1"/>
  <c r="N21" i="1"/>
  <c r="L21" i="1"/>
  <c r="M21" i="1"/>
  <c r="J21" i="1"/>
  <c r="BW14" i="2"/>
  <c r="BV8" i="2"/>
  <c r="BZ8" i="2" s="1"/>
  <c r="BZ11" i="2"/>
  <c r="CG17" i="2"/>
  <c r="BV3" i="2"/>
  <c r="CG15" i="2"/>
  <c r="BZ5" i="2"/>
  <c r="BZ22" i="2" l="1"/>
  <c r="BZ12" i="2"/>
  <c r="BZ4" i="2"/>
  <c r="AZ6" i="3"/>
  <c r="BC6" i="3"/>
  <c r="BF6" i="3" s="1"/>
  <c r="AZ24" i="3"/>
  <c r="BC24" i="3"/>
  <c r="BF24" i="3" s="1"/>
  <c r="AZ10" i="3"/>
  <c r="BC10" i="3"/>
  <c r="BF10" i="3" s="1"/>
  <c r="F5" i="1"/>
  <c r="G10" i="1"/>
  <c r="K10" i="1"/>
  <c r="K11" i="1" s="1"/>
  <c r="O10" i="1"/>
  <c r="BZ3" i="2"/>
  <c r="C10" i="1"/>
  <c r="C11" i="1" s="1"/>
  <c r="AZ18" i="3"/>
  <c r="BC18" i="3"/>
  <c r="BF18" i="3" s="1"/>
  <c r="AZ22" i="3"/>
  <c r="BC22" i="3"/>
  <c r="BF22" i="3" s="1"/>
  <c r="G11" i="1" l="1"/>
  <c r="N5" i="1"/>
  <c r="O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The total number of targets and indicators are not clear.
	-farhad sahebi
----
In this type of HF's the total number of target will be four and five based on Provinces.
	-farhad sahebi
----
In this type of HF's the total number of target will be four and five based on Provinces.
	-farhad sahebi
----
The Total target is different based on province.
	-farhad sahebi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H2" authorId="0" shapeId="0" xr:uid="{00000000-0006-0000-0100-000002000000}">
      <text>
        <r>
          <rPr>
            <sz val="10"/>
            <color rgb="FF000000"/>
            <rFont val="Arial"/>
            <scheme val="minor"/>
          </rPr>
          <t>Need to revise based on QA Log
	-farhad sahebi</t>
        </r>
      </text>
    </comment>
    <comment ref="AJ2" authorId="0" shapeId="0" xr:uid="{00000000-0006-0000-0100-000003000000}">
      <text>
        <r>
          <rPr>
            <sz val="10"/>
            <color rgb="FF000000"/>
            <rFont val="Arial"/>
            <scheme val="minor"/>
          </rPr>
          <t>Need to revise based on QA Log
	-farhad sahebi</t>
        </r>
      </text>
    </comment>
    <comment ref="AV8" authorId="0" shapeId="0" xr:uid="{00000000-0006-0000-0100-000001000000}">
      <text>
        <r>
          <rPr>
            <sz val="10"/>
            <color rgb="FF000000"/>
            <rFont val="Arial"/>
            <scheme val="minor"/>
          </rPr>
          <t>The FR completed two forms on the first day from the vignette but later lost them. Thinking they were gone, he filled out two more. However, the original forms had already been sent, which is why more forms were received than his target number.
	-Muzhda Masoudzai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Y2" authorId="0" shapeId="0" xr:uid="{00000000-0006-0000-0200-000001000000}">
      <text>
        <r>
          <rPr>
            <sz val="10"/>
            <color rgb="FF000000"/>
            <rFont val="Arial"/>
            <scheme val="minor"/>
          </rPr>
          <t>Both Male and Female FRs can fill this form.
	-farhad sahebi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I2" authorId="0" shapeId="0" xr:uid="{00000000-0006-0000-0400-00000C000000}">
      <text>
        <r>
          <rPr>
            <sz val="10"/>
            <color rgb="FF000000"/>
            <rFont val="Arial"/>
            <scheme val="minor"/>
          </rPr>
          <t>Our FR went to HF for remaining data so we count as a half day for them
	-Muzhda Karimzada</t>
        </r>
      </text>
    </comment>
    <comment ref="K9" authorId="0" shapeId="0" xr:uid="{00000000-0006-0000-0400-000008000000}">
      <text>
        <r>
          <rPr>
            <sz val="10"/>
            <color rgb="FF000000"/>
            <rFont val="Arial"/>
            <scheme val="minor"/>
          </rPr>
          <t>The Public Health Dep said that every team should process their authorization letter separately.
	-Muzhda Karimzada</t>
        </r>
      </text>
    </comment>
    <comment ref="Z9" authorId="0" shapeId="0" xr:uid="{00000000-0006-0000-0400-000009000000}">
      <text>
        <r>
          <rPr>
            <sz val="10"/>
            <color rgb="FF000000"/>
            <rFont val="Arial"/>
            <scheme val="minor"/>
          </rPr>
          <t>Because the Director of the Public Health Department was unavailable and was busy in meetings, the authorization letter process was postponed until tomorrow.
	-Muzhda Karimzada</t>
        </r>
      </text>
    </comment>
    <comment ref="AE9" authorId="0" shapeId="0" xr:uid="{00000000-0006-0000-0400-00000A000000}">
      <text>
        <r>
          <rPr>
            <sz val="10"/>
            <color rgb="FF000000"/>
            <rFont val="Arial"/>
            <scheme val="minor"/>
          </rPr>
          <t>They send letter to AKF but they said that we are not working on Health section any more therefore our FR went to ADDA Org to process the maktob.
	-Muzhda Karimzada</t>
        </r>
      </text>
    </comment>
    <comment ref="Z10" authorId="0" shapeId="0" xr:uid="{00000000-0006-0000-0400-00000B000000}">
      <text>
        <r>
          <rPr>
            <sz val="10"/>
            <color rgb="FF000000"/>
            <rFont val="Arial"/>
            <scheme val="minor"/>
          </rPr>
          <t>Because the Director of the Public Health Department was unavailable and was busy in meetings, the authorization letter process was postponed until tomorrow.
	-Muzhda Karimzada</t>
        </r>
      </text>
    </comment>
    <comment ref="O58" authorId="0" shapeId="0" xr:uid="{00000000-0006-0000-0400-00002F000000}">
      <text>
        <r>
          <rPr>
            <sz val="10"/>
            <color rgb="FF000000"/>
            <rFont val="Arial"/>
            <scheme val="minor"/>
          </rPr>
          <t>Our colleague went to the Provincial Public Health Directorate of Kapisa for the processing of the letter.
	-Saif Sayar</t>
        </r>
      </text>
    </comment>
    <comment ref="AI58" authorId="0" shapeId="0" xr:uid="{00000000-0006-0000-0400-00001F000000}">
      <text>
        <r>
          <rPr>
            <sz val="10"/>
            <color rgb="FF000000"/>
            <rFont val="Arial"/>
            <scheme val="minor"/>
          </rPr>
          <t>The staff were requested to report to the Provincial Public Health Directorate by the Director of Public Health.
	-Saif Sayar</t>
        </r>
      </text>
    </comment>
    <comment ref="AI59" authorId="0" shapeId="0" xr:uid="{00000000-0006-0000-0400-00001E000000}">
      <text>
        <r>
          <rPr>
            <sz val="10"/>
            <color rgb="FF000000"/>
            <rFont val="Arial"/>
            <scheme val="minor"/>
          </rPr>
          <t>The staff were requested to report to the Provincial Public Health Directorate by the Director of Public Health.
	-Saif Sayar</t>
        </r>
      </text>
    </comment>
    <comment ref="AI60" authorId="0" shapeId="0" xr:uid="{00000000-0006-0000-0400-00001D000000}">
      <text>
        <r>
          <rPr>
            <sz val="10"/>
            <color rgb="FF000000"/>
            <rFont val="Arial"/>
            <scheme val="minor"/>
          </rPr>
          <t>The staff were requested to report to the Provincial Public Health Directorate by the Director of Public Health.
	-Saif Sayar</t>
        </r>
      </text>
    </comment>
    <comment ref="AI61" authorId="0" shapeId="0" xr:uid="{00000000-0006-0000-0400-00001C000000}">
      <text>
        <r>
          <rPr>
            <sz val="10"/>
            <color rgb="FF000000"/>
            <rFont val="Arial"/>
            <scheme val="minor"/>
          </rPr>
          <t>The staff were requested to report to the Provincial Public Health Directorate by the Director of Public Health.
	-Saif Sayar</t>
        </r>
      </text>
    </comment>
    <comment ref="AI62" authorId="0" shapeId="0" xr:uid="{00000000-0006-0000-0400-00001B000000}">
      <text>
        <r>
          <rPr>
            <sz val="10"/>
            <color rgb="FF000000"/>
            <rFont val="Arial"/>
            <scheme val="minor"/>
          </rPr>
          <t>The staff were requested to report to the Provincial Public Health Directorate by the Director of Public Health.
	-Saif Sayar</t>
        </r>
      </text>
    </comment>
    <comment ref="AI63" authorId="0" shapeId="0" xr:uid="{00000000-0006-0000-0400-00001A000000}">
      <text>
        <r>
          <rPr>
            <sz val="10"/>
            <color rgb="FF000000"/>
            <rFont val="Arial"/>
            <scheme val="minor"/>
          </rPr>
          <t>The staff were requested to report to the Provincial Public Health Directorate by the Director of Public Health.
	-Saif Sayar</t>
        </r>
      </text>
    </comment>
    <comment ref="AI64" authorId="0" shapeId="0" xr:uid="{00000000-0006-0000-0400-000019000000}">
      <text>
        <r>
          <rPr>
            <sz val="10"/>
            <color rgb="FF000000"/>
            <rFont val="Arial"/>
            <scheme val="minor"/>
          </rPr>
          <t>The staff were requested to report to the Provincial Public Health Directorate by the Director of Public Health.
	-Saif Sayar</t>
        </r>
      </text>
    </comment>
    <comment ref="J72" authorId="0" shapeId="0" xr:uid="{00000000-0006-0000-0400-000037000000}">
      <text>
        <r>
          <rPr>
            <sz val="10"/>
            <color rgb="FF000000"/>
            <rFont val="Arial"/>
            <scheme val="minor"/>
          </rPr>
          <t>Said Mahboob went to Directorate of  public health for Maktoob Processing
	-Tamim ismaty</t>
        </r>
      </text>
    </comment>
    <comment ref="Y72" authorId="0" shapeId="0" xr:uid="{00000000-0006-0000-0400-00002B000000}">
      <text>
        <r>
          <rPr>
            <sz val="10"/>
            <color rgb="FF000000"/>
            <rFont val="Arial"/>
            <scheme val="minor"/>
          </rPr>
          <t>first day of data collection and the team finished their data collection late i and team worked till 5 PM and they arrived back from field at 9 PM night therefore i counted them 1,5 working day
	-Tamim ismaty</t>
        </r>
      </text>
    </comment>
    <comment ref="Y73" authorId="0" shapeId="0" xr:uid="{00000000-0006-0000-0400-00002A000000}">
      <text>
        <r>
          <rPr>
            <sz val="10"/>
            <color rgb="FF000000"/>
            <rFont val="Arial"/>
            <scheme val="minor"/>
          </rPr>
          <t>first day of data collection and the team finished their data collection late  and team worked till 5 PM and they arrived back from field at 9 PM night therefore i counted them 1,5 working day
	-Tamim ismaty</t>
        </r>
      </text>
    </comment>
    <comment ref="O79" authorId="0" shapeId="0" xr:uid="{00000000-0006-0000-0400-000030000000}">
      <text>
        <r>
          <rPr>
            <sz val="10"/>
            <color rgb="FF000000"/>
            <rFont val="Arial"/>
            <scheme val="minor"/>
          </rPr>
          <t>Our colleague went to the Provincial Public Health Directorate of Kunduz for the processing of the letter.
	-Saif Sayar</t>
        </r>
      </text>
    </comment>
    <comment ref="Y79" authorId="0" shapeId="0" xr:uid="{00000000-0006-0000-0400-000011000000}">
      <text>
        <r>
          <rPr>
            <sz val="10"/>
            <color rgb="FF000000"/>
            <rFont val="Arial"/>
            <scheme val="minor"/>
          </rPr>
          <t>همکار ها به ریاست صحت عامه این ولایت رفته بود به دلیل بهانه تراشی های غیرموجه مشکل حل نشد.
	-Saif Sayar</t>
        </r>
      </text>
    </comment>
    <comment ref="AK79" authorId="0" shapeId="0" xr:uid="{00000000-0006-0000-0400-000021000000}">
      <text>
        <r>
          <rPr>
            <sz val="10"/>
            <color rgb="FF000000"/>
            <rFont val="Arial"/>
            <scheme val="minor"/>
          </rPr>
          <t>Today, the contracted vehicle was not available to transport the staff to the clinic because a member of the driver’s family had passed away.
As per the direction of Rofi Sahib, the staff arranged another vehicle and paid 800 AFN from their own pocket.
	-Saif Sayar</t>
        </r>
      </text>
    </comment>
    <comment ref="AK80" authorId="0" shapeId="0" xr:uid="{00000000-0006-0000-0400-000020000000}">
      <text>
        <r>
          <rPr>
            <sz val="10"/>
            <color rgb="FF000000"/>
            <rFont val="Arial"/>
            <scheme val="minor"/>
          </rPr>
          <t>Today, the contracted vehicle was not available to transport the staff to the clinic because a member of the driver’s family had passed away.
As per the direction of Rofi Sahib, the staff arranged another vehicle and paid 800 AFN from their own pocket.
	-Saif Sayar</t>
        </r>
      </text>
    </comment>
    <comment ref="AP80" authorId="0" shapeId="0" xr:uid="{00000000-0006-0000-0400-000006000000}">
      <text>
        <r>
          <rPr>
            <sz val="10"/>
            <color rgb="FF000000"/>
            <rFont val="Arial"/>
            <scheme val="minor"/>
          </rPr>
          <t>همکار ما چند سمپل شان باقی مانده بود در زوزاول تمام نشده بود درین روزتمام شد. و کرایه موتر که 800 افغانی از جیب خود داده اند به هدایت سیال صاحب بخش مالی ما.
	-Saif Sayar</t>
        </r>
      </text>
    </comment>
    <comment ref="AD85" authorId="0" shapeId="0" xr:uid="{00000000-0006-0000-0400-000010000000}">
      <text>
        <r>
          <rPr>
            <sz val="10"/>
            <color rgb="FF000000"/>
            <rFont val="Arial"/>
            <scheme val="minor"/>
          </rPr>
          <t>همکار ما درین زوزموفق به پروسس مکتوب شد.
	-Saif Sayar</t>
        </r>
      </text>
    </comment>
    <comment ref="J86" authorId="0" shapeId="0" xr:uid="{00000000-0006-0000-0400-000038000000}">
      <text>
        <r>
          <rPr>
            <sz val="10"/>
            <color rgb="FF000000"/>
            <rFont val="Arial"/>
            <scheme val="minor"/>
          </rPr>
          <t>Nasratullah Danish went to Directorate of public health for processing of access letter
	-Tamim ismaty</t>
        </r>
      </text>
    </comment>
    <comment ref="O86" authorId="0" shapeId="0" xr:uid="{00000000-0006-0000-0400-000034000000}">
      <text>
        <r>
          <rPr>
            <sz val="10"/>
            <color rgb="FF000000"/>
            <rFont val="Arial"/>
            <scheme val="minor"/>
          </rPr>
          <t>first day of data collection
	-Tamim ismaty</t>
        </r>
      </text>
    </comment>
    <comment ref="R86" authorId="0" shapeId="0" xr:uid="{00000000-0006-0000-0400-00002E000000}">
      <text>
        <r>
          <rPr>
            <sz val="10"/>
            <color rgb="FF000000"/>
            <rFont val="Arial"/>
            <scheme val="minor"/>
          </rPr>
          <t>Nasratullah Danish finished the data collection late, therefore he stayed overnight at the clinic.
	-Tamim ismaty</t>
        </r>
      </text>
    </comment>
    <comment ref="AD86" authorId="0" shapeId="0" xr:uid="{00000000-0006-0000-0400-000023000000}">
      <text>
        <r>
          <rPr>
            <sz val="10"/>
            <color rgb="FF000000"/>
            <rFont val="Arial"/>
            <scheme val="minor"/>
          </rPr>
          <t>the team went to Dawlat Shah district in Karik clinic
	-Tamim ismaty</t>
        </r>
      </text>
    </comment>
    <comment ref="AI86" authorId="0" shapeId="0" xr:uid="{00000000-0006-0000-0400-000025000000}">
      <text>
        <r>
          <rPr>
            <sz val="10"/>
            <color rgb="FF000000"/>
            <rFont val="Arial"/>
            <scheme val="minor"/>
          </rPr>
          <t>Nasratullah Danish was on the way the went to Dawlat shah District Karik Clinic
	-Tamim ismaty</t>
        </r>
      </text>
    </comment>
    <comment ref="AN86" authorId="0" shapeId="0" xr:uid="{00000000-0006-0000-0400-000002000000}">
      <text>
        <r>
          <rPr>
            <sz val="10"/>
            <color rgb="FF000000"/>
            <rFont val="Arial"/>
            <scheme val="minor"/>
          </rPr>
          <t>Nasratullah Danish went to public health of Laghman he was processed Access letter for  HMIS and Patient  team
	-Tamim ismaty</t>
        </r>
      </text>
    </comment>
    <comment ref="O87" authorId="0" shapeId="0" xr:uid="{00000000-0006-0000-0400-000033000000}">
      <text>
        <r>
          <rPr>
            <sz val="10"/>
            <color rgb="FF000000"/>
            <rFont val="Arial"/>
            <scheme val="minor"/>
          </rPr>
          <t>First day of data collection
	-Tamim ismaty</t>
        </r>
      </text>
    </comment>
    <comment ref="R87" authorId="0" shapeId="0" xr:uid="{00000000-0006-0000-0400-00002D000000}">
      <text>
        <r>
          <rPr>
            <sz val="10"/>
            <color rgb="FF000000"/>
            <rFont val="Arial"/>
            <scheme val="minor"/>
          </rPr>
          <t>Morsal Tarakhil  finished the data collection late, therefore she stayed overnight at the clinic.
	-Tamim ismaty</t>
        </r>
      </text>
    </comment>
    <comment ref="AD87" authorId="0" shapeId="0" xr:uid="{00000000-0006-0000-0400-000022000000}">
      <text>
        <r>
          <rPr>
            <sz val="10"/>
            <color rgb="FF000000"/>
            <rFont val="Arial"/>
            <scheme val="minor"/>
          </rPr>
          <t>the team went to Dawlat Shah district in Karik clinic
	-Tamim ismaty</t>
        </r>
      </text>
    </comment>
    <comment ref="AI87" authorId="0" shapeId="0" xr:uid="{00000000-0006-0000-0400-000024000000}">
      <text>
        <r>
          <rPr>
            <sz val="10"/>
            <color rgb="FF000000"/>
            <rFont val="Arial"/>
            <scheme val="minor"/>
          </rPr>
          <t>Mursal Tarakhil  was on the way the went to Dawlat shah District Karik Clinic
	-Tamim ismaty</t>
        </r>
      </text>
    </comment>
    <comment ref="A91" authorId="0" shapeId="0" xr:uid="{00000000-0006-0000-0400-000007000000}">
      <text>
        <r>
          <rPr>
            <sz val="10"/>
            <color rgb="FF000000"/>
            <rFont val="Arial"/>
            <scheme val="minor"/>
          </rPr>
          <t>She replaced with Razia Noori based on Tamim Ismaty request.
	-farhad sahebi</t>
        </r>
      </text>
    </comment>
    <comment ref="AQ92" authorId="0" shapeId="0" xr:uid="{00000000-0006-0000-0400-000001000000}">
      <text>
        <r>
          <rPr>
            <sz val="10"/>
            <color rgb="FF000000"/>
            <rFont val="Arial"/>
            <scheme val="minor"/>
          </rPr>
          <t>Nasratullah Jamal went to Directorate of public health for Access letter therefor i counted  him one day working
	-Tamim ismaty</t>
        </r>
      </text>
    </comment>
    <comment ref="AC100" authorId="0" shapeId="0" xr:uid="{00000000-0006-0000-0400-000029000000}">
      <text>
        <r>
          <rPr>
            <sz val="10"/>
            <color rgb="FF000000"/>
            <rFont val="Arial"/>
            <scheme val="minor"/>
          </rPr>
          <t>Our colleague had done the interview, but had deleted all of it
	-Yuosuf Amiry</t>
        </r>
      </text>
    </comment>
    <comment ref="AK100" authorId="0" shapeId="0" xr:uid="{00000000-0006-0000-0400-00000D000000}">
      <text>
        <r>
          <rPr>
            <sz val="10"/>
            <color rgb="FF000000"/>
            <rFont val="Arial"/>
            <scheme val="minor"/>
          </rPr>
          <t>Our colleague went to the Public Health Department for process Authorization letter
	-Yuosuf Amiry</t>
        </r>
      </text>
    </comment>
    <comment ref="AC101" authorId="0" shapeId="0" xr:uid="{00000000-0006-0000-0400-000028000000}">
      <text>
        <r>
          <rPr>
            <sz val="10"/>
            <color rgb="FF000000"/>
            <rFont val="Arial"/>
            <scheme val="minor"/>
          </rPr>
          <t>Our colleague had done the interview, but had deleted all of it
	-Yuosuf Amiry</t>
        </r>
      </text>
    </comment>
    <comment ref="AK106" authorId="0" shapeId="0" xr:uid="{00000000-0006-0000-0400-00000E000000}">
      <text>
        <r>
          <rPr>
            <sz val="10"/>
            <color rgb="FF000000"/>
            <rFont val="Arial"/>
            <scheme val="minor"/>
          </rPr>
          <t>Our colleague went to the Public Health Department for process  Authorization letter
	-Yuosuf Amiry</t>
        </r>
      </text>
    </comment>
    <comment ref="O107" authorId="0" shapeId="0" xr:uid="{00000000-0006-0000-0400-000036000000}">
      <text>
        <r>
          <rPr>
            <sz val="10"/>
            <color rgb="FF000000"/>
            <rFont val="Arial"/>
            <scheme val="minor"/>
          </rPr>
          <t>Zubair Omer went to directorate of public health for Processing of   access letter ( Maktoob )
	-Tamim ismaty</t>
        </r>
      </text>
    </comment>
    <comment ref="Q107" authorId="0" shapeId="0" xr:uid="{00000000-0006-0000-0400-000035000000}">
      <text>
        <r>
          <rPr>
            <sz val="10"/>
            <color rgb="FF000000"/>
            <rFont val="Arial"/>
            <scheme val="minor"/>
          </rPr>
          <t>Zubair Omer payed 200 Af for transportation cast when he went to directorate of public health for maktoob processing
	-Tamim ismaty</t>
        </r>
      </text>
    </comment>
    <comment ref="A109" authorId="0" shapeId="0" xr:uid="{00000000-0006-0000-0400-000005000000}">
      <text>
        <r>
          <rPr>
            <sz val="10"/>
            <color rgb="FF000000"/>
            <rFont val="Arial"/>
            <scheme val="minor"/>
          </rPr>
          <t>She is replaced with Madina based on Tamim Ismaty request.
	-farhad sahebi</t>
        </r>
      </text>
    </comment>
    <comment ref="Y114" authorId="0" shapeId="0" xr:uid="{00000000-0006-0000-0400-00002C000000}">
      <text>
        <r>
          <rPr>
            <sz val="10"/>
            <color rgb="FF000000"/>
            <rFont val="Arial"/>
            <scheme val="minor"/>
          </rPr>
          <t>Our colleague has gone to the Public Health Department to process the documents.
	-Yuosuf Amiry</t>
        </r>
      </text>
    </comment>
    <comment ref="AH114" authorId="0" shapeId="0" xr:uid="{00000000-0006-0000-0400-000027000000}">
      <text>
        <r>
          <rPr>
            <sz val="10"/>
            <color rgb="FF000000"/>
            <rFont val="Arial"/>
            <scheme val="minor"/>
          </rPr>
          <t>Our colleagues have processed the data, but since it’s too large, it hasn’t been sent yet
	-Yuosuf Amiry</t>
        </r>
      </text>
    </comment>
    <comment ref="AH115" authorId="0" shapeId="0" xr:uid="{00000000-0006-0000-0400-000026000000}">
      <text>
        <r>
          <rPr>
            <sz val="10"/>
            <color rgb="FF000000"/>
            <rFont val="Arial"/>
            <scheme val="minor"/>
          </rPr>
          <t>Our colleagues have processed the data, but since it’s too large, it hasn’t been sent yet
	-Yuosuf Amiry</t>
        </r>
      </text>
    </comment>
    <comment ref="AN127" authorId="0" shapeId="0" xr:uid="{00000000-0006-0000-0400-000004000000}">
      <text>
        <r>
          <rPr>
            <sz val="10"/>
            <color rgb="FF000000"/>
            <rFont val="Arial"/>
            <scheme val="minor"/>
          </rPr>
          <t>Our colleague went to the partner organization for Authorization letter
	-Yuosuf Amiry</t>
        </r>
      </text>
    </comment>
    <comment ref="O135" authorId="0" shapeId="0" xr:uid="{00000000-0006-0000-0400-000031000000}">
      <text>
        <r>
          <rPr>
            <sz val="10"/>
            <color rgb="FF000000"/>
            <rFont val="Arial"/>
            <scheme val="minor"/>
          </rPr>
          <t>They had gone to this directorate for the processing of the letter, as it was requested.
	-Saif Sayar</t>
        </r>
      </text>
    </comment>
    <comment ref="Y135" authorId="0" shapeId="0" xr:uid="{00000000-0006-0000-0400-000013000000}">
      <text>
        <r>
          <rPr>
            <sz val="10"/>
            <color rgb="FF000000"/>
            <rFont val="Arial"/>
            <scheme val="minor"/>
          </rPr>
          <t>The colleagues successfully processed the letter on this day.
	-Saif Sayar</t>
        </r>
      </text>
    </comment>
    <comment ref="O136" authorId="0" shapeId="0" xr:uid="{00000000-0006-0000-0400-000032000000}">
      <text>
        <r>
          <rPr>
            <sz val="10"/>
            <color rgb="FF000000"/>
            <rFont val="Arial"/>
            <scheme val="minor"/>
          </rPr>
          <t>They had gone to this directorate for the processing of the letter, as it was requested.
	-Saif Sayar</t>
        </r>
      </text>
    </comment>
    <comment ref="Y136" authorId="0" shapeId="0" xr:uid="{00000000-0006-0000-0400-000012000000}">
      <text>
        <r>
          <rPr>
            <sz val="10"/>
            <color rgb="FF000000"/>
            <rFont val="Arial"/>
            <scheme val="minor"/>
          </rPr>
          <t>The colleagues successfully processed the letter on this day.
	-Saif Sayar</t>
        </r>
      </text>
    </comment>
    <comment ref="AI137" authorId="0" shapeId="0" xr:uid="{00000000-0006-0000-0400-000018000000}">
      <text>
        <r>
          <rPr>
            <sz val="10"/>
            <color rgb="FF000000"/>
            <rFont val="Arial"/>
            <scheme val="minor"/>
          </rPr>
          <t>The staff were requested to report to the Provincial Public Health Directorate by the Director of Public Health.
	-Saif Sayar</t>
        </r>
      </text>
    </comment>
    <comment ref="AI138" authorId="0" shapeId="0" xr:uid="{00000000-0006-0000-0400-000017000000}">
      <text>
        <r>
          <rPr>
            <sz val="10"/>
            <color rgb="FF000000"/>
            <rFont val="Arial"/>
            <scheme val="minor"/>
          </rPr>
          <t>The staff were requested to report to the Provincial Public Health Directorate by the Director of Public Health.
	-Saif Sayar</t>
        </r>
      </text>
    </comment>
    <comment ref="AI139" authorId="0" shapeId="0" xr:uid="{00000000-0006-0000-0400-000016000000}">
      <text>
        <r>
          <rPr>
            <sz val="10"/>
            <color rgb="FF000000"/>
            <rFont val="Arial"/>
            <scheme val="minor"/>
          </rPr>
          <t>The staff were requested to report to the Provincial Public Health Directorate by the Director of Public Health.
	-Saif Sayar</t>
        </r>
      </text>
    </comment>
    <comment ref="AI140" authorId="0" shapeId="0" xr:uid="{00000000-0006-0000-0400-000015000000}">
      <text>
        <r>
          <rPr>
            <sz val="10"/>
            <color rgb="FF000000"/>
            <rFont val="Arial"/>
            <scheme val="minor"/>
          </rPr>
          <t>The staff were requested to report to the Provincial Public Health Directorate by the Director of Public Health.
	-Saif Sayar</t>
        </r>
      </text>
    </comment>
    <comment ref="AE141" authorId="0" shapeId="0" xr:uid="{00000000-0006-0000-0400-00000F000000}">
      <text>
        <r>
          <rPr>
            <sz val="10"/>
            <color rgb="FF000000"/>
            <rFont val="Arial"/>
            <scheme val="minor"/>
          </rPr>
          <t>همکار ما به خاطز پروسس مکتوب این ریاست رفته بود اما ریاست صحت عامه تمام همکارها را خواسته بود.
	-Saif Sayar</t>
        </r>
      </text>
    </comment>
    <comment ref="AI141" authorId="0" shapeId="0" xr:uid="{00000000-0006-0000-0400-000014000000}">
      <text>
        <r>
          <rPr>
            <sz val="10"/>
            <color rgb="FF000000"/>
            <rFont val="Arial"/>
            <scheme val="minor"/>
          </rPr>
          <t>The staff were requested to report to the Provincial Public Health Directorate by the Director of Public Health.
	-Saif Sayar</t>
        </r>
      </text>
    </comment>
    <comment ref="AN204" authorId="0" shapeId="0" xr:uid="{00000000-0006-0000-0400-000003000000}">
      <text>
        <r>
          <rPr>
            <sz val="10"/>
            <color rgb="FF000000"/>
            <rFont val="Arial"/>
            <scheme val="minor"/>
          </rPr>
          <t>Our colleague went to the partner organization for Authorization letter
	-Yuosuf Amiry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H21" authorId="0" shapeId="0" xr:uid="{00000000-0006-0000-0A00-000002000000}">
      <text>
        <r>
          <rPr>
            <sz val="10"/>
            <color rgb="FF000000"/>
            <rFont val="Arial"/>
            <scheme val="minor"/>
          </rPr>
          <t>Access Letter was processed but the Director of public health keep the access letter with himself. He said when we started the Data collection, he would return the letter back to us.
	-Tamim ismaty</t>
        </r>
      </text>
    </comment>
    <comment ref="I21" authorId="0" shapeId="0" xr:uid="{00000000-0006-0000-0A00-000003000000}">
      <text>
        <r>
          <rPr>
            <sz val="10"/>
            <color rgb="FF000000"/>
            <rFont val="Arial"/>
            <scheme val="minor"/>
          </rPr>
          <t>Access Letter was processed  but the Directorate of public health keep the access letter with  himself. He said when we started the Data collection, he would return the letter back to us.
	-Tamim ismaty</t>
        </r>
      </text>
    </comment>
    <comment ref="H22" authorId="0" shapeId="0" xr:uid="{00000000-0006-0000-0A00-000001000000}">
      <text>
        <r>
          <rPr>
            <sz val="10"/>
            <color rgb="FF000000"/>
            <rFont val="Arial"/>
            <scheme val="minor"/>
          </rPr>
          <t>Access Letter for HMIS team processed
	-Tamim ismaty</t>
        </r>
      </text>
    </comment>
    <comment ref="H26" authorId="0" shapeId="0" xr:uid="{00000000-0006-0000-0A00-000004000000}">
      <text>
        <r>
          <rPr>
            <sz val="10"/>
            <color rgb="FF000000"/>
            <rFont val="Arial"/>
            <scheme val="minor"/>
          </rPr>
          <t>Our FRs are going to coordinate with the Director of Health today.
	-Suhrab Sedeqi</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H122" authorId="0" shapeId="0" xr:uid="{00000000-0006-0000-0B00-000001000000}">
      <text>
        <r>
          <rPr>
            <sz val="10"/>
            <color rgb="FF000000"/>
            <rFont val="Arial"/>
            <scheme val="minor"/>
          </rPr>
          <t>0773351936
This number belongs to Asma's Husbend
	-Suhrab Sedeqi</t>
        </r>
      </text>
    </comment>
  </commentList>
</comments>
</file>

<file path=xl/sharedStrings.xml><?xml version="1.0" encoding="utf-8"?>
<sst xmlns="http://schemas.openxmlformats.org/spreadsheetml/2006/main" count="4488" uniqueCount="1119">
  <si>
    <t xml:space="preserve">    Dashboard </t>
  </si>
  <si>
    <t>Received</t>
  </si>
  <si>
    <t>Approved</t>
  </si>
  <si>
    <t>Rejected</t>
  </si>
  <si>
    <t>Remaining</t>
  </si>
  <si>
    <t>Forms that are completed!</t>
  </si>
  <si>
    <t>Forms that are approved!</t>
  </si>
  <si>
    <t>Forms that are rejected!</t>
  </si>
  <si>
    <t>Forms that are remaining!</t>
  </si>
  <si>
    <t>Target</t>
  </si>
  <si>
    <t>Percentage:</t>
  </si>
  <si>
    <t xml:space="preserve">     Province-wise Data</t>
  </si>
  <si>
    <t>Province</t>
  </si>
  <si>
    <t>Total Target</t>
  </si>
  <si>
    <t>Tota Received</t>
  </si>
  <si>
    <t>Tota Approved</t>
  </si>
  <si>
    <t>Total Rejected</t>
  </si>
  <si>
    <t>Total Remaining</t>
  </si>
  <si>
    <t>Visited HF</t>
  </si>
  <si>
    <t>Progress Indicator</t>
  </si>
  <si>
    <t>Paktika</t>
  </si>
  <si>
    <t>Nangarhar</t>
  </si>
  <si>
    <t>Laghman</t>
  </si>
  <si>
    <t>Panjsher</t>
  </si>
  <si>
    <t>Sar-e-Pul</t>
  </si>
  <si>
    <t>Takhar</t>
  </si>
  <si>
    <t>Kunar</t>
  </si>
  <si>
    <t>Badakhshan</t>
  </si>
  <si>
    <t>Khost</t>
  </si>
  <si>
    <t>Parwan</t>
  </si>
  <si>
    <t>Bamyan</t>
  </si>
  <si>
    <t>Samangan</t>
  </si>
  <si>
    <t>Logar</t>
  </si>
  <si>
    <t>Paktya</t>
  </si>
  <si>
    <t>Kunduz</t>
  </si>
  <si>
    <t>Ghazni</t>
  </si>
  <si>
    <t xml:space="preserve">     Tool-wise Summary</t>
  </si>
  <si>
    <t>QQC</t>
  </si>
  <si>
    <t>HF Level Data Verification</t>
  </si>
  <si>
    <t>Vignette</t>
  </si>
  <si>
    <t>Data Collection Progress Sheet</t>
  </si>
  <si>
    <t>Male&lt;&lt;</t>
  </si>
  <si>
    <t>QQC (Structural Indicators)</t>
  </si>
  <si>
    <t>&gt;&gt;Female</t>
  </si>
  <si>
    <t>Vignette [1:4]</t>
  </si>
  <si>
    <t>Vignette [5:10]</t>
  </si>
  <si>
    <t>Vignette [Exit Interview]</t>
  </si>
  <si>
    <t>Total Data Tracking</t>
  </si>
  <si>
    <t xml:space="preserve">Data Collection Progress by Tool Type _ Received </t>
  </si>
  <si>
    <t>Data Collection Progress by Tool Type _ Approved</t>
  </si>
  <si>
    <t>Final Status</t>
  </si>
  <si>
    <t>District</t>
  </si>
  <si>
    <t>HF Type</t>
  </si>
  <si>
    <t>HF Name</t>
  </si>
  <si>
    <t>DC Status</t>
  </si>
  <si>
    <t>DC Start Date</t>
  </si>
  <si>
    <t>DC End Date</t>
  </si>
  <si>
    <t xml:space="preserve">Received </t>
  </si>
  <si>
    <t>Approved &gt;&gt;</t>
  </si>
  <si>
    <t>1. General Management</t>
  </si>
  <si>
    <t>3. Curative Consultation (OPD)</t>
  </si>
  <si>
    <t>5. Laboratory</t>
  </si>
  <si>
    <t>6. Essential Medicine Management</t>
  </si>
  <si>
    <t>7. Tracer Medicine</t>
  </si>
  <si>
    <t>11. Additional Questions</t>
  </si>
  <si>
    <t>Approved&gt;&gt;</t>
  </si>
  <si>
    <t>8. Maternity</t>
  </si>
  <si>
    <t>9. EPI and Pre-school Consultation</t>
  </si>
  <si>
    <t>10. Antenatal Care (ANC)</t>
  </si>
  <si>
    <t>2. Hygiene and Sterilization</t>
  </si>
  <si>
    <t>4. Family Planning</t>
  </si>
  <si>
    <t>Medicine (section 2)</t>
  </si>
  <si>
    <t>Lab Testing Availability</t>
  </si>
  <si>
    <t>Other than P4P (section 6)</t>
  </si>
  <si>
    <t>Hospital Governance</t>
  </si>
  <si>
    <t>Personnel (section 1)</t>
  </si>
  <si>
    <t>Consumable (section 3)</t>
  </si>
  <si>
    <t>Equipments (section 4)</t>
  </si>
  <si>
    <t xml:space="preserve">Vignette [1] </t>
  </si>
  <si>
    <t xml:space="preserve">Vignette [2] </t>
  </si>
  <si>
    <t xml:space="preserve">Vignette [3] </t>
  </si>
  <si>
    <t xml:space="preserve">Vignette [4] </t>
  </si>
  <si>
    <t xml:space="preserve">Vignette [5] </t>
  </si>
  <si>
    <t xml:space="preserve">Vignette [6] </t>
  </si>
  <si>
    <t xml:space="preserve">Vignette [7] </t>
  </si>
  <si>
    <t xml:space="preserve">Vignette [8] </t>
  </si>
  <si>
    <t xml:space="preserve">Vignette [9] </t>
  </si>
  <si>
    <t xml:space="preserve">Vignette [10] </t>
  </si>
  <si>
    <t>[Exit Interview 1]</t>
  </si>
  <si>
    <t>[Exit Interview 2]</t>
  </si>
  <si>
    <t>Remarks</t>
  </si>
  <si>
    <t>Completed</t>
  </si>
  <si>
    <t>Novumber 1,2025</t>
  </si>
  <si>
    <t>Not Completed</t>
  </si>
  <si>
    <t>Nuvember 1,2025</t>
  </si>
  <si>
    <t>Planned</t>
  </si>
  <si>
    <t>Novumber 3,2025</t>
  </si>
  <si>
    <t>Nomember 3, 2025</t>
  </si>
  <si>
    <t>Nomember 2,2025</t>
  </si>
  <si>
    <t>Nomember 3,2025</t>
  </si>
  <si>
    <t>Female&lt;&lt;</t>
  </si>
  <si>
    <t>HMIS Verification</t>
  </si>
  <si>
    <t>&gt;&gt;Male</t>
  </si>
  <si>
    <t xml:space="preserve">                                                        Human Resources from FV Forms</t>
  </si>
  <si>
    <t>QoC</t>
  </si>
  <si>
    <t xml:space="preserve">Total Received </t>
  </si>
  <si>
    <t>ANC _ Target</t>
  </si>
  <si>
    <t>ANC _ Received</t>
  </si>
  <si>
    <t>PNC _ Target</t>
  </si>
  <si>
    <t>PNC _ Received</t>
  </si>
  <si>
    <t>Delivery _ Target</t>
  </si>
  <si>
    <t>Delivery _ Received</t>
  </si>
  <si>
    <t>TT+ _ Target</t>
  </si>
  <si>
    <t>TT+ _ Received</t>
  </si>
  <si>
    <t>Growth monitoring _ Target</t>
  </si>
  <si>
    <t>Growth monitoring _ Received</t>
  </si>
  <si>
    <t>Pentavalent _ Target</t>
  </si>
  <si>
    <t>Pentavalent _ Received</t>
  </si>
  <si>
    <t>TB smear+ _ Target</t>
  </si>
  <si>
    <t>TB smear+ _ Received</t>
  </si>
  <si>
    <t>Under 5 _ Target</t>
  </si>
  <si>
    <t>Under 5 _ Received</t>
  </si>
  <si>
    <t>C-section _ Target</t>
  </si>
  <si>
    <t>C-section _ Received</t>
  </si>
  <si>
    <t>SHC</t>
  </si>
  <si>
    <t>Balkh</t>
  </si>
  <si>
    <t>BHC</t>
  </si>
  <si>
    <t>CHC</t>
  </si>
  <si>
    <t>DH</t>
  </si>
  <si>
    <t>Baghlan</t>
  </si>
  <si>
    <t>PH</t>
  </si>
  <si>
    <t>RH</t>
  </si>
  <si>
    <t>Faryab</t>
  </si>
  <si>
    <t>Jawzjan</t>
  </si>
  <si>
    <t>Kabul</t>
  </si>
  <si>
    <t>Kapisa</t>
  </si>
  <si>
    <t>Nooristan</t>
  </si>
  <si>
    <t>Wardak</t>
  </si>
  <si>
    <t>ID</t>
  </si>
  <si>
    <t xml:space="preserve"> Name</t>
  </si>
  <si>
    <t>Last Name</t>
  </si>
  <si>
    <t>Gender</t>
  </si>
  <si>
    <t>Total_Received_Data</t>
  </si>
  <si>
    <t>Total Working Days</t>
  </si>
  <si>
    <t>Total Transportation Cost</t>
  </si>
  <si>
    <t>Total Perdium</t>
  </si>
  <si>
    <t>Transportation</t>
  </si>
  <si>
    <t>Perdeim</t>
  </si>
  <si>
    <t># of_Received_Data</t>
  </si>
  <si>
    <t>FR4396</t>
  </si>
  <si>
    <t>Abdul Baqi</t>
  </si>
  <si>
    <t>Bahawand</t>
  </si>
  <si>
    <t>Male</t>
  </si>
  <si>
    <t>Public Health Dep</t>
  </si>
  <si>
    <t>Kaman Yaran SC (4266)</t>
  </si>
  <si>
    <t>FR2656</t>
  </si>
  <si>
    <t>Rahila</t>
  </si>
  <si>
    <t>Danish</t>
  </si>
  <si>
    <t>Female</t>
  </si>
  <si>
    <t>FR3643</t>
  </si>
  <si>
    <t>Hafsa</t>
  </si>
  <si>
    <t>Ghafoori</t>
  </si>
  <si>
    <t>FR3836</t>
  </si>
  <si>
    <t>Mina Gul</t>
  </si>
  <si>
    <t>Kaligyar</t>
  </si>
  <si>
    <t>FR3837</t>
  </si>
  <si>
    <t>Qamar Banat</t>
  </si>
  <si>
    <t>Rezayee</t>
  </si>
  <si>
    <t>FR4463</t>
  </si>
  <si>
    <t>Malina</t>
  </si>
  <si>
    <t>Yasinzada</t>
  </si>
  <si>
    <t>FR4725</t>
  </si>
  <si>
    <t>Sunatullah</t>
  </si>
  <si>
    <t>N/A</t>
  </si>
  <si>
    <t>FR2770</t>
  </si>
  <si>
    <t>Mohmmad Amin</t>
  </si>
  <si>
    <t>Joya</t>
  </si>
  <si>
    <t>Khowaja Rasoolzay SC (3252)</t>
  </si>
  <si>
    <t>FR0680</t>
  </si>
  <si>
    <t>Sharifa</t>
  </si>
  <si>
    <t>Amani</t>
  </si>
  <si>
    <t>FR0145</t>
  </si>
  <si>
    <t>Gulalai</t>
  </si>
  <si>
    <t>Sorosh</t>
  </si>
  <si>
    <t>FR3084</t>
  </si>
  <si>
    <t>Delaram</t>
  </si>
  <si>
    <t>Mirzad</t>
  </si>
  <si>
    <t>FR3641</t>
  </si>
  <si>
    <t>Zakera</t>
  </si>
  <si>
    <t>Habizada</t>
  </si>
  <si>
    <t>FR4260</t>
  </si>
  <si>
    <t>Najila</t>
  </si>
  <si>
    <t>Hashumi</t>
  </si>
  <si>
    <t>FR3823</t>
  </si>
  <si>
    <t>Ahmad Fawad</t>
  </si>
  <si>
    <t>FR3997</t>
  </si>
  <si>
    <t>Emal</t>
  </si>
  <si>
    <t>Rahimi</t>
  </si>
  <si>
    <t>FR3846</t>
  </si>
  <si>
    <t>Jahantab</t>
  </si>
  <si>
    <t>Mohammadi</t>
  </si>
  <si>
    <t>FR1128</t>
  </si>
  <si>
    <t>Mozhgan</t>
  </si>
  <si>
    <t>Ahmadi</t>
  </si>
  <si>
    <t>FR2212</t>
  </si>
  <si>
    <t>Yasamin</t>
  </si>
  <si>
    <t>FR3845</t>
  </si>
  <si>
    <t>Farzana</t>
  </si>
  <si>
    <t>Khaliqyar</t>
  </si>
  <si>
    <t>FR4264</t>
  </si>
  <si>
    <t>Khalida</t>
  </si>
  <si>
    <t>Hasumi</t>
  </si>
  <si>
    <t>FR1276</t>
  </si>
  <si>
    <t>Sayed Tahir</t>
  </si>
  <si>
    <t>Sadat</t>
  </si>
  <si>
    <t>FR3847</t>
  </si>
  <si>
    <t>Muslim</t>
  </si>
  <si>
    <t>Ebraheemi</t>
  </si>
  <si>
    <t>Public Health</t>
  </si>
  <si>
    <t>Orgash SC (4349)</t>
  </si>
  <si>
    <t>FR2628</t>
  </si>
  <si>
    <t>Tahira</t>
  </si>
  <si>
    <t>Akbari</t>
  </si>
  <si>
    <t>FR0075</t>
  </si>
  <si>
    <t>Gul Bahar</t>
  </si>
  <si>
    <t>Hussaini</t>
  </si>
  <si>
    <t>FR0183</t>
  </si>
  <si>
    <t>Hawa</t>
  </si>
  <si>
    <t>Khaliqi</t>
  </si>
  <si>
    <t>FR3848</t>
  </si>
  <si>
    <t>Shaima</t>
  </si>
  <si>
    <t>Qambari</t>
  </si>
  <si>
    <t>FR4705</t>
  </si>
  <si>
    <t>Fatima</t>
  </si>
  <si>
    <t>Husaini</t>
  </si>
  <si>
    <t>FR4719</t>
  </si>
  <si>
    <t>Sadeq</t>
  </si>
  <si>
    <t>Sadeqi</t>
  </si>
  <si>
    <t>FR3984</t>
  </si>
  <si>
    <t>Sayed Yosuf</t>
  </si>
  <si>
    <t>Hashimi</t>
  </si>
  <si>
    <t>Letter Process</t>
  </si>
  <si>
    <t>FR3859</t>
  </si>
  <si>
    <t>Zaifa</t>
  </si>
  <si>
    <t>Nikzad</t>
  </si>
  <si>
    <t>FR2488</t>
  </si>
  <si>
    <t>Ay jahan</t>
  </si>
  <si>
    <t>Shayeq</t>
  </si>
  <si>
    <t>FR2481</t>
  </si>
  <si>
    <t>Nooria</t>
  </si>
  <si>
    <t>FR2635</t>
  </si>
  <si>
    <t>Anisa</t>
  </si>
  <si>
    <t>FR4265</t>
  </si>
  <si>
    <t>Hassina</t>
  </si>
  <si>
    <t>Jamshidi</t>
  </si>
  <si>
    <t>FR1206</t>
  </si>
  <si>
    <t>sayed naser sirat</t>
  </si>
  <si>
    <t>Sirat Ibrahimi</t>
  </si>
  <si>
    <t>FR3985</t>
  </si>
  <si>
    <t>Nasrullah</t>
  </si>
  <si>
    <t>Mobashir</t>
  </si>
  <si>
    <t xml:space="preserve">Health Public </t>
  </si>
  <si>
    <t>Shaheed Abdul Hakim Maisam SC</t>
  </si>
  <si>
    <t>FR3863</t>
  </si>
  <si>
    <t>Setara</t>
  </si>
  <si>
    <t>Azim</t>
  </si>
  <si>
    <t>FR0649</t>
  </si>
  <si>
    <t>Gul Chaman</t>
  </si>
  <si>
    <t>Khorami</t>
  </si>
  <si>
    <t>FR3860</t>
  </si>
  <si>
    <t>Freshta</t>
  </si>
  <si>
    <t>Noor</t>
  </si>
  <si>
    <t>FR4389</t>
  </si>
  <si>
    <t>Muhaiya</t>
  </si>
  <si>
    <t>Habibi</t>
  </si>
  <si>
    <t>FR4723</t>
  </si>
  <si>
    <t>Sosan</t>
  </si>
  <si>
    <t>FR3341</t>
  </si>
  <si>
    <t>Ali Mohammad</t>
  </si>
  <si>
    <t>Madani</t>
  </si>
  <si>
    <t>FR3998</t>
  </si>
  <si>
    <t>Suliman</t>
  </si>
  <si>
    <t>Hajizada</t>
  </si>
  <si>
    <t>Jowzjan</t>
  </si>
  <si>
    <t>Mangoti SC</t>
  </si>
  <si>
    <t>FR3127</t>
  </si>
  <si>
    <t>Rona</t>
  </si>
  <si>
    <t>Turk</t>
  </si>
  <si>
    <t>FR1074</t>
  </si>
  <si>
    <t>Latifa</t>
  </si>
  <si>
    <t>FR1216</t>
  </si>
  <si>
    <t>Homa</t>
  </si>
  <si>
    <t>Sayed zada</t>
  </si>
  <si>
    <t>FR2778</t>
  </si>
  <si>
    <t>Sharmila</t>
  </si>
  <si>
    <t>FR3870</t>
  </si>
  <si>
    <t>Roqia</t>
  </si>
  <si>
    <t>Danmas</t>
  </si>
  <si>
    <t>FR4713</t>
  </si>
  <si>
    <t>Hashmatullah</t>
  </si>
  <si>
    <t>FR4731</t>
  </si>
  <si>
    <t>Madina</t>
  </si>
  <si>
    <t>FR3999</t>
  </si>
  <si>
    <t>Mohammad Fahim</t>
  </si>
  <si>
    <t>Ebrahimi</t>
  </si>
  <si>
    <t>FR1572</t>
  </si>
  <si>
    <t>Sabeta</t>
  </si>
  <si>
    <t>Rasooli</t>
  </si>
  <si>
    <t>FR2731</t>
  </si>
  <si>
    <t>Razia</t>
  </si>
  <si>
    <t>FR2907</t>
  </si>
  <si>
    <t>Hamida</t>
  </si>
  <si>
    <t>Karimyaan</t>
  </si>
  <si>
    <t>FR4717</t>
  </si>
  <si>
    <t>Ravina</t>
  </si>
  <si>
    <t>Babakar Khil</t>
  </si>
  <si>
    <t>FR4712</t>
  </si>
  <si>
    <t>Qudratullah</t>
  </si>
  <si>
    <t>Irshad</t>
  </si>
  <si>
    <t>FR4005</t>
  </si>
  <si>
    <t>Abdul Saboor</t>
  </si>
  <si>
    <t>Mujadidi</t>
  </si>
  <si>
    <t>FR1695</t>
  </si>
  <si>
    <t>Tooba</t>
  </si>
  <si>
    <t>Rahil</t>
  </si>
  <si>
    <t>FR4067</t>
  </si>
  <si>
    <t>Shaheza</t>
  </si>
  <si>
    <t>Amini</t>
  </si>
  <si>
    <t>FR4131</t>
  </si>
  <si>
    <t>Rohanya</t>
  </si>
  <si>
    <t>Sharifi</t>
  </si>
  <si>
    <t>FR4728</t>
  </si>
  <si>
    <t>Zahiba</t>
  </si>
  <si>
    <t>Nazari</t>
  </si>
  <si>
    <t>FR4704</t>
  </si>
  <si>
    <t>Maryam</t>
  </si>
  <si>
    <t>Orfanyar</t>
  </si>
  <si>
    <t>FR1877</t>
  </si>
  <si>
    <t>Ahamadzai</t>
  </si>
  <si>
    <t>Khaire</t>
  </si>
  <si>
    <t>FR4008</t>
  </si>
  <si>
    <t>Salim Khan</t>
  </si>
  <si>
    <t>Sadat Khan</t>
  </si>
  <si>
    <t>Tanay Hesarak  SC(4396)</t>
  </si>
  <si>
    <t>FR4136</t>
  </si>
  <si>
    <t>Raqema</t>
  </si>
  <si>
    <t>Hutak</t>
  </si>
  <si>
    <t>FR0550</t>
  </si>
  <si>
    <t>Amina</t>
  </si>
  <si>
    <t>FR1833</t>
  </si>
  <si>
    <t>Noorzia</t>
  </si>
  <si>
    <t>Atal</t>
  </si>
  <si>
    <t>FR3669</t>
  </si>
  <si>
    <t>Bibi Amina</t>
  </si>
  <si>
    <t>Ismailzai</t>
  </si>
  <si>
    <t>FR3882</t>
  </si>
  <si>
    <t>Farida</t>
  </si>
  <si>
    <t>Samim</t>
  </si>
  <si>
    <t>FR3883</t>
  </si>
  <si>
    <t>Akbar khan</t>
  </si>
  <si>
    <t>Qurban</t>
  </si>
  <si>
    <t>FR4582</t>
  </si>
  <si>
    <t>Said Mahboob</t>
  </si>
  <si>
    <t>Esmat zai</t>
  </si>
  <si>
    <t xml:space="preserve">Public Health </t>
  </si>
  <si>
    <t>o</t>
  </si>
  <si>
    <t>Shanger</t>
  </si>
  <si>
    <t>FR4010</t>
  </si>
  <si>
    <t>Zainab</t>
  </si>
  <si>
    <t>Fazli</t>
  </si>
  <si>
    <t>FR1989</t>
  </si>
  <si>
    <t>Salarzai</t>
  </si>
  <si>
    <t>FR3250</t>
  </si>
  <si>
    <t>Syamoi</t>
  </si>
  <si>
    <t>Alemi</t>
  </si>
  <si>
    <t>FR3885</t>
  </si>
  <si>
    <t>Momina</t>
  </si>
  <si>
    <t>FR4702</t>
  </si>
  <si>
    <t>Khadija</t>
  </si>
  <si>
    <t>FR2567</t>
  </si>
  <si>
    <t>Aminulhaq</t>
  </si>
  <si>
    <t>Noori</t>
  </si>
  <si>
    <t>FR3611</t>
  </si>
  <si>
    <t>Din Mohammad</t>
  </si>
  <si>
    <t>Alam</t>
  </si>
  <si>
    <t>Jar Guzar SHC (2647)</t>
  </si>
  <si>
    <t>FR4695</t>
  </si>
  <si>
    <t>Sewita</t>
  </si>
  <si>
    <t>Karimi</t>
  </si>
  <si>
    <t>FR4714</t>
  </si>
  <si>
    <t>FR4703</t>
  </si>
  <si>
    <t>Azizi</t>
  </si>
  <si>
    <t>FR4711</t>
  </si>
  <si>
    <t>Sofi</t>
  </si>
  <si>
    <t>FR4715</t>
  </si>
  <si>
    <t>Nilab</t>
  </si>
  <si>
    <t>Sultani</t>
  </si>
  <si>
    <t>FR3888</t>
  </si>
  <si>
    <t>Mohammad kabir</t>
  </si>
  <si>
    <t>zarif</t>
  </si>
  <si>
    <t>FR4015</t>
  </si>
  <si>
    <t>Nasratullah</t>
  </si>
  <si>
    <t>Saw Cinic</t>
  </si>
  <si>
    <t>Saw Clinic</t>
  </si>
  <si>
    <t xml:space="preserve">Karik Clinic </t>
  </si>
  <si>
    <t xml:space="preserve">Directorate Public Health </t>
  </si>
  <si>
    <t>FR4696</t>
  </si>
  <si>
    <t>Mursal</t>
  </si>
  <si>
    <t>Tarakhil</t>
  </si>
  <si>
    <t>FR0641</t>
  </si>
  <si>
    <t>Fowzia</t>
  </si>
  <si>
    <t>FR1611</t>
  </si>
  <si>
    <t>Shafiqa</t>
  </si>
  <si>
    <t>Omid</t>
  </si>
  <si>
    <t>FR1998</t>
  </si>
  <si>
    <t>Spogmai</t>
  </si>
  <si>
    <t>FR4760</t>
  </si>
  <si>
    <t>Qadre Gul</t>
  </si>
  <si>
    <t>Alokozay</t>
  </si>
  <si>
    <t>FR4709</t>
  </si>
  <si>
    <t>Nasrat Jamal</t>
  </si>
  <si>
    <t>Waisam</t>
  </si>
  <si>
    <t>FR4019</t>
  </si>
  <si>
    <t>Muhammad Qais</t>
  </si>
  <si>
    <t>Shahzada</t>
  </si>
  <si>
    <t>Qala-e-Sadat Clinic</t>
  </si>
  <si>
    <t>FR3681</t>
  </si>
  <si>
    <t>Shagofa</t>
  </si>
  <si>
    <t>FR0366</t>
  </si>
  <si>
    <t>FR2718</t>
  </si>
  <si>
    <t>Deeba</t>
  </si>
  <si>
    <t>Hashami</t>
  </si>
  <si>
    <t>FR2724</t>
  </si>
  <si>
    <t>Ma Gul</t>
  </si>
  <si>
    <t>Fatrat</t>
  </si>
  <si>
    <t>FR4721</t>
  </si>
  <si>
    <t>Shogofa</t>
  </si>
  <si>
    <t>FR4020</t>
  </si>
  <si>
    <t>Mohammad Mansoor</t>
  </si>
  <si>
    <t>Omari</t>
  </si>
  <si>
    <t>FR2579</t>
  </si>
  <si>
    <t>Ahmad Sear</t>
  </si>
  <si>
    <t>Malikzai</t>
  </si>
  <si>
    <t>Kama Deh Ghazi SC (3780)</t>
  </si>
  <si>
    <t>Kama Gerdab SC (3781)</t>
  </si>
  <si>
    <t>FR0220</t>
  </si>
  <si>
    <t>Raihana</t>
  </si>
  <si>
    <t>Sediqi</t>
  </si>
  <si>
    <t>FR0329</t>
  </si>
  <si>
    <t>Saima</t>
  </si>
  <si>
    <t>Omerzai</t>
  </si>
  <si>
    <t>FR1845</t>
  </si>
  <si>
    <t>Nida</t>
  </si>
  <si>
    <t>FR2736</t>
  </si>
  <si>
    <t>Shabana</t>
  </si>
  <si>
    <t>Hussainkhil</t>
  </si>
  <si>
    <t>FR4034</t>
  </si>
  <si>
    <t>Zakira</t>
  </si>
  <si>
    <t>FR0869</t>
  </si>
  <si>
    <t>Rahmatullah</t>
  </si>
  <si>
    <t>FR4026</t>
  </si>
  <si>
    <t>Zubair</t>
  </si>
  <si>
    <t>Omar</t>
  </si>
  <si>
    <t>Nuristan</t>
  </si>
  <si>
    <t>FR2723</t>
  </si>
  <si>
    <t>Zakiah</t>
  </si>
  <si>
    <t>FR4617</t>
  </si>
  <si>
    <t>Bibi Fariha</t>
  </si>
  <si>
    <t>Zahedi</t>
  </si>
  <si>
    <t>FR4701</t>
  </si>
  <si>
    <t>Asya</t>
  </si>
  <si>
    <t>Silsila</t>
  </si>
  <si>
    <t>FR4706</t>
  </si>
  <si>
    <t>Monira</t>
  </si>
  <si>
    <t>FR4726</t>
  </si>
  <si>
    <t>FR4727</t>
  </si>
  <si>
    <t>Wahedullah</t>
  </si>
  <si>
    <t>Ashna</t>
  </si>
  <si>
    <t>FR3900</t>
  </si>
  <si>
    <t>Younus</t>
  </si>
  <si>
    <t>Elham</t>
  </si>
  <si>
    <t>Paktia</t>
  </si>
  <si>
    <t>Surkai Malang Clinic</t>
  </si>
  <si>
    <t>FR4031</t>
  </si>
  <si>
    <t>FR0293</t>
  </si>
  <si>
    <t>Basmina</t>
  </si>
  <si>
    <t>Zazai</t>
  </si>
  <si>
    <t>FR0475</t>
  </si>
  <si>
    <t>Farooqa</t>
  </si>
  <si>
    <t>FR3334</t>
  </si>
  <si>
    <t>Abida</t>
  </si>
  <si>
    <t>FR3331</t>
  </si>
  <si>
    <t>Sima</t>
  </si>
  <si>
    <t>Chamkani</t>
  </si>
  <si>
    <t>FR2741</t>
  </si>
  <si>
    <t>Shafiqullah</t>
  </si>
  <si>
    <t>Mushfiq</t>
  </si>
  <si>
    <t>FR3691</t>
  </si>
  <si>
    <t>Adil</t>
  </si>
  <si>
    <t>Ahsas</t>
  </si>
  <si>
    <t>Bakkhel Clinic (1630)</t>
  </si>
  <si>
    <t>Qazi kala SC (4343) SHC</t>
  </si>
  <si>
    <t>FR2761</t>
  </si>
  <si>
    <t>Rawzia</t>
  </si>
  <si>
    <t>Raihan</t>
  </si>
  <si>
    <t>FR4471</t>
  </si>
  <si>
    <t>Anila</t>
  </si>
  <si>
    <t>Zahin</t>
  </si>
  <si>
    <t>FR4700</t>
  </si>
  <si>
    <t>Asma</t>
  </si>
  <si>
    <t>FR4716</t>
  </si>
  <si>
    <t>Saliha</t>
  </si>
  <si>
    <t>Amiri</t>
  </si>
  <si>
    <t>FR4707</t>
  </si>
  <si>
    <t>Muzalifa</t>
  </si>
  <si>
    <t>Bahar</t>
  </si>
  <si>
    <t>FR3592</t>
  </si>
  <si>
    <t>Khairudin</t>
  </si>
  <si>
    <t>Zaki</t>
  </si>
  <si>
    <t>FR4039</t>
  </si>
  <si>
    <t>Parwiz</t>
  </si>
  <si>
    <t>Hosaini</t>
  </si>
  <si>
    <t>Panjshir</t>
  </si>
  <si>
    <t>His-e-awal (Khenj) Jarwesh SHC(4656)</t>
  </si>
  <si>
    <t>FR2701</t>
  </si>
  <si>
    <t>Tabasum</t>
  </si>
  <si>
    <t>Barakat</t>
  </si>
  <si>
    <t>FR1041</t>
  </si>
  <si>
    <t>Nabila</t>
  </si>
  <si>
    <t>Nezami</t>
  </si>
  <si>
    <t>FR3828</t>
  </si>
  <si>
    <t>Zahra</t>
  </si>
  <si>
    <t>FR4163</t>
  </si>
  <si>
    <t>Marina</t>
  </si>
  <si>
    <t>Hakimi</t>
  </si>
  <si>
    <t>FR4708</t>
  </si>
  <si>
    <t>Nafisa</t>
  </si>
  <si>
    <t>FR3907</t>
  </si>
  <si>
    <t>Mohammad Nabi</t>
  </si>
  <si>
    <t>Anabi</t>
  </si>
  <si>
    <t>FR2044</t>
  </si>
  <si>
    <t>Rohullah</t>
  </si>
  <si>
    <t>Roz bah</t>
  </si>
  <si>
    <t>Ghorband Dara SHC (2328)</t>
  </si>
  <si>
    <t>FR3277</t>
  </si>
  <si>
    <t>Bibi Zahra</t>
  </si>
  <si>
    <t>FR4718</t>
  </si>
  <si>
    <t>Najia</t>
  </si>
  <si>
    <t>FR4722</t>
  </si>
  <si>
    <t>Salma</t>
  </si>
  <si>
    <t>FR4720</t>
  </si>
  <si>
    <t>Shaista</t>
  </si>
  <si>
    <t>FR3697</t>
  </si>
  <si>
    <t>Qaria</t>
  </si>
  <si>
    <t>FR4419</t>
  </si>
  <si>
    <t>Mohammad Zakir</t>
  </si>
  <si>
    <t>Akhondzada</t>
  </si>
  <si>
    <t>FR4698</t>
  </si>
  <si>
    <t>Yar Murad</t>
  </si>
  <si>
    <t>Khalid</t>
  </si>
  <si>
    <t>Rabatak SC (3792)</t>
  </si>
  <si>
    <t>FR2705</t>
  </si>
  <si>
    <t>Khuram</t>
  </si>
  <si>
    <t>FR2703</t>
  </si>
  <si>
    <t>Manizha</t>
  </si>
  <si>
    <t>Taheri</t>
  </si>
  <si>
    <t>FR3778</t>
  </si>
  <si>
    <t>Marwa</t>
  </si>
  <si>
    <t>Nasrat</t>
  </si>
  <si>
    <t>FR3911</t>
  </si>
  <si>
    <t>Hadisa</t>
  </si>
  <si>
    <t>FR4274</t>
  </si>
  <si>
    <t>Moradi</t>
  </si>
  <si>
    <t>FR4044</t>
  </si>
  <si>
    <t>Nimat</t>
  </si>
  <si>
    <t>FR4046</t>
  </si>
  <si>
    <t>Sar-e Pol</t>
  </si>
  <si>
    <t>Sar-e-Pul City SC (3837)</t>
  </si>
  <si>
    <t>FR2615</t>
  </si>
  <si>
    <t>FR1866</t>
  </si>
  <si>
    <t>Azimi</t>
  </si>
  <si>
    <t>FR4277</t>
  </si>
  <si>
    <t>Samana</t>
  </si>
  <si>
    <t>Rasuli</t>
  </si>
  <si>
    <t>FR4278</t>
  </si>
  <si>
    <t>Sona</t>
  </si>
  <si>
    <t>FR4710</t>
  </si>
  <si>
    <t>Hangama</t>
  </si>
  <si>
    <t>Rozi</t>
  </si>
  <si>
    <t>FR3245</t>
  </si>
  <si>
    <t>Muhammadullah</t>
  </si>
  <si>
    <t>FR4378</t>
  </si>
  <si>
    <t>Mohammad Shaiq</t>
  </si>
  <si>
    <t>Shorab SHC (2870)</t>
  </si>
  <si>
    <t>FR3914</t>
  </si>
  <si>
    <t>Shekiba</t>
  </si>
  <si>
    <t>Qaderi</t>
  </si>
  <si>
    <t>FR2549</t>
  </si>
  <si>
    <t>Maimuna</t>
  </si>
  <si>
    <t>FR2783</t>
  </si>
  <si>
    <t>Muhammadi</t>
  </si>
  <si>
    <t>FR2799</t>
  </si>
  <si>
    <t>Sha Jan</t>
  </si>
  <si>
    <t>FR3101</t>
  </si>
  <si>
    <t>Fahima</t>
  </si>
  <si>
    <t>FR4325</t>
  </si>
  <si>
    <t>Skander</t>
  </si>
  <si>
    <t>HASANI</t>
  </si>
  <si>
    <t>FR4056</t>
  </si>
  <si>
    <t>Mohammad Qasem</t>
  </si>
  <si>
    <t>Tahiri</t>
  </si>
  <si>
    <t>FR3919</t>
  </si>
  <si>
    <t>Mina</t>
  </si>
  <si>
    <t>Manzur</t>
  </si>
  <si>
    <t>FR2722</t>
  </si>
  <si>
    <t>Jamila</t>
  </si>
  <si>
    <t>Aziz</t>
  </si>
  <si>
    <t>FR3240</t>
  </si>
  <si>
    <t>Morsal</t>
  </si>
  <si>
    <t>FR3920</t>
  </si>
  <si>
    <t>Safia</t>
  </si>
  <si>
    <t>Kamal</t>
  </si>
  <si>
    <t>FR3921</t>
  </si>
  <si>
    <t>Nargis</t>
  </si>
  <si>
    <t>Rahmani</t>
  </si>
  <si>
    <t>FR4688</t>
  </si>
  <si>
    <t>Sayed Naserulhaq</t>
  </si>
  <si>
    <t>FR3803</t>
  </si>
  <si>
    <t>Naqibullah</t>
  </si>
  <si>
    <t>FR3006</t>
  </si>
  <si>
    <t>Maneela</t>
  </si>
  <si>
    <t>Maihanyar</t>
  </si>
  <si>
    <t>FR3299</t>
  </si>
  <si>
    <t>Sayed Ibrahim</t>
  </si>
  <si>
    <t>FR3969</t>
  </si>
  <si>
    <t>Rezaye</t>
  </si>
  <si>
    <t>FR1126</t>
  </si>
  <si>
    <t>Najibullah</t>
  </si>
  <si>
    <t>Kohi</t>
  </si>
  <si>
    <t>FR3996</t>
  </si>
  <si>
    <t>Tahmina</t>
  </si>
  <si>
    <t>FR3976</t>
  </si>
  <si>
    <t>Ali Bakhsh</t>
  </si>
  <si>
    <t>Safdari</t>
  </si>
  <si>
    <t>FR0175</t>
  </si>
  <si>
    <t>Husnia</t>
  </si>
  <si>
    <t>FR4752</t>
  </si>
  <si>
    <t>Baktash</t>
  </si>
  <si>
    <t>Faiez</t>
  </si>
  <si>
    <t>FR2483</t>
  </si>
  <si>
    <t>Rokhsar</t>
  </si>
  <si>
    <t>FR3987</t>
  </si>
  <si>
    <t>Mohammad Emran</t>
  </si>
  <si>
    <t>FR4734</t>
  </si>
  <si>
    <t>Bakhat Bi Bi</t>
  </si>
  <si>
    <t>Dalilwal</t>
  </si>
  <si>
    <t>FR1073</t>
  </si>
  <si>
    <t>Amir Jan</t>
  </si>
  <si>
    <t>FR4740</t>
  </si>
  <si>
    <t>Majabin</t>
  </si>
  <si>
    <t>FR3665</t>
  </si>
  <si>
    <t>Jawid</t>
  </si>
  <si>
    <t>Ahmadzai</t>
  </si>
  <si>
    <t>FR4741</t>
  </si>
  <si>
    <t>Norsaba</t>
  </si>
  <si>
    <t>Mohmand</t>
  </si>
  <si>
    <t>FR3880</t>
  </si>
  <si>
    <t>Ziaul Haq</t>
  </si>
  <si>
    <t>FR4742</t>
  </si>
  <si>
    <t>Sodaba</t>
  </si>
  <si>
    <t>Noorzad</t>
  </si>
  <si>
    <t>FR3670</t>
  </si>
  <si>
    <t>Rahmanullah</t>
  </si>
  <si>
    <t>Samon</t>
  </si>
  <si>
    <t>FR3810</t>
  </si>
  <si>
    <t>Ziba</t>
  </si>
  <si>
    <t>Nasimi</t>
  </si>
  <si>
    <t>FR0895</t>
  </si>
  <si>
    <t>Sediqullah</t>
  </si>
  <si>
    <t>FR4735</t>
  </si>
  <si>
    <t>Sulaiman Kheil</t>
  </si>
  <si>
    <t>FR4753</t>
  </si>
  <si>
    <t>Shamsuddin</t>
  </si>
  <si>
    <t>Saraj</t>
  </si>
  <si>
    <t>FR4743</t>
  </si>
  <si>
    <t>Nadia</t>
  </si>
  <si>
    <t>FR4017</t>
  </si>
  <si>
    <t>Monibullah</t>
  </si>
  <si>
    <t>Naizai</t>
  </si>
  <si>
    <t>FR4736</t>
  </si>
  <si>
    <t>Hussin khail</t>
  </si>
  <si>
    <t>FR4756</t>
  </si>
  <si>
    <t>Baryalai</t>
  </si>
  <si>
    <t>FR4744</t>
  </si>
  <si>
    <t>SulaimanKhil</t>
  </si>
  <si>
    <t>FR2735</t>
  </si>
  <si>
    <t>FR4651</t>
  </si>
  <si>
    <t>Saba Gul</t>
  </si>
  <si>
    <t>FR4749</t>
  </si>
  <si>
    <t>Ayoub</t>
  </si>
  <si>
    <t>Safai</t>
  </si>
  <si>
    <t>FR4737</t>
  </si>
  <si>
    <t>Shakiba</t>
  </si>
  <si>
    <t>Sahar</t>
  </si>
  <si>
    <t>FR4750</t>
  </si>
  <si>
    <t>Asifullah</t>
  </si>
  <si>
    <t>Bashardost</t>
  </si>
  <si>
    <t>Ahmadaba surkai Makang Cilinic (2192) BHC</t>
  </si>
  <si>
    <t>FR4739</t>
  </si>
  <si>
    <t>Zafari</t>
  </si>
  <si>
    <t>FR4751</t>
  </si>
  <si>
    <t>Mohammadullah</t>
  </si>
  <si>
    <t>FR4745</t>
  </si>
  <si>
    <t>FR3693</t>
  </si>
  <si>
    <t>Payman</t>
  </si>
  <si>
    <t>Parsa</t>
  </si>
  <si>
    <t>FR4746</t>
  </si>
  <si>
    <t>Sanam</t>
  </si>
  <si>
    <t>FR1819</t>
  </si>
  <si>
    <t>Mohmmad Jan</t>
  </si>
  <si>
    <t>Myakhil</t>
  </si>
  <si>
    <t>FR3696</t>
  </si>
  <si>
    <t>Khatra</t>
  </si>
  <si>
    <t>Attyee</t>
  </si>
  <si>
    <t>FR4754</t>
  </si>
  <si>
    <t>Ahmad Fahim</t>
  </si>
  <si>
    <t>Farahmand</t>
  </si>
  <si>
    <t>FR4747</t>
  </si>
  <si>
    <t>Fawzia</t>
  </si>
  <si>
    <t>Yousufi</t>
  </si>
  <si>
    <t>FR4377</t>
  </si>
  <si>
    <t>Bashir Ahmad</t>
  </si>
  <si>
    <t>FR4748</t>
  </si>
  <si>
    <t>Shamafroza</t>
  </si>
  <si>
    <t>Qari zada</t>
  </si>
  <si>
    <t>FR2801</t>
  </si>
  <si>
    <t>Mohammad</t>
  </si>
  <si>
    <t>Qasemi</t>
  </si>
  <si>
    <t>FR4687</t>
  </si>
  <si>
    <t>Bibi Sabera</t>
  </si>
  <si>
    <t>Sayedi</t>
  </si>
  <si>
    <t>FR3923</t>
  </si>
  <si>
    <t>Ehsanullah</t>
  </si>
  <si>
    <t>FR4738</t>
  </si>
  <si>
    <t>Name</t>
  </si>
  <si>
    <t>Team Name</t>
  </si>
  <si>
    <t>Phone Number</t>
  </si>
  <si>
    <t>Total Number of Days</t>
  </si>
  <si>
    <t>Dr.Rishad</t>
  </si>
  <si>
    <t>HMIS</t>
  </si>
  <si>
    <t>Patient</t>
  </si>
  <si>
    <t>Noor islam Halimi</t>
  </si>
  <si>
    <t>Ehsanullah arian</t>
  </si>
  <si>
    <t>Khirullah</t>
  </si>
  <si>
    <t>RED FLAG_DRL</t>
  </si>
  <si>
    <t>HF name</t>
  </si>
  <si>
    <t>HF code</t>
  </si>
  <si>
    <t>Site visit Id</t>
  </si>
  <si>
    <t>Red Flag</t>
  </si>
  <si>
    <t>Reported by</t>
  </si>
  <si>
    <t>Phone number</t>
  </si>
  <si>
    <t>Reported date</t>
  </si>
  <si>
    <t>Remark</t>
  </si>
  <si>
    <t>Health facility closed during normal expected working hours</t>
  </si>
  <si>
    <t>Health facility has non-functional sections</t>
  </si>
  <si>
    <t>Household-level: &gt;25% of women seriously ill but did not visit an HF</t>
  </si>
  <si>
    <t>Household-level sample: &gt;25% of women injured but did not visit an HF</t>
  </si>
  <si>
    <t>Household-level sample: &gt;25% of pregnant women did not seek ANC</t>
  </si>
  <si>
    <t>Household-level sample:  &gt;25% of women gave birth outside HF (no delivery care)</t>
  </si>
  <si>
    <t>Household-level sample:  &gt;25% of women did not seek post-natal care (PNC) at HF</t>
  </si>
  <si>
    <t>Staff absent without notifying facility management, unreported staff absencess</t>
  </si>
  <si>
    <t>Minimum staffing requirements not met</t>
  </si>
  <si>
    <t>Lack of female staff</t>
  </si>
  <si>
    <t>Staff report salaries unpaid, delayed, or with shortfalls</t>
  </si>
  <si>
    <t>Stock-out of essential medicines/nutrition (RUTF)</t>
  </si>
  <si>
    <t>Unauthorized sale of medicines</t>
  </si>
  <si>
    <t>Patients given prescriptions to procure medication outside HF</t>
  </si>
  <si>
    <t>Major violations affecting drug quality (e.g., improper storage)</t>
  </si>
  <si>
    <t>Registers not available (or missing) for HMIS verification</t>
  </si>
  <si>
    <t>Clients report abuse, exploitation, or mistreatment by staff</t>
  </si>
  <si>
    <t>Lack of functional GRM</t>
  </si>
  <si>
    <t>Absence of OHS incident/accident/reporting system</t>
  </si>
  <si>
    <t>GBV/SEA/SH instances</t>
  </si>
  <si>
    <t>Secuirty incidents</t>
  </si>
  <si>
    <t>Lack of implementation of healthcare waste management plan</t>
  </si>
  <si>
    <t>OHS gaps: serious staff injuries/fatalities not recorded</t>
  </si>
  <si>
    <t>Theft incident at the health facility</t>
  </si>
  <si>
    <t>Staff absent without notifying facility management (unreported staff absences)</t>
  </si>
  <si>
    <t>Staff salaries unpaid, delayed, or shortfalls (&lt;90% on-time pay)</t>
  </si>
  <si>
    <t>Site visit ID</t>
  </si>
  <si>
    <t>HF</t>
  </si>
  <si>
    <t>Village in Sample</t>
  </si>
  <si>
    <t>Reason changing the village</t>
  </si>
  <si>
    <t>Village selected in HF from CHS</t>
  </si>
  <si>
    <t>Visit date</t>
  </si>
  <si>
    <t>No</t>
  </si>
  <si>
    <t xml:space="preserve">Issue description </t>
  </si>
  <si>
    <t>Date</t>
  </si>
  <si>
    <t>Issue status</t>
  </si>
  <si>
    <t>Type of Issue</t>
  </si>
  <si>
    <t>The public health agent postponed data collection to Sunday, October 10, 2025.</t>
  </si>
  <si>
    <t>Not solved</t>
  </si>
  <si>
    <t>FR</t>
  </si>
  <si>
    <t>Authorization process</t>
  </si>
  <si>
    <t>Parwn</t>
  </si>
  <si>
    <t>Tomorrow, both male and female colleagues are required to go to the Parwan Public Health Directorate.</t>
  </si>
  <si>
    <t>Kanduz</t>
  </si>
  <si>
    <t>Our colleague went to the Provincial Public Health Department on Wednesday, but the director was not there. He was told to come back the next day.</t>
  </si>
  <si>
    <t>Our colleague went to the Provincial Public Health Department at 3:00 PM on Wednesday. The director was not present, and the administrative manager told him to come back the next day.</t>
  </si>
  <si>
    <t>The colleagues went to the Provincial Public Health Directorate of Parwan, but they were told again to come on Saturday. They said, We will process your letter, and then you can go to the field.</t>
  </si>
  <si>
    <t>Solved</t>
  </si>
  <si>
    <t>The administrative manager of the Kapisa Provincial Public Health Directorate threw away the introduction letter of our colleagues and said that this directorate will not cooperate with the ITR office anymore. The administrative manager of this directorate also had no reason for saying this to our colleag</t>
  </si>
  <si>
    <t>Our colleague went to the Provincial Public Health Directorate of Kunduz, but they were told again to come on Saturday. They said, “We will process your letter, and then you can go to the field</t>
  </si>
  <si>
    <t>The Public Health Department said that for the representative who is introduced to you by the department, you must consider privileges such as (transportation expenses, lunch, and perdiam), otherwise he will not go to field with you.</t>
  </si>
  <si>
    <t>Ba</t>
  </si>
  <si>
    <t>The Public Health Dep said that every team should process their authorization letter separately.</t>
  </si>
  <si>
    <t xml:space="preserve">On Tuesday, 28 October, our FR visited the Provincial Health Directorate and was asked to bring a letter introducing themselves and to come with a female FR. The next day, both FRs brought the letter, but the Provincial Health Director was unavailable. On Thursday, the Director agreed, but the Deputy Director requested that they return on Saturday to collect the permission letter.
On Saturday, when the FR met our colleague from the HER ESS team, the Deputy Director requested the agreement made with UNICEF. Despite our attempts to explain the situation over the phone, he insisted on this requirement.
</t>
  </si>
  <si>
    <t>Not Solved</t>
  </si>
  <si>
    <t>The access letter has been completed, but the Public Health Department stated that the work must begin on Sunday, as they need to complete other tasks first.</t>
  </si>
  <si>
    <t>In Kunduz province, the official letters for the CL, HMIS, and QQC teams have been processed.</t>
  </si>
  <si>
    <t>The Chairman of the Provincial Public Health Directorate instructed the field representatives (FRs) to collect the data on paper forms and to conduct a QA check before submitting it to the office.</t>
  </si>
  <si>
    <t>Since Start of data collection (ESS)</t>
  </si>
  <si>
    <t>Our colleague went to the Provincial Public Health Directorate of Parwan today to process the official letter. The director of this department has requested to meet all members of the CL and HMIS teams in person. Tomorrow, our colleagues will visit the directorate</t>
  </si>
  <si>
    <t>Our colleague, Safiullah Massoud, was requested by the Kapisa Provincial Public Health Directorate today to present a report from his team, which he has provided. He also discussed the processing of official letters for the upcoming teams with the director of the department. The director has requested all members of the QQC, CL, and HMIS teams to meet him in person and complete the letter processing. Tomorrow, our colleagues will visit the directorate.</t>
  </si>
  <si>
    <t>Everyday our FRs wait for an hour or 45 min for the representative of Public Health Dep.</t>
  </si>
  <si>
    <t>Due to an emergency meeting regarding last night’s earthquake, the authorization letter was not signed today and is expected to be signed tomorrow.</t>
  </si>
  <si>
    <t>The Chairman of the PPHD told the FRs to give money for lunch for the PPHD agent</t>
  </si>
  <si>
    <t>HER Verification Tools &amp; Targets Guideline</t>
  </si>
  <si>
    <t>QQC Tools and Targets Guideline</t>
  </si>
  <si>
    <t>Type of Health Facility</t>
  </si>
  <si>
    <t>Tools</t>
  </si>
  <si>
    <t>RH*</t>
  </si>
  <si>
    <t>PH*</t>
  </si>
  <si>
    <t>DH*</t>
  </si>
  <si>
    <t>QQC (structural indicators)</t>
  </si>
  <si>
    <t>Yes</t>
  </si>
  <si>
    <t xml:space="preserve">10 in each HF , if there is no Laboratory at BHC level then 9 </t>
  </si>
  <si>
    <t xml:space="preserve">FV Form  HF level Data verfication </t>
  </si>
  <si>
    <t>in RH,PH 7)(in SHC 5)</t>
  </si>
  <si>
    <t>Vignettes 2 HW, 1 Midwife and 2 Exit Int</t>
  </si>
  <si>
    <t>(in RH,PH,DH and CHC+ 9) ( in CHC 8) ( in BHC,SHC 7)</t>
  </si>
  <si>
    <t>Human Resources from FV Forms</t>
  </si>
  <si>
    <t>(in SHC,BHC,BHC+ 2) ( in CHC/CHC+ 3)(in DH8)(in PH,RH 20)</t>
  </si>
  <si>
    <t>Patients Verification at Community level**</t>
  </si>
  <si>
    <t xml:space="preserve">as per sample </t>
  </si>
  <si>
    <t>Target data by HF for each tool</t>
  </si>
  <si>
    <t>CHC/CHC+</t>
  </si>
  <si>
    <t>Target data based on Tools</t>
  </si>
  <si>
    <t>Number of Data</t>
  </si>
  <si>
    <t>FV Forms</t>
  </si>
  <si>
    <t>SP</t>
  </si>
  <si>
    <t>Total</t>
  </si>
  <si>
    <t>Targeted data Based On Health Facility</t>
  </si>
  <si>
    <t># of HFs</t>
  </si>
  <si>
    <t>Patient Verification (Community Level) Targets Based on Health Facility Type</t>
  </si>
  <si>
    <t>Indicators</t>
  </si>
  <si>
    <t>CHC+</t>
  </si>
  <si>
    <t>Provincial Hospital (H2)</t>
  </si>
  <si>
    <t>District Hospital (H3)</t>
  </si>
  <si>
    <t>Regional / National Hospital (H1)</t>
  </si>
  <si>
    <t>ANC</t>
  </si>
  <si>
    <t>PNC</t>
  </si>
  <si>
    <t>Delivery</t>
  </si>
  <si>
    <t>TT</t>
  </si>
  <si>
    <t>Penta</t>
  </si>
  <si>
    <t>GM</t>
  </si>
  <si>
    <t>TB</t>
  </si>
  <si>
    <t>U5 Morbidity</t>
  </si>
  <si>
    <t>C-Section</t>
  </si>
  <si>
    <t>Total_Target</t>
  </si>
  <si>
    <t>Total_Indicators</t>
  </si>
  <si>
    <t>Surname</t>
  </si>
  <si>
    <t>Responsible Provinces</t>
  </si>
  <si>
    <t>Phone Number - Net</t>
  </si>
  <si>
    <t>Phone Number - Voice Bandle</t>
  </si>
  <si>
    <t>Email</t>
  </si>
  <si>
    <t>Access Letter Status QQC</t>
  </si>
  <si>
    <t>Access letter Status HMIS</t>
  </si>
  <si>
    <t>Access lettter Status Patient tracing team</t>
  </si>
  <si>
    <t>Reason If Not Completed</t>
  </si>
  <si>
    <t>Abdurahman</t>
  </si>
  <si>
    <t>Khalil</t>
  </si>
  <si>
    <t>ab.khalil1991@gmail.com</t>
  </si>
  <si>
    <t>Abdurrahim</t>
  </si>
  <si>
    <t>Egambirdi</t>
  </si>
  <si>
    <t>abdurrahimegambirdi@gmail.com</t>
  </si>
  <si>
    <t>Provincial director asks that he need to receive call from ministry of public health.</t>
  </si>
  <si>
    <t>PPHD asked for contract between ATR and World Bank</t>
  </si>
  <si>
    <t>Under Process</t>
  </si>
  <si>
    <t xml:space="preserve">Elham </t>
  </si>
  <si>
    <t>Hotak</t>
  </si>
  <si>
    <t>elhamhotak677@gmail.com</t>
  </si>
  <si>
    <t>The PRRD has banned work in this province</t>
  </si>
  <si>
    <t>As I spoke with the PPHD agent (Abdul Aziz Telazoy-772248642), he granted permission for work to all three teams.</t>
  </si>
  <si>
    <t>Mohsini</t>
  </si>
  <si>
    <t>mohsinifawzia@gmail.com</t>
  </si>
  <si>
    <t xml:space="preserve">FRs waiting for the head of Public health Directorate for accept their authorization letter. </t>
  </si>
  <si>
    <t xml:space="preserve">Muzhda </t>
  </si>
  <si>
    <t>Karimzada</t>
  </si>
  <si>
    <t>71 171 1242</t>
  </si>
  <si>
    <t>Muzhdakarimzada@gmail.com</t>
  </si>
  <si>
    <t>Masoudzai</t>
  </si>
  <si>
    <t>muzhda.masoudzai@gmail.com</t>
  </si>
  <si>
    <t>Saifurrahman</t>
  </si>
  <si>
    <t>Sayar</t>
  </si>
  <si>
    <t>saif.sayar01@gmail.com</t>
  </si>
  <si>
    <t>Tamim</t>
  </si>
  <si>
    <t>Esmaty</t>
  </si>
  <si>
    <t>tamimismaty2525@gmail.com</t>
  </si>
  <si>
    <t xml:space="preserve">Completed </t>
  </si>
  <si>
    <t>Yousuf</t>
  </si>
  <si>
    <t>yuosufamiry010@gmail.com</t>
  </si>
  <si>
    <t>Provincial director requested an update  Maktoob from the Ministry of Health. Unfortunately He stopped the QQC team's data collection as well.</t>
  </si>
  <si>
    <t>Our three teams are ready for data collection.</t>
  </si>
  <si>
    <t>Employee unique ID</t>
  </si>
  <si>
    <t>Employee Name</t>
  </si>
  <si>
    <t>Employee Last Name</t>
  </si>
  <si>
    <t>Employee Father Name</t>
  </si>
  <si>
    <t>Field Researcher Type</t>
  </si>
  <si>
    <t>Province for field work</t>
  </si>
  <si>
    <t>Phone #1</t>
  </si>
  <si>
    <t>Phone #2</t>
  </si>
  <si>
    <t>WhatsApp #</t>
  </si>
  <si>
    <t>Mohammad Ismail</t>
  </si>
  <si>
    <t>Field Researcher_QQC</t>
  </si>
  <si>
    <t>NA</t>
  </si>
  <si>
    <t>Mohammd kabir</t>
  </si>
  <si>
    <t>Mohammad Zubair</t>
  </si>
  <si>
    <t>Field Researcher_CL</t>
  </si>
  <si>
    <t>Mohammad Reza</t>
  </si>
  <si>
    <t>Mohammad Alim</t>
  </si>
  <si>
    <t>Door Mohammad</t>
  </si>
  <si>
    <t>Sakhidad</t>
  </si>
  <si>
    <t>Mohammad Husain</t>
  </si>
  <si>
    <t>Atiqullah</t>
  </si>
  <si>
    <t>Sayed Abdul Qudos</t>
  </si>
  <si>
    <t>Dor Mohammad</t>
  </si>
  <si>
    <t>Abdul Raziq</t>
  </si>
  <si>
    <t>Missing</t>
  </si>
  <si>
    <t>Sayed Ziauddin</t>
  </si>
  <si>
    <t>Saleh Mohammad</t>
  </si>
  <si>
    <t>Shah khan</t>
  </si>
  <si>
    <t>Mir Sayed Azim</t>
  </si>
  <si>
    <t>Mohammad Alem</t>
  </si>
  <si>
    <t>Yousof</t>
  </si>
  <si>
    <t>Habibullah</t>
  </si>
  <si>
    <t>Ahmad</t>
  </si>
  <si>
    <t>Ali Joma</t>
  </si>
  <si>
    <t>Mohammad Eshaq</t>
  </si>
  <si>
    <t>Sayed Ghulam Sakhi</t>
  </si>
  <si>
    <t>Nik Mohammad</t>
  </si>
  <si>
    <t>M.Ismail</t>
  </si>
  <si>
    <t>Sayed Usman</t>
  </si>
  <si>
    <t>794 274 109</t>
  </si>
  <si>
    <t>Mohammad Sharif</t>
  </si>
  <si>
    <t>Aminullah</t>
  </si>
  <si>
    <t>Sayed Yousif</t>
  </si>
  <si>
    <t>Juma Khan</t>
  </si>
  <si>
    <t>Ghlam Hazrat</t>
  </si>
  <si>
    <t>Ahmad Jamil</t>
  </si>
  <si>
    <t>Hamid Habibi</t>
  </si>
  <si>
    <t>Haji Abdul Salam</t>
  </si>
  <si>
    <t>Abdul Hakim</t>
  </si>
  <si>
    <t>Nooruddin</t>
  </si>
  <si>
    <t>Qudaratullah</t>
  </si>
  <si>
    <t>Chari Yar Qul</t>
  </si>
  <si>
    <t>Mohammad Shafiq</t>
  </si>
  <si>
    <t>Abdul Samad</t>
  </si>
  <si>
    <t>Saduddin</t>
  </si>
  <si>
    <t>Ali Ahmad Khan</t>
  </si>
  <si>
    <t>Khan Aqa</t>
  </si>
  <si>
    <t>Dad Khuda</t>
  </si>
  <si>
    <t>Sayed Ahmad</t>
  </si>
  <si>
    <t>Mohammad Kambiz</t>
  </si>
  <si>
    <t>Abdul hanan</t>
  </si>
  <si>
    <t>Mohammad Yunus</t>
  </si>
  <si>
    <t>Zikir Haq</t>
  </si>
  <si>
    <t>Nazar Khan</t>
  </si>
  <si>
    <t>Shahzad Khan</t>
  </si>
  <si>
    <t>Hazratullah</t>
  </si>
  <si>
    <t>Mohammad Alisha</t>
  </si>
  <si>
    <t>Momin</t>
  </si>
  <si>
    <t>Hiader</t>
  </si>
  <si>
    <t>Esmatzai khan</t>
  </si>
  <si>
    <t>Fazal Akbar</t>
  </si>
  <si>
    <t>Amanullah</t>
  </si>
  <si>
    <t>Abdul Satar</t>
  </si>
  <si>
    <t>Shir wali</t>
  </si>
  <si>
    <t>Mohammad Akber</t>
  </si>
  <si>
    <t>Shirzamin</t>
  </si>
  <si>
    <t>Lal Mohammad</t>
  </si>
  <si>
    <t>Abdul Khaliq</t>
  </si>
  <si>
    <t>Mohammad Younis</t>
  </si>
  <si>
    <t>Abdullah</t>
  </si>
  <si>
    <t>Mohammad Tordi</t>
  </si>
  <si>
    <t>764 128 606</t>
  </si>
  <si>
    <t>Sultan Aziz</t>
  </si>
  <si>
    <t>Ameer Mohammad</t>
  </si>
  <si>
    <t>Afshar</t>
  </si>
  <si>
    <t>Mirza mohammad</t>
  </si>
  <si>
    <t>Mohammad Zahir</t>
  </si>
  <si>
    <t>Muhammad Moosa</t>
  </si>
  <si>
    <t>FR4724</t>
  </si>
  <si>
    <t>Pacha Gul</t>
  </si>
  <si>
    <t>Sayed Rahman</t>
  </si>
  <si>
    <t>Wahid Ahmad</t>
  </si>
  <si>
    <t>M.Ibrahim</t>
  </si>
  <si>
    <t>Sayed Ahmad Shah</t>
  </si>
  <si>
    <t>Mohammad Ismaeel</t>
  </si>
  <si>
    <t>Sayed Mir Agha</t>
  </si>
  <si>
    <t>Mohammad Asif</t>
  </si>
  <si>
    <t>Mohammad Basir</t>
  </si>
  <si>
    <t>Khwaja M. Aslam</t>
  </si>
  <si>
    <t>Omergul</t>
  </si>
  <si>
    <t>Mohammad mahsal</t>
  </si>
  <si>
    <t>Mohammad Nasim</t>
  </si>
  <si>
    <t>Abdul Aziz</t>
  </si>
  <si>
    <t>Abdul Hadi Nooristani</t>
  </si>
  <si>
    <t>Zahoor</t>
  </si>
  <si>
    <t>Mohammad Gull</t>
  </si>
  <si>
    <t>Habib Basir</t>
  </si>
  <si>
    <t>Nasiri</t>
  </si>
  <si>
    <t>Fazal Rahman</t>
  </si>
  <si>
    <t>Amir Khan</t>
  </si>
  <si>
    <t>Noor Wali Shah</t>
  </si>
  <si>
    <t>Khuwaja Gul</t>
  </si>
  <si>
    <t>Musa jan</t>
  </si>
  <si>
    <t>Hafizullah</t>
  </si>
  <si>
    <t>Tuhrab Khan</t>
  </si>
  <si>
    <t>Mohammad Aslam</t>
  </si>
  <si>
    <t>Zaman Shah</t>
  </si>
  <si>
    <t>Khair Mohammad</t>
  </si>
  <si>
    <t>Abdul Rahman</t>
  </si>
  <si>
    <t>Amir jan</t>
  </si>
  <si>
    <t>Ata Mohammad</t>
  </si>
  <si>
    <t>Shah Wali</t>
  </si>
  <si>
    <t>Khan Jan</t>
  </si>
  <si>
    <t>Mohammad Yasin</t>
  </si>
  <si>
    <t>Ghulam Akbar</t>
  </si>
  <si>
    <t>Abdul Jabar Noori</t>
  </si>
  <si>
    <t>Abdul Karim</t>
  </si>
  <si>
    <t>Sayed Asharf</t>
  </si>
  <si>
    <t>Jan Agha</t>
  </si>
  <si>
    <t>Niazullah</t>
  </si>
  <si>
    <t>Majeed Khan</t>
  </si>
  <si>
    <t>Shabudin sadat</t>
  </si>
  <si>
    <t>Abdula Qahar</t>
  </si>
  <si>
    <t>Gul Murad</t>
  </si>
  <si>
    <t>Mosa Khan</t>
  </si>
  <si>
    <t>Zakirullah</t>
  </si>
  <si>
    <t>Haytullah</t>
  </si>
  <si>
    <t>Khairuddin</t>
  </si>
  <si>
    <t>Mohammad Musa</t>
  </si>
  <si>
    <t>Abdul Shukor</t>
  </si>
  <si>
    <t>Raz Mohammad</t>
  </si>
  <si>
    <t>Ghulam Sakhi</t>
  </si>
  <si>
    <t>Haji Mohammad Ali</t>
  </si>
  <si>
    <t>Haji Mohammad Rahim</t>
  </si>
  <si>
    <t>Ainuddin</t>
  </si>
  <si>
    <t>Mirajudin</t>
  </si>
  <si>
    <t>Muhammad Sharif</t>
  </si>
  <si>
    <t>Mohammad Qasim</t>
  </si>
  <si>
    <t>Kenja</t>
  </si>
  <si>
    <t>Fazlullah</t>
  </si>
  <si>
    <t>Omar jan</t>
  </si>
  <si>
    <t>Mohammad Aziz</t>
  </si>
  <si>
    <t>Mohammad younus</t>
  </si>
  <si>
    <t>Gul Rahman</t>
  </si>
  <si>
    <t>Sayed sakhi jan</t>
  </si>
  <si>
    <t>Field Researcher_HMIS</t>
  </si>
  <si>
    <t>Sultan Muhammad</t>
  </si>
  <si>
    <t>Said Abdul Qudoos</t>
  </si>
  <si>
    <t>M. Hassan Rezaie</t>
  </si>
  <si>
    <t>Ali Ahmad</t>
  </si>
  <si>
    <t>Gull Mohammad</t>
  </si>
  <si>
    <t>770425421-783815635</t>
  </si>
  <si>
    <t>M. Akbar</t>
  </si>
  <si>
    <t>Abdul qader</t>
  </si>
  <si>
    <t>M.Naim</t>
  </si>
  <si>
    <t>Mohammad Naeem</t>
  </si>
  <si>
    <t>Sayeed Hakim</t>
  </si>
  <si>
    <t>Mohammad Allah</t>
  </si>
  <si>
    <t>Qurbaan</t>
  </si>
  <si>
    <t>Ahmad Gul</t>
  </si>
  <si>
    <t>Mohammad Azim</t>
  </si>
  <si>
    <t>Mohammad omar</t>
  </si>
  <si>
    <t>Mahmood Noorzad</t>
  </si>
  <si>
    <t>Mamor</t>
  </si>
  <si>
    <t>Mohammad Yousuf</t>
  </si>
  <si>
    <t>Haji Zakir Rahim</t>
  </si>
  <si>
    <t>Salaruddin</t>
  </si>
  <si>
    <t>Sarajuddin</t>
  </si>
  <si>
    <t>Haji Taher</t>
  </si>
  <si>
    <t>Attiullah</t>
  </si>
  <si>
    <t>Noor mohammad</t>
  </si>
  <si>
    <t>Abdul Ghani</t>
  </si>
  <si>
    <t>AllahNazar</t>
  </si>
  <si>
    <t>Saidurahman</t>
  </si>
  <si>
    <t>Saz Mohammad</t>
  </si>
  <si>
    <t>Mujibrahman</t>
  </si>
  <si>
    <t>Awaldin</t>
  </si>
  <si>
    <t>Zafer Muqbal</t>
  </si>
  <si>
    <t>Haji Asef</t>
  </si>
  <si>
    <t>Mohammad Erfan</t>
  </si>
  <si>
    <t>Hayat khan</t>
  </si>
  <si>
    <t>Shir Baz khan</t>
  </si>
  <si>
    <t>Ghulam Mohammad</t>
  </si>
  <si>
    <t>Farahuddin</t>
  </si>
  <si>
    <t>788 504 177</t>
  </si>
  <si>
    <t>765 078 045</t>
  </si>
  <si>
    <t>Qurban Ali</t>
  </si>
  <si>
    <t>Abdul Ghafar</t>
  </si>
  <si>
    <t>Hayatullah</t>
  </si>
  <si>
    <t>Mohammad Ayob</t>
  </si>
  <si>
    <t>Abdul Haq</t>
  </si>
  <si>
    <t>787 571 069</t>
  </si>
  <si>
    <t>785 906 938</t>
  </si>
  <si>
    <t>Sayed Habibi</t>
  </si>
  <si>
    <t>Mohammad dawood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</si>
</sst>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quot; &quot;d&quot;, &quot;yyyy"/>
    <numFmt numFmtId="165" formatCode="yyyy\-mm\-dd"/>
    <numFmt numFmtId="166" formatCode="yyyy&quot;-&quot;mm&quot;-&quot;dd"/>
    <numFmt numFmtId="167" formatCode="d&quot;-&quot;mmm"/>
  </numFmts>
  <fonts count="36">
    <font>
      <sz val="10"/>
      <color rgb="FF000000"/>
      <name val="Arial"/>
      <scheme val="minor"/>
    </font>
    <font>
      <sz val="10"/>
      <color theme="1"/>
      <name val="Arial"/>
      <scheme val="minor"/>
    </font>
    <font>
      <sz val="25"/>
      <color rgb="FFFFFFFF"/>
      <name val="Arial"/>
      <scheme val="minor"/>
    </font>
    <font>
      <b/>
      <sz val="40"/>
      <color rgb="FFF8FCEB"/>
      <name val="Helvetica Neue"/>
    </font>
    <font>
      <sz val="10"/>
      <name val="Arial"/>
    </font>
    <font>
      <b/>
      <sz val="11"/>
      <color rgb="FFF8FCEB"/>
      <name val="Raleway"/>
    </font>
    <font>
      <sz val="9"/>
      <color rgb="FFF8FCEB"/>
      <name val="Raleway"/>
    </font>
    <font>
      <sz val="10"/>
      <color theme="1"/>
      <name val="Arial"/>
    </font>
    <font>
      <b/>
      <sz val="9"/>
      <color rgb="FFF8FCEB"/>
      <name val="Helvetica Neue"/>
    </font>
    <font>
      <sz val="10"/>
      <color rgb="FFFFFFFF"/>
      <name val="Arial"/>
    </font>
    <font>
      <sz val="18"/>
      <color rgb="FFFFFFFF"/>
      <name val="Arial"/>
      <scheme val="minor"/>
    </font>
    <font>
      <sz val="11"/>
      <color rgb="FFFFFFFF"/>
      <name val="Arial"/>
    </font>
    <font>
      <sz val="22"/>
      <color rgb="FFFFFFFF"/>
      <name val="Arial"/>
      <scheme val="minor"/>
    </font>
    <font>
      <b/>
      <sz val="13"/>
      <color rgb="FFFFFFFF"/>
      <name val="Arial"/>
      <scheme val="minor"/>
    </font>
    <font>
      <sz val="13"/>
      <color rgb="FFFFFFFF"/>
      <name val="Arial"/>
      <scheme val="minor"/>
    </font>
    <font>
      <b/>
      <sz val="10"/>
      <color rgb="FFFFFFFF"/>
      <name val="Arial"/>
    </font>
    <font>
      <sz val="10"/>
      <color rgb="FF666666"/>
      <name val="Arial"/>
    </font>
    <font>
      <sz val="10"/>
      <color theme="1"/>
      <name val="Calibri"/>
    </font>
    <font>
      <b/>
      <sz val="10"/>
      <color theme="1"/>
      <name val="Calibri"/>
    </font>
    <font>
      <b/>
      <sz val="9"/>
      <color rgb="FF666666"/>
      <name val="Arial"/>
    </font>
    <font>
      <sz val="10"/>
      <color rgb="FFFFFFFF"/>
      <name val="Arial"/>
      <scheme val="minor"/>
    </font>
    <font>
      <b/>
      <sz val="10"/>
      <color rgb="FFFFFFFF"/>
      <name val="Arial"/>
      <scheme val="minor"/>
    </font>
    <font>
      <b/>
      <sz val="10"/>
      <color theme="1"/>
      <name val="Arial"/>
      <scheme val="minor"/>
    </font>
    <font>
      <sz val="23"/>
      <color rgb="FFFFFFFF"/>
      <name val="Arial"/>
    </font>
    <font>
      <sz val="18"/>
      <color rgb="FFFFFFFF"/>
      <name val="Arial"/>
    </font>
    <font>
      <sz val="22"/>
      <color rgb="FFFFFFFF"/>
      <name val="Arial"/>
    </font>
    <font>
      <b/>
      <sz val="12"/>
      <color theme="1"/>
      <name val="Calibri"/>
    </font>
    <font>
      <b/>
      <sz val="11"/>
      <color theme="1"/>
      <name val="Calibri"/>
    </font>
    <font>
      <b/>
      <sz val="11"/>
      <color rgb="FFFFFFFF"/>
      <name val="Calibri"/>
    </font>
    <font>
      <sz val="11"/>
      <color theme="1"/>
      <name val="Calibri"/>
    </font>
    <font>
      <sz val="11"/>
      <color rgb="FFFFFFFF"/>
      <name val="Calibri"/>
    </font>
    <font>
      <sz val="11"/>
      <color rgb="FF000000"/>
      <name val="Calibri"/>
    </font>
    <font>
      <sz val="10"/>
      <color rgb="FF000000"/>
      <name val="Arial"/>
    </font>
    <font>
      <b/>
      <sz val="13"/>
      <color rgb="FFFFFFFF"/>
      <name val="Calibri"/>
    </font>
    <font>
      <sz val="10"/>
      <color theme="1"/>
      <name val="&quot;Trebuchet MS&quot;"/>
    </font>
    <font>
      <sz val="10"/>
      <color theme="1"/>
      <name val="&quot;\0022Trebuchet MS\0022&quot;"/>
    </font>
  </fonts>
  <fills count="11">
    <fill>
      <patternFill patternType="none"/>
    </fill>
    <fill>
      <patternFill patternType="gray125"/>
    </fill>
    <fill>
      <patternFill patternType="solid">
        <fgColor rgb="FF74D7D7"/>
        <bgColor rgb="FF74D7D7"/>
      </patternFill>
    </fill>
    <fill>
      <patternFill patternType="solid">
        <fgColor rgb="FFFFFFFF"/>
        <bgColor rgb="FFFFFFFF"/>
      </patternFill>
    </fill>
    <fill>
      <patternFill patternType="solid">
        <fgColor rgb="FF549797"/>
        <bgColor rgb="FF549797"/>
      </patternFill>
    </fill>
    <fill>
      <patternFill patternType="solid">
        <fgColor rgb="FF46BDC6"/>
        <bgColor rgb="FF46BDC6"/>
      </patternFill>
    </fill>
    <fill>
      <patternFill patternType="solid">
        <fgColor rgb="FF76A5AF"/>
        <bgColor rgb="FF76A5AF"/>
      </patternFill>
    </fill>
    <fill>
      <patternFill patternType="solid">
        <fgColor rgb="FFD0E0E3"/>
        <bgColor rgb="FFD0E0E3"/>
      </patternFill>
    </fill>
    <fill>
      <patternFill patternType="solid">
        <fgColor rgb="FFF3F3F3"/>
        <bgColor rgb="FFF3F3F3"/>
      </patternFill>
    </fill>
    <fill>
      <patternFill patternType="solid">
        <fgColor theme="9"/>
        <bgColor theme="9"/>
      </patternFill>
    </fill>
    <fill>
      <patternFill patternType="solid">
        <fgColor rgb="FFFF0000"/>
        <bgColor rgb="FFFF0000"/>
      </patternFill>
    </fill>
  </fills>
  <borders count="123">
    <border>
      <left/>
      <right/>
      <top/>
      <bottom/>
      <diagonal/>
    </border>
    <border>
      <left style="thick">
        <color rgb="FFFFFFFF"/>
      </left>
      <right/>
      <top style="thick">
        <color rgb="FFFFFFFF"/>
      </top>
      <bottom style="thick">
        <color rgb="FFFFFFFF"/>
      </bottom>
      <diagonal/>
    </border>
    <border>
      <left style="thick">
        <color rgb="FFB7B7B7"/>
      </left>
      <right style="thick">
        <color rgb="FF74D7D7"/>
      </right>
      <top style="thick">
        <color rgb="FFB7B7B7"/>
      </top>
      <bottom style="thick">
        <color rgb="FF74D7D7"/>
      </bottom>
      <diagonal/>
    </border>
    <border>
      <left style="thick">
        <color rgb="FF74D7D7"/>
      </left>
      <right style="thick">
        <color rgb="FF74D7D7"/>
      </right>
      <top style="thick">
        <color rgb="FFB7B7B7"/>
      </top>
      <bottom style="thick">
        <color rgb="FF74D7D7"/>
      </bottom>
      <diagonal/>
    </border>
    <border>
      <left style="thick">
        <color rgb="FF74D7D7"/>
      </left>
      <right style="thick">
        <color rgb="FFB7B7B7"/>
      </right>
      <top style="thick">
        <color rgb="FFB7B7B7"/>
      </top>
      <bottom style="thick">
        <color rgb="FF74D7D7"/>
      </bottom>
      <diagonal/>
    </border>
    <border>
      <left/>
      <right/>
      <top style="thick">
        <color rgb="FFFFFFFF"/>
      </top>
      <bottom style="thick">
        <color rgb="FFFFFFFF"/>
      </bottom>
      <diagonal/>
    </border>
    <border>
      <left style="thick">
        <color rgb="FFB7B7B7"/>
      </left>
      <right style="thick">
        <color rgb="FF74D7D7"/>
      </right>
      <top style="thick">
        <color rgb="FF74D7D7"/>
      </top>
      <bottom style="thick">
        <color rgb="FF74D7D7"/>
      </bottom>
      <diagonal/>
    </border>
    <border>
      <left style="thick">
        <color rgb="FF74D7D7"/>
      </left>
      <right style="thick">
        <color rgb="FF74D7D7"/>
      </right>
      <top style="thick">
        <color rgb="FF74D7D7"/>
      </top>
      <bottom style="thick">
        <color rgb="FF74D7D7"/>
      </bottom>
      <diagonal/>
    </border>
    <border>
      <left style="thick">
        <color rgb="FF74D7D7"/>
      </left>
      <right style="thick">
        <color rgb="FFB7B7B7"/>
      </right>
      <top style="thick">
        <color rgb="FF74D7D7"/>
      </top>
      <bottom style="thick">
        <color rgb="FF74D7D7"/>
      </bottom>
      <diagonal/>
    </border>
    <border>
      <left style="thick">
        <color rgb="FFB7B7B7"/>
      </left>
      <right style="thick">
        <color rgb="FF74D7D7"/>
      </right>
      <top style="thick">
        <color rgb="FF74D7D7"/>
      </top>
      <bottom style="thick">
        <color rgb="FFB7B7B7"/>
      </bottom>
      <diagonal/>
    </border>
    <border>
      <left style="thick">
        <color rgb="FF74D7D7"/>
      </left>
      <right style="thick">
        <color rgb="FF74D7D7"/>
      </right>
      <top style="thick">
        <color rgb="FF74D7D7"/>
      </top>
      <bottom style="thick">
        <color rgb="FFB7B7B7"/>
      </bottom>
      <diagonal/>
    </border>
    <border>
      <left style="thick">
        <color rgb="FF74D7D7"/>
      </left>
      <right style="thick">
        <color rgb="FFB7B7B7"/>
      </right>
      <top style="thick">
        <color rgb="FF74D7D7"/>
      </top>
      <bottom style="thick">
        <color rgb="FFB7B7B7"/>
      </bottom>
      <diagonal/>
    </border>
    <border>
      <left style="thick">
        <color rgb="FFFFFFFF"/>
      </left>
      <right style="thick">
        <color rgb="FFFFFFFF"/>
      </right>
      <top/>
      <bottom/>
      <diagonal/>
    </border>
    <border>
      <left style="thick">
        <color rgb="FFFFFFFF"/>
      </left>
      <right style="thick">
        <color rgb="FFFFFFFF"/>
      </right>
      <top/>
      <bottom style="thick">
        <color rgb="FFFFFFFF"/>
      </bottom>
      <diagonal/>
    </border>
    <border>
      <left style="thick">
        <color rgb="FFB7B7B7"/>
      </left>
      <right/>
      <top style="thick">
        <color rgb="FFB7B7B7"/>
      </top>
      <bottom/>
      <diagonal/>
    </border>
    <border>
      <left/>
      <right style="thick">
        <color rgb="FFFFFFFF"/>
      </right>
      <top style="thick">
        <color rgb="FFB7B7B7"/>
      </top>
      <bottom/>
      <diagonal/>
    </border>
    <border>
      <left style="thick">
        <color rgb="FFFFFFFF"/>
      </left>
      <right style="thick">
        <color rgb="FFB7B7B7"/>
      </right>
      <top style="thick">
        <color rgb="FFB7B7B7"/>
      </top>
      <bottom/>
      <diagonal/>
    </border>
    <border>
      <left/>
      <right style="thick">
        <color rgb="FFFFFFFF"/>
      </right>
      <top style="thick">
        <color rgb="FFFFFFFF"/>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top/>
      <bottom style="thick">
        <color rgb="FFFFFFFF"/>
      </bottom>
      <diagonal/>
    </border>
    <border>
      <left style="thick">
        <color rgb="FFB7B7B7"/>
      </left>
      <right/>
      <top/>
      <bottom/>
      <diagonal/>
    </border>
    <border>
      <left/>
      <right style="thick">
        <color rgb="FFFFFFFF"/>
      </right>
      <top/>
      <bottom/>
      <diagonal/>
    </border>
    <border>
      <left style="thick">
        <color rgb="FFFFFFFF"/>
      </left>
      <right style="thick">
        <color rgb="FFB7B7B7"/>
      </right>
      <top/>
      <bottom style="thick">
        <color rgb="FFFFFFFF"/>
      </bottom>
      <diagonal/>
    </border>
    <border>
      <left style="thick">
        <color rgb="FFFFFFFF"/>
      </left>
      <right style="thick">
        <color rgb="FFB7B7B7"/>
      </right>
      <top style="thick">
        <color rgb="FFFFFFFF"/>
      </top>
      <bottom/>
      <diagonal/>
    </border>
    <border>
      <left style="thick">
        <color rgb="FFB7B7B7"/>
      </left>
      <right/>
      <top/>
      <bottom style="thick">
        <color rgb="FFFFFFFF"/>
      </bottom>
      <diagonal/>
    </border>
    <border>
      <left/>
      <right style="thick">
        <color rgb="FFFFFFFF"/>
      </right>
      <top/>
      <bottom style="thick">
        <color rgb="FFFFFFFF"/>
      </bottom>
      <diagonal/>
    </border>
    <border>
      <left style="thick">
        <color rgb="FFB7B7B7"/>
      </left>
      <right/>
      <top style="thick">
        <color rgb="FFFFFFFF"/>
      </top>
      <bottom style="thick">
        <color rgb="FFFFFFFF"/>
      </bottom>
      <diagonal/>
    </border>
    <border>
      <left/>
      <right style="thick">
        <color rgb="FFB7B7B7"/>
      </right>
      <top style="thick">
        <color rgb="FFFFFFFF"/>
      </top>
      <bottom style="thick">
        <color rgb="FFFFFFFF"/>
      </bottom>
      <diagonal/>
    </border>
    <border>
      <left style="thick">
        <color rgb="FFB7B7B7"/>
      </left>
      <right style="thick">
        <color rgb="FFFFFFFF"/>
      </right>
      <top style="thick">
        <color rgb="FFFFFFFF"/>
      </top>
      <bottom style="thick">
        <color rgb="FFFFFFFF"/>
      </bottom>
      <diagonal/>
    </border>
    <border>
      <left style="thick">
        <color rgb="FFB7B7B7"/>
      </left>
      <right style="thick">
        <color rgb="FFFFFFFF"/>
      </right>
      <top style="thick">
        <color rgb="FFFFFFFF"/>
      </top>
      <bottom style="thick">
        <color rgb="FFB7B7B7"/>
      </bottom>
      <diagonal/>
    </border>
    <border>
      <left style="thick">
        <color rgb="FFFFFFFF"/>
      </left>
      <right/>
      <top style="thick">
        <color rgb="FFFFFFFF"/>
      </top>
      <bottom style="thick">
        <color rgb="FFB7B7B7"/>
      </bottom>
      <diagonal/>
    </border>
    <border>
      <left/>
      <right style="thick">
        <color rgb="FFB7B7B7"/>
      </right>
      <top style="thick">
        <color rgb="FFFFFFFF"/>
      </top>
      <bottom style="thick">
        <color rgb="FFB7B7B7"/>
      </bottom>
      <diagonal/>
    </border>
    <border>
      <left style="thick">
        <color rgb="FFFFFFFF"/>
      </left>
      <right/>
      <top style="thick">
        <color rgb="FFFFFFFF"/>
      </top>
      <bottom/>
      <diagonal/>
    </border>
    <border>
      <left style="thick">
        <color rgb="FFFFFFFF"/>
      </left>
      <right style="thick">
        <color rgb="FFFFFFFF"/>
      </right>
      <top style="thick">
        <color rgb="FFFFFFFF"/>
      </top>
      <bottom/>
      <diagonal/>
    </border>
    <border>
      <left/>
      <right style="thick">
        <color rgb="FFFFFFFF"/>
      </right>
      <top style="thick">
        <color rgb="FFFFFFFF"/>
      </top>
      <bottom/>
      <diagonal/>
    </border>
    <border>
      <left style="thick">
        <color rgb="FFB7B7B7"/>
      </left>
      <right style="thick">
        <color rgb="FF74D7D7"/>
      </right>
      <top style="thick">
        <color rgb="FFB7B7B7"/>
      </top>
      <bottom style="thick">
        <color rgb="FFB7B7B7"/>
      </bottom>
      <diagonal/>
    </border>
    <border>
      <left style="thick">
        <color rgb="FF74D7D7"/>
      </left>
      <right style="thick">
        <color rgb="FF74D7D7"/>
      </right>
      <top style="thick">
        <color rgb="FFB7B7B7"/>
      </top>
      <bottom style="thick">
        <color rgb="FFB7B7B7"/>
      </bottom>
      <diagonal/>
    </border>
    <border>
      <left style="thick">
        <color rgb="FF74D7D7"/>
      </left>
      <right style="thick">
        <color rgb="FFB7B7B7"/>
      </right>
      <top style="thick">
        <color rgb="FFB7B7B7"/>
      </top>
      <bottom style="thick">
        <color rgb="FFB7B7B7"/>
      </bottom>
      <diagonal/>
    </border>
    <border>
      <left style="thick">
        <color rgb="FF46BDC6"/>
      </left>
      <right style="thick">
        <color rgb="FF46BDC6"/>
      </right>
      <top style="thick">
        <color rgb="FF46BDC6"/>
      </top>
      <bottom style="thick">
        <color rgb="FF46BDC6"/>
      </bottom>
      <diagonal/>
    </border>
    <border>
      <left style="thick">
        <color rgb="FFCCCCCC"/>
      </left>
      <right style="thick">
        <color rgb="FFFFFFFF"/>
      </right>
      <top/>
      <bottom style="medium">
        <color rgb="FFFFFFFF"/>
      </bottom>
      <diagonal/>
    </border>
    <border>
      <left/>
      <right style="hair">
        <color rgb="FFFFFFFF"/>
      </right>
      <top/>
      <bottom style="hair">
        <color rgb="FFFFFFFF"/>
      </bottom>
      <diagonal/>
    </border>
    <border>
      <left style="hair">
        <color rgb="FFFFFFFF"/>
      </left>
      <right style="hair">
        <color rgb="FFFFFFFF"/>
      </right>
      <top/>
      <bottom style="hair">
        <color rgb="FFFFFFFF"/>
      </bottom>
      <diagonal/>
    </border>
    <border>
      <left style="hair">
        <color rgb="FFFFFFFF"/>
      </left>
      <right/>
      <top/>
      <bottom style="hair">
        <color rgb="FFFFFFFF"/>
      </bottom>
      <diagonal/>
    </border>
    <border>
      <left style="thick">
        <color rgb="FFFFFFFF"/>
      </left>
      <right style="thick">
        <color rgb="FFFFFFFF"/>
      </right>
      <top/>
      <bottom style="medium">
        <color rgb="FFFFFFFF"/>
      </bottom>
      <diagonal/>
    </border>
    <border>
      <left style="thick">
        <color rgb="FFFFFFFF"/>
      </left>
      <right style="thick">
        <color rgb="FFCCCCCC"/>
      </right>
      <top/>
      <bottom style="medium">
        <color rgb="FFFFFFFF"/>
      </bottom>
      <diagonal/>
    </border>
    <border>
      <left style="thick">
        <color rgb="FFCCCCCC"/>
      </left>
      <right style="thick">
        <color rgb="FFFFFFFF"/>
      </right>
      <top/>
      <bottom/>
      <diagonal/>
    </border>
    <border>
      <left/>
      <right style="hair">
        <color rgb="FFFFFFFF"/>
      </right>
      <top/>
      <bottom/>
      <diagonal/>
    </border>
    <border>
      <left style="hair">
        <color rgb="FFFFFFFF"/>
      </left>
      <right style="hair">
        <color rgb="FFFFFFFF"/>
      </right>
      <top/>
      <bottom/>
      <diagonal/>
    </border>
    <border>
      <left style="hair">
        <color rgb="FFFFFFFF"/>
      </left>
      <right/>
      <top/>
      <bottom/>
      <diagonal/>
    </border>
    <border>
      <left style="thick">
        <color rgb="FF999999"/>
      </left>
      <right style="thin">
        <color rgb="FF74D7D7"/>
      </right>
      <top style="thick">
        <color rgb="FF999999"/>
      </top>
      <bottom style="thin">
        <color rgb="FF74D7D7"/>
      </bottom>
      <diagonal/>
    </border>
    <border>
      <left style="thin">
        <color rgb="FF74D7D7"/>
      </left>
      <right/>
      <top style="thick">
        <color rgb="FF999999"/>
      </top>
      <bottom/>
      <diagonal/>
    </border>
    <border>
      <left/>
      <right style="thin">
        <color rgb="FF74D7D7"/>
      </right>
      <top style="thick">
        <color rgb="FF999999"/>
      </top>
      <bottom/>
      <diagonal/>
    </border>
    <border>
      <left style="thin">
        <color rgb="FF74D7D7"/>
      </left>
      <right style="thin">
        <color rgb="FF74D7D7"/>
      </right>
      <top style="thick">
        <color rgb="FF999999"/>
      </top>
      <bottom style="thin">
        <color rgb="FF74D7D7"/>
      </bottom>
      <diagonal/>
    </border>
    <border>
      <left style="thin">
        <color rgb="FF74D7D7"/>
      </left>
      <right style="thick">
        <color rgb="FF999999"/>
      </right>
      <top style="thick">
        <color rgb="FF999999"/>
      </top>
      <bottom style="thin">
        <color rgb="FF74D7D7"/>
      </bottom>
      <diagonal/>
    </border>
    <border>
      <left/>
      <right/>
      <top style="thick">
        <color rgb="FF999999"/>
      </top>
      <bottom/>
      <diagonal/>
    </border>
    <border>
      <left style="thick">
        <color rgb="FF999999"/>
      </left>
      <right style="thin">
        <color rgb="FF74D7D7"/>
      </right>
      <top style="thin">
        <color rgb="FF74D7D7"/>
      </top>
      <bottom style="thick">
        <color rgb="FF999999"/>
      </bottom>
      <diagonal/>
    </border>
    <border>
      <left style="thin">
        <color rgb="FF74D7D7"/>
      </left>
      <right/>
      <top/>
      <bottom style="thick">
        <color rgb="FF999999"/>
      </bottom>
      <diagonal/>
    </border>
    <border>
      <left/>
      <right style="thin">
        <color rgb="FF74D7D7"/>
      </right>
      <top/>
      <bottom style="thick">
        <color rgb="FF999999"/>
      </bottom>
      <diagonal/>
    </border>
    <border>
      <left style="thin">
        <color rgb="FF74D7D7"/>
      </left>
      <right style="thin">
        <color rgb="FF74D7D7"/>
      </right>
      <top style="thin">
        <color rgb="FF74D7D7"/>
      </top>
      <bottom style="thick">
        <color rgb="FF999999"/>
      </bottom>
      <diagonal/>
    </border>
    <border>
      <left style="thin">
        <color rgb="FF74D7D7"/>
      </left>
      <right style="thick">
        <color rgb="FF74D7D7"/>
      </right>
      <top style="thin">
        <color rgb="FF74D7D7"/>
      </top>
      <bottom style="thick">
        <color rgb="FFFFFFFF"/>
      </bottom>
      <diagonal/>
    </border>
    <border>
      <left style="thick">
        <color rgb="FF74D7D7"/>
      </left>
      <right style="thick">
        <color rgb="FF999999"/>
      </right>
      <top style="thin">
        <color rgb="FF74D7D7"/>
      </top>
      <bottom style="thick">
        <color rgb="FFFFFFFF"/>
      </bottom>
      <diagonal/>
    </border>
    <border>
      <left/>
      <right/>
      <top/>
      <bottom style="thick">
        <color rgb="FF999999"/>
      </bottom>
      <diagonal/>
    </border>
    <border>
      <left style="thick">
        <color rgb="FFB7B7B7"/>
      </left>
      <right style="thick">
        <color rgb="FFFFFFFF"/>
      </right>
      <top/>
      <bottom style="thick">
        <color rgb="FFFFFFFF"/>
      </bottom>
      <diagonal/>
    </border>
    <border>
      <left style="thick">
        <color rgb="FFFFFFFF"/>
      </left>
      <right style="thick">
        <color rgb="FF999999"/>
      </right>
      <top style="thick">
        <color rgb="FFFFFFFF"/>
      </top>
      <bottom style="thick">
        <color rgb="FFFFFFFF"/>
      </bottom>
      <diagonal/>
    </border>
    <border>
      <left style="thick">
        <color rgb="FFFFFFFF"/>
      </left>
      <right style="thick">
        <color rgb="FFFFFFFF"/>
      </right>
      <top style="thick">
        <color rgb="FFFFFFFF"/>
      </top>
      <bottom style="thick">
        <color rgb="FFB7B7B7"/>
      </bottom>
      <diagonal/>
    </border>
    <border>
      <left style="thick">
        <color rgb="FFFFFFFF"/>
      </left>
      <right/>
      <top/>
      <bottom style="thick">
        <color rgb="FFB7B7B7"/>
      </bottom>
      <diagonal/>
    </border>
    <border>
      <left style="thick">
        <color rgb="FFFFFFFF"/>
      </left>
      <right style="thick">
        <color rgb="FF999999"/>
      </right>
      <top style="thick">
        <color rgb="FFFFFFFF"/>
      </top>
      <bottom style="thick">
        <color rgb="FFB7B7B7"/>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ck">
        <color rgb="FFFFFFFF"/>
      </left>
      <right style="thin">
        <color rgb="FF74D7D7"/>
      </right>
      <top style="thin">
        <color rgb="FFFFFFFF"/>
      </top>
      <bottom style="thick">
        <color rgb="FFFFFFFF"/>
      </bottom>
      <diagonal/>
    </border>
    <border>
      <left style="thin">
        <color rgb="FF74D7D7"/>
      </left>
      <right style="thin">
        <color rgb="FF74D7D7"/>
      </right>
      <top style="thin">
        <color rgb="FFFFFFFF"/>
      </top>
      <bottom style="thick">
        <color rgb="FFFFFFFF"/>
      </bottom>
      <diagonal/>
    </border>
    <border>
      <left style="thin">
        <color rgb="FF74D7D7"/>
      </left>
      <right/>
      <top style="thin">
        <color rgb="FFFFFFFF"/>
      </top>
      <bottom style="thick">
        <color rgb="FFFFFFFF"/>
      </bottom>
      <diagonal/>
    </border>
    <border>
      <left style="thick">
        <color rgb="FFFFFFFF"/>
      </left>
      <right style="thin">
        <color rgb="FF74D7D7"/>
      </right>
      <top style="medium">
        <color rgb="FFFFFFFF"/>
      </top>
      <bottom style="thick">
        <color rgb="FFFFFFFF"/>
      </bottom>
      <diagonal/>
    </border>
    <border>
      <left style="thin">
        <color rgb="FF74D7D7"/>
      </left>
      <right/>
      <top style="medium">
        <color rgb="FFFFFFFF"/>
      </top>
      <bottom style="thick">
        <color rgb="FFFFFFFF"/>
      </bottom>
      <diagonal/>
    </border>
    <border>
      <left style="thin">
        <color rgb="FF74D7D7"/>
      </left>
      <right style="thin">
        <color rgb="FF74D7D7"/>
      </right>
      <top style="medium">
        <color rgb="FFFFFFFF"/>
      </top>
      <bottom style="thick">
        <color rgb="FFFFFFFF"/>
      </bottom>
      <diagonal/>
    </border>
    <border>
      <left style="thin">
        <color rgb="FF74D7D7"/>
      </left>
      <right style="thin">
        <color rgb="FF76A5AF"/>
      </right>
      <top style="medium">
        <color rgb="FFFFFFFF"/>
      </top>
      <bottom style="thick">
        <color rgb="FFFFFFFF"/>
      </bottom>
      <diagonal/>
    </border>
    <border>
      <left style="thin">
        <color rgb="FF76A5AF"/>
      </left>
      <right style="thin">
        <color rgb="FF76A5AF"/>
      </right>
      <top style="medium">
        <color rgb="FFFFFFFF"/>
      </top>
      <bottom style="thick">
        <color rgb="FFFFFFFF"/>
      </bottom>
      <diagonal/>
    </border>
    <border>
      <left style="thin">
        <color rgb="FF76A5AF"/>
      </left>
      <right style="thin">
        <color rgb="FF74D7D7"/>
      </right>
      <top style="medium">
        <color rgb="FFFFFFFF"/>
      </top>
      <bottom style="thick">
        <color rgb="FFFFFFFF"/>
      </bottom>
      <diagonal/>
    </border>
    <border>
      <left/>
      <right/>
      <top style="medium">
        <color rgb="FFFFFFFF"/>
      </top>
      <bottom style="thick">
        <color rgb="FFFFFFFF"/>
      </bottom>
      <diagonal/>
    </border>
    <border>
      <left/>
      <right style="thin">
        <color rgb="FF74D7D7"/>
      </right>
      <top style="medium">
        <color rgb="FFFFFFFF"/>
      </top>
      <bottom style="thick">
        <color rgb="FFFFFFFF"/>
      </bottom>
      <diagonal/>
    </border>
    <border>
      <left style="thin">
        <color rgb="FF74D7D7"/>
      </left>
      <right style="thick">
        <color rgb="FFFFFFFF"/>
      </right>
      <top style="medium">
        <color rgb="FFFFFFFF"/>
      </top>
      <bottom style="thick">
        <color rgb="FFFFFFFF"/>
      </bottom>
      <diagonal/>
    </border>
    <border>
      <left style="thick">
        <color rgb="FFFFFFFF"/>
      </left>
      <right/>
      <top style="medium">
        <color rgb="FFFFFFFF"/>
      </top>
      <bottom style="thick">
        <color rgb="FFFFFFFF"/>
      </bottom>
      <diagonal/>
    </border>
    <border>
      <left/>
      <right style="thick">
        <color rgb="FFFFFFFF"/>
      </right>
      <top style="medium">
        <color rgb="FFFFFFFF"/>
      </top>
      <bottom style="thick">
        <color rgb="FFFFFFFF"/>
      </bottom>
      <diagonal/>
    </border>
    <border>
      <left style="thick">
        <color rgb="FFFFFFFF"/>
      </left>
      <right/>
      <top/>
      <bottom style="thick">
        <color rgb="FF000000"/>
      </bottom>
      <diagonal/>
    </border>
    <border>
      <left/>
      <right/>
      <top/>
      <bottom style="thick">
        <color rgb="FF000000"/>
      </bottom>
      <diagonal/>
    </border>
    <border>
      <left/>
      <right style="thick">
        <color rgb="FFFFFFFF"/>
      </right>
      <top/>
      <bottom style="thick">
        <color rgb="FF000000"/>
      </bottom>
      <diagonal/>
    </border>
    <border>
      <left style="thick">
        <color rgb="FFFFFFFF"/>
      </left>
      <right style="thin">
        <color rgb="FF46BDC6"/>
      </right>
      <top/>
      <bottom style="thick">
        <color rgb="FF000000"/>
      </bottom>
      <diagonal/>
    </border>
    <border>
      <left style="thin">
        <color rgb="FF46BDC6"/>
      </left>
      <right style="thin">
        <color rgb="FF46BDC6"/>
      </right>
      <top/>
      <bottom style="thick">
        <color rgb="FF000000"/>
      </bottom>
      <diagonal/>
    </border>
    <border>
      <left style="thin">
        <color rgb="FF46BDC6"/>
      </left>
      <right style="thin">
        <color rgb="FF666666"/>
      </right>
      <top/>
      <bottom style="thick">
        <color rgb="FF000000"/>
      </bottom>
      <diagonal/>
    </border>
    <border>
      <left style="thin">
        <color rgb="FF666666"/>
      </left>
      <right style="thin">
        <color rgb="FF666666"/>
      </right>
      <top/>
      <bottom style="thick">
        <color rgb="FF000000"/>
      </bottom>
      <diagonal/>
    </border>
    <border>
      <left style="thin">
        <color rgb="FF666666"/>
      </left>
      <right style="thin">
        <color rgb="FF46BDC6"/>
      </right>
      <top/>
      <bottom style="thick">
        <color rgb="FF000000"/>
      </bottom>
      <diagonal/>
    </border>
    <border>
      <left style="thin">
        <color rgb="FF46BDC6"/>
      </left>
      <right style="thick">
        <color rgb="FFB7B7B7"/>
      </right>
      <top/>
      <bottom style="thick">
        <color rgb="FF000000"/>
      </bottom>
      <diagonal/>
    </border>
    <border>
      <left style="thin">
        <color rgb="FF46BDC6"/>
      </left>
      <right style="thick">
        <color rgb="FFFFFFFF"/>
      </right>
      <top/>
      <bottom style="thick">
        <color rgb="FF000000"/>
      </bottom>
      <diagonal/>
    </border>
    <border>
      <left style="thick">
        <color rgb="FF000000"/>
      </left>
      <right/>
      <top/>
      <bottom/>
      <diagonal/>
    </border>
    <border>
      <left/>
      <right style="thick">
        <color rgb="FFB7B7B7"/>
      </right>
      <top/>
      <bottom/>
      <diagonal/>
    </border>
    <border>
      <left/>
      <right style="thick">
        <color rgb="FF000000"/>
      </right>
      <top/>
      <bottom/>
      <diagonal/>
    </border>
    <border>
      <left/>
      <right style="thin">
        <color rgb="FF76A5AF"/>
      </right>
      <top style="medium">
        <color rgb="FFFFFFFF"/>
      </top>
      <bottom style="thick">
        <color rgb="FFFFFFFF"/>
      </bottom>
      <diagonal/>
    </border>
    <border>
      <left style="thin">
        <color rgb="FF46BDC6"/>
      </left>
      <right/>
      <top/>
      <bottom style="thick">
        <color rgb="FF000000"/>
      </bottom>
      <diagonal/>
    </border>
    <border>
      <left style="thick">
        <color rgb="FF000000"/>
      </left>
      <right/>
      <top/>
      <bottom style="medium">
        <color rgb="FF000000"/>
      </bottom>
      <diagonal/>
    </border>
    <border>
      <left/>
      <right/>
      <top/>
      <bottom style="medium">
        <color rgb="FF000000"/>
      </bottom>
      <diagonal/>
    </border>
    <border>
      <left/>
      <right style="thick">
        <color rgb="FF000000"/>
      </right>
      <top/>
      <bottom style="medium">
        <color rgb="FF000000"/>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74D7D7"/>
      </left>
      <right style="thin">
        <color rgb="FF74D7D7"/>
      </right>
      <top style="thin">
        <color rgb="FFB7B7B7"/>
      </top>
      <bottom style="thick">
        <color rgb="FF999999"/>
      </bottom>
      <diagonal/>
    </border>
    <border>
      <left style="thin">
        <color rgb="FF74D7D7"/>
      </left>
      <right style="thin">
        <color rgb="FFB7B7B7"/>
      </right>
      <top style="thin">
        <color rgb="FFB7B7B7"/>
      </top>
      <bottom style="thick">
        <color rgb="FF999999"/>
      </bottom>
      <diagonal/>
    </border>
    <border>
      <left style="thin">
        <color rgb="FF74D7D7"/>
      </left>
      <right style="thin">
        <color rgb="FF74D7D7"/>
      </right>
      <top style="thick">
        <color rgb="FF999999"/>
      </top>
      <bottom style="thick">
        <color rgb="FF999999"/>
      </bottom>
      <diagonal/>
    </border>
    <border>
      <left/>
      <right/>
      <top style="thin">
        <color rgb="FFFFFFFF"/>
      </top>
      <bottom/>
      <diagonal/>
    </border>
    <border>
      <left/>
      <right/>
      <top style="thin">
        <color rgb="FFFFFFFF"/>
      </top>
      <bottom style="thin">
        <color rgb="FFFFFFFF"/>
      </bottom>
      <diagonal/>
    </border>
    <border>
      <left style="thin">
        <color rgb="FFB7B7B7"/>
      </left>
      <right style="thin">
        <color rgb="FFB7B7B7"/>
      </right>
      <top style="thin">
        <color rgb="FFB7B7B7"/>
      </top>
      <bottom style="thin">
        <color rgb="FFB7B7B7"/>
      </bottom>
      <diagonal/>
    </border>
    <border>
      <left/>
      <right/>
      <top/>
      <bottom style="thin">
        <color rgb="FFFFFFFF"/>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254">
    <xf numFmtId="0" fontId="0" fillId="0" borderId="0" xfId="0"/>
    <xf numFmtId="0" fontId="1" fillId="0" borderId="1" xfId="0" applyFont="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0" borderId="5" xfId="0" applyFont="1" applyBorder="1"/>
    <xf numFmtId="0" fontId="2" fillId="2" borderId="6"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1" fillId="2" borderId="10" xfId="0" applyFont="1" applyFill="1" applyBorder="1"/>
    <xf numFmtId="0" fontId="1" fillId="2" borderId="11" xfId="0" applyFont="1" applyFill="1" applyBorder="1"/>
    <xf numFmtId="0" fontId="1" fillId="3" borderId="12" xfId="0" applyFont="1" applyFill="1" applyBorder="1"/>
    <xf numFmtId="0" fontId="1" fillId="3" borderId="13" xfId="0" applyFont="1" applyFill="1" applyBorder="1"/>
    <xf numFmtId="0" fontId="1" fillId="3" borderId="17" xfId="0" applyFont="1" applyFill="1" applyBorder="1"/>
    <xf numFmtId="0" fontId="1" fillId="3" borderId="18" xfId="0" applyFont="1" applyFill="1" applyBorder="1"/>
    <xf numFmtId="0" fontId="1" fillId="3" borderId="19" xfId="0" applyFont="1" applyFill="1" applyBorder="1"/>
    <xf numFmtId="0" fontId="1" fillId="3" borderId="1" xfId="0" applyFont="1" applyFill="1" applyBorder="1"/>
    <xf numFmtId="0" fontId="1" fillId="3" borderId="5" xfId="0" applyFont="1" applyFill="1" applyBorder="1"/>
    <xf numFmtId="0" fontId="8" fillId="2" borderId="28" xfId="0" applyFont="1" applyFill="1" applyBorder="1"/>
    <xf numFmtId="0" fontId="8" fillId="2" borderId="29" xfId="0" applyFont="1" applyFill="1" applyBorder="1"/>
    <xf numFmtId="0" fontId="1" fillId="3" borderId="32" xfId="0" applyFont="1" applyFill="1" applyBorder="1"/>
    <xf numFmtId="0" fontId="1" fillId="0" borderId="17" xfId="0" applyFont="1" applyBorder="1"/>
    <xf numFmtId="0" fontId="1" fillId="3" borderId="33" xfId="0" applyFont="1" applyFill="1" applyBorder="1"/>
    <xf numFmtId="0" fontId="1" fillId="0" borderId="34" xfId="0" applyFont="1" applyBorder="1"/>
    <xf numFmtId="0" fontId="10" fillId="2" borderId="35" xfId="0" applyFont="1" applyFill="1" applyBorder="1"/>
    <xf numFmtId="0" fontId="1" fillId="2" borderId="36" xfId="0" applyFont="1" applyFill="1" applyBorder="1"/>
    <xf numFmtId="0" fontId="1" fillId="2" borderId="37" xfId="0" applyFont="1" applyFill="1" applyBorder="1"/>
    <xf numFmtId="0" fontId="1" fillId="0" borderId="32" xfId="0" applyFont="1" applyBorder="1"/>
    <xf numFmtId="0" fontId="1" fillId="0" borderId="21" xfId="0" applyFont="1" applyBorder="1"/>
    <xf numFmtId="0" fontId="1" fillId="5" borderId="38" xfId="0" applyFont="1" applyFill="1" applyBorder="1"/>
    <xf numFmtId="0" fontId="11" fillId="5" borderId="38" xfId="0" applyFont="1" applyFill="1" applyBorder="1" applyAlignment="1">
      <alignment horizontal="center"/>
    </xf>
    <xf numFmtId="0" fontId="1" fillId="0" borderId="19" xfId="0" applyFont="1" applyBorder="1"/>
    <xf numFmtId="0" fontId="9" fillId="5" borderId="39" xfId="0" applyFont="1" applyFill="1" applyBorder="1" applyAlignment="1">
      <alignment horizontal="center"/>
    </xf>
    <xf numFmtId="0" fontId="9" fillId="5" borderId="40" xfId="0" applyFont="1" applyFill="1" applyBorder="1" applyAlignment="1">
      <alignment horizontal="center"/>
    </xf>
    <xf numFmtId="0" fontId="9" fillId="5" borderId="41" xfId="0" applyFont="1" applyFill="1" applyBorder="1" applyAlignment="1">
      <alignment horizontal="center"/>
    </xf>
    <xf numFmtId="0" fontId="9" fillId="5" borderId="42" xfId="0" applyFont="1" applyFill="1" applyBorder="1" applyAlignment="1">
      <alignment horizontal="center"/>
    </xf>
    <xf numFmtId="0" fontId="9" fillId="5" borderId="43" xfId="0" applyFont="1" applyFill="1" applyBorder="1" applyAlignment="1">
      <alignment horizontal="center"/>
    </xf>
    <xf numFmtId="0" fontId="9" fillId="5" borderId="44" xfId="0" applyFont="1" applyFill="1" applyBorder="1" applyAlignment="1">
      <alignment horizontal="center"/>
    </xf>
    <xf numFmtId="0" fontId="9" fillId="5" borderId="45" xfId="0" applyFont="1" applyFill="1" applyBorder="1" applyAlignment="1">
      <alignment horizontal="center"/>
    </xf>
    <xf numFmtId="0" fontId="9" fillId="5" borderId="46" xfId="0" applyFont="1" applyFill="1" applyBorder="1" applyAlignment="1">
      <alignment horizontal="center"/>
    </xf>
    <xf numFmtId="0" fontId="9" fillId="5" borderId="47" xfId="0" applyFont="1" applyFill="1" applyBorder="1" applyAlignment="1">
      <alignment horizontal="center"/>
    </xf>
    <xf numFmtId="0" fontId="9" fillId="5" borderId="48" xfId="0" applyFont="1" applyFill="1" applyBorder="1" applyAlignment="1">
      <alignment horizontal="center"/>
    </xf>
    <xf numFmtId="0" fontId="9" fillId="5" borderId="12" xfId="0" applyFont="1" applyFill="1" applyBorder="1" applyAlignment="1">
      <alignment horizontal="center"/>
    </xf>
    <xf numFmtId="0" fontId="9" fillId="5" borderId="38" xfId="0" applyFont="1" applyFill="1" applyBorder="1" applyAlignment="1">
      <alignment horizontal="center"/>
    </xf>
    <xf numFmtId="0" fontId="1" fillId="0" borderId="25" xfId="0" applyFont="1" applyBorder="1"/>
    <xf numFmtId="0" fontId="1" fillId="2" borderId="49" xfId="0" applyFont="1" applyFill="1" applyBorder="1"/>
    <xf numFmtId="0" fontId="1" fillId="2" borderId="52" xfId="0" applyFont="1" applyFill="1" applyBorder="1"/>
    <xf numFmtId="0" fontId="1" fillId="2" borderId="53" xfId="0" applyFont="1" applyFill="1" applyBorder="1"/>
    <xf numFmtId="0" fontId="1" fillId="2" borderId="55" xfId="0" applyFont="1" applyFill="1" applyBorder="1"/>
    <xf numFmtId="0" fontId="1" fillId="2" borderId="58" xfId="0" applyFont="1" applyFill="1" applyBorder="1"/>
    <xf numFmtId="0" fontId="1" fillId="2" borderId="59" xfId="0" applyFont="1" applyFill="1" applyBorder="1"/>
    <xf numFmtId="0" fontId="1" fillId="2" borderId="60" xfId="0" applyFont="1" applyFill="1" applyBorder="1"/>
    <xf numFmtId="0" fontId="1" fillId="3" borderId="62" xfId="0" applyFont="1" applyFill="1" applyBorder="1"/>
    <xf numFmtId="0" fontId="13" fillId="2" borderId="28" xfId="0" applyFont="1" applyFill="1" applyBorder="1" applyAlignment="1">
      <alignment horizontal="center" vertical="center"/>
    </xf>
    <xf numFmtId="0" fontId="13" fillId="2" borderId="63" xfId="0" applyFont="1" applyFill="1" applyBorder="1" applyAlignment="1">
      <alignment horizontal="center" vertical="center"/>
    </xf>
    <xf numFmtId="0" fontId="1" fillId="3" borderId="28" xfId="0" applyFont="1" applyFill="1" applyBorder="1"/>
    <xf numFmtId="0" fontId="1" fillId="3" borderId="29" xfId="0" applyFont="1" applyFill="1" applyBorder="1"/>
    <xf numFmtId="0" fontId="1" fillId="3" borderId="64" xfId="0" applyFont="1" applyFill="1" applyBorder="1"/>
    <xf numFmtId="0" fontId="1" fillId="3" borderId="65" xfId="0" applyFont="1" applyFill="1" applyBorder="1"/>
    <xf numFmtId="0" fontId="14" fillId="2" borderId="29" xfId="0" applyFont="1" applyFill="1" applyBorder="1" applyAlignment="1">
      <alignment horizontal="center" vertical="center"/>
    </xf>
    <xf numFmtId="0" fontId="14" fillId="2" borderId="66" xfId="0" applyFont="1" applyFill="1" applyBorder="1" applyAlignment="1">
      <alignment horizontal="center" vertical="center"/>
    </xf>
    <xf numFmtId="0" fontId="1" fillId="0" borderId="67" xfId="0" applyFont="1" applyBorder="1"/>
    <xf numFmtId="0" fontId="1" fillId="3" borderId="68" xfId="0" applyFont="1" applyFill="1" applyBorder="1"/>
    <xf numFmtId="0" fontId="1" fillId="0" borderId="68" xfId="0" applyFont="1" applyBorder="1"/>
    <xf numFmtId="0" fontId="1" fillId="0" borderId="69" xfId="0" applyFont="1" applyBorder="1"/>
    <xf numFmtId="0" fontId="1" fillId="0" borderId="70" xfId="0" applyFont="1" applyBorder="1"/>
    <xf numFmtId="0" fontId="1" fillId="3" borderId="71" xfId="0" applyFont="1" applyFill="1" applyBorder="1"/>
    <xf numFmtId="0" fontId="1" fillId="0" borderId="71" xfId="0" applyFont="1" applyBorder="1"/>
    <xf numFmtId="0" fontId="1" fillId="0" borderId="72" xfId="0" applyFont="1" applyBorder="1"/>
    <xf numFmtId="0" fontId="1" fillId="0" borderId="73" xfId="0" applyFont="1" applyBorder="1"/>
    <xf numFmtId="0" fontId="1" fillId="3" borderId="74" xfId="0" applyFont="1" applyFill="1" applyBorder="1"/>
    <xf numFmtId="0" fontId="1" fillId="0" borderId="74" xfId="0" applyFont="1" applyBorder="1"/>
    <xf numFmtId="0" fontId="1" fillId="0" borderId="75" xfId="0" applyFont="1" applyBorder="1"/>
    <xf numFmtId="0" fontId="7" fillId="2" borderId="76" xfId="0" applyFont="1" applyFill="1" applyBorder="1"/>
    <xf numFmtId="0" fontId="7" fillId="2" borderId="77" xfId="0" applyFont="1" applyFill="1" applyBorder="1" applyAlignment="1">
      <alignment horizontal="center"/>
    </xf>
    <xf numFmtId="0" fontId="15" fillId="2" borderId="77" xfId="0" applyFont="1" applyFill="1" applyBorder="1" applyAlignment="1">
      <alignment horizontal="center"/>
    </xf>
    <xf numFmtId="0" fontId="7" fillId="2" borderId="77" xfId="0" applyFont="1" applyFill="1" applyBorder="1"/>
    <xf numFmtId="0" fontId="7" fillId="2" borderId="78" xfId="0" applyFont="1" applyFill="1" applyBorder="1"/>
    <xf numFmtId="0" fontId="9" fillId="2" borderId="79" xfId="0" applyFont="1" applyFill="1" applyBorder="1" applyAlignment="1">
      <alignment horizontal="center"/>
    </xf>
    <xf numFmtId="0" fontId="9" fillId="2" borderId="80" xfId="0" applyFont="1" applyFill="1" applyBorder="1" applyAlignment="1">
      <alignment horizontal="center"/>
    </xf>
    <xf numFmtId="0" fontId="9" fillId="2" borderId="81" xfId="0" applyFont="1" applyFill="1" applyBorder="1" applyAlignment="1">
      <alignment horizontal="center"/>
    </xf>
    <xf numFmtId="0" fontId="9" fillId="6" borderId="82" xfId="0" applyFont="1" applyFill="1" applyBorder="1" applyAlignment="1">
      <alignment horizontal="center"/>
    </xf>
    <xf numFmtId="0" fontId="9" fillId="6" borderId="83" xfId="0" applyFont="1" applyFill="1" applyBorder="1" applyAlignment="1">
      <alignment horizontal="center"/>
    </xf>
    <xf numFmtId="0" fontId="9" fillId="6" borderId="84" xfId="0" applyFont="1" applyFill="1" applyBorder="1" applyAlignment="1">
      <alignment horizontal="center"/>
    </xf>
    <xf numFmtId="0" fontId="9" fillId="2" borderId="87" xfId="0" applyFont="1" applyFill="1" applyBorder="1" applyAlignment="1">
      <alignment horizontal="center"/>
    </xf>
    <xf numFmtId="0" fontId="9" fillId="2" borderId="88" xfId="0" applyFont="1" applyFill="1" applyBorder="1" applyAlignment="1">
      <alignment horizontal="center"/>
    </xf>
    <xf numFmtId="0" fontId="9" fillId="2" borderId="89" xfId="0" applyFont="1" applyFill="1" applyBorder="1" applyAlignment="1">
      <alignment horizontal="center"/>
    </xf>
    <xf numFmtId="0" fontId="9" fillId="2" borderId="85" xfId="0" applyFont="1" applyFill="1" applyBorder="1" applyAlignment="1">
      <alignment horizontal="center"/>
    </xf>
    <xf numFmtId="0" fontId="9" fillId="2" borderId="86" xfId="0" applyFont="1" applyFill="1" applyBorder="1" applyAlignment="1">
      <alignment horizontal="center"/>
    </xf>
    <xf numFmtId="0" fontId="15" fillId="2" borderId="90" xfId="0" applyFont="1" applyFill="1" applyBorder="1" applyAlignment="1">
      <alignment horizontal="center" vertical="center" wrapText="1"/>
    </xf>
    <xf numFmtId="0" fontId="15" fillId="2" borderId="91" xfId="0" applyFont="1" applyFill="1" applyBorder="1" applyAlignment="1">
      <alignment horizontal="center" vertical="center" wrapText="1"/>
    </xf>
    <xf numFmtId="0" fontId="15" fillId="2" borderId="92" xfId="0" applyFont="1" applyFill="1" applyBorder="1" applyAlignment="1">
      <alignment horizontal="center" vertical="center" wrapText="1"/>
    </xf>
    <xf numFmtId="0" fontId="9" fillId="2" borderId="93" xfId="0" applyFont="1" applyFill="1" applyBorder="1" applyAlignment="1">
      <alignment horizontal="center" vertical="center" wrapText="1"/>
    </xf>
    <xf numFmtId="0" fontId="9" fillId="2" borderId="94" xfId="0" applyFont="1" applyFill="1" applyBorder="1" applyAlignment="1">
      <alignment horizontal="center" vertical="center" wrapText="1"/>
    </xf>
    <xf numFmtId="0" fontId="16" fillId="7" borderId="95" xfId="0" applyFont="1" applyFill="1" applyBorder="1" applyAlignment="1">
      <alignment horizontal="center" vertical="center" wrapText="1"/>
    </xf>
    <xf numFmtId="0" fontId="16" fillId="7" borderId="96" xfId="0" applyFont="1" applyFill="1" applyBorder="1" applyAlignment="1">
      <alignment horizontal="center" vertical="center" wrapText="1"/>
    </xf>
    <xf numFmtId="0" fontId="16" fillId="7" borderId="97" xfId="0" applyFont="1" applyFill="1" applyBorder="1" applyAlignment="1">
      <alignment horizontal="center" vertical="center" wrapText="1"/>
    </xf>
    <xf numFmtId="0" fontId="9" fillId="2" borderId="98" xfId="0" applyFont="1" applyFill="1" applyBorder="1" applyAlignment="1">
      <alignment horizontal="center" vertical="center" wrapText="1"/>
    </xf>
    <xf numFmtId="0" fontId="9" fillId="2" borderId="91" xfId="0" applyFont="1" applyFill="1" applyBorder="1" applyAlignment="1">
      <alignment horizontal="center" vertical="center" wrapText="1"/>
    </xf>
    <xf numFmtId="0" fontId="9" fillId="2" borderId="99" xfId="0" applyFont="1" applyFill="1" applyBorder="1" applyAlignment="1">
      <alignment horizontal="center" vertical="center" wrapText="1"/>
    </xf>
    <xf numFmtId="0" fontId="1" fillId="0" borderId="100" xfId="0" applyFont="1" applyBorder="1"/>
    <xf numFmtId="0" fontId="1" fillId="0" borderId="0" xfId="0" applyFont="1" applyAlignment="1">
      <alignment horizontal="center"/>
    </xf>
    <xf numFmtId="0" fontId="1" fillId="0" borderId="100" xfId="0" applyFont="1" applyBorder="1" applyAlignment="1">
      <alignment horizontal="center"/>
    </xf>
    <xf numFmtId="164" fontId="1" fillId="0" borderId="0" xfId="0" applyNumberFormat="1" applyFont="1" applyAlignment="1">
      <alignment horizontal="center"/>
    </xf>
    <xf numFmtId="0" fontId="1" fillId="8" borderId="0" xfId="0" applyFont="1" applyFill="1" applyAlignment="1">
      <alignment horizontal="center"/>
    </xf>
    <xf numFmtId="0" fontId="1" fillId="0" borderId="101" xfId="0" applyFont="1" applyBorder="1" applyAlignment="1">
      <alignment horizontal="center"/>
    </xf>
    <xf numFmtId="0" fontId="1" fillId="0" borderId="102" xfId="0" applyFont="1" applyBorder="1" applyAlignment="1">
      <alignment horizontal="center"/>
    </xf>
    <xf numFmtId="0" fontId="17" fillId="0" borderId="0" xfId="0" applyFont="1" applyAlignment="1">
      <alignment horizontal="center"/>
    </xf>
    <xf numFmtId="0" fontId="17" fillId="0" borderId="102" xfId="0" applyFont="1" applyBorder="1" applyAlignment="1">
      <alignment horizontal="center"/>
    </xf>
    <xf numFmtId="0" fontId="18" fillId="0" borderId="0" xfId="0" applyFont="1" applyAlignment="1">
      <alignment horizontal="center"/>
    </xf>
    <xf numFmtId="0" fontId="1" fillId="0" borderId="102" xfId="0" applyFont="1" applyBorder="1"/>
    <xf numFmtId="0" fontId="9" fillId="6" borderId="103" xfId="0" applyFont="1" applyFill="1" applyBorder="1" applyAlignment="1">
      <alignment horizontal="center"/>
    </xf>
    <xf numFmtId="0" fontId="19" fillId="3" borderId="104" xfId="0" applyFont="1" applyFill="1" applyBorder="1" applyAlignment="1">
      <alignment horizontal="center" vertical="center" wrapText="1"/>
    </xf>
    <xf numFmtId="0" fontId="19" fillId="7" borderId="95" xfId="0" applyFont="1" applyFill="1" applyBorder="1" applyAlignment="1">
      <alignment horizontal="center" vertical="center" wrapText="1"/>
    </xf>
    <xf numFmtId="0" fontId="19" fillId="3" borderId="95" xfId="0" applyFont="1" applyFill="1" applyBorder="1" applyAlignment="1">
      <alignment horizontal="center" vertical="center" wrapText="1"/>
    </xf>
    <xf numFmtId="0" fontId="19" fillId="7" borderId="96" xfId="0" applyFont="1" applyFill="1" applyBorder="1" applyAlignment="1">
      <alignment horizontal="center" vertical="center" wrapText="1"/>
    </xf>
    <xf numFmtId="0" fontId="19" fillId="7" borderId="91" xfId="0" applyFont="1" applyFill="1" applyBorder="1" applyAlignment="1">
      <alignment horizontal="center" vertical="center" wrapText="1"/>
    </xf>
    <xf numFmtId="0" fontId="19" fillId="7" borderId="97" xfId="0" applyFont="1" applyFill="1" applyBorder="1" applyAlignment="1">
      <alignment horizontal="center" vertical="center" wrapText="1"/>
    </xf>
    <xf numFmtId="0" fontId="1" fillId="3" borderId="0" xfId="0" applyFont="1" applyFill="1" applyAlignment="1">
      <alignment horizontal="center"/>
    </xf>
    <xf numFmtId="0" fontId="20" fillId="2" borderId="0" xfId="0" applyFont="1" applyFill="1"/>
    <xf numFmtId="0" fontId="1" fillId="0" borderId="0" xfId="0" applyFont="1"/>
    <xf numFmtId="1" fontId="1" fillId="0" borderId="0" xfId="0" applyNumberFormat="1" applyFont="1"/>
    <xf numFmtId="165" fontId="1" fillId="0" borderId="0" xfId="0" applyNumberFormat="1" applyFont="1"/>
    <xf numFmtId="166" fontId="1" fillId="0" borderId="0" xfId="0" applyNumberFormat="1" applyFont="1"/>
    <xf numFmtId="0" fontId="20" fillId="9" borderId="0" xfId="0" applyFont="1" applyFill="1" applyAlignment="1">
      <alignment horizontal="center" vertical="center"/>
    </xf>
    <xf numFmtId="0" fontId="21" fillId="2" borderId="105" xfId="0" applyFont="1" applyFill="1" applyBorder="1" applyAlignment="1">
      <alignment horizontal="center" vertical="center"/>
    </xf>
    <xf numFmtId="0" fontId="21" fillId="2" borderId="106" xfId="0" applyFont="1" applyFill="1" applyBorder="1" applyAlignment="1">
      <alignment horizontal="center" vertical="center"/>
    </xf>
    <xf numFmtId="0" fontId="21" fillId="2" borderId="107" xfId="0" applyFont="1" applyFill="1" applyBorder="1" applyAlignment="1">
      <alignment horizontal="center" vertical="center"/>
    </xf>
    <xf numFmtId="16" fontId="20" fillId="9" borderId="0" xfId="0" applyNumberFormat="1" applyFont="1" applyFill="1" applyAlignment="1">
      <alignment horizontal="center" vertical="center"/>
    </xf>
    <xf numFmtId="0" fontId="20" fillId="9" borderId="108" xfId="0" applyFont="1" applyFill="1" applyBorder="1" applyAlignment="1">
      <alignment horizontal="center" vertical="center"/>
    </xf>
    <xf numFmtId="0" fontId="1" fillId="3" borderId="100" xfId="0" applyFont="1" applyFill="1" applyBorder="1" applyAlignment="1">
      <alignment horizontal="center"/>
    </xf>
    <xf numFmtId="0" fontId="1" fillId="3" borderId="102" xfId="0" applyFont="1" applyFill="1" applyBorder="1" applyAlignment="1">
      <alignment horizontal="center"/>
    </xf>
    <xf numFmtId="0" fontId="1" fillId="3" borderId="108" xfId="0" applyFont="1" applyFill="1" applyBorder="1" applyAlignment="1">
      <alignment horizontal="center"/>
    </xf>
    <xf numFmtId="0" fontId="20" fillId="2" borderId="0" xfId="0" applyFont="1" applyFill="1" applyAlignment="1">
      <alignment horizontal="center" vertical="center"/>
    </xf>
    <xf numFmtId="0" fontId="20" fillId="2" borderId="102" xfId="0" applyFont="1" applyFill="1" applyBorder="1" applyAlignment="1">
      <alignment horizontal="center" vertical="center"/>
    </xf>
    <xf numFmtId="167" fontId="20" fillId="2" borderId="0" xfId="0" applyNumberFormat="1" applyFont="1" applyFill="1" applyAlignment="1">
      <alignment horizontal="center" vertical="center"/>
    </xf>
    <xf numFmtId="0" fontId="22" fillId="0" borderId="102" xfId="0" applyFont="1" applyBorder="1" applyAlignment="1">
      <alignment horizontal="center"/>
    </xf>
    <xf numFmtId="0" fontId="20" fillId="3" borderId="0" xfId="0" applyFont="1" applyFill="1"/>
    <xf numFmtId="0" fontId="20" fillId="9" borderId="71" xfId="0" applyFont="1" applyFill="1" applyBorder="1"/>
    <xf numFmtId="0" fontId="1" fillId="3" borderId="0" xfId="0" applyFont="1" applyFill="1"/>
    <xf numFmtId="0" fontId="20" fillId="9" borderId="0" xfId="0" applyFont="1" applyFill="1"/>
    <xf numFmtId="0" fontId="9" fillId="9" borderId="109" xfId="0" applyFont="1" applyFill="1" applyBorder="1" applyAlignment="1">
      <alignment horizontal="left" vertical="center"/>
    </xf>
    <xf numFmtId="0" fontId="9" fillId="9" borderId="109" xfId="0" applyFont="1" applyFill="1" applyBorder="1"/>
    <xf numFmtId="0" fontId="9" fillId="9" borderId="109" xfId="0" applyFont="1" applyFill="1" applyBorder="1" applyAlignment="1">
      <alignment horizontal="center"/>
    </xf>
    <xf numFmtId="0" fontId="1" fillId="0" borderId="109" xfId="0" applyFont="1" applyBorder="1" applyAlignment="1">
      <alignment horizontal="left" vertical="center"/>
    </xf>
    <xf numFmtId="0" fontId="1" fillId="0" borderId="109" xfId="0" applyFont="1" applyBorder="1"/>
    <xf numFmtId="14" fontId="1" fillId="0" borderId="109" xfId="0" applyNumberFormat="1" applyFont="1" applyBorder="1" applyAlignment="1">
      <alignment horizontal="center"/>
    </xf>
    <xf numFmtId="0" fontId="1" fillId="10" borderId="109" xfId="0" applyFont="1" applyFill="1" applyBorder="1"/>
    <xf numFmtId="0" fontId="1" fillId="0" borderId="109" xfId="0" applyFont="1" applyBorder="1" applyAlignment="1">
      <alignment horizontal="center" vertical="center"/>
    </xf>
    <xf numFmtId="14" fontId="1" fillId="0" borderId="109" xfId="0" applyNumberFormat="1" applyFont="1" applyBorder="1" applyAlignment="1">
      <alignment horizontal="center" vertical="center"/>
    </xf>
    <xf numFmtId="0" fontId="1" fillId="0" borderId="109" xfId="0" applyFont="1" applyBorder="1" applyAlignment="1">
      <alignment horizontal="center"/>
    </xf>
    <xf numFmtId="0" fontId="1" fillId="0" borderId="0" xfId="0" applyFont="1" applyAlignment="1">
      <alignment horizontal="left" vertical="center"/>
    </xf>
    <xf numFmtId="0" fontId="23" fillId="2" borderId="110" xfId="0" applyFont="1" applyFill="1" applyBorder="1" applyAlignment="1">
      <alignment horizontal="center" vertical="center"/>
    </xf>
    <xf numFmtId="0" fontId="7" fillId="2" borderId="110" xfId="0" applyFont="1" applyFill="1" applyBorder="1" applyAlignment="1">
      <alignment horizontal="center" vertical="center"/>
    </xf>
    <xf numFmtId="0" fontId="7" fillId="2" borderId="111" xfId="0" applyFont="1" applyFill="1" applyBorder="1" applyAlignment="1">
      <alignment horizontal="center" vertical="center"/>
    </xf>
    <xf numFmtId="0" fontId="7" fillId="0" borderId="68" xfId="0" applyFont="1" applyBorder="1"/>
    <xf numFmtId="0" fontId="7" fillId="0" borderId="0" xfId="0" applyFont="1"/>
    <xf numFmtId="0" fontId="7" fillId="0" borderId="74" xfId="0" applyFont="1" applyBorder="1"/>
    <xf numFmtId="0" fontId="24" fillId="2" borderId="112" xfId="0" applyFont="1" applyFill="1" applyBorder="1" applyAlignment="1">
      <alignment horizontal="left" vertical="center"/>
    </xf>
    <xf numFmtId="0" fontId="25" fillId="2" borderId="112" xfId="0" applyFont="1" applyFill="1" applyBorder="1" applyAlignment="1">
      <alignment horizontal="left" vertical="center"/>
    </xf>
    <xf numFmtId="0" fontId="7" fillId="0" borderId="71" xfId="0" applyFont="1" applyBorder="1"/>
    <xf numFmtId="0" fontId="26" fillId="0" borderId="71" xfId="0" applyFont="1" applyBorder="1"/>
    <xf numFmtId="0" fontId="27" fillId="0" borderId="71" xfId="0" applyFont="1" applyBorder="1" applyAlignment="1">
      <alignment horizontal="center"/>
    </xf>
    <xf numFmtId="0" fontId="27" fillId="0" borderId="74" xfId="0" applyFont="1" applyBorder="1" applyAlignment="1">
      <alignment horizontal="center"/>
    </xf>
    <xf numFmtId="0" fontId="27" fillId="0" borderId="114" xfId="0" applyFont="1" applyBorder="1"/>
    <xf numFmtId="0" fontId="28" fillId="2" borderId="115" xfId="0" applyFont="1" applyFill="1" applyBorder="1" applyAlignment="1">
      <alignment horizontal="center"/>
    </xf>
    <xf numFmtId="0" fontId="9" fillId="2" borderId="115" xfId="0" applyFont="1" applyFill="1" applyBorder="1"/>
    <xf numFmtId="0" fontId="27" fillId="0" borderId="116" xfId="0" applyFont="1" applyBorder="1"/>
    <xf numFmtId="0" fontId="27" fillId="0" borderId="115" xfId="0" applyFont="1" applyBorder="1"/>
    <xf numFmtId="0" fontId="29" fillId="3" borderId="115" xfId="0" applyFont="1" applyFill="1" applyBorder="1" applyAlignment="1">
      <alignment horizontal="center"/>
    </xf>
    <xf numFmtId="0" fontId="7" fillId="0" borderId="115" xfId="0" applyFont="1" applyBorder="1"/>
    <xf numFmtId="0" fontId="7" fillId="3" borderId="114" xfId="0" applyFont="1" applyFill="1" applyBorder="1"/>
    <xf numFmtId="0" fontId="27" fillId="3" borderId="114" xfId="0" applyFont="1" applyFill="1" applyBorder="1" applyAlignment="1">
      <alignment horizontal="center"/>
    </xf>
    <xf numFmtId="0" fontId="28" fillId="3" borderId="114" xfId="0" applyFont="1" applyFill="1" applyBorder="1" applyAlignment="1">
      <alignment horizontal="center"/>
    </xf>
    <xf numFmtId="0" fontId="27" fillId="3" borderId="114" xfId="0" applyFont="1" applyFill="1" applyBorder="1"/>
    <xf numFmtId="0" fontId="1" fillId="3" borderId="114" xfId="0" applyFont="1" applyFill="1" applyBorder="1"/>
    <xf numFmtId="0" fontId="7" fillId="0" borderId="72" xfId="0" applyFont="1" applyBorder="1"/>
    <xf numFmtId="0" fontId="7" fillId="0" borderId="115" xfId="0" applyFont="1" applyBorder="1" applyAlignment="1">
      <alignment horizontal="right"/>
    </xf>
    <xf numFmtId="0" fontId="7" fillId="0" borderId="70" xfId="0" applyFont="1" applyBorder="1"/>
    <xf numFmtId="0" fontId="15" fillId="2" borderId="115" xfId="0" applyFont="1" applyFill="1" applyBorder="1"/>
    <xf numFmtId="0" fontId="15" fillId="2" borderId="115" xfId="0" applyFont="1" applyFill="1" applyBorder="1" applyAlignment="1">
      <alignment horizontal="right"/>
    </xf>
    <xf numFmtId="0" fontId="27" fillId="0" borderId="115" xfId="0" applyFont="1" applyBorder="1" applyAlignment="1">
      <alignment horizontal="center"/>
    </xf>
    <xf numFmtId="0" fontId="29" fillId="3" borderId="114" xfId="0" applyFont="1" applyFill="1" applyBorder="1" applyAlignment="1">
      <alignment horizontal="center"/>
    </xf>
    <xf numFmtId="0" fontId="29" fillId="0" borderId="115" xfId="0" applyFont="1" applyBorder="1" applyAlignment="1">
      <alignment horizontal="center"/>
    </xf>
    <xf numFmtId="0" fontId="30" fillId="3" borderId="114" xfId="0" applyFont="1" applyFill="1" applyBorder="1"/>
    <xf numFmtId="0" fontId="31" fillId="0" borderId="71" xfId="0" applyFont="1" applyBorder="1"/>
    <xf numFmtId="0" fontId="31" fillId="3" borderId="114" xfId="0" applyFont="1" applyFill="1" applyBorder="1"/>
    <xf numFmtId="0" fontId="9" fillId="2" borderId="113" xfId="0" applyFont="1" applyFill="1" applyBorder="1"/>
    <xf numFmtId="0" fontId="9" fillId="2" borderId="113" xfId="0" applyFont="1" applyFill="1" applyBorder="1" applyAlignment="1">
      <alignment horizontal="center"/>
    </xf>
    <xf numFmtId="0" fontId="32" fillId="0" borderId="0" xfId="0" applyFont="1" applyAlignment="1">
      <alignment horizontal="center"/>
    </xf>
    <xf numFmtId="0" fontId="32" fillId="0" borderId="0" xfId="0" applyFont="1"/>
    <xf numFmtId="0" fontId="9" fillId="2" borderId="0" xfId="0" applyFont="1" applyFill="1"/>
    <xf numFmtId="0" fontId="9" fillId="2" borderId="0" xfId="0" applyFont="1" applyFill="1" applyAlignment="1">
      <alignment horizontal="center"/>
    </xf>
    <xf numFmtId="0" fontId="9" fillId="2" borderId="116" xfId="0" applyFont="1" applyFill="1" applyBorder="1"/>
    <xf numFmtId="0" fontId="9" fillId="2" borderId="116" xfId="0" applyFont="1" applyFill="1" applyBorder="1" applyAlignment="1">
      <alignment horizontal="center"/>
    </xf>
    <xf numFmtId="0" fontId="31" fillId="3" borderId="113" xfId="0" applyFont="1" applyFill="1" applyBorder="1"/>
    <xf numFmtId="0" fontId="33" fillId="9" borderId="109" xfId="0" applyFont="1" applyFill="1" applyBorder="1"/>
    <xf numFmtId="0" fontId="33" fillId="9" borderId="109" xfId="0" applyFont="1" applyFill="1" applyBorder="1" applyAlignment="1">
      <alignment horizontal="center"/>
    </xf>
    <xf numFmtId="0" fontId="33" fillId="9" borderId="0" xfId="0" applyFont="1" applyFill="1" applyAlignment="1">
      <alignment horizontal="center"/>
    </xf>
    <xf numFmtId="0" fontId="7" fillId="0" borderId="109" xfId="0" applyFont="1" applyBorder="1"/>
    <xf numFmtId="0" fontId="7" fillId="0" borderId="109" xfId="0" applyFont="1" applyBorder="1" applyAlignment="1">
      <alignment horizontal="center"/>
    </xf>
    <xf numFmtId="0" fontId="1" fillId="9" borderId="109" xfId="0" applyFont="1" applyFill="1" applyBorder="1" applyAlignment="1">
      <alignment horizontal="center"/>
    </xf>
    <xf numFmtId="0" fontId="1" fillId="0" borderId="120" xfId="0" applyFont="1" applyBorder="1" applyAlignment="1">
      <alignment horizontal="center"/>
    </xf>
    <xf numFmtId="0" fontId="7" fillId="3" borderId="109" xfId="0" applyFont="1" applyFill="1" applyBorder="1" applyAlignment="1">
      <alignment horizontal="center"/>
    </xf>
    <xf numFmtId="0" fontId="1" fillId="3" borderId="109" xfId="0" applyFont="1" applyFill="1" applyBorder="1"/>
    <xf numFmtId="0" fontId="28" fillId="9" borderId="109" xfId="0" applyFont="1" applyFill="1" applyBorder="1" applyAlignment="1">
      <alignment horizontal="center"/>
    </xf>
    <xf numFmtId="0" fontId="28" fillId="9" borderId="121" xfId="0" applyFont="1" applyFill="1" applyBorder="1" applyAlignment="1">
      <alignment horizontal="center"/>
    </xf>
    <xf numFmtId="0" fontId="34" fillId="0" borderId="122" xfId="0" applyFont="1" applyBorder="1" applyAlignment="1">
      <alignment horizontal="center"/>
    </xf>
    <xf numFmtId="0" fontId="35" fillId="0" borderId="122" xfId="0" applyFont="1" applyBorder="1" applyAlignment="1">
      <alignment horizontal="center"/>
    </xf>
    <xf numFmtId="0" fontId="34" fillId="10" borderId="122" xfId="0" applyFont="1" applyFill="1" applyBorder="1" applyAlignment="1">
      <alignment horizontal="center"/>
    </xf>
    <xf numFmtId="0" fontId="35" fillId="10" borderId="122" xfId="0" applyFont="1" applyFill="1" applyBorder="1" applyAlignment="1">
      <alignment horizontal="center"/>
    </xf>
    <xf numFmtId="0" fontId="34" fillId="0" borderId="0" xfId="0" applyFont="1" applyAlignment="1">
      <alignment horizontal="center"/>
    </xf>
    <xf numFmtId="0" fontId="35" fillId="0" borderId="0" xfId="0" applyFont="1" applyAlignment="1">
      <alignment horizontal="center"/>
    </xf>
    <xf numFmtId="0" fontId="5" fillId="2" borderId="16" xfId="0" applyFont="1" applyFill="1" applyBorder="1" applyAlignment="1">
      <alignment horizontal="center" vertical="center"/>
    </xf>
    <xf numFmtId="0" fontId="4" fillId="0" borderId="22" xfId="0" applyFont="1" applyBorder="1"/>
    <xf numFmtId="0" fontId="6" fillId="2" borderId="23" xfId="0" applyFont="1" applyFill="1" applyBorder="1" applyAlignment="1">
      <alignment vertical="center" wrapText="1"/>
    </xf>
    <xf numFmtId="0" fontId="7" fillId="4" borderId="26" xfId="0" applyFont="1" applyFill="1" applyBorder="1"/>
    <xf numFmtId="0" fontId="4" fillId="0" borderId="5" xfId="0" applyFont="1" applyBorder="1"/>
    <xf numFmtId="0" fontId="4" fillId="0" borderId="27" xfId="0" applyFont="1" applyBorder="1"/>
    <xf numFmtId="1" fontId="9" fillId="2" borderId="1" xfId="0" applyNumberFormat="1" applyFont="1" applyFill="1" applyBorder="1" applyAlignment="1">
      <alignment horizontal="center"/>
    </xf>
    <xf numFmtId="10" fontId="9" fillId="2" borderId="30" xfId="0" applyNumberFormat="1" applyFont="1" applyFill="1" applyBorder="1" applyAlignment="1">
      <alignment horizontal="center"/>
    </xf>
    <xf numFmtId="0" fontId="4" fillId="0" borderId="31" xfId="0" applyFont="1" applyBorder="1"/>
    <xf numFmtId="0" fontId="12" fillId="2" borderId="50" xfId="0" applyFont="1" applyFill="1" applyBorder="1" applyAlignment="1">
      <alignment horizontal="center"/>
    </xf>
    <xf numFmtId="0" fontId="4" fillId="0" borderId="51" xfId="0" applyFont="1" applyBorder="1"/>
    <xf numFmtId="0" fontId="4" fillId="0" borderId="56" xfId="0" applyFont="1" applyBorder="1"/>
    <xf numFmtId="0" fontId="4" fillId="0" borderId="57" xfId="0" applyFont="1" applyBorder="1"/>
    <xf numFmtId="0" fontId="4" fillId="0" borderId="54" xfId="0" applyFont="1" applyBorder="1"/>
    <xf numFmtId="0" fontId="4" fillId="0" borderId="61" xfId="0" applyFont="1" applyBorder="1"/>
    <xf numFmtId="0" fontId="3" fillId="2" borderId="14" xfId="0" applyFont="1" applyFill="1" applyBorder="1" applyAlignment="1">
      <alignment horizontal="center"/>
    </xf>
    <xf numFmtId="0" fontId="4" fillId="0" borderId="15" xfId="0" applyFont="1" applyBorder="1"/>
    <xf numFmtId="0" fontId="4" fillId="0" borderId="20" xfId="0" applyFont="1" applyBorder="1"/>
    <xf numFmtId="0" fontId="4" fillId="0" borderId="21" xfId="0" applyFont="1" applyBorder="1"/>
    <xf numFmtId="0" fontId="4" fillId="0" borderId="24" xfId="0" applyFont="1" applyBorder="1"/>
    <xf numFmtId="0" fontId="4" fillId="0" borderId="25" xfId="0" applyFont="1" applyBorder="1"/>
    <xf numFmtId="0" fontId="9" fillId="4" borderId="88" xfId="0" applyFont="1" applyFill="1" applyBorder="1" applyAlignment="1">
      <alignment horizontal="center"/>
    </xf>
    <xf numFmtId="0" fontId="4" fillId="0" borderId="85" xfId="0" applyFont="1" applyBorder="1"/>
    <xf numFmtId="0" fontId="4" fillId="0" borderId="89" xfId="0" applyFont="1" applyBorder="1"/>
    <xf numFmtId="0" fontId="9" fillId="2" borderId="80" xfId="0" applyFont="1" applyFill="1" applyBorder="1" applyAlignment="1">
      <alignment horizontal="center"/>
    </xf>
    <xf numFmtId="0" fontId="4" fillId="0" borderId="86" xfId="0" applyFont="1" applyBorder="1"/>
    <xf numFmtId="0" fontId="9" fillId="6" borderId="85" xfId="0" applyFont="1" applyFill="1" applyBorder="1" applyAlignment="1">
      <alignment horizontal="center"/>
    </xf>
    <xf numFmtId="0" fontId="9" fillId="6" borderId="80" xfId="0" applyFont="1" applyFill="1" applyBorder="1" applyAlignment="1">
      <alignment horizontal="center"/>
    </xf>
    <xf numFmtId="0" fontId="9" fillId="2" borderId="85" xfId="0" applyFont="1" applyFill="1" applyBorder="1" applyAlignment="1">
      <alignment horizontal="center"/>
    </xf>
    <xf numFmtId="0" fontId="4" fillId="0" borderId="103" xfId="0" applyFont="1" applyBorder="1"/>
    <xf numFmtId="0" fontId="28" fillId="2" borderId="75" xfId="0" applyFont="1" applyFill="1" applyBorder="1" applyAlignment="1">
      <alignment horizontal="center"/>
    </xf>
    <xf numFmtId="0" fontId="4" fillId="0" borderId="113" xfId="0" applyFont="1" applyBorder="1"/>
    <xf numFmtId="0" fontId="4" fillId="0" borderId="73" xfId="0" applyFont="1" applyBorder="1"/>
    <xf numFmtId="0" fontId="27" fillId="0" borderId="72" xfId="0" applyFont="1" applyBorder="1" applyAlignment="1">
      <alignment horizontal="center"/>
    </xf>
    <xf numFmtId="0" fontId="4" fillId="0" borderId="114" xfId="0" applyFont="1" applyBorder="1"/>
    <xf numFmtId="0" fontId="4" fillId="0" borderId="70" xfId="0" applyFont="1" applyBorder="1"/>
    <xf numFmtId="0" fontId="20" fillId="2" borderId="75" xfId="0" applyFont="1" applyFill="1" applyBorder="1" applyAlignment="1">
      <alignment horizontal="center"/>
    </xf>
    <xf numFmtId="0" fontId="28" fillId="2" borderId="117" xfId="0" applyFont="1" applyFill="1" applyBorder="1" applyAlignment="1">
      <alignment horizontal="center"/>
    </xf>
    <xf numFmtId="0" fontId="4" fillId="0" borderId="118" xfId="0" applyFont="1" applyBorder="1"/>
    <xf numFmtId="0" fontId="4" fillId="0" borderId="119" xfId="0" applyFont="1" applyBorder="1"/>
  </cellXfs>
  <cellStyles count="1">
    <cellStyle name="Normal" xfId="0" builtinId="0"/>
  </cellStyles>
  <dxfs count="9">
    <dxf>
      <fill>
        <patternFill patternType="solid">
          <fgColor rgb="FFD0E0E3"/>
          <bgColor rgb="FFD0E0E3"/>
        </patternFill>
      </fill>
    </dxf>
    <dxf>
      <fill>
        <patternFill patternType="solid">
          <fgColor rgb="FFD0E0E3"/>
          <bgColor rgb="FFD0E0E3"/>
        </patternFill>
      </fill>
    </dxf>
    <dxf>
      <fill>
        <patternFill patternType="solid">
          <fgColor rgb="FFB7E1CD"/>
          <bgColor rgb="FFB7E1CD"/>
        </patternFill>
      </fill>
    </dxf>
    <dxf>
      <font>
        <color rgb="FFFFFFFF"/>
      </font>
      <fill>
        <patternFill patternType="solid">
          <fgColor rgb="FF74D7D7"/>
          <bgColor rgb="FF74D7D7"/>
        </patternFill>
      </fill>
    </dxf>
    <dxf>
      <font>
        <color rgb="FFFFFFFF"/>
      </font>
      <fill>
        <patternFill patternType="solid">
          <fgColor rgb="FF549797"/>
          <bgColor rgb="FF549797"/>
        </patternFill>
      </fill>
    </dxf>
    <dxf>
      <font>
        <color rgb="FF000000"/>
      </font>
      <fill>
        <patternFill patternType="solid">
          <fgColor rgb="FFB7E1CD"/>
          <bgColor rgb="FFB7E1CD"/>
        </patternFill>
      </fill>
    </dxf>
    <dxf>
      <font>
        <color rgb="FFFFFFFF"/>
      </font>
      <fill>
        <patternFill patternType="solid">
          <fgColor rgb="FF74D7D7"/>
          <bgColor rgb="FF74D7D7"/>
        </patternFill>
      </fill>
    </dxf>
    <dxf>
      <font>
        <color rgb="FFFFFFFF"/>
      </font>
      <fill>
        <patternFill patternType="solid">
          <fgColor rgb="FF549797"/>
          <bgColor rgb="FF549797"/>
        </patternFill>
      </fill>
    </dxf>
    <dxf>
      <font>
        <color rgb="FF000000"/>
      </font>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SUMMARY!$J$16</c:f>
              <c:strCache>
                <c:ptCount val="1"/>
                <c:pt idx="0">
                  <c:v>Total Target</c:v>
                </c:pt>
              </c:strCache>
            </c:strRef>
          </c:tx>
          <c:spPr>
            <a:solidFill>
              <a:srgbClr val="0FDCDC"/>
            </a:solidFill>
            <a:ln cmpd="sng">
              <a:solidFill>
                <a:srgbClr val="000000"/>
              </a:solidFill>
            </a:ln>
          </c:spPr>
          <c:invertIfNegative val="1"/>
          <c:cat>
            <c:numRef>
              <c:f>SUMMARY!$I$17:$I$25</c:f>
              <c:numCache>
                <c:formatCode>General</c:formatCode>
                <c:ptCount val="9"/>
                <c:pt idx="0">
                  <c:v>0</c:v>
                </c:pt>
                <c:pt idx="1">
                  <c:v>0</c:v>
                </c:pt>
                <c:pt idx="2">
                  <c:v>0</c:v>
                </c:pt>
                <c:pt idx="3">
                  <c:v>0</c:v>
                </c:pt>
                <c:pt idx="4">
                  <c:v>0</c:v>
                </c:pt>
                <c:pt idx="5">
                  <c:v>0</c:v>
                </c:pt>
                <c:pt idx="6">
                  <c:v>0</c:v>
                </c:pt>
                <c:pt idx="7">
                  <c:v>0</c:v>
                </c:pt>
                <c:pt idx="8">
                  <c:v>0</c:v>
                </c:pt>
              </c:numCache>
            </c:numRef>
          </c:cat>
          <c:val>
            <c:numRef>
              <c:f>SUMMARY!$J$17:$J$25</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BA6-4C1C-8F88-10706F4D5EAE}"/>
            </c:ext>
          </c:extLst>
        </c:ser>
        <c:ser>
          <c:idx val="1"/>
          <c:order val="1"/>
          <c:tx>
            <c:strRef>
              <c:f>SUMMARY!$K$16</c:f>
              <c:strCache>
                <c:ptCount val="1"/>
                <c:pt idx="0">
                  <c:v>Tota Received</c:v>
                </c:pt>
              </c:strCache>
            </c:strRef>
          </c:tx>
          <c:spPr>
            <a:solidFill>
              <a:srgbClr val="46BDC6"/>
            </a:solidFill>
            <a:ln cmpd="sng">
              <a:solidFill>
                <a:srgbClr val="000000"/>
              </a:solidFill>
            </a:ln>
          </c:spPr>
          <c:invertIfNegative val="1"/>
          <c:cat>
            <c:numRef>
              <c:f>SUMMARY!$I$17:$I$25</c:f>
              <c:numCache>
                <c:formatCode>General</c:formatCode>
                <c:ptCount val="9"/>
                <c:pt idx="0">
                  <c:v>0</c:v>
                </c:pt>
                <c:pt idx="1">
                  <c:v>0</c:v>
                </c:pt>
                <c:pt idx="2">
                  <c:v>0</c:v>
                </c:pt>
                <c:pt idx="3">
                  <c:v>0</c:v>
                </c:pt>
                <c:pt idx="4">
                  <c:v>0</c:v>
                </c:pt>
                <c:pt idx="5">
                  <c:v>0</c:v>
                </c:pt>
                <c:pt idx="6">
                  <c:v>0</c:v>
                </c:pt>
                <c:pt idx="7">
                  <c:v>0</c:v>
                </c:pt>
                <c:pt idx="8">
                  <c:v>0</c:v>
                </c:pt>
              </c:numCache>
            </c:numRef>
          </c:cat>
          <c:val>
            <c:numRef>
              <c:f>SUMMARY!$K$17:$K$25</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BA6-4C1C-8F88-10706F4D5EAE}"/>
            </c:ext>
          </c:extLst>
        </c:ser>
        <c:ser>
          <c:idx val="2"/>
          <c:order val="2"/>
          <c:tx>
            <c:strRef>
              <c:f>SUMMARY!$L$16</c:f>
              <c:strCache>
                <c:ptCount val="1"/>
                <c:pt idx="0">
                  <c:v>Tota Approved</c:v>
                </c:pt>
              </c:strCache>
            </c:strRef>
          </c:tx>
          <c:spPr>
            <a:solidFill>
              <a:srgbClr val="549797"/>
            </a:solidFill>
            <a:ln cmpd="sng">
              <a:solidFill>
                <a:srgbClr val="000000"/>
              </a:solidFill>
            </a:ln>
          </c:spPr>
          <c:invertIfNegative val="1"/>
          <c:cat>
            <c:numRef>
              <c:f>SUMMARY!$I$17:$I$25</c:f>
              <c:numCache>
                <c:formatCode>General</c:formatCode>
                <c:ptCount val="9"/>
                <c:pt idx="0">
                  <c:v>0</c:v>
                </c:pt>
                <c:pt idx="1">
                  <c:v>0</c:v>
                </c:pt>
                <c:pt idx="2">
                  <c:v>0</c:v>
                </c:pt>
                <c:pt idx="3">
                  <c:v>0</c:v>
                </c:pt>
                <c:pt idx="4">
                  <c:v>0</c:v>
                </c:pt>
                <c:pt idx="5">
                  <c:v>0</c:v>
                </c:pt>
                <c:pt idx="6">
                  <c:v>0</c:v>
                </c:pt>
                <c:pt idx="7">
                  <c:v>0</c:v>
                </c:pt>
                <c:pt idx="8">
                  <c:v>0</c:v>
                </c:pt>
              </c:numCache>
            </c:numRef>
          </c:cat>
          <c:val>
            <c:numRef>
              <c:f>SUMMARY!$L$17:$L$25</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BA6-4C1C-8F88-10706F4D5EAE}"/>
            </c:ext>
          </c:extLst>
        </c:ser>
        <c:dLbls>
          <c:showLegendKey val="0"/>
          <c:showVal val="0"/>
          <c:showCatName val="0"/>
          <c:showSerName val="0"/>
          <c:showPercent val="0"/>
          <c:showBubbleSize val="0"/>
        </c:dLbls>
        <c:gapWidth val="150"/>
        <c:axId val="963612072"/>
        <c:axId val="1465304006"/>
      </c:barChart>
      <c:catAx>
        <c:axId val="96361207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Province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65304006"/>
        <c:crosses val="autoZero"/>
        <c:auto val="1"/>
        <c:lblAlgn val="ctr"/>
        <c:lblOffset val="100"/>
        <c:noMultiLvlLbl val="1"/>
      </c:catAx>
      <c:valAx>
        <c:axId val="1465304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endParaRPr lang="en-US"/>
          </a:p>
        </c:txPr>
        <c:crossAx val="96361207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74D7D7"/>
            </a:solidFill>
            <a:ln cmpd="sng">
              <a:solidFill>
                <a:srgbClr val="FFFFFF">
                  <a:alpha val="100000"/>
                </a:srgbClr>
              </a:solidFill>
              <a:prstDash val="solid"/>
            </a:ln>
          </c:spPr>
          <c:invertIfNegative val="1"/>
          <c:dPt>
            <c:idx val="0"/>
            <c:invertIfNegative val="1"/>
            <c:bubble3D val="0"/>
            <c:extLst>
              <c:ext xmlns:c16="http://schemas.microsoft.com/office/drawing/2014/chart" uri="{C3380CC4-5D6E-409C-BE32-E72D297353CC}">
                <c16:uniqueId val="{00000000-BC20-42FF-8279-BD49330BAC35}"/>
              </c:ext>
            </c:extLst>
          </c:dPt>
          <c:dPt>
            <c:idx val="1"/>
            <c:invertIfNegative val="1"/>
            <c:bubble3D val="0"/>
            <c:extLst>
              <c:ext xmlns:c16="http://schemas.microsoft.com/office/drawing/2014/chart" uri="{C3380CC4-5D6E-409C-BE32-E72D297353CC}">
                <c16:uniqueId val="{00000001-BC20-42FF-8279-BD49330BAC35}"/>
              </c:ext>
            </c:extLst>
          </c:dPt>
          <c:dPt>
            <c:idx val="2"/>
            <c:invertIfNegative val="1"/>
            <c:bubble3D val="0"/>
            <c:extLst>
              <c:ext xmlns:c16="http://schemas.microsoft.com/office/drawing/2014/chart" uri="{C3380CC4-5D6E-409C-BE32-E72D297353CC}">
                <c16:uniqueId val="{00000002-BC20-42FF-8279-BD49330BAC35}"/>
              </c:ext>
            </c:extLst>
          </c:dPt>
          <c:dLbls>
            <c:spPr>
              <a:noFill/>
              <a:ln>
                <a:noFill/>
              </a:ln>
              <a:effectLst/>
            </c:spPr>
            <c:txPr>
              <a:bodyPr/>
              <a:lstStyle/>
              <a:p>
                <a:pPr lvl="0">
                  <a:defRPr b="1">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percentage"/>
            <c:noEndCap val="0"/>
            <c:val val="10"/>
          </c:errBars>
          <c:val>
            <c:numRef>
              <c:f>SUMMARY!$F$47:$F$50</c:f>
              <c:numCache>
                <c:formatCode>General</c:formatCode>
                <c:ptCount val="4"/>
                <c:pt idx="0">
                  <c:v>30</c:v>
                </c:pt>
                <c:pt idx="1">
                  <c:v>16</c:v>
                </c:pt>
                <c:pt idx="2">
                  <c:v>0</c:v>
                </c:pt>
                <c:pt idx="3">
                  <c:v>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FFFFFF">
                        <a:alpha val="100000"/>
                      </a:srgbClr>
                    </a:solidFill>
                    <a:prstDash val="solid"/>
                  </a:ln>
                </c14:spPr>
              </c14:invertSolidFillFmt>
            </c:ext>
            <c:ext xmlns:c16="http://schemas.microsoft.com/office/drawing/2014/chart" uri="{C3380CC4-5D6E-409C-BE32-E72D297353CC}">
              <c16:uniqueId val="{00000003-BC20-42FF-8279-BD49330BAC35}"/>
            </c:ext>
          </c:extLst>
        </c:ser>
        <c:ser>
          <c:idx val="1"/>
          <c:order val="1"/>
          <c:invertIfNegative val="1"/>
          <c:val>
            <c:numRef>
              <c:f>SUMMARY!$G$47:$G$50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BC20-42FF-8279-BD49330BAC35}"/>
            </c:ext>
          </c:extLst>
        </c:ser>
        <c:dLbls>
          <c:showLegendKey val="0"/>
          <c:showVal val="0"/>
          <c:showCatName val="0"/>
          <c:showSerName val="0"/>
          <c:showPercent val="0"/>
          <c:showBubbleSize val="0"/>
        </c:dLbls>
        <c:gapWidth val="150"/>
        <c:axId val="166286219"/>
        <c:axId val="115853439"/>
      </c:barChart>
      <c:catAx>
        <c:axId val="166286219"/>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solidFill/>
          </a:ln>
        </c:spPr>
        <c:txPr>
          <a:bodyPr/>
          <a:lstStyle/>
          <a:p>
            <a:pPr lvl="0">
              <a:defRPr sz="1000" b="0">
                <a:solidFill>
                  <a:srgbClr val="000000"/>
                </a:solidFill>
                <a:latin typeface="Roboto"/>
              </a:defRPr>
            </a:pPr>
            <a:endParaRPr lang="en-US"/>
          </a:p>
        </c:txPr>
        <c:crossAx val="115853439"/>
        <c:crosses val="autoZero"/>
        <c:auto val="1"/>
        <c:lblAlgn val="ctr"/>
        <c:lblOffset val="100"/>
        <c:noMultiLvlLbl val="1"/>
      </c:catAx>
      <c:valAx>
        <c:axId val="115853439"/>
        <c:scaling>
          <c:orientation val="minMax"/>
          <c:max val="15"/>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1000" b="0">
                <a:solidFill>
                  <a:srgbClr val="000000"/>
                </a:solidFill>
                <a:latin typeface="Roboto"/>
              </a:defRPr>
            </a:pPr>
            <a:endParaRPr lang="en-US"/>
          </a:p>
        </c:txPr>
        <c:crossAx val="166286219"/>
        <c:crosses val="max"/>
        <c:crossBetween val="between"/>
      </c:valAx>
    </c:plotArea>
    <c:legend>
      <c:legendPos val="r"/>
      <c:overlay val="0"/>
      <c:txPr>
        <a:bodyPr/>
        <a:lstStyle/>
        <a:p>
          <a:pPr lvl="0">
            <a:defRPr b="0">
              <a:solidFill>
                <a:srgbClr val="000000"/>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74D7D7"/>
            </a:solidFill>
            <a:ln cmpd="sng">
              <a:solidFill>
                <a:srgbClr val="FFFFFF">
                  <a:alpha val="100000"/>
                </a:srgbClr>
              </a:solidFill>
              <a:prstDash val="solid"/>
            </a:ln>
          </c:spPr>
          <c:invertIfNegative val="1"/>
          <c:dPt>
            <c:idx val="0"/>
            <c:invertIfNegative val="1"/>
            <c:bubble3D val="0"/>
            <c:extLst>
              <c:ext xmlns:c16="http://schemas.microsoft.com/office/drawing/2014/chart" uri="{C3380CC4-5D6E-409C-BE32-E72D297353CC}">
                <c16:uniqueId val="{00000000-B1A0-404B-A249-AE93C0BC81FD}"/>
              </c:ext>
            </c:extLst>
          </c:dPt>
          <c:dPt>
            <c:idx val="1"/>
            <c:invertIfNegative val="1"/>
            <c:bubble3D val="0"/>
            <c:extLst>
              <c:ext xmlns:c16="http://schemas.microsoft.com/office/drawing/2014/chart" uri="{C3380CC4-5D6E-409C-BE32-E72D297353CC}">
                <c16:uniqueId val="{00000001-B1A0-404B-A249-AE93C0BC81FD}"/>
              </c:ext>
            </c:extLst>
          </c:dPt>
          <c:dPt>
            <c:idx val="2"/>
            <c:invertIfNegative val="1"/>
            <c:bubble3D val="0"/>
            <c:extLst>
              <c:ext xmlns:c16="http://schemas.microsoft.com/office/drawing/2014/chart" uri="{C3380CC4-5D6E-409C-BE32-E72D297353CC}">
                <c16:uniqueId val="{00000002-B1A0-404B-A249-AE93C0BC81FD}"/>
              </c:ext>
            </c:extLst>
          </c:dPt>
          <c:dLbls>
            <c:spPr>
              <a:noFill/>
              <a:ln>
                <a:noFill/>
              </a:ln>
              <a:effectLst/>
            </c:spPr>
            <c:txPr>
              <a:bodyPr/>
              <a:lstStyle/>
              <a:p>
                <a:pPr lvl="0">
                  <a:defRPr b="1">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percentage"/>
            <c:noEndCap val="0"/>
            <c:val val="10"/>
          </c:errBars>
          <c:val>
            <c:numRef>
              <c:f>SUMMARY!$M$47:$M$50</c:f>
              <c:numCache>
                <c:formatCode>General</c:formatCode>
                <c:ptCount val="4"/>
                <c:pt idx="0">
                  <c:v>88</c:v>
                </c:pt>
                <c:pt idx="1">
                  <c:v>28</c:v>
                </c:pt>
                <c:pt idx="2">
                  <c:v>4</c:v>
                </c:pt>
                <c:pt idx="3">
                  <c:v>60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FFFFFF">
                        <a:alpha val="100000"/>
                      </a:srgbClr>
                    </a:solidFill>
                    <a:prstDash val="solid"/>
                  </a:ln>
                </c14:spPr>
              </c14:invertSolidFillFmt>
            </c:ext>
            <c:ext xmlns:c16="http://schemas.microsoft.com/office/drawing/2014/chart" uri="{C3380CC4-5D6E-409C-BE32-E72D297353CC}">
              <c16:uniqueId val="{00000003-B1A0-404B-A249-AE93C0BC81FD}"/>
            </c:ext>
          </c:extLst>
        </c:ser>
        <c:ser>
          <c:idx val="1"/>
          <c:order val="1"/>
          <c:invertIfNegative val="1"/>
          <c:val>
            <c:numRef>
              <c:f>SUMMARY!$N$47:$N$50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B1A0-404B-A249-AE93C0BC81FD}"/>
            </c:ext>
          </c:extLst>
        </c:ser>
        <c:dLbls>
          <c:showLegendKey val="0"/>
          <c:showVal val="0"/>
          <c:showCatName val="0"/>
          <c:showSerName val="0"/>
          <c:showPercent val="0"/>
          <c:showBubbleSize val="0"/>
        </c:dLbls>
        <c:gapWidth val="150"/>
        <c:axId val="972236575"/>
        <c:axId val="824821740"/>
      </c:barChart>
      <c:catAx>
        <c:axId val="972236575"/>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solidFill/>
          </a:ln>
        </c:spPr>
        <c:txPr>
          <a:bodyPr/>
          <a:lstStyle/>
          <a:p>
            <a:pPr lvl="0">
              <a:defRPr sz="1000" b="0">
                <a:solidFill>
                  <a:srgbClr val="000000"/>
                </a:solidFill>
                <a:latin typeface="Roboto"/>
              </a:defRPr>
            </a:pPr>
            <a:endParaRPr lang="en-US"/>
          </a:p>
        </c:txPr>
        <c:crossAx val="824821740"/>
        <c:crosses val="autoZero"/>
        <c:auto val="1"/>
        <c:lblAlgn val="ctr"/>
        <c:lblOffset val="100"/>
        <c:noMultiLvlLbl val="1"/>
      </c:catAx>
      <c:valAx>
        <c:axId val="824821740"/>
        <c:scaling>
          <c:orientation val="minMax"/>
          <c:max val="15"/>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1000" b="0">
                <a:solidFill>
                  <a:srgbClr val="000000"/>
                </a:solidFill>
                <a:latin typeface="Roboto"/>
              </a:defRPr>
            </a:pPr>
            <a:endParaRPr lang="en-US"/>
          </a:p>
        </c:txPr>
        <c:crossAx val="972236575"/>
        <c:crosses val="max"/>
        <c:crossBetween val="between"/>
      </c:valAx>
    </c:plotArea>
    <c:legend>
      <c:legendPos val="r"/>
      <c:overlay val="0"/>
      <c:txPr>
        <a:bodyPr/>
        <a:lstStyle/>
        <a:p>
          <a:pPr lvl="0">
            <a:defRPr b="0">
              <a:solidFill>
                <a:srgbClr val="000000"/>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74D7D7"/>
            </a:solidFill>
            <a:ln cmpd="sng">
              <a:solidFill>
                <a:srgbClr val="FFFFFF">
                  <a:alpha val="100000"/>
                </a:srgbClr>
              </a:solidFill>
              <a:prstDash val="solid"/>
            </a:ln>
          </c:spPr>
          <c:invertIfNegative val="1"/>
          <c:dPt>
            <c:idx val="0"/>
            <c:invertIfNegative val="1"/>
            <c:bubble3D val="0"/>
            <c:extLst>
              <c:ext xmlns:c16="http://schemas.microsoft.com/office/drawing/2014/chart" uri="{C3380CC4-5D6E-409C-BE32-E72D297353CC}">
                <c16:uniqueId val="{00000000-C496-4C45-8811-CE1913CFE8DB}"/>
              </c:ext>
            </c:extLst>
          </c:dPt>
          <c:dPt>
            <c:idx val="1"/>
            <c:invertIfNegative val="1"/>
            <c:bubble3D val="0"/>
            <c:extLst>
              <c:ext xmlns:c16="http://schemas.microsoft.com/office/drawing/2014/chart" uri="{C3380CC4-5D6E-409C-BE32-E72D297353CC}">
                <c16:uniqueId val="{00000001-C496-4C45-8811-CE1913CFE8DB}"/>
              </c:ext>
            </c:extLst>
          </c:dPt>
          <c:dPt>
            <c:idx val="2"/>
            <c:invertIfNegative val="1"/>
            <c:bubble3D val="0"/>
            <c:extLst>
              <c:ext xmlns:c16="http://schemas.microsoft.com/office/drawing/2014/chart" uri="{C3380CC4-5D6E-409C-BE32-E72D297353CC}">
                <c16:uniqueId val="{00000002-C496-4C45-8811-CE1913CFE8DB}"/>
              </c:ext>
            </c:extLst>
          </c:dPt>
          <c:dLbls>
            <c:spPr>
              <a:noFill/>
              <a:ln>
                <a:noFill/>
              </a:ln>
              <a:effectLst/>
            </c:spPr>
            <c:txPr>
              <a:bodyPr/>
              <a:lstStyle/>
              <a:p>
                <a:pPr lvl="0">
                  <a:defRPr b="1">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percentage"/>
            <c:noEndCap val="0"/>
            <c:val val="10"/>
          </c:errBars>
          <c:val>
            <c:numRef>
              <c:f>SUMMARY!$F$55:$F$58</c:f>
              <c:numCache>
                <c:formatCode>General</c:formatCode>
                <c:ptCount val="4"/>
                <c:pt idx="0">
                  <c:v>149</c:v>
                </c:pt>
                <c:pt idx="1">
                  <c:v>0</c:v>
                </c:pt>
                <c:pt idx="2">
                  <c:v>2</c:v>
                </c:pt>
                <c:pt idx="3">
                  <c:v>149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FFFFFF">
                        <a:alpha val="100000"/>
                      </a:srgbClr>
                    </a:solidFill>
                    <a:prstDash val="solid"/>
                  </a:ln>
                </c14:spPr>
              </c14:invertSolidFillFmt>
            </c:ext>
            <c:ext xmlns:c16="http://schemas.microsoft.com/office/drawing/2014/chart" uri="{C3380CC4-5D6E-409C-BE32-E72D297353CC}">
              <c16:uniqueId val="{00000003-C496-4C45-8811-CE1913CFE8DB}"/>
            </c:ext>
          </c:extLst>
        </c:ser>
        <c:ser>
          <c:idx val="1"/>
          <c:order val="1"/>
          <c:invertIfNegative val="1"/>
          <c:val>
            <c:numRef>
              <c:f>SUMMARY!$G$55:$G$58</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C496-4C45-8811-CE1913CFE8DB}"/>
            </c:ext>
          </c:extLst>
        </c:ser>
        <c:dLbls>
          <c:showLegendKey val="0"/>
          <c:showVal val="0"/>
          <c:showCatName val="0"/>
          <c:showSerName val="0"/>
          <c:showPercent val="0"/>
          <c:showBubbleSize val="0"/>
        </c:dLbls>
        <c:gapWidth val="150"/>
        <c:axId val="143029713"/>
        <c:axId val="249722563"/>
      </c:barChart>
      <c:catAx>
        <c:axId val="143029713"/>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solidFill/>
          </a:ln>
        </c:spPr>
        <c:txPr>
          <a:bodyPr/>
          <a:lstStyle/>
          <a:p>
            <a:pPr lvl="0">
              <a:defRPr sz="1000" b="0">
                <a:solidFill>
                  <a:srgbClr val="000000"/>
                </a:solidFill>
                <a:latin typeface="Roboto"/>
              </a:defRPr>
            </a:pPr>
            <a:endParaRPr lang="en-US"/>
          </a:p>
        </c:txPr>
        <c:crossAx val="249722563"/>
        <c:crosses val="autoZero"/>
        <c:auto val="1"/>
        <c:lblAlgn val="ctr"/>
        <c:lblOffset val="100"/>
        <c:noMultiLvlLbl val="1"/>
      </c:catAx>
      <c:valAx>
        <c:axId val="249722563"/>
        <c:scaling>
          <c:orientation val="minMax"/>
          <c:max val="15"/>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1000" b="0">
                <a:solidFill>
                  <a:srgbClr val="000000"/>
                </a:solidFill>
                <a:latin typeface="Roboto"/>
              </a:defRPr>
            </a:pPr>
            <a:endParaRPr lang="en-US"/>
          </a:p>
        </c:txPr>
        <c:crossAx val="143029713"/>
        <c:crosses val="max"/>
        <c:crossBetween val="between"/>
      </c:valAx>
    </c:plotArea>
    <c:legend>
      <c:legendPos val="r"/>
      <c:overlay val="0"/>
      <c:txPr>
        <a:bodyPr/>
        <a:lstStyle/>
        <a:p>
          <a:pPr lvl="0">
            <a:defRPr b="0">
              <a:solidFill>
                <a:srgbClr val="000000"/>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757575"/>
                </a:solidFill>
                <a:latin typeface="+mn-lt"/>
              </a:defRPr>
            </a:pPr>
            <a:r>
              <a:rPr lang="en-US" b="1">
                <a:solidFill>
                  <a:srgbClr val="757575"/>
                </a:solidFill>
                <a:latin typeface="+mn-lt"/>
              </a:rPr>
              <a:t>Visited HF – Province-wise Breakdown</a:t>
            </a:r>
          </a:p>
        </c:rich>
      </c:tx>
      <c:overlay val="0"/>
    </c:title>
    <c:autoTitleDeleted val="0"/>
    <c:plotArea>
      <c:layout/>
      <c:doughnutChart>
        <c:varyColors val="1"/>
        <c:ser>
          <c:idx val="0"/>
          <c:order val="0"/>
          <c:tx>
            <c:strRef>
              <c:f>SUMMARY!$O$16</c:f>
              <c:strCache>
                <c:ptCount val="1"/>
                <c:pt idx="0">
                  <c:v>Visited HF</c:v>
                </c:pt>
              </c:strCache>
            </c:strRef>
          </c:tx>
          <c:dPt>
            <c:idx val="0"/>
            <c:bubble3D val="0"/>
            <c:spPr>
              <a:solidFill>
                <a:srgbClr val="4285F4"/>
              </a:solidFill>
            </c:spPr>
            <c:extLst>
              <c:ext xmlns:c16="http://schemas.microsoft.com/office/drawing/2014/chart" uri="{C3380CC4-5D6E-409C-BE32-E72D297353CC}">
                <c16:uniqueId val="{00000001-2095-454F-AB94-4737E84B625F}"/>
              </c:ext>
            </c:extLst>
          </c:dPt>
          <c:dPt>
            <c:idx val="1"/>
            <c:bubble3D val="0"/>
            <c:spPr>
              <a:solidFill>
                <a:srgbClr val="EA4335"/>
              </a:solidFill>
            </c:spPr>
            <c:extLst>
              <c:ext xmlns:c16="http://schemas.microsoft.com/office/drawing/2014/chart" uri="{C3380CC4-5D6E-409C-BE32-E72D297353CC}">
                <c16:uniqueId val="{00000003-2095-454F-AB94-4737E84B625F}"/>
              </c:ext>
            </c:extLst>
          </c:dPt>
          <c:dPt>
            <c:idx val="2"/>
            <c:bubble3D val="0"/>
            <c:spPr>
              <a:solidFill>
                <a:srgbClr val="FBBC04"/>
              </a:solidFill>
            </c:spPr>
            <c:extLst>
              <c:ext xmlns:c16="http://schemas.microsoft.com/office/drawing/2014/chart" uri="{C3380CC4-5D6E-409C-BE32-E72D297353CC}">
                <c16:uniqueId val="{00000005-2095-454F-AB94-4737E84B625F}"/>
              </c:ext>
            </c:extLst>
          </c:dPt>
          <c:dPt>
            <c:idx val="3"/>
            <c:bubble3D val="0"/>
            <c:spPr>
              <a:solidFill>
                <a:srgbClr val="34A853"/>
              </a:solidFill>
            </c:spPr>
            <c:extLst>
              <c:ext xmlns:c16="http://schemas.microsoft.com/office/drawing/2014/chart" uri="{C3380CC4-5D6E-409C-BE32-E72D297353CC}">
                <c16:uniqueId val="{00000007-2095-454F-AB94-4737E84B625F}"/>
              </c:ext>
            </c:extLst>
          </c:dPt>
          <c:dPt>
            <c:idx val="4"/>
            <c:bubble3D val="0"/>
            <c:spPr>
              <a:solidFill>
                <a:srgbClr val="FF6D01"/>
              </a:solidFill>
            </c:spPr>
            <c:extLst>
              <c:ext xmlns:c16="http://schemas.microsoft.com/office/drawing/2014/chart" uri="{C3380CC4-5D6E-409C-BE32-E72D297353CC}">
                <c16:uniqueId val="{00000009-2095-454F-AB94-4737E84B625F}"/>
              </c:ext>
            </c:extLst>
          </c:dPt>
          <c:dPt>
            <c:idx val="5"/>
            <c:bubble3D val="0"/>
            <c:spPr>
              <a:solidFill>
                <a:srgbClr val="46BDC6"/>
              </a:solidFill>
            </c:spPr>
            <c:extLst>
              <c:ext xmlns:c16="http://schemas.microsoft.com/office/drawing/2014/chart" uri="{C3380CC4-5D6E-409C-BE32-E72D297353CC}">
                <c16:uniqueId val="{0000000B-2095-454F-AB94-4737E84B625F}"/>
              </c:ext>
            </c:extLst>
          </c:dPt>
          <c:dPt>
            <c:idx val="6"/>
            <c:bubble3D val="0"/>
            <c:spPr>
              <a:solidFill>
                <a:srgbClr val="7BAAF7"/>
              </a:solidFill>
            </c:spPr>
            <c:extLst>
              <c:ext xmlns:c16="http://schemas.microsoft.com/office/drawing/2014/chart" uri="{C3380CC4-5D6E-409C-BE32-E72D297353CC}">
                <c16:uniqueId val="{0000000D-2095-454F-AB94-4737E84B625F}"/>
              </c:ext>
            </c:extLst>
          </c:dPt>
          <c:dPt>
            <c:idx val="7"/>
            <c:bubble3D val="0"/>
            <c:spPr>
              <a:solidFill>
                <a:srgbClr val="F07B72"/>
              </a:solidFill>
            </c:spPr>
            <c:extLst>
              <c:ext xmlns:c16="http://schemas.microsoft.com/office/drawing/2014/chart" uri="{C3380CC4-5D6E-409C-BE32-E72D297353CC}">
                <c16:uniqueId val="{0000000F-2095-454F-AB94-4737E84B625F}"/>
              </c:ext>
            </c:extLst>
          </c:dPt>
          <c:dPt>
            <c:idx val="8"/>
            <c:bubble3D val="0"/>
            <c:spPr>
              <a:solidFill>
                <a:srgbClr val="FCD04F"/>
              </a:solidFill>
            </c:spPr>
            <c:extLst>
              <c:ext xmlns:c16="http://schemas.microsoft.com/office/drawing/2014/chart" uri="{C3380CC4-5D6E-409C-BE32-E72D297353CC}">
                <c16:uniqueId val="{00000011-2095-454F-AB94-4737E84B625F}"/>
              </c:ext>
            </c:extLst>
          </c:dPt>
          <c:dPt>
            <c:idx val="9"/>
            <c:bubble3D val="0"/>
            <c:spPr>
              <a:solidFill>
                <a:srgbClr val="71C287"/>
              </a:solidFill>
            </c:spPr>
            <c:extLst>
              <c:ext xmlns:c16="http://schemas.microsoft.com/office/drawing/2014/chart" uri="{C3380CC4-5D6E-409C-BE32-E72D297353CC}">
                <c16:uniqueId val="{00000013-2095-454F-AB94-4737E84B625F}"/>
              </c:ext>
            </c:extLst>
          </c:dPt>
          <c:dPt>
            <c:idx val="10"/>
            <c:bubble3D val="0"/>
            <c:spPr>
              <a:solidFill>
                <a:srgbClr val="FF994D"/>
              </a:solidFill>
            </c:spPr>
            <c:extLst>
              <c:ext xmlns:c16="http://schemas.microsoft.com/office/drawing/2014/chart" uri="{C3380CC4-5D6E-409C-BE32-E72D297353CC}">
                <c16:uniqueId val="{00000015-2095-454F-AB94-4737E84B625F}"/>
              </c:ext>
            </c:extLst>
          </c:dPt>
          <c:dPt>
            <c:idx val="11"/>
            <c:bubble3D val="0"/>
            <c:spPr>
              <a:solidFill>
                <a:srgbClr val="7ED1D7"/>
              </a:solidFill>
            </c:spPr>
            <c:extLst>
              <c:ext xmlns:c16="http://schemas.microsoft.com/office/drawing/2014/chart" uri="{C3380CC4-5D6E-409C-BE32-E72D297353CC}">
                <c16:uniqueId val="{00000017-2095-454F-AB94-4737E84B625F}"/>
              </c:ext>
            </c:extLst>
          </c:dPt>
          <c:dPt>
            <c:idx val="12"/>
            <c:bubble3D val="0"/>
            <c:spPr>
              <a:solidFill>
                <a:srgbClr val="B3CEFB"/>
              </a:solidFill>
            </c:spPr>
            <c:extLst>
              <c:ext xmlns:c16="http://schemas.microsoft.com/office/drawing/2014/chart" uri="{C3380CC4-5D6E-409C-BE32-E72D297353CC}">
                <c16:uniqueId val="{00000019-2095-454F-AB94-4737E84B625F}"/>
              </c:ext>
            </c:extLst>
          </c:dPt>
          <c:dPt>
            <c:idx val="13"/>
            <c:bubble3D val="0"/>
            <c:spPr>
              <a:solidFill>
                <a:srgbClr val="F7B4AE"/>
              </a:solidFill>
            </c:spPr>
            <c:extLst>
              <c:ext xmlns:c16="http://schemas.microsoft.com/office/drawing/2014/chart" uri="{C3380CC4-5D6E-409C-BE32-E72D297353CC}">
                <c16:uniqueId val="{0000001B-2095-454F-AB94-4737E84B625F}"/>
              </c:ext>
            </c:extLst>
          </c:dPt>
          <c:dPt>
            <c:idx val="14"/>
            <c:bubble3D val="0"/>
            <c:spPr>
              <a:solidFill>
                <a:srgbClr val="FDE49B"/>
              </a:solidFill>
            </c:spPr>
            <c:extLst>
              <c:ext xmlns:c16="http://schemas.microsoft.com/office/drawing/2014/chart" uri="{C3380CC4-5D6E-409C-BE32-E72D297353CC}">
                <c16:uniqueId val="{0000001D-2095-454F-AB94-4737E84B625F}"/>
              </c:ext>
            </c:extLst>
          </c:dPt>
          <c:dPt>
            <c:idx val="15"/>
            <c:bubble3D val="0"/>
            <c:spPr>
              <a:solidFill>
                <a:srgbClr val="AEDCBA"/>
              </a:solidFill>
            </c:spPr>
            <c:extLst>
              <c:ext xmlns:c16="http://schemas.microsoft.com/office/drawing/2014/chart" uri="{C3380CC4-5D6E-409C-BE32-E72D297353CC}">
                <c16:uniqueId val="{0000001F-2095-454F-AB94-4737E84B625F}"/>
              </c:ext>
            </c:extLst>
          </c:dPt>
          <c:dPt>
            <c:idx val="16"/>
            <c:bubble3D val="0"/>
            <c:spPr>
              <a:solidFill>
                <a:srgbClr val="FFC599"/>
              </a:solidFill>
            </c:spPr>
            <c:extLst>
              <c:ext xmlns:c16="http://schemas.microsoft.com/office/drawing/2014/chart" uri="{C3380CC4-5D6E-409C-BE32-E72D297353CC}">
                <c16:uniqueId val="{00000021-2095-454F-AB94-4737E84B625F}"/>
              </c:ext>
            </c:extLst>
          </c:dPt>
          <c:dPt>
            <c:idx val="17"/>
            <c:bubble3D val="0"/>
            <c:spPr>
              <a:solidFill>
                <a:srgbClr val="B5E5E8"/>
              </a:solidFill>
            </c:spPr>
            <c:extLst>
              <c:ext xmlns:c16="http://schemas.microsoft.com/office/drawing/2014/chart" uri="{C3380CC4-5D6E-409C-BE32-E72D297353CC}">
                <c16:uniqueId val="{00000023-2095-454F-AB94-4737E84B625F}"/>
              </c:ext>
            </c:extLst>
          </c:dPt>
          <c:dPt>
            <c:idx val="18"/>
            <c:bubble3D val="0"/>
            <c:extLst>
              <c:ext xmlns:c16="http://schemas.microsoft.com/office/drawing/2014/chart" uri="{C3380CC4-5D6E-409C-BE32-E72D297353CC}">
                <c16:uniqueId val="{00000024-2095-454F-AB94-4737E84B625F}"/>
              </c:ext>
            </c:extLst>
          </c:dPt>
          <c:dPt>
            <c:idx val="19"/>
            <c:bubble3D val="0"/>
            <c:extLst>
              <c:ext xmlns:c16="http://schemas.microsoft.com/office/drawing/2014/chart" uri="{C3380CC4-5D6E-409C-BE32-E72D297353CC}">
                <c16:uniqueId val="{00000025-2095-454F-AB94-4737E84B625F}"/>
              </c:ext>
            </c:extLst>
          </c:dPt>
          <c:dPt>
            <c:idx val="20"/>
            <c:bubble3D val="0"/>
            <c:extLst>
              <c:ext xmlns:c16="http://schemas.microsoft.com/office/drawing/2014/chart" uri="{C3380CC4-5D6E-409C-BE32-E72D297353CC}">
                <c16:uniqueId val="{00000026-2095-454F-AB94-4737E84B625F}"/>
              </c:ext>
            </c:extLst>
          </c:dPt>
          <c:dPt>
            <c:idx val="21"/>
            <c:bubble3D val="0"/>
            <c:extLst>
              <c:ext xmlns:c16="http://schemas.microsoft.com/office/drawing/2014/chart" uri="{C3380CC4-5D6E-409C-BE32-E72D297353CC}">
                <c16:uniqueId val="{00000027-2095-454F-AB94-4737E84B625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numRef>
              <c:f>SUMMARY!$I$17:$I$38</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cat>
          <c:val>
            <c:numRef>
              <c:f>SUMMARY!$O$17:$O$38</c:f>
              <c:numCache>
                <c:formatCode>General</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extLst>
            <c:ext xmlns:c16="http://schemas.microsoft.com/office/drawing/2014/chart" uri="{C3380CC4-5D6E-409C-BE32-E72D297353CC}">
              <c16:uniqueId val="{00000028-2095-454F-AB94-4737E84B625F}"/>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200025</xdr:colOff>
      <xdr:row>17</xdr:row>
      <xdr:rowOff>0</xdr:rowOff>
    </xdr:from>
    <xdr:ext cx="7311118" cy="3306536"/>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371476</xdr:colOff>
      <xdr:row>46</xdr:row>
      <xdr:rowOff>9525</xdr:rowOff>
    </xdr:from>
    <xdr:ext cx="4118882" cy="1771650"/>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4083</xdr:colOff>
      <xdr:row>46</xdr:row>
      <xdr:rowOff>9525</xdr:rowOff>
    </xdr:from>
    <xdr:ext cx="3996417" cy="1771650"/>
    <xdr:graphicFrame macro="">
      <xdr:nvGraphicFramePr>
        <xdr:cNvPr id="4" name="Chart 3"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361950</xdr:colOff>
      <xdr:row>53</xdr:row>
      <xdr:rowOff>161925</xdr:rowOff>
    </xdr:from>
    <xdr:ext cx="4101193" cy="1771650"/>
    <xdr:graphicFrame macro="">
      <xdr:nvGraphicFramePr>
        <xdr:cNvPr id="5" name="Chart 4" titl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8</xdr:col>
      <xdr:colOff>4084</xdr:colOff>
      <xdr:row>51</xdr:row>
      <xdr:rowOff>161925</xdr:rowOff>
    </xdr:from>
    <xdr:ext cx="6214382" cy="2133600"/>
    <xdr:graphicFrame macro="">
      <xdr:nvGraphicFramePr>
        <xdr:cNvPr id="6" name="Chart 5" title="Chart">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18"/>
  <sheetViews>
    <sheetView tabSelected="1" zoomScale="70" zoomScaleNormal="70" workbookViewId="0">
      <selection activeCell="N5" sqref="N5:O8"/>
    </sheetView>
  </sheetViews>
  <sheetFormatPr defaultColWidth="12.5703125" defaultRowHeight="15.75" customHeight="1"/>
  <cols>
    <col min="1" max="1" width="6.28515625" customWidth="1"/>
    <col min="2" max="15" width="15.5703125" customWidth="1"/>
    <col min="16" max="16" width="16.42578125" customWidth="1"/>
    <col min="17" max="17" width="6.28515625" customWidth="1"/>
  </cols>
  <sheetData>
    <row r="1" spans="1:17" ht="8.25" customHeight="1">
      <c r="A1" s="1"/>
      <c r="B1" s="2"/>
      <c r="C1" s="3"/>
      <c r="D1" s="3"/>
      <c r="E1" s="3"/>
      <c r="F1" s="3"/>
      <c r="G1" s="3"/>
      <c r="H1" s="3"/>
      <c r="I1" s="3"/>
      <c r="J1" s="3"/>
      <c r="K1" s="3"/>
      <c r="L1" s="3"/>
      <c r="M1" s="3"/>
      <c r="N1" s="3"/>
      <c r="O1" s="3"/>
      <c r="P1" s="4"/>
      <c r="Q1" s="5"/>
    </row>
    <row r="2" spans="1:17" ht="30.75">
      <c r="A2" s="1"/>
      <c r="B2" s="6" t="s">
        <v>0</v>
      </c>
      <c r="C2" s="7"/>
      <c r="D2" s="7"/>
      <c r="E2" s="7"/>
      <c r="F2" s="7"/>
      <c r="G2" s="7"/>
      <c r="H2" s="7"/>
      <c r="I2" s="7"/>
      <c r="J2" s="7"/>
      <c r="K2" s="7"/>
      <c r="L2" s="7"/>
      <c r="M2" s="7"/>
      <c r="N2" s="7"/>
      <c r="O2" s="7"/>
      <c r="P2" s="8"/>
      <c r="Q2" s="5"/>
    </row>
    <row r="3" spans="1:17" ht="9.75" customHeight="1">
      <c r="A3" s="1"/>
      <c r="B3" s="9"/>
      <c r="C3" s="10"/>
      <c r="D3" s="10"/>
      <c r="E3" s="10"/>
      <c r="F3" s="10"/>
      <c r="G3" s="10"/>
      <c r="H3" s="10"/>
      <c r="I3" s="10"/>
      <c r="J3" s="10"/>
      <c r="K3" s="10"/>
      <c r="L3" s="10"/>
      <c r="M3" s="10"/>
      <c r="N3" s="10"/>
      <c r="O3" s="10"/>
      <c r="P3" s="11"/>
      <c r="Q3" s="5"/>
    </row>
    <row r="4" spans="1:17" ht="12.75">
      <c r="A4" s="1"/>
      <c r="B4" s="12"/>
      <c r="C4" s="12"/>
      <c r="D4" s="12"/>
      <c r="E4" s="13"/>
      <c r="F4" s="13"/>
      <c r="G4" s="13"/>
      <c r="H4" s="13"/>
      <c r="I4" s="13"/>
      <c r="J4" s="13"/>
      <c r="K4" s="13"/>
      <c r="L4" s="13"/>
      <c r="M4" s="13"/>
      <c r="N4" s="13"/>
      <c r="O4" s="13"/>
      <c r="P4" s="13"/>
      <c r="Q4" s="1"/>
    </row>
    <row r="5" spans="1:17" ht="12.75">
      <c r="A5" s="1"/>
      <c r="B5" s="229">
        <f ca="1">COUNTA('QA Log'!A2:A118)</f>
        <v>117</v>
      </c>
      <c r="C5" s="230"/>
      <c r="D5" s="214" t="s">
        <v>1</v>
      </c>
      <c r="E5" s="14"/>
      <c r="F5" s="229">
        <f ca="1">SUM('Data Collection_QQC'!BX3:BX118)</f>
        <v>76</v>
      </c>
      <c r="G5" s="230"/>
      <c r="H5" s="214" t="s">
        <v>2</v>
      </c>
      <c r="I5" s="15"/>
      <c r="J5" s="229">
        <f ca="1">SUM('Data Collection_QQC'!BY3:BY118)</f>
        <v>6</v>
      </c>
      <c r="K5" s="230"/>
      <c r="L5" s="214" t="s">
        <v>3</v>
      </c>
      <c r="M5" s="16"/>
      <c r="N5" s="229">
        <f ca="1">B5-F5</f>
        <v>41</v>
      </c>
      <c r="O5" s="230"/>
      <c r="P5" s="214" t="s">
        <v>4</v>
      </c>
      <c r="Q5" s="1"/>
    </row>
    <row r="6" spans="1:17" ht="12.75">
      <c r="A6" s="1"/>
      <c r="B6" s="231"/>
      <c r="C6" s="232"/>
      <c r="D6" s="215"/>
      <c r="E6" s="14"/>
      <c r="F6" s="231"/>
      <c r="G6" s="232"/>
      <c r="H6" s="215"/>
      <c r="I6" s="15"/>
      <c r="J6" s="231"/>
      <c r="K6" s="232"/>
      <c r="L6" s="215"/>
      <c r="M6" s="16"/>
      <c r="N6" s="231"/>
      <c r="O6" s="232"/>
      <c r="P6" s="215"/>
      <c r="Q6" s="1"/>
    </row>
    <row r="7" spans="1:17" ht="12.75">
      <c r="A7" s="1"/>
      <c r="B7" s="231"/>
      <c r="C7" s="232"/>
      <c r="D7" s="216" t="s">
        <v>5</v>
      </c>
      <c r="E7" s="14"/>
      <c r="F7" s="231"/>
      <c r="G7" s="232"/>
      <c r="H7" s="216" t="s">
        <v>6</v>
      </c>
      <c r="I7" s="15"/>
      <c r="J7" s="231"/>
      <c r="K7" s="232"/>
      <c r="L7" s="216" t="s">
        <v>7</v>
      </c>
      <c r="M7" s="17"/>
      <c r="N7" s="231"/>
      <c r="O7" s="232"/>
      <c r="P7" s="216" t="s">
        <v>8</v>
      </c>
      <c r="Q7" s="1"/>
    </row>
    <row r="8" spans="1:17" ht="12.75">
      <c r="A8" s="1"/>
      <c r="B8" s="233"/>
      <c r="C8" s="234"/>
      <c r="D8" s="215"/>
      <c r="E8" s="14"/>
      <c r="F8" s="233"/>
      <c r="G8" s="234"/>
      <c r="H8" s="215"/>
      <c r="I8" s="15"/>
      <c r="J8" s="233"/>
      <c r="K8" s="234"/>
      <c r="L8" s="215"/>
      <c r="M8" s="17"/>
      <c r="N8" s="233"/>
      <c r="O8" s="234"/>
      <c r="P8" s="215"/>
      <c r="Q8" s="1"/>
    </row>
    <row r="9" spans="1:17" ht="12.75">
      <c r="A9" s="1"/>
      <c r="B9" s="217" t="str">
        <f ca="1">IFERROR(__xludf.DUMMYFUNCTION("IFERROR(SPARKLINE(C11,{""charttype"",""bar"";""max"",1;""min"",0;""color1"",""#b6d7a8""}))"),"")</f>
        <v/>
      </c>
      <c r="C9" s="218"/>
      <c r="D9" s="219"/>
      <c r="E9" s="14"/>
      <c r="F9" s="217" t="str">
        <f ca="1">IFERROR(__xludf.DUMMYFUNCTION("IFERROR(SPARKLINE(G11,{""charttype"",""bar"";""max"",1;""min"",0;""color1"",""#b6d7a8""}))"),"")</f>
        <v/>
      </c>
      <c r="G9" s="218"/>
      <c r="H9" s="219"/>
      <c r="I9" s="15"/>
      <c r="J9" s="217" t="str">
        <f ca="1">IFERROR(__xludf.DUMMYFUNCTION("IFERROR(SPARKLINE(K11,{""charttype"",""bar"";""max"",1;""min"",0;""color1"",""#b6d7a8""}))"),"")</f>
        <v/>
      </c>
      <c r="K9" s="218"/>
      <c r="L9" s="219"/>
      <c r="M9" s="18"/>
      <c r="N9" s="217" t="str">
        <f ca="1">IFERROR(__xludf.DUMMYFUNCTION("IFERROR(SPARKLINE(O11,{""charttype"",""bar"";""max"",1;""min"",0;""color1"",""#b6d7a8""}))"),"")</f>
        <v/>
      </c>
      <c r="O9" s="218"/>
      <c r="P9" s="219"/>
      <c r="Q9" s="1"/>
    </row>
    <row r="10" spans="1:17" ht="12.75">
      <c r="A10" s="1"/>
      <c r="B10" s="19" t="s">
        <v>9</v>
      </c>
      <c r="C10" s="220" t="e">
        <f ca="1">SUM('Data Collection_QQC'!BV3:BV118)</f>
        <v>#NAME?</v>
      </c>
      <c r="D10" s="219"/>
      <c r="E10" s="14"/>
      <c r="F10" s="19" t="s">
        <v>9</v>
      </c>
      <c r="G10" s="220" t="e">
        <f ca="1">SUM('Data Collection_QQC'!BV3:BV118)</f>
        <v>#NAME?</v>
      </c>
      <c r="H10" s="219"/>
      <c r="I10" s="15"/>
      <c r="J10" s="19" t="s">
        <v>9</v>
      </c>
      <c r="K10" s="220" t="e">
        <f ca="1">SUM('Data Collection_QQC'!BV3:BV118)</f>
        <v>#NAME?</v>
      </c>
      <c r="L10" s="219"/>
      <c r="M10" s="17"/>
      <c r="N10" s="19" t="s">
        <v>9</v>
      </c>
      <c r="O10" s="220" t="e">
        <f ca="1">SUM('Data Collection_QQC'!BV3:BV118)</f>
        <v>#NAME?</v>
      </c>
      <c r="P10" s="219"/>
      <c r="Q10" s="1"/>
    </row>
    <row r="11" spans="1:17" ht="12.75">
      <c r="A11" s="1"/>
      <c r="B11" s="20" t="s">
        <v>10</v>
      </c>
      <c r="C11" s="221" t="e">
        <f ca="1">B5/C10</f>
        <v>#NAME?</v>
      </c>
      <c r="D11" s="222"/>
      <c r="E11" s="14"/>
      <c r="F11" s="20" t="s">
        <v>10</v>
      </c>
      <c r="G11" s="221" t="e">
        <f ca="1">F5/G10</f>
        <v>#NAME?</v>
      </c>
      <c r="H11" s="222"/>
      <c r="J11" s="20" t="s">
        <v>10</v>
      </c>
      <c r="K11" s="221" t="e">
        <f ca="1">J5/K10</f>
        <v>#NAME?</v>
      </c>
      <c r="L11" s="222"/>
      <c r="M11" s="21"/>
      <c r="N11" s="20" t="s">
        <v>10</v>
      </c>
      <c r="O11" s="221" t="e">
        <f ca="1">N5/O10</f>
        <v>#NAME?</v>
      </c>
      <c r="P11" s="222"/>
      <c r="Q11" s="1"/>
    </row>
    <row r="12" spans="1:17" ht="12.75">
      <c r="A12" s="1"/>
      <c r="B12" s="13"/>
      <c r="C12" s="13"/>
      <c r="D12" s="13"/>
      <c r="E12" s="15"/>
      <c r="F12" s="15"/>
      <c r="G12" s="15"/>
      <c r="H12" s="15"/>
      <c r="I12" s="15"/>
      <c r="J12" s="15"/>
      <c r="K12" s="15"/>
      <c r="L12" s="15"/>
      <c r="M12" s="15"/>
      <c r="N12" s="15"/>
      <c r="O12" s="15"/>
      <c r="P12" s="22"/>
      <c r="Q12" s="1"/>
    </row>
    <row r="13" spans="1:17" ht="12.75">
      <c r="A13" s="1"/>
      <c r="B13" s="23"/>
      <c r="C13" s="23"/>
      <c r="D13" s="23"/>
      <c r="E13" s="23"/>
      <c r="F13" s="23"/>
      <c r="G13" s="23"/>
      <c r="H13" s="23"/>
      <c r="I13" s="23"/>
      <c r="J13" s="23"/>
      <c r="K13" s="23"/>
      <c r="L13" s="23"/>
      <c r="M13" s="23"/>
      <c r="N13" s="23"/>
      <c r="O13" s="23"/>
      <c r="P13" s="24"/>
      <c r="Q13" s="1"/>
    </row>
    <row r="14" spans="1:17" ht="23.25">
      <c r="A14" s="1"/>
      <c r="B14" s="25" t="s">
        <v>11</v>
      </c>
      <c r="C14" s="26"/>
      <c r="D14" s="26"/>
      <c r="E14" s="26"/>
      <c r="F14" s="26"/>
      <c r="G14" s="26"/>
      <c r="H14" s="26"/>
      <c r="I14" s="26"/>
      <c r="J14" s="26"/>
      <c r="K14" s="26"/>
      <c r="L14" s="26"/>
      <c r="M14" s="26"/>
      <c r="N14" s="26"/>
      <c r="O14" s="26"/>
      <c r="P14" s="27"/>
      <c r="Q14" s="5"/>
    </row>
    <row r="15" spans="1:17" ht="12.75">
      <c r="A15" s="28"/>
      <c r="B15" s="12"/>
      <c r="C15" s="12"/>
      <c r="D15" s="12"/>
      <c r="E15" s="12"/>
      <c r="F15" s="12"/>
      <c r="G15" s="12"/>
      <c r="H15" s="12"/>
      <c r="I15" s="12"/>
      <c r="J15" s="12"/>
      <c r="K15" s="12"/>
      <c r="L15" s="12"/>
      <c r="M15" s="12"/>
      <c r="N15" s="12"/>
      <c r="O15" s="12"/>
      <c r="P15" s="29"/>
      <c r="Q15" s="1"/>
    </row>
    <row r="16" spans="1:17" ht="14.25">
      <c r="A16" s="28"/>
      <c r="B16" s="30"/>
      <c r="C16" s="30"/>
      <c r="D16" s="30"/>
      <c r="E16" s="30"/>
      <c r="F16" s="30"/>
      <c r="G16" s="30"/>
      <c r="H16" s="30"/>
      <c r="I16" s="31" t="s">
        <v>12</v>
      </c>
      <c r="J16" s="31" t="s">
        <v>13</v>
      </c>
      <c r="K16" s="31" t="s">
        <v>14</v>
      </c>
      <c r="L16" s="31" t="s">
        <v>15</v>
      </c>
      <c r="M16" s="31" t="s">
        <v>16</v>
      </c>
      <c r="N16" s="31" t="s">
        <v>17</v>
      </c>
      <c r="O16" s="31" t="s">
        <v>18</v>
      </c>
      <c r="P16" s="31" t="s">
        <v>19</v>
      </c>
      <c r="Q16" s="5"/>
    </row>
    <row r="17" spans="1:17" ht="12.75">
      <c r="A17" s="32"/>
      <c r="B17" s="13"/>
      <c r="C17" s="13"/>
      <c r="D17" s="13"/>
      <c r="E17" s="13"/>
      <c r="F17" s="13"/>
      <c r="G17" s="13"/>
      <c r="H17" s="16"/>
      <c r="I17" s="33" t="e">
        <f t="array" aca="1" ref="I17:I35" ca="1">_xludf.UNIQUE('Data Collection_QQC'!B3:B118)</f>
        <v>#NAME?</v>
      </c>
      <c r="J17" s="34" t="e">
        <f ca="1">IF(I17&lt;&gt;"",SUMIF('Data Collection_QQC'!B3:B118,I17,'Data Collection_QQC'!BV3:BV118),"")</f>
        <v>#NAME?</v>
      </c>
      <c r="K17" s="34" t="e">
        <f ca="1">IF(I17&lt;&gt;"",SUMIF('Data Collection_QQC'!B3:B118,I17,'Data Collection_QQC'!BW3:BW118),"")</f>
        <v>#NAME?</v>
      </c>
      <c r="L17" s="34" t="e">
        <f ca="1">IF(I17&lt;&gt;"",SUMIF('Data Collection_QQC'!B3:B118,I17,'Data Collection_QQC'!BX3:BX118),"")</f>
        <v>#NAME?</v>
      </c>
      <c r="M17" s="35" t="e">
        <f ca="1">IF(I17&lt;&gt;"",SUMIF('Data Collection_QQC'!B3:B118,I17,'Data Collection_QQC'!BY3:BY118),"")</f>
        <v>#NAME?</v>
      </c>
      <c r="N17" s="36" t="e">
        <f ca="1">IF(I17&lt;&gt;"",SUMIF('Data Collection_QQC'!B3:B118,I17,'Data Collection_QQC'!BZ3:BZ118),"")</f>
        <v>#NAME?</v>
      </c>
      <c r="O17" s="37" t="e">
        <f ca="1">IF(I17&lt;&gt;"",COUNTIF('Data Collection_QQC'!B3:B118,I17),"")</f>
        <v>#NAME?</v>
      </c>
      <c r="P17" s="38" t="str">
        <f ca="1">IFERROR(__xludf.DUMMYFUNCTION("IF(I17&lt;&gt;"""",SPARKLINE(J17:N17, {""charttype"",""column""; ""color1"",""#2ECCD1""; ""color2"",""#FFB347""; ""max"",MAX($K$5:$N$13)}),"""")
"),"")</f>
        <v/>
      </c>
      <c r="Q17" s="5"/>
    </row>
    <row r="18" spans="1:17" ht="12.75">
      <c r="A18" s="1"/>
      <c r="B18" s="15"/>
      <c r="C18" s="15"/>
      <c r="D18" s="15"/>
      <c r="E18" s="15"/>
      <c r="F18" s="15"/>
      <c r="G18" s="15"/>
      <c r="H18" s="17"/>
      <c r="I18" s="33" t="e">
        <f ca="1"/>
        <v>#NAME?</v>
      </c>
      <c r="J18" s="34" t="e">
        <f ca="1">IF(I18&lt;&gt;"",SUMIF('Data Collection_QQC'!B4:B118,I18,'Data Collection_QQC'!BV4:BV118),"")</f>
        <v>#NAME?</v>
      </c>
      <c r="K18" s="34" t="e">
        <f ca="1">IF(I18&lt;&gt;"",SUMIF('Data Collection_QQC'!B4:B118,I18,'Data Collection_QQC'!BW4:BW118),"")</f>
        <v>#NAME?</v>
      </c>
      <c r="L18" s="34" t="e">
        <f ca="1">IF(I18&lt;&gt;"",SUMIF('Data Collection_QQC'!B4:B118,I18,'Data Collection_QQC'!BX4:BX118),"")</f>
        <v>#NAME?</v>
      </c>
      <c r="M18" s="35" t="e">
        <f ca="1">IF(I18&lt;&gt;"",SUMIF('Data Collection_QQC'!B4:B118,I18,'Data Collection_QQC'!BY4:BY118),"")</f>
        <v>#NAME?</v>
      </c>
      <c r="N18" s="36" t="e">
        <f ca="1">IF(I18&lt;&gt;"",SUMIF('Data Collection_QQC'!B4:B118,I18,'Data Collection_QQC'!BZ4:BZ118),"")</f>
        <v>#NAME?</v>
      </c>
      <c r="O18" s="37" t="e">
        <f ca="1">IF(I18&lt;&gt;"",COUNTIF('Data Collection_QQC'!B4:B118,I18),"")</f>
        <v>#NAME?</v>
      </c>
      <c r="P18" s="38" t="str">
        <f ca="1">IFERROR(__xludf.DUMMYFUNCTION("IF(I18&lt;&gt;"""",SPARKLINE(J18:N18, {""charttype"",""column""; ""color1"",""#2ECCD1""; ""color2"",""#FFB347""; ""max"",MAX($K$5:$N$13)}),"""")
"),"")</f>
        <v/>
      </c>
      <c r="Q18" s="5"/>
    </row>
    <row r="19" spans="1:17" ht="12.75">
      <c r="A19" s="1"/>
      <c r="B19" s="15"/>
      <c r="C19" s="15"/>
      <c r="D19" s="15"/>
      <c r="E19" s="15"/>
      <c r="F19" s="15"/>
      <c r="G19" s="15"/>
      <c r="H19" s="17"/>
      <c r="I19" s="33" t="e">
        <f ca="1"/>
        <v>#NAME?</v>
      </c>
      <c r="J19" s="34" t="e">
        <f ca="1">IF(I19&lt;&gt;"",SUMIF('Data Collection_QQC'!B5:B118,I19,'Data Collection_QQC'!BV5:BV118),"")</f>
        <v>#NAME?</v>
      </c>
      <c r="K19" s="34" t="e">
        <f ca="1">IF(I19&lt;&gt;"",SUMIF('Data Collection_QQC'!B5:B118,I19,'Data Collection_QQC'!BW5:BW118),"")</f>
        <v>#NAME?</v>
      </c>
      <c r="L19" s="34" t="e">
        <f ca="1">IF(I19&lt;&gt;"",SUMIF('Data Collection_QQC'!B5:B118,I19,'Data Collection_QQC'!BX5:BX118),"")</f>
        <v>#NAME?</v>
      </c>
      <c r="M19" s="35" t="e">
        <f ca="1">IF(I19&lt;&gt;"",SUMIF('Data Collection_QQC'!B5:B118,I19,'Data Collection_QQC'!BY5:BY118),"")</f>
        <v>#NAME?</v>
      </c>
      <c r="N19" s="36" t="e">
        <f ca="1">IF(I19&lt;&gt;"",SUMIF('Data Collection_QQC'!B5:B118,I19,'Data Collection_QQC'!BZ5:BZ118),"")</f>
        <v>#NAME?</v>
      </c>
      <c r="O19" s="37" t="e">
        <f ca="1">IF(I19&lt;&gt;"",COUNTIF('Data Collection_QQC'!B5:B118,I19),"")</f>
        <v>#NAME?</v>
      </c>
      <c r="P19" s="38" t="str">
        <f ca="1">IFERROR(__xludf.DUMMYFUNCTION("IF(I19&lt;&gt;"""",SPARKLINE(J19:N19, {""charttype"",""column""; ""color1"",""#2ECCD1""; ""color2"",""#FFB347""; ""max"",MAX($K$5:$N$13)}),"""")
"),"")</f>
        <v/>
      </c>
      <c r="Q19" s="5"/>
    </row>
    <row r="20" spans="1:17" ht="12.75">
      <c r="A20" s="1"/>
      <c r="B20" s="15"/>
      <c r="C20" s="15"/>
      <c r="D20" s="15"/>
      <c r="E20" s="15"/>
      <c r="F20" s="15"/>
      <c r="G20" s="15"/>
      <c r="H20" s="17"/>
      <c r="I20" s="33" t="e">
        <f ca="1"/>
        <v>#NAME?</v>
      </c>
      <c r="J20" s="34" t="e">
        <f ca="1">IF(I20&lt;&gt;"",SUMIF('Data Collection_QQC'!B6:B118,I20,'Data Collection_QQC'!BV6:BV118),"")</f>
        <v>#NAME?</v>
      </c>
      <c r="K20" s="34" t="e">
        <f ca="1">IF(I20&lt;&gt;"",SUMIF('Data Collection_QQC'!B6:B118,I20,'Data Collection_QQC'!BW6:BW118),"")</f>
        <v>#NAME?</v>
      </c>
      <c r="L20" s="34" t="e">
        <f ca="1">IF(I20&lt;&gt;"",SUMIF('Data Collection_QQC'!B6:B118,I20,'Data Collection_QQC'!BX6:BX118),"")</f>
        <v>#NAME?</v>
      </c>
      <c r="M20" s="35" t="e">
        <f ca="1">IF(I20&lt;&gt;"",SUMIF('Data Collection_QQC'!B6:B118,I20,'Data Collection_QQC'!BY6:BY118),"")</f>
        <v>#NAME?</v>
      </c>
      <c r="N20" s="36" t="e">
        <f ca="1">IF(I20&lt;&gt;"",SUMIF('Data Collection_QQC'!B6:B118,I20,'Data Collection_QQC'!BZ6:BZ118),"")</f>
        <v>#NAME?</v>
      </c>
      <c r="O20" s="37" t="e">
        <f ca="1">IF(I20&lt;&gt;"",COUNTIF('Data Collection_QQC'!B6:B118,I20),"")</f>
        <v>#NAME?</v>
      </c>
      <c r="P20" s="38" t="str">
        <f ca="1">IFERROR(__xludf.DUMMYFUNCTION("IF(I20&lt;&gt;"""",SPARKLINE(J20:N20, {""charttype"",""column""; ""color1"",""#2ECCD1""; ""color2"",""#FFB347""; ""max"",MAX($K$5:$N$13)}),"""")
"),"")</f>
        <v/>
      </c>
      <c r="Q20" s="5"/>
    </row>
    <row r="21" spans="1:17" ht="12.75">
      <c r="A21" s="1"/>
      <c r="B21" s="15"/>
      <c r="C21" s="15"/>
      <c r="D21" s="15"/>
      <c r="E21" s="15"/>
      <c r="F21" s="15"/>
      <c r="G21" s="15"/>
      <c r="H21" s="17"/>
      <c r="I21" s="33" t="e">
        <f ca="1"/>
        <v>#NAME?</v>
      </c>
      <c r="J21" s="34" t="e">
        <f ca="1">IF(I21&lt;&gt;"",SUMIF('Data Collection_QQC'!B7:B118,I21,'Data Collection_QQC'!BV7:BV118),"")</f>
        <v>#NAME?</v>
      </c>
      <c r="K21" s="34" t="e">
        <f ca="1">IF(I21&lt;&gt;"",SUMIF('Data Collection_QQC'!B7:B118,I21,'Data Collection_QQC'!BW7:BW118),"")</f>
        <v>#NAME?</v>
      </c>
      <c r="L21" s="34" t="e">
        <f ca="1">IF(I21&lt;&gt;"",SUMIF('Data Collection_QQC'!B7:B118,I21,'Data Collection_QQC'!BX7:BX118),"")</f>
        <v>#NAME?</v>
      </c>
      <c r="M21" s="35" t="e">
        <f ca="1">IF(I21&lt;&gt;"",SUMIF('Data Collection_QQC'!B7:B118,I21,'Data Collection_QQC'!BY7:BY118),"")</f>
        <v>#NAME?</v>
      </c>
      <c r="N21" s="36" t="e">
        <f ca="1">IF(I21&lt;&gt;"",SUMIF('Data Collection_QQC'!B7:B118,I21,'Data Collection_QQC'!BZ7:BZ118),"")</f>
        <v>#NAME?</v>
      </c>
      <c r="O21" s="37" t="e">
        <f ca="1">IF(I21&lt;&gt;"",COUNTIF('Data Collection_QQC'!B7:B118,I21),"")</f>
        <v>#NAME?</v>
      </c>
      <c r="P21" s="38" t="str">
        <f ca="1">IFERROR(__xludf.DUMMYFUNCTION("IF(I21&lt;&gt;"""",SPARKLINE(J21:N21, {""charttype"",""column""; ""color1"",""#2ECCD1""; ""color2"",""#FFB347""; ""max"",MAX($K$5:$N$13)}),"""")
"),"")</f>
        <v/>
      </c>
      <c r="Q21" s="5"/>
    </row>
    <row r="22" spans="1:17" ht="12.75">
      <c r="A22" s="1"/>
      <c r="B22" s="15"/>
      <c r="C22" s="15"/>
      <c r="D22" s="15"/>
      <c r="E22" s="15"/>
      <c r="F22" s="15"/>
      <c r="G22" s="15"/>
      <c r="H22" s="17"/>
      <c r="I22" s="33" t="e">
        <f ca="1"/>
        <v>#NAME?</v>
      </c>
      <c r="J22" s="34" t="e">
        <f ca="1">IF(I22&lt;&gt;"",SUMIF('Data Collection_QQC'!B8:B118,I22,'Data Collection_QQC'!BV8:BV118),"")</f>
        <v>#NAME?</v>
      </c>
      <c r="K22" s="34" t="e">
        <f ca="1">IF(I22&lt;&gt;"",SUMIF('Data Collection_QQC'!B8:B118,I22,'Data Collection_QQC'!BW8:BW118),"")</f>
        <v>#NAME?</v>
      </c>
      <c r="L22" s="34" t="e">
        <f ca="1">IF(I22&lt;&gt;"",SUMIF('Data Collection_QQC'!B8:B118,I22,'Data Collection_QQC'!BX8:BX118),"")</f>
        <v>#NAME?</v>
      </c>
      <c r="M22" s="35" t="e">
        <f ca="1">IF(I22&lt;&gt;"",SUMIF('Data Collection_QQC'!B8:B118,I22,'Data Collection_QQC'!BY8:BY118),"")</f>
        <v>#NAME?</v>
      </c>
      <c r="N22" s="36" t="e">
        <f ca="1">IF(I22&lt;&gt;"",SUMIF('Data Collection_QQC'!B8:B118,I22,'Data Collection_QQC'!BZ8:BZ118),"")</f>
        <v>#NAME?</v>
      </c>
      <c r="O22" s="37" t="e">
        <f ca="1">IF(I22&lt;&gt;"",COUNTIF('Data Collection_QQC'!B8:B118,I22),"")</f>
        <v>#NAME?</v>
      </c>
      <c r="P22" s="38" t="str">
        <f ca="1">IFERROR(__xludf.DUMMYFUNCTION("IF(I22&lt;&gt;"""",SPARKLINE(J22:N22, {""charttype"",""column""; ""color1"",""#2ECCD1""; ""color2"",""#FFB347""; ""max"",MAX($K$5:$N$13)}),"""")
"),"")</f>
        <v/>
      </c>
      <c r="Q22" s="5"/>
    </row>
    <row r="23" spans="1:17" ht="12.75">
      <c r="A23" s="1"/>
      <c r="B23" s="15"/>
      <c r="C23" s="15"/>
      <c r="D23" s="15"/>
      <c r="E23" s="15"/>
      <c r="F23" s="15"/>
      <c r="G23" s="15"/>
      <c r="H23" s="17"/>
      <c r="I23" s="33" t="e">
        <f ca="1"/>
        <v>#NAME?</v>
      </c>
      <c r="J23" s="34" t="e">
        <f ca="1">IF(I23&lt;&gt;"",SUMIF('Data Collection_QQC'!B9:B118,I23,'Data Collection_QQC'!BV9:BV118),"")</f>
        <v>#NAME?</v>
      </c>
      <c r="K23" s="34" t="e">
        <f ca="1">IF(I23&lt;&gt;"",SUMIF('Data Collection_QQC'!B9:B118,I23,'Data Collection_QQC'!BW9:BW118),"")</f>
        <v>#NAME?</v>
      </c>
      <c r="L23" s="34" t="e">
        <f ca="1">IF(I23&lt;&gt;"",SUMIF('Data Collection_QQC'!B9:B118,I23,'Data Collection_QQC'!BX9:BX118),"")</f>
        <v>#NAME?</v>
      </c>
      <c r="M23" s="35" t="e">
        <f ca="1">IF(I23&lt;&gt;"",SUMIF('Data Collection_QQC'!B9:B118,I23,'Data Collection_QQC'!BY9:BY118),"")</f>
        <v>#NAME?</v>
      </c>
      <c r="N23" s="36" t="e">
        <f ca="1">IF(I23&lt;&gt;"",SUMIF('Data Collection_QQC'!B9:B118,I23,'Data Collection_QQC'!BZ9:BZ118),"")</f>
        <v>#NAME?</v>
      </c>
      <c r="O23" s="37" t="e">
        <f ca="1">IF(I23&lt;&gt;"",COUNTIF('Data Collection_QQC'!B9:B118,I23),"")</f>
        <v>#NAME?</v>
      </c>
      <c r="P23" s="38" t="str">
        <f ca="1">IFERROR(__xludf.DUMMYFUNCTION("IF(I23&lt;&gt;"""",SPARKLINE(J23:N23, {""charttype"",""column""; ""color1"",""#2ECCD1""; ""color2"",""#FFB347""; ""max"",MAX($K$5:$N$13)}),"""")
"),"")</f>
        <v/>
      </c>
      <c r="Q23" s="5"/>
    </row>
    <row r="24" spans="1:17" ht="12.75">
      <c r="A24" s="1"/>
      <c r="B24" s="15"/>
      <c r="C24" s="15"/>
      <c r="D24" s="15"/>
      <c r="E24" s="15"/>
      <c r="F24" s="15"/>
      <c r="G24" s="15"/>
      <c r="H24" s="17"/>
      <c r="I24" s="33" t="e">
        <f ca="1"/>
        <v>#NAME?</v>
      </c>
      <c r="J24" s="34" t="e">
        <f ca="1">IF(I24&lt;&gt;"",SUMIF('Data Collection_QQC'!B10:B118,I24,'Data Collection_QQC'!BV10:BV118),"")</f>
        <v>#NAME?</v>
      </c>
      <c r="K24" s="34" t="e">
        <f ca="1">IF(I24&lt;&gt;"",SUMIF('Data Collection_QQC'!B10:B118,I24,'Data Collection_QQC'!BW10:BW118),"")</f>
        <v>#NAME?</v>
      </c>
      <c r="L24" s="34" t="e">
        <f ca="1">IF(I24&lt;&gt;"",SUMIF('Data Collection_QQC'!B10:B118,I24,'Data Collection_QQC'!BX10:BX118),"")</f>
        <v>#NAME?</v>
      </c>
      <c r="M24" s="35" t="e">
        <f ca="1">IF(I24&lt;&gt;"",SUMIF('Data Collection_QQC'!B10:B118,I24,'Data Collection_QQC'!BY10:BY118),"")</f>
        <v>#NAME?</v>
      </c>
      <c r="N24" s="36" t="e">
        <f ca="1">IF(I24&lt;&gt;"",SUMIF('Data Collection_QQC'!B10:B118,I24,'Data Collection_QQC'!BZ10:BZ118),"")</f>
        <v>#NAME?</v>
      </c>
      <c r="O24" s="37" t="e">
        <f ca="1">IF(I24&lt;&gt;"",COUNTIF('Data Collection_QQC'!B10:B118,I24),"")</f>
        <v>#NAME?</v>
      </c>
      <c r="P24" s="38" t="str">
        <f ca="1">IFERROR(__xludf.DUMMYFUNCTION("IF(I24&lt;&gt;"""",SPARKLINE(J24:N24, {""charttype"",""column""; ""color1"",""#2ECCD1""; ""color2"",""#FFB347""; ""max"",MAX($K$5:$N$13)}),"""")
"),"")</f>
        <v/>
      </c>
      <c r="Q24" s="5"/>
    </row>
    <row r="25" spans="1:17" ht="12.75">
      <c r="A25" s="1"/>
      <c r="B25" s="15"/>
      <c r="C25" s="15"/>
      <c r="D25" s="15"/>
      <c r="E25" s="15"/>
      <c r="F25" s="15"/>
      <c r="G25" s="15"/>
      <c r="H25" s="17"/>
      <c r="I25" s="33" t="e">
        <f ca="1"/>
        <v>#NAME?</v>
      </c>
      <c r="J25" s="34" t="e">
        <f ca="1">IF(I25&lt;&gt;"",SUMIF('Data Collection_QQC'!B11:B118,I25,'Data Collection_QQC'!BV11:BV118),"")</f>
        <v>#NAME?</v>
      </c>
      <c r="K25" s="34" t="e">
        <f ca="1">IF(I25&lt;&gt;"",SUMIF('Data Collection_QQC'!B11:B118,I25,'Data Collection_QQC'!BW11:BW118),"")</f>
        <v>#NAME?</v>
      </c>
      <c r="L25" s="34" t="e">
        <f ca="1">IF(I25&lt;&gt;"",SUMIF('Data Collection_QQC'!B11:B118,I25,'Data Collection_QQC'!BX11:BX118),"")</f>
        <v>#NAME?</v>
      </c>
      <c r="M25" s="35" t="e">
        <f ca="1">IF(I25&lt;&gt;"",SUMIF('Data Collection_QQC'!B11:B118,I25,'Data Collection_QQC'!BY11:BY118),"")</f>
        <v>#NAME?</v>
      </c>
      <c r="N25" s="36" t="e">
        <f ca="1">IF(I25&lt;&gt;"",SUMIF('Data Collection_QQC'!B11:B118,I25,'Data Collection_QQC'!BZ11:BZ118),"")</f>
        <v>#NAME?</v>
      </c>
      <c r="O25" s="37" t="e">
        <f ca="1">IF(I25&lt;&gt;"",COUNTIF('Data Collection_QQC'!B11:B118,I25),"")</f>
        <v>#NAME?</v>
      </c>
      <c r="P25" s="38" t="str">
        <f ca="1">IFERROR(__xludf.DUMMYFUNCTION("IF(I25&lt;&gt;"""",SPARKLINE(J25:N25, {""charttype"",""column""; ""color1"",""#2ECCD1""; ""color2"",""#FFB347""; ""max"",MAX($K$5:$N$13)}),"""")
"),"")</f>
        <v/>
      </c>
      <c r="Q25" s="5"/>
    </row>
    <row r="26" spans="1:17" ht="12.75">
      <c r="A26" s="1"/>
      <c r="B26" s="15"/>
      <c r="C26" s="15"/>
      <c r="D26" s="15"/>
      <c r="E26" s="15"/>
      <c r="F26" s="15"/>
      <c r="G26" s="15"/>
      <c r="H26" s="17"/>
      <c r="I26" s="33" t="e">
        <f ca="1"/>
        <v>#NAME?</v>
      </c>
      <c r="J26" s="34" t="e">
        <f ca="1">IF(I26&lt;&gt;"",SUMIF('Data Collection_QQC'!B12:B118,I26,'Data Collection_QQC'!BV12:BV118),"")</f>
        <v>#NAME?</v>
      </c>
      <c r="K26" s="34" t="e">
        <f ca="1">IF(I26&lt;&gt;"",SUMIF('Data Collection_QQC'!B12:B118,I26,'Data Collection_QQC'!BW12:BW118),"")</f>
        <v>#NAME?</v>
      </c>
      <c r="L26" s="34" t="e">
        <f ca="1">IF(I26&lt;&gt;"",SUMIF('Data Collection_QQC'!B12:B118,I26,'Data Collection_QQC'!BX12:BX118),"")</f>
        <v>#NAME?</v>
      </c>
      <c r="M26" s="35" t="e">
        <f ca="1">IF(I26&lt;&gt;"",SUMIF('Data Collection_QQC'!B12:B118,I26,'Data Collection_QQC'!BY12:BY118),"")</f>
        <v>#NAME?</v>
      </c>
      <c r="N26" s="36" t="e">
        <f ca="1">IF(I26&lt;&gt;"",SUMIF('Data Collection_QQC'!B12:B118,I26,'Data Collection_QQC'!BZ12:BZ118),"")</f>
        <v>#NAME?</v>
      </c>
      <c r="O26" s="37" t="e">
        <f ca="1">IF(I26&lt;&gt;"",COUNTIF('Data Collection_QQC'!B12:B118,I26),"")</f>
        <v>#NAME?</v>
      </c>
      <c r="P26" s="38" t="str">
        <f ca="1">IFERROR(__xludf.DUMMYFUNCTION("IF(I26&lt;&gt;"""",SPARKLINE(J26:N26, {""charttype"",""column""; ""color1"",""#2ECCD1""; ""color2"",""#FFB347""; ""max"",MAX($K$5:$N$13)}),"""")
"),"")</f>
        <v/>
      </c>
      <c r="Q26" s="5"/>
    </row>
    <row r="27" spans="1:17" ht="12.75">
      <c r="A27" s="1"/>
      <c r="B27" s="15"/>
      <c r="C27" s="15"/>
      <c r="D27" s="15"/>
      <c r="E27" s="15"/>
      <c r="F27" s="15"/>
      <c r="G27" s="15"/>
      <c r="H27" s="17"/>
      <c r="I27" s="33" t="e">
        <f ca="1"/>
        <v>#NAME?</v>
      </c>
      <c r="J27" s="34" t="e">
        <f ca="1">IF(I27&lt;&gt;"",SUMIF('Data Collection_QQC'!B13:B118,I27,'Data Collection_QQC'!BV13:BV118),"")</f>
        <v>#NAME?</v>
      </c>
      <c r="K27" s="34" t="e">
        <f ca="1">IF(I27&lt;&gt;"",SUMIF('Data Collection_QQC'!B13:B118,I27,'Data Collection_QQC'!BW13:BW118),"")</f>
        <v>#NAME?</v>
      </c>
      <c r="L27" s="34" t="e">
        <f ca="1">IF(I27&lt;&gt;"",SUMIF('Data Collection_QQC'!B13:B118,I27,'Data Collection_QQC'!BX13:BX118),"")</f>
        <v>#NAME?</v>
      </c>
      <c r="M27" s="35" t="e">
        <f ca="1">IF(I27&lt;&gt;"",SUMIF('Data Collection_QQC'!B13:B118,I27,'Data Collection_QQC'!BY13:BY118),"")</f>
        <v>#NAME?</v>
      </c>
      <c r="N27" s="36" t="e">
        <f ca="1">IF(I27&lt;&gt;"",SUMIF('Data Collection_QQC'!B13:B118,I27,'Data Collection_QQC'!BZ13:BZ118),"")</f>
        <v>#NAME?</v>
      </c>
      <c r="O27" s="37" t="e">
        <f ca="1">IF(I27&lt;&gt;"",COUNTIF('Data Collection_QQC'!B13:B118,I27),"")</f>
        <v>#NAME?</v>
      </c>
      <c r="P27" s="38" t="str">
        <f ca="1">IFERROR(__xludf.DUMMYFUNCTION("IF(I27&lt;&gt;"""",SPARKLINE(J27:N27, {""charttype"",""column""; ""color1"",""#2ECCD1""; ""color2"",""#FFB347""; ""max"",MAX($K$5:$N$13)}),"""")
"),"")</f>
        <v/>
      </c>
      <c r="Q27" s="5"/>
    </row>
    <row r="28" spans="1:17" ht="12.75">
      <c r="A28" s="1"/>
      <c r="B28" s="15"/>
      <c r="C28" s="15"/>
      <c r="D28" s="15"/>
      <c r="E28" s="15"/>
      <c r="F28" s="15"/>
      <c r="G28" s="15"/>
      <c r="H28" s="17"/>
      <c r="I28" s="33" t="e">
        <f ca="1"/>
        <v>#NAME?</v>
      </c>
      <c r="J28" s="34" t="e">
        <f ca="1">IF(I28&lt;&gt;"",SUMIF('Data Collection_QQC'!B14:B118,I28,'Data Collection_QQC'!BV14:BV118),"")</f>
        <v>#NAME?</v>
      </c>
      <c r="K28" s="34" t="e">
        <f ca="1">IF(I28&lt;&gt;"",SUMIF('Data Collection_QQC'!B14:B118,I28,'Data Collection_QQC'!BW14:BW118),"")</f>
        <v>#NAME?</v>
      </c>
      <c r="L28" s="34" t="e">
        <f ca="1">IF(I28&lt;&gt;"",SUMIF('Data Collection_QQC'!B14:B118,I28,'Data Collection_QQC'!BX14:BX118),"")</f>
        <v>#NAME?</v>
      </c>
      <c r="M28" s="35" t="e">
        <f ca="1">IF(I28&lt;&gt;"",SUMIF('Data Collection_QQC'!B14:B118,I28,'Data Collection_QQC'!BY14:BY118),"")</f>
        <v>#NAME?</v>
      </c>
      <c r="N28" s="36" t="e">
        <f ca="1">IF(I28&lt;&gt;"",SUMIF('Data Collection_QQC'!B14:B118,I28,'Data Collection_QQC'!BZ14:BZ118),"")</f>
        <v>#NAME?</v>
      </c>
      <c r="O28" s="37" t="e">
        <f ca="1">IF(I28&lt;&gt;"",COUNTIF('Data Collection_QQC'!B14:B118,I28),"")</f>
        <v>#NAME?</v>
      </c>
      <c r="P28" s="38" t="str">
        <f ca="1">IFERROR(__xludf.DUMMYFUNCTION("IF(I28&lt;&gt;"""",SPARKLINE(J28:N28, {""charttype"",""column""; ""color1"",""#2ECCD1""; ""color2"",""#FFB347""; ""max"",MAX($K$5:$N$13)}),"""")
"),"")</f>
        <v/>
      </c>
      <c r="Q28" s="5"/>
    </row>
    <row r="29" spans="1:17" ht="12.75">
      <c r="A29" s="1"/>
      <c r="B29" s="15"/>
      <c r="C29" s="15"/>
      <c r="D29" s="15"/>
      <c r="E29" s="15"/>
      <c r="F29" s="15"/>
      <c r="G29" s="15"/>
      <c r="H29" s="17"/>
      <c r="I29" s="33" t="e">
        <f ca="1"/>
        <v>#NAME?</v>
      </c>
      <c r="J29" s="34" t="e">
        <f ca="1">IF(I29&lt;&gt;"",SUMIF('Data Collection_QQC'!B15:B118,I29,'Data Collection_QQC'!BV15:BV118),"")</f>
        <v>#NAME?</v>
      </c>
      <c r="K29" s="34" t="e">
        <f ca="1">IF(I29&lt;&gt;"",SUMIF('Data Collection_QQC'!B15:B118,I29,'Data Collection_QQC'!BW15:BW118),"")</f>
        <v>#NAME?</v>
      </c>
      <c r="L29" s="34" t="e">
        <f ca="1">IF(I29&lt;&gt;"",SUMIF('Data Collection_QQC'!B15:B118,I29,'Data Collection_QQC'!BX15:BX118),"")</f>
        <v>#NAME?</v>
      </c>
      <c r="M29" s="35" t="e">
        <f ca="1">IF(I29&lt;&gt;"",SUMIF('Data Collection_QQC'!B15:B118,I29,'Data Collection_QQC'!BY15:BY118),"")</f>
        <v>#NAME?</v>
      </c>
      <c r="N29" s="36" t="e">
        <f ca="1">IF(I29&lt;&gt;"",SUMIF('Data Collection_QQC'!B15:B118,I29,'Data Collection_QQC'!BZ15:BZ118),"")</f>
        <v>#NAME?</v>
      </c>
      <c r="O29" s="37" t="e">
        <f ca="1">IF(I29&lt;&gt;"",COUNTIF('Data Collection_QQC'!B15:B118,I29),"")</f>
        <v>#NAME?</v>
      </c>
      <c r="P29" s="38" t="str">
        <f ca="1">IFERROR(__xludf.DUMMYFUNCTION("IF(I29&lt;&gt;"""",SPARKLINE(J29:N29, {""charttype"",""column""; ""color1"",""#2ECCD1""; ""color2"",""#FFB347""; ""max"",MAX($K$5:$N$13)}),"""")
"),"")</f>
        <v/>
      </c>
      <c r="Q29" s="5"/>
    </row>
    <row r="30" spans="1:17" ht="12.75">
      <c r="A30" s="1"/>
      <c r="B30" s="15"/>
      <c r="C30" s="15"/>
      <c r="D30" s="15"/>
      <c r="E30" s="15"/>
      <c r="F30" s="15"/>
      <c r="G30" s="15"/>
      <c r="H30" s="17"/>
      <c r="I30" s="33" t="e">
        <f ca="1"/>
        <v>#NAME?</v>
      </c>
      <c r="J30" s="34" t="e">
        <f ca="1">IF(I30&lt;&gt;"",SUMIF('Data Collection_QQC'!B16:B118,I30,'Data Collection_QQC'!BV16:BV118),"")</f>
        <v>#NAME?</v>
      </c>
      <c r="K30" s="34" t="e">
        <f ca="1">IF(I30&lt;&gt;"",SUMIF('Data Collection_QQC'!B16:B118,I30,'Data Collection_QQC'!BW16:BW118),"")</f>
        <v>#NAME?</v>
      </c>
      <c r="L30" s="34" t="e">
        <f ca="1">IF(I30&lt;&gt;"",SUMIF('Data Collection_QQC'!B16:B118,I30,'Data Collection_QQC'!BX16:BX118),"")</f>
        <v>#NAME?</v>
      </c>
      <c r="M30" s="35" t="e">
        <f ca="1">IF(I30&lt;&gt;"",SUMIF('Data Collection_QQC'!B16:B118,I30,'Data Collection_QQC'!BY16:BY118),"")</f>
        <v>#NAME?</v>
      </c>
      <c r="N30" s="36" t="e">
        <f ca="1">IF(I30&lt;&gt;"",SUMIF('Data Collection_QQC'!B16:B118,I30,'Data Collection_QQC'!BZ16:BZ118),"")</f>
        <v>#NAME?</v>
      </c>
      <c r="O30" s="37" t="e">
        <f ca="1">IF(I30&lt;&gt;"",COUNTIF('Data Collection_QQC'!B16:B118,I30),"")</f>
        <v>#NAME?</v>
      </c>
      <c r="P30" s="38" t="str">
        <f ca="1">IFERROR(__xludf.DUMMYFUNCTION("IF(I30&lt;&gt;"""",SPARKLINE(J30:N30, {""charttype"",""column""; ""color1"",""#2ECCD1""; ""color2"",""#FFB347""; ""max"",MAX($K$5:$N$13)}),"""")
"),"")</f>
        <v/>
      </c>
      <c r="Q30" s="5"/>
    </row>
    <row r="31" spans="1:17" ht="12.75">
      <c r="A31" s="1"/>
      <c r="B31" s="15"/>
      <c r="C31" s="15"/>
      <c r="D31" s="15"/>
      <c r="E31" s="15"/>
      <c r="F31" s="15"/>
      <c r="G31" s="15"/>
      <c r="H31" s="17"/>
      <c r="I31" s="33" t="e">
        <f ca="1"/>
        <v>#NAME?</v>
      </c>
      <c r="J31" s="34" t="e">
        <f ca="1">IF(I31&lt;&gt;"",SUMIF('Data Collection_QQC'!B17:B118,I31,'Data Collection_QQC'!BV17:BV118),"")</f>
        <v>#NAME?</v>
      </c>
      <c r="K31" s="34" t="e">
        <f ca="1">IF(I31&lt;&gt;"",SUMIF('Data Collection_QQC'!B17:B118,I31,'Data Collection_QQC'!BW17:BW118),"")</f>
        <v>#NAME?</v>
      </c>
      <c r="L31" s="34" t="e">
        <f ca="1">IF(I31&lt;&gt;"",SUMIF('Data Collection_QQC'!B17:B118,I31,'Data Collection_QQC'!BX17:BX118),"")</f>
        <v>#NAME?</v>
      </c>
      <c r="M31" s="35" t="e">
        <f ca="1">IF(I31&lt;&gt;"",SUMIF('Data Collection_QQC'!B17:B118,I31,'Data Collection_QQC'!BY17:BY118),"")</f>
        <v>#NAME?</v>
      </c>
      <c r="N31" s="36" t="e">
        <f ca="1">IF(I31&lt;&gt;"",SUMIF('Data Collection_QQC'!B17:B118,I31,'Data Collection_QQC'!BZ17:BZ118),"")</f>
        <v>#NAME?</v>
      </c>
      <c r="O31" s="37" t="e">
        <f ca="1">IF(I31&lt;&gt;"",COUNTIF('Data Collection_QQC'!B17:B118,I31),"")</f>
        <v>#NAME?</v>
      </c>
      <c r="P31" s="38" t="str">
        <f ca="1">IFERROR(__xludf.DUMMYFUNCTION("IF(I31&lt;&gt;"""",SPARKLINE(J31:N31, {""charttype"",""column""; ""color1"",""#2ECCD1""; ""color2"",""#FFB347""; ""max"",MAX($K$5:$N$13)}),"""")
"),"")</f>
        <v/>
      </c>
      <c r="Q31" s="5"/>
    </row>
    <row r="32" spans="1:17" ht="12.75">
      <c r="A32" s="1"/>
      <c r="B32" s="15"/>
      <c r="C32" s="15"/>
      <c r="D32" s="15"/>
      <c r="E32" s="15"/>
      <c r="F32" s="15"/>
      <c r="G32" s="15"/>
      <c r="H32" s="17"/>
      <c r="I32" s="33" t="e">
        <f ca="1"/>
        <v>#NAME?</v>
      </c>
      <c r="J32" s="34" t="e">
        <f ca="1">IF(I32&lt;&gt;"",SUMIF('Data Collection_QQC'!B18:B118,I32,'Data Collection_QQC'!BV18:BV118),"")</f>
        <v>#NAME?</v>
      </c>
      <c r="K32" s="34" t="e">
        <f ca="1">IF(I32&lt;&gt;"",SUMIF('Data Collection_QQC'!B18:B118,I32,'Data Collection_QQC'!BW18:BW118),"")</f>
        <v>#NAME?</v>
      </c>
      <c r="L32" s="34" t="e">
        <f ca="1">IF(I32&lt;&gt;"",SUMIF('Data Collection_QQC'!B18:B118,I32,'Data Collection_QQC'!BX18:BX118),"")</f>
        <v>#NAME?</v>
      </c>
      <c r="M32" s="35" t="e">
        <f ca="1">IF(I32&lt;&gt;"",SUMIF('Data Collection_QQC'!B18:B118,I32,'Data Collection_QQC'!BY18:BY118),"")</f>
        <v>#NAME?</v>
      </c>
      <c r="N32" s="36" t="e">
        <f ca="1">IF(I32&lt;&gt;"",SUMIF('Data Collection_QQC'!B18:B118,I32,'Data Collection_QQC'!BZ18:BZ118),"")</f>
        <v>#NAME?</v>
      </c>
      <c r="O32" s="37" t="e">
        <f ca="1">IF(I32&lt;&gt;"",COUNTIF('Data Collection_QQC'!B18:B118,I32),"")</f>
        <v>#NAME?</v>
      </c>
      <c r="P32" s="38" t="str">
        <f ca="1">IFERROR(__xludf.DUMMYFUNCTION("IF(I32&lt;&gt;"""",SPARKLINE(J32:N32, {""charttype"",""column""; ""color1"",""#2ECCD1""; ""color2"",""#FFB347""; ""max"",MAX($K$5:$N$13)}),"""")
"),"")</f>
        <v/>
      </c>
      <c r="Q32" s="5"/>
    </row>
    <row r="33" spans="1:17" ht="12.75">
      <c r="A33" s="1"/>
      <c r="B33" s="15"/>
      <c r="C33" s="15"/>
      <c r="D33" s="15"/>
      <c r="E33" s="15"/>
      <c r="F33" s="15"/>
      <c r="G33" s="15"/>
      <c r="H33" s="17"/>
      <c r="I33" s="33" t="e">
        <f ca="1"/>
        <v>#NAME?</v>
      </c>
      <c r="J33" s="34" t="e">
        <f ca="1">IF(I33&lt;&gt;"",SUMIF('Data Collection_QQC'!B19:B118,I33,'Data Collection_QQC'!BV19:BV118),"")</f>
        <v>#NAME?</v>
      </c>
      <c r="K33" s="34" t="e">
        <f ca="1">IF(I33&lt;&gt;"",SUMIF('Data Collection_QQC'!B19:B118,I33,'Data Collection_QQC'!BW19:BW118),"")</f>
        <v>#NAME?</v>
      </c>
      <c r="L33" s="34" t="e">
        <f ca="1">IF(I33&lt;&gt;"",SUMIF('Data Collection_QQC'!B19:B118,I33,'Data Collection_QQC'!BX19:BX118),"")</f>
        <v>#NAME?</v>
      </c>
      <c r="M33" s="35" t="e">
        <f ca="1">IF(I33&lt;&gt;"",SUMIF('Data Collection_QQC'!B19:B118,I33,'Data Collection_QQC'!BY19:BY118),"")</f>
        <v>#NAME?</v>
      </c>
      <c r="N33" s="36" t="e">
        <f ca="1">IF(I33&lt;&gt;"",SUMIF('Data Collection_QQC'!B19:B118,I33,'Data Collection_QQC'!BZ19:BZ118),"")</f>
        <v>#NAME?</v>
      </c>
      <c r="O33" s="37" t="e">
        <f ca="1">IF(I33&lt;&gt;"",COUNTIF('Data Collection_QQC'!B19:B118,I33),"")</f>
        <v>#NAME?</v>
      </c>
      <c r="P33" s="38" t="str">
        <f ca="1">IFERROR(__xludf.DUMMYFUNCTION("IF(I33&lt;&gt;"""",SPARKLINE(J33:N33, {""charttype"",""column""; ""color1"",""#2ECCD1""; ""color2"",""#FFB347""; ""max"",MAX($K$5:$N$13)}),"""")
"),"")</f>
        <v/>
      </c>
      <c r="Q33" s="5"/>
    </row>
    <row r="34" spans="1:17" ht="12.75">
      <c r="A34" s="1"/>
      <c r="B34" s="15"/>
      <c r="C34" s="15"/>
      <c r="D34" s="15"/>
      <c r="E34" s="15"/>
      <c r="F34" s="15"/>
      <c r="G34" s="15"/>
      <c r="H34" s="17"/>
      <c r="I34" s="33" t="e">
        <f ca="1"/>
        <v>#NAME?</v>
      </c>
      <c r="J34" s="34" t="e">
        <f ca="1">IF(I34&lt;&gt;"",SUMIF('Data Collection_QQC'!B20:B118,I34,'Data Collection_QQC'!BV20:BV118),"")</f>
        <v>#NAME?</v>
      </c>
      <c r="K34" s="34" t="e">
        <f ca="1">IF(I34&lt;&gt;"",SUMIF('Data Collection_QQC'!B20:B118,I34,'Data Collection_QQC'!BW20:BW118),"")</f>
        <v>#NAME?</v>
      </c>
      <c r="L34" s="34" t="e">
        <f ca="1">IF(I34&lt;&gt;"",SUMIF('Data Collection_QQC'!B20:B118,I34,'Data Collection_QQC'!BX20:BX118),"")</f>
        <v>#NAME?</v>
      </c>
      <c r="M34" s="35" t="e">
        <f ca="1">IF(I34&lt;&gt;"",SUMIF('Data Collection_QQC'!B20:B118,I34,'Data Collection_QQC'!BY20:BY118),"")</f>
        <v>#NAME?</v>
      </c>
      <c r="N34" s="36" t="e">
        <f ca="1">IF(I34&lt;&gt;"",SUMIF('Data Collection_QQC'!B20:B118,I34,'Data Collection_QQC'!BZ20:BZ118),"")</f>
        <v>#NAME?</v>
      </c>
      <c r="O34" s="37" t="e">
        <f ca="1">IF(I34&lt;&gt;"",COUNTIF('Data Collection_QQC'!B20:B118,I34),"")</f>
        <v>#NAME?</v>
      </c>
      <c r="P34" s="38" t="str">
        <f ca="1">IFERROR(__xludf.DUMMYFUNCTION("IF(I34&lt;&gt;"""",SPARKLINE(J34:N34, {""charttype"",""column""; ""color1"",""#2ECCD1""; ""color2"",""#FFB347""; ""max"",MAX($K$5:$N$13)}),"""")
"),"")</f>
        <v/>
      </c>
      <c r="Q34" s="5"/>
    </row>
    <row r="35" spans="1:17" ht="12.75">
      <c r="A35" s="1"/>
      <c r="B35" s="15"/>
      <c r="C35" s="15"/>
      <c r="D35" s="15"/>
      <c r="E35" s="15"/>
      <c r="F35" s="15"/>
      <c r="G35" s="15"/>
      <c r="H35" s="17"/>
      <c r="I35" s="33" t="e">
        <f ca="1"/>
        <v>#NAME?</v>
      </c>
      <c r="J35" s="34" t="e">
        <f ca="1">IF(I35&lt;&gt;"",SUMIF('Data Collection_QQC'!B21:B118,I35,'Data Collection_QQC'!BV21:BV118),"")</f>
        <v>#NAME?</v>
      </c>
      <c r="K35" s="34" t="e">
        <f ca="1">IF(I35&lt;&gt;"",SUMIF('Data Collection_QQC'!B21:B118,I35,'Data Collection_QQC'!BW21:BW118),"")</f>
        <v>#NAME?</v>
      </c>
      <c r="L35" s="34" t="e">
        <f ca="1">IF(I35&lt;&gt;"",SUMIF('Data Collection_QQC'!B21:B118,I35,'Data Collection_QQC'!BX21:BX118),"")</f>
        <v>#NAME?</v>
      </c>
      <c r="M35" s="35" t="e">
        <f ca="1">IF(I35&lt;&gt;"",SUMIF('Data Collection_QQC'!B21:B118,I35,'Data Collection_QQC'!BY21:BY118),"")</f>
        <v>#NAME?</v>
      </c>
      <c r="N35" s="36" t="e">
        <f ca="1">IF(I35&lt;&gt;"",SUMIF('Data Collection_QQC'!B21:B118,I35,'Data Collection_QQC'!BZ21:BZ118),"")</f>
        <v>#NAME?</v>
      </c>
      <c r="O35" s="37" t="e">
        <f ca="1">IF(I35&lt;&gt;"",COUNTIF('Data Collection_QQC'!B21:B118,I35),"")</f>
        <v>#NAME?</v>
      </c>
      <c r="P35" s="38" t="str">
        <f ca="1">IFERROR(__xludf.DUMMYFUNCTION("IF(I35&lt;&gt;"""",SPARKLINE(J35:N35, {""charttype"",""column""; ""color1"",""#2ECCD1""; ""color2"",""#FFB347""; ""max"",MAX($K$5:$N$13)}),"""")
"),"")</f>
        <v/>
      </c>
      <c r="Q35" s="5"/>
    </row>
    <row r="36" spans="1:17" ht="12.75">
      <c r="A36" s="1"/>
      <c r="B36" s="15"/>
      <c r="C36" s="15"/>
      <c r="D36" s="15"/>
      <c r="E36" s="15"/>
      <c r="F36" s="15"/>
      <c r="G36" s="15"/>
      <c r="H36" s="17"/>
      <c r="I36" s="33"/>
      <c r="J36" s="34" t="str">
        <f>IF(I36&lt;&gt;"",SUMIF('Data Collection_QQC'!B22:B118,I36,'Data Collection_QQC'!BV22:BV118),"")</f>
        <v/>
      </c>
      <c r="K36" s="34" t="str">
        <f>IF(I36&lt;&gt;"",SUMIF('Data Collection_QQC'!B22:B118,I36,'Data Collection_QQC'!BW22:BW118),"")</f>
        <v/>
      </c>
      <c r="L36" s="34" t="str">
        <f>IF(I36&lt;&gt;"",SUMIF('Data Collection_QQC'!B22:B118,I36,'Data Collection_QQC'!BX22:BX118),"")</f>
        <v/>
      </c>
      <c r="M36" s="35" t="str">
        <f>IF(I36&lt;&gt;"",SUMIF('Data Collection_QQC'!B22:B118,I36,'Data Collection_QQC'!BY22:BY118),"")</f>
        <v/>
      </c>
      <c r="N36" s="36" t="str">
        <f>IF(I36&lt;&gt;"",SUMIF('Data Collection_QQC'!B22:B118,I36,'Data Collection_QQC'!BZ22:BZ118),"")</f>
        <v/>
      </c>
      <c r="O36" s="37" t="str">
        <f>IF(I36&lt;&gt;"",COUNTIF('Data Collection_QQC'!B22:B118,I36),"")</f>
        <v/>
      </c>
      <c r="P36" s="38" t="str">
        <f ca="1">IFERROR(__xludf.DUMMYFUNCTION("IF(I36&lt;&gt;"""",SPARKLINE(J36:N36, {""charttype"",""column""; ""color1"",""#2ECCD1""; ""color2"",""#FFB347""; ""max"",MAX($K$5:$N$13)}),"""")
"),"")</f>
        <v/>
      </c>
      <c r="Q36" s="5"/>
    </row>
    <row r="37" spans="1:17" ht="12.75">
      <c r="A37" s="1"/>
      <c r="B37" s="15"/>
      <c r="C37" s="15"/>
      <c r="D37" s="15"/>
      <c r="E37" s="15"/>
      <c r="F37" s="15"/>
      <c r="G37" s="15"/>
      <c r="H37" s="17"/>
      <c r="I37" s="33"/>
      <c r="J37" s="34" t="str">
        <f>IF(I37&lt;&gt;"",SUMIF('Data Collection_QQC'!B23:B118,I37,'Data Collection_QQC'!BV23:BV118),"")</f>
        <v/>
      </c>
      <c r="K37" s="34" t="str">
        <f>IF(I37&lt;&gt;"",SUMIF('Data Collection_QQC'!B23:B118,I37,'Data Collection_QQC'!BW23:BW118),"")</f>
        <v/>
      </c>
      <c r="L37" s="34" t="str">
        <f>IF(I37&lt;&gt;"",SUMIF('Data Collection_QQC'!B23:B118,I37,'Data Collection_QQC'!BX23:BX118),"")</f>
        <v/>
      </c>
      <c r="M37" s="35" t="str">
        <f>IF(I37&lt;&gt;"",SUMIF('Data Collection_QQC'!B23:B118,I37,'Data Collection_QQC'!BY23:BY118),"")</f>
        <v/>
      </c>
      <c r="N37" s="36" t="str">
        <f>IF(I37&lt;&gt;"",SUMIF('Data Collection_QQC'!B23:B118,I37,'Data Collection_QQC'!BZ23:BZ118),"")</f>
        <v/>
      </c>
      <c r="O37" s="37" t="str">
        <f>IF(I37&lt;&gt;"",COUNTIF('Data Collection_QQC'!B23:B118,I37),"")</f>
        <v/>
      </c>
      <c r="P37" s="38" t="str">
        <f ca="1">IFERROR(__xludf.DUMMYFUNCTION("IF(I37&lt;&gt;"""",SPARKLINE(J37:N37, {""charttype"",""column""; ""color1"",""#2ECCD1""; ""color2"",""#FFB347""; ""max"",MAX($K$5:$N$13)}),"""")
"),"")</f>
        <v/>
      </c>
      <c r="Q37" s="5"/>
    </row>
    <row r="38" spans="1:17" ht="12.75">
      <c r="A38" s="1"/>
      <c r="B38" s="15"/>
      <c r="C38" s="15"/>
      <c r="D38" s="15"/>
      <c r="E38" s="15"/>
      <c r="F38" s="15"/>
      <c r="G38" s="15"/>
      <c r="H38" s="17"/>
      <c r="I38" s="33"/>
      <c r="J38" s="34" t="str">
        <f>IF(I38&lt;&gt;"",SUMIF('Data Collection_QQC'!B24:B118,I38,'Data Collection_QQC'!BV24:BV118),"")</f>
        <v/>
      </c>
      <c r="K38" s="34" t="str">
        <f>IF(I38&lt;&gt;"",SUMIF('Data Collection_QQC'!B24:B118,I38,'Data Collection_QQC'!BW24:BW118),"")</f>
        <v/>
      </c>
      <c r="L38" s="34" t="str">
        <f>IF(I38&lt;&gt;"",SUMIF('Data Collection_QQC'!B24:B118,I38,'Data Collection_QQC'!BX24:BX118),"")</f>
        <v/>
      </c>
      <c r="M38" s="35" t="str">
        <f>IF(I38&lt;&gt;"",SUMIF('Data Collection_QQC'!B24:B118,I38,'Data Collection_QQC'!BY24:BY118),"")</f>
        <v/>
      </c>
      <c r="N38" s="36" t="str">
        <f>IF(I38&lt;&gt;"",SUMIF('Data Collection_QQC'!B24:B118,I38,'Data Collection_QQC'!BZ24:BZ118),"")</f>
        <v/>
      </c>
      <c r="O38" s="37" t="str">
        <f>IF(I38&lt;&gt;"",COUNTIF('Data Collection_QQC'!B24:B118,I38),"")</f>
        <v/>
      </c>
      <c r="P38" s="38" t="str">
        <f ca="1">IFERROR(__xludf.DUMMYFUNCTION("IF(I38&lt;&gt;"""",SPARKLINE(J38:N38, {""charttype"",""column""; ""color1"",""#2ECCD1""; ""color2"",""#FFB347""; ""max"",MAX($K$5:$N$13)}),"""")
"),"")</f>
        <v/>
      </c>
      <c r="Q38" s="5"/>
    </row>
    <row r="39" spans="1:17" ht="12.75">
      <c r="A39" s="28"/>
      <c r="B39" s="23"/>
      <c r="C39" s="23"/>
      <c r="D39" s="23"/>
      <c r="E39" s="23"/>
      <c r="F39" s="23"/>
      <c r="G39" s="23"/>
      <c r="H39" s="21"/>
      <c r="I39" s="39"/>
      <c r="J39" s="40" t="str">
        <f>IF(I39&lt;&gt;"",SUMIF('Data Collection_QQC'!B25:B118,I39,'Data Collection_QQC'!BV25:BV118),"")</f>
        <v/>
      </c>
      <c r="K39" s="40" t="str">
        <f>IF(I39&lt;&gt;"",SUMIF('Data Collection_QQC'!B25:B118,I39,'Data Collection_QQC'!BW25:BW118),"")</f>
        <v/>
      </c>
      <c r="L39" s="40" t="str">
        <f>IF(I39&lt;&gt;"",SUMIF('Data Collection_QQC'!B25:B118,I39,'Data Collection_QQC'!BX25:BX118),"")</f>
        <v/>
      </c>
      <c r="M39" s="41" t="str">
        <f>IF(I39&lt;&gt;"",SUMIF('Data Collection_QQC'!B25:B118,I39,'Data Collection_QQC'!BY25:BY118),"")</f>
        <v/>
      </c>
      <c r="N39" s="42" t="str">
        <f>IF(I39&lt;&gt;"",SUMIF('Data Collection_QQC'!B25:B118,I39,'Data Collection_QQC'!BZ25:BZ118),"")</f>
        <v/>
      </c>
      <c r="O39" s="43" t="str">
        <f>IF(I39&lt;&gt;"",COUNTIF('Data Collection_QQC'!B25:B118,I39),"")</f>
        <v/>
      </c>
      <c r="P39" s="38" t="str">
        <f ca="1">IFERROR(__xludf.DUMMYFUNCTION("IF(I39&lt;&gt;"""",SPARKLINE(J39:N39, {""charttype"",""column""; ""color1"",""#2ECCD1""; ""color2"",""#FFB347""; ""max"",MAX($K$5:$N$13)}),"""")
"),"")</f>
        <v/>
      </c>
      <c r="Q39" s="5"/>
    </row>
    <row r="40" spans="1:17" ht="12.75">
      <c r="A40" s="28"/>
      <c r="B40" s="30"/>
      <c r="C40" s="30"/>
      <c r="D40" s="30"/>
      <c r="E40" s="30"/>
      <c r="F40" s="30"/>
      <c r="G40" s="30"/>
      <c r="H40" s="30"/>
      <c r="I40" s="44"/>
      <c r="J40" s="44" t="str">
        <f>IF(I40&lt;&gt;"",SUMIF('Data Collection_QQC'!B26:B118,I40,'Data Collection_QQC'!BV26:BV118),"")</f>
        <v/>
      </c>
      <c r="K40" s="44" t="str">
        <f>IF(I40&lt;&gt;"",SUMIF('Data Collection_QQC'!B26:B118,I40,'Data Collection_QQC'!BW26:BW118),"")</f>
        <v/>
      </c>
      <c r="L40" s="44" t="str">
        <f>IF(I40&lt;&gt;"",SUMIF('Data Collection_QQC'!B26:B118,I40,'Data Collection_QQC'!BX26:BX118),"")</f>
        <v/>
      </c>
      <c r="M40" s="44" t="str">
        <f>IF(I40&lt;&gt;"",SUMIF('Data Collection_QQC'!B26:B118,I40,'Data Collection_QQC'!BY26:BY118),"")</f>
        <v/>
      </c>
      <c r="N40" s="44" t="str">
        <f>IF(I40&lt;&gt;"",SUMIF('Data Collection_QQC'!B26:B118,I40,'Data Collection_QQC'!BZ26:BZ118),"")</f>
        <v/>
      </c>
      <c r="O40" s="44" t="str">
        <f>IF(I40&lt;&gt;"",COUNTIF('Data Collection_QQC'!B26:B118,I40),"")</f>
        <v/>
      </c>
      <c r="P40" s="44" t="str">
        <f ca="1">IFERROR(__xludf.DUMMYFUNCTION("IF(I40&lt;&gt;"""",SPARKLINE(K40:N40, {""charttype"",""column""; ""color1"",""#2ECCD1""; ""color2"",""#FFB347""; ""max"",MAX($K$5:$N$13)}),"""")
"),"")</f>
        <v/>
      </c>
      <c r="Q40" s="5"/>
    </row>
    <row r="41" spans="1:17" ht="12.75">
      <c r="A41" s="32"/>
      <c r="B41" s="13"/>
      <c r="C41" s="13"/>
      <c r="D41" s="13"/>
      <c r="E41" s="13"/>
      <c r="F41" s="13"/>
      <c r="G41" s="13"/>
      <c r="H41" s="13"/>
      <c r="I41" s="13"/>
      <c r="J41" s="13"/>
      <c r="K41" s="13"/>
      <c r="L41" s="13"/>
      <c r="M41" s="13"/>
      <c r="N41" s="13"/>
      <c r="O41" s="13"/>
      <c r="P41" s="45"/>
      <c r="Q41" s="1"/>
    </row>
    <row r="42" spans="1:17" ht="23.25">
      <c r="A42" s="1"/>
      <c r="B42" s="25" t="s">
        <v>36</v>
      </c>
      <c r="C42" s="26"/>
      <c r="D42" s="26"/>
      <c r="E42" s="26"/>
      <c r="F42" s="26"/>
      <c r="G42" s="26"/>
      <c r="H42" s="26"/>
      <c r="I42" s="26"/>
      <c r="J42" s="26"/>
      <c r="K42" s="26"/>
      <c r="L42" s="26"/>
      <c r="M42" s="26"/>
      <c r="N42" s="26"/>
      <c r="O42" s="26"/>
      <c r="P42" s="27"/>
      <c r="Q42" s="1"/>
    </row>
    <row r="43" spans="1:17" ht="12.75">
      <c r="A43" s="1"/>
      <c r="B43" s="15"/>
      <c r="C43" s="15"/>
      <c r="D43" s="15"/>
      <c r="E43" s="15"/>
      <c r="F43" s="15"/>
      <c r="G43" s="15"/>
      <c r="H43" s="15"/>
      <c r="I43" s="15"/>
      <c r="J43" s="15"/>
      <c r="K43" s="15"/>
      <c r="L43" s="15"/>
      <c r="M43" s="15"/>
      <c r="N43" s="15"/>
      <c r="O43" s="15"/>
      <c r="P43" s="22"/>
      <c r="Q43" s="1"/>
    </row>
    <row r="44" spans="1:17" ht="12.75">
      <c r="A44" s="1"/>
      <c r="B44" s="23"/>
      <c r="C44" s="23"/>
      <c r="D44" s="23"/>
      <c r="E44" s="23"/>
      <c r="F44" s="23"/>
      <c r="G44" s="15"/>
      <c r="H44" s="15"/>
      <c r="I44" s="15"/>
      <c r="J44" s="15"/>
      <c r="K44" s="15"/>
      <c r="L44" s="15"/>
      <c r="M44" s="15"/>
      <c r="N44" s="15"/>
      <c r="O44" s="15"/>
      <c r="P44" s="22"/>
      <c r="Q44" s="1"/>
    </row>
    <row r="45" spans="1:17" ht="12.75">
      <c r="A45" s="1"/>
      <c r="B45" s="46"/>
      <c r="C45" s="223" t="s">
        <v>37</v>
      </c>
      <c r="D45" s="224"/>
      <c r="E45" s="47"/>
      <c r="F45" s="47"/>
      <c r="G45" s="48"/>
      <c r="H45" s="15"/>
      <c r="I45" s="46"/>
      <c r="J45" s="223" t="s">
        <v>38</v>
      </c>
      <c r="K45" s="227"/>
      <c r="L45" s="224"/>
      <c r="M45" s="47"/>
      <c r="N45" s="48"/>
      <c r="O45" s="15"/>
      <c r="P45" s="22"/>
      <c r="Q45" s="1"/>
    </row>
    <row r="46" spans="1:17" ht="12.75">
      <c r="A46" s="1"/>
      <c r="B46" s="49"/>
      <c r="C46" s="225"/>
      <c r="D46" s="226"/>
      <c r="E46" s="50"/>
      <c r="F46" s="51"/>
      <c r="G46" s="52"/>
      <c r="H46" s="15"/>
      <c r="I46" s="49"/>
      <c r="J46" s="225"/>
      <c r="K46" s="228"/>
      <c r="L46" s="226"/>
      <c r="M46" s="51"/>
      <c r="N46" s="52"/>
      <c r="O46" s="15"/>
      <c r="P46" s="22"/>
      <c r="Q46" s="1"/>
    </row>
    <row r="47" spans="1:17" ht="34.5" customHeight="1">
      <c r="A47" s="1"/>
      <c r="B47" s="53"/>
      <c r="C47" s="13"/>
      <c r="D47" s="13"/>
      <c r="E47" s="16"/>
      <c r="F47" s="54">
        <f ca="1">COUNTIF('QA Log'!M:M,"QQC")</f>
        <v>30</v>
      </c>
      <c r="G47" s="55" t="s">
        <v>1</v>
      </c>
      <c r="H47" s="15"/>
      <c r="I47" s="53"/>
      <c r="J47" s="13"/>
      <c r="K47" s="13"/>
      <c r="L47" s="16"/>
      <c r="M47" s="54">
        <f ca="1">COUNTIF('QA Log'!M:M,"Data Verification")</f>
        <v>88</v>
      </c>
      <c r="N47" s="55" t="s">
        <v>1</v>
      </c>
      <c r="O47" s="15"/>
      <c r="P47" s="22"/>
      <c r="Q47" s="1"/>
    </row>
    <row r="48" spans="1:17" ht="35.25" customHeight="1">
      <c r="A48" s="1"/>
      <c r="B48" s="56"/>
      <c r="C48" s="15"/>
      <c r="D48" s="15"/>
      <c r="E48" s="16"/>
      <c r="F48" s="54">
        <f ca="1">COUNTIFS('QA Log'!M:M,"QQC",'QA Log'!Z:Z,"Approved")</f>
        <v>16</v>
      </c>
      <c r="G48" s="55" t="s">
        <v>2</v>
      </c>
      <c r="H48" s="15"/>
      <c r="I48" s="56"/>
      <c r="J48" s="15"/>
      <c r="K48" s="15"/>
      <c r="L48" s="16"/>
      <c r="M48" s="54">
        <f ca="1">COUNTIFS('QA Log'!M:M,"Data Verification",'QA Log'!Z:Z,"Approved")</f>
        <v>28</v>
      </c>
      <c r="N48" s="55" t="s">
        <v>2</v>
      </c>
      <c r="O48" s="15"/>
      <c r="P48" s="22"/>
      <c r="Q48" s="1"/>
    </row>
    <row r="49" spans="1:17" ht="34.5" customHeight="1">
      <c r="A49" s="1"/>
      <c r="B49" s="56"/>
      <c r="C49" s="15"/>
      <c r="D49" s="15"/>
      <c r="E49" s="16"/>
      <c r="F49" s="54">
        <f ca="1">COUNTIFS('QA Log'!M:M,"QQC",'QA Log'!Z:Z,"Rejected")</f>
        <v>0</v>
      </c>
      <c r="G49" s="55" t="s">
        <v>3</v>
      </c>
      <c r="H49" s="15"/>
      <c r="I49" s="56"/>
      <c r="J49" s="15"/>
      <c r="K49" s="15"/>
      <c r="L49" s="16"/>
      <c r="M49" s="54">
        <f ca="1">COUNTIFS('QA Log'!M:M,"Data Verification",'QA Log'!Z:Z,"Rejected")</f>
        <v>4</v>
      </c>
      <c r="N49" s="55" t="s">
        <v>3</v>
      </c>
      <c r="O49" s="15"/>
      <c r="P49" s="22"/>
      <c r="Q49" s="1"/>
    </row>
    <row r="50" spans="1:17" ht="34.5" customHeight="1">
      <c r="A50" s="1"/>
      <c r="B50" s="57"/>
      <c r="C50" s="58"/>
      <c r="D50" s="58"/>
      <c r="E50" s="59"/>
      <c r="F50" s="60">
        <f ca="1">F47-F48</f>
        <v>14</v>
      </c>
      <c r="G50" s="61" t="s">
        <v>4</v>
      </c>
      <c r="H50" s="15"/>
      <c r="I50" s="57"/>
      <c r="J50" s="58"/>
      <c r="K50" s="58"/>
      <c r="L50" s="59"/>
      <c r="M50" s="60">
        <f ca="1">M47-M48</f>
        <v>60</v>
      </c>
      <c r="N50" s="61" t="s">
        <v>4</v>
      </c>
      <c r="O50" s="15"/>
      <c r="P50" s="22"/>
      <c r="Q50" s="1"/>
    </row>
    <row r="51" spans="1:17" ht="12.75">
      <c r="A51" s="1"/>
      <c r="B51" s="13"/>
      <c r="C51" s="13"/>
      <c r="D51" s="13"/>
      <c r="E51" s="13"/>
      <c r="F51" s="13"/>
      <c r="G51" s="15"/>
      <c r="H51" s="15"/>
      <c r="I51" s="15"/>
      <c r="J51" s="15"/>
      <c r="K51" s="15"/>
      <c r="L51" s="15"/>
      <c r="M51" s="15"/>
      <c r="N51" s="15"/>
      <c r="O51" s="15"/>
      <c r="P51" s="22"/>
      <c r="Q51" s="1"/>
    </row>
    <row r="52" spans="1:17" ht="12.75">
      <c r="A52" s="1"/>
      <c r="B52" s="15"/>
      <c r="C52" s="15"/>
      <c r="D52" s="15"/>
      <c r="E52" s="15"/>
      <c r="F52" s="15"/>
      <c r="G52" s="15"/>
      <c r="H52" s="15"/>
      <c r="I52" s="15"/>
      <c r="J52" s="15"/>
      <c r="K52" s="15"/>
      <c r="L52" s="15"/>
      <c r="M52" s="15"/>
      <c r="N52" s="15"/>
      <c r="O52" s="15"/>
      <c r="P52" s="22"/>
      <c r="Q52" s="1"/>
    </row>
    <row r="53" spans="1:17" ht="12.75">
      <c r="A53" s="1"/>
      <c r="B53" s="46"/>
      <c r="C53" s="223" t="s">
        <v>39</v>
      </c>
      <c r="D53" s="227"/>
      <c r="E53" s="224"/>
      <c r="F53" s="47"/>
      <c r="G53" s="48"/>
      <c r="H53" s="15"/>
      <c r="I53" s="15"/>
      <c r="J53" s="15"/>
      <c r="K53" s="15"/>
      <c r="L53" s="15"/>
      <c r="M53" s="15"/>
      <c r="N53" s="15"/>
      <c r="O53" s="15"/>
      <c r="P53" s="22"/>
      <c r="Q53" s="1"/>
    </row>
    <row r="54" spans="1:17" ht="12.75">
      <c r="A54" s="1"/>
      <c r="B54" s="49"/>
      <c r="C54" s="225"/>
      <c r="D54" s="228"/>
      <c r="E54" s="226"/>
      <c r="F54" s="51"/>
      <c r="G54" s="52"/>
      <c r="H54" s="15"/>
      <c r="I54" s="15"/>
      <c r="J54" s="15"/>
      <c r="K54" s="15"/>
      <c r="L54" s="15"/>
      <c r="M54" s="15"/>
      <c r="N54" s="15"/>
      <c r="O54" s="15"/>
      <c r="P54" s="22"/>
      <c r="Q54" s="1"/>
    </row>
    <row r="55" spans="1:17" ht="35.25" customHeight="1">
      <c r="A55" s="1"/>
      <c r="B55" s="53"/>
      <c r="C55" s="13"/>
      <c r="D55" s="13"/>
      <c r="E55" s="16"/>
      <c r="F55" s="54">
        <f ca="1">COUNTIF('QA Log'!M:M,"Vignette")</f>
        <v>149</v>
      </c>
      <c r="G55" s="55" t="s">
        <v>1</v>
      </c>
      <c r="H55" s="15"/>
      <c r="I55" s="15"/>
      <c r="J55" s="15"/>
      <c r="K55" s="15"/>
      <c r="L55" s="15"/>
      <c r="M55" s="15"/>
      <c r="N55" s="15"/>
      <c r="O55" s="15"/>
      <c r="P55" s="22"/>
      <c r="Q55" s="1"/>
    </row>
    <row r="56" spans="1:17" ht="35.25" customHeight="1">
      <c r="A56" s="1"/>
      <c r="B56" s="56"/>
      <c r="C56" s="15"/>
      <c r="D56" s="15"/>
      <c r="E56" s="16"/>
      <c r="F56" s="54">
        <f ca="1">COUNTIFS('QA Log'!M:M,"QQC",'QA Log'!Z:Z,"Vignette")</f>
        <v>0</v>
      </c>
      <c r="G56" s="55" t="s">
        <v>2</v>
      </c>
      <c r="H56" s="15"/>
      <c r="I56" s="15"/>
      <c r="J56" s="15"/>
      <c r="K56" s="15"/>
      <c r="L56" s="15"/>
      <c r="M56" s="15"/>
      <c r="N56" s="15"/>
      <c r="O56" s="15"/>
      <c r="P56" s="22"/>
      <c r="Q56" s="1"/>
    </row>
    <row r="57" spans="1:17" ht="35.25" customHeight="1">
      <c r="A57" s="1"/>
      <c r="B57" s="56"/>
      <c r="C57" s="15"/>
      <c r="D57" s="15"/>
      <c r="E57" s="16"/>
      <c r="F57" s="54">
        <f ca="1">COUNTIFS('QA Log'!M:M,"Vignette",'QA Log'!Z:Z,"Rejected")</f>
        <v>2</v>
      </c>
      <c r="G57" s="55" t="s">
        <v>3</v>
      </c>
      <c r="H57" s="15"/>
      <c r="I57" s="15"/>
      <c r="J57" s="15"/>
      <c r="K57" s="15"/>
      <c r="L57" s="15"/>
      <c r="M57" s="15"/>
      <c r="N57" s="15"/>
      <c r="O57" s="15"/>
      <c r="P57" s="22"/>
      <c r="Q57" s="1"/>
    </row>
    <row r="58" spans="1:17" ht="35.25" customHeight="1">
      <c r="A58" s="1"/>
      <c r="B58" s="57"/>
      <c r="C58" s="58"/>
      <c r="D58" s="58"/>
      <c r="E58" s="59"/>
      <c r="F58" s="60">
        <f ca="1">F55-F56</f>
        <v>149</v>
      </c>
      <c r="G58" s="61" t="s">
        <v>4</v>
      </c>
      <c r="H58" s="15"/>
      <c r="I58" s="15"/>
      <c r="J58" s="15"/>
      <c r="K58" s="15"/>
      <c r="L58" s="15"/>
      <c r="M58" s="15"/>
      <c r="N58" s="15"/>
      <c r="O58" s="15"/>
      <c r="P58" s="22"/>
      <c r="Q58" s="1"/>
    </row>
    <row r="59" spans="1:17" ht="12.75">
      <c r="A59" s="1"/>
      <c r="B59" s="15"/>
      <c r="C59" s="15"/>
      <c r="D59" s="15"/>
      <c r="E59" s="15"/>
      <c r="F59" s="15"/>
      <c r="G59" s="15"/>
      <c r="H59" s="15"/>
      <c r="I59" s="15"/>
      <c r="J59" s="15"/>
      <c r="K59" s="15"/>
      <c r="L59" s="15"/>
      <c r="M59" s="15"/>
      <c r="N59" s="15"/>
      <c r="O59" s="15"/>
      <c r="P59" s="22"/>
      <c r="Q59" s="1"/>
    </row>
    <row r="60" spans="1:17" ht="12.75">
      <c r="A60" s="1"/>
      <c r="B60" s="15"/>
      <c r="C60" s="15"/>
      <c r="D60" s="15"/>
      <c r="E60" s="15"/>
      <c r="F60" s="15"/>
      <c r="G60" s="15"/>
      <c r="H60" s="15"/>
      <c r="I60" s="15"/>
      <c r="J60" s="15"/>
      <c r="K60" s="15"/>
      <c r="L60" s="15"/>
      <c r="M60" s="15"/>
      <c r="N60" s="15"/>
      <c r="O60" s="15"/>
      <c r="P60" s="22"/>
      <c r="Q60" s="1"/>
    </row>
    <row r="61" spans="1:17" ht="27.75" customHeight="1">
      <c r="A61" s="1"/>
      <c r="B61" s="25"/>
      <c r="C61" s="26"/>
      <c r="D61" s="26"/>
      <c r="E61" s="26"/>
      <c r="F61" s="26"/>
      <c r="G61" s="26"/>
      <c r="H61" s="26"/>
      <c r="I61" s="26"/>
      <c r="J61" s="26"/>
      <c r="K61" s="26"/>
      <c r="L61" s="26"/>
      <c r="M61" s="26"/>
      <c r="N61" s="26"/>
      <c r="O61" s="26"/>
      <c r="P61" s="27"/>
      <c r="Q61" s="1"/>
    </row>
    <row r="62" spans="1:17" ht="12.75">
      <c r="A62" s="1"/>
      <c r="B62" s="15"/>
      <c r="C62" s="15"/>
      <c r="D62" s="15"/>
      <c r="E62" s="15"/>
      <c r="F62" s="15"/>
      <c r="G62" s="15"/>
      <c r="H62" s="15"/>
      <c r="I62" s="15"/>
      <c r="J62" s="15"/>
      <c r="K62" s="15"/>
      <c r="L62" s="15"/>
      <c r="M62" s="15"/>
      <c r="N62" s="15"/>
      <c r="O62" s="15"/>
      <c r="P62" s="22"/>
      <c r="Q62" s="1"/>
    </row>
    <row r="63" spans="1:17" ht="12.75" hidden="1">
      <c r="A63" s="62"/>
      <c r="B63" s="63"/>
      <c r="C63" s="63"/>
      <c r="D63" s="63"/>
      <c r="E63" s="63"/>
      <c r="F63" s="63"/>
      <c r="G63" s="63"/>
      <c r="H63" s="63"/>
      <c r="I63" s="63"/>
      <c r="J63" s="63"/>
      <c r="K63" s="63"/>
      <c r="L63" s="63"/>
      <c r="M63" s="63"/>
      <c r="N63" s="63"/>
      <c r="O63" s="63"/>
      <c r="P63" s="64"/>
      <c r="Q63" s="65"/>
    </row>
    <row r="64" spans="1:17" ht="12.75" hidden="1">
      <c r="A64" s="66"/>
      <c r="B64" s="67"/>
      <c r="C64" s="67"/>
      <c r="D64" s="67"/>
      <c r="E64" s="67"/>
      <c r="F64" s="67"/>
      <c r="G64" s="67"/>
      <c r="H64" s="67"/>
      <c r="I64" s="67"/>
      <c r="J64" s="67"/>
      <c r="K64" s="67"/>
      <c r="L64" s="67"/>
      <c r="M64" s="67"/>
      <c r="N64" s="67"/>
      <c r="O64" s="67"/>
      <c r="P64" s="68"/>
      <c r="Q64" s="69"/>
    </row>
    <row r="65" spans="1:17" ht="12.75" hidden="1">
      <c r="A65" s="66"/>
      <c r="B65" s="67"/>
      <c r="C65" s="67"/>
      <c r="D65" s="67"/>
      <c r="E65" s="67"/>
      <c r="F65" s="67"/>
      <c r="G65" s="67"/>
      <c r="H65" s="67"/>
      <c r="I65" s="67"/>
      <c r="J65" s="67"/>
      <c r="K65" s="67"/>
      <c r="L65" s="67"/>
      <c r="M65" s="67"/>
      <c r="N65" s="67"/>
      <c r="O65" s="67"/>
      <c r="P65" s="68"/>
      <c r="Q65" s="69"/>
    </row>
    <row r="66" spans="1:17" ht="12.75" hidden="1">
      <c r="A66" s="66"/>
      <c r="B66" s="67"/>
      <c r="C66" s="67"/>
      <c r="D66" s="67"/>
      <c r="E66" s="67"/>
      <c r="F66" s="67"/>
      <c r="G66" s="67"/>
      <c r="H66" s="67"/>
      <c r="I66" s="67"/>
      <c r="J66" s="67"/>
      <c r="K66" s="67"/>
      <c r="L66" s="67"/>
      <c r="M66" s="67"/>
      <c r="N66" s="67"/>
      <c r="O66" s="67"/>
      <c r="P66" s="68"/>
      <c r="Q66" s="69"/>
    </row>
    <row r="67" spans="1:17" ht="12.75" hidden="1">
      <c r="A67" s="66"/>
      <c r="B67" s="67"/>
      <c r="C67" s="67"/>
      <c r="D67" s="67"/>
      <c r="E67" s="67"/>
      <c r="F67" s="67"/>
      <c r="G67" s="67"/>
      <c r="H67" s="67"/>
      <c r="I67" s="67"/>
      <c r="J67" s="67"/>
      <c r="K67" s="67"/>
      <c r="L67" s="67"/>
      <c r="M67" s="67"/>
      <c r="N67" s="67"/>
      <c r="O67" s="67"/>
      <c r="P67" s="68"/>
      <c r="Q67" s="69"/>
    </row>
    <row r="68" spans="1:17" ht="12.75" hidden="1">
      <c r="A68" s="66"/>
      <c r="B68" s="67"/>
      <c r="C68" s="67"/>
      <c r="D68" s="67"/>
      <c r="E68" s="67"/>
      <c r="F68" s="67"/>
      <c r="G68" s="67"/>
      <c r="H68" s="67"/>
      <c r="I68" s="67"/>
      <c r="J68" s="67"/>
      <c r="K68" s="67"/>
      <c r="L68" s="67"/>
      <c r="M68" s="67"/>
      <c r="N68" s="67"/>
      <c r="O68" s="67"/>
      <c r="P68" s="68"/>
      <c r="Q68" s="69"/>
    </row>
    <row r="69" spans="1:17" ht="12.75" hidden="1">
      <c r="A69" s="66"/>
      <c r="B69" s="67"/>
      <c r="C69" s="67"/>
      <c r="D69" s="67"/>
      <c r="E69" s="67"/>
      <c r="F69" s="67"/>
      <c r="G69" s="67"/>
      <c r="H69" s="67"/>
      <c r="I69" s="67"/>
      <c r="J69" s="67"/>
      <c r="K69" s="67"/>
      <c r="L69" s="67"/>
      <c r="M69" s="67"/>
      <c r="N69" s="67"/>
      <c r="O69" s="67"/>
      <c r="P69" s="68"/>
      <c r="Q69" s="69"/>
    </row>
    <row r="70" spans="1:17" ht="12.75" hidden="1">
      <c r="A70" s="66"/>
      <c r="B70" s="67"/>
      <c r="C70" s="67"/>
      <c r="D70" s="67"/>
      <c r="E70" s="67"/>
      <c r="F70" s="67"/>
      <c r="G70" s="67"/>
      <c r="H70" s="67"/>
      <c r="I70" s="67"/>
      <c r="J70" s="67"/>
      <c r="K70" s="67"/>
      <c r="L70" s="67"/>
      <c r="M70" s="67"/>
      <c r="N70" s="67"/>
      <c r="O70" s="67"/>
      <c r="P70" s="68"/>
      <c r="Q70" s="69"/>
    </row>
    <row r="71" spans="1:17" ht="12.75" hidden="1">
      <c r="A71" s="66"/>
      <c r="B71" s="67"/>
      <c r="C71" s="67"/>
      <c r="D71" s="67"/>
      <c r="E71" s="67"/>
      <c r="F71" s="67"/>
      <c r="G71" s="67"/>
      <c r="H71" s="67"/>
      <c r="I71" s="67"/>
      <c r="J71" s="67"/>
      <c r="K71" s="67"/>
      <c r="L71" s="67"/>
      <c r="M71" s="67"/>
      <c r="N71" s="67"/>
      <c r="O71" s="67"/>
      <c r="P71" s="68"/>
      <c r="Q71" s="69"/>
    </row>
    <row r="72" spans="1:17" ht="12.75" hidden="1">
      <c r="A72" s="66"/>
      <c r="B72" s="67"/>
      <c r="C72" s="67"/>
      <c r="D72" s="67"/>
      <c r="E72" s="67"/>
      <c r="F72" s="67"/>
      <c r="G72" s="67"/>
      <c r="H72" s="67"/>
      <c r="I72" s="67"/>
      <c r="J72" s="67"/>
      <c r="K72" s="67"/>
      <c r="L72" s="67"/>
      <c r="M72" s="67"/>
      <c r="N72" s="67"/>
      <c r="O72" s="67"/>
      <c r="P72" s="68"/>
      <c r="Q72" s="69"/>
    </row>
    <row r="73" spans="1:17" ht="12.75" hidden="1">
      <c r="A73" s="66"/>
      <c r="B73" s="67"/>
      <c r="C73" s="67"/>
      <c r="D73" s="67"/>
      <c r="E73" s="67"/>
      <c r="F73" s="67"/>
      <c r="G73" s="67"/>
      <c r="H73" s="67"/>
      <c r="I73" s="67"/>
      <c r="J73" s="67"/>
      <c r="K73" s="67"/>
      <c r="L73" s="67"/>
      <c r="M73" s="67"/>
      <c r="N73" s="67"/>
      <c r="O73" s="67"/>
      <c r="P73" s="68"/>
      <c r="Q73" s="69"/>
    </row>
    <row r="74" spans="1:17" ht="12.75" hidden="1">
      <c r="A74" s="66"/>
      <c r="B74" s="67"/>
      <c r="C74" s="67"/>
      <c r="D74" s="67"/>
      <c r="E74" s="67"/>
      <c r="F74" s="67"/>
      <c r="G74" s="67"/>
      <c r="H74" s="67"/>
      <c r="I74" s="67"/>
      <c r="J74" s="67"/>
      <c r="K74" s="67"/>
      <c r="L74" s="67"/>
      <c r="M74" s="67"/>
      <c r="N74" s="67"/>
      <c r="O74" s="67"/>
      <c r="P74" s="68"/>
      <c r="Q74" s="69"/>
    </row>
    <row r="75" spans="1:17" ht="12.75" hidden="1">
      <c r="A75" s="66"/>
      <c r="B75" s="67"/>
      <c r="C75" s="67"/>
      <c r="D75" s="67"/>
      <c r="E75" s="67"/>
      <c r="F75" s="67"/>
      <c r="G75" s="67"/>
      <c r="H75" s="67"/>
      <c r="I75" s="67"/>
      <c r="J75" s="67"/>
      <c r="K75" s="67"/>
      <c r="L75" s="67"/>
      <c r="M75" s="67"/>
      <c r="N75" s="67"/>
      <c r="O75" s="67"/>
      <c r="P75" s="68"/>
      <c r="Q75" s="69"/>
    </row>
    <row r="76" spans="1:17" ht="12.75" hidden="1">
      <c r="A76" s="66"/>
      <c r="B76" s="67"/>
      <c r="C76" s="67"/>
      <c r="D76" s="67"/>
      <c r="E76" s="67"/>
      <c r="F76" s="67"/>
      <c r="G76" s="67"/>
      <c r="H76" s="67"/>
      <c r="I76" s="67"/>
      <c r="J76" s="67"/>
      <c r="K76" s="67"/>
      <c r="L76" s="67"/>
      <c r="M76" s="67"/>
      <c r="N76" s="67"/>
      <c r="O76" s="67"/>
      <c r="P76" s="68"/>
      <c r="Q76" s="69"/>
    </row>
    <row r="77" spans="1:17" ht="12.75" hidden="1">
      <c r="A77" s="66"/>
      <c r="B77" s="67"/>
      <c r="C77" s="67"/>
      <c r="D77" s="67"/>
      <c r="E77" s="67"/>
      <c r="F77" s="67"/>
      <c r="G77" s="67"/>
      <c r="H77" s="67"/>
      <c r="I77" s="67"/>
      <c r="J77" s="67"/>
      <c r="K77" s="67"/>
      <c r="L77" s="67"/>
      <c r="M77" s="67"/>
      <c r="N77" s="67"/>
      <c r="O77" s="67"/>
      <c r="P77" s="68"/>
      <c r="Q77" s="69"/>
    </row>
    <row r="78" spans="1:17" ht="12.75" hidden="1">
      <c r="A78" s="66"/>
      <c r="B78" s="67"/>
      <c r="C78" s="67"/>
      <c r="D78" s="67"/>
      <c r="E78" s="67"/>
      <c r="F78" s="67"/>
      <c r="G78" s="67"/>
      <c r="H78" s="67"/>
      <c r="I78" s="67"/>
      <c r="J78" s="67"/>
      <c r="K78" s="67"/>
      <c r="L78" s="67"/>
      <c r="M78" s="67"/>
      <c r="N78" s="67"/>
      <c r="O78" s="67"/>
      <c r="P78" s="68"/>
      <c r="Q78" s="69"/>
    </row>
    <row r="79" spans="1:17" ht="12.75" hidden="1">
      <c r="A79" s="66"/>
      <c r="B79" s="67"/>
      <c r="C79" s="67"/>
      <c r="D79" s="67"/>
      <c r="E79" s="67"/>
      <c r="F79" s="67"/>
      <c r="G79" s="67"/>
      <c r="H79" s="67"/>
      <c r="I79" s="67"/>
      <c r="J79" s="67"/>
      <c r="K79" s="67"/>
      <c r="L79" s="67"/>
      <c r="M79" s="67"/>
      <c r="N79" s="67"/>
      <c r="O79" s="67"/>
      <c r="P79" s="68"/>
      <c r="Q79" s="69"/>
    </row>
    <row r="80" spans="1:17" ht="12.75" hidden="1">
      <c r="A80" s="66"/>
      <c r="B80" s="67"/>
      <c r="C80" s="67"/>
      <c r="D80" s="67"/>
      <c r="E80" s="67"/>
      <c r="F80" s="67"/>
      <c r="G80" s="67"/>
      <c r="H80" s="67"/>
      <c r="I80" s="67"/>
      <c r="J80" s="67"/>
      <c r="K80" s="67"/>
      <c r="L80" s="67"/>
      <c r="M80" s="67"/>
      <c r="N80" s="67"/>
      <c r="O80" s="67"/>
      <c r="P80" s="68"/>
      <c r="Q80" s="69"/>
    </row>
    <row r="81" spans="1:17" ht="12.75" hidden="1">
      <c r="A81" s="66"/>
      <c r="B81" s="67"/>
      <c r="C81" s="67"/>
      <c r="D81" s="67"/>
      <c r="E81" s="67"/>
      <c r="F81" s="67"/>
      <c r="G81" s="67"/>
      <c r="H81" s="67"/>
      <c r="I81" s="67"/>
      <c r="J81" s="67"/>
      <c r="K81" s="67"/>
      <c r="L81" s="67"/>
      <c r="M81" s="67"/>
      <c r="N81" s="67"/>
      <c r="O81" s="67"/>
      <c r="P81" s="68"/>
      <c r="Q81" s="69"/>
    </row>
    <row r="82" spans="1:17" ht="12.75" hidden="1">
      <c r="A82" s="66"/>
      <c r="B82" s="67"/>
      <c r="C82" s="67"/>
      <c r="D82" s="67"/>
      <c r="E82" s="67"/>
      <c r="F82" s="67"/>
      <c r="G82" s="67"/>
      <c r="H82" s="67"/>
      <c r="I82" s="67"/>
      <c r="J82" s="67"/>
      <c r="K82" s="67"/>
      <c r="L82" s="67"/>
      <c r="M82" s="67"/>
      <c r="N82" s="67"/>
      <c r="O82" s="67"/>
      <c r="P82" s="68"/>
      <c r="Q82" s="69"/>
    </row>
    <row r="83" spans="1:17" ht="12.75" hidden="1">
      <c r="A83" s="66"/>
      <c r="B83" s="67"/>
      <c r="C83" s="67"/>
      <c r="D83" s="67"/>
      <c r="E83" s="67"/>
      <c r="F83" s="67"/>
      <c r="G83" s="67"/>
      <c r="H83" s="67"/>
      <c r="I83" s="67"/>
      <c r="J83" s="67"/>
      <c r="K83" s="67"/>
      <c r="L83" s="67"/>
      <c r="M83" s="67"/>
      <c r="N83" s="67"/>
      <c r="O83" s="67"/>
      <c r="P83" s="68"/>
      <c r="Q83" s="69"/>
    </row>
    <row r="84" spans="1:17" ht="12.75" hidden="1">
      <c r="A84" s="66"/>
      <c r="B84" s="67"/>
      <c r="C84" s="67"/>
      <c r="D84" s="67"/>
      <c r="E84" s="67"/>
      <c r="F84" s="67"/>
      <c r="G84" s="67"/>
      <c r="H84" s="67"/>
      <c r="I84" s="67"/>
      <c r="J84" s="67"/>
      <c r="K84" s="67"/>
      <c r="L84" s="67"/>
      <c r="M84" s="67"/>
      <c r="N84" s="67"/>
      <c r="O84" s="67"/>
      <c r="P84" s="68"/>
      <c r="Q84" s="69"/>
    </row>
    <row r="85" spans="1:17" ht="12.75" hidden="1">
      <c r="A85" s="66"/>
      <c r="B85" s="67"/>
      <c r="C85" s="67"/>
      <c r="D85" s="67"/>
      <c r="E85" s="67"/>
      <c r="F85" s="67"/>
      <c r="G85" s="67"/>
      <c r="H85" s="67"/>
      <c r="I85" s="67"/>
      <c r="J85" s="67"/>
      <c r="K85" s="67"/>
      <c r="L85" s="67"/>
      <c r="M85" s="67"/>
      <c r="N85" s="67"/>
      <c r="O85" s="67"/>
      <c r="P85" s="68"/>
      <c r="Q85" s="69"/>
    </row>
    <row r="86" spans="1:17" ht="12.75" hidden="1">
      <c r="A86" s="66"/>
      <c r="B86" s="67"/>
      <c r="C86" s="67"/>
      <c r="D86" s="67"/>
      <c r="E86" s="67"/>
      <c r="F86" s="67"/>
      <c r="G86" s="67"/>
      <c r="H86" s="67"/>
      <c r="I86" s="67"/>
      <c r="J86" s="67"/>
      <c r="K86" s="67"/>
      <c r="L86" s="67"/>
      <c r="M86" s="67"/>
      <c r="N86" s="67"/>
      <c r="O86" s="67"/>
      <c r="P86" s="68"/>
      <c r="Q86" s="69"/>
    </row>
    <row r="87" spans="1:17" ht="12.75" hidden="1">
      <c r="A87" s="66"/>
      <c r="B87" s="67"/>
      <c r="C87" s="67"/>
      <c r="D87" s="67"/>
      <c r="E87" s="67"/>
      <c r="F87" s="67"/>
      <c r="G87" s="67"/>
      <c r="H87" s="67"/>
      <c r="I87" s="67"/>
      <c r="J87" s="67"/>
      <c r="K87" s="67"/>
      <c r="L87" s="67"/>
      <c r="M87" s="67"/>
      <c r="N87" s="67"/>
      <c r="O87" s="67"/>
      <c r="P87" s="68"/>
      <c r="Q87" s="69"/>
    </row>
    <row r="88" spans="1:17" ht="12.75" hidden="1">
      <c r="A88" s="66"/>
      <c r="B88" s="67"/>
      <c r="C88" s="67"/>
      <c r="D88" s="67"/>
      <c r="E88" s="67"/>
      <c r="F88" s="67"/>
      <c r="G88" s="67"/>
      <c r="H88" s="67"/>
      <c r="I88" s="67"/>
      <c r="J88" s="67"/>
      <c r="K88" s="67"/>
      <c r="L88" s="67"/>
      <c r="M88" s="67"/>
      <c r="N88" s="67"/>
      <c r="O88" s="67"/>
      <c r="P88" s="68"/>
      <c r="Q88" s="69"/>
    </row>
    <row r="89" spans="1:17" ht="12.75" hidden="1">
      <c r="A89" s="66"/>
      <c r="B89" s="67"/>
      <c r="C89" s="67"/>
      <c r="D89" s="67"/>
      <c r="E89" s="67"/>
      <c r="F89" s="67"/>
      <c r="G89" s="67"/>
      <c r="H89" s="67"/>
      <c r="I89" s="67"/>
      <c r="J89" s="67"/>
      <c r="K89" s="67"/>
      <c r="L89" s="67"/>
      <c r="M89" s="67"/>
      <c r="N89" s="67"/>
      <c r="O89" s="67"/>
      <c r="P89" s="68"/>
      <c r="Q89" s="69"/>
    </row>
    <row r="90" spans="1:17" ht="12.75" hidden="1">
      <c r="A90" s="66"/>
      <c r="B90" s="67"/>
      <c r="C90" s="67"/>
      <c r="D90" s="67"/>
      <c r="E90" s="67"/>
      <c r="F90" s="67"/>
      <c r="G90" s="67"/>
      <c r="H90" s="67"/>
      <c r="I90" s="67"/>
      <c r="J90" s="67"/>
      <c r="K90" s="67"/>
      <c r="L90" s="67"/>
      <c r="M90" s="67"/>
      <c r="N90" s="67"/>
      <c r="O90" s="67"/>
      <c r="P90" s="68"/>
      <c r="Q90" s="69"/>
    </row>
    <row r="91" spans="1:17" ht="12.75" hidden="1">
      <c r="A91" s="66"/>
      <c r="B91" s="67"/>
      <c r="C91" s="67"/>
      <c r="D91" s="67"/>
      <c r="E91" s="67"/>
      <c r="F91" s="67"/>
      <c r="G91" s="67"/>
      <c r="H91" s="67"/>
      <c r="I91" s="67"/>
      <c r="J91" s="67"/>
      <c r="K91" s="67"/>
      <c r="L91" s="67"/>
      <c r="M91" s="67"/>
      <c r="N91" s="67"/>
      <c r="O91" s="67"/>
      <c r="P91" s="68"/>
      <c r="Q91" s="69"/>
    </row>
    <row r="92" spans="1:17" ht="12.75" hidden="1">
      <c r="A92" s="66"/>
      <c r="B92" s="67"/>
      <c r="C92" s="67"/>
      <c r="D92" s="67"/>
      <c r="E92" s="67"/>
      <c r="F92" s="67"/>
      <c r="G92" s="67"/>
      <c r="H92" s="67"/>
      <c r="I92" s="67"/>
      <c r="J92" s="67"/>
      <c r="K92" s="67"/>
      <c r="L92" s="67"/>
      <c r="M92" s="67"/>
      <c r="N92" s="67"/>
      <c r="O92" s="67"/>
      <c r="P92" s="68"/>
      <c r="Q92" s="69"/>
    </row>
    <row r="93" spans="1:17" ht="12.75" hidden="1">
      <c r="A93" s="66"/>
      <c r="B93" s="67"/>
      <c r="C93" s="67"/>
      <c r="D93" s="67"/>
      <c r="E93" s="67"/>
      <c r="F93" s="67"/>
      <c r="G93" s="67"/>
      <c r="H93" s="67"/>
      <c r="I93" s="67"/>
      <c r="J93" s="67"/>
      <c r="K93" s="67"/>
      <c r="L93" s="67"/>
      <c r="M93" s="67"/>
      <c r="N93" s="67"/>
      <c r="O93" s="67"/>
      <c r="P93" s="68"/>
      <c r="Q93" s="69"/>
    </row>
    <row r="94" spans="1:17" ht="12.75" hidden="1">
      <c r="A94" s="66"/>
      <c r="B94" s="67"/>
      <c r="C94" s="67"/>
      <c r="D94" s="67"/>
      <c r="E94" s="67"/>
      <c r="F94" s="67"/>
      <c r="G94" s="67"/>
      <c r="H94" s="67"/>
      <c r="I94" s="67"/>
      <c r="J94" s="67"/>
      <c r="K94" s="67"/>
      <c r="L94" s="67"/>
      <c r="M94" s="67"/>
      <c r="N94" s="67"/>
      <c r="O94" s="67"/>
      <c r="P94" s="68"/>
      <c r="Q94" s="69"/>
    </row>
    <row r="95" spans="1:17" ht="12.75" hidden="1">
      <c r="A95" s="66"/>
      <c r="B95" s="67"/>
      <c r="C95" s="67"/>
      <c r="D95" s="67"/>
      <c r="E95" s="67"/>
      <c r="F95" s="67"/>
      <c r="G95" s="67"/>
      <c r="H95" s="67"/>
      <c r="I95" s="67"/>
      <c r="J95" s="67"/>
      <c r="K95" s="67"/>
      <c r="L95" s="67"/>
      <c r="M95" s="67"/>
      <c r="N95" s="67"/>
      <c r="O95" s="67"/>
      <c r="P95" s="68"/>
      <c r="Q95" s="69"/>
    </row>
    <row r="96" spans="1:17" ht="12.75" hidden="1">
      <c r="A96" s="66"/>
      <c r="B96" s="67"/>
      <c r="C96" s="67"/>
      <c r="D96" s="67"/>
      <c r="E96" s="67"/>
      <c r="F96" s="67"/>
      <c r="G96" s="67"/>
      <c r="H96" s="67"/>
      <c r="I96" s="67"/>
      <c r="J96" s="67"/>
      <c r="K96" s="67"/>
      <c r="L96" s="67"/>
      <c r="M96" s="67"/>
      <c r="N96" s="67"/>
      <c r="O96" s="67"/>
      <c r="P96" s="68"/>
      <c r="Q96" s="69"/>
    </row>
    <row r="97" spans="1:17" ht="12.75" hidden="1">
      <c r="A97" s="66"/>
      <c r="B97" s="67"/>
      <c r="C97" s="67"/>
      <c r="D97" s="67"/>
      <c r="E97" s="67"/>
      <c r="F97" s="67"/>
      <c r="G97" s="67"/>
      <c r="H97" s="67"/>
      <c r="I97" s="67"/>
      <c r="J97" s="67"/>
      <c r="K97" s="67"/>
      <c r="L97" s="67"/>
      <c r="M97" s="67"/>
      <c r="N97" s="67"/>
      <c r="O97" s="67"/>
      <c r="P97" s="68"/>
      <c r="Q97" s="69"/>
    </row>
    <row r="98" spans="1:17" ht="12.75" hidden="1">
      <c r="A98" s="66"/>
      <c r="B98" s="67"/>
      <c r="C98" s="67"/>
      <c r="D98" s="67"/>
      <c r="E98" s="67"/>
      <c r="F98" s="67"/>
      <c r="G98" s="67"/>
      <c r="H98" s="67"/>
      <c r="I98" s="67"/>
      <c r="J98" s="67"/>
      <c r="K98" s="67"/>
      <c r="L98" s="67"/>
      <c r="M98" s="67"/>
      <c r="N98" s="67"/>
      <c r="O98" s="67"/>
      <c r="P98" s="68"/>
      <c r="Q98" s="69"/>
    </row>
    <row r="99" spans="1:17" ht="12.75" hidden="1">
      <c r="A99" s="66"/>
      <c r="B99" s="67"/>
      <c r="C99" s="67"/>
      <c r="D99" s="67"/>
      <c r="E99" s="67"/>
      <c r="F99" s="67"/>
      <c r="G99" s="67"/>
      <c r="H99" s="67"/>
      <c r="I99" s="67"/>
      <c r="J99" s="67"/>
      <c r="K99" s="67"/>
      <c r="L99" s="67"/>
      <c r="M99" s="67"/>
      <c r="N99" s="67"/>
      <c r="O99" s="67"/>
      <c r="P99" s="68"/>
      <c r="Q99" s="69"/>
    </row>
    <row r="100" spans="1:17" ht="12.75" hidden="1">
      <c r="A100" s="66"/>
      <c r="B100" s="67"/>
      <c r="C100" s="67"/>
      <c r="D100" s="67"/>
      <c r="E100" s="67"/>
      <c r="F100" s="67"/>
      <c r="G100" s="67"/>
      <c r="H100" s="67"/>
      <c r="I100" s="67"/>
      <c r="J100" s="67"/>
      <c r="K100" s="67"/>
      <c r="L100" s="67"/>
      <c r="M100" s="67"/>
      <c r="N100" s="67"/>
      <c r="O100" s="67"/>
      <c r="P100" s="68"/>
      <c r="Q100" s="69"/>
    </row>
    <row r="101" spans="1:17" ht="12.75" hidden="1">
      <c r="A101" s="66"/>
      <c r="B101" s="67"/>
      <c r="C101" s="67"/>
      <c r="D101" s="67"/>
      <c r="E101" s="67"/>
      <c r="F101" s="67"/>
      <c r="G101" s="67"/>
      <c r="H101" s="67"/>
      <c r="I101" s="67"/>
      <c r="J101" s="67"/>
      <c r="K101" s="67"/>
      <c r="L101" s="67"/>
      <c r="M101" s="67"/>
      <c r="N101" s="67"/>
      <c r="O101" s="67"/>
      <c r="P101" s="68"/>
      <c r="Q101" s="69"/>
    </row>
    <row r="102" spans="1:17" ht="12.75" hidden="1">
      <c r="A102" s="66"/>
      <c r="B102" s="67"/>
      <c r="C102" s="67"/>
      <c r="D102" s="67"/>
      <c r="E102" s="67"/>
      <c r="F102" s="67"/>
      <c r="G102" s="67"/>
      <c r="H102" s="67"/>
      <c r="I102" s="67"/>
      <c r="J102" s="67"/>
      <c r="K102" s="67"/>
      <c r="L102" s="67"/>
      <c r="M102" s="67"/>
      <c r="N102" s="67"/>
      <c r="O102" s="67"/>
      <c r="P102" s="68"/>
      <c r="Q102" s="69"/>
    </row>
    <row r="103" spans="1:17" ht="12.75" hidden="1">
      <c r="A103" s="66"/>
      <c r="B103" s="67"/>
      <c r="C103" s="67"/>
      <c r="D103" s="67"/>
      <c r="E103" s="67"/>
      <c r="F103" s="67"/>
      <c r="G103" s="67"/>
      <c r="H103" s="67"/>
      <c r="I103" s="67"/>
      <c r="J103" s="67"/>
      <c r="K103" s="67"/>
      <c r="L103" s="67"/>
      <c r="M103" s="67"/>
      <c r="N103" s="67"/>
      <c r="O103" s="67"/>
      <c r="P103" s="68"/>
      <c r="Q103" s="69"/>
    </row>
    <row r="104" spans="1:17" ht="12.75" hidden="1">
      <c r="A104" s="66"/>
      <c r="B104" s="67"/>
      <c r="C104" s="67"/>
      <c r="D104" s="67"/>
      <c r="E104" s="67"/>
      <c r="F104" s="67"/>
      <c r="G104" s="67"/>
      <c r="H104" s="67"/>
      <c r="I104" s="67"/>
      <c r="J104" s="67"/>
      <c r="K104" s="67"/>
      <c r="L104" s="67"/>
      <c r="M104" s="67"/>
      <c r="N104" s="67"/>
      <c r="O104" s="67"/>
      <c r="P104" s="68"/>
      <c r="Q104" s="69"/>
    </row>
    <row r="105" spans="1:17" ht="12.75" hidden="1">
      <c r="A105" s="66"/>
      <c r="B105" s="67"/>
      <c r="C105" s="67"/>
      <c r="D105" s="67"/>
      <c r="E105" s="67"/>
      <c r="F105" s="67"/>
      <c r="G105" s="67"/>
      <c r="H105" s="67"/>
      <c r="I105" s="67"/>
      <c r="J105" s="67"/>
      <c r="K105" s="67"/>
      <c r="L105" s="67"/>
      <c r="M105" s="67"/>
      <c r="N105" s="67"/>
      <c r="O105" s="67"/>
      <c r="P105" s="68"/>
      <c r="Q105" s="69"/>
    </row>
    <row r="106" spans="1:17" ht="12.75" hidden="1">
      <c r="A106" s="66"/>
      <c r="B106" s="67"/>
      <c r="C106" s="67"/>
      <c r="D106" s="67"/>
      <c r="E106" s="67"/>
      <c r="F106" s="67"/>
      <c r="G106" s="67"/>
      <c r="H106" s="67"/>
      <c r="I106" s="67"/>
      <c r="J106" s="67"/>
      <c r="K106" s="67"/>
      <c r="L106" s="67"/>
      <c r="M106" s="67"/>
      <c r="N106" s="67"/>
      <c r="O106" s="67"/>
      <c r="P106" s="68"/>
      <c r="Q106" s="69"/>
    </row>
    <row r="107" spans="1:17" ht="12.75" hidden="1">
      <c r="A107" s="66"/>
      <c r="B107" s="67"/>
      <c r="C107" s="67"/>
      <c r="D107" s="67"/>
      <c r="E107" s="67"/>
      <c r="F107" s="67"/>
      <c r="G107" s="67"/>
      <c r="H107" s="67"/>
      <c r="I107" s="67"/>
      <c r="J107" s="67"/>
      <c r="K107" s="67"/>
      <c r="L107" s="67"/>
      <c r="M107" s="67"/>
      <c r="N107" s="67"/>
      <c r="O107" s="67"/>
      <c r="P107" s="68"/>
      <c r="Q107" s="69"/>
    </row>
    <row r="108" spans="1:17" ht="12.75" hidden="1">
      <c r="A108" s="66"/>
      <c r="B108" s="67"/>
      <c r="C108" s="67"/>
      <c r="D108" s="67"/>
      <c r="E108" s="67"/>
      <c r="F108" s="67"/>
      <c r="G108" s="67"/>
      <c r="H108" s="67"/>
      <c r="I108" s="67"/>
      <c r="J108" s="67"/>
      <c r="K108" s="67"/>
      <c r="L108" s="67"/>
      <c r="M108" s="67"/>
      <c r="N108" s="67"/>
      <c r="O108" s="67"/>
      <c r="P108" s="68"/>
      <c r="Q108" s="69"/>
    </row>
    <row r="109" spans="1:17" ht="12.75" hidden="1">
      <c r="A109" s="66"/>
      <c r="B109" s="67"/>
      <c r="C109" s="67"/>
      <c r="D109" s="67"/>
      <c r="E109" s="67"/>
      <c r="F109" s="67"/>
      <c r="G109" s="67"/>
      <c r="H109" s="67"/>
      <c r="I109" s="67"/>
      <c r="J109" s="67"/>
      <c r="K109" s="67"/>
      <c r="L109" s="67"/>
      <c r="M109" s="67"/>
      <c r="N109" s="67"/>
      <c r="O109" s="67"/>
      <c r="P109" s="68"/>
      <c r="Q109" s="69"/>
    </row>
    <row r="110" spans="1:17" ht="12.75" hidden="1">
      <c r="A110" s="66"/>
      <c r="B110" s="67"/>
      <c r="C110" s="67"/>
      <c r="D110" s="67"/>
      <c r="E110" s="67"/>
      <c r="F110" s="67"/>
      <c r="G110" s="67"/>
      <c r="H110" s="67"/>
      <c r="I110" s="67"/>
      <c r="J110" s="67"/>
      <c r="K110" s="67"/>
      <c r="L110" s="67"/>
      <c r="M110" s="67"/>
      <c r="N110" s="67"/>
      <c r="O110" s="67"/>
      <c r="P110" s="68"/>
      <c r="Q110" s="69"/>
    </row>
    <row r="111" spans="1:17" ht="12.75" hidden="1">
      <c r="A111" s="66"/>
      <c r="B111" s="67"/>
      <c r="C111" s="67"/>
      <c r="D111" s="67"/>
      <c r="E111" s="67"/>
      <c r="F111" s="67"/>
      <c r="G111" s="67"/>
      <c r="H111" s="67"/>
      <c r="I111" s="67"/>
      <c r="J111" s="67"/>
      <c r="K111" s="67"/>
      <c r="L111" s="67"/>
      <c r="M111" s="67"/>
      <c r="N111" s="67"/>
      <c r="O111" s="67"/>
      <c r="P111" s="68"/>
      <c r="Q111" s="69"/>
    </row>
    <row r="112" spans="1:17" ht="12.75" hidden="1">
      <c r="A112" s="66"/>
      <c r="B112" s="67"/>
      <c r="C112" s="67"/>
      <c r="D112" s="67"/>
      <c r="E112" s="67"/>
      <c r="F112" s="67"/>
      <c r="G112" s="67"/>
      <c r="H112" s="67"/>
      <c r="I112" s="67"/>
      <c r="J112" s="67"/>
      <c r="K112" s="67"/>
      <c r="L112" s="67"/>
      <c r="M112" s="67"/>
      <c r="N112" s="67"/>
      <c r="O112" s="67"/>
      <c r="P112" s="68"/>
      <c r="Q112" s="69"/>
    </row>
    <row r="113" spans="1:17" ht="12.75" hidden="1">
      <c r="A113" s="66"/>
      <c r="B113" s="67"/>
      <c r="C113" s="67"/>
      <c r="D113" s="67"/>
      <c r="E113" s="67"/>
      <c r="F113" s="67"/>
      <c r="G113" s="67"/>
      <c r="H113" s="67"/>
      <c r="I113" s="67"/>
      <c r="J113" s="67"/>
      <c r="K113" s="67"/>
      <c r="L113" s="67"/>
      <c r="M113" s="67"/>
      <c r="N113" s="67"/>
      <c r="O113" s="67"/>
      <c r="P113" s="68"/>
      <c r="Q113" s="69"/>
    </row>
    <row r="114" spans="1:17" ht="12.75" hidden="1">
      <c r="A114" s="66"/>
      <c r="B114" s="67"/>
      <c r="C114" s="67"/>
      <c r="D114" s="67"/>
      <c r="E114" s="67"/>
      <c r="F114" s="67"/>
      <c r="G114" s="67"/>
      <c r="H114" s="67"/>
      <c r="I114" s="67"/>
      <c r="J114" s="67"/>
      <c r="K114" s="67"/>
      <c r="L114" s="67"/>
      <c r="M114" s="67"/>
      <c r="N114" s="67"/>
      <c r="O114" s="67"/>
      <c r="P114" s="68"/>
      <c r="Q114" s="69"/>
    </row>
    <row r="115" spans="1:17" ht="12.75" hidden="1">
      <c r="A115" s="66"/>
      <c r="B115" s="67"/>
      <c r="C115" s="67"/>
      <c r="D115" s="67"/>
      <c r="E115" s="67"/>
      <c r="F115" s="67"/>
      <c r="G115" s="67"/>
      <c r="H115" s="67"/>
      <c r="I115" s="67"/>
      <c r="J115" s="67"/>
      <c r="K115" s="67"/>
      <c r="L115" s="67"/>
      <c r="M115" s="67"/>
      <c r="N115" s="67"/>
      <c r="O115" s="67"/>
      <c r="P115" s="68"/>
      <c r="Q115" s="69"/>
    </row>
    <row r="116" spans="1:17" ht="12.75" hidden="1">
      <c r="A116" s="66"/>
      <c r="B116" s="67"/>
      <c r="C116" s="67"/>
      <c r="D116" s="67"/>
      <c r="E116" s="67"/>
      <c r="F116" s="67"/>
      <c r="G116" s="67"/>
      <c r="H116" s="67"/>
      <c r="I116" s="67"/>
      <c r="J116" s="67"/>
      <c r="K116" s="67"/>
      <c r="L116" s="67"/>
      <c r="M116" s="67"/>
      <c r="N116" s="67"/>
      <c r="O116" s="67"/>
      <c r="P116" s="68"/>
      <c r="Q116" s="69"/>
    </row>
    <row r="117" spans="1:17" ht="12.75" hidden="1">
      <c r="A117" s="66"/>
      <c r="B117" s="67"/>
      <c r="C117" s="67"/>
      <c r="D117" s="67"/>
      <c r="E117" s="67"/>
      <c r="F117" s="67"/>
      <c r="G117" s="67"/>
      <c r="H117" s="67"/>
      <c r="I117" s="67"/>
      <c r="J117" s="67"/>
      <c r="K117" s="67"/>
      <c r="L117" s="67"/>
      <c r="M117" s="67"/>
      <c r="N117" s="67"/>
      <c r="O117" s="67"/>
      <c r="P117" s="68"/>
      <c r="Q117" s="69"/>
    </row>
    <row r="118" spans="1:17" ht="12.75" hidden="1">
      <c r="A118" s="70"/>
      <c r="B118" s="71"/>
      <c r="C118" s="71"/>
      <c r="D118" s="71"/>
      <c r="E118" s="71"/>
      <c r="F118" s="71"/>
      <c r="G118" s="71"/>
      <c r="H118" s="71"/>
      <c r="I118" s="71"/>
      <c r="J118" s="71"/>
      <c r="K118" s="71"/>
      <c r="L118" s="71"/>
      <c r="M118" s="71"/>
      <c r="N118" s="71"/>
      <c r="O118" s="71"/>
      <c r="P118" s="72"/>
      <c r="Q118" s="73"/>
    </row>
  </sheetData>
  <mergeCells count="27">
    <mergeCell ref="N9:P9"/>
    <mergeCell ref="O10:P10"/>
    <mergeCell ref="O11:P11"/>
    <mergeCell ref="B5:C8"/>
    <mergeCell ref="F5:G8"/>
    <mergeCell ref="H5:H6"/>
    <mergeCell ref="J5:K8"/>
    <mergeCell ref="N5:O8"/>
    <mergeCell ref="P5:P6"/>
    <mergeCell ref="P7:P8"/>
    <mergeCell ref="C45:D46"/>
    <mergeCell ref="C53:E54"/>
    <mergeCell ref="L5:L6"/>
    <mergeCell ref="L7:L8"/>
    <mergeCell ref="J9:L9"/>
    <mergeCell ref="K10:L10"/>
    <mergeCell ref="K11:L11"/>
    <mergeCell ref="J45:L46"/>
    <mergeCell ref="H7:H8"/>
    <mergeCell ref="F9:H9"/>
    <mergeCell ref="G10:H10"/>
    <mergeCell ref="G11:H11"/>
    <mergeCell ref="D5:D6"/>
    <mergeCell ref="D7:D8"/>
    <mergeCell ref="B9:D9"/>
    <mergeCell ref="C10:D10"/>
    <mergeCell ref="C11:D11"/>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H53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cols>
    <col min="1" max="1" width="29.42578125" customWidth="1"/>
    <col min="2" max="2" width="14.7109375" customWidth="1"/>
    <col min="3" max="3" width="22" customWidth="1"/>
    <col min="4" max="4" width="14.7109375" customWidth="1"/>
    <col min="5" max="5" width="25.85546875" customWidth="1"/>
    <col min="6" max="6" width="14.7109375" customWidth="1"/>
    <col min="7" max="8" width="15.85546875" customWidth="1"/>
    <col min="9" max="11" width="11.140625" customWidth="1"/>
    <col min="12" max="19" width="12.140625" customWidth="1"/>
    <col min="20" max="22" width="11.140625" customWidth="1"/>
    <col min="23" max="29" width="12.140625" customWidth="1"/>
    <col min="30" max="32" width="11.140625" customWidth="1"/>
    <col min="33" max="36" width="11" customWidth="1"/>
    <col min="37" max="38" width="12.140625" customWidth="1"/>
    <col min="39" max="41" width="11.140625" customWidth="1"/>
    <col min="42" max="44" width="11" customWidth="1"/>
    <col min="45" max="46" width="12.140625" customWidth="1"/>
    <col min="47" max="49" width="11.140625" customWidth="1"/>
    <col min="50" max="53" width="10" customWidth="1"/>
    <col min="54" max="55" width="12.140625" customWidth="1"/>
    <col min="56" max="58" width="11.140625" customWidth="1"/>
    <col min="59" max="64" width="10.5703125" customWidth="1"/>
    <col min="65" max="66" width="12.140625" customWidth="1"/>
    <col min="67" max="73" width="12.42578125" customWidth="1"/>
    <col min="79" max="84" width="19.42578125" customWidth="1"/>
    <col min="85" max="85" width="25.42578125" customWidth="1"/>
    <col min="86" max="86" width="77.5703125" customWidth="1"/>
  </cols>
  <sheetData>
    <row r="1" spans="1:86" ht="12.75">
      <c r="A1" s="74"/>
      <c r="B1" s="75"/>
      <c r="C1" s="75"/>
      <c r="D1" s="76"/>
      <c r="E1" s="76" t="s">
        <v>40</v>
      </c>
      <c r="F1" s="77"/>
      <c r="G1" s="77"/>
      <c r="H1" s="78"/>
      <c r="I1" s="79"/>
      <c r="J1" s="80"/>
      <c r="K1" s="81"/>
      <c r="L1" s="81"/>
      <c r="M1" s="81"/>
      <c r="N1" s="82"/>
      <c r="O1" s="83"/>
      <c r="P1" s="83"/>
      <c r="Q1" s="84" t="s">
        <v>41</v>
      </c>
      <c r="R1" s="238" t="s">
        <v>42</v>
      </c>
      <c r="S1" s="236"/>
      <c r="T1" s="236"/>
      <c r="U1" s="239"/>
      <c r="V1" s="82" t="s">
        <v>43</v>
      </c>
      <c r="W1" s="83"/>
      <c r="X1" s="83"/>
      <c r="Y1" s="84"/>
      <c r="Z1" s="81"/>
      <c r="AA1" s="81"/>
      <c r="AB1" s="81"/>
      <c r="AC1" s="85"/>
      <c r="AD1" s="79"/>
      <c r="AE1" s="81"/>
      <c r="AF1" s="81"/>
      <c r="AG1" s="240" t="s">
        <v>41</v>
      </c>
      <c r="AH1" s="236"/>
      <c r="AI1" s="236"/>
      <c r="AJ1" s="239"/>
      <c r="AK1" s="238" t="s">
        <v>38</v>
      </c>
      <c r="AL1" s="236"/>
      <c r="AM1" s="236"/>
      <c r="AN1" s="239"/>
      <c r="AO1" s="241" t="s">
        <v>43</v>
      </c>
      <c r="AP1" s="236"/>
      <c r="AQ1" s="236"/>
      <c r="AR1" s="239"/>
      <c r="AS1" s="81"/>
      <c r="AT1" s="85"/>
      <c r="AU1" s="86"/>
      <c r="AV1" s="81"/>
      <c r="AW1" s="81"/>
      <c r="AX1" s="81"/>
      <c r="AY1" s="238" t="s">
        <v>44</v>
      </c>
      <c r="AZ1" s="239"/>
      <c r="BA1" s="80"/>
      <c r="BB1" s="81"/>
      <c r="BC1" s="87"/>
      <c r="BD1" s="86"/>
      <c r="BE1" s="81"/>
      <c r="BF1" s="81"/>
      <c r="BG1" s="80"/>
      <c r="BH1" s="242" t="s">
        <v>45</v>
      </c>
      <c r="BI1" s="236"/>
      <c r="BJ1" s="236"/>
      <c r="BK1" s="88"/>
      <c r="BL1" s="89"/>
      <c r="BM1" s="88"/>
      <c r="BN1" s="87"/>
      <c r="BO1" s="89"/>
      <c r="BP1" s="89"/>
      <c r="BQ1" s="242" t="s">
        <v>46</v>
      </c>
      <c r="BR1" s="236"/>
      <c r="BS1" s="239"/>
      <c r="BT1" s="81"/>
      <c r="BU1" s="87"/>
      <c r="BV1" s="235" t="s">
        <v>47</v>
      </c>
      <c r="BW1" s="236"/>
      <c r="BX1" s="236"/>
      <c r="BY1" s="236"/>
      <c r="BZ1" s="237"/>
      <c r="CA1" s="235" t="s">
        <v>48</v>
      </c>
      <c r="CB1" s="236"/>
      <c r="CC1" s="237"/>
      <c r="CD1" s="235" t="s">
        <v>49</v>
      </c>
      <c r="CE1" s="236"/>
      <c r="CF1" s="237"/>
      <c r="CG1" s="235" t="s">
        <v>50</v>
      </c>
      <c r="CH1" s="237"/>
    </row>
    <row r="2" spans="1:86" ht="38.25">
      <c r="A2" s="90" t="str">
        <f ca="1">IFERROR(__xludf.DUMMYFUNCTION("UNIQUE(FILTER('QA Log'!D:D, 'QA Log'!AA:AA&lt;&gt;""Fake/Test data"", 'QA Log'!D:D&lt;&gt;""""))"),"Site Visit ID")</f>
        <v>Site Visit ID</v>
      </c>
      <c r="B2" s="91" t="s">
        <v>12</v>
      </c>
      <c r="C2" s="91" t="s">
        <v>51</v>
      </c>
      <c r="D2" s="91" t="s">
        <v>52</v>
      </c>
      <c r="E2" s="91" t="s">
        <v>53</v>
      </c>
      <c r="F2" s="91" t="s">
        <v>54</v>
      </c>
      <c r="G2" s="91" t="s">
        <v>55</v>
      </c>
      <c r="H2" s="92" t="s">
        <v>56</v>
      </c>
      <c r="I2" s="93" t="s">
        <v>9</v>
      </c>
      <c r="J2" s="94" t="s">
        <v>57</v>
      </c>
      <c r="K2" s="94" t="s">
        <v>58</v>
      </c>
      <c r="L2" s="95" t="s">
        <v>59</v>
      </c>
      <c r="M2" s="96" t="s">
        <v>60</v>
      </c>
      <c r="N2" s="96" t="s">
        <v>61</v>
      </c>
      <c r="O2" s="96" t="s">
        <v>62</v>
      </c>
      <c r="P2" s="96" t="s">
        <v>63</v>
      </c>
      <c r="Q2" s="97" t="s">
        <v>64</v>
      </c>
      <c r="R2" s="94" t="s">
        <v>3</v>
      </c>
      <c r="S2" s="98" t="s">
        <v>4</v>
      </c>
      <c r="T2" s="99" t="s">
        <v>9</v>
      </c>
      <c r="U2" s="99" t="s">
        <v>57</v>
      </c>
      <c r="V2" s="99" t="s">
        <v>65</v>
      </c>
      <c r="W2" s="97" t="s">
        <v>66</v>
      </c>
      <c r="X2" s="97" t="s">
        <v>67</v>
      </c>
      <c r="Y2" s="97" t="s">
        <v>68</v>
      </c>
      <c r="Z2" s="97" t="s">
        <v>69</v>
      </c>
      <c r="AA2" s="97" t="s">
        <v>70</v>
      </c>
      <c r="AB2" s="99" t="s">
        <v>3</v>
      </c>
      <c r="AC2" s="99" t="s">
        <v>4</v>
      </c>
      <c r="AD2" s="93" t="s">
        <v>9</v>
      </c>
      <c r="AE2" s="94" t="s">
        <v>57</v>
      </c>
      <c r="AF2" s="94" t="s">
        <v>2</v>
      </c>
      <c r="AG2" s="97" t="s">
        <v>71</v>
      </c>
      <c r="AH2" s="97" t="s">
        <v>72</v>
      </c>
      <c r="AI2" s="97" t="s">
        <v>73</v>
      </c>
      <c r="AJ2" s="97" t="s">
        <v>74</v>
      </c>
      <c r="AK2" s="94" t="s">
        <v>3</v>
      </c>
      <c r="AL2" s="98" t="s">
        <v>4</v>
      </c>
      <c r="AM2" s="99" t="s">
        <v>9</v>
      </c>
      <c r="AN2" s="99" t="s">
        <v>57</v>
      </c>
      <c r="AO2" s="99" t="s">
        <v>2</v>
      </c>
      <c r="AP2" s="97" t="s">
        <v>75</v>
      </c>
      <c r="AQ2" s="97" t="s">
        <v>76</v>
      </c>
      <c r="AR2" s="97" t="s">
        <v>77</v>
      </c>
      <c r="AS2" s="99" t="s">
        <v>3</v>
      </c>
      <c r="AT2" s="99" t="s">
        <v>4</v>
      </c>
      <c r="AU2" s="93" t="s">
        <v>9</v>
      </c>
      <c r="AV2" s="94" t="s">
        <v>57</v>
      </c>
      <c r="AW2" s="94" t="s">
        <v>2</v>
      </c>
      <c r="AX2" s="97" t="s">
        <v>78</v>
      </c>
      <c r="AY2" s="97" t="s">
        <v>79</v>
      </c>
      <c r="AZ2" s="97" t="s">
        <v>80</v>
      </c>
      <c r="BA2" s="97" t="s">
        <v>81</v>
      </c>
      <c r="BB2" s="94" t="s">
        <v>3</v>
      </c>
      <c r="BC2" s="100" t="s">
        <v>4</v>
      </c>
      <c r="BD2" s="93" t="s">
        <v>9</v>
      </c>
      <c r="BE2" s="94" t="s">
        <v>57</v>
      </c>
      <c r="BF2" s="94" t="s">
        <v>2</v>
      </c>
      <c r="BG2" s="97" t="s">
        <v>82</v>
      </c>
      <c r="BH2" s="97" t="s">
        <v>83</v>
      </c>
      <c r="BI2" s="97" t="s">
        <v>84</v>
      </c>
      <c r="BJ2" s="97" t="s">
        <v>85</v>
      </c>
      <c r="BK2" s="97" t="s">
        <v>86</v>
      </c>
      <c r="BL2" s="97" t="s">
        <v>87</v>
      </c>
      <c r="BM2" s="94" t="s">
        <v>3</v>
      </c>
      <c r="BN2" s="100" t="s">
        <v>4</v>
      </c>
      <c r="BO2" s="93" t="s">
        <v>9</v>
      </c>
      <c r="BP2" s="94" t="s">
        <v>57</v>
      </c>
      <c r="BQ2" s="94" t="s">
        <v>2</v>
      </c>
      <c r="BR2" s="97" t="s">
        <v>88</v>
      </c>
      <c r="BS2" s="97" t="s">
        <v>89</v>
      </c>
      <c r="BT2" s="94" t="s">
        <v>3</v>
      </c>
      <c r="BU2" s="100" t="s">
        <v>4</v>
      </c>
      <c r="BV2" s="93" t="s">
        <v>9</v>
      </c>
      <c r="BW2" s="94" t="s">
        <v>57</v>
      </c>
      <c r="BX2" s="94" t="s">
        <v>2</v>
      </c>
      <c r="BY2" s="94" t="s">
        <v>3</v>
      </c>
      <c r="BZ2" s="100" t="s">
        <v>4</v>
      </c>
      <c r="CA2" s="93" t="s">
        <v>42</v>
      </c>
      <c r="CB2" s="94" t="s">
        <v>38</v>
      </c>
      <c r="CC2" s="100" t="s">
        <v>39</v>
      </c>
      <c r="CD2" s="93" t="s">
        <v>42</v>
      </c>
      <c r="CE2" s="94" t="s">
        <v>38</v>
      </c>
      <c r="CF2" s="100" t="s">
        <v>39</v>
      </c>
      <c r="CG2" s="93" t="s">
        <v>54</v>
      </c>
      <c r="CH2" s="100" t="s">
        <v>90</v>
      </c>
    </row>
    <row r="3" spans="1:86" ht="12.75">
      <c r="A3" s="101" t="str">
        <f ca="1">IFERROR(__xludf.DUMMYFUNCTION("""COMPUTED_VALUE"""),"HER-JZJ-HF4362-Q2-2025-1097-01")</f>
        <v>HER-JZJ-HF4362-Q2-2025-1097-01</v>
      </c>
      <c r="B3" s="102" t="e">
        <f t="array" aca="1" ref="B3" ca="1">_xludf.XLOOKUP(A3,'QA Log'!D:D,'QA Log'!E:E,"")</f>
        <v>#NAME?</v>
      </c>
      <c r="C3" s="102" t="e">
        <f t="array" aca="1" ref="C3" ca="1">_xludf.XLOOKUP(A3,'QA Log'!D:D,'QA Log'!F:F,"")</f>
        <v>#NAME?</v>
      </c>
      <c r="D3" s="102" t="e">
        <f t="array" aca="1" ref="D3" ca="1">_xludf.XLOOKUP(A3,'QA Log'!D:D,'QA Log'!H:H,"")</f>
        <v>#NAME?</v>
      </c>
      <c r="E3" s="102" t="e">
        <f t="array" aca="1" ref="E3" ca="1">_xludf.XLOOKUP(A3,'QA Log'!D:D,'QA Log'!G:G,"")</f>
        <v>#NAME?</v>
      </c>
      <c r="F3" s="103" t="s">
        <v>91</v>
      </c>
      <c r="G3" s="104">
        <v>45959</v>
      </c>
      <c r="H3" s="104">
        <v>45960</v>
      </c>
      <c r="I3" s="103" t="e">
        <f t="shared" ref="I3:I257" ca="1" si="0">IF(A3="", "", IF(OR(D3="RH", D3="PH", D3="SHC"), 0, IF(D3="BHC", 5, 6)))</f>
        <v>#NAME?</v>
      </c>
      <c r="J3" s="102">
        <f ca="1">IF(A3="","",SUM(
COUNTIFS('QA Log'!D:D,A3,'QA Log'!M:M,"QQC",'QA Log'!L:L,"*1. General Management*"),
COUNTIFS('QA Log'!D:D,A3,'QA Log'!M:M,"QQC",'QA Log'!L:L,"*3. Curative Consultation (OPD)*"),
COUNTIFS('QA Log'!D:D,A3,'QA Log'!M:M,"QQC",'QA Log'!L:L,"*5. Laboratory*"),
COUNTIFS('QA Log'!D:D,A3,'QA Log'!M:M,"QQC",'QA Log'!L:L,"*6. Essential Medicine Management*"),
COUNTIFS('QA Log'!D:D,A3,'QA Log'!M:M,"QQC",'QA Log'!L:L,"*7. Tracer Medicine*"),
COUNTIFS('QA Log'!D:D,A3,'QA Log'!M:M,"QQC",'QA Log'!L:L,"*11. Additional Questions*")))</f>
        <v>0</v>
      </c>
      <c r="K3" s="102">
        <f ca="1">IF(A3="","",SUM(
COUNTIFS('QA Log'!D:D,A3,'QA Log'!M:M,"QQC",'QA Log'!Z:Z,"Approved",'QA Log'!L:L,"*1. General Management*"),
COUNTIFS('QA Log'!D:D,A3,'QA Log'!M:M,"QQC",'QA Log'!Z:Z,"Approved",'QA Log'!L:L,"*3. Curative Consultation (OPD)*"),
COUNTIFS('QA Log'!D:D,A3,'QA Log'!M:M,"QQC",'QA Log'!Z:Z,"Approved",'QA Log'!L:L,"*5. Laboratory*"),
COUNTIFS('QA Log'!D:D,A3,'QA Log'!M:M,"QQC",'QA Log'!Z:Z,"Approved",'QA Log'!L:L,"*6. Essential Medicine Management*"),
COUNTIFS('QA Log'!D:D,A3,'QA Log'!M:M,"QQC",'QA Log'!Z:Z,"Approved",'QA Log'!L:L,"*7. Tracer Medicine*"),
COUNTIFS('QA Log'!D:D,A3,'QA Log'!M:M,"QQC",'QA Log'!Z:Z,"Approved",'QA Log'!L:L,"*11. Additional Questions*")))</f>
        <v>0</v>
      </c>
      <c r="L3" s="105">
        <f ca="1">IF(A3&lt;&gt;"",COUNTIFS('QA Log'!D:D,A3,'QA Log'!M:M,"QQC",'QA Log'!L:L,"1. General Management",'QA Log'!Z:Z,"Approved"),"")</f>
        <v>0</v>
      </c>
      <c r="M3" s="105">
        <f ca="1">IF(A3&lt;&gt;"",COUNTIFS('QA Log'!D:D,A3,'QA Log'!M:M,"QQC",'QA Log'!L:L,"3. Curative Consultation (OPD)",'QA Log'!Z:Z,"Approved"),"")</f>
        <v>0</v>
      </c>
      <c r="N3" s="105">
        <f ca="1">IF(A3&lt;&gt;"",COUNTIFS('QA Log'!D:D,A3,'QA Log'!M:M,"QQC",'QA Log'!L:L,"5. Laboratory",'QA Log'!Z:Z,"Approved"),"")</f>
        <v>0</v>
      </c>
      <c r="O3" s="105">
        <f ca="1">IF(A3&lt;&gt;"",COUNTIFS('QA Log'!D:D,A3,'QA Log'!M:M,"QQC",'QA Log'!L:L,"6. Essential Medicine Management",'QA Log'!Z:Z,"Approved"),"")</f>
        <v>0</v>
      </c>
      <c r="P3" s="105">
        <f ca="1">IF(A3&lt;&gt;"",COUNTIFS('QA Log'!D:D,A3,'QA Log'!M:M,"QQC",'QA Log'!L:L,"7. Tracer Medicine",'QA Log'!Z:Z,"Approved"),"")</f>
        <v>0</v>
      </c>
      <c r="Q3" s="105">
        <f ca="1">IF(A3&lt;&gt;"",COUNTIFS('QA Log'!D:D,A3,'QA Log'!M:M,"QQC",'QA Log'!L:L,"11. Additional Questions",'QA Log'!Z:Z,"Approved"),"")</f>
        <v>0</v>
      </c>
      <c r="R3" s="102">
        <f ca="1">IF(A3="","",SUM(
COUNTIFS('QA Log'!D:D,A3,'QA Log'!M:M,"QQC",'QA Log'!Z:Z,"Rejected",'QA Log'!L:L,"*8. Maternity*"),
COUNTIFS('QA Log'!D:D,A3,'QA Log'!M:M,"QQC",'QA Log'!Z:Z,"Rejected",'QA Log'!L:L,"*EPI*"),
COUNTIFS('QA Log'!D:D,A3,'QA Log'!M:M,"QQC",'QA Log'!Z:Z,"Rejected",'QA Log'!L:L,"*10. Antenatal Care (ANC)*"),
COUNTIFS('QA Log'!D:D,A3,'QA Log'!M:M,"QQC",'QA Log'!Z:Z,"Rejected",'QA Log'!L:L,"*2. Hygiene and Sterilization*"),
COUNTIFS('QA Log'!D:D,A3,'QA Log'!M:M,"QQC",'QA Log'!Z:Z,"Rejected",'QA Log'!L:L,"*Family Planning*")))</f>
        <v>0</v>
      </c>
      <c r="S3" s="106" t="e">
        <f t="shared" ref="S3:S257" ca="1" si="1">IF(A3&lt;&gt;"",I3-K3,"")</f>
        <v>#NAME?</v>
      </c>
      <c r="T3" s="102" t="e">
        <f t="shared" ref="T3:T257" ca="1" si="2">IF(A3="", "", IF(OR(D3="RH", D3="PH", D3="SHC"), 0, IF(D3="BHC", 5, 5)))</f>
        <v>#NAME?</v>
      </c>
      <c r="U3" s="102">
        <f ca="1">IF(A3="","",
SUM(
COUNTIFS('QA Log'!D:D,A3,'QA Log'!M:M,"QQC",'QA Log'!L:L,"*8. Maternity*"),
COUNTIFS('QA Log'!D:D,A3,'QA Log'!M:M,"QQC",'QA Log'!L:L,"*9. EPI and Pre-school Consultation*"),
COUNTIFS('QA Log'!D:D,A3,'QA Log'!M:M,"QQC",'QA Log'!L:L,"*10. Antenatal Care (ANC)*"),
COUNTIFS('QA Log'!D:D,A3,'QA Log'!M:M,"QQC",'QA Log'!L:L,"*2. Hygiene and Sterilization*"),
COUNTIFS('QA Log'!D:D,A3,'QA Log'!M:M,"QQC",'QA Log'!L:L,"*4. Family Planning*")
))</f>
        <v>0</v>
      </c>
      <c r="V3" s="102">
        <f ca="1">IF(A3="","",
SUM(
COUNTIFS('QA Log'!D:D,A3,'QA Log'!M:M,"QQC",'QA Log'!Z:Z,"Approved",'QA Log'!L:L,"*8. Maternity*"),
COUNTIFS('QA Log'!D:D,A3,'QA Log'!M:M,"QQC",'QA Log'!Z:Z,"Approved",'QA Log'!L:L,"*9. EPI and Pre-school Consultation*"),
COUNTIFS('QA Log'!D:D,A3,'QA Log'!M:M,"QQC",'QA Log'!Z:Z,"Approved",'QA Log'!L:L,"*10. Antenatal Care (ANC)*"),
COUNTIFS('QA Log'!D:D,A3,'QA Log'!M:M,"QQC",'QA Log'!Z:Z,"Approved",'QA Log'!L:L,"*2. Hygiene and Sterilization*"),
COUNTIFS('QA Log'!D:D,A3,'QA Log'!M:M,"QQC",'QA Log'!Z:Z,"Approved",'QA Log'!L:L,"*4. Family Planning*")
))</f>
        <v>0</v>
      </c>
      <c r="W3" s="105">
        <f ca="1">IF(A3&lt;&gt;"",COUNTIFS('QA Log'!D:D,A3,'QA Log'!M:M,"QQC",'QA Log'!L:L,"8. Maternity",'QA Log'!Z:Z,"Approved"),"")</f>
        <v>0</v>
      </c>
      <c r="X3" s="105">
        <f ca="1">IF(A3&lt;&gt;"",COUNTIFS('QA Log'!D:D,A3,'QA Log'!M:M,"QQC",'QA Log'!L:L,"9. EPI and Pre-school Consultation",'QA Log'!Z:Z,"Approved"),"")</f>
        <v>0</v>
      </c>
      <c r="Y3" s="105">
        <f ca="1">IF(A3&lt;&gt;"",COUNTIFS('QA Log'!D:D,A3,'QA Log'!M:M,"QQC",'QA Log'!L:L,"10. Antenatal Care (ANC)",'QA Log'!Z:Z,"Approved"),"")</f>
        <v>0</v>
      </c>
      <c r="Z3" s="105">
        <f ca="1">IF(A3&lt;&gt;"",COUNTIFS('QA Log'!D:D,A3,'QA Log'!M:M,"QQC",'QA Log'!L:L,"2. Hygiene and Sterilization",'QA Log'!Z:Z,"Approved"),"")</f>
        <v>0</v>
      </c>
      <c r="AA3" s="105">
        <f ca="1">IF(A3&lt;&gt;"",COUNTIFS('QA Log'!D:D,A3,'QA Log'!M:M,"QQC",'QA Log'!L:L,"4. Family Planning",'QA Log'!Z:Z,"Approved"),"")</f>
        <v>0</v>
      </c>
      <c r="AB3" s="102">
        <f ca="1">IF(A3="","",
SUM(
COUNTIFS('QA Log'!D:D,A3,'QA Log'!M:M,"QQC",'QA Log'!Z:Z,"Rejected",'QA Log'!L:L,"*8. Maternity*"),
COUNTIFS('QA Log'!D:D,A3,'QA Log'!M:M,"QQC",'QA Log'!Z:Z,"Rejected",'QA Log'!L:L,"*9. EPI and Pre-school Consultation*"),
COUNTIFS('QA Log'!D:D,A3,'QA Log'!M:M,"QQC",'QA Log'!Z:Z,"Rejected",'QA Log'!L:L,"*10. Antenatal Care (ANC)*"),
COUNTIFS('QA Log'!D:D,A3,'QA Log'!M:M,"QQC",'QA Log'!Z:Z,"Rejected",'QA Log'!L:L,"*2. Hygiene and Sterilization*"),
COUNTIFS('QA Log'!D:D,A3,'QA Log'!M:M,"QQC",'QA Log'!Z:Z,"Rejected",'QA Log'!L:L,"*4. Family Planning*")
))</f>
        <v>0</v>
      </c>
      <c r="AC3" s="102" t="e">
        <f t="shared" ref="AC3:AC257" ca="1" si="3">IF(A3&lt;&gt;"",T3-V3,"")</f>
        <v>#NAME?</v>
      </c>
      <c r="AD3" s="103" t="e">
        <f t="shared" ref="AD3:AD257" ca="1" si="4">IF(A3="", "", IF(OR(D3="RH", D3="PH"), 4,IF(OR(D3="DH",D3="CHC",D3="BHC"),0, IF(D3="SHC", 2))
))</f>
        <v>#NAME?</v>
      </c>
      <c r="AE3" s="102">
        <f ca="1">IF(A3="","",
SUM(
COUNTIFS('QA Log'!D:D,A3,'QA Log'!M:M,"Data Verification",'QA Log'!L:L,"*Medicine (section 2)*"),
COUNTIFS('QA Log'!D:D,A3,'QA Log'!M:M,"Data Verification",'QA Log'!L:L,"*Lab Testing Availability*"),
COUNTIFS('QA Log'!D:D,A3,'QA Log'!M:M,"Data Verification",'QA Log'!L:L,"*Other than P4P (section 6)*"),
COUNTIFS('QA Log'!D:D,A3,'QA Log'!M:M,"Data Verification",'QA Log'!L:L,"*Hospital Governance*")
))</f>
        <v>2</v>
      </c>
      <c r="AF3" s="102">
        <f ca="1">IF(A3="","",
SUM(
COUNTIFS('QA Log'!D:D,A3,'QA Log'!M:M,"Data Verification",'QA Log'!Z:Z,"Approved",'QA Log'!L:L,"*Medicine (section 2)*"),
COUNTIFS('QA Log'!D:D,A3,'QA Log'!M:M,"Data Verification",'QA Log'!Z:Z,"Approved",'QA Log'!L:L,"*Lab Testing Availability*"),
COUNTIFS('QA Log'!D:D,A3,'QA Log'!M:M,"Data Verification",'QA Log'!Z:Z,"Approved",'QA Log'!L:L,"*Other than P4P (section 6)*"),
COUNTIFS('QA Log'!D:D,A3,'QA Log'!M:M,"Data Verification",'QA Log'!Z:Z,"Approved",'QA Log'!L:L,"*Hospital Governance*")
))</f>
        <v>2</v>
      </c>
      <c r="AG3" s="105">
        <f ca="1">IF(A3&lt;&gt;"",COUNTIFS('QA Log'!D:D,A3,'QA Log'!M:M,"Data Verification",'QA Log'!L:L,"Medicine (section 2)",'QA Log'!Z:Z,"Approved"),"")</f>
        <v>1</v>
      </c>
      <c r="AH3" s="105">
        <f ca="1">IF(A3&lt;&gt;"",COUNTIFS('QA Log'!D:D,A3,'QA Log'!M:M,"Data Verification",'QA Log'!L:L,"Lab Testing Availability",'QA Log'!Z:Z,"Approved"),"")</f>
        <v>0</v>
      </c>
      <c r="AI3" s="105">
        <f ca="1">IF(A3&lt;&gt;"",COUNTIFS('QA Log'!D:D,A3,'QA Log'!M:M,"Data Verification",'QA Log'!L:L,"Other than P4P (section 6)",'QA Log'!Z:Z,"Approved"),"")</f>
        <v>1</v>
      </c>
      <c r="AJ3" s="105">
        <f ca="1">IF(A3&lt;&gt;"",COUNTIFS('QA Log'!D:D,A3,'QA Log'!M:M,"Data Verification",'QA Log'!L:L,"Hospital Governance",'QA Log'!Z:Z,"Approved"),"")</f>
        <v>0</v>
      </c>
      <c r="AK3" s="102">
        <f ca="1">IF(A3="","",
SUM(
COUNTIFS('QA Log'!D:D,A3,'QA Log'!M:M,"Data Verification",'QA Log'!Z:Z,"Rejected",'QA Log'!L:L,"*Medicine (section 2)*"),
COUNTIFS('QA Log'!D:D,A3,'QA Log'!M:M,"Data Verification",'QA Log'!Z:Z,"Rejected",'QA Log'!L:L,"*Lab Testing Availability*"),
COUNTIFS('QA Log'!D:D,A3,'QA Log'!M:M,"Data Verification",'QA Log'!Z:Z,"Rejected",'QA Log'!L:L,"*Other than P4P (section 6)*"),
COUNTIFS('QA Log'!D:D,A3,'QA Log'!M:M,"Data Verification",'QA Log'!Z:Z,"Rejected",'QA Log'!L:L,"*Hospital Governance*")
))</f>
        <v>0</v>
      </c>
      <c r="AL3" s="106" t="e">
        <f t="shared" ref="AL3:AL257" ca="1" si="5">IF(A3&lt;&gt;"",AD3-AF3,"")</f>
        <v>#NAME?</v>
      </c>
      <c r="AM3" s="102" t="e">
        <f t="shared" ref="AM3:AM257" ca="1" si="6">IF(A3="", "", IF(OR(D3="RH", D3="PH"), 3,IF(OR(D3="DH",D3="CHC",D3="BHC"),0, IF(D3="SHC", 3))
))</f>
        <v>#NAME?</v>
      </c>
      <c r="AN3" s="102">
        <f ca="1">IF(A3="","",
SUM(
COUNTIFS('QA Log'!D:D,A3,'QA Log'!M:M,"Data Verification",'QA Log'!L:L,"*Personnel (section 1)*"),
COUNTIFS('QA Log'!D:D,A3,'QA Log'!M:M,"Data Verification",'QA Log'!L:L,"*Consumable (section 3)*"),
COUNTIFS('QA Log'!D:D,A3,'QA Log'!M:M,"Data Verification",'QA Log'!L:L,"*Equipments (section 4)*")
))</f>
        <v>3</v>
      </c>
      <c r="AO3" s="102">
        <f ca="1">IF(A3="","",
SUM(
COUNTIFS('QA Log'!D:D,A3,'QA Log'!M:M,"Data Verification",'QA Log'!Z:Z,"Approved",'QA Log'!L:L,"*Personnel (section 1)*"),
COUNTIFS('QA Log'!D:D,A3,'QA Log'!M:M,"Data Verification",'QA Log'!Z:Z,"Approved",'QA Log'!L:L,"*Consumable (section 3)*"),
COUNTIFS('QA Log'!D:D,A3,'QA Log'!M:M,"Data Verification",'QA Log'!Z:Z,"Approved",'QA Log'!L:L,"*Equipments (section 4)*")
))</f>
        <v>3</v>
      </c>
      <c r="AP3" s="105">
        <f ca="1">IF(A3&lt;&gt;"",COUNTIFS('QA Log'!D:D,A3,'QA Log'!M:M,"Data Verification",'QA Log'!L:L,"Personnel (section 1)",'QA Log'!Z:Z,"Approved"),"")</f>
        <v>1</v>
      </c>
      <c r="AQ3" s="105">
        <f ca="1">IF(A3&lt;&gt;"",COUNTIFS('QA Log'!D:D,A3,'QA Log'!M:M,"Data Verification",'QA Log'!L:L,"Consumable (section 3)",'QA Log'!Z:Z,"Approved"),"")</f>
        <v>1</v>
      </c>
      <c r="AR3" s="105">
        <f ca="1">IF(A3&lt;&gt;"",COUNTIFS('QA Log'!D:D,A3,'QA Log'!M:M,"Data Verification",'QA Log'!L:L,"Equipments (section 4)",'QA Log'!Z:Z,"Approved"),"")</f>
        <v>1</v>
      </c>
      <c r="AS3" s="102">
        <f ca="1">IF(A3="","",
SUM(
COUNTIFS('QA Log'!D:D,A3,'QA Log'!M:M,"Data Verification",'QA Log'!Z:Z,"Rejected",'QA Log'!L:L,"*Personnel (section 1)*"),
COUNTIFS('QA Log'!D:D,A3,'QA Log'!M:M,"Data Verification",'QA Log'!Z:Z,"Rejected",'QA Log'!L:L,"*Consumable (section 3)*"),
COUNTIFS('QA Log'!D:D,A3,'QA Log'!M:M,"Data Verification",'QA Log'!Z:Z,"Rejected",'QA Log'!L:L,"*Equipments (section 4)*")
))</f>
        <v>0</v>
      </c>
      <c r="AT3" s="102" t="e">
        <f t="shared" ref="AT3:AT257" ca="1" si="7">IF(A3&lt;&gt;"",AM3-AO3,"")</f>
        <v>#NAME?</v>
      </c>
      <c r="AU3" s="103">
        <f t="shared" ref="AU3:AU257" ca="1" si="8">IF(A3&lt;&gt;"",2,"")</f>
        <v>2</v>
      </c>
      <c r="AV3" s="102">
        <f ca="1">IF(A3="","",SUM(
COUNTIFS('QA Log'!D:D,A3,'QA Log'!M:M,"Vignette",'QA Log'!L:L,"*Vignette [1] Respiratory Infection: Pneumonia*"),
COUNTIFS('QA Log'!D:D,A3,'QA Log'!M:M,"Vignette",'QA Log'!L:L,"*Vignette [2]: Diarrhea with Cat B dehydration*"),
COUNTIFS('QA Log'!D:D,A3,'QA Log'!M:M,"Vignette",'QA Log'!L:L,"*Vignette [3] Growth Monitoring and Promotion*"),
COUNTIFS('QA Log'!D:D,A3,'QA Log'!M:M,"Vignette",'QA Log'!L:L,"*Vignette [4]: The management of presumptive TB patient*")
)
)</f>
        <v>3</v>
      </c>
      <c r="AW3" s="102">
        <f ca="1">IF(A3="","",
  SUM(
    COUNTIFS('QA Log'!D:D,A3,'QA Log'!M:M,"Vignette",'QA Log'!Z:Z,"Approved",'QA Log'!L:L,"*Vignette [1] Respiratory Infection: Pneumonia*"),
    COUNTIFS('QA Log'!D:D,A3,'QA Log'!M:M,"Vignette",'QA Log'!Z:Z,"Approved",'QA Log'!L:L,"*Vignette [2]: Diarrhea with Cat B dehydration*"),
    COUNTIFS('QA Log'!D:D,A3,'QA Log'!M:M,"Vignette",'QA Log'!Z:Z,"Approved",'QA Log'!L:L,"*Vignette [3] Growth Monitoring and Promotion*"),
    COUNTIFS('QA Log'!D:D,A3,'QA Log'!M:M,"Vignette",'QA Log'!Z:Z,"Approved",'QA Log'!L:L,"*Vignette [4]: The management of presumptive TB patient*")
  )
)</f>
        <v>3</v>
      </c>
      <c r="AX3" s="105">
        <f ca="1">IF(A3&lt;&gt;"",COUNTIFS('QA Log'!D:D,A3,'QA Log'!M:M,"Vignette",'QA Log'!L:L,"Vignette [1] Respiratory Infection: Pneumonia",'QA Log'!Z:Z,"Approved"),"")</f>
        <v>1</v>
      </c>
      <c r="AY3" s="105">
        <f ca="1">IF(A3&lt;&gt;"",COUNTIFS('QA Log'!D:D,A3,'QA Log'!M:M,"Vignette",'QA Log'!L:L,"Vignette [2]: Diarrhea with Cat B dehydration",'QA Log'!Z:Z,"Approved"),"")</f>
        <v>1</v>
      </c>
      <c r="AZ3" s="105">
        <f ca="1">IF(A3&lt;&gt;"",COUNTIFS('QA Log'!D:D,A3,'QA Log'!M:M,"Vignette",'QA Log'!L:L,"Vignette [3] Growth Monitoring and Promotion",'QA Log'!Z:Z,"Approved"),"")</f>
        <v>1</v>
      </c>
      <c r="BA3" s="105">
        <f ca="1">IF(A3&lt;&gt;"",COUNTIFS('QA Log'!D:D,A3,'QA Log'!M:M,"Vignette",'QA Log'!L:L,"Vignette [4]: The management of presumptive TB patient",'QA Log'!Z:Z,"Approved"),"")</f>
        <v>0</v>
      </c>
      <c r="BB3" s="102">
        <f ca="1">IF(A3="","",
  SUM(
    COUNTIFS('QA Log'!D:D,A3,'QA Log'!M:M,"Vignette",'QA Log'!Z:Z,"Rejected",'QA Log'!L:L,"*Vignette [1] Respiratory Infection: Pneumonia*"),
    COUNTIFS('QA Log'!D:D,A3,'QA Log'!M:M,"Vignette",'QA Log'!Z:Z,"Rejected",'QA Log'!L:L,"*Vignette [2]: Diarrhea with Cat B dehydration*"),
    COUNTIFS('QA Log'!D:D,A3,'QA Log'!M:M,"Vignette",'QA Log'!Z:Z,"Rejected",'QA Log'!L:L,"*Vignette [3] Growth Monitoring and Promotion*"),
    COUNTIFS('QA Log'!D:D,A3,'QA Log'!M:M,"Vignette",'QA Log'!Z:Z,"Rejected",'QA Log'!L:L,"*Vignette [4]: The management of presumptive TB patient*")
  )
)</f>
        <v>0</v>
      </c>
      <c r="BC3" s="107">
        <f t="shared" ref="BC3:BC257" ca="1" si="9">IF(A3&lt;&gt;"",AU3-AW3,"")</f>
        <v>-1</v>
      </c>
      <c r="BD3" s="103">
        <f t="shared" ref="BD3:BD257" ca="1" si="10">IF(J3&lt;&gt;"",2,"")</f>
        <v>2</v>
      </c>
      <c r="BE3" s="102">
        <f ca="1">IF(A3="","",SUM(
COUNTIFS('QA Log'!D:D,A3,'QA Log'!M:M,"Vignette",'QA Log'!L:L,"*Vignette [5] Labor*"),
COUNTIFS('QA Log'!D:D,A3,'QA Log'!M:M,"Vignette",'QA Log'!L:L,"*Vignette [6] PNC pre Discharge*"),
COUNTIFS('QA Log'!D:D,A3,'QA Log'!M:M,"Vignette",'QA Log'!L:L,"*Vignette [7] First ANC Visit*"),
COUNTIFS('QA Log'!D:D,A3,'QA Log'!M:M,"Vignette",'QA Log'!L:L,"*Vignette [8] Birth Spacing/ Family Planning :  FP Counselling*"),
COUNTIFS('QA Log'!D:D,A3,'QA Log'!M:M,"Vignette",'QA Log'!L:L,"*Vignette [9] Birth Spacing: Change FP method to Injectable*"),
COUNTIFS('QA Log'!D:D,A3,'QA Log'!M:M,"Vignette",'QA Log'!L:L,"*Vignette [10] Post Partum Haemorrhage - Atonic Uterus at Health Centre*"),
)
)</f>
        <v>2</v>
      </c>
      <c r="BF3" s="102">
        <f ca="1">IF(A3="","",
  SUM(
    COUNTIFS('QA Log'!D:D,A3,'QA Log'!M:M,"Vignette",'QA Log'!Z:Z,"Approved",'QA Log'!L:L,"*Vignette [5] Labor*"),
    COUNTIFS('QA Log'!D:D,A3,'QA Log'!M:M,"Vignette",'QA Log'!Z:Z,"Approved",'QA Log'!L:L,"*Vignette [6] PNC pre Discharge*"),
    COUNTIFS('QA Log'!D:D,A3,'QA Log'!M:M,"Vignette",'QA Log'!Z:Z,"Approved",'QA Log'!L:L,"*Vignette [7] First ANC Visit*"),
    COUNTIFS('QA Log'!D:D,A3,'QA Log'!M:M,"Vignette",'QA Log'!Z:Z,"Approved",'QA Log'!L:L,"*Vignette [8] Birth Spacing/ Family Planning :  FP Counselling*"),
    COUNTIFS('QA Log'!D:D,A3,'QA Log'!M:M,"Vignette",'QA Log'!Z:Z,"Approved",'QA Log'!L:L,"*Vignette [9] Birth Spacing: Change FP method to Injectable*"),
    COUNTIFS('QA Log'!D:D,A3,'QA Log'!M:M,"Vignette",'QA Log'!Z:Z,"Approved",'QA Log'!L:L,"*Vignette [10] Post Partum Haemorrhage - Atonic Uterus at Health Centre*")
  )
)</f>
        <v>2</v>
      </c>
      <c r="BG3" s="105">
        <f ca="1">IF(A3&lt;&gt;"",COUNTIFS('QA Log'!D:D,A3,'QA Log'!M:M,"Vignette",'QA Log'!L:L,"Vignette [5] Labor",'QA Log'!Z:Z,"Approved"),"")</f>
        <v>1</v>
      </c>
      <c r="BH3" s="105">
        <f ca="1">IF(A3&lt;&gt;"",COUNTIFS('QA Log'!D:D,A3,'QA Log'!M:M,"Vignette",'QA Log'!L:L,"Vignette [6] PNC pre Discharge",'QA Log'!Z:Z,"Approved"),"")</f>
        <v>1</v>
      </c>
      <c r="BI3" s="105">
        <f ca="1">IF(A3&lt;&gt;"",COUNTIFS('QA Log'!D:D,A3,'QA Log'!M:M,"Vignette",'QA Log'!L:L,"Vignette [7] First ANC Visit",'QA Log'!Z:Z,"Approved"),"")</f>
        <v>0</v>
      </c>
      <c r="BJ3" s="105">
        <f ca="1">IF(A3&lt;&gt;"",COUNTIFS('QA Log'!D:D,A3,'QA Log'!M:M,"Vignette",'QA Log'!L:L,"Vignette [8] Birth Spacing/ Family Planning :  FP Counselling",'QA Log'!Z:Z,"Approved"),"")</f>
        <v>0</v>
      </c>
      <c r="BK3" s="105">
        <f ca="1">IF(A3&lt;&gt;"",COUNTIFS('QA Log'!D:D,A3,'QA Log'!M:M,"Vignette",'QA Log'!L:L,"Vignette [9] Birth Spacing: Change FP method to Injectable",'QA Log'!Z:Z,"Approved"),"")</f>
        <v>0</v>
      </c>
      <c r="BL3" s="105">
        <f ca="1">IF(A3&lt;&gt;"",COUNTIFS('QA Log'!D:D,A3,'QA Log'!M:M,"Vignette",'QA Log'!L:L,"Vignette [10] Post Partum Haemorrhage - Atonic Uterus at Health Centre",'QA Log'!Z:Z,"Approved"),"")</f>
        <v>0</v>
      </c>
      <c r="BM3" s="102">
        <f ca="1">IF(A3="","",SUM(
    COUNTIFS('QA Log'!D:D,A3,'QA Log'!M:M,"Vignette",'QA Log'!Z:Z,"Rejected",'QA Log'!L:L,"*Vignette [5] Labor*"),
    COUNTIFS('QA Log'!D:D,A3,'QA Log'!M:M,"Vignette",'QA Log'!Z:Z,"Rejected",'QA Log'!L:L,"*Vignette [6] PNC pre Discharge*"),
    COUNTIFS('QA Log'!D:D,A3,'QA Log'!M:M,"Vignette",'QA Log'!Z:Z,"Rejected",'QA Log'!L:L,"*Vignette [7] First ANC Visit*"),
    COUNTIFS('QA Log'!D:D,A3,'QA Log'!M:M,"Vignette",'QA Log'!Z:Z,"Rejected",'QA Log'!L:L,"*Vignette [8] Birth Spacing/ Family Planning :  FP Counselling*"),
    COUNTIFS('QA Log'!D:D,A3,'QA Log'!M:M,"Vignette",'QA Log'!Z:Z,"Rejected",'QA Log'!L:L,"*Vignette [9] Birth Spacing: Change FP method to Injectable*"),
    COUNTIFS('QA Log'!D:D,A3,'QA Log'!M:M,"Vignette",'QA Log'!Z:Z,"Rejected",'QA Log'!L:L,"*Vignette [10] Post Partum Haemorrhage - Atonic Uterus at Health Centre*")
  )
)</f>
        <v>0</v>
      </c>
      <c r="BN3" s="107">
        <f t="shared" ref="BN3:BN257" ca="1" si="11">IF(A3&lt;&gt;"",BD3-BF3,"")</f>
        <v>0</v>
      </c>
      <c r="BO3" s="103">
        <f t="shared" ref="BO3:BO257" ca="1" si="12">IF(A3&lt;&gt;"",2,"")</f>
        <v>2</v>
      </c>
      <c r="BP3" s="102">
        <f ca="1">IF(A3="","",SUM(
COUNTIFS('QA Log'!D:D,A3,'QA Log'!M:M,"Vignette",'QA Log'!L:L,"*Exit Interview 1*"),
COUNTIFS('QA Log'!D:D,A3,'QA Log'!M:M,"Vignette",'QA Log'!L:L,"*Exit Interview 2*"),
)
)</f>
        <v>2</v>
      </c>
      <c r="BQ3" s="102">
        <f ca="1">IF(
  A3="","",
  SUM(
    COUNTIFS('QA Log'!D:D,A3,'QA Log'!M:M,"Vignette",'QA Log'!Z:Z,"Approved",'QA Log'!L:L,"*Exit Interview 1*"),
    COUNTIFS('QA Log'!D:D,A3,'QA Log'!M:M,"Vignette",'QA Log'!Z:Z,"Approved",'QA Log'!L:L,"*Exit Interview 2*")
  )
)</f>
        <v>2</v>
      </c>
      <c r="BR3" s="105">
        <f ca="1">IF(A3&lt;&gt;"",COUNTIFS('QA Log'!D:D,A3,'QA Log'!M:M,"Vignette",'QA Log'!L:L,"Exit Interview 1",'QA Log'!Z:Z,"Approved"),"")</f>
        <v>1</v>
      </c>
      <c r="BS3" s="105">
        <f ca="1">IF(A3&lt;&gt;"",COUNTIFS('QA Log'!D:D,A3,'QA Log'!M:M,"Vignette",'QA Log'!L:L,"Exit Interview 2",'QA Log'!Z:Z,"Approved"),"")</f>
        <v>1</v>
      </c>
      <c r="BT3" s="102">
        <f ca="1">IF(
  A3="","",
  SUM(
    COUNTIFS('QA Log'!D:D,A3,'QA Log'!M:M,"Vignette",'QA Log'!Z:Z,"Rejected",'QA Log'!L:L,"*Exit Interview 1*"),
    COUNTIFS('QA Log'!D:D,A3,'QA Log'!M:M,"Vignette",'QA Log'!Z:Z,"Rejected",'QA Log'!L:L,"*Exit Interview 2*")
  )
)</f>
        <v>0</v>
      </c>
      <c r="BU3" s="107">
        <f t="shared" ref="BU3:BU257" ca="1" si="13">IF(A3&lt;&gt;"",BO3-BQ3,"")</f>
        <v>0</v>
      </c>
      <c r="BV3" s="102" t="e">
        <f t="shared" ref="BV3:BV257" ca="1" si="14">IF(A3&lt;&gt;"",SUM(BO3,BD3,AU3,AM3,AD3,T3,I3),"")</f>
        <v>#NAME?</v>
      </c>
      <c r="BW3" s="102">
        <f t="shared" ref="BW3:BW257" ca="1" si="15">IF(A3&lt;&gt;"",SUM(BP3,BE3,AV3,AN3,AE3,U3,J3),"")</f>
        <v>12</v>
      </c>
      <c r="BX3" s="102">
        <f t="shared" ref="BX3:BX257" ca="1" si="16">IF(A3&lt;&gt;"",SUM(BQ3,BF3,AW3,AO3,AF3,V3,K3),"")</f>
        <v>12</v>
      </c>
      <c r="BY3" s="102">
        <f t="shared" ref="BY3:BY257" ca="1" si="17">IF(A3&lt;&gt;"",SUM(BT3,BM3,BB3,AS3,AK3,AB3,R3),"")</f>
        <v>0</v>
      </c>
      <c r="BZ3" s="107" t="e">
        <f t="shared" ref="BZ3:BZ257" ca="1" si="18">IF(A3&lt;&gt;"",BV3-BX3,"")</f>
        <v>#NAME?</v>
      </c>
      <c r="CA3" s="108" t="e">
        <f t="shared" ref="CA3:CA257" ca="1" si="19">IF(
  A3="","",
  IF(
    OR(D3="RH",D3="PH",D3="SHC"),
    "Not Applicable",
    IF(AND(I3&lt;=J3,T3&lt;=U3),"Fully Received","Not Received")
  )
)</f>
        <v>#NAME?</v>
      </c>
      <c r="CB3" s="108" t="e">
        <f t="shared" ref="CB3:CB257" ca="1" si="20">IF(A3&lt;&gt;"", IF(OR(D3="DH",D3="CHC",D3="BHC"),"Not Applicable",IF(AND(AD3&lt;=AE3,AM3&lt;=AN3),"Fully Received","Not Received")),"")</f>
        <v>#NAME?</v>
      </c>
      <c r="CC3" s="109" t="str">
        <f t="shared" ref="CC3:CC257" ca="1" si="21">IF(A3&lt;&gt;"",IF(AND(AU3&lt;=AV3,BD3&lt;=BE3,BO3&lt;=BP3),"Fully Received","Not Received"),"")</f>
        <v>Fully Received</v>
      </c>
      <c r="CD3" s="108" t="e">
        <f t="shared" ref="CD3:CD257" ca="1" si="22">IF(
  A3="","",
  IF(
    OR(D3="RH",D3="PH",D3="SHC"),
    "Not Applicable",
    IF(AND(I3&lt;=K3,T3&lt;=V3),"Fully Received","Not Received")
  )
)</f>
        <v>#NAME?</v>
      </c>
      <c r="CE3" s="108" t="e">
        <f t="shared" ref="CE3:CE257" ca="1" si="23">IF(A3&lt;&gt;"",IF(OR(D3="DH",D3="CHC",D3="BHC"),"Not Applicable",IF(AND(AD3&lt;=AF3,AM3&lt;=AO3),"Fully Received","Not Received")),"")</f>
        <v>#NAME?</v>
      </c>
      <c r="CF3" s="109" t="str">
        <f t="shared" ref="CF3:CF257" ca="1" si="24">IF(A3&lt;&gt;"",IF(AND(AU3&lt;=AW3,BD3&lt;=BF3,BO3&lt;=BQ3),"Fully Received","Not Received"),"")</f>
        <v>Fully Received</v>
      </c>
      <c r="CG3" s="110" t="e">
        <f t="shared" ref="CG3:CG257" ca="1" si="25">IF(A3&lt;&gt;"",IF(AND(CD3="Fully Received", CE3="Fully Received", CF3="Fully Received"),"Completed Based on Data",IF(AND(CD3="Not Received", CE3="Not Received", CF3="Not Received"),"Not Completed Based on Data","Partially Completed")),"")</f>
        <v>#NAME?</v>
      </c>
      <c r="CH3" s="111"/>
    </row>
    <row r="4" spans="1:86" ht="12.75">
      <c r="A4" s="101" t="str">
        <f ca="1">IFERROR(__xludf.DUMMYFUNCTION("""COMPUTED_VALUE"""),"HER-PKA-HF1630-Q2-2025-1189-01")</f>
        <v>HER-PKA-HF1630-Q2-2025-1189-01</v>
      </c>
      <c r="B4" s="102" t="e">
        <f t="array" aca="1" ref="B4" ca="1">_xludf.XLOOKUP(A4,'QA Log'!D:D,'QA Log'!E:E,"")</f>
        <v>#NAME?</v>
      </c>
      <c r="C4" s="102" t="e">
        <f t="array" aca="1" ref="C4" ca="1">_xludf.XLOOKUP(A4,'QA Log'!D:D,'QA Log'!F:F,"")</f>
        <v>#NAME?</v>
      </c>
      <c r="D4" s="102" t="e">
        <f t="array" aca="1" ref="D4" ca="1">_xludf.XLOOKUP(A4,'QA Log'!D:D,'QA Log'!H:H,"")</f>
        <v>#NAME?</v>
      </c>
      <c r="E4" s="102" t="e">
        <f t="array" aca="1" ref="E4" ca="1">_xludf.XLOOKUP(A4,'QA Log'!D:D,'QA Log'!G:G,"")</f>
        <v>#NAME?</v>
      </c>
      <c r="F4" s="103" t="s">
        <v>91</v>
      </c>
      <c r="G4" s="104">
        <v>45959</v>
      </c>
      <c r="H4" s="102" t="s">
        <v>92</v>
      </c>
      <c r="I4" s="103" t="e">
        <f t="shared" ca="1" si="0"/>
        <v>#NAME?</v>
      </c>
      <c r="J4" s="102">
        <f ca="1">IF(A4="","",SUM(
COUNTIFS('QA Log'!D:D,A4,'QA Log'!M:M,"QQC",'QA Log'!L:L,"*1. General Management*"),
COUNTIFS('QA Log'!D:D,A4,'QA Log'!M:M,"QQC",'QA Log'!L:L,"*3. Curative Consultation (OPD)*"),
COUNTIFS('QA Log'!D:D,A4,'QA Log'!M:M,"QQC",'QA Log'!L:L,"*5. Laboratory*"),
COUNTIFS('QA Log'!D:D,A4,'QA Log'!M:M,"QQC",'QA Log'!L:L,"*6. Essential Medicine Management*"),
COUNTIFS('QA Log'!D:D,A4,'QA Log'!M:M,"QQC",'QA Log'!L:L,"*7. Tracer Medicine*"),
COUNTIFS('QA Log'!D:D,A4,'QA Log'!M:M,"QQC",'QA Log'!L:L,"*11. Additional Questions*")))</f>
        <v>6</v>
      </c>
      <c r="K4" s="102">
        <f ca="1">IF(A4="","",SUM(
COUNTIFS('QA Log'!D:D,A4,'QA Log'!M:M,"QQC",'QA Log'!Z:Z,"Approved",'QA Log'!L:L,"*1. General Management*"),
COUNTIFS('QA Log'!D:D,A4,'QA Log'!M:M,"QQC",'QA Log'!Z:Z,"Approved",'QA Log'!L:L,"*3. Curative Consultation (OPD)*"),
COUNTIFS('QA Log'!D:D,A4,'QA Log'!M:M,"QQC",'QA Log'!Z:Z,"Approved",'QA Log'!L:L,"*5. Laboratory*"),
COUNTIFS('QA Log'!D:D,A4,'QA Log'!M:M,"QQC",'QA Log'!Z:Z,"Approved",'QA Log'!L:L,"*6. Essential Medicine Management*"),
COUNTIFS('QA Log'!D:D,A4,'QA Log'!M:M,"QQC",'QA Log'!Z:Z,"Approved",'QA Log'!L:L,"*7. Tracer Medicine*"),
COUNTIFS('QA Log'!D:D,A4,'QA Log'!M:M,"QQC",'QA Log'!Z:Z,"Approved",'QA Log'!L:L,"*11. Additional Questions*")))</f>
        <v>4</v>
      </c>
      <c r="L4" s="105">
        <f ca="1">IF(A4&lt;&gt;"",COUNTIFS('QA Log'!D:D,A4,'QA Log'!M:M,"QQC",'QA Log'!L:L,"1. General Management",'QA Log'!Z:Z,"Approved"),"")</f>
        <v>1</v>
      </c>
      <c r="M4" s="105">
        <f ca="1">IF(A4&lt;&gt;"",COUNTIFS('QA Log'!D:D,A4,'QA Log'!M:M,"QQC",'QA Log'!L:L,"3. Curative Consultation (OPD)",'QA Log'!Z:Z,"Approved"),"")</f>
        <v>1</v>
      </c>
      <c r="N4" s="105">
        <f ca="1">IF(A4&lt;&gt;"",COUNTIFS('QA Log'!D:D,A4,'QA Log'!M:M,"QQC",'QA Log'!L:L,"5. Laboratory",'QA Log'!Z:Z,"Approved"),"")</f>
        <v>1</v>
      </c>
      <c r="O4" s="105">
        <f ca="1">IF(A4&lt;&gt;"",COUNTIFS('QA Log'!D:D,A4,'QA Log'!M:M,"QQC",'QA Log'!L:L,"6. Essential Medicine Management",'QA Log'!Z:Z,"Approved"),"")</f>
        <v>0</v>
      </c>
      <c r="P4" s="105">
        <f ca="1">IF(A4&lt;&gt;"",COUNTIFS('QA Log'!D:D,A4,'QA Log'!M:M,"QQC",'QA Log'!L:L,"7. Tracer Medicine",'QA Log'!Z:Z,"Approved"),"")</f>
        <v>0</v>
      </c>
      <c r="Q4" s="105">
        <f ca="1">IF(A4&lt;&gt;"",COUNTIFS('QA Log'!D:D,A4,'QA Log'!M:M,"QQC",'QA Log'!L:L,"11. Additional Questions",'QA Log'!Z:Z,"Approved"),"")</f>
        <v>1</v>
      </c>
      <c r="R4" s="102">
        <f ca="1">IF(A4="","",SUM(
COUNTIFS('QA Log'!D:D,A4,'QA Log'!M:M,"QQC",'QA Log'!Z:Z,"Rejected",'QA Log'!L:L,"*8. Maternity*"),
COUNTIFS('QA Log'!D:D,A4,'QA Log'!M:M,"QQC",'QA Log'!Z:Z,"Rejected",'QA Log'!L:L,"*EPI*"),
COUNTIFS('QA Log'!D:D,A4,'QA Log'!M:M,"QQC",'QA Log'!Z:Z,"Rejected",'QA Log'!L:L,"*10. Antenatal Care (ANC)*"),
COUNTIFS('QA Log'!D:D,A4,'QA Log'!M:M,"QQC",'QA Log'!Z:Z,"Rejected",'QA Log'!L:L,"*2. Hygiene and Sterilization*"),
COUNTIFS('QA Log'!D:D,A4,'QA Log'!M:M,"QQC",'QA Log'!Z:Z,"Rejected",'QA Log'!L:L,"*Family Planning*")))</f>
        <v>0</v>
      </c>
      <c r="S4" s="106" t="e">
        <f t="shared" ca="1" si="1"/>
        <v>#NAME?</v>
      </c>
      <c r="T4" s="102" t="e">
        <f t="shared" ca="1" si="2"/>
        <v>#NAME?</v>
      </c>
      <c r="U4" s="102">
        <f ca="1">IF(A4="","",
SUM(
COUNTIFS('QA Log'!D:D,A4,'QA Log'!M:M,"QQC",'QA Log'!L:L,"*8. Maternity*"),
COUNTIFS('QA Log'!D:D,A4,'QA Log'!M:M,"QQC",'QA Log'!L:L,"*9. EPI and Pre-school Consultation*"),
COUNTIFS('QA Log'!D:D,A4,'QA Log'!M:M,"QQC",'QA Log'!L:L,"*10. Antenatal Care (ANC)*"),
COUNTIFS('QA Log'!D:D,A4,'QA Log'!M:M,"QQC",'QA Log'!L:L,"*2. Hygiene and Sterilization*"),
COUNTIFS('QA Log'!D:D,A4,'QA Log'!M:M,"QQC",'QA Log'!L:L,"*4. Family Planning*")
))</f>
        <v>4</v>
      </c>
      <c r="V4" s="102">
        <f ca="1">IF(A4="","",
SUM(
COUNTIFS('QA Log'!D:D,A4,'QA Log'!M:M,"QQC",'QA Log'!Z:Z,"Approved",'QA Log'!L:L,"*8. Maternity*"),
COUNTIFS('QA Log'!D:D,A4,'QA Log'!M:M,"QQC",'QA Log'!Z:Z,"Approved",'QA Log'!L:L,"*9. EPI and Pre-school Consultation*"),
COUNTIFS('QA Log'!D:D,A4,'QA Log'!M:M,"QQC",'QA Log'!Z:Z,"Approved",'QA Log'!L:L,"*10. Antenatal Care (ANC)*"),
COUNTIFS('QA Log'!D:D,A4,'QA Log'!M:M,"QQC",'QA Log'!Z:Z,"Approved",'QA Log'!L:L,"*2. Hygiene and Sterilization*"),
COUNTIFS('QA Log'!D:D,A4,'QA Log'!M:M,"QQC",'QA Log'!Z:Z,"Approved",'QA Log'!L:L,"*4. Family Planning*")
))</f>
        <v>4</v>
      </c>
      <c r="W4" s="105">
        <f ca="1">IF(A4&lt;&gt;"",COUNTIFS('QA Log'!D:D,A4,'QA Log'!M:M,"QQC",'QA Log'!L:L,"8. Maternity",'QA Log'!Z:Z,"Approved"),"")</f>
        <v>2</v>
      </c>
      <c r="X4" s="105">
        <f ca="1">IF(A4&lt;&gt;"",COUNTIFS('QA Log'!D:D,A4,'QA Log'!M:M,"QQC",'QA Log'!L:L,"9. EPI and Pre-school Consultation",'QA Log'!Z:Z,"Approved"),"")</f>
        <v>0</v>
      </c>
      <c r="Y4" s="105">
        <f ca="1">IF(A4&lt;&gt;"",COUNTIFS('QA Log'!D:D,A4,'QA Log'!M:M,"QQC",'QA Log'!L:L,"10. Antenatal Care (ANC)",'QA Log'!Z:Z,"Approved"),"")</f>
        <v>1</v>
      </c>
      <c r="Z4" s="105">
        <f ca="1">IF(A4&lt;&gt;"",COUNTIFS('QA Log'!D:D,A4,'QA Log'!M:M,"QQC",'QA Log'!L:L,"2. Hygiene and Sterilization",'QA Log'!Z:Z,"Approved"),"")</f>
        <v>1</v>
      </c>
      <c r="AA4" s="105">
        <f ca="1">IF(A4&lt;&gt;"",COUNTIFS('QA Log'!D:D,A4,'QA Log'!M:M,"QQC",'QA Log'!L:L,"4. Family Planning",'QA Log'!Z:Z,"Approved"),"")</f>
        <v>0</v>
      </c>
      <c r="AB4" s="102">
        <f ca="1">IF(A4="","",
SUM(
COUNTIFS('QA Log'!D:D,A4,'QA Log'!M:M,"QQC",'QA Log'!Z:Z,"Rejected",'QA Log'!L:L,"*8. Maternity*"),
COUNTIFS('QA Log'!D:D,A4,'QA Log'!M:M,"QQC",'QA Log'!Z:Z,"Rejected",'QA Log'!L:L,"*9. EPI and Pre-school Consultation*"),
COUNTIFS('QA Log'!D:D,A4,'QA Log'!M:M,"QQC",'QA Log'!Z:Z,"Rejected",'QA Log'!L:L,"*10. Antenatal Care (ANC)*"),
COUNTIFS('QA Log'!D:D,A4,'QA Log'!M:M,"QQC",'QA Log'!Z:Z,"Rejected",'QA Log'!L:L,"*2. Hygiene and Sterilization*"),
COUNTIFS('QA Log'!D:D,A4,'QA Log'!M:M,"QQC",'QA Log'!Z:Z,"Rejected",'QA Log'!L:L,"*4. Family Planning*")
))</f>
        <v>0</v>
      </c>
      <c r="AC4" s="102" t="e">
        <f t="shared" ca="1" si="3"/>
        <v>#NAME?</v>
      </c>
      <c r="AD4" s="103" t="e">
        <f t="shared" ca="1" si="4"/>
        <v>#NAME?</v>
      </c>
      <c r="AE4" s="102">
        <f ca="1">IF(A4="","",
SUM(
COUNTIFS('QA Log'!D:D,A4,'QA Log'!M:M,"Data Verification",'QA Log'!L:L,"*Medicine (section 2)*"),
COUNTIFS('QA Log'!D:D,A4,'QA Log'!M:M,"Data Verification",'QA Log'!L:L,"*Lab Testing Availability*"),
COUNTIFS('QA Log'!D:D,A4,'QA Log'!M:M,"Data Verification",'QA Log'!L:L,"*Other than P4P (section 6)*"),
COUNTIFS('QA Log'!D:D,A4,'QA Log'!M:M,"Data Verification",'QA Log'!L:L,"*Hospital Governance*")
))</f>
        <v>0</v>
      </c>
      <c r="AF4" s="102">
        <f ca="1">IF(A4="","",
SUM(
COUNTIFS('QA Log'!D:D,A4,'QA Log'!M:M,"Data Verification",'QA Log'!Z:Z,"Approved",'QA Log'!L:L,"*Medicine (section 2)*"),
COUNTIFS('QA Log'!D:D,A4,'QA Log'!M:M,"Data Verification",'QA Log'!Z:Z,"Approved",'QA Log'!L:L,"*Lab Testing Availability*"),
COUNTIFS('QA Log'!D:D,A4,'QA Log'!M:M,"Data Verification",'QA Log'!Z:Z,"Approved",'QA Log'!L:L,"*Other than P4P (section 6)*"),
COUNTIFS('QA Log'!D:D,A4,'QA Log'!M:M,"Data Verification",'QA Log'!Z:Z,"Approved",'QA Log'!L:L,"*Hospital Governance*")
))</f>
        <v>0</v>
      </c>
      <c r="AG4" s="105">
        <f ca="1">IF(A4&lt;&gt;"",COUNTIFS('QA Log'!D:D,A4,'QA Log'!M:M,"Data Verification",'QA Log'!L:L,"Medicine (section 2)",'QA Log'!Z:Z,"Approved"),"")</f>
        <v>0</v>
      </c>
      <c r="AH4" s="105">
        <f ca="1">IF(A4&lt;&gt;"",COUNTIFS('QA Log'!D:D,A4,'QA Log'!M:M,"Data Verification",'QA Log'!L:L,"Lab Testing Availability",'QA Log'!Z:Z,"Approved"),"")</f>
        <v>0</v>
      </c>
      <c r="AI4" s="105">
        <f ca="1">IF(A4&lt;&gt;"",COUNTIFS('QA Log'!D:D,A4,'QA Log'!M:M,"Data Verification",'QA Log'!L:L,"Other than P4P (section 6)",'QA Log'!Z:Z,"Approved"),"")</f>
        <v>0</v>
      </c>
      <c r="AJ4" s="105">
        <f ca="1">IF(A4&lt;&gt;"",COUNTIFS('QA Log'!D:D,A4,'QA Log'!M:M,"Data Verification",'QA Log'!L:L,"Hospital Governance",'QA Log'!Z:Z,"Approved"),"")</f>
        <v>0</v>
      </c>
      <c r="AK4" s="102">
        <f ca="1">IF(A4="","",
SUM(
COUNTIFS('QA Log'!D:D,A4,'QA Log'!M:M,"Data Verification",'QA Log'!Z:Z,"Rejected",'QA Log'!L:L,"*Medicine (section 2)*"),
COUNTIFS('QA Log'!D:D,A4,'QA Log'!M:M,"Data Verification",'QA Log'!Z:Z,"Rejected",'QA Log'!L:L,"*Lab Testing Availability*"),
COUNTIFS('QA Log'!D:D,A4,'QA Log'!M:M,"Data Verification",'QA Log'!Z:Z,"Rejected",'QA Log'!L:L,"*Other than P4P (section 6)*"),
COUNTIFS('QA Log'!D:D,A4,'QA Log'!M:M,"Data Verification",'QA Log'!Z:Z,"Rejected",'QA Log'!L:L,"*Hospital Governance*")
))</f>
        <v>0</v>
      </c>
      <c r="AL4" s="106" t="e">
        <f t="shared" ca="1" si="5"/>
        <v>#NAME?</v>
      </c>
      <c r="AM4" s="102" t="e">
        <f t="shared" ca="1" si="6"/>
        <v>#NAME?</v>
      </c>
      <c r="AN4" s="102">
        <f ca="1">IF(A4="","",
SUM(
COUNTIFS('QA Log'!D:D,A4,'QA Log'!M:M,"Data Verification",'QA Log'!L:L,"*Personnel (section 1)*"),
COUNTIFS('QA Log'!D:D,A4,'QA Log'!M:M,"Data Verification",'QA Log'!L:L,"*Consumable (section 3)*"),
COUNTIFS('QA Log'!D:D,A4,'QA Log'!M:M,"Data Verification",'QA Log'!L:L,"*Equipments (section 4)*")
))</f>
        <v>0</v>
      </c>
      <c r="AO4" s="102">
        <f ca="1">IF(A4="","",
SUM(
COUNTIFS('QA Log'!D:D,A4,'QA Log'!M:M,"Data Verification",'QA Log'!Z:Z,"Approved",'QA Log'!L:L,"*Personnel (section 1)*"),
COUNTIFS('QA Log'!D:D,A4,'QA Log'!M:M,"Data Verification",'QA Log'!Z:Z,"Approved",'QA Log'!L:L,"*Consumable (section 3)*"),
COUNTIFS('QA Log'!D:D,A4,'QA Log'!M:M,"Data Verification",'QA Log'!Z:Z,"Approved",'QA Log'!L:L,"*Equipments (section 4)*")
))</f>
        <v>0</v>
      </c>
      <c r="AP4" s="105">
        <f ca="1">IF(A4&lt;&gt;"",COUNTIFS('QA Log'!D:D,A4,'QA Log'!M:M,"Data Verification",'QA Log'!L:L,"Personnel (section 1)",'QA Log'!Z:Z,"Approved"),"")</f>
        <v>0</v>
      </c>
      <c r="AQ4" s="105">
        <f ca="1">IF(A4&lt;&gt;"",COUNTIFS('QA Log'!D:D,A4,'QA Log'!M:M,"Data Verification",'QA Log'!L:L,"Consumable (section 3)",'QA Log'!Z:Z,"Approved"),"")</f>
        <v>0</v>
      </c>
      <c r="AR4" s="105">
        <f ca="1">IF(A4&lt;&gt;"",COUNTIFS('QA Log'!D:D,A4,'QA Log'!M:M,"Data Verification",'QA Log'!L:L,"Equipments (section 4)",'QA Log'!Z:Z,"Approved"),"")</f>
        <v>0</v>
      </c>
      <c r="AS4" s="102">
        <f ca="1">IF(A4="","",
SUM(
COUNTIFS('QA Log'!D:D,A4,'QA Log'!M:M,"Data Verification",'QA Log'!Z:Z,"Rejected",'QA Log'!L:L,"*Personnel (section 1)*"),
COUNTIFS('QA Log'!D:D,A4,'QA Log'!M:M,"Data Verification",'QA Log'!Z:Z,"Rejected",'QA Log'!L:L,"*Consumable (section 3)*"),
COUNTIFS('QA Log'!D:D,A4,'QA Log'!M:M,"Data Verification",'QA Log'!Z:Z,"Rejected",'QA Log'!L:L,"*Equipments (section 4)*")
))</f>
        <v>0</v>
      </c>
      <c r="AT4" s="102" t="e">
        <f t="shared" ca="1" si="7"/>
        <v>#NAME?</v>
      </c>
      <c r="AU4" s="103">
        <f t="shared" ca="1" si="8"/>
        <v>2</v>
      </c>
      <c r="AV4" s="102">
        <f ca="1">IF(A4="","",SUM(
COUNTIFS('QA Log'!D:D,A4,'QA Log'!M:M,"Vignette",'QA Log'!L:L,"*Vignette [1] Respiratory Infection: Pneumonia*"),
COUNTIFS('QA Log'!D:D,A4,'QA Log'!M:M,"Vignette",'QA Log'!L:L,"*Vignette [2]: Diarrhea with Cat B dehydration*"),
COUNTIFS('QA Log'!D:D,A4,'QA Log'!M:M,"Vignette",'QA Log'!L:L,"*Vignette [3] Growth Monitoring and Promotion*"),
COUNTIFS('QA Log'!D:D,A4,'QA Log'!M:M,"Vignette",'QA Log'!L:L,"*Vignette [4]: The management of presumptive TB patient*")
)
)</f>
        <v>4</v>
      </c>
      <c r="AW4" s="102">
        <f ca="1">IF(
  A4="","",
  SUM(
    COUNTIFS('QA Log'!D:D,A4,'QA Log'!M:M,"Vignette",'QA Log'!Z:Z,"Approved",'QA Log'!L:L,"*Vignette [1] Respiratory Infection: Pneumonia*"),
    COUNTIFS('QA Log'!D:D,A4,'QA Log'!M:M,"Vignette",'QA Log'!Z:Z,"Approved",'QA Log'!L:L,"*Vignette [2]: Diarrhea with Cat B dehydration*"),
    COUNTIFS('QA Log'!D:D,A4,'QA Log'!M:M,"Vignette",'QA Log'!Z:Z,"Approved",'QA Log'!L:L,"*Vignette [3] Growth Monitoring and Promotion*"),
    COUNTIFS('QA Log'!D:D,A4,'QA Log'!M:M,"Vignette",'QA Log'!Z:Z,"Approved",'QA Log'!L:L,"*Vignette [4]: The management of presumptive TB patient*")
  )
)</f>
        <v>0</v>
      </c>
      <c r="AX4" s="105">
        <f ca="1">IF(A4&lt;&gt;"",COUNTIFS('QA Log'!D:D,A4,'QA Log'!M:M,"Vignette",'QA Log'!L:L,"Vignette [1] Respiratory Infection: Pneumonia",'QA Log'!Z:Z,"Approved"),"")</f>
        <v>0</v>
      </c>
      <c r="AY4" s="105">
        <f ca="1">IF(A4&lt;&gt;"",COUNTIFS('QA Log'!D:D,A4,'QA Log'!M:M,"Vignette",'QA Log'!L:L,"Vignette [2]: Diarrhea with Cat B dehydration",'QA Log'!Z:Z,"Approved"),"")</f>
        <v>0</v>
      </c>
      <c r="AZ4" s="105">
        <f ca="1">IF(A4&lt;&gt;"",COUNTIFS('QA Log'!D:D,A4,'QA Log'!M:M,"Vignette",'QA Log'!L:L,"Vignette [3] Growth Monitoring and Promotion",'QA Log'!Z:Z,"Approved"),"")</f>
        <v>0</v>
      </c>
      <c r="BA4" s="105">
        <f ca="1">IF(A4&lt;&gt;"",COUNTIFS('QA Log'!D:D,A4,'QA Log'!M:M,"Vignette",'QA Log'!L:L,"Vignette [4]: The management of presumptive TB patient",'QA Log'!Z:Z,"Approved"),"")</f>
        <v>0</v>
      </c>
      <c r="BB4" s="102">
        <f ca="1">IF(A4="","",
  SUM(
    COUNTIFS('QA Log'!D:D,A4,'QA Log'!M:M,"Vignette",'QA Log'!Z:Z,"Rejected",'QA Log'!L:L,"*Vignette [1] Respiratory Infection: Pneumonia*"),
    COUNTIFS('QA Log'!D:D,A4,'QA Log'!M:M,"Vignette",'QA Log'!Z:Z,"Rejected",'QA Log'!L:L,"*Vignette [2]: Diarrhea with Cat B dehydration*"),
    COUNTIFS('QA Log'!D:D,A4,'QA Log'!M:M,"Vignette",'QA Log'!Z:Z,"Rejected",'QA Log'!L:L,"*Vignette [3] Growth Monitoring and Promotion*"),
    COUNTIFS('QA Log'!D:D,A4,'QA Log'!M:M,"Vignette",'QA Log'!Z:Z,"Rejected",'QA Log'!L:L,"*Vignette [4]: The management of presumptive TB patient*")
  )
)</f>
        <v>0</v>
      </c>
      <c r="BC4" s="107">
        <f t="shared" ca="1" si="9"/>
        <v>2</v>
      </c>
      <c r="BD4" s="103">
        <f t="shared" ca="1" si="10"/>
        <v>2</v>
      </c>
      <c r="BE4" s="102">
        <f ca="1">IF(A4="","",SUM(
COUNTIFS('QA Log'!D:D,A4,'QA Log'!M:M,"Vignette",'QA Log'!L:L,"*Vignette [5] Labor*"),
COUNTIFS('QA Log'!D:D,A4,'QA Log'!M:M,"Vignette",'QA Log'!L:L,"*Vignette [6] PNC pre Discharge*"),
COUNTIFS('QA Log'!D:D,A4,'QA Log'!M:M,"Vignette",'QA Log'!L:L,"*Vignette [7] First ANC Visit*"),
COUNTIFS('QA Log'!D:D,A4,'QA Log'!M:M,"Vignette",'QA Log'!L:L,"*Vignette [8] Birth Spacing/ Family Planning :  FP Counselling*"),
COUNTIFS('QA Log'!D:D,A4,'QA Log'!M:M,"Vignette",'QA Log'!L:L,"*Vignette [9] Birth Spacing: Change FP method to Injectable*"),
COUNTIFS('QA Log'!D:D,A4,'QA Log'!M:M,"Vignette",'QA Log'!L:L,"*Vignette [10] Post Partum Haemorrhage - Atonic Uterus at Health Centre*"),
)
)</f>
        <v>7</v>
      </c>
      <c r="BF4" s="102">
        <f ca="1">IF(A4="","",
  SUM(
    COUNTIFS('QA Log'!D:D,A4,'QA Log'!M:M,"Vignette",'QA Log'!Z:Z,"Approved",'QA Log'!L:L,"*Vignette [5] Labor*"),
    COUNTIFS('QA Log'!D:D,A4,'QA Log'!M:M,"Vignette",'QA Log'!Z:Z,"Approved",'QA Log'!L:L,"*Vignette [6] PNC pre Discharge*"),
    COUNTIFS('QA Log'!D:D,A4,'QA Log'!M:M,"Vignette",'QA Log'!Z:Z,"Approved",'QA Log'!L:L,"*Vignette [7] First ANC Visit*"),
    COUNTIFS('QA Log'!D:D,A4,'QA Log'!M:M,"Vignette",'QA Log'!Z:Z,"Approved",'QA Log'!L:L,"*Vignette [8] Birth Spacing/ Family Planning :  FP Counselling*"),
    COUNTIFS('QA Log'!D:D,A4,'QA Log'!M:M,"Vignette",'QA Log'!Z:Z,"Approved",'QA Log'!L:L,"*Vignette [9] Birth Spacing: Change FP method to Injectable*"),
    COUNTIFS('QA Log'!D:D,A4,'QA Log'!M:M,"Vignette",'QA Log'!Z:Z,"Approved",'QA Log'!L:L,"*Vignette [10] Post Partum Haemorrhage - Atonic Uterus at Health Centre*")
  )
)</f>
        <v>0</v>
      </c>
      <c r="BG4" s="105">
        <f ca="1">IF(A4&lt;&gt;"",COUNTIFS('QA Log'!D:D,A4,'QA Log'!M:M,"Vignette",'QA Log'!L:L,"Vignette [5] Labor",'QA Log'!Z:Z,"Approved"),"")</f>
        <v>0</v>
      </c>
      <c r="BH4" s="105">
        <f ca="1">IF(A4&lt;&gt;"",COUNTIFS('QA Log'!D:D,A4,'QA Log'!M:M,"Vignette",'QA Log'!L:L,"Vignette [6] PNC pre Discharge",'QA Log'!Z:Z,"Approved"),"")</f>
        <v>0</v>
      </c>
      <c r="BI4" s="105">
        <f ca="1">IF(A4&lt;&gt;"",COUNTIFS('QA Log'!D:D,A4,'QA Log'!M:M,"Vignette",'QA Log'!L:L,"Vignette [7] First ANC Visit",'QA Log'!Z:Z,"Approved"),"")</f>
        <v>0</v>
      </c>
      <c r="BJ4" s="105">
        <f ca="1">IF(A4&lt;&gt;"",COUNTIFS('QA Log'!D:D,A4,'QA Log'!M:M,"Vignette",'QA Log'!L:L,"Vignette [8] Birth Spacing/ Family Planning :  FP Counselling",'QA Log'!Z:Z,"Approved"),"")</f>
        <v>0</v>
      </c>
      <c r="BK4" s="105">
        <f ca="1">IF(A4&lt;&gt;"",COUNTIFS('QA Log'!D:D,A4,'QA Log'!M:M,"Vignette",'QA Log'!L:L,"Vignette [9] Birth Spacing: Change FP method to Injectable",'QA Log'!Z:Z,"Approved"),"")</f>
        <v>0</v>
      </c>
      <c r="BL4" s="105">
        <f ca="1">IF(A4&lt;&gt;"",COUNTIFS('QA Log'!D:D,A4,'QA Log'!M:M,"Vignette",'QA Log'!L:L,"Vignette [10] Post Partum Haemorrhage - Atonic Uterus at Health Centre",'QA Log'!Z:Z,"Approved"),"")</f>
        <v>0</v>
      </c>
      <c r="BM4" s="102">
        <f ca="1">IF(A4="","",SUM(
    COUNTIFS('QA Log'!D:D,A4,'QA Log'!M:M,"Vignette",'QA Log'!Z:Z,"Rejected",'QA Log'!L:L,"*Vignette [5] Labor*"),
    COUNTIFS('QA Log'!D:D,A4,'QA Log'!M:M,"Vignette",'QA Log'!Z:Z,"Rejected",'QA Log'!L:L,"*Vignette [6] PNC pre Discharge*"),
    COUNTIFS('QA Log'!D:D,A4,'QA Log'!M:M,"Vignette",'QA Log'!Z:Z,"Rejected",'QA Log'!L:L,"*Vignette [7] First ANC Visit*"),
    COUNTIFS('QA Log'!D:D,A4,'QA Log'!M:M,"Vignette",'QA Log'!Z:Z,"Rejected",'QA Log'!L:L,"*Vignette [8] Birth Spacing/ Family Planning :  FP Counselling*"),
    COUNTIFS('QA Log'!D:D,A4,'QA Log'!M:M,"Vignette",'QA Log'!Z:Z,"Rejected",'QA Log'!L:L,"*Vignette [9] Birth Spacing: Change FP method to Injectable*"),
    COUNTIFS('QA Log'!D:D,A4,'QA Log'!M:M,"Vignette",'QA Log'!Z:Z,"Rejected",'QA Log'!L:L,"*Vignette [10] Post Partum Haemorrhage - Atonic Uterus at Health Centre*")
  )
)</f>
        <v>0</v>
      </c>
      <c r="BN4" s="107">
        <f t="shared" ca="1" si="11"/>
        <v>2</v>
      </c>
      <c r="BO4" s="103">
        <f t="shared" ca="1" si="12"/>
        <v>2</v>
      </c>
      <c r="BP4" s="102">
        <f ca="1">IF(A4="","",SUM(
COUNTIFS('QA Log'!D:D,A4,'QA Log'!M:M,"Vignette",'QA Log'!L:L,"*Exit Interview 1*"),
COUNTIFS('QA Log'!D:D,A4,'QA Log'!M:M,"Vignette",'QA Log'!L:L,"*Exit Interview 2*"),
)
)</f>
        <v>2</v>
      </c>
      <c r="BQ4" s="102">
        <f ca="1">IF(
  A4="","",
  SUM(
    COUNTIFS('QA Log'!D:D,A4,'QA Log'!M:M,"Vignette",'QA Log'!Z:Z,"Approved",'QA Log'!L:L,"*Exit Interview 1*"),
    COUNTIFS('QA Log'!D:D,A4,'QA Log'!M:M,"Vignette",'QA Log'!Z:Z,"Approved",'QA Log'!L:L,"*Exit Interview 2*")
  )
)</f>
        <v>0</v>
      </c>
      <c r="BR4" s="105">
        <f ca="1">IF(A4&lt;&gt;"",COUNTIFS('QA Log'!D:D,A4,'QA Log'!M:M,"Vignette",'QA Log'!L:L,"Exit Interview 1",'QA Log'!Z:Z,"Approved"),"")</f>
        <v>0</v>
      </c>
      <c r="BS4" s="105">
        <f ca="1">IF(A4&lt;&gt;"",COUNTIFS('QA Log'!D:D,A4,'QA Log'!M:M,"Vignette",'QA Log'!L:L,"Exit Interview 2",'QA Log'!Z:Z,"Approved"),"")</f>
        <v>0</v>
      </c>
      <c r="BT4" s="102">
        <f ca="1">IF(A4="","",
  SUM(
    COUNTIFS('QA Log'!D:D,A4,'QA Log'!M:M,"Vignette",'QA Log'!Z:Z,"Rejected",'QA Log'!L:L,"*Exit Interview 1*"),
    COUNTIFS('QA Log'!D:D,A4,'QA Log'!M:M,"Vignette",'QA Log'!Z:Z,"Rejected",'QA Log'!L:L,"*Exit Interview 2*")
  )
)</f>
        <v>0</v>
      </c>
      <c r="BU4" s="107">
        <f t="shared" ca="1" si="13"/>
        <v>2</v>
      </c>
      <c r="BV4" s="102" t="e">
        <f t="shared" ca="1" si="14"/>
        <v>#NAME?</v>
      </c>
      <c r="BW4" s="102">
        <f t="shared" ca="1" si="15"/>
        <v>23</v>
      </c>
      <c r="BX4" s="102">
        <f t="shared" ca="1" si="16"/>
        <v>8</v>
      </c>
      <c r="BY4" s="102">
        <f t="shared" ca="1" si="17"/>
        <v>0</v>
      </c>
      <c r="BZ4" s="107" t="e">
        <f t="shared" ca="1" si="18"/>
        <v>#NAME?</v>
      </c>
      <c r="CA4" s="108" t="e">
        <f t="shared" ca="1" si="19"/>
        <v>#NAME?</v>
      </c>
      <c r="CB4" s="108" t="e">
        <f t="shared" ca="1" si="20"/>
        <v>#NAME?</v>
      </c>
      <c r="CC4" s="109" t="str">
        <f t="shared" ca="1" si="21"/>
        <v>Fully Received</v>
      </c>
      <c r="CD4" s="108" t="e">
        <f t="shared" ca="1" si="22"/>
        <v>#NAME?</v>
      </c>
      <c r="CE4" s="108" t="e">
        <f t="shared" ca="1" si="23"/>
        <v>#NAME?</v>
      </c>
      <c r="CF4" s="109" t="str">
        <f t="shared" ca="1" si="24"/>
        <v>Not Received</v>
      </c>
      <c r="CG4" s="110" t="e">
        <f t="shared" ca="1" si="25"/>
        <v>#NAME?</v>
      </c>
      <c r="CH4" s="111"/>
    </row>
    <row r="5" spans="1:86" ht="12.75">
      <c r="A5" s="101" t="str">
        <f ca="1">IFERROR(__xludf.DUMMYFUNCTION("""COMPUTED_VALUE"""),"HER-NGR-HF3780-Q2-2025-1049-01")</f>
        <v>HER-NGR-HF3780-Q2-2025-1049-01</v>
      </c>
      <c r="B5" s="102" t="e">
        <f t="array" aca="1" ref="B5" ca="1">_xludf.XLOOKUP(A5,'QA Log'!D:D,'QA Log'!E:E,"")</f>
        <v>#NAME?</v>
      </c>
      <c r="C5" s="102" t="e">
        <f t="array" aca="1" ref="C5" ca="1">_xludf.XLOOKUP(A5,'QA Log'!D:D,'QA Log'!F:F,"")</f>
        <v>#NAME?</v>
      </c>
      <c r="D5" s="102" t="e">
        <f t="array" aca="1" ref="D5" ca="1">_xludf.XLOOKUP(A5,'QA Log'!D:D,'QA Log'!H:H,"")</f>
        <v>#NAME?</v>
      </c>
      <c r="E5" s="102" t="e">
        <f t="array" aca="1" ref="E5" ca="1">_xludf.XLOOKUP(A5,'QA Log'!D:D,'QA Log'!G:G,"")</f>
        <v>#NAME?</v>
      </c>
      <c r="F5" s="103" t="s">
        <v>93</v>
      </c>
      <c r="G5" s="104">
        <v>45959</v>
      </c>
      <c r="H5" s="102" t="s">
        <v>92</v>
      </c>
      <c r="I5" s="103" t="e">
        <f t="shared" ca="1" si="0"/>
        <v>#NAME?</v>
      </c>
      <c r="J5" s="102">
        <f ca="1">IF(A5="","",SUM(
COUNTIFS('QA Log'!D:D,A5,'QA Log'!M:M,"QQC",'QA Log'!L:L,"*1. General Management*"),
COUNTIFS('QA Log'!D:D,A5,'QA Log'!M:M,"QQC",'QA Log'!L:L,"*3. Curative Consultation (OPD)*"),
COUNTIFS('QA Log'!D:D,A5,'QA Log'!M:M,"QQC",'QA Log'!L:L,"*5. Laboratory*"),
COUNTIFS('QA Log'!D:D,A5,'QA Log'!M:M,"QQC",'QA Log'!L:L,"*6. Essential Medicine Management*"),
COUNTIFS('QA Log'!D:D,A5,'QA Log'!M:M,"QQC",'QA Log'!L:L,"*7. Tracer Medicine*"),
COUNTIFS('QA Log'!D:D,A5,'QA Log'!M:M,"QQC",'QA Log'!L:L,"*11. Additional Questions*")))</f>
        <v>0</v>
      </c>
      <c r="K5" s="102">
        <f ca="1">IF(A5="","",SUM(
COUNTIFS('QA Log'!D:D,A5,'QA Log'!M:M,"QQC",'QA Log'!Z:Z,"Approved",'QA Log'!L:L,"*1. General Management*"),
COUNTIFS('QA Log'!D:D,A5,'QA Log'!M:M,"QQC",'QA Log'!Z:Z,"Approved",'QA Log'!L:L,"*3. Curative Consultation (OPD)*"),
COUNTIFS('QA Log'!D:D,A5,'QA Log'!M:M,"QQC",'QA Log'!Z:Z,"Approved",'QA Log'!L:L,"*5. Laboratory*"),
COUNTIFS('QA Log'!D:D,A5,'QA Log'!M:M,"QQC",'QA Log'!Z:Z,"Approved",'QA Log'!L:L,"*6. Essential Medicine Management*"),
COUNTIFS('QA Log'!D:D,A5,'QA Log'!M:M,"QQC",'QA Log'!Z:Z,"Approved",'QA Log'!L:L,"*7. Tracer Medicine*"),
COUNTIFS('QA Log'!D:D,A5,'QA Log'!M:M,"QQC",'QA Log'!Z:Z,"Approved",'QA Log'!L:L,"*11. Additional Questions*")))</f>
        <v>0</v>
      </c>
      <c r="L5" s="105">
        <f ca="1">IF(A5&lt;&gt;"",COUNTIFS('QA Log'!D:D,A5,'QA Log'!M:M,"QQC",'QA Log'!L:L,"1. General Management",'QA Log'!Z:Z,"Approved"),"")</f>
        <v>0</v>
      </c>
      <c r="M5" s="105">
        <f ca="1">IF(A5&lt;&gt;"",COUNTIFS('QA Log'!D:D,A5,'QA Log'!M:M,"QQC",'QA Log'!L:L,"3. Curative Consultation (OPD)",'QA Log'!Z:Z,"Approved"),"")</f>
        <v>0</v>
      </c>
      <c r="N5" s="105">
        <f ca="1">IF(A5&lt;&gt;"",COUNTIFS('QA Log'!D:D,A5,'QA Log'!M:M,"QQC",'QA Log'!L:L,"5. Laboratory",'QA Log'!Z:Z,"Approved"),"")</f>
        <v>0</v>
      </c>
      <c r="O5" s="105">
        <f ca="1">IF(A5&lt;&gt;"",COUNTIFS('QA Log'!D:D,A5,'QA Log'!M:M,"QQC",'QA Log'!L:L,"6. Essential Medicine Management",'QA Log'!Z:Z,"Approved"),"")</f>
        <v>0</v>
      </c>
      <c r="P5" s="105">
        <f ca="1">IF(A5&lt;&gt;"",COUNTIFS('QA Log'!D:D,A5,'QA Log'!M:M,"QQC",'QA Log'!L:L,"7. Tracer Medicine",'QA Log'!Z:Z,"Approved"),"")</f>
        <v>0</v>
      </c>
      <c r="Q5" s="105">
        <f ca="1">IF(A5&lt;&gt;"",COUNTIFS('QA Log'!D:D,A5,'QA Log'!M:M,"QQC",'QA Log'!L:L,"11. Additional Questions",'QA Log'!Z:Z,"Approved"),"")</f>
        <v>0</v>
      </c>
      <c r="R5" s="102">
        <f ca="1">IF(A5="","",SUM(
COUNTIFS('QA Log'!D:D,A5,'QA Log'!M:M,"QQC",'QA Log'!Z:Z,"Rejected",'QA Log'!L:L,"*8. Maternity*"),
COUNTIFS('QA Log'!D:D,A5,'QA Log'!M:M,"QQC",'QA Log'!Z:Z,"Rejected",'QA Log'!L:L,"*EPI*"),
COUNTIFS('QA Log'!D:D,A5,'QA Log'!M:M,"QQC",'QA Log'!Z:Z,"Rejected",'QA Log'!L:L,"*10. Antenatal Care (ANC)*"),
COUNTIFS('QA Log'!D:D,A5,'QA Log'!M:M,"QQC",'QA Log'!Z:Z,"Rejected",'QA Log'!L:L,"*2. Hygiene and Sterilization*"),
COUNTIFS('QA Log'!D:D,A5,'QA Log'!M:M,"QQC",'QA Log'!Z:Z,"Rejected",'QA Log'!L:L,"*Family Planning*")))</f>
        <v>0</v>
      </c>
      <c r="S5" s="106" t="e">
        <f t="shared" ca="1" si="1"/>
        <v>#NAME?</v>
      </c>
      <c r="T5" s="102" t="e">
        <f t="shared" ca="1" si="2"/>
        <v>#NAME?</v>
      </c>
      <c r="U5" s="102">
        <f ca="1">IF(A5="","",
SUM(
COUNTIFS('QA Log'!D:D,A5,'QA Log'!M:M,"QQC",'QA Log'!L:L,"*8. Maternity*"),
COUNTIFS('QA Log'!D:D,A5,'QA Log'!M:M,"QQC",'QA Log'!L:L,"*9. EPI and Pre-school Consultation*"),
COUNTIFS('QA Log'!D:D,A5,'QA Log'!M:M,"QQC",'QA Log'!L:L,"*10. Antenatal Care (ANC)*"),
COUNTIFS('QA Log'!D:D,A5,'QA Log'!M:M,"QQC",'QA Log'!L:L,"*2. Hygiene and Sterilization*"),
COUNTIFS('QA Log'!D:D,A5,'QA Log'!M:M,"QQC",'QA Log'!L:L,"*4. Family Planning*")
))</f>
        <v>0</v>
      </c>
      <c r="V5" s="102">
        <f ca="1">IF(A5="","",
SUM(
COUNTIFS('QA Log'!D:D,A5,'QA Log'!M:M,"QQC",'QA Log'!Z:Z,"Approved",'QA Log'!L:L,"*8. Maternity*"),
COUNTIFS('QA Log'!D:D,A5,'QA Log'!M:M,"QQC",'QA Log'!Z:Z,"Approved",'QA Log'!L:L,"*9. EPI and Pre-school Consultation*"),
COUNTIFS('QA Log'!D:D,A5,'QA Log'!M:M,"QQC",'QA Log'!Z:Z,"Approved",'QA Log'!L:L,"*10. Antenatal Care (ANC)*"),
COUNTIFS('QA Log'!D:D,A5,'QA Log'!M:M,"QQC",'QA Log'!Z:Z,"Approved",'QA Log'!L:L,"*2. Hygiene and Sterilization*"),
COUNTIFS('QA Log'!D:D,A5,'QA Log'!M:M,"QQC",'QA Log'!Z:Z,"Approved",'QA Log'!L:L,"*4. Family Planning*")
))</f>
        <v>0</v>
      </c>
      <c r="W5" s="105">
        <f ca="1">IF(A5&lt;&gt;"",COUNTIFS('QA Log'!D:D,A5,'QA Log'!M:M,"QQC",'QA Log'!L:L,"8. Maternity",'QA Log'!Z:Z,"Approved"),"")</f>
        <v>0</v>
      </c>
      <c r="X5" s="105">
        <f ca="1">IF(A5&lt;&gt;"",COUNTIFS('QA Log'!D:D,A5,'QA Log'!M:M,"QQC",'QA Log'!L:L,"9. EPI and Pre-school Consultation",'QA Log'!Z:Z,"Approved"),"")</f>
        <v>0</v>
      </c>
      <c r="Y5" s="105">
        <f ca="1">IF(A5&lt;&gt;"",COUNTIFS('QA Log'!D:D,A5,'QA Log'!M:M,"QQC",'QA Log'!L:L,"10. Antenatal Care (ANC)",'QA Log'!Z:Z,"Approved"),"")</f>
        <v>0</v>
      </c>
      <c r="Z5" s="105">
        <f ca="1">IF(A5&lt;&gt;"",COUNTIFS('QA Log'!D:D,A5,'QA Log'!M:M,"QQC",'QA Log'!L:L,"2. Hygiene and Sterilization",'QA Log'!Z:Z,"Approved"),"")</f>
        <v>0</v>
      </c>
      <c r="AA5" s="105">
        <f ca="1">IF(A5&lt;&gt;"",COUNTIFS('QA Log'!D:D,A5,'QA Log'!M:M,"QQC",'QA Log'!L:L,"4. Family Planning",'QA Log'!Z:Z,"Approved"),"")</f>
        <v>0</v>
      </c>
      <c r="AB5" s="102">
        <f ca="1">IF(A5="","",
SUM(
COUNTIFS('QA Log'!D:D,A5,'QA Log'!M:M,"QQC",'QA Log'!Z:Z,"Rejected",'QA Log'!L:L,"*8. Maternity*"),
COUNTIFS('QA Log'!D:D,A5,'QA Log'!M:M,"QQC",'QA Log'!Z:Z,"Rejected",'QA Log'!L:L,"*9. EPI and Pre-school Consultation*"),
COUNTIFS('QA Log'!D:D,A5,'QA Log'!M:M,"QQC",'QA Log'!Z:Z,"Rejected",'QA Log'!L:L,"*10. Antenatal Care (ANC)*"),
COUNTIFS('QA Log'!D:D,A5,'QA Log'!M:M,"QQC",'QA Log'!Z:Z,"Rejected",'QA Log'!L:L,"*2. Hygiene and Sterilization*"),
COUNTIFS('QA Log'!D:D,A5,'QA Log'!M:M,"QQC",'QA Log'!Z:Z,"Rejected",'QA Log'!L:L,"*4. Family Planning*")
))</f>
        <v>0</v>
      </c>
      <c r="AC5" s="102" t="e">
        <f t="shared" ca="1" si="3"/>
        <v>#NAME?</v>
      </c>
      <c r="AD5" s="103" t="e">
        <f t="shared" ca="1" si="4"/>
        <v>#NAME?</v>
      </c>
      <c r="AE5" s="102">
        <f ca="1">IF(A5="","",
SUM(
COUNTIFS('QA Log'!D:D,A5,'QA Log'!M:M,"Data Verification",'QA Log'!L:L,"*Medicine (section 2)*"),
COUNTIFS('QA Log'!D:D,A5,'QA Log'!M:M,"Data Verification",'QA Log'!L:L,"*Lab Testing Availability*"),
COUNTIFS('QA Log'!D:D,A5,'QA Log'!M:M,"Data Verification",'QA Log'!L:L,"*Other than P4P (section 6)*"),
COUNTIFS('QA Log'!D:D,A5,'QA Log'!M:M,"Data Verification",'QA Log'!L:L,"*Hospital Governance*")
))</f>
        <v>2</v>
      </c>
      <c r="AF5" s="102">
        <f ca="1">IF(A5="","",
SUM(
COUNTIFS('QA Log'!D:D,A5,'QA Log'!M:M,"Data Verification",'QA Log'!Z:Z,"Approved",'QA Log'!L:L,"*Medicine (section 2)*"),
COUNTIFS('QA Log'!D:D,A5,'QA Log'!M:M,"Data Verification",'QA Log'!Z:Z,"Approved",'QA Log'!L:L,"*Lab Testing Availability*"),
COUNTIFS('QA Log'!D:D,A5,'QA Log'!M:M,"Data Verification",'QA Log'!Z:Z,"Approved",'QA Log'!L:L,"*Other than P4P (section 6)*"),
COUNTIFS('QA Log'!D:D,A5,'QA Log'!M:M,"Data Verification",'QA Log'!Z:Z,"Approved",'QA Log'!L:L,"*Hospital Governance*")
))</f>
        <v>2</v>
      </c>
      <c r="AG5" s="105">
        <f ca="1">IF(A5&lt;&gt;"",COUNTIFS('QA Log'!D:D,A5,'QA Log'!M:M,"Data Verification",'QA Log'!L:L,"Medicine (section 2)",'QA Log'!Z:Z,"Approved"),"")</f>
        <v>1</v>
      </c>
      <c r="AH5" s="105">
        <f ca="1">IF(A5&lt;&gt;"",COUNTIFS('QA Log'!D:D,A5,'QA Log'!M:M,"Data Verification",'QA Log'!L:L,"Lab Testing Availability",'QA Log'!Z:Z,"Approved"),"")</f>
        <v>0</v>
      </c>
      <c r="AI5" s="105">
        <f ca="1">IF(A5&lt;&gt;"",COUNTIFS('QA Log'!D:D,A5,'QA Log'!M:M,"Data Verification",'QA Log'!L:L,"Other than P4P (section 6)",'QA Log'!Z:Z,"Approved"),"")</f>
        <v>1</v>
      </c>
      <c r="AJ5" s="105">
        <f ca="1">IF(A5&lt;&gt;"",COUNTIFS('QA Log'!D:D,A5,'QA Log'!M:M,"Data Verification",'QA Log'!L:L,"Hospital Governance",'QA Log'!Z:Z,"Approved"),"")</f>
        <v>0</v>
      </c>
      <c r="AK5" s="102">
        <f ca="1">IF(A5="","",
SUM(
COUNTIFS('QA Log'!D:D,A5,'QA Log'!M:M,"Data Verification",'QA Log'!Z:Z,"Rejected",'QA Log'!L:L,"*Medicine (section 2)*"),
COUNTIFS('QA Log'!D:D,A5,'QA Log'!M:M,"Data Verification",'QA Log'!Z:Z,"Rejected",'QA Log'!L:L,"*Lab Testing Availability*"),
COUNTIFS('QA Log'!D:D,A5,'QA Log'!M:M,"Data Verification",'QA Log'!Z:Z,"Rejected",'QA Log'!L:L,"*Other than P4P (section 6)*"),
COUNTIFS('QA Log'!D:D,A5,'QA Log'!M:M,"Data Verification",'QA Log'!Z:Z,"Rejected",'QA Log'!L:L,"*Hospital Governance*")
))</f>
        <v>0</v>
      </c>
      <c r="AL5" s="106" t="e">
        <f t="shared" ca="1" si="5"/>
        <v>#NAME?</v>
      </c>
      <c r="AM5" s="102" t="e">
        <f t="shared" ca="1" si="6"/>
        <v>#NAME?</v>
      </c>
      <c r="AN5" s="102">
        <f ca="1">IF(A5="","",
SUM(
COUNTIFS('QA Log'!D:D,A5,'QA Log'!M:M,"Data Verification",'QA Log'!L:L,"*Personnel (section 1)*"),
COUNTIFS('QA Log'!D:D,A5,'QA Log'!M:M,"Data Verification",'QA Log'!L:L,"*Consumable (section 3)*"),
COUNTIFS('QA Log'!D:D,A5,'QA Log'!M:M,"Data Verification",'QA Log'!L:L,"*Equipments (section 4)*")
))</f>
        <v>3</v>
      </c>
      <c r="AO5" s="102">
        <f ca="1">IF(A5="","",
SUM(
COUNTIFS('QA Log'!D:D,A5,'QA Log'!M:M,"Data Verification",'QA Log'!Z:Z,"Approved",'QA Log'!L:L,"*Personnel (section 1)*"),
COUNTIFS('QA Log'!D:D,A5,'QA Log'!M:M,"Data Verification",'QA Log'!Z:Z,"Approved",'QA Log'!L:L,"*Consumable (section 3)*"),
COUNTIFS('QA Log'!D:D,A5,'QA Log'!M:M,"Data Verification",'QA Log'!Z:Z,"Approved",'QA Log'!L:L,"*Equipments (section 4)*")
))</f>
        <v>3</v>
      </c>
      <c r="AP5" s="105">
        <f ca="1">IF(A5&lt;&gt;"",COUNTIFS('QA Log'!D:D,A5,'QA Log'!M:M,"Data Verification",'QA Log'!L:L,"Personnel (section 1)",'QA Log'!Z:Z,"Approved"),"")</f>
        <v>1</v>
      </c>
      <c r="AQ5" s="105">
        <f ca="1">IF(A5&lt;&gt;"",COUNTIFS('QA Log'!D:D,A5,'QA Log'!M:M,"Data Verification",'QA Log'!L:L,"Consumable (section 3)",'QA Log'!Z:Z,"Approved"),"")</f>
        <v>1</v>
      </c>
      <c r="AR5" s="105">
        <f ca="1">IF(A5&lt;&gt;"",COUNTIFS('QA Log'!D:D,A5,'QA Log'!M:M,"Data Verification",'QA Log'!L:L,"Equipments (section 4)",'QA Log'!Z:Z,"Approved"),"")</f>
        <v>1</v>
      </c>
      <c r="AS5" s="102">
        <f ca="1">IF(A5="","",
SUM(
COUNTIFS('QA Log'!D:D,A5,'QA Log'!M:M,"Data Verification",'QA Log'!Z:Z,"Rejected",'QA Log'!L:L,"*Personnel (section 1)*"),
COUNTIFS('QA Log'!D:D,A5,'QA Log'!M:M,"Data Verification",'QA Log'!Z:Z,"Rejected",'QA Log'!L:L,"*Consumable (section 3)*"),
COUNTIFS('QA Log'!D:D,A5,'QA Log'!M:M,"Data Verification",'QA Log'!Z:Z,"Rejected",'QA Log'!L:L,"*Equipments (section 4)*")
))</f>
        <v>0</v>
      </c>
      <c r="AT5" s="102" t="e">
        <f t="shared" ca="1" si="7"/>
        <v>#NAME?</v>
      </c>
      <c r="AU5" s="103">
        <f t="shared" ca="1" si="8"/>
        <v>2</v>
      </c>
      <c r="AV5" s="102">
        <f ca="1">IF(A5="","",SUM(
COUNTIFS('QA Log'!D:D,A5,'QA Log'!M:M,"Vignette",'QA Log'!L:L,"*Vignette [1] Respiratory Infection: Pneumonia*"),
COUNTIFS('QA Log'!D:D,A5,'QA Log'!M:M,"Vignette",'QA Log'!L:L,"*Vignette [2]: Diarrhea with Cat B dehydration*"),
COUNTIFS('QA Log'!D:D,A5,'QA Log'!M:M,"Vignette",'QA Log'!L:L,"*Vignette [3] Growth Monitoring and Promotion*"),
COUNTIFS('QA Log'!D:D,A5,'QA Log'!M:M,"Vignette",'QA Log'!L:L,"*Vignette [4]: The management of presumptive TB patient*")
)
)</f>
        <v>3</v>
      </c>
      <c r="AW5" s="102">
        <f ca="1">IF(
  A5="","",
  SUM(
    COUNTIFS('QA Log'!D:D,A5,'QA Log'!M:M,"Vignette",'QA Log'!Z:Z,"Approved",'QA Log'!L:L,"*Vignette [1] Respiratory Infection: Pneumonia*"),
    COUNTIFS('QA Log'!D:D,A5,'QA Log'!M:M,"Vignette",'QA Log'!Z:Z,"Approved",'QA Log'!L:L,"*Vignette [2]: Diarrhea with Cat B dehydration*"),
    COUNTIFS('QA Log'!D:D,A5,'QA Log'!M:M,"Vignette",'QA Log'!Z:Z,"Approved",'QA Log'!L:L,"*Vignette [3] Growth Monitoring and Promotion*"),
    COUNTIFS('QA Log'!D:D,A5,'QA Log'!M:M,"Vignette",'QA Log'!Z:Z,"Approved",'QA Log'!L:L,"*Vignette [4]: The management of presumptive TB patient*")
  )
)</f>
        <v>3</v>
      </c>
      <c r="AX5" s="105">
        <f ca="1">IF(A5&lt;&gt;"",COUNTIFS('QA Log'!D:D,A5,'QA Log'!M:M,"Vignette",'QA Log'!L:L,"Vignette [1] Respiratory Infection: Pneumonia",'QA Log'!Z:Z,"Approved"),"")</f>
        <v>1</v>
      </c>
      <c r="AY5" s="105">
        <f ca="1">IF(A5&lt;&gt;"",COUNTIFS('QA Log'!D:D,A5,'QA Log'!M:M,"Vignette",'QA Log'!L:L,"Vignette [2]: Diarrhea with Cat B dehydration",'QA Log'!Z:Z,"Approved"),"")</f>
        <v>0</v>
      </c>
      <c r="AZ5" s="105">
        <f ca="1">IF(A5&lt;&gt;"",COUNTIFS('QA Log'!D:D,A5,'QA Log'!M:M,"Vignette",'QA Log'!L:L,"Vignette [3] Growth Monitoring and Promotion",'QA Log'!Z:Z,"Approved"),"")</f>
        <v>1</v>
      </c>
      <c r="BA5" s="105">
        <f ca="1">IF(A5&lt;&gt;"",COUNTIFS('QA Log'!D:D,A5,'QA Log'!M:M,"Vignette",'QA Log'!L:L,"Vignette [4]: The management of presumptive TB patient",'QA Log'!Z:Z,"Approved"),"")</f>
        <v>1</v>
      </c>
      <c r="BB5" s="102">
        <f ca="1">IF(A5="","",
  SUM(
    COUNTIFS('QA Log'!D:D,A5,'QA Log'!M:M,"Vignette",'QA Log'!Z:Z,"Rejected",'QA Log'!L:L,"*Vignette [1] Respiratory Infection: Pneumonia*"),
    COUNTIFS('QA Log'!D:D,A5,'QA Log'!M:M,"Vignette",'QA Log'!Z:Z,"Rejected",'QA Log'!L:L,"*Vignette [2]: Diarrhea with Cat B dehydration*"),
    COUNTIFS('QA Log'!D:D,A5,'QA Log'!M:M,"Vignette",'QA Log'!Z:Z,"Rejected",'QA Log'!L:L,"*Vignette [3] Growth Monitoring and Promotion*"),
    COUNTIFS('QA Log'!D:D,A5,'QA Log'!M:M,"Vignette",'QA Log'!Z:Z,"Rejected",'QA Log'!L:L,"*Vignette [4]: The management of presumptive TB patient*")
  )
)</f>
        <v>0</v>
      </c>
      <c r="BC5" s="107">
        <f t="shared" ca="1" si="9"/>
        <v>-1</v>
      </c>
      <c r="BD5" s="103">
        <f t="shared" ca="1" si="10"/>
        <v>2</v>
      </c>
      <c r="BE5" s="102">
        <f ca="1">IF(A5="","",SUM(
COUNTIFS('QA Log'!D:D,A5,'QA Log'!M:M,"Vignette",'QA Log'!L:L,"*Vignette [5] Labor*"),
COUNTIFS('QA Log'!D:D,A5,'QA Log'!M:M,"Vignette",'QA Log'!L:L,"*Vignette [6] PNC pre Discharge*"),
COUNTIFS('QA Log'!D:D,A5,'QA Log'!M:M,"Vignette",'QA Log'!L:L,"*Vignette [7] First ANC Visit*"),
COUNTIFS('QA Log'!D:D,A5,'QA Log'!M:M,"Vignette",'QA Log'!L:L,"*Vignette [8] Birth Spacing/ Family Planning :  FP Counselling*"),
COUNTIFS('QA Log'!D:D,A5,'QA Log'!M:M,"Vignette",'QA Log'!L:L,"*Vignette [9] Birth Spacing: Change FP method to Injectable*"),
COUNTIFS('QA Log'!D:D,A5,'QA Log'!M:M,"Vignette",'QA Log'!L:L,"*Vignette [10] Post Partum Haemorrhage - Atonic Uterus at Health Centre*"),
)
)</f>
        <v>2</v>
      </c>
      <c r="BF5" s="102">
        <f ca="1">IF(A5="","",
  SUM(
    COUNTIFS('QA Log'!D:D,A5,'QA Log'!M:M,"Vignette",'QA Log'!Z:Z,"Approved",'QA Log'!L:L,"*Vignette [5] Labor*"),
    COUNTIFS('QA Log'!D:D,A5,'QA Log'!M:M,"Vignette",'QA Log'!Z:Z,"Approved",'QA Log'!L:L,"*Vignette [6] PNC pre Discharge*"),
    COUNTIFS('QA Log'!D:D,A5,'QA Log'!M:M,"Vignette",'QA Log'!Z:Z,"Approved",'QA Log'!L:L,"*Vignette [7] First ANC Visit*"),
    COUNTIFS('QA Log'!D:D,A5,'QA Log'!M:M,"Vignette",'QA Log'!Z:Z,"Approved",'QA Log'!L:L,"*Vignette [8] Birth Spacing/ Family Planning :  FP Counselling*"),
    COUNTIFS('QA Log'!D:D,A5,'QA Log'!M:M,"Vignette",'QA Log'!Z:Z,"Approved",'QA Log'!L:L,"*Vignette [9] Birth Spacing: Change FP method to Injectable*"),
    COUNTIFS('QA Log'!D:D,A5,'QA Log'!M:M,"Vignette",'QA Log'!Z:Z,"Approved",'QA Log'!L:L,"*Vignette [10] Post Partum Haemorrhage - Atonic Uterus at Health Centre*")
  )
)</f>
        <v>0</v>
      </c>
      <c r="BG5" s="105">
        <f ca="1">IF(A5&lt;&gt;"",COUNTIFS('QA Log'!D:D,A5,'QA Log'!M:M,"Vignette",'QA Log'!L:L,"Vignette [5] Labor",'QA Log'!Z:Z,"Approved"),"")</f>
        <v>0</v>
      </c>
      <c r="BH5" s="105">
        <f ca="1">IF(A5&lt;&gt;"",COUNTIFS('QA Log'!D:D,A5,'QA Log'!M:M,"Vignette",'QA Log'!L:L,"Vignette [6] PNC pre Discharge",'QA Log'!Z:Z,"Approved"),"")</f>
        <v>0</v>
      </c>
      <c r="BI5" s="105">
        <f ca="1">IF(A5&lt;&gt;"",COUNTIFS('QA Log'!D:D,A5,'QA Log'!M:M,"Vignette",'QA Log'!L:L,"Vignette [7] First ANC Visit",'QA Log'!Z:Z,"Approved"),"")</f>
        <v>0</v>
      </c>
      <c r="BJ5" s="105">
        <f ca="1">IF(A5&lt;&gt;"",COUNTIFS('QA Log'!D:D,A5,'QA Log'!M:M,"Vignette",'QA Log'!L:L,"Vignette [8] Birth Spacing/ Family Planning :  FP Counselling",'QA Log'!Z:Z,"Approved"),"")</f>
        <v>0</v>
      </c>
      <c r="BK5" s="105">
        <f ca="1">IF(A5&lt;&gt;"",COUNTIFS('QA Log'!D:D,A5,'QA Log'!M:M,"Vignette",'QA Log'!L:L,"Vignette [9] Birth Spacing: Change FP method to Injectable",'QA Log'!Z:Z,"Approved"),"")</f>
        <v>0</v>
      </c>
      <c r="BL5" s="105">
        <f ca="1">IF(A5&lt;&gt;"",COUNTIFS('QA Log'!D:D,A5,'QA Log'!M:M,"Vignette",'QA Log'!L:L,"Vignette [10] Post Partum Haemorrhage - Atonic Uterus at Health Centre",'QA Log'!Z:Z,"Approved"),"")</f>
        <v>0</v>
      </c>
      <c r="BM5" s="102">
        <f ca="1">IF(A5="","",SUM(
    COUNTIFS('QA Log'!D:D,A5,'QA Log'!M:M,"Vignette",'QA Log'!Z:Z,"Rejected",'QA Log'!L:L,"*Vignette [5] Labor*"),
    COUNTIFS('QA Log'!D:D,A5,'QA Log'!M:M,"Vignette",'QA Log'!Z:Z,"Rejected",'QA Log'!L:L,"*Vignette [6] PNC pre Discharge*"),
    COUNTIFS('QA Log'!D:D,A5,'QA Log'!M:M,"Vignette",'QA Log'!Z:Z,"Rejected",'QA Log'!L:L,"*Vignette [7] First ANC Visit*"),
    COUNTIFS('QA Log'!D:D,A5,'QA Log'!M:M,"Vignette",'QA Log'!Z:Z,"Rejected",'QA Log'!L:L,"*Vignette [8] Birth Spacing/ Family Planning :  FP Counselling*"),
    COUNTIFS('QA Log'!D:D,A5,'QA Log'!M:M,"Vignette",'QA Log'!Z:Z,"Rejected",'QA Log'!L:L,"*Vignette [9] Birth Spacing: Change FP method to Injectable*"),
    COUNTIFS('QA Log'!D:D,A5,'QA Log'!M:M,"Vignette",'QA Log'!Z:Z,"Rejected",'QA Log'!L:L,"*Vignette [10] Post Partum Haemorrhage - Atonic Uterus at Health Centre*")
  )
)</f>
        <v>1</v>
      </c>
      <c r="BN5" s="107">
        <f t="shared" ca="1" si="11"/>
        <v>2</v>
      </c>
      <c r="BO5" s="103">
        <f t="shared" ca="1" si="12"/>
        <v>2</v>
      </c>
      <c r="BP5" s="102">
        <f ca="1">IF(A5="","",SUM(
COUNTIFS('QA Log'!D:D,A5,'QA Log'!M:M,"Vignette",'QA Log'!L:L,"*Exit Interview 1*"),
COUNTIFS('QA Log'!D:D,A5,'QA Log'!M:M,"Vignette",'QA Log'!L:L,"*Exit Interview 2*"),
)
)</f>
        <v>1</v>
      </c>
      <c r="BQ5" s="102">
        <f ca="1">IF(
  A5="","",
  SUM(
    COUNTIFS('QA Log'!D:D,A5,'QA Log'!M:M,"Vignette",'QA Log'!Z:Z,"Approved",'QA Log'!L:L,"*Exit Interview 1*"),
    COUNTIFS('QA Log'!D:D,A5,'QA Log'!M:M,"Vignette",'QA Log'!Z:Z,"Approved",'QA Log'!L:L,"*Exit Interview 2*")
  )
)</f>
        <v>1</v>
      </c>
      <c r="BR5" s="105">
        <f ca="1">IF(A5&lt;&gt;"",COUNTIFS('QA Log'!D:D,A5,'QA Log'!M:M,"Vignette",'QA Log'!L:L,"Exit Interview 1",'QA Log'!Z:Z,"Approved"),"")</f>
        <v>1</v>
      </c>
      <c r="BS5" s="105">
        <f ca="1">IF(A5&lt;&gt;"",COUNTIFS('QA Log'!D:D,A5,'QA Log'!M:M,"Vignette",'QA Log'!L:L,"Exit Interview 2",'QA Log'!Z:Z,"Approved"),"")</f>
        <v>0</v>
      </c>
      <c r="BT5" s="102">
        <f ca="1">IF(
  A5="","",
  SUM(
    COUNTIFS('QA Log'!D:D,A5,'QA Log'!M:M,"Vignette",'QA Log'!Z:Z,"Rejected",'QA Log'!L:L,"*Exit Interview 1*"),
    COUNTIFS('QA Log'!D:D,A5,'QA Log'!M:M,"Vignette",'QA Log'!Z:Z,"Rejected",'QA Log'!L:L,"*Exit Interview 2*")
  )
)</f>
        <v>0</v>
      </c>
      <c r="BU5" s="107">
        <f t="shared" ca="1" si="13"/>
        <v>1</v>
      </c>
      <c r="BV5" s="102" t="e">
        <f t="shared" ca="1" si="14"/>
        <v>#NAME?</v>
      </c>
      <c r="BW5" s="102">
        <f t="shared" ca="1" si="15"/>
        <v>11</v>
      </c>
      <c r="BX5" s="102">
        <f t="shared" ca="1" si="16"/>
        <v>9</v>
      </c>
      <c r="BY5" s="102">
        <f t="shared" ca="1" si="17"/>
        <v>1</v>
      </c>
      <c r="BZ5" s="107" t="e">
        <f t="shared" ca="1" si="18"/>
        <v>#NAME?</v>
      </c>
      <c r="CA5" s="108" t="e">
        <f t="shared" ca="1" si="19"/>
        <v>#NAME?</v>
      </c>
      <c r="CB5" s="108" t="e">
        <f t="shared" ca="1" si="20"/>
        <v>#NAME?</v>
      </c>
      <c r="CC5" s="109" t="str">
        <f t="shared" ca="1" si="21"/>
        <v>Not Received</v>
      </c>
      <c r="CD5" s="108" t="e">
        <f t="shared" ca="1" si="22"/>
        <v>#NAME?</v>
      </c>
      <c r="CE5" s="108" t="e">
        <f t="shared" ca="1" si="23"/>
        <v>#NAME?</v>
      </c>
      <c r="CF5" s="109" t="str">
        <f t="shared" ca="1" si="24"/>
        <v>Not Received</v>
      </c>
      <c r="CG5" s="110" t="e">
        <f t="shared" ca="1" si="25"/>
        <v>#NAME?</v>
      </c>
      <c r="CH5" s="111"/>
    </row>
    <row r="6" spans="1:86" ht="12.75">
      <c r="A6" s="101" t="str">
        <f ca="1">IFERROR(__xludf.DUMMYFUNCTION("""COMPUTED_VALUE"""),"HER-LGM-HF2638-Q2-2025-1155-01")</f>
        <v>HER-LGM-HF2638-Q2-2025-1155-01</v>
      </c>
      <c r="B6" s="102" t="e">
        <f t="array" aca="1" ref="B6" ca="1">_xludf.XLOOKUP(A6,'QA Log'!D:D,'QA Log'!E:E,"")</f>
        <v>#NAME?</v>
      </c>
      <c r="C6" s="102" t="e">
        <f t="array" aca="1" ref="C6" ca="1">_xludf.XLOOKUP(A6,'QA Log'!D:D,'QA Log'!F:F,"")</f>
        <v>#NAME?</v>
      </c>
      <c r="D6" s="102" t="e">
        <f t="array" aca="1" ref="D6" ca="1">_xludf.XLOOKUP(A6,'QA Log'!D:D,'QA Log'!H:H,"")</f>
        <v>#NAME?</v>
      </c>
      <c r="E6" s="102" t="e">
        <f t="array" aca="1" ref="E6" ca="1">_xludf.XLOOKUP(A6,'QA Log'!D:D,'QA Log'!G:G,"")</f>
        <v>#NAME?</v>
      </c>
      <c r="F6" s="103" t="s">
        <v>91</v>
      </c>
      <c r="G6" s="104">
        <v>45960</v>
      </c>
      <c r="H6" s="104">
        <v>45961</v>
      </c>
      <c r="I6" s="103" t="e">
        <f t="shared" ca="1" si="0"/>
        <v>#NAME?</v>
      </c>
      <c r="J6" s="102">
        <f ca="1">IF(A6="","",SUM(
COUNTIFS('QA Log'!D:D,A6,'QA Log'!M:M,"QQC",'QA Log'!L:L,"*1. General Management*"),
COUNTIFS('QA Log'!D:D,A6,'QA Log'!M:M,"QQC",'QA Log'!L:L,"*3. Curative Consultation (OPD)*"),
COUNTIFS('QA Log'!D:D,A6,'QA Log'!M:M,"QQC",'QA Log'!L:L,"*5. Laboratory*"),
COUNTIFS('QA Log'!D:D,A6,'QA Log'!M:M,"QQC",'QA Log'!L:L,"*6. Essential Medicine Management*"),
COUNTIFS('QA Log'!D:D,A6,'QA Log'!M:M,"QQC",'QA Log'!L:L,"*7. Tracer Medicine*"),
COUNTIFS('QA Log'!D:D,A6,'QA Log'!M:M,"QQC",'QA Log'!L:L,"*11. Additional Questions*")))</f>
        <v>0</v>
      </c>
      <c r="K6" s="102">
        <f ca="1">IF(A6="","",SUM(
COUNTIFS('QA Log'!D:D,A6,'QA Log'!M:M,"QQC",'QA Log'!Z:Z,"Approved",'QA Log'!L:L,"*1. General Management*"),
COUNTIFS('QA Log'!D:D,A6,'QA Log'!M:M,"QQC",'QA Log'!Z:Z,"Approved",'QA Log'!L:L,"*3. Curative Consultation (OPD)*"),
COUNTIFS('QA Log'!D:D,A6,'QA Log'!M:M,"QQC",'QA Log'!Z:Z,"Approved",'QA Log'!L:L,"*5. Laboratory*"),
COUNTIFS('QA Log'!D:D,A6,'QA Log'!M:M,"QQC",'QA Log'!Z:Z,"Approved",'QA Log'!L:L,"*6. Essential Medicine Management*"),
COUNTIFS('QA Log'!D:D,A6,'QA Log'!M:M,"QQC",'QA Log'!Z:Z,"Approved",'QA Log'!L:L,"*7. Tracer Medicine*"),
COUNTIFS('QA Log'!D:D,A6,'QA Log'!M:M,"QQC",'QA Log'!Z:Z,"Approved",'QA Log'!L:L,"*11. Additional Questions*")))</f>
        <v>0</v>
      </c>
      <c r="L6" s="105">
        <f ca="1">IF(A6&lt;&gt;"",COUNTIFS('QA Log'!D:D,A6,'QA Log'!M:M,"QQC",'QA Log'!L:L,"1. General Management",'QA Log'!Z:Z,"Approved"),"")</f>
        <v>0</v>
      </c>
      <c r="M6" s="105">
        <f ca="1">IF(A6&lt;&gt;"",COUNTIFS('QA Log'!D:D,A6,'QA Log'!M:M,"QQC",'QA Log'!L:L,"3. Curative Consultation (OPD)",'QA Log'!Z:Z,"Approved"),"")</f>
        <v>0</v>
      </c>
      <c r="N6" s="105">
        <f ca="1">IF(A6&lt;&gt;"",COUNTIFS('QA Log'!D:D,A6,'QA Log'!M:M,"QQC",'QA Log'!L:L,"5. Laboratory",'QA Log'!Z:Z,"Approved"),"")</f>
        <v>0</v>
      </c>
      <c r="O6" s="105">
        <f ca="1">IF(A6&lt;&gt;"",COUNTIFS('QA Log'!D:D,A6,'QA Log'!M:M,"QQC",'QA Log'!L:L,"6. Essential Medicine Management",'QA Log'!Z:Z,"Approved"),"")</f>
        <v>0</v>
      </c>
      <c r="P6" s="105">
        <f ca="1">IF(A6&lt;&gt;"",COUNTIFS('QA Log'!D:D,A6,'QA Log'!M:M,"QQC",'QA Log'!L:L,"7. Tracer Medicine",'QA Log'!Z:Z,"Approved"),"")</f>
        <v>0</v>
      </c>
      <c r="Q6" s="105">
        <f ca="1">IF(A6&lt;&gt;"",COUNTIFS('QA Log'!D:D,A6,'QA Log'!M:M,"QQC",'QA Log'!L:L,"11. Additional Questions",'QA Log'!Z:Z,"Approved"),"")</f>
        <v>0</v>
      </c>
      <c r="R6" s="102">
        <f ca="1">IF(A6="","",SUM(
COUNTIFS('QA Log'!D:D,A6,'QA Log'!M:M,"QQC",'QA Log'!Z:Z,"Rejected",'QA Log'!L:L,"*8. Maternity*"),
COUNTIFS('QA Log'!D:D,A6,'QA Log'!M:M,"QQC",'QA Log'!Z:Z,"Rejected",'QA Log'!L:L,"*EPI*"),
COUNTIFS('QA Log'!D:D,A6,'QA Log'!M:M,"QQC",'QA Log'!Z:Z,"Rejected",'QA Log'!L:L,"*10. Antenatal Care (ANC)*"),
COUNTIFS('QA Log'!D:D,A6,'QA Log'!M:M,"QQC",'QA Log'!Z:Z,"Rejected",'QA Log'!L:L,"*2. Hygiene and Sterilization*"),
COUNTIFS('QA Log'!D:D,A6,'QA Log'!M:M,"QQC",'QA Log'!Z:Z,"Rejected",'QA Log'!L:L,"*Family Planning*")))</f>
        <v>0</v>
      </c>
      <c r="S6" s="106" t="e">
        <f t="shared" ca="1" si="1"/>
        <v>#NAME?</v>
      </c>
      <c r="T6" s="102" t="e">
        <f t="shared" ca="1" si="2"/>
        <v>#NAME?</v>
      </c>
      <c r="U6" s="102">
        <f ca="1">IF(A6="","",
SUM(
COUNTIFS('QA Log'!D:D,A6,'QA Log'!M:M,"QQC",'QA Log'!L:L,"*8. Maternity*"),
COUNTIFS('QA Log'!D:D,A6,'QA Log'!M:M,"QQC",'QA Log'!L:L,"*9. EPI and Pre-school Consultation*"),
COUNTIFS('QA Log'!D:D,A6,'QA Log'!M:M,"QQC",'QA Log'!L:L,"*10. Antenatal Care (ANC)*"),
COUNTIFS('QA Log'!D:D,A6,'QA Log'!M:M,"QQC",'QA Log'!L:L,"*2. Hygiene and Sterilization*"),
COUNTIFS('QA Log'!D:D,A6,'QA Log'!M:M,"QQC",'QA Log'!L:L,"*4. Family Planning*")
))</f>
        <v>0</v>
      </c>
      <c r="V6" s="102">
        <f ca="1">IF(A6="","",
SUM(
COUNTIFS('QA Log'!D:D,A6,'QA Log'!M:M,"QQC",'QA Log'!Z:Z,"Approved",'QA Log'!L:L,"*8. Maternity*"),
COUNTIFS('QA Log'!D:D,A6,'QA Log'!M:M,"QQC",'QA Log'!Z:Z,"Approved",'QA Log'!L:L,"*9. EPI and Pre-school Consultation*"),
COUNTIFS('QA Log'!D:D,A6,'QA Log'!M:M,"QQC",'QA Log'!Z:Z,"Approved",'QA Log'!L:L,"*10. Antenatal Care (ANC)*"),
COUNTIFS('QA Log'!D:D,A6,'QA Log'!M:M,"QQC",'QA Log'!Z:Z,"Approved",'QA Log'!L:L,"*2. Hygiene and Sterilization*"),
COUNTIFS('QA Log'!D:D,A6,'QA Log'!M:M,"QQC",'QA Log'!Z:Z,"Approved",'QA Log'!L:L,"*4. Family Planning*")
))</f>
        <v>0</v>
      </c>
      <c r="W6" s="105">
        <f ca="1">IF(A6&lt;&gt;"",COUNTIFS('QA Log'!D:D,A6,'QA Log'!M:M,"QQC",'QA Log'!L:L,"8. Maternity",'QA Log'!Z:Z,"Approved"),"")</f>
        <v>0</v>
      </c>
      <c r="X6" s="105">
        <f ca="1">IF(A6&lt;&gt;"",COUNTIFS('QA Log'!D:D,A6,'QA Log'!M:M,"QQC",'QA Log'!L:L,"9. EPI and Pre-school Consultation",'QA Log'!Z:Z,"Approved"),"")</f>
        <v>0</v>
      </c>
      <c r="Y6" s="105">
        <f ca="1">IF(A6&lt;&gt;"",COUNTIFS('QA Log'!D:D,A6,'QA Log'!M:M,"QQC",'QA Log'!L:L,"10. Antenatal Care (ANC)",'QA Log'!Z:Z,"Approved"),"")</f>
        <v>0</v>
      </c>
      <c r="Z6" s="105">
        <f ca="1">IF(A6&lt;&gt;"",COUNTIFS('QA Log'!D:D,A6,'QA Log'!M:M,"QQC",'QA Log'!L:L,"2. Hygiene and Sterilization",'QA Log'!Z:Z,"Approved"),"")</f>
        <v>0</v>
      </c>
      <c r="AA6" s="105">
        <f ca="1">IF(A6&lt;&gt;"",COUNTIFS('QA Log'!D:D,A6,'QA Log'!M:M,"QQC",'QA Log'!L:L,"4. Family Planning",'QA Log'!Z:Z,"Approved"),"")</f>
        <v>0</v>
      </c>
      <c r="AB6" s="102">
        <f ca="1">IF(A6="","",
SUM(
COUNTIFS('QA Log'!D:D,A6,'QA Log'!M:M,"QQC",'QA Log'!Z:Z,"Rejected",'QA Log'!L:L,"*8. Maternity*"),
COUNTIFS('QA Log'!D:D,A6,'QA Log'!M:M,"QQC",'QA Log'!Z:Z,"Rejected",'QA Log'!L:L,"*9. EPI and Pre-school Consultation*"),
COUNTIFS('QA Log'!D:D,A6,'QA Log'!M:M,"QQC",'QA Log'!Z:Z,"Rejected",'QA Log'!L:L,"*10. Antenatal Care (ANC)*"),
COUNTIFS('QA Log'!D:D,A6,'QA Log'!M:M,"QQC",'QA Log'!Z:Z,"Rejected",'QA Log'!L:L,"*2. Hygiene and Sterilization*"),
COUNTIFS('QA Log'!D:D,A6,'QA Log'!M:M,"QQC",'QA Log'!Z:Z,"Rejected",'QA Log'!L:L,"*4. Family Planning*")
))</f>
        <v>0</v>
      </c>
      <c r="AC6" s="102" t="e">
        <f t="shared" ca="1" si="3"/>
        <v>#NAME?</v>
      </c>
      <c r="AD6" s="103" t="e">
        <f t="shared" ca="1" si="4"/>
        <v>#NAME?</v>
      </c>
      <c r="AE6" s="102">
        <f ca="1">IF(A6="","",
SUM(
COUNTIFS('QA Log'!D:D,A6,'QA Log'!M:M,"Data Verification",'QA Log'!L:L,"*Medicine (section 2)*"),
COUNTIFS('QA Log'!D:D,A6,'QA Log'!M:M,"Data Verification",'QA Log'!L:L,"*Lab Testing Availability*"),
COUNTIFS('QA Log'!D:D,A6,'QA Log'!M:M,"Data Verification",'QA Log'!L:L,"*Other than P4P (section 6)*"),
COUNTIFS('QA Log'!D:D,A6,'QA Log'!M:M,"Data Verification",'QA Log'!L:L,"*Hospital Governance*")
))</f>
        <v>2</v>
      </c>
      <c r="AF6" s="102">
        <f ca="1">IF(A6="","",
SUM(
COUNTIFS('QA Log'!D:D,A6,'QA Log'!M:M,"Data Verification",'QA Log'!Z:Z,"Approved",'QA Log'!L:L,"*Medicine (section 2)*"),
COUNTIFS('QA Log'!D:D,A6,'QA Log'!M:M,"Data Verification",'QA Log'!Z:Z,"Approved",'QA Log'!L:L,"*Lab Testing Availability*"),
COUNTIFS('QA Log'!D:D,A6,'QA Log'!M:M,"Data Verification",'QA Log'!Z:Z,"Approved",'QA Log'!L:L,"*Other than P4P (section 6)*"),
COUNTIFS('QA Log'!D:D,A6,'QA Log'!M:M,"Data Verification",'QA Log'!Z:Z,"Approved",'QA Log'!L:L,"*Hospital Governance*")
))</f>
        <v>2</v>
      </c>
      <c r="AG6" s="105">
        <f ca="1">IF(A6&lt;&gt;"",COUNTIFS('QA Log'!D:D,A6,'QA Log'!M:M,"Data Verification",'QA Log'!L:L,"Medicine (section 2)",'QA Log'!Z:Z,"Approved"),"")</f>
        <v>1</v>
      </c>
      <c r="AH6" s="105">
        <f ca="1">IF(A6&lt;&gt;"",COUNTIFS('QA Log'!D:D,A6,'QA Log'!M:M,"Data Verification",'QA Log'!L:L,"Lab Testing Availability",'QA Log'!Z:Z,"Approved"),"")</f>
        <v>0</v>
      </c>
      <c r="AI6" s="105">
        <f ca="1">IF(A6&lt;&gt;"",COUNTIFS('QA Log'!D:D,A6,'QA Log'!M:M,"Data Verification",'QA Log'!L:L,"Other than P4P (section 6)",'QA Log'!Z:Z,"Approved"),"")</f>
        <v>1</v>
      </c>
      <c r="AJ6" s="105">
        <f ca="1">IF(A6&lt;&gt;"",COUNTIFS('QA Log'!D:D,A6,'QA Log'!M:M,"Data Verification",'QA Log'!L:L,"Hospital Governance",'QA Log'!Z:Z,"Approved"),"")</f>
        <v>0</v>
      </c>
      <c r="AK6" s="102">
        <f ca="1">IF(A6="","",
SUM(
COUNTIFS('QA Log'!D:D,A6,'QA Log'!M:M,"Data Verification",'QA Log'!Z:Z,"Rejected",'QA Log'!L:L,"*Medicine (section 2)*"),
COUNTIFS('QA Log'!D:D,A6,'QA Log'!M:M,"Data Verification",'QA Log'!Z:Z,"Rejected",'QA Log'!L:L,"*Lab Testing Availability*"),
COUNTIFS('QA Log'!D:D,A6,'QA Log'!M:M,"Data Verification",'QA Log'!Z:Z,"Rejected",'QA Log'!L:L,"*Other than P4P (section 6)*"),
COUNTIFS('QA Log'!D:D,A6,'QA Log'!M:M,"Data Verification",'QA Log'!Z:Z,"Rejected",'QA Log'!L:L,"*Hospital Governance*")
))</f>
        <v>0</v>
      </c>
      <c r="AL6" s="106" t="e">
        <f t="shared" ca="1" si="5"/>
        <v>#NAME?</v>
      </c>
      <c r="AM6" s="102" t="e">
        <f t="shared" ca="1" si="6"/>
        <v>#NAME?</v>
      </c>
      <c r="AN6" s="102">
        <f ca="1">IF(A6="","",
SUM(
COUNTIFS('QA Log'!D:D,A6,'QA Log'!M:M,"Data Verification",'QA Log'!L:L,"*Personnel (section 1)*"),
COUNTIFS('QA Log'!D:D,A6,'QA Log'!M:M,"Data Verification",'QA Log'!L:L,"*Consumable (section 3)*"),
COUNTIFS('QA Log'!D:D,A6,'QA Log'!M:M,"Data Verification",'QA Log'!L:L,"*Equipments (section 4)*")
))</f>
        <v>3</v>
      </c>
      <c r="AO6" s="102">
        <f ca="1">IF(A6="","",
SUM(
COUNTIFS('QA Log'!D:D,A6,'QA Log'!M:M,"Data Verification",'QA Log'!Z:Z,"Approved",'QA Log'!L:L,"*Personnel (section 1)*"),
COUNTIFS('QA Log'!D:D,A6,'QA Log'!M:M,"Data Verification",'QA Log'!Z:Z,"Approved",'QA Log'!L:L,"*Consumable (section 3)*"),
COUNTIFS('QA Log'!D:D,A6,'QA Log'!M:M,"Data Verification",'QA Log'!Z:Z,"Approved",'QA Log'!L:L,"*Equipments (section 4)*")
))</f>
        <v>3</v>
      </c>
      <c r="AP6" s="105">
        <f ca="1">IF(A6&lt;&gt;"",COUNTIFS('QA Log'!D:D,A6,'QA Log'!M:M,"Data Verification",'QA Log'!L:L,"Personnel (section 1)",'QA Log'!Z:Z,"Approved"),"")</f>
        <v>1</v>
      </c>
      <c r="AQ6" s="105">
        <f ca="1">IF(A6&lt;&gt;"",COUNTIFS('QA Log'!D:D,A6,'QA Log'!M:M,"Data Verification",'QA Log'!L:L,"Consumable (section 3)",'QA Log'!Z:Z,"Approved"),"")</f>
        <v>1</v>
      </c>
      <c r="AR6" s="105">
        <f ca="1">IF(A6&lt;&gt;"",COUNTIFS('QA Log'!D:D,A6,'QA Log'!M:M,"Data Verification",'QA Log'!L:L,"Equipments (section 4)",'QA Log'!Z:Z,"Approved"),"")</f>
        <v>1</v>
      </c>
      <c r="AS6" s="102">
        <f ca="1">IF(A6="","",
SUM(
COUNTIFS('QA Log'!D:D,A6,'QA Log'!M:M,"Data Verification",'QA Log'!Z:Z,"Rejected",'QA Log'!L:L,"*Personnel (section 1)*"),
COUNTIFS('QA Log'!D:D,A6,'QA Log'!M:M,"Data Verification",'QA Log'!Z:Z,"Rejected",'QA Log'!L:L,"*Consumable (section 3)*"),
COUNTIFS('QA Log'!D:D,A6,'QA Log'!M:M,"Data Verification",'QA Log'!Z:Z,"Rejected",'QA Log'!L:L,"*Equipments (section 4)*")
))</f>
        <v>0</v>
      </c>
      <c r="AT6" s="102" t="e">
        <f t="shared" ca="1" si="7"/>
        <v>#NAME?</v>
      </c>
      <c r="AU6" s="103">
        <f t="shared" ca="1" si="8"/>
        <v>2</v>
      </c>
      <c r="AV6" s="102">
        <f ca="1">IF(A6="","",SUM(
COUNTIFS('QA Log'!D:D,A6,'QA Log'!M:M,"Vignette",'QA Log'!L:L,"*Vignette [1] Respiratory Infection: Pneumonia*"),
COUNTIFS('QA Log'!D:D,A6,'QA Log'!M:M,"Vignette",'QA Log'!L:L,"*Vignette [2]: Diarrhea with Cat B dehydration*"),
COUNTIFS('QA Log'!D:D,A6,'QA Log'!M:M,"Vignette",'QA Log'!L:L,"*Vignette [3] Growth Monitoring and Promotion*"),
COUNTIFS('QA Log'!D:D,A6,'QA Log'!M:M,"Vignette",'QA Log'!L:L,"*Vignette [4]: The management of presumptive TB patient*")
)
)</f>
        <v>4</v>
      </c>
      <c r="AW6" s="102">
        <f ca="1">IF(
  A6="","",
  SUM(
    COUNTIFS('QA Log'!D:D,A6,'QA Log'!M:M,"Vignette",'QA Log'!Z:Z,"Approved",'QA Log'!L:L,"*Vignette [1] Respiratory Infection: Pneumonia*"),
    COUNTIFS('QA Log'!D:D,A6,'QA Log'!M:M,"Vignette",'QA Log'!Z:Z,"Approved",'QA Log'!L:L,"*Vignette [2]: Diarrhea with Cat B dehydration*"),
    COUNTIFS('QA Log'!D:D,A6,'QA Log'!M:M,"Vignette",'QA Log'!Z:Z,"Approved",'QA Log'!L:L,"*Vignette [3] Growth Monitoring and Promotion*"),
    COUNTIFS('QA Log'!D:D,A6,'QA Log'!M:M,"Vignette",'QA Log'!Z:Z,"Approved",'QA Log'!L:L,"*Vignette [4]: The management of presumptive TB patient*")
  )
)</f>
        <v>3</v>
      </c>
      <c r="AX6" s="105">
        <f ca="1">IF(A6&lt;&gt;"",COUNTIFS('QA Log'!D:D,A6,'QA Log'!M:M,"Vignette",'QA Log'!L:L,"Vignette [1] Respiratory Infection: Pneumonia",'QA Log'!Z:Z,"Approved"),"")</f>
        <v>1</v>
      </c>
      <c r="AY6" s="105">
        <f ca="1">IF(A6&lt;&gt;"",COUNTIFS('QA Log'!D:D,A6,'QA Log'!M:M,"Vignette",'QA Log'!L:L,"Vignette [2]: Diarrhea with Cat B dehydration",'QA Log'!Z:Z,"Approved"),"")</f>
        <v>1</v>
      </c>
      <c r="AZ6" s="105">
        <f ca="1">IF(A6&lt;&gt;"",COUNTIFS('QA Log'!D:D,A6,'QA Log'!M:M,"Vignette",'QA Log'!L:L,"Vignette [3] Growth Monitoring and Promotion",'QA Log'!Z:Z,"Approved"),"")</f>
        <v>0</v>
      </c>
      <c r="BA6" s="105">
        <f ca="1">IF(A6&lt;&gt;"",COUNTIFS('QA Log'!D:D,A6,'QA Log'!M:M,"Vignette",'QA Log'!L:L,"Vignette [4]: The management of presumptive TB patient",'QA Log'!Z:Z,"Approved"),"")</f>
        <v>1</v>
      </c>
      <c r="BB6" s="102">
        <f ca="1">IF(A6="","",
  SUM(
    COUNTIFS('QA Log'!D:D,A6,'QA Log'!M:M,"Vignette",'QA Log'!Z:Z,"Rejected",'QA Log'!L:L,"*Vignette [1] Respiratory Infection: Pneumonia*"),
    COUNTIFS('QA Log'!D:D,A6,'QA Log'!M:M,"Vignette",'QA Log'!Z:Z,"Rejected",'QA Log'!L:L,"*Vignette [2]: Diarrhea with Cat B dehydration*"),
    COUNTIFS('QA Log'!D:D,A6,'QA Log'!M:M,"Vignette",'QA Log'!Z:Z,"Rejected",'QA Log'!L:L,"*Vignette [3] Growth Monitoring and Promotion*"),
    COUNTIFS('QA Log'!D:D,A6,'QA Log'!M:M,"Vignette",'QA Log'!Z:Z,"Rejected",'QA Log'!L:L,"*Vignette [4]: The management of presumptive TB patient*")
  )
)</f>
        <v>0</v>
      </c>
      <c r="BC6" s="107">
        <f t="shared" ca="1" si="9"/>
        <v>-1</v>
      </c>
      <c r="BD6" s="103">
        <f t="shared" ca="1" si="10"/>
        <v>2</v>
      </c>
      <c r="BE6" s="102">
        <f ca="1">IF(A6="","",SUM(
COUNTIFS('QA Log'!D:D,A6,'QA Log'!M:M,"Vignette",'QA Log'!L:L,"*Vignette [5] Labor*"),
COUNTIFS('QA Log'!D:D,A6,'QA Log'!M:M,"Vignette",'QA Log'!L:L,"*Vignette [6] PNC pre Discharge*"),
COUNTIFS('QA Log'!D:D,A6,'QA Log'!M:M,"Vignette",'QA Log'!L:L,"*Vignette [7] First ANC Visit*"),
COUNTIFS('QA Log'!D:D,A6,'QA Log'!M:M,"Vignette",'QA Log'!L:L,"*Vignette [8] Birth Spacing/ Family Planning :  FP Counselling*"),
COUNTIFS('QA Log'!D:D,A6,'QA Log'!M:M,"Vignette",'QA Log'!L:L,"*Vignette [9] Birth Spacing: Change FP method to Injectable*"),
COUNTIFS('QA Log'!D:D,A6,'QA Log'!M:M,"Vignette",'QA Log'!L:L,"*Vignette [10] Post Partum Haemorrhage - Atonic Uterus at Health Centre*"),
)
)</f>
        <v>2</v>
      </c>
      <c r="BF6" s="102">
        <f ca="1">IF(A6="","",
  SUM(
    COUNTIFS('QA Log'!D:D,A6,'QA Log'!M:M,"Vignette",'QA Log'!Z:Z,"Approved",'QA Log'!L:L,"*Vignette [5] Labor*"),
    COUNTIFS('QA Log'!D:D,A6,'QA Log'!M:M,"Vignette",'QA Log'!Z:Z,"Approved",'QA Log'!L:L,"*Vignette [6] PNC pre Discharge*"),
    COUNTIFS('QA Log'!D:D,A6,'QA Log'!M:M,"Vignette",'QA Log'!Z:Z,"Approved",'QA Log'!L:L,"*Vignette [7] First ANC Visit*"),
    COUNTIFS('QA Log'!D:D,A6,'QA Log'!M:M,"Vignette",'QA Log'!Z:Z,"Approved",'QA Log'!L:L,"*Vignette [8] Birth Spacing/ Family Planning :  FP Counselling*"),
    COUNTIFS('QA Log'!D:D,A6,'QA Log'!M:M,"Vignette",'QA Log'!Z:Z,"Approved",'QA Log'!L:L,"*Vignette [9] Birth Spacing: Change FP method to Injectable*"),
    COUNTIFS('QA Log'!D:D,A6,'QA Log'!M:M,"Vignette",'QA Log'!Z:Z,"Approved",'QA Log'!L:L,"*Vignette [10] Post Partum Haemorrhage - Atonic Uterus at Health Centre*")
  )
)</f>
        <v>0</v>
      </c>
      <c r="BG6" s="105">
        <f ca="1">IF(A6&lt;&gt;"",COUNTIFS('QA Log'!D:D,A6,'QA Log'!M:M,"Vignette",'QA Log'!L:L,"Vignette [5] Labor",'QA Log'!Z:Z,"Approved"),"")</f>
        <v>0</v>
      </c>
      <c r="BH6" s="105">
        <f ca="1">IF(A6&lt;&gt;"",COUNTIFS('QA Log'!D:D,A6,'QA Log'!M:M,"Vignette",'QA Log'!L:L,"Vignette [6] PNC pre Discharge",'QA Log'!Z:Z,"Approved"),"")</f>
        <v>0</v>
      </c>
      <c r="BI6" s="105">
        <f ca="1">IF(A6&lt;&gt;"",COUNTIFS('QA Log'!D:D,A6,'QA Log'!M:M,"Vignette",'QA Log'!L:L,"Vignette [7] First ANC Visit",'QA Log'!Z:Z,"Approved"),"")</f>
        <v>0</v>
      </c>
      <c r="BJ6" s="105">
        <f ca="1">IF(A6&lt;&gt;"",COUNTIFS('QA Log'!D:D,A6,'QA Log'!M:M,"Vignette",'QA Log'!L:L,"Vignette [8] Birth Spacing/ Family Planning :  FP Counselling",'QA Log'!Z:Z,"Approved"),"")</f>
        <v>0</v>
      </c>
      <c r="BK6" s="105">
        <f ca="1">IF(A6&lt;&gt;"",COUNTIFS('QA Log'!D:D,A6,'QA Log'!M:M,"Vignette",'QA Log'!L:L,"Vignette [9] Birth Spacing: Change FP method to Injectable",'QA Log'!Z:Z,"Approved"),"")</f>
        <v>0</v>
      </c>
      <c r="BL6" s="105">
        <f ca="1">IF(A6&lt;&gt;"",COUNTIFS('QA Log'!D:D,A6,'QA Log'!M:M,"Vignette",'QA Log'!L:L,"Vignette [10] Post Partum Haemorrhage - Atonic Uterus at Health Centre",'QA Log'!Z:Z,"Approved"),"")</f>
        <v>0</v>
      </c>
      <c r="BM6" s="102">
        <f ca="1">IF(A6="","",SUM(
    COUNTIFS('QA Log'!D:D,A6,'QA Log'!M:M,"Vignette",'QA Log'!Z:Z,"Rejected",'QA Log'!L:L,"*Vignette [5] Labor*"),
    COUNTIFS('QA Log'!D:D,A6,'QA Log'!M:M,"Vignette",'QA Log'!Z:Z,"Rejected",'QA Log'!L:L,"*Vignette [6] PNC pre Discharge*"),
    COUNTIFS('QA Log'!D:D,A6,'QA Log'!M:M,"Vignette",'QA Log'!Z:Z,"Rejected",'QA Log'!L:L,"*Vignette [7] First ANC Visit*"),
    COUNTIFS('QA Log'!D:D,A6,'QA Log'!M:M,"Vignette",'QA Log'!Z:Z,"Rejected",'QA Log'!L:L,"*Vignette [8] Birth Spacing/ Family Planning :  FP Counselling*"),
    COUNTIFS('QA Log'!D:D,A6,'QA Log'!M:M,"Vignette",'QA Log'!Z:Z,"Rejected",'QA Log'!L:L,"*Vignette [9] Birth Spacing: Change FP method to Injectable*"),
    COUNTIFS('QA Log'!D:D,A6,'QA Log'!M:M,"Vignette",'QA Log'!Z:Z,"Rejected",'QA Log'!L:L,"*Vignette [10] Post Partum Haemorrhage - Atonic Uterus at Health Centre*")
  )
)</f>
        <v>1</v>
      </c>
      <c r="BN6" s="107">
        <f t="shared" ca="1" si="11"/>
        <v>2</v>
      </c>
      <c r="BO6" s="103">
        <f t="shared" ca="1" si="12"/>
        <v>2</v>
      </c>
      <c r="BP6" s="102">
        <f ca="1">IF(A6="","",SUM(
COUNTIFS('QA Log'!D:D,A6,'QA Log'!M:M,"Vignette",'QA Log'!L:L,"*Exit Interview 1*"),
COUNTIFS('QA Log'!D:D,A6,'QA Log'!M:M,"Vignette",'QA Log'!L:L,"*Exit Interview 2*"),
)
)</f>
        <v>2</v>
      </c>
      <c r="BQ6" s="102">
        <f ca="1">IF(
  A6="","",
  SUM(
    COUNTIFS('QA Log'!D:D,A6,'QA Log'!M:M,"Vignette",'QA Log'!Z:Z,"Approved",'QA Log'!L:L,"*Exit Interview 1*"),
    COUNTIFS('QA Log'!D:D,A6,'QA Log'!M:M,"Vignette",'QA Log'!Z:Z,"Approved",'QA Log'!L:L,"*Exit Interview 2*")
  )
)</f>
        <v>2</v>
      </c>
      <c r="BR6" s="105">
        <f ca="1">IF(A6&lt;&gt;"",COUNTIFS('QA Log'!D:D,A6,'QA Log'!M:M,"Vignette",'QA Log'!L:L,"Exit Interview 1",'QA Log'!Z:Z,"Approved"),"")</f>
        <v>1</v>
      </c>
      <c r="BS6" s="105">
        <f ca="1">IF(A6&lt;&gt;"",COUNTIFS('QA Log'!D:D,A6,'QA Log'!M:M,"Vignette",'QA Log'!L:L,"Exit Interview 2",'QA Log'!Z:Z,"Approved"),"")</f>
        <v>1</v>
      </c>
      <c r="BT6" s="102">
        <f ca="1">IF(
  A6="","",
  SUM(
    COUNTIFS('QA Log'!D:D,A6,'QA Log'!M:M,"Vignette",'QA Log'!Z:Z,"Rejected",'QA Log'!L:L,"*Exit Interview 1*"),
    COUNTIFS('QA Log'!D:D,A6,'QA Log'!M:M,"Vignette",'QA Log'!Z:Z,"Rejected",'QA Log'!L:L,"*Exit Interview 2*")
  )
)</f>
        <v>0</v>
      </c>
      <c r="BU6" s="107">
        <f t="shared" ca="1" si="13"/>
        <v>0</v>
      </c>
      <c r="BV6" s="102" t="e">
        <f t="shared" ca="1" si="14"/>
        <v>#NAME?</v>
      </c>
      <c r="BW6" s="102">
        <f t="shared" ca="1" si="15"/>
        <v>13</v>
      </c>
      <c r="BX6" s="102">
        <f t="shared" ca="1" si="16"/>
        <v>10</v>
      </c>
      <c r="BY6" s="102">
        <f t="shared" ca="1" si="17"/>
        <v>1</v>
      </c>
      <c r="BZ6" s="107" t="e">
        <f t="shared" ca="1" si="18"/>
        <v>#NAME?</v>
      </c>
      <c r="CA6" s="108" t="e">
        <f t="shared" ca="1" si="19"/>
        <v>#NAME?</v>
      </c>
      <c r="CB6" s="108" t="e">
        <f t="shared" ca="1" si="20"/>
        <v>#NAME?</v>
      </c>
      <c r="CC6" s="109" t="str">
        <f t="shared" ca="1" si="21"/>
        <v>Fully Received</v>
      </c>
      <c r="CD6" s="108" t="e">
        <f t="shared" ca="1" si="22"/>
        <v>#NAME?</v>
      </c>
      <c r="CE6" s="108" t="e">
        <f t="shared" ca="1" si="23"/>
        <v>#NAME?</v>
      </c>
      <c r="CF6" s="109" t="str">
        <f t="shared" ca="1" si="24"/>
        <v>Not Received</v>
      </c>
      <c r="CG6" s="110" t="e">
        <f t="shared" ca="1" si="25"/>
        <v>#NAME?</v>
      </c>
      <c r="CH6" s="111"/>
    </row>
    <row r="7" spans="1:86" ht="12.75">
      <c r="A7" s="101" t="str">
        <f ca="1">IFERROR(__xludf.DUMMYFUNCTION("""COMPUTED_VALUE"""),"HER-PAN-HF3174-Q2-2025-1203-01")</f>
        <v>HER-PAN-HF3174-Q2-2025-1203-01</v>
      </c>
      <c r="B7" s="102" t="e">
        <f t="array" aca="1" ref="B7" ca="1">_xludf.XLOOKUP(A7,'QA Log'!D:D,'QA Log'!E:E,"")</f>
        <v>#NAME?</v>
      </c>
      <c r="C7" s="102" t="e">
        <f t="array" aca="1" ref="C7" ca="1">_xludf.XLOOKUP(A7,'QA Log'!D:D,'QA Log'!F:F,"")</f>
        <v>#NAME?</v>
      </c>
      <c r="D7" s="102" t="e">
        <f t="array" aca="1" ref="D7" ca="1">_xludf.XLOOKUP(A7,'QA Log'!D:D,'QA Log'!H:H,"")</f>
        <v>#NAME?</v>
      </c>
      <c r="E7" s="102" t="e">
        <f t="array" aca="1" ref="E7" ca="1">_xludf.XLOOKUP(A7,'QA Log'!D:D,'QA Log'!G:G,"")</f>
        <v>#NAME?</v>
      </c>
      <c r="F7" s="103" t="s">
        <v>91</v>
      </c>
      <c r="G7" s="104">
        <v>45960</v>
      </c>
      <c r="H7" s="102" t="s">
        <v>92</v>
      </c>
      <c r="I7" s="103" t="e">
        <f t="shared" ca="1" si="0"/>
        <v>#NAME?</v>
      </c>
      <c r="J7" s="102">
        <f ca="1">IF(A7="","",SUM(
COUNTIFS('QA Log'!D:D,A7,'QA Log'!M:M,"QQC",'QA Log'!L:L,"*1. General Management*"),
COUNTIFS('QA Log'!D:D,A7,'QA Log'!M:M,"QQC",'QA Log'!L:L,"*3. Curative Consultation (OPD)*"),
COUNTIFS('QA Log'!D:D,A7,'QA Log'!M:M,"QQC",'QA Log'!L:L,"*5. Laboratory*"),
COUNTIFS('QA Log'!D:D,A7,'QA Log'!M:M,"QQC",'QA Log'!L:L,"*6. Essential Medicine Management*"),
COUNTIFS('QA Log'!D:D,A7,'QA Log'!M:M,"QQC",'QA Log'!L:L,"*7. Tracer Medicine*"),
COUNTIFS('QA Log'!D:D,A7,'QA Log'!M:M,"QQC",'QA Log'!L:L,"*11. Additional Questions*")))</f>
        <v>0</v>
      </c>
      <c r="K7" s="102">
        <f ca="1">IF(A7="","",SUM(
COUNTIFS('QA Log'!D:D,A7,'QA Log'!M:M,"QQC",'QA Log'!Z:Z,"Approved",'QA Log'!L:L,"*1. General Management*"),
COUNTIFS('QA Log'!D:D,A7,'QA Log'!M:M,"QQC",'QA Log'!Z:Z,"Approved",'QA Log'!L:L,"*3. Curative Consultation (OPD)*"),
COUNTIFS('QA Log'!D:D,A7,'QA Log'!M:M,"QQC",'QA Log'!Z:Z,"Approved",'QA Log'!L:L,"*5. Laboratory*"),
COUNTIFS('QA Log'!D:D,A7,'QA Log'!M:M,"QQC",'QA Log'!Z:Z,"Approved",'QA Log'!L:L,"*6. Essential Medicine Management*"),
COUNTIFS('QA Log'!D:D,A7,'QA Log'!M:M,"QQC",'QA Log'!Z:Z,"Approved",'QA Log'!L:L,"*7. Tracer Medicine*"),
COUNTIFS('QA Log'!D:D,A7,'QA Log'!M:M,"QQC",'QA Log'!Z:Z,"Approved",'QA Log'!L:L,"*11. Additional Questions*")))</f>
        <v>0</v>
      </c>
      <c r="L7" s="105">
        <f ca="1">IF(A7&lt;&gt;"",COUNTIFS('QA Log'!D:D,A7,'QA Log'!M:M,"QQC",'QA Log'!L:L,"1. General Management",'QA Log'!Z:Z,"Approved"),"")</f>
        <v>0</v>
      </c>
      <c r="M7" s="105">
        <f ca="1">IF(A7&lt;&gt;"",COUNTIFS('QA Log'!D:D,A7,'QA Log'!M:M,"QQC",'QA Log'!L:L,"3. Curative Consultation (OPD)",'QA Log'!Z:Z,"Approved"),"")</f>
        <v>0</v>
      </c>
      <c r="N7" s="105">
        <f ca="1">IF(A7&lt;&gt;"",COUNTIFS('QA Log'!D:D,A7,'QA Log'!M:M,"QQC",'QA Log'!L:L,"5. Laboratory",'QA Log'!Z:Z,"Approved"),"")</f>
        <v>0</v>
      </c>
      <c r="O7" s="105">
        <f ca="1">IF(A7&lt;&gt;"",COUNTIFS('QA Log'!D:D,A7,'QA Log'!M:M,"QQC",'QA Log'!L:L,"6. Essential Medicine Management",'QA Log'!Z:Z,"Approved"),"")</f>
        <v>0</v>
      </c>
      <c r="P7" s="105">
        <f ca="1">IF(A7&lt;&gt;"",COUNTIFS('QA Log'!D:D,A7,'QA Log'!M:M,"QQC",'QA Log'!L:L,"7. Tracer Medicine",'QA Log'!Z:Z,"Approved"),"")</f>
        <v>0</v>
      </c>
      <c r="Q7" s="105">
        <f ca="1">IF(A7&lt;&gt;"",COUNTIFS('QA Log'!D:D,A7,'QA Log'!M:M,"QQC",'QA Log'!L:L,"11. Additional Questions",'QA Log'!Z:Z,"Approved"),"")</f>
        <v>0</v>
      </c>
      <c r="R7" s="102">
        <f ca="1">IF(A7="","",SUM(
COUNTIFS('QA Log'!D:D,A7,'QA Log'!M:M,"QQC",'QA Log'!Z:Z,"Rejected",'QA Log'!L:L,"*8. Maternity*"),
COUNTIFS('QA Log'!D:D,A7,'QA Log'!M:M,"QQC",'QA Log'!Z:Z,"Rejected",'QA Log'!L:L,"*EPI*"),
COUNTIFS('QA Log'!D:D,A7,'QA Log'!M:M,"QQC",'QA Log'!Z:Z,"Rejected",'QA Log'!L:L,"*10. Antenatal Care (ANC)*"),
COUNTIFS('QA Log'!D:D,A7,'QA Log'!M:M,"QQC",'QA Log'!Z:Z,"Rejected",'QA Log'!L:L,"*2. Hygiene and Sterilization*"),
COUNTIFS('QA Log'!D:D,A7,'QA Log'!M:M,"QQC",'QA Log'!Z:Z,"Rejected",'QA Log'!L:L,"*Family Planning*")))</f>
        <v>0</v>
      </c>
      <c r="S7" s="106" t="e">
        <f t="shared" ca="1" si="1"/>
        <v>#NAME?</v>
      </c>
      <c r="T7" s="102" t="e">
        <f t="shared" ca="1" si="2"/>
        <v>#NAME?</v>
      </c>
      <c r="U7" s="102">
        <f ca="1">IF(A7="","",
SUM(
COUNTIFS('QA Log'!D:D,A7,'QA Log'!M:M,"QQC",'QA Log'!L:L,"*8. Maternity*"),
COUNTIFS('QA Log'!D:D,A7,'QA Log'!M:M,"QQC",'QA Log'!L:L,"*9. EPI and Pre-school Consultation*"),
COUNTIFS('QA Log'!D:D,A7,'QA Log'!M:M,"QQC",'QA Log'!L:L,"*10. Antenatal Care (ANC)*"),
COUNTIFS('QA Log'!D:D,A7,'QA Log'!M:M,"QQC",'QA Log'!L:L,"*2. Hygiene and Sterilization*"),
COUNTIFS('QA Log'!D:D,A7,'QA Log'!M:M,"QQC",'QA Log'!L:L,"*4. Family Planning*")
))</f>
        <v>0</v>
      </c>
      <c r="V7" s="102">
        <f ca="1">IF(A7="","",
SUM(
COUNTIFS('QA Log'!D:D,A7,'QA Log'!M:M,"QQC",'QA Log'!Z:Z,"Approved",'QA Log'!L:L,"*8. Maternity*"),
COUNTIFS('QA Log'!D:D,A7,'QA Log'!M:M,"QQC",'QA Log'!Z:Z,"Approved",'QA Log'!L:L,"*9. EPI and Pre-school Consultation*"),
COUNTIFS('QA Log'!D:D,A7,'QA Log'!M:M,"QQC",'QA Log'!Z:Z,"Approved",'QA Log'!L:L,"*10. Antenatal Care (ANC)*"),
COUNTIFS('QA Log'!D:D,A7,'QA Log'!M:M,"QQC",'QA Log'!Z:Z,"Approved",'QA Log'!L:L,"*2. Hygiene and Sterilization*"),
COUNTIFS('QA Log'!D:D,A7,'QA Log'!M:M,"QQC",'QA Log'!Z:Z,"Approved",'QA Log'!L:L,"*4. Family Planning*")
))</f>
        <v>0</v>
      </c>
      <c r="W7" s="105">
        <f ca="1">IF(A7&lt;&gt;"",COUNTIFS('QA Log'!D:D,A7,'QA Log'!M:M,"QQC",'QA Log'!L:L,"8. Maternity",'QA Log'!Z:Z,"Approved"),"")</f>
        <v>0</v>
      </c>
      <c r="X7" s="105">
        <f ca="1">IF(A7&lt;&gt;"",COUNTIFS('QA Log'!D:D,A7,'QA Log'!M:M,"QQC",'QA Log'!L:L,"9. EPI and Pre-school Consultation",'QA Log'!Z:Z,"Approved"),"")</f>
        <v>0</v>
      </c>
      <c r="Y7" s="105">
        <f ca="1">IF(A7&lt;&gt;"",COUNTIFS('QA Log'!D:D,A7,'QA Log'!M:M,"QQC",'QA Log'!L:L,"10. Antenatal Care (ANC)",'QA Log'!Z:Z,"Approved"),"")</f>
        <v>0</v>
      </c>
      <c r="Z7" s="105">
        <f ca="1">IF(A7&lt;&gt;"",COUNTIFS('QA Log'!D:D,A7,'QA Log'!M:M,"QQC",'QA Log'!L:L,"2. Hygiene and Sterilization",'QA Log'!Z:Z,"Approved"),"")</f>
        <v>0</v>
      </c>
      <c r="AA7" s="105">
        <f ca="1">IF(A7&lt;&gt;"",COUNTIFS('QA Log'!D:D,A7,'QA Log'!M:M,"QQC",'QA Log'!L:L,"4. Family Planning",'QA Log'!Z:Z,"Approved"),"")</f>
        <v>0</v>
      </c>
      <c r="AB7" s="102">
        <f ca="1">IF(A7="","",
SUM(
COUNTIFS('QA Log'!D:D,A7,'QA Log'!M:M,"QQC",'QA Log'!Z:Z,"Rejected",'QA Log'!L:L,"*8. Maternity*"),
COUNTIFS('QA Log'!D:D,A7,'QA Log'!M:M,"QQC",'QA Log'!Z:Z,"Rejected",'QA Log'!L:L,"*9. EPI and Pre-school Consultation*"),
COUNTIFS('QA Log'!D:D,A7,'QA Log'!M:M,"QQC",'QA Log'!Z:Z,"Rejected",'QA Log'!L:L,"*10. Antenatal Care (ANC)*"),
COUNTIFS('QA Log'!D:D,A7,'QA Log'!M:M,"QQC",'QA Log'!Z:Z,"Rejected",'QA Log'!L:L,"*2. Hygiene and Sterilization*"),
COUNTIFS('QA Log'!D:D,A7,'QA Log'!M:M,"QQC",'QA Log'!Z:Z,"Rejected",'QA Log'!L:L,"*4. Family Planning*")
))</f>
        <v>0</v>
      </c>
      <c r="AC7" s="102" t="e">
        <f t="shared" ca="1" si="3"/>
        <v>#NAME?</v>
      </c>
      <c r="AD7" s="103" t="e">
        <f t="shared" ca="1" si="4"/>
        <v>#NAME?</v>
      </c>
      <c r="AE7" s="102">
        <f ca="1">IF(A7="","",
SUM(
COUNTIFS('QA Log'!D:D,A7,'QA Log'!M:M,"Data Verification",'QA Log'!L:L,"*Medicine (section 2)*"),
COUNTIFS('QA Log'!D:D,A7,'QA Log'!M:M,"Data Verification",'QA Log'!L:L,"*Lab Testing Availability*"),
COUNTIFS('QA Log'!D:D,A7,'QA Log'!M:M,"Data Verification",'QA Log'!L:L,"*Other than P4P (section 6)*"),
COUNTIFS('QA Log'!D:D,A7,'QA Log'!M:M,"Data Verification",'QA Log'!L:L,"*Hospital Governance*")
))</f>
        <v>0</v>
      </c>
      <c r="AF7" s="102">
        <f ca="1">IF(A7="","",
SUM(
COUNTIFS('QA Log'!D:D,A7,'QA Log'!M:M,"Data Verification",'QA Log'!Z:Z,"Approved",'QA Log'!L:L,"*Medicine (section 2)*"),
COUNTIFS('QA Log'!D:D,A7,'QA Log'!M:M,"Data Verification",'QA Log'!Z:Z,"Approved",'QA Log'!L:L,"*Lab Testing Availability*"),
COUNTIFS('QA Log'!D:D,A7,'QA Log'!M:M,"Data Verification",'QA Log'!Z:Z,"Approved",'QA Log'!L:L,"*Other than P4P (section 6)*"),
COUNTIFS('QA Log'!D:D,A7,'QA Log'!M:M,"Data Verification",'QA Log'!Z:Z,"Approved",'QA Log'!L:L,"*Hospital Governance*")
))</f>
        <v>0</v>
      </c>
      <c r="AG7" s="105">
        <f ca="1">IF(A7&lt;&gt;"",COUNTIFS('QA Log'!D:D,A7,'QA Log'!M:M,"Data Verification",'QA Log'!L:L,"Medicine (section 2)",'QA Log'!Z:Z,"Approved"),"")</f>
        <v>0</v>
      </c>
      <c r="AH7" s="105">
        <f ca="1">IF(A7&lt;&gt;"",COUNTIFS('QA Log'!D:D,A7,'QA Log'!M:M,"Data Verification",'QA Log'!L:L,"Lab Testing Availability",'QA Log'!Z:Z,"Approved"),"")</f>
        <v>0</v>
      </c>
      <c r="AI7" s="105">
        <f ca="1">IF(A7&lt;&gt;"",COUNTIFS('QA Log'!D:D,A7,'QA Log'!M:M,"Data Verification",'QA Log'!L:L,"Other than P4P (section 6)",'QA Log'!Z:Z,"Approved"),"")</f>
        <v>0</v>
      </c>
      <c r="AJ7" s="105">
        <f ca="1">IF(A7&lt;&gt;"",COUNTIFS('QA Log'!D:D,A7,'QA Log'!M:M,"Data Verification",'QA Log'!L:L,"Hospital Governance",'QA Log'!Z:Z,"Approved"),"")</f>
        <v>0</v>
      </c>
      <c r="AK7" s="102">
        <f ca="1">IF(A7="","",
SUM(
COUNTIFS('QA Log'!D:D,A7,'QA Log'!M:M,"Data Verification",'QA Log'!Z:Z,"Rejected",'QA Log'!L:L,"*Medicine (section 2)*"),
COUNTIFS('QA Log'!D:D,A7,'QA Log'!M:M,"Data Verification",'QA Log'!Z:Z,"Rejected",'QA Log'!L:L,"*Lab Testing Availability*"),
COUNTIFS('QA Log'!D:D,A7,'QA Log'!M:M,"Data Verification",'QA Log'!Z:Z,"Rejected",'QA Log'!L:L,"*Other than P4P (section 6)*"),
COUNTIFS('QA Log'!D:D,A7,'QA Log'!M:M,"Data Verification",'QA Log'!Z:Z,"Rejected",'QA Log'!L:L,"*Hospital Governance*")
))</f>
        <v>0</v>
      </c>
      <c r="AL7" s="106" t="e">
        <f t="shared" ca="1" si="5"/>
        <v>#NAME?</v>
      </c>
      <c r="AM7" s="102" t="e">
        <f t="shared" ca="1" si="6"/>
        <v>#NAME?</v>
      </c>
      <c r="AN7" s="102">
        <f ca="1">IF(A7="","",
SUM(
COUNTIFS('QA Log'!D:D,A7,'QA Log'!M:M,"Data Verification",'QA Log'!L:L,"*Personnel (section 1)*"),
COUNTIFS('QA Log'!D:D,A7,'QA Log'!M:M,"Data Verification",'QA Log'!L:L,"*Consumable (section 3)*"),
COUNTIFS('QA Log'!D:D,A7,'QA Log'!M:M,"Data Verification",'QA Log'!L:L,"*Equipments (section 4)*")
))</f>
        <v>0</v>
      </c>
      <c r="AO7" s="102">
        <f ca="1">IF(A7="","",
SUM(
COUNTIFS('QA Log'!D:D,A7,'QA Log'!M:M,"Data Verification",'QA Log'!Z:Z,"Approved",'QA Log'!L:L,"*Personnel (section 1)*"),
COUNTIFS('QA Log'!D:D,A7,'QA Log'!M:M,"Data Verification",'QA Log'!Z:Z,"Approved",'QA Log'!L:L,"*Consumable (section 3)*"),
COUNTIFS('QA Log'!D:D,A7,'QA Log'!M:M,"Data Verification",'QA Log'!Z:Z,"Approved",'QA Log'!L:L,"*Equipments (section 4)*")
))</f>
        <v>0</v>
      </c>
      <c r="AP7" s="105">
        <f ca="1">IF(A7&lt;&gt;"",COUNTIFS('QA Log'!D:D,A7,'QA Log'!M:M,"Data Verification",'QA Log'!L:L,"Personnel (section 1)",'QA Log'!Z:Z,"Approved"),"")</f>
        <v>0</v>
      </c>
      <c r="AQ7" s="105">
        <f ca="1">IF(A7&lt;&gt;"",COUNTIFS('QA Log'!D:D,A7,'QA Log'!M:M,"Data Verification",'QA Log'!L:L,"Consumable (section 3)",'QA Log'!Z:Z,"Approved"),"")</f>
        <v>0</v>
      </c>
      <c r="AR7" s="105">
        <f ca="1">IF(A7&lt;&gt;"",COUNTIFS('QA Log'!D:D,A7,'QA Log'!M:M,"Data Verification",'QA Log'!L:L,"Equipments (section 4)",'QA Log'!Z:Z,"Approved"),"")</f>
        <v>0</v>
      </c>
      <c r="AS7" s="102">
        <f ca="1">IF(A7="","",
SUM(
COUNTIFS('QA Log'!D:D,A7,'QA Log'!M:M,"Data Verification",'QA Log'!Z:Z,"Rejected",'QA Log'!L:L,"*Personnel (section 1)*"),
COUNTIFS('QA Log'!D:D,A7,'QA Log'!M:M,"Data Verification",'QA Log'!Z:Z,"Rejected",'QA Log'!L:L,"*Consumable (section 3)*"),
COUNTIFS('QA Log'!D:D,A7,'QA Log'!M:M,"Data Verification",'QA Log'!Z:Z,"Rejected",'QA Log'!L:L,"*Equipments (section 4)*")
))</f>
        <v>0</v>
      </c>
      <c r="AT7" s="102" t="e">
        <f t="shared" ca="1" si="7"/>
        <v>#NAME?</v>
      </c>
      <c r="AU7" s="103">
        <f t="shared" ca="1" si="8"/>
        <v>2</v>
      </c>
      <c r="AV7" s="102">
        <f ca="1">IF(A7="","",SUM(
COUNTIFS('QA Log'!D:D,A7,'QA Log'!M:M,"Vignette",'QA Log'!L:L,"*Vignette [1] Respiratory Infection: Pneumonia*"),
COUNTIFS('QA Log'!D:D,A7,'QA Log'!M:M,"Vignette",'QA Log'!L:L,"*Vignette [2]: Diarrhea with Cat B dehydration*"),
COUNTIFS('QA Log'!D:D,A7,'QA Log'!M:M,"Vignette",'QA Log'!L:L,"*Vignette [3] Growth Monitoring and Promotion*"),
COUNTIFS('QA Log'!D:D,A7,'QA Log'!M:M,"Vignette",'QA Log'!L:L,"*Vignette [4]: The management of presumptive TB patient*")
)
)</f>
        <v>0</v>
      </c>
      <c r="AW7" s="102">
        <f ca="1">IF(
  A7="","",
  SUM(
    COUNTIFS('QA Log'!D:D,A7,'QA Log'!M:M,"Vignette",'QA Log'!Z:Z,"Approved",'QA Log'!L:L,"*Vignette [1] Respiratory Infection: Pneumonia*"),
    COUNTIFS('QA Log'!D:D,A7,'QA Log'!M:M,"Vignette",'QA Log'!Z:Z,"Approved",'QA Log'!L:L,"*Vignette [2]: Diarrhea with Cat B dehydration*"),
    COUNTIFS('QA Log'!D:D,A7,'QA Log'!M:M,"Vignette",'QA Log'!Z:Z,"Approved",'QA Log'!L:L,"*Vignette [3] Growth Monitoring and Promotion*"),
    COUNTIFS('QA Log'!D:D,A7,'QA Log'!M:M,"Vignette",'QA Log'!Z:Z,"Approved",'QA Log'!L:L,"*Vignette [4]: The management of presumptive TB patient*")
  )
)</f>
        <v>0</v>
      </c>
      <c r="AX7" s="105">
        <f ca="1">IF(A7&lt;&gt;"",COUNTIFS('QA Log'!D:D,A7,'QA Log'!M:M,"Vignette",'QA Log'!L:L,"Vignette [1] Respiratory Infection: Pneumonia",'QA Log'!Z:Z,"Approved"),"")</f>
        <v>0</v>
      </c>
      <c r="AY7" s="105">
        <f ca="1">IF(A7&lt;&gt;"",COUNTIFS('QA Log'!D:D,A7,'QA Log'!M:M,"Vignette",'QA Log'!L:L,"Vignette [2]: Diarrhea with Cat B dehydration",'QA Log'!Z:Z,"Approved"),"")</f>
        <v>0</v>
      </c>
      <c r="AZ7" s="105">
        <f ca="1">IF(A7&lt;&gt;"",COUNTIFS('QA Log'!D:D,A7,'QA Log'!M:M,"Vignette",'QA Log'!L:L,"Vignette [3] Growth Monitoring and Promotion",'QA Log'!Z:Z,"Approved"),"")</f>
        <v>0</v>
      </c>
      <c r="BA7" s="105">
        <f ca="1">IF(A7&lt;&gt;"",COUNTIFS('QA Log'!D:D,A7,'QA Log'!M:M,"Vignette",'QA Log'!L:L,"Vignette [4]: The management of presumptive TB patient",'QA Log'!Z:Z,"Approved"),"")</f>
        <v>0</v>
      </c>
      <c r="BB7" s="102">
        <f ca="1">IF(A7="","",
  SUM(
    COUNTIFS('QA Log'!D:D,A7,'QA Log'!M:M,"Vignette",'QA Log'!Z:Z,"Rejected",'QA Log'!L:L,"*Vignette [1] Respiratory Infection: Pneumonia*"),
    COUNTIFS('QA Log'!D:D,A7,'QA Log'!M:M,"Vignette",'QA Log'!Z:Z,"Rejected",'QA Log'!L:L,"*Vignette [2]: Diarrhea with Cat B dehydration*"),
    COUNTIFS('QA Log'!D:D,A7,'QA Log'!M:M,"Vignette",'QA Log'!Z:Z,"Rejected",'QA Log'!L:L,"*Vignette [3] Growth Monitoring and Promotion*"),
    COUNTIFS('QA Log'!D:D,A7,'QA Log'!M:M,"Vignette",'QA Log'!Z:Z,"Rejected",'QA Log'!L:L,"*Vignette [4]: The management of presumptive TB patient*")
  )
)</f>
        <v>0</v>
      </c>
      <c r="BC7" s="107">
        <f t="shared" ca="1" si="9"/>
        <v>2</v>
      </c>
      <c r="BD7" s="103">
        <f t="shared" ca="1" si="10"/>
        <v>2</v>
      </c>
      <c r="BE7" s="102">
        <f ca="1">IF(A7="","",SUM(
COUNTIFS('QA Log'!D:D,A7,'QA Log'!M:M,"Vignette",'QA Log'!L:L,"*Vignette [5] Labor*"),
COUNTIFS('QA Log'!D:D,A7,'QA Log'!M:M,"Vignette",'QA Log'!L:L,"*Vignette [6] PNC pre Discharge*"),
COUNTIFS('QA Log'!D:D,A7,'QA Log'!M:M,"Vignette",'QA Log'!L:L,"*Vignette [7] First ANC Visit*"),
COUNTIFS('QA Log'!D:D,A7,'QA Log'!M:M,"Vignette",'QA Log'!L:L,"*Vignette [8] Birth Spacing/ Family Planning :  FP Counselling*"),
COUNTIFS('QA Log'!D:D,A7,'QA Log'!M:M,"Vignette",'QA Log'!L:L,"*Vignette [9] Birth Spacing: Change FP method to Injectable*"),
COUNTIFS('QA Log'!D:D,A7,'QA Log'!M:M,"Vignette",'QA Log'!L:L,"*Vignette [10] Post Partum Haemorrhage - Atonic Uterus at Health Centre*"),
)
)</f>
        <v>0</v>
      </c>
      <c r="BF7" s="102">
        <f ca="1">IF(A7="","",
  SUM(
    COUNTIFS('QA Log'!D:D,A7,'QA Log'!M:M,"Vignette",'QA Log'!Z:Z,"Approved",'QA Log'!L:L,"*Vignette [5] Labor*"),
    COUNTIFS('QA Log'!D:D,A7,'QA Log'!M:M,"Vignette",'QA Log'!Z:Z,"Approved",'QA Log'!L:L,"*Vignette [6] PNC pre Discharge*"),
    COUNTIFS('QA Log'!D:D,A7,'QA Log'!M:M,"Vignette",'QA Log'!Z:Z,"Approved",'QA Log'!L:L,"*Vignette [7] First ANC Visit*"),
    COUNTIFS('QA Log'!D:D,A7,'QA Log'!M:M,"Vignette",'QA Log'!Z:Z,"Approved",'QA Log'!L:L,"*Vignette [8] Birth Spacing/ Family Planning :  FP Counselling*"),
    COUNTIFS('QA Log'!D:D,A7,'QA Log'!M:M,"Vignette",'QA Log'!Z:Z,"Approved",'QA Log'!L:L,"*Vignette [9] Birth Spacing: Change FP method to Injectable*"),
    COUNTIFS('QA Log'!D:D,A7,'QA Log'!M:M,"Vignette",'QA Log'!Z:Z,"Approved",'QA Log'!L:L,"*Vignette [10] Post Partum Haemorrhage - Atonic Uterus at Health Centre*")
  )
)</f>
        <v>0</v>
      </c>
      <c r="BG7" s="105">
        <f ca="1">IF(A7&lt;&gt;"",COUNTIFS('QA Log'!D:D,A7,'QA Log'!M:M,"Vignette",'QA Log'!L:L,"Vignette [5] Labor",'QA Log'!Z:Z,"Approved"),"")</f>
        <v>0</v>
      </c>
      <c r="BH7" s="105">
        <f ca="1">IF(A7&lt;&gt;"",COUNTIFS('QA Log'!D:D,A7,'QA Log'!M:M,"Vignette",'QA Log'!L:L,"Vignette [6] PNC pre Discharge",'QA Log'!Z:Z,"Approved"),"")</f>
        <v>0</v>
      </c>
      <c r="BI7" s="105">
        <f ca="1">IF(A7&lt;&gt;"",COUNTIFS('QA Log'!D:D,A7,'QA Log'!M:M,"Vignette",'QA Log'!L:L,"Vignette [7] First ANC Visit",'QA Log'!Z:Z,"Approved"),"")</f>
        <v>0</v>
      </c>
      <c r="BJ7" s="105">
        <f ca="1">IF(A7&lt;&gt;"",COUNTIFS('QA Log'!D:D,A7,'QA Log'!M:M,"Vignette",'QA Log'!L:L,"Vignette [8] Birth Spacing/ Family Planning :  FP Counselling",'QA Log'!Z:Z,"Approved"),"")</f>
        <v>0</v>
      </c>
      <c r="BK7" s="105">
        <f ca="1">IF(A7&lt;&gt;"",COUNTIFS('QA Log'!D:D,A7,'QA Log'!M:M,"Vignette",'QA Log'!L:L,"Vignette [9] Birth Spacing: Change FP method to Injectable",'QA Log'!Z:Z,"Approved"),"")</f>
        <v>0</v>
      </c>
      <c r="BL7" s="105">
        <f ca="1">IF(A7&lt;&gt;"",COUNTIFS('QA Log'!D:D,A7,'QA Log'!M:M,"Vignette",'QA Log'!L:L,"Vignette [10] Post Partum Haemorrhage - Atonic Uterus at Health Centre",'QA Log'!Z:Z,"Approved"),"")</f>
        <v>0</v>
      </c>
      <c r="BM7" s="102">
        <f ca="1">IF(A7="","",SUM(
    COUNTIFS('QA Log'!D:D,A7,'QA Log'!M:M,"Vignette",'QA Log'!Z:Z,"Rejected",'QA Log'!L:L,"*Vignette [5] Labor*"),
    COUNTIFS('QA Log'!D:D,A7,'QA Log'!M:M,"Vignette",'QA Log'!Z:Z,"Rejected",'QA Log'!L:L,"*Vignette [6] PNC pre Discharge*"),
    COUNTIFS('QA Log'!D:D,A7,'QA Log'!M:M,"Vignette",'QA Log'!Z:Z,"Rejected",'QA Log'!L:L,"*Vignette [7] First ANC Visit*"),
    COUNTIFS('QA Log'!D:D,A7,'QA Log'!M:M,"Vignette",'QA Log'!Z:Z,"Rejected",'QA Log'!L:L,"*Vignette [8] Birth Spacing/ Family Planning :  FP Counselling*"),
    COUNTIFS('QA Log'!D:D,A7,'QA Log'!M:M,"Vignette",'QA Log'!Z:Z,"Rejected",'QA Log'!L:L,"*Vignette [9] Birth Spacing: Change FP method to Injectable*"),
    COUNTIFS('QA Log'!D:D,A7,'QA Log'!M:M,"Vignette",'QA Log'!Z:Z,"Rejected",'QA Log'!L:L,"*Vignette [10] Post Partum Haemorrhage - Atonic Uterus at Health Centre*")
  )
)</f>
        <v>0</v>
      </c>
      <c r="BN7" s="107">
        <f t="shared" ca="1" si="11"/>
        <v>2</v>
      </c>
      <c r="BO7" s="103">
        <f t="shared" ca="1" si="12"/>
        <v>2</v>
      </c>
      <c r="BP7" s="102">
        <f ca="1">IF(A7="","",SUM(
COUNTIFS('QA Log'!D:D,A7,'QA Log'!M:M,"Vignette",'QA Log'!L:L,"*Exit Interview 1*"),
COUNTIFS('QA Log'!D:D,A7,'QA Log'!M:M,"Vignette",'QA Log'!L:L,"*Exit Interview 2*"),
)
)</f>
        <v>1</v>
      </c>
      <c r="BQ7" s="102">
        <f ca="1">IF(
  A7="","",
  SUM(
    COUNTIFS('QA Log'!D:D,A7,'QA Log'!M:M,"Vignette",'QA Log'!Z:Z,"Approved",'QA Log'!L:L,"*Exit Interview 1*"),
    COUNTIFS('QA Log'!D:D,A7,'QA Log'!M:M,"Vignette",'QA Log'!Z:Z,"Approved",'QA Log'!L:L,"*Exit Interview 2*")
  )
)</f>
        <v>0</v>
      </c>
      <c r="BR7" s="105">
        <f ca="1">IF(A7&lt;&gt;"",COUNTIFS('QA Log'!D:D,A7,'QA Log'!M:M,"Vignette",'QA Log'!L:L,"Exit Interview 1",'QA Log'!Z:Z,"Approved"),"")</f>
        <v>0</v>
      </c>
      <c r="BS7" s="105">
        <f ca="1">IF(A7&lt;&gt;"",COUNTIFS('QA Log'!D:D,A7,'QA Log'!M:M,"Vignette",'QA Log'!L:L,"Exit Interview 2",'QA Log'!Z:Z,"Approved"),"")</f>
        <v>0</v>
      </c>
      <c r="BT7" s="102">
        <f ca="1">IF(
  A7="","",
  SUM(
    COUNTIFS('QA Log'!D:D,A7,'QA Log'!M:M,"Vignette",'QA Log'!Z:Z,"Rejected",'QA Log'!L:L,"*Exit Interview 1*"),
    COUNTIFS('QA Log'!D:D,A7,'QA Log'!M:M,"Vignette",'QA Log'!Z:Z,"Rejected",'QA Log'!L:L,"*Exit Interview 2*")
  )
)</f>
        <v>0</v>
      </c>
      <c r="BU7" s="107">
        <f t="shared" ca="1" si="13"/>
        <v>2</v>
      </c>
      <c r="BV7" s="102" t="e">
        <f t="shared" ca="1" si="14"/>
        <v>#NAME?</v>
      </c>
      <c r="BW7" s="102">
        <f t="shared" ca="1" si="15"/>
        <v>1</v>
      </c>
      <c r="BX7" s="102">
        <f t="shared" ca="1" si="16"/>
        <v>0</v>
      </c>
      <c r="BY7" s="102">
        <f t="shared" ca="1" si="17"/>
        <v>0</v>
      </c>
      <c r="BZ7" s="107" t="e">
        <f t="shared" ca="1" si="18"/>
        <v>#NAME?</v>
      </c>
      <c r="CA7" s="108" t="e">
        <f t="shared" ca="1" si="19"/>
        <v>#NAME?</v>
      </c>
      <c r="CB7" s="108" t="e">
        <f t="shared" ca="1" si="20"/>
        <v>#NAME?</v>
      </c>
      <c r="CC7" s="109" t="str">
        <f t="shared" ca="1" si="21"/>
        <v>Not Received</v>
      </c>
      <c r="CD7" s="108" t="e">
        <f t="shared" ca="1" si="22"/>
        <v>#NAME?</v>
      </c>
      <c r="CE7" s="108" t="e">
        <f t="shared" ca="1" si="23"/>
        <v>#NAME?</v>
      </c>
      <c r="CF7" s="109" t="str">
        <f t="shared" ca="1" si="24"/>
        <v>Not Received</v>
      </c>
      <c r="CG7" s="110" t="e">
        <f t="shared" ca="1" si="25"/>
        <v>#NAME?</v>
      </c>
      <c r="CH7" s="111"/>
    </row>
    <row r="8" spans="1:86" ht="12.75">
      <c r="A8" s="101" t="str">
        <f ca="1">IFERROR(__xludf.DUMMYFUNCTION("""COMPUTED_VALUE"""),"HER-SRP-HF3837-Q2-2025-1233-01")</f>
        <v>HER-SRP-HF3837-Q2-2025-1233-01</v>
      </c>
      <c r="B8" s="102" t="e">
        <f t="array" aca="1" ref="B8" ca="1">_xludf.XLOOKUP(A8,'QA Log'!D:D,'QA Log'!E:E,"")</f>
        <v>#NAME?</v>
      </c>
      <c r="C8" s="102" t="e">
        <f t="array" aca="1" ref="C8" ca="1">_xludf.XLOOKUP(A8,'QA Log'!D:D,'QA Log'!F:F,"")</f>
        <v>#NAME?</v>
      </c>
      <c r="D8" s="102" t="e">
        <f t="array" aca="1" ref="D8" ca="1">_xludf.XLOOKUP(A8,'QA Log'!D:D,'QA Log'!H:H,"")</f>
        <v>#NAME?</v>
      </c>
      <c r="E8" s="102" t="e">
        <f t="array" aca="1" ref="E8" ca="1">_xludf.XLOOKUP(A8,'QA Log'!D:D,'QA Log'!G:G,"")</f>
        <v>#NAME?</v>
      </c>
      <c r="F8" s="103" t="s">
        <v>91</v>
      </c>
      <c r="G8" s="104">
        <v>45960</v>
      </c>
      <c r="H8" s="102" t="s">
        <v>92</v>
      </c>
      <c r="I8" s="103" t="e">
        <f t="shared" ca="1" si="0"/>
        <v>#NAME?</v>
      </c>
      <c r="J8" s="102">
        <f ca="1">IF(A8="","",SUM(
COUNTIFS('QA Log'!D:D,A8,'QA Log'!M:M,"QQC",'QA Log'!L:L,"*1. General Management*"),
COUNTIFS('QA Log'!D:D,A8,'QA Log'!M:M,"QQC",'QA Log'!L:L,"*3. Curative Consultation (OPD)*"),
COUNTIFS('QA Log'!D:D,A8,'QA Log'!M:M,"QQC",'QA Log'!L:L,"*5. Laboratory*"),
COUNTIFS('QA Log'!D:D,A8,'QA Log'!M:M,"QQC",'QA Log'!L:L,"*6. Essential Medicine Management*"),
COUNTIFS('QA Log'!D:D,A8,'QA Log'!M:M,"QQC",'QA Log'!L:L,"*7. Tracer Medicine*"),
COUNTIFS('QA Log'!D:D,A8,'QA Log'!M:M,"QQC",'QA Log'!L:L,"*11. Additional Questions*")))</f>
        <v>0</v>
      </c>
      <c r="K8" s="102">
        <f ca="1">IF(A8="","",SUM(
COUNTIFS('QA Log'!D:D,A8,'QA Log'!M:M,"QQC",'QA Log'!Z:Z,"Approved",'QA Log'!L:L,"*1. General Management*"),
COUNTIFS('QA Log'!D:D,A8,'QA Log'!M:M,"QQC",'QA Log'!Z:Z,"Approved",'QA Log'!L:L,"*3. Curative Consultation (OPD)*"),
COUNTIFS('QA Log'!D:D,A8,'QA Log'!M:M,"QQC",'QA Log'!Z:Z,"Approved",'QA Log'!L:L,"*5. Laboratory*"),
COUNTIFS('QA Log'!D:D,A8,'QA Log'!M:M,"QQC",'QA Log'!Z:Z,"Approved",'QA Log'!L:L,"*6. Essential Medicine Management*"),
COUNTIFS('QA Log'!D:D,A8,'QA Log'!M:M,"QQC",'QA Log'!Z:Z,"Approved",'QA Log'!L:L,"*7. Tracer Medicine*"),
COUNTIFS('QA Log'!D:D,A8,'QA Log'!M:M,"QQC",'QA Log'!Z:Z,"Approved",'QA Log'!L:L,"*11. Additional Questions*")))</f>
        <v>0</v>
      </c>
      <c r="L8" s="105">
        <f ca="1">IF(A8&lt;&gt;"",COUNTIFS('QA Log'!D:D,A8,'QA Log'!M:M,"QQC",'QA Log'!L:L,"1. General Management",'QA Log'!Z:Z,"Approved"),"")</f>
        <v>0</v>
      </c>
      <c r="M8" s="105">
        <f ca="1">IF(A8&lt;&gt;"",COUNTIFS('QA Log'!D:D,A8,'QA Log'!M:M,"QQC",'QA Log'!L:L,"3. Curative Consultation (OPD)",'QA Log'!Z:Z,"Approved"),"")</f>
        <v>0</v>
      </c>
      <c r="N8" s="105">
        <f ca="1">IF(A8&lt;&gt;"",COUNTIFS('QA Log'!D:D,A8,'QA Log'!M:M,"QQC",'QA Log'!L:L,"5. Laboratory",'QA Log'!Z:Z,"Approved"),"")</f>
        <v>0</v>
      </c>
      <c r="O8" s="105">
        <f ca="1">IF(A8&lt;&gt;"",COUNTIFS('QA Log'!D:D,A8,'QA Log'!M:M,"QQC",'QA Log'!L:L,"6. Essential Medicine Management",'QA Log'!Z:Z,"Approved"),"")</f>
        <v>0</v>
      </c>
      <c r="P8" s="105">
        <f ca="1">IF(A8&lt;&gt;"",COUNTIFS('QA Log'!D:D,A8,'QA Log'!M:M,"QQC",'QA Log'!L:L,"7. Tracer Medicine",'QA Log'!Z:Z,"Approved"),"")</f>
        <v>0</v>
      </c>
      <c r="Q8" s="105">
        <f ca="1">IF(A8&lt;&gt;"",COUNTIFS('QA Log'!D:D,A8,'QA Log'!M:M,"QQC",'QA Log'!L:L,"11. Additional Questions",'QA Log'!Z:Z,"Approved"),"")</f>
        <v>0</v>
      </c>
      <c r="R8" s="102">
        <f ca="1">IF(A8="","",SUM(
COUNTIFS('QA Log'!D:D,A8,'QA Log'!M:M,"QQC",'QA Log'!Z:Z,"Rejected",'QA Log'!L:L,"*8. Maternity*"),
COUNTIFS('QA Log'!D:D,A8,'QA Log'!M:M,"QQC",'QA Log'!Z:Z,"Rejected",'QA Log'!L:L,"*EPI*"),
COUNTIFS('QA Log'!D:D,A8,'QA Log'!M:M,"QQC",'QA Log'!Z:Z,"Rejected",'QA Log'!L:L,"*10. Antenatal Care (ANC)*"),
COUNTIFS('QA Log'!D:D,A8,'QA Log'!M:M,"QQC",'QA Log'!Z:Z,"Rejected",'QA Log'!L:L,"*2. Hygiene and Sterilization*"),
COUNTIFS('QA Log'!D:D,A8,'QA Log'!M:M,"QQC",'QA Log'!Z:Z,"Rejected",'QA Log'!L:L,"*Family Planning*")))</f>
        <v>0</v>
      </c>
      <c r="S8" s="106" t="e">
        <f t="shared" ca="1" si="1"/>
        <v>#NAME?</v>
      </c>
      <c r="T8" s="102" t="e">
        <f t="shared" ca="1" si="2"/>
        <v>#NAME?</v>
      </c>
      <c r="U8" s="102">
        <f ca="1">IF(A8="","",
SUM(
COUNTIFS('QA Log'!D:D,A8,'QA Log'!M:M,"QQC",'QA Log'!L:L,"*8. Maternity*"),
COUNTIFS('QA Log'!D:D,A8,'QA Log'!M:M,"QQC",'QA Log'!L:L,"*9. EPI and Pre-school Consultation*"),
COUNTIFS('QA Log'!D:D,A8,'QA Log'!M:M,"QQC",'QA Log'!L:L,"*10. Antenatal Care (ANC)*"),
COUNTIFS('QA Log'!D:D,A8,'QA Log'!M:M,"QQC",'QA Log'!L:L,"*2. Hygiene and Sterilization*"),
COUNTIFS('QA Log'!D:D,A8,'QA Log'!M:M,"QQC",'QA Log'!L:L,"*4. Family Planning*")
))</f>
        <v>0</v>
      </c>
      <c r="V8" s="102">
        <f ca="1">IF(A8="","",
SUM(
COUNTIFS('QA Log'!D:D,A8,'QA Log'!M:M,"QQC",'QA Log'!Z:Z,"Approved",'QA Log'!L:L,"*8. Maternity*"),
COUNTIFS('QA Log'!D:D,A8,'QA Log'!M:M,"QQC",'QA Log'!Z:Z,"Approved",'QA Log'!L:L,"*9. EPI and Pre-school Consultation*"),
COUNTIFS('QA Log'!D:D,A8,'QA Log'!M:M,"QQC",'QA Log'!Z:Z,"Approved",'QA Log'!L:L,"*10. Antenatal Care (ANC)*"),
COUNTIFS('QA Log'!D:D,A8,'QA Log'!M:M,"QQC",'QA Log'!Z:Z,"Approved",'QA Log'!L:L,"*2. Hygiene and Sterilization*"),
COUNTIFS('QA Log'!D:D,A8,'QA Log'!M:M,"QQC",'QA Log'!Z:Z,"Approved",'QA Log'!L:L,"*4. Family Planning*")
))</f>
        <v>0</v>
      </c>
      <c r="W8" s="105">
        <f ca="1">IF(A8&lt;&gt;"",COUNTIFS('QA Log'!D:D,A8,'QA Log'!M:M,"QQC",'QA Log'!L:L,"8. Maternity",'QA Log'!Z:Z,"Approved"),"")</f>
        <v>0</v>
      </c>
      <c r="X8" s="105">
        <f ca="1">IF(A8&lt;&gt;"",COUNTIFS('QA Log'!D:D,A8,'QA Log'!M:M,"QQC",'QA Log'!L:L,"9. EPI and Pre-school Consultation",'QA Log'!Z:Z,"Approved"),"")</f>
        <v>0</v>
      </c>
      <c r="Y8" s="105">
        <f ca="1">IF(A8&lt;&gt;"",COUNTIFS('QA Log'!D:D,A8,'QA Log'!M:M,"QQC",'QA Log'!L:L,"10. Antenatal Care (ANC)",'QA Log'!Z:Z,"Approved"),"")</f>
        <v>0</v>
      </c>
      <c r="Z8" s="105">
        <f ca="1">IF(A8&lt;&gt;"",COUNTIFS('QA Log'!D:D,A8,'QA Log'!M:M,"QQC",'QA Log'!L:L,"2. Hygiene and Sterilization",'QA Log'!Z:Z,"Approved"),"")</f>
        <v>0</v>
      </c>
      <c r="AA8" s="105">
        <f ca="1">IF(A8&lt;&gt;"",COUNTIFS('QA Log'!D:D,A8,'QA Log'!M:M,"QQC",'QA Log'!L:L,"4. Family Planning",'QA Log'!Z:Z,"Approved"),"")</f>
        <v>0</v>
      </c>
      <c r="AB8" s="102">
        <f ca="1">IF(A8="","",
SUM(
COUNTIFS('QA Log'!D:D,A8,'QA Log'!M:M,"QQC",'QA Log'!Z:Z,"Rejected",'QA Log'!L:L,"*8. Maternity*"),
COUNTIFS('QA Log'!D:D,A8,'QA Log'!M:M,"QQC",'QA Log'!Z:Z,"Rejected",'QA Log'!L:L,"*9. EPI and Pre-school Consultation*"),
COUNTIFS('QA Log'!D:D,A8,'QA Log'!M:M,"QQC",'QA Log'!Z:Z,"Rejected",'QA Log'!L:L,"*10. Antenatal Care (ANC)*"),
COUNTIFS('QA Log'!D:D,A8,'QA Log'!M:M,"QQC",'QA Log'!Z:Z,"Rejected",'QA Log'!L:L,"*2. Hygiene and Sterilization*"),
COUNTIFS('QA Log'!D:D,A8,'QA Log'!M:M,"QQC",'QA Log'!Z:Z,"Rejected",'QA Log'!L:L,"*4. Family Planning*")
))</f>
        <v>0</v>
      </c>
      <c r="AC8" s="102" t="e">
        <f t="shared" ca="1" si="3"/>
        <v>#NAME?</v>
      </c>
      <c r="AD8" s="103" t="e">
        <f t="shared" ca="1" si="4"/>
        <v>#NAME?</v>
      </c>
      <c r="AE8" s="102">
        <f ca="1">IF(A8="","",
SUM(
COUNTIFS('QA Log'!D:D,A8,'QA Log'!M:M,"Data Verification",'QA Log'!L:L,"*Medicine (section 2)*"),
COUNTIFS('QA Log'!D:D,A8,'QA Log'!M:M,"Data Verification",'QA Log'!L:L,"*Lab Testing Availability*"),
COUNTIFS('QA Log'!D:D,A8,'QA Log'!M:M,"Data Verification",'QA Log'!L:L,"*Other than P4P (section 6)*"),
COUNTIFS('QA Log'!D:D,A8,'QA Log'!M:M,"Data Verification",'QA Log'!L:L,"*Hospital Governance*")
))</f>
        <v>2</v>
      </c>
      <c r="AF8" s="102">
        <f ca="1">IF(A8="","",
SUM(
COUNTIFS('QA Log'!D:D,A8,'QA Log'!M:M,"Data Verification",'QA Log'!Z:Z,"Approved",'QA Log'!L:L,"*Medicine (section 2)*"),
COUNTIFS('QA Log'!D:D,A8,'QA Log'!M:M,"Data Verification",'QA Log'!Z:Z,"Approved",'QA Log'!L:L,"*Lab Testing Availability*"),
COUNTIFS('QA Log'!D:D,A8,'QA Log'!M:M,"Data Verification",'QA Log'!Z:Z,"Approved",'QA Log'!L:L,"*Other than P4P (section 6)*"),
COUNTIFS('QA Log'!D:D,A8,'QA Log'!M:M,"Data Verification",'QA Log'!Z:Z,"Approved",'QA Log'!L:L,"*Hospital Governance*")
))</f>
        <v>1</v>
      </c>
      <c r="AG8" s="105">
        <f ca="1">IF(A8&lt;&gt;"",COUNTIFS('QA Log'!D:D,A8,'QA Log'!M:M,"Data Verification",'QA Log'!L:L,"Medicine (section 2)",'QA Log'!Z:Z,"Approved"),"")</f>
        <v>0</v>
      </c>
      <c r="AH8" s="105">
        <f ca="1">IF(A8&lt;&gt;"",COUNTIFS('QA Log'!D:D,A8,'QA Log'!M:M,"Data Verification",'QA Log'!L:L,"Lab Testing Availability",'QA Log'!Z:Z,"Approved"),"")</f>
        <v>0</v>
      </c>
      <c r="AI8" s="105">
        <f ca="1">IF(A8&lt;&gt;"",COUNTIFS('QA Log'!D:D,A8,'QA Log'!M:M,"Data Verification",'QA Log'!L:L,"Other than P4P (section 6)",'QA Log'!Z:Z,"Approved"),"")</f>
        <v>1</v>
      </c>
      <c r="AJ8" s="105">
        <f ca="1">IF(A8&lt;&gt;"",COUNTIFS('QA Log'!D:D,A8,'QA Log'!M:M,"Data Verification",'QA Log'!L:L,"Hospital Governance",'QA Log'!Z:Z,"Approved"),"")</f>
        <v>0</v>
      </c>
      <c r="AK8" s="102">
        <f ca="1">IF(A8="","",
SUM(
COUNTIFS('QA Log'!D:D,A8,'QA Log'!M:M,"Data Verification",'QA Log'!Z:Z,"Rejected",'QA Log'!L:L,"*Medicine (section 2)*"),
COUNTIFS('QA Log'!D:D,A8,'QA Log'!M:M,"Data Verification",'QA Log'!Z:Z,"Rejected",'QA Log'!L:L,"*Lab Testing Availability*"),
COUNTIFS('QA Log'!D:D,A8,'QA Log'!M:M,"Data Verification",'QA Log'!Z:Z,"Rejected",'QA Log'!L:L,"*Other than P4P (section 6)*"),
COUNTIFS('QA Log'!D:D,A8,'QA Log'!M:M,"Data Verification",'QA Log'!Z:Z,"Rejected",'QA Log'!L:L,"*Hospital Governance*")
))</f>
        <v>1</v>
      </c>
      <c r="AL8" s="106" t="e">
        <f t="shared" ca="1" si="5"/>
        <v>#NAME?</v>
      </c>
      <c r="AM8" s="102" t="e">
        <f t="shared" ca="1" si="6"/>
        <v>#NAME?</v>
      </c>
      <c r="AN8" s="102">
        <f ca="1">IF(A8="","",
SUM(
COUNTIFS('QA Log'!D:D,A8,'QA Log'!M:M,"Data Verification",'QA Log'!L:L,"*Personnel (section 1)*"),
COUNTIFS('QA Log'!D:D,A8,'QA Log'!M:M,"Data Verification",'QA Log'!L:L,"*Consumable (section 3)*"),
COUNTIFS('QA Log'!D:D,A8,'QA Log'!M:M,"Data Verification",'QA Log'!L:L,"*Equipments (section 4)*")
))</f>
        <v>3</v>
      </c>
      <c r="AO8" s="102">
        <f ca="1">IF(A8="","",
SUM(
COUNTIFS('QA Log'!D:D,A8,'QA Log'!M:M,"Data Verification",'QA Log'!Z:Z,"Approved",'QA Log'!L:L,"*Personnel (section 1)*"),
COUNTIFS('QA Log'!D:D,A8,'QA Log'!M:M,"Data Verification",'QA Log'!Z:Z,"Approved",'QA Log'!L:L,"*Consumable (section 3)*"),
COUNTIFS('QA Log'!D:D,A8,'QA Log'!M:M,"Data Verification",'QA Log'!Z:Z,"Approved",'QA Log'!L:L,"*Equipments (section 4)*")
))</f>
        <v>1</v>
      </c>
      <c r="AP8" s="105">
        <f ca="1">IF(A8&lt;&gt;"",COUNTIFS('QA Log'!D:D,A8,'QA Log'!M:M,"Data Verification",'QA Log'!L:L,"Personnel (section 1)",'QA Log'!Z:Z,"Approved"),"")</f>
        <v>0</v>
      </c>
      <c r="AQ8" s="105">
        <f ca="1">IF(A8&lt;&gt;"",COUNTIFS('QA Log'!D:D,A8,'QA Log'!M:M,"Data Verification",'QA Log'!L:L,"Consumable (section 3)",'QA Log'!Z:Z,"Approved"),"")</f>
        <v>0</v>
      </c>
      <c r="AR8" s="105">
        <f ca="1">IF(A8&lt;&gt;"",COUNTIFS('QA Log'!D:D,A8,'QA Log'!M:M,"Data Verification",'QA Log'!L:L,"Equipments (section 4)",'QA Log'!Z:Z,"Approved"),"")</f>
        <v>1</v>
      </c>
      <c r="AS8" s="102">
        <f ca="1">IF(A8="","",
SUM(
COUNTIFS('QA Log'!D:D,A8,'QA Log'!M:M,"Data Verification",'QA Log'!Z:Z,"Rejected",'QA Log'!L:L,"*Personnel (section 1)*"),
COUNTIFS('QA Log'!D:D,A8,'QA Log'!M:M,"Data Verification",'QA Log'!Z:Z,"Rejected",'QA Log'!L:L,"*Consumable (section 3)*"),
COUNTIFS('QA Log'!D:D,A8,'QA Log'!M:M,"Data Verification",'QA Log'!Z:Z,"Rejected",'QA Log'!L:L,"*Equipments (section 4)*")
))</f>
        <v>0</v>
      </c>
      <c r="AT8" s="102" t="e">
        <f t="shared" ca="1" si="7"/>
        <v>#NAME?</v>
      </c>
      <c r="AU8" s="103">
        <f t="shared" ca="1" si="8"/>
        <v>2</v>
      </c>
      <c r="AV8" s="102">
        <f ca="1">IF(A8="","",SUM(
COUNTIFS('QA Log'!D:D,A8,'QA Log'!M:M,"Vignette",'QA Log'!L:L,"*Vignette [1] Respiratory Infection: Pneumonia*"),
COUNTIFS('QA Log'!D:D,A8,'QA Log'!M:M,"Vignette",'QA Log'!L:L,"*Vignette [2]: Diarrhea with Cat B dehydration*"),
COUNTIFS('QA Log'!D:D,A8,'QA Log'!M:M,"Vignette",'QA Log'!L:L,"*Vignette [3] Growth Monitoring and Promotion*"),
COUNTIFS('QA Log'!D:D,A8,'QA Log'!M:M,"Vignette",'QA Log'!L:L,"*Vignette [4]: The management of presumptive TB patient*")
)
)</f>
        <v>5</v>
      </c>
      <c r="AW8" s="102">
        <f ca="1">IF(
  A8="","",
  SUM(
    COUNTIFS('QA Log'!D:D,A8,'QA Log'!M:M,"Vignette",'QA Log'!Z:Z,"Approved",'QA Log'!L:L,"*Vignette [1] Respiratory Infection: Pneumonia*"),
    COUNTIFS('QA Log'!D:D,A8,'QA Log'!M:M,"Vignette",'QA Log'!Z:Z,"Approved",'QA Log'!L:L,"*Vignette [2]: Diarrhea with Cat B dehydration*"),
    COUNTIFS('QA Log'!D:D,A8,'QA Log'!M:M,"Vignette",'QA Log'!Z:Z,"Approved",'QA Log'!L:L,"*Vignette [3] Growth Monitoring and Promotion*"),
    COUNTIFS('QA Log'!D:D,A8,'QA Log'!M:M,"Vignette",'QA Log'!Z:Z,"Approved",'QA Log'!L:L,"*Vignette [4]: The management of presumptive TB patient*")
  )
)</f>
        <v>0</v>
      </c>
      <c r="AX8" s="105">
        <f ca="1">IF(A8&lt;&gt;"",COUNTIFS('QA Log'!D:D,A8,'QA Log'!M:M,"Vignette",'QA Log'!L:L,"Vignette [1] Respiratory Infection: Pneumonia",'QA Log'!Z:Z,"Approved"),"")</f>
        <v>0</v>
      </c>
      <c r="AY8" s="105">
        <f ca="1">IF(A8&lt;&gt;"",COUNTIFS('QA Log'!D:D,A8,'QA Log'!M:M,"Vignette",'QA Log'!L:L,"Vignette [2]: Diarrhea with Cat B dehydration",'QA Log'!Z:Z,"Approved"),"")</f>
        <v>0</v>
      </c>
      <c r="AZ8" s="105">
        <f ca="1">IF(A8&lt;&gt;"",COUNTIFS('QA Log'!D:D,A8,'QA Log'!M:M,"Vignette",'QA Log'!L:L,"Vignette [3] Growth Monitoring and Promotion",'QA Log'!Z:Z,"Approved"),"")</f>
        <v>0</v>
      </c>
      <c r="BA8" s="105">
        <f ca="1">IF(A8&lt;&gt;"",COUNTIFS('QA Log'!D:D,A8,'QA Log'!M:M,"Vignette",'QA Log'!L:L,"Vignette [4]: The management of presumptive TB patient",'QA Log'!Z:Z,"Approved"),"")</f>
        <v>0</v>
      </c>
      <c r="BB8" s="102">
        <f ca="1">IF(A8="","",
  SUM(
    COUNTIFS('QA Log'!D:D,A8,'QA Log'!M:M,"Vignette",'QA Log'!Z:Z,"Rejected",'QA Log'!L:L,"*Vignette [1] Respiratory Infection: Pneumonia*"),
    COUNTIFS('QA Log'!D:D,A8,'QA Log'!M:M,"Vignette",'QA Log'!Z:Z,"Rejected",'QA Log'!L:L,"*Vignette [2]: Diarrhea with Cat B dehydration*"),
    COUNTIFS('QA Log'!D:D,A8,'QA Log'!M:M,"Vignette",'QA Log'!Z:Z,"Rejected",'QA Log'!L:L,"*Vignette [3] Growth Monitoring and Promotion*"),
    COUNTIFS('QA Log'!D:D,A8,'QA Log'!M:M,"Vignette",'QA Log'!Z:Z,"Rejected",'QA Log'!L:L,"*Vignette [4]: The management of presumptive TB patient*")
  )
)</f>
        <v>0</v>
      </c>
      <c r="BC8" s="107">
        <f t="shared" ca="1" si="9"/>
        <v>2</v>
      </c>
      <c r="BD8" s="103">
        <f t="shared" ca="1" si="10"/>
        <v>2</v>
      </c>
      <c r="BE8" s="102">
        <f ca="1">IF(A8="","",SUM(
COUNTIFS('QA Log'!D:D,A8,'QA Log'!M:M,"Vignette",'QA Log'!L:L,"*Vignette [5] Labor*"),
COUNTIFS('QA Log'!D:D,A8,'QA Log'!M:M,"Vignette",'QA Log'!L:L,"*Vignette [6] PNC pre Discharge*"),
COUNTIFS('QA Log'!D:D,A8,'QA Log'!M:M,"Vignette",'QA Log'!L:L,"*Vignette [7] First ANC Visit*"),
COUNTIFS('QA Log'!D:D,A8,'QA Log'!M:M,"Vignette",'QA Log'!L:L,"*Vignette [8] Birth Spacing/ Family Planning :  FP Counselling*"),
COUNTIFS('QA Log'!D:D,A8,'QA Log'!M:M,"Vignette",'QA Log'!L:L,"*Vignette [9] Birth Spacing: Change FP method to Injectable*"),
COUNTIFS('QA Log'!D:D,A8,'QA Log'!M:M,"Vignette",'QA Log'!L:L,"*Vignette [10] Post Partum Haemorrhage - Atonic Uterus at Health Centre*"),
)
)</f>
        <v>2</v>
      </c>
      <c r="BF8" s="102">
        <f ca="1">IF(A8="","",
  SUM(
    COUNTIFS('QA Log'!D:D,A8,'QA Log'!M:M,"Vignette",'QA Log'!Z:Z,"Approved",'QA Log'!L:L,"*Vignette [5] Labor*"),
    COUNTIFS('QA Log'!D:D,A8,'QA Log'!M:M,"Vignette",'QA Log'!Z:Z,"Approved",'QA Log'!L:L,"*Vignette [6] PNC pre Discharge*"),
    COUNTIFS('QA Log'!D:D,A8,'QA Log'!M:M,"Vignette",'QA Log'!Z:Z,"Approved",'QA Log'!L:L,"*Vignette [7] First ANC Visit*"),
    COUNTIFS('QA Log'!D:D,A8,'QA Log'!M:M,"Vignette",'QA Log'!Z:Z,"Approved",'QA Log'!L:L,"*Vignette [8] Birth Spacing/ Family Planning :  FP Counselling*"),
    COUNTIFS('QA Log'!D:D,A8,'QA Log'!M:M,"Vignette",'QA Log'!Z:Z,"Approved",'QA Log'!L:L,"*Vignette [9] Birth Spacing: Change FP method to Injectable*"),
    COUNTIFS('QA Log'!D:D,A8,'QA Log'!M:M,"Vignette",'QA Log'!Z:Z,"Approved",'QA Log'!L:L,"*Vignette [10] Post Partum Haemorrhage - Atonic Uterus at Health Centre*")
  )
)</f>
        <v>0</v>
      </c>
      <c r="BG8" s="105">
        <f ca="1">IF(A8&lt;&gt;"",COUNTIFS('QA Log'!D:D,A8,'QA Log'!M:M,"Vignette",'QA Log'!L:L,"Vignette [5] Labor",'QA Log'!Z:Z,"Approved"),"")</f>
        <v>0</v>
      </c>
      <c r="BH8" s="105">
        <f ca="1">IF(A8&lt;&gt;"",COUNTIFS('QA Log'!D:D,A8,'QA Log'!M:M,"Vignette",'QA Log'!L:L,"Vignette [6] PNC pre Discharge",'QA Log'!Z:Z,"Approved"),"")</f>
        <v>0</v>
      </c>
      <c r="BI8" s="105">
        <f ca="1">IF(A8&lt;&gt;"",COUNTIFS('QA Log'!D:D,A8,'QA Log'!M:M,"Vignette",'QA Log'!L:L,"Vignette [7] First ANC Visit",'QA Log'!Z:Z,"Approved"),"")</f>
        <v>0</v>
      </c>
      <c r="BJ8" s="105">
        <f ca="1">IF(A8&lt;&gt;"",COUNTIFS('QA Log'!D:D,A8,'QA Log'!M:M,"Vignette",'QA Log'!L:L,"Vignette [8] Birth Spacing/ Family Planning :  FP Counselling",'QA Log'!Z:Z,"Approved"),"")</f>
        <v>0</v>
      </c>
      <c r="BK8" s="105">
        <f ca="1">IF(A8&lt;&gt;"",COUNTIFS('QA Log'!D:D,A8,'QA Log'!M:M,"Vignette",'QA Log'!L:L,"Vignette [9] Birth Spacing: Change FP method to Injectable",'QA Log'!Z:Z,"Approved"),"")</f>
        <v>0</v>
      </c>
      <c r="BL8" s="105">
        <f ca="1">IF(A8&lt;&gt;"",COUNTIFS('QA Log'!D:D,A8,'QA Log'!M:M,"Vignette",'QA Log'!L:L,"Vignette [10] Post Partum Haemorrhage - Atonic Uterus at Health Centre",'QA Log'!Z:Z,"Approved"),"")</f>
        <v>0</v>
      </c>
      <c r="BM8" s="102">
        <f ca="1">IF(A8="","",SUM(
    COUNTIFS('QA Log'!D:D,A8,'QA Log'!M:M,"Vignette",'QA Log'!Z:Z,"Rejected",'QA Log'!L:L,"*Vignette [5] Labor*"),
    COUNTIFS('QA Log'!D:D,A8,'QA Log'!M:M,"Vignette",'QA Log'!Z:Z,"Rejected",'QA Log'!L:L,"*Vignette [6] PNC pre Discharge*"),
    COUNTIFS('QA Log'!D:D,A8,'QA Log'!M:M,"Vignette",'QA Log'!Z:Z,"Rejected",'QA Log'!L:L,"*Vignette [7] First ANC Visit*"),
    COUNTIFS('QA Log'!D:D,A8,'QA Log'!M:M,"Vignette",'QA Log'!Z:Z,"Rejected",'QA Log'!L:L,"*Vignette [8] Birth Spacing/ Family Planning :  FP Counselling*"),
    COUNTIFS('QA Log'!D:D,A8,'QA Log'!M:M,"Vignette",'QA Log'!Z:Z,"Rejected",'QA Log'!L:L,"*Vignette [9] Birth Spacing: Change FP method to Injectable*"),
    COUNTIFS('QA Log'!D:D,A8,'QA Log'!M:M,"Vignette",'QA Log'!Z:Z,"Rejected",'QA Log'!L:L,"*Vignette [10] Post Partum Haemorrhage - Atonic Uterus at Health Centre*")
  )
)</f>
        <v>0</v>
      </c>
      <c r="BN8" s="107">
        <f t="shared" ca="1" si="11"/>
        <v>2</v>
      </c>
      <c r="BO8" s="103">
        <f t="shared" ca="1" si="12"/>
        <v>2</v>
      </c>
      <c r="BP8" s="102">
        <f ca="1">IF(A8="","",SUM(
COUNTIFS('QA Log'!D:D,A8,'QA Log'!M:M,"Vignette",'QA Log'!L:L,"*Exit Interview 1*"),
COUNTIFS('QA Log'!D:D,A8,'QA Log'!M:M,"Vignette",'QA Log'!L:L,"*Exit Interview 2*"),
)
)</f>
        <v>2</v>
      </c>
      <c r="BQ8" s="102">
        <f ca="1">IF(
  A8="","",
  SUM(
    COUNTIFS('QA Log'!D:D,A8,'QA Log'!M:M,"Vignette",'QA Log'!Z:Z,"Approved",'QA Log'!L:L,"*Exit Interview 1*"),
    COUNTIFS('QA Log'!D:D,A8,'QA Log'!M:M,"Vignette",'QA Log'!Z:Z,"Approved",'QA Log'!L:L,"*Exit Interview 2*")
  )
)</f>
        <v>0</v>
      </c>
      <c r="BR8" s="105">
        <f ca="1">IF(A8&lt;&gt;"",COUNTIFS('QA Log'!D:D,A8,'QA Log'!M:M,"Vignette",'QA Log'!L:L,"Exit Interview 1",'QA Log'!Z:Z,"Approved"),"")</f>
        <v>0</v>
      </c>
      <c r="BS8" s="105">
        <f ca="1">IF(A8&lt;&gt;"",COUNTIFS('QA Log'!D:D,A8,'QA Log'!M:M,"Vignette",'QA Log'!L:L,"Exit Interview 2",'QA Log'!Z:Z,"Approved"),"")</f>
        <v>0</v>
      </c>
      <c r="BT8" s="102">
        <f ca="1">IF(
  A8="","",
  SUM(
    COUNTIFS('QA Log'!D:D,A8,'QA Log'!M:M,"Vignette",'QA Log'!Z:Z,"Rejected",'QA Log'!L:L,"*Exit Interview 1*"),
    COUNTIFS('QA Log'!D:D,A8,'QA Log'!M:M,"Vignette",'QA Log'!Z:Z,"Rejected",'QA Log'!L:L,"*Exit Interview 2*")
  )
)</f>
        <v>0</v>
      </c>
      <c r="BU8" s="107">
        <f t="shared" ca="1" si="13"/>
        <v>2</v>
      </c>
      <c r="BV8" s="102" t="e">
        <f t="shared" ca="1" si="14"/>
        <v>#NAME?</v>
      </c>
      <c r="BW8" s="102">
        <f t="shared" ca="1" si="15"/>
        <v>14</v>
      </c>
      <c r="BX8" s="102">
        <f t="shared" ca="1" si="16"/>
        <v>2</v>
      </c>
      <c r="BY8" s="102">
        <f t="shared" ca="1" si="17"/>
        <v>1</v>
      </c>
      <c r="BZ8" s="107" t="e">
        <f t="shared" ca="1" si="18"/>
        <v>#NAME?</v>
      </c>
      <c r="CA8" s="108" t="e">
        <f t="shared" ca="1" si="19"/>
        <v>#NAME?</v>
      </c>
      <c r="CB8" s="108" t="e">
        <f t="shared" ca="1" si="20"/>
        <v>#NAME?</v>
      </c>
      <c r="CC8" s="109" t="str">
        <f t="shared" ca="1" si="21"/>
        <v>Fully Received</v>
      </c>
      <c r="CD8" s="108" t="e">
        <f t="shared" ca="1" si="22"/>
        <v>#NAME?</v>
      </c>
      <c r="CE8" s="108" t="e">
        <f t="shared" ca="1" si="23"/>
        <v>#NAME?</v>
      </c>
      <c r="CF8" s="109" t="str">
        <f t="shared" ca="1" si="24"/>
        <v>Not Received</v>
      </c>
      <c r="CG8" s="110" t="e">
        <f t="shared" ca="1" si="25"/>
        <v>#NAME?</v>
      </c>
      <c r="CH8" s="111"/>
    </row>
    <row r="9" spans="1:86" ht="12.75">
      <c r="A9" s="101" t="str">
        <f ca="1">IFERROR(__xludf.DUMMYFUNCTION("""COMPUTED_VALUE"""),"HER-TAK-HF2870-Q2-2025-1246-01")</f>
        <v>HER-TAK-HF2870-Q2-2025-1246-01</v>
      </c>
      <c r="B9" s="102" t="e">
        <f t="array" aca="1" ref="B9" ca="1">_xludf.XLOOKUP(A9,'QA Log'!D:D,'QA Log'!E:E,"")</f>
        <v>#NAME?</v>
      </c>
      <c r="C9" s="102" t="e">
        <f t="array" aca="1" ref="C9" ca="1">_xludf.XLOOKUP(A9,'QA Log'!D:D,'QA Log'!F:F,"")</f>
        <v>#NAME?</v>
      </c>
      <c r="D9" s="102" t="e">
        <f t="array" aca="1" ref="D9" ca="1">_xludf.XLOOKUP(A9,'QA Log'!D:D,'QA Log'!H:H,"")</f>
        <v>#NAME?</v>
      </c>
      <c r="E9" s="102" t="e">
        <f t="array" aca="1" ref="E9" ca="1">_xludf.XLOOKUP(A9,'QA Log'!D:D,'QA Log'!G:G,"")</f>
        <v>#NAME?</v>
      </c>
      <c r="F9" s="103" t="s">
        <v>91</v>
      </c>
      <c r="G9" s="104">
        <v>45960</v>
      </c>
      <c r="H9" s="104">
        <v>45961</v>
      </c>
      <c r="I9" s="103" t="e">
        <f t="shared" ca="1" si="0"/>
        <v>#NAME?</v>
      </c>
      <c r="J9" s="102">
        <f ca="1">IF(A9="","",SUM(
COUNTIFS('QA Log'!D:D,A9,'QA Log'!M:M,"QQC",'QA Log'!L:L,"*1. General Management*"),
COUNTIFS('QA Log'!D:D,A9,'QA Log'!M:M,"QQC",'QA Log'!L:L,"*3. Curative Consultation (OPD)*"),
COUNTIFS('QA Log'!D:D,A9,'QA Log'!M:M,"QQC",'QA Log'!L:L,"*5. Laboratory*"),
COUNTIFS('QA Log'!D:D,A9,'QA Log'!M:M,"QQC",'QA Log'!L:L,"*6. Essential Medicine Management*"),
COUNTIFS('QA Log'!D:D,A9,'QA Log'!M:M,"QQC",'QA Log'!L:L,"*7. Tracer Medicine*"),
COUNTIFS('QA Log'!D:D,A9,'QA Log'!M:M,"QQC",'QA Log'!L:L,"*11. Additional Questions*")))</f>
        <v>0</v>
      </c>
      <c r="K9" s="102">
        <f ca="1">IF(A9="","",SUM(
COUNTIFS('QA Log'!D:D,A9,'QA Log'!M:M,"QQC",'QA Log'!Z:Z,"Approved",'QA Log'!L:L,"*1. General Management*"),
COUNTIFS('QA Log'!D:D,A9,'QA Log'!M:M,"QQC",'QA Log'!Z:Z,"Approved",'QA Log'!L:L,"*3. Curative Consultation (OPD)*"),
COUNTIFS('QA Log'!D:D,A9,'QA Log'!M:M,"QQC",'QA Log'!Z:Z,"Approved",'QA Log'!L:L,"*5. Laboratory*"),
COUNTIFS('QA Log'!D:D,A9,'QA Log'!M:M,"QQC",'QA Log'!Z:Z,"Approved",'QA Log'!L:L,"*6. Essential Medicine Management*"),
COUNTIFS('QA Log'!D:D,A9,'QA Log'!M:M,"QQC",'QA Log'!Z:Z,"Approved",'QA Log'!L:L,"*7. Tracer Medicine*"),
COUNTIFS('QA Log'!D:D,A9,'QA Log'!M:M,"QQC",'QA Log'!Z:Z,"Approved",'QA Log'!L:L,"*11. Additional Questions*")))</f>
        <v>0</v>
      </c>
      <c r="L9" s="105">
        <f ca="1">IF(A9&lt;&gt;"",COUNTIFS('QA Log'!D:D,A9,'QA Log'!M:M,"QQC",'QA Log'!L:L,"1. General Management",'QA Log'!Z:Z,"Approved"),"")</f>
        <v>0</v>
      </c>
      <c r="M9" s="105">
        <f ca="1">IF(A9&lt;&gt;"",COUNTIFS('QA Log'!D:D,A9,'QA Log'!M:M,"QQC",'QA Log'!L:L,"3. Curative Consultation (OPD)",'QA Log'!Z:Z,"Approved"),"")</f>
        <v>0</v>
      </c>
      <c r="N9" s="105">
        <f ca="1">IF(A9&lt;&gt;"",COUNTIFS('QA Log'!D:D,A9,'QA Log'!M:M,"QQC",'QA Log'!L:L,"5. Laboratory",'QA Log'!Z:Z,"Approved"),"")</f>
        <v>0</v>
      </c>
      <c r="O9" s="105">
        <f ca="1">IF(A9&lt;&gt;"",COUNTIFS('QA Log'!D:D,A9,'QA Log'!M:M,"QQC",'QA Log'!L:L,"6. Essential Medicine Management",'QA Log'!Z:Z,"Approved"),"")</f>
        <v>0</v>
      </c>
      <c r="P9" s="105">
        <f ca="1">IF(A9&lt;&gt;"",COUNTIFS('QA Log'!D:D,A9,'QA Log'!M:M,"QQC",'QA Log'!L:L,"7. Tracer Medicine",'QA Log'!Z:Z,"Approved"),"")</f>
        <v>0</v>
      </c>
      <c r="Q9" s="105">
        <f ca="1">IF(A9&lt;&gt;"",COUNTIFS('QA Log'!D:D,A9,'QA Log'!M:M,"QQC",'QA Log'!L:L,"11. Additional Questions",'QA Log'!Z:Z,"Approved"),"")</f>
        <v>0</v>
      </c>
      <c r="R9" s="102">
        <f ca="1">IF(A9="","",SUM(
COUNTIFS('QA Log'!D:D,A9,'QA Log'!M:M,"QQC",'QA Log'!Z:Z,"Rejected",'QA Log'!L:L,"*8. Maternity*"),
COUNTIFS('QA Log'!D:D,A9,'QA Log'!M:M,"QQC",'QA Log'!Z:Z,"Rejected",'QA Log'!L:L,"*EPI*"),
COUNTIFS('QA Log'!D:D,A9,'QA Log'!M:M,"QQC",'QA Log'!Z:Z,"Rejected",'QA Log'!L:L,"*10. Antenatal Care (ANC)*"),
COUNTIFS('QA Log'!D:D,A9,'QA Log'!M:M,"QQC",'QA Log'!Z:Z,"Rejected",'QA Log'!L:L,"*2. Hygiene and Sterilization*"),
COUNTIFS('QA Log'!D:D,A9,'QA Log'!M:M,"QQC",'QA Log'!Z:Z,"Rejected",'QA Log'!L:L,"*Family Planning*")))</f>
        <v>0</v>
      </c>
      <c r="S9" s="106" t="e">
        <f t="shared" ca="1" si="1"/>
        <v>#NAME?</v>
      </c>
      <c r="T9" s="102" t="e">
        <f t="shared" ca="1" si="2"/>
        <v>#NAME?</v>
      </c>
      <c r="U9" s="102">
        <f ca="1">IF(A9="","",
SUM(
COUNTIFS('QA Log'!D:D,A9,'QA Log'!M:M,"QQC",'QA Log'!L:L,"*8. Maternity*"),
COUNTIFS('QA Log'!D:D,A9,'QA Log'!M:M,"QQC",'QA Log'!L:L,"*9. EPI and Pre-school Consultation*"),
COUNTIFS('QA Log'!D:D,A9,'QA Log'!M:M,"QQC",'QA Log'!L:L,"*10. Antenatal Care (ANC)*"),
COUNTIFS('QA Log'!D:D,A9,'QA Log'!M:M,"QQC",'QA Log'!L:L,"*2. Hygiene and Sterilization*"),
COUNTIFS('QA Log'!D:D,A9,'QA Log'!M:M,"QQC",'QA Log'!L:L,"*4. Family Planning*")
))</f>
        <v>0</v>
      </c>
      <c r="V9" s="102">
        <f ca="1">IF(A9="","",
SUM(
COUNTIFS('QA Log'!D:D,A9,'QA Log'!M:M,"QQC",'QA Log'!Z:Z,"Approved",'QA Log'!L:L,"*8. Maternity*"),
COUNTIFS('QA Log'!D:D,A9,'QA Log'!M:M,"QQC",'QA Log'!Z:Z,"Approved",'QA Log'!L:L,"*9. EPI and Pre-school Consultation*"),
COUNTIFS('QA Log'!D:D,A9,'QA Log'!M:M,"QQC",'QA Log'!Z:Z,"Approved",'QA Log'!L:L,"*10. Antenatal Care (ANC)*"),
COUNTIFS('QA Log'!D:D,A9,'QA Log'!M:M,"QQC",'QA Log'!Z:Z,"Approved",'QA Log'!L:L,"*2. Hygiene and Sterilization*"),
COUNTIFS('QA Log'!D:D,A9,'QA Log'!M:M,"QQC",'QA Log'!Z:Z,"Approved",'QA Log'!L:L,"*4. Family Planning*")
))</f>
        <v>0</v>
      </c>
      <c r="W9" s="105">
        <f ca="1">IF(A9&lt;&gt;"",COUNTIFS('QA Log'!D:D,A9,'QA Log'!M:M,"QQC",'QA Log'!L:L,"8. Maternity",'QA Log'!Z:Z,"Approved"),"")</f>
        <v>0</v>
      </c>
      <c r="X9" s="105">
        <f ca="1">IF(A9&lt;&gt;"",COUNTIFS('QA Log'!D:D,A9,'QA Log'!M:M,"QQC",'QA Log'!L:L,"9. EPI and Pre-school Consultation",'QA Log'!Z:Z,"Approved"),"")</f>
        <v>0</v>
      </c>
      <c r="Y9" s="105">
        <f ca="1">IF(A9&lt;&gt;"",COUNTIFS('QA Log'!D:D,A9,'QA Log'!M:M,"QQC",'QA Log'!L:L,"10. Antenatal Care (ANC)",'QA Log'!Z:Z,"Approved"),"")</f>
        <v>0</v>
      </c>
      <c r="Z9" s="105">
        <f ca="1">IF(A9&lt;&gt;"",COUNTIFS('QA Log'!D:D,A9,'QA Log'!M:M,"QQC",'QA Log'!L:L,"2. Hygiene and Sterilization",'QA Log'!Z:Z,"Approved"),"")</f>
        <v>0</v>
      </c>
      <c r="AA9" s="105">
        <f ca="1">IF(A9&lt;&gt;"",COUNTIFS('QA Log'!D:D,A9,'QA Log'!M:M,"QQC",'QA Log'!L:L,"4. Family Planning",'QA Log'!Z:Z,"Approved"),"")</f>
        <v>0</v>
      </c>
      <c r="AB9" s="102">
        <f ca="1">IF(A9="","",
SUM(
COUNTIFS('QA Log'!D:D,A9,'QA Log'!M:M,"QQC",'QA Log'!Z:Z,"Rejected",'QA Log'!L:L,"*8. Maternity*"),
COUNTIFS('QA Log'!D:D,A9,'QA Log'!M:M,"QQC",'QA Log'!Z:Z,"Rejected",'QA Log'!L:L,"*9. EPI and Pre-school Consultation*"),
COUNTIFS('QA Log'!D:D,A9,'QA Log'!M:M,"QQC",'QA Log'!Z:Z,"Rejected",'QA Log'!L:L,"*10. Antenatal Care (ANC)*"),
COUNTIFS('QA Log'!D:D,A9,'QA Log'!M:M,"QQC",'QA Log'!Z:Z,"Rejected",'QA Log'!L:L,"*2. Hygiene and Sterilization*"),
COUNTIFS('QA Log'!D:D,A9,'QA Log'!M:M,"QQC",'QA Log'!Z:Z,"Rejected",'QA Log'!L:L,"*4. Family Planning*")
))</f>
        <v>0</v>
      </c>
      <c r="AC9" s="102" t="e">
        <f t="shared" ca="1" si="3"/>
        <v>#NAME?</v>
      </c>
      <c r="AD9" s="103" t="e">
        <f t="shared" ca="1" si="4"/>
        <v>#NAME?</v>
      </c>
      <c r="AE9" s="102">
        <f ca="1">IF(A9="","",
SUM(
COUNTIFS('QA Log'!D:D,A9,'QA Log'!M:M,"Data Verification",'QA Log'!L:L,"*Medicine (section 2)*"),
COUNTIFS('QA Log'!D:D,A9,'QA Log'!M:M,"Data Verification",'QA Log'!L:L,"*Lab Testing Availability*"),
COUNTIFS('QA Log'!D:D,A9,'QA Log'!M:M,"Data Verification",'QA Log'!L:L,"*Other than P4P (section 6)*"),
COUNTIFS('QA Log'!D:D,A9,'QA Log'!M:M,"Data Verification",'QA Log'!L:L,"*Hospital Governance*")
))</f>
        <v>2</v>
      </c>
      <c r="AF9" s="102">
        <f ca="1">IF(A9="","",
SUM(
COUNTIFS('QA Log'!D:D,A9,'QA Log'!M:M,"Data Verification",'QA Log'!Z:Z,"Approved",'QA Log'!L:L,"*Medicine (section 2)*"),
COUNTIFS('QA Log'!D:D,A9,'QA Log'!M:M,"Data Verification",'QA Log'!Z:Z,"Approved",'QA Log'!L:L,"*Lab Testing Availability*"),
COUNTIFS('QA Log'!D:D,A9,'QA Log'!M:M,"Data Verification",'QA Log'!Z:Z,"Approved",'QA Log'!L:L,"*Other than P4P (section 6)*"),
COUNTIFS('QA Log'!D:D,A9,'QA Log'!M:M,"Data Verification",'QA Log'!Z:Z,"Approved",'QA Log'!L:L,"*Hospital Governance*")
))</f>
        <v>0</v>
      </c>
      <c r="AG9" s="105">
        <f ca="1">IF(A9&lt;&gt;"",COUNTIFS('QA Log'!D:D,A9,'QA Log'!M:M,"Data Verification",'QA Log'!L:L,"Medicine (section 2)",'QA Log'!Z:Z,"Approved"),"")</f>
        <v>0</v>
      </c>
      <c r="AH9" s="105">
        <f ca="1">IF(A9&lt;&gt;"",COUNTIFS('QA Log'!D:D,A9,'QA Log'!M:M,"Data Verification",'QA Log'!L:L,"Lab Testing Availability",'QA Log'!Z:Z,"Approved"),"")</f>
        <v>0</v>
      </c>
      <c r="AI9" s="105">
        <f ca="1">IF(A9&lt;&gt;"",COUNTIFS('QA Log'!D:D,A9,'QA Log'!M:M,"Data Verification",'QA Log'!L:L,"Other than P4P (section 6)",'QA Log'!Z:Z,"Approved"),"")</f>
        <v>0</v>
      </c>
      <c r="AJ9" s="105">
        <f ca="1">IF(A9&lt;&gt;"",COUNTIFS('QA Log'!D:D,A9,'QA Log'!M:M,"Data Verification",'QA Log'!L:L,"Hospital Governance",'QA Log'!Z:Z,"Approved"),"")</f>
        <v>0</v>
      </c>
      <c r="AK9" s="102">
        <f ca="1">IF(A9="","",
SUM(
COUNTIFS('QA Log'!D:D,A9,'QA Log'!M:M,"Data Verification",'QA Log'!Z:Z,"Rejected",'QA Log'!L:L,"*Medicine (section 2)*"),
COUNTIFS('QA Log'!D:D,A9,'QA Log'!M:M,"Data Verification",'QA Log'!Z:Z,"Rejected",'QA Log'!L:L,"*Lab Testing Availability*"),
COUNTIFS('QA Log'!D:D,A9,'QA Log'!M:M,"Data Verification",'QA Log'!Z:Z,"Rejected",'QA Log'!L:L,"*Other than P4P (section 6)*"),
COUNTIFS('QA Log'!D:D,A9,'QA Log'!M:M,"Data Verification",'QA Log'!Z:Z,"Rejected",'QA Log'!L:L,"*Hospital Governance*")
))</f>
        <v>0</v>
      </c>
      <c r="AL9" s="106" t="e">
        <f t="shared" ca="1" si="5"/>
        <v>#NAME?</v>
      </c>
      <c r="AM9" s="102" t="e">
        <f t="shared" ca="1" si="6"/>
        <v>#NAME?</v>
      </c>
      <c r="AN9" s="102">
        <f ca="1">IF(A9="","",
SUM(
COUNTIFS('QA Log'!D:D,A9,'QA Log'!M:M,"Data Verification",'QA Log'!L:L,"*Personnel (section 1)*"),
COUNTIFS('QA Log'!D:D,A9,'QA Log'!M:M,"Data Verification",'QA Log'!L:L,"*Consumable (section 3)*"),
COUNTIFS('QA Log'!D:D,A9,'QA Log'!M:M,"Data Verification",'QA Log'!L:L,"*Equipments (section 4)*")
))</f>
        <v>3</v>
      </c>
      <c r="AO9" s="102">
        <f ca="1">IF(A9="","",
SUM(
COUNTIFS('QA Log'!D:D,A9,'QA Log'!M:M,"Data Verification",'QA Log'!Z:Z,"Approved",'QA Log'!L:L,"*Personnel (section 1)*"),
COUNTIFS('QA Log'!D:D,A9,'QA Log'!M:M,"Data Verification",'QA Log'!Z:Z,"Approved",'QA Log'!L:L,"*Consumable (section 3)*"),
COUNTIFS('QA Log'!D:D,A9,'QA Log'!M:M,"Data Verification",'QA Log'!Z:Z,"Approved",'QA Log'!L:L,"*Equipments (section 4)*")
))</f>
        <v>0</v>
      </c>
      <c r="AP9" s="105">
        <f ca="1">IF(A9&lt;&gt;"",COUNTIFS('QA Log'!D:D,A9,'QA Log'!M:M,"Data Verification",'QA Log'!L:L,"Personnel (section 1)",'QA Log'!Z:Z,"Approved"),"")</f>
        <v>0</v>
      </c>
      <c r="AQ9" s="105">
        <f ca="1">IF(A9&lt;&gt;"",COUNTIFS('QA Log'!D:D,A9,'QA Log'!M:M,"Data Verification",'QA Log'!L:L,"Consumable (section 3)",'QA Log'!Z:Z,"Approved"),"")</f>
        <v>0</v>
      </c>
      <c r="AR9" s="105">
        <f ca="1">IF(A9&lt;&gt;"",COUNTIFS('QA Log'!D:D,A9,'QA Log'!M:M,"Data Verification",'QA Log'!L:L,"Equipments (section 4)",'QA Log'!Z:Z,"Approved"),"")</f>
        <v>0</v>
      </c>
      <c r="AS9" s="102">
        <f ca="1">IF(A9="","",
SUM(
COUNTIFS('QA Log'!D:D,A9,'QA Log'!M:M,"Data Verification",'QA Log'!Z:Z,"Rejected",'QA Log'!L:L,"*Personnel (section 1)*"),
COUNTIFS('QA Log'!D:D,A9,'QA Log'!M:M,"Data Verification",'QA Log'!Z:Z,"Rejected",'QA Log'!L:L,"*Consumable (section 3)*"),
COUNTIFS('QA Log'!D:D,A9,'QA Log'!M:M,"Data Verification",'QA Log'!Z:Z,"Rejected",'QA Log'!L:L,"*Equipments (section 4)*")
))</f>
        <v>0</v>
      </c>
      <c r="AT9" s="102" t="e">
        <f t="shared" ca="1" si="7"/>
        <v>#NAME?</v>
      </c>
      <c r="AU9" s="103">
        <f t="shared" ca="1" si="8"/>
        <v>2</v>
      </c>
      <c r="AV9" s="102">
        <f ca="1">IF(A9="","",SUM(
COUNTIFS('QA Log'!D:D,A9,'QA Log'!M:M,"Vignette",'QA Log'!L:L,"*Vignette [1] Respiratory Infection: Pneumonia*"),
COUNTIFS('QA Log'!D:D,A9,'QA Log'!M:M,"Vignette",'QA Log'!L:L,"*Vignette [2]: Diarrhea with Cat B dehydration*"),
COUNTIFS('QA Log'!D:D,A9,'QA Log'!M:M,"Vignette",'QA Log'!L:L,"*Vignette [3] Growth Monitoring and Promotion*"),
COUNTIFS('QA Log'!D:D,A9,'QA Log'!M:M,"Vignette",'QA Log'!L:L,"*Vignette [4]: The management of presumptive TB patient*")
)
)</f>
        <v>4</v>
      </c>
      <c r="AW9" s="102">
        <f ca="1">IF(
  A9="","",
  SUM(
    COUNTIFS('QA Log'!D:D,A9,'QA Log'!M:M,"Vignette",'QA Log'!Z:Z,"Approved",'QA Log'!L:L,"*Vignette [1] Respiratory Infection: Pneumonia*"),
    COUNTIFS('QA Log'!D:D,A9,'QA Log'!M:M,"Vignette",'QA Log'!Z:Z,"Approved",'QA Log'!L:L,"*Vignette [2]: Diarrhea with Cat B dehydration*"),
    COUNTIFS('QA Log'!D:D,A9,'QA Log'!M:M,"Vignette",'QA Log'!Z:Z,"Approved",'QA Log'!L:L,"*Vignette [3] Growth Monitoring and Promotion*"),
    COUNTIFS('QA Log'!D:D,A9,'QA Log'!M:M,"Vignette",'QA Log'!Z:Z,"Approved",'QA Log'!L:L,"*Vignette [4]: The management of presumptive TB patient*")
  )
)</f>
        <v>0</v>
      </c>
      <c r="AX9" s="105">
        <f ca="1">IF(A9&lt;&gt;"",COUNTIFS('QA Log'!D:D,A9,'QA Log'!M:M,"Vignette",'QA Log'!L:L,"Vignette [1] Respiratory Infection: Pneumonia",'QA Log'!Z:Z,"Approved"),"")</f>
        <v>0</v>
      </c>
      <c r="AY9" s="105">
        <f ca="1">IF(A9&lt;&gt;"",COUNTIFS('QA Log'!D:D,A9,'QA Log'!M:M,"Vignette",'QA Log'!L:L,"Vignette [2]: Diarrhea with Cat B dehydration",'QA Log'!Z:Z,"Approved"),"")</f>
        <v>0</v>
      </c>
      <c r="AZ9" s="105">
        <f ca="1">IF(A9&lt;&gt;"",COUNTIFS('QA Log'!D:D,A9,'QA Log'!M:M,"Vignette",'QA Log'!L:L,"Vignette [3] Growth Monitoring and Promotion",'QA Log'!Z:Z,"Approved"),"")</f>
        <v>0</v>
      </c>
      <c r="BA9" s="105">
        <f ca="1">IF(A9&lt;&gt;"",COUNTIFS('QA Log'!D:D,A9,'QA Log'!M:M,"Vignette",'QA Log'!L:L,"Vignette [4]: The management of presumptive TB patient",'QA Log'!Z:Z,"Approved"),"")</f>
        <v>0</v>
      </c>
      <c r="BB9" s="102">
        <f ca="1">IF(A9="","",
  SUM(
    COUNTIFS('QA Log'!D:D,A9,'QA Log'!M:M,"Vignette",'QA Log'!Z:Z,"Rejected",'QA Log'!L:L,"*Vignette [1] Respiratory Infection: Pneumonia*"),
    COUNTIFS('QA Log'!D:D,A9,'QA Log'!M:M,"Vignette",'QA Log'!Z:Z,"Rejected",'QA Log'!L:L,"*Vignette [2]: Diarrhea with Cat B dehydration*"),
    COUNTIFS('QA Log'!D:D,A9,'QA Log'!M:M,"Vignette",'QA Log'!Z:Z,"Rejected",'QA Log'!L:L,"*Vignette [3] Growth Monitoring and Promotion*"),
    COUNTIFS('QA Log'!D:D,A9,'QA Log'!M:M,"Vignette",'QA Log'!Z:Z,"Rejected",'QA Log'!L:L,"*Vignette [4]: The management of presumptive TB patient*")
  )
)</f>
        <v>0</v>
      </c>
      <c r="BC9" s="107">
        <f t="shared" ca="1" si="9"/>
        <v>2</v>
      </c>
      <c r="BD9" s="103">
        <f t="shared" ca="1" si="10"/>
        <v>2</v>
      </c>
      <c r="BE9" s="102">
        <f ca="1">IF(A9="","",SUM(
COUNTIFS('QA Log'!D:D,A9,'QA Log'!M:M,"Vignette",'QA Log'!L:L,"*Vignette [5] Labor*"),
COUNTIFS('QA Log'!D:D,A9,'QA Log'!M:M,"Vignette",'QA Log'!L:L,"*Vignette [6] PNC pre Discharge*"),
COUNTIFS('QA Log'!D:D,A9,'QA Log'!M:M,"Vignette",'QA Log'!L:L,"*Vignette [7] First ANC Visit*"),
COUNTIFS('QA Log'!D:D,A9,'QA Log'!M:M,"Vignette",'QA Log'!L:L,"*Vignette [8] Birth Spacing/ Family Planning :  FP Counselling*"),
COUNTIFS('QA Log'!D:D,A9,'QA Log'!M:M,"Vignette",'QA Log'!L:L,"*Vignette [9] Birth Spacing: Change FP method to Injectable*"),
COUNTIFS('QA Log'!D:D,A9,'QA Log'!M:M,"Vignette",'QA Log'!L:L,"*Vignette [10] Post Partum Haemorrhage - Atonic Uterus at Health Centre*"),
)
)</f>
        <v>2</v>
      </c>
      <c r="BF9" s="102">
        <f ca="1">IF(A9="","",
  SUM(
    COUNTIFS('QA Log'!D:D,A9,'QA Log'!M:M,"Vignette",'QA Log'!Z:Z,"Approved",'QA Log'!L:L,"*Vignette [5] Labor*"),
    COUNTIFS('QA Log'!D:D,A9,'QA Log'!M:M,"Vignette",'QA Log'!Z:Z,"Approved",'QA Log'!L:L,"*Vignette [6] PNC pre Discharge*"),
    COUNTIFS('QA Log'!D:D,A9,'QA Log'!M:M,"Vignette",'QA Log'!Z:Z,"Approved",'QA Log'!L:L,"*Vignette [7] First ANC Visit*"),
    COUNTIFS('QA Log'!D:D,A9,'QA Log'!M:M,"Vignette",'QA Log'!Z:Z,"Approved",'QA Log'!L:L,"*Vignette [8] Birth Spacing/ Family Planning :  FP Counselling*"),
    COUNTIFS('QA Log'!D:D,A9,'QA Log'!M:M,"Vignette",'QA Log'!Z:Z,"Approved",'QA Log'!L:L,"*Vignette [9] Birth Spacing: Change FP method to Injectable*"),
    COUNTIFS('QA Log'!D:D,A9,'QA Log'!M:M,"Vignette",'QA Log'!Z:Z,"Approved",'QA Log'!L:L,"*Vignette [10] Post Partum Haemorrhage - Atonic Uterus at Health Centre*")
  )
)</f>
        <v>0</v>
      </c>
      <c r="BG9" s="105">
        <f ca="1">IF(A9&lt;&gt;"",COUNTIFS('QA Log'!D:D,A9,'QA Log'!M:M,"Vignette",'QA Log'!L:L,"Vignette [5] Labor",'QA Log'!Z:Z,"Approved"),"")</f>
        <v>0</v>
      </c>
      <c r="BH9" s="105">
        <f ca="1">IF(A9&lt;&gt;"",COUNTIFS('QA Log'!D:D,A9,'QA Log'!M:M,"Vignette",'QA Log'!L:L,"Vignette [6] PNC pre Discharge",'QA Log'!Z:Z,"Approved"),"")</f>
        <v>0</v>
      </c>
      <c r="BI9" s="105">
        <f ca="1">IF(A9&lt;&gt;"",COUNTIFS('QA Log'!D:D,A9,'QA Log'!M:M,"Vignette",'QA Log'!L:L,"Vignette [7] First ANC Visit",'QA Log'!Z:Z,"Approved"),"")</f>
        <v>0</v>
      </c>
      <c r="BJ9" s="105">
        <f ca="1">IF(A9&lt;&gt;"",COUNTIFS('QA Log'!D:D,A9,'QA Log'!M:M,"Vignette",'QA Log'!L:L,"Vignette [8] Birth Spacing/ Family Planning :  FP Counselling",'QA Log'!Z:Z,"Approved"),"")</f>
        <v>0</v>
      </c>
      <c r="BK9" s="105">
        <f ca="1">IF(A9&lt;&gt;"",COUNTIFS('QA Log'!D:D,A9,'QA Log'!M:M,"Vignette",'QA Log'!L:L,"Vignette [9] Birth Spacing: Change FP method to Injectable",'QA Log'!Z:Z,"Approved"),"")</f>
        <v>0</v>
      </c>
      <c r="BL9" s="105">
        <f ca="1">IF(A9&lt;&gt;"",COUNTIFS('QA Log'!D:D,A9,'QA Log'!M:M,"Vignette",'QA Log'!L:L,"Vignette [10] Post Partum Haemorrhage - Atonic Uterus at Health Centre",'QA Log'!Z:Z,"Approved"),"")</f>
        <v>0</v>
      </c>
      <c r="BM9" s="102">
        <f ca="1">IF(A9="","",SUM(
    COUNTIFS('QA Log'!D:D,A9,'QA Log'!M:M,"Vignette",'QA Log'!Z:Z,"Rejected",'QA Log'!L:L,"*Vignette [5] Labor*"),
    COUNTIFS('QA Log'!D:D,A9,'QA Log'!M:M,"Vignette",'QA Log'!Z:Z,"Rejected",'QA Log'!L:L,"*Vignette [6] PNC pre Discharge*"),
    COUNTIFS('QA Log'!D:D,A9,'QA Log'!M:M,"Vignette",'QA Log'!Z:Z,"Rejected",'QA Log'!L:L,"*Vignette [7] First ANC Visit*"),
    COUNTIFS('QA Log'!D:D,A9,'QA Log'!M:M,"Vignette",'QA Log'!Z:Z,"Rejected",'QA Log'!L:L,"*Vignette [8] Birth Spacing/ Family Planning :  FP Counselling*"),
    COUNTIFS('QA Log'!D:D,A9,'QA Log'!M:M,"Vignette",'QA Log'!Z:Z,"Rejected",'QA Log'!L:L,"*Vignette [9] Birth Spacing: Change FP method to Injectable*"),
    COUNTIFS('QA Log'!D:D,A9,'QA Log'!M:M,"Vignette",'QA Log'!Z:Z,"Rejected",'QA Log'!L:L,"*Vignette [10] Post Partum Haemorrhage - Atonic Uterus at Health Centre*")
  )
)</f>
        <v>0</v>
      </c>
      <c r="BN9" s="107">
        <f t="shared" ca="1" si="11"/>
        <v>2</v>
      </c>
      <c r="BO9" s="103">
        <f t="shared" ca="1" si="12"/>
        <v>2</v>
      </c>
      <c r="BP9" s="102">
        <f ca="1">IF(A9="","",SUM(
COUNTIFS('QA Log'!D:D,A9,'QA Log'!M:M,"Vignette",'QA Log'!L:L,"*Exit Interview 1*"),
COUNTIFS('QA Log'!D:D,A9,'QA Log'!M:M,"Vignette",'QA Log'!L:L,"*Exit Interview 2*"),
)
)</f>
        <v>2</v>
      </c>
      <c r="BQ9" s="102">
        <f ca="1">IF(
  A9="","",
  SUM(
    COUNTIFS('QA Log'!D:D,A9,'QA Log'!M:M,"Vignette",'QA Log'!Z:Z,"Approved",'QA Log'!L:L,"*Exit Interview 1*"),
    COUNTIFS('QA Log'!D:D,A9,'QA Log'!M:M,"Vignette",'QA Log'!Z:Z,"Approved",'QA Log'!L:L,"*Exit Interview 2*")
  )
)</f>
        <v>0</v>
      </c>
      <c r="BR9" s="105">
        <f ca="1">IF(A9&lt;&gt;"",COUNTIFS('QA Log'!D:D,A9,'QA Log'!M:M,"Vignette",'QA Log'!L:L,"Exit Interview 1",'QA Log'!Z:Z,"Approved"),"")</f>
        <v>0</v>
      </c>
      <c r="BS9" s="105">
        <f ca="1">IF(A9&lt;&gt;"",COUNTIFS('QA Log'!D:D,A9,'QA Log'!M:M,"Vignette",'QA Log'!L:L,"Exit Interview 2",'QA Log'!Z:Z,"Approved"),"")</f>
        <v>0</v>
      </c>
      <c r="BT9" s="102">
        <f ca="1">IF(
  A9="","",
  SUM(
    COUNTIFS('QA Log'!D:D,A9,'QA Log'!M:M,"Vignette",'QA Log'!Z:Z,"Rejected",'QA Log'!L:L,"*Exit Interview 1*"),
    COUNTIFS('QA Log'!D:D,A9,'QA Log'!M:M,"Vignette",'QA Log'!Z:Z,"Rejected",'QA Log'!L:L,"*Exit Interview 2*")
  )
)</f>
        <v>0</v>
      </c>
      <c r="BU9" s="107">
        <f t="shared" ca="1" si="13"/>
        <v>2</v>
      </c>
      <c r="BV9" s="102" t="e">
        <f t="shared" ca="1" si="14"/>
        <v>#NAME?</v>
      </c>
      <c r="BW9" s="102">
        <f t="shared" ca="1" si="15"/>
        <v>13</v>
      </c>
      <c r="BX9" s="102">
        <f t="shared" ca="1" si="16"/>
        <v>0</v>
      </c>
      <c r="BY9" s="102">
        <f t="shared" ca="1" si="17"/>
        <v>0</v>
      </c>
      <c r="BZ9" s="107" t="e">
        <f t="shared" ca="1" si="18"/>
        <v>#NAME?</v>
      </c>
      <c r="CA9" s="108" t="e">
        <f t="shared" ca="1" si="19"/>
        <v>#NAME?</v>
      </c>
      <c r="CB9" s="108" t="e">
        <f t="shared" ca="1" si="20"/>
        <v>#NAME?</v>
      </c>
      <c r="CC9" s="109" t="str">
        <f t="shared" ca="1" si="21"/>
        <v>Fully Received</v>
      </c>
      <c r="CD9" s="108" t="e">
        <f t="shared" ca="1" si="22"/>
        <v>#NAME?</v>
      </c>
      <c r="CE9" s="108" t="e">
        <f t="shared" ca="1" si="23"/>
        <v>#NAME?</v>
      </c>
      <c r="CF9" s="109" t="str">
        <f t="shared" ca="1" si="24"/>
        <v>Not Received</v>
      </c>
      <c r="CG9" s="110" t="e">
        <f t="shared" ca="1" si="25"/>
        <v>#NAME?</v>
      </c>
      <c r="CH9" s="111"/>
    </row>
    <row r="10" spans="1:86" ht="12.75">
      <c r="A10" s="101" t="str">
        <f ca="1">IFERROR(__xludf.DUMMYFUNCTION("""COMPUTED_VALUE"""),"HER-KNR-HF2706-Q2-2025-1139-01")</f>
        <v>HER-KNR-HF2706-Q2-2025-1139-01</v>
      </c>
      <c r="B10" s="102" t="e">
        <f t="array" aca="1" ref="B10" ca="1">_xludf.XLOOKUP(A10,'QA Log'!D:D,'QA Log'!E:E,"")</f>
        <v>#NAME?</v>
      </c>
      <c r="C10" s="102" t="e">
        <f t="array" aca="1" ref="C10" ca="1">_xludf.XLOOKUP(A10,'QA Log'!D:D,'QA Log'!F:F,"")</f>
        <v>#NAME?</v>
      </c>
      <c r="D10" s="102" t="e">
        <f t="array" aca="1" ref="D10" ca="1">_xludf.XLOOKUP(A10,'QA Log'!D:D,'QA Log'!H:H,"")</f>
        <v>#NAME?</v>
      </c>
      <c r="E10" s="102" t="e">
        <f t="array" aca="1" ref="E10" ca="1">_xludf.XLOOKUP(A10,'QA Log'!D:D,'QA Log'!G:G,"")</f>
        <v>#NAME?</v>
      </c>
      <c r="F10" s="103" t="s">
        <v>91</v>
      </c>
      <c r="G10" s="102" t="s">
        <v>94</v>
      </c>
      <c r="H10" s="102" t="s">
        <v>94</v>
      </c>
      <c r="I10" s="103" t="e">
        <f t="shared" ca="1" si="0"/>
        <v>#NAME?</v>
      </c>
      <c r="J10" s="102">
        <f ca="1">IF(A10="","",SUM(
COUNTIFS('QA Log'!D:D,A10,'QA Log'!M:M,"QQC",'QA Log'!L:L,"*1. General Management*"),
COUNTIFS('QA Log'!D:D,A10,'QA Log'!M:M,"QQC",'QA Log'!L:L,"*3. Curative Consultation (OPD)*"),
COUNTIFS('QA Log'!D:D,A10,'QA Log'!M:M,"QQC",'QA Log'!L:L,"*5. Laboratory*"),
COUNTIFS('QA Log'!D:D,A10,'QA Log'!M:M,"QQC",'QA Log'!L:L,"*6. Essential Medicine Management*"),
COUNTIFS('QA Log'!D:D,A10,'QA Log'!M:M,"QQC",'QA Log'!L:L,"*7. Tracer Medicine*"),
COUNTIFS('QA Log'!D:D,A10,'QA Log'!M:M,"QQC",'QA Log'!L:L,"*11. Additional Questions*")))</f>
        <v>0</v>
      </c>
      <c r="K10" s="102">
        <f ca="1">IF(A10="","",SUM(
COUNTIFS('QA Log'!D:D,A10,'QA Log'!M:M,"QQC",'QA Log'!Z:Z,"Approved",'QA Log'!L:L,"*1. General Management*"),
COUNTIFS('QA Log'!D:D,A10,'QA Log'!M:M,"QQC",'QA Log'!Z:Z,"Approved",'QA Log'!L:L,"*3. Curative Consultation (OPD)*"),
COUNTIFS('QA Log'!D:D,A10,'QA Log'!M:M,"QQC",'QA Log'!Z:Z,"Approved",'QA Log'!L:L,"*5. Laboratory*"),
COUNTIFS('QA Log'!D:D,A10,'QA Log'!M:M,"QQC",'QA Log'!Z:Z,"Approved",'QA Log'!L:L,"*6. Essential Medicine Management*"),
COUNTIFS('QA Log'!D:D,A10,'QA Log'!M:M,"QQC",'QA Log'!Z:Z,"Approved",'QA Log'!L:L,"*7. Tracer Medicine*"),
COUNTIFS('QA Log'!D:D,A10,'QA Log'!M:M,"QQC",'QA Log'!Z:Z,"Approved",'QA Log'!L:L,"*11. Additional Questions*")))</f>
        <v>0</v>
      </c>
      <c r="L10" s="105">
        <f ca="1">IF(A10&lt;&gt;"",COUNTIFS('QA Log'!D:D,A10,'QA Log'!M:M,"QQC",'QA Log'!L:L,"1. General Management",'QA Log'!Z:Z,"Approved"),"")</f>
        <v>0</v>
      </c>
      <c r="M10" s="105">
        <f ca="1">IF(A10&lt;&gt;"",COUNTIFS('QA Log'!D:D,A10,'QA Log'!M:M,"QQC",'QA Log'!L:L,"3. Curative Consultation (OPD)",'QA Log'!Z:Z,"Approved"),"")</f>
        <v>0</v>
      </c>
      <c r="N10" s="105">
        <f ca="1">IF(A10&lt;&gt;"",COUNTIFS('QA Log'!D:D,A10,'QA Log'!M:M,"QQC",'QA Log'!L:L,"5. Laboratory",'QA Log'!Z:Z,"Approved"),"")</f>
        <v>0</v>
      </c>
      <c r="O10" s="105">
        <f ca="1">IF(A10&lt;&gt;"",COUNTIFS('QA Log'!D:D,A10,'QA Log'!M:M,"QQC",'QA Log'!L:L,"6. Essential Medicine Management",'QA Log'!Z:Z,"Approved"),"")</f>
        <v>0</v>
      </c>
      <c r="P10" s="105">
        <f ca="1">IF(A10&lt;&gt;"",COUNTIFS('QA Log'!D:D,A10,'QA Log'!M:M,"QQC",'QA Log'!L:L,"7. Tracer Medicine",'QA Log'!Z:Z,"Approved"),"")</f>
        <v>0</v>
      </c>
      <c r="Q10" s="105">
        <f ca="1">IF(A10&lt;&gt;"",COUNTIFS('QA Log'!D:D,A10,'QA Log'!M:M,"QQC",'QA Log'!L:L,"11. Additional Questions",'QA Log'!Z:Z,"Approved"),"")</f>
        <v>0</v>
      </c>
      <c r="R10" s="102">
        <f ca="1">IF(A10="","",SUM(
COUNTIFS('QA Log'!D:D,A10,'QA Log'!M:M,"QQC",'QA Log'!Z:Z,"Rejected",'QA Log'!L:L,"*8. Maternity*"),
COUNTIFS('QA Log'!D:D,A10,'QA Log'!M:M,"QQC",'QA Log'!Z:Z,"Rejected",'QA Log'!L:L,"*EPI*"),
COUNTIFS('QA Log'!D:D,A10,'QA Log'!M:M,"QQC",'QA Log'!Z:Z,"Rejected",'QA Log'!L:L,"*10. Antenatal Care (ANC)*"),
COUNTIFS('QA Log'!D:D,A10,'QA Log'!M:M,"QQC",'QA Log'!Z:Z,"Rejected",'QA Log'!L:L,"*2. Hygiene and Sterilization*"),
COUNTIFS('QA Log'!D:D,A10,'QA Log'!M:M,"QQC",'QA Log'!Z:Z,"Rejected",'QA Log'!L:L,"*Family Planning*")))</f>
        <v>0</v>
      </c>
      <c r="S10" s="106" t="e">
        <f t="shared" ca="1" si="1"/>
        <v>#NAME?</v>
      </c>
      <c r="T10" s="102" t="e">
        <f t="shared" ca="1" si="2"/>
        <v>#NAME?</v>
      </c>
      <c r="U10" s="102">
        <f ca="1">IF(A10="","",
SUM(
COUNTIFS('QA Log'!D:D,A10,'QA Log'!M:M,"QQC",'QA Log'!L:L,"*8. Maternity*"),
COUNTIFS('QA Log'!D:D,A10,'QA Log'!M:M,"QQC",'QA Log'!L:L,"*9. EPI and Pre-school Consultation*"),
COUNTIFS('QA Log'!D:D,A10,'QA Log'!M:M,"QQC",'QA Log'!L:L,"*10. Antenatal Care (ANC)*"),
COUNTIFS('QA Log'!D:D,A10,'QA Log'!M:M,"QQC",'QA Log'!L:L,"*2. Hygiene and Sterilization*"),
COUNTIFS('QA Log'!D:D,A10,'QA Log'!M:M,"QQC",'QA Log'!L:L,"*4. Family Planning*")
))</f>
        <v>0</v>
      </c>
      <c r="V10" s="102">
        <f ca="1">IF(A10="","",
SUM(
COUNTIFS('QA Log'!D:D,A10,'QA Log'!M:M,"QQC",'QA Log'!Z:Z,"Approved",'QA Log'!L:L,"*8. Maternity*"),
COUNTIFS('QA Log'!D:D,A10,'QA Log'!M:M,"QQC",'QA Log'!Z:Z,"Approved",'QA Log'!L:L,"*9. EPI and Pre-school Consultation*"),
COUNTIFS('QA Log'!D:D,A10,'QA Log'!M:M,"QQC",'QA Log'!Z:Z,"Approved",'QA Log'!L:L,"*10. Antenatal Care (ANC)*"),
COUNTIFS('QA Log'!D:D,A10,'QA Log'!M:M,"QQC",'QA Log'!Z:Z,"Approved",'QA Log'!L:L,"*2. Hygiene and Sterilization*"),
COUNTIFS('QA Log'!D:D,A10,'QA Log'!M:M,"QQC",'QA Log'!Z:Z,"Approved",'QA Log'!L:L,"*4. Family Planning*")
))</f>
        <v>0</v>
      </c>
      <c r="W10" s="105">
        <f ca="1">IF(A10&lt;&gt;"",COUNTIFS('QA Log'!D:D,A10,'QA Log'!M:M,"QQC",'QA Log'!L:L,"8. Maternity",'QA Log'!Z:Z,"Approved"),"")</f>
        <v>0</v>
      </c>
      <c r="X10" s="105">
        <f ca="1">IF(A10&lt;&gt;"",COUNTIFS('QA Log'!D:D,A10,'QA Log'!M:M,"QQC",'QA Log'!L:L,"9. EPI and Pre-school Consultation",'QA Log'!Z:Z,"Approved"),"")</f>
        <v>0</v>
      </c>
      <c r="Y10" s="105">
        <f ca="1">IF(A10&lt;&gt;"",COUNTIFS('QA Log'!D:D,A10,'QA Log'!M:M,"QQC",'QA Log'!L:L,"10. Antenatal Care (ANC)",'QA Log'!Z:Z,"Approved"),"")</f>
        <v>0</v>
      </c>
      <c r="Z10" s="105">
        <f ca="1">IF(A10&lt;&gt;"",COUNTIFS('QA Log'!D:D,A10,'QA Log'!M:M,"QQC",'QA Log'!L:L,"2. Hygiene and Sterilization",'QA Log'!Z:Z,"Approved"),"")</f>
        <v>0</v>
      </c>
      <c r="AA10" s="105">
        <f ca="1">IF(A10&lt;&gt;"",COUNTIFS('QA Log'!D:D,A10,'QA Log'!M:M,"QQC",'QA Log'!L:L,"4. Family Planning",'QA Log'!Z:Z,"Approved"),"")</f>
        <v>0</v>
      </c>
      <c r="AB10" s="102">
        <f ca="1">IF(A10="","",
SUM(
COUNTIFS('QA Log'!D:D,A10,'QA Log'!M:M,"QQC",'QA Log'!Z:Z,"Rejected",'QA Log'!L:L,"*8. Maternity*"),
COUNTIFS('QA Log'!D:D,A10,'QA Log'!M:M,"QQC",'QA Log'!Z:Z,"Rejected",'QA Log'!L:L,"*9. EPI and Pre-school Consultation*"),
COUNTIFS('QA Log'!D:D,A10,'QA Log'!M:M,"QQC",'QA Log'!Z:Z,"Rejected",'QA Log'!L:L,"*10. Antenatal Care (ANC)*"),
COUNTIFS('QA Log'!D:D,A10,'QA Log'!M:M,"QQC",'QA Log'!Z:Z,"Rejected",'QA Log'!L:L,"*2. Hygiene and Sterilization*"),
COUNTIFS('QA Log'!D:D,A10,'QA Log'!M:M,"QQC",'QA Log'!Z:Z,"Rejected",'QA Log'!L:L,"*4. Family Planning*")
))</f>
        <v>0</v>
      </c>
      <c r="AC10" s="102" t="e">
        <f t="shared" ca="1" si="3"/>
        <v>#NAME?</v>
      </c>
      <c r="AD10" s="103" t="e">
        <f t="shared" ca="1" si="4"/>
        <v>#NAME?</v>
      </c>
      <c r="AE10" s="102">
        <f ca="1">IF(A10="","",
SUM(
COUNTIFS('QA Log'!D:D,A10,'QA Log'!M:M,"Data Verification",'QA Log'!L:L,"*Medicine (section 2)*"),
COUNTIFS('QA Log'!D:D,A10,'QA Log'!M:M,"Data Verification",'QA Log'!L:L,"*Lab Testing Availability*"),
COUNTIFS('QA Log'!D:D,A10,'QA Log'!M:M,"Data Verification",'QA Log'!L:L,"*Other than P4P (section 6)*"),
COUNTIFS('QA Log'!D:D,A10,'QA Log'!M:M,"Data Verification",'QA Log'!L:L,"*Hospital Governance*")
))</f>
        <v>2</v>
      </c>
      <c r="AF10" s="102">
        <f ca="1">IF(A10="","",
SUM(
COUNTIFS('QA Log'!D:D,A10,'QA Log'!M:M,"Data Verification",'QA Log'!Z:Z,"Approved",'QA Log'!L:L,"*Medicine (section 2)*"),
COUNTIFS('QA Log'!D:D,A10,'QA Log'!M:M,"Data Verification",'QA Log'!Z:Z,"Approved",'QA Log'!L:L,"*Lab Testing Availability*"),
COUNTIFS('QA Log'!D:D,A10,'QA Log'!M:M,"Data Verification",'QA Log'!Z:Z,"Approved",'QA Log'!L:L,"*Other than P4P (section 6)*"),
COUNTIFS('QA Log'!D:D,A10,'QA Log'!M:M,"Data Verification",'QA Log'!Z:Z,"Approved",'QA Log'!L:L,"*Hospital Governance*")
))</f>
        <v>1</v>
      </c>
      <c r="AG10" s="105">
        <f ca="1">IF(A10&lt;&gt;"",COUNTIFS('QA Log'!D:D,A10,'QA Log'!M:M,"Data Verification",'QA Log'!L:L,"Medicine (section 2)",'QA Log'!Z:Z,"Approved"),"")</f>
        <v>0</v>
      </c>
      <c r="AH10" s="105">
        <f ca="1">IF(A10&lt;&gt;"",COUNTIFS('QA Log'!D:D,A10,'QA Log'!M:M,"Data Verification",'QA Log'!L:L,"Lab Testing Availability",'QA Log'!Z:Z,"Approved"),"")</f>
        <v>0</v>
      </c>
      <c r="AI10" s="105">
        <f ca="1">IF(A10&lt;&gt;"",COUNTIFS('QA Log'!D:D,A10,'QA Log'!M:M,"Data Verification",'QA Log'!L:L,"Other than P4P (section 6)",'QA Log'!Z:Z,"Approved"),"")</f>
        <v>1</v>
      </c>
      <c r="AJ10" s="105">
        <f ca="1">IF(A10&lt;&gt;"",COUNTIFS('QA Log'!D:D,A10,'QA Log'!M:M,"Data Verification",'QA Log'!L:L,"Hospital Governance",'QA Log'!Z:Z,"Approved"),"")</f>
        <v>0</v>
      </c>
      <c r="AK10" s="102">
        <f ca="1">IF(A10="","",
SUM(
COUNTIFS('QA Log'!D:D,A10,'QA Log'!M:M,"Data Verification",'QA Log'!Z:Z,"Rejected",'QA Log'!L:L,"*Medicine (section 2)*"),
COUNTIFS('QA Log'!D:D,A10,'QA Log'!M:M,"Data Verification",'QA Log'!Z:Z,"Rejected",'QA Log'!L:L,"*Lab Testing Availability*"),
COUNTIFS('QA Log'!D:D,A10,'QA Log'!M:M,"Data Verification",'QA Log'!Z:Z,"Rejected",'QA Log'!L:L,"*Other than P4P (section 6)*"),
COUNTIFS('QA Log'!D:D,A10,'QA Log'!M:M,"Data Verification",'QA Log'!Z:Z,"Rejected",'QA Log'!L:L,"*Hospital Governance*")
))</f>
        <v>0</v>
      </c>
      <c r="AL10" s="106" t="e">
        <f t="shared" ca="1" si="5"/>
        <v>#NAME?</v>
      </c>
      <c r="AM10" s="102" t="e">
        <f t="shared" ca="1" si="6"/>
        <v>#NAME?</v>
      </c>
      <c r="AN10" s="102">
        <f ca="1">IF(A10="","",
SUM(
COUNTIFS('QA Log'!D:D,A10,'QA Log'!M:M,"Data Verification",'QA Log'!L:L,"*Personnel (section 1)*"),
COUNTIFS('QA Log'!D:D,A10,'QA Log'!M:M,"Data Verification",'QA Log'!L:L,"*Consumable (section 3)*"),
COUNTIFS('QA Log'!D:D,A10,'QA Log'!M:M,"Data Verification",'QA Log'!L:L,"*Equipments (section 4)*")
))</f>
        <v>3</v>
      </c>
      <c r="AO10" s="102">
        <f ca="1">IF(A10="","",
SUM(
COUNTIFS('QA Log'!D:D,A10,'QA Log'!M:M,"Data Verification",'QA Log'!Z:Z,"Approved",'QA Log'!L:L,"*Personnel (section 1)*"),
COUNTIFS('QA Log'!D:D,A10,'QA Log'!M:M,"Data Verification",'QA Log'!Z:Z,"Approved",'QA Log'!L:L,"*Consumable (section 3)*"),
COUNTIFS('QA Log'!D:D,A10,'QA Log'!M:M,"Data Verification",'QA Log'!Z:Z,"Approved",'QA Log'!L:L,"*Equipments (section 4)*")
))</f>
        <v>2</v>
      </c>
      <c r="AP10" s="105">
        <f ca="1">IF(A10&lt;&gt;"",COUNTIFS('QA Log'!D:D,A10,'QA Log'!M:M,"Data Verification",'QA Log'!L:L,"Personnel (section 1)",'QA Log'!Z:Z,"Approved"),"")</f>
        <v>1</v>
      </c>
      <c r="AQ10" s="105">
        <f ca="1">IF(A10&lt;&gt;"",COUNTIFS('QA Log'!D:D,A10,'QA Log'!M:M,"Data Verification",'QA Log'!L:L,"Consumable (section 3)",'QA Log'!Z:Z,"Approved"),"")</f>
        <v>1</v>
      </c>
      <c r="AR10" s="105">
        <f ca="1">IF(A10&lt;&gt;"",COUNTIFS('QA Log'!D:D,A10,'QA Log'!M:M,"Data Verification",'QA Log'!L:L,"Equipments (section 4)",'QA Log'!Z:Z,"Approved"),"")</f>
        <v>0</v>
      </c>
      <c r="AS10" s="102">
        <f ca="1">IF(A10="","",
SUM(
COUNTIFS('QA Log'!D:D,A10,'QA Log'!M:M,"Data Verification",'QA Log'!Z:Z,"Rejected",'QA Log'!L:L,"*Personnel (section 1)*"),
COUNTIFS('QA Log'!D:D,A10,'QA Log'!M:M,"Data Verification",'QA Log'!Z:Z,"Rejected",'QA Log'!L:L,"*Consumable (section 3)*"),
COUNTIFS('QA Log'!D:D,A10,'QA Log'!M:M,"Data Verification",'QA Log'!Z:Z,"Rejected",'QA Log'!L:L,"*Equipments (section 4)*")
))</f>
        <v>0</v>
      </c>
      <c r="AT10" s="102" t="e">
        <f t="shared" ca="1" si="7"/>
        <v>#NAME?</v>
      </c>
      <c r="AU10" s="103">
        <f t="shared" ca="1" si="8"/>
        <v>2</v>
      </c>
      <c r="AV10" s="102">
        <f ca="1">IF(A10="","",SUM(
COUNTIFS('QA Log'!D:D,A10,'QA Log'!M:M,"Vignette",'QA Log'!L:L,"*Vignette [1] Respiratory Infection: Pneumonia*"),
COUNTIFS('QA Log'!D:D,A10,'QA Log'!M:M,"Vignette",'QA Log'!L:L,"*Vignette [2]: Diarrhea with Cat B dehydration*"),
COUNTIFS('QA Log'!D:D,A10,'QA Log'!M:M,"Vignette",'QA Log'!L:L,"*Vignette [3] Growth Monitoring and Promotion*"),
COUNTIFS('QA Log'!D:D,A10,'QA Log'!M:M,"Vignette",'QA Log'!L:L,"*Vignette [4]: The management of presumptive TB patient*")
)
)</f>
        <v>4</v>
      </c>
      <c r="AW10" s="102">
        <f ca="1">IF(
  A10="","",
  SUM(
    COUNTIFS('QA Log'!D:D,A10,'QA Log'!M:M,"Vignette",'QA Log'!Z:Z,"Approved",'QA Log'!L:L,"*Vignette [1] Respiratory Infection: Pneumonia*"),
    COUNTIFS('QA Log'!D:D,A10,'QA Log'!M:M,"Vignette",'QA Log'!Z:Z,"Approved",'QA Log'!L:L,"*Vignette [2]: Diarrhea with Cat B dehydration*"),
    COUNTIFS('QA Log'!D:D,A10,'QA Log'!M:M,"Vignette",'QA Log'!Z:Z,"Approved",'QA Log'!L:L,"*Vignette [3] Growth Monitoring and Promotion*"),
    COUNTIFS('QA Log'!D:D,A10,'QA Log'!M:M,"Vignette",'QA Log'!Z:Z,"Approved",'QA Log'!L:L,"*Vignette [4]: The management of presumptive TB patient*")
  )
)</f>
        <v>3</v>
      </c>
      <c r="AX10" s="105">
        <f ca="1">IF(A10&lt;&gt;"",COUNTIFS('QA Log'!D:D,A10,'QA Log'!M:M,"Vignette",'QA Log'!L:L,"Vignette [1] Respiratory Infection: Pneumonia",'QA Log'!Z:Z,"Approved"),"")</f>
        <v>1</v>
      </c>
      <c r="AY10" s="105">
        <f ca="1">IF(A10&lt;&gt;"",COUNTIFS('QA Log'!D:D,A10,'QA Log'!M:M,"Vignette",'QA Log'!L:L,"Vignette [2]: Diarrhea with Cat B dehydration",'QA Log'!Z:Z,"Approved"),"")</f>
        <v>1</v>
      </c>
      <c r="AZ10" s="105">
        <f ca="1">IF(A10&lt;&gt;"",COUNTIFS('QA Log'!D:D,A10,'QA Log'!M:M,"Vignette",'QA Log'!L:L,"Vignette [3] Growth Monitoring and Promotion",'QA Log'!Z:Z,"Approved"),"")</f>
        <v>0</v>
      </c>
      <c r="BA10" s="105">
        <f ca="1">IF(A10&lt;&gt;"",COUNTIFS('QA Log'!D:D,A10,'QA Log'!M:M,"Vignette",'QA Log'!L:L,"Vignette [4]: The management of presumptive TB patient",'QA Log'!Z:Z,"Approved"),"")</f>
        <v>1</v>
      </c>
      <c r="BB10" s="102">
        <f ca="1">IF(A10="","",
  SUM(
    COUNTIFS('QA Log'!D:D,A10,'QA Log'!M:M,"Vignette",'QA Log'!Z:Z,"Rejected",'QA Log'!L:L,"*Vignette [1] Respiratory Infection: Pneumonia*"),
    COUNTIFS('QA Log'!D:D,A10,'QA Log'!M:M,"Vignette",'QA Log'!Z:Z,"Rejected",'QA Log'!L:L,"*Vignette [2]: Diarrhea with Cat B dehydration*"),
    COUNTIFS('QA Log'!D:D,A10,'QA Log'!M:M,"Vignette",'QA Log'!Z:Z,"Rejected",'QA Log'!L:L,"*Vignette [3] Growth Monitoring and Promotion*"),
    COUNTIFS('QA Log'!D:D,A10,'QA Log'!M:M,"Vignette",'QA Log'!Z:Z,"Rejected",'QA Log'!L:L,"*Vignette [4]: The management of presumptive TB patient*")
  )
)</f>
        <v>0</v>
      </c>
      <c r="BC10" s="107">
        <f t="shared" ca="1" si="9"/>
        <v>-1</v>
      </c>
      <c r="BD10" s="103">
        <f t="shared" ca="1" si="10"/>
        <v>2</v>
      </c>
      <c r="BE10" s="102">
        <f ca="1">IF(A10="","",SUM(
COUNTIFS('QA Log'!D:D,A10,'QA Log'!M:M,"Vignette",'QA Log'!L:L,"*Vignette [5] Labor*"),
COUNTIFS('QA Log'!D:D,A10,'QA Log'!M:M,"Vignette",'QA Log'!L:L,"*Vignette [6] PNC pre Discharge*"),
COUNTIFS('QA Log'!D:D,A10,'QA Log'!M:M,"Vignette",'QA Log'!L:L,"*Vignette [7] First ANC Visit*"),
COUNTIFS('QA Log'!D:D,A10,'QA Log'!M:M,"Vignette",'QA Log'!L:L,"*Vignette [8] Birth Spacing/ Family Planning :  FP Counselling*"),
COUNTIFS('QA Log'!D:D,A10,'QA Log'!M:M,"Vignette",'QA Log'!L:L,"*Vignette [9] Birth Spacing: Change FP method to Injectable*"),
COUNTIFS('QA Log'!D:D,A10,'QA Log'!M:M,"Vignette",'QA Log'!L:L,"*Vignette [10] Post Partum Haemorrhage - Atonic Uterus at Health Centre*"),
)
)</f>
        <v>1</v>
      </c>
      <c r="BF10" s="102">
        <f ca="1">IF(A10="","",
  SUM(
    COUNTIFS('QA Log'!D:D,A10,'QA Log'!M:M,"Vignette",'QA Log'!Z:Z,"Approved",'QA Log'!L:L,"*Vignette [5] Labor*"),
    COUNTIFS('QA Log'!D:D,A10,'QA Log'!M:M,"Vignette",'QA Log'!Z:Z,"Approved",'QA Log'!L:L,"*Vignette [6] PNC pre Discharge*"),
    COUNTIFS('QA Log'!D:D,A10,'QA Log'!M:M,"Vignette",'QA Log'!Z:Z,"Approved",'QA Log'!L:L,"*Vignette [7] First ANC Visit*"),
    COUNTIFS('QA Log'!D:D,A10,'QA Log'!M:M,"Vignette",'QA Log'!Z:Z,"Approved",'QA Log'!L:L,"*Vignette [8] Birth Spacing/ Family Planning :  FP Counselling*"),
    COUNTIFS('QA Log'!D:D,A10,'QA Log'!M:M,"Vignette",'QA Log'!Z:Z,"Approved",'QA Log'!L:L,"*Vignette [9] Birth Spacing: Change FP method to Injectable*"),
    COUNTIFS('QA Log'!D:D,A10,'QA Log'!M:M,"Vignette",'QA Log'!Z:Z,"Approved",'QA Log'!L:L,"*Vignette [10] Post Partum Haemorrhage - Atonic Uterus at Health Centre*")
  )
)</f>
        <v>0</v>
      </c>
      <c r="BG10" s="105">
        <f ca="1">IF(A10&lt;&gt;"",COUNTIFS('QA Log'!D:D,A10,'QA Log'!M:M,"Vignette",'QA Log'!L:L,"Vignette [5] Labor",'QA Log'!Z:Z,"Approved"),"")</f>
        <v>0</v>
      </c>
      <c r="BH10" s="105">
        <f ca="1">IF(A10&lt;&gt;"",COUNTIFS('QA Log'!D:D,A10,'QA Log'!M:M,"Vignette",'QA Log'!L:L,"Vignette [6] PNC pre Discharge",'QA Log'!Z:Z,"Approved"),"")</f>
        <v>0</v>
      </c>
      <c r="BI10" s="105">
        <f ca="1">IF(A10&lt;&gt;"",COUNTIFS('QA Log'!D:D,A10,'QA Log'!M:M,"Vignette",'QA Log'!L:L,"Vignette [7] First ANC Visit",'QA Log'!Z:Z,"Approved"),"")</f>
        <v>0</v>
      </c>
      <c r="BJ10" s="105">
        <f ca="1">IF(A10&lt;&gt;"",COUNTIFS('QA Log'!D:D,A10,'QA Log'!M:M,"Vignette",'QA Log'!L:L,"Vignette [8] Birth Spacing/ Family Planning :  FP Counselling",'QA Log'!Z:Z,"Approved"),"")</f>
        <v>0</v>
      </c>
      <c r="BK10" s="105">
        <f ca="1">IF(A10&lt;&gt;"",COUNTIFS('QA Log'!D:D,A10,'QA Log'!M:M,"Vignette",'QA Log'!L:L,"Vignette [9] Birth Spacing: Change FP method to Injectable",'QA Log'!Z:Z,"Approved"),"")</f>
        <v>0</v>
      </c>
      <c r="BL10" s="105">
        <f ca="1">IF(A10&lt;&gt;"",COUNTIFS('QA Log'!D:D,A10,'QA Log'!M:M,"Vignette",'QA Log'!L:L,"Vignette [10] Post Partum Haemorrhage - Atonic Uterus at Health Centre",'QA Log'!Z:Z,"Approved"),"")</f>
        <v>0</v>
      </c>
      <c r="BM10" s="102">
        <f ca="1">IF(A10="","",SUM(
    COUNTIFS('QA Log'!D:D,A10,'QA Log'!M:M,"Vignette",'QA Log'!Z:Z,"Rejected",'QA Log'!L:L,"*Vignette [5] Labor*"),
    COUNTIFS('QA Log'!D:D,A10,'QA Log'!M:M,"Vignette",'QA Log'!Z:Z,"Rejected",'QA Log'!L:L,"*Vignette [6] PNC pre Discharge*"),
    COUNTIFS('QA Log'!D:D,A10,'QA Log'!M:M,"Vignette",'QA Log'!Z:Z,"Rejected",'QA Log'!L:L,"*Vignette [7] First ANC Visit*"),
    COUNTIFS('QA Log'!D:D,A10,'QA Log'!M:M,"Vignette",'QA Log'!Z:Z,"Rejected",'QA Log'!L:L,"*Vignette [8] Birth Spacing/ Family Planning :  FP Counselling*"),
    COUNTIFS('QA Log'!D:D,A10,'QA Log'!M:M,"Vignette",'QA Log'!Z:Z,"Rejected",'QA Log'!L:L,"*Vignette [9] Birth Spacing: Change FP method to Injectable*"),
    COUNTIFS('QA Log'!D:D,A10,'QA Log'!M:M,"Vignette",'QA Log'!Z:Z,"Rejected",'QA Log'!L:L,"*Vignette [10] Post Partum Haemorrhage - Atonic Uterus at Health Centre*")
  )
)</f>
        <v>0</v>
      </c>
      <c r="BN10" s="107">
        <f t="shared" ca="1" si="11"/>
        <v>2</v>
      </c>
      <c r="BO10" s="103">
        <f t="shared" ca="1" si="12"/>
        <v>2</v>
      </c>
      <c r="BP10" s="102">
        <f ca="1">IF(A10="","",SUM(
COUNTIFS('QA Log'!D:D,A10,'QA Log'!M:M,"Vignette",'QA Log'!L:L,"*Exit Interview 1*"),
COUNTIFS('QA Log'!D:D,A10,'QA Log'!M:M,"Vignette",'QA Log'!L:L,"*Exit Interview 2*"),
)
)</f>
        <v>2</v>
      </c>
      <c r="BQ10" s="102">
        <f ca="1">IF(
  A10="","",
  SUM(
    COUNTIFS('QA Log'!D:D,A10,'QA Log'!M:M,"Vignette",'QA Log'!Z:Z,"Approved",'QA Log'!L:L,"*Exit Interview 1*"),
    COUNTIFS('QA Log'!D:D,A10,'QA Log'!M:M,"Vignette",'QA Log'!Z:Z,"Approved",'QA Log'!L:L,"*Exit Interview 2*")
  )
)</f>
        <v>0</v>
      </c>
      <c r="BR10" s="105">
        <f ca="1">IF(A10&lt;&gt;"",COUNTIFS('QA Log'!D:D,A10,'QA Log'!M:M,"Vignette",'QA Log'!L:L,"Exit Interview 1",'QA Log'!Z:Z,"Approved"),"")</f>
        <v>0</v>
      </c>
      <c r="BS10" s="105">
        <f ca="1">IF(A10&lt;&gt;"",COUNTIFS('QA Log'!D:D,A10,'QA Log'!M:M,"Vignette",'QA Log'!L:L,"Exit Interview 2",'QA Log'!Z:Z,"Approved"),"")</f>
        <v>0</v>
      </c>
      <c r="BT10" s="102">
        <f ca="1">IF(
  A10="","",
  SUM(
    COUNTIFS('QA Log'!D:D,A10,'QA Log'!M:M,"Vignette",'QA Log'!Z:Z,"Rejected",'QA Log'!L:L,"*Exit Interview 1*"),
    COUNTIFS('QA Log'!D:D,A10,'QA Log'!M:M,"Vignette",'QA Log'!Z:Z,"Rejected",'QA Log'!L:L,"*Exit Interview 2*")
  )
)</f>
        <v>0</v>
      </c>
      <c r="BU10" s="107">
        <f t="shared" ca="1" si="13"/>
        <v>2</v>
      </c>
      <c r="BV10" s="102" t="e">
        <f t="shared" ca="1" si="14"/>
        <v>#NAME?</v>
      </c>
      <c r="BW10" s="102">
        <f t="shared" ca="1" si="15"/>
        <v>12</v>
      </c>
      <c r="BX10" s="102">
        <f t="shared" ca="1" si="16"/>
        <v>6</v>
      </c>
      <c r="BY10" s="102">
        <f t="shared" ca="1" si="17"/>
        <v>0</v>
      </c>
      <c r="BZ10" s="107" t="e">
        <f t="shared" ca="1" si="18"/>
        <v>#NAME?</v>
      </c>
      <c r="CA10" s="108" t="e">
        <f t="shared" ca="1" si="19"/>
        <v>#NAME?</v>
      </c>
      <c r="CB10" s="108" t="e">
        <f t="shared" ca="1" si="20"/>
        <v>#NAME?</v>
      </c>
      <c r="CC10" s="109" t="str">
        <f t="shared" ca="1" si="21"/>
        <v>Not Received</v>
      </c>
      <c r="CD10" s="108" t="e">
        <f t="shared" ca="1" si="22"/>
        <v>#NAME?</v>
      </c>
      <c r="CE10" s="108" t="e">
        <f t="shared" ca="1" si="23"/>
        <v>#NAME?</v>
      </c>
      <c r="CF10" s="109" t="str">
        <f t="shared" ca="1" si="24"/>
        <v>Not Received</v>
      </c>
      <c r="CG10" s="110" t="e">
        <f t="shared" ca="1" si="25"/>
        <v>#NAME?</v>
      </c>
      <c r="CH10" s="111"/>
    </row>
    <row r="11" spans="1:86" ht="12.75">
      <c r="A11" s="101" t="str">
        <f ca="1">IFERROR(__xludf.DUMMYFUNCTION("""COMPUTED_VALUE"""),"HER-BDS-HF3053-Q2-2025-1002-01")</f>
        <v>HER-BDS-HF3053-Q2-2025-1002-01</v>
      </c>
      <c r="B11" s="102" t="e">
        <f t="array" aca="1" ref="B11" ca="1">_xludf.XLOOKUP(A11,'QA Log'!D:D,'QA Log'!E:E,"")</f>
        <v>#NAME?</v>
      </c>
      <c r="C11" s="102" t="e">
        <f t="array" aca="1" ref="C11" ca="1">_xludf.XLOOKUP(A11,'QA Log'!D:D,'QA Log'!F:F,"")</f>
        <v>#NAME?</v>
      </c>
      <c r="D11" s="102" t="e">
        <f t="array" aca="1" ref="D11" ca="1">_xludf.XLOOKUP(A11,'QA Log'!D:D,'QA Log'!H:H,"")</f>
        <v>#NAME?</v>
      </c>
      <c r="E11" s="102" t="e">
        <f t="array" aca="1" ref="E11" ca="1">_xludf.XLOOKUP(A11,'QA Log'!D:D,'QA Log'!G:G,"")</f>
        <v>#NAME?</v>
      </c>
      <c r="F11" s="103" t="s">
        <v>95</v>
      </c>
      <c r="G11" s="102"/>
      <c r="H11" s="104"/>
      <c r="I11" s="103" t="e">
        <f t="shared" ca="1" si="0"/>
        <v>#NAME?</v>
      </c>
      <c r="J11" s="102">
        <f ca="1">IF(A11="","",SUM(
COUNTIFS('QA Log'!D:D,A11,'QA Log'!M:M,"QQC",'QA Log'!L:L,"*1. General Management*"),
COUNTIFS('QA Log'!D:D,A11,'QA Log'!M:M,"QQC",'QA Log'!L:L,"*3. Curative Consultation (OPD)*"),
COUNTIFS('QA Log'!D:D,A11,'QA Log'!M:M,"QQC",'QA Log'!L:L,"*5. Laboratory*"),
COUNTIFS('QA Log'!D:D,A11,'QA Log'!M:M,"QQC",'QA Log'!L:L,"*6. Essential Medicine Management*"),
COUNTIFS('QA Log'!D:D,A11,'QA Log'!M:M,"QQC",'QA Log'!L:L,"*7. Tracer Medicine*"),
COUNTIFS('QA Log'!D:D,A11,'QA Log'!M:M,"QQC",'QA Log'!L:L,"*11. Additional Questions*")))</f>
        <v>0</v>
      </c>
      <c r="K11" s="102">
        <f ca="1">IF(A11="","",SUM(
COUNTIFS('QA Log'!D:D,A11,'QA Log'!M:M,"QQC",'QA Log'!Z:Z,"Approved",'QA Log'!L:L,"*1. General Management*"),
COUNTIFS('QA Log'!D:D,A11,'QA Log'!M:M,"QQC",'QA Log'!Z:Z,"Approved",'QA Log'!L:L,"*3. Curative Consultation (OPD)*"),
COUNTIFS('QA Log'!D:D,A11,'QA Log'!M:M,"QQC",'QA Log'!Z:Z,"Approved",'QA Log'!L:L,"*5. Laboratory*"),
COUNTIFS('QA Log'!D:D,A11,'QA Log'!M:M,"QQC",'QA Log'!Z:Z,"Approved",'QA Log'!L:L,"*6. Essential Medicine Management*"),
COUNTIFS('QA Log'!D:D,A11,'QA Log'!M:M,"QQC",'QA Log'!Z:Z,"Approved",'QA Log'!L:L,"*7. Tracer Medicine*"),
COUNTIFS('QA Log'!D:D,A11,'QA Log'!M:M,"QQC",'QA Log'!Z:Z,"Approved",'QA Log'!L:L,"*11. Additional Questions*")))</f>
        <v>0</v>
      </c>
      <c r="L11" s="105">
        <f ca="1">IF(A11&lt;&gt;"",COUNTIFS('QA Log'!D:D,A11,'QA Log'!M:M,"QQC",'QA Log'!L:L,"1. General Management",'QA Log'!Z:Z,"Approved"),"")</f>
        <v>0</v>
      </c>
      <c r="M11" s="105">
        <f ca="1">IF(A11&lt;&gt;"",COUNTIFS('QA Log'!D:D,A11,'QA Log'!M:M,"QQC",'QA Log'!L:L,"3. Curative Consultation (OPD)",'QA Log'!Z:Z,"Approved"),"")</f>
        <v>0</v>
      </c>
      <c r="N11" s="105">
        <f ca="1">IF(A11&lt;&gt;"",COUNTIFS('QA Log'!D:D,A11,'QA Log'!M:M,"QQC",'QA Log'!L:L,"5. Laboratory",'QA Log'!Z:Z,"Approved"),"")</f>
        <v>0</v>
      </c>
      <c r="O11" s="105">
        <f ca="1">IF(A11&lt;&gt;"",COUNTIFS('QA Log'!D:D,A11,'QA Log'!M:M,"QQC",'QA Log'!L:L,"6. Essential Medicine Management",'QA Log'!Z:Z,"Approved"),"")</f>
        <v>0</v>
      </c>
      <c r="P11" s="105">
        <f ca="1">IF(A11&lt;&gt;"",COUNTIFS('QA Log'!D:D,A11,'QA Log'!M:M,"QQC",'QA Log'!L:L,"7. Tracer Medicine",'QA Log'!Z:Z,"Approved"),"")</f>
        <v>0</v>
      </c>
      <c r="Q11" s="105">
        <f ca="1">IF(A11&lt;&gt;"",COUNTIFS('QA Log'!D:D,A11,'QA Log'!M:M,"QQC",'QA Log'!L:L,"11. Additional Questions",'QA Log'!Z:Z,"Approved"),"")</f>
        <v>0</v>
      </c>
      <c r="R11" s="102">
        <f ca="1">IF(A11="","",SUM(
COUNTIFS('QA Log'!D:D,A11,'QA Log'!M:M,"QQC",'QA Log'!Z:Z,"Rejected",'QA Log'!L:L,"*8. Maternity*"),
COUNTIFS('QA Log'!D:D,A11,'QA Log'!M:M,"QQC",'QA Log'!Z:Z,"Rejected",'QA Log'!L:L,"*EPI*"),
COUNTIFS('QA Log'!D:D,A11,'QA Log'!M:M,"QQC",'QA Log'!Z:Z,"Rejected",'QA Log'!L:L,"*10. Antenatal Care (ANC)*"),
COUNTIFS('QA Log'!D:D,A11,'QA Log'!M:M,"QQC",'QA Log'!Z:Z,"Rejected",'QA Log'!L:L,"*2. Hygiene and Sterilization*"),
COUNTIFS('QA Log'!D:D,A11,'QA Log'!M:M,"QQC",'QA Log'!Z:Z,"Rejected",'QA Log'!L:L,"*Family Planning*")))</f>
        <v>0</v>
      </c>
      <c r="S11" s="106" t="e">
        <f t="shared" ca="1" si="1"/>
        <v>#NAME?</v>
      </c>
      <c r="T11" s="102" t="e">
        <f t="shared" ca="1" si="2"/>
        <v>#NAME?</v>
      </c>
      <c r="U11" s="102">
        <f ca="1">IF(A11="","",
SUM(
COUNTIFS('QA Log'!D:D,A11,'QA Log'!M:M,"QQC",'QA Log'!L:L,"*8. Maternity*"),
COUNTIFS('QA Log'!D:D,A11,'QA Log'!M:M,"QQC",'QA Log'!L:L,"*9. EPI and Pre-school Consultation*"),
COUNTIFS('QA Log'!D:D,A11,'QA Log'!M:M,"QQC",'QA Log'!L:L,"*10. Antenatal Care (ANC)*"),
COUNTIFS('QA Log'!D:D,A11,'QA Log'!M:M,"QQC",'QA Log'!L:L,"*2. Hygiene and Sterilization*"),
COUNTIFS('QA Log'!D:D,A11,'QA Log'!M:M,"QQC",'QA Log'!L:L,"*4. Family Planning*")
))</f>
        <v>0</v>
      </c>
      <c r="V11" s="102">
        <f ca="1">IF(A11="","",
SUM(
COUNTIFS('QA Log'!D:D,A11,'QA Log'!M:M,"QQC",'QA Log'!Z:Z,"Approved",'QA Log'!L:L,"*8. Maternity*"),
COUNTIFS('QA Log'!D:D,A11,'QA Log'!M:M,"QQC",'QA Log'!Z:Z,"Approved",'QA Log'!L:L,"*9. EPI and Pre-school Consultation*"),
COUNTIFS('QA Log'!D:D,A11,'QA Log'!M:M,"QQC",'QA Log'!Z:Z,"Approved",'QA Log'!L:L,"*10. Antenatal Care (ANC)*"),
COUNTIFS('QA Log'!D:D,A11,'QA Log'!M:M,"QQC",'QA Log'!Z:Z,"Approved",'QA Log'!L:L,"*2. Hygiene and Sterilization*"),
COUNTIFS('QA Log'!D:D,A11,'QA Log'!M:M,"QQC",'QA Log'!Z:Z,"Approved",'QA Log'!L:L,"*4. Family Planning*")
))</f>
        <v>0</v>
      </c>
      <c r="W11" s="105">
        <f ca="1">IF(A11&lt;&gt;"",COUNTIFS('QA Log'!D:D,A11,'QA Log'!M:M,"QQC",'QA Log'!L:L,"8. Maternity",'QA Log'!Z:Z,"Approved"),"")</f>
        <v>0</v>
      </c>
      <c r="X11" s="105">
        <f ca="1">IF(A11&lt;&gt;"",COUNTIFS('QA Log'!D:D,A11,'QA Log'!M:M,"QQC",'QA Log'!L:L,"9. EPI and Pre-school Consultation",'QA Log'!Z:Z,"Approved"),"")</f>
        <v>0</v>
      </c>
      <c r="Y11" s="105">
        <f ca="1">IF(A11&lt;&gt;"",COUNTIFS('QA Log'!D:D,A11,'QA Log'!M:M,"QQC",'QA Log'!L:L,"10. Antenatal Care (ANC)",'QA Log'!Z:Z,"Approved"),"")</f>
        <v>0</v>
      </c>
      <c r="Z11" s="105">
        <f ca="1">IF(A11&lt;&gt;"",COUNTIFS('QA Log'!D:D,A11,'QA Log'!M:M,"QQC",'QA Log'!L:L,"2. Hygiene and Sterilization",'QA Log'!Z:Z,"Approved"),"")</f>
        <v>0</v>
      </c>
      <c r="AA11" s="105">
        <f ca="1">IF(A11&lt;&gt;"",COUNTIFS('QA Log'!D:D,A11,'QA Log'!M:M,"QQC",'QA Log'!L:L,"4. Family Planning",'QA Log'!Z:Z,"Approved"),"")</f>
        <v>0</v>
      </c>
      <c r="AB11" s="102">
        <f ca="1">IF(A11="","",
SUM(
COUNTIFS('QA Log'!D:D,A11,'QA Log'!M:M,"QQC",'QA Log'!Z:Z,"Rejected",'QA Log'!L:L,"*8. Maternity*"),
COUNTIFS('QA Log'!D:D,A11,'QA Log'!M:M,"QQC",'QA Log'!Z:Z,"Rejected",'QA Log'!L:L,"*9. EPI and Pre-school Consultation*"),
COUNTIFS('QA Log'!D:D,A11,'QA Log'!M:M,"QQC",'QA Log'!Z:Z,"Rejected",'QA Log'!L:L,"*10. Antenatal Care (ANC)*"),
COUNTIFS('QA Log'!D:D,A11,'QA Log'!M:M,"QQC",'QA Log'!Z:Z,"Rejected",'QA Log'!L:L,"*2. Hygiene and Sterilization*"),
COUNTIFS('QA Log'!D:D,A11,'QA Log'!M:M,"QQC",'QA Log'!Z:Z,"Rejected",'QA Log'!L:L,"*4. Family Planning*")
))</f>
        <v>0</v>
      </c>
      <c r="AC11" s="102" t="e">
        <f t="shared" ca="1" si="3"/>
        <v>#NAME?</v>
      </c>
      <c r="AD11" s="103" t="e">
        <f t="shared" ca="1" si="4"/>
        <v>#NAME?</v>
      </c>
      <c r="AE11" s="102">
        <f ca="1">IF(A11="","",
SUM(
COUNTIFS('QA Log'!D:D,A11,'QA Log'!M:M,"Data Verification",'QA Log'!L:L,"*Medicine (section 2)*"),
COUNTIFS('QA Log'!D:D,A11,'QA Log'!M:M,"Data Verification",'QA Log'!L:L,"*Lab Testing Availability*"),
COUNTIFS('QA Log'!D:D,A11,'QA Log'!M:M,"Data Verification",'QA Log'!L:L,"*Other than P4P (section 6)*"),
COUNTIFS('QA Log'!D:D,A11,'QA Log'!M:M,"Data Verification",'QA Log'!L:L,"*Hospital Governance*")
))</f>
        <v>1</v>
      </c>
      <c r="AF11" s="102">
        <f ca="1">IF(A11="","",
SUM(
COUNTIFS('QA Log'!D:D,A11,'QA Log'!M:M,"Data Verification",'QA Log'!Z:Z,"Approved",'QA Log'!L:L,"*Medicine (section 2)*"),
COUNTIFS('QA Log'!D:D,A11,'QA Log'!M:M,"Data Verification",'QA Log'!Z:Z,"Approved",'QA Log'!L:L,"*Lab Testing Availability*"),
COUNTIFS('QA Log'!D:D,A11,'QA Log'!M:M,"Data Verification",'QA Log'!Z:Z,"Approved",'QA Log'!L:L,"*Other than P4P (section 6)*"),
COUNTIFS('QA Log'!D:D,A11,'QA Log'!M:M,"Data Verification",'QA Log'!Z:Z,"Approved",'QA Log'!L:L,"*Hospital Governance*")
))</f>
        <v>1</v>
      </c>
      <c r="AG11" s="105">
        <f ca="1">IF(A11&lt;&gt;"",COUNTIFS('QA Log'!D:D,A11,'QA Log'!M:M,"Data Verification",'QA Log'!L:L,"Medicine (section 2)",'QA Log'!Z:Z,"Approved"),"")</f>
        <v>0</v>
      </c>
      <c r="AH11" s="105">
        <f ca="1">IF(A11&lt;&gt;"",COUNTIFS('QA Log'!D:D,A11,'QA Log'!M:M,"Data Verification",'QA Log'!L:L,"Lab Testing Availability",'QA Log'!Z:Z,"Approved"),"")</f>
        <v>0</v>
      </c>
      <c r="AI11" s="105">
        <f ca="1">IF(A11&lt;&gt;"",COUNTIFS('QA Log'!D:D,A11,'QA Log'!M:M,"Data Verification",'QA Log'!L:L,"Other than P4P (section 6)",'QA Log'!Z:Z,"Approved"),"")</f>
        <v>1</v>
      </c>
      <c r="AJ11" s="105">
        <f ca="1">IF(A11&lt;&gt;"",COUNTIFS('QA Log'!D:D,A11,'QA Log'!M:M,"Data Verification",'QA Log'!L:L,"Hospital Governance",'QA Log'!Z:Z,"Approved"),"")</f>
        <v>0</v>
      </c>
      <c r="AK11" s="102">
        <f ca="1">IF(A11="","",
SUM(
COUNTIFS('QA Log'!D:D,A11,'QA Log'!M:M,"Data Verification",'QA Log'!Z:Z,"Rejected",'QA Log'!L:L,"*Medicine (section 2)*"),
COUNTIFS('QA Log'!D:D,A11,'QA Log'!M:M,"Data Verification",'QA Log'!Z:Z,"Rejected",'QA Log'!L:L,"*Lab Testing Availability*"),
COUNTIFS('QA Log'!D:D,A11,'QA Log'!M:M,"Data Verification",'QA Log'!Z:Z,"Rejected",'QA Log'!L:L,"*Other than P4P (section 6)*"),
COUNTIFS('QA Log'!D:D,A11,'QA Log'!M:M,"Data Verification",'QA Log'!Z:Z,"Rejected",'QA Log'!L:L,"*Hospital Governance*")
))</f>
        <v>0</v>
      </c>
      <c r="AL11" s="106" t="e">
        <f t="shared" ca="1" si="5"/>
        <v>#NAME?</v>
      </c>
      <c r="AM11" s="102" t="e">
        <f t="shared" ca="1" si="6"/>
        <v>#NAME?</v>
      </c>
      <c r="AN11" s="102">
        <f ca="1">IF(A11="","",
SUM(
COUNTIFS('QA Log'!D:D,A11,'QA Log'!M:M,"Data Verification",'QA Log'!L:L,"*Personnel (section 1)*"),
COUNTIFS('QA Log'!D:D,A11,'QA Log'!M:M,"Data Verification",'QA Log'!L:L,"*Consumable (section 3)*"),
COUNTIFS('QA Log'!D:D,A11,'QA Log'!M:M,"Data Verification",'QA Log'!L:L,"*Equipments (section 4)*")
))</f>
        <v>1</v>
      </c>
      <c r="AO11" s="102">
        <f ca="1">IF(A11="","",
SUM(
COUNTIFS('QA Log'!D:D,A11,'QA Log'!M:M,"Data Verification",'QA Log'!Z:Z,"Approved",'QA Log'!L:L,"*Personnel (section 1)*"),
COUNTIFS('QA Log'!D:D,A11,'QA Log'!M:M,"Data Verification",'QA Log'!Z:Z,"Approved",'QA Log'!L:L,"*Consumable (section 3)*"),
COUNTIFS('QA Log'!D:D,A11,'QA Log'!M:M,"Data Verification",'QA Log'!Z:Z,"Approved",'QA Log'!L:L,"*Equipments (section 4)*")
))</f>
        <v>0</v>
      </c>
      <c r="AP11" s="105">
        <f ca="1">IF(A11&lt;&gt;"",COUNTIFS('QA Log'!D:D,A11,'QA Log'!M:M,"Data Verification",'QA Log'!L:L,"Personnel (section 1)",'QA Log'!Z:Z,"Approved"),"")</f>
        <v>0</v>
      </c>
      <c r="AQ11" s="105">
        <f ca="1">IF(A11&lt;&gt;"",COUNTIFS('QA Log'!D:D,A11,'QA Log'!M:M,"Data Verification",'QA Log'!L:L,"Consumable (section 3)",'QA Log'!Z:Z,"Approved"),"")</f>
        <v>0</v>
      </c>
      <c r="AR11" s="105">
        <f ca="1">IF(A11&lt;&gt;"",COUNTIFS('QA Log'!D:D,A11,'QA Log'!M:M,"Data Verification",'QA Log'!L:L,"Equipments (section 4)",'QA Log'!Z:Z,"Approved"),"")</f>
        <v>0</v>
      </c>
      <c r="AS11" s="102">
        <f ca="1">IF(A11="","",
SUM(
COUNTIFS('QA Log'!D:D,A11,'QA Log'!M:M,"Data Verification",'QA Log'!Z:Z,"Rejected",'QA Log'!L:L,"*Personnel (section 1)*"),
COUNTIFS('QA Log'!D:D,A11,'QA Log'!M:M,"Data Verification",'QA Log'!Z:Z,"Rejected",'QA Log'!L:L,"*Consumable (section 3)*"),
COUNTIFS('QA Log'!D:D,A11,'QA Log'!M:M,"Data Verification",'QA Log'!Z:Z,"Rejected",'QA Log'!L:L,"*Equipments (section 4)*")
))</f>
        <v>0</v>
      </c>
      <c r="AT11" s="102" t="e">
        <f t="shared" ca="1" si="7"/>
        <v>#NAME?</v>
      </c>
      <c r="AU11" s="103">
        <f t="shared" ca="1" si="8"/>
        <v>2</v>
      </c>
      <c r="AV11" s="102">
        <f ca="1">IF(A11="","",SUM(
COUNTIFS('QA Log'!D:D,A11,'QA Log'!M:M,"Vignette",'QA Log'!L:L,"*Vignette [1] Respiratory Infection: Pneumonia*"),
COUNTIFS('QA Log'!D:D,A11,'QA Log'!M:M,"Vignette",'QA Log'!L:L,"*Vignette [2]: Diarrhea with Cat B dehydration*"),
COUNTIFS('QA Log'!D:D,A11,'QA Log'!M:M,"Vignette",'QA Log'!L:L,"*Vignette [3] Growth Monitoring and Promotion*"),
COUNTIFS('QA Log'!D:D,A11,'QA Log'!M:M,"Vignette",'QA Log'!L:L,"*Vignette [4]: The management of presumptive TB patient*")
)
)</f>
        <v>4</v>
      </c>
      <c r="AW11" s="102">
        <f ca="1">IF(
  A11="","",
  SUM(
    COUNTIFS('QA Log'!D:D,A11,'QA Log'!M:M,"Vignette",'QA Log'!Z:Z,"Approved",'QA Log'!L:L,"*Vignette [1] Respiratory Infection: Pneumonia*"),
    COUNTIFS('QA Log'!D:D,A11,'QA Log'!M:M,"Vignette",'QA Log'!Z:Z,"Approved",'QA Log'!L:L,"*Vignette [2]: Diarrhea with Cat B dehydration*"),
    COUNTIFS('QA Log'!D:D,A11,'QA Log'!M:M,"Vignette",'QA Log'!Z:Z,"Approved",'QA Log'!L:L,"*Vignette [3] Growth Monitoring and Promotion*"),
    COUNTIFS('QA Log'!D:D,A11,'QA Log'!M:M,"Vignette",'QA Log'!Z:Z,"Approved",'QA Log'!L:L,"*Vignette [4]: The management of presumptive TB patient*")
  )
)</f>
        <v>4</v>
      </c>
      <c r="AX11" s="105">
        <f ca="1">IF(A11&lt;&gt;"",COUNTIFS('QA Log'!D:D,A11,'QA Log'!M:M,"Vignette",'QA Log'!L:L,"Vignette [1] Respiratory Infection: Pneumonia",'QA Log'!Z:Z,"Approved"),"")</f>
        <v>1</v>
      </c>
      <c r="AY11" s="105">
        <f ca="1">IF(A11&lt;&gt;"",COUNTIFS('QA Log'!D:D,A11,'QA Log'!M:M,"Vignette",'QA Log'!L:L,"Vignette [2]: Diarrhea with Cat B dehydration",'QA Log'!Z:Z,"Approved"),"")</f>
        <v>1</v>
      </c>
      <c r="AZ11" s="105">
        <f ca="1">IF(A11&lt;&gt;"",COUNTIFS('QA Log'!D:D,A11,'QA Log'!M:M,"Vignette",'QA Log'!L:L,"Vignette [3] Growth Monitoring and Promotion",'QA Log'!Z:Z,"Approved"),"")</f>
        <v>2</v>
      </c>
      <c r="BA11" s="105">
        <f ca="1">IF(A11&lt;&gt;"",COUNTIFS('QA Log'!D:D,A11,'QA Log'!M:M,"Vignette",'QA Log'!L:L,"Vignette [4]: The management of presumptive TB patient",'QA Log'!Z:Z,"Approved"),"")</f>
        <v>0</v>
      </c>
      <c r="BB11" s="102">
        <f ca="1">IF(A11="","",
  SUM(
    COUNTIFS('QA Log'!D:D,A11,'QA Log'!M:M,"Vignette",'QA Log'!Z:Z,"Rejected",'QA Log'!L:L,"*Vignette [1] Respiratory Infection: Pneumonia*"),
    COUNTIFS('QA Log'!D:D,A11,'QA Log'!M:M,"Vignette",'QA Log'!Z:Z,"Rejected",'QA Log'!L:L,"*Vignette [2]: Diarrhea with Cat B dehydration*"),
    COUNTIFS('QA Log'!D:D,A11,'QA Log'!M:M,"Vignette",'QA Log'!Z:Z,"Rejected",'QA Log'!L:L,"*Vignette [3] Growth Monitoring and Promotion*"),
    COUNTIFS('QA Log'!D:D,A11,'QA Log'!M:M,"Vignette",'QA Log'!Z:Z,"Rejected",'QA Log'!L:L,"*Vignette [4]: The management of presumptive TB patient*")
  )
)</f>
        <v>0</v>
      </c>
      <c r="BC11" s="107">
        <f t="shared" ca="1" si="9"/>
        <v>-2</v>
      </c>
      <c r="BD11" s="103">
        <f t="shared" ca="1" si="10"/>
        <v>2</v>
      </c>
      <c r="BE11" s="102">
        <f ca="1">IF(A11="","",SUM(
COUNTIFS('QA Log'!D:D,A11,'QA Log'!M:M,"Vignette",'QA Log'!L:L,"*Vignette [5] Labor*"),
COUNTIFS('QA Log'!D:D,A11,'QA Log'!M:M,"Vignette",'QA Log'!L:L,"*Vignette [6] PNC pre Discharge*"),
COUNTIFS('QA Log'!D:D,A11,'QA Log'!M:M,"Vignette",'QA Log'!L:L,"*Vignette [7] First ANC Visit*"),
COUNTIFS('QA Log'!D:D,A11,'QA Log'!M:M,"Vignette",'QA Log'!L:L,"*Vignette [8] Birth Spacing/ Family Planning :  FP Counselling*"),
COUNTIFS('QA Log'!D:D,A11,'QA Log'!M:M,"Vignette",'QA Log'!L:L,"*Vignette [9] Birth Spacing: Change FP method to Injectable*"),
COUNTIFS('QA Log'!D:D,A11,'QA Log'!M:M,"Vignette",'QA Log'!L:L,"*Vignette [10] Post Partum Haemorrhage - Atonic Uterus at Health Centre*"),
)
)</f>
        <v>6</v>
      </c>
      <c r="BF11" s="102">
        <f ca="1">IF(A11="","",
  SUM(
    COUNTIFS('QA Log'!D:D,A11,'QA Log'!M:M,"Vignette",'QA Log'!Z:Z,"Approved",'QA Log'!L:L,"*Vignette [5] Labor*"),
    COUNTIFS('QA Log'!D:D,A11,'QA Log'!M:M,"Vignette",'QA Log'!Z:Z,"Approved",'QA Log'!L:L,"*Vignette [6] PNC pre Discharge*"),
    COUNTIFS('QA Log'!D:D,A11,'QA Log'!M:M,"Vignette",'QA Log'!Z:Z,"Approved",'QA Log'!L:L,"*Vignette [7] First ANC Visit*"),
    COUNTIFS('QA Log'!D:D,A11,'QA Log'!M:M,"Vignette",'QA Log'!Z:Z,"Approved",'QA Log'!L:L,"*Vignette [8] Birth Spacing/ Family Planning :  FP Counselling*"),
    COUNTIFS('QA Log'!D:D,A11,'QA Log'!M:M,"Vignette",'QA Log'!Z:Z,"Approved",'QA Log'!L:L,"*Vignette [9] Birth Spacing: Change FP method to Injectable*"),
    COUNTIFS('QA Log'!D:D,A11,'QA Log'!M:M,"Vignette",'QA Log'!Z:Z,"Approved",'QA Log'!L:L,"*Vignette [10] Post Partum Haemorrhage - Atonic Uterus at Health Centre*")
  )
)</f>
        <v>6</v>
      </c>
      <c r="BG11" s="105">
        <f ca="1">IF(A11&lt;&gt;"",COUNTIFS('QA Log'!D:D,A11,'QA Log'!M:M,"Vignette",'QA Log'!L:L,"Vignette [5] Labor",'QA Log'!Z:Z,"Approved"),"")</f>
        <v>1</v>
      </c>
      <c r="BH11" s="105">
        <f ca="1">IF(A11&lt;&gt;"",COUNTIFS('QA Log'!D:D,A11,'QA Log'!M:M,"Vignette",'QA Log'!L:L,"Vignette [6] PNC pre Discharge",'QA Log'!Z:Z,"Approved"),"")</f>
        <v>1</v>
      </c>
      <c r="BI11" s="105">
        <f ca="1">IF(A11&lt;&gt;"",COUNTIFS('QA Log'!D:D,A11,'QA Log'!M:M,"Vignette",'QA Log'!L:L,"Vignette [7] First ANC Visit",'QA Log'!Z:Z,"Approved"),"")</f>
        <v>1</v>
      </c>
      <c r="BJ11" s="105">
        <f ca="1">IF(A11&lt;&gt;"",COUNTIFS('QA Log'!D:D,A11,'QA Log'!M:M,"Vignette",'QA Log'!L:L,"Vignette [8] Birth Spacing/ Family Planning :  FP Counselling",'QA Log'!Z:Z,"Approved"),"")</f>
        <v>1</v>
      </c>
      <c r="BK11" s="105">
        <f ca="1">IF(A11&lt;&gt;"",COUNTIFS('QA Log'!D:D,A11,'QA Log'!M:M,"Vignette",'QA Log'!L:L,"Vignette [9] Birth Spacing: Change FP method to Injectable",'QA Log'!Z:Z,"Approved"),"")</f>
        <v>1</v>
      </c>
      <c r="BL11" s="105">
        <f ca="1">IF(A11&lt;&gt;"",COUNTIFS('QA Log'!D:D,A11,'QA Log'!M:M,"Vignette",'QA Log'!L:L,"Vignette [10] Post Partum Haemorrhage - Atonic Uterus at Health Centre",'QA Log'!Z:Z,"Approved"),"")</f>
        <v>1</v>
      </c>
      <c r="BM11" s="102">
        <f ca="1">IF(A11="","",SUM(
    COUNTIFS('QA Log'!D:D,A11,'QA Log'!M:M,"Vignette",'QA Log'!Z:Z,"Rejected",'QA Log'!L:L,"*Vignette [5] Labor*"),
    COUNTIFS('QA Log'!D:D,A11,'QA Log'!M:M,"Vignette",'QA Log'!Z:Z,"Rejected",'QA Log'!L:L,"*Vignette [6] PNC pre Discharge*"),
    COUNTIFS('QA Log'!D:D,A11,'QA Log'!M:M,"Vignette",'QA Log'!Z:Z,"Rejected",'QA Log'!L:L,"*Vignette [7] First ANC Visit*"),
    COUNTIFS('QA Log'!D:D,A11,'QA Log'!M:M,"Vignette",'QA Log'!Z:Z,"Rejected",'QA Log'!L:L,"*Vignette [8] Birth Spacing/ Family Planning :  FP Counselling*"),
    COUNTIFS('QA Log'!D:D,A11,'QA Log'!M:M,"Vignette",'QA Log'!Z:Z,"Rejected",'QA Log'!L:L,"*Vignette [9] Birth Spacing: Change FP method to Injectable*"),
    COUNTIFS('QA Log'!D:D,A11,'QA Log'!M:M,"Vignette",'QA Log'!Z:Z,"Rejected",'QA Log'!L:L,"*Vignette [10] Post Partum Haemorrhage - Atonic Uterus at Health Centre*")
  )
)</f>
        <v>0</v>
      </c>
      <c r="BN11" s="107">
        <f t="shared" ca="1" si="11"/>
        <v>-4</v>
      </c>
      <c r="BO11" s="103">
        <f t="shared" ca="1" si="12"/>
        <v>2</v>
      </c>
      <c r="BP11" s="102">
        <f ca="1">IF(A11="","",SUM(
COUNTIFS('QA Log'!D:D,A11,'QA Log'!M:M,"Vignette",'QA Log'!L:L,"*Exit Interview 1*"),
COUNTIFS('QA Log'!D:D,A11,'QA Log'!M:M,"Vignette",'QA Log'!L:L,"*Exit Interview 2*"),
)
)</f>
        <v>3</v>
      </c>
      <c r="BQ11" s="102">
        <f ca="1">IF(
  A11="","",
  SUM(
    COUNTIFS('QA Log'!D:D,A11,'QA Log'!M:M,"Vignette",'QA Log'!Z:Z,"Approved",'QA Log'!L:L,"*Exit Interview 1*"),
    COUNTIFS('QA Log'!D:D,A11,'QA Log'!M:M,"Vignette",'QA Log'!Z:Z,"Approved",'QA Log'!L:L,"*Exit Interview 2*")
  )
)</f>
        <v>3</v>
      </c>
      <c r="BR11" s="105">
        <f ca="1">IF(A11&lt;&gt;"",COUNTIFS('QA Log'!D:D,A11,'QA Log'!M:M,"Vignette",'QA Log'!L:L,"Exit Interview 1",'QA Log'!Z:Z,"Approved"),"")</f>
        <v>2</v>
      </c>
      <c r="BS11" s="105">
        <f ca="1">IF(A11&lt;&gt;"",COUNTIFS('QA Log'!D:D,A11,'QA Log'!M:M,"Vignette",'QA Log'!L:L,"Exit Interview 2",'QA Log'!Z:Z,"Approved"),"")</f>
        <v>1</v>
      </c>
      <c r="BT11" s="102">
        <f ca="1">IF(
  A11="","",
  SUM(
    COUNTIFS('QA Log'!D:D,A11,'QA Log'!M:M,"Vignette",'QA Log'!Z:Z,"Rejected",'QA Log'!L:L,"*Exit Interview 1*"),
    COUNTIFS('QA Log'!D:D,A11,'QA Log'!M:M,"Vignette",'QA Log'!Z:Z,"Rejected",'QA Log'!L:L,"*Exit Interview 2*")
  )
)</f>
        <v>0</v>
      </c>
      <c r="BU11" s="107">
        <f t="shared" ca="1" si="13"/>
        <v>-1</v>
      </c>
      <c r="BV11" s="102" t="e">
        <f t="shared" ca="1" si="14"/>
        <v>#NAME?</v>
      </c>
      <c r="BW11" s="102">
        <f t="shared" ca="1" si="15"/>
        <v>15</v>
      </c>
      <c r="BX11" s="102">
        <f t="shared" ca="1" si="16"/>
        <v>14</v>
      </c>
      <c r="BY11" s="102">
        <f t="shared" ca="1" si="17"/>
        <v>0</v>
      </c>
      <c r="BZ11" s="107" t="e">
        <f t="shared" ca="1" si="18"/>
        <v>#NAME?</v>
      </c>
      <c r="CA11" s="108" t="e">
        <f t="shared" ca="1" si="19"/>
        <v>#NAME?</v>
      </c>
      <c r="CB11" s="108" t="e">
        <f t="shared" ca="1" si="20"/>
        <v>#NAME?</v>
      </c>
      <c r="CC11" s="109" t="str">
        <f t="shared" ca="1" si="21"/>
        <v>Fully Received</v>
      </c>
      <c r="CD11" s="108" t="e">
        <f t="shared" ca="1" si="22"/>
        <v>#NAME?</v>
      </c>
      <c r="CE11" s="108" t="e">
        <f t="shared" ca="1" si="23"/>
        <v>#NAME?</v>
      </c>
      <c r="CF11" s="109" t="str">
        <f t="shared" ca="1" si="24"/>
        <v>Fully Received</v>
      </c>
      <c r="CG11" s="110" t="e">
        <f t="shared" ca="1" si="25"/>
        <v>#NAME?</v>
      </c>
      <c r="CH11" s="111"/>
    </row>
    <row r="12" spans="1:86" ht="12.75">
      <c r="A12" s="101" t="str">
        <f ca="1">IFERROR(__xludf.DUMMYFUNCTION("""COMPUTED_VALUE"""),"HER-BDS-HF4266-Q2-2025-1004-01")</f>
        <v>HER-BDS-HF4266-Q2-2025-1004-01</v>
      </c>
      <c r="B12" s="102" t="e">
        <f t="array" aca="1" ref="B12" ca="1">_xludf.XLOOKUP(A12,'QA Log'!D:D,'QA Log'!E:E,"")</f>
        <v>#NAME?</v>
      </c>
      <c r="C12" s="102" t="e">
        <f t="array" aca="1" ref="C12" ca="1">_xludf.XLOOKUP(A12,'QA Log'!D:D,'QA Log'!F:F,"")</f>
        <v>#NAME?</v>
      </c>
      <c r="D12" s="102" t="e">
        <f t="array" aca="1" ref="D12" ca="1">_xludf.XLOOKUP(A12,'QA Log'!D:D,'QA Log'!H:H,"")</f>
        <v>#NAME?</v>
      </c>
      <c r="E12" s="102" t="e">
        <f t="array" aca="1" ref="E12" ca="1">_xludf.XLOOKUP(A12,'QA Log'!D:D,'QA Log'!G:G,"")</f>
        <v>#NAME?</v>
      </c>
      <c r="F12" s="103" t="s">
        <v>91</v>
      </c>
      <c r="G12" s="102" t="s">
        <v>92</v>
      </c>
      <c r="H12" s="102" t="s">
        <v>96</v>
      </c>
      <c r="I12" s="103" t="e">
        <f t="shared" ca="1" si="0"/>
        <v>#NAME?</v>
      </c>
      <c r="J12" s="102">
        <f ca="1">IF(A12="","",SUM(
COUNTIFS('QA Log'!D:D,A12,'QA Log'!M:M,"QQC",'QA Log'!L:L,"*1. General Management*"),
COUNTIFS('QA Log'!D:D,A12,'QA Log'!M:M,"QQC",'QA Log'!L:L,"*3. Curative Consultation (OPD)*"),
COUNTIFS('QA Log'!D:D,A12,'QA Log'!M:M,"QQC",'QA Log'!L:L,"*5. Laboratory*"),
COUNTIFS('QA Log'!D:D,A12,'QA Log'!M:M,"QQC",'QA Log'!L:L,"*6. Essential Medicine Management*"),
COUNTIFS('QA Log'!D:D,A12,'QA Log'!M:M,"QQC",'QA Log'!L:L,"*7. Tracer Medicine*"),
COUNTIFS('QA Log'!D:D,A12,'QA Log'!M:M,"QQC",'QA Log'!L:L,"*11. Additional Questions*")))</f>
        <v>0</v>
      </c>
      <c r="K12" s="102">
        <f ca="1">IF(A12="","",SUM(
COUNTIFS('QA Log'!D:D,A12,'QA Log'!M:M,"QQC",'QA Log'!Z:Z,"Approved",'QA Log'!L:L,"*1. General Management*"),
COUNTIFS('QA Log'!D:D,A12,'QA Log'!M:M,"QQC",'QA Log'!Z:Z,"Approved",'QA Log'!L:L,"*3. Curative Consultation (OPD)*"),
COUNTIFS('QA Log'!D:D,A12,'QA Log'!M:M,"QQC",'QA Log'!Z:Z,"Approved",'QA Log'!L:L,"*5. Laboratory*"),
COUNTIFS('QA Log'!D:D,A12,'QA Log'!M:M,"QQC",'QA Log'!Z:Z,"Approved",'QA Log'!L:L,"*6. Essential Medicine Management*"),
COUNTIFS('QA Log'!D:D,A12,'QA Log'!M:M,"QQC",'QA Log'!Z:Z,"Approved",'QA Log'!L:L,"*7. Tracer Medicine*"),
COUNTIFS('QA Log'!D:D,A12,'QA Log'!M:M,"QQC",'QA Log'!Z:Z,"Approved",'QA Log'!L:L,"*11. Additional Questions*")))</f>
        <v>0</v>
      </c>
      <c r="L12" s="105">
        <f ca="1">IF(A12&lt;&gt;"",COUNTIFS('QA Log'!D:D,A12,'QA Log'!M:M,"QQC",'QA Log'!L:L,"1. General Management",'QA Log'!Z:Z,"Approved"),"")</f>
        <v>0</v>
      </c>
      <c r="M12" s="105">
        <f ca="1">IF(A12&lt;&gt;"",COUNTIFS('QA Log'!D:D,A12,'QA Log'!M:M,"QQC",'QA Log'!L:L,"3. Curative Consultation (OPD)",'QA Log'!Z:Z,"Approved"),"")</f>
        <v>0</v>
      </c>
      <c r="N12" s="105">
        <f ca="1">IF(A12&lt;&gt;"",COUNTIFS('QA Log'!D:D,A12,'QA Log'!M:M,"QQC",'QA Log'!L:L,"5. Laboratory",'QA Log'!Z:Z,"Approved"),"")</f>
        <v>0</v>
      </c>
      <c r="O12" s="105">
        <f ca="1">IF(A12&lt;&gt;"",COUNTIFS('QA Log'!D:D,A12,'QA Log'!M:M,"QQC",'QA Log'!L:L,"6. Essential Medicine Management",'QA Log'!Z:Z,"Approved"),"")</f>
        <v>0</v>
      </c>
      <c r="P12" s="105">
        <f ca="1">IF(A12&lt;&gt;"",COUNTIFS('QA Log'!D:D,A12,'QA Log'!M:M,"QQC",'QA Log'!L:L,"7. Tracer Medicine",'QA Log'!Z:Z,"Approved"),"")</f>
        <v>0</v>
      </c>
      <c r="Q12" s="105">
        <f ca="1">IF(A12&lt;&gt;"",COUNTIFS('QA Log'!D:D,A12,'QA Log'!M:M,"QQC",'QA Log'!L:L,"11. Additional Questions",'QA Log'!Z:Z,"Approved"),"")</f>
        <v>0</v>
      </c>
      <c r="R12" s="102">
        <f ca="1">IF(A12="","",SUM(
COUNTIFS('QA Log'!D:D,A12,'QA Log'!M:M,"QQC",'QA Log'!Z:Z,"Rejected",'QA Log'!L:L,"*8. Maternity*"),
COUNTIFS('QA Log'!D:D,A12,'QA Log'!M:M,"QQC",'QA Log'!Z:Z,"Rejected",'QA Log'!L:L,"*EPI*"),
COUNTIFS('QA Log'!D:D,A12,'QA Log'!M:M,"QQC",'QA Log'!Z:Z,"Rejected",'QA Log'!L:L,"*10. Antenatal Care (ANC)*"),
COUNTIFS('QA Log'!D:D,A12,'QA Log'!M:M,"QQC",'QA Log'!Z:Z,"Rejected",'QA Log'!L:L,"*2. Hygiene and Sterilization*"),
COUNTIFS('QA Log'!D:D,A12,'QA Log'!M:M,"QQC",'QA Log'!Z:Z,"Rejected",'QA Log'!L:L,"*Family Planning*")))</f>
        <v>0</v>
      </c>
      <c r="S12" s="106" t="e">
        <f t="shared" ca="1" si="1"/>
        <v>#NAME?</v>
      </c>
      <c r="T12" s="102" t="e">
        <f t="shared" ca="1" si="2"/>
        <v>#NAME?</v>
      </c>
      <c r="U12" s="102">
        <f ca="1">IF(A12="","",
SUM(
COUNTIFS('QA Log'!D:D,A12,'QA Log'!M:M,"QQC",'QA Log'!L:L,"*8. Maternity*"),
COUNTIFS('QA Log'!D:D,A12,'QA Log'!M:M,"QQC",'QA Log'!L:L,"*9. EPI and Pre-school Consultation*"),
COUNTIFS('QA Log'!D:D,A12,'QA Log'!M:M,"QQC",'QA Log'!L:L,"*10. Antenatal Care (ANC)*"),
COUNTIFS('QA Log'!D:D,A12,'QA Log'!M:M,"QQC",'QA Log'!L:L,"*2. Hygiene and Sterilization*"),
COUNTIFS('QA Log'!D:D,A12,'QA Log'!M:M,"QQC",'QA Log'!L:L,"*4. Family Planning*")
))</f>
        <v>0</v>
      </c>
      <c r="V12" s="102">
        <f ca="1">IF(A12="","",
SUM(
COUNTIFS('QA Log'!D:D,A12,'QA Log'!M:M,"QQC",'QA Log'!Z:Z,"Approved",'QA Log'!L:L,"*8. Maternity*"),
COUNTIFS('QA Log'!D:D,A12,'QA Log'!M:M,"QQC",'QA Log'!Z:Z,"Approved",'QA Log'!L:L,"*9. EPI and Pre-school Consultation*"),
COUNTIFS('QA Log'!D:D,A12,'QA Log'!M:M,"QQC",'QA Log'!Z:Z,"Approved",'QA Log'!L:L,"*10. Antenatal Care (ANC)*"),
COUNTIFS('QA Log'!D:D,A12,'QA Log'!M:M,"QQC",'QA Log'!Z:Z,"Approved",'QA Log'!L:L,"*2. Hygiene and Sterilization*"),
COUNTIFS('QA Log'!D:D,A12,'QA Log'!M:M,"QQC",'QA Log'!Z:Z,"Approved",'QA Log'!L:L,"*4. Family Planning*")
))</f>
        <v>0</v>
      </c>
      <c r="W12" s="105">
        <f ca="1">IF(A12&lt;&gt;"",COUNTIFS('QA Log'!D:D,A12,'QA Log'!M:M,"QQC",'QA Log'!L:L,"8. Maternity",'QA Log'!Z:Z,"Approved"),"")</f>
        <v>0</v>
      </c>
      <c r="X12" s="105">
        <f ca="1">IF(A12&lt;&gt;"",COUNTIFS('QA Log'!D:D,A12,'QA Log'!M:M,"QQC",'QA Log'!L:L,"9. EPI and Pre-school Consultation",'QA Log'!Z:Z,"Approved"),"")</f>
        <v>0</v>
      </c>
      <c r="Y12" s="105">
        <f ca="1">IF(A12&lt;&gt;"",COUNTIFS('QA Log'!D:D,A12,'QA Log'!M:M,"QQC",'QA Log'!L:L,"10. Antenatal Care (ANC)",'QA Log'!Z:Z,"Approved"),"")</f>
        <v>0</v>
      </c>
      <c r="Z12" s="105">
        <f ca="1">IF(A12&lt;&gt;"",COUNTIFS('QA Log'!D:D,A12,'QA Log'!M:M,"QQC",'QA Log'!L:L,"2. Hygiene and Sterilization",'QA Log'!Z:Z,"Approved"),"")</f>
        <v>0</v>
      </c>
      <c r="AA12" s="105">
        <f ca="1">IF(A12&lt;&gt;"",COUNTIFS('QA Log'!D:D,A12,'QA Log'!M:M,"QQC",'QA Log'!L:L,"4. Family Planning",'QA Log'!Z:Z,"Approved"),"")</f>
        <v>0</v>
      </c>
      <c r="AB12" s="102">
        <f ca="1">IF(A12="","",
SUM(
COUNTIFS('QA Log'!D:D,A12,'QA Log'!M:M,"QQC",'QA Log'!Z:Z,"Rejected",'QA Log'!L:L,"*8. Maternity*"),
COUNTIFS('QA Log'!D:D,A12,'QA Log'!M:M,"QQC",'QA Log'!Z:Z,"Rejected",'QA Log'!L:L,"*9. EPI and Pre-school Consultation*"),
COUNTIFS('QA Log'!D:D,A12,'QA Log'!M:M,"QQC",'QA Log'!Z:Z,"Rejected",'QA Log'!L:L,"*10. Antenatal Care (ANC)*"),
COUNTIFS('QA Log'!D:D,A12,'QA Log'!M:M,"QQC",'QA Log'!Z:Z,"Rejected",'QA Log'!L:L,"*2. Hygiene and Sterilization*"),
COUNTIFS('QA Log'!D:D,A12,'QA Log'!M:M,"QQC",'QA Log'!Z:Z,"Rejected",'QA Log'!L:L,"*4. Family Planning*")
))</f>
        <v>0</v>
      </c>
      <c r="AC12" s="102" t="e">
        <f t="shared" ca="1" si="3"/>
        <v>#NAME?</v>
      </c>
      <c r="AD12" s="103" t="e">
        <f t="shared" ca="1" si="4"/>
        <v>#NAME?</v>
      </c>
      <c r="AE12" s="102">
        <f ca="1">IF(A12="","",
SUM(
COUNTIFS('QA Log'!D:D,A12,'QA Log'!M:M,"Data Verification",'QA Log'!L:L,"*Medicine (section 2)*"),
COUNTIFS('QA Log'!D:D,A12,'QA Log'!M:M,"Data Verification",'QA Log'!L:L,"*Lab Testing Availability*"),
COUNTIFS('QA Log'!D:D,A12,'QA Log'!M:M,"Data Verification",'QA Log'!L:L,"*Other than P4P (section 6)*"),
COUNTIFS('QA Log'!D:D,A12,'QA Log'!M:M,"Data Verification",'QA Log'!L:L,"*Hospital Governance*")
))</f>
        <v>2</v>
      </c>
      <c r="AF12" s="102">
        <f ca="1">IF(A12="","",
SUM(
COUNTIFS('QA Log'!D:D,A12,'QA Log'!M:M,"Data Verification",'QA Log'!Z:Z,"Approved",'QA Log'!L:L,"*Medicine (section 2)*"),
COUNTIFS('QA Log'!D:D,A12,'QA Log'!M:M,"Data Verification",'QA Log'!Z:Z,"Approved",'QA Log'!L:L,"*Lab Testing Availability*"),
COUNTIFS('QA Log'!D:D,A12,'QA Log'!M:M,"Data Verification",'QA Log'!Z:Z,"Approved",'QA Log'!L:L,"*Other than P4P (section 6)*"),
COUNTIFS('QA Log'!D:D,A12,'QA Log'!M:M,"Data Verification",'QA Log'!Z:Z,"Approved",'QA Log'!L:L,"*Hospital Governance*")
))</f>
        <v>0</v>
      </c>
      <c r="AG12" s="105">
        <f ca="1">IF(A12&lt;&gt;"",COUNTIFS('QA Log'!D:D,A12,'QA Log'!M:M,"Data Verification",'QA Log'!L:L,"Medicine (section 2)",'QA Log'!Z:Z,"Approved"),"")</f>
        <v>0</v>
      </c>
      <c r="AH12" s="105">
        <f ca="1">IF(A12&lt;&gt;"",COUNTIFS('QA Log'!D:D,A12,'QA Log'!M:M,"Data Verification",'QA Log'!L:L,"Lab Testing Availability",'QA Log'!Z:Z,"Approved"),"")</f>
        <v>0</v>
      </c>
      <c r="AI12" s="105">
        <f ca="1">IF(A12&lt;&gt;"",COUNTIFS('QA Log'!D:D,A12,'QA Log'!M:M,"Data Verification",'QA Log'!L:L,"Other than P4P (section 6)",'QA Log'!Z:Z,"Approved"),"")</f>
        <v>0</v>
      </c>
      <c r="AJ12" s="105">
        <f ca="1">IF(A12&lt;&gt;"",COUNTIFS('QA Log'!D:D,A12,'QA Log'!M:M,"Data Verification",'QA Log'!L:L,"Hospital Governance",'QA Log'!Z:Z,"Approved"),"")</f>
        <v>0</v>
      </c>
      <c r="AK12" s="102">
        <f ca="1">IF(A12="","",
SUM(
COUNTIFS('QA Log'!D:D,A12,'QA Log'!M:M,"Data Verification",'QA Log'!Z:Z,"Rejected",'QA Log'!L:L,"*Medicine (section 2)*"),
COUNTIFS('QA Log'!D:D,A12,'QA Log'!M:M,"Data Verification",'QA Log'!Z:Z,"Rejected",'QA Log'!L:L,"*Lab Testing Availability*"),
COUNTIFS('QA Log'!D:D,A12,'QA Log'!M:M,"Data Verification",'QA Log'!Z:Z,"Rejected",'QA Log'!L:L,"*Other than P4P (section 6)*"),
COUNTIFS('QA Log'!D:D,A12,'QA Log'!M:M,"Data Verification",'QA Log'!Z:Z,"Rejected",'QA Log'!L:L,"*Hospital Governance*")
))</f>
        <v>0</v>
      </c>
      <c r="AL12" s="106" t="e">
        <f t="shared" ca="1" si="5"/>
        <v>#NAME?</v>
      </c>
      <c r="AM12" s="102" t="e">
        <f t="shared" ca="1" si="6"/>
        <v>#NAME?</v>
      </c>
      <c r="AN12" s="102">
        <f ca="1">IF(A12="","",
SUM(
COUNTIFS('QA Log'!D:D,A12,'QA Log'!M:M,"Data Verification",'QA Log'!L:L,"*Personnel (section 1)*"),
COUNTIFS('QA Log'!D:D,A12,'QA Log'!M:M,"Data Verification",'QA Log'!L:L,"*Consumable (section 3)*"),
COUNTIFS('QA Log'!D:D,A12,'QA Log'!M:M,"Data Verification",'QA Log'!L:L,"*Equipments (section 4)*")
))</f>
        <v>3</v>
      </c>
      <c r="AO12" s="102">
        <f ca="1">IF(A12="","",
SUM(
COUNTIFS('QA Log'!D:D,A12,'QA Log'!M:M,"Data Verification",'QA Log'!Z:Z,"Approved",'QA Log'!L:L,"*Personnel (section 1)*"),
COUNTIFS('QA Log'!D:D,A12,'QA Log'!M:M,"Data Verification",'QA Log'!Z:Z,"Approved",'QA Log'!L:L,"*Consumable (section 3)*"),
COUNTIFS('QA Log'!D:D,A12,'QA Log'!M:M,"Data Verification",'QA Log'!Z:Z,"Approved",'QA Log'!L:L,"*Equipments (section 4)*")
))</f>
        <v>0</v>
      </c>
      <c r="AP12" s="105">
        <f ca="1">IF(A12&lt;&gt;"",COUNTIFS('QA Log'!D:D,A12,'QA Log'!M:M,"Data Verification",'QA Log'!L:L,"Personnel (section 1)",'QA Log'!Z:Z,"Approved"),"")</f>
        <v>0</v>
      </c>
      <c r="AQ12" s="105">
        <f ca="1">IF(A12&lt;&gt;"",COUNTIFS('QA Log'!D:D,A12,'QA Log'!M:M,"Data Verification",'QA Log'!L:L,"Consumable (section 3)",'QA Log'!Z:Z,"Approved"),"")</f>
        <v>0</v>
      </c>
      <c r="AR12" s="105">
        <f ca="1">IF(A12&lt;&gt;"",COUNTIFS('QA Log'!D:D,A12,'QA Log'!M:M,"Data Verification",'QA Log'!L:L,"Equipments (section 4)",'QA Log'!Z:Z,"Approved"),"")</f>
        <v>0</v>
      </c>
      <c r="AS12" s="102">
        <f ca="1">IF(A12="","",
SUM(
COUNTIFS('QA Log'!D:D,A12,'QA Log'!M:M,"Data Verification",'QA Log'!Z:Z,"Rejected",'QA Log'!L:L,"*Personnel (section 1)*"),
COUNTIFS('QA Log'!D:D,A12,'QA Log'!M:M,"Data Verification",'QA Log'!Z:Z,"Rejected",'QA Log'!L:L,"*Consumable (section 3)*"),
COUNTIFS('QA Log'!D:D,A12,'QA Log'!M:M,"Data Verification",'QA Log'!Z:Z,"Rejected",'QA Log'!L:L,"*Equipments (section 4)*")
))</f>
        <v>0</v>
      </c>
      <c r="AT12" s="102" t="e">
        <f t="shared" ca="1" si="7"/>
        <v>#NAME?</v>
      </c>
      <c r="AU12" s="103">
        <f t="shared" ca="1" si="8"/>
        <v>2</v>
      </c>
      <c r="AV12" s="102">
        <f ca="1">IF(A12="","",SUM(
COUNTIFS('QA Log'!D:D,A12,'QA Log'!M:M,"Vignette",'QA Log'!L:L,"*Vignette [1] Respiratory Infection: Pneumonia*"),
COUNTIFS('QA Log'!D:D,A12,'QA Log'!M:M,"Vignette",'QA Log'!L:L,"*Vignette [2]: Diarrhea with Cat B dehydration*"),
COUNTIFS('QA Log'!D:D,A12,'QA Log'!M:M,"Vignette",'QA Log'!L:L,"*Vignette [3] Growth Monitoring and Promotion*"),
COUNTIFS('QA Log'!D:D,A12,'QA Log'!M:M,"Vignette",'QA Log'!L:L,"*Vignette [4]: The management of presumptive TB patient*")
)
)</f>
        <v>3</v>
      </c>
      <c r="AW12" s="102">
        <f ca="1">IF(
  A12="","",
  SUM(
    COUNTIFS('QA Log'!D:D,A12,'QA Log'!M:M,"Vignette",'QA Log'!Z:Z,"Approved",'QA Log'!L:L,"*Vignette [1] Respiratory Infection: Pneumonia*"),
    COUNTIFS('QA Log'!D:D,A12,'QA Log'!M:M,"Vignette",'QA Log'!Z:Z,"Approved",'QA Log'!L:L,"*Vignette [2]: Diarrhea with Cat B dehydration*"),
    COUNTIFS('QA Log'!D:D,A12,'QA Log'!M:M,"Vignette",'QA Log'!Z:Z,"Approved",'QA Log'!L:L,"*Vignette [3] Growth Monitoring and Promotion*"),
    COUNTIFS('QA Log'!D:D,A12,'QA Log'!M:M,"Vignette",'QA Log'!Z:Z,"Approved",'QA Log'!L:L,"*Vignette [4]: The management of presumptive TB patient*")
  )
)</f>
        <v>0</v>
      </c>
      <c r="AX12" s="105">
        <f ca="1">IF(A12&lt;&gt;"",COUNTIFS('QA Log'!D:D,A12,'QA Log'!M:M,"Vignette",'QA Log'!L:L,"Vignette [1] Respiratory Infection: Pneumonia",'QA Log'!Z:Z,"Approved"),"")</f>
        <v>0</v>
      </c>
      <c r="AY12" s="105">
        <f ca="1">IF(A12&lt;&gt;"",COUNTIFS('QA Log'!D:D,A12,'QA Log'!M:M,"Vignette",'QA Log'!L:L,"Vignette [2]: Diarrhea with Cat B dehydration",'QA Log'!Z:Z,"Approved"),"")</f>
        <v>0</v>
      </c>
      <c r="AZ12" s="105">
        <f ca="1">IF(A12&lt;&gt;"",COUNTIFS('QA Log'!D:D,A12,'QA Log'!M:M,"Vignette",'QA Log'!L:L,"Vignette [3] Growth Monitoring and Promotion",'QA Log'!Z:Z,"Approved"),"")</f>
        <v>0</v>
      </c>
      <c r="BA12" s="105">
        <f ca="1">IF(A12&lt;&gt;"",COUNTIFS('QA Log'!D:D,A12,'QA Log'!M:M,"Vignette",'QA Log'!L:L,"Vignette [4]: The management of presumptive TB patient",'QA Log'!Z:Z,"Approved"),"")</f>
        <v>0</v>
      </c>
      <c r="BB12" s="102">
        <f ca="1">IF(A12="","",
  SUM(
    COUNTIFS('QA Log'!D:D,A12,'QA Log'!M:M,"Vignette",'QA Log'!Z:Z,"Rejected",'QA Log'!L:L,"*Vignette [1] Respiratory Infection: Pneumonia*"),
    COUNTIFS('QA Log'!D:D,A12,'QA Log'!M:M,"Vignette",'QA Log'!Z:Z,"Rejected",'QA Log'!L:L,"*Vignette [2]: Diarrhea with Cat B dehydration*"),
    COUNTIFS('QA Log'!D:D,A12,'QA Log'!M:M,"Vignette",'QA Log'!Z:Z,"Rejected",'QA Log'!L:L,"*Vignette [3] Growth Monitoring and Promotion*"),
    COUNTIFS('QA Log'!D:D,A12,'QA Log'!M:M,"Vignette",'QA Log'!Z:Z,"Rejected",'QA Log'!L:L,"*Vignette [4]: The management of presumptive TB patient*")
  )
)</f>
        <v>0</v>
      </c>
      <c r="BC12" s="107">
        <f t="shared" ca="1" si="9"/>
        <v>2</v>
      </c>
      <c r="BD12" s="103">
        <f t="shared" ca="1" si="10"/>
        <v>2</v>
      </c>
      <c r="BE12" s="102">
        <f ca="1">IF(A12="","",SUM(
COUNTIFS('QA Log'!D:D,A12,'QA Log'!M:M,"Vignette",'QA Log'!L:L,"*Vignette [5] Labor*"),
COUNTIFS('QA Log'!D:D,A12,'QA Log'!M:M,"Vignette",'QA Log'!L:L,"*Vignette [6] PNC pre Discharge*"),
COUNTIFS('QA Log'!D:D,A12,'QA Log'!M:M,"Vignette",'QA Log'!L:L,"*Vignette [7] First ANC Visit*"),
COUNTIFS('QA Log'!D:D,A12,'QA Log'!M:M,"Vignette",'QA Log'!L:L,"*Vignette [8] Birth Spacing/ Family Planning :  FP Counselling*"),
COUNTIFS('QA Log'!D:D,A12,'QA Log'!M:M,"Vignette",'QA Log'!L:L,"*Vignette [9] Birth Spacing: Change FP method to Injectable*"),
COUNTIFS('QA Log'!D:D,A12,'QA Log'!M:M,"Vignette",'QA Log'!L:L,"*Vignette [10] Post Partum Haemorrhage - Atonic Uterus at Health Centre*"),
)
)</f>
        <v>0</v>
      </c>
      <c r="BF12" s="102">
        <f ca="1">IF(A12="","",
  SUM(
    COUNTIFS('QA Log'!D:D,A12,'QA Log'!M:M,"Vignette",'QA Log'!Z:Z,"Approved",'QA Log'!L:L,"*Vignette [5] Labor*"),
    COUNTIFS('QA Log'!D:D,A12,'QA Log'!M:M,"Vignette",'QA Log'!Z:Z,"Approved",'QA Log'!L:L,"*Vignette [6] PNC pre Discharge*"),
    COUNTIFS('QA Log'!D:D,A12,'QA Log'!M:M,"Vignette",'QA Log'!Z:Z,"Approved",'QA Log'!L:L,"*Vignette [7] First ANC Visit*"),
    COUNTIFS('QA Log'!D:D,A12,'QA Log'!M:M,"Vignette",'QA Log'!Z:Z,"Approved",'QA Log'!L:L,"*Vignette [8] Birth Spacing/ Family Planning :  FP Counselling*"),
    COUNTIFS('QA Log'!D:D,A12,'QA Log'!M:M,"Vignette",'QA Log'!Z:Z,"Approved",'QA Log'!L:L,"*Vignette [9] Birth Spacing: Change FP method to Injectable*"),
    COUNTIFS('QA Log'!D:D,A12,'QA Log'!M:M,"Vignette",'QA Log'!Z:Z,"Approved",'QA Log'!L:L,"*Vignette [10] Post Partum Haemorrhage - Atonic Uterus at Health Centre*")
  )
)</f>
        <v>0</v>
      </c>
      <c r="BG12" s="105">
        <f ca="1">IF(A12&lt;&gt;"",COUNTIFS('QA Log'!D:D,A12,'QA Log'!M:M,"Vignette",'QA Log'!L:L,"Vignette [5] Labor",'QA Log'!Z:Z,"Approved"),"")</f>
        <v>0</v>
      </c>
      <c r="BH12" s="105">
        <f ca="1">IF(A12&lt;&gt;"",COUNTIFS('QA Log'!D:D,A12,'QA Log'!M:M,"Vignette",'QA Log'!L:L,"Vignette [6] PNC pre Discharge",'QA Log'!Z:Z,"Approved"),"")</f>
        <v>0</v>
      </c>
      <c r="BI12" s="105">
        <f ca="1">IF(A12&lt;&gt;"",COUNTIFS('QA Log'!D:D,A12,'QA Log'!M:M,"Vignette",'QA Log'!L:L,"Vignette [7] First ANC Visit",'QA Log'!Z:Z,"Approved"),"")</f>
        <v>0</v>
      </c>
      <c r="BJ12" s="105">
        <f ca="1">IF(A12&lt;&gt;"",COUNTIFS('QA Log'!D:D,A12,'QA Log'!M:M,"Vignette",'QA Log'!L:L,"Vignette [8] Birth Spacing/ Family Planning :  FP Counselling",'QA Log'!Z:Z,"Approved"),"")</f>
        <v>0</v>
      </c>
      <c r="BK12" s="105">
        <f ca="1">IF(A12&lt;&gt;"",COUNTIFS('QA Log'!D:D,A12,'QA Log'!M:M,"Vignette",'QA Log'!L:L,"Vignette [9] Birth Spacing: Change FP method to Injectable",'QA Log'!Z:Z,"Approved"),"")</f>
        <v>0</v>
      </c>
      <c r="BL12" s="105">
        <f ca="1">IF(A12&lt;&gt;"",COUNTIFS('QA Log'!D:D,A12,'QA Log'!M:M,"Vignette",'QA Log'!L:L,"Vignette [10] Post Partum Haemorrhage - Atonic Uterus at Health Centre",'QA Log'!Z:Z,"Approved"),"")</f>
        <v>0</v>
      </c>
      <c r="BM12" s="102">
        <f ca="1">IF(A12="","",SUM(
    COUNTIFS('QA Log'!D:D,A12,'QA Log'!M:M,"Vignette",'QA Log'!Z:Z,"Rejected",'QA Log'!L:L,"*Vignette [5] Labor*"),
    COUNTIFS('QA Log'!D:D,A12,'QA Log'!M:M,"Vignette",'QA Log'!Z:Z,"Rejected",'QA Log'!L:L,"*Vignette [6] PNC pre Discharge*"),
    COUNTIFS('QA Log'!D:D,A12,'QA Log'!M:M,"Vignette",'QA Log'!Z:Z,"Rejected",'QA Log'!L:L,"*Vignette [7] First ANC Visit*"),
    COUNTIFS('QA Log'!D:D,A12,'QA Log'!M:M,"Vignette",'QA Log'!Z:Z,"Rejected",'QA Log'!L:L,"*Vignette [8] Birth Spacing/ Family Planning :  FP Counselling*"),
    COUNTIFS('QA Log'!D:D,A12,'QA Log'!M:M,"Vignette",'QA Log'!Z:Z,"Rejected",'QA Log'!L:L,"*Vignette [9] Birth Spacing: Change FP method to Injectable*"),
    COUNTIFS('QA Log'!D:D,A12,'QA Log'!M:M,"Vignette",'QA Log'!Z:Z,"Rejected",'QA Log'!L:L,"*Vignette [10] Post Partum Haemorrhage - Atonic Uterus at Health Centre*")
  )
)</f>
        <v>0</v>
      </c>
      <c r="BN12" s="107">
        <f t="shared" ca="1" si="11"/>
        <v>2</v>
      </c>
      <c r="BO12" s="103">
        <f t="shared" ca="1" si="12"/>
        <v>2</v>
      </c>
      <c r="BP12" s="102">
        <f ca="1">IF(A12="","",SUM(
COUNTIFS('QA Log'!D:D,A12,'QA Log'!M:M,"Vignette",'QA Log'!L:L,"*Exit Interview 1*"),
COUNTIFS('QA Log'!D:D,A12,'QA Log'!M:M,"Vignette",'QA Log'!L:L,"*Exit Interview 2*"),
)
)</f>
        <v>1</v>
      </c>
      <c r="BQ12" s="102">
        <f ca="1">IF(
  A12="","",
  SUM(
    COUNTIFS('QA Log'!D:D,A12,'QA Log'!M:M,"Vignette",'QA Log'!Z:Z,"Approved",'QA Log'!L:L,"*Exit Interview 1*"),
    COUNTIFS('QA Log'!D:D,A12,'QA Log'!M:M,"Vignette",'QA Log'!Z:Z,"Approved",'QA Log'!L:L,"*Exit Interview 2*")
  )
)</f>
        <v>0</v>
      </c>
      <c r="BR12" s="105">
        <f ca="1">IF(A12&lt;&gt;"",COUNTIFS('QA Log'!D:D,A12,'QA Log'!M:M,"Vignette",'QA Log'!L:L,"Exit Interview 1",'QA Log'!Z:Z,"Approved"),"")</f>
        <v>0</v>
      </c>
      <c r="BS12" s="105">
        <f ca="1">IF(A12&lt;&gt;"",COUNTIFS('QA Log'!D:D,A12,'QA Log'!M:M,"Vignette",'QA Log'!L:L,"Exit Interview 2",'QA Log'!Z:Z,"Approved"),"")</f>
        <v>0</v>
      </c>
      <c r="BT12" s="102">
        <f ca="1">IF(
  A12="","",
  SUM(
    COUNTIFS('QA Log'!D:D,A12,'QA Log'!M:M,"Vignette",'QA Log'!Z:Z,"Rejected",'QA Log'!L:L,"*Exit Interview 1*"),
    COUNTIFS('QA Log'!D:D,A12,'QA Log'!M:M,"Vignette",'QA Log'!Z:Z,"Rejected",'QA Log'!L:L,"*Exit Interview 2*")
  )
)</f>
        <v>0</v>
      </c>
      <c r="BU12" s="107">
        <f t="shared" ca="1" si="13"/>
        <v>2</v>
      </c>
      <c r="BV12" s="102" t="e">
        <f t="shared" ca="1" si="14"/>
        <v>#NAME?</v>
      </c>
      <c r="BW12" s="102">
        <f t="shared" ca="1" si="15"/>
        <v>9</v>
      </c>
      <c r="BX12" s="102">
        <f t="shared" ca="1" si="16"/>
        <v>0</v>
      </c>
      <c r="BY12" s="102">
        <f t="shared" ca="1" si="17"/>
        <v>0</v>
      </c>
      <c r="BZ12" s="107" t="e">
        <f t="shared" ca="1" si="18"/>
        <v>#NAME?</v>
      </c>
      <c r="CA12" s="108" t="e">
        <f t="shared" ca="1" si="19"/>
        <v>#NAME?</v>
      </c>
      <c r="CB12" s="108" t="e">
        <f t="shared" ca="1" si="20"/>
        <v>#NAME?</v>
      </c>
      <c r="CC12" s="109" t="str">
        <f t="shared" ca="1" si="21"/>
        <v>Not Received</v>
      </c>
      <c r="CD12" s="108" t="e">
        <f t="shared" ca="1" si="22"/>
        <v>#NAME?</v>
      </c>
      <c r="CE12" s="108" t="e">
        <f t="shared" ca="1" si="23"/>
        <v>#NAME?</v>
      </c>
      <c r="CF12" s="109" t="str">
        <f t="shared" ca="1" si="24"/>
        <v>Not Received</v>
      </c>
      <c r="CG12" s="110" t="e">
        <f t="shared" ca="1" si="25"/>
        <v>#NAME?</v>
      </c>
      <c r="CH12" s="111"/>
    </row>
    <row r="13" spans="1:86" ht="12.75">
      <c r="A13" s="101" t="str">
        <f ca="1">IFERROR(__xludf.DUMMYFUNCTION("""COMPUTED_VALUE"""),"HER-NGR-HF3781-Q2-2025-1059-01")</f>
        <v>HER-NGR-HF3781-Q2-2025-1059-01</v>
      </c>
      <c r="B13" s="102" t="e">
        <f t="array" aca="1" ref="B13" ca="1">_xludf.XLOOKUP(A13,'QA Log'!D:D,'QA Log'!E:E,"")</f>
        <v>#NAME?</v>
      </c>
      <c r="C13" s="102" t="e">
        <f t="array" aca="1" ref="C13" ca="1">_xludf.XLOOKUP(A13,'QA Log'!D:D,'QA Log'!F:F,"")</f>
        <v>#NAME?</v>
      </c>
      <c r="D13" s="102" t="e">
        <f t="array" aca="1" ref="D13" ca="1">_xludf.XLOOKUP(A13,'QA Log'!D:D,'QA Log'!H:H,"")</f>
        <v>#NAME?</v>
      </c>
      <c r="E13" s="102" t="e">
        <f t="array" aca="1" ref="E13" ca="1">_xludf.XLOOKUP(A13,'QA Log'!D:D,'QA Log'!G:G,"")</f>
        <v>#NAME?</v>
      </c>
      <c r="F13" s="103" t="s">
        <v>91</v>
      </c>
      <c r="G13" s="102" t="s">
        <v>92</v>
      </c>
      <c r="H13" s="104">
        <v>45963</v>
      </c>
      <c r="I13" s="103" t="e">
        <f t="shared" ca="1" si="0"/>
        <v>#NAME?</v>
      </c>
      <c r="J13" s="102">
        <f ca="1">IF(A13="","",SUM(
COUNTIFS('QA Log'!D:D,A13,'QA Log'!M:M,"QQC",'QA Log'!L:L,"*1. General Management*"),
COUNTIFS('QA Log'!D:D,A13,'QA Log'!M:M,"QQC",'QA Log'!L:L,"*3. Curative Consultation (OPD)*"),
COUNTIFS('QA Log'!D:D,A13,'QA Log'!M:M,"QQC",'QA Log'!L:L,"*5. Laboratory*"),
COUNTIFS('QA Log'!D:D,A13,'QA Log'!M:M,"QQC",'QA Log'!L:L,"*6. Essential Medicine Management*"),
COUNTIFS('QA Log'!D:D,A13,'QA Log'!M:M,"QQC",'QA Log'!L:L,"*7. Tracer Medicine*"),
COUNTIFS('QA Log'!D:D,A13,'QA Log'!M:M,"QQC",'QA Log'!L:L,"*11. Additional Questions*")))</f>
        <v>0</v>
      </c>
      <c r="K13" s="102">
        <f ca="1">IF(A13="","",SUM(
COUNTIFS('QA Log'!D:D,A13,'QA Log'!M:M,"QQC",'QA Log'!Z:Z,"Approved",'QA Log'!L:L,"*1. General Management*"),
COUNTIFS('QA Log'!D:D,A13,'QA Log'!M:M,"QQC",'QA Log'!Z:Z,"Approved",'QA Log'!L:L,"*3. Curative Consultation (OPD)*"),
COUNTIFS('QA Log'!D:D,A13,'QA Log'!M:M,"QQC",'QA Log'!Z:Z,"Approved",'QA Log'!L:L,"*5. Laboratory*"),
COUNTIFS('QA Log'!D:D,A13,'QA Log'!M:M,"QQC",'QA Log'!Z:Z,"Approved",'QA Log'!L:L,"*6. Essential Medicine Management*"),
COUNTIFS('QA Log'!D:D,A13,'QA Log'!M:M,"QQC",'QA Log'!Z:Z,"Approved",'QA Log'!L:L,"*7. Tracer Medicine*"),
COUNTIFS('QA Log'!D:D,A13,'QA Log'!M:M,"QQC",'QA Log'!Z:Z,"Approved",'QA Log'!L:L,"*11. Additional Questions*")))</f>
        <v>0</v>
      </c>
      <c r="L13" s="105">
        <f ca="1">IF(A13&lt;&gt;"",COUNTIFS('QA Log'!D:D,A13,'QA Log'!M:M,"QQC",'QA Log'!L:L,"1. General Management",'QA Log'!Z:Z,"Approved"),"")</f>
        <v>0</v>
      </c>
      <c r="M13" s="105">
        <f ca="1">IF(A13&lt;&gt;"",COUNTIFS('QA Log'!D:D,A13,'QA Log'!M:M,"QQC",'QA Log'!L:L,"3. Curative Consultation (OPD)",'QA Log'!Z:Z,"Approved"),"")</f>
        <v>0</v>
      </c>
      <c r="N13" s="105">
        <f ca="1">IF(A13&lt;&gt;"",COUNTIFS('QA Log'!D:D,A13,'QA Log'!M:M,"QQC",'QA Log'!L:L,"5. Laboratory",'QA Log'!Z:Z,"Approved"),"")</f>
        <v>0</v>
      </c>
      <c r="O13" s="105">
        <f ca="1">IF(A13&lt;&gt;"",COUNTIFS('QA Log'!D:D,A13,'QA Log'!M:M,"QQC",'QA Log'!L:L,"6. Essential Medicine Management",'QA Log'!Z:Z,"Approved"),"")</f>
        <v>0</v>
      </c>
      <c r="P13" s="105">
        <f ca="1">IF(A13&lt;&gt;"",COUNTIFS('QA Log'!D:D,A13,'QA Log'!M:M,"QQC",'QA Log'!L:L,"7. Tracer Medicine",'QA Log'!Z:Z,"Approved"),"")</f>
        <v>0</v>
      </c>
      <c r="Q13" s="105">
        <f ca="1">IF(A13&lt;&gt;"",COUNTIFS('QA Log'!D:D,A13,'QA Log'!M:M,"QQC",'QA Log'!L:L,"11. Additional Questions",'QA Log'!Z:Z,"Approved"),"")</f>
        <v>0</v>
      </c>
      <c r="R13" s="102">
        <f ca="1">IF(A13="","",SUM(
COUNTIFS('QA Log'!D:D,A13,'QA Log'!M:M,"QQC",'QA Log'!Z:Z,"Rejected",'QA Log'!L:L,"*8. Maternity*"),
COUNTIFS('QA Log'!D:D,A13,'QA Log'!M:M,"QQC",'QA Log'!Z:Z,"Rejected",'QA Log'!L:L,"*EPI*"),
COUNTIFS('QA Log'!D:D,A13,'QA Log'!M:M,"QQC",'QA Log'!Z:Z,"Rejected",'QA Log'!L:L,"*10. Antenatal Care (ANC)*"),
COUNTIFS('QA Log'!D:D,A13,'QA Log'!M:M,"QQC",'QA Log'!Z:Z,"Rejected",'QA Log'!L:L,"*2. Hygiene and Sterilization*"),
COUNTIFS('QA Log'!D:D,A13,'QA Log'!M:M,"QQC",'QA Log'!Z:Z,"Rejected",'QA Log'!L:L,"*Family Planning*")))</f>
        <v>0</v>
      </c>
      <c r="S13" s="106" t="e">
        <f t="shared" ca="1" si="1"/>
        <v>#NAME?</v>
      </c>
      <c r="T13" s="102" t="e">
        <f t="shared" ca="1" si="2"/>
        <v>#NAME?</v>
      </c>
      <c r="U13" s="102">
        <f ca="1">IF(A13="","",
SUM(
COUNTIFS('QA Log'!D:D,A13,'QA Log'!M:M,"QQC",'QA Log'!L:L,"*8. Maternity*"),
COUNTIFS('QA Log'!D:D,A13,'QA Log'!M:M,"QQC",'QA Log'!L:L,"*9. EPI and Pre-school Consultation*"),
COUNTIFS('QA Log'!D:D,A13,'QA Log'!M:M,"QQC",'QA Log'!L:L,"*10. Antenatal Care (ANC)*"),
COUNTIFS('QA Log'!D:D,A13,'QA Log'!M:M,"QQC",'QA Log'!L:L,"*2. Hygiene and Sterilization*"),
COUNTIFS('QA Log'!D:D,A13,'QA Log'!M:M,"QQC",'QA Log'!L:L,"*4. Family Planning*")
))</f>
        <v>0</v>
      </c>
      <c r="V13" s="102">
        <f ca="1">IF(A13="","",
SUM(
COUNTIFS('QA Log'!D:D,A13,'QA Log'!M:M,"QQC",'QA Log'!Z:Z,"Approved",'QA Log'!L:L,"*8. Maternity*"),
COUNTIFS('QA Log'!D:D,A13,'QA Log'!M:M,"QQC",'QA Log'!Z:Z,"Approved",'QA Log'!L:L,"*9. EPI and Pre-school Consultation*"),
COUNTIFS('QA Log'!D:D,A13,'QA Log'!M:M,"QQC",'QA Log'!Z:Z,"Approved",'QA Log'!L:L,"*10. Antenatal Care (ANC)*"),
COUNTIFS('QA Log'!D:D,A13,'QA Log'!M:M,"QQC",'QA Log'!Z:Z,"Approved",'QA Log'!L:L,"*2. Hygiene and Sterilization*"),
COUNTIFS('QA Log'!D:D,A13,'QA Log'!M:M,"QQC",'QA Log'!Z:Z,"Approved",'QA Log'!L:L,"*4. Family Planning*")
))</f>
        <v>0</v>
      </c>
      <c r="W13" s="105">
        <f ca="1">IF(A13&lt;&gt;"",COUNTIFS('QA Log'!D:D,A13,'QA Log'!M:M,"QQC",'QA Log'!L:L,"8. Maternity",'QA Log'!Z:Z,"Approved"),"")</f>
        <v>0</v>
      </c>
      <c r="X13" s="105">
        <f ca="1">IF(A13&lt;&gt;"",COUNTIFS('QA Log'!D:D,A13,'QA Log'!M:M,"QQC",'QA Log'!L:L,"9. EPI and Pre-school Consultation",'QA Log'!Z:Z,"Approved"),"")</f>
        <v>0</v>
      </c>
      <c r="Y13" s="105">
        <f ca="1">IF(A13&lt;&gt;"",COUNTIFS('QA Log'!D:D,A13,'QA Log'!M:M,"QQC",'QA Log'!L:L,"10. Antenatal Care (ANC)",'QA Log'!Z:Z,"Approved"),"")</f>
        <v>0</v>
      </c>
      <c r="Z13" s="105">
        <f ca="1">IF(A13&lt;&gt;"",COUNTIFS('QA Log'!D:D,A13,'QA Log'!M:M,"QQC",'QA Log'!L:L,"2. Hygiene and Sterilization",'QA Log'!Z:Z,"Approved"),"")</f>
        <v>0</v>
      </c>
      <c r="AA13" s="105">
        <f ca="1">IF(A13&lt;&gt;"",COUNTIFS('QA Log'!D:D,A13,'QA Log'!M:M,"QQC",'QA Log'!L:L,"4. Family Planning",'QA Log'!Z:Z,"Approved"),"")</f>
        <v>0</v>
      </c>
      <c r="AB13" s="102">
        <f ca="1">IF(A13="","",
SUM(
COUNTIFS('QA Log'!D:D,A13,'QA Log'!M:M,"QQC",'QA Log'!Z:Z,"Rejected",'QA Log'!L:L,"*8. Maternity*"),
COUNTIFS('QA Log'!D:D,A13,'QA Log'!M:M,"QQC",'QA Log'!Z:Z,"Rejected",'QA Log'!L:L,"*9. EPI and Pre-school Consultation*"),
COUNTIFS('QA Log'!D:D,A13,'QA Log'!M:M,"QQC",'QA Log'!Z:Z,"Rejected",'QA Log'!L:L,"*10. Antenatal Care (ANC)*"),
COUNTIFS('QA Log'!D:D,A13,'QA Log'!M:M,"QQC",'QA Log'!Z:Z,"Rejected",'QA Log'!L:L,"*2. Hygiene and Sterilization*"),
COUNTIFS('QA Log'!D:D,A13,'QA Log'!M:M,"QQC",'QA Log'!Z:Z,"Rejected",'QA Log'!L:L,"*4. Family Planning*")
))</f>
        <v>0</v>
      </c>
      <c r="AC13" s="102" t="e">
        <f t="shared" ca="1" si="3"/>
        <v>#NAME?</v>
      </c>
      <c r="AD13" s="103" t="e">
        <f t="shared" ca="1" si="4"/>
        <v>#NAME?</v>
      </c>
      <c r="AE13" s="102">
        <f ca="1">IF(A13="","",
SUM(
COUNTIFS('QA Log'!D:D,A13,'QA Log'!M:M,"Data Verification",'QA Log'!L:L,"*Medicine (section 2)*"),
COUNTIFS('QA Log'!D:D,A13,'QA Log'!M:M,"Data Verification",'QA Log'!L:L,"*Lab Testing Availability*"),
COUNTIFS('QA Log'!D:D,A13,'QA Log'!M:M,"Data Verification",'QA Log'!L:L,"*Other than P4P (section 6)*"),
COUNTIFS('QA Log'!D:D,A13,'QA Log'!M:M,"Data Verification",'QA Log'!L:L,"*Hospital Governance*")
))</f>
        <v>2</v>
      </c>
      <c r="AF13" s="102">
        <f ca="1">IF(A13="","",
SUM(
COUNTIFS('QA Log'!D:D,A13,'QA Log'!M:M,"Data Verification",'QA Log'!Z:Z,"Approved",'QA Log'!L:L,"*Medicine (section 2)*"),
COUNTIFS('QA Log'!D:D,A13,'QA Log'!M:M,"Data Verification",'QA Log'!Z:Z,"Approved",'QA Log'!L:L,"*Lab Testing Availability*"),
COUNTIFS('QA Log'!D:D,A13,'QA Log'!M:M,"Data Verification",'QA Log'!Z:Z,"Approved",'QA Log'!L:L,"*Other than P4P (section 6)*"),
COUNTIFS('QA Log'!D:D,A13,'QA Log'!M:M,"Data Verification",'QA Log'!Z:Z,"Approved",'QA Log'!L:L,"*Hospital Governance*")
))</f>
        <v>1</v>
      </c>
      <c r="AG13" s="105">
        <f ca="1">IF(A13&lt;&gt;"",COUNTIFS('QA Log'!D:D,A13,'QA Log'!M:M,"Data Verification",'QA Log'!L:L,"Medicine (section 2)",'QA Log'!Z:Z,"Approved"),"")</f>
        <v>0</v>
      </c>
      <c r="AH13" s="105">
        <f ca="1">IF(A13&lt;&gt;"",COUNTIFS('QA Log'!D:D,A13,'QA Log'!M:M,"Data Verification",'QA Log'!L:L,"Lab Testing Availability",'QA Log'!Z:Z,"Approved"),"")</f>
        <v>0</v>
      </c>
      <c r="AI13" s="105">
        <f ca="1">IF(A13&lt;&gt;"",COUNTIFS('QA Log'!D:D,A13,'QA Log'!M:M,"Data Verification",'QA Log'!L:L,"Other than P4P (section 6)",'QA Log'!Z:Z,"Approved"),"")</f>
        <v>1</v>
      </c>
      <c r="AJ13" s="105">
        <f ca="1">IF(A13&lt;&gt;"",COUNTIFS('QA Log'!D:D,A13,'QA Log'!M:M,"Data Verification",'QA Log'!L:L,"Hospital Governance",'QA Log'!Z:Z,"Approved"),"")</f>
        <v>0</v>
      </c>
      <c r="AK13" s="102">
        <f ca="1">IF(A13="","",
SUM(
COUNTIFS('QA Log'!D:D,A13,'QA Log'!M:M,"Data Verification",'QA Log'!Z:Z,"Rejected",'QA Log'!L:L,"*Medicine (section 2)*"),
COUNTIFS('QA Log'!D:D,A13,'QA Log'!M:M,"Data Verification",'QA Log'!Z:Z,"Rejected",'QA Log'!L:L,"*Lab Testing Availability*"),
COUNTIFS('QA Log'!D:D,A13,'QA Log'!M:M,"Data Verification",'QA Log'!Z:Z,"Rejected",'QA Log'!L:L,"*Other than P4P (section 6)*"),
COUNTIFS('QA Log'!D:D,A13,'QA Log'!M:M,"Data Verification",'QA Log'!Z:Z,"Rejected",'QA Log'!L:L,"*Hospital Governance*")
))</f>
        <v>0</v>
      </c>
      <c r="AL13" s="106" t="e">
        <f t="shared" ca="1" si="5"/>
        <v>#NAME?</v>
      </c>
      <c r="AM13" s="102" t="e">
        <f t="shared" ca="1" si="6"/>
        <v>#NAME?</v>
      </c>
      <c r="AN13" s="102">
        <f ca="1">IF(A13="","",
SUM(
COUNTIFS('QA Log'!D:D,A13,'QA Log'!M:M,"Data Verification",'QA Log'!L:L,"*Personnel (section 1)*"),
COUNTIFS('QA Log'!D:D,A13,'QA Log'!M:M,"Data Verification",'QA Log'!L:L,"*Consumable (section 3)*"),
COUNTIFS('QA Log'!D:D,A13,'QA Log'!M:M,"Data Verification",'QA Log'!L:L,"*Equipments (section 4)*")
))</f>
        <v>3</v>
      </c>
      <c r="AO13" s="102">
        <f ca="1">IF(A13="","",
SUM(
COUNTIFS('QA Log'!D:D,A13,'QA Log'!M:M,"Data Verification",'QA Log'!Z:Z,"Approved",'QA Log'!L:L,"*Personnel (section 1)*"),
COUNTIFS('QA Log'!D:D,A13,'QA Log'!M:M,"Data Verification",'QA Log'!Z:Z,"Approved",'QA Log'!L:L,"*Consumable (section 3)*"),
COUNTIFS('QA Log'!D:D,A13,'QA Log'!M:M,"Data Verification",'QA Log'!Z:Z,"Approved",'QA Log'!L:L,"*Equipments (section 4)*")
))</f>
        <v>2</v>
      </c>
      <c r="AP13" s="105">
        <f ca="1">IF(A13&lt;&gt;"",COUNTIFS('QA Log'!D:D,A13,'QA Log'!M:M,"Data Verification",'QA Log'!L:L,"Personnel (section 1)",'QA Log'!Z:Z,"Approved"),"")</f>
        <v>0</v>
      </c>
      <c r="AQ13" s="105">
        <f ca="1">IF(A13&lt;&gt;"",COUNTIFS('QA Log'!D:D,A13,'QA Log'!M:M,"Data Verification",'QA Log'!L:L,"Consumable (section 3)",'QA Log'!Z:Z,"Approved"),"")</f>
        <v>1</v>
      </c>
      <c r="AR13" s="105">
        <f ca="1">IF(A13&lt;&gt;"",COUNTIFS('QA Log'!D:D,A13,'QA Log'!M:M,"Data Verification",'QA Log'!L:L,"Equipments (section 4)",'QA Log'!Z:Z,"Approved"),"")</f>
        <v>1</v>
      </c>
      <c r="AS13" s="102">
        <f ca="1">IF(A13="","",
SUM(
COUNTIFS('QA Log'!D:D,A13,'QA Log'!M:M,"Data Verification",'QA Log'!Z:Z,"Rejected",'QA Log'!L:L,"*Personnel (section 1)*"),
COUNTIFS('QA Log'!D:D,A13,'QA Log'!M:M,"Data Verification",'QA Log'!Z:Z,"Rejected",'QA Log'!L:L,"*Consumable (section 3)*"),
COUNTIFS('QA Log'!D:D,A13,'QA Log'!M:M,"Data Verification",'QA Log'!Z:Z,"Rejected",'QA Log'!L:L,"*Equipments (section 4)*")
))</f>
        <v>0</v>
      </c>
      <c r="AT13" s="102" t="e">
        <f t="shared" ca="1" si="7"/>
        <v>#NAME?</v>
      </c>
      <c r="AU13" s="103">
        <f t="shared" ca="1" si="8"/>
        <v>2</v>
      </c>
      <c r="AV13" s="102">
        <f ca="1">IF(A13="","",SUM(
COUNTIFS('QA Log'!D:D,A13,'QA Log'!M:M,"Vignette",'QA Log'!L:L,"*Vignette [1] Respiratory Infection: Pneumonia*"),
COUNTIFS('QA Log'!D:D,A13,'QA Log'!M:M,"Vignette",'QA Log'!L:L,"*Vignette [2]: Diarrhea with Cat B dehydration*"),
COUNTIFS('QA Log'!D:D,A13,'QA Log'!M:M,"Vignette",'QA Log'!L:L,"*Vignette [3] Growth Monitoring and Promotion*"),
COUNTIFS('QA Log'!D:D,A13,'QA Log'!M:M,"Vignette",'QA Log'!L:L,"*Vignette [4]: The management of presumptive TB patient*")
)
)</f>
        <v>1</v>
      </c>
      <c r="AW13" s="102">
        <f ca="1">IF(
  A13="","",
  SUM(
    COUNTIFS('QA Log'!D:D,A13,'QA Log'!M:M,"Vignette",'QA Log'!Z:Z,"Approved",'QA Log'!L:L,"*Vignette [1] Respiratory Infection: Pneumonia*"),
    COUNTIFS('QA Log'!D:D,A13,'QA Log'!M:M,"Vignette",'QA Log'!Z:Z,"Approved",'QA Log'!L:L,"*Vignette [2]: Diarrhea with Cat B dehydration*"),
    COUNTIFS('QA Log'!D:D,A13,'QA Log'!M:M,"Vignette",'QA Log'!Z:Z,"Approved",'QA Log'!L:L,"*Vignette [3] Growth Monitoring and Promotion*"),
    COUNTIFS('QA Log'!D:D,A13,'QA Log'!M:M,"Vignette",'QA Log'!Z:Z,"Approved",'QA Log'!L:L,"*Vignette [4]: The management of presumptive TB patient*")
  )
)</f>
        <v>0</v>
      </c>
      <c r="AX13" s="105">
        <f ca="1">IF(A13&lt;&gt;"",COUNTIFS('QA Log'!D:D,A13,'QA Log'!M:M,"Vignette",'QA Log'!L:L,"Vignette [1] Respiratory Infection: Pneumonia",'QA Log'!Z:Z,"Approved"),"")</f>
        <v>0</v>
      </c>
      <c r="AY13" s="105">
        <f ca="1">IF(A13&lt;&gt;"",COUNTIFS('QA Log'!D:D,A13,'QA Log'!M:M,"Vignette",'QA Log'!L:L,"Vignette [2]: Diarrhea with Cat B dehydration",'QA Log'!Z:Z,"Approved"),"")</f>
        <v>0</v>
      </c>
      <c r="AZ13" s="105">
        <f ca="1">IF(A13&lt;&gt;"",COUNTIFS('QA Log'!D:D,A13,'QA Log'!M:M,"Vignette",'QA Log'!L:L,"Vignette [3] Growth Monitoring and Promotion",'QA Log'!Z:Z,"Approved"),"")</f>
        <v>0</v>
      </c>
      <c r="BA13" s="105">
        <f ca="1">IF(A13&lt;&gt;"",COUNTIFS('QA Log'!D:D,A13,'QA Log'!M:M,"Vignette",'QA Log'!L:L,"Vignette [4]: The management of presumptive TB patient",'QA Log'!Z:Z,"Approved"),"")</f>
        <v>0</v>
      </c>
      <c r="BB13" s="102">
        <f ca="1">IF(A13="","",
  SUM(
    COUNTIFS('QA Log'!D:D,A13,'QA Log'!M:M,"Vignette",'QA Log'!Z:Z,"Rejected",'QA Log'!L:L,"*Vignette [1] Respiratory Infection: Pneumonia*"),
    COUNTIFS('QA Log'!D:D,A13,'QA Log'!M:M,"Vignette",'QA Log'!Z:Z,"Rejected",'QA Log'!L:L,"*Vignette [2]: Diarrhea with Cat B dehydration*"),
    COUNTIFS('QA Log'!D:D,A13,'QA Log'!M:M,"Vignette",'QA Log'!Z:Z,"Rejected",'QA Log'!L:L,"*Vignette [3] Growth Monitoring and Promotion*"),
    COUNTIFS('QA Log'!D:D,A13,'QA Log'!M:M,"Vignette",'QA Log'!Z:Z,"Rejected",'QA Log'!L:L,"*Vignette [4]: The management of presumptive TB patient*")
  )
)</f>
        <v>0</v>
      </c>
      <c r="BC13" s="107">
        <f t="shared" ca="1" si="9"/>
        <v>2</v>
      </c>
      <c r="BD13" s="103">
        <f t="shared" ca="1" si="10"/>
        <v>2</v>
      </c>
      <c r="BE13" s="102">
        <f ca="1">IF(A13="","",SUM(
COUNTIFS('QA Log'!D:D,A13,'QA Log'!M:M,"Vignette",'QA Log'!L:L,"*Vignette [5] Labor*"),
COUNTIFS('QA Log'!D:D,A13,'QA Log'!M:M,"Vignette",'QA Log'!L:L,"*Vignette [6] PNC pre Discharge*"),
COUNTIFS('QA Log'!D:D,A13,'QA Log'!M:M,"Vignette",'QA Log'!L:L,"*Vignette [7] First ANC Visit*"),
COUNTIFS('QA Log'!D:D,A13,'QA Log'!M:M,"Vignette",'QA Log'!L:L,"*Vignette [8] Birth Spacing/ Family Planning :  FP Counselling*"),
COUNTIFS('QA Log'!D:D,A13,'QA Log'!M:M,"Vignette",'QA Log'!L:L,"*Vignette [9] Birth Spacing: Change FP method to Injectable*"),
COUNTIFS('QA Log'!D:D,A13,'QA Log'!M:M,"Vignette",'QA Log'!L:L,"*Vignette [10] Post Partum Haemorrhage - Atonic Uterus at Health Centre*"),
)
)</f>
        <v>4</v>
      </c>
      <c r="BF13" s="102">
        <f ca="1">IF(A13="","",
  SUM(
    COUNTIFS('QA Log'!D:D,A13,'QA Log'!M:M,"Vignette",'QA Log'!Z:Z,"Approved",'QA Log'!L:L,"*Vignette [5] Labor*"),
    COUNTIFS('QA Log'!D:D,A13,'QA Log'!M:M,"Vignette",'QA Log'!Z:Z,"Approved",'QA Log'!L:L,"*Vignette [6] PNC pre Discharge*"),
    COUNTIFS('QA Log'!D:D,A13,'QA Log'!M:M,"Vignette",'QA Log'!Z:Z,"Approved",'QA Log'!L:L,"*Vignette [7] First ANC Visit*"),
    COUNTIFS('QA Log'!D:D,A13,'QA Log'!M:M,"Vignette",'QA Log'!Z:Z,"Approved",'QA Log'!L:L,"*Vignette [8] Birth Spacing/ Family Planning :  FP Counselling*"),
    COUNTIFS('QA Log'!D:D,A13,'QA Log'!M:M,"Vignette",'QA Log'!Z:Z,"Approved",'QA Log'!L:L,"*Vignette [9] Birth Spacing: Change FP method to Injectable*"),
    COUNTIFS('QA Log'!D:D,A13,'QA Log'!M:M,"Vignette",'QA Log'!Z:Z,"Approved",'QA Log'!L:L,"*Vignette [10] Post Partum Haemorrhage - Atonic Uterus at Health Centre*")
  )
)</f>
        <v>0</v>
      </c>
      <c r="BG13" s="105">
        <f ca="1">IF(A13&lt;&gt;"",COUNTIFS('QA Log'!D:D,A13,'QA Log'!M:M,"Vignette",'QA Log'!L:L,"Vignette [5] Labor",'QA Log'!Z:Z,"Approved"),"")</f>
        <v>0</v>
      </c>
      <c r="BH13" s="105">
        <f ca="1">IF(A13&lt;&gt;"",COUNTIFS('QA Log'!D:D,A13,'QA Log'!M:M,"Vignette",'QA Log'!L:L,"Vignette [6] PNC pre Discharge",'QA Log'!Z:Z,"Approved"),"")</f>
        <v>0</v>
      </c>
      <c r="BI13" s="105">
        <f ca="1">IF(A13&lt;&gt;"",COUNTIFS('QA Log'!D:D,A13,'QA Log'!M:M,"Vignette",'QA Log'!L:L,"Vignette [7] First ANC Visit",'QA Log'!Z:Z,"Approved"),"")</f>
        <v>0</v>
      </c>
      <c r="BJ13" s="105">
        <f ca="1">IF(A13&lt;&gt;"",COUNTIFS('QA Log'!D:D,A13,'QA Log'!M:M,"Vignette",'QA Log'!L:L,"Vignette [8] Birth Spacing/ Family Planning :  FP Counselling",'QA Log'!Z:Z,"Approved"),"")</f>
        <v>0</v>
      </c>
      <c r="BK13" s="105">
        <f ca="1">IF(A13&lt;&gt;"",COUNTIFS('QA Log'!D:D,A13,'QA Log'!M:M,"Vignette",'QA Log'!L:L,"Vignette [9] Birth Spacing: Change FP method to Injectable",'QA Log'!Z:Z,"Approved"),"")</f>
        <v>0</v>
      </c>
      <c r="BL13" s="105">
        <f ca="1">IF(A13&lt;&gt;"",COUNTIFS('QA Log'!D:D,A13,'QA Log'!M:M,"Vignette",'QA Log'!L:L,"Vignette [10] Post Partum Haemorrhage - Atonic Uterus at Health Centre",'QA Log'!Z:Z,"Approved"),"")</f>
        <v>0</v>
      </c>
      <c r="BM13" s="102">
        <f ca="1">IF(A13="","",SUM(
    COUNTIFS('QA Log'!D:D,A13,'QA Log'!M:M,"Vignette",'QA Log'!Z:Z,"Rejected",'QA Log'!L:L,"*Vignette [5] Labor*"),
    COUNTIFS('QA Log'!D:D,A13,'QA Log'!M:M,"Vignette",'QA Log'!Z:Z,"Rejected",'QA Log'!L:L,"*Vignette [6] PNC pre Discharge*"),
    COUNTIFS('QA Log'!D:D,A13,'QA Log'!M:M,"Vignette",'QA Log'!Z:Z,"Rejected",'QA Log'!L:L,"*Vignette [7] First ANC Visit*"),
    COUNTIFS('QA Log'!D:D,A13,'QA Log'!M:M,"Vignette",'QA Log'!Z:Z,"Rejected",'QA Log'!L:L,"*Vignette [8] Birth Spacing/ Family Planning :  FP Counselling*"),
    COUNTIFS('QA Log'!D:D,A13,'QA Log'!M:M,"Vignette",'QA Log'!Z:Z,"Rejected",'QA Log'!L:L,"*Vignette [9] Birth Spacing: Change FP method to Injectable*"),
    COUNTIFS('QA Log'!D:D,A13,'QA Log'!M:M,"Vignette",'QA Log'!Z:Z,"Rejected",'QA Log'!L:L,"*Vignette [10] Post Partum Haemorrhage - Atonic Uterus at Health Centre*")
  )
)</f>
        <v>0</v>
      </c>
      <c r="BN13" s="107">
        <f t="shared" ca="1" si="11"/>
        <v>2</v>
      </c>
      <c r="BO13" s="103">
        <f t="shared" ca="1" si="12"/>
        <v>2</v>
      </c>
      <c r="BP13" s="102">
        <f ca="1">IF(A13="","",SUM(
COUNTIFS('QA Log'!D:D,A13,'QA Log'!M:M,"Vignette",'QA Log'!L:L,"*Exit Interview 1*"),
COUNTIFS('QA Log'!D:D,A13,'QA Log'!M:M,"Vignette",'QA Log'!L:L,"*Exit Interview 2*"),
)
)</f>
        <v>1</v>
      </c>
      <c r="BQ13" s="102">
        <f ca="1">IF(
  A13="","",
  SUM(
    COUNTIFS('QA Log'!D:D,A13,'QA Log'!M:M,"Vignette",'QA Log'!Z:Z,"Approved",'QA Log'!L:L,"*Exit Interview 1*"),
    COUNTIFS('QA Log'!D:D,A13,'QA Log'!M:M,"Vignette",'QA Log'!Z:Z,"Approved",'QA Log'!L:L,"*Exit Interview 2*")
  )
)</f>
        <v>0</v>
      </c>
      <c r="BR13" s="105">
        <f ca="1">IF(A13&lt;&gt;"",COUNTIFS('QA Log'!D:D,A13,'QA Log'!M:M,"Vignette",'QA Log'!L:L,"Exit Interview 1",'QA Log'!Z:Z,"Approved"),"")</f>
        <v>0</v>
      </c>
      <c r="BS13" s="105">
        <f ca="1">IF(A13&lt;&gt;"",COUNTIFS('QA Log'!D:D,A13,'QA Log'!M:M,"Vignette",'QA Log'!L:L,"Exit Interview 2",'QA Log'!Z:Z,"Approved"),"")</f>
        <v>0</v>
      </c>
      <c r="BT13" s="102">
        <f ca="1">IF(
  A13="","",
  SUM(
    COUNTIFS('QA Log'!D:D,A13,'QA Log'!M:M,"Vignette",'QA Log'!Z:Z,"Rejected",'QA Log'!L:L,"*Exit Interview 1*"),
    COUNTIFS('QA Log'!D:D,A13,'QA Log'!M:M,"Vignette",'QA Log'!Z:Z,"Rejected",'QA Log'!L:L,"*Exit Interview 2*")
  )
)</f>
        <v>0</v>
      </c>
      <c r="BU13" s="107">
        <f t="shared" ca="1" si="13"/>
        <v>2</v>
      </c>
      <c r="BV13" s="102" t="e">
        <f t="shared" ca="1" si="14"/>
        <v>#NAME?</v>
      </c>
      <c r="BW13" s="102">
        <f t="shared" ca="1" si="15"/>
        <v>11</v>
      </c>
      <c r="BX13" s="102">
        <f t="shared" ca="1" si="16"/>
        <v>3</v>
      </c>
      <c r="BY13" s="102">
        <f t="shared" ca="1" si="17"/>
        <v>0</v>
      </c>
      <c r="BZ13" s="107" t="e">
        <f t="shared" ca="1" si="18"/>
        <v>#NAME?</v>
      </c>
      <c r="CA13" s="108" t="e">
        <f t="shared" ca="1" si="19"/>
        <v>#NAME?</v>
      </c>
      <c r="CB13" s="108" t="e">
        <f t="shared" ca="1" si="20"/>
        <v>#NAME?</v>
      </c>
      <c r="CC13" s="109" t="str">
        <f t="shared" ca="1" si="21"/>
        <v>Not Received</v>
      </c>
      <c r="CD13" s="108" t="e">
        <f t="shared" ca="1" si="22"/>
        <v>#NAME?</v>
      </c>
      <c r="CE13" s="108" t="e">
        <f t="shared" ca="1" si="23"/>
        <v>#NAME?</v>
      </c>
      <c r="CF13" s="109" t="str">
        <f t="shared" ca="1" si="24"/>
        <v>Not Received</v>
      </c>
      <c r="CG13" s="110" t="e">
        <f t="shared" ca="1" si="25"/>
        <v>#NAME?</v>
      </c>
      <c r="CH13" s="111"/>
    </row>
    <row r="14" spans="1:86" ht="12.75">
      <c r="A14" s="101" t="str">
        <f ca="1">IFERROR(__xludf.DUMMYFUNCTION("""COMPUTED_VALUE"""),"HER-KHO-HF4396-Q2-2025-1122-01")</f>
        <v>HER-KHO-HF4396-Q2-2025-1122-01</v>
      </c>
      <c r="B14" s="102" t="e">
        <f t="array" aca="1" ref="B14" ca="1">_xludf.XLOOKUP(A14,'QA Log'!D:D,'QA Log'!E:E,"")</f>
        <v>#NAME?</v>
      </c>
      <c r="C14" s="102" t="e">
        <f t="array" aca="1" ref="C14" ca="1">_xludf.XLOOKUP(A14,'QA Log'!D:D,'QA Log'!F:F,"")</f>
        <v>#NAME?</v>
      </c>
      <c r="D14" s="102" t="e">
        <f t="array" aca="1" ref="D14" ca="1">_xludf.XLOOKUP(A14,'QA Log'!D:D,'QA Log'!H:H,"")</f>
        <v>#NAME?</v>
      </c>
      <c r="E14" s="102" t="e">
        <f t="array" aca="1" ref="E14" ca="1">_xludf.XLOOKUP(A14,'QA Log'!D:D,'QA Log'!G:G,"")</f>
        <v>#NAME?</v>
      </c>
      <c r="F14" s="103" t="s">
        <v>91</v>
      </c>
      <c r="G14" s="102" t="s">
        <v>92</v>
      </c>
      <c r="H14" s="104">
        <v>45963</v>
      </c>
      <c r="I14" s="103" t="e">
        <f t="shared" ca="1" si="0"/>
        <v>#NAME?</v>
      </c>
      <c r="J14" s="102">
        <f ca="1">IF(A14="","",SUM(
COUNTIFS('QA Log'!D:D,A14,'QA Log'!M:M,"QQC",'QA Log'!L:L,"*1. General Management*"),
COUNTIFS('QA Log'!D:D,A14,'QA Log'!M:M,"QQC",'QA Log'!L:L,"*3. Curative Consultation (OPD)*"),
COUNTIFS('QA Log'!D:D,A14,'QA Log'!M:M,"QQC",'QA Log'!L:L,"*5. Laboratory*"),
COUNTIFS('QA Log'!D:D,A14,'QA Log'!M:M,"QQC",'QA Log'!L:L,"*6. Essential Medicine Management*"),
COUNTIFS('QA Log'!D:D,A14,'QA Log'!M:M,"QQC",'QA Log'!L:L,"*7. Tracer Medicine*"),
COUNTIFS('QA Log'!D:D,A14,'QA Log'!M:M,"QQC",'QA Log'!L:L,"*11. Additional Questions*")))</f>
        <v>0</v>
      </c>
      <c r="K14" s="102">
        <f ca="1">IF(A14="","",SUM(
COUNTIFS('QA Log'!D:D,A14,'QA Log'!M:M,"QQC",'QA Log'!Z:Z,"Approved",'QA Log'!L:L,"*1. General Management*"),
COUNTIFS('QA Log'!D:D,A14,'QA Log'!M:M,"QQC",'QA Log'!Z:Z,"Approved",'QA Log'!L:L,"*3. Curative Consultation (OPD)*"),
COUNTIFS('QA Log'!D:D,A14,'QA Log'!M:M,"QQC",'QA Log'!Z:Z,"Approved",'QA Log'!L:L,"*5. Laboratory*"),
COUNTIFS('QA Log'!D:D,A14,'QA Log'!M:M,"QQC",'QA Log'!Z:Z,"Approved",'QA Log'!L:L,"*6. Essential Medicine Management*"),
COUNTIFS('QA Log'!D:D,A14,'QA Log'!M:M,"QQC",'QA Log'!Z:Z,"Approved",'QA Log'!L:L,"*7. Tracer Medicine*"),
COUNTIFS('QA Log'!D:D,A14,'QA Log'!M:M,"QQC",'QA Log'!Z:Z,"Approved",'QA Log'!L:L,"*11. Additional Questions*")))</f>
        <v>0</v>
      </c>
      <c r="L14" s="105">
        <f ca="1">IF(A14&lt;&gt;"",COUNTIFS('QA Log'!D:D,A14,'QA Log'!M:M,"QQC",'QA Log'!L:L,"1. General Management",'QA Log'!Z:Z,"Approved"),"")</f>
        <v>0</v>
      </c>
      <c r="M14" s="105">
        <f ca="1">IF(A14&lt;&gt;"",COUNTIFS('QA Log'!D:D,A14,'QA Log'!M:M,"QQC",'QA Log'!L:L,"3. Curative Consultation (OPD)",'QA Log'!Z:Z,"Approved"),"")</f>
        <v>0</v>
      </c>
      <c r="N14" s="105">
        <f ca="1">IF(A14&lt;&gt;"",COUNTIFS('QA Log'!D:D,A14,'QA Log'!M:M,"QQC",'QA Log'!L:L,"5. Laboratory",'QA Log'!Z:Z,"Approved"),"")</f>
        <v>0</v>
      </c>
      <c r="O14" s="105">
        <f ca="1">IF(A14&lt;&gt;"",COUNTIFS('QA Log'!D:D,A14,'QA Log'!M:M,"QQC",'QA Log'!L:L,"6. Essential Medicine Management",'QA Log'!Z:Z,"Approved"),"")</f>
        <v>0</v>
      </c>
      <c r="P14" s="105">
        <f ca="1">IF(A14&lt;&gt;"",COUNTIFS('QA Log'!D:D,A14,'QA Log'!M:M,"QQC",'QA Log'!L:L,"7. Tracer Medicine",'QA Log'!Z:Z,"Approved"),"")</f>
        <v>0</v>
      </c>
      <c r="Q14" s="105">
        <f ca="1">IF(A14&lt;&gt;"",COUNTIFS('QA Log'!D:D,A14,'QA Log'!M:M,"QQC",'QA Log'!L:L,"11. Additional Questions",'QA Log'!Z:Z,"Approved"),"")</f>
        <v>0</v>
      </c>
      <c r="R14" s="102">
        <f ca="1">IF(A14="","",SUM(
COUNTIFS('QA Log'!D:D,A14,'QA Log'!M:M,"QQC",'QA Log'!Z:Z,"Rejected",'QA Log'!L:L,"*8. Maternity*"),
COUNTIFS('QA Log'!D:D,A14,'QA Log'!M:M,"QQC",'QA Log'!Z:Z,"Rejected",'QA Log'!L:L,"*EPI*"),
COUNTIFS('QA Log'!D:D,A14,'QA Log'!M:M,"QQC",'QA Log'!Z:Z,"Rejected",'QA Log'!L:L,"*10. Antenatal Care (ANC)*"),
COUNTIFS('QA Log'!D:D,A14,'QA Log'!M:M,"QQC",'QA Log'!Z:Z,"Rejected",'QA Log'!L:L,"*2. Hygiene and Sterilization*"),
COUNTIFS('QA Log'!D:D,A14,'QA Log'!M:M,"QQC",'QA Log'!Z:Z,"Rejected",'QA Log'!L:L,"*Family Planning*")))</f>
        <v>0</v>
      </c>
      <c r="S14" s="106" t="e">
        <f t="shared" ca="1" si="1"/>
        <v>#NAME?</v>
      </c>
      <c r="T14" s="102" t="e">
        <f t="shared" ca="1" si="2"/>
        <v>#NAME?</v>
      </c>
      <c r="U14" s="102">
        <f ca="1">IF(A14="","",
SUM(
COUNTIFS('QA Log'!D:D,A14,'QA Log'!M:M,"QQC",'QA Log'!L:L,"*8. Maternity*"),
COUNTIFS('QA Log'!D:D,A14,'QA Log'!M:M,"QQC",'QA Log'!L:L,"*9. EPI and Pre-school Consultation*"),
COUNTIFS('QA Log'!D:D,A14,'QA Log'!M:M,"QQC",'QA Log'!L:L,"*10. Antenatal Care (ANC)*"),
COUNTIFS('QA Log'!D:D,A14,'QA Log'!M:M,"QQC",'QA Log'!L:L,"*2. Hygiene and Sterilization*"),
COUNTIFS('QA Log'!D:D,A14,'QA Log'!M:M,"QQC",'QA Log'!L:L,"*4. Family Planning*")
))</f>
        <v>0</v>
      </c>
      <c r="V14" s="102">
        <f ca="1">IF(A14="","",
SUM(
COUNTIFS('QA Log'!D:D,A14,'QA Log'!M:M,"QQC",'QA Log'!Z:Z,"Approved",'QA Log'!L:L,"*8. Maternity*"),
COUNTIFS('QA Log'!D:D,A14,'QA Log'!M:M,"QQC",'QA Log'!Z:Z,"Approved",'QA Log'!L:L,"*9. EPI and Pre-school Consultation*"),
COUNTIFS('QA Log'!D:D,A14,'QA Log'!M:M,"QQC",'QA Log'!Z:Z,"Approved",'QA Log'!L:L,"*10. Antenatal Care (ANC)*"),
COUNTIFS('QA Log'!D:D,A14,'QA Log'!M:M,"QQC",'QA Log'!Z:Z,"Approved",'QA Log'!L:L,"*2. Hygiene and Sterilization*"),
COUNTIFS('QA Log'!D:D,A14,'QA Log'!M:M,"QQC",'QA Log'!Z:Z,"Approved",'QA Log'!L:L,"*4. Family Planning*")
))</f>
        <v>0</v>
      </c>
      <c r="W14" s="105">
        <f ca="1">IF(A14&lt;&gt;"",COUNTIFS('QA Log'!D:D,A14,'QA Log'!M:M,"QQC",'QA Log'!L:L,"8. Maternity",'QA Log'!Z:Z,"Approved"),"")</f>
        <v>0</v>
      </c>
      <c r="X14" s="105">
        <f ca="1">IF(A14&lt;&gt;"",COUNTIFS('QA Log'!D:D,A14,'QA Log'!M:M,"QQC",'QA Log'!L:L,"9. EPI and Pre-school Consultation",'QA Log'!Z:Z,"Approved"),"")</f>
        <v>0</v>
      </c>
      <c r="Y14" s="105">
        <f ca="1">IF(A14&lt;&gt;"",COUNTIFS('QA Log'!D:D,A14,'QA Log'!M:M,"QQC",'QA Log'!L:L,"10. Antenatal Care (ANC)",'QA Log'!Z:Z,"Approved"),"")</f>
        <v>0</v>
      </c>
      <c r="Z14" s="105">
        <f ca="1">IF(A14&lt;&gt;"",COUNTIFS('QA Log'!D:D,A14,'QA Log'!M:M,"QQC",'QA Log'!L:L,"2. Hygiene and Sterilization",'QA Log'!Z:Z,"Approved"),"")</f>
        <v>0</v>
      </c>
      <c r="AA14" s="105">
        <f ca="1">IF(A14&lt;&gt;"",COUNTIFS('QA Log'!D:D,A14,'QA Log'!M:M,"QQC",'QA Log'!L:L,"4. Family Planning",'QA Log'!Z:Z,"Approved"),"")</f>
        <v>0</v>
      </c>
      <c r="AB14" s="102">
        <f ca="1">IF(A14="","",
SUM(
COUNTIFS('QA Log'!D:D,A14,'QA Log'!M:M,"QQC",'QA Log'!Z:Z,"Rejected",'QA Log'!L:L,"*8. Maternity*"),
COUNTIFS('QA Log'!D:D,A14,'QA Log'!M:M,"QQC",'QA Log'!Z:Z,"Rejected",'QA Log'!L:L,"*9. EPI and Pre-school Consultation*"),
COUNTIFS('QA Log'!D:D,A14,'QA Log'!M:M,"QQC",'QA Log'!Z:Z,"Rejected",'QA Log'!L:L,"*10. Antenatal Care (ANC)*"),
COUNTIFS('QA Log'!D:D,A14,'QA Log'!M:M,"QQC",'QA Log'!Z:Z,"Rejected",'QA Log'!L:L,"*2. Hygiene and Sterilization*"),
COUNTIFS('QA Log'!D:D,A14,'QA Log'!M:M,"QQC",'QA Log'!Z:Z,"Rejected",'QA Log'!L:L,"*4. Family Planning*")
))</f>
        <v>0</v>
      </c>
      <c r="AC14" s="102" t="e">
        <f t="shared" ca="1" si="3"/>
        <v>#NAME?</v>
      </c>
      <c r="AD14" s="103" t="e">
        <f t="shared" ca="1" si="4"/>
        <v>#NAME?</v>
      </c>
      <c r="AE14" s="102">
        <f ca="1">IF(A14="","",
SUM(
COUNTIFS('QA Log'!D:D,A14,'QA Log'!M:M,"Data Verification",'QA Log'!L:L,"*Medicine (section 2)*"),
COUNTIFS('QA Log'!D:D,A14,'QA Log'!M:M,"Data Verification",'QA Log'!L:L,"*Lab Testing Availability*"),
COUNTIFS('QA Log'!D:D,A14,'QA Log'!M:M,"Data Verification",'QA Log'!L:L,"*Other than P4P (section 6)*"),
COUNTIFS('QA Log'!D:D,A14,'QA Log'!M:M,"Data Verification",'QA Log'!L:L,"*Hospital Governance*")
))</f>
        <v>2</v>
      </c>
      <c r="AF14" s="102">
        <f ca="1">IF(A14="","",
SUM(
COUNTIFS('QA Log'!D:D,A14,'QA Log'!M:M,"Data Verification",'QA Log'!Z:Z,"Approved",'QA Log'!L:L,"*Medicine (section 2)*"),
COUNTIFS('QA Log'!D:D,A14,'QA Log'!M:M,"Data Verification",'QA Log'!Z:Z,"Approved",'QA Log'!L:L,"*Lab Testing Availability*"),
COUNTIFS('QA Log'!D:D,A14,'QA Log'!M:M,"Data Verification",'QA Log'!Z:Z,"Approved",'QA Log'!L:L,"*Other than P4P (section 6)*"),
COUNTIFS('QA Log'!D:D,A14,'QA Log'!M:M,"Data Verification",'QA Log'!Z:Z,"Approved",'QA Log'!L:L,"*Hospital Governance*")
))</f>
        <v>0</v>
      </c>
      <c r="AG14" s="105">
        <f ca="1">IF(A14&lt;&gt;"",COUNTIFS('QA Log'!D:D,A14,'QA Log'!M:M,"Data Verification",'QA Log'!L:L,"Medicine (section 2)",'QA Log'!Z:Z,"Approved"),"")</f>
        <v>0</v>
      </c>
      <c r="AH14" s="105">
        <f ca="1">IF(A14&lt;&gt;"",COUNTIFS('QA Log'!D:D,A14,'QA Log'!M:M,"Data Verification",'QA Log'!L:L,"Lab Testing Availability",'QA Log'!Z:Z,"Approved"),"")</f>
        <v>0</v>
      </c>
      <c r="AI14" s="105">
        <f ca="1">IF(A14&lt;&gt;"",COUNTIFS('QA Log'!D:D,A14,'QA Log'!M:M,"Data Verification",'QA Log'!L:L,"Other than P4P (section 6)",'QA Log'!Z:Z,"Approved"),"")</f>
        <v>0</v>
      </c>
      <c r="AJ14" s="105">
        <f ca="1">IF(A14&lt;&gt;"",COUNTIFS('QA Log'!D:D,A14,'QA Log'!M:M,"Data Verification",'QA Log'!L:L,"Hospital Governance",'QA Log'!Z:Z,"Approved"),"")</f>
        <v>0</v>
      </c>
      <c r="AK14" s="102">
        <f ca="1">IF(A14="","",
SUM(
COUNTIFS('QA Log'!D:D,A14,'QA Log'!M:M,"Data Verification",'QA Log'!Z:Z,"Rejected",'QA Log'!L:L,"*Medicine (section 2)*"),
COUNTIFS('QA Log'!D:D,A14,'QA Log'!M:M,"Data Verification",'QA Log'!Z:Z,"Rejected",'QA Log'!L:L,"*Lab Testing Availability*"),
COUNTIFS('QA Log'!D:D,A14,'QA Log'!M:M,"Data Verification",'QA Log'!Z:Z,"Rejected",'QA Log'!L:L,"*Other than P4P (section 6)*"),
COUNTIFS('QA Log'!D:D,A14,'QA Log'!M:M,"Data Verification",'QA Log'!Z:Z,"Rejected",'QA Log'!L:L,"*Hospital Governance*")
))</f>
        <v>0</v>
      </c>
      <c r="AL14" s="106" t="e">
        <f t="shared" ca="1" si="5"/>
        <v>#NAME?</v>
      </c>
      <c r="AM14" s="102" t="e">
        <f t="shared" ca="1" si="6"/>
        <v>#NAME?</v>
      </c>
      <c r="AN14" s="102">
        <f ca="1">IF(A14="","",
SUM(
COUNTIFS('QA Log'!D:D,A14,'QA Log'!M:M,"Data Verification",'QA Log'!L:L,"*Personnel (section 1)*"),
COUNTIFS('QA Log'!D:D,A14,'QA Log'!M:M,"Data Verification",'QA Log'!L:L,"*Consumable (section 3)*"),
COUNTIFS('QA Log'!D:D,A14,'QA Log'!M:M,"Data Verification",'QA Log'!L:L,"*Equipments (section 4)*")
))</f>
        <v>3</v>
      </c>
      <c r="AO14" s="102">
        <f ca="1">IF(A14="","",
SUM(
COUNTIFS('QA Log'!D:D,A14,'QA Log'!M:M,"Data Verification",'QA Log'!Z:Z,"Approved",'QA Log'!L:L,"*Personnel (section 1)*"),
COUNTIFS('QA Log'!D:D,A14,'QA Log'!M:M,"Data Verification",'QA Log'!Z:Z,"Approved",'QA Log'!L:L,"*Consumable (section 3)*"),
COUNTIFS('QA Log'!D:D,A14,'QA Log'!M:M,"Data Verification",'QA Log'!Z:Z,"Approved",'QA Log'!L:L,"*Equipments (section 4)*")
))</f>
        <v>0</v>
      </c>
      <c r="AP14" s="105">
        <f ca="1">IF(A14&lt;&gt;"",COUNTIFS('QA Log'!D:D,A14,'QA Log'!M:M,"Data Verification",'QA Log'!L:L,"Personnel (section 1)",'QA Log'!Z:Z,"Approved"),"")</f>
        <v>0</v>
      </c>
      <c r="AQ14" s="105">
        <f ca="1">IF(A14&lt;&gt;"",COUNTIFS('QA Log'!D:D,A14,'QA Log'!M:M,"Data Verification",'QA Log'!L:L,"Consumable (section 3)",'QA Log'!Z:Z,"Approved"),"")</f>
        <v>0</v>
      </c>
      <c r="AR14" s="105">
        <f ca="1">IF(A14&lt;&gt;"",COUNTIFS('QA Log'!D:D,A14,'QA Log'!M:M,"Data Verification",'QA Log'!L:L,"Equipments (section 4)",'QA Log'!Z:Z,"Approved"),"")</f>
        <v>0</v>
      </c>
      <c r="AS14" s="102">
        <f ca="1">IF(A14="","",
SUM(
COUNTIFS('QA Log'!D:D,A14,'QA Log'!M:M,"Data Verification",'QA Log'!Z:Z,"Rejected",'QA Log'!L:L,"*Personnel (section 1)*"),
COUNTIFS('QA Log'!D:D,A14,'QA Log'!M:M,"Data Verification",'QA Log'!Z:Z,"Rejected",'QA Log'!L:L,"*Consumable (section 3)*"),
COUNTIFS('QA Log'!D:D,A14,'QA Log'!M:M,"Data Verification",'QA Log'!Z:Z,"Rejected",'QA Log'!L:L,"*Equipments (section 4)*")
))</f>
        <v>0</v>
      </c>
      <c r="AT14" s="102" t="e">
        <f t="shared" ca="1" si="7"/>
        <v>#NAME?</v>
      </c>
      <c r="AU14" s="103">
        <f t="shared" ca="1" si="8"/>
        <v>2</v>
      </c>
      <c r="AV14" s="102">
        <f ca="1">IF(A14="","",SUM(
COUNTIFS('QA Log'!D:D,A14,'QA Log'!M:M,"Vignette",'QA Log'!L:L,"*Vignette [1] Respiratory Infection: Pneumonia*"),
COUNTIFS('QA Log'!D:D,A14,'QA Log'!M:M,"Vignette",'QA Log'!L:L,"*Vignette [2]: Diarrhea with Cat B dehydration*"),
COUNTIFS('QA Log'!D:D,A14,'QA Log'!M:M,"Vignette",'QA Log'!L:L,"*Vignette [3] Growth Monitoring and Promotion*"),
COUNTIFS('QA Log'!D:D,A14,'QA Log'!M:M,"Vignette",'QA Log'!L:L,"*Vignette [4]: The management of presumptive TB patient*")
)
)</f>
        <v>4</v>
      </c>
      <c r="AW14" s="102">
        <f ca="1">IF(
  A14="","",
  SUM(
    COUNTIFS('QA Log'!D:D,A14,'QA Log'!M:M,"Vignette",'QA Log'!Z:Z,"Approved",'QA Log'!L:L,"*Vignette [1] Respiratory Infection: Pneumonia*"),
    COUNTIFS('QA Log'!D:D,A14,'QA Log'!M:M,"Vignette",'QA Log'!Z:Z,"Approved",'QA Log'!L:L,"*Vignette [2]: Diarrhea with Cat B dehydration*"),
    COUNTIFS('QA Log'!D:D,A14,'QA Log'!M:M,"Vignette",'QA Log'!Z:Z,"Approved",'QA Log'!L:L,"*Vignette [3] Growth Monitoring and Promotion*"),
    COUNTIFS('QA Log'!D:D,A14,'QA Log'!M:M,"Vignette",'QA Log'!Z:Z,"Approved",'QA Log'!L:L,"*Vignette [4]: The management of presumptive TB patient*")
  )
)</f>
        <v>0</v>
      </c>
      <c r="AX14" s="105">
        <f ca="1">IF(A14&lt;&gt;"",COUNTIFS('QA Log'!D:D,A14,'QA Log'!M:M,"Vignette",'QA Log'!L:L,"Vignette [1] Respiratory Infection: Pneumonia",'QA Log'!Z:Z,"Approved"),"")</f>
        <v>0</v>
      </c>
      <c r="AY14" s="105">
        <f ca="1">IF(A14&lt;&gt;"",COUNTIFS('QA Log'!D:D,A14,'QA Log'!M:M,"Vignette",'QA Log'!L:L,"Vignette [2]: Diarrhea with Cat B dehydration",'QA Log'!Z:Z,"Approved"),"")</f>
        <v>0</v>
      </c>
      <c r="AZ14" s="105">
        <f ca="1">IF(A14&lt;&gt;"",COUNTIFS('QA Log'!D:D,A14,'QA Log'!M:M,"Vignette",'QA Log'!L:L,"Vignette [3] Growth Monitoring and Promotion",'QA Log'!Z:Z,"Approved"),"")</f>
        <v>0</v>
      </c>
      <c r="BA14" s="105">
        <f ca="1">IF(A14&lt;&gt;"",COUNTIFS('QA Log'!D:D,A14,'QA Log'!M:M,"Vignette",'QA Log'!L:L,"Vignette [4]: The management of presumptive TB patient",'QA Log'!Z:Z,"Approved"),"")</f>
        <v>0</v>
      </c>
      <c r="BB14" s="102">
        <f ca="1">IF(A14="","",
  SUM(
    COUNTIFS('QA Log'!D:D,A14,'QA Log'!M:M,"Vignette",'QA Log'!Z:Z,"Rejected",'QA Log'!L:L,"*Vignette [1] Respiratory Infection: Pneumonia*"),
    COUNTIFS('QA Log'!D:D,A14,'QA Log'!M:M,"Vignette",'QA Log'!Z:Z,"Rejected",'QA Log'!L:L,"*Vignette [2]: Diarrhea with Cat B dehydration*"),
    COUNTIFS('QA Log'!D:D,A14,'QA Log'!M:M,"Vignette",'QA Log'!Z:Z,"Rejected",'QA Log'!L:L,"*Vignette [3] Growth Monitoring and Promotion*"),
    COUNTIFS('QA Log'!D:D,A14,'QA Log'!M:M,"Vignette",'QA Log'!Z:Z,"Rejected",'QA Log'!L:L,"*Vignette [4]: The management of presumptive TB patient*")
  )
)</f>
        <v>0</v>
      </c>
      <c r="BC14" s="107">
        <f t="shared" ca="1" si="9"/>
        <v>2</v>
      </c>
      <c r="BD14" s="103">
        <f t="shared" ca="1" si="10"/>
        <v>2</v>
      </c>
      <c r="BE14" s="102">
        <f ca="1">IF(A14="","",SUM(
COUNTIFS('QA Log'!D:D,A14,'QA Log'!M:M,"Vignette",'QA Log'!L:L,"*Vignette [5] Labor*"),
COUNTIFS('QA Log'!D:D,A14,'QA Log'!M:M,"Vignette",'QA Log'!L:L,"*Vignette [6] PNC pre Discharge*"),
COUNTIFS('QA Log'!D:D,A14,'QA Log'!M:M,"Vignette",'QA Log'!L:L,"*Vignette [7] First ANC Visit*"),
COUNTIFS('QA Log'!D:D,A14,'QA Log'!M:M,"Vignette",'QA Log'!L:L,"*Vignette [8] Birth Spacing/ Family Planning :  FP Counselling*"),
COUNTIFS('QA Log'!D:D,A14,'QA Log'!M:M,"Vignette",'QA Log'!L:L,"*Vignette [9] Birth Spacing: Change FP method to Injectable*"),
COUNTIFS('QA Log'!D:D,A14,'QA Log'!M:M,"Vignette",'QA Log'!L:L,"*Vignette [10] Post Partum Haemorrhage - Atonic Uterus at Health Centre*"),
)
)</f>
        <v>1</v>
      </c>
      <c r="BF14" s="102">
        <f ca="1">IF(A14="","",
  SUM(
    COUNTIFS('QA Log'!D:D,A14,'QA Log'!M:M,"Vignette",'QA Log'!Z:Z,"Approved",'QA Log'!L:L,"*Vignette [5] Labor*"),
    COUNTIFS('QA Log'!D:D,A14,'QA Log'!M:M,"Vignette",'QA Log'!Z:Z,"Approved",'QA Log'!L:L,"*Vignette [6] PNC pre Discharge*"),
    COUNTIFS('QA Log'!D:D,A14,'QA Log'!M:M,"Vignette",'QA Log'!Z:Z,"Approved",'QA Log'!L:L,"*Vignette [7] First ANC Visit*"),
    COUNTIFS('QA Log'!D:D,A14,'QA Log'!M:M,"Vignette",'QA Log'!Z:Z,"Approved",'QA Log'!L:L,"*Vignette [8] Birth Spacing/ Family Planning :  FP Counselling*"),
    COUNTIFS('QA Log'!D:D,A14,'QA Log'!M:M,"Vignette",'QA Log'!Z:Z,"Approved",'QA Log'!L:L,"*Vignette [9] Birth Spacing: Change FP method to Injectable*"),
    COUNTIFS('QA Log'!D:D,A14,'QA Log'!M:M,"Vignette",'QA Log'!Z:Z,"Approved",'QA Log'!L:L,"*Vignette [10] Post Partum Haemorrhage - Atonic Uterus at Health Centre*")
  )
)</f>
        <v>0</v>
      </c>
      <c r="BG14" s="105">
        <f ca="1">IF(A14&lt;&gt;"",COUNTIFS('QA Log'!D:D,A14,'QA Log'!M:M,"Vignette",'QA Log'!L:L,"Vignette [5] Labor",'QA Log'!Z:Z,"Approved"),"")</f>
        <v>0</v>
      </c>
      <c r="BH14" s="105">
        <f ca="1">IF(A14&lt;&gt;"",COUNTIFS('QA Log'!D:D,A14,'QA Log'!M:M,"Vignette",'QA Log'!L:L,"Vignette [6] PNC pre Discharge",'QA Log'!Z:Z,"Approved"),"")</f>
        <v>0</v>
      </c>
      <c r="BI14" s="105">
        <f ca="1">IF(A14&lt;&gt;"",COUNTIFS('QA Log'!D:D,A14,'QA Log'!M:M,"Vignette",'QA Log'!L:L,"Vignette [7] First ANC Visit",'QA Log'!Z:Z,"Approved"),"")</f>
        <v>0</v>
      </c>
      <c r="BJ14" s="105">
        <f ca="1">IF(A14&lt;&gt;"",COUNTIFS('QA Log'!D:D,A14,'QA Log'!M:M,"Vignette",'QA Log'!L:L,"Vignette [8] Birth Spacing/ Family Planning :  FP Counselling",'QA Log'!Z:Z,"Approved"),"")</f>
        <v>0</v>
      </c>
      <c r="BK14" s="105">
        <f ca="1">IF(A14&lt;&gt;"",COUNTIFS('QA Log'!D:D,A14,'QA Log'!M:M,"Vignette",'QA Log'!L:L,"Vignette [9] Birth Spacing: Change FP method to Injectable",'QA Log'!Z:Z,"Approved"),"")</f>
        <v>0</v>
      </c>
      <c r="BL14" s="105">
        <f ca="1">IF(A14&lt;&gt;"",COUNTIFS('QA Log'!D:D,A14,'QA Log'!M:M,"Vignette",'QA Log'!L:L,"Vignette [10] Post Partum Haemorrhage - Atonic Uterus at Health Centre",'QA Log'!Z:Z,"Approved"),"")</f>
        <v>0</v>
      </c>
      <c r="BM14" s="102">
        <f ca="1">IF(A14="","",SUM(
    COUNTIFS('QA Log'!D:D,A14,'QA Log'!M:M,"Vignette",'QA Log'!Z:Z,"Rejected",'QA Log'!L:L,"*Vignette [5] Labor*"),
    COUNTIFS('QA Log'!D:D,A14,'QA Log'!M:M,"Vignette",'QA Log'!Z:Z,"Rejected",'QA Log'!L:L,"*Vignette [6] PNC pre Discharge*"),
    COUNTIFS('QA Log'!D:D,A14,'QA Log'!M:M,"Vignette",'QA Log'!Z:Z,"Rejected",'QA Log'!L:L,"*Vignette [7] First ANC Visit*"),
    COUNTIFS('QA Log'!D:D,A14,'QA Log'!M:M,"Vignette",'QA Log'!Z:Z,"Rejected",'QA Log'!L:L,"*Vignette [8] Birth Spacing/ Family Planning :  FP Counselling*"),
    COUNTIFS('QA Log'!D:D,A14,'QA Log'!M:M,"Vignette",'QA Log'!Z:Z,"Rejected",'QA Log'!L:L,"*Vignette [9] Birth Spacing: Change FP method to Injectable*"),
    COUNTIFS('QA Log'!D:D,A14,'QA Log'!M:M,"Vignette",'QA Log'!Z:Z,"Rejected",'QA Log'!L:L,"*Vignette [10] Post Partum Haemorrhage - Atonic Uterus at Health Centre*")
  )
)</f>
        <v>0</v>
      </c>
      <c r="BN14" s="107">
        <f t="shared" ca="1" si="11"/>
        <v>2</v>
      </c>
      <c r="BO14" s="103">
        <f t="shared" ca="1" si="12"/>
        <v>2</v>
      </c>
      <c r="BP14" s="102">
        <f ca="1">IF(A14="","",SUM(
COUNTIFS('QA Log'!D:D,A14,'QA Log'!M:M,"Vignette",'QA Log'!L:L,"*Exit Interview 1*"),
COUNTIFS('QA Log'!D:D,A14,'QA Log'!M:M,"Vignette",'QA Log'!L:L,"*Exit Interview 2*"),
)
)</f>
        <v>1</v>
      </c>
      <c r="BQ14" s="102">
        <f ca="1">IF(
  A14="","",
  SUM(
    COUNTIFS('QA Log'!D:D,A14,'QA Log'!M:M,"Vignette",'QA Log'!Z:Z,"Approved",'QA Log'!L:L,"*Exit Interview 1*"),
    COUNTIFS('QA Log'!D:D,A14,'QA Log'!M:M,"Vignette",'QA Log'!Z:Z,"Approved",'QA Log'!L:L,"*Exit Interview 2*")
  )
)</f>
        <v>0</v>
      </c>
      <c r="BR14" s="105">
        <f ca="1">IF(A14&lt;&gt;"",COUNTIFS('QA Log'!D:D,A14,'QA Log'!M:M,"Vignette",'QA Log'!L:L,"Exit Interview 1",'QA Log'!Z:Z,"Approved"),"")</f>
        <v>0</v>
      </c>
      <c r="BS14" s="105">
        <f ca="1">IF(A14&lt;&gt;"",COUNTIFS('QA Log'!D:D,A14,'QA Log'!M:M,"Vignette",'QA Log'!L:L,"Exit Interview 2",'QA Log'!Z:Z,"Approved"),"")</f>
        <v>0</v>
      </c>
      <c r="BT14" s="102">
        <f ca="1">IF(
  A14="","",
  SUM(
    COUNTIFS('QA Log'!D:D,A14,'QA Log'!M:M,"Vignette",'QA Log'!Z:Z,"Rejected",'QA Log'!L:L,"*Exit Interview 1*"),
    COUNTIFS('QA Log'!D:D,A14,'QA Log'!M:M,"Vignette",'QA Log'!Z:Z,"Rejected",'QA Log'!L:L,"*Exit Interview 2*")
  )
)</f>
        <v>0</v>
      </c>
      <c r="BU14" s="107">
        <f t="shared" ca="1" si="13"/>
        <v>2</v>
      </c>
      <c r="BV14" s="102" t="e">
        <f t="shared" ca="1" si="14"/>
        <v>#NAME?</v>
      </c>
      <c r="BW14" s="102">
        <f t="shared" ca="1" si="15"/>
        <v>11</v>
      </c>
      <c r="BX14" s="102">
        <f t="shared" ca="1" si="16"/>
        <v>0</v>
      </c>
      <c r="BY14" s="102">
        <f t="shared" ca="1" si="17"/>
        <v>0</v>
      </c>
      <c r="BZ14" s="107" t="e">
        <f t="shared" ca="1" si="18"/>
        <v>#NAME?</v>
      </c>
      <c r="CA14" s="108" t="e">
        <f t="shared" ca="1" si="19"/>
        <v>#NAME?</v>
      </c>
      <c r="CB14" s="108" t="e">
        <f t="shared" ca="1" si="20"/>
        <v>#NAME?</v>
      </c>
      <c r="CC14" s="109" t="str">
        <f t="shared" ca="1" si="21"/>
        <v>Not Received</v>
      </c>
      <c r="CD14" s="108" t="e">
        <f t="shared" ca="1" si="22"/>
        <v>#NAME?</v>
      </c>
      <c r="CE14" s="108" t="e">
        <f t="shared" ca="1" si="23"/>
        <v>#NAME?</v>
      </c>
      <c r="CF14" s="109" t="str">
        <f t="shared" ca="1" si="24"/>
        <v>Not Received</v>
      </c>
      <c r="CG14" s="110" t="e">
        <f t="shared" ca="1" si="25"/>
        <v>#NAME?</v>
      </c>
      <c r="CH14" s="111"/>
    </row>
    <row r="15" spans="1:86" ht="16.5" customHeight="1">
      <c r="A15" s="101" t="str">
        <f ca="1">IFERROR(__xludf.DUMMYFUNCTION("""COMPUTED_VALUE"""),"HER-PAR-HF2328-Q2-2025-1221-01")</f>
        <v>HER-PAR-HF2328-Q2-2025-1221-01</v>
      </c>
      <c r="B15" s="102" t="e">
        <f t="array" aca="1" ref="B15" ca="1">_xludf.XLOOKUP(A15,'QA Log'!D:D,'QA Log'!E:E,"")</f>
        <v>#NAME?</v>
      </c>
      <c r="C15" s="102" t="e">
        <f t="array" aca="1" ref="C15" ca="1">_xludf.XLOOKUP(A15,'QA Log'!D:D,'QA Log'!F:F,"")</f>
        <v>#NAME?</v>
      </c>
      <c r="D15" s="102" t="e">
        <f t="array" aca="1" ref="D15" ca="1">_xludf.XLOOKUP(A15,'QA Log'!D:D,'QA Log'!H:H,"")</f>
        <v>#NAME?</v>
      </c>
      <c r="E15" s="102" t="e">
        <f t="array" aca="1" ref="E15" ca="1">_xludf.XLOOKUP(A15,'QA Log'!D:D,'QA Log'!G:G,"")</f>
        <v>#NAME?</v>
      </c>
      <c r="F15" s="103" t="s">
        <v>91</v>
      </c>
      <c r="G15" s="104">
        <v>45963</v>
      </c>
      <c r="H15" s="104">
        <v>45963</v>
      </c>
      <c r="I15" s="103" t="e">
        <f t="shared" ca="1" si="0"/>
        <v>#NAME?</v>
      </c>
      <c r="J15" s="102">
        <f ca="1">IF(A15="","",SUM(
COUNTIFS('QA Log'!D:D,A15,'QA Log'!M:M,"QQC",'QA Log'!L:L,"*1. General Management*"),
COUNTIFS('QA Log'!D:D,A15,'QA Log'!M:M,"QQC",'QA Log'!L:L,"*3. Curative Consultation (OPD)*"),
COUNTIFS('QA Log'!D:D,A15,'QA Log'!M:M,"QQC",'QA Log'!L:L,"*5. Laboratory*"),
COUNTIFS('QA Log'!D:D,A15,'QA Log'!M:M,"QQC",'QA Log'!L:L,"*6. Essential Medicine Management*"),
COUNTIFS('QA Log'!D:D,A15,'QA Log'!M:M,"QQC",'QA Log'!L:L,"*7. Tracer Medicine*"),
COUNTIFS('QA Log'!D:D,A15,'QA Log'!M:M,"QQC",'QA Log'!L:L,"*11. Additional Questions*")))</f>
        <v>0</v>
      </c>
      <c r="K15" s="102">
        <f ca="1">IF(A15="","",SUM(
COUNTIFS('QA Log'!D:D,A15,'QA Log'!M:M,"QQC",'QA Log'!Z:Z,"Approved",'QA Log'!L:L,"*1. General Management*"),
COUNTIFS('QA Log'!D:D,A15,'QA Log'!M:M,"QQC",'QA Log'!Z:Z,"Approved",'QA Log'!L:L,"*3. Curative Consultation (OPD)*"),
COUNTIFS('QA Log'!D:D,A15,'QA Log'!M:M,"QQC",'QA Log'!Z:Z,"Approved",'QA Log'!L:L,"*5. Laboratory*"),
COUNTIFS('QA Log'!D:D,A15,'QA Log'!M:M,"QQC",'QA Log'!Z:Z,"Approved",'QA Log'!L:L,"*6. Essential Medicine Management*"),
COUNTIFS('QA Log'!D:D,A15,'QA Log'!M:M,"QQC",'QA Log'!Z:Z,"Approved",'QA Log'!L:L,"*7. Tracer Medicine*"),
COUNTIFS('QA Log'!D:D,A15,'QA Log'!M:M,"QQC",'QA Log'!Z:Z,"Approved",'QA Log'!L:L,"*11. Additional Questions*")))</f>
        <v>0</v>
      </c>
      <c r="L15" s="105">
        <f ca="1">IF(A15&lt;&gt;"",COUNTIFS('QA Log'!D:D,A15,'QA Log'!M:M,"QQC",'QA Log'!L:L,"1. General Management",'QA Log'!Z:Z,"Approved"),"")</f>
        <v>0</v>
      </c>
      <c r="M15" s="105">
        <f ca="1">IF(A15&lt;&gt;"",COUNTIFS('QA Log'!D:D,A15,'QA Log'!M:M,"QQC",'QA Log'!L:L,"3. Curative Consultation (OPD)",'QA Log'!Z:Z,"Approved"),"")</f>
        <v>0</v>
      </c>
      <c r="N15" s="105">
        <f ca="1">IF(A15&lt;&gt;"",COUNTIFS('QA Log'!D:D,A15,'QA Log'!M:M,"QQC",'QA Log'!L:L,"5. Laboratory",'QA Log'!Z:Z,"Approved"),"")</f>
        <v>0</v>
      </c>
      <c r="O15" s="105">
        <f ca="1">IF(A15&lt;&gt;"",COUNTIFS('QA Log'!D:D,A15,'QA Log'!M:M,"QQC",'QA Log'!L:L,"6. Essential Medicine Management",'QA Log'!Z:Z,"Approved"),"")</f>
        <v>0</v>
      </c>
      <c r="P15" s="105">
        <f ca="1">IF(A15&lt;&gt;"",COUNTIFS('QA Log'!D:D,A15,'QA Log'!M:M,"QQC",'QA Log'!L:L,"7. Tracer Medicine",'QA Log'!Z:Z,"Approved"),"")</f>
        <v>0</v>
      </c>
      <c r="Q15" s="105">
        <f ca="1">IF(A15&lt;&gt;"",COUNTIFS('QA Log'!D:D,A15,'QA Log'!M:M,"QQC",'QA Log'!L:L,"11. Additional Questions",'QA Log'!Z:Z,"Approved"),"")</f>
        <v>0</v>
      </c>
      <c r="R15" s="102">
        <f ca="1">IF(A15="","",SUM(
COUNTIFS('QA Log'!D:D,A15,'QA Log'!M:M,"QQC",'QA Log'!Z:Z,"Rejected",'QA Log'!L:L,"*8. Maternity*"),
COUNTIFS('QA Log'!D:D,A15,'QA Log'!M:M,"QQC",'QA Log'!Z:Z,"Rejected",'QA Log'!L:L,"*EPI*"),
COUNTIFS('QA Log'!D:D,A15,'QA Log'!M:M,"QQC",'QA Log'!Z:Z,"Rejected",'QA Log'!L:L,"*10. Antenatal Care (ANC)*"),
COUNTIFS('QA Log'!D:D,A15,'QA Log'!M:M,"QQC",'QA Log'!Z:Z,"Rejected",'QA Log'!L:L,"*2. Hygiene and Sterilization*"),
COUNTIFS('QA Log'!D:D,A15,'QA Log'!M:M,"QQC",'QA Log'!Z:Z,"Rejected",'QA Log'!L:L,"*Family Planning*")))</f>
        <v>0</v>
      </c>
      <c r="S15" s="106" t="e">
        <f t="shared" ca="1" si="1"/>
        <v>#NAME?</v>
      </c>
      <c r="T15" s="102" t="e">
        <f t="shared" ca="1" si="2"/>
        <v>#NAME?</v>
      </c>
      <c r="U15" s="102">
        <f ca="1">IF(A15="","",
SUM(
COUNTIFS('QA Log'!D:D,A15,'QA Log'!M:M,"QQC",'QA Log'!L:L,"*8. Maternity*"),
COUNTIFS('QA Log'!D:D,A15,'QA Log'!M:M,"QQC",'QA Log'!L:L,"*9. EPI and Pre-school Consultation*"),
COUNTIFS('QA Log'!D:D,A15,'QA Log'!M:M,"QQC",'QA Log'!L:L,"*10. Antenatal Care (ANC)*"),
COUNTIFS('QA Log'!D:D,A15,'QA Log'!M:M,"QQC",'QA Log'!L:L,"*2. Hygiene and Sterilization*"),
COUNTIFS('QA Log'!D:D,A15,'QA Log'!M:M,"QQC",'QA Log'!L:L,"*4. Family Planning*")
))</f>
        <v>0</v>
      </c>
      <c r="V15" s="102">
        <f ca="1">IF(A15="","",
SUM(
COUNTIFS('QA Log'!D:D,A15,'QA Log'!M:M,"QQC",'QA Log'!Z:Z,"Approved",'QA Log'!L:L,"*8. Maternity*"),
COUNTIFS('QA Log'!D:D,A15,'QA Log'!M:M,"QQC",'QA Log'!Z:Z,"Approved",'QA Log'!L:L,"*9. EPI and Pre-school Consultation*"),
COUNTIFS('QA Log'!D:D,A15,'QA Log'!M:M,"QQC",'QA Log'!Z:Z,"Approved",'QA Log'!L:L,"*10. Antenatal Care (ANC)*"),
COUNTIFS('QA Log'!D:D,A15,'QA Log'!M:M,"QQC",'QA Log'!Z:Z,"Approved",'QA Log'!L:L,"*2. Hygiene and Sterilization*"),
COUNTIFS('QA Log'!D:D,A15,'QA Log'!M:M,"QQC",'QA Log'!Z:Z,"Approved",'QA Log'!L:L,"*4. Family Planning*")
))</f>
        <v>0</v>
      </c>
      <c r="W15" s="105">
        <f ca="1">IF(A15&lt;&gt;"",COUNTIFS('QA Log'!D:D,A15,'QA Log'!M:M,"QQC",'QA Log'!L:L,"8. Maternity",'QA Log'!Z:Z,"Approved"),"")</f>
        <v>0</v>
      </c>
      <c r="X15" s="105">
        <f ca="1">IF(A15&lt;&gt;"",COUNTIFS('QA Log'!D:D,A15,'QA Log'!M:M,"QQC",'QA Log'!L:L,"9. EPI and Pre-school Consultation",'QA Log'!Z:Z,"Approved"),"")</f>
        <v>0</v>
      </c>
      <c r="Y15" s="105">
        <f ca="1">IF(A15&lt;&gt;"",COUNTIFS('QA Log'!D:D,A15,'QA Log'!M:M,"QQC",'QA Log'!L:L,"10. Antenatal Care (ANC)",'QA Log'!Z:Z,"Approved"),"")</f>
        <v>0</v>
      </c>
      <c r="Z15" s="105">
        <f ca="1">IF(A15&lt;&gt;"",COUNTIFS('QA Log'!D:D,A15,'QA Log'!M:M,"QQC",'QA Log'!L:L,"2. Hygiene and Sterilization",'QA Log'!Z:Z,"Approved"),"")</f>
        <v>0</v>
      </c>
      <c r="AA15" s="105">
        <f ca="1">IF(A15&lt;&gt;"",COUNTIFS('QA Log'!D:D,A15,'QA Log'!M:M,"QQC",'QA Log'!L:L,"4. Family Planning",'QA Log'!Z:Z,"Approved"),"")</f>
        <v>0</v>
      </c>
      <c r="AB15" s="102">
        <f ca="1">IF(A15="","",
SUM(
COUNTIFS('QA Log'!D:D,A15,'QA Log'!M:M,"QQC",'QA Log'!Z:Z,"Rejected",'QA Log'!L:L,"*8. Maternity*"),
COUNTIFS('QA Log'!D:D,A15,'QA Log'!M:M,"QQC",'QA Log'!Z:Z,"Rejected",'QA Log'!L:L,"*9. EPI and Pre-school Consultation*"),
COUNTIFS('QA Log'!D:D,A15,'QA Log'!M:M,"QQC",'QA Log'!Z:Z,"Rejected",'QA Log'!L:L,"*10. Antenatal Care (ANC)*"),
COUNTIFS('QA Log'!D:D,A15,'QA Log'!M:M,"QQC",'QA Log'!Z:Z,"Rejected",'QA Log'!L:L,"*2. Hygiene and Sterilization*"),
COUNTIFS('QA Log'!D:D,A15,'QA Log'!M:M,"QQC",'QA Log'!Z:Z,"Rejected",'QA Log'!L:L,"*4. Family Planning*")
))</f>
        <v>0</v>
      </c>
      <c r="AC15" s="102" t="e">
        <f t="shared" ca="1" si="3"/>
        <v>#NAME?</v>
      </c>
      <c r="AD15" s="103" t="e">
        <f t="shared" ca="1" si="4"/>
        <v>#NAME?</v>
      </c>
      <c r="AE15" s="102">
        <f ca="1">IF(A15="","",
SUM(
COUNTIFS('QA Log'!D:D,A15,'QA Log'!M:M,"Data Verification",'QA Log'!L:L,"*Medicine (section 2)*"),
COUNTIFS('QA Log'!D:D,A15,'QA Log'!M:M,"Data Verification",'QA Log'!L:L,"*Lab Testing Availability*"),
COUNTIFS('QA Log'!D:D,A15,'QA Log'!M:M,"Data Verification",'QA Log'!L:L,"*Other than P4P (section 6)*"),
COUNTIFS('QA Log'!D:D,A15,'QA Log'!M:M,"Data Verification",'QA Log'!L:L,"*Hospital Governance*")
))</f>
        <v>2</v>
      </c>
      <c r="AF15" s="102">
        <f ca="1">IF(A15="","",
SUM(
COUNTIFS('QA Log'!D:D,A15,'QA Log'!M:M,"Data Verification",'QA Log'!Z:Z,"Approved",'QA Log'!L:L,"*Medicine (section 2)*"),
COUNTIFS('QA Log'!D:D,A15,'QA Log'!M:M,"Data Verification",'QA Log'!Z:Z,"Approved",'QA Log'!L:L,"*Lab Testing Availability*"),
COUNTIFS('QA Log'!D:D,A15,'QA Log'!M:M,"Data Verification",'QA Log'!Z:Z,"Approved",'QA Log'!L:L,"*Other than P4P (section 6)*"),
COUNTIFS('QA Log'!D:D,A15,'QA Log'!M:M,"Data Verification",'QA Log'!Z:Z,"Approved",'QA Log'!L:L,"*Hospital Governance*")
))</f>
        <v>0</v>
      </c>
      <c r="AG15" s="105">
        <f ca="1">IF(A15&lt;&gt;"",COUNTIFS('QA Log'!D:D,A15,'QA Log'!M:M,"Data Verification",'QA Log'!L:L,"Medicine (section 2)",'QA Log'!Z:Z,"Approved"),"")</f>
        <v>0</v>
      </c>
      <c r="AH15" s="105">
        <f ca="1">IF(A15&lt;&gt;"",COUNTIFS('QA Log'!D:D,A15,'QA Log'!M:M,"Data Verification",'QA Log'!L:L,"Lab Testing Availability",'QA Log'!Z:Z,"Approved"),"")</f>
        <v>0</v>
      </c>
      <c r="AI15" s="105">
        <f ca="1">IF(A15&lt;&gt;"",COUNTIFS('QA Log'!D:D,A15,'QA Log'!M:M,"Data Verification",'QA Log'!L:L,"Other than P4P (section 6)",'QA Log'!Z:Z,"Approved"),"")</f>
        <v>0</v>
      </c>
      <c r="AJ15" s="105">
        <f ca="1">IF(A15&lt;&gt;"",COUNTIFS('QA Log'!D:D,A15,'QA Log'!M:M,"Data Verification",'QA Log'!L:L,"Hospital Governance",'QA Log'!Z:Z,"Approved"),"")</f>
        <v>0</v>
      </c>
      <c r="AK15" s="102">
        <f ca="1">IF(A15="","",
SUM(
COUNTIFS('QA Log'!D:D,A15,'QA Log'!M:M,"Data Verification",'QA Log'!Z:Z,"Rejected",'QA Log'!L:L,"*Medicine (section 2)*"),
COUNTIFS('QA Log'!D:D,A15,'QA Log'!M:M,"Data Verification",'QA Log'!Z:Z,"Rejected",'QA Log'!L:L,"*Lab Testing Availability*"),
COUNTIFS('QA Log'!D:D,A15,'QA Log'!M:M,"Data Verification",'QA Log'!Z:Z,"Rejected",'QA Log'!L:L,"*Other than P4P (section 6)*"),
COUNTIFS('QA Log'!D:D,A15,'QA Log'!M:M,"Data Verification",'QA Log'!Z:Z,"Rejected",'QA Log'!L:L,"*Hospital Governance*")
))</f>
        <v>0</v>
      </c>
      <c r="AL15" s="106" t="e">
        <f t="shared" ca="1" si="5"/>
        <v>#NAME?</v>
      </c>
      <c r="AM15" s="102" t="e">
        <f t="shared" ca="1" si="6"/>
        <v>#NAME?</v>
      </c>
      <c r="AN15" s="102">
        <f ca="1">IF(A15="","",
SUM(
COUNTIFS('QA Log'!D:D,A15,'QA Log'!M:M,"Data Verification",'QA Log'!L:L,"*Personnel (section 1)*"),
COUNTIFS('QA Log'!D:D,A15,'QA Log'!M:M,"Data Verification",'QA Log'!L:L,"*Consumable (section 3)*"),
COUNTIFS('QA Log'!D:D,A15,'QA Log'!M:M,"Data Verification",'QA Log'!L:L,"*Equipments (section 4)*")
))</f>
        <v>1</v>
      </c>
      <c r="AO15" s="102">
        <f ca="1">IF(A15="","",
SUM(
COUNTIFS('QA Log'!D:D,A15,'QA Log'!M:M,"Data Verification",'QA Log'!Z:Z,"Approved",'QA Log'!L:L,"*Personnel (section 1)*"),
COUNTIFS('QA Log'!D:D,A15,'QA Log'!M:M,"Data Verification",'QA Log'!Z:Z,"Approved",'QA Log'!L:L,"*Consumable (section 3)*"),
COUNTIFS('QA Log'!D:D,A15,'QA Log'!M:M,"Data Verification",'QA Log'!Z:Z,"Approved",'QA Log'!L:L,"*Equipments (section 4)*")
))</f>
        <v>0</v>
      </c>
      <c r="AP15" s="105">
        <f ca="1">IF(A15&lt;&gt;"",COUNTIFS('QA Log'!D:D,A15,'QA Log'!M:M,"Data Verification",'QA Log'!L:L,"Personnel (section 1)",'QA Log'!Z:Z,"Approved"),"")</f>
        <v>0</v>
      </c>
      <c r="AQ15" s="105">
        <f ca="1">IF(A15&lt;&gt;"",COUNTIFS('QA Log'!D:D,A15,'QA Log'!M:M,"Data Verification",'QA Log'!L:L,"Consumable (section 3)",'QA Log'!Z:Z,"Approved"),"")</f>
        <v>0</v>
      </c>
      <c r="AR15" s="105">
        <f ca="1">IF(A15&lt;&gt;"",COUNTIFS('QA Log'!D:D,A15,'QA Log'!M:M,"Data Verification",'QA Log'!L:L,"Equipments (section 4)",'QA Log'!Z:Z,"Approved"),"")</f>
        <v>0</v>
      </c>
      <c r="AS15" s="102">
        <f ca="1">IF(A15="","",
SUM(
COUNTIFS('QA Log'!D:D,A15,'QA Log'!M:M,"Data Verification",'QA Log'!Z:Z,"Rejected",'QA Log'!L:L,"*Personnel (section 1)*"),
COUNTIFS('QA Log'!D:D,A15,'QA Log'!M:M,"Data Verification",'QA Log'!Z:Z,"Rejected",'QA Log'!L:L,"*Consumable (section 3)*"),
COUNTIFS('QA Log'!D:D,A15,'QA Log'!M:M,"Data Verification",'QA Log'!Z:Z,"Rejected",'QA Log'!L:L,"*Equipments (section 4)*")
))</f>
        <v>0</v>
      </c>
      <c r="AT15" s="102" t="e">
        <f t="shared" ca="1" si="7"/>
        <v>#NAME?</v>
      </c>
      <c r="AU15" s="103">
        <f t="shared" ca="1" si="8"/>
        <v>2</v>
      </c>
      <c r="AV15" s="102">
        <f ca="1">IF(A15="","",SUM(
COUNTIFS('QA Log'!D:D,A15,'QA Log'!M:M,"Vignette",'QA Log'!L:L,"*Vignette [1] Respiratory Infection: Pneumonia*"),
COUNTIFS('QA Log'!D:D,A15,'QA Log'!M:M,"Vignette",'QA Log'!L:L,"*Vignette [2]: Diarrhea with Cat B dehydration*"),
COUNTIFS('QA Log'!D:D,A15,'QA Log'!M:M,"Vignette",'QA Log'!L:L,"*Vignette [3] Growth Monitoring and Promotion*"),
COUNTIFS('QA Log'!D:D,A15,'QA Log'!M:M,"Vignette",'QA Log'!L:L,"*Vignette [4]: The management of presumptive TB patient*")
)
)</f>
        <v>1</v>
      </c>
      <c r="AW15" s="102">
        <f ca="1">IF(
  A15="","",
  SUM(
    COUNTIFS('QA Log'!D:D,A15,'QA Log'!M:M,"Vignette",'QA Log'!Z:Z,"Approved",'QA Log'!L:L,"*Vignette [1] Respiratory Infection: Pneumonia*"),
    COUNTIFS('QA Log'!D:D,A15,'QA Log'!M:M,"Vignette",'QA Log'!Z:Z,"Approved",'QA Log'!L:L,"*Vignette [2]: Diarrhea with Cat B dehydration*"),
    COUNTIFS('QA Log'!D:D,A15,'QA Log'!M:M,"Vignette",'QA Log'!Z:Z,"Approved",'QA Log'!L:L,"*Vignette [3] Growth Monitoring and Promotion*"),
    COUNTIFS('QA Log'!D:D,A15,'QA Log'!M:M,"Vignette",'QA Log'!Z:Z,"Approved",'QA Log'!L:L,"*Vignette [4]: The management of presumptive TB patient*")
  )
)</f>
        <v>0</v>
      </c>
      <c r="AX15" s="105">
        <f ca="1">IF(A15&lt;&gt;"",COUNTIFS('QA Log'!D:D,A15,'QA Log'!M:M,"Vignette",'QA Log'!L:L,"Vignette [1] Respiratory Infection: Pneumonia",'QA Log'!Z:Z,"Approved"),"")</f>
        <v>0</v>
      </c>
      <c r="AY15" s="105">
        <f ca="1">IF(A15&lt;&gt;"",COUNTIFS('QA Log'!D:D,A15,'QA Log'!M:M,"Vignette",'QA Log'!L:L,"Vignette [2]: Diarrhea with Cat B dehydration",'QA Log'!Z:Z,"Approved"),"")</f>
        <v>0</v>
      </c>
      <c r="AZ15" s="105">
        <f ca="1">IF(A15&lt;&gt;"",COUNTIFS('QA Log'!D:D,A15,'QA Log'!M:M,"Vignette",'QA Log'!L:L,"Vignette [3] Growth Monitoring and Promotion",'QA Log'!Z:Z,"Approved"),"")</f>
        <v>0</v>
      </c>
      <c r="BA15" s="105">
        <f ca="1">IF(A15&lt;&gt;"",COUNTIFS('QA Log'!D:D,A15,'QA Log'!M:M,"Vignette",'QA Log'!L:L,"Vignette [4]: The management of presumptive TB patient",'QA Log'!Z:Z,"Approved"),"")</f>
        <v>0</v>
      </c>
      <c r="BB15" s="102">
        <f ca="1">IF(A15="","",
  SUM(
    COUNTIFS('QA Log'!D:D,A15,'QA Log'!M:M,"Vignette",'QA Log'!Z:Z,"Rejected",'QA Log'!L:L,"*Vignette [1] Respiratory Infection: Pneumonia*"),
    COUNTIFS('QA Log'!D:D,A15,'QA Log'!M:M,"Vignette",'QA Log'!Z:Z,"Rejected",'QA Log'!L:L,"*Vignette [2]: Diarrhea with Cat B dehydration*"),
    COUNTIFS('QA Log'!D:D,A15,'QA Log'!M:M,"Vignette",'QA Log'!Z:Z,"Rejected",'QA Log'!L:L,"*Vignette [3] Growth Monitoring and Promotion*"),
    COUNTIFS('QA Log'!D:D,A15,'QA Log'!M:M,"Vignette",'QA Log'!Z:Z,"Rejected",'QA Log'!L:L,"*Vignette [4]: The management of presumptive TB patient*")
  )
)</f>
        <v>0</v>
      </c>
      <c r="BC15" s="107">
        <f t="shared" ca="1" si="9"/>
        <v>2</v>
      </c>
      <c r="BD15" s="103">
        <f t="shared" ca="1" si="10"/>
        <v>2</v>
      </c>
      <c r="BE15" s="102">
        <f ca="1">IF(A15="","",SUM(
COUNTIFS('QA Log'!D:D,A15,'QA Log'!M:M,"Vignette",'QA Log'!L:L,"*Vignette [5] Labor*"),
COUNTIFS('QA Log'!D:D,A15,'QA Log'!M:M,"Vignette",'QA Log'!L:L,"*Vignette [6] PNC pre Discharge*"),
COUNTIFS('QA Log'!D:D,A15,'QA Log'!M:M,"Vignette",'QA Log'!L:L,"*Vignette [7] First ANC Visit*"),
COUNTIFS('QA Log'!D:D,A15,'QA Log'!M:M,"Vignette",'QA Log'!L:L,"*Vignette [8] Birth Spacing/ Family Planning :  FP Counselling*"),
COUNTIFS('QA Log'!D:D,A15,'QA Log'!M:M,"Vignette",'QA Log'!L:L,"*Vignette [9] Birth Spacing: Change FP method to Injectable*"),
COUNTIFS('QA Log'!D:D,A15,'QA Log'!M:M,"Vignette",'QA Log'!L:L,"*Vignette [10] Post Partum Haemorrhage - Atonic Uterus at Health Centre*"),
)
)</f>
        <v>0</v>
      </c>
      <c r="BF15" s="102">
        <f ca="1">IF(A15="","",
  SUM(
    COUNTIFS('QA Log'!D:D,A15,'QA Log'!M:M,"Vignette",'QA Log'!Z:Z,"Approved",'QA Log'!L:L,"*Vignette [5] Labor*"),
    COUNTIFS('QA Log'!D:D,A15,'QA Log'!M:M,"Vignette",'QA Log'!Z:Z,"Approved",'QA Log'!L:L,"*Vignette [6] PNC pre Discharge*"),
    COUNTIFS('QA Log'!D:D,A15,'QA Log'!M:M,"Vignette",'QA Log'!Z:Z,"Approved",'QA Log'!L:L,"*Vignette [7] First ANC Visit*"),
    COUNTIFS('QA Log'!D:D,A15,'QA Log'!M:M,"Vignette",'QA Log'!Z:Z,"Approved",'QA Log'!L:L,"*Vignette [8] Birth Spacing/ Family Planning :  FP Counselling*"),
    COUNTIFS('QA Log'!D:D,A15,'QA Log'!M:M,"Vignette",'QA Log'!Z:Z,"Approved",'QA Log'!L:L,"*Vignette [9] Birth Spacing: Change FP method to Injectable*"),
    COUNTIFS('QA Log'!D:D,A15,'QA Log'!M:M,"Vignette",'QA Log'!Z:Z,"Approved",'QA Log'!L:L,"*Vignette [10] Post Partum Haemorrhage - Atonic Uterus at Health Centre*")
  )
)</f>
        <v>0</v>
      </c>
      <c r="BG15" s="105">
        <f ca="1">IF(A15&lt;&gt;"",COUNTIFS('QA Log'!D:D,A15,'QA Log'!M:M,"Vignette",'QA Log'!L:L,"Vignette [5] Labor",'QA Log'!Z:Z,"Approved"),"")</f>
        <v>0</v>
      </c>
      <c r="BH15" s="105">
        <f ca="1">IF(A15&lt;&gt;"",COUNTIFS('QA Log'!D:D,A15,'QA Log'!M:M,"Vignette",'QA Log'!L:L,"Vignette [6] PNC pre Discharge",'QA Log'!Z:Z,"Approved"),"")</f>
        <v>0</v>
      </c>
      <c r="BI15" s="105">
        <f ca="1">IF(A15&lt;&gt;"",COUNTIFS('QA Log'!D:D,A15,'QA Log'!M:M,"Vignette",'QA Log'!L:L,"Vignette [7] First ANC Visit",'QA Log'!Z:Z,"Approved"),"")</f>
        <v>0</v>
      </c>
      <c r="BJ15" s="105">
        <f ca="1">IF(A15&lt;&gt;"",COUNTIFS('QA Log'!D:D,A15,'QA Log'!M:M,"Vignette",'QA Log'!L:L,"Vignette [8] Birth Spacing/ Family Planning :  FP Counselling",'QA Log'!Z:Z,"Approved"),"")</f>
        <v>0</v>
      </c>
      <c r="BK15" s="105">
        <f ca="1">IF(A15&lt;&gt;"",COUNTIFS('QA Log'!D:D,A15,'QA Log'!M:M,"Vignette",'QA Log'!L:L,"Vignette [9] Birth Spacing: Change FP method to Injectable",'QA Log'!Z:Z,"Approved"),"")</f>
        <v>0</v>
      </c>
      <c r="BL15" s="105">
        <f ca="1">IF(A15&lt;&gt;"",COUNTIFS('QA Log'!D:D,A15,'QA Log'!M:M,"Vignette",'QA Log'!L:L,"Vignette [10] Post Partum Haemorrhage - Atonic Uterus at Health Centre",'QA Log'!Z:Z,"Approved"),"")</f>
        <v>0</v>
      </c>
      <c r="BM15" s="102">
        <f ca="1">IF(A15="","",SUM(
    COUNTIFS('QA Log'!D:D,A15,'QA Log'!M:M,"Vignette",'QA Log'!Z:Z,"Rejected",'QA Log'!L:L,"*Vignette [5] Labor*"),
    COUNTIFS('QA Log'!D:D,A15,'QA Log'!M:M,"Vignette",'QA Log'!Z:Z,"Rejected",'QA Log'!L:L,"*Vignette [6] PNC pre Discharge*"),
    COUNTIFS('QA Log'!D:D,A15,'QA Log'!M:M,"Vignette",'QA Log'!Z:Z,"Rejected",'QA Log'!L:L,"*Vignette [7] First ANC Visit*"),
    COUNTIFS('QA Log'!D:D,A15,'QA Log'!M:M,"Vignette",'QA Log'!Z:Z,"Rejected",'QA Log'!L:L,"*Vignette [8] Birth Spacing/ Family Planning :  FP Counselling*"),
    COUNTIFS('QA Log'!D:D,A15,'QA Log'!M:M,"Vignette",'QA Log'!Z:Z,"Rejected",'QA Log'!L:L,"*Vignette [9] Birth Spacing: Change FP method to Injectable*"),
    COUNTIFS('QA Log'!D:D,A15,'QA Log'!M:M,"Vignette",'QA Log'!Z:Z,"Rejected",'QA Log'!L:L,"*Vignette [10] Post Partum Haemorrhage - Atonic Uterus at Health Centre*")
  )
)</f>
        <v>0</v>
      </c>
      <c r="BN15" s="107">
        <f t="shared" ca="1" si="11"/>
        <v>2</v>
      </c>
      <c r="BO15" s="103">
        <f t="shared" ca="1" si="12"/>
        <v>2</v>
      </c>
      <c r="BP15" s="102">
        <f ca="1">IF(A15="","",SUM(
COUNTIFS('QA Log'!D:D,A15,'QA Log'!M:M,"Vignette",'QA Log'!L:L,"*Exit Interview 1*"),
COUNTIFS('QA Log'!D:D,A15,'QA Log'!M:M,"Vignette",'QA Log'!L:L,"*Exit Interview 2*"),
)
)</f>
        <v>2</v>
      </c>
      <c r="BQ15" s="102">
        <f ca="1">IF(
  A15="","",
  SUM(
    COUNTIFS('QA Log'!D:D,A15,'QA Log'!M:M,"Vignette",'QA Log'!Z:Z,"Approved",'QA Log'!L:L,"*Exit Interview 1*"),
    COUNTIFS('QA Log'!D:D,A15,'QA Log'!M:M,"Vignette",'QA Log'!Z:Z,"Approved",'QA Log'!L:L,"*Exit Interview 2*")
  )
)</f>
        <v>0</v>
      </c>
      <c r="BR15" s="105">
        <f ca="1">IF(A15&lt;&gt;"",COUNTIFS('QA Log'!D:D,A15,'QA Log'!M:M,"Vignette",'QA Log'!L:L,"Exit Interview 1",'QA Log'!Z:Z,"Approved"),"")</f>
        <v>0</v>
      </c>
      <c r="BS15" s="105">
        <f ca="1">IF(A15&lt;&gt;"",COUNTIFS('QA Log'!D:D,A15,'QA Log'!M:M,"Vignette",'QA Log'!L:L,"Exit Interview 2",'QA Log'!Z:Z,"Approved"),"")</f>
        <v>0</v>
      </c>
      <c r="BT15" s="102">
        <f ca="1">IF(
  A15="","",
  SUM(
    COUNTIFS('QA Log'!D:D,A15,'QA Log'!M:M,"Vignette",'QA Log'!Z:Z,"Rejected",'QA Log'!L:L,"*Exit Interview 1*"),
    COUNTIFS('QA Log'!D:D,A15,'QA Log'!M:M,"Vignette",'QA Log'!Z:Z,"Rejected",'QA Log'!L:L,"*Exit Interview 2*")
  )
)</f>
        <v>0</v>
      </c>
      <c r="BU15" s="107">
        <f t="shared" ca="1" si="13"/>
        <v>2</v>
      </c>
      <c r="BV15" s="102" t="e">
        <f t="shared" ca="1" si="14"/>
        <v>#NAME?</v>
      </c>
      <c r="BW15" s="102">
        <f t="shared" ca="1" si="15"/>
        <v>6</v>
      </c>
      <c r="BX15" s="102">
        <f t="shared" ca="1" si="16"/>
        <v>0</v>
      </c>
      <c r="BY15" s="102">
        <f t="shared" ca="1" si="17"/>
        <v>0</v>
      </c>
      <c r="BZ15" s="107" t="e">
        <f t="shared" ca="1" si="18"/>
        <v>#NAME?</v>
      </c>
      <c r="CA15" s="108" t="e">
        <f t="shared" ca="1" si="19"/>
        <v>#NAME?</v>
      </c>
      <c r="CB15" s="108" t="e">
        <f t="shared" ca="1" si="20"/>
        <v>#NAME?</v>
      </c>
      <c r="CC15" s="109" t="str">
        <f t="shared" ca="1" si="21"/>
        <v>Not Received</v>
      </c>
      <c r="CD15" s="108" t="e">
        <f t="shared" ca="1" si="22"/>
        <v>#NAME?</v>
      </c>
      <c r="CE15" s="108" t="e">
        <f t="shared" ca="1" si="23"/>
        <v>#NAME?</v>
      </c>
      <c r="CF15" s="109" t="str">
        <f t="shared" ca="1" si="24"/>
        <v>Not Received</v>
      </c>
      <c r="CG15" s="110" t="e">
        <f t="shared" ca="1" si="25"/>
        <v>#NAME?</v>
      </c>
      <c r="CH15" s="111"/>
    </row>
    <row r="16" spans="1:86" ht="12.75">
      <c r="A16" s="101" t="str">
        <f ca="1">IFERROR(__xludf.DUMMYFUNCTION("""COMPUTED_VALUE"""),"HER-PAN-HF4656-Q2-2025-1202-01")</f>
        <v>HER-PAN-HF4656-Q2-2025-1202-01</v>
      </c>
      <c r="B16" s="102" t="e">
        <f t="array" aca="1" ref="B16" ca="1">_xludf.XLOOKUP(A16,'QA Log'!D:D,'QA Log'!E:E,"")</f>
        <v>#NAME?</v>
      </c>
      <c r="C16" s="102" t="e">
        <f t="array" aca="1" ref="C16" ca="1">_xludf.XLOOKUP(A16,'QA Log'!D:D,'QA Log'!F:F,"")</f>
        <v>#NAME?</v>
      </c>
      <c r="D16" s="102" t="e">
        <f t="array" aca="1" ref="D16" ca="1">_xludf.XLOOKUP(A16,'QA Log'!D:D,'QA Log'!H:H,"")</f>
        <v>#NAME?</v>
      </c>
      <c r="E16" s="102" t="e">
        <f t="array" aca="1" ref="E16" ca="1">_xludf.XLOOKUP(A16,'QA Log'!D:D,'QA Log'!G:G,"")</f>
        <v>#NAME?</v>
      </c>
      <c r="F16" s="103"/>
      <c r="G16" s="104"/>
      <c r="H16" s="104"/>
      <c r="I16" s="103" t="e">
        <f t="shared" ca="1" si="0"/>
        <v>#NAME?</v>
      </c>
      <c r="J16" s="102">
        <f ca="1">IF(A16="","",SUM(
COUNTIFS('QA Log'!D:D,A16,'QA Log'!M:M,"QQC",'QA Log'!L:L,"*1. General Management*"),
COUNTIFS('QA Log'!D:D,A16,'QA Log'!M:M,"QQC",'QA Log'!L:L,"*3. Curative Consultation (OPD)*"),
COUNTIFS('QA Log'!D:D,A16,'QA Log'!M:M,"QQC",'QA Log'!L:L,"*5. Laboratory*"),
COUNTIFS('QA Log'!D:D,A16,'QA Log'!M:M,"QQC",'QA Log'!L:L,"*6. Essential Medicine Management*"),
COUNTIFS('QA Log'!D:D,A16,'QA Log'!M:M,"QQC",'QA Log'!L:L,"*7. Tracer Medicine*"),
COUNTIFS('QA Log'!D:D,A16,'QA Log'!M:M,"QQC",'QA Log'!L:L,"*11. Additional Questions*")))</f>
        <v>0</v>
      </c>
      <c r="K16" s="102">
        <f ca="1">IF(A16="","",SUM(
COUNTIFS('QA Log'!D:D,A16,'QA Log'!M:M,"QQC",'QA Log'!Z:Z,"Approved",'QA Log'!L:L,"*1. General Management*"),
COUNTIFS('QA Log'!D:D,A16,'QA Log'!M:M,"QQC",'QA Log'!Z:Z,"Approved",'QA Log'!L:L,"*3. Curative Consultation (OPD)*"),
COUNTIFS('QA Log'!D:D,A16,'QA Log'!M:M,"QQC",'QA Log'!Z:Z,"Approved",'QA Log'!L:L,"*5. Laboratory*"),
COUNTIFS('QA Log'!D:D,A16,'QA Log'!M:M,"QQC",'QA Log'!Z:Z,"Approved",'QA Log'!L:L,"*6. Essential Medicine Management*"),
COUNTIFS('QA Log'!D:D,A16,'QA Log'!M:M,"QQC",'QA Log'!Z:Z,"Approved",'QA Log'!L:L,"*7. Tracer Medicine*"),
COUNTIFS('QA Log'!D:D,A16,'QA Log'!M:M,"QQC",'QA Log'!Z:Z,"Approved",'QA Log'!L:L,"*11. Additional Questions*")))</f>
        <v>0</v>
      </c>
      <c r="L16" s="105">
        <f ca="1">IF(A16&lt;&gt;"",COUNTIFS('QA Log'!D:D,A16,'QA Log'!M:M,"QQC",'QA Log'!L:L,"1. General Management",'QA Log'!Z:Z,"Approved"),"")</f>
        <v>0</v>
      </c>
      <c r="M16" s="105">
        <f ca="1">IF(A16&lt;&gt;"",COUNTIFS('QA Log'!D:D,A16,'QA Log'!M:M,"QQC",'QA Log'!L:L,"3. Curative Consultation (OPD)",'QA Log'!Z:Z,"Approved"),"")</f>
        <v>0</v>
      </c>
      <c r="N16" s="105">
        <f ca="1">IF(A16&lt;&gt;"",COUNTIFS('QA Log'!D:D,A16,'QA Log'!M:M,"QQC",'QA Log'!L:L,"5. Laboratory",'QA Log'!Z:Z,"Approved"),"")</f>
        <v>0</v>
      </c>
      <c r="O16" s="105">
        <f ca="1">IF(A16&lt;&gt;"",COUNTIFS('QA Log'!D:D,A16,'QA Log'!M:M,"QQC",'QA Log'!L:L,"6. Essential Medicine Management",'QA Log'!Z:Z,"Approved"),"")</f>
        <v>0</v>
      </c>
      <c r="P16" s="105">
        <f ca="1">IF(A16&lt;&gt;"",COUNTIFS('QA Log'!D:D,A16,'QA Log'!M:M,"QQC",'QA Log'!L:L,"7. Tracer Medicine",'QA Log'!Z:Z,"Approved"),"")</f>
        <v>0</v>
      </c>
      <c r="Q16" s="105">
        <f ca="1">IF(A16&lt;&gt;"",COUNTIFS('QA Log'!D:D,A16,'QA Log'!M:M,"QQC",'QA Log'!L:L,"11. Additional Questions",'QA Log'!Z:Z,"Approved"),"")</f>
        <v>0</v>
      </c>
      <c r="R16" s="102">
        <f ca="1">IF(A16="","",SUM(
COUNTIFS('QA Log'!D:D,A16,'QA Log'!M:M,"QQC",'QA Log'!Z:Z,"Rejected",'QA Log'!L:L,"*8. Maternity*"),
COUNTIFS('QA Log'!D:D,A16,'QA Log'!M:M,"QQC",'QA Log'!Z:Z,"Rejected",'QA Log'!L:L,"*EPI*"),
COUNTIFS('QA Log'!D:D,A16,'QA Log'!M:M,"QQC",'QA Log'!Z:Z,"Rejected",'QA Log'!L:L,"*10. Antenatal Care (ANC)*"),
COUNTIFS('QA Log'!D:D,A16,'QA Log'!M:M,"QQC",'QA Log'!Z:Z,"Rejected",'QA Log'!L:L,"*2. Hygiene and Sterilization*"),
COUNTIFS('QA Log'!D:D,A16,'QA Log'!M:M,"QQC",'QA Log'!Z:Z,"Rejected",'QA Log'!L:L,"*Family Planning*")))</f>
        <v>0</v>
      </c>
      <c r="S16" s="106" t="e">
        <f t="shared" ca="1" si="1"/>
        <v>#NAME?</v>
      </c>
      <c r="T16" s="102" t="e">
        <f t="shared" ca="1" si="2"/>
        <v>#NAME?</v>
      </c>
      <c r="U16" s="102">
        <f ca="1">IF(A16="","",
SUM(
COUNTIFS('QA Log'!D:D,A16,'QA Log'!M:M,"QQC",'QA Log'!L:L,"*8. Maternity*"),
COUNTIFS('QA Log'!D:D,A16,'QA Log'!M:M,"QQC",'QA Log'!L:L,"*9. EPI and Pre-school Consultation*"),
COUNTIFS('QA Log'!D:D,A16,'QA Log'!M:M,"QQC",'QA Log'!L:L,"*10. Antenatal Care (ANC)*"),
COUNTIFS('QA Log'!D:D,A16,'QA Log'!M:M,"QQC",'QA Log'!L:L,"*2. Hygiene and Sterilization*"),
COUNTIFS('QA Log'!D:D,A16,'QA Log'!M:M,"QQC",'QA Log'!L:L,"*4. Family Planning*")
))</f>
        <v>0</v>
      </c>
      <c r="V16" s="102">
        <f ca="1">IF(A16="","",
SUM(
COUNTIFS('QA Log'!D:D,A16,'QA Log'!M:M,"QQC",'QA Log'!Z:Z,"Approved",'QA Log'!L:L,"*8. Maternity*"),
COUNTIFS('QA Log'!D:D,A16,'QA Log'!M:M,"QQC",'QA Log'!Z:Z,"Approved",'QA Log'!L:L,"*9. EPI and Pre-school Consultation*"),
COUNTIFS('QA Log'!D:D,A16,'QA Log'!M:M,"QQC",'QA Log'!Z:Z,"Approved",'QA Log'!L:L,"*10. Antenatal Care (ANC)*"),
COUNTIFS('QA Log'!D:D,A16,'QA Log'!M:M,"QQC",'QA Log'!Z:Z,"Approved",'QA Log'!L:L,"*2. Hygiene and Sterilization*"),
COUNTIFS('QA Log'!D:D,A16,'QA Log'!M:M,"QQC",'QA Log'!Z:Z,"Approved",'QA Log'!L:L,"*4. Family Planning*")
))</f>
        <v>0</v>
      </c>
      <c r="W16" s="105">
        <f ca="1">IF(A16&lt;&gt;"",COUNTIFS('QA Log'!D:D,A16,'QA Log'!M:M,"QQC",'QA Log'!L:L,"8. Maternity",'QA Log'!Z:Z,"Approved"),"")</f>
        <v>0</v>
      </c>
      <c r="X16" s="105">
        <f ca="1">IF(A16&lt;&gt;"",COUNTIFS('QA Log'!D:D,A16,'QA Log'!M:M,"QQC",'QA Log'!L:L,"9. EPI and Pre-school Consultation",'QA Log'!Z:Z,"Approved"),"")</f>
        <v>0</v>
      </c>
      <c r="Y16" s="105">
        <f ca="1">IF(A16&lt;&gt;"",COUNTIFS('QA Log'!D:D,A16,'QA Log'!M:M,"QQC",'QA Log'!L:L,"10. Antenatal Care (ANC)",'QA Log'!Z:Z,"Approved"),"")</f>
        <v>0</v>
      </c>
      <c r="Z16" s="105">
        <f ca="1">IF(A16&lt;&gt;"",COUNTIFS('QA Log'!D:D,A16,'QA Log'!M:M,"QQC",'QA Log'!L:L,"2. Hygiene and Sterilization",'QA Log'!Z:Z,"Approved"),"")</f>
        <v>0</v>
      </c>
      <c r="AA16" s="105">
        <f ca="1">IF(A16&lt;&gt;"",COUNTIFS('QA Log'!D:D,A16,'QA Log'!M:M,"QQC",'QA Log'!L:L,"4. Family Planning",'QA Log'!Z:Z,"Approved"),"")</f>
        <v>0</v>
      </c>
      <c r="AB16" s="102">
        <f ca="1">IF(A16="","",
SUM(
COUNTIFS('QA Log'!D:D,A16,'QA Log'!M:M,"QQC",'QA Log'!Z:Z,"Rejected",'QA Log'!L:L,"*8. Maternity*"),
COUNTIFS('QA Log'!D:D,A16,'QA Log'!M:M,"QQC",'QA Log'!Z:Z,"Rejected",'QA Log'!L:L,"*9. EPI and Pre-school Consultation*"),
COUNTIFS('QA Log'!D:D,A16,'QA Log'!M:M,"QQC",'QA Log'!Z:Z,"Rejected",'QA Log'!L:L,"*10. Antenatal Care (ANC)*"),
COUNTIFS('QA Log'!D:D,A16,'QA Log'!M:M,"QQC",'QA Log'!Z:Z,"Rejected",'QA Log'!L:L,"*2. Hygiene and Sterilization*"),
COUNTIFS('QA Log'!D:D,A16,'QA Log'!M:M,"QQC",'QA Log'!Z:Z,"Rejected",'QA Log'!L:L,"*4. Family Planning*")
))</f>
        <v>0</v>
      </c>
      <c r="AC16" s="102" t="e">
        <f t="shared" ca="1" si="3"/>
        <v>#NAME?</v>
      </c>
      <c r="AD16" s="103" t="e">
        <f t="shared" ca="1" si="4"/>
        <v>#NAME?</v>
      </c>
      <c r="AE16" s="102">
        <f ca="1">IF(A16="","",
SUM(
COUNTIFS('QA Log'!D:D,A16,'QA Log'!M:M,"Data Verification",'QA Log'!L:L,"*Medicine (section 2)*"),
COUNTIFS('QA Log'!D:D,A16,'QA Log'!M:M,"Data Verification",'QA Log'!L:L,"*Lab Testing Availability*"),
COUNTIFS('QA Log'!D:D,A16,'QA Log'!M:M,"Data Verification",'QA Log'!L:L,"*Other than P4P (section 6)*"),
COUNTIFS('QA Log'!D:D,A16,'QA Log'!M:M,"Data Verification",'QA Log'!L:L,"*Hospital Governance*")
))</f>
        <v>3</v>
      </c>
      <c r="AF16" s="102">
        <f ca="1">IF(A16="","",
SUM(
COUNTIFS('QA Log'!D:D,A16,'QA Log'!M:M,"Data Verification",'QA Log'!Z:Z,"Approved",'QA Log'!L:L,"*Medicine (section 2)*"),
COUNTIFS('QA Log'!D:D,A16,'QA Log'!M:M,"Data Verification",'QA Log'!Z:Z,"Approved",'QA Log'!L:L,"*Lab Testing Availability*"),
COUNTIFS('QA Log'!D:D,A16,'QA Log'!M:M,"Data Verification",'QA Log'!Z:Z,"Approved",'QA Log'!L:L,"*Other than P4P (section 6)*"),
COUNTIFS('QA Log'!D:D,A16,'QA Log'!M:M,"Data Verification",'QA Log'!Z:Z,"Approved",'QA Log'!L:L,"*Hospital Governance*")
))</f>
        <v>0</v>
      </c>
      <c r="AG16" s="105">
        <f ca="1">IF(A16&lt;&gt;"",COUNTIFS('QA Log'!D:D,A16,'QA Log'!M:M,"Data Verification",'QA Log'!L:L,"Medicine (section 2)",'QA Log'!Z:Z,"Approved"),"")</f>
        <v>0</v>
      </c>
      <c r="AH16" s="105">
        <f ca="1">IF(A16&lt;&gt;"",COUNTIFS('QA Log'!D:D,A16,'QA Log'!M:M,"Data Verification",'QA Log'!L:L,"Lab Testing Availability",'QA Log'!Z:Z,"Approved"),"")</f>
        <v>0</v>
      </c>
      <c r="AI16" s="105">
        <f ca="1">IF(A16&lt;&gt;"",COUNTIFS('QA Log'!D:D,A16,'QA Log'!M:M,"Data Verification",'QA Log'!L:L,"Other than P4P (section 6)",'QA Log'!Z:Z,"Approved"),"")</f>
        <v>0</v>
      </c>
      <c r="AJ16" s="105">
        <f ca="1">IF(A16&lt;&gt;"",COUNTIFS('QA Log'!D:D,A16,'QA Log'!M:M,"Data Verification",'QA Log'!L:L,"Hospital Governance",'QA Log'!Z:Z,"Approved"),"")</f>
        <v>0</v>
      </c>
      <c r="AK16" s="102">
        <f ca="1">IF(A16="","",
SUM(
COUNTIFS('QA Log'!D:D,A16,'QA Log'!M:M,"Data Verification",'QA Log'!Z:Z,"Rejected",'QA Log'!L:L,"*Medicine (section 2)*"),
COUNTIFS('QA Log'!D:D,A16,'QA Log'!M:M,"Data Verification",'QA Log'!Z:Z,"Rejected",'QA Log'!L:L,"*Lab Testing Availability*"),
COUNTIFS('QA Log'!D:D,A16,'QA Log'!M:M,"Data Verification",'QA Log'!Z:Z,"Rejected",'QA Log'!L:L,"*Other than P4P (section 6)*"),
COUNTIFS('QA Log'!D:D,A16,'QA Log'!M:M,"Data Verification",'QA Log'!Z:Z,"Rejected",'QA Log'!L:L,"*Hospital Governance*")
))</f>
        <v>1</v>
      </c>
      <c r="AL16" s="106" t="e">
        <f t="shared" ca="1" si="5"/>
        <v>#NAME?</v>
      </c>
      <c r="AM16" s="102" t="e">
        <f t="shared" ca="1" si="6"/>
        <v>#NAME?</v>
      </c>
      <c r="AN16" s="102">
        <f ca="1">IF(A16="","",
SUM(
COUNTIFS('QA Log'!D:D,A16,'QA Log'!M:M,"Data Verification",'QA Log'!L:L,"*Personnel (section 1)*"),
COUNTIFS('QA Log'!D:D,A16,'QA Log'!M:M,"Data Verification",'QA Log'!L:L,"*Consumable (section 3)*"),
COUNTIFS('QA Log'!D:D,A16,'QA Log'!M:M,"Data Verification",'QA Log'!L:L,"*Equipments (section 4)*")
))</f>
        <v>3</v>
      </c>
      <c r="AO16" s="102">
        <f ca="1">IF(A16="","",
SUM(
COUNTIFS('QA Log'!D:D,A16,'QA Log'!M:M,"Data Verification",'QA Log'!Z:Z,"Approved",'QA Log'!L:L,"*Personnel (section 1)*"),
COUNTIFS('QA Log'!D:D,A16,'QA Log'!M:M,"Data Verification",'QA Log'!Z:Z,"Approved",'QA Log'!L:L,"*Consumable (section 3)*"),
COUNTIFS('QA Log'!D:D,A16,'QA Log'!M:M,"Data Verification",'QA Log'!Z:Z,"Approved",'QA Log'!L:L,"*Equipments (section 4)*")
))</f>
        <v>0</v>
      </c>
      <c r="AP16" s="105">
        <f ca="1">IF(A16&lt;&gt;"",COUNTIFS('QA Log'!D:D,A16,'QA Log'!M:M,"Data Verification",'QA Log'!L:L,"Personnel (section 1)",'QA Log'!Z:Z,"Approved"),"")</f>
        <v>0</v>
      </c>
      <c r="AQ16" s="105">
        <f ca="1">IF(A16&lt;&gt;"",COUNTIFS('QA Log'!D:D,A16,'QA Log'!M:M,"Data Verification",'QA Log'!L:L,"Consumable (section 3)",'QA Log'!Z:Z,"Approved"),"")</f>
        <v>0</v>
      </c>
      <c r="AR16" s="105">
        <f ca="1">IF(A16&lt;&gt;"",COUNTIFS('QA Log'!D:D,A16,'QA Log'!M:M,"Data Verification",'QA Log'!L:L,"Equipments (section 4)",'QA Log'!Z:Z,"Approved"),"")</f>
        <v>0</v>
      </c>
      <c r="AS16" s="102">
        <f ca="1">IF(A16="","",
SUM(
COUNTIFS('QA Log'!D:D,A16,'QA Log'!M:M,"Data Verification",'QA Log'!Z:Z,"Rejected",'QA Log'!L:L,"*Personnel (section 1)*"),
COUNTIFS('QA Log'!D:D,A16,'QA Log'!M:M,"Data Verification",'QA Log'!Z:Z,"Rejected",'QA Log'!L:L,"*Consumable (section 3)*"),
COUNTIFS('QA Log'!D:D,A16,'QA Log'!M:M,"Data Verification",'QA Log'!Z:Z,"Rejected",'QA Log'!L:L,"*Equipments (section 4)*")
))</f>
        <v>0</v>
      </c>
      <c r="AT16" s="102" t="e">
        <f t="shared" ca="1" si="7"/>
        <v>#NAME?</v>
      </c>
      <c r="AU16" s="103">
        <f t="shared" ca="1" si="8"/>
        <v>2</v>
      </c>
      <c r="AV16" s="102">
        <f ca="1">IF(A16="","",SUM(
COUNTIFS('QA Log'!D:D,A16,'QA Log'!M:M,"Vignette",'QA Log'!L:L,"*Vignette [1] Respiratory Infection: Pneumonia*"),
COUNTIFS('QA Log'!D:D,A16,'QA Log'!M:M,"Vignette",'QA Log'!L:L,"*Vignette [2]: Diarrhea with Cat B dehydration*"),
COUNTIFS('QA Log'!D:D,A16,'QA Log'!M:M,"Vignette",'QA Log'!L:L,"*Vignette [3] Growth Monitoring and Promotion*"),
COUNTIFS('QA Log'!D:D,A16,'QA Log'!M:M,"Vignette",'QA Log'!L:L,"*Vignette [4]: The management of presumptive TB patient*")
)
)</f>
        <v>3</v>
      </c>
      <c r="AW16" s="102">
        <f ca="1">IF(
  A16="","",
  SUM(
    COUNTIFS('QA Log'!D:D,A16,'QA Log'!M:M,"Vignette",'QA Log'!Z:Z,"Approved",'QA Log'!L:L,"*Vignette [1] Respiratory Infection: Pneumonia*"),
    COUNTIFS('QA Log'!D:D,A16,'QA Log'!M:M,"Vignette",'QA Log'!Z:Z,"Approved",'QA Log'!L:L,"*Vignette [2]: Diarrhea with Cat B dehydration*"),
    COUNTIFS('QA Log'!D:D,A16,'QA Log'!M:M,"Vignette",'QA Log'!Z:Z,"Approved",'QA Log'!L:L,"*Vignette [3] Growth Monitoring and Promotion*"),
    COUNTIFS('QA Log'!D:D,A16,'QA Log'!M:M,"Vignette",'QA Log'!Z:Z,"Approved",'QA Log'!L:L,"*Vignette [4]: The management of presumptive TB patient*")
  )
)</f>
        <v>0</v>
      </c>
      <c r="AX16" s="105">
        <f ca="1">IF(A16&lt;&gt;"",COUNTIFS('QA Log'!D:D,A16,'QA Log'!M:M,"Vignette",'QA Log'!L:L,"Vignette [1] Respiratory Infection: Pneumonia",'QA Log'!Z:Z,"Approved"),"")</f>
        <v>0</v>
      </c>
      <c r="AY16" s="105">
        <f ca="1">IF(A16&lt;&gt;"",COUNTIFS('QA Log'!D:D,A16,'QA Log'!M:M,"Vignette",'QA Log'!L:L,"Vignette [2]: Diarrhea with Cat B dehydration",'QA Log'!Z:Z,"Approved"),"")</f>
        <v>0</v>
      </c>
      <c r="AZ16" s="105">
        <f ca="1">IF(A16&lt;&gt;"",COUNTIFS('QA Log'!D:D,A16,'QA Log'!M:M,"Vignette",'QA Log'!L:L,"Vignette [3] Growth Monitoring and Promotion",'QA Log'!Z:Z,"Approved"),"")</f>
        <v>0</v>
      </c>
      <c r="BA16" s="105">
        <f ca="1">IF(A16&lt;&gt;"",COUNTIFS('QA Log'!D:D,A16,'QA Log'!M:M,"Vignette",'QA Log'!L:L,"Vignette [4]: The management of presumptive TB patient",'QA Log'!Z:Z,"Approved"),"")</f>
        <v>0</v>
      </c>
      <c r="BB16" s="102">
        <f ca="1">IF(A16="","",
  SUM(
    COUNTIFS('QA Log'!D:D,A16,'QA Log'!M:M,"Vignette",'QA Log'!Z:Z,"Rejected",'QA Log'!L:L,"*Vignette [1] Respiratory Infection: Pneumonia*"),
    COUNTIFS('QA Log'!D:D,A16,'QA Log'!M:M,"Vignette",'QA Log'!Z:Z,"Rejected",'QA Log'!L:L,"*Vignette [2]: Diarrhea with Cat B dehydration*"),
    COUNTIFS('QA Log'!D:D,A16,'QA Log'!M:M,"Vignette",'QA Log'!Z:Z,"Rejected",'QA Log'!L:L,"*Vignette [3] Growth Monitoring and Promotion*"),
    COUNTIFS('QA Log'!D:D,A16,'QA Log'!M:M,"Vignette",'QA Log'!Z:Z,"Rejected",'QA Log'!L:L,"*Vignette [4]: The management of presumptive TB patient*")
  )
)</f>
        <v>0</v>
      </c>
      <c r="BC16" s="107">
        <f t="shared" ca="1" si="9"/>
        <v>2</v>
      </c>
      <c r="BD16" s="103">
        <f t="shared" ca="1" si="10"/>
        <v>2</v>
      </c>
      <c r="BE16" s="102">
        <f ca="1">IF(A16="","",SUM(
COUNTIFS('QA Log'!D:D,A16,'QA Log'!M:M,"Vignette",'QA Log'!L:L,"*Vignette [5] Labor*"),
COUNTIFS('QA Log'!D:D,A16,'QA Log'!M:M,"Vignette",'QA Log'!L:L,"*Vignette [6] PNC pre Discharge*"),
COUNTIFS('QA Log'!D:D,A16,'QA Log'!M:M,"Vignette",'QA Log'!L:L,"*Vignette [7] First ANC Visit*"),
COUNTIFS('QA Log'!D:D,A16,'QA Log'!M:M,"Vignette",'QA Log'!L:L,"*Vignette [8] Birth Spacing/ Family Planning :  FP Counselling*"),
COUNTIFS('QA Log'!D:D,A16,'QA Log'!M:M,"Vignette",'QA Log'!L:L,"*Vignette [9] Birth Spacing: Change FP method to Injectable*"),
COUNTIFS('QA Log'!D:D,A16,'QA Log'!M:M,"Vignette",'QA Log'!L:L,"*Vignette [10] Post Partum Haemorrhage - Atonic Uterus at Health Centre*"),
)
)</f>
        <v>1</v>
      </c>
      <c r="BF16" s="102">
        <f ca="1">IF(A16="","",
  SUM(
    COUNTIFS('QA Log'!D:D,A16,'QA Log'!M:M,"Vignette",'QA Log'!Z:Z,"Approved",'QA Log'!L:L,"*Vignette [5] Labor*"),
    COUNTIFS('QA Log'!D:D,A16,'QA Log'!M:M,"Vignette",'QA Log'!Z:Z,"Approved",'QA Log'!L:L,"*Vignette [6] PNC pre Discharge*"),
    COUNTIFS('QA Log'!D:D,A16,'QA Log'!M:M,"Vignette",'QA Log'!Z:Z,"Approved",'QA Log'!L:L,"*Vignette [7] First ANC Visit*"),
    COUNTIFS('QA Log'!D:D,A16,'QA Log'!M:M,"Vignette",'QA Log'!Z:Z,"Approved",'QA Log'!L:L,"*Vignette [8] Birth Spacing/ Family Planning :  FP Counselling*"),
    COUNTIFS('QA Log'!D:D,A16,'QA Log'!M:M,"Vignette",'QA Log'!Z:Z,"Approved",'QA Log'!L:L,"*Vignette [9] Birth Spacing: Change FP method to Injectable*"),
    COUNTIFS('QA Log'!D:D,A16,'QA Log'!M:M,"Vignette",'QA Log'!Z:Z,"Approved",'QA Log'!L:L,"*Vignette [10] Post Partum Haemorrhage - Atonic Uterus at Health Centre*")
  )
)</f>
        <v>0</v>
      </c>
      <c r="BG16" s="105">
        <f ca="1">IF(A16&lt;&gt;"",COUNTIFS('QA Log'!D:D,A16,'QA Log'!M:M,"Vignette",'QA Log'!L:L,"Vignette [5] Labor",'QA Log'!Z:Z,"Approved"),"")</f>
        <v>0</v>
      </c>
      <c r="BH16" s="105">
        <f ca="1">IF(A16&lt;&gt;"",COUNTIFS('QA Log'!D:D,A16,'QA Log'!M:M,"Vignette",'QA Log'!L:L,"Vignette [6] PNC pre Discharge",'QA Log'!Z:Z,"Approved"),"")</f>
        <v>0</v>
      </c>
      <c r="BI16" s="105">
        <f ca="1">IF(A16&lt;&gt;"",COUNTIFS('QA Log'!D:D,A16,'QA Log'!M:M,"Vignette",'QA Log'!L:L,"Vignette [7] First ANC Visit",'QA Log'!Z:Z,"Approved"),"")</f>
        <v>0</v>
      </c>
      <c r="BJ16" s="105">
        <f ca="1">IF(A16&lt;&gt;"",COUNTIFS('QA Log'!D:D,A16,'QA Log'!M:M,"Vignette",'QA Log'!L:L,"Vignette [8] Birth Spacing/ Family Planning :  FP Counselling",'QA Log'!Z:Z,"Approved"),"")</f>
        <v>0</v>
      </c>
      <c r="BK16" s="105">
        <f ca="1">IF(A16&lt;&gt;"",COUNTIFS('QA Log'!D:D,A16,'QA Log'!M:M,"Vignette",'QA Log'!L:L,"Vignette [9] Birth Spacing: Change FP method to Injectable",'QA Log'!Z:Z,"Approved"),"")</f>
        <v>0</v>
      </c>
      <c r="BL16" s="105">
        <f ca="1">IF(A16&lt;&gt;"",COUNTIFS('QA Log'!D:D,A16,'QA Log'!M:M,"Vignette",'QA Log'!L:L,"Vignette [10] Post Partum Haemorrhage - Atonic Uterus at Health Centre",'QA Log'!Z:Z,"Approved"),"")</f>
        <v>0</v>
      </c>
      <c r="BM16" s="102">
        <f ca="1">IF(A16="","",SUM(
    COUNTIFS('QA Log'!D:D,A16,'QA Log'!M:M,"Vignette",'QA Log'!Z:Z,"Rejected",'QA Log'!L:L,"*Vignette [5] Labor*"),
    COUNTIFS('QA Log'!D:D,A16,'QA Log'!M:M,"Vignette",'QA Log'!Z:Z,"Rejected",'QA Log'!L:L,"*Vignette [6] PNC pre Discharge*"),
    COUNTIFS('QA Log'!D:D,A16,'QA Log'!M:M,"Vignette",'QA Log'!Z:Z,"Rejected",'QA Log'!L:L,"*Vignette [7] First ANC Visit*"),
    COUNTIFS('QA Log'!D:D,A16,'QA Log'!M:M,"Vignette",'QA Log'!Z:Z,"Rejected",'QA Log'!L:L,"*Vignette [8] Birth Spacing/ Family Planning :  FP Counselling*"),
    COUNTIFS('QA Log'!D:D,A16,'QA Log'!M:M,"Vignette",'QA Log'!Z:Z,"Rejected",'QA Log'!L:L,"*Vignette [9] Birth Spacing: Change FP method to Injectable*"),
    COUNTIFS('QA Log'!D:D,A16,'QA Log'!M:M,"Vignette",'QA Log'!Z:Z,"Rejected",'QA Log'!L:L,"*Vignette [10] Post Partum Haemorrhage - Atonic Uterus at Health Centre*")
  )
)</f>
        <v>0</v>
      </c>
      <c r="BN16" s="107">
        <f t="shared" ca="1" si="11"/>
        <v>2</v>
      </c>
      <c r="BO16" s="103">
        <f t="shared" ca="1" si="12"/>
        <v>2</v>
      </c>
      <c r="BP16" s="102">
        <f ca="1">IF(A16="","",SUM(
COUNTIFS('QA Log'!D:D,A16,'QA Log'!M:M,"Vignette",'QA Log'!L:L,"*Exit Interview 1*"),
COUNTIFS('QA Log'!D:D,A16,'QA Log'!M:M,"Vignette",'QA Log'!L:L,"*Exit Interview 2*"),
)
)</f>
        <v>0</v>
      </c>
      <c r="BQ16" s="102">
        <f ca="1">IF(
  A16="","",
  SUM(
    COUNTIFS('QA Log'!D:D,A16,'QA Log'!M:M,"Vignette",'QA Log'!Z:Z,"Approved",'QA Log'!L:L,"*Exit Interview 1*"),
    COUNTIFS('QA Log'!D:D,A16,'QA Log'!M:M,"Vignette",'QA Log'!Z:Z,"Approved",'QA Log'!L:L,"*Exit Interview 2*")
  )
)</f>
        <v>0</v>
      </c>
      <c r="BR16" s="105">
        <f ca="1">IF(A16&lt;&gt;"",COUNTIFS('QA Log'!D:D,A16,'QA Log'!M:M,"Vignette",'QA Log'!L:L,"Exit Interview 1",'QA Log'!Z:Z,"Approved"),"")</f>
        <v>0</v>
      </c>
      <c r="BS16" s="105">
        <f ca="1">IF(A16&lt;&gt;"",COUNTIFS('QA Log'!D:D,A16,'QA Log'!M:M,"Vignette",'QA Log'!L:L,"Exit Interview 2",'QA Log'!Z:Z,"Approved"),"")</f>
        <v>0</v>
      </c>
      <c r="BT16" s="102">
        <f ca="1">IF(
  A16="","",
  SUM(
    COUNTIFS('QA Log'!D:D,A16,'QA Log'!M:M,"Vignette",'QA Log'!Z:Z,"Rejected",'QA Log'!L:L,"*Exit Interview 1*"),
    COUNTIFS('QA Log'!D:D,A16,'QA Log'!M:M,"Vignette",'QA Log'!Z:Z,"Rejected",'QA Log'!L:L,"*Exit Interview 2*")
  )
)</f>
        <v>0</v>
      </c>
      <c r="BU16" s="107">
        <f t="shared" ca="1" si="13"/>
        <v>2</v>
      </c>
      <c r="BV16" s="102" t="e">
        <f t="shared" ca="1" si="14"/>
        <v>#NAME?</v>
      </c>
      <c r="BW16" s="102">
        <f t="shared" ca="1" si="15"/>
        <v>10</v>
      </c>
      <c r="BX16" s="102">
        <f t="shared" ca="1" si="16"/>
        <v>0</v>
      </c>
      <c r="BY16" s="102">
        <f t="shared" ca="1" si="17"/>
        <v>1</v>
      </c>
      <c r="BZ16" s="107" t="e">
        <f t="shared" ca="1" si="18"/>
        <v>#NAME?</v>
      </c>
      <c r="CA16" s="108" t="e">
        <f t="shared" ca="1" si="19"/>
        <v>#NAME?</v>
      </c>
      <c r="CB16" s="108" t="e">
        <f t="shared" ca="1" si="20"/>
        <v>#NAME?</v>
      </c>
      <c r="CC16" s="109" t="str">
        <f t="shared" ca="1" si="21"/>
        <v>Not Received</v>
      </c>
      <c r="CD16" s="108" t="e">
        <f t="shared" ca="1" si="22"/>
        <v>#NAME?</v>
      </c>
      <c r="CE16" s="108" t="e">
        <f t="shared" ca="1" si="23"/>
        <v>#NAME?</v>
      </c>
      <c r="CF16" s="109" t="str">
        <f t="shared" ca="1" si="24"/>
        <v>Not Received</v>
      </c>
      <c r="CG16" s="110" t="e">
        <f t="shared" ca="1" si="25"/>
        <v>#NAME?</v>
      </c>
      <c r="CH16" s="111"/>
    </row>
    <row r="17" spans="1:86" ht="12.75">
      <c r="A17" s="101" t="str">
        <f ca="1">IFERROR(__xludf.DUMMYFUNCTION("""COMPUTED_VALUE"""),"HER-BAM-HF4349-Q2-2025-1074-01")</f>
        <v>HER-BAM-HF4349-Q2-2025-1074-01</v>
      </c>
      <c r="B17" s="102" t="e">
        <f t="array" aca="1" ref="B17" ca="1">_xludf.XLOOKUP(A17,'QA Log'!D:D,'QA Log'!E:E,"")</f>
        <v>#NAME?</v>
      </c>
      <c r="C17" s="102" t="e">
        <f t="array" aca="1" ref="C17" ca="1">_xludf.XLOOKUP(A17,'QA Log'!D:D,'QA Log'!F:F,"")</f>
        <v>#NAME?</v>
      </c>
      <c r="D17" s="102" t="e">
        <f t="array" aca="1" ref="D17" ca="1">_xludf.XLOOKUP(A17,'QA Log'!D:D,'QA Log'!H:H,"")</f>
        <v>#NAME?</v>
      </c>
      <c r="E17" s="102" t="e">
        <f t="array" aca="1" ref="E17" ca="1">_xludf.XLOOKUP(A17,'QA Log'!D:D,'QA Log'!G:G,"")</f>
        <v>#NAME?</v>
      </c>
      <c r="F17" s="103" t="s">
        <v>95</v>
      </c>
      <c r="G17" s="104">
        <v>45963</v>
      </c>
      <c r="H17" s="102" t="s">
        <v>97</v>
      </c>
      <c r="I17" s="103" t="e">
        <f t="shared" ca="1" si="0"/>
        <v>#NAME?</v>
      </c>
      <c r="J17" s="102">
        <f ca="1">IF(A17="","",SUM(
COUNTIFS('QA Log'!D:D,A17,'QA Log'!M:M,"QQC",'QA Log'!L:L,"*1. General Management*"),
COUNTIFS('QA Log'!D:D,A17,'QA Log'!M:M,"QQC",'QA Log'!L:L,"*3. Curative Consultation (OPD)*"),
COUNTIFS('QA Log'!D:D,A17,'QA Log'!M:M,"QQC",'QA Log'!L:L,"*5. Laboratory*"),
COUNTIFS('QA Log'!D:D,A17,'QA Log'!M:M,"QQC",'QA Log'!L:L,"*6. Essential Medicine Management*"),
COUNTIFS('QA Log'!D:D,A17,'QA Log'!M:M,"QQC",'QA Log'!L:L,"*7. Tracer Medicine*"),
COUNTIFS('QA Log'!D:D,A17,'QA Log'!M:M,"QQC",'QA Log'!L:L,"*11. Additional Questions*")))</f>
        <v>0</v>
      </c>
      <c r="K17" s="102">
        <f ca="1">IF(A17="","",SUM(
COUNTIFS('QA Log'!D:D,A17,'QA Log'!M:M,"QQC",'QA Log'!Z:Z,"Approved",'QA Log'!L:L,"*1. General Management*"),
COUNTIFS('QA Log'!D:D,A17,'QA Log'!M:M,"QQC",'QA Log'!Z:Z,"Approved",'QA Log'!L:L,"*3. Curative Consultation (OPD)*"),
COUNTIFS('QA Log'!D:D,A17,'QA Log'!M:M,"QQC",'QA Log'!Z:Z,"Approved",'QA Log'!L:L,"*5. Laboratory*"),
COUNTIFS('QA Log'!D:D,A17,'QA Log'!M:M,"QQC",'QA Log'!Z:Z,"Approved",'QA Log'!L:L,"*6. Essential Medicine Management*"),
COUNTIFS('QA Log'!D:D,A17,'QA Log'!M:M,"QQC",'QA Log'!Z:Z,"Approved",'QA Log'!L:L,"*7. Tracer Medicine*"),
COUNTIFS('QA Log'!D:D,A17,'QA Log'!M:M,"QQC",'QA Log'!Z:Z,"Approved",'QA Log'!L:L,"*11. Additional Questions*")))</f>
        <v>0</v>
      </c>
      <c r="L17" s="105">
        <f ca="1">IF(A17&lt;&gt;"",COUNTIFS('QA Log'!D:D,A17,'QA Log'!M:M,"QQC",'QA Log'!L:L,"1. General Management",'QA Log'!Z:Z,"Approved"),"")</f>
        <v>0</v>
      </c>
      <c r="M17" s="105">
        <f ca="1">IF(A17&lt;&gt;"",COUNTIFS('QA Log'!D:D,A17,'QA Log'!M:M,"QQC",'QA Log'!L:L,"3. Curative Consultation (OPD)",'QA Log'!Z:Z,"Approved"),"")</f>
        <v>0</v>
      </c>
      <c r="N17" s="105">
        <f ca="1">IF(A17&lt;&gt;"",COUNTIFS('QA Log'!D:D,A17,'QA Log'!M:M,"QQC",'QA Log'!L:L,"5. Laboratory",'QA Log'!Z:Z,"Approved"),"")</f>
        <v>0</v>
      </c>
      <c r="O17" s="105">
        <f ca="1">IF(A17&lt;&gt;"",COUNTIFS('QA Log'!D:D,A17,'QA Log'!M:M,"QQC",'QA Log'!L:L,"6. Essential Medicine Management",'QA Log'!Z:Z,"Approved"),"")</f>
        <v>0</v>
      </c>
      <c r="P17" s="105">
        <f ca="1">IF(A17&lt;&gt;"",COUNTIFS('QA Log'!D:D,A17,'QA Log'!M:M,"QQC",'QA Log'!L:L,"7. Tracer Medicine",'QA Log'!Z:Z,"Approved"),"")</f>
        <v>0</v>
      </c>
      <c r="Q17" s="105">
        <f ca="1">IF(A17&lt;&gt;"",COUNTIFS('QA Log'!D:D,A17,'QA Log'!M:M,"QQC",'QA Log'!L:L,"11. Additional Questions",'QA Log'!Z:Z,"Approved"),"")</f>
        <v>0</v>
      </c>
      <c r="R17" s="102">
        <f ca="1">IF(A17="","",SUM(
COUNTIFS('QA Log'!D:D,A17,'QA Log'!M:M,"QQC",'QA Log'!Z:Z,"Rejected",'QA Log'!L:L,"*8. Maternity*"),
COUNTIFS('QA Log'!D:D,A17,'QA Log'!M:M,"QQC",'QA Log'!Z:Z,"Rejected",'QA Log'!L:L,"*EPI*"),
COUNTIFS('QA Log'!D:D,A17,'QA Log'!M:M,"QQC",'QA Log'!Z:Z,"Rejected",'QA Log'!L:L,"*10. Antenatal Care (ANC)*"),
COUNTIFS('QA Log'!D:D,A17,'QA Log'!M:M,"QQC",'QA Log'!Z:Z,"Rejected",'QA Log'!L:L,"*2. Hygiene and Sterilization*"),
COUNTIFS('QA Log'!D:D,A17,'QA Log'!M:M,"QQC",'QA Log'!Z:Z,"Rejected",'QA Log'!L:L,"*Family Planning*")))</f>
        <v>0</v>
      </c>
      <c r="S17" s="106" t="e">
        <f t="shared" ca="1" si="1"/>
        <v>#NAME?</v>
      </c>
      <c r="T17" s="102" t="e">
        <f t="shared" ca="1" si="2"/>
        <v>#NAME?</v>
      </c>
      <c r="U17" s="102">
        <f ca="1">IF(A17="","",
SUM(
COUNTIFS('QA Log'!D:D,A17,'QA Log'!M:M,"QQC",'QA Log'!L:L,"*8. Maternity*"),
COUNTIFS('QA Log'!D:D,A17,'QA Log'!M:M,"QQC",'QA Log'!L:L,"*9. EPI and Pre-school Consultation*"),
COUNTIFS('QA Log'!D:D,A17,'QA Log'!M:M,"QQC",'QA Log'!L:L,"*10. Antenatal Care (ANC)*"),
COUNTIFS('QA Log'!D:D,A17,'QA Log'!M:M,"QQC",'QA Log'!L:L,"*2. Hygiene and Sterilization*"),
COUNTIFS('QA Log'!D:D,A17,'QA Log'!M:M,"QQC",'QA Log'!L:L,"*4. Family Planning*")
))</f>
        <v>0</v>
      </c>
      <c r="V17" s="102">
        <f ca="1">IF(A17="","",
SUM(
COUNTIFS('QA Log'!D:D,A17,'QA Log'!M:M,"QQC",'QA Log'!Z:Z,"Approved",'QA Log'!L:L,"*8. Maternity*"),
COUNTIFS('QA Log'!D:D,A17,'QA Log'!M:M,"QQC",'QA Log'!Z:Z,"Approved",'QA Log'!L:L,"*9. EPI and Pre-school Consultation*"),
COUNTIFS('QA Log'!D:D,A17,'QA Log'!M:M,"QQC",'QA Log'!Z:Z,"Approved",'QA Log'!L:L,"*10. Antenatal Care (ANC)*"),
COUNTIFS('QA Log'!D:D,A17,'QA Log'!M:M,"QQC",'QA Log'!Z:Z,"Approved",'QA Log'!L:L,"*2. Hygiene and Sterilization*"),
COUNTIFS('QA Log'!D:D,A17,'QA Log'!M:M,"QQC",'QA Log'!Z:Z,"Approved",'QA Log'!L:L,"*4. Family Planning*")
))</f>
        <v>0</v>
      </c>
      <c r="W17" s="105">
        <f ca="1">IF(A17&lt;&gt;"",COUNTIFS('QA Log'!D:D,A17,'QA Log'!M:M,"QQC",'QA Log'!L:L,"8. Maternity",'QA Log'!Z:Z,"Approved"),"")</f>
        <v>0</v>
      </c>
      <c r="X17" s="105">
        <f ca="1">IF(A17&lt;&gt;"",COUNTIFS('QA Log'!D:D,A17,'QA Log'!M:M,"QQC",'QA Log'!L:L,"9. EPI and Pre-school Consultation",'QA Log'!Z:Z,"Approved"),"")</f>
        <v>0</v>
      </c>
      <c r="Y17" s="105">
        <f ca="1">IF(A17&lt;&gt;"",COUNTIFS('QA Log'!D:D,A17,'QA Log'!M:M,"QQC",'QA Log'!L:L,"10. Antenatal Care (ANC)",'QA Log'!Z:Z,"Approved"),"")</f>
        <v>0</v>
      </c>
      <c r="Z17" s="105">
        <f ca="1">IF(A17&lt;&gt;"",COUNTIFS('QA Log'!D:D,A17,'QA Log'!M:M,"QQC",'QA Log'!L:L,"2. Hygiene and Sterilization",'QA Log'!Z:Z,"Approved"),"")</f>
        <v>0</v>
      </c>
      <c r="AA17" s="105">
        <f ca="1">IF(A17&lt;&gt;"",COUNTIFS('QA Log'!D:D,A17,'QA Log'!M:M,"QQC",'QA Log'!L:L,"4. Family Planning",'QA Log'!Z:Z,"Approved"),"")</f>
        <v>0</v>
      </c>
      <c r="AB17" s="102">
        <f ca="1">IF(A17="","",
SUM(
COUNTIFS('QA Log'!D:D,A17,'QA Log'!M:M,"QQC",'QA Log'!Z:Z,"Rejected",'QA Log'!L:L,"*8. Maternity*"),
COUNTIFS('QA Log'!D:D,A17,'QA Log'!M:M,"QQC",'QA Log'!Z:Z,"Rejected",'QA Log'!L:L,"*9. EPI and Pre-school Consultation*"),
COUNTIFS('QA Log'!D:D,A17,'QA Log'!M:M,"QQC",'QA Log'!Z:Z,"Rejected",'QA Log'!L:L,"*10. Antenatal Care (ANC)*"),
COUNTIFS('QA Log'!D:D,A17,'QA Log'!M:M,"QQC",'QA Log'!Z:Z,"Rejected",'QA Log'!L:L,"*2. Hygiene and Sterilization*"),
COUNTIFS('QA Log'!D:D,A17,'QA Log'!M:M,"QQC",'QA Log'!Z:Z,"Rejected",'QA Log'!L:L,"*4. Family Planning*")
))</f>
        <v>0</v>
      </c>
      <c r="AC17" s="102" t="e">
        <f t="shared" ca="1" si="3"/>
        <v>#NAME?</v>
      </c>
      <c r="AD17" s="103" t="e">
        <f t="shared" ca="1" si="4"/>
        <v>#NAME?</v>
      </c>
      <c r="AE17" s="102">
        <f ca="1">IF(A17="","",
SUM(
COUNTIFS('QA Log'!D:D,A17,'QA Log'!M:M,"Data Verification",'QA Log'!L:L,"*Medicine (section 2)*"),
COUNTIFS('QA Log'!D:D,A17,'QA Log'!M:M,"Data Verification",'QA Log'!L:L,"*Lab Testing Availability*"),
COUNTIFS('QA Log'!D:D,A17,'QA Log'!M:M,"Data Verification",'QA Log'!L:L,"*Other than P4P (section 6)*"),
COUNTIFS('QA Log'!D:D,A17,'QA Log'!M:M,"Data Verification",'QA Log'!L:L,"*Hospital Governance*")
))</f>
        <v>2</v>
      </c>
      <c r="AF17" s="102">
        <f ca="1">IF(A17="","",
SUM(
COUNTIFS('QA Log'!D:D,A17,'QA Log'!M:M,"Data Verification",'QA Log'!Z:Z,"Approved",'QA Log'!L:L,"*Medicine (section 2)*"),
COUNTIFS('QA Log'!D:D,A17,'QA Log'!M:M,"Data Verification",'QA Log'!Z:Z,"Approved",'QA Log'!L:L,"*Lab Testing Availability*"),
COUNTIFS('QA Log'!D:D,A17,'QA Log'!M:M,"Data Verification",'QA Log'!Z:Z,"Approved",'QA Log'!L:L,"*Other than P4P (section 6)*"),
COUNTIFS('QA Log'!D:D,A17,'QA Log'!M:M,"Data Verification",'QA Log'!Z:Z,"Approved",'QA Log'!L:L,"*Hospital Governance*")
))</f>
        <v>0</v>
      </c>
      <c r="AG17" s="105">
        <f ca="1">IF(A17&lt;&gt;"",COUNTIFS('QA Log'!D:D,A17,'QA Log'!M:M,"Data Verification",'QA Log'!L:L,"Medicine (section 2)",'QA Log'!Z:Z,"Approved"),"")</f>
        <v>0</v>
      </c>
      <c r="AH17" s="105">
        <f ca="1">IF(A17&lt;&gt;"",COUNTIFS('QA Log'!D:D,A17,'QA Log'!M:M,"Data Verification",'QA Log'!L:L,"Lab Testing Availability",'QA Log'!Z:Z,"Approved"),"")</f>
        <v>0</v>
      </c>
      <c r="AI17" s="105">
        <f ca="1">IF(A17&lt;&gt;"",COUNTIFS('QA Log'!D:D,A17,'QA Log'!M:M,"Data Verification",'QA Log'!L:L,"Other than P4P (section 6)",'QA Log'!Z:Z,"Approved"),"")</f>
        <v>0</v>
      </c>
      <c r="AJ17" s="105">
        <f ca="1">IF(A17&lt;&gt;"",COUNTIFS('QA Log'!D:D,A17,'QA Log'!M:M,"Data Verification",'QA Log'!L:L,"Hospital Governance",'QA Log'!Z:Z,"Approved"),"")</f>
        <v>0</v>
      </c>
      <c r="AK17" s="102">
        <f ca="1">IF(A17="","",
SUM(
COUNTIFS('QA Log'!D:D,A17,'QA Log'!M:M,"Data Verification",'QA Log'!Z:Z,"Rejected",'QA Log'!L:L,"*Medicine (section 2)*"),
COUNTIFS('QA Log'!D:D,A17,'QA Log'!M:M,"Data Verification",'QA Log'!Z:Z,"Rejected",'QA Log'!L:L,"*Lab Testing Availability*"),
COUNTIFS('QA Log'!D:D,A17,'QA Log'!M:M,"Data Verification",'QA Log'!Z:Z,"Rejected",'QA Log'!L:L,"*Other than P4P (section 6)*"),
COUNTIFS('QA Log'!D:D,A17,'QA Log'!M:M,"Data Verification",'QA Log'!Z:Z,"Rejected",'QA Log'!L:L,"*Hospital Governance*")
))</f>
        <v>0</v>
      </c>
      <c r="AL17" s="106" t="e">
        <f t="shared" ca="1" si="5"/>
        <v>#NAME?</v>
      </c>
      <c r="AM17" s="102" t="e">
        <f t="shared" ca="1" si="6"/>
        <v>#NAME?</v>
      </c>
      <c r="AN17" s="102">
        <f ca="1">IF(A17="","",
SUM(
COUNTIFS('QA Log'!D:D,A17,'QA Log'!M:M,"Data Verification",'QA Log'!L:L,"*Personnel (section 1)*"),
COUNTIFS('QA Log'!D:D,A17,'QA Log'!M:M,"Data Verification",'QA Log'!L:L,"*Consumable (section 3)*"),
COUNTIFS('QA Log'!D:D,A17,'QA Log'!M:M,"Data Verification",'QA Log'!L:L,"*Equipments (section 4)*")
))</f>
        <v>3</v>
      </c>
      <c r="AO17" s="102">
        <f ca="1">IF(A17="","",
SUM(
COUNTIFS('QA Log'!D:D,A17,'QA Log'!M:M,"Data Verification",'QA Log'!Z:Z,"Approved",'QA Log'!L:L,"*Personnel (section 1)*"),
COUNTIFS('QA Log'!D:D,A17,'QA Log'!M:M,"Data Verification",'QA Log'!Z:Z,"Approved",'QA Log'!L:L,"*Consumable (section 3)*"),
COUNTIFS('QA Log'!D:D,A17,'QA Log'!M:M,"Data Verification",'QA Log'!Z:Z,"Approved",'QA Log'!L:L,"*Equipments (section 4)*")
))</f>
        <v>0</v>
      </c>
      <c r="AP17" s="105">
        <f ca="1">IF(A17&lt;&gt;"",COUNTIFS('QA Log'!D:D,A17,'QA Log'!M:M,"Data Verification",'QA Log'!L:L,"Personnel (section 1)",'QA Log'!Z:Z,"Approved"),"")</f>
        <v>0</v>
      </c>
      <c r="AQ17" s="105">
        <f ca="1">IF(A17&lt;&gt;"",COUNTIFS('QA Log'!D:D,A17,'QA Log'!M:M,"Data Verification",'QA Log'!L:L,"Consumable (section 3)",'QA Log'!Z:Z,"Approved"),"")</f>
        <v>0</v>
      </c>
      <c r="AR17" s="105">
        <f ca="1">IF(A17&lt;&gt;"",COUNTIFS('QA Log'!D:D,A17,'QA Log'!M:M,"Data Verification",'QA Log'!L:L,"Equipments (section 4)",'QA Log'!Z:Z,"Approved"),"")</f>
        <v>0</v>
      </c>
      <c r="AS17" s="102">
        <f ca="1">IF(A17="","",
SUM(
COUNTIFS('QA Log'!D:D,A17,'QA Log'!M:M,"Data Verification",'QA Log'!Z:Z,"Rejected",'QA Log'!L:L,"*Personnel (section 1)*"),
COUNTIFS('QA Log'!D:D,A17,'QA Log'!M:M,"Data Verification",'QA Log'!Z:Z,"Rejected",'QA Log'!L:L,"*Consumable (section 3)*"),
COUNTIFS('QA Log'!D:D,A17,'QA Log'!M:M,"Data Verification",'QA Log'!Z:Z,"Rejected",'QA Log'!L:L,"*Equipments (section 4)*")
))</f>
        <v>0</v>
      </c>
      <c r="AT17" s="102" t="e">
        <f t="shared" ca="1" si="7"/>
        <v>#NAME?</v>
      </c>
      <c r="AU17" s="103">
        <f t="shared" ca="1" si="8"/>
        <v>2</v>
      </c>
      <c r="AV17" s="102">
        <f ca="1">IF(A17="","",SUM(
COUNTIFS('QA Log'!D:D,A17,'QA Log'!M:M,"Vignette",'QA Log'!L:L,"*Vignette [1] Respiratory Infection: Pneumonia*"),
COUNTIFS('QA Log'!D:D,A17,'QA Log'!M:M,"Vignette",'QA Log'!L:L,"*Vignette [2]: Diarrhea with Cat B dehydration*"),
COUNTIFS('QA Log'!D:D,A17,'QA Log'!M:M,"Vignette",'QA Log'!L:L,"*Vignette [3] Growth Monitoring and Promotion*"),
COUNTIFS('QA Log'!D:D,A17,'QA Log'!M:M,"Vignette",'QA Log'!L:L,"*Vignette [4]: The management of presumptive TB patient*")
)
)</f>
        <v>2</v>
      </c>
      <c r="AW17" s="102">
        <f ca="1">IF(
  A17="","",
  SUM(
    COUNTIFS('QA Log'!D:D,A17,'QA Log'!M:M,"Vignette",'QA Log'!Z:Z,"Approved",'QA Log'!L:L,"*Vignette [1] Respiratory Infection: Pneumonia*"),
    COUNTIFS('QA Log'!D:D,A17,'QA Log'!M:M,"Vignette",'QA Log'!Z:Z,"Approved",'QA Log'!L:L,"*Vignette [2]: Diarrhea with Cat B dehydration*"),
    COUNTIFS('QA Log'!D:D,A17,'QA Log'!M:M,"Vignette",'QA Log'!Z:Z,"Approved",'QA Log'!L:L,"*Vignette [3] Growth Monitoring and Promotion*"),
    COUNTIFS('QA Log'!D:D,A17,'QA Log'!M:M,"Vignette",'QA Log'!Z:Z,"Approved",'QA Log'!L:L,"*Vignette [4]: The management of presumptive TB patient*")
  )
)</f>
        <v>0</v>
      </c>
      <c r="AX17" s="105">
        <f ca="1">IF(A17&lt;&gt;"",COUNTIFS('QA Log'!D:D,A17,'QA Log'!M:M,"Vignette",'QA Log'!L:L,"Vignette [1] Respiratory Infection: Pneumonia",'QA Log'!Z:Z,"Approved"),"")</f>
        <v>0</v>
      </c>
      <c r="AY17" s="105">
        <f ca="1">IF(A17&lt;&gt;"",COUNTIFS('QA Log'!D:D,A17,'QA Log'!M:M,"Vignette",'QA Log'!L:L,"Vignette [2]: Diarrhea with Cat B dehydration",'QA Log'!Z:Z,"Approved"),"")</f>
        <v>0</v>
      </c>
      <c r="AZ17" s="105">
        <f ca="1">IF(A17&lt;&gt;"",COUNTIFS('QA Log'!D:D,A17,'QA Log'!M:M,"Vignette",'QA Log'!L:L,"Vignette [3] Growth Monitoring and Promotion",'QA Log'!Z:Z,"Approved"),"")</f>
        <v>0</v>
      </c>
      <c r="BA17" s="105">
        <f ca="1">IF(A17&lt;&gt;"",COUNTIFS('QA Log'!D:D,A17,'QA Log'!M:M,"Vignette",'QA Log'!L:L,"Vignette [4]: The management of presumptive TB patient",'QA Log'!Z:Z,"Approved"),"")</f>
        <v>0</v>
      </c>
      <c r="BB17" s="102">
        <f ca="1">IF(A17="","",
  SUM(
    COUNTIFS('QA Log'!D:D,A17,'QA Log'!M:M,"Vignette",'QA Log'!Z:Z,"Rejected",'QA Log'!L:L,"*Vignette [1] Respiratory Infection: Pneumonia*"),
    COUNTIFS('QA Log'!D:D,A17,'QA Log'!M:M,"Vignette",'QA Log'!Z:Z,"Rejected",'QA Log'!L:L,"*Vignette [2]: Diarrhea with Cat B dehydration*"),
    COUNTIFS('QA Log'!D:D,A17,'QA Log'!M:M,"Vignette",'QA Log'!Z:Z,"Rejected",'QA Log'!L:L,"*Vignette [3] Growth Monitoring and Promotion*"),
    COUNTIFS('QA Log'!D:D,A17,'QA Log'!M:M,"Vignette",'QA Log'!Z:Z,"Rejected",'QA Log'!L:L,"*Vignette [4]: The management of presumptive TB patient*")
  )
)</f>
        <v>0</v>
      </c>
      <c r="BC17" s="107">
        <f t="shared" ca="1" si="9"/>
        <v>2</v>
      </c>
      <c r="BD17" s="103">
        <f t="shared" ca="1" si="10"/>
        <v>2</v>
      </c>
      <c r="BE17" s="102">
        <f ca="1">IF(A17="","",SUM(
COUNTIFS('QA Log'!D:D,A17,'QA Log'!M:M,"Vignette",'QA Log'!L:L,"*Vignette [5] Labor*"),
COUNTIFS('QA Log'!D:D,A17,'QA Log'!M:M,"Vignette",'QA Log'!L:L,"*Vignette [6] PNC pre Discharge*"),
COUNTIFS('QA Log'!D:D,A17,'QA Log'!M:M,"Vignette",'QA Log'!L:L,"*Vignette [7] First ANC Visit*"),
COUNTIFS('QA Log'!D:D,A17,'QA Log'!M:M,"Vignette",'QA Log'!L:L,"*Vignette [8] Birth Spacing/ Family Planning :  FP Counselling*"),
COUNTIFS('QA Log'!D:D,A17,'QA Log'!M:M,"Vignette",'QA Log'!L:L,"*Vignette [9] Birth Spacing: Change FP method to Injectable*"),
COUNTIFS('QA Log'!D:D,A17,'QA Log'!M:M,"Vignette",'QA Log'!L:L,"*Vignette [10] Post Partum Haemorrhage - Atonic Uterus at Health Centre*"),
)
)</f>
        <v>2</v>
      </c>
      <c r="BF17" s="102">
        <f ca="1">IF(A17="","",
  SUM(
    COUNTIFS('QA Log'!D:D,A17,'QA Log'!M:M,"Vignette",'QA Log'!Z:Z,"Approved",'QA Log'!L:L,"*Vignette [5] Labor*"),
    COUNTIFS('QA Log'!D:D,A17,'QA Log'!M:M,"Vignette",'QA Log'!Z:Z,"Approved",'QA Log'!L:L,"*Vignette [6] PNC pre Discharge*"),
    COUNTIFS('QA Log'!D:D,A17,'QA Log'!M:M,"Vignette",'QA Log'!Z:Z,"Approved",'QA Log'!L:L,"*Vignette [7] First ANC Visit*"),
    COUNTIFS('QA Log'!D:D,A17,'QA Log'!M:M,"Vignette",'QA Log'!Z:Z,"Approved",'QA Log'!L:L,"*Vignette [8] Birth Spacing/ Family Planning :  FP Counselling*"),
    COUNTIFS('QA Log'!D:D,A17,'QA Log'!M:M,"Vignette",'QA Log'!Z:Z,"Approved",'QA Log'!L:L,"*Vignette [9] Birth Spacing: Change FP method to Injectable*"),
    COUNTIFS('QA Log'!D:D,A17,'QA Log'!M:M,"Vignette",'QA Log'!Z:Z,"Approved",'QA Log'!L:L,"*Vignette [10] Post Partum Haemorrhage - Atonic Uterus at Health Centre*")
  )
)</f>
        <v>0</v>
      </c>
      <c r="BG17" s="105">
        <f ca="1">IF(A17&lt;&gt;"",COUNTIFS('QA Log'!D:D,A17,'QA Log'!M:M,"Vignette",'QA Log'!L:L,"Vignette [5] Labor",'QA Log'!Z:Z,"Approved"),"")</f>
        <v>0</v>
      </c>
      <c r="BH17" s="105">
        <f ca="1">IF(A17&lt;&gt;"",COUNTIFS('QA Log'!D:D,A17,'QA Log'!M:M,"Vignette",'QA Log'!L:L,"Vignette [6] PNC pre Discharge",'QA Log'!Z:Z,"Approved"),"")</f>
        <v>0</v>
      </c>
      <c r="BI17" s="105">
        <f ca="1">IF(A17&lt;&gt;"",COUNTIFS('QA Log'!D:D,A17,'QA Log'!M:M,"Vignette",'QA Log'!L:L,"Vignette [7] First ANC Visit",'QA Log'!Z:Z,"Approved"),"")</f>
        <v>0</v>
      </c>
      <c r="BJ17" s="105">
        <f ca="1">IF(A17&lt;&gt;"",COUNTIFS('QA Log'!D:D,A17,'QA Log'!M:M,"Vignette",'QA Log'!L:L,"Vignette [8] Birth Spacing/ Family Planning :  FP Counselling",'QA Log'!Z:Z,"Approved"),"")</f>
        <v>0</v>
      </c>
      <c r="BK17" s="105">
        <f ca="1">IF(A17&lt;&gt;"",COUNTIFS('QA Log'!D:D,A17,'QA Log'!M:M,"Vignette",'QA Log'!L:L,"Vignette [9] Birth Spacing: Change FP method to Injectable",'QA Log'!Z:Z,"Approved"),"")</f>
        <v>0</v>
      </c>
      <c r="BL17" s="105">
        <f ca="1">IF(A17&lt;&gt;"",COUNTIFS('QA Log'!D:D,A17,'QA Log'!M:M,"Vignette",'QA Log'!L:L,"Vignette [10] Post Partum Haemorrhage - Atonic Uterus at Health Centre",'QA Log'!Z:Z,"Approved"),"")</f>
        <v>0</v>
      </c>
      <c r="BM17" s="102">
        <f ca="1">IF(A17="","",SUM(
    COUNTIFS('QA Log'!D:D,A17,'QA Log'!M:M,"Vignette",'QA Log'!Z:Z,"Rejected",'QA Log'!L:L,"*Vignette [5] Labor*"),
    COUNTIFS('QA Log'!D:D,A17,'QA Log'!M:M,"Vignette",'QA Log'!Z:Z,"Rejected",'QA Log'!L:L,"*Vignette [6] PNC pre Discharge*"),
    COUNTIFS('QA Log'!D:D,A17,'QA Log'!M:M,"Vignette",'QA Log'!Z:Z,"Rejected",'QA Log'!L:L,"*Vignette [7] First ANC Visit*"),
    COUNTIFS('QA Log'!D:D,A17,'QA Log'!M:M,"Vignette",'QA Log'!Z:Z,"Rejected",'QA Log'!L:L,"*Vignette [8] Birth Spacing/ Family Planning :  FP Counselling*"),
    COUNTIFS('QA Log'!D:D,A17,'QA Log'!M:M,"Vignette",'QA Log'!Z:Z,"Rejected",'QA Log'!L:L,"*Vignette [9] Birth Spacing: Change FP method to Injectable*"),
    COUNTIFS('QA Log'!D:D,A17,'QA Log'!M:M,"Vignette",'QA Log'!Z:Z,"Rejected",'QA Log'!L:L,"*Vignette [10] Post Partum Haemorrhage - Atonic Uterus at Health Centre*")
  )
)</f>
        <v>0</v>
      </c>
      <c r="BN17" s="107">
        <f t="shared" ca="1" si="11"/>
        <v>2</v>
      </c>
      <c r="BO17" s="103">
        <f t="shared" ca="1" si="12"/>
        <v>2</v>
      </c>
      <c r="BP17" s="102">
        <f ca="1">IF(A17="","",SUM(
COUNTIFS('QA Log'!D:D,A17,'QA Log'!M:M,"Vignette",'QA Log'!L:L,"*Exit Interview 1*"),
COUNTIFS('QA Log'!D:D,A17,'QA Log'!M:M,"Vignette",'QA Log'!L:L,"*Exit Interview 2*"),
)
)</f>
        <v>2</v>
      </c>
      <c r="BQ17" s="102">
        <f ca="1">IF(
  A17="","",
  SUM(
    COUNTIFS('QA Log'!D:D,A17,'QA Log'!M:M,"Vignette",'QA Log'!Z:Z,"Approved",'QA Log'!L:L,"*Exit Interview 1*"),
    COUNTIFS('QA Log'!D:D,A17,'QA Log'!M:M,"Vignette",'QA Log'!Z:Z,"Approved",'QA Log'!L:L,"*Exit Interview 2*")
  )
)</f>
        <v>0</v>
      </c>
      <c r="BR17" s="105">
        <f ca="1">IF(A17&lt;&gt;"",COUNTIFS('QA Log'!D:D,A17,'QA Log'!M:M,"Vignette",'QA Log'!L:L,"Exit Interview 1",'QA Log'!Z:Z,"Approved"),"")</f>
        <v>0</v>
      </c>
      <c r="BS17" s="105">
        <f ca="1">IF(A17&lt;&gt;"",COUNTIFS('QA Log'!D:D,A17,'QA Log'!M:M,"Vignette",'QA Log'!L:L,"Exit Interview 2",'QA Log'!Z:Z,"Approved"),"")</f>
        <v>0</v>
      </c>
      <c r="BT17" s="102">
        <f ca="1">IF(
  A17="","",
  SUM(
    COUNTIFS('QA Log'!D:D,A17,'QA Log'!M:M,"Vignette",'QA Log'!Z:Z,"Rejected",'QA Log'!L:L,"*Exit Interview 1*"),
    COUNTIFS('QA Log'!D:D,A17,'QA Log'!M:M,"Vignette",'QA Log'!Z:Z,"Rejected",'QA Log'!L:L,"*Exit Interview 2*")
  )
)</f>
        <v>0</v>
      </c>
      <c r="BU17" s="107">
        <f t="shared" ca="1" si="13"/>
        <v>2</v>
      </c>
      <c r="BV17" s="102" t="e">
        <f t="shared" ca="1" si="14"/>
        <v>#NAME?</v>
      </c>
      <c r="BW17" s="102">
        <f t="shared" ca="1" si="15"/>
        <v>11</v>
      </c>
      <c r="BX17" s="102">
        <f t="shared" ca="1" si="16"/>
        <v>0</v>
      </c>
      <c r="BY17" s="102">
        <f t="shared" ca="1" si="17"/>
        <v>0</v>
      </c>
      <c r="BZ17" s="107" t="e">
        <f t="shared" ca="1" si="18"/>
        <v>#NAME?</v>
      </c>
      <c r="CA17" s="108" t="e">
        <f t="shared" ca="1" si="19"/>
        <v>#NAME?</v>
      </c>
      <c r="CB17" s="108" t="e">
        <f t="shared" ca="1" si="20"/>
        <v>#NAME?</v>
      </c>
      <c r="CC17" s="109" t="str">
        <f t="shared" ca="1" si="21"/>
        <v>Fully Received</v>
      </c>
      <c r="CD17" s="108" t="e">
        <f t="shared" ca="1" si="22"/>
        <v>#NAME?</v>
      </c>
      <c r="CE17" s="108" t="e">
        <f t="shared" ca="1" si="23"/>
        <v>#NAME?</v>
      </c>
      <c r="CF17" s="109" t="str">
        <f t="shared" ca="1" si="24"/>
        <v>Not Received</v>
      </c>
      <c r="CG17" s="110" t="e">
        <f t="shared" ca="1" si="25"/>
        <v>#NAME?</v>
      </c>
      <c r="CH17" s="111"/>
    </row>
    <row r="18" spans="1:86" ht="12.75">
      <c r="A18" s="101" t="str">
        <f ca="1">IFERROR(__xludf.DUMMYFUNCTION("""COMPUTED_VALUE"""),"HER-SAM-HF3792-Q2-2025-1227-01")</f>
        <v>HER-SAM-HF3792-Q2-2025-1227-01</v>
      </c>
      <c r="B18" s="102" t="e">
        <f t="array" aca="1" ref="B18" ca="1">_xludf.XLOOKUP(A18,'QA Log'!D:D,'QA Log'!E:E,"")</f>
        <v>#NAME?</v>
      </c>
      <c r="C18" s="102" t="e">
        <f t="array" aca="1" ref="C18" ca="1">_xludf.XLOOKUP(A18,'QA Log'!D:D,'QA Log'!F:F,"")</f>
        <v>#NAME?</v>
      </c>
      <c r="D18" s="102" t="e">
        <f t="array" aca="1" ref="D18" ca="1">_xludf.XLOOKUP(A18,'QA Log'!D:D,'QA Log'!H:H,"")</f>
        <v>#NAME?</v>
      </c>
      <c r="E18" s="102" t="e">
        <f t="array" aca="1" ref="E18" ca="1">_xludf.XLOOKUP(A18,'QA Log'!D:D,'QA Log'!G:G,"")</f>
        <v>#NAME?</v>
      </c>
      <c r="F18" s="103" t="s">
        <v>91</v>
      </c>
      <c r="G18" s="104">
        <v>45962</v>
      </c>
      <c r="H18" s="104">
        <v>45963</v>
      </c>
      <c r="I18" s="103" t="e">
        <f t="shared" ca="1" si="0"/>
        <v>#NAME?</v>
      </c>
      <c r="J18" s="102">
        <f ca="1">IF(A18="","",SUM(
COUNTIFS('QA Log'!D:D,A18,'QA Log'!M:M,"QQC",'QA Log'!L:L,"*1. General Management*"),
COUNTIFS('QA Log'!D:D,A18,'QA Log'!M:M,"QQC",'QA Log'!L:L,"*3. Curative Consultation (OPD)*"),
COUNTIFS('QA Log'!D:D,A18,'QA Log'!M:M,"QQC",'QA Log'!L:L,"*5. Laboratory*"),
COUNTIFS('QA Log'!D:D,A18,'QA Log'!M:M,"QQC",'QA Log'!L:L,"*6. Essential Medicine Management*"),
COUNTIFS('QA Log'!D:D,A18,'QA Log'!M:M,"QQC",'QA Log'!L:L,"*7. Tracer Medicine*"),
COUNTIFS('QA Log'!D:D,A18,'QA Log'!M:M,"QQC",'QA Log'!L:L,"*11. Additional Questions*")))</f>
        <v>0</v>
      </c>
      <c r="K18" s="102">
        <f ca="1">IF(A18="","",SUM(
COUNTIFS('QA Log'!D:D,A18,'QA Log'!M:M,"QQC",'QA Log'!Z:Z,"Approved",'QA Log'!L:L,"*1. General Management*"),
COUNTIFS('QA Log'!D:D,A18,'QA Log'!M:M,"QQC",'QA Log'!Z:Z,"Approved",'QA Log'!L:L,"*3. Curative Consultation (OPD)*"),
COUNTIFS('QA Log'!D:D,A18,'QA Log'!M:M,"QQC",'QA Log'!Z:Z,"Approved",'QA Log'!L:L,"*5. Laboratory*"),
COUNTIFS('QA Log'!D:D,A18,'QA Log'!M:M,"QQC",'QA Log'!Z:Z,"Approved",'QA Log'!L:L,"*6. Essential Medicine Management*"),
COUNTIFS('QA Log'!D:D,A18,'QA Log'!M:M,"QQC",'QA Log'!Z:Z,"Approved",'QA Log'!L:L,"*7. Tracer Medicine*"),
COUNTIFS('QA Log'!D:D,A18,'QA Log'!M:M,"QQC",'QA Log'!Z:Z,"Approved",'QA Log'!L:L,"*11. Additional Questions*")))</f>
        <v>0</v>
      </c>
      <c r="L18" s="105">
        <f ca="1">IF(A18&lt;&gt;"",COUNTIFS('QA Log'!D:D,A18,'QA Log'!M:M,"QQC",'QA Log'!L:L,"1. General Management",'QA Log'!Z:Z,"Approved"),"")</f>
        <v>0</v>
      </c>
      <c r="M18" s="105">
        <f ca="1">IF(A18&lt;&gt;"",COUNTIFS('QA Log'!D:D,A18,'QA Log'!M:M,"QQC",'QA Log'!L:L,"3. Curative Consultation (OPD)",'QA Log'!Z:Z,"Approved"),"")</f>
        <v>0</v>
      </c>
      <c r="N18" s="105">
        <f ca="1">IF(A18&lt;&gt;"",COUNTIFS('QA Log'!D:D,A18,'QA Log'!M:M,"QQC",'QA Log'!L:L,"5. Laboratory",'QA Log'!Z:Z,"Approved"),"")</f>
        <v>0</v>
      </c>
      <c r="O18" s="105">
        <f ca="1">IF(A18&lt;&gt;"",COUNTIFS('QA Log'!D:D,A18,'QA Log'!M:M,"QQC",'QA Log'!L:L,"6. Essential Medicine Management",'QA Log'!Z:Z,"Approved"),"")</f>
        <v>0</v>
      </c>
      <c r="P18" s="105">
        <f ca="1">IF(A18&lt;&gt;"",COUNTIFS('QA Log'!D:D,A18,'QA Log'!M:M,"QQC",'QA Log'!L:L,"7. Tracer Medicine",'QA Log'!Z:Z,"Approved"),"")</f>
        <v>0</v>
      </c>
      <c r="Q18" s="105">
        <f ca="1">IF(A18&lt;&gt;"",COUNTIFS('QA Log'!D:D,A18,'QA Log'!M:M,"QQC",'QA Log'!L:L,"11. Additional Questions",'QA Log'!Z:Z,"Approved"),"")</f>
        <v>0</v>
      </c>
      <c r="R18" s="102">
        <f ca="1">IF(A18="","",SUM(
COUNTIFS('QA Log'!D:D,A18,'QA Log'!M:M,"QQC",'QA Log'!Z:Z,"Rejected",'QA Log'!L:L,"*8. Maternity*"),
COUNTIFS('QA Log'!D:D,A18,'QA Log'!M:M,"QQC",'QA Log'!Z:Z,"Rejected",'QA Log'!L:L,"*EPI*"),
COUNTIFS('QA Log'!D:D,A18,'QA Log'!M:M,"QQC",'QA Log'!Z:Z,"Rejected",'QA Log'!L:L,"*10. Antenatal Care (ANC)*"),
COUNTIFS('QA Log'!D:D,A18,'QA Log'!M:M,"QQC",'QA Log'!Z:Z,"Rejected",'QA Log'!L:L,"*2. Hygiene and Sterilization*"),
COUNTIFS('QA Log'!D:D,A18,'QA Log'!M:M,"QQC",'QA Log'!Z:Z,"Rejected",'QA Log'!L:L,"*Family Planning*")))</f>
        <v>0</v>
      </c>
      <c r="S18" s="106" t="e">
        <f t="shared" ca="1" si="1"/>
        <v>#NAME?</v>
      </c>
      <c r="T18" s="102" t="e">
        <f t="shared" ca="1" si="2"/>
        <v>#NAME?</v>
      </c>
      <c r="U18" s="102">
        <f ca="1">IF(A18="","",
SUM(
COUNTIFS('QA Log'!D:D,A18,'QA Log'!M:M,"QQC",'QA Log'!L:L,"*8. Maternity*"),
COUNTIFS('QA Log'!D:D,A18,'QA Log'!M:M,"QQC",'QA Log'!L:L,"*9. EPI and Pre-school Consultation*"),
COUNTIFS('QA Log'!D:D,A18,'QA Log'!M:M,"QQC",'QA Log'!L:L,"*10. Antenatal Care (ANC)*"),
COUNTIFS('QA Log'!D:D,A18,'QA Log'!M:M,"QQC",'QA Log'!L:L,"*2. Hygiene and Sterilization*"),
COUNTIFS('QA Log'!D:D,A18,'QA Log'!M:M,"QQC",'QA Log'!L:L,"*4. Family Planning*")
))</f>
        <v>0</v>
      </c>
      <c r="V18" s="102">
        <f ca="1">IF(A18="","",
SUM(
COUNTIFS('QA Log'!D:D,A18,'QA Log'!M:M,"QQC",'QA Log'!Z:Z,"Approved",'QA Log'!L:L,"*8. Maternity*"),
COUNTIFS('QA Log'!D:D,A18,'QA Log'!M:M,"QQC",'QA Log'!Z:Z,"Approved",'QA Log'!L:L,"*9. EPI and Pre-school Consultation*"),
COUNTIFS('QA Log'!D:D,A18,'QA Log'!M:M,"QQC",'QA Log'!Z:Z,"Approved",'QA Log'!L:L,"*10. Antenatal Care (ANC)*"),
COUNTIFS('QA Log'!D:D,A18,'QA Log'!M:M,"QQC",'QA Log'!Z:Z,"Approved",'QA Log'!L:L,"*2. Hygiene and Sterilization*"),
COUNTIFS('QA Log'!D:D,A18,'QA Log'!M:M,"QQC",'QA Log'!Z:Z,"Approved",'QA Log'!L:L,"*4. Family Planning*")
))</f>
        <v>0</v>
      </c>
      <c r="W18" s="105">
        <f ca="1">IF(A18&lt;&gt;"",COUNTIFS('QA Log'!D:D,A18,'QA Log'!M:M,"QQC",'QA Log'!L:L,"8. Maternity",'QA Log'!Z:Z,"Approved"),"")</f>
        <v>0</v>
      </c>
      <c r="X18" s="105">
        <f ca="1">IF(A18&lt;&gt;"",COUNTIFS('QA Log'!D:D,A18,'QA Log'!M:M,"QQC",'QA Log'!L:L,"9. EPI and Pre-school Consultation",'QA Log'!Z:Z,"Approved"),"")</f>
        <v>0</v>
      </c>
      <c r="Y18" s="105">
        <f ca="1">IF(A18&lt;&gt;"",COUNTIFS('QA Log'!D:D,A18,'QA Log'!M:M,"QQC",'QA Log'!L:L,"10. Antenatal Care (ANC)",'QA Log'!Z:Z,"Approved"),"")</f>
        <v>0</v>
      </c>
      <c r="Z18" s="105">
        <f ca="1">IF(A18&lt;&gt;"",COUNTIFS('QA Log'!D:D,A18,'QA Log'!M:M,"QQC",'QA Log'!L:L,"2. Hygiene and Sterilization",'QA Log'!Z:Z,"Approved"),"")</f>
        <v>0</v>
      </c>
      <c r="AA18" s="105">
        <f ca="1">IF(A18&lt;&gt;"",COUNTIFS('QA Log'!D:D,A18,'QA Log'!M:M,"QQC",'QA Log'!L:L,"4. Family Planning",'QA Log'!Z:Z,"Approved"),"")</f>
        <v>0</v>
      </c>
      <c r="AB18" s="102">
        <f ca="1">IF(A18="","",
SUM(
COUNTIFS('QA Log'!D:D,A18,'QA Log'!M:M,"QQC",'QA Log'!Z:Z,"Rejected",'QA Log'!L:L,"*8. Maternity*"),
COUNTIFS('QA Log'!D:D,A18,'QA Log'!M:M,"QQC",'QA Log'!Z:Z,"Rejected",'QA Log'!L:L,"*9. EPI and Pre-school Consultation*"),
COUNTIFS('QA Log'!D:D,A18,'QA Log'!M:M,"QQC",'QA Log'!Z:Z,"Rejected",'QA Log'!L:L,"*10. Antenatal Care (ANC)*"),
COUNTIFS('QA Log'!D:D,A18,'QA Log'!M:M,"QQC",'QA Log'!Z:Z,"Rejected",'QA Log'!L:L,"*2. Hygiene and Sterilization*"),
COUNTIFS('QA Log'!D:D,A18,'QA Log'!M:M,"QQC",'QA Log'!Z:Z,"Rejected",'QA Log'!L:L,"*4. Family Planning*")
))</f>
        <v>0</v>
      </c>
      <c r="AC18" s="102" t="e">
        <f t="shared" ca="1" si="3"/>
        <v>#NAME?</v>
      </c>
      <c r="AD18" s="103" t="e">
        <f t="shared" ca="1" si="4"/>
        <v>#NAME?</v>
      </c>
      <c r="AE18" s="102">
        <f ca="1">IF(A18="","",
SUM(
COUNTIFS('QA Log'!D:D,A18,'QA Log'!M:M,"Data Verification",'QA Log'!L:L,"*Medicine (section 2)*"),
COUNTIFS('QA Log'!D:D,A18,'QA Log'!M:M,"Data Verification",'QA Log'!L:L,"*Lab Testing Availability*"),
COUNTIFS('QA Log'!D:D,A18,'QA Log'!M:M,"Data Verification",'QA Log'!L:L,"*Other than P4P (section 6)*"),
COUNTIFS('QA Log'!D:D,A18,'QA Log'!M:M,"Data Verification",'QA Log'!L:L,"*Hospital Governance*")
))</f>
        <v>0</v>
      </c>
      <c r="AF18" s="102">
        <f ca="1">IF(A18="","",
SUM(
COUNTIFS('QA Log'!D:D,A18,'QA Log'!M:M,"Data Verification",'QA Log'!Z:Z,"Approved",'QA Log'!L:L,"*Medicine (section 2)*"),
COUNTIFS('QA Log'!D:D,A18,'QA Log'!M:M,"Data Verification",'QA Log'!Z:Z,"Approved",'QA Log'!L:L,"*Lab Testing Availability*"),
COUNTIFS('QA Log'!D:D,A18,'QA Log'!M:M,"Data Verification",'QA Log'!Z:Z,"Approved",'QA Log'!L:L,"*Other than P4P (section 6)*"),
COUNTIFS('QA Log'!D:D,A18,'QA Log'!M:M,"Data Verification",'QA Log'!Z:Z,"Approved",'QA Log'!L:L,"*Hospital Governance*")
))</f>
        <v>0</v>
      </c>
      <c r="AG18" s="105">
        <f ca="1">IF(A18&lt;&gt;"",COUNTIFS('QA Log'!D:D,A18,'QA Log'!M:M,"Data Verification",'QA Log'!L:L,"Medicine (section 2)",'QA Log'!Z:Z,"Approved"),"")</f>
        <v>0</v>
      </c>
      <c r="AH18" s="105">
        <f ca="1">IF(A18&lt;&gt;"",COUNTIFS('QA Log'!D:D,A18,'QA Log'!M:M,"Data Verification",'QA Log'!L:L,"Lab Testing Availability",'QA Log'!Z:Z,"Approved"),"")</f>
        <v>0</v>
      </c>
      <c r="AI18" s="105">
        <f ca="1">IF(A18&lt;&gt;"",COUNTIFS('QA Log'!D:D,A18,'QA Log'!M:M,"Data Verification",'QA Log'!L:L,"Other than P4P (section 6)",'QA Log'!Z:Z,"Approved"),"")</f>
        <v>0</v>
      </c>
      <c r="AJ18" s="105">
        <f ca="1">IF(A18&lt;&gt;"",COUNTIFS('QA Log'!D:D,A18,'QA Log'!M:M,"Data Verification",'QA Log'!L:L,"Hospital Governance",'QA Log'!Z:Z,"Approved"),"")</f>
        <v>0</v>
      </c>
      <c r="AK18" s="102">
        <f ca="1">IF(A18="","",
SUM(
COUNTIFS('QA Log'!D:D,A18,'QA Log'!M:M,"Data Verification",'QA Log'!Z:Z,"Rejected",'QA Log'!L:L,"*Medicine (section 2)*"),
COUNTIFS('QA Log'!D:D,A18,'QA Log'!M:M,"Data Verification",'QA Log'!Z:Z,"Rejected",'QA Log'!L:L,"*Lab Testing Availability*"),
COUNTIFS('QA Log'!D:D,A18,'QA Log'!M:M,"Data Verification",'QA Log'!Z:Z,"Rejected",'QA Log'!L:L,"*Other than P4P (section 6)*"),
COUNTIFS('QA Log'!D:D,A18,'QA Log'!M:M,"Data Verification",'QA Log'!Z:Z,"Rejected",'QA Log'!L:L,"*Hospital Governance*")
))</f>
        <v>0</v>
      </c>
      <c r="AL18" s="106" t="e">
        <f t="shared" ca="1" si="5"/>
        <v>#NAME?</v>
      </c>
      <c r="AM18" s="102" t="e">
        <f t="shared" ca="1" si="6"/>
        <v>#NAME?</v>
      </c>
      <c r="AN18" s="102">
        <f ca="1">IF(A18="","",
SUM(
COUNTIFS('QA Log'!D:D,A18,'QA Log'!M:M,"Data Verification",'QA Log'!L:L,"*Personnel (section 1)*"),
COUNTIFS('QA Log'!D:D,A18,'QA Log'!M:M,"Data Verification",'QA Log'!L:L,"*Consumable (section 3)*"),
COUNTIFS('QA Log'!D:D,A18,'QA Log'!M:M,"Data Verification",'QA Log'!L:L,"*Equipments (section 4)*")
))</f>
        <v>2</v>
      </c>
      <c r="AO18" s="102">
        <f ca="1">IF(A18="","",
SUM(
COUNTIFS('QA Log'!D:D,A18,'QA Log'!M:M,"Data Verification",'QA Log'!Z:Z,"Approved",'QA Log'!L:L,"*Personnel (section 1)*"),
COUNTIFS('QA Log'!D:D,A18,'QA Log'!M:M,"Data Verification",'QA Log'!Z:Z,"Approved",'QA Log'!L:L,"*Consumable (section 3)*"),
COUNTIFS('QA Log'!D:D,A18,'QA Log'!M:M,"Data Verification",'QA Log'!Z:Z,"Approved",'QA Log'!L:L,"*Equipments (section 4)*")
))</f>
        <v>1</v>
      </c>
      <c r="AP18" s="105">
        <f ca="1">IF(A18&lt;&gt;"",COUNTIFS('QA Log'!D:D,A18,'QA Log'!M:M,"Data Verification",'QA Log'!L:L,"Personnel (section 1)",'QA Log'!Z:Z,"Approved"),"")</f>
        <v>0</v>
      </c>
      <c r="AQ18" s="105">
        <f ca="1">IF(A18&lt;&gt;"",COUNTIFS('QA Log'!D:D,A18,'QA Log'!M:M,"Data Verification",'QA Log'!L:L,"Consumable (section 3)",'QA Log'!Z:Z,"Approved"),"")</f>
        <v>1</v>
      </c>
      <c r="AR18" s="105">
        <f ca="1">IF(A18&lt;&gt;"",COUNTIFS('QA Log'!D:D,A18,'QA Log'!M:M,"Data Verification",'QA Log'!L:L,"Equipments (section 4)",'QA Log'!Z:Z,"Approved"),"")</f>
        <v>0</v>
      </c>
      <c r="AS18" s="102">
        <f ca="1">IF(A18="","",
SUM(
COUNTIFS('QA Log'!D:D,A18,'QA Log'!M:M,"Data Verification",'QA Log'!Z:Z,"Rejected",'QA Log'!L:L,"*Personnel (section 1)*"),
COUNTIFS('QA Log'!D:D,A18,'QA Log'!M:M,"Data Verification",'QA Log'!Z:Z,"Rejected",'QA Log'!L:L,"*Consumable (section 3)*"),
COUNTIFS('QA Log'!D:D,A18,'QA Log'!M:M,"Data Verification",'QA Log'!Z:Z,"Rejected",'QA Log'!L:L,"*Equipments (section 4)*")
))</f>
        <v>0</v>
      </c>
      <c r="AT18" s="102" t="e">
        <f t="shared" ca="1" si="7"/>
        <v>#NAME?</v>
      </c>
      <c r="AU18" s="103">
        <f t="shared" ca="1" si="8"/>
        <v>2</v>
      </c>
      <c r="AV18" s="102">
        <f ca="1">IF(A18="","",SUM(
COUNTIFS('QA Log'!D:D,A18,'QA Log'!M:M,"Vignette",'QA Log'!L:L,"*Vignette [1] Respiratory Infection: Pneumonia*"),
COUNTIFS('QA Log'!D:D,A18,'QA Log'!M:M,"Vignette",'QA Log'!L:L,"*Vignette [2]: Diarrhea with Cat B dehydration*"),
COUNTIFS('QA Log'!D:D,A18,'QA Log'!M:M,"Vignette",'QA Log'!L:L,"*Vignette [3] Growth Monitoring and Promotion*"),
COUNTIFS('QA Log'!D:D,A18,'QA Log'!M:M,"Vignette",'QA Log'!L:L,"*Vignette [4]: The management of presumptive TB patient*")
)
)</f>
        <v>0</v>
      </c>
      <c r="AW18" s="102">
        <f ca="1">IF(
  A18="","",
  SUM(
    COUNTIFS('QA Log'!D:D,A18,'QA Log'!M:M,"Vignette",'QA Log'!Z:Z,"Approved",'QA Log'!L:L,"*Vignette [1] Respiratory Infection: Pneumonia*"),
    COUNTIFS('QA Log'!D:D,A18,'QA Log'!M:M,"Vignette",'QA Log'!Z:Z,"Approved",'QA Log'!L:L,"*Vignette [2]: Diarrhea with Cat B dehydration*"),
    COUNTIFS('QA Log'!D:D,A18,'QA Log'!M:M,"Vignette",'QA Log'!Z:Z,"Approved",'QA Log'!L:L,"*Vignette [3] Growth Monitoring and Promotion*"),
    COUNTIFS('QA Log'!D:D,A18,'QA Log'!M:M,"Vignette",'QA Log'!Z:Z,"Approved",'QA Log'!L:L,"*Vignette [4]: The management of presumptive TB patient*")
  )
)</f>
        <v>0</v>
      </c>
      <c r="AX18" s="105">
        <f ca="1">IF(A18&lt;&gt;"",COUNTIFS('QA Log'!D:D,A18,'QA Log'!M:M,"Vignette",'QA Log'!L:L,"Vignette [1] Respiratory Infection: Pneumonia",'QA Log'!Z:Z,"Approved"),"")</f>
        <v>0</v>
      </c>
      <c r="AY18" s="105">
        <f ca="1">IF(A18&lt;&gt;"",COUNTIFS('QA Log'!D:D,A18,'QA Log'!M:M,"Vignette",'QA Log'!L:L,"Vignette [2]: Diarrhea with Cat B dehydration",'QA Log'!Z:Z,"Approved"),"")</f>
        <v>0</v>
      </c>
      <c r="AZ18" s="105">
        <f ca="1">IF(A18&lt;&gt;"",COUNTIFS('QA Log'!D:D,A18,'QA Log'!M:M,"Vignette",'QA Log'!L:L,"Vignette [3] Growth Monitoring and Promotion",'QA Log'!Z:Z,"Approved"),"")</f>
        <v>0</v>
      </c>
      <c r="BA18" s="105">
        <f ca="1">IF(A18&lt;&gt;"",COUNTIFS('QA Log'!D:D,A18,'QA Log'!M:M,"Vignette",'QA Log'!L:L,"Vignette [4]: The management of presumptive TB patient",'QA Log'!Z:Z,"Approved"),"")</f>
        <v>0</v>
      </c>
      <c r="BB18" s="102">
        <f ca="1">IF(A18="","",
  SUM(
    COUNTIFS('QA Log'!D:D,A18,'QA Log'!M:M,"Vignette",'QA Log'!Z:Z,"Rejected",'QA Log'!L:L,"*Vignette [1] Respiratory Infection: Pneumonia*"),
    COUNTIFS('QA Log'!D:D,A18,'QA Log'!M:M,"Vignette",'QA Log'!Z:Z,"Rejected",'QA Log'!L:L,"*Vignette [2]: Diarrhea with Cat B dehydration*"),
    COUNTIFS('QA Log'!D:D,A18,'QA Log'!M:M,"Vignette",'QA Log'!Z:Z,"Rejected",'QA Log'!L:L,"*Vignette [3] Growth Monitoring and Promotion*"),
    COUNTIFS('QA Log'!D:D,A18,'QA Log'!M:M,"Vignette",'QA Log'!Z:Z,"Rejected",'QA Log'!L:L,"*Vignette [4]: The management of presumptive TB patient*")
  )
)</f>
        <v>0</v>
      </c>
      <c r="BC18" s="107">
        <f t="shared" ca="1" si="9"/>
        <v>2</v>
      </c>
      <c r="BD18" s="103">
        <f t="shared" ca="1" si="10"/>
        <v>2</v>
      </c>
      <c r="BE18" s="102">
        <f ca="1">IF(A18="","",SUM(
COUNTIFS('QA Log'!D:D,A18,'QA Log'!M:M,"Vignette",'QA Log'!L:L,"*Vignette [5] Labor*"),
COUNTIFS('QA Log'!D:D,A18,'QA Log'!M:M,"Vignette",'QA Log'!L:L,"*Vignette [6] PNC pre Discharge*"),
COUNTIFS('QA Log'!D:D,A18,'QA Log'!M:M,"Vignette",'QA Log'!L:L,"*Vignette [7] First ANC Visit*"),
COUNTIFS('QA Log'!D:D,A18,'QA Log'!M:M,"Vignette",'QA Log'!L:L,"*Vignette [8] Birth Spacing/ Family Planning :  FP Counselling*"),
COUNTIFS('QA Log'!D:D,A18,'QA Log'!M:M,"Vignette",'QA Log'!L:L,"*Vignette [9] Birth Spacing: Change FP method to Injectable*"),
COUNTIFS('QA Log'!D:D,A18,'QA Log'!M:M,"Vignette",'QA Log'!L:L,"*Vignette [10] Post Partum Haemorrhage - Atonic Uterus at Health Centre*"),
)
)</f>
        <v>2</v>
      </c>
      <c r="BF18" s="102">
        <f ca="1">IF(A18="","",
  SUM(
    COUNTIFS('QA Log'!D:D,A18,'QA Log'!M:M,"Vignette",'QA Log'!Z:Z,"Approved",'QA Log'!L:L,"*Vignette [5] Labor*"),
    COUNTIFS('QA Log'!D:D,A18,'QA Log'!M:M,"Vignette",'QA Log'!Z:Z,"Approved",'QA Log'!L:L,"*Vignette [6] PNC pre Discharge*"),
    COUNTIFS('QA Log'!D:D,A18,'QA Log'!M:M,"Vignette",'QA Log'!Z:Z,"Approved",'QA Log'!L:L,"*Vignette [7] First ANC Visit*"),
    COUNTIFS('QA Log'!D:D,A18,'QA Log'!M:M,"Vignette",'QA Log'!Z:Z,"Approved",'QA Log'!L:L,"*Vignette [8] Birth Spacing/ Family Planning :  FP Counselling*"),
    COUNTIFS('QA Log'!D:D,A18,'QA Log'!M:M,"Vignette",'QA Log'!Z:Z,"Approved",'QA Log'!L:L,"*Vignette [9] Birth Spacing: Change FP method to Injectable*"),
    COUNTIFS('QA Log'!D:D,A18,'QA Log'!M:M,"Vignette",'QA Log'!Z:Z,"Approved",'QA Log'!L:L,"*Vignette [10] Post Partum Haemorrhage - Atonic Uterus at Health Centre*")
  )
)</f>
        <v>0</v>
      </c>
      <c r="BG18" s="105">
        <f ca="1">IF(A18&lt;&gt;"",COUNTIFS('QA Log'!D:D,A18,'QA Log'!M:M,"Vignette",'QA Log'!L:L,"Vignette [5] Labor",'QA Log'!Z:Z,"Approved"),"")</f>
        <v>0</v>
      </c>
      <c r="BH18" s="105">
        <f ca="1">IF(A18&lt;&gt;"",COUNTIFS('QA Log'!D:D,A18,'QA Log'!M:M,"Vignette",'QA Log'!L:L,"Vignette [6] PNC pre Discharge",'QA Log'!Z:Z,"Approved"),"")</f>
        <v>0</v>
      </c>
      <c r="BI18" s="105">
        <f ca="1">IF(A18&lt;&gt;"",COUNTIFS('QA Log'!D:D,A18,'QA Log'!M:M,"Vignette",'QA Log'!L:L,"Vignette [7] First ANC Visit",'QA Log'!Z:Z,"Approved"),"")</f>
        <v>0</v>
      </c>
      <c r="BJ18" s="105">
        <f ca="1">IF(A18&lt;&gt;"",COUNTIFS('QA Log'!D:D,A18,'QA Log'!M:M,"Vignette",'QA Log'!L:L,"Vignette [8] Birth Spacing/ Family Planning :  FP Counselling",'QA Log'!Z:Z,"Approved"),"")</f>
        <v>0</v>
      </c>
      <c r="BK18" s="105">
        <f ca="1">IF(A18&lt;&gt;"",COUNTIFS('QA Log'!D:D,A18,'QA Log'!M:M,"Vignette",'QA Log'!L:L,"Vignette [9] Birth Spacing: Change FP method to Injectable",'QA Log'!Z:Z,"Approved"),"")</f>
        <v>0</v>
      </c>
      <c r="BL18" s="105">
        <f ca="1">IF(A18&lt;&gt;"",COUNTIFS('QA Log'!D:D,A18,'QA Log'!M:M,"Vignette",'QA Log'!L:L,"Vignette [10] Post Partum Haemorrhage - Atonic Uterus at Health Centre",'QA Log'!Z:Z,"Approved"),"")</f>
        <v>0</v>
      </c>
      <c r="BM18" s="102">
        <f ca="1">IF(A18="","",SUM(
    COUNTIFS('QA Log'!D:D,A18,'QA Log'!M:M,"Vignette",'QA Log'!Z:Z,"Rejected",'QA Log'!L:L,"*Vignette [5] Labor*"),
    COUNTIFS('QA Log'!D:D,A18,'QA Log'!M:M,"Vignette",'QA Log'!Z:Z,"Rejected",'QA Log'!L:L,"*Vignette [6] PNC pre Discharge*"),
    COUNTIFS('QA Log'!D:D,A18,'QA Log'!M:M,"Vignette",'QA Log'!Z:Z,"Rejected",'QA Log'!L:L,"*Vignette [7] First ANC Visit*"),
    COUNTIFS('QA Log'!D:D,A18,'QA Log'!M:M,"Vignette",'QA Log'!Z:Z,"Rejected",'QA Log'!L:L,"*Vignette [8] Birth Spacing/ Family Planning :  FP Counselling*"),
    COUNTIFS('QA Log'!D:D,A18,'QA Log'!M:M,"Vignette",'QA Log'!Z:Z,"Rejected",'QA Log'!L:L,"*Vignette [9] Birth Spacing: Change FP method to Injectable*"),
    COUNTIFS('QA Log'!D:D,A18,'QA Log'!M:M,"Vignette",'QA Log'!Z:Z,"Rejected",'QA Log'!L:L,"*Vignette [10] Post Partum Haemorrhage - Atonic Uterus at Health Centre*")
  )
)</f>
        <v>0</v>
      </c>
      <c r="BN18" s="107">
        <f t="shared" ca="1" si="11"/>
        <v>2</v>
      </c>
      <c r="BO18" s="103">
        <f t="shared" ca="1" si="12"/>
        <v>2</v>
      </c>
      <c r="BP18" s="102">
        <f ca="1">IF(A18="","",SUM(
COUNTIFS('QA Log'!D:D,A18,'QA Log'!M:M,"Vignette",'QA Log'!L:L,"*Exit Interview 1*"),
COUNTIFS('QA Log'!D:D,A18,'QA Log'!M:M,"Vignette",'QA Log'!L:L,"*Exit Interview 2*"),
)
)</f>
        <v>1</v>
      </c>
      <c r="BQ18" s="102">
        <f ca="1">IF(
  A18="","",
  SUM(
    COUNTIFS('QA Log'!D:D,A18,'QA Log'!M:M,"Vignette",'QA Log'!Z:Z,"Approved",'QA Log'!L:L,"*Exit Interview 1*"),
    COUNTIFS('QA Log'!D:D,A18,'QA Log'!M:M,"Vignette",'QA Log'!Z:Z,"Approved",'QA Log'!L:L,"*Exit Interview 2*")
  )
)</f>
        <v>0</v>
      </c>
      <c r="BR18" s="105">
        <f ca="1">IF(A18&lt;&gt;"",COUNTIFS('QA Log'!D:D,A18,'QA Log'!M:M,"Vignette",'QA Log'!L:L,"Exit Interview 1",'QA Log'!Z:Z,"Approved"),"")</f>
        <v>0</v>
      </c>
      <c r="BS18" s="105">
        <f ca="1">IF(A18&lt;&gt;"",COUNTIFS('QA Log'!D:D,A18,'QA Log'!M:M,"Vignette",'QA Log'!L:L,"Exit Interview 2",'QA Log'!Z:Z,"Approved"),"")</f>
        <v>0</v>
      </c>
      <c r="BT18" s="102">
        <f ca="1">IF(
  A18="","",
  SUM(
    COUNTIFS('QA Log'!D:D,A18,'QA Log'!M:M,"Vignette",'QA Log'!Z:Z,"Rejected",'QA Log'!L:L,"*Exit Interview 1*"),
    COUNTIFS('QA Log'!D:D,A18,'QA Log'!M:M,"Vignette",'QA Log'!Z:Z,"Rejected",'QA Log'!L:L,"*Exit Interview 2*")
  )
)</f>
        <v>0</v>
      </c>
      <c r="BU18" s="107">
        <f t="shared" ca="1" si="13"/>
        <v>2</v>
      </c>
      <c r="BV18" s="102" t="e">
        <f t="shared" ca="1" si="14"/>
        <v>#NAME?</v>
      </c>
      <c r="BW18" s="102">
        <f t="shared" ca="1" si="15"/>
        <v>5</v>
      </c>
      <c r="BX18" s="102">
        <f t="shared" ca="1" si="16"/>
        <v>1</v>
      </c>
      <c r="BY18" s="102">
        <f t="shared" ca="1" si="17"/>
        <v>0</v>
      </c>
      <c r="BZ18" s="107" t="e">
        <f t="shared" ca="1" si="18"/>
        <v>#NAME?</v>
      </c>
      <c r="CA18" s="108" t="e">
        <f t="shared" ca="1" si="19"/>
        <v>#NAME?</v>
      </c>
      <c r="CB18" s="108" t="e">
        <f t="shared" ca="1" si="20"/>
        <v>#NAME?</v>
      </c>
      <c r="CC18" s="109" t="str">
        <f t="shared" ca="1" si="21"/>
        <v>Not Received</v>
      </c>
      <c r="CD18" s="108" t="e">
        <f t="shared" ca="1" si="22"/>
        <v>#NAME?</v>
      </c>
      <c r="CE18" s="108" t="e">
        <f t="shared" ca="1" si="23"/>
        <v>#NAME?</v>
      </c>
      <c r="CF18" s="109" t="str">
        <f t="shared" ca="1" si="24"/>
        <v>Not Received</v>
      </c>
      <c r="CG18" s="110" t="e">
        <f t="shared" ca="1" si="25"/>
        <v>#NAME?</v>
      </c>
      <c r="CH18" s="111"/>
    </row>
    <row r="19" spans="1:86" ht="12.75">
      <c r="A19" s="101" t="str">
        <f ca="1">IFERROR(__xludf.DUMMYFUNCTION("""COMPUTED_VALUE"""),"HER-LGR-HF3807-Q2-2025-1167-01")</f>
        <v>HER-LGR-HF3807-Q2-2025-1167-01</v>
      </c>
      <c r="B19" s="102" t="e">
        <f t="array" aca="1" ref="B19" ca="1">_xludf.XLOOKUP(A19,'QA Log'!D:D,'QA Log'!E:E,"")</f>
        <v>#NAME?</v>
      </c>
      <c r="C19" s="102" t="e">
        <f t="array" aca="1" ref="C19" ca="1">_xludf.XLOOKUP(A19,'QA Log'!D:D,'QA Log'!F:F,"")</f>
        <v>#NAME?</v>
      </c>
      <c r="D19" s="102" t="e">
        <f t="array" aca="1" ref="D19" ca="1">_xludf.XLOOKUP(A19,'QA Log'!D:D,'QA Log'!H:H,"")</f>
        <v>#NAME?</v>
      </c>
      <c r="E19" s="102" t="e">
        <f t="array" aca="1" ref="E19" ca="1">_xludf.XLOOKUP(A19,'QA Log'!D:D,'QA Log'!G:G,"")</f>
        <v>#NAME?</v>
      </c>
      <c r="F19" s="103" t="s">
        <v>91</v>
      </c>
      <c r="G19" s="104">
        <v>45962</v>
      </c>
      <c r="H19" s="104">
        <v>45963</v>
      </c>
      <c r="I19" s="103" t="e">
        <f t="shared" ca="1" si="0"/>
        <v>#NAME?</v>
      </c>
      <c r="J19" s="102">
        <f ca="1">IF(A19="","",SUM(
COUNTIFS('QA Log'!D:D,A19,'QA Log'!M:M,"QQC",'QA Log'!L:L,"*1. General Management*"),
COUNTIFS('QA Log'!D:D,A19,'QA Log'!M:M,"QQC",'QA Log'!L:L,"*3. Curative Consultation (OPD)*"),
COUNTIFS('QA Log'!D:D,A19,'QA Log'!M:M,"QQC",'QA Log'!L:L,"*5. Laboratory*"),
COUNTIFS('QA Log'!D:D,A19,'QA Log'!M:M,"QQC",'QA Log'!L:L,"*6. Essential Medicine Management*"),
COUNTIFS('QA Log'!D:D,A19,'QA Log'!M:M,"QQC",'QA Log'!L:L,"*7. Tracer Medicine*"),
COUNTIFS('QA Log'!D:D,A19,'QA Log'!M:M,"QQC",'QA Log'!L:L,"*11. Additional Questions*")))</f>
        <v>4</v>
      </c>
      <c r="K19" s="102">
        <f ca="1">IF(A19="","",SUM(
COUNTIFS('QA Log'!D:D,A19,'QA Log'!M:M,"QQC",'QA Log'!Z:Z,"Approved",'QA Log'!L:L,"*1. General Management*"),
COUNTIFS('QA Log'!D:D,A19,'QA Log'!M:M,"QQC",'QA Log'!Z:Z,"Approved",'QA Log'!L:L,"*3. Curative Consultation (OPD)*"),
COUNTIFS('QA Log'!D:D,A19,'QA Log'!M:M,"QQC",'QA Log'!Z:Z,"Approved",'QA Log'!L:L,"*5. Laboratory*"),
COUNTIFS('QA Log'!D:D,A19,'QA Log'!M:M,"QQC",'QA Log'!Z:Z,"Approved",'QA Log'!L:L,"*6. Essential Medicine Management*"),
COUNTIFS('QA Log'!D:D,A19,'QA Log'!M:M,"QQC",'QA Log'!Z:Z,"Approved",'QA Log'!L:L,"*7. Tracer Medicine*"),
COUNTIFS('QA Log'!D:D,A19,'QA Log'!M:M,"QQC",'QA Log'!Z:Z,"Approved",'QA Log'!L:L,"*11. Additional Questions*")))</f>
        <v>0</v>
      </c>
      <c r="L19" s="105">
        <f ca="1">IF(A19&lt;&gt;"",COUNTIFS('QA Log'!D:D,A19,'QA Log'!M:M,"QQC",'QA Log'!L:L,"1. General Management",'QA Log'!Z:Z,"Approved"),"")</f>
        <v>0</v>
      </c>
      <c r="M19" s="105">
        <f ca="1">IF(A19&lt;&gt;"",COUNTIFS('QA Log'!D:D,A19,'QA Log'!M:M,"QQC",'QA Log'!L:L,"3. Curative Consultation (OPD)",'QA Log'!Z:Z,"Approved"),"")</f>
        <v>0</v>
      </c>
      <c r="N19" s="105">
        <f ca="1">IF(A19&lt;&gt;"",COUNTIFS('QA Log'!D:D,A19,'QA Log'!M:M,"QQC",'QA Log'!L:L,"5. Laboratory",'QA Log'!Z:Z,"Approved"),"")</f>
        <v>0</v>
      </c>
      <c r="O19" s="105">
        <f ca="1">IF(A19&lt;&gt;"",COUNTIFS('QA Log'!D:D,A19,'QA Log'!M:M,"QQC",'QA Log'!L:L,"6. Essential Medicine Management",'QA Log'!Z:Z,"Approved"),"")</f>
        <v>0</v>
      </c>
      <c r="P19" s="105">
        <f ca="1">IF(A19&lt;&gt;"",COUNTIFS('QA Log'!D:D,A19,'QA Log'!M:M,"QQC",'QA Log'!L:L,"7. Tracer Medicine",'QA Log'!Z:Z,"Approved"),"")</f>
        <v>0</v>
      </c>
      <c r="Q19" s="105">
        <f ca="1">IF(A19&lt;&gt;"",COUNTIFS('QA Log'!D:D,A19,'QA Log'!M:M,"QQC",'QA Log'!L:L,"11. Additional Questions",'QA Log'!Z:Z,"Approved"),"")</f>
        <v>0</v>
      </c>
      <c r="R19" s="102">
        <f ca="1">IF(A19="","",SUM(
COUNTIFS('QA Log'!D:D,A19,'QA Log'!M:M,"QQC",'QA Log'!Z:Z,"Rejected",'QA Log'!L:L,"*8. Maternity*"),
COUNTIFS('QA Log'!D:D,A19,'QA Log'!M:M,"QQC",'QA Log'!Z:Z,"Rejected",'QA Log'!L:L,"*EPI*"),
COUNTIFS('QA Log'!D:D,A19,'QA Log'!M:M,"QQC",'QA Log'!Z:Z,"Rejected",'QA Log'!L:L,"*10. Antenatal Care (ANC)*"),
COUNTIFS('QA Log'!D:D,A19,'QA Log'!M:M,"QQC",'QA Log'!Z:Z,"Rejected",'QA Log'!L:L,"*2. Hygiene and Sterilization*"),
COUNTIFS('QA Log'!D:D,A19,'QA Log'!M:M,"QQC",'QA Log'!Z:Z,"Rejected",'QA Log'!L:L,"*Family Planning*")))</f>
        <v>0</v>
      </c>
      <c r="S19" s="106" t="e">
        <f t="shared" ca="1" si="1"/>
        <v>#NAME?</v>
      </c>
      <c r="T19" s="102" t="e">
        <f t="shared" ca="1" si="2"/>
        <v>#NAME?</v>
      </c>
      <c r="U19" s="102">
        <f ca="1">IF(A19="","",
SUM(
COUNTIFS('QA Log'!D:D,A19,'QA Log'!M:M,"QQC",'QA Log'!L:L,"*8. Maternity*"),
COUNTIFS('QA Log'!D:D,A19,'QA Log'!M:M,"QQC",'QA Log'!L:L,"*9. EPI and Pre-school Consultation*"),
COUNTIFS('QA Log'!D:D,A19,'QA Log'!M:M,"QQC",'QA Log'!L:L,"*10. Antenatal Care (ANC)*"),
COUNTIFS('QA Log'!D:D,A19,'QA Log'!M:M,"QQC",'QA Log'!L:L,"*2. Hygiene and Sterilization*"),
COUNTIFS('QA Log'!D:D,A19,'QA Log'!M:M,"QQC",'QA Log'!L:L,"*4. Family Planning*")
))</f>
        <v>5</v>
      </c>
      <c r="V19" s="102">
        <f ca="1">IF(A19="","",
SUM(
COUNTIFS('QA Log'!D:D,A19,'QA Log'!M:M,"QQC",'QA Log'!Z:Z,"Approved",'QA Log'!L:L,"*8. Maternity*"),
COUNTIFS('QA Log'!D:D,A19,'QA Log'!M:M,"QQC",'QA Log'!Z:Z,"Approved",'QA Log'!L:L,"*9. EPI and Pre-school Consultation*"),
COUNTIFS('QA Log'!D:D,A19,'QA Log'!M:M,"QQC",'QA Log'!Z:Z,"Approved",'QA Log'!L:L,"*10. Antenatal Care (ANC)*"),
COUNTIFS('QA Log'!D:D,A19,'QA Log'!M:M,"QQC",'QA Log'!Z:Z,"Approved",'QA Log'!L:L,"*2. Hygiene and Sterilization*"),
COUNTIFS('QA Log'!D:D,A19,'QA Log'!M:M,"QQC",'QA Log'!Z:Z,"Approved",'QA Log'!L:L,"*4. Family Planning*")
))</f>
        <v>5</v>
      </c>
      <c r="W19" s="105">
        <f ca="1">IF(A19&lt;&gt;"",COUNTIFS('QA Log'!D:D,A19,'QA Log'!M:M,"QQC",'QA Log'!L:L,"8. Maternity",'QA Log'!Z:Z,"Approved"),"")</f>
        <v>1</v>
      </c>
      <c r="X19" s="105">
        <f ca="1">IF(A19&lt;&gt;"",COUNTIFS('QA Log'!D:D,A19,'QA Log'!M:M,"QQC",'QA Log'!L:L,"9. EPI and Pre-school Consultation",'QA Log'!Z:Z,"Approved"),"")</f>
        <v>1</v>
      </c>
      <c r="Y19" s="105">
        <f ca="1">IF(A19&lt;&gt;"",COUNTIFS('QA Log'!D:D,A19,'QA Log'!M:M,"QQC",'QA Log'!L:L,"10. Antenatal Care (ANC)",'QA Log'!Z:Z,"Approved"),"")</f>
        <v>1</v>
      </c>
      <c r="Z19" s="105">
        <f ca="1">IF(A19&lt;&gt;"",COUNTIFS('QA Log'!D:D,A19,'QA Log'!M:M,"QQC",'QA Log'!L:L,"2. Hygiene and Sterilization",'QA Log'!Z:Z,"Approved"),"")</f>
        <v>1</v>
      </c>
      <c r="AA19" s="105">
        <f ca="1">IF(A19&lt;&gt;"",COUNTIFS('QA Log'!D:D,A19,'QA Log'!M:M,"QQC",'QA Log'!L:L,"4. Family Planning",'QA Log'!Z:Z,"Approved"),"")</f>
        <v>1</v>
      </c>
      <c r="AB19" s="102">
        <f ca="1">IF(A19="","",
SUM(
COUNTIFS('QA Log'!D:D,A19,'QA Log'!M:M,"QQC",'QA Log'!Z:Z,"Rejected",'QA Log'!L:L,"*8. Maternity*"),
COUNTIFS('QA Log'!D:D,A19,'QA Log'!M:M,"QQC",'QA Log'!Z:Z,"Rejected",'QA Log'!L:L,"*9. EPI and Pre-school Consultation*"),
COUNTIFS('QA Log'!D:D,A19,'QA Log'!M:M,"QQC",'QA Log'!Z:Z,"Rejected",'QA Log'!L:L,"*10. Antenatal Care (ANC)*"),
COUNTIFS('QA Log'!D:D,A19,'QA Log'!M:M,"QQC",'QA Log'!Z:Z,"Rejected",'QA Log'!L:L,"*2. Hygiene and Sterilization*"),
COUNTIFS('QA Log'!D:D,A19,'QA Log'!M:M,"QQC",'QA Log'!Z:Z,"Rejected",'QA Log'!L:L,"*4. Family Planning*")
))</f>
        <v>0</v>
      </c>
      <c r="AC19" s="102" t="e">
        <f t="shared" ca="1" si="3"/>
        <v>#NAME?</v>
      </c>
      <c r="AD19" s="103" t="e">
        <f t="shared" ca="1" si="4"/>
        <v>#NAME?</v>
      </c>
      <c r="AE19" s="102">
        <f ca="1">IF(A19="","",
SUM(
COUNTIFS('QA Log'!D:D,A19,'QA Log'!M:M,"Data Verification",'QA Log'!L:L,"*Medicine (section 2)*"),
COUNTIFS('QA Log'!D:D,A19,'QA Log'!M:M,"Data Verification",'QA Log'!L:L,"*Lab Testing Availability*"),
COUNTIFS('QA Log'!D:D,A19,'QA Log'!M:M,"Data Verification",'QA Log'!L:L,"*Other than P4P (section 6)*"),
COUNTIFS('QA Log'!D:D,A19,'QA Log'!M:M,"Data Verification",'QA Log'!L:L,"*Hospital Governance*")
))</f>
        <v>2</v>
      </c>
      <c r="AF19" s="102">
        <f ca="1">IF(A19="","",
SUM(
COUNTIFS('QA Log'!D:D,A19,'QA Log'!M:M,"Data Verification",'QA Log'!Z:Z,"Approved",'QA Log'!L:L,"*Medicine (section 2)*"),
COUNTIFS('QA Log'!D:D,A19,'QA Log'!M:M,"Data Verification",'QA Log'!Z:Z,"Approved",'QA Log'!L:L,"*Lab Testing Availability*"),
COUNTIFS('QA Log'!D:D,A19,'QA Log'!M:M,"Data Verification",'QA Log'!Z:Z,"Approved",'QA Log'!L:L,"*Other than P4P (section 6)*"),
COUNTIFS('QA Log'!D:D,A19,'QA Log'!M:M,"Data Verification",'QA Log'!Z:Z,"Approved",'QA Log'!L:L,"*Hospital Governance*")
))</f>
        <v>0</v>
      </c>
      <c r="AG19" s="105">
        <f ca="1">IF(A19&lt;&gt;"",COUNTIFS('QA Log'!D:D,A19,'QA Log'!M:M,"Data Verification",'QA Log'!L:L,"Medicine (section 2)",'QA Log'!Z:Z,"Approved"),"")</f>
        <v>0</v>
      </c>
      <c r="AH19" s="105">
        <f ca="1">IF(A19&lt;&gt;"",COUNTIFS('QA Log'!D:D,A19,'QA Log'!M:M,"Data Verification",'QA Log'!L:L,"Lab Testing Availability",'QA Log'!Z:Z,"Approved"),"")</f>
        <v>0</v>
      </c>
      <c r="AI19" s="105">
        <f ca="1">IF(A19&lt;&gt;"",COUNTIFS('QA Log'!D:D,A19,'QA Log'!M:M,"Data Verification",'QA Log'!L:L,"Other than P4P (section 6)",'QA Log'!Z:Z,"Approved"),"")</f>
        <v>0</v>
      </c>
      <c r="AJ19" s="105">
        <f ca="1">IF(A19&lt;&gt;"",COUNTIFS('QA Log'!D:D,A19,'QA Log'!M:M,"Data Verification",'QA Log'!L:L,"Hospital Governance",'QA Log'!Z:Z,"Approved"),"")</f>
        <v>0</v>
      </c>
      <c r="AK19" s="102">
        <f ca="1">IF(A19="","",
SUM(
COUNTIFS('QA Log'!D:D,A19,'QA Log'!M:M,"Data Verification",'QA Log'!Z:Z,"Rejected",'QA Log'!L:L,"*Medicine (section 2)*"),
COUNTIFS('QA Log'!D:D,A19,'QA Log'!M:M,"Data Verification",'QA Log'!Z:Z,"Rejected",'QA Log'!L:L,"*Lab Testing Availability*"),
COUNTIFS('QA Log'!D:D,A19,'QA Log'!M:M,"Data Verification",'QA Log'!Z:Z,"Rejected",'QA Log'!L:L,"*Other than P4P (section 6)*"),
COUNTIFS('QA Log'!D:D,A19,'QA Log'!M:M,"Data Verification",'QA Log'!Z:Z,"Rejected",'QA Log'!L:L,"*Hospital Governance*")
))</f>
        <v>2</v>
      </c>
      <c r="AL19" s="106" t="e">
        <f t="shared" ca="1" si="5"/>
        <v>#NAME?</v>
      </c>
      <c r="AM19" s="102" t="e">
        <f t="shared" ca="1" si="6"/>
        <v>#NAME?</v>
      </c>
      <c r="AN19" s="102">
        <f ca="1">IF(A19="","",
SUM(
COUNTIFS('QA Log'!D:D,A19,'QA Log'!M:M,"Data Verification",'QA Log'!L:L,"*Personnel (section 1)*"),
COUNTIFS('QA Log'!D:D,A19,'QA Log'!M:M,"Data Verification",'QA Log'!L:L,"*Consumable (section 3)*"),
COUNTIFS('QA Log'!D:D,A19,'QA Log'!M:M,"Data Verification",'QA Log'!L:L,"*Equipments (section 4)*")
))</f>
        <v>0</v>
      </c>
      <c r="AO19" s="102">
        <f ca="1">IF(A19="","",
SUM(
COUNTIFS('QA Log'!D:D,A19,'QA Log'!M:M,"Data Verification",'QA Log'!Z:Z,"Approved",'QA Log'!L:L,"*Personnel (section 1)*"),
COUNTIFS('QA Log'!D:D,A19,'QA Log'!M:M,"Data Verification",'QA Log'!Z:Z,"Approved",'QA Log'!L:L,"*Consumable (section 3)*"),
COUNTIFS('QA Log'!D:D,A19,'QA Log'!M:M,"Data Verification",'QA Log'!Z:Z,"Approved",'QA Log'!L:L,"*Equipments (section 4)*")
))</f>
        <v>0</v>
      </c>
      <c r="AP19" s="105">
        <f ca="1">IF(A19&lt;&gt;"",COUNTIFS('QA Log'!D:D,A19,'QA Log'!M:M,"Data Verification",'QA Log'!L:L,"Personnel (section 1)",'QA Log'!Z:Z,"Approved"),"")</f>
        <v>0</v>
      </c>
      <c r="AQ19" s="105">
        <f ca="1">IF(A19&lt;&gt;"",COUNTIFS('QA Log'!D:D,A19,'QA Log'!M:M,"Data Verification",'QA Log'!L:L,"Consumable (section 3)",'QA Log'!Z:Z,"Approved"),"")</f>
        <v>0</v>
      </c>
      <c r="AR19" s="105">
        <f ca="1">IF(A19&lt;&gt;"",COUNTIFS('QA Log'!D:D,A19,'QA Log'!M:M,"Data Verification",'QA Log'!L:L,"Equipments (section 4)",'QA Log'!Z:Z,"Approved"),"")</f>
        <v>0</v>
      </c>
      <c r="AS19" s="102">
        <f ca="1">IF(A19="","",
SUM(
COUNTIFS('QA Log'!D:D,A19,'QA Log'!M:M,"Data Verification",'QA Log'!Z:Z,"Rejected",'QA Log'!L:L,"*Personnel (section 1)*"),
COUNTIFS('QA Log'!D:D,A19,'QA Log'!M:M,"Data Verification",'QA Log'!Z:Z,"Rejected",'QA Log'!L:L,"*Consumable (section 3)*"),
COUNTIFS('QA Log'!D:D,A19,'QA Log'!M:M,"Data Verification",'QA Log'!Z:Z,"Rejected",'QA Log'!L:L,"*Equipments (section 4)*")
))</f>
        <v>0</v>
      </c>
      <c r="AT19" s="102" t="e">
        <f t="shared" ca="1" si="7"/>
        <v>#NAME?</v>
      </c>
      <c r="AU19" s="103">
        <f t="shared" ca="1" si="8"/>
        <v>2</v>
      </c>
      <c r="AV19" s="102">
        <f ca="1">IF(A19="","",SUM(
COUNTIFS('QA Log'!D:D,A19,'QA Log'!M:M,"Vignette",'QA Log'!L:L,"*Vignette [1] Respiratory Infection: Pneumonia*"),
COUNTIFS('QA Log'!D:D,A19,'QA Log'!M:M,"Vignette",'QA Log'!L:L,"*Vignette [2]: Diarrhea with Cat B dehydration*"),
COUNTIFS('QA Log'!D:D,A19,'QA Log'!M:M,"Vignette",'QA Log'!L:L,"*Vignette [3] Growth Monitoring and Promotion*"),
COUNTIFS('QA Log'!D:D,A19,'QA Log'!M:M,"Vignette",'QA Log'!L:L,"*Vignette [4]: The management of presumptive TB patient*")
)
)</f>
        <v>5</v>
      </c>
      <c r="AW19" s="102">
        <f ca="1">IF(
  A19="","",
  SUM(
    COUNTIFS('QA Log'!D:D,A19,'QA Log'!M:M,"Vignette",'QA Log'!Z:Z,"Approved",'QA Log'!L:L,"*Vignette [1] Respiratory Infection: Pneumonia*"),
    COUNTIFS('QA Log'!D:D,A19,'QA Log'!M:M,"Vignette",'QA Log'!Z:Z,"Approved",'QA Log'!L:L,"*Vignette [2]: Diarrhea with Cat B dehydration*"),
    COUNTIFS('QA Log'!D:D,A19,'QA Log'!M:M,"Vignette",'QA Log'!Z:Z,"Approved",'QA Log'!L:L,"*Vignette [3] Growth Monitoring and Promotion*"),
    COUNTIFS('QA Log'!D:D,A19,'QA Log'!M:M,"Vignette",'QA Log'!Z:Z,"Approved",'QA Log'!L:L,"*Vignette [4]: The management of presumptive TB patient*")
  )
)</f>
        <v>0</v>
      </c>
      <c r="AX19" s="105">
        <f ca="1">IF(A19&lt;&gt;"",COUNTIFS('QA Log'!D:D,A19,'QA Log'!M:M,"Vignette",'QA Log'!L:L,"Vignette [1] Respiratory Infection: Pneumonia",'QA Log'!Z:Z,"Approved"),"")</f>
        <v>0</v>
      </c>
      <c r="AY19" s="105">
        <f ca="1">IF(A19&lt;&gt;"",COUNTIFS('QA Log'!D:D,A19,'QA Log'!M:M,"Vignette",'QA Log'!L:L,"Vignette [2]: Diarrhea with Cat B dehydration",'QA Log'!Z:Z,"Approved"),"")</f>
        <v>0</v>
      </c>
      <c r="AZ19" s="105">
        <f ca="1">IF(A19&lt;&gt;"",COUNTIFS('QA Log'!D:D,A19,'QA Log'!M:M,"Vignette",'QA Log'!L:L,"Vignette [3] Growth Monitoring and Promotion",'QA Log'!Z:Z,"Approved"),"")</f>
        <v>0</v>
      </c>
      <c r="BA19" s="105">
        <f ca="1">IF(A19&lt;&gt;"",COUNTIFS('QA Log'!D:D,A19,'QA Log'!M:M,"Vignette",'QA Log'!L:L,"Vignette [4]: The management of presumptive TB patient",'QA Log'!Z:Z,"Approved"),"")</f>
        <v>0</v>
      </c>
      <c r="BB19" s="102">
        <f ca="1">IF(A19="","",
  SUM(
    COUNTIFS('QA Log'!D:D,A19,'QA Log'!M:M,"Vignette",'QA Log'!Z:Z,"Rejected",'QA Log'!L:L,"*Vignette [1] Respiratory Infection: Pneumonia*"),
    COUNTIFS('QA Log'!D:D,A19,'QA Log'!M:M,"Vignette",'QA Log'!Z:Z,"Rejected",'QA Log'!L:L,"*Vignette [2]: Diarrhea with Cat B dehydration*"),
    COUNTIFS('QA Log'!D:D,A19,'QA Log'!M:M,"Vignette",'QA Log'!Z:Z,"Rejected",'QA Log'!L:L,"*Vignette [3] Growth Monitoring and Promotion*"),
    COUNTIFS('QA Log'!D:D,A19,'QA Log'!M:M,"Vignette",'QA Log'!Z:Z,"Rejected",'QA Log'!L:L,"*Vignette [4]: The management of presumptive TB patient*")
  )
)</f>
        <v>0</v>
      </c>
      <c r="BC19" s="107">
        <f t="shared" ca="1" si="9"/>
        <v>2</v>
      </c>
      <c r="BD19" s="103">
        <f t="shared" ca="1" si="10"/>
        <v>2</v>
      </c>
      <c r="BE19" s="102">
        <f ca="1">IF(A19="","",SUM(
COUNTIFS('QA Log'!D:D,A19,'QA Log'!M:M,"Vignette",'QA Log'!L:L,"*Vignette [5] Labor*"),
COUNTIFS('QA Log'!D:D,A19,'QA Log'!M:M,"Vignette",'QA Log'!L:L,"*Vignette [6] PNC pre Discharge*"),
COUNTIFS('QA Log'!D:D,A19,'QA Log'!M:M,"Vignette",'QA Log'!L:L,"*Vignette [7] First ANC Visit*"),
COUNTIFS('QA Log'!D:D,A19,'QA Log'!M:M,"Vignette",'QA Log'!L:L,"*Vignette [8] Birth Spacing/ Family Planning :  FP Counselling*"),
COUNTIFS('QA Log'!D:D,A19,'QA Log'!M:M,"Vignette",'QA Log'!L:L,"*Vignette [9] Birth Spacing: Change FP method to Injectable*"),
COUNTIFS('QA Log'!D:D,A19,'QA Log'!M:M,"Vignette",'QA Log'!L:L,"*Vignette [10] Post Partum Haemorrhage - Atonic Uterus at Health Centre*"),
)
)</f>
        <v>2</v>
      </c>
      <c r="BF19" s="102">
        <f ca="1">IF(A19="","",
  SUM(
    COUNTIFS('QA Log'!D:D,A19,'QA Log'!M:M,"Vignette",'QA Log'!Z:Z,"Approved",'QA Log'!L:L,"*Vignette [5] Labor*"),
    COUNTIFS('QA Log'!D:D,A19,'QA Log'!M:M,"Vignette",'QA Log'!Z:Z,"Approved",'QA Log'!L:L,"*Vignette [6] PNC pre Discharge*"),
    COUNTIFS('QA Log'!D:D,A19,'QA Log'!M:M,"Vignette",'QA Log'!Z:Z,"Approved",'QA Log'!L:L,"*Vignette [7] First ANC Visit*"),
    COUNTIFS('QA Log'!D:D,A19,'QA Log'!M:M,"Vignette",'QA Log'!Z:Z,"Approved",'QA Log'!L:L,"*Vignette [8] Birth Spacing/ Family Planning :  FP Counselling*"),
    COUNTIFS('QA Log'!D:D,A19,'QA Log'!M:M,"Vignette",'QA Log'!Z:Z,"Approved",'QA Log'!L:L,"*Vignette [9] Birth Spacing: Change FP method to Injectable*"),
    COUNTIFS('QA Log'!D:D,A19,'QA Log'!M:M,"Vignette",'QA Log'!Z:Z,"Approved",'QA Log'!L:L,"*Vignette [10] Post Partum Haemorrhage - Atonic Uterus at Health Centre*")
  )
)</f>
        <v>0</v>
      </c>
      <c r="BG19" s="105">
        <f ca="1">IF(A19&lt;&gt;"",COUNTIFS('QA Log'!D:D,A19,'QA Log'!M:M,"Vignette",'QA Log'!L:L,"Vignette [5] Labor",'QA Log'!Z:Z,"Approved"),"")</f>
        <v>0</v>
      </c>
      <c r="BH19" s="105">
        <f ca="1">IF(A19&lt;&gt;"",COUNTIFS('QA Log'!D:D,A19,'QA Log'!M:M,"Vignette",'QA Log'!L:L,"Vignette [6] PNC pre Discharge",'QA Log'!Z:Z,"Approved"),"")</f>
        <v>0</v>
      </c>
      <c r="BI19" s="105">
        <f ca="1">IF(A19&lt;&gt;"",COUNTIFS('QA Log'!D:D,A19,'QA Log'!M:M,"Vignette",'QA Log'!L:L,"Vignette [7] First ANC Visit",'QA Log'!Z:Z,"Approved"),"")</f>
        <v>0</v>
      </c>
      <c r="BJ19" s="105">
        <f ca="1">IF(A19&lt;&gt;"",COUNTIFS('QA Log'!D:D,A19,'QA Log'!M:M,"Vignette",'QA Log'!L:L,"Vignette [8] Birth Spacing/ Family Planning :  FP Counselling",'QA Log'!Z:Z,"Approved"),"")</f>
        <v>0</v>
      </c>
      <c r="BK19" s="105">
        <f ca="1">IF(A19&lt;&gt;"",COUNTIFS('QA Log'!D:D,A19,'QA Log'!M:M,"Vignette",'QA Log'!L:L,"Vignette [9] Birth Spacing: Change FP method to Injectable",'QA Log'!Z:Z,"Approved"),"")</f>
        <v>0</v>
      </c>
      <c r="BL19" s="105">
        <f ca="1">IF(A19&lt;&gt;"",COUNTIFS('QA Log'!D:D,A19,'QA Log'!M:M,"Vignette",'QA Log'!L:L,"Vignette [10] Post Partum Haemorrhage - Atonic Uterus at Health Centre",'QA Log'!Z:Z,"Approved"),"")</f>
        <v>0</v>
      </c>
      <c r="BM19" s="102">
        <f ca="1">IF(A19="","",SUM(
    COUNTIFS('QA Log'!D:D,A19,'QA Log'!M:M,"Vignette",'QA Log'!Z:Z,"Rejected",'QA Log'!L:L,"*Vignette [5] Labor*"),
    COUNTIFS('QA Log'!D:D,A19,'QA Log'!M:M,"Vignette",'QA Log'!Z:Z,"Rejected",'QA Log'!L:L,"*Vignette [6] PNC pre Discharge*"),
    COUNTIFS('QA Log'!D:D,A19,'QA Log'!M:M,"Vignette",'QA Log'!Z:Z,"Rejected",'QA Log'!L:L,"*Vignette [7] First ANC Visit*"),
    COUNTIFS('QA Log'!D:D,A19,'QA Log'!M:M,"Vignette",'QA Log'!Z:Z,"Rejected",'QA Log'!L:L,"*Vignette [8] Birth Spacing/ Family Planning :  FP Counselling*"),
    COUNTIFS('QA Log'!D:D,A19,'QA Log'!M:M,"Vignette",'QA Log'!Z:Z,"Rejected",'QA Log'!L:L,"*Vignette [9] Birth Spacing: Change FP method to Injectable*"),
    COUNTIFS('QA Log'!D:D,A19,'QA Log'!M:M,"Vignette",'QA Log'!Z:Z,"Rejected",'QA Log'!L:L,"*Vignette [10] Post Partum Haemorrhage - Atonic Uterus at Health Centre*")
  )
)</f>
        <v>0</v>
      </c>
      <c r="BN19" s="107">
        <f t="shared" ca="1" si="11"/>
        <v>2</v>
      </c>
      <c r="BO19" s="103">
        <f t="shared" ca="1" si="12"/>
        <v>2</v>
      </c>
      <c r="BP19" s="102">
        <f ca="1">IF(A19="","",SUM(
COUNTIFS('QA Log'!D:D,A19,'QA Log'!M:M,"Vignette",'QA Log'!L:L,"*Exit Interview 1*"),
COUNTIFS('QA Log'!D:D,A19,'QA Log'!M:M,"Vignette",'QA Log'!L:L,"*Exit Interview 2*"),
)
)</f>
        <v>2</v>
      </c>
      <c r="BQ19" s="102">
        <f ca="1">IF(
  A19="","",
  SUM(
    COUNTIFS('QA Log'!D:D,A19,'QA Log'!M:M,"Vignette",'QA Log'!Z:Z,"Approved",'QA Log'!L:L,"*Exit Interview 1*"),
    COUNTIFS('QA Log'!D:D,A19,'QA Log'!M:M,"Vignette",'QA Log'!Z:Z,"Approved",'QA Log'!L:L,"*Exit Interview 2*")
  )
)</f>
        <v>0</v>
      </c>
      <c r="BR19" s="105">
        <f ca="1">IF(A19&lt;&gt;"",COUNTIFS('QA Log'!D:D,A19,'QA Log'!M:M,"Vignette",'QA Log'!L:L,"Exit Interview 1",'QA Log'!Z:Z,"Approved"),"")</f>
        <v>0</v>
      </c>
      <c r="BS19" s="105">
        <f ca="1">IF(A19&lt;&gt;"",COUNTIFS('QA Log'!D:D,A19,'QA Log'!M:M,"Vignette",'QA Log'!L:L,"Exit Interview 2",'QA Log'!Z:Z,"Approved"),"")</f>
        <v>0</v>
      </c>
      <c r="BT19" s="102">
        <f ca="1">IF(
  A19="","",
  SUM(
    COUNTIFS('QA Log'!D:D,A19,'QA Log'!M:M,"Vignette",'QA Log'!Z:Z,"Rejected",'QA Log'!L:L,"*Exit Interview 1*"),
    COUNTIFS('QA Log'!D:D,A19,'QA Log'!M:M,"Vignette",'QA Log'!Z:Z,"Rejected",'QA Log'!L:L,"*Exit Interview 2*")
  )
)</f>
        <v>0</v>
      </c>
      <c r="BU19" s="107">
        <f t="shared" ca="1" si="13"/>
        <v>2</v>
      </c>
      <c r="BV19" s="102" t="e">
        <f t="shared" ca="1" si="14"/>
        <v>#NAME?</v>
      </c>
      <c r="BW19" s="102">
        <f t="shared" ca="1" si="15"/>
        <v>20</v>
      </c>
      <c r="BX19" s="102">
        <f t="shared" ca="1" si="16"/>
        <v>5</v>
      </c>
      <c r="BY19" s="102">
        <f t="shared" ca="1" si="17"/>
        <v>2</v>
      </c>
      <c r="BZ19" s="107" t="e">
        <f t="shared" ca="1" si="18"/>
        <v>#NAME?</v>
      </c>
      <c r="CA19" s="108" t="e">
        <f t="shared" ca="1" si="19"/>
        <v>#NAME?</v>
      </c>
      <c r="CB19" s="108" t="e">
        <f t="shared" ca="1" si="20"/>
        <v>#NAME?</v>
      </c>
      <c r="CC19" s="109" t="str">
        <f t="shared" ca="1" si="21"/>
        <v>Fully Received</v>
      </c>
      <c r="CD19" s="108" t="e">
        <f t="shared" ca="1" si="22"/>
        <v>#NAME?</v>
      </c>
      <c r="CE19" s="108" t="e">
        <f t="shared" ca="1" si="23"/>
        <v>#NAME?</v>
      </c>
      <c r="CF19" s="109" t="str">
        <f t="shared" ca="1" si="24"/>
        <v>Not Received</v>
      </c>
      <c r="CG19" s="110" t="e">
        <f t="shared" ca="1" si="25"/>
        <v>#NAME?</v>
      </c>
      <c r="CH19" s="111"/>
    </row>
    <row r="20" spans="1:86" ht="12.75">
      <c r="A20" s="101" t="str">
        <f ca="1">IFERROR(__xludf.DUMMYFUNCTION("""COMPUTED_VALUE"""),"HER-LGM-HF3819-Q2-2025-1153-01")</f>
        <v>HER-LGM-HF3819-Q2-2025-1153-01</v>
      </c>
      <c r="B20" s="102" t="e">
        <f t="array" aca="1" ref="B20" ca="1">_xludf.XLOOKUP(A20,'QA Log'!D:D,'QA Log'!E:E,"")</f>
        <v>#NAME?</v>
      </c>
      <c r="C20" s="102" t="e">
        <f t="array" aca="1" ref="C20" ca="1">_xludf.XLOOKUP(A20,'QA Log'!D:D,'QA Log'!F:F,"")</f>
        <v>#NAME?</v>
      </c>
      <c r="D20" s="102" t="e">
        <f t="array" aca="1" ref="D20" ca="1">_xludf.XLOOKUP(A20,'QA Log'!D:D,'QA Log'!H:H,"")</f>
        <v>#NAME?</v>
      </c>
      <c r="E20" s="102" t="e">
        <f t="array" aca="1" ref="E20" ca="1">_xludf.XLOOKUP(A20,'QA Log'!D:D,'QA Log'!G:G,"")</f>
        <v>#NAME?</v>
      </c>
      <c r="F20" s="103"/>
      <c r="G20" s="104"/>
      <c r="H20" s="104"/>
      <c r="I20" s="103" t="e">
        <f t="shared" ca="1" si="0"/>
        <v>#NAME?</v>
      </c>
      <c r="J20" s="102">
        <f ca="1">IF(A20="","",SUM(
COUNTIFS('QA Log'!D:D,A20,'QA Log'!M:M,"QQC",'QA Log'!L:L,"*1. General Management*"),
COUNTIFS('QA Log'!D:D,A20,'QA Log'!M:M,"QQC",'QA Log'!L:L,"*3. Curative Consultation (OPD)*"),
COUNTIFS('QA Log'!D:D,A20,'QA Log'!M:M,"QQC",'QA Log'!L:L,"*5. Laboratory*"),
COUNTIFS('QA Log'!D:D,A20,'QA Log'!M:M,"QQC",'QA Log'!L:L,"*6. Essential Medicine Management*"),
COUNTIFS('QA Log'!D:D,A20,'QA Log'!M:M,"QQC",'QA Log'!L:L,"*7. Tracer Medicine*"),
COUNTIFS('QA Log'!D:D,A20,'QA Log'!M:M,"QQC",'QA Log'!L:L,"*11. Additional Questions*")))</f>
        <v>0</v>
      </c>
      <c r="K20" s="102">
        <f ca="1">IF(A20="","",SUM(
COUNTIFS('QA Log'!D:D,A20,'QA Log'!M:M,"QQC",'QA Log'!Z:Z,"Approved",'QA Log'!L:L,"*1. General Management*"),
COUNTIFS('QA Log'!D:D,A20,'QA Log'!M:M,"QQC",'QA Log'!Z:Z,"Approved",'QA Log'!L:L,"*3. Curative Consultation (OPD)*"),
COUNTIFS('QA Log'!D:D,A20,'QA Log'!M:M,"QQC",'QA Log'!Z:Z,"Approved",'QA Log'!L:L,"*5. Laboratory*"),
COUNTIFS('QA Log'!D:D,A20,'QA Log'!M:M,"QQC",'QA Log'!Z:Z,"Approved",'QA Log'!L:L,"*6. Essential Medicine Management*"),
COUNTIFS('QA Log'!D:D,A20,'QA Log'!M:M,"QQC",'QA Log'!Z:Z,"Approved",'QA Log'!L:L,"*7. Tracer Medicine*"),
COUNTIFS('QA Log'!D:D,A20,'QA Log'!M:M,"QQC",'QA Log'!Z:Z,"Approved",'QA Log'!L:L,"*11. Additional Questions*")))</f>
        <v>0</v>
      </c>
      <c r="L20" s="105">
        <f ca="1">IF(A20&lt;&gt;"",COUNTIFS('QA Log'!D:D,A20,'QA Log'!M:M,"QQC",'QA Log'!L:L,"1. General Management",'QA Log'!Z:Z,"Approved"),"")</f>
        <v>0</v>
      </c>
      <c r="M20" s="105">
        <f ca="1">IF(A20&lt;&gt;"",COUNTIFS('QA Log'!D:D,A20,'QA Log'!M:M,"QQC",'QA Log'!L:L,"3. Curative Consultation (OPD)",'QA Log'!Z:Z,"Approved"),"")</f>
        <v>0</v>
      </c>
      <c r="N20" s="105">
        <f ca="1">IF(A20&lt;&gt;"",COUNTIFS('QA Log'!D:D,A20,'QA Log'!M:M,"QQC",'QA Log'!L:L,"5. Laboratory",'QA Log'!Z:Z,"Approved"),"")</f>
        <v>0</v>
      </c>
      <c r="O20" s="105">
        <f ca="1">IF(A20&lt;&gt;"",COUNTIFS('QA Log'!D:D,A20,'QA Log'!M:M,"QQC",'QA Log'!L:L,"6. Essential Medicine Management",'QA Log'!Z:Z,"Approved"),"")</f>
        <v>0</v>
      </c>
      <c r="P20" s="105">
        <f ca="1">IF(A20&lt;&gt;"",COUNTIFS('QA Log'!D:D,A20,'QA Log'!M:M,"QQC",'QA Log'!L:L,"7. Tracer Medicine",'QA Log'!Z:Z,"Approved"),"")</f>
        <v>0</v>
      </c>
      <c r="Q20" s="105">
        <f ca="1">IF(A20&lt;&gt;"",COUNTIFS('QA Log'!D:D,A20,'QA Log'!M:M,"QQC",'QA Log'!L:L,"11. Additional Questions",'QA Log'!Z:Z,"Approved"),"")</f>
        <v>0</v>
      </c>
      <c r="R20" s="102">
        <f ca="1">IF(A20="","",SUM(
COUNTIFS('QA Log'!D:D,A20,'QA Log'!M:M,"QQC",'QA Log'!Z:Z,"Rejected",'QA Log'!L:L,"*8. Maternity*"),
COUNTIFS('QA Log'!D:D,A20,'QA Log'!M:M,"QQC",'QA Log'!Z:Z,"Rejected",'QA Log'!L:L,"*EPI*"),
COUNTIFS('QA Log'!D:D,A20,'QA Log'!M:M,"QQC",'QA Log'!Z:Z,"Rejected",'QA Log'!L:L,"*10. Antenatal Care (ANC)*"),
COUNTIFS('QA Log'!D:D,A20,'QA Log'!M:M,"QQC",'QA Log'!Z:Z,"Rejected",'QA Log'!L:L,"*2. Hygiene and Sterilization*"),
COUNTIFS('QA Log'!D:D,A20,'QA Log'!M:M,"QQC",'QA Log'!Z:Z,"Rejected",'QA Log'!L:L,"*Family Planning*")))</f>
        <v>0</v>
      </c>
      <c r="S20" s="106" t="e">
        <f t="shared" ca="1" si="1"/>
        <v>#NAME?</v>
      </c>
      <c r="T20" s="102" t="e">
        <f t="shared" ca="1" si="2"/>
        <v>#NAME?</v>
      </c>
      <c r="U20" s="102">
        <f ca="1">IF(A20="","",
SUM(
COUNTIFS('QA Log'!D:D,A20,'QA Log'!M:M,"QQC",'QA Log'!L:L,"*8. Maternity*"),
COUNTIFS('QA Log'!D:D,A20,'QA Log'!M:M,"QQC",'QA Log'!L:L,"*9. EPI and Pre-school Consultation*"),
COUNTIFS('QA Log'!D:D,A20,'QA Log'!M:M,"QQC",'QA Log'!L:L,"*10. Antenatal Care (ANC)*"),
COUNTIFS('QA Log'!D:D,A20,'QA Log'!M:M,"QQC",'QA Log'!L:L,"*2. Hygiene and Sterilization*"),
COUNTIFS('QA Log'!D:D,A20,'QA Log'!M:M,"QQC",'QA Log'!L:L,"*4. Family Planning*")
))</f>
        <v>0</v>
      </c>
      <c r="V20" s="102">
        <f ca="1">IF(A20="","",
SUM(
COUNTIFS('QA Log'!D:D,A20,'QA Log'!M:M,"QQC",'QA Log'!Z:Z,"Approved",'QA Log'!L:L,"*8. Maternity*"),
COUNTIFS('QA Log'!D:D,A20,'QA Log'!M:M,"QQC",'QA Log'!Z:Z,"Approved",'QA Log'!L:L,"*9. EPI and Pre-school Consultation*"),
COUNTIFS('QA Log'!D:D,A20,'QA Log'!M:M,"QQC",'QA Log'!Z:Z,"Approved",'QA Log'!L:L,"*10. Antenatal Care (ANC)*"),
COUNTIFS('QA Log'!D:D,A20,'QA Log'!M:M,"QQC",'QA Log'!Z:Z,"Approved",'QA Log'!L:L,"*2. Hygiene and Sterilization*"),
COUNTIFS('QA Log'!D:D,A20,'QA Log'!M:M,"QQC",'QA Log'!Z:Z,"Approved",'QA Log'!L:L,"*4. Family Planning*")
))</f>
        <v>0</v>
      </c>
      <c r="W20" s="105">
        <f ca="1">IF(A20&lt;&gt;"",COUNTIFS('QA Log'!D:D,A20,'QA Log'!M:M,"QQC",'QA Log'!L:L,"8. Maternity",'QA Log'!Z:Z,"Approved"),"")</f>
        <v>0</v>
      </c>
      <c r="X20" s="105">
        <f ca="1">IF(A20&lt;&gt;"",COUNTIFS('QA Log'!D:D,A20,'QA Log'!M:M,"QQC",'QA Log'!L:L,"9. EPI and Pre-school Consultation",'QA Log'!Z:Z,"Approved"),"")</f>
        <v>0</v>
      </c>
      <c r="Y20" s="105">
        <f ca="1">IF(A20&lt;&gt;"",COUNTIFS('QA Log'!D:D,A20,'QA Log'!M:M,"QQC",'QA Log'!L:L,"10. Antenatal Care (ANC)",'QA Log'!Z:Z,"Approved"),"")</f>
        <v>0</v>
      </c>
      <c r="Z20" s="105">
        <f ca="1">IF(A20&lt;&gt;"",COUNTIFS('QA Log'!D:D,A20,'QA Log'!M:M,"QQC",'QA Log'!L:L,"2. Hygiene and Sterilization",'QA Log'!Z:Z,"Approved"),"")</f>
        <v>0</v>
      </c>
      <c r="AA20" s="105">
        <f ca="1">IF(A20&lt;&gt;"",COUNTIFS('QA Log'!D:D,A20,'QA Log'!M:M,"QQC",'QA Log'!L:L,"4. Family Planning",'QA Log'!Z:Z,"Approved"),"")</f>
        <v>0</v>
      </c>
      <c r="AB20" s="102">
        <f ca="1">IF(A20="","",
SUM(
COUNTIFS('QA Log'!D:D,A20,'QA Log'!M:M,"QQC",'QA Log'!Z:Z,"Rejected",'QA Log'!L:L,"*8. Maternity*"),
COUNTIFS('QA Log'!D:D,A20,'QA Log'!M:M,"QQC",'QA Log'!Z:Z,"Rejected",'QA Log'!L:L,"*9. EPI and Pre-school Consultation*"),
COUNTIFS('QA Log'!D:D,A20,'QA Log'!M:M,"QQC",'QA Log'!Z:Z,"Rejected",'QA Log'!L:L,"*10. Antenatal Care (ANC)*"),
COUNTIFS('QA Log'!D:D,A20,'QA Log'!M:M,"QQC",'QA Log'!Z:Z,"Rejected",'QA Log'!L:L,"*2. Hygiene and Sterilization*"),
COUNTIFS('QA Log'!D:D,A20,'QA Log'!M:M,"QQC",'QA Log'!Z:Z,"Rejected",'QA Log'!L:L,"*4. Family Planning*")
))</f>
        <v>0</v>
      </c>
      <c r="AC20" s="102" t="e">
        <f t="shared" ca="1" si="3"/>
        <v>#NAME?</v>
      </c>
      <c r="AD20" s="103" t="e">
        <f t="shared" ca="1" si="4"/>
        <v>#NAME?</v>
      </c>
      <c r="AE20" s="102">
        <f ca="1">IF(A20="","",
SUM(
COUNTIFS('QA Log'!D:D,A20,'QA Log'!M:M,"Data Verification",'QA Log'!L:L,"*Medicine (section 2)*"),
COUNTIFS('QA Log'!D:D,A20,'QA Log'!M:M,"Data Verification",'QA Log'!L:L,"*Lab Testing Availability*"),
COUNTIFS('QA Log'!D:D,A20,'QA Log'!M:M,"Data Verification",'QA Log'!L:L,"*Other than P4P (section 6)*"),
COUNTIFS('QA Log'!D:D,A20,'QA Log'!M:M,"Data Verification",'QA Log'!L:L,"*Hospital Governance*")
))</f>
        <v>2</v>
      </c>
      <c r="AF20" s="102">
        <f ca="1">IF(A20="","",
SUM(
COUNTIFS('QA Log'!D:D,A20,'QA Log'!M:M,"Data Verification",'QA Log'!Z:Z,"Approved",'QA Log'!L:L,"*Medicine (section 2)*"),
COUNTIFS('QA Log'!D:D,A20,'QA Log'!M:M,"Data Verification",'QA Log'!Z:Z,"Approved",'QA Log'!L:L,"*Lab Testing Availability*"),
COUNTIFS('QA Log'!D:D,A20,'QA Log'!M:M,"Data Verification",'QA Log'!Z:Z,"Approved",'QA Log'!L:L,"*Other than P4P (section 6)*"),
COUNTIFS('QA Log'!D:D,A20,'QA Log'!M:M,"Data Verification",'QA Log'!Z:Z,"Approved",'QA Log'!L:L,"*Hospital Governance*")
))</f>
        <v>0</v>
      </c>
      <c r="AG20" s="105">
        <f ca="1">IF(A20&lt;&gt;"",COUNTIFS('QA Log'!D:D,A20,'QA Log'!M:M,"Data Verification",'QA Log'!L:L,"Medicine (section 2)",'QA Log'!Z:Z,"Approved"),"")</f>
        <v>0</v>
      </c>
      <c r="AH20" s="105">
        <f ca="1">IF(A20&lt;&gt;"",COUNTIFS('QA Log'!D:D,A20,'QA Log'!M:M,"Data Verification",'QA Log'!L:L,"Lab Testing Availability",'QA Log'!Z:Z,"Approved"),"")</f>
        <v>0</v>
      </c>
      <c r="AI20" s="105">
        <f ca="1">IF(A20&lt;&gt;"",COUNTIFS('QA Log'!D:D,A20,'QA Log'!M:M,"Data Verification",'QA Log'!L:L,"Other than P4P (section 6)",'QA Log'!Z:Z,"Approved"),"")</f>
        <v>0</v>
      </c>
      <c r="AJ20" s="105">
        <f ca="1">IF(A20&lt;&gt;"",COUNTIFS('QA Log'!D:D,A20,'QA Log'!M:M,"Data Verification",'QA Log'!L:L,"Hospital Governance",'QA Log'!Z:Z,"Approved"),"")</f>
        <v>0</v>
      </c>
      <c r="AK20" s="102">
        <f ca="1">IF(A20="","",
SUM(
COUNTIFS('QA Log'!D:D,A20,'QA Log'!M:M,"Data Verification",'QA Log'!Z:Z,"Rejected",'QA Log'!L:L,"*Medicine (section 2)*"),
COUNTIFS('QA Log'!D:D,A20,'QA Log'!M:M,"Data Verification",'QA Log'!Z:Z,"Rejected",'QA Log'!L:L,"*Lab Testing Availability*"),
COUNTIFS('QA Log'!D:D,A20,'QA Log'!M:M,"Data Verification",'QA Log'!Z:Z,"Rejected",'QA Log'!L:L,"*Other than P4P (section 6)*"),
COUNTIFS('QA Log'!D:D,A20,'QA Log'!M:M,"Data Verification",'QA Log'!Z:Z,"Rejected",'QA Log'!L:L,"*Hospital Governance*")
))</f>
        <v>0</v>
      </c>
      <c r="AL20" s="106" t="e">
        <f t="shared" ca="1" si="5"/>
        <v>#NAME?</v>
      </c>
      <c r="AM20" s="102" t="e">
        <f t="shared" ca="1" si="6"/>
        <v>#NAME?</v>
      </c>
      <c r="AN20" s="102">
        <f ca="1">IF(A20="","",
SUM(
COUNTIFS('QA Log'!D:D,A20,'QA Log'!M:M,"Data Verification",'QA Log'!L:L,"*Personnel (section 1)*"),
COUNTIFS('QA Log'!D:D,A20,'QA Log'!M:M,"Data Verification",'QA Log'!L:L,"*Consumable (section 3)*"),
COUNTIFS('QA Log'!D:D,A20,'QA Log'!M:M,"Data Verification",'QA Log'!L:L,"*Equipments (section 4)*")
))</f>
        <v>3</v>
      </c>
      <c r="AO20" s="102">
        <f ca="1">IF(A20="","",
SUM(
COUNTIFS('QA Log'!D:D,A20,'QA Log'!M:M,"Data Verification",'QA Log'!Z:Z,"Approved",'QA Log'!L:L,"*Personnel (section 1)*"),
COUNTIFS('QA Log'!D:D,A20,'QA Log'!M:M,"Data Verification",'QA Log'!Z:Z,"Approved",'QA Log'!L:L,"*Consumable (section 3)*"),
COUNTIFS('QA Log'!D:D,A20,'QA Log'!M:M,"Data Verification",'QA Log'!Z:Z,"Approved",'QA Log'!L:L,"*Equipments (section 4)*")
))</f>
        <v>0</v>
      </c>
      <c r="AP20" s="105">
        <f ca="1">IF(A20&lt;&gt;"",COUNTIFS('QA Log'!D:D,A20,'QA Log'!M:M,"Data Verification",'QA Log'!L:L,"Personnel (section 1)",'QA Log'!Z:Z,"Approved"),"")</f>
        <v>0</v>
      </c>
      <c r="AQ20" s="105">
        <f ca="1">IF(A20&lt;&gt;"",COUNTIFS('QA Log'!D:D,A20,'QA Log'!M:M,"Data Verification",'QA Log'!L:L,"Consumable (section 3)",'QA Log'!Z:Z,"Approved"),"")</f>
        <v>0</v>
      </c>
      <c r="AR20" s="105">
        <f ca="1">IF(A20&lt;&gt;"",COUNTIFS('QA Log'!D:D,A20,'QA Log'!M:M,"Data Verification",'QA Log'!L:L,"Equipments (section 4)",'QA Log'!Z:Z,"Approved"),"")</f>
        <v>0</v>
      </c>
      <c r="AS20" s="102">
        <f ca="1">IF(A20="","",
SUM(
COUNTIFS('QA Log'!D:D,A20,'QA Log'!M:M,"Data Verification",'QA Log'!Z:Z,"Rejected",'QA Log'!L:L,"*Personnel (section 1)*"),
COUNTIFS('QA Log'!D:D,A20,'QA Log'!M:M,"Data Verification",'QA Log'!Z:Z,"Rejected",'QA Log'!L:L,"*Consumable (section 3)*"),
COUNTIFS('QA Log'!D:D,A20,'QA Log'!M:M,"Data Verification",'QA Log'!Z:Z,"Rejected",'QA Log'!L:L,"*Equipments (section 4)*")
))</f>
        <v>0</v>
      </c>
      <c r="AT20" s="102" t="e">
        <f t="shared" ca="1" si="7"/>
        <v>#NAME?</v>
      </c>
      <c r="AU20" s="103">
        <f t="shared" ca="1" si="8"/>
        <v>2</v>
      </c>
      <c r="AV20" s="102">
        <f ca="1">IF(A20="","",SUM(
COUNTIFS('QA Log'!D:D,A20,'QA Log'!M:M,"Vignette",'QA Log'!L:L,"*Vignette [1] Respiratory Infection: Pneumonia*"),
COUNTIFS('QA Log'!D:D,A20,'QA Log'!M:M,"Vignette",'QA Log'!L:L,"*Vignette [2]: Diarrhea with Cat B dehydration*"),
COUNTIFS('QA Log'!D:D,A20,'QA Log'!M:M,"Vignette",'QA Log'!L:L,"*Vignette [3] Growth Monitoring and Promotion*"),
COUNTIFS('QA Log'!D:D,A20,'QA Log'!M:M,"Vignette",'QA Log'!L:L,"*Vignette [4]: The management of presumptive TB patient*")
)
)</f>
        <v>4</v>
      </c>
      <c r="AW20" s="102">
        <f ca="1">IF(
  A20="","",
  SUM(
    COUNTIFS('QA Log'!D:D,A20,'QA Log'!M:M,"Vignette",'QA Log'!Z:Z,"Approved",'QA Log'!L:L,"*Vignette [1] Respiratory Infection: Pneumonia*"),
    COUNTIFS('QA Log'!D:D,A20,'QA Log'!M:M,"Vignette",'QA Log'!Z:Z,"Approved",'QA Log'!L:L,"*Vignette [2]: Diarrhea with Cat B dehydration*"),
    COUNTIFS('QA Log'!D:D,A20,'QA Log'!M:M,"Vignette",'QA Log'!Z:Z,"Approved",'QA Log'!L:L,"*Vignette [3] Growth Monitoring and Promotion*"),
    COUNTIFS('QA Log'!D:D,A20,'QA Log'!M:M,"Vignette",'QA Log'!Z:Z,"Approved",'QA Log'!L:L,"*Vignette [4]: The management of presumptive TB patient*")
  )
)</f>
        <v>0</v>
      </c>
      <c r="AX20" s="105">
        <f ca="1">IF(A20&lt;&gt;"",COUNTIFS('QA Log'!D:D,A20,'QA Log'!M:M,"Vignette",'QA Log'!L:L,"Vignette [1] Respiratory Infection: Pneumonia",'QA Log'!Z:Z,"Approved"),"")</f>
        <v>0</v>
      </c>
      <c r="AY20" s="105">
        <f ca="1">IF(A20&lt;&gt;"",COUNTIFS('QA Log'!D:D,A20,'QA Log'!M:M,"Vignette",'QA Log'!L:L,"Vignette [2]: Diarrhea with Cat B dehydration",'QA Log'!Z:Z,"Approved"),"")</f>
        <v>0</v>
      </c>
      <c r="AZ20" s="105">
        <f ca="1">IF(A20&lt;&gt;"",COUNTIFS('QA Log'!D:D,A20,'QA Log'!M:M,"Vignette",'QA Log'!L:L,"Vignette [3] Growth Monitoring and Promotion",'QA Log'!Z:Z,"Approved"),"")</f>
        <v>0</v>
      </c>
      <c r="BA20" s="105">
        <f ca="1">IF(A20&lt;&gt;"",COUNTIFS('QA Log'!D:D,A20,'QA Log'!M:M,"Vignette",'QA Log'!L:L,"Vignette [4]: The management of presumptive TB patient",'QA Log'!Z:Z,"Approved"),"")</f>
        <v>0</v>
      </c>
      <c r="BB20" s="102">
        <f ca="1">IF(A20="","",
  SUM(
    COUNTIFS('QA Log'!D:D,A20,'QA Log'!M:M,"Vignette",'QA Log'!Z:Z,"Rejected",'QA Log'!L:L,"*Vignette [1] Respiratory Infection: Pneumonia*"),
    COUNTIFS('QA Log'!D:D,A20,'QA Log'!M:M,"Vignette",'QA Log'!Z:Z,"Rejected",'QA Log'!L:L,"*Vignette [2]: Diarrhea with Cat B dehydration*"),
    COUNTIFS('QA Log'!D:D,A20,'QA Log'!M:M,"Vignette",'QA Log'!Z:Z,"Rejected",'QA Log'!L:L,"*Vignette [3] Growth Monitoring and Promotion*"),
    COUNTIFS('QA Log'!D:D,A20,'QA Log'!M:M,"Vignette",'QA Log'!Z:Z,"Rejected",'QA Log'!L:L,"*Vignette [4]: The management of presumptive TB patient*")
  )
)</f>
        <v>0</v>
      </c>
      <c r="BC20" s="107">
        <f t="shared" ca="1" si="9"/>
        <v>2</v>
      </c>
      <c r="BD20" s="103">
        <f t="shared" ca="1" si="10"/>
        <v>2</v>
      </c>
      <c r="BE20" s="102">
        <f ca="1">IF(A20="","",SUM(
COUNTIFS('QA Log'!D:D,A20,'QA Log'!M:M,"Vignette",'QA Log'!L:L,"*Vignette [5] Labor*"),
COUNTIFS('QA Log'!D:D,A20,'QA Log'!M:M,"Vignette",'QA Log'!L:L,"*Vignette [6] PNC pre Discharge*"),
COUNTIFS('QA Log'!D:D,A20,'QA Log'!M:M,"Vignette",'QA Log'!L:L,"*Vignette [7] First ANC Visit*"),
COUNTIFS('QA Log'!D:D,A20,'QA Log'!M:M,"Vignette",'QA Log'!L:L,"*Vignette [8] Birth Spacing/ Family Planning :  FP Counselling*"),
COUNTIFS('QA Log'!D:D,A20,'QA Log'!M:M,"Vignette",'QA Log'!L:L,"*Vignette [9] Birth Spacing: Change FP method to Injectable*"),
COUNTIFS('QA Log'!D:D,A20,'QA Log'!M:M,"Vignette",'QA Log'!L:L,"*Vignette [10] Post Partum Haemorrhage - Atonic Uterus at Health Centre*"),
)
)</f>
        <v>2</v>
      </c>
      <c r="BF20" s="102">
        <f ca="1">IF(A20="","",
  SUM(
    COUNTIFS('QA Log'!D:D,A20,'QA Log'!M:M,"Vignette",'QA Log'!Z:Z,"Approved",'QA Log'!L:L,"*Vignette [5] Labor*"),
    COUNTIFS('QA Log'!D:D,A20,'QA Log'!M:M,"Vignette",'QA Log'!Z:Z,"Approved",'QA Log'!L:L,"*Vignette [6] PNC pre Discharge*"),
    COUNTIFS('QA Log'!D:D,A20,'QA Log'!M:M,"Vignette",'QA Log'!Z:Z,"Approved",'QA Log'!L:L,"*Vignette [7] First ANC Visit*"),
    COUNTIFS('QA Log'!D:D,A20,'QA Log'!M:M,"Vignette",'QA Log'!Z:Z,"Approved",'QA Log'!L:L,"*Vignette [8] Birth Spacing/ Family Planning :  FP Counselling*"),
    COUNTIFS('QA Log'!D:D,A20,'QA Log'!M:M,"Vignette",'QA Log'!Z:Z,"Approved",'QA Log'!L:L,"*Vignette [9] Birth Spacing: Change FP method to Injectable*"),
    COUNTIFS('QA Log'!D:D,A20,'QA Log'!M:M,"Vignette",'QA Log'!Z:Z,"Approved",'QA Log'!L:L,"*Vignette [10] Post Partum Haemorrhage - Atonic Uterus at Health Centre*")
  )
)</f>
        <v>0</v>
      </c>
      <c r="BG20" s="105">
        <f ca="1">IF(A20&lt;&gt;"",COUNTIFS('QA Log'!D:D,A20,'QA Log'!M:M,"Vignette",'QA Log'!L:L,"Vignette [5] Labor",'QA Log'!Z:Z,"Approved"),"")</f>
        <v>0</v>
      </c>
      <c r="BH20" s="105">
        <f ca="1">IF(A20&lt;&gt;"",COUNTIFS('QA Log'!D:D,A20,'QA Log'!M:M,"Vignette",'QA Log'!L:L,"Vignette [6] PNC pre Discharge",'QA Log'!Z:Z,"Approved"),"")</f>
        <v>0</v>
      </c>
      <c r="BI20" s="105">
        <f ca="1">IF(A20&lt;&gt;"",COUNTIFS('QA Log'!D:D,A20,'QA Log'!M:M,"Vignette",'QA Log'!L:L,"Vignette [7] First ANC Visit",'QA Log'!Z:Z,"Approved"),"")</f>
        <v>0</v>
      </c>
      <c r="BJ20" s="105">
        <f ca="1">IF(A20&lt;&gt;"",COUNTIFS('QA Log'!D:D,A20,'QA Log'!M:M,"Vignette",'QA Log'!L:L,"Vignette [8] Birth Spacing/ Family Planning :  FP Counselling",'QA Log'!Z:Z,"Approved"),"")</f>
        <v>0</v>
      </c>
      <c r="BK20" s="105">
        <f ca="1">IF(A20&lt;&gt;"",COUNTIFS('QA Log'!D:D,A20,'QA Log'!M:M,"Vignette",'QA Log'!L:L,"Vignette [9] Birth Spacing: Change FP method to Injectable",'QA Log'!Z:Z,"Approved"),"")</f>
        <v>0</v>
      </c>
      <c r="BL20" s="105">
        <f ca="1">IF(A20&lt;&gt;"",COUNTIFS('QA Log'!D:D,A20,'QA Log'!M:M,"Vignette",'QA Log'!L:L,"Vignette [10] Post Partum Haemorrhage - Atonic Uterus at Health Centre",'QA Log'!Z:Z,"Approved"),"")</f>
        <v>0</v>
      </c>
      <c r="BM20" s="102">
        <f ca="1">IF(A20="","",SUM(
    COUNTIFS('QA Log'!D:D,A20,'QA Log'!M:M,"Vignette",'QA Log'!Z:Z,"Rejected",'QA Log'!L:L,"*Vignette [5] Labor*"),
    COUNTIFS('QA Log'!D:D,A20,'QA Log'!M:M,"Vignette",'QA Log'!Z:Z,"Rejected",'QA Log'!L:L,"*Vignette [6] PNC pre Discharge*"),
    COUNTIFS('QA Log'!D:D,A20,'QA Log'!M:M,"Vignette",'QA Log'!Z:Z,"Rejected",'QA Log'!L:L,"*Vignette [7] First ANC Visit*"),
    COUNTIFS('QA Log'!D:D,A20,'QA Log'!M:M,"Vignette",'QA Log'!Z:Z,"Rejected",'QA Log'!L:L,"*Vignette [8] Birth Spacing/ Family Planning :  FP Counselling*"),
    COUNTIFS('QA Log'!D:D,A20,'QA Log'!M:M,"Vignette",'QA Log'!Z:Z,"Rejected",'QA Log'!L:L,"*Vignette [9] Birth Spacing: Change FP method to Injectable*"),
    COUNTIFS('QA Log'!D:D,A20,'QA Log'!M:M,"Vignette",'QA Log'!Z:Z,"Rejected",'QA Log'!L:L,"*Vignette [10] Post Partum Haemorrhage - Atonic Uterus at Health Centre*")
  )
)</f>
        <v>0</v>
      </c>
      <c r="BN20" s="107">
        <f t="shared" ca="1" si="11"/>
        <v>2</v>
      </c>
      <c r="BO20" s="103">
        <f t="shared" ca="1" si="12"/>
        <v>2</v>
      </c>
      <c r="BP20" s="102">
        <f ca="1">IF(A20="","",SUM(
COUNTIFS('QA Log'!D:D,A20,'QA Log'!M:M,"Vignette",'QA Log'!L:L,"*Exit Interview 1*"),
COUNTIFS('QA Log'!D:D,A20,'QA Log'!M:M,"Vignette",'QA Log'!L:L,"*Exit Interview 2*"),
)
)</f>
        <v>2</v>
      </c>
      <c r="BQ20" s="102">
        <f ca="1">IF(
  A20="","",
  SUM(
    COUNTIFS('QA Log'!D:D,A20,'QA Log'!M:M,"Vignette",'QA Log'!Z:Z,"Approved",'QA Log'!L:L,"*Exit Interview 1*"),
    COUNTIFS('QA Log'!D:D,A20,'QA Log'!M:M,"Vignette",'QA Log'!Z:Z,"Approved",'QA Log'!L:L,"*Exit Interview 2*")
  )
)</f>
        <v>0</v>
      </c>
      <c r="BR20" s="105">
        <f ca="1">IF(A20&lt;&gt;"",COUNTIFS('QA Log'!D:D,A20,'QA Log'!M:M,"Vignette",'QA Log'!L:L,"Exit Interview 1",'QA Log'!Z:Z,"Approved"),"")</f>
        <v>0</v>
      </c>
      <c r="BS20" s="105">
        <f ca="1">IF(A20&lt;&gt;"",COUNTIFS('QA Log'!D:D,A20,'QA Log'!M:M,"Vignette",'QA Log'!L:L,"Exit Interview 2",'QA Log'!Z:Z,"Approved"),"")</f>
        <v>0</v>
      </c>
      <c r="BT20" s="102">
        <f ca="1">IF(
  A20="","",
  SUM(
    COUNTIFS('QA Log'!D:D,A20,'QA Log'!M:M,"Vignette",'QA Log'!Z:Z,"Rejected",'QA Log'!L:L,"*Exit Interview 1*"),
    COUNTIFS('QA Log'!D:D,A20,'QA Log'!M:M,"Vignette",'QA Log'!Z:Z,"Rejected",'QA Log'!L:L,"*Exit Interview 2*")
  )
)</f>
        <v>0</v>
      </c>
      <c r="BU20" s="107">
        <f t="shared" ca="1" si="13"/>
        <v>2</v>
      </c>
      <c r="BV20" s="102" t="e">
        <f t="shared" ca="1" si="14"/>
        <v>#NAME?</v>
      </c>
      <c r="BW20" s="102">
        <f t="shared" ca="1" si="15"/>
        <v>13</v>
      </c>
      <c r="BX20" s="102">
        <f t="shared" ca="1" si="16"/>
        <v>0</v>
      </c>
      <c r="BY20" s="102">
        <f t="shared" ca="1" si="17"/>
        <v>0</v>
      </c>
      <c r="BZ20" s="107" t="e">
        <f t="shared" ca="1" si="18"/>
        <v>#NAME?</v>
      </c>
      <c r="CA20" s="108" t="e">
        <f t="shared" ca="1" si="19"/>
        <v>#NAME?</v>
      </c>
      <c r="CB20" s="108" t="e">
        <f t="shared" ca="1" si="20"/>
        <v>#NAME?</v>
      </c>
      <c r="CC20" s="109" t="str">
        <f t="shared" ca="1" si="21"/>
        <v>Fully Received</v>
      </c>
      <c r="CD20" s="108" t="e">
        <f t="shared" ca="1" si="22"/>
        <v>#NAME?</v>
      </c>
      <c r="CE20" s="108" t="e">
        <f t="shared" ca="1" si="23"/>
        <v>#NAME?</v>
      </c>
      <c r="CF20" s="109" t="str">
        <f t="shared" ca="1" si="24"/>
        <v>Not Received</v>
      </c>
      <c r="CG20" s="110" t="e">
        <f t="shared" ca="1" si="25"/>
        <v>#NAME?</v>
      </c>
      <c r="CH20" s="111"/>
    </row>
    <row r="21" spans="1:86" ht="12.75">
      <c r="A21" s="101" t="str">
        <f ca="1">IFERROR(__xludf.DUMMYFUNCTION("""COMPUTED_VALUE"""),"HER-PAK-HF2192-Q2-2025-1200-01")</f>
        <v>HER-PAK-HF2192-Q2-2025-1200-01</v>
      </c>
      <c r="B21" s="102" t="e">
        <f t="array" aca="1" ref="B21" ca="1">_xludf.XLOOKUP(A21,'QA Log'!D:D,'QA Log'!E:E,"")</f>
        <v>#NAME?</v>
      </c>
      <c r="C21" s="102" t="e">
        <f t="array" aca="1" ref="C21" ca="1">_xludf.XLOOKUP(A21,'QA Log'!D:D,'QA Log'!F:F,"")</f>
        <v>#NAME?</v>
      </c>
      <c r="D21" s="102" t="e">
        <f t="array" aca="1" ref="D21" ca="1">_xludf.XLOOKUP(A21,'QA Log'!D:D,'QA Log'!H:H,"")</f>
        <v>#NAME?</v>
      </c>
      <c r="E21" s="102" t="e">
        <f t="array" aca="1" ref="E21" ca="1">_xludf.XLOOKUP(A21,'QA Log'!D:D,'QA Log'!G:G,"")</f>
        <v>#NAME?</v>
      </c>
      <c r="F21" s="103"/>
      <c r="G21" s="104"/>
      <c r="H21" s="104"/>
      <c r="I21" s="103" t="e">
        <f t="shared" ca="1" si="0"/>
        <v>#NAME?</v>
      </c>
      <c r="J21" s="102">
        <f ca="1">IF(A21="","",SUM(
COUNTIFS('QA Log'!D:D,A21,'QA Log'!M:M,"QQC",'QA Log'!L:L,"*1. General Management*"),
COUNTIFS('QA Log'!D:D,A21,'QA Log'!M:M,"QQC",'QA Log'!L:L,"*3. Curative Consultation (OPD)*"),
COUNTIFS('QA Log'!D:D,A21,'QA Log'!M:M,"QQC",'QA Log'!L:L,"*5. Laboratory*"),
COUNTIFS('QA Log'!D:D,A21,'QA Log'!M:M,"QQC",'QA Log'!L:L,"*6. Essential Medicine Management*"),
COUNTIFS('QA Log'!D:D,A21,'QA Log'!M:M,"QQC",'QA Log'!L:L,"*7. Tracer Medicine*"),
COUNTIFS('QA Log'!D:D,A21,'QA Log'!M:M,"QQC",'QA Log'!L:L,"*11. Additional Questions*")))</f>
        <v>5</v>
      </c>
      <c r="K21" s="102">
        <f ca="1">IF(A21="","",SUM(
COUNTIFS('QA Log'!D:D,A21,'QA Log'!M:M,"QQC",'QA Log'!Z:Z,"Approved",'QA Log'!L:L,"*1. General Management*"),
COUNTIFS('QA Log'!D:D,A21,'QA Log'!M:M,"QQC",'QA Log'!Z:Z,"Approved",'QA Log'!L:L,"*3. Curative Consultation (OPD)*"),
COUNTIFS('QA Log'!D:D,A21,'QA Log'!M:M,"QQC",'QA Log'!Z:Z,"Approved",'QA Log'!L:L,"*5. Laboratory*"),
COUNTIFS('QA Log'!D:D,A21,'QA Log'!M:M,"QQC",'QA Log'!Z:Z,"Approved",'QA Log'!L:L,"*6. Essential Medicine Management*"),
COUNTIFS('QA Log'!D:D,A21,'QA Log'!M:M,"QQC",'QA Log'!Z:Z,"Approved",'QA Log'!L:L,"*7. Tracer Medicine*"),
COUNTIFS('QA Log'!D:D,A21,'QA Log'!M:M,"QQC",'QA Log'!Z:Z,"Approved",'QA Log'!L:L,"*11. Additional Questions*")))</f>
        <v>1</v>
      </c>
      <c r="L21" s="105">
        <f ca="1">IF(A21&lt;&gt;"",COUNTIFS('QA Log'!D:D,A21,'QA Log'!M:M,"QQC",'QA Log'!L:L,"1. General Management",'QA Log'!Z:Z,"Approved"),"")</f>
        <v>1</v>
      </c>
      <c r="M21" s="105">
        <f ca="1">IF(A21&lt;&gt;"",COUNTIFS('QA Log'!D:D,A21,'QA Log'!M:M,"QQC",'QA Log'!L:L,"3. Curative Consultation (OPD)",'QA Log'!Z:Z,"Approved"),"")</f>
        <v>0</v>
      </c>
      <c r="N21" s="105">
        <f ca="1">IF(A21&lt;&gt;"",COUNTIFS('QA Log'!D:D,A21,'QA Log'!M:M,"QQC",'QA Log'!L:L,"5. Laboratory",'QA Log'!Z:Z,"Approved"),"")</f>
        <v>0</v>
      </c>
      <c r="O21" s="105">
        <f ca="1">IF(A21&lt;&gt;"",COUNTIFS('QA Log'!D:D,A21,'QA Log'!M:M,"QQC",'QA Log'!L:L,"6. Essential Medicine Management",'QA Log'!Z:Z,"Approved"),"")</f>
        <v>0</v>
      </c>
      <c r="P21" s="105">
        <f ca="1">IF(A21&lt;&gt;"",COUNTIFS('QA Log'!D:D,A21,'QA Log'!M:M,"QQC",'QA Log'!L:L,"7. Tracer Medicine",'QA Log'!Z:Z,"Approved"),"")</f>
        <v>0</v>
      </c>
      <c r="Q21" s="105">
        <f ca="1">IF(A21&lt;&gt;"",COUNTIFS('QA Log'!D:D,A21,'QA Log'!M:M,"QQC",'QA Log'!L:L,"11. Additional Questions",'QA Log'!Z:Z,"Approved"),"")</f>
        <v>0</v>
      </c>
      <c r="R21" s="102">
        <f ca="1">IF(A21="","",SUM(
COUNTIFS('QA Log'!D:D,A21,'QA Log'!M:M,"QQC",'QA Log'!Z:Z,"Rejected",'QA Log'!L:L,"*8. Maternity*"),
COUNTIFS('QA Log'!D:D,A21,'QA Log'!M:M,"QQC",'QA Log'!Z:Z,"Rejected",'QA Log'!L:L,"*EPI*"),
COUNTIFS('QA Log'!D:D,A21,'QA Log'!M:M,"QQC",'QA Log'!Z:Z,"Rejected",'QA Log'!L:L,"*10. Antenatal Care (ANC)*"),
COUNTIFS('QA Log'!D:D,A21,'QA Log'!M:M,"QQC",'QA Log'!Z:Z,"Rejected",'QA Log'!L:L,"*2. Hygiene and Sterilization*"),
COUNTIFS('QA Log'!D:D,A21,'QA Log'!M:M,"QQC",'QA Log'!Z:Z,"Rejected",'QA Log'!L:L,"*Family Planning*")))</f>
        <v>0</v>
      </c>
      <c r="S21" s="106" t="e">
        <f t="shared" ca="1" si="1"/>
        <v>#NAME?</v>
      </c>
      <c r="T21" s="102" t="e">
        <f t="shared" ca="1" si="2"/>
        <v>#NAME?</v>
      </c>
      <c r="U21" s="102">
        <f ca="1">IF(A21="","",
SUM(
COUNTIFS('QA Log'!D:D,A21,'QA Log'!M:M,"QQC",'QA Log'!L:L,"*8. Maternity*"),
COUNTIFS('QA Log'!D:D,A21,'QA Log'!M:M,"QQC",'QA Log'!L:L,"*9. EPI and Pre-school Consultation*"),
COUNTIFS('QA Log'!D:D,A21,'QA Log'!M:M,"QQC",'QA Log'!L:L,"*10. Antenatal Care (ANC)*"),
COUNTIFS('QA Log'!D:D,A21,'QA Log'!M:M,"QQC",'QA Log'!L:L,"*2. Hygiene and Sterilization*"),
COUNTIFS('QA Log'!D:D,A21,'QA Log'!M:M,"QQC",'QA Log'!L:L,"*4. Family Planning*")
))</f>
        <v>5</v>
      </c>
      <c r="V21" s="102">
        <f ca="1">IF(A21="","",
SUM(
COUNTIFS('QA Log'!D:D,A21,'QA Log'!M:M,"QQC",'QA Log'!Z:Z,"Approved",'QA Log'!L:L,"*8. Maternity*"),
COUNTIFS('QA Log'!D:D,A21,'QA Log'!M:M,"QQC",'QA Log'!Z:Z,"Approved",'QA Log'!L:L,"*9. EPI and Pre-school Consultation*"),
COUNTIFS('QA Log'!D:D,A21,'QA Log'!M:M,"QQC",'QA Log'!Z:Z,"Approved",'QA Log'!L:L,"*10. Antenatal Care (ANC)*"),
COUNTIFS('QA Log'!D:D,A21,'QA Log'!M:M,"QQC",'QA Log'!Z:Z,"Approved",'QA Log'!L:L,"*2. Hygiene and Sterilization*"),
COUNTIFS('QA Log'!D:D,A21,'QA Log'!M:M,"QQC",'QA Log'!Z:Z,"Approved",'QA Log'!L:L,"*4. Family Planning*")
))</f>
        <v>2</v>
      </c>
      <c r="W21" s="105">
        <f ca="1">IF(A21&lt;&gt;"",COUNTIFS('QA Log'!D:D,A21,'QA Log'!M:M,"QQC",'QA Log'!L:L,"8. Maternity",'QA Log'!Z:Z,"Approved"),"")</f>
        <v>0</v>
      </c>
      <c r="X21" s="105">
        <f ca="1">IF(A21&lt;&gt;"",COUNTIFS('QA Log'!D:D,A21,'QA Log'!M:M,"QQC",'QA Log'!L:L,"9. EPI and Pre-school Consultation",'QA Log'!Z:Z,"Approved"),"")</f>
        <v>0</v>
      </c>
      <c r="Y21" s="105">
        <f ca="1">IF(A21&lt;&gt;"",COUNTIFS('QA Log'!D:D,A21,'QA Log'!M:M,"QQC",'QA Log'!L:L,"10. Antenatal Care (ANC)",'QA Log'!Z:Z,"Approved"),"")</f>
        <v>1</v>
      </c>
      <c r="Z21" s="105">
        <f ca="1">IF(A21&lt;&gt;"",COUNTIFS('QA Log'!D:D,A21,'QA Log'!M:M,"QQC",'QA Log'!L:L,"2. Hygiene and Sterilization",'QA Log'!Z:Z,"Approved"),"")</f>
        <v>1</v>
      </c>
      <c r="AA21" s="105">
        <f ca="1">IF(A21&lt;&gt;"",COUNTIFS('QA Log'!D:D,A21,'QA Log'!M:M,"QQC",'QA Log'!L:L,"4. Family Planning",'QA Log'!Z:Z,"Approved"),"")</f>
        <v>0</v>
      </c>
      <c r="AB21" s="102">
        <f ca="1">IF(A21="","",
SUM(
COUNTIFS('QA Log'!D:D,A21,'QA Log'!M:M,"QQC",'QA Log'!Z:Z,"Rejected",'QA Log'!L:L,"*8. Maternity*"),
COUNTIFS('QA Log'!D:D,A21,'QA Log'!M:M,"QQC",'QA Log'!Z:Z,"Rejected",'QA Log'!L:L,"*9. EPI and Pre-school Consultation*"),
COUNTIFS('QA Log'!D:D,A21,'QA Log'!M:M,"QQC",'QA Log'!Z:Z,"Rejected",'QA Log'!L:L,"*10. Antenatal Care (ANC)*"),
COUNTIFS('QA Log'!D:D,A21,'QA Log'!M:M,"QQC",'QA Log'!Z:Z,"Rejected",'QA Log'!L:L,"*2. Hygiene and Sterilization*"),
COUNTIFS('QA Log'!D:D,A21,'QA Log'!M:M,"QQC",'QA Log'!Z:Z,"Rejected",'QA Log'!L:L,"*4. Family Planning*")
))</f>
        <v>0</v>
      </c>
      <c r="AC21" s="102" t="e">
        <f t="shared" ca="1" si="3"/>
        <v>#NAME?</v>
      </c>
      <c r="AD21" s="103" t="e">
        <f t="shared" ca="1" si="4"/>
        <v>#NAME?</v>
      </c>
      <c r="AE21" s="102">
        <f ca="1">IF(A21="","",
SUM(
COUNTIFS('QA Log'!D:D,A21,'QA Log'!M:M,"Data Verification",'QA Log'!L:L,"*Medicine (section 2)*"),
COUNTIFS('QA Log'!D:D,A21,'QA Log'!M:M,"Data Verification",'QA Log'!L:L,"*Lab Testing Availability*"),
COUNTIFS('QA Log'!D:D,A21,'QA Log'!M:M,"Data Verification",'QA Log'!L:L,"*Other than P4P (section 6)*"),
COUNTIFS('QA Log'!D:D,A21,'QA Log'!M:M,"Data Verification",'QA Log'!L:L,"*Hospital Governance*")
))</f>
        <v>0</v>
      </c>
      <c r="AF21" s="102">
        <f ca="1">IF(A21="","",
SUM(
COUNTIFS('QA Log'!D:D,A21,'QA Log'!M:M,"Data Verification",'QA Log'!Z:Z,"Approved",'QA Log'!L:L,"*Medicine (section 2)*"),
COUNTIFS('QA Log'!D:D,A21,'QA Log'!M:M,"Data Verification",'QA Log'!Z:Z,"Approved",'QA Log'!L:L,"*Lab Testing Availability*"),
COUNTIFS('QA Log'!D:D,A21,'QA Log'!M:M,"Data Verification",'QA Log'!Z:Z,"Approved",'QA Log'!L:L,"*Other than P4P (section 6)*"),
COUNTIFS('QA Log'!D:D,A21,'QA Log'!M:M,"Data Verification",'QA Log'!Z:Z,"Approved",'QA Log'!L:L,"*Hospital Governance*")
))</f>
        <v>0</v>
      </c>
      <c r="AG21" s="105">
        <f ca="1">IF(A21&lt;&gt;"",COUNTIFS('QA Log'!D:D,A21,'QA Log'!M:M,"Data Verification",'QA Log'!L:L,"Medicine (section 2)",'QA Log'!Z:Z,"Approved"),"")</f>
        <v>0</v>
      </c>
      <c r="AH21" s="105">
        <f ca="1">IF(A21&lt;&gt;"",COUNTIFS('QA Log'!D:D,A21,'QA Log'!M:M,"Data Verification",'QA Log'!L:L,"Lab Testing Availability",'QA Log'!Z:Z,"Approved"),"")</f>
        <v>0</v>
      </c>
      <c r="AI21" s="105">
        <f ca="1">IF(A21&lt;&gt;"",COUNTIFS('QA Log'!D:D,A21,'QA Log'!M:M,"Data Verification",'QA Log'!L:L,"Other than P4P (section 6)",'QA Log'!Z:Z,"Approved"),"")</f>
        <v>0</v>
      </c>
      <c r="AJ21" s="105">
        <f ca="1">IF(A21&lt;&gt;"",COUNTIFS('QA Log'!D:D,A21,'QA Log'!M:M,"Data Verification",'QA Log'!L:L,"Hospital Governance",'QA Log'!Z:Z,"Approved"),"")</f>
        <v>0</v>
      </c>
      <c r="AK21" s="102">
        <f ca="1">IF(A21="","",
SUM(
COUNTIFS('QA Log'!D:D,A21,'QA Log'!M:M,"Data Verification",'QA Log'!Z:Z,"Rejected",'QA Log'!L:L,"*Medicine (section 2)*"),
COUNTIFS('QA Log'!D:D,A21,'QA Log'!M:M,"Data Verification",'QA Log'!Z:Z,"Rejected",'QA Log'!L:L,"*Lab Testing Availability*"),
COUNTIFS('QA Log'!D:D,A21,'QA Log'!M:M,"Data Verification",'QA Log'!Z:Z,"Rejected",'QA Log'!L:L,"*Other than P4P (section 6)*"),
COUNTIFS('QA Log'!D:D,A21,'QA Log'!M:M,"Data Verification",'QA Log'!Z:Z,"Rejected",'QA Log'!L:L,"*Hospital Governance*")
))</f>
        <v>0</v>
      </c>
      <c r="AL21" s="106" t="e">
        <f t="shared" ca="1" si="5"/>
        <v>#NAME?</v>
      </c>
      <c r="AM21" s="102" t="e">
        <f t="shared" ca="1" si="6"/>
        <v>#NAME?</v>
      </c>
      <c r="AN21" s="102">
        <f ca="1">IF(A21="","",
SUM(
COUNTIFS('QA Log'!D:D,A21,'QA Log'!M:M,"Data Verification",'QA Log'!L:L,"*Personnel (section 1)*"),
COUNTIFS('QA Log'!D:D,A21,'QA Log'!M:M,"Data Verification",'QA Log'!L:L,"*Consumable (section 3)*"),
COUNTIFS('QA Log'!D:D,A21,'QA Log'!M:M,"Data Verification",'QA Log'!L:L,"*Equipments (section 4)*")
))</f>
        <v>1</v>
      </c>
      <c r="AO21" s="102">
        <f ca="1">IF(A21="","",
SUM(
COUNTIFS('QA Log'!D:D,A21,'QA Log'!M:M,"Data Verification",'QA Log'!Z:Z,"Approved",'QA Log'!L:L,"*Personnel (section 1)*"),
COUNTIFS('QA Log'!D:D,A21,'QA Log'!M:M,"Data Verification",'QA Log'!Z:Z,"Approved",'QA Log'!L:L,"*Consumable (section 3)*"),
COUNTIFS('QA Log'!D:D,A21,'QA Log'!M:M,"Data Verification",'QA Log'!Z:Z,"Approved",'QA Log'!L:L,"*Equipments (section 4)*")
))</f>
        <v>0</v>
      </c>
      <c r="AP21" s="105">
        <f ca="1">IF(A21&lt;&gt;"",COUNTIFS('QA Log'!D:D,A21,'QA Log'!M:M,"Data Verification",'QA Log'!L:L,"Personnel (section 1)",'QA Log'!Z:Z,"Approved"),"")</f>
        <v>0</v>
      </c>
      <c r="AQ21" s="105">
        <f ca="1">IF(A21&lt;&gt;"",COUNTIFS('QA Log'!D:D,A21,'QA Log'!M:M,"Data Verification",'QA Log'!L:L,"Consumable (section 3)",'QA Log'!Z:Z,"Approved"),"")</f>
        <v>0</v>
      </c>
      <c r="AR21" s="105">
        <f ca="1">IF(A21&lt;&gt;"",COUNTIFS('QA Log'!D:D,A21,'QA Log'!M:M,"Data Verification",'QA Log'!L:L,"Equipments (section 4)",'QA Log'!Z:Z,"Approved"),"")</f>
        <v>0</v>
      </c>
      <c r="AS21" s="102">
        <f ca="1">IF(A21="","",
SUM(
COUNTIFS('QA Log'!D:D,A21,'QA Log'!M:M,"Data Verification",'QA Log'!Z:Z,"Rejected",'QA Log'!L:L,"*Personnel (section 1)*"),
COUNTIFS('QA Log'!D:D,A21,'QA Log'!M:M,"Data Verification",'QA Log'!Z:Z,"Rejected",'QA Log'!L:L,"*Consumable (section 3)*"),
COUNTIFS('QA Log'!D:D,A21,'QA Log'!M:M,"Data Verification",'QA Log'!Z:Z,"Rejected",'QA Log'!L:L,"*Equipments (section 4)*")
))</f>
        <v>0</v>
      </c>
      <c r="AT21" s="102" t="e">
        <f t="shared" ca="1" si="7"/>
        <v>#NAME?</v>
      </c>
      <c r="AU21" s="103">
        <f t="shared" ca="1" si="8"/>
        <v>2</v>
      </c>
      <c r="AV21" s="102">
        <f ca="1">IF(A21="","",SUM(
COUNTIFS('QA Log'!D:D,A21,'QA Log'!M:M,"Vignette",'QA Log'!L:L,"*Vignette [1] Respiratory Infection: Pneumonia*"),
COUNTIFS('QA Log'!D:D,A21,'QA Log'!M:M,"Vignette",'QA Log'!L:L,"*Vignette [2]: Diarrhea with Cat B dehydration*"),
COUNTIFS('QA Log'!D:D,A21,'QA Log'!M:M,"Vignette",'QA Log'!L:L,"*Vignette [3] Growth Monitoring and Promotion*"),
COUNTIFS('QA Log'!D:D,A21,'QA Log'!M:M,"Vignette",'QA Log'!L:L,"*Vignette [4]: The management of presumptive TB patient*")
)
)</f>
        <v>3</v>
      </c>
      <c r="AW21" s="102">
        <f ca="1">IF(
  A21="","",
  SUM(
    COUNTIFS('QA Log'!D:D,A21,'QA Log'!M:M,"Vignette",'QA Log'!Z:Z,"Approved",'QA Log'!L:L,"*Vignette [1] Respiratory Infection: Pneumonia*"),
    COUNTIFS('QA Log'!D:D,A21,'QA Log'!M:M,"Vignette",'QA Log'!Z:Z,"Approved",'QA Log'!L:L,"*Vignette [2]: Diarrhea with Cat B dehydration*"),
    COUNTIFS('QA Log'!D:D,A21,'QA Log'!M:M,"Vignette",'QA Log'!Z:Z,"Approved",'QA Log'!L:L,"*Vignette [3] Growth Monitoring and Promotion*"),
    COUNTIFS('QA Log'!D:D,A21,'QA Log'!M:M,"Vignette",'QA Log'!Z:Z,"Approved",'QA Log'!L:L,"*Vignette [4]: The management of presumptive TB patient*")
  )
)</f>
        <v>0</v>
      </c>
      <c r="AX21" s="105">
        <f ca="1">IF(A21&lt;&gt;"",COUNTIFS('QA Log'!D:D,A21,'QA Log'!M:M,"Vignette",'QA Log'!L:L,"Vignette [1] Respiratory Infection: Pneumonia",'QA Log'!Z:Z,"Approved"),"")</f>
        <v>0</v>
      </c>
      <c r="AY21" s="105">
        <f ca="1">IF(A21&lt;&gt;"",COUNTIFS('QA Log'!D:D,A21,'QA Log'!M:M,"Vignette",'QA Log'!L:L,"Vignette [2]: Diarrhea with Cat B dehydration",'QA Log'!Z:Z,"Approved"),"")</f>
        <v>0</v>
      </c>
      <c r="AZ21" s="105">
        <f ca="1">IF(A21&lt;&gt;"",COUNTIFS('QA Log'!D:D,A21,'QA Log'!M:M,"Vignette",'QA Log'!L:L,"Vignette [3] Growth Monitoring and Promotion",'QA Log'!Z:Z,"Approved"),"")</f>
        <v>0</v>
      </c>
      <c r="BA21" s="105">
        <f ca="1">IF(A21&lt;&gt;"",COUNTIFS('QA Log'!D:D,A21,'QA Log'!M:M,"Vignette",'QA Log'!L:L,"Vignette [4]: The management of presumptive TB patient",'QA Log'!Z:Z,"Approved"),"")</f>
        <v>0</v>
      </c>
      <c r="BB21" s="102">
        <f ca="1">IF(A21="","",
  SUM(
    COUNTIFS('QA Log'!D:D,A21,'QA Log'!M:M,"Vignette",'QA Log'!Z:Z,"Rejected",'QA Log'!L:L,"*Vignette [1] Respiratory Infection: Pneumonia*"),
    COUNTIFS('QA Log'!D:D,A21,'QA Log'!M:M,"Vignette",'QA Log'!Z:Z,"Rejected",'QA Log'!L:L,"*Vignette [2]: Diarrhea with Cat B dehydration*"),
    COUNTIFS('QA Log'!D:D,A21,'QA Log'!M:M,"Vignette",'QA Log'!Z:Z,"Rejected",'QA Log'!L:L,"*Vignette [3] Growth Monitoring and Promotion*"),
    COUNTIFS('QA Log'!D:D,A21,'QA Log'!M:M,"Vignette",'QA Log'!Z:Z,"Rejected",'QA Log'!L:L,"*Vignette [4]: The management of presumptive TB patient*")
  )
)</f>
        <v>0</v>
      </c>
      <c r="BC21" s="107">
        <f t="shared" ca="1" si="9"/>
        <v>2</v>
      </c>
      <c r="BD21" s="103">
        <f t="shared" ca="1" si="10"/>
        <v>2</v>
      </c>
      <c r="BE21" s="102">
        <f ca="1">IF(A21="","",SUM(
COUNTIFS('QA Log'!D:D,A21,'QA Log'!M:M,"Vignette",'QA Log'!L:L,"*Vignette [5] Labor*"),
COUNTIFS('QA Log'!D:D,A21,'QA Log'!M:M,"Vignette",'QA Log'!L:L,"*Vignette [6] PNC pre Discharge*"),
COUNTIFS('QA Log'!D:D,A21,'QA Log'!M:M,"Vignette",'QA Log'!L:L,"*Vignette [7] First ANC Visit*"),
COUNTIFS('QA Log'!D:D,A21,'QA Log'!M:M,"Vignette",'QA Log'!L:L,"*Vignette [8] Birth Spacing/ Family Planning :  FP Counselling*"),
COUNTIFS('QA Log'!D:D,A21,'QA Log'!M:M,"Vignette",'QA Log'!L:L,"*Vignette [9] Birth Spacing: Change FP method to Injectable*"),
COUNTIFS('QA Log'!D:D,A21,'QA Log'!M:M,"Vignette",'QA Log'!L:L,"*Vignette [10] Post Partum Haemorrhage - Atonic Uterus at Health Centre*"),
)
)</f>
        <v>1</v>
      </c>
      <c r="BF21" s="102">
        <f ca="1">IF(A21="","",
  SUM(
    COUNTIFS('QA Log'!D:D,A21,'QA Log'!M:M,"Vignette",'QA Log'!Z:Z,"Approved",'QA Log'!L:L,"*Vignette [5] Labor*"),
    COUNTIFS('QA Log'!D:D,A21,'QA Log'!M:M,"Vignette",'QA Log'!Z:Z,"Approved",'QA Log'!L:L,"*Vignette [6] PNC pre Discharge*"),
    COUNTIFS('QA Log'!D:D,A21,'QA Log'!M:M,"Vignette",'QA Log'!Z:Z,"Approved",'QA Log'!L:L,"*Vignette [7] First ANC Visit*"),
    COUNTIFS('QA Log'!D:D,A21,'QA Log'!M:M,"Vignette",'QA Log'!Z:Z,"Approved",'QA Log'!L:L,"*Vignette [8] Birth Spacing/ Family Planning :  FP Counselling*"),
    COUNTIFS('QA Log'!D:D,A21,'QA Log'!M:M,"Vignette",'QA Log'!Z:Z,"Approved",'QA Log'!L:L,"*Vignette [9] Birth Spacing: Change FP method to Injectable*"),
    COUNTIFS('QA Log'!D:D,A21,'QA Log'!M:M,"Vignette",'QA Log'!Z:Z,"Approved",'QA Log'!L:L,"*Vignette [10] Post Partum Haemorrhage - Atonic Uterus at Health Centre*")
  )
)</f>
        <v>0</v>
      </c>
      <c r="BG21" s="105">
        <f ca="1">IF(A21&lt;&gt;"",COUNTIFS('QA Log'!D:D,A21,'QA Log'!M:M,"Vignette",'QA Log'!L:L,"Vignette [5] Labor",'QA Log'!Z:Z,"Approved"),"")</f>
        <v>0</v>
      </c>
      <c r="BH21" s="105">
        <f ca="1">IF(A21&lt;&gt;"",COUNTIFS('QA Log'!D:D,A21,'QA Log'!M:M,"Vignette",'QA Log'!L:L,"Vignette [6] PNC pre Discharge",'QA Log'!Z:Z,"Approved"),"")</f>
        <v>0</v>
      </c>
      <c r="BI21" s="105">
        <f ca="1">IF(A21&lt;&gt;"",COUNTIFS('QA Log'!D:D,A21,'QA Log'!M:M,"Vignette",'QA Log'!L:L,"Vignette [7] First ANC Visit",'QA Log'!Z:Z,"Approved"),"")</f>
        <v>0</v>
      </c>
      <c r="BJ21" s="105">
        <f ca="1">IF(A21&lt;&gt;"",COUNTIFS('QA Log'!D:D,A21,'QA Log'!M:M,"Vignette",'QA Log'!L:L,"Vignette [8] Birth Spacing/ Family Planning :  FP Counselling",'QA Log'!Z:Z,"Approved"),"")</f>
        <v>0</v>
      </c>
      <c r="BK21" s="105">
        <f ca="1">IF(A21&lt;&gt;"",COUNTIFS('QA Log'!D:D,A21,'QA Log'!M:M,"Vignette",'QA Log'!L:L,"Vignette [9] Birth Spacing: Change FP method to Injectable",'QA Log'!Z:Z,"Approved"),"")</f>
        <v>0</v>
      </c>
      <c r="BL21" s="105">
        <f ca="1">IF(A21&lt;&gt;"",COUNTIFS('QA Log'!D:D,A21,'QA Log'!M:M,"Vignette",'QA Log'!L:L,"Vignette [10] Post Partum Haemorrhage - Atonic Uterus at Health Centre",'QA Log'!Z:Z,"Approved"),"")</f>
        <v>0</v>
      </c>
      <c r="BM21" s="102">
        <f ca="1">IF(A21="","",SUM(
    COUNTIFS('QA Log'!D:D,A21,'QA Log'!M:M,"Vignette",'QA Log'!Z:Z,"Rejected",'QA Log'!L:L,"*Vignette [5] Labor*"),
    COUNTIFS('QA Log'!D:D,A21,'QA Log'!M:M,"Vignette",'QA Log'!Z:Z,"Rejected",'QA Log'!L:L,"*Vignette [6] PNC pre Discharge*"),
    COUNTIFS('QA Log'!D:D,A21,'QA Log'!M:M,"Vignette",'QA Log'!Z:Z,"Rejected",'QA Log'!L:L,"*Vignette [7] First ANC Visit*"),
    COUNTIFS('QA Log'!D:D,A21,'QA Log'!M:M,"Vignette",'QA Log'!Z:Z,"Rejected",'QA Log'!L:L,"*Vignette [8] Birth Spacing/ Family Planning :  FP Counselling*"),
    COUNTIFS('QA Log'!D:D,A21,'QA Log'!M:M,"Vignette",'QA Log'!Z:Z,"Rejected",'QA Log'!L:L,"*Vignette [9] Birth Spacing: Change FP method to Injectable*"),
    COUNTIFS('QA Log'!D:D,A21,'QA Log'!M:M,"Vignette",'QA Log'!Z:Z,"Rejected",'QA Log'!L:L,"*Vignette [10] Post Partum Haemorrhage - Atonic Uterus at Health Centre*")
  )
)</f>
        <v>0</v>
      </c>
      <c r="BN21" s="107">
        <f t="shared" ca="1" si="11"/>
        <v>2</v>
      </c>
      <c r="BO21" s="103">
        <f t="shared" ca="1" si="12"/>
        <v>2</v>
      </c>
      <c r="BP21" s="102">
        <f ca="1">IF(A21="","",SUM(
COUNTIFS('QA Log'!D:D,A21,'QA Log'!M:M,"Vignette",'QA Log'!L:L,"*Exit Interview 1*"),
COUNTIFS('QA Log'!D:D,A21,'QA Log'!M:M,"Vignette",'QA Log'!L:L,"*Exit Interview 2*"),
)
)</f>
        <v>2</v>
      </c>
      <c r="BQ21" s="102">
        <f ca="1">IF(
  A21="","",
  SUM(
    COUNTIFS('QA Log'!D:D,A21,'QA Log'!M:M,"Vignette",'QA Log'!Z:Z,"Approved",'QA Log'!L:L,"*Exit Interview 1*"),
    COUNTIFS('QA Log'!D:D,A21,'QA Log'!M:M,"Vignette",'QA Log'!Z:Z,"Approved",'QA Log'!L:L,"*Exit Interview 2*")
  )
)</f>
        <v>0</v>
      </c>
      <c r="BR21" s="105">
        <f ca="1">IF(A21&lt;&gt;"",COUNTIFS('QA Log'!D:D,A21,'QA Log'!M:M,"Vignette",'QA Log'!L:L,"Exit Interview 1",'QA Log'!Z:Z,"Approved"),"")</f>
        <v>0</v>
      </c>
      <c r="BS21" s="105">
        <f ca="1">IF(A21&lt;&gt;"",COUNTIFS('QA Log'!D:D,A21,'QA Log'!M:M,"Vignette",'QA Log'!L:L,"Exit Interview 2",'QA Log'!Z:Z,"Approved"),"")</f>
        <v>0</v>
      </c>
      <c r="BT21" s="102">
        <f ca="1">IF(
  A21="","",
  SUM(
    COUNTIFS('QA Log'!D:D,A21,'QA Log'!M:M,"Vignette",'QA Log'!Z:Z,"Rejected",'QA Log'!L:L,"*Exit Interview 1*"),
    COUNTIFS('QA Log'!D:D,A21,'QA Log'!M:M,"Vignette",'QA Log'!Z:Z,"Rejected",'QA Log'!L:L,"*Exit Interview 2*")
  )
)</f>
        <v>0</v>
      </c>
      <c r="BU21" s="107">
        <f t="shared" ca="1" si="13"/>
        <v>2</v>
      </c>
      <c r="BV21" s="102" t="e">
        <f t="shared" ca="1" si="14"/>
        <v>#NAME?</v>
      </c>
      <c r="BW21" s="102">
        <f t="shared" ca="1" si="15"/>
        <v>17</v>
      </c>
      <c r="BX21" s="102">
        <f t="shared" ca="1" si="16"/>
        <v>3</v>
      </c>
      <c r="BY21" s="102">
        <f t="shared" ca="1" si="17"/>
        <v>0</v>
      </c>
      <c r="BZ21" s="107" t="e">
        <f t="shared" ca="1" si="18"/>
        <v>#NAME?</v>
      </c>
      <c r="CA21" s="108" t="e">
        <f t="shared" ca="1" si="19"/>
        <v>#NAME?</v>
      </c>
      <c r="CB21" s="108" t="e">
        <f t="shared" ca="1" si="20"/>
        <v>#NAME?</v>
      </c>
      <c r="CC21" s="109" t="str">
        <f t="shared" ca="1" si="21"/>
        <v>Not Received</v>
      </c>
      <c r="CD21" s="108" t="e">
        <f t="shared" ca="1" si="22"/>
        <v>#NAME?</v>
      </c>
      <c r="CE21" s="108" t="e">
        <f t="shared" ca="1" si="23"/>
        <v>#NAME?</v>
      </c>
      <c r="CF21" s="109" t="str">
        <f t="shared" ca="1" si="24"/>
        <v>Not Received</v>
      </c>
      <c r="CG21" s="110" t="e">
        <f t="shared" ca="1" si="25"/>
        <v>#NAME?</v>
      </c>
      <c r="CH21" s="111"/>
    </row>
    <row r="22" spans="1:86" ht="12.75">
      <c r="A22" s="101" t="str">
        <f ca="1">IFERROR(__xludf.DUMMYFUNCTION("""COMPUTED_VALUE"""),"HER-KDZ-HF2647-Q2-2025-1143-01")</f>
        <v>HER-KDZ-HF2647-Q2-2025-1143-01</v>
      </c>
      <c r="B22" s="102" t="e">
        <f t="array" aca="1" ref="B22" ca="1">_xludf.XLOOKUP(A22,'QA Log'!D:D,'QA Log'!E:E,"")</f>
        <v>#NAME?</v>
      </c>
      <c r="C22" s="102" t="e">
        <f t="array" aca="1" ref="C22" ca="1">_xludf.XLOOKUP(A22,'QA Log'!D:D,'QA Log'!F:F,"")</f>
        <v>#NAME?</v>
      </c>
      <c r="D22" s="102" t="e">
        <f t="array" aca="1" ref="D22" ca="1">_xludf.XLOOKUP(A22,'QA Log'!D:D,'QA Log'!H:H,"")</f>
        <v>#NAME?</v>
      </c>
      <c r="E22" s="102" t="e">
        <f t="array" aca="1" ref="E22" ca="1">_xludf.XLOOKUP(A22,'QA Log'!D:D,'QA Log'!G:G,"")</f>
        <v>#NAME?</v>
      </c>
      <c r="F22" s="103"/>
      <c r="G22" s="104"/>
      <c r="H22" s="104"/>
      <c r="I22" s="103" t="e">
        <f t="shared" ca="1" si="0"/>
        <v>#NAME?</v>
      </c>
      <c r="J22" s="102">
        <f ca="1">IF(A22="","",SUM(
COUNTIFS('QA Log'!D:D,A22,'QA Log'!M:M,"QQC",'QA Log'!L:L,"*1. General Management*"),
COUNTIFS('QA Log'!D:D,A22,'QA Log'!M:M,"QQC",'QA Log'!L:L,"*3. Curative Consultation (OPD)*"),
COUNTIFS('QA Log'!D:D,A22,'QA Log'!M:M,"QQC",'QA Log'!L:L,"*5. Laboratory*"),
COUNTIFS('QA Log'!D:D,A22,'QA Log'!M:M,"QQC",'QA Log'!L:L,"*6. Essential Medicine Management*"),
COUNTIFS('QA Log'!D:D,A22,'QA Log'!M:M,"QQC",'QA Log'!L:L,"*7. Tracer Medicine*"),
COUNTIFS('QA Log'!D:D,A22,'QA Log'!M:M,"QQC",'QA Log'!L:L,"*11. Additional Questions*")))</f>
        <v>0</v>
      </c>
      <c r="K22" s="102">
        <f ca="1">IF(A22="","",SUM(
COUNTIFS('QA Log'!D:D,A22,'QA Log'!M:M,"QQC",'QA Log'!Z:Z,"Approved",'QA Log'!L:L,"*1. General Management*"),
COUNTIFS('QA Log'!D:D,A22,'QA Log'!M:M,"QQC",'QA Log'!Z:Z,"Approved",'QA Log'!L:L,"*3. Curative Consultation (OPD)*"),
COUNTIFS('QA Log'!D:D,A22,'QA Log'!M:M,"QQC",'QA Log'!Z:Z,"Approved",'QA Log'!L:L,"*5. Laboratory*"),
COUNTIFS('QA Log'!D:D,A22,'QA Log'!M:M,"QQC",'QA Log'!Z:Z,"Approved",'QA Log'!L:L,"*6. Essential Medicine Management*"),
COUNTIFS('QA Log'!D:D,A22,'QA Log'!M:M,"QQC",'QA Log'!Z:Z,"Approved",'QA Log'!L:L,"*7. Tracer Medicine*"),
COUNTIFS('QA Log'!D:D,A22,'QA Log'!M:M,"QQC",'QA Log'!Z:Z,"Approved",'QA Log'!L:L,"*11. Additional Questions*")))</f>
        <v>0</v>
      </c>
      <c r="L22" s="105">
        <f ca="1">IF(A22&lt;&gt;"",COUNTIFS('QA Log'!D:D,A22,'QA Log'!M:M,"QQC",'QA Log'!L:L,"1. General Management",'QA Log'!Z:Z,"Approved"),"")</f>
        <v>0</v>
      </c>
      <c r="M22" s="105">
        <f ca="1">IF(A22&lt;&gt;"",COUNTIFS('QA Log'!D:D,A22,'QA Log'!M:M,"QQC",'QA Log'!L:L,"3. Curative Consultation (OPD)",'QA Log'!Z:Z,"Approved"),"")</f>
        <v>0</v>
      </c>
      <c r="N22" s="105">
        <f ca="1">IF(A22&lt;&gt;"",COUNTIFS('QA Log'!D:D,A22,'QA Log'!M:M,"QQC",'QA Log'!L:L,"5. Laboratory",'QA Log'!Z:Z,"Approved"),"")</f>
        <v>0</v>
      </c>
      <c r="O22" s="105">
        <f ca="1">IF(A22&lt;&gt;"",COUNTIFS('QA Log'!D:D,A22,'QA Log'!M:M,"QQC",'QA Log'!L:L,"6. Essential Medicine Management",'QA Log'!Z:Z,"Approved"),"")</f>
        <v>0</v>
      </c>
      <c r="P22" s="105">
        <f ca="1">IF(A22&lt;&gt;"",COUNTIFS('QA Log'!D:D,A22,'QA Log'!M:M,"QQC",'QA Log'!L:L,"7. Tracer Medicine",'QA Log'!Z:Z,"Approved"),"")</f>
        <v>0</v>
      </c>
      <c r="Q22" s="105">
        <f ca="1">IF(A22&lt;&gt;"",COUNTIFS('QA Log'!D:D,A22,'QA Log'!M:M,"QQC",'QA Log'!L:L,"11. Additional Questions",'QA Log'!Z:Z,"Approved"),"")</f>
        <v>0</v>
      </c>
      <c r="R22" s="102">
        <f ca="1">IF(A22="","",SUM(
COUNTIFS('QA Log'!D:D,A22,'QA Log'!M:M,"QQC",'QA Log'!Z:Z,"Rejected",'QA Log'!L:L,"*8. Maternity*"),
COUNTIFS('QA Log'!D:D,A22,'QA Log'!M:M,"QQC",'QA Log'!Z:Z,"Rejected",'QA Log'!L:L,"*EPI*"),
COUNTIFS('QA Log'!D:D,A22,'QA Log'!M:M,"QQC",'QA Log'!Z:Z,"Rejected",'QA Log'!L:L,"*10. Antenatal Care (ANC)*"),
COUNTIFS('QA Log'!D:D,A22,'QA Log'!M:M,"QQC",'QA Log'!Z:Z,"Rejected",'QA Log'!L:L,"*2. Hygiene and Sterilization*"),
COUNTIFS('QA Log'!D:D,A22,'QA Log'!M:M,"QQC",'QA Log'!Z:Z,"Rejected",'QA Log'!L:L,"*Family Planning*")))</f>
        <v>0</v>
      </c>
      <c r="S22" s="106" t="e">
        <f t="shared" ca="1" si="1"/>
        <v>#NAME?</v>
      </c>
      <c r="T22" s="102" t="e">
        <f t="shared" ca="1" si="2"/>
        <v>#NAME?</v>
      </c>
      <c r="U22" s="102">
        <f ca="1">IF(A22="","",
SUM(
COUNTIFS('QA Log'!D:D,A22,'QA Log'!M:M,"QQC",'QA Log'!L:L,"*8. Maternity*"),
COUNTIFS('QA Log'!D:D,A22,'QA Log'!M:M,"QQC",'QA Log'!L:L,"*9. EPI and Pre-school Consultation*"),
COUNTIFS('QA Log'!D:D,A22,'QA Log'!M:M,"QQC",'QA Log'!L:L,"*10. Antenatal Care (ANC)*"),
COUNTIFS('QA Log'!D:D,A22,'QA Log'!M:M,"QQC",'QA Log'!L:L,"*2. Hygiene and Sterilization*"),
COUNTIFS('QA Log'!D:D,A22,'QA Log'!M:M,"QQC",'QA Log'!L:L,"*4. Family Planning*")
))</f>
        <v>0</v>
      </c>
      <c r="V22" s="102">
        <f ca="1">IF(A22="","",
SUM(
COUNTIFS('QA Log'!D:D,A22,'QA Log'!M:M,"QQC",'QA Log'!Z:Z,"Approved",'QA Log'!L:L,"*8. Maternity*"),
COUNTIFS('QA Log'!D:D,A22,'QA Log'!M:M,"QQC",'QA Log'!Z:Z,"Approved",'QA Log'!L:L,"*9. EPI and Pre-school Consultation*"),
COUNTIFS('QA Log'!D:D,A22,'QA Log'!M:M,"QQC",'QA Log'!Z:Z,"Approved",'QA Log'!L:L,"*10. Antenatal Care (ANC)*"),
COUNTIFS('QA Log'!D:D,A22,'QA Log'!M:M,"QQC",'QA Log'!Z:Z,"Approved",'QA Log'!L:L,"*2. Hygiene and Sterilization*"),
COUNTIFS('QA Log'!D:D,A22,'QA Log'!M:M,"QQC",'QA Log'!Z:Z,"Approved",'QA Log'!L:L,"*4. Family Planning*")
))</f>
        <v>0</v>
      </c>
      <c r="W22" s="105">
        <f ca="1">IF(A22&lt;&gt;"",COUNTIFS('QA Log'!D:D,A22,'QA Log'!M:M,"QQC",'QA Log'!L:L,"8. Maternity",'QA Log'!Z:Z,"Approved"),"")</f>
        <v>0</v>
      </c>
      <c r="X22" s="105">
        <f ca="1">IF(A22&lt;&gt;"",COUNTIFS('QA Log'!D:D,A22,'QA Log'!M:M,"QQC",'QA Log'!L:L,"9. EPI and Pre-school Consultation",'QA Log'!Z:Z,"Approved"),"")</f>
        <v>0</v>
      </c>
      <c r="Y22" s="105">
        <f ca="1">IF(A22&lt;&gt;"",COUNTIFS('QA Log'!D:D,A22,'QA Log'!M:M,"QQC",'QA Log'!L:L,"10. Antenatal Care (ANC)",'QA Log'!Z:Z,"Approved"),"")</f>
        <v>0</v>
      </c>
      <c r="Z22" s="105">
        <f ca="1">IF(A22&lt;&gt;"",COUNTIFS('QA Log'!D:D,A22,'QA Log'!M:M,"QQC",'QA Log'!L:L,"2. Hygiene and Sterilization",'QA Log'!Z:Z,"Approved"),"")</f>
        <v>0</v>
      </c>
      <c r="AA22" s="105">
        <f ca="1">IF(A22&lt;&gt;"",COUNTIFS('QA Log'!D:D,A22,'QA Log'!M:M,"QQC",'QA Log'!L:L,"4. Family Planning",'QA Log'!Z:Z,"Approved"),"")</f>
        <v>0</v>
      </c>
      <c r="AB22" s="102">
        <f ca="1">IF(A22="","",
SUM(
COUNTIFS('QA Log'!D:D,A22,'QA Log'!M:M,"QQC",'QA Log'!Z:Z,"Rejected",'QA Log'!L:L,"*8. Maternity*"),
COUNTIFS('QA Log'!D:D,A22,'QA Log'!M:M,"QQC",'QA Log'!Z:Z,"Rejected",'QA Log'!L:L,"*9. EPI and Pre-school Consultation*"),
COUNTIFS('QA Log'!D:D,A22,'QA Log'!M:M,"QQC",'QA Log'!Z:Z,"Rejected",'QA Log'!L:L,"*10. Antenatal Care (ANC)*"),
COUNTIFS('QA Log'!D:D,A22,'QA Log'!M:M,"QQC",'QA Log'!Z:Z,"Rejected",'QA Log'!L:L,"*2. Hygiene and Sterilization*"),
COUNTIFS('QA Log'!D:D,A22,'QA Log'!M:M,"QQC",'QA Log'!Z:Z,"Rejected",'QA Log'!L:L,"*4. Family Planning*")
))</f>
        <v>0</v>
      </c>
      <c r="AC22" s="102" t="e">
        <f t="shared" ca="1" si="3"/>
        <v>#NAME?</v>
      </c>
      <c r="AD22" s="103" t="e">
        <f t="shared" ca="1" si="4"/>
        <v>#NAME?</v>
      </c>
      <c r="AE22" s="102">
        <f ca="1">IF(A22="","",
SUM(
COUNTIFS('QA Log'!D:D,A22,'QA Log'!M:M,"Data Verification",'QA Log'!L:L,"*Medicine (section 2)*"),
COUNTIFS('QA Log'!D:D,A22,'QA Log'!M:M,"Data Verification",'QA Log'!L:L,"*Lab Testing Availability*"),
COUNTIFS('QA Log'!D:D,A22,'QA Log'!M:M,"Data Verification",'QA Log'!L:L,"*Other than P4P (section 6)*"),
COUNTIFS('QA Log'!D:D,A22,'QA Log'!M:M,"Data Verification",'QA Log'!L:L,"*Hospital Governance*")
))</f>
        <v>2</v>
      </c>
      <c r="AF22" s="102">
        <f ca="1">IF(A22="","",
SUM(
COUNTIFS('QA Log'!D:D,A22,'QA Log'!M:M,"Data Verification",'QA Log'!Z:Z,"Approved",'QA Log'!L:L,"*Medicine (section 2)*"),
COUNTIFS('QA Log'!D:D,A22,'QA Log'!M:M,"Data Verification",'QA Log'!Z:Z,"Approved",'QA Log'!L:L,"*Lab Testing Availability*"),
COUNTIFS('QA Log'!D:D,A22,'QA Log'!M:M,"Data Verification",'QA Log'!Z:Z,"Approved",'QA Log'!L:L,"*Other than P4P (section 6)*"),
COUNTIFS('QA Log'!D:D,A22,'QA Log'!M:M,"Data Verification",'QA Log'!Z:Z,"Approved",'QA Log'!L:L,"*Hospital Governance*")
))</f>
        <v>0</v>
      </c>
      <c r="AG22" s="105">
        <f ca="1">IF(A22&lt;&gt;"",COUNTIFS('QA Log'!D:D,A22,'QA Log'!M:M,"Data Verification",'QA Log'!L:L,"Medicine (section 2)",'QA Log'!Z:Z,"Approved"),"")</f>
        <v>0</v>
      </c>
      <c r="AH22" s="105">
        <f ca="1">IF(A22&lt;&gt;"",COUNTIFS('QA Log'!D:D,A22,'QA Log'!M:M,"Data Verification",'QA Log'!L:L,"Lab Testing Availability",'QA Log'!Z:Z,"Approved"),"")</f>
        <v>0</v>
      </c>
      <c r="AI22" s="105">
        <f ca="1">IF(A22&lt;&gt;"",COUNTIFS('QA Log'!D:D,A22,'QA Log'!M:M,"Data Verification",'QA Log'!L:L,"Other than P4P (section 6)",'QA Log'!Z:Z,"Approved"),"")</f>
        <v>0</v>
      </c>
      <c r="AJ22" s="105">
        <f ca="1">IF(A22&lt;&gt;"",COUNTIFS('QA Log'!D:D,A22,'QA Log'!M:M,"Data Verification",'QA Log'!L:L,"Hospital Governance",'QA Log'!Z:Z,"Approved"),"")</f>
        <v>0</v>
      </c>
      <c r="AK22" s="102">
        <f ca="1">IF(A22="","",
SUM(
COUNTIFS('QA Log'!D:D,A22,'QA Log'!M:M,"Data Verification",'QA Log'!Z:Z,"Rejected",'QA Log'!L:L,"*Medicine (section 2)*"),
COUNTIFS('QA Log'!D:D,A22,'QA Log'!M:M,"Data Verification",'QA Log'!Z:Z,"Rejected",'QA Log'!L:L,"*Lab Testing Availability*"),
COUNTIFS('QA Log'!D:D,A22,'QA Log'!M:M,"Data Verification",'QA Log'!Z:Z,"Rejected",'QA Log'!L:L,"*Other than P4P (section 6)*"),
COUNTIFS('QA Log'!D:D,A22,'QA Log'!M:M,"Data Verification",'QA Log'!Z:Z,"Rejected",'QA Log'!L:L,"*Hospital Governance*")
))</f>
        <v>0</v>
      </c>
      <c r="AL22" s="106" t="e">
        <f t="shared" ca="1" si="5"/>
        <v>#NAME?</v>
      </c>
      <c r="AM22" s="102" t="e">
        <f t="shared" ca="1" si="6"/>
        <v>#NAME?</v>
      </c>
      <c r="AN22" s="102">
        <f ca="1">IF(A22="","",
SUM(
COUNTIFS('QA Log'!D:D,A22,'QA Log'!M:M,"Data Verification",'QA Log'!L:L,"*Personnel (section 1)*"),
COUNTIFS('QA Log'!D:D,A22,'QA Log'!M:M,"Data Verification",'QA Log'!L:L,"*Consumable (section 3)*"),
COUNTIFS('QA Log'!D:D,A22,'QA Log'!M:M,"Data Verification",'QA Log'!L:L,"*Equipments (section 4)*")
))</f>
        <v>2</v>
      </c>
      <c r="AO22" s="102">
        <f ca="1">IF(A22="","",
SUM(
COUNTIFS('QA Log'!D:D,A22,'QA Log'!M:M,"Data Verification",'QA Log'!Z:Z,"Approved",'QA Log'!L:L,"*Personnel (section 1)*"),
COUNTIFS('QA Log'!D:D,A22,'QA Log'!M:M,"Data Verification",'QA Log'!Z:Z,"Approved",'QA Log'!L:L,"*Consumable (section 3)*"),
COUNTIFS('QA Log'!D:D,A22,'QA Log'!M:M,"Data Verification",'QA Log'!Z:Z,"Approved",'QA Log'!L:L,"*Equipments (section 4)*")
))</f>
        <v>0</v>
      </c>
      <c r="AP22" s="105">
        <f ca="1">IF(A22&lt;&gt;"",COUNTIFS('QA Log'!D:D,A22,'QA Log'!M:M,"Data Verification",'QA Log'!L:L,"Personnel (section 1)",'QA Log'!Z:Z,"Approved"),"")</f>
        <v>0</v>
      </c>
      <c r="AQ22" s="105">
        <f ca="1">IF(A22&lt;&gt;"",COUNTIFS('QA Log'!D:D,A22,'QA Log'!M:M,"Data Verification",'QA Log'!L:L,"Consumable (section 3)",'QA Log'!Z:Z,"Approved"),"")</f>
        <v>0</v>
      </c>
      <c r="AR22" s="105">
        <f ca="1">IF(A22&lt;&gt;"",COUNTIFS('QA Log'!D:D,A22,'QA Log'!M:M,"Data Verification",'QA Log'!L:L,"Equipments (section 4)",'QA Log'!Z:Z,"Approved"),"")</f>
        <v>0</v>
      </c>
      <c r="AS22" s="102">
        <f ca="1">IF(A22="","",
SUM(
COUNTIFS('QA Log'!D:D,A22,'QA Log'!M:M,"Data Verification",'QA Log'!Z:Z,"Rejected",'QA Log'!L:L,"*Personnel (section 1)*"),
COUNTIFS('QA Log'!D:D,A22,'QA Log'!M:M,"Data Verification",'QA Log'!Z:Z,"Rejected",'QA Log'!L:L,"*Consumable (section 3)*"),
COUNTIFS('QA Log'!D:D,A22,'QA Log'!M:M,"Data Verification",'QA Log'!Z:Z,"Rejected",'QA Log'!L:L,"*Equipments (section 4)*")
))</f>
        <v>0</v>
      </c>
      <c r="AT22" s="102" t="e">
        <f t="shared" ca="1" si="7"/>
        <v>#NAME?</v>
      </c>
      <c r="AU22" s="103">
        <f t="shared" ca="1" si="8"/>
        <v>2</v>
      </c>
      <c r="AV22" s="102">
        <f ca="1">IF(A22="","",SUM(
COUNTIFS('QA Log'!D:D,A22,'QA Log'!M:M,"Vignette",'QA Log'!L:L,"*Vignette [1] Respiratory Infection: Pneumonia*"),
COUNTIFS('QA Log'!D:D,A22,'QA Log'!M:M,"Vignette",'QA Log'!L:L,"*Vignette [2]: Diarrhea with Cat B dehydration*"),
COUNTIFS('QA Log'!D:D,A22,'QA Log'!M:M,"Vignette",'QA Log'!L:L,"*Vignette [3] Growth Monitoring and Promotion*"),
COUNTIFS('QA Log'!D:D,A22,'QA Log'!M:M,"Vignette",'QA Log'!L:L,"*Vignette [4]: The management of presumptive TB patient*")
)
)</f>
        <v>2</v>
      </c>
      <c r="AW22" s="102">
        <f ca="1">IF(
  A22="","",
  SUM(
    COUNTIFS('QA Log'!D:D,A22,'QA Log'!M:M,"Vignette",'QA Log'!Z:Z,"Approved",'QA Log'!L:L,"*Vignette [1] Respiratory Infection: Pneumonia*"),
    COUNTIFS('QA Log'!D:D,A22,'QA Log'!M:M,"Vignette",'QA Log'!Z:Z,"Approved",'QA Log'!L:L,"*Vignette [2]: Diarrhea with Cat B dehydration*"),
    COUNTIFS('QA Log'!D:D,A22,'QA Log'!M:M,"Vignette",'QA Log'!Z:Z,"Approved",'QA Log'!L:L,"*Vignette [3] Growth Monitoring and Promotion*"),
    COUNTIFS('QA Log'!D:D,A22,'QA Log'!M:M,"Vignette",'QA Log'!Z:Z,"Approved",'QA Log'!L:L,"*Vignette [4]: The management of presumptive TB patient*")
  )
)</f>
        <v>0</v>
      </c>
      <c r="AX22" s="105">
        <f ca="1">IF(A22&lt;&gt;"",COUNTIFS('QA Log'!D:D,A22,'QA Log'!M:M,"Vignette",'QA Log'!L:L,"Vignette [1] Respiratory Infection: Pneumonia",'QA Log'!Z:Z,"Approved"),"")</f>
        <v>0</v>
      </c>
      <c r="AY22" s="105">
        <f ca="1">IF(A22&lt;&gt;"",COUNTIFS('QA Log'!D:D,A22,'QA Log'!M:M,"Vignette",'QA Log'!L:L,"Vignette [2]: Diarrhea with Cat B dehydration",'QA Log'!Z:Z,"Approved"),"")</f>
        <v>0</v>
      </c>
      <c r="AZ22" s="105">
        <f ca="1">IF(A22&lt;&gt;"",COUNTIFS('QA Log'!D:D,A22,'QA Log'!M:M,"Vignette",'QA Log'!L:L,"Vignette [3] Growth Monitoring and Promotion",'QA Log'!Z:Z,"Approved"),"")</f>
        <v>0</v>
      </c>
      <c r="BA22" s="105">
        <f ca="1">IF(A22&lt;&gt;"",COUNTIFS('QA Log'!D:D,A22,'QA Log'!M:M,"Vignette",'QA Log'!L:L,"Vignette [4]: The management of presumptive TB patient",'QA Log'!Z:Z,"Approved"),"")</f>
        <v>0</v>
      </c>
      <c r="BB22" s="102">
        <f ca="1">IF(A22="","",
  SUM(
    COUNTIFS('QA Log'!D:D,A22,'QA Log'!M:M,"Vignette",'QA Log'!Z:Z,"Rejected",'QA Log'!L:L,"*Vignette [1] Respiratory Infection: Pneumonia*"),
    COUNTIFS('QA Log'!D:D,A22,'QA Log'!M:M,"Vignette",'QA Log'!Z:Z,"Rejected",'QA Log'!L:L,"*Vignette [2]: Diarrhea with Cat B dehydration*"),
    COUNTIFS('QA Log'!D:D,A22,'QA Log'!M:M,"Vignette",'QA Log'!Z:Z,"Rejected",'QA Log'!L:L,"*Vignette [3] Growth Monitoring and Promotion*"),
    COUNTIFS('QA Log'!D:D,A22,'QA Log'!M:M,"Vignette",'QA Log'!Z:Z,"Rejected",'QA Log'!L:L,"*Vignette [4]: The management of presumptive TB patient*")
  )
)</f>
        <v>0</v>
      </c>
      <c r="BC22" s="107">
        <f t="shared" ca="1" si="9"/>
        <v>2</v>
      </c>
      <c r="BD22" s="103">
        <f t="shared" ca="1" si="10"/>
        <v>2</v>
      </c>
      <c r="BE22" s="102">
        <f ca="1">IF(A22="","",SUM(
COUNTIFS('QA Log'!D:D,A22,'QA Log'!M:M,"Vignette",'QA Log'!L:L,"*Vignette [5] Labor*"),
COUNTIFS('QA Log'!D:D,A22,'QA Log'!M:M,"Vignette",'QA Log'!L:L,"*Vignette [6] PNC pre Discharge*"),
COUNTIFS('QA Log'!D:D,A22,'QA Log'!M:M,"Vignette",'QA Log'!L:L,"*Vignette [7] First ANC Visit*"),
COUNTIFS('QA Log'!D:D,A22,'QA Log'!M:M,"Vignette",'QA Log'!L:L,"*Vignette [8] Birth Spacing/ Family Planning :  FP Counselling*"),
COUNTIFS('QA Log'!D:D,A22,'QA Log'!M:M,"Vignette",'QA Log'!L:L,"*Vignette [9] Birth Spacing: Change FP method to Injectable*"),
COUNTIFS('QA Log'!D:D,A22,'QA Log'!M:M,"Vignette",'QA Log'!L:L,"*Vignette [10] Post Partum Haemorrhage - Atonic Uterus at Health Centre*"),
)
)</f>
        <v>0</v>
      </c>
      <c r="BF22" s="102">
        <f ca="1">IF(A22="","",
  SUM(
    COUNTIFS('QA Log'!D:D,A22,'QA Log'!M:M,"Vignette",'QA Log'!Z:Z,"Approved",'QA Log'!L:L,"*Vignette [5] Labor*"),
    COUNTIFS('QA Log'!D:D,A22,'QA Log'!M:M,"Vignette",'QA Log'!Z:Z,"Approved",'QA Log'!L:L,"*Vignette [6] PNC pre Discharge*"),
    COUNTIFS('QA Log'!D:D,A22,'QA Log'!M:M,"Vignette",'QA Log'!Z:Z,"Approved",'QA Log'!L:L,"*Vignette [7] First ANC Visit*"),
    COUNTIFS('QA Log'!D:D,A22,'QA Log'!M:M,"Vignette",'QA Log'!Z:Z,"Approved",'QA Log'!L:L,"*Vignette [8] Birth Spacing/ Family Planning :  FP Counselling*"),
    COUNTIFS('QA Log'!D:D,A22,'QA Log'!M:M,"Vignette",'QA Log'!Z:Z,"Approved",'QA Log'!L:L,"*Vignette [9] Birth Spacing: Change FP method to Injectable*"),
    COUNTIFS('QA Log'!D:D,A22,'QA Log'!M:M,"Vignette",'QA Log'!Z:Z,"Approved",'QA Log'!L:L,"*Vignette [10] Post Partum Haemorrhage - Atonic Uterus at Health Centre*")
  )
)</f>
        <v>0</v>
      </c>
      <c r="BG22" s="105">
        <f ca="1">IF(A22&lt;&gt;"",COUNTIFS('QA Log'!D:D,A22,'QA Log'!M:M,"Vignette",'QA Log'!L:L,"Vignette [5] Labor",'QA Log'!Z:Z,"Approved"),"")</f>
        <v>0</v>
      </c>
      <c r="BH22" s="105">
        <f ca="1">IF(A22&lt;&gt;"",COUNTIFS('QA Log'!D:D,A22,'QA Log'!M:M,"Vignette",'QA Log'!L:L,"Vignette [6] PNC pre Discharge",'QA Log'!Z:Z,"Approved"),"")</f>
        <v>0</v>
      </c>
      <c r="BI22" s="105">
        <f ca="1">IF(A22&lt;&gt;"",COUNTIFS('QA Log'!D:D,A22,'QA Log'!M:M,"Vignette",'QA Log'!L:L,"Vignette [7] First ANC Visit",'QA Log'!Z:Z,"Approved"),"")</f>
        <v>0</v>
      </c>
      <c r="BJ22" s="105">
        <f ca="1">IF(A22&lt;&gt;"",COUNTIFS('QA Log'!D:D,A22,'QA Log'!M:M,"Vignette",'QA Log'!L:L,"Vignette [8] Birth Spacing/ Family Planning :  FP Counselling",'QA Log'!Z:Z,"Approved"),"")</f>
        <v>0</v>
      </c>
      <c r="BK22" s="105">
        <f ca="1">IF(A22&lt;&gt;"",COUNTIFS('QA Log'!D:D,A22,'QA Log'!M:M,"Vignette",'QA Log'!L:L,"Vignette [9] Birth Spacing: Change FP method to Injectable",'QA Log'!Z:Z,"Approved"),"")</f>
        <v>0</v>
      </c>
      <c r="BL22" s="105">
        <f ca="1">IF(A22&lt;&gt;"",COUNTIFS('QA Log'!D:D,A22,'QA Log'!M:M,"Vignette",'QA Log'!L:L,"Vignette [10] Post Partum Haemorrhage - Atonic Uterus at Health Centre",'QA Log'!Z:Z,"Approved"),"")</f>
        <v>0</v>
      </c>
      <c r="BM22" s="102">
        <f ca="1">IF(A22="","",SUM(
    COUNTIFS('QA Log'!D:D,A22,'QA Log'!M:M,"Vignette",'QA Log'!Z:Z,"Rejected",'QA Log'!L:L,"*Vignette [5] Labor*"),
    COUNTIFS('QA Log'!D:D,A22,'QA Log'!M:M,"Vignette",'QA Log'!Z:Z,"Rejected",'QA Log'!L:L,"*Vignette [6] PNC pre Discharge*"),
    COUNTIFS('QA Log'!D:D,A22,'QA Log'!M:M,"Vignette",'QA Log'!Z:Z,"Rejected",'QA Log'!L:L,"*Vignette [7] First ANC Visit*"),
    COUNTIFS('QA Log'!D:D,A22,'QA Log'!M:M,"Vignette",'QA Log'!Z:Z,"Rejected",'QA Log'!L:L,"*Vignette [8] Birth Spacing/ Family Planning :  FP Counselling*"),
    COUNTIFS('QA Log'!D:D,A22,'QA Log'!M:M,"Vignette",'QA Log'!Z:Z,"Rejected",'QA Log'!L:L,"*Vignette [9] Birth Spacing: Change FP method to Injectable*"),
    COUNTIFS('QA Log'!D:D,A22,'QA Log'!M:M,"Vignette",'QA Log'!Z:Z,"Rejected",'QA Log'!L:L,"*Vignette [10] Post Partum Haemorrhage - Atonic Uterus at Health Centre*")
  )
)</f>
        <v>0</v>
      </c>
      <c r="BN22" s="107">
        <f t="shared" ca="1" si="11"/>
        <v>2</v>
      </c>
      <c r="BO22" s="103">
        <f t="shared" ca="1" si="12"/>
        <v>2</v>
      </c>
      <c r="BP22" s="102">
        <f ca="1">IF(A22="","",SUM(
COUNTIFS('QA Log'!D:D,A22,'QA Log'!M:M,"Vignette",'QA Log'!L:L,"*Exit Interview 1*"),
COUNTIFS('QA Log'!D:D,A22,'QA Log'!M:M,"Vignette",'QA Log'!L:L,"*Exit Interview 2*"),
)
)</f>
        <v>1</v>
      </c>
      <c r="BQ22" s="102">
        <f ca="1">IF(
  A22="","",
  SUM(
    COUNTIFS('QA Log'!D:D,A22,'QA Log'!M:M,"Vignette",'QA Log'!Z:Z,"Approved",'QA Log'!L:L,"*Exit Interview 1*"),
    COUNTIFS('QA Log'!D:D,A22,'QA Log'!M:M,"Vignette",'QA Log'!Z:Z,"Approved",'QA Log'!L:L,"*Exit Interview 2*")
  )
)</f>
        <v>0</v>
      </c>
      <c r="BR22" s="105">
        <f ca="1">IF(A22&lt;&gt;"",COUNTIFS('QA Log'!D:D,A22,'QA Log'!M:M,"Vignette",'QA Log'!L:L,"Exit Interview 1",'QA Log'!Z:Z,"Approved"),"")</f>
        <v>0</v>
      </c>
      <c r="BS22" s="105">
        <f ca="1">IF(A22&lt;&gt;"",COUNTIFS('QA Log'!D:D,A22,'QA Log'!M:M,"Vignette",'QA Log'!L:L,"Exit Interview 2",'QA Log'!Z:Z,"Approved"),"")</f>
        <v>0</v>
      </c>
      <c r="BT22" s="102">
        <f ca="1">IF(
  A22="","",
  SUM(
    COUNTIFS('QA Log'!D:D,A22,'QA Log'!M:M,"Vignette",'QA Log'!Z:Z,"Rejected",'QA Log'!L:L,"*Exit Interview 1*"),
    COUNTIFS('QA Log'!D:D,A22,'QA Log'!M:M,"Vignette",'QA Log'!Z:Z,"Rejected",'QA Log'!L:L,"*Exit Interview 2*")
  )
)</f>
        <v>0</v>
      </c>
      <c r="BU22" s="107">
        <f t="shared" ca="1" si="13"/>
        <v>2</v>
      </c>
      <c r="BV22" s="102" t="e">
        <f t="shared" ca="1" si="14"/>
        <v>#NAME?</v>
      </c>
      <c r="BW22" s="102">
        <f t="shared" ca="1" si="15"/>
        <v>7</v>
      </c>
      <c r="BX22" s="102">
        <f t="shared" ca="1" si="16"/>
        <v>0</v>
      </c>
      <c r="BY22" s="102">
        <f t="shared" ca="1" si="17"/>
        <v>0</v>
      </c>
      <c r="BZ22" s="107" t="e">
        <f t="shared" ca="1" si="18"/>
        <v>#NAME?</v>
      </c>
      <c r="CA22" s="108" t="e">
        <f t="shared" ca="1" si="19"/>
        <v>#NAME?</v>
      </c>
      <c r="CB22" s="108" t="e">
        <f t="shared" ca="1" si="20"/>
        <v>#NAME?</v>
      </c>
      <c r="CC22" s="109" t="str">
        <f t="shared" ca="1" si="21"/>
        <v>Not Received</v>
      </c>
      <c r="CD22" s="108" t="e">
        <f t="shared" ca="1" si="22"/>
        <v>#NAME?</v>
      </c>
      <c r="CE22" s="108" t="e">
        <f t="shared" ca="1" si="23"/>
        <v>#NAME?</v>
      </c>
      <c r="CF22" s="109" t="str">
        <f t="shared" ca="1" si="24"/>
        <v>Not Received</v>
      </c>
      <c r="CG22" s="110" t="e">
        <f t="shared" ca="1" si="25"/>
        <v>#NAME?</v>
      </c>
      <c r="CH22" s="111"/>
    </row>
    <row r="23" spans="1:86" ht="12.75">
      <c r="A23" s="101" t="str">
        <f ca="1">IFERROR(__xludf.DUMMYFUNCTION("""COMPUTED_VALUE"""),"HER-PKA-HF4343-Q2-2025-1188-01")</f>
        <v>HER-PKA-HF4343-Q2-2025-1188-01</v>
      </c>
      <c r="B23" s="102" t="e">
        <f t="array" aca="1" ref="B23" ca="1">_xludf.XLOOKUP(A23,'QA Log'!D:D,'QA Log'!E:E,"")</f>
        <v>#NAME?</v>
      </c>
      <c r="C23" s="102" t="e">
        <f t="array" aca="1" ref="C23" ca="1">_xludf.XLOOKUP(A23,'QA Log'!D:D,'QA Log'!F:F,"")</f>
        <v>#NAME?</v>
      </c>
      <c r="D23" s="102" t="e">
        <f t="array" aca="1" ref="D23" ca="1">_xludf.XLOOKUP(A23,'QA Log'!D:D,'QA Log'!H:H,"")</f>
        <v>#NAME?</v>
      </c>
      <c r="E23" s="102" t="e">
        <f t="array" aca="1" ref="E23" ca="1">_xludf.XLOOKUP(A23,'QA Log'!D:D,'QA Log'!G:G,"")</f>
        <v>#NAME?</v>
      </c>
      <c r="F23" s="103" t="s">
        <v>91</v>
      </c>
      <c r="G23" s="102" t="s">
        <v>98</v>
      </c>
      <c r="H23" s="102" t="s">
        <v>99</v>
      </c>
      <c r="I23" s="103" t="e">
        <f t="shared" ca="1" si="0"/>
        <v>#NAME?</v>
      </c>
      <c r="J23" s="102">
        <f ca="1">IF(A23="","",SUM(
COUNTIFS('QA Log'!D:D,A23,'QA Log'!M:M,"QQC",'QA Log'!L:L,"*1. General Management*"),
COUNTIFS('QA Log'!D:D,A23,'QA Log'!M:M,"QQC",'QA Log'!L:L,"*3. Curative Consultation (OPD)*"),
COUNTIFS('QA Log'!D:D,A23,'QA Log'!M:M,"QQC",'QA Log'!L:L,"*5. Laboratory*"),
COUNTIFS('QA Log'!D:D,A23,'QA Log'!M:M,"QQC",'QA Log'!L:L,"*6. Essential Medicine Management*"),
COUNTIFS('QA Log'!D:D,A23,'QA Log'!M:M,"QQC",'QA Log'!L:L,"*7. Tracer Medicine*"),
COUNTIFS('QA Log'!D:D,A23,'QA Log'!M:M,"QQC",'QA Log'!L:L,"*11. Additional Questions*")))</f>
        <v>0</v>
      </c>
      <c r="K23" s="102">
        <f ca="1">IF(A23="","",SUM(
COUNTIFS('QA Log'!D:D,A23,'QA Log'!M:M,"QQC",'QA Log'!Z:Z,"Approved",'QA Log'!L:L,"*1. General Management*"),
COUNTIFS('QA Log'!D:D,A23,'QA Log'!M:M,"QQC",'QA Log'!Z:Z,"Approved",'QA Log'!L:L,"*3. Curative Consultation (OPD)*"),
COUNTIFS('QA Log'!D:D,A23,'QA Log'!M:M,"QQC",'QA Log'!Z:Z,"Approved",'QA Log'!L:L,"*5. Laboratory*"),
COUNTIFS('QA Log'!D:D,A23,'QA Log'!M:M,"QQC",'QA Log'!Z:Z,"Approved",'QA Log'!L:L,"*6. Essential Medicine Management*"),
COUNTIFS('QA Log'!D:D,A23,'QA Log'!M:M,"QQC",'QA Log'!Z:Z,"Approved",'QA Log'!L:L,"*7. Tracer Medicine*"),
COUNTIFS('QA Log'!D:D,A23,'QA Log'!M:M,"QQC",'QA Log'!Z:Z,"Approved",'QA Log'!L:L,"*11. Additional Questions*")))</f>
        <v>0</v>
      </c>
      <c r="L23" s="105">
        <f ca="1">IF(A23&lt;&gt;"",COUNTIFS('QA Log'!D:D,A23,'QA Log'!M:M,"QQC",'QA Log'!L:L,"1. General Management",'QA Log'!Z:Z,"Approved"),"")</f>
        <v>0</v>
      </c>
      <c r="M23" s="105">
        <f ca="1">IF(A23&lt;&gt;"",COUNTIFS('QA Log'!D:D,A23,'QA Log'!M:M,"QQC",'QA Log'!L:L,"3. Curative Consultation (OPD)",'QA Log'!Z:Z,"Approved"),"")</f>
        <v>0</v>
      </c>
      <c r="N23" s="105">
        <f ca="1">IF(A23&lt;&gt;"",COUNTIFS('QA Log'!D:D,A23,'QA Log'!M:M,"QQC",'QA Log'!L:L,"5. Laboratory",'QA Log'!Z:Z,"Approved"),"")</f>
        <v>0</v>
      </c>
      <c r="O23" s="105">
        <f ca="1">IF(A23&lt;&gt;"",COUNTIFS('QA Log'!D:D,A23,'QA Log'!M:M,"QQC",'QA Log'!L:L,"6. Essential Medicine Management",'QA Log'!Z:Z,"Approved"),"")</f>
        <v>0</v>
      </c>
      <c r="P23" s="105">
        <f ca="1">IF(A23&lt;&gt;"",COUNTIFS('QA Log'!D:D,A23,'QA Log'!M:M,"QQC",'QA Log'!L:L,"7. Tracer Medicine",'QA Log'!Z:Z,"Approved"),"")</f>
        <v>0</v>
      </c>
      <c r="Q23" s="105">
        <f ca="1">IF(A23&lt;&gt;"",COUNTIFS('QA Log'!D:D,A23,'QA Log'!M:M,"QQC",'QA Log'!L:L,"11. Additional Questions",'QA Log'!Z:Z,"Approved"),"")</f>
        <v>0</v>
      </c>
      <c r="R23" s="102">
        <f ca="1">IF(A23="","",SUM(
COUNTIFS('QA Log'!D:D,A23,'QA Log'!M:M,"QQC",'QA Log'!Z:Z,"Rejected",'QA Log'!L:L,"*8. Maternity*"),
COUNTIFS('QA Log'!D:D,A23,'QA Log'!M:M,"QQC",'QA Log'!Z:Z,"Rejected",'QA Log'!L:L,"*EPI*"),
COUNTIFS('QA Log'!D:D,A23,'QA Log'!M:M,"QQC",'QA Log'!Z:Z,"Rejected",'QA Log'!L:L,"*10. Antenatal Care (ANC)*"),
COUNTIFS('QA Log'!D:D,A23,'QA Log'!M:M,"QQC",'QA Log'!Z:Z,"Rejected",'QA Log'!L:L,"*2. Hygiene and Sterilization*"),
COUNTIFS('QA Log'!D:D,A23,'QA Log'!M:M,"QQC",'QA Log'!Z:Z,"Rejected",'QA Log'!L:L,"*Family Planning*")))</f>
        <v>0</v>
      </c>
      <c r="S23" s="106" t="e">
        <f t="shared" ca="1" si="1"/>
        <v>#NAME?</v>
      </c>
      <c r="T23" s="102" t="e">
        <f t="shared" ca="1" si="2"/>
        <v>#NAME?</v>
      </c>
      <c r="U23" s="102">
        <f ca="1">IF(A23="","",
SUM(
COUNTIFS('QA Log'!D:D,A23,'QA Log'!M:M,"QQC",'QA Log'!L:L,"*8. Maternity*"),
COUNTIFS('QA Log'!D:D,A23,'QA Log'!M:M,"QQC",'QA Log'!L:L,"*9. EPI and Pre-school Consultation*"),
COUNTIFS('QA Log'!D:D,A23,'QA Log'!M:M,"QQC",'QA Log'!L:L,"*10. Antenatal Care (ANC)*"),
COUNTIFS('QA Log'!D:D,A23,'QA Log'!M:M,"QQC",'QA Log'!L:L,"*2. Hygiene and Sterilization*"),
COUNTIFS('QA Log'!D:D,A23,'QA Log'!M:M,"QQC",'QA Log'!L:L,"*4. Family Planning*")
))</f>
        <v>0</v>
      </c>
      <c r="V23" s="102">
        <f ca="1">IF(A23="","",
SUM(
COUNTIFS('QA Log'!D:D,A23,'QA Log'!M:M,"QQC",'QA Log'!Z:Z,"Approved",'QA Log'!L:L,"*8. Maternity*"),
COUNTIFS('QA Log'!D:D,A23,'QA Log'!M:M,"QQC",'QA Log'!Z:Z,"Approved",'QA Log'!L:L,"*9. EPI and Pre-school Consultation*"),
COUNTIFS('QA Log'!D:D,A23,'QA Log'!M:M,"QQC",'QA Log'!Z:Z,"Approved",'QA Log'!L:L,"*10. Antenatal Care (ANC)*"),
COUNTIFS('QA Log'!D:D,A23,'QA Log'!M:M,"QQC",'QA Log'!Z:Z,"Approved",'QA Log'!L:L,"*2. Hygiene and Sterilization*"),
COUNTIFS('QA Log'!D:D,A23,'QA Log'!M:M,"QQC",'QA Log'!Z:Z,"Approved",'QA Log'!L:L,"*4. Family Planning*")
))</f>
        <v>0</v>
      </c>
      <c r="W23" s="105">
        <f ca="1">IF(A23&lt;&gt;"",COUNTIFS('QA Log'!D:D,A23,'QA Log'!M:M,"QQC",'QA Log'!L:L,"8. Maternity",'QA Log'!Z:Z,"Approved"),"")</f>
        <v>0</v>
      </c>
      <c r="X23" s="105">
        <f ca="1">IF(A23&lt;&gt;"",COUNTIFS('QA Log'!D:D,A23,'QA Log'!M:M,"QQC",'QA Log'!L:L,"9. EPI and Pre-school Consultation",'QA Log'!Z:Z,"Approved"),"")</f>
        <v>0</v>
      </c>
      <c r="Y23" s="105">
        <f ca="1">IF(A23&lt;&gt;"",COUNTIFS('QA Log'!D:D,A23,'QA Log'!M:M,"QQC",'QA Log'!L:L,"10. Antenatal Care (ANC)",'QA Log'!Z:Z,"Approved"),"")</f>
        <v>0</v>
      </c>
      <c r="Z23" s="105">
        <f ca="1">IF(A23&lt;&gt;"",COUNTIFS('QA Log'!D:D,A23,'QA Log'!M:M,"QQC",'QA Log'!L:L,"2. Hygiene and Sterilization",'QA Log'!Z:Z,"Approved"),"")</f>
        <v>0</v>
      </c>
      <c r="AA23" s="105">
        <f ca="1">IF(A23&lt;&gt;"",COUNTIFS('QA Log'!D:D,A23,'QA Log'!M:M,"QQC",'QA Log'!L:L,"4. Family Planning",'QA Log'!Z:Z,"Approved"),"")</f>
        <v>0</v>
      </c>
      <c r="AB23" s="102">
        <f ca="1">IF(A23="","",
SUM(
COUNTIFS('QA Log'!D:D,A23,'QA Log'!M:M,"QQC",'QA Log'!Z:Z,"Rejected",'QA Log'!L:L,"*8. Maternity*"),
COUNTIFS('QA Log'!D:D,A23,'QA Log'!M:M,"QQC",'QA Log'!Z:Z,"Rejected",'QA Log'!L:L,"*9. EPI and Pre-school Consultation*"),
COUNTIFS('QA Log'!D:D,A23,'QA Log'!M:M,"QQC",'QA Log'!Z:Z,"Rejected",'QA Log'!L:L,"*10. Antenatal Care (ANC)*"),
COUNTIFS('QA Log'!D:D,A23,'QA Log'!M:M,"QQC",'QA Log'!Z:Z,"Rejected",'QA Log'!L:L,"*2. Hygiene and Sterilization*"),
COUNTIFS('QA Log'!D:D,A23,'QA Log'!M:M,"QQC",'QA Log'!Z:Z,"Rejected",'QA Log'!L:L,"*4. Family Planning*")
))</f>
        <v>0</v>
      </c>
      <c r="AC23" s="102" t="e">
        <f t="shared" ca="1" si="3"/>
        <v>#NAME?</v>
      </c>
      <c r="AD23" s="103" t="e">
        <f t="shared" ca="1" si="4"/>
        <v>#NAME?</v>
      </c>
      <c r="AE23" s="102">
        <f ca="1">IF(A23="","",
SUM(
COUNTIFS('QA Log'!D:D,A23,'QA Log'!M:M,"Data Verification",'QA Log'!L:L,"*Medicine (section 2)*"),
COUNTIFS('QA Log'!D:D,A23,'QA Log'!M:M,"Data Verification",'QA Log'!L:L,"*Lab Testing Availability*"),
COUNTIFS('QA Log'!D:D,A23,'QA Log'!M:M,"Data Verification",'QA Log'!L:L,"*Other than P4P (section 6)*"),
COUNTIFS('QA Log'!D:D,A23,'QA Log'!M:M,"Data Verification",'QA Log'!L:L,"*Hospital Governance*")
))</f>
        <v>2</v>
      </c>
      <c r="AF23" s="102">
        <f ca="1">IF(A23="","",
SUM(
COUNTIFS('QA Log'!D:D,A23,'QA Log'!M:M,"Data Verification",'QA Log'!Z:Z,"Approved",'QA Log'!L:L,"*Medicine (section 2)*"),
COUNTIFS('QA Log'!D:D,A23,'QA Log'!M:M,"Data Verification",'QA Log'!Z:Z,"Approved",'QA Log'!L:L,"*Lab Testing Availability*"),
COUNTIFS('QA Log'!D:D,A23,'QA Log'!M:M,"Data Verification",'QA Log'!Z:Z,"Approved",'QA Log'!L:L,"*Other than P4P (section 6)*"),
COUNTIFS('QA Log'!D:D,A23,'QA Log'!M:M,"Data Verification",'QA Log'!Z:Z,"Approved",'QA Log'!L:L,"*Hospital Governance*")
))</f>
        <v>0</v>
      </c>
      <c r="AG23" s="105">
        <f ca="1">IF(A23&lt;&gt;"",COUNTIFS('QA Log'!D:D,A23,'QA Log'!M:M,"Data Verification",'QA Log'!L:L,"Medicine (section 2)",'QA Log'!Z:Z,"Approved"),"")</f>
        <v>0</v>
      </c>
      <c r="AH23" s="105">
        <f ca="1">IF(A23&lt;&gt;"",COUNTIFS('QA Log'!D:D,A23,'QA Log'!M:M,"Data Verification",'QA Log'!L:L,"Lab Testing Availability",'QA Log'!Z:Z,"Approved"),"")</f>
        <v>0</v>
      </c>
      <c r="AI23" s="105">
        <f ca="1">IF(A23&lt;&gt;"",COUNTIFS('QA Log'!D:D,A23,'QA Log'!M:M,"Data Verification",'QA Log'!L:L,"Other than P4P (section 6)",'QA Log'!Z:Z,"Approved"),"")</f>
        <v>0</v>
      </c>
      <c r="AJ23" s="105">
        <f ca="1">IF(A23&lt;&gt;"",COUNTIFS('QA Log'!D:D,A23,'QA Log'!M:M,"Data Verification",'QA Log'!L:L,"Hospital Governance",'QA Log'!Z:Z,"Approved"),"")</f>
        <v>0</v>
      </c>
      <c r="AK23" s="102">
        <f ca="1">IF(A23="","",
SUM(
COUNTIFS('QA Log'!D:D,A23,'QA Log'!M:M,"Data Verification",'QA Log'!Z:Z,"Rejected",'QA Log'!L:L,"*Medicine (section 2)*"),
COUNTIFS('QA Log'!D:D,A23,'QA Log'!M:M,"Data Verification",'QA Log'!Z:Z,"Rejected",'QA Log'!L:L,"*Lab Testing Availability*"),
COUNTIFS('QA Log'!D:D,A23,'QA Log'!M:M,"Data Verification",'QA Log'!Z:Z,"Rejected",'QA Log'!L:L,"*Other than P4P (section 6)*"),
COUNTIFS('QA Log'!D:D,A23,'QA Log'!M:M,"Data Verification",'QA Log'!Z:Z,"Rejected",'QA Log'!L:L,"*Hospital Governance*")
))</f>
        <v>0</v>
      </c>
      <c r="AL23" s="106" t="e">
        <f t="shared" ca="1" si="5"/>
        <v>#NAME?</v>
      </c>
      <c r="AM23" s="102" t="e">
        <f t="shared" ca="1" si="6"/>
        <v>#NAME?</v>
      </c>
      <c r="AN23" s="102">
        <f ca="1">IF(A23="","",
SUM(
COUNTIFS('QA Log'!D:D,A23,'QA Log'!M:M,"Data Verification",'QA Log'!L:L,"*Personnel (section 1)*"),
COUNTIFS('QA Log'!D:D,A23,'QA Log'!M:M,"Data Verification",'QA Log'!L:L,"*Consumable (section 3)*"),
COUNTIFS('QA Log'!D:D,A23,'QA Log'!M:M,"Data Verification",'QA Log'!L:L,"*Equipments (section 4)*")
))</f>
        <v>3</v>
      </c>
      <c r="AO23" s="102">
        <f ca="1">IF(A23="","",
SUM(
COUNTIFS('QA Log'!D:D,A23,'QA Log'!M:M,"Data Verification",'QA Log'!Z:Z,"Approved",'QA Log'!L:L,"*Personnel (section 1)*"),
COUNTIFS('QA Log'!D:D,A23,'QA Log'!M:M,"Data Verification",'QA Log'!Z:Z,"Approved",'QA Log'!L:L,"*Consumable (section 3)*"),
COUNTIFS('QA Log'!D:D,A23,'QA Log'!M:M,"Data Verification",'QA Log'!Z:Z,"Approved",'QA Log'!L:L,"*Equipments (section 4)*")
))</f>
        <v>0</v>
      </c>
      <c r="AP23" s="105">
        <f ca="1">IF(A23&lt;&gt;"",COUNTIFS('QA Log'!D:D,A23,'QA Log'!M:M,"Data Verification",'QA Log'!L:L,"Personnel (section 1)",'QA Log'!Z:Z,"Approved"),"")</f>
        <v>0</v>
      </c>
      <c r="AQ23" s="105">
        <f ca="1">IF(A23&lt;&gt;"",COUNTIFS('QA Log'!D:D,A23,'QA Log'!M:M,"Data Verification",'QA Log'!L:L,"Consumable (section 3)",'QA Log'!Z:Z,"Approved"),"")</f>
        <v>0</v>
      </c>
      <c r="AR23" s="105">
        <f ca="1">IF(A23&lt;&gt;"",COUNTIFS('QA Log'!D:D,A23,'QA Log'!M:M,"Data Verification",'QA Log'!L:L,"Equipments (section 4)",'QA Log'!Z:Z,"Approved"),"")</f>
        <v>0</v>
      </c>
      <c r="AS23" s="102">
        <f ca="1">IF(A23="","",
SUM(
COUNTIFS('QA Log'!D:D,A23,'QA Log'!M:M,"Data Verification",'QA Log'!Z:Z,"Rejected",'QA Log'!L:L,"*Personnel (section 1)*"),
COUNTIFS('QA Log'!D:D,A23,'QA Log'!M:M,"Data Verification",'QA Log'!Z:Z,"Rejected",'QA Log'!L:L,"*Consumable (section 3)*"),
COUNTIFS('QA Log'!D:D,A23,'QA Log'!M:M,"Data Verification",'QA Log'!Z:Z,"Rejected",'QA Log'!L:L,"*Equipments (section 4)*")
))</f>
        <v>0</v>
      </c>
      <c r="AT23" s="102" t="e">
        <f t="shared" ca="1" si="7"/>
        <v>#NAME?</v>
      </c>
      <c r="AU23" s="103">
        <f t="shared" ca="1" si="8"/>
        <v>2</v>
      </c>
      <c r="AV23" s="102">
        <f ca="1">IF(A23="","",SUM(
COUNTIFS('QA Log'!D:D,A23,'QA Log'!M:M,"Vignette",'QA Log'!L:L,"*Vignette [1] Respiratory Infection: Pneumonia*"),
COUNTIFS('QA Log'!D:D,A23,'QA Log'!M:M,"Vignette",'QA Log'!L:L,"*Vignette [2]: Diarrhea with Cat B dehydration*"),
COUNTIFS('QA Log'!D:D,A23,'QA Log'!M:M,"Vignette",'QA Log'!L:L,"*Vignette [3] Growth Monitoring and Promotion*"),
COUNTIFS('QA Log'!D:D,A23,'QA Log'!M:M,"Vignette",'QA Log'!L:L,"*Vignette [4]: The management of presumptive TB patient*")
)
)</f>
        <v>3</v>
      </c>
      <c r="AW23" s="102">
        <f ca="1">IF(
  A23="","",
  SUM(
    COUNTIFS('QA Log'!D:D,A23,'QA Log'!M:M,"Vignette",'QA Log'!Z:Z,"Approved",'QA Log'!L:L,"*Vignette [1] Respiratory Infection: Pneumonia*"),
    COUNTIFS('QA Log'!D:D,A23,'QA Log'!M:M,"Vignette",'QA Log'!Z:Z,"Approved",'QA Log'!L:L,"*Vignette [2]: Diarrhea with Cat B dehydration*"),
    COUNTIFS('QA Log'!D:D,A23,'QA Log'!M:M,"Vignette",'QA Log'!Z:Z,"Approved",'QA Log'!L:L,"*Vignette [3] Growth Monitoring and Promotion*"),
    COUNTIFS('QA Log'!D:D,A23,'QA Log'!M:M,"Vignette",'QA Log'!Z:Z,"Approved",'QA Log'!L:L,"*Vignette [4]: The management of presumptive TB patient*")
  )
)</f>
        <v>0</v>
      </c>
      <c r="AX23" s="105">
        <f ca="1">IF(A23&lt;&gt;"",COUNTIFS('QA Log'!D:D,A23,'QA Log'!M:M,"Vignette",'QA Log'!L:L,"Vignette [1] Respiratory Infection: Pneumonia",'QA Log'!Z:Z,"Approved"),"")</f>
        <v>0</v>
      </c>
      <c r="AY23" s="105">
        <f ca="1">IF(A23&lt;&gt;"",COUNTIFS('QA Log'!D:D,A23,'QA Log'!M:M,"Vignette",'QA Log'!L:L,"Vignette [2]: Diarrhea with Cat B dehydration",'QA Log'!Z:Z,"Approved"),"")</f>
        <v>0</v>
      </c>
      <c r="AZ23" s="105">
        <f ca="1">IF(A23&lt;&gt;"",COUNTIFS('QA Log'!D:D,A23,'QA Log'!M:M,"Vignette",'QA Log'!L:L,"Vignette [3] Growth Monitoring and Promotion",'QA Log'!Z:Z,"Approved"),"")</f>
        <v>0</v>
      </c>
      <c r="BA23" s="105">
        <f ca="1">IF(A23&lt;&gt;"",COUNTIFS('QA Log'!D:D,A23,'QA Log'!M:M,"Vignette",'QA Log'!L:L,"Vignette [4]: The management of presumptive TB patient",'QA Log'!Z:Z,"Approved"),"")</f>
        <v>0</v>
      </c>
      <c r="BB23" s="102">
        <f ca="1">IF(A23="","",
  SUM(
    COUNTIFS('QA Log'!D:D,A23,'QA Log'!M:M,"Vignette",'QA Log'!Z:Z,"Rejected",'QA Log'!L:L,"*Vignette [1] Respiratory Infection: Pneumonia*"),
    COUNTIFS('QA Log'!D:D,A23,'QA Log'!M:M,"Vignette",'QA Log'!Z:Z,"Rejected",'QA Log'!L:L,"*Vignette [2]: Diarrhea with Cat B dehydration*"),
    COUNTIFS('QA Log'!D:D,A23,'QA Log'!M:M,"Vignette",'QA Log'!Z:Z,"Rejected",'QA Log'!L:L,"*Vignette [3] Growth Monitoring and Promotion*"),
    COUNTIFS('QA Log'!D:D,A23,'QA Log'!M:M,"Vignette",'QA Log'!Z:Z,"Rejected",'QA Log'!L:L,"*Vignette [4]: The management of presumptive TB patient*")
  )
)</f>
        <v>0</v>
      </c>
      <c r="BC23" s="107">
        <f t="shared" ca="1" si="9"/>
        <v>2</v>
      </c>
      <c r="BD23" s="103">
        <f t="shared" ca="1" si="10"/>
        <v>2</v>
      </c>
      <c r="BE23" s="102">
        <f ca="1">IF(A23="","",SUM(
COUNTIFS('QA Log'!D:D,A23,'QA Log'!M:M,"Vignette",'QA Log'!L:L,"*Vignette [5] Labor*"),
COUNTIFS('QA Log'!D:D,A23,'QA Log'!M:M,"Vignette",'QA Log'!L:L,"*Vignette [6] PNC pre Discharge*"),
COUNTIFS('QA Log'!D:D,A23,'QA Log'!M:M,"Vignette",'QA Log'!L:L,"*Vignette [7] First ANC Visit*"),
COUNTIFS('QA Log'!D:D,A23,'QA Log'!M:M,"Vignette",'QA Log'!L:L,"*Vignette [8] Birth Spacing/ Family Planning :  FP Counselling*"),
COUNTIFS('QA Log'!D:D,A23,'QA Log'!M:M,"Vignette",'QA Log'!L:L,"*Vignette [9] Birth Spacing: Change FP method to Injectable*"),
COUNTIFS('QA Log'!D:D,A23,'QA Log'!M:M,"Vignette",'QA Log'!L:L,"*Vignette [10] Post Partum Haemorrhage - Atonic Uterus at Health Centre*"),
)
)</f>
        <v>1</v>
      </c>
      <c r="BF23" s="102">
        <f ca="1">IF(A23="","",
  SUM(
    COUNTIFS('QA Log'!D:D,A23,'QA Log'!M:M,"Vignette",'QA Log'!Z:Z,"Approved",'QA Log'!L:L,"*Vignette [5] Labor*"),
    COUNTIFS('QA Log'!D:D,A23,'QA Log'!M:M,"Vignette",'QA Log'!Z:Z,"Approved",'QA Log'!L:L,"*Vignette [6] PNC pre Discharge*"),
    COUNTIFS('QA Log'!D:D,A23,'QA Log'!M:M,"Vignette",'QA Log'!Z:Z,"Approved",'QA Log'!L:L,"*Vignette [7] First ANC Visit*"),
    COUNTIFS('QA Log'!D:D,A23,'QA Log'!M:M,"Vignette",'QA Log'!Z:Z,"Approved",'QA Log'!L:L,"*Vignette [8] Birth Spacing/ Family Planning :  FP Counselling*"),
    COUNTIFS('QA Log'!D:D,A23,'QA Log'!M:M,"Vignette",'QA Log'!Z:Z,"Approved",'QA Log'!L:L,"*Vignette [9] Birth Spacing: Change FP method to Injectable*"),
    COUNTIFS('QA Log'!D:D,A23,'QA Log'!M:M,"Vignette",'QA Log'!Z:Z,"Approved",'QA Log'!L:L,"*Vignette [10] Post Partum Haemorrhage - Atonic Uterus at Health Centre*")
  )
)</f>
        <v>0</v>
      </c>
      <c r="BG23" s="105">
        <f ca="1">IF(A23&lt;&gt;"",COUNTIFS('QA Log'!D:D,A23,'QA Log'!M:M,"Vignette",'QA Log'!L:L,"Vignette [5] Labor",'QA Log'!Z:Z,"Approved"),"")</f>
        <v>0</v>
      </c>
      <c r="BH23" s="105">
        <f ca="1">IF(A23&lt;&gt;"",COUNTIFS('QA Log'!D:D,A23,'QA Log'!M:M,"Vignette",'QA Log'!L:L,"Vignette [6] PNC pre Discharge",'QA Log'!Z:Z,"Approved"),"")</f>
        <v>0</v>
      </c>
      <c r="BI23" s="105">
        <f ca="1">IF(A23&lt;&gt;"",COUNTIFS('QA Log'!D:D,A23,'QA Log'!M:M,"Vignette",'QA Log'!L:L,"Vignette [7] First ANC Visit",'QA Log'!Z:Z,"Approved"),"")</f>
        <v>0</v>
      </c>
      <c r="BJ23" s="105">
        <f ca="1">IF(A23&lt;&gt;"",COUNTIFS('QA Log'!D:D,A23,'QA Log'!M:M,"Vignette",'QA Log'!L:L,"Vignette [8] Birth Spacing/ Family Planning :  FP Counselling",'QA Log'!Z:Z,"Approved"),"")</f>
        <v>0</v>
      </c>
      <c r="BK23" s="105">
        <f ca="1">IF(A23&lt;&gt;"",COUNTIFS('QA Log'!D:D,A23,'QA Log'!M:M,"Vignette",'QA Log'!L:L,"Vignette [9] Birth Spacing: Change FP method to Injectable",'QA Log'!Z:Z,"Approved"),"")</f>
        <v>0</v>
      </c>
      <c r="BL23" s="105">
        <f ca="1">IF(A23&lt;&gt;"",COUNTIFS('QA Log'!D:D,A23,'QA Log'!M:M,"Vignette",'QA Log'!L:L,"Vignette [10] Post Partum Haemorrhage - Atonic Uterus at Health Centre",'QA Log'!Z:Z,"Approved"),"")</f>
        <v>0</v>
      </c>
      <c r="BM23" s="102">
        <f ca="1">IF(A23="","",SUM(
    COUNTIFS('QA Log'!D:D,A23,'QA Log'!M:M,"Vignette",'QA Log'!Z:Z,"Rejected",'QA Log'!L:L,"*Vignette [5] Labor*"),
    COUNTIFS('QA Log'!D:D,A23,'QA Log'!M:M,"Vignette",'QA Log'!Z:Z,"Rejected",'QA Log'!L:L,"*Vignette [6] PNC pre Discharge*"),
    COUNTIFS('QA Log'!D:D,A23,'QA Log'!M:M,"Vignette",'QA Log'!Z:Z,"Rejected",'QA Log'!L:L,"*Vignette [7] First ANC Visit*"),
    COUNTIFS('QA Log'!D:D,A23,'QA Log'!M:M,"Vignette",'QA Log'!Z:Z,"Rejected",'QA Log'!L:L,"*Vignette [8] Birth Spacing/ Family Planning :  FP Counselling*"),
    COUNTIFS('QA Log'!D:D,A23,'QA Log'!M:M,"Vignette",'QA Log'!Z:Z,"Rejected",'QA Log'!L:L,"*Vignette [9] Birth Spacing: Change FP method to Injectable*"),
    COUNTIFS('QA Log'!D:D,A23,'QA Log'!M:M,"Vignette",'QA Log'!Z:Z,"Rejected",'QA Log'!L:L,"*Vignette [10] Post Partum Haemorrhage - Atonic Uterus at Health Centre*")
  )
)</f>
        <v>0</v>
      </c>
      <c r="BN23" s="107">
        <f t="shared" ca="1" si="11"/>
        <v>2</v>
      </c>
      <c r="BO23" s="103">
        <f t="shared" ca="1" si="12"/>
        <v>2</v>
      </c>
      <c r="BP23" s="102">
        <f ca="1">IF(A23="","",SUM(
COUNTIFS('QA Log'!D:D,A23,'QA Log'!M:M,"Vignette",'QA Log'!L:L,"*Exit Interview 1*"),
COUNTIFS('QA Log'!D:D,A23,'QA Log'!M:M,"Vignette",'QA Log'!L:L,"*Exit Interview 2*"),
)
)</f>
        <v>2</v>
      </c>
      <c r="BQ23" s="102">
        <f ca="1">IF(
  A23="","",
  SUM(
    COUNTIFS('QA Log'!D:D,A23,'QA Log'!M:M,"Vignette",'QA Log'!Z:Z,"Approved",'QA Log'!L:L,"*Exit Interview 1*"),
    COUNTIFS('QA Log'!D:D,A23,'QA Log'!M:M,"Vignette",'QA Log'!Z:Z,"Approved",'QA Log'!L:L,"*Exit Interview 2*")
  )
)</f>
        <v>0</v>
      </c>
      <c r="BR23" s="105">
        <f ca="1">IF(A23&lt;&gt;"",COUNTIFS('QA Log'!D:D,A23,'QA Log'!M:M,"Vignette",'QA Log'!L:L,"Exit Interview 1",'QA Log'!Z:Z,"Approved"),"")</f>
        <v>0</v>
      </c>
      <c r="BS23" s="105">
        <f ca="1">IF(A23&lt;&gt;"",COUNTIFS('QA Log'!D:D,A23,'QA Log'!M:M,"Vignette",'QA Log'!L:L,"Exit Interview 2",'QA Log'!Z:Z,"Approved"),"")</f>
        <v>0</v>
      </c>
      <c r="BT23" s="102">
        <f ca="1">IF(
  A23="","",
  SUM(
    COUNTIFS('QA Log'!D:D,A23,'QA Log'!M:M,"Vignette",'QA Log'!Z:Z,"Rejected",'QA Log'!L:L,"*Exit Interview 1*"),
    COUNTIFS('QA Log'!D:D,A23,'QA Log'!M:M,"Vignette",'QA Log'!Z:Z,"Rejected",'QA Log'!L:L,"*Exit Interview 2*")
  )
)</f>
        <v>0</v>
      </c>
      <c r="BU23" s="107">
        <f t="shared" ca="1" si="13"/>
        <v>2</v>
      </c>
      <c r="BV23" s="102" t="e">
        <f t="shared" ca="1" si="14"/>
        <v>#NAME?</v>
      </c>
      <c r="BW23" s="102">
        <f t="shared" ca="1" si="15"/>
        <v>11</v>
      </c>
      <c r="BX23" s="102">
        <f t="shared" ca="1" si="16"/>
        <v>0</v>
      </c>
      <c r="BY23" s="102">
        <f t="shared" ca="1" si="17"/>
        <v>0</v>
      </c>
      <c r="BZ23" s="107" t="e">
        <f t="shared" ca="1" si="18"/>
        <v>#NAME?</v>
      </c>
      <c r="CA23" s="108" t="e">
        <f t="shared" ca="1" si="19"/>
        <v>#NAME?</v>
      </c>
      <c r="CB23" s="108" t="e">
        <f t="shared" ca="1" si="20"/>
        <v>#NAME?</v>
      </c>
      <c r="CC23" s="109" t="str">
        <f t="shared" ca="1" si="21"/>
        <v>Not Received</v>
      </c>
      <c r="CD23" s="108" t="e">
        <f t="shared" ca="1" si="22"/>
        <v>#NAME?</v>
      </c>
      <c r="CE23" s="108" t="e">
        <f t="shared" ca="1" si="23"/>
        <v>#NAME?</v>
      </c>
      <c r="CF23" s="109" t="str">
        <f t="shared" ca="1" si="24"/>
        <v>Not Received</v>
      </c>
      <c r="CG23" s="110" t="e">
        <f t="shared" ca="1" si="25"/>
        <v>#NAME?</v>
      </c>
      <c r="CH23" s="111"/>
    </row>
    <row r="24" spans="1:86" ht="12.75">
      <c r="A24" s="101" t="str">
        <f ca="1">IFERROR(__xludf.DUMMYFUNCTION("""COMPUTED_VALUE"""),"HER-GHA-HF2476-Q2-2025-1034-01")</f>
        <v>HER-GHA-HF2476-Q2-2025-1034-01</v>
      </c>
      <c r="B24" s="102" t="e">
        <f t="array" aca="1" ref="B24" ca="1">_xludf.XLOOKUP(A24,'QA Log'!D:D,'QA Log'!E:E,"")</f>
        <v>#NAME?</v>
      </c>
      <c r="C24" s="102" t="e">
        <f t="array" aca="1" ref="C24" ca="1">_xludf.XLOOKUP(A24,'QA Log'!D:D,'QA Log'!F:F,"")</f>
        <v>#NAME?</v>
      </c>
      <c r="D24" s="102" t="e">
        <f t="array" aca="1" ref="D24" ca="1">_xludf.XLOOKUP(A24,'QA Log'!D:D,'QA Log'!H:H,"")</f>
        <v>#NAME?</v>
      </c>
      <c r="E24" s="102" t="e">
        <f t="array" aca="1" ref="E24" ca="1">_xludf.XLOOKUP(A24,'QA Log'!D:D,'QA Log'!G:G,"")</f>
        <v>#NAME?</v>
      </c>
      <c r="F24" s="103" t="s">
        <v>91</v>
      </c>
      <c r="G24" s="102" t="s">
        <v>98</v>
      </c>
      <c r="H24" s="102" t="s">
        <v>99</v>
      </c>
      <c r="I24" s="103" t="e">
        <f t="shared" ca="1" si="0"/>
        <v>#NAME?</v>
      </c>
      <c r="J24" s="102">
        <f ca="1">IF(A24="","",SUM(
COUNTIFS('QA Log'!D:D,A24,'QA Log'!M:M,"QQC",'QA Log'!L:L,"*1. General Management*"),
COUNTIFS('QA Log'!D:D,A24,'QA Log'!M:M,"QQC",'QA Log'!L:L,"*3. Curative Consultation (OPD)*"),
COUNTIFS('QA Log'!D:D,A24,'QA Log'!M:M,"QQC",'QA Log'!L:L,"*5. Laboratory*"),
COUNTIFS('QA Log'!D:D,A24,'QA Log'!M:M,"QQC",'QA Log'!L:L,"*6. Essential Medicine Management*"),
COUNTIFS('QA Log'!D:D,A24,'QA Log'!M:M,"QQC",'QA Log'!L:L,"*7. Tracer Medicine*"),
COUNTIFS('QA Log'!D:D,A24,'QA Log'!M:M,"QQC",'QA Log'!L:L,"*11. Additional Questions*")))</f>
        <v>0</v>
      </c>
      <c r="K24" s="102">
        <f ca="1">IF(A24="","",SUM(
COUNTIFS('QA Log'!D:D,A24,'QA Log'!M:M,"QQC",'QA Log'!Z:Z,"Approved",'QA Log'!L:L,"*1. General Management*"),
COUNTIFS('QA Log'!D:D,A24,'QA Log'!M:M,"QQC",'QA Log'!Z:Z,"Approved",'QA Log'!L:L,"*3. Curative Consultation (OPD)*"),
COUNTIFS('QA Log'!D:D,A24,'QA Log'!M:M,"QQC",'QA Log'!Z:Z,"Approved",'QA Log'!L:L,"*5. Laboratory*"),
COUNTIFS('QA Log'!D:D,A24,'QA Log'!M:M,"QQC",'QA Log'!Z:Z,"Approved",'QA Log'!L:L,"*6. Essential Medicine Management*"),
COUNTIFS('QA Log'!D:D,A24,'QA Log'!M:M,"QQC",'QA Log'!Z:Z,"Approved",'QA Log'!L:L,"*7. Tracer Medicine*"),
COUNTIFS('QA Log'!D:D,A24,'QA Log'!M:M,"QQC",'QA Log'!Z:Z,"Approved",'QA Log'!L:L,"*11. Additional Questions*")))</f>
        <v>0</v>
      </c>
      <c r="L24" s="105">
        <f ca="1">IF(A24&lt;&gt;"",COUNTIFS('QA Log'!D:D,A24,'QA Log'!M:M,"QQC",'QA Log'!L:L,"1. General Management",'QA Log'!Z:Z,"Approved"),"")</f>
        <v>0</v>
      </c>
      <c r="M24" s="105">
        <f ca="1">IF(A24&lt;&gt;"",COUNTIFS('QA Log'!D:D,A24,'QA Log'!M:M,"QQC",'QA Log'!L:L,"3. Curative Consultation (OPD)",'QA Log'!Z:Z,"Approved"),"")</f>
        <v>0</v>
      </c>
      <c r="N24" s="105">
        <f ca="1">IF(A24&lt;&gt;"",COUNTIFS('QA Log'!D:D,A24,'QA Log'!M:M,"QQC",'QA Log'!L:L,"5. Laboratory",'QA Log'!Z:Z,"Approved"),"")</f>
        <v>0</v>
      </c>
      <c r="O24" s="105">
        <f ca="1">IF(A24&lt;&gt;"",COUNTIFS('QA Log'!D:D,A24,'QA Log'!M:M,"QQC",'QA Log'!L:L,"6. Essential Medicine Management",'QA Log'!Z:Z,"Approved"),"")</f>
        <v>0</v>
      </c>
      <c r="P24" s="105">
        <f ca="1">IF(A24&lt;&gt;"",COUNTIFS('QA Log'!D:D,A24,'QA Log'!M:M,"QQC",'QA Log'!L:L,"7. Tracer Medicine",'QA Log'!Z:Z,"Approved"),"")</f>
        <v>0</v>
      </c>
      <c r="Q24" s="105">
        <f ca="1">IF(A24&lt;&gt;"",COUNTIFS('QA Log'!D:D,A24,'QA Log'!M:M,"QQC",'QA Log'!L:L,"11. Additional Questions",'QA Log'!Z:Z,"Approved"),"")</f>
        <v>0</v>
      </c>
      <c r="R24" s="102">
        <f ca="1">IF(A24="","",SUM(
COUNTIFS('QA Log'!D:D,A24,'QA Log'!M:M,"QQC",'QA Log'!Z:Z,"Rejected",'QA Log'!L:L,"*8. Maternity*"),
COUNTIFS('QA Log'!D:D,A24,'QA Log'!M:M,"QQC",'QA Log'!Z:Z,"Rejected",'QA Log'!L:L,"*EPI*"),
COUNTIFS('QA Log'!D:D,A24,'QA Log'!M:M,"QQC",'QA Log'!Z:Z,"Rejected",'QA Log'!L:L,"*10. Antenatal Care (ANC)*"),
COUNTIFS('QA Log'!D:D,A24,'QA Log'!M:M,"QQC",'QA Log'!Z:Z,"Rejected",'QA Log'!L:L,"*2. Hygiene and Sterilization*"),
COUNTIFS('QA Log'!D:D,A24,'QA Log'!M:M,"QQC",'QA Log'!Z:Z,"Rejected",'QA Log'!L:L,"*Family Planning*")))</f>
        <v>0</v>
      </c>
      <c r="S24" s="106" t="e">
        <f t="shared" ca="1" si="1"/>
        <v>#NAME?</v>
      </c>
      <c r="T24" s="102" t="e">
        <f t="shared" ca="1" si="2"/>
        <v>#NAME?</v>
      </c>
      <c r="U24" s="102">
        <f ca="1">IF(A24="","",
SUM(
COUNTIFS('QA Log'!D:D,A24,'QA Log'!M:M,"QQC",'QA Log'!L:L,"*8. Maternity*"),
COUNTIFS('QA Log'!D:D,A24,'QA Log'!M:M,"QQC",'QA Log'!L:L,"*9. EPI and Pre-school Consultation*"),
COUNTIFS('QA Log'!D:D,A24,'QA Log'!M:M,"QQC",'QA Log'!L:L,"*10. Antenatal Care (ANC)*"),
COUNTIFS('QA Log'!D:D,A24,'QA Log'!M:M,"QQC",'QA Log'!L:L,"*2. Hygiene and Sterilization*"),
COUNTIFS('QA Log'!D:D,A24,'QA Log'!M:M,"QQC",'QA Log'!L:L,"*4. Family Planning*")
))</f>
        <v>0</v>
      </c>
      <c r="V24" s="102">
        <f ca="1">IF(A24="","",
SUM(
COUNTIFS('QA Log'!D:D,A24,'QA Log'!M:M,"QQC",'QA Log'!Z:Z,"Approved",'QA Log'!L:L,"*8. Maternity*"),
COUNTIFS('QA Log'!D:D,A24,'QA Log'!M:M,"QQC",'QA Log'!Z:Z,"Approved",'QA Log'!L:L,"*9. EPI and Pre-school Consultation*"),
COUNTIFS('QA Log'!D:D,A24,'QA Log'!M:M,"QQC",'QA Log'!Z:Z,"Approved",'QA Log'!L:L,"*10. Antenatal Care (ANC)*"),
COUNTIFS('QA Log'!D:D,A24,'QA Log'!M:M,"QQC",'QA Log'!Z:Z,"Approved",'QA Log'!L:L,"*2. Hygiene and Sterilization*"),
COUNTIFS('QA Log'!D:D,A24,'QA Log'!M:M,"QQC",'QA Log'!Z:Z,"Approved",'QA Log'!L:L,"*4. Family Planning*")
))</f>
        <v>0</v>
      </c>
      <c r="W24" s="105">
        <f ca="1">IF(A24&lt;&gt;"",COUNTIFS('QA Log'!D:D,A24,'QA Log'!M:M,"QQC",'QA Log'!L:L,"8. Maternity",'QA Log'!Z:Z,"Approved"),"")</f>
        <v>0</v>
      </c>
      <c r="X24" s="105">
        <f ca="1">IF(A24&lt;&gt;"",COUNTIFS('QA Log'!D:D,A24,'QA Log'!M:M,"QQC",'QA Log'!L:L,"9. EPI and Pre-school Consultation",'QA Log'!Z:Z,"Approved"),"")</f>
        <v>0</v>
      </c>
      <c r="Y24" s="105">
        <f ca="1">IF(A24&lt;&gt;"",COUNTIFS('QA Log'!D:D,A24,'QA Log'!M:M,"QQC",'QA Log'!L:L,"10. Antenatal Care (ANC)",'QA Log'!Z:Z,"Approved"),"")</f>
        <v>0</v>
      </c>
      <c r="Z24" s="105">
        <f ca="1">IF(A24&lt;&gt;"",COUNTIFS('QA Log'!D:D,A24,'QA Log'!M:M,"QQC",'QA Log'!L:L,"2. Hygiene and Sterilization",'QA Log'!Z:Z,"Approved"),"")</f>
        <v>0</v>
      </c>
      <c r="AA24" s="105">
        <f ca="1">IF(A24&lt;&gt;"",COUNTIFS('QA Log'!D:D,A24,'QA Log'!M:M,"QQC",'QA Log'!L:L,"4. Family Planning",'QA Log'!Z:Z,"Approved"),"")</f>
        <v>0</v>
      </c>
      <c r="AB24" s="102">
        <f ca="1">IF(A24="","",
SUM(
COUNTIFS('QA Log'!D:D,A24,'QA Log'!M:M,"QQC",'QA Log'!Z:Z,"Rejected",'QA Log'!L:L,"*8. Maternity*"),
COUNTIFS('QA Log'!D:D,A24,'QA Log'!M:M,"QQC",'QA Log'!Z:Z,"Rejected",'QA Log'!L:L,"*9. EPI and Pre-school Consultation*"),
COUNTIFS('QA Log'!D:D,A24,'QA Log'!M:M,"QQC",'QA Log'!Z:Z,"Rejected",'QA Log'!L:L,"*10. Antenatal Care (ANC)*"),
COUNTIFS('QA Log'!D:D,A24,'QA Log'!M:M,"QQC",'QA Log'!Z:Z,"Rejected",'QA Log'!L:L,"*2. Hygiene and Sterilization*"),
COUNTIFS('QA Log'!D:D,A24,'QA Log'!M:M,"QQC",'QA Log'!Z:Z,"Rejected",'QA Log'!L:L,"*4. Family Planning*")
))</f>
        <v>0</v>
      </c>
      <c r="AC24" s="102" t="e">
        <f t="shared" ca="1" si="3"/>
        <v>#NAME?</v>
      </c>
      <c r="AD24" s="103" t="e">
        <f t="shared" ca="1" si="4"/>
        <v>#NAME?</v>
      </c>
      <c r="AE24" s="102">
        <f ca="1">IF(A24="","",
SUM(
COUNTIFS('QA Log'!D:D,A24,'QA Log'!M:M,"Data Verification",'QA Log'!L:L,"*Medicine (section 2)*"),
COUNTIFS('QA Log'!D:D,A24,'QA Log'!M:M,"Data Verification",'QA Log'!L:L,"*Lab Testing Availability*"),
COUNTIFS('QA Log'!D:D,A24,'QA Log'!M:M,"Data Verification",'QA Log'!L:L,"*Other than P4P (section 6)*"),
COUNTIFS('QA Log'!D:D,A24,'QA Log'!M:M,"Data Verification",'QA Log'!L:L,"*Hospital Governance*")
))</f>
        <v>2</v>
      </c>
      <c r="AF24" s="102">
        <f ca="1">IF(A24="","",
SUM(
COUNTIFS('QA Log'!D:D,A24,'QA Log'!M:M,"Data Verification",'QA Log'!Z:Z,"Approved",'QA Log'!L:L,"*Medicine (section 2)*"),
COUNTIFS('QA Log'!D:D,A24,'QA Log'!M:M,"Data Verification",'QA Log'!Z:Z,"Approved",'QA Log'!L:L,"*Lab Testing Availability*"),
COUNTIFS('QA Log'!D:D,A24,'QA Log'!M:M,"Data Verification",'QA Log'!Z:Z,"Approved",'QA Log'!L:L,"*Other than P4P (section 6)*"),
COUNTIFS('QA Log'!D:D,A24,'QA Log'!M:M,"Data Verification",'QA Log'!Z:Z,"Approved",'QA Log'!L:L,"*Hospital Governance*")
))</f>
        <v>2</v>
      </c>
      <c r="AG24" s="105">
        <f ca="1">IF(A24&lt;&gt;"",COUNTIFS('QA Log'!D:D,A24,'QA Log'!M:M,"Data Verification",'QA Log'!L:L,"Medicine (section 2)",'QA Log'!Z:Z,"Approved"),"")</f>
        <v>1</v>
      </c>
      <c r="AH24" s="105">
        <f ca="1">IF(A24&lt;&gt;"",COUNTIFS('QA Log'!D:D,A24,'QA Log'!M:M,"Data Verification",'QA Log'!L:L,"Lab Testing Availability",'QA Log'!Z:Z,"Approved"),"")</f>
        <v>0</v>
      </c>
      <c r="AI24" s="105">
        <f ca="1">IF(A24&lt;&gt;"",COUNTIFS('QA Log'!D:D,A24,'QA Log'!M:M,"Data Verification",'QA Log'!L:L,"Other than P4P (section 6)",'QA Log'!Z:Z,"Approved"),"")</f>
        <v>1</v>
      </c>
      <c r="AJ24" s="105">
        <f ca="1">IF(A24&lt;&gt;"",COUNTIFS('QA Log'!D:D,A24,'QA Log'!M:M,"Data Verification",'QA Log'!L:L,"Hospital Governance",'QA Log'!Z:Z,"Approved"),"")</f>
        <v>0</v>
      </c>
      <c r="AK24" s="102">
        <f ca="1">IF(A24="","",
SUM(
COUNTIFS('QA Log'!D:D,A24,'QA Log'!M:M,"Data Verification",'QA Log'!Z:Z,"Rejected",'QA Log'!L:L,"*Medicine (section 2)*"),
COUNTIFS('QA Log'!D:D,A24,'QA Log'!M:M,"Data Verification",'QA Log'!Z:Z,"Rejected",'QA Log'!L:L,"*Lab Testing Availability*"),
COUNTIFS('QA Log'!D:D,A24,'QA Log'!M:M,"Data Verification",'QA Log'!Z:Z,"Rejected",'QA Log'!L:L,"*Other than P4P (section 6)*"),
COUNTIFS('QA Log'!D:D,A24,'QA Log'!M:M,"Data Verification",'QA Log'!Z:Z,"Rejected",'QA Log'!L:L,"*Hospital Governance*")
))</f>
        <v>0</v>
      </c>
      <c r="AL24" s="106" t="e">
        <f t="shared" ca="1" si="5"/>
        <v>#NAME?</v>
      </c>
      <c r="AM24" s="102" t="e">
        <f t="shared" ca="1" si="6"/>
        <v>#NAME?</v>
      </c>
      <c r="AN24" s="102">
        <f ca="1">IF(A24="","",
SUM(
COUNTIFS('QA Log'!D:D,A24,'QA Log'!M:M,"Data Verification",'QA Log'!L:L,"*Personnel (section 1)*"),
COUNTIFS('QA Log'!D:D,A24,'QA Log'!M:M,"Data Verification",'QA Log'!L:L,"*Consumable (section 3)*"),
COUNTIFS('QA Log'!D:D,A24,'QA Log'!M:M,"Data Verification",'QA Log'!L:L,"*Equipments (section 4)*")
))</f>
        <v>3</v>
      </c>
      <c r="AO24" s="102">
        <f ca="1">IF(A24="","",
SUM(
COUNTIFS('QA Log'!D:D,A24,'QA Log'!M:M,"Data Verification",'QA Log'!Z:Z,"Approved",'QA Log'!L:L,"*Personnel (section 1)*"),
COUNTIFS('QA Log'!D:D,A24,'QA Log'!M:M,"Data Verification",'QA Log'!Z:Z,"Approved",'QA Log'!L:L,"*Consumable (section 3)*"),
COUNTIFS('QA Log'!D:D,A24,'QA Log'!M:M,"Data Verification",'QA Log'!Z:Z,"Approved",'QA Log'!L:L,"*Equipments (section 4)*")
))</f>
        <v>1</v>
      </c>
      <c r="AP24" s="105">
        <f ca="1">IF(A24&lt;&gt;"",COUNTIFS('QA Log'!D:D,A24,'QA Log'!M:M,"Data Verification",'QA Log'!L:L,"Personnel (section 1)",'QA Log'!Z:Z,"Approved"),"")</f>
        <v>1</v>
      </c>
      <c r="AQ24" s="105">
        <f ca="1">IF(A24&lt;&gt;"",COUNTIFS('QA Log'!D:D,A24,'QA Log'!M:M,"Data Verification",'QA Log'!L:L,"Consumable (section 3)",'QA Log'!Z:Z,"Approved"),"")</f>
        <v>0</v>
      </c>
      <c r="AR24" s="105">
        <f ca="1">IF(A24&lt;&gt;"",COUNTIFS('QA Log'!D:D,A24,'QA Log'!M:M,"Data Verification",'QA Log'!L:L,"Equipments (section 4)",'QA Log'!Z:Z,"Approved"),"")</f>
        <v>0</v>
      </c>
      <c r="AS24" s="102">
        <f ca="1">IF(A24="","",
SUM(
COUNTIFS('QA Log'!D:D,A24,'QA Log'!M:M,"Data Verification",'QA Log'!Z:Z,"Rejected",'QA Log'!L:L,"*Personnel (section 1)*"),
COUNTIFS('QA Log'!D:D,A24,'QA Log'!M:M,"Data Verification",'QA Log'!Z:Z,"Rejected",'QA Log'!L:L,"*Consumable (section 3)*"),
COUNTIFS('QA Log'!D:D,A24,'QA Log'!M:M,"Data Verification",'QA Log'!Z:Z,"Rejected",'QA Log'!L:L,"*Equipments (section 4)*")
))</f>
        <v>0</v>
      </c>
      <c r="AT24" s="102" t="e">
        <f t="shared" ca="1" si="7"/>
        <v>#NAME?</v>
      </c>
      <c r="AU24" s="103">
        <f t="shared" ca="1" si="8"/>
        <v>2</v>
      </c>
      <c r="AV24" s="102">
        <f ca="1">IF(A24="","",SUM(
COUNTIFS('QA Log'!D:D,A24,'QA Log'!M:M,"Vignette",'QA Log'!L:L,"*Vignette [1] Respiratory Infection: Pneumonia*"),
COUNTIFS('QA Log'!D:D,A24,'QA Log'!M:M,"Vignette",'QA Log'!L:L,"*Vignette [2]: Diarrhea with Cat B dehydration*"),
COUNTIFS('QA Log'!D:D,A24,'QA Log'!M:M,"Vignette",'QA Log'!L:L,"*Vignette [3] Growth Monitoring and Promotion*"),
COUNTIFS('QA Log'!D:D,A24,'QA Log'!M:M,"Vignette",'QA Log'!L:L,"*Vignette [4]: The management of presumptive TB patient*")
)
)</f>
        <v>3</v>
      </c>
      <c r="AW24" s="102">
        <f ca="1">IF(
  A24="","",
  SUM(
    COUNTIFS('QA Log'!D:D,A24,'QA Log'!M:M,"Vignette",'QA Log'!Z:Z,"Approved",'QA Log'!L:L,"*Vignette [1] Respiratory Infection: Pneumonia*"),
    COUNTIFS('QA Log'!D:D,A24,'QA Log'!M:M,"Vignette",'QA Log'!Z:Z,"Approved",'QA Log'!L:L,"*Vignette [2]: Diarrhea with Cat B dehydration*"),
    COUNTIFS('QA Log'!D:D,A24,'QA Log'!M:M,"Vignette",'QA Log'!Z:Z,"Approved",'QA Log'!L:L,"*Vignette [3] Growth Monitoring and Promotion*"),
    COUNTIFS('QA Log'!D:D,A24,'QA Log'!M:M,"Vignette",'QA Log'!Z:Z,"Approved",'QA Log'!L:L,"*Vignette [4]: The management of presumptive TB patient*")
  )
)</f>
        <v>0</v>
      </c>
      <c r="AX24" s="105">
        <f ca="1">IF(A24&lt;&gt;"",COUNTIFS('QA Log'!D:D,A24,'QA Log'!M:M,"Vignette",'QA Log'!L:L,"Vignette [1] Respiratory Infection: Pneumonia",'QA Log'!Z:Z,"Approved"),"")</f>
        <v>0</v>
      </c>
      <c r="AY24" s="105">
        <f ca="1">IF(A24&lt;&gt;"",COUNTIFS('QA Log'!D:D,A24,'QA Log'!M:M,"Vignette",'QA Log'!L:L,"Vignette [2]: Diarrhea with Cat B dehydration",'QA Log'!Z:Z,"Approved"),"")</f>
        <v>0</v>
      </c>
      <c r="AZ24" s="105">
        <f ca="1">IF(A24&lt;&gt;"",COUNTIFS('QA Log'!D:D,A24,'QA Log'!M:M,"Vignette",'QA Log'!L:L,"Vignette [3] Growth Monitoring and Promotion",'QA Log'!Z:Z,"Approved"),"")</f>
        <v>0</v>
      </c>
      <c r="BA24" s="105">
        <f ca="1">IF(A24&lt;&gt;"",COUNTIFS('QA Log'!D:D,A24,'QA Log'!M:M,"Vignette",'QA Log'!L:L,"Vignette [4]: The management of presumptive TB patient",'QA Log'!Z:Z,"Approved"),"")</f>
        <v>0</v>
      </c>
      <c r="BB24" s="102">
        <f ca="1">IF(A24="","",
  SUM(
    COUNTIFS('QA Log'!D:D,A24,'QA Log'!M:M,"Vignette",'QA Log'!Z:Z,"Rejected",'QA Log'!L:L,"*Vignette [1] Respiratory Infection: Pneumonia*"),
    COUNTIFS('QA Log'!D:D,A24,'QA Log'!M:M,"Vignette",'QA Log'!Z:Z,"Rejected",'QA Log'!L:L,"*Vignette [2]: Diarrhea with Cat B dehydration*"),
    COUNTIFS('QA Log'!D:D,A24,'QA Log'!M:M,"Vignette",'QA Log'!Z:Z,"Rejected",'QA Log'!L:L,"*Vignette [3] Growth Monitoring and Promotion*"),
    COUNTIFS('QA Log'!D:D,A24,'QA Log'!M:M,"Vignette",'QA Log'!Z:Z,"Rejected",'QA Log'!L:L,"*Vignette [4]: The management of presumptive TB patient*")
  )
)</f>
        <v>0</v>
      </c>
      <c r="BC24" s="107">
        <f t="shared" ca="1" si="9"/>
        <v>2</v>
      </c>
      <c r="BD24" s="103">
        <f t="shared" ca="1" si="10"/>
        <v>2</v>
      </c>
      <c r="BE24" s="102">
        <f ca="1">IF(A24="","",SUM(
COUNTIFS('QA Log'!D:D,A24,'QA Log'!M:M,"Vignette",'QA Log'!L:L,"*Vignette [5] Labor*"),
COUNTIFS('QA Log'!D:D,A24,'QA Log'!M:M,"Vignette",'QA Log'!L:L,"*Vignette [6] PNC pre Discharge*"),
COUNTIFS('QA Log'!D:D,A24,'QA Log'!M:M,"Vignette",'QA Log'!L:L,"*Vignette [7] First ANC Visit*"),
COUNTIFS('QA Log'!D:D,A24,'QA Log'!M:M,"Vignette",'QA Log'!L:L,"*Vignette [8] Birth Spacing/ Family Planning :  FP Counselling*"),
COUNTIFS('QA Log'!D:D,A24,'QA Log'!M:M,"Vignette",'QA Log'!L:L,"*Vignette [9] Birth Spacing: Change FP method to Injectable*"),
COUNTIFS('QA Log'!D:D,A24,'QA Log'!M:M,"Vignette",'QA Log'!L:L,"*Vignette [10] Post Partum Haemorrhage - Atonic Uterus at Health Centre*"),
)
)</f>
        <v>2</v>
      </c>
      <c r="BF24" s="102">
        <f ca="1">IF(A24="","",
  SUM(
    COUNTIFS('QA Log'!D:D,A24,'QA Log'!M:M,"Vignette",'QA Log'!Z:Z,"Approved",'QA Log'!L:L,"*Vignette [5] Labor*"),
    COUNTIFS('QA Log'!D:D,A24,'QA Log'!M:M,"Vignette",'QA Log'!Z:Z,"Approved",'QA Log'!L:L,"*Vignette [6] PNC pre Discharge*"),
    COUNTIFS('QA Log'!D:D,A24,'QA Log'!M:M,"Vignette",'QA Log'!Z:Z,"Approved",'QA Log'!L:L,"*Vignette [7] First ANC Visit*"),
    COUNTIFS('QA Log'!D:D,A24,'QA Log'!M:M,"Vignette",'QA Log'!Z:Z,"Approved",'QA Log'!L:L,"*Vignette [8] Birth Spacing/ Family Planning :  FP Counselling*"),
    COUNTIFS('QA Log'!D:D,A24,'QA Log'!M:M,"Vignette",'QA Log'!Z:Z,"Approved",'QA Log'!L:L,"*Vignette [9] Birth Spacing: Change FP method to Injectable*"),
    COUNTIFS('QA Log'!D:D,A24,'QA Log'!M:M,"Vignette",'QA Log'!Z:Z,"Approved",'QA Log'!L:L,"*Vignette [10] Post Partum Haemorrhage - Atonic Uterus at Health Centre*")
  )
)</f>
        <v>0</v>
      </c>
      <c r="BG24" s="105">
        <f ca="1">IF(A24&lt;&gt;"",COUNTIFS('QA Log'!D:D,A24,'QA Log'!M:M,"Vignette",'QA Log'!L:L,"Vignette [5] Labor",'QA Log'!Z:Z,"Approved"),"")</f>
        <v>0</v>
      </c>
      <c r="BH24" s="105">
        <f ca="1">IF(A24&lt;&gt;"",COUNTIFS('QA Log'!D:D,A24,'QA Log'!M:M,"Vignette",'QA Log'!L:L,"Vignette [6] PNC pre Discharge",'QA Log'!Z:Z,"Approved"),"")</f>
        <v>0</v>
      </c>
      <c r="BI24" s="105">
        <f ca="1">IF(A24&lt;&gt;"",COUNTIFS('QA Log'!D:D,A24,'QA Log'!M:M,"Vignette",'QA Log'!L:L,"Vignette [7] First ANC Visit",'QA Log'!Z:Z,"Approved"),"")</f>
        <v>0</v>
      </c>
      <c r="BJ24" s="105">
        <f ca="1">IF(A24&lt;&gt;"",COUNTIFS('QA Log'!D:D,A24,'QA Log'!M:M,"Vignette",'QA Log'!L:L,"Vignette [8] Birth Spacing/ Family Planning :  FP Counselling",'QA Log'!Z:Z,"Approved"),"")</f>
        <v>0</v>
      </c>
      <c r="BK24" s="105">
        <f ca="1">IF(A24&lt;&gt;"",COUNTIFS('QA Log'!D:D,A24,'QA Log'!M:M,"Vignette",'QA Log'!L:L,"Vignette [9] Birth Spacing: Change FP method to Injectable",'QA Log'!Z:Z,"Approved"),"")</f>
        <v>0</v>
      </c>
      <c r="BL24" s="105">
        <f ca="1">IF(A24&lt;&gt;"",COUNTIFS('QA Log'!D:D,A24,'QA Log'!M:M,"Vignette",'QA Log'!L:L,"Vignette [10] Post Partum Haemorrhage - Atonic Uterus at Health Centre",'QA Log'!Z:Z,"Approved"),"")</f>
        <v>0</v>
      </c>
      <c r="BM24" s="102">
        <f ca="1">IF(A24="","",SUM(
    COUNTIFS('QA Log'!D:D,A24,'QA Log'!M:M,"Vignette",'QA Log'!Z:Z,"Rejected",'QA Log'!L:L,"*Vignette [5] Labor*"),
    COUNTIFS('QA Log'!D:D,A24,'QA Log'!M:M,"Vignette",'QA Log'!Z:Z,"Rejected",'QA Log'!L:L,"*Vignette [6] PNC pre Discharge*"),
    COUNTIFS('QA Log'!D:D,A24,'QA Log'!M:M,"Vignette",'QA Log'!Z:Z,"Rejected",'QA Log'!L:L,"*Vignette [7] First ANC Visit*"),
    COUNTIFS('QA Log'!D:D,A24,'QA Log'!M:M,"Vignette",'QA Log'!Z:Z,"Rejected",'QA Log'!L:L,"*Vignette [8] Birth Spacing/ Family Planning :  FP Counselling*"),
    COUNTIFS('QA Log'!D:D,A24,'QA Log'!M:M,"Vignette",'QA Log'!Z:Z,"Rejected",'QA Log'!L:L,"*Vignette [9] Birth Spacing: Change FP method to Injectable*"),
    COUNTIFS('QA Log'!D:D,A24,'QA Log'!M:M,"Vignette",'QA Log'!Z:Z,"Rejected",'QA Log'!L:L,"*Vignette [10] Post Partum Haemorrhage - Atonic Uterus at Health Centre*")
  )
)</f>
        <v>0</v>
      </c>
      <c r="BN24" s="107">
        <f t="shared" ca="1" si="11"/>
        <v>2</v>
      </c>
      <c r="BO24" s="103">
        <f t="shared" ca="1" si="12"/>
        <v>2</v>
      </c>
      <c r="BP24" s="102">
        <f ca="1">IF(A24="","",SUM(
COUNTIFS('QA Log'!D:D,A24,'QA Log'!M:M,"Vignette",'QA Log'!L:L,"*Exit Interview 1*"),
COUNTIFS('QA Log'!D:D,A24,'QA Log'!M:M,"Vignette",'QA Log'!L:L,"*Exit Interview 2*"),
)
)</f>
        <v>3</v>
      </c>
      <c r="BQ24" s="102">
        <f ca="1">IF(
  A24="","",
  SUM(
    COUNTIFS('QA Log'!D:D,A24,'QA Log'!M:M,"Vignette",'QA Log'!Z:Z,"Approved",'QA Log'!L:L,"*Exit Interview 1*"),
    COUNTIFS('QA Log'!D:D,A24,'QA Log'!M:M,"Vignette",'QA Log'!Z:Z,"Approved",'QA Log'!L:L,"*Exit Interview 2*")
  )
)</f>
        <v>0</v>
      </c>
      <c r="BR24" s="105">
        <f ca="1">IF(A24&lt;&gt;"",COUNTIFS('QA Log'!D:D,A24,'QA Log'!M:M,"Vignette",'QA Log'!L:L,"Exit Interview 1",'QA Log'!Z:Z,"Approved"),"")</f>
        <v>0</v>
      </c>
      <c r="BS24" s="105">
        <f ca="1">IF(A24&lt;&gt;"",COUNTIFS('QA Log'!D:D,A24,'QA Log'!M:M,"Vignette",'QA Log'!L:L,"Exit Interview 2",'QA Log'!Z:Z,"Approved"),"")</f>
        <v>0</v>
      </c>
      <c r="BT24" s="102">
        <f ca="1">IF(
  A24="","",
  SUM(
    COUNTIFS('QA Log'!D:D,A24,'QA Log'!M:M,"Vignette",'QA Log'!Z:Z,"Rejected",'QA Log'!L:L,"*Exit Interview 1*"),
    COUNTIFS('QA Log'!D:D,A24,'QA Log'!M:M,"Vignette",'QA Log'!Z:Z,"Rejected",'QA Log'!L:L,"*Exit Interview 2*")
  )
)</f>
        <v>0</v>
      </c>
      <c r="BU24" s="107">
        <f t="shared" ca="1" si="13"/>
        <v>2</v>
      </c>
      <c r="BV24" s="102" t="e">
        <f t="shared" ca="1" si="14"/>
        <v>#NAME?</v>
      </c>
      <c r="BW24" s="102">
        <f t="shared" ca="1" si="15"/>
        <v>13</v>
      </c>
      <c r="BX24" s="102">
        <f t="shared" ca="1" si="16"/>
        <v>3</v>
      </c>
      <c r="BY24" s="102">
        <f t="shared" ca="1" si="17"/>
        <v>0</v>
      </c>
      <c r="BZ24" s="107" t="e">
        <f t="shared" ca="1" si="18"/>
        <v>#NAME?</v>
      </c>
      <c r="CA24" s="108" t="e">
        <f t="shared" ca="1" si="19"/>
        <v>#NAME?</v>
      </c>
      <c r="CB24" s="108" t="e">
        <f t="shared" ca="1" si="20"/>
        <v>#NAME?</v>
      </c>
      <c r="CC24" s="109" t="str">
        <f t="shared" ca="1" si="21"/>
        <v>Fully Received</v>
      </c>
      <c r="CD24" s="108" t="e">
        <f t="shared" ca="1" si="22"/>
        <v>#NAME?</v>
      </c>
      <c r="CE24" s="108" t="e">
        <f t="shared" ca="1" si="23"/>
        <v>#NAME?</v>
      </c>
      <c r="CF24" s="109" t="str">
        <f t="shared" ca="1" si="24"/>
        <v>Not Received</v>
      </c>
      <c r="CG24" s="110" t="e">
        <f t="shared" ca="1" si="25"/>
        <v>#NAME?</v>
      </c>
      <c r="CH24" s="111"/>
    </row>
    <row r="25" spans="1:86" ht="12.75">
      <c r="A25" s="101" t="str">
        <f ca="1">IFERROR(__xludf.DUMMYFUNCTION("""COMPUTED_VALUE"""),"HER-BDS-HF2507-Q1-2023-595-01")</f>
        <v>HER-BDS-HF2507-Q1-2023-595-01</v>
      </c>
      <c r="B25" s="102" t="e">
        <f t="array" aca="1" ref="B25" ca="1">_xludf.XLOOKUP(A25,'QA Log'!D:D,'QA Log'!E:E,"")</f>
        <v>#NAME?</v>
      </c>
      <c r="C25" s="102" t="e">
        <f t="array" aca="1" ref="C25" ca="1">_xludf.XLOOKUP(A25,'QA Log'!D:D,'QA Log'!F:F,"")</f>
        <v>#NAME?</v>
      </c>
      <c r="D25" s="102" t="e">
        <f t="array" aca="1" ref="D25" ca="1">_xludf.XLOOKUP(A25,'QA Log'!D:D,'QA Log'!H:H,"")</f>
        <v>#NAME?</v>
      </c>
      <c r="E25" s="102" t="e">
        <f t="array" aca="1" ref="E25" ca="1">_xludf.XLOOKUP(A25,'QA Log'!D:D,'QA Log'!G:G,"")</f>
        <v>#NAME?</v>
      </c>
      <c r="F25" s="103" t="s">
        <v>91</v>
      </c>
      <c r="G25" s="104">
        <v>45964</v>
      </c>
      <c r="H25" s="104">
        <v>45964</v>
      </c>
      <c r="I25" s="103" t="e">
        <f t="shared" ca="1" si="0"/>
        <v>#NAME?</v>
      </c>
      <c r="J25" s="102">
        <f ca="1">IF(A25="","",SUM(
COUNTIFS('QA Log'!D:D,A25,'QA Log'!M:M,"QQC",'QA Log'!L:L,"*1. General Management*"),
COUNTIFS('QA Log'!D:D,A25,'QA Log'!M:M,"QQC",'QA Log'!L:L,"*3. Curative Consultation (OPD)*"),
COUNTIFS('QA Log'!D:D,A25,'QA Log'!M:M,"QQC",'QA Log'!L:L,"*5. Laboratory*"),
COUNTIFS('QA Log'!D:D,A25,'QA Log'!M:M,"QQC",'QA Log'!L:L,"*6. Essential Medicine Management*"),
COUNTIFS('QA Log'!D:D,A25,'QA Log'!M:M,"QQC",'QA Log'!L:L,"*7. Tracer Medicine*"),
COUNTIFS('QA Log'!D:D,A25,'QA Log'!M:M,"QQC",'QA Log'!L:L,"*11. Additional Questions*")))</f>
        <v>0</v>
      </c>
      <c r="K25" s="102">
        <f ca="1">IF(A25="","",SUM(
COUNTIFS('QA Log'!D:D,A25,'QA Log'!M:M,"QQC",'QA Log'!Z:Z,"Approved",'QA Log'!L:L,"*1. General Management*"),
COUNTIFS('QA Log'!D:D,A25,'QA Log'!M:M,"QQC",'QA Log'!Z:Z,"Approved",'QA Log'!L:L,"*3. Curative Consultation (OPD)*"),
COUNTIFS('QA Log'!D:D,A25,'QA Log'!M:M,"QQC",'QA Log'!Z:Z,"Approved",'QA Log'!L:L,"*5. Laboratory*"),
COUNTIFS('QA Log'!D:D,A25,'QA Log'!M:M,"QQC",'QA Log'!Z:Z,"Approved",'QA Log'!L:L,"*6. Essential Medicine Management*"),
COUNTIFS('QA Log'!D:D,A25,'QA Log'!M:M,"QQC",'QA Log'!Z:Z,"Approved",'QA Log'!L:L,"*7. Tracer Medicine*"),
COUNTIFS('QA Log'!D:D,A25,'QA Log'!M:M,"QQC",'QA Log'!Z:Z,"Approved",'QA Log'!L:L,"*11. Additional Questions*")))</f>
        <v>0</v>
      </c>
      <c r="L25" s="105">
        <f ca="1">IF(A25&lt;&gt;"",COUNTIFS('QA Log'!D:D,A25,'QA Log'!M:M,"QQC",'QA Log'!L:L,"1. General Management",'QA Log'!Z:Z,"Approved"),"")</f>
        <v>0</v>
      </c>
      <c r="M25" s="105">
        <f ca="1">IF(A25&lt;&gt;"",COUNTIFS('QA Log'!D:D,A25,'QA Log'!M:M,"QQC",'QA Log'!L:L,"3. Curative Consultation (OPD)",'QA Log'!Z:Z,"Approved"),"")</f>
        <v>0</v>
      </c>
      <c r="N25" s="105">
        <f ca="1">IF(A25&lt;&gt;"",COUNTIFS('QA Log'!D:D,A25,'QA Log'!M:M,"QQC",'QA Log'!L:L,"5. Laboratory",'QA Log'!Z:Z,"Approved"),"")</f>
        <v>0</v>
      </c>
      <c r="O25" s="105">
        <f ca="1">IF(A25&lt;&gt;"",COUNTIFS('QA Log'!D:D,A25,'QA Log'!M:M,"QQC",'QA Log'!L:L,"6. Essential Medicine Management",'QA Log'!Z:Z,"Approved"),"")</f>
        <v>0</v>
      </c>
      <c r="P25" s="105">
        <f ca="1">IF(A25&lt;&gt;"",COUNTIFS('QA Log'!D:D,A25,'QA Log'!M:M,"QQC",'QA Log'!L:L,"7. Tracer Medicine",'QA Log'!Z:Z,"Approved"),"")</f>
        <v>0</v>
      </c>
      <c r="Q25" s="105">
        <f ca="1">IF(A25&lt;&gt;"",COUNTIFS('QA Log'!D:D,A25,'QA Log'!M:M,"QQC",'QA Log'!L:L,"11. Additional Questions",'QA Log'!Z:Z,"Approved"),"")</f>
        <v>0</v>
      </c>
      <c r="R25" s="102">
        <f ca="1">IF(A25="","",SUM(
COUNTIFS('QA Log'!D:D,A25,'QA Log'!M:M,"QQC",'QA Log'!Z:Z,"Rejected",'QA Log'!L:L,"*8. Maternity*"),
COUNTIFS('QA Log'!D:D,A25,'QA Log'!M:M,"QQC",'QA Log'!Z:Z,"Rejected",'QA Log'!L:L,"*EPI*"),
COUNTIFS('QA Log'!D:D,A25,'QA Log'!M:M,"QQC",'QA Log'!Z:Z,"Rejected",'QA Log'!L:L,"*10. Antenatal Care (ANC)*"),
COUNTIFS('QA Log'!D:D,A25,'QA Log'!M:M,"QQC",'QA Log'!Z:Z,"Rejected",'QA Log'!L:L,"*2. Hygiene and Sterilization*"),
COUNTIFS('QA Log'!D:D,A25,'QA Log'!M:M,"QQC",'QA Log'!Z:Z,"Rejected",'QA Log'!L:L,"*Family Planning*")))</f>
        <v>0</v>
      </c>
      <c r="S25" s="106" t="e">
        <f t="shared" ca="1" si="1"/>
        <v>#NAME?</v>
      </c>
      <c r="T25" s="102" t="e">
        <f t="shared" ca="1" si="2"/>
        <v>#NAME?</v>
      </c>
      <c r="U25" s="102">
        <f ca="1">IF(A25="","",
SUM(
COUNTIFS('QA Log'!D:D,A25,'QA Log'!M:M,"QQC",'QA Log'!L:L,"*8. Maternity*"),
COUNTIFS('QA Log'!D:D,A25,'QA Log'!M:M,"QQC",'QA Log'!L:L,"*9. EPI and Pre-school Consultation*"),
COUNTIFS('QA Log'!D:D,A25,'QA Log'!M:M,"QQC",'QA Log'!L:L,"*10. Antenatal Care (ANC)*"),
COUNTIFS('QA Log'!D:D,A25,'QA Log'!M:M,"QQC",'QA Log'!L:L,"*2. Hygiene and Sterilization*"),
COUNTIFS('QA Log'!D:D,A25,'QA Log'!M:M,"QQC",'QA Log'!L:L,"*4. Family Planning*")
))</f>
        <v>1</v>
      </c>
      <c r="V25" s="102">
        <f ca="1">IF(A25="","",
SUM(
COUNTIFS('QA Log'!D:D,A25,'QA Log'!M:M,"QQC",'QA Log'!Z:Z,"Approved",'QA Log'!L:L,"*8. Maternity*"),
COUNTIFS('QA Log'!D:D,A25,'QA Log'!M:M,"QQC",'QA Log'!Z:Z,"Approved",'QA Log'!L:L,"*9. EPI and Pre-school Consultation*"),
COUNTIFS('QA Log'!D:D,A25,'QA Log'!M:M,"QQC",'QA Log'!Z:Z,"Approved",'QA Log'!L:L,"*10. Antenatal Care (ANC)*"),
COUNTIFS('QA Log'!D:D,A25,'QA Log'!M:M,"QQC",'QA Log'!Z:Z,"Approved",'QA Log'!L:L,"*2. Hygiene and Sterilization*"),
COUNTIFS('QA Log'!D:D,A25,'QA Log'!M:M,"QQC",'QA Log'!Z:Z,"Approved",'QA Log'!L:L,"*4. Family Planning*")
))</f>
        <v>0</v>
      </c>
      <c r="W25" s="105">
        <f ca="1">IF(A25&lt;&gt;"",COUNTIFS('QA Log'!D:D,A25,'QA Log'!M:M,"QQC",'QA Log'!L:L,"8. Maternity",'QA Log'!Z:Z,"Approved"),"")</f>
        <v>0</v>
      </c>
      <c r="X25" s="105">
        <f ca="1">IF(A25&lt;&gt;"",COUNTIFS('QA Log'!D:D,A25,'QA Log'!M:M,"QQC",'QA Log'!L:L,"9. EPI and Pre-school Consultation",'QA Log'!Z:Z,"Approved"),"")</f>
        <v>0</v>
      </c>
      <c r="Y25" s="105">
        <f ca="1">IF(A25&lt;&gt;"",COUNTIFS('QA Log'!D:D,A25,'QA Log'!M:M,"QQC",'QA Log'!L:L,"10. Antenatal Care (ANC)",'QA Log'!Z:Z,"Approved"),"")</f>
        <v>0</v>
      </c>
      <c r="Z25" s="105">
        <f ca="1">IF(A25&lt;&gt;"",COUNTIFS('QA Log'!D:D,A25,'QA Log'!M:M,"QQC",'QA Log'!L:L,"2. Hygiene and Sterilization",'QA Log'!Z:Z,"Approved"),"")</f>
        <v>0</v>
      </c>
      <c r="AA25" s="105">
        <f ca="1">IF(A25&lt;&gt;"",COUNTIFS('QA Log'!D:D,A25,'QA Log'!M:M,"QQC",'QA Log'!L:L,"4. Family Planning",'QA Log'!Z:Z,"Approved"),"")</f>
        <v>0</v>
      </c>
      <c r="AB25" s="102">
        <f ca="1">IF(A25="","",
SUM(
COUNTIFS('QA Log'!D:D,A25,'QA Log'!M:M,"QQC",'QA Log'!Z:Z,"Rejected",'QA Log'!L:L,"*8. Maternity*"),
COUNTIFS('QA Log'!D:D,A25,'QA Log'!M:M,"QQC",'QA Log'!Z:Z,"Rejected",'QA Log'!L:L,"*9. EPI and Pre-school Consultation*"),
COUNTIFS('QA Log'!D:D,A25,'QA Log'!M:M,"QQC",'QA Log'!Z:Z,"Rejected",'QA Log'!L:L,"*10. Antenatal Care (ANC)*"),
COUNTIFS('QA Log'!D:D,A25,'QA Log'!M:M,"QQC",'QA Log'!Z:Z,"Rejected",'QA Log'!L:L,"*2. Hygiene and Sterilization*"),
COUNTIFS('QA Log'!D:D,A25,'QA Log'!M:M,"QQC",'QA Log'!Z:Z,"Rejected",'QA Log'!L:L,"*4. Family Planning*")
))</f>
        <v>0</v>
      </c>
      <c r="AC25" s="102" t="e">
        <f t="shared" ca="1" si="3"/>
        <v>#NAME?</v>
      </c>
      <c r="AD25" s="103" t="e">
        <f t="shared" ca="1" si="4"/>
        <v>#NAME?</v>
      </c>
      <c r="AE25" s="102">
        <f ca="1">IF(A25="","",
SUM(
COUNTIFS('QA Log'!D:D,A25,'QA Log'!M:M,"Data Verification",'QA Log'!L:L,"*Medicine (section 2)*"),
COUNTIFS('QA Log'!D:D,A25,'QA Log'!M:M,"Data Verification",'QA Log'!L:L,"*Lab Testing Availability*"),
COUNTIFS('QA Log'!D:D,A25,'QA Log'!M:M,"Data Verification",'QA Log'!L:L,"*Other than P4P (section 6)*"),
COUNTIFS('QA Log'!D:D,A25,'QA Log'!M:M,"Data Verification",'QA Log'!L:L,"*Hospital Governance*")
))</f>
        <v>0</v>
      </c>
      <c r="AF25" s="102">
        <f ca="1">IF(A25="","",
SUM(
COUNTIFS('QA Log'!D:D,A25,'QA Log'!M:M,"Data Verification",'QA Log'!Z:Z,"Approved",'QA Log'!L:L,"*Medicine (section 2)*"),
COUNTIFS('QA Log'!D:D,A25,'QA Log'!M:M,"Data Verification",'QA Log'!Z:Z,"Approved",'QA Log'!L:L,"*Lab Testing Availability*"),
COUNTIFS('QA Log'!D:D,A25,'QA Log'!M:M,"Data Verification",'QA Log'!Z:Z,"Approved",'QA Log'!L:L,"*Other than P4P (section 6)*"),
COUNTIFS('QA Log'!D:D,A25,'QA Log'!M:M,"Data Verification",'QA Log'!Z:Z,"Approved",'QA Log'!L:L,"*Hospital Governance*")
))</f>
        <v>0</v>
      </c>
      <c r="AG25" s="105">
        <f ca="1">IF(A25&lt;&gt;"",COUNTIFS('QA Log'!D:D,A25,'QA Log'!M:M,"Data Verification",'QA Log'!L:L,"Medicine (section 2)",'QA Log'!Z:Z,"Approved"),"")</f>
        <v>0</v>
      </c>
      <c r="AH25" s="105">
        <f ca="1">IF(A25&lt;&gt;"",COUNTIFS('QA Log'!D:D,A25,'QA Log'!M:M,"Data Verification",'QA Log'!L:L,"Lab Testing Availability",'QA Log'!Z:Z,"Approved"),"")</f>
        <v>0</v>
      </c>
      <c r="AI25" s="105">
        <f ca="1">IF(A25&lt;&gt;"",COUNTIFS('QA Log'!D:D,A25,'QA Log'!M:M,"Data Verification",'QA Log'!L:L,"Other than P4P (section 6)",'QA Log'!Z:Z,"Approved"),"")</f>
        <v>0</v>
      </c>
      <c r="AJ25" s="105">
        <f ca="1">IF(A25&lt;&gt;"",COUNTIFS('QA Log'!D:D,A25,'QA Log'!M:M,"Data Verification",'QA Log'!L:L,"Hospital Governance",'QA Log'!Z:Z,"Approved"),"")</f>
        <v>0</v>
      </c>
      <c r="AK25" s="102">
        <f ca="1">IF(A25="","",
SUM(
COUNTIFS('QA Log'!D:D,A25,'QA Log'!M:M,"Data Verification",'QA Log'!Z:Z,"Rejected",'QA Log'!L:L,"*Medicine (section 2)*"),
COUNTIFS('QA Log'!D:D,A25,'QA Log'!M:M,"Data Verification",'QA Log'!Z:Z,"Rejected",'QA Log'!L:L,"*Lab Testing Availability*"),
COUNTIFS('QA Log'!D:D,A25,'QA Log'!M:M,"Data Verification",'QA Log'!Z:Z,"Rejected",'QA Log'!L:L,"*Other than P4P (section 6)*"),
COUNTIFS('QA Log'!D:D,A25,'QA Log'!M:M,"Data Verification",'QA Log'!Z:Z,"Rejected",'QA Log'!L:L,"*Hospital Governance*")
))</f>
        <v>0</v>
      </c>
      <c r="AL25" s="106" t="e">
        <f t="shared" ca="1" si="5"/>
        <v>#NAME?</v>
      </c>
      <c r="AM25" s="102" t="e">
        <f t="shared" ca="1" si="6"/>
        <v>#NAME?</v>
      </c>
      <c r="AN25" s="102">
        <f ca="1">IF(A25="","",
SUM(
COUNTIFS('QA Log'!D:D,A25,'QA Log'!M:M,"Data Verification",'QA Log'!L:L,"*Personnel (section 1)*"),
COUNTIFS('QA Log'!D:D,A25,'QA Log'!M:M,"Data Verification",'QA Log'!L:L,"*Consumable (section 3)*"),
COUNTIFS('QA Log'!D:D,A25,'QA Log'!M:M,"Data Verification",'QA Log'!L:L,"*Equipments (section 4)*")
))</f>
        <v>0</v>
      </c>
      <c r="AO25" s="102">
        <f ca="1">IF(A25="","",
SUM(
COUNTIFS('QA Log'!D:D,A25,'QA Log'!M:M,"Data Verification",'QA Log'!Z:Z,"Approved",'QA Log'!L:L,"*Personnel (section 1)*"),
COUNTIFS('QA Log'!D:D,A25,'QA Log'!M:M,"Data Verification",'QA Log'!Z:Z,"Approved",'QA Log'!L:L,"*Consumable (section 3)*"),
COUNTIFS('QA Log'!D:D,A25,'QA Log'!M:M,"Data Verification",'QA Log'!Z:Z,"Approved",'QA Log'!L:L,"*Equipments (section 4)*")
))</f>
        <v>0</v>
      </c>
      <c r="AP25" s="105">
        <f ca="1">IF(A25&lt;&gt;"",COUNTIFS('QA Log'!D:D,A25,'QA Log'!M:M,"Data Verification",'QA Log'!L:L,"Personnel (section 1)",'QA Log'!Z:Z,"Approved"),"")</f>
        <v>0</v>
      </c>
      <c r="AQ25" s="105">
        <f ca="1">IF(A25&lt;&gt;"",COUNTIFS('QA Log'!D:D,A25,'QA Log'!M:M,"Data Verification",'QA Log'!L:L,"Consumable (section 3)",'QA Log'!Z:Z,"Approved"),"")</f>
        <v>0</v>
      </c>
      <c r="AR25" s="105">
        <f ca="1">IF(A25&lt;&gt;"",COUNTIFS('QA Log'!D:D,A25,'QA Log'!M:M,"Data Verification",'QA Log'!L:L,"Equipments (section 4)",'QA Log'!Z:Z,"Approved"),"")</f>
        <v>0</v>
      </c>
      <c r="AS25" s="102">
        <f ca="1">IF(A25="","",
SUM(
COUNTIFS('QA Log'!D:D,A25,'QA Log'!M:M,"Data Verification",'QA Log'!Z:Z,"Rejected",'QA Log'!L:L,"*Personnel (section 1)*"),
COUNTIFS('QA Log'!D:D,A25,'QA Log'!M:M,"Data Verification",'QA Log'!Z:Z,"Rejected",'QA Log'!L:L,"*Consumable (section 3)*"),
COUNTIFS('QA Log'!D:D,A25,'QA Log'!M:M,"Data Verification",'QA Log'!Z:Z,"Rejected",'QA Log'!L:L,"*Equipments (section 4)*")
))</f>
        <v>0</v>
      </c>
      <c r="AT25" s="102" t="e">
        <f t="shared" ca="1" si="7"/>
        <v>#NAME?</v>
      </c>
      <c r="AU25" s="103">
        <f t="shared" ca="1" si="8"/>
        <v>2</v>
      </c>
      <c r="AV25" s="102">
        <f ca="1">IF(A25="","",SUM(
COUNTIFS('QA Log'!D:D,A25,'QA Log'!M:M,"Vignette",'QA Log'!L:L,"*Vignette [1] Respiratory Infection: Pneumonia*"),
COUNTIFS('QA Log'!D:D,A25,'QA Log'!M:M,"Vignette",'QA Log'!L:L,"*Vignette [2]: Diarrhea with Cat B dehydration*"),
COUNTIFS('QA Log'!D:D,A25,'QA Log'!M:M,"Vignette",'QA Log'!L:L,"*Vignette [3] Growth Monitoring and Promotion*"),
COUNTIFS('QA Log'!D:D,A25,'QA Log'!M:M,"Vignette",'QA Log'!L:L,"*Vignette [4]: The management of presumptive TB patient*")
)
)</f>
        <v>0</v>
      </c>
      <c r="AW25" s="102">
        <f ca="1">IF(
  A25="","",
  SUM(
    COUNTIFS('QA Log'!D:D,A25,'QA Log'!M:M,"Vignette",'QA Log'!Z:Z,"Approved",'QA Log'!L:L,"*Vignette [1] Respiratory Infection: Pneumonia*"),
    COUNTIFS('QA Log'!D:D,A25,'QA Log'!M:M,"Vignette",'QA Log'!Z:Z,"Approved",'QA Log'!L:L,"*Vignette [2]: Diarrhea with Cat B dehydration*"),
    COUNTIFS('QA Log'!D:D,A25,'QA Log'!M:M,"Vignette",'QA Log'!Z:Z,"Approved",'QA Log'!L:L,"*Vignette [3] Growth Monitoring and Promotion*"),
    COUNTIFS('QA Log'!D:D,A25,'QA Log'!M:M,"Vignette",'QA Log'!Z:Z,"Approved",'QA Log'!L:L,"*Vignette [4]: The management of presumptive TB patient*")
  )
)</f>
        <v>0</v>
      </c>
      <c r="AX25" s="105">
        <f ca="1">IF(A25&lt;&gt;"",COUNTIFS('QA Log'!D:D,A25,'QA Log'!M:M,"Vignette",'QA Log'!L:L,"Vignette [1] Respiratory Infection: Pneumonia",'QA Log'!Z:Z,"Approved"),"")</f>
        <v>0</v>
      </c>
      <c r="AY25" s="105">
        <f ca="1">IF(A25&lt;&gt;"",COUNTIFS('QA Log'!D:D,A25,'QA Log'!M:M,"Vignette",'QA Log'!L:L,"Vignette [2]: Diarrhea with Cat B dehydration",'QA Log'!Z:Z,"Approved"),"")</f>
        <v>0</v>
      </c>
      <c r="AZ25" s="105">
        <f ca="1">IF(A25&lt;&gt;"",COUNTIFS('QA Log'!D:D,A25,'QA Log'!M:M,"Vignette",'QA Log'!L:L,"Vignette [3] Growth Monitoring and Promotion",'QA Log'!Z:Z,"Approved"),"")</f>
        <v>0</v>
      </c>
      <c r="BA25" s="105">
        <f ca="1">IF(A25&lt;&gt;"",COUNTIFS('QA Log'!D:D,A25,'QA Log'!M:M,"Vignette",'QA Log'!L:L,"Vignette [4]: The management of presumptive TB patient",'QA Log'!Z:Z,"Approved"),"")</f>
        <v>0</v>
      </c>
      <c r="BB25" s="102">
        <f ca="1">IF(A25="","",
  SUM(
    COUNTIFS('QA Log'!D:D,A25,'QA Log'!M:M,"Vignette",'QA Log'!Z:Z,"Rejected",'QA Log'!L:L,"*Vignette [1] Respiratory Infection: Pneumonia*"),
    COUNTIFS('QA Log'!D:D,A25,'QA Log'!M:M,"Vignette",'QA Log'!Z:Z,"Rejected",'QA Log'!L:L,"*Vignette [2]: Diarrhea with Cat B dehydration*"),
    COUNTIFS('QA Log'!D:D,A25,'QA Log'!M:M,"Vignette",'QA Log'!Z:Z,"Rejected",'QA Log'!L:L,"*Vignette [3] Growth Monitoring and Promotion*"),
    COUNTIFS('QA Log'!D:D,A25,'QA Log'!M:M,"Vignette",'QA Log'!Z:Z,"Rejected",'QA Log'!L:L,"*Vignette [4]: The management of presumptive TB patient*")
  )
)</f>
        <v>0</v>
      </c>
      <c r="BC25" s="107">
        <f t="shared" ca="1" si="9"/>
        <v>2</v>
      </c>
      <c r="BD25" s="103">
        <f t="shared" ca="1" si="10"/>
        <v>2</v>
      </c>
      <c r="BE25" s="102">
        <f ca="1">IF(A25="","",SUM(
COUNTIFS('QA Log'!D:D,A25,'QA Log'!M:M,"Vignette",'QA Log'!L:L,"*Vignette [5] Labor*"),
COUNTIFS('QA Log'!D:D,A25,'QA Log'!M:M,"Vignette",'QA Log'!L:L,"*Vignette [6] PNC pre Discharge*"),
COUNTIFS('QA Log'!D:D,A25,'QA Log'!M:M,"Vignette",'QA Log'!L:L,"*Vignette [7] First ANC Visit*"),
COUNTIFS('QA Log'!D:D,A25,'QA Log'!M:M,"Vignette",'QA Log'!L:L,"*Vignette [8] Birth Spacing/ Family Planning :  FP Counselling*"),
COUNTIFS('QA Log'!D:D,A25,'QA Log'!M:M,"Vignette",'QA Log'!L:L,"*Vignette [9] Birth Spacing: Change FP method to Injectable*"),
COUNTIFS('QA Log'!D:D,A25,'QA Log'!M:M,"Vignette",'QA Log'!L:L,"*Vignette [10] Post Partum Haemorrhage - Atonic Uterus at Health Centre*"),
)
)</f>
        <v>1</v>
      </c>
      <c r="BF25" s="102">
        <f ca="1">IF(A25="","",
  SUM(
    COUNTIFS('QA Log'!D:D,A25,'QA Log'!M:M,"Vignette",'QA Log'!Z:Z,"Approved",'QA Log'!L:L,"*Vignette [5] Labor*"),
    COUNTIFS('QA Log'!D:D,A25,'QA Log'!M:M,"Vignette",'QA Log'!Z:Z,"Approved",'QA Log'!L:L,"*Vignette [6] PNC pre Discharge*"),
    COUNTIFS('QA Log'!D:D,A25,'QA Log'!M:M,"Vignette",'QA Log'!Z:Z,"Approved",'QA Log'!L:L,"*Vignette [7] First ANC Visit*"),
    COUNTIFS('QA Log'!D:D,A25,'QA Log'!M:M,"Vignette",'QA Log'!Z:Z,"Approved",'QA Log'!L:L,"*Vignette [8] Birth Spacing/ Family Planning :  FP Counselling*"),
    COUNTIFS('QA Log'!D:D,A25,'QA Log'!M:M,"Vignette",'QA Log'!Z:Z,"Approved",'QA Log'!L:L,"*Vignette [9] Birth Spacing: Change FP method to Injectable*"),
    COUNTIFS('QA Log'!D:D,A25,'QA Log'!M:M,"Vignette",'QA Log'!Z:Z,"Approved",'QA Log'!L:L,"*Vignette [10] Post Partum Haemorrhage - Atonic Uterus at Health Centre*")
  )
)</f>
        <v>0</v>
      </c>
      <c r="BG25" s="105">
        <f ca="1">IF(A25&lt;&gt;"",COUNTIFS('QA Log'!D:D,A25,'QA Log'!M:M,"Vignette",'QA Log'!L:L,"Vignette [5] Labor",'QA Log'!Z:Z,"Approved"),"")</f>
        <v>0</v>
      </c>
      <c r="BH25" s="105">
        <f ca="1">IF(A25&lt;&gt;"",COUNTIFS('QA Log'!D:D,A25,'QA Log'!M:M,"Vignette",'QA Log'!L:L,"Vignette [6] PNC pre Discharge",'QA Log'!Z:Z,"Approved"),"")</f>
        <v>0</v>
      </c>
      <c r="BI25" s="105">
        <f ca="1">IF(A25&lt;&gt;"",COUNTIFS('QA Log'!D:D,A25,'QA Log'!M:M,"Vignette",'QA Log'!L:L,"Vignette [7] First ANC Visit",'QA Log'!Z:Z,"Approved"),"")</f>
        <v>0</v>
      </c>
      <c r="BJ25" s="105">
        <f ca="1">IF(A25&lt;&gt;"",COUNTIFS('QA Log'!D:D,A25,'QA Log'!M:M,"Vignette",'QA Log'!L:L,"Vignette [8] Birth Spacing/ Family Planning :  FP Counselling",'QA Log'!Z:Z,"Approved"),"")</f>
        <v>0</v>
      </c>
      <c r="BK25" s="105">
        <f ca="1">IF(A25&lt;&gt;"",COUNTIFS('QA Log'!D:D,A25,'QA Log'!M:M,"Vignette",'QA Log'!L:L,"Vignette [9] Birth Spacing: Change FP method to Injectable",'QA Log'!Z:Z,"Approved"),"")</f>
        <v>0</v>
      </c>
      <c r="BL25" s="105">
        <f ca="1">IF(A25&lt;&gt;"",COUNTIFS('QA Log'!D:D,A25,'QA Log'!M:M,"Vignette",'QA Log'!L:L,"Vignette [10] Post Partum Haemorrhage - Atonic Uterus at Health Centre",'QA Log'!Z:Z,"Approved"),"")</f>
        <v>0</v>
      </c>
      <c r="BM25" s="102">
        <f ca="1">IF(A25="","",SUM(
    COUNTIFS('QA Log'!D:D,A25,'QA Log'!M:M,"Vignette",'QA Log'!Z:Z,"Rejected",'QA Log'!L:L,"*Vignette [5] Labor*"),
    COUNTIFS('QA Log'!D:D,A25,'QA Log'!M:M,"Vignette",'QA Log'!Z:Z,"Rejected",'QA Log'!L:L,"*Vignette [6] PNC pre Discharge*"),
    COUNTIFS('QA Log'!D:D,A25,'QA Log'!M:M,"Vignette",'QA Log'!Z:Z,"Rejected",'QA Log'!L:L,"*Vignette [7] First ANC Visit*"),
    COUNTIFS('QA Log'!D:D,A25,'QA Log'!M:M,"Vignette",'QA Log'!Z:Z,"Rejected",'QA Log'!L:L,"*Vignette [8] Birth Spacing/ Family Planning :  FP Counselling*"),
    COUNTIFS('QA Log'!D:D,A25,'QA Log'!M:M,"Vignette",'QA Log'!Z:Z,"Rejected",'QA Log'!L:L,"*Vignette [9] Birth Spacing: Change FP method to Injectable*"),
    COUNTIFS('QA Log'!D:D,A25,'QA Log'!M:M,"Vignette",'QA Log'!Z:Z,"Rejected",'QA Log'!L:L,"*Vignette [10] Post Partum Haemorrhage - Atonic Uterus at Health Centre*")
  )
)</f>
        <v>0</v>
      </c>
      <c r="BN25" s="107">
        <f t="shared" ca="1" si="11"/>
        <v>2</v>
      </c>
      <c r="BO25" s="103">
        <f t="shared" ca="1" si="12"/>
        <v>2</v>
      </c>
      <c r="BP25" s="102">
        <f ca="1">IF(A25="","",SUM(
COUNTIFS('QA Log'!D:D,A25,'QA Log'!M:M,"Vignette",'QA Log'!L:L,"*Exit Interview 1*"),
COUNTIFS('QA Log'!D:D,A25,'QA Log'!M:M,"Vignette",'QA Log'!L:L,"*Exit Interview 2*"),
)
)</f>
        <v>0</v>
      </c>
      <c r="BQ25" s="102">
        <f ca="1">IF(
  A25="","",
  SUM(
    COUNTIFS('QA Log'!D:D,A25,'QA Log'!M:M,"Vignette",'QA Log'!Z:Z,"Approved",'QA Log'!L:L,"*Exit Interview 1*"),
    COUNTIFS('QA Log'!D:D,A25,'QA Log'!M:M,"Vignette",'QA Log'!Z:Z,"Approved",'QA Log'!L:L,"*Exit Interview 2*")
  )
)</f>
        <v>0</v>
      </c>
      <c r="BR25" s="105">
        <f ca="1">IF(A25&lt;&gt;"",COUNTIFS('QA Log'!D:D,A25,'QA Log'!M:M,"Vignette",'QA Log'!L:L,"Exit Interview 1",'QA Log'!Z:Z,"Approved"),"")</f>
        <v>0</v>
      </c>
      <c r="BS25" s="105">
        <f ca="1">IF(A25&lt;&gt;"",COUNTIFS('QA Log'!D:D,A25,'QA Log'!M:M,"Vignette",'QA Log'!L:L,"Exit Interview 2",'QA Log'!Z:Z,"Approved"),"")</f>
        <v>0</v>
      </c>
      <c r="BT25" s="102">
        <f ca="1">IF(
  A25="","",
  SUM(
    COUNTIFS('QA Log'!D:D,A25,'QA Log'!M:M,"Vignette",'QA Log'!Z:Z,"Rejected",'QA Log'!L:L,"*Exit Interview 1*"),
    COUNTIFS('QA Log'!D:D,A25,'QA Log'!M:M,"Vignette",'QA Log'!Z:Z,"Rejected",'QA Log'!L:L,"*Exit Interview 2*")
  )
)</f>
        <v>0</v>
      </c>
      <c r="BU25" s="107">
        <f t="shared" ca="1" si="13"/>
        <v>2</v>
      </c>
      <c r="BV25" s="102" t="e">
        <f t="shared" ca="1" si="14"/>
        <v>#NAME?</v>
      </c>
      <c r="BW25" s="102">
        <f t="shared" ca="1" si="15"/>
        <v>2</v>
      </c>
      <c r="BX25" s="102">
        <f t="shared" ca="1" si="16"/>
        <v>0</v>
      </c>
      <c r="BY25" s="102">
        <f t="shared" ca="1" si="17"/>
        <v>0</v>
      </c>
      <c r="BZ25" s="107" t="e">
        <f t="shared" ca="1" si="18"/>
        <v>#NAME?</v>
      </c>
      <c r="CA25" s="108" t="e">
        <f t="shared" ca="1" si="19"/>
        <v>#NAME?</v>
      </c>
      <c r="CB25" s="108" t="e">
        <f t="shared" ca="1" si="20"/>
        <v>#NAME?</v>
      </c>
      <c r="CC25" s="109" t="str">
        <f t="shared" ca="1" si="21"/>
        <v>Not Received</v>
      </c>
      <c r="CD25" s="108" t="e">
        <f t="shared" ca="1" si="22"/>
        <v>#NAME?</v>
      </c>
      <c r="CE25" s="108" t="e">
        <f t="shared" ca="1" si="23"/>
        <v>#NAME?</v>
      </c>
      <c r="CF25" s="109" t="str">
        <f t="shared" ca="1" si="24"/>
        <v>Not Received</v>
      </c>
      <c r="CG25" s="110" t="e">
        <f t="shared" ca="1" si="25"/>
        <v>#NAME?</v>
      </c>
      <c r="CH25" s="111"/>
    </row>
    <row r="26" spans="1:86" ht="12.75">
      <c r="A26" s="101" t="str">
        <f ca="1">IFERROR(__xludf.DUMMYFUNCTION("""COMPUTED_VALUE"""),"HER-BDG-HF1604-Q1-2023-597-01")</f>
        <v>HER-BDG-HF1604-Q1-2023-597-01</v>
      </c>
      <c r="B26" s="102" t="e">
        <f t="array" aca="1" ref="B26" ca="1">_xludf.XLOOKUP(A26,'QA Log'!D:D,'QA Log'!E:E,"")</f>
        <v>#NAME?</v>
      </c>
      <c r="C26" s="102" t="e">
        <f t="array" aca="1" ref="C26" ca="1">_xludf.XLOOKUP(A26,'QA Log'!D:D,'QA Log'!F:F,"")</f>
        <v>#NAME?</v>
      </c>
      <c r="D26" s="102" t="e">
        <f t="array" aca="1" ref="D26" ca="1">_xludf.XLOOKUP(A26,'QA Log'!D:D,'QA Log'!H:H,"")</f>
        <v>#NAME?</v>
      </c>
      <c r="E26" s="102" t="e">
        <f t="array" aca="1" ref="E26" ca="1">_xludf.XLOOKUP(A26,'QA Log'!D:D,'QA Log'!G:G,"")</f>
        <v>#NAME?</v>
      </c>
      <c r="F26" s="103" t="s">
        <v>91</v>
      </c>
      <c r="G26" s="104">
        <v>45963</v>
      </c>
      <c r="H26" s="104">
        <v>45964</v>
      </c>
      <c r="I26" s="103" t="e">
        <f t="shared" ca="1" si="0"/>
        <v>#NAME?</v>
      </c>
      <c r="J26" s="102">
        <f ca="1">IF(A26="","",SUM(
COUNTIFS('QA Log'!D:D,A26,'QA Log'!M:M,"QQC",'QA Log'!L:L,"*1. General Management*"),
COUNTIFS('QA Log'!D:D,A26,'QA Log'!M:M,"QQC",'QA Log'!L:L,"*3. Curative Consultation (OPD)*"),
COUNTIFS('QA Log'!D:D,A26,'QA Log'!M:M,"QQC",'QA Log'!L:L,"*5. Laboratory*"),
COUNTIFS('QA Log'!D:D,A26,'QA Log'!M:M,"QQC",'QA Log'!L:L,"*6. Essential Medicine Management*"),
COUNTIFS('QA Log'!D:D,A26,'QA Log'!M:M,"QQC",'QA Log'!L:L,"*7. Tracer Medicine*"),
COUNTIFS('QA Log'!D:D,A26,'QA Log'!M:M,"QQC",'QA Log'!L:L,"*11. Additional Questions*")))</f>
        <v>0</v>
      </c>
      <c r="K26" s="102">
        <f ca="1">IF(A26="","",SUM(
COUNTIFS('QA Log'!D:D,A26,'QA Log'!M:M,"QQC",'QA Log'!Z:Z,"Approved",'QA Log'!L:L,"*1. General Management*"),
COUNTIFS('QA Log'!D:D,A26,'QA Log'!M:M,"QQC",'QA Log'!Z:Z,"Approved",'QA Log'!L:L,"*3. Curative Consultation (OPD)*"),
COUNTIFS('QA Log'!D:D,A26,'QA Log'!M:M,"QQC",'QA Log'!Z:Z,"Approved",'QA Log'!L:L,"*5. Laboratory*"),
COUNTIFS('QA Log'!D:D,A26,'QA Log'!M:M,"QQC",'QA Log'!Z:Z,"Approved",'QA Log'!L:L,"*6. Essential Medicine Management*"),
COUNTIFS('QA Log'!D:D,A26,'QA Log'!M:M,"QQC",'QA Log'!Z:Z,"Approved",'QA Log'!L:L,"*7. Tracer Medicine*"),
COUNTIFS('QA Log'!D:D,A26,'QA Log'!M:M,"QQC",'QA Log'!Z:Z,"Approved",'QA Log'!L:L,"*11. Additional Questions*")))</f>
        <v>0</v>
      </c>
      <c r="L26" s="105">
        <f ca="1">IF(A26&lt;&gt;"",COUNTIFS('QA Log'!D:D,A26,'QA Log'!M:M,"QQC",'QA Log'!L:L,"1. General Management",'QA Log'!Z:Z,"Approved"),"")</f>
        <v>0</v>
      </c>
      <c r="M26" s="105">
        <f ca="1">IF(A26&lt;&gt;"",COUNTIFS('QA Log'!D:D,A26,'QA Log'!M:M,"QQC",'QA Log'!L:L,"3. Curative Consultation (OPD)",'QA Log'!Z:Z,"Approved"),"")</f>
        <v>0</v>
      </c>
      <c r="N26" s="105">
        <f ca="1">IF(A26&lt;&gt;"",COUNTIFS('QA Log'!D:D,A26,'QA Log'!M:M,"QQC",'QA Log'!L:L,"5. Laboratory",'QA Log'!Z:Z,"Approved"),"")</f>
        <v>0</v>
      </c>
      <c r="O26" s="105">
        <f ca="1">IF(A26&lt;&gt;"",COUNTIFS('QA Log'!D:D,A26,'QA Log'!M:M,"QQC",'QA Log'!L:L,"6. Essential Medicine Management",'QA Log'!Z:Z,"Approved"),"")</f>
        <v>0</v>
      </c>
      <c r="P26" s="105">
        <f ca="1">IF(A26&lt;&gt;"",COUNTIFS('QA Log'!D:D,A26,'QA Log'!M:M,"QQC",'QA Log'!L:L,"7. Tracer Medicine",'QA Log'!Z:Z,"Approved"),"")</f>
        <v>0</v>
      </c>
      <c r="Q26" s="105">
        <f ca="1">IF(A26&lt;&gt;"",COUNTIFS('QA Log'!D:D,A26,'QA Log'!M:M,"QQC",'QA Log'!L:L,"11. Additional Questions",'QA Log'!Z:Z,"Approved"),"")</f>
        <v>0</v>
      </c>
      <c r="R26" s="102">
        <f ca="1">IF(A26="","",SUM(
COUNTIFS('QA Log'!D:D,A26,'QA Log'!M:M,"QQC",'QA Log'!Z:Z,"Rejected",'QA Log'!L:L,"*8. Maternity*"),
COUNTIFS('QA Log'!D:D,A26,'QA Log'!M:M,"QQC",'QA Log'!Z:Z,"Rejected",'QA Log'!L:L,"*EPI*"),
COUNTIFS('QA Log'!D:D,A26,'QA Log'!M:M,"QQC",'QA Log'!Z:Z,"Rejected",'QA Log'!L:L,"*10. Antenatal Care (ANC)*"),
COUNTIFS('QA Log'!D:D,A26,'QA Log'!M:M,"QQC",'QA Log'!Z:Z,"Rejected",'QA Log'!L:L,"*2. Hygiene and Sterilization*"),
COUNTIFS('QA Log'!D:D,A26,'QA Log'!M:M,"QQC",'QA Log'!Z:Z,"Rejected",'QA Log'!L:L,"*Family Planning*")))</f>
        <v>0</v>
      </c>
      <c r="S26" s="106" t="e">
        <f t="shared" ca="1" si="1"/>
        <v>#NAME?</v>
      </c>
      <c r="T26" s="102" t="e">
        <f t="shared" ca="1" si="2"/>
        <v>#NAME?</v>
      </c>
      <c r="U26" s="102">
        <f ca="1">IF(A26="","",
SUM(
COUNTIFS('QA Log'!D:D,A26,'QA Log'!M:M,"QQC",'QA Log'!L:L,"*8. Maternity*"),
COUNTIFS('QA Log'!D:D,A26,'QA Log'!M:M,"QQC",'QA Log'!L:L,"*9. EPI and Pre-school Consultation*"),
COUNTIFS('QA Log'!D:D,A26,'QA Log'!M:M,"QQC",'QA Log'!L:L,"*10. Antenatal Care (ANC)*"),
COUNTIFS('QA Log'!D:D,A26,'QA Log'!M:M,"QQC",'QA Log'!L:L,"*2. Hygiene and Sterilization*"),
COUNTIFS('QA Log'!D:D,A26,'QA Log'!M:M,"QQC",'QA Log'!L:L,"*4. Family Planning*")
))</f>
        <v>0</v>
      </c>
      <c r="V26" s="102">
        <f ca="1">IF(A26="","",
SUM(
COUNTIFS('QA Log'!D:D,A26,'QA Log'!M:M,"QQC",'QA Log'!Z:Z,"Approved",'QA Log'!L:L,"*8. Maternity*"),
COUNTIFS('QA Log'!D:D,A26,'QA Log'!M:M,"QQC",'QA Log'!Z:Z,"Approved",'QA Log'!L:L,"*9. EPI and Pre-school Consultation*"),
COUNTIFS('QA Log'!D:D,A26,'QA Log'!M:M,"QQC",'QA Log'!Z:Z,"Approved",'QA Log'!L:L,"*10. Antenatal Care (ANC)*"),
COUNTIFS('QA Log'!D:D,A26,'QA Log'!M:M,"QQC",'QA Log'!Z:Z,"Approved",'QA Log'!L:L,"*2. Hygiene and Sterilization*"),
COUNTIFS('QA Log'!D:D,A26,'QA Log'!M:M,"QQC",'QA Log'!Z:Z,"Approved",'QA Log'!L:L,"*4. Family Planning*")
))</f>
        <v>0</v>
      </c>
      <c r="W26" s="105">
        <f ca="1">IF(A26&lt;&gt;"",COUNTIFS('QA Log'!D:D,A26,'QA Log'!M:M,"QQC",'QA Log'!L:L,"8. Maternity",'QA Log'!Z:Z,"Approved"),"")</f>
        <v>0</v>
      </c>
      <c r="X26" s="105">
        <f ca="1">IF(A26&lt;&gt;"",COUNTIFS('QA Log'!D:D,A26,'QA Log'!M:M,"QQC",'QA Log'!L:L,"9. EPI and Pre-school Consultation",'QA Log'!Z:Z,"Approved"),"")</f>
        <v>0</v>
      </c>
      <c r="Y26" s="105">
        <f ca="1">IF(A26&lt;&gt;"",COUNTIFS('QA Log'!D:D,A26,'QA Log'!M:M,"QQC",'QA Log'!L:L,"10. Antenatal Care (ANC)",'QA Log'!Z:Z,"Approved"),"")</f>
        <v>0</v>
      </c>
      <c r="Z26" s="105">
        <f ca="1">IF(A26&lt;&gt;"",COUNTIFS('QA Log'!D:D,A26,'QA Log'!M:M,"QQC",'QA Log'!L:L,"2. Hygiene and Sterilization",'QA Log'!Z:Z,"Approved"),"")</f>
        <v>0</v>
      </c>
      <c r="AA26" s="105">
        <f ca="1">IF(A26&lt;&gt;"",COUNTIFS('QA Log'!D:D,A26,'QA Log'!M:M,"QQC",'QA Log'!L:L,"4. Family Planning",'QA Log'!Z:Z,"Approved"),"")</f>
        <v>0</v>
      </c>
      <c r="AB26" s="102">
        <f ca="1">IF(A26="","",
SUM(
COUNTIFS('QA Log'!D:D,A26,'QA Log'!M:M,"QQC",'QA Log'!Z:Z,"Rejected",'QA Log'!L:L,"*8. Maternity*"),
COUNTIFS('QA Log'!D:D,A26,'QA Log'!M:M,"QQC",'QA Log'!Z:Z,"Rejected",'QA Log'!L:L,"*9. EPI and Pre-school Consultation*"),
COUNTIFS('QA Log'!D:D,A26,'QA Log'!M:M,"QQC",'QA Log'!Z:Z,"Rejected",'QA Log'!L:L,"*10. Antenatal Care (ANC)*"),
COUNTIFS('QA Log'!D:D,A26,'QA Log'!M:M,"QQC",'QA Log'!Z:Z,"Rejected",'QA Log'!L:L,"*2. Hygiene and Sterilization*"),
COUNTIFS('QA Log'!D:D,A26,'QA Log'!M:M,"QQC",'QA Log'!Z:Z,"Rejected",'QA Log'!L:L,"*4. Family Planning*")
))</f>
        <v>0</v>
      </c>
      <c r="AC26" s="102" t="e">
        <f t="shared" ca="1" si="3"/>
        <v>#NAME?</v>
      </c>
      <c r="AD26" s="103" t="e">
        <f t="shared" ca="1" si="4"/>
        <v>#NAME?</v>
      </c>
      <c r="AE26" s="102">
        <f ca="1">IF(A26="","",
SUM(
COUNTIFS('QA Log'!D:D,A26,'QA Log'!M:M,"Data Verification",'QA Log'!L:L,"*Medicine (section 2)*"),
COUNTIFS('QA Log'!D:D,A26,'QA Log'!M:M,"Data Verification",'QA Log'!L:L,"*Lab Testing Availability*"),
COUNTIFS('QA Log'!D:D,A26,'QA Log'!M:M,"Data Verification",'QA Log'!L:L,"*Other than P4P (section 6)*"),
COUNTIFS('QA Log'!D:D,A26,'QA Log'!M:M,"Data Verification",'QA Log'!L:L,"*Hospital Governance*")
))</f>
        <v>0</v>
      </c>
      <c r="AF26" s="102">
        <f ca="1">IF(A26="","",
SUM(
COUNTIFS('QA Log'!D:D,A26,'QA Log'!M:M,"Data Verification",'QA Log'!Z:Z,"Approved",'QA Log'!L:L,"*Medicine (section 2)*"),
COUNTIFS('QA Log'!D:D,A26,'QA Log'!M:M,"Data Verification",'QA Log'!Z:Z,"Approved",'QA Log'!L:L,"*Lab Testing Availability*"),
COUNTIFS('QA Log'!D:D,A26,'QA Log'!M:M,"Data Verification",'QA Log'!Z:Z,"Approved",'QA Log'!L:L,"*Other than P4P (section 6)*"),
COUNTIFS('QA Log'!D:D,A26,'QA Log'!M:M,"Data Verification",'QA Log'!Z:Z,"Approved",'QA Log'!L:L,"*Hospital Governance*")
))</f>
        <v>0</v>
      </c>
      <c r="AG26" s="105">
        <f ca="1">IF(A26&lt;&gt;"",COUNTIFS('QA Log'!D:D,A26,'QA Log'!M:M,"Data Verification",'QA Log'!L:L,"Medicine (section 2)",'QA Log'!Z:Z,"Approved"),"")</f>
        <v>0</v>
      </c>
      <c r="AH26" s="105">
        <f ca="1">IF(A26&lt;&gt;"",COUNTIFS('QA Log'!D:D,A26,'QA Log'!M:M,"Data Verification",'QA Log'!L:L,"Lab Testing Availability",'QA Log'!Z:Z,"Approved"),"")</f>
        <v>0</v>
      </c>
      <c r="AI26" s="105">
        <f ca="1">IF(A26&lt;&gt;"",COUNTIFS('QA Log'!D:D,A26,'QA Log'!M:M,"Data Verification",'QA Log'!L:L,"Other than P4P (section 6)",'QA Log'!Z:Z,"Approved"),"")</f>
        <v>0</v>
      </c>
      <c r="AJ26" s="105">
        <f ca="1">IF(A26&lt;&gt;"",COUNTIFS('QA Log'!D:D,A26,'QA Log'!M:M,"Data Verification",'QA Log'!L:L,"Hospital Governance",'QA Log'!Z:Z,"Approved"),"")</f>
        <v>0</v>
      </c>
      <c r="AK26" s="102">
        <f ca="1">IF(A26="","",
SUM(
COUNTIFS('QA Log'!D:D,A26,'QA Log'!M:M,"Data Verification",'QA Log'!Z:Z,"Rejected",'QA Log'!L:L,"*Medicine (section 2)*"),
COUNTIFS('QA Log'!D:D,A26,'QA Log'!M:M,"Data Verification",'QA Log'!Z:Z,"Rejected",'QA Log'!L:L,"*Lab Testing Availability*"),
COUNTIFS('QA Log'!D:D,A26,'QA Log'!M:M,"Data Verification",'QA Log'!Z:Z,"Rejected",'QA Log'!L:L,"*Other than P4P (section 6)*"),
COUNTIFS('QA Log'!D:D,A26,'QA Log'!M:M,"Data Verification",'QA Log'!Z:Z,"Rejected",'QA Log'!L:L,"*Hospital Governance*")
))</f>
        <v>0</v>
      </c>
      <c r="AL26" s="106" t="e">
        <f t="shared" ca="1" si="5"/>
        <v>#NAME?</v>
      </c>
      <c r="AM26" s="102" t="e">
        <f t="shared" ca="1" si="6"/>
        <v>#NAME?</v>
      </c>
      <c r="AN26" s="102">
        <f ca="1">IF(A26="","",
SUM(
COUNTIFS('QA Log'!D:D,A26,'QA Log'!M:M,"Data Verification",'QA Log'!L:L,"*Personnel (section 1)*"),
COUNTIFS('QA Log'!D:D,A26,'QA Log'!M:M,"Data Verification",'QA Log'!L:L,"*Consumable (section 3)*"),
COUNTIFS('QA Log'!D:D,A26,'QA Log'!M:M,"Data Verification",'QA Log'!L:L,"*Equipments (section 4)*")
))</f>
        <v>0</v>
      </c>
      <c r="AO26" s="102">
        <f ca="1">IF(A26="","",
SUM(
COUNTIFS('QA Log'!D:D,A26,'QA Log'!M:M,"Data Verification",'QA Log'!Z:Z,"Approved",'QA Log'!L:L,"*Personnel (section 1)*"),
COUNTIFS('QA Log'!D:D,A26,'QA Log'!M:M,"Data Verification",'QA Log'!Z:Z,"Approved",'QA Log'!L:L,"*Consumable (section 3)*"),
COUNTIFS('QA Log'!D:D,A26,'QA Log'!M:M,"Data Verification",'QA Log'!Z:Z,"Approved",'QA Log'!L:L,"*Equipments (section 4)*")
))</f>
        <v>0</v>
      </c>
      <c r="AP26" s="105">
        <f ca="1">IF(A26&lt;&gt;"",COUNTIFS('QA Log'!D:D,A26,'QA Log'!M:M,"Data Verification",'QA Log'!L:L,"Personnel (section 1)",'QA Log'!Z:Z,"Approved"),"")</f>
        <v>0</v>
      </c>
      <c r="AQ26" s="105">
        <f ca="1">IF(A26&lt;&gt;"",COUNTIFS('QA Log'!D:D,A26,'QA Log'!M:M,"Data Verification",'QA Log'!L:L,"Consumable (section 3)",'QA Log'!Z:Z,"Approved"),"")</f>
        <v>0</v>
      </c>
      <c r="AR26" s="105">
        <f ca="1">IF(A26&lt;&gt;"",COUNTIFS('QA Log'!D:D,A26,'QA Log'!M:M,"Data Verification",'QA Log'!L:L,"Equipments (section 4)",'QA Log'!Z:Z,"Approved"),"")</f>
        <v>0</v>
      </c>
      <c r="AS26" s="102">
        <f ca="1">IF(A26="","",
SUM(
COUNTIFS('QA Log'!D:D,A26,'QA Log'!M:M,"Data Verification",'QA Log'!Z:Z,"Rejected",'QA Log'!L:L,"*Personnel (section 1)*"),
COUNTIFS('QA Log'!D:D,A26,'QA Log'!M:M,"Data Verification",'QA Log'!Z:Z,"Rejected",'QA Log'!L:L,"*Consumable (section 3)*"),
COUNTIFS('QA Log'!D:D,A26,'QA Log'!M:M,"Data Verification",'QA Log'!Z:Z,"Rejected",'QA Log'!L:L,"*Equipments (section 4)*")
))</f>
        <v>0</v>
      </c>
      <c r="AT26" s="102" t="e">
        <f t="shared" ca="1" si="7"/>
        <v>#NAME?</v>
      </c>
      <c r="AU26" s="103">
        <f t="shared" ca="1" si="8"/>
        <v>2</v>
      </c>
      <c r="AV26" s="102">
        <f ca="1">IF(A26="","",SUM(
COUNTIFS('QA Log'!D:D,A26,'QA Log'!M:M,"Vignette",'QA Log'!L:L,"*Vignette [1] Respiratory Infection: Pneumonia*"),
COUNTIFS('QA Log'!D:D,A26,'QA Log'!M:M,"Vignette",'QA Log'!L:L,"*Vignette [2]: Diarrhea with Cat B dehydration*"),
COUNTIFS('QA Log'!D:D,A26,'QA Log'!M:M,"Vignette",'QA Log'!L:L,"*Vignette [3] Growth Monitoring and Promotion*"),
COUNTIFS('QA Log'!D:D,A26,'QA Log'!M:M,"Vignette",'QA Log'!L:L,"*Vignette [4]: The management of presumptive TB patient*")
)
)</f>
        <v>0</v>
      </c>
      <c r="AW26" s="102">
        <f ca="1">IF(
  A26="","",
  SUM(
    COUNTIFS('QA Log'!D:D,A26,'QA Log'!M:M,"Vignette",'QA Log'!Z:Z,"Approved",'QA Log'!L:L,"*Vignette [1] Respiratory Infection: Pneumonia*"),
    COUNTIFS('QA Log'!D:D,A26,'QA Log'!M:M,"Vignette",'QA Log'!Z:Z,"Approved",'QA Log'!L:L,"*Vignette [2]: Diarrhea with Cat B dehydration*"),
    COUNTIFS('QA Log'!D:D,A26,'QA Log'!M:M,"Vignette",'QA Log'!Z:Z,"Approved",'QA Log'!L:L,"*Vignette [3] Growth Monitoring and Promotion*"),
    COUNTIFS('QA Log'!D:D,A26,'QA Log'!M:M,"Vignette",'QA Log'!Z:Z,"Approved",'QA Log'!L:L,"*Vignette [4]: The management of presumptive TB patient*")
  )
)</f>
        <v>0</v>
      </c>
      <c r="AX26" s="105">
        <f ca="1">IF(A26&lt;&gt;"",COUNTIFS('QA Log'!D:D,A26,'QA Log'!M:M,"Vignette",'QA Log'!L:L,"Vignette [1] Respiratory Infection: Pneumonia",'QA Log'!Z:Z,"Approved"),"")</f>
        <v>0</v>
      </c>
      <c r="AY26" s="105">
        <f ca="1">IF(A26&lt;&gt;"",COUNTIFS('QA Log'!D:D,A26,'QA Log'!M:M,"Vignette",'QA Log'!L:L,"Vignette [2]: Diarrhea with Cat B dehydration",'QA Log'!Z:Z,"Approved"),"")</f>
        <v>0</v>
      </c>
      <c r="AZ26" s="105">
        <f ca="1">IF(A26&lt;&gt;"",COUNTIFS('QA Log'!D:D,A26,'QA Log'!M:M,"Vignette",'QA Log'!L:L,"Vignette [3] Growth Monitoring and Promotion",'QA Log'!Z:Z,"Approved"),"")</f>
        <v>0</v>
      </c>
      <c r="BA26" s="105">
        <f ca="1">IF(A26&lt;&gt;"",COUNTIFS('QA Log'!D:D,A26,'QA Log'!M:M,"Vignette",'QA Log'!L:L,"Vignette [4]: The management of presumptive TB patient",'QA Log'!Z:Z,"Approved"),"")</f>
        <v>0</v>
      </c>
      <c r="BB26" s="102">
        <f ca="1">IF(A26="","",
  SUM(
    COUNTIFS('QA Log'!D:D,A26,'QA Log'!M:M,"Vignette",'QA Log'!Z:Z,"Rejected",'QA Log'!L:L,"*Vignette [1] Respiratory Infection: Pneumonia*"),
    COUNTIFS('QA Log'!D:D,A26,'QA Log'!M:M,"Vignette",'QA Log'!Z:Z,"Rejected",'QA Log'!L:L,"*Vignette [2]: Diarrhea with Cat B dehydration*"),
    COUNTIFS('QA Log'!D:D,A26,'QA Log'!M:M,"Vignette",'QA Log'!Z:Z,"Rejected",'QA Log'!L:L,"*Vignette [3] Growth Monitoring and Promotion*"),
    COUNTIFS('QA Log'!D:D,A26,'QA Log'!M:M,"Vignette",'QA Log'!Z:Z,"Rejected",'QA Log'!L:L,"*Vignette [4]: The management of presumptive TB patient*")
  )
)</f>
        <v>0</v>
      </c>
      <c r="BC26" s="107">
        <f t="shared" ca="1" si="9"/>
        <v>2</v>
      </c>
      <c r="BD26" s="103">
        <f t="shared" ca="1" si="10"/>
        <v>2</v>
      </c>
      <c r="BE26" s="102">
        <f ca="1">IF(A26="","",SUM(
COUNTIFS('QA Log'!D:D,A26,'QA Log'!M:M,"Vignette",'QA Log'!L:L,"*Vignette [5] Labor*"),
COUNTIFS('QA Log'!D:D,A26,'QA Log'!M:M,"Vignette",'QA Log'!L:L,"*Vignette [6] PNC pre Discharge*"),
COUNTIFS('QA Log'!D:D,A26,'QA Log'!M:M,"Vignette",'QA Log'!L:L,"*Vignette [7] First ANC Visit*"),
COUNTIFS('QA Log'!D:D,A26,'QA Log'!M:M,"Vignette",'QA Log'!L:L,"*Vignette [8] Birth Spacing/ Family Planning :  FP Counselling*"),
COUNTIFS('QA Log'!D:D,A26,'QA Log'!M:M,"Vignette",'QA Log'!L:L,"*Vignette [9] Birth Spacing: Change FP method to Injectable*"),
COUNTIFS('QA Log'!D:D,A26,'QA Log'!M:M,"Vignette",'QA Log'!L:L,"*Vignette [10] Post Partum Haemorrhage - Atonic Uterus at Health Centre*"),
)
)</f>
        <v>1</v>
      </c>
      <c r="BF26" s="102">
        <f ca="1">IF(A26="","",
  SUM(
    COUNTIFS('QA Log'!D:D,A26,'QA Log'!M:M,"Vignette",'QA Log'!Z:Z,"Approved",'QA Log'!L:L,"*Vignette [5] Labor*"),
    COUNTIFS('QA Log'!D:D,A26,'QA Log'!M:M,"Vignette",'QA Log'!Z:Z,"Approved",'QA Log'!L:L,"*Vignette [6] PNC pre Discharge*"),
    COUNTIFS('QA Log'!D:D,A26,'QA Log'!M:M,"Vignette",'QA Log'!Z:Z,"Approved",'QA Log'!L:L,"*Vignette [7] First ANC Visit*"),
    COUNTIFS('QA Log'!D:D,A26,'QA Log'!M:M,"Vignette",'QA Log'!Z:Z,"Approved",'QA Log'!L:L,"*Vignette [8] Birth Spacing/ Family Planning :  FP Counselling*"),
    COUNTIFS('QA Log'!D:D,A26,'QA Log'!M:M,"Vignette",'QA Log'!Z:Z,"Approved",'QA Log'!L:L,"*Vignette [9] Birth Spacing: Change FP method to Injectable*"),
    COUNTIFS('QA Log'!D:D,A26,'QA Log'!M:M,"Vignette",'QA Log'!Z:Z,"Approved",'QA Log'!L:L,"*Vignette [10] Post Partum Haemorrhage - Atonic Uterus at Health Centre*")
  )
)</f>
        <v>0</v>
      </c>
      <c r="BG26" s="105">
        <f ca="1">IF(A26&lt;&gt;"",COUNTIFS('QA Log'!D:D,A26,'QA Log'!M:M,"Vignette",'QA Log'!L:L,"Vignette [5] Labor",'QA Log'!Z:Z,"Approved"),"")</f>
        <v>0</v>
      </c>
      <c r="BH26" s="105">
        <f ca="1">IF(A26&lt;&gt;"",COUNTIFS('QA Log'!D:D,A26,'QA Log'!M:M,"Vignette",'QA Log'!L:L,"Vignette [6] PNC pre Discharge",'QA Log'!Z:Z,"Approved"),"")</f>
        <v>0</v>
      </c>
      <c r="BI26" s="105">
        <f ca="1">IF(A26&lt;&gt;"",COUNTIFS('QA Log'!D:D,A26,'QA Log'!M:M,"Vignette",'QA Log'!L:L,"Vignette [7] First ANC Visit",'QA Log'!Z:Z,"Approved"),"")</f>
        <v>0</v>
      </c>
      <c r="BJ26" s="105">
        <f ca="1">IF(A26&lt;&gt;"",COUNTIFS('QA Log'!D:D,A26,'QA Log'!M:M,"Vignette",'QA Log'!L:L,"Vignette [8] Birth Spacing/ Family Planning :  FP Counselling",'QA Log'!Z:Z,"Approved"),"")</f>
        <v>0</v>
      </c>
      <c r="BK26" s="105">
        <f ca="1">IF(A26&lt;&gt;"",COUNTIFS('QA Log'!D:D,A26,'QA Log'!M:M,"Vignette",'QA Log'!L:L,"Vignette [9] Birth Spacing: Change FP method to Injectable",'QA Log'!Z:Z,"Approved"),"")</f>
        <v>0</v>
      </c>
      <c r="BL26" s="105">
        <f ca="1">IF(A26&lt;&gt;"",COUNTIFS('QA Log'!D:D,A26,'QA Log'!M:M,"Vignette",'QA Log'!L:L,"Vignette [10] Post Partum Haemorrhage - Atonic Uterus at Health Centre",'QA Log'!Z:Z,"Approved"),"")</f>
        <v>0</v>
      </c>
      <c r="BM26" s="102">
        <f ca="1">IF(A26="","",SUM(
    COUNTIFS('QA Log'!D:D,A26,'QA Log'!M:M,"Vignette",'QA Log'!Z:Z,"Rejected",'QA Log'!L:L,"*Vignette [5] Labor*"),
    COUNTIFS('QA Log'!D:D,A26,'QA Log'!M:M,"Vignette",'QA Log'!Z:Z,"Rejected",'QA Log'!L:L,"*Vignette [6] PNC pre Discharge*"),
    COUNTIFS('QA Log'!D:D,A26,'QA Log'!M:M,"Vignette",'QA Log'!Z:Z,"Rejected",'QA Log'!L:L,"*Vignette [7] First ANC Visit*"),
    COUNTIFS('QA Log'!D:D,A26,'QA Log'!M:M,"Vignette",'QA Log'!Z:Z,"Rejected",'QA Log'!L:L,"*Vignette [8] Birth Spacing/ Family Planning :  FP Counselling*"),
    COUNTIFS('QA Log'!D:D,A26,'QA Log'!M:M,"Vignette",'QA Log'!Z:Z,"Rejected",'QA Log'!L:L,"*Vignette [9] Birth Spacing: Change FP method to Injectable*"),
    COUNTIFS('QA Log'!D:D,A26,'QA Log'!M:M,"Vignette",'QA Log'!Z:Z,"Rejected",'QA Log'!L:L,"*Vignette [10] Post Partum Haemorrhage - Atonic Uterus at Health Centre*")
  )
)</f>
        <v>0</v>
      </c>
      <c r="BN26" s="107">
        <f t="shared" ca="1" si="11"/>
        <v>2</v>
      </c>
      <c r="BO26" s="103">
        <f t="shared" ca="1" si="12"/>
        <v>2</v>
      </c>
      <c r="BP26" s="102">
        <f ca="1">IF(A26="","",SUM(
COUNTIFS('QA Log'!D:D,A26,'QA Log'!M:M,"Vignette",'QA Log'!L:L,"*Exit Interview 1*"),
COUNTIFS('QA Log'!D:D,A26,'QA Log'!M:M,"Vignette",'QA Log'!L:L,"*Exit Interview 2*"),
)
)</f>
        <v>0</v>
      </c>
      <c r="BQ26" s="102">
        <f ca="1">IF(
  A26="","",
  SUM(
    COUNTIFS('QA Log'!D:D,A26,'QA Log'!M:M,"Vignette",'QA Log'!Z:Z,"Approved",'QA Log'!L:L,"*Exit Interview 1*"),
    COUNTIFS('QA Log'!D:D,A26,'QA Log'!M:M,"Vignette",'QA Log'!Z:Z,"Approved",'QA Log'!L:L,"*Exit Interview 2*")
  )
)</f>
        <v>0</v>
      </c>
      <c r="BR26" s="105">
        <f ca="1">IF(A26&lt;&gt;"",COUNTIFS('QA Log'!D:D,A26,'QA Log'!M:M,"Vignette",'QA Log'!L:L,"Exit Interview 1",'QA Log'!Z:Z,"Approved"),"")</f>
        <v>0</v>
      </c>
      <c r="BS26" s="105">
        <f ca="1">IF(A26&lt;&gt;"",COUNTIFS('QA Log'!D:D,A26,'QA Log'!M:M,"Vignette",'QA Log'!L:L,"Exit Interview 2",'QA Log'!Z:Z,"Approved"),"")</f>
        <v>0</v>
      </c>
      <c r="BT26" s="102">
        <f ca="1">IF(
  A26="","",
  SUM(
    COUNTIFS('QA Log'!D:D,A26,'QA Log'!M:M,"Vignette",'QA Log'!Z:Z,"Rejected",'QA Log'!L:L,"*Exit Interview 1*"),
    COUNTIFS('QA Log'!D:D,A26,'QA Log'!M:M,"Vignette",'QA Log'!Z:Z,"Rejected",'QA Log'!L:L,"*Exit Interview 2*")
  )
)</f>
        <v>0</v>
      </c>
      <c r="BU26" s="107">
        <f t="shared" ca="1" si="13"/>
        <v>2</v>
      </c>
      <c r="BV26" s="102" t="e">
        <f t="shared" ca="1" si="14"/>
        <v>#NAME?</v>
      </c>
      <c r="BW26" s="102">
        <f t="shared" ca="1" si="15"/>
        <v>1</v>
      </c>
      <c r="BX26" s="102">
        <f t="shared" ca="1" si="16"/>
        <v>0</v>
      </c>
      <c r="BY26" s="102">
        <f t="shared" ca="1" si="17"/>
        <v>0</v>
      </c>
      <c r="BZ26" s="107" t="e">
        <f t="shared" ca="1" si="18"/>
        <v>#NAME?</v>
      </c>
      <c r="CA26" s="108" t="e">
        <f t="shared" ca="1" si="19"/>
        <v>#NAME?</v>
      </c>
      <c r="CB26" s="108" t="e">
        <f t="shared" ca="1" si="20"/>
        <v>#NAME?</v>
      </c>
      <c r="CC26" s="109" t="str">
        <f t="shared" ca="1" si="21"/>
        <v>Not Received</v>
      </c>
      <c r="CD26" s="108" t="e">
        <f t="shared" ca="1" si="22"/>
        <v>#NAME?</v>
      </c>
      <c r="CE26" s="108" t="e">
        <f t="shared" ca="1" si="23"/>
        <v>#NAME?</v>
      </c>
      <c r="CF26" s="109" t="str">
        <f t="shared" ca="1" si="24"/>
        <v>Not Received</v>
      </c>
      <c r="CG26" s="110" t="e">
        <f t="shared" ca="1" si="25"/>
        <v>#NAME?</v>
      </c>
      <c r="CH26" s="111"/>
    </row>
    <row r="27" spans="1:86" ht="12.75">
      <c r="A27" s="101"/>
      <c r="B27" s="102" t="e">
        <f t="array" aca="1" ref="B27" ca="1">_xludf.XLOOKUP(A27,'QA Log'!D:D,'QA Log'!E:E,"")</f>
        <v>#NAME?</v>
      </c>
      <c r="C27" s="102" t="e">
        <f t="array" aca="1" ref="C27" ca="1">_xludf.XLOOKUP(A27,'QA Log'!D:D,'QA Log'!F:F,"")</f>
        <v>#NAME?</v>
      </c>
      <c r="D27" s="102" t="e">
        <f t="array" aca="1" ref="D27" ca="1">_xludf.XLOOKUP(A27,'QA Log'!D:D,'QA Log'!H:H,"")</f>
        <v>#NAME?</v>
      </c>
      <c r="E27" s="102" t="e">
        <f t="array" aca="1" ref="E27" ca="1">_xludf.XLOOKUP(A27,'QA Log'!D:D,'QA Log'!G:G,"")</f>
        <v>#NAME?</v>
      </c>
      <c r="F27" s="103" t="s">
        <v>91</v>
      </c>
      <c r="G27" s="104">
        <v>45964</v>
      </c>
      <c r="H27" s="104">
        <v>45964</v>
      </c>
      <c r="I27" s="103" t="str">
        <f t="shared" si="0"/>
        <v/>
      </c>
      <c r="J27" s="102" t="str">
        <f>IF(A27="","",SUM(
COUNTIFS('QA Log'!D:D,A27,'QA Log'!M:M,"QQC",'QA Log'!L:L,"*1. General Management*"),
COUNTIFS('QA Log'!D:D,A27,'QA Log'!M:M,"QQC",'QA Log'!L:L,"*3. Curative Consultation (OPD)*"),
COUNTIFS('QA Log'!D:D,A27,'QA Log'!M:M,"QQC",'QA Log'!L:L,"*5. Laboratory*"),
COUNTIFS('QA Log'!D:D,A27,'QA Log'!M:M,"QQC",'QA Log'!L:L,"*6. Essential Medicine Management*"),
COUNTIFS('QA Log'!D:D,A27,'QA Log'!M:M,"QQC",'QA Log'!L:L,"*7. Tracer Medicine*"),
COUNTIFS('QA Log'!D:D,A27,'QA Log'!M:M,"QQC",'QA Log'!L:L,"*11. Additional Questions*")))</f>
        <v/>
      </c>
      <c r="K27" s="102" t="str">
        <f>IF(A27="","",SUM(
COUNTIFS('QA Log'!D:D,A27,'QA Log'!M:M,"QQC",'QA Log'!Z:Z,"Approved",'QA Log'!L:L,"*1. General Management*"),
COUNTIFS('QA Log'!D:D,A27,'QA Log'!M:M,"QQC",'QA Log'!Z:Z,"Approved",'QA Log'!L:L,"*3. Curative Consultation (OPD)*"),
COUNTIFS('QA Log'!D:D,A27,'QA Log'!M:M,"QQC",'QA Log'!Z:Z,"Approved",'QA Log'!L:L,"*5. Laboratory*"),
COUNTIFS('QA Log'!D:D,A27,'QA Log'!M:M,"QQC",'QA Log'!Z:Z,"Approved",'QA Log'!L:L,"*6. Essential Medicine Management*"),
COUNTIFS('QA Log'!D:D,A27,'QA Log'!M:M,"QQC",'QA Log'!Z:Z,"Approved",'QA Log'!L:L,"*7. Tracer Medicine*"),
COUNTIFS('QA Log'!D:D,A27,'QA Log'!M:M,"QQC",'QA Log'!Z:Z,"Approved",'QA Log'!L:L,"*11. Additional Questions*")))</f>
        <v/>
      </c>
      <c r="L27" s="105" t="str">
        <f>IF(A27&lt;&gt;"",COUNTIFS('QA Log'!D:D,A27,'QA Log'!M:M,"QQC",'QA Log'!L:L,"1. General Management",'QA Log'!Z:Z,"Approved"),"")</f>
        <v/>
      </c>
      <c r="M27" s="105" t="str">
        <f>IF(A27&lt;&gt;"",COUNTIFS('QA Log'!D:D,A27,'QA Log'!M:M,"QQC",'QA Log'!L:L,"3. Curative Consultation (OPD)",'QA Log'!Z:Z,"Approved"),"")</f>
        <v/>
      </c>
      <c r="N27" s="105" t="str">
        <f>IF(A27&lt;&gt;"",COUNTIFS('QA Log'!D:D,A27,'QA Log'!M:M,"QQC",'QA Log'!L:L,"5. Laboratory",'QA Log'!Z:Z,"Approved"),"")</f>
        <v/>
      </c>
      <c r="O27" s="105" t="str">
        <f>IF(A27&lt;&gt;"",COUNTIFS('QA Log'!D:D,A27,'QA Log'!M:M,"QQC",'QA Log'!L:L,"6. Essential Medicine Management",'QA Log'!Z:Z,"Approved"),"")</f>
        <v/>
      </c>
      <c r="P27" s="105" t="str">
        <f>IF(A27&lt;&gt;"",COUNTIFS('QA Log'!D:D,A27,'QA Log'!M:M,"QQC",'QA Log'!L:L,"7. Tracer Medicine",'QA Log'!Z:Z,"Approved"),"")</f>
        <v/>
      </c>
      <c r="Q27" s="105" t="str">
        <f>IF(A27&lt;&gt;"",COUNTIFS('QA Log'!D:D,A27,'QA Log'!M:M,"QQC",'QA Log'!L:L,"11. Additional Questions",'QA Log'!Z:Z,"Approved"),"")</f>
        <v/>
      </c>
      <c r="R27" s="102" t="str">
        <f>IF(A27="","",SUM(
COUNTIFS('QA Log'!D:D,A27,'QA Log'!M:M,"QQC",'QA Log'!Z:Z,"Rejected",'QA Log'!L:L,"*8. Maternity*"),
COUNTIFS('QA Log'!D:D,A27,'QA Log'!M:M,"QQC",'QA Log'!Z:Z,"Rejected",'QA Log'!L:L,"*EPI*"),
COUNTIFS('QA Log'!D:D,A27,'QA Log'!M:M,"QQC",'QA Log'!Z:Z,"Rejected",'QA Log'!L:L,"*10. Antenatal Care (ANC)*"),
COUNTIFS('QA Log'!D:D,A27,'QA Log'!M:M,"QQC",'QA Log'!Z:Z,"Rejected",'QA Log'!L:L,"*2. Hygiene and Sterilization*"),
COUNTIFS('QA Log'!D:D,A27,'QA Log'!M:M,"QQC",'QA Log'!Z:Z,"Rejected",'QA Log'!L:L,"*Family Planning*")))</f>
        <v/>
      </c>
      <c r="S27" s="106" t="str">
        <f t="shared" si="1"/>
        <v/>
      </c>
      <c r="T27" s="102" t="str">
        <f t="shared" si="2"/>
        <v/>
      </c>
      <c r="U27" s="102" t="str">
        <f>IF(A27="","",
SUM(
COUNTIFS('QA Log'!D:D,A27,'QA Log'!M:M,"QQC",'QA Log'!L:L,"*8. Maternity*"),
COUNTIFS('QA Log'!D:D,A27,'QA Log'!M:M,"QQC",'QA Log'!L:L,"*9. EPI and Pre-school Consultation*"),
COUNTIFS('QA Log'!D:D,A27,'QA Log'!M:M,"QQC",'QA Log'!L:L,"*10. Antenatal Care (ANC)*"),
COUNTIFS('QA Log'!D:D,A27,'QA Log'!M:M,"QQC",'QA Log'!L:L,"*2. Hygiene and Sterilization*"),
COUNTIFS('QA Log'!D:D,A27,'QA Log'!M:M,"QQC",'QA Log'!L:L,"*4. Family Planning*")
))</f>
        <v/>
      </c>
      <c r="V27" s="102" t="str">
        <f>IF(A27="","",
SUM(
COUNTIFS('QA Log'!D:D,A27,'QA Log'!M:M,"QQC",'QA Log'!Z:Z,"Approved",'QA Log'!L:L,"*8. Maternity*"),
COUNTIFS('QA Log'!D:D,A27,'QA Log'!M:M,"QQC",'QA Log'!Z:Z,"Approved",'QA Log'!L:L,"*9. EPI and Pre-school Consultation*"),
COUNTIFS('QA Log'!D:D,A27,'QA Log'!M:M,"QQC",'QA Log'!Z:Z,"Approved",'QA Log'!L:L,"*10. Antenatal Care (ANC)*"),
COUNTIFS('QA Log'!D:D,A27,'QA Log'!M:M,"QQC",'QA Log'!Z:Z,"Approved",'QA Log'!L:L,"*2. Hygiene and Sterilization*"),
COUNTIFS('QA Log'!D:D,A27,'QA Log'!M:M,"QQC",'QA Log'!Z:Z,"Approved",'QA Log'!L:L,"*4. Family Planning*")
))</f>
        <v/>
      </c>
      <c r="W27" s="105" t="str">
        <f>IF(A27&lt;&gt;"",COUNTIFS('QA Log'!D:D,A27,'QA Log'!M:M,"QQC",'QA Log'!L:L,"8. Maternity",'QA Log'!Z:Z,"Approved"),"")</f>
        <v/>
      </c>
      <c r="X27" s="105" t="str">
        <f>IF(A27&lt;&gt;"",COUNTIFS('QA Log'!D:D,A27,'QA Log'!M:M,"QQC",'QA Log'!L:L,"9. EPI and Pre-school Consultation",'QA Log'!Z:Z,"Approved"),"")</f>
        <v/>
      </c>
      <c r="Y27" s="105" t="str">
        <f>IF(A27&lt;&gt;"",COUNTIFS('QA Log'!D:D,A27,'QA Log'!M:M,"QQC",'QA Log'!L:L,"10. Antenatal Care (ANC)",'QA Log'!Z:Z,"Approved"),"")</f>
        <v/>
      </c>
      <c r="Z27" s="105" t="str">
        <f>IF(A27&lt;&gt;"",COUNTIFS('QA Log'!D:D,A27,'QA Log'!M:M,"QQC",'QA Log'!L:L,"2. Hygiene and Sterilization",'QA Log'!Z:Z,"Approved"),"")</f>
        <v/>
      </c>
      <c r="AA27" s="105" t="str">
        <f>IF(A27&lt;&gt;"",COUNTIFS('QA Log'!D:D,A27,'QA Log'!M:M,"QQC",'QA Log'!L:L,"4. Family Planning",'QA Log'!Z:Z,"Approved"),"")</f>
        <v/>
      </c>
      <c r="AB27" s="102" t="str">
        <f>IF(A27="","",
SUM(
COUNTIFS('QA Log'!D:D,A27,'QA Log'!M:M,"QQC",'QA Log'!Z:Z,"Rejected",'QA Log'!L:L,"*8. Maternity*"),
COUNTIFS('QA Log'!D:D,A27,'QA Log'!M:M,"QQC",'QA Log'!Z:Z,"Rejected",'QA Log'!L:L,"*9. EPI and Pre-school Consultation*"),
COUNTIFS('QA Log'!D:D,A27,'QA Log'!M:M,"QQC",'QA Log'!Z:Z,"Rejected",'QA Log'!L:L,"*10. Antenatal Care (ANC)*"),
COUNTIFS('QA Log'!D:D,A27,'QA Log'!M:M,"QQC",'QA Log'!Z:Z,"Rejected",'QA Log'!L:L,"*2. Hygiene and Sterilization*"),
COUNTIFS('QA Log'!D:D,A27,'QA Log'!M:M,"QQC",'QA Log'!Z:Z,"Rejected",'QA Log'!L:L,"*4. Family Planning*")
))</f>
        <v/>
      </c>
      <c r="AC27" s="102" t="str">
        <f t="shared" si="3"/>
        <v/>
      </c>
      <c r="AD27" s="103" t="str">
        <f t="shared" si="4"/>
        <v/>
      </c>
      <c r="AE27" s="102" t="str">
        <f>IF(A27="","",
SUM(
COUNTIFS('QA Log'!D:D,A27,'QA Log'!M:M,"Data Verification",'QA Log'!L:L,"*Medicine (section 2)*"),
COUNTIFS('QA Log'!D:D,A27,'QA Log'!M:M,"Data Verification",'QA Log'!L:L,"*Lab Testing Availability*"),
COUNTIFS('QA Log'!D:D,A27,'QA Log'!M:M,"Data Verification",'QA Log'!L:L,"*Other than P4P (section 6)*"),
COUNTIFS('QA Log'!D:D,A27,'QA Log'!M:M,"Data Verification",'QA Log'!L:L,"*Hospital Governance*")
))</f>
        <v/>
      </c>
      <c r="AF27" s="102" t="str">
        <f>IF(A27="","",
SUM(
COUNTIFS('QA Log'!D:D,A27,'QA Log'!M:M,"Data Verification",'QA Log'!Z:Z,"Approved",'QA Log'!L:L,"*Medicine (section 2)*"),
COUNTIFS('QA Log'!D:D,A27,'QA Log'!M:M,"Data Verification",'QA Log'!Z:Z,"Approved",'QA Log'!L:L,"*Lab Testing Availability*"),
COUNTIFS('QA Log'!D:D,A27,'QA Log'!M:M,"Data Verification",'QA Log'!Z:Z,"Approved",'QA Log'!L:L,"*Other than P4P (section 6)*"),
COUNTIFS('QA Log'!D:D,A27,'QA Log'!M:M,"Data Verification",'QA Log'!Z:Z,"Approved",'QA Log'!L:L,"*Hospital Governance*")
))</f>
        <v/>
      </c>
      <c r="AG27" s="105" t="str">
        <f>IF(A27&lt;&gt;"",COUNTIFS('QA Log'!D:D,A27,'QA Log'!M:M,"Data Verification",'QA Log'!L:L,"Medicine (section 2)",'QA Log'!Z:Z,"Approved"),"")</f>
        <v/>
      </c>
      <c r="AH27" s="105" t="str">
        <f>IF(A27&lt;&gt;"",COUNTIFS('QA Log'!D:D,A27,'QA Log'!M:M,"Data Verification",'QA Log'!L:L,"Lab Testing Availability",'QA Log'!Z:Z,"Approved"),"")</f>
        <v/>
      </c>
      <c r="AI27" s="105" t="str">
        <f>IF(A27&lt;&gt;"",COUNTIFS('QA Log'!D:D,A27,'QA Log'!M:M,"Data Verification",'QA Log'!L:L,"Other than P4P (section 6)",'QA Log'!Z:Z,"Approved"),"")</f>
        <v/>
      </c>
      <c r="AJ27" s="105" t="str">
        <f>IF(A27&lt;&gt;"",COUNTIFS('QA Log'!D:D,A27,'QA Log'!M:M,"Data Verification",'QA Log'!L:L,"Hospital Governance",'QA Log'!Z:Z,"Approved"),"")</f>
        <v/>
      </c>
      <c r="AK27" s="102" t="str">
        <f>IF(A27="","",
SUM(
COUNTIFS('QA Log'!D:D,A27,'QA Log'!M:M,"Data Verification",'QA Log'!Z:Z,"Rejected",'QA Log'!L:L,"*Medicine (section 2)*"),
COUNTIFS('QA Log'!D:D,A27,'QA Log'!M:M,"Data Verification",'QA Log'!Z:Z,"Rejected",'QA Log'!L:L,"*Lab Testing Availability*"),
COUNTIFS('QA Log'!D:D,A27,'QA Log'!M:M,"Data Verification",'QA Log'!Z:Z,"Rejected",'QA Log'!L:L,"*Other than P4P (section 6)*"),
COUNTIFS('QA Log'!D:D,A27,'QA Log'!M:M,"Data Verification",'QA Log'!Z:Z,"Rejected",'QA Log'!L:L,"*Hospital Governance*")
))</f>
        <v/>
      </c>
      <c r="AL27" s="106" t="str">
        <f t="shared" si="5"/>
        <v/>
      </c>
      <c r="AM27" s="102" t="str">
        <f t="shared" si="6"/>
        <v/>
      </c>
      <c r="AN27" s="102" t="str">
        <f>IF(A27="","",
SUM(
COUNTIFS('QA Log'!D:D,A27,'QA Log'!M:M,"Data Verification",'QA Log'!L:L,"*Personnel (section 1)*"),
COUNTIFS('QA Log'!D:D,A27,'QA Log'!M:M,"Data Verification",'QA Log'!L:L,"*Consumable (section 3)*"),
COUNTIFS('QA Log'!D:D,A27,'QA Log'!M:M,"Data Verification",'QA Log'!L:L,"*Equipments (section 4)*")
))</f>
        <v/>
      </c>
      <c r="AO27" s="102" t="str">
        <f>IF(A27="","",
SUM(
COUNTIFS('QA Log'!D:D,A27,'QA Log'!M:M,"Data Verification",'QA Log'!Z:Z,"Approved",'QA Log'!L:L,"*Personnel (section 1)*"),
COUNTIFS('QA Log'!D:D,A27,'QA Log'!M:M,"Data Verification",'QA Log'!Z:Z,"Approved",'QA Log'!L:L,"*Consumable (section 3)*"),
COUNTIFS('QA Log'!D:D,A27,'QA Log'!M:M,"Data Verification",'QA Log'!Z:Z,"Approved",'QA Log'!L:L,"*Equipments (section 4)*")
))</f>
        <v/>
      </c>
      <c r="AP27" s="105" t="str">
        <f>IF(A27&lt;&gt;"",COUNTIFS('QA Log'!D:D,A27,'QA Log'!M:M,"Data Verification",'QA Log'!L:L,"Personnel (section 1)",'QA Log'!Z:Z,"Approved"),"")</f>
        <v/>
      </c>
      <c r="AQ27" s="105" t="str">
        <f>IF(A27&lt;&gt;"",COUNTIFS('QA Log'!D:D,A27,'QA Log'!M:M,"Data Verification",'QA Log'!L:L,"Consumable (section 3)",'QA Log'!Z:Z,"Approved"),"")</f>
        <v/>
      </c>
      <c r="AR27" s="105" t="str">
        <f>IF(A27&lt;&gt;"",COUNTIFS('QA Log'!D:D,A27,'QA Log'!M:M,"Data Verification",'QA Log'!L:L,"Equipments (section 4)",'QA Log'!Z:Z,"Approved"),"")</f>
        <v/>
      </c>
      <c r="AS27" s="102" t="str">
        <f>IF(A27="","",
SUM(
COUNTIFS('QA Log'!D:D,A27,'QA Log'!M:M,"Data Verification",'QA Log'!Z:Z,"Rejected",'QA Log'!L:L,"*Personnel (section 1)*"),
COUNTIFS('QA Log'!D:D,A27,'QA Log'!M:M,"Data Verification",'QA Log'!Z:Z,"Rejected",'QA Log'!L:L,"*Consumable (section 3)*"),
COUNTIFS('QA Log'!D:D,A27,'QA Log'!M:M,"Data Verification",'QA Log'!Z:Z,"Rejected",'QA Log'!L:L,"*Equipments (section 4)*")
))</f>
        <v/>
      </c>
      <c r="AT27" s="102" t="str">
        <f t="shared" si="7"/>
        <v/>
      </c>
      <c r="AU27" s="103" t="str">
        <f t="shared" si="8"/>
        <v/>
      </c>
      <c r="AV27" s="102" t="str">
        <f>IF(A27="","",SUM(
COUNTIFS('QA Log'!D:D,A27,'QA Log'!M:M,"Vignette",'QA Log'!L:L,"*Vignette [1] Respiratory Infection: Pneumonia*"),
COUNTIFS('QA Log'!D:D,A27,'QA Log'!M:M,"Vignette",'QA Log'!L:L,"*Vignette [2]: Diarrhea with Cat B dehydration*"),
COUNTIFS('QA Log'!D:D,A27,'QA Log'!M:M,"Vignette",'QA Log'!L:L,"*Vignette [3] Growth Monitoring and Promotion*"),
COUNTIFS('QA Log'!D:D,A27,'QA Log'!M:M,"Vignette",'QA Log'!L:L,"*Vignette [4]: The management of presumptive TB patient*")
)
)</f>
        <v/>
      </c>
      <c r="AW27" s="102" t="str">
        <f>IF(
  A27="","",
  SUM(
    COUNTIFS('QA Log'!D:D,A27,'QA Log'!M:M,"Vignette",'QA Log'!Z:Z,"Approved",'QA Log'!L:L,"*Vignette [1] Respiratory Infection: Pneumonia*"),
    COUNTIFS('QA Log'!D:D,A27,'QA Log'!M:M,"Vignette",'QA Log'!Z:Z,"Approved",'QA Log'!L:L,"*Vignette [2]: Diarrhea with Cat B dehydration*"),
    COUNTIFS('QA Log'!D:D,A27,'QA Log'!M:M,"Vignette",'QA Log'!Z:Z,"Approved",'QA Log'!L:L,"*Vignette [3] Growth Monitoring and Promotion*"),
    COUNTIFS('QA Log'!D:D,A27,'QA Log'!M:M,"Vignette",'QA Log'!Z:Z,"Approved",'QA Log'!L:L,"*Vignette [4]: The management of presumptive TB patient*")
  )
)</f>
        <v/>
      </c>
      <c r="AX27" s="105" t="str">
        <f>IF(A27&lt;&gt;"",COUNTIFS('QA Log'!D:D,A27,'QA Log'!M:M,"Vignette",'QA Log'!L:L,"Vignette [1] Respiratory Infection: Pneumonia",'QA Log'!Z:Z,"Approved"),"")</f>
        <v/>
      </c>
      <c r="AY27" s="105" t="str">
        <f>IF(A27&lt;&gt;"",COUNTIFS('QA Log'!D:D,A27,'QA Log'!M:M,"Vignette",'QA Log'!L:L,"Vignette [2]: Diarrhea with Cat B dehydration",'QA Log'!Z:Z,"Approved"),"")</f>
        <v/>
      </c>
      <c r="AZ27" s="105" t="str">
        <f>IF(A27&lt;&gt;"",COUNTIFS('QA Log'!D:D,A27,'QA Log'!M:M,"Vignette",'QA Log'!L:L,"Vignette [3] Growth Monitoring and Promotion",'QA Log'!Z:Z,"Approved"),"")</f>
        <v/>
      </c>
      <c r="BA27" s="105" t="str">
        <f>IF(A27&lt;&gt;"",COUNTIFS('QA Log'!D:D,A27,'QA Log'!M:M,"Vignette",'QA Log'!L:L,"Vignette [4]: The management of presumptive TB patient",'QA Log'!Z:Z,"Approved"),"")</f>
        <v/>
      </c>
      <c r="BB27" s="102" t="str">
        <f>IF(A27="","",
  SUM(
    COUNTIFS('QA Log'!D:D,A27,'QA Log'!M:M,"Vignette",'QA Log'!Z:Z,"Rejected",'QA Log'!L:L,"*Vignette [1] Respiratory Infection: Pneumonia*"),
    COUNTIFS('QA Log'!D:D,A27,'QA Log'!M:M,"Vignette",'QA Log'!Z:Z,"Rejected",'QA Log'!L:L,"*Vignette [2]: Diarrhea with Cat B dehydration*"),
    COUNTIFS('QA Log'!D:D,A27,'QA Log'!M:M,"Vignette",'QA Log'!Z:Z,"Rejected",'QA Log'!L:L,"*Vignette [3] Growth Monitoring and Promotion*"),
    COUNTIFS('QA Log'!D:D,A27,'QA Log'!M:M,"Vignette",'QA Log'!Z:Z,"Rejected",'QA Log'!L:L,"*Vignette [4]: The management of presumptive TB patient*")
  )
)</f>
        <v/>
      </c>
      <c r="BC27" s="107" t="str">
        <f t="shared" si="9"/>
        <v/>
      </c>
      <c r="BD27" s="103" t="str">
        <f t="shared" si="10"/>
        <v/>
      </c>
      <c r="BE27" s="102" t="str">
        <f>IF(A27="","",SUM(
COUNTIFS('QA Log'!D:D,A27,'QA Log'!M:M,"Vignette",'QA Log'!L:L,"*Vignette [5] Labor*"),
COUNTIFS('QA Log'!D:D,A27,'QA Log'!M:M,"Vignette",'QA Log'!L:L,"*Vignette [6] PNC pre Discharge*"),
COUNTIFS('QA Log'!D:D,A27,'QA Log'!M:M,"Vignette",'QA Log'!L:L,"*Vignette [7] First ANC Visit*"),
COUNTIFS('QA Log'!D:D,A27,'QA Log'!M:M,"Vignette",'QA Log'!L:L,"*Vignette [8] Birth Spacing/ Family Planning :  FP Counselling*"),
COUNTIFS('QA Log'!D:D,A27,'QA Log'!M:M,"Vignette",'QA Log'!L:L,"*Vignette [9] Birth Spacing: Change FP method to Injectable*"),
COUNTIFS('QA Log'!D:D,A27,'QA Log'!M:M,"Vignette",'QA Log'!L:L,"*Vignette [10] Post Partum Haemorrhage - Atonic Uterus at Health Centre*"),
)
)</f>
        <v/>
      </c>
      <c r="BF27" s="102" t="str">
        <f>IF(A27="","",
  SUM(
    COUNTIFS('QA Log'!D:D,A27,'QA Log'!M:M,"Vignette",'QA Log'!Z:Z,"Approved",'QA Log'!L:L,"*Vignette [5] Labor*"),
    COUNTIFS('QA Log'!D:D,A27,'QA Log'!M:M,"Vignette",'QA Log'!Z:Z,"Approved",'QA Log'!L:L,"*Vignette [6] PNC pre Discharge*"),
    COUNTIFS('QA Log'!D:D,A27,'QA Log'!M:M,"Vignette",'QA Log'!Z:Z,"Approved",'QA Log'!L:L,"*Vignette [7] First ANC Visit*"),
    COUNTIFS('QA Log'!D:D,A27,'QA Log'!M:M,"Vignette",'QA Log'!Z:Z,"Approved",'QA Log'!L:L,"*Vignette [8] Birth Spacing/ Family Planning :  FP Counselling*"),
    COUNTIFS('QA Log'!D:D,A27,'QA Log'!M:M,"Vignette",'QA Log'!Z:Z,"Approved",'QA Log'!L:L,"*Vignette [9] Birth Spacing: Change FP method to Injectable*"),
    COUNTIFS('QA Log'!D:D,A27,'QA Log'!M:M,"Vignette",'QA Log'!Z:Z,"Approved",'QA Log'!L:L,"*Vignette [10] Post Partum Haemorrhage - Atonic Uterus at Health Centre*")
  )
)</f>
        <v/>
      </c>
      <c r="BG27" s="105" t="str">
        <f>IF(A27&lt;&gt;"",COUNTIFS('QA Log'!D:D,A27,'QA Log'!M:M,"Vignette",'QA Log'!L:L,"Vignette [5] Labor",'QA Log'!Z:Z,"Approved"),"")</f>
        <v/>
      </c>
      <c r="BH27" s="105" t="str">
        <f>IF(A27&lt;&gt;"",COUNTIFS('QA Log'!D:D,A27,'QA Log'!M:M,"Vignette",'QA Log'!L:L,"Vignette [6] PNC pre Discharge",'QA Log'!Z:Z,"Approved"),"")</f>
        <v/>
      </c>
      <c r="BI27" s="105" t="str">
        <f>IF(A27&lt;&gt;"",COUNTIFS('QA Log'!D:D,A27,'QA Log'!M:M,"Vignette",'QA Log'!L:L,"Vignette [7] First ANC Visit",'QA Log'!Z:Z,"Approved"),"")</f>
        <v/>
      </c>
      <c r="BJ27" s="105" t="str">
        <f>IF(A27&lt;&gt;"",COUNTIFS('QA Log'!D:D,A27,'QA Log'!M:M,"Vignette",'QA Log'!L:L,"Vignette [8] Birth Spacing/ Family Planning :  FP Counselling",'QA Log'!Z:Z,"Approved"),"")</f>
        <v/>
      </c>
      <c r="BK27" s="105" t="str">
        <f>IF(A27&lt;&gt;"",COUNTIFS('QA Log'!D:D,A27,'QA Log'!M:M,"Vignette",'QA Log'!L:L,"Vignette [9] Birth Spacing: Change FP method to Injectable",'QA Log'!Z:Z,"Approved"),"")</f>
        <v/>
      </c>
      <c r="BL27" s="105" t="str">
        <f>IF(A27&lt;&gt;"",COUNTIFS('QA Log'!D:D,A27,'QA Log'!M:M,"Vignette",'QA Log'!L:L,"Vignette [10] Post Partum Haemorrhage - Atonic Uterus at Health Centre",'QA Log'!Z:Z,"Approved"),"")</f>
        <v/>
      </c>
      <c r="BM27" s="102" t="str">
        <f>IF(A27="","",SUM(
    COUNTIFS('QA Log'!D:D,A27,'QA Log'!M:M,"Vignette",'QA Log'!Z:Z,"Rejected",'QA Log'!L:L,"*Vignette [5] Labor*"),
    COUNTIFS('QA Log'!D:D,A27,'QA Log'!M:M,"Vignette",'QA Log'!Z:Z,"Rejected",'QA Log'!L:L,"*Vignette [6] PNC pre Discharge*"),
    COUNTIFS('QA Log'!D:D,A27,'QA Log'!M:M,"Vignette",'QA Log'!Z:Z,"Rejected",'QA Log'!L:L,"*Vignette [7] First ANC Visit*"),
    COUNTIFS('QA Log'!D:D,A27,'QA Log'!M:M,"Vignette",'QA Log'!Z:Z,"Rejected",'QA Log'!L:L,"*Vignette [8] Birth Spacing/ Family Planning :  FP Counselling*"),
    COUNTIFS('QA Log'!D:D,A27,'QA Log'!M:M,"Vignette",'QA Log'!Z:Z,"Rejected",'QA Log'!L:L,"*Vignette [9] Birth Spacing: Change FP method to Injectable*"),
    COUNTIFS('QA Log'!D:D,A27,'QA Log'!M:M,"Vignette",'QA Log'!Z:Z,"Rejected",'QA Log'!L:L,"*Vignette [10] Post Partum Haemorrhage - Atonic Uterus at Health Centre*")
  )
)</f>
        <v/>
      </c>
      <c r="BN27" s="107" t="str">
        <f t="shared" si="11"/>
        <v/>
      </c>
      <c r="BO27" s="103" t="str">
        <f t="shared" si="12"/>
        <v/>
      </c>
      <c r="BP27" s="102" t="str">
        <f>IF(A27="","",SUM(
COUNTIFS('QA Log'!D:D,A27,'QA Log'!M:M,"Vignette",'QA Log'!L:L,"*Exit Interview 1*"),
COUNTIFS('QA Log'!D:D,A27,'QA Log'!M:M,"Vignette",'QA Log'!L:L,"*Exit Interview 2*"),
)
)</f>
        <v/>
      </c>
      <c r="BQ27" s="102" t="str">
        <f>IF(
  A27="","",
  SUM(
    COUNTIFS('QA Log'!D:D,A27,'QA Log'!M:M,"Vignette",'QA Log'!Z:Z,"Approved",'QA Log'!L:L,"*Exit Interview 1*"),
    COUNTIFS('QA Log'!D:D,A27,'QA Log'!M:M,"Vignette",'QA Log'!Z:Z,"Approved",'QA Log'!L:L,"*Exit Interview 2*")
  )
)</f>
        <v/>
      </c>
      <c r="BR27" s="105" t="str">
        <f>IF(A27&lt;&gt;"",COUNTIFS('QA Log'!D:D,A27,'QA Log'!M:M,"Vignette",'QA Log'!L:L,"Exit Interview 1",'QA Log'!Z:Z,"Approved"),"")</f>
        <v/>
      </c>
      <c r="BS27" s="105" t="str">
        <f>IF(A27&lt;&gt;"",COUNTIFS('QA Log'!D:D,A27,'QA Log'!M:M,"Vignette",'QA Log'!L:L,"Exit Interview 2",'QA Log'!Z:Z,"Approved"),"")</f>
        <v/>
      </c>
      <c r="BT27" s="102" t="str">
        <f>IF(
  A27="","",
  SUM(
    COUNTIFS('QA Log'!D:D,A27,'QA Log'!M:M,"Vignette",'QA Log'!Z:Z,"Rejected",'QA Log'!L:L,"*Exit Interview 1*"),
    COUNTIFS('QA Log'!D:D,A27,'QA Log'!M:M,"Vignette",'QA Log'!Z:Z,"Rejected",'QA Log'!L:L,"*Exit Interview 2*")
  )
)</f>
        <v/>
      </c>
      <c r="BU27" s="107" t="str">
        <f t="shared" si="13"/>
        <v/>
      </c>
      <c r="BV27" s="102" t="str">
        <f t="shared" si="14"/>
        <v/>
      </c>
      <c r="BW27" s="102" t="str">
        <f t="shared" si="15"/>
        <v/>
      </c>
      <c r="BX27" s="102" t="str">
        <f t="shared" si="16"/>
        <v/>
      </c>
      <c r="BY27" s="102" t="str">
        <f t="shared" si="17"/>
        <v/>
      </c>
      <c r="BZ27" s="107" t="str">
        <f t="shared" si="18"/>
        <v/>
      </c>
      <c r="CA27" s="108" t="str">
        <f t="shared" si="19"/>
        <v/>
      </c>
      <c r="CB27" s="108" t="str">
        <f t="shared" si="20"/>
        <v/>
      </c>
      <c r="CC27" s="109" t="str">
        <f t="shared" si="21"/>
        <v/>
      </c>
      <c r="CD27" s="108" t="str">
        <f t="shared" si="22"/>
        <v/>
      </c>
      <c r="CE27" s="108" t="str">
        <f t="shared" si="23"/>
        <v/>
      </c>
      <c r="CF27" s="109" t="str">
        <f t="shared" si="24"/>
        <v/>
      </c>
      <c r="CG27" s="110" t="str">
        <f t="shared" si="25"/>
        <v/>
      </c>
      <c r="CH27" s="111"/>
    </row>
    <row r="28" spans="1:86" ht="12.75">
      <c r="A28" s="101"/>
      <c r="B28" s="102" t="e">
        <f t="array" aca="1" ref="B28" ca="1">_xludf.XLOOKUP(A28,'QA Log'!D:D,'QA Log'!E:E,"")</f>
        <v>#NAME?</v>
      </c>
      <c r="C28" s="102" t="e">
        <f t="array" aca="1" ref="C28" ca="1">_xludf.XLOOKUP(A28,'QA Log'!D:D,'QA Log'!F:F,"")</f>
        <v>#NAME?</v>
      </c>
      <c r="D28" s="102" t="e">
        <f t="array" aca="1" ref="D28" ca="1">_xludf.XLOOKUP(A28,'QA Log'!D:D,'QA Log'!H:H,"")</f>
        <v>#NAME?</v>
      </c>
      <c r="E28" s="102" t="e">
        <f t="array" aca="1" ref="E28" ca="1">_xludf.XLOOKUP(A28,'QA Log'!D:D,'QA Log'!G:G,"")</f>
        <v>#NAME?</v>
      </c>
      <c r="F28" s="103"/>
      <c r="G28" s="104"/>
      <c r="H28" s="104"/>
      <c r="I28" s="103" t="str">
        <f t="shared" si="0"/>
        <v/>
      </c>
      <c r="J28" s="102" t="str">
        <f>IF(A28="","",SUM(
COUNTIFS('QA Log'!D:D,A28,'QA Log'!M:M,"QQC",'QA Log'!L:L,"*1. General Management*"),
COUNTIFS('QA Log'!D:D,A28,'QA Log'!M:M,"QQC",'QA Log'!L:L,"*3. Curative Consultation (OPD)*"),
COUNTIFS('QA Log'!D:D,A28,'QA Log'!M:M,"QQC",'QA Log'!L:L,"*5. Laboratory*"),
COUNTIFS('QA Log'!D:D,A28,'QA Log'!M:M,"QQC",'QA Log'!L:L,"*6. Essential Medicine Management*"),
COUNTIFS('QA Log'!D:D,A28,'QA Log'!M:M,"QQC",'QA Log'!L:L,"*7. Tracer Medicine*"),
COUNTIFS('QA Log'!D:D,A28,'QA Log'!M:M,"QQC",'QA Log'!L:L,"*11. Additional Questions*")))</f>
        <v/>
      </c>
      <c r="K28" s="102" t="str">
        <f>IF(A28="","",SUM(
COUNTIFS('QA Log'!D:D,A28,'QA Log'!M:M,"QQC",'QA Log'!Z:Z,"Approved",'QA Log'!L:L,"*1. General Management*"),
COUNTIFS('QA Log'!D:D,A28,'QA Log'!M:M,"QQC",'QA Log'!Z:Z,"Approved",'QA Log'!L:L,"*3. Curative Consultation (OPD)*"),
COUNTIFS('QA Log'!D:D,A28,'QA Log'!M:M,"QQC",'QA Log'!Z:Z,"Approved",'QA Log'!L:L,"*5. Laboratory*"),
COUNTIFS('QA Log'!D:D,A28,'QA Log'!M:M,"QQC",'QA Log'!Z:Z,"Approved",'QA Log'!L:L,"*6. Essential Medicine Management*"),
COUNTIFS('QA Log'!D:D,A28,'QA Log'!M:M,"QQC",'QA Log'!Z:Z,"Approved",'QA Log'!L:L,"*7. Tracer Medicine*"),
COUNTIFS('QA Log'!D:D,A28,'QA Log'!M:M,"QQC",'QA Log'!Z:Z,"Approved",'QA Log'!L:L,"*11. Additional Questions*")))</f>
        <v/>
      </c>
      <c r="L28" s="105" t="str">
        <f>IF(A28&lt;&gt;"",COUNTIFS('QA Log'!D:D,A28,'QA Log'!M:M,"QQC",'QA Log'!L:L,"1. General Management",'QA Log'!Z:Z,"Approved"),"")</f>
        <v/>
      </c>
      <c r="M28" s="105" t="str">
        <f>IF(A28&lt;&gt;"",COUNTIFS('QA Log'!D:D,A28,'QA Log'!M:M,"QQC",'QA Log'!L:L,"3. Curative Consultation (OPD)",'QA Log'!Z:Z,"Approved"),"")</f>
        <v/>
      </c>
      <c r="N28" s="105" t="str">
        <f>IF(A28&lt;&gt;"",COUNTIFS('QA Log'!D:D,A28,'QA Log'!M:M,"QQC",'QA Log'!L:L,"5. Laboratory",'QA Log'!Z:Z,"Approved"),"")</f>
        <v/>
      </c>
      <c r="O28" s="105" t="str">
        <f>IF(A28&lt;&gt;"",COUNTIFS('QA Log'!D:D,A28,'QA Log'!M:M,"QQC",'QA Log'!L:L,"6. Essential Medicine Management",'QA Log'!Z:Z,"Approved"),"")</f>
        <v/>
      </c>
      <c r="P28" s="105" t="str">
        <f>IF(A28&lt;&gt;"",COUNTIFS('QA Log'!D:D,A28,'QA Log'!M:M,"QQC",'QA Log'!L:L,"7. Tracer Medicine",'QA Log'!Z:Z,"Approved"),"")</f>
        <v/>
      </c>
      <c r="Q28" s="105" t="str">
        <f>IF(A28&lt;&gt;"",COUNTIFS('QA Log'!D:D,A28,'QA Log'!M:M,"QQC",'QA Log'!L:L,"11. Additional Questions",'QA Log'!Z:Z,"Approved"),"")</f>
        <v/>
      </c>
      <c r="R28" s="102" t="str">
        <f>IF(A28="","",SUM(
COUNTIFS('QA Log'!D:D,A28,'QA Log'!M:M,"QQC",'QA Log'!Z:Z,"Rejected",'QA Log'!L:L,"*8. Maternity*"),
COUNTIFS('QA Log'!D:D,A28,'QA Log'!M:M,"QQC",'QA Log'!Z:Z,"Rejected",'QA Log'!L:L,"*EPI*"),
COUNTIFS('QA Log'!D:D,A28,'QA Log'!M:M,"QQC",'QA Log'!Z:Z,"Rejected",'QA Log'!L:L,"*10. Antenatal Care (ANC)*"),
COUNTIFS('QA Log'!D:D,A28,'QA Log'!M:M,"QQC",'QA Log'!Z:Z,"Rejected",'QA Log'!L:L,"*2. Hygiene and Sterilization*"),
COUNTIFS('QA Log'!D:D,A28,'QA Log'!M:M,"QQC",'QA Log'!Z:Z,"Rejected",'QA Log'!L:L,"*Family Planning*")))</f>
        <v/>
      </c>
      <c r="S28" s="106" t="str">
        <f t="shared" si="1"/>
        <v/>
      </c>
      <c r="T28" s="102" t="str">
        <f t="shared" si="2"/>
        <v/>
      </c>
      <c r="U28" s="102" t="str">
        <f>IF(A28="","",
SUM(
COUNTIFS('QA Log'!D:D,A28,'QA Log'!M:M,"QQC",'QA Log'!L:L,"*8. Maternity*"),
COUNTIFS('QA Log'!D:D,A28,'QA Log'!M:M,"QQC",'QA Log'!L:L,"*9. EPI and Pre-school Consultation*"),
COUNTIFS('QA Log'!D:D,A28,'QA Log'!M:M,"QQC",'QA Log'!L:L,"*10. Antenatal Care (ANC)*"),
COUNTIFS('QA Log'!D:D,A28,'QA Log'!M:M,"QQC",'QA Log'!L:L,"*2. Hygiene and Sterilization*"),
COUNTIFS('QA Log'!D:D,A28,'QA Log'!M:M,"QQC",'QA Log'!L:L,"*4. Family Planning*")
))</f>
        <v/>
      </c>
      <c r="V28" s="102" t="str">
        <f>IF(A28="","",
SUM(
COUNTIFS('QA Log'!D:D,A28,'QA Log'!M:M,"QQC",'QA Log'!Z:Z,"Approved",'QA Log'!L:L,"*8. Maternity*"),
COUNTIFS('QA Log'!D:D,A28,'QA Log'!M:M,"QQC",'QA Log'!Z:Z,"Approved",'QA Log'!L:L,"*9. EPI and Pre-school Consultation*"),
COUNTIFS('QA Log'!D:D,A28,'QA Log'!M:M,"QQC",'QA Log'!Z:Z,"Approved",'QA Log'!L:L,"*10. Antenatal Care (ANC)*"),
COUNTIFS('QA Log'!D:D,A28,'QA Log'!M:M,"QQC",'QA Log'!Z:Z,"Approved",'QA Log'!L:L,"*2. Hygiene and Sterilization*"),
COUNTIFS('QA Log'!D:D,A28,'QA Log'!M:M,"QQC",'QA Log'!Z:Z,"Approved",'QA Log'!L:L,"*4. Family Planning*")
))</f>
        <v/>
      </c>
      <c r="W28" s="105" t="str">
        <f>IF(A28&lt;&gt;"",COUNTIFS('QA Log'!D:D,A28,'QA Log'!M:M,"QQC",'QA Log'!L:L,"8. Maternity",'QA Log'!Z:Z,"Approved"),"")</f>
        <v/>
      </c>
      <c r="X28" s="105" t="str">
        <f>IF(A28&lt;&gt;"",COUNTIFS('QA Log'!D:D,A28,'QA Log'!M:M,"QQC",'QA Log'!L:L,"9. EPI and Pre-school Consultation",'QA Log'!Z:Z,"Approved"),"")</f>
        <v/>
      </c>
      <c r="Y28" s="105" t="str">
        <f>IF(A28&lt;&gt;"",COUNTIFS('QA Log'!D:D,A28,'QA Log'!M:M,"QQC",'QA Log'!L:L,"10. Antenatal Care (ANC)",'QA Log'!Z:Z,"Approved"),"")</f>
        <v/>
      </c>
      <c r="Z28" s="105" t="str">
        <f>IF(A28&lt;&gt;"",COUNTIFS('QA Log'!D:D,A28,'QA Log'!M:M,"QQC",'QA Log'!L:L,"2. Hygiene and Sterilization",'QA Log'!Z:Z,"Approved"),"")</f>
        <v/>
      </c>
      <c r="AA28" s="105" t="str">
        <f>IF(A28&lt;&gt;"",COUNTIFS('QA Log'!D:D,A28,'QA Log'!M:M,"QQC",'QA Log'!L:L,"4. Family Planning",'QA Log'!Z:Z,"Approved"),"")</f>
        <v/>
      </c>
      <c r="AB28" s="102" t="str">
        <f>IF(A28="","",
SUM(
COUNTIFS('QA Log'!D:D,A28,'QA Log'!M:M,"QQC",'QA Log'!Z:Z,"Rejected",'QA Log'!L:L,"*8. Maternity*"),
COUNTIFS('QA Log'!D:D,A28,'QA Log'!M:M,"QQC",'QA Log'!Z:Z,"Rejected",'QA Log'!L:L,"*9. EPI and Pre-school Consultation*"),
COUNTIFS('QA Log'!D:D,A28,'QA Log'!M:M,"QQC",'QA Log'!Z:Z,"Rejected",'QA Log'!L:L,"*10. Antenatal Care (ANC)*"),
COUNTIFS('QA Log'!D:D,A28,'QA Log'!M:M,"QQC",'QA Log'!Z:Z,"Rejected",'QA Log'!L:L,"*2. Hygiene and Sterilization*"),
COUNTIFS('QA Log'!D:D,A28,'QA Log'!M:M,"QQC",'QA Log'!Z:Z,"Rejected",'QA Log'!L:L,"*4. Family Planning*")
))</f>
        <v/>
      </c>
      <c r="AC28" s="102" t="str">
        <f t="shared" si="3"/>
        <v/>
      </c>
      <c r="AD28" s="103" t="str">
        <f t="shared" si="4"/>
        <v/>
      </c>
      <c r="AE28" s="102" t="str">
        <f>IF(A28="","",
SUM(
COUNTIFS('QA Log'!D:D,A28,'QA Log'!M:M,"Data Verification",'QA Log'!L:L,"*Medicine (section 2)*"),
COUNTIFS('QA Log'!D:D,A28,'QA Log'!M:M,"Data Verification",'QA Log'!L:L,"*Lab Testing Availability*"),
COUNTIFS('QA Log'!D:D,A28,'QA Log'!M:M,"Data Verification",'QA Log'!L:L,"*Other than P4P (section 6)*"),
COUNTIFS('QA Log'!D:D,A28,'QA Log'!M:M,"Data Verification",'QA Log'!L:L,"*Hospital Governance*")
))</f>
        <v/>
      </c>
      <c r="AF28" s="102" t="str">
        <f>IF(A28="","",
SUM(
COUNTIFS('QA Log'!D:D,A28,'QA Log'!M:M,"Data Verification",'QA Log'!Z:Z,"Approved",'QA Log'!L:L,"*Medicine (section 2)*"),
COUNTIFS('QA Log'!D:D,A28,'QA Log'!M:M,"Data Verification",'QA Log'!Z:Z,"Approved",'QA Log'!L:L,"*Lab Testing Availability*"),
COUNTIFS('QA Log'!D:D,A28,'QA Log'!M:M,"Data Verification",'QA Log'!Z:Z,"Approved",'QA Log'!L:L,"*Other than P4P (section 6)*"),
COUNTIFS('QA Log'!D:D,A28,'QA Log'!M:M,"Data Verification",'QA Log'!Z:Z,"Approved",'QA Log'!L:L,"*Hospital Governance*")
))</f>
        <v/>
      </c>
      <c r="AG28" s="105" t="str">
        <f>IF(A28&lt;&gt;"",COUNTIFS('QA Log'!D:D,A28,'QA Log'!M:M,"Data Verification",'QA Log'!L:L,"Medicine (section 2)",'QA Log'!Z:Z,"Approved"),"")</f>
        <v/>
      </c>
      <c r="AH28" s="105" t="str">
        <f>IF(A28&lt;&gt;"",COUNTIFS('QA Log'!D:D,A28,'QA Log'!M:M,"Data Verification",'QA Log'!L:L,"Lab Testing Availability",'QA Log'!Z:Z,"Approved"),"")</f>
        <v/>
      </c>
      <c r="AI28" s="105" t="str">
        <f>IF(A28&lt;&gt;"",COUNTIFS('QA Log'!D:D,A28,'QA Log'!M:M,"Data Verification",'QA Log'!L:L,"Other than P4P (section 6)",'QA Log'!Z:Z,"Approved"),"")</f>
        <v/>
      </c>
      <c r="AJ28" s="105" t="str">
        <f>IF(A28&lt;&gt;"",COUNTIFS('QA Log'!D:D,A28,'QA Log'!M:M,"Data Verification",'QA Log'!L:L,"Hospital Governance",'QA Log'!Z:Z,"Approved"),"")</f>
        <v/>
      </c>
      <c r="AK28" s="102" t="str">
        <f>IF(A28="","",
SUM(
COUNTIFS('QA Log'!D:D,A28,'QA Log'!M:M,"Data Verification",'QA Log'!Z:Z,"Rejected",'QA Log'!L:L,"*Medicine (section 2)*"),
COUNTIFS('QA Log'!D:D,A28,'QA Log'!M:M,"Data Verification",'QA Log'!Z:Z,"Rejected",'QA Log'!L:L,"*Lab Testing Availability*"),
COUNTIFS('QA Log'!D:D,A28,'QA Log'!M:M,"Data Verification",'QA Log'!Z:Z,"Rejected",'QA Log'!L:L,"*Other than P4P (section 6)*"),
COUNTIFS('QA Log'!D:D,A28,'QA Log'!M:M,"Data Verification",'QA Log'!Z:Z,"Rejected",'QA Log'!L:L,"*Hospital Governance*")
))</f>
        <v/>
      </c>
      <c r="AL28" s="106" t="str">
        <f t="shared" si="5"/>
        <v/>
      </c>
      <c r="AM28" s="102" t="str">
        <f t="shared" si="6"/>
        <v/>
      </c>
      <c r="AN28" s="102" t="str">
        <f>IF(A28="","",
SUM(
COUNTIFS('QA Log'!D:D,A28,'QA Log'!M:M,"Data Verification",'QA Log'!L:L,"*Personnel (section 1)*"),
COUNTIFS('QA Log'!D:D,A28,'QA Log'!M:M,"Data Verification",'QA Log'!L:L,"*Consumable (section 3)*"),
COUNTIFS('QA Log'!D:D,A28,'QA Log'!M:M,"Data Verification",'QA Log'!L:L,"*Equipments (section 4)*")
))</f>
        <v/>
      </c>
      <c r="AO28" s="102" t="str">
        <f>IF(A28="","",
SUM(
COUNTIFS('QA Log'!D:D,A28,'QA Log'!M:M,"Data Verification",'QA Log'!Z:Z,"Approved",'QA Log'!L:L,"*Personnel (section 1)*"),
COUNTIFS('QA Log'!D:D,A28,'QA Log'!M:M,"Data Verification",'QA Log'!Z:Z,"Approved",'QA Log'!L:L,"*Consumable (section 3)*"),
COUNTIFS('QA Log'!D:D,A28,'QA Log'!M:M,"Data Verification",'QA Log'!Z:Z,"Approved",'QA Log'!L:L,"*Equipments (section 4)*")
))</f>
        <v/>
      </c>
      <c r="AP28" s="105" t="str">
        <f>IF(A28&lt;&gt;"",COUNTIFS('QA Log'!D:D,A28,'QA Log'!M:M,"Data Verification",'QA Log'!L:L,"Personnel (section 1)",'QA Log'!Z:Z,"Approved"),"")</f>
        <v/>
      </c>
      <c r="AQ28" s="105" t="str">
        <f>IF(A28&lt;&gt;"",COUNTIFS('QA Log'!D:D,A28,'QA Log'!M:M,"Data Verification",'QA Log'!L:L,"Consumable (section 3)",'QA Log'!Z:Z,"Approved"),"")</f>
        <v/>
      </c>
      <c r="AR28" s="105" t="str">
        <f>IF(A28&lt;&gt;"",COUNTIFS('QA Log'!D:D,A28,'QA Log'!M:M,"Data Verification",'QA Log'!L:L,"Equipments (section 4)",'QA Log'!Z:Z,"Approved"),"")</f>
        <v/>
      </c>
      <c r="AS28" s="102" t="str">
        <f>IF(A28="","",
SUM(
COUNTIFS('QA Log'!D:D,A28,'QA Log'!M:M,"Data Verification",'QA Log'!Z:Z,"Rejected",'QA Log'!L:L,"*Personnel (section 1)*"),
COUNTIFS('QA Log'!D:D,A28,'QA Log'!M:M,"Data Verification",'QA Log'!Z:Z,"Rejected",'QA Log'!L:L,"*Consumable (section 3)*"),
COUNTIFS('QA Log'!D:D,A28,'QA Log'!M:M,"Data Verification",'QA Log'!Z:Z,"Rejected",'QA Log'!L:L,"*Equipments (section 4)*")
))</f>
        <v/>
      </c>
      <c r="AT28" s="102" t="str">
        <f t="shared" si="7"/>
        <v/>
      </c>
      <c r="AU28" s="103" t="str">
        <f t="shared" si="8"/>
        <v/>
      </c>
      <c r="AV28" s="102" t="str">
        <f>IF(A28="","",SUM(
COUNTIFS('QA Log'!D:D,A28,'QA Log'!M:M,"Vignette",'QA Log'!L:L,"*Vignette [1] Respiratory Infection: Pneumonia*"),
COUNTIFS('QA Log'!D:D,A28,'QA Log'!M:M,"Vignette",'QA Log'!L:L,"*Vignette [2]: Diarrhea with Cat B dehydration*"),
COUNTIFS('QA Log'!D:D,A28,'QA Log'!M:M,"Vignette",'QA Log'!L:L,"*Vignette [3] Growth Monitoring and Promotion*"),
COUNTIFS('QA Log'!D:D,A28,'QA Log'!M:M,"Vignette",'QA Log'!L:L,"*Vignette [4]: The management of presumptive TB patient*")
)
)</f>
        <v/>
      </c>
      <c r="AW28" s="102" t="str">
        <f>IF(
  A28="","",
  SUM(
    COUNTIFS('QA Log'!D:D,A28,'QA Log'!M:M,"Vignette",'QA Log'!Z:Z,"Approved",'QA Log'!L:L,"*Vignette [1] Respiratory Infection: Pneumonia*"),
    COUNTIFS('QA Log'!D:D,A28,'QA Log'!M:M,"Vignette",'QA Log'!Z:Z,"Approved",'QA Log'!L:L,"*Vignette [2]: Diarrhea with Cat B dehydration*"),
    COUNTIFS('QA Log'!D:D,A28,'QA Log'!M:M,"Vignette",'QA Log'!Z:Z,"Approved",'QA Log'!L:L,"*Vignette [3] Growth Monitoring and Promotion*"),
    COUNTIFS('QA Log'!D:D,A28,'QA Log'!M:M,"Vignette",'QA Log'!Z:Z,"Approved",'QA Log'!L:L,"*Vignette [4]: The management of presumptive TB patient*")
  )
)</f>
        <v/>
      </c>
      <c r="AX28" s="105" t="str">
        <f>IF(A28&lt;&gt;"",COUNTIFS('QA Log'!D:D,A28,'QA Log'!M:M,"Vignette",'QA Log'!L:L,"Vignette [1] Respiratory Infection: Pneumonia",'QA Log'!Z:Z,"Approved"),"")</f>
        <v/>
      </c>
      <c r="AY28" s="105" t="str">
        <f>IF(A28&lt;&gt;"",COUNTIFS('QA Log'!D:D,A28,'QA Log'!M:M,"Vignette",'QA Log'!L:L,"Vignette [2]: Diarrhea with Cat B dehydration",'QA Log'!Z:Z,"Approved"),"")</f>
        <v/>
      </c>
      <c r="AZ28" s="105" t="str">
        <f>IF(A28&lt;&gt;"",COUNTIFS('QA Log'!D:D,A28,'QA Log'!M:M,"Vignette",'QA Log'!L:L,"Vignette [3] Growth Monitoring and Promotion",'QA Log'!Z:Z,"Approved"),"")</f>
        <v/>
      </c>
      <c r="BA28" s="105" t="str">
        <f>IF(A28&lt;&gt;"",COUNTIFS('QA Log'!D:D,A28,'QA Log'!M:M,"Vignette",'QA Log'!L:L,"Vignette [4]: The management of presumptive TB patient",'QA Log'!Z:Z,"Approved"),"")</f>
        <v/>
      </c>
      <c r="BB28" s="102" t="str">
        <f>IF(A28="","",
  SUM(
    COUNTIFS('QA Log'!D:D,A28,'QA Log'!M:M,"Vignette",'QA Log'!Z:Z,"Rejected",'QA Log'!L:L,"*Vignette [1] Respiratory Infection: Pneumonia*"),
    COUNTIFS('QA Log'!D:D,A28,'QA Log'!M:M,"Vignette",'QA Log'!Z:Z,"Rejected",'QA Log'!L:L,"*Vignette [2]: Diarrhea with Cat B dehydration*"),
    COUNTIFS('QA Log'!D:D,A28,'QA Log'!M:M,"Vignette",'QA Log'!Z:Z,"Rejected",'QA Log'!L:L,"*Vignette [3] Growth Monitoring and Promotion*"),
    COUNTIFS('QA Log'!D:D,A28,'QA Log'!M:M,"Vignette",'QA Log'!Z:Z,"Rejected",'QA Log'!L:L,"*Vignette [4]: The management of presumptive TB patient*")
  )
)</f>
        <v/>
      </c>
      <c r="BC28" s="107" t="str">
        <f t="shared" si="9"/>
        <v/>
      </c>
      <c r="BD28" s="103" t="str">
        <f t="shared" si="10"/>
        <v/>
      </c>
      <c r="BE28" s="102" t="str">
        <f>IF(A28="","",SUM(
COUNTIFS('QA Log'!D:D,A28,'QA Log'!M:M,"Vignette",'QA Log'!L:L,"*Vignette [5] Labor*"),
COUNTIFS('QA Log'!D:D,A28,'QA Log'!M:M,"Vignette",'QA Log'!L:L,"*Vignette [6] PNC pre Discharge*"),
COUNTIFS('QA Log'!D:D,A28,'QA Log'!M:M,"Vignette",'QA Log'!L:L,"*Vignette [7] First ANC Visit*"),
COUNTIFS('QA Log'!D:D,A28,'QA Log'!M:M,"Vignette",'QA Log'!L:L,"*Vignette [8] Birth Spacing/ Family Planning :  FP Counselling*"),
COUNTIFS('QA Log'!D:D,A28,'QA Log'!M:M,"Vignette",'QA Log'!L:L,"*Vignette [9] Birth Spacing: Change FP method to Injectable*"),
COUNTIFS('QA Log'!D:D,A28,'QA Log'!M:M,"Vignette",'QA Log'!L:L,"*Vignette [10] Post Partum Haemorrhage - Atonic Uterus at Health Centre*"),
)
)</f>
        <v/>
      </c>
      <c r="BF28" s="102" t="str">
        <f>IF(A28="","",
  SUM(
    COUNTIFS('QA Log'!D:D,A28,'QA Log'!M:M,"Vignette",'QA Log'!Z:Z,"Approved",'QA Log'!L:L,"*Vignette [5] Labor*"),
    COUNTIFS('QA Log'!D:D,A28,'QA Log'!M:M,"Vignette",'QA Log'!Z:Z,"Approved",'QA Log'!L:L,"*Vignette [6] PNC pre Discharge*"),
    COUNTIFS('QA Log'!D:D,A28,'QA Log'!M:M,"Vignette",'QA Log'!Z:Z,"Approved",'QA Log'!L:L,"*Vignette [7] First ANC Visit*"),
    COUNTIFS('QA Log'!D:D,A28,'QA Log'!M:M,"Vignette",'QA Log'!Z:Z,"Approved",'QA Log'!L:L,"*Vignette [8] Birth Spacing/ Family Planning :  FP Counselling*"),
    COUNTIFS('QA Log'!D:D,A28,'QA Log'!M:M,"Vignette",'QA Log'!Z:Z,"Approved",'QA Log'!L:L,"*Vignette [9] Birth Spacing: Change FP method to Injectable*"),
    COUNTIFS('QA Log'!D:D,A28,'QA Log'!M:M,"Vignette",'QA Log'!Z:Z,"Approved",'QA Log'!L:L,"*Vignette [10] Post Partum Haemorrhage - Atonic Uterus at Health Centre*")
  )
)</f>
        <v/>
      </c>
      <c r="BG28" s="105" t="str">
        <f>IF(A28&lt;&gt;"",COUNTIFS('QA Log'!D:D,A28,'QA Log'!M:M,"Vignette",'QA Log'!L:L,"Vignette [5] Labor",'QA Log'!Z:Z,"Approved"),"")</f>
        <v/>
      </c>
      <c r="BH28" s="105" t="str">
        <f>IF(A28&lt;&gt;"",COUNTIFS('QA Log'!D:D,A28,'QA Log'!M:M,"Vignette",'QA Log'!L:L,"Vignette [6] PNC pre Discharge",'QA Log'!Z:Z,"Approved"),"")</f>
        <v/>
      </c>
      <c r="BI28" s="105" t="str">
        <f>IF(A28&lt;&gt;"",COUNTIFS('QA Log'!D:D,A28,'QA Log'!M:M,"Vignette",'QA Log'!L:L,"Vignette [7] First ANC Visit",'QA Log'!Z:Z,"Approved"),"")</f>
        <v/>
      </c>
      <c r="BJ28" s="105" t="str">
        <f>IF(A28&lt;&gt;"",COUNTIFS('QA Log'!D:D,A28,'QA Log'!M:M,"Vignette",'QA Log'!L:L,"Vignette [8] Birth Spacing/ Family Planning :  FP Counselling",'QA Log'!Z:Z,"Approved"),"")</f>
        <v/>
      </c>
      <c r="BK28" s="105" t="str">
        <f>IF(A28&lt;&gt;"",COUNTIFS('QA Log'!D:D,A28,'QA Log'!M:M,"Vignette",'QA Log'!L:L,"Vignette [9] Birth Spacing: Change FP method to Injectable",'QA Log'!Z:Z,"Approved"),"")</f>
        <v/>
      </c>
      <c r="BL28" s="105" t="str">
        <f>IF(A28&lt;&gt;"",COUNTIFS('QA Log'!D:D,A28,'QA Log'!M:M,"Vignette",'QA Log'!L:L,"Vignette [10] Post Partum Haemorrhage - Atonic Uterus at Health Centre",'QA Log'!Z:Z,"Approved"),"")</f>
        <v/>
      </c>
      <c r="BM28" s="102" t="str">
        <f>IF(A28="","",SUM(
    COUNTIFS('QA Log'!D:D,A28,'QA Log'!M:M,"Vignette",'QA Log'!Z:Z,"Rejected",'QA Log'!L:L,"*Vignette [5] Labor*"),
    COUNTIFS('QA Log'!D:D,A28,'QA Log'!M:M,"Vignette",'QA Log'!Z:Z,"Rejected",'QA Log'!L:L,"*Vignette [6] PNC pre Discharge*"),
    COUNTIFS('QA Log'!D:D,A28,'QA Log'!M:M,"Vignette",'QA Log'!Z:Z,"Rejected",'QA Log'!L:L,"*Vignette [7] First ANC Visit*"),
    COUNTIFS('QA Log'!D:D,A28,'QA Log'!M:M,"Vignette",'QA Log'!Z:Z,"Rejected",'QA Log'!L:L,"*Vignette [8] Birth Spacing/ Family Planning :  FP Counselling*"),
    COUNTIFS('QA Log'!D:D,A28,'QA Log'!M:M,"Vignette",'QA Log'!Z:Z,"Rejected",'QA Log'!L:L,"*Vignette [9] Birth Spacing: Change FP method to Injectable*"),
    COUNTIFS('QA Log'!D:D,A28,'QA Log'!M:M,"Vignette",'QA Log'!Z:Z,"Rejected",'QA Log'!L:L,"*Vignette [10] Post Partum Haemorrhage - Atonic Uterus at Health Centre*")
  )
)</f>
        <v/>
      </c>
      <c r="BN28" s="107" t="str">
        <f t="shared" si="11"/>
        <v/>
      </c>
      <c r="BO28" s="103" t="str">
        <f t="shared" si="12"/>
        <v/>
      </c>
      <c r="BP28" s="102" t="str">
        <f>IF(A28="","",SUM(
COUNTIFS('QA Log'!D:D,A28,'QA Log'!M:M,"Vignette",'QA Log'!L:L,"*Exit Interview 1*"),
COUNTIFS('QA Log'!D:D,A28,'QA Log'!M:M,"Vignette",'QA Log'!L:L,"*Exit Interview 2*"),
)
)</f>
        <v/>
      </c>
      <c r="BQ28" s="102" t="str">
        <f>IF(
  A28="","",
  SUM(
    COUNTIFS('QA Log'!D:D,A28,'QA Log'!M:M,"Vignette",'QA Log'!Z:Z,"Approved",'QA Log'!L:L,"*Exit Interview 1*"),
    COUNTIFS('QA Log'!D:D,A28,'QA Log'!M:M,"Vignette",'QA Log'!Z:Z,"Approved",'QA Log'!L:L,"*Exit Interview 2*")
  )
)</f>
        <v/>
      </c>
      <c r="BR28" s="105" t="str">
        <f>IF(A28&lt;&gt;"",COUNTIFS('QA Log'!D:D,A28,'QA Log'!M:M,"Vignette",'QA Log'!L:L,"Exit Interview 1",'QA Log'!Z:Z,"Approved"),"")</f>
        <v/>
      </c>
      <c r="BS28" s="105" t="str">
        <f>IF(A28&lt;&gt;"",COUNTIFS('QA Log'!D:D,A28,'QA Log'!M:M,"Vignette",'QA Log'!L:L,"Exit Interview 2",'QA Log'!Z:Z,"Approved"),"")</f>
        <v/>
      </c>
      <c r="BT28" s="102" t="str">
        <f>IF(
  A28="","",
  SUM(
    COUNTIFS('QA Log'!D:D,A28,'QA Log'!M:M,"Vignette",'QA Log'!Z:Z,"Rejected",'QA Log'!L:L,"*Exit Interview 1*"),
    COUNTIFS('QA Log'!D:D,A28,'QA Log'!M:M,"Vignette",'QA Log'!Z:Z,"Rejected",'QA Log'!L:L,"*Exit Interview 2*")
  )
)</f>
        <v/>
      </c>
      <c r="BU28" s="107" t="str">
        <f t="shared" si="13"/>
        <v/>
      </c>
      <c r="BV28" s="102" t="str">
        <f t="shared" si="14"/>
        <v/>
      </c>
      <c r="BW28" s="102" t="str">
        <f t="shared" si="15"/>
        <v/>
      </c>
      <c r="BX28" s="102" t="str">
        <f t="shared" si="16"/>
        <v/>
      </c>
      <c r="BY28" s="102" t="str">
        <f t="shared" si="17"/>
        <v/>
      </c>
      <c r="BZ28" s="107" t="str">
        <f t="shared" si="18"/>
        <v/>
      </c>
      <c r="CA28" s="108" t="str">
        <f t="shared" si="19"/>
        <v/>
      </c>
      <c r="CB28" s="108" t="str">
        <f t="shared" si="20"/>
        <v/>
      </c>
      <c r="CC28" s="109" t="str">
        <f t="shared" si="21"/>
        <v/>
      </c>
      <c r="CD28" s="108" t="str">
        <f t="shared" si="22"/>
        <v/>
      </c>
      <c r="CE28" s="108" t="str">
        <f t="shared" si="23"/>
        <v/>
      </c>
      <c r="CF28" s="109" t="str">
        <f t="shared" si="24"/>
        <v/>
      </c>
      <c r="CG28" s="110" t="str">
        <f t="shared" si="25"/>
        <v/>
      </c>
      <c r="CH28" s="111"/>
    </row>
    <row r="29" spans="1:86" ht="12.75">
      <c r="A29" s="101"/>
      <c r="B29" s="102" t="e">
        <f t="array" aca="1" ref="B29" ca="1">_xludf.XLOOKUP(A29,'QA Log'!D:D,'QA Log'!E:E,"")</f>
        <v>#NAME?</v>
      </c>
      <c r="C29" s="102" t="e">
        <f t="array" aca="1" ref="C29" ca="1">_xludf.XLOOKUP(A29,'QA Log'!D:D,'QA Log'!F:F,"")</f>
        <v>#NAME?</v>
      </c>
      <c r="D29" s="102" t="e">
        <f t="array" aca="1" ref="D29" ca="1">_xludf.XLOOKUP(A29,'QA Log'!D:D,'QA Log'!H:H,"")</f>
        <v>#NAME?</v>
      </c>
      <c r="E29" s="102" t="e">
        <f t="array" aca="1" ref="E29" ca="1">_xludf.XLOOKUP(A29,'QA Log'!D:D,'QA Log'!G:G,"")</f>
        <v>#NAME?</v>
      </c>
      <c r="F29" s="103"/>
      <c r="G29" s="104"/>
      <c r="H29" s="104"/>
      <c r="I29" s="103" t="str">
        <f t="shared" si="0"/>
        <v/>
      </c>
      <c r="J29" s="102" t="str">
        <f>IF(A29="","",SUM(
COUNTIFS('QA Log'!D:D,A29,'QA Log'!M:M,"QQC",'QA Log'!L:L,"*1. General Management*"),
COUNTIFS('QA Log'!D:D,A29,'QA Log'!M:M,"QQC",'QA Log'!L:L,"*3. Curative Consultation (OPD)*"),
COUNTIFS('QA Log'!D:D,A29,'QA Log'!M:M,"QQC",'QA Log'!L:L,"*5. Laboratory*"),
COUNTIFS('QA Log'!D:D,A29,'QA Log'!M:M,"QQC",'QA Log'!L:L,"*6. Essential Medicine Management*"),
COUNTIFS('QA Log'!D:D,A29,'QA Log'!M:M,"QQC",'QA Log'!L:L,"*7. Tracer Medicine*"),
COUNTIFS('QA Log'!D:D,A29,'QA Log'!M:M,"QQC",'QA Log'!L:L,"*11. Additional Questions*")))</f>
        <v/>
      </c>
      <c r="K29" s="102" t="str">
        <f>IF(A29="","",SUM(
COUNTIFS('QA Log'!D:D,A29,'QA Log'!M:M,"QQC",'QA Log'!Z:Z,"Approved",'QA Log'!L:L,"*1. General Management*"),
COUNTIFS('QA Log'!D:D,A29,'QA Log'!M:M,"QQC",'QA Log'!Z:Z,"Approved",'QA Log'!L:L,"*3. Curative Consultation (OPD)*"),
COUNTIFS('QA Log'!D:D,A29,'QA Log'!M:M,"QQC",'QA Log'!Z:Z,"Approved",'QA Log'!L:L,"*5. Laboratory*"),
COUNTIFS('QA Log'!D:D,A29,'QA Log'!M:M,"QQC",'QA Log'!Z:Z,"Approved",'QA Log'!L:L,"*6. Essential Medicine Management*"),
COUNTIFS('QA Log'!D:D,A29,'QA Log'!M:M,"QQC",'QA Log'!Z:Z,"Approved",'QA Log'!L:L,"*7. Tracer Medicine*"),
COUNTIFS('QA Log'!D:D,A29,'QA Log'!M:M,"QQC",'QA Log'!Z:Z,"Approved",'QA Log'!L:L,"*11. Additional Questions*")))</f>
        <v/>
      </c>
      <c r="L29" s="105" t="str">
        <f>IF(A29&lt;&gt;"",COUNTIFS('QA Log'!D:D,A29,'QA Log'!M:M,"QQC",'QA Log'!L:L,"1. General Management",'QA Log'!Z:Z,"Approved"),"")</f>
        <v/>
      </c>
      <c r="M29" s="105" t="str">
        <f>IF(A29&lt;&gt;"",COUNTIFS('QA Log'!D:D,A29,'QA Log'!M:M,"QQC",'QA Log'!L:L,"3. Curative Consultation (OPD)",'QA Log'!Z:Z,"Approved"),"")</f>
        <v/>
      </c>
      <c r="N29" s="105" t="str">
        <f>IF(A29&lt;&gt;"",COUNTIFS('QA Log'!D:D,A29,'QA Log'!M:M,"QQC",'QA Log'!L:L,"5. Laboratory",'QA Log'!Z:Z,"Approved"),"")</f>
        <v/>
      </c>
      <c r="O29" s="105" t="str">
        <f>IF(A29&lt;&gt;"",COUNTIFS('QA Log'!D:D,A29,'QA Log'!M:M,"QQC",'QA Log'!L:L,"6. Essential Medicine Management",'QA Log'!Z:Z,"Approved"),"")</f>
        <v/>
      </c>
      <c r="P29" s="105" t="str">
        <f>IF(A29&lt;&gt;"",COUNTIFS('QA Log'!D:D,A29,'QA Log'!M:M,"QQC",'QA Log'!L:L,"7. Tracer Medicine",'QA Log'!Z:Z,"Approved"),"")</f>
        <v/>
      </c>
      <c r="Q29" s="105" t="str">
        <f>IF(A29&lt;&gt;"",COUNTIFS('QA Log'!D:D,A29,'QA Log'!M:M,"QQC",'QA Log'!L:L,"11. Additional Questions",'QA Log'!Z:Z,"Approved"),"")</f>
        <v/>
      </c>
      <c r="R29" s="102" t="str">
        <f>IF(A29="","",SUM(
COUNTIFS('QA Log'!D:D,A29,'QA Log'!M:M,"QQC",'QA Log'!Z:Z,"Rejected",'QA Log'!L:L,"*8. Maternity*"),
COUNTIFS('QA Log'!D:D,A29,'QA Log'!M:M,"QQC",'QA Log'!Z:Z,"Rejected",'QA Log'!L:L,"*EPI*"),
COUNTIFS('QA Log'!D:D,A29,'QA Log'!M:M,"QQC",'QA Log'!Z:Z,"Rejected",'QA Log'!L:L,"*10. Antenatal Care (ANC)*"),
COUNTIFS('QA Log'!D:D,A29,'QA Log'!M:M,"QQC",'QA Log'!Z:Z,"Rejected",'QA Log'!L:L,"*2. Hygiene and Sterilization*"),
COUNTIFS('QA Log'!D:D,A29,'QA Log'!M:M,"QQC",'QA Log'!Z:Z,"Rejected",'QA Log'!L:L,"*Family Planning*")))</f>
        <v/>
      </c>
      <c r="S29" s="106" t="str">
        <f t="shared" si="1"/>
        <v/>
      </c>
      <c r="T29" s="102" t="str">
        <f t="shared" si="2"/>
        <v/>
      </c>
      <c r="U29" s="102" t="str">
        <f>IF(A29="","",
SUM(
COUNTIFS('QA Log'!D:D,A29,'QA Log'!M:M,"QQC",'QA Log'!L:L,"*8. Maternity*"),
COUNTIFS('QA Log'!D:D,A29,'QA Log'!M:M,"QQC",'QA Log'!L:L,"*9. EPI and Pre-school Consultation*"),
COUNTIFS('QA Log'!D:D,A29,'QA Log'!M:M,"QQC",'QA Log'!L:L,"*10. Antenatal Care (ANC)*"),
COUNTIFS('QA Log'!D:D,A29,'QA Log'!M:M,"QQC",'QA Log'!L:L,"*2. Hygiene and Sterilization*"),
COUNTIFS('QA Log'!D:D,A29,'QA Log'!M:M,"QQC",'QA Log'!L:L,"*4. Family Planning*")
))</f>
        <v/>
      </c>
      <c r="V29" s="102" t="str">
        <f>IF(A29="","",
SUM(
COUNTIFS('QA Log'!D:D,A29,'QA Log'!M:M,"QQC",'QA Log'!Z:Z,"Approved",'QA Log'!L:L,"*8. Maternity*"),
COUNTIFS('QA Log'!D:D,A29,'QA Log'!M:M,"QQC",'QA Log'!Z:Z,"Approved",'QA Log'!L:L,"*9. EPI and Pre-school Consultation*"),
COUNTIFS('QA Log'!D:D,A29,'QA Log'!M:M,"QQC",'QA Log'!Z:Z,"Approved",'QA Log'!L:L,"*10. Antenatal Care (ANC)*"),
COUNTIFS('QA Log'!D:D,A29,'QA Log'!M:M,"QQC",'QA Log'!Z:Z,"Approved",'QA Log'!L:L,"*2. Hygiene and Sterilization*"),
COUNTIFS('QA Log'!D:D,A29,'QA Log'!M:M,"QQC",'QA Log'!Z:Z,"Approved",'QA Log'!L:L,"*4. Family Planning*")
))</f>
        <v/>
      </c>
      <c r="W29" s="105" t="str">
        <f>IF(A29&lt;&gt;"",COUNTIFS('QA Log'!D:D,A29,'QA Log'!M:M,"QQC",'QA Log'!L:L,"8. Maternity",'QA Log'!Z:Z,"Approved"),"")</f>
        <v/>
      </c>
      <c r="X29" s="105" t="str">
        <f>IF(A29&lt;&gt;"",COUNTIFS('QA Log'!D:D,A29,'QA Log'!M:M,"QQC",'QA Log'!L:L,"9. EPI and Pre-school Consultation",'QA Log'!Z:Z,"Approved"),"")</f>
        <v/>
      </c>
      <c r="Y29" s="105" t="str">
        <f>IF(A29&lt;&gt;"",COUNTIFS('QA Log'!D:D,A29,'QA Log'!M:M,"QQC",'QA Log'!L:L,"10. Antenatal Care (ANC)",'QA Log'!Z:Z,"Approved"),"")</f>
        <v/>
      </c>
      <c r="Z29" s="105" t="str">
        <f>IF(A29&lt;&gt;"",COUNTIFS('QA Log'!D:D,A29,'QA Log'!M:M,"QQC",'QA Log'!L:L,"2. Hygiene and Sterilization",'QA Log'!Z:Z,"Approved"),"")</f>
        <v/>
      </c>
      <c r="AA29" s="105" t="str">
        <f>IF(A29&lt;&gt;"",COUNTIFS('QA Log'!D:D,A29,'QA Log'!M:M,"QQC",'QA Log'!L:L,"4. Family Planning",'QA Log'!Z:Z,"Approved"),"")</f>
        <v/>
      </c>
      <c r="AB29" s="102" t="str">
        <f>IF(A29="","",
SUM(
COUNTIFS('QA Log'!D:D,A29,'QA Log'!M:M,"QQC",'QA Log'!Z:Z,"Rejected",'QA Log'!L:L,"*8. Maternity*"),
COUNTIFS('QA Log'!D:D,A29,'QA Log'!M:M,"QQC",'QA Log'!Z:Z,"Rejected",'QA Log'!L:L,"*9. EPI and Pre-school Consultation*"),
COUNTIFS('QA Log'!D:D,A29,'QA Log'!M:M,"QQC",'QA Log'!Z:Z,"Rejected",'QA Log'!L:L,"*10. Antenatal Care (ANC)*"),
COUNTIFS('QA Log'!D:D,A29,'QA Log'!M:M,"QQC",'QA Log'!Z:Z,"Rejected",'QA Log'!L:L,"*2. Hygiene and Sterilization*"),
COUNTIFS('QA Log'!D:D,A29,'QA Log'!M:M,"QQC",'QA Log'!Z:Z,"Rejected",'QA Log'!L:L,"*4. Family Planning*")
))</f>
        <v/>
      </c>
      <c r="AC29" s="102" t="str">
        <f t="shared" si="3"/>
        <v/>
      </c>
      <c r="AD29" s="103" t="str">
        <f t="shared" si="4"/>
        <v/>
      </c>
      <c r="AE29" s="102" t="str">
        <f>IF(A29="","",
SUM(
COUNTIFS('QA Log'!D:D,A29,'QA Log'!M:M,"Data Verification",'QA Log'!L:L,"*Medicine (section 2)*"),
COUNTIFS('QA Log'!D:D,A29,'QA Log'!M:M,"Data Verification",'QA Log'!L:L,"*Lab Testing Availability*"),
COUNTIFS('QA Log'!D:D,A29,'QA Log'!M:M,"Data Verification",'QA Log'!L:L,"*Other than P4P (section 6)*"),
COUNTIFS('QA Log'!D:D,A29,'QA Log'!M:M,"Data Verification",'QA Log'!L:L,"*Hospital Governance*")
))</f>
        <v/>
      </c>
      <c r="AF29" s="102" t="str">
        <f>IF(A29="","",
SUM(
COUNTIFS('QA Log'!D:D,A29,'QA Log'!M:M,"Data Verification",'QA Log'!Z:Z,"Approved",'QA Log'!L:L,"*Medicine (section 2)*"),
COUNTIFS('QA Log'!D:D,A29,'QA Log'!M:M,"Data Verification",'QA Log'!Z:Z,"Approved",'QA Log'!L:L,"*Lab Testing Availability*"),
COUNTIFS('QA Log'!D:D,A29,'QA Log'!M:M,"Data Verification",'QA Log'!Z:Z,"Approved",'QA Log'!L:L,"*Other than P4P (section 6)*"),
COUNTIFS('QA Log'!D:D,A29,'QA Log'!M:M,"Data Verification",'QA Log'!Z:Z,"Approved",'QA Log'!L:L,"*Hospital Governance*")
))</f>
        <v/>
      </c>
      <c r="AG29" s="105" t="str">
        <f>IF(A29&lt;&gt;"",COUNTIFS('QA Log'!D:D,A29,'QA Log'!M:M,"Data Verification",'QA Log'!L:L,"Medicine (section 2)",'QA Log'!Z:Z,"Approved"),"")</f>
        <v/>
      </c>
      <c r="AH29" s="105" t="str">
        <f>IF(A29&lt;&gt;"",COUNTIFS('QA Log'!D:D,A29,'QA Log'!M:M,"Data Verification",'QA Log'!L:L,"Lab Testing Availability",'QA Log'!Z:Z,"Approved"),"")</f>
        <v/>
      </c>
      <c r="AI29" s="105" t="str">
        <f>IF(A29&lt;&gt;"",COUNTIFS('QA Log'!D:D,A29,'QA Log'!M:M,"Data Verification",'QA Log'!L:L,"Other than P4P (section 6)",'QA Log'!Z:Z,"Approved"),"")</f>
        <v/>
      </c>
      <c r="AJ29" s="105" t="str">
        <f>IF(A29&lt;&gt;"",COUNTIFS('QA Log'!D:D,A29,'QA Log'!M:M,"Data Verification",'QA Log'!L:L,"Hospital Governance",'QA Log'!Z:Z,"Approved"),"")</f>
        <v/>
      </c>
      <c r="AK29" s="102" t="str">
        <f>IF(A29="","",
SUM(
COUNTIFS('QA Log'!D:D,A29,'QA Log'!M:M,"Data Verification",'QA Log'!Z:Z,"Rejected",'QA Log'!L:L,"*Medicine (section 2)*"),
COUNTIFS('QA Log'!D:D,A29,'QA Log'!M:M,"Data Verification",'QA Log'!Z:Z,"Rejected",'QA Log'!L:L,"*Lab Testing Availability*"),
COUNTIFS('QA Log'!D:D,A29,'QA Log'!M:M,"Data Verification",'QA Log'!Z:Z,"Rejected",'QA Log'!L:L,"*Other than P4P (section 6)*"),
COUNTIFS('QA Log'!D:D,A29,'QA Log'!M:M,"Data Verification",'QA Log'!Z:Z,"Rejected",'QA Log'!L:L,"*Hospital Governance*")
))</f>
        <v/>
      </c>
      <c r="AL29" s="106" t="str">
        <f t="shared" si="5"/>
        <v/>
      </c>
      <c r="AM29" s="102" t="str">
        <f t="shared" si="6"/>
        <v/>
      </c>
      <c r="AN29" s="102" t="str">
        <f>IF(A29="","",
SUM(
COUNTIFS('QA Log'!D:D,A29,'QA Log'!M:M,"Data Verification",'QA Log'!L:L,"*Personnel (section 1)*"),
COUNTIFS('QA Log'!D:D,A29,'QA Log'!M:M,"Data Verification",'QA Log'!L:L,"*Consumable (section 3)*"),
COUNTIFS('QA Log'!D:D,A29,'QA Log'!M:M,"Data Verification",'QA Log'!L:L,"*Equipments (section 4)*")
))</f>
        <v/>
      </c>
      <c r="AO29" s="102" t="str">
        <f>IF(A29="","",
SUM(
COUNTIFS('QA Log'!D:D,A29,'QA Log'!M:M,"Data Verification",'QA Log'!Z:Z,"Approved",'QA Log'!L:L,"*Personnel (section 1)*"),
COUNTIFS('QA Log'!D:D,A29,'QA Log'!M:M,"Data Verification",'QA Log'!Z:Z,"Approved",'QA Log'!L:L,"*Consumable (section 3)*"),
COUNTIFS('QA Log'!D:D,A29,'QA Log'!M:M,"Data Verification",'QA Log'!Z:Z,"Approved",'QA Log'!L:L,"*Equipments (section 4)*")
))</f>
        <v/>
      </c>
      <c r="AP29" s="105" t="str">
        <f>IF(A29&lt;&gt;"",COUNTIFS('QA Log'!D:D,A29,'QA Log'!M:M,"Data Verification",'QA Log'!L:L,"Personnel (section 1)",'QA Log'!Z:Z,"Approved"),"")</f>
        <v/>
      </c>
      <c r="AQ29" s="105" t="str">
        <f>IF(A29&lt;&gt;"",COUNTIFS('QA Log'!D:D,A29,'QA Log'!M:M,"Data Verification",'QA Log'!L:L,"Consumable (section 3)",'QA Log'!Z:Z,"Approved"),"")</f>
        <v/>
      </c>
      <c r="AR29" s="105" t="str">
        <f>IF(A29&lt;&gt;"",COUNTIFS('QA Log'!D:D,A29,'QA Log'!M:M,"Data Verification",'QA Log'!L:L,"Equipments (section 4)",'QA Log'!Z:Z,"Approved"),"")</f>
        <v/>
      </c>
      <c r="AS29" s="102" t="str">
        <f>IF(A29="","",
SUM(
COUNTIFS('QA Log'!D:D,A29,'QA Log'!M:M,"Data Verification",'QA Log'!Z:Z,"Rejected",'QA Log'!L:L,"*Personnel (section 1)*"),
COUNTIFS('QA Log'!D:D,A29,'QA Log'!M:M,"Data Verification",'QA Log'!Z:Z,"Rejected",'QA Log'!L:L,"*Consumable (section 3)*"),
COUNTIFS('QA Log'!D:D,A29,'QA Log'!M:M,"Data Verification",'QA Log'!Z:Z,"Rejected",'QA Log'!L:L,"*Equipments (section 4)*")
))</f>
        <v/>
      </c>
      <c r="AT29" s="102" t="str">
        <f t="shared" si="7"/>
        <v/>
      </c>
      <c r="AU29" s="103" t="str">
        <f t="shared" si="8"/>
        <v/>
      </c>
      <c r="AV29" s="102" t="str">
        <f>IF(A29="","",SUM(
COUNTIFS('QA Log'!D:D,A29,'QA Log'!M:M,"Vignette",'QA Log'!L:L,"*Vignette [1] Respiratory Infection: Pneumonia*"),
COUNTIFS('QA Log'!D:D,A29,'QA Log'!M:M,"Vignette",'QA Log'!L:L,"*Vignette [2]: Diarrhea with Cat B dehydration*"),
COUNTIFS('QA Log'!D:D,A29,'QA Log'!M:M,"Vignette",'QA Log'!L:L,"*Vignette [3] Growth Monitoring and Promotion*"),
COUNTIFS('QA Log'!D:D,A29,'QA Log'!M:M,"Vignette",'QA Log'!L:L,"*Vignette [4]: The management of presumptive TB patient*")
)
)</f>
        <v/>
      </c>
      <c r="AW29" s="102" t="str">
        <f>IF(
  A29="","",
  SUM(
    COUNTIFS('QA Log'!D:D,A29,'QA Log'!M:M,"Vignette",'QA Log'!Z:Z,"Approved",'QA Log'!L:L,"*Vignette [1] Respiratory Infection: Pneumonia*"),
    COUNTIFS('QA Log'!D:D,A29,'QA Log'!M:M,"Vignette",'QA Log'!Z:Z,"Approved",'QA Log'!L:L,"*Vignette [2]: Diarrhea with Cat B dehydration*"),
    COUNTIFS('QA Log'!D:D,A29,'QA Log'!M:M,"Vignette",'QA Log'!Z:Z,"Approved",'QA Log'!L:L,"*Vignette [3] Growth Monitoring and Promotion*"),
    COUNTIFS('QA Log'!D:D,A29,'QA Log'!M:M,"Vignette",'QA Log'!Z:Z,"Approved",'QA Log'!L:L,"*Vignette [4]: The management of presumptive TB patient*")
  )
)</f>
        <v/>
      </c>
      <c r="AX29" s="105" t="str">
        <f>IF(A29&lt;&gt;"",COUNTIFS('QA Log'!D:D,A29,'QA Log'!M:M,"Vignette",'QA Log'!L:L,"Vignette [1] Respiratory Infection: Pneumonia",'QA Log'!Z:Z,"Approved"),"")</f>
        <v/>
      </c>
      <c r="AY29" s="105" t="str">
        <f>IF(A29&lt;&gt;"",COUNTIFS('QA Log'!D:D,A29,'QA Log'!M:M,"Vignette",'QA Log'!L:L,"Vignette [2]: Diarrhea with Cat B dehydration",'QA Log'!Z:Z,"Approved"),"")</f>
        <v/>
      </c>
      <c r="AZ29" s="105" t="str">
        <f>IF(A29&lt;&gt;"",COUNTIFS('QA Log'!D:D,A29,'QA Log'!M:M,"Vignette",'QA Log'!L:L,"Vignette [3] Growth Monitoring and Promotion",'QA Log'!Z:Z,"Approved"),"")</f>
        <v/>
      </c>
      <c r="BA29" s="105" t="str">
        <f>IF(A29&lt;&gt;"",COUNTIFS('QA Log'!D:D,A29,'QA Log'!M:M,"Vignette",'QA Log'!L:L,"Vignette [4]: The management of presumptive TB patient",'QA Log'!Z:Z,"Approved"),"")</f>
        <v/>
      </c>
      <c r="BB29" s="102" t="str">
        <f>IF(A29="","",
  SUM(
    COUNTIFS('QA Log'!D:D,A29,'QA Log'!M:M,"Vignette",'QA Log'!Z:Z,"Rejected",'QA Log'!L:L,"*Vignette [1] Respiratory Infection: Pneumonia*"),
    COUNTIFS('QA Log'!D:D,A29,'QA Log'!M:M,"Vignette",'QA Log'!Z:Z,"Rejected",'QA Log'!L:L,"*Vignette [2]: Diarrhea with Cat B dehydration*"),
    COUNTIFS('QA Log'!D:D,A29,'QA Log'!M:M,"Vignette",'QA Log'!Z:Z,"Rejected",'QA Log'!L:L,"*Vignette [3] Growth Monitoring and Promotion*"),
    COUNTIFS('QA Log'!D:D,A29,'QA Log'!M:M,"Vignette",'QA Log'!Z:Z,"Rejected",'QA Log'!L:L,"*Vignette [4]: The management of presumptive TB patient*")
  )
)</f>
        <v/>
      </c>
      <c r="BC29" s="107" t="str">
        <f t="shared" si="9"/>
        <v/>
      </c>
      <c r="BD29" s="103" t="str">
        <f t="shared" si="10"/>
        <v/>
      </c>
      <c r="BE29" s="102" t="str">
        <f>IF(A29="","",SUM(
COUNTIFS('QA Log'!D:D,A29,'QA Log'!M:M,"Vignette",'QA Log'!L:L,"*Vignette [5] Labor*"),
COUNTIFS('QA Log'!D:D,A29,'QA Log'!M:M,"Vignette",'QA Log'!L:L,"*Vignette [6] PNC pre Discharge*"),
COUNTIFS('QA Log'!D:D,A29,'QA Log'!M:M,"Vignette",'QA Log'!L:L,"*Vignette [7] First ANC Visit*"),
COUNTIFS('QA Log'!D:D,A29,'QA Log'!M:M,"Vignette",'QA Log'!L:L,"*Vignette [8] Birth Spacing/ Family Planning :  FP Counselling*"),
COUNTIFS('QA Log'!D:D,A29,'QA Log'!M:M,"Vignette",'QA Log'!L:L,"*Vignette [9] Birth Spacing: Change FP method to Injectable*"),
COUNTIFS('QA Log'!D:D,A29,'QA Log'!M:M,"Vignette",'QA Log'!L:L,"*Vignette [10] Post Partum Haemorrhage - Atonic Uterus at Health Centre*"),
)
)</f>
        <v/>
      </c>
      <c r="BF29" s="102" t="str">
        <f>IF(A29="","",
  SUM(
    COUNTIFS('QA Log'!D:D,A29,'QA Log'!M:M,"Vignette",'QA Log'!Z:Z,"Approved",'QA Log'!L:L,"*Vignette [5] Labor*"),
    COUNTIFS('QA Log'!D:D,A29,'QA Log'!M:M,"Vignette",'QA Log'!Z:Z,"Approved",'QA Log'!L:L,"*Vignette [6] PNC pre Discharge*"),
    COUNTIFS('QA Log'!D:D,A29,'QA Log'!M:M,"Vignette",'QA Log'!Z:Z,"Approved",'QA Log'!L:L,"*Vignette [7] First ANC Visit*"),
    COUNTIFS('QA Log'!D:D,A29,'QA Log'!M:M,"Vignette",'QA Log'!Z:Z,"Approved",'QA Log'!L:L,"*Vignette [8] Birth Spacing/ Family Planning :  FP Counselling*"),
    COUNTIFS('QA Log'!D:D,A29,'QA Log'!M:M,"Vignette",'QA Log'!Z:Z,"Approved",'QA Log'!L:L,"*Vignette [9] Birth Spacing: Change FP method to Injectable*"),
    COUNTIFS('QA Log'!D:D,A29,'QA Log'!M:M,"Vignette",'QA Log'!Z:Z,"Approved",'QA Log'!L:L,"*Vignette [10] Post Partum Haemorrhage - Atonic Uterus at Health Centre*")
  )
)</f>
        <v/>
      </c>
      <c r="BG29" s="105" t="str">
        <f>IF(A29&lt;&gt;"",COUNTIFS('QA Log'!D:D,A29,'QA Log'!M:M,"Vignette",'QA Log'!L:L,"Vignette [5] Labor",'QA Log'!Z:Z,"Approved"),"")</f>
        <v/>
      </c>
      <c r="BH29" s="105" t="str">
        <f>IF(A29&lt;&gt;"",COUNTIFS('QA Log'!D:D,A29,'QA Log'!M:M,"Vignette",'QA Log'!L:L,"Vignette [6] PNC pre Discharge",'QA Log'!Z:Z,"Approved"),"")</f>
        <v/>
      </c>
      <c r="BI29" s="105" t="str">
        <f>IF(A29&lt;&gt;"",COUNTIFS('QA Log'!D:D,A29,'QA Log'!M:M,"Vignette",'QA Log'!L:L,"Vignette [7] First ANC Visit",'QA Log'!Z:Z,"Approved"),"")</f>
        <v/>
      </c>
      <c r="BJ29" s="105" t="str">
        <f>IF(A29&lt;&gt;"",COUNTIFS('QA Log'!D:D,A29,'QA Log'!M:M,"Vignette",'QA Log'!L:L,"Vignette [8] Birth Spacing/ Family Planning :  FP Counselling",'QA Log'!Z:Z,"Approved"),"")</f>
        <v/>
      </c>
      <c r="BK29" s="105" t="str">
        <f>IF(A29&lt;&gt;"",COUNTIFS('QA Log'!D:D,A29,'QA Log'!M:M,"Vignette",'QA Log'!L:L,"Vignette [9] Birth Spacing: Change FP method to Injectable",'QA Log'!Z:Z,"Approved"),"")</f>
        <v/>
      </c>
      <c r="BL29" s="105" t="str">
        <f>IF(A29&lt;&gt;"",COUNTIFS('QA Log'!D:D,A29,'QA Log'!M:M,"Vignette",'QA Log'!L:L,"Vignette [10] Post Partum Haemorrhage - Atonic Uterus at Health Centre",'QA Log'!Z:Z,"Approved"),"")</f>
        <v/>
      </c>
      <c r="BM29" s="102" t="str">
        <f>IF(A29="","",SUM(
    COUNTIFS('QA Log'!D:D,A29,'QA Log'!M:M,"Vignette",'QA Log'!Z:Z,"Rejected",'QA Log'!L:L,"*Vignette [5] Labor*"),
    COUNTIFS('QA Log'!D:D,A29,'QA Log'!M:M,"Vignette",'QA Log'!Z:Z,"Rejected",'QA Log'!L:L,"*Vignette [6] PNC pre Discharge*"),
    COUNTIFS('QA Log'!D:D,A29,'QA Log'!M:M,"Vignette",'QA Log'!Z:Z,"Rejected",'QA Log'!L:L,"*Vignette [7] First ANC Visit*"),
    COUNTIFS('QA Log'!D:D,A29,'QA Log'!M:M,"Vignette",'QA Log'!Z:Z,"Rejected",'QA Log'!L:L,"*Vignette [8] Birth Spacing/ Family Planning :  FP Counselling*"),
    COUNTIFS('QA Log'!D:D,A29,'QA Log'!M:M,"Vignette",'QA Log'!Z:Z,"Rejected",'QA Log'!L:L,"*Vignette [9] Birth Spacing: Change FP method to Injectable*"),
    COUNTIFS('QA Log'!D:D,A29,'QA Log'!M:M,"Vignette",'QA Log'!Z:Z,"Rejected",'QA Log'!L:L,"*Vignette [10] Post Partum Haemorrhage - Atonic Uterus at Health Centre*")
  )
)</f>
        <v/>
      </c>
      <c r="BN29" s="107" t="str">
        <f t="shared" si="11"/>
        <v/>
      </c>
      <c r="BO29" s="103" t="str">
        <f t="shared" si="12"/>
        <v/>
      </c>
      <c r="BP29" s="102" t="str">
        <f>IF(A29="","",SUM(
COUNTIFS('QA Log'!D:D,A29,'QA Log'!M:M,"Vignette",'QA Log'!L:L,"*Exit Interview 1*"),
COUNTIFS('QA Log'!D:D,A29,'QA Log'!M:M,"Vignette",'QA Log'!L:L,"*Exit Interview 2*"),
)
)</f>
        <v/>
      </c>
      <c r="BQ29" s="102" t="str">
        <f>IF(
  A29="","",
  SUM(
    COUNTIFS('QA Log'!D:D,A29,'QA Log'!M:M,"Vignette",'QA Log'!Z:Z,"Approved",'QA Log'!L:L,"*Exit Interview 1*"),
    COUNTIFS('QA Log'!D:D,A29,'QA Log'!M:M,"Vignette",'QA Log'!Z:Z,"Approved",'QA Log'!L:L,"*Exit Interview 2*")
  )
)</f>
        <v/>
      </c>
      <c r="BR29" s="105" t="str">
        <f>IF(A29&lt;&gt;"",COUNTIFS('QA Log'!D:D,A29,'QA Log'!M:M,"Vignette",'QA Log'!L:L,"Exit Interview 1",'QA Log'!Z:Z,"Approved"),"")</f>
        <v/>
      </c>
      <c r="BS29" s="105" t="str">
        <f>IF(A29&lt;&gt;"",COUNTIFS('QA Log'!D:D,A29,'QA Log'!M:M,"Vignette",'QA Log'!L:L,"Exit Interview 2",'QA Log'!Z:Z,"Approved"),"")</f>
        <v/>
      </c>
      <c r="BT29" s="102" t="str">
        <f>IF(
  A29="","",
  SUM(
    COUNTIFS('QA Log'!D:D,A29,'QA Log'!M:M,"Vignette",'QA Log'!Z:Z,"Rejected",'QA Log'!L:L,"*Exit Interview 1*"),
    COUNTIFS('QA Log'!D:D,A29,'QA Log'!M:M,"Vignette",'QA Log'!Z:Z,"Rejected",'QA Log'!L:L,"*Exit Interview 2*")
  )
)</f>
        <v/>
      </c>
      <c r="BU29" s="107" t="str">
        <f t="shared" si="13"/>
        <v/>
      </c>
      <c r="BV29" s="102" t="str">
        <f t="shared" si="14"/>
        <v/>
      </c>
      <c r="BW29" s="102" t="str">
        <f t="shared" si="15"/>
        <v/>
      </c>
      <c r="BX29" s="102" t="str">
        <f t="shared" si="16"/>
        <v/>
      </c>
      <c r="BY29" s="102" t="str">
        <f t="shared" si="17"/>
        <v/>
      </c>
      <c r="BZ29" s="107" t="str">
        <f t="shared" si="18"/>
        <v/>
      </c>
      <c r="CA29" s="108" t="str">
        <f t="shared" si="19"/>
        <v/>
      </c>
      <c r="CB29" s="108" t="str">
        <f t="shared" si="20"/>
        <v/>
      </c>
      <c r="CC29" s="109" t="str">
        <f t="shared" si="21"/>
        <v/>
      </c>
      <c r="CD29" s="108" t="str">
        <f t="shared" si="22"/>
        <v/>
      </c>
      <c r="CE29" s="108" t="str">
        <f t="shared" si="23"/>
        <v/>
      </c>
      <c r="CF29" s="109" t="str">
        <f t="shared" si="24"/>
        <v/>
      </c>
      <c r="CG29" s="110" t="str">
        <f t="shared" si="25"/>
        <v/>
      </c>
      <c r="CH29" s="111"/>
    </row>
    <row r="30" spans="1:86" ht="12.75">
      <c r="A30" s="101"/>
      <c r="B30" s="102" t="e">
        <f t="array" aca="1" ref="B30" ca="1">_xludf.XLOOKUP(A30,'QA Log'!D:D,'QA Log'!E:E,"")</f>
        <v>#NAME?</v>
      </c>
      <c r="C30" s="102" t="e">
        <f t="array" aca="1" ref="C30" ca="1">_xludf.XLOOKUP(A30,'QA Log'!D:D,'QA Log'!F:F,"")</f>
        <v>#NAME?</v>
      </c>
      <c r="D30" s="102" t="e">
        <f t="array" aca="1" ref="D30" ca="1">_xludf.XLOOKUP(A30,'QA Log'!D:D,'QA Log'!H:H,"")</f>
        <v>#NAME?</v>
      </c>
      <c r="E30" s="102" t="e">
        <f t="array" aca="1" ref="E30" ca="1">_xludf.XLOOKUP(A30,'QA Log'!D:D,'QA Log'!G:G,"")</f>
        <v>#NAME?</v>
      </c>
      <c r="F30" s="103"/>
      <c r="G30" s="104"/>
      <c r="H30" s="104"/>
      <c r="I30" s="103" t="str">
        <f t="shared" si="0"/>
        <v/>
      </c>
      <c r="J30" s="102" t="str">
        <f>IF(A30="","",SUM(
COUNTIFS('QA Log'!D:D,A30,'QA Log'!M:M,"QQC",'QA Log'!L:L,"*1. General Management*"),
COUNTIFS('QA Log'!D:D,A30,'QA Log'!M:M,"QQC",'QA Log'!L:L,"*3. Curative Consultation (OPD)*"),
COUNTIFS('QA Log'!D:D,A30,'QA Log'!M:M,"QQC",'QA Log'!L:L,"*5. Laboratory*"),
COUNTIFS('QA Log'!D:D,A30,'QA Log'!M:M,"QQC",'QA Log'!L:L,"*6. Essential Medicine Management*"),
COUNTIFS('QA Log'!D:D,A30,'QA Log'!M:M,"QQC",'QA Log'!L:L,"*7. Tracer Medicine*"),
COUNTIFS('QA Log'!D:D,A30,'QA Log'!M:M,"QQC",'QA Log'!L:L,"*11. Additional Questions*")))</f>
        <v/>
      </c>
      <c r="K30" s="102" t="str">
        <f>IF(A30="","",SUM(
COUNTIFS('QA Log'!D:D,A30,'QA Log'!M:M,"QQC",'QA Log'!Z:Z,"Approved",'QA Log'!L:L,"*1. General Management*"),
COUNTIFS('QA Log'!D:D,A30,'QA Log'!M:M,"QQC",'QA Log'!Z:Z,"Approved",'QA Log'!L:L,"*3. Curative Consultation (OPD)*"),
COUNTIFS('QA Log'!D:D,A30,'QA Log'!M:M,"QQC",'QA Log'!Z:Z,"Approved",'QA Log'!L:L,"*5. Laboratory*"),
COUNTIFS('QA Log'!D:D,A30,'QA Log'!M:M,"QQC",'QA Log'!Z:Z,"Approved",'QA Log'!L:L,"*6. Essential Medicine Management*"),
COUNTIFS('QA Log'!D:D,A30,'QA Log'!M:M,"QQC",'QA Log'!Z:Z,"Approved",'QA Log'!L:L,"*7. Tracer Medicine*"),
COUNTIFS('QA Log'!D:D,A30,'QA Log'!M:M,"QQC",'QA Log'!Z:Z,"Approved",'QA Log'!L:L,"*11. Additional Questions*")))</f>
        <v/>
      </c>
      <c r="L30" s="105" t="str">
        <f>IF(A30&lt;&gt;"",COUNTIFS('QA Log'!D:D,A30,'QA Log'!M:M,"QQC",'QA Log'!L:L,"1. General Management",'QA Log'!Z:Z,"Approved"),"")</f>
        <v/>
      </c>
      <c r="M30" s="105" t="str">
        <f>IF(A30&lt;&gt;"",COUNTIFS('QA Log'!D:D,A30,'QA Log'!M:M,"QQC",'QA Log'!L:L,"3. Curative Consultation (OPD)",'QA Log'!Z:Z,"Approved"),"")</f>
        <v/>
      </c>
      <c r="N30" s="105" t="str">
        <f>IF(A30&lt;&gt;"",COUNTIFS('QA Log'!D:D,A30,'QA Log'!M:M,"QQC",'QA Log'!L:L,"5. Laboratory",'QA Log'!Z:Z,"Approved"),"")</f>
        <v/>
      </c>
      <c r="O30" s="105" t="str">
        <f>IF(A30&lt;&gt;"",COUNTIFS('QA Log'!D:D,A30,'QA Log'!M:M,"QQC",'QA Log'!L:L,"6. Essential Medicine Management",'QA Log'!Z:Z,"Approved"),"")</f>
        <v/>
      </c>
      <c r="P30" s="105" t="str">
        <f>IF(A30&lt;&gt;"",COUNTIFS('QA Log'!D:D,A30,'QA Log'!M:M,"QQC",'QA Log'!L:L,"7. Tracer Medicine",'QA Log'!Z:Z,"Approved"),"")</f>
        <v/>
      </c>
      <c r="Q30" s="105" t="str">
        <f>IF(A30&lt;&gt;"",COUNTIFS('QA Log'!D:D,A30,'QA Log'!M:M,"QQC",'QA Log'!L:L,"11. Additional Questions",'QA Log'!Z:Z,"Approved"),"")</f>
        <v/>
      </c>
      <c r="R30" s="102" t="str">
        <f>IF(A30="","",SUM(
COUNTIFS('QA Log'!D:D,A30,'QA Log'!M:M,"QQC",'QA Log'!Z:Z,"Rejected",'QA Log'!L:L,"*8. Maternity*"),
COUNTIFS('QA Log'!D:D,A30,'QA Log'!M:M,"QQC",'QA Log'!Z:Z,"Rejected",'QA Log'!L:L,"*EPI*"),
COUNTIFS('QA Log'!D:D,A30,'QA Log'!M:M,"QQC",'QA Log'!Z:Z,"Rejected",'QA Log'!L:L,"*10. Antenatal Care (ANC)*"),
COUNTIFS('QA Log'!D:D,A30,'QA Log'!M:M,"QQC",'QA Log'!Z:Z,"Rejected",'QA Log'!L:L,"*2. Hygiene and Sterilization*"),
COUNTIFS('QA Log'!D:D,A30,'QA Log'!M:M,"QQC",'QA Log'!Z:Z,"Rejected",'QA Log'!L:L,"*Family Planning*")))</f>
        <v/>
      </c>
      <c r="S30" s="106" t="str">
        <f t="shared" si="1"/>
        <v/>
      </c>
      <c r="T30" s="102" t="str">
        <f t="shared" si="2"/>
        <v/>
      </c>
      <c r="U30" s="102" t="str">
        <f>IF(A30="","",
SUM(
COUNTIFS('QA Log'!D:D,A30,'QA Log'!M:M,"QQC",'QA Log'!L:L,"*8. Maternity*"),
COUNTIFS('QA Log'!D:D,A30,'QA Log'!M:M,"QQC",'QA Log'!L:L,"*9. EPI and Pre-school Consultation*"),
COUNTIFS('QA Log'!D:D,A30,'QA Log'!M:M,"QQC",'QA Log'!L:L,"*10. Antenatal Care (ANC)*"),
COUNTIFS('QA Log'!D:D,A30,'QA Log'!M:M,"QQC",'QA Log'!L:L,"*2. Hygiene and Sterilization*"),
COUNTIFS('QA Log'!D:D,A30,'QA Log'!M:M,"QQC",'QA Log'!L:L,"*4. Family Planning*")
))</f>
        <v/>
      </c>
      <c r="V30" s="102" t="str">
        <f>IF(A30="","",
SUM(
COUNTIFS('QA Log'!D:D,A30,'QA Log'!M:M,"QQC",'QA Log'!Z:Z,"Approved",'QA Log'!L:L,"*8. Maternity*"),
COUNTIFS('QA Log'!D:D,A30,'QA Log'!M:M,"QQC",'QA Log'!Z:Z,"Approved",'QA Log'!L:L,"*9. EPI and Pre-school Consultation*"),
COUNTIFS('QA Log'!D:D,A30,'QA Log'!M:M,"QQC",'QA Log'!Z:Z,"Approved",'QA Log'!L:L,"*10. Antenatal Care (ANC)*"),
COUNTIFS('QA Log'!D:D,A30,'QA Log'!M:M,"QQC",'QA Log'!Z:Z,"Approved",'QA Log'!L:L,"*2. Hygiene and Sterilization*"),
COUNTIFS('QA Log'!D:D,A30,'QA Log'!M:M,"QQC",'QA Log'!Z:Z,"Approved",'QA Log'!L:L,"*4. Family Planning*")
))</f>
        <v/>
      </c>
      <c r="W30" s="105" t="str">
        <f>IF(A30&lt;&gt;"",COUNTIFS('QA Log'!D:D,A30,'QA Log'!M:M,"QQC",'QA Log'!L:L,"8. Maternity",'QA Log'!Z:Z,"Approved"),"")</f>
        <v/>
      </c>
      <c r="X30" s="105" t="str">
        <f>IF(A30&lt;&gt;"",COUNTIFS('QA Log'!D:D,A30,'QA Log'!M:M,"QQC",'QA Log'!L:L,"9. EPI and Pre-school Consultation",'QA Log'!Z:Z,"Approved"),"")</f>
        <v/>
      </c>
      <c r="Y30" s="105" t="str">
        <f>IF(A30&lt;&gt;"",COUNTIFS('QA Log'!D:D,A30,'QA Log'!M:M,"QQC",'QA Log'!L:L,"10. Antenatal Care (ANC)",'QA Log'!Z:Z,"Approved"),"")</f>
        <v/>
      </c>
      <c r="Z30" s="105" t="str">
        <f>IF(A30&lt;&gt;"",COUNTIFS('QA Log'!D:D,A30,'QA Log'!M:M,"QQC",'QA Log'!L:L,"2. Hygiene and Sterilization",'QA Log'!Z:Z,"Approved"),"")</f>
        <v/>
      </c>
      <c r="AA30" s="105" t="str">
        <f>IF(A30&lt;&gt;"",COUNTIFS('QA Log'!D:D,A30,'QA Log'!M:M,"QQC",'QA Log'!L:L,"4. Family Planning",'QA Log'!Z:Z,"Approved"),"")</f>
        <v/>
      </c>
      <c r="AB30" s="102" t="str">
        <f>IF(A30="","",
SUM(
COUNTIFS('QA Log'!D:D,A30,'QA Log'!M:M,"QQC",'QA Log'!Z:Z,"Rejected",'QA Log'!L:L,"*8. Maternity*"),
COUNTIFS('QA Log'!D:D,A30,'QA Log'!M:M,"QQC",'QA Log'!Z:Z,"Rejected",'QA Log'!L:L,"*9. EPI and Pre-school Consultation*"),
COUNTIFS('QA Log'!D:D,A30,'QA Log'!M:M,"QQC",'QA Log'!Z:Z,"Rejected",'QA Log'!L:L,"*10. Antenatal Care (ANC)*"),
COUNTIFS('QA Log'!D:D,A30,'QA Log'!M:M,"QQC",'QA Log'!Z:Z,"Rejected",'QA Log'!L:L,"*2. Hygiene and Sterilization*"),
COUNTIFS('QA Log'!D:D,A30,'QA Log'!M:M,"QQC",'QA Log'!Z:Z,"Rejected",'QA Log'!L:L,"*4. Family Planning*")
))</f>
        <v/>
      </c>
      <c r="AC30" s="102" t="str">
        <f t="shared" si="3"/>
        <v/>
      </c>
      <c r="AD30" s="103" t="str">
        <f t="shared" si="4"/>
        <v/>
      </c>
      <c r="AE30" s="102" t="str">
        <f>IF(A30="","",
SUM(
COUNTIFS('QA Log'!D:D,A30,'QA Log'!M:M,"Data Verification",'QA Log'!L:L,"*Medicine (section 2)*"),
COUNTIFS('QA Log'!D:D,A30,'QA Log'!M:M,"Data Verification",'QA Log'!L:L,"*Lab Testing Availability*"),
COUNTIFS('QA Log'!D:D,A30,'QA Log'!M:M,"Data Verification",'QA Log'!L:L,"*Other than P4P (section 6)*"),
COUNTIFS('QA Log'!D:D,A30,'QA Log'!M:M,"Data Verification",'QA Log'!L:L,"*Hospital Governance*")
))</f>
        <v/>
      </c>
      <c r="AF30" s="102" t="str">
        <f>IF(A30="","",
SUM(
COUNTIFS('QA Log'!D:D,A30,'QA Log'!M:M,"Data Verification",'QA Log'!Z:Z,"Approved",'QA Log'!L:L,"*Medicine (section 2)*"),
COUNTIFS('QA Log'!D:D,A30,'QA Log'!M:M,"Data Verification",'QA Log'!Z:Z,"Approved",'QA Log'!L:L,"*Lab Testing Availability*"),
COUNTIFS('QA Log'!D:D,A30,'QA Log'!M:M,"Data Verification",'QA Log'!Z:Z,"Approved",'QA Log'!L:L,"*Other than P4P (section 6)*"),
COUNTIFS('QA Log'!D:D,A30,'QA Log'!M:M,"Data Verification",'QA Log'!Z:Z,"Approved",'QA Log'!L:L,"*Hospital Governance*")
))</f>
        <v/>
      </c>
      <c r="AG30" s="105" t="str">
        <f>IF(A30&lt;&gt;"",COUNTIFS('QA Log'!D:D,A30,'QA Log'!M:M,"Data Verification",'QA Log'!L:L,"Medicine (section 2)",'QA Log'!Z:Z,"Approved"),"")</f>
        <v/>
      </c>
      <c r="AH30" s="105" t="str">
        <f>IF(A30&lt;&gt;"",COUNTIFS('QA Log'!D:D,A30,'QA Log'!M:M,"Data Verification",'QA Log'!L:L,"Lab Testing Availability",'QA Log'!Z:Z,"Approved"),"")</f>
        <v/>
      </c>
      <c r="AI30" s="105" t="str">
        <f>IF(A30&lt;&gt;"",COUNTIFS('QA Log'!D:D,A30,'QA Log'!M:M,"Data Verification",'QA Log'!L:L,"Other than P4P (section 6)",'QA Log'!Z:Z,"Approved"),"")</f>
        <v/>
      </c>
      <c r="AJ30" s="105" t="str">
        <f>IF(A30&lt;&gt;"",COUNTIFS('QA Log'!D:D,A30,'QA Log'!M:M,"Data Verification",'QA Log'!L:L,"Hospital Governance",'QA Log'!Z:Z,"Approved"),"")</f>
        <v/>
      </c>
      <c r="AK30" s="102" t="str">
        <f>IF(A30="","",
SUM(
COUNTIFS('QA Log'!D:D,A30,'QA Log'!M:M,"Data Verification",'QA Log'!Z:Z,"Rejected",'QA Log'!L:L,"*Medicine (section 2)*"),
COUNTIFS('QA Log'!D:D,A30,'QA Log'!M:M,"Data Verification",'QA Log'!Z:Z,"Rejected",'QA Log'!L:L,"*Lab Testing Availability*"),
COUNTIFS('QA Log'!D:D,A30,'QA Log'!M:M,"Data Verification",'QA Log'!Z:Z,"Rejected",'QA Log'!L:L,"*Other than P4P (section 6)*"),
COUNTIFS('QA Log'!D:D,A30,'QA Log'!M:M,"Data Verification",'QA Log'!Z:Z,"Rejected",'QA Log'!L:L,"*Hospital Governance*")
))</f>
        <v/>
      </c>
      <c r="AL30" s="106" t="str">
        <f t="shared" si="5"/>
        <v/>
      </c>
      <c r="AM30" s="102" t="str">
        <f t="shared" si="6"/>
        <v/>
      </c>
      <c r="AN30" s="102" t="str">
        <f>IF(A30="","",
SUM(
COUNTIFS('QA Log'!D:D,A30,'QA Log'!M:M,"Data Verification",'QA Log'!L:L,"*Personnel (section 1)*"),
COUNTIFS('QA Log'!D:D,A30,'QA Log'!M:M,"Data Verification",'QA Log'!L:L,"*Consumable (section 3)*"),
COUNTIFS('QA Log'!D:D,A30,'QA Log'!M:M,"Data Verification",'QA Log'!L:L,"*Equipments (section 4)*")
))</f>
        <v/>
      </c>
      <c r="AO30" s="102" t="str">
        <f>IF(A30="","",
SUM(
COUNTIFS('QA Log'!D:D,A30,'QA Log'!M:M,"Data Verification",'QA Log'!Z:Z,"Approved",'QA Log'!L:L,"*Personnel (section 1)*"),
COUNTIFS('QA Log'!D:D,A30,'QA Log'!M:M,"Data Verification",'QA Log'!Z:Z,"Approved",'QA Log'!L:L,"*Consumable (section 3)*"),
COUNTIFS('QA Log'!D:D,A30,'QA Log'!M:M,"Data Verification",'QA Log'!Z:Z,"Approved",'QA Log'!L:L,"*Equipments (section 4)*")
))</f>
        <v/>
      </c>
      <c r="AP30" s="105" t="str">
        <f>IF(A30&lt;&gt;"",COUNTIFS('QA Log'!D:D,A30,'QA Log'!M:M,"Data Verification",'QA Log'!L:L,"Personnel (section 1)",'QA Log'!Z:Z,"Approved"),"")</f>
        <v/>
      </c>
      <c r="AQ30" s="105" t="str">
        <f>IF(A30&lt;&gt;"",COUNTIFS('QA Log'!D:D,A30,'QA Log'!M:M,"Data Verification",'QA Log'!L:L,"Consumable (section 3)",'QA Log'!Z:Z,"Approved"),"")</f>
        <v/>
      </c>
      <c r="AR30" s="105" t="str">
        <f>IF(A30&lt;&gt;"",COUNTIFS('QA Log'!D:D,A30,'QA Log'!M:M,"Data Verification",'QA Log'!L:L,"Equipments (section 4)",'QA Log'!Z:Z,"Approved"),"")</f>
        <v/>
      </c>
      <c r="AS30" s="102" t="str">
        <f>IF(A30="","",
SUM(
COUNTIFS('QA Log'!D:D,A30,'QA Log'!M:M,"Data Verification",'QA Log'!Z:Z,"Rejected",'QA Log'!L:L,"*Personnel (section 1)*"),
COUNTIFS('QA Log'!D:D,A30,'QA Log'!M:M,"Data Verification",'QA Log'!Z:Z,"Rejected",'QA Log'!L:L,"*Consumable (section 3)*"),
COUNTIFS('QA Log'!D:D,A30,'QA Log'!M:M,"Data Verification",'QA Log'!Z:Z,"Rejected",'QA Log'!L:L,"*Equipments (section 4)*")
))</f>
        <v/>
      </c>
      <c r="AT30" s="102" t="str">
        <f t="shared" si="7"/>
        <v/>
      </c>
      <c r="AU30" s="103" t="str">
        <f t="shared" si="8"/>
        <v/>
      </c>
      <c r="AV30" s="102" t="str">
        <f>IF(A30="","",SUM(
COUNTIFS('QA Log'!D:D,A30,'QA Log'!M:M,"Vignette",'QA Log'!L:L,"*Vignette [1] Respiratory Infection: Pneumonia*"),
COUNTIFS('QA Log'!D:D,A30,'QA Log'!M:M,"Vignette",'QA Log'!L:L,"*Vignette [2]: Diarrhea with Cat B dehydration*"),
COUNTIFS('QA Log'!D:D,A30,'QA Log'!M:M,"Vignette",'QA Log'!L:L,"*Vignette [3] Growth Monitoring and Promotion*"),
COUNTIFS('QA Log'!D:D,A30,'QA Log'!M:M,"Vignette",'QA Log'!L:L,"*Vignette [4]: The management of presumptive TB patient*")
)
)</f>
        <v/>
      </c>
      <c r="AW30" s="102" t="str">
        <f>IF(
  A30="","",
  SUM(
    COUNTIFS('QA Log'!D:D,A30,'QA Log'!M:M,"Vignette",'QA Log'!Z:Z,"Approved",'QA Log'!L:L,"*Vignette [1] Respiratory Infection: Pneumonia*"),
    COUNTIFS('QA Log'!D:D,A30,'QA Log'!M:M,"Vignette",'QA Log'!Z:Z,"Approved",'QA Log'!L:L,"*Vignette [2]: Diarrhea with Cat B dehydration*"),
    COUNTIFS('QA Log'!D:D,A30,'QA Log'!M:M,"Vignette",'QA Log'!Z:Z,"Approved",'QA Log'!L:L,"*Vignette [3] Growth Monitoring and Promotion*"),
    COUNTIFS('QA Log'!D:D,A30,'QA Log'!M:M,"Vignette",'QA Log'!Z:Z,"Approved",'QA Log'!L:L,"*Vignette [4]: The management of presumptive TB patient*")
  )
)</f>
        <v/>
      </c>
      <c r="AX30" s="105" t="str">
        <f>IF(A30&lt;&gt;"",COUNTIFS('QA Log'!D:D,A30,'QA Log'!M:M,"Vignette",'QA Log'!L:L,"Vignette [1] Respiratory Infection: Pneumonia",'QA Log'!Z:Z,"Approved"),"")</f>
        <v/>
      </c>
      <c r="AY30" s="105" t="str">
        <f>IF(A30&lt;&gt;"",COUNTIFS('QA Log'!D:D,A30,'QA Log'!M:M,"Vignette",'QA Log'!L:L,"Vignette [2]: Diarrhea with Cat B dehydration",'QA Log'!Z:Z,"Approved"),"")</f>
        <v/>
      </c>
      <c r="AZ30" s="105" t="str">
        <f>IF(A30&lt;&gt;"",COUNTIFS('QA Log'!D:D,A30,'QA Log'!M:M,"Vignette",'QA Log'!L:L,"Vignette [3] Growth Monitoring and Promotion",'QA Log'!Z:Z,"Approved"),"")</f>
        <v/>
      </c>
      <c r="BA30" s="105" t="str">
        <f>IF(A30&lt;&gt;"",COUNTIFS('QA Log'!D:D,A30,'QA Log'!M:M,"Vignette",'QA Log'!L:L,"Vignette [4]: The management of presumptive TB patient",'QA Log'!Z:Z,"Approved"),"")</f>
        <v/>
      </c>
      <c r="BB30" s="102" t="str">
        <f>IF(A30="","",
  SUM(
    COUNTIFS('QA Log'!D:D,A30,'QA Log'!M:M,"Vignette",'QA Log'!Z:Z,"Rejected",'QA Log'!L:L,"*Vignette [1] Respiratory Infection: Pneumonia*"),
    COUNTIFS('QA Log'!D:D,A30,'QA Log'!M:M,"Vignette",'QA Log'!Z:Z,"Rejected",'QA Log'!L:L,"*Vignette [2]: Diarrhea with Cat B dehydration*"),
    COUNTIFS('QA Log'!D:D,A30,'QA Log'!M:M,"Vignette",'QA Log'!Z:Z,"Rejected",'QA Log'!L:L,"*Vignette [3] Growth Monitoring and Promotion*"),
    COUNTIFS('QA Log'!D:D,A30,'QA Log'!M:M,"Vignette",'QA Log'!Z:Z,"Rejected",'QA Log'!L:L,"*Vignette [4]: The management of presumptive TB patient*")
  )
)</f>
        <v/>
      </c>
      <c r="BC30" s="107" t="str">
        <f t="shared" si="9"/>
        <v/>
      </c>
      <c r="BD30" s="103" t="str">
        <f t="shared" si="10"/>
        <v/>
      </c>
      <c r="BE30" s="102" t="str">
        <f>IF(A30="","",SUM(
COUNTIFS('QA Log'!D:D,A30,'QA Log'!M:M,"Vignette",'QA Log'!L:L,"*Vignette [5] Labor*"),
COUNTIFS('QA Log'!D:D,A30,'QA Log'!M:M,"Vignette",'QA Log'!L:L,"*Vignette [6] PNC pre Discharge*"),
COUNTIFS('QA Log'!D:D,A30,'QA Log'!M:M,"Vignette",'QA Log'!L:L,"*Vignette [7] First ANC Visit*"),
COUNTIFS('QA Log'!D:D,A30,'QA Log'!M:M,"Vignette",'QA Log'!L:L,"*Vignette [8] Birth Spacing/ Family Planning :  FP Counselling*"),
COUNTIFS('QA Log'!D:D,A30,'QA Log'!M:M,"Vignette",'QA Log'!L:L,"*Vignette [9] Birth Spacing: Change FP method to Injectable*"),
COUNTIFS('QA Log'!D:D,A30,'QA Log'!M:M,"Vignette",'QA Log'!L:L,"*Vignette [10] Post Partum Haemorrhage - Atonic Uterus at Health Centre*"),
)
)</f>
        <v/>
      </c>
      <c r="BF30" s="102" t="str">
        <f>IF(A30="","",
  SUM(
    COUNTIFS('QA Log'!D:D,A30,'QA Log'!M:M,"Vignette",'QA Log'!Z:Z,"Approved",'QA Log'!L:L,"*Vignette [5] Labor*"),
    COUNTIFS('QA Log'!D:D,A30,'QA Log'!M:M,"Vignette",'QA Log'!Z:Z,"Approved",'QA Log'!L:L,"*Vignette [6] PNC pre Discharge*"),
    COUNTIFS('QA Log'!D:D,A30,'QA Log'!M:M,"Vignette",'QA Log'!Z:Z,"Approved",'QA Log'!L:L,"*Vignette [7] First ANC Visit*"),
    COUNTIFS('QA Log'!D:D,A30,'QA Log'!M:M,"Vignette",'QA Log'!Z:Z,"Approved",'QA Log'!L:L,"*Vignette [8] Birth Spacing/ Family Planning :  FP Counselling*"),
    COUNTIFS('QA Log'!D:D,A30,'QA Log'!M:M,"Vignette",'QA Log'!Z:Z,"Approved",'QA Log'!L:L,"*Vignette [9] Birth Spacing: Change FP method to Injectable*"),
    COUNTIFS('QA Log'!D:D,A30,'QA Log'!M:M,"Vignette",'QA Log'!Z:Z,"Approved",'QA Log'!L:L,"*Vignette [10] Post Partum Haemorrhage - Atonic Uterus at Health Centre*")
  )
)</f>
        <v/>
      </c>
      <c r="BG30" s="105" t="str">
        <f>IF(A30&lt;&gt;"",COUNTIFS('QA Log'!D:D,A30,'QA Log'!M:M,"Vignette",'QA Log'!L:L,"Vignette [5] Labor",'QA Log'!Z:Z,"Approved"),"")</f>
        <v/>
      </c>
      <c r="BH30" s="105" t="str">
        <f>IF(A30&lt;&gt;"",COUNTIFS('QA Log'!D:D,A30,'QA Log'!M:M,"Vignette",'QA Log'!L:L,"Vignette [6] PNC pre Discharge",'QA Log'!Z:Z,"Approved"),"")</f>
        <v/>
      </c>
      <c r="BI30" s="105" t="str">
        <f>IF(A30&lt;&gt;"",COUNTIFS('QA Log'!D:D,A30,'QA Log'!M:M,"Vignette",'QA Log'!L:L,"Vignette [7] First ANC Visit",'QA Log'!Z:Z,"Approved"),"")</f>
        <v/>
      </c>
      <c r="BJ30" s="105" t="str">
        <f>IF(A30&lt;&gt;"",COUNTIFS('QA Log'!D:D,A30,'QA Log'!M:M,"Vignette",'QA Log'!L:L,"Vignette [8] Birth Spacing/ Family Planning :  FP Counselling",'QA Log'!Z:Z,"Approved"),"")</f>
        <v/>
      </c>
      <c r="BK30" s="105" t="str">
        <f>IF(A30&lt;&gt;"",COUNTIFS('QA Log'!D:D,A30,'QA Log'!M:M,"Vignette",'QA Log'!L:L,"Vignette [9] Birth Spacing: Change FP method to Injectable",'QA Log'!Z:Z,"Approved"),"")</f>
        <v/>
      </c>
      <c r="BL30" s="105" t="str">
        <f>IF(A30&lt;&gt;"",COUNTIFS('QA Log'!D:D,A30,'QA Log'!M:M,"Vignette",'QA Log'!L:L,"Vignette [10] Post Partum Haemorrhage - Atonic Uterus at Health Centre",'QA Log'!Z:Z,"Approved"),"")</f>
        <v/>
      </c>
      <c r="BM30" s="102" t="str">
        <f>IF(A30="","",SUM(
    COUNTIFS('QA Log'!D:D,A30,'QA Log'!M:M,"Vignette",'QA Log'!Z:Z,"Rejected",'QA Log'!L:L,"*Vignette [5] Labor*"),
    COUNTIFS('QA Log'!D:D,A30,'QA Log'!M:M,"Vignette",'QA Log'!Z:Z,"Rejected",'QA Log'!L:L,"*Vignette [6] PNC pre Discharge*"),
    COUNTIFS('QA Log'!D:D,A30,'QA Log'!M:M,"Vignette",'QA Log'!Z:Z,"Rejected",'QA Log'!L:L,"*Vignette [7] First ANC Visit*"),
    COUNTIFS('QA Log'!D:D,A30,'QA Log'!M:M,"Vignette",'QA Log'!Z:Z,"Rejected",'QA Log'!L:L,"*Vignette [8] Birth Spacing/ Family Planning :  FP Counselling*"),
    COUNTIFS('QA Log'!D:D,A30,'QA Log'!M:M,"Vignette",'QA Log'!Z:Z,"Rejected",'QA Log'!L:L,"*Vignette [9] Birth Spacing: Change FP method to Injectable*"),
    COUNTIFS('QA Log'!D:D,A30,'QA Log'!M:M,"Vignette",'QA Log'!Z:Z,"Rejected",'QA Log'!L:L,"*Vignette [10] Post Partum Haemorrhage - Atonic Uterus at Health Centre*")
  )
)</f>
        <v/>
      </c>
      <c r="BN30" s="107" t="str">
        <f t="shared" si="11"/>
        <v/>
      </c>
      <c r="BO30" s="103" t="str">
        <f t="shared" si="12"/>
        <v/>
      </c>
      <c r="BP30" s="102" t="str">
        <f>IF(A30="","",SUM(
COUNTIFS('QA Log'!D:D,A30,'QA Log'!M:M,"Vignette",'QA Log'!L:L,"*Exit Interview 1*"),
COUNTIFS('QA Log'!D:D,A30,'QA Log'!M:M,"Vignette",'QA Log'!L:L,"*Exit Interview 2*"),
)
)</f>
        <v/>
      </c>
      <c r="BQ30" s="102" t="str">
        <f>IF(
  A30="","",
  SUM(
    COUNTIFS('QA Log'!D:D,A30,'QA Log'!M:M,"Vignette",'QA Log'!Z:Z,"Approved",'QA Log'!L:L,"*Exit Interview 1*"),
    COUNTIFS('QA Log'!D:D,A30,'QA Log'!M:M,"Vignette",'QA Log'!Z:Z,"Approved",'QA Log'!L:L,"*Exit Interview 2*")
  )
)</f>
        <v/>
      </c>
      <c r="BR30" s="105" t="str">
        <f>IF(A30&lt;&gt;"",COUNTIFS('QA Log'!D:D,A30,'QA Log'!M:M,"Vignette",'QA Log'!L:L,"Exit Interview 1",'QA Log'!Z:Z,"Approved"),"")</f>
        <v/>
      </c>
      <c r="BS30" s="105" t="str">
        <f>IF(A30&lt;&gt;"",COUNTIFS('QA Log'!D:D,A30,'QA Log'!M:M,"Vignette",'QA Log'!L:L,"Exit Interview 2",'QA Log'!Z:Z,"Approved"),"")</f>
        <v/>
      </c>
      <c r="BT30" s="102" t="str">
        <f>IF(
  A30="","",
  SUM(
    COUNTIFS('QA Log'!D:D,A30,'QA Log'!M:M,"Vignette",'QA Log'!Z:Z,"Rejected",'QA Log'!L:L,"*Exit Interview 1*"),
    COUNTIFS('QA Log'!D:D,A30,'QA Log'!M:M,"Vignette",'QA Log'!Z:Z,"Rejected",'QA Log'!L:L,"*Exit Interview 2*")
  )
)</f>
        <v/>
      </c>
      <c r="BU30" s="107" t="str">
        <f t="shared" si="13"/>
        <v/>
      </c>
      <c r="BV30" s="102" t="str">
        <f t="shared" si="14"/>
        <v/>
      </c>
      <c r="BW30" s="102" t="str">
        <f t="shared" si="15"/>
        <v/>
      </c>
      <c r="BX30" s="102" t="str">
        <f t="shared" si="16"/>
        <v/>
      </c>
      <c r="BY30" s="102" t="str">
        <f t="shared" si="17"/>
        <v/>
      </c>
      <c r="BZ30" s="107" t="str">
        <f t="shared" si="18"/>
        <v/>
      </c>
      <c r="CA30" s="108" t="str">
        <f t="shared" si="19"/>
        <v/>
      </c>
      <c r="CB30" s="108" t="str">
        <f t="shared" si="20"/>
        <v/>
      </c>
      <c r="CC30" s="109" t="str">
        <f t="shared" si="21"/>
        <v/>
      </c>
      <c r="CD30" s="108" t="str">
        <f t="shared" si="22"/>
        <v/>
      </c>
      <c r="CE30" s="108" t="str">
        <f t="shared" si="23"/>
        <v/>
      </c>
      <c r="CF30" s="109" t="str">
        <f t="shared" si="24"/>
        <v/>
      </c>
      <c r="CG30" s="110" t="str">
        <f t="shared" si="25"/>
        <v/>
      </c>
      <c r="CH30" s="111"/>
    </row>
    <row r="31" spans="1:86" ht="12.75">
      <c r="A31" s="101"/>
      <c r="B31" s="102" t="e">
        <f t="array" aca="1" ref="B31" ca="1">_xludf.XLOOKUP(A31,'QA Log'!D:D,'QA Log'!E:E,"")</f>
        <v>#NAME?</v>
      </c>
      <c r="C31" s="102" t="e">
        <f t="array" aca="1" ref="C31" ca="1">_xludf.XLOOKUP(A31,'QA Log'!D:D,'QA Log'!F:F,"")</f>
        <v>#NAME?</v>
      </c>
      <c r="D31" s="102" t="e">
        <f t="array" aca="1" ref="D31" ca="1">_xludf.XLOOKUP(A31,'QA Log'!D:D,'QA Log'!H:H,"")</f>
        <v>#NAME?</v>
      </c>
      <c r="E31" s="102" t="e">
        <f t="array" aca="1" ref="E31" ca="1">_xludf.XLOOKUP(A31,'QA Log'!D:D,'QA Log'!G:G,"")</f>
        <v>#NAME?</v>
      </c>
      <c r="F31" s="103"/>
      <c r="G31" s="104"/>
      <c r="H31" s="104"/>
      <c r="I31" s="103" t="str">
        <f t="shared" si="0"/>
        <v/>
      </c>
      <c r="J31" s="102" t="str">
        <f>IF(A31="","",SUM(
COUNTIFS('QA Log'!D:D,A31,'QA Log'!M:M,"QQC",'QA Log'!L:L,"*1. General Management*"),
COUNTIFS('QA Log'!D:D,A31,'QA Log'!M:M,"QQC",'QA Log'!L:L,"*3. Curative Consultation (OPD)*"),
COUNTIFS('QA Log'!D:D,A31,'QA Log'!M:M,"QQC",'QA Log'!L:L,"*5. Laboratory*"),
COUNTIFS('QA Log'!D:D,A31,'QA Log'!M:M,"QQC",'QA Log'!L:L,"*6. Essential Medicine Management*"),
COUNTIFS('QA Log'!D:D,A31,'QA Log'!M:M,"QQC",'QA Log'!L:L,"*7. Tracer Medicine*"),
COUNTIFS('QA Log'!D:D,A31,'QA Log'!M:M,"QQC",'QA Log'!L:L,"*11. Additional Questions*")))</f>
        <v/>
      </c>
      <c r="K31" s="102" t="str">
        <f>IF(A31="","",SUM(
COUNTIFS('QA Log'!D:D,A31,'QA Log'!M:M,"QQC",'QA Log'!Z:Z,"Approved",'QA Log'!L:L,"*1. General Management*"),
COUNTIFS('QA Log'!D:D,A31,'QA Log'!M:M,"QQC",'QA Log'!Z:Z,"Approved",'QA Log'!L:L,"*3. Curative Consultation (OPD)*"),
COUNTIFS('QA Log'!D:D,A31,'QA Log'!M:M,"QQC",'QA Log'!Z:Z,"Approved",'QA Log'!L:L,"*5. Laboratory*"),
COUNTIFS('QA Log'!D:D,A31,'QA Log'!M:M,"QQC",'QA Log'!Z:Z,"Approved",'QA Log'!L:L,"*6. Essential Medicine Management*"),
COUNTIFS('QA Log'!D:D,A31,'QA Log'!M:M,"QQC",'QA Log'!Z:Z,"Approved",'QA Log'!L:L,"*7. Tracer Medicine*"),
COUNTIFS('QA Log'!D:D,A31,'QA Log'!M:M,"QQC",'QA Log'!Z:Z,"Approved",'QA Log'!L:L,"*11. Additional Questions*")))</f>
        <v/>
      </c>
      <c r="L31" s="105" t="str">
        <f>IF(A31&lt;&gt;"",COUNTIFS('QA Log'!D:D,A31,'QA Log'!M:M,"QQC",'QA Log'!L:L,"1. General Management",'QA Log'!Z:Z,"Approved"),"")</f>
        <v/>
      </c>
      <c r="M31" s="105" t="str">
        <f>IF(A31&lt;&gt;"",COUNTIFS('QA Log'!D:D,A31,'QA Log'!M:M,"QQC",'QA Log'!L:L,"3. Curative Consultation (OPD)",'QA Log'!Z:Z,"Approved"),"")</f>
        <v/>
      </c>
      <c r="N31" s="105" t="str">
        <f>IF(A31&lt;&gt;"",COUNTIFS('QA Log'!D:D,A31,'QA Log'!M:M,"QQC",'QA Log'!L:L,"5. Laboratory",'QA Log'!Z:Z,"Approved"),"")</f>
        <v/>
      </c>
      <c r="O31" s="105" t="str">
        <f>IF(A31&lt;&gt;"",COUNTIFS('QA Log'!D:D,A31,'QA Log'!M:M,"QQC",'QA Log'!L:L,"6. Essential Medicine Management",'QA Log'!Z:Z,"Approved"),"")</f>
        <v/>
      </c>
      <c r="P31" s="105" t="str">
        <f>IF(A31&lt;&gt;"",COUNTIFS('QA Log'!D:D,A31,'QA Log'!M:M,"QQC",'QA Log'!L:L,"7. Tracer Medicine",'QA Log'!Z:Z,"Approved"),"")</f>
        <v/>
      </c>
      <c r="Q31" s="105" t="str">
        <f>IF(A31&lt;&gt;"",COUNTIFS('QA Log'!D:D,A31,'QA Log'!M:M,"QQC",'QA Log'!L:L,"11. Additional Questions",'QA Log'!Z:Z,"Approved"),"")</f>
        <v/>
      </c>
      <c r="R31" s="102" t="str">
        <f>IF(A31="","",SUM(
COUNTIFS('QA Log'!D:D,A31,'QA Log'!M:M,"QQC",'QA Log'!Z:Z,"Rejected",'QA Log'!L:L,"*8. Maternity*"),
COUNTIFS('QA Log'!D:D,A31,'QA Log'!M:M,"QQC",'QA Log'!Z:Z,"Rejected",'QA Log'!L:L,"*EPI*"),
COUNTIFS('QA Log'!D:D,A31,'QA Log'!M:M,"QQC",'QA Log'!Z:Z,"Rejected",'QA Log'!L:L,"*10. Antenatal Care (ANC)*"),
COUNTIFS('QA Log'!D:D,A31,'QA Log'!M:M,"QQC",'QA Log'!Z:Z,"Rejected",'QA Log'!L:L,"*2. Hygiene and Sterilization*"),
COUNTIFS('QA Log'!D:D,A31,'QA Log'!M:M,"QQC",'QA Log'!Z:Z,"Rejected",'QA Log'!L:L,"*Family Planning*")))</f>
        <v/>
      </c>
      <c r="S31" s="106" t="str">
        <f t="shared" si="1"/>
        <v/>
      </c>
      <c r="T31" s="102" t="str">
        <f t="shared" si="2"/>
        <v/>
      </c>
      <c r="U31" s="102" t="str">
        <f>IF(A31="","",
SUM(
COUNTIFS('QA Log'!D:D,A31,'QA Log'!M:M,"QQC",'QA Log'!L:L,"*8. Maternity*"),
COUNTIFS('QA Log'!D:D,A31,'QA Log'!M:M,"QQC",'QA Log'!L:L,"*9. EPI and Pre-school Consultation*"),
COUNTIFS('QA Log'!D:D,A31,'QA Log'!M:M,"QQC",'QA Log'!L:L,"*10. Antenatal Care (ANC)*"),
COUNTIFS('QA Log'!D:D,A31,'QA Log'!M:M,"QQC",'QA Log'!L:L,"*2. Hygiene and Sterilization*"),
COUNTIFS('QA Log'!D:D,A31,'QA Log'!M:M,"QQC",'QA Log'!L:L,"*4. Family Planning*")
))</f>
        <v/>
      </c>
      <c r="V31" s="102" t="str">
        <f>IF(A31="","",
SUM(
COUNTIFS('QA Log'!D:D,A31,'QA Log'!M:M,"QQC",'QA Log'!Z:Z,"Approved",'QA Log'!L:L,"*8. Maternity*"),
COUNTIFS('QA Log'!D:D,A31,'QA Log'!M:M,"QQC",'QA Log'!Z:Z,"Approved",'QA Log'!L:L,"*9. EPI and Pre-school Consultation*"),
COUNTIFS('QA Log'!D:D,A31,'QA Log'!M:M,"QQC",'QA Log'!Z:Z,"Approved",'QA Log'!L:L,"*10. Antenatal Care (ANC)*"),
COUNTIFS('QA Log'!D:D,A31,'QA Log'!M:M,"QQC",'QA Log'!Z:Z,"Approved",'QA Log'!L:L,"*2. Hygiene and Sterilization*"),
COUNTIFS('QA Log'!D:D,A31,'QA Log'!M:M,"QQC",'QA Log'!Z:Z,"Approved",'QA Log'!L:L,"*4. Family Planning*")
))</f>
        <v/>
      </c>
      <c r="W31" s="105" t="str">
        <f>IF(A31&lt;&gt;"",COUNTIFS('QA Log'!D:D,A31,'QA Log'!M:M,"QQC",'QA Log'!L:L,"8. Maternity",'QA Log'!Z:Z,"Approved"),"")</f>
        <v/>
      </c>
      <c r="X31" s="105" t="str">
        <f>IF(A31&lt;&gt;"",COUNTIFS('QA Log'!D:D,A31,'QA Log'!M:M,"QQC",'QA Log'!L:L,"9. EPI and Pre-school Consultation",'QA Log'!Z:Z,"Approved"),"")</f>
        <v/>
      </c>
      <c r="Y31" s="105" t="str">
        <f>IF(A31&lt;&gt;"",COUNTIFS('QA Log'!D:D,A31,'QA Log'!M:M,"QQC",'QA Log'!L:L,"10. Antenatal Care (ANC)",'QA Log'!Z:Z,"Approved"),"")</f>
        <v/>
      </c>
      <c r="Z31" s="105" t="str">
        <f>IF(A31&lt;&gt;"",COUNTIFS('QA Log'!D:D,A31,'QA Log'!M:M,"QQC",'QA Log'!L:L,"2. Hygiene and Sterilization",'QA Log'!Z:Z,"Approved"),"")</f>
        <v/>
      </c>
      <c r="AA31" s="105" t="str">
        <f>IF(A31&lt;&gt;"",COUNTIFS('QA Log'!D:D,A31,'QA Log'!M:M,"QQC",'QA Log'!L:L,"4. Family Planning",'QA Log'!Z:Z,"Approved"),"")</f>
        <v/>
      </c>
      <c r="AB31" s="102" t="str">
        <f>IF(A31="","",
SUM(
COUNTIFS('QA Log'!D:D,A31,'QA Log'!M:M,"QQC",'QA Log'!Z:Z,"Rejected",'QA Log'!L:L,"*8. Maternity*"),
COUNTIFS('QA Log'!D:D,A31,'QA Log'!M:M,"QQC",'QA Log'!Z:Z,"Rejected",'QA Log'!L:L,"*9. EPI and Pre-school Consultation*"),
COUNTIFS('QA Log'!D:D,A31,'QA Log'!M:M,"QQC",'QA Log'!Z:Z,"Rejected",'QA Log'!L:L,"*10. Antenatal Care (ANC)*"),
COUNTIFS('QA Log'!D:D,A31,'QA Log'!M:M,"QQC",'QA Log'!Z:Z,"Rejected",'QA Log'!L:L,"*2. Hygiene and Sterilization*"),
COUNTIFS('QA Log'!D:D,A31,'QA Log'!M:M,"QQC",'QA Log'!Z:Z,"Rejected",'QA Log'!L:L,"*4. Family Planning*")
))</f>
        <v/>
      </c>
      <c r="AC31" s="102" t="str">
        <f t="shared" si="3"/>
        <v/>
      </c>
      <c r="AD31" s="103" t="str">
        <f t="shared" si="4"/>
        <v/>
      </c>
      <c r="AE31" s="102" t="str">
        <f>IF(A31="","",
SUM(
COUNTIFS('QA Log'!D:D,A31,'QA Log'!M:M,"Data Verification",'QA Log'!L:L,"*Medicine (section 2)*"),
COUNTIFS('QA Log'!D:D,A31,'QA Log'!M:M,"Data Verification",'QA Log'!L:L,"*Lab Testing Availability*"),
COUNTIFS('QA Log'!D:D,A31,'QA Log'!M:M,"Data Verification",'QA Log'!L:L,"*Other than P4P (section 6)*"),
COUNTIFS('QA Log'!D:D,A31,'QA Log'!M:M,"Data Verification",'QA Log'!L:L,"*Hospital Governance*")
))</f>
        <v/>
      </c>
      <c r="AF31" s="102" t="str">
        <f>IF(A31="","",
SUM(
COUNTIFS('QA Log'!D:D,A31,'QA Log'!M:M,"Data Verification",'QA Log'!Z:Z,"Approved",'QA Log'!L:L,"*Medicine (section 2)*"),
COUNTIFS('QA Log'!D:D,A31,'QA Log'!M:M,"Data Verification",'QA Log'!Z:Z,"Approved",'QA Log'!L:L,"*Lab Testing Availability*"),
COUNTIFS('QA Log'!D:D,A31,'QA Log'!M:M,"Data Verification",'QA Log'!Z:Z,"Approved",'QA Log'!L:L,"*Other than P4P (section 6)*"),
COUNTIFS('QA Log'!D:D,A31,'QA Log'!M:M,"Data Verification",'QA Log'!Z:Z,"Approved",'QA Log'!L:L,"*Hospital Governance*")
))</f>
        <v/>
      </c>
      <c r="AG31" s="105" t="str">
        <f>IF(A31&lt;&gt;"",COUNTIFS('QA Log'!D:D,A31,'QA Log'!M:M,"Data Verification",'QA Log'!L:L,"Medicine (section 2)",'QA Log'!Z:Z,"Approved"),"")</f>
        <v/>
      </c>
      <c r="AH31" s="105" t="str">
        <f>IF(A31&lt;&gt;"",COUNTIFS('QA Log'!D:D,A31,'QA Log'!M:M,"Data Verification",'QA Log'!L:L,"Lab Testing Availability",'QA Log'!Z:Z,"Approved"),"")</f>
        <v/>
      </c>
      <c r="AI31" s="105" t="str">
        <f>IF(A31&lt;&gt;"",COUNTIFS('QA Log'!D:D,A31,'QA Log'!M:M,"Data Verification",'QA Log'!L:L,"Other than P4P (section 6)",'QA Log'!Z:Z,"Approved"),"")</f>
        <v/>
      </c>
      <c r="AJ31" s="105" t="str">
        <f>IF(A31&lt;&gt;"",COUNTIFS('QA Log'!D:D,A31,'QA Log'!M:M,"Data Verification",'QA Log'!L:L,"Hospital Governance",'QA Log'!Z:Z,"Approved"),"")</f>
        <v/>
      </c>
      <c r="AK31" s="102" t="str">
        <f>IF(A31="","",
SUM(
COUNTIFS('QA Log'!D:D,A31,'QA Log'!M:M,"Data Verification",'QA Log'!Z:Z,"Rejected",'QA Log'!L:L,"*Medicine (section 2)*"),
COUNTIFS('QA Log'!D:D,A31,'QA Log'!M:M,"Data Verification",'QA Log'!Z:Z,"Rejected",'QA Log'!L:L,"*Lab Testing Availability*"),
COUNTIFS('QA Log'!D:D,A31,'QA Log'!M:M,"Data Verification",'QA Log'!Z:Z,"Rejected",'QA Log'!L:L,"*Other than P4P (section 6)*"),
COUNTIFS('QA Log'!D:D,A31,'QA Log'!M:M,"Data Verification",'QA Log'!Z:Z,"Rejected",'QA Log'!L:L,"*Hospital Governance*")
))</f>
        <v/>
      </c>
      <c r="AL31" s="106" t="str">
        <f t="shared" si="5"/>
        <v/>
      </c>
      <c r="AM31" s="102" t="str">
        <f t="shared" si="6"/>
        <v/>
      </c>
      <c r="AN31" s="102" t="str">
        <f>IF(A31="","",
SUM(
COUNTIFS('QA Log'!D:D,A31,'QA Log'!M:M,"Data Verification",'QA Log'!L:L,"*Personnel (section 1)*"),
COUNTIFS('QA Log'!D:D,A31,'QA Log'!M:M,"Data Verification",'QA Log'!L:L,"*Consumable (section 3)*"),
COUNTIFS('QA Log'!D:D,A31,'QA Log'!M:M,"Data Verification",'QA Log'!L:L,"*Equipments (section 4)*")
))</f>
        <v/>
      </c>
      <c r="AO31" s="102" t="str">
        <f>IF(A31="","",
SUM(
COUNTIFS('QA Log'!D:D,A31,'QA Log'!M:M,"Data Verification",'QA Log'!Z:Z,"Approved",'QA Log'!L:L,"*Personnel (section 1)*"),
COUNTIFS('QA Log'!D:D,A31,'QA Log'!M:M,"Data Verification",'QA Log'!Z:Z,"Approved",'QA Log'!L:L,"*Consumable (section 3)*"),
COUNTIFS('QA Log'!D:D,A31,'QA Log'!M:M,"Data Verification",'QA Log'!Z:Z,"Approved",'QA Log'!L:L,"*Equipments (section 4)*")
))</f>
        <v/>
      </c>
      <c r="AP31" s="105" t="str">
        <f>IF(A31&lt;&gt;"",COUNTIFS('QA Log'!D:D,A31,'QA Log'!M:M,"Data Verification",'QA Log'!L:L,"Personnel (section 1)",'QA Log'!Z:Z,"Approved"),"")</f>
        <v/>
      </c>
      <c r="AQ31" s="105" t="str">
        <f>IF(A31&lt;&gt;"",COUNTIFS('QA Log'!D:D,A31,'QA Log'!M:M,"Data Verification",'QA Log'!L:L,"Consumable (section 3)",'QA Log'!Z:Z,"Approved"),"")</f>
        <v/>
      </c>
      <c r="AR31" s="105" t="str">
        <f>IF(A31&lt;&gt;"",COUNTIFS('QA Log'!D:D,A31,'QA Log'!M:M,"Data Verification",'QA Log'!L:L,"Equipments (section 4)",'QA Log'!Z:Z,"Approved"),"")</f>
        <v/>
      </c>
      <c r="AS31" s="102" t="str">
        <f>IF(A31="","",
SUM(
COUNTIFS('QA Log'!D:D,A31,'QA Log'!M:M,"Data Verification",'QA Log'!Z:Z,"Rejected",'QA Log'!L:L,"*Personnel (section 1)*"),
COUNTIFS('QA Log'!D:D,A31,'QA Log'!M:M,"Data Verification",'QA Log'!Z:Z,"Rejected",'QA Log'!L:L,"*Consumable (section 3)*"),
COUNTIFS('QA Log'!D:D,A31,'QA Log'!M:M,"Data Verification",'QA Log'!Z:Z,"Rejected",'QA Log'!L:L,"*Equipments (section 4)*")
))</f>
        <v/>
      </c>
      <c r="AT31" s="102" t="str">
        <f t="shared" si="7"/>
        <v/>
      </c>
      <c r="AU31" s="103" t="str">
        <f t="shared" si="8"/>
        <v/>
      </c>
      <c r="AV31" s="102" t="str">
        <f>IF(A31="","",SUM(
COUNTIFS('QA Log'!D:D,A31,'QA Log'!M:M,"Vignette",'QA Log'!L:L,"*Vignette [1] Respiratory Infection: Pneumonia*"),
COUNTIFS('QA Log'!D:D,A31,'QA Log'!M:M,"Vignette",'QA Log'!L:L,"*Vignette [2]: Diarrhea with Cat B dehydration*"),
COUNTIFS('QA Log'!D:D,A31,'QA Log'!M:M,"Vignette",'QA Log'!L:L,"*Vignette [3] Growth Monitoring and Promotion*"),
COUNTIFS('QA Log'!D:D,A31,'QA Log'!M:M,"Vignette",'QA Log'!L:L,"*Vignette [4]: The management of presumptive TB patient*")
)
)</f>
        <v/>
      </c>
      <c r="AW31" s="102" t="str">
        <f>IF(
  A31="","",
  SUM(
    COUNTIFS('QA Log'!D:D,A31,'QA Log'!M:M,"Vignette",'QA Log'!Z:Z,"Approved",'QA Log'!L:L,"*Vignette [1] Respiratory Infection: Pneumonia*"),
    COUNTIFS('QA Log'!D:D,A31,'QA Log'!M:M,"Vignette",'QA Log'!Z:Z,"Approved",'QA Log'!L:L,"*Vignette [2]: Diarrhea with Cat B dehydration*"),
    COUNTIFS('QA Log'!D:D,A31,'QA Log'!M:M,"Vignette",'QA Log'!Z:Z,"Approved",'QA Log'!L:L,"*Vignette [3] Growth Monitoring and Promotion*"),
    COUNTIFS('QA Log'!D:D,A31,'QA Log'!M:M,"Vignette",'QA Log'!Z:Z,"Approved",'QA Log'!L:L,"*Vignette [4]: The management of presumptive TB patient*")
  )
)</f>
        <v/>
      </c>
      <c r="AX31" s="105" t="str">
        <f>IF(A31&lt;&gt;"",COUNTIFS('QA Log'!D:D,A31,'QA Log'!M:M,"Vignette",'QA Log'!L:L,"Vignette [1] Respiratory Infection: Pneumonia",'QA Log'!Z:Z,"Approved"),"")</f>
        <v/>
      </c>
      <c r="AY31" s="105" t="str">
        <f>IF(A31&lt;&gt;"",COUNTIFS('QA Log'!D:D,A31,'QA Log'!M:M,"Vignette",'QA Log'!L:L,"Vignette [2]: Diarrhea with Cat B dehydration",'QA Log'!Z:Z,"Approved"),"")</f>
        <v/>
      </c>
      <c r="AZ31" s="105" t="str">
        <f>IF(A31&lt;&gt;"",COUNTIFS('QA Log'!D:D,A31,'QA Log'!M:M,"Vignette",'QA Log'!L:L,"Vignette [3] Growth Monitoring and Promotion",'QA Log'!Z:Z,"Approved"),"")</f>
        <v/>
      </c>
      <c r="BA31" s="105" t="str">
        <f>IF(A31&lt;&gt;"",COUNTIFS('QA Log'!D:D,A31,'QA Log'!M:M,"Vignette",'QA Log'!L:L,"Vignette [4]: The management of presumptive TB patient",'QA Log'!Z:Z,"Approved"),"")</f>
        <v/>
      </c>
      <c r="BB31" s="102" t="str">
        <f>IF(A31="","",
  SUM(
    COUNTIFS('QA Log'!D:D,A31,'QA Log'!M:M,"Vignette",'QA Log'!Z:Z,"Rejected",'QA Log'!L:L,"*Vignette [1] Respiratory Infection: Pneumonia*"),
    COUNTIFS('QA Log'!D:D,A31,'QA Log'!M:M,"Vignette",'QA Log'!Z:Z,"Rejected",'QA Log'!L:L,"*Vignette [2]: Diarrhea with Cat B dehydration*"),
    COUNTIFS('QA Log'!D:D,A31,'QA Log'!M:M,"Vignette",'QA Log'!Z:Z,"Rejected",'QA Log'!L:L,"*Vignette [3] Growth Monitoring and Promotion*"),
    COUNTIFS('QA Log'!D:D,A31,'QA Log'!M:M,"Vignette",'QA Log'!Z:Z,"Rejected",'QA Log'!L:L,"*Vignette [4]: The management of presumptive TB patient*")
  )
)</f>
        <v/>
      </c>
      <c r="BC31" s="107" t="str">
        <f t="shared" si="9"/>
        <v/>
      </c>
      <c r="BD31" s="103" t="str">
        <f t="shared" si="10"/>
        <v/>
      </c>
      <c r="BE31" s="102" t="str">
        <f>IF(A31="","",SUM(
COUNTIFS('QA Log'!D:D,A31,'QA Log'!M:M,"Vignette",'QA Log'!L:L,"*Vignette [5] Labor*"),
COUNTIFS('QA Log'!D:D,A31,'QA Log'!M:M,"Vignette",'QA Log'!L:L,"*Vignette [6] PNC pre Discharge*"),
COUNTIFS('QA Log'!D:D,A31,'QA Log'!M:M,"Vignette",'QA Log'!L:L,"*Vignette [7] First ANC Visit*"),
COUNTIFS('QA Log'!D:D,A31,'QA Log'!M:M,"Vignette",'QA Log'!L:L,"*Vignette [8] Birth Spacing/ Family Planning :  FP Counselling*"),
COUNTIFS('QA Log'!D:D,A31,'QA Log'!M:M,"Vignette",'QA Log'!L:L,"*Vignette [9] Birth Spacing: Change FP method to Injectable*"),
COUNTIFS('QA Log'!D:D,A31,'QA Log'!M:M,"Vignette",'QA Log'!L:L,"*Vignette [10] Post Partum Haemorrhage - Atonic Uterus at Health Centre*"),
)
)</f>
        <v/>
      </c>
      <c r="BF31" s="102" t="str">
        <f>IF(A31="","",
  SUM(
    COUNTIFS('QA Log'!D:D,A31,'QA Log'!M:M,"Vignette",'QA Log'!Z:Z,"Approved",'QA Log'!L:L,"*Vignette [5] Labor*"),
    COUNTIFS('QA Log'!D:D,A31,'QA Log'!M:M,"Vignette",'QA Log'!Z:Z,"Approved",'QA Log'!L:L,"*Vignette [6] PNC pre Discharge*"),
    COUNTIFS('QA Log'!D:D,A31,'QA Log'!M:M,"Vignette",'QA Log'!Z:Z,"Approved",'QA Log'!L:L,"*Vignette [7] First ANC Visit*"),
    COUNTIFS('QA Log'!D:D,A31,'QA Log'!M:M,"Vignette",'QA Log'!Z:Z,"Approved",'QA Log'!L:L,"*Vignette [8] Birth Spacing/ Family Planning :  FP Counselling*"),
    COUNTIFS('QA Log'!D:D,A31,'QA Log'!M:M,"Vignette",'QA Log'!Z:Z,"Approved",'QA Log'!L:L,"*Vignette [9] Birth Spacing: Change FP method to Injectable*"),
    COUNTIFS('QA Log'!D:D,A31,'QA Log'!M:M,"Vignette",'QA Log'!Z:Z,"Approved",'QA Log'!L:L,"*Vignette [10] Post Partum Haemorrhage - Atonic Uterus at Health Centre*")
  )
)</f>
        <v/>
      </c>
      <c r="BG31" s="105" t="str">
        <f>IF(A31&lt;&gt;"",COUNTIFS('QA Log'!D:D,A31,'QA Log'!M:M,"Vignette",'QA Log'!L:L,"Vignette [5] Labor",'QA Log'!Z:Z,"Approved"),"")</f>
        <v/>
      </c>
      <c r="BH31" s="105" t="str">
        <f>IF(A31&lt;&gt;"",COUNTIFS('QA Log'!D:D,A31,'QA Log'!M:M,"Vignette",'QA Log'!L:L,"Vignette [6] PNC pre Discharge",'QA Log'!Z:Z,"Approved"),"")</f>
        <v/>
      </c>
      <c r="BI31" s="105" t="str">
        <f>IF(A31&lt;&gt;"",COUNTIFS('QA Log'!D:D,A31,'QA Log'!M:M,"Vignette",'QA Log'!L:L,"Vignette [7] First ANC Visit",'QA Log'!Z:Z,"Approved"),"")</f>
        <v/>
      </c>
      <c r="BJ31" s="105" t="str">
        <f>IF(A31&lt;&gt;"",COUNTIFS('QA Log'!D:D,A31,'QA Log'!M:M,"Vignette",'QA Log'!L:L,"Vignette [8] Birth Spacing/ Family Planning :  FP Counselling",'QA Log'!Z:Z,"Approved"),"")</f>
        <v/>
      </c>
      <c r="BK31" s="105" t="str">
        <f>IF(A31&lt;&gt;"",COUNTIFS('QA Log'!D:D,A31,'QA Log'!M:M,"Vignette",'QA Log'!L:L,"Vignette [9] Birth Spacing: Change FP method to Injectable",'QA Log'!Z:Z,"Approved"),"")</f>
        <v/>
      </c>
      <c r="BL31" s="105" t="str">
        <f>IF(A31&lt;&gt;"",COUNTIFS('QA Log'!D:D,A31,'QA Log'!M:M,"Vignette",'QA Log'!L:L,"Vignette [10] Post Partum Haemorrhage - Atonic Uterus at Health Centre",'QA Log'!Z:Z,"Approved"),"")</f>
        <v/>
      </c>
      <c r="BM31" s="102" t="str">
        <f>IF(A31="","",SUM(
    COUNTIFS('QA Log'!D:D,A31,'QA Log'!M:M,"Vignette",'QA Log'!Z:Z,"Rejected",'QA Log'!L:L,"*Vignette [5] Labor*"),
    COUNTIFS('QA Log'!D:D,A31,'QA Log'!M:M,"Vignette",'QA Log'!Z:Z,"Rejected",'QA Log'!L:L,"*Vignette [6] PNC pre Discharge*"),
    COUNTIFS('QA Log'!D:D,A31,'QA Log'!M:M,"Vignette",'QA Log'!Z:Z,"Rejected",'QA Log'!L:L,"*Vignette [7] First ANC Visit*"),
    COUNTIFS('QA Log'!D:D,A31,'QA Log'!M:M,"Vignette",'QA Log'!Z:Z,"Rejected",'QA Log'!L:L,"*Vignette [8] Birth Spacing/ Family Planning :  FP Counselling*"),
    COUNTIFS('QA Log'!D:D,A31,'QA Log'!M:M,"Vignette",'QA Log'!Z:Z,"Rejected",'QA Log'!L:L,"*Vignette [9] Birth Spacing: Change FP method to Injectable*"),
    COUNTIFS('QA Log'!D:D,A31,'QA Log'!M:M,"Vignette",'QA Log'!Z:Z,"Rejected",'QA Log'!L:L,"*Vignette [10] Post Partum Haemorrhage - Atonic Uterus at Health Centre*")
  )
)</f>
        <v/>
      </c>
      <c r="BN31" s="107" t="str">
        <f t="shared" si="11"/>
        <v/>
      </c>
      <c r="BO31" s="103" t="str">
        <f t="shared" si="12"/>
        <v/>
      </c>
      <c r="BP31" s="102" t="str">
        <f>IF(A31="","",SUM(
COUNTIFS('QA Log'!D:D,A31,'QA Log'!M:M,"Vignette",'QA Log'!L:L,"*Exit Interview 1*"),
COUNTIFS('QA Log'!D:D,A31,'QA Log'!M:M,"Vignette",'QA Log'!L:L,"*Exit Interview 2*"),
)
)</f>
        <v/>
      </c>
      <c r="BQ31" s="102" t="str">
        <f>IF(
  A31="","",
  SUM(
    COUNTIFS('QA Log'!D:D,A31,'QA Log'!M:M,"Vignette",'QA Log'!Z:Z,"Approved",'QA Log'!L:L,"*Exit Interview 1*"),
    COUNTIFS('QA Log'!D:D,A31,'QA Log'!M:M,"Vignette",'QA Log'!Z:Z,"Approved",'QA Log'!L:L,"*Exit Interview 2*")
  )
)</f>
        <v/>
      </c>
      <c r="BR31" s="105" t="str">
        <f>IF(A31&lt;&gt;"",COUNTIFS('QA Log'!D:D,A31,'QA Log'!M:M,"Vignette",'QA Log'!L:L,"Exit Interview 1",'QA Log'!Z:Z,"Approved"),"")</f>
        <v/>
      </c>
      <c r="BS31" s="105" t="str">
        <f>IF(A31&lt;&gt;"",COUNTIFS('QA Log'!D:D,A31,'QA Log'!M:M,"Vignette",'QA Log'!L:L,"Exit Interview 2",'QA Log'!Z:Z,"Approved"),"")</f>
        <v/>
      </c>
      <c r="BT31" s="102" t="str">
        <f>IF(
  A31="","",
  SUM(
    COUNTIFS('QA Log'!D:D,A31,'QA Log'!M:M,"Vignette",'QA Log'!Z:Z,"Rejected",'QA Log'!L:L,"*Exit Interview 1*"),
    COUNTIFS('QA Log'!D:D,A31,'QA Log'!M:M,"Vignette",'QA Log'!Z:Z,"Rejected",'QA Log'!L:L,"*Exit Interview 2*")
  )
)</f>
        <v/>
      </c>
      <c r="BU31" s="107" t="str">
        <f t="shared" si="13"/>
        <v/>
      </c>
      <c r="BV31" s="102" t="str">
        <f t="shared" si="14"/>
        <v/>
      </c>
      <c r="BW31" s="102" t="str">
        <f t="shared" si="15"/>
        <v/>
      </c>
      <c r="BX31" s="102" t="str">
        <f t="shared" si="16"/>
        <v/>
      </c>
      <c r="BY31" s="102" t="str">
        <f t="shared" si="17"/>
        <v/>
      </c>
      <c r="BZ31" s="107" t="str">
        <f t="shared" si="18"/>
        <v/>
      </c>
      <c r="CA31" s="108" t="str">
        <f t="shared" si="19"/>
        <v/>
      </c>
      <c r="CB31" s="108" t="str">
        <f t="shared" si="20"/>
        <v/>
      </c>
      <c r="CC31" s="109" t="str">
        <f t="shared" si="21"/>
        <v/>
      </c>
      <c r="CD31" s="108" t="str">
        <f t="shared" si="22"/>
        <v/>
      </c>
      <c r="CE31" s="108" t="str">
        <f t="shared" si="23"/>
        <v/>
      </c>
      <c r="CF31" s="109" t="str">
        <f t="shared" si="24"/>
        <v/>
      </c>
      <c r="CG31" s="110" t="str">
        <f t="shared" si="25"/>
        <v/>
      </c>
      <c r="CH31" s="111"/>
    </row>
    <row r="32" spans="1:86" ht="12.75">
      <c r="A32" s="101"/>
      <c r="B32" s="102" t="e">
        <f t="array" aca="1" ref="B32" ca="1">_xludf.XLOOKUP(A32,'QA Log'!D:D,'QA Log'!E:E,"")</f>
        <v>#NAME?</v>
      </c>
      <c r="C32" s="102" t="e">
        <f t="array" aca="1" ref="C32" ca="1">_xludf.XLOOKUP(A32,'QA Log'!D:D,'QA Log'!F:F,"")</f>
        <v>#NAME?</v>
      </c>
      <c r="D32" s="102" t="e">
        <f t="array" aca="1" ref="D32" ca="1">_xludf.XLOOKUP(A32,'QA Log'!D:D,'QA Log'!H:H,"")</f>
        <v>#NAME?</v>
      </c>
      <c r="E32" s="102" t="e">
        <f t="array" aca="1" ref="E32" ca="1">_xludf.XLOOKUP(A32,'QA Log'!D:D,'QA Log'!G:G,"")</f>
        <v>#NAME?</v>
      </c>
      <c r="F32" s="103"/>
      <c r="G32" s="104"/>
      <c r="H32" s="104"/>
      <c r="I32" s="103" t="str">
        <f t="shared" si="0"/>
        <v/>
      </c>
      <c r="J32" s="102" t="str">
        <f>IF(A32="","",SUM(
COUNTIFS('QA Log'!D:D,A32,'QA Log'!M:M,"QQC",'QA Log'!L:L,"*1. General Management*"),
COUNTIFS('QA Log'!D:D,A32,'QA Log'!M:M,"QQC",'QA Log'!L:L,"*3. Curative Consultation (OPD)*"),
COUNTIFS('QA Log'!D:D,A32,'QA Log'!M:M,"QQC",'QA Log'!L:L,"*5. Laboratory*"),
COUNTIFS('QA Log'!D:D,A32,'QA Log'!M:M,"QQC",'QA Log'!L:L,"*6. Essential Medicine Management*"),
COUNTIFS('QA Log'!D:D,A32,'QA Log'!M:M,"QQC",'QA Log'!L:L,"*7. Tracer Medicine*"),
COUNTIFS('QA Log'!D:D,A32,'QA Log'!M:M,"QQC",'QA Log'!L:L,"*11. Additional Questions*")))</f>
        <v/>
      </c>
      <c r="K32" s="102" t="str">
        <f>IF(A32="","",SUM(
COUNTIFS('QA Log'!D:D,A32,'QA Log'!M:M,"QQC",'QA Log'!Z:Z,"Approved",'QA Log'!L:L,"*1. General Management*"),
COUNTIFS('QA Log'!D:D,A32,'QA Log'!M:M,"QQC",'QA Log'!Z:Z,"Approved",'QA Log'!L:L,"*3. Curative Consultation (OPD)*"),
COUNTIFS('QA Log'!D:D,A32,'QA Log'!M:M,"QQC",'QA Log'!Z:Z,"Approved",'QA Log'!L:L,"*5. Laboratory*"),
COUNTIFS('QA Log'!D:D,A32,'QA Log'!M:M,"QQC",'QA Log'!Z:Z,"Approved",'QA Log'!L:L,"*6. Essential Medicine Management*"),
COUNTIFS('QA Log'!D:D,A32,'QA Log'!M:M,"QQC",'QA Log'!Z:Z,"Approved",'QA Log'!L:L,"*7. Tracer Medicine*"),
COUNTIFS('QA Log'!D:D,A32,'QA Log'!M:M,"QQC",'QA Log'!Z:Z,"Approved",'QA Log'!L:L,"*11. Additional Questions*")))</f>
        <v/>
      </c>
      <c r="L32" s="105" t="str">
        <f>IF(A32&lt;&gt;"",COUNTIFS('QA Log'!D:D,A32,'QA Log'!M:M,"QQC",'QA Log'!L:L,"1. General Management",'QA Log'!Z:Z,"Approved"),"")</f>
        <v/>
      </c>
      <c r="M32" s="105" t="str">
        <f>IF(A32&lt;&gt;"",COUNTIFS('QA Log'!D:D,A32,'QA Log'!M:M,"QQC",'QA Log'!L:L,"3. Curative Consultation (OPD)",'QA Log'!Z:Z,"Approved"),"")</f>
        <v/>
      </c>
      <c r="N32" s="105" t="str">
        <f>IF(A32&lt;&gt;"",COUNTIFS('QA Log'!D:D,A32,'QA Log'!M:M,"QQC",'QA Log'!L:L,"5. Laboratory",'QA Log'!Z:Z,"Approved"),"")</f>
        <v/>
      </c>
      <c r="O32" s="105" t="str">
        <f>IF(A32&lt;&gt;"",COUNTIFS('QA Log'!D:D,A32,'QA Log'!M:M,"QQC",'QA Log'!L:L,"6. Essential Medicine Management",'QA Log'!Z:Z,"Approved"),"")</f>
        <v/>
      </c>
      <c r="P32" s="105" t="str">
        <f>IF(A32&lt;&gt;"",COUNTIFS('QA Log'!D:D,A32,'QA Log'!M:M,"QQC",'QA Log'!L:L,"7. Tracer Medicine",'QA Log'!Z:Z,"Approved"),"")</f>
        <v/>
      </c>
      <c r="Q32" s="105" t="str">
        <f>IF(A32&lt;&gt;"",COUNTIFS('QA Log'!D:D,A32,'QA Log'!M:M,"QQC",'QA Log'!L:L,"11. Additional Questions",'QA Log'!Z:Z,"Approved"),"")</f>
        <v/>
      </c>
      <c r="R32" s="102" t="str">
        <f>IF(A32="","",SUM(
COUNTIFS('QA Log'!D:D,A32,'QA Log'!M:M,"QQC",'QA Log'!Z:Z,"Rejected",'QA Log'!L:L,"*8. Maternity*"),
COUNTIFS('QA Log'!D:D,A32,'QA Log'!M:M,"QQC",'QA Log'!Z:Z,"Rejected",'QA Log'!L:L,"*EPI*"),
COUNTIFS('QA Log'!D:D,A32,'QA Log'!M:M,"QQC",'QA Log'!Z:Z,"Rejected",'QA Log'!L:L,"*10. Antenatal Care (ANC)*"),
COUNTIFS('QA Log'!D:D,A32,'QA Log'!M:M,"QQC",'QA Log'!Z:Z,"Rejected",'QA Log'!L:L,"*2. Hygiene and Sterilization*"),
COUNTIFS('QA Log'!D:D,A32,'QA Log'!M:M,"QQC",'QA Log'!Z:Z,"Rejected",'QA Log'!L:L,"*Family Planning*")))</f>
        <v/>
      </c>
      <c r="S32" s="106" t="str">
        <f t="shared" si="1"/>
        <v/>
      </c>
      <c r="T32" s="102" t="str">
        <f t="shared" si="2"/>
        <v/>
      </c>
      <c r="U32" s="102" t="str">
        <f>IF(A32="","",
SUM(
COUNTIFS('QA Log'!D:D,A32,'QA Log'!M:M,"QQC",'QA Log'!L:L,"*8. Maternity*"),
COUNTIFS('QA Log'!D:D,A32,'QA Log'!M:M,"QQC",'QA Log'!L:L,"*9. EPI and Pre-school Consultation*"),
COUNTIFS('QA Log'!D:D,A32,'QA Log'!M:M,"QQC",'QA Log'!L:L,"*10. Antenatal Care (ANC)*"),
COUNTIFS('QA Log'!D:D,A32,'QA Log'!M:M,"QQC",'QA Log'!L:L,"*2. Hygiene and Sterilization*"),
COUNTIFS('QA Log'!D:D,A32,'QA Log'!M:M,"QQC",'QA Log'!L:L,"*4. Family Planning*")
))</f>
        <v/>
      </c>
      <c r="V32" s="102" t="str">
        <f>IF(A32="","",
SUM(
COUNTIFS('QA Log'!D:D,A32,'QA Log'!M:M,"QQC",'QA Log'!Z:Z,"Approved",'QA Log'!L:L,"*8. Maternity*"),
COUNTIFS('QA Log'!D:D,A32,'QA Log'!M:M,"QQC",'QA Log'!Z:Z,"Approved",'QA Log'!L:L,"*9. EPI and Pre-school Consultation*"),
COUNTIFS('QA Log'!D:D,A32,'QA Log'!M:M,"QQC",'QA Log'!Z:Z,"Approved",'QA Log'!L:L,"*10. Antenatal Care (ANC)*"),
COUNTIFS('QA Log'!D:D,A32,'QA Log'!M:M,"QQC",'QA Log'!Z:Z,"Approved",'QA Log'!L:L,"*2. Hygiene and Sterilization*"),
COUNTIFS('QA Log'!D:D,A32,'QA Log'!M:M,"QQC",'QA Log'!Z:Z,"Approved",'QA Log'!L:L,"*4. Family Planning*")
))</f>
        <v/>
      </c>
      <c r="W32" s="105" t="str">
        <f>IF(A32&lt;&gt;"",COUNTIFS('QA Log'!D:D,A32,'QA Log'!M:M,"QQC",'QA Log'!L:L,"8. Maternity",'QA Log'!Z:Z,"Approved"),"")</f>
        <v/>
      </c>
      <c r="X32" s="105" t="str">
        <f>IF(A32&lt;&gt;"",COUNTIFS('QA Log'!D:D,A32,'QA Log'!M:M,"QQC",'QA Log'!L:L,"9. EPI and Pre-school Consultation",'QA Log'!Z:Z,"Approved"),"")</f>
        <v/>
      </c>
      <c r="Y32" s="105" t="str">
        <f>IF(A32&lt;&gt;"",COUNTIFS('QA Log'!D:D,A32,'QA Log'!M:M,"QQC",'QA Log'!L:L,"10. Antenatal Care (ANC)",'QA Log'!Z:Z,"Approved"),"")</f>
        <v/>
      </c>
      <c r="Z32" s="105" t="str">
        <f>IF(A32&lt;&gt;"",COUNTIFS('QA Log'!D:D,A32,'QA Log'!M:M,"QQC",'QA Log'!L:L,"2. Hygiene and Sterilization",'QA Log'!Z:Z,"Approved"),"")</f>
        <v/>
      </c>
      <c r="AA32" s="105" t="str">
        <f>IF(A32&lt;&gt;"",COUNTIFS('QA Log'!D:D,A32,'QA Log'!M:M,"QQC",'QA Log'!L:L,"4. Family Planning",'QA Log'!Z:Z,"Approved"),"")</f>
        <v/>
      </c>
      <c r="AB32" s="102" t="str">
        <f>IF(A32="","",
SUM(
COUNTIFS('QA Log'!D:D,A32,'QA Log'!M:M,"QQC",'QA Log'!Z:Z,"Rejected",'QA Log'!L:L,"*8. Maternity*"),
COUNTIFS('QA Log'!D:D,A32,'QA Log'!M:M,"QQC",'QA Log'!Z:Z,"Rejected",'QA Log'!L:L,"*9. EPI and Pre-school Consultation*"),
COUNTIFS('QA Log'!D:D,A32,'QA Log'!M:M,"QQC",'QA Log'!Z:Z,"Rejected",'QA Log'!L:L,"*10. Antenatal Care (ANC)*"),
COUNTIFS('QA Log'!D:D,A32,'QA Log'!M:M,"QQC",'QA Log'!Z:Z,"Rejected",'QA Log'!L:L,"*2. Hygiene and Sterilization*"),
COUNTIFS('QA Log'!D:D,A32,'QA Log'!M:M,"QQC",'QA Log'!Z:Z,"Rejected",'QA Log'!L:L,"*4. Family Planning*")
))</f>
        <v/>
      </c>
      <c r="AC32" s="102" t="str">
        <f t="shared" si="3"/>
        <v/>
      </c>
      <c r="AD32" s="103" t="str">
        <f t="shared" si="4"/>
        <v/>
      </c>
      <c r="AE32" s="102" t="str">
        <f>IF(A32="","",
SUM(
COUNTIFS('QA Log'!D:D,A32,'QA Log'!M:M,"Data Verification",'QA Log'!L:L,"*Medicine (section 2)*"),
COUNTIFS('QA Log'!D:D,A32,'QA Log'!M:M,"Data Verification",'QA Log'!L:L,"*Lab Testing Availability*"),
COUNTIFS('QA Log'!D:D,A32,'QA Log'!M:M,"Data Verification",'QA Log'!L:L,"*Other than P4P (section 6)*"),
COUNTIFS('QA Log'!D:D,A32,'QA Log'!M:M,"Data Verification",'QA Log'!L:L,"*Hospital Governance*")
))</f>
        <v/>
      </c>
      <c r="AF32" s="102" t="str">
        <f>IF(A32="","",
SUM(
COUNTIFS('QA Log'!D:D,A32,'QA Log'!M:M,"Data Verification",'QA Log'!Z:Z,"Approved",'QA Log'!L:L,"*Medicine (section 2)*"),
COUNTIFS('QA Log'!D:D,A32,'QA Log'!M:M,"Data Verification",'QA Log'!Z:Z,"Approved",'QA Log'!L:L,"*Lab Testing Availability*"),
COUNTIFS('QA Log'!D:D,A32,'QA Log'!M:M,"Data Verification",'QA Log'!Z:Z,"Approved",'QA Log'!L:L,"*Other than P4P (section 6)*"),
COUNTIFS('QA Log'!D:D,A32,'QA Log'!M:M,"Data Verification",'QA Log'!Z:Z,"Approved",'QA Log'!L:L,"*Hospital Governance*")
))</f>
        <v/>
      </c>
      <c r="AG32" s="105" t="str">
        <f>IF(A32&lt;&gt;"",COUNTIFS('QA Log'!D:D,A32,'QA Log'!M:M,"Data Verification",'QA Log'!L:L,"Medicine (section 2)",'QA Log'!Z:Z,"Approved"),"")</f>
        <v/>
      </c>
      <c r="AH32" s="105" t="str">
        <f>IF(A32&lt;&gt;"",COUNTIFS('QA Log'!D:D,A32,'QA Log'!M:M,"Data Verification",'QA Log'!L:L,"Lab Testing Availability",'QA Log'!Z:Z,"Approved"),"")</f>
        <v/>
      </c>
      <c r="AI32" s="105" t="str">
        <f>IF(A32&lt;&gt;"",COUNTIFS('QA Log'!D:D,A32,'QA Log'!M:M,"Data Verification",'QA Log'!L:L,"Other than P4P (section 6)",'QA Log'!Z:Z,"Approved"),"")</f>
        <v/>
      </c>
      <c r="AJ32" s="105" t="str">
        <f>IF(A32&lt;&gt;"",COUNTIFS('QA Log'!D:D,A32,'QA Log'!M:M,"Data Verification",'QA Log'!L:L,"Hospital Governance",'QA Log'!Z:Z,"Approved"),"")</f>
        <v/>
      </c>
      <c r="AK32" s="102" t="str">
        <f>IF(A32="","",
SUM(
COUNTIFS('QA Log'!D:D,A32,'QA Log'!M:M,"Data Verification",'QA Log'!Z:Z,"Rejected",'QA Log'!L:L,"*Medicine (section 2)*"),
COUNTIFS('QA Log'!D:D,A32,'QA Log'!M:M,"Data Verification",'QA Log'!Z:Z,"Rejected",'QA Log'!L:L,"*Lab Testing Availability*"),
COUNTIFS('QA Log'!D:D,A32,'QA Log'!M:M,"Data Verification",'QA Log'!Z:Z,"Rejected",'QA Log'!L:L,"*Other than P4P (section 6)*"),
COUNTIFS('QA Log'!D:D,A32,'QA Log'!M:M,"Data Verification",'QA Log'!Z:Z,"Rejected",'QA Log'!L:L,"*Hospital Governance*")
))</f>
        <v/>
      </c>
      <c r="AL32" s="106" t="str">
        <f t="shared" si="5"/>
        <v/>
      </c>
      <c r="AM32" s="102" t="str">
        <f t="shared" si="6"/>
        <v/>
      </c>
      <c r="AN32" s="102" t="str">
        <f>IF(A32="","",
SUM(
COUNTIFS('QA Log'!D:D,A32,'QA Log'!M:M,"Data Verification",'QA Log'!L:L,"*Personnel (section 1)*"),
COUNTIFS('QA Log'!D:D,A32,'QA Log'!M:M,"Data Verification",'QA Log'!L:L,"*Consumable (section 3)*"),
COUNTIFS('QA Log'!D:D,A32,'QA Log'!M:M,"Data Verification",'QA Log'!L:L,"*Equipments (section 4)*")
))</f>
        <v/>
      </c>
      <c r="AO32" s="102" t="str">
        <f>IF(A32="","",
SUM(
COUNTIFS('QA Log'!D:D,A32,'QA Log'!M:M,"Data Verification",'QA Log'!Z:Z,"Approved",'QA Log'!L:L,"*Personnel (section 1)*"),
COUNTIFS('QA Log'!D:D,A32,'QA Log'!M:M,"Data Verification",'QA Log'!Z:Z,"Approved",'QA Log'!L:L,"*Consumable (section 3)*"),
COUNTIFS('QA Log'!D:D,A32,'QA Log'!M:M,"Data Verification",'QA Log'!Z:Z,"Approved",'QA Log'!L:L,"*Equipments (section 4)*")
))</f>
        <v/>
      </c>
      <c r="AP32" s="105" t="str">
        <f>IF(A32&lt;&gt;"",COUNTIFS('QA Log'!D:D,A32,'QA Log'!M:M,"Data Verification",'QA Log'!L:L,"Personnel (section 1)",'QA Log'!Z:Z,"Approved"),"")</f>
        <v/>
      </c>
      <c r="AQ32" s="105" t="str">
        <f>IF(A32&lt;&gt;"",COUNTIFS('QA Log'!D:D,A32,'QA Log'!M:M,"Data Verification",'QA Log'!L:L,"Consumable (section 3)",'QA Log'!Z:Z,"Approved"),"")</f>
        <v/>
      </c>
      <c r="AR32" s="105" t="str">
        <f>IF(A32&lt;&gt;"",COUNTIFS('QA Log'!D:D,A32,'QA Log'!M:M,"Data Verification",'QA Log'!L:L,"Equipments (section 4)",'QA Log'!Z:Z,"Approved"),"")</f>
        <v/>
      </c>
      <c r="AS32" s="102" t="str">
        <f>IF(A32="","",
SUM(
COUNTIFS('QA Log'!D:D,A32,'QA Log'!M:M,"Data Verification",'QA Log'!Z:Z,"Rejected",'QA Log'!L:L,"*Personnel (section 1)*"),
COUNTIFS('QA Log'!D:D,A32,'QA Log'!M:M,"Data Verification",'QA Log'!Z:Z,"Rejected",'QA Log'!L:L,"*Consumable (section 3)*"),
COUNTIFS('QA Log'!D:D,A32,'QA Log'!M:M,"Data Verification",'QA Log'!Z:Z,"Rejected",'QA Log'!L:L,"*Equipments (section 4)*")
))</f>
        <v/>
      </c>
      <c r="AT32" s="102" t="str">
        <f t="shared" si="7"/>
        <v/>
      </c>
      <c r="AU32" s="103" t="str">
        <f t="shared" si="8"/>
        <v/>
      </c>
      <c r="AV32" s="102" t="str">
        <f>IF(A32="","",SUM(
COUNTIFS('QA Log'!D:D,A32,'QA Log'!M:M,"Vignette",'QA Log'!L:L,"*Vignette [1] Respiratory Infection: Pneumonia*"),
COUNTIFS('QA Log'!D:D,A32,'QA Log'!M:M,"Vignette",'QA Log'!L:L,"*Vignette [2]: Diarrhea with Cat B dehydration*"),
COUNTIFS('QA Log'!D:D,A32,'QA Log'!M:M,"Vignette",'QA Log'!L:L,"*Vignette [3] Growth Monitoring and Promotion*"),
COUNTIFS('QA Log'!D:D,A32,'QA Log'!M:M,"Vignette",'QA Log'!L:L,"*Vignette [4]: The management of presumptive TB patient*")
)
)</f>
        <v/>
      </c>
      <c r="AW32" s="102" t="str">
        <f>IF(
  A32="","",
  SUM(
    COUNTIFS('QA Log'!D:D,A32,'QA Log'!M:M,"Vignette",'QA Log'!Z:Z,"Approved",'QA Log'!L:L,"*Vignette [1] Respiratory Infection: Pneumonia*"),
    COUNTIFS('QA Log'!D:D,A32,'QA Log'!M:M,"Vignette",'QA Log'!Z:Z,"Approved",'QA Log'!L:L,"*Vignette [2]: Diarrhea with Cat B dehydration*"),
    COUNTIFS('QA Log'!D:D,A32,'QA Log'!M:M,"Vignette",'QA Log'!Z:Z,"Approved",'QA Log'!L:L,"*Vignette [3] Growth Monitoring and Promotion*"),
    COUNTIFS('QA Log'!D:D,A32,'QA Log'!M:M,"Vignette",'QA Log'!Z:Z,"Approved",'QA Log'!L:L,"*Vignette [4]: The management of presumptive TB patient*")
  )
)</f>
        <v/>
      </c>
      <c r="AX32" s="105" t="str">
        <f>IF(A32&lt;&gt;"",COUNTIFS('QA Log'!D:D,A32,'QA Log'!M:M,"Vignette",'QA Log'!L:L,"Vignette [1] Respiratory Infection: Pneumonia",'QA Log'!Z:Z,"Approved"),"")</f>
        <v/>
      </c>
      <c r="AY32" s="105" t="str">
        <f>IF(A32&lt;&gt;"",COUNTIFS('QA Log'!D:D,A32,'QA Log'!M:M,"Vignette",'QA Log'!L:L,"Vignette [2]: Diarrhea with Cat B dehydration",'QA Log'!Z:Z,"Approved"),"")</f>
        <v/>
      </c>
      <c r="AZ32" s="105" t="str">
        <f>IF(A32&lt;&gt;"",COUNTIFS('QA Log'!D:D,A32,'QA Log'!M:M,"Vignette",'QA Log'!L:L,"Vignette [3] Growth Monitoring and Promotion",'QA Log'!Z:Z,"Approved"),"")</f>
        <v/>
      </c>
      <c r="BA32" s="105" t="str">
        <f>IF(A32&lt;&gt;"",COUNTIFS('QA Log'!D:D,A32,'QA Log'!M:M,"Vignette",'QA Log'!L:L,"Vignette [4]: The management of presumptive TB patient",'QA Log'!Z:Z,"Approved"),"")</f>
        <v/>
      </c>
      <c r="BB32" s="102" t="str">
        <f>IF(A32="","",
  SUM(
    COUNTIFS('QA Log'!D:D,A32,'QA Log'!M:M,"Vignette",'QA Log'!Z:Z,"Rejected",'QA Log'!L:L,"*Vignette [1] Respiratory Infection: Pneumonia*"),
    COUNTIFS('QA Log'!D:D,A32,'QA Log'!M:M,"Vignette",'QA Log'!Z:Z,"Rejected",'QA Log'!L:L,"*Vignette [2]: Diarrhea with Cat B dehydration*"),
    COUNTIFS('QA Log'!D:D,A32,'QA Log'!M:M,"Vignette",'QA Log'!Z:Z,"Rejected",'QA Log'!L:L,"*Vignette [3] Growth Monitoring and Promotion*"),
    COUNTIFS('QA Log'!D:D,A32,'QA Log'!M:M,"Vignette",'QA Log'!Z:Z,"Rejected",'QA Log'!L:L,"*Vignette [4]: The management of presumptive TB patient*")
  )
)</f>
        <v/>
      </c>
      <c r="BC32" s="107" t="str">
        <f t="shared" si="9"/>
        <v/>
      </c>
      <c r="BD32" s="103" t="str">
        <f t="shared" si="10"/>
        <v/>
      </c>
      <c r="BE32" s="102" t="str">
        <f>IF(A32="","",SUM(
COUNTIFS('QA Log'!D:D,A32,'QA Log'!M:M,"Vignette",'QA Log'!L:L,"*Vignette [5] Labor*"),
COUNTIFS('QA Log'!D:D,A32,'QA Log'!M:M,"Vignette",'QA Log'!L:L,"*Vignette [6] PNC pre Discharge*"),
COUNTIFS('QA Log'!D:D,A32,'QA Log'!M:M,"Vignette",'QA Log'!L:L,"*Vignette [7] First ANC Visit*"),
COUNTIFS('QA Log'!D:D,A32,'QA Log'!M:M,"Vignette",'QA Log'!L:L,"*Vignette [8] Birth Spacing/ Family Planning :  FP Counselling*"),
COUNTIFS('QA Log'!D:D,A32,'QA Log'!M:M,"Vignette",'QA Log'!L:L,"*Vignette [9] Birth Spacing: Change FP method to Injectable*"),
COUNTIFS('QA Log'!D:D,A32,'QA Log'!M:M,"Vignette",'QA Log'!L:L,"*Vignette [10] Post Partum Haemorrhage - Atonic Uterus at Health Centre*"),
)
)</f>
        <v/>
      </c>
      <c r="BF32" s="102" t="str">
        <f>IF(A32="","",
  SUM(
    COUNTIFS('QA Log'!D:D,A32,'QA Log'!M:M,"Vignette",'QA Log'!Z:Z,"Approved",'QA Log'!L:L,"*Vignette [5] Labor*"),
    COUNTIFS('QA Log'!D:D,A32,'QA Log'!M:M,"Vignette",'QA Log'!Z:Z,"Approved",'QA Log'!L:L,"*Vignette [6] PNC pre Discharge*"),
    COUNTIFS('QA Log'!D:D,A32,'QA Log'!M:M,"Vignette",'QA Log'!Z:Z,"Approved",'QA Log'!L:L,"*Vignette [7] First ANC Visit*"),
    COUNTIFS('QA Log'!D:D,A32,'QA Log'!M:M,"Vignette",'QA Log'!Z:Z,"Approved",'QA Log'!L:L,"*Vignette [8] Birth Spacing/ Family Planning :  FP Counselling*"),
    COUNTIFS('QA Log'!D:D,A32,'QA Log'!M:M,"Vignette",'QA Log'!Z:Z,"Approved",'QA Log'!L:L,"*Vignette [9] Birth Spacing: Change FP method to Injectable*"),
    COUNTIFS('QA Log'!D:D,A32,'QA Log'!M:M,"Vignette",'QA Log'!Z:Z,"Approved",'QA Log'!L:L,"*Vignette [10] Post Partum Haemorrhage - Atonic Uterus at Health Centre*")
  )
)</f>
        <v/>
      </c>
      <c r="BG32" s="105" t="str">
        <f>IF(A32&lt;&gt;"",COUNTIFS('QA Log'!D:D,A32,'QA Log'!M:M,"Vignette",'QA Log'!L:L,"Vignette [5] Labor",'QA Log'!Z:Z,"Approved"),"")</f>
        <v/>
      </c>
      <c r="BH32" s="105" t="str">
        <f>IF(A32&lt;&gt;"",COUNTIFS('QA Log'!D:D,A32,'QA Log'!M:M,"Vignette",'QA Log'!L:L,"Vignette [6] PNC pre Discharge",'QA Log'!Z:Z,"Approved"),"")</f>
        <v/>
      </c>
      <c r="BI32" s="105" t="str">
        <f>IF(A32&lt;&gt;"",COUNTIFS('QA Log'!D:D,A32,'QA Log'!M:M,"Vignette",'QA Log'!L:L,"Vignette [7] First ANC Visit",'QA Log'!Z:Z,"Approved"),"")</f>
        <v/>
      </c>
      <c r="BJ32" s="105" t="str">
        <f>IF(A32&lt;&gt;"",COUNTIFS('QA Log'!D:D,A32,'QA Log'!M:M,"Vignette",'QA Log'!L:L,"Vignette [8] Birth Spacing/ Family Planning :  FP Counselling",'QA Log'!Z:Z,"Approved"),"")</f>
        <v/>
      </c>
      <c r="BK32" s="105" t="str">
        <f>IF(A32&lt;&gt;"",COUNTIFS('QA Log'!D:D,A32,'QA Log'!M:M,"Vignette",'QA Log'!L:L,"Vignette [9] Birth Spacing: Change FP method to Injectable",'QA Log'!Z:Z,"Approved"),"")</f>
        <v/>
      </c>
      <c r="BL32" s="105" t="str">
        <f>IF(A32&lt;&gt;"",COUNTIFS('QA Log'!D:D,A32,'QA Log'!M:M,"Vignette",'QA Log'!L:L,"Vignette [10] Post Partum Haemorrhage - Atonic Uterus at Health Centre",'QA Log'!Z:Z,"Approved"),"")</f>
        <v/>
      </c>
      <c r="BM32" s="102" t="str">
        <f>IF(A32="","",SUM(
    COUNTIFS('QA Log'!D:D,A32,'QA Log'!M:M,"Vignette",'QA Log'!Z:Z,"Rejected",'QA Log'!L:L,"*Vignette [5] Labor*"),
    COUNTIFS('QA Log'!D:D,A32,'QA Log'!M:M,"Vignette",'QA Log'!Z:Z,"Rejected",'QA Log'!L:L,"*Vignette [6] PNC pre Discharge*"),
    COUNTIFS('QA Log'!D:D,A32,'QA Log'!M:M,"Vignette",'QA Log'!Z:Z,"Rejected",'QA Log'!L:L,"*Vignette [7] First ANC Visit*"),
    COUNTIFS('QA Log'!D:D,A32,'QA Log'!M:M,"Vignette",'QA Log'!Z:Z,"Rejected",'QA Log'!L:L,"*Vignette [8] Birth Spacing/ Family Planning :  FP Counselling*"),
    COUNTIFS('QA Log'!D:D,A32,'QA Log'!M:M,"Vignette",'QA Log'!Z:Z,"Rejected",'QA Log'!L:L,"*Vignette [9] Birth Spacing: Change FP method to Injectable*"),
    COUNTIFS('QA Log'!D:D,A32,'QA Log'!M:M,"Vignette",'QA Log'!Z:Z,"Rejected",'QA Log'!L:L,"*Vignette [10] Post Partum Haemorrhage - Atonic Uterus at Health Centre*")
  )
)</f>
        <v/>
      </c>
      <c r="BN32" s="107" t="str">
        <f t="shared" si="11"/>
        <v/>
      </c>
      <c r="BO32" s="103" t="str">
        <f t="shared" si="12"/>
        <v/>
      </c>
      <c r="BP32" s="102" t="str">
        <f>IF(A32="","",SUM(
COUNTIFS('QA Log'!D:D,A32,'QA Log'!M:M,"Vignette",'QA Log'!L:L,"*Exit Interview 1*"),
COUNTIFS('QA Log'!D:D,A32,'QA Log'!M:M,"Vignette",'QA Log'!L:L,"*Exit Interview 2*"),
)
)</f>
        <v/>
      </c>
      <c r="BQ32" s="102" t="str">
        <f>IF(
  A32="","",
  SUM(
    COUNTIFS('QA Log'!D:D,A32,'QA Log'!M:M,"Vignette",'QA Log'!Z:Z,"Approved",'QA Log'!L:L,"*Exit Interview 1*"),
    COUNTIFS('QA Log'!D:D,A32,'QA Log'!M:M,"Vignette",'QA Log'!Z:Z,"Approved",'QA Log'!L:L,"*Exit Interview 2*")
  )
)</f>
        <v/>
      </c>
      <c r="BR32" s="105" t="str">
        <f>IF(A32&lt;&gt;"",COUNTIFS('QA Log'!D:D,A32,'QA Log'!M:M,"Vignette",'QA Log'!L:L,"Exit Interview 1",'QA Log'!Z:Z,"Approved"),"")</f>
        <v/>
      </c>
      <c r="BS32" s="105" t="str">
        <f>IF(A32&lt;&gt;"",COUNTIFS('QA Log'!D:D,A32,'QA Log'!M:M,"Vignette",'QA Log'!L:L,"Exit Interview 2",'QA Log'!Z:Z,"Approved"),"")</f>
        <v/>
      </c>
      <c r="BT32" s="102" t="str">
        <f>IF(
  A32="","",
  SUM(
    COUNTIFS('QA Log'!D:D,A32,'QA Log'!M:M,"Vignette",'QA Log'!Z:Z,"Rejected",'QA Log'!L:L,"*Exit Interview 1*"),
    COUNTIFS('QA Log'!D:D,A32,'QA Log'!M:M,"Vignette",'QA Log'!Z:Z,"Rejected",'QA Log'!L:L,"*Exit Interview 2*")
  )
)</f>
        <v/>
      </c>
      <c r="BU32" s="107" t="str">
        <f t="shared" si="13"/>
        <v/>
      </c>
      <c r="BV32" s="102" t="str">
        <f t="shared" si="14"/>
        <v/>
      </c>
      <c r="BW32" s="102" t="str">
        <f t="shared" si="15"/>
        <v/>
      </c>
      <c r="BX32" s="102" t="str">
        <f t="shared" si="16"/>
        <v/>
      </c>
      <c r="BY32" s="102" t="str">
        <f t="shared" si="17"/>
        <v/>
      </c>
      <c r="BZ32" s="107" t="str">
        <f t="shared" si="18"/>
        <v/>
      </c>
      <c r="CA32" s="108" t="str">
        <f t="shared" si="19"/>
        <v/>
      </c>
      <c r="CB32" s="108" t="str">
        <f t="shared" si="20"/>
        <v/>
      </c>
      <c r="CC32" s="109" t="str">
        <f t="shared" si="21"/>
        <v/>
      </c>
      <c r="CD32" s="108" t="str">
        <f t="shared" si="22"/>
        <v/>
      </c>
      <c r="CE32" s="108" t="str">
        <f t="shared" si="23"/>
        <v/>
      </c>
      <c r="CF32" s="109" t="str">
        <f t="shared" si="24"/>
        <v/>
      </c>
      <c r="CG32" s="110" t="str">
        <f t="shared" si="25"/>
        <v/>
      </c>
      <c r="CH32" s="111"/>
    </row>
    <row r="33" spans="1:86" ht="12.75">
      <c r="A33" s="101"/>
      <c r="B33" s="102" t="e">
        <f t="array" aca="1" ref="B33" ca="1">_xludf.XLOOKUP(A33,'QA Log'!D:D,'QA Log'!E:E,"")</f>
        <v>#NAME?</v>
      </c>
      <c r="C33" s="102" t="e">
        <f t="array" aca="1" ref="C33" ca="1">_xludf.XLOOKUP(A33,'QA Log'!D:D,'QA Log'!F:F,"")</f>
        <v>#NAME?</v>
      </c>
      <c r="D33" s="102" t="e">
        <f t="array" aca="1" ref="D33" ca="1">_xludf.XLOOKUP(A33,'QA Log'!D:D,'QA Log'!H:H,"")</f>
        <v>#NAME?</v>
      </c>
      <c r="E33" s="102" t="e">
        <f t="array" aca="1" ref="E33" ca="1">_xludf.XLOOKUP(A33,'QA Log'!D:D,'QA Log'!G:G,"")</f>
        <v>#NAME?</v>
      </c>
      <c r="F33" s="103"/>
      <c r="G33" s="104"/>
      <c r="H33" s="104"/>
      <c r="I33" s="103" t="str">
        <f t="shared" si="0"/>
        <v/>
      </c>
      <c r="J33" s="102" t="str">
        <f>IF(A33="","",SUM(
COUNTIFS('QA Log'!D:D,A33,'QA Log'!M:M,"QQC",'QA Log'!L:L,"*1. General Management*"),
COUNTIFS('QA Log'!D:D,A33,'QA Log'!M:M,"QQC",'QA Log'!L:L,"*3. Curative Consultation (OPD)*"),
COUNTIFS('QA Log'!D:D,A33,'QA Log'!M:M,"QQC",'QA Log'!L:L,"*5. Laboratory*"),
COUNTIFS('QA Log'!D:D,A33,'QA Log'!M:M,"QQC",'QA Log'!L:L,"*6. Essential Medicine Management*"),
COUNTIFS('QA Log'!D:D,A33,'QA Log'!M:M,"QQC",'QA Log'!L:L,"*7. Tracer Medicine*"),
COUNTIFS('QA Log'!D:D,A33,'QA Log'!M:M,"QQC",'QA Log'!L:L,"*11. Additional Questions*")))</f>
        <v/>
      </c>
      <c r="K33" s="102" t="str">
        <f>IF(A33="","",SUM(
COUNTIFS('QA Log'!D:D,A33,'QA Log'!M:M,"QQC",'QA Log'!Z:Z,"Approved",'QA Log'!L:L,"*1. General Management*"),
COUNTIFS('QA Log'!D:D,A33,'QA Log'!M:M,"QQC",'QA Log'!Z:Z,"Approved",'QA Log'!L:L,"*3. Curative Consultation (OPD)*"),
COUNTIFS('QA Log'!D:D,A33,'QA Log'!M:M,"QQC",'QA Log'!Z:Z,"Approved",'QA Log'!L:L,"*5. Laboratory*"),
COUNTIFS('QA Log'!D:D,A33,'QA Log'!M:M,"QQC",'QA Log'!Z:Z,"Approved",'QA Log'!L:L,"*6. Essential Medicine Management*"),
COUNTIFS('QA Log'!D:D,A33,'QA Log'!M:M,"QQC",'QA Log'!Z:Z,"Approved",'QA Log'!L:L,"*7. Tracer Medicine*"),
COUNTIFS('QA Log'!D:D,A33,'QA Log'!M:M,"QQC",'QA Log'!Z:Z,"Approved",'QA Log'!L:L,"*11. Additional Questions*")))</f>
        <v/>
      </c>
      <c r="L33" s="105" t="str">
        <f>IF(A33&lt;&gt;"",COUNTIFS('QA Log'!D:D,A33,'QA Log'!M:M,"QQC",'QA Log'!L:L,"1. General Management",'QA Log'!Z:Z,"Approved"),"")</f>
        <v/>
      </c>
      <c r="M33" s="105" t="str">
        <f>IF(A33&lt;&gt;"",COUNTIFS('QA Log'!D:D,A33,'QA Log'!M:M,"QQC",'QA Log'!L:L,"3. Curative Consultation (OPD)",'QA Log'!Z:Z,"Approved"),"")</f>
        <v/>
      </c>
      <c r="N33" s="105" t="str">
        <f>IF(A33&lt;&gt;"",COUNTIFS('QA Log'!D:D,A33,'QA Log'!M:M,"QQC",'QA Log'!L:L,"5. Laboratory",'QA Log'!Z:Z,"Approved"),"")</f>
        <v/>
      </c>
      <c r="O33" s="105" t="str">
        <f>IF(A33&lt;&gt;"",COUNTIFS('QA Log'!D:D,A33,'QA Log'!M:M,"QQC",'QA Log'!L:L,"6. Essential Medicine Management",'QA Log'!Z:Z,"Approved"),"")</f>
        <v/>
      </c>
      <c r="P33" s="105" t="str">
        <f>IF(A33&lt;&gt;"",COUNTIFS('QA Log'!D:D,A33,'QA Log'!M:M,"QQC",'QA Log'!L:L,"7. Tracer Medicine",'QA Log'!Z:Z,"Approved"),"")</f>
        <v/>
      </c>
      <c r="Q33" s="105" t="str">
        <f>IF(A33&lt;&gt;"",COUNTIFS('QA Log'!D:D,A33,'QA Log'!M:M,"QQC",'QA Log'!L:L,"11. Additional Questions",'QA Log'!Z:Z,"Approved"),"")</f>
        <v/>
      </c>
      <c r="R33" s="102" t="str">
        <f>IF(A33="","",SUM(
COUNTIFS('QA Log'!D:D,A33,'QA Log'!M:M,"QQC",'QA Log'!Z:Z,"Rejected",'QA Log'!L:L,"*8. Maternity*"),
COUNTIFS('QA Log'!D:D,A33,'QA Log'!M:M,"QQC",'QA Log'!Z:Z,"Rejected",'QA Log'!L:L,"*EPI*"),
COUNTIFS('QA Log'!D:D,A33,'QA Log'!M:M,"QQC",'QA Log'!Z:Z,"Rejected",'QA Log'!L:L,"*10. Antenatal Care (ANC)*"),
COUNTIFS('QA Log'!D:D,A33,'QA Log'!M:M,"QQC",'QA Log'!Z:Z,"Rejected",'QA Log'!L:L,"*2. Hygiene and Sterilization*"),
COUNTIFS('QA Log'!D:D,A33,'QA Log'!M:M,"QQC",'QA Log'!Z:Z,"Rejected",'QA Log'!L:L,"*Family Planning*")))</f>
        <v/>
      </c>
      <c r="S33" s="106" t="str">
        <f t="shared" si="1"/>
        <v/>
      </c>
      <c r="T33" s="102" t="str">
        <f t="shared" si="2"/>
        <v/>
      </c>
      <c r="U33" s="102" t="str">
        <f>IF(A33="","",
SUM(
COUNTIFS('QA Log'!D:D,A33,'QA Log'!M:M,"QQC",'QA Log'!L:L,"*8. Maternity*"),
COUNTIFS('QA Log'!D:D,A33,'QA Log'!M:M,"QQC",'QA Log'!L:L,"*9. EPI and Pre-school Consultation*"),
COUNTIFS('QA Log'!D:D,A33,'QA Log'!M:M,"QQC",'QA Log'!L:L,"*10. Antenatal Care (ANC)*"),
COUNTIFS('QA Log'!D:D,A33,'QA Log'!M:M,"QQC",'QA Log'!L:L,"*2. Hygiene and Sterilization*"),
COUNTIFS('QA Log'!D:D,A33,'QA Log'!M:M,"QQC",'QA Log'!L:L,"*4. Family Planning*")
))</f>
        <v/>
      </c>
      <c r="V33" s="102" t="str">
        <f>IF(A33="","",
SUM(
COUNTIFS('QA Log'!D:D,A33,'QA Log'!M:M,"QQC",'QA Log'!Z:Z,"Approved",'QA Log'!L:L,"*8. Maternity*"),
COUNTIFS('QA Log'!D:D,A33,'QA Log'!M:M,"QQC",'QA Log'!Z:Z,"Approved",'QA Log'!L:L,"*9. EPI and Pre-school Consultation*"),
COUNTIFS('QA Log'!D:D,A33,'QA Log'!M:M,"QQC",'QA Log'!Z:Z,"Approved",'QA Log'!L:L,"*10. Antenatal Care (ANC)*"),
COUNTIFS('QA Log'!D:D,A33,'QA Log'!M:M,"QQC",'QA Log'!Z:Z,"Approved",'QA Log'!L:L,"*2. Hygiene and Sterilization*"),
COUNTIFS('QA Log'!D:D,A33,'QA Log'!M:M,"QQC",'QA Log'!Z:Z,"Approved",'QA Log'!L:L,"*4. Family Planning*")
))</f>
        <v/>
      </c>
      <c r="W33" s="105" t="str">
        <f>IF(A33&lt;&gt;"",COUNTIFS('QA Log'!D:D,A33,'QA Log'!M:M,"QQC",'QA Log'!L:L,"8. Maternity",'QA Log'!Z:Z,"Approved"),"")</f>
        <v/>
      </c>
      <c r="X33" s="105" t="str">
        <f>IF(A33&lt;&gt;"",COUNTIFS('QA Log'!D:D,A33,'QA Log'!M:M,"QQC",'QA Log'!L:L,"9. EPI and Pre-school Consultation",'QA Log'!Z:Z,"Approved"),"")</f>
        <v/>
      </c>
      <c r="Y33" s="105" t="str">
        <f>IF(A33&lt;&gt;"",COUNTIFS('QA Log'!D:D,A33,'QA Log'!M:M,"QQC",'QA Log'!L:L,"10. Antenatal Care (ANC)",'QA Log'!Z:Z,"Approved"),"")</f>
        <v/>
      </c>
      <c r="Z33" s="105" t="str">
        <f>IF(A33&lt;&gt;"",COUNTIFS('QA Log'!D:D,A33,'QA Log'!M:M,"QQC",'QA Log'!L:L,"2. Hygiene and Sterilization",'QA Log'!Z:Z,"Approved"),"")</f>
        <v/>
      </c>
      <c r="AA33" s="105" t="str">
        <f>IF(A33&lt;&gt;"",COUNTIFS('QA Log'!D:D,A33,'QA Log'!M:M,"QQC",'QA Log'!L:L,"4. Family Planning",'QA Log'!Z:Z,"Approved"),"")</f>
        <v/>
      </c>
      <c r="AB33" s="102" t="str">
        <f>IF(A33="","",
SUM(
COUNTIFS('QA Log'!D:D,A33,'QA Log'!M:M,"QQC",'QA Log'!Z:Z,"Rejected",'QA Log'!L:L,"*8. Maternity*"),
COUNTIFS('QA Log'!D:D,A33,'QA Log'!M:M,"QQC",'QA Log'!Z:Z,"Rejected",'QA Log'!L:L,"*9. EPI and Pre-school Consultation*"),
COUNTIFS('QA Log'!D:D,A33,'QA Log'!M:M,"QQC",'QA Log'!Z:Z,"Rejected",'QA Log'!L:L,"*10. Antenatal Care (ANC)*"),
COUNTIFS('QA Log'!D:D,A33,'QA Log'!M:M,"QQC",'QA Log'!Z:Z,"Rejected",'QA Log'!L:L,"*2. Hygiene and Sterilization*"),
COUNTIFS('QA Log'!D:D,A33,'QA Log'!M:M,"QQC",'QA Log'!Z:Z,"Rejected",'QA Log'!L:L,"*4. Family Planning*")
))</f>
        <v/>
      </c>
      <c r="AC33" s="102" t="str">
        <f t="shared" si="3"/>
        <v/>
      </c>
      <c r="AD33" s="103" t="str">
        <f t="shared" si="4"/>
        <v/>
      </c>
      <c r="AE33" s="102" t="str">
        <f>IF(A33="","",
SUM(
COUNTIFS('QA Log'!D:D,A33,'QA Log'!M:M,"Data Verification",'QA Log'!L:L,"*Medicine (section 2)*"),
COUNTIFS('QA Log'!D:D,A33,'QA Log'!M:M,"Data Verification",'QA Log'!L:L,"*Lab Testing Availability*"),
COUNTIFS('QA Log'!D:D,A33,'QA Log'!M:M,"Data Verification",'QA Log'!L:L,"*Other than P4P (section 6)*"),
COUNTIFS('QA Log'!D:D,A33,'QA Log'!M:M,"Data Verification",'QA Log'!L:L,"*Hospital Governance*")
))</f>
        <v/>
      </c>
      <c r="AF33" s="102" t="str">
        <f>IF(A33="","",
SUM(
COUNTIFS('QA Log'!D:D,A33,'QA Log'!M:M,"Data Verification",'QA Log'!Z:Z,"Approved",'QA Log'!L:L,"*Medicine (section 2)*"),
COUNTIFS('QA Log'!D:D,A33,'QA Log'!M:M,"Data Verification",'QA Log'!Z:Z,"Approved",'QA Log'!L:L,"*Lab Testing Availability*"),
COUNTIFS('QA Log'!D:D,A33,'QA Log'!M:M,"Data Verification",'QA Log'!Z:Z,"Approved",'QA Log'!L:L,"*Other than P4P (section 6)*"),
COUNTIFS('QA Log'!D:D,A33,'QA Log'!M:M,"Data Verification",'QA Log'!Z:Z,"Approved",'QA Log'!L:L,"*Hospital Governance*")
))</f>
        <v/>
      </c>
      <c r="AG33" s="105" t="str">
        <f>IF(A33&lt;&gt;"",COUNTIFS('QA Log'!D:D,A33,'QA Log'!M:M,"Data Verification",'QA Log'!L:L,"Medicine (section 2)",'QA Log'!Z:Z,"Approved"),"")</f>
        <v/>
      </c>
      <c r="AH33" s="105" t="str">
        <f>IF(A33&lt;&gt;"",COUNTIFS('QA Log'!D:D,A33,'QA Log'!M:M,"Data Verification",'QA Log'!L:L,"Lab Testing Availability",'QA Log'!Z:Z,"Approved"),"")</f>
        <v/>
      </c>
      <c r="AI33" s="105" t="str">
        <f>IF(A33&lt;&gt;"",COUNTIFS('QA Log'!D:D,A33,'QA Log'!M:M,"Data Verification",'QA Log'!L:L,"Other than P4P (section 6)",'QA Log'!Z:Z,"Approved"),"")</f>
        <v/>
      </c>
      <c r="AJ33" s="105" t="str">
        <f>IF(A33&lt;&gt;"",COUNTIFS('QA Log'!D:D,A33,'QA Log'!M:M,"Data Verification",'QA Log'!L:L,"Hospital Governance",'QA Log'!Z:Z,"Approved"),"")</f>
        <v/>
      </c>
      <c r="AK33" s="102" t="str">
        <f>IF(A33="","",
SUM(
COUNTIFS('QA Log'!D:D,A33,'QA Log'!M:M,"Data Verification",'QA Log'!Z:Z,"Rejected",'QA Log'!L:L,"*Medicine (section 2)*"),
COUNTIFS('QA Log'!D:D,A33,'QA Log'!M:M,"Data Verification",'QA Log'!Z:Z,"Rejected",'QA Log'!L:L,"*Lab Testing Availability*"),
COUNTIFS('QA Log'!D:D,A33,'QA Log'!M:M,"Data Verification",'QA Log'!Z:Z,"Rejected",'QA Log'!L:L,"*Other than P4P (section 6)*"),
COUNTIFS('QA Log'!D:D,A33,'QA Log'!M:M,"Data Verification",'QA Log'!Z:Z,"Rejected",'QA Log'!L:L,"*Hospital Governance*")
))</f>
        <v/>
      </c>
      <c r="AL33" s="106" t="str">
        <f t="shared" si="5"/>
        <v/>
      </c>
      <c r="AM33" s="102" t="str">
        <f t="shared" si="6"/>
        <v/>
      </c>
      <c r="AN33" s="102" t="str">
        <f>IF(A33="","",
SUM(
COUNTIFS('QA Log'!D:D,A33,'QA Log'!M:M,"Data Verification",'QA Log'!L:L,"*Personnel (section 1)*"),
COUNTIFS('QA Log'!D:D,A33,'QA Log'!M:M,"Data Verification",'QA Log'!L:L,"*Consumable (section 3)*"),
COUNTIFS('QA Log'!D:D,A33,'QA Log'!M:M,"Data Verification",'QA Log'!L:L,"*Equipments (section 4)*")
))</f>
        <v/>
      </c>
      <c r="AO33" s="102" t="str">
        <f>IF(A33="","",
SUM(
COUNTIFS('QA Log'!D:D,A33,'QA Log'!M:M,"Data Verification",'QA Log'!Z:Z,"Approved",'QA Log'!L:L,"*Personnel (section 1)*"),
COUNTIFS('QA Log'!D:D,A33,'QA Log'!M:M,"Data Verification",'QA Log'!Z:Z,"Approved",'QA Log'!L:L,"*Consumable (section 3)*"),
COUNTIFS('QA Log'!D:D,A33,'QA Log'!M:M,"Data Verification",'QA Log'!Z:Z,"Approved",'QA Log'!L:L,"*Equipments (section 4)*")
))</f>
        <v/>
      </c>
      <c r="AP33" s="105" t="str">
        <f>IF(A33&lt;&gt;"",COUNTIFS('QA Log'!D:D,A33,'QA Log'!M:M,"Data Verification",'QA Log'!L:L,"Personnel (section 1)",'QA Log'!Z:Z,"Approved"),"")</f>
        <v/>
      </c>
      <c r="AQ33" s="105" t="str">
        <f>IF(A33&lt;&gt;"",COUNTIFS('QA Log'!D:D,A33,'QA Log'!M:M,"Data Verification",'QA Log'!L:L,"Consumable (section 3)",'QA Log'!Z:Z,"Approved"),"")</f>
        <v/>
      </c>
      <c r="AR33" s="105" t="str">
        <f>IF(A33&lt;&gt;"",COUNTIFS('QA Log'!D:D,A33,'QA Log'!M:M,"Data Verification",'QA Log'!L:L,"Equipments (section 4)",'QA Log'!Z:Z,"Approved"),"")</f>
        <v/>
      </c>
      <c r="AS33" s="102" t="str">
        <f>IF(A33="","",
SUM(
COUNTIFS('QA Log'!D:D,A33,'QA Log'!M:M,"Data Verification",'QA Log'!Z:Z,"Rejected",'QA Log'!L:L,"*Personnel (section 1)*"),
COUNTIFS('QA Log'!D:D,A33,'QA Log'!M:M,"Data Verification",'QA Log'!Z:Z,"Rejected",'QA Log'!L:L,"*Consumable (section 3)*"),
COUNTIFS('QA Log'!D:D,A33,'QA Log'!M:M,"Data Verification",'QA Log'!Z:Z,"Rejected",'QA Log'!L:L,"*Equipments (section 4)*")
))</f>
        <v/>
      </c>
      <c r="AT33" s="102" t="str">
        <f t="shared" si="7"/>
        <v/>
      </c>
      <c r="AU33" s="103" t="str">
        <f t="shared" si="8"/>
        <v/>
      </c>
      <c r="AV33" s="102" t="str">
        <f>IF(A33="","",SUM(
COUNTIFS('QA Log'!D:D,A33,'QA Log'!M:M,"Vignette",'QA Log'!L:L,"*Vignette [1] Respiratory Infection: Pneumonia*"),
COUNTIFS('QA Log'!D:D,A33,'QA Log'!M:M,"Vignette",'QA Log'!L:L,"*Vignette [2]: Diarrhea with Cat B dehydration*"),
COUNTIFS('QA Log'!D:D,A33,'QA Log'!M:M,"Vignette",'QA Log'!L:L,"*Vignette [3] Growth Monitoring and Promotion*"),
COUNTIFS('QA Log'!D:D,A33,'QA Log'!M:M,"Vignette",'QA Log'!L:L,"*Vignette [4]: The management of presumptive TB patient*")
)
)</f>
        <v/>
      </c>
      <c r="AW33" s="102" t="str">
        <f>IF(
  A33="","",
  SUM(
    COUNTIFS('QA Log'!D:D,A33,'QA Log'!M:M,"Vignette",'QA Log'!Z:Z,"Approved",'QA Log'!L:L,"*Vignette [1] Respiratory Infection: Pneumonia*"),
    COUNTIFS('QA Log'!D:D,A33,'QA Log'!M:M,"Vignette",'QA Log'!Z:Z,"Approved",'QA Log'!L:L,"*Vignette [2]: Diarrhea with Cat B dehydration*"),
    COUNTIFS('QA Log'!D:D,A33,'QA Log'!M:M,"Vignette",'QA Log'!Z:Z,"Approved",'QA Log'!L:L,"*Vignette [3] Growth Monitoring and Promotion*"),
    COUNTIFS('QA Log'!D:D,A33,'QA Log'!M:M,"Vignette",'QA Log'!Z:Z,"Approved",'QA Log'!L:L,"*Vignette [4]: The management of presumptive TB patient*")
  )
)</f>
        <v/>
      </c>
      <c r="AX33" s="105" t="str">
        <f>IF(A33&lt;&gt;"",COUNTIFS('QA Log'!D:D,A33,'QA Log'!M:M,"Vignette",'QA Log'!L:L,"Vignette [1] Respiratory Infection: Pneumonia",'QA Log'!Z:Z,"Approved"),"")</f>
        <v/>
      </c>
      <c r="AY33" s="105" t="str">
        <f>IF(A33&lt;&gt;"",COUNTIFS('QA Log'!D:D,A33,'QA Log'!M:M,"Vignette",'QA Log'!L:L,"Vignette [2]: Diarrhea with Cat B dehydration",'QA Log'!Z:Z,"Approved"),"")</f>
        <v/>
      </c>
      <c r="AZ33" s="105" t="str">
        <f>IF(A33&lt;&gt;"",COUNTIFS('QA Log'!D:D,A33,'QA Log'!M:M,"Vignette",'QA Log'!L:L,"Vignette [3] Growth Monitoring and Promotion",'QA Log'!Z:Z,"Approved"),"")</f>
        <v/>
      </c>
      <c r="BA33" s="105" t="str">
        <f>IF(A33&lt;&gt;"",COUNTIFS('QA Log'!D:D,A33,'QA Log'!M:M,"Vignette",'QA Log'!L:L,"Vignette [4]: The management of presumptive TB patient",'QA Log'!Z:Z,"Approved"),"")</f>
        <v/>
      </c>
      <c r="BB33" s="102" t="str">
        <f>IF(A33="","",
  SUM(
    COUNTIFS('QA Log'!D:D,A33,'QA Log'!M:M,"Vignette",'QA Log'!Z:Z,"Rejected",'QA Log'!L:L,"*Vignette [1] Respiratory Infection: Pneumonia*"),
    COUNTIFS('QA Log'!D:D,A33,'QA Log'!M:M,"Vignette",'QA Log'!Z:Z,"Rejected",'QA Log'!L:L,"*Vignette [2]: Diarrhea with Cat B dehydration*"),
    COUNTIFS('QA Log'!D:D,A33,'QA Log'!M:M,"Vignette",'QA Log'!Z:Z,"Rejected",'QA Log'!L:L,"*Vignette [3] Growth Monitoring and Promotion*"),
    COUNTIFS('QA Log'!D:D,A33,'QA Log'!M:M,"Vignette",'QA Log'!Z:Z,"Rejected",'QA Log'!L:L,"*Vignette [4]: The management of presumptive TB patient*")
  )
)</f>
        <v/>
      </c>
      <c r="BC33" s="107" t="str">
        <f t="shared" si="9"/>
        <v/>
      </c>
      <c r="BD33" s="103" t="str">
        <f t="shared" si="10"/>
        <v/>
      </c>
      <c r="BE33" s="102" t="str">
        <f>IF(A33="","",SUM(
COUNTIFS('QA Log'!D:D,A33,'QA Log'!M:M,"Vignette",'QA Log'!L:L,"*Vignette [5] Labor*"),
COUNTIFS('QA Log'!D:D,A33,'QA Log'!M:M,"Vignette",'QA Log'!L:L,"*Vignette [6] PNC pre Discharge*"),
COUNTIFS('QA Log'!D:D,A33,'QA Log'!M:M,"Vignette",'QA Log'!L:L,"*Vignette [7] First ANC Visit*"),
COUNTIFS('QA Log'!D:D,A33,'QA Log'!M:M,"Vignette",'QA Log'!L:L,"*Vignette [8] Birth Spacing/ Family Planning :  FP Counselling*"),
COUNTIFS('QA Log'!D:D,A33,'QA Log'!M:M,"Vignette",'QA Log'!L:L,"*Vignette [9] Birth Spacing: Change FP method to Injectable*"),
COUNTIFS('QA Log'!D:D,A33,'QA Log'!M:M,"Vignette",'QA Log'!L:L,"*Vignette [10] Post Partum Haemorrhage - Atonic Uterus at Health Centre*"),
)
)</f>
        <v/>
      </c>
      <c r="BF33" s="102" t="str">
        <f>IF(A33="","",
  SUM(
    COUNTIFS('QA Log'!D:D,A33,'QA Log'!M:M,"Vignette",'QA Log'!Z:Z,"Approved",'QA Log'!L:L,"*Vignette [5] Labor*"),
    COUNTIFS('QA Log'!D:D,A33,'QA Log'!M:M,"Vignette",'QA Log'!Z:Z,"Approved",'QA Log'!L:L,"*Vignette [6] PNC pre Discharge*"),
    COUNTIFS('QA Log'!D:D,A33,'QA Log'!M:M,"Vignette",'QA Log'!Z:Z,"Approved",'QA Log'!L:L,"*Vignette [7] First ANC Visit*"),
    COUNTIFS('QA Log'!D:D,A33,'QA Log'!M:M,"Vignette",'QA Log'!Z:Z,"Approved",'QA Log'!L:L,"*Vignette [8] Birth Spacing/ Family Planning :  FP Counselling*"),
    COUNTIFS('QA Log'!D:D,A33,'QA Log'!M:M,"Vignette",'QA Log'!Z:Z,"Approved",'QA Log'!L:L,"*Vignette [9] Birth Spacing: Change FP method to Injectable*"),
    COUNTIFS('QA Log'!D:D,A33,'QA Log'!M:M,"Vignette",'QA Log'!Z:Z,"Approved",'QA Log'!L:L,"*Vignette [10] Post Partum Haemorrhage - Atonic Uterus at Health Centre*")
  )
)</f>
        <v/>
      </c>
      <c r="BG33" s="105" t="str">
        <f>IF(A33&lt;&gt;"",COUNTIFS('QA Log'!D:D,A33,'QA Log'!M:M,"Vignette",'QA Log'!L:L,"Vignette [5] Labor",'QA Log'!Z:Z,"Approved"),"")</f>
        <v/>
      </c>
      <c r="BH33" s="105" t="str">
        <f>IF(A33&lt;&gt;"",COUNTIFS('QA Log'!D:D,A33,'QA Log'!M:M,"Vignette",'QA Log'!L:L,"Vignette [6] PNC pre Discharge",'QA Log'!Z:Z,"Approved"),"")</f>
        <v/>
      </c>
      <c r="BI33" s="105" t="str">
        <f>IF(A33&lt;&gt;"",COUNTIFS('QA Log'!D:D,A33,'QA Log'!M:M,"Vignette",'QA Log'!L:L,"Vignette [7] First ANC Visit",'QA Log'!Z:Z,"Approved"),"")</f>
        <v/>
      </c>
      <c r="BJ33" s="105" t="str">
        <f>IF(A33&lt;&gt;"",COUNTIFS('QA Log'!D:D,A33,'QA Log'!M:M,"Vignette",'QA Log'!L:L,"Vignette [8] Birth Spacing/ Family Planning :  FP Counselling",'QA Log'!Z:Z,"Approved"),"")</f>
        <v/>
      </c>
      <c r="BK33" s="105" t="str">
        <f>IF(A33&lt;&gt;"",COUNTIFS('QA Log'!D:D,A33,'QA Log'!M:M,"Vignette",'QA Log'!L:L,"Vignette [9] Birth Spacing: Change FP method to Injectable",'QA Log'!Z:Z,"Approved"),"")</f>
        <v/>
      </c>
      <c r="BL33" s="105" t="str">
        <f>IF(A33&lt;&gt;"",COUNTIFS('QA Log'!D:D,A33,'QA Log'!M:M,"Vignette",'QA Log'!L:L,"Vignette [10] Post Partum Haemorrhage - Atonic Uterus at Health Centre",'QA Log'!Z:Z,"Approved"),"")</f>
        <v/>
      </c>
      <c r="BM33" s="102" t="str">
        <f>IF(A33="","",SUM(
    COUNTIFS('QA Log'!D:D,A33,'QA Log'!M:M,"Vignette",'QA Log'!Z:Z,"Rejected",'QA Log'!L:L,"*Vignette [5] Labor*"),
    COUNTIFS('QA Log'!D:D,A33,'QA Log'!M:M,"Vignette",'QA Log'!Z:Z,"Rejected",'QA Log'!L:L,"*Vignette [6] PNC pre Discharge*"),
    COUNTIFS('QA Log'!D:D,A33,'QA Log'!M:M,"Vignette",'QA Log'!Z:Z,"Rejected",'QA Log'!L:L,"*Vignette [7] First ANC Visit*"),
    COUNTIFS('QA Log'!D:D,A33,'QA Log'!M:M,"Vignette",'QA Log'!Z:Z,"Rejected",'QA Log'!L:L,"*Vignette [8] Birth Spacing/ Family Planning :  FP Counselling*"),
    COUNTIFS('QA Log'!D:D,A33,'QA Log'!M:M,"Vignette",'QA Log'!Z:Z,"Rejected",'QA Log'!L:L,"*Vignette [9] Birth Spacing: Change FP method to Injectable*"),
    COUNTIFS('QA Log'!D:D,A33,'QA Log'!M:M,"Vignette",'QA Log'!Z:Z,"Rejected",'QA Log'!L:L,"*Vignette [10] Post Partum Haemorrhage - Atonic Uterus at Health Centre*")
  )
)</f>
        <v/>
      </c>
      <c r="BN33" s="107" t="str">
        <f t="shared" si="11"/>
        <v/>
      </c>
      <c r="BO33" s="103" t="str">
        <f t="shared" si="12"/>
        <v/>
      </c>
      <c r="BP33" s="102" t="str">
        <f>IF(A33="","",SUM(
COUNTIFS('QA Log'!D:D,A33,'QA Log'!M:M,"Vignette",'QA Log'!L:L,"*Exit Interview 1*"),
COUNTIFS('QA Log'!D:D,A33,'QA Log'!M:M,"Vignette",'QA Log'!L:L,"*Exit Interview 2*"),
)
)</f>
        <v/>
      </c>
      <c r="BQ33" s="102" t="str">
        <f>IF(
  A33="","",
  SUM(
    COUNTIFS('QA Log'!D:D,A33,'QA Log'!M:M,"Vignette",'QA Log'!Z:Z,"Approved",'QA Log'!L:L,"*Exit Interview 1*"),
    COUNTIFS('QA Log'!D:D,A33,'QA Log'!M:M,"Vignette",'QA Log'!Z:Z,"Approved",'QA Log'!L:L,"*Exit Interview 2*")
  )
)</f>
        <v/>
      </c>
      <c r="BR33" s="105" t="str">
        <f>IF(A33&lt;&gt;"",COUNTIFS('QA Log'!D:D,A33,'QA Log'!M:M,"Vignette",'QA Log'!L:L,"Exit Interview 1",'QA Log'!Z:Z,"Approved"),"")</f>
        <v/>
      </c>
      <c r="BS33" s="105" t="str">
        <f>IF(A33&lt;&gt;"",COUNTIFS('QA Log'!D:D,A33,'QA Log'!M:M,"Vignette",'QA Log'!L:L,"Exit Interview 2",'QA Log'!Z:Z,"Approved"),"")</f>
        <v/>
      </c>
      <c r="BT33" s="102" t="str">
        <f>IF(
  A33="","",
  SUM(
    COUNTIFS('QA Log'!D:D,A33,'QA Log'!M:M,"Vignette",'QA Log'!Z:Z,"Rejected",'QA Log'!L:L,"*Exit Interview 1*"),
    COUNTIFS('QA Log'!D:D,A33,'QA Log'!M:M,"Vignette",'QA Log'!Z:Z,"Rejected",'QA Log'!L:L,"*Exit Interview 2*")
  )
)</f>
        <v/>
      </c>
      <c r="BU33" s="107" t="str">
        <f t="shared" si="13"/>
        <v/>
      </c>
      <c r="BV33" s="102" t="str">
        <f t="shared" si="14"/>
        <v/>
      </c>
      <c r="BW33" s="102" t="str">
        <f t="shared" si="15"/>
        <v/>
      </c>
      <c r="BX33" s="102" t="str">
        <f t="shared" si="16"/>
        <v/>
      </c>
      <c r="BY33" s="102" t="str">
        <f t="shared" si="17"/>
        <v/>
      </c>
      <c r="BZ33" s="107" t="str">
        <f t="shared" si="18"/>
        <v/>
      </c>
      <c r="CA33" s="108" t="str">
        <f t="shared" si="19"/>
        <v/>
      </c>
      <c r="CB33" s="108" t="str">
        <f t="shared" si="20"/>
        <v/>
      </c>
      <c r="CC33" s="109" t="str">
        <f t="shared" si="21"/>
        <v/>
      </c>
      <c r="CD33" s="108" t="str">
        <f t="shared" si="22"/>
        <v/>
      </c>
      <c r="CE33" s="108" t="str">
        <f t="shared" si="23"/>
        <v/>
      </c>
      <c r="CF33" s="109" t="str">
        <f t="shared" si="24"/>
        <v/>
      </c>
      <c r="CG33" s="110" t="str">
        <f t="shared" si="25"/>
        <v/>
      </c>
      <c r="CH33" s="111"/>
    </row>
    <row r="34" spans="1:86" ht="12.75">
      <c r="A34" s="101"/>
      <c r="B34" s="102" t="e">
        <f t="array" aca="1" ref="B34" ca="1">_xludf.XLOOKUP(A34,'QA Log'!D:D,'QA Log'!E:E,"")</f>
        <v>#NAME?</v>
      </c>
      <c r="C34" s="102" t="e">
        <f t="array" aca="1" ref="C34" ca="1">_xludf.XLOOKUP(A34,'QA Log'!D:D,'QA Log'!F:F,"")</f>
        <v>#NAME?</v>
      </c>
      <c r="D34" s="102" t="e">
        <f t="array" aca="1" ref="D34" ca="1">_xludf.XLOOKUP(A34,'QA Log'!D:D,'QA Log'!H:H,"")</f>
        <v>#NAME?</v>
      </c>
      <c r="E34" s="102" t="e">
        <f t="array" aca="1" ref="E34" ca="1">_xludf.XLOOKUP(A34,'QA Log'!D:D,'QA Log'!G:G,"")</f>
        <v>#NAME?</v>
      </c>
      <c r="F34" s="103"/>
      <c r="G34" s="104"/>
      <c r="H34" s="104"/>
      <c r="I34" s="103" t="str">
        <f t="shared" si="0"/>
        <v/>
      </c>
      <c r="J34" s="102" t="str">
        <f>IF(A34="","",SUM(
COUNTIFS('QA Log'!D:D,A34,'QA Log'!M:M,"QQC",'QA Log'!L:L,"*1. General Management*"),
COUNTIFS('QA Log'!D:D,A34,'QA Log'!M:M,"QQC",'QA Log'!L:L,"*3. Curative Consultation (OPD)*"),
COUNTIFS('QA Log'!D:D,A34,'QA Log'!M:M,"QQC",'QA Log'!L:L,"*5. Laboratory*"),
COUNTIFS('QA Log'!D:D,A34,'QA Log'!M:M,"QQC",'QA Log'!L:L,"*6. Essential Medicine Management*"),
COUNTIFS('QA Log'!D:D,A34,'QA Log'!M:M,"QQC",'QA Log'!L:L,"*7. Tracer Medicine*"),
COUNTIFS('QA Log'!D:D,A34,'QA Log'!M:M,"QQC",'QA Log'!L:L,"*11. Additional Questions*")))</f>
        <v/>
      </c>
      <c r="K34" s="102" t="str">
        <f>IF(A34="","",SUM(
COUNTIFS('QA Log'!D:D,A34,'QA Log'!M:M,"QQC",'QA Log'!Z:Z,"Approved",'QA Log'!L:L,"*1. General Management*"),
COUNTIFS('QA Log'!D:D,A34,'QA Log'!M:M,"QQC",'QA Log'!Z:Z,"Approved",'QA Log'!L:L,"*3. Curative Consultation (OPD)*"),
COUNTIFS('QA Log'!D:D,A34,'QA Log'!M:M,"QQC",'QA Log'!Z:Z,"Approved",'QA Log'!L:L,"*5. Laboratory*"),
COUNTIFS('QA Log'!D:D,A34,'QA Log'!M:M,"QQC",'QA Log'!Z:Z,"Approved",'QA Log'!L:L,"*6. Essential Medicine Management*"),
COUNTIFS('QA Log'!D:D,A34,'QA Log'!M:M,"QQC",'QA Log'!Z:Z,"Approved",'QA Log'!L:L,"*7. Tracer Medicine*"),
COUNTIFS('QA Log'!D:D,A34,'QA Log'!M:M,"QQC",'QA Log'!Z:Z,"Approved",'QA Log'!L:L,"*11. Additional Questions*")))</f>
        <v/>
      </c>
      <c r="L34" s="105" t="str">
        <f>IF(A34&lt;&gt;"",COUNTIFS('QA Log'!D:D,A34,'QA Log'!M:M,"QQC",'QA Log'!L:L,"1. General Management",'QA Log'!Z:Z,"Approved"),"")</f>
        <v/>
      </c>
      <c r="M34" s="105" t="str">
        <f>IF(A34&lt;&gt;"",COUNTIFS('QA Log'!D:D,A34,'QA Log'!M:M,"QQC",'QA Log'!L:L,"3. Curative Consultation (OPD)",'QA Log'!Z:Z,"Approved"),"")</f>
        <v/>
      </c>
      <c r="N34" s="105" t="str">
        <f>IF(A34&lt;&gt;"",COUNTIFS('QA Log'!D:D,A34,'QA Log'!M:M,"QQC",'QA Log'!L:L,"5. Laboratory",'QA Log'!Z:Z,"Approved"),"")</f>
        <v/>
      </c>
      <c r="O34" s="105" t="str">
        <f>IF(A34&lt;&gt;"",COUNTIFS('QA Log'!D:D,A34,'QA Log'!M:M,"QQC",'QA Log'!L:L,"6. Essential Medicine Management",'QA Log'!Z:Z,"Approved"),"")</f>
        <v/>
      </c>
      <c r="P34" s="105" t="str">
        <f>IF(A34&lt;&gt;"",COUNTIFS('QA Log'!D:D,A34,'QA Log'!M:M,"QQC",'QA Log'!L:L,"7. Tracer Medicine",'QA Log'!Z:Z,"Approved"),"")</f>
        <v/>
      </c>
      <c r="Q34" s="105" t="str">
        <f>IF(A34&lt;&gt;"",COUNTIFS('QA Log'!D:D,A34,'QA Log'!M:M,"QQC",'QA Log'!L:L,"11. Additional Questions",'QA Log'!Z:Z,"Approved"),"")</f>
        <v/>
      </c>
      <c r="R34" s="102" t="str">
        <f>IF(A34="","",SUM(
COUNTIFS('QA Log'!D:D,A34,'QA Log'!M:M,"QQC",'QA Log'!Z:Z,"Rejected",'QA Log'!L:L,"*8. Maternity*"),
COUNTIFS('QA Log'!D:D,A34,'QA Log'!M:M,"QQC",'QA Log'!Z:Z,"Rejected",'QA Log'!L:L,"*EPI*"),
COUNTIFS('QA Log'!D:D,A34,'QA Log'!M:M,"QQC",'QA Log'!Z:Z,"Rejected",'QA Log'!L:L,"*10. Antenatal Care (ANC)*"),
COUNTIFS('QA Log'!D:D,A34,'QA Log'!M:M,"QQC",'QA Log'!Z:Z,"Rejected",'QA Log'!L:L,"*2. Hygiene and Sterilization*"),
COUNTIFS('QA Log'!D:D,A34,'QA Log'!M:M,"QQC",'QA Log'!Z:Z,"Rejected",'QA Log'!L:L,"*Family Planning*")))</f>
        <v/>
      </c>
      <c r="S34" s="106" t="str">
        <f t="shared" si="1"/>
        <v/>
      </c>
      <c r="T34" s="102" t="str">
        <f t="shared" si="2"/>
        <v/>
      </c>
      <c r="U34" s="102" t="str">
        <f>IF(A34="","",
SUM(
COUNTIFS('QA Log'!D:D,A34,'QA Log'!M:M,"QQC",'QA Log'!L:L,"*8. Maternity*"),
COUNTIFS('QA Log'!D:D,A34,'QA Log'!M:M,"QQC",'QA Log'!L:L,"*9. EPI and Pre-school Consultation*"),
COUNTIFS('QA Log'!D:D,A34,'QA Log'!M:M,"QQC",'QA Log'!L:L,"*10. Antenatal Care (ANC)*"),
COUNTIFS('QA Log'!D:D,A34,'QA Log'!M:M,"QQC",'QA Log'!L:L,"*2. Hygiene and Sterilization*"),
COUNTIFS('QA Log'!D:D,A34,'QA Log'!M:M,"QQC",'QA Log'!L:L,"*4. Family Planning*")
))</f>
        <v/>
      </c>
      <c r="V34" s="102" t="str">
        <f>IF(A34="","",
SUM(
COUNTIFS('QA Log'!D:D,A34,'QA Log'!M:M,"QQC",'QA Log'!Z:Z,"Approved",'QA Log'!L:L,"*8. Maternity*"),
COUNTIFS('QA Log'!D:D,A34,'QA Log'!M:M,"QQC",'QA Log'!Z:Z,"Approved",'QA Log'!L:L,"*9. EPI and Pre-school Consultation*"),
COUNTIFS('QA Log'!D:D,A34,'QA Log'!M:M,"QQC",'QA Log'!Z:Z,"Approved",'QA Log'!L:L,"*10. Antenatal Care (ANC)*"),
COUNTIFS('QA Log'!D:D,A34,'QA Log'!M:M,"QQC",'QA Log'!Z:Z,"Approved",'QA Log'!L:L,"*2. Hygiene and Sterilization*"),
COUNTIFS('QA Log'!D:D,A34,'QA Log'!M:M,"QQC",'QA Log'!Z:Z,"Approved",'QA Log'!L:L,"*4. Family Planning*")
))</f>
        <v/>
      </c>
      <c r="W34" s="105" t="str">
        <f>IF(A34&lt;&gt;"",COUNTIFS('QA Log'!D:D,A34,'QA Log'!M:M,"QQC",'QA Log'!L:L,"8. Maternity",'QA Log'!Z:Z,"Approved"),"")</f>
        <v/>
      </c>
      <c r="X34" s="105" t="str">
        <f>IF(A34&lt;&gt;"",COUNTIFS('QA Log'!D:D,A34,'QA Log'!M:M,"QQC",'QA Log'!L:L,"9. EPI and Pre-school Consultation",'QA Log'!Z:Z,"Approved"),"")</f>
        <v/>
      </c>
      <c r="Y34" s="105" t="str">
        <f>IF(A34&lt;&gt;"",COUNTIFS('QA Log'!D:D,A34,'QA Log'!M:M,"QQC",'QA Log'!L:L,"10. Antenatal Care (ANC)",'QA Log'!Z:Z,"Approved"),"")</f>
        <v/>
      </c>
      <c r="Z34" s="105" t="str">
        <f>IF(A34&lt;&gt;"",COUNTIFS('QA Log'!D:D,A34,'QA Log'!M:M,"QQC",'QA Log'!L:L,"2. Hygiene and Sterilization",'QA Log'!Z:Z,"Approved"),"")</f>
        <v/>
      </c>
      <c r="AA34" s="105" t="str">
        <f>IF(A34&lt;&gt;"",COUNTIFS('QA Log'!D:D,A34,'QA Log'!M:M,"QQC",'QA Log'!L:L,"4. Family Planning",'QA Log'!Z:Z,"Approved"),"")</f>
        <v/>
      </c>
      <c r="AB34" s="102" t="str">
        <f>IF(A34="","",
SUM(
COUNTIFS('QA Log'!D:D,A34,'QA Log'!M:M,"QQC",'QA Log'!Z:Z,"Rejected",'QA Log'!L:L,"*8. Maternity*"),
COUNTIFS('QA Log'!D:D,A34,'QA Log'!M:M,"QQC",'QA Log'!Z:Z,"Rejected",'QA Log'!L:L,"*9. EPI and Pre-school Consultation*"),
COUNTIFS('QA Log'!D:D,A34,'QA Log'!M:M,"QQC",'QA Log'!Z:Z,"Rejected",'QA Log'!L:L,"*10. Antenatal Care (ANC)*"),
COUNTIFS('QA Log'!D:D,A34,'QA Log'!M:M,"QQC",'QA Log'!Z:Z,"Rejected",'QA Log'!L:L,"*2. Hygiene and Sterilization*"),
COUNTIFS('QA Log'!D:D,A34,'QA Log'!M:M,"QQC",'QA Log'!Z:Z,"Rejected",'QA Log'!L:L,"*4. Family Planning*")
))</f>
        <v/>
      </c>
      <c r="AC34" s="102" t="str">
        <f t="shared" si="3"/>
        <v/>
      </c>
      <c r="AD34" s="103" t="str">
        <f t="shared" si="4"/>
        <v/>
      </c>
      <c r="AE34" s="102" t="str">
        <f>IF(A34="","",
SUM(
COUNTIFS('QA Log'!D:D,A34,'QA Log'!M:M,"Data Verification",'QA Log'!L:L,"*Medicine (section 2)*"),
COUNTIFS('QA Log'!D:D,A34,'QA Log'!M:M,"Data Verification",'QA Log'!L:L,"*Lab Testing Availability*"),
COUNTIFS('QA Log'!D:D,A34,'QA Log'!M:M,"Data Verification",'QA Log'!L:L,"*Other than P4P (section 6)*"),
COUNTIFS('QA Log'!D:D,A34,'QA Log'!M:M,"Data Verification",'QA Log'!L:L,"*Hospital Governance*")
))</f>
        <v/>
      </c>
      <c r="AF34" s="102" t="str">
        <f>IF(A34="","",
SUM(
COUNTIFS('QA Log'!D:D,A34,'QA Log'!M:M,"Data Verification",'QA Log'!Z:Z,"Approved",'QA Log'!L:L,"*Medicine (section 2)*"),
COUNTIFS('QA Log'!D:D,A34,'QA Log'!M:M,"Data Verification",'QA Log'!Z:Z,"Approved",'QA Log'!L:L,"*Lab Testing Availability*"),
COUNTIFS('QA Log'!D:D,A34,'QA Log'!M:M,"Data Verification",'QA Log'!Z:Z,"Approved",'QA Log'!L:L,"*Other than P4P (section 6)*"),
COUNTIFS('QA Log'!D:D,A34,'QA Log'!M:M,"Data Verification",'QA Log'!Z:Z,"Approved",'QA Log'!L:L,"*Hospital Governance*")
))</f>
        <v/>
      </c>
      <c r="AG34" s="105" t="str">
        <f>IF(A34&lt;&gt;"",COUNTIFS('QA Log'!D:D,A34,'QA Log'!M:M,"Data Verification",'QA Log'!L:L,"Medicine (section 2)",'QA Log'!Z:Z,"Approved"),"")</f>
        <v/>
      </c>
      <c r="AH34" s="105" t="str">
        <f>IF(A34&lt;&gt;"",COUNTIFS('QA Log'!D:D,A34,'QA Log'!M:M,"Data Verification",'QA Log'!L:L,"Lab Testing Availability",'QA Log'!Z:Z,"Approved"),"")</f>
        <v/>
      </c>
      <c r="AI34" s="105" t="str">
        <f>IF(A34&lt;&gt;"",COUNTIFS('QA Log'!D:D,A34,'QA Log'!M:M,"Data Verification",'QA Log'!L:L,"Other than P4P (section 6)",'QA Log'!Z:Z,"Approved"),"")</f>
        <v/>
      </c>
      <c r="AJ34" s="105" t="str">
        <f>IF(A34&lt;&gt;"",COUNTIFS('QA Log'!D:D,A34,'QA Log'!M:M,"Data Verification",'QA Log'!L:L,"Hospital Governance",'QA Log'!Z:Z,"Approved"),"")</f>
        <v/>
      </c>
      <c r="AK34" s="102" t="str">
        <f>IF(A34="","",
SUM(
COUNTIFS('QA Log'!D:D,A34,'QA Log'!M:M,"Data Verification",'QA Log'!Z:Z,"Rejected",'QA Log'!L:L,"*Medicine (section 2)*"),
COUNTIFS('QA Log'!D:D,A34,'QA Log'!M:M,"Data Verification",'QA Log'!Z:Z,"Rejected",'QA Log'!L:L,"*Lab Testing Availability*"),
COUNTIFS('QA Log'!D:D,A34,'QA Log'!M:M,"Data Verification",'QA Log'!Z:Z,"Rejected",'QA Log'!L:L,"*Other than P4P (section 6)*"),
COUNTIFS('QA Log'!D:D,A34,'QA Log'!M:M,"Data Verification",'QA Log'!Z:Z,"Rejected",'QA Log'!L:L,"*Hospital Governance*")
))</f>
        <v/>
      </c>
      <c r="AL34" s="106" t="str">
        <f t="shared" si="5"/>
        <v/>
      </c>
      <c r="AM34" s="102" t="str">
        <f t="shared" si="6"/>
        <v/>
      </c>
      <c r="AN34" s="102" t="str">
        <f>IF(A34="","",
SUM(
COUNTIFS('QA Log'!D:D,A34,'QA Log'!M:M,"Data Verification",'QA Log'!L:L,"*Personnel (section 1)*"),
COUNTIFS('QA Log'!D:D,A34,'QA Log'!M:M,"Data Verification",'QA Log'!L:L,"*Consumable (section 3)*"),
COUNTIFS('QA Log'!D:D,A34,'QA Log'!M:M,"Data Verification",'QA Log'!L:L,"*Equipments (section 4)*")
))</f>
        <v/>
      </c>
      <c r="AO34" s="102" t="str">
        <f>IF(A34="","",
SUM(
COUNTIFS('QA Log'!D:D,A34,'QA Log'!M:M,"Data Verification",'QA Log'!Z:Z,"Approved",'QA Log'!L:L,"*Personnel (section 1)*"),
COUNTIFS('QA Log'!D:D,A34,'QA Log'!M:M,"Data Verification",'QA Log'!Z:Z,"Approved",'QA Log'!L:L,"*Consumable (section 3)*"),
COUNTIFS('QA Log'!D:D,A34,'QA Log'!M:M,"Data Verification",'QA Log'!Z:Z,"Approved",'QA Log'!L:L,"*Equipments (section 4)*")
))</f>
        <v/>
      </c>
      <c r="AP34" s="105" t="str">
        <f>IF(A34&lt;&gt;"",COUNTIFS('QA Log'!D:D,A34,'QA Log'!M:M,"Data Verification",'QA Log'!L:L,"Personnel (section 1)",'QA Log'!Z:Z,"Approved"),"")</f>
        <v/>
      </c>
      <c r="AQ34" s="105" t="str">
        <f>IF(A34&lt;&gt;"",COUNTIFS('QA Log'!D:D,A34,'QA Log'!M:M,"Data Verification",'QA Log'!L:L,"Consumable (section 3)",'QA Log'!Z:Z,"Approved"),"")</f>
        <v/>
      </c>
      <c r="AR34" s="105" t="str">
        <f>IF(A34&lt;&gt;"",COUNTIFS('QA Log'!D:D,A34,'QA Log'!M:M,"Data Verification",'QA Log'!L:L,"Equipments (section 4)",'QA Log'!Z:Z,"Approved"),"")</f>
        <v/>
      </c>
      <c r="AS34" s="102" t="str">
        <f>IF(A34="","",
SUM(
COUNTIFS('QA Log'!D:D,A34,'QA Log'!M:M,"Data Verification",'QA Log'!Z:Z,"Rejected",'QA Log'!L:L,"*Personnel (section 1)*"),
COUNTIFS('QA Log'!D:D,A34,'QA Log'!M:M,"Data Verification",'QA Log'!Z:Z,"Rejected",'QA Log'!L:L,"*Consumable (section 3)*"),
COUNTIFS('QA Log'!D:D,A34,'QA Log'!M:M,"Data Verification",'QA Log'!Z:Z,"Rejected",'QA Log'!L:L,"*Equipments (section 4)*")
))</f>
        <v/>
      </c>
      <c r="AT34" s="102" t="str">
        <f t="shared" si="7"/>
        <v/>
      </c>
      <c r="AU34" s="103" t="str">
        <f t="shared" si="8"/>
        <v/>
      </c>
      <c r="AV34" s="102" t="str">
        <f>IF(A34="","",SUM(
COUNTIFS('QA Log'!D:D,A34,'QA Log'!M:M,"Vignette",'QA Log'!L:L,"*Vignette [1] Respiratory Infection: Pneumonia*"),
COUNTIFS('QA Log'!D:D,A34,'QA Log'!M:M,"Vignette",'QA Log'!L:L,"*Vignette [2]: Diarrhea with Cat B dehydration*"),
COUNTIFS('QA Log'!D:D,A34,'QA Log'!M:M,"Vignette",'QA Log'!L:L,"*Vignette [3] Growth Monitoring and Promotion*"),
COUNTIFS('QA Log'!D:D,A34,'QA Log'!M:M,"Vignette",'QA Log'!L:L,"*Vignette [4]: The management of presumptive TB patient*")
)
)</f>
        <v/>
      </c>
      <c r="AW34" s="102" t="str">
        <f>IF(
  A34="","",
  SUM(
    COUNTIFS('QA Log'!D:D,A34,'QA Log'!M:M,"Vignette",'QA Log'!Z:Z,"Approved",'QA Log'!L:L,"*Vignette [1] Respiratory Infection: Pneumonia*"),
    COUNTIFS('QA Log'!D:D,A34,'QA Log'!M:M,"Vignette",'QA Log'!Z:Z,"Approved",'QA Log'!L:L,"*Vignette [2]: Diarrhea with Cat B dehydration*"),
    COUNTIFS('QA Log'!D:D,A34,'QA Log'!M:M,"Vignette",'QA Log'!Z:Z,"Approved",'QA Log'!L:L,"*Vignette [3] Growth Monitoring and Promotion*"),
    COUNTIFS('QA Log'!D:D,A34,'QA Log'!M:M,"Vignette",'QA Log'!Z:Z,"Approved",'QA Log'!L:L,"*Vignette [4]: The management of presumptive TB patient*")
  )
)</f>
        <v/>
      </c>
      <c r="AX34" s="105" t="str">
        <f>IF(A34&lt;&gt;"",COUNTIFS('QA Log'!D:D,A34,'QA Log'!M:M,"Vignette",'QA Log'!L:L,"Vignette [1] Respiratory Infection: Pneumonia",'QA Log'!Z:Z,"Approved"),"")</f>
        <v/>
      </c>
      <c r="AY34" s="105" t="str">
        <f>IF(A34&lt;&gt;"",COUNTIFS('QA Log'!D:D,A34,'QA Log'!M:M,"Vignette",'QA Log'!L:L,"Vignette [2]: Diarrhea with Cat B dehydration",'QA Log'!Z:Z,"Approved"),"")</f>
        <v/>
      </c>
      <c r="AZ34" s="105" t="str">
        <f>IF(A34&lt;&gt;"",COUNTIFS('QA Log'!D:D,A34,'QA Log'!M:M,"Vignette",'QA Log'!L:L,"Vignette [3] Growth Monitoring and Promotion",'QA Log'!Z:Z,"Approved"),"")</f>
        <v/>
      </c>
      <c r="BA34" s="105" t="str">
        <f>IF(A34&lt;&gt;"",COUNTIFS('QA Log'!D:D,A34,'QA Log'!M:M,"Vignette",'QA Log'!L:L,"Vignette [4]: The management of presumptive TB patient",'QA Log'!Z:Z,"Approved"),"")</f>
        <v/>
      </c>
      <c r="BB34" s="102" t="str">
        <f>IF(A34="","",
  SUM(
    COUNTIFS('QA Log'!D:D,A34,'QA Log'!M:M,"Vignette",'QA Log'!Z:Z,"Rejected",'QA Log'!L:L,"*Vignette [1] Respiratory Infection: Pneumonia*"),
    COUNTIFS('QA Log'!D:D,A34,'QA Log'!M:M,"Vignette",'QA Log'!Z:Z,"Rejected",'QA Log'!L:L,"*Vignette [2]: Diarrhea with Cat B dehydration*"),
    COUNTIFS('QA Log'!D:D,A34,'QA Log'!M:M,"Vignette",'QA Log'!Z:Z,"Rejected",'QA Log'!L:L,"*Vignette [3] Growth Monitoring and Promotion*"),
    COUNTIFS('QA Log'!D:D,A34,'QA Log'!M:M,"Vignette",'QA Log'!Z:Z,"Rejected",'QA Log'!L:L,"*Vignette [4]: The management of presumptive TB patient*")
  )
)</f>
        <v/>
      </c>
      <c r="BC34" s="107" t="str">
        <f t="shared" si="9"/>
        <v/>
      </c>
      <c r="BD34" s="103" t="str">
        <f t="shared" si="10"/>
        <v/>
      </c>
      <c r="BE34" s="102" t="str">
        <f>IF(A34="","",SUM(
COUNTIFS('QA Log'!D:D,A34,'QA Log'!M:M,"Vignette",'QA Log'!L:L,"*Vignette [5] Labor*"),
COUNTIFS('QA Log'!D:D,A34,'QA Log'!M:M,"Vignette",'QA Log'!L:L,"*Vignette [6] PNC pre Discharge*"),
COUNTIFS('QA Log'!D:D,A34,'QA Log'!M:M,"Vignette",'QA Log'!L:L,"*Vignette [7] First ANC Visit*"),
COUNTIFS('QA Log'!D:D,A34,'QA Log'!M:M,"Vignette",'QA Log'!L:L,"*Vignette [8] Birth Spacing/ Family Planning :  FP Counselling*"),
COUNTIFS('QA Log'!D:D,A34,'QA Log'!M:M,"Vignette",'QA Log'!L:L,"*Vignette [9] Birth Spacing: Change FP method to Injectable*"),
COUNTIFS('QA Log'!D:D,A34,'QA Log'!M:M,"Vignette",'QA Log'!L:L,"*Vignette [10] Post Partum Haemorrhage - Atonic Uterus at Health Centre*"),
)
)</f>
        <v/>
      </c>
      <c r="BF34" s="102" t="str">
        <f>IF(A34="","",
  SUM(
    COUNTIFS('QA Log'!D:D,A34,'QA Log'!M:M,"Vignette",'QA Log'!Z:Z,"Approved",'QA Log'!L:L,"*Vignette [5] Labor*"),
    COUNTIFS('QA Log'!D:D,A34,'QA Log'!M:M,"Vignette",'QA Log'!Z:Z,"Approved",'QA Log'!L:L,"*Vignette [6] PNC pre Discharge*"),
    COUNTIFS('QA Log'!D:D,A34,'QA Log'!M:M,"Vignette",'QA Log'!Z:Z,"Approved",'QA Log'!L:L,"*Vignette [7] First ANC Visit*"),
    COUNTIFS('QA Log'!D:D,A34,'QA Log'!M:M,"Vignette",'QA Log'!Z:Z,"Approved",'QA Log'!L:L,"*Vignette [8] Birth Spacing/ Family Planning :  FP Counselling*"),
    COUNTIFS('QA Log'!D:D,A34,'QA Log'!M:M,"Vignette",'QA Log'!Z:Z,"Approved",'QA Log'!L:L,"*Vignette [9] Birth Spacing: Change FP method to Injectable*"),
    COUNTIFS('QA Log'!D:D,A34,'QA Log'!M:M,"Vignette",'QA Log'!Z:Z,"Approved",'QA Log'!L:L,"*Vignette [10] Post Partum Haemorrhage - Atonic Uterus at Health Centre*")
  )
)</f>
        <v/>
      </c>
      <c r="BG34" s="105" t="str">
        <f>IF(A34&lt;&gt;"",COUNTIFS('QA Log'!D:D,A34,'QA Log'!M:M,"Vignette",'QA Log'!L:L,"Vignette [5] Labor",'QA Log'!Z:Z,"Approved"),"")</f>
        <v/>
      </c>
      <c r="BH34" s="105" t="str">
        <f>IF(A34&lt;&gt;"",COUNTIFS('QA Log'!D:D,A34,'QA Log'!M:M,"Vignette",'QA Log'!L:L,"Vignette [6] PNC pre Discharge",'QA Log'!Z:Z,"Approved"),"")</f>
        <v/>
      </c>
      <c r="BI34" s="105" t="str">
        <f>IF(A34&lt;&gt;"",COUNTIFS('QA Log'!D:D,A34,'QA Log'!M:M,"Vignette",'QA Log'!L:L,"Vignette [7] First ANC Visit",'QA Log'!Z:Z,"Approved"),"")</f>
        <v/>
      </c>
      <c r="BJ34" s="105" t="str">
        <f>IF(A34&lt;&gt;"",COUNTIFS('QA Log'!D:D,A34,'QA Log'!M:M,"Vignette",'QA Log'!L:L,"Vignette [8] Birth Spacing/ Family Planning :  FP Counselling",'QA Log'!Z:Z,"Approved"),"")</f>
        <v/>
      </c>
      <c r="BK34" s="105" t="str">
        <f>IF(A34&lt;&gt;"",COUNTIFS('QA Log'!D:D,A34,'QA Log'!M:M,"Vignette",'QA Log'!L:L,"Vignette [9] Birth Spacing: Change FP method to Injectable",'QA Log'!Z:Z,"Approved"),"")</f>
        <v/>
      </c>
      <c r="BL34" s="105" t="str">
        <f>IF(A34&lt;&gt;"",COUNTIFS('QA Log'!D:D,A34,'QA Log'!M:M,"Vignette",'QA Log'!L:L,"Vignette [10] Post Partum Haemorrhage - Atonic Uterus at Health Centre",'QA Log'!Z:Z,"Approved"),"")</f>
        <v/>
      </c>
      <c r="BM34" s="102" t="str">
        <f>IF(A34="","",SUM(
    COUNTIFS('QA Log'!D:D,A34,'QA Log'!M:M,"Vignette",'QA Log'!Z:Z,"Rejected",'QA Log'!L:L,"*Vignette [5] Labor*"),
    COUNTIFS('QA Log'!D:D,A34,'QA Log'!M:M,"Vignette",'QA Log'!Z:Z,"Rejected",'QA Log'!L:L,"*Vignette [6] PNC pre Discharge*"),
    COUNTIFS('QA Log'!D:D,A34,'QA Log'!M:M,"Vignette",'QA Log'!Z:Z,"Rejected",'QA Log'!L:L,"*Vignette [7] First ANC Visit*"),
    COUNTIFS('QA Log'!D:D,A34,'QA Log'!M:M,"Vignette",'QA Log'!Z:Z,"Rejected",'QA Log'!L:L,"*Vignette [8] Birth Spacing/ Family Planning :  FP Counselling*"),
    COUNTIFS('QA Log'!D:D,A34,'QA Log'!M:M,"Vignette",'QA Log'!Z:Z,"Rejected",'QA Log'!L:L,"*Vignette [9] Birth Spacing: Change FP method to Injectable*"),
    COUNTIFS('QA Log'!D:D,A34,'QA Log'!M:M,"Vignette",'QA Log'!Z:Z,"Rejected",'QA Log'!L:L,"*Vignette [10] Post Partum Haemorrhage - Atonic Uterus at Health Centre*")
  )
)</f>
        <v/>
      </c>
      <c r="BN34" s="107" t="str">
        <f t="shared" si="11"/>
        <v/>
      </c>
      <c r="BO34" s="103" t="str">
        <f t="shared" si="12"/>
        <v/>
      </c>
      <c r="BP34" s="102" t="str">
        <f>IF(A34="","",SUM(
COUNTIFS('QA Log'!D:D,A34,'QA Log'!M:M,"Vignette",'QA Log'!L:L,"*Exit Interview 1*"),
COUNTIFS('QA Log'!D:D,A34,'QA Log'!M:M,"Vignette",'QA Log'!L:L,"*Exit Interview 2*"),
)
)</f>
        <v/>
      </c>
      <c r="BQ34" s="102" t="str">
        <f>IF(
  A34="","",
  SUM(
    COUNTIFS('QA Log'!D:D,A34,'QA Log'!M:M,"Vignette",'QA Log'!Z:Z,"Approved",'QA Log'!L:L,"*Exit Interview 1*"),
    COUNTIFS('QA Log'!D:D,A34,'QA Log'!M:M,"Vignette",'QA Log'!Z:Z,"Approved",'QA Log'!L:L,"*Exit Interview 2*")
  )
)</f>
        <v/>
      </c>
      <c r="BR34" s="105" t="str">
        <f>IF(A34&lt;&gt;"",COUNTIFS('QA Log'!D:D,A34,'QA Log'!M:M,"Vignette",'QA Log'!L:L,"Exit Interview 1",'QA Log'!Z:Z,"Approved"),"")</f>
        <v/>
      </c>
      <c r="BS34" s="105" t="str">
        <f>IF(A34&lt;&gt;"",COUNTIFS('QA Log'!D:D,A34,'QA Log'!M:M,"Vignette",'QA Log'!L:L,"Exit Interview 2",'QA Log'!Z:Z,"Approved"),"")</f>
        <v/>
      </c>
      <c r="BT34" s="102" t="str">
        <f>IF(
  A34="","",
  SUM(
    COUNTIFS('QA Log'!D:D,A34,'QA Log'!M:M,"Vignette",'QA Log'!Z:Z,"Rejected",'QA Log'!L:L,"*Exit Interview 1*"),
    COUNTIFS('QA Log'!D:D,A34,'QA Log'!M:M,"Vignette",'QA Log'!Z:Z,"Rejected",'QA Log'!L:L,"*Exit Interview 2*")
  )
)</f>
        <v/>
      </c>
      <c r="BU34" s="107" t="str">
        <f t="shared" si="13"/>
        <v/>
      </c>
      <c r="BV34" s="102" t="str">
        <f t="shared" si="14"/>
        <v/>
      </c>
      <c r="BW34" s="102" t="str">
        <f t="shared" si="15"/>
        <v/>
      </c>
      <c r="BX34" s="102" t="str">
        <f t="shared" si="16"/>
        <v/>
      </c>
      <c r="BY34" s="102" t="str">
        <f t="shared" si="17"/>
        <v/>
      </c>
      <c r="BZ34" s="107" t="str">
        <f t="shared" si="18"/>
        <v/>
      </c>
      <c r="CA34" s="108" t="str">
        <f t="shared" si="19"/>
        <v/>
      </c>
      <c r="CB34" s="108" t="str">
        <f t="shared" si="20"/>
        <v/>
      </c>
      <c r="CC34" s="109" t="str">
        <f t="shared" si="21"/>
        <v/>
      </c>
      <c r="CD34" s="108" t="str">
        <f t="shared" si="22"/>
        <v/>
      </c>
      <c r="CE34" s="108" t="str">
        <f t="shared" si="23"/>
        <v/>
      </c>
      <c r="CF34" s="109" t="str">
        <f t="shared" si="24"/>
        <v/>
      </c>
      <c r="CG34" s="110" t="str">
        <f t="shared" si="25"/>
        <v/>
      </c>
      <c r="CH34" s="111"/>
    </row>
    <row r="35" spans="1:86" ht="12.75">
      <c r="A35" s="101"/>
      <c r="B35" s="102" t="e">
        <f t="array" aca="1" ref="B35" ca="1">_xludf.XLOOKUP(A35,'QA Log'!D:D,'QA Log'!E:E,"")</f>
        <v>#NAME?</v>
      </c>
      <c r="C35" s="102" t="e">
        <f t="array" aca="1" ref="C35" ca="1">_xludf.XLOOKUP(A35,'QA Log'!D:D,'QA Log'!F:F,"")</f>
        <v>#NAME?</v>
      </c>
      <c r="D35" s="102" t="e">
        <f t="array" aca="1" ref="D35" ca="1">_xludf.XLOOKUP(A35,'QA Log'!D:D,'QA Log'!H:H,"")</f>
        <v>#NAME?</v>
      </c>
      <c r="E35" s="102" t="e">
        <f t="array" aca="1" ref="E35" ca="1">_xludf.XLOOKUP(A35,'QA Log'!D:D,'QA Log'!G:G,"")</f>
        <v>#NAME?</v>
      </c>
      <c r="F35" s="103"/>
      <c r="G35" s="104"/>
      <c r="H35" s="104"/>
      <c r="I35" s="103" t="str">
        <f t="shared" si="0"/>
        <v/>
      </c>
      <c r="J35" s="102" t="str">
        <f>IF(A35="","",SUM(
COUNTIFS('QA Log'!D:D,A35,'QA Log'!M:M,"QQC",'QA Log'!L:L,"*1. General Management*"),
COUNTIFS('QA Log'!D:D,A35,'QA Log'!M:M,"QQC",'QA Log'!L:L,"*3. Curative Consultation (OPD)*"),
COUNTIFS('QA Log'!D:D,A35,'QA Log'!M:M,"QQC",'QA Log'!L:L,"*5. Laboratory*"),
COUNTIFS('QA Log'!D:D,A35,'QA Log'!M:M,"QQC",'QA Log'!L:L,"*6. Essential Medicine Management*"),
COUNTIFS('QA Log'!D:D,A35,'QA Log'!M:M,"QQC",'QA Log'!L:L,"*7. Tracer Medicine*"),
COUNTIFS('QA Log'!D:D,A35,'QA Log'!M:M,"QQC",'QA Log'!L:L,"*11. Additional Questions*")))</f>
        <v/>
      </c>
      <c r="K35" s="102" t="str">
        <f>IF(A35="","",SUM(
COUNTIFS('QA Log'!D:D,A35,'QA Log'!M:M,"QQC",'QA Log'!Z:Z,"Approved",'QA Log'!L:L,"*1. General Management*"),
COUNTIFS('QA Log'!D:D,A35,'QA Log'!M:M,"QQC",'QA Log'!Z:Z,"Approved",'QA Log'!L:L,"*3. Curative Consultation (OPD)*"),
COUNTIFS('QA Log'!D:D,A35,'QA Log'!M:M,"QQC",'QA Log'!Z:Z,"Approved",'QA Log'!L:L,"*5. Laboratory*"),
COUNTIFS('QA Log'!D:D,A35,'QA Log'!M:M,"QQC",'QA Log'!Z:Z,"Approved",'QA Log'!L:L,"*6. Essential Medicine Management*"),
COUNTIFS('QA Log'!D:D,A35,'QA Log'!M:M,"QQC",'QA Log'!Z:Z,"Approved",'QA Log'!L:L,"*7. Tracer Medicine*"),
COUNTIFS('QA Log'!D:D,A35,'QA Log'!M:M,"QQC",'QA Log'!Z:Z,"Approved",'QA Log'!L:L,"*11. Additional Questions*")))</f>
        <v/>
      </c>
      <c r="L35" s="105" t="str">
        <f>IF(A35&lt;&gt;"",COUNTIFS('QA Log'!D:D,A35,'QA Log'!M:M,"QQC",'QA Log'!L:L,"1. General Management",'QA Log'!Z:Z,"Approved"),"")</f>
        <v/>
      </c>
      <c r="M35" s="105" t="str">
        <f>IF(A35&lt;&gt;"",COUNTIFS('QA Log'!D:D,A35,'QA Log'!M:M,"QQC",'QA Log'!L:L,"3. Curative Consultation (OPD)",'QA Log'!Z:Z,"Approved"),"")</f>
        <v/>
      </c>
      <c r="N35" s="105" t="str">
        <f>IF(A35&lt;&gt;"",COUNTIFS('QA Log'!D:D,A35,'QA Log'!M:M,"QQC",'QA Log'!L:L,"5. Laboratory",'QA Log'!Z:Z,"Approved"),"")</f>
        <v/>
      </c>
      <c r="O35" s="105" t="str">
        <f>IF(A35&lt;&gt;"",COUNTIFS('QA Log'!D:D,A35,'QA Log'!M:M,"QQC",'QA Log'!L:L,"6. Essential Medicine Management",'QA Log'!Z:Z,"Approved"),"")</f>
        <v/>
      </c>
      <c r="P35" s="105" t="str">
        <f>IF(A35&lt;&gt;"",COUNTIFS('QA Log'!D:D,A35,'QA Log'!M:M,"QQC",'QA Log'!L:L,"7. Tracer Medicine",'QA Log'!Z:Z,"Approved"),"")</f>
        <v/>
      </c>
      <c r="Q35" s="105" t="str">
        <f>IF(A35&lt;&gt;"",COUNTIFS('QA Log'!D:D,A35,'QA Log'!M:M,"QQC",'QA Log'!L:L,"11. Additional Questions",'QA Log'!Z:Z,"Approved"),"")</f>
        <v/>
      </c>
      <c r="R35" s="102" t="str">
        <f>IF(A35="","",SUM(
COUNTIFS('QA Log'!D:D,A35,'QA Log'!M:M,"QQC",'QA Log'!Z:Z,"Rejected",'QA Log'!L:L,"*8. Maternity*"),
COUNTIFS('QA Log'!D:D,A35,'QA Log'!M:M,"QQC",'QA Log'!Z:Z,"Rejected",'QA Log'!L:L,"*EPI*"),
COUNTIFS('QA Log'!D:D,A35,'QA Log'!M:M,"QQC",'QA Log'!Z:Z,"Rejected",'QA Log'!L:L,"*10. Antenatal Care (ANC)*"),
COUNTIFS('QA Log'!D:D,A35,'QA Log'!M:M,"QQC",'QA Log'!Z:Z,"Rejected",'QA Log'!L:L,"*2. Hygiene and Sterilization*"),
COUNTIFS('QA Log'!D:D,A35,'QA Log'!M:M,"QQC",'QA Log'!Z:Z,"Rejected",'QA Log'!L:L,"*Family Planning*")))</f>
        <v/>
      </c>
      <c r="S35" s="106" t="str">
        <f t="shared" si="1"/>
        <v/>
      </c>
      <c r="T35" s="102" t="str">
        <f t="shared" si="2"/>
        <v/>
      </c>
      <c r="U35" s="102" t="str">
        <f>IF(A35="","",
SUM(
COUNTIFS('QA Log'!D:D,A35,'QA Log'!M:M,"QQC",'QA Log'!L:L,"*8. Maternity*"),
COUNTIFS('QA Log'!D:D,A35,'QA Log'!M:M,"QQC",'QA Log'!L:L,"*9. EPI and Pre-school Consultation*"),
COUNTIFS('QA Log'!D:D,A35,'QA Log'!M:M,"QQC",'QA Log'!L:L,"*10. Antenatal Care (ANC)*"),
COUNTIFS('QA Log'!D:D,A35,'QA Log'!M:M,"QQC",'QA Log'!L:L,"*2. Hygiene and Sterilization*"),
COUNTIFS('QA Log'!D:D,A35,'QA Log'!M:M,"QQC",'QA Log'!L:L,"*4. Family Planning*")
))</f>
        <v/>
      </c>
      <c r="V35" s="102" t="str">
        <f>IF(A35="","",
SUM(
COUNTIFS('QA Log'!D:D,A35,'QA Log'!M:M,"QQC",'QA Log'!Z:Z,"Approved",'QA Log'!L:L,"*8. Maternity*"),
COUNTIFS('QA Log'!D:D,A35,'QA Log'!M:M,"QQC",'QA Log'!Z:Z,"Approved",'QA Log'!L:L,"*9. EPI and Pre-school Consultation*"),
COUNTIFS('QA Log'!D:D,A35,'QA Log'!M:M,"QQC",'QA Log'!Z:Z,"Approved",'QA Log'!L:L,"*10. Antenatal Care (ANC)*"),
COUNTIFS('QA Log'!D:D,A35,'QA Log'!M:M,"QQC",'QA Log'!Z:Z,"Approved",'QA Log'!L:L,"*2. Hygiene and Sterilization*"),
COUNTIFS('QA Log'!D:D,A35,'QA Log'!M:M,"QQC",'QA Log'!Z:Z,"Approved",'QA Log'!L:L,"*4. Family Planning*")
))</f>
        <v/>
      </c>
      <c r="W35" s="105" t="str">
        <f>IF(A35&lt;&gt;"",COUNTIFS('QA Log'!D:D,A35,'QA Log'!M:M,"QQC",'QA Log'!L:L,"8. Maternity",'QA Log'!Z:Z,"Approved"),"")</f>
        <v/>
      </c>
      <c r="X35" s="105" t="str">
        <f>IF(A35&lt;&gt;"",COUNTIFS('QA Log'!D:D,A35,'QA Log'!M:M,"QQC",'QA Log'!L:L,"9. EPI and Pre-school Consultation",'QA Log'!Z:Z,"Approved"),"")</f>
        <v/>
      </c>
      <c r="Y35" s="105" t="str">
        <f>IF(A35&lt;&gt;"",COUNTIFS('QA Log'!D:D,A35,'QA Log'!M:M,"QQC",'QA Log'!L:L,"10. Antenatal Care (ANC)",'QA Log'!Z:Z,"Approved"),"")</f>
        <v/>
      </c>
      <c r="Z35" s="105" t="str">
        <f>IF(A35&lt;&gt;"",COUNTIFS('QA Log'!D:D,A35,'QA Log'!M:M,"QQC",'QA Log'!L:L,"2. Hygiene and Sterilization",'QA Log'!Z:Z,"Approved"),"")</f>
        <v/>
      </c>
      <c r="AA35" s="105" t="str">
        <f>IF(A35&lt;&gt;"",COUNTIFS('QA Log'!D:D,A35,'QA Log'!M:M,"QQC",'QA Log'!L:L,"4. Family Planning",'QA Log'!Z:Z,"Approved"),"")</f>
        <v/>
      </c>
      <c r="AB35" s="102" t="str">
        <f>IF(A35="","",
SUM(
COUNTIFS('QA Log'!D:D,A35,'QA Log'!M:M,"QQC",'QA Log'!Z:Z,"Rejected",'QA Log'!L:L,"*8. Maternity*"),
COUNTIFS('QA Log'!D:D,A35,'QA Log'!M:M,"QQC",'QA Log'!Z:Z,"Rejected",'QA Log'!L:L,"*9. EPI and Pre-school Consultation*"),
COUNTIFS('QA Log'!D:D,A35,'QA Log'!M:M,"QQC",'QA Log'!Z:Z,"Rejected",'QA Log'!L:L,"*10. Antenatal Care (ANC)*"),
COUNTIFS('QA Log'!D:D,A35,'QA Log'!M:M,"QQC",'QA Log'!Z:Z,"Rejected",'QA Log'!L:L,"*2. Hygiene and Sterilization*"),
COUNTIFS('QA Log'!D:D,A35,'QA Log'!M:M,"QQC",'QA Log'!Z:Z,"Rejected",'QA Log'!L:L,"*4. Family Planning*")
))</f>
        <v/>
      </c>
      <c r="AC35" s="102" t="str">
        <f t="shared" si="3"/>
        <v/>
      </c>
      <c r="AD35" s="103" t="str">
        <f t="shared" si="4"/>
        <v/>
      </c>
      <c r="AE35" s="102" t="str">
        <f>IF(A35="","",
SUM(
COUNTIFS('QA Log'!D:D,A35,'QA Log'!M:M,"Data Verification",'QA Log'!L:L,"*Medicine (section 2)*"),
COUNTIFS('QA Log'!D:D,A35,'QA Log'!M:M,"Data Verification",'QA Log'!L:L,"*Lab Testing Availability*"),
COUNTIFS('QA Log'!D:D,A35,'QA Log'!M:M,"Data Verification",'QA Log'!L:L,"*Other than P4P (section 6)*"),
COUNTIFS('QA Log'!D:D,A35,'QA Log'!M:M,"Data Verification",'QA Log'!L:L,"*Hospital Governance*")
))</f>
        <v/>
      </c>
      <c r="AF35" s="102" t="str">
        <f>IF(A35="","",
SUM(
COUNTIFS('QA Log'!D:D,A35,'QA Log'!M:M,"Data Verification",'QA Log'!Z:Z,"Approved",'QA Log'!L:L,"*Medicine (section 2)*"),
COUNTIFS('QA Log'!D:D,A35,'QA Log'!M:M,"Data Verification",'QA Log'!Z:Z,"Approved",'QA Log'!L:L,"*Lab Testing Availability*"),
COUNTIFS('QA Log'!D:D,A35,'QA Log'!M:M,"Data Verification",'QA Log'!Z:Z,"Approved",'QA Log'!L:L,"*Other than P4P (section 6)*"),
COUNTIFS('QA Log'!D:D,A35,'QA Log'!M:M,"Data Verification",'QA Log'!Z:Z,"Approved",'QA Log'!L:L,"*Hospital Governance*")
))</f>
        <v/>
      </c>
      <c r="AG35" s="105" t="str">
        <f>IF(A35&lt;&gt;"",COUNTIFS('QA Log'!D:D,A35,'QA Log'!M:M,"Data Verification",'QA Log'!L:L,"Medicine (section 2)",'QA Log'!Z:Z,"Approved"),"")</f>
        <v/>
      </c>
      <c r="AH35" s="105" t="str">
        <f>IF(A35&lt;&gt;"",COUNTIFS('QA Log'!D:D,A35,'QA Log'!M:M,"Data Verification",'QA Log'!L:L,"Lab Testing Availability",'QA Log'!Z:Z,"Approved"),"")</f>
        <v/>
      </c>
      <c r="AI35" s="105" t="str">
        <f>IF(A35&lt;&gt;"",COUNTIFS('QA Log'!D:D,A35,'QA Log'!M:M,"Data Verification",'QA Log'!L:L,"Other than P4P (section 6)",'QA Log'!Z:Z,"Approved"),"")</f>
        <v/>
      </c>
      <c r="AJ35" s="105" t="str">
        <f>IF(A35&lt;&gt;"",COUNTIFS('QA Log'!D:D,A35,'QA Log'!M:M,"Data Verification",'QA Log'!L:L,"Hospital Governance",'QA Log'!Z:Z,"Approved"),"")</f>
        <v/>
      </c>
      <c r="AK35" s="102" t="str">
        <f>IF(A35="","",
SUM(
COUNTIFS('QA Log'!D:D,A35,'QA Log'!M:M,"Data Verification",'QA Log'!Z:Z,"Rejected",'QA Log'!L:L,"*Medicine (section 2)*"),
COUNTIFS('QA Log'!D:D,A35,'QA Log'!M:M,"Data Verification",'QA Log'!Z:Z,"Rejected",'QA Log'!L:L,"*Lab Testing Availability*"),
COUNTIFS('QA Log'!D:D,A35,'QA Log'!M:M,"Data Verification",'QA Log'!Z:Z,"Rejected",'QA Log'!L:L,"*Other than P4P (section 6)*"),
COUNTIFS('QA Log'!D:D,A35,'QA Log'!M:M,"Data Verification",'QA Log'!Z:Z,"Rejected",'QA Log'!L:L,"*Hospital Governance*")
))</f>
        <v/>
      </c>
      <c r="AL35" s="106" t="str">
        <f t="shared" si="5"/>
        <v/>
      </c>
      <c r="AM35" s="102" t="str">
        <f t="shared" si="6"/>
        <v/>
      </c>
      <c r="AN35" s="102" t="str">
        <f>IF(A35="","",
SUM(
COUNTIFS('QA Log'!D:D,A35,'QA Log'!M:M,"Data Verification",'QA Log'!L:L,"*Personnel (section 1)*"),
COUNTIFS('QA Log'!D:D,A35,'QA Log'!M:M,"Data Verification",'QA Log'!L:L,"*Consumable (section 3)*"),
COUNTIFS('QA Log'!D:D,A35,'QA Log'!M:M,"Data Verification",'QA Log'!L:L,"*Equipments (section 4)*")
))</f>
        <v/>
      </c>
      <c r="AO35" s="102" t="str">
        <f>IF(A35="","",
SUM(
COUNTIFS('QA Log'!D:D,A35,'QA Log'!M:M,"Data Verification",'QA Log'!Z:Z,"Approved",'QA Log'!L:L,"*Personnel (section 1)*"),
COUNTIFS('QA Log'!D:D,A35,'QA Log'!M:M,"Data Verification",'QA Log'!Z:Z,"Approved",'QA Log'!L:L,"*Consumable (section 3)*"),
COUNTIFS('QA Log'!D:D,A35,'QA Log'!M:M,"Data Verification",'QA Log'!Z:Z,"Approved",'QA Log'!L:L,"*Equipments (section 4)*")
))</f>
        <v/>
      </c>
      <c r="AP35" s="105" t="str">
        <f>IF(A35&lt;&gt;"",COUNTIFS('QA Log'!D:D,A35,'QA Log'!M:M,"Data Verification",'QA Log'!L:L,"Personnel (section 1)",'QA Log'!Z:Z,"Approved"),"")</f>
        <v/>
      </c>
      <c r="AQ35" s="105" t="str">
        <f>IF(A35&lt;&gt;"",COUNTIFS('QA Log'!D:D,A35,'QA Log'!M:M,"Data Verification",'QA Log'!L:L,"Consumable (section 3)",'QA Log'!Z:Z,"Approved"),"")</f>
        <v/>
      </c>
      <c r="AR35" s="105" t="str">
        <f>IF(A35&lt;&gt;"",COUNTIFS('QA Log'!D:D,A35,'QA Log'!M:M,"Data Verification",'QA Log'!L:L,"Equipments (section 4)",'QA Log'!Z:Z,"Approved"),"")</f>
        <v/>
      </c>
      <c r="AS35" s="102" t="str">
        <f>IF(A35="","",
SUM(
COUNTIFS('QA Log'!D:D,A35,'QA Log'!M:M,"Data Verification",'QA Log'!Z:Z,"Rejected",'QA Log'!L:L,"*Personnel (section 1)*"),
COUNTIFS('QA Log'!D:D,A35,'QA Log'!M:M,"Data Verification",'QA Log'!Z:Z,"Rejected",'QA Log'!L:L,"*Consumable (section 3)*"),
COUNTIFS('QA Log'!D:D,A35,'QA Log'!M:M,"Data Verification",'QA Log'!Z:Z,"Rejected",'QA Log'!L:L,"*Equipments (section 4)*")
))</f>
        <v/>
      </c>
      <c r="AT35" s="102" t="str">
        <f t="shared" si="7"/>
        <v/>
      </c>
      <c r="AU35" s="103" t="str">
        <f t="shared" si="8"/>
        <v/>
      </c>
      <c r="AV35" s="102" t="str">
        <f>IF(A35="","",SUM(
COUNTIFS('QA Log'!D:D,A35,'QA Log'!M:M,"Vignette",'QA Log'!L:L,"*Vignette [1] Respiratory Infection: Pneumonia*"),
COUNTIFS('QA Log'!D:D,A35,'QA Log'!M:M,"Vignette",'QA Log'!L:L,"*Vignette [2]: Diarrhea with Cat B dehydration*"),
COUNTIFS('QA Log'!D:D,A35,'QA Log'!M:M,"Vignette",'QA Log'!L:L,"*Vignette [3] Growth Monitoring and Promotion*"),
COUNTIFS('QA Log'!D:D,A35,'QA Log'!M:M,"Vignette",'QA Log'!L:L,"*Vignette [4]: The management of presumptive TB patient*")
)
)</f>
        <v/>
      </c>
      <c r="AW35" s="102" t="str">
        <f>IF(
  A35="","",
  SUM(
    COUNTIFS('QA Log'!D:D,A35,'QA Log'!M:M,"Vignette",'QA Log'!Z:Z,"Approved",'QA Log'!L:L,"*Vignette [1] Respiratory Infection: Pneumonia*"),
    COUNTIFS('QA Log'!D:D,A35,'QA Log'!M:M,"Vignette",'QA Log'!Z:Z,"Approved",'QA Log'!L:L,"*Vignette [2]: Diarrhea with Cat B dehydration*"),
    COUNTIFS('QA Log'!D:D,A35,'QA Log'!M:M,"Vignette",'QA Log'!Z:Z,"Approved",'QA Log'!L:L,"*Vignette [3] Growth Monitoring and Promotion*"),
    COUNTIFS('QA Log'!D:D,A35,'QA Log'!M:M,"Vignette",'QA Log'!Z:Z,"Approved",'QA Log'!L:L,"*Vignette [4]: The management of presumptive TB patient*")
  )
)</f>
        <v/>
      </c>
      <c r="AX35" s="105" t="str">
        <f>IF(A35&lt;&gt;"",COUNTIFS('QA Log'!D:D,A35,'QA Log'!M:M,"Vignette",'QA Log'!L:L,"Vignette [1] Respiratory Infection: Pneumonia",'QA Log'!Z:Z,"Approved"),"")</f>
        <v/>
      </c>
      <c r="AY35" s="105" t="str">
        <f>IF(A35&lt;&gt;"",COUNTIFS('QA Log'!D:D,A35,'QA Log'!M:M,"Vignette",'QA Log'!L:L,"Vignette [2]: Diarrhea with Cat B dehydration",'QA Log'!Z:Z,"Approved"),"")</f>
        <v/>
      </c>
      <c r="AZ35" s="105" t="str">
        <f>IF(A35&lt;&gt;"",COUNTIFS('QA Log'!D:D,A35,'QA Log'!M:M,"Vignette",'QA Log'!L:L,"Vignette [3] Growth Monitoring and Promotion",'QA Log'!Z:Z,"Approved"),"")</f>
        <v/>
      </c>
      <c r="BA35" s="105" t="str">
        <f>IF(A35&lt;&gt;"",COUNTIFS('QA Log'!D:D,A35,'QA Log'!M:M,"Vignette",'QA Log'!L:L,"Vignette [4]: The management of presumptive TB patient",'QA Log'!Z:Z,"Approved"),"")</f>
        <v/>
      </c>
      <c r="BB35" s="102" t="str">
        <f>IF(A35="","",
  SUM(
    COUNTIFS('QA Log'!D:D,A35,'QA Log'!M:M,"Vignette",'QA Log'!Z:Z,"Rejected",'QA Log'!L:L,"*Vignette [1] Respiratory Infection: Pneumonia*"),
    COUNTIFS('QA Log'!D:D,A35,'QA Log'!M:M,"Vignette",'QA Log'!Z:Z,"Rejected",'QA Log'!L:L,"*Vignette [2]: Diarrhea with Cat B dehydration*"),
    COUNTIFS('QA Log'!D:D,A35,'QA Log'!M:M,"Vignette",'QA Log'!Z:Z,"Rejected",'QA Log'!L:L,"*Vignette [3] Growth Monitoring and Promotion*"),
    COUNTIFS('QA Log'!D:D,A35,'QA Log'!M:M,"Vignette",'QA Log'!Z:Z,"Rejected",'QA Log'!L:L,"*Vignette [4]: The management of presumptive TB patient*")
  )
)</f>
        <v/>
      </c>
      <c r="BC35" s="107" t="str">
        <f t="shared" si="9"/>
        <v/>
      </c>
      <c r="BD35" s="103" t="str">
        <f t="shared" si="10"/>
        <v/>
      </c>
      <c r="BE35" s="102" t="str">
        <f>IF(A35="","",SUM(
COUNTIFS('QA Log'!D:D,A35,'QA Log'!M:M,"Vignette",'QA Log'!L:L,"*Vignette [5] Labor*"),
COUNTIFS('QA Log'!D:D,A35,'QA Log'!M:M,"Vignette",'QA Log'!L:L,"*Vignette [6] PNC pre Discharge*"),
COUNTIFS('QA Log'!D:D,A35,'QA Log'!M:M,"Vignette",'QA Log'!L:L,"*Vignette [7] First ANC Visit*"),
COUNTIFS('QA Log'!D:D,A35,'QA Log'!M:M,"Vignette",'QA Log'!L:L,"*Vignette [8] Birth Spacing/ Family Planning :  FP Counselling*"),
COUNTIFS('QA Log'!D:D,A35,'QA Log'!M:M,"Vignette",'QA Log'!L:L,"*Vignette [9] Birth Spacing: Change FP method to Injectable*"),
COUNTIFS('QA Log'!D:D,A35,'QA Log'!M:M,"Vignette",'QA Log'!L:L,"*Vignette [10] Post Partum Haemorrhage - Atonic Uterus at Health Centre*"),
)
)</f>
        <v/>
      </c>
      <c r="BF35" s="102" t="str">
        <f>IF(A35="","",
  SUM(
    COUNTIFS('QA Log'!D:D,A35,'QA Log'!M:M,"Vignette",'QA Log'!Z:Z,"Approved",'QA Log'!L:L,"*Vignette [5] Labor*"),
    COUNTIFS('QA Log'!D:D,A35,'QA Log'!M:M,"Vignette",'QA Log'!Z:Z,"Approved",'QA Log'!L:L,"*Vignette [6] PNC pre Discharge*"),
    COUNTIFS('QA Log'!D:D,A35,'QA Log'!M:M,"Vignette",'QA Log'!Z:Z,"Approved",'QA Log'!L:L,"*Vignette [7] First ANC Visit*"),
    COUNTIFS('QA Log'!D:D,A35,'QA Log'!M:M,"Vignette",'QA Log'!Z:Z,"Approved",'QA Log'!L:L,"*Vignette [8] Birth Spacing/ Family Planning :  FP Counselling*"),
    COUNTIFS('QA Log'!D:D,A35,'QA Log'!M:M,"Vignette",'QA Log'!Z:Z,"Approved",'QA Log'!L:L,"*Vignette [9] Birth Spacing: Change FP method to Injectable*"),
    COUNTIFS('QA Log'!D:D,A35,'QA Log'!M:M,"Vignette",'QA Log'!Z:Z,"Approved",'QA Log'!L:L,"*Vignette [10] Post Partum Haemorrhage - Atonic Uterus at Health Centre*")
  )
)</f>
        <v/>
      </c>
      <c r="BG35" s="105" t="str">
        <f>IF(A35&lt;&gt;"",COUNTIFS('QA Log'!D:D,A35,'QA Log'!M:M,"Vignette",'QA Log'!L:L,"Vignette [5] Labor",'QA Log'!Z:Z,"Approved"),"")</f>
        <v/>
      </c>
      <c r="BH35" s="105" t="str">
        <f>IF(A35&lt;&gt;"",COUNTIFS('QA Log'!D:D,A35,'QA Log'!M:M,"Vignette",'QA Log'!L:L,"Vignette [6] PNC pre Discharge",'QA Log'!Z:Z,"Approved"),"")</f>
        <v/>
      </c>
      <c r="BI35" s="105" t="str">
        <f>IF(A35&lt;&gt;"",COUNTIFS('QA Log'!D:D,A35,'QA Log'!M:M,"Vignette",'QA Log'!L:L,"Vignette [7] First ANC Visit",'QA Log'!Z:Z,"Approved"),"")</f>
        <v/>
      </c>
      <c r="BJ35" s="105" t="str">
        <f>IF(A35&lt;&gt;"",COUNTIFS('QA Log'!D:D,A35,'QA Log'!M:M,"Vignette",'QA Log'!L:L,"Vignette [8] Birth Spacing/ Family Planning :  FP Counselling",'QA Log'!Z:Z,"Approved"),"")</f>
        <v/>
      </c>
      <c r="BK35" s="105" t="str">
        <f>IF(A35&lt;&gt;"",COUNTIFS('QA Log'!D:D,A35,'QA Log'!M:M,"Vignette",'QA Log'!L:L,"Vignette [9] Birth Spacing: Change FP method to Injectable",'QA Log'!Z:Z,"Approved"),"")</f>
        <v/>
      </c>
      <c r="BL35" s="105" t="str">
        <f>IF(A35&lt;&gt;"",COUNTIFS('QA Log'!D:D,A35,'QA Log'!M:M,"Vignette",'QA Log'!L:L,"Vignette [10] Post Partum Haemorrhage - Atonic Uterus at Health Centre",'QA Log'!Z:Z,"Approved"),"")</f>
        <v/>
      </c>
      <c r="BM35" s="102" t="str">
        <f>IF(A35="","",SUM(
    COUNTIFS('QA Log'!D:D,A35,'QA Log'!M:M,"Vignette",'QA Log'!Z:Z,"Rejected",'QA Log'!L:L,"*Vignette [5] Labor*"),
    COUNTIFS('QA Log'!D:D,A35,'QA Log'!M:M,"Vignette",'QA Log'!Z:Z,"Rejected",'QA Log'!L:L,"*Vignette [6] PNC pre Discharge*"),
    COUNTIFS('QA Log'!D:D,A35,'QA Log'!M:M,"Vignette",'QA Log'!Z:Z,"Rejected",'QA Log'!L:L,"*Vignette [7] First ANC Visit*"),
    COUNTIFS('QA Log'!D:D,A35,'QA Log'!M:M,"Vignette",'QA Log'!Z:Z,"Rejected",'QA Log'!L:L,"*Vignette [8] Birth Spacing/ Family Planning :  FP Counselling*"),
    COUNTIFS('QA Log'!D:D,A35,'QA Log'!M:M,"Vignette",'QA Log'!Z:Z,"Rejected",'QA Log'!L:L,"*Vignette [9] Birth Spacing: Change FP method to Injectable*"),
    COUNTIFS('QA Log'!D:D,A35,'QA Log'!M:M,"Vignette",'QA Log'!Z:Z,"Rejected",'QA Log'!L:L,"*Vignette [10] Post Partum Haemorrhage - Atonic Uterus at Health Centre*")
  )
)</f>
        <v/>
      </c>
      <c r="BN35" s="107" t="str">
        <f t="shared" si="11"/>
        <v/>
      </c>
      <c r="BO35" s="103" t="str">
        <f t="shared" si="12"/>
        <v/>
      </c>
      <c r="BP35" s="102" t="str">
        <f>IF(A35="","",SUM(
COUNTIFS('QA Log'!D:D,A35,'QA Log'!M:M,"Vignette",'QA Log'!L:L,"*Exit Interview 1*"),
COUNTIFS('QA Log'!D:D,A35,'QA Log'!M:M,"Vignette",'QA Log'!L:L,"*Exit Interview 2*"),
)
)</f>
        <v/>
      </c>
      <c r="BQ35" s="102" t="str">
        <f>IF(
  A35="","",
  SUM(
    COUNTIFS('QA Log'!D:D,A35,'QA Log'!M:M,"Vignette",'QA Log'!Z:Z,"Approved",'QA Log'!L:L,"*Exit Interview 1*"),
    COUNTIFS('QA Log'!D:D,A35,'QA Log'!M:M,"Vignette",'QA Log'!Z:Z,"Approved",'QA Log'!L:L,"*Exit Interview 2*")
  )
)</f>
        <v/>
      </c>
      <c r="BR35" s="105" t="str">
        <f>IF(A35&lt;&gt;"",COUNTIFS('QA Log'!D:D,A35,'QA Log'!M:M,"Vignette",'QA Log'!L:L,"Exit Interview 1",'QA Log'!Z:Z,"Approved"),"")</f>
        <v/>
      </c>
      <c r="BS35" s="105" t="str">
        <f>IF(A35&lt;&gt;"",COUNTIFS('QA Log'!D:D,A35,'QA Log'!M:M,"Vignette",'QA Log'!L:L,"Exit Interview 2",'QA Log'!Z:Z,"Approved"),"")</f>
        <v/>
      </c>
      <c r="BT35" s="102" t="str">
        <f>IF(
  A35="","",
  SUM(
    COUNTIFS('QA Log'!D:D,A35,'QA Log'!M:M,"Vignette",'QA Log'!Z:Z,"Rejected",'QA Log'!L:L,"*Exit Interview 1*"),
    COUNTIFS('QA Log'!D:D,A35,'QA Log'!M:M,"Vignette",'QA Log'!Z:Z,"Rejected",'QA Log'!L:L,"*Exit Interview 2*")
  )
)</f>
        <v/>
      </c>
      <c r="BU35" s="107" t="str">
        <f t="shared" si="13"/>
        <v/>
      </c>
      <c r="BV35" s="102" t="str">
        <f t="shared" si="14"/>
        <v/>
      </c>
      <c r="BW35" s="102" t="str">
        <f t="shared" si="15"/>
        <v/>
      </c>
      <c r="BX35" s="102" t="str">
        <f t="shared" si="16"/>
        <v/>
      </c>
      <c r="BY35" s="102" t="str">
        <f t="shared" si="17"/>
        <v/>
      </c>
      <c r="BZ35" s="107" t="str">
        <f t="shared" si="18"/>
        <v/>
      </c>
      <c r="CA35" s="108" t="str">
        <f t="shared" si="19"/>
        <v/>
      </c>
      <c r="CB35" s="108" t="str">
        <f t="shared" si="20"/>
        <v/>
      </c>
      <c r="CC35" s="109" t="str">
        <f t="shared" si="21"/>
        <v/>
      </c>
      <c r="CD35" s="108" t="str">
        <f t="shared" si="22"/>
        <v/>
      </c>
      <c r="CE35" s="108" t="str">
        <f t="shared" si="23"/>
        <v/>
      </c>
      <c r="CF35" s="109" t="str">
        <f t="shared" si="24"/>
        <v/>
      </c>
      <c r="CG35" s="110" t="str">
        <f t="shared" si="25"/>
        <v/>
      </c>
      <c r="CH35" s="111"/>
    </row>
    <row r="36" spans="1:86" ht="12.75">
      <c r="A36" s="101"/>
      <c r="B36" s="102" t="e">
        <f t="array" aca="1" ref="B36" ca="1">_xludf.XLOOKUP(A36,'QA Log'!D:D,'QA Log'!E:E,"")</f>
        <v>#NAME?</v>
      </c>
      <c r="C36" s="102" t="e">
        <f t="array" aca="1" ref="C36" ca="1">_xludf.XLOOKUP(A36,'QA Log'!D:D,'QA Log'!F:F,"")</f>
        <v>#NAME?</v>
      </c>
      <c r="D36" s="102" t="e">
        <f t="array" aca="1" ref="D36" ca="1">_xludf.XLOOKUP(A36,'QA Log'!D:D,'QA Log'!H:H,"")</f>
        <v>#NAME?</v>
      </c>
      <c r="E36" s="102" t="e">
        <f t="array" aca="1" ref="E36" ca="1">_xludf.XLOOKUP(A36,'QA Log'!D:D,'QA Log'!G:G,"")</f>
        <v>#NAME?</v>
      </c>
      <c r="F36" s="103"/>
      <c r="G36" s="104"/>
      <c r="H36" s="104"/>
      <c r="I36" s="103" t="str">
        <f t="shared" si="0"/>
        <v/>
      </c>
      <c r="J36" s="102" t="str">
        <f>IF(A36="","",SUM(
COUNTIFS('QA Log'!D:D,A36,'QA Log'!M:M,"QQC",'QA Log'!L:L,"*1. General Management*"),
COUNTIFS('QA Log'!D:D,A36,'QA Log'!M:M,"QQC",'QA Log'!L:L,"*3. Curative Consultation (OPD)*"),
COUNTIFS('QA Log'!D:D,A36,'QA Log'!M:M,"QQC",'QA Log'!L:L,"*5. Laboratory*"),
COUNTIFS('QA Log'!D:D,A36,'QA Log'!M:M,"QQC",'QA Log'!L:L,"*6. Essential Medicine Management*"),
COUNTIFS('QA Log'!D:D,A36,'QA Log'!M:M,"QQC",'QA Log'!L:L,"*7. Tracer Medicine*"),
COUNTIFS('QA Log'!D:D,A36,'QA Log'!M:M,"QQC",'QA Log'!L:L,"*11. Additional Questions*")))</f>
        <v/>
      </c>
      <c r="K36" s="102" t="str">
        <f>IF(A36="","",SUM(
COUNTIFS('QA Log'!D:D,A36,'QA Log'!M:M,"QQC",'QA Log'!Z:Z,"Approved",'QA Log'!L:L,"*1. General Management*"),
COUNTIFS('QA Log'!D:D,A36,'QA Log'!M:M,"QQC",'QA Log'!Z:Z,"Approved",'QA Log'!L:L,"*3. Curative Consultation (OPD)*"),
COUNTIFS('QA Log'!D:D,A36,'QA Log'!M:M,"QQC",'QA Log'!Z:Z,"Approved",'QA Log'!L:L,"*5. Laboratory*"),
COUNTIFS('QA Log'!D:D,A36,'QA Log'!M:M,"QQC",'QA Log'!Z:Z,"Approved",'QA Log'!L:L,"*6. Essential Medicine Management*"),
COUNTIFS('QA Log'!D:D,A36,'QA Log'!M:M,"QQC",'QA Log'!Z:Z,"Approved",'QA Log'!L:L,"*7. Tracer Medicine*"),
COUNTIFS('QA Log'!D:D,A36,'QA Log'!M:M,"QQC",'QA Log'!Z:Z,"Approved",'QA Log'!L:L,"*11. Additional Questions*")))</f>
        <v/>
      </c>
      <c r="L36" s="105" t="str">
        <f>IF(A36&lt;&gt;"",COUNTIFS('QA Log'!D:D,A36,'QA Log'!M:M,"QQC",'QA Log'!L:L,"1. General Management",'QA Log'!Z:Z,"Approved"),"")</f>
        <v/>
      </c>
      <c r="M36" s="105" t="str">
        <f>IF(A36&lt;&gt;"",COUNTIFS('QA Log'!D:D,A36,'QA Log'!M:M,"QQC",'QA Log'!L:L,"3. Curative Consultation (OPD)",'QA Log'!Z:Z,"Approved"),"")</f>
        <v/>
      </c>
      <c r="N36" s="105" t="str">
        <f>IF(A36&lt;&gt;"",COUNTIFS('QA Log'!D:D,A36,'QA Log'!M:M,"QQC",'QA Log'!L:L,"5. Laboratory",'QA Log'!Z:Z,"Approved"),"")</f>
        <v/>
      </c>
      <c r="O36" s="105" t="str">
        <f>IF(A36&lt;&gt;"",COUNTIFS('QA Log'!D:D,A36,'QA Log'!M:M,"QQC",'QA Log'!L:L,"6. Essential Medicine Management",'QA Log'!Z:Z,"Approved"),"")</f>
        <v/>
      </c>
      <c r="P36" s="105" t="str">
        <f>IF(A36&lt;&gt;"",COUNTIFS('QA Log'!D:D,A36,'QA Log'!M:M,"QQC",'QA Log'!L:L,"7. Tracer Medicine",'QA Log'!Z:Z,"Approved"),"")</f>
        <v/>
      </c>
      <c r="Q36" s="105" t="str">
        <f>IF(A36&lt;&gt;"",COUNTIFS('QA Log'!D:D,A36,'QA Log'!M:M,"QQC",'QA Log'!L:L,"11. Additional Questions",'QA Log'!Z:Z,"Approved"),"")</f>
        <v/>
      </c>
      <c r="R36" s="102" t="str">
        <f>IF(A36="","",SUM(
COUNTIFS('QA Log'!D:D,A36,'QA Log'!M:M,"QQC",'QA Log'!Z:Z,"Rejected",'QA Log'!L:L,"*8. Maternity*"),
COUNTIFS('QA Log'!D:D,A36,'QA Log'!M:M,"QQC",'QA Log'!Z:Z,"Rejected",'QA Log'!L:L,"*EPI*"),
COUNTIFS('QA Log'!D:D,A36,'QA Log'!M:M,"QQC",'QA Log'!Z:Z,"Rejected",'QA Log'!L:L,"*10. Antenatal Care (ANC)*"),
COUNTIFS('QA Log'!D:D,A36,'QA Log'!M:M,"QQC",'QA Log'!Z:Z,"Rejected",'QA Log'!L:L,"*2. Hygiene and Sterilization*"),
COUNTIFS('QA Log'!D:D,A36,'QA Log'!M:M,"QQC",'QA Log'!Z:Z,"Rejected",'QA Log'!L:L,"*Family Planning*")))</f>
        <v/>
      </c>
      <c r="S36" s="106" t="str">
        <f t="shared" si="1"/>
        <v/>
      </c>
      <c r="T36" s="102" t="str">
        <f t="shared" si="2"/>
        <v/>
      </c>
      <c r="U36" s="102" t="str">
        <f>IF(A36="","",
SUM(
COUNTIFS('QA Log'!D:D,A36,'QA Log'!M:M,"QQC",'QA Log'!L:L,"*8. Maternity*"),
COUNTIFS('QA Log'!D:D,A36,'QA Log'!M:M,"QQC",'QA Log'!L:L,"*9. EPI and Pre-school Consultation*"),
COUNTIFS('QA Log'!D:D,A36,'QA Log'!M:M,"QQC",'QA Log'!L:L,"*10. Antenatal Care (ANC)*"),
COUNTIFS('QA Log'!D:D,A36,'QA Log'!M:M,"QQC",'QA Log'!L:L,"*2. Hygiene and Sterilization*"),
COUNTIFS('QA Log'!D:D,A36,'QA Log'!M:M,"QQC",'QA Log'!L:L,"*4. Family Planning*")
))</f>
        <v/>
      </c>
      <c r="V36" s="102" t="str">
        <f>IF(A36="","",
SUM(
COUNTIFS('QA Log'!D:D,A36,'QA Log'!M:M,"QQC",'QA Log'!Z:Z,"Approved",'QA Log'!L:L,"*8. Maternity*"),
COUNTIFS('QA Log'!D:D,A36,'QA Log'!M:M,"QQC",'QA Log'!Z:Z,"Approved",'QA Log'!L:L,"*9. EPI and Pre-school Consultation*"),
COUNTIFS('QA Log'!D:D,A36,'QA Log'!M:M,"QQC",'QA Log'!Z:Z,"Approved",'QA Log'!L:L,"*10. Antenatal Care (ANC)*"),
COUNTIFS('QA Log'!D:D,A36,'QA Log'!M:M,"QQC",'QA Log'!Z:Z,"Approved",'QA Log'!L:L,"*2. Hygiene and Sterilization*"),
COUNTIFS('QA Log'!D:D,A36,'QA Log'!M:M,"QQC",'QA Log'!Z:Z,"Approved",'QA Log'!L:L,"*4. Family Planning*")
))</f>
        <v/>
      </c>
      <c r="W36" s="105" t="str">
        <f>IF(A36&lt;&gt;"",COUNTIFS('QA Log'!D:D,A36,'QA Log'!M:M,"QQC",'QA Log'!L:L,"8. Maternity",'QA Log'!Z:Z,"Approved"),"")</f>
        <v/>
      </c>
      <c r="X36" s="105" t="str">
        <f>IF(A36&lt;&gt;"",COUNTIFS('QA Log'!D:D,A36,'QA Log'!M:M,"QQC",'QA Log'!L:L,"9. EPI and Pre-school Consultation",'QA Log'!Z:Z,"Approved"),"")</f>
        <v/>
      </c>
      <c r="Y36" s="105" t="str">
        <f>IF(A36&lt;&gt;"",COUNTIFS('QA Log'!D:D,A36,'QA Log'!M:M,"QQC",'QA Log'!L:L,"10. Antenatal Care (ANC)",'QA Log'!Z:Z,"Approved"),"")</f>
        <v/>
      </c>
      <c r="Z36" s="105" t="str">
        <f>IF(A36&lt;&gt;"",COUNTIFS('QA Log'!D:D,A36,'QA Log'!M:M,"QQC",'QA Log'!L:L,"2. Hygiene and Sterilization",'QA Log'!Z:Z,"Approved"),"")</f>
        <v/>
      </c>
      <c r="AA36" s="105" t="str">
        <f>IF(A36&lt;&gt;"",COUNTIFS('QA Log'!D:D,A36,'QA Log'!M:M,"QQC",'QA Log'!L:L,"4. Family Planning",'QA Log'!Z:Z,"Approved"),"")</f>
        <v/>
      </c>
      <c r="AB36" s="102" t="str">
        <f>IF(A36="","",
SUM(
COUNTIFS('QA Log'!D:D,A36,'QA Log'!M:M,"QQC",'QA Log'!Z:Z,"Rejected",'QA Log'!L:L,"*8. Maternity*"),
COUNTIFS('QA Log'!D:D,A36,'QA Log'!M:M,"QQC",'QA Log'!Z:Z,"Rejected",'QA Log'!L:L,"*9. EPI and Pre-school Consultation*"),
COUNTIFS('QA Log'!D:D,A36,'QA Log'!M:M,"QQC",'QA Log'!Z:Z,"Rejected",'QA Log'!L:L,"*10. Antenatal Care (ANC)*"),
COUNTIFS('QA Log'!D:D,A36,'QA Log'!M:M,"QQC",'QA Log'!Z:Z,"Rejected",'QA Log'!L:L,"*2. Hygiene and Sterilization*"),
COUNTIFS('QA Log'!D:D,A36,'QA Log'!M:M,"QQC",'QA Log'!Z:Z,"Rejected",'QA Log'!L:L,"*4. Family Planning*")
))</f>
        <v/>
      </c>
      <c r="AC36" s="102" t="str">
        <f t="shared" si="3"/>
        <v/>
      </c>
      <c r="AD36" s="103" t="str">
        <f t="shared" si="4"/>
        <v/>
      </c>
      <c r="AE36" s="102" t="str">
        <f>IF(A36="","",
SUM(
COUNTIFS('QA Log'!D:D,A36,'QA Log'!M:M,"Data Verification",'QA Log'!L:L,"*Medicine (section 2)*"),
COUNTIFS('QA Log'!D:D,A36,'QA Log'!M:M,"Data Verification",'QA Log'!L:L,"*Lab Testing Availability*"),
COUNTIFS('QA Log'!D:D,A36,'QA Log'!M:M,"Data Verification",'QA Log'!L:L,"*Other than P4P (section 6)*"),
COUNTIFS('QA Log'!D:D,A36,'QA Log'!M:M,"Data Verification",'QA Log'!L:L,"*Hospital Governance*")
))</f>
        <v/>
      </c>
      <c r="AF36" s="102" t="str">
        <f>IF(A36="","",
SUM(
COUNTIFS('QA Log'!D:D,A36,'QA Log'!M:M,"Data Verification",'QA Log'!Z:Z,"Approved",'QA Log'!L:L,"*Medicine (section 2)*"),
COUNTIFS('QA Log'!D:D,A36,'QA Log'!M:M,"Data Verification",'QA Log'!Z:Z,"Approved",'QA Log'!L:L,"*Lab Testing Availability*"),
COUNTIFS('QA Log'!D:D,A36,'QA Log'!M:M,"Data Verification",'QA Log'!Z:Z,"Approved",'QA Log'!L:L,"*Other than P4P (section 6)*"),
COUNTIFS('QA Log'!D:D,A36,'QA Log'!M:M,"Data Verification",'QA Log'!Z:Z,"Approved",'QA Log'!L:L,"*Hospital Governance*")
))</f>
        <v/>
      </c>
      <c r="AG36" s="105" t="str">
        <f>IF(A36&lt;&gt;"",COUNTIFS('QA Log'!D:D,A36,'QA Log'!M:M,"Data Verification",'QA Log'!L:L,"Medicine (section 2)",'QA Log'!Z:Z,"Approved"),"")</f>
        <v/>
      </c>
      <c r="AH36" s="105" t="str">
        <f>IF(A36&lt;&gt;"",COUNTIFS('QA Log'!D:D,A36,'QA Log'!M:M,"Data Verification",'QA Log'!L:L,"Lab Testing Availability",'QA Log'!Z:Z,"Approved"),"")</f>
        <v/>
      </c>
      <c r="AI36" s="105" t="str">
        <f>IF(A36&lt;&gt;"",COUNTIFS('QA Log'!D:D,A36,'QA Log'!M:M,"Data Verification",'QA Log'!L:L,"Other than P4P (section 6)",'QA Log'!Z:Z,"Approved"),"")</f>
        <v/>
      </c>
      <c r="AJ36" s="105" t="str">
        <f>IF(A36&lt;&gt;"",COUNTIFS('QA Log'!D:D,A36,'QA Log'!M:M,"Data Verification",'QA Log'!L:L,"Hospital Governance",'QA Log'!Z:Z,"Approved"),"")</f>
        <v/>
      </c>
      <c r="AK36" s="102" t="str">
        <f>IF(A36="","",
SUM(
COUNTIFS('QA Log'!D:D,A36,'QA Log'!M:M,"Data Verification",'QA Log'!Z:Z,"Rejected",'QA Log'!L:L,"*Medicine (section 2)*"),
COUNTIFS('QA Log'!D:D,A36,'QA Log'!M:M,"Data Verification",'QA Log'!Z:Z,"Rejected",'QA Log'!L:L,"*Lab Testing Availability*"),
COUNTIFS('QA Log'!D:D,A36,'QA Log'!M:M,"Data Verification",'QA Log'!Z:Z,"Rejected",'QA Log'!L:L,"*Other than P4P (section 6)*"),
COUNTIFS('QA Log'!D:D,A36,'QA Log'!M:M,"Data Verification",'QA Log'!Z:Z,"Rejected",'QA Log'!L:L,"*Hospital Governance*")
))</f>
        <v/>
      </c>
      <c r="AL36" s="106" t="str">
        <f t="shared" si="5"/>
        <v/>
      </c>
      <c r="AM36" s="102" t="str">
        <f t="shared" si="6"/>
        <v/>
      </c>
      <c r="AN36" s="102" t="str">
        <f>IF(A36="","",
SUM(
COUNTIFS('QA Log'!D:D,A36,'QA Log'!M:M,"Data Verification",'QA Log'!L:L,"*Personnel (section 1)*"),
COUNTIFS('QA Log'!D:D,A36,'QA Log'!M:M,"Data Verification",'QA Log'!L:L,"*Consumable (section 3)*"),
COUNTIFS('QA Log'!D:D,A36,'QA Log'!M:M,"Data Verification",'QA Log'!L:L,"*Equipments (section 4)*")
))</f>
        <v/>
      </c>
      <c r="AO36" s="102" t="str">
        <f>IF(A36="","",
SUM(
COUNTIFS('QA Log'!D:D,A36,'QA Log'!M:M,"Data Verification",'QA Log'!Z:Z,"Approved",'QA Log'!L:L,"*Personnel (section 1)*"),
COUNTIFS('QA Log'!D:D,A36,'QA Log'!M:M,"Data Verification",'QA Log'!Z:Z,"Approved",'QA Log'!L:L,"*Consumable (section 3)*"),
COUNTIFS('QA Log'!D:D,A36,'QA Log'!M:M,"Data Verification",'QA Log'!Z:Z,"Approved",'QA Log'!L:L,"*Equipments (section 4)*")
))</f>
        <v/>
      </c>
      <c r="AP36" s="105" t="str">
        <f>IF(A36&lt;&gt;"",COUNTIFS('QA Log'!D:D,A36,'QA Log'!M:M,"Data Verification",'QA Log'!L:L,"Personnel (section 1)",'QA Log'!Z:Z,"Approved"),"")</f>
        <v/>
      </c>
      <c r="AQ36" s="105" t="str">
        <f>IF(A36&lt;&gt;"",COUNTIFS('QA Log'!D:D,A36,'QA Log'!M:M,"Data Verification",'QA Log'!L:L,"Consumable (section 3)",'QA Log'!Z:Z,"Approved"),"")</f>
        <v/>
      </c>
      <c r="AR36" s="105" t="str">
        <f>IF(A36&lt;&gt;"",COUNTIFS('QA Log'!D:D,A36,'QA Log'!M:M,"Data Verification",'QA Log'!L:L,"Equipments (section 4)",'QA Log'!Z:Z,"Approved"),"")</f>
        <v/>
      </c>
      <c r="AS36" s="102" t="str">
        <f>IF(A36="","",
SUM(
COUNTIFS('QA Log'!D:D,A36,'QA Log'!M:M,"Data Verification",'QA Log'!Z:Z,"Rejected",'QA Log'!L:L,"*Personnel (section 1)*"),
COUNTIFS('QA Log'!D:D,A36,'QA Log'!M:M,"Data Verification",'QA Log'!Z:Z,"Rejected",'QA Log'!L:L,"*Consumable (section 3)*"),
COUNTIFS('QA Log'!D:D,A36,'QA Log'!M:M,"Data Verification",'QA Log'!Z:Z,"Rejected",'QA Log'!L:L,"*Equipments (section 4)*")
))</f>
        <v/>
      </c>
      <c r="AT36" s="102" t="str">
        <f t="shared" si="7"/>
        <v/>
      </c>
      <c r="AU36" s="103" t="str">
        <f t="shared" si="8"/>
        <v/>
      </c>
      <c r="AV36" s="102" t="str">
        <f>IF(A36="","",SUM(
COUNTIFS('QA Log'!D:D,A36,'QA Log'!M:M,"Vignette",'QA Log'!L:L,"*Vignette [1] Respiratory Infection: Pneumonia*"),
COUNTIFS('QA Log'!D:D,A36,'QA Log'!M:M,"Vignette",'QA Log'!L:L,"*Vignette [2]: Diarrhea with Cat B dehydration*"),
COUNTIFS('QA Log'!D:D,A36,'QA Log'!M:M,"Vignette",'QA Log'!L:L,"*Vignette [3] Growth Monitoring and Promotion*"),
COUNTIFS('QA Log'!D:D,A36,'QA Log'!M:M,"Vignette",'QA Log'!L:L,"*Vignette [4]: The management of presumptive TB patient*")
)
)</f>
        <v/>
      </c>
      <c r="AW36" s="102" t="str">
        <f>IF(
  A36="","",
  SUM(
    COUNTIFS('QA Log'!D:D,A36,'QA Log'!M:M,"Vignette",'QA Log'!Z:Z,"Approved",'QA Log'!L:L,"*Vignette [1] Respiratory Infection: Pneumonia*"),
    COUNTIFS('QA Log'!D:D,A36,'QA Log'!M:M,"Vignette",'QA Log'!Z:Z,"Approved",'QA Log'!L:L,"*Vignette [2]: Diarrhea with Cat B dehydration*"),
    COUNTIFS('QA Log'!D:D,A36,'QA Log'!M:M,"Vignette",'QA Log'!Z:Z,"Approved",'QA Log'!L:L,"*Vignette [3] Growth Monitoring and Promotion*"),
    COUNTIFS('QA Log'!D:D,A36,'QA Log'!M:M,"Vignette",'QA Log'!Z:Z,"Approved",'QA Log'!L:L,"*Vignette [4]: The management of presumptive TB patient*")
  )
)</f>
        <v/>
      </c>
      <c r="AX36" s="105" t="str">
        <f>IF(A36&lt;&gt;"",COUNTIFS('QA Log'!D:D,A36,'QA Log'!M:M,"Vignette",'QA Log'!L:L,"Vignette [1] Respiratory Infection: Pneumonia",'QA Log'!Z:Z,"Approved"),"")</f>
        <v/>
      </c>
      <c r="AY36" s="105" t="str">
        <f>IF(A36&lt;&gt;"",COUNTIFS('QA Log'!D:D,A36,'QA Log'!M:M,"Vignette",'QA Log'!L:L,"Vignette [2]: Diarrhea with Cat B dehydration",'QA Log'!Z:Z,"Approved"),"")</f>
        <v/>
      </c>
      <c r="AZ36" s="105" t="str">
        <f>IF(A36&lt;&gt;"",COUNTIFS('QA Log'!D:D,A36,'QA Log'!M:M,"Vignette",'QA Log'!L:L,"Vignette [3] Growth Monitoring and Promotion",'QA Log'!Z:Z,"Approved"),"")</f>
        <v/>
      </c>
      <c r="BA36" s="105" t="str">
        <f>IF(A36&lt;&gt;"",COUNTIFS('QA Log'!D:D,A36,'QA Log'!M:M,"Vignette",'QA Log'!L:L,"Vignette [4]: The management of presumptive TB patient",'QA Log'!Z:Z,"Approved"),"")</f>
        <v/>
      </c>
      <c r="BB36" s="102" t="str">
        <f>IF(A36="","",
  SUM(
    COUNTIFS('QA Log'!D:D,A36,'QA Log'!M:M,"Vignette",'QA Log'!Z:Z,"Rejected",'QA Log'!L:L,"*Vignette [1] Respiratory Infection: Pneumonia*"),
    COUNTIFS('QA Log'!D:D,A36,'QA Log'!M:M,"Vignette",'QA Log'!Z:Z,"Rejected",'QA Log'!L:L,"*Vignette [2]: Diarrhea with Cat B dehydration*"),
    COUNTIFS('QA Log'!D:D,A36,'QA Log'!M:M,"Vignette",'QA Log'!Z:Z,"Rejected",'QA Log'!L:L,"*Vignette [3] Growth Monitoring and Promotion*"),
    COUNTIFS('QA Log'!D:D,A36,'QA Log'!M:M,"Vignette",'QA Log'!Z:Z,"Rejected",'QA Log'!L:L,"*Vignette [4]: The management of presumptive TB patient*")
  )
)</f>
        <v/>
      </c>
      <c r="BC36" s="107" t="str">
        <f t="shared" si="9"/>
        <v/>
      </c>
      <c r="BD36" s="103" t="str">
        <f t="shared" si="10"/>
        <v/>
      </c>
      <c r="BE36" s="102" t="str">
        <f>IF(A36="","",SUM(
COUNTIFS('QA Log'!D:D,A36,'QA Log'!M:M,"Vignette",'QA Log'!L:L,"*Vignette [5] Labor*"),
COUNTIFS('QA Log'!D:D,A36,'QA Log'!M:M,"Vignette",'QA Log'!L:L,"*Vignette [6] PNC pre Discharge*"),
COUNTIFS('QA Log'!D:D,A36,'QA Log'!M:M,"Vignette",'QA Log'!L:L,"*Vignette [7] First ANC Visit*"),
COUNTIFS('QA Log'!D:D,A36,'QA Log'!M:M,"Vignette",'QA Log'!L:L,"*Vignette [8] Birth Spacing/ Family Planning :  FP Counselling*"),
COUNTIFS('QA Log'!D:D,A36,'QA Log'!M:M,"Vignette",'QA Log'!L:L,"*Vignette [9] Birth Spacing: Change FP method to Injectable*"),
COUNTIFS('QA Log'!D:D,A36,'QA Log'!M:M,"Vignette",'QA Log'!L:L,"*Vignette [10] Post Partum Haemorrhage - Atonic Uterus at Health Centre*"),
)
)</f>
        <v/>
      </c>
      <c r="BF36" s="102" t="str">
        <f>IF(A36="","",
  SUM(
    COUNTIFS('QA Log'!D:D,A36,'QA Log'!M:M,"Vignette",'QA Log'!Z:Z,"Approved",'QA Log'!L:L,"*Vignette [5] Labor*"),
    COUNTIFS('QA Log'!D:D,A36,'QA Log'!M:M,"Vignette",'QA Log'!Z:Z,"Approved",'QA Log'!L:L,"*Vignette [6] PNC pre Discharge*"),
    COUNTIFS('QA Log'!D:D,A36,'QA Log'!M:M,"Vignette",'QA Log'!Z:Z,"Approved",'QA Log'!L:L,"*Vignette [7] First ANC Visit*"),
    COUNTIFS('QA Log'!D:D,A36,'QA Log'!M:M,"Vignette",'QA Log'!Z:Z,"Approved",'QA Log'!L:L,"*Vignette [8] Birth Spacing/ Family Planning :  FP Counselling*"),
    COUNTIFS('QA Log'!D:D,A36,'QA Log'!M:M,"Vignette",'QA Log'!Z:Z,"Approved",'QA Log'!L:L,"*Vignette [9] Birth Spacing: Change FP method to Injectable*"),
    COUNTIFS('QA Log'!D:D,A36,'QA Log'!M:M,"Vignette",'QA Log'!Z:Z,"Approved",'QA Log'!L:L,"*Vignette [10] Post Partum Haemorrhage - Atonic Uterus at Health Centre*")
  )
)</f>
        <v/>
      </c>
      <c r="BG36" s="105" t="str">
        <f>IF(A36&lt;&gt;"",COUNTIFS('QA Log'!D:D,A36,'QA Log'!M:M,"Vignette",'QA Log'!L:L,"Vignette [5] Labor",'QA Log'!Z:Z,"Approved"),"")</f>
        <v/>
      </c>
      <c r="BH36" s="105" t="str">
        <f>IF(A36&lt;&gt;"",COUNTIFS('QA Log'!D:D,A36,'QA Log'!M:M,"Vignette",'QA Log'!L:L,"Vignette [6] PNC pre Discharge",'QA Log'!Z:Z,"Approved"),"")</f>
        <v/>
      </c>
      <c r="BI36" s="105" t="str">
        <f>IF(A36&lt;&gt;"",COUNTIFS('QA Log'!D:D,A36,'QA Log'!M:M,"Vignette",'QA Log'!L:L,"Vignette [7] First ANC Visit",'QA Log'!Z:Z,"Approved"),"")</f>
        <v/>
      </c>
      <c r="BJ36" s="105" t="str">
        <f>IF(A36&lt;&gt;"",COUNTIFS('QA Log'!D:D,A36,'QA Log'!M:M,"Vignette",'QA Log'!L:L,"Vignette [8] Birth Spacing/ Family Planning :  FP Counselling",'QA Log'!Z:Z,"Approved"),"")</f>
        <v/>
      </c>
      <c r="BK36" s="105" t="str">
        <f>IF(A36&lt;&gt;"",COUNTIFS('QA Log'!D:D,A36,'QA Log'!M:M,"Vignette",'QA Log'!L:L,"Vignette [9] Birth Spacing: Change FP method to Injectable",'QA Log'!Z:Z,"Approved"),"")</f>
        <v/>
      </c>
      <c r="BL36" s="105" t="str">
        <f>IF(A36&lt;&gt;"",COUNTIFS('QA Log'!D:D,A36,'QA Log'!M:M,"Vignette",'QA Log'!L:L,"Vignette [10] Post Partum Haemorrhage - Atonic Uterus at Health Centre",'QA Log'!Z:Z,"Approved"),"")</f>
        <v/>
      </c>
      <c r="BM36" s="102" t="str">
        <f>IF(A36="","",SUM(
    COUNTIFS('QA Log'!D:D,A36,'QA Log'!M:M,"Vignette",'QA Log'!Z:Z,"Rejected",'QA Log'!L:L,"*Vignette [5] Labor*"),
    COUNTIFS('QA Log'!D:D,A36,'QA Log'!M:M,"Vignette",'QA Log'!Z:Z,"Rejected",'QA Log'!L:L,"*Vignette [6] PNC pre Discharge*"),
    COUNTIFS('QA Log'!D:D,A36,'QA Log'!M:M,"Vignette",'QA Log'!Z:Z,"Rejected",'QA Log'!L:L,"*Vignette [7] First ANC Visit*"),
    COUNTIFS('QA Log'!D:D,A36,'QA Log'!M:M,"Vignette",'QA Log'!Z:Z,"Rejected",'QA Log'!L:L,"*Vignette [8] Birth Spacing/ Family Planning :  FP Counselling*"),
    COUNTIFS('QA Log'!D:D,A36,'QA Log'!M:M,"Vignette",'QA Log'!Z:Z,"Rejected",'QA Log'!L:L,"*Vignette [9] Birth Spacing: Change FP method to Injectable*"),
    COUNTIFS('QA Log'!D:D,A36,'QA Log'!M:M,"Vignette",'QA Log'!Z:Z,"Rejected",'QA Log'!L:L,"*Vignette [10] Post Partum Haemorrhage - Atonic Uterus at Health Centre*")
  )
)</f>
        <v/>
      </c>
      <c r="BN36" s="107" t="str">
        <f t="shared" si="11"/>
        <v/>
      </c>
      <c r="BO36" s="103" t="str">
        <f t="shared" si="12"/>
        <v/>
      </c>
      <c r="BP36" s="102" t="str">
        <f>IF(A36="","",SUM(
COUNTIFS('QA Log'!D:D,A36,'QA Log'!M:M,"Vignette",'QA Log'!L:L,"*Exit Interview 1*"),
COUNTIFS('QA Log'!D:D,A36,'QA Log'!M:M,"Vignette",'QA Log'!L:L,"*Exit Interview 2*"),
)
)</f>
        <v/>
      </c>
      <c r="BQ36" s="102" t="str">
        <f>IF(
  A36="","",
  SUM(
    COUNTIFS('QA Log'!D:D,A36,'QA Log'!M:M,"Vignette",'QA Log'!Z:Z,"Approved",'QA Log'!L:L,"*Exit Interview 1*"),
    COUNTIFS('QA Log'!D:D,A36,'QA Log'!M:M,"Vignette",'QA Log'!Z:Z,"Approved",'QA Log'!L:L,"*Exit Interview 2*")
  )
)</f>
        <v/>
      </c>
      <c r="BR36" s="105" t="str">
        <f>IF(A36&lt;&gt;"",COUNTIFS('QA Log'!D:D,A36,'QA Log'!M:M,"Vignette",'QA Log'!L:L,"Exit Interview 1",'QA Log'!Z:Z,"Approved"),"")</f>
        <v/>
      </c>
      <c r="BS36" s="105" t="str">
        <f>IF(A36&lt;&gt;"",COUNTIFS('QA Log'!D:D,A36,'QA Log'!M:M,"Vignette",'QA Log'!L:L,"Exit Interview 2",'QA Log'!Z:Z,"Approved"),"")</f>
        <v/>
      </c>
      <c r="BT36" s="102" t="str">
        <f>IF(
  A36="","",
  SUM(
    COUNTIFS('QA Log'!D:D,A36,'QA Log'!M:M,"Vignette",'QA Log'!Z:Z,"Rejected",'QA Log'!L:L,"*Exit Interview 1*"),
    COUNTIFS('QA Log'!D:D,A36,'QA Log'!M:M,"Vignette",'QA Log'!Z:Z,"Rejected",'QA Log'!L:L,"*Exit Interview 2*")
  )
)</f>
        <v/>
      </c>
      <c r="BU36" s="107" t="str">
        <f t="shared" si="13"/>
        <v/>
      </c>
      <c r="BV36" s="102" t="str">
        <f t="shared" si="14"/>
        <v/>
      </c>
      <c r="BW36" s="102" t="str">
        <f t="shared" si="15"/>
        <v/>
      </c>
      <c r="BX36" s="102" t="str">
        <f t="shared" si="16"/>
        <v/>
      </c>
      <c r="BY36" s="102" t="str">
        <f t="shared" si="17"/>
        <v/>
      </c>
      <c r="BZ36" s="107" t="str">
        <f t="shared" si="18"/>
        <v/>
      </c>
      <c r="CA36" s="108" t="str">
        <f t="shared" si="19"/>
        <v/>
      </c>
      <c r="CB36" s="108" t="str">
        <f t="shared" si="20"/>
        <v/>
      </c>
      <c r="CC36" s="109" t="str">
        <f t="shared" si="21"/>
        <v/>
      </c>
      <c r="CD36" s="108" t="str">
        <f t="shared" si="22"/>
        <v/>
      </c>
      <c r="CE36" s="108" t="str">
        <f t="shared" si="23"/>
        <v/>
      </c>
      <c r="CF36" s="109" t="str">
        <f t="shared" si="24"/>
        <v/>
      </c>
      <c r="CG36" s="110" t="str">
        <f t="shared" si="25"/>
        <v/>
      </c>
      <c r="CH36" s="111"/>
    </row>
    <row r="37" spans="1:86" ht="12.75">
      <c r="A37" s="101"/>
      <c r="B37" s="102" t="e">
        <f t="array" aca="1" ref="B37" ca="1">_xludf.XLOOKUP(A37,'QA Log'!D:D,'QA Log'!E:E,"")</f>
        <v>#NAME?</v>
      </c>
      <c r="C37" s="102" t="e">
        <f t="array" aca="1" ref="C37" ca="1">_xludf.XLOOKUP(A37,'QA Log'!D:D,'QA Log'!F:F,"")</f>
        <v>#NAME?</v>
      </c>
      <c r="D37" s="102" t="e">
        <f t="array" aca="1" ref="D37" ca="1">_xludf.XLOOKUP(A37,'QA Log'!D:D,'QA Log'!H:H,"")</f>
        <v>#NAME?</v>
      </c>
      <c r="E37" s="102" t="e">
        <f t="array" aca="1" ref="E37" ca="1">_xludf.XLOOKUP(A37,'QA Log'!D:D,'QA Log'!G:G,"")</f>
        <v>#NAME?</v>
      </c>
      <c r="F37" s="103"/>
      <c r="G37" s="104"/>
      <c r="H37" s="104"/>
      <c r="I37" s="103" t="str">
        <f t="shared" si="0"/>
        <v/>
      </c>
      <c r="J37" s="102" t="str">
        <f>IF(A37="","",SUM(
COUNTIFS('QA Log'!D:D,A37,'QA Log'!M:M,"QQC",'QA Log'!L:L,"*1. General Management*"),
COUNTIFS('QA Log'!D:D,A37,'QA Log'!M:M,"QQC",'QA Log'!L:L,"*3. Curative Consultation (OPD)*"),
COUNTIFS('QA Log'!D:D,A37,'QA Log'!M:M,"QQC",'QA Log'!L:L,"*5. Laboratory*"),
COUNTIFS('QA Log'!D:D,A37,'QA Log'!M:M,"QQC",'QA Log'!L:L,"*6. Essential Medicine Management*"),
COUNTIFS('QA Log'!D:D,A37,'QA Log'!M:M,"QQC",'QA Log'!L:L,"*7. Tracer Medicine*"),
COUNTIFS('QA Log'!D:D,A37,'QA Log'!M:M,"QQC",'QA Log'!L:L,"*11. Additional Questions*")))</f>
        <v/>
      </c>
      <c r="K37" s="102" t="str">
        <f>IF(A37="","",SUM(
COUNTIFS('QA Log'!D:D,A37,'QA Log'!M:M,"QQC",'QA Log'!Z:Z,"Approved",'QA Log'!L:L,"*1. General Management*"),
COUNTIFS('QA Log'!D:D,A37,'QA Log'!M:M,"QQC",'QA Log'!Z:Z,"Approved",'QA Log'!L:L,"*3. Curative Consultation (OPD)*"),
COUNTIFS('QA Log'!D:D,A37,'QA Log'!M:M,"QQC",'QA Log'!Z:Z,"Approved",'QA Log'!L:L,"*5. Laboratory*"),
COUNTIFS('QA Log'!D:D,A37,'QA Log'!M:M,"QQC",'QA Log'!Z:Z,"Approved",'QA Log'!L:L,"*6. Essential Medicine Management*"),
COUNTIFS('QA Log'!D:D,A37,'QA Log'!M:M,"QQC",'QA Log'!Z:Z,"Approved",'QA Log'!L:L,"*7. Tracer Medicine*"),
COUNTIFS('QA Log'!D:D,A37,'QA Log'!M:M,"QQC",'QA Log'!Z:Z,"Approved",'QA Log'!L:L,"*11. Additional Questions*")))</f>
        <v/>
      </c>
      <c r="L37" s="105" t="str">
        <f>IF(A37&lt;&gt;"",COUNTIFS('QA Log'!D:D,A37,'QA Log'!M:M,"QQC",'QA Log'!L:L,"1. General Management",'QA Log'!Z:Z,"Approved"),"")</f>
        <v/>
      </c>
      <c r="M37" s="105" t="str">
        <f>IF(A37&lt;&gt;"",COUNTIFS('QA Log'!D:D,A37,'QA Log'!M:M,"QQC",'QA Log'!L:L,"3. Curative Consultation (OPD)",'QA Log'!Z:Z,"Approved"),"")</f>
        <v/>
      </c>
      <c r="N37" s="105" t="str">
        <f>IF(A37&lt;&gt;"",COUNTIFS('QA Log'!D:D,A37,'QA Log'!M:M,"QQC",'QA Log'!L:L,"5. Laboratory",'QA Log'!Z:Z,"Approved"),"")</f>
        <v/>
      </c>
      <c r="O37" s="105" t="str">
        <f>IF(A37&lt;&gt;"",COUNTIFS('QA Log'!D:D,A37,'QA Log'!M:M,"QQC",'QA Log'!L:L,"6. Essential Medicine Management",'QA Log'!Z:Z,"Approved"),"")</f>
        <v/>
      </c>
      <c r="P37" s="105" t="str">
        <f>IF(A37&lt;&gt;"",COUNTIFS('QA Log'!D:D,A37,'QA Log'!M:M,"QQC",'QA Log'!L:L,"7. Tracer Medicine",'QA Log'!Z:Z,"Approved"),"")</f>
        <v/>
      </c>
      <c r="Q37" s="105" t="str">
        <f>IF(A37&lt;&gt;"",COUNTIFS('QA Log'!D:D,A37,'QA Log'!M:M,"QQC",'QA Log'!L:L,"11. Additional Questions",'QA Log'!Z:Z,"Approved"),"")</f>
        <v/>
      </c>
      <c r="R37" s="102" t="str">
        <f>IF(A37="","",SUM(
COUNTIFS('QA Log'!D:D,A37,'QA Log'!M:M,"QQC",'QA Log'!Z:Z,"Rejected",'QA Log'!L:L,"*8. Maternity*"),
COUNTIFS('QA Log'!D:D,A37,'QA Log'!M:M,"QQC",'QA Log'!Z:Z,"Rejected",'QA Log'!L:L,"*EPI*"),
COUNTIFS('QA Log'!D:D,A37,'QA Log'!M:M,"QQC",'QA Log'!Z:Z,"Rejected",'QA Log'!L:L,"*10. Antenatal Care (ANC)*"),
COUNTIFS('QA Log'!D:D,A37,'QA Log'!M:M,"QQC",'QA Log'!Z:Z,"Rejected",'QA Log'!L:L,"*2. Hygiene and Sterilization*"),
COUNTIFS('QA Log'!D:D,A37,'QA Log'!M:M,"QQC",'QA Log'!Z:Z,"Rejected",'QA Log'!L:L,"*Family Planning*")))</f>
        <v/>
      </c>
      <c r="S37" s="106" t="str">
        <f t="shared" si="1"/>
        <v/>
      </c>
      <c r="T37" s="102" t="str">
        <f t="shared" si="2"/>
        <v/>
      </c>
      <c r="U37" s="102" t="str">
        <f>IF(A37="","",
SUM(
COUNTIFS('QA Log'!D:D,A37,'QA Log'!M:M,"QQC",'QA Log'!L:L,"*8. Maternity*"),
COUNTIFS('QA Log'!D:D,A37,'QA Log'!M:M,"QQC",'QA Log'!L:L,"*9. EPI and Pre-school Consultation*"),
COUNTIFS('QA Log'!D:D,A37,'QA Log'!M:M,"QQC",'QA Log'!L:L,"*10. Antenatal Care (ANC)*"),
COUNTIFS('QA Log'!D:D,A37,'QA Log'!M:M,"QQC",'QA Log'!L:L,"*2. Hygiene and Sterilization*"),
COUNTIFS('QA Log'!D:D,A37,'QA Log'!M:M,"QQC",'QA Log'!L:L,"*4. Family Planning*")
))</f>
        <v/>
      </c>
      <c r="V37" s="102" t="str">
        <f>IF(A37="","",
SUM(
COUNTIFS('QA Log'!D:D,A37,'QA Log'!M:M,"QQC",'QA Log'!Z:Z,"Approved",'QA Log'!L:L,"*8. Maternity*"),
COUNTIFS('QA Log'!D:D,A37,'QA Log'!M:M,"QQC",'QA Log'!Z:Z,"Approved",'QA Log'!L:L,"*9. EPI and Pre-school Consultation*"),
COUNTIFS('QA Log'!D:D,A37,'QA Log'!M:M,"QQC",'QA Log'!Z:Z,"Approved",'QA Log'!L:L,"*10. Antenatal Care (ANC)*"),
COUNTIFS('QA Log'!D:D,A37,'QA Log'!M:M,"QQC",'QA Log'!Z:Z,"Approved",'QA Log'!L:L,"*2. Hygiene and Sterilization*"),
COUNTIFS('QA Log'!D:D,A37,'QA Log'!M:M,"QQC",'QA Log'!Z:Z,"Approved",'QA Log'!L:L,"*4. Family Planning*")
))</f>
        <v/>
      </c>
      <c r="W37" s="105" t="str">
        <f>IF(A37&lt;&gt;"",COUNTIFS('QA Log'!D:D,A37,'QA Log'!M:M,"QQC",'QA Log'!L:L,"8. Maternity",'QA Log'!Z:Z,"Approved"),"")</f>
        <v/>
      </c>
      <c r="X37" s="105" t="str">
        <f>IF(A37&lt;&gt;"",COUNTIFS('QA Log'!D:D,A37,'QA Log'!M:M,"QQC",'QA Log'!L:L,"9. EPI and Pre-school Consultation",'QA Log'!Z:Z,"Approved"),"")</f>
        <v/>
      </c>
      <c r="Y37" s="105" t="str">
        <f>IF(A37&lt;&gt;"",COUNTIFS('QA Log'!D:D,A37,'QA Log'!M:M,"QQC",'QA Log'!L:L,"10. Antenatal Care (ANC)",'QA Log'!Z:Z,"Approved"),"")</f>
        <v/>
      </c>
      <c r="Z37" s="105" t="str">
        <f>IF(A37&lt;&gt;"",COUNTIFS('QA Log'!D:D,A37,'QA Log'!M:M,"QQC",'QA Log'!L:L,"2. Hygiene and Sterilization",'QA Log'!Z:Z,"Approved"),"")</f>
        <v/>
      </c>
      <c r="AA37" s="105" t="str">
        <f>IF(A37&lt;&gt;"",COUNTIFS('QA Log'!D:D,A37,'QA Log'!M:M,"QQC",'QA Log'!L:L,"4. Family Planning",'QA Log'!Z:Z,"Approved"),"")</f>
        <v/>
      </c>
      <c r="AB37" s="102" t="str">
        <f>IF(A37="","",
SUM(
COUNTIFS('QA Log'!D:D,A37,'QA Log'!M:M,"QQC",'QA Log'!Z:Z,"Rejected",'QA Log'!L:L,"*8. Maternity*"),
COUNTIFS('QA Log'!D:D,A37,'QA Log'!M:M,"QQC",'QA Log'!Z:Z,"Rejected",'QA Log'!L:L,"*9. EPI and Pre-school Consultation*"),
COUNTIFS('QA Log'!D:D,A37,'QA Log'!M:M,"QQC",'QA Log'!Z:Z,"Rejected",'QA Log'!L:L,"*10. Antenatal Care (ANC)*"),
COUNTIFS('QA Log'!D:D,A37,'QA Log'!M:M,"QQC",'QA Log'!Z:Z,"Rejected",'QA Log'!L:L,"*2. Hygiene and Sterilization*"),
COUNTIFS('QA Log'!D:D,A37,'QA Log'!M:M,"QQC",'QA Log'!Z:Z,"Rejected",'QA Log'!L:L,"*4. Family Planning*")
))</f>
        <v/>
      </c>
      <c r="AC37" s="102" t="str">
        <f t="shared" si="3"/>
        <v/>
      </c>
      <c r="AD37" s="103" t="str">
        <f t="shared" si="4"/>
        <v/>
      </c>
      <c r="AE37" s="102" t="str">
        <f>IF(A37="","",
SUM(
COUNTIFS('QA Log'!D:D,A37,'QA Log'!M:M,"Data Verification",'QA Log'!L:L,"*Medicine (section 2)*"),
COUNTIFS('QA Log'!D:D,A37,'QA Log'!M:M,"Data Verification",'QA Log'!L:L,"*Lab Testing Availability*"),
COUNTIFS('QA Log'!D:D,A37,'QA Log'!M:M,"Data Verification",'QA Log'!L:L,"*Other than P4P (section 6)*"),
COUNTIFS('QA Log'!D:D,A37,'QA Log'!M:M,"Data Verification",'QA Log'!L:L,"*Hospital Governance*")
))</f>
        <v/>
      </c>
      <c r="AF37" s="102" t="str">
        <f>IF(A37="","",
SUM(
COUNTIFS('QA Log'!D:D,A37,'QA Log'!M:M,"Data Verification",'QA Log'!Z:Z,"Approved",'QA Log'!L:L,"*Medicine (section 2)*"),
COUNTIFS('QA Log'!D:D,A37,'QA Log'!M:M,"Data Verification",'QA Log'!Z:Z,"Approved",'QA Log'!L:L,"*Lab Testing Availability*"),
COUNTIFS('QA Log'!D:D,A37,'QA Log'!M:M,"Data Verification",'QA Log'!Z:Z,"Approved",'QA Log'!L:L,"*Other than P4P (section 6)*"),
COUNTIFS('QA Log'!D:D,A37,'QA Log'!M:M,"Data Verification",'QA Log'!Z:Z,"Approved",'QA Log'!L:L,"*Hospital Governance*")
))</f>
        <v/>
      </c>
      <c r="AG37" s="105" t="str">
        <f>IF(A37&lt;&gt;"",COUNTIFS('QA Log'!D:D,A37,'QA Log'!M:M,"Data Verification",'QA Log'!L:L,"Medicine (section 2)",'QA Log'!Z:Z,"Approved"),"")</f>
        <v/>
      </c>
      <c r="AH37" s="105" t="str">
        <f>IF(A37&lt;&gt;"",COUNTIFS('QA Log'!D:D,A37,'QA Log'!M:M,"Data Verification",'QA Log'!L:L,"Lab Testing Availability",'QA Log'!Z:Z,"Approved"),"")</f>
        <v/>
      </c>
      <c r="AI37" s="105" t="str">
        <f>IF(A37&lt;&gt;"",COUNTIFS('QA Log'!D:D,A37,'QA Log'!M:M,"Data Verification",'QA Log'!L:L,"Other than P4P (section 6)",'QA Log'!Z:Z,"Approved"),"")</f>
        <v/>
      </c>
      <c r="AJ37" s="105" t="str">
        <f>IF(A37&lt;&gt;"",COUNTIFS('QA Log'!D:D,A37,'QA Log'!M:M,"Data Verification",'QA Log'!L:L,"Hospital Governance",'QA Log'!Z:Z,"Approved"),"")</f>
        <v/>
      </c>
      <c r="AK37" s="102" t="str">
        <f>IF(A37="","",
SUM(
COUNTIFS('QA Log'!D:D,A37,'QA Log'!M:M,"Data Verification",'QA Log'!Z:Z,"Rejected",'QA Log'!L:L,"*Medicine (section 2)*"),
COUNTIFS('QA Log'!D:D,A37,'QA Log'!M:M,"Data Verification",'QA Log'!Z:Z,"Rejected",'QA Log'!L:L,"*Lab Testing Availability*"),
COUNTIFS('QA Log'!D:D,A37,'QA Log'!M:M,"Data Verification",'QA Log'!Z:Z,"Rejected",'QA Log'!L:L,"*Other than P4P (section 6)*"),
COUNTIFS('QA Log'!D:D,A37,'QA Log'!M:M,"Data Verification",'QA Log'!Z:Z,"Rejected",'QA Log'!L:L,"*Hospital Governance*")
))</f>
        <v/>
      </c>
      <c r="AL37" s="106" t="str">
        <f t="shared" si="5"/>
        <v/>
      </c>
      <c r="AM37" s="102" t="str">
        <f t="shared" si="6"/>
        <v/>
      </c>
      <c r="AN37" s="102" t="str">
        <f>IF(A37="","",
SUM(
COUNTIFS('QA Log'!D:D,A37,'QA Log'!M:M,"Data Verification",'QA Log'!L:L,"*Personnel (section 1)*"),
COUNTIFS('QA Log'!D:D,A37,'QA Log'!M:M,"Data Verification",'QA Log'!L:L,"*Consumable (section 3)*"),
COUNTIFS('QA Log'!D:D,A37,'QA Log'!M:M,"Data Verification",'QA Log'!L:L,"*Equipments (section 4)*")
))</f>
        <v/>
      </c>
      <c r="AO37" s="102" t="str">
        <f>IF(A37="","",
SUM(
COUNTIFS('QA Log'!D:D,A37,'QA Log'!M:M,"Data Verification",'QA Log'!Z:Z,"Approved",'QA Log'!L:L,"*Personnel (section 1)*"),
COUNTIFS('QA Log'!D:D,A37,'QA Log'!M:M,"Data Verification",'QA Log'!Z:Z,"Approved",'QA Log'!L:L,"*Consumable (section 3)*"),
COUNTIFS('QA Log'!D:D,A37,'QA Log'!M:M,"Data Verification",'QA Log'!Z:Z,"Approved",'QA Log'!L:L,"*Equipments (section 4)*")
))</f>
        <v/>
      </c>
      <c r="AP37" s="105" t="str">
        <f>IF(A37&lt;&gt;"",COUNTIFS('QA Log'!D:D,A37,'QA Log'!M:M,"Data Verification",'QA Log'!L:L,"Personnel (section 1)",'QA Log'!Z:Z,"Approved"),"")</f>
        <v/>
      </c>
      <c r="AQ37" s="105" t="str">
        <f>IF(A37&lt;&gt;"",COUNTIFS('QA Log'!D:D,A37,'QA Log'!M:M,"Data Verification",'QA Log'!L:L,"Consumable (section 3)",'QA Log'!Z:Z,"Approved"),"")</f>
        <v/>
      </c>
      <c r="AR37" s="105" t="str">
        <f>IF(A37&lt;&gt;"",COUNTIFS('QA Log'!D:D,A37,'QA Log'!M:M,"Data Verification",'QA Log'!L:L,"Equipments (section 4)",'QA Log'!Z:Z,"Approved"),"")</f>
        <v/>
      </c>
      <c r="AS37" s="102" t="str">
        <f>IF(A37="","",
SUM(
COUNTIFS('QA Log'!D:D,A37,'QA Log'!M:M,"Data Verification",'QA Log'!Z:Z,"Rejected",'QA Log'!L:L,"*Personnel (section 1)*"),
COUNTIFS('QA Log'!D:D,A37,'QA Log'!M:M,"Data Verification",'QA Log'!Z:Z,"Rejected",'QA Log'!L:L,"*Consumable (section 3)*"),
COUNTIFS('QA Log'!D:D,A37,'QA Log'!M:M,"Data Verification",'QA Log'!Z:Z,"Rejected",'QA Log'!L:L,"*Equipments (section 4)*")
))</f>
        <v/>
      </c>
      <c r="AT37" s="102" t="str">
        <f t="shared" si="7"/>
        <v/>
      </c>
      <c r="AU37" s="103" t="str">
        <f t="shared" si="8"/>
        <v/>
      </c>
      <c r="AV37" s="102" t="str">
        <f>IF(A37="","",SUM(
COUNTIFS('QA Log'!D:D,A37,'QA Log'!M:M,"Vignette",'QA Log'!L:L,"*Vignette [1] Respiratory Infection: Pneumonia*"),
COUNTIFS('QA Log'!D:D,A37,'QA Log'!M:M,"Vignette",'QA Log'!L:L,"*Vignette [2]: Diarrhea with Cat B dehydration*"),
COUNTIFS('QA Log'!D:D,A37,'QA Log'!M:M,"Vignette",'QA Log'!L:L,"*Vignette [3] Growth Monitoring and Promotion*"),
COUNTIFS('QA Log'!D:D,A37,'QA Log'!M:M,"Vignette",'QA Log'!L:L,"*Vignette [4]: The management of presumptive TB patient*")
)
)</f>
        <v/>
      </c>
      <c r="AW37" s="102" t="str">
        <f>IF(
  A37="","",
  SUM(
    COUNTIFS('QA Log'!D:D,A37,'QA Log'!M:M,"Vignette",'QA Log'!Z:Z,"Approved",'QA Log'!L:L,"*Vignette [1] Respiratory Infection: Pneumonia*"),
    COUNTIFS('QA Log'!D:D,A37,'QA Log'!M:M,"Vignette",'QA Log'!Z:Z,"Approved",'QA Log'!L:L,"*Vignette [2]: Diarrhea with Cat B dehydration*"),
    COUNTIFS('QA Log'!D:D,A37,'QA Log'!M:M,"Vignette",'QA Log'!Z:Z,"Approved",'QA Log'!L:L,"*Vignette [3] Growth Monitoring and Promotion*"),
    COUNTIFS('QA Log'!D:D,A37,'QA Log'!M:M,"Vignette",'QA Log'!Z:Z,"Approved",'QA Log'!L:L,"*Vignette [4]: The management of presumptive TB patient*")
  )
)</f>
        <v/>
      </c>
      <c r="AX37" s="105" t="str">
        <f>IF(A37&lt;&gt;"",COUNTIFS('QA Log'!D:D,A37,'QA Log'!M:M,"Vignette",'QA Log'!L:L,"Vignette [1] Respiratory Infection: Pneumonia",'QA Log'!Z:Z,"Approved"),"")</f>
        <v/>
      </c>
      <c r="AY37" s="105" t="str">
        <f>IF(A37&lt;&gt;"",COUNTIFS('QA Log'!D:D,A37,'QA Log'!M:M,"Vignette",'QA Log'!L:L,"Vignette [2]: Diarrhea with Cat B dehydration",'QA Log'!Z:Z,"Approved"),"")</f>
        <v/>
      </c>
      <c r="AZ37" s="105" t="str">
        <f>IF(A37&lt;&gt;"",COUNTIFS('QA Log'!D:D,A37,'QA Log'!M:M,"Vignette",'QA Log'!L:L,"Vignette [3] Growth Monitoring and Promotion",'QA Log'!Z:Z,"Approved"),"")</f>
        <v/>
      </c>
      <c r="BA37" s="105" t="str">
        <f>IF(A37&lt;&gt;"",COUNTIFS('QA Log'!D:D,A37,'QA Log'!M:M,"Vignette",'QA Log'!L:L,"Vignette [4]: The management of presumptive TB patient",'QA Log'!Z:Z,"Approved"),"")</f>
        <v/>
      </c>
      <c r="BB37" s="102" t="str">
        <f>IF(A37="","",
  SUM(
    COUNTIFS('QA Log'!D:D,A37,'QA Log'!M:M,"Vignette",'QA Log'!Z:Z,"Rejected",'QA Log'!L:L,"*Vignette [1] Respiratory Infection: Pneumonia*"),
    COUNTIFS('QA Log'!D:D,A37,'QA Log'!M:M,"Vignette",'QA Log'!Z:Z,"Rejected",'QA Log'!L:L,"*Vignette [2]: Diarrhea with Cat B dehydration*"),
    COUNTIFS('QA Log'!D:D,A37,'QA Log'!M:M,"Vignette",'QA Log'!Z:Z,"Rejected",'QA Log'!L:L,"*Vignette [3] Growth Monitoring and Promotion*"),
    COUNTIFS('QA Log'!D:D,A37,'QA Log'!M:M,"Vignette",'QA Log'!Z:Z,"Rejected",'QA Log'!L:L,"*Vignette [4]: The management of presumptive TB patient*")
  )
)</f>
        <v/>
      </c>
      <c r="BC37" s="107" t="str">
        <f t="shared" si="9"/>
        <v/>
      </c>
      <c r="BD37" s="103" t="str">
        <f t="shared" si="10"/>
        <v/>
      </c>
      <c r="BE37" s="102" t="str">
        <f>IF(A37="","",SUM(
COUNTIFS('QA Log'!D:D,A37,'QA Log'!M:M,"Vignette",'QA Log'!L:L,"*Vignette [5] Labor*"),
COUNTIFS('QA Log'!D:D,A37,'QA Log'!M:M,"Vignette",'QA Log'!L:L,"*Vignette [6] PNC pre Discharge*"),
COUNTIFS('QA Log'!D:D,A37,'QA Log'!M:M,"Vignette",'QA Log'!L:L,"*Vignette [7] First ANC Visit*"),
COUNTIFS('QA Log'!D:D,A37,'QA Log'!M:M,"Vignette",'QA Log'!L:L,"*Vignette [8] Birth Spacing/ Family Planning :  FP Counselling*"),
COUNTIFS('QA Log'!D:D,A37,'QA Log'!M:M,"Vignette",'QA Log'!L:L,"*Vignette [9] Birth Spacing: Change FP method to Injectable*"),
COUNTIFS('QA Log'!D:D,A37,'QA Log'!M:M,"Vignette",'QA Log'!L:L,"*Vignette [10] Post Partum Haemorrhage - Atonic Uterus at Health Centre*"),
)
)</f>
        <v/>
      </c>
      <c r="BF37" s="102" t="str">
        <f>IF(A37="","",
  SUM(
    COUNTIFS('QA Log'!D:D,A37,'QA Log'!M:M,"Vignette",'QA Log'!Z:Z,"Approved",'QA Log'!L:L,"*Vignette [5] Labor*"),
    COUNTIFS('QA Log'!D:D,A37,'QA Log'!M:M,"Vignette",'QA Log'!Z:Z,"Approved",'QA Log'!L:L,"*Vignette [6] PNC pre Discharge*"),
    COUNTIFS('QA Log'!D:D,A37,'QA Log'!M:M,"Vignette",'QA Log'!Z:Z,"Approved",'QA Log'!L:L,"*Vignette [7] First ANC Visit*"),
    COUNTIFS('QA Log'!D:D,A37,'QA Log'!M:M,"Vignette",'QA Log'!Z:Z,"Approved",'QA Log'!L:L,"*Vignette [8] Birth Spacing/ Family Planning :  FP Counselling*"),
    COUNTIFS('QA Log'!D:D,A37,'QA Log'!M:M,"Vignette",'QA Log'!Z:Z,"Approved",'QA Log'!L:L,"*Vignette [9] Birth Spacing: Change FP method to Injectable*"),
    COUNTIFS('QA Log'!D:D,A37,'QA Log'!M:M,"Vignette",'QA Log'!Z:Z,"Approved",'QA Log'!L:L,"*Vignette [10] Post Partum Haemorrhage - Atonic Uterus at Health Centre*")
  )
)</f>
        <v/>
      </c>
      <c r="BG37" s="105" t="str">
        <f>IF(A37&lt;&gt;"",COUNTIFS('QA Log'!D:D,A37,'QA Log'!M:M,"Vignette",'QA Log'!L:L,"Vignette [5] Labor",'QA Log'!Z:Z,"Approved"),"")</f>
        <v/>
      </c>
      <c r="BH37" s="105" t="str">
        <f>IF(A37&lt;&gt;"",COUNTIFS('QA Log'!D:D,A37,'QA Log'!M:M,"Vignette",'QA Log'!L:L,"Vignette [6] PNC pre Discharge",'QA Log'!Z:Z,"Approved"),"")</f>
        <v/>
      </c>
      <c r="BI37" s="105" t="str">
        <f>IF(A37&lt;&gt;"",COUNTIFS('QA Log'!D:D,A37,'QA Log'!M:M,"Vignette",'QA Log'!L:L,"Vignette [7] First ANC Visit",'QA Log'!Z:Z,"Approved"),"")</f>
        <v/>
      </c>
      <c r="BJ37" s="105" t="str">
        <f>IF(A37&lt;&gt;"",COUNTIFS('QA Log'!D:D,A37,'QA Log'!M:M,"Vignette",'QA Log'!L:L,"Vignette [8] Birth Spacing/ Family Planning :  FP Counselling",'QA Log'!Z:Z,"Approved"),"")</f>
        <v/>
      </c>
      <c r="BK37" s="105" t="str">
        <f>IF(A37&lt;&gt;"",COUNTIFS('QA Log'!D:D,A37,'QA Log'!M:M,"Vignette",'QA Log'!L:L,"Vignette [9] Birth Spacing: Change FP method to Injectable",'QA Log'!Z:Z,"Approved"),"")</f>
        <v/>
      </c>
      <c r="BL37" s="105" t="str">
        <f>IF(A37&lt;&gt;"",COUNTIFS('QA Log'!D:D,A37,'QA Log'!M:M,"Vignette",'QA Log'!L:L,"Vignette [10] Post Partum Haemorrhage - Atonic Uterus at Health Centre",'QA Log'!Z:Z,"Approved"),"")</f>
        <v/>
      </c>
      <c r="BM37" s="102" t="str">
        <f>IF(A37="","",SUM(
    COUNTIFS('QA Log'!D:D,A37,'QA Log'!M:M,"Vignette",'QA Log'!Z:Z,"Rejected",'QA Log'!L:L,"*Vignette [5] Labor*"),
    COUNTIFS('QA Log'!D:D,A37,'QA Log'!M:M,"Vignette",'QA Log'!Z:Z,"Rejected",'QA Log'!L:L,"*Vignette [6] PNC pre Discharge*"),
    COUNTIFS('QA Log'!D:D,A37,'QA Log'!M:M,"Vignette",'QA Log'!Z:Z,"Rejected",'QA Log'!L:L,"*Vignette [7] First ANC Visit*"),
    COUNTIFS('QA Log'!D:D,A37,'QA Log'!M:M,"Vignette",'QA Log'!Z:Z,"Rejected",'QA Log'!L:L,"*Vignette [8] Birth Spacing/ Family Planning :  FP Counselling*"),
    COUNTIFS('QA Log'!D:D,A37,'QA Log'!M:M,"Vignette",'QA Log'!Z:Z,"Rejected",'QA Log'!L:L,"*Vignette [9] Birth Spacing: Change FP method to Injectable*"),
    COUNTIFS('QA Log'!D:D,A37,'QA Log'!M:M,"Vignette",'QA Log'!Z:Z,"Rejected",'QA Log'!L:L,"*Vignette [10] Post Partum Haemorrhage - Atonic Uterus at Health Centre*")
  )
)</f>
        <v/>
      </c>
      <c r="BN37" s="107" t="str">
        <f t="shared" si="11"/>
        <v/>
      </c>
      <c r="BO37" s="103" t="str">
        <f t="shared" si="12"/>
        <v/>
      </c>
      <c r="BP37" s="102" t="str">
        <f>IF(A37="","",SUM(
COUNTIFS('QA Log'!D:D,A37,'QA Log'!M:M,"Vignette",'QA Log'!L:L,"*Exit Interview 1*"),
COUNTIFS('QA Log'!D:D,A37,'QA Log'!M:M,"Vignette",'QA Log'!L:L,"*Exit Interview 2*"),
)
)</f>
        <v/>
      </c>
      <c r="BQ37" s="102" t="str">
        <f>IF(
  A37="","",
  SUM(
    COUNTIFS('QA Log'!D:D,A37,'QA Log'!M:M,"Vignette",'QA Log'!Z:Z,"Approved",'QA Log'!L:L,"*Exit Interview 1*"),
    COUNTIFS('QA Log'!D:D,A37,'QA Log'!M:M,"Vignette",'QA Log'!Z:Z,"Approved",'QA Log'!L:L,"*Exit Interview 2*")
  )
)</f>
        <v/>
      </c>
      <c r="BR37" s="105" t="str">
        <f>IF(A37&lt;&gt;"",COUNTIFS('QA Log'!D:D,A37,'QA Log'!M:M,"Vignette",'QA Log'!L:L,"Exit Interview 1",'QA Log'!Z:Z,"Approved"),"")</f>
        <v/>
      </c>
      <c r="BS37" s="105" t="str">
        <f>IF(A37&lt;&gt;"",COUNTIFS('QA Log'!D:D,A37,'QA Log'!M:M,"Vignette",'QA Log'!L:L,"Exit Interview 2",'QA Log'!Z:Z,"Approved"),"")</f>
        <v/>
      </c>
      <c r="BT37" s="102" t="str">
        <f>IF(
  A37="","",
  SUM(
    COUNTIFS('QA Log'!D:D,A37,'QA Log'!M:M,"Vignette",'QA Log'!Z:Z,"Rejected",'QA Log'!L:L,"*Exit Interview 1*"),
    COUNTIFS('QA Log'!D:D,A37,'QA Log'!M:M,"Vignette",'QA Log'!Z:Z,"Rejected",'QA Log'!L:L,"*Exit Interview 2*")
  )
)</f>
        <v/>
      </c>
      <c r="BU37" s="107" t="str">
        <f t="shared" si="13"/>
        <v/>
      </c>
      <c r="BV37" s="102" t="str">
        <f t="shared" si="14"/>
        <v/>
      </c>
      <c r="BW37" s="102" t="str">
        <f t="shared" si="15"/>
        <v/>
      </c>
      <c r="BX37" s="102" t="str">
        <f t="shared" si="16"/>
        <v/>
      </c>
      <c r="BY37" s="102" t="str">
        <f t="shared" si="17"/>
        <v/>
      </c>
      <c r="BZ37" s="107" t="str">
        <f t="shared" si="18"/>
        <v/>
      </c>
      <c r="CA37" s="108" t="str">
        <f t="shared" si="19"/>
        <v/>
      </c>
      <c r="CB37" s="108" t="str">
        <f t="shared" si="20"/>
        <v/>
      </c>
      <c r="CC37" s="109" t="str">
        <f t="shared" si="21"/>
        <v/>
      </c>
      <c r="CD37" s="108" t="str">
        <f t="shared" si="22"/>
        <v/>
      </c>
      <c r="CE37" s="108" t="str">
        <f t="shared" si="23"/>
        <v/>
      </c>
      <c r="CF37" s="109" t="str">
        <f t="shared" si="24"/>
        <v/>
      </c>
      <c r="CG37" s="110" t="str">
        <f t="shared" si="25"/>
        <v/>
      </c>
      <c r="CH37" s="111"/>
    </row>
    <row r="38" spans="1:86" ht="12.75">
      <c r="A38" s="101"/>
      <c r="B38" s="102" t="e">
        <f t="array" aca="1" ref="B38" ca="1">_xludf.XLOOKUP(A38,'QA Log'!D:D,'QA Log'!E:E,"")</f>
        <v>#NAME?</v>
      </c>
      <c r="C38" s="102" t="e">
        <f t="array" aca="1" ref="C38" ca="1">_xludf.XLOOKUP(A38,'QA Log'!D:D,'QA Log'!F:F,"")</f>
        <v>#NAME?</v>
      </c>
      <c r="D38" s="102" t="e">
        <f t="array" aca="1" ref="D38" ca="1">_xludf.XLOOKUP(A38,'QA Log'!D:D,'QA Log'!H:H,"")</f>
        <v>#NAME?</v>
      </c>
      <c r="E38" s="102" t="e">
        <f t="array" aca="1" ref="E38" ca="1">_xludf.XLOOKUP(A38,'QA Log'!D:D,'QA Log'!G:G,"")</f>
        <v>#NAME?</v>
      </c>
      <c r="F38" s="103"/>
      <c r="G38" s="104"/>
      <c r="H38" s="104"/>
      <c r="I38" s="103" t="str">
        <f t="shared" si="0"/>
        <v/>
      </c>
      <c r="J38" s="102" t="str">
        <f>IF(A38="","",SUM(
COUNTIFS('QA Log'!D:D,A38,'QA Log'!M:M,"QQC",'QA Log'!L:L,"*1. General Management*"),
COUNTIFS('QA Log'!D:D,A38,'QA Log'!M:M,"QQC",'QA Log'!L:L,"*3. Curative Consultation (OPD)*"),
COUNTIFS('QA Log'!D:D,A38,'QA Log'!M:M,"QQC",'QA Log'!L:L,"*5. Laboratory*"),
COUNTIFS('QA Log'!D:D,A38,'QA Log'!M:M,"QQC",'QA Log'!L:L,"*6. Essential Medicine Management*"),
COUNTIFS('QA Log'!D:D,A38,'QA Log'!M:M,"QQC",'QA Log'!L:L,"*7. Tracer Medicine*"),
COUNTIFS('QA Log'!D:D,A38,'QA Log'!M:M,"QQC",'QA Log'!L:L,"*11. Additional Questions*")))</f>
        <v/>
      </c>
      <c r="K38" s="102" t="str">
        <f>IF(A38="","",SUM(
COUNTIFS('QA Log'!D:D,A38,'QA Log'!M:M,"QQC",'QA Log'!Z:Z,"Approved",'QA Log'!L:L,"*1. General Management*"),
COUNTIFS('QA Log'!D:D,A38,'QA Log'!M:M,"QQC",'QA Log'!Z:Z,"Approved",'QA Log'!L:L,"*3. Curative Consultation (OPD)*"),
COUNTIFS('QA Log'!D:D,A38,'QA Log'!M:M,"QQC",'QA Log'!Z:Z,"Approved",'QA Log'!L:L,"*5. Laboratory*"),
COUNTIFS('QA Log'!D:D,A38,'QA Log'!M:M,"QQC",'QA Log'!Z:Z,"Approved",'QA Log'!L:L,"*6. Essential Medicine Management*"),
COUNTIFS('QA Log'!D:D,A38,'QA Log'!M:M,"QQC",'QA Log'!Z:Z,"Approved",'QA Log'!L:L,"*7. Tracer Medicine*"),
COUNTIFS('QA Log'!D:D,A38,'QA Log'!M:M,"QQC",'QA Log'!Z:Z,"Approved",'QA Log'!L:L,"*11. Additional Questions*")))</f>
        <v/>
      </c>
      <c r="L38" s="105" t="str">
        <f>IF(A38&lt;&gt;"",COUNTIFS('QA Log'!D:D,A38,'QA Log'!M:M,"QQC",'QA Log'!L:L,"1. General Management",'QA Log'!Z:Z,"Approved"),"")</f>
        <v/>
      </c>
      <c r="M38" s="105" t="str">
        <f>IF(A38&lt;&gt;"",COUNTIFS('QA Log'!D:D,A38,'QA Log'!M:M,"QQC",'QA Log'!L:L,"3. Curative Consultation (OPD)",'QA Log'!Z:Z,"Approved"),"")</f>
        <v/>
      </c>
      <c r="N38" s="105" t="str">
        <f>IF(A38&lt;&gt;"",COUNTIFS('QA Log'!D:D,A38,'QA Log'!M:M,"QQC",'QA Log'!L:L,"5. Laboratory",'QA Log'!Z:Z,"Approved"),"")</f>
        <v/>
      </c>
      <c r="O38" s="105" t="str">
        <f>IF(A38&lt;&gt;"",COUNTIFS('QA Log'!D:D,A38,'QA Log'!M:M,"QQC",'QA Log'!L:L,"6. Essential Medicine Management",'QA Log'!Z:Z,"Approved"),"")</f>
        <v/>
      </c>
      <c r="P38" s="105" t="str">
        <f>IF(A38&lt;&gt;"",COUNTIFS('QA Log'!D:D,A38,'QA Log'!M:M,"QQC",'QA Log'!L:L,"7. Tracer Medicine",'QA Log'!Z:Z,"Approved"),"")</f>
        <v/>
      </c>
      <c r="Q38" s="105" t="str">
        <f>IF(A38&lt;&gt;"",COUNTIFS('QA Log'!D:D,A38,'QA Log'!M:M,"QQC",'QA Log'!L:L,"11. Additional Questions",'QA Log'!Z:Z,"Approved"),"")</f>
        <v/>
      </c>
      <c r="R38" s="102" t="str">
        <f>IF(A38="","",SUM(
COUNTIFS('QA Log'!D:D,A38,'QA Log'!M:M,"QQC",'QA Log'!Z:Z,"Rejected",'QA Log'!L:L,"*8. Maternity*"),
COUNTIFS('QA Log'!D:D,A38,'QA Log'!M:M,"QQC",'QA Log'!Z:Z,"Rejected",'QA Log'!L:L,"*EPI*"),
COUNTIFS('QA Log'!D:D,A38,'QA Log'!M:M,"QQC",'QA Log'!Z:Z,"Rejected",'QA Log'!L:L,"*10. Antenatal Care (ANC)*"),
COUNTIFS('QA Log'!D:D,A38,'QA Log'!M:M,"QQC",'QA Log'!Z:Z,"Rejected",'QA Log'!L:L,"*2. Hygiene and Sterilization*"),
COUNTIFS('QA Log'!D:D,A38,'QA Log'!M:M,"QQC",'QA Log'!Z:Z,"Rejected",'QA Log'!L:L,"*Family Planning*")))</f>
        <v/>
      </c>
      <c r="S38" s="106" t="str">
        <f t="shared" si="1"/>
        <v/>
      </c>
      <c r="T38" s="102" t="str">
        <f t="shared" si="2"/>
        <v/>
      </c>
      <c r="U38" s="102" t="str">
        <f>IF(A38="","",
SUM(
COUNTIFS('QA Log'!D:D,A38,'QA Log'!M:M,"QQC",'QA Log'!L:L,"*8. Maternity*"),
COUNTIFS('QA Log'!D:D,A38,'QA Log'!M:M,"QQC",'QA Log'!L:L,"*9. EPI and Pre-school Consultation*"),
COUNTIFS('QA Log'!D:D,A38,'QA Log'!M:M,"QQC",'QA Log'!L:L,"*10. Antenatal Care (ANC)*"),
COUNTIFS('QA Log'!D:D,A38,'QA Log'!M:M,"QQC",'QA Log'!L:L,"*2. Hygiene and Sterilization*"),
COUNTIFS('QA Log'!D:D,A38,'QA Log'!M:M,"QQC",'QA Log'!L:L,"*4. Family Planning*")
))</f>
        <v/>
      </c>
      <c r="V38" s="102" t="str">
        <f>IF(A38="","",
SUM(
COUNTIFS('QA Log'!D:D,A38,'QA Log'!M:M,"QQC",'QA Log'!Z:Z,"Approved",'QA Log'!L:L,"*8. Maternity*"),
COUNTIFS('QA Log'!D:D,A38,'QA Log'!M:M,"QQC",'QA Log'!Z:Z,"Approved",'QA Log'!L:L,"*9. EPI and Pre-school Consultation*"),
COUNTIFS('QA Log'!D:D,A38,'QA Log'!M:M,"QQC",'QA Log'!Z:Z,"Approved",'QA Log'!L:L,"*10. Antenatal Care (ANC)*"),
COUNTIFS('QA Log'!D:D,A38,'QA Log'!M:M,"QQC",'QA Log'!Z:Z,"Approved",'QA Log'!L:L,"*2. Hygiene and Sterilization*"),
COUNTIFS('QA Log'!D:D,A38,'QA Log'!M:M,"QQC",'QA Log'!Z:Z,"Approved",'QA Log'!L:L,"*4. Family Planning*")
))</f>
        <v/>
      </c>
      <c r="W38" s="105" t="str">
        <f>IF(A38&lt;&gt;"",COUNTIFS('QA Log'!D:D,A38,'QA Log'!M:M,"QQC",'QA Log'!L:L,"8. Maternity",'QA Log'!Z:Z,"Approved"),"")</f>
        <v/>
      </c>
      <c r="X38" s="105" t="str">
        <f>IF(A38&lt;&gt;"",COUNTIFS('QA Log'!D:D,A38,'QA Log'!M:M,"QQC",'QA Log'!L:L,"9. EPI and Pre-school Consultation",'QA Log'!Z:Z,"Approved"),"")</f>
        <v/>
      </c>
      <c r="Y38" s="105" t="str">
        <f>IF(A38&lt;&gt;"",COUNTIFS('QA Log'!D:D,A38,'QA Log'!M:M,"QQC",'QA Log'!L:L,"10. Antenatal Care (ANC)",'QA Log'!Z:Z,"Approved"),"")</f>
        <v/>
      </c>
      <c r="Z38" s="105" t="str">
        <f>IF(A38&lt;&gt;"",COUNTIFS('QA Log'!D:D,A38,'QA Log'!M:M,"QQC",'QA Log'!L:L,"2. Hygiene and Sterilization",'QA Log'!Z:Z,"Approved"),"")</f>
        <v/>
      </c>
      <c r="AA38" s="105" t="str">
        <f>IF(A38&lt;&gt;"",COUNTIFS('QA Log'!D:D,A38,'QA Log'!M:M,"QQC",'QA Log'!L:L,"4. Family Planning",'QA Log'!Z:Z,"Approved"),"")</f>
        <v/>
      </c>
      <c r="AB38" s="102" t="str">
        <f>IF(A38="","",
SUM(
COUNTIFS('QA Log'!D:D,A38,'QA Log'!M:M,"QQC",'QA Log'!Z:Z,"Rejected",'QA Log'!L:L,"*8. Maternity*"),
COUNTIFS('QA Log'!D:D,A38,'QA Log'!M:M,"QQC",'QA Log'!Z:Z,"Rejected",'QA Log'!L:L,"*9. EPI and Pre-school Consultation*"),
COUNTIFS('QA Log'!D:D,A38,'QA Log'!M:M,"QQC",'QA Log'!Z:Z,"Rejected",'QA Log'!L:L,"*10. Antenatal Care (ANC)*"),
COUNTIFS('QA Log'!D:D,A38,'QA Log'!M:M,"QQC",'QA Log'!Z:Z,"Rejected",'QA Log'!L:L,"*2. Hygiene and Sterilization*"),
COUNTIFS('QA Log'!D:D,A38,'QA Log'!M:M,"QQC",'QA Log'!Z:Z,"Rejected",'QA Log'!L:L,"*4. Family Planning*")
))</f>
        <v/>
      </c>
      <c r="AC38" s="102" t="str">
        <f t="shared" si="3"/>
        <v/>
      </c>
      <c r="AD38" s="103" t="str">
        <f t="shared" si="4"/>
        <v/>
      </c>
      <c r="AE38" s="102" t="str">
        <f>IF(A38="","",
SUM(
COUNTIFS('QA Log'!D:D,A38,'QA Log'!M:M,"Data Verification",'QA Log'!L:L,"*Medicine (section 2)*"),
COUNTIFS('QA Log'!D:D,A38,'QA Log'!M:M,"Data Verification",'QA Log'!L:L,"*Lab Testing Availability*"),
COUNTIFS('QA Log'!D:D,A38,'QA Log'!M:M,"Data Verification",'QA Log'!L:L,"*Other than P4P (section 6)*"),
COUNTIFS('QA Log'!D:D,A38,'QA Log'!M:M,"Data Verification",'QA Log'!L:L,"*Hospital Governance*")
))</f>
        <v/>
      </c>
      <c r="AF38" s="102" t="str">
        <f>IF(A38="","",
SUM(
COUNTIFS('QA Log'!D:D,A38,'QA Log'!M:M,"Data Verification",'QA Log'!Z:Z,"Approved",'QA Log'!L:L,"*Medicine (section 2)*"),
COUNTIFS('QA Log'!D:D,A38,'QA Log'!M:M,"Data Verification",'QA Log'!Z:Z,"Approved",'QA Log'!L:L,"*Lab Testing Availability*"),
COUNTIFS('QA Log'!D:D,A38,'QA Log'!M:M,"Data Verification",'QA Log'!Z:Z,"Approved",'QA Log'!L:L,"*Other than P4P (section 6)*"),
COUNTIFS('QA Log'!D:D,A38,'QA Log'!M:M,"Data Verification",'QA Log'!Z:Z,"Approved",'QA Log'!L:L,"*Hospital Governance*")
))</f>
        <v/>
      </c>
      <c r="AG38" s="105" t="str">
        <f>IF(A38&lt;&gt;"",COUNTIFS('QA Log'!D:D,A38,'QA Log'!M:M,"Data Verification",'QA Log'!L:L,"Medicine (section 2)",'QA Log'!Z:Z,"Approved"),"")</f>
        <v/>
      </c>
      <c r="AH38" s="105" t="str">
        <f>IF(A38&lt;&gt;"",COUNTIFS('QA Log'!D:D,A38,'QA Log'!M:M,"Data Verification",'QA Log'!L:L,"Lab Testing Availability",'QA Log'!Z:Z,"Approved"),"")</f>
        <v/>
      </c>
      <c r="AI38" s="105" t="str">
        <f>IF(A38&lt;&gt;"",COUNTIFS('QA Log'!D:D,A38,'QA Log'!M:M,"Data Verification",'QA Log'!L:L,"Other than P4P (section 6)",'QA Log'!Z:Z,"Approved"),"")</f>
        <v/>
      </c>
      <c r="AJ38" s="105" t="str">
        <f>IF(A38&lt;&gt;"",COUNTIFS('QA Log'!D:D,A38,'QA Log'!M:M,"Data Verification",'QA Log'!L:L,"Hospital Governance",'QA Log'!Z:Z,"Approved"),"")</f>
        <v/>
      </c>
      <c r="AK38" s="102" t="str">
        <f>IF(A38="","",
SUM(
COUNTIFS('QA Log'!D:D,A38,'QA Log'!M:M,"Data Verification",'QA Log'!Z:Z,"Rejected",'QA Log'!L:L,"*Medicine (section 2)*"),
COUNTIFS('QA Log'!D:D,A38,'QA Log'!M:M,"Data Verification",'QA Log'!Z:Z,"Rejected",'QA Log'!L:L,"*Lab Testing Availability*"),
COUNTIFS('QA Log'!D:D,A38,'QA Log'!M:M,"Data Verification",'QA Log'!Z:Z,"Rejected",'QA Log'!L:L,"*Other than P4P (section 6)*"),
COUNTIFS('QA Log'!D:D,A38,'QA Log'!M:M,"Data Verification",'QA Log'!Z:Z,"Rejected",'QA Log'!L:L,"*Hospital Governance*")
))</f>
        <v/>
      </c>
      <c r="AL38" s="106" t="str">
        <f t="shared" si="5"/>
        <v/>
      </c>
      <c r="AM38" s="102" t="str">
        <f t="shared" si="6"/>
        <v/>
      </c>
      <c r="AN38" s="102" t="str">
        <f>IF(A38="","",
SUM(
COUNTIFS('QA Log'!D:D,A38,'QA Log'!M:M,"Data Verification",'QA Log'!L:L,"*Personnel (section 1)*"),
COUNTIFS('QA Log'!D:D,A38,'QA Log'!M:M,"Data Verification",'QA Log'!L:L,"*Consumable (section 3)*"),
COUNTIFS('QA Log'!D:D,A38,'QA Log'!M:M,"Data Verification",'QA Log'!L:L,"*Equipments (section 4)*")
))</f>
        <v/>
      </c>
      <c r="AO38" s="102" t="str">
        <f>IF(A38="","",
SUM(
COUNTIFS('QA Log'!D:D,A38,'QA Log'!M:M,"Data Verification",'QA Log'!Z:Z,"Approved",'QA Log'!L:L,"*Personnel (section 1)*"),
COUNTIFS('QA Log'!D:D,A38,'QA Log'!M:M,"Data Verification",'QA Log'!Z:Z,"Approved",'QA Log'!L:L,"*Consumable (section 3)*"),
COUNTIFS('QA Log'!D:D,A38,'QA Log'!M:M,"Data Verification",'QA Log'!Z:Z,"Approved",'QA Log'!L:L,"*Equipments (section 4)*")
))</f>
        <v/>
      </c>
      <c r="AP38" s="105" t="str">
        <f>IF(A38&lt;&gt;"",COUNTIFS('QA Log'!D:D,A38,'QA Log'!M:M,"Data Verification",'QA Log'!L:L,"Personnel (section 1)",'QA Log'!Z:Z,"Approved"),"")</f>
        <v/>
      </c>
      <c r="AQ38" s="105" t="str">
        <f>IF(A38&lt;&gt;"",COUNTIFS('QA Log'!D:D,A38,'QA Log'!M:M,"Data Verification",'QA Log'!L:L,"Consumable (section 3)",'QA Log'!Z:Z,"Approved"),"")</f>
        <v/>
      </c>
      <c r="AR38" s="105" t="str">
        <f>IF(A38&lt;&gt;"",COUNTIFS('QA Log'!D:D,A38,'QA Log'!M:M,"Data Verification",'QA Log'!L:L,"Equipments (section 4)",'QA Log'!Z:Z,"Approved"),"")</f>
        <v/>
      </c>
      <c r="AS38" s="102" t="str">
        <f>IF(A38="","",
SUM(
COUNTIFS('QA Log'!D:D,A38,'QA Log'!M:M,"Data Verification",'QA Log'!Z:Z,"Rejected",'QA Log'!L:L,"*Personnel (section 1)*"),
COUNTIFS('QA Log'!D:D,A38,'QA Log'!M:M,"Data Verification",'QA Log'!Z:Z,"Rejected",'QA Log'!L:L,"*Consumable (section 3)*"),
COUNTIFS('QA Log'!D:D,A38,'QA Log'!M:M,"Data Verification",'QA Log'!Z:Z,"Rejected",'QA Log'!L:L,"*Equipments (section 4)*")
))</f>
        <v/>
      </c>
      <c r="AT38" s="102" t="str">
        <f t="shared" si="7"/>
        <v/>
      </c>
      <c r="AU38" s="103" t="str">
        <f t="shared" si="8"/>
        <v/>
      </c>
      <c r="AV38" s="102" t="str">
        <f>IF(A38="","",SUM(
COUNTIFS('QA Log'!D:D,A38,'QA Log'!M:M,"Vignette",'QA Log'!L:L,"*Vignette [1] Respiratory Infection: Pneumonia*"),
COUNTIFS('QA Log'!D:D,A38,'QA Log'!M:M,"Vignette",'QA Log'!L:L,"*Vignette [2]: Diarrhea with Cat B dehydration*"),
COUNTIFS('QA Log'!D:D,A38,'QA Log'!M:M,"Vignette",'QA Log'!L:L,"*Vignette [3] Growth Monitoring and Promotion*"),
COUNTIFS('QA Log'!D:D,A38,'QA Log'!M:M,"Vignette",'QA Log'!L:L,"*Vignette [4]: The management of presumptive TB patient*")
)
)</f>
        <v/>
      </c>
      <c r="AW38" s="102" t="str">
        <f>IF(
  A38="","",
  SUM(
    COUNTIFS('QA Log'!D:D,A38,'QA Log'!M:M,"Vignette",'QA Log'!Z:Z,"Approved",'QA Log'!L:L,"*Vignette [1] Respiratory Infection: Pneumonia*"),
    COUNTIFS('QA Log'!D:D,A38,'QA Log'!M:M,"Vignette",'QA Log'!Z:Z,"Approved",'QA Log'!L:L,"*Vignette [2]: Diarrhea with Cat B dehydration*"),
    COUNTIFS('QA Log'!D:D,A38,'QA Log'!M:M,"Vignette",'QA Log'!Z:Z,"Approved",'QA Log'!L:L,"*Vignette [3] Growth Monitoring and Promotion*"),
    COUNTIFS('QA Log'!D:D,A38,'QA Log'!M:M,"Vignette",'QA Log'!Z:Z,"Approved",'QA Log'!L:L,"*Vignette [4]: The management of presumptive TB patient*")
  )
)</f>
        <v/>
      </c>
      <c r="AX38" s="105" t="str">
        <f>IF(A38&lt;&gt;"",COUNTIFS('QA Log'!D:D,A38,'QA Log'!M:M,"Vignette",'QA Log'!L:L,"Vignette [1] Respiratory Infection: Pneumonia",'QA Log'!Z:Z,"Approved"),"")</f>
        <v/>
      </c>
      <c r="AY38" s="105" t="str">
        <f>IF(A38&lt;&gt;"",COUNTIFS('QA Log'!D:D,A38,'QA Log'!M:M,"Vignette",'QA Log'!L:L,"Vignette [2]: Diarrhea with Cat B dehydration",'QA Log'!Z:Z,"Approved"),"")</f>
        <v/>
      </c>
      <c r="AZ38" s="105" t="str">
        <f>IF(A38&lt;&gt;"",COUNTIFS('QA Log'!D:D,A38,'QA Log'!M:M,"Vignette",'QA Log'!L:L,"Vignette [3] Growth Monitoring and Promotion",'QA Log'!Z:Z,"Approved"),"")</f>
        <v/>
      </c>
      <c r="BA38" s="105" t="str">
        <f>IF(A38&lt;&gt;"",COUNTIFS('QA Log'!D:D,A38,'QA Log'!M:M,"Vignette",'QA Log'!L:L,"Vignette [4]: The management of presumptive TB patient",'QA Log'!Z:Z,"Approved"),"")</f>
        <v/>
      </c>
      <c r="BB38" s="102" t="str">
        <f>IF(A38="","",
  SUM(
    COUNTIFS('QA Log'!D:D,A38,'QA Log'!M:M,"Vignette",'QA Log'!Z:Z,"Rejected",'QA Log'!L:L,"*Vignette [1] Respiratory Infection: Pneumonia*"),
    COUNTIFS('QA Log'!D:D,A38,'QA Log'!M:M,"Vignette",'QA Log'!Z:Z,"Rejected",'QA Log'!L:L,"*Vignette [2]: Diarrhea with Cat B dehydration*"),
    COUNTIFS('QA Log'!D:D,A38,'QA Log'!M:M,"Vignette",'QA Log'!Z:Z,"Rejected",'QA Log'!L:L,"*Vignette [3] Growth Monitoring and Promotion*"),
    COUNTIFS('QA Log'!D:D,A38,'QA Log'!M:M,"Vignette",'QA Log'!Z:Z,"Rejected",'QA Log'!L:L,"*Vignette [4]: The management of presumptive TB patient*")
  )
)</f>
        <v/>
      </c>
      <c r="BC38" s="107" t="str">
        <f t="shared" si="9"/>
        <v/>
      </c>
      <c r="BD38" s="103" t="str">
        <f t="shared" si="10"/>
        <v/>
      </c>
      <c r="BE38" s="102" t="str">
        <f>IF(A38="","",SUM(
COUNTIFS('QA Log'!D:D,A38,'QA Log'!M:M,"Vignette",'QA Log'!L:L,"*Vignette [5] Labor*"),
COUNTIFS('QA Log'!D:D,A38,'QA Log'!M:M,"Vignette",'QA Log'!L:L,"*Vignette [6] PNC pre Discharge*"),
COUNTIFS('QA Log'!D:D,A38,'QA Log'!M:M,"Vignette",'QA Log'!L:L,"*Vignette [7] First ANC Visit*"),
COUNTIFS('QA Log'!D:D,A38,'QA Log'!M:M,"Vignette",'QA Log'!L:L,"*Vignette [8] Birth Spacing/ Family Planning :  FP Counselling*"),
COUNTIFS('QA Log'!D:D,A38,'QA Log'!M:M,"Vignette",'QA Log'!L:L,"*Vignette [9] Birth Spacing: Change FP method to Injectable*"),
COUNTIFS('QA Log'!D:D,A38,'QA Log'!M:M,"Vignette",'QA Log'!L:L,"*Vignette [10] Post Partum Haemorrhage - Atonic Uterus at Health Centre*"),
)
)</f>
        <v/>
      </c>
      <c r="BF38" s="102" t="str">
        <f>IF(A38="","",
  SUM(
    COUNTIFS('QA Log'!D:D,A38,'QA Log'!M:M,"Vignette",'QA Log'!Z:Z,"Approved",'QA Log'!L:L,"*Vignette [5] Labor*"),
    COUNTIFS('QA Log'!D:D,A38,'QA Log'!M:M,"Vignette",'QA Log'!Z:Z,"Approved",'QA Log'!L:L,"*Vignette [6] PNC pre Discharge*"),
    COUNTIFS('QA Log'!D:D,A38,'QA Log'!M:M,"Vignette",'QA Log'!Z:Z,"Approved",'QA Log'!L:L,"*Vignette [7] First ANC Visit*"),
    COUNTIFS('QA Log'!D:D,A38,'QA Log'!M:M,"Vignette",'QA Log'!Z:Z,"Approved",'QA Log'!L:L,"*Vignette [8] Birth Spacing/ Family Planning :  FP Counselling*"),
    COUNTIFS('QA Log'!D:D,A38,'QA Log'!M:M,"Vignette",'QA Log'!Z:Z,"Approved",'QA Log'!L:L,"*Vignette [9] Birth Spacing: Change FP method to Injectable*"),
    COUNTIFS('QA Log'!D:D,A38,'QA Log'!M:M,"Vignette",'QA Log'!Z:Z,"Approved",'QA Log'!L:L,"*Vignette [10] Post Partum Haemorrhage - Atonic Uterus at Health Centre*")
  )
)</f>
        <v/>
      </c>
      <c r="BG38" s="105" t="str">
        <f>IF(A38&lt;&gt;"",COUNTIFS('QA Log'!D:D,A38,'QA Log'!M:M,"Vignette",'QA Log'!L:L,"Vignette [5] Labor",'QA Log'!Z:Z,"Approved"),"")</f>
        <v/>
      </c>
      <c r="BH38" s="105" t="str">
        <f>IF(A38&lt;&gt;"",COUNTIFS('QA Log'!D:D,A38,'QA Log'!M:M,"Vignette",'QA Log'!L:L,"Vignette [6] PNC pre Discharge",'QA Log'!Z:Z,"Approved"),"")</f>
        <v/>
      </c>
      <c r="BI38" s="105" t="str">
        <f>IF(A38&lt;&gt;"",COUNTIFS('QA Log'!D:D,A38,'QA Log'!M:M,"Vignette",'QA Log'!L:L,"Vignette [7] First ANC Visit",'QA Log'!Z:Z,"Approved"),"")</f>
        <v/>
      </c>
      <c r="BJ38" s="105" t="str">
        <f>IF(A38&lt;&gt;"",COUNTIFS('QA Log'!D:D,A38,'QA Log'!M:M,"Vignette",'QA Log'!L:L,"Vignette [8] Birth Spacing/ Family Planning :  FP Counselling",'QA Log'!Z:Z,"Approved"),"")</f>
        <v/>
      </c>
      <c r="BK38" s="105" t="str">
        <f>IF(A38&lt;&gt;"",COUNTIFS('QA Log'!D:D,A38,'QA Log'!M:M,"Vignette",'QA Log'!L:L,"Vignette [9] Birth Spacing: Change FP method to Injectable",'QA Log'!Z:Z,"Approved"),"")</f>
        <v/>
      </c>
      <c r="BL38" s="105" t="str">
        <f>IF(A38&lt;&gt;"",COUNTIFS('QA Log'!D:D,A38,'QA Log'!M:M,"Vignette",'QA Log'!L:L,"Vignette [10] Post Partum Haemorrhage - Atonic Uterus at Health Centre",'QA Log'!Z:Z,"Approved"),"")</f>
        <v/>
      </c>
      <c r="BM38" s="102" t="str">
        <f>IF(A38="","",SUM(
    COUNTIFS('QA Log'!D:D,A38,'QA Log'!M:M,"Vignette",'QA Log'!Z:Z,"Rejected",'QA Log'!L:L,"*Vignette [5] Labor*"),
    COUNTIFS('QA Log'!D:D,A38,'QA Log'!M:M,"Vignette",'QA Log'!Z:Z,"Rejected",'QA Log'!L:L,"*Vignette [6] PNC pre Discharge*"),
    COUNTIFS('QA Log'!D:D,A38,'QA Log'!M:M,"Vignette",'QA Log'!Z:Z,"Rejected",'QA Log'!L:L,"*Vignette [7] First ANC Visit*"),
    COUNTIFS('QA Log'!D:D,A38,'QA Log'!M:M,"Vignette",'QA Log'!Z:Z,"Rejected",'QA Log'!L:L,"*Vignette [8] Birth Spacing/ Family Planning :  FP Counselling*"),
    COUNTIFS('QA Log'!D:D,A38,'QA Log'!M:M,"Vignette",'QA Log'!Z:Z,"Rejected",'QA Log'!L:L,"*Vignette [9] Birth Spacing: Change FP method to Injectable*"),
    COUNTIFS('QA Log'!D:D,A38,'QA Log'!M:M,"Vignette",'QA Log'!Z:Z,"Rejected",'QA Log'!L:L,"*Vignette [10] Post Partum Haemorrhage - Atonic Uterus at Health Centre*")
  )
)</f>
        <v/>
      </c>
      <c r="BN38" s="107" t="str">
        <f t="shared" si="11"/>
        <v/>
      </c>
      <c r="BO38" s="103" t="str">
        <f t="shared" si="12"/>
        <v/>
      </c>
      <c r="BP38" s="102" t="str">
        <f>IF(A38="","",SUM(
COUNTIFS('QA Log'!D:D,A38,'QA Log'!M:M,"Vignette",'QA Log'!L:L,"*Exit Interview 1*"),
COUNTIFS('QA Log'!D:D,A38,'QA Log'!M:M,"Vignette",'QA Log'!L:L,"*Exit Interview 2*"),
)
)</f>
        <v/>
      </c>
      <c r="BQ38" s="102" t="str">
        <f>IF(
  A38="","",
  SUM(
    COUNTIFS('QA Log'!D:D,A38,'QA Log'!M:M,"Vignette",'QA Log'!Z:Z,"Approved",'QA Log'!L:L,"*Exit Interview 1*"),
    COUNTIFS('QA Log'!D:D,A38,'QA Log'!M:M,"Vignette",'QA Log'!Z:Z,"Approved",'QA Log'!L:L,"*Exit Interview 2*")
  )
)</f>
        <v/>
      </c>
      <c r="BR38" s="105" t="str">
        <f>IF(A38&lt;&gt;"",COUNTIFS('QA Log'!D:D,A38,'QA Log'!M:M,"Vignette",'QA Log'!L:L,"Exit Interview 1",'QA Log'!Z:Z,"Approved"),"")</f>
        <v/>
      </c>
      <c r="BS38" s="105" t="str">
        <f>IF(A38&lt;&gt;"",COUNTIFS('QA Log'!D:D,A38,'QA Log'!M:M,"Vignette",'QA Log'!L:L,"Exit Interview 2",'QA Log'!Z:Z,"Approved"),"")</f>
        <v/>
      </c>
      <c r="BT38" s="102" t="str">
        <f>IF(
  A38="","",
  SUM(
    COUNTIFS('QA Log'!D:D,A38,'QA Log'!M:M,"Vignette",'QA Log'!Z:Z,"Rejected",'QA Log'!L:L,"*Exit Interview 1*"),
    COUNTIFS('QA Log'!D:D,A38,'QA Log'!M:M,"Vignette",'QA Log'!Z:Z,"Rejected",'QA Log'!L:L,"*Exit Interview 2*")
  )
)</f>
        <v/>
      </c>
      <c r="BU38" s="107" t="str">
        <f t="shared" si="13"/>
        <v/>
      </c>
      <c r="BV38" s="102" t="str">
        <f t="shared" si="14"/>
        <v/>
      </c>
      <c r="BW38" s="102" t="str">
        <f t="shared" si="15"/>
        <v/>
      </c>
      <c r="BX38" s="102" t="str">
        <f t="shared" si="16"/>
        <v/>
      </c>
      <c r="BY38" s="102" t="str">
        <f t="shared" si="17"/>
        <v/>
      </c>
      <c r="BZ38" s="107" t="str">
        <f t="shared" si="18"/>
        <v/>
      </c>
      <c r="CA38" s="108" t="str">
        <f t="shared" si="19"/>
        <v/>
      </c>
      <c r="CB38" s="108" t="str">
        <f t="shared" si="20"/>
        <v/>
      </c>
      <c r="CC38" s="109" t="str">
        <f t="shared" si="21"/>
        <v/>
      </c>
      <c r="CD38" s="108" t="str">
        <f t="shared" si="22"/>
        <v/>
      </c>
      <c r="CE38" s="108" t="str">
        <f t="shared" si="23"/>
        <v/>
      </c>
      <c r="CF38" s="109" t="str">
        <f t="shared" si="24"/>
        <v/>
      </c>
      <c r="CG38" s="110" t="str">
        <f t="shared" si="25"/>
        <v/>
      </c>
      <c r="CH38" s="111"/>
    </row>
    <row r="39" spans="1:86" ht="12.75">
      <c r="A39" s="101"/>
      <c r="B39" s="102" t="e">
        <f t="array" aca="1" ref="B39" ca="1">_xludf.XLOOKUP(A39,'QA Log'!D:D,'QA Log'!E:E,"")</f>
        <v>#NAME?</v>
      </c>
      <c r="C39" s="102" t="e">
        <f t="array" aca="1" ref="C39" ca="1">_xludf.XLOOKUP(A39,'QA Log'!D:D,'QA Log'!F:F,"")</f>
        <v>#NAME?</v>
      </c>
      <c r="D39" s="102" t="e">
        <f t="array" aca="1" ref="D39" ca="1">_xludf.XLOOKUP(A39,'QA Log'!D:D,'QA Log'!H:H,"")</f>
        <v>#NAME?</v>
      </c>
      <c r="E39" s="102" t="e">
        <f t="array" aca="1" ref="E39" ca="1">_xludf.XLOOKUP(A39,'QA Log'!D:D,'QA Log'!G:G,"")</f>
        <v>#NAME?</v>
      </c>
      <c r="F39" s="103"/>
      <c r="G39" s="104"/>
      <c r="H39" s="104"/>
      <c r="I39" s="103" t="str">
        <f t="shared" si="0"/>
        <v/>
      </c>
      <c r="J39" s="102" t="str">
        <f>IF(A39="","",SUM(
COUNTIFS('QA Log'!D:D,A39,'QA Log'!M:M,"QQC",'QA Log'!L:L,"*1. General Management*"),
COUNTIFS('QA Log'!D:D,A39,'QA Log'!M:M,"QQC",'QA Log'!L:L,"*3. Curative Consultation (OPD)*"),
COUNTIFS('QA Log'!D:D,A39,'QA Log'!M:M,"QQC",'QA Log'!L:L,"*5. Laboratory*"),
COUNTIFS('QA Log'!D:D,A39,'QA Log'!M:M,"QQC",'QA Log'!L:L,"*6. Essential Medicine Management*"),
COUNTIFS('QA Log'!D:D,A39,'QA Log'!M:M,"QQC",'QA Log'!L:L,"*7. Tracer Medicine*"),
COUNTIFS('QA Log'!D:D,A39,'QA Log'!M:M,"QQC",'QA Log'!L:L,"*11. Additional Questions*")))</f>
        <v/>
      </c>
      <c r="K39" s="102" t="str">
        <f>IF(A39="","",SUM(
COUNTIFS('QA Log'!D:D,A39,'QA Log'!M:M,"QQC",'QA Log'!Z:Z,"Approved",'QA Log'!L:L,"*1. General Management*"),
COUNTIFS('QA Log'!D:D,A39,'QA Log'!M:M,"QQC",'QA Log'!Z:Z,"Approved",'QA Log'!L:L,"*3. Curative Consultation (OPD)*"),
COUNTIFS('QA Log'!D:D,A39,'QA Log'!M:M,"QQC",'QA Log'!Z:Z,"Approved",'QA Log'!L:L,"*5. Laboratory*"),
COUNTIFS('QA Log'!D:D,A39,'QA Log'!M:M,"QQC",'QA Log'!Z:Z,"Approved",'QA Log'!L:L,"*6. Essential Medicine Management*"),
COUNTIFS('QA Log'!D:D,A39,'QA Log'!M:M,"QQC",'QA Log'!Z:Z,"Approved",'QA Log'!L:L,"*7. Tracer Medicine*"),
COUNTIFS('QA Log'!D:D,A39,'QA Log'!M:M,"QQC",'QA Log'!Z:Z,"Approved",'QA Log'!L:L,"*11. Additional Questions*")))</f>
        <v/>
      </c>
      <c r="L39" s="105" t="str">
        <f>IF(A39&lt;&gt;"",COUNTIFS('QA Log'!D:D,A39,'QA Log'!M:M,"QQC",'QA Log'!L:L,"1. General Management",'QA Log'!Z:Z,"Approved"),"")</f>
        <v/>
      </c>
      <c r="M39" s="105" t="str">
        <f>IF(A39&lt;&gt;"",COUNTIFS('QA Log'!D:D,A39,'QA Log'!M:M,"QQC",'QA Log'!L:L,"3. Curative Consultation (OPD)",'QA Log'!Z:Z,"Approved"),"")</f>
        <v/>
      </c>
      <c r="N39" s="105" t="str">
        <f>IF(A39&lt;&gt;"",COUNTIFS('QA Log'!D:D,A39,'QA Log'!M:M,"QQC",'QA Log'!L:L,"5. Laboratory",'QA Log'!Z:Z,"Approved"),"")</f>
        <v/>
      </c>
      <c r="O39" s="105" t="str">
        <f>IF(A39&lt;&gt;"",COUNTIFS('QA Log'!D:D,A39,'QA Log'!M:M,"QQC",'QA Log'!L:L,"6. Essential Medicine Management",'QA Log'!Z:Z,"Approved"),"")</f>
        <v/>
      </c>
      <c r="P39" s="105" t="str">
        <f>IF(A39&lt;&gt;"",COUNTIFS('QA Log'!D:D,A39,'QA Log'!M:M,"QQC",'QA Log'!L:L,"7. Tracer Medicine",'QA Log'!Z:Z,"Approved"),"")</f>
        <v/>
      </c>
      <c r="Q39" s="105" t="str">
        <f>IF(A39&lt;&gt;"",COUNTIFS('QA Log'!D:D,A39,'QA Log'!M:M,"QQC",'QA Log'!L:L,"11. Additional Questions",'QA Log'!Z:Z,"Approved"),"")</f>
        <v/>
      </c>
      <c r="R39" s="102" t="str">
        <f>IF(A39="","",SUM(
COUNTIFS('QA Log'!D:D,A39,'QA Log'!M:M,"QQC",'QA Log'!Z:Z,"Rejected",'QA Log'!L:L,"*8. Maternity*"),
COUNTIFS('QA Log'!D:D,A39,'QA Log'!M:M,"QQC",'QA Log'!Z:Z,"Rejected",'QA Log'!L:L,"*EPI*"),
COUNTIFS('QA Log'!D:D,A39,'QA Log'!M:M,"QQC",'QA Log'!Z:Z,"Rejected",'QA Log'!L:L,"*10. Antenatal Care (ANC)*"),
COUNTIFS('QA Log'!D:D,A39,'QA Log'!M:M,"QQC",'QA Log'!Z:Z,"Rejected",'QA Log'!L:L,"*2. Hygiene and Sterilization*"),
COUNTIFS('QA Log'!D:D,A39,'QA Log'!M:M,"QQC",'QA Log'!Z:Z,"Rejected",'QA Log'!L:L,"*Family Planning*")))</f>
        <v/>
      </c>
      <c r="S39" s="106" t="str">
        <f t="shared" si="1"/>
        <v/>
      </c>
      <c r="T39" s="102" t="str">
        <f t="shared" si="2"/>
        <v/>
      </c>
      <c r="U39" s="102" t="str">
        <f>IF(A39="","",
SUM(
COUNTIFS('QA Log'!D:D,A39,'QA Log'!M:M,"QQC",'QA Log'!L:L,"*8. Maternity*"),
COUNTIFS('QA Log'!D:D,A39,'QA Log'!M:M,"QQC",'QA Log'!L:L,"*9. EPI and Pre-school Consultation*"),
COUNTIFS('QA Log'!D:D,A39,'QA Log'!M:M,"QQC",'QA Log'!L:L,"*10. Antenatal Care (ANC)*"),
COUNTIFS('QA Log'!D:D,A39,'QA Log'!M:M,"QQC",'QA Log'!L:L,"*2. Hygiene and Sterilization*"),
COUNTIFS('QA Log'!D:D,A39,'QA Log'!M:M,"QQC",'QA Log'!L:L,"*4. Family Planning*")
))</f>
        <v/>
      </c>
      <c r="V39" s="102" t="str">
        <f>IF(A39="","",
SUM(
COUNTIFS('QA Log'!D:D,A39,'QA Log'!M:M,"QQC",'QA Log'!Z:Z,"Approved",'QA Log'!L:L,"*8. Maternity*"),
COUNTIFS('QA Log'!D:D,A39,'QA Log'!M:M,"QQC",'QA Log'!Z:Z,"Approved",'QA Log'!L:L,"*9. EPI and Pre-school Consultation*"),
COUNTIFS('QA Log'!D:D,A39,'QA Log'!M:M,"QQC",'QA Log'!Z:Z,"Approved",'QA Log'!L:L,"*10. Antenatal Care (ANC)*"),
COUNTIFS('QA Log'!D:D,A39,'QA Log'!M:M,"QQC",'QA Log'!Z:Z,"Approved",'QA Log'!L:L,"*2. Hygiene and Sterilization*"),
COUNTIFS('QA Log'!D:D,A39,'QA Log'!M:M,"QQC",'QA Log'!Z:Z,"Approved",'QA Log'!L:L,"*4. Family Planning*")
))</f>
        <v/>
      </c>
      <c r="W39" s="105" t="str">
        <f>IF(A39&lt;&gt;"",COUNTIFS('QA Log'!D:D,A39,'QA Log'!M:M,"QQC",'QA Log'!L:L,"8. Maternity",'QA Log'!Z:Z,"Approved"),"")</f>
        <v/>
      </c>
      <c r="X39" s="105" t="str">
        <f>IF(A39&lt;&gt;"",COUNTIFS('QA Log'!D:D,A39,'QA Log'!M:M,"QQC",'QA Log'!L:L,"9. EPI and Pre-school Consultation",'QA Log'!Z:Z,"Approved"),"")</f>
        <v/>
      </c>
      <c r="Y39" s="105" t="str">
        <f>IF(A39&lt;&gt;"",COUNTIFS('QA Log'!D:D,A39,'QA Log'!M:M,"QQC",'QA Log'!L:L,"10. Antenatal Care (ANC)",'QA Log'!Z:Z,"Approved"),"")</f>
        <v/>
      </c>
      <c r="Z39" s="105" t="str">
        <f>IF(A39&lt;&gt;"",COUNTIFS('QA Log'!D:D,A39,'QA Log'!M:M,"QQC",'QA Log'!L:L,"2. Hygiene and Sterilization",'QA Log'!Z:Z,"Approved"),"")</f>
        <v/>
      </c>
      <c r="AA39" s="105" t="str">
        <f>IF(A39&lt;&gt;"",COUNTIFS('QA Log'!D:D,A39,'QA Log'!M:M,"QQC",'QA Log'!L:L,"4. Family Planning",'QA Log'!Z:Z,"Approved"),"")</f>
        <v/>
      </c>
      <c r="AB39" s="102" t="str">
        <f>IF(A39="","",
SUM(
COUNTIFS('QA Log'!D:D,A39,'QA Log'!M:M,"QQC",'QA Log'!Z:Z,"Rejected",'QA Log'!L:L,"*8. Maternity*"),
COUNTIFS('QA Log'!D:D,A39,'QA Log'!M:M,"QQC",'QA Log'!Z:Z,"Rejected",'QA Log'!L:L,"*9. EPI and Pre-school Consultation*"),
COUNTIFS('QA Log'!D:D,A39,'QA Log'!M:M,"QQC",'QA Log'!Z:Z,"Rejected",'QA Log'!L:L,"*10. Antenatal Care (ANC)*"),
COUNTIFS('QA Log'!D:D,A39,'QA Log'!M:M,"QQC",'QA Log'!Z:Z,"Rejected",'QA Log'!L:L,"*2. Hygiene and Sterilization*"),
COUNTIFS('QA Log'!D:D,A39,'QA Log'!M:M,"QQC",'QA Log'!Z:Z,"Rejected",'QA Log'!L:L,"*4. Family Planning*")
))</f>
        <v/>
      </c>
      <c r="AC39" s="102" t="str">
        <f t="shared" si="3"/>
        <v/>
      </c>
      <c r="AD39" s="103" t="str">
        <f t="shared" si="4"/>
        <v/>
      </c>
      <c r="AE39" s="102" t="str">
        <f>IF(A39="","",
SUM(
COUNTIFS('QA Log'!D:D,A39,'QA Log'!M:M,"Data Verification",'QA Log'!L:L,"*Medicine (section 2)*"),
COUNTIFS('QA Log'!D:D,A39,'QA Log'!M:M,"Data Verification",'QA Log'!L:L,"*Lab Testing Availability*"),
COUNTIFS('QA Log'!D:D,A39,'QA Log'!M:M,"Data Verification",'QA Log'!L:L,"*Other than P4P (section 6)*"),
COUNTIFS('QA Log'!D:D,A39,'QA Log'!M:M,"Data Verification",'QA Log'!L:L,"*Hospital Governance*")
))</f>
        <v/>
      </c>
      <c r="AF39" s="102" t="str">
        <f>IF(A39="","",
SUM(
COUNTIFS('QA Log'!D:D,A39,'QA Log'!M:M,"Data Verification",'QA Log'!Z:Z,"Approved",'QA Log'!L:L,"*Medicine (section 2)*"),
COUNTIFS('QA Log'!D:D,A39,'QA Log'!M:M,"Data Verification",'QA Log'!Z:Z,"Approved",'QA Log'!L:L,"*Lab Testing Availability*"),
COUNTIFS('QA Log'!D:D,A39,'QA Log'!M:M,"Data Verification",'QA Log'!Z:Z,"Approved",'QA Log'!L:L,"*Other than P4P (section 6)*"),
COUNTIFS('QA Log'!D:D,A39,'QA Log'!M:M,"Data Verification",'QA Log'!Z:Z,"Approved",'QA Log'!L:L,"*Hospital Governance*")
))</f>
        <v/>
      </c>
      <c r="AG39" s="105" t="str">
        <f>IF(A39&lt;&gt;"",COUNTIFS('QA Log'!D:D,A39,'QA Log'!M:M,"Data Verification",'QA Log'!L:L,"Medicine (section 2)",'QA Log'!Z:Z,"Approved"),"")</f>
        <v/>
      </c>
      <c r="AH39" s="105" t="str">
        <f>IF(A39&lt;&gt;"",COUNTIFS('QA Log'!D:D,A39,'QA Log'!M:M,"Data Verification",'QA Log'!L:L,"Lab Testing Availability",'QA Log'!Z:Z,"Approved"),"")</f>
        <v/>
      </c>
      <c r="AI39" s="105" t="str">
        <f>IF(A39&lt;&gt;"",COUNTIFS('QA Log'!D:D,A39,'QA Log'!M:M,"Data Verification",'QA Log'!L:L,"Other than P4P (section 6)",'QA Log'!Z:Z,"Approved"),"")</f>
        <v/>
      </c>
      <c r="AJ39" s="105" t="str">
        <f>IF(A39&lt;&gt;"",COUNTIFS('QA Log'!D:D,A39,'QA Log'!M:M,"Data Verification",'QA Log'!L:L,"Hospital Governance",'QA Log'!Z:Z,"Approved"),"")</f>
        <v/>
      </c>
      <c r="AK39" s="102" t="str">
        <f>IF(A39="","",
SUM(
COUNTIFS('QA Log'!D:D,A39,'QA Log'!M:M,"Data Verification",'QA Log'!Z:Z,"Rejected",'QA Log'!L:L,"*Medicine (section 2)*"),
COUNTIFS('QA Log'!D:D,A39,'QA Log'!M:M,"Data Verification",'QA Log'!Z:Z,"Rejected",'QA Log'!L:L,"*Lab Testing Availability*"),
COUNTIFS('QA Log'!D:D,A39,'QA Log'!M:M,"Data Verification",'QA Log'!Z:Z,"Rejected",'QA Log'!L:L,"*Other than P4P (section 6)*"),
COUNTIFS('QA Log'!D:D,A39,'QA Log'!M:M,"Data Verification",'QA Log'!Z:Z,"Rejected",'QA Log'!L:L,"*Hospital Governance*")
))</f>
        <v/>
      </c>
      <c r="AL39" s="106" t="str">
        <f t="shared" si="5"/>
        <v/>
      </c>
      <c r="AM39" s="102" t="str">
        <f t="shared" si="6"/>
        <v/>
      </c>
      <c r="AN39" s="102" t="str">
        <f>IF(A39="","",
SUM(
COUNTIFS('QA Log'!D:D,A39,'QA Log'!M:M,"Data Verification",'QA Log'!L:L,"*Personnel (section 1)*"),
COUNTIFS('QA Log'!D:D,A39,'QA Log'!M:M,"Data Verification",'QA Log'!L:L,"*Consumable (section 3)*"),
COUNTIFS('QA Log'!D:D,A39,'QA Log'!M:M,"Data Verification",'QA Log'!L:L,"*Equipments (section 4)*")
))</f>
        <v/>
      </c>
      <c r="AO39" s="102" t="str">
        <f>IF(A39="","",
SUM(
COUNTIFS('QA Log'!D:D,A39,'QA Log'!M:M,"Data Verification",'QA Log'!Z:Z,"Approved",'QA Log'!L:L,"*Personnel (section 1)*"),
COUNTIFS('QA Log'!D:D,A39,'QA Log'!M:M,"Data Verification",'QA Log'!Z:Z,"Approved",'QA Log'!L:L,"*Consumable (section 3)*"),
COUNTIFS('QA Log'!D:D,A39,'QA Log'!M:M,"Data Verification",'QA Log'!Z:Z,"Approved",'QA Log'!L:L,"*Equipments (section 4)*")
))</f>
        <v/>
      </c>
      <c r="AP39" s="105" t="str">
        <f>IF(A39&lt;&gt;"",COUNTIFS('QA Log'!D:D,A39,'QA Log'!M:M,"Data Verification",'QA Log'!L:L,"Personnel (section 1)",'QA Log'!Z:Z,"Approved"),"")</f>
        <v/>
      </c>
      <c r="AQ39" s="105" t="str">
        <f>IF(A39&lt;&gt;"",COUNTIFS('QA Log'!D:D,A39,'QA Log'!M:M,"Data Verification",'QA Log'!L:L,"Consumable (section 3)",'QA Log'!Z:Z,"Approved"),"")</f>
        <v/>
      </c>
      <c r="AR39" s="105" t="str">
        <f>IF(A39&lt;&gt;"",COUNTIFS('QA Log'!D:D,A39,'QA Log'!M:M,"Data Verification",'QA Log'!L:L,"Equipments (section 4)",'QA Log'!Z:Z,"Approved"),"")</f>
        <v/>
      </c>
      <c r="AS39" s="102" t="str">
        <f>IF(A39="","",
SUM(
COUNTIFS('QA Log'!D:D,A39,'QA Log'!M:M,"Data Verification",'QA Log'!Z:Z,"Rejected",'QA Log'!L:L,"*Personnel (section 1)*"),
COUNTIFS('QA Log'!D:D,A39,'QA Log'!M:M,"Data Verification",'QA Log'!Z:Z,"Rejected",'QA Log'!L:L,"*Consumable (section 3)*"),
COUNTIFS('QA Log'!D:D,A39,'QA Log'!M:M,"Data Verification",'QA Log'!Z:Z,"Rejected",'QA Log'!L:L,"*Equipments (section 4)*")
))</f>
        <v/>
      </c>
      <c r="AT39" s="102" t="str">
        <f t="shared" si="7"/>
        <v/>
      </c>
      <c r="AU39" s="103" t="str">
        <f t="shared" si="8"/>
        <v/>
      </c>
      <c r="AV39" s="102" t="str">
        <f>IF(A39="","",SUM(
COUNTIFS('QA Log'!D:D,A39,'QA Log'!M:M,"Vignette",'QA Log'!L:L,"*Vignette [1] Respiratory Infection: Pneumonia*"),
COUNTIFS('QA Log'!D:D,A39,'QA Log'!M:M,"Vignette",'QA Log'!L:L,"*Vignette [2]: Diarrhea with Cat B dehydration*"),
COUNTIFS('QA Log'!D:D,A39,'QA Log'!M:M,"Vignette",'QA Log'!L:L,"*Vignette [3] Growth Monitoring and Promotion*"),
COUNTIFS('QA Log'!D:D,A39,'QA Log'!M:M,"Vignette",'QA Log'!L:L,"*Vignette [4]: The management of presumptive TB patient*")
)
)</f>
        <v/>
      </c>
      <c r="AW39" s="102" t="str">
        <f>IF(
  A39="","",
  SUM(
    COUNTIFS('QA Log'!D:D,A39,'QA Log'!M:M,"Vignette",'QA Log'!Z:Z,"Approved",'QA Log'!L:L,"*Vignette [1] Respiratory Infection: Pneumonia*"),
    COUNTIFS('QA Log'!D:D,A39,'QA Log'!M:M,"Vignette",'QA Log'!Z:Z,"Approved",'QA Log'!L:L,"*Vignette [2]: Diarrhea with Cat B dehydration*"),
    COUNTIFS('QA Log'!D:D,A39,'QA Log'!M:M,"Vignette",'QA Log'!Z:Z,"Approved",'QA Log'!L:L,"*Vignette [3] Growth Monitoring and Promotion*"),
    COUNTIFS('QA Log'!D:D,A39,'QA Log'!M:M,"Vignette",'QA Log'!Z:Z,"Approved",'QA Log'!L:L,"*Vignette [4]: The management of presumptive TB patient*")
  )
)</f>
        <v/>
      </c>
      <c r="AX39" s="105" t="str">
        <f>IF(A39&lt;&gt;"",COUNTIFS('QA Log'!D:D,A39,'QA Log'!M:M,"Vignette",'QA Log'!L:L,"Vignette [1] Respiratory Infection: Pneumonia",'QA Log'!Z:Z,"Approved"),"")</f>
        <v/>
      </c>
      <c r="AY39" s="105" t="str">
        <f>IF(A39&lt;&gt;"",COUNTIFS('QA Log'!D:D,A39,'QA Log'!M:M,"Vignette",'QA Log'!L:L,"Vignette [2]: Diarrhea with Cat B dehydration",'QA Log'!Z:Z,"Approved"),"")</f>
        <v/>
      </c>
      <c r="AZ39" s="105" t="str">
        <f>IF(A39&lt;&gt;"",COUNTIFS('QA Log'!D:D,A39,'QA Log'!M:M,"Vignette",'QA Log'!L:L,"Vignette [3] Growth Monitoring and Promotion",'QA Log'!Z:Z,"Approved"),"")</f>
        <v/>
      </c>
      <c r="BA39" s="105" t="str">
        <f>IF(A39&lt;&gt;"",COUNTIFS('QA Log'!D:D,A39,'QA Log'!M:M,"Vignette",'QA Log'!L:L,"Vignette [4]: The management of presumptive TB patient",'QA Log'!Z:Z,"Approved"),"")</f>
        <v/>
      </c>
      <c r="BB39" s="102" t="str">
        <f>IF(A39="","",
  SUM(
    COUNTIFS('QA Log'!D:D,A39,'QA Log'!M:M,"Vignette",'QA Log'!Z:Z,"Rejected",'QA Log'!L:L,"*Vignette [1] Respiratory Infection: Pneumonia*"),
    COUNTIFS('QA Log'!D:D,A39,'QA Log'!M:M,"Vignette",'QA Log'!Z:Z,"Rejected",'QA Log'!L:L,"*Vignette [2]: Diarrhea with Cat B dehydration*"),
    COUNTIFS('QA Log'!D:D,A39,'QA Log'!M:M,"Vignette",'QA Log'!Z:Z,"Rejected",'QA Log'!L:L,"*Vignette [3] Growth Monitoring and Promotion*"),
    COUNTIFS('QA Log'!D:D,A39,'QA Log'!M:M,"Vignette",'QA Log'!Z:Z,"Rejected",'QA Log'!L:L,"*Vignette [4]: The management of presumptive TB patient*")
  )
)</f>
        <v/>
      </c>
      <c r="BC39" s="107" t="str">
        <f t="shared" si="9"/>
        <v/>
      </c>
      <c r="BD39" s="103" t="str">
        <f t="shared" si="10"/>
        <v/>
      </c>
      <c r="BE39" s="102" t="str">
        <f>IF(A39="","",SUM(
COUNTIFS('QA Log'!D:D,A39,'QA Log'!M:M,"Vignette",'QA Log'!L:L,"*Vignette [5] Labor*"),
COUNTIFS('QA Log'!D:D,A39,'QA Log'!M:M,"Vignette",'QA Log'!L:L,"*Vignette [6] PNC pre Discharge*"),
COUNTIFS('QA Log'!D:D,A39,'QA Log'!M:M,"Vignette",'QA Log'!L:L,"*Vignette [7] First ANC Visit*"),
COUNTIFS('QA Log'!D:D,A39,'QA Log'!M:M,"Vignette",'QA Log'!L:L,"*Vignette [8] Birth Spacing/ Family Planning :  FP Counselling*"),
COUNTIFS('QA Log'!D:D,A39,'QA Log'!M:M,"Vignette",'QA Log'!L:L,"*Vignette [9] Birth Spacing: Change FP method to Injectable*"),
COUNTIFS('QA Log'!D:D,A39,'QA Log'!M:M,"Vignette",'QA Log'!L:L,"*Vignette [10] Post Partum Haemorrhage - Atonic Uterus at Health Centre*"),
)
)</f>
        <v/>
      </c>
      <c r="BF39" s="102" t="str">
        <f>IF(A39="","",
  SUM(
    COUNTIFS('QA Log'!D:D,A39,'QA Log'!M:M,"Vignette",'QA Log'!Z:Z,"Approved",'QA Log'!L:L,"*Vignette [5] Labor*"),
    COUNTIFS('QA Log'!D:D,A39,'QA Log'!M:M,"Vignette",'QA Log'!Z:Z,"Approved",'QA Log'!L:L,"*Vignette [6] PNC pre Discharge*"),
    COUNTIFS('QA Log'!D:D,A39,'QA Log'!M:M,"Vignette",'QA Log'!Z:Z,"Approved",'QA Log'!L:L,"*Vignette [7] First ANC Visit*"),
    COUNTIFS('QA Log'!D:D,A39,'QA Log'!M:M,"Vignette",'QA Log'!Z:Z,"Approved",'QA Log'!L:L,"*Vignette [8] Birth Spacing/ Family Planning :  FP Counselling*"),
    COUNTIFS('QA Log'!D:D,A39,'QA Log'!M:M,"Vignette",'QA Log'!Z:Z,"Approved",'QA Log'!L:L,"*Vignette [9] Birth Spacing: Change FP method to Injectable*"),
    COUNTIFS('QA Log'!D:D,A39,'QA Log'!M:M,"Vignette",'QA Log'!Z:Z,"Approved",'QA Log'!L:L,"*Vignette [10] Post Partum Haemorrhage - Atonic Uterus at Health Centre*")
  )
)</f>
        <v/>
      </c>
      <c r="BG39" s="105" t="str">
        <f>IF(A39&lt;&gt;"",COUNTIFS('QA Log'!D:D,A39,'QA Log'!M:M,"Vignette",'QA Log'!L:L,"Vignette [5] Labor",'QA Log'!Z:Z,"Approved"),"")</f>
        <v/>
      </c>
      <c r="BH39" s="105" t="str">
        <f>IF(A39&lt;&gt;"",COUNTIFS('QA Log'!D:D,A39,'QA Log'!M:M,"Vignette",'QA Log'!L:L,"Vignette [6] PNC pre Discharge",'QA Log'!Z:Z,"Approved"),"")</f>
        <v/>
      </c>
      <c r="BI39" s="105" t="str">
        <f>IF(A39&lt;&gt;"",COUNTIFS('QA Log'!D:D,A39,'QA Log'!M:M,"Vignette",'QA Log'!L:L,"Vignette [7] First ANC Visit",'QA Log'!Z:Z,"Approved"),"")</f>
        <v/>
      </c>
      <c r="BJ39" s="105" t="str">
        <f>IF(A39&lt;&gt;"",COUNTIFS('QA Log'!D:D,A39,'QA Log'!M:M,"Vignette",'QA Log'!L:L,"Vignette [8] Birth Spacing/ Family Planning :  FP Counselling",'QA Log'!Z:Z,"Approved"),"")</f>
        <v/>
      </c>
      <c r="BK39" s="105" t="str">
        <f>IF(A39&lt;&gt;"",COUNTIFS('QA Log'!D:D,A39,'QA Log'!M:M,"Vignette",'QA Log'!L:L,"Vignette [9] Birth Spacing: Change FP method to Injectable",'QA Log'!Z:Z,"Approved"),"")</f>
        <v/>
      </c>
      <c r="BL39" s="105" t="str">
        <f>IF(A39&lt;&gt;"",COUNTIFS('QA Log'!D:D,A39,'QA Log'!M:M,"Vignette",'QA Log'!L:L,"Vignette [10] Post Partum Haemorrhage - Atonic Uterus at Health Centre",'QA Log'!Z:Z,"Approved"),"")</f>
        <v/>
      </c>
      <c r="BM39" s="102" t="str">
        <f>IF(A39="","",SUM(
    COUNTIFS('QA Log'!D:D,A39,'QA Log'!M:M,"Vignette",'QA Log'!Z:Z,"Rejected",'QA Log'!L:L,"*Vignette [5] Labor*"),
    COUNTIFS('QA Log'!D:D,A39,'QA Log'!M:M,"Vignette",'QA Log'!Z:Z,"Rejected",'QA Log'!L:L,"*Vignette [6] PNC pre Discharge*"),
    COUNTIFS('QA Log'!D:D,A39,'QA Log'!M:M,"Vignette",'QA Log'!Z:Z,"Rejected",'QA Log'!L:L,"*Vignette [7] First ANC Visit*"),
    COUNTIFS('QA Log'!D:D,A39,'QA Log'!M:M,"Vignette",'QA Log'!Z:Z,"Rejected",'QA Log'!L:L,"*Vignette [8] Birth Spacing/ Family Planning :  FP Counselling*"),
    COUNTIFS('QA Log'!D:D,A39,'QA Log'!M:M,"Vignette",'QA Log'!Z:Z,"Rejected",'QA Log'!L:L,"*Vignette [9] Birth Spacing: Change FP method to Injectable*"),
    COUNTIFS('QA Log'!D:D,A39,'QA Log'!M:M,"Vignette",'QA Log'!Z:Z,"Rejected",'QA Log'!L:L,"*Vignette [10] Post Partum Haemorrhage - Atonic Uterus at Health Centre*")
  )
)</f>
        <v/>
      </c>
      <c r="BN39" s="107" t="str">
        <f t="shared" si="11"/>
        <v/>
      </c>
      <c r="BO39" s="103" t="str">
        <f t="shared" si="12"/>
        <v/>
      </c>
      <c r="BP39" s="102" t="str">
        <f>IF(A39="","",SUM(
COUNTIFS('QA Log'!D:D,A39,'QA Log'!M:M,"Vignette",'QA Log'!L:L,"*Exit Interview 1*"),
COUNTIFS('QA Log'!D:D,A39,'QA Log'!M:M,"Vignette",'QA Log'!L:L,"*Exit Interview 2*"),
)
)</f>
        <v/>
      </c>
      <c r="BQ39" s="102" t="str">
        <f>IF(
  A39="","",
  SUM(
    COUNTIFS('QA Log'!D:D,A39,'QA Log'!M:M,"Vignette",'QA Log'!Z:Z,"Approved",'QA Log'!L:L,"*Exit Interview 1*"),
    COUNTIFS('QA Log'!D:D,A39,'QA Log'!M:M,"Vignette",'QA Log'!Z:Z,"Approved",'QA Log'!L:L,"*Exit Interview 2*")
  )
)</f>
        <v/>
      </c>
      <c r="BR39" s="105" t="str">
        <f>IF(A39&lt;&gt;"",COUNTIFS('QA Log'!D:D,A39,'QA Log'!M:M,"Vignette",'QA Log'!L:L,"Exit Interview 1",'QA Log'!Z:Z,"Approved"),"")</f>
        <v/>
      </c>
      <c r="BS39" s="105" t="str">
        <f>IF(A39&lt;&gt;"",COUNTIFS('QA Log'!D:D,A39,'QA Log'!M:M,"Vignette",'QA Log'!L:L,"Exit Interview 2",'QA Log'!Z:Z,"Approved"),"")</f>
        <v/>
      </c>
      <c r="BT39" s="102" t="str">
        <f>IF(
  A39="","",
  SUM(
    COUNTIFS('QA Log'!D:D,A39,'QA Log'!M:M,"Vignette",'QA Log'!Z:Z,"Rejected",'QA Log'!L:L,"*Exit Interview 1*"),
    COUNTIFS('QA Log'!D:D,A39,'QA Log'!M:M,"Vignette",'QA Log'!Z:Z,"Rejected",'QA Log'!L:L,"*Exit Interview 2*")
  )
)</f>
        <v/>
      </c>
      <c r="BU39" s="107" t="str">
        <f t="shared" si="13"/>
        <v/>
      </c>
      <c r="BV39" s="102" t="str">
        <f t="shared" si="14"/>
        <v/>
      </c>
      <c r="BW39" s="102" t="str">
        <f t="shared" si="15"/>
        <v/>
      </c>
      <c r="BX39" s="102" t="str">
        <f t="shared" si="16"/>
        <v/>
      </c>
      <c r="BY39" s="102" t="str">
        <f t="shared" si="17"/>
        <v/>
      </c>
      <c r="BZ39" s="107" t="str">
        <f t="shared" si="18"/>
        <v/>
      </c>
      <c r="CA39" s="108" t="str">
        <f t="shared" si="19"/>
        <v/>
      </c>
      <c r="CB39" s="108" t="str">
        <f t="shared" si="20"/>
        <v/>
      </c>
      <c r="CC39" s="109" t="str">
        <f t="shared" si="21"/>
        <v/>
      </c>
      <c r="CD39" s="108" t="str">
        <f t="shared" si="22"/>
        <v/>
      </c>
      <c r="CE39" s="108" t="str">
        <f t="shared" si="23"/>
        <v/>
      </c>
      <c r="CF39" s="109" t="str">
        <f t="shared" si="24"/>
        <v/>
      </c>
      <c r="CG39" s="110" t="str">
        <f t="shared" si="25"/>
        <v/>
      </c>
      <c r="CH39" s="111"/>
    </row>
    <row r="40" spans="1:86" ht="12.75">
      <c r="A40" s="101"/>
      <c r="B40" s="102" t="e">
        <f t="array" aca="1" ref="B40" ca="1">_xludf.XLOOKUP(A40,'QA Log'!D:D,'QA Log'!E:E,"")</f>
        <v>#NAME?</v>
      </c>
      <c r="C40" s="102" t="e">
        <f t="array" aca="1" ref="C40" ca="1">_xludf.XLOOKUP(A40,'QA Log'!D:D,'QA Log'!F:F,"")</f>
        <v>#NAME?</v>
      </c>
      <c r="D40" s="102" t="e">
        <f t="array" aca="1" ref="D40" ca="1">_xludf.XLOOKUP(A40,'QA Log'!D:D,'QA Log'!H:H,"")</f>
        <v>#NAME?</v>
      </c>
      <c r="E40" s="102" t="e">
        <f t="array" aca="1" ref="E40" ca="1">_xludf.XLOOKUP(A40,'QA Log'!D:D,'QA Log'!G:G,"")</f>
        <v>#NAME?</v>
      </c>
      <c r="F40" s="103"/>
      <c r="G40" s="104"/>
      <c r="H40" s="104"/>
      <c r="I40" s="103" t="str">
        <f t="shared" si="0"/>
        <v/>
      </c>
      <c r="J40" s="102" t="str">
        <f>IF(A40="","",SUM(
COUNTIFS('QA Log'!D:D,A40,'QA Log'!M:M,"QQC",'QA Log'!L:L,"*1. General Management*"),
COUNTIFS('QA Log'!D:D,A40,'QA Log'!M:M,"QQC",'QA Log'!L:L,"*3. Curative Consultation (OPD)*"),
COUNTIFS('QA Log'!D:D,A40,'QA Log'!M:M,"QQC",'QA Log'!L:L,"*5. Laboratory*"),
COUNTIFS('QA Log'!D:D,A40,'QA Log'!M:M,"QQC",'QA Log'!L:L,"*6. Essential Medicine Management*"),
COUNTIFS('QA Log'!D:D,A40,'QA Log'!M:M,"QQC",'QA Log'!L:L,"*7. Tracer Medicine*"),
COUNTIFS('QA Log'!D:D,A40,'QA Log'!M:M,"QQC",'QA Log'!L:L,"*11. Additional Questions*")))</f>
        <v/>
      </c>
      <c r="K40" s="102" t="str">
        <f>IF(A40="","",SUM(
COUNTIFS('QA Log'!D:D,A40,'QA Log'!M:M,"QQC",'QA Log'!Z:Z,"Approved",'QA Log'!L:L,"*1. General Management*"),
COUNTIFS('QA Log'!D:D,A40,'QA Log'!M:M,"QQC",'QA Log'!Z:Z,"Approved",'QA Log'!L:L,"*3. Curative Consultation (OPD)*"),
COUNTIFS('QA Log'!D:D,A40,'QA Log'!M:M,"QQC",'QA Log'!Z:Z,"Approved",'QA Log'!L:L,"*5. Laboratory*"),
COUNTIFS('QA Log'!D:D,A40,'QA Log'!M:M,"QQC",'QA Log'!Z:Z,"Approved",'QA Log'!L:L,"*6. Essential Medicine Management*"),
COUNTIFS('QA Log'!D:D,A40,'QA Log'!M:M,"QQC",'QA Log'!Z:Z,"Approved",'QA Log'!L:L,"*7. Tracer Medicine*"),
COUNTIFS('QA Log'!D:D,A40,'QA Log'!M:M,"QQC",'QA Log'!Z:Z,"Approved",'QA Log'!L:L,"*11. Additional Questions*")))</f>
        <v/>
      </c>
      <c r="L40" s="105" t="str">
        <f>IF(A40&lt;&gt;"",COUNTIFS('QA Log'!D:D,A40,'QA Log'!M:M,"QQC",'QA Log'!L:L,"1. General Management",'QA Log'!Z:Z,"Approved"),"")</f>
        <v/>
      </c>
      <c r="M40" s="105" t="str">
        <f>IF(A40&lt;&gt;"",COUNTIFS('QA Log'!D:D,A40,'QA Log'!M:M,"QQC",'QA Log'!L:L,"3. Curative Consultation (OPD)",'QA Log'!Z:Z,"Approved"),"")</f>
        <v/>
      </c>
      <c r="N40" s="105" t="str">
        <f>IF(A40&lt;&gt;"",COUNTIFS('QA Log'!D:D,A40,'QA Log'!M:M,"QQC",'QA Log'!L:L,"5. Laboratory",'QA Log'!Z:Z,"Approved"),"")</f>
        <v/>
      </c>
      <c r="O40" s="105" t="str">
        <f>IF(A40&lt;&gt;"",COUNTIFS('QA Log'!D:D,A40,'QA Log'!M:M,"QQC",'QA Log'!L:L,"6. Essential Medicine Management",'QA Log'!Z:Z,"Approved"),"")</f>
        <v/>
      </c>
      <c r="P40" s="105" t="str">
        <f>IF(A40&lt;&gt;"",COUNTIFS('QA Log'!D:D,A40,'QA Log'!M:M,"QQC",'QA Log'!L:L,"7. Tracer Medicine",'QA Log'!Z:Z,"Approved"),"")</f>
        <v/>
      </c>
      <c r="Q40" s="105" t="str">
        <f>IF(A40&lt;&gt;"",COUNTIFS('QA Log'!D:D,A40,'QA Log'!M:M,"QQC",'QA Log'!L:L,"11. Additional Questions",'QA Log'!Z:Z,"Approved"),"")</f>
        <v/>
      </c>
      <c r="R40" s="102" t="str">
        <f>IF(A40="","",SUM(
COUNTIFS('QA Log'!D:D,A40,'QA Log'!M:M,"QQC",'QA Log'!Z:Z,"Rejected",'QA Log'!L:L,"*8. Maternity*"),
COUNTIFS('QA Log'!D:D,A40,'QA Log'!M:M,"QQC",'QA Log'!Z:Z,"Rejected",'QA Log'!L:L,"*EPI*"),
COUNTIFS('QA Log'!D:D,A40,'QA Log'!M:M,"QQC",'QA Log'!Z:Z,"Rejected",'QA Log'!L:L,"*10. Antenatal Care (ANC)*"),
COUNTIFS('QA Log'!D:D,A40,'QA Log'!M:M,"QQC",'QA Log'!Z:Z,"Rejected",'QA Log'!L:L,"*2. Hygiene and Sterilization*"),
COUNTIFS('QA Log'!D:D,A40,'QA Log'!M:M,"QQC",'QA Log'!Z:Z,"Rejected",'QA Log'!L:L,"*Family Planning*")))</f>
        <v/>
      </c>
      <c r="S40" s="106" t="str">
        <f t="shared" si="1"/>
        <v/>
      </c>
      <c r="T40" s="102" t="str">
        <f t="shared" si="2"/>
        <v/>
      </c>
      <c r="U40" s="102" t="str">
        <f>IF(A40="","",
SUM(
COUNTIFS('QA Log'!D:D,A40,'QA Log'!M:M,"QQC",'QA Log'!L:L,"*8. Maternity*"),
COUNTIFS('QA Log'!D:D,A40,'QA Log'!M:M,"QQC",'QA Log'!L:L,"*9. EPI and Pre-school Consultation*"),
COUNTIFS('QA Log'!D:D,A40,'QA Log'!M:M,"QQC",'QA Log'!L:L,"*10. Antenatal Care (ANC)*"),
COUNTIFS('QA Log'!D:D,A40,'QA Log'!M:M,"QQC",'QA Log'!L:L,"*2. Hygiene and Sterilization*"),
COUNTIFS('QA Log'!D:D,A40,'QA Log'!M:M,"QQC",'QA Log'!L:L,"*4. Family Planning*")
))</f>
        <v/>
      </c>
      <c r="V40" s="102" t="str">
        <f>IF(A40="","",
SUM(
COUNTIFS('QA Log'!D:D,A40,'QA Log'!M:M,"QQC",'QA Log'!Z:Z,"Approved",'QA Log'!L:L,"*8. Maternity*"),
COUNTIFS('QA Log'!D:D,A40,'QA Log'!M:M,"QQC",'QA Log'!Z:Z,"Approved",'QA Log'!L:L,"*9. EPI and Pre-school Consultation*"),
COUNTIFS('QA Log'!D:D,A40,'QA Log'!M:M,"QQC",'QA Log'!Z:Z,"Approved",'QA Log'!L:L,"*10. Antenatal Care (ANC)*"),
COUNTIFS('QA Log'!D:D,A40,'QA Log'!M:M,"QQC",'QA Log'!Z:Z,"Approved",'QA Log'!L:L,"*2. Hygiene and Sterilization*"),
COUNTIFS('QA Log'!D:D,A40,'QA Log'!M:M,"QQC",'QA Log'!Z:Z,"Approved",'QA Log'!L:L,"*4. Family Planning*")
))</f>
        <v/>
      </c>
      <c r="W40" s="105" t="str">
        <f>IF(A40&lt;&gt;"",COUNTIFS('QA Log'!D:D,A40,'QA Log'!M:M,"QQC",'QA Log'!L:L,"8. Maternity",'QA Log'!Z:Z,"Approved"),"")</f>
        <v/>
      </c>
      <c r="X40" s="105" t="str">
        <f>IF(A40&lt;&gt;"",COUNTIFS('QA Log'!D:D,A40,'QA Log'!M:M,"QQC",'QA Log'!L:L,"9. EPI and Pre-school Consultation",'QA Log'!Z:Z,"Approved"),"")</f>
        <v/>
      </c>
      <c r="Y40" s="105" t="str">
        <f>IF(A40&lt;&gt;"",COUNTIFS('QA Log'!D:D,A40,'QA Log'!M:M,"QQC",'QA Log'!L:L,"10. Antenatal Care (ANC)",'QA Log'!Z:Z,"Approved"),"")</f>
        <v/>
      </c>
      <c r="Z40" s="105" t="str">
        <f>IF(A40&lt;&gt;"",COUNTIFS('QA Log'!D:D,A40,'QA Log'!M:M,"QQC",'QA Log'!L:L,"2. Hygiene and Sterilization",'QA Log'!Z:Z,"Approved"),"")</f>
        <v/>
      </c>
      <c r="AA40" s="105" t="str">
        <f>IF(A40&lt;&gt;"",COUNTIFS('QA Log'!D:D,A40,'QA Log'!M:M,"QQC",'QA Log'!L:L,"4. Family Planning",'QA Log'!Z:Z,"Approved"),"")</f>
        <v/>
      </c>
      <c r="AB40" s="102" t="str">
        <f>IF(A40="","",
SUM(
COUNTIFS('QA Log'!D:D,A40,'QA Log'!M:M,"QQC",'QA Log'!Z:Z,"Rejected",'QA Log'!L:L,"*8. Maternity*"),
COUNTIFS('QA Log'!D:D,A40,'QA Log'!M:M,"QQC",'QA Log'!Z:Z,"Rejected",'QA Log'!L:L,"*9. EPI and Pre-school Consultation*"),
COUNTIFS('QA Log'!D:D,A40,'QA Log'!M:M,"QQC",'QA Log'!Z:Z,"Rejected",'QA Log'!L:L,"*10. Antenatal Care (ANC)*"),
COUNTIFS('QA Log'!D:D,A40,'QA Log'!M:M,"QQC",'QA Log'!Z:Z,"Rejected",'QA Log'!L:L,"*2. Hygiene and Sterilization*"),
COUNTIFS('QA Log'!D:D,A40,'QA Log'!M:M,"QQC",'QA Log'!Z:Z,"Rejected",'QA Log'!L:L,"*4. Family Planning*")
))</f>
        <v/>
      </c>
      <c r="AC40" s="102" t="str">
        <f t="shared" si="3"/>
        <v/>
      </c>
      <c r="AD40" s="103" t="str">
        <f t="shared" si="4"/>
        <v/>
      </c>
      <c r="AE40" s="102" t="str">
        <f>IF(A40="","",
SUM(
COUNTIFS('QA Log'!D:D,A40,'QA Log'!M:M,"Data Verification",'QA Log'!L:L,"*Medicine (section 2)*"),
COUNTIFS('QA Log'!D:D,A40,'QA Log'!M:M,"Data Verification",'QA Log'!L:L,"*Lab Testing Availability*"),
COUNTIFS('QA Log'!D:D,A40,'QA Log'!M:M,"Data Verification",'QA Log'!L:L,"*Other than P4P (section 6)*"),
COUNTIFS('QA Log'!D:D,A40,'QA Log'!M:M,"Data Verification",'QA Log'!L:L,"*Hospital Governance*")
))</f>
        <v/>
      </c>
      <c r="AF40" s="102" t="str">
        <f>IF(A40="","",
SUM(
COUNTIFS('QA Log'!D:D,A40,'QA Log'!M:M,"Data Verification",'QA Log'!Z:Z,"Approved",'QA Log'!L:L,"*Medicine (section 2)*"),
COUNTIFS('QA Log'!D:D,A40,'QA Log'!M:M,"Data Verification",'QA Log'!Z:Z,"Approved",'QA Log'!L:L,"*Lab Testing Availability*"),
COUNTIFS('QA Log'!D:D,A40,'QA Log'!M:M,"Data Verification",'QA Log'!Z:Z,"Approved",'QA Log'!L:L,"*Other than P4P (section 6)*"),
COUNTIFS('QA Log'!D:D,A40,'QA Log'!M:M,"Data Verification",'QA Log'!Z:Z,"Approved",'QA Log'!L:L,"*Hospital Governance*")
))</f>
        <v/>
      </c>
      <c r="AG40" s="105" t="str">
        <f>IF(A40&lt;&gt;"",COUNTIFS('QA Log'!D:D,A40,'QA Log'!M:M,"Data Verification",'QA Log'!L:L,"Medicine (section 2)",'QA Log'!Z:Z,"Approved"),"")</f>
        <v/>
      </c>
      <c r="AH40" s="105" t="str">
        <f>IF(A40&lt;&gt;"",COUNTIFS('QA Log'!D:D,A40,'QA Log'!M:M,"Data Verification",'QA Log'!L:L,"Lab Testing Availability",'QA Log'!Z:Z,"Approved"),"")</f>
        <v/>
      </c>
      <c r="AI40" s="105" t="str">
        <f>IF(A40&lt;&gt;"",COUNTIFS('QA Log'!D:D,A40,'QA Log'!M:M,"Data Verification",'QA Log'!L:L,"Other than P4P (section 6)",'QA Log'!Z:Z,"Approved"),"")</f>
        <v/>
      </c>
      <c r="AJ40" s="105" t="str">
        <f>IF(A40&lt;&gt;"",COUNTIFS('QA Log'!D:D,A40,'QA Log'!M:M,"Data Verification",'QA Log'!L:L,"Hospital Governance",'QA Log'!Z:Z,"Approved"),"")</f>
        <v/>
      </c>
      <c r="AK40" s="102" t="str">
        <f>IF(A40="","",
SUM(
COUNTIFS('QA Log'!D:D,A40,'QA Log'!M:M,"Data Verification",'QA Log'!Z:Z,"Rejected",'QA Log'!L:L,"*Medicine (section 2)*"),
COUNTIFS('QA Log'!D:D,A40,'QA Log'!M:M,"Data Verification",'QA Log'!Z:Z,"Rejected",'QA Log'!L:L,"*Lab Testing Availability*"),
COUNTIFS('QA Log'!D:D,A40,'QA Log'!M:M,"Data Verification",'QA Log'!Z:Z,"Rejected",'QA Log'!L:L,"*Other than P4P (section 6)*"),
COUNTIFS('QA Log'!D:D,A40,'QA Log'!M:M,"Data Verification",'QA Log'!Z:Z,"Rejected",'QA Log'!L:L,"*Hospital Governance*")
))</f>
        <v/>
      </c>
      <c r="AL40" s="106" t="str">
        <f t="shared" si="5"/>
        <v/>
      </c>
      <c r="AM40" s="102" t="str">
        <f t="shared" si="6"/>
        <v/>
      </c>
      <c r="AN40" s="102" t="str">
        <f>IF(A40="","",
SUM(
COUNTIFS('QA Log'!D:D,A40,'QA Log'!M:M,"Data Verification",'QA Log'!L:L,"*Personnel (section 1)*"),
COUNTIFS('QA Log'!D:D,A40,'QA Log'!M:M,"Data Verification",'QA Log'!L:L,"*Consumable (section 3)*"),
COUNTIFS('QA Log'!D:D,A40,'QA Log'!M:M,"Data Verification",'QA Log'!L:L,"*Equipments (section 4)*")
))</f>
        <v/>
      </c>
      <c r="AO40" s="102" t="str">
        <f>IF(A40="","",
SUM(
COUNTIFS('QA Log'!D:D,A40,'QA Log'!M:M,"Data Verification",'QA Log'!Z:Z,"Approved",'QA Log'!L:L,"*Personnel (section 1)*"),
COUNTIFS('QA Log'!D:D,A40,'QA Log'!M:M,"Data Verification",'QA Log'!Z:Z,"Approved",'QA Log'!L:L,"*Consumable (section 3)*"),
COUNTIFS('QA Log'!D:D,A40,'QA Log'!M:M,"Data Verification",'QA Log'!Z:Z,"Approved",'QA Log'!L:L,"*Equipments (section 4)*")
))</f>
        <v/>
      </c>
      <c r="AP40" s="105" t="str">
        <f>IF(A40&lt;&gt;"",COUNTIFS('QA Log'!D:D,A40,'QA Log'!M:M,"Data Verification",'QA Log'!L:L,"Personnel (section 1)",'QA Log'!Z:Z,"Approved"),"")</f>
        <v/>
      </c>
      <c r="AQ40" s="105" t="str">
        <f>IF(A40&lt;&gt;"",COUNTIFS('QA Log'!D:D,A40,'QA Log'!M:M,"Data Verification",'QA Log'!L:L,"Consumable (section 3)",'QA Log'!Z:Z,"Approved"),"")</f>
        <v/>
      </c>
      <c r="AR40" s="105" t="str">
        <f>IF(A40&lt;&gt;"",COUNTIFS('QA Log'!D:D,A40,'QA Log'!M:M,"Data Verification",'QA Log'!L:L,"Equipments (section 4)",'QA Log'!Z:Z,"Approved"),"")</f>
        <v/>
      </c>
      <c r="AS40" s="102" t="str">
        <f>IF(A40="","",
SUM(
COUNTIFS('QA Log'!D:D,A40,'QA Log'!M:M,"Data Verification",'QA Log'!Z:Z,"Rejected",'QA Log'!L:L,"*Personnel (section 1)*"),
COUNTIFS('QA Log'!D:D,A40,'QA Log'!M:M,"Data Verification",'QA Log'!Z:Z,"Rejected",'QA Log'!L:L,"*Consumable (section 3)*"),
COUNTIFS('QA Log'!D:D,A40,'QA Log'!M:M,"Data Verification",'QA Log'!Z:Z,"Rejected",'QA Log'!L:L,"*Equipments (section 4)*")
))</f>
        <v/>
      </c>
      <c r="AT40" s="102" t="str">
        <f t="shared" si="7"/>
        <v/>
      </c>
      <c r="AU40" s="103" t="str">
        <f t="shared" si="8"/>
        <v/>
      </c>
      <c r="AV40" s="102" t="str">
        <f>IF(A40="","",SUM(
COUNTIFS('QA Log'!D:D,A40,'QA Log'!M:M,"Vignette",'QA Log'!L:L,"*Vignette [1] Respiratory Infection: Pneumonia*"),
COUNTIFS('QA Log'!D:D,A40,'QA Log'!M:M,"Vignette",'QA Log'!L:L,"*Vignette [2]: Diarrhea with Cat B dehydration*"),
COUNTIFS('QA Log'!D:D,A40,'QA Log'!M:M,"Vignette",'QA Log'!L:L,"*Vignette [3] Growth Monitoring and Promotion*"),
COUNTIFS('QA Log'!D:D,A40,'QA Log'!M:M,"Vignette",'QA Log'!L:L,"*Vignette [4]: The management of presumptive TB patient*")
)
)</f>
        <v/>
      </c>
      <c r="AW40" s="102" t="str">
        <f>IF(
  A40="","",
  SUM(
    COUNTIFS('QA Log'!D:D,A40,'QA Log'!M:M,"Vignette",'QA Log'!Z:Z,"Approved",'QA Log'!L:L,"*Vignette [1] Respiratory Infection: Pneumonia*"),
    COUNTIFS('QA Log'!D:D,A40,'QA Log'!M:M,"Vignette",'QA Log'!Z:Z,"Approved",'QA Log'!L:L,"*Vignette [2]: Diarrhea with Cat B dehydration*"),
    COUNTIFS('QA Log'!D:D,A40,'QA Log'!M:M,"Vignette",'QA Log'!Z:Z,"Approved",'QA Log'!L:L,"*Vignette [3] Growth Monitoring and Promotion*"),
    COUNTIFS('QA Log'!D:D,A40,'QA Log'!M:M,"Vignette",'QA Log'!Z:Z,"Approved",'QA Log'!L:L,"*Vignette [4]: The management of presumptive TB patient*")
  )
)</f>
        <v/>
      </c>
      <c r="AX40" s="105" t="str">
        <f>IF(A40&lt;&gt;"",COUNTIFS('QA Log'!D:D,A40,'QA Log'!M:M,"Vignette",'QA Log'!L:L,"Vignette [1] Respiratory Infection: Pneumonia",'QA Log'!Z:Z,"Approved"),"")</f>
        <v/>
      </c>
      <c r="AY40" s="105" t="str">
        <f>IF(A40&lt;&gt;"",COUNTIFS('QA Log'!D:D,A40,'QA Log'!M:M,"Vignette",'QA Log'!L:L,"Vignette [2]: Diarrhea with Cat B dehydration",'QA Log'!Z:Z,"Approved"),"")</f>
        <v/>
      </c>
      <c r="AZ40" s="105" t="str">
        <f>IF(A40&lt;&gt;"",COUNTIFS('QA Log'!D:D,A40,'QA Log'!M:M,"Vignette",'QA Log'!L:L,"Vignette [3] Growth Monitoring and Promotion",'QA Log'!Z:Z,"Approved"),"")</f>
        <v/>
      </c>
      <c r="BA40" s="105" t="str">
        <f>IF(A40&lt;&gt;"",COUNTIFS('QA Log'!D:D,A40,'QA Log'!M:M,"Vignette",'QA Log'!L:L,"Vignette [4]: The management of presumptive TB patient",'QA Log'!Z:Z,"Approved"),"")</f>
        <v/>
      </c>
      <c r="BB40" s="102" t="str">
        <f>IF(A40="","",
  SUM(
    COUNTIFS('QA Log'!D:D,A40,'QA Log'!M:M,"Vignette",'QA Log'!Z:Z,"Rejected",'QA Log'!L:L,"*Vignette [1] Respiratory Infection: Pneumonia*"),
    COUNTIFS('QA Log'!D:D,A40,'QA Log'!M:M,"Vignette",'QA Log'!Z:Z,"Rejected",'QA Log'!L:L,"*Vignette [2]: Diarrhea with Cat B dehydration*"),
    COUNTIFS('QA Log'!D:D,A40,'QA Log'!M:M,"Vignette",'QA Log'!Z:Z,"Rejected",'QA Log'!L:L,"*Vignette [3] Growth Monitoring and Promotion*"),
    COUNTIFS('QA Log'!D:D,A40,'QA Log'!M:M,"Vignette",'QA Log'!Z:Z,"Rejected",'QA Log'!L:L,"*Vignette [4]: The management of presumptive TB patient*")
  )
)</f>
        <v/>
      </c>
      <c r="BC40" s="107" t="str">
        <f t="shared" si="9"/>
        <v/>
      </c>
      <c r="BD40" s="103" t="str">
        <f t="shared" si="10"/>
        <v/>
      </c>
      <c r="BE40" s="102" t="str">
        <f>IF(A40="","",SUM(
COUNTIFS('QA Log'!D:D,A40,'QA Log'!M:M,"Vignette",'QA Log'!L:L,"*Vignette [5] Labor*"),
COUNTIFS('QA Log'!D:D,A40,'QA Log'!M:M,"Vignette",'QA Log'!L:L,"*Vignette [6] PNC pre Discharge*"),
COUNTIFS('QA Log'!D:D,A40,'QA Log'!M:M,"Vignette",'QA Log'!L:L,"*Vignette [7] First ANC Visit*"),
COUNTIFS('QA Log'!D:D,A40,'QA Log'!M:M,"Vignette",'QA Log'!L:L,"*Vignette [8] Birth Spacing/ Family Planning :  FP Counselling*"),
COUNTIFS('QA Log'!D:D,A40,'QA Log'!M:M,"Vignette",'QA Log'!L:L,"*Vignette [9] Birth Spacing: Change FP method to Injectable*"),
COUNTIFS('QA Log'!D:D,A40,'QA Log'!M:M,"Vignette",'QA Log'!L:L,"*Vignette [10] Post Partum Haemorrhage - Atonic Uterus at Health Centre*"),
)
)</f>
        <v/>
      </c>
      <c r="BF40" s="102" t="str">
        <f>IF(A40="","",
  SUM(
    COUNTIFS('QA Log'!D:D,A40,'QA Log'!M:M,"Vignette",'QA Log'!Z:Z,"Approved",'QA Log'!L:L,"*Vignette [5] Labor*"),
    COUNTIFS('QA Log'!D:D,A40,'QA Log'!M:M,"Vignette",'QA Log'!Z:Z,"Approved",'QA Log'!L:L,"*Vignette [6] PNC pre Discharge*"),
    COUNTIFS('QA Log'!D:D,A40,'QA Log'!M:M,"Vignette",'QA Log'!Z:Z,"Approved",'QA Log'!L:L,"*Vignette [7] First ANC Visit*"),
    COUNTIFS('QA Log'!D:D,A40,'QA Log'!M:M,"Vignette",'QA Log'!Z:Z,"Approved",'QA Log'!L:L,"*Vignette [8] Birth Spacing/ Family Planning :  FP Counselling*"),
    COUNTIFS('QA Log'!D:D,A40,'QA Log'!M:M,"Vignette",'QA Log'!Z:Z,"Approved",'QA Log'!L:L,"*Vignette [9] Birth Spacing: Change FP method to Injectable*"),
    COUNTIFS('QA Log'!D:D,A40,'QA Log'!M:M,"Vignette",'QA Log'!Z:Z,"Approved",'QA Log'!L:L,"*Vignette [10] Post Partum Haemorrhage - Atonic Uterus at Health Centre*")
  )
)</f>
        <v/>
      </c>
      <c r="BG40" s="105" t="str">
        <f>IF(A40&lt;&gt;"",COUNTIFS('QA Log'!D:D,A40,'QA Log'!M:M,"Vignette",'QA Log'!L:L,"Vignette [5] Labor",'QA Log'!Z:Z,"Approved"),"")</f>
        <v/>
      </c>
      <c r="BH40" s="105" t="str">
        <f>IF(A40&lt;&gt;"",COUNTIFS('QA Log'!D:D,A40,'QA Log'!M:M,"Vignette",'QA Log'!L:L,"Vignette [6] PNC pre Discharge",'QA Log'!Z:Z,"Approved"),"")</f>
        <v/>
      </c>
      <c r="BI40" s="105" t="str">
        <f>IF(A40&lt;&gt;"",COUNTIFS('QA Log'!D:D,A40,'QA Log'!M:M,"Vignette",'QA Log'!L:L,"Vignette [7] First ANC Visit",'QA Log'!Z:Z,"Approved"),"")</f>
        <v/>
      </c>
      <c r="BJ40" s="105" t="str">
        <f>IF(A40&lt;&gt;"",COUNTIFS('QA Log'!D:D,A40,'QA Log'!M:M,"Vignette",'QA Log'!L:L,"Vignette [8] Birth Spacing/ Family Planning :  FP Counselling",'QA Log'!Z:Z,"Approved"),"")</f>
        <v/>
      </c>
      <c r="BK40" s="105" t="str">
        <f>IF(A40&lt;&gt;"",COUNTIFS('QA Log'!D:D,A40,'QA Log'!M:M,"Vignette",'QA Log'!L:L,"Vignette [9] Birth Spacing: Change FP method to Injectable",'QA Log'!Z:Z,"Approved"),"")</f>
        <v/>
      </c>
      <c r="BL40" s="105" t="str">
        <f>IF(A40&lt;&gt;"",COUNTIFS('QA Log'!D:D,A40,'QA Log'!M:M,"Vignette",'QA Log'!L:L,"Vignette [10] Post Partum Haemorrhage - Atonic Uterus at Health Centre",'QA Log'!Z:Z,"Approved"),"")</f>
        <v/>
      </c>
      <c r="BM40" s="102" t="str">
        <f>IF(A40="","",SUM(
    COUNTIFS('QA Log'!D:D,A40,'QA Log'!M:M,"Vignette",'QA Log'!Z:Z,"Rejected",'QA Log'!L:L,"*Vignette [5] Labor*"),
    COUNTIFS('QA Log'!D:D,A40,'QA Log'!M:M,"Vignette",'QA Log'!Z:Z,"Rejected",'QA Log'!L:L,"*Vignette [6] PNC pre Discharge*"),
    COUNTIFS('QA Log'!D:D,A40,'QA Log'!M:M,"Vignette",'QA Log'!Z:Z,"Rejected",'QA Log'!L:L,"*Vignette [7] First ANC Visit*"),
    COUNTIFS('QA Log'!D:D,A40,'QA Log'!M:M,"Vignette",'QA Log'!Z:Z,"Rejected",'QA Log'!L:L,"*Vignette [8] Birth Spacing/ Family Planning :  FP Counselling*"),
    COUNTIFS('QA Log'!D:D,A40,'QA Log'!M:M,"Vignette",'QA Log'!Z:Z,"Rejected",'QA Log'!L:L,"*Vignette [9] Birth Spacing: Change FP method to Injectable*"),
    COUNTIFS('QA Log'!D:D,A40,'QA Log'!M:M,"Vignette",'QA Log'!Z:Z,"Rejected",'QA Log'!L:L,"*Vignette [10] Post Partum Haemorrhage - Atonic Uterus at Health Centre*")
  )
)</f>
        <v/>
      </c>
      <c r="BN40" s="107" t="str">
        <f t="shared" si="11"/>
        <v/>
      </c>
      <c r="BO40" s="103" t="str">
        <f t="shared" si="12"/>
        <v/>
      </c>
      <c r="BP40" s="102" t="str">
        <f>IF(A40="","",SUM(
COUNTIFS('QA Log'!D:D,A40,'QA Log'!M:M,"Vignette",'QA Log'!L:L,"*Exit Interview 1*"),
COUNTIFS('QA Log'!D:D,A40,'QA Log'!M:M,"Vignette",'QA Log'!L:L,"*Exit Interview 2*"),
)
)</f>
        <v/>
      </c>
      <c r="BQ40" s="102" t="str">
        <f>IF(
  A40="","",
  SUM(
    COUNTIFS('QA Log'!D:D,A40,'QA Log'!M:M,"Vignette",'QA Log'!Z:Z,"Approved",'QA Log'!L:L,"*Exit Interview 1*"),
    COUNTIFS('QA Log'!D:D,A40,'QA Log'!M:M,"Vignette",'QA Log'!Z:Z,"Approved",'QA Log'!L:L,"*Exit Interview 2*")
  )
)</f>
        <v/>
      </c>
      <c r="BR40" s="105" t="str">
        <f>IF(A40&lt;&gt;"",COUNTIFS('QA Log'!D:D,A40,'QA Log'!M:M,"Vignette",'QA Log'!L:L,"Exit Interview 1",'QA Log'!Z:Z,"Approved"),"")</f>
        <v/>
      </c>
      <c r="BS40" s="105" t="str">
        <f>IF(A40&lt;&gt;"",COUNTIFS('QA Log'!D:D,A40,'QA Log'!M:M,"Vignette",'QA Log'!L:L,"Exit Interview 2",'QA Log'!Z:Z,"Approved"),"")</f>
        <v/>
      </c>
      <c r="BT40" s="102" t="str">
        <f>IF(
  A40="","",
  SUM(
    COUNTIFS('QA Log'!D:D,A40,'QA Log'!M:M,"Vignette",'QA Log'!Z:Z,"Rejected",'QA Log'!L:L,"*Exit Interview 1*"),
    COUNTIFS('QA Log'!D:D,A40,'QA Log'!M:M,"Vignette",'QA Log'!Z:Z,"Rejected",'QA Log'!L:L,"*Exit Interview 2*")
  )
)</f>
        <v/>
      </c>
      <c r="BU40" s="107" t="str">
        <f t="shared" si="13"/>
        <v/>
      </c>
      <c r="BV40" s="102" t="str">
        <f t="shared" si="14"/>
        <v/>
      </c>
      <c r="BW40" s="102" t="str">
        <f t="shared" si="15"/>
        <v/>
      </c>
      <c r="BX40" s="102" t="str">
        <f t="shared" si="16"/>
        <v/>
      </c>
      <c r="BY40" s="102" t="str">
        <f t="shared" si="17"/>
        <v/>
      </c>
      <c r="BZ40" s="107" t="str">
        <f t="shared" si="18"/>
        <v/>
      </c>
      <c r="CA40" s="108" t="str">
        <f t="shared" si="19"/>
        <v/>
      </c>
      <c r="CB40" s="108" t="str">
        <f t="shared" si="20"/>
        <v/>
      </c>
      <c r="CC40" s="109" t="str">
        <f t="shared" si="21"/>
        <v/>
      </c>
      <c r="CD40" s="108" t="str">
        <f t="shared" si="22"/>
        <v/>
      </c>
      <c r="CE40" s="108" t="str">
        <f t="shared" si="23"/>
        <v/>
      </c>
      <c r="CF40" s="109" t="str">
        <f t="shared" si="24"/>
        <v/>
      </c>
      <c r="CG40" s="110" t="str">
        <f t="shared" si="25"/>
        <v/>
      </c>
      <c r="CH40" s="111"/>
    </row>
    <row r="41" spans="1:86" ht="12.75">
      <c r="A41" s="101"/>
      <c r="B41" s="102" t="e">
        <f t="array" aca="1" ref="B41" ca="1">_xludf.XLOOKUP(A41,'QA Log'!D:D,'QA Log'!E:E,"")</f>
        <v>#NAME?</v>
      </c>
      <c r="C41" s="102" t="e">
        <f t="array" aca="1" ref="C41" ca="1">_xludf.XLOOKUP(A41,'QA Log'!D:D,'QA Log'!F:F,"")</f>
        <v>#NAME?</v>
      </c>
      <c r="D41" s="102" t="e">
        <f t="array" aca="1" ref="D41" ca="1">_xludf.XLOOKUP(A41,'QA Log'!D:D,'QA Log'!H:H,"")</f>
        <v>#NAME?</v>
      </c>
      <c r="E41" s="102" t="e">
        <f t="array" aca="1" ref="E41" ca="1">_xludf.XLOOKUP(A41,'QA Log'!D:D,'QA Log'!G:G,"")</f>
        <v>#NAME?</v>
      </c>
      <c r="F41" s="103"/>
      <c r="G41" s="104"/>
      <c r="H41" s="104"/>
      <c r="I41" s="103" t="str">
        <f t="shared" si="0"/>
        <v/>
      </c>
      <c r="J41" s="102" t="str">
        <f>IF(A41="","",SUM(
COUNTIFS('QA Log'!D:D,A41,'QA Log'!M:M,"QQC",'QA Log'!L:L,"*1. General Management*"),
COUNTIFS('QA Log'!D:D,A41,'QA Log'!M:M,"QQC",'QA Log'!L:L,"*3. Curative Consultation (OPD)*"),
COUNTIFS('QA Log'!D:D,A41,'QA Log'!M:M,"QQC",'QA Log'!L:L,"*5. Laboratory*"),
COUNTIFS('QA Log'!D:D,A41,'QA Log'!M:M,"QQC",'QA Log'!L:L,"*6. Essential Medicine Management*"),
COUNTIFS('QA Log'!D:D,A41,'QA Log'!M:M,"QQC",'QA Log'!L:L,"*7. Tracer Medicine*"),
COUNTIFS('QA Log'!D:D,A41,'QA Log'!M:M,"QQC",'QA Log'!L:L,"*11. Additional Questions*")))</f>
        <v/>
      </c>
      <c r="K41" s="102" t="str">
        <f>IF(A41="","",SUM(
COUNTIFS('QA Log'!D:D,A41,'QA Log'!M:M,"QQC",'QA Log'!Z:Z,"Approved",'QA Log'!L:L,"*1. General Management*"),
COUNTIFS('QA Log'!D:D,A41,'QA Log'!M:M,"QQC",'QA Log'!Z:Z,"Approved",'QA Log'!L:L,"*3. Curative Consultation (OPD)*"),
COUNTIFS('QA Log'!D:D,A41,'QA Log'!M:M,"QQC",'QA Log'!Z:Z,"Approved",'QA Log'!L:L,"*5. Laboratory*"),
COUNTIFS('QA Log'!D:D,A41,'QA Log'!M:M,"QQC",'QA Log'!Z:Z,"Approved",'QA Log'!L:L,"*6. Essential Medicine Management*"),
COUNTIFS('QA Log'!D:D,A41,'QA Log'!M:M,"QQC",'QA Log'!Z:Z,"Approved",'QA Log'!L:L,"*7. Tracer Medicine*"),
COUNTIFS('QA Log'!D:D,A41,'QA Log'!M:M,"QQC",'QA Log'!Z:Z,"Approved",'QA Log'!L:L,"*11. Additional Questions*")))</f>
        <v/>
      </c>
      <c r="L41" s="105" t="str">
        <f>IF(A41&lt;&gt;"",COUNTIFS('QA Log'!D:D,A41,'QA Log'!M:M,"QQC",'QA Log'!L:L,"1. General Management",'QA Log'!Z:Z,"Approved"),"")</f>
        <v/>
      </c>
      <c r="M41" s="105" t="str">
        <f>IF(A41&lt;&gt;"",COUNTIFS('QA Log'!D:D,A41,'QA Log'!M:M,"QQC",'QA Log'!L:L,"3. Curative Consultation (OPD)",'QA Log'!Z:Z,"Approved"),"")</f>
        <v/>
      </c>
      <c r="N41" s="105" t="str">
        <f>IF(A41&lt;&gt;"",COUNTIFS('QA Log'!D:D,A41,'QA Log'!M:M,"QQC",'QA Log'!L:L,"5. Laboratory",'QA Log'!Z:Z,"Approved"),"")</f>
        <v/>
      </c>
      <c r="O41" s="105" t="str">
        <f>IF(A41&lt;&gt;"",COUNTIFS('QA Log'!D:D,A41,'QA Log'!M:M,"QQC",'QA Log'!L:L,"6. Essential Medicine Management",'QA Log'!Z:Z,"Approved"),"")</f>
        <v/>
      </c>
      <c r="P41" s="105" t="str">
        <f>IF(A41&lt;&gt;"",COUNTIFS('QA Log'!D:D,A41,'QA Log'!M:M,"QQC",'QA Log'!L:L,"7. Tracer Medicine",'QA Log'!Z:Z,"Approved"),"")</f>
        <v/>
      </c>
      <c r="Q41" s="105" t="str">
        <f>IF(A41&lt;&gt;"",COUNTIFS('QA Log'!D:D,A41,'QA Log'!M:M,"QQC",'QA Log'!L:L,"11. Additional Questions",'QA Log'!Z:Z,"Approved"),"")</f>
        <v/>
      </c>
      <c r="R41" s="102" t="str">
        <f>IF(A41="","",SUM(
COUNTIFS('QA Log'!D:D,A41,'QA Log'!M:M,"QQC",'QA Log'!Z:Z,"Rejected",'QA Log'!L:L,"*8. Maternity*"),
COUNTIFS('QA Log'!D:D,A41,'QA Log'!M:M,"QQC",'QA Log'!Z:Z,"Rejected",'QA Log'!L:L,"*EPI*"),
COUNTIFS('QA Log'!D:D,A41,'QA Log'!M:M,"QQC",'QA Log'!Z:Z,"Rejected",'QA Log'!L:L,"*10. Antenatal Care (ANC)*"),
COUNTIFS('QA Log'!D:D,A41,'QA Log'!M:M,"QQC",'QA Log'!Z:Z,"Rejected",'QA Log'!L:L,"*2. Hygiene and Sterilization*"),
COUNTIFS('QA Log'!D:D,A41,'QA Log'!M:M,"QQC",'QA Log'!Z:Z,"Rejected",'QA Log'!L:L,"*Family Planning*")))</f>
        <v/>
      </c>
      <c r="S41" s="106" t="str">
        <f t="shared" si="1"/>
        <v/>
      </c>
      <c r="T41" s="102" t="str">
        <f t="shared" si="2"/>
        <v/>
      </c>
      <c r="U41" s="102" t="str">
        <f>IF(A41="","",
SUM(
COUNTIFS('QA Log'!D:D,A41,'QA Log'!M:M,"QQC",'QA Log'!L:L,"*8. Maternity*"),
COUNTIFS('QA Log'!D:D,A41,'QA Log'!M:M,"QQC",'QA Log'!L:L,"*9. EPI and Pre-school Consultation*"),
COUNTIFS('QA Log'!D:D,A41,'QA Log'!M:M,"QQC",'QA Log'!L:L,"*10. Antenatal Care (ANC)*"),
COUNTIFS('QA Log'!D:D,A41,'QA Log'!M:M,"QQC",'QA Log'!L:L,"*2. Hygiene and Sterilization*"),
COUNTIFS('QA Log'!D:D,A41,'QA Log'!M:M,"QQC",'QA Log'!L:L,"*4. Family Planning*")
))</f>
        <v/>
      </c>
      <c r="V41" s="102" t="str">
        <f>IF(A41="","",
SUM(
COUNTIFS('QA Log'!D:D,A41,'QA Log'!M:M,"QQC",'QA Log'!Z:Z,"Approved",'QA Log'!L:L,"*8. Maternity*"),
COUNTIFS('QA Log'!D:D,A41,'QA Log'!M:M,"QQC",'QA Log'!Z:Z,"Approved",'QA Log'!L:L,"*9. EPI and Pre-school Consultation*"),
COUNTIFS('QA Log'!D:D,A41,'QA Log'!M:M,"QQC",'QA Log'!Z:Z,"Approved",'QA Log'!L:L,"*10. Antenatal Care (ANC)*"),
COUNTIFS('QA Log'!D:D,A41,'QA Log'!M:M,"QQC",'QA Log'!Z:Z,"Approved",'QA Log'!L:L,"*2. Hygiene and Sterilization*"),
COUNTIFS('QA Log'!D:D,A41,'QA Log'!M:M,"QQC",'QA Log'!Z:Z,"Approved",'QA Log'!L:L,"*4. Family Planning*")
))</f>
        <v/>
      </c>
      <c r="W41" s="105" t="str">
        <f>IF(A41&lt;&gt;"",COUNTIFS('QA Log'!D:D,A41,'QA Log'!M:M,"QQC",'QA Log'!L:L,"8. Maternity",'QA Log'!Z:Z,"Approved"),"")</f>
        <v/>
      </c>
      <c r="X41" s="105" t="str">
        <f>IF(A41&lt;&gt;"",COUNTIFS('QA Log'!D:D,A41,'QA Log'!M:M,"QQC",'QA Log'!L:L,"9. EPI and Pre-school Consultation",'QA Log'!Z:Z,"Approved"),"")</f>
        <v/>
      </c>
      <c r="Y41" s="105" t="str">
        <f>IF(A41&lt;&gt;"",COUNTIFS('QA Log'!D:D,A41,'QA Log'!M:M,"QQC",'QA Log'!L:L,"10. Antenatal Care (ANC)",'QA Log'!Z:Z,"Approved"),"")</f>
        <v/>
      </c>
      <c r="Z41" s="105" t="str">
        <f>IF(A41&lt;&gt;"",COUNTIFS('QA Log'!D:D,A41,'QA Log'!M:M,"QQC",'QA Log'!L:L,"2. Hygiene and Sterilization",'QA Log'!Z:Z,"Approved"),"")</f>
        <v/>
      </c>
      <c r="AA41" s="105" t="str">
        <f>IF(A41&lt;&gt;"",COUNTIFS('QA Log'!D:D,A41,'QA Log'!M:M,"QQC",'QA Log'!L:L,"4. Family Planning",'QA Log'!Z:Z,"Approved"),"")</f>
        <v/>
      </c>
      <c r="AB41" s="102" t="str">
        <f>IF(A41="","",
SUM(
COUNTIFS('QA Log'!D:D,A41,'QA Log'!M:M,"QQC",'QA Log'!Z:Z,"Rejected",'QA Log'!L:L,"*8. Maternity*"),
COUNTIFS('QA Log'!D:D,A41,'QA Log'!M:M,"QQC",'QA Log'!Z:Z,"Rejected",'QA Log'!L:L,"*9. EPI and Pre-school Consultation*"),
COUNTIFS('QA Log'!D:D,A41,'QA Log'!M:M,"QQC",'QA Log'!Z:Z,"Rejected",'QA Log'!L:L,"*10. Antenatal Care (ANC)*"),
COUNTIFS('QA Log'!D:D,A41,'QA Log'!M:M,"QQC",'QA Log'!Z:Z,"Rejected",'QA Log'!L:L,"*2. Hygiene and Sterilization*"),
COUNTIFS('QA Log'!D:D,A41,'QA Log'!M:M,"QQC",'QA Log'!Z:Z,"Rejected",'QA Log'!L:L,"*4. Family Planning*")
))</f>
        <v/>
      </c>
      <c r="AC41" s="102" t="str">
        <f t="shared" si="3"/>
        <v/>
      </c>
      <c r="AD41" s="103" t="str">
        <f t="shared" si="4"/>
        <v/>
      </c>
      <c r="AE41" s="102" t="str">
        <f>IF(A41="","",
SUM(
COUNTIFS('QA Log'!D:D,A41,'QA Log'!M:M,"Data Verification",'QA Log'!L:L,"*Medicine (section 2)*"),
COUNTIFS('QA Log'!D:D,A41,'QA Log'!M:M,"Data Verification",'QA Log'!L:L,"*Lab Testing Availability*"),
COUNTIFS('QA Log'!D:D,A41,'QA Log'!M:M,"Data Verification",'QA Log'!L:L,"*Other than P4P (section 6)*"),
COUNTIFS('QA Log'!D:D,A41,'QA Log'!M:M,"Data Verification",'QA Log'!L:L,"*Hospital Governance*")
))</f>
        <v/>
      </c>
      <c r="AF41" s="102" t="str">
        <f>IF(A41="","",
SUM(
COUNTIFS('QA Log'!D:D,A41,'QA Log'!M:M,"Data Verification",'QA Log'!Z:Z,"Approved",'QA Log'!L:L,"*Medicine (section 2)*"),
COUNTIFS('QA Log'!D:D,A41,'QA Log'!M:M,"Data Verification",'QA Log'!Z:Z,"Approved",'QA Log'!L:L,"*Lab Testing Availability*"),
COUNTIFS('QA Log'!D:D,A41,'QA Log'!M:M,"Data Verification",'QA Log'!Z:Z,"Approved",'QA Log'!L:L,"*Other than P4P (section 6)*"),
COUNTIFS('QA Log'!D:D,A41,'QA Log'!M:M,"Data Verification",'QA Log'!Z:Z,"Approved",'QA Log'!L:L,"*Hospital Governance*")
))</f>
        <v/>
      </c>
      <c r="AG41" s="105" t="str">
        <f>IF(A41&lt;&gt;"",COUNTIFS('QA Log'!D:D,A41,'QA Log'!M:M,"Data Verification",'QA Log'!L:L,"Medicine (section 2)",'QA Log'!Z:Z,"Approved"),"")</f>
        <v/>
      </c>
      <c r="AH41" s="105" t="str">
        <f>IF(A41&lt;&gt;"",COUNTIFS('QA Log'!D:D,A41,'QA Log'!M:M,"Data Verification",'QA Log'!L:L,"Lab Testing Availability",'QA Log'!Z:Z,"Approved"),"")</f>
        <v/>
      </c>
      <c r="AI41" s="105" t="str">
        <f>IF(A41&lt;&gt;"",COUNTIFS('QA Log'!D:D,A41,'QA Log'!M:M,"Data Verification",'QA Log'!L:L,"Other than P4P (section 6)",'QA Log'!Z:Z,"Approved"),"")</f>
        <v/>
      </c>
      <c r="AJ41" s="105" t="str">
        <f>IF(A41&lt;&gt;"",COUNTIFS('QA Log'!D:D,A41,'QA Log'!M:M,"Data Verification",'QA Log'!L:L,"Hospital Governance",'QA Log'!Z:Z,"Approved"),"")</f>
        <v/>
      </c>
      <c r="AK41" s="102" t="str">
        <f>IF(A41="","",
SUM(
COUNTIFS('QA Log'!D:D,A41,'QA Log'!M:M,"Data Verification",'QA Log'!Z:Z,"Rejected",'QA Log'!L:L,"*Medicine (section 2)*"),
COUNTIFS('QA Log'!D:D,A41,'QA Log'!M:M,"Data Verification",'QA Log'!Z:Z,"Rejected",'QA Log'!L:L,"*Lab Testing Availability*"),
COUNTIFS('QA Log'!D:D,A41,'QA Log'!M:M,"Data Verification",'QA Log'!Z:Z,"Rejected",'QA Log'!L:L,"*Other than P4P (section 6)*"),
COUNTIFS('QA Log'!D:D,A41,'QA Log'!M:M,"Data Verification",'QA Log'!Z:Z,"Rejected",'QA Log'!L:L,"*Hospital Governance*")
))</f>
        <v/>
      </c>
      <c r="AL41" s="106" t="str">
        <f t="shared" si="5"/>
        <v/>
      </c>
      <c r="AM41" s="102" t="str">
        <f t="shared" si="6"/>
        <v/>
      </c>
      <c r="AN41" s="102" t="str">
        <f>IF(A41="","",
SUM(
COUNTIFS('QA Log'!D:D,A41,'QA Log'!M:M,"Data Verification",'QA Log'!L:L,"*Personnel (section 1)*"),
COUNTIFS('QA Log'!D:D,A41,'QA Log'!M:M,"Data Verification",'QA Log'!L:L,"*Consumable (section 3)*"),
COUNTIFS('QA Log'!D:D,A41,'QA Log'!M:M,"Data Verification",'QA Log'!L:L,"*Equipments (section 4)*")
))</f>
        <v/>
      </c>
      <c r="AO41" s="102" t="str">
        <f>IF(A41="","",
SUM(
COUNTIFS('QA Log'!D:D,A41,'QA Log'!M:M,"Data Verification",'QA Log'!Z:Z,"Approved",'QA Log'!L:L,"*Personnel (section 1)*"),
COUNTIFS('QA Log'!D:D,A41,'QA Log'!M:M,"Data Verification",'QA Log'!Z:Z,"Approved",'QA Log'!L:L,"*Consumable (section 3)*"),
COUNTIFS('QA Log'!D:D,A41,'QA Log'!M:M,"Data Verification",'QA Log'!Z:Z,"Approved",'QA Log'!L:L,"*Equipments (section 4)*")
))</f>
        <v/>
      </c>
      <c r="AP41" s="105" t="str">
        <f>IF(A41&lt;&gt;"",COUNTIFS('QA Log'!D:D,A41,'QA Log'!M:M,"Data Verification",'QA Log'!L:L,"Personnel (section 1)",'QA Log'!Z:Z,"Approved"),"")</f>
        <v/>
      </c>
      <c r="AQ41" s="105" t="str">
        <f>IF(A41&lt;&gt;"",COUNTIFS('QA Log'!D:D,A41,'QA Log'!M:M,"Data Verification",'QA Log'!L:L,"Consumable (section 3)",'QA Log'!Z:Z,"Approved"),"")</f>
        <v/>
      </c>
      <c r="AR41" s="105" t="str">
        <f>IF(A41&lt;&gt;"",COUNTIFS('QA Log'!D:D,A41,'QA Log'!M:M,"Data Verification",'QA Log'!L:L,"Equipments (section 4)",'QA Log'!Z:Z,"Approved"),"")</f>
        <v/>
      </c>
      <c r="AS41" s="102" t="str">
        <f>IF(A41="","",
SUM(
COUNTIFS('QA Log'!D:D,A41,'QA Log'!M:M,"Data Verification",'QA Log'!Z:Z,"Rejected",'QA Log'!L:L,"*Personnel (section 1)*"),
COUNTIFS('QA Log'!D:D,A41,'QA Log'!M:M,"Data Verification",'QA Log'!Z:Z,"Rejected",'QA Log'!L:L,"*Consumable (section 3)*"),
COUNTIFS('QA Log'!D:D,A41,'QA Log'!M:M,"Data Verification",'QA Log'!Z:Z,"Rejected",'QA Log'!L:L,"*Equipments (section 4)*")
))</f>
        <v/>
      </c>
      <c r="AT41" s="102" t="str">
        <f t="shared" si="7"/>
        <v/>
      </c>
      <c r="AU41" s="103" t="str">
        <f t="shared" si="8"/>
        <v/>
      </c>
      <c r="AV41" s="102" t="str">
        <f>IF(A41="","",SUM(
COUNTIFS('QA Log'!D:D,A41,'QA Log'!M:M,"Vignette",'QA Log'!L:L,"*Vignette [1] Respiratory Infection: Pneumonia*"),
COUNTIFS('QA Log'!D:D,A41,'QA Log'!M:M,"Vignette",'QA Log'!L:L,"*Vignette [2]: Diarrhea with Cat B dehydration*"),
COUNTIFS('QA Log'!D:D,A41,'QA Log'!M:M,"Vignette",'QA Log'!L:L,"*Vignette [3] Growth Monitoring and Promotion*"),
COUNTIFS('QA Log'!D:D,A41,'QA Log'!M:M,"Vignette",'QA Log'!L:L,"*Vignette [4]: The management of presumptive TB patient*")
)
)</f>
        <v/>
      </c>
      <c r="AW41" s="102" t="str">
        <f>IF(
  A41="","",
  SUM(
    COUNTIFS('QA Log'!D:D,A41,'QA Log'!M:M,"Vignette",'QA Log'!Z:Z,"Approved",'QA Log'!L:L,"*Vignette [1] Respiratory Infection: Pneumonia*"),
    COUNTIFS('QA Log'!D:D,A41,'QA Log'!M:M,"Vignette",'QA Log'!Z:Z,"Approved",'QA Log'!L:L,"*Vignette [2]: Diarrhea with Cat B dehydration*"),
    COUNTIFS('QA Log'!D:D,A41,'QA Log'!M:M,"Vignette",'QA Log'!Z:Z,"Approved",'QA Log'!L:L,"*Vignette [3] Growth Monitoring and Promotion*"),
    COUNTIFS('QA Log'!D:D,A41,'QA Log'!M:M,"Vignette",'QA Log'!Z:Z,"Approved",'QA Log'!L:L,"*Vignette [4]: The management of presumptive TB patient*")
  )
)</f>
        <v/>
      </c>
      <c r="AX41" s="105" t="str">
        <f>IF(A41&lt;&gt;"",COUNTIFS('QA Log'!D:D,A41,'QA Log'!M:M,"Vignette",'QA Log'!L:L,"Vignette [1] Respiratory Infection: Pneumonia",'QA Log'!Z:Z,"Approved"),"")</f>
        <v/>
      </c>
      <c r="AY41" s="105" t="str">
        <f>IF(A41&lt;&gt;"",COUNTIFS('QA Log'!D:D,A41,'QA Log'!M:M,"Vignette",'QA Log'!L:L,"Vignette [2]: Diarrhea with Cat B dehydration",'QA Log'!Z:Z,"Approved"),"")</f>
        <v/>
      </c>
      <c r="AZ41" s="105" t="str">
        <f>IF(A41&lt;&gt;"",COUNTIFS('QA Log'!D:D,A41,'QA Log'!M:M,"Vignette",'QA Log'!L:L,"Vignette [3] Growth Monitoring and Promotion",'QA Log'!Z:Z,"Approved"),"")</f>
        <v/>
      </c>
      <c r="BA41" s="105" t="str">
        <f>IF(A41&lt;&gt;"",COUNTIFS('QA Log'!D:D,A41,'QA Log'!M:M,"Vignette",'QA Log'!L:L,"Vignette [4]: The management of presumptive TB patient",'QA Log'!Z:Z,"Approved"),"")</f>
        <v/>
      </c>
      <c r="BB41" s="102" t="str">
        <f>IF(A41="","",
  SUM(
    COUNTIFS('QA Log'!D:D,A41,'QA Log'!M:M,"Vignette",'QA Log'!Z:Z,"Rejected",'QA Log'!L:L,"*Vignette [1] Respiratory Infection: Pneumonia*"),
    COUNTIFS('QA Log'!D:D,A41,'QA Log'!M:M,"Vignette",'QA Log'!Z:Z,"Rejected",'QA Log'!L:L,"*Vignette [2]: Diarrhea with Cat B dehydration*"),
    COUNTIFS('QA Log'!D:D,A41,'QA Log'!M:M,"Vignette",'QA Log'!Z:Z,"Rejected",'QA Log'!L:L,"*Vignette [3] Growth Monitoring and Promotion*"),
    COUNTIFS('QA Log'!D:D,A41,'QA Log'!M:M,"Vignette",'QA Log'!Z:Z,"Rejected",'QA Log'!L:L,"*Vignette [4]: The management of presumptive TB patient*")
  )
)</f>
        <v/>
      </c>
      <c r="BC41" s="107" t="str">
        <f t="shared" si="9"/>
        <v/>
      </c>
      <c r="BD41" s="103" t="str">
        <f t="shared" si="10"/>
        <v/>
      </c>
      <c r="BE41" s="102" t="str">
        <f>IF(A41="","",SUM(
COUNTIFS('QA Log'!D:D,A41,'QA Log'!M:M,"Vignette",'QA Log'!L:L,"*Vignette [5] Labor*"),
COUNTIFS('QA Log'!D:D,A41,'QA Log'!M:M,"Vignette",'QA Log'!L:L,"*Vignette [6] PNC pre Discharge*"),
COUNTIFS('QA Log'!D:D,A41,'QA Log'!M:M,"Vignette",'QA Log'!L:L,"*Vignette [7] First ANC Visit*"),
COUNTIFS('QA Log'!D:D,A41,'QA Log'!M:M,"Vignette",'QA Log'!L:L,"*Vignette [8] Birth Spacing/ Family Planning :  FP Counselling*"),
COUNTIFS('QA Log'!D:D,A41,'QA Log'!M:M,"Vignette",'QA Log'!L:L,"*Vignette [9] Birth Spacing: Change FP method to Injectable*"),
COUNTIFS('QA Log'!D:D,A41,'QA Log'!M:M,"Vignette",'QA Log'!L:L,"*Vignette [10] Post Partum Haemorrhage - Atonic Uterus at Health Centre*"),
)
)</f>
        <v/>
      </c>
      <c r="BF41" s="102" t="str">
        <f>IF(A41="","",
  SUM(
    COUNTIFS('QA Log'!D:D,A41,'QA Log'!M:M,"Vignette",'QA Log'!Z:Z,"Approved",'QA Log'!L:L,"*Vignette [5] Labor*"),
    COUNTIFS('QA Log'!D:D,A41,'QA Log'!M:M,"Vignette",'QA Log'!Z:Z,"Approved",'QA Log'!L:L,"*Vignette [6] PNC pre Discharge*"),
    COUNTIFS('QA Log'!D:D,A41,'QA Log'!M:M,"Vignette",'QA Log'!Z:Z,"Approved",'QA Log'!L:L,"*Vignette [7] First ANC Visit*"),
    COUNTIFS('QA Log'!D:D,A41,'QA Log'!M:M,"Vignette",'QA Log'!Z:Z,"Approved",'QA Log'!L:L,"*Vignette [8] Birth Spacing/ Family Planning :  FP Counselling*"),
    COUNTIFS('QA Log'!D:D,A41,'QA Log'!M:M,"Vignette",'QA Log'!Z:Z,"Approved",'QA Log'!L:L,"*Vignette [9] Birth Spacing: Change FP method to Injectable*"),
    COUNTIFS('QA Log'!D:D,A41,'QA Log'!M:M,"Vignette",'QA Log'!Z:Z,"Approved",'QA Log'!L:L,"*Vignette [10] Post Partum Haemorrhage - Atonic Uterus at Health Centre*")
  )
)</f>
        <v/>
      </c>
      <c r="BG41" s="105" t="str">
        <f>IF(A41&lt;&gt;"",COUNTIFS('QA Log'!D:D,A41,'QA Log'!M:M,"Vignette",'QA Log'!L:L,"Vignette [5] Labor",'QA Log'!Z:Z,"Approved"),"")</f>
        <v/>
      </c>
      <c r="BH41" s="105" t="str">
        <f>IF(A41&lt;&gt;"",COUNTIFS('QA Log'!D:D,A41,'QA Log'!M:M,"Vignette",'QA Log'!L:L,"Vignette [6] PNC pre Discharge",'QA Log'!Z:Z,"Approved"),"")</f>
        <v/>
      </c>
      <c r="BI41" s="105" t="str">
        <f>IF(A41&lt;&gt;"",COUNTIFS('QA Log'!D:D,A41,'QA Log'!M:M,"Vignette",'QA Log'!L:L,"Vignette [7] First ANC Visit",'QA Log'!Z:Z,"Approved"),"")</f>
        <v/>
      </c>
      <c r="BJ41" s="105" t="str">
        <f>IF(A41&lt;&gt;"",COUNTIFS('QA Log'!D:D,A41,'QA Log'!M:M,"Vignette",'QA Log'!L:L,"Vignette [8] Birth Spacing/ Family Planning :  FP Counselling",'QA Log'!Z:Z,"Approved"),"")</f>
        <v/>
      </c>
      <c r="BK41" s="105" t="str">
        <f>IF(A41&lt;&gt;"",COUNTIFS('QA Log'!D:D,A41,'QA Log'!M:M,"Vignette",'QA Log'!L:L,"Vignette [9] Birth Spacing: Change FP method to Injectable",'QA Log'!Z:Z,"Approved"),"")</f>
        <v/>
      </c>
      <c r="BL41" s="105" t="str">
        <f>IF(A41&lt;&gt;"",COUNTIFS('QA Log'!D:D,A41,'QA Log'!M:M,"Vignette",'QA Log'!L:L,"Vignette [10] Post Partum Haemorrhage - Atonic Uterus at Health Centre",'QA Log'!Z:Z,"Approved"),"")</f>
        <v/>
      </c>
      <c r="BM41" s="102" t="str">
        <f>IF(A41="","",SUM(
    COUNTIFS('QA Log'!D:D,A41,'QA Log'!M:M,"Vignette",'QA Log'!Z:Z,"Rejected",'QA Log'!L:L,"*Vignette [5] Labor*"),
    COUNTIFS('QA Log'!D:D,A41,'QA Log'!M:M,"Vignette",'QA Log'!Z:Z,"Rejected",'QA Log'!L:L,"*Vignette [6] PNC pre Discharge*"),
    COUNTIFS('QA Log'!D:D,A41,'QA Log'!M:M,"Vignette",'QA Log'!Z:Z,"Rejected",'QA Log'!L:L,"*Vignette [7] First ANC Visit*"),
    COUNTIFS('QA Log'!D:D,A41,'QA Log'!M:M,"Vignette",'QA Log'!Z:Z,"Rejected",'QA Log'!L:L,"*Vignette [8] Birth Spacing/ Family Planning :  FP Counselling*"),
    COUNTIFS('QA Log'!D:D,A41,'QA Log'!M:M,"Vignette",'QA Log'!Z:Z,"Rejected",'QA Log'!L:L,"*Vignette [9] Birth Spacing: Change FP method to Injectable*"),
    COUNTIFS('QA Log'!D:D,A41,'QA Log'!M:M,"Vignette",'QA Log'!Z:Z,"Rejected",'QA Log'!L:L,"*Vignette [10] Post Partum Haemorrhage - Atonic Uterus at Health Centre*")
  )
)</f>
        <v/>
      </c>
      <c r="BN41" s="107" t="str">
        <f t="shared" si="11"/>
        <v/>
      </c>
      <c r="BO41" s="103" t="str">
        <f t="shared" si="12"/>
        <v/>
      </c>
      <c r="BP41" s="102" t="str">
        <f>IF(A41="","",SUM(
COUNTIFS('QA Log'!D:D,A41,'QA Log'!M:M,"Vignette",'QA Log'!L:L,"*Exit Interview 1*"),
COUNTIFS('QA Log'!D:D,A41,'QA Log'!M:M,"Vignette",'QA Log'!L:L,"*Exit Interview 2*"),
)
)</f>
        <v/>
      </c>
      <c r="BQ41" s="102" t="str">
        <f>IF(
  A41="","",
  SUM(
    COUNTIFS('QA Log'!D:D,A41,'QA Log'!M:M,"Vignette",'QA Log'!Z:Z,"Approved",'QA Log'!L:L,"*Exit Interview 1*"),
    COUNTIFS('QA Log'!D:D,A41,'QA Log'!M:M,"Vignette",'QA Log'!Z:Z,"Approved",'QA Log'!L:L,"*Exit Interview 2*")
  )
)</f>
        <v/>
      </c>
      <c r="BR41" s="105" t="str">
        <f>IF(A41&lt;&gt;"",COUNTIFS('QA Log'!D:D,A41,'QA Log'!M:M,"Vignette",'QA Log'!L:L,"Exit Interview 1",'QA Log'!Z:Z,"Approved"),"")</f>
        <v/>
      </c>
      <c r="BS41" s="105" t="str">
        <f>IF(A41&lt;&gt;"",COUNTIFS('QA Log'!D:D,A41,'QA Log'!M:M,"Vignette",'QA Log'!L:L,"Exit Interview 2",'QA Log'!Z:Z,"Approved"),"")</f>
        <v/>
      </c>
      <c r="BT41" s="102" t="str">
        <f>IF(
  A41="","",
  SUM(
    COUNTIFS('QA Log'!D:D,A41,'QA Log'!M:M,"Vignette",'QA Log'!Z:Z,"Rejected",'QA Log'!L:L,"*Exit Interview 1*"),
    COUNTIFS('QA Log'!D:D,A41,'QA Log'!M:M,"Vignette",'QA Log'!Z:Z,"Rejected",'QA Log'!L:L,"*Exit Interview 2*")
  )
)</f>
        <v/>
      </c>
      <c r="BU41" s="107" t="str">
        <f t="shared" si="13"/>
        <v/>
      </c>
      <c r="BV41" s="102" t="str">
        <f t="shared" si="14"/>
        <v/>
      </c>
      <c r="BW41" s="102" t="str">
        <f t="shared" si="15"/>
        <v/>
      </c>
      <c r="BX41" s="102" t="str">
        <f t="shared" si="16"/>
        <v/>
      </c>
      <c r="BY41" s="102" t="str">
        <f t="shared" si="17"/>
        <v/>
      </c>
      <c r="BZ41" s="107" t="str">
        <f t="shared" si="18"/>
        <v/>
      </c>
      <c r="CA41" s="108" t="str">
        <f t="shared" si="19"/>
        <v/>
      </c>
      <c r="CB41" s="108" t="str">
        <f t="shared" si="20"/>
        <v/>
      </c>
      <c r="CC41" s="109" t="str">
        <f t="shared" si="21"/>
        <v/>
      </c>
      <c r="CD41" s="108" t="str">
        <f t="shared" si="22"/>
        <v/>
      </c>
      <c r="CE41" s="108" t="str">
        <f t="shared" si="23"/>
        <v/>
      </c>
      <c r="CF41" s="109" t="str">
        <f t="shared" si="24"/>
        <v/>
      </c>
      <c r="CG41" s="110" t="str">
        <f t="shared" si="25"/>
        <v/>
      </c>
      <c r="CH41" s="111"/>
    </row>
    <row r="42" spans="1:86" ht="12.75">
      <c r="A42" s="101"/>
      <c r="B42" s="102" t="e">
        <f t="array" aca="1" ref="B42" ca="1">_xludf.XLOOKUP(A42,'QA Log'!D:D,'QA Log'!E:E,"")</f>
        <v>#NAME?</v>
      </c>
      <c r="C42" s="102" t="e">
        <f t="array" aca="1" ref="C42" ca="1">_xludf.XLOOKUP(A42,'QA Log'!D:D,'QA Log'!F:F,"")</f>
        <v>#NAME?</v>
      </c>
      <c r="D42" s="102" t="e">
        <f t="array" aca="1" ref="D42" ca="1">_xludf.XLOOKUP(A42,'QA Log'!D:D,'QA Log'!H:H,"")</f>
        <v>#NAME?</v>
      </c>
      <c r="E42" s="102" t="e">
        <f t="array" aca="1" ref="E42" ca="1">_xludf.XLOOKUP(A42,'QA Log'!D:D,'QA Log'!G:G,"")</f>
        <v>#NAME?</v>
      </c>
      <c r="F42" s="103"/>
      <c r="G42" s="104"/>
      <c r="H42" s="104"/>
      <c r="I42" s="103" t="str">
        <f t="shared" si="0"/>
        <v/>
      </c>
      <c r="J42" s="102" t="str">
        <f>IF(A42="","",SUM(
COUNTIFS('QA Log'!D:D,A42,'QA Log'!M:M,"QQC",'QA Log'!L:L,"*1. General Management*"),
COUNTIFS('QA Log'!D:D,A42,'QA Log'!M:M,"QQC",'QA Log'!L:L,"*3. Curative Consultation (OPD)*"),
COUNTIFS('QA Log'!D:D,A42,'QA Log'!M:M,"QQC",'QA Log'!L:L,"*5. Laboratory*"),
COUNTIFS('QA Log'!D:D,A42,'QA Log'!M:M,"QQC",'QA Log'!L:L,"*6. Essential Medicine Management*"),
COUNTIFS('QA Log'!D:D,A42,'QA Log'!M:M,"QQC",'QA Log'!L:L,"*7. Tracer Medicine*"),
COUNTIFS('QA Log'!D:D,A42,'QA Log'!M:M,"QQC",'QA Log'!L:L,"*11. Additional Questions*")))</f>
        <v/>
      </c>
      <c r="K42" s="102" t="str">
        <f>IF(A42="","",SUM(
COUNTIFS('QA Log'!D:D,A42,'QA Log'!M:M,"QQC",'QA Log'!Z:Z,"Approved",'QA Log'!L:L,"*1. General Management*"),
COUNTIFS('QA Log'!D:D,A42,'QA Log'!M:M,"QQC",'QA Log'!Z:Z,"Approved",'QA Log'!L:L,"*3. Curative Consultation (OPD)*"),
COUNTIFS('QA Log'!D:D,A42,'QA Log'!M:M,"QQC",'QA Log'!Z:Z,"Approved",'QA Log'!L:L,"*5. Laboratory*"),
COUNTIFS('QA Log'!D:D,A42,'QA Log'!M:M,"QQC",'QA Log'!Z:Z,"Approved",'QA Log'!L:L,"*6. Essential Medicine Management*"),
COUNTIFS('QA Log'!D:D,A42,'QA Log'!M:M,"QQC",'QA Log'!Z:Z,"Approved",'QA Log'!L:L,"*7. Tracer Medicine*"),
COUNTIFS('QA Log'!D:D,A42,'QA Log'!M:M,"QQC",'QA Log'!Z:Z,"Approved",'QA Log'!L:L,"*11. Additional Questions*")))</f>
        <v/>
      </c>
      <c r="L42" s="105" t="str">
        <f>IF(A42&lt;&gt;"",COUNTIFS('QA Log'!D:D,A42,'QA Log'!M:M,"QQC",'QA Log'!L:L,"1. General Management",'QA Log'!Z:Z,"Approved"),"")</f>
        <v/>
      </c>
      <c r="M42" s="105" t="str">
        <f>IF(A42&lt;&gt;"",COUNTIFS('QA Log'!D:D,A42,'QA Log'!M:M,"QQC",'QA Log'!L:L,"3. Curative Consultation (OPD)",'QA Log'!Z:Z,"Approved"),"")</f>
        <v/>
      </c>
      <c r="N42" s="105" t="str">
        <f>IF(A42&lt;&gt;"",COUNTIFS('QA Log'!D:D,A42,'QA Log'!M:M,"QQC",'QA Log'!L:L,"5. Laboratory",'QA Log'!Z:Z,"Approved"),"")</f>
        <v/>
      </c>
      <c r="O42" s="105" t="str">
        <f>IF(A42&lt;&gt;"",COUNTIFS('QA Log'!D:D,A42,'QA Log'!M:M,"QQC",'QA Log'!L:L,"6. Essential Medicine Management",'QA Log'!Z:Z,"Approved"),"")</f>
        <v/>
      </c>
      <c r="P42" s="105" t="str">
        <f>IF(A42&lt;&gt;"",COUNTIFS('QA Log'!D:D,A42,'QA Log'!M:M,"QQC",'QA Log'!L:L,"7. Tracer Medicine",'QA Log'!Z:Z,"Approved"),"")</f>
        <v/>
      </c>
      <c r="Q42" s="105" t="str">
        <f>IF(A42&lt;&gt;"",COUNTIFS('QA Log'!D:D,A42,'QA Log'!M:M,"QQC",'QA Log'!L:L,"11. Additional Questions",'QA Log'!Z:Z,"Approved"),"")</f>
        <v/>
      </c>
      <c r="R42" s="102" t="str">
        <f>IF(A42="","",SUM(
COUNTIFS('QA Log'!D:D,A42,'QA Log'!M:M,"QQC",'QA Log'!Z:Z,"Rejected",'QA Log'!L:L,"*8. Maternity*"),
COUNTIFS('QA Log'!D:D,A42,'QA Log'!M:M,"QQC",'QA Log'!Z:Z,"Rejected",'QA Log'!L:L,"*EPI*"),
COUNTIFS('QA Log'!D:D,A42,'QA Log'!M:M,"QQC",'QA Log'!Z:Z,"Rejected",'QA Log'!L:L,"*10. Antenatal Care (ANC)*"),
COUNTIFS('QA Log'!D:D,A42,'QA Log'!M:M,"QQC",'QA Log'!Z:Z,"Rejected",'QA Log'!L:L,"*2. Hygiene and Sterilization*"),
COUNTIFS('QA Log'!D:D,A42,'QA Log'!M:M,"QQC",'QA Log'!Z:Z,"Rejected",'QA Log'!L:L,"*Family Planning*")))</f>
        <v/>
      </c>
      <c r="S42" s="106" t="str">
        <f t="shared" si="1"/>
        <v/>
      </c>
      <c r="T42" s="102" t="str">
        <f t="shared" si="2"/>
        <v/>
      </c>
      <c r="U42" s="102" t="str">
        <f>IF(A42="","",
SUM(
COUNTIFS('QA Log'!D:D,A42,'QA Log'!M:M,"QQC",'QA Log'!L:L,"*8. Maternity*"),
COUNTIFS('QA Log'!D:D,A42,'QA Log'!M:M,"QQC",'QA Log'!L:L,"*9. EPI and Pre-school Consultation*"),
COUNTIFS('QA Log'!D:D,A42,'QA Log'!M:M,"QQC",'QA Log'!L:L,"*10. Antenatal Care (ANC)*"),
COUNTIFS('QA Log'!D:D,A42,'QA Log'!M:M,"QQC",'QA Log'!L:L,"*2. Hygiene and Sterilization*"),
COUNTIFS('QA Log'!D:D,A42,'QA Log'!M:M,"QQC",'QA Log'!L:L,"*4. Family Planning*")
))</f>
        <v/>
      </c>
      <c r="V42" s="102" t="str">
        <f>IF(A42="","",
SUM(
COUNTIFS('QA Log'!D:D,A42,'QA Log'!M:M,"QQC",'QA Log'!Z:Z,"Approved",'QA Log'!L:L,"*8. Maternity*"),
COUNTIFS('QA Log'!D:D,A42,'QA Log'!M:M,"QQC",'QA Log'!Z:Z,"Approved",'QA Log'!L:L,"*9. EPI and Pre-school Consultation*"),
COUNTIFS('QA Log'!D:D,A42,'QA Log'!M:M,"QQC",'QA Log'!Z:Z,"Approved",'QA Log'!L:L,"*10. Antenatal Care (ANC)*"),
COUNTIFS('QA Log'!D:D,A42,'QA Log'!M:M,"QQC",'QA Log'!Z:Z,"Approved",'QA Log'!L:L,"*2. Hygiene and Sterilization*"),
COUNTIFS('QA Log'!D:D,A42,'QA Log'!M:M,"QQC",'QA Log'!Z:Z,"Approved",'QA Log'!L:L,"*4. Family Planning*")
))</f>
        <v/>
      </c>
      <c r="W42" s="105" t="str">
        <f>IF(A42&lt;&gt;"",COUNTIFS('QA Log'!D:D,A42,'QA Log'!M:M,"QQC",'QA Log'!L:L,"8. Maternity",'QA Log'!Z:Z,"Approved"),"")</f>
        <v/>
      </c>
      <c r="X42" s="105" t="str">
        <f>IF(A42&lt;&gt;"",COUNTIFS('QA Log'!D:D,A42,'QA Log'!M:M,"QQC",'QA Log'!L:L,"9. EPI and Pre-school Consultation",'QA Log'!Z:Z,"Approved"),"")</f>
        <v/>
      </c>
      <c r="Y42" s="105" t="str">
        <f>IF(A42&lt;&gt;"",COUNTIFS('QA Log'!D:D,A42,'QA Log'!M:M,"QQC",'QA Log'!L:L,"10. Antenatal Care (ANC)",'QA Log'!Z:Z,"Approved"),"")</f>
        <v/>
      </c>
      <c r="Z42" s="105" t="str">
        <f>IF(A42&lt;&gt;"",COUNTIFS('QA Log'!D:D,A42,'QA Log'!M:M,"QQC",'QA Log'!L:L,"2. Hygiene and Sterilization",'QA Log'!Z:Z,"Approved"),"")</f>
        <v/>
      </c>
      <c r="AA42" s="105" t="str">
        <f>IF(A42&lt;&gt;"",COUNTIFS('QA Log'!D:D,A42,'QA Log'!M:M,"QQC",'QA Log'!L:L,"4. Family Planning",'QA Log'!Z:Z,"Approved"),"")</f>
        <v/>
      </c>
      <c r="AB42" s="102" t="str">
        <f>IF(A42="","",
SUM(
COUNTIFS('QA Log'!D:D,A42,'QA Log'!M:M,"QQC",'QA Log'!Z:Z,"Rejected",'QA Log'!L:L,"*8. Maternity*"),
COUNTIFS('QA Log'!D:D,A42,'QA Log'!M:M,"QQC",'QA Log'!Z:Z,"Rejected",'QA Log'!L:L,"*9. EPI and Pre-school Consultation*"),
COUNTIFS('QA Log'!D:D,A42,'QA Log'!M:M,"QQC",'QA Log'!Z:Z,"Rejected",'QA Log'!L:L,"*10. Antenatal Care (ANC)*"),
COUNTIFS('QA Log'!D:D,A42,'QA Log'!M:M,"QQC",'QA Log'!Z:Z,"Rejected",'QA Log'!L:L,"*2. Hygiene and Sterilization*"),
COUNTIFS('QA Log'!D:D,A42,'QA Log'!M:M,"QQC",'QA Log'!Z:Z,"Rejected",'QA Log'!L:L,"*4. Family Planning*")
))</f>
        <v/>
      </c>
      <c r="AC42" s="102" t="str">
        <f t="shared" si="3"/>
        <v/>
      </c>
      <c r="AD42" s="103" t="str">
        <f t="shared" si="4"/>
        <v/>
      </c>
      <c r="AE42" s="102" t="str">
        <f>IF(A42="","",
SUM(
COUNTIFS('QA Log'!D:D,A42,'QA Log'!M:M,"Data Verification",'QA Log'!L:L,"*Medicine (section 2)*"),
COUNTIFS('QA Log'!D:D,A42,'QA Log'!M:M,"Data Verification",'QA Log'!L:L,"*Lab Testing Availability*"),
COUNTIFS('QA Log'!D:D,A42,'QA Log'!M:M,"Data Verification",'QA Log'!L:L,"*Other than P4P (section 6)*"),
COUNTIFS('QA Log'!D:D,A42,'QA Log'!M:M,"Data Verification",'QA Log'!L:L,"*Hospital Governance*")
))</f>
        <v/>
      </c>
      <c r="AF42" s="102" t="str">
        <f>IF(A42="","",
SUM(
COUNTIFS('QA Log'!D:D,A42,'QA Log'!M:M,"Data Verification",'QA Log'!Z:Z,"Approved",'QA Log'!L:L,"*Medicine (section 2)*"),
COUNTIFS('QA Log'!D:D,A42,'QA Log'!M:M,"Data Verification",'QA Log'!Z:Z,"Approved",'QA Log'!L:L,"*Lab Testing Availability*"),
COUNTIFS('QA Log'!D:D,A42,'QA Log'!M:M,"Data Verification",'QA Log'!Z:Z,"Approved",'QA Log'!L:L,"*Other than P4P (section 6)*"),
COUNTIFS('QA Log'!D:D,A42,'QA Log'!M:M,"Data Verification",'QA Log'!Z:Z,"Approved",'QA Log'!L:L,"*Hospital Governance*")
))</f>
        <v/>
      </c>
      <c r="AG42" s="105" t="str">
        <f>IF(A42&lt;&gt;"",COUNTIFS('QA Log'!D:D,A42,'QA Log'!M:M,"Data Verification",'QA Log'!L:L,"Medicine (section 2)",'QA Log'!Z:Z,"Approved"),"")</f>
        <v/>
      </c>
      <c r="AH42" s="105" t="str">
        <f>IF(A42&lt;&gt;"",COUNTIFS('QA Log'!D:D,A42,'QA Log'!M:M,"Data Verification",'QA Log'!L:L,"Lab Testing Availability",'QA Log'!Z:Z,"Approved"),"")</f>
        <v/>
      </c>
      <c r="AI42" s="105" t="str">
        <f>IF(A42&lt;&gt;"",COUNTIFS('QA Log'!D:D,A42,'QA Log'!M:M,"Data Verification",'QA Log'!L:L,"Other than P4P (section 6)",'QA Log'!Z:Z,"Approved"),"")</f>
        <v/>
      </c>
      <c r="AJ42" s="105" t="str">
        <f>IF(A42&lt;&gt;"",COUNTIFS('QA Log'!D:D,A42,'QA Log'!M:M,"Data Verification",'QA Log'!L:L,"Hospital Governance",'QA Log'!Z:Z,"Approved"),"")</f>
        <v/>
      </c>
      <c r="AK42" s="102" t="str">
        <f>IF(A42="","",
SUM(
COUNTIFS('QA Log'!D:D,A42,'QA Log'!M:M,"Data Verification",'QA Log'!Z:Z,"Rejected",'QA Log'!L:L,"*Medicine (section 2)*"),
COUNTIFS('QA Log'!D:D,A42,'QA Log'!M:M,"Data Verification",'QA Log'!Z:Z,"Rejected",'QA Log'!L:L,"*Lab Testing Availability*"),
COUNTIFS('QA Log'!D:D,A42,'QA Log'!M:M,"Data Verification",'QA Log'!Z:Z,"Rejected",'QA Log'!L:L,"*Other than P4P (section 6)*"),
COUNTIFS('QA Log'!D:D,A42,'QA Log'!M:M,"Data Verification",'QA Log'!Z:Z,"Rejected",'QA Log'!L:L,"*Hospital Governance*")
))</f>
        <v/>
      </c>
      <c r="AL42" s="106" t="str">
        <f t="shared" si="5"/>
        <v/>
      </c>
      <c r="AM42" s="102" t="str">
        <f t="shared" si="6"/>
        <v/>
      </c>
      <c r="AN42" s="102" t="str">
        <f>IF(A42="","",
SUM(
COUNTIFS('QA Log'!D:D,A42,'QA Log'!M:M,"Data Verification",'QA Log'!L:L,"*Personnel (section 1)*"),
COUNTIFS('QA Log'!D:D,A42,'QA Log'!M:M,"Data Verification",'QA Log'!L:L,"*Consumable (section 3)*"),
COUNTIFS('QA Log'!D:D,A42,'QA Log'!M:M,"Data Verification",'QA Log'!L:L,"*Equipments (section 4)*")
))</f>
        <v/>
      </c>
      <c r="AO42" s="102" t="str">
        <f>IF(A42="","",
SUM(
COUNTIFS('QA Log'!D:D,A42,'QA Log'!M:M,"Data Verification",'QA Log'!Z:Z,"Approved",'QA Log'!L:L,"*Personnel (section 1)*"),
COUNTIFS('QA Log'!D:D,A42,'QA Log'!M:M,"Data Verification",'QA Log'!Z:Z,"Approved",'QA Log'!L:L,"*Consumable (section 3)*"),
COUNTIFS('QA Log'!D:D,A42,'QA Log'!M:M,"Data Verification",'QA Log'!Z:Z,"Approved",'QA Log'!L:L,"*Equipments (section 4)*")
))</f>
        <v/>
      </c>
      <c r="AP42" s="105" t="str">
        <f>IF(A42&lt;&gt;"",COUNTIFS('QA Log'!D:D,A42,'QA Log'!M:M,"Data Verification",'QA Log'!L:L,"Personnel (section 1)",'QA Log'!Z:Z,"Approved"),"")</f>
        <v/>
      </c>
      <c r="AQ42" s="105" t="str">
        <f>IF(A42&lt;&gt;"",COUNTIFS('QA Log'!D:D,A42,'QA Log'!M:M,"Data Verification",'QA Log'!L:L,"Consumable (section 3)",'QA Log'!Z:Z,"Approved"),"")</f>
        <v/>
      </c>
      <c r="AR42" s="105" t="str">
        <f>IF(A42&lt;&gt;"",COUNTIFS('QA Log'!D:D,A42,'QA Log'!M:M,"Data Verification",'QA Log'!L:L,"Equipments (section 4)",'QA Log'!Z:Z,"Approved"),"")</f>
        <v/>
      </c>
      <c r="AS42" s="102" t="str">
        <f>IF(A42="","",
SUM(
COUNTIFS('QA Log'!D:D,A42,'QA Log'!M:M,"Data Verification",'QA Log'!Z:Z,"Rejected",'QA Log'!L:L,"*Personnel (section 1)*"),
COUNTIFS('QA Log'!D:D,A42,'QA Log'!M:M,"Data Verification",'QA Log'!Z:Z,"Rejected",'QA Log'!L:L,"*Consumable (section 3)*"),
COUNTIFS('QA Log'!D:D,A42,'QA Log'!M:M,"Data Verification",'QA Log'!Z:Z,"Rejected",'QA Log'!L:L,"*Equipments (section 4)*")
))</f>
        <v/>
      </c>
      <c r="AT42" s="102" t="str">
        <f t="shared" si="7"/>
        <v/>
      </c>
      <c r="AU42" s="103" t="str">
        <f t="shared" si="8"/>
        <v/>
      </c>
      <c r="AV42" s="102" t="str">
        <f>IF(A42="","",SUM(
COUNTIFS('QA Log'!D:D,A42,'QA Log'!M:M,"Vignette",'QA Log'!L:L,"*Vignette [1] Respiratory Infection: Pneumonia*"),
COUNTIFS('QA Log'!D:D,A42,'QA Log'!M:M,"Vignette",'QA Log'!L:L,"*Vignette [2]: Diarrhea with Cat B dehydration*"),
COUNTIFS('QA Log'!D:D,A42,'QA Log'!M:M,"Vignette",'QA Log'!L:L,"*Vignette [3] Growth Monitoring and Promotion*"),
COUNTIFS('QA Log'!D:D,A42,'QA Log'!M:M,"Vignette",'QA Log'!L:L,"*Vignette [4]: The management of presumptive TB patient*")
)
)</f>
        <v/>
      </c>
      <c r="AW42" s="102" t="str">
        <f>IF(
  A42="","",
  SUM(
    COUNTIFS('QA Log'!D:D,A42,'QA Log'!M:M,"Vignette",'QA Log'!Z:Z,"Approved",'QA Log'!L:L,"*Vignette [1] Respiratory Infection: Pneumonia*"),
    COUNTIFS('QA Log'!D:D,A42,'QA Log'!M:M,"Vignette",'QA Log'!Z:Z,"Approved",'QA Log'!L:L,"*Vignette [2]: Diarrhea with Cat B dehydration*"),
    COUNTIFS('QA Log'!D:D,A42,'QA Log'!M:M,"Vignette",'QA Log'!Z:Z,"Approved",'QA Log'!L:L,"*Vignette [3] Growth Monitoring and Promotion*"),
    COUNTIFS('QA Log'!D:D,A42,'QA Log'!M:M,"Vignette",'QA Log'!Z:Z,"Approved",'QA Log'!L:L,"*Vignette [4]: The management of presumptive TB patient*")
  )
)</f>
        <v/>
      </c>
      <c r="AX42" s="105" t="str">
        <f>IF(A42&lt;&gt;"",COUNTIFS('QA Log'!D:D,A42,'QA Log'!M:M,"Vignette",'QA Log'!L:L,"Vignette [1] Respiratory Infection: Pneumonia",'QA Log'!Z:Z,"Approved"),"")</f>
        <v/>
      </c>
      <c r="AY42" s="105" t="str">
        <f>IF(A42&lt;&gt;"",COUNTIFS('QA Log'!D:D,A42,'QA Log'!M:M,"Vignette",'QA Log'!L:L,"Vignette [2]: Diarrhea with Cat B dehydration",'QA Log'!Z:Z,"Approved"),"")</f>
        <v/>
      </c>
      <c r="AZ42" s="105" t="str">
        <f>IF(A42&lt;&gt;"",COUNTIFS('QA Log'!D:D,A42,'QA Log'!M:M,"Vignette",'QA Log'!L:L,"Vignette [3] Growth Monitoring and Promotion",'QA Log'!Z:Z,"Approved"),"")</f>
        <v/>
      </c>
      <c r="BA42" s="105" t="str">
        <f>IF(A42&lt;&gt;"",COUNTIFS('QA Log'!D:D,A42,'QA Log'!M:M,"Vignette",'QA Log'!L:L,"Vignette [4]: The management of presumptive TB patient",'QA Log'!Z:Z,"Approved"),"")</f>
        <v/>
      </c>
      <c r="BB42" s="102" t="str">
        <f>IF(A42="","",
  SUM(
    COUNTIFS('QA Log'!D:D,A42,'QA Log'!M:M,"Vignette",'QA Log'!Z:Z,"Rejected",'QA Log'!L:L,"*Vignette [1] Respiratory Infection: Pneumonia*"),
    COUNTIFS('QA Log'!D:D,A42,'QA Log'!M:M,"Vignette",'QA Log'!Z:Z,"Rejected",'QA Log'!L:L,"*Vignette [2]: Diarrhea with Cat B dehydration*"),
    COUNTIFS('QA Log'!D:D,A42,'QA Log'!M:M,"Vignette",'QA Log'!Z:Z,"Rejected",'QA Log'!L:L,"*Vignette [3] Growth Monitoring and Promotion*"),
    COUNTIFS('QA Log'!D:D,A42,'QA Log'!M:M,"Vignette",'QA Log'!Z:Z,"Rejected",'QA Log'!L:L,"*Vignette [4]: The management of presumptive TB patient*")
  )
)</f>
        <v/>
      </c>
      <c r="BC42" s="107" t="str">
        <f t="shared" si="9"/>
        <v/>
      </c>
      <c r="BD42" s="103" t="str">
        <f t="shared" si="10"/>
        <v/>
      </c>
      <c r="BE42" s="102" t="str">
        <f>IF(A42="","",SUM(
COUNTIFS('QA Log'!D:D,A42,'QA Log'!M:M,"Vignette",'QA Log'!L:L,"*Vignette [5] Labor*"),
COUNTIFS('QA Log'!D:D,A42,'QA Log'!M:M,"Vignette",'QA Log'!L:L,"*Vignette [6] PNC pre Discharge*"),
COUNTIFS('QA Log'!D:D,A42,'QA Log'!M:M,"Vignette",'QA Log'!L:L,"*Vignette [7] First ANC Visit*"),
COUNTIFS('QA Log'!D:D,A42,'QA Log'!M:M,"Vignette",'QA Log'!L:L,"*Vignette [8] Birth Spacing/ Family Planning :  FP Counselling*"),
COUNTIFS('QA Log'!D:D,A42,'QA Log'!M:M,"Vignette",'QA Log'!L:L,"*Vignette [9] Birth Spacing: Change FP method to Injectable*"),
COUNTIFS('QA Log'!D:D,A42,'QA Log'!M:M,"Vignette",'QA Log'!L:L,"*Vignette [10] Post Partum Haemorrhage - Atonic Uterus at Health Centre*"),
)
)</f>
        <v/>
      </c>
      <c r="BF42" s="102" t="str">
        <f>IF(A42="","",
  SUM(
    COUNTIFS('QA Log'!D:D,A42,'QA Log'!M:M,"Vignette",'QA Log'!Z:Z,"Approved",'QA Log'!L:L,"*Vignette [5] Labor*"),
    COUNTIFS('QA Log'!D:D,A42,'QA Log'!M:M,"Vignette",'QA Log'!Z:Z,"Approved",'QA Log'!L:L,"*Vignette [6] PNC pre Discharge*"),
    COUNTIFS('QA Log'!D:D,A42,'QA Log'!M:M,"Vignette",'QA Log'!Z:Z,"Approved",'QA Log'!L:L,"*Vignette [7] First ANC Visit*"),
    COUNTIFS('QA Log'!D:D,A42,'QA Log'!M:M,"Vignette",'QA Log'!Z:Z,"Approved",'QA Log'!L:L,"*Vignette [8] Birth Spacing/ Family Planning :  FP Counselling*"),
    COUNTIFS('QA Log'!D:D,A42,'QA Log'!M:M,"Vignette",'QA Log'!Z:Z,"Approved",'QA Log'!L:L,"*Vignette [9] Birth Spacing: Change FP method to Injectable*"),
    COUNTIFS('QA Log'!D:D,A42,'QA Log'!M:M,"Vignette",'QA Log'!Z:Z,"Approved",'QA Log'!L:L,"*Vignette [10] Post Partum Haemorrhage - Atonic Uterus at Health Centre*")
  )
)</f>
        <v/>
      </c>
      <c r="BG42" s="105" t="str">
        <f>IF(A42&lt;&gt;"",COUNTIFS('QA Log'!D:D,A42,'QA Log'!M:M,"Vignette",'QA Log'!L:L,"Vignette [5] Labor",'QA Log'!Z:Z,"Approved"),"")</f>
        <v/>
      </c>
      <c r="BH42" s="105" t="str">
        <f>IF(A42&lt;&gt;"",COUNTIFS('QA Log'!D:D,A42,'QA Log'!M:M,"Vignette",'QA Log'!L:L,"Vignette [6] PNC pre Discharge",'QA Log'!Z:Z,"Approved"),"")</f>
        <v/>
      </c>
      <c r="BI42" s="105" t="str">
        <f>IF(A42&lt;&gt;"",COUNTIFS('QA Log'!D:D,A42,'QA Log'!M:M,"Vignette",'QA Log'!L:L,"Vignette [7] First ANC Visit",'QA Log'!Z:Z,"Approved"),"")</f>
        <v/>
      </c>
      <c r="BJ42" s="105" t="str">
        <f>IF(A42&lt;&gt;"",COUNTIFS('QA Log'!D:D,A42,'QA Log'!M:M,"Vignette",'QA Log'!L:L,"Vignette [8] Birth Spacing/ Family Planning :  FP Counselling",'QA Log'!Z:Z,"Approved"),"")</f>
        <v/>
      </c>
      <c r="BK42" s="105" t="str">
        <f>IF(A42&lt;&gt;"",COUNTIFS('QA Log'!D:D,A42,'QA Log'!M:M,"Vignette",'QA Log'!L:L,"Vignette [9] Birth Spacing: Change FP method to Injectable",'QA Log'!Z:Z,"Approved"),"")</f>
        <v/>
      </c>
      <c r="BL42" s="105" t="str">
        <f>IF(A42&lt;&gt;"",COUNTIFS('QA Log'!D:D,A42,'QA Log'!M:M,"Vignette",'QA Log'!L:L,"Vignette [10] Post Partum Haemorrhage - Atonic Uterus at Health Centre",'QA Log'!Z:Z,"Approved"),"")</f>
        <v/>
      </c>
      <c r="BM42" s="102" t="str">
        <f>IF(A42="","",SUM(
    COUNTIFS('QA Log'!D:D,A42,'QA Log'!M:M,"Vignette",'QA Log'!Z:Z,"Rejected",'QA Log'!L:L,"*Vignette [5] Labor*"),
    COUNTIFS('QA Log'!D:D,A42,'QA Log'!M:M,"Vignette",'QA Log'!Z:Z,"Rejected",'QA Log'!L:L,"*Vignette [6] PNC pre Discharge*"),
    COUNTIFS('QA Log'!D:D,A42,'QA Log'!M:M,"Vignette",'QA Log'!Z:Z,"Rejected",'QA Log'!L:L,"*Vignette [7] First ANC Visit*"),
    COUNTIFS('QA Log'!D:D,A42,'QA Log'!M:M,"Vignette",'QA Log'!Z:Z,"Rejected",'QA Log'!L:L,"*Vignette [8] Birth Spacing/ Family Planning :  FP Counselling*"),
    COUNTIFS('QA Log'!D:D,A42,'QA Log'!M:M,"Vignette",'QA Log'!Z:Z,"Rejected",'QA Log'!L:L,"*Vignette [9] Birth Spacing: Change FP method to Injectable*"),
    COUNTIFS('QA Log'!D:D,A42,'QA Log'!M:M,"Vignette",'QA Log'!Z:Z,"Rejected",'QA Log'!L:L,"*Vignette [10] Post Partum Haemorrhage - Atonic Uterus at Health Centre*")
  )
)</f>
        <v/>
      </c>
      <c r="BN42" s="107" t="str">
        <f t="shared" si="11"/>
        <v/>
      </c>
      <c r="BO42" s="103" t="str">
        <f t="shared" si="12"/>
        <v/>
      </c>
      <c r="BP42" s="102" t="str">
        <f>IF(A42="","",SUM(
COUNTIFS('QA Log'!D:D,A42,'QA Log'!M:M,"Vignette",'QA Log'!L:L,"*Exit Interview 1*"),
COUNTIFS('QA Log'!D:D,A42,'QA Log'!M:M,"Vignette",'QA Log'!L:L,"*Exit Interview 2*"),
)
)</f>
        <v/>
      </c>
      <c r="BQ42" s="102" t="str">
        <f>IF(
  A42="","",
  SUM(
    COUNTIFS('QA Log'!D:D,A42,'QA Log'!M:M,"Vignette",'QA Log'!Z:Z,"Approved",'QA Log'!L:L,"*Exit Interview 1*"),
    COUNTIFS('QA Log'!D:D,A42,'QA Log'!M:M,"Vignette",'QA Log'!Z:Z,"Approved",'QA Log'!L:L,"*Exit Interview 2*")
  )
)</f>
        <v/>
      </c>
      <c r="BR42" s="105" t="str">
        <f>IF(A42&lt;&gt;"",COUNTIFS('QA Log'!D:D,A42,'QA Log'!M:M,"Vignette",'QA Log'!L:L,"Exit Interview 1",'QA Log'!Z:Z,"Approved"),"")</f>
        <v/>
      </c>
      <c r="BS42" s="105" t="str">
        <f>IF(A42&lt;&gt;"",COUNTIFS('QA Log'!D:D,A42,'QA Log'!M:M,"Vignette",'QA Log'!L:L,"Exit Interview 2",'QA Log'!Z:Z,"Approved"),"")</f>
        <v/>
      </c>
      <c r="BT42" s="102" t="str">
        <f>IF(
  A42="","",
  SUM(
    COUNTIFS('QA Log'!D:D,A42,'QA Log'!M:M,"Vignette",'QA Log'!Z:Z,"Rejected",'QA Log'!L:L,"*Exit Interview 1*"),
    COUNTIFS('QA Log'!D:D,A42,'QA Log'!M:M,"Vignette",'QA Log'!Z:Z,"Rejected",'QA Log'!L:L,"*Exit Interview 2*")
  )
)</f>
        <v/>
      </c>
      <c r="BU42" s="107" t="str">
        <f t="shared" si="13"/>
        <v/>
      </c>
      <c r="BV42" s="102" t="str">
        <f t="shared" si="14"/>
        <v/>
      </c>
      <c r="BW42" s="102" t="str">
        <f t="shared" si="15"/>
        <v/>
      </c>
      <c r="BX42" s="102" t="str">
        <f t="shared" si="16"/>
        <v/>
      </c>
      <c r="BY42" s="102" t="str">
        <f t="shared" si="17"/>
        <v/>
      </c>
      <c r="BZ42" s="107" t="str">
        <f t="shared" si="18"/>
        <v/>
      </c>
      <c r="CA42" s="108" t="str">
        <f t="shared" si="19"/>
        <v/>
      </c>
      <c r="CB42" s="108" t="str">
        <f t="shared" si="20"/>
        <v/>
      </c>
      <c r="CC42" s="109" t="str">
        <f t="shared" si="21"/>
        <v/>
      </c>
      <c r="CD42" s="108" t="str">
        <f t="shared" si="22"/>
        <v/>
      </c>
      <c r="CE42" s="108" t="str">
        <f t="shared" si="23"/>
        <v/>
      </c>
      <c r="CF42" s="109" t="str">
        <f t="shared" si="24"/>
        <v/>
      </c>
      <c r="CG42" s="110" t="str">
        <f t="shared" si="25"/>
        <v/>
      </c>
      <c r="CH42" s="111"/>
    </row>
    <row r="43" spans="1:86" ht="12.75">
      <c r="A43" s="101"/>
      <c r="B43" s="102" t="e">
        <f t="array" aca="1" ref="B43" ca="1">_xludf.XLOOKUP(A43,'QA Log'!D:D,'QA Log'!E:E,"")</f>
        <v>#NAME?</v>
      </c>
      <c r="C43" s="102" t="e">
        <f t="array" aca="1" ref="C43" ca="1">_xludf.XLOOKUP(A43,'QA Log'!D:D,'QA Log'!F:F,"")</f>
        <v>#NAME?</v>
      </c>
      <c r="D43" s="102" t="e">
        <f t="array" aca="1" ref="D43" ca="1">_xludf.XLOOKUP(A43,'QA Log'!D:D,'QA Log'!H:H,"")</f>
        <v>#NAME?</v>
      </c>
      <c r="E43" s="102" t="e">
        <f t="array" aca="1" ref="E43" ca="1">_xludf.XLOOKUP(A43,'QA Log'!D:D,'QA Log'!G:G,"")</f>
        <v>#NAME?</v>
      </c>
      <c r="F43" s="103"/>
      <c r="G43" s="104"/>
      <c r="H43" s="104"/>
      <c r="I43" s="103" t="str">
        <f t="shared" si="0"/>
        <v/>
      </c>
      <c r="J43" s="102" t="str">
        <f>IF(A43="","",SUM(
COUNTIFS('QA Log'!D:D,A43,'QA Log'!M:M,"QQC",'QA Log'!L:L,"*1. General Management*"),
COUNTIFS('QA Log'!D:D,A43,'QA Log'!M:M,"QQC",'QA Log'!L:L,"*3. Curative Consultation (OPD)*"),
COUNTIFS('QA Log'!D:D,A43,'QA Log'!M:M,"QQC",'QA Log'!L:L,"*5. Laboratory*"),
COUNTIFS('QA Log'!D:D,A43,'QA Log'!M:M,"QQC",'QA Log'!L:L,"*6. Essential Medicine Management*"),
COUNTIFS('QA Log'!D:D,A43,'QA Log'!M:M,"QQC",'QA Log'!L:L,"*7. Tracer Medicine*"),
COUNTIFS('QA Log'!D:D,A43,'QA Log'!M:M,"QQC",'QA Log'!L:L,"*11. Additional Questions*")))</f>
        <v/>
      </c>
      <c r="K43" s="102" t="str">
        <f>IF(A43="","",SUM(
COUNTIFS('QA Log'!D:D,A43,'QA Log'!M:M,"QQC",'QA Log'!Z:Z,"Approved",'QA Log'!L:L,"*1. General Management*"),
COUNTIFS('QA Log'!D:D,A43,'QA Log'!M:M,"QQC",'QA Log'!Z:Z,"Approved",'QA Log'!L:L,"*3. Curative Consultation (OPD)*"),
COUNTIFS('QA Log'!D:D,A43,'QA Log'!M:M,"QQC",'QA Log'!Z:Z,"Approved",'QA Log'!L:L,"*5. Laboratory*"),
COUNTIFS('QA Log'!D:D,A43,'QA Log'!M:M,"QQC",'QA Log'!Z:Z,"Approved",'QA Log'!L:L,"*6. Essential Medicine Management*"),
COUNTIFS('QA Log'!D:D,A43,'QA Log'!M:M,"QQC",'QA Log'!Z:Z,"Approved",'QA Log'!L:L,"*7. Tracer Medicine*"),
COUNTIFS('QA Log'!D:D,A43,'QA Log'!M:M,"QQC",'QA Log'!Z:Z,"Approved",'QA Log'!L:L,"*11. Additional Questions*")))</f>
        <v/>
      </c>
      <c r="L43" s="105" t="str">
        <f>IF(A43&lt;&gt;"",COUNTIFS('QA Log'!D:D,A43,'QA Log'!M:M,"QQC",'QA Log'!L:L,"1. General Management",'QA Log'!Z:Z,"Approved"),"")</f>
        <v/>
      </c>
      <c r="M43" s="105" t="str">
        <f>IF(A43&lt;&gt;"",COUNTIFS('QA Log'!D:D,A43,'QA Log'!M:M,"QQC",'QA Log'!L:L,"3. Curative Consultation (OPD)",'QA Log'!Z:Z,"Approved"),"")</f>
        <v/>
      </c>
      <c r="N43" s="105" t="str">
        <f>IF(A43&lt;&gt;"",COUNTIFS('QA Log'!D:D,A43,'QA Log'!M:M,"QQC",'QA Log'!L:L,"5. Laboratory",'QA Log'!Z:Z,"Approved"),"")</f>
        <v/>
      </c>
      <c r="O43" s="105" t="str">
        <f>IF(A43&lt;&gt;"",COUNTIFS('QA Log'!D:D,A43,'QA Log'!M:M,"QQC",'QA Log'!L:L,"6. Essential Medicine Management",'QA Log'!Z:Z,"Approved"),"")</f>
        <v/>
      </c>
      <c r="P43" s="105" t="str">
        <f>IF(A43&lt;&gt;"",COUNTIFS('QA Log'!D:D,A43,'QA Log'!M:M,"QQC",'QA Log'!L:L,"7. Tracer Medicine",'QA Log'!Z:Z,"Approved"),"")</f>
        <v/>
      </c>
      <c r="Q43" s="105" t="str">
        <f>IF(A43&lt;&gt;"",COUNTIFS('QA Log'!D:D,A43,'QA Log'!M:M,"QQC",'QA Log'!L:L,"11. Additional Questions",'QA Log'!Z:Z,"Approved"),"")</f>
        <v/>
      </c>
      <c r="R43" s="102" t="str">
        <f>IF(A43="","",SUM(
COUNTIFS('QA Log'!D:D,A43,'QA Log'!M:M,"QQC",'QA Log'!Z:Z,"Rejected",'QA Log'!L:L,"*8. Maternity*"),
COUNTIFS('QA Log'!D:D,A43,'QA Log'!M:M,"QQC",'QA Log'!Z:Z,"Rejected",'QA Log'!L:L,"*EPI*"),
COUNTIFS('QA Log'!D:D,A43,'QA Log'!M:M,"QQC",'QA Log'!Z:Z,"Rejected",'QA Log'!L:L,"*10. Antenatal Care (ANC)*"),
COUNTIFS('QA Log'!D:D,A43,'QA Log'!M:M,"QQC",'QA Log'!Z:Z,"Rejected",'QA Log'!L:L,"*2. Hygiene and Sterilization*"),
COUNTIFS('QA Log'!D:D,A43,'QA Log'!M:M,"QQC",'QA Log'!Z:Z,"Rejected",'QA Log'!L:L,"*Family Planning*")))</f>
        <v/>
      </c>
      <c r="S43" s="106" t="str">
        <f t="shared" si="1"/>
        <v/>
      </c>
      <c r="T43" s="102" t="str">
        <f t="shared" si="2"/>
        <v/>
      </c>
      <c r="U43" s="102" t="str">
        <f>IF(A43="","",
SUM(
COUNTIFS('QA Log'!D:D,A43,'QA Log'!M:M,"QQC",'QA Log'!L:L,"*8. Maternity*"),
COUNTIFS('QA Log'!D:D,A43,'QA Log'!M:M,"QQC",'QA Log'!L:L,"*9. EPI and Pre-school Consultation*"),
COUNTIFS('QA Log'!D:D,A43,'QA Log'!M:M,"QQC",'QA Log'!L:L,"*10. Antenatal Care (ANC)*"),
COUNTIFS('QA Log'!D:D,A43,'QA Log'!M:M,"QQC",'QA Log'!L:L,"*2. Hygiene and Sterilization*"),
COUNTIFS('QA Log'!D:D,A43,'QA Log'!M:M,"QQC",'QA Log'!L:L,"*4. Family Planning*")
))</f>
        <v/>
      </c>
      <c r="V43" s="102" t="str">
        <f>IF(A43="","",
SUM(
COUNTIFS('QA Log'!D:D,A43,'QA Log'!M:M,"QQC",'QA Log'!Z:Z,"Approved",'QA Log'!L:L,"*8. Maternity*"),
COUNTIFS('QA Log'!D:D,A43,'QA Log'!M:M,"QQC",'QA Log'!Z:Z,"Approved",'QA Log'!L:L,"*9. EPI and Pre-school Consultation*"),
COUNTIFS('QA Log'!D:D,A43,'QA Log'!M:M,"QQC",'QA Log'!Z:Z,"Approved",'QA Log'!L:L,"*10. Antenatal Care (ANC)*"),
COUNTIFS('QA Log'!D:D,A43,'QA Log'!M:M,"QQC",'QA Log'!Z:Z,"Approved",'QA Log'!L:L,"*2. Hygiene and Sterilization*"),
COUNTIFS('QA Log'!D:D,A43,'QA Log'!M:M,"QQC",'QA Log'!Z:Z,"Approved",'QA Log'!L:L,"*4. Family Planning*")
))</f>
        <v/>
      </c>
      <c r="W43" s="105" t="str">
        <f>IF(A43&lt;&gt;"",COUNTIFS('QA Log'!D:D,A43,'QA Log'!M:M,"QQC",'QA Log'!L:L,"8. Maternity",'QA Log'!Z:Z,"Approved"),"")</f>
        <v/>
      </c>
      <c r="X43" s="105" t="str">
        <f>IF(A43&lt;&gt;"",COUNTIFS('QA Log'!D:D,A43,'QA Log'!M:M,"QQC",'QA Log'!L:L,"9. EPI and Pre-school Consultation",'QA Log'!Z:Z,"Approved"),"")</f>
        <v/>
      </c>
      <c r="Y43" s="105" t="str">
        <f>IF(A43&lt;&gt;"",COUNTIFS('QA Log'!D:D,A43,'QA Log'!M:M,"QQC",'QA Log'!L:L,"10. Antenatal Care (ANC)",'QA Log'!Z:Z,"Approved"),"")</f>
        <v/>
      </c>
      <c r="Z43" s="105" t="str">
        <f>IF(A43&lt;&gt;"",COUNTIFS('QA Log'!D:D,A43,'QA Log'!M:M,"QQC",'QA Log'!L:L,"2. Hygiene and Sterilization",'QA Log'!Z:Z,"Approved"),"")</f>
        <v/>
      </c>
      <c r="AA43" s="105" t="str">
        <f>IF(A43&lt;&gt;"",COUNTIFS('QA Log'!D:D,A43,'QA Log'!M:M,"QQC",'QA Log'!L:L,"4. Family Planning",'QA Log'!Z:Z,"Approved"),"")</f>
        <v/>
      </c>
      <c r="AB43" s="102" t="str">
        <f>IF(A43="","",
SUM(
COUNTIFS('QA Log'!D:D,A43,'QA Log'!M:M,"QQC",'QA Log'!Z:Z,"Rejected",'QA Log'!L:L,"*8. Maternity*"),
COUNTIFS('QA Log'!D:D,A43,'QA Log'!M:M,"QQC",'QA Log'!Z:Z,"Rejected",'QA Log'!L:L,"*9. EPI and Pre-school Consultation*"),
COUNTIFS('QA Log'!D:D,A43,'QA Log'!M:M,"QQC",'QA Log'!Z:Z,"Rejected",'QA Log'!L:L,"*10. Antenatal Care (ANC)*"),
COUNTIFS('QA Log'!D:D,A43,'QA Log'!M:M,"QQC",'QA Log'!Z:Z,"Rejected",'QA Log'!L:L,"*2. Hygiene and Sterilization*"),
COUNTIFS('QA Log'!D:D,A43,'QA Log'!M:M,"QQC",'QA Log'!Z:Z,"Rejected",'QA Log'!L:L,"*4. Family Planning*")
))</f>
        <v/>
      </c>
      <c r="AC43" s="102" t="str">
        <f t="shared" si="3"/>
        <v/>
      </c>
      <c r="AD43" s="103" t="str">
        <f t="shared" si="4"/>
        <v/>
      </c>
      <c r="AE43" s="102" t="str">
        <f>IF(A43="","",
SUM(
COUNTIFS('QA Log'!D:D,A43,'QA Log'!M:M,"Data Verification",'QA Log'!L:L,"*Medicine (section 2)*"),
COUNTIFS('QA Log'!D:D,A43,'QA Log'!M:M,"Data Verification",'QA Log'!L:L,"*Lab Testing Availability*"),
COUNTIFS('QA Log'!D:D,A43,'QA Log'!M:M,"Data Verification",'QA Log'!L:L,"*Other than P4P (section 6)*"),
COUNTIFS('QA Log'!D:D,A43,'QA Log'!M:M,"Data Verification",'QA Log'!L:L,"*Hospital Governance*")
))</f>
        <v/>
      </c>
      <c r="AF43" s="102" t="str">
        <f>IF(A43="","",
SUM(
COUNTIFS('QA Log'!D:D,A43,'QA Log'!M:M,"Data Verification",'QA Log'!Z:Z,"Approved",'QA Log'!L:L,"*Medicine (section 2)*"),
COUNTIFS('QA Log'!D:D,A43,'QA Log'!M:M,"Data Verification",'QA Log'!Z:Z,"Approved",'QA Log'!L:L,"*Lab Testing Availability*"),
COUNTIFS('QA Log'!D:D,A43,'QA Log'!M:M,"Data Verification",'QA Log'!Z:Z,"Approved",'QA Log'!L:L,"*Other than P4P (section 6)*"),
COUNTIFS('QA Log'!D:D,A43,'QA Log'!M:M,"Data Verification",'QA Log'!Z:Z,"Approved",'QA Log'!L:L,"*Hospital Governance*")
))</f>
        <v/>
      </c>
      <c r="AG43" s="105" t="str">
        <f>IF(A43&lt;&gt;"",COUNTIFS('QA Log'!D:D,A43,'QA Log'!M:M,"Data Verification",'QA Log'!L:L,"Medicine (section 2)",'QA Log'!Z:Z,"Approved"),"")</f>
        <v/>
      </c>
      <c r="AH43" s="105" t="str">
        <f>IF(A43&lt;&gt;"",COUNTIFS('QA Log'!D:D,A43,'QA Log'!M:M,"Data Verification",'QA Log'!L:L,"Lab Testing Availability",'QA Log'!Z:Z,"Approved"),"")</f>
        <v/>
      </c>
      <c r="AI43" s="105" t="str">
        <f>IF(A43&lt;&gt;"",COUNTIFS('QA Log'!D:D,A43,'QA Log'!M:M,"Data Verification",'QA Log'!L:L,"Other than P4P (section 6)",'QA Log'!Z:Z,"Approved"),"")</f>
        <v/>
      </c>
      <c r="AJ43" s="105" t="str">
        <f>IF(A43&lt;&gt;"",COUNTIFS('QA Log'!D:D,A43,'QA Log'!M:M,"Data Verification",'QA Log'!L:L,"Hospital Governance",'QA Log'!Z:Z,"Approved"),"")</f>
        <v/>
      </c>
      <c r="AK43" s="102" t="str">
        <f>IF(A43="","",
SUM(
COUNTIFS('QA Log'!D:D,A43,'QA Log'!M:M,"Data Verification",'QA Log'!Z:Z,"Rejected",'QA Log'!L:L,"*Medicine (section 2)*"),
COUNTIFS('QA Log'!D:D,A43,'QA Log'!M:M,"Data Verification",'QA Log'!Z:Z,"Rejected",'QA Log'!L:L,"*Lab Testing Availability*"),
COUNTIFS('QA Log'!D:D,A43,'QA Log'!M:M,"Data Verification",'QA Log'!Z:Z,"Rejected",'QA Log'!L:L,"*Other than P4P (section 6)*"),
COUNTIFS('QA Log'!D:D,A43,'QA Log'!M:M,"Data Verification",'QA Log'!Z:Z,"Rejected",'QA Log'!L:L,"*Hospital Governance*")
))</f>
        <v/>
      </c>
      <c r="AL43" s="106" t="str">
        <f t="shared" si="5"/>
        <v/>
      </c>
      <c r="AM43" s="102" t="str">
        <f t="shared" si="6"/>
        <v/>
      </c>
      <c r="AN43" s="102" t="str">
        <f>IF(A43="","",
SUM(
COUNTIFS('QA Log'!D:D,A43,'QA Log'!M:M,"Data Verification",'QA Log'!L:L,"*Personnel (section 1)*"),
COUNTIFS('QA Log'!D:D,A43,'QA Log'!M:M,"Data Verification",'QA Log'!L:L,"*Consumable (section 3)*"),
COUNTIFS('QA Log'!D:D,A43,'QA Log'!M:M,"Data Verification",'QA Log'!L:L,"*Equipments (section 4)*")
))</f>
        <v/>
      </c>
      <c r="AO43" s="102" t="str">
        <f>IF(A43="","",
SUM(
COUNTIFS('QA Log'!D:D,A43,'QA Log'!M:M,"Data Verification",'QA Log'!Z:Z,"Approved",'QA Log'!L:L,"*Personnel (section 1)*"),
COUNTIFS('QA Log'!D:D,A43,'QA Log'!M:M,"Data Verification",'QA Log'!Z:Z,"Approved",'QA Log'!L:L,"*Consumable (section 3)*"),
COUNTIFS('QA Log'!D:D,A43,'QA Log'!M:M,"Data Verification",'QA Log'!Z:Z,"Approved",'QA Log'!L:L,"*Equipments (section 4)*")
))</f>
        <v/>
      </c>
      <c r="AP43" s="105" t="str">
        <f>IF(A43&lt;&gt;"",COUNTIFS('QA Log'!D:D,A43,'QA Log'!M:M,"Data Verification",'QA Log'!L:L,"Personnel (section 1)",'QA Log'!Z:Z,"Approved"),"")</f>
        <v/>
      </c>
      <c r="AQ43" s="105" t="str">
        <f>IF(A43&lt;&gt;"",COUNTIFS('QA Log'!D:D,A43,'QA Log'!M:M,"Data Verification",'QA Log'!L:L,"Consumable (section 3)",'QA Log'!Z:Z,"Approved"),"")</f>
        <v/>
      </c>
      <c r="AR43" s="105" t="str">
        <f>IF(A43&lt;&gt;"",COUNTIFS('QA Log'!D:D,A43,'QA Log'!M:M,"Data Verification",'QA Log'!L:L,"Equipments (section 4)",'QA Log'!Z:Z,"Approved"),"")</f>
        <v/>
      </c>
      <c r="AS43" s="102" t="str">
        <f>IF(A43="","",
SUM(
COUNTIFS('QA Log'!D:D,A43,'QA Log'!M:M,"Data Verification",'QA Log'!Z:Z,"Rejected",'QA Log'!L:L,"*Personnel (section 1)*"),
COUNTIFS('QA Log'!D:D,A43,'QA Log'!M:M,"Data Verification",'QA Log'!Z:Z,"Rejected",'QA Log'!L:L,"*Consumable (section 3)*"),
COUNTIFS('QA Log'!D:D,A43,'QA Log'!M:M,"Data Verification",'QA Log'!Z:Z,"Rejected",'QA Log'!L:L,"*Equipments (section 4)*")
))</f>
        <v/>
      </c>
      <c r="AT43" s="102" t="str">
        <f t="shared" si="7"/>
        <v/>
      </c>
      <c r="AU43" s="103" t="str">
        <f t="shared" si="8"/>
        <v/>
      </c>
      <c r="AV43" s="102" t="str">
        <f>IF(A43="","",SUM(
COUNTIFS('QA Log'!D:D,A43,'QA Log'!M:M,"Vignette",'QA Log'!L:L,"*Vignette [1] Respiratory Infection: Pneumonia*"),
COUNTIFS('QA Log'!D:D,A43,'QA Log'!M:M,"Vignette",'QA Log'!L:L,"*Vignette [2]: Diarrhea with Cat B dehydration*"),
COUNTIFS('QA Log'!D:D,A43,'QA Log'!M:M,"Vignette",'QA Log'!L:L,"*Vignette [3] Growth Monitoring and Promotion*"),
COUNTIFS('QA Log'!D:D,A43,'QA Log'!M:M,"Vignette",'QA Log'!L:L,"*Vignette [4]: The management of presumptive TB patient*")
)
)</f>
        <v/>
      </c>
      <c r="AW43" s="102" t="str">
        <f>IF(
  A43="","",
  SUM(
    COUNTIFS('QA Log'!D:D,A43,'QA Log'!M:M,"Vignette",'QA Log'!Z:Z,"Approved",'QA Log'!L:L,"*Vignette [1] Respiratory Infection: Pneumonia*"),
    COUNTIFS('QA Log'!D:D,A43,'QA Log'!M:M,"Vignette",'QA Log'!Z:Z,"Approved",'QA Log'!L:L,"*Vignette [2]: Diarrhea with Cat B dehydration*"),
    COUNTIFS('QA Log'!D:D,A43,'QA Log'!M:M,"Vignette",'QA Log'!Z:Z,"Approved",'QA Log'!L:L,"*Vignette [3] Growth Monitoring and Promotion*"),
    COUNTIFS('QA Log'!D:D,A43,'QA Log'!M:M,"Vignette",'QA Log'!Z:Z,"Approved",'QA Log'!L:L,"*Vignette [4]: The management of presumptive TB patient*")
  )
)</f>
        <v/>
      </c>
      <c r="AX43" s="105" t="str">
        <f>IF(A43&lt;&gt;"",COUNTIFS('QA Log'!D:D,A43,'QA Log'!M:M,"Vignette",'QA Log'!L:L,"Vignette [1] Respiratory Infection: Pneumonia",'QA Log'!Z:Z,"Approved"),"")</f>
        <v/>
      </c>
      <c r="AY43" s="105" t="str">
        <f>IF(A43&lt;&gt;"",COUNTIFS('QA Log'!D:D,A43,'QA Log'!M:M,"Vignette",'QA Log'!L:L,"Vignette [2]: Diarrhea with Cat B dehydration",'QA Log'!Z:Z,"Approved"),"")</f>
        <v/>
      </c>
      <c r="AZ43" s="105" t="str">
        <f>IF(A43&lt;&gt;"",COUNTIFS('QA Log'!D:D,A43,'QA Log'!M:M,"Vignette",'QA Log'!L:L,"Vignette [3] Growth Monitoring and Promotion",'QA Log'!Z:Z,"Approved"),"")</f>
        <v/>
      </c>
      <c r="BA43" s="105" t="str">
        <f>IF(A43&lt;&gt;"",COUNTIFS('QA Log'!D:D,A43,'QA Log'!M:M,"Vignette",'QA Log'!L:L,"Vignette [4]: The management of presumptive TB patient",'QA Log'!Z:Z,"Approved"),"")</f>
        <v/>
      </c>
      <c r="BB43" s="102" t="str">
        <f>IF(A43="","",
  SUM(
    COUNTIFS('QA Log'!D:D,A43,'QA Log'!M:M,"Vignette",'QA Log'!Z:Z,"Rejected",'QA Log'!L:L,"*Vignette [1] Respiratory Infection: Pneumonia*"),
    COUNTIFS('QA Log'!D:D,A43,'QA Log'!M:M,"Vignette",'QA Log'!Z:Z,"Rejected",'QA Log'!L:L,"*Vignette [2]: Diarrhea with Cat B dehydration*"),
    COUNTIFS('QA Log'!D:D,A43,'QA Log'!M:M,"Vignette",'QA Log'!Z:Z,"Rejected",'QA Log'!L:L,"*Vignette [3] Growth Monitoring and Promotion*"),
    COUNTIFS('QA Log'!D:D,A43,'QA Log'!M:M,"Vignette",'QA Log'!Z:Z,"Rejected",'QA Log'!L:L,"*Vignette [4]: The management of presumptive TB patient*")
  )
)</f>
        <v/>
      </c>
      <c r="BC43" s="107" t="str">
        <f t="shared" si="9"/>
        <v/>
      </c>
      <c r="BD43" s="103" t="str">
        <f t="shared" si="10"/>
        <v/>
      </c>
      <c r="BE43" s="102" t="str">
        <f>IF(A43="","",SUM(
COUNTIFS('QA Log'!D:D,A43,'QA Log'!M:M,"Vignette",'QA Log'!L:L,"*Vignette [5] Labor*"),
COUNTIFS('QA Log'!D:D,A43,'QA Log'!M:M,"Vignette",'QA Log'!L:L,"*Vignette [6] PNC pre Discharge*"),
COUNTIFS('QA Log'!D:D,A43,'QA Log'!M:M,"Vignette",'QA Log'!L:L,"*Vignette [7] First ANC Visit*"),
COUNTIFS('QA Log'!D:D,A43,'QA Log'!M:M,"Vignette",'QA Log'!L:L,"*Vignette [8] Birth Spacing/ Family Planning :  FP Counselling*"),
COUNTIFS('QA Log'!D:D,A43,'QA Log'!M:M,"Vignette",'QA Log'!L:L,"*Vignette [9] Birth Spacing: Change FP method to Injectable*"),
COUNTIFS('QA Log'!D:D,A43,'QA Log'!M:M,"Vignette",'QA Log'!L:L,"*Vignette [10] Post Partum Haemorrhage - Atonic Uterus at Health Centre*"),
)
)</f>
        <v/>
      </c>
      <c r="BF43" s="102" t="str">
        <f>IF(A43="","",
  SUM(
    COUNTIFS('QA Log'!D:D,A43,'QA Log'!M:M,"Vignette",'QA Log'!Z:Z,"Approved",'QA Log'!L:L,"*Vignette [5] Labor*"),
    COUNTIFS('QA Log'!D:D,A43,'QA Log'!M:M,"Vignette",'QA Log'!Z:Z,"Approved",'QA Log'!L:L,"*Vignette [6] PNC pre Discharge*"),
    COUNTIFS('QA Log'!D:D,A43,'QA Log'!M:M,"Vignette",'QA Log'!Z:Z,"Approved",'QA Log'!L:L,"*Vignette [7] First ANC Visit*"),
    COUNTIFS('QA Log'!D:D,A43,'QA Log'!M:M,"Vignette",'QA Log'!Z:Z,"Approved",'QA Log'!L:L,"*Vignette [8] Birth Spacing/ Family Planning :  FP Counselling*"),
    COUNTIFS('QA Log'!D:D,A43,'QA Log'!M:M,"Vignette",'QA Log'!Z:Z,"Approved",'QA Log'!L:L,"*Vignette [9] Birth Spacing: Change FP method to Injectable*"),
    COUNTIFS('QA Log'!D:D,A43,'QA Log'!M:M,"Vignette",'QA Log'!Z:Z,"Approved",'QA Log'!L:L,"*Vignette [10] Post Partum Haemorrhage - Atonic Uterus at Health Centre*")
  )
)</f>
        <v/>
      </c>
      <c r="BG43" s="105" t="str">
        <f>IF(A43&lt;&gt;"",COUNTIFS('QA Log'!D:D,A43,'QA Log'!M:M,"Vignette",'QA Log'!L:L,"Vignette [5] Labor",'QA Log'!Z:Z,"Approved"),"")</f>
        <v/>
      </c>
      <c r="BH43" s="105" t="str">
        <f>IF(A43&lt;&gt;"",COUNTIFS('QA Log'!D:D,A43,'QA Log'!M:M,"Vignette",'QA Log'!L:L,"Vignette [6] PNC pre Discharge",'QA Log'!Z:Z,"Approved"),"")</f>
        <v/>
      </c>
      <c r="BI43" s="105" t="str">
        <f>IF(A43&lt;&gt;"",COUNTIFS('QA Log'!D:D,A43,'QA Log'!M:M,"Vignette",'QA Log'!L:L,"Vignette [7] First ANC Visit",'QA Log'!Z:Z,"Approved"),"")</f>
        <v/>
      </c>
      <c r="BJ43" s="105" t="str">
        <f>IF(A43&lt;&gt;"",COUNTIFS('QA Log'!D:D,A43,'QA Log'!M:M,"Vignette",'QA Log'!L:L,"Vignette [8] Birth Spacing/ Family Planning :  FP Counselling",'QA Log'!Z:Z,"Approved"),"")</f>
        <v/>
      </c>
      <c r="BK43" s="105" t="str">
        <f>IF(A43&lt;&gt;"",COUNTIFS('QA Log'!D:D,A43,'QA Log'!M:M,"Vignette",'QA Log'!L:L,"Vignette [9] Birth Spacing: Change FP method to Injectable",'QA Log'!Z:Z,"Approved"),"")</f>
        <v/>
      </c>
      <c r="BL43" s="105" t="str">
        <f>IF(A43&lt;&gt;"",COUNTIFS('QA Log'!D:D,A43,'QA Log'!M:M,"Vignette",'QA Log'!L:L,"Vignette [10] Post Partum Haemorrhage - Atonic Uterus at Health Centre",'QA Log'!Z:Z,"Approved"),"")</f>
        <v/>
      </c>
      <c r="BM43" s="102" t="str">
        <f>IF(A43="","",SUM(
    COUNTIFS('QA Log'!D:D,A43,'QA Log'!M:M,"Vignette",'QA Log'!Z:Z,"Rejected",'QA Log'!L:L,"*Vignette [5] Labor*"),
    COUNTIFS('QA Log'!D:D,A43,'QA Log'!M:M,"Vignette",'QA Log'!Z:Z,"Rejected",'QA Log'!L:L,"*Vignette [6] PNC pre Discharge*"),
    COUNTIFS('QA Log'!D:D,A43,'QA Log'!M:M,"Vignette",'QA Log'!Z:Z,"Rejected",'QA Log'!L:L,"*Vignette [7] First ANC Visit*"),
    COUNTIFS('QA Log'!D:D,A43,'QA Log'!M:M,"Vignette",'QA Log'!Z:Z,"Rejected",'QA Log'!L:L,"*Vignette [8] Birth Spacing/ Family Planning :  FP Counselling*"),
    COUNTIFS('QA Log'!D:D,A43,'QA Log'!M:M,"Vignette",'QA Log'!Z:Z,"Rejected",'QA Log'!L:L,"*Vignette [9] Birth Spacing: Change FP method to Injectable*"),
    COUNTIFS('QA Log'!D:D,A43,'QA Log'!M:M,"Vignette",'QA Log'!Z:Z,"Rejected",'QA Log'!L:L,"*Vignette [10] Post Partum Haemorrhage - Atonic Uterus at Health Centre*")
  )
)</f>
        <v/>
      </c>
      <c r="BN43" s="107" t="str">
        <f t="shared" si="11"/>
        <v/>
      </c>
      <c r="BO43" s="103" t="str">
        <f t="shared" si="12"/>
        <v/>
      </c>
      <c r="BP43" s="102" t="str">
        <f>IF(A43="","",SUM(
COUNTIFS('QA Log'!D:D,A43,'QA Log'!M:M,"Vignette",'QA Log'!L:L,"*Exit Interview 1*"),
COUNTIFS('QA Log'!D:D,A43,'QA Log'!M:M,"Vignette",'QA Log'!L:L,"*Exit Interview 2*"),
)
)</f>
        <v/>
      </c>
      <c r="BQ43" s="102" t="str">
        <f>IF(
  A43="","",
  SUM(
    COUNTIFS('QA Log'!D:D,A43,'QA Log'!M:M,"Vignette",'QA Log'!Z:Z,"Approved",'QA Log'!L:L,"*Exit Interview 1*"),
    COUNTIFS('QA Log'!D:D,A43,'QA Log'!M:M,"Vignette",'QA Log'!Z:Z,"Approved",'QA Log'!L:L,"*Exit Interview 2*")
  )
)</f>
        <v/>
      </c>
      <c r="BR43" s="105" t="str">
        <f>IF(A43&lt;&gt;"",COUNTIFS('QA Log'!D:D,A43,'QA Log'!M:M,"Vignette",'QA Log'!L:L,"Exit Interview 1",'QA Log'!Z:Z,"Approved"),"")</f>
        <v/>
      </c>
      <c r="BS43" s="105" t="str">
        <f>IF(A43&lt;&gt;"",COUNTIFS('QA Log'!D:D,A43,'QA Log'!M:M,"Vignette",'QA Log'!L:L,"Exit Interview 2",'QA Log'!Z:Z,"Approved"),"")</f>
        <v/>
      </c>
      <c r="BT43" s="102" t="str">
        <f>IF(
  A43="","",
  SUM(
    COUNTIFS('QA Log'!D:D,A43,'QA Log'!M:M,"Vignette",'QA Log'!Z:Z,"Rejected",'QA Log'!L:L,"*Exit Interview 1*"),
    COUNTIFS('QA Log'!D:D,A43,'QA Log'!M:M,"Vignette",'QA Log'!Z:Z,"Rejected",'QA Log'!L:L,"*Exit Interview 2*")
  )
)</f>
        <v/>
      </c>
      <c r="BU43" s="107" t="str">
        <f t="shared" si="13"/>
        <v/>
      </c>
      <c r="BV43" s="102" t="str">
        <f t="shared" si="14"/>
        <v/>
      </c>
      <c r="BW43" s="102" t="str">
        <f t="shared" si="15"/>
        <v/>
      </c>
      <c r="BX43" s="102" t="str">
        <f t="shared" si="16"/>
        <v/>
      </c>
      <c r="BY43" s="102" t="str">
        <f t="shared" si="17"/>
        <v/>
      </c>
      <c r="BZ43" s="107" t="str">
        <f t="shared" si="18"/>
        <v/>
      </c>
      <c r="CA43" s="108" t="str">
        <f t="shared" si="19"/>
        <v/>
      </c>
      <c r="CB43" s="108" t="str">
        <f t="shared" si="20"/>
        <v/>
      </c>
      <c r="CC43" s="109" t="str">
        <f t="shared" si="21"/>
        <v/>
      </c>
      <c r="CD43" s="108" t="str">
        <f t="shared" si="22"/>
        <v/>
      </c>
      <c r="CE43" s="108" t="str">
        <f t="shared" si="23"/>
        <v/>
      </c>
      <c r="CF43" s="109" t="str">
        <f t="shared" si="24"/>
        <v/>
      </c>
      <c r="CG43" s="110" t="str">
        <f t="shared" si="25"/>
        <v/>
      </c>
      <c r="CH43" s="111"/>
    </row>
    <row r="44" spans="1:86" ht="12.75">
      <c r="A44" s="101"/>
      <c r="B44" s="102" t="e">
        <f t="array" aca="1" ref="B44" ca="1">_xludf.XLOOKUP(A44,'QA Log'!D:D,'QA Log'!E:E,"")</f>
        <v>#NAME?</v>
      </c>
      <c r="C44" s="102" t="e">
        <f t="array" aca="1" ref="C44" ca="1">_xludf.XLOOKUP(A44,'QA Log'!D:D,'QA Log'!F:F,"")</f>
        <v>#NAME?</v>
      </c>
      <c r="D44" s="102" t="e">
        <f t="array" aca="1" ref="D44" ca="1">_xludf.XLOOKUP(A44,'QA Log'!D:D,'QA Log'!H:H,"")</f>
        <v>#NAME?</v>
      </c>
      <c r="E44" s="102" t="e">
        <f t="array" aca="1" ref="E44" ca="1">_xludf.XLOOKUP(A44,'QA Log'!D:D,'QA Log'!G:G,"")</f>
        <v>#NAME?</v>
      </c>
      <c r="F44" s="103"/>
      <c r="G44" s="104"/>
      <c r="H44" s="104"/>
      <c r="I44" s="103" t="str">
        <f t="shared" si="0"/>
        <v/>
      </c>
      <c r="J44" s="102" t="str">
        <f>IF(A44="","",SUM(
COUNTIFS('QA Log'!D:D,A44,'QA Log'!M:M,"QQC",'QA Log'!L:L,"*1. General Management*"),
COUNTIFS('QA Log'!D:D,A44,'QA Log'!M:M,"QQC",'QA Log'!L:L,"*3. Curative Consultation (OPD)*"),
COUNTIFS('QA Log'!D:D,A44,'QA Log'!M:M,"QQC",'QA Log'!L:L,"*5. Laboratory*"),
COUNTIFS('QA Log'!D:D,A44,'QA Log'!M:M,"QQC",'QA Log'!L:L,"*6. Essential Medicine Management*"),
COUNTIFS('QA Log'!D:D,A44,'QA Log'!M:M,"QQC",'QA Log'!L:L,"*7. Tracer Medicine*"),
COUNTIFS('QA Log'!D:D,A44,'QA Log'!M:M,"QQC",'QA Log'!L:L,"*11. Additional Questions*")))</f>
        <v/>
      </c>
      <c r="K44" s="102" t="str">
        <f>IF(A44="","",SUM(
COUNTIFS('QA Log'!D:D,A44,'QA Log'!M:M,"QQC",'QA Log'!Z:Z,"Approved",'QA Log'!L:L,"*1. General Management*"),
COUNTIFS('QA Log'!D:D,A44,'QA Log'!M:M,"QQC",'QA Log'!Z:Z,"Approved",'QA Log'!L:L,"*3. Curative Consultation (OPD)*"),
COUNTIFS('QA Log'!D:D,A44,'QA Log'!M:M,"QQC",'QA Log'!Z:Z,"Approved",'QA Log'!L:L,"*5. Laboratory*"),
COUNTIFS('QA Log'!D:D,A44,'QA Log'!M:M,"QQC",'QA Log'!Z:Z,"Approved",'QA Log'!L:L,"*6. Essential Medicine Management*"),
COUNTIFS('QA Log'!D:D,A44,'QA Log'!M:M,"QQC",'QA Log'!Z:Z,"Approved",'QA Log'!L:L,"*7. Tracer Medicine*"),
COUNTIFS('QA Log'!D:D,A44,'QA Log'!M:M,"QQC",'QA Log'!Z:Z,"Approved",'QA Log'!L:L,"*11. Additional Questions*")))</f>
        <v/>
      </c>
      <c r="L44" s="105" t="str">
        <f>IF(A44&lt;&gt;"",COUNTIFS('QA Log'!D:D,A44,'QA Log'!M:M,"QQC",'QA Log'!L:L,"1. General Management",'QA Log'!Z:Z,"Approved"),"")</f>
        <v/>
      </c>
      <c r="M44" s="105" t="str">
        <f>IF(A44&lt;&gt;"",COUNTIFS('QA Log'!D:D,A44,'QA Log'!M:M,"QQC",'QA Log'!L:L,"3. Curative Consultation (OPD)",'QA Log'!Z:Z,"Approved"),"")</f>
        <v/>
      </c>
      <c r="N44" s="105" t="str">
        <f>IF(A44&lt;&gt;"",COUNTIFS('QA Log'!D:D,A44,'QA Log'!M:M,"QQC",'QA Log'!L:L,"5. Laboratory",'QA Log'!Z:Z,"Approved"),"")</f>
        <v/>
      </c>
      <c r="O44" s="105" t="str">
        <f>IF(A44&lt;&gt;"",COUNTIFS('QA Log'!D:D,A44,'QA Log'!M:M,"QQC",'QA Log'!L:L,"6. Essential Medicine Management",'QA Log'!Z:Z,"Approved"),"")</f>
        <v/>
      </c>
      <c r="P44" s="105" t="str">
        <f>IF(A44&lt;&gt;"",COUNTIFS('QA Log'!D:D,A44,'QA Log'!M:M,"QQC",'QA Log'!L:L,"7. Tracer Medicine",'QA Log'!Z:Z,"Approved"),"")</f>
        <v/>
      </c>
      <c r="Q44" s="105" t="str">
        <f>IF(A44&lt;&gt;"",COUNTIFS('QA Log'!D:D,A44,'QA Log'!M:M,"QQC",'QA Log'!L:L,"11. Additional Questions",'QA Log'!Z:Z,"Approved"),"")</f>
        <v/>
      </c>
      <c r="R44" s="102" t="str">
        <f>IF(A44="","",SUM(
COUNTIFS('QA Log'!D:D,A44,'QA Log'!M:M,"QQC",'QA Log'!Z:Z,"Rejected",'QA Log'!L:L,"*8. Maternity*"),
COUNTIFS('QA Log'!D:D,A44,'QA Log'!M:M,"QQC",'QA Log'!Z:Z,"Rejected",'QA Log'!L:L,"*EPI*"),
COUNTIFS('QA Log'!D:D,A44,'QA Log'!M:M,"QQC",'QA Log'!Z:Z,"Rejected",'QA Log'!L:L,"*10. Antenatal Care (ANC)*"),
COUNTIFS('QA Log'!D:D,A44,'QA Log'!M:M,"QQC",'QA Log'!Z:Z,"Rejected",'QA Log'!L:L,"*2. Hygiene and Sterilization*"),
COUNTIFS('QA Log'!D:D,A44,'QA Log'!M:M,"QQC",'QA Log'!Z:Z,"Rejected",'QA Log'!L:L,"*Family Planning*")))</f>
        <v/>
      </c>
      <c r="S44" s="106" t="str">
        <f t="shared" si="1"/>
        <v/>
      </c>
      <c r="T44" s="102" t="str">
        <f t="shared" si="2"/>
        <v/>
      </c>
      <c r="U44" s="102" t="str">
        <f>IF(A44="","",
SUM(
COUNTIFS('QA Log'!D:D,A44,'QA Log'!M:M,"QQC",'QA Log'!L:L,"*8. Maternity*"),
COUNTIFS('QA Log'!D:D,A44,'QA Log'!M:M,"QQC",'QA Log'!L:L,"*9. EPI and Pre-school Consultation*"),
COUNTIFS('QA Log'!D:D,A44,'QA Log'!M:M,"QQC",'QA Log'!L:L,"*10. Antenatal Care (ANC)*"),
COUNTIFS('QA Log'!D:D,A44,'QA Log'!M:M,"QQC",'QA Log'!L:L,"*2. Hygiene and Sterilization*"),
COUNTIFS('QA Log'!D:D,A44,'QA Log'!M:M,"QQC",'QA Log'!L:L,"*4. Family Planning*")
))</f>
        <v/>
      </c>
      <c r="V44" s="102" t="str">
        <f>IF(A44="","",
SUM(
COUNTIFS('QA Log'!D:D,A44,'QA Log'!M:M,"QQC",'QA Log'!Z:Z,"Approved",'QA Log'!L:L,"*8. Maternity*"),
COUNTIFS('QA Log'!D:D,A44,'QA Log'!M:M,"QQC",'QA Log'!Z:Z,"Approved",'QA Log'!L:L,"*9. EPI and Pre-school Consultation*"),
COUNTIFS('QA Log'!D:D,A44,'QA Log'!M:M,"QQC",'QA Log'!Z:Z,"Approved",'QA Log'!L:L,"*10. Antenatal Care (ANC)*"),
COUNTIFS('QA Log'!D:D,A44,'QA Log'!M:M,"QQC",'QA Log'!Z:Z,"Approved",'QA Log'!L:L,"*2. Hygiene and Sterilization*"),
COUNTIFS('QA Log'!D:D,A44,'QA Log'!M:M,"QQC",'QA Log'!Z:Z,"Approved",'QA Log'!L:L,"*4. Family Planning*")
))</f>
        <v/>
      </c>
      <c r="W44" s="105" t="str">
        <f>IF(A44&lt;&gt;"",COUNTIFS('QA Log'!D:D,A44,'QA Log'!M:M,"QQC",'QA Log'!L:L,"8. Maternity",'QA Log'!Z:Z,"Approved"),"")</f>
        <v/>
      </c>
      <c r="X44" s="105" t="str">
        <f>IF(A44&lt;&gt;"",COUNTIFS('QA Log'!D:D,A44,'QA Log'!M:M,"QQC",'QA Log'!L:L,"9. EPI and Pre-school Consultation",'QA Log'!Z:Z,"Approved"),"")</f>
        <v/>
      </c>
      <c r="Y44" s="105" t="str">
        <f>IF(A44&lt;&gt;"",COUNTIFS('QA Log'!D:D,A44,'QA Log'!M:M,"QQC",'QA Log'!L:L,"10. Antenatal Care (ANC)",'QA Log'!Z:Z,"Approved"),"")</f>
        <v/>
      </c>
      <c r="Z44" s="105" t="str">
        <f>IF(A44&lt;&gt;"",COUNTIFS('QA Log'!D:D,A44,'QA Log'!M:M,"QQC",'QA Log'!L:L,"2. Hygiene and Sterilization",'QA Log'!Z:Z,"Approved"),"")</f>
        <v/>
      </c>
      <c r="AA44" s="105" t="str">
        <f>IF(A44&lt;&gt;"",COUNTIFS('QA Log'!D:D,A44,'QA Log'!M:M,"QQC",'QA Log'!L:L,"4. Family Planning",'QA Log'!Z:Z,"Approved"),"")</f>
        <v/>
      </c>
      <c r="AB44" s="102" t="str">
        <f>IF(A44="","",
SUM(
COUNTIFS('QA Log'!D:D,A44,'QA Log'!M:M,"QQC",'QA Log'!Z:Z,"Rejected",'QA Log'!L:L,"*8. Maternity*"),
COUNTIFS('QA Log'!D:D,A44,'QA Log'!M:M,"QQC",'QA Log'!Z:Z,"Rejected",'QA Log'!L:L,"*9. EPI and Pre-school Consultation*"),
COUNTIFS('QA Log'!D:D,A44,'QA Log'!M:M,"QQC",'QA Log'!Z:Z,"Rejected",'QA Log'!L:L,"*10. Antenatal Care (ANC)*"),
COUNTIFS('QA Log'!D:D,A44,'QA Log'!M:M,"QQC",'QA Log'!Z:Z,"Rejected",'QA Log'!L:L,"*2. Hygiene and Sterilization*"),
COUNTIFS('QA Log'!D:D,A44,'QA Log'!M:M,"QQC",'QA Log'!Z:Z,"Rejected",'QA Log'!L:L,"*4. Family Planning*")
))</f>
        <v/>
      </c>
      <c r="AC44" s="102" t="str">
        <f t="shared" si="3"/>
        <v/>
      </c>
      <c r="AD44" s="103" t="str">
        <f t="shared" si="4"/>
        <v/>
      </c>
      <c r="AE44" s="102" t="str">
        <f>IF(A44="","",
SUM(
COUNTIFS('QA Log'!D:D,A44,'QA Log'!M:M,"Data Verification",'QA Log'!L:L,"*Medicine (section 2)*"),
COUNTIFS('QA Log'!D:D,A44,'QA Log'!M:M,"Data Verification",'QA Log'!L:L,"*Lab Testing Availability*"),
COUNTIFS('QA Log'!D:D,A44,'QA Log'!M:M,"Data Verification",'QA Log'!L:L,"*Other than P4P (section 6)*"),
COUNTIFS('QA Log'!D:D,A44,'QA Log'!M:M,"Data Verification",'QA Log'!L:L,"*Hospital Governance*")
))</f>
        <v/>
      </c>
      <c r="AF44" s="102" t="str">
        <f>IF(A44="","",
SUM(
COUNTIFS('QA Log'!D:D,A44,'QA Log'!M:M,"Data Verification",'QA Log'!Z:Z,"Approved",'QA Log'!L:L,"*Medicine (section 2)*"),
COUNTIFS('QA Log'!D:D,A44,'QA Log'!M:M,"Data Verification",'QA Log'!Z:Z,"Approved",'QA Log'!L:L,"*Lab Testing Availability*"),
COUNTIFS('QA Log'!D:D,A44,'QA Log'!M:M,"Data Verification",'QA Log'!Z:Z,"Approved",'QA Log'!L:L,"*Other than P4P (section 6)*"),
COUNTIFS('QA Log'!D:D,A44,'QA Log'!M:M,"Data Verification",'QA Log'!Z:Z,"Approved",'QA Log'!L:L,"*Hospital Governance*")
))</f>
        <v/>
      </c>
      <c r="AG44" s="105" t="str">
        <f>IF(A44&lt;&gt;"",COUNTIFS('QA Log'!D:D,A44,'QA Log'!M:M,"Data Verification",'QA Log'!L:L,"Medicine (section 2)",'QA Log'!Z:Z,"Approved"),"")</f>
        <v/>
      </c>
      <c r="AH44" s="105" t="str">
        <f>IF(A44&lt;&gt;"",COUNTIFS('QA Log'!D:D,A44,'QA Log'!M:M,"Data Verification",'QA Log'!L:L,"Lab Testing Availability",'QA Log'!Z:Z,"Approved"),"")</f>
        <v/>
      </c>
      <c r="AI44" s="105" t="str">
        <f>IF(A44&lt;&gt;"",COUNTIFS('QA Log'!D:D,A44,'QA Log'!M:M,"Data Verification",'QA Log'!L:L,"Other than P4P (section 6)",'QA Log'!Z:Z,"Approved"),"")</f>
        <v/>
      </c>
      <c r="AJ44" s="105" t="str">
        <f>IF(A44&lt;&gt;"",COUNTIFS('QA Log'!D:D,A44,'QA Log'!M:M,"Data Verification",'QA Log'!L:L,"Hospital Governance",'QA Log'!Z:Z,"Approved"),"")</f>
        <v/>
      </c>
      <c r="AK44" s="102" t="str">
        <f>IF(A44="","",
SUM(
COUNTIFS('QA Log'!D:D,A44,'QA Log'!M:M,"Data Verification",'QA Log'!Z:Z,"Rejected",'QA Log'!L:L,"*Medicine (section 2)*"),
COUNTIFS('QA Log'!D:D,A44,'QA Log'!M:M,"Data Verification",'QA Log'!Z:Z,"Rejected",'QA Log'!L:L,"*Lab Testing Availability*"),
COUNTIFS('QA Log'!D:D,A44,'QA Log'!M:M,"Data Verification",'QA Log'!Z:Z,"Rejected",'QA Log'!L:L,"*Other than P4P (section 6)*"),
COUNTIFS('QA Log'!D:D,A44,'QA Log'!M:M,"Data Verification",'QA Log'!Z:Z,"Rejected",'QA Log'!L:L,"*Hospital Governance*")
))</f>
        <v/>
      </c>
      <c r="AL44" s="106" t="str">
        <f t="shared" si="5"/>
        <v/>
      </c>
      <c r="AM44" s="102" t="str">
        <f t="shared" si="6"/>
        <v/>
      </c>
      <c r="AN44" s="102" t="str">
        <f>IF(A44="","",
SUM(
COUNTIFS('QA Log'!D:D,A44,'QA Log'!M:M,"Data Verification",'QA Log'!L:L,"*Personnel (section 1)*"),
COUNTIFS('QA Log'!D:D,A44,'QA Log'!M:M,"Data Verification",'QA Log'!L:L,"*Consumable (section 3)*"),
COUNTIFS('QA Log'!D:D,A44,'QA Log'!M:M,"Data Verification",'QA Log'!L:L,"*Equipments (section 4)*")
))</f>
        <v/>
      </c>
      <c r="AO44" s="102" t="str">
        <f>IF(A44="","",
SUM(
COUNTIFS('QA Log'!D:D,A44,'QA Log'!M:M,"Data Verification",'QA Log'!Z:Z,"Approved",'QA Log'!L:L,"*Personnel (section 1)*"),
COUNTIFS('QA Log'!D:D,A44,'QA Log'!M:M,"Data Verification",'QA Log'!Z:Z,"Approved",'QA Log'!L:L,"*Consumable (section 3)*"),
COUNTIFS('QA Log'!D:D,A44,'QA Log'!M:M,"Data Verification",'QA Log'!Z:Z,"Approved",'QA Log'!L:L,"*Equipments (section 4)*")
))</f>
        <v/>
      </c>
      <c r="AP44" s="105" t="str">
        <f>IF(A44&lt;&gt;"",COUNTIFS('QA Log'!D:D,A44,'QA Log'!M:M,"Data Verification",'QA Log'!L:L,"Personnel (section 1)",'QA Log'!Z:Z,"Approved"),"")</f>
        <v/>
      </c>
      <c r="AQ44" s="105" t="str">
        <f>IF(A44&lt;&gt;"",COUNTIFS('QA Log'!D:D,A44,'QA Log'!M:M,"Data Verification",'QA Log'!L:L,"Consumable (section 3)",'QA Log'!Z:Z,"Approved"),"")</f>
        <v/>
      </c>
      <c r="AR44" s="105" t="str">
        <f>IF(A44&lt;&gt;"",COUNTIFS('QA Log'!D:D,A44,'QA Log'!M:M,"Data Verification",'QA Log'!L:L,"Equipments (section 4)",'QA Log'!Z:Z,"Approved"),"")</f>
        <v/>
      </c>
      <c r="AS44" s="102" t="str">
        <f>IF(A44="","",
SUM(
COUNTIFS('QA Log'!D:D,A44,'QA Log'!M:M,"Data Verification",'QA Log'!Z:Z,"Rejected",'QA Log'!L:L,"*Personnel (section 1)*"),
COUNTIFS('QA Log'!D:D,A44,'QA Log'!M:M,"Data Verification",'QA Log'!Z:Z,"Rejected",'QA Log'!L:L,"*Consumable (section 3)*"),
COUNTIFS('QA Log'!D:D,A44,'QA Log'!M:M,"Data Verification",'QA Log'!Z:Z,"Rejected",'QA Log'!L:L,"*Equipments (section 4)*")
))</f>
        <v/>
      </c>
      <c r="AT44" s="102" t="str">
        <f t="shared" si="7"/>
        <v/>
      </c>
      <c r="AU44" s="103" t="str">
        <f t="shared" si="8"/>
        <v/>
      </c>
      <c r="AV44" s="102" t="str">
        <f>IF(A44="","",SUM(
COUNTIFS('QA Log'!D:D,A44,'QA Log'!M:M,"Vignette",'QA Log'!L:L,"*Vignette [1] Respiratory Infection: Pneumonia*"),
COUNTIFS('QA Log'!D:D,A44,'QA Log'!M:M,"Vignette",'QA Log'!L:L,"*Vignette [2]: Diarrhea with Cat B dehydration*"),
COUNTIFS('QA Log'!D:D,A44,'QA Log'!M:M,"Vignette",'QA Log'!L:L,"*Vignette [3] Growth Monitoring and Promotion*"),
COUNTIFS('QA Log'!D:D,A44,'QA Log'!M:M,"Vignette",'QA Log'!L:L,"*Vignette [4]: The management of presumptive TB patient*")
)
)</f>
        <v/>
      </c>
      <c r="AW44" s="102" t="str">
        <f>IF(
  A44="","",
  SUM(
    COUNTIFS('QA Log'!D:D,A44,'QA Log'!M:M,"Vignette",'QA Log'!Z:Z,"Approved",'QA Log'!L:L,"*Vignette [1] Respiratory Infection: Pneumonia*"),
    COUNTIFS('QA Log'!D:D,A44,'QA Log'!M:M,"Vignette",'QA Log'!Z:Z,"Approved",'QA Log'!L:L,"*Vignette [2]: Diarrhea with Cat B dehydration*"),
    COUNTIFS('QA Log'!D:D,A44,'QA Log'!M:M,"Vignette",'QA Log'!Z:Z,"Approved",'QA Log'!L:L,"*Vignette [3] Growth Monitoring and Promotion*"),
    COUNTIFS('QA Log'!D:D,A44,'QA Log'!M:M,"Vignette",'QA Log'!Z:Z,"Approved",'QA Log'!L:L,"*Vignette [4]: The management of presumptive TB patient*")
  )
)</f>
        <v/>
      </c>
      <c r="AX44" s="105" t="str">
        <f>IF(A44&lt;&gt;"",COUNTIFS('QA Log'!D:D,A44,'QA Log'!M:M,"Vignette",'QA Log'!L:L,"Vignette [1] Respiratory Infection: Pneumonia",'QA Log'!Z:Z,"Approved"),"")</f>
        <v/>
      </c>
      <c r="AY44" s="105" t="str">
        <f>IF(A44&lt;&gt;"",COUNTIFS('QA Log'!D:D,A44,'QA Log'!M:M,"Vignette",'QA Log'!L:L,"Vignette [2]: Diarrhea with Cat B dehydration",'QA Log'!Z:Z,"Approved"),"")</f>
        <v/>
      </c>
      <c r="AZ44" s="105" t="str">
        <f>IF(A44&lt;&gt;"",COUNTIFS('QA Log'!D:D,A44,'QA Log'!M:M,"Vignette",'QA Log'!L:L,"Vignette [3] Growth Monitoring and Promotion",'QA Log'!Z:Z,"Approved"),"")</f>
        <v/>
      </c>
      <c r="BA44" s="105" t="str">
        <f>IF(A44&lt;&gt;"",COUNTIFS('QA Log'!D:D,A44,'QA Log'!M:M,"Vignette",'QA Log'!L:L,"Vignette [4]: The management of presumptive TB patient",'QA Log'!Z:Z,"Approved"),"")</f>
        <v/>
      </c>
      <c r="BB44" s="102" t="str">
        <f>IF(A44="","",
  SUM(
    COUNTIFS('QA Log'!D:D,A44,'QA Log'!M:M,"Vignette",'QA Log'!Z:Z,"Rejected",'QA Log'!L:L,"*Vignette [1] Respiratory Infection: Pneumonia*"),
    COUNTIFS('QA Log'!D:D,A44,'QA Log'!M:M,"Vignette",'QA Log'!Z:Z,"Rejected",'QA Log'!L:L,"*Vignette [2]: Diarrhea with Cat B dehydration*"),
    COUNTIFS('QA Log'!D:D,A44,'QA Log'!M:M,"Vignette",'QA Log'!Z:Z,"Rejected",'QA Log'!L:L,"*Vignette [3] Growth Monitoring and Promotion*"),
    COUNTIFS('QA Log'!D:D,A44,'QA Log'!M:M,"Vignette",'QA Log'!Z:Z,"Rejected",'QA Log'!L:L,"*Vignette [4]: The management of presumptive TB patient*")
  )
)</f>
        <v/>
      </c>
      <c r="BC44" s="107" t="str">
        <f t="shared" si="9"/>
        <v/>
      </c>
      <c r="BD44" s="103" t="str">
        <f t="shared" si="10"/>
        <v/>
      </c>
      <c r="BE44" s="102" t="str">
        <f>IF(A44="","",SUM(
COUNTIFS('QA Log'!D:D,A44,'QA Log'!M:M,"Vignette",'QA Log'!L:L,"*Vignette [5] Labor*"),
COUNTIFS('QA Log'!D:D,A44,'QA Log'!M:M,"Vignette",'QA Log'!L:L,"*Vignette [6] PNC pre Discharge*"),
COUNTIFS('QA Log'!D:D,A44,'QA Log'!M:M,"Vignette",'QA Log'!L:L,"*Vignette [7] First ANC Visit*"),
COUNTIFS('QA Log'!D:D,A44,'QA Log'!M:M,"Vignette",'QA Log'!L:L,"*Vignette [8] Birth Spacing/ Family Planning :  FP Counselling*"),
COUNTIFS('QA Log'!D:D,A44,'QA Log'!M:M,"Vignette",'QA Log'!L:L,"*Vignette [9] Birth Spacing: Change FP method to Injectable*"),
COUNTIFS('QA Log'!D:D,A44,'QA Log'!M:M,"Vignette",'QA Log'!L:L,"*Vignette [10] Post Partum Haemorrhage - Atonic Uterus at Health Centre*"),
)
)</f>
        <v/>
      </c>
      <c r="BF44" s="102" t="str">
        <f>IF(A44="","",
  SUM(
    COUNTIFS('QA Log'!D:D,A44,'QA Log'!M:M,"Vignette",'QA Log'!Z:Z,"Approved",'QA Log'!L:L,"*Vignette [5] Labor*"),
    COUNTIFS('QA Log'!D:D,A44,'QA Log'!M:M,"Vignette",'QA Log'!Z:Z,"Approved",'QA Log'!L:L,"*Vignette [6] PNC pre Discharge*"),
    COUNTIFS('QA Log'!D:D,A44,'QA Log'!M:M,"Vignette",'QA Log'!Z:Z,"Approved",'QA Log'!L:L,"*Vignette [7] First ANC Visit*"),
    COUNTIFS('QA Log'!D:D,A44,'QA Log'!M:M,"Vignette",'QA Log'!Z:Z,"Approved",'QA Log'!L:L,"*Vignette [8] Birth Spacing/ Family Planning :  FP Counselling*"),
    COUNTIFS('QA Log'!D:D,A44,'QA Log'!M:M,"Vignette",'QA Log'!Z:Z,"Approved",'QA Log'!L:L,"*Vignette [9] Birth Spacing: Change FP method to Injectable*"),
    COUNTIFS('QA Log'!D:D,A44,'QA Log'!M:M,"Vignette",'QA Log'!Z:Z,"Approved",'QA Log'!L:L,"*Vignette [10] Post Partum Haemorrhage - Atonic Uterus at Health Centre*")
  )
)</f>
        <v/>
      </c>
      <c r="BG44" s="105" t="str">
        <f>IF(A44&lt;&gt;"",COUNTIFS('QA Log'!D:D,A44,'QA Log'!M:M,"Vignette",'QA Log'!L:L,"Vignette [5] Labor",'QA Log'!Z:Z,"Approved"),"")</f>
        <v/>
      </c>
      <c r="BH44" s="105" t="str">
        <f>IF(A44&lt;&gt;"",COUNTIFS('QA Log'!D:D,A44,'QA Log'!M:M,"Vignette",'QA Log'!L:L,"Vignette [6] PNC pre Discharge",'QA Log'!Z:Z,"Approved"),"")</f>
        <v/>
      </c>
      <c r="BI44" s="105" t="str">
        <f>IF(A44&lt;&gt;"",COUNTIFS('QA Log'!D:D,A44,'QA Log'!M:M,"Vignette",'QA Log'!L:L,"Vignette [7] First ANC Visit",'QA Log'!Z:Z,"Approved"),"")</f>
        <v/>
      </c>
      <c r="BJ44" s="105" t="str">
        <f>IF(A44&lt;&gt;"",COUNTIFS('QA Log'!D:D,A44,'QA Log'!M:M,"Vignette",'QA Log'!L:L,"Vignette [8] Birth Spacing/ Family Planning :  FP Counselling",'QA Log'!Z:Z,"Approved"),"")</f>
        <v/>
      </c>
      <c r="BK44" s="105" t="str">
        <f>IF(A44&lt;&gt;"",COUNTIFS('QA Log'!D:D,A44,'QA Log'!M:M,"Vignette",'QA Log'!L:L,"Vignette [9] Birth Spacing: Change FP method to Injectable",'QA Log'!Z:Z,"Approved"),"")</f>
        <v/>
      </c>
      <c r="BL44" s="105" t="str">
        <f>IF(A44&lt;&gt;"",COUNTIFS('QA Log'!D:D,A44,'QA Log'!M:M,"Vignette",'QA Log'!L:L,"Vignette [10] Post Partum Haemorrhage - Atonic Uterus at Health Centre",'QA Log'!Z:Z,"Approved"),"")</f>
        <v/>
      </c>
      <c r="BM44" s="102" t="str">
        <f>IF(A44="","",SUM(
    COUNTIFS('QA Log'!D:D,A44,'QA Log'!M:M,"Vignette",'QA Log'!Z:Z,"Rejected",'QA Log'!L:L,"*Vignette [5] Labor*"),
    COUNTIFS('QA Log'!D:D,A44,'QA Log'!M:M,"Vignette",'QA Log'!Z:Z,"Rejected",'QA Log'!L:L,"*Vignette [6] PNC pre Discharge*"),
    COUNTIFS('QA Log'!D:D,A44,'QA Log'!M:M,"Vignette",'QA Log'!Z:Z,"Rejected",'QA Log'!L:L,"*Vignette [7] First ANC Visit*"),
    COUNTIFS('QA Log'!D:D,A44,'QA Log'!M:M,"Vignette",'QA Log'!Z:Z,"Rejected",'QA Log'!L:L,"*Vignette [8] Birth Spacing/ Family Planning :  FP Counselling*"),
    COUNTIFS('QA Log'!D:D,A44,'QA Log'!M:M,"Vignette",'QA Log'!Z:Z,"Rejected",'QA Log'!L:L,"*Vignette [9] Birth Spacing: Change FP method to Injectable*"),
    COUNTIFS('QA Log'!D:D,A44,'QA Log'!M:M,"Vignette",'QA Log'!Z:Z,"Rejected",'QA Log'!L:L,"*Vignette [10] Post Partum Haemorrhage - Atonic Uterus at Health Centre*")
  )
)</f>
        <v/>
      </c>
      <c r="BN44" s="107" t="str">
        <f t="shared" si="11"/>
        <v/>
      </c>
      <c r="BO44" s="103" t="str">
        <f t="shared" si="12"/>
        <v/>
      </c>
      <c r="BP44" s="102" t="str">
        <f>IF(A44="","",SUM(
COUNTIFS('QA Log'!D:D,A44,'QA Log'!M:M,"Vignette",'QA Log'!L:L,"*Exit Interview 1*"),
COUNTIFS('QA Log'!D:D,A44,'QA Log'!M:M,"Vignette",'QA Log'!L:L,"*Exit Interview 2*"),
)
)</f>
        <v/>
      </c>
      <c r="BQ44" s="102" t="str">
        <f>IF(
  A44="","",
  SUM(
    COUNTIFS('QA Log'!D:D,A44,'QA Log'!M:M,"Vignette",'QA Log'!Z:Z,"Approved",'QA Log'!L:L,"*Exit Interview 1*"),
    COUNTIFS('QA Log'!D:D,A44,'QA Log'!M:M,"Vignette",'QA Log'!Z:Z,"Approved",'QA Log'!L:L,"*Exit Interview 2*")
  )
)</f>
        <v/>
      </c>
      <c r="BR44" s="105" t="str">
        <f>IF(A44&lt;&gt;"",COUNTIFS('QA Log'!D:D,A44,'QA Log'!M:M,"Vignette",'QA Log'!L:L,"Exit Interview 1",'QA Log'!Z:Z,"Approved"),"")</f>
        <v/>
      </c>
      <c r="BS44" s="105" t="str">
        <f>IF(A44&lt;&gt;"",COUNTIFS('QA Log'!D:D,A44,'QA Log'!M:M,"Vignette",'QA Log'!L:L,"Exit Interview 2",'QA Log'!Z:Z,"Approved"),"")</f>
        <v/>
      </c>
      <c r="BT44" s="102" t="str">
        <f>IF(
  A44="","",
  SUM(
    COUNTIFS('QA Log'!D:D,A44,'QA Log'!M:M,"Vignette",'QA Log'!Z:Z,"Rejected",'QA Log'!L:L,"*Exit Interview 1*"),
    COUNTIFS('QA Log'!D:D,A44,'QA Log'!M:M,"Vignette",'QA Log'!Z:Z,"Rejected",'QA Log'!L:L,"*Exit Interview 2*")
  )
)</f>
        <v/>
      </c>
      <c r="BU44" s="107" t="str">
        <f t="shared" si="13"/>
        <v/>
      </c>
      <c r="BV44" s="102" t="str">
        <f t="shared" si="14"/>
        <v/>
      </c>
      <c r="BW44" s="102" t="str">
        <f t="shared" si="15"/>
        <v/>
      </c>
      <c r="BX44" s="102" t="str">
        <f t="shared" si="16"/>
        <v/>
      </c>
      <c r="BY44" s="102" t="str">
        <f t="shared" si="17"/>
        <v/>
      </c>
      <c r="BZ44" s="107" t="str">
        <f t="shared" si="18"/>
        <v/>
      </c>
      <c r="CA44" s="108" t="str">
        <f t="shared" si="19"/>
        <v/>
      </c>
      <c r="CB44" s="108" t="str">
        <f t="shared" si="20"/>
        <v/>
      </c>
      <c r="CC44" s="109" t="str">
        <f t="shared" si="21"/>
        <v/>
      </c>
      <c r="CD44" s="108" t="str">
        <f t="shared" si="22"/>
        <v/>
      </c>
      <c r="CE44" s="108" t="str">
        <f t="shared" si="23"/>
        <v/>
      </c>
      <c r="CF44" s="109" t="str">
        <f t="shared" si="24"/>
        <v/>
      </c>
      <c r="CG44" s="110" t="str">
        <f t="shared" si="25"/>
        <v/>
      </c>
      <c r="CH44" s="111"/>
    </row>
    <row r="45" spans="1:86" ht="12.75">
      <c r="A45" s="101"/>
      <c r="B45" s="102" t="e">
        <f t="array" aca="1" ref="B45" ca="1">_xludf.XLOOKUP(A45,'QA Log'!D:D,'QA Log'!E:E,"")</f>
        <v>#NAME?</v>
      </c>
      <c r="C45" s="102" t="e">
        <f t="array" aca="1" ref="C45" ca="1">_xludf.XLOOKUP(A45,'QA Log'!D:D,'QA Log'!F:F,"")</f>
        <v>#NAME?</v>
      </c>
      <c r="D45" s="102" t="e">
        <f t="array" aca="1" ref="D45" ca="1">_xludf.XLOOKUP(A45,'QA Log'!D:D,'QA Log'!H:H,"")</f>
        <v>#NAME?</v>
      </c>
      <c r="E45" s="102" t="e">
        <f t="array" aca="1" ref="E45" ca="1">_xludf.XLOOKUP(A45,'QA Log'!D:D,'QA Log'!G:G,"")</f>
        <v>#NAME?</v>
      </c>
      <c r="F45" s="103"/>
      <c r="G45" s="104"/>
      <c r="H45" s="104"/>
      <c r="I45" s="103" t="str">
        <f t="shared" si="0"/>
        <v/>
      </c>
      <c r="J45" s="102" t="str">
        <f>IF(A45="","",SUM(
COUNTIFS('QA Log'!D:D,A45,'QA Log'!M:M,"QQC",'QA Log'!L:L,"*1. General Management*"),
COUNTIFS('QA Log'!D:D,A45,'QA Log'!M:M,"QQC",'QA Log'!L:L,"*3. Curative Consultation (OPD)*"),
COUNTIFS('QA Log'!D:D,A45,'QA Log'!M:M,"QQC",'QA Log'!L:L,"*5. Laboratory*"),
COUNTIFS('QA Log'!D:D,A45,'QA Log'!M:M,"QQC",'QA Log'!L:L,"*6. Essential Medicine Management*"),
COUNTIFS('QA Log'!D:D,A45,'QA Log'!M:M,"QQC",'QA Log'!L:L,"*7. Tracer Medicine*"),
COUNTIFS('QA Log'!D:D,A45,'QA Log'!M:M,"QQC",'QA Log'!L:L,"*11. Additional Questions*")))</f>
        <v/>
      </c>
      <c r="K45" s="102" t="str">
        <f>IF(A45="","",SUM(
COUNTIFS('QA Log'!D:D,A45,'QA Log'!M:M,"QQC",'QA Log'!Z:Z,"Approved",'QA Log'!L:L,"*1. General Management*"),
COUNTIFS('QA Log'!D:D,A45,'QA Log'!M:M,"QQC",'QA Log'!Z:Z,"Approved",'QA Log'!L:L,"*3. Curative Consultation (OPD)*"),
COUNTIFS('QA Log'!D:D,A45,'QA Log'!M:M,"QQC",'QA Log'!Z:Z,"Approved",'QA Log'!L:L,"*5. Laboratory*"),
COUNTIFS('QA Log'!D:D,A45,'QA Log'!M:M,"QQC",'QA Log'!Z:Z,"Approved",'QA Log'!L:L,"*6. Essential Medicine Management*"),
COUNTIFS('QA Log'!D:D,A45,'QA Log'!M:M,"QQC",'QA Log'!Z:Z,"Approved",'QA Log'!L:L,"*7. Tracer Medicine*"),
COUNTIFS('QA Log'!D:D,A45,'QA Log'!M:M,"QQC",'QA Log'!Z:Z,"Approved",'QA Log'!L:L,"*11. Additional Questions*")))</f>
        <v/>
      </c>
      <c r="L45" s="105" t="str">
        <f>IF(A45&lt;&gt;"",COUNTIFS('QA Log'!D:D,A45,'QA Log'!M:M,"QQC",'QA Log'!L:L,"1. General Management",'QA Log'!Z:Z,"Approved"),"")</f>
        <v/>
      </c>
      <c r="M45" s="105" t="str">
        <f>IF(A45&lt;&gt;"",COUNTIFS('QA Log'!D:D,A45,'QA Log'!M:M,"QQC",'QA Log'!L:L,"3. Curative Consultation (OPD)",'QA Log'!Z:Z,"Approved"),"")</f>
        <v/>
      </c>
      <c r="N45" s="105" t="str">
        <f>IF(A45&lt;&gt;"",COUNTIFS('QA Log'!D:D,A45,'QA Log'!M:M,"QQC",'QA Log'!L:L,"5. Laboratory",'QA Log'!Z:Z,"Approved"),"")</f>
        <v/>
      </c>
      <c r="O45" s="105" t="str">
        <f>IF(A45&lt;&gt;"",COUNTIFS('QA Log'!D:D,A45,'QA Log'!M:M,"QQC",'QA Log'!L:L,"6. Essential Medicine Management",'QA Log'!Z:Z,"Approved"),"")</f>
        <v/>
      </c>
      <c r="P45" s="105" t="str">
        <f>IF(A45&lt;&gt;"",COUNTIFS('QA Log'!D:D,A45,'QA Log'!M:M,"QQC",'QA Log'!L:L,"7. Tracer Medicine",'QA Log'!Z:Z,"Approved"),"")</f>
        <v/>
      </c>
      <c r="Q45" s="105" t="str">
        <f>IF(A45&lt;&gt;"",COUNTIFS('QA Log'!D:D,A45,'QA Log'!M:M,"QQC",'QA Log'!L:L,"11. Additional Questions",'QA Log'!Z:Z,"Approved"),"")</f>
        <v/>
      </c>
      <c r="R45" s="102" t="str">
        <f>IF(A45="","",SUM(
COUNTIFS('QA Log'!D:D,A45,'QA Log'!M:M,"QQC",'QA Log'!Z:Z,"Rejected",'QA Log'!L:L,"*8. Maternity*"),
COUNTIFS('QA Log'!D:D,A45,'QA Log'!M:M,"QQC",'QA Log'!Z:Z,"Rejected",'QA Log'!L:L,"*EPI*"),
COUNTIFS('QA Log'!D:D,A45,'QA Log'!M:M,"QQC",'QA Log'!Z:Z,"Rejected",'QA Log'!L:L,"*10. Antenatal Care (ANC)*"),
COUNTIFS('QA Log'!D:D,A45,'QA Log'!M:M,"QQC",'QA Log'!Z:Z,"Rejected",'QA Log'!L:L,"*2. Hygiene and Sterilization*"),
COUNTIFS('QA Log'!D:D,A45,'QA Log'!M:M,"QQC",'QA Log'!Z:Z,"Rejected",'QA Log'!L:L,"*Family Planning*")))</f>
        <v/>
      </c>
      <c r="S45" s="106" t="str">
        <f t="shared" si="1"/>
        <v/>
      </c>
      <c r="T45" s="102" t="str">
        <f t="shared" si="2"/>
        <v/>
      </c>
      <c r="U45" s="102" t="str">
        <f>IF(A45="","",
SUM(
COUNTIFS('QA Log'!D:D,A45,'QA Log'!M:M,"QQC",'QA Log'!L:L,"*8. Maternity*"),
COUNTIFS('QA Log'!D:D,A45,'QA Log'!M:M,"QQC",'QA Log'!L:L,"*9. EPI and Pre-school Consultation*"),
COUNTIFS('QA Log'!D:D,A45,'QA Log'!M:M,"QQC",'QA Log'!L:L,"*10. Antenatal Care (ANC)*"),
COUNTIFS('QA Log'!D:D,A45,'QA Log'!M:M,"QQC",'QA Log'!L:L,"*2. Hygiene and Sterilization*"),
COUNTIFS('QA Log'!D:D,A45,'QA Log'!M:M,"QQC",'QA Log'!L:L,"*4. Family Planning*")
))</f>
        <v/>
      </c>
      <c r="V45" s="102" t="str">
        <f>IF(A45="","",
SUM(
COUNTIFS('QA Log'!D:D,A45,'QA Log'!M:M,"QQC",'QA Log'!Z:Z,"Approved",'QA Log'!L:L,"*8. Maternity*"),
COUNTIFS('QA Log'!D:D,A45,'QA Log'!M:M,"QQC",'QA Log'!Z:Z,"Approved",'QA Log'!L:L,"*9. EPI and Pre-school Consultation*"),
COUNTIFS('QA Log'!D:D,A45,'QA Log'!M:M,"QQC",'QA Log'!Z:Z,"Approved",'QA Log'!L:L,"*10. Antenatal Care (ANC)*"),
COUNTIFS('QA Log'!D:D,A45,'QA Log'!M:M,"QQC",'QA Log'!Z:Z,"Approved",'QA Log'!L:L,"*2. Hygiene and Sterilization*"),
COUNTIFS('QA Log'!D:D,A45,'QA Log'!M:M,"QQC",'QA Log'!Z:Z,"Approved",'QA Log'!L:L,"*4. Family Planning*")
))</f>
        <v/>
      </c>
      <c r="W45" s="105" t="str">
        <f>IF(A45&lt;&gt;"",COUNTIFS('QA Log'!D:D,A45,'QA Log'!M:M,"QQC",'QA Log'!L:L,"8. Maternity",'QA Log'!Z:Z,"Approved"),"")</f>
        <v/>
      </c>
      <c r="X45" s="105" t="str">
        <f>IF(A45&lt;&gt;"",COUNTIFS('QA Log'!D:D,A45,'QA Log'!M:M,"QQC",'QA Log'!L:L,"9. EPI and Pre-school Consultation",'QA Log'!Z:Z,"Approved"),"")</f>
        <v/>
      </c>
      <c r="Y45" s="105" t="str">
        <f>IF(A45&lt;&gt;"",COUNTIFS('QA Log'!D:D,A45,'QA Log'!M:M,"QQC",'QA Log'!L:L,"10. Antenatal Care (ANC)",'QA Log'!Z:Z,"Approved"),"")</f>
        <v/>
      </c>
      <c r="Z45" s="105" t="str">
        <f>IF(A45&lt;&gt;"",COUNTIFS('QA Log'!D:D,A45,'QA Log'!M:M,"QQC",'QA Log'!L:L,"2. Hygiene and Sterilization",'QA Log'!Z:Z,"Approved"),"")</f>
        <v/>
      </c>
      <c r="AA45" s="105" t="str">
        <f>IF(A45&lt;&gt;"",COUNTIFS('QA Log'!D:D,A45,'QA Log'!M:M,"QQC",'QA Log'!L:L,"4. Family Planning",'QA Log'!Z:Z,"Approved"),"")</f>
        <v/>
      </c>
      <c r="AB45" s="102" t="str">
        <f>IF(A45="","",
SUM(
COUNTIFS('QA Log'!D:D,A45,'QA Log'!M:M,"QQC",'QA Log'!Z:Z,"Rejected",'QA Log'!L:L,"*8. Maternity*"),
COUNTIFS('QA Log'!D:D,A45,'QA Log'!M:M,"QQC",'QA Log'!Z:Z,"Rejected",'QA Log'!L:L,"*9. EPI and Pre-school Consultation*"),
COUNTIFS('QA Log'!D:D,A45,'QA Log'!M:M,"QQC",'QA Log'!Z:Z,"Rejected",'QA Log'!L:L,"*10. Antenatal Care (ANC)*"),
COUNTIFS('QA Log'!D:D,A45,'QA Log'!M:M,"QQC",'QA Log'!Z:Z,"Rejected",'QA Log'!L:L,"*2. Hygiene and Sterilization*"),
COUNTIFS('QA Log'!D:D,A45,'QA Log'!M:M,"QQC",'QA Log'!Z:Z,"Rejected",'QA Log'!L:L,"*4. Family Planning*")
))</f>
        <v/>
      </c>
      <c r="AC45" s="102" t="str">
        <f t="shared" si="3"/>
        <v/>
      </c>
      <c r="AD45" s="103" t="str">
        <f t="shared" si="4"/>
        <v/>
      </c>
      <c r="AE45" s="102" t="str">
        <f>IF(A45="","",
SUM(
COUNTIFS('QA Log'!D:D,A45,'QA Log'!M:M,"Data Verification",'QA Log'!L:L,"*Medicine (section 2)*"),
COUNTIFS('QA Log'!D:D,A45,'QA Log'!M:M,"Data Verification",'QA Log'!L:L,"*Lab Testing Availability*"),
COUNTIFS('QA Log'!D:D,A45,'QA Log'!M:M,"Data Verification",'QA Log'!L:L,"*Other than P4P (section 6)*"),
COUNTIFS('QA Log'!D:D,A45,'QA Log'!M:M,"Data Verification",'QA Log'!L:L,"*Hospital Governance*")
))</f>
        <v/>
      </c>
      <c r="AF45" s="102" t="str">
        <f>IF(A45="","",
SUM(
COUNTIFS('QA Log'!D:D,A45,'QA Log'!M:M,"Data Verification",'QA Log'!Z:Z,"Approved",'QA Log'!L:L,"*Medicine (section 2)*"),
COUNTIFS('QA Log'!D:D,A45,'QA Log'!M:M,"Data Verification",'QA Log'!Z:Z,"Approved",'QA Log'!L:L,"*Lab Testing Availability*"),
COUNTIFS('QA Log'!D:D,A45,'QA Log'!M:M,"Data Verification",'QA Log'!Z:Z,"Approved",'QA Log'!L:L,"*Other than P4P (section 6)*"),
COUNTIFS('QA Log'!D:D,A45,'QA Log'!M:M,"Data Verification",'QA Log'!Z:Z,"Approved",'QA Log'!L:L,"*Hospital Governance*")
))</f>
        <v/>
      </c>
      <c r="AG45" s="105" t="str">
        <f>IF(A45&lt;&gt;"",COUNTIFS('QA Log'!D:D,A45,'QA Log'!M:M,"Data Verification",'QA Log'!L:L,"Medicine (section 2)",'QA Log'!Z:Z,"Approved"),"")</f>
        <v/>
      </c>
      <c r="AH45" s="105" t="str">
        <f>IF(A45&lt;&gt;"",COUNTIFS('QA Log'!D:D,A45,'QA Log'!M:M,"Data Verification",'QA Log'!L:L,"Lab Testing Availability",'QA Log'!Z:Z,"Approved"),"")</f>
        <v/>
      </c>
      <c r="AI45" s="105" t="str">
        <f>IF(A45&lt;&gt;"",COUNTIFS('QA Log'!D:D,A45,'QA Log'!M:M,"Data Verification",'QA Log'!L:L,"Other than P4P (section 6)",'QA Log'!Z:Z,"Approved"),"")</f>
        <v/>
      </c>
      <c r="AJ45" s="105" t="str">
        <f>IF(A45&lt;&gt;"",COUNTIFS('QA Log'!D:D,A45,'QA Log'!M:M,"Data Verification",'QA Log'!L:L,"Hospital Governance",'QA Log'!Z:Z,"Approved"),"")</f>
        <v/>
      </c>
      <c r="AK45" s="102" t="str">
        <f>IF(A45="","",
SUM(
COUNTIFS('QA Log'!D:D,A45,'QA Log'!M:M,"Data Verification",'QA Log'!Z:Z,"Rejected",'QA Log'!L:L,"*Medicine (section 2)*"),
COUNTIFS('QA Log'!D:D,A45,'QA Log'!M:M,"Data Verification",'QA Log'!Z:Z,"Rejected",'QA Log'!L:L,"*Lab Testing Availability*"),
COUNTIFS('QA Log'!D:D,A45,'QA Log'!M:M,"Data Verification",'QA Log'!Z:Z,"Rejected",'QA Log'!L:L,"*Other than P4P (section 6)*"),
COUNTIFS('QA Log'!D:D,A45,'QA Log'!M:M,"Data Verification",'QA Log'!Z:Z,"Rejected",'QA Log'!L:L,"*Hospital Governance*")
))</f>
        <v/>
      </c>
      <c r="AL45" s="106" t="str">
        <f t="shared" si="5"/>
        <v/>
      </c>
      <c r="AM45" s="102" t="str">
        <f t="shared" si="6"/>
        <v/>
      </c>
      <c r="AN45" s="102" t="str">
        <f>IF(A45="","",
SUM(
COUNTIFS('QA Log'!D:D,A45,'QA Log'!M:M,"Data Verification",'QA Log'!L:L,"*Personnel (section 1)*"),
COUNTIFS('QA Log'!D:D,A45,'QA Log'!M:M,"Data Verification",'QA Log'!L:L,"*Consumable (section 3)*"),
COUNTIFS('QA Log'!D:D,A45,'QA Log'!M:M,"Data Verification",'QA Log'!L:L,"*Equipments (section 4)*")
))</f>
        <v/>
      </c>
      <c r="AO45" s="102" t="str">
        <f>IF(A45="","",
SUM(
COUNTIFS('QA Log'!D:D,A45,'QA Log'!M:M,"Data Verification",'QA Log'!Z:Z,"Approved",'QA Log'!L:L,"*Personnel (section 1)*"),
COUNTIFS('QA Log'!D:D,A45,'QA Log'!M:M,"Data Verification",'QA Log'!Z:Z,"Approved",'QA Log'!L:L,"*Consumable (section 3)*"),
COUNTIFS('QA Log'!D:D,A45,'QA Log'!M:M,"Data Verification",'QA Log'!Z:Z,"Approved",'QA Log'!L:L,"*Equipments (section 4)*")
))</f>
        <v/>
      </c>
      <c r="AP45" s="105" t="str">
        <f>IF(A45&lt;&gt;"",COUNTIFS('QA Log'!D:D,A45,'QA Log'!M:M,"Data Verification",'QA Log'!L:L,"Personnel (section 1)",'QA Log'!Z:Z,"Approved"),"")</f>
        <v/>
      </c>
      <c r="AQ45" s="105" t="str">
        <f>IF(A45&lt;&gt;"",COUNTIFS('QA Log'!D:D,A45,'QA Log'!M:M,"Data Verification",'QA Log'!L:L,"Consumable (section 3)",'QA Log'!Z:Z,"Approved"),"")</f>
        <v/>
      </c>
      <c r="AR45" s="105" t="str">
        <f>IF(A45&lt;&gt;"",COUNTIFS('QA Log'!D:D,A45,'QA Log'!M:M,"Data Verification",'QA Log'!L:L,"Equipments (section 4)",'QA Log'!Z:Z,"Approved"),"")</f>
        <v/>
      </c>
      <c r="AS45" s="102" t="str">
        <f>IF(A45="","",
SUM(
COUNTIFS('QA Log'!D:D,A45,'QA Log'!M:M,"Data Verification",'QA Log'!Z:Z,"Rejected",'QA Log'!L:L,"*Personnel (section 1)*"),
COUNTIFS('QA Log'!D:D,A45,'QA Log'!M:M,"Data Verification",'QA Log'!Z:Z,"Rejected",'QA Log'!L:L,"*Consumable (section 3)*"),
COUNTIFS('QA Log'!D:D,A45,'QA Log'!M:M,"Data Verification",'QA Log'!Z:Z,"Rejected",'QA Log'!L:L,"*Equipments (section 4)*")
))</f>
        <v/>
      </c>
      <c r="AT45" s="102" t="str">
        <f t="shared" si="7"/>
        <v/>
      </c>
      <c r="AU45" s="103" t="str">
        <f t="shared" si="8"/>
        <v/>
      </c>
      <c r="AV45" s="102" t="str">
        <f>IF(A45="","",SUM(
COUNTIFS('QA Log'!D:D,A45,'QA Log'!M:M,"Vignette",'QA Log'!L:L,"*Vignette [1] Respiratory Infection: Pneumonia*"),
COUNTIFS('QA Log'!D:D,A45,'QA Log'!M:M,"Vignette",'QA Log'!L:L,"*Vignette [2]: Diarrhea with Cat B dehydration*"),
COUNTIFS('QA Log'!D:D,A45,'QA Log'!M:M,"Vignette",'QA Log'!L:L,"*Vignette [3] Growth Monitoring and Promotion*"),
COUNTIFS('QA Log'!D:D,A45,'QA Log'!M:M,"Vignette",'QA Log'!L:L,"*Vignette [4]: The management of presumptive TB patient*")
)
)</f>
        <v/>
      </c>
      <c r="AW45" s="102" t="str">
        <f>IF(
  A45="","",
  SUM(
    COUNTIFS('QA Log'!D:D,A45,'QA Log'!M:M,"Vignette",'QA Log'!Z:Z,"Approved",'QA Log'!L:L,"*Vignette [1] Respiratory Infection: Pneumonia*"),
    COUNTIFS('QA Log'!D:D,A45,'QA Log'!M:M,"Vignette",'QA Log'!Z:Z,"Approved",'QA Log'!L:L,"*Vignette [2]: Diarrhea with Cat B dehydration*"),
    COUNTIFS('QA Log'!D:D,A45,'QA Log'!M:M,"Vignette",'QA Log'!Z:Z,"Approved",'QA Log'!L:L,"*Vignette [3] Growth Monitoring and Promotion*"),
    COUNTIFS('QA Log'!D:D,A45,'QA Log'!M:M,"Vignette",'QA Log'!Z:Z,"Approved",'QA Log'!L:L,"*Vignette [4]: The management of presumptive TB patient*")
  )
)</f>
        <v/>
      </c>
      <c r="AX45" s="105" t="str">
        <f>IF(A45&lt;&gt;"",COUNTIFS('QA Log'!D:D,A45,'QA Log'!M:M,"Vignette",'QA Log'!L:L,"Vignette [1] Respiratory Infection: Pneumonia",'QA Log'!Z:Z,"Approved"),"")</f>
        <v/>
      </c>
      <c r="AY45" s="105" t="str">
        <f>IF(A45&lt;&gt;"",COUNTIFS('QA Log'!D:D,A45,'QA Log'!M:M,"Vignette",'QA Log'!L:L,"Vignette [2]: Diarrhea with Cat B dehydration",'QA Log'!Z:Z,"Approved"),"")</f>
        <v/>
      </c>
      <c r="AZ45" s="105" t="str">
        <f>IF(A45&lt;&gt;"",COUNTIFS('QA Log'!D:D,A45,'QA Log'!M:M,"Vignette",'QA Log'!L:L,"Vignette [3] Growth Monitoring and Promotion",'QA Log'!Z:Z,"Approved"),"")</f>
        <v/>
      </c>
      <c r="BA45" s="105" t="str">
        <f>IF(A45&lt;&gt;"",COUNTIFS('QA Log'!D:D,A45,'QA Log'!M:M,"Vignette",'QA Log'!L:L,"Vignette [4]: The management of presumptive TB patient",'QA Log'!Z:Z,"Approved"),"")</f>
        <v/>
      </c>
      <c r="BB45" s="102" t="str">
        <f>IF(A45="","",
  SUM(
    COUNTIFS('QA Log'!D:D,A45,'QA Log'!M:M,"Vignette",'QA Log'!Z:Z,"Rejected",'QA Log'!L:L,"*Vignette [1] Respiratory Infection: Pneumonia*"),
    COUNTIFS('QA Log'!D:D,A45,'QA Log'!M:M,"Vignette",'QA Log'!Z:Z,"Rejected",'QA Log'!L:L,"*Vignette [2]: Diarrhea with Cat B dehydration*"),
    COUNTIFS('QA Log'!D:D,A45,'QA Log'!M:M,"Vignette",'QA Log'!Z:Z,"Rejected",'QA Log'!L:L,"*Vignette [3] Growth Monitoring and Promotion*"),
    COUNTIFS('QA Log'!D:D,A45,'QA Log'!M:M,"Vignette",'QA Log'!Z:Z,"Rejected",'QA Log'!L:L,"*Vignette [4]: The management of presumptive TB patient*")
  )
)</f>
        <v/>
      </c>
      <c r="BC45" s="107" t="str">
        <f t="shared" si="9"/>
        <v/>
      </c>
      <c r="BD45" s="103" t="str">
        <f t="shared" si="10"/>
        <v/>
      </c>
      <c r="BE45" s="102" t="str">
        <f>IF(A45="","",SUM(
COUNTIFS('QA Log'!D:D,A45,'QA Log'!M:M,"Vignette",'QA Log'!L:L,"*Vignette [5] Labor*"),
COUNTIFS('QA Log'!D:D,A45,'QA Log'!M:M,"Vignette",'QA Log'!L:L,"*Vignette [6] PNC pre Discharge*"),
COUNTIFS('QA Log'!D:D,A45,'QA Log'!M:M,"Vignette",'QA Log'!L:L,"*Vignette [7] First ANC Visit*"),
COUNTIFS('QA Log'!D:D,A45,'QA Log'!M:M,"Vignette",'QA Log'!L:L,"*Vignette [8] Birth Spacing/ Family Planning :  FP Counselling*"),
COUNTIFS('QA Log'!D:D,A45,'QA Log'!M:M,"Vignette",'QA Log'!L:L,"*Vignette [9] Birth Spacing: Change FP method to Injectable*"),
COUNTIFS('QA Log'!D:D,A45,'QA Log'!M:M,"Vignette",'QA Log'!L:L,"*Vignette [10] Post Partum Haemorrhage - Atonic Uterus at Health Centre*"),
)
)</f>
        <v/>
      </c>
      <c r="BF45" s="102" t="str">
        <f>IF(A45="","",
  SUM(
    COUNTIFS('QA Log'!D:D,A45,'QA Log'!M:M,"Vignette",'QA Log'!Z:Z,"Approved",'QA Log'!L:L,"*Vignette [5] Labor*"),
    COUNTIFS('QA Log'!D:D,A45,'QA Log'!M:M,"Vignette",'QA Log'!Z:Z,"Approved",'QA Log'!L:L,"*Vignette [6] PNC pre Discharge*"),
    COUNTIFS('QA Log'!D:D,A45,'QA Log'!M:M,"Vignette",'QA Log'!Z:Z,"Approved",'QA Log'!L:L,"*Vignette [7] First ANC Visit*"),
    COUNTIFS('QA Log'!D:D,A45,'QA Log'!M:M,"Vignette",'QA Log'!Z:Z,"Approved",'QA Log'!L:L,"*Vignette [8] Birth Spacing/ Family Planning :  FP Counselling*"),
    COUNTIFS('QA Log'!D:D,A45,'QA Log'!M:M,"Vignette",'QA Log'!Z:Z,"Approved",'QA Log'!L:L,"*Vignette [9] Birth Spacing: Change FP method to Injectable*"),
    COUNTIFS('QA Log'!D:D,A45,'QA Log'!M:M,"Vignette",'QA Log'!Z:Z,"Approved",'QA Log'!L:L,"*Vignette [10] Post Partum Haemorrhage - Atonic Uterus at Health Centre*")
  )
)</f>
        <v/>
      </c>
      <c r="BG45" s="105" t="str">
        <f>IF(A45&lt;&gt;"",COUNTIFS('QA Log'!D:D,A45,'QA Log'!M:M,"Vignette",'QA Log'!L:L,"Vignette [5] Labor",'QA Log'!Z:Z,"Approved"),"")</f>
        <v/>
      </c>
      <c r="BH45" s="105" t="str">
        <f>IF(A45&lt;&gt;"",COUNTIFS('QA Log'!D:D,A45,'QA Log'!M:M,"Vignette",'QA Log'!L:L,"Vignette [6] PNC pre Discharge",'QA Log'!Z:Z,"Approved"),"")</f>
        <v/>
      </c>
      <c r="BI45" s="105" t="str">
        <f>IF(A45&lt;&gt;"",COUNTIFS('QA Log'!D:D,A45,'QA Log'!M:M,"Vignette",'QA Log'!L:L,"Vignette [7] First ANC Visit",'QA Log'!Z:Z,"Approved"),"")</f>
        <v/>
      </c>
      <c r="BJ45" s="105" t="str">
        <f>IF(A45&lt;&gt;"",COUNTIFS('QA Log'!D:D,A45,'QA Log'!M:M,"Vignette",'QA Log'!L:L,"Vignette [8] Birth Spacing/ Family Planning :  FP Counselling",'QA Log'!Z:Z,"Approved"),"")</f>
        <v/>
      </c>
      <c r="BK45" s="105" t="str">
        <f>IF(A45&lt;&gt;"",COUNTIFS('QA Log'!D:D,A45,'QA Log'!M:M,"Vignette",'QA Log'!L:L,"Vignette [9] Birth Spacing: Change FP method to Injectable",'QA Log'!Z:Z,"Approved"),"")</f>
        <v/>
      </c>
      <c r="BL45" s="105" t="str">
        <f>IF(A45&lt;&gt;"",COUNTIFS('QA Log'!D:D,A45,'QA Log'!M:M,"Vignette",'QA Log'!L:L,"Vignette [10] Post Partum Haemorrhage - Atonic Uterus at Health Centre",'QA Log'!Z:Z,"Approved"),"")</f>
        <v/>
      </c>
      <c r="BM45" s="102" t="str">
        <f>IF(A45="","",SUM(
    COUNTIFS('QA Log'!D:D,A45,'QA Log'!M:M,"Vignette",'QA Log'!Z:Z,"Rejected",'QA Log'!L:L,"*Vignette [5] Labor*"),
    COUNTIFS('QA Log'!D:D,A45,'QA Log'!M:M,"Vignette",'QA Log'!Z:Z,"Rejected",'QA Log'!L:L,"*Vignette [6] PNC pre Discharge*"),
    COUNTIFS('QA Log'!D:D,A45,'QA Log'!M:M,"Vignette",'QA Log'!Z:Z,"Rejected",'QA Log'!L:L,"*Vignette [7] First ANC Visit*"),
    COUNTIFS('QA Log'!D:D,A45,'QA Log'!M:M,"Vignette",'QA Log'!Z:Z,"Rejected",'QA Log'!L:L,"*Vignette [8] Birth Spacing/ Family Planning :  FP Counselling*"),
    COUNTIFS('QA Log'!D:D,A45,'QA Log'!M:M,"Vignette",'QA Log'!Z:Z,"Rejected",'QA Log'!L:L,"*Vignette [9] Birth Spacing: Change FP method to Injectable*"),
    COUNTIFS('QA Log'!D:D,A45,'QA Log'!M:M,"Vignette",'QA Log'!Z:Z,"Rejected",'QA Log'!L:L,"*Vignette [10] Post Partum Haemorrhage - Atonic Uterus at Health Centre*")
  )
)</f>
        <v/>
      </c>
      <c r="BN45" s="107" t="str">
        <f t="shared" si="11"/>
        <v/>
      </c>
      <c r="BO45" s="103" t="str">
        <f t="shared" si="12"/>
        <v/>
      </c>
      <c r="BP45" s="102" t="str">
        <f>IF(A45="","",SUM(
COUNTIFS('QA Log'!D:D,A45,'QA Log'!M:M,"Vignette",'QA Log'!L:L,"*Exit Interview 1*"),
COUNTIFS('QA Log'!D:D,A45,'QA Log'!M:M,"Vignette",'QA Log'!L:L,"*Exit Interview 2*"),
)
)</f>
        <v/>
      </c>
      <c r="BQ45" s="102" t="str">
        <f>IF(
  A45="","",
  SUM(
    COUNTIFS('QA Log'!D:D,A45,'QA Log'!M:M,"Vignette",'QA Log'!Z:Z,"Approved",'QA Log'!L:L,"*Exit Interview 1*"),
    COUNTIFS('QA Log'!D:D,A45,'QA Log'!M:M,"Vignette",'QA Log'!Z:Z,"Approved",'QA Log'!L:L,"*Exit Interview 2*")
  )
)</f>
        <v/>
      </c>
      <c r="BR45" s="105" t="str">
        <f>IF(A45&lt;&gt;"",COUNTIFS('QA Log'!D:D,A45,'QA Log'!M:M,"Vignette",'QA Log'!L:L,"Exit Interview 1",'QA Log'!Z:Z,"Approved"),"")</f>
        <v/>
      </c>
      <c r="BS45" s="105" t="str">
        <f>IF(A45&lt;&gt;"",COUNTIFS('QA Log'!D:D,A45,'QA Log'!M:M,"Vignette",'QA Log'!L:L,"Exit Interview 2",'QA Log'!Z:Z,"Approved"),"")</f>
        <v/>
      </c>
      <c r="BT45" s="102" t="str">
        <f>IF(
  A45="","",
  SUM(
    COUNTIFS('QA Log'!D:D,A45,'QA Log'!M:M,"Vignette",'QA Log'!Z:Z,"Rejected",'QA Log'!L:L,"*Exit Interview 1*"),
    COUNTIFS('QA Log'!D:D,A45,'QA Log'!M:M,"Vignette",'QA Log'!Z:Z,"Rejected",'QA Log'!L:L,"*Exit Interview 2*")
  )
)</f>
        <v/>
      </c>
      <c r="BU45" s="107" t="str">
        <f t="shared" si="13"/>
        <v/>
      </c>
      <c r="BV45" s="102" t="str">
        <f t="shared" si="14"/>
        <v/>
      </c>
      <c r="BW45" s="102" t="str">
        <f t="shared" si="15"/>
        <v/>
      </c>
      <c r="BX45" s="102" t="str">
        <f t="shared" si="16"/>
        <v/>
      </c>
      <c r="BY45" s="102" t="str">
        <f t="shared" si="17"/>
        <v/>
      </c>
      <c r="BZ45" s="107" t="str">
        <f t="shared" si="18"/>
        <v/>
      </c>
      <c r="CA45" s="108" t="str">
        <f t="shared" si="19"/>
        <v/>
      </c>
      <c r="CB45" s="108" t="str">
        <f t="shared" si="20"/>
        <v/>
      </c>
      <c r="CC45" s="109" t="str">
        <f t="shared" si="21"/>
        <v/>
      </c>
      <c r="CD45" s="108" t="str">
        <f t="shared" si="22"/>
        <v/>
      </c>
      <c r="CE45" s="108" t="str">
        <f t="shared" si="23"/>
        <v/>
      </c>
      <c r="CF45" s="109" t="str">
        <f t="shared" si="24"/>
        <v/>
      </c>
      <c r="CG45" s="110" t="str">
        <f t="shared" si="25"/>
        <v/>
      </c>
      <c r="CH45" s="111"/>
    </row>
    <row r="46" spans="1:86" ht="12.75">
      <c r="A46" s="101"/>
      <c r="B46" s="102" t="e">
        <f t="array" aca="1" ref="B46" ca="1">_xludf.XLOOKUP(A46,'QA Log'!D:D,'QA Log'!E:E,"")</f>
        <v>#NAME?</v>
      </c>
      <c r="C46" s="102" t="e">
        <f t="array" aca="1" ref="C46" ca="1">_xludf.XLOOKUP(A46,'QA Log'!D:D,'QA Log'!F:F,"")</f>
        <v>#NAME?</v>
      </c>
      <c r="D46" s="102" t="e">
        <f t="array" aca="1" ref="D46" ca="1">_xludf.XLOOKUP(A46,'QA Log'!D:D,'QA Log'!H:H,"")</f>
        <v>#NAME?</v>
      </c>
      <c r="E46" s="102" t="e">
        <f t="array" aca="1" ref="E46" ca="1">_xludf.XLOOKUP(A46,'QA Log'!D:D,'QA Log'!G:G,"")</f>
        <v>#NAME?</v>
      </c>
      <c r="F46" s="103"/>
      <c r="G46" s="104"/>
      <c r="H46" s="104"/>
      <c r="I46" s="103" t="str">
        <f t="shared" si="0"/>
        <v/>
      </c>
      <c r="J46" s="102" t="str">
        <f>IF(A46="","",SUM(
COUNTIFS('QA Log'!D:D,A46,'QA Log'!M:M,"QQC",'QA Log'!L:L,"*1. General Management*"),
COUNTIFS('QA Log'!D:D,A46,'QA Log'!M:M,"QQC",'QA Log'!L:L,"*3. Curative Consultation (OPD)*"),
COUNTIFS('QA Log'!D:D,A46,'QA Log'!M:M,"QQC",'QA Log'!L:L,"*5. Laboratory*"),
COUNTIFS('QA Log'!D:D,A46,'QA Log'!M:M,"QQC",'QA Log'!L:L,"*6. Essential Medicine Management*"),
COUNTIFS('QA Log'!D:D,A46,'QA Log'!M:M,"QQC",'QA Log'!L:L,"*7. Tracer Medicine*"),
COUNTIFS('QA Log'!D:D,A46,'QA Log'!M:M,"QQC",'QA Log'!L:L,"*11. Additional Questions*")))</f>
        <v/>
      </c>
      <c r="K46" s="102" t="str">
        <f>IF(A46="","",SUM(
COUNTIFS('QA Log'!D:D,A46,'QA Log'!M:M,"QQC",'QA Log'!Z:Z,"Approved",'QA Log'!L:L,"*1. General Management*"),
COUNTIFS('QA Log'!D:D,A46,'QA Log'!M:M,"QQC",'QA Log'!Z:Z,"Approved",'QA Log'!L:L,"*3. Curative Consultation (OPD)*"),
COUNTIFS('QA Log'!D:D,A46,'QA Log'!M:M,"QQC",'QA Log'!Z:Z,"Approved",'QA Log'!L:L,"*5. Laboratory*"),
COUNTIFS('QA Log'!D:D,A46,'QA Log'!M:M,"QQC",'QA Log'!Z:Z,"Approved",'QA Log'!L:L,"*6. Essential Medicine Management*"),
COUNTIFS('QA Log'!D:D,A46,'QA Log'!M:M,"QQC",'QA Log'!Z:Z,"Approved",'QA Log'!L:L,"*7. Tracer Medicine*"),
COUNTIFS('QA Log'!D:D,A46,'QA Log'!M:M,"QQC",'QA Log'!Z:Z,"Approved",'QA Log'!L:L,"*11. Additional Questions*")))</f>
        <v/>
      </c>
      <c r="L46" s="105" t="str">
        <f>IF(A46&lt;&gt;"",COUNTIFS('QA Log'!D:D,A46,'QA Log'!M:M,"QQC",'QA Log'!L:L,"1. General Management",'QA Log'!Z:Z,"Approved"),"")</f>
        <v/>
      </c>
      <c r="M46" s="105" t="str">
        <f>IF(A46&lt;&gt;"",COUNTIFS('QA Log'!D:D,A46,'QA Log'!M:M,"QQC",'QA Log'!L:L,"3. Curative Consultation (OPD)",'QA Log'!Z:Z,"Approved"),"")</f>
        <v/>
      </c>
      <c r="N46" s="105" t="str">
        <f>IF(A46&lt;&gt;"",COUNTIFS('QA Log'!D:D,A46,'QA Log'!M:M,"QQC",'QA Log'!L:L,"5. Laboratory",'QA Log'!Z:Z,"Approved"),"")</f>
        <v/>
      </c>
      <c r="O46" s="105" t="str">
        <f>IF(A46&lt;&gt;"",COUNTIFS('QA Log'!D:D,A46,'QA Log'!M:M,"QQC",'QA Log'!L:L,"6. Essential Medicine Management",'QA Log'!Z:Z,"Approved"),"")</f>
        <v/>
      </c>
      <c r="P46" s="105" t="str">
        <f>IF(A46&lt;&gt;"",COUNTIFS('QA Log'!D:D,A46,'QA Log'!M:M,"QQC",'QA Log'!L:L,"7. Tracer Medicine",'QA Log'!Z:Z,"Approved"),"")</f>
        <v/>
      </c>
      <c r="Q46" s="105" t="str">
        <f>IF(A46&lt;&gt;"",COUNTIFS('QA Log'!D:D,A46,'QA Log'!M:M,"QQC",'QA Log'!L:L,"11. Additional Questions",'QA Log'!Z:Z,"Approved"),"")</f>
        <v/>
      </c>
      <c r="R46" s="102" t="str">
        <f>IF(A46="","",SUM(
COUNTIFS('QA Log'!D:D,A46,'QA Log'!M:M,"QQC",'QA Log'!Z:Z,"Rejected",'QA Log'!L:L,"*8. Maternity*"),
COUNTIFS('QA Log'!D:D,A46,'QA Log'!M:M,"QQC",'QA Log'!Z:Z,"Rejected",'QA Log'!L:L,"*EPI*"),
COUNTIFS('QA Log'!D:D,A46,'QA Log'!M:M,"QQC",'QA Log'!Z:Z,"Rejected",'QA Log'!L:L,"*10. Antenatal Care (ANC)*"),
COUNTIFS('QA Log'!D:D,A46,'QA Log'!M:M,"QQC",'QA Log'!Z:Z,"Rejected",'QA Log'!L:L,"*2. Hygiene and Sterilization*"),
COUNTIFS('QA Log'!D:D,A46,'QA Log'!M:M,"QQC",'QA Log'!Z:Z,"Rejected",'QA Log'!L:L,"*Family Planning*")))</f>
        <v/>
      </c>
      <c r="S46" s="106" t="str">
        <f t="shared" si="1"/>
        <v/>
      </c>
      <c r="T46" s="102" t="str">
        <f t="shared" si="2"/>
        <v/>
      </c>
      <c r="U46" s="102" t="str">
        <f>IF(A46="","",
SUM(
COUNTIFS('QA Log'!D:D,A46,'QA Log'!M:M,"QQC",'QA Log'!L:L,"*8. Maternity*"),
COUNTIFS('QA Log'!D:D,A46,'QA Log'!M:M,"QQC",'QA Log'!L:L,"*9. EPI and Pre-school Consultation*"),
COUNTIFS('QA Log'!D:D,A46,'QA Log'!M:M,"QQC",'QA Log'!L:L,"*10. Antenatal Care (ANC)*"),
COUNTIFS('QA Log'!D:D,A46,'QA Log'!M:M,"QQC",'QA Log'!L:L,"*2. Hygiene and Sterilization*"),
COUNTIFS('QA Log'!D:D,A46,'QA Log'!M:M,"QQC",'QA Log'!L:L,"*4. Family Planning*")
))</f>
        <v/>
      </c>
      <c r="V46" s="102" t="str">
        <f>IF(A46="","",
SUM(
COUNTIFS('QA Log'!D:D,A46,'QA Log'!M:M,"QQC",'QA Log'!Z:Z,"Approved",'QA Log'!L:L,"*8. Maternity*"),
COUNTIFS('QA Log'!D:D,A46,'QA Log'!M:M,"QQC",'QA Log'!Z:Z,"Approved",'QA Log'!L:L,"*9. EPI and Pre-school Consultation*"),
COUNTIFS('QA Log'!D:D,A46,'QA Log'!M:M,"QQC",'QA Log'!Z:Z,"Approved",'QA Log'!L:L,"*10. Antenatal Care (ANC)*"),
COUNTIFS('QA Log'!D:D,A46,'QA Log'!M:M,"QQC",'QA Log'!Z:Z,"Approved",'QA Log'!L:L,"*2. Hygiene and Sterilization*"),
COUNTIFS('QA Log'!D:D,A46,'QA Log'!M:M,"QQC",'QA Log'!Z:Z,"Approved",'QA Log'!L:L,"*4. Family Planning*")
))</f>
        <v/>
      </c>
      <c r="W46" s="105" t="str">
        <f>IF(A46&lt;&gt;"",COUNTIFS('QA Log'!D:D,A46,'QA Log'!M:M,"QQC",'QA Log'!L:L,"8. Maternity",'QA Log'!Z:Z,"Approved"),"")</f>
        <v/>
      </c>
      <c r="X46" s="105" t="str">
        <f>IF(A46&lt;&gt;"",COUNTIFS('QA Log'!D:D,A46,'QA Log'!M:M,"QQC",'QA Log'!L:L,"9. EPI and Pre-school Consultation",'QA Log'!Z:Z,"Approved"),"")</f>
        <v/>
      </c>
      <c r="Y46" s="105" t="str">
        <f>IF(A46&lt;&gt;"",COUNTIFS('QA Log'!D:D,A46,'QA Log'!M:M,"QQC",'QA Log'!L:L,"10. Antenatal Care (ANC)",'QA Log'!Z:Z,"Approved"),"")</f>
        <v/>
      </c>
      <c r="Z46" s="105" t="str">
        <f>IF(A46&lt;&gt;"",COUNTIFS('QA Log'!D:D,A46,'QA Log'!M:M,"QQC",'QA Log'!L:L,"2. Hygiene and Sterilization",'QA Log'!Z:Z,"Approved"),"")</f>
        <v/>
      </c>
      <c r="AA46" s="105" t="str">
        <f>IF(A46&lt;&gt;"",COUNTIFS('QA Log'!D:D,A46,'QA Log'!M:M,"QQC",'QA Log'!L:L,"4. Family Planning",'QA Log'!Z:Z,"Approved"),"")</f>
        <v/>
      </c>
      <c r="AB46" s="102" t="str">
        <f>IF(A46="","",
SUM(
COUNTIFS('QA Log'!D:D,A46,'QA Log'!M:M,"QQC",'QA Log'!Z:Z,"Rejected",'QA Log'!L:L,"*8. Maternity*"),
COUNTIFS('QA Log'!D:D,A46,'QA Log'!M:M,"QQC",'QA Log'!Z:Z,"Rejected",'QA Log'!L:L,"*9. EPI and Pre-school Consultation*"),
COUNTIFS('QA Log'!D:D,A46,'QA Log'!M:M,"QQC",'QA Log'!Z:Z,"Rejected",'QA Log'!L:L,"*10. Antenatal Care (ANC)*"),
COUNTIFS('QA Log'!D:D,A46,'QA Log'!M:M,"QQC",'QA Log'!Z:Z,"Rejected",'QA Log'!L:L,"*2. Hygiene and Sterilization*"),
COUNTIFS('QA Log'!D:D,A46,'QA Log'!M:M,"QQC",'QA Log'!Z:Z,"Rejected",'QA Log'!L:L,"*4. Family Planning*")
))</f>
        <v/>
      </c>
      <c r="AC46" s="102" t="str">
        <f t="shared" si="3"/>
        <v/>
      </c>
      <c r="AD46" s="103" t="str">
        <f t="shared" si="4"/>
        <v/>
      </c>
      <c r="AE46" s="102" t="str">
        <f>IF(A46="","",
SUM(
COUNTIFS('QA Log'!D:D,A46,'QA Log'!M:M,"Data Verification",'QA Log'!L:L,"*Medicine (section 2)*"),
COUNTIFS('QA Log'!D:D,A46,'QA Log'!M:M,"Data Verification",'QA Log'!L:L,"*Lab Testing Availability*"),
COUNTIFS('QA Log'!D:D,A46,'QA Log'!M:M,"Data Verification",'QA Log'!L:L,"*Other than P4P (section 6)*"),
COUNTIFS('QA Log'!D:D,A46,'QA Log'!M:M,"Data Verification",'QA Log'!L:L,"*Hospital Governance*")
))</f>
        <v/>
      </c>
      <c r="AF46" s="102" t="str">
        <f>IF(A46="","",
SUM(
COUNTIFS('QA Log'!D:D,A46,'QA Log'!M:M,"Data Verification",'QA Log'!Z:Z,"Approved",'QA Log'!L:L,"*Medicine (section 2)*"),
COUNTIFS('QA Log'!D:D,A46,'QA Log'!M:M,"Data Verification",'QA Log'!Z:Z,"Approved",'QA Log'!L:L,"*Lab Testing Availability*"),
COUNTIFS('QA Log'!D:D,A46,'QA Log'!M:M,"Data Verification",'QA Log'!Z:Z,"Approved",'QA Log'!L:L,"*Other than P4P (section 6)*"),
COUNTIFS('QA Log'!D:D,A46,'QA Log'!M:M,"Data Verification",'QA Log'!Z:Z,"Approved",'QA Log'!L:L,"*Hospital Governance*")
))</f>
        <v/>
      </c>
      <c r="AG46" s="105" t="str">
        <f>IF(A46&lt;&gt;"",COUNTIFS('QA Log'!D:D,A46,'QA Log'!M:M,"Data Verification",'QA Log'!L:L,"Medicine (section 2)",'QA Log'!Z:Z,"Approved"),"")</f>
        <v/>
      </c>
      <c r="AH46" s="105" t="str">
        <f>IF(A46&lt;&gt;"",COUNTIFS('QA Log'!D:D,A46,'QA Log'!M:M,"Data Verification",'QA Log'!L:L,"Lab Testing Availability",'QA Log'!Z:Z,"Approved"),"")</f>
        <v/>
      </c>
      <c r="AI46" s="105" t="str">
        <f>IF(A46&lt;&gt;"",COUNTIFS('QA Log'!D:D,A46,'QA Log'!M:M,"Data Verification",'QA Log'!L:L,"Other than P4P (section 6)",'QA Log'!Z:Z,"Approved"),"")</f>
        <v/>
      </c>
      <c r="AJ46" s="105" t="str">
        <f>IF(A46&lt;&gt;"",COUNTIFS('QA Log'!D:D,A46,'QA Log'!M:M,"Data Verification",'QA Log'!L:L,"Hospital Governance",'QA Log'!Z:Z,"Approved"),"")</f>
        <v/>
      </c>
      <c r="AK46" s="102" t="str">
        <f>IF(A46="","",
SUM(
COUNTIFS('QA Log'!D:D,A46,'QA Log'!M:M,"Data Verification",'QA Log'!Z:Z,"Rejected",'QA Log'!L:L,"*Medicine (section 2)*"),
COUNTIFS('QA Log'!D:D,A46,'QA Log'!M:M,"Data Verification",'QA Log'!Z:Z,"Rejected",'QA Log'!L:L,"*Lab Testing Availability*"),
COUNTIFS('QA Log'!D:D,A46,'QA Log'!M:M,"Data Verification",'QA Log'!Z:Z,"Rejected",'QA Log'!L:L,"*Other than P4P (section 6)*"),
COUNTIFS('QA Log'!D:D,A46,'QA Log'!M:M,"Data Verification",'QA Log'!Z:Z,"Rejected",'QA Log'!L:L,"*Hospital Governance*")
))</f>
        <v/>
      </c>
      <c r="AL46" s="106" t="str">
        <f t="shared" si="5"/>
        <v/>
      </c>
      <c r="AM46" s="102" t="str">
        <f t="shared" si="6"/>
        <v/>
      </c>
      <c r="AN46" s="102" t="str">
        <f>IF(A46="","",
SUM(
COUNTIFS('QA Log'!D:D,A46,'QA Log'!M:M,"Data Verification",'QA Log'!L:L,"*Personnel (section 1)*"),
COUNTIFS('QA Log'!D:D,A46,'QA Log'!M:M,"Data Verification",'QA Log'!L:L,"*Consumable (section 3)*"),
COUNTIFS('QA Log'!D:D,A46,'QA Log'!M:M,"Data Verification",'QA Log'!L:L,"*Equipments (section 4)*")
))</f>
        <v/>
      </c>
      <c r="AO46" s="102" t="str">
        <f>IF(A46="","",
SUM(
COUNTIFS('QA Log'!D:D,A46,'QA Log'!M:M,"Data Verification",'QA Log'!Z:Z,"Approved",'QA Log'!L:L,"*Personnel (section 1)*"),
COUNTIFS('QA Log'!D:D,A46,'QA Log'!M:M,"Data Verification",'QA Log'!Z:Z,"Approved",'QA Log'!L:L,"*Consumable (section 3)*"),
COUNTIFS('QA Log'!D:D,A46,'QA Log'!M:M,"Data Verification",'QA Log'!Z:Z,"Approved",'QA Log'!L:L,"*Equipments (section 4)*")
))</f>
        <v/>
      </c>
      <c r="AP46" s="105" t="str">
        <f>IF(A46&lt;&gt;"",COUNTIFS('QA Log'!D:D,A46,'QA Log'!M:M,"Data Verification",'QA Log'!L:L,"Personnel (section 1)",'QA Log'!Z:Z,"Approved"),"")</f>
        <v/>
      </c>
      <c r="AQ46" s="105" t="str">
        <f>IF(A46&lt;&gt;"",COUNTIFS('QA Log'!D:D,A46,'QA Log'!M:M,"Data Verification",'QA Log'!L:L,"Consumable (section 3)",'QA Log'!Z:Z,"Approved"),"")</f>
        <v/>
      </c>
      <c r="AR46" s="105" t="str">
        <f>IF(A46&lt;&gt;"",COUNTIFS('QA Log'!D:D,A46,'QA Log'!M:M,"Data Verification",'QA Log'!L:L,"Equipments (section 4)",'QA Log'!Z:Z,"Approved"),"")</f>
        <v/>
      </c>
      <c r="AS46" s="102" t="str">
        <f>IF(A46="","",
SUM(
COUNTIFS('QA Log'!D:D,A46,'QA Log'!M:M,"Data Verification",'QA Log'!Z:Z,"Rejected",'QA Log'!L:L,"*Personnel (section 1)*"),
COUNTIFS('QA Log'!D:D,A46,'QA Log'!M:M,"Data Verification",'QA Log'!Z:Z,"Rejected",'QA Log'!L:L,"*Consumable (section 3)*"),
COUNTIFS('QA Log'!D:D,A46,'QA Log'!M:M,"Data Verification",'QA Log'!Z:Z,"Rejected",'QA Log'!L:L,"*Equipments (section 4)*")
))</f>
        <v/>
      </c>
      <c r="AT46" s="102" t="str">
        <f t="shared" si="7"/>
        <v/>
      </c>
      <c r="AU46" s="103" t="str">
        <f t="shared" si="8"/>
        <v/>
      </c>
      <c r="AV46" s="102" t="str">
        <f>IF(A46="","",SUM(
COUNTIFS('QA Log'!D:D,A46,'QA Log'!M:M,"Vignette",'QA Log'!L:L,"*Vignette [1] Respiratory Infection: Pneumonia*"),
COUNTIFS('QA Log'!D:D,A46,'QA Log'!M:M,"Vignette",'QA Log'!L:L,"*Vignette [2]: Diarrhea with Cat B dehydration*"),
COUNTIFS('QA Log'!D:D,A46,'QA Log'!M:M,"Vignette",'QA Log'!L:L,"*Vignette [3] Growth Monitoring and Promotion*"),
COUNTIFS('QA Log'!D:D,A46,'QA Log'!M:M,"Vignette",'QA Log'!L:L,"*Vignette [4]: The management of presumptive TB patient*")
)
)</f>
        <v/>
      </c>
      <c r="AW46" s="102" t="str">
        <f>IF(
  A46="","",
  SUM(
    COUNTIFS('QA Log'!D:D,A46,'QA Log'!M:M,"Vignette",'QA Log'!Z:Z,"Approved",'QA Log'!L:L,"*Vignette [1] Respiratory Infection: Pneumonia*"),
    COUNTIFS('QA Log'!D:D,A46,'QA Log'!M:M,"Vignette",'QA Log'!Z:Z,"Approved",'QA Log'!L:L,"*Vignette [2]: Diarrhea with Cat B dehydration*"),
    COUNTIFS('QA Log'!D:D,A46,'QA Log'!M:M,"Vignette",'QA Log'!Z:Z,"Approved",'QA Log'!L:L,"*Vignette [3] Growth Monitoring and Promotion*"),
    COUNTIFS('QA Log'!D:D,A46,'QA Log'!M:M,"Vignette",'QA Log'!Z:Z,"Approved",'QA Log'!L:L,"*Vignette [4]: The management of presumptive TB patient*")
  )
)</f>
        <v/>
      </c>
      <c r="AX46" s="105" t="str">
        <f>IF(A46&lt;&gt;"",COUNTIFS('QA Log'!D:D,A46,'QA Log'!M:M,"Vignette",'QA Log'!L:L,"Vignette [1] Respiratory Infection: Pneumonia",'QA Log'!Z:Z,"Approved"),"")</f>
        <v/>
      </c>
      <c r="AY46" s="105" t="str">
        <f>IF(A46&lt;&gt;"",COUNTIFS('QA Log'!D:D,A46,'QA Log'!M:M,"Vignette",'QA Log'!L:L,"Vignette [2]: Diarrhea with Cat B dehydration",'QA Log'!Z:Z,"Approved"),"")</f>
        <v/>
      </c>
      <c r="AZ46" s="105" t="str">
        <f>IF(A46&lt;&gt;"",COUNTIFS('QA Log'!D:D,A46,'QA Log'!M:M,"Vignette",'QA Log'!L:L,"Vignette [3] Growth Monitoring and Promotion",'QA Log'!Z:Z,"Approved"),"")</f>
        <v/>
      </c>
      <c r="BA46" s="105" t="str">
        <f>IF(A46&lt;&gt;"",COUNTIFS('QA Log'!D:D,A46,'QA Log'!M:M,"Vignette",'QA Log'!L:L,"Vignette [4]: The management of presumptive TB patient",'QA Log'!Z:Z,"Approved"),"")</f>
        <v/>
      </c>
      <c r="BB46" s="102" t="str">
        <f>IF(A46="","",
  SUM(
    COUNTIFS('QA Log'!D:D,A46,'QA Log'!M:M,"Vignette",'QA Log'!Z:Z,"Rejected",'QA Log'!L:L,"*Vignette [1] Respiratory Infection: Pneumonia*"),
    COUNTIFS('QA Log'!D:D,A46,'QA Log'!M:M,"Vignette",'QA Log'!Z:Z,"Rejected",'QA Log'!L:L,"*Vignette [2]: Diarrhea with Cat B dehydration*"),
    COUNTIFS('QA Log'!D:D,A46,'QA Log'!M:M,"Vignette",'QA Log'!Z:Z,"Rejected",'QA Log'!L:L,"*Vignette [3] Growth Monitoring and Promotion*"),
    COUNTIFS('QA Log'!D:D,A46,'QA Log'!M:M,"Vignette",'QA Log'!Z:Z,"Rejected",'QA Log'!L:L,"*Vignette [4]: The management of presumptive TB patient*")
  )
)</f>
        <v/>
      </c>
      <c r="BC46" s="107" t="str">
        <f t="shared" si="9"/>
        <v/>
      </c>
      <c r="BD46" s="103" t="str">
        <f t="shared" si="10"/>
        <v/>
      </c>
      <c r="BE46" s="102" t="str">
        <f>IF(A46="","",SUM(
COUNTIFS('QA Log'!D:D,A46,'QA Log'!M:M,"Vignette",'QA Log'!L:L,"*Vignette [5] Labor*"),
COUNTIFS('QA Log'!D:D,A46,'QA Log'!M:M,"Vignette",'QA Log'!L:L,"*Vignette [6] PNC pre Discharge*"),
COUNTIFS('QA Log'!D:D,A46,'QA Log'!M:M,"Vignette",'QA Log'!L:L,"*Vignette [7] First ANC Visit*"),
COUNTIFS('QA Log'!D:D,A46,'QA Log'!M:M,"Vignette",'QA Log'!L:L,"*Vignette [8] Birth Spacing/ Family Planning :  FP Counselling*"),
COUNTIFS('QA Log'!D:D,A46,'QA Log'!M:M,"Vignette",'QA Log'!L:L,"*Vignette [9] Birth Spacing: Change FP method to Injectable*"),
COUNTIFS('QA Log'!D:D,A46,'QA Log'!M:M,"Vignette",'QA Log'!L:L,"*Vignette [10] Post Partum Haemorrhage - Atonic Uterus at Health Centre*"),
)
)</f>
        <v/>
      </c>
      <c r="BF46" s="102" t="str">
        <f>IF(A46="","",
  SUM(
    COUNTIFS('QA Log'!D:D,A46,'QA Log'!M:M,"Vignette",'QA Log'!Z:Z,"Approved",'QA Log'!L:L,"*Vignette [5] Labor*"),
    COUNTIFS('QA Log'!D:D,A46,'QA Log'!M:M,"Vignette",'QA Log'!Z:Z,"Approved",'QA Log'!L:L,"*Vignette [6] PNC pre Discharge*"),
    COUNTIFS('QA Log'!D:D,A46,'QA Log'!M:M,"Vignette",'QA Log'!Z:Z,"Approved",'QA Log'!L:L,"*Vignette [7] First ANC Visit*"),
    COUNTIFS('QA Log'!D:D,A46,'QA Log'!M:M,"Vignette",'QA Log'!Z:Z,"Approved",'QA Log'!L:L,"*Vignette [8] Birth Spacing/ Family Planning :  FP Counselling*"),
    COUNTIFS('QA Log'!D:D,A46,'QA Log'!M:M,"Vignette",'QA Log'!Z:Z,"Approved",'QA Log'!L:L,"*Vignette [9] Birth Spacing: Change FP method to Injectable*"),
    COUNTIFS('QA Log'!D:D,A46,'QA Log'!M:M,"Vignette",'QA Log'!Z:Z,"Approved",'QA Log'!L:L,"*Vignette [10] Post Partum Haemorrhage - Atonic Uterus at Health Centre*")
  )
)</f>
        <v/>
      </c>
      <c r="BG46" s="105" t="str">
        <f>IF(A46&lt;&gt;"",COUNTIFS('QA Log'!D:D,A46,'QA Log'!M:M,"Vignette",'QA Log'!L:L,"Vignette [5] Labor",'QA Log'!Z:Z,"Approved"),"")</f>
        <v/>
      </c>
      <c r="BH46" s="105" t="str">
        <f>IF(A46&lt;&gt;"",COUNTIFS('QA Log'!D:D,A46,'QA Log'!M:M,"Vignette",'QA Log'!L:L,"Vignette [6] PNC pre Discharge",'QA Log'!Z:Z,"Approved"),"")</f>
        <v/>
      </c>
      <c r="BI46" s="105" t="str">
        <f>IF(A46&lt;&gt;"",COUNTIFS('QA Log'!D:D,A46,'QA Log'!M:M,"Vignette",'QA Log'!L:L,"Vignette [7] First ANC Visit",'QA Log'!Z:Z,"Approved"),"")</f>
        <v/>
      </c>
      <c r="BJ46" s="105" t="str">
        <f>IF(A46&lt;&gt;"",COUNTIFS('QA Log'!D:D,A46,'QA Log'!M:M,"Vignette",'QA Log'!L:L,"Vignette [8] Birth Spacing/ Family Planning :  FP Counselling",'QA Log'!Z:Z,"Approved"),"")</f>
        <v/>
      </c>
      <c r="BK46" s="105" t="str">
        <f>IF(A46&lt;&gt;"",COUNTIFS('QA Log'!D:D,A46,'QA Log'!M:M,"Vignette",'QA Log'!L:L,"Vignette [9] Birth Spacing: Change FP method to Injectable",'QA Log'!Z:Z,"Approved"),"")</f>
        <v/>
      </c>
      <c r="BL46" s="105" t="str">
        <f>IF(A46&lt;&gt;"",COUNTIFS('QA Log'!D:D,A46,'QA Log'!M:M,"Vignette",'QA Log'!L:L,"Vignette [10] Post Partum Haemorrhage - Atonic Uterus at Health Centre",'QA Log'!Z:Z,"Approved"),"")</f>
        <v/>
      </c>
      <c r="BM46" s="102" t="str">
        <f>IF(A46="","",SUM(
    COUNTIFS('QA Log'!D:D,A46,'QA Log'!M:M,"Vignette",'QA Log'!Z:Z,"Rejected",'QA Log'!L:L,"*Vignette [5] Labor*"),
    COUNTIFS('QA Log'!D:D,A46,'QA Log'!M:M,"Vignette",'QA Log'!Z:Z,"Rejected",'QA Log'!L:L,"*Vignette [6] PNC pre Discharge*"),
    COUNTIFS('QA Log'!D:D,A46,'QA Log'!M:M,"Vignette",'QA Log'!Z:Z,"Rejected",'QA Log'!L:L,"*Vignette [7] First ANC Visit*"),
    COUNTIFS('QA Log'!D:D,A46,'QA Log'!M:M,"Vignette",'QA Log'!Z:Z,"Rejected",'QA Log'!L:L,"*Vignette [8] Birth Spacing/ Family Planning :  FP Counselling*"),
    COUNTIFS('QA Log'!D:D,A46,'QA Log'!M:M,"Vignette",'QA Log'!Z:Z,"Rejected",'QA Log'!L:L,"*Vignette [9] Birth Spacing: Change FP method to Injectable*"),
    COUNTIFS('QA Log'!D:D,A46,'QA Log'!M:M,"Vignette",'QA Log'!Z:Z,"Rejected",'QA Log'!L:L,"*Vignette [10] Post Partum Haemorrhage - Atonic Uterus at Health Centre*")
  )
)</f>
        <v/>
      </c>
      <c r="BN46" s="107" t="str">
        <f t="shared" si="11"/>
        <v/>
      </c>
      <c r="BO46" s="103" t="str">
        <f t="shared" si="12"/>
        <v/>
      </c>
      <c r="BP46" s="102" t="str">
        <f>IF(A46="","",SUM(
COUNTIFS('QA Log'!D:D,A46,'QA Log'!M:M,"Vignette",'QA Log'!L:L,"*Exit Interview 1*"),
COUNTIFS('QA Log'!D:D,A46,'QA Log'!M:M,"Vignette",'QA Log'!L:L,"*Exit Interview 2*"),
)
)</f>
        <v/>
      </c>
      <c r="BQ46" s="102" t="str">
        <f>IF(
  A46="","",
  SUM(
    COUNTIFS('QA Log'!D:D,A46,'QA Log'!M:M,"Vignette",'QA Log'!Z:Z,"Approved",'QA Log'!L:L,"*Exit Interview 1*"),
    COUNTIFS('QA Log'!D:D,A46,'QA Log'!M:M,"Vignette",'QA Log'!Z:Z,"Approved",'QA Log'!L:L,"*Exit Interview 2*")
  )
)</f>
        <v/>
      </c>
      <c r="BR46" s="105" t="str">
        <f>IF(A46&lt;&gt;"",COUNTIFS('QA Log'!D:D,A46,'QA Log'!M:M,"Vignette",'QA Log'!L:L,"Exit Interview 1",'QA Log'!Z:Z,"Approved"),"")</f>
        <v/>
      </c>
      <c r="BS46" s="105" t="str">
        <f>IF(A46&lt;&gt;"",COUNTIFS('QA Log'!D:D,A46,'QA Log'!M:M,"Vignette",'QA Log'!L:L,"Exit Interview 2",'QA Log'!Z:Z,"Approved"),"")</f>
        <v/>
      </c>
      <c r="BT46" s="102" t="str">
        <f>IF(
  A46="","",
  SUM(
    COUNTIFS('QA Log'!D:D,A46,'QA Log'!M:M,"Vignette",'QA Log'!Z:Z,"Rejected",'QA Log'!L:L,"*Exit Interview 1*"),
    COUNTIFS('QA Log'!D:D,A46,'QA Log'!M:M,"Vignette",'QA Log'!Z:Z,"Rejected",'QA Log'!L:L,"*Exit Interview 2*")
  )
)</f>
        <v/>
      </c>
      <c r="BU46" s="107" t="str">
        <f t="shared" si="13"/>
        <v/>
      </c>
      <c r="BV46" s="102" t="str">
        <f t="shared" si="14"/>
        <v/>
      </c>
      <c r="BW46" s="102" t="str">
        <f t="shared" si="15"/>
        <v/>
      </c>
      <c r="BX46" s="102" t="str">
        <f t="shared" si="16"/>
        <v/>
      </c>
      <c r="BY46" s="102" t="str">
        <f t="shared" si="17"/>
        <v/>
      </c>
      <c r="BZ46" s="107" t="str">
        <f t="shared" si="18"/>
        <v/>
      </c>
      <c r="CA46" s="108" t="str">
        <f t="shared" si="19"/>
        <v/>
      </c>
      <c r="CB46" s="108" t="str">
        <f t="shared" si="20"/>
        <v/>
      </c>
      <c r="CC46" s="109" t="str">
        <f t="shared" si="21"/>
        <v/>
      </c>
      <c r="CD46" s="108" t="str">
        <f t="shared" si="22"/>
        <v/>
      </c>
      <c r="CE46" s="108" t="str">
        <f t="shared" si="23"/>
        <v/>
      </c>
      <c r="CF46" s="109" t="str">
        <f t="shared" si="24"/>
        <v/>
      </c>
      <c r="CG46" s="110" t="str">
        <f t="shared" si="25"/>
        <v/>
      </c>
      <c r="CH46" s="111"/>
    </row>
    <row r="47" spans="1:86" ht="12.75">
      <c r="A47" s="101"/>
      <c r="B47" s="102" t="e">
        <f t="array" aca="1" ref="B47" ca="1">_xludf.XLOOKUP(A47,'QA Log'!D:D,'QA Log'!E:E,"")</f>
        <v>#NAME?</v>
      </c>
      <c r="C47" s="102" t="e">
        <f t="array" aca="1" ref="C47" ca="1">_xludf.XLOOKUP(A47,'QA Log'!D:D,'QA Log'!F:F,"")</f>
        <v>#NAME?</v>
      </c>
      <c r="D47" s="102" t="e">
        <f t="array" aca="1" ref="D47" ca="1">_xludf.XLOOKUP(A47,'QA Log'!D:D,'QA Log'!H:H,"")</f>
        <v>#NAME?</v>
      </c>
      <c r="E47" s="102" t="e">
        <f t="array" aca="1" ref="E47" ca="1">_xludf.XLOOKUP(A47,'QA Log'!D:D,'QA Log'!G:G,"")</f>
        <v>#NAME?</v>
      </c>
      <c r="F47" s="103"/>
      <c r="G47" s="104"/>
      <c r="H47" s="104"/>
      <c r="I47" s="103" t="str">
        <f t="shared" si="0"/>
        <v/>
      </c>
      <c r="J47" s="102" t="str">
        <f>IF(A47="","",SUM(
COUNTIFS('QA Log'!D:D,A47,'QA Log'!M:M,"QQC",'QA Log'!L:L,"*1. General Management*"),
COUNTIFS('QA Log'!D:D,A47,'QA Log'!M:M,"QQC",'QA Log'!L:L,"*3. Curative Consultation (OPD)*"),
COUNTIFS('QA Log'!D:D,A47,'QA Log'!M:M,"QQC",'QA Log'!L:L,"*5. Laboratory*"),
COUNTIFS('QA Log'!D:D,A47,'QA Log'!M:M,"QQC",'QA Log'!L:L,"*6. Essential Medicine Management*"),
COUNTIFS('QA Log'!D:D,A47,'QA Log'!M:M,"QQC",'QA Log'!L:L,"*7. Tracer Medicine*"),
COUNTIFS('QA Log'!D:D,A47,'QA Log'!M:M,"QQC",'QA Log'!L:L,"*11. Additional Questions*")))</f>
        <v/>
      </c>
      <c r="K47" s="102" t="str">
        <f>IF(A47="","",SUM(
COUNTIFS('QA Log'!D:D,A47,'QA Log'!M:M,"QQC",'QA Log'!Z:Z,"Approved",'QA Log'!L:L,"*1. General Management*"),
COUNTIFS('QA Log'!D:D,A47,'QA Log'!M:M,"QQC",'QA Log'!Z:Z,"Approved",'QA Log'!L:L,"*3. Curative Consultation (OPD)*"),
COUNTIFS('QA Log'!D:D,A47,'QA Log'!M:M,"QQC",'QA Log'!Z:Z,"Approved",'QA Log'!L:L,"*5. Laboratory*"),
COUNTIFS('QA Log'!D:D,A47,'QA Log'!M:M,"QQC",'QA Log'!Z:Z,"Approved",'QA Log'!L:L,"*6. Essential Medicine Management*"),
COUNTIFS('QA Log'!D:D,A47,'QA Log'!M:M,"QQC",'QA Log'!Z:Z,"Approved",'QA Log'!L:L,"*7. Tracer Medicine*"),
COUNTIFS('QA Log'!D:D,A47,'QA Log'!M:M,"QQC",'QA Log'!Z:Z,"Approved",'QA Log'!L:L,"*11. Additional Questions*")))</f>
        <v/>
      </c>
      <c r="L47" s="105" t="str">
        <f>IF(A47&lt;&gt;"",COUNTIFS('QA Log'!D:D,A47,'QA Log'!M:M,"QQC",'QA Log'!L:L,"1. General Management",'QA Log'!Z:Z,"Approved"),"")</f>
        <v/>
      </c>
      <c r="M47" s="105" t="str">
        <f>IF(A47&lt;&gt;"",COUNTIFS('QA Log'!D:D,A47,'QA Log'!M:M,"QQC",'QA Log'!L:L,"3. Curative Consultation (OPD)",'QA Log'!Z:Z,"Approved"),"")</f>
        <v/>
      </c>
      <c r="N47" s="105" t="str">
        <f>IF(A47&lt;&gt;"",COUNTIFS('QA Log'!D:D,A47,'QA Log'!M:M,"QQC",'QA Log'!L:L,"5. Laboratory",'QA Log'!Z:Z,"Approved"),"")</f>
        <v/>
      </c>
      <c r="O47" s="105" t="str">
        <f>IF(A47&lt;&gt;"",COUNTIFS('QA Log'!D:D,A47,'QA Log'!M:M,"QQC",'QA Log'!L:L,"6. Essential Medicine Management",'QA Log'!Z:Z,"Approved"),"")</f>
        <v/>
      </c>
      <c r="P47" s="105" t="str">
        <f>IF(A47&lt;&gt;"",COUNTIFS('QA Log'!D:D,A47,'QA Log'!M:M,"QQC",'QA Log'!L:L,"7. Tracer Medicine",'QA Log'!Z:Z,"Approved"),"")</f>
        <v/>
      </c>
      <c r="Q47" s="105" t="str">
        <f>IF(A47&lt;&gt;"",COUNTIFS('QA Log'!D:D,A47,'QA Log'!M:M,"QQC",'QA Log'!L:L,"11. Additional Questions",'QA Log'!Z:Z,"Approved"),"")</f>
        <v/>
      </c>
      <c r="R47" s="102" t="str">
        <f>IF(A47="","",SUM(
COUNTIFS('QA Log'!D:D,A47,'QA Log'!M:M,"QQC",'QA Log'!Z:Z,"Rejected",'QA Log'!L:L,"*8. Maternity*"),
COUNTIFS('QA Log'!D:D,A47,'QA Log'!M:M,"QQC",'QA Log'!Z:Z,"Rejected",'QA Log'!L:L,"*EPI*"),
COUNTIFS('QA Log'!D:D,A47,'QA Log'!M:M,"QQC",'QA Log'!Z:Z,"Rejected",'QA Log'!L:L,"*10. Antenatal Care (ANC)*"),
COUNTIFS('QA Log'!D:D,A47,'QA Log'!M:M,"QQC",'QA Log'!Z:Z,"Rejected",'QA Log'!L:L,"*2. Hygiene and Sterilization*"),
COUNTIFS('QA Log'!D:D,A47,'QA Log'!M:M,"QQC",'QA Log'!Z:Z,"Rejected",'QA Log'!L:L,"*Family Planning*")))</f>
        <v/>
      </c>
      <c r="S47" s="106" t="str">
        <f t="shared" si="1"/>
        <v/>
      </c>
      <c r="T47" s="102" t="str">
        <f t="shared" si="2"/>
        <v/>
      </c>
      <c r="U47" s="102" t="str">
        <f>IF(A47="","",
SUM(
COUNTIFS('QA Log'!D:D,A47,'QA Log'!M:M,"QQC",'QA Log'!L:L,"*8. Maternity*"),
COUNTIFS('QA Log'!D:D,A47,'QA Log'!M:M,"QQC",'QA Log'!L:L,"*9. EPI and Pre-school Consultation*"),
COUNTIFS('QA Log'!D:D,A47,'QA Log'!M:M,"QQC",'QA Log'!L:L,"*10. Antenatal Care (ANC)*"),
COUNTIFS('QA Log'!D:D,A47,'QA Log'!M:M,"QQC",'QA Log'!L:L,"*2. Hygiene and Sterilization*"),
COUNTIFS('QA Log'!D:D,A47,'QA Log'!M:M,"QQC",'QA Log'!L:L,"*4. Family Planning*")
))</f>
        <v/>
      </c>
      <c r="V47" s="102" t="str">
        <f>IF(A47="","",
SUM(
COUNTIFS('QA Log'!D:D,A47,'QA Log'!M:M,"QQC",'QA Log'!Z:Z,"Approved",'QA Log'!L:L,"*8. Maternity*"),
COUNTIFS('QA Log'!D:D,A47,'QA Log'!M:M,"QQC",'QA Log'!Z:Z,"Approved",'QA Log'!L:L,"*9. EPI and Pre-school Consultation*"),
COUNTIFS('QA Log'!D:D,A47,'QA Log'!M:M,"QQC",'QA Log'!Z:Z,"Approved",'QA Log'!L:L,"*10. Antenatal Care (ANC)*"),
COUNTIFS('QA Log'!D:D,A47,'QA Log'!M:M,"QQC",'QA Log'!Z:Z,"Approved",'QA Log'!L:L,"*2. Hygiene and Sterilization*"),
COUNTIFS('QA Log'!D:D,A47,'QA Log'!M:M,"QQC",'QA Log'!Z:Z,"Approved",'QA Log'!L:L,"*4. Family Planning*")
))</f>
        <v/>
      </c>
      <c r="W47" s="105" t="str">
        <f>IF(A47&lt;&gt;"",COUNTIFS('QA Log'!D:D,A47,'QA Log'!M:M,"QQC",'QA Log'!L:L,"8. Maternity",'QA Log'!Z:Z,"Approved"),"")</f>
        <v/>
      </c>
      <c r="X47" s="105" t="str">
        <f>IF(A47&lt;&gt;"",COUNTIFS('QA Log'!D:D,A47,'QA Log'!M:M,"QQC",'QA Log'!L:L,"9. EPI and Pre-school Consultation",'QA Log'!Z:Z,"Approved"),"")</f>
        <v/>
      </c>
      <c r="Y47" s="105" t="str">
        <f>IF(A47&lt;&gt;"",COUNTIFS('QA Log'!D:D,A47,'QA Log'!M:M,"QQC",'QA Log'!L:L,"10. Antenatal Care (ANC)",'QA Log'!Z:Z,"Approved"),"")</f>
        <v/>
      </c>
      <c r="Z47" s="105" t="str">
        <f>IF(A47&lt;&gt;"",COUNTIFS('QA Log'!D:D,A47,'QA Log'!M:M,"QQC",'QA Log'!L:L,"2. Hygiene and Sterilization",'QA Log'!Z:Z,"Approved"),"")</f>
        <v/>
      </c>
      <c r="AA47" s="105" t="str">
        <f>IF(A47&lt;&gt;"",COUNTIFS('QA Log'!D:D,A47,'QA Log'!M:M,"QQC",'QA Log'!L:L,"4. Family Planning",'QA Log'!Z:Z,"Approved"),"")</f>
        <v/>
      </c>
      <c r="AB47" s="102" t="str">
        <f>IF(A47="","",
SUM(
COUNTIFS('QA Log'!D:D,A47,'QA Log'!M:M,"QQC",'QA Log'!Z:Z,"Rejected",'QA Log'!L:L,"*8. Maternity*"),
COUNTIFS('QA Log'!D:D,A47,'QA Log'!M:M,"QQC",'QA Log'!Z:Z,"Rejected",'QA Log'!L:L,"*9. EPI and Pre-school Consultation*"),
COUNTIFS('QA Log'!D:D,A47,'QA Log'!M:M,"QQC",'QA Log'!Z:Z,"Rejected",'QA Log'!L:L,"*10. Antenatal Care (ANC)*"),
COUNTIFS('QA Log'!D:D,A47,'QA Log'!M:M,"QQC",'QA Log'!Z:Z,"Rejected",'QA Log'!L:L,"*2. Hygiene and Sterilization*"),
COUNTIFS('QA Log'!D:D,A47,'QA Log'!M:M,"QQC",'QA Log'!Z:Z,"Rejected",'QA Log'!L:L,"*4. Family Planning*")
))</f>
        <v/>
      </c>
      <c r="AC47" s="102" t="str">
        <f t="shared" si="3"/>
        <v/>
      </c>
      <c r="AD47" s="103" t="str">
        <f t="shared" si="4"/>
        <v/>
      </c>
      <c r="AE47" s="102" t="str">
        <f>IF(A47="","",
SUM(
COUNTIFS('QA Log'!D:D,A47,'QA Log'!M:M,"Data Verification",'QA Log'!L:L,"*Medicine (section 2)*"),
COUNTIFS('QA Log'!D:D,A47,'QA Log'!M:M,"Data Verification",'QA Log'!L:L,"*Lab Testing Availability*"),
COUNTIFS('QA Log'!D:D,A47,'QA Log'!M:M,"Data Verification",'QA Log'!L:L,"*Other than P4P (section 6)*"),
COUNTIFS('QA Log'!D:D,A47,'QA Log'!M:M,"Data Verification",'QA Log'!L:L,"*Hospital Governance*")
))</f>
        <v/>
      </c>
      <c r="AF47" s="102" t="str">
        <f>IF(A47="","",
SUM(
COUNTIFS('QA Log'!D:D,A47,'QA Log'!M:M,"Data Verification",'QA Log'!Z:Z,"Approved",'QA Log'!L:L,"*Medicine (section 2)*"),
COUNTIFS('QA Log'!D:D,A47,'QA Log'!M:M,"Data Verification",'QA Log'!Z:Z,"Approved",'QA Log'!L:L,"*Lab Testing Availability*"),
COUNTIFS('QA Log'!D:D,A47,'QA Log'!M:M,"Data Verification",'QA Log'!Z:Z,"Approved",'QA Log'!L:L,"*Other than P4P (section 6)*"),
COUNTIFS('QA Log'!D:D,A47,'QA Log'!M:M,"Data Verification",'QA Log'!Z:Z,"Approved",'QA Log'!L:L,"*Hospital Governance*")
))</f>
        <v/>
      </c>
      <c r="AG47" s="105" t="str">
        <f>IF(A47&lt;&gt;"",COUNTIFS('QA Log'!D:D,A47,'QA Log'!M:M,"Data Verification",'QA Log'!L:L,"Medicine (section 2)",'QA Log'!Z:Z,"Approved"),"")</f>
        <v/>
      </c>
      <c r="AH47" s="105" t="str">
        <f>IF(A47&lt;&gt;"",COUNTIFS('QA Log'!D:D,A47,'QA Log'!M:M,"Data Verification",'QA Log'!L:L,"Lab Testing Availability",'QA Log'!Z:Z,"Approved"),"")</f>
        <v/>
      </c>
      <c r="AI47" s="105" t="str">
        <f>IF(A47&lt;&gt;"",COUNTIFS('QA Log'!D:D,A47,'QA Log'!M:M,"Data Verification",'QA Log'!L:L,"Other than P4P (section 6)",'QA Log'!Z:Z,"Approved"),"")</f>
        <v/>
      </c>
      <c r="AJ47" s="105" t="str">
        <f>IF(A47&lt;&gt;"",COUNTIFS('QA Log'!D:D,A47,'QA Log'!M:M,"Data Verification",'QA Log'!L:L,"Hospital Governance",'QA Log'!Z:Z,"Approved"),"")</f>
        <v/>
      </c>
      <c r="AK47" s="102" t="str">
        <f>IF(A47="","",
SUM(
COUNTIFS('QA Log'!D:D,A47,'QA Log'!M:M,"Data Verification",'QA Log'!Z:Z,"Rejected",'QA Log'!L:L,"*Medicine (section 2)*"),
COUNTIFS('QA Log'!D:D,A47,'QA Log'!M:M,"Data Verification",'QA Log'!Z:Z,"Rejected",'QA Log'!L:L,"*Lab Testing Availability*"),
COUNTIFS('QA Log'!D:D,A47,'QA Log'!M:M,"Data Verification",'QA Log'!Z:Z,"Rejected",'QA Log'!L:L,"*Other than P4P (section 6)*"),
COUNTIFS('QA Log'!D:D,A47,'QA Log'!M:M,"Data Verification",'QA Log'!Z:Z,"Rejected",'QA Log'!L:L,"*Hospital Governance*")
))</f>
        <v/>
      </c>
      <c r="AL47" s="106" t="str">
        <f t="shared" si="5"/>
        <v/>
      </c>
      <c r="AM47" s="102" t="str">
        <f t="shared" si="6"/>
        <v/>
      </c>
      <c r="AN47" s="102" t="str">
        <f>IF(A47="","",
SUM(
COUNTIFS('QA Log'!D:D,A47,'QA Log'!M:M,"Data Verification",'QA Log'!L:L,"*Personnel (section 1)*"),
COUNTIFS('QA Log'!D:D,A47,'QA Log'!M:M,"Data Verification",'QA Log'!L:L,"*Consumable (section 3)*"),
COUNTIFS('QA Log'!D:D,A47,'QA Log'!M:M,"Data Verification",'QA Log'!L:L,"*Equipments (section 4)*")
))</f>
        <v/>
      </c>
      <c r="AO47" s="102" t="str">
        <f>IF(A47="","",
SUM(
COUNTIFS('QA Log'!D:D,A47,'QA Log'!M:M,"Data Verification",'QA Log'!Z:Z,"Approved",'QA Log'!L:L,"*Personnel (section 1)*"),
COUNTIFS('QA Log'!D:D,A47,'QA Log'!M:M,"Data Verification",'QA Log'!Z:Z,"Approved",'QA Log'!L:L,"*Consumable (section 3)*"),
COUNTIFS('QA Log'!D:D,A47,'QA Log'!M:M,"Data Verification",'QA Log'!Z:Z,"Approved",'QA Log'!L:L,"*Equipments (section 4)*")
))</f>
        <v/>
      </c>
      <c r="AP47" s="105" t="str">
        <f>IF(A47&lt;&gt;"",COUNTIFS('QA Log'!D:D,A47,'QA Log'!M:M,"Data Verification",'QA Log'!L:L,"Personnel (section 1)",'QA Log'!Z:Z,"Approved"),"")</f>
        <v/>
      </c>
      <c r="AQ47" s="105" t="str">
        <f>IF(A47&lt;&gt;"",COUNTIFS('QA Log'!D:D,A47,'QA Log'!M:M,"Data Verification",'QA Log'!L:L,"Consumable (section 3)",'QA Log'!Z:Z,"Approved"),"")</f>
        <v/>
      </c>
      <c r="AR47" s="105" t="str">
        <f>IF(A47&lt;&gt;"",COUNTIFS('QA Log'!D:D,A47,'QA Log'!M:M,"Data Verification",'QA Log'!L:L,"Equipments (section 4)",'QA Log'!Z:Z,"Approved"),"")</f>
        <v/>
      </c>
      <c r="AS47" s="102" t="str">
        <f>IF(A47="","",
SUM(
COUNTIFS('QA Log'!D:D,A47,'QA Log'!M:M,"Data Verification",'QA Log'!Z:Z,"Rejected",'QA Log'!L:L,"*Personnel (section 1)*"),
COUNTIFS('QA Log'!D:D,A47,'QA Log'!M:M,"Data Verification",'QA Log'!Z:Z,"Rejected",'QA Log'!L:L,"*Consumable (section 3)*"),
COUNTIFS('QA Log'!D:D,A47,'QA Log'!M:M,"Data Verification",'QA Log'!Z:Z,"Rejected",'QA Log'!L:L,"*Equipments (section 4)*")
))</f>
        <v/>
      </c>
      <c r="AT47" s="102" t="str">
        <f t="shared" si="7"/>
        <v/>
      </c>
      <c r="AU47" s="103" t="str">
        <f t="shared" si="8"/>
        <v/>
      </c>
      <c r="AV47" s="102" t="str">
        <f>IF(A47="","",SUM(
COUNTIFS('QA Log'!D:D,A47,'QA Log'!M:M,"Vignette",'QA Log'!L:L,"*Vignette [1] Respiratory Infection: Pneumonia*"),
COUNTIFS('QA Log'!D:D,A47,'QA Log'!M:M,"Vignette",'QA Log'!L:L,"*Vignette [2]: Diarrhea with Cat B dehydration*"),
COUNTIFS('QA Log'!D:D,A47,'QA Log'!M:M,"Vignette",'QA Log'!L:L,"*Vignette [3] Growth Monitoring and Promotion*"),
COUNTIFS('QA Log'!D:D,A47,'QA Log'!M:M,"Vignette",'QA Log'!L:L,"*Vignette [4]: The management of presumptive TB patient*")
)
)</f>
        <v/>
      </c>
      <c r="AW47" s="102" t="str">
        <f>IF(
  A47="","",
  SUM(
    COUNTIFS('QA Log'!D:D,A47,'QA Log'!M:M,"Vignette",'QA Log'!Z:Z,"Approved",'QA Log'!L:L,"*Vignette [1] Respiratory Infection: Pneumonia*"),
    COUNTIFS('QA Log'!D:D,A47,'QA Log'!M:M,"Vignette",'QA Log'!Z:Z,"Approved",'QA Log'!L:L,"*Vignette [2]: Diarrhea with Cat B dehydration*"),
    COUNTIFS('QA Log'!D:D,A47,'QA Log'!M:M,"Vignette",'QA Log'!Z:Z,"Approved",'QA Log'!L:L,"*Vignette [3] Growth Monitoring and Promotion*"),
    COUNTIFS('QA Log'!D:D,A47,'QA Log'!M:M,"Vignette",'QA Log'!Z:Z,"Approved",'QA Log'!L:L,"*Vignette [4]: The management of presumptive TB patient*")
  )
)</f>
        <v/>
      </c>
      <c r="AX47" s="105" t="str">
        <f>IF(A47&lt;&gt;"",COUNTIFS('QA Log'!D:D,A47,'QA Log'!M:M,"Vignette",'QA Log'!L:L,"Vignette [1] Respiratory Infection: Pneumonia",'QA Log'!Z:Z,"Approved"),"")</f>
        <v/>
      </c>
      <c r="AY47" s="105" t="str">
        <f>IF(A47&lt;&gt;"",COUNTIFS('QA Log'!D:D,A47,'QA Log'!M:M,"Vignette",'QA Log'!L:L,"Vignette [2]: Diarrhea with Cat B dehydration",'QA Log'!Z:Z,"Approved"),"")</f>
        <v/>
      </c>
      <c r="AZ47" s="105" t="str">
        <f>IF(A47&lt;&gt;"",COUNTIFS('QA Log'!D:D,A47,'QA Log'!M:M,"Vignette",'QA Log'!L:L,"Vignette [3] Growth Monitoring and Promotion",'QA Log'!Z:Z,"Approved"),"")</f>
        <v/>
      </c>
      <c r="BA47" s="105" t="str">
        <f>IF(A47&lt;&gt;"",COUNTIFS('QA Log'!D:D,A47,'QA Log'!M:M,"Vignette",'QA Log'!L:L,"Vignette [4]: The management of presumptive TB patient",'QA Log'!Z:Z,"Approved"),"")</f>
        <v/>
      </c>
      <c r="BB47" s="102" t="str">
        <f>IF(A47="","",
  SUM(
    COUNTIFS('QA Log'!D:D,A47,'QA Log'!M:M,"Vignette",'QA Log'!Z:Z,"Rejected",'QA Log'!L:L,"*Vignette [1] Respiratory Infection: Pneumonia*"),
    COUNTIFS('QA Log'!D:D,A47,'QA Log'!M:M,"Vignette",'QA Log'!Z:Z,"Rejected",'QA Log'!L:L,"*Vignette [2]: Diarrhea with Cat B dehydration*"),
    COUNTIFS('QA Log'!D:D,A47,'QA Log'!M:M,"Vignette",'QA Log'!Z:Z,"Rejected",'QA Log'!L:L,"*Vignette [3] Growth Monitoring and Promotion*"),
    COUNTIFS('QA Log'!D:D,A47,'QA Log'!M:M,"Vignette",'QA Log'!Z:Z,"Rejected",'QA Log'!L:L,"*Vignette [4]: The management of presumptive TB patient*")
  )
)</f>
        <v/>
      </c>
      <c r="BC47" s="107" t="str">
        <f t="shared" si="9"/>
        <v/>
      </c>
      <c r="BD47" s="103" t="str">
        <f t="shared" si="10"/>
        <v/>
      </c>
      <c r="BE47" s="102" t="str">
        <f>IF(A47="","",SUM(
COUNTIFS('QA Log'!D:D,A47,'QA Log'!M:M,"Vignette",'QA Log'!L:L,"*Vignette [5] Labor*"),
COUNTIFS('QA Log'!D:D,A47,'QA Log'!M:M,"Vignette",'QA Log'!L:L,"*Vignette [6] PNC pre Discharge*"),
COUNTIFS('QA Log'!D:D,A47,'QA Log'!M:M,"Vignette",'QA Log'!L:L,"*Vignette [7] First ANC Visit*"),
COUNTIFS('QA Log'!D:D,A47,'QA Log'!M:M,"Vignette",'QA Log'!L:L,"*Vignette [8] Birth Spacing/ Family Planning :  FP Counselling*"),
COUNTIFS('QA Log'!D:D,A47,'QA Log'!M:M,"Vignette",'QA Log'!L:L,"*Vignette [9] Birth Spacing: Change FP method to Injectable*"),
COUNTIFS('QA Log'!D:D,A47,'QA Log'!M:M,"Vignette",'QA Log'!L:L,"*Vignette [10] Post Partum Haemorrhage - Atonic Uterus at Health Centre*"),
)
)</f>
        <v/>
      </c>
      <c r="BF47" s="102" t="str">
        <f>IF(A47="","",
  SUM(
    COUNTIFS('QA Log'!D:D,A47,'QA Log'!M:M,"Vignette",'QA Log'!Z:Z,"Approved",'QA Log'!L:L,"*Vignette [5] Labor*"),
    COUNTIFS('QA Log'!D:D,A47,'QA Log'!M:M,"Vignette",'QA Log'!Z:Z,"Approved",'QA Log'!L:L,"*Vignette [6] PNC pre Discharge*"),
    COUNTIFS('QA Log'!D:D,A47,'QA Log'!M:M,"Vignette",'QA Log'!Z:Z,"Approved",'QA Log'!L:L,"*Vignette [7] First ANC Visit*"),
    COUNTIFS('QA Log'!D:D,A47,'QA Log'!M:M,"Vignette",'QA Log'!Z:Z,"Approved",'QA Log'!L:L,"*Vignette [8] Birth Spacing/ Family Planning :  FP Counselling*"),
    COUNTIFS('QA Log'!D:D,A47,'QA Log'!M:M,"Vignette",'QA Log'!Z:Z,"Approved",'QA Log'!L:L,"*Vignette [9] Birth Spacing: Change FP method to Injectable*"),
    COUNTIFS('QA Log'!D:D,A47,'QA Log'!M:M,"Vignette",'QA Log'!Z:Z,"Approved",'QA Log'!L:L,"*Vignette [10] Post Partum Haemorrhage - Atonic Uterus at Health Centre*")
  )
)</f>
        <v/>
      </c>
      <c r="BG47" s="105" t="str">
        <f>IF(A47&lt;&gt;"",COUNTIFS('QA Log'!D:D,A47,'QA Log'!M:M,"Vignette",'QA Log'!L:L,"Vignette [5] Labor",'QA Log'!Z:Z,"Approved"),"")</f>
        <v/>
      </c>
      <c r="BH47" s="105" t="str">
        <f>IF(A47&lt;&gt;"",COUNTIFS('QA Log'!D:D,A47,'QA Log'!M:M,"Vignette",'QA Log'!L:L,"Vignette [6] PNC pre Discharge",'QA Log'!Z:Z,"Approved"),"")</f>
        <v/>
      </c>
      <c r="BI47" s="105" t="str">
        <f>IF(A47&lt;&gt;"",COUNTIFS('QA Log'!D:D,A47,'QA Log'!M:M,"Vignette",'QA Log'!L:L,"Vignette [7] First ANC Visit",'QA Log'!Z:Z,"Approved"),"")</f>
        <v/>
      </c>
      <c r="BJ47" s="105" t="str">
        <f>IF(A47&lt;&gt;"",COUNTIFS('QA Log'!D:D,A47,'QA Log'!M:M,"Vignette",'QA Log'!L:L,"Vignette [8] Birth Spacing/ Family Planning :  FP Counselling",'QA Log'!Z:Z,"Approved"),"")</f>
        <v/>
      </c>
      <c r="BK47" s="105" t="str">
        <f>IF(A47&lt;&gt;"",COUNTIFS('QA Log'!D:D,A47,'QA Log'!M:M,"Vignette",'QA Log'!L:L,"Vignette [9] Birth Spacing: Change FP method to Injectable",'QA Log'!Z:Z,"Approved"),"")</f>
        <v/>
      </c>
      <c r="BL47" s="105" t="str">
        <f>IF(A47&lt;&gt;"",COUNTIFS('QA Log'!D:D,A47,'QA Log'!M:M,"Vignette",'QA Log'!L:L,"Vignette [10] Post Partum Haemorrhage - Atonic Uterus at Health Centre",'QA Log'!Z:Z,"Approved"),"")</f>
        <v/>
      </c>
      <c r="BM47" s="102" t="str">
        <f>IF(A47="","",SUM(
    COUNTIFS('QA Log'!D:D,A47,'QA Log'!M:M,"Vignette",'QA Log'!Z:Z,"Rejected",'QA Log'!L:L,"*Vignette [5] Labor*"),
    COUNTIFS('QA Log'!D:D,A47,'QA Log'!M:M,"Vignette",'QA Log'!Z:Z,"Rejected",'QA Log'!L:L,"*Vignette [6] PNC pre Discharge*"),
    COUNTIFS('QA Log'!D:D,A47,'QA Log'!M:M,"Vignette",'QA Log'!Z:Z,"Rejected",'QA Log'!L:L,"*Vignette [7] First ANC Visit*"),
    COUNTIFS('QA Log'!D:D,A47,'QA Log'!M:M,"Vignette",'QA Log'!Z:Z,"Rejected",'QA Log'!L:L,"*Vignette [8] Birth Spacing/ Family Planning :  FP Counselling*"),
    COUNTIFS('QA Log'!D:D,A47,'QA Log'!M:M,"Vignette",'QA Log'!Z:Z,"Rejected",'QA Log'!L:L,"*Vignette [9] Birth Spacing: Change FP method to Injectable*"),
    COUNTIFS('QA Log'!D:D,A47,'QA Log'!M:M,"Vignette",'QA Log'!Z:Z,"Rejected",'QA Log'!L:L,"*Vignette [10] Post Partum Haemorrhage - Atonic Uterus at Health Centre*")
  )
)</f>
        <v/>
      </c>
      <c r="BN47" s="107" t="str">
        <f t="shared" si="11"/>
        <v/>
      </c>
      <c r="BO47" s="103" t="str">
        <f t="shared" si="12"/>
        <v/>
      </c>
      <c r="BP47" s="102" t="str">
        <f>IF(A47="","",SUM(
COUNTIFS('QA Log'!D:D,A47,'QA Log'!M:M,"Vignette",'QA Log'!L:L,"*Exit Interview 1*"),
COUNTIFS('QA Log'!D:D,A47,'QA Log'!M:M,"Vignette",'QA Log'!L:L,"*Exit Interview 2*"),
)
)</f>
        <v/>
      </c>
      <c r="BQ47" s="102" t="str">
        <f>IF(
  A47="","",
  SUM(
    COUNTIFS('QA Log'!D:D,A47,'QA Log'!M:M,"Vignette",'QA Log'!Z:Z,"Approved",'QA Log'!L:L,"*Exit Interview 1*"),
    COUNTIFS('QA Log'!D:D,A47,'QA Log'!M:M,"Vignette",'QA Log'!Z:Z,"Approved",'QA Log'!L:L,"*Exit Interview 2*")
  )
)</f>
        <v/>
      </c>
      <c r="BR47" s="105" t="str">
        <f>IF(A47&lt;&gt;"",COUNTIFS('QA Log'!D:D,A47,'QA Log'!M:M,"Vignette",'QA Log'!L:L,"Exit Interview 1",'QA Log'!Z:Z,"Approved"),"")</f>
        <v/>
      </c>
      <c r="BS47" s="105" t="str">
        <f>IF(A47&lt;&gt;"",COUNTIFS('QA Log'!D:D,A47,'QA Log'!M:M,"Vignette",'QA Log'!L:L,"Exit Interview 2",'QA Log'!Z:Z,"Approved"),"")</f>
        <v/>
      </c>
      <c r="BT47" s="102" t="str">
        <f>IF(
  A47="","",
  SUM(
    COUNTIFS('QA Log'!D:D,A47,'QA Log'!M:M,"Vignette",'QA Log'!Z:Z,"Rejected",'QA Log'!L:L,"*Exit Interview 1*"),
    COUNTIFS('QA Log'!D:D,A47,'QA Log'!M:M,"Vignette",'QA Log'!Z:Z,"Rejected",'QA Log'!L:L,"*Exit Interview 2*")
  )
)</f>
        <v/>
      </c>
      <c r="BU47" s="107" t="str">
        <f t="shared" si="13"/>
        <v/>
      </c>
      <c r="BV47" s="102" t="str">
        <f t="shared" si="14"/>
        <v/>
      </c>
      <c r="BW47" s="102" t="str">
        <f t="shared" si="15"/>
        <v/>
      </c>
      <c r="BX47" s="102" t="str">
        <f t="shared" si="16"/>
        <v/>
      </c>
      <c r="BY47" s="102" t="str">
        <f t="shared" si="17"/>
        <v/>
      </c>
      <c r="BZ47" s="107" t="str">
        <f t="shared" si="18"/>
        <v/>
      </c>
      <c r="CA47" s="108" t="str">
        <f t="shared" si="19"/>
        <v/>
      </c>
      <c r="CB47" s="108" t="str">
        <f t="shared" si="20"/>
        <v/>
      </c>
      <c r="CC47" s="109" t="str">
        <f t="shared" si="21"/>
        <v/>
      </c>
      <c r="CD47" s="108" t="str">
        <f t="shared" si="22"/>
        <v/>
      </c>
      <c r="CE47" s="108" t="str">
        <f t="shared" si="23"/>
        <v/>
      </c>
      <c r="CF47" s="109" t="str">
        <f t="shared" si="24"/>
        <v/>
      </c>
      <c r="CG47" s="110" t="str">
        <f t="shared" si="25"/>
        <v/>
      </c>
      <c r="CH47" s="111"/>
    </row>
    <row r="48" spans="1:86" ht="12.75">
      <c r="A48" s="101"/>
      <c r="B48" s="102" t="e">
        <f t="array" aca="1" ref="B48" ca="1">_xludf.XLOOKUP(A48,'QA Log'!D:D,'QA Log'!E:E,"")</f>
        <v>#NAME?</v>
      </c>
      <c r="C48" s="102" t="e">
        <f t="array" aca="1" ref="C48" ca="1">_xludf.XLOOKUP(A48,'QA Log'!D:D,'QA Log'!F:F,"")</f>
        <v>#NAME?</v>
      </c>
      <c r="D48" s="102" t="e">
        <f t="array" aca="1" ref="D48" ca="1">_xludf.XLOOKUP(A48,'QA Log'!D:D,'QA Log'!H:H,"")</f>
        <v>#NAME?</v>
      </c>
      <c r="E48" s="102" t="e">
        <f t="array" aca="1" ref="E48" ca="1">_xludf.XLOOKUP(A48,'QA Log'!D:D,'QA Log'!G:G,"")</f>
        <v>#NAME?</v>
      </c>
      <c r="F48" s="103"/>
      <c r="G48" s="104"/>
      <c r="H48" s="104"/>
      <c r="I48" s="103" t="str">
        <f t="shared" si="0"/>
        <v/>
      </c>
      <c r="J48" s="102" t="str">
        <f>IF(A48="","",SUM(
COUNTIFS('QA Log'!D:D,A48,'QA Log'!M:M,"QQC",'QA Log'!L:L,"*1. General Management*"),
COUNTIFS('QA Log'!D:D,A48,'QA Log'!M:M,"QQC",'QA Log'!L:L,"*3. Curative Consultation (OPD)*"),
COUNTIFS('QA Log'!D:D,A48,'QA Log'!M:M,"QQC",'QA Log'!L:L,"*5. Laboratory*"),
COUNTIFS('QA Log'!D:D,A48,'QA Log'!M:M,"QQC",'QA Log'!L:L,"*6. Essential Medicine Management*"),
COUNTIFS('QA Log'!D:D,A48,'QA Log'!M:M,"QQC",'QA Log'!L:L,"*7. Tracer Medicine*"),
COUNTIFS('QA Log'!D:D,A48,'QA Log'!M:M,"QQC",'QA Log'!L:L,"*11. Additional Questions*")))</f>
        <v/>
      </c>
      <c r="K48" s="102" t="str">
        <f>IF(A48="","",SUM(
COUNTIFS('QA Log'!D:D,A48,'QA Log'!M:M,"QQC",'QA Log'!Z:Z,"Approved",'QA Log'!L:L,"*1. General Management*"),
COUNTIFS('QA Log'!D:D,A48,'QA Log'!M:M,"QQC",'QA Log'!Z:Z,"Approved",'QA Log'!L:L,"*3. Curative Consultation (OPD)*"),
COUNTIFS('QA Log'!D:D,A48,'QA Log'!M:M,"QQC",'QA Log'!Z:Z,"Approved",'QA Log'!L:L,"*5. Laboratory*"),
COUNTIFS('QA Log'!D:D,A48,'QA Log'!M:M,"QQC",'QA Log'!Z:Z,"Approved",'QA Log'!L:L,"*6. Essential Medicine Management*"),
COUNTIFS('QA Log'!D:D,A48,'QA Log'!M:M,"QQC",'QA Log'!Z:Z,"Approved",'QA Log'!L:L,"*7. Tracer Medicine*"),
COUNTIFS('QA Log'!D:D,A48,'QA Log'!M:M,"QQC",'QA Log'!Z:Z,"Approved",'QA Log'!L:L,"*11. Additional Questions*")))</f>
        <v/>
      </c>
      <c r="L48" s="105" t="str">
        <f>IF(A48&lt;&gt;"",COUNTIFS('QA Log'!D:D,A48,'QA Log'!M:M,"QQC",'QA Log'!L:L,"1. General Management",'QA Log'!Z:Z,"Approved"),"")</f>
        <v/>
      </c>
      <c r="M48" s="105" t="str">
        <f>IF(A48&lt;&gt;"",COUNTIFS('QA Log'!D:D,A48,'QA Log'!M:M,"QQC",'QA Log'!L:L,"3. Curative Consultation (OPD)",'QA Log'!Z:Z,"Approved"),"")</f>
        <v/>
      </c>
      <c r="N48" s="105" t="str">
        <f>IF(A48&lt;&gt;"",COUNTIFS('QA Log'!D:D,A48,'QA Log'!M:M,"QQC",'QA Log'!L:L,"5. Laboratory",'QA Log'!Z:Z,"Approved"),"")</f>
        <v/>
      </c>
      <c r="O48" s="105" t="str">
        <f>IF(A48&lt;&gt;"",COUNTIFS('QA Log'!D:D,A48,'QA Log'!M:M,"QQC",'QA Log'!L:L,"6. Essential Medicine Management",'QA Log'!Z:Z,"Approved"),"")</f>
        <v/>
      </c>
      <c r="P48" s="105" t="str">
        <f>IF(A48&lt;&gt;"",COUNTIFS('QA Log'!D:D,A48,'QA Log'!M:M,"QQC",'QA Log'!L:L,"7. Tracer Medicine",'QA Log'!Z:Z,"Approved"),"")</f>
        <v/>
      </c>
      <c r="Q48" s="105" t="str">
        <f>IF(A48&lt;&gt;"",COUNTIFS('QA Log'!D:D,A48,'QA Log'!M:M,"QQC",'QA Log'!L:L,"11. Additional Questions",'QA Log'!Z:Z,"Approved"),"")</f>
        <v/>
      </c>
      <c r="R48" s="102" t="str">
        <f>IF(A48="","",SUM(
COUNTIFS('QA Log'!D:D,A48,'QA Log'!M:M,"QQC",'QA Log'!Z:Z,"Rejected",'QA Log'!L:L,"*8. Maternity*"),
COUNTIFS('QA Log'!D:D,A48,'QA Log'!M:M,"QQC",'QA Log'!Z:Z,"Rejected",'QA Log'!L:L,"*EPI*"),
COUNTIFS('QA Log'!D:D,A48,'QA Log'!M:M,"QQC",'QA Log'!Z:Z,"Rejected",'QA Log'!L:L,"*10. Antenatal Care (ANC)*"),
COUNTIFS('QA Log'!D:D,A48,'QA Log'!M:M,"QQC",'QA Log'!Z:Z,"Rejected",'QA Log'!L:L,"*2. Hygiene and Sterilization*"),
COUNTIFS('QA Log'!D:D,A48,'QA Log'!M:M,"QQC",'QA Log'!Z:Z,"Rejected",'QA Log'!L:L,"*Family Planning*")))</f>
        <v/>
      </c>
      <c r="S48" s="106" t="str">
        <f t="shared" si="1"/>
        <v/>
      </c>
      <c r="T48" s="102" t="str">
        <f t="shared" si="2"/>
        <v/>
      </c>
      <c r="U48" s="102" t="str">
        <f>IF(A48="","",
SUM(
COUNTIFS('QA Log'!D:D,A48,'QA Log'!M:M,"QQC",'QA Log'!L:L,"*8. Maternity*"),
COUNTIFS('QA Log'!D:D,A48,'QA Log'!M:M,"QQC",'QA Log'!L:L,"*9. EPI and Pre-school Consultation*"),
COUNTIFS('QA Log'!D:D,A48,'QA Log'!M:M,"QQC",'QA Log'!L:L,"*10. Antenatal Care (ANC)*"),
COUNTIFS('QA Log'!D:D,A48,'QA Log'!M:M,"QQC",'QA Log'!L:L,"*2. Hygiene and Sterilization*"),
COUNTIFS('QA Log'!D:D,A48,'QA Log'!M:M,"QQC",'QA Log'!L:L,"*4. Family Planning*")
))</f>
        <v/>
      </c>
      <c r="V48" s="102" t="str">
        <f>IF(A48="","",
SUM(
COUNTIFS('QA Log'!D:D,A48,'QA Log'!M:M,"QQC",'QA Log'!Z:Z,"Approved",'QA Log'!L:L,"*8. Maternity*"),
COUNTIFS('QA Log'!D:D,A48,'QA Log'!M:M,"QQC",'QA Log'!Z:Z,"Approved",'QA Log'!L:L,"*9. EPI and Pre-school Consultation*"),
COUNTIFS('QA Log'!D:D,A48,'QA Log'!M:M,"QQC",'QA Log'!Z:Z,"Approved",'QA Log'!L:L,"*10. Antenatal Care (ANC)*"),
COUNTIFS('QA Log'!D:D,A48,'QA Log'!M:M,"QQC",'QA Log'!Z:Z,"Approved",'QA Log'!L:L,"*2. Hygiene and Sterilization*"),
COUNTIFS('QA Log'!D:D,A48,'QA Log'!M:M,"QQC",'QA Log'!Z:Z,"Approved",'QA Log'!L:L,"*4. Family Planning*")
))</f>
        <v/>
      </c>
      <c r="W48" s="105" t="str">
        <f>IF(A48&lt;&gt;"",COUNTIFS('QA Log'!D:D,A48,'QA Log'!M:M,"QQC",'QA Log'!L:L,"8. Maternity",'QA Log'!Z:Z,"Approved"),"")</f>
        <v/>
      </c>
      <c r="X48" s="105" t="str">
        <f>IF(A48&lt;&gt;"",COUNTIFS('QA Log'!D:D,A48,'QA Log'!M:M,"QQC",'QA Log'!L:L,"9. EPI and Pre-school Consultation",'QA Log'!Z:Z,"Approved"),"")</f>
        <v/>
      </c>
      <c r="Y48" s="105" t="str">
        <f>IF(A48&lt;&gt;"",COUNTIFS('QA Log'!D:D,A48,'QA Log'!M:M,"QQC",'QA Log'!L:L,"10. Antenatal Care (ANC)",'QA Log'!Z:Z,"Approved"),"")</f>
        <v/>
      </c>
      <c r="Z48" s="105" t="str">
        <f>IF(A48&lt;&gt;"",COUNTIFS('QA Log'!D:D,A48,'QA Log'!M:M,"QQC",'QA Log'!L:L,"2. Hygiene and Sterilization",'QA Log'!Z:Z,"Approved"),"")</f>
        <v/>
      </c>
      <c r="AA48" s="105" t="str">
        <f>IF(A48&lt;&gt;"",COUNTIFS('QA Log'!D:D,A48,'QA Log'!M:M,"QQC",'QA Log'!L:L,"4. Family Planning",'QA Log'!Z:Z,"Approved"),"")</f>
        <v/>
      </c>
      <c r="AB48" s="102" t="str">
        <f>IF(A48="","",
SUM(
COUNTIFS('QA Log'!D:D,A48,'QA Log'!M:M,"QQC",'QA Log'!Z:Z,"Rejected",'QA Log'!L:L,"*8. Maternity*"),
COUNTIFS('QA Log'!D:D,A48,'QA Log'!M:M,"QQC",'QA Log'!Z:Z,"Rejected",'QA Log'!L:L,"*9. EPI and Pre-school Consultation*"),
COUNTIFS('QA Log'!D:D,A48,'QA Log'!M:M,"QQC",'QA Log'!Z:Z,"Rejected",'QA Log'!L:L,"*10. Antenatal Care (ANC)*"),
COUNTIFS('QA Log'!D:D,A48,'QA Log'!M:M,"QQC",'QA Log'!Z:Z,"Rejected",'QA Log'!L:L,"*2. Hygiene and Sterilization*"),
COUNTIFS('QA Log'!D:D,A48,'QA Log'!M:M,"QQC",'QA Log'!Z:Z,"Rejected",'QA Log'!L:L,"*4. Family Planning*")
))</f>
        <v/>
      </c>
      <c r="AC48" s="102" t="str">
        <f t="shared" si="3"/>
        <v/>
      </c>
      <c r="AD48" s="103" t="str">
        <f t="shared" si="4"/>
        <v/>
      </c>
      <c r="AE48" s="102" t="str">
        <f>IF(A48="","",
SUM(
COUNTIFS('QA Log'!D:D,A48,'QA Log'!M:M,"Data Verification",'QA Log'!L:L,"*Medicine (section 2)*"),
COUNTIFS('QA Log'!D:D,A48,'QA Log'!M:M,"Data Verification",'QA Log'!L:L,"*Lab Testing Availability*"),
COUNTIFS('QA Log'!D:D,A48,'QA Log'!M:M,"Data Verification",'QA Log'!L:L,"*Other than P4P (section 6)*"),
COUNTIFS('QA Log'!D:D,A48,'QA Log'!M:M,"Data Verification",'QA Log'!L:L,"*Hospital Governance*")
))</f>
        <v/>
      </c>
      <c r="AF48" s="102" t="str">
        <f>IF(A48="","",
SUM(
COUNTIFS('QA Log'!D:D,A48,'QA Log'!M:M,"Data Verification",'QA Log'!Z:Z,"Approved",'QA Log'!L:L,"*Medicine (section 2)*"),
COUNTIFS('QA Log'!D:D,A48,'QA Log'!M:M,"Data Verification",'QA Log'!Z:Z,"Approved",'QA Log'!L:L,"*Lab Testing Availability*"),
COUNTIFS('QA Log'!D:D,A48,'QA Log'!M:M,"Data Verification",'QA Log'!Z:Z,"Approved",'QA Log'!L:L,"*Other than P4P (section 6)*"),
COUNTIFS('QA Log'!D:D,A48,'QA Log'!M:M,"Data Verification",'QA Log'!Z:Z,"Approved",'QA Log'!L:L,"*Hospital Governance*")
))</f>
        <v/>
      </c>
      <c r="AG48" s="105" t="str">
        <f>IF(A48&lt;&gt;"",COUNTIFS('QA Log'!D:D,A48,'QA Log'!M:M,"Data Verification",'QA Log'!L:L,"Medicine (section 2)",'QA Log'!Z:Z,"Approved"),"")</f>
        <v/>
      </c>
      <c r="AH48" s="105" t="str">
        <f>IF(A48&lt;&gt;"",COUNTIFS('QA Log'!D:D,A48,'QA Log'!M:M,"Data Verification",'QA Log'!L:L,"Lab Testing Availability",'QA Log'!Z:Z,"Approved"),"")</f>
        <v/>
      </c>
      <c r="AI48" s="105" t="str">
        <f>IF(A48&lt;&gt;"",COUNTIFS('QA Log'!D:D,A48,'QA Log'!M:M,"Data Verification",'QA Log'!L:L,"Other than P4P (section 6)",'QA Log'!Z:Z,"Approved"),"")</f>
        <v/>
      </c>
      <c r="AJ48" s="105" t="str">
        <f>IF(A48&lt;&gt;"",COUNTIFS('QA Log'!D:D,A48,'QA Log'!M:M,"Data Verification",'QA Log'!L:L,"Hospital Governance",'QA Log'!Z:Z,"Approved"),"")</f>
        <v/>
      </c>
      <c r="AK48" s="102" t="str">
        <f>IF(A48="","",
SUM(
COUNTIFS('QA Log'!D:D,A48,'QA Log'!M:M,"Data Verification",'QA Log'!Z:Z,"Rejected",'QA Log'!L:L,"*Medicine (section 2)*"),
COUNTIFS('QA Log'!D:D,A48,'QA Log'!M:M,"Data Verification",'QA Log'!Z:Z,"Rejected",'QA Log'!L:L,"*Lab Testing Availability*"),
COUNTIFS('QA Log'!D:D,A48,'QA Log'!M:M,"Data Verification",'QA Log'!Z:Z,"Rejected",'QA Log'!L:L,"*Other than P4P (section 6)*"),
COUNTIFS('QA Log'!D:D,A48,'QA Log'!M:M,"Data Verification",'QA Log'!Z:Z,"Rejected",'QA Log'!L:L,"*Hospital Governance*")
))</f>
        <v/>
      </c>
      <c r="AL48" s="106" t="str">
        <f t="shared" si="5"/>
        <v/>
      </c>
      <c r="AM48" s="102" t="str">
        <f t="shared" si="6"/>
        <v/>
      </c>
      <c r="AN48" s="102" t="str">
        <f>IF(A48="","",
SUM(
COUNTIFS('QA Log'!D:D,A48,'QA Log'!M:M,"Data Verification",'QA Log'!L:L,"*Personnel (section 1)*"),
COUNTIFS('QA Log'!D:D,A48,'QA Log'!M:M,"Data Verification",'QA Log'!L:L,"*Consumable (section 3)*"),
COUNTIFS('QA Log'!D:D,A48,'QA Log'!M:M,"Data Verification",'QA Log'!L:L,"*Equipments (section 4)*")
))</f>
        <v/>
      </c>
      <c r="AO48" s="102" t="str">
        <f>IF(A48="","",
SUM(
COUNTIFS('QA Log'!D:D,A48,'QA Log'!M:M,"Data Verification",'QA Log'!Z:Z,"Approved",'QA Log'!L:L,"*Personnel (section 1)*"),
COUNTIFS('QA Log'!D:D,A48,'QA Log'!M:M,"Data Verification",'QA Log'!Z:Z,"Approved",'QA Log'!L:L,"*Consumable (section 3)*"),
COUNTIFS('QA Log'!D:D,A48,'QA Log'!M:M,"Data Verification",'QA Log'!Z:Z,"Approved",'QA Log'!L:L,"*Equipments (section 4)*")
))</f>
        <v/>
      </c>
      <c r="AP48" s="105" t="str">
        <f>IF(A48&lt;&gt;"",COUNTIFS('QA Log'!D:D,A48,'QA Log'!M:M,"Data Verification",'QA Log'!L:L,"Personnel (section 1)",'QA Log'!Z:Z,"Approved"),"")</f>
        <v/>
      </c>
      <c r="AQ48" s="105" t="str">
        <f>IF(A48&lt;&gt;"",COUNTIFS('QA Log'!D:D,A48,'QA Log'!M:M,"Data Verification",'QA Log'!L:L,"Consumable (section 3)",'QA Log'!Z:Z,"Approved"),"")</f>
        <v/>
      </c>
      <c r="AR48" s="105" t="str">
        <f>IF(A48&lt;&gt;"",COUNTIFS('QA Log'!D:D,A48,'QA Log'!M:M,"Data Verification",'QA Log'!L:L,"Equipments (section 4)",'QA Log'!Z:Z,"Approved"),"")</f>
        <v/>
      </c>
      <c r="AS48" s="102" t="str">
        <f>IF(A48="","",
SUM(
COUNTIFS('QA Log'!D:D,A48,'QA Log'!M:M,"Data Verification",'QA Log'!Z:Z,"Rejected",'QA Log'!L:L,"*Personnel (section 1)*"),
COUNTIFS('QA Log'!D:D,A48,'QA Log'!M:M,"Data Verification",'QA Log'!Z:Z,"Rejected",'QA Log'!L:L,"*Consumable (section 3)*"),
COUNTIFS('QA Log'!D:D,A48,'QA Log'!M:M,"Data Verification",'QA Log'!Z:Z,"Rejected",'QA Log'!L:L,"*Equipments (section 4)*")
))</f>
        <v/>
      </c>
      <c r="AT48" s="102" t="str">
        <f t="shared" si="7"/>
        <v/>
      </c>
      <c r="AU48" s="103" t="str">
        <f t="shared" si="8"/>
        <v/>
      </c>
      <c r="AV48" s="102" t="str">
        <f>IF(A48="","",SUM(
COUNTIFS('QA Log'!D:D,A48,'QA Log'!M:M,"Vignette",'QA Log'!L:L,"*Vignette [1] Respiratory Infection: Pneumonia*"),
COUNTIFS('QA Log'!D:D,A48,'QA Log'!M:M,"Vignette",'QA Log'!L:L,"*Vignette [2]: Diarrhea with Cat B dehydration*"),
COUNTIFS('QA Log'!D:D,A48,'QA Log'!M:M,"Vignette",'QA Log'!L:L,"*Vignette [3] Growth Monitoring and Promotion*"),
COUNTIFS('QA Log'!D:D,A48,'QA Log'!M:M,"Vignette",'QA Log'!L:L,"*Vignette [4]: The management of presumptive TB patient*")
)
)</f>
        <v/>
      </c>
      <c r="AW48" s="102" t="str">
        <f>IF(
  A48="","",
  SUM(
    COUNTIFS('QA Log'!D:D,A48,'QA Log'!M:M,"Vignette",'QA Log'!Z:Z,"Approved",'QA Log'!L:L,"*Vignette [1] Respiratory Infection: Pneumonia*"),
    COUNTIFS('QA Log'!D:D,A48,'QA Log'!M:M,"Vignette",'QA Log'!Z:Z,"Approved",'QA Log'!L:L,"*Vignette [2]: Diarrhea with Cat B dehydration*"),
    COUNTIFS('QA Log'!D:D,A48,'QA Log'!M:M,"Vignette",'QA Log'!Z:Z,"Approved",'QA Log'!L:L,"*Vignette [3] Growth Monitoring and Promotion*"),
    COUNTIFS('QA Log'!D:D,A48,'QA Log'!M:M,"Vignette",'QA Log'!Z:Z,"Approved",'QA Log'!L:L,"*Vignette [4]: The management of presumptive TB patient*")
  )
)</f>
        <v/>
      </c>
      <c r="AX48" s="105" t="str">
        <f>IF(A48&lt;&gt;"",COUNTIFS('QA Log'!D:D,A48,'QA Log'!M:M,"Vignette",'QA Log'!L:L,"Vignette [1] Respiratory Infection: Pneumonia",'QA Log'!Z:Z,"Approved"),"")</f>
        <v/>
      </c>
      <c r="AY48" s="105" t="str">
        <f>IF(A48&lt;&gt;"",COUNTIFS('QA Log'!D:D,A48,'QA Log'!M:M,"Vignette",'QA Log'!L:L,"Vignette [2]: Diarrhea with Cat B dehydration",'QA Log'!Z:Z,"Approved"),"")</f>
        <v/>
      </c>
      <c r="AZ48" s="105" t="str">
        <f>IF(A48&lt;&gt;"",COUNTIFS('QA Log'!D:D,A48,'QA Log'!M:M,"Vignette",'QA Log'!L:L,"Vignette [3] Growth Monitoring and Promotion",'QA Log'!Z:Z,"Approved"),"")</f>
        <v/>
      </c>
      <c r="BA48" s="105" t="str">
        <f>IF(A48&lt;&gt;"",COUNTIFS('QA Log'!D:D,A48,'QA Log'!M:M,"Vignette",'QA Log'!L:L,"Vignette [4]: The management of presumptive TB patient",'QA Log'!Z:Z,"Approved"),"")</f>
        <v/>
      </c>
      <c r="BB48" s="102" t="str">
        <f>IF(A48="","",
  SUM(
    COUNTIFS('QA Log'!D:D,A48,'QA Log'!M:M,"Vignette",'QA Log'!Z:Z,"Rejected",'QA Log'!L:L,"*Vignette [1] Respiratory Infection: Pneumonia*"),
    COUNTIFS('QA Log'!D:D,A48,'QA Log'!M:M,"Vignette",'QA Log'!Z:Z,"Rejected",'QA Log'!L:L,"*Vignette [2]: Diarrhea with Cat B dehydration*"),
    COUNTIFS('QA Log'!D:D,A48,'QA Log'!M:M,"Vignette",'QA Log'!Z:Z,"Rejected",'QA Log'!L:L,"*Vignette [3] Growth Monitoring and Promotion*"),
    COUNTIFS('QA Log'!D:D,A48,'QA Log'!M:M,"Vignette",'QA Log'!Z:Z,"Rejected",'QA Log'!L:L,"*Vignette [4]: The management of presumptive TB patient*")
  )
)</f>
        <v/>
      </c>
      <c r="BC48" s="107" t="str">
        <f t="shared" si="9"/>
        <v/>
      </c>
      <c r="BD48" s="103" t="str">
        <f t="shared" si="10"/>
        <v/>
      </c>
      <c r="BE48" s="102" t="str">
        <f>IF(A48="","",SUM(
COUNTIFS('QA Log'!D:D,A48,'QA Log'!M:M,"Vignette",'QA Log'!L:L,"*Vignette [5] Labor*"),
COUNTIFS('QA Log'!D:D,A48,'QA Log'!M:M,"Vignette",'QA Log'!L:L,"*Vignette [6] PNC pre Discharge*"),
COUNTIFS('QA Log'!D:D,A48,'QA Log'!M:M,"Vignette",'QA Log'!L:L,"*Vignette [7] First ANC Visit*"),
COUNTIFS('QA Log'!D:D,A48,'QA Log'!M:M,"Vignette",'QA Log'!L:L,"*Vignette [8] Birth Spacing/ Family Planning :  FP Counselling*"),
COUNTIFS('QA Log'!D:D,A48,'QA Log'!M:M,"Vignette",'QA Log'!L:L,"*Vignette [9] Birth Spacing: Change FP method to Injectable*"),
COUNTIFS('QA Log'!D:D,A48,'QA Log'!M:M,"Vignette",'QA Log'!L:L,"*Vignette [10] Post Partum Haemorrhage - Atonic Uterus at Health Centre*"),
)
)</f>
        <v/>
      </c>
      <c r="BF48" s="102" t="str">
        <f>IF(A48="","",
  SUM(
    COUNTIFS('QA Log'!D:D,A48,'QA Log'!M:M,"Vignette",'QA Log'!Z:Z,"Approved",'QA Log'!L:L,"*Vignette [5] Labor*"),
    COUNTIFS('QA Log'!D:D,A48,'QA Log'!M:M,"Vignette",'QA Log'!Z:Z,"Approved",'QA Log'!L:L,"*Vignette [6] PNC pre Discharge*"),
    COUNTIFS('QA Log'!D:D,A48,'QA Log'!M:M,"Vignette",'QA Log'!Z:Z,"Approved",'QA Log'!L:L,"*Vignette [7] First ANC Visit*"),
    COUNTIFS('QA Log'!D:D,A48,'QA Log'!M:M,"Vignette",'QA Log'!Z:Z,"Approved",'QA Log'!L:L,"*Vignette [8] Birth Spacing/ Family Planning :  FP Counselling*"),
    COUNTIFS('QA Log'!D:D,A48,'QA Log'!M:M,"Vignette",'QA Log'!Z:Z,"Approved",'QA Log'!L:L,"*Vignette [9] Birth Spacing: Change FP method to Injectable*"),
    COUNTIFS('QA Log'!D:D,A48,'QA Log'!M:M,"Vignette",'QA Log'!Z:Z,"Approved",'QA Log'!L:L,"*Vignette [10] Post Partum Haemorrhage - Atonic Uterus at Health Centre*")
  )
)</f>
        <v/>
      </c>
      <c r="BG48" s="105" t="str">
        <f>IF(A48&lt;&gt;"",COUNTIFS('QA Log'!D:D,A48,'QA Log'!M:M,"Vignette",'QA Log'!L:L,"Vignette [5] Labor",'QA Log'!Z:Z,"Approved"),"")</f>
        <v/>
      </c>
      <c r="BH48" s="105" t="str">
        <f>IF(A48&lt;&gt;"",COUNTIFS('QA Log'!D:D,A48,'QA Log'!M:M,"Vignette",'QA Log'!L:L,"Vignette [6] PNC pre Discharge",'QA Log'!Z:Z,"Approved"),"")</f>
        <v/>
      </c>
      <c r="BI48" s="105" t="str">
        <f>IF(A48&lt;&gt;"",COUNTIFS('QA Log'!D:D,A48,'QA Log'!M:M,"Vignette",'QA Log'!L:L,"Vignette [7] First ANC Visit",'QA Log'!Z:Z,"Approved"),"")</f>
        <v/>
      </c>
      <c r="BJ48" s="105" t="str">
        <f>IF(A48&lt;&gt;"",COUNTIFS('QA Log'!D:D,A48,'QA Log'!M:M,"Vignette",'QA Log'!L:L,"Vignette [8] Birth Spacing/ Family Planning :  FP Counselling",'QA Log'!Z:Z,"Approved"),"")</f>
        <v/>
      </c>
      <c r="BK48" s="105" t="str">
        <f>IF(A48&lt;&gt;"",COUNTIFS('QA Log'!D:D,A48,'QA Log'!M:M,"Vignette",'QA Log'!L:L,"Vignette [9] Birth Spacing: Change FP method to Injectable",'QA Log'!Z:Z,"Approved"),"")</f>
        <v/>
      </c>
      <c r="BL48" s="105" t="str">
        <f>IF(A48&lt;&gt;"",COUNTIFS('QA Log'!D:D,A48,'QA Log'!M:M,"Vignette",'QA Log'!L:L,"Vignette [10] Post Partum Haemorrhage - Atonic Uterus at Health Centre",'QA Log'!Z:Z,"Approved"),"")</f>
        <v/>
      </c>
      <c r="BM48" s="102" t="str">
        <f>IF(A48="","",SUM(
    COUNTIFS('QA Log'!D:D,A48,'QA Log'!M:M,"Vignette",'QA Log'!Z:Z,"Rejected",'QA Log'!L:L,"*Vignette [5] Labor*"),
    COUNTIFS('QA Log'!D:D,A48,'QA Log'!M:M,"Vignette",'QA Log'!Z:Z,"Rejected",'QA Log'!L:L,"*Vignette [6] PNC pre Discharge*"),
    COUNTIFS('QA Log'!D:D,A48,'QA Log'!M:M,"Vignette",'QA Log'!Z:Z,"Rejected",'QA Log'!L:L,"*Vignette [7] First ANC Visit*"),
    COUNTIFS('QA Log'!D:D,A48,'QA Log'!M:M,"Vignette",'QA Log'!Z:Z,"Rejected",'QA Log'!L:L,"*Vignette [8] Birth Spacing/ Family Planning :  FP Counselling*"),
    COUNTIFS('QA Log'!D:D,A48,'QA Log'!M:M,"Vignette",'QA Log'!Z:Z,"Rejected",'QA Log'!L:L,"*Vignette [9] Birth Spacing: Change FP method to Injectable*"),
    COUNTIFS('QA Log'!D:D,A48,'QA Log'!M:M,"Vignette",'QA Log'!Z:Z,"Rejected",'QA Log'!L:L,"*Vignette [10] Post Partum Haemorrhage - Atonic Uterus at Health Centre*")
  )
)</f>
        <v/>
      </c>
      <c r="BN48" s="107" t="str">
        <f t="shared" si="11"/>
        <v/>
      </c>
      <c r="BO48" s="103" t="str">
        <f t="shared" si="12"/>
        <v/>
      </c>
      <c r="BP48" s="102" t="str">
        <f>IF(A48="","",SUM(
COUNTIFS('QA Log'!D:D,A48,'QA Log'!M:M,"Vignette",'QA Log'!L:L,"*Exit Interview 1*"),
COUNTIFS('QA Log'!D:D,A48,'QA Log'!M:M,"Vignette",'QA Log'!L:L,"*Exit Interview 2*"),
)
)</f>
        <v/>
      </c>
      <c r="BQ48" s="102" t="str">
        <f>IF(
  A48="","",
  SUM(
    COUNTIFS('QA Log'!D:D,A48,'QA Log'!M:M,"Vignette",'QA Log'!Z:Z,"Approved",'QA Log'!L:L,"*Exit Interview 1*"),
    COUNTIFS('QA Log'!D:D,A48,'QA Log'!M:M,"Vignette",'QA Log'!Z:Z,"Approved",'QA Log'!L:L,"*Exit Interview 2*")
  )
)</f>
        <v/>
      </c>
      <c r="BR48" s="105" t="str">
        <f>IF(A48&lt;&gt;"",COUNTIFS('QA Log'!D:D,A48,'QA Log'!M:M,"Vignette",'QA Log'!L:L,"Exit Interview 1",'QA Log'!Z:Z,"Approved"),"")</f>
        <v/>
      </c>
      <c r="BS48" s="105" t="str">
        <f>IF(A48&lt;&gt;"",COUNTIFS('QA Log'!D:D,A48,'QA Log'!M:M,"Vignette",'QA Log'!L:L,"Exit Interview 2",'QA Log'!Z:Z,"Approved"),"")</f>
        <v/>
      </c>
      <c r="BT48" s="102" t="str">
        <f>IF(
  A48="","",
  SUM(
    COUNTIFS('QA Log'!D:D,A48,'QA Log'!M:M,"Vignette",'QA Log'!Z:Z,"Rejected",'QA Log'!L:L,"*Exit Interview 1*"),
    COUNTIFS('QA Log'!D:D,A48,'QA Log'!M:M,"Vignette",'QA Log'!Z:Z,"Rejected",'QA Log'!L:L,"*Exit Interview 2*")
  )
)</f>
        <v/>
      </c>
      <c r="BU48" s="107" t="str">
        <f t="shared" si="13"/>
        <v/>
      </c>
      <c r="BV48" s="102" t="str">
        <f t="shared" si="14"/>
        <v/>
      </c>
      <c r="BW48" s="102" t="str">
        <f t="shared" si="15"/>
        <v/>
      </c>
      <c r="BX48" s="102" t="str">
        <f t="shared" si="16"/>
        <v/>
      </c>
      <c r="BY48" s="102" t="str">
        <f t="shared" si="17"/>
        <v/>
      </c>
      <c r="BZ48" s="107" t="str">
        <f t="shared" si="18"/>
        <v/>
      </c>
      <c r="CA48" s="108" t="str">
        <f t="shared" si="19"/>
        <v/>
      </c>
      <c r="CB48" s="108" t="str">
        <f t="shared" si="20"/>
        <v/>
      </c>
      <c r="CC48" s="109" t="str">
        <f t="shared" si="21"/>
        <v/>
      </c>
      <c r="CD48" s="108" t="str">
        <f t="shared" si="22"/>
        <v/>
      </c>
      <c r="CE48" s="108" t="str">
        <f t="shared" si="23"/>
        <v/>
      </c>
      <c r="CF48" s="109" t="str">
        <f t="shared" si="24"/>
        <v/>
      </c>
      <c r="CG48" s="110" t="str">
        <f t="shared" si="25"/>
        <v/>
      </c>
      <c r="CH48" s="111"/>
    </row>
    <row r="49" spans="1:86" ht="12.75">
      <c r="A49" s="101"/>
      <c r="B49" s="102" t="e">
        <f t="array" aca="1" ref="B49" ca="1">_xludf.XLOOKUP(A49,'QA Log'!D:D,'QA Log'!E:E,"")</f>
        <v>#NAME?</v>
      </c>
      <c r="C49" s="102" t="e">
        <f t="array" aca="1" ref="C49" ca="1">_xludf.XLOOKUP(A49,'QA Log'!D:D,'QA Log'!F:F,"")</f>
        <v>#NAME?</v>
      </c>
      <c r="D49" s="102" t="e">
        <f t="array" aca="1" ref="D49" ca="1">_xludf.XLOOKUP(A49,'QA Log'!D:D,'QA Log'!H:H,"")</f>
        <v>#NAME?</v>
      </c>
      <c r="E49" s="102" t="e">
        <f t="array" aca="1" ref="E49" ca="1">_xludf.XLOOKUP(A49,'QA Log'!D:D,'QA Log'!G:G,"")</f>
        <v>#NAME?</v>
      </c>
      <c r="F49" s="103"/>
      <c r="G49" s="104"/>
      <c r="H49" s="104"/>
      <c r="I49" s="103" t="str">
        <f t="shared" si="0"/>
        <v/>
      </c>
      <c r="J49" s="102" t="str">
        <f>IF(A49="","",SUM(
COUNTIFS('QA Log'!D:D,A49,'QA Log'!M:M,"QQC",'QA Log'!L:L,"*1. General Management*"),
COUNTIFS('QA Log'!D:D,A49,'QA Log'!M:M,"QQC",'QA Log'!L:L,"*3. Curative Consultation (OPD)*"),
COUNTIFS('QA Log'!D:D,A49,'QA Log'!M:M,"QQC",'QA Log'!L:L,"*5. Laboratory*"),
COUNTIFS('QA Log'!D:D,A49,'QA Log'!M:M,"QQC",'QA Log'!L:L,"*6. Essential Medicine Management*"),
COUNTIFS('QA Log'!D:D,A49,'QA Log'!M:M,"QQC",'QA Log'!L:L,"*7. Tracer Medicine*"),
COUNTIFS('QA Log'!D:D,A49,'QA Log'!M:M,"QQC",'QA Log'!L:L,"*11. Additional Questions*")))</f>
        <v/>
      </c>
      <c r="K49" s="102" t="str">
        <f>IF(A49="","",SUM(
COUNTIFS('QA Log'!D:D,A49,'QA Log'!M:M,"QQC",'QA Log'!Z:Z,"Approved",'QA Log'!L:L,"*1. General Management*"),
COUNTIFS('QA Log'!D:D,A49,'QA Log'!M:M,"QQC",'QA Log'!Z:Z,"Approved",'QA Log'!L:L,"*3. Curative Consultation (OPD)*"),
COUNTIFS('QA Log'!D:D,A49,'QA Log'!M:M,"QQC",'QA Log'!Z:Z,"Approved",'QA Log'!L:L,"*5. Laboratory*"),
COUNTIFS('QA Log'!D:D,A49,'QA Log'!M:M,"QQC",'QA Log'!Z:Z,"Approved",'QA Log'!L:L,"*6. Essential Medicine Management*"),
COUNTIFS('QA Log'!D:D,A49,'QA Log'!M:M,"QQC",'QA Log'!Z:Z,"Approved",'QA Log'!L:L,"*7. Tracer Medicine*"),
COUNTIFS('QA Log'!D:D,A49,'QA Log'!M:M,"QQC",'QA Log'!Z:Z,"Approved",'QA Log'!L:L,"*11. Additional Questions*")))</f>
        <v/>
      </c>
      <c r="L49" s="105" t="str">
        <f>IF(A49&lt;&gt;"",COUNTIFS('QA Log'!D:D,A49,'QA Log'!M:M,"QQC",'QA Log'!L:L,"1. General Management",'QA Log'!Z:Z,"Approved"),"")</f>
        <v/>
      </c>
      <c r="M49" s="105" t="str">
        <f>IF(A49&lt;&gt;"",COUNTIFS('QA Log'!D:D,A49,'QA Log'!M:M,"QQC",'QA Log'!L:L,"3. Curative Consultation (OPD)",'QA Log'!Z:Z,"Approved"),"")</f>
        <v/>
      </c>
      <c r="N49" s="105" t="str">
        <f>IF(A49&lt;&gt;"",COUNTIFS('QA Log'!D:D,A49,'QA Log'!M:M,"QQC",'QA Log'!L:L,"5. Laboratory",'QA Log'!Z:Z,"Approved"),"")</f>
        <v/>
      </c>
      <c r="O49" s="105" t="str">
        <f>IF(A49&lt;&gt;"",COUNTIFS('QA Log'!D:D,A49,'QA Log'!M:M,"QQC",'QA Log'!L:L,"6. Essential Medicine Management",'QA Log'!Z:Z,"Approved"),"")</f>
        <v/>
      </c>
      <c r="P49" s="105" t="str">
        <f>IF(A49&lt;&gt;"",COUNTIFS('QA Log'!D:D,A49,'QA Log'!M:M,"QQC",'QA Log'!L:L,"7. Tracer Medicine",'QA Log'!Z:Z,"Approved"),"")</f>
        <v/>
      </c>
      <c r="Q49" s="105" t="str">
        <f>IF(A49&lt;&gt;"",COUNTIFS('QA Log'!D:D,A49,'QA Log'!M:M,"QQC",'QA Log'!L:L,"11. Additional Questions",'QA Log'!Z:Z,"Approved"),"")</f>
        <v/>
      </c>
      <c r="R49" s="102" t="str">
        <f>IF(A49="","",SUM(
COUNTIFS('QA Log'!D:D,A49,'QA Log'!M:M,"QQC",'QA Log'!Z:Z,"Rejected",'QA Log'!L:L,"*8. Maternity*"),
COUNTIFS('QA Log'!D:D,A49,'QA Log'!M:M,"QQC",'QA Log'!Z:Z,"Rejected",'QA Log'!L:L,"*EPI*"),
COUNTIFS('QA Log'!D:D,A49,'QA Log'!M:M,"QQC",'QA Log'!Z:Z,"Rejected",'QA Log'!L:L,"*10. Antenatal Care (ANC)*"),
COUNTIFS('QA Log'!D:D,A49,'QA Log'!M:M,"QQC",'QA Log'!Z:Z,"Rejected",'QA Log'!L:L,"*2. Hygiene and Sterilization*"),
COUNTIFS('QA Log'!D:D,A49,'QA Log'!M:M,"QQC",'QA Log'!Z:Z,"Rejected",'QA Log'!L:L,"*Family Planning*")))</f>
        <v/>
      </c>
      <c r="S49" s="106" t="str">
        <f t="shared" si="1"/>
        <v/>
      </c>
      <c r="T49" s="102" t="str">
        <f t="shared" si="2"/>
        <v/>
      </c>
      <c r="U49" s="102" t="str">
        <f>IF(A49="","",
SUM(
COUNTIFS('QA Log'!D:D,A49,'QA Log'!M:M,"QQC",'QA Log'!L:L,"*8. Maternity*"),
COUNTIFS('QA Log'!D:D,A49,'QA Log'!M:M,"QQC",'QA Log'!L:L,"*9. EPI and Pre-school Consultation*"),
COUNTIFS('QA Log'!D:D,A49,'QA Log'!M:M,"QQC",'QA Log'!L:L,"*10. Antenatal Care (ANC)*"),
COUNTIFS('QA Log'!D:D,A49,'QA Log'!M:M,"QQC",'QA Log'!L:L,"*2. Hygiene and Sterilization*"),
COUNTIFS('QA Log'!D:D,A49,'QA Log'!M:M,"QQC",'QA Log'!L:L,"*4. Family Planning*")
))</f>
        <v/>
      </c>
      <c r="V49" s="102" t="str">
        <f>IF(A49="","",
SUM(
COUNTIFS('QA Log'!D:D,A49,'QA Log'!M:M,"QQC",'QA Log'!Z:Z,"Approved",'QA Log'!L:L,"*8. Maternity*"),
COUNTIFS('QA Log'!D:D,A49,'QA Log'!M:M,"QQC",'QA Log'!Z:Z,"Approved",'QA Log'!L:L,"*9. EPI and Pre-school Consultation*"),
COUNTIFS('QA Log'!D:D,A49,'QA Log'!M:M,"QQC",'QA Log'!Z:Z,"Approved",'QA Log'!L:L,"*10. Antenatal Care (ANC)*"),
COUNTIFS('QA Log'!D:D,A49,'QA Log'!M:M,"QQC",'QA Log'!Z:Z,"Approved",'QA Log'!L:L,"*2. Hygiene and Sterilization*"),
COUNTIFS('QA Log'!D:D,A49,'QA Log'!M:M,"QQC",'QA Log'!Z:Z,"Approved",'QA Log'!L:L,"*4. Family Planning*")
))</f>
        <v/>
      </c>
      <c r="W49" s="105" t="str">
        <f>IF(A49&lt;&gt;"",COUNTIFS('QA Log'!D:D,A49,'QA Log'!M:M,"QQC",'QA Log'!L:L,"8. Maternity",'QA Log'!Z:Z,"Approved"),"")</f>
        <v/>
      </c>
      <c r="X49" s="105" t="str">
        <f>IF(A49&lt;&gt;"",COUNTIFS('QA Log'!D:D,A49,'QA Log'!M:M,"QQC",'QA Log'!L:L,"9. EPI and Pre-school Consultation",'QA Log'!Z:Z,"Approved"),"")</f>
        <v/>
      </c>
      <c r="Y49" s="105" t="str">
        <f>IF(A49&lt;&gt;"",COUNTIFS('QA Log'!D:D,A49,'QA Log'!M:M,"QQC",'QA Log'!L:L,"10. Antenatal Care (ANC)",'QA Log'!Z:Z,"Approved"),"")</f>
        <v/>
      </c>
      <c r="Z49" s="105" t="str">
        <f>IF(A49&lt;&gt;"",COUNTIFS('QA Log'!D:D,A49,'QA Log'!M:M,"QQC",'QA Log'!L:L,"2. Hygiene and Sterilization",'QA Log'!Z:Z,"Approved"),"")</f>
        <v/>
      </c>
      <c r="AA49" s="105" t="str">
        <f>IF(A49&lt;&gt;"",COUNTIFS('QA Log'!D:D,A49,'QA Log'!M:M,"QQC",'QA Log'!L:L,"4. Family Planning",'QA Log'!Z:Z,"Approved"),"")</f>
        <v/>
      </c>
      <c r="AB49" s="102" t="str">
        <f>IF(A49="","",
SUM(
COUNTIFS('QA Log'!D:D,A49,'QA Log'!M:M,"QQC",'QA Log'!Z:Z,"Rejected",'QA Log'!L:L,"*8. Maternity*"),
COUNTIFS('QA Log'!D:D,A49,'QA Log'!M:M,"QQC",'QA Log'!Z:Z,"Rejected",'QA Log'!L:L,"*9. EPI and Pre-school Consultation*"),
COUNTIFS('QA Log'!D:D,A49,'QA Log'!M:M,"QQC",'QA Log'!Z:Z,"Rejected",'QA Log'!L:L,"*10. Antenatal Care (ANC)*"),
COUNTIFS('QA Log'!D:D,A49,'QA Log'!M:M,"QQC",'QA Log'!Z:Z,"Rejected",'QA Log'!L:L,"*2. Hygiene and Sterilization*"),
COUNTIFS('QA Log'!D:D,A49,'QA Log'!M:M,"QQC",'QA Log'!Z:Z,"Rejected",'QA Log'!L:L,"*4. Family Planning*")
))</f>
        <v/>
      </c>
      <c r="AC49" s="102" t="str">
        <f t="shared" si="3"/>
        <v/>
      </c>
      <c r="AD49" s="103" t="str">
        <f t="shared" si="4"/>
        <v/>
      </c>
      <c r="AE49" s="102" t="str">
        <f>IF(A49="","",
SUM(
COUNTIFS('QA Log'!D:D,A49,'QA Log'!M:M,"Data Verification",'QA Log'!L:L,"*Medicine (section 2)*"),
COUNTIFS('QA Log'!D:D,A49,'QA Log'!M:M,"Data Verification",'QA Log'!L:L,"*Lab Testing Availability*"),
COUNTIFS('QA Log'!D:D,A49,'QA Log'!M:M,"Data Verification",'QA Log'!L:L,"*Other than P4P (section 6)*"),
COUNTIFS('QA Log'!D:D,A49,'QA Log'!M:M,"Data Verification",'QA Log'!L:L,"*Hospital Governance*")
))</f>
        <v/>
      </c>
      <c r="AF49" s="102" t="str">
        <f>IF(A49="","",
SUM(
COUNTIFS('QA Log'!D:D,A49,'QA Log'!M:M,"Data Verification",'QA Log'!Z:Z,"Approved",'QA Log'!L:L,"*Medicine (section 2)*"),
COUNTIFS('QA Log'!D:D,A49,'QA Log'!M:M,"Data Verification",'QA Log'!Z:Z,"Approved",'QA Log'!L:L,"*Lab Testing Availability*"),
COUNTIFS('QA Log'!D:D,A49,'QA Log'!M:M,"Data Verification",'QA Log'!Z:Z,"Approved",'QA Log'!L:L,"*Other than P4P (section 6)*"),
COUNTIFS('QA Log'!D:D,A49,'QA Log'!M:M,"Data Verification",'QA Log'!Z:Z,"Approved",'QA Log'!L:L,"*Hospital Governance*")
))</f>
        <v/>
      </c>
      <c r="AG49" s="105" t="str">
        <f>IF(A49&lt;&gt;"",COUNTIFS('QA Log'!D:D,A49,'QA Log'!M:M,"Data Verification",'QA Log'!L:L,"Medicine (section 2)",'QA Log'!Z:Z,"Approved"),"")</f>
        <v/>
      </c>
      <c r="AH49" s="105" t="str">
        <f>IF(A49&lt;&gt;"",COUNTIFS('QA Log'!D:D,A49,'QA Log'!M:M,"Data Verification",'QA Log'!L:L,"Lab Testing Availability",'QA Log'!Z:Z,"Approved"),"")</f>
        <v/>
      </c>
      <c r="AI49" s="105" t="str">
        <f>IF(A49&lt;&gt;"",COUNTIFS('QA Log'!D:D,A49,'QA Log'!M:M,"Data Verification",'QA Log'!L:L,"Other than P4P (section 6)",'QA Log'!Z:Z,"Approved"),"")</f>
        <v/>
      </c>
      <c r="AJ49" s="105" t="str">
        <f>IF(A49&lt;&gt;"",COUNTIFS('QA Log'!D:D,A49,'QA Log'!M:M,"Data Verification",'QA Log'!L:L,"Hospital Governance",'QA Log'!Z:Z,"Approved"),"")</f>
        <v/>
      </c>
      <c r="AK49" s="102" t="str">
        <f>IF(A49="","",
SUM(
COUNTIFS('QA Log'!D:D,A49,'QA Log'!M:M,"Data Verification",'QA Log'!Z:Z,"Rejected",'QA Log'!L:L,"*Medicine (section 2)*"),
COUNTIFS('QA Log'!D:D,A49,'QA Log'!M:M,"Data Verification",'QA Log'!Z:Z,"Rejected",'QA Log'!L:L,"*Lab Testing Availability*"),
COUNTIFS('QA Log'!D:D,A49,'QA Log'!M:M,"Data Verification",'QA Log'!Z:Z,"Rejected",'QA Log'!L:L,"*Other than P4P (section 6)*"),
COUNTIFS('QA Log'!D:D,A49,'QA Log'!M:M,"Data Verification",'QA Log'!Z:Z,"Rejected",'QA Log'!L:L,"*Hospital Governance*")
))</f>
        <v/>
      </c>
      <c r="AL49" s="106" t="str">
        <f t="shared" si="5"/>
        <v/>
      </c>
      <c r="AM49" s="102" t="str">
        <f t="shared" si="6"/>
        <v/>
      </c>
      <c r="AN49" s="102" t="str">
        <f>IF(A49="","",
SUM(
COUNTIFS('QA Log'!D:D,A49,'QA Log'!M:M,"Data Verification",'QA Log'!L:L,"*Personnel (section 1)*"),
COUNTIFS('QA Log'!D:D,A49,'QA Log'!M:M,"Data Verification",'QA Log'!L:L,"*Consumable (section 3)*"),
COUNTIFS('QA Log'!D:D,A49,'QA Log'!M:M,"Data Verification",'QA Log'!L:L,"*Equipments (section 4)*")
))</f>
        <v/>
      </c>
      <c r="AO49" s="102" t="str">
        <f>IF(A49="","",
SUM(
COUNTIFS('QA Log'!D:D,A49,'QA Log'!M:M,"Data Verification",'QA Log'!Z:Z,"Approved",'QA Log'!L:L,"*Personnel (section 1)*"),
COUNTIFS('QA Log'!D:D,A49,'QA Log'!M:M,"Data Verification",'QA Log'!Z:Z,"Approved",'QA Log'!L:L,"*Consumable (section 3)*"),
COUNTIFS('QA Log'!D:D,A49,'QA Log'!M:M,"Data Verification",'QA Log'!Z:Z,"Approved",'QA Log'!L:L,"*Equipments (section 4)*")
))</f>
        <v/>
      </c>
      <c r="AP49" s="105" t="str">
        <f>IF(A49&lt;&gt;"",COUNTIFS('QA Log'!D:D,A49,'QA Log'!M:M,"Data Verification",'QA Log'!L:L,"Personnel (section 1)",'QA Log'!Z:Z,"Approved"),"")</f>
        <v/>
      </c>
      <c r="AQ49" s="105" t="str">
        <f>IF(A49&lt;&gt;"",COUNTIFS('QA Log'!D:D,A49,'QA Log'!M:M,"Data Verification",'QA Log'!L:L,"Consumable (section 3)",'QA Log'!Z:Z,"Approved"),"")</f>
        <v/>
      </c>
      <c r="AR49" s="105" t="str">
        <f>IF(A49&lt;&gt;"",COUNTIFS('QA Log'!D:D,A49,'QA Log'!M:M,"Data Verification",'QA Log'!L:L,"Equipments (section 4)",'QA Log'!Z:Z,"Approved"),"")</f>
        <v/>
      </c>
      <c r="AS49" s="102" t="str">
        <f>IF(A49="","",
SUM(
COUNTIFS('QA Log'!D:D,A49,'QA Log'!M:M,"Data Verification",'QA Log'!Z:Z,"Rejected",'QA Log'!L:L,"*Personnel (section 1)*"),
COUNTIFS('QA Log'!D:D,A49,'QA Log'!M:M,"Data Verification",'QA Log'!Z:Z,"Rejected",'QA Log'!L:L,"*Consumable (section 3)*"),
COUNTIFS('QA Log'!D:D,A49,'QA Log'!M:M,"Data Verification",'QA Log'!Z:Z,"Rejected",'QA Log'!L:L,"*Equipments (section 4)*")
))</f>
        <v/>
      </c>
      <c r="AT49" s="102" t="str">
        <f t="shared" si="7"/>
        <v/>
      </c>
      <c r="AU49" s="103" t="str">
        <f t="shared" si="8"/>
        <v/>
      </c>
      <c r="AV49" s="102" t="str">
        <f>IF(A49="","",SUM(
COUNTIFS('QA Log'!D:D,A49,'QA Log'!M:M,"Vignette",'QA Log'!L:L,"*Vignette [1] Respiratory Infection: Pneumonia*"),
COUNTIFS('QA Log'!D:D,A49,'QA Log'!M:M,"Vignette",'QA Log'!L:L,"*Vignette [2]: Diarrhea with Cat B dehydration*"),
COUNTIFS('QA Log'!D:D,A49,'QA Log'!M:M,"Vignette",'QA Log'!L:L,"*Vignette [3] Growth Monitoring and Promotion*"),
COUNTIFS('QA Log'!D:D,A49,'QA Log'!M:M,"Vignette",'QA Log'!L:L,"*Vignette [4]: The management of presumptive TB patient*")
)
)</f>
        <v/>
      </c>
      <c r="AW49" s="102" t="str">
        <f>IF(
  A49="","",
  SUM(
    COUNTIFS('QA Log'!D:D,A49,'QA Log'!M:M,"Vignette",'QA Log'!Z:Z,"Approved",'QA Log'!L:L,"*Vignette [1] Respiratory Infection: Pneumonia*"),
    COUNTIFS('QA Log'!D:D,A49,'QA Log'!M:M,"Vignette",'QA Log'!Z:Z,"Approved",'QA Log'!L:L,"*Vignette [2]: Diarrhea with Cat B dehydration*"),
    COUNTIFS('QA Log'!D:D,A49,'QA Log'!M:M,"Vignette",'QA Log'!Z:Z,"Approved",'QA Log'!L:L,"*Vignette [3] Growth Monitoring and Promotion*"),
    COUNTIFS('QA Log'!D:D,A49,'QA Log'!M:M,"Vignette",'QA Log'!Z:Z,"Approved",'QA Log'!L:L,"*Vignette [4]: The management of presumptive TB patient*")
  )
)</f>
        <v/>
      </c>
      <c r="AX49" s="105" t="str">
        <f>IF(A49&lt;&gt;"",COUNTIFS('QA Log'!D:D,A49,'QA Log'!M:M,"Vignette",'QA Log'!L:L,"Vignette [1] Respiratory Infection: Pneumonia",'QA Log'!Z:Z,"Approved"),"")</f>
        <v/>
      </c>
      <c r="AY49" s="105" t="str">
        <f>IF(A49&lt;&gt;"",COUNTIFS('QA Log'!D:D,A49,'QA Log'!M:M,"Vignette",'QA Log'!L:L,"Vignette [2]: Diarrhea with Cat B dehydration",'QA Log'!Z:Z,"Approved"),"")</f>
        <v/>
      </c>
      <c r="AZ49" s="105" t="str">
        <f>IF(A49&lt;&gt;"",COUNTIFS('QA Log'!D:D,A49,'QA Log'!M:M,"Vignette",'QA Log'!L:L,"Vignette [3] Growth Monitoring and Promotion",'QA Log'!Z:Z,"Approved"),"")</f>
        <v/>
      </c>
      <c r="BA49" s="105" t="str">
        <f>IF(A49&lt;&gt;"",COUNTIFS('QA Log'!D:D,A49,'QA Log'!M:M,"Vignette",'QA Log'!L:L,"Vignette [4]: The management of presumptive TB patient",'QA Log'!Z:Z,"Approved"),"")</f>
        <v/>
      </c>
      <c r="BB49" s="102" t="str">
        <f>IF(A49="","",
  SUM(
    COUNTIFS('QA Log'!D:D,A49,'QA Log'!M:M,"Vignette",'QA Log'!Z:Z,"Rejected",'QA Log'!L:L,"*Vignette [1] Respiratory Infection: Pneumonia*"),
    COUNTIFS('QA Log'!D:D,A49,'QA Log'!M:M,"Vignette",'QA Log'!Z:Z,"Rejected",'QA Log'!L:L,"*Vignette [2]: Diarrhea with Cat B dehydration*"),
    COUNTIFS('QA Log'!D:D,A49,'QA Log'!M:M,"Vignette",'QA Log'!Z:Z,"Rejected",'QA Log'!L:L,"*Vignette [3] Growth Monitoring and Promotion*"),
    COUNTIFS('QA Log'!D:D,A49,'QA Log'!M:M,"Vignette",'QA Log'!Z:Z,"Rejected",'QA Log'!L:L,"*Vignette [4]: The management of presumptive TB patient*")
  )
)</f>
        <v/>
      </c>
      <c r="BC49" s="107" t="str">
        <f t="shared" si="9"/>
        <v/>
      </c>
      <c r="BD49" s="103" t="str">
        <f t="shared" si="10"/>
        <v/>
      </c>
      <c r="BE49" s="102" t="str">
        <f>IF(A49="","",SUM(
COUNTIFS('QA Log'!D:D,A49,'QA Log'!M:M,"Vignette",'QA Log'!L:L,"*Vignette [5] Labor*"),
COUNTIFS('QA Log'!D:D,A49,'QA Log'!M:M,"Vignette",'QA Log'!L:L,"*Vignette [6] PNC pre Discharge*"),
COUNTIFS('QA Log'!D:D,A49,'QA Log'!M:M,"Vignette",'QA Log'!L:L,"*Vignette [7] First ANC Visit*"),
COUNTIFS('QA Log'!D:D,A49,'QA Log'!M:M,"Vignette",'QA Log'!L:L,"*Vignette [8] Birth Spacing/ Family Planning :  FP Counselling*"),
COUNTIFS('QA Log'!D:D,A49,'QA Log'!M:M,"Vignette",'QA Log'!L:L,"*Vignette [9] Birth Spacing: Change FP method to Injectable*"),
COUNTIFS('QA Log'!D:D,A49,'QA Log'!M:M,"Vignette",'QA Log'!L:L,"*Vignette [10] Post Partum Haemorrhage - Atonic Uterus at Health Centre*"),
)
)</f>
        <v/>
      </c>
      <c r="BF49" s="102" t="str">
        <f>IF(A49="","",
  SUM(
    COUNTIFS('QA Log'!D:D,A49,'QA Log'!M:M,"Vignette",'QA Log'!Z:Z,"Approved",'QA Log'!L:L,"*Vignette [5] Labor*"),
    COUNTIFS('QA Log'!D:D,A49,'QA Log'!M:M,"Vignette",'QA Log'!Z:Z,"Approved",'QA Log'!L:L,"*Vignette [6] PNC pre Discharge*"),
    COUNTIFS('QA Log'!D:D,A49,'QA Log'!M:M,"Vignette",'QA Log'!Z:Z,"Approved",'QA Log'!L:L,"*Vignette [7] First ANC Visit*"),
    COUNTIFS('QA Log'!D:D,A49,'QA Log'!M:M,"Vignette",'QA Log'!Z:Z,"Approved",'QA Log'!L:L,"*Vignette [8] Birth Spacing/ Family Planning :  FP Counselling*"),
    COUNTIFS('QA Log'!D:D,A49,'QA Log'!M:M,"Vignette",'QA Log'!Z:Z,"Approved",'QA Log'!L:L,"*Vignette [9] Birth Spacing: Change FP method to Injectable*"),
    COUNTIFS('QA Log'!D:D,A49,'QA Log'!M:M,"Vignette",'QA Log'!Z:Z,"Approved",'QA Log'!L:L,"*Vignette [10] Post Partum Haemorrhage - Atonic Uterus at Health Centre*")
  )
)</f>
        <v/>
      </c>
      <c r="BG49" s="105" t="str">
        <f>IF(A49&lt;&gt;"",COUNTIFS('QA Log'!D:D,A49,'QA Log'!M:M,"Vignette",'QA Log'!L:L,"Vignette [5] Labor",'QA Log'!Z:Z,"Approved"),"")</f>
        <v/>
      </c>
      <c r="BH49" s="105" t="str">
        <f>IF(A49&lt;&gt;"",COUNTIFS('QA Log'!D:D,A49,'QA Log'!M:M,"Vignette",'QA Log'!L:L,"Vignette [6] PNC pre Discharge",'QA Log'!Z:Z,"Approved"),"")</f>
        <v/>
      </c>
      <c r="BI49" s="105" t="str">
        <f>IF(A49&lt;&gt;"",COUNTIFS('QA Log'!D:D,A49,'QA Log'!M:M,"Vignette",'QA Log'!L:L,"Vignette [7] First ANC Visit",'QA Log'!Z:Z,"Approved"),"")</f>
        <v/>
      </c>
      <c r="BJ49" s="105" t="str">
        <f>IF(A49&lt;&gt;"",COUNTIFS('QA Log'!D:D,A49,'QA Log'!M:M,"Vignette",'QA Log'!L:L,"Vignette [8] Birth Spacing/ Family Planning :  FP Counselling",'QA Log'!Z:Z,"Approved"),"")</f>
        <v/>
      </c>
      <c r="BK49" s="105" t="str">
        <f>IF(A49&lt;&gt;"",COUNTIFS('QA Log'!D:D,A49,'QA Log'!M:M,"Vignette",'QA Log'!L:L,"Vignette [9] Birth Spacing: Change FP method to Injectable",'QA Log'!Z:Z,"Approved"),"")</f>
        <v/>
      </c>
      <c r="BL49" s="105" t="str">
        <f>IF(A49&lt;&gt;"",COUNTIFS('QA Log'!D:D,A49,'QA Log'!M:M,"Vignette",'QA Log'!L:L,"Vignette [10] Post Partum Haemorrhage - Atonic Uterus at Health Centre",'QA Log'!Z:Z,"Approved"),"")</f>
        <v/>
      </c>
      <c r="BM49" s="102" t="str">
        <f>IF(A49="","",SUM(
    COUNTIFS('QA Log'!D:D,A49,'QA Log'!M:M,"Vignette",'QA Log'!Z:Z,"Rejected",'QA Log'!L:L,"*Vignette [5] Labor*"),
    COUNTIFS('QA Log'!D:D,A49,'QA Log'!M:M,"Vignette",'QA Log'!Z:Z,"Rejected",'QA Log'!L:L,"*Vignette [6] PNC pre Discharge*"),
    COUNTIFS('QA Log'!D:D,A49,'QA Log'!M:M,"Vignette",'QA Log'!Z:Z,"Rejected",'QA Log'!L:L,"*Vignette [7] First ANC Visit*"),
    COUNTIFS('QA Log'!D:D,A49,'QA Log'!M:M,"Vignette",'QA Log'!Z:Z,"Rejected",'QA Log'!L:L,"*Vignette [8] Birth Spacing/ Family Planning :  FP Counselling*"),
    COUNTIFS('QA Log'!D:D,A49,'QA Log'!M:M,"Vignette",'QA Log'!Z:Z,"Rejected",'QA Log'!L:L,"*Vignette [9] Birth Spacing: Change FP method to Injectable*"),
    COUNTIFS('QA Log'!D:D,A49,'QA Log'!M:M,"Vignette",'QA Log'!Z:Z,"Rejected",'QA Log'!L:L,"*Vignette [10] Post Partum Haemorrhage - Atonic Uterus at Health Centre*")
  )
)</f>
        <v/>
      </c>
      <c r="BN49" s="107" t="str">
        <f t="shared" si="11"/>
        <v/>
      </c>
      <c r="BO49" s="103" t="str">
        <f t="shared" si="12"/>
        <v/>
      </c>
      <c r="BP49" s="102" t="str">
        <f>IF(A49="","",SUM(
COUNTIFS('QA Log'!D:D,A49,'QA Log'!M:M,"Vignette",'QA Log'!L:L,"*Exit Interview 1*"),
COUNTIFS('QA Log'!D:D,A49,'QA Log'!M:M,"Vignette",'QA Log'!L:L,"*Exit Interview 2*"),
)
)</f>
        <v/>
      </c>
      <c r="BQ49" s="102" t="str">
        <f>IF(
  A49="","",
  SUM(
    COUNTIFS('QA Log'!D:D,A49,'QA Log'!M:M,"Vignette",'QA Log'!Z:Z,"Approved",'QA Log'!L:L,"*Exit Interview 1*"),
    COUNTIFS('QA Log'!D:D,A49,'QA Log'!M:M,"Vignette",'QA Log'!Z:Z,"Approved",'QA Log'!L:L,"*Exit Interview 2*")
  )
)</f>
        <v/>
      </c>
      <c r="BR49" s="105" t="str">
        <f>IF(A49&lt;&gt;"",COUNTIFS('QA Log'!D:D,A49,'QA Log'!M:M,"Vignette",'QA Log'!L:L,"Exit Interview 1",'QA Log'!Z:Z,"Approved"),"")</f>
        <v/>
      </c>
      <c r="BS49" s="105" t="str">
        <f>IF(A49&lt;&gt;"",COUNTIFS('QA Log'!D:D,A49,'QA Log'!M:M,"Vignette",'QA Log'!L:L,"Exit Interview 2",'QA Log'!Z:Z,"Approved"),"")</f>
        <v/>
      </c>
      <c r="BT49" s="102" t="str">
        <f>IF(
  A49="","",
  SUM(
    COUNTIFS('QA Log'!D:D,A49,'QA Log'!M:M,"Vignette",'QA Log'!Z:Z,"Rejected",'QA Log'!L:L,"*Exit Interview 1*"),
    COUNTIFS('QA Log'!D:D,A49,'QA Log'!M:M,"Vignette",'QA Log'!Z:Z,"Rejected",'QA Log'!L:L,"*Exit Interview 2*")
  )
)</f>
        <v/>
      </c>
      <c r="BU49" s="107" t="str">
        <f t="shared" si="13"/>
        <v/>
      </c>
      <c r="BV49" s="102" t="str">
        <f t="shared" si="14"/>
        <v/>
      </c>
      <c r="BW49" s="102" t="str">
        <f t="shared" si="15"/>
        <v/>
      </c>
      <c r="BX49" s="102" t="str">
        <f t="shared" si="16"/>
        <v/>
      </c>
      <c r="BY49" s="102" t="str">
        <f t="shared" si="17"/>
        <v/>
      </c>
      <c r="BZ49" s="107" t="str">
        <f t="shared" si="18"/>
        <v/>
      </c>
      <c r="CA49" s="108" t="str">
        <f t="shared" si="19"/>
        <v/>
      </c>
      <c r="CB49" s="108" t="str">
        <f t="shared" si="20"/>
        <v/>
      </c>
      <c r="CC49" s="109" t="str">
        <f t="shared" si="21"/>
        <v/>
      </c>
      <c r="CD49" s="108" t="str">
        <f t="shared" si="22"/>
        <v/>
      </c>
      <c r="CE49" s="108" t="str">
        <f t="shared" si="23"/>
        <v/>
      </c>
      <c r="CF49" s="109" t="str">
        <f t="shared" si="24"/>
        <v/>
      </c>
      <c r="CG49" s="110" t="str">
        <f t="shared" si="25"/>
        <v/>
      </c>
      <c r="CH49" s="111"/>
    </row>
    <row r="50" spans="1:86" ht="12.75">
      <c r="A50" s="101"/>
      <c r="B50" s="102" t="e">
        <f t="array" aca="1" ref="B50" ca="1">_xludf.XLOOKUP(A50,'QA Log'!D:D,'QA Log'!E:E,"")</f>
        <v>#NAME?</v>
      </c>
      <c r="C50" s="102" t="e">
        <f t="array" aca="1" ref="C50" ca="1">_xludf.XLOOKUP(A50,'QA Log'!D:D,'QA Log'!F:F,"")</f>
        <v>#NAME?</v>
      </c>
      <c r="D50" s="102" t="e">
        <f t="array" aca="1" ref="D50" ca="1">_xludf.XLOOKUP(A50,'QA Log'!D:D,'QA Log'!H:H,"")</f>
        <v>#NAME?</v>
      </c>
      <c r="E50" s="102" t="e">
        <f t="array" aca="1" ref="E50" ca="1">_xludf.XLOOKUP(A50,'QA Log'!D:D,'QA Log'!G:G,"")</f>
        <v>#NAME?</v>
      </c>
      <c r="F50" s="103"/>
      <c r="G50" s="104"/>
      <c r="H50" s="104"/>
      <c r="I50" s="103" t="str">
        <f t="shared" si="0"/>
        <v/>
      </c>
      <c r="J50" s="102" t="str">
        <f>IF(A50="","",SUM(
COUNTIFS('QA Log'!D:D,A50,'QA Log'!M:M,"QQC",'QA Log'!L:L,"*1. General Management*"),
COUNTIFS('QA Log'!D:D,A50,'QA Log'!M:M,"QQC",'QA Log'!L:L,"*3. Curative Consultation (OPD)*"),
COUNTIFS('QA Log'!D:D,A50,'QA Log'!M:M,"QQC",'QA Log'!L:L,"*5. Laboratory*"),
COUNTIFS('QA Log'!D:D,A50,'QA Log'!M:M,"QQC",'QA Log'!L:L,"*6. Essential Medicine Management*"),
COUNTIFS('QA Log'!D:D,A50,'QA Log'!M:M,"QQC",'QA Log'!L:L,"*7. Tracer Medicine*"),
COUNTIFS('QA Log'!D:D,A50,'QA Log'!M:M,"QQC",'QA Log'!L:L,"*11. Additional Questions*")))</f>
        <v/>
      </c>
      <c r="K50" s="102" t="str">
        <f>IF(A50="","",SUM(
COUNTIFS('QA Log'!D:D,A50,'QA Log'!M:M,"QQC",'QA Log'!Z:Z,"Approved",'QA Log'!L:L,"*1. General Management*"),
COUNTIFS('QA Log'!D:D,A50,'QA Log'!M:M,"QQC",'QA Log'!Z:Z,"Approved",'QA Log'!L:L,"*3. Curative Consultation (OPD)*"),
COUNTIFS('QA Log'!D:D,A50,'QA Log'!M:M,"QQC",'QA Log'!Z:Z,"Approved",'QA Log'!L:L,"*5. Laboratory*"),
COUNTIFS('QA Log'!D:D,A50,'QA Log'!M:M,"QQC",'QA Log'!Z:Z,"Approved",'QA Log'!L:L,"*6. Essential Medicine Management*"),
COUNTIFS('QA Log'!D:D,A50,'QA Log'!M:M,"QQC",'QA Log'!Z:Z,"Approved",'QA Log'!L:L,"*7. Tracer Medicine*"),
COUNTIFS('QA Log'!D:D,A50,'QA Log'!M:M,"QQC",'QA Log'!Z:Z,"Approved",'QA Log'!L:L,"*11. Additional Questions*")))</f>
        <v/>
      </c>
      <c r="L50" s="105" t="str">
        <f>IF(A50&lt;&gt;"",COUNTIFS('QA Log'!D:D,A50,'QA Log'!M:M,"QQC",'QA Log'!L:L,"1. General Management",'QA Log'!Z:Z,"Approved"),"")</f>
        <v/>
      </c>
      <c r="M50" s="105" t="str">
        <f>IF(A50&lt;&gt;"",COUNTIFS('QA Log'!D:D,A50,'QA Log'!M:M,"QQC",'QA Log'!L:L,"3. Curative Consultation (OPD)",'QA Log'!Z:Z,"Approved"),"")</f>
        <v/>
      </c>
      <c r="N50" s="105" t="str">
        <f>IF(A50&lt;&gt;"",COUNTIFS('QA Log'!D:D,A50,'QA Log'!M:M,"QQC",'QA Log'!L:L,"5. Laboratory",'QA Log'!Z:Z,"Approved"),"")</f>
        <v/>
      </c>
      <c r="O50" s="105" t="str">
        <f>IF(A50&lt;&gt;"",COUNTIFS('QA Log'!D:D,A50,'QA Log'!M:M,"QQC",'QA Log'!L:L,"6. Essential Medicine Management",'QA Log'!Z:Z,"Approved"),"")</f>
        <v/>
      </c>
      <c r="P50" s="105" t="str">
        <f>IF(A50&lt;&gt;"",COUNTIFS('QA Log'!D:D,A50,'QA Log'!M:M,"QQC",'QA Log'!L:L,"7. Tracer Medicine",'QA Log'!Z:Z,"Approved"),"")</f>
        <v/>
      </c>
      <c r="Q50" s="105" t="str">
        <f>IF(A50&lt;&gt;"",COUNTIFS('QA Log'!D:D,A50,'QA Log'!M:M,"QQC",'QA Log'!L:L,"11. Additional Questions",'QA Log'!Z:Z,"Approved"),"")</f>
        <v/>
      </c>
      <c r="R50" s="102" t="str">
        <f>IF(A50="","",SUM(
COUNTIFS('QA Log'!D:D,A50,'QA Log'!M:M,"QQC",'QA Log'!Z:Z,"Rejected",'QA Log'!L:L,"*8. Maternity*"),
COUNTIFS('QA Log'!D:D,A50,'QA Log'!M:M,"QQC",'QA Log'!Z:Z,"Rejected",'QA Log'!L:L,"*EPI*"),
COUNTIFS('QA Log'!D:D,A50,'QA Log'!M:M,"QQC",'QA Log'!Z:Z,"Rejected",'QA Log'!L:L,"*10. Antenatal Care (ANC)*"),
COUNTIFS('QA Log'!D:D,A50,'QA Log'!M:M,"QQC",'QA Log'!Z:Z,"Rejected",'QA Log'!L:L,"*2. Hygiene and Sterilization*"),
COUNTIFS('QA Log'!D:D,A50,'QA Log'!M:M,"QQC",'QA Log'!Z:Z,"Rejected",'QA Log'!L:L,"*Family Planning*")))</f>
        <v/>
      </c>
      <c r="S50" s="106" t="str">
        <f t="shared" si="1"/>
        <v/>
      </c>
      <c r="T50" s="102" t="str">
        <f t="shared" si="2"/>
        <v/>
      </c>
      <c r="U50" s="102" t="str">
        <f>IF(A50="","",
SUM(
COUNTIFS('QA Log'!D:D,A50,'QA Log'!M:M,"QQC",'QA Log'!L:L,"*8. Maternity*"),
COUNTIFS('QA Log'!D:D,A50,'QA Log'!M:M,"QQC",'QA Log'!L:L,"*9. EPI and Pre-school Consultation*"),
COUNTIFS('QA Log'!D:D,A50,'QA Log'!M:M,"QQC",'QA Log'!L:L,"*10. Antenatal Care (ANC)*"),
COUNTIFS('QA Log'!D:D,A50,'QA Log'!M:M,"QQC",'QA Log'!L:L,"*2. Hygiene and Sterilization*"),
COUNTIFS('QA Log'!D:D,A50,'QA Log'!M:M,"QQC",'QA Log'!L:L,"*4. Family Planning*")
))</f>
        <v/>
      </c>
      <c r="V50" s="102" t="str">
        <f>IF(A50="","",
SUM(
COUNTIFS('QA Log'!D:D,A50,'QA Log'!M:M,"QQC",'QA Log'!Z:Z,"Approved",'QA Log'!L:L,"*8. Maternity*"),
COUNTIFS('QA Log'!D:D,A50,'QA Log'!M:M,"QQC",'QA Log'!Z:Z,"Approved",'QA Log'!L:L,"*9. EPI and Pre-school Consultation*"),
COUNTIFS('QA Log'!D:D,A50,'QA Log'!M:M,"QQC",'QA Log'!Z:Z,"Approved",'QA Log'!L:L,"*10. Antenatal Care (ANC)*"),
COUNTIFS('QA Log'!D:D,A50,'QA Log'!M:M,"QQC",'QA Log'!Z:Z,"Approved",'QA Log'!L:L,"*2. Hygiene and Sterilization*"),
COUNTIFS('QA Log'!D:D,A50,'QA Log'!M:M,"QQC",'QA Log'!Z:Z,"Approved",'QA Log'!L:L,"*4. Family Planning*")
))</f>
        <v/>
      </c>
      <c r="W50" s="105" t="str">
        <f>IF(A50&lt;&gt;"",COUNTIFS('QA Log'!D:D,A50,'QA Log'!M:M,"QQC",'QA Log'!L:L,"8. Maternity",'QA Log'!Z:Z,"Approved"),"")</f>
        <v/>
      </c>
      <c r="X50" s="105" t="str">
        <f>IF(A50&lt;&gt;"",COUNTIFS('QA Log'!D:D,A50,'QA Log'!M:M,"QQC",'QA Log'!L:L,"9. EPI and Pre-school Consultation",'QA Log'!Z:Z,"Approved"),"")</f>
        <v/>
      </c>
      <c r="Y50" s="105" t="str">
        <f>IF(A50&lt;&gt;"",COUNTIFS('QA Log'!D:D,A50,'QA Log'!M:M,"QQC",'QA Log'!L:L,"10. Antenatal Care (ANC)",'QA Log'!Z:Z,"Approved"),"")</f>
        <v/>
      </c>
      <c r="Z50" s="105" t="str">
        <f>IF(A50&lt;&gt;"",COUNTIFS('QA Log'!D:D,A50,'QA Log'!M:M,"QQC",'QA Log'!L:L,"2. Hygiene and Sterilization",'QA Log'!Z:Z,"Approved"),"")</f>
        <v/>
      </c>
      <c r="AA50" s="105" t="str">
        <f>IF(A50&lt;&gt;"",COUNTIFS('QA Log'!D:D,A50,'QA Log'!M:M,"QQC",'QA Log'!L:L,"4. Family Planning",'QA Log'!Z:Z,"Approved"),"")</f>
        <v/>
      </c>
      <c r="AB50" s="102" t="str">
        <f>IF(A50="","",
SUM(
COUNTIFS('QA Log'!D:D,A50,'QA Log'!M:M,"QQC",'QA Log'!Z:Z,"Rejected",'QA Log'!L:L,"*8. Maternity*"),
COUNTIFS('QA Log'!D:D,A50,'QA Log'!M:M,"QQC",'QA Log'!Z:Z,"Rejected",'QA Log'!L:L,"*9. EPI and Pre-school Consultation*"),
COUNTIFS('QA Log'!D:D,A50,'QA Log'!M:M,"QQC",'QA Log'!Z:Z,"Rejected",'QA Log'!L:L,"*10. Antenatal Care (ANC)*"),
COUNTIFS('QA Log'!D:D,A50,'QA Log'!M:M,"QQC",'QA Log'!Z:Z,"Rejected",'QA Log'!L:L,"*2. Hygiene and Sterilization*"),
COUNTIFS('QA Log'!D:D,A50,'QA Log'!M:M,"QQC",'QA Log'!Z:Z,"Rejected",'QA Log'!L:L,"*4. Family Planning*")
))</f>
        <v/>
      </c>
      <c r="AC50" s="102" t="str">
        <f t="shared" si="3"/>
        <v/>
      </c>
      <c r="AD50" s="103" t="str">
        <f t="shared" si="4"/>
        <v/>
      </c>
      <c r="AE50" s="102" t="str">
        <f>IF(A50="","",
SUM(
COUNTIFS('QA Log'!D:D,A50,'QA Log'!M:M,"Data Verification",'QA Log'!L:L,"*Medicine (section 2)*"),
COUNTIFS('QA Log'!D:D,A50,'QA Log'!M:M,"Data Verification",'QA Log'!L:L,"*Lab Testing Availability*"),
COUNTIFS('QA Log'!D:D,A50,'QA Log'!M:M,"Data Verification",'QA Log'!L:L,"*Other than P4P (section 6)*"),
COUNTIFS('QA Log'!D:D,A50,'QA Log'!M:M,"Data Verification",'QA Log'!L:L,"*Hospital Governance*")
))</f>
        <v/>
      </c>
      <c r="AF50" s="102" t="str">
        <f>IF(A50="","",
SUM(
COUNTIFS('QA Log'!D:D,A50,'QA Log'!M:M,"Data Verification",'QA Log'!Z:Z,"Approved",'QA Log'!L:L,"*Medicine (section 2)*"),
COUNTIFS('QA Log'!D:D,A50,'QA Log'!M:M,"Data Verification",'QA Log'!Z:Z,"Approved",'QA Log'!L:L,"*Lab Testing Availability*"),
COUNTIFS('QA Log'!D:D,A50,'QA Log'!M:M,"Data Verification",'QA Log'!Z:Z,"Approved",'QA Log'!L:L,"*Other than P4P (section 6)*"),
COUNTIFS('QA Log'!D:D,A50,'QA Log'!M:M,"Data Verification",'QA Log'!Z:Z,"Approved",'QA Log'!L:L,"*Hospital Governance*")
))</f>
        <v/>
      </c>
      <c r="AG50" s="105" t="str">
        <f>IF(A50&lt;&gt;"",COUNTIFS('QA Log'!D:D,A50,'QA Log'!M:M,"Data Verification",'QA Log'!L:L,"Medicine (section 2)",'QA Log'!Z:Z,"Approved"),"")</f>
        <v/>
      </c>
      <c r="AH50" s="105" t="str">
        <f>IF(A50&lt;&gt;"",COUNTIFS('QA Log'!D:D,A50,'QA Log'!M:M,"Data Verification",'QA Log'!L:L,"Lab Testing Availability",'QA Log'!Z:Z,"Approved"),"")</f>
        <v/>
      </c>
      <c r="AI50" s="105" t="str">
        <f>IF(A50&lt;&gt;"",COUNTIFS('QA Log'!D:D,A50,'QA Log'!M:M,"Data Verification",'QA Log'!L:L,"Other than P4P (section 6)",'QA Log'!Z:Z,"Approved"),"")</f>
        <v/>
      </c>
      <c r="AJ50" s="105" t="str">
        <f>IF(A50&lt;&gt;"",COUNTIFS('QA Log'!D:D,A50,'QA Log'!M:M,"Data Verification",'QA Log'!L:L,"Hospital Governance",'QA Log'!Z:Z,"Approved"),"")</f>
        <v/>
      </c>
      <c r="AK50" s="102" t="str">
        <f>IF(A50="","",
SUM(
COUNTIFS('QA Log'!D:D,A50,'QA Log'!M:M,"Data Verification",'QA Log'!Z:Z,"Rejected",'QA Log'!L:L,"*Medicine (section 2)*"),
COUNTIFS('QA Log'!D:D,A50,'QA Log'!M:M,"Data Verification",'QA Log'!Z:Z,"Rejected",'QA Log'!L:L,"*Lab Testing Availability*"),
COUNTIFS('QA Log'!D:D,A50,'QA Log'!M:M,"Data Verification",'QA Log'!Z:Z,"Rejected",'QA Log'!L:L,"*Other than P4P (section 6)*"),
COUNTIFS('QA Log'!D:D,A50,'QA Log'!M:M,"Data Verification",'QA Log'!Z:Z,"Rejected",'QA Log'!L:L,"*Hospital Governance*")
))</f>
        <v/>
      </c>
      <c r="AL50" s="106" t="str">
        <f t="shared" si="5"/>
        <v/>
      </c>
      <c r="AM50" s="102" t="str">
        <f t="shared" si="6"/>
        <v/>
      </c>
      <c r="AN50" s="102" t="str">
        <f>IF(A50="","",
SUM(
COUNTIFS('QA Log'!D:D,A50,'QA Log'!M:M,"Data Verification",'QA Log'!L:L,"*Personnel (section 1)*"),
COUNTIFS('QA Log'!D:D,A50,'QA Log'!M:M,"Data Verification",'QA Log'!L:L,"*Consumable (section 3)*"),
COUNTIFS('QA Log'!D:D,A50,'QA Log'!M:M,"Data Verification",'QA Log'!L:L,"*Equipments (section 4)*")
))</f>
        <v/>
      </c>
      <c r="AO50" s="102" t="str">
        <f>IF(A50="","",
SUM(
COUNTIFS('QA Log'!D:D,A50,'QA Log'!M:M,"Data Verification",'QA Log'!Z:Z,"Approved",'QA Log'!L:L,"*Personnel (section 1)*"),
COUNTIFS('QA Log'!D:D,A50,'QA Log'!M:M,"Data Verification",'QA Log'!Z:Z,"Approved",'QA Log'!L:L,"*Consumable (section 3)*"),
COUNTIFS('QA Log'!D:D,A50,'QA Log'!M:M,"Data Verification",'QA Log'!Z:Z,"Approved",'QA Log'!L:L,"*Equipments (section 4)*")
))</f>
        <v/>
      </c>
      <c r="AP50" s="105" t="str">
        <f>IF(A50&lt;&gt;"",COUNTIFS('QA Log'!D:D,A50,'QA Log'!M:M,"Data Verification",'QA Log'!L:L,"Personnel (section 1)",'QA Log'!Z:Z,"Approved"),"")</f>
        <v/>
      </c>
      <c r="AQ50" s="105" t="str">
        <f>IF(A50&lt;&gt;"",COUNTIFS('QA Log'!D:D,A50,'QA Log'!M:M,"Data Verification",'QA Log'!L:L,"Consumable (section 3)",'QA Log'!Z:Z,"Approved"),"")</f>
        <v/>
      </c>
      <c r="AR50" s="105" t="str">
        <f>IF(A50&lt;&gt;"",COUNTIFS('QA Log'!D:D,A50,'QA Log'!M:M,"Data Verification",'QA Log'!L:L,"Equipments (section 4)",'QA Log'!Z:Z,"Approved"),"")</f>
        <v/>
      </c>
      <c r="AS50" s="102" t="str">
        <f>IF(A50="","",
SUM(
COUNTIFS('QA Log'!D:D,A50,'QA Log'!M:M,"Data Verification",'QA Log'!Z:Z,"Rejected",'QA Log'!L:L,"*Personnel (section 1)*"),
COUNTIFS('QA Log'!D:D,A50,'QA Log'!M:M,"Data Verification",'QA Log'!Z:Z,"Rejected",'QA Log'!L:L,"*Consumable (section 3)*"),
COUNTIFS('QA Log'!D:D,A50,'QA Log'!M:M,"Data Verification",'QA Log'!Z:Z,"Rejected",'QA Log'!L:L,"*Equipments (section 4)*")
))</f>
        <v/>
      </c>
      <c r="AT50" s="102" t="str">
        <f t="shared" si="7"/>
        <v/>
      </c>
      <c r="AU50" s="103" t="str">
        <f t="shared" si="8"/>
        <v/>
      </c>
      <c r="AV50" s="102" t="str">
        <f>IF(A50="","",SUM(
COUNTIFS('QA Log'!D:D,A50,'QA Log'!M:M,"Vignette",'QA Log'!L:L,"*Vignette [1] Respiratory Infection: Pneumonia*"),
COUNTIFS('QA Log'!D:D,A50,'QA Log'!M:M,"Vignette",'QA Log'!L:L,"*Vignette [2]: Diarrhea with Cat B dehydration*"),
COUNTIFS('QA Log'!D:D,A50,'QA Log'!M:M,"Vignette",'QA Log'!L:L,"*Vignette [3] Growth Monitoring and Promotion*"),
COUNTIFS('QA Log'!D:D,A50,'QA Log'!M:M,"Vignette",'QA Log'!L:L,"*Vignette [4]: The management of presumptive TB patient*")
)
)</f>
        <v/>
      </c>
      <c r="AW50" s="102" t="str">
        <f>IF(
  A50="","",
  SUM(
    COUNTIFS('QA Log'!D:D,A50,'QA Log'!M:M,"Vignette",'QA Log'!Z:Z,"Approved",'QA Log'!L:L,"*Vignette [1] Respiratory Infection: Pneumonia*"),
    COUNTIFS('QA Log'!D:D,A50,'QA Log'!M:M,"Vignette",'QA Log'!Z:Z,"Approved",'QA Log'!L:L,"*Vignette [2]: Diarrhea with Cat B dehydration*"),
    COUNTIFS('QA Log'!D:D,A50,'QA Log'!M:M,"Vignette",'QA Log'!Z:Z,"Approved",'QA Log'!L:L,"*Vignette [3] Growth Monitoring and Promotion*"),
    COUNTIFS('QA Log'!D:D,A50,'QA Log'!M:M,"Vignette",'QA Log'!Z:Z,"Approved",'QA Log'!L:L,"*Vignette [4]: The management of presumptive TB patient*")
  )
)</f>
        <v/>
      </c>
      <c r="AX50" s="105" t="str">
        <f>IF(A50&lt;&gt;"",COUNTIFS('QA Log'!D:D,A50,'QA Log'!M:M,"Vignette",'QA Log'!L:L,"Vignette [1] Respiratory Infection: Pneumonia",'QA Log'!Z:Z,"Approved"),"")</f>
        <v/>
      </c>
      <c r="AY50" s="105" t="str">
        <f>IF(A50&lt;&gt;"",COUNTIFS('QA Log'!D:D,A50,'QA Log'!M:M,"Vignette",'QA Log'!L:L,"Vignette [2]: Diarrhea with Cat B dehydration",'QA Log'!Z:Z,"Approved"),"")</f>
        <v/>
      </c>
      <c r="AZ50" s="105" t="str">
        <f>IF(A50&lt;&gt;"",COUNTIFS('QA Log'!D:D,A50,'QA Log'!M:M,"Vignette",'QA Log'!L:L,"Vignette [3] Growth Monitoring and Promotion",'QA Log'!Z:Z,"Approved"),"")</f>
        <v/>
      </c>
      <c r="BA50" s="105" t="str">
        <f>IF(A50&lt;&gt;"",COUNTIFS('QA Log'!D:D,A50,'QA Log'!M:M,"Vignette",'QA Log'!L:L,"Vignette [4]: The management of presumptive TB patient",'QA Log'!Z:Z,"Approved"),"")</f>
        <v/>
      </c>
      <c r="BB50" s="102" t="str">
        <f>IF(A50="","",
  SUM(
    COUNTIFS('QA Log'!D:D,A50,'QA Log'!M:M,"Vignette",'QA Log'!Z:Z,"Rejected",'QA Log'!L:L,"*Vignette [1] Respiratory Infection: Pneumonia*"),
    COUNTIFS('QA Log'!D:D,A50,'QA Log'!M:M,"Vignette",'QA Log'!Z:Z,"Rejected",'QA Log'!L:L,"*Vignette [2]: Diarrhea with Cat B dehydration*"),
    COUNTIFS('QA Log'!D:D,A50,'QA Log'!M:M,"Vignette",'QA Log'!Z:Z,"Rejected",'QA Log'!L:L,"*Vignette [3] Growth Monitoring and Promotion*"),
    COUNTIFS('QA Log'!D:D,A50,'QA Log'!M:M,"Vignette",'QA Log'!Z:Z,"Rejected",'QA Log'!L:L,"*Vignette [4]: The management of presumptive TB patient*")
  )
)</f>
        <v/>
      </c>
      <c r="BC50" s="107" t="str">
        <f t="shared" si="9"/>
        <v/>
      </c>
      <c r="BD50" s="103" t="str">
        <f t="shared" si="10"/>
        <v/>
      </c>
      <c r="BE50" s="102" t="str">
        <f>IF(A50="","",SUM(
COUNTIFS('QA Log'!D:D,A50,'QA Log'!M:M,"Vignette",'QA Log'!L:L,"*Vignette [5] Labor*"),
COUNTIFS('QA Log'!D:D,A50,'QA Log'!M:M,"Vignette",'QA Log'!L:L,"*Vignette [6] PNC pre Discharge*"),
COUNTIFS('QA Log'!D:D,A50,'QA Log'!M:M,"Vignette",'QA Log'!L:L,"*Vignette [7] First ANC Visit*"),
COUNTIFS('QA Log'!D:D,A50,'QA Log'!M:M,"Vignette",'QA Log'!L:L,"*Vignette [8] Birth Spacing/ Family Planning :  FP Counselling*"),
COUNTIFS('QA Log'!D:D,A50,'QA Log'!M:M,"Vignette",'QA Log'!L:L,"*Vignette [9] Birth Spacing: Change FP method to Injectable*"),
COUNTIFS('QA Log'!D:D,A50,'QA Log'!M:M,"Vignette",'QA Log'!L:L,"*Vignette [10] Post Partum Haemorrhage - Atonic Uterus at Health Centre*"),
)
)</f>
        <v/>
      </c>
      <c r="BF50" s="102" t="str">
        <f>IF(A50="","",
  SUM(
    COUNTIFS('QA Log'!D:D,A50,'QA Log'!M:M,"Vignette",'QA Log'!Z:Z,"Approved",'QA Log'!L:L,"*Vignette [5] Labor*"),
    COUNTIFS('QA Log'!D:D,A50,'QA Log'!M:M,"Vignette",'QA Log'!Z:Z,"Approved",'QA Log'!L:L,"*Vignette [6] PNC pre Discharge*"),
    COUNTIFS('QA Log'!D:D,A50,'QA Log'!M:M,"Vignette",'QA Log'!Z:Z,"Approved",'QA Log'!L:L,"*Vignette [7] First ANC Visit*"),
    COUNTIFS('QA Log'!D:D,A50,'QA Log'!M:M,"Vignette",'QA Log'!Z:Z,"Approved",'QA Log'!L:L,"*Vignette [8] Birth Spacing/ Family Planning :  FP Counselling*"),
    COUNTIFS('QA Log'!D:D,A50,'QA Log'!M:M,"Vignette",'QA Log'!Z:Z,"Approved",'QA Log'!L:L,"*Vignette [9] Birth Spacing: Change FP method to Injectable*"),
    COUNTIFS('QA Log'!D:D,A50,'QA Log'!M:M,"Vignette",'QA Log'!Z:Z,"Approved",'QA Log'!L:L,"*Vignette [10] Post Partum Haemorrhage - Atonic Uterus at Health Centre*")
  )
)</f>
        <v/>
      </c>
      <c r="BG50" s="105" t="str">
        <f>IF(A50&lt;&gt;"",COUNTIFS('QA Log'!D:D,A50,'QA Log'!M:M,"Vignette",'QA Log'!L:L,"Vignette [5] Labor",'QA Log'!Z:Z,"Approved"),"")</f>
        <v/>
      </c>
      <c r="BH50" s="105" t="str">
        <f>IF(A50&lt;&gt;"",COUNTIFS('QA Log'!D:D,A50,'QA Log'!M:M,"Vignette",'QA Log'!L:L,"Vignette [6] PNC pre Discharge",'QA Log'!Z:Z,"Approved"),"")</f>
        <v/>
      </c>
      <c r="BI50" s="105" t="str">
        <f>IF(A50&lt;&gt;"",COUNTIFS('QA Log'!D:D,A50,'QA Log'!M:M,"Vignette",'QA Log'!L:L,"Vignette [7] First ANC Visit",'QA Log'!Z:Z,"Approved"),"")</f>
        <v/>
      </c>
      <c r="BJ50" s="105" t="str">
        <f>IF(A50&lt;&gt;"",COUNTIFS('QA Log'!D:D,A50,'QA Log'!M:M,"Vignette",'QA Log'!L:L,"Vignette [8] Birth Spacing/ Family Planning :  FP Counselling",'QA Log'!Z:Z,"Approved"),"")</f>
        <v/>
      </c>
      <c r="BK50" s="105" t="str">
        <f>IF(A50&lt;&gt;"",COUNTIFS('QA Log'!D:D,A50,'QA Log'!M:M,"Vignette",'QA Log'!L:L,"Vignette [9] Birth Spacing: Change FP method to Injectable",'QA Log'!Z:Z,"Approved"),"")</f>
        <v/>
      </c>
      <c r="BL50" s="105" t="str">
        <f>IF(A50&lt;&gt;"",COUNTIFS('QA Log'!D:D,A50,'QA Log'!M:M,"Vignette",'QA Log'!L:L,"Vignette [10] Post Partum Haemorrhage - Atonic Uterus at Health Centre",'QA Log'!Z:Z,"Approved"),"")</f>
        <v/>
      </c>
      <c r="BM50" s="102" t="str">
        <f>IF(A50="","",SUM(
    COUNTIFS('QA Log'!D:D,A50,'QA Log'!M:M,"Vignette",'QA Log'!Z:Z,"Rejected",'QA Log'!L:L,"*Vignette [5] Labor*"),
    COUNTIFS('QA Log'!D:D,A50,'QA Log'!M:M,"Vignette",'QA Log'!Z:Z,"Rejected",'QA Log'!L:L,"*Vignette [6] PNC pre Discharge*"),
    COUNTIFS('QA Log'!D:D,A50,'QA Log'!M:M,"Vignette",'QA Log'!Z:Z,"Rejected",'QA Log'!L:L,"*Vignette [7] First ANC Visit*"),
    COUNTIFS('QA Log'!D:D,A50,'QA Log'!M:M,"Vignette",'QA Log'!Z:Z,"Rejected",'QA Log'!L:L,"*Vignette [8] Birth Spacing/ Family Planning :  FP Counselling*"),
    COUNTIFS('QA Log'!D:D,A50,'QA Log'!M:M,"Vignette",'QA Log'!Z:Z,"Rejected",'QA Log'!L:L,"*Vignette [9] Birth Spacing: Change FP method to Injectable*"),
    COUNTIFS('QA Log'!D:D,A50,'QA Log'!M:M,"Vignette",'QA Log'!Z:Z,"Rejected",'QA Log'!L:L,"*Vignette [10] Post Partum Haemorrhage - Atonic Uterus at Health Centre*")
  )
)</f>
        <v/>
      </c>
      <c r="BN50" s="107" t="str">
        <f t="shared" si="11"/>
        <v/>
      </c>
      <c r="BO50" s="103" t="str">
        <f t="shared" si="12"/>
        <v/>
      </c>
      <c r="BP50" s="102" t="str">
        <f>IF(A50="","",SUM(
COUNTIFS('QA Log'!D:D,A50,'QA Log'!M:M,"Vignette",'QA Log'!L:L,"*Exit Interview 1*"),
COUNTIFS('QA Log'!D:D,A50,'QA Log'!M:M,"Vignette",'QA Log'!L:L,"*Exit Interview 2*"),
)
)</f>
        <v/>
      </c>
      <c r="BQ50" s="102" t="str">
        <f>IF(
  A50="","",
  SUM(
    COUNTIFS('QA Log'!D:D,A50,'QA Log'!M:M,"Vignette",'QA Log'!Z:Z,"Approved",'QA Log'!L:L,"*Exit Interview 1*"),
    COUNTIFS('QA Log'!D:D,A50,'QA Log'!M:M,"Vignette",'QA Log'!Z:Z,"Approved",'QA Log'!L:L,"*Exit Interview 2*")
  )
)</f>
        <v/>
      </c>
      <c r="BR50" s="105" t="str">
        <f>IF(A50&lt;&gt;"",COUNTIFS('QA Log'!D:D,A50,'QA Log'!M:M,"Vignette",'QA Log'!L:L,"Exit Interview 1",'QA Log'!Z:Z,"Approved"),"")</f>
        <v/>
      </c>
      <c r="BS50" s="105" t="str">
        <f>IF(A50&lt;&gt;"",COUNTIFS('QA Log'!D:D,A50,'QA Log'!M:M,"Vignette",'QA Log'!L:L,"Exit Interview 2",'QA Log'!Z:Z,"Approved"),"")</f>
        <v/>
      </c>
      <c r="BT50" s="102" t="str">
        <f>IF(
  A50="","",
  SUM(
    COUNTIFS('QA Log'!D:D,A50,'QA Log'!M:M,"Vignette",'QA Log'!Z:Z,"Rejected",'QA Log'!L:L,"*Exit Interview 1*"),
    COUNTIFS('QA Log'!D:D,A50,'QA Log'!M:M,"Vignette",'QA Log'!Z:Z,"Rejected",'QA Log'!L:L,"*Exit Interview 2*")
  )
)</f>
        <v/>
      </c>
      <c r="BU50" s="107" t="str">
        <f t="shared" si="13"/>
        <v/>
      </c>
      <c r="BV50" s="102" t="str">
        <f t="shared" si="14"/>
        <v/>
      </c>
      <c r="BW50" s="102" t="str">
        <f t="shared" si="15"/>
        <v/>
      </c>
      <c r="BX50" s="102" t="str">
        <f t="shared" si="16"/>
        <v/>
      </c>
      <c r="BY50" s="102" t="str">
        <f t="shared" si="17"/>
        <v/>
      </c>
      <c r="BZ50" s="107" t="str">
        <f t="shared" si="18"/>
        <v/>
      </c>
      <c r="CA50" s="108" t="str">
        <f t="shared" si="19"/>
        <v/>
      </c>
      <c r="CB50" s="108" t="str">
        <f t="shared" si="20"/>
        <v/>
      </c>
      <c r="CC50" s="109" t="str">
        <f t="shared" si="21"/>
        <v/>
      </c>
      <c r="CD50" s="108" t="str">
        <f t="shared" si="22"/>
        <v/>
      </c>
      <c r="CE50" s="108" t="str">
        <f t="shared" si="23"/>
        <v/>
      </c>
      <c r="CF50" s="109" t="str">
        <f t="shared" si="24"/>
        <v/>
      </c>
      <c r="CG50" s="110" t="str">
        <f t="shared" si="25"/>
        <v/>
      </c>
      <c r="CH50" s="111"/>
    </row>
    <row r="51" spans="1:86" ht="12.75">
      <c r="A51" s="101"/>
      <c r="B51" s="102" t="e">
        <f t="array" aca="1" ref="B51" ca="1">_xludf.XLOOKUP(A51,'QA Log'!D:D,'QA Log'!E:E,"")</f>
        <v>#NAME?</v>
      </c>
      <c r="C51" s="102" t="e">
        <f t="array" aca="1" ref="C51" ca="1">_xludf.XLOOKUP(A51,'QA Log'!D:D,'QA Log'!F:F,"")</f>
        <v>#NAME?</v>
      </c>
      <c r="D51" s="102" t="e">
        <f t="array" aca="1" ref="D51" ca="1">_xludf.XLOOKUP(A51,'QA Log'!D:D,'QA Log'!H:H,"")</f>
        <v>#NAME?</v>
      </c>
      <c r="E51" s="102" t="e">
        <f t="array" aca="1" ref="E51" ca="1">_xludf.XLOOKUP(A51,'QA Log'!D:D,'QA Log'!G:G,"")</f>
        <v>#NAME?</v>
      </c>
      <c r="F51" s="103"/>
      <c r="G51" s="104"/>
      <c r="H51" s="104"/>
      <c r="I51" s="103" t="str">
        <f t="shared" si="0"/>
        <v/>
      </c>
      <c r="J51" s="102" t="str">
        <f>IF(A51="","",SUM(
COUNTIFS('QA Log'!D:D,A51,'QA Log'!M:M,"QQC",'QA Log'!L:L,"*1. General Management*"),
COUNTIFS('QA Log'!D:D,A51,'QA Log'!M:M,"QQC",'QA Log'!L:L,"*3. Curative Consultation (OPD)*"),
COUNTIFS('QA Log'!D:D,A51,'QA Log'!M:M,"QQC",'QA Log'!L:L,"*5. Laboratory*"),
COUNTIFS('QA Log'!D:D,A51,'QA Log'!M:M,"QQC",'QA Log'!L:L,"*6. Essential Medicine Management*"),
COUNTIFS('QA Log'!D:D,A51,'QA Log'!M:M,"QQC",'QA Log'!L:L,"*7. Tracer Medicine*"),
COUNTIFS('QA Log'!D:D,A51,'QA Log'!M:M,"QQC",'QA Log'!L:L,"*11. Additional Questions*")))</f>
        <v/>
      </c>
      <c r="K51" s="102" t="str">
        <f>IF(A51="","",SUM(
COUNTIFS('QA Log'!D:D,A51,'QA Log'!M:M,"QQC",'QA Log'!Z:Z,"Approved",'QA Log'!L:L,"*1. General Management*"),
COUNTIFS('QA Log'!D:D,A51,'QA Log'!M:M,"QQC",'QA Log'!Z:Z,"Approved",'QA Log'!L:L,"*3. Curative Consultation (OPD)*"),
COUNTIFS('QA Log'!D:D,A51,'QA Log'!M:M,"QQC",'QA Log'!Z:Z,"Approved",'QA Log'!L:L,"*5. Laboratory*"),
COUNTIFS('QA Log'!D:D,A51,'QA Log'!M:M,"QQC",'QA Log'!Z:Z,"Approved",'QA Log'!L:L,"*6. Essential Medicine Management*"),
COUNTIFS('QA Log'!D:D,A51,'QA Log'!M:M,"QQC",'QA Log'!Z:Z,"Approved",'QA Log'!L:L,"*7. Tracer Medicine*"),
COUNTIFS('QA Log'!D:D,A51,'QA Log'!M:M,"QQC",'QA Log'!Z:Z,"Approved",'QA Log'!L:L,"*11. Additional Questions*")))</f>
        <v/>
      </c>
      <c r="L51" s="105" t="str">
        <f>IF(A51&lt;&gt;"",COUNTIFS('QA Log'!D:D,A51,'QA Log'!M:M,"QQC",'QA Log'!L:L,"1. General Management",'QA Log'!Z:Z,"Approved"),"")</f>
        <v/>
      </c>
      <c r="M51" s="105" t="str">
        <f>IF(A51&lt;&gt;"",COUNTIFS('QA Log'!D:D,A51,'QA Log'!M:M,"QQC",'QA Log'!L:L,"3. Curative Consultation (OPD)",'QA Log'!Z:Z,"Approved"),"")</f>
        <v/>
      </c>
      <c r="N51" s="105" t="str">
        <f>IF(A51&lt;&gt;"",COUNTIFS('QA Log'!D:D,A51,'QA Log'!M:M,"QQC",'QA Log'!L:L,"5. Laboratory",'QA Log'!Z:Z,"Approved"),"")</f>
        <v/>
      </c>
      <c r="O51" s="105" t="str">
        <f>IF(A51&lt;&gt;"",COUNTIFS('QA Log'!D:D,A51,'QA Log'!M:M,"QQC",'QA Log'!L:L,"6. Essential Medicine Management",'QA Log'!Z:Z,"Approved"),"")</f>
        <v/>
      </c>
      <c r="P51" s="105" t="str">
        <f>IF(A51&lt;&gt;"",COUNTIFS('QA Log'!D:D,A51,'QA Log'!M:M,"QQC",'QA Log'!L:L,"7. Tracer Medicine",'QA Log'!Z:Z,"Approved"),"")</f>
        <v/>
      </c>
      <c r="Q51" s="105" t="str">
        <f>IF(A51&lt;&gt;"",COUNTIFS('QA Log'!D:D,A51,'QA Log'!M:M,"QQC",'QA Log'!L:L,"11. Additional Questions",'QA Log'!Z:Z,"Approved"),"")</f>
        <v/>
      </c>
      <c r="R51" s="102" t="str">
        <f>IF(A51="","",SUM(
COUNTIFS('QA Log'!D:D,A51,'QA Log'!M:M,"QQC",'QA Log'!Z:Z,"Rejected",'QA Log'!L:L,"*8. Maternity*"),
COUNTIFS('QA Log'!D:D,A51,'QA Log'!M:M,"QQC",'QA Log'!Z:Z,"Rejected",'QA Log'!L:L,"*EPI*"),
COUNTIFS('QA Log'!D:D,A51,'QA Log'!M:M,"QQC",'QA Log'!Z:Z,"Rejected",'QA Log'!L:L,"*10. Antenatal Care (ANC)*"),
COUNTIFS('QA Log'!D:D,A51,'QA Log'!M:M,"QQC",'QA Log'!Z:Z,"Rejected",'QA Log'!L:L,"*2. Hygiene and Sterilization*"),
COUNTIFS('QA Log'!D:D,A51,'QA Log'!M:M,"QQC",'QA Log'!Z:Z,"Rejected",'QA Log'!L:L,"*Family Planning*")))</f>
        <v/>
      </c>
      <c r="S51" s="106" t="str">
        <f t="shared" si="1"/>
        <v/>
      </c>
      <c r="T51" s="102" t="str">
        <f t="shared" si="2"/>
        <v/>
      </c>
      <c r="U51" s="102" t="str">
        <f>IF(A51="","",
SUM(
COUNTIFS('QA Log'!D:D,A51,'QA Log'!M:M,"QQC",'QA Log'!L:L,"*8. Maternity*"),
COUNTIFS('QA Log'!D:D,A51,'QA Log'!M:M,"QQC",'QA Log'!L:L,"*9. EPI and Pre-school Consultation*"),
COUNTIFS('QA Log'!D:D,A51,'QA Log'!M:M,"QQC",'QA Log'!L:L,"*10. Antenatal Care (ANC)*"),
COUNTIFS('QA Log'!D:D,A51,'QA Log'!M:M,"QQC",'QA Log'!L:L,"*2. Hygiene and Sterilization*"),
COUNTIFS('QA Log'!D:D,A51,'QA Log'!M:M,"QQC",'QA Log'!L:L,"*4. Family Planning*")
))</f>
        <v/>
      </c>
      <c r="V51" s="102" t="str">
        <f>IF(A51="","",
SUM(
COUNTIFS('QA Log'!D:D,A51,'QA Log'!M:M,"QQC",'QA Log'!Z:Z,"Approved",'QA Log'!L:L,"*8. Maternity*"),
COUNTIFS('QA Log'!D:D,A51,'QA Log'!M:M,"QQC",'QA Log'!Z:Z,"Approved",'QA Log'!L:L,"*9. EPI and Pre-school Consultation*"),
COUNTIFS('QA Log'!D:D,A51,'QA Log'!M:M,"QQC",'QA Log'!Z:Z,"Approved",'QA Log'!L:L,"*10. Antenatal Care (ANC)*"),
COUNTIFS('QA Log'!D:D,A51,'QA Log'!M:M,"QQC",'QA Log'!Z:Z,"Approved",'QA Log'!L:L,"*2. Hygiene and Sterilization*"),
COUNTIFS('QA Log'!D:D,A51,'QA Log'!M:M,"QQC",'QA Log'!Z:Z,"Approved",'QA Log'!L:L,"*4. Family Planning*")
))</f>
        <v/>
      </c>
      <c r="W51" s="105" t="str">
        <f>IF(A51&lt;&gt;"",COUNTIFS('QA Log'!D:D,A51,'QA Log'!M:M,"QQC",'QA Log'!L:L,"8. Maternity",'QA Log'!Z:Z,"Approved"),"")</f>
        <v/>
      </c>
      <c r="X51" s="105" t="str">
        <f>IF(A51&lt;&gt;"",COUNTIFS('QA Log'!D:D,A51,'QA Log'!M:M,"QQC",'QA Log'!L:L,"9. EPI and Pre-school Consultation",'QA Log'!Z:Z,"Approved"),"")</f>
        <v/>
      </c>
      <c r="Y51" s="105" t="str">
        <f>IF(A51&lt;&gt;"",COUNTIFS('QA Log'!D:D,A51,'QA Log'!M:M,"QQC",'QA Log'!L:L,"10. Antenatal Care (ANC)",'QA Log'!Z:Z,"Approved"),"")</f>
        <v/>
      </c>
      <c r="Z51" s="105" t="str">
        <f>IF(A51&lt;&gt;"",COUNTIFS('QA Log'!D:D,A51,'QA Log'!M:M,"QQC",'QA Log'!L:L,"2. Hygiene and Sterilization",'QA Log'!Z:Z,"Approved"),"")</f>
        <v/>
      </c>
      <c r="AA51" s="105" t="str">
        <f>IF(A51&lt;&gt;"",COUNTIFS('QA Log'!D:D,A51,'QA Log'!M:M,"QQC",'QA Log'!L:L,"4. Family Planning",'QA Log'!Z:Z,"Approved"),"")</f>
        <v/>
      </c>
      <c r="AB51" s="102" t="str">
        <f>IF(A51="","",
SUM(
COUNTIFS('QA Log'!D:D,A51,'QA Log'!M:M,"QQC",'QA Log'!Z:Z,"Rejected",'QA Log'!L:L,"*8. Maternity*"),
COUNTIFS('QA Log'!D:D,A51,'QA Log'!M:M,"QQC",'QA Log'!Z:Z,"Rejected",'QA Log'!L:L,"*9. EPI and Pre-school Consultation*"),
COUNTIFS('QA Log'!D:D,A51,'QA Log'!M:M,"QQC",'QA Log'!Z:Z,"Rejected",'QA Log'!L:L,"*10. Antenatal Care (ANC)*"),
COUNTIFS('QA Log'!D:D,A51,'QA Log'!M:M,"QQC",'QA Log'!Z:Z,"Rejected",'QA Log'!L:L,"*2. Hygiene and Sterilization*"),
COUNTIFS('QA Log'!D:D,A51,'QA Log'!M:M,"QQC",'QA Log'!Z:Z,"Rejected",'QA Log'!L:L,"*4. Family Planning*")
))</f>
        <v/>
      </c>
      <c r="AC51" s="102" t="str">
        <f t="shared" si="3"/>
        <v/>
      </c>
      <c r="AD51" s="103" t="str">
        <f t="shared" si="4"/>
        <v/>
      </c>
      <c r="AE51" s="102" t="str">
        <f>IF(A51="","",
SUM(
COUNTIFS('QA Log'!D:D,A51,'QA Log'!M:M,"Data Verification",'QA Log'!L:L,"*Medicine (section 2)*"),
COUNTIFS('QA Log'!D:D,A51,'QA Log'!M:M,"Data Verification",'QA Log'!L:L,"*Lab Testing Availability*"),
COUNTIFS('QA Log'!D:D,A51,'QA Log'!M:M,"Data Verification",'QA Log'!L:L,"*Other than P4P (section 6)*"),
COUNTIFS('QA Log'!D:D,A51,'QA Log'!M:M,"Data Verification",'QA Log'!L:L,"*Hospital Governance*")
))</f>
        <v/>
      </c>
      <c r="AF51" s="102" t="str">
        <f>IF(A51="","",
SUM(
COUNTIFS('QA Log'!D:D,A51,'QA Log'!M:M,"Data Verification",'QA Log'!Z:Z,"Approved",'QA Log'!L:L,"*Medicine (section 2)*"),
COUNTIFS('QA Log'!D:D,A51,'QA Log'!M:M,"Data Verification",'QA Log'!Z:Z,"Approved",'QA Log'!L:L,"*Lab Testing Availability*"),
COUNTIFS('QA Log'!D:D,A51,'QA Log'!M:M,"Data Verification",'QA Log'!Z:Z,"Approved",'QA Log'!L:L,"*Other than P4P (section 6)*"),
COUNTIFS('QA Log'!D:D,A51,'QA Log'!M:M,"Data Verification",'QA Log'!Z:Z,"Approved",'QA Log'!L:L,"*Hospital Governance*")
))</f>
        <v/>
      </c>
      <c r="AG51" s="105" t="str">
        <f>IF(A51&lt;&gt;"",COUNTIFS('QA Log'!D:D,A51,'QA Log'!M:M,"Data Verification",'QA Log'!L:L,"Medicine (section 2)",'QA Log'!Z:Z,"Approved"),"")</f>
        <v/>
      </c>
      <c r="AH51" s="105" t="str">
        <f>IF(A51&lt;&gt;"",COUNTIFS('QA Log'!D:D,A51,'QA Log'!M:M,"Data Verification",'QA Log'!L:L,"Lab Testing Availability",'QA Log'!Z:Z,"Approved"),"")</f>
        <v/>
      </c>
      <c r="AI51" s="105" t="str">
        <f>IF(A51&lt;&gt;"",COUNTIFS('QA Log'!D:D,A51,'QA Log'!M:M,"Data Verification",'QA Log'!L:L,"Other than P4P (section 6)",'QA Log'!Z:Z,"Approved"),"")</f>
        <v/>
      </c>
      <c r="AJ51" s="105" t="str">
        <f>IF(A51&lt;&gt;"",COUNTIFS('QA Log'!D:D,A51,'QA Log'!M:M,"Data Verification",'QA Log'!L:L,"Hospital Governance",'QA Log'!Z:Z,"Approved"),"")</f>
        <v/>
      </c>
      <c r="AK51" s="102" t="str">
        <f>IF(A51="","",
SUM(
COUNTIFS('QA Log'!D:D,A51,'QA Log'!M:M,"Data Verification",'QA Log'!Z:Z,"Rejected",'QA Log'!L:L,"*Medicine (section 2)*"),
COUNTIFS('QA Log'!D:D,A51,'QA Log'!M:M,"Data Verification",'QA Log'!Z:Z,"Rejected",'QA Log'!L:L,"*Lab Testing Availability*"),
COUNTIFS('QA Log'!D:D,A51,'QA Log'!M:M,"Data Verification",'QA Log'!Z:Z,"Rejected",'QA Log'!L:L,"*Other than P4P (section 6)*"),
COUNTIFS('QA Log'!D:D,A51,'QA Log'!M:M,"Data Verification",'QA Log'!Z:Z,"Rejected",'QA Log'!L:L,"*Hospital Governance*")
))</f>
        <v/>
      </c>
      <c r="AL51" s="106" t="str">
        <f t="shared" si="5"/>
        <v/>
      </c>
      <c r="AM51" s="102" t="str">
        <f t="shared" si="6"/>
        <v/>
      </c>
      <c r="AN51" s="102" t="str">
        <f>IF(A51="","",
SUM(
COUNTIFS('QA Log'!D:D,A51,'QA Log'!M:M,"Data Verification",'QA Log'!L:L,"*Personnel (section 1)*"),
COUNTIFS('QA Log'!D:D,A51,'QA Log'!M:M,"Data Verification",'QA Log'!L:L,"*Consumable (section 3)*"),
COUNTIFS('QA Log'!D:D,A51,'QA Log'!M:M,"Data Verification",'QA Log'!L:L,"*Equipments (section 4)*")
))</f>
        <v/>
      </c>
      <c r="AO51" s="102" t="str">
        <f>IF(A51="","",
SUM(
COUNTIFS('QA Log'!D:D,A51,'QA Log'!M:M,"Data Verification",'QA Log'!Z:Z,"Approved",'QA Log'!L:L,"*Personnel (section 1)*"),
COUNTIFS('QA Log'!D:D,A51,'QA Log'!M:M,"Data Verification",'QA Log'!Z:Z,"Approved",'QA Log'!L:L,"*Consumable (section 3)*"),
COUNTIFS('QA Log'!D:D,A51,'QA Log'!M:M,"Data Verification",'QA Log'!Z:Z,"Approved",'QA Log'!L:L,"*Equipments (section 4)*")
))</f>
        <v/>
      </c>
      <c r="AP51" s="105" t="str">
        <f>IF(A51&lt;&gt;"",COUNTIFS('QA Log'!D:D,A51,'QA Log'!M:M,"Data Verification",'QA Log'!L:L,"Personnel (section 1)",'QA Log'!Z:Z,"Approved"),"")</f>
        <v/>
      </c>
      <c r="AQ51" s="105" t="str">
        <f>IF(A51&lt;&gt;"",COUNTIFS('QA Log'!D:D,A51,'QA Log'!M:M,"Data Verification",'QA Log'!L:L,"Consumable (section 3)",'QA Log'!Z:Z,"Approved"),"")</f>
        <v/>
      </c>
      <c r="AR51" s="105" t="str">
        <f>IF(A51&lt;&gt;"",COUNTIFS('QA Log'!D:D,A51,'QA Log'!M:M,"Data Verification",'QA Log'!L:L,"Equipments (section 4)",'QA Log'!Z:Z,"Approved"),"")</f>
        <v/>
      </c>
      <c r="AS51" s="102" t="str">
        <f>IF(A51="","",
SUM(
COUNTIFS('QA Log'!D:D,A51,'QA Log'!M:M,"Data Verification",'QA Log'!Z:Z,"Rejected",'QA Log'!L:L,"*Personnel (section 1)*"),
COUNTIFS('QA Log'!D:D,A51,'QA Log'!M:M,"Data Verification",'QA Log'!Z:Z,"Rejected",'QA Log'!L:L,"*Consumable (section 3)*"),
COUNTIFS('QA Log'!D:D,A51,'QA Log'!M:M,"Data Verification",'QA Log'!Z:Z,"Rejected",'QA Log'!L:L,"*Equipments (section 4)*")
))</f>
        <v/>
      </c>
      <c r="AT51" s="102" t="str">
        <f t="shared" si="7"/>
        <v/>
      </c>
      <c r="AU51" s="103" t="str">
        <f t="shared" si="8"/>
        <v/>
      </c>
      <c r="AV51" s="102" t="str">
        <f>IF(A51="","",SUM(
COUNTIFS('QA Log'!D:D,A51,'QA Log'!M:M,"Vignette",'QA Log'!L:L,"*Vignette [1] Respiratory Infection: Pneumonia*"),
COUNTIFS('QA Log'!D:D,A51,'QA Log'!M:M,"Vignette",'QA Log'!L:L,"*Vignette [2]: Diarrhea with Cat B dehydration*"),
COUNTIFS('QA Log'!D:D,A51,'QA Log'!M:M,"Vignette",'QA Log'!L:L,"*Vignette [3] Growth Monitoring and Promotion*"),
COUNTIFS('QA Log'!D:D,A51,'QA Log'!M:M,"Vignette",'QA Log'!L:L,"*Vignette [4]: The management of presumptive TB patient*")
)
)</f>
        <v/>
      </c>
      <c r="AW51" s="102" t="str">
        <f>IF(
  A51="","",
  SUM(
    COUNTIFS('QA Log'!D:D,A51,'QA Log'!M:M,"Vignette",'QA Log'!Z:Z,"Approved",'QA Log'!L:L,"*Vignette [1] Respiratory Infection: Pneumonia*"),
    COUNTIFS('QA Log'!D:D,A51,'QA Log'!M:M,"Vignette",'QA Log'!Z:Z,"Approved",'QA Log'!L:L,"*Vignette [2]: Diarrhea with Cat B dehydration*"),
    COUNTIFS('QA Log'!D:D,A51,'QA Log'!M:M,"Vignette",'QA Log'!Z:Z,"Approved",'QA Log'!L:L,"*Vignette [3] Growth Monitoring and Promotion*"),
    COUNTIFS('QA Log'!D:D,A51,'QA Log'!M:M,"Vignette",'QA Log'!Z:Z,"Approved",'QA Log'!L:L,"*Vignette [4]: The management of presumptive TB patient*")
  )
)</f>
        <v/>
      </c>
      <c r="AX51" s="105" t="str">
        <f>IF(A51&lt;&gt;"",COUNTIFS('QA Log'!D:D,A51,'QA Log'!M:M,"Vignette",'QA Log'!L:L,"Vignette [1] Respiratory Infection: Pneumonia",'QA Log'!Z:Z,"Approved"),"")</f>
        <v/>
      </c>
      <c r="AY51" s="105" t="str">
        <f>IF(A51&lt;&gt;"",COUNTIFS('QA Log'!D:D,A51,'QA Log'!M:M,"Vignette",'QA Log'!L:L,"Vignette [2]: Diarrhea with Cat B dehydration",'QA Log'!Z:Z,"Approved"),"")</f>
        <v/>
      </c>
      <c r="AZ51" s="105" t="str">
        <f>IF(A51&lt;&gt;"",COUNTIFS('QA Log'!D:D,A51,'QA Log'!M:M,"Vignette",'QA Log'!L:L,"Vignette [3] Growth Monitoring and Promotion",'QA Log'!Z:Z,"Approved"),"")</f>
        <v/>
      </c>
      <c r="BA51" s="105" t="str">
        <f>IF(A51&lt;&gt;"",COUNTIFS('QA Log'!D:D,A51,'QA Log'!M:M,"Vignette",'QA Log'!L:L,"Vignette [4]: The management of presumptive TB patient",'QA Log'!Z:Z,"Approved"),"")</f>
        <v/>
      </c>
      <c r="BB51" s="102" t="str">
        <f>IF(A51="","",
  SUM(
    COUNTIFS('QA Log'!D:D,A51,'QA Log'!M:M,"Vignette",'QA Log'!Z:Z,"Rejected",'QA Log'!L:L,"*Vignette [1] Respiratory Infection: Pneumonia*"),
    COUNTIFS('QA Log'!D:D,A51,'QA Log'!M:M,"Vignette",'QA Log'!Z:Z,"Rejected",'QA Log'!L:L,"*Vignette [2]: Diarrhea with Cat B dehydration*"),
    COUNTIFS('QA Log'!D:D,A51,'QA Log'!M:M,"Vignette",'QA Log'!Z:Z,"Rejected",'QA Log'!L:L,"*Vignette [3] Growth Monitoring and Promotion*"),
    COUNTIFS('QA Log'!D:D,A51,'QA Log'!M:M,"Vignette",'QA Log'!Z:Z,"Rejected",'QA Log'!L:L,"*Vignette [4]: The management of presumptive TB patient*")
  )
)</f>
        <v/>
      </c>
      <c r="BC51" s="107" t="str">
        <f t="shared" si="9"/>
        <v/>
      </c>
      <c r="BD51" s="103" t="str">
        <f t="shared" si="10"/>
        <v/>
      </c>
      <c r="BE51" s="102" t="str">
        <f>IF(A51="","",SUM(
COUNTIFS('QA Log'!D:D,A51,'QA Log'!M:M,"Vignette",'QA Log'!L:L,"*Vignette [5] Labor*"),
COUNTIFS('QA Log'!D:D,A51,'QA Log'!M:M,"Vignette",'QA Log'!L:L,"*Vignette [6] PNC pre Discharge*"),
COUNTIFS('QA Log'!D:D,A51,'QA Log'!M:M,"Vignette",'QA Log'!L:L,"*Vignette [7] First ANC Visit*"),
COUNTIFS('QA Log'!D:D,A51,'QA Log'!M:M,"Vignette",'QA Log'!L:L,"*Vignette [8] Birth Spacing/ Family Planning :  FP Counselling*"),
COUNTIFS('QA Log'!D:D,A51,'QA Log'!M:M,"Vignette",'QA Log'!L:L,"*Vignette [9] Birth Spacing: Change FP method to Injectable*"),
COUNTIFS('QA Log'!D:D,A51,'QA Log'!M:M,"Vignette",'QA Log'!L:L,"*Vignette [10] Post Partum Haemorrhage - Atonic Uterus at Health Centre*"),
)
)</f>
        <v/>
      </c>
      <c r="BF51" s="102" t="str">
        <f>IF(A51="","",
  SUM(
    COUNTIFS('QA Log'!D:D,A51,'QA Log'!M:M,"Vignette",'QA Log'!Z:Z,"Approved",'QA Log'!L:L,"*Vignette [5] Labor*"),
    COUNTIFS('QA Log'!D:D,A51,'QA Log'!M:M,"Vignette",'QA Log'!Z:Z,"Approved",'QA Log'!L:L,"*Vignette [6] PNC pre Discharge*"),
    COUNTIFS('QA Log'!D:D,A51,'QA Log'!M:M,"Vignette",'QA Log'!Z:Z,"Approved",'QA Log'!L:L,"*Vignette [7] First ANC Visit*"),
    COUNTIFS('QA Log'!D:D,A51,'QA Log'!M:M,"Vignette",'QA Log'!Z:Z,"Approved",'QA Log'!L:L,"*Vignette [8] Birth Spacing/ Family Planning :  FP Counselling*"),
    COUNTIFS('QA Log'!D:D,A51,'QA Log'!M:M,"Vignette",'QA Log'!Z:Z,"Approved",'QA Log'!L:L,"*Vignette [9] Birth Spacing: Change FP method to Injectable*"),
    COUNTIFS('QA Log'!D:D,A51,'QA Log'!M:M,"Vignette",'QA Log'!Z:Z,"Approved",'QA Log'!L:L,"*Vignette [10] Post Partum Haemorrhage - Atonic Uterus at Health Centre*")
  )
)</f>
        <v/>
      </c>
      <c r="BG51" s="105" t="str">
        <f>IF(A51&lt;&gt;"",COUNTIFS('QA Log'!D:D,A51,'QA Log'!M:M,"Vignette",'QA Log'!L:L,"Vignette [5] Labor",'QA Log'!Z:Z,"Approved"),"")</f>
        <v/>
      </c>
      <c r="BH51" s="105" t="str">
        <f>IF(A51&lt;&gt;"",COUNTIFS('QA Log'!D:D,A51,'QA Log'!M:M,"Vignette",'QA Log'!L:L,"Vignette [6] PNC pre Discharge",'QA Log'!Z:Z,"Approved"),"")</f>
        <v/>
      </c>
      <c r="BI51" s="105" t="str">
        <f>IF(A51&lt;&gt;"",COUNTIFS('QA Log'!D:D,A51,'QA Log'!M:M,"Vignette",'QA Log'!L:L,"Vignette [7] First ANC Visit",'QA Log'!Z:Z,"Approved"),"")</f>
        <v/>
      </c>
      <c r="BJ51" s="105" t="str">
        <f>IF(A51&lt;&gt;"",COUNTIFS('QA Log'!D:D,A51,'QA Log'!M:M,"Vignette",'QA Log'!L:L,"Vignette [8] Birth Spacing/ Family Planning :  FP Counselling",'QA Log'!Z:Z,"Approved"),"")</f>
        <v/>
      </c>
      <c r="BK51" s="105" t="str">
        <f>IF(A51&lt;&gt;"",COUNTIFS('QA Log'!D:D,A51,'QA Log'!M:M,"Vignette",'QA Log'!L:L,"Vignette [9] Birth Spacing: Change FP method to Injectable",'QA Log'!Z:Z,"Approved"),"")</f>
        <v/>
      </c>
      <c r="BL51" s="105" t="str">
        <f>IF(A51&lt;&gt;"",COUNTIFS('QA Log'!D:D,A51,'QA Log'!M:M,"Vignette",'QA Log'!L:L,"Vignette [10] Post Partum Haemorrhage - Atonic Uterus at Health Centre",'QA Log'!Z:Z,"Approved"),"")</f>
        <v/>
      </c>
      <c r="BM51" s="102" t="str">
        <f>IF(A51="","",SUM(
    COUNTIFS('QA Log'!D:D,A51,'QA Log'!M:M,"Vignette",'QA Log'!Z:Z,"Rejected",'QA Log'!L:L,"*Vignette [5] Labor*"),
    COUNTIFS('QA Log'!D:D,A51,'QA Log'!M:M,"Vignette",'QA Log'!Z:Z,"Rejected",'QA Log'!L:L,"*Vignette [6] PNC pre Discharge*"),
    COUNTIFS('QA Log'!D:D,A51,'QA Log'!M:M,"Vignette",'QA Log'!Z:Z,"Rejected",'QA Log'!L:L,"*Vignette [7] First ANC Visit*"),
    COUNTIFS('QA Log'!D:D,A51,'QA Log'!M:M,"Vignette",'QA Log'!Z:Z,"Rejected",'QA Log'!L:L,"*Vignette [8] Birth Spacing/ Family Planning :  FP Counselling*"),
    COUNTIFS('QA Log'!D:D,A51,'QA Log'!M:M,"Vignette",'QA Log'!Z:Z,"Rejected",'QA Log'!L:L,"*Vignette [9] Birth Spacing: Change FP method to Injectable*"),
    COUNTIFS('QA Log'!D:D,A51,'QA Log'!M:M,"Vignette",'QA Log'!Z:Z,"Rejected",'QA Log'!L:L,"*Vignette [10] Post Partum Haemorrhage - Atonic Uterus at Health Centre*")
  )
)</f>
        <v/>
      </c>
      <c r="BN51" s="107" t="str">
        <f t="shared" si="11"/>
        <v/>
      </c>
      <c r="BO51" s="103" t="str">
        <f t="shared" si="12"/>
        <v/>
      </c>
      <c r="BP51" s="102" t="str">
        <f>IF(A51="","",SUM(
COUNTIFS('QA Log'!D:D,A51,'QA Log'!M:M,"Vignette",'QA Log'!L:L,"*Exit Interview 1*"),
COUNTIFS('QA Log'!D:D,A51,'QA Log'!M:M,"Vignette",'QA Log'!L:L,"*Exit Interview 2*"),
)
)</f>
        <v/>
      </c>
      <c r="BQ51" s="102" t="str">
        <f>IF(
  A51="","",
  SUM(
    COUNTIFS('QA Log'!D:D,A51,'QA Log'!M:M,"Vignette",'QA Log'!Z:Z,"Approved",'QA Log'!L:L,"*Exit Interview 1*"),
    COUNTIFS('QA Log'!D:D,A51,'QA Log'!M:M,"Vignette",'QA Log'!Z:Z,"Approved",'QA Log'!L:L,"*Exit Interview 2*")
  )
)</f>
        <v/>
      </c>
      <c r="BR51" s="105" t="str">
        <f>IF(A51&lt;&gt;"",COUNTIFS('QA Log'!D:D,A51,'QA Log'!M:M,"Vignette",'QA Log'!L:L,"Exit Interview 1",'QA Log'!Z:Z,"Approved"),"")</f>
        <v/>
      </c>
      <c r="BS51" s="105" t="str">
        <f>IF(A51&lt;&gt;"",COUNTIFS('QA Log'!D:D,A51,'QA Log'!M:M,"Vignette",'QA Log'!L:L,"Exit Interview 2",'QA Log'!Z:Z,"Approved"),"")</f>
        <v/>
      </c>
      <c r="BT51" s="102" t="str">
        <f>IF(
  A51="","",
  SUM(
    COUNTIFS('QA Log'!D:D,A51,'QA Log'!M:M,"Vignette",'QA Log'!Z:Z,"Rejected",'QA Log'!L:L,"*Exit Interview 1*"),
    COUNTIFS('QA Log'!D:D,A51,'QA Log'!M:M,"Vignette",'QA Log'!Z:Z,"Rejected",'QA Log'!L:L,"*Exit Interview 2*")
  )
)</f>
        <v/>
      </c>
      <c r="BU51" s="107" t="str">
        <f t="shared" si="13"/>
        <v/>
      </c>
      <c r="BV51" s="102" t="str">
        <f t="shared" si="14"/>
        <v/>
      </c>
      <c r="BW51" s="102" t="str">
        <f t="shared" si="15"/>
        <v/>
      </c>
      <c r="BX51" s="102" t="str">
        <f t="shared" si="16"/>
        <v/>
      </c>
      <c r="BY51" s="102" t="str">
        <f t="shared" si="17"/>
        <v/>
      </c>
      <c r="BZ51" s="107" t="str">
        <f t="shared" si="18"/>
        <v/>
      </c>
      <c r="CA51" s="108" t="str">
        <f t="shared" si="19"/>
        <v/>
      </c>
      <c r="CB51" s="108" t="str">
        <f t="shared" si="20"/>
        <v/>
      </c>
      <c r="CC51" s="109" t="str">
        <f t="shared" si="21"/>
        <v/>
      </c>
      <c r="CD51" s="108" t="str">
        <f t="shared" si="22"/>
        <v/>
      </c>
      <c r="CE51" s="108" t="str">
        <f t="shared" si="23"/>
        <v/>
      </c>
      <c r="CF51" s="109" t="str">
        <f t="shared" si="24"/>
        <v/>
      </c>
      <c r="CG51" s="110" t="str">
        <f t="shared" si="25"/>
        <v/>
      </c>
      <c r="CH51" s="111"/>
    </row>
    <row r="52" spans="1:86" ht="12.75">
      <c r="A52" s="101"/>
      <c r="B52" s="102" t="e">
        <f t="array" aca="1" ref="B52" ca="1">_xludf.XLOOKUP(A52,'QA Log'!D:D,'QA Log'!E:E,"")</f>
        <v>#NAME?</v>
      </c>
      <c r="C52" s="102" t="e">
        <f t="array" aca="1" ref="C52" ca="1">_xludf.XLOOKUP(A52,'QA Log'!D:D,'QA Log'!F:F,"")</f>
        <v>#NAME?</v>
      </c>
      <c r="D52" s="102" t="e">
        <f t="array" aca="1" ref="D52" ca="1">_xludf.XLOOKUP(A52,'QA Log'!D:D,'QA Log'!H:H,"")</f>
        <v>#NAME?</v>
      </c>
      <c r="E52" s="102" t="e">
        <f t="array" aca="1" ref="E52" ca="1">_xludf.XLOOKUP(A52,'QA Log'!D:D,'QA Log'!G:G,"")</f>
        <v>#NAME?</v>
      </c>
      <c r="F52" s="103"/>
      <c r="G52" s="104"/>
      <c r="H52" s="104"/>
      <c r="I52" s="103" t="str">
        <f t="shared" si="0"/>
        <v/>
      </c>
      <c r="J52" s="102" t="str">
        <f>IF(A52="","",SUM(
COUNTIFS('QA Log'!D:D,A52,'QA Log'!M:M,"QQC",'QA Log'!L:L,"*1. General Management*"),
COUNTIFS('QA Log'!D:D,A52,'QA Log'!M:M,"QQC",'QA Log'!L:L,"*3. Curative Consultation (OPD)*"),
COUNTIFS('QA Log'!D:D,A52,'QA Log'!M:M,"QQC",'QA Log'!L:L,"*5. Laboratory*"),
COUNTIFS('QA Log'!D:D,A52,'QA Log'!M:M,"QQC",'QA Log'!L:L,"*6. Essential Medicine Management*"),
COUNTIFS('QA Log'!D:D,A52,'QA Log'!M:M,"QQC",'QA Log'!L:L,"*7. Tracer Medicine*"),
COUNTIFS('QA Log'!D:D,A52,'QA Log'!M:M,"QQC",'QA Log'!L:L,"*11. Additional Questions*")))</f>
        <v/>
      </c>
      <c r="K52" s="102" t="str">
        <f>IF(A52="","",SUM(
COUNTIFS('QA Log'!D:D,A52,'QA Log'!M:M,"QQC",'QA Log'!Z:Z,"Approved",'QA Log'!L:L,"*1. General Management*"),
COUNTIFS('QA Log'!D:D,A52,'QA Log'!M:M,"QQC",'QA Log'!Z:Z,"Approved",'QA Log'!L:L,"*3. Curative Consultation (OPD)*"),
COUNTIFS('QA Log'!D:D,A52,'QA Log'!M:M,"QQC",'QA Log'!Z:Z,"Approved",'QA Log'!L:L,"*5. Laboratory*"),
COUNTIFS('QA Log'!D:D,A52,'QA Log'!M:M,"QQC",'QA Log'!Z:Z,"Approved",'QA Log'!L:L,"*6. Essential Medicine Management*"),
COUNTIFS('QA Log'!D:D,A52,'QA Log'!M:M,"QQC",'QA Log'!Z:Z,"Approved",'QA Log'!L:L,"*7. Tracer Medicine*"),
COUNTIFS('QA Log'!D:D,A52,'QA Log'!M:M,"QQC",'QA Log'!Z:Z,"Approved",'QA Log'!L:L,"*11. Additional Questions*")))</f>
        <v/>
      </c>
      <c r="L52" s="105" t="str">
        <f>IF(A52&lt;&gt;"",COUNTIFS('QA Log'!D:D,A52,'QA Log'!M:M,"QQC",'QA Log'!L:L,"1. General Management",'QA Log'!Z:Z,"Approved"),"")</f>
        <v/>
      </c>
      <c r="M52" s="105" t="str">
        <f>IF(A52&lt;&gt;"",COUNTIFS('QA Log'!D:D,A52,'QA Log'!M:M,"QQC",'QA Log'!L:L,"3. Curative Consultation (OPD)",'QA Log'!Z:Z,"Approved"),"")</f>
        <v/>
      </c>
      <c r="N52" s="105" t="str">
        <f>IF(A52&lt;&gt;"",COUNTIFS('QA Log'!D:D,A52,'QA Log'!M:M,"QQC",'QA Log'!L:L,"5. Laboratory",'QA Log'!Z:Z,"Approved"),"")</f>
        <v/>
      </c>
      <c r="O52" s="105" t="str">
        <f>IF(A52&lt;&gt;"",COUNTIFS('QA Log'!D:D,A52,'QA Log'!M:M,"QQC",'QA Log'!L:L,"6. Essential Medicine Management",'QA Log'!Z:Z,"Approved"),"")</f>
        <v/>
      </c>
      <c r="P52" s="105" t="str">
        <f>IF(A52&lt;&gt;"",COUNTIFS('QA Log'!D:D,A52,'QA Log'!M:M,"QQC",'QA Log'!L:L,"7. Tracer Medicine",'QA Log'!Z:Z,"Approved"),"")</f>
        <v/>
      </c>
      <c r="Q52" s="105" t="str">
        <f>IF(A52&lt;&gt;"",COUNTIFS('QA Log'!D:D,A52,'QA Log'!M:M,"QQC",'QA Log'!L:L,"11. Additional Questions",'QA Log'!Z:Z,"Approved"),"")</f>
        <v/>
      </c>
      <c r="R52" s="102" t="str">
        <f>IF(A52="","",SUM(
COUNTIFS('QA Log'!D:D,A52,'QA Log'!M:M,"QQC",'QA Log'!Z:Z,"Rejected",'QA Log'!L:L,"*8. Maternity*"),
COUNTIFS('QA Log'!D:D,A52,'QA Log'!M:M,"QQC",'QA Log'!Z:Z,"Rejected",'QA Log'!L:L,"*EPI*"),
COUNTIFS('QA Log'!D:D,A52,'QA Log'!M:M,"QQC",'QA Log'!Z:Z,"Rejected",'QA Log'!L:L,"*10. Antenatal Care (ANC)*"),
COUNTIFS('QA Log'!D:D,A52,'QA Log'!M:M,"QQC",'QA Log'!Z:Z,"Rejected",'QA Log'!L:L,"*2. Hygiene and Sterilization*"),
COUNTIFS('QA Log'!D:D,A52,'QA Log'!M:M,"QQC",'QA Log'!Z:Z,"Rejected",'QA Log'!L:L,"*Family Planning*")))</f>
        <v/>
      </c>
      <c r="S52" s="106" t="str">
        <f t="shared" si="1"/>
        <v/>
      </c>
      <c r="T52" s="102" t="str">
        <f t="shared" si="2"/>
        <v/>
      </c>
      <c r="U52" s="102" t="str">
        <f>IF(A52="","",
SUM(
COUNTIFS('QA Log'!D:D,A52,'QA Log'!M:M,"QQC",'QA Log'!L:L,"*8. Maternity*"),
COUNTIFS('QA Log'!D:D,A52,'QA Log'!M:M,"QQC",'QA Log'!L:L,"*9. EPI and Pre-school Consultation*"),
COUNTIFS('QA Log'!D:D,A52,'QA Log'!M:M,"QQC",'QA Log'!L:L,"*10. Antenatal Care (ANC)*"),
COUNTIFS('QA Log'!D:D,A52,'QA Log'!M:M,"QQC",'QA Log'!L:L,"*2. Hygiene and Sterilization*"),
COUNTIFS('QA Log'!D:D,A52,'QA Log'!M:M,"QQC",'QA Log'!L:L,"*4. Family Planning*")
))</f>
        <v/>
      </c>
      <c r="V52" s="102" t="str">
        <f>IF(A52="","",
SUM(
COUNTIFS('QA Log'!D:D,A52,'QA Log'!M:M,"QQC",'QA Log'!Z:Z,"Approved",'QA Log'!L:L,"*8. Maternity*"),
COUNTIFS('QA Log'!D:D,A52,'QA Log'!M:M,"QQC",'QA Log'!Z:Z,"Approved",'QA Log'!L:L,"*9. EPI and Pre-school Consultation*"),
COUNTIFS('QA Log'!D:D,A52,'QA Log'!M:M,"QQC",'QA Log'!Z:Z,"Approved",'QA Log'!L:L,"*10. Antenatal Care (ANC)*"),
COUNTIFS('QA Log'!D:D,A52,'QA Log'!M:M,"QQC",'QA Log'!Z:Z,"Approved",'QA Log'!L:L,"*2. Hygiene and Sterilization*"),
COUNTIFS('QA Log'!D:D,A52,'QA Log'!M:M,"QQC",'QA Log'!Z:Z,"Approved",'QA Log'!L:L,"*4. Family Planning*")
))</f>
        <v/>
      </c>
      <c r="W52" s="105" t="str">
        <f>IF(A52&lt;&gt;"",COUNTIFS('QA Log'!D:D,A52,'QA Log'!M:M,"QQC",'QA Log'!L:L,"8. Maternity",'QA Log'!Z:Z,"Approved"),"")</f>
        <v/>
      </c>
      <c r="X52" s="105" t="str">
        <f>IF(A52&lt;&gt;"",COUNTIFS('QA Log'!D:D,A52,'QA Log'!M:M,"QQC",'QA Log'!L:L,"9. EPI and Pre-school Consultation",'QA Log'!Z:Z,"Approved"),"")</f>
        <v/>
      </c>
      <c r="Y52" s="105" t="str">
        <f>IF(A52&lt;&gt;"",COUNTIFS('QA Log'!D:D,A52,'QA Log'!M:M,"QQC",'QA Log'!L:L,"10. Antenatal Care (ANC)",'QA Log'!Z:Z,"Approved"),"")</f>
        <v/>
      </c>
      <c r="Z52" s="105" t="str">
        <f>IF(A52&lt;&gt;"",COUNTIFS('QA Log'!D:D,A52,'QA Log'!M:M,"QQC",'QA Log'!L:L,"2. Hygiene and Sterilization",'QA Log'!Z:Z,"Approved"),"")</f>
        <v/>
      </c>
      <c r="AA52" s="105" t="str">
        <f>IF(A52&lt;&gt;"",COUNTIFS('QA Log'!D:D,A52,'QA Log'!M:M,"QQC",'QA Log'!L:L,"4. Family Planning",'QA Log'!Z:Z,"Approved"),"")</f>
        <v/>
      </c>
      <c r="AB52" s="102" t="str">
        <f>IF(A52="","",
SUM(
COUNTIFS('QA Log'!D:D,A52,'QA Log'!M:M,"QQC",'QA Log'!Z:Z,"Rejected",'QA Log'!L:L,"*8. Maternity*"),
COUNTIFS('QA Log'!D:D,A52,'QA Log'!M:M,"QQC",'QA Log'!Z:Z,"Rejected",'QA Log'!L:L,"*9. EPI and Pre-school Consultation*"),
COUNTIFS('QA Log'!D:D,A52,'QA Log'!M:M,"QQC",'QA Log'!Z:Z,"Rejected",'QA Log'!L:L,"*10. Antenatal Care (ANC)*"),
COUNTIFS('QA Log'!D:D,A52,'QA Log'!M:M,"QQC",'QA Log'!Z:Z,"Rejected",'QA Log'!L:L,"*2. Hygiene and Sterilization*"),
COUNTIFS('QA Log'!D:D,A52,'QA Log'!M:M,"QQC",'QA Log'!Z:Z,"Rejected",'QA Log'!L:L,"*4. Family Planning*")
))</f>
        <v/>
      </c>
      <c r="AC52" s="102" t="str">
        <f t="shared" si="3"/>
        <v/>
      </c>
      <c r="AD52" s="103" t="str">
        <f t="shared" si="4"/>
        <v/>
      </c>
      <c r="AE52" s="102" t="str">
        <f>IF(A52="","",
SUM(
COUNTIFS('QA Log'!D:D,A52,'QA Log'!M:M,"Data Verification",'QA Log'!L:L,"*Medicine (section 2)*"),
COUNTIFS('QA Log'!D:D,A52,'QA Log'!M:M,"Data Verification",'QA Log'!L:L,"*Lab Testing Availability*"),
COUNTIFS('QA Log'!D:D,A52,'QA Log'!M:M,"Data Verification",'QA Log'!L:L,"*Other than P4P (section 6)*"),
COUNTIFS('QA Log'!D:D,A52,'QA Log'!M:M,"Data Verification",'QA Log'!L:L,"*Hospital Governance*")
))</f>
        <v/>
      </c>
      <c r="AF52" s="102" t="str">
        <f>IF(A52="","",
SUM(
COUNTIFS('QA Log'!D:D,A52,'QA Log'!M:M,"Data Verification",'QA Log'!Z:Z,"Approved",'QA Log'!L:L,"*Medicine (section 2)*"),
COUNTIFS('QA Log'!D:D,A52,'QA Log'!M:M,"Data Verification",'QA Log'!Z:Z,"Approved",'QA Log'!L:L,"*Lab Testing Availability*"),
COUNTIFS('QA Log'!D:D,A52,'QA Log'!M:M,"Data Verification",'QA Log'!Z:Z,"Approved",'QA Log'!L:L,"*Other than P4P (section 6)*"),
COUNTIFS('QA Log'!D:D,A52,'QA Log'!M:M,"Data Verification",'QA Log'!Z:Z,"Approved",'QA Log'!L:L,"*Hospital Governance*")
))</f>
        <v/>
      </c>
      <c r="AG52" s="105" t="str">
        <f>IF(A52&lt;&gt;"",COUNTIFS('QA Log'!D:D,A52,'QA Log'!M:M,"Data Verification",'QA Log'!L:L,"Medicine (section 2)",'QA Log'!Z:Z,"Approved"),"")</f>
        <v/>
      </c>
      <c r="AH52" s="105" t="str">
        <f>IF(A52&lt;&gt;"",COUNTIFS('QA Log'!D:D,A52,'QA Log'!M:M,"Data Verification",'QA Log'!L:L,"Lab Testing Availability",'QA Log'!Z:Z,"Approved"),"")</f>
        <v/>
      </c>
      <c r="AI52" s="105" t="str">
        <f>IF(A52&lt;&gt;"",COUNTIFS('QA Log'!D:D,A52,'QA Log'!M:M,"Data Verification",'QA Log'!L:L,"Other than P4P (section 6)",'QA Log'!Z:Z,"Approved"),"")</f>
        <v/>
      </c>
      <c r="AJ52" s="105" t="str">
        <f>IF(A52&lt;&gt;"",COUNTIFS('QA Log'!D:D,A52,'QA Log'!M:M,"Data Verification",'QA Log'!L:L,"Hospital Governance",'QA Log'!Z:Z,"Approved"),"")</f>
        <v/>
      </c>
      <c r="AK52" s="102" t="str">
        <f>IF(A52="","",
SUM(
COUNTIFS('QA Log'!D:D,A52,'QA Log'!M:M,"Data Verification",'QA Log'!Z:Z,"Rejected",'QA Log'!L:L,"*Medicine (section 2)*"),
COUNTIFS('QA Log'!D:D,A52,'QA Log'!M:M,"Data Verification",'QA Log'!Z:Z,"Rejected",'QA Log'!L:L,"*Lab Testing Availability*"),
COUNTIFS('QA Log'!D:D,A52,'QA Log'!M:M,"Data Verification",'QA Log'!Z:Z,"Rejected",'QA Log'!L:L,"*Other than P4P (section 6)*"),
COUNTIFS('QA Log'!D:D,A52,'QA Log'!M:M,"Data Verification",'QA Log'!Z:Z,"Rejected",'QA Log'!L:L,"*Hospital Governance*")
))</f>
        <v/>
      </c>
      <c r="AL52" s="106" t="str">
        <f t="shared" si="5"/>
        <v/>
      </c>
      <c r="AM52" s="102" t="str">
        <f t="shared" si="6"/>
        <v/>
      </c>
      <c r="AN52" s="102" t="str">
        <f>IF(A52="","",
SUM(
COUNTIFS('QA Log'!D:D,A52,'QA Log'!M:M,"Data Verification",'QA Log'!L:L,"*Personnel (section 1)*"),
COUNTIFS('QA Log'!D:D,A52,'QA Log'!M:M,"Data Verification",'QA Log'!L:L,"*Consumable (section 3)*"),
COUNTIFS('QA Log'!D:D,A52,'QA Log'!M:M,"Data Verification",'QA Log'!L:L,"*Equipments (section 4)*")
))</f>
        <v/>
      </c>
      <c r="AO52" s="102" t="str">
        <f>IF(A52="","",
SUM(
COUNTIFS('QA Log'!D:D,A52,'QA Log'!M:M,"Data Verification",'QA Log'!Z:Z,"Approved",'QA Log'!L:L,"*Personnel (section 1)*"),
COUNTIFS('QA Log'!D:D,A52,'QA Log'!M:M,"Data Verification",'QA Log'!Z:Z,"Approved",'QA Log'!L:L,"*Consumable (section 3)*"),
COUNTIFS('QA Log'!D:D,A52,'QA Log'!M:M,"Data Verification",'QA Log'!Z:Z,"Approved",'QA Log'!L:L,"*Equipments (section 4)*")
))</f>
        <v/>
      </c>
      <c r="AP52" s="105" t="str">
        <f>IF(A52&lt;&gt;"",COUNTIFS('QA Log'!D:D,A52,'QA Log'!M:M,"Data Verification",'QA Log'!L:L,"Personnel (section 1)",'QA Log'!Z:Z,"Approved"),"")</f>
        <v/>
      </c>
      <c r="AQ52" s="105" t="str">
        <f>IF(A52&lt;&gt;"",COUNTIFS('QA Log'!D:D,A52,'QA Log'!M:M,"Data Verification",'QA Log'!L:L,"Consumable (section 3)",'QA Log'!Z:Z,"Approved"),"")</f>
        <v/>
      </c>
      <c r="AR52" s="105" t="str">
        <f>IF(A52&lt;&gt;"",COUNTIFS('QA Log'!D:D,A52,'QA Log'!M:M,"Data Verification",'QA Log'!L:L,"Equipments (section 4)",'QA Log'!Z:Z,"Approved"),"")</f>
        <v/>
      </c>
      <c r="AS52" s="102" t="str">
        <f>IF(A52="","",
SUM(
COUNTIFS('QA Log'!D:D,A52,'QA Log'!M:M,"Data Verification",'QA Log'!Z:Z,"Rejected",'QA Log'!L:L,"*Personnel (section 1)*"),
COUNTIFS('QA Log'!D:D,A52,'QA Log'!M:M,"Data Verification",'QA Log'!Z:Z,"Rejected",'QA Log'!L:L,"*Consumable (section 3)*"),
COUNTIFS('QA Log'!D:D,A52,'QA Log'!M:M,"Data Verification",'QA Log'!Z:Z,"Rejected",'QA Log'!L:L,"*Equipments (section 4)*")
))</f>
        <v/>
      </c>
      <c r="AT52" s="102" t="str">
        <f t="shared" si="7"/>
        <v/>
      </c>
      <c r="AU52" s="103" t="str">
        <f t="shared" si="8"/>
        <v/>
      </c>
      <c r="AV52" s="102" t="str">
        <f>IF(A52="","",SUM(
COUNTIFS('QA Log'!D:D,A52,'QA Log'!M:M,"Vignette",'QA Log'!L:L,"*Vignette [1] Respiratory Infection: Pneumonia*"),
COUNTIFS('QA Log'!D:D,A52,'QA Log'!M:M,"Vignette",'QA Log'!L:L,"*Vignette [2]: Diarrhea with Cat B dehydration*"),
COUNTIFS('QA Log'!D:D,A52,'QA Log'!M:M,"Vignette",'QA Log'!L:L,"*Vignette [3] Growth Monitoring and Promotion*"),
COUNTIFS('QA Log'!D:D,A52,'QA Log'!M:M,"Vignette",'QA Log'!L:L,"*Vignette [4]: The management of presumptive TB patient*")
)
)</f>
        <v/>
      </c>
      <c r="AW52" s="102" t="str">
        <f>IF(
  A52="","",
  SUM(
    COUNTIFS('QA Log'!D:D,A52,'QA Log'!M:M,"Vignette",'QA Log'!Z:Z,"Approved",'QA Log'!L:L,"*Vignette [1] Respiratory Infection: Pneumonia*"),
    COUNTIFS('QA Log'!D:D,A52,'QA Log'!M:M,"Vignette",'QA Log'!Z:Z,"Approved",'QA Log'!L:L,"*Vignette [2]: Diarrhea with Cat B dehydration*"),
    COUNTIFS('QA Log'!D:D,A52,'QA Log'!M:M,"Vignette",'QA Log'!Z:Z,"Approved",'QA Log'!L:L,"*Vignette [3] Growth Monitoring and Promotion*"),
    COUNTIFS('QA Log'!D:D,A52,'QA Log'!M:M,"Vignette",'QA Log'!Z:Z,"Approved",'QA Log'!L:L,"*Vignette [4]: The management of presumptive TB patient*")
  )
)</f>
        <v/>
      </c>
      <c r="AX52" s="105" t="str">
        <f>IF(A52&lt;&gt;"",COUNTIFS('QA Log'!D:D,A52,'QA Log'!M:M,"Vignette",'QA Log'!L:L,"Vignette [1] Respiratory Infection: Pneumonia",'QA Log'!Z:Z,"Approved"),"")</f>
        <v/>
      </c>
      <c r="AY52" s="105" t="str">
        <f>IF(A52&lt;&gt;"",COUNTIFS('QA Log'!D:D,A52,'QA Log'!M:M,"Vignette",'QA Log'!L:L,"Vignette [2]: Diarrhea with Cat B dehydration",'QA Log'!Z:Z,"Approved"),"")</f>
        <v/>
      </c>
      <c r="AZ52" s="105" t="str">
        <f>IF(A52&lt;&gt;"",COUNTIFS('QA Log'!D:D,A52,'QA Log'!M:M,"Vignette",'QA Log'!L:L,"Vignette [3] Growth Monitoring and Promotion",'QA Log'!Z:Z,"Approved"),"")</f>
        <v/>
      </c>
      <c r="BA52" s="105" t="str">
        <f>IF(A52&lt;&gt;"",COUNTIFS('QA Log'!D:D,A52,'QA Log'!M:M,"Vignette",'QA Log'!L:L,"Vignette [4]: The management of presumptive TB patient",'QA Log'!Z:Z,"Approved"),"")</f>
        <v/>
      </c>
      <c r="BB52" s="102" t="str">
        <f>IF(A52="","",
  SUM(
    COUNTIFS('QA Log'!D:D,A52,'QA Log'!M:M,"Vignette",'QA Log'!Z:Z,"Rejected",'QA Log'!L:L,"*Vignette [1] Respiratory Infection: Pneumonia*"),
    COUNTIFS('QA Log'!D:D,A52,'QA Log'!M:M,"Vignette",'QA Log'!Z:Z,"Rejected",'QA Log'!L:L,"*Vignette [2]: Diarrhea with Cat B dehydration*"),
    COUNTIFS('QA Log'!D:D,A52,'QA Log'!M:M,"Vignette",'QA Log'!Z:Z,"Rejected",'QA Log'!L:L,"*Vignette [3] Growth Monitoring and Promotion*"),
    COUNTIFS('QA Log'!D:D,A52,'QA Log'!M:M,"Vignette",'QA Log'!Z:Z,"Rejected",'QA Log'!L:L,"*Vignette [4]: The management of presumptive TB patient*")
  )
)</f>
        <v/>
      </c>
      <c r="BC52" s="107" t="str">
        <f t="shared" si="9"/>
        <v/>
      </c>
      <c r="BD52" s="103" t="str">
        <f t="shared" si="10"/>
        <v/>
      </c>
      <c r="BE52" s="102" t="str">
        <f>IF(A52="","",SUM(
COUNTIFS('QA Log'!D:D,A52,'QA Log'!M:M,"Vignette",'QA Log'!L:L,"*Vignette [5] Labor*"),
COUNTIFS('QA Log'!D:D,A52,'QA Log'!M:M,"Vignette",'QA Log'!L:L,"*Vignette [6] PNC pre Discharge*"),
COUNTIFS('QA Log'!D:D,A52,'QA Log'!M:M,"Vignette",'QA Log'!L:L,"*Vignette [7] First ANC Visit*"),
COUNTIFS('QA Log'!D:D,A52,'QA Log'!M:M,"Vignette",'QA Log'!L:L,"*Vignette [8] Birth Spacing/ Family Planning :  FP Counselling*"),
COUNTIFS('QA Log'!D:D,A52,'QA Log'!M:M,"Vignette",'QA Log'!L:L,"*Vignette [9] Birth Spacing: Change FP method to Injectable*"),
COUNTIFS('QA Log'!D:D,A52,'QA Log'!M:M,"Vignette",'QA Log'!L:L,"*Vignette [10] Post Partum Haemorrhage - Atonic Uterus at Health Centre*"),
)
)</f>
        <v/>
      </c>
      <c r="BF52" s="102" t="str">
        <f>IF(A52="","",
  SUM(
    COUNTIFS('QA Log'!D:D,A52,'QA Log'!M:M,"Vignette",'QA Log'!Z:Z,"Approved",'QA Log'!L:L,"*Vignette [5] Labor*"),
    COUNTIFS('QA Log'!D:D,A52,'QA Log'!M:M,"Vignette",'QA Log'!Z:Z,"Approved",'QA Log'!L:L,"*Vignette [6] PNC pre Discharge*"),
    COUNTIFS('QA Log'!D:D,A52,'QA Log'!M:M,"Vignette",'QA Log'!Z:Z,"Approved",'QA Log'!L:L,"*Vignette [7] First ANC Visit*"),
    COUNTIFS('QA Log'!D:D,A52,'QA Log'!M:M,"Vignette",'QA Log'!Z:Z,"Approved",'QA Log'!L:L,"*Vignette [8] Birth Spacing/ Family Planning :  FP Counselling*"),
    COUNTIFS('QA Log'!D:D,A52,'QA Log'!M:M,"Vignette",'QA Log'!Z:Z,"Approved",'QA Log'!L:L,"*Vignette [9] Birth Spacing: Change FP method to Injectable*"),
    COUNTIFS('QA Log'!D:D,A52,'QA Log'!M:M,"Vignette",'QA Log'!Z:Z,"Approved",'QA Log'!L:L,"*Vignette [10] Post Partum Haemorrhage - Atonic Uterus at Health Centre*")
  )
)</f>
        <v/>
      </c>
      <c r="BG52" s="105" t="str">
        <f>IF(A52&lt;&gt;"",COUNTIFS('QA Log'!D:D,A52,'QA Log'!M:M,"Vignette",'QA Log'!L:L,"Vignette [5] Labor",'QA Log'!Z:Z,"Approved"),"")</f>
        <v/>
      </c>
      <c r="BH52" s="105" t="str">
        <f>IF(A52&lt;&gt;"",COUNTIFS('QA Log'!D:D,A52,'QA Log'!M:M,"Vignette",'QA Log'!L:L,"Vignette [6] PNC pre Discharge",'QA Log'!Z:Z,"Approved"),"")</f>
        <v/>
      </c>
      <c r="BI52" s="105" t="str">
        <f>IF(A52&lt;&gt;"",COUNTIFS('QA Log'!D:D,A52,'QA Log'!M:M,"Vignette",'QA Log'!L:L,"Vignette [7] First ANC Visit",'QA Log'!Z:Z,"Approved"),"")</f>
        <v/>
      </c>
      <c r="BJ52" s="105" t="str">
        <f>IF(A52&lt;&gt;"",COUNTIFS('QA Log'!D:D,A52,'QA Log'!M:M,"Vignette",'QA Log'!L:L,"Vignette [8] Birth Spacing/ Family Planning :  FP Counselling",'QA Log'!Z:Z,"Approved"),"")</f>
        <v/>
      </c>
      <c r="BK52" s="105" t="str">
        <f>IF(A52&lt;&gt;"",COUNTIFS('QA Log'!D:D,A52,'QA Log'!M:M,"Vignette",'QA Log'!L:L,"Vignette [9] Birth Spacing: Change FP method to Injectable",'QA Log'!Z:Z,"Approved"),"")</f>
        <v/>
      </c>
      <c r="BL52" s="105" t="str">
        <f>IF(A52&lt;&gt;"",COUNTIFS('QA Log'!D:D,A52,'QA Log'!M:M,"Vignette",'QA Log'!L:L,"Vignette [10] Post Partum Haemorrhage - Atonic Uterus at Health Centre",'QA Log'!Z:Z,"Approved"),"")</f>
        <v/>
      </c>
      <c r="BM52" s="102" t="str">
        <f>IF(A52="","",SUM(
    COUNTIFS('QA Log'!D:D,A52,'QA Log'!M:M,"Vignette",'QA Log'!Z:Z,"Rejected",'QA Log'!L:L,"*Vignette [5] Labor*"),
    COUNTIFS('QA Log'!D:D,A52,'QA Log'!M:M,"Vignette",'QA Log'!Z:Z,"Rejected",'QA Log'!L:L,"*Vignette [6] PNC pre Discharge*"),
    COUNTIFS('QA Log'!D:D,A52,'QA Log'!M:M,"Vignette",'QA Log'!Z:Z,"Rejected",'QA Log'!L:L,"*Vignette [7] First ANC Visit*"),
    COUNTIFS('QA Log'!D:D,A52,'QA Log'!M:M,"Vignette",'QA Log'!Z:Z,"Rejected",'QA Log'!L:L,"*Vignette [8] Birth Spacing/ Family Planning :  FP Counselling*"),
    COUNTIFS('QA Log'!D:D,A52,'QA Log'!M:M,"Vignette",'QA Log'!Z:Z,"Rejected",'QA Log'!L:L,"*Vignette [9] Birth Spacing: Change FP method to Injectable*"),
    COUNTIFS('QA Log'!D:D,A52,'QA Log'!M:M,"Vignette",'QA Log'!Z:Z,"Rejected",'QA Log'!L:L,"*Vignette [10] Post Partum Haemorrhage - Atonic Uterus at Health Centre*")
  )
)</f>
        <v/>
      </c>
      <c r="BN52" s="107" t="str">
        <f t="shared" si="11"/>
        <v/>
      </c>
      <c r="BO52" s="103" t="str">
        <f t="shared" si="12"/>
        <v/>
      </c>
      <c r="BP52" s="102" t="str">
        <f>IF(A52="","",SUM(
COUNTIFS('QA Log'!D:D,A52,'QA Log'!M:M,"Vignette",'QA Log'!L:L,"*Exit Interview 1*"),
COUNTIFS('QA Log'!D:D,A52,'QA Log'!M:M,"Vignette",'QA Log'!L:L,"*Exit Interview 2*"),
)
)</f>
        <v/>
      </c>
      <c r="BQ52" s="102" t="str">
        <f>IF(
  A52="","",
  SUM(
    COUNTIFS('QA Log'!D:D,A52,'QA Log'!M:M,"Vignette",'QA Log'!Z:Z,"Approved",'QA Log'!L:L,"*Exit Interview 1*"),
    COUNTIFS('QA Log'!D:D,A52,'QA Log'!M:M,"Vignette",'QA Log'!Z:Z,"Approved",'QA Log'!L:L,"*Exit Interview 2*")
  )
)</f>
        <v/>
      </c>
      <c r="BR52" s="105" t="str">
        <f>IF(A52&lt;&gt;"",COUNTIFS('QA Log'!D:D,A52,'QA Log'!M:M,"Vignette",'QA Log'!L:L,"Exit Interview 1",'QA Log'!Z:Z,"Approved"),"")</f>
        <v/>
      </c>
      <c r="BS52" s="105" t="str">
        <f>IF(A52&lt;&gt;"",COUNTIFS('QA Log'!D:D,A52,'QA Log'!M:M,"Vignette",'QA Log'!L:L,"Exit Interview 2",'QA Log'!Z:Z,"Approved"),"")</f>
        <v/>
      </c>
      <c r="BT52" s="102" t="str">
        <f>IF(
  A52="","",
  SUM(
    COUNTIFS('QA Log'!D:D,A52,'QA Log'!M:M,"Vignette",'QA Log'!Z:Z,"Rejected",'QA Log'!L:L,"*Exit Interview 1*"),
    COUNTIFS('QA Log'!D:D,A52,'QA Log'!M:M,"Vignette",'QA Log'!Z:Z,"Rejected",'QA Log'!L:L,"*Exit Interview 2*")
  )
)</f>
        <v/>
      </c>
      <c r="BU52" s="107" t="str">
        <f t="shared" si="13"/>
        <v/>
      </c>
      <c r="BV52" s="102" t="str">
        <f t="shared" si="14"/>
        <v/>
      </c>
      <c r="BW52" s="102" t="str">
        <f t="shared" si="15"/>
        <v/>
      </c>
      <c r="BX52" s="102" t="str">
        <f t="shared" si="16"/>
        <v/>
      </c>
      <c r="BY52" s="102" t="str">
        <f t="shared" si="17"/>
        <v/>
      </c>
      <c r="BZ52" s="107" t="str">
        <f t="shared" si="18"/>
        <v/>
      </c>
      <c r="CA52" s="108" t="str">
        <f t="shared" si="19"/>
        <v/>
      </c>
      <c r="CB52" s="108" t="str">
        <f t="shared" si="20"/>
        <v/>
      </c>
      <c r="CC52" s="109" t="str">
        <f t="shared" si="21"/>
        <v/>
      </c>
      <c r="CD52" s="108" t="str">
        <f t="shared" si="22"/>
        <v/>
      </c>
      <c r="CE52" s="108" t="str">
        <f t="shared" si="23"/>
        <v/>
      </c>
      <c r="CF52" s="109" t="str">
        <f t="shared" si="24"/>
        <v/>
      </c>
      <c r="CG52" s="110" t="str">
        <f t="shared" si="25"/>
        <v/>
      </c>
      <c r="CH52" s="111"/>
    </row>
    <row r="53" spans="1:86" ht="12.75">
      <c r="A53" s="101"/>
      <c r="B53" s="102" t="e">
        <f t="array" aca="1" ref="B53" ca="1">_xludf.XLOOKUP(A53,'QA Log'!D:D,'QA Log'!E:E,"")</f>
        <v>#NAME?</v>
      </c>
      <c r="C53" s="102" t="e">
        <f t="array" aca="1" ref="C53" ca="1">_xludf.XLOOKUP(A53,'QA Log'!D:D,'QA Log'!F:F,"")</f>
        <v>#NAME?</v>
      </c>
      <c r="D53" s="102" t="e">
        <f t="array" aca="1" ref="D53" ca="1">_xludf.XLOOKUP(A53,'QA Log'!D:D,'QA Log'!H:H,"")</f>
        <v>#NAME?</v>
      </c>
      <c r="E53" s="102" t="e">
        <f t="array" aca="1" ref="E53" ca="1">_xludf.XLOOKUP(A53,'QA Log'!D:D,'QA Log'!G:G,"")</f>
        <v>#NAME?</v>
      </c>
      <c r="F53" s="103"/>
      <c r="G53" s="104"/>
      <c r="H53" s="104"/>
      <c r="I53" s="103" t="str">
        <f t="shared" si="0"/>
        <v/>
      </c>
      <c r="J53" s="102" t="str">
        <f>IF(A53="","",SUM(
COUNTIFS('QA Log'!D:D,A53,'QA Log'!M:M,"QQC",'QA Log'!L:L,"*1. General Management*"),
COUNTIFS('QA Log'!D:D,A53,'QA Log'!M:M,"QQC",'QA Log'!L:L,"*3. Curative Consultation (OPD)*"),
COUNTIFS('QA Log'!D:D,A53,'QA Log'!M:M,"QQC",'QA Log'!L:L,"*5. Laboratory*"),
COUNTIFS('QA Log'!D:D,A53,'QA Log'!M:M,"QQC",'QA Log'!L:L,"*6. Essential Medicine Management*"),
COUNTIFS('QA Log'!D:D,A53,'QA Log'!M:M,"QQC",'QA Log'!L:L,"*7. Tracer Medicine*"),
COUNTIFS('QA Log'!D:D,A53,'QA Log'!M:M,"QQC",'QA Log'!L:L,"*11. Additional Questions*")))</f>
        <v/>
      </c>
      <c r="K53" s="102" t="str">
        <f>IF(A53="","",SUM(
COUNTIFS('QA Log'!D:D,A53,'QA Log'!M:M,"QQC",'QA Log'!Z:Z,"Approved",'QA Log'!L:L,"*1. General Management*"),
COUNTIFS('QA Log'!D:D,A53,'QA Log'!M:M,"QQC",'QA Log'!Z:Z,"Approved",'QA Log'!L:L,"*3. Curative Consultation (OPD)*"),
COUNTIFS('QA Log'!D:D,A53,'QA Log'!M:M,"QQC",'QA Log'!Z:Z,"Approved",'QA Log'!L:L,"*5. Laboratory*"),
COUNTIFS('QA Log'!D:D,A53,'QA Log'!M:M,"QQC",'QA Log'!Z:Z,"Approved",'QA Log'!L:L,"*6. Essential Medicine Management*"),
COUNTIFS('QA Log'!D:D,A53,'QA Log'!M:M,"QQC",'QA Log'!Z:Z,"Approved",'QA Log'!L:L,"*7. Tracer Medicine*"),
COUNTIFS('QA Log'!D:D,A53,'QA Log'!M:M,"QQC",'QA Log'!Z:Z,"Approved",'QA Log'!L:L,"*11. Additional Questions*")))</f>
        <v/>
      </c>
      <c r="L53" s="105" t="str">
        <f>IF(A53&lt;&gt;"",COUNTIFS('QA Log'!D:D,A53,'QA Log'!M:M,"QQC",'QA Log'!L:L,"1. General Management",'QA Log'!Z:Z,"Approved"),"")</f>
        <v/>
      </c>
      <c r="M53" s="105" t="str">
        <f>IF(A53&lt;&gt;"",COUNTIFS('QA Log'!D:D,A53,'QA Log'!M:M,"QQC",'QA Log'!L:L,"3. Curative Consultation (OPD)",'QA Log'!Z:Z,"Approved"),"")</f>
        <v/>
      </c>
      <c r="N53" s="105" t="str">
        <f>IF(A53&lt;&gt;"",COUNTIFS('QA Log'!D:D,A53,'QA Log'!M:M,"QQC",'QA Log'!L:L,"5. Laboratory",'QA Log'!Z:Z,"Approved"),"")</f>
        <v/>
      </c>
      <c r="O53" s="105" t="str">
        <f>IF(A53&lt;&gt;"",COUNTIFS('QA Log'!D:D,A53,'QA Log'!M:M,"QQC",'QA Log'!L:L,"6. Essential Medicine Management",'QA Log'!Z:Z,"Approved"),"")</f>
        <v/>
      </c>
      <c r="P53" s="105" t="str">
        <f>IF(A53&lt;&gt;"",COUNTIFS('QA Log'!D:D,A53,'QA Log'!M:M,"QQC",'QA Log'!L:L,"7. Tracer Medicine",'QA Log'!Z:Z,"Approved"),"")</f>
        <v/>
      </c>
      <c r="Q53" s="105" t="str">
        <f>IF(A53&lt;&gt;"",COUNTIFS('QA Log'!D:D,A53,'QA Log'!M:M,"QQC",'QA Log'!L:L,"11. Additional Questions",'QA Log'!Z:Z,"Approved"),"")</f>
        <v/>
      </c>
      <c r="R53" s="102" t="str">
        <f>IF(A53="","",SUM(
COUNTIFS('QA Log'!D:D,A53,'QA Log'!M:M,"QQC",'QA Log'!Z:Z,"Rejected",'QA Log'!L:L,"*8. Maternity*"),
COUNTIFS('QA Log'!D:D,A53,'QA Log'!M:M,"QQC",'QA Log'!Z:Z,"Rejected",'QA Log'!L:L,"*EPI*"),
COUNTIFS('QA Log'!D:D,A53,'QA Log'!M:M,"QQC",'QA Log'!Z:Z,"Rejected",'QA Log'!L:L,"*10. Antenatal Care (ANC)*"),
COUNTIFS('QA Log'!D:D,A53,'QA Log'!M:M,"QQC",'QA Log'!Z:Z,"Rejected",'QA Log'!L:L,"*2. Hygiene and Sterilization*"),
COUNTIFS('QA Log'!D:D,A53,'QA Log'!M:M,"QQC",'QA Log'!Z:Z,"Rejected",'QA Log'!L:L,"*Family Planning*")))</f>
        <v/>
      </c>
      <c r="S53" s="106" t="str">
        <f t="shared" si="1"/>
        <v/>
      </c>
      <c r="T53" s="102" t="str">
        <f t="shared" si="2"/>
        <v/>
      </c>
      <c r="U53" s="102" t="str">
        <f>IF(A53="","",
SUM(
COUNTIFS('QA Log'!D:D,A53,'QA Log'!M:M,"QQC",'QA Log'!L:L,"*8. Maternity*"),
COUNTIFS('QA Log'!D:D,A53,'QA Log'!M:M,"QQC",'QA Log'!L:L,"*9. EPI and Pre-school Consultation*"),
COUNTIFS('QA Log'!D:D,A53,'QA Log'!M:M,"QQC",'QA Log'!L:L,"*10. Antenatal Care (ANC)*"),
COUNTIFS('QA Log'!D:D,A53,'QA Log'!M:M,"QQC",'QA Log'!L:L,"*2. Hygiene and Sterilization*"),
COUNTIFS('QA Log'!D:D,A53,'QA Log'!M:M,"QQC",'QA Log'!L:L,"*4. Family Planning*")
))</f>
        <v/>
      </c>
      <c r="V53" s="102" t="str">
        <f>IF(A53="","",
SUM(
COUNTIFS('QA Log'!D:D,A53,'QA Log'!M:M,"QQC",'QA Log'!Z:Z,"Approved",'QA Log'!L:L,"*8. Maternity*"),
COUNTIFS('QA Log'!D:D,A53,'QA Log'!M:M,"QQC",'QA Log'!Z:Z,"Approved",'QA Log'!L:L,"*9. EPI and Pre-school Consultation*"),
COUNTIFS('QA Log'!D:D,A53,'QA Log'!M:M,"QQC",'QA Log'!Z:Z,"Approved",'QA Log'!L:L,"*10. Antenatal Care (ANC)*"),
COUNTIFS('QA Log'!D:D,A53,'QA Log'!M:M,"QQC",'QA Log'!Z:Z,"Approved",'QA Log'!L:L,"*2. Hygiene and Sterilization*"),
COUNTIFS('QA Log'!D:D,A53,'QA Log'!M:M,"QQC",'QA Log'!Z:Z,"Approved",'QA Log'!L:L,"*4. Family Planning*")
))</f>
        <v/>
      </c>
      <c r="W53" s="105" t="str">
        <f>IF(A53&lt;&gt;"",COUNTIFS('QA Log'!D:D,A53,'QA Log'!M:M,"QQC",'QA Log'!L:L,"8. Maternity",'QA Log'!Z:Z,"Approved"),"")</f>
        <v/>
      </c>
      <c r="X53" s="105" t="str">
        <f>IF(A53&lt;&gt;"",COUNTIFS('QA Log'!D:D,A53,'QA Log'!M:M,"QQC",'QA Log'!L:L,"9. EPI and Pre-school Consultation",'QA Log'!Z:Z,"Approved"),"")</f>
        <v/>
      </c>
      <c r="Y53" s="105" t="str">
        <f>IF(A53&lt;&gt;"",COUNTIFS('QA Log'!D:D,A53,'QA Log'!M:M,"QQC",'QA Log'!L:L,"10. Antenatal Care (ANC)",'QA Log'!Z:Z,"Approved"),"")</f>
        <v/>
      </c>
      <c r="Z53" s="105" t="str">
        <f>IF(A53&lt;&gt;"",COUNTIFS('QA Log'!D:D,A53,'QA Log'!M:M,"QQC",'QA Log'!L:L,"2. Hygiene and Sterilization",'QA Log'!Z:Z,"Approved"),"")</f>
        <v/>
      </c>
      <c r="AA53" s="105" t="str">
        <f>IF(A53&lt;&gt;"",COUNTIFS('QA Log'!D:D,A53,'QA Log'!M:M,"QQC",'QA Log'!L:L,"4. Family Planning",'QA Log'!Z:Z,"Approved"),"")</f>
        <v/>
      </c>
      <c r="AB53" s="102" t="str">
        <f>IF(A53="","",
SUM(
COUNTIFS('QA Log'!D:D,A53,'QA Log'!M:M,"QQC",'QA Log'!Z:Z,"Rejected",'QA Log'!L:L,"*8. Maternity*"),
COUNTIFS('QA Log'!D:D,A53,'QA Log'!M:M,"QQC",'QA Log'!Z:Z,"Rejected",'QA Log'!L:L,"*9. EPI and Pre-school Consultation*"),
COUNTIFS('QA Log'!D:D,A53,'QA Log'!M:M,"QQC",'QA Log'!Z:Z,"Rejected",'QA Log'!L:L,"*10. Antenatal Care (ANC)*"),
COUNTIFS('QA Log'!D:D,A53,'QA Log'!M:M,"QQC",'QA Log'!Z:Z,"Rejected",'QA Log'!L:L,"*2. Hygiene and Sterilization*"),
COUNTIFS('QA Log'!D:D,A53,'QA Log'!M:M,"QQC",'QA Log'!Z:Z,"Rejected",'QA Log'!L:L,"*4. Family Planning*")
))</f>
        <v/>
      </c>
      <c r="AC53" s="102" t="str">
        <f t="shared" si="3"/>
        <v/>
      </c>
      <c r="AD53" s="103" t="str">
        <f t="shared" si="4"/>
        <v/>
      </c>
      <c r="AE53" s="102" t="str">
        <f>IF(A53="","",
SUM(
COUNTIFS('QA Log'!D:D,A53,'QA Log'!M:M,"Data Verification",'QA Log'!L:L,"*Medicine (section 2)*"),
COUNTIFS('QA Log'!D:D,A53,'QA Log'!M:M,"Data Verification",'QA Log'!L:L,"*Lab Testing Availability*"),
COUNTIFS('QA Log'!D:D,A53,'QA Log'!M:M,"Data Verification",'QA Log'!L:L,"*Other than P4P (section 6)*"),
COUNTIFS('QA Log'!D:D,A53,'QA Log'!M:M,"Data Verification",'QA Log'!L:L,"*Hospital Governance*")
))</f>
        <v/>
      </c>
      <c r="AF53" s="102" t="str">
        <f>IF(A53="","",
SUM(
COUNTIFS('QA Log'!D:D,A53,'QA Log'!M:M,"Data Verification",'QA Log'!Z:Z,"Approved",'QA Log'!L:L,"*Medicine (section 2)*"),
COUNTIFS('QA Log'!D:D,A53,'QA Log'!M:M,"Data Verification",'QA Log'!Z:Z,"Approved",'QA Log'!L:L,"*Lab Testing Availability*"),
COUNTIFS('QA Log'!D:D,A53,'QA Log'!M:M,"Data Verification",'QA Log'!Z:Z,"Approved",'QA Log'!L:L,"*Other than P4P (section 6)*"),
COUNTIFS('QA Log'!D:D,A53,'QA Log'!M:M,"Data Verification",'QA Log'!Z:Z,"Approved",'QA Log'!L:L,"*Hospital Governance*")
))</f>
        <v/>
      </c>
      <c r="AG53" s="105" t="str">
        <f>IF(A53&lt;&gt;"",COUNTIFS('QA Log'!D:D,A53,'QA Log'!M:M,"Data Verification",'QA Log'!L:L,"Medicine (section 2)",'QA Log'!Z:Z,"Approved"),"")</f>
        <v/>
      </c>
      <c r="AH53" s="105" t="str">
        <f>IF(A53&lt;&gt;"",COUNTIFS('QA Log'!D:D,A53,'QA Log'!M:M,"Data Verification",'QA Log'!L:L,"Lab Testing Availability",'QA Log'!Z:Z,"Approved"),"")</f>
        <v/>
      </c>
      <c r="AI53" s="105" t="str">
        <f>IF(A53&lt;&gt;"",COUNTIFS('QA Log'!D:D,A53,'QA Log'!M:M,"Data Verification",'QA Log'!L:L,"Other than P4P (section 6)",'QA Log'!Z:Z,"Approved"),"")</f>
        <v/>
      </c>
      <c r="AJ53" s="105" t="str">
        <f>IF(A53&lt;&gt;"",COUNTIFS('QA Log'!D:D,A53,'QA Log'!M:M,"Data Verification",'QA Log'!L:L,"Hospital Governance",'QA Log'!Z:Z,"Approved"),"")</f>
        <v/>
      </c>
      <c r="AK53" s="102" t="str">
        <f>IF(A53="","",
SUM(
COUNTIFS('QA Log'!D:D,A53,'QA Log'!M:M,"Data Verification",'QA Log'!Z:Z,"Rejected",'QA Log'!L:L,"*Medicine (section 2)*"),
COUNTIFS('QA Log'!D:D,A53,'QA Log'!M:M,"Data Verification",'QA Log'!Z:Z,"Rejected",'QA Log'!L:L,"*Lab Testing Availability*"),
COUNTIFS('QA Log'!D:D,A53,'QA Log'!M:M,"Data Verification",'QA Log'!Z:Z,"Rejected",'QA Log'!L:L,"*Other than P4P (section 6)*"),
COUNTIFS('QA Log'!D:D,A53,'QA Log'!M:M,"Data Verification",'QA Log'!Z:Z,"Rejected",'QA Log'!L:L,"*Hospital Governance*")
))</f>
        <v/>
      </c>
      <c r="AL53" s="106" t="str">
        <f t="shared" si="5"/>
        <v/>
      </c>
      <c r="AM53" s="102" t="str">
        <f t="shared" si="6"/>
        <v/>
      </c>
      <c r="AN53" s="102" t="str">
        <f>IF(A53="","",
SUM(
COUNTIFS('QA Log'!D:D,A53,'QA Log'!M:M,"Data Verification",'QA Log'!L:L,"*Personnel (section 1)*"),
COUNTIFS('QA Log'!D:D,A53,'QA Log'!M:M,"Data Verification",'QA Log'!L:L,"*Consumable (section 3)*"),
COUNTIFS('QA Log'!D:D,A53,'QA Log'!M:M,"Data Verification",'QA Log'!L:L,"*Equipments (section 4)*")
))</f>
        <v/>
      </c>
      <c r="AO53" s="102" t="str">
        <f>IF(A53="","",
SUM(
COUNTIFS('QA Log'!D:D,A53,'QA Log'!M:M,"Data Verification",'QA Log'!Z:Z,"Approved",'QA Log'!L:L,"*Personnel (section 1)*"),
COUNTIFS('QA Log'!D:D,A53,'QA Log'!M:M,"Data Verification",'QA Log'!Z:Z,"Approved",'QA Log'!L:L,"*Consumable (section 3)*"),
COUNTIFS('QA Log'!D:D,A53,'QA Log'!M:M,"Data Verification",'QA Log'!Z:Z,"Approved",'QA Log'!L:L,"*Equipments (section 4)*")
))</f>
        <v/>
      </c>
      <c r="AP53" s="105" t="str">
        <f>IF(A53&lt;&gt;"",COUNTIFS('QA Log'!D:D,A53,'QA Log'!M:M,"Data Verification",'QA Log'!L:L,"Personnel (section 1)",'QA Log'!Z:Z,"Approved"),"")</f>
        <v/>
      </c>
      <c r="AQ53" s="105" t="str">
        <f>IF(A53&lt;&gt;"",COUNTIFS('QA Log'!D:D,A53,'QA Log'!M:M,"Data Verification",'QA Log'!L:L,"Consumable (section 3)",'QA Log'!Z:Z,"Approved"),"")</f>
        <v/>
      </c>
      <c r="AR53" s="105" t="str">
        <f>IF(A53&lt;&gt;"",COUNTIFS('QA Log'!D:D,A53,'QA Log'!M:M,"Data Verification",'QA Log'!L:L,"Equipments (section 4)",'QA Log'!Z:Z,"Approved"),"")</f>
        <v/>
      </c>
      <c r="AS53" s="102" t="str">
        <f>IF(A53="","",
SUM(
COUNTIFS('QA Log'!D:D,A53,'QA Log'!M:M,"Data Verification",'QA Log'!Z:Z,"Rejected",'QA Log'!L:L,"*Personnel (section 1)*"),
COUNTIFS('QA Log'!D:D,A53,'QA Log'!M:M,"Data Verification",'QA Log'!Z:Z,"Rejected",'QA Log'!L:L,"*Consumable (section 3)*"),
COUNTIFS('QA Log'!D:D,A53,'QA Log'!M:M,"Data Verification",'QA Log'!Z:Z,"Rejected",'QA Log'!L:L,"*Equipments (section 4)*")
))</f>
        <v/>
      </c>
      <c r="AT53" s="102" t="str">
        <f t="shared" si="7"/>
        <v/>
      </c>
      <c r="AU53" s="103" t="str">
        <f t="shared" si="8"/>
        <v/>
      </c>
      <c r="AV53" s="102" t="str">
        <f>IF(A53="","",SUM(
COUNTIFS('QA Log'!D:D,A53,'QA Log'!M:M,"Vignette",'QA Log'!L:L,"*Vignette [1] Respiratory Infection: Pneumonia*"),
COUNTIFS('QA Log'!D:D,A53,'QA Log'!M:M,"Vignette",'QA Log'!L:L,"*Vignette [2]: Diarrhea with Cat B dehydration*"),
COUNTIFS('QA Log'!D:D,A53,'QA Log'!M:M,"Vignette",'QA Log'!L:L,"*Vignette [3] Growth Monitoring and Promotion*"),
COUNTIFS('QA Log'!D:D,A53,'QA Log'!M:M,"Vignette",'QA Log'!L:L,"*Vignette [4]: The management of presumptive TB patient*")
)
)</f>
        <v/>
      </c>
      <c r="AW53" s="102" t="str">
        <f>IF(
  A53="","",
  SUM(
    COUNTIFS('QA Log'!D:D,A53,'QA Log'!M:M,"Vignette",'QA Log'!Z:Z,"Approved",'QA Log'!L:L,"*Vignette [1] Respiratory Infection: Pneumonia*"),
    COUNTIFS('QA Log'!D:D,A53,'QA Log'!M:M,"Vignette",'QA Log'!Z:Z,"Approved",'QA Log'!L:L,"*Vignette [2]: Diarrhea with Cat B dehydration*"),
    COUNTIFS('QA Log'!D:D,A53,'QA Log'!M:M,"Vignette",'QA Log'!Z:Z,"Approved",'QA Log'!L:L,"*Vignette [3] Growth Monitoring and Promotion*"),
    COUNTIFS('QA Log'!D:D,A53,'QA Log'!M:M,"Vignette",'QA Log'!Z:Z,"Approved",'QA Log'!L:L,"*Vignette [4]: The management of presumptive TB patient*")
  )
)</f>
        <v/>
      </c>
      <c r="AX53" s="105" t="str">
        <f>IF(A53&lt;&gt;"",COUNTIFS('QA Log'!D:D,A53,'QA Log'!M:M,"Vignette",'QA Log'!L:L,"Vignette [1] Respiratory Infection: Pneumonia",'QA Log'!Z:Z,"Approved"),"")</f>
        <v/>
      </c>
      <c r="AY53" s="105" t="str">
        <f>IF(A53&lt;&gt;"",COUNTIFS('QA Log'!D:D,A53,'QA Log'!M:M,"Vignette",'QA Log'!L:L,"Vignette [2]: Diarrhea with Cat B dehydration",'QA Log'!Z:Z,"Approved"),"")</f>
        <v/>
      </c>
      <c r="AZ53" s="105" t="str">
        <f>IF(A53&lt;&gt;"",COUNTIFS('QA Log'!D:D,A53,'QA Log'!M:M,"Vignette",'QA Log'!L:L,"Vignette [3] Growth Monitoring and Promotion",'QA Log'!Z:Z,"Approved"),"")</f>
        <v/>
      </c>
      <c r="BA53" s="105" t="str">
        <f>IF(A53&lt;&gt;"",COUNTIFS('QA Log'!D:D,A53,'QA Log'!M:M,"Vignette",'QA Log'!L:L,"Vignette [4]: The management of presumptive TB patient",'QA Log'!Z:Z,"Approved"),"")</f>
        <v/>
      </c>
      <c r="BB53" s="102" t="str">
        <f>IF(A53="","",
  SUM(
    COUNTIFS('QA Log'!D:D,A53,'QA Log'!M:M,"Vignette",'QA Log'!Z:Z,"Rejected",'QA Log'!L:L,"*Vignette [1] Respiratory Infection: Pneumonia*"),
    COUNTIFS('QA Log'!D:D,A53,'QA Log'!M:M,"Vignette",'QA Log'!Z:Z,"Rejected",'QA Log'!L:L,"*Vignette [2]: Diarrhea with Cat B dehydration*"),
    COUNTIFS('QA Log'!D:D,A53,'QA Log'!M:M,"Vignette",'QA Log'!Z:Z,"Rejected",'QA Log'!L:L,"*Vignette [3] Growth Monitoring and Promotion*"),
    COUNTIFS('QA Log'!D:D,A53,'QA Log'!M:M,"Vignette",'QA Log'!Z:Z,"Rejected",'QA Log'!L:L,"*Vignette [4]: The management of presumptive TB patient*")
  )
)</f>
        <v/>
      </c>
      <c r="BC53" s="107" t="str">
        <f t="shared" si="9"/>
        <v/>
      </c>
      <c r="BD53" s="103" t="str">
        <f t="shared" si="10"/>
        <v/>
      </c>
      <c r="BE53" s="102" t="str">
        <f>IF(A53="","",SUM(
COUNTIFS('QA Log'!D:D,A53,'QA Log'!M:M,"Vignette",'QA Log'!L:L,"*Vignette [5] Labor*"),
COUNTIFS('QA Log'!D:D,A53,'QA Log'!M:M,"Vignette",'QA Log'!L:L,"*Vignette [6] PNC pre Discharge*"),
COUNTIFS('QA Log'!D:D,A53,'QA Log'!M:M,"Vignette",'QA Log'!L:L,"*Vignette [7] First ANC Visit*"),
COUNTIFS('QA Log'!D:D,A53,'QA Log'!M:M,"Vignette",'QA Log'!L:L,"*Vignette [8] Birth Spacing/ Family Planning :  FP Counselling*"),
COUNTIFS('QA Log'!D:D,A53,'QA Log'!M:M,"Vignette",'QA Log'!L:L,"*Vignette [9] Birth Spacing: Change FP method to Injectable*"),
COUNTIFS('QA Log'!D:D,A53,'QA Log'!M:M,"Vignette",'QA Log'!L:L,"*Vignette [10] Post Partum Haemorrhage - Atonic Uterus at Health Centre*"),
)
)</f>
        <v/>
      </c>
      <c r="BF53" s="102" t="str">
        <f>IF(A53="","",
  SUM(
    COUNTIFS('QA Log'!D:D,A53,'QA Log'!M:M,"Vignette",'QA Log'!Z:Z,"Approved",'QA Log'!L:L,"*Vignette [5] Labor*"),
    COUNTIFS('QA Log'!D:D,A53,'QA Log'!M:M,"Vignette",'QA Log'!Z:Z,"Approved",'QA Log'!L:L,"*Vignette [6] PNC pre Discharge*"),
    COUNTIFS('QA Log'!D:D,A53,'QA Log'!M:M,"Vignette",'QA Log'!Z:Z,"Approved",'QA Log'!L:L,"*Vignette [7] First ANC Visit*"),
    COUNTIFS('QA Log'!D:D,A53,'QA Log'!M:M,"Vignette",'QA Log'!Z:Z,"Approved",'QA Log'!L:L,"*Vignette [8] Birth Spacing/ Family Planning :  FP Counselling*"),
    COUNTIFS('QA Log'!D:D,A53,'QA Log'!M:M,"Vignette",'QA Log'!Z:Z,"Approved",'QA Log'!L:L,"*Vignette [9] Birth Spacing: Change FP method to Injectable*"),
    COUNTIFS('QA Log'!D:D,A53,'QA Log'!M:M,"Vignette",'QA Log'!Z:Z,"Approved",'QA Log'!L:L,"*Vignette [10] Post Partum Haemorrhage - Atonic Uterus at Health Centre*")
  )
)</f>
        <v/>
      </c>
      <c r="BG53" s="105" t="str">
        <f>IF(A53&lt;&gt;"",COUNTIFS('QA Log'!D:D,A53,'QA Log'!M:M,"Vignette",'QA Log'!L:L,"Vignette [5] Labor",'QA Log'!Z:Z,"Approved"),"")</f>
        <v/>
      </c>
      <c r="BH53" s="105" t="str">
        <f>IF(A53&lt;&gt;"",COUNTIFS('QA Log'!D:D,A53,'QA Log'!M:M,"Vignette",'QA Log'!L:L,"Vignette [6] PNC pre Discharge",'QA Log'!Z:Z,"Approved"),"")</f>
        <v/>
      </c>
      <c r="BI53" s="105" t="str">
        <f>IF(A53&lt;&gt;"",COUNTIFS('QA Log'!D:D,A53,'QA Log'!M:M,"Vignette",'QA Log'!L:L,"Vignette [7] First ANC Visit",'QA Log'!Z:Z,"Approved"),"")</f>
        <v/>
      </c>
      <c r="BJ53" s="105" t="str">
        <f>IF(A53&lt;&gt;"",COUNTIFS('QA Log'!D:D,A53,'QA Log'!M:M,"Vignette",'QA Log'!L:L,"Vignette [8] Birth Spacing/ Family Planning :  FP Counselling",'QA Log'!Z:Z,"Approved"),"")</f>
        <v/>
      </c>
      <c r="BK53" s="105" t="str">
        <f>IF(A53&lt;&gt;"",COUNTIFS('QA Log'!D:D,A53,'QA Log'!M:M,"Vignette",'QA Log'!L:L,"Vignette [9] Birth Spacing: Change FP method to Injectable",'QA Log'!Z:Z,"Approved"),"")</f>
        <v/>
      </c>
      <c r="BL53" s="105" t="str">
        <f>IF(A53&lt;&gt;"",COUNTIFS('QA Log'!D:D,A53,'QA Log'!M:M,"Vignette",'QA Log'!L:L,"Vignette [10] Post Partum Haemorrhage - Atonic Uterus at Health Centre",'QA Log'!Z:Z,"Approved"),"")</f>
        <v/>
      </c>
      <c r="BM53" s="102" t="str">
        <f>IF(A53="","",SUM(
    COUNTIFS('QA Log'!D:D,A53,'QA Log'!M:M,"Vignette",'QA Log'!Z:Z,"Rejected",'QA Log'!L:L,"*Vignette [5] Labor*"),
    COUNTIFS('QA Log'!D:D,A53,'QA Log'!M:M,"Vignette",'QA Log'!Z:Z,"Rejected",'QA Log'!L:L,"*Vignette [6] PNC pre Discharge*"),
    COUNTIFS('QA Log'!D:D,A53,'QA Log'!M:M,"Vignette",'QA Log'!Z:Z,"Rejected",'QA Log'!L:L,"*Vignette [7] First ANC Visit*"),
    COUNTIFS('QA Log'!D:D,A53,'QA Log'!M:M,"Vignette",'QA Log'!Z:Z,"Rejected",'QA Log'!L:L,"*Vignette [8] Birth Spacing/ Family Planning :  FP Counselling*"),
    COUNTIFS('QA Log'!D:D,A53,'QA Log'!M:M,"Vignette",'QA Log'!Z:Z,"Rejected",'QA Log'!L:L,"*Vignette [9] Birth Spacing: Change FP method to Injectable*"),
    COUNTIFS('QA Log'!D:D,A53,'QA Log'!M:M,"Vignette",'QA Log'!Z:Z,"Rejected",'QA Log'!L:L,"*Vignette [10] Post Partum Haemorrhage - Atonic Uterus at Health Centre*")
  )
)</f>
        <v/>
      </c>
      <c r="BN53" s="107" t="str">
        <f t="shared" si="11"/>
        <v/>
      </c>
      <c r="BO53" s="103" t="str">
        <f t="shared" si="12"/>
        <v/>
      </c>
      <c r="BP53" s="102" t="str">
        <f>IF(A53="","",SUM(
COUNTIFS('QA Log'!D:D,A53,'QA Log'!M:M,"Vignette",'QA Log'!L:L,"*Exit Interview 1*"),
COUNTIFS('QA Log'!D:D,A53,'QA Log'!M:M,"Vignette",'QA Log'!L:L,"*Exit Interview 2*"),
)
)</f>
        <v/>
      </c>
      <c r="BQ53" s="102" t="str">
        <f>IF(
  A53="","",
  SUM(
    COUNTIFS('QA Log'!D:D,A53,'QA Log'!M:M,"Vignette",'QA Log'!Z:Z,"Approved",'QA Log'!L:L,"*Exit Interview 1*"),
    COUNTIFS('QA Log'!D:D,A53,'QA Log'!M:M,"Vignette",'QA Log'!Z:Z,"Approved",'QA Log'!L:L,"*Exit Interview 2*")
  )
)</f>
        <v/>
      </c>
      <c r="BR53" s="105" t="str">
        <f>IF(A53&lt;&gt;"",COUNTIFS('QA Log'!D:D,A53,'QA Log'!M:M,"Vignette",'QA Log'!L:L,"Exit Interview 1",'QA Log'!Z:Z,"Approved"),"")</f>
        <v/>
      </c>
      <c r="BS53" s="105" t="str">
        <f>IF(A53&lt;&gt;"",COUNTIFS('QA Log'!D:D,A53,'QA Log'!M:M,"Vignette",'QA Log'!L:L,"Exit Interview 2",'QA Log'!Z:Z,"Approved"),"")</f>
        <v/>
      </c>
      <c r="BT53" s="102" t="str">
        <f>IF(
  A53="","",
  SUM(
    COUNTIFS('QA Log'!D:D,A53,'QA Log'!M:M,"Vignette",'QA Log'!Z:Z,"Rejected",'QA Log'!L:L,"*Exit Interview 1*"),
    COUNTIFS('QA Log'!D:D,A53,'QA Log'!M:M,"Vignette",'QA Log'!Z:Z,"Rejected",'QA Log'!L:L,"*Exit Interview 2*")
  )
)</f>
        <v/>
      </c>
      <c r="BU53" s="107" t="str">
        <f t="shared" si="13"/>
        <v/>
      </c>
      <c r="BV53" s="102" t="str">
        <f t="shared" si="14"/>
        <v/>
      </c>
      <c r="BW53" s="102" t="str">
        <f t="shared" si="15"/>
        <v/>
      </c>
      <c r="BX53" s="102" t="str">
        <f t="shared" si="16"/>
        <v/>
      </c>
      <c r="BY53" s="102" t="str">
        <f t="shared" si="17"/>
        <v/>
      </c>
      <c r="BZ53" s="107" t="str">
        <f t="shared" si="18"/>
        <v/>
      </c>
      <c r="CA53" s="108" t="str">
        <f t="shared" si="19"/>
        <v/>
      </c>
      <c r="CB53" s="108" t="str">
        <f t="shared" si="20"/>
        <v/>
      </c>
      <c r="CC53" s="109" t="str">
        <f t="shared" si="21"/>
        <v/>
      </c>
      <c r="CD53" s="108" t="str">
        <f t="shared" si="22"/>
        <v/>
      </c>
      <c r="CE53" s="108" t="str">
        <f t="shared" si="23"/>
        <v/>
      </c>
      <c r="CF53" s="109" t="str">
        <f t="shared" si="24"/>
        <v/>
      </c>
      <c r="CG53" s="110" t="str">
        <f t="shared" si="25"/>
        <v/>
      </c>
      <c r="CH53" s="111"/>
    </row>
    <row r="54" spans="1:86" ht="12.75">
      <c r="A54" s="101"/>
      <c r="B54" s="102" t="e">
        <f t="array" aca="1" ref="B54" ca="1">_xludf.XLOOKUP(A54,'QA Log'!D:D,'QA Log'!E:E,"")</f>
        <v>#NAME?</v>
      </c>
      <c r="C54" s="102" t="e">
        <f t="array" aca="1" ref="C54" ca="1">_xludf.XLOOKUP(A54,'QA Log'!D:D,'QA Log'!F:F,"")</f>
        <v>#NAME?</v>
      </c>
      <c r="D54" s="102" t="e">
        <f t="array" aca="1" ref="D54" ca="1">_xludf.XLOOKUP(A54,'QA Log'!D:D,'QA Log'!H:H,"")</f>
        <v>#NAME?</v>
      </c>
      <c r="E54" s="102" t="e">
        <f t="array" aca="1" ref="E54" ca="1">_xludf.XLOOKUP(A54,'QA Log'!D:D,'QA Log'!G:G,"")</f>
        <v>#NAME?</v>
      </c>
      <c r="F54" s="103"/>
      <c r="G54" s="104"/>
      <c r="H54" s="104"/>
      <c r="I54" s="103" t="str">
        <f t="shared" si="0"/>
        <v/>
      </c>
      <c r="J54" s="102" t="str">
        <f>IF(A54="","",SUM(
COUNTIFS('QA Log'!D:D,A54,'QA Log'!M:M,"QQC",'QA Log'!L:L,"*1. General Management*"),
COUNTIFS('QA Log'!D:D,A54,'QA Log'!M:M,"QQC",'QA Log'!L:L,"*3. Curative Consultation (OPD)*"),
COUNTIFS('QA Log'!D:D,A54,'QA Log'!M:M,"QQC",'QA Log'!L:L,"*5. Laboratory*"),
COUNTIFS('QA Log'!D:D,A54,'QA Log'!M:M,"QQC",'QA Log'!L:L,"*6. Essential Medicine Management*"),
COUNTIFS('QA Log'!D:D,A54,'QA Log'!M:M,"QQC",'QA Log'!L:L,"*7. Tracer Medicine*"),
COUNTIFS('QA Log'!D:D,A54,'QA Log'!M:M,"QQC",'QA Log'!L:L,"*11. Additional Questions*")))</f>
        <v/>
      </c>
      <c r="K54" s="102" t="str">
        <f>IF(A54="","",SUM(
COUNTIFS('QA Log'!D:D,A54,'QA Log'!M:M,"QQC",'QA Log'!Z:Z,"Approved",'QA Log'!L:L,"*1. General Management*"),
COUNTIFS('QA Log'!D:D,A54,'QA Log'!M:M,"QQC",'QA Log'!Z:Z,"Approved",'QA Log'!L:L,"*3. Curative Consultation (OPD)*"),
COUNTIFS('QA Log'!D:D,A54,'QA Log'!M:M,"QQC",'QA Log'!Z:Z,"Approved",'QA Log'!L:L,"*5. Laboratory*"),
COUNTIFS('QA Log'!D:D,A54,'QA Log'!M:M,"QQC",'QA Log'!Z:Z,"Approved",'QA Log'!L:L,"*6. Essential Medicine Management*"),
COUNTIFS('QA Log'!D:D,A54,'QA Log'!M:M,"QQC",'QA Log'!Z:Z,"Approved",'QA Log'!L:L,"*7. Tracer Medicine*"),
COUNTIFS('QA Log'!D:D,A54,'QA Log'!M:M,"QQC",'QA Log'!Z:Z,"Approved",'QA Log'!L:L,"*11. Additional Questions*")))</f>
        <v/>
      </c>
      <c r="L54" s="105" t="str">
        <f>IF(A54&lt;&gt;"",COUNTIFS('QA Log'!D:D,A54,'QA Log'!M:M,"QQC",'QA Log'!L:L,"1. General Management",'QA Log'!Z:Z,"Approved"),"")</f>
        <v/>
      </c>
      <c r="M54" s="105" t="str">
        <f>IF(A54&lt;&gt;"",COUNTIFS('QA Log'!D:D,A54,'QA Log'!M:M,"QQC",'QA Log'!L:L,"3. Curative Consultation (OPD)",'QA Log'!Z:Z,"Approved"),"")</f>
        <v/>
      </c>
      <c r="N54" s="105" t="str">
        <f>IF(A54&lt;&gt;"",COUNTIFS('QA Log'!D:D,A54,'QA Log'!M:M,"QQC",'QA Log'!L:L,"5. Laboratory",'QA Log'!Z:Z,"Approved"),"")</f>
        <v/>
      </c>
      <c r="O54" s="105" t="str">
        <f>IF(A54&lt;&gt;"",COUNTIFS('QA Log'!D:D,A54,'QA Log'!M:M,"QQC",'QA Log'!L:L,"6. Essential Medicine Management",'QA Log'!Z:Z,"Approved"),"")</f>
        <v/>
      </c>
      <c r="P54" s="105" t="str">
        <f>IF(A54&lt;&gt;"",COUNTIFS('QA Log'!D:D,A54,'QA Log'!M:M,"QQC",'QA Log'!L:L,"7. Tracer Medicine",'QA Log'!Z:Z,"Approved"),"")</f>
        <v/>
      </c>
      <c r="Q54" s="105" t="str">
        <f>IF(A54&lt;&gt;"",COUNTIFS('QA Log'!D:D,A54,'QA Log'!M:M,"QQC",'QA Log'!L:L,"11. Additional Questions",'QA Log'!Z:Z,"Approved"),"")</f>
        <v/>
      </c>
      <c r="R54" s="102" t="str">
        <f>IF(A54="","",SUM(
COUNTIFS('QA Log'!D:D,A54,'QA Log'!M:M,"QQC",'QA Log'!Z:Z,"Rejected",'QA Log'!L:L,"*8. Maternity*"),
COUNTIFS('QA Log'!D:D,A54,'QA Log'!M:M,"QQC",'QA Log'!Z:Z,"Rejected",'QA Log'!L:L,"*EPI*"),
COUNTIFS('QA Log'!D:D,A54,'QA Log'!M:M,"QQC",'QA Log'!Z:Z,"Rejected",'QA Log'!L:L,"*10. Antenatal Care (ANC)*"),
COUNTIFS('QA Log'!D:D,A54,'QA Log'!M:M,"QQC",'QA Log'!Z:Z,"Rejected",'QA Log'!L:L,"*2. Hygiene and Sterilization*"),
COUNTIFS('QA Log'!D:D,A54,'QA Log'!M:M,"QQC",'QA Log'!Z:Z,"Rejected",'QA Log'!L:L,"*Family Planning*")))</f>
        <v/>
      </c>
      <c r="S54" s="106" t="str">
        <f t="shared" si="1"/>
        <v/>
      </c>
      <c r="T54" s="102" t="str">
        <f t="shared" si="2"/>
        <v/>
      </c>
      <c r="U54" s="102" t="str">
        <f>IF(A54="","",
SUM(
COUNTIFS('QA Log'!D:D,A54,'QA Log'!M:M,"QQC",'QA Log'!L:L,"*8. Maternity*"),
COUNTIFS('QA Log'!D:D,A54,'QA Log'!M:M,"QQC",'QA Log'!L:L,"*9. EPI and Pre-school Consultation*"),
COUNTIFS('QA Log'!D:D,A54,'QA Log'!M:M,"QQC",'QA Log'!L:L,"*10. Antenatal Care (ANC)*"),
COUNTIFS('QA Log'!D:D,A54,'QA Log'!M:M,"QQC",'QA Log'!L:L,"*2. Hygiene and Sterilization*"),
COUNTIFS('QA Log'!D:D,A54,'QA Log'!M:M,"QQC",'QA Log'!L:L,"*4. Family Planning*")
))</f>
        <v/>
      </c>
      <c r="V54" s="102" t="str">
        <f>IF(A54="","",
SUM(
COUNTIFS('QA Log'!D:D,A54,'QA Log'!M:M,"QQC",'QA Log'!Z:Z,"Approved",'QA Log'!L:L,"*8. Maternity*"),
COUNTIFS('QA Log'!D:D,A54,'QA Log'!M:M,"QQC",'QA Log'!Z:Z,"Approved",'QA Log'!L:L,"*9. EPI and Pre-school Consultation*"),
COUNTIFS('QA Log'!D:D,A54,'QA Log'!M:M,"QQC",'QA Log'!Z:Z,"Approved",'QA Log'!L:L,"*10. Antenatal Care (ANC)*"),
COUNTIFS('QA Log'!D:D,A54,'QA Log'!M:M,"QQC",'QA Log'!Z:Z,"Approved",'QA Log'!L:L,"*2. Hygiene and Sterilization*"),
COUNTIFS('QA Log'!D:D,A54,'QA Log'!M:M,"QQC",'QA Log'!Z:Z,"Approved",'QA Log'!L:L,"*4. Family Planning*")
))</f>
        <v/>
      </c>
      <c r="W54" s="105" t="str">
        <f>IF(A54&lt;&gt;"",COUNTIFS('QA Log'!D:D,A54,'QA Log'!M:M,"QQC",'QA Log'!L:L,"8. Maternity",'QA Log'!Z:Z,"Approved"),"")</f>
        <v/>
      </c>
      <c r="X54" s="105" t="str">
        <f>IF(A54&lt;&gt;"",COUNTIFS('QA Log'!D:D,A54,'QA Log'!M:M,"QQC",'QA Log'!L:L,"9. EPI and Pre-school Consultation",'QA Log'!Z:Z,"Approved"),"")</f>
        <v/>
      </c>
      <c r="Y54" s="105" t="str">
        <f>IF(A54&lt;&gt;"",COUNTIFS('QA Log'!D:D,A54,'QA Log'!M:M,"QQC",'QA Log'!L:L,"10. Antenatal Care (ANC)",'QA Log'!Z:Z,"Approved"),"")</f>
        <v/>
      </c>
      <c r="Z54" s="105" t="str">
        <f>IF(A54&lt;&gt;"",COUNTIFS('QA Log'!D:D,A54,'QA Log'!M:M,"QQC",'QA Log'!L:L,"2. Hygiene and Sterilization",'QA Log'!Z:Z,"Approved"),"")</f>
        <v/>
      </c>
      <c r="AA54" s="105" t="str">
        <f>IF(A54&lt;&gt;"",COUNTIFS('QA Log'!D:D,A54,'QA Log'!M:M,"QQC",'QA Log'!L:L,"4. Family Planning",'QA Log'!Z:Z,"Approved"),"")</f>
        <v/>
      </c>
      <c r="AB54" s="102" t="str">
        <f>IF(A54="","",
SUM(
COUNTIFS('QA Log'!D:D,A54,'QA Log'!M:M,"QQC",'QA Log'!Z:Z,"Rejected",'QA Log'!L:L,"*8. Maternity*"),
COUNTIFS('QA Log'!D:D,A54,'QA Log'!M:M,"QQC",'QA Log'!Z:Z,"Rejected",'QA Log'!L:L,"*9. EPI and Pre-school Consultation*"),
COUNTIFS('QA Log'!D:D,A54,'QA Log'!M:M,"QQC",'QA Log'!Z:Z,"Rejected",'QA Log'!L:L,"*10. Antenatal Care (ANC)*"),
COUNTIFS('QA Log'!D:D,A54,'QA Log'!M:M,"QQC",'QA Log'!Z:Z,"Rejected",'QA Log'!L:L,"*2. Hygiene and Sterilization*"),
COUNTIFS('QA Log'!D:D,A54,'QA Log'!M:M,"QQC",'QA Log'!Z:Z,"Rejected",'QA Log'!L:L,"*4. Family Planning*")
))</f>
        <v/>
      </c>
      <c r="AC54" s="102" t="str">
        <f t="shared" si="3"/>
        <v/>
      </c>
      <c r="AD54" s="103" t="str">
        <f t="shared" si="4"/>
        <v/>
      </c>
      <c r="AE54" s="102" t="str">
        <f>IF(A54="","",
SUM(
COUNTIFS('QA Log'!D:D,A54,'QA Log'!M:M,"Data Verification",'QA Log'!L:L,"*Medicine (section 2)*"),
COUNTIFS('QA Log'!D:D,A54,'QA Log'!M:M,"Data Verification",'QA Log'!L:L,"*Lab Testing Availability*"),
COUNTIFS('QA Log'!D:D,A54,'QA Log'!M:M,"Data Verification",'QA Log'!L:L,"*Other than P4P (section 6)*"),
COUNTIFS('QA Log'!D:D,A54,'QA Log'!M:M,"Data Verification",'QA Log'!L:L,"*Hospital Governance*")
))</f>
        <v/>
      </c>
      <c r="AF54" s="102" t="str">
        <f>IF(A54="","",
SUM(
COUNTIFS('QA Log'!D:D,A54,'QA Log'!M:M,"Data Verification",'QA Log'!Z:Z,"Approved",'QA Log'!L:L,"*Medicine (section 2)*"),
COUNTIFS('QA Log'!D:D,A54,'QA Log'!M:M,"Data Verification",'QA Log'!Z:Z,"Approved",'QA Log'!L:L,"*Lab Testing Availability*"),
COUNTIFS('QA Log'!D:D,A54,'QA Log'!M:M,"Data Verification",'QA Log'!Z:Z,"Approved",'QA Log'!L:L,"*Other than P4P (section 6)*"),
COUNTIFS('QA Log'!D:D,A54,'QA Log'!M:M,"Data Verification",'QA Log'!Z:Z,"Approved",'QA Log'!L:L,"*Hospital Governance*")
))</f>
        <v/>
      </c>
      <c r="AG54" s="105" t="str">
        <f>IF(A54&lt;&gt;"",COUNTIFS('QA Log'!D:D,A54,'QA Log'!M:M,"Data Verification",'QA Log'!L:L,"Medicine (section 2)",'QA Log'!Z:Z,"Approved"),"")</f>
        <v/>
      </c>
      <c r="AH54" s="105" t="str">
        <f>IF(A54&lt;&gt;"",COUNTIFS('QA Log'!D:D,A54,'QA Log'!M:M,"Data Verification",'QA Log'!L:L,"Lab Testing Availability",'QA Log'!Z:Z,"Approved"),"")</f>
        <v/>
      </c>
      <c r="AI54" s="105" t="str">
        <f>IF(A54&lt;&gt;"",COUNTIFS('QA Log'!D:D,A54,'QA Log'!M:M,"Data Verification",'QA Log'!L:L,"Other than P4P (section 6)",'QA Log'!Z:Z,"Approved"),"")</f>
        <v/>
      </c>
      <c r="AJ54" s="105" t="str">
        <f>IF(A54&lt;&gt;"",COUNTIFS('QA Log'!D:D,A54,'QA Log'!M:M,"Data Verification",'QA Log'!L:L,"Hospital Governance",'QA Log'!Z:Z,"Approved"),"")</f>
        <v/>
      </c>
      <c r="AK54" s="102" t="str">
        <f>IF(A54="","",
SUM(
COUNTIFS('QA Log'!D:D,A54,'QA Log'!M:M,"Data Verification",'QA Log'!Z:Z,"Rejected",'QA Log'!L:L,"*Medicine (section 2)*"),
COUNTIFS('QA Log'!D:D,A54,'QA Log'!M:M,"Data Verification",'QA Log'!Z:Z,"Rejected",'QA Log'!L:L,"*Lab Testing Availability*"),
COUNTIFS('QA Log'!D:D,A54,'QA Log'!M:M,"Data Verification",'QA Log'!Z:Z,"Rejected",'QA Log'!L:L,"*Other than P4P (section 6)*"),
COUNTIFS('QA Log'!D:D,A54,'QA Log'!M:M,"Data Verification",'QA Log'!Z:Z,"Rejected",'QA Log'!L:L,"*Hospital Governance*")
))</f>
        <v/>
      </c>
      <c r="AL54" s="106" t="str">
        <f t="shared" si="5"/>
        <v/>
      </c>
      <c r="AM54" s="102" t="str">
        <f t="shared" si="6"/>
        <v/>
      </c>
      <c r="AN54" s="102" t="str">
        <f>IF(A54="","",
SUM(
COUNTIFS('QA Log'!D:D,A54,'QA Log'!M:M,"Data Verification",'QA Log'!L:L,"*Personnel (section 1)*"),
COUNTIFS('QA Log'!D:D,A54,'QA Log'!M:M,"Data Verification",'QA Log'!L:L,"*Consumable (section 3)*"),
COUNTIFS('QA Log'!D:D,A54,'QA Log'!M:M,"Data Verification",'QA Log'!L:L,"*Equipments (section 4)*")
))</f>
        <v/>
      </c>
      <c r="AO54" s="102" t="str">
        <f>IF(A54="","",
SUM(
COUNTIFS('QA Log'!D:D,A54,'QA Log'!M:M,"Data Verification",'QA Log'!Z:Z,"Approved",'QA Log'!L:L,"*Personnel (section 1)*"),
COUNTIFS('QA Log'!D:D,A54,'QA Log'!M:M,"Data Verification",'QA Log'!Z:Z,"Approved",'QA Log'!L:L,"*Consumable (section 3)*"),
COUNTIFS('QA Log'!D:D,A54,'QA Log'!M:M,"Data Verification",'QA Log'!Z:Z,"Approved",'QA Log'!L:L,"*Equipments (section 4)*")
))</f>
        <v/>
      </c>
      <c r="AP54" s="105" t="str">
        <f>IF(A54&lt;&gt;"",COUNTIFS('QA Log'!D:D,A54,'QA Log'!M:M,"Data Verification",'QA Log'!L:L,"Personnel (section 1)",'QA Log'!Z:Z,"Approved"),"")</f>
        <v/>
      </c>
      <c r="AQ54" s="105" t="str">
        <f>IF(A54&lt;&gt;"",COUNTIFS('QA Log'!D:D,A54,'QA Log'!M:M,"Data Verification",'QA Log'!L:L,"Consumable (section 3)",'QA Log'!Z:Z,"Approved"),"")</f>
        <v/>
      </c>
      <c r="AR54" s="105" t="str">
        <f>IF(A54&lt;&gt;"",COUNTIFS('QA Log'!D:D,A54,'QA Log'!M:M,"Data Verification",'QA Log'!L:L,"Equipments (section 4)",'QA Log'!Z:Z,"Approved"),"")</f>
        <v/>
      </c>
      <c r="AS54" s="102" t="str">
        <f>IF(A54="","",
SUM(
COUNTIFS('QA Log'!D:D,A54,'QA Log'!M:M,"Data Verification",'QA Log'!Z:Z,"Rejected",'QA Log'!L:L,"*Personnel (section 1)*"),
COUNTIFS('QA Log'!D:D,A54,'QA Log'!M:M,"Data Verification",'QA Log'!Z:Z,"Rejected",'QA Log'!L:L,"*Consumable (section 3)*"),
COUNTIFS('QA Log'!D:D,A54,'QA Log'!M:M,"Data Verification",'QA Log'!Z:Z,"Rejected",'QA Log'!L:L,"*Equipments (section 4)*")
))</f>
        <v/>
      </c>
      <c r="AT54" s="102" t="str">
        <f t="shared" si="7"/>
        <v/>
      </c>
      <c r="AU54" s="103" t="str">
        <f t="shared" si="8"/>
        <v/>
      </c>
      <c r="AV54" s="102" t="str">
        <f>IF(A54="","",SUM(
COUNTIFS('QA Log'!D:D,A54,'QA Log'!M:M,"Vignette",'QA Log'!L:L,"*Vignette [1] Respiratory Infection: Pneumonia*"),
COUNTIFS('QA Log'!D:D,A54,'QA Log'!M:M,"Vignette",'QA Log'!L:L,"*Vignette [2]: Diarrhea with Cat B dehydration*"),
COUNTIFS('QA Log'!D:D,A54,'QA Log'!M:M,"Vignette",'QA Log'!L:L,"*Vignette [3] Growth Monitoring and Promotion*"),
COUNTIFS('QA Log'!D:D,A54,'QA Log'!M:M,"Vignette",'QA Log'!L:L,"*Vignette [4]: The management of presumptive TB patient*")
)
)</f>
        <v/>
      </c>
      <c r="AW54" s="102" t="str">
        <f>IF(
  A54="","",
  SUM(
    COUNTIFS('QA Log'!D:D,A54,'QA Log'!M:M,"Vignette",'QA Log'!Z:Z,"Approved",'QA Log'!L:L,"*Vignette [1] Respiratory Infection: Pneumonia*"),
    COUNTIFS('QA Log'!D:D,A54,'QA Log'!M:M,"Vignette",'QA Log'!Z:Z,"Approved",'QA Log'!L:L,"*Vignette [2]: Diarrhea with Cat B dehydration*"),
    COUNTIFS('QA Log'!D:D,A54,'QA Log'!M:M,"Vignette",'QA Log'!Z:Z,"Approved",'QA Log'!L:L,"*Vignette [3] Growth Monitoring and Promotion*"),
    COUNTIFS('QA Log'!D:D,A54,'QA Log'!M:M,"Vignette",'QA Log'!Z:Z,"Approved",'QA Log'!L:L,"*Vignette [4]: The management of presumptive TB patient*")
  )
)</f>
        <v/>
      </c>
      <c r="AX54" s="105" t="str">
        <f>IF(A54&lt;&gt;"",COUNTIFS('QA Log'!D:D,A54,'QA Log'!M:M,"Vignette",'QA Log'!L:L,"Vignette [1] Respiratory Infection: Pneumonia",'QA Log'!Z:Z,"Approved"),"")</f>
        <v/>
      </c>
      <c r="AY54" s="105" t="str">
        <f>IF(A54&lt;&gt;"",COUNTIFS('QA Log'!D:D,A54,'QA Log'!M:M,"Vignette",'QA Log'!L:L,"Vignette [2]: Diarrhea with Cat B dehydration",'QA Log'!Z:Z,"Approved"),"")</f>
        <v/>
      </c>
      <c r="AZ54" s="105" t="str">
        <f>IF(A54&lt;&gt;"",COUNTIFS('QA Log'!D:D,A54,'QA Log'!M:M,"Vignette",'QA Log'!L:L,"Vignette [3] Growth Monitoring and Promotion",'QA Log'!Z:Z,"Approved"),"")</f>
        <v/>
      </c>
      <c r="BA54" s="105" t="str">
        <f>IF(A54&lt;&gt;"",COUNTIFS('QA Log'!D:D,A54,'QA Log'!M:M,"Vignette",'QA Log'!L:L,"Vignette [4]: The management of presumptive TB patient",'QA Log'!Z:Z,"Approved"),"")</f>
        <v/>
      </c>
      <c r="BB54" s="102" t="str">
        <f>IF(A54="","",
  SUM(
    COUNTIFS('QA Log'!D:D,A54,'QA Log'!M:M,"Vignette",'QA Log'!Z:Z,"Rejected",'QA Log'!L:L,"*Vignette [1] Respiratory Infection: Pneumonia*"),
    COUNTIFS('QA Log'!D:D,A54,'QA Log'!M:M,"Vignette",'QA Log'!Z:Z,"Rejected",'QA Log'!L:L,"*Vignette [2]: Diarrhea with Cat B dehydration*"),
    COUNTIFS('QA Log'!D:D,A54,'QA Log'!M:M,"Vignette",'QA Log'!Z:Z,"Rejected",'QA Log'!L:L,"*Vignette [3] Growth Monitoring and Promotion*"),
    COUNTIFS('QA Log'!D:D,A54,'QA Log'!M:M,"Vignette",'QA Log'!Z:Z,"Rejected",'QA Log'!L:L,"*Vignette [4]: The management of presumptive TB patient*")
  )
)</f>
        <v/>
      </c>
      <c r="BC54" s="107" t="str">
        <f t="shared" si="9"/>
        <v/>
      </c>
      <c r="BD54" s="103" t="str">
        <f t="shared" si="10"/>
        <v/>
      </c>
      <c r="BE54" s="102" t="str">
        <f>IF(A54="","",SUM(
COUNTIFS('QA Log'!D:D,A54,'QA Log'!M:M,"Vignette",'QA Log'!L:L,"*Vignette [5] Labor*"),
COUNTIFS('QA Log'!D:D,A54,'QA Log'!M:M,"Vignette",'QA Log'!L:L,"*Vignette [6] PNC pre Discharge*"),
COUNTIFS('QA Log'!D:D,A54,'QA Log'!M:M,"Vignette",'QA Log'!L:L,"*Vignette [7] First ANC Visit*"),
COUNTIFS('QA Log'!D:D,A54,'QA Log'!M:M,"Vignette",'QA Log'!L:L,"*Vignette [8] Birth Spacing/ Family Planning :  FP Counselling*"),
COUNTIFS('QA Log'!D:D,A54,'QA Log'!M:M,"Vignette",'QA Log'!L:L,"*Vignette [9] Birth Spacing: Change FP method to Injectable*"),
COUNTIFS('QA Log'!D:D,A54,'QA Log'!M:M,"Vignette",'QA Log'!L:L,"*Vignette [10] Post Partum Haemorrhage - Atonic Uterus at Health Centre*"),
)
)</f>
        <v/>
      </c>
      <c r="BF54" s="102" t="str">
        <f>IF(A54="","",
  SUM(
    COUNTIFS('QA Log'!D:D,A54,'QA Log'!M:M,"Vignette",'QA Log'!Z:Z,"Approved",'QA Log'!L:L,"*Vignette [5] Labor*"),
    COUNTIFS('QA Log'!D:D,A54,'QA Log'!M:M,"Vignette",'QA Log'!Z:Z,"Approved",'QA Log'!L:L,"*Vignette [6] PNC pre Discharge*"),
    COUNTIFS('QA Log'!D:D,A54,'QA Log'!M:M,"Vignette",'QA Log'!Z:Z,"Approved",'QA Log'!L:L,"*Vignette [7] First ANC Visit*"),
    COUNTIFS('QA Log'!D:D,A54,'QA Log'!M:M,"Vignette",'QA Log'!Z:Z,"Approved",'QA Log'!L:L,"*Vignette [8] Birth Spacing/ Family Planning :  FP Counselling*"),
    COUNTIFS('QA Log'!D:D,A54,'QA Log'!M:M,"Vignette",'QA Log'!Z:Z,"Approved",'QA Log'!L:L,"*Vignette [9] Birth Spacing: Change FP method to Injectable*"),
    COUNTIFS('QA Log'!D:D,A54,'QA Log'!M:M,"Vignette",'QA Log'!Z:Z,"Approved",'QA Log'!L:L,"*Vignette [10] Post Partum Haemorrhage - Atonic Uterus at Health Centre*")
  )
)</f>
        <v/>
      </c>
      <c r="BG54" s="105" t="str">
        <f>IF(A54&lt;&gt;"",COUNTIFS('QA Log'!D:D,A54,'QA Log'!M:M,"Vignette",'QA Log'!L:L,"Vignette [5] Labor",'QA Log'!Z:Z,"Approved"),"")</f>
        <v/>
      </c>
      <c r="BH54" s="105" t="str">
        <f>IF(A54&lt;&gt;"",COUNTIFS('QA Log'!D:D,A54,'QA Log'!M:M,"Vignette",'QA Log'!L:L,"Vignette [6] PNC pre Discharge",'QA Log'!Z:Z,"Approved"),"")</f>
        <v/>
      </c>
      <c r="BI54" s="105" t="str">
        <f>IF(A54&lt;&gt;"",COUNTIFS('QA Log'!D:D,A54,'QA Log'!M:M,"Vignette",'QA Log'!L:L,"Vignette [7] First ANC Visit",'QA Log'!Z:Z,"Approved"),"")</f>
        <v/>
      </c>
      <c r="BJ54" s="105" t="str">
        <f>IF(A54&lt;&gt;"",COUNTIFS('QA Log'!D:D,A54,'QA Log'!M:M,"Vignette",'QA Log'!L:L,"Vignette [8] Birth Spacing/ Family Planning :  FP Counselling",'QA Log'!Z:Z,"Approved"),"")</f>
        <v/>
      </c>
      <c r="BK54" s="105" t="str">
        <f>IF(A54&lt;&gt;"",COUNTIFS('QA Log'!D:D,A54,'QA Log'!M:M,"Vignette",'QA Log'!L:L,"Vignette [9] Birth Spacing: Change FP method to Injectable",'QA Log'!Z:Z,"Approved"),"")</f>
        <v/>
      </c>
      <c r="BL54" s="105" t="str">
        <f>IF(A54&lt;&gt;"",COUNTIFS('QA Log'!D:D,A54,'QA Log'!M:M,"Vignette",'QA Log'!L:L,"Vignette [10] Post Partum Haemorrhage - Atonic Uterus at Health Centre",'QA Log'!Z:Z,"Approved"),"")</f>
        <v/>
      </c>
      <c r="BM54" s="102" t="str">
        <f>IF(A54="","",SUM(
    COUNTIFS('QA Log'!D:D,A54,'QA Log'!M:M,"Vignette",'QA Log'!Z:Z,"Rejected",'QA Log'!L:L,"*Vignette [5] Labor*"),
    COUNTIFS('QA Log'!D:D,A54,'QA Log'!M:M,"Vignette",'QA Log'!Z:Z,"Rejected",'QA Log'!L:L,"*Vignette [6] PNC pre Discharge*"),
    COUNTIFS('QA Log'!D:D,A54,'QA Log'!M:M,"Vignette",'QA Log'!Z:Z,"Rejected",'QA Log'!L:L,"*Vignette [7] First ANC Visit*"),
    COUNTIFS('QA Log'!D:D,A54,'QA Log'!M:M,"Vignette",'QA Log'!Z:Z,"Rejected",'QA Log'!L:L,"*Vignette [8] Birth Spacing/ Family Planning :  FP Counselling*"),
    COUNTIFS('QA Log'!D:D,A54,'QA Log'!M:M,"Vignette",'QA Log'!Z:Z,"Rejected",'QA Log'!L:L,"*Vignette [9] Birth Spacing: Change FP method to Injectable*"),
    COUNTIFS('QA Log'!D:D,A54,'QA Log'!M:M,"Vignette",'QA Log'!Z:Z,"Rejected",'QA Log'!L:L,"*Vignette [10] Post Partum Haemorrhage - Atonic Uterus at Health Centre*")
  )
)</f>
        <v/>
      </c>
      <c r="BN54" s="107" t="str">
        <f t="shared" si="11"/>
        <v/>
      </c>
      <c r="BO54" s="103" t="str">
        <f t="shared" si="12"/>
        <v/>
      </c>
      <c r="BP54" s="102" t="str">
        <f>IF(A54="","",SUM(
COUNTIFS('QA Log'!D:D,A54,'QA Log'!M:M,"Vignette",'QA Log'!L:L,"*Exit Interview 1*"),
COUNTIFS('QA Log'!D:D,A54,'QA Log'!M:M,"Vignette",'QA Log'!L:L,"*Exit Interview 2*"),
)
)</f>
        <v/>
      </c>
      <c r="BQ54" s="102" t="str">
        <f>IF(
  A54="","",
  SUM(
    COUNTIFS('QA Log'!D:D,A54,'QA Log'!M:M,"Vignette",'QA Log'!Z:Z,"Approved",'QA Log'!L:L,"*Exit Interview 1*"),
    COUNTIFS('QA Log'!D:D,A54,'QA Log'!M:M,"Vignette",'QA Log'!Z:Z,"Approved",'QA Log'!L:L,"*Exit Interview 2*")
  )
)</f>
        <v/>
      </c>
      <c r="BR54" s="105" t="str">
        <f>IF(A54&lt;&gt;"",COUNTIFS('QA Log'!D:D,A54,'QA Log'!M:M,"Vignette",'QA Log'!L:L,"Exit Interview 1",'QA Log'!Z:Z,"Approved"),"")</f>
        <v/>
      </c>
      <c r="BS54" s="105" t="str">
        <f>IF(A54&lt;&gt;"",COUNTIFS('QA Log'!D:D,A54,'QA Log'!M:M,"Vignette",'QA Log'!L:L,"Exit Interview 2",'QA Log'!Z:Z,"Approved"),"")</f>
        <v/>
      </c>
      <c r="BT54" s="102" t="str">
        <f>IF(
  A54="","",
  SUM(
    COUNTIFS('QA Log'!D:D,A54,'QA Log'!M:M,"Vignette",'QA Log'!Z:Z,"Rejected",'QA Log'!L:L,"*Exit Interview 1*"),
    COUNTIFS('QA Log'!D:D,A54,'QA Log'!M:M,"Vignette",'QA Log'!Z:Z,"Rejected",'QA Log'!L:L,"*Exit Interview 2*")
  )
)</f>
        <v/>
      </c>
      <c r="BU54" s="107" t="str">
        <f t="shared" si="13"/>
        <v/>
      </c>
      <c r="BV54" s="102" t="str">
        <f t="shared" si="14"/>
        <v/>
      </c>
      <c r="BW54" s="102" t="str">
        <f t="shared" si="15"/>
        <v/>
      </c>
      <c r="BX54" s="102" t="str">
        <f t="shared" si="16"/>
        <v/>
      </c>
      <c r="BY54" s="102" t="str">
        <f t="shared" si="17"/>
        <v/>
      </c>
      <c r="BZ54" s="107" t="str">
        <f t="shared" si="18"/>
        <v/>
      </c>
      <c r="CA54" s="108" t="str">
        <f t="shared" si="19"/>
        <v/>
      </c>
      <c r="CB54" s="108" t="str">
        <f t="shared" si="20"/>
        <v/>
      </c>
      <c r="CC54" s="109" t="str">
        <f t="shared" si="21"/>
        <v/>
      </c>
      <c r="CD54" s="108" t="str">
        <f t="shared" si="22"/>
        <v/>
      </c>
      <c r="CE54" s="108" t="str">
        <f t="shared" si="23"/>
        <v/>
      </c>
      <c r="CF54" s="109" t="str">
        <f t="shared" si="24"/>
        <v/>
      </c>
      <c r="CG54" s="110" t="str">
        <f t="shared" si="25"/>
        <v/>
      </c>
      <c r="CH54" s="111"/>
    </row>
    <row r="55" spans="1:86" ht="12.75">
      <c r="A55" s="101"/>
      <c r="B55" s="102" t="e">
        <f t="array" aca="1" ref="B55" ca="1">_xludf.XLOOKUP(A55,'QA Log'!D:D,'QA Log'!E:E,"")</f>
        <v>#NAME?</v>
      </c>
      <c r="C55" s="102" t="e">
        <f t="array" aca="1" ref="C55" ca="1">_xludf.XLOOKUP(A55,'QA Log'!D:D,'QA Log'!F:F,"")</f>
        <v>#NAME?</v>
      </c>
      <c r="D55" s="102" t="e">
        <f t="array" aca="1" ref="D55" ca="1">_xludf.XLOOKUP(A55,'QA Log'!D:D,'QA Log'!H:H,"")</f>
        <v>#NAME?</v>
      </c>
      <c r="E55" s="102" t="e">
        <f t="array" aca="1" ref="E55" ca="1">_xludf.XLOOKUP(A55,'QA Log'!D:D,'QA Log'!G:G,"")</f>
        <v>#NAME?</v>
      </c>
      <c r="F55" s="103"/>
      <c r="G55" s="104"/>
      <c r="H55" s="104"/>
      <c r="I55" s="103" t="str">
        <f t="shared" si="0"/>
        <v/>
      </c>
      <c r="J55" s="102" t="str">
        <f>IF(A55="","",SUM(
COUNTIFS('QA Log'!D:D,A55,'QA Log'!M:M,"QQC",'QA Log'!L:L,"*1. General Management*"),
COUNTIFS('QA Log'!D:D,A55,'QA Log'!M:M,"QQC",'QA Log'!L:L,"*3. Curative Consultation (OPD)*"),
COUNTIFS('QA Log'!D:D,A55,'QA Log'!M:M,"QQC",'QA Log'!L:L,"*5. Laboratory*"),
COUNTIFS('QA Log'!D:D,A55,'QA Log'!M:M,"QQC",'QA Log'!L:L,"*6. Essential Medicine Management*"),
COUNTIFS('QA Log'!D:D,A55,'QA Log'!M:M,"QQC",'QA Log'!L:L,"*7. Tracer Medicine*"),
COUNTIFS('QA Log'!D:D,A55,'QA Log'!M:M,"QQC",'QA Log'!L:L,"*11. Additional Questions*")))</f>
        <v/>
      </c>
      <c r="K55" s="102" t="str">
        <f>IF(A55="","",SUM(
COUNTIFS('QA Log'!D:D,A55,'QA Log'!M:M,"QQC",'QA Log'!Z:Z,"Approved",'QA Log'!L:L,"*1. General Management*"),
COUNTIFS('QA Log'!D:D,A55,'QA Log'!M:M,"QQC",'QA Log'!Z:Z,"Approved",'QA Log'!L:L,"*3. Curative Consultation (OPD)*"),
COUNTIFS('QA Log'!D:D,A55,'QA Log'!M:M,"QQC",'QA Log'!Z:Z,"Approved",'QA Log'!L:L,"*5. Laboratory*"),
COUNTIFS('QA Log'!D:D,A55,'QA Log'!M:M,"QQC",'QA Log'!Z:Z,"Approved",'QA Log'!L:L,"*6. Essential Medicine Management*"),
COUNTIFS('QA Log'!D:D,A55,'QA Log'!M:M,"QQC",'QA Log'!Z:Z,"Approved",'QA Log'!L:L,"*7. Tracer Medicine*"),
COUNTIFS('QA Log'!D:D,A55,'QA Log'!M:M,"QQC",'QA Log'!Z:Z,"Approved",'QA Log'!L:L,"*11. Additional Questions*")))</f>
        <v/>
      </c>
      <c r="L55" s="105" t="str">
        <f>IF(A55&lt;&gt;"",COUNTIFS('QA Log'!D:D,A55,'QA Log'!M:M,"QQC",'QA Log'!L:L,"1. General Management",'QA Log'!Z:Z,"Approved"),"")</f>
        <v/>
      </c>
      <c r="M55" s="105" t="str">
        <f>IF(A55&lt;&gt;"",COUNTIFS('QA Log'!D:D,A55,'QA Log'!M:M,"QQC",'QA Log'!L:L,"3. Curative Consultation (OPD)",'QA Log'!Z:Z,"Approved"),"")</f>
        <v/>
      </c>
      <c r="N55" s="105" t="str">
        <f>IF(A55&lt;&gt;"",COUNTIFS('QA Log'!D:D,A55,'QA Log'!M:M,"QQC",'QA Log'!L:L,"5. Laboratory",'QA Log'!Z:Z,"Approved"),"")</f>
        <v/>
      </c>
      <c r="O55" s="105" t="str">
        <f>IF(A55&lt;&gt;"",COUNTIFS('QA Log'!D:D,A55,'QA Log'!M:M,"QQC",'QA Log'!L:L,"6. Essential Medicine Management",'QA Log'!Z:Z,"Approved"),"")</f>
        <v/>
      </c>
      <c r="P55" s="105" t="str">
        <f>IF(A55&lt;&gt;"",COUNTIFS('QA Log'!D:D,A55,'QA Log'!M:M,"QQC",'QA Log'!L:L,"7. Tracer Medicine",'QA Log'!Z:Z,"Approved"),"")</f>
        <v/>
      </c>
      <c r="Q55" s="105" t="str">
        <f>IF(A55&lt;&gt;"",COUNTIFS('QA Log'!D:D,A55,'QA Log'!M:M,"QQC",'QA Log'!L:L,"11. Additional Questions",'QA Log'!Z:Z,"Approved"),"")</f>
        <v/>
      </c>
      <c r="R55" s="102" t="str">
        <f>IF(A55="","",SUM(
COUNTIFS('QA Log'!D:D,A55,'QA Log'!M:M,"QQC",'QA Log'!Z:Z,"Rejected",'QA Log'!L:L,"*8. Maternity*"),
COUNTIFS('QA Log'!D:D,A55,'QA Log'!M:M,"QQC",'QA Log'!Z:Z,"Rejected",'QA Log'!L:L,"*EPI*"),
COUNTIFS('QA Log'!D:D,A55,'QA Log'!M:M,"QQC",'QA Log'!Z:Z,"Rejected",'QA Log'!L:L,"*10. Antenatal Care (ANC)*"),
COUNTIFS('QA Log'!D:D,A55,'QA Log'!M:M,"QQC",'QA Log'!Z:Z,"Rejected",'QA Log'!L:L,"*2. Hygiene and Sterilization*"),
COUNTIFS('QA Log'!D:D,A55,'QA Log'!M:M,"QQC",'QA Log'!Z:Z,"Rejected",'QA Log'!L:L,"*Family Planning*")))</f>
        <v/>
      </c>
      <c r="S55" s="106" t="str">
        <f t="shared" si="1"/>
        <v/>
      </c>
      <c r="T55" s="102" t="str">
        <f t="shared" si="2"/>
        <v/>
      </c>
      <c r="U55" s="102" t="str">
        <f>IF(A55="","",
SUM(
COUNTIFS('QA Log'!D:D,A55,'QA Log'!M:M,"QQC",'QA Log'!L:L,"*8. Maternity*"),
COUNTIFS('QA Log'!D:D,A55,'QA Log'!M:M,"QQC",'QA Log'!L:L,"*9. EPI and Pre-school Consultation*"),
COUNTIFS('QA Log'!D:D,A55,'QA Log'!M:M,"QQC",'QA Log'!L:L,"*10. Antenatal Care (ANC)*"),
COUNTIFS('QA Log'!D:D,A55,'QA Log'!M:M,"QQC",'QA Log'!L:L,"*2. Hygiene and Sterilization*"),
COUNTIFS('QA Log'!D:D,A55,'QA Log'!M:M,"QQC",'QA Log'!L:L,"*4. Family Planning*")
))</f>
        <v/>
      </c>
      <c r="V55" s="102" t="str">
        <f>IF(A55="","",
SUM(
COUNTIFS('QA Log'!D:D,A55,'QA Log'!M:M,"QQC",'QA Log'!Z:Z,"Approved",'QA Log'!L:L,"*8. Maternity*"),
COUNTIFS('QA Log'!D:D,A55,'QA Log'!M:M,"QQC",'QA Log'!Z:Z,"Approved",'QA Log'!L:L,"*9. EPI and Pre-school Consultation*"),
COUNTIFS('QA Log'!D:D,A55,'QA Log'!M:M,"QQC",'QA Log'!Z:Z,"Approved",'QA Log'!L:L,"*10. Antenatal Care (ANC)*"),
COUNTIFS('QA Log'!D:D,A55,'QA Log'!M:M,"QQC",'QA Log'!Z:Z,"Approved",'QA Log'!L:L,"*2. Hygiene and Sterilization*"),
COUNTIFS('QA Log'!D:D,A55,'QA Log'!M:M,"QQC",'QA Log'!Z:Z,"Approved",'QA Log'!L:L,"*4. Family Planning*")
))</f>
        <v/>
      </c>
      <c r="W55" s="105" t="str">
        <f>IF(A55&lt;&gt;"",COUNTIFS('QA Log'!D:D,A55,'QA Log'!M:M,"QQC",'QA Log'!L:L,"8. Maternity",'QA Log'!Z:Z,"Approved"),"")</f>
        <v/>
      </c>
      <c r="X55" s="105" t="str">
        <f>IF(A55&lt;&gt;"",COUNTIFS('QA Log'!D:D,A55,'QA Log'!M:M,"QQC",'QA Log'!L:L,"9. EPI and Pre-school Consultation",'QA Log'!Z:Z,"Approved"),"")</f>
        <v/>
      </c>
      <c r="Y55" s="105" t="str">
        <f>IF(A55&lt;&gt;"",COUNTIFS('QA Log'!D:D,A55,'QA Log'!M:M,"QQC",'QA Log'!L:L,"10. Antenatal Care (ANC)",'QA Log'!Z:Z,"Approved"),"")</f>
        <v/>
      </c>
      <c r="Z55" s="105" t="str">
        <f>IF(A55&lt;&gt;"",COUNTIFS('QA Log'!D:D,A55,'QA Log'!M:M,"QQC",'QA Log'!L:L,"2. Hygiene and Sterilization",'QA Log'!Z:Z,"Approved"),"")</f>
        <v/>
      </c>
      <c r="AA55" s="105" t="str">
        <f>IF(A55&lt;&gt;"",COUNTIFS('QA Log'!D:D,A55,'QA Log'!M:M,"QQC",'QA Log'!L:L,"4. Family Planning",'QA Log'!Z:Z,"Approved"),"")</f>
        <v/>
      </c>
      <c r="AB55" s="102" t="str">
        <f>IF(A55="","",
SUM(
COUNTIFS('QA Log'!D:D,A55,'QA Log'!M:M,"QQC",'QA Log'!Z:Z,"Rejected",'QA Log'!L:L,"*8. Maternity*"),
COUNTIFS('QA Log'!D:D,A55,'QA Log'!M:M,"QQC",'QA Log'!Z:Z,"Rejected",'QA Log'!L:L,"*9. EPI and Pre-school Consultation*"),
COUNTIFS('QA Log'!D:D,A55,'QA Log'!M:M,"QQC",'QA Log'!Z:Z,"Rejected",'QA Log'!L:L,"*10. Antenatal Care (ANC)*"),
COUNTIFS('QA Log'!D:D,A55,'QA Log'!M:M,"QQC",'QA Log'!Z:Z,"Rejected",'QA Log'!L:L,"*2. Hygiene and Sterilization*"),
COUNTIFS('QA Log'!D:D,A55,'QA Log'!M:M,"QQC",'QA Log'!Z:Z,"Rejected",'QA Log'!L:L,"*4. Family Planning*")
))</f>
        <v/>
      </c>
      <c r="AC55" s="102" t="str">
        <f t="shared" si="3"/>
        <v/>
      </c>
      <c r="AD55" s="103" t="str">
        <f t="shared" si="4"/>
        <v/>
      </c>
      <c r="AE55" s="102" t="str">
        <f>IF(A55="","",
SUM(
COUNTIFS('QA Log'!D:D,A55,'QA Log'!M:M,"Data Verification",'QA Log'!L:L,"*Medicine (section 2)*"),
COUNTIFS('QA Log'!D:D,A55,'QA Log'!M:M,"Data Verification",'QA Log'!L:L,"*Lab Testing Availability*"),
COUNTIFS('QA Log'!D:D,A55,'QA Log'!M:M,"Data Verification",'QA Log'!L:L,"*Other than P4P (section 6)*"),
COUNTIFS('QA Log'!D:D,A55,'QA Log'!M:M,"Data Verification",'QA Log'!L:L,"*Hospital Governance*")
))</f>
        <v/>
      </c>
      <c r="AF55" s="102" t="str">
        <f>IF(A55="","",
SUM(
COUNTIFS('QA Log'!D:D,A55,'QA Log'!M:M,"Data Verification",'QA Log'!Z:Z,"Approved",'QA Log'!L:L,"*Medicine (section 2)*"),
COUNTIFS('QA Log'!D:D,A55,'QA Log'!M:M,"Data Verification",'QA Log'!Z:Z,"Approved",'QA Log'!L:L,"*Lab Testing Availability*"),
COUNTIFS('QA Log'!D:D,A55,'QA Log'!M:M,"Data Verification",'QA Log'!Z:Z,"Approved",'QA Log'!L:L,"*Other than P4P (section 6)*"),
COUNTIFS('QA Log'!D:D,A55,'QA Log'!M:M,"Data Verification",'QA Log'!Z:Z,"Approved",'QA Log'!L:L,"*Hospital Governance*")
))</f>
        <v/>
      </c>
      <c r="AG55" s="105" t="str">
        <f>IF(A55&lt;&gt;"",COUNTIFS('QA Log'!D:D,A55,'QA Log'!M:M,"Data Verification",'QA Log'!L:L,"Medicine (section 2)",'QA Log'!Z:Z,"Approved"),"")</f>
        <v/>
      </c>
      <c r="AH55" s="105" t="str">
        <f>IF(A55&lt;&gt;"",COUNTIFS('QA Log'!D:D,A55,'QA Log'!M:M,"Data Verification",'QA Log'!L:L,"Lab Testing Availability",'QA Log'!Z:Z,"Approved"),"")</f>
        <v/>
      </c>
      <c r="AI55" s="105" t="str">
        <f>IF(A55&lt;&gt;"",COUNTIFS('QA Log'!D:D,A55,'QA Log'!M:M,"Data Verification",'QA Log'!L:L,"Other than P4P (section 6)",'QA Log'!Z:Z,"Approved"),"")</f>
        <v/>
      </c>
      <c r="AJ55" s="105" t="str">
        <f>IF(A55&lt;&gt;"",COUNTIFS('QA Log'!D:D,A55,'QA Log'!M:M,"Data Verification",'QA Log'!L:L,"Hospital Governance",'QA Log'!Z:Z,"Approved"),"")</f>
        <v/>
      </c>
      <c r="AK55" s="102" t="str">
        <f>IF(A55="","",
SUM(
COUNTIFS('QA Log'!D:D,A55,'QA Log'!M:M,"Data Verification",'QA Log'!Z:Z,"Rejected",'QA Log'!L:L,"*Medicine (section 2)*"),
COUNTIFS('QA Log'!D:D,A55,'QA Log'!M:M,"Data Verification",'QA Log'!Z:Z,"Rejected",'QA Log'!L:L,"*Lab Testing Availability*"),
COUNTIFS('QA Log'!D:D,A55,'QA Log'!M:M,"Data Verification",'QA Log'!Z:Z,"Rejected",'QA Log'!L:L,"*Other than P4P (section 6)*"),
COUNTIFS('QA Log'!D:D,A55,'QA Log'!M:M,"Data Verification",'QA Log'!Z:Z,"Rejected",'QA Log'!L:L,"*Hospital Governance*")
))</f>
        <v/>
      </c>
      <c r="AL55" s="106" t="str">
        <f t="shared" si="5"/>
        <v/>
      </c>
      <c r="AM55" s="102" t="str">
        <f t="shared" si="6"/>
        <v/>
      </c>
      <c r="AN55" s="102" t="str">
        <f>IF(A55="","",
SUM(
COUNTIFS('QA Log'!D:D,A55,'QA Log'!M:M,"Data Verification",'QA Log'!L:L,"*Personnel (section 1)*"),
COUNTIFS('QA Log'!D:D,A55,'QA Log'!M:M,"Data Verification",'QA Log'!L:L,"*Consumable (section 3)*"),
COUNTIFS('QA Log'!D:D,A55,'QA Log'!M:M,"Data Verification",'QA Log'!L:L,"*Equipments (section 4)*")
))</f>
        <v/>
      </c>
      <c r="AO55" s="102" t="str">
        <f>IF(A55="","",
SUM(
COUNTIFS('QA Log'!D:D,A55,'QA Log'!M:M,"Data Verification",'QA Log'!Z:Z,"Approved",'QA Log'!L:L,"*Personnel (section 1)*"),
COUNTIFS('QA Log'!D:D,A55,'QA Log'!M:M,"Data Verification",'QA Log'!Z:Z,"Approved",'QA Log'!L:L,"*Consumable (section 3)*"),
COUNTIFS('QA Log'!D:D,A55,'QA Log'!M:M,"Data Verification",'QA Log'!Z:Z,"Approved",'QA Log'!L:L,"*Equipments (section 4)*")
))</f>
        <v/>
      </c>
      <c r="AP55" s="105" t="str">
        <f>IF(A55&lt;&gt;"",COUNTIFS('QA Log'!D:D,A55,'QA Log'!M:M,"Data Verification",'QA Log'!L:L,"Personnel (section 1)",'QA Log'!Z:Z,"Approved"),"")</f>
        <v/>
      </c>
      <c r="AQ55" s="105" t="str">
        <f>IF(A55&lt;&gt;"",COUNTIFS('QA Log'!D:D,A55,'QA Log'!M:M,"Data Verification",'QA Log'!L:L,"Consumable (section 3)",'QA Log'!Z:Z,"Approved"),"")</f>
        <v/>
      </c>
      <c r="AR55" s="105" t="str">
        <f>IF(A55&lt;&gt;"",COUNTIFS('QA Log'!D:D,A55,'QA Log'!M:M,"Data Verification",'QA Log'!L:L,"Equipments (section 4)",'QA Log'!Z:Z,"Approved"),"")</f>
        <v/>
      </c>
      <c r="AS55" s="102" t="str">
        <f>IF(A55="","",
SUM(
COUNTIFS('QA Log'!D:D,A55,'QA Log'!M:M,"Data Verification",'QA Log'!Z:Z,"Rejected",'QA Log'!L:L,"*Personnel (section 1)*"),
COUNTIFS('QA Log'!D:D,A55,'QA Log'!M:M,"Data Verification",'QA Log'!Z:Z,"Rejected",'QA Log'!L:L,"*Consumable (section 3)*"),
COUNTIFS('QA Log'!D:D,A55,'QA Log'!M:M,"Data Verification",'QA Log'!Z:Z,"Rejected",'QA Log'!L:L,"*Equipments (section 4)*")
))</f>
        <v/>
      </c>
      <c r="AT55" s="102" t="str">
        <f t="shared" si="7"/>
        <v/>
      </c>
      <c r="AU55" s="103" t="str">
        <f t="shared" si="8"/>
        <v/>
      </c>
      <c r="AV55" s="102" t="str">
        <f>IF(A55="","",SUM(
COUNTIFS('QA Log'!D:D,A55,'QA Log'!M:M,"Vignette",'QA Log'!L:L,"*Vignette [1] Respiratory Infection: Pneumonia*"),
COUNTIFS('QA Log'!D:D,A55,'QA Log'!M:M,"Vignette",'QA Log'!L:L,"*Vignette [2]: Diarrhea with Cat B dehydration*"),
COUNTIFS('QA Log'!D:D,A55,'QA Log'!M:M,"Vignette",'QA Log'!L:L,"*Vignette [3] Growth Monitoring and Promotion*"),
COUNTIFS('QA Log'!D:D,A55,'QA Log'!M:M,"Vignette",'QA Log'!L:L,"*Vignette [4]: The management of presumptive TB patient*")
)
)</f>
        <v/>
      </c>
      <c r="AW55" s="102" t="str">
        <f>IF(
  A55="","",
  SUM(
    COUNTIFS('QA Log'!D:D,A55,'QA Log'!M:M,"Vignette",'QA Log'!Z:Z,"Approved",'QA Log'!L:L,"*Vignette [1] Respiratory Infection: Pneumonia*"),
    COUNTIFS('QA Log'!D:D,A55,'QA Log'!M:M,"Vignette",'QA Log'!Z:Z,"Approved",'QA Log'!L:L,"*Vignette [2]: Diarrhea with Cat B dehydration*"),
    COUNTIFS('QA Log'!D:D,A55,'QA Log'!M:M,"Vignette",'QA Log'!Z:Z,"Approved",'QA Log'!L:L,"*Vignette [3] Growth Monitoring and Promotion*"),
    COUNTIFS('QA Log'!D:D,A55,'QA Log'!M:M,"Vignette",'QA Log'!Z:Z,"Approved",'QA Log'!L:L,"*Vignette [4]: The management of presumptive TB patient*")
  )
)</f>
        <v/>
      </c>
      <c r="AX55" s="105" t="str">
        <f>IF(A55&lt;&gt;"",COUNTIFS('QA Log'!D:D,A55,'QA Log'!M:M,"Vignette",'QA Log'!L:L,"Vignette [1] Respiratory Infection: Pneumonia",'QA Log'!Z:Z,"Approved"),"")</f>
        <v/>
      </c>
      <c r="AY55" s="105" t="str">
        <f>IF(A55&lt;&gt;"",COUNTIFS('QA Log'!D:D,A55,'QA Log'!M:M,"Vignette",'QA Log'!L:L,"Vignette [2]: Diarrhea with Cat B dehydration",'QA Log'!Z:Z,"Approved"),"")</f>
        <v/>
      </c>
      <c r="AZ55" s="105" t="str">
        <f>IF(A55&lt;&gt;"",COUNTIFS('QA Log'!D:D,A55,'QA Log'!M:M,"Vignette",'QA Log'!L:L,"Vignette [3] Growth Monitoring and Promotion",'QA Log'!Z:Z,"Approved"),"")</f>
        <v/>
      </c>
      <c r="BA55" s="105" t="str">
        <f>IF(A55&lt;&gt;"",COUNTIFS('QA Log'!D:D,A55,'QA Log'!M:M,"Vignette",'QA Log'!L:L,"Vignette [4]: The management of presumptive TB patient",'QA Log'!Z:Z,"Approved"),"")</f>
        <v/>
      </c>
      <c r="BB55" s="102" t="str">
        <f>IF(A55="","",
  SUM(
    COUNTIFS('QA Log'!D:D,A55,'QA Log'!M:M,"Vignette",'QA Log'!Z:Z,"Rejected",'QA Log'!L:L,"*Vignette [1] Respiratory Infection: Pneumonia*"),
    COUNTIFS('QA Log'!D:D,A55,'QA Log'!M:M,"Vignette",'QA Log'!Z:Z,"Rejected",'QA Log'!L:L,"*Vignette [2]: Diarrhea with Cat B dehydration*"),
    COUNTIFS('QA Log'!D:D,A55,'QA Log'!M:M,"Vignette",'QA Log'!Z:Z,"Rejected",'QA Log'!L:L,"*Vignette [3] Growth Monitoring and Promotion*"),
    COUNTIFS('QA Log'!D:D,A55,'QA Log'!M:M,"Vignette",'QA Log'!Z:Z,"Rejected",'QA Log'!L:L,"*Vignette [4]: The management of presumptive TB patient*")
  )
)</f>
        <v/>
      </c>
      <c r="BC55" s="107" t="str">
        <f t="shared" si="9"/>
        <v/>
      </c>
      <c r="BD55" s="103" t="str">
        <f t="shared" si="10"/>
        <v/>
      </c>
      <c r="BE55" s="102" t="str">
        <f>IF(A55="","",SUM(
COUNTIFS('QA Log'!D:D,A55,'QA Log'!M:M,"Vignette",'QA Log'!L:L,"*Vignette [5] Labor*"),
COUNTIFS('QA Log'!D:D,A55,'QA Log'!M:M,"Vignette",'QA Log'!L:L,"*Vignette [6] PNC pre Discharge*"),
COUNTIFS('QA Log'!D:D,A55,'QA Log'!M:M,"Vignette",'QA Log'!L:L,"*Vignette [7] First ANC Visit*"),
COUNTIFS('QA Log'!D:D,A55,'QA Log'!M:M,"Vignette",'QA Log'!L:L,"*Vignette [8] Birth Spacing/ Family Planning :  FP Counselling*"),
COUNTIFS('QA Log'!D:D,A55,'QA Log'!M:M,"Vignette",'QA Log'!L:L,"*Vignette [9] Birth Spacing: Change FP method to Injectable*"),
COUNTIFS('QA Log'!D:D,A55,'QA Log'!M:M,"Vignette",'QA Log'!L:L,"*Vignette [10] Post Partum Haemorrhage - Atonic Uterus at Health Centre*"),
)
)</f>
        <v/>
      </c>
      <c r="BF55" s="102" t="str">
        <f>IF(A55="","",
  SUM(
    COUNTIFS('QA Log'!D:D,A55,'QA Log'!M:M,"Vignette",'QA Log'!Z:Z,"Approved",'QA Log'!L:L,"*Vignette [5] Labor*"),
    COUNTIFS('QA Log'!D:D,A55,'QA Log'!M:M,"Vignette",'QA Log'!Z:Z,"Approved",'QA Log'!L:L,"*Vignette [6] PNC pre Discharge*"),
    COUNTIFS('QA Log'!D:D,A55,'QA Log'!M:M,"Vignette",'QA Log'!Z:Z,"Approved",'QA Log'!L:L,"*Vignette [7] First ANC Visit*"),
    COUNTIFS('QA Log'!D:D,A55,'QA Log'!M:M,"Vignette",'QA Log'!Z:Z,"Approved",'QA Log'!L:L,"*Vignette [8] Birth Spacing/ Family Planning :  FP Counselling*"),
    COUNTIFS('QA Log'!D:D,A55,'QA Log'!M:M,"Vignette",'QA Log'!Z:Z,"Approved",'QA Log'!L:L,"*Vignette [9] Birth Spacing: Change FP method to Injectable*"),
    COUNTIFS('QA Log'!D:D,A55,'QA Log'!M:M,"Vignette",'QA Log'!Z:Z,"Approved",'QA Log'!L:L,"*Vignette [10] Post Partum Haemorrhage - Atonic Uterus at Health Centre*")
  )
)</f>
        <v/>
      </c>
      <c r="BG55" s="105" t="str">
        <f>IF(A55&lt;&gt;"",COUNTIFS('QA Log'!D:D,A55,'QA Log'!M:M,"Vignette",'QA Log'!L:L,"Vignette [5] Labor",'QA Log'!Z:Z,"Approved"),"")</f>
        <v/>
      </c>
      <c r="BH55" s="105" t="str">
        <f>IF(A55&lt;&gt;"",COUNTIFS('QA Log'!D:D,A55,'QA Log'!M:M,"Vignette",'QA Log'!L:L,"Vignette [6] PNC pre Discharge",'QA Log'!Z:Z,"Approved"),"")</f>
        <v/>
      </c>
      <c r="BI55" s="105" t="str">
        <f>IF(A55&lt;&gt;"",COUNTIFS('QA Log'!D:D,A55,'QA Log'!M:M,"Vignette",'QA Log'!L:L,"Vignette [7] First ANC Visit",'QA Log'!Z:Z,"Approved"),"")</f>
        <v/>
      </c>
      <c r="BJ55" s="105" t="str">
        <f>IF(A55&lt;&gt;"",COUNTIFS('QA Log'!D:D,A55,'QA Log'!M:M,"Vignette",'QA Log'!L:L,"Vignette [8] Birth Spacing/ Family Planning :  FP Counselling",'QA Log'!Z:Z,"Approved"),"")</f>
        <v/>
      </c>
      <c r="BK55" s="105" t="str">
        <f>IF(A55&lt;&gt;"",COUNTIFS('QA Log'!D:D,A55,'QA Log'!M:M,"Vignette",'QA Log'!L:L,"Vignette [9] Birth Spacing: Change FP method to Injectable",'QA Log'!Z:Z,"Approved"),"")</f>
        <v/>
      </c>
      <c r="BL55" s="105" t="str">
        <f>IF(A55&lt;&gt;"",COUNTIFS('QA Log'!D:D,A55,'QA Log'!M:M,"Vignette",'QA Log'!L:L,"Vignette [10] Post Partum Haemorrhage - Atonic Uterus at Health Centre",'QA Log'!Z:Z,"Approved"),"")</f>
        <v/>
      </c>
      <c r="BM55" s="102" t="str">
        <f>IF(A55="","",SUM(
    COUNTIFS('QA Log'!D:D,A55,'QA Log'!M:M,"Vignette",'QA Log'!Z:Z,"Rejected",'QA Log'!L:L,"*Vignette [5] Labor*"),
    COUNTIFS('QA Log'!D:D,A55,'QA Log'!M:M,"Vignette",'QA Log'!Z:Z,"Rejected",'QA Log'!L:L,"*Vignette [6] PNC pre Discharge*"),
    COUNTIFS('QA Log'!D:D,A55,'QA Log'!M:M,"Vignette",'QA Log'!Z:Z,"Rejected",'QA Log'!L:L,"*Vignette [7] First ANC Visit*"),
    COUNTIFS('QA Log'!D:D,A55,'QA Log'!M:M,"Vignette",'QA Log'!Z:Z,"Rejected",'QA Log'!L:L,"*Vignette [8] Birth Spacing/ Family Planning :  FP Counselling*"),
    COUNTIFS('QA Log'!D:D,A55,'QA Log'!M:M,"Vignette",'QA Log'!Z:Z,"Rejected",'QA Log'!L:L,"*Vignette [9] Birth Spacing: Change FP method to Injectable*"),
    COUNTIFS('QA Log'!D:D,A55,'QA Log'!M:M,"Vignette",'QA Log'!Z:Z,"Rejected",'QA Log'!L:L,"*Vignette [10] Post Partum Haemorrhage - Atonic Uterus at Health Centre*")
  )
)</f>
        <v/>
      </c>
      <c r="BN55" s="107" t="str">
        <f t="shared" si="11"/>
        <v/>
      </c>
      <c r="BO55" s="103" t="str">
        <f t="shared" si="12"/>
        <v/>
      </c>
      <c r="BP55" s="102" t="str">
        <f>IF(A55="","",SUM(
COUNTIFS('QA Log'!D:D,A55,'QA Log'!M:M,"Vignette",'QA Log'!L:L,"*Exit Interview 1*"),
COUNTIFS('QA Log'!D:D,A55,'QA Log'!M:M,"Vignette",'QA Log'!L:L,"*Exit Interview 2*"),
)
)</f>
        <v/>
      </c>
      <c r="BQ55" s="102" t="str">
        <f>IF(
  A55="","",
  SUM(
    COUNTIFS('QA Log'!D:D,A55,'QA Log'!M:M,"Vignette",'QA Log'!Z:Z,"Approved",'QA Log'!L:L,"*Exit Interview 1*"),
    COUNTIFS('QA Log'!D:D,A55,'QA Log'!M:M,"Vignette",'QA Log'!Z:Z,"Approved",'QA Log'!L:L,"*Exit Interview 2*")
  )
)</f>
        <v/>
      </c>
      <c r="BR55" s="105" t="str">
        <f>IF(A55&lt;&gt;"",COUNTIFS('QA Log'!D:D,A55,'QA Log'!M:M,"Vignette",'QA Log'!L:L,"Exit Interview 1",'QA Log'!Z:Z,"Approved"),"")</f>
        <v/>
      </c>
      <c r="BS55" s="105" t="str">
        <f>IF(A55&lt;&gt;"",COUNTIFS('QA Log'!D:D,A55,'QA Log'!M:M,"Vignette",'QA Log'!L:L,"Exit Interview 2",'QA Log'!Z:Z,"Approved"),"")</f>
        <v/>
      </c>
      <c r="BT55" s="102" t="str">
        <f>IF(
  A55="","",
  SUM(
    COUNTIFS('QA Log'!D:D,A55,'QA Log'!M:M,"Vignette",'QA Log'!Z:Z,"Rejected",'QA Log'!L:L,"*Exit Interview 1*"),
    COUNTIFS('QA Log'!D:D,A55,'QA Log'!M:M,"Vignette",'QA Log'!Z:Z,"Rejected",'QA Log'!L:L,"*Exit Interview 2*")
  )
)</f>
        <v/>
      </c>
      <c r="BU55" s="107" t="str">
        <f t="shared" si="13"/>
        <v/>
      </c>
      <c r="BV55" s="102" t="str">
        <f t="shared" si="14"/>
        <v/>
      </c>
      <c r="BW55" s="102" t="str">
        <f t="shared" si="15"/>
        <v/>
      </c>
      <c r="BX55" s="102" t="str">
        <f t="shared" si="16"/>
        <v/>
      </c>
      <c r="BY55" s="102" t="str">
        <f t="shared" si="17"/>
        <v/>
      </c>
      <c r="BZ55" s="107" t="str">
        <f t="shared" si="18"/>
        <v/>
      </c>
      <c r="CA55" s="108" t="str">
        <f t="shared" si="19"/>
        <v/>
      </c>
      <c r="CB55" s="108" t="str">
        <f t="shared" si="20"/>
        <v/>
      </c>
      <c r="CC55" s="109" t="str">
        <f t="shared" si="21"/>
        <v/>
      </c>
      <c r="CD55" s="108" t="str">
        <f t="shared" si="22"/>
        <v/>
      </c>
      <c r="CE55" s="108" t="str">
        <f t="shared" si="23"/>
        <v/>
      </c>
      <c r="CF55" s="109" t="str">
        <f t="shared" si="24"/>
        <v/>
      </c>
      <c r="CG55" s="110" t="str">
        <f t="shared" si="25"/>
        <v/>
      </c>
      <c r="CH55" s="111"/>
    </row>
    <row r="56" spans="1:86" ht="12.75">
      <c r="A56" s="101"/>
      <c r="B56" s="102" t="e">
        <f t="array" aca="1" ref="B56" ca="1">_xludf.XLOOKUP(A56,'QA Log'!D:D,'QA Log'!E:E,"")</f>
        <v>#NAME?</v>
      </c>
      <c r="C56" s="102" t="e">
        <f t="array" aca="1" ref="C56" ca="1">_xludf.XLOOKUP(A56,'QA Log'!D:D,'QA Log'!F:F,"")</f>
        <v>#NAME?</v>
      </c>
      <c r="D56" s="102" t="e">
        <f t="array" aca="1" ref="D56" ca="1">_xludf.XLOOKUP(A56,'QA Log'!D:D,'QA Log'!H:H,"")</f>
        <v>#NAME?</v>
      </c>
      <c r="E56" s="102" t="e">
        <f t="array" aca="1" ref="E56" ca="1">_xludf.XLOOKUP(A56,'QA Log'!D:D,'QA Log'!G:G,"")</f>
        <v>#NAME?</v>
      </c>
      <c r="F56" s="103"/>
      <c r="G56" s="104"/>
      <c r="H56" s="104"/>
      <c r="I56" s="103" t="str">
        <f t="shared" si="0"/>
        <v/>
      </c>
      <c r="J56" s="102" t="str">
        <f>IF(A56="","",SUM(
COUNTIFS('QA Log'!D:D,A56,'QA Log'!M:M,"QQC",'QA Log'!L:L,"*1. General Management*"),
COUNTIFS('QA Log'!D:D,A56,'QA Log'!M:M,"QQC",'QA Log'!L:L,"*3. Curative Consultation (OPD)*"),
COUNTIFS('QA Log'!D:D,A56,'QA Log'!M:M,"QQC",'QA Log'!L:L,"*5. Laboratory*"),
COUNTIFS('QA Log'!D:D,A56,'QA Log'!M:M,"QQC",'QA Log'!L:L,"*6. Essential Medicine Management*"),
COUNTIFS('QA Log'!D:D,A56,'QA Log'!M:M,"QQC",'QA Log'!L:L,"*7. Tracer Medicine*"),
COUNTIFS('QA Log'!D:D,A56,'QA Log'!M:M,"QQC",'QA Log'!L:L,"*11. Additional Questions*")))</f>
        <v/>
      </c>
      <c r="K56" s="102" t="str">
        <f>IF(A56="","",SUM(
COUNTIFS('QA Log'!D:D,A56,'QA Log'!M:M,"QQC",'QA Log'!Z:Z,"Approved",'QA Log'!L:L,"*1. General Management*"),
COUNTIFS('QA Log'!D:D,A56,'QA Log'!M:M,"QQC",'QA Log'!Z:Z,"Approved",'QA Log'!L:L,"*3. Curative Consultation (OPD)*"),
COUNTIFS('QA Log'!D:D,A56,'QA Log'!M:M,"QQC",'QA Log'!Z:Z,"Approved",'QA Log'!L:L,"*5. Laboratory*"),
COUNTIFS('QA Log'!D:D,A56,'QA Log'!M:M,"QQC",'QA Log'!Z:Z,"Approved",'QA Log'!L:L,"*6. Essential Medicine Management*"),
COUNTIFS('QA Log'!D:D,A56,'QA Log'!M:M,"QQC",'QA Log'!Z:Z,"Approved",'QA Log'!L:L,"*7. Tracer Medicine*"),
COUNTIFS('QA Log'!D:D,A56,'QA Log'!M:M,"QQC",'QA Log'!Z:Z,"Approved",'QA Log'!L:L,"*11. Additional Questions*")))</f>
        <v/>
      </c>
      <c r="L56" s="105" t="str">
        <f>IF(A56&lt;&gt;"",COUNTIFS('QA Log'!D:D,A56,'QA Log'!M:M,"QQC",'QA Log'!L:L,"1. General Management",'QA Log'!Z:Z,"Approved"),"")</f>
        <v/>
      </c>
      <c r="M56" s="105" t="str">
        <f>IF(A56&lt;&gt;"",COUNTIFS('QA Log'!D:D,A56,'QA Log'!M:M,"QQC",'QA Log'!L:L,"3. Curative Consultation (OPD)",'QA Log'!Z:Z,"Approved"),"")</f>
        <v/>
      </c>
      <c r="N56" s="105" t="str">
        <f>IF(A56&lt;&gt;"",COUNTIFS('QA Log'!D:D,A56,'QA Log'!M:M,"QQC",'QA Log'!L:L,"5. Laboratory",'QA Log'!Z:Z,"Approved"),"")</f>
        <v/>
      </c>
      <c r="O56" s="105" t="str">
        <f>IF(A56&lt;&gt;"",COUNTIFS('QA Log'!D:D,A56,'QA Log'!M:M,"QQC",'QA Log'!L:L,"6. Essential Medicine Management",'QA Log'!Z:Z,"Approved"),"")</f>
        <v/>
      </c>
      <c r="P56" s="105" t="str">
        <f>IF(A56&lt;&gt;"",COUNTIFS('QA Log'!D:D,A56,'QA Log'!M:M,"QQC",'QA Log'!L:L,"7. Tracer Medicine",'QA Log'!Z:Z,"Approved"),"")</f>
        <v/>
      </c>
      <c r="Q56" s="105" t="str">
        <f>IF(A56&lt;&gt;"",COUNTIFS('QA Log'!D:D,A56,'QA Log'!M:M,"QQC",'QA Log'!L:L,"11. Additional Questions",'QA Log'!Z:Z,"Approved"),"")</f>
        <v/>
      </c>
      <c r="R56" s="102" t="str">
        <f>IF(A56="","",SUM(
COUNTIFS('QA Log'!D:D,A56,'QA Log'!M:M,"QQC",'QA Log'!Z:Z,"Rejected",'QA Log'!L:L,"*8. Maternity*"),
COUNTIFS('QA Log'!D:D,A56,'QA Log'!M:M,"QQC",'QA Log'!Z:Z,"Rejected",'QA Log'!L:L,"*EPI*"),
COUNTIFS('QA Log'!D:D,A56,'QA Log'!M:M,"QQC",'QA Log'!Z:Z,"Rejected",'QA Log'!L:L,"*10. Antenatal Care (ANC)*"),
COUNTIFS('QA Log'!D:D,A56,'QA Log'!M:M,"QQC",'QA Log'!Z:Z,"Rejected",'QA Log'!L:L,"*2. Hygiene and Sterilization*"),
COUNTIFS('QA Log'!D:D,A56,'QA Log'!M:M,"QQC",'QA Log'!Z:Z,"Rejected",'QA Log'!L:L,"*Family Planning*")))</f>
        <v/>
      </c>
      <c r="S56" s="106" t="str">
        <f t="shared" si="1"/>
        <v/>
      </c>
      <c r="T56" s="102" t="str">
        <f t="shared" si="2"/>
        <v/>
      </c>
      <c r="U56" s="102" t="str">
        <f>IF(A56="","",
SUM(
COUNTIFS('QA Log'!D:D,A56,'QA Log'!M:M,"QQC",'QA Log'!L:L,"*8. Maternity*"),
COUNTIFS('QA Log'!D:D,A56,'QA Log'!M:M,"QQC",'QA Log'!L:L,"*9. EPI and Pre-school Consultation*"),
COUNTIFS('QA Log'!D:D,A56,'QA Log'!M:M,"QQC",'QA Log'!L:L,"*10. Antenatal Care (ANC)*"),
COUNTIFS('QA Log'!D:D,A56,'QA Log'!M:M,"QQC",'QA Log'!L:L,"*2. Hygiene and Sterilization*"),
COUNTIFS('QA Log'!D:D,A56,'QA Log'!M:M,"QQC",'QA Log'!L:L,"*4. Family Planning*")
))</f>
        <v/>
      </c>
      <c r="V56" s="102" t="str">
        <f>IF(A56="","",
SUM(
COUNTIFS('QA Log'!D:D,A56,'QA Log'!M:M,"QQC",'QA Log'!Z:Z,"Approved",'QA Log'!L:L,"*8. Maternity*"),
COUNTIFS('QA Log'!D:D,A56,'QA Log'!M:M,"QQC",'QA Log'!Z:Z,"Approved",'QA Log'!L:L,"*9. EPI and Pre-school Consultation*"),
COUNTIFS('QA Log'!D:D,A56,'QA Log'!M:M,"QQC",'QA Log'!Z:Z,"Approved",'QA Log'!L:L,"*10. Antenatal Care (ANC)*"),
COUNTIFS('QA Log'!D:D,A56,'QA Log'!M:M,"QQC",'QA Log'!Z:Z,"Approved",'QA Log'!L:L,"*2. Hygiene and Sterilization*"),
COUNTIFS('QA Log'!D:D,A56,'QA Log'!M:M,"QQC",'QA Log'!Z:Z,"Approved",'QA Log'!L:L,"*4. Family Planning*")
))</f>
        <v/>
      </c>
      <c r="W56" s="105" t="str">
        <f>IF(A56&lt;&gt;"",COUNTIFS('QA Log'!D:D,A56,'QA Log'!M:M,"QQC",'QA Log'!L:L,"8. Maternity",'QA Log'!Z:Z,"Approved"),"")</f>
        <v/>
      </c>
      <c r="X56" s="105" t="str">
        <f>IF(A56&lt;&gt;"",COUNTIFS('QA Log'!D:D,A56,'QA Log'!M:M,"QQC",'QA Log'!L:L,"9. EPI and Pre-school Consultation",'QA Log'!Z:Z,"Approved"),"")</f>
        <v/>
      </c>
      <c r="Y56" s="105" t="str">
        <f>IF(A56&lt;&gt;"",COUNTIFS('QA Log'!D:D,A56,'QA Log'!M:M,"QQC",'QA Log'!L:L,"10. Antenatal Care (ANC)",'QA Log'!Z:Z,"Approved"),"")</f>
        <v/>
      </c>
      <c r="Z56" s="105" t="str">
        <f>IF(A56&lt;&gt;"",COUNTIFS('QA Log'!D:D,A56,'QA Log'!M:M,"QQC",'QA Log'!L:L,"2. Hygiene and Sterilization",'QA Log'!Z:Z,"Approved"),"")</f>
        <v/>
      </c>
      <c r="AA56" s="105" t="str">
        <f>IF(A56&lt;&gt;"",COUNTIFS('QA Log'!D:D,A56,'QA Log'!M:M,"QQC",'QA Log'!L:L,"4. Family Planning",'QA Log'!Z:Z,"Approved"),"")</f>
        <v/>
      </c>
      <c r="AB56" s="102" t="str">
        <f>IF(A56="","",
SUM(
COUNTIFS('QA Log'!D:D,A56,'QA Log'!M:M,"QQC",'QA Log'!Z:Z,"Rejected",'QA Log'!L:L,"*8. Maternity*"),
COUNTIFS('QA Log'!D:D,A56,'QA Log'!M:M,"QQC",'QA Log'!Z:Z,"Rejected",'QA Log'!L:L,"*9. EPI and Pre-school Consultation*"),
COUNTIFS('QA Log'!D:D,A56,'QA Log'!M:M,"QQC",'QA Log'!Z:Z,"Rejected",'QA Log'!L:L,"*10. Antenatal Care (ANC)*"),
COUNTIFS('QA Log'!D:D,A56,'QA Log'!M:M,"QQC",'QA Log'!Z:Z,"Rejected",'QA Log'!L:L,"*2. Hygiene and Sterilization*"),
COUNTIFS('QA Log'!D:D,A56,'QA Log'!M:M,"QQC",'QA Log'!Z:Z,"Rejected",'QA Log'!L:L,"*4. Family Planning*")
))</f>
        <v/>
      </c>
      <c r="AC56" s="102" t="str">
        <f t="shared" si="3"/>
        <v/>
      </c>
      <c r="AD56" s="103" t="str">
        <f t="shared" si="4"/>
        <v/>
      </c>
      <c r="AE56" s="102" t="str">
        <f>IF(A56="","",
SUM(
COUNTIFS('QA Log'!D:D,A56,'QA Log'!M:M,"Data Verification",'QA Log'!L:L,"*Medicine (section 2)*"),
COUNTIFS('QA Log'!D:D,A56,'QA Log'!M:M,"Data Verification",'QA Log'!L:L,"*Lab Testing Availability*"),
COUNTIFS('QA Log'!D:D,A56,'QA Log'!M:M,"Data Verification",'QA Log'!L:L,"*Other than P4P (section 6)*"),
COUNTIFS('QA Log'!D:D,A56,'QA Log'!M:M,"Data Verification",'QA Log'!L:L,"*Hospital Governance*")
))</f>
        <v/>
      </c>
      <c r="AF56" s="102" t="str">
        <f>IF(A56="","",
SUM(
COUNTIFS('QA Log'!D:D,A56,'QA Log'!M:M,"Data Verification",'QA Log'!Z:Z,"Approved",'QA Log'!L:L,"*Medicine (section 2)*"),
COUNTIFS('QA Log'!D:D,A56,'QA Log'!M:M,"Data Verification",'QA Log'!Z:Z,"Approved",'QA Log'!L:L,"*Lab Testing Availability*"),
COUNTIFS('QA Log'!D:D,A56,'QA Log'!M:M,"Data Verification",'QA Log'!Z:Z,"Approved",'QA Log'!L:L,"*Other than P4P (section 6)*"),
COUNTIFS('QA Log'!D:D,A56,'QA Log'!M:M,"Data Verification",'QA Log'!Z:Z,"Approved",'QA Log'!L:L,"*Hospital Governance*")
))</f>
        <v/>
      </c>
      <c r="AG56" s="105" t="str">
        <f>IF(A56&lt;&gt;"",COUNTIFS('QA Log'!D:D,A56,'QA Log'!M:M,"Data Verification",'QA Log'!L:L,"Medicine (section 2)",'QA Log'!Z:Z,"Approved"),"")</f>
        <v/>
      </c>
      <c r="AH56" s="105" t="str">
        <f>IF(A56&lt;&gt;"",COUNTIFS('QA Log'!D:D,A56,'QA Log'!M:M,"Data Verification",'QA Log'!L:L,"Lab Testing Availability",'QA Log'!Z:Z,"Approved"),"")</f>
        <v/>
      </c>
      <c r="AI56" s="105" t="str">
        <f>IF(A56&lt;&gt;"",COUNTIFS('QA Log'!D:D,A56,'QA Log'!M:M,"Data Verification",'QA Log'!L:L,"Other than P4P (section 6)",'QA Log'!Z:Z,"Approved"),"")</f>
        <v/>
      </c>
      <c r="AJ56" s="105" t="str">
        <f>IF(A56&lt;&gt;"",COUNTIFS('QA Log'!D:D,A56,'QA Log'!M:M,"Data Verification",'QA Log'!L:L,"Hospital Governance",'QA Log'!Z:Z,"Approved"),"")</f>
        <v/>
      </c>
      <c r="AK56" s="102" t="str">
        <f>IF(A56="","",
SUM(
COUNTIFS('QA Log'!D:D,A56,'QA Log'!M:M,"Data Verification",'QA Log'!Z:Z,"Rejected",'QA Log'!L:L,"*Medicine (section 2)*"),
COUNTIFS('QA Log'!D:D,A56,'QA Log'!M:M,"Data Verification",'QA Log'!Z:Z,"Rejected",'QA Log'!L:L,"*Lab Testing Availability*"),
COUNTIFS('QA Log'!D:D,A56,'QA Log'!M:M,"Data Verification",'QA Log'!Z:Z,"Rejected",'QA Log'!L:L,"*Other than P4P (section 6)*"),
COUNTIFS('QA Log'!D:D,A56,'QA Log'!M:M,"Data Verification",'QA Log'!Z:Z,"Rejected",'QA Log'!L:L,"*Hospital Governance*")
))</f>
        <v/>
      </c>
      <c r="AL56" s="106" t="str">
        <f t="shared" si="5"/>
        <v/>
      </c>
      <c r="AM56" s="102" t="str">
        <f t="shared" si="6"/>
        <v/>
      </c>
      <c r="AN56" s="102" t="str">
        <f>IF(A56="","",
SUM(
COUNTIFS('QA Log'!D:D,A56,'QA Log'!M:M,"Data Verification",'QA Log'!L:L,"*Personnel (section 1)*"),
COUNTIFS('QA Log'!D:D,A56,'QA Log'!M:M,"Data Verification",'QA Log'!L:L,"*Consumable (section 3)*"),
COUNTIFS('QA Log'!D:D,A56,'QA Log'!M:M,"Data Verification",'QA Log'!L:L,"*Equipments (section 4)*")
))</f>
        <v/>
      </c>
      <c r="AO56" s="102" t="str">
        <f>IF(A56="","",
SUM(
COUNTIFS('QA Log'!D:D,A56,'QA Log'!M:M,"Data Verification",'QA Log'!Z:Z,"Approved",'QA Log'!L:L,"*Personnel (section 1)*"),
COUNTIFS('QA Log'!D:D,A56,'QA Log'!M:M,"Data Verification",'QA Log'!Z:Z,"Approved",'QA Log'!L:L,"*Consumable (section 3)*"),
COUNTIFS('QA Log'!D:D,A56,'QA Log'!M:M,"Data Verification",'QA Log'!Z:Z,"Approved",'QA Log'!L:L,"*Equipments (section 4)*")
))</f>
        <v/>
      </c>
      <c r="AP56" s="105" t="str">
        <f>IF(A56&lt;&gt;"",COUNTIFS('QA Log'!D:D,A56,'QA Log'!M:M,"Data Verification",'QA Log'!L:L,"Personnel (section 1)",'QA Log'!Z:Z,"Approved"),"")</f>
        <v/>
      </c>
      <c r="AQ56" s="105" t="str">
        <f>IF(A56&lt;&gt;"",COUNTIFS('QA Log'!D:D,A56,'QA Log'!M:M,"Data Verification",'QA Log'!L:L,"Consumable (section 3)",'QA Log'!Z:Z,"Approved"),"")</f>
        <v/>
      </c>
      <c r="AR56" s="105" t="str">
        <f>IF(A56&lt;&gt;"",COUNTIFS('QA Log'!D:D,A56,'QA Log'!M:M,"Data Verification",'QA Log'!L:L,"Equipments (section 4)",'QA Log'!Z:Z,"Approved"),"")</f>
        <v/>
      </c>
      <c r="AS56" s="102" t="str">
        <f>IF(A56="","",
SUM(
COUNTIFS('QA Log'!D:D,A56,'QA Log'!M:M,"Data Verification",'QA Log'!Z:Z,"Rejected",'QA Log'!L:L,"*Personnel (section 1)*"),
COUNTIFS('QA Log'!D:D,A56,'QA Log'!M:M,"Data Verification",'QA Log'!Z:Z,"Rejected",'QA Log'!L:L,"*Consumable (section 3)*"),
COUNTIFS('QA Log'!D:D,A56,'QA Log'!M:M,"Data Verification",'QA Log'!Z:Z,"Rejected",'QA Log'!L:L,"*Equipments (section 4)*")
))</f>
        <v/>
      </c>
      <c r="AT56" s="102" t="str">
        <f t="shared" si="7"/>
        <v/>
      </c>
      <c r="AU56" s="103" t="str">
        <f t="shared" si="8"/>
        <v/>
      </c>
      <c r="AV56" s="102" t="str">
        <f>IF(A56="","",SUM(
COUNTIFS('QA Log'!D:D,A56,'QA Log'!M:M,"Vignette",'QA Log'!L:L,"*Vignette [1] Respiratory Infection: Pneumonia*"),
COUNTIFS('QA Log'!D:D,A56,'QA Log'!M:M,"Vignette",'QA Log'!L:L,"*Vignette [2]: Diarrhea with Cat B dehydration*"),
COUNTIFS('QA Log'!D:D,A56,'QA Log'!M:M,"Vignette",'QA Log'!L:L,"*Vignette [3] Growth Monitoring and Promotion*"),
COUNTIFS('QA Log'!D:D,A56,'QA Log'!M:M,"Vignette",'QA Log'!L:L,"*Vignette [4]: The management of presumptive TB patient*")
)
)</f>
        <v/>
      </c>
      <c r="AW56" s="102" t="str">
        <f>IF(
  A56="","",
  SUM(
    COUNTIFS('QA Log'!D:D,A56,'QA Log'!M:M,"Vignette",'QA Log'!Z:Z,"Approved",'QA Log'!L:L,"*Vignette [1] Respiratory Infection: Pneumonia*"),
    COUNTIFS('QA Log'!D:D,A56,'QA Log'!M:M,"Vignette",'QA Log'!Z:Z,"Approved",'QA Log'!L:L,"*Vignette [2]: Diarrhea with Cat B dehydration*"),
    COUNTIFS('QA Log'!D:D,A56,'QA Log'!M:M,"Vignette",'QA Log'!Z:Z,"Approved",'QA Log'!L:L,"*Vignette [3] Growth Monitoring and Promotion*"),
    COUNTIFS('QA Log'!D:D,A56,'QA Log'!M:M,"Vignette",'QA Log'!Z:Z,"Approved",'QA Log'!L:L,"*Vignette [4]: The management of presumptive TB patient*")
  )
)</f>
        <v/>
      </c>
      <c r="AX56" s="105" t="str">
        <f>IF(A56&lt;&gt;"",COUNTIFS('QA Log'!D:D,A56,'QA Log'!M:M,"Vignette",'QA Log'!L:L,"Vignette [1] Respiratory Infection: Pneumonia",'QA Log'!Z:Z,"Approved"),"")</f>
        <v/>
      </c>
      <c r="AY56" s="105" t="str">
        <f>IF(A56&lt;&gt;"",COUNTIFS('QA Log'!D:D,A56,'QA Log'!M:M,"Vignette",'QA Log'!L:L,"Vignette [2]: Diarrhea with Cat B dehydration",'QA Log'!Z:Z,"Approved"),"")</f>
        <v/>
      </c>
      <c r="AZ56" s="105" t="str">
        <f>IF(A56&lt;&gt;"",COUNTIFS('QA Log'!D:D,A56,'QA Log'!M:M,"Vignette",'QA Log'!L:L,"Vignette [3] Growth Monitoring and Promotion",'QA Log'!Z:Z,"Approved"),"")</f>
        <v/>
      </c>
      <c r="BA56" s="105" t="str">
        <f>IF(A56&lt;&gt;"",COUNTIFS('QA Log'!D:D,A56,'QA Log'!M:M,"Vignette",'QA Log'!L:L,"Vignette [4]: The management of presumptive TB patient",'QA Log'!Z:Z,"Approved"),"")</f>
        <v/>
      </c>
      <c r="BB56" s="102" t="str">
        <f>IF(A56="","",
  SUM(
    COUNTIFS('QA Log'!D:D,A56,'QA Log'!M:M,"Vignette",'QA Log'!Z:Z,"Rejected",'QA Log'!L:L,"*Vignette [1] Respiratory Infection: Pneumonia*"),
    COUNTIFS('QA Log'!D:D,A56,'QA Log'!M:M,"Vignette",'QA Log'!Z:Z,"Rejected",'QA Log'!L:L,"*Vignette [2]: Diarrhea with Cat B dehydration*"),
    COUNTIFS('QA Log'!D:D,A56,'QA Log'!M:M,"Vignette",'QA Log'!Z:Z,"Rejected",'QA Log'!L:L,"*Vignette [3] Growth Monitoring and Promotion*"),
    COUNTIFS('QA Log'!D:D,A56,'QA Log'!M:M,"Vignette",'QA Log'!Z:Z,"Rejected",'QA Log'!L:L,"*Vignette [4]: The management of presumptive TB patient*")
  )
)</f>
        <v/>
      </c>
      <c r="BC56" s="107" t="str">
        <f t="shared" si="9"/>
        <v/>
      </c>
      <c r="BD56" s="103" t="str">
        <f t="shared" si="10"/>
        <v/>
      </c>
      <c r="BE56" s="102" t="str">
        <f>IF(A56="","",SUM(
COUNTIFS('QA Log'!D:D,A56,'QA Log'!M:M,"Vignette",'QA Log'!L:L,"*Vignette [5] Labor*"),
COUNTIFS('QA Log'!D:D,A56,'QA Log'!M:M,"Vignette",'QA Log'!L:L,"*Vignette [6] PNC pre Discharge*"),
COUNTIFS('QA Log'!D:D,A56,'QA Log'!M:M,"Vignette",'QA Log'!L:L,"*Vignette [7] First ANC Visit*"),
COUNTIFS('QA Log'!D:D,A56,'QA Log'!M:M,"Vignette",'QA Log'!L:L,"*Vignette [8] Birth Spacing/ Family Planning :  FP Counselling*"),
COUNTIFS('QA Log'!D:D,A56,'QA Log'!M:M,"Vignette",'QA Log'!L:L,"*Vignette [9] Birth Spacing: Change FP method to Injectable*"),
COUNTIFS('QA Log'!D:D,A56,'QA Log'!M:M,"Vignette",'QA Log'!L:L,"*Vignette [10] Post Partum Haemorrhage - Atonic Uterus at Health Centre*"),
)
)</f>
        <v/>
      </c>
      <c r="BF56" s="102" t="str">
        <f>IF(A56="","",
  SUM(
    COUNTIFS('QA Log'!D:D,A56,'QA Log'!M:M,"Vignette",'QA Log'!Z:Z,"Approved",'QA Log'!L:L,"*Vignette [5] Labor*"),
    COUNTIFS('QA Log'!D:D,A56,'QA Log'!M:M,"Vignette",'QA Log'!Z:Z,"Approved",'QA Log'!L:L,"*Vignette [6] PNC pre Discharge*"),
    COUNTIFS('QA Log'!D:D,A56,'QA Log'!M:M,"Vignette",'QA Log'!Z:Z,"Approved",'QA Log'!L:L,"*Vignette [7] First ANC Visit*"),
    COUNTIFS('QA Log'!D:D,A56,'QA Log'!M:M,"Vignette",'QA Log'!Z:Z,"Approved",'QA Log'!L:L,"*Vignette [8] Birth Spacing/ Family Planning :  FP Counselling*"),
    COUNTIFS('QA Log'!D:D,A56,'QA Log'!M:M,"Vignette",'QA Log'!Z:Z,"Approved",'QA Log'!L:L,"*Vignette [9] Birth Spacing: Change FP method to Injectable*"),
    COUNTIFS('QA Log'!D:D,A56,'QA Log'!M:M,"Vignette",'QA Log'!Z:Z,"Approved",'QA Log'!L:L,"*Vignette [10] Post Partum Haemorrhage - Atonic Uterus at Health Centre*")
  )
)</f>
        <v/>
      </c>
      <c r="BG56" s="105" t="str">
        <f>IF(A56&lt;&gt;"",COUNTIFS('QA Log'!D:D,A56,'QA Log'!M:M,"Vignette",'QA Log'!L:L,"Vignette [5] Labor",'QA Log'!Z:Z,"Approved"),"")</f>
        <v/>
      </c>
      <c r="BH56" s="105" t="str">
        <f>IF(A56&lt;&gt;"",COUNTIFS('QA Log'!D:D,A56,'QA Log'!M:M,"Vignette",'QA Log'!L:L,"Vignette [6] PNC pre Discharge",'QA Log'!Z:Z,"Approved"),"")</f>
        <v/>
      </c>
      <c r="BI56" s="105" t="str">
        <f>IF(A56&lt;&gt;"",COUNTIFS('QA Log'!D:D,A56,'QA Log'!M:M,"Vignette",'QA Log'!L:L,"Vignette [7] First ANC Visit",'QA Log'!Z:Z,"Approved"),"")</f>
        <v/>
      </c>
      <c r="BJ56" s="105" t="str">
        <f>IF(A56&lt;&gt;"",COUNTIFS('QA Log'!D:D,A56,'QA Log'!M:M,"Vignette",'QA Log'!L:L,"Vignette [8] Birth Spacing/ Family Planning :  FP Counselling",'QA Log'!Z:Z,"Approved"),"")</f>
        <v/>
      </c>
      <c r="BK56" s="105" t="str">
        <f>IF(A56&lt;&gt;"",COUNTIFS('QA Log'!D:D,A56,'QA Log'!M:M,"Vignette",'QA Log'!L:L,"Vignette [9] Birth Spacing: Change FP method to Injectable",'QA Log'!Z:Z,"Approved"),"")</f>
        <v/>
      </c>
      <c r="BL56" s="105" t="str">
        <f>IF(A56&lt;&gt;"",COUNTIFS('QA Log'!D:D,A56,'QA Log'!M:M,"Vignette",'QA Log'!L:L,"Vignette [10] Post Partum Haemorrhage - Atonic Uterus at Health Centre",'QA Log'!Z:Z,"Approved"),"")</f>
        <v/>
      </c>
      <c r="BM56" s="102" t="str">
        <f>IF(A56="","",SUM(
    COUNTIFS('QA Log'!D:D,A56,'QA Log'!M:M,"Vignette",'QA Log'!Z:Z,"Rejected",'QA Log'!L:L,"*Vignette [5] Labor*"),
    COUNTIFS('QA Log'!D:D,A56,'QA Log'!M:M,"Vignette",'QA Log'!Z:Z,"Rejected",'QA Log'!L:L,"*Vignette [6] PNC pre Discharge*"),
    COUNTIFS('QA Log'!D:D,A56,'QA Log'!M:M,"Vignette",'QA Log'!Z:Z,"Rejected",'QA Log'!L:L,"*Vignette [7] First ANC Visit*"),
    COUNTIFS('QA Log'!D:D,A56,'QA Log'!M:M,"Vignette",'QA Log'!Z:Z,"Rejected",'QA Log'!L:L,"*Vignette [8] Birth Spacing/ Family Planning :  FP Counselling*"),
    COUNTIFS('QA Log'!D:D,A56,'QA Log'!M:M,"Vignette",'QA Log'!Z:Z,"Rejected",'QA Log'!L:L,"*Vignette [9] Birth Spacing: Change FP method to Injectable*"),
    COUNTIFS('QA Log'!D:D,A56,'QA Log'!M:M,"Vignette",'QA Log'!Z:Z,"Rejected",'QA Log'!L:L,"*Vignette [10] Post Partum Haemorrhage - Atonic Uterus at Health Centre*")
  )
)</f>
        <v/>
      </c>
      <c r="BN56" s="107" t="str">
        <f t="shared" si="11"/>
        <v/>
      </c>
      <c r="BO56" s="103" t="str">
        <f t="shared" si="12"/>
        <v/>
      </c>
      <c r="BP56" s="102" t="str">
        <f>IF(A56="","",SUM(
COUNTIFS('QA Log'!D:D,A56,'QA Log'!M:M,"Vignette",'QA Log'!L:L,"*Exit Interview 1*"),
COUNTIFS('QA Log'!D:D,A56,'QA Log'!M:M,"Vignette",'QA Log'!L:L,"*Exit Interview 2*"),
)
)</f>
        <v/>
      </c>
      <c r="BQ56" s="102" t="str">
        <f>IF(
  A56="","",
  SUM(
    COUNTIFS('QA Log'!D:D,A56,'QA Log'!M:M,"Vignette",'QA Log'!Z:Z,"Approved",'QA Log'!L:L,"*Exit Interview 1*"),
    COUNTIFS('QA Log'!D:D,A56,'QA Log'!M:M,"Vignette",'QA Log'!Z:Z,"Approved",'QA Log'!L:L,"*Exit Interview 2*")
  )
)</f>
        <v/>
      </c>
      <c r="BR56" s="105" t="str">
        <f>IF(A56&lt;&gt;"",COUNTIFS('QA Log'!D:D,A56,'QA Log'!M:M,"Vignette",'QA Log'!L:L,"Exit Interview 1",'QA Log'!Z:Z,"Approved"),"")</f>
        <v/>
      </c>
      <c r="BS56" s="105" t="str">
        <f>IF(A56&lt;&gt;"",COUNTIFS('QA Log'!D:D,A56,'QA Log'!M:M,"Vignette",'QA Log'!L:L,"Exit Interview 2",'QA Log'!Z:Z,"Approved"),"")</f>
        <v/>
      </c>
      <c r="BT56" s="102" t="str">
        <f>IF(
  A56="","",
  SUM(
    COUNTIFS('QA Log'!D:D,A56,'QA Log'!M:M,"Vignette",'QA Log'!Z:Z,"Rejected",'QA Log'!L:L,"*Exit Interview 1*"),
    COUNTIFS('QA Log'!D:D,A56,'QA Log'!M:M,"Vignette",'QA Log'!Z:Z,"Rejected",'QA Log'!L:L,"*Exit Interview 2*")
  )
)</f>
        <v/>
      </c>
      <c r="BU56" s="107" t="str">
        <f t="shared" si="13"/>
        <v/>
      </c>
      <c r="BV56" s="102" t="str">
        <f t="shared" si="14"/>
        <v/>
      </c>
      <c r="BW56" s="102" t="str">
        <f t="shared" si="15"/>
        <v/>
      </c>
      <c r="BX56" s="102" t="str">
        <f t="shared" si="16"/>
        <v/>
      </c>
      <c r="BY56" s="102" t="str">
        <f t="shared" si="17"/>
        <v/>
      </c>
      <c r="BZ56" s="107" t="str">
        <f t="shared" si="18"/>
        <v/>
      </c>
      <c r="CA56" s="108" t="str">
        <f t="shared" si="19"/>
        <v/>
      </c>
      <c r="CB56" s="108" t="str">
        <f t="shared" si="20"/>
        <v/>
      </c>
      <c r="CC56" s="109" t="str">
        <f t="shared" si="21"/>
        <v/>
      </c>
      <c r="CD56" s="108" t="str">
        <f t="shared" si="22"/>
        <v/>
      </c>
      <c r="CE56" s="108" t="str">
        <f t="shared" si="23"/>
        <v/>
      </c>
      <c r="CF56" s="109" t="str">
        <f t="shared" si="24"/>
        <v/>
      </c>
      <c r="CG56" s="110" t="str">
        <f t="shared" si="25"/>
        <v/>
      </c>
      <c r="CH56" s="111"/>
    </row>
    <row r="57" spans="1:86" ht="12.75">
      <c r="A57" s="101"/>
      <c r="B57" s="102" t="e">
        <f t="array" aca="1" ref="B57" ca="1">_xludf.XLOOKUP(A57,'QA Log'!D:D,'QA Log'!E:E,"")</f>
        <v>#NAME?</v>
      </c>
      <c r="C57" s="102" t="e">
        <f t="array" aca="1" ref="C57" ca="1">_xludf.XLOOKUP(A57,'QA Log'!D:D,'QA Log'!F:F,"")</f>
        <v>#NAME?</v>
      </c>
      <c r="D57" s="102" t="e">
        <f t="array" aca="1" ref="D57" ca="1">_xludf.XLOOKUP(A57,'QA Log'!D:D,'QA Log'!H:H,"")</f>
        <v>#NAME?</v>
      </c>
      <c r="E57" s="102" t="e">
        <f t="array" aca="1" ref="E57" ca="1">_xludf.XLOOKUP(A57,'QA Log'!D:D,'QA Log'!G:G,"")</f>
        <v>#NAME?</v>
      </c>
      <c r="F57" s="103"/>
      <c r="G57" s="104"/>
      <c r="H57" s="104"/>
      <c r="I57" s="103" t="str">
        <f t="shared" si="0"/>
        <v/>
      </c>
      <c r="J57" s="102" t="str">
        <f>IF(A57="","",SUM(
COUNTIFS('QA Log'!D:D,A57,'QA Log'!M:M,"QQC",'QA Log'!L:L,"*1. General Management*"),
COUNTIFS('QA Log'!D:D,A57,'QA Log'!M:M,"QQC",'QA Log'!L:L,"*3. Curative Consultation (OPD)*"),
COUNTIFS('QA Log'!D:D,A57,'QA Log'!M:M,"QQC",'QA Log'!L:L,"*5. Laboratory*"),
COUNTIFS('QA Log'!D:D,A57,'QA Log'!M:M,"QQC",'QA Log'!L:L,"*6. Essential Medicine Management*"),
COUNTIFS('QA Log'!D:D,A57,'QA Log'!M:M,"QQC",'QA Log'!L:L,"*7. Tracer Medicine*"),
COUNTIFS('QA Log'!D:D,A57,'QA Log'!M:M,"QQC",'QA Log'!L:L,"*11. Additional Questions*")))</f>
        <v/>
      </c>
      <c r="K57" s="102" t="str">
        <f>IF(A57="","",SUM(
COUNTIFS('QA Log'!D:D,A57,'QA Log'!M:M,"QQC",'QA Log'!Z:Z,"Approved",'QA Log'!L:L,"*1. General Management*"),
COUNTIFS('QA Log'!D:D,A57,'QA Log'!M:M,"QQC",'QA Log'!Z:Z,"Approved",'QA Log'!L:L,"*3. Curative Consultation (OPD)*"),
COUNTIFS('QA Log'!D:D,A57,'QA Log'!M:M,"QQC",'QA Log'!Z:Z,"Approved",'QA Log'!L:L,"*5. Laboratory*"),
COUNTIFS('QA Log'!D:D,A57,'QA Log'!M:M,"QQC",'QA Log'!Z:Z,"Approved",'QA Log'!L:L,"*6. Essential Medicine Management*"),
COUNTIFS('QA Log'!D:D,A57,'QA Log'!M:M,"QQC",'QA Log'!Z:Z,"Approved",'QA Log'!L:L,"*7. Tracer Medicine*"),
COUNTIFS('QA Log'!D:D,A57,'QA Log'!M:M,"QQC",'QA Log'!Z:Z,"Approved",'QA Log'!L:L,"*11. Additional Questions*")))</f>
        <v/>
      </c>
      <c r="L57" s="105" t="str">
        <f>IF(A57&lt;&gt;"",COUNTIFS('QA Log'!D:D,A57,'QA Log'!M:M,"QQC",'QA Log'!L:L,"1. General Management",'QA Log'!Z:Z,"Approved"),"")</f>
        <v/>
      </c>
      <c r="M57" s="105" t="str">
        <f>IF(A57&lt;&gt;"",COUNTIFS('QA Log'!D:D,A57,'QA Log'!M:M,"QQC",'QA Log'!L:L,"3. Curative Consultation (OPD)",'QA Log'!Z:Z,"Approved"),"")</f>
        <v/>
      </c>
      <c r="N57" s="105" t="str">
        <f>IF(A57&lt;&gt;"",COUNTIFS('QA Log'!D:D,A57,'QA Log'!M:M,"QQC",'QA Log'!L:L,"5. Laboratory",'QA Log'!Z:Z,"Approved"),"")</f>
        <v/>
      </c>
      <c r="O57" s="105" t="str">
        <f>IF(A57&lt;&gt;"",COUNTIFS('QA Log'!D:D,A57,'QA Log'!M:M,"QQC",'QA Log'!L:L,"6. Essential Medicine Management",'QA Log'!Z:Z,"Approved"),"")</f>
        <v/>
      </c>
      <c r="P57" s="105" t="str">
        <f>IF(A57&lt;&gt;"",COUNTIFS('QA Log'!D:D,A57,'QA Log'!M:M,"QQC",'QA Log'!L:L,"7. Tracer Medicine",'QA Log'!Z:Z,"Approved"),"")</f>
        <v/>
      </c>
      <c r="Q57" s="105" t="str">
        <f>IF(A57&lt;&gt;"",COUNTIFS('QA Log'!D:D,A57,'QA Log'!M:M,"QQC",'QA Log'!L:L,"11. Additional Questions",'QA Log'!Z:Z,"Approved"),"")</f>
        <v/>
      </c>
      <c r="R57" s="102" t="str">
        <f>IF(A57="","",SUM(
COUNTIFS('QA Log'!D:D,A57,'QA Log'!M:M,"QQC",'QA Log'!Z:Z,"Rejected",'QA Log'!L:L,"*8. Maternity*"),
COUNTIFS('QA Log'!D:D,A57,'QA Log'!M:M,"QQC",'QA Log'!Z:Z,"Rejected",'QA Log'!L:L,"*EPI*"),
COUNTIFS('QA Log'!D:D,A57,'QA Log'!M:M,"QQC",'QA Log'!Z:Z,"Rejected",'QA Log'!L:L,"*10. Antenatal Care (ANC)*"),
COUNTIFS('QA Log'!D:D,A57,'QA Log'!M:M,"QQC",'QA Log'!Z:Z,"Rejected",'QA Log'!L:L,"*2. Hygiene and Sterilization*"),
COUNTIFS('QA Log'!D:D,A57,'QA Log'!M:M,"QQC",'QA Log'!Z:Z,"Rejected",'QA Log'!L:L,"*Family Planning*")))</f>
        <v/>
      </c>
      <c r="S57" s="106" t="str">
        <f t="shared" si="1"/>
        <v/>
      </c>
      <c r="T57" s="102" t="str">
        <f t="shared" si="2"/>
        <v/>
      </c>
      <c r="U57" s="102" t="str">
        <f>IF(A57="","",
SUM(
COUNTIFS('QA Log'!D:D,A57,'QA Log'!M:M,"QQC",'QA Log'!L:L,"*8. Maternity*"),
COUNTIFS('QA Log'!D:D,A57,'QA Log'!M:M,"QQC",'QA Log'!L:L,"*9. EPI and Pre-school Consultation*"),
COUNTIFS('QA Log'!D:D,A57,'QA Log'!M:M,"QQC",'QA Log'!L:L,"*10. Antenatal Care (ANC)*"),
COUNTIFS('QA Log'!D:D,A57,'QA Log'!M:M,"QQC",'QA Log'!L:L,"*2. Hygiene and Sterilization*"),
COUNTIFS('QA Log'!D:D,A57,'QA Log'!M:M,"QQC",'QA Log'!L:L,"*4. Family Planning*")
))</f>
        <v/>
      </c>
      <c r="V57" s="102" t="str">
        <f>IF(A57="","",
SUM(
COUNTIFS('QA Log'!D:D,A57,'QA Log'!M:M,"QQC",'QA Log'!Z:Z,"Approved",'QA Log'!L:L,"*8. Maternity*"),
COUNTIFS('QA Log'!D:D,A57,'QA Log'!M:M,"QQC",'QA Log'!Z:Z,"Approved",'QA Log'!L:L,"*9. EPI and Pre-school Consultation*"),
COUNTIFS('QA Log'!D:D,A57,'QA Log'!M:M,"QQC",'QA Log'!Z:Z,"Approved",'QA Log'!L:L,"*10. Antenatal Care (ANC)*"),
COUNTIFS('QA Log'!D:D,A57,'QA Log'!M:M,"QQC",'QA Log'!Z:Z,"Approved",'QA Log'!L:L,"*2. Hygiene and Sterilization*"),
COUNTIFS('QA Log'!D:D,A57,'QA Log'!M:M,"QQC",'QA Log'!Z:Z,"Approved",'QA Log'!L:L,"*4. Family Planning*")
))</f>
        <v/>
      </c>
      <c r="W57" s="105" t="str">
        <f>IF(A57&lt;&gt;"",COUNTIFS('QA Log'!D:D,A57,'QA Log'!M:M,"QQC",'QA Log'!L:L,"8. Maternity",'QA Log'!Z:Z,"Approved"),"")</f>
        <v/>
      </c>
      <c r="X57" s="105" t="str">
        <f>IF(A57&lt;&gt;"",COUNTIFS('QA Log'!D:D,A57,'QA Log'!M:M,"QQC",'QA Log'!L:L,"9. EPI and Pre-school Consultation",'QA Log'!Z:Z,"Approved"),"")</f>
        <v/>
      </c>
      <c r="Y57" s="105" t="str">
        <f>IF(A57&lt;&gt;"",COUNTIFS('QA Log'!D:D,A57,'QA Log'!M:M,"QQC",'QA Log'!L:L,"10. Antenatal Care (ANC)",'QA Log'!Z:Z,"Approved"),"")</f>
        <v/>
      </c>
      <c r="Z57" s="105" t="str">
        <f>IF(A57&lt;&gt;"",COUNTIFS('QA Log'!D:D,A57,'QA Log'!M:M,"QQC",'QA Log'!L:L,"2. Hygiene and Sterilization",'QA Log'!Z:Z,"Approved"),"")</f>
        <v/>
      </c>
      <c r="AA57" s="105" t="str">
        <f>IF(A57&lt;&gt;"",COUNTIFS('QA Log'!D:D,A57,'QA Log'!M:M,"QQC",'QA Log'!L:L,"4. Family Planning",'QA Log'!Z:Z,"Approved"),"")</f>
        <v/>
      </c>
      <c r="AB57" s="102" t="str">
        <f>IF(A57="","",
SUM(
COUNTIFS('QA Log'!D:D,A57,'QA Log'!M:M,"QQC",'QA Log'!Z:Z,"Rejected",'QA Log'!L:L,"*8. Maternity*"),
COUNTIFS('QA Log'!D:D,A57,'QA Log'!M:M,"QQC",'QA Log'!Z:Z,"Rejected",'QA Log'!L:L,"*9. EPI and Pre-school Consultation*"),
COUNTIFS('QA Log'!D:D,A57,'QA Log'!M:M,"QQC",'QA Log'!Z:Z,"Rejected",'QA Log'!L:L,"*10. Antenatal Care (ANC)*"),
COUNTIFS('QA Log'!D:D,A57,'QA Log'!M:M,"QQC",'QA Log'!Z:Z,"Rejected",'QA Log'!L:L,"*2. Hygiene and Sterilization*"),
COUNTIFS('QA Log'!D:D,A57,'QA Log'!M:M,"QQC",'QA Log'!Z:Z,"Rejected",'QA Log'!L:L,"*4. Family Planning*")
))</f>
        <v/>
      </c>
      <c r="AC57" s="102" t="str">
        <f t="shared" si="3"/>
        <v/>
      </c>
      <c r="AD57" s="103" t="str">
        <f t="shared" si="4"/>
        <v/>
      </c>
      <c r="AE57" s="102" t="str">
        <f>IF(A57="","",
SUM(
COUNTIFS('QA Log'!D:D,A57,'QA Log'!M:M,"Data Verification",'QA Log'!L:L,"*Medicine (section 2)*"),
COUNTIFS('QA Log'!D:D,A57,'QA Log'!M:M,"Data Verification",'QA Log'!L:L,"*Lab Testing Availability*"),
COUNTIFS('QA Log'!D:D,A57,'QA Log'!M:M,"Data Verification",'QA Log'!L:L,"*Other than P4P (section 6)*"),
COUNTIFS('QA Log'!D:D,A57,'QA Log'!M:M,"Data Verification",'QA Log'!L:L,"*Hospital Governance*")
))</f>
        <v/>
      </c>
      <c r="AF57" s="102" t="str">
        <f>IF(A57="","",
SUM(
COUNTIFS('QA Log'!D:D,A57,'QA Log'!M:M,"Data Verification",'QA Log'!Z:Z,"Approved",'QA Log'!L:L,"*Medicine (section 2)*"),
COUNTIFS('QA Log'!D:D,A57,'QA Log'!M:M,"Data Verification",'QA Log'!Z:Z,"Approved",'QA Log'!L:L,"*Lab Testing Availability*"),
COUNTIFS('QA Log'!D:D,A57,'QA Log'!M:M,"Data Verification",'QA Log'!Z:Z,"Approved",'QA Log'!L:L,"*Other than P4P (section 6)*"),
COUNTIFS('QA Log'!D:D,A57,'QA Log'!M:M,"Data Verification",'QA Log'!Z:Z,"Approved",'QA Log'!L:L,"*Hospital Governance*")
))</f>
        <v/>
      </c>
      <c r="AG57" s="105" t="str">
        <f>IF(A57&lt;&gt;"",COUNTIFS('QA Log'!D:D,A57,'QA Log'!M:M,"Data Verification",'QA Log'!L:L,"Medicine (section 2)",'QA Log'!Z:Z,"Approved"),"")</f>
        <v/>
      </c>
      <c r="AH57" s="105" t="str">
        <f>IF(A57&lt;&gt;"",COUNTIFS('QA Log'!D:D,A57,'QA Log'!M:M,"Data Verification",'QA Log'!L:L,"Lab Testing Availability",'QA Log'!Z:Z,"Approved"),"")</f>
        <v/>
      </c>
      <c r="AI57" s="105" t="str">
        <f>IF(A57&lt;&gt;"",COUNTIFS('QA Log'!D:D,A57,'QA Log'!M:M,"Data Verification",'QA Log'!L:L,"Other than P4P (section 6)",'QA Log'!Z:Z,"Approved"),"")</f>
        <v/>
      </c>
      <c r="AJ57" s="105" t="str">
        <f>IF(A57&lt;&gt;"",COUNTIFS('QA Log'!D:D,A57,'QA Log'!M:M,"Data Verification",'QA Log'!L:L,"Hospital Governance",'QA Log'!Z:Z,"Approved"),"")</f>
        <v/>
      </c>
      <c r="AK57" s="102" t="str">
        <f>IF(A57="","",
SUM(
COUNTIFS('QA Log'!D:D,A57,'QA Log'!M:M,"Data Verification",'QA Log'!Z:Z,"Rejected",'QA Log'!L:L,"*Medicine (section 2)*"),
COUNTIFS('QA Log'!D:D,A57,'QA Log'!M:M,"Data Verification",'QA Log'!Z:Z,"Rejected",'QA Log'!L:L,"*Lab Testing Availability*"),
COUNTIFS('QA Log'!D:D,A57,'QA Log'!M:M,"Data Verification",'QA Log'!Z:Z,"Rejected",'QA Log'!L:L,"*Other than P4P (section 6)*"),
COUNTIFS('QA Log'!D:D,A57,'QA Log'!M:M,"Data Verification",'QA Log'!Z:Z,"Rejected",'QA Log'!L:L,"*Hospital Governance*")
))</f>
        <v/>
      </c>
      <c r="AL57" s="106" t="str">
        <f t="shared" si="5"/>
        <v/>
      </c>
      <c r="AM57" s="102" t="str">
        <f t="shared" si="6"/>
        <v/>
      </c>
      <c r="AN57" s="102" t="str">
        <f>IF(A57="","",
SUM(
COUNTIFS('QA Log'!D:D,A57,'QA Log'!M:M,"Data Verification",'QA Log'!L:L,"*Personnel (section 1)*"),
COUNTIFS('QA Log'!D:D,A57,'QA Log'!M:M,"Data Verification",'QA Log'!L:L,"*Consumable (section 3)*"),
COUNTIFS('QA Log'!D:D,A57,'QA Log'!M:M,"Data Verification",'QA Log'!L:L,"*Equipments (section 4)*")
))</f>
        <v/>
      </c>
      <c r="AO57" s="102" t="str">
        <f>IF(A57="","",
SUM(
COUNTIFS('QA Log'!D:D,A57,'QA Log'!M:M,"Data Verification",'QA Log'!Z:Z,"Approved",'QA Log'!L:L,"*Personnel (section 1)*"),
COUNTIFS('QA Log'!D:D,A57,'QA Log'!M:M,"Data Verification",'QA Log'!Z:Z,"Approved",'QA Log'!L:L,"*Consumable (section 3)*"),
COUNTIFS('QA Log'!D:D,A57,'QA Log'!M:M,"Data Verification",'QA Log'!Z:Z,"Approved",'QA Log'!L:L,"*Equipments (section 4)*")
))</f>
        <v/>
      </c>
      <c r="AP57" s="105" t="str">
        <f>IF(A57&lt;&gt;"",COUNTIFS('QA Log'!D:D,A57,'QA Log'!M:M,"Data Verification",'QA Log'!L:L,"Personnel (section 1)",'QA Log'!Z:Z,"Approved"),"")</f>
        <v/>
      </c>
      <c r="AQ57" s="105" t="str">
        <f>IF(A57&lt;&gt;"",COUNTIFS('QA Log'!D:D,A57,'QA Log'!M:M,"Data Verification",'QA Log'!L:L,"Consumable (section 3)",'QA Log'!Z:Z,"Approved"),"")</f>
        <v/>
      </c>
      <c r="AR57" s="105" t="str">
        <f>IF(A57&lt;&gt;"",COUNTIFS('QA Log'!D:D,A57,'QA Log'!M:M,"Data Verification",'QA Log'!L:L,"Equipments (section 4)",'QA Log'!Z:Z,"Approved"),"")</f>
        <v/>
      </c>
      <c r="AS57" s="102" t="str">
        <f>IF(A57="","",
SUM(
COUNTIFS('QA Log'!D:D,A57,'QA Log'!M:M,"Data Verification",'QA Log'!Z:Z,"Rejected",'QA Log'!L:L,"*Personnel (section 1)*"),
COUNTIFS('QA Log'!D:D,A57,'QA Log'!M:M,"Data Verification",'QA Log'!Z:Z,"Rejected",'QA Log'!L:L,"*Consumable (section 3)*"),
COUNTIFS('QA Log'!D:D,A57,'QA Log'!M:M,"Data Verification",'QA Log'!Z:Z,"Rejected",'QA Log'!L:L,"*Equipments (section 4)*")
))</f>
        <v/>
      </c>
      <c r="AT57" s="102" t="str">
        <f t="shared" si="7"/>
        <v/>
      </c>
      <c r="AU57" s="103" t="str">
        <f t="shared" si="8"/>
        <v/>
      </c>
      <c r="AV57" s="102" t="str">
        <f>IF(A57="","",SUM(
COUNTIFS('QA Log'!D:D,A57,'QA Log'!M:M,"Vignette",'QA Log'!L:L,"*Vignette [1] Respiratory Infection: Pneumonia*"),
COUNTIFS('QA Log'!D:D,A57,'QA Log'!M:M,"Vignette",'QA Log'!L:L,"*Vignette [2]: Diarrhea with Cat B dehydration*"),
COUNTIFS('QA Log'!D:D,A57,'QA Log'!M:M,"Vignette",'QA Log'!L:L,"*Vignette [3] Growth Monitoring and Promotion*"),
COUNTIFS('QA Log'!D:D,A57,'QA Log'!M:M,"Vignette",'QA Log'!L:L,"*Vignette [4]: The management of presumptive TB patient*")
)
)</f>
        <v/>
      </c>
      <c r="AW57" s="102" t="str">
        <f>IF(
  A57="","",
  SUM(
    COUNTIFS('QA Log'!D:D,A57,'QA Log'!M:M,"Vignette",'QA Log'!Z:Z,"Approved",'QA Log'!L:L,"*Vignette [1] Respiratory Infection: Pneumonia*"),
    COUNTIFS('QA Log'!D:D,A57,'QA Log'!M:M,"Vignette",'QA Log'!Z:Z,"Approved",'QA Log'!L:L,"*Vignette [2]: Diarrhea with Cat B dehydration*"),
    COUNTIFS('QA Log'!D:D,A57,'QA Log'!M:M,"Vignette",'QA Log'!Z:Z,"Approved",'QA Log'!L:L,"*Vignette [3] Growth Monitoring and Promotion*"),
    COUNTIFS('QA Log'!D:D,A57,'QA Log'!M:M,"Vignette",'QA Log'!Z:Z,"Approved",'QA Log'!L:L,"*Vignette [4]: The management of presumptive TB patient*")
  )
)</f>
        <v/>
      </c>
      <c r="AX57" s="105" t="str">
        <f>IF(A57&lt;&gt;"",COUNTIFS('QA Log'!D:D,A57,'QA Log'!M:M,"Vignette",'QA Log'!L:L,"Vignette [1] Respiratory Infection: Pneumonia",'QA Log'!Z:Z,"Approved"),"")</f>
        <v/>
      </c>
      <c r="AY57" s="105" t="str">
        <f>IF(A57&lt;&gt;"",COUNTIFS('QA Log'!D:D,A57,'QA Log'!M:M,"Vignette",'QA Log'!L:L,"Vignette [2]: Diarrhea with Cat B dehydration",'QA Log'!Z:Z,"Approved"),"")</f>
        <v/>
      </c>
      <c r="AZ57" s="105" t="str">
        <f>IF(A57&lt;&gt;"",COUNTIFS('QA Log'!D:D,A57,'QA Log'!M:M,"Vignette",'QA Log'!L:L,"Vignette [3] Growth Monitoring and Promotion",'QA Log'!Z:Z,"Approved"),"")</f>
        <v/>
      </c>
      <c r="BA57" s="105" t="str">
        <f>IF(A57&lt;&gt;"",COUNTIFS('QA Log'!D:D,A57,'QA Log'!M:M,"Vignette",'QA Log'!L:L,"Vignette [4]: The management of presumptive TB patient",'QA Log'!Z:Z,"Approved"),"")</f>
        <v/>
      </c>
      <c r="BB57" s="102" t="str">
        <f>IF(A57="","",
  SUM(
    COUNTIFS('QA Log'!D:D,A57,'QA Log'!M:M,"Vignette",'QA Log'!Z:Z,"Rejected",'QA Log'!L:L,"*Vignette [1] Respiratory Infection: Pneumonia*"),
    COUNTIFS('QA Log'!D:D,A57,'QA Log'!M:M,"Vignette",'QA Log'!Z:Z,"Rejected",'QA Log'!L:L,"*Vignette [2]: Diarrhea with Cat B dehydration*"),
    COUNTIFS('QA Log'!D:D,A57,'QA Log'!M:M,"Vignette",'QA Log'!Z:Z,"Rejected",'QA Log'!L:L,"*Vignette [3] Growth Monitoring and Promotion*"),
    COUNTIFS('QA Log'!D:D,A57,'QA Log'!M:M,"Vignette",'QA Log'!Z:Z,"Rejected",'QA Log'!L:L,"*Vignette [4]: The management of presumptive TB patient*")
  )
)</f>
        <v/>
      </c>
      <c r="BC57" s="107" t="str">
        <f t="shared" si="9"/>
        <v/>
      </c>
      <c r="BD57" s="103" t="str">
        <f t="shared" si="10"/>
        <v/>
      </c>
      <c r="BE57" s="102" t="str">
        <f>IF(A57="","",SUM(
COUNTIFS('QA Log'!D:D,A57,'QA Log'!M:M,"Vignette",'QA Log'!L:L,"*Vignette [5] Labor*"),
COUNTIFS('QA Log'!D:D,A57,'QA Log'!M:M,"Vignette",'QA Log'!L:L,"*Vignette [6] PNC pre Discharge*"),
COUNTIFS('QA Log'!D:D,A57,'QA Log'!M:M,"Vignette",'QA Log'!L:L,"*Vignette [7] First ANC Visit*"),
COUNTIFS('QA Log'!D:D,A57,'QA Log'!M:M,"Vignette",'QA Log'!L:L,"*Vignette [8] Birth Spacing/ Family Planning :  FP Counselling*"),
COUNTIFS('QA Log'!D:D,A57,'QA Log'!M:M,"Vignette",'QA Log'!L:L,"*Vignette [9] Birth Spacing: Change FP method to Injectable*"),
COUNTIFS('QA Log'!D:D,A57,'QA Log'!M:M,"Vignette",'QA Log'!L:L,"*Vignette [10] Post Partum Haemorrhage - Atonic Uterus at Health Centre*"),
)
)</f>
        <v/>
      </c>
      <c r="BF57" s="102" t="str">
        <f>IF(A57="","",
  SUM(
    COUNTIFS('QA Log'!D:D,A57,'QA Log'!M:M,"Vignette",'QA Log'!Z:Z,"Approved",'QA Log'!L:L,"*Vignette [5] Labor*"),
    COUNTIFS('QA Log'!D:D,A57,'QA Log'!M:M,"Vignette",'QA Log'!Z:Z,"Approved",'QA Log'!L:L,"*Vignette [6] PNC pre Discharge*"),
    COUNTIFS('QA Log'!D:D,A57,'QA Log'!M:M,"Vignette",'QA Log'!Z:Z,"Approved",'QA Log'!L:L,"*Vignette [7] First ANC Visit*"),
    COUNTIFS('QA Log'!D:D,A57,'QA Log'!M:M,"Vignette",'QA Log'!Z:Z,"Approved",'QA Log'!L:L,"*Vignette [8] Birth Spacing/ Family Planning :  FP Counselling*"),
    COUNTIFS('QA Log'!D:D,A57,'QA Log'!M:M,"Vignette",'QA Log'!Z:Z,"Approved",'QA Log'!L:L,"*Vignette [9] Birth Spacing: Change FP method to Injectable*"),
    COUNTIFS('QA Log'!D:D,A57,'QA Log'!M:M,"Vignette",'QA Log'!Z:Z,"Approved",'QA Log'!L:L,"*Vignette [10] Post Partum Haemorrhage - Atonic Uterus at Health Centre*")
  )
)</f>
        <v/>
      </c>
      <c r="BG57" s="105" t="str">
        <f>IF(A57&lt;&gt;"",COUNTIFS('QA Log'!D:D,A57,'QA Log'!M:M,"Vignette",'QA Log'!L:L,"Vignette [5] Labor",'QA Log'!Z:Z,"Approved"),"")</f>
        <v/>
      </c>
      <c r="BH57" s="105" t="str">
        <f>IF(A57&lt;&gt;"",COUNTIFS('QA Log'!D:D,A57,'QA Log'!M:M,"Vignette",'QA Log'!L:L,"Vignette [6] PNC pre Discharge",'QA Log'!Z:Z,"Approved"),"")</f>
        <v/>
      </c>
      <c r="BI57" s="105" t="str">
        <f>IF(A57&lt;&gt;"",COUNTIFS('QA Log'!D:D,A57,'QA Log'!M:M,"Vignette",'QA Log'!L:L,"Vignette [7] First ANC Visit",'QA Log'!Z:Z,"Approved"),"")</f>
        <v/>
      </c>
      <c r="BJ57" s="105" t="str">
        <f>IF(A57&lt;&gt;"",COUNTIFS('QA Log'!D:D,A57,'QA Log'!M:M,"Vignette",'QA Log'!L:L,"Vignette [8] Birth Spacing/ Family Planning :  FP Counselling",'QA Log'!Z:Z,"Approved"),"")</f>
        <v/>
      </c>
      <c r="BK57" s="105" t="str">
        <f>IF(A57&lt;&gt;"",COUNTIFS('QA Log'!D:D,A57,'QA Log'!M:M,"Vignette",'QA Log'!L:L,"Vignette [9] Birth Spacing: Change FP method to Injectable",'QA Log'!Z:Z,"Approved"),"")</f>
        <v/>
      </c>
      <c r="BL57" s="105" t="str">
        <f>IF(A57&lt;&gt;"",COUNTIFS('QA Log'!D:D,A57,'QA Log'!M:M,"Vignette",'QA Log'!L:L,"Vignette [10] Post Partum Haemorrhage - Atonic Uterus at Health Centre",'QA Log'!Z:Z,"Approved"),"")</f>
        <v/>
      </c>
      <c r="BM57" s="102" t="str">
        <f>IF(A57="","",SUM(
    COUNTIFS('QA Log'!D:D,A57,'QA Log'!M:M,"Vignette",'QA Log'!Z:Z,"Rejected",'QA Log'!L:L,"*Vignette [5] Labor*"),
    COUNTIFS('QA Log'!D:D,A57,'QA Log'!M:M,"Vignette",'QA Log'!Z:Z,"Rejected",'QA Log'!L:L,"*Vignette [6] PNC pre Discharge*"),
    COUNTIFS('QA Log'!D:D,A57,'QA Log'!M:M,"Vignette",'QA Log'!Z:Z,"Rejected",'QA Log'!L:L,"*Vignette [7] First ANC Visit*"),
    COUNTIFS('QA Log'!D:D,A57,'QA Log'!M:M,"Vignette",'QA Log'!Z:Z,"Rejected",'QA Log'!L:L,"*Vignette [8] Birth Spacing/ Family Planning :  FP Counselling*"),
    COUNTIFS('QA Log'!D:D,A57,'QA Log'!M:M,"Vignette",'QA Log'!Z:Z,"Rejected",'QA Log'!L:L,"*Vignette [9] Birth Spacing: Change FP method to Injectable*"),
    COUNTIFS('QA Log'!D:D,A57,'QA Log'!M:M,"Vignette",'QA Log'!Z:Z,"Rejected",'QA Log'!L:L,"*Vignette [10] Post Partum Haemorrhage - Atonic Uterus at Health Centre*")
  )
)</f>
        <v/>
      </c>
      <c r="BN57" s="107" t="str">
        <f t="shared" si="11"/>
        <v/>
      </c>
      <c r="BO57" s="103" t="str">
        <f t="shared" si="12"/>
        <v/>
      </c>
      <c r="BP57" s="102" t="str">
        <f>IF(A57="","",SUM(
COUNTIFS('QA Log'!D:D,A57,'QA Log'!M:M,"Vignette",'QA Log'!L:L,"*Exit Interview 1*"),
COUNTIFS('QA Log'!D:D,A57,'QA Log'!M:M,"Vignette",'QA Log'!L:L,"*Exit Interview 2*"),
)
)</f>
        <v/>
      </c>
      <c r="BQ57" s="102" t="str">
        <f>IF(
  A57="","",
  SUM(
    COUNTIFS('QA Log'!D:D,A57,'QA Log'!M:M,"Vignette",'QA Log'!Z:Z,"Approved",'QA Log'!L:L,"*Exit Interview 1*"),
    COUNTIFS('QA Log'!D:D,A57,'QA Log'!M:M,"Vignette",'QA Log'!Z:Z,"Approved",'QA Log'!L:L,"*Exit Interview 2*")
  )
)</f>
        <v/>
      </c>
      <c r="BR57" s="105" t="str">
        <f>IF(A57&lt;&gt;"",COUNTIFS('QA Log'!D:D,A57,'QA Log'!M:M,"Vignette",'QA Log'!L:L,"Exit Interview 1",'QA Log'!Z:Z,"Approved"),"")</f>
        <v/>
      </c>
      <c r="BS57" s="105" t="str">
        <f>IF(A57&lt;&gt;"",COUNTIFS('QA Log'!D:D,A57,'QA Log'!M:M,"Vignette",'QA Log'!L:L,"Exit Interview 2",'QA Log'!Z:Z,"Approved"),"")</f>
        <v/>
      </c>
      <c r="BT57" s="102" t="str">
        <f>IF(
  A57="","",
  SUM(
    COUNTIFS('QA Log'!D:D,A57,'QA Log'!M:M,"Vignette",'QA Log'!Z:Z,"Rejected",'QA Log'!L:L,"*Exit Interview 1*"),
    COUNTIFS('QA Log'!D:D,A57,'QA Log'!M:M,"Vignette",'QA Log'!Z:Z,"Rejected",'QA Log'!L:L,"*Exit Interview 2*")
  )
)</f>
        <v/>
      </c>
      <c r="BU57" s="107" t="str">
        <f t="shared" si="13"/>
        <v/>
      </c>
      <c r="BV57" s="102" t="str">
        <f t="shared" si="14"/>
        <v/>
      </c>
      <c r="BW57" s="102" t="str">
        <f t="shared" si="15"/>
        <v/>
      </c>
      <c r="BX57" s="102" t="str">
        <f t="shared" si="16"/>
        <v/>
      </c>
      <c r="BY57" s="102" t="str">
        <f t="shared" si="17"/>
        <v/>
      </c>
      <c r="BZ57" s="107" t="str">
        <f t="shared" si="18"/>
        <v/>
      </c>
      <c r="CA57" s="108" t="str">
        <f t="shared" si="19"/>
        <v/>
      </c>
      <c r="CB57" s="108" t="str">
        <f t="shared" si="20"/>
        <v/>
      </c>
      <c r="CC57" s="109" t="str">
        <f t="shared" si="21"/>
        <v/>
      </c>
      <c r="CD57" s="108" t="str">
        <f t="shared" si="22"/>
        <v/>
      </c>
      <c r="CE57" s="108" t="str">
        <f t="shared" si="23"/>
        <v/>
      </c>
      <c r="CF57" s="109" t="str">
        <f t="shared" si="24"/>
        <v/>
      </c>
      <c r="CG57" s="110" t="str">
        <f t="shared" si="25"/>
        <v/>
      </c>
      <c r="CH57" s="111"/>
    </row>
    <row r="58" spans="1:86" ht="12.75">
      <c r="A58" s="101"/>
      <c r="B58" s="102" t="e">
        <f t="array" aca="1" ref="B58" ca="1">_xludf.XLOOKUP(A58,'QA Log'!D:D,'QA Log'!E:E,"")</f>
        <v>#NAME?</v>
      </c>
      <c r="C58" s="102" t="e">
        <f t="array" aca="1" ref="C58" ca="1">_xludf.XLOOKUP(A58,'QA Log'!D:D,'QA Log'!F:F,"")</f>
        <v>#NAME?</v>
      </c>
      <c r="D58" s="102" t="e">
        <f t="array" aca="1" ref="D58" ca="1">_xludf.XLOOKUP(A58,'QA Log'!D:D,'QA Log'!H:H,"")</f>
        <v>#NAME?</v>
      </c>
      <c r="E58" s="102" t="e">
        <f t="array" aca="1" ref="E58" ca="1">_xludf.XLOOKUP(A58,'QA Log'!D:D,'QA Log'!G:G,"")</f>
        <v>#NAME?</v>
      </c>
      <c r="F58" s="103"/>
      <c r="G58" s="104"/>
      <c r="H58" s="104"/>
      <c r="I58" s="103" t="str">
        <f t="shared" si="0"/>
        <v/>
      </c>
      <c r="J58" s="102" t="str">
        <f>IF(A58="","",SUM(
COUNTIFS('QA Log'!D:D,A58,'QA Log'!M:M,"QQC",'QA Log'!L:L,"*1. General Management*"),
COUNTIFS('QA Log'!D:D,A58,'QA Log'!M:M,"QQC",'QA Log'!L:L,"*3. Curative Consultation (OPD)*"),
COUNTIFS('QA Log'!D:D,A58,'QA Log'!M:M,"QQC",'QA Log'!L:L,"*5. Laboratory*"),
COUNTIFS('QA Log'!D:D,A58,'QA Log'!M:M,"QQC",'QA Log'!L:L,"*6. Essential Medicine Management*"),
COUNTIFS('QA Log'!D:D,A58,'QA Log'!M:M,"QQC",'QA Log'!L:L,"*7. Tracer Medicine*"),
COUNTIFS('QA Log'!D:D,A58,'QA Log'!M:M,"QQC",'QA Log'!L:L,"*11. Additional Questions*")))</f>
        <v/>
      </c>
      <c r="K58" s="102" t="str">
        <f>IF(A58="","",SUM(
COUNTIFS('QA Log'!D:D,A58,'QA Log'!M:M,"QQC",'QA Log'!Z:Z,"Approved",'QA Log'!L:L,"*1. General Management*"),
COUNTIFS('QA Log'!D:D,A58,'QA Log'!M:M,"QQC",'QA Log'!Z:Z,"Approved",'QA Log'!L:L,"*3. Curative Consultation (OPD)*"),
COUNTIFS('QA Log'!D:D,A58,'QA Log'!M:M,"QQC",'QA Log'!Z:Z,"Approved",'QA Log'!L:L,"*5. Laboratory*"),
COUNTIFS('QA Log'!D:D,A58,'QA Log'!M:M,"QQC",'QA Log'!Z:Z,"Approved",'QA Log'!L:L,"*6. Essential Medicine Management*"),
COUNTIFS('QA Log'!D:D,A58,'QA Log'!M:M,"QQC",'QA Log'!Z:Z,"Approved",'QA Log'!L:L,"*7. Tracer Medicine*"),
COUNTIFS('QA Log'!D:D,A58,'QA Log'!M:M,"QQC",'QA Log'!Z:Z,"Approved",'QA Log'!L:L,"*11. Additional Questions*")))</f>
        <v/>
      </c>
      <c r="L58" s="105" t="str">
        <f>IF(A58&lt;&gt;"",COUNTIFS('QA Log'!D:D,A58,'QA Log'!M:M,"QQC",'QA Log'!L:L,"1. General Management",'QA Log'!Z:Z,"Approved"),"")</f>
        <v/>
      </c>
      <c r="M58" s="105" t="str">
        <f>IF(A58&lt;&gt;"",COUNTIFS('QA Log'!D:D,A58,'QA Log'!M:M,"QQC",'QA Log'!L:L,"3. Curative Consultation (OPD)",'QA Log'!Z:Z,"Approved"),"")</f>
        <v/>
      </c>
      <c r="N58" s="105" t="str">
        <f>IF(A58&lt;&gt;"",COUNTIFS('QA Log'!D:D,A58,'QA Log'!M:M,"QQC",'QA Log'!L:L,"5. Laboratory",'QA Log'!Z:Z,"Approved"),"")</f>
        <v/>
      </c>
      <c r="O58" s="105" t="str">
        <f>IF(A58&lt;&gt;"",COUNTIFS('QA Log'!D:D,A58,'QA Log'!M:M,"QQC",'QA Log'!L:L,"6. Essential Medicine Management",'QA Log'!Z:Z,"Approved"),"")</f>
        <v/>
      </c>
      <c r="P58" s="105" t="str">
        <f>IF(A58&lt;&gt;"",COUNTIFS('QA Log'!D:D,A58,'QA Log'!M:M,"QQC",'QA Log'!L:L,"7. Tracer Medicine",'QA Log'!Z:Z,"Approved"),"")</f>
        <v/>
      </c>
      <c r="Q58" s="105" t="str">
        <f>IF(A58&lt;&gt;"",COUNTIFS('QA Log'!D:D,A58,'QA Log'!M:M,"QQC",'QA Log'!L:L,"11. Additional Questions",'QA Log'!Z:Z,"Approved"),"")</f>
        <v/>
      </c>
      <c r="R58" s="102" t="str">
        <f>IF(A58="","",SUM(
COUNTIFS('QA Log'!D:D,A58,'QA Log'!M:M,"QQC",'QA Log'!Z:Z,"Rejected",'QA Log'!L:L,"*8. Maternity*"),
COUNTIFS('QA Log'!D:D,A58,'QA Log'!M:M,"QQC",'QA Log'!Z:Z,"Rejected",'QA Log'!L:L,"*EPI*"),
COUNTIFS('QA Log'!D:D,A58,'QA Log'!M:M,"QQC",'QA Log'!Z:Z,"Rejected",'QA Log'!L:L,"*10. Antenatal Care (ANC)*"),
COUNTIFS('QA Log'!D:D,A58,'QA Log'!M:M,"QQC",'QA Log'!Z:Z,"Rejected",'QA Log'!L:L,"*2. Hygiene and Sterilization*"),
COUNTIFS('QA Log'!D:D,A58,'QA Log'!M:M,"QQC",'QA Log'!Z:Z,"Rejected",'QA Log'!L:L,"*Family Planning*")))</f>
        <v/>
      </c>
      <c r="S58" s="106" t="str">
        <f t="shared" si="1"/>
        <v/>
      </c>
      <c r="T58" s="102" t="str">
        <f t="shared" si="2"/>
        <v/>
      </c>
      <c r="U58" s="102" t="str">
        <f>IF(A58="","",
SUM(
COUNTIFS('QA Log'!D:D,A58,'QA Log'!M:M,"QQC",'QA Log'!L:L,"*8. Maternity*"),
COUNTIFS('QA Log'!D:D,A58,'QA Log'!M:M,"QQC",'QA Log'!L:L,"*9. EPI and Pre-school Consultation*"),
COUNTIFS('QA Log'!D:D,A58,'QA Log'!M:M,"QQC",'QA Log'!L:L,"*10. Antenatal Care (ANC)*"),
COUNTIFS('QA Log'!D:D,A58,'QA Log'!M:M,"QQC",'QA Log'!L:L,"*2. Hygiene and Sterilization*"),
COUNTIFS('QA Log'!D:D,A58,'QA Log'!M:M,"QQC",'QA Log'!L:L,"*4. Family Planning*")
))</f>
        <v/>
      </c>
      <c r="V58" s="102" t="str">
        <f>IF(A58="","",
SUM(
COUNTIFS('QA Log'!D:D,A58,'QA Log'!M:M,"QQC",'QA Log'!Z:Z,"Approved",'QA Log'!L:L,"*8. Maternity*"),
COUNTIFS('QA Log'!D:D,A58,'QA Log'!M:M,"QQC",'QA Log'!Z:Z,"Approved",'QA Log'!L:L,"*9. EPI and Pre-school Consultation*"),
COUNTIFS('QA Log'!D:D,A58,'QA Log'!M:M,"QQC",'QA Log'!Z:Z,"Approved",'QA Log'!L:L,"*10. Antenatal Care (ANC)*"),
COUNTIFS('QA Log'!D:D,A58,'QA Log'!M:M,"QQC",'QA Log'!Z:Z,"Approved",'QA Log'!L:L,"*2. Hygiene and Sterilization*"),
COUNTIFS('QA Log'!D:D,A58,'QA Log'!M:M,"QQC",'QA Log'!Z:Z,"Approved",'QA Log'!L:L,"*4. Family Planning*")
))</f>
        <v/>
      </c>
      <c r="W58" s="105" t="str">
        <f>IF(A58&lt;&gt;"",COUNTIFS('QA Log'!D:D,A58,'QA Log'!M:M,"QQC",'QA Log'!L:L,"8. Maternity",'QA Log'!Z:Z,"Approved"),"")</f>
        <v/>
      </c>
      <c r="X58" s="105" t="str">
        <f>IF(A58&lt;&gt;"",COUNTIFS('QA Log'!D:D,A58,'QA Log'!M:M,"QQC",'QA Log'!L:L,"9. EPI and Pre-school Consultation",'QA Log'!Z:Z,"Approved"),"")</f>
        <v/>
      </c>
      <c r="Y58" s="105" t="str">
        <f>IF(A58&lt;&gt;"",COUNTIFS('QA Log'!D:D,A58,'QA Log'!M:M,"QQC",'QA Log'!L:L,"10. Antenatal Care (ANC)",'QA Log'!Z:Z,"Approved"),"")</f>
        <v/>
      </c>
      <c r="Z58" s="105" t="str">
        <f>IF(A58&lt;&gt;"",COUNTIFS('QA Log'!D:D,A58,'QA Log'!M:M,"QQC",'QA Log'!L:L,"2. Hygiene and Sterilization",'QA Log'!Z:Z,"Approved"),"")</f>
        <v/>
      </c>
      <c r="AA58" s="105" t="str">
        <f>IF(A58&lt;&gt;"",COUNTIFS('QA Log'!D:D,A58,'QA Log'!M:M,"QQC",'QA Log'!L:L,"4. Family Planning",'QA Log'!Z:Z,"Approved"),"")</f>
        <v/>
      </c>
      <c r="AB58" s="102" t="str">
        <f>IF(A58="","",
SUM(
COUNTIFS('QA Log'!D:D,A58,'QA Log'!M:M,"QQC",'QA Log'!Z:Z,"Rejected",'QA Log'!L:L,"*8. Maternity*"),
COUNTIFS('QA Log'!D:D,A58,'QA Log'!M:M,"QQC",'QA Log'!Z:Z,"Rejected",'QA Log'!L:L,"*9. EPI and Pre-school Consultation*"),
COUNTIFS('QA Log'!D:D,A58,'QA Log'!M:M,"QQC",'QA Log'!Z:Z,"Rejected",'QA Log'!L:L,"*10. Antenatal Care (ANC)*"),
COUNTIFS('QA Log'!D:D,A58,'QA Log'!M:M,"QQC",'QA Log'!Z:Z,"Rejected",'QA Log'!L:L,"*2. Hygiene and Sterilization*"),
COUNTIFS('QA Log'!D:D,A58,'QA Log'!M:M,"QQC",'QA Log'!Z:Z,"Rejected",'QA Log'!L:L,"*4. Family Planning*")
))</f>
        <v/>
      </c>
      <c r="AC58" s="102" t="str">
        <f t="shared" si="3"/>
        <v/>
      </c>
      <c r="AD58" s="103" t="str">
        <f t="shared" si="4"/>
        <v/>
      </c>
      <c r="AE58" s="102" t="str">
        <f>IF(A58="","",
SUM(
COUNTIFS('QA Log'!D:D,A58,'QA Log'!M:M,"Data Verification",'QA Log'!L:L,"*Medicine (section 2)*"),
COUNTIFS('QA Log'!D:D,A58,'QA Log'!M:M,"Data Verification",'QA Log'!L:L,"*Lab Testing Availability*"),
COUNTIFS('QA Log'!D:D,A58,'QA Log'!M:M,"Data Verification",'QA Log'!L:L,"*Other than P4P (section 6)*"),
COUNTIFS('QA Log'!D:D,A58,'QA Log'!M:M,"Data Verification",'QA Log'!L:L,"*Hospital Governance*")
))</f>
        <v/>
      </c>
      <c r="AF58" s="102" t="str">
        <f>IF(A58="","",
SUM(
COUNTIFS('QA Log'!D:D,A58,'QA Log'!M:M,"Data Verification",'QA Log'!Z:Z,"Approved",'QA Log'!L:L,"*Medicine (section 2)*"),
COUNTIFS('QA Log'!D:D,A58,'QA Log'!M:M,"Data Verification",'QA Log'!Z:Z,"Approved",'QA Log'!L:L,"*Lab Testing Availability*"),
COUNTIFS('QA Log'!D:D,A58,'QA Log'!M:M,"Data Verification",'QA Log'!Z:Z,"Approved",'QA Log'!L:L,"*Other than P4P (section 6)*"),
COUNTIFS('QA Log'!D:D,A58,'QA Log'!M:M,"Data Verification",'QA Log'!Z:Z,"Approved",'QA Log'!L:L,"*Hospital Governance*")
))</f>
        <v/>
      </c>
      <c r="AG58" s="105" t="str">
        <f>IF(A58&lt;&gt;"",COUNTIFS('QA Log'!D:D,A58,'QA Log'!M:M,"Data Verification",'QA Log'!L:L,"Medicine (section 2)",'QA Log'!Z:Z,"Approved"),"")</f>
        <v/>
      </c>
      <c r="AH58" s="105" t="str">
        <f>IF(A58&lt;&gt;"",COUNTIFS('QA Log'!D:D,A58,'QA Log'!M:M,"Data Verification",'QA Log'!L:L,"Lab Testing Availability",'QA Log'!Z:Z,"Approved"),"")</f>
        <v/>
      </c>
      <c r="AI58" s="105" t="str">
        <f>IF(A58&lt;&gt;"",COUNTIFS('QA Log'!D:D,A58,'QA Log'!M:M,"Data Verification",'QA Log'!L:L,"Other than P4P (section 6)",'QA Log'!Z:Z,"Approved"),"")</f>
        <v/>
      </c>
      <c r="AJ58" s="105" t="str">
        <f>IF(A58&lt;&gt;"",COUNTIFS('QA Log'!D:D,A58,'QA Log'!M:M,"Data Verification",'QA Log'!L:L,"Hospital Governance",'QA Log'!Z:Z,"Approved"),"")</f>
        <v/>
      </c>
      <c r="AK58" s="102" t="str">
        <f>IF(A58="","",
SUM(
COUNTIFS('QA Log'!D:D,A58,'QA Log'!M:M,"Data Verification",'QA Log'!Z:Z,"Rejected",'QA Log'!L:L,"*Medicine (section 2)*"),
COUNTIFS('QA Log'!D:D,A58,'QA Log'!M:M,"Data Verification",'QA Log'!Z:Z,"Rejected",'QA Log'!L:L,"*Lab Testing Availability*"),
COUNTIFS('QA Log'!D:D,A58,'QA Log'!M:M,"Data Verification",'QA Log'!Z:Z,"Rejected",'QA Log'!L:L,"*Other than P4P (section 6)*"),
COUNTIFS('QA Log'!D:D,A58,'QA Log'!M:M,"Data Verification",'QA Log'!Z:Z,"Rejected",'QA Log'!L:L,"*Hospital Governance*")
))</f>
        <v/>
      </c>
      <c r="AL58" s="106" t="str">
        <f t="shared" si="5"/>
        <v/>
      </c>
      <c r="AM58" s="102" t="str">
        <f t="shared" si="6"/>
        <v/>
      </c>
      <c r="AN58" s="102" t="str">
        <f>IF(A58="","",
SUM(
COUNTIFS('QA Log'!D:D,A58,'QA Log'!M:M,"Data Verification",'QA Log'!L:L,"*Personnel (section 1)*"),
COUNTIFS('QA Log'!D:D,A58,'QA Log'!M:M,"Data Verification",'QA Log'!L:L,"*Consumable (section 3)*"),
COUNTIFS('QA Log'!D:D,A58,'QA Log'!M:M,"Data Verification",'QA Log'!L:L,"*Equipments (section 4)*")
))</f>
        <v/>
      </c>
      <c r="AO58" s="102" t="str">
        <f>IF(A58="","",
SUM(
COUNTIFS('QA Log'!D:D,A58,'QA Log'!M:M,"Data Verification",'QA Log'!Z:Z,"Approved",'QA Log'!L:L,"*Personnel (section 1)*"),
COUNTIFS('QA Log'!D:D,A58,'QA Log'!M:M,"Data Verification",'QA Log'!Z:Z,"Approved",'QA Log'!L:L,"*Consumable (section 3)*"),
COUNTIFS('QA Log'!D:D,A58,'QA Log'!M:M,"Data Verification",'QA Log'!Z:Z,"Approved",'QA Log'!L:L,"*Equipments (section 4)*")
))</f>
        <v/>
      </c>
      <c r="AP58" s="105" t="str">
        <f>IF(A58&lt;&gt;"",COUNTIFS('QA Log'!D:D,A58,'QA Log'!M:M,"Data Verification",'QA Log'!L:L,"Personnel (section 1)",'QA Log'!Z:Z,"Approved"),"")</f>
        <v/>
      </c>
      <c r="AQ58" s="105" t="str">
        <f>IF(A58&lt;&gt;"",COUNTIFS('QA Log'!D:D,A58,'QA Log'!M:M,"Data Verification",'QA Log'!L:L,"Consumable (section 3)",'QA Log'!Z:Z,"Approved"),"")</f>
        <v/>
      </c>
      <c r="AR58" s="105" t="str">
        <f>IF(A58&lt;&gt;"",COUNTIFS('QA Log'!D:D,A58,'QA Log'!M:M,"Data Verification",'QA Log'!L:L,"Equipments (section 4)",'QA Log'!Z:Z,"Approved"),"")</f>
        <v/>
      </c>
      <c r="AS58" s="102" t="str">
        <f>IF(A58="","",
SUM(
COUNTIFS('QA Log'!D:D,A58,'QA Log'!M:M,"Data Verification",'QA Log'!Z:Z,"Rejected",'QA Log'!L:L,"*Personnel (section 1)*"),
COUNTIFS('QA Log'!D:D,A58,'QA Log'!M:M,"Data Verification",'QA Log'!Z:Z,"Rejected",'QA Log'!L:L,"*Consumable (section 3)*"),
COUNTIFS('QA Log'!D:D,A58,'QA Log'!M:M,"Data Verification",'QA Log'!Z:Z,"Rejected",'QA Log'!L:L,"*Equipments (section 4)*")
))</f>
        <v/>
      </c>
      <c r="AT58" s="102" t="str">
        <f t="shared" si="7"/>
        <v/>
      </c>
      <c r="AU58" s="103" t="str">
        <f t="shared" si="8"/>
        <v/>
      </c>
      <c r="AV58" s="102" t="str">
        <f>IF(A58="","",SUM(
COUNTIFS('QA Log'!D:D,A58,'QA Log'!M:M,"Vignette",'QA Log'!L:L,"*Vignette [1] Respiratory Infection: Pneumonia*"),
COUNTIFS('QA Log'!D:D,A58,'QA Log'!M:M,"Vignette",'QA Log'!L:L,"*Vignette [2]: Diarrhea with Cat B dehydration*"),
COUNTIFS('QA Log'!D:D,A58,'QA Log'!M:M,"Vignette",'QA Log'!L:L,"*Vignette [3] Growth Monitoring and Promotion*"),
COUNTIFS('QA Log'!D:D,A58,'QA Log'!M:M,"Vignette",'QA Log'!L:L,"*Vignette [4]: The management of presumptive TB patient*")
)
)</f>
        <v/>
      </c>
      <c r="AW58" s="102" t="str">
        <f>IF(
  A58="","",
  SUM(
    COUNTIFS('QA Log'!D:D,A58,'QA Log'!M:M,"Vignette",'QA Log'!Z:Z,"Approved",'QA Log'!L:L,"*Vignette [1] Respiratory Infection: Pneumonia*"),
    COUNTIFS('QA Log'!D:D,A58,'QA Log'!M:M,"Vignette",'QA Log'!Z:Z,"Approved",'QA Log'!L:L,"*Vignette [2]: Diarrhea with Cat B dehydration*"),
    COUNTIFS('QA Log'!D:D,A58,'QA Log'!M:M,"Vignette",'QA Log'!Z:Z,"Approved",'QA Log'!L:L,"*Vignette [3] Growth Monitoring and Promotion*"),
    COUNTIFS('QA Log'!D:D,A58,'QA Log'!M:M,"Vignette",'QA Log'!Z:Z,"Approved",'QA Log'!L:L,"*Vignette [4]: The management of presumptive TB patient*")
  )
)</f>
        <v/>
      </c>
      <c r="AX58" s="105" t="str">
        <f>IF(A58&lt;&gt;"",COUNTIFS('QA Log'!D:D,A58,'QA Log'!M:M,"Vignette",'QA Log'!L:L,"Vignette [1] Respiratory Infection: Pneumonia",'QA Log'!Z:Z,"Approved"),"")</f>
        <v/>
      </c>
      <c r="AY58" s="105" t="str">
        <f>IF(A58&lt;&gt;"",COUNTIFS('QA Log'!D:D,A58,'QA Log'!M:M,"Vignette",'QA Log'!L:L,"Vignette [2]: Diarrhea with Cat B dehydration",'QA Log'!Z:Z,"Approved"),"")</f>
        <v/>
      </c>
      <c r="AZ58" s="105" t="str">
        <f>IF(A58&lt;&gt;"",COUNTIFS('QA Log'!D:D,A58,'QA Log'!M:M,"Vignette",'QA Log'!L:L,"Vignette [3] Growth Monitoring and Promotion",'QA Log'!Z:Z,"Approved"),"")</f>
        <v/>
      </c>
      <c r="BA58" s="105" t="str">
        <f>IF(A58&lt;&gt;"",COUNTIFS('QA Log'!D:D,A58,'QA Log'!M:M,"Vignette",'QA Log'!L:L,"Vignette [4]: The management of presumptive TB patient",'QA Log'!Z:Z,"Approved"),"")</f>
        <v/>
      </c>
      <c r="BB58" s="102" t="str">
        <f>IF(A58="","",
  SUM(
    COUNTIFS('QA Log'!D:D,A58,'QA Log'!M:M,"Vignette",'QA Log'!Z:Z,"Rejected",'QA Log'!L:L,"*Vignette [1] Respiratory Infection: Pneumonia*"),
    COUNTIFS('QA Log'!D:D,A58,'QA Log'!M:M,"Vignette",'QA Log'!Z:Z,"Rejected",'QA Log'!L:L,"*Vignette [2]: Diarrhea with Cat B dehydration*"),
    COUNTIFS('QA Log'!D:D,A58,'QA Log'!M:M,"Vignette",'QA Log'!Z:Z,"Rejected",'QA Log'!L:L,"*Vignette [3] Growth Monitoring and Promotion*"),
    COUNTIFS('QA Log'!D:D,A58,'QA Log'!M:M,"Vignette",'QA Log'!Z:Z,"Rejected",'QA Log'!L:L,"*Vignette [4]: The management of presumptive TB patient*")
  )
)</f>
        <v/>
      </c>
      <c r="BC58" s="107" t="str">
        <f t="shared" si="9"/>
        <v/>
      </c>
      <c r="BD58" s="103" t="str">
        <f t="shared" si="10"/>
        <v/>
      </c>
      <c r="BE58" s="102" t="str">
        <f>IF(A58="","",SUM(
COUNTIFS('QA Log'!D:D,A58,'QA Log'!M:M,"Vignette",'QA Log'!L:L,"*Vignette [5] Labor*"),
COUNTIFS('QA Log'!D:D,A58,'QA Log'!M:M,"Vignette",'QA Log'!L:L,"*Vignette [6] PNC pre Discharge*"),
COUNTIFS('QA Log'!D:D,A58,'QA Log'!M:M,"Vignette",'QA Log'!L:L,"*Vignette [7] First ANC Visit*"),
COUNTIFS('QA Log'!D:D,A58,'QA Log'!M:M,"Vignette",'QA Log'!L:L,"*Vignette [8] Birth Spacing/ Family Planning :  FP Counselling*"),
COUNTIFS('QA Log'!D:D,A58,'QA Log'!M:M,"Vignette",'QA Log'!L:L,"*Vignette [9] Birth Spacing: Change FP method to Injectable*"),
COUNTIFS('QA Log'!D:D,A58,'QA Log'!M:M,"Vignette",'QA Log'!L:L,"*Vignette [10] Post Partum Haemorrhage - Atonic Uterus at Health Centre*"),
)
)</f>
        <v/>
      </c>
      <c r="BF58" s="102" t="str">
        <f>IF(A58="","",
  SUM(
    COUNTIFS('QA Log'!D:D,A58,'QA Log'!M:M,"Vignette",'QA Log'!Z:Z,"Approved",'QA Log'!L:L,"*Vignette [5] Labor*"),
    COUNTIFS('QA Log'!D:D,A58,'QA Log'!M:M,"Vignette",'QA Log'!Z:Z,"Approved",'QA Log'!L:L,"*Vignette [6] PNC pre Discharge*"),
    COUNTIFS('QA Log'!D:D,A58,'QA Log'!M:M,"Vignette",'QA Log'!Z:Z,"Approved",'QA Log'!L:L,"*Vignette [7] First ANC Visit*"),
    COUNTIFS('QA Log'!D:D,A58,'QA Log'!M:M,"Vignette",'QA Log'!Z:Z,"Approved",'QA Log'!L:L,"*Vignette [8] Birth Spacing/ Family Planning :  FP Counselling*"),
    COUNTIFS('QA Log'!D:D,A58,'QA Log'!M:M,"Vignette",'QA Log'!Z:Z,"Approved",'QA Log'!L:L,"*Vignette [9] Birth Spacing: Change FP method to Injectable*"),
    COUNTIFS('QA Log'!D:D,A58,'QA Log'!M:M,"Vignette",'QA Log'!Z:Z,"Approved",'QA Log'!L:L,"*Vignette [10] Post Partum Haemorrhage - Atonic Uterus at Health Centre*")
  )
)</f>
        <v/>
      </c>
      <c r="BG58" s="105" t="str">
        <f>IF(A58&lt;&gt;"",COUNTIFS('QA Log'!D:D,A58,'QA Log'!M:M,"Vignette",'QA Log'!L:L,"Vignette [5] Labor",'QA Log'!Z:Z,"Approved"),"")</f>
        <v/>
      </c>
      <c r="BH58" s="105" t="str">
        <f>IF(A58&lt;&gt;"",COUNTIFS('QA Log'!D:D,A58,'QA Log'!M:M,"Vignette",'QA Log'!L:L,"Vignette [6] PNC pre Discharge",'QA Log'!Z:Z,"Approved"),"")</f>
        <v/>
      </c>
      <c r="BI58" s="105" t="str">
        <f>IF(A58&lt;&gt;"",COUNTIFS('QA Log'!D:D,A58,'QA Log'!M:M,"Vignette",'QA Log'!L:L,"Vignette [7] First ANC Visit",'QA Log'!Z:Z,"Approved"),"")</f>
        <v/>
      </c>
      <c r="BJ58" s="105" t="str">
        <f>IF(A58&lt;&gt;"",COUNTIFS('QA Log'!D:D,A58,'QA Log'!M:M,"Vignette",'QA Log'!L:L,"Vignette [8] Birth Spacing/ Family Planning :  FP Counselling",'QA Log'!Z:Z,"Approved"),"")</f>
        <v/>
      </c>
      <c r="BK58" s="105" t="str">
        <f>IF(A58&lt;&gt;"",COUNTIFS('QA Log'!D:D,A58,'QA Log'!M:M,"Vignette",'QA Log'!L:L,"Vignette [9] Birth Spacing: Change FP method to Injectable",'QA Log'!Z:Z,"Approved"),"")</f>
        <v/>
      </c>
      <c r="BL58" s="105" t="str">
        <f>IF(A58&lt;&gt;"",COUNTIFS('QA Log'!D:D,A58,'QA Log'!M:M,"Vignette",'QA Log'!L:L,"Vignette [10] Post Partum Haemorrhage - Atonic Uterus at Health Centre",'QA Log'!Z:Z,"Approved"),"")</f>
        <v/>
      </c>
      <c r="BM58" s="102" t="str">
        <f>IF(A58="","",SUM(
    COUNTIFS('QA Log'!D:D,A58,'QA Log'!M:M,"Vignette",'QA Log'!Z:Z,"Rejected",'QA Log'!L:L,"*Vignette [5] Labor*"),
    COUNTIFS('QA Log'!D:D,A58,'QA Log'!M:M,"Vignette",'QA Log'!Z:Z,"Rejected",'QA Log'!L:L,"*Vignette [6] PNC pre Discharge*"),
    COUNTIFS('QA Log'!D:D,A58,'QA Log'!M:M,"Vignette",'QA Log'!Z:Z,"Rejected",'QA Log'!L:L,"*Vignette [7] First ANC Visit*"),
    COUNTIFS('QA Log'!D:D,A58,'QA Log'!M:M,"Vignette",'QA Log'!Z:Z,"Rejected",'QA Log'!L:L,"*Vignette [8] Birth Spacing/ Family Planning :  FP Counselling*"),
    COUNTIFS('QA Log'!D:D,A58,'QA Log'!M:M,"Vignette",'QA Log'!Z:Z,"Rejected",'QA Log'!L:L,"*Vignette [9] Birth Spacing: Change FP method to Injectable*"),
    COUNTIFS('QA Log'!D:D,A58,'QA Log'!M:M,"Vignette",'QA Log'!Z:Z,"Rejected",'QA Log'!L:L,"*Vignette [10] Post Partum Haemorrhage - Atonic Uterus at Health Centre*")
  )
)</f>
        <v/>
      </c>
      <c r="BN58" s="107" t="str">
        <f t="shared" si="11"/>
        <v/>
      </c>
      <c r="BO58" s="103" t="str">
        <f t="shared" si="12"/>
        <v/>
      </c>
      <c r="BP58" s="102" t="str">
        <f>IF(A58="","",SUM(
COUNTIFS('QA Log'!D:D,A58,'QA Log'!M:M,"Vignette",'QA Log'!L:L,"*Exit Interview 1*"),
COUNTIFS('QA Log'!D:D,A58,'QA Log'!M:M,"Vignette",'QA Log'!L:L,"*Exit Interview 2*"),
)
)</f>
        <v/>
      </c>
      <c r="BQ58" s="102" t="str">
        <f>IF(
  A58="","",
  SUM(
    COUNTIFS('QA Log'!D:D,A58,'QA Log'!M:M,"Vignette",'QA Log'!Z:Z,"Approved",'QA Log'!L:L,"*Exit Interview 1*"),
    COUNTIFS('QA Log'!D:D,A58,'QA Log'!M:M,"Vignette",'QA Log'!Z:Z,"Approved",'QA Log'!L:L,"*Exit Interview 2*")
  )
)</f>
        <v/>
      </c>
      <c r="BR58" s="105" t="str">
        <f>IF(A58&lt;&gt;"",COUNTIFS('QA Log'!D:D,A58,'QA Log'!M:M,"Vignette",'QA Log'!L:L,"Exit Interview 1",'QA Log'!Z:Z,"Approved"),"")</f>
        <v/>
      </c>
      <c r="BS58" s="105" t="str">
        <f>IF(A58&lt;&gt;"",COUNTIFS('QA Log'!D:D,A58,'QA Log'!M:M,"Vignette",'QA Log'!L:L,"Exit Interview 2",'QA Log'!Z:Z,"Approved"),"")</f>
        <v/>
      </c>
      <c r="BT58" s="102" t="str">
        <f>IF(
  A58="","",
  SUM(
    COUNTIFS('QA Log'!D:D,A58,'QA Log'!M:M,"Vignette",'QA Log'!Z:Z,"Rejected",'QA Log'!L:L,"*Exit Interview 1*"),
    COUNTIFS('QA Log'!D:D,A58,'QA Log'!M:M,"Vignette",'QA Log'!Z:Z,"Rejected",'QA Log'!L:L,"*Exit Interview 2*")
  )
)</f>
        <v/>
      </c>
      <c r="BU58" s="107" t="str">
        <f t="shared" si="13"/>
        <v/>
      </c>
      <c r="BV58" s="102" t="str">
        <f t="shared" si="14"/>
        <v/>
      </c>
      <c r="BW58" s="102" t="str">
        <f t="shared" si="15"/>
        <v/>
      </c>
      <c r="BX58" s="102" t="str">
        <f t="shared" si="16"/>
        <v/>
      </c>
      <c r="BY58" s="102" t="str">
        <f t="shared" si="17"/>
        <v/>
      </c>
      <c r="BZ58" s="107" t="str">
        <f t="shared" si="18"/>
        <v/>
      </c>
      <c r="CA58" s="108" t="str">
        <f t="shared" si="19"/>
        <v/>
      </c>
      <c r="CB58" s="108" t="str">
        <f t="shared" si="20"/>
        <v/>
      </c>
      <c r="CC58" s="109" t="str">
        <f t="shared" si="21"/>
        <v/>
      </c>
      <c r="CD58" s="108" t="str">
        <f t="shared" si="22"/>
        <v/>
      </c>
      <c r="CE58" s="108" t="str">
        <f t="shared" si="23"/>
        <v/>
      </c>
      <c r="CF58" s="109" t="str">
        <f t="shared" si="24"/>
        <v/>
      </c>
      <c r="CG58" s="110" t="str">
        <f t="shared" si="25"/>
        <v/>
      </c>
      <c r="CH58" s="111"/>
    </row>
    <row r="59" spans="1:86" ht="12.75">
      <c r="A59" s="101"/>
      <c r="B59" s="102" t="e">
        <f t="array" aca="1" ref="B59" ca="1">_xludf.XLOOKUP(A59,'QA Log'!D:D,'QA Log'!E:E,"")</f>
        <v>#NAME?</v>
      </c>
      <c r="C59" s="102" t="e">
        <f t="array" aca="1" ref="C59" ca="1">_xludf.XLOOKUP(A59,'QA Log'!D:D,'QA Log'!F:F,"")</f>
        <v>#NAME?</v>
      </c>
      <c r="D59" s="102" t="e">
        <f t="array" aca="1" ref="D59" ca="1">_xludf.XLOOKUP(A59,'QA Log'!D:D,'QA Log'!H:H,"")</f>
        <v>#NAME?</v>
      </c>
      <c r="E59" s="102" t="e">
        <f t="array" aca="1" ref="E59" ca="1">_xludf.XLOOKUP(A59,'QA Log'!D:D,'QA Log'!G:G,"")</f>
        <v>#NAME?</v>
      </c>
      <c r="F59" s="103"/>
      <c r="G59" s="104"/>
      <c r="H59" s="104"/>
      <c r="I59" s="103" t="str">
        <f t="shared" si="0"/>
        <v/>
      </c>
      <c r="J59" s="102" t="str">
        <f>IF(A59="","",SUM(
COUNTIFS('QA Log'!D:D,A59,'QA Log'!M:M,"QQC",'QA Log'!L:L,"*1. General Management*"),
COUNTIFS('QA Log'!D:D,A59,'QA Log'!M:M,"QQC",'QA Log'!L:L,"*3. Curative Consultation (OPD)*"),
COUNTIFS('QA Log'!D:D,A59,'QA Log'!M:M,"QQC",'QA Log'!L:L,"*5. Laboratory*"),
COUNTIFS('QA Log'!D:D,A59,'QA Log'!M:M,"QQC",'QA Log'!L:L,"*6. Essential Medicine Management*"),
COUNTIFS('QA Log'!D:D,A59,'QA Log'!M:M,"QQC",'QA Log'!L:L,"*7. Tracer Medicine*"),
COUNTIFS('QA Log'!D:D,A59,'QA Log'!M:M,"QQC",'QA Log'!L:L,"*11. Additional Questions*")))</f>
        <v/>
      </c>
      <c r="K59" s="102" t="str">
        <f>IF(A59="","",SUM(
COUNTIFS('QA Log'!D:D,A59,'QA Log'!M:M,"QQC",'QA Log'!Z:Z,"Approved",'QA Log'!L:L,"*1. General Management*"),
COUNTIFS('QA Log'!D:D,A59,'QA Log'!M:M,"QQC",'QA Log'!Z:Z,"Approved",'QA Log'!L:L,"*3. Curative Consultation (OPD)*"),
COUNTIFS('QA Log'!D:D,A59,'QA Log'!M:M,"QQC",'QA Log'!Z:Z,"Approved",'QA Log'!L:L,"*5. Laboratory*"),
COUNTIFS('QA Log'!D:D,A59,'QA Log'!M:M,"QQC",'QA Log'!Z:Z,"Approved",'QA Log'!L:L,"*6. Essential Medicine Management*"),
COUNTIFS('QA Log'!D:D,A59,'QA Log'!M:M,"QQC",'QA Log'!Z:Z,"Approved",'QA Log'!L:L,"*7. Tracer Medicine*"),
COUNTIFS('QA Log'!D:D,A59,'QA Log'!M:M,"QQC",'QA Log'!Z:Z,"Approved",'QA Log'!L:L,"*11. Additional Questions*")))</f>
        <v/>
      </c>
      <c r="L59" s="105" t="str">
        <f>IF(A59&lt;&gt;"",COUNTIFS('QA Log'!D:D,A59,'QA Log'!M:M,"QQC",'QA Log'!L:L,"1. General Management",'QA Log'!Z:Z,"Approved"),"")</f>
        <v/>
      </c>
      <c r="M59" s="105" t="str">
        <f>IF(A59&lt;&gt;"",COUNTIFS('QA Log'!D:D,A59,'QA Log'!M:M,"QQC",'QA Log'!L:L,"3. Curative Consultation (OPD)",'QA Log'!Z:Z,"Approved"),"")</f>
        <v/>
      </c>
      <c r="N59" s="105" t="str">
        <f>IF(A59&lt;&gt;"",COUNTIFS('QA Log'!D:D,A59,'QA Log'!M:M,"QQC",'QA Log'!L:L,"5. Laboratory",'QA Log'!Z:Z,"Approved"),"")</f>
        <v/>
      </c>
      <c r="O59" s="105" t="str">
        <f>IF(A59&lt;&gt;"",COUNTIFS('QA Log'!D:D,A59,'QA Log'!M:M,"QQC",'QA Log'!L:L,"6. Essential Medicine Management",'QA Log'!Z:Z,"Approved"),"")</f>
        <v/>
      </c>
      <c r="P59" s="105" t="str">
        <f>IF(A59&lt;&gt;"",COUNTIFS('QA Log'!D:D,A59,'QA Log'!M:M,"QQC",'QA Log'!L:L,"7. Tracer Medicine",'QA Log'!Z:Z,"Approved"),"")</f>
        <v/>
      </c>
      <c r="Q59" s="105" t="str">
        <f>IF(A59&lt;&gt;"",COUNTIFS('QA Log'!D:D,A59,'QA Log'!M:M,"QQC",'QA Log'!L:L,"11. Additional Questions",'QA Log'!Z:Z,"Approved"),"")</f>
        <v/>
      </c>
      <c r="R59" s="102" t="str">
        <f>IF(A59="","",SUM(
COUNTIFS('QA Log'!D:D,A59,'QA Log'!M:M,"QQC",'QA Log'!Z:Z,"Rejected",'QA Log'!L:L,"*8. Maternity*"),
COUNTIFS('QA Log'!D:D,A59,'QA Log'!M:M,"QQC",'QA Log'!Z:Z,"Rejected",'QA Log'!L:L,"*EPI*"),
COUNTIFS('QA Log'!D:D,A59,'QA Log'!M:M,"QQC",'QA Log'!Z:Z,"Rejected",'QA Log'!L:L,"*10. Antenatal Care (ANC)*"),
COUNTIFS('QA Log'!D:D,A59,'QA Log'!M:M,"QQC",'QA Log'!Z:Z,"Rejected",'QA Log'!L:L,"*2. Hygiene and Sterilization*"),
COUNTIFS('QA Log'!D:D,A59,'QA Log'!M:M,"QQC",'QA Log'!Z:Z,"Rejected",'QA Log'!L:L,"*Family Planning*")))</f>
        <v/>
      </c>
      <c r="S59" s="106" t="str">
        <f t="shared" si="1"/>
        <v/>
      </c>
      <c r="T59" s="102" t="str">
        <f t="shared" si="2"/>
        <v/>
      </c>
      <c r="U59" s="102" t="str">
        <f>IF(A59="","",
SUM(
COUNTIFS('QA Log'!D:D,A59,'QA Log'!M:M,"QQC",'QA Log'!L:L,"*8. Maternity*"),
COUNTIFS('QA Log'!D:D,A59,'QA Log'!M:M,"QQC",'QA Log'!L:L,"*9. EPI and Pre-school Consultation*"),
COUNTIFS('QA Log'!D:D,A59,'QA Log'!M:M,"QQC",'QA Log'!L:L,"*10. Antenatal Care (ANC)*"),
COUNTIFS('QA Log'!D:D,A59,'QA Log'!M:M,"QQC",'QA Log'!L:L,"*2. Hygiene and Sterilization*"),
COUNTIFS('QA Log'!D:D,A59,'QA Log'!M:M,"QQC",'QA Log'!L:L,"*4. Family Planning*")
))</f>
        <v/>
      </c>
      <c r="V59" s="102" t="str">
        <f>IF(A59="","",
SUM(
COUNTIFS('QA Log'!D:D,A59,'QA Log'!M:M,"QQC",'QA Log'!Z:Z,"Approved",'QA Log'!L:L,"*8. Maternity*"),
COUNTIFS('QA Log'!D:D,A59,'QA Log'!M:M,"QQC",'QA Log'!Z:Z,"Approved",'QA Log'!L:L,"*9. EPI and Pre-school Consultation*"),
COUNTIFS('QA Log'!D:D,A59,'QA Log'!M:M,"QQC",'QA Log'!Z:Z,"Approved",'QA Log'!L:L,"*10. Antenatal Care (ANC)*"),
COUNTIFS('QA Log'!D:D,A59,'QA Log'!M:M,"QQC",'QA Log'!Z:Z,"Approved",'QA Log'!L:L,"*2. Hygiene and Sterilization*"),
COUNTIFS('QA Log'!D:D,A59,'QA Log'!M:M,"QQC",'QA Log'!Z:Z,"Approved",'QA Log'!L:L,"*4. Family Planning*")
))</f>
        <v/>
      </c>
      <c r="W59" s="105" t="str">
        <f>IF(A59&lt;&gt;"",COUNTIFS('QA Log'!D:D,A59,'QA Log'!M:M,"QQC",'QA Log'!L:L,"8. Maternity",'QA Log'!Z:Z,"Approved"),"")</f>
        <v/>
      </c>
      <c r="X59" s="105" t="str">
        <f>IF(A59&lt;&gt;"",COUNTIFS('QA Log'!D:D,A59,'QA Log'!M:M,"QQC",'QA Log'!L:L,"9. EPI and Pre-school Consultation",'QA Log'!Z:Z,"Approved"),"")</f>
        <v/>
      </c>
      <c r="Y59" s="105" t="str">
        <f>IF(A59&lt;&gt;"",COUNTIFS('QA Log'!D:D,A59,'QA Log'!M:M,"QQC",'QA Log'!L:L,"10. Antenatal Care (ANC)",'QA Log'!Z:Z,"Approved"),"")</f>
        <v/>
      </c>
      <c r="Z59" s="105" t="str">
        <f>IF(A59&lt;&gt;"",COUNTIFS('QA Log'!D:D,A59,'QA Log'!M:M,"QQC",'QA Log'!L:L,"2. Hygiene and Sterilization",'QA Log'!Z:Z,"Approved"),"")</f>
        <v/>
      </c>
      <c r="AA59" s="105" t="str">
        <f>IF(A59&lt;&gt;"",COUNTIFS('QA Log'!D:D,A59,'QA Log'!M:M,"QQC",'QA Log'!L:L,"4. Family Planning",'QA Log'!Z:Z,"Approved"),"")</f>
        <v/>
      </c>
      <c r="AB59" s="102" t="str">
        <f>IF(A59="","",
SUM(
COUNTIFS('QA Log'!D:D,A59,'QA Log'!M:M,"QQC",'QA Log'!Z:Z,"Rejected",'QA Log'!L:L,"*8. Maternity*"),
COUNTIFS('QA Log'!D:D,A59,'QA Log'!M:M,"QQC",'QA Log'!Z:Z,"Rejected",'QA Log'!L:L,"*9. EPI and Pre-school Consultation*"),
COUNTIFS('QA Log'!D:D,A59,'QA Log'!M:M,"QQC",'QA Log'!Z:Z,"Rejected",'QA Log'!L:L,"*10. Antenatal Care (ANC)*"),
COUNTIFS('QA Log'!D:D,A59,'QA Log'!M:M,"QQC",'QA Log'!Z:Z,"Rejected",'QA Log'!L:L,"*2. Hygiene and Sterilization*"),
COUNTIFS('QA Log'!D:D,A59,'QA Log'!M:M,"QQC",'QA Log'!Z:Z,"Rejected",'QA Log'!L:L,"*4. Family Planning*")
))</f>
        <v/>
      </c>
      <c r="AC59" s="102" t="str">
        <f t="shared" si="3"/>
        <v/>
      </c>
      <c r="AD59" s="103" t="str">
        <f t="shared" si="4"/>
        <v/>
      </c>
      <c r="AE59" s="102" t="str">
        <f>IF(A59="","",
SUM(
COUNTIFS('QA Log'!D:D,A59,'QA Log'!M:M,"Data Verification",'QA Log'!L:L,"*Medicine (section 2)*"),
COUNTIFS('QA Log'!D:D,A59,'QA Log'!M:M,"Data Verification",'QA Log'!L:L,"*Lab Testing Availability*"),
COUNTIFS('QA Log'!D:D,A59,'QA Log'!M:M,"Data Verification",'QA Log'!L:L,"*Other than P4P (section 6)*"),
COUNTIFS('QA Log'!D:D,A59,'QA Log'!M:M,"Data Verification",'QA Log'!L:L,"*Hospital Governance*")
))</f>
        <v/>
      </c>
      <c r="AF59" s="102" t="str">
        <f>IF(A59="","",
SUM(
COUNTIFS('QA Log'!D:D,A59,'QA Log'!M:M,"Data Verification",'QA Log'!Z:Z,"Approved",'QA Log'!L:L,"*Medicine (section 2)*"),
COUNTIFS('QA Log'!D:D,A59,'QA Log'!M:M,"Data Verification",'QA Log'!Z:Z,"Approved",'QA Log'!L:L,"*Lab Testing Availability*"),
COUNTIFS('QA Log'!D:D,A59,'QA Log'!M:M,"Data Verification",'QA Log'!Z:Z,"Approved",'QA Log'!L:L,"*Other than P4P (section 6)*"),
COUNTIFS('QA Log'!D:D,A59,'QA Log'!M:M,"Data Verification",'QA Log'!Z:Z,"Approved",'QA Log'!L:L,"*Hospital Governance*")
))</f>
        <v/>
      </c>
      <c r="AG59" s="105" t="str">
        <f>IF(A59&lt;&gt;"",COUNTIFS('QA Log'!D:D,A59,'QA Log'!M:M,"Data Verification",'QA Log'!L:L,"Medicine (section 2)",'QA Log'!Z:Z,"Approved"),"")</f>
        <v/>
      </c>
      <c r="AH59" s="105" t="str">
        <f>IF(A59&lt;&gt;"",COUNTIFS('QA Log'!D:D,A59,'QA Log'!M:M,"Data Verification",'QA Log'!L:L,"Lab Testing Availability",'QA Log'!Z:Z,"Approved"),"")</f>
        <v/>
      </c>
      <c r="AI59" s="105" t="str">
        <f>IF(A59&lt;&gt;"",COUNTIFS('QA Log'!D:D,A59,'QA Log'!M:M,"Data Verification",'QA Log'!L:L,"Other than P4P (section 6)",'QA Log'!Z:Z,"Approved"),"")</f>
        <v/>
      </c>
      <c r="AJ59" s="105" t="str">
        <f>IF(A59&lt;&gt;"",COUNTIFS('QA Log'!D:D,A59,'QA Log'!M:M,"Data Verification",'QA Log'!L:L,"Hospital Governance",'QA Log'!Z:Z,"Approved"),"")</f>
        <v/>
      </c>
      <c r="AK59" s="102" t="str">
        <f>IF(A59="","",
SUM(
COUNTIFS('QA Log'!D:D,A59,'QA Log'!M:M,"Data Verification",'QA Log'!Z:Z,"Rejected",'QA Log'!L:L,"*Medicine (section 2)*"),
COUNTIFS('QA Log'!D:D,A59,'QA Log'!M:M,"Data Verification",'QA Log'!Z:Z,"Rejected",'QA Log'!L:L,"*Lab Testing Availability*"),
COUNTIFS('QA Log'!D:D,A59,'QA Log'!M:M,"Data Verification",'QA Log'!Z:Z,"Rejected",'QA Log'!L:L,"*Other than P4P (section 6)*"),
COUNTIFS('QA Log'!D:D,A59,'QA Log'!M:M,"Data Verification",'QA Log'!Z:Z,"Rejected",'QA Log'!L:L,"*Hospital Governance*")
))</f>
        <v/>
      </c>
      <c r="AL59" s="106" t="str">
        <f t="shared" si="5"/>
        <v/>
      </c>
      <c r="AM59" s="102" t="str">
        <f t="shared" si="6"/>
        <v/>
      </c>
      <c r="AN59" s="102" t="str">
        <f>IF(A59="","",
SUM(
COUNTIFS('QA Log'!D:D,A59,'QA Log'!M:M,"Data Verification",'QA Log'!L:L,"*Personnel (section 1)*"),
COUNTIFS('QA Log'!D:D,A59,'QA Log'!M:M,"Data Verification",'QA Log'!L:L,"*Consumable (section 3)*"),
COUNTIFS('QA Log'!D:D,A59,'QA Log'!M:M,"Data Verification",'QA Log'!L:L,"*Equipments (section 4)*")
))</f>
        <v/>
      </c>
      <c r="AO59" s="102" t="str">
        <f>IF(A59="","",
SUM(
COUNTIFS('QA Log'!D:D,A59,'QA Log'!M:M,"Data Verification",'QA Log'!Z:Z,"Approved",'QA Log'!L:L,"*Personnel (section 1)*"),
COUNTIFS('QA Log'!D:D,A59,'QA Log'!M:M,"Data Verification",'QA Log'!Z:Z,"Approved",'QA Log'!L:L,"*Consumable (section 3)*"),
COUNTIFS('QA Log'!D:D,A59,'QA Log'!M:M,"Data Verification",'QA Log'!Z:Z,"Approved",'QA Log'!L:L,"*Equipments (section 4)*")
))</f>
        <v/>
      </c>
      <c r="AP59" s="105" t="str">
        <f>IF(A59&lt;&gt;"",COUNTIFS('QA Log'!D:D,A59,'QA Log'!M:M,"Data Verification",'QA Log'!L:L,"Personnel (section 1)",'QA Log'!Z:Z,"Approved"),"")</f>
        <v/>
      </c>
      <c r="AQ59" s="105" t="str">
        <f>IF(A59&lt;&gt;"",COUNTIFS('QA Log'!D:D,A59,'QA Log'!M:M,"Data Verification",'QA Log'!L:L,"Consumable (section 3)",'QA Log'!Z:Z,"Approved"),"")</f>
        <v/>
      </c>
      <c r="AR59" s="105" t="str">
        <f>IF(A59&lt;&gt;"",COUNTIFS('QA Log'!D:D,A59,'QA Log'!M:M,"Data Verification",'QA Log'!L:L,"Equipments (section 4)",'QA Log'!Z:Z,"Approved"),"")</f>
        <v/>
      </c>
      <c r="AS59" s="102" t="str">
        <f>IF(A59="","",
SUM(
COUNTIFS('QA Log'!D:D,A59,'QA Log'!M:M,"Data Verification",'QA Log'!Z:Z,"Rejected",'QA Log'!L:L,"*Personnel (section 1)*"),
COUNTIFS('QA Log'!D:D,A59,'QA Log'!M:M,"Data Verification",'QA Log'!Z:Z,"Rejected",'QA Log'!L:L,"*Consumable (section 3)*"),
COUNTIFS('QA Log'!D:D,A59,'QA Log'!M:M,"Data Verification",'QA Log'!Z:Z,"Rejected",'QA Log'!L:L,"*Equipments (section 4)*")
))</f>
        <v/>
      </c>
      <c r="AT59" s="102" t="str">
        <f t="shared" si="7"/>
        <v/>
      </c>
      <c r="AU59" s="103" t="str">
        <f t="shared" si="8"/>
        <v/>
      </c>
      <c r="AV59" s="102" t="str">
        <f>IF(A59="","",SUM(
COUNTIFS('QA Log'!D:D,A59,'QA Log'!M:M,"Vignette",'QA Log'!L:L,"*Vignette [1] Respiratory Infection: Pneumonia*"),
COUNTIFS('QA Log'!D:D,A59,'QA Log'!M:M,"Vignette",'QA Log'!L:L,"*Vignette [2]: Diarrhea with Cat B dehydration*"),
COUNTIFS('QA Log'!D:D,A59,'QA Log'!M:M,"Vignette",'QA Log'!L:L,"*Vignette [3] Growth Monitoring and Promotion*"),
COUNTIFS('QA Log'!D:D,A59,'QA Log'!M:M,"Vignette",'QA Log'!L:L,"*Vignette [4]: The management of presumptive TB patient*")
)
)</f>
        <v/>
      </c>
      <c r="AW59" s="102" t="str">
        <f>IF(
  A59="","",
  SUM(
    COUNTIFS('QA Log'!D:D,A59,'QA Log'!M:M,"Vignette",'QA Log'!Z:Z,"Approved",'QA Log'!L:L,"*Vignette [1] Respiratory Infection: Pneumonia*"),
    COUNTIFS('QA Log'!D:D,A59,'QA Log'!M:M,"Vignette",'QA Log'!Z:Z,"Approved",'QA Log'!L:L,"*Vignette [2]: Diarrhea with Cat B dehydration*"),
    COUNTIFS('QA Log'!D:D,A59,'QA Log'!M:M,"Vignette",'QA Log'!Z:Z,"Approved",'QA Log'!L:L,"*Vignette [3] Growth Monitoring and Promotion*"),
    COUNTIFS('QA Log'!D:D,A59,'QA Log'!M:M,"Vignette",'QA Log'!Z:Z,"Approved",'QA Log'!L:L,"*Vignette [4]: The management of presumptive TB patient*")
  )
)</f>
        <v/>
      </c>
      <c r="AX59" s="105" t="str">
        <f>IF(A59&lt;&gt;"",COUNTIFS('QA Log'!D:D,A59,'QA Log'!M:M,"Vignette",'QA Log'!L:L,"Vignette [1] Respiratory Infection: Pneumonia",'QA Log'!Z:Z,"Approved"),"")</f>
        <v/>
      </c>
      <c r="AY59" s="105" t="str">
        <f>IF(A59&lt;&gt;"",COUNTIFS('QA Log'!D:D,A59,'QA Log'!M:M,"Vignette",'QA Log'!L:L,"Vignette [2]: Diarrhea with Cat B dehydration",'QA Log'!Z:Z,"Approved"),"")</f>
        <v/>
      </c>
      <c r="AZ59" s="105" t="str">
        <f>IF(A59&lt;&gt;"",COUNTIFS('QA Log'!D:D,A59,'QA Log'!M:M,"Vignette",'QA Log'!L:L,"Vignette [3] Growth Monitoring and Promotion",'QA Log'!Z:Z,"Approved"),"")</f>
        <v/>
      </c>
      <c r="BA59" s="105" t="str">
        <f>IF(A59&lt;&gt;"",COUNTIFS('QA Log'!D:D,A59,'QA Log'!M:M,"Vignette",'QA Log'!L:L,"Vignette [4]: The management of presumptive TB patient",'QA Log'!Z:Z,"Approved"),"")</f>
        <v/>
      </c>
      <c r="BB59" s="102" t="str">
        <f>IF(A59="","",
  SUM(
    COUNTIFS('QA Log'!D:D,A59,'QA Log'!M:M,"Vignette",'QA Log'!Z:Z,"Rejected",'QA Log'!L:L,"*Vignette [1] Respiratory Infection: Pneumonia*"),
    COUNTIFS('QA Log'!D:D,A59,'QA Log'!M:M,"Vignette",'QA Log'!Z:Z,"Rejected",'QA Log'!L:L,"*Vignette [2]: Diarrhea with Cat B dehydration*"),
    COUNTIFS('QA Log'!D:D,A59,'QA Log'!M:M,"Vignette",'QA Log'!Z:Z,"Rejected",'QA Log'!L:L,"*Vignette [3] Growth Monitoring and Promotion*"),
    COUNTIFS('QA Log'!D:D,A59,'QA Log'!M:M,"Vignette",'QA Log'!Z:Z,"Rejected",'QA Log'!L:L,"*Vignette [4]: The management of presumptive TB patient*")
  )
)</f>
        <v/>
      </c>
      <c r="BC59" s="107" t="str">
        <f t="shared" si="9"/>
        <v/>
      </c>
      <c r="BD59" s="103" t="str">
        <f t="shared" si="10"/>
        <v/>
      </c>
      <c r="BE59" s="102" t="str">
        <f>IF(A59="","",SUM(
COUNTIFS('QA Log'!D:D,A59,'QA Log'!M:M,"Vignette",'QA Log'!L:L,"*Vignette [5] Labor*"),
COUNTIFS('QA Log'!D:D,A59,'QA Log'!M:M,"Vignette",'QA Log'!L:L,"*Vignette [6] PNC pre Discharge*"),
COUNTIFS('QA Log'!D:D,A59,'QA Log'!M:M,"Vignette",'QA Log'!L:L,"*Vignette [7] First ANC Visit*"),
COUNTIFS('QA Log'!D:D,A59,'QA Log'!M:M,"Vignette",'QA Log'!L:L,"*Vignette [8] Birth Spacing/ Family Planning :  FP Counselling*"),
COUNTIFS('QA Log'!D:D,A59,'QA Log'!M:M,"Vignette",'QA Log'!L:L,"*Vignette [9] Birth Spacing: Change FP method to Injectable*"),
COUNTIFS('QA Log'!D:D,A59,'QA Log'!M:M,"Vignette",'QA Log'!L:L,"*Vignette [10] Post Partum Haemorrhage - Atonic Uterus at Health Centre*"),
)
)</f>
        <v/>
      </c>
      <c r="BF59" s="102" t="str">
        <f>IF(A59="","",
  SUM(
    COUNTIFS('QA Log'!D:D,A59,'QA Log'!M:M,"Vignette",'QA Log'!Z:Z,"Approved",'QA Log'!L:L,"*Vignette [5] Labor*"),
    COUNTIFS('QA Log'!D:D,A59,'QA Log'!M:M,"Vignette",'QA Log'!Z:Z,"Approved",'QA Log'!L:L,"*Vignette [6] PNC pre Discharge*"),
    COUNTIFS('QA Log'!D:D,A59,'QA Log'!M:M,"Vignette",'QA Log'!Z:Z,"Approved",'QA Log'!L:L,"*Vignette [7] First ANC Visit*"),
    COUNTIFS('QA Log'!D:D,A59,'QA Log'!M:M,"Vignette",'QA Log'!Z:Z,"Approved",'QA Log'!L:L,"*Vignette [8] Birth Spacing/ Family Planning :  FP Counselling*"),
    COUNTIFS('QA Log'!D:D,A59,'QA Log'!M:M,"Vignette",'QA Log'!Z:Z,"Approved",'QA Log'!L:L,"*Vignette [9] Birth Spacing: Change FP method to Injectable*"),
    COUNTIFS('QA Log'!D:D,A59,'QA Log'!M:M,"Vignette",'QA Log'!Z:Z,"Approved",'QA Log'!L:L,"*Vignette [10] Post Partum Haemorrhage - Atonic Uterus at Health Centre*")
  )
)</f>
        <v/>
      </c>
      <c r="BG59" s="105" t="str">
        <f>IF(A59&lt;&gt;"",COUNTIFS('QA Log'!D:D,A59,'QA Log'!M:M,"Vignette",'QA Log'!L:L,"Vignette [5] Labor",'QA Log'!Z:Z,"Approved"),"")</f>
        <v/>
      </c>
      <c r="BH59" s="105" t="str">
        <f>IF(A59&lt;&gt;"",COUNTIFS('QA Log'!D:D,A59,'QA Log'!M:M,"Vignette",'QA Log'!L:L,"Vignette [6] PNC pre Discharge",'QA Log'!Z:Z,"Approved"),"")</f>
        <v/>
      </c>
      <c r="BI59" s="105" t="str">
        <f>IF(A59&lt;&gt;"",COUNTIFS('QA Log'!D:D,A59,'QA Log'!M:M,"Vignette",'QA Log'!L:L,"Vignette [7] First ANC Visit",'QA Log'!Z:Z,"Approved"),"")</f>
        <v/>
      </c>
      <c r="BJ59" s="105" t="str">
        <f>IF(A59&lt;&gt;"",COUNTIFS('QA Log'!D:D,A59,'QA Log'!M:M,"Vignette",'QA Log'!L:L,"Vignette [8] Birth Spacing/ Family Planning :  FP Counselling",'QA Log'!Z:Z,"Approved"),"")</f>
        <v/>
      </c>
      <c r="BK59" s="105" t="str">
        <f>IF(A59&lt;&gt;"",COUNTIFS('QA Log'!D:D,A59,'QA Log'!M:M,"Vignette",'QA Log'!L:L,"Vignette [9] Birth Spacing: Change FP method to Injectable",'QA Log'!Z:Z,"Approved"),"")</f>
        <v/>
      </c>
      <c r="BL59" s="105" t="str">
        <f>IF(A59&lt;&gt;"",COUNTIFS('QA Log'!D:D,A59,'QA Log'!M:M,"Vignette",'QA Log'!L:L,"Vignette [10] Post Partum Haemorrhage - Atonic Uterus at Health Centre",'QA Log'!Z:Z,"Approved"),"")</f>
        <v/>
      </c>
      <c r="BM59" s="102" t="str">
        <f>IF(A59="","",SUM(
    COUNTIFS('QA Log'!D:D,A59,'QA Log'!M:M,"Vignette",'QA Log'!Z:Z,"Rejected",'QA Log'!L:L,"*Vignette [5] Labor*"),
    COUNTIFS('QA Log'!D:D,A59,'QA Log'!M:M,"Vignette",'QA Log'!Z:Z,"Rejected",'QA Log'!L:L,"*Vignette [6] PNC pre Discharge*"),
    COUNTIFS('QA Log'!D:D,A59,'QA Log'!M:M,"Vignette",'QA Log'!Z:Z,"Rejected",'QA Log'!L:L,"*Vignette [7] First ANC Visit*"),
    COUNTIFS('QA Log'!D:D,A59,'QA Log'!M:M,"Vignette",'QA Log'!Z:Z,"Rejected",'QA Log'!L:L,"*Vignette [8] Birth Spacing/ Family Planning :  FP Counselling*"),
    COUNTIFS('QA Log'!D:D,A59,'QA Log'!M:M,"Vignette",'QA Log'!Z:Z,"Rejected",'QA Log'!L:L,"*Vignette [9] Birth Spacing: Change FP method to Injectable*"),
    COUNTIFS('QA Log'!D:D,A59,'QA Log'!M:M,"Vignette",'QA Log'!Z:Z,"Rejected",'QA Log'!L:L,"*Vignette [10] Post Partum Haemorrhage - Atonic Uterus at Health Centre*")
  )
)</f>
        <v/>
      </c>
      <c r="BN59" s="107" t="str">
        <f t="shared" si="11"/>
        <v/>
      </c>
      <c r="BO59" s="103" t="str">
        <f t="shared" si="12"/>
        <v/>
      </c>
      <c r="BP59" s="102" t="str">
        <f>IF(A59="","",SUM(
COUNTIFS('QA Log'!D:D,A59,'QA Log'!M:M,"Vignette",'QA Log'!L:L,"*Exit Interview 1*"),
COUNTIFS('QA Log'!D:D,A59,'QA Log'!M:M,"Vignette",'QA Log'!L:L,"*Exit Interview 2*"),
)
)</f>
        <v/>
      </c>
      <c r="BQ59" s="102" t="str">
        <f>IF(
  A59="","",
  SUM(
    COUNTIFS('QA Log'!D:D,A59,'QA Log'!M:M,"Vignette",'QA Log'!Z:Z,"Approved",'QA Log'!L:L,"*Exit Interview 1*"),
    COUNTIFS('QA Log'!D:D,A59,'QA Log'!M:M,"Vignette",'QA Log'!Z:Z,"Approved",'QA Log'!L:L,"*Exit Interview 2*")
  )
)</f>
        <v/>
      </c>
      <c r="BR59" s="105" t="str">
        <f>IF(A59&lt;&gt;"",COUNTIFS('QA Log'!D:D,A59,'QA Log'!M:M,"Vignette",'QA Log'!L:L,"Exit Interview 1",'QA Log'!Z:Z,"Approved"),"")</f>
        <v/>
      </c>
      <c r="BS59" s="105" t="str">
        <f>IF(A59&lt;&gt;"",COUNTIFS('QA Log'!D:D,A59,'QA Log'!M:M,"Vignette",'QA Log'!L:L,"Exit Interview 2",'QA Log'!Z:Z,"Approved"),"")</f>
        <v/>
      </c>
      <c r="BT59" s="102" t="str">
        <f>IF(
  A59="","",
  SUM(
    COUNTIFS('QA Log'!D:D,A59,'QA Log'!M:M,"Vignette",'QA Log'!Z:Z,"Rejected",'QA Log'!L:L,"*Exit Interview 1*"),
    COUNTIFS('QA Log'!D:D,A59,'QA Log'!M:M,"Vignette",'QA Log'!Z:Z,"Rejected",'QA Log'!L:L,"*Exit Interview 2*")
  )
)</f>
        <v/>
      </c>
      <c r="BU59" s="107" t="str">
        <f t="shared" si="13"/>
        <v/>
      </c>
      <c r="BV59" s="102" t="str">
        <f t="shared" si="14"/>
        <v/>
      </c>
      <c r="BW59" s="102" t="str">
        <f t="shared" si="15"/>
        <v/>
      </c>
      <c r="BX59" s="102" t="str">
        <f t="shared" si="16"/>
        <v/>
      </c>
      <c r="BY59" s="102" t="str">
        <f t="shared" si="17"/>
        <v/>
      </c>
      <c r="BZ59" s="107" t="str">
        <f t="shared" si="18"/>
        <v/>
      </c>
      <c r="CA59" s="108" t="str">
        <f t="shared" si="19"/>
        <v/>
      </c>
      <c r="CB59" s="108" t="str">
        <f t="shared" si="20"/>
        <v/>
      </c>
      <c r="CC59" s="109" t="str">
        <f t="shared" si="21"/>
        <v/>
      </c>
      <c r="CD59" s="108" t="str">
        <f t="shared" si="22"/>
        <v/>
      </c>
      <c r="CE59" s="108" t="str">
        <f t="shared" si="23"/>
        <v/>
      </c>
      <c r="CF59" s="109" t="str">
        <f t="shared" si="24"/>
        <v/>
      </c>
      <c r="CG59" s="110" t="str">
        <f t="shared" si="25"/>
        <v/>
      </c>
      <c r="CH59" s="111"/>
    </row>
    <row r="60" spans="1:86" ht="12.75">
      <c r="A60" s="101"/>
      <c r="B60" s="102" t="e">
        <f t="array" aca="1" ref="B60" ca="1">_xludf.XLOOKUP(A60,'QA Log'!D:D,'QA Log'!E:E,"")</f>
        <v>#NAME?</v>
      </c>
      <c r="C60" s="102" t="e">
        <f t="array" aca="1" ref="C60" ca="1">_xludf.XLOOKUP(A60,'QA Log'!D:D,'QA Log'!F:F,"")</f>
        <v>#NAME?</v>
      </c>
      <c r="D60" s="102" t="e">
        <f t="array" aca="1" ref="D60" ca="1">_xludf.XLOOKUP(A60,'QA Log'!D:D,'QA Log'!H:H,"")</f>
        <v>#NAME?</v>
      </c>
      <c r="E60" s="102" t="e">
        <f t="array" aca="1" ref="E60" ca="1">_xludf.XLOOKUP(A60,'QA Log'!D:D,'QA Log'!G:G,"")</f>
        <v>#NAME?</v>
      </c>
      <c r="F60" s="103"/>
      <c r="G60" s="104"/>
      <c r="H60" s="104"/>
      <c r="I60" s="103" t="str">
        <f t="shared" si="0"/>
        <v/>
      </c>
      <c r="J60" s="102" t="str">
        <f>IF(A60="","",SUM(
COUNTIFS('QA Log'!D:D,A60,'QA Log'!M:M,"QQC",'QA Log'!L:L,"*1. General Management*"),
COUNTIFS('QA Log'!D:D,A60,'QA Log'!M:M,"QQC",'QA Log'!L:L,"*3. Curative Consultation (OPD)*"),
COUNTIFS('QA Log'!D:D,A60,'QA Log'!M:M,"QQC",'QA Log'!L:L,"*5. Laboratory*"),
COUNTIFS('QA Log'!D:D,A60,'QA Log'!M:M,"QQC",'QA Log'!L:L,"*6. Essential Medicine Management*"),
COUNTIFS('QA Log'!D:D,A60,'QA Log'!M:M,"QQC",'QA Log'!L:L,"*7. Tracer Medicine*"),
COUNTIFS('QA Log'!D:D,A60,'QA Log'!M:M,"QQC",'QA Log'!L:L,"*11. Additional Questions*")))</f>
        <v/>
      </c>
      <c r="K60" s="102" t="str">
        <f>IF(A60="","",SUM(
COUNTIFS('QA Log'!D:D,A60,'QA Log'!M:M,"QQC",'QA Log'!Z:Z,"Approved",'QA Log'!L:L,"*1. General Management*"),
COUNTIFS('QA Log'!D:D,A60,'QA Log'!M:M,"QQC",'QA Log'!Z:Z,"Approved",'QA Log'!L:L,"*3. Curative Consultation (OPD)*"),
COUNTIFS('QA Log'!D:D,A60,'QA Log'!M:M,"QQC",'QA Log'!Z:Z,"Approved",'QA Log'!L:L,"*5. Laboratory*"),
COUNTIFS('QA Log'!D:D,A60,'QA Log'!M:M,"QQC",'QA Log'!Z:Z,"Approved",'QA Log'!L:L,"*6. Essential Medicine Management*"),
COUNTIFS('QA Log'!D:D,A60,'QA Log'!M:M,"QQC",'QA Log'!Z:Z,"Approved",'QA Log'!L:L,"*7. Tracer Medicine*"),
COUNTIFS('QA Log'!D:D,A60,'QA Log'!M:M,"QQC",'QA Log'!Z:Z,"Approved",'QA Log'!L:L,"*11. Additional Questions*")))</f>
        <v/>
      </c>
      <c r="L60" s="105" t="str">
        <f>IF(A60&lt;&gt;"",COUNTIFS('QA Log'!D:D,A60,'QA Log'!M:M,"QQC",'QA Log'!L:L,"1. General Management",'QA Log'!Z:Z,"Approved"),"")</f>
        <v/>
      </c>
      <c r="M60" s="105" t="str">
        <f>IF(A60&lt;&gt;"",COUNTIFS('QA Log'!D:D,A60,'QA Log'!M:M,"QQC",'QA Log'!L:L,"3. Curative Consultation (OPD)",'QA Log'!Z:Z,"Approved"),"")</f>
        <v/>
      </c>
      <c r="N60" s="105" t="str">
        <f>IF(A60&lt;&gt;"",COUNTIFS('QA Log'!D:D,A60,'QA Log'!M:M,"QQC",'QA Log'!L:L,"5. Laboratory",'QA Log'!Z:Z,"Approved"),"")</f>
        <v/>
      </c>
      <c r="O60" s="105" t="str">
        <f>IF(A60&lt;&gt;"",COUNTIFS('QA Log'!D:D,A60,'QA Log'!M:M,"QQC",'QA Log'!L:L,"6. Essential Medicine Management",'QA Log'!Z:Z,"Approved"),"")</f>
        <v/>
      </c>
      <c r="P60" s="105" t="str">
        <f>IF(A60&lt;&gt;"",COUNTIFS('QA Log'!D:D,A60,'QA Log'!M:M,"QQC",'QA Log'!L:L,"7. Tracer Medicine",'QA Log'!Z:Z,"Approved"),"")</f>
        <v/>
      </c>
      <c r="Q60" s="105" t="str">
        <f>IF(A60&lt;&gt;"",COUNTIFS('QA Log'!D:D,A60,'QA Log'!M:M,"QQC",'QA Log'!L:L,"11. Additional Questions",'QA Log'!Z:Z,"Approved"),"")</f>
        <v/>
      </c>
      <c r="R60" s="102" t="str">
        <f>IF(A60="","",SUM(
COUNTIFS('QA Log'!D:D,A60,'QA Log'!M:M,"QQC",'QA Log'!Z:Z,"Rejected",'QA Log'!L:L,"*8. Maternity*"),
COUNTIFS('QA Log'!D:D,A60,'QA Log'!M:M,"QQC",'QA Log'!Z:Z,"Rejected",'QA Log'!L:L,"*EPI*"),
COUNTIFS('QA Log'!D:D,A60,'QA Log'!M:M,"QQC",'QA Log'!Z:Z,"Rejected",'QA Log'!L:L,"*10. Antenatal Care (ANC)*"),
COUNTIFS('QA Log'!D:D,A60,'QA Log'!M:M,"QQC",'QA Log'!Z:Z,"Rejected",'QA Log'!L:L,"*2. Hygiene and Sterilization*"),
COUNTIFS('QA Log'!D:D,A60,'QA Log'!M:M,"QQC",'QA Log'!Z:Z,"Rejected",'QA Log'!L:L,"*Family Planning*")))</f>
        <v/>
      </c>
      <c r="S60" s="106" t="str">
        <f t="shared" si="1"/>
        <v/>
      </c>
      <c r="T60" s="102" t="str">
        <f t="shared" si="2"/>
        <v/>
      </c>
      <c r="U60" s="102" t="str">
        <f>IF(A60="","",
SUM(
COUNTIFS('QA Log'!D:D,A60,'QA Log'!M:M,"QQC",'QA Log'!L:L,"*8. Maternity*"),
COUNTIFS('QA Log'!D:D,A60,'QA Log'!M:M,"QQC",'QA Log'!L:L,"*9. EPI and Pre-school Consultation*"),
COUNTIFS('QA Log'!D:D,A60,'QA Log'!M:M,"QQC",'QA Log'!L:L,"*10. Antenatal Care (ANC)*"),
COUNTIFS('QA Log'!D:D,A60,'QA Log'!M:M,"QQC",'QA Log'!L:L,"*2. Hygiene and Sterilization*"),
COUNTIFS('QA Log'!D:D,A60,'QA Log'!M:M,"QQC",'QA Log'!L:L,"*4. Family Planning*")
))</f>
        <v/>
      </c>
      <c r="V60" s="102" t="str">
        <f>IF(A60="","",
SUM(
COUNTIFS('QA Log'!D:D,A60,'QA Log'!M:M,"QQC",'QA Log'!Z:Z,"Approved",'QA Log'!L:L,"*8. Maternity*"),
COUNTIFS('QA Log'!D:D,A60,'QA Log'!M:M,"QQC",'QA Log'!Z:Z,"Approved",'QA Log'!L:L,"*9. EPI and Pre-school Consultation*"),
COUNTIFS('QA Log'!D:D,A60,'QA Log'!M:M,"QQC",'QA Log'!Z:Z,"Approved",'QA Log'!L:L,"*10. Antenatal Care (ANC)*"),
COUNTIFS('QA Log'!D:D,A60,'QA Log'!M:M,"QQC",'QA Log'!Z:Z,"Approved",'QA Log'!L:L,"*2. Hygiene and Sterilization*"),
COUNTIFS('QA Log'!D:D,A60,'QA Log'!M:M,"QQC",'QA Log'!Z:Z,"Approved",'QA Log'!L:L,"*4. Family Planning*")
))</f>
        <v/>
      </c>
      <c r="W60" s="105" t="str">
        <f>IF(A60&lt;&gt;"",COUNTIFS('QA Log'!D:D,A60,'QA Log'!M:M,"QQC",'QA Log'!L:L,"8. Maternity",'QA Log'!Z:Z,"Approved"),"")</f>
        <v/>
      </c>
      <c r="X60" s="105" t="str">
        <f>IF(A60&lt;&gt;"",COUNTIFS('QA Log'!D:D,A60,'QA Log'!M:M,"QQC",'QA Log'!L:L,"9. EPI and Pre-school Consultation",'QA Log'!Z:Z,"Approved"),"")</f>
        <v/>
      </c>
      <c r="Y60" s="105" t="str">
        <f>IF(A60&lt;&gt;"",COUNTIFS('QA Log'!D:D,A60,'QA Log'!M:M,"QQC",'QA Log'!L:L,"10. Antenatal Care (ANC)",'QA Log'!Z:Z,"Approved"),"")</f>
        <v/>
      </c>
      <c r="Z60" s="105" t="str">
        <f>IF(A60&lt;&gt;"",COUNTIFS('QA Log'!D:D,A60,'QA Log'!M:M,"QQC",'QA Log'!L:L,"2. Hygiene and Sterilization",'QA Log'!Z:Z,"Approved"),"")</f>
        <v/>
      </c>
      <c r="AA60" s="105" t="str">
        <f>IF(A60&lt;&gt;"",COUNTIFS('QA Log'!D:D,A60,'QA Log'!M:M,"QQC",'QA Log'!L:L,"4. Family Planning",'QA Log'!Z:Z,"Approved"),"")</f>
        <v/>
      </c>
      <c r="AB60" s="102" t="str">
        <f>IF(A60="","",
SUM(
COUNTIFS('QA Log'!D:D,A60,'QA Log'!M:M,"QQC",'QA Log'!Z:Z,"Rejected",'QA Log'!L:L,"*8. Maternity*"),
COUNTIFS('QA Log'!D:D,A60,'QA Log'!M:M,"QQC",'QA Log'!Z:Z,"Rejected",'QA Log'!L:L,"*9. EPI and Pre-school Consultation*"),
COUNTIFS('QA Log'!D:D,A60,'QA Log'!M:M,"QQC",'QA Log'!Z:Z,"Rejected",'QA Log'!L:L,"*10. Antenatal Care (ANC)*"),
COUNTIFS('QA Log'!D:D,A60,'QA Log'!M:M,"QQC",'QA Log'!Z:Z,"Rejected",'QA Log'!L:L,"*2. Hygiene and Sterilization*"),
COUNTIFS('QA Log'!D:D,A60,'QA Log'!M:M,"QQC",'QA Log'!Z:Z,"Rejected",'QA Log'!L:L,"*4. Family Planning*")
))</f>
        <v/>
      </c>
      <c r="AC60" s="102" t="str">
        <f t="shared" si="3"/>
        <v/>
      </c>
      <c r="AD60" s="103" t="str">
        <f t="shared" si="4"/>
        <v/>
      </c>
      <c r="AE60" s="102" t="str">
        <f>IF(A60="","",
SUM(
COUNTIFS('QA Log'!D:D,A60,'QA Log'!M:M,"Data Verification",'QA Log'!L:L,"*Medicine (section 2)*"),
COUNTIFS('QA Log'!D:D,A60,'QA Log'!M:M,"Data Verification",'QA Log'!L:L,"*Lab Testing Availability*"),
COUNTIFS('QA Log'!D:D,A60,'QA Log'!M:M,"Data Verification",'QA Log'!L:L,"*Other than P4P (section 6)*"),
COUNTIFS('QA Log'!D:D,A60,'QA Log'!M:M,"Data Verification",'QA Log'!L:L,"*Hospital Governance*")
))</f>
        <v/>
      </c>
      <c r="AF60" s="102" t="str">
        <f>IF(A60="","",
SUM(
COUNTIFS('QA Log'!D:D,A60,'QA Log'!M:M,"Data Verification",'QA Log'!Z:Z,"Approved",'QA Log'!L:L,"*Medicine (section 2)*"),
COUNTIFS('QA Log'!D:D,A60,'QA Log'!M:M,"Data Verification",'QA Log'!Z:Z,"Approved",'QA Log'!L:L,"*Lab Testing Availability*"),
COUNTIFS('QA Log'!D:D,A60,'QA Log'!M:M,"Data Verification",'QA Log'!Z:Z,"Approved",'QA Log'!L:L,"*Other than P4P (section 6)*"),
COUNTIFS('QA Log'!D:D,A60,'QA Log'!M:M,"Data Verification",'QA Log'!Z:Z,"Approved",'QA Log'!L:L,"*Hospital Governance*")
))</f>
        <v/>
      </c>
      <c r="AG60" s="105" t="str">
        <f>IF(A60&lt;&gt;"",COUNTIFS('QA Log'!D:D,A60,'QA Log'!M:M,"Data Verification",'QA Log'!L:L,"Medicine (section 2)",'QA Log'!Z:Z,"Approved"),"")</f>
        <v/>
      </c>
      <c r="AH60" s="105" t="str">
        <f>IF(A60&lt;&gt;"",COUNTIFS('QA Log'!D:D,A60,'QA Log'!M:M,"Data Verification",'QA Log'!L:L,"Lab Testing Availability",'QA Log'!Z:Z,"Approved"),"")</f>
        <v/>
      </c>
      <c r="AI60" s="105" t="str">
        <f>IF(A60&lt;&gt;"",COUNTIFS('QA Log'!D:D,A60,'QA Log'!M:M,"Data Verification",'QA Log'!L:L,"Other than P4P (section 6)",'QA Log'!Z:Z,"Approved"),"")</f>
        <v/>
      </c>
      <c r="AJ60" s="105" t="str">
        <f>IF(A60&lt;&gt;"",COUNTIFS('QA Log'!D:D,A60,'QA Log'!M:M,"Data Verification",'QA Log'!L:L,"Hospital Governance",'QA Log'!Z:Z,"Approved"),"")</f>
        <v/>
      </c>
      <c r="AK60" s="102" t="str">
        <f>IF(A60="","",
SUM(
COUNTIFS('QA Log'!D:D,A60,'QA Log'!M:M,"Data Verification",'QA Log'!Z:Z,"Rejected",'QA Log'!L:L,"*Medicine (section 2)*"),
COUNTIFS('QA Log'!D:D,A60,'QA Log'!M:M,"Data Verification",'QA Log'!Z:Z,"Rejected",'QA Log'!L:L,"*Lab Testing Availability*"),
COUNTIFS('QA Log'!D:D,A60,'QA Log'!M:M,"Data Verification",'QA Log'!Z:Z,"Rejected",'QA Log'!L:L,"*Other than P4P (section 6)*"),
COUNTIFS('QA Log'!D:D,A60,'QA Log'!M:M,"Data Verification",'QA Log'!Z:Z,"Rejected",'QA Log'!L:L,"*Hospital Governance*")
))</f>
        <v/>
      </c>
      <c r="AL60" s="106" t="str">
        <f t="shared" si="5"/>
        <v/>
      </c>
      <c r="AM60" s="102" t="str">
        <f t="shared" si="6"/>
        <v/>
      </c>
      <c r="AN60" s="102" t="str">
        <f>IF(A60="","",
SUM(
COUNTIFS('QA Log'!D:D,A60,'QA Log'!M:M,"Data Verification",'QA Log'!L:L,"*Personnel (section 1)*"),
COUNTIFS('QA Log'!D:D,A60,'QA Log'!M:M,"Data Verification",'QA Log'!L:L,"*Consumable (section 3)*"),
COUNTIFS('QA Log'!D:D,A60,'QA Log'!M:M,"Data Verification",'QA Log'!L:L,"*Equipments (section 4)*")
))</f>
        <v/>
      </c>
      <c r="AO60" s="102" t="str">
        <f>IF(A60="","",
SUM(
COUNTIFS('QA Log'!D:D,A60,'QA Log'!M:M,"Data Verification",'QA Log'!Z:Z,"Approved",'QA Log'!L:L,"*Personnel (section 1)*"),
COUNTIFS('QA Log'!D:D,A60,'QA Log'!M:M,"Data Verification",'QA Log'!Z:Z,"Approved",'QA Log'!L:L,"*Consumable (section 3)*"),
COUNTIFS('QA Log'!D:D,A60,'QA Log'!M:M,"Data Verification",'QA Log'!Z:Z,"Approved",'QA Log'!L:L,"*Equipments (section 4)*")
))</f>
        <v/>
      </c>
      <c r="AP60" s="105" t="str">
        <f>IF(A60&lt;&gt;"",COUNTIFS('QA Log'!D:D,A60,'QA Log'!M:M,"Data Verification",'QA Log'!L:L,"Personnel (section 1)",'QA Log'!Z:Z,"Approved"),"")</f>
        <v/>
      </c>
      <c r="AQ60" s="105" t="str">
        <f>IF(A60&lt;&gt;"",COUNTIFS('QA Log'!D:D,A60,'QA Log'!M:M,"Data Verification",'QA Log'!L:L,"Consumable (section 3)",'QA Log'!Z:Z,"Approved"),"")</f>
        <v/>
      </c>
      <c r="AR60" s="105" t="str">
        <f>IF(A60&lt;&gt;"",COUNTIFS('QA Log'!D:D,A60,'QA Log'!M:M,"Data Verification",'QA Log'!L:L,"Equipments (section 4)",'QA Log'!Z:Z,"Approved"),"")</f>
        <v/>
      </c>
      <c r="AS60" s="102" t="str">
        <f>IF(A60="","",
SUM(
COUNTIFS('QA Log'!D:D,A60,'QA Log'!M:M,"Data Verification",'QA Log'!Z:Z,"Rejected",'QA Log'!L:L,"*Personnel (section 1)*"),
COUNTIFS('QA Log'!D:D,A60,'QA Log'!M:M,"Data Verification",'QA Log'!Z:Z,"Rejected",'QA Log'!L:L,"*Consumable (section 3)*"),
COUNTIFS('QA Log'!D:D,A60,'QA Log'!M:M,"Data Verification",'QA Log'!Z:Z,"Rejected",'QA Log'!L:L,"*Equipments (section 4)*")
))</f>
        <v/>
      </c>
      <c r="AT60" s="102" t="str">
        <f t="shared" si="7"/>
        <v/>
      </c>
      <c r="AU60" s="103" t="str">
        <f t="shared" si="8"/>
        <v/>
      </c>
      <c r="AV60" s="102" t="str">
        <f>IF(A60="","",SUM(
COUNTIFS('QA Log'!D:D,A60,'QA Log'!M:M,"Vignette",'QA Log'!L:L,"*Vignette [1] Respiratory Infection: Pneumonia*"),
COUNTIFS('QA Log'!D:D,A60,'QA Log'!M:M,"Vignette",'QA Log'!L:L,"*Vignette [2]: Diarrhea with Cat B dehydration*"),
COUNTIFS('QA Log'!D:D,A60,'QA Log'!M:M,"Vignette",'QA Log'!L:L,"*Vignette [3] Growth Monitoring and Promotion*"),
COUNTIFS('QA Log'!D:D,A60,'QA Log'!M:M,"Vignette",'QA Log'!L:L,"*Vignette [4]: The management of presumptive TB patient*")
)
)</f>
        <v/>
      </c>
      <c r="AW60" s="102" t="str">
        <f>IF(
  A60="","",
  SUM(
    COUNTIFS('QA Log'!D:D,A60,'QA Log'!M:M,"Vignette",'QA Log'!Z:Z,"Approved",'QA Log'!L:L,"*Vignette [1] Respiratory Infection: Pneumonia*"),
    COUNTIFS('QA Log'!D:D,A60,'QA Log'!M:M,"Vignette",'QA Log'!Z:Z,"Approved",'QA Log'!L:L,"*Vignette [2]: Diarrhea with Cat B dehydration*"),
    COUNTIFS('QA Log'!D:D,A60,'QA Log'!M:M,"Vignette",'QA Log'!Z:Z,"Approved",'QA Log'!L:L,"*Vignette [3] Growth Monitoring and Promotion*"),
    COUNTIFS('QA Log'!D:D,A60,'QA Log'!M:M,"Vignette",'QA Log'!Z:Z,"Approved",'QA Log'!L:L,"*Vignette [4]: The management of presumptive TB patient*")
  )
)</f>
        <v/>
      </c>
      <c r="AX60" s="105" t="str">
        <f>IF(A60&lt;&gt;"",COUNTIFS('QA Log'!D:D,A60,'QA Log'!M:M,"Vignette",'QA Log'!L:L,"Vignette [1] Respiratory Infection: Pneumonia",'QA Log'!Z:Z,"Approved"),"")</f>
        <v/>
      </c>
      <c r="AY60" s="105" t="str">
        <f>IF(A60&lt;&gt;"",COUNTIFS('QA Log'!D:D,A60,'QA Log'!M:M,"Vignette",'QA Log'!L:L,"Vignette [2]: Diarrhea with Cat B dehydration",'QA Log'!Z:Z,"Approved"),"")</f>
        <v/>
      </c>
      <c r="AZ60" s="105" t="str">
        <f>IF(A60&lt;&gt;"",COUNTIFS('QA Log'!D:D,A60,'QA Log'!M:M,"Vignette",'QA Log'!L:L,"Vignette [3] Growth Monitoring and Promotion",'QA Log'!Z:Z,"Approved"),"")</f>
        <v/>
      </c>
      <c r="BA60" s="105" t="str">
        <f>IF(A60&lt;&gt;"",COUNTIFS('QA Log'!D:D,A60,'QA Log'!M:M,"Vignette",'QA Log'!L:L,"Vignette [4]: The management of presumptive TB patient",'QA Log'!Z:Z,"Approved"),"")</f>
        <v/>
      </c>
      <c r="BB60" s="102" t="str">
        <f>IF(A60="","",
  SUM(
    COUNTIFS('QA Log'!D:D,A60,'QA Log'!M:M,"Vignette",'QA Log'!Z:Z,"Rejected",'QA Log'!L:L,"*Vignette [1] Respiratory Infection: Pneumonia*"),
    COUNTIFS('QA Log'!D:D,A60,'QA Log'!M:M,"Vignette",'QA Log'!Z:Z,"Rejected",'QA Log'!L:L,"*Vignette [2]: Diarrhea with Cat B dehydration*"),
    COUNTIFS('QA Log'!D:D,A60,'QA Log'!M:M,"Vignette",'QA Log'!Z:Z,"Rejected",'QA Log'!L:L,"*Vignette [3] Growth Monitoring and Promotion*"),
    COUNTIFS('QA Log'!D:D,A60,'QA Log'!M:M,"Vignette",'QA Log'!Z:Z,"Rejected",'QA Log'!L:L,"*Vignette [4]: The management of presumptive TB patient*")
  )
)</f>
        <v/>
      </c>
      <c r="BC60" s="107" t="str">
        <f t="shared" si="9"/>
        <v/>
      </c>
      <c r="BD60" s="103" t="str">
        <f t="shared" si="10"/>
        <v/>
      </c>
      <c r="BE60" s="102" t="str">
        <f>IF(A60="","",SUM(
COUNTIFS('QA Log'!D:D,A60,'QA Log'!M:M,"Vignette",'QA Log'!L:L,"*Vignette [5] Labor*"),
COUNTIFS('QA Log'!D:D,A60,'QA Log'!M:M,"Vignette",'QA Log'!L:L,"*Vignette [6] PNC pre Discharge*"),
COUNTIFS('QA Log'!D:D,A60,'QA Log'!M:M,"Vignette",'QA Log'!L:L,"*Vignette [7] First ANC Visit*"),
COUNTIFS('QA Log'!D:D,A60,'QA Log'!M:M,"Vignette",'QA Log'!L:L,"*Vignette [8] Birth Spacing/ Family Planning :  FP Counselling*"),
COUNTIFS('QA Log'!D:D,A60,'QA Log'!M:M,"Vignette",'QA Log'!L:L,"*Vignette [9] Birth Spacing: Change FP method to Injectable*"),
COUNTIFS('QA Log'!D:D,A60,'QA Log'!M:M,"Vignette",'QA Log'!L:L,"*Vignette [10] Post Partum Haemorrhage - Atonic Uterus at Health Centre*"),
)
)</f>
        <v/>
      </c>
      <c r="BF60" s="102" t="str">
        <f>IF(A60="","",
  SUM(
    COUNTIFS('QA Log'!D:D,A60,'QA Log'!M:M,"Vignette",'QA Log'!Z:Z,"Approved",'QA Log'!L:L,"*Vignette [5] Labor*"),
    COUNTIFS('QA Log'!D:D,A60,'QA Log'!M:M,"Vignette",'QA Log'!Z:Z,"Approved",'QA Log'!L:L,"*Vignette [6] PNC pre Discharge*"),
    COUNTIFS('QA Log'!D:D,A60,'QA Log'!M:M,"Vignette",'QA Log'!Z:Z,"Approved",'QA Log'!L:L,"*Vignette [7] First ANC Visit*"),
    COUNTIFS('QA Log'!D:D,A60,'QA Log'!M:M,"Vignette",'QA Log'!Z:Z,"Approved",'QA Log'!L:L,"*Vignette [8] Birth Spacing/ Family Planning :  FP Counselling*"),
    COUNTIFS('QA Log'!D:D,A60,'QA Log'!M:M,"Vignette",'QA Log'!Z:Z,"Approved",'QA Log'!L:L,"*Vignette [9] Birth Spacing: Change FP method to Injectable*"),
    COUNTIFS('QA Log'!D:D,A60,'QA Log'!M:M,"Vignette",'QA Log'!Z:Z,"Approved",'QA Log'!L:L,"*Vignette [10] Post Partum Haemorrhage - Atonic Uterus at Health Centre*")
  )
)</f>
        <v/>
      </c>
      <c r="BG60" s="105" t="str">
        <f>IF(A60&lt;&gt;"",COUNTIFS('QA Log'!D:D,A60,'QA Log'!M:M,"Vignette",'QA Log'!L:L,"Vignette [5] Labor",'QA Log'!Z:Z,"Approved"),"")</f>
        <v/>
      </c>
      <c r="BH60" s="105" t="str">
        <f>IF(A60&lt;&gt;"",COUNTIFS('QA Log'!D:D,A60,'QA Log'!M:M,"Vignette",'QA Log'!L:L,"Vignette [6] PNC pre Discharge",'QA Log'!Z:Z,"Approved"),"")</f>
        <v/>
      </c>
      <c r="BI60" s="105" t="str">
        <f>IF(A60&lt;&gt;"",COUNTIFS('QA Log'!D:D,A60,'QA Log'!M:M,"Vignette",'QA Log'!L:L,"Vignette [7] First ANC Visit",'QA Log'!Z:Z,"Approved"),"")</f>
        <v/>
      </c>
      <c r="BJ60" s="105" t="str">
        <f>IF(A60&lt;&gt;"",COUNTIFS('QA Log'!D:D,A60,'QA Log'!M:M,"Vignette",'QA Log'!L:L,"Vignette [8] Birth Spacing/ Family Planning :  FP Counselling",'QA Log'!Z:Z,"Approved"),"")</f>
        <v/>
      </c>
      <c r="BK60" s="105" t="str">
        <f>IF(A60&lt;&gt;"",COUNTIFS('QA Log'!D:D,A60,'QA Log'!M:M,"Vignette",'QA Log'!L:L,"Vignette [9] Birth Spacing: Change FP method to Injectable",'QA Log'!Z:Z,"Approved"),"")</f>
        <v/>
      </c>
      <c r="BL60" s="105" t="str">
        <f>IF(A60&lt;&gt;"",COUNTIFS('QA Log'!D:D,A60,'QA Log'!M:M,"Vignette",'QA Log'!L:L,"Vignette [10] Post Partum Haemorrhage - Atonic Uterus at Health Centre",'QA Log'!Z:Z,"Approved"),"")</f>
        <v/>
      </c>
      <c r="BM60" s="102" t="str">
        <f>IF(A60="","",SUM(
    COUNTIFS('QA Log'!D:D,A60,'QA Log'!M:M,"Vignette",'QA Log'!Z:Z,"Rejected",'QA Log'!L:L,"*Vignette [5] Labor*"),
    COUNTIFS('QA Log'!D:D,A60,'QA Log'!M:M,"Vignette",'QA Log'!Z:Z,"Rejected",'QA Log'!L:L,"*Vignette [6] PNC pre Discharge*"),
    COUNTIFS('QA Log'!D:D,A60,'QA Log'!M:M,"Vignette",'QA Log'!Z:Z,"Rejected",'QA Log'!L:L,"*Vignette [7] First ANC Visit*"),
    COUNTIFS('QA Log'!D:D,A60,'QA Log'!M:M,"Vignette",'QA Log'!Z:Z,"Rejected",'QA Log'!L:L,"*Vignette [8] Birth Spacing/ Family Planning :  FP Counselling*"),
    COUNTIFS('QA Log'!D:D,A60,'QA Log'!M:M,"Vignette",'QA Log'!Z:Z,"Rejected",'QA Log'!L:L,"*Vignette [9] Birth Spacing: Change FP method to Injectable*"),
    COUNTIFS('QA Log'!D:D,A60,'QA Log'!M:M,"Vignette",'QA Log'!Z:Z,"Rejected",'QA Log'!L:L,"*Vignette [10] Post Partum Haemorrhage - Atonic Uterus at Health Centre*")
  )
)</f>
        <v/>
      </c>
      <c r="BN60" s="107" t="str">
        <f t="shared" si="11"/>
        <v/>
      </c>
      <c r="BO60" s="103" t="str">
        <f t="shared" si="12"/>
        <v/>
      </c>
      <c r="BP60" s="102" t="str">
        <f>IF(A60="","",SUM(
COUNTIFS('QA Log'!D:D,A60,'QA Log'!M:M,"Vignette",'QA Log'!L:L,"*Exit Interview 1*"),
COUNTIFS('QA Log'!D:D,A60,'QA Log'!M:M,"Vignette",'QA Log'!L:L,"*Exit Interview 2*"),
)
)</f>
        <v/>
      </c>
      <c r="BQ60" s="102" t="str">
        <f>IF(
  A60="","",
  SUM(
    COUNTIFS('QA Log'!D:D,A60,'QA Log'!M:M,"Vignette",'QA Log'!Z:Z,"Approved",'QA Log'!L:L,"*Exit Interview 1*"),
    COUNTIFS('QA Log'!D:D,A60,'QA Log'!M:M,"Vignette",'QA Log'!Z:Z,"Approved",'QA Log'!L:L,"*Exit Interview 2*")
  )
)</f>
        <v/>
      </c>
      <c r="BR60" s="105" t="str">
        <f>IF(A60&lt;&gt;"",COUNTIFS('QA Log'!D:D,A60,'QA Log'!M:M,"Vignette",'QA Log'!L:L,"Exit Interview 1",'QA Log'!Z:Z,"Approved"),"")</f>
        <v/>
      </c>
      <c r="BS60" s="105" t="str">
        <f>IF(A60&lt;&gt;"",COUNTIFS('QA Log'!D:D,A60,'QA Log'!M:M,"Vignette",'QA Log'!L:L,"Exit Interview 2",'QA Log'!Z:Z,"Approved"),"")</f>
        <v/>
      </c>
      <c r="BT60" s="102" t="str">
        <f>IF(
  A60="","",
  SUM(
    COUNTIFS('QA Log'!D:D,A60,'QA Log'!M:M,"Vignette",'QA Log'!Z:Z,"Rejected",'QA Log'!L:L,"*Exit Interview 1*"),
    COUNTIFS('QA Log'!D:D,A60,'QA Log'!M:M,"Vignette",'QA Log'!Z:Z,"Rejected",'QA Log'!L:L,"*Exit Interview 2*")
  )
)</f>
        <v/>
      </c>
      <c r="BU60" s="107" t="str">
        <f t="shared" si="13"/>
        <v/>
      </c>
      <c r="BV60" s="102" t="str">
        <f t="shared" si="14"/>
        <v/>
      </c>
      <c r="BW60" s="102" t="str">
        <f t="shared" si="15"/>
        <v/>
      </c>
      <c r="BX60" s="102" t="str">
        <f t="shared" si="16"/>
        <v/>
      </c>
      <c r="BY60" s="102" t="str">
        <f t="shared" si="17"/>
        <v/>
      </c>
      <c r="BZ60" s="107" t="str">
        <f t="shared" si="18"/>
        <v/>
      </c>
      <c r="CA60" s="108" t="str">
        <f t="shared" si="19"/>
        <v/>
      </c>
      <c r="CB60" s="108" t="str">
        <f t="shared" si="20"/>
        <v/>
      </c>
      <c r="CC60" s="109" t="str">
        <f t="shared" si="21"/>
        <v/>
      </c>
      <c r="CD60" s="108" t="str">
        <f t="shared" si="22"/>
        <v/>
      </c>
      <c r="CE60" s="108" t="str">
        <f t="shared" si="23"/>
        <v/>
      </c>
      <c r="CF60" s="109" t="str">
        <f t="shared" si="24"/>
        <v/>
      </c>
      <c r="CG60" s="110" t="str">
        <f t="shared" si="25"/>
        <v/>
      </c>
      <c r="CH60" s="111"/>
    </row>
    <row r="61" spans="1:86" ht="12.75">
      <c r="A61" s="101"/>
      <c r="B61" s="102" t="e">
        <f t="array" aca="1" ref="B61" ca="1">_xludf.XLOOKUP(A61,'QA Log'!D:D,'QA Log'!E:E,"")</f>
        <v>#NAME?</v>
      </c>
      <c r="C61" s="102" t="e">
        <f t="array" aca="1" ref="C61" ca="1">_xludf.XLOOKUP(A61,'QA Log'!D:D,'QA Log'!F:F,"")</f>
        <v>#NAME?</v>
      </c>
      <c r="D61" s="102" t="e">
        <f t="array" aca="1" ref="D61" ca="1">_xludf.XLOOKUP(A61,'QA Log'!D:D,'QA Log'!H:H,"")</f>
        <v>#NAME?</v>
      </c>
      <c r="E61" s="102" t="e">
        <f t="array" aca="1" ref="E61" ca="1">_xludf.XLOOKUP(A61,'QA Log'!D:D,'QA Log'!G:G,"")</f>
        <v>#NAME?</v>
      </c>
      <c r="F61" s="103"/>
      <c r="G61" s="104"/>
      <c r="H61" s="104"/>
      <c r="I61" s="103" t="str">
        <f t="shared" si="0"/>
        <v/>
      </c>
      <c r="J61" s="102" t="str">
        <f>IF(A61="","",SUM(
COUNTIFS('QA Log'!D:D,A61,'QA Log'!M:M,"QQC",'QA Log'!L:L,"*1. General Management*"),
COUNTIFS('QA Log'!D:D,A61,'QA Log'!M:M,"QQC",'QA Log'!L:L,"*3. Curative Consultation (OPD)*"),
COUNTIFS('QA Log'!D:D,A61,'QA Log'!M:M,"QQC",'QA Log'!L:L,"*5. Laboratory*"),
COUNTIFS('QA Log'!D:D,A61,'QA Log'!M:M,"QQC",'QA Log'!L:L,"*6. Essential Medicine Management*"),
COUNTIFS('QA Log'!D:D,A61,'QA Log'!M:M,"QQC",'QA Log'!L:L,"*7. Tracer Medicine*"),
COUNTIFS('QA Log'!D:D,A61,'QA Log'!M:M,"QQC",'QA Log'!L:L,"*11. Additional Questions*")))</f>
        <v/>
      </c>
      <c r="K61" s="102" t="str">
        <f>IF(A61="","",SUM(
COUNTIFS('QA Log'!D:D,A61,'QA Log'!M:M,"QQC",'QA Log'!Z:Z,"Approved",'QA Log'!L:L,"*1. General Management*"),
COUNTIFS('QA Log'!D:D,A61,'QA Log'!M:M,"QQC",'QA Log'!Z:Z,"Approved",'QA Log'!L:L,"*3. Curative Consultation (OPD)*"),
COUNTIFS('QA Log'!D:D,A61,'QA Log'!M:M,"QQC",'QA Log'!Z:Z,"Approved",'QA Log'!L:L,"*5. Laboratory*"),
COUNTIFS('QA Log'!D:D,A61,'QA Log'!M:M,"QQC",'QA Log'!Z:Z,"Approved",'QA Log'!L:L,"*6. Essential Medicine Management*"),
COUNTIFS('QA Log'!D:D,A61,'QA Log'!M:M,"QQC",'QA Log'!Z:Z,"Approved",'QA Log'!L:L,"*7. Tracer Medicine*"),
COUNTIFS('QA Log'!D:D,A61,'QA Log'!M:M,"QQC",'QA Log'!Z:Z,"Approved",'QA Log'!L:L,"*11. Additional Questions*")))</f>
        <v/>
      </c>
      <c r="L61" s="105" t="str">
        <f>IF(A61&lt;&gt;"",COUNTIFS('QA Log'!D:D,A61,'QA Log'!M:M,"QQC",'QA Log'!L:L,"1. General Management",'QA Log'!Z:Z,"Approved"),"")</f>
        <v/>
      </c>
      <c r="M61" s="105" t="str">
        <f>IF(A61&lt;&gt;"",COUNTIFS('QA Log'!D:D,A61,'QA Log'!M:M,"QQC",'QA Log'!L:L,"3. Curative Consultation (OPD)",'QA Log'!Z:Z,"Approved"),"")</f>
        <v/>
      </c>
      <c r="N61" s="105" t="str">
        <f>IF(A61&lt;&gt;"",COUNTIFS('QA Log'!D:D,A61,'QA Log'!M:M,"QQC",'QA Log'!L:L,"5. Laboratory",'QA Log'!Z:Z,"Approved"),"")</f>
        <v/>
      </c>
      <c r="O61" s="105" t="str">
        <f>IF(A61&lt;&gt;"",COUNTIFS('QA Log'!D:D,A61,'QA Log'!M:M,"QQC",'QA Log'!L:L,"6. Essential Medicine Management",'QA Log'!Z:Z,"Approved"),"")</f>
        <v/>
      </c>
      <c r="P61" s="105" t="str">
        <f>IF(A61&lt;&gt;"",COUNTIFS('QA Log'!D:D,A61,'QA Log'!M:M,"QQC",'QA Log'!L:L,"7. Tracer Medicine",'QA Log'!Z:Z,"Approved"),"")</f>
        <v/>
      </c>
      <c r="Q61" s="105" t="str">
        <f>IF(A61&lt;&gt;"",COUNTIFS('QA Log'!D:D,A61,'QA Log'!M:M,"QQC",'QA Log'!L:L,"11. Additional Questions",'QA Log'!Z:Z,"Approved"),"")</f>
        <v/>
      </c>
      <c r="R61" s="102" t="str">
        <f>IF(A61="","",SUM(
COUNTIFS('QA Log'!D:D,A61,'QA Log'!M:M,"QQC",'QA Log'!Z:Z,"Rejected",'QA Log'!L:L,"*8. Maternity*"),
COUNTIFS('QA Log'!D:D,A61,'QA Log'!M:M,"QQC",'QA Log'!Z:Z,"Rejected",'QA Log'!L:L,"*EPI*"),
COUNTIFS('QA Log'!D:D,A61,'QA Log'!M:M,"QQC",'QA Log'!Z:Z,"Rejected",'QA Log'!L:L,"*10. Antenatal Care (ANC)*"),
COUNTIFS('QA Log'!D:D,A61,'QA Log'!M:M,"QQC",'QA Log'!Z:Z,"Rejected",'QA Log'!L:L,"*2. Hygiene and Sterilization*"),
COUNTIFS('QA Log'!D:D,A61,'QA Log'!M:M,"QQC",'QA Log'!Z:Z,"Rejected",'QA Log'!L:L,"*Family Planning*")))</f>
        <v/>
      </c>
      <c r="S61" s="106" t="str">
        <f t="shared" si="1"/>
        <v/>
      </c>
      <c r="T61" s="102" t="str">
        <f t="shared" si="2"/>
        <v/>
      </c>
      <c r="U61" s="102" t="str">
        <f>IF(A61="","",
SUM(
COUNTIFS('QA Log'!D:D,A61,'QA Log'!M:M,"QQC",'QA Log'!L:L,"*8. Maternity*"),
COUNTIFS('QA Log'!D:D,A61,'QA Log'!M:M,"QQC",'QA Log'!L:L,"*9. EPI and Pre-school Consultation*"),
COUNTIFS('QA Log'!D:D,A61,'QA Log'!M:M,"QQC",'QA Log'!L:L,"*10. Antenatal Care (ANC)*"),
COUNTIFS('QA Log'!D:D,A61,'QA Log'!M:M,"QQC",'QA Log'!L:L,"*2. Hygiene and Sterilization*"),
COUNTIFS('QA Log'!D:D,A61,'QA Log'!M:M,"QQC",'QA Log'!L:L,"*4. Family Planning*")
))</f>
        <v/>
      </c>
      <c r="V61" s="102" t="str">
        <f>IF(A61="","",
SUM(
COUNTIFS('QA Log'!D:D,A61,'QA Log'!M:M,"QQC",'QA Log'!Z:Z,"Approved",'QA Log'!L:L,"*8. Maternity*"),
COUNTIFS('QA Log'!D:D,A61,'QA Log'!M:M,"QQC",'QA Log'!Z:Z,"Approved",'QA Log'!L:L,"*9. EPI and Pre-school Consultation*"),
COUNTIFS('QA Log'!D:D,A61,'QA Log'!M:M,"QQC",'QA Log'!Z:Z,"Approved",'QA Log'!L:L,"*10. Antenatal Care (ANC)*"),
COUNTIFS('QA Log'!D:D,A61,'QA Log'!M:M,"QQC",'QA Log'!Z:Z,"Approved",'QA Log'!L:L,"*2. Hygiene and Sterilization*"),
COUNTIFS('QA Log'!D:D,A61,'QA Log'!M:M,"QQC",'QA Log'!Z:Z,"Approved",'QA Log'!L:L,"*4. Family Planning*")
))</f>
        <v/>
      </c>
      <c r="W61" s="105" t="str">
        <f>IF(A61&lt;&gt;"",COUNTIFS('QA Log'!D:D,A61,'QA Log'!M:M,"QQC",'QA Log'!L:L,"8. Maternity",'QA Log'!Z:Z,"Approved"),"")</f>
        <v/>
      </c>
      <c r="X61" s="105" t="str">
        <f>IF(A61&lt;&gt;"",COUNTIFS('QA Log'!D:D,A61,'QA Log'!M:M,"QQC",'QA Log'!L:L,"9. EPI and Pre-school Consultation",'QA Log'!Z:Z,"Approved"),"")</f>
        <v/>
      </c>
      <c r="Y61" s="105" t="str">
        <f>IF(A61&lt;&gt;"",COUNTIFS('QA Log'!D:D,A61,'QA Log'!M:M,"QQC",'QA Log'!L:L,"10. Antenatal Care (ANC)",'QA Log'!Z:Z,"Approved"),"")</f>
        <v/>
      </c>
      <c r="Z61" s="105" t="str">
        <f>IF(A61&lt;&gt;"",COUNTIFS('QA Log'!D:D,A61,'QA Log'!M:M,"QQC",'QA Log'!L:L,"2. Hygiene and Sterilization",'QA Log'!Z:Z,"Approved"),"")</f>
        <v/>
      </c>
      <c r="AA61" s="105" t="str">
        <f>IF(A61&lt;&gt;"",COUNTIFS('QA Log'!D:D,A61,'QA Log'!M:M,"QQC",'QA Log'!L:L,"4. Family Planning",'QA Log'!Z:Z,"Approved"),"")</f>
        <v/>
      </c>
      <c r="AB61" s="102" t="str">
        <f>IF(A61="","",
SUM(
COUNTIFS('QA Log'!D:D,A61,'QA Log'!M:M,"QQC",'QA Log'!Z:Z,"Rejected",'QA Log'!L:L,"*8. Maternity*"),
COUNTIFS('QA Log'!D:D,A61,'QA Log'!M:M,"QQC",'QA Log'!Z:Z,"Rejected",'QA Log'!L:L,"*9. EPI and Pre-school Consultation*"),
COUNTIFS('QA Log'!D:D,A61,'QA Log'!M:M,"QQC",'QA Log'!Z:Z,"Rejected",'QA Log'!L:L,"*10. Antenatal Care (ANC)*"),
COUNTIFS('QA Log'!D:D,A61,'QA Log'!M:M,"QQC",'QA Log'!Z:Z,"Rejected",'QA Log'!L:L,"*2. Hygiene and Sterilization*"),
COUNTIFS('QA Log'!D:D,A61,'QA Log'!M:M,"QQC",'QA Log'!Z:Z,"Rejected",'QA Log'!L:L,"*4. Family Planning*")
))</f>
        <v/>
      </c>
      <c r="AC61" s="102" t="str">
        <f t="shared" si="3"/>
        <v/>
      </c>
      <c r="AD61" s="103" t="str">
        <f t="shared" si="4"/>
        <v/>
      </c>
      <c r="AE61" s="102" t="str">
        <f>IF(A61="","",
SUM(
COUNTIFS('QA Log'!D:D,A61,'QA Log'!M:M,"Data Verification",'QA Log'!L:L,"*Medicine (section 2)*"),
COUNTIFS('QA Log'!D:D,A61,'QA Log'!M:M,"Data Verification",'QA Log'!L:L,"*Lab Testing Availability*"),
COUNTIFS('QA Log'!D:D,A61,'QA Log'!M:M,"Data Verification",'QA Log'!L:L,"*Other than P4P (section 6)*"),
COUNTIFS('QA Log'!D:D,A61,'QA Log'!M:M,"Data Verification",'QA Log'!L:L,"*Hospital Governance*")
))</f>
        <v/>
      </c>
      <c r="AF61" s="102" t="str">
        <f>IF(A61="","",
SUM(
COUNTIFS('QA Log'!D:D,A61,'QA Log'!M:M,"Data Verification",'QA Log'!Z:Z,"Approved",'QA Log'!L:L,"*Medicine (section 2)*"),
COUNTIFS('QA Log'!D:D,A61,'QA Log'!M:M,"Data Verification",'QA Log'!Z:Z,"Approved",'QA Log'!L:L,"*Lab Testing Availability*"),
COUNTIFS('QA Log'!D:D,A61,'QA Log'!M:M,"Data Verification",'QA Log'!Z:Z,"Approved",'QA Log'!L:L,"*Other than P4P (section 6)*"),
COUNTIFS('QA Log'!D:D,A61,'QA Log'!M:M,"Data Verification",'QA Log'!Z:Z,"Approved",'QA Log'!L:L,"*Hospital Governance*")
))</f>
        <v/>
      </c>
      <c r="AG61" s="105" t="str">
        <f>IF(A61&lt;&gt;"",COUNTIFS('QA Log'!D:D,A61,'QA Log'!M:M,"Data Verification",'QA Log'!L:L,"Medicine (section 2)",'QA Log'!Z:Z,"Approved"),"")</f>
        <v/>
      </c>
      <c r="AH61" s="105" t="str">
        <f>IF(A61&lt;&gt;"",COUNTIFS('QA Log'!D:D,A61,'QA Log'!M:M,"Data Verification",'QA Log'!L:L,"Lab Testing Availability",'QA Log'!Z:Z,"Approved"),"")</f>
        <v/>
      </c>
      <c r="AI61" s="105" t="str">
        <f>IF(A61&lt;&gt;"",COUNTIFS('QA Log'!D:D,A61,'QA Log'!M:M,"Data Verification",'QA Log'!L:L,"Other than P4P (section 6)",'QA Log'!Z:Z,"Approved"),"")</f>
        <v/>
      </c>
      <c r="AJ61" s="105" t="str">
        <f>IF(A61&lt;&gt;"",COUNTIFS('QA Log'!D:D,A61,'QA Log'!M:M,"Data Verification",'QA Log'!L:L,"Hospital Governance",'QA Log'!Z:Z,"Approved"),"")</f>
        <v/>
      </c>
      <c r="AK61" s="102" t="str">
        <f>IF(A61="","",
SUM(
COUNTIFS('QA Log'!D:D,A61,'QA Log'!M:M,"Data Verification",'QA Log'!Z:Z,"Rejected",'QA Log'!L:L,"*Medicine (section 2)*"),
COUNTIFS('QA Log'!D:D,A61,'QA Log'!M:M,"Data Verification",'QA Log'!Z:Z,"Rejected",'QA Log'!L:L,"*Lab Testing Availability*"),
COUNTIFS('QA Log'!D:D,A61,'QA Log'!M:M,"Data Verification",'QA Log'!Z:Z,"Rejected",'QA Log'!L:L,"*Other than P4P (section 6)*"),
COUNTIFS('QA Log'!D:D,A61,'QA Log'!M:M,"Data Verification",'QA Log'!Z:Z,"Rejected",'QA Log'!L:L,"*Hospital Governance*")
))</f>
        <v/>
      </c>
      <c r="AL61" s="106" t="str">
        <f t="shared" si="5"/>
        <v/>
      </c>
      <c r="AM61" s="102" t="str">
        <f t="shared" si="6"/>
        <v/>
      </c>
      <c r="AN61" s="102" t="str">
        <f>IF(A61="","",
SUM(
COUNTIFS('QA Log'!D:D,A61,'QA Log'!M:M,"Data Verification",'QA Log'!L:L,"*Personnel (section 1)*"),
COUNTIFS('QA Log'!D:D,A61,'QA Log'!M:M,"Data Verification",'QA Log'!L:L,"*Consumable (section 3)*"),
COUNTIFS('QA Log'!D:D,A61,'QA Log'!M:M,"Data Verification",'QA Log'!L:L,"*Equipments (section 4)*")
))</f>
        <v/>
      </c>
      <c r="AO61" s="102" t="str">
        <f>IF(A61="","",
SUM(
COUNTIFS('QA Log'!D:D,A61,'QA Log'!M:M,"Data Verification",'QA Log'!Z:Z,"Approved",'QA Log'!L:L,"*Personnel (section 1)*"),
COUNTIFS('QA Log'!D:D,A61,'QA Log'!M:M,"Data Verification",'QA Log'!Z:Z,"Approved",'QA Log'!L:L,"*Consumable (section 3)*"),
COUNTIFS('QA Log'!D:D,A61,'QA Log'!M:M,"Data Verification",'QA Log'!Z:Z,"Approved",'QA Log'!L:L,"*Equipments (section 4)*")
))</f>
        <v/>
      </c>
      <c r="AP61" s="105" t="str">
        <f>IF(A61&lt;&gt;"",COUNTIFS('QA Log'!D:D,A61,'QA Log'!M:M,"Data Verification",'QA Log'!L:L,"Personnel (section 1)",'QA Log'!Z:Z,"Approved"),"")</f>
        <v/>
      </c>
      <c r="AQ61" s="105" t="str">
        <f>IF(A61&lt;&gt;"",COUNTIFS('QA Log'!D:D,A61,'QA Log'!M:M,"Data Verification",'QA Log'!L:L,"Consumable (section 3)",'QA Log'!Z:Z,"Approved"),"")</f>
        <v/>
      </c>
      <c r="AR61" s="105" t="str">
        <f>IF(A61&lt;&gt;"",COUNTIFS('QA Log'!D:D,A61,'QA Log'!M:M,"Data Verification",'QA Log'!L:L,"Equipments (section 4)",'QA Log'!Z:Z,"Approved"),"")</f>
        <v/>
      </c>
      <c r="AS61" s="102" t="str">
        <f>IF(A61="","",
SUM(
COUNTIFS('QA Log'!D:D,A61,'QA Log'!M:M,"Data Verification",'QA Log'!Z:Z,"Rejected",'QA Log'!L:L,"*Personnel (section 1)*"),
COUNTIFS('QA Log'!D:D,A61,'QA Log'!M:M,"Data Verification",'QA Log'!Z:Z,"Rejected",'QA Log'!L:L,"*Consumable (section 3)*"),
COUNTIFS('QA Log'!D:D,A61,'QA Log'!M:M,"Data Verification",'QA Log'!Z:Z,"Rejected",'QA Log'!L:L,"*Equipments (section 4)*")
))</f>
        <v/>
      </c>
      <c r="AT61" s="102" t="str">
        <f t="shared" si="7"/>
        <v/>
      </c>
      <c r="AU61" s="103" t="str">
        <f t="shared" si="8"/>
        <v/>
      </c>
      <c r="AV61" s="102" t="str">
        <f>IF(A61="","",SUM(
COUNTIFS('QA Log'!D:D,A61,'QA Log'!M:M,"Vignette",'QA Log'!L:L,"*Vignette [1] Respiratory Infection: Pneumonia*"),
COUNTIFS('QA Log'!D:D,A61,'QA Log'!M:M,"Vignette",'QA Log'!L:L,"*Vignette [2]: Diarrhea with Cat B dehydration*"),
COUNTIFS('QA Log'!D:D,A61,'QA Log'!M:M,"Vignette",'QA Log'!L:L,"*Vignette [3] Growth Monitoring and Promotion*"),
COUNTIFS('QA Log'!D:D,A61,'QA Log'!M:M,"Vignette",'QA Log'!L:L,"*Vignette [4]: The management of presumptive TB patient*")
)
)</f>
        <v/>
      </c>
      <c r="AW61" s="102" t="str">
        <f>IF(
  A61="","",
  SUM(
    COUNTIFS('QA Log'!D:D,A61,'QA Log'!M:M,"Vignette",'QA Log'!Z:Z,"Approved",'QA Log'!L:L,"*Vignette [1] Respiratory Infection: Pneumonia*"),
    COUNTIFS('QA Log'!D:D,A61,'QA Log'!M:M,"Vignette",'QA Log'!Z:Z,"Approved",'QA Log'!L:L,"*Vignette [2]: Diarrhea with Cat B dehydration*"),
    COUNTIFS('QA Log'!D:D,A61,'QA Log'!M:M,"Vignette",'QA Log'!Z:Z,"Approved",'QA Log'!L:L,"*Vignette [3] Growth Monitoring and Promotion*"),
    COUNTIFS('QA Log'!D:D,A61,'QA Log'!M:M,"Vignette",'QA Log'!Z:Z,"Approved",'QA Log'!L:L,"*Vignette [4]: The management of presumptive TB patient*")
  )
)</f>
        <v/>
      </c>
      <c r="AX61" s="105" t="str">
        <f>IF(A61&lt;&gt;"",COUNTIFS('QA Log'!D:D,A61,'QA Log'!M:M,"Vignette",'QA Log'!L:L,"Vignette [1] Respiratory Infection: Pneumonia",'QA Log'!Z:Z,"Approved"),"")</f>
        <v/>
      </c>
      <c r="AY61" s="105" t="str">
        <f>IF(A61&lt;&gt;"",COUNTIFS('QA Log'!D:D,A61,'QA Log'!M:M,"Vignette",'QA Log'!L:L,"Vignette [2]: Diarrhea with Cat B dehydration",'QA Log'!Z:Z,"Approved"),"")</f>
        <v/>
      </c>
      <c r="AZ61" s="105" t="str">
        <f>IF(A61&lt;&gt;"",COUNTIFS('QA Log'!D:D,A61,'QA Log'!M:M,"Vignette",'QA Log'!L:L,"Vignette [3] Growth Monitoring and Promotion",'QA Log'!Z:Z,"Approved"),"")</f>
        <v/>
      </c>
      <c r="BA61" s="105" t="str">
        <f>IF(A61&lt;&gt;"",COUNTIFS('QA Log'!D:D,A61,'QA Log'!M:M,"Vignette",'QA Log'!L:L,"Vignette [4]: The management of presumptive TB patient",'QA Log'!Z:Z,"Approved"),"")</f>
        <v/>
      </c>
      <c r="BB61" s="102" t="str">
        <f>IF(A61="","",
  SUM(
    COUNTIFS('QA Log'!D:D,A61,'QA Log'!M:M,"Vignette",'QA Log'!Z:Z,"Rejected",'QA Log'!L:L,"*Vignette [1] Respiratory Infection: Pneumonia*"),
    COUNTIFS('QA Log'!D:D,A61,'QA Log'!M:M,"Vignette",'QA Log'!Z:Z,"Rejected",'QA Log'!L:L,"*Vignette [2]: Diarrhea with Cat B dehydration*"),
    COUNTIFS('QA Log'!D:D,A61,'QA Log'!M:M,"Vignette",'QA Log'!Z:Z,"Rejected",'QA Log'!L:L,"*Vignette [3] Growth Monitoring and Promotion*"),
    COUNTIFS('QA Log'!D:D,A61,'QA Log'!M:M,"Vignette",'QA Log'!Z:Z,"Rejected",'QA Log'!L:L,"*Vignette [4]: The management of presumptive TB patient*")
  )
)</f>
        <v/>
      </c>
      <c r="BC61" s="107" t="str">
        <f t="shared" si="9"/>
        <v/>
      </c>
      <c r="BD61" s="103" t="str">
        <f t="shared" si="10"/>
        <v/>
      </c>
      <c r="BE61" s="102" t="str">
        <f>IF(A61="","",SUM(
COUNTIFS('QA Log'!D:D,A61,'QA Log'!M:M,"Vignette",'QA Log'!L:L,"*Vignette [5] Labor*"),
COUNTIFS('QA Log'!D:D,A61,'QA Log'!M:M,"Vignette",'QA Log'!L:L,"*Vignette [6] PNC pre Discharge*"),
COUNTIFS('QA Log'!D:D,A61,'QA Log'!M:M,"Vignette",'QA Log'!L:L,"*Vignette [7] First ANC Visit*"),
COUNTIFS('QA Log'!D:D,A61,'QA Log'!M:M,"Vignette",'QA Log'!L:L,"*Vignette [8] Birth Spacing/ Family Planning :  FP Counselling*"),
COUNTIFS('QA Log'!D:D,A61,'QA Log'!M:M,"Vignette",'QA Log'!L:L,"*Vignette [9] Birth Spacing: Change FP method to Injectable*"),
COUNTIFS('QA Log'!D:D,A61,'QA Log'!M:M,"Vignette",'QA Log'!L:L,"*Vignette [10] Post Partum Haemorrhage - Atonic Uterus at Health Centre*"),
)
)</f>
        <v/>
      </c>
      <c r="BF61" s="102" t="str">
        <f>IF(A61="","",
  SUM(
    COUNTIFS('QA Log'!D:D,A61,'QA Log'!M:M,"Vignette",'QA Log'!Z:Z,"Approved",'QA Log'!L:L,"*Vignette [5] Labor*"),
    COUNTIFS('QA Log'!D:D,A61,'QA Log'!M:M,"Vignette",'QA Log'!Z:Z,"Approved",'QA Log'!L:L,"*Vignette [6] PNC pre Discharge*"),
    COUNTIFS('QA Log'!D:D,A61,'QA Log'!M:M,"Vignette",'QA Log'!Z:Z,"Approved",'QA Log'!L:L,"*Vignette [7] First ANC Visit*"),
    COUNTIFS('QA Log'!D:D,A61,'QA Log'!M:M,"Vignette",'QA Log'!Z:Z,"Approved",'QA Log'!L:L,"*Vignette [8] Birth Spacing/ Family Planning :  FP Counselling*"),
    COUNTIFS('QA Log'!D:D,A61,'QA Log'!M:M,"Vignette",'QA Log'!Z:Z,"Approved",'QA Log'!L:L,"*Vignette [9] Birth Spacing: Change FP method to Injectable*"),
    COUNTIFS('QA Log'!D:D,A61,'QA Log'!M:M,"Vignette",'QA Log'!Z:Z,"Approved",'QA Log'!L:L,"*Vignette [10] Post Partum Haemorrhage - Atonic Uterus at Health Centre*")
  )
)</f>
        <v/>
      </c>
      <c r="BG61" s="105" t="str">
        <f>IF(A61&lt;&gt;"",COUNTIFS('QA Log'!D:D,A61,'QA Log'!M:M,"Vignette",'QA Log'!L:L,"Vignette [5] Labor",'QA Log'!Z:Z,"Approved"),"")</f>
        <v/>
      </c>
      <c r="BH61" s="105" t="str">
        <f>IF(A61&lt;&gt;"",COUNTIFS('QA Log'!D:D,A61,'QA Log'!M:M,"Vignette",'QA Log'!L:L,"Vignette [6] PNC pre Discharge",'QA Log'!Z:Z,"Approved"),"")</f>
        <v/>
      </c>
      <c r="BI61" s="105" t="str">
        <f>IF(A61&lt;&gt;"",COUNTIFS('QA Log'!D:D,A61,'QA Log'!M:M,"Vignette",'QA Log'!L:L,"Vignette [7] First ANC Visit",'QA Log'!Z:Z,"Approved"),"")</f>
        <v/>
      </c>
      <c r="BJ61" s="105" t="str">
        <f>IF(A61&lt;&gt;"",COUNTIFS('QA Log'!D:D,A61,'QA Log'!M:M,"Vignette",'QA Log'!L:L,"Vignette [8] Birth Spacing/ Family Planning :  FP Counselling",'QA Log'!Z:Z,"Approved"),"")</f>
        <v/>
      </c>
      <c r="BK61" s="105" t="str">
        <f>IF(A61&lt;&gt;"",COUNTIFS('QA Log'!D:D,A61,'QA Log'!M:M,"Vignette",'QA Log'!L:L,"Vignette [9] Birth Spacing: Change FP method to Injectable",'QA Log'!Z:Z,"Approved"),"")</f>
        <v/>
      </c>
      <c r="BL61" s="105" t="str">
        <f>IF(A61&lt;&gt;"",COUNTIFS('QA Log'!D:D,A61,'QA Log'!M:M,"Vignette",'QA Log'!L:L,"Vignette [10] Post Partum Haemorrhage - Atonic Uterus at Health Centre",'QA Log'!Z:Z,"Approved"),"")</f>
        <v/>
      </c>
      <c r="BM61" s="102" t="str">
        <f>IF(A61="","",SUM(
    COUNTIFS('QA Log'!D:D,A61,'QA Log'!M:M,"Vignette",'QA Log'!Z:Z,"Rejected",'QA Log'!L:L,"*Vignette [5] Labor*"),
    COUNTIFS('QA Log'!D:D,A61,'QA Log'!M:M,"Vignette",'QA Log'!Z:Z,"Rejected",'QA Log'!L:L,"*Vignette [6] PNC pre Discharge*"),
    COUNTIFS('QA Log'!D:D,A61,'QA Log'!M:M,"Vignette",'QA Log'!Z:Z,"Rejected",'QA Log'!L:L,"*Vignette [7] First ANC Visit*"),
    COUNTIFS('QA Log'!D:D,A61,'QA Log'!M:M,"Vignette",'QA Log'!Z:Z,"Rejected",'QA Log'!L:L,"*Vignette [8] Birth Spacing/ Family Planning :  FP Counselling*"),
    COUNTIFS('QA Log'!D:D,A61,'QA Log'!M:M,"Vignette",'QA Log'!Z:Z,"Rejected",'QA Log'!L:L,"*Vignette [9] Birth Spacing: Change FP method to Injectable*"),
    COUNTIFS('QA Log'!D:D,A61,'QA Log'!M:M,"Vignette",'QA Log'!Z:Z,"Rejected",'QA Log'!L:L,"*Vignette [10] Post Partum Haemorrhage - Atonic Uterus at Health Centre*")
  )
)</f>
        <v/>
      </c>
      <c r="BN61" s="107" t="str">
        <f t="shared" si="11"/>
        <v/>
      </c>
      <c r="BO61" s="103" t="str">
        <f t="shared" si="12"/>
        <v/>
      </c>
      <c r="BP61" s="102" t="str">
        <f>IF(A61="","",SUM(
COUNTIFS('QA Log'!D:D,A61,'QA Log'!M:M,"Vignette",'QA Log'!L:L,"*Exit Interview 1*"),
COUNTIFS('QA Log'!D:D,A61,'QA Log'!M:M,"Vignette",'QA Log'!L:L,"*Exit Interview 2*"),
)
)</f>
        <v/>
      </c>
      <c r="BQ61" s="102" t="str">
        <f>IF(
  A61="","",
  SUM(
    COUNTIFS('QA Log'!D:D,A61,'QA Log'!M:M,"Vignette",'QA Log'!Z:Z,"Approved",'QA Log'!L:L,"*Exit Interview 1*"),
    COUNTIFS('QA Log'!D:D,A61,'QA Log'!M:M,"Vignette",'QA Log'!Z:Z,"Approved",'QA Log'!L:L,"*Exit Interview 2*")
  )
)</f>
        <v/>
      </c>
      <c r="BR61" s="105" t="str">
        <f>IF(A61&lt;&gt;"",COUNTIFS('QA Log'!D:D,A61,'QA Log'!M:M,"Vignette",'QA Log'!L:L,"Exit Interview 1",'QA Log'!Z:Z,"Approved"),"")</f>
        <v/>
      </c>
      <c r="BS61" s="105" t="str">
        <f>IF(A61&lt;&gt;"",COUNTIFS('QA Log'!D:D,A61,'QA Log'!M:M,"Vignette",'QA Log'!L:L,"Exit Interview 2",'QA Log'!Z:Z,"Approved"),"")</f>
        <v/>
      </c>
      <c r="BT61" s="102" t="str">
        <f>IF(
  A61="","",
  SUM(
    COUNTIFS('QA Log'!D:D,A61,'QA Log'!M:M,"Vignette",'QA Log'!Z:Z,"Rejected",'QA Log'!L:L,"*Exit Interview 1*"),
    COUNTIFS('QA Log'!D:D,A61,'QA Log'!M:M,"Vignette",'QA Log'!Z:Z,"Rejected",'QA Log'!L:L,"*Exit Interview 2*")
  )
)</f>
        <v/>
      </c>
      <c r="BU61" s="107" t="str">
        <f t="shared" si="13"/>
        <v/>
      </c>
      <c r="BV61" s="102" t="str">
        <f t="shared" si="14"/>
        <v/>
      </c>
      <c r="BW61" s="102" t="str">
        <f t="shared" si="15"/>
        <v/>
      </c>
      <c r="BX61" s="102" t="str">
        <f t="shared" si="16"/>
        <v/>
      </c>
      <c r="BY61" s="102" t="str">
        <f t="shared" si="17"/>
        <v/>
      </c>
      <c r="BZ61" s="107" t="str">
        <f t="shared" si="18"/>
        <v/>
      </c>
      <c r="CA61" s="108" t="str">
        <f t="shared" si="19"/>
        <v/>
      </c>
      <c r="CB61" s="108" t="str">
        <f t="shared" si="20"/>
        <v/>
      </c>
      <c r="CC61" s="109" t="str">
        <f t="shared" si="21"/>
        <v/>
      </c>
      <c r="CD61" s="108" t="str">
        <f t="shared" si="22"/>
        <v/>
      </c>
      <c r="CE61" s="108" t="str">
        <f t="shared" si="23"/>
        <v/>
      </c>
      <c r="CF61" s="109" t="str">
        <f t="shared" si="24"/>
        <v/>
      </c>
      <c r="CG61" s="110" t="str">
        <f t="shared" si="25"/>
        <v/>
      </c>
      <c r="CH61" s="111"/>
    </row>
    <row r="62" spans="1:86" ht="12.75">
      <c r="A62" s="101"/>
      <c r="B62" s="102" t="e">
        <f t="array" aca="1" ref="B62" ca="1">_xludf.XLOOKUP(A62,'QA Log'!D:D,'QA Log'!E:E,"")</f>
        <v>#NAME?</v>
      </c>
      <c r="C62" s="102" t="e">
        <f t="array" aca="1" ref="C62" ca="1">_xludf.XLOOKUP(A62,'QA Log'!D:D,'QA Log'!F:F,"")</f>
        <v>#NAME?</v>
      </c>
      <c r="D62" s="102" t="e">
        <f t="array" aca="1" ref="D62" ca="1">_xludf.XLOOKUP(A62,'QA Log'!D:D,'QA Log'!H:H,"")</f>
        <v>#NAME?</v>
      </c>
      <c r="E62" s="102" t="e">
        <f t="array" aca="1" ref="E62" ca="1">_xludf.XLOOKUP(A62,'QA Log'!D:D,'QA Log'!G:G,"")</f>
        <v>#NAME?</v>
      </c>
      <c r="F62" s="103"/>
      <c r="G62" s="104"/>
      <c r="H62" s="104"/>
      <c r="I62" s="103" t="str">
        <f t="shared" si="0"/>
        <v/>
      </c>
      <c r="J62" s="102" t="str">
        <f>IF(A62="","",SUM(
COUNTIFS('QA Log'!D:D,A62,'QA Log'!M:M,"QQC",'QA Log'!L:L,"*1. General Management*"),
COUNTIFS('QA Log'!D:D,A62,'QA Log'!M:M,"QQC",'QA Log'!L:L,"*3. Curative Consultation (OPD)*"),
COUNTIFS('QA Log'!D:D,A62,'QA Log'!M:M,"QQC",'QA Log'!L:L,"*5. Laboratory*"),
COUNTIFS('QA Log'!D:D,A62,'QA Log'!M:M,"QQC",'QA Log'!L:L,"*6. Essential Medicine Management*"),
COUNTIFS('QA Log'!D:D,A62,'QA Log'!M:M,"QQC",'QA Log'!L:L,"*7. Tracer Medicine*"),
COUNTIFS('QA Log'!D:D,A62,'QA Log'!M:M,"QQC",'QA Log'!L:L,"*11. Additional Questions*")))</f>
        <v/>
      </c>
      <c r="K62" s="102" t="str">
        <f>IF(A62="","",SUM(
COUNTIFS('QA Log'!D:D,A62,'QA Log'!M:M,"QQC",'QA Log'!Z:Z,"Approved",'QA Log'!L:L,"*1. General Management*"),
COUNTIFS('QA Log'!D:D,A62,'QA Log'!M:M,"QQC",'QA Log'!Z:Z,"Approved",'QA Log'!L:L,"*3. Curative Consultation (OPD)*"),
COUNTIFS('QA Log'!D:D,A62,'QA Log'!M:M,"QQC",'QA Log'!Z:Z,"Approved",'QA Log'!L:L,"*5. Laboratory*"),
COUNTIFS('QA Log'!D:D,A62,'QA Log'!M:M,"QQC",'QA Log'!Z:Z,"Approved",'QA Log'!L:L,"*6. Essential Medicine Management*"),
COUNTIFS('QA Log'!D:D,A62,'QA Log'!M:M,"QQC",'QA Log'!Z:Z,"Approved",'QA Log'!L:L,"*7. Tracer Medicine*"),
COUNTIFS('QA Log'!D:D,A62,'QA Log'!M:M,"QQC",'QA Log'!Z:Z,"Approved",'QA Log'!L:L,"*11. Additional Questions*")))</f>
        <v/>
      </c>
      <c r="L62" s="105" t="str">
        <f>IF(A62&lt;&gt;"",COUNTIFS('QA Log'!D:D,A62,'QA Log'!M:M,"QQC",'QA Log'!L:L,"1. General Management",'QA Log'!Z:Z,"Approved"),"")</f>
        <v/>
      </c>
      <c r="M62" s="105" t="str">
        <f>IF(A62&lt;&gt;"",COUNTIFS('QA Log'!D:D,A62,'QA Log'!M:M,"QQC",'QA Log'!L:L,"3. Curative Consultation (OPD)",'QA Log'!Z:Z,"Approved"),"")</f>
        <v/>
      </c>
      <c r="N62" s="105" t="str">
        <f>IF(A62&lt;&gt;"",COUNTIFS('QA Log'!D:D,A62,'QA Log'!M:M,"QQC",'QA Log'!L:L,"5. Laboratory",'QA Log'!Z:Z,"Approved"),"")</f>
        <v/>
      </c>
      <c r="O62" s="105" t="str">
        <f>IF(A62&lt;&gt;"",COUNTIFS('QA Log'!D:D,A62,'QA Log'!M:M,"QQC",'QA Log'!L:L,"6. Essential Medicine Management",'QA Log'!Z:Z,"Approved"),"")</f>
        <v/>
      </c>
      <c r="P62" s="105" t="str">
        <f>IF(A62&lt;&gt;"",COUNTIFS('QA Log'!D:D,A62,'QA Log'!M:M,"QQC",'QA Log'!L:L,"7. Tracer Medicine",'QA Log'!Z:Z,"Approved"),"")</f>
        <v/>
      </c>
      <c r="Q62" s="105" t="str">
        <f>IF(A62&lt;&gt;"",COUNTIFS('QA Log'!D:D,A62,'QA Log'!M:M,"QQC",'QA Log'!L:L,"11. Additional Questions",'QA Log'!Z:Z,"Approved"),"")</f>
        <v/>
      </c>
      <c r="R62" s="102" t="str">
        <f>IF(A62="","",SUM(
COUNTIFS('QA Log'!D:D,A62,'QA Log'!M:M,"QQC",'QA Log'!Z:Z,"Rejected",'QA Log'!L:L,"*8. Maternity*"),
COUNTIFS('QA Log'!D:D,A62,'QA Log'!M:M,"QQC",'QA Log'!Z:Z,"Rejected",'QA Log'!L:L,"*EPI*"),
COUNTIFS('QA Log'!D:D,A62,'QA Log'!M:M,"QQC",'QA Log'!Z:Z,"Rejected",'QA Log'!L:L,"*10. Antenatal Care (ANC)*"),
COUNTIFS('QA Log'!D:D,A62,'QA Log'!M:M,"QQC",'QA Log'!Z:Z,"Rejected",'QA Log'!L:L,"*2. Hygiene and Sterilization*"),
COUNTIFS('QA Log'!D:D,A62,'QA Log'!M:M,"QQC",'QA Log'!Z:Z,"Rejected",'QA Log'!L:L,"*Family Planning*")))</f>
        <v/>
      </c>
      <c r="S62" s="106" t="str">
        <f t="shared" si="1"/>
        <v/>
      </c>
      <c r="T62" s="102" t="str">
        <f t="shared" si="2"/>
        <v/>
      </c>
      <c r="U62" s="102" t="str">
        <f>IF(A62="","",
SUM(
COUNTIFS('QA Log'!D:D,A62,'QA Log'!M:M,"QQC",'QA Log'!L:L,"*8. Maternity*"),
COUNTIFS('QA Log'!D:D,A62,'QA Log'!M:M,"QQC",'QA Log'!L:L,"*9. EPI and Pre-school Consultation*"),
COUNTIFS('QA Log'!D:D,A62,'QA Log'!M:M,"QQC",'QA Log'!L:L,"*10. Antenatal Care (ANC)*"),
COUNTIFS('QA Log'!D:D,A62,'QA Log'!M:M,"QQC",'QA Log'!L:L,"*2. Hygiene and Sterilization*"),
COUNTIFS('QA Log'!D:D,A62,'QA Log'!M:M,"QQC",'QA Log'!L:L,"*4. Family Planning*")
))</f>
        <v/>
      </c>
      <c r="V62" s="102" t="str">
        <f>IF(A62="","",
SUM(
COUNTIFS('QA Log'!D:D,A62,'QA Log'!M:M,"QQC",'QA Log'!Z:Z,"Approved",'QA Log'!L:L,"*8. Maternity*"),
COUNTIFS('QA Log'!D:D,A62,'QA Log'!M:M,"QQC",'QA Log'!Z:Z,"Approved",'QA Log'!L:L,"*9. EPI and Pre-school Consultation*"),
COUNTIFS('QA Log'!D:D,A62,'QA Log'!M:M,"QQC",'QA Log'!Z:Z,"Approved",'QA Log'!L:L,"*10. Antenatal Care (ANC)*"),
COUNTIFS('QA Log'!D:D,A62,'QA Log'!M:M,"QQC",'QA Log'!Z:Z,"Approved",'QA Log'!L:L,"*2. Hygiene and Sterilization*"),
COUNTIFS('QA Log'!D:D,A62,'QA Log'!M:M,"QQC",'QA Log'!Z:Z,"Approved",'QA Log'!L:L,"*4. Family Planning*")
))</f>
        <v/>
      </c>
      <c r="W62" s="105" t="str">
        <f>IF(A62&lt;&gt;"",COUNTIFS('QA Log'!D:D,A62,'QA Log'!M:M,"QQC",'QA Log'!L:L,"8. Maternity",'QA Log'!Z:Z,"Approved"),"")</f>
        <v/>
      </c>
      <c r="X62" s="105" t="str">
        <f>IF(A62&lt;&gt;"",COUNTIFS('QA Log'!D:D,A62,'QA Log'!M:M,"QQC",'QA Log'!L:L,"9. EPI and Pre-school Consultation",'QA Log'!Z:Z,"Approved"),"")</f>
        <v/>
      </c>
      <c r="Y62" s="105" t="str">
        <f>IF(A62&lt;&gt;"",COUNTIFS('QA Log'!D:D,A62,'QA Log'!M:M,"QQC",'QA Log'!L:L,"10. Antenatal Care (ANC)",'QA Log'!Z:Z,"Approved"),"")</f>
        <v/>
      </c>
      <c r="Z62" s="105" t="str">
        <f>IF(A62&lt;&gt;"",COUNTIFS('QA Log'!D:D,A62,'QA Log'!M:M,"QQC",'QA Log'!L:L,"2. Hygiene and Sterilization",'QA Log'!Z:Z,"Approved"),"")</f>
        <v/>
      </c>
      <c r="AA62" s="105" t="str">
        <f>IF(A62&lt;&gt;"",COUNTIFS('QA Log'!D:D,A62,'QA Log'!M:M,"QQC",'QA Log'!L:L,"4. Family Planning",'QA Log'!Z:Z,"Approved"),"")</f>
        <v/>
      </c>
      <c r="AB62" s="102" t="str">
        <f>IF(A62="","",
SUM(
COUNTIFS('QA Log'!D:D,A62,'QA Log'!M:M,"QQC",'QA Log'!Z:Z,"Rejected",'QA Log'!L:L,"*8. Maternity*"),
COUNTIFS('QA Log'!D:D,A62,'QA Log'!M:M,"QQC",'QA Log'!Z:Z,"Rejected",'QA Log'!L:L,"*9. EPI and Pre-school Consultation*"),
COUNTIFS('QA Log'!D:D,A62,'QA Log'!M:M,"QQC",'QA Log'!Z:Z,"Rejected",'QA Log'!L:L,"*10. Antenatal Care (ANC)*"),
COUNTIFS('QA Log'!D:D,A62,'QA Log'!M:M,"QQC",'QA Log'!Z:Z,"Rejected",'QA Log'!L:L,"*2. Hygiene and Sterilization*"),
COUNTIFS('QA Log'!D:D,A62,'QA Log'!M:M,"QQC",'QA Log'!Z:Z,"Rejected",'QA Log'!L:L,"*4. Family Planning*")
))</f>
        <v/>
      </c>
      <c r="AC62" s="102" t="str">
        <f t="shared" si="3"/>
        <v/>
      </c>
      <c r="AD62" s="103" t="str">
        <f t="shared" si="4"/>
        <v/>
      </c>
      <c r="AE62" s="102" t="str">
        <f>IF(A62="","",
SUM(
COUNTIFS('QA Log'!D:D,A62,'QA Log'!M:M,"Data Verification",'QA Log'!L:L,"*Medicine (section 2)*"),
COUNTIFS('QA Log'!D:D,A62,'QA Log'!M:M,"Data Verification",'QA Log'!L:L,"*Lab Testing Availability*"),
COUNTIFS('QA Log'!D:D,A62,'QA Log'!M:M,"Data Verification",'QA Log'!L:L,"*Other than P4P (section 6)*"),
COUNTIFS('QA Log'!D:D,A62,'QA Log'!M:M,"Data Verification",'QA Log'!L:L,"*Hospital Governance*")
))</f>
        <v/>
      </c>
      <c r="AF62" s="102" t="str">
        <f>IF(A62="","",
SUM(
COUNTIFS('QA Log'!D:D,A62,'QA Log'!M:M,"Data Verification",'QA Log'!Z:Z,"Approved",'QA Log'!L:L,"*Medicine (section 2)*"),
COUNTIFS('QA Log'!D:D,A62,'QA Log'!M:M,"Data Verification",'QA Log'!Z:Z,"Approved",'QA Log'!L:L,"*Lab Testing Availability*"),
COUNTIFS('QA Log'!D:D,A62,'QA Log'!M:M,"Data Verification",'QA Log'!Z:Z,"Approved",'QA Log'!L:L,"*Other than P4P (section 6)*"),
COUNTIFS('QA Log'!D:D,A62,'QA Log'!M:M,"Data Verification",'QA Log'!Z:Z,"Approved",'QA Log'!L:L,"*Hospital Governance*")
))</f>
        <v/>
      </c>
      <c r="AG62" s="105" t="str">
        <f>IF(A62&lt;&gt;"",COUNTIFS('QA Log'!D:D,A62,'QA Log'!M:M,"Data Verification",'QA Log'!L:L,"Medicine (section 2)",'QA Log'!Z:Z,"Approved"),"")</f>
        <v/>
      </c>
      <c r="AH62" s="105" t="str">
        <f>IF(A62&lt;&gt;"",COUNTIFS('QA Log'!D:D,A62,'QA Log'!M:M,"Data Verification",'QA Log'!L:L,"Lab Testing Availability",'QA Log'!Z:Z,"Approved"),"")</f>
        <v/>
      </c>
      <c r="AI62" s="105" t="str">
        <f>IF(A62&lt;&gt;"",COUNTIFS('QA Log'!D:D,A62,'QA Log'!M:M,"Data Verification",'QA Log'!L:L,"Other than P4P (section 6)",'QA Log'!Z:Z,"Approved"),"")</f>
        <v/>
      </c>
      <c r="AJ62" s="105" t="str">
        <f>IF(A62&lt;&gt;"",COUNTIFS('QA Log'!D:D,A62,'QA Log'!M:M,"Data Verification",'QA Log'!L:L,"Hospital Governance",'QA Log'!Z:Z,"Approved"),"")</f>
        <v/>
      </c>
      <c r="AK62" s="102" t="str">
        <f>IF(A62="","",
SUM(
COUNTIFS('QA Log'!D:D,A62,'QA Log'!M:M,"Data Verification",'QA Log'!Z:Z,"Rejected",'QA Log'!L:L,"*Medicine (section 2)*"),
COUNTIFS('QA Log'!D:D,A62,'QA Log'!M:M,"Data Verification",'QA Log'!Z:Z,"Rejected",'QA Log'!L:L,"*Lab Testing Availability*"),
COUNTIFS('QA Log'!D:D,A62,'QA Log'!M:M,"Data Verification",'QA Log'!Z:Z,"Rejected",'QA Log'!L:L,"*Other than P4P (section 6)*"),
COUNTIFS('QA Log'!D:D,A62,'QA Log'!M:M,"Data Verification",'QA Log'!Z:Z,"Rejected",'QA Log'!L:L,"*Hospital Governance*")
))</f>
        <v/>
      </c>
      <c r="AL62" s="106" t="str">
        <f t="shared" si="5"/>
        <v/>
      </c>
      <c r="AM62" s="102" t="str">
        <f t="shared" si="6"/>
        <v/>
      </c>
      <c r="AN62" s="102" t="str">
        <f>IF(A62="","",
SUM(
COUNTIFS('QA Log'!D:D,A62,'QA Log'!M:M,"Data Verification",'QA Log'!L:L,"*Personnel (section 1)*"),
COUNTIFS('QA Log'!D:D,A62,'QA Log'!M:M,"Data Verification",'QA Log'!L:L,"*Consumable (section 3)*"),
COUNTIFS('QA Log'!D:D,A62,'QA Log'!M:M,"Data Verification",'QA Log'!L:L,"*Equipments (section 4)*")
))</f>
        <v/>
      </c>
      <c r="AO62" s="102" t="str">
        <f>IF(A62="","",
SUM(
COUNTIFS('QA Log'!D:D,A62,'QA Log'!M:M,"Data Verification",'QA Log'!Z:Z,"Approved",'QA Log'!L:L,"*Personnel (section 1)*"),
COUNTIFS('QA Log'!D:D,A62,'QA Log'!M:M,"Data Verification",'QA Log'!Z:Z,"Approved",'QA Log'!L:L,"*Consumable (section 3)*"),
COUNTIFS('QA Log'!D:D,A62,'QA Log'!M:M,"Data Verification",'QA Log'!Z:Z,"Approved",'QA Log'!L:L,"*Equipments (section 4)*")
))</f>
        <v/>
      </c>
      <c r="AP62" s="105" t="str">
        <f>IF(A62&lt;&gt;"",COUNTIFS('QA Log'!D:D,A62,'QA Log'!M:M,"Data Verification",'QA Log'!L:L,"Personnel (section 1)",'QA Log'!Z:Z,"Approved"),"")</f>
        <v/>
      </c>
      <c r="AQ62" s="105" t="str">
        <f>IF(A62&lt;&gt;"",COUNTIFS('QA Log'!D:D,A62,'QA Log'!M:M,"Data Verification",'QA Log'!L:L,"Consumable (section 3)",'QA Log'!Z:Z,"Approved"),"")</f>
        <v/>
      </c>
      <c r="AR62" s="105" t="str">
        <f>IF(A62&lt;&gt;"",COUNTIFS('QA Log'!D:D,A62,'QA Log'!M:M,"Data Verification",'QA Log'!L:L,"Equipments (section 4)",'QA Log'!Z:Z,"Approved"),"")</f>
        <v/>
      </c>
      <c r="AS62" s="102" t="str">
        <f>IF(A62="","",
SUM(
COUNTIFS('QA Log'!D:D,A62,'QA Log'!M:M,"Data Verification",'QA Log'!Z:Z,"Rejected",'QA Log'!L:L,"*Personnel (section 1)*"),
COUNTIFS('QA Log'!D:D,A62,'QA Log'!M:M,"Data Verification",'QA Log'!Z:Z,"Rejected",'QA Log'!L:L,"*Consumable (section 3)*"),
COUNTIFS('QA Log'!D:D,A62,'QA Log'!M:M,"Data Verification",'QA Log'!Z:Z,"Rejected",'QA Log'!L:L,"*Equipments (section 4)*")
))</f>
        <v/>
      </c>
      <c r="AT62" s="102" t="str">
        <f t="shared" si="7"/>
        <v/>
      </c>
      <c r="AU62" s="103" t="str">
        <f t="shared" si="8"/>
        <v/>
      </c>
      <c r="AV62" s="102" t="str">
        <f>IF(A62="","",SUM(
COUNTIFS('QA Log'!D:D,A62,'QA Log'!M:M,"Vignette",'QA Log'!L:L,"*Vignette [1] Respiratory Infection: Pneumonia*"),
COUNTIFS('QA Log'!D:D,A62,'QA Log'!M:M,"Vignette",'QA Log'!L:L,"*Vignette [2]: Diarrhea with Cat B dehydration*"),
COUNTIFS('QA Log'!D:D,A62,'QA Log'!M:M,"Vignette",'QA Log'!L:L,"*Vignette [3] Growth Monitoring and Promotion*"),
COUNTIFS('QA Log'!D:D,A62,'QA Log'!M:M,"Vignette",'QA Log'!L:L,"*Vignette [4]: The management of presumptive TB patient*")
)
)</f>
        <v/>
      </c>
      <c r="AW62" s="102" t="str">
        <f>IF(
  A62="","",
  SUM(
    COUNTIFS('QA Log'!D:D,A62,'QA Log'!M:M,"Vignette",'QA Log'!Z:Z,"Approved",'QA Log'!L:L,"*Vignette [1] Respiratory Infection: Pneumonia*"),
    COUNTIFS('QA Log'!D:D,A62,'QA Log'!M:M,"Vignette",'QA Log'!Z:Z,"Approved",'QA Log'!L:L,"*Vignette [2]: Diarrhea with Cat B dehydration*"),
    COUNTIFS('QA Log'!D:D,A62,'QA Log'!M:M,"Vignette",'QA Log'!Z:Z,"Approved",'QA Log'!L:L,"*Vignette [3] Growth Monitoring and Promotion*"),
    COUNTIFS('QA Log'!D:D,A62,'QA Log'!M:M,"Vignette",'QA Log'!Z:Z,"Approved",'QA Log'!L:L,"*Vignette [4]: The management of presumptive TB patient*")
  )
)</f>
        <v/>
      </c>
      <c r="AX62" s="105" t="str">
        <f>IF(A62&lt;&gt;"",COUNTIFS('QA Log'!D:D,A62,'QA Log'!M:M,"Vignette",'QA Log'!L:L,"Vignette [1] Respiratory Infection: Pneumonia",'QA Log'!Z:Z,"Approved"),"")</f>
        <v/>
      </c>
      <c r="AY62" s="105" t="str">
        <f>IF(A62&lt;&gt;"",COUNTIFS('QA Log'!D:D,A62,'QA Log'!M:M,"Vignette",'QA Log'!L:L,"Vignette [2]: Diarrhea with Cat B dehydration",'QA Log'!Z:Z,"Approved"),"")</f>
        <v/>
      </c>
      <c r="AZ62" s="105" t="str">
        <f>IF(A62&lt;&gt;"",COUNTIFS('QA Log'!D:D,A62,'QA Log'!M:M,"Vignette",'QA Log'!L:L,"Vignette [3] Growth Monitoring and Promotion",'QA Log'!Z:Z,"Approved"),"")</f>
        <v/>
      </c>
      <c r="BA62" s="105" t="str">
        <f>IF(A62&lt;&gt;"",COUNTIFS('QA Log'!D:D,A62,'QA Log'!M:M,"Vignette",'QA Log'!L:L,"Vignette [4]: The management of presumptive TB patient",'QA Log'!Z:Z,"Approved"),"")</f>
        <v/>
      </c>
      <c r="BB62" s="102" t="str">
        <f>IF(A62="","",
  SUM(
    COUNTIFS('QA Log'!D:D,A62,'QA Log'!M:M,"Vignette",'QA Log'!Z:Z,"Rejected",'QA Log'!L:L,"*Vignette [1] Respiratory Infection: Pneumonia*"),
    COUNTIFS('QA Log'!D:D,A62,'QA Log'!M:M,"Vignette",'QA Log'!Z:Z,"Rejected",'QA Log'!L:L,"*Vignette [2]: Diarrhea with Cat B dehydration*"),
    COUNTIFS('QA Log'!D:D,A62,'QA Log'!M:M,"Vignette",'QA Log'!Z:Z,"Rejected",'QA Log'!L:L,"*Vignette [3] Growth Monitoring and Promotion*"),
    COUNTIFS('QA Log'!D:D,A62,'QA Log'!M:M,"Vignette",'QA Log'!Z:Z,"Rejected",'QA Log'!L:L,"*Vignette [4]: The management of presumptive TB patient*")
  )
)</f>
        <v/>
      </c>
      <c r="BC62" s="107" t="str">
        <f t="shared" si="9"/>
        <v/>
      </c>
      <c r="BD62" s="103" t="str">
        <f t="shared" si="10"/>
        <v/>
      </c>
      <c r="BE62" s="102" t="str">
        <f>IF(A62="","",SUM(
COUNTIFS('QA Log'!D:D,A62,'QA Log'!M:M,"Vignette",'QA Log'!L:L,"*Vignette [5] Labor*"),
COUNTIFS('QA Log'!D:D,A62,'QA Log'!M:M,"Vignette",'QA Log'!L:L,"*Vignette [6] PNC pre Discharge*"),
COUNTIFS('QA Log'!D:D,A62,'QA Log'!M:M,"Vignette",'QA Log'!L:L,"*Vignette [7] First ANC Visit*"),
COUNTIFS('QA Log'!D:D,A62,'QA Log'!M:M,"Vignette",'QA Log'!L:L,"*Vignette [8] Birth Spacing/ Family Planning :  FP Counselling*"),
COUNTIFS('QA Log'!D:D,A62,'QA Log'!M:M,"Vignette",'QA Log'!L:L,"*Vignette [9] Birth Spacing: Change FP method to Injectable*"),
COUNTIFS('QA Log'!D:D,A62,'QA Log'!M:M,"Vignette",'QA Log'!L:L,"*Vignette [10] Post Partum Haemorrhage - Atonic Uterus at Health Centre*"),
)
)</f>
        <v/>
      </c>
      <c r="BF62" s="102" t="str">
        <f>IF(A62="","",
  SUM(
    COUNTIFS('QA Log'!D:D,A62,'QA Log'!M:M,"Vignette",'QA Log'!Z:Z,"Approved",'QA Log'!L:L,"*Vignette [5] Labor*"),
    COUNTIFS('QA Log'!D:D,A62,'QA Log'!M:M,"Vignette",'QA Log'!Z:Z,"Approved",'QA Log'!L:L,"*Vignette [6] PNC pre Discharge*"),
    COUNTIFS('QA Log'!D:D,A62,'QA Log'!M:M,"Vignette",'QA Log'!Z:Z,"Approved",'QA Log'!L:L,"*Vignette [7] First ANC Visit*"),
    COUNTIFS('QA Log'!D:D,A62,'QA Log'!M:M,"Vignette",'QA Log'!Z:Z,"Approved",'QA Log'!L:L,"*Vignette [8] Birth Spacing/ Family Planning :  FP Counselling*"),
    COUNTIFS('QA Log'!D:D,A62,'QA Log'!M:M,"Vignette",'QA Log'!Z:Z,"Approved",'QA Log'!L:L,"*Vignette [9] Birth Spacing: Change FP method to Injectable*"),
    COUNTIFS('QA Log'!D:D,A62,'QA Log'!M:M,"Vignette",'QA Log'!Z:Z,"Approved",'QA Log'!L:L,"*Vignette [10] Post Partum Haemorrhage - Atonic Uterus at Health Centre*")
  )
)</f>
        <v/>
      </c>
      <c r="BG62" s="105" t="str">
        <f>IF(A62&lt;&gt;"",COUNTIFS('QA Log'!D:D,A62,'QA Log'!M:M,"Vignette",'QA Log'!L:L,"Vignette [5] Labor",'QA Log'!Z:Z,"Approved"),"")</f>
        <v/>
      </c>
      <c r="BH62" s="105" t="str">
        <f>IF(A62&lt;&gt;"",COUNTIFS('QA Log'!D:D,A62,'QA Log'!M:M,"Vignette",'QA Log'!L:L,"Vignette [6] PNC pre Discharge",'QA Log'!Z:Z,"Approved"),"")</f>
        <v/>
      </c>
      <c r="BI62" s="105" t="str">
        <f>IF(A62&lt;&gt;"",COUNTIFS('QA Log'!D:D,A62,'QA Log'!M:M,"Vignette",'QA Log'!L:L,"Vignette [7] First ANC Visit",'QA Log'!Z:Z,"Approved"),"")</f>
        <v/>
      </c>
      <c r="BJ62" s="105" t="str">
        <f>IF(A62&lt;&gt;"",COUNTIFS('QA Log'!D:D,A62,'QA Log'!M:M,"Vignette",'QA Log'!L:L,"Vignette [8] Birth Spacing/ Family Planning :  FP Counselling",'QA Log'!Z:Z,"Approved"),"")</f>
        <v/>
      </c>
      <c r="BK62" s="105" t="str">
        <f>IF(A62&lt;&gt;"",COUNTIFS('QA Log'!D:D,A62,'QA Log'!M:M,"Vignette",'QA Log'!L:L,"Vignette [9] Birth Spacing: Change FP method to Injectable",'QA Log'!Z:Z,"Approved"),"")</f>
        <v/>
      </c>
      <c r="BL62" s="105" t="str">
        <f>IF(A62&lt;&gt;"",COUNTIFS('QA Log'!D:D,A62,'QA Log'!M:M,"Vignette",'QA Log'!L:L,"Vignette [10] Post Partum Haemorrhage - Atonic Uterus at Health Centre",'QA Log'!Z:Z,"Approved"),"")</f>
        <v/>
      </c>
      <c r="BM62" s="102" t="str">
        <f>IF(A62="","",SUM(
    COUNTIFS('QA Log'!D:D,A62,'QA Log'!M:M,"Vignette",'QA Log'!Z:Z,"Rejected",'QA Log'!L:L,"*Vignette [5] Labor*"),
    COUNTIFS('QA Log'!D:D,A62,'QA Log'!M:M,"Vignette",'QA Log'!Z:Z,"Rejected",'QA Log'!L:L,"*Vignette [6] PNC pre Discharge*"),
    COUNTIFS('QA Log'!D:D,A62,'QA Log'!M:M,"Vignette",'QA Log'!Z:Z,"Rejected",'QA Log'!L:L,"*Vignette [7] First ANC Visit*"),
    COUNTIFS('QA Log'!D:D,A62,'QA Log'!M:M,"Vignette",'QA Log'!Z:Z,"Rejected",'QA Log'!L:L,"*Vignette [8] Birth Spacing/ Family Planning :  FP Counselling*"),
    COUNTIFS('QA Log'!D:D,A62,'QA Log'!M:M,"Vignette",'QA Log'!Z:Z,"Rejected",'QA Log'!L:L,"*Vignette [9] Birth Spacing: Change FP method to Injectable*"),
    COUNTIFS('QA Log'!D:D,A62,'QA Log'!M:M,"Vignette",'QA Log'!Z:Z,"Rejected",'QA Log'!L:L,"*Vignette [10] Post Partum Haemorrhage - Atonic Uterus at Health Centre*")
  )
)</f>
        <v/>
      </c>
      <c r="BN62" s="107" t="str">
        <f t="shared" si="11"/>
        <v/>
      </c>
      <c r="BO62" s="103" t="str">
        <f t="shared" si="12"/>
        <v/>
      </c>
      <c r="BP62" s="102" t="str">
        <f>IF(A62="","",SUM(
COUNTIFS('QA Log'!D:D,A62,'QA Log'!M:M,"Vignette",'QA Log'!L:L,"*Exit Interview 1*"),
COUNTIFS('QA Log'!D:D,A62,'QA Log'!M:M,"Vignette",'QA Log'!L:L,"*Exit Interview 2*"),
)
)</f>
        <v/>
      </c>
      <c r="BQ62" s="102" t="str">
        <f>IF(
  A62="","",
  SUM(
    COUNTIFS('QA Log'!D:D,A62,'QA Log'!M:M,"Vignette",'QA Log'!Z:Z,"Approved",'QA Log'!L:L,"*Exit Interview 1*"),
    COUNTIFS('QA Log'!D:D,A62,'QA Log'!M:M,"Vignette",'QA Log'!Z:Z,"Approved",'QA Log'!L:L,"*Exit Interview 2*")
  )
)</f>
        <v/>
      </c>
      <c r="BR62" s="105" t="str">
        <f>IF(A62&lt;&gt;"",COUNTIFS('QA Log'!D:D,A62,'QA Log'!M:M,"Vignette",'QA Log'!L:L,"Exit Interview 1",'QA Log'!Z:Z,"Approved"),"")</f>
        <v/>
      </c>
      <c r="BS62" s="105" t="str">
        <f>IF(A62&lt;&gt;"",COUNTIFS('QA Log'!D:D,A62,'QA Log'!M:M,"Vignette",'QA Log'!L:L,"Exit Interview 2",'QA Log'!Z:Z,"Approved"),"")</f>
        <v/>
      </c>
      <c r="BT62" s="102" t="str">
        <f>IF(
  A62="","",
  SUM(
    COUNTIFS('QA Log'!D:D,A62,'QA Log'!M:M,"Vignette",'QA Log'!Z:Z,"Rejected",'QA Log'!L:L,"*Exit Interview 1*"),
    COUNTIFS('QA Log'!D:D,A62,'QA Log'!M:M,"Vignette",'QA Log'!Z:Z,"Rejected",'QA Log'!L:L,"*Exit Interview 2*")
  )
)</f>
        <v/>
      </c>
      <c r="BU62" s="107" t="str">
        <f t="shared" si="13"/>
        <v/>
      </c>
      <c r="BV62" s="102" t="str">
        <f t="shared" si="14"/>
        <v/>
      </c>
      <c r="BW62" s="102" t="str">
        <f t="shared" si="15"/>
        <v/>
      </c>
      <c r="BX62" s="102" t="str">
        <f t="shared" si="16"/>
        <v/>
      </c>
      <c r="BY62" s="102" t="str">
        <f t="shared" si="17"/>
        <v/>
      </c>
      <c r="BZ62" s="107" t="str">
        <f t="shared" si="18"/>
        <v/>
      </c>
      <c r="CA62" s="108" t="str">
        <f t="shared" si="19"/>
        <v/>
      </c>
      <c r="CB62" s="108" t="str">
        <f t="shared" si="20"/>
        <v/>
      </c>
      <c r="CC62" s="109" t="str">
        <f t="shared" si="21"/>
        <v/>
      </c>
      <c r="CD62" s="108" t="str">
        <f t="shared" si="22"/>
        <v/>
      </c>
      <c r="CE62" s="108" t="str">
        <f t="shared" si="23"/>
        <v/>
      </c>
      <c r="CF62" s="109" t="str">
        <f t="shared" si="24"/>
        <v/>
      </c>
      <c r="CG62" s="110" t="str">
        <f t="shared" si="25"/>
        <v/>
      </c>
      <c r="CH62" s="111"/>
    </row>
    <row r="63" spans="1:86" ht="12.75">
      <c r="A63" s="101"/>
      <c r="B63" s="102" t="e">
        <f t="array" aca="1" ref="B63" ca="1">_xludf.XLOOKUP(A63,'QA Log'!D:D,'QA Log'!E:E,"")</f>
        <v>#NAME?</v>
      </c>
      <c r="C63" s="102" t="e">
        <f t="array" aca="1" ref="C63" ca="1">_xludf.XLOOKUP(A63,'QA Log'!D:D,'QA Log'!F:F,"")</f>
        <v>#NAME?</v>
      </c>
      <c r="D63" s="102" t="e">
        <f t="array" aca="1" ref="D63" ca="1">_xludf.XLOOKUP(A63,'QA Log'!D:D,'QA Log'!H:H,"")</f>
        <v>#NAME?</v>
      </c>
      <c r="E63" s="102" t="e">
        <f t="array" aca="1" ref="E63" ca="1">_xludf.XLOOKUP(A63,'QA Log'!D:D,'QA Log'!G:G,"")</f>
        <v>#NAME?</v>
      </c>
      <c r="F63" s="103"/>
      <c r="G63" s="104"/>
      <c r="H63" s="104"/>
      <c r="I63" s="103" t="str">
        <f t="shared" si="0"/>
        <v/>
      </c>
      <c r="J63" s="102" t="str">
        <f>IF(A63="","",SUM(
COUNTIFS('QA Log'!D:D,A63,'QA Log'!M:M,"QQC",'QA Log'!L:L,"*1. General Management*"),
COUNTIFS('QA Log'!D:D,A63,'QA Log'!M:M,"QQC",'QA Log'!L:L,"*3. Curative Consultation (OPD)*"),
COUNTIFS('QA Log'!D:D,A63,'QA Log'!M:M,"QQC",'QA Log'!L:L,"*5. Laboratory*"),
COUNTIFS('QA Log'!D:D,A63,'QA Log'!M:M,"QQC",'QA Log'!L:L,"*6. Essential Medicine Management*"),
COUNTIFS('QA Log'!D:D,A63,'QA Log'!M:M,"QQC",'QA Log'!L:L,"*7. Tracer Medicine*"),
COUNTIFS('QA Log'!D:D,A63,'QA Log'!M:M,"QQC",'QA Log'!L:L,"*11. Additional Questions*")))</f>
        <v/>
      </c>
      <c r="K63" s="102" t="str">
        <f>IF(A63="","",SUM(
COUNTIFS('QA Log'!D:D,A63,'QA Log'!M:M,"QQC",'QA Log'!Z:Z,"Approved",'QA Log'!L:L,"*1. General Management*"),
COUNTIFS('QA Log'!D:D,A63,'QA Log'!M:M,"QQC",'QA Log'!Z:Z,"Approved",'QA Log'!L:L,"*3. Curative Consultation (OPD)*"),
COUNTIFS('QA Log'!D:D,A63,'QA Log'!M:M,"QQC",'QA Log'!Z:Z,"Approved",'QA Log'!L:L,"*5. Laboratory*"),
COUNTIFS('QA Log'!D:D,A63,'QA Log'!M:M,"QQC",'QA Log'!Z:Z,"Approved",'QA Log'!L:L,"*6. Essential Medicine Management*"),
COUNTIFS('QA Log'!D:D,A63,'QA Log'!M:M,"QQC",'QA Log'!Z:Z,"Approved",'QA Log'!L:L,"*7. Tracer Medicine*"),
COUNTIFS('QA Log'!D:D,A63,'QA Log'!M:M,"QQC",'QA Log'!Z:Z,"Approved",'QA Log'!L:L,"*11. Additional Questions*")))</f>
        <v/>
      </c>
      <c r="L63" s="105" t="str">
        <f>IF(A63&lt;&gt;"",COUNTIFS('QA Log'!D:D,A63,'QA Log'!M:M,"QQC",'QA Log'!L:L,"1. General Management",'QA Log'!Z:Z,"Approved"),"")</f>
        <v/>
      </c>
      <c r="M63" s="105" t="str">
        <f>IF(A63&lt;&gt;"",COUNTIFS('QA Log'!D:D,A63,'QA Log'!M:M,"QQC",'QA Log'!L:L,"3. Curative Consultation (OPD)",'QA Log'!Z:Z,"Approved"),"")</f>
        <v/>
      </c>
      <c r="N63" s="105" t="str">
        <f>IF(A63&lt;&gt;"",COUNTIFS('QA Log'!D:D,A63,'QA Log'!M:M,"QQC",'QA Log'!L:L,"5. Laboratory",'QA Log'!Z:Z,"Approved"),"")</f>
        <v/>
      </c>
      <c r="O63" s="105" t="str">
        <f>IF(A63&lt;&gt;"",COUNTIFS('QA Log'!D:D,A63,'QA Log'!M:M,"QQC",'QA Log'!L:L,"6. Essential Medicine Management",'QA Log'!Z:Z,"Approved"),"")</f>
        <v/>
      </c>
      <c r="P63" s="105" t="str">
        <f>IF(A63&lt;&gt;"",COUNTIFS('QA Log'!D:D,A63,'QA Log'!M:M,"QQC",'QA Log'!L:L,"7. Tracer Medicine",'QA Log'!Z:Z,"Approved"),"")</f>
        <v/>
      </c>
      <c r="Q63" s="105" t="str">
        <f>IF(A63&lt;&gt;"",COUNTIFS('QA Log'!D:D,A63,'QA Log'!M:M,"QQC",'QA Log'!L:L,"11. Additional Questions",'QA Log'!Z:Z,"Approved"),"")</f>
        <v/>
      </c>
      <c r="R63" s="102" t="str">
        <f>IF(A63="","",SUM(
COUNTIFS('QA Log'!D:D,A63,'QA Log'!M:M,"QQC",'QA Log'!Z:Z,"Rejected",'QA Log'!L:L,"*8. Maternity*"),
COUNTIFS('QA Log'!D:D,A63,'QA Log'!M:M,"QQC",'QA Log'!Z:Z,"Rejected",'QA Log'!L:L,"*EPI*"),
COUNTIFS('QA Log'!D:D,A63,'QA Log'!M:M,"QQC",'QA Log'!Z:Z,"Rejected",'QA Log'!L:L,"*10. Antenatal Care (ANC)*"),
COUNTIFS('QA Log'!D:D,A63,'QA Log'!M:M,"QQC",'QA Log'!Z:Z,"Rejected",'QA Log'!L:L,"*2. Hygiene and Sterilization*"),
COUNTIFS('QA Log'!D:D,A63,'QA Log'!M:M,"QQC",'QA Log'!Z:Z,"Rejected",'QA Log'!L:L,"*Family Planning*")))</f>
        <v/>
      </c>
      <c r="S63" s="106" t="str">
        <f t="shared" si="1"/>
        <v/>
      </c>
      <c r="T63" s="102" t="str">
        <f t="shared" si="2"/>
        <v/>
      </c>
      <c r="U63" s="102" t="str">
        <f>IF(A63="","",
SUM(
COUNTIFS('QA Log'!D:D,A63,'QA Log'!M:M,"QQC",'QA Log'!L:L,"*8. Maternity*"),
COUNTIFS('QA Log'!D:D,A63,'QA Log'!M:M,"QQC",'QA Log'!L:L,"*9. EPI and Pre-school Consultation*"),
COUNTIFS('QA Log'!D:D,A63,'QA Log'!M:M,"QQC",'QA Log'!L:L,"*10. Antenatal Care (ANC)*"),
COUNTIFS('QA Log'!D:D,A63,'QA Log'!M:M,"QQC",'QA Log'!L:L,"*2. Hygiene and Sterilization*"),
COUNTIFS('QA Log'!D:D,A63,'QA Log'!M:M,"QQC",'QA Log'!L:L,"*4. Family Planning*")
))</f>
        <v/>
      </c>
      <c r="V63" s="102" t="str">
        <f>IF(A63="","",
SUM(
COUNTIFS('QA Log'!D:D,A63,'QA Log'!M:M,"QQC",'QA Log'!Z:Z,"Approved",'QA Log'!L:L,"*8. Maternity*"),
COUNTIFS('QA Log'!D:D,A63,'QA Log'!M:M,"QQC",'QA Log'!Z:Z,"Approved",'QA Log'!L:L,"*9. EPI and Pre-school Consultation*"),
COUNTIFS('QA Log'!D:D,A63,'QA Log'!M:M,"QQC",'QA Log'!Z:Z,"Approved",'QA Log'!L:L,"*10. Antenatal Care (ANC)*"),
COUNTIFS('QA Log'!D:D,A63,'QA Log'!M:M,"QQC",'QA Log'!Z:Z,"Approved",'QA Log'!L:L,"*2. Hygiene and Sterilization*"),
COUNTIFS('QA Log'!D:D,A63,'QA Log'!M:M,"QQC",'QA Log'!Z:Z,"Approved",'QA Log'!L:L,"*4. Family Planning*")
))</f>
        <v/>
      </c>
      <c r="W63" s="105" t="str">
        <f>IF(A63&lt;&gt;"",COUNTIFS('QA Log'!D:D,A63,'QA Log'!M:M,"QQC",'QA Log'!L:L,"8. Maternity",'QA Log'!Z:Z,"Approved"),"")</f>
        <v/>
      </c>
      <c r="X63" s="105" t="str">
        <f>IF(A63&lt;&gt;"",COUNTIFS('QA Log'!D:D,A63,'QA Log'!M:M,"QQC",'QA Log'!L:L,"9. EPI and Pre-school Consultation",'QA Log'!Z:Z,"Approved"),"")</f>
        <v/>
      </c>
      <c r="Y63" s="105" t="str">
        <f>IF(A63&lt;&gt;"",COUNTIFS('QA Log'!D:D,A63,'QA Log'!M:M,"QQC",'QA Log'!L:L,"10. Antenatal Care (ANC)",'QA Log'!Z:Z,"Approved"),"")</f>
        <v/>
      </c>
      <c r="Z63" s="105" t="str">
        <f>IF(A63&lt;&gt;"",COUNTIFS('QA Log'!D:D,A63,'QA Log'!M:M,"QQC",'QA Log'!L:L,"2. Hygiene and Sterilization",'QA Log'!Z:Z,"Approved"),"")</f>
        <v/>
      </c>
      <c r="AA63" s="105" t="str">
        <f>IF(A63&lt;&gt;"",COUNTIFS('QA Log'!D:D,A63,'QA Log'!M:M,"QQC",'QA Log'!L:L,"4. Family Planning",'QA Log'!Z:Z,"Approved"),"")</f>
        <v/>
      </c>
      <c r="AB63" s="102" t="str">
        <f>IF(A63="","",
SUM(
COUNTIFS('QA Log'!D:D,A63,'QA Log'!M:M,"QQC",'QA Log'!Z:Z,"Rejected",'QA Log'!L:L,"*8. Maternity*"),
COUNTIFS('QA Log'!D:D,A63,'QA Log'!M:M,"QQC",'QA Log'!Z:Z,"Rejected",'QA Log'!L:L,"*9. EPI and Pre-school Consultation*"),
COUNTIFS('QA Log'!D:D,A63,'QA Log'!M:M,"QQC",'QA Log'!Z:Z,"Rejected",'QA Log'!L:L,"*10. Antenatal Care (ANC)*"),
COUNTIFS('QA Log'!D:D,A63,'QA Log'!M:M,"QQC",'QA Log'!Z:Z,"Rejected",'QA Log'!L:L,"*2. Hygiene and Sterilization*"),
COUNTIFS('QA Log'!D:D,A63,'QA Log'!M:M,"QQC",'QA Log'!Z:Z,"Rejected",'QA Log'!L:L,"*4. Family Planning*")
))</f>
        <v/>
      </c>
      <c r="AC63" s="102" t="str">
        <f t="shared" si="3"/>
        <v/>
      </c>
      <c r="AD63" s="103" t="str">
        <f t="shared" si="4"/>
        <v/>
      </c>
      <c r="AE63" s="102" t="str">
        <f>IF(A63="","",
SUM(
COUNTIFS('QA Log'!D:D,A63,'QA Log'!M:M,"Data Verification",'QA Log'!L:L,"*Medicine (section 2)*"),
COUNTIFS('QA Log'!D:D,A63,'QA Log'!M:M,"Data Verification",'QA Log'!L:L,"*Lab Testing Availability*"),
COUNTIFS('QA Log'!D:D,A63,'QA Log'!M:M,"Data Verification",'QA Log'!L:L,"*Other than P4P (section 6)*"),
COUNTIFS('QA Log'!D:D,A63,'QA Log'!M:M,"Data Verification",'QA Log'!L:L,"*Hospital Governance*")
))</f>
        <v/>
      </c>
      <c r="AF63" s="102" t="str">
        <f>IF(A63="","",
SUM(
COUNTIFS('QA Log'!D:D,A63,'QA Log'!M:M,"Data Verification",'QA Log'!Z:Z,"Approved",'QA Log'!L:L,"*Medicine (section 2)*"),
COUNTIFS('QA Log'!D:D,A63,'QA Log'!M:M,"Data Verification",'QA Log'!Z:Z,"Approved",'QA Log'!L:L,"*Lab Testing Availability*"),
COUNTIFS('QA Log'!D:D,A63,'QA Log'!M:M,"Data Verification",'QA Log'!Z:Z,"Approved",'QA Log'!L:L,"*Other than P4P (section 6)*"),
COUNTIFS('QA Log'!D:D,A63,'QA Log'!M:M,"Data Verification",'QA Log'!Z:Z,"Approved",'QA Log'!L:L,"*Hospital Governance*")
))</f>
        <v/>
      </c>
      <c r="AG63" s="105" t="str">
        <f>IF(A63&lt;&gt;"",COUNTIFS('QA Log'!D:D,A63,'QA Log'!M:M,"Data Verification",'QA Log'!L:L,"Medicine (section 2)",'QA Log'!Z:Z,"Approved"),"")</f>
        <v/>
      </c>
      <c r="AH63" s="105" t="str">
        <f>IF(A63&lt;&gt;"",COUNTIFS('QA Log'!D:D,A63,'QA Log'!M:M,"Data Verification",'QA Log'!L:L,"Lab Testing Availability",'QA Log'!Z:Z,"Approved"),"")</f>
        <v/>
      </c>
      <c r="AI63" s="105" t="str">
        <f>IF(A63&lt;&gt;"",COUNTIFS('QA Log'!D:D,A63,'QA Log'!M:M,"Data Verification",'QA Log'!L:L,"Other than P4P (section 6)",'QA Log'!Z:Z,"Approved"),"")</f>
        <v/>
      </c>
      <c r="AJ63" s="105" t="str">
        <f>IF(A63&lt;&gt;"",COUNTIFS('QA Log'!D:D,A63,'QA Log'!M:M,"Data Verification",'QA Log'!L:L,"Hospital Governance",'QA Log'!Z:Z,"Approved"),"")</f>
        <v/>
      </c>
      <c r="AK63" s="102" t="str">
        <f>IF(A63="","",
SUM(
COUNTIFS('QA Log'!D:D,A63,'QA Log'!M:M,"Data Verification",'QA Log'!Z:Z,"Rejected",'QA Log'!L:L,"*Medicine (section 2)*"),
COUNTIFS('QA Log'!D:D,A63,'QA Log'!M:M,"Data Verification",'QA Log'!Z:Z,"Rejected",'QA Log'!L:L,"*Lab Testing Availability*"),
COUNTIFS('QA Log'!D:D,A63,'QA Log'!M:M,"Data Verification",'QA Log'!Z:Z,"Rejected",'QA Log'!L:L,"*Other than P4P (section 6)*"),
COUNTIFS('QA Log'!D:D,A63,'QA Log'!M:M,"Data Verification",'QA Log'!Z:Z,"Rejected",'QA Log'!L:L,"*Hospital Governance*")
))</f>
        <v/>
      </c>
      <c r="AL63" s="106" t="str">
        <f t="shared" si="5"/>
        <v/>
      </c>
      <c r="AM63" s="102" t="str">
        <f t="shared" si="6"/>
        <v/>
      </c>
      <c r="AN63" s="102" t="str">
        <f>IF(A63="","",
SUM(
COUNTIFS('QA Log'!D:D,A63,'QA Log'!M:M,"Data Verification",'QA Log'!L:L,"*Personnel (section 1)*"),
COUNTIFS('QA Log'!D:D,A63,'QA Log'!M:M,"Data Verification",'QA Log'!L:L,"*Consumable (section 3)*"),
COUNTIFS('QA Log'!D:D,A63,'QA Log'!M:M,"Data Verification",'QA Log'!L:L,"*Equipments (section 4)*")
))</f>
        <v/>
      </c>
      <c r="AO63" s="102" t="str">
        <f>IF(A63="","",
SUM(
COUNTIFS('QA Log'!D:D,A63,'QA Log'!M:M,"Data Verification",'QA Log'!Z:Z,"Approved",'QA Log'!L:L,"*Personnel (section 1)*"),
COUNTIFS('QA Log'!D:D,A63,'QA Log'!M:M,"Data Verification",'QA Log'!Z:Z,"Approved",'QA Log'!L:L,"*Consumable (section 3)*"),
COUNTIFS('QA Log'!D:D,A63,'QA Log'!M:M,"Data Verification",'QA Log'!Z:Z,"Approved",'QA Log'!L:L,"*Equipments (section 4)*")
))</f>
        <v/>
      </c>
      <c r="AP63" s="105" t="str">
        <f>IF(A63&lt;&gt;"",COUNTIFS('QA Log'!D:D,A63,'QA Log'!M:M,"Data Verification",'QA Log'!L:L,"Personnel (section 1)",'QA Log'!Z:Z,"Approved"),"")</f>
        <v/>
      </c>
      <c r="AQ63" s="105" t="str">
        <f>IF(A63&lt;&gt;"",COUNTIFS('QA Log'!D:D,A63,'QA Log'!M:M,"Data Verification",'QA Log'!L:L,"Consumable (section 3)",'QA Log'!Z:Z,"Approved"),"")</f>
        <v/>
      </c>
      <c r="AR63" s="105" t="str">
        <f>IF(A63&lt;&gt;"",COUNTIFS('QA Log'!D:D,A63,'QA Log'!M:M,"Data Verification",'QA Log'!L:L,"Equipments (section 4)",'QA Log'!Z:Z,"Approved"),"")</f>
        <v/>
      </c>
      <c r="AS63" s="102" t="str">
        <f>IF(A63="","",
SUM(
COUNTIFS('QA Log'!D:D,A63,'QA Log'!M:M,"Data Verification",'QA Log'!Z:Z,"Rejected",'QA Log'!L:L,"*Personnel (section 1)*"),
COUNTIFS('QA Log'!D:D,A63,'QA Log'!M:M,"Data Verification",'QA Log'!Z:Z,"Rejected",'QA Log'!L:L,"*Consumable (section 3)*"),
COUNTIFS('QA Log'!D:D,A63,'QA Log'!M:M,"Data Verification",'QA Log'!Z:Z,"Rejected",'QA Log'!L:L,"*Equipments (section 4)*")
))</f>
        <v/>
      </c>
      <c r="AT63" s="102" t="str">
        <f t="shared" si="7"/>
        <v/>
      </c>
      <c r="AU63" s="103" t="str">
        <f t="shared" si="8"/>
        <v/>
      </c>
      <c r="AV63" s="102" t="str">
        <f>IF(A63="","",SUM(
COUNTIFS('QA Log'!D:D,A63,'QA Log'!M:M,"Vignette",'QA Log'!L:L,"*Vignette [1] Respiratory Infection: Pneumonia*"),
COUNTIFS('QA Log'!D:D,A63,'QA Log'!M:M,"Vignette",'QA Log'!L:L,"*Vignette [2]: Diarrhea with Cat B dehydration*"),
COUNTIFS('QA Log'!D:D,A63,'QA Log'!M:M,"Vignette",'QA Log'!L:L,"*Vignette [3] Growth Monitoring and Promotion*"),
COUNTIFS('QA Log'!D:D,A63,'QA Log'!M:M,"Vignette",'QA Log'!L:L,"*Vignette [4]: The management of presumptive TB patient*")
)
)</f>
        <v/>
      </c>
      <c r="AW63" s="102" t="str">
        <f>IF(
  A63="","",
  SUM(
    COUNTIFS('QA Log'!D:D,A63,'QA Log'!M:M,"Vignette",'QA Log'!Z:Z,"Approved",'QA Log'!L:L,"*Vignette [1] Respiratory Infection: Pneumonia*"),
    COUNTIFS('QA Log'!D:D,A63,'QA Log'!M:M,"Vignette",'QA Log'!Z:Z,"Approved",'QA Log'!L:L,"*Vignette [2]: Diarrhea with Cat B dehydration*"),
    COUNTIFS('QA Log'!D:D,A63,'QA Log'!M:M,"Vignette",'QA Log'!Z:Z,"Approved",'QA Log'!L:L,"*Vignette [3] Growth Monitoring and Promotion*"),
    COUNTIFS('QA Log'!D:D,A63,'QA Log'!M:M,"Vignette",'QA Log'!Z:Z,"Approved",'QA Log'!L:L,"*Vignette [4]: The management of presumptive TB patient*")
  )
)</f>
        <v/>
      </c>
      <c r="AX63" s="105" t="str">
        <f>IF(A63&lt;&gt;"",COUNTIFS('QA Log'!D:D,A63,'QA Log'!M:M,"Vignette",'QA Log'!L:L,"Vignette [1] Respiratory Infection: Pneumonia",'QA Log'!Z:Z,"Approved"),"")</f>
        <v/>
      </c>
      <c r="AY63" s="105" t="str">
        <f>IF(A63&lt;&gt;"",COUNTIFS('QA Log'!D:D,A63,'QA Log'!M:M,"Vignette",'QA Log'!L:L,"Vignette [2]: Diarrhea with Cat B dehydration",'QA Log'!Z:Z,"Approved"),"")</f>
        <v/>
      </c>
      <c r="AZ63" s="105" t="str">
        <f>IF(A63&lt;&gt;"",COUNTIFS('QA Log'!D:D,A63,'QA Log'!M:M,"Vignette",'QA Log'!L:L,"Vignette [3] Growth Monitoring and Promotion",'QA Log'!Z:Z,"Approved"),"")</f>
        <v/>
      </c>
      <c r="BA63" s="105" t="str">
        <f>IF(A63&lt;&gt;"",COUNTIFS('QA Log'!D:D,A63,'QA Log'!M:M,"Vignette",'QA Log'!L:L,"Vignette [4]: The management of presumptive TB patient",'QA Log'!Z:Z,"Approved"),"")</f>
        <v/>
      </c>
      <c r="BB63" s="102" t="str">
        <f>IF(A63="","",
  SUM(
    COUNTIFS('QA Log'!D:D,A63,'QA Log'!M:M,"Vignette",'QA Log'!Z:Z,"Rejected",'QA Log'!L:L,"*Vignette [1] Respiratory Infection: Pneumonia*"),
    COUNTIFS('QA Log'!D:D,A63,'QA Log'!M:M,"Vignette",'QA Log'!Z:Z,"Rejected",'QA Log'!L:L,"*Vignette [2]: Diarrhea with Cat B dehydration*"),
    COUNTIFS('QA Log'!D:D,A63,'QA Log'!M:M,"Vignette",'QA Log'!Z:Z,"Rejected",'QA Log'!L:L,"*Vignette [3] Growth Monitoring and Promotion*"),
    COUNTIFS('QA Log'!D:D,A63,'QA Log'!M:M,"Vignette",'QA Log'!Z:Z,"Rejected",'QA Log'!L:L,"*Vignette [4]: The management of presumptive TB patient*")
  )
)</f>
        <v/>
      </c>
      <c r="BC63" s="107" t="str">
        <f t="shared" si="9"/>
        <v/>
      </c>
      <c r="BD63" s="103" t="str">
        <f t="shared" si="10"/>
        <v/>
      </c>
      <c r="BE63" s="102" t="str">
        <f>IF(A63="","",SUM(
COUNTIFS('QA Log'!D:D,A63,'QA Log'!M:M,"Vignette",'QA Log'!L:L,"*Vignette [5] Labor*"),
COUNTIFS('QA Log'!D:D,A63,'QA Log'!M:M,"Vignette",'QA Log'!L:L,"*Vignette [6] PNC pre Discharge*"),
COUNTIFS('QA Log'!D:D,A63,'QA Log'!M:M,"Vignette",'QA Log'!L:L,"*Vignette [7] First ANC Visit*"),
COUNTIFS('QA Log'!D:D,A63,'QA Log'!M:M,"Vignette",'QA Log'!L:L,"*Vignette [8] Birth Spacing/ Family Planning :  FP Counselling*"),
COUNTIFS('QA Log'!D:D,A63,'QA Log'!M:M,"Vignette",'QA Log'!L:L,"*Vignette [9] Birth Spacing: Change FP method to Injectable*"),
COUNTIFS('QA Log'!D:D,A63,'QA Log'!M:M,"Vignette",'QA Log'!L:L,"*Vignette [10] Post Partum Haemorrhage - Atonic Uterus at Health Centre*"),
)
)</f>
        <v/>
      </c>
      <c r="BF63" s="102" t="str">
        <f>IF(A63="","",
  SUM(
    COUNTIFS('QA Log'!D:D,A63,'QA Log'!M:M,"Vignette",'QA Log'!Z:Z,"Approved",'QA Log'!L:L,"*Vignette [5] Labor*"),
    COUNTIFS('QA Log'!D:D,A63,'QA Log'!M:M,"Vignette",'QA Log'!Z:Z,"Approved",'QA Log'!L:L,"*Vignette [6] PNC pre Discharge*"),
    COUNTIFS('QA Log'!D:D,A63,'QA Log'!M:M,"Vignette",'QA Log'!Z:Z,"Approved",'QA Log'!L:L,"*Vignette [7] First ANC Visit*"),
    COUNTIFS('QA Log'!D:D,A63,'QA Log'!M:M,"Vignette",'QA Log'!Z:Z,"Approved",'QA Log'!L:L,"*Vignette [8] Birth Spacing/ Family Planning :  FP Counselling*"),
    COUNTIFS('QA Log'!D:D,A63,'QA Log'!M:M,"Vignette",'QA Log'!Z:Z,"Approved",'QA Log'!L:L,"*Vignette [9] Birth Spacing: Change FP method to Injectable*"),
    COUNTIFS('QA Log'!D:D,A63,'QA Log'!M:M,"Vignette",'QA Log'!Z:Z,"Approved",'QA Log'!L:L,"*Vignette [10] Post Partum Haemorrhage - Atonic Uterus at Health Centre*")
  )
)</f>
        <v/>
      </c>
      <c r="BG63" s="105" t="str">
        <f>IF(A63&lt;&gt;"",COUNTIFS('QA Log'!D:D,A63,'QA Log'!M:M,"Vignette",'QA Log'!L:L,"Vignette [5] Labor",'QA Log'!Z:Z,"Approved"),"")</f>
        <v/>
      </c>
      <c r="BH63" s="105" t="str">
        <f>IF(A63&lt;&gt;"",COUNTIFS('QA Log'!D:D,A63,'QA Log'!M:M,"Vignette",'QA Log'!L:L,"Vignette [6] PNC pre Discharge",'QA Log'!Z:Z,"Approved"),"")</f>
        <v/>
      </c>
      <c r="BI63" s="105" t="str">
        <f>IF(A63&lt;&gt;"",COUNTIFS('QA Log'!D:D,A63,'QA Log'!M:M,"Vignette",'QA Log'!L:L,"Vignette [7] First ANC Visit",'QA Log'!Z:Z,"Approved"),"")</f>
        <v/>
      </c>
      <c r="BJ63" s="105" t="str">
        <f>IF(A63&lt;&gt;"",COUNTIFS('QA Log'!D:D,A63,'QA Log'!M:M,"Vignette",'QA Log'!L:L,"Vignette [8] Birth Spacing/ Family Planning :  FP Counselling",'QA Log'!Z:Z,"Approved"),"")</f>
        <v/>
      </c>
      <c r="BK63" s="105" t="str">
        <f>IF(A63&lt;&gt;"",COUNTIFS('QA Log'!D:D,A63,'QA Log'!M:M,"Vignette",'QA Log'!L:L,"Vignette [9] Birth Spacing: Change FP method to Injectable",'QA Log'!Z:Z,"Approved"),"")</f>
        <v/>
      </c>
      <c r="BL63" s="105" t="str">
        <f>IF(A63&lt;&gt;"",COUNTIFS('QA Log'!D:D,A63,'QA Log'!M:M,"Vignette",'QA Log'!L:L,"Vignette [10] Post Partum Haemorrhage - Atonic Uterus at Health Centre",'QA Log'!Z:Z,"Approved"),"")</f>
        <v/>
      </c>
      <c r="BM63" s="102" t="str">
        <f>IF(A63="","",SUM(
    COUNTIFS('QA Log'!D:D,A63,'QA Log'!M:M,"Vignette",'QA Log'!Z:Z,"Rejected",'QA Log'!L:L,"*Vignette [5] Labor*"),
    COUNTIFS('QA Log'!D:D,A63,'QA Log'!M:M,"Vignette",'QA Log'!Z:Z,"Rejected",'QA Log'!L:L,"*Vignette [6] PNC pre Discharge*"),
    COUNTIFS('QA Log'!D:D,A63,'QA Log'!M:M,"Vignette",'QA Log'!Z:Z,"Rejected",'QA Log'!L:L,"*Vignette [7] First ANC Visit*"),
    COUNTIFS('QA Log'!D:D,A63,'QA Log'!M:M,"Vignette",'QA Log'!Z:Z,"Rejected",'QA Log'!L:L,"*Vignette [8] Birth Spacing/ Family Planning :  FP Counselling*"),
    COUNTIFS('QA Log'!D:D,A63,'QA Log'!M:M,"Vignette",'QA Log'!Z:Z,"Rejected",'QA Log'!L:L,"*Vignette [9] Birth Spacing: Change FP method to Injectable*"),
    COUNTIFS('QA Log'!D:D,A63,'QA Log'!M:M,"Vignette",'QA Log'!Z:Z,"Rejected",'QA Log'!L:L,"*Vignette [10] Post Partum Haemorrhage - Atonic Uterus at Health Centre*")
  )
)</f>
        <v/>
      </c>
      <c r="BN63" s="107" t="str">
        <f t="shared" si="11"/>
        <v/>
      </c>
      <c r="BO63" s="103" t="str">
        <f t="shared" si="12"/>
        <v/>
      </c>
      <c r="BP63" s="102" t="str">
        <f>IF(A63="","",SUM(
COUNTIFS('QA Log'!D:D,A63,'QA Log'!M:M,"Vignette",'QA Log'!L:L,"*Exit Interview 1*"),
COUNTIFS('QA Log'!D:D,A63,'QA Log'!M:M,"Vignette",'QA Log'!L:L,"*Exit Interview 2*"),
)
)</f>
        <v/>
      </c>
      <c r="BQ63" s="102" t="str">
        <f>IF(
  A63="","",
  SUM(
    COUNTIFS('QA Log'!D:D,A63,'QA Log'!M:M,"Vignette",'QA Log'!Z:Z,"Approved",'QA Log'!L:L,"*Exit Interview 1*"),
    COUNTIFS('QA Log'!D:D,A63,'QA Log'!M:M,"Vignette",'QA Log'!Z:Z,"Approved",'QA Log'!L:L,"*Exit Interview 2*")
  )
)</f>
        <v/>
      </c>
      <c r="BR63" s="105" t="str">
        <f>IF(A63&lt;&gt;"",COUNTIFS('QA Log'!D:D,A63,'QA Log'!M:M,"Vignette",'QA Log'!L:L,"Exit Interview 1",'QA Log'!Z:Z,"Approved"),"")</f>
        <v/>
      </c>
      <c r="BS63" s="105" t="str">
        <f>IF(A63&lt;&gt;"",COUNTIFS('QA Log'!D:D,A63,'QA Log'!M:M,"Vignette",'QA Log'!L:L,"Exit Interview 2",'QA Log'!Z:Z,"Approved"),"")</f>
        <v/>
      </c>
      <c r="BT63" s="102" t="str">
        <f>IF(
  A63="","",
  SUM(
    COUNTIFS('QA Log'!D:D,A63,'QA Log'!M:M,"Vignette",'QA Log'!Z:Z,"Rejected",'QA Log'!L:L,"*Exit Interview 1*"),
    COUNTIFS('QA Log'!D:D,A63,'QA Log'!M:M,"Vignette",'QA Log'!Z:Z,"Rejected",'QA Log'!L:L,"*Exit Interview 2*")
  )
)</f>
        <v/>
      </c>
      <c r="BU63" s="107" t="str">
        <f t="shared" si="13"/>
        <v/>
      </c>
      <c r="BV63" s="102" t="str">
        <f t="shared" si="14"/>
        <v/>
      </c>
      <c r="BW63" s="102" t="str">
        <f t="shared" si="15"/>
        <v/>
      </c>
      <c r="BX63" s="102" t="str">
        <f t="shared" si="16"/>
        <v/>
      </c>
      <c r="BY63" s="102" t="str">
        <f t="shared" si="17"/>
        <v/>
      </c>
      <c r="BZ63" s="107" t="str">
        <f t="shared" si="18"/>
        <v/>
      </c>
      <c r="CA63" s="108" t="str">
        <f t="shared" si="19"/>
        <v/>
      </c>
      <c r="CB63" s="108" t="str">
        <f t="shared" si="20"/>
        <v/>
      </c>
      <c r="CC63" s="109" t="str">
        <f t="shared" si="21"/>
        <v/>
      </c>
      <c r="CD63" s="108" t="str">
        <f t="shared" si="22"/>
        <v/>
      </c>
      <c r="CE63" s="108" t="str">
        <f t="shared" si="23"/>
        <v/>
      </c>
      <c r="CF63" s="109" t="str">
        <f t="shared" si="24"/>
        <v/>
      </c>
      <c r="CG63" s="110" t="str">
        <f t="shared" si="25"/>
        <v/>
      </c>
      <c r="CH63" s="111"/>
    </row>
    <row r="64" spans="1:86" ht="12.75">
      <c r="A64" s="101"/>
      <c r="B64" s="102" t="e">
        <f t="array" aca="1" ref="B64" ca="1">_xludf.XLOOKUP(A64,'QA Log'!D:D,'QA Log'!E:E,"")</f>
        <v>#NAME?</v>
      </c>
      <c r="C64" s="102" t="e">
        <f t="array" aca="1" ref="C64" ca="1">_xludf.XLOOKUP(A64,'QA Log'!D:D,'QA Log'!F:F,"")</f>
        <v>#NAME?</v>
      </c>
      <c r="D64" s="102" t="e">
        <f t="array" aca="1" ref="D64" ca="1">_xludf.XLOOKUP(A64,'QA Log'!D:D,'QA Log'!H:H,"")</f>
        <v>#NAME?</v>
      </c>
      <c r="E64" s="102" t="e">
        <f t="array" aca="1" ref="E64" ca="1">_xludf.XLOOKUP(A64,'QA Log'!D:D,'QA Log'!G:G,"")</f>
        <v>#NAME?</v>
      </c>
      <c r="F64" s="103"/>
      <c r="G64" s="104"/>
      <c r="H64" s="104"/>
      <c r="I64" s="103" t="str">
        <f t="shared" si="0"/>
        <v/>
      </c>
      <c r="J64" s="102" t="str">
        <f>IF(A64="","",SUM(
COUNTIFS('QA Log'!D:D,A64,'QA Log'!M:M,"QQC",'QA Log'!L:L,"*1. General Management*"),
COUNTIFS('QA Log'!D:D,A64,'QA Log'!M:M,"QQC",'QA Log'!L:L,"*3. Curative Consultation (OPD)*"),
COUNTIFS('QA Log'!D:D,A64,'QA Log'!M:M,"QQC",'QA Log'!L:L,"*5. Laboratory*"),
COUNTIFS('QA Log'!D:D,A64,'QA Log'!M:M,"QQC",'QA Log'!L:L,"*6. Essential Medicine Management*"),
COUNTIFS('QA Log'!D:D,A64,'QA Log'!M:M,"QQC",'QA Log'!L:L,"*7. Tracer Medicine*"),
COUNTIFS('QA Log'!D:D,A64,'QA Log'!M:M,"QQC",'QA Log'!L:L,"*11. Additional Questions*")))</f>
        <v/>
      </c>
      <c r="K64" s="102" t="str">
        <f>IF(A64="","",SUM(
COUNTIFS('QA Log'!D:D,A64,'QA Log'!M:M,"QQC",'QA Log'!Z:Z,"Approved",'QA Log'!L:L,"*1. General Management*"),
COUNTIFS('QA Log'!D:D,A64,'QA Log'!M:M,"QQC",'QA Log'!Z:Z,"Approved",'QA Log'!L:L,"*3. Curative Consultation (OPD)*"),
COUNTIFS('QA Log'!D:D,A64,'QA Log'!M:M,"QQC",'QA Log'!Z:Z,"Approved",'QA Log'!L:L,"*5. Laboratory*"),
COUNTIFS('QA Log'!D:D,A64,'QA Log'!M:M,"QQC",'QA Log'!Z:Z,"Approved",'QA Log'!L:L,"*6. Essential Medicine Management*"),
COUNTIFS('QA Log'!D:D,A64,'QA Log'!M:M,"QQC",'QA Log'!Z:Z,"Approved",'QA Log'!L:L,"*7. Tracer Medicine*"),
COUNTIFS('QA Log'!D:D,A64,'QA Log'!M:M,"QQC",'QA Log'!Z:Z,"Approved",'QA Log'!L:L,"*11. Additional Questions*")))</f>
        <v/>
      </c>
      <c r="L64" s="105" t="str">
        <f>IF(A64&lt;&gt;"",COUNTIFS('QA Log'!D:D,A64,'QA Log'!M:M,"QQC",'QA Log'!L:L,"1. General Management",'QA Log'!Z:Z,"Approved"),"")</f>
        <v/>
      </c>
      <c r="M64" s="105" t="str">
        <f>IF(A64&lt;&gt;"",COUNTIFS('QA Log'!D:D,A64,'QA Log'!M:M,"QQC",'QA Log'!L:L,"3. Curative Consultation (OPD)",'QA Log'!Z:Z,"Approved"),"")</f>
        <v/>
      </c>
      <c r="N64" s="105" t="str">
        <f>IF(A64&lt;&gt;"",COUNTIFS('QA Log'!D:D,A64,'QA Log'!M:M,"QQC",'QA Log'!L:L,"5. Laboratory",'QA Log'!Z:Z,"Approved"),"")</f>
        <v/>
      </c>
      <c r="O64" s="105" t="str">
        <f>IF(A64&lt;&gt;"",COUNTIFS('QA Log'!D:D,A64,'QA Log'!M:M,"QQC",'QA Log'!L:L,"6. Essential Medicine Management",'QA Log'!Z:Z,"Approved"),"")</f>
        <v/>
      </c>
      <c r="P64" s="105" t="str">
        <f>IF(A64&lt;&gt;"",COUNTIFS('QA Log'!D:D,A64,'QA Log'!M:M,"QQC",'QA Log'!L:L,"7. Tracer Medicine",'QA Log'!Z:Z,"Approved"),"")</f>
        <v/>
      </c>
      <c r="Q64" s="105" t="str">
        <f>IF(A64&lt;&gt;"",COUNTIFS('QA Log'!D:D,A64,'QA Log'!M:M,"QQC",'QA Log'!L:L,"11. Additional Questions",'QA Log'!Z:Z,"Approved"),"")</f>
        <v/>
      </c>
      <c r="R64" s="102" t="str">
        <f>IF(A64="","",SUM(
COUNTIFS('QA Log'!D:D,A64,'QA Log'!M:M,"QQC",'QA Log'!Z:Z,"Rejected",'QA Log'!L:L,"*8. Maternity*"),
COUNTIFS('QA Log'!D:D,A64,'QA Log'!M:M,"QQC",'QA Log'!Z:Z,"Rejected",'QA Log'!L:L,"*EPI*"),
COUNTIFS('QA Log'!D:D,A64,'QA Log'!M:M,"QQC",'QA Log'!Z:Z,"Rejected",'QA Log'!L:L,"*10. Antenatal Care (ANC)*"),
COUNTIFS('QA Log'!D:D,A64,'QA Log'!M:M,"QQC",'QA Log'!Z:Z,"Rejected",'QA Log'!L:L,"*2. Hygiene and Sterilization*"),
COUNTIFS('QA Log'!D:D,A64,'QA Log'!M:M,"QQC",'QA Log'!Z:Z,"Rejected",'QA Log'!L:L,"*Family Planning*")))</f>
        <v/>
      </c>
      <c r="S64" s="106" t="str">
        <f t="shared" si="1"/>
        <v/>
      </c>
      <c r="T64" s="102" t="str">
        <f t="shared" si="2"/>
        <v/>
      </c>
      <c r="U64" s="102" t="str">
        <f>IF(A64="","",
SUM(
COUNTIFS('QA Log'!D:D,A64,'QA Log'!M:M,"QQC",'QA Log'!L:L,"*8. Maternity*"),
COUNTIFS('QA Log'!D:D,A64,'QA Log'!M:M,"QQC",'QA Log'!L:L,"*9. EPI and Pre-school Consultation*"),
COUNTIFS('QA Log'!D:D,A64,'QA Log'!M:M,"QQC",'QA Log'!L:L,"*10. Antenatal Care (ANC)*"),
COUNTIFS('QA Log'!D:D,A64,'QA Log'!M:M,"QQC",'QA Log'!L:L,"*2. Hygiene and Sterilization*"),
COUNTIFS('QA Log'!D:D,A64,'QA Log'!M:M,"QQC",'QA Log'!L:L,"*4. Family Planning*")
))</f>
        <v/>
      </c>
      <c r="V64" s="102" t="str">
        <f>IF(A64="","",
SUM(
COUNTIFS('QA Log'!D:D,A64,'QA Log'!M:M,"QQC",'QA Log'!Z:Z,"Approved",'QA Log'!L:L,"*8. Maternity*"),
COUNTIFS('QA Log'!D:D,A64,'QA Log'!M:M,"QQC",'QA Log'!Z:Z,"Approved",'QA Log'!L:L,"*9. EPI and Pre-school Consultation*"),
COUNTIFS('QA Log'!D:D,A64,'QA Log'!M:M,"QQC",'QA Log'!Z:Z,"Approved",'QA Log'!L:L,"*10. Antenatal Care (ANC)*"),
COUNTIFS('QA Log'!D:D,A64,'QA Log'!M:M,"QQC",'QA Log'!Z:Z,"Approved",'QA Log'!L:L,"*2. Hygiene and Sterilization*"),
COUNTIFS('QA Log'!D:D,A64,'QA Log'!M:M,"QQC",'QA Log'!Z:Z,"Approved",'QA Log'!L:L,"*4. Family Planning*")
))</f>
        <v/>
      </c>
      <c r="W64" s="105" t="str">
        <f>IF(A64&lt;&gt;"",COUNTIFS('QA Log'!D:D,A64,'QA Log'!M:M,"QQC",'QA Log'!L:L,"8. Maternity",'QA Log'!Z:Z,"Approved"),"")</f>
        <v/>
      </c>
      <c r="X64" s="105" t="str">
        <f>IF(A64&lt;&gt;"",COUNTIFS('QA Log'!D:D,A64,'QA Log'!M:M,"QQC",'QA Log'!L:L,"9. EPI and Pre-school Consultation",'QA Log'!Z:Z,"Approved"),"")</f>
        <v/>
      </c>
      <c r="Y64" s="105" t="str">
        <f>IF(A64&lt;&gt;"",COUNTIFS('QA Log'!D:D,A64,'QA Log'!M:M,"QQC",'QA Log'!L:L,"10. Antenatal Care (ANC)",'QA Log'!Z:Z,"Approved"),"")</f>
        <v/>
      </c>
      <c r="Z64" s="105" t="str">
        <f>IF(A64&lt;&gt;"",COUNTIFS('QA Log'!D:D,A64,'QA Log'!M:M,"QQC",'QA Log'!L:L,"2. Hygiene and Sterilization",'QA Log'!Z:Z,"Approved"),"")</f>
        <v/>
      </c>
      <c r="AA64" s="105" t="str">
        <f>IF(A64&lt;&gt;"",COUNTIFS('QA Log'!D:D,A64,'QA Log'!M:M,"QQC",'QA Log'!L:L,"4. Family Planning",'QA Log'!Z:Z,"Approved"),"")</f>
        <v/>
      </c>
      <c r="AB64" s="102" t="str">
        <f>IF(A64="","",
SUM(
COUNTIFS('QA Log'!D:D,A64,'QA Log'!M:M,"QQC",'QA Log'!Z:Z,"Rejected",'QA Log'!L:L,"*8. Maternity*"),
COUNTIFS('QA Log'!D:D,A64,'QA Log'!M:M,"QQC",'QA Log'!Z:Z,"Rejected",'QA Log'!L:L,"*9. EPI and Pre-school Consultation*"),
COUNTIFS('QA Log'!D:D,A64,'QA Log'!M:M,"QQC",'QA Log'!Z:Z,"Rejected",'QA Log'!L:L,"*10. Antenatal Care (ANC)*"),
COUNTIFS('QA Log'!D:D,A64,'QA Log'!M:M,"QQC",'QA Log'!Z:Z,"Rejected",'QA Log'!L:L,"*2. Hygiene and Sterilization*"),
COUNTIFS('QA Log'!D:D,A64,'QA Log'!M:M,"QQC",'QA Log'!Z:Z,"Rejected",'QA Log'!L:L,"*4. Family Planning*")
))</f>
        <v/>
      </c>
      <c r="AC64" s="102" t="str">
        <f t="shared" si="3"/>
        <v/>
      </c>
      <c r="AD64" s="103" t="str">
        <f t="shared" si="4"/>
        <v/>
      </c>
      <c r="AE64" s="102" t="str">
        <f>IF(A64="","",
SUM(
COUNTIFS('QA Log'!D:D,A64,'QA Log'!M:M,"Data Verification",'QA Log'!L:L,"*Medicine (section 2)*"),
COUNTIFS('QA Log'!D:D,A64,'QA Log'!M:M,"Data Verification",'QA Log'!L:L,"*Lab Testing Availability*"),
COUNTIFS('QA Log'!D:D,A64,'QA Log'!M:M,"Data Verification",'QA Log'!L:L,"*Other than P4P (section 6)*"),
COUNTIFS('QA Log'!D:D,A64,'QA Log'!M:M,"Data Verification",'QA Log'!L:L,"*Hospital Governance*")
))</f>
        <v/>
      </c>
      <c r="AF64" s="102" t="str">
        <f>IF(A64="","",
SUM(
COUNTIFS('QA Log'!D:D,A64,'QA Log'!M:M,"Data Verification",'QA Log'!Z:Z,"Approved",'QA Log'!L:L,"*Medicine (section 2)*"),
COUNTIFS('QA Log'!D:D,A64,'QA Log'!M:M,"Data Verification",'QA Log'!Z:Z,"Approved",'QA Log'!L:L,"*Lab Testing Availability*"),
COUNTIFS('QA Log'!D:D,A64,'QA Log'!M:M,"Data Verification",'QA Log'!Z:Z,"Approved",'QA Log'!L:L,"*Other than P4P (section 6)*"),
COUNTIFS('QA Log'!D:D,A64,'QA Log'!M:M,"Data Verification",'QA Log'!Z:Z,"Approved",'QA Log'!L:L,"*Hospital Governance*")
))</f>
        <v/>
      </c>
      <c r="AG64" s="105" t="str">
        <f>IF(A64&lt;&gt;"",COUNTIFS('QA Log'!D:D,A64,'QA Log'!M:M,"Data Verification",'QA Log'!L:L,"Medicine (section 2)",'QA Log'!Z:Z,"Approved"),"")</f>
        <v/>
      </c>
      <c r="AH64" s="105" t="str">
        <f>IF(A64&lt;&gt;"",COUNTIFS('QA Log'!D:D,A64,'QA Log'!M:M,"Data Verification",'QA Log'!L:L,"Lab Testing Availability",'QA Log'!Z:Z,"Approved"),"")</f>
        <v/>
      </c>
      <c r="AI64" s="105" t="str">
        <f>IF(A64&lt;&gt;"",COUNTIFS('QA Log'!D:D,A64,'QA Log'!M:M,"Data Verification",'QA Log'!L:L,"Other than P4P (section 6)",'QA Log'!Z:Z,"Approved"),"")</f>
        <v/>
      </c>
      <c r="AJ64" s="105" t="str">
        <f>IF(A64&lt;&gt;"",COUNTIFS('QA Log'!D:D,A64,'QA Log'!M:M,"Data Verification",'QA Log'!L:L,"Hospital Governance",'QA Log'!Z:Z,"Approved"),"")</f>
        <v/>
      </c>
      <c r="AK64" s="102" t="str">
        <f>IF(A64="","",
SUM(
COUNTIFS('QA Log'!D:D,A64,'QA Log'!M:M,"Data Verification",'QA Log'!Z:Z,"Rejected",'QA Log'!L:L,"*Medicine (section 2)*"),
COUNTIFS('QA Log'!D:D,A64,'QA Log'!M:M,"Data Verification",'QA Log'!Z:Z,"Rejected",'QA Log'!L:L,"*Lab Testing Availability*"),
COUNTIFS('QA Log'!D:D,A64,'QA Log'!M:M,"Data Verification",'QA Log'!Z:Z,"Rejected",'QA Log'!L:L,"*Other than P4P (section 6)*"),
COUNTIFS('QA Log'!D:D,A64,'QA Log'!M:M,"Data Verification",'QA Log'!Z:Z,"Rejected",'QA Log'!L:L,"*Hospital Governance*")
))</f>
        <v/>
      </c>
      <c r="AL64" s="106" t="str">
        <f t="shared" si="5"/>
        <v/>
      </c>
      <c r="AM64" s="102" t="str">
        <f t="shared" si="6"/>
        <v/>
      </c>
      <c r="AN64" s="102" t="str">
        <f>IF(A64="","",
SUM(
COUNTIFS('QA Log'!D:D,A64,'QA Log'!M:M,"Data Verification",'QA Log'!L:L,"*Personnel (section 1)*"),
COUNTIFS('QA Log'!D:D,A64,'QA Log'!M:M,"Data Verification",'QA Log'!L:L,"*Consumable (section 3)*"),
COUNTIFS('QA Log'!D:D,A64,'QA Log'!M:M,"Data Verification",'QA Log'!L:L,"*Equipments (section 4)*")
))</f>
        <v/>
      </c>
      <c r="AO64" s="102" t="str">
        <f>IF(A64="","",
SUM(
COUNTIFS('QA Log'!D:D,A64,'QA Log'!M:M,"Data Verification",'QA Log'!Z:Z,"Approved",'QA Log'!L:L,"*Personnel (section 1)*"),
COUNTIFS('QA Log'!D:D,A64,'QA Log'!M:M,"Data Verification",'QA Log'!Z:Z,"Approved",'QA Log'!L:L,"*Consumable (section 3)*"),
COUNTIFS('QA Log'!D:D,A64,'QA Log'!M:M,"Data Verification",'QA Log'!Z:Z,"Approved",'QA Log'!L:L,"*Equipments (section 4)*")
))</f>
        <v/>
      </c>
      <c r="AP64" s="105" t="str">
        <f>IF(A64&lt;&gt;"",COUNTIFS('QA Log'!D:D,A64,'QA Log'!M:M,"Data Verification",'QA Log'!L:L,"Personnel (section 1)",'QA Log'!Z:Z,"Approved"),"")</f>
        <v/>
      </c>
      <c r="AQ64" s="105" t="str">
        <f>IF(A64&lt;&gt;"",COUNTIFS('QA Log'!D:D,A64,'QA Log'!M:M,"Data Verification",'QA Log'!L:L,"Consumable (section 3)",'QA Log'!Z:Z,"Approved"),"")</f>
        <v/>
      </c>
      <c r="AR64" s="105" t="str">
        <f>IF(A64&lt;&gt;"",COUNTIFS('QA Log'!D:D,A64,'QA Log'!M:M,"Data Verification",'QA Log'!L:L,"Equipments (section 4)",'QA Log'!Z:Z,"Approved"),"")</f>
        <v/>
      </c>
      <c r="AS64" s="102" t="str">
        <f>IF(A64="","",
SUM(
COUNTIFS('QA Log'!D:D,A64,'QA Log'!M:M,"Data Verification",'QA Log'!Z:Z,"Rejected",'QA Log'!L:L,"*Personnel (section 1)*"),
COUNTIFS('QA Log'!D:D,A64,'QA Log'!M:M,"Data Verification",'QA Log'!Z:Z,"Rejected",'QA Log'!L:L,"*Consumable (section 3)*"),
COUNTIFS('QA Log'!D:D,A64,'QA Log'!M:M,"Data Verification",'QA Log'!Z:Z,"Rejected",'QA Log'!L:L,"*Equipments (section 4)*")
))</f>
        <v/>
      </c>
      <c r="AT64" s="102" t="str">
        <f t="shared" si="7"/>
        <v/>
      </c>
      <c r="AU64" s="103" t="str">
        <f t="shared" si="8"/>
        <v/>
      </c>
      <c r="AV64" s="102" t="str">
        <f>IF(A64="","",SUM(
COUNTIFS('QA Log'!D:D,A64,'QA Log'!M:M,"Vignette",'QA Log'!L:L,"*Vignette [1] Respiratory Infection: Pneumonia*"),
COUNTIFS('QA Log'!D:D,A64,'QA Log'!M:M,"Vignette",'QA Log'!L:L,"*Vignette [2]: Diarrhea with Cat B dehydration*"),
COUNTIFS('QA Log'!D:D,A64,'QA Log'!M:M,"Vignette",'QA Log'!L:L,"*Vignette [3] Growth Monitoring and Promotion*"),
COUNTIFS('QA Log'!D:D,A64,'QA Log'!M:M,"Vignette",'QA Log'!L:L,"*Vignette [4]: The management of presumptive TB patient*")
)
)</f>
        <v/>
      </c>
      <c r="AW64" s="102" t="str">
        <f>IF(
  A64="","",
  SUM(
    COUNTIFS('QA Log'!D:D,A64,'QA Log'!M:M,"Vignette",'QA Log'!Z:Z,"Approved",'QA Log'!L:L,"*Vignette [1] Respiratory Infection: Pneumonia*"),
    COUNTIFS('QA Log'!D:D,A64,'QA Log'!M:M,"Vignette",'QA Log'!Z:Z,"Approved",'QA Log'!L:L,"*Vignette [2]: Diarrhea with Cat B dehydration*"),
    COUNTIFS('QA Log'!D:D,A64,'QA Log'!M:M,"Vignette",'QA Log'!Z:Z,"Approved",'QA Log'!L:L,"*Vignette [3] Growth Monitoring and Promotion*"),
    COUNTIFS('QA Log'!D:D,A64,'QA Log'!M:M,"Vignette",'QA Log'!Z:Z,"Approved",'QA Log'!L:L,"*Vignette [4]: The management of presumptive TB patient*")
  )
)</f>
        <v/>
      </c>
      <c r="AX64" s="105" t="str">
        <f>IF(A64&lt;&gt;"",COUNTIFS('QA Log'!D:D,A64,'QA Log'!M:M,"Vignette",'QA Log'!L:L,"Vignette [1] Respiratory Infection: Pneumonia",'QA Log'!Z:Z,"Approved"),"")</f>
        <v/>
      </c>
      <c r="AY64" s="105" t="str">
        <f>IF(A64&lt;&gt;"",COUNTIFS('QA Log'!D:D,A64,'QA Log'!M:M,"Vignette",'QA Log'!L:L,"Vignette [2]: Diarrhea with Cat B dehydration",'QA Log'!Z:Z,"Approved"),"")</f>
        <v/>
      </c>
      <c r="AZ64" s="105" t="str">
        <f>IF(A64&lt;&gt;"",COUNTIFS('QA Log'!D:D,A64,'QA Log'!M:M,"Vignette",'QA Log'!L:L,"Vignette [3] Growth Monitoring and Promotion",'QA Log'!Z:Z,"Approved"),"")</f>
        <v/>
      </c>
      <c r="BA64" s="105" t="str">
        <f>IF(A64&lt;&gt;"",COUNTIFS('QA Log'!D:D,A64,'QA Log'!M:M,"Vignette",'QA Log'!L:L,"Vignette [4]: The management of presumptive TB patient",'QA Log'!Z:Z,"Approved"),"")</f>
        <v/>
      </c>
      <c r="BB64" s="102" t="str">
        <f>IF(A64="","",
  SUM(
    COUNTIFS('QA Log'!D:D,A64,'QA Log'!M:M,"Vignette",'QA Log'!Z:Z,"Rejected",'QA Log'!L:L,"*Vignette [1] Respiratory Infection: Pneumonia*"),
    COUNTIFS('QA Log'!D:D,A64,'QA Log'!M:M,"Vignette",'QA Log'!Z:Z,"Rejected",'QA Log'!L:L,"*Vignette [2]: Diarrhea with Cat B dehydration*"),
    COUNTIFS('QA Log'!D:D,A64,'QA Log'!M:M,"Vignette",'QA Log'!Z:Z,"Rejected",'QA Log'!L:L,"*Vignette [3] Growth Monitoring and Promotion*"),
    COUNTIFS('QA Log'!D:D,A64,'QA Log'!M:M,"Vignette",'QA Log'!Z:Z,"Rejected",'QA Log'!L:L,"*Vignette [4]: The management of presumptive TB patient*")
  )
)</f>
        <v/>
      </c>
      <c r="BC64" s="107" t="str">
        <f t="shared" si="9"/>
        <v/>
      </c>
      <c r="BD64" s="103" t="str">
        <f t="shared" si="10"/>
        <v/>
      </c>
      <c r="BE64" s="102" t="str">
        <f>IF(A64="","",SUM(
COUNTIFS('QA Log'!D:D,A64,'QA Log'!M:M,"Vignette",'QA Log'!L:L,"*Vignette [5] Labor*"),
COUNTIFS('QA Log'!D:D,A64,'QA Log'!M:M,"Vignette",'QA Log'!L:L,"*Vignette [6] PNC pre Discharge*"),
COUNTIFS('QA Log'!D:D,A64,'QA Log'!M:M,"Vignette",'QA Log'!L:L,"*Vignette [7] First ANC Visit*"),
COUNTIFS('QA Log'!D:D,A64,'QA Log'!M:M,"Vignette",'QA Log'!L:L,"*Vignette [8] Birth Spacing/ Family Planning :  FP Counselling*"),
COUNTIFS('QA Log'!D:D,A64,'QA Log'!M:M,"Vignette",'QA Log'!L:L,"*Vignette [9] Birth Spacing: Change FP method to Injectable*"),
COUNTIFS('QA Log'!D:D,A64,'QA Log'!M:M,"Vignette",'QA Log'!L:L,"*Vignette [10] Post Partum Haemorrhage - Atonic Uterus at Health Centre*"),
)
)</f>
        <v/>
      </c>
      <c r="BF64" s="102" t="str">
        <f>IF(A64="","",
  SUM(
    COUNTIFS('QA Log'!D:D,A64,'QA Log'!M:M,"Vignette",'QA Log'!Z:Z,"Approved",'QA Log'!L:L,"*Vignette [5] Labor*"),
    COUNTIFS('QA Log'!D:D,A64,'QA Log'!M:M,"Vignette",'QA Log'!Z:Z,"Approved",'QA Log'!L:L,"*Vignette [6] PNC pre Discharge*"),
    COUNTIFS('QA Log'!D:D,A64,'QA Log'!M:M,"Vignette",'QA Log'!Z:Z,"Approved",'QA Log'!L:L,"*Vignette [7] First ANC Visit*"),
    COUNTIFS('QA Log'!D:D,A64,'QA Log'!M:M,"Vignette",'QA Log'!Z:Z,"Approved",'QA Log'!L:L,"*Vignette [8] Birth Spacing/ Family Planning :  FP Counselling*"),
    COUNTIFS('QA Log'!D:D,A64,'QA Log'!M:M,"Vignette",'QA Log'!Z:Z,"Approved",'QA Log'!L:L,"*Vignette [9] Birth Spacing: Change FP method to Injectable*"),
    COUNTIFS('QA Log'!D:D,A64,'QA Log'!M:M,"Vignette",'QA Log'!Z:Z,"Approved",'QA Log'!L:L,"*Vignette [10] Post Partum Haemorrhage - Atonic Uterus at Health Centre*")
  )
)</f>
        <v/>
      </c>
      <c r="BG64" s="105" t="str">
        <f>IF(A64&lt;&gt;"",COUNTIFS('QA Log'!D:D,A64,'QA Log'!M:M,"Vignette",'QA Log'!L:L,"Vignette [5] Labor",'QA Log'!Z:Z,"Approved"),"")</f>
        <v/>
      </c>
      <c r="BH64" s="105" t="str">
        <f>IF(A64&lt;&gt;"",COUNTIFS('QA Log'!D:D,A64,'QA Log'!M:M,"Vignette",'QA Log'!L:L,"Vignette [6] PNC pre Discharge",'QA Log'!Z:Z,"Approved"),"")</f>
        <v/>
      </c>
      <c r="BI64" s="105" t="str">
        <f>IF(A64&lt;&gt;"",COUNTIFS('QA Log'!D:D,A64,'QA Log'!M:M,"Vignette",'QA Log'!L:L,"Vignette [7] First ANC Visit",'QA Log'!Z:Z,"Approved"),"")</f>
        <v/>
      </c>
      <c r="BJ64" s="105" t="str">
        <f>IF(A64&lt;&gt;"",COUNTIFS('QA Log'!D:D,A64,'QA Log'!M:M,"Vignette",'QA Log'!L:L,"Vignette [8] Birth Spacing/ Family Planning :  FP Counselling",'QA Log'!Z:Z,"Approved"),"")</f>
        <v/>
      </c>
      <c r="BK64" s="105" t="str">
        <f>IF(A64&lt;&gt;"",COUNTIFS('QA Log'!D:D,A64,'QA Log'!M:M,"Vignette",'QA Log'!L:L,"Vignette [9] Birth Spacing: Change FP method to Injectable",'QA Log'!Z:Z,"Approved"),"")</f>
        <v/>
      </c>
      <c r="BL64" s="105" t="str">
        <f>IF(A64&lt;&gt;"",COUNTIFS('QA Log'!D:D,A64,'QA Log'!M:M,"Vignette",'QA Log'!L:L,"Vignette [10] Post Partum Haemorrhage - Atonic Uterus at Health Centre",'QA Log'!Z:Z,"Approved"),"")</f>
        <v/>
      </c>
      <c r="BM64" s="102" t="str">
        <f>IF(A64="","",SUM(
    COUNTIFS('QA Log'!D:D,A64,'QA Log'!M:M,"Vignette",'QA Log'!Z:Z,"Rejected",'QA Log'!L:L,"*Vignette [5] Labor*"),
    COUNTIFS('QA Log'!D:D,A64,'QA Log'!M:M,"Vignette",'QA Log'!Z:Z,"Rejected",'QA Log'!L:L,"*Vignette [6] PNC pre Discharge*"),
    COUNTIFS('QA Log'!D:D,A64,'QA Log'!M:M,"Vignette",'QA Log'!Z:Z,"Rejected",'QA Log'!L:L,"*Vignette [7] First ANC Visit*"),
    COUNTIFS('QA Log'!D:D,A64,'QA Log'!M:M,"Vignette",'QA Log'!Z:Z,"Rejected",'QA Log'!L:L,"*Vignette [8] Birth Spacing/ Family Planning :  FP Counselling*"),
    COUNTIFS('QA Log'!D:D,A64,'QA Log'!M:M,"Vignette",'QA Log'!Z:Z,"Rejected",'QA Log'!L:L,"*Vignette [9] Birth Spacing: Change FP method to Injectable*"),
    COUNTIFS('QA Log'!D:D,A64,'QA Log'!M:M,"Vignette",'QA Log'!Z:Z,"Rejected",'QA Log'!L:L,"*Vignette [10] Post Partum Haemorrhage - Atonic Uterus at Health Centre*")
  )
)</f>
        <v/>
      </c>
      <c r="BN64" s="107" t="str">
        <f t="shared" si="11"/>
        <v/>
      </c>
      <c r="BO64" s="103" t="str">
        <f t="shared" si="12"/>
        <v/>
      </c>
      <c r="BP64" s="102" t="str">
        <f>IF(A64="","",SUM(
COUNTIFS('QA Log'!D:D,A64,'QA Log'!M:M,"Vignette",'QA Log'!L:L,"*Exit Interview 1*"),
COUNTIFS('QA Log'!D:D,A64,'QA Log'!M:M,"Vignette",'QA Log'!L:L,"*Exit Interview 2*"),
)
)</f>
        <v/>
      </c>
      <c r="BQ64" s="102" t="str">
        <f>IF(
  A64="","",
  SUM(
    COUNTIFS('QA Log'!D:D,A64,'QA Log'!M:M,"Vignette",'QA Log'!Z:Z,"Approved",'QA Log'!L:L,"*Exit Interview 1*"),
    COUNTIFS('QA Log'!D:D,A64,'QA Log'!M:M,"Vignette",'QA Log'!Z:Z,"Approved",'QA Log'!L:L,"*Exit Interview 2*")
  )
)</f>
        <v/>
      </c>
      <c r="BR64" s="105" t="str">
        <f>IF(A64&lt;&gt;"",COUNTIFS('QA Log'!D:D,A64,'QA Log'!M:M,"Vignette",'QA Log'!L:L,"Exit Interview 1",'QA Log'!Z:Z,"Approved"),"")</f>
        <v/>
      </c>
      <c r="BS64" s="105" t="str">
        <f>IF(A64&lt;&gt;"",COUNTIFS('QA Log'!D:D,A64,'QA Log'!M:M,"Vignette",'QA Log'!L:L,"Exit Interview 2",'QA Log'!Z:Z,"Approved"),"")</f>
        <v/>
      </c>
      <c r="BT64" s="102" t="str">
        <f>IF(
  A64="","",
  SUM(
    COUNTIFS('QA Log'!D:D,A64,'QA Log'!M:M,"Vignette",'QA Log'!Z:Z,"Rejected",'QA Log'!L:L,"*Exit Interview 1*"),
    COUNTIFS('QA Log'!D:D,A64,'QA Log'!M:M,"Vignette",'QA Log'!Z:Z,"Rejected",'QA Log'!L:L,"*Exit Interview 2*")
  )
)</f>
        <v/>
      </c>
      <c r="BU64" s="107" t="str">
        <f t="shared" si="13"/>
        <v/>
      </c>
      <c r="BV64" s="102" t="str">
        <f t="shared" si="14"/>
        <v/>
      </c>
      <c r="BW64" s="102" t="str">
        <f t="shared" si="15"/>
        <v/>
      </c>
      <c r="BX64" s="102" t="str">
        <f t="shared" si="16"/>
        <v/>
      </c>
      <c r="BY64" s="102" t="str">
        <f t="shared" si="17"/>
        <v/>
      </c>
      <c r="BZ64" s="107" t="str">
        <f t="shared" si="18"/>
        <v/>
      </c>
      <c r="CA64" s="108" t="str">
        <f t="shared" si="19"/>
        <v/>
      </c>
      <c r="CB64" s="108" t="str">
        <f t="shared" si="20"/>
        <v/>
      </c>
      <c r="CC64" s="109" t="str">
        <f t="shared" si="21"/>
        <v/>
      </c>
      <c r="CD64" s="108" t="str">
        <f t="shared" si="22"/>
        <v/>
      </c>
      <c r="CE64" s="108" t="str">
        <f t="shared" si="23"/>
        <v/>
      </c>
      <c r="CF64" s="109" t="str">
        <f t="shared" si="24"/>
        <v/>
      </c>
      <c r="CG64" s="110" t="str">
        <f t="shared" si="25"/>
        <v/>
      </c>
      <c r="CH64" s="111"/>
    </row>
    <row r="65" spans="1:86" ht="12.75">
      <c r="A65" s="101"/>
      <c r="B65" s="102" t="e">
        <f t="array" aca="1" ref="B65" ca="1">_xludf.XLOOKUP(A65,'QA Log'!D:D,'QA Log'!E:E,"")</f>
        <v>#NAME?</v>
      </c>
      <c r="C65" s="102" t="e">
        <f t="array" aca="1" ref="C65" ca="1">_xludf.XLOOKUP(A65,'QA Log'!D:D,'QA Log'!F:F,"")</f>
        <v>#NAME?</v>
      </c>
      <c r="D65" s="102" t="e">
        <f t="array" aca="1" ref="D65" ca="1">_xludf.XLOOKUP(A65,'QA Log'!D:D,'QA Log'!H:H,"")</f>
        <v>#NAME?</v>
      </c>
      <c r="E65" s="102" t="e">
        <f t="array" aca="1" ref="E65" ca="1">_xludf.XLOOKUP(A65,'QA Log'!D:D,'QA Log'!G:G,"")</f>
        <v>#NAME?</v>
      </c>
      <c r="F65" s="103"/>
      <c r="G65" s="104"/>
      <c r="H65" s="104"/>
      <c r="I65" s="103" t="str">
        <f t="shared" si="0"/>
        <v/>
      </c>
      <c r="J65" s="102" t="str">
        <f>IF(A65="","",SUM(
COUNTIFS('QA Log'!D:D,A65,'QA Log'!M:M,"QQC",'QA Log'!L:L,"*1. General Management*"),
COUNTIFS('QA Log'!D:D,A65,'QA Log'!M:M,"QQC",'QA Log'!L:L,"*3. Curative Consultation (OPD)*"),
COUNTIFS('QA Log'!D:D,A65,'QA Log'!M:M,"QQC",'QA Log'!L:L,"*5. Laboratory*"),
COUNTIFS('QA Log'!D:D,A65,'QA Log'!M:M,"QQC",'QA Log'!L:L,"*6. Essential Medicine Management*"),
COUNTIFS('QA Log'!D:D,A65,'QA Log'!M:M,"QQC",'QA Log'!L:L,"*7. Tracer Medicine*"),
COUNTIFS('QA Log'!D:D,A65,'QA Log'!M:M,"QQC",'QA Log'!L:L,"*11. Additional Questions*")))</f>
        <v/>
      </c>
      <c r="K65" s="102" t="str">
        <f>IF(A65="","",SUM(
COUNTIFS('QA Log'!D:D,A65,'QA Log'!M:M,"QQC",'QA Log'!Z:Z,"Approved",'QA Log'!L:L,"*1. General Management*"),
COUNTIFS('QA Log'!D:D,A65,'QA Log'!M:M,"QQC",'QA Log'!Z:Z,"Approved",'QA Log'!L:L,"*3. Curative Consultation (OPD)*"),
COUNTIFS('QA Log'!D:D,A65,'QA Log'!M:M,"QQC",'QA Log'!Z:Z,"Approved",'QA Log'!L:L,"*5. Laboratory*"),
COUNTIFS('QA Log'!D:D,A65,'QA Log'!M:M,"QQC",'QA Log'!Z:Z,"Approved",'QA Log'!L:L,"*6. Essential Medicine Management*"),
COUNTIFS('QA Log'!D:D,A65,'QA Log'!M:M,"QQC",'QA Log'!Z:Z,"Approved",'QA Log'!L:L,"*7. Tracer Medicine*"),
COUNTIFS('QA Log'!D:D,A65,'QA Log'!M:M,"QQC",'QA Log'!Z:Z,"Approved",'QA Log'!L:L,"*11. Additional Questions*")))</f>
        <v/>
      </c>
      <c r="L65" s="105" t="str">
        <f>IF(A65&lt;&gt;"",COUNTIFS('QA Log'!D:D,A65,'QA Log'!M:M,"QQC",'QA Log'!L:L,"1. General Management",'QA Log'!Z:Z,"Approved"),"")</f>
        <v/>
      </c>
      <c r="M65" s="105" t="str">
        <f>IF(A65&lt;&gt;"",COUNTIFS('QA Log'!D:D,A65,'QA Log'!M:M,"QQC",'QA Log'!L:L,"3. Curative Consultation (OPD)",'QA Log'!Z:Z,"Approved"),"")</f>
        <v/>
      </c>
      <c r="N65" s="105" t="str">
        <f>IF(A65&lt;&gt;"",COUNTIFS('QA Log'!D:D,A65,'QA Log'!M:M,"QQC",'QA Log'!L:L,"5. Laboratory",'QA Log'!Z:Z,"Approved"),"")</f>
        <v/>
      </c>
      <c r="O65" s="105" t="str">
        <f>IF(A65&lt;&gt;"",COUNTIFS('QA Log'!D:D,A65,'QA Log'!M:M,"QQC",'QA Log'!L:L,"6. Essential Medicine Management",'QA Log'!Z:Z,"Approved"),"")</f>
        <v/>
      </c>
      <c r="P65" s="105" t="str">
        <f>IF(A65&lt;&gt;"",COUNTIFS('QA Log'!D:D,A65,'QA Log'!M:M,"QQC",'QA Log'!L:L,"7. Tracer Medicine",'QA Log'!Z:Z,"Approved"),"")</f>
        <v/>
      </c>
      <c r="Q65" s="105" t="str">
        <f>IF(A65&lt;&gt;"",COUNTIFS('QA Log'!D:D,A65,'QA Log'!M:M,"QQC",'QA Log'!L:L,"11. Additional Questions",'QA Log'!Z:Z,"Approved"),"")</f>
        <v/>
      </c>
      <c r="R65" s="102" t="str">
        <f>IF(A65="","",SUM(
COUNTIFS('QA Log'!D:D,A65,'QA Log'!M:M,"QQC",'QA Log'!Z:Z,"Rejected",'QA Log'!L:L,"*8. Maternity*"),
COUNTIFS('QA Log'!D:D,A65,'QA Log'!M:M,"QQC",'QA Log'!Z:Z,"Rejected",'QA Log'!L:L,"*EPI*"),
COUNTIFS('QA Log'!D:D,A65,'QA Log'!M:M,"QQC",'QA Log'!Z:Z,"Rejected",'QA Log'!L:L,"*10. Antenatal Care (ANC)*"),
COUNTIFS('QA Log'!D:D,A65,'QA Log'!M:M,"QQC",'QA Log'!Z:Z,"Rejected",'QA Log'!L:L,"*2. Hygiene and Sterilization*"),
COUNTIFS('QA Log'!D:D,A65,'QA Log'!M:M,"QQC",'QA Log'!Z:Z,"Rejected",'QA Log'!L:L,"*Family Planning*")))</f>
        <v/>
      </c>
      <c r="S65" s="106" t="str">
        <f t="shared" si="1"/>
        <v/>
      </c>
      <c r="T65" s="102" t="str">
        <f t="shared" si="2"/>
        <v/>
      </c>
      <c r="U65" s="102" t="str">
        <f>IF(A65="","",
SUM(
COUNTIFS('QA Log'!D:D,A65,'QA Log'!M:M,"QQC",'QA Log'!L:L,"*8. Maternity*"),
COUNTIFS('QA Log'!D:D,A65,'QA Log'!M:M,"QQC",'QA Log'!L:L,"*9. EPI and Pre-school Consultation*"),
COUNTIFS('QA Log'!D:D,A65,'QA Log'!M:M,"QQC",'QA Log'!L:L,"*10. Antenatal Care (ANC)*"),
COUNTIFS('QA Log'!D:D,A65,'QA Log'!M:M,"QQC",'QA Log'!L:L,"*2. Hygiene and Sterilization*"),
COUNTIFS('QA Log'!D:D,A65,'QA Log'!M:M,"QQC",'QA Log'!L:L,"*4. Family Planning*")
))</f>
        <v/>
      </c>
      <c r="V65" s="102" t="str">
        <f>IF(A65="","",
SUM(
COUNTIFS('QA Log'!D:D,A65,'QA Log'!M:M,"QQC",'QA Log'!Z:Z,"Approved",'QA Log'!L:L,"*8. Maternity*"),
COUNTIFS('QA Log'!D:D,A65,'QA Log'!M:M,"QQC",'QA Log'!Z:Z,"Approved",'QA Log'!L:L,"*9. EPI and Pre-school Consultation*"),
COUNTIFS('QA Log'!D:D,A65,'QA Log'!M:M,"QQC",'QA Log'!Z:Z,"Approved",'QA Log'!L:L,"*10. Antenatal Care (ANC)*"),
COUNTIFS('QA Log'!D:D,A65,'QA Log'!M:M,"QQC",'QA Log'!Z:Z,"Approved",'QA Log'!L:L,"*2. Hygiene and Sterilization*"),
COUNTIFS('QA Log'!D:D,A65,'QA Log'!M:M,"QQC",'QA Log'!Z:Z,"Approved",'QA Log'!L:L,"*4. Family Planning*")
))</f>
        <v/>
      </c>
      <c r="W65" s="105" t="str">
        <f>IF(A65&lt;&gt;"",COUNTIFS('QA Log'!D:D,A65,'QA Log'!M:M,"QQC",'QA Log'!L:L,"8. Maternity",'QA Log'!Z:Z,"Approved"),"")</f>
        <v/>
      </c>
      <c r="X65" s="105" t="str">
        <f>IF(A65&lt;&gt;"",COUNTIFS('QA Log'!D:D,A65,'QA Log'!M:M,"QQC",'QA Log'!L:L,"9. EPI and Pre-school Consultation",'QA Log'!Z:Z,"Approved"),"")</f>
        <v/>
      </c>
      <c r="Y65" s="105" t="str">
        <f>IF(A65&lt;&gt;"",COUNTIFS('QA Log'!D:D,A65,'QA Log'!M:M,"QQC",'QA Log'!L:L,"10. Antenatal Care (ANC)",'QA Log'!Z:Z,"Approved"),"")</f>
        <v/>
      </c>
      <c r="Z65" s="105" t="str">
        <f>IF(A65&lt;&gt;"",COUNTIFS('QA Log'!D:D,A65,'QA Log'!M:M,"QQC",'QA Log'!L:L,"2. Hygiene and Sterilization",'QA Log'!Z:Z,"Approved"),"")</f>
        <v/>
      </c>
      <c r="AA65" s="105" t="str">
        <f>IF(A65&lt;&gt;"",COUNTIFS('QA Log'!D:D,A65,'QA Log'!M:M,"QQC",'QA Log'!L:L,"4. Family Planning",'QA Log'!Z:Z,"Approved"),"")</f>
        <v/>
      </c>
      <c r="AB65" s="102" t="str">
        <f>IF(A65="","",
SUM(
COUNTIFS('QA Log'!D:D,A65,'QA Log'!M:M,"QQC",'QA Log'!Z:Z,"Rejected",'QA Log'!L:L,"*8. Maternity*"),
COUNTIFS('QA Log'!D:D,A65,'QA Log'!M:M,"QQC",'QA Log'!Z:Z,"Rejected",'QA Log'!L:L,"*9. EPI and Pre-school Consultation*"),
COUNTIFS('QA Log'!D:D,A65,'QA Log'!M:M,"QQC",'QA Log'!Z:Z,"Rejected",'QA Log'!L:L,"*10. Antenatal Care (ANC)*"),
COUNTIFS('QA Log'!D:D,A65,'QA Log'!M:M,"QQC",'QA Log'!Z:Z,"Rejected",'QA Log'!L:L,"*2. Hygiene and Sterilization*"),
COUNTIFS('QA Log'!D:D,A65,'QA Log'!M:M,"QQC",'QA Log'!Z:Z,"Rejected",'QA Log'!L:L,"*4. Family Planning*")
))</f>
        <v/>
      </c>
      <c r="AC65" s="102" t="str">
        <f t="shared" si="3"/>
        <v/>
      </c>
      <c r="AD65" s="103" t="str">
        <f t="shared" si="4"/>
        <v/>
      </c>
      <c r="AE65" s="102" t="str">
        <f>IF(A65="","",
SUM(
COUNTIFS('QA Log'!D:D,A65,'QA Log'!M:M,"Data Verification",'QA Log'!L:L,"*Medicine (section 2)*"),
COUNTIFS('QA Log'!D:D,A65,'QA Log'!M:M,"Data Verification",'QA Log'!L:L,"*Lab Testing Availability*"),
COUNTIFS('QA Log'!D:D,A65,'QA Log'!M:M,"Data Verification",'QA Log'!L:L,"*Other than P4P (section 6)*"),
COUNTIFS('QA Log'!D:D,A65,'QA Log'!M:M,"Data Verification",'QA Log'!L:L,"*Hospital Governance*")
))</f>
        <v/>
      </c>
      <c r="AF65" s="102" t="str">
        <f>IF(A65="","",
SUM(
COUNTIFS('QA Log'!D:D,A65,'QA Log'!M:M,"Data Verification",'QA Log'!Z:Z,"Approved",'QA Log'!L:L,"*Medicine (section 2)*"),
COUNTIFS('QA Log'!D:D,A65,'QA Log'!M:M,"Data Verification",'QA Log'!Z:Z,"Approved",'QA Log'!L:L,"*Lab Testing Availability*"),
COUNTIFS('QA Log'!D:D,A65,'QA Log'!M:M,"Data Verification",'QA Log'!Z:Z,"Approved",'QA Log'!L:L,"*Other than P4P (section 6)*"),
COUNTIFS('QA Log'!D:D,A65,'QA Log'!M:M,"Data Verification",'QA Log'!Z:Z,"Approved",'QA Log'!L:L,"*Hospital Governance*")
))</f>
        <v/>
      </c>
      <c r="AG65" s="105" t="str">
        <f>IF(A65&lt;&gt;"",COUNTIFS('QA Log'!D:D,A65,'QA Log'!M:M,"Data Verification",'QA Log'!L:L,"Medicine (section 2)",'QA Log'!Z:Z,"Approved"),"")</f>
        <v/>
      </c>
      <c r="AH65" s="105" t="str">
        <f>IF(A65&lt;&gt;"",COUNTIFS('QA Log'!D:D,A65,'QA Log'!M:M,"Data Verification",'QA Log'!L:L,"Lab Testing Availability",'QA Log'!Z:Z,"Approved"),"")</f>
        <v/>
      </c>
      <c r="AI65" s="105" t="str">
        <f>IF(A65&lt;&gt;"",COUNTIFS('QA Log'!D:D,A65,'QA Log'!M:M,"Data Verification",'QA Log'!L:L,"Other than P4P (section 6)",'QA Log'!Z:Z,"Approved"),"")</f>
        <v/>
      </c>
      <c r="AJ65" s="105" t="str">
        <f>IF(A65&lt;&gt;"",COUNTIFS('QA Log'!D:D,A65,'QA Log'!M:M,"Data Verification",'QA Log'!L:L,"Hospital Governance",'QA Log'!Z:Z,"Approved"),"")</f>
        <v/>
      </c>
      <c r="AK65" s="102" t="str">
        <f>IF(A65="","",
SUM(
COUNTIFS('QA Log'!D:D,A65,'QA Log'!M:M,"Data Verification",'QA Log'!Z:Z,"Rejected",'QA Log'!L:L,"*Medicine (section 2)*"),
COUNTIFS('QA Log'!D:D,A65,'QA Log'!M:M,"Data Verification",'QA Log'!Z:Z,"Rejected",'QA Log'!L:L,"*Lab Testing Availability*"),
COUNTIFS('QA Log'!D:D,A65,'QA Log'!M:M,"Data Verification",'QA Log'!Z:Z,"Rejected",'QA Log'!L:L,"*Other than P4P (section 6)*"),
COUNTIFS('QA Log'!D:D,A65,'QA Log'!M:M,"Data Verification",'QA Log'!Z:Z,"Rejected",'QA Log'!L:L,"*Hospital Governance*")
))</f>
        <v/>
      </c>
      <c r="AL65" s="106" t="str">
        <f t="shared" si="5"/>
        <v/>
      </c>
      <c r="AM65" s="102" t="str">
        <f t="shared" si="6"/>
        <v/>
      </c>
      <c r="AN65" s="102" t="str">
        <f>IF(A65="","",
SUM(
COUNTIFS('QA Log'!D:D,A65,'QA Log'!M:M,"Data Verification",'QA Log'!L:L,"*Personnel (section 1)*"),
COUNTIFS('QA Log'!D:D,A65,'QA Log'!M:M,"Data Verification",'QA Log'!L:L,"*Consumable (section 3)*"),
COUNTIFS('QA Log'!D:D,A65,'QA Log'!M:M,"Data Verification",'QA Log'!L:L,"*Equipments (section 4)*")
))</f>
        <v/>
      </c>
      <c r="AO65" s="102" t="str">
        <f>IF(A65="","",
SUM(
COUNTIFS('QA Log'!D:D,A65,'QA Log'!M:M,"Data Verification",'QA Log'!Z:Z,"Approved",'QA Log'!L:L,"*Personnel (section 1)*"),
COUNTIFS('QA Log'!D:D,A65,'QA Log'!M:M,"Data Verification",'QA Log'!Z:Z,"Approved",'QA Log'!L:L,"*Consumable (section 3)*"),
COUNTIFS('QA Log'!D:D,A65,'QA Log'!M:M,"Data Verification",'QA Log'!Z:Z,"Approved",'QA Log'!L:L,"*Equipments (section 4)*")
))</f>
        <v/>
      </c>
      <c r="AP65" s="105" t="str">
        <f>IF(A65&lt;&gt;"",COUNTIFS('QA Log'!D:D,A65,'QA Log'!M:M,"Data Verification",'QA Log'!L:L,"Personnel (section 1)",'QA Log'!Z:Z,"Approved"),"")</f>
        <v/>
      </c>
      <c r="AQ65" s="105" t="str">
        <f>IF(A65&lt;&gt;"",COUNTIFS('QA Log'!D:D,A65,'QA Log'!M:M,"Data Verification",'QA Log'!L:L,"Consumable (section 3)",'QA Log'!Z:Z,"Approved"),"")</f>
        <v/>
      </c>
      <c r="AR65" s="105" t="str">
        <f>IF(A65&lt;&gt;"",COUNTIFS('QA Log'!D:D,A65,'QA Log'!M:M,"Data Verification",'QA Log'!L:L,"Equipments (section 4)",'QA Log'!Z:Z,"Approved"),"")</f>
        <v/>
      </c>
      <c r="AS65" s="102" t="str">
        <f>IF(A65="","",
SUM(
COUNTIFS('QA Log'!D:D,A65,'QA Log'!M:M,"Data Verification",'QA Log'!Z:Z,"Rejected",'QA Log'!L:L,"*Personnel (section 1)*"),
COUNTIFS('QA Log'!D:D,A65,'QA Log'!M:M,"Data Verification",'QA Log'!Z:Z,"Rejected",'QA Log'!L:L,"*Consumable (section 3)*"),
COUNTIFS('QA Log'!D:D,A65,'QA Log'!M:M,"Data Verification",'QA Log'!Z:Z,"Rejected",'QA Log'!L:L,"*Equipments (section 4)*")
))</f>
        <v/>
      </c>
      <c r="AT65" s="102" t="str">
        <f t="shared" si="7"/>
        <v/>
      </c>
      <c r="AU65" s="103" t="str">
        <f t="shared" si="8"/>
        <v/>
      </c>
      <c r="AV65" s="102" t="str">
        <f>IF(A65="","",SUM(
COUNTIFS('QA Log'!D:D,A65,'QA Log'!M:M,"Vignette",'QA Log'!L:L,"*Vignette [1] Respiratory Infection: Pneumonia*"),
COUNTIFS('QA Log'!D:D,A65,'QA Log'!M:M,"Vignette",'QA Log'!L:L,"*Vignette [2]: Diarrhea with Cat B dehydration*"),
COUNTIFS('QA Log'!D:D,A65,'QA Log'!M:M,"Vignette",'QA Log'!L:L,"*Vignette [3] Growth Monitoring and Promotion*"),
COUNTIFS('QA Log'!D:D,A65,'QA Log'!M:M,"Vignette",'QA Log'!L:L,"*Vignette [4]: The management of presumptive TB patient*")
)
)</f>
        <v/>
      </c>
      <c r="AW65" s="102" t="str">
        <f>IF(
  A65="","",
  SUM(
    COUNTIFS('QA Log'!D:D,A65,'QA Log'!M:M,"Vignette",'QA Log'!Z:Z,"Approved",'QA Log'!L:L,"*Vignette [1] Respiratory Infection: Pneumonia*"),
    COUNTIFS('QA Log'!D:D,A65,'QA Log'!M:M,"Vignette",'QA Log'!Z:Z,"Approved",'QA Log'!L:L,"*Vignette [2]: Diarrhea with Cat B dehydration*"),
    COUNTIFS('QA Log'!D:D,A65,'QA Log'!M:M,"Vignette",'QA Log'!Z:Z,"Approved",'QA Log'!L:L,"*Vignette [3] Growth Monitoring and Promotion*"),
    COUNTIFS('QA Log'!D:D,A65,'QA Log'!M:M,"Vignette",'QA Log'!Z:Z,"Approved",'QA Log'!L:L,"*Vignette [4]: The management of presumptive TB patient*")
  )
)</f>
        <v/>
      </c>
      <c r="AX65" s="105" t="str">
        <f>IF(A65&lt;&gt;"",COUNTIFS('QA Log'!D:D,A65,'QA Log'!M:M,"Vignette",'QA Log'!L:L,"Vignette [1] Respiratory Infection: Pneumonia",'QA Log'!Z:Z,"Approved"),"")</f>
        <v/>
      </c>
      <c r="AY65" s="105" t="str">
        <f>IF(A65&lt;&gt;"",COUNTIFS('QA Log'!D:D,A65,'QA Log'!M:M,"Vignette",'QA Log'!L:L,"Vignette [2]: Diarrhea with Cat B dehydration",'QA Log'!Z:Z,"Approved"),"")</f>
        <v/>
      </c>
      <c r="AZ65" s="105" t="str">
        <f>IF(A65&lt;&gt;"",COUNTIFS('QA Log'!D:D,A65,'QA Log'!M:M,"Vignette",'QA Log'!L:L,"Vignette [3] Growth Monitoring and Promotion",'QA Log'!Z:Z,"Approved"),"")</f>
        <v/>
      </c>
      <c r="BA65" s="105" t="str">
        <f>IF(A65&lt;&gt;"",COUNTIFS('QA Log'!D:D,A65,'QA Log'!M:M,"Vignette",'QA Log'!L:L,"Vignette [4]: The management of presumptive TB patient",'QA Log'!Z:Z,"Approved"),"")</f>
        <v/>
      </c>
      <c r="BB65" s="102" t="str">
        <f>IF(A65="","",
  SUM(
    COUNTIFS('QA Log'!D:D,A65,'QA Log'!M:M,"Vignette",'QA Log'!Z:Z,"Rejected",'QA Log'!L:L,"*Vignette [1] Respiratory Infection: Pneumonia*"),
    COUNTIFS('QA Log'!D:D,A65,'QA Log'!M:M,"Vignette",'QA Log'!Z:Z,"Rejected",'QA Log'!L:L,"*Vignette [2]: Diarrhea with Cat B dehydration*"),
    COUNTIFS('QA Log'!D:D,A65,'QA Log'!M:M,"Vignette",'QA Log'!Z:Z,"Rejected",'QA Log'!L:L,"*Vignette [3] Growth Monitoring and Promotion*"),
    COUNTIFS('QA Log'!D:D,A65,'QA Log'!M:M,"Vignette",'QA Log'!Z:Z,"Rejected",'QA Log'!L:L,"*Vignette [4]: The management of presumptive TB patient*")
  )
)</f>
        <v/>
      </c>
      <c r="BC65" s="107" t="str">
        <f t="shared" si="9"/>
        <v/>
      </c>
      <c r="BD65" s="103" t="str">
        <f t="shared" si="10"/>
        <v/>
      </c>
      <c r="BE65" s="102" t="str">
        <f>IF(A65="","",SUM(
COUNTIFS('QA Log'!D:D,A65,'QA Log'!M:M,"Vignette",'QA Log'!L:L,"*Vignette [5] Labor*"),
COUNTIFS('QA Log'!D:D,A65,'QA Log'!M:M,"Vignette",'QA Log'!L:L,"*Vignette [6] PNC pre Discharge*"),
COUNTIFS('QA Log'!D:D,A65,'QA Log'!M:M,"Vignette",'QA Log'!L:L,"*Vignette [7] First ANC Visit*"),
COUNTIFS('QA Log'!D:D,A65,'QA Log'!M:M,"Vignette",'QA Log'!L:L,"*Vignette [8] Birth Spacing/ Family Planning :  FP Counselling*"),
COUNTIFS('QA Log'!D:D,A65,'QA Log'!M:M,"Vignette",'QA Log'!L:L,"*Vignette [9] Birth Spacing: Change FP method to Injectable*"),
COUNTIFS('QA Log'!D:D,A65,'QA Log'!M:M,"Vignette",'QA Log'!L:L,"*Vignette [10] Post Partum Haemorrhage - Atonic Uterus at Health Centre*"),
)
)</f>
        <v/>
      </c>
      <c r="BF65" s="102" t="str">
        <f>IF(A65="","",
  SUM(
    COUNTIFS('QA Log'!D:D,A65,'QA Log'!M:M,"Vignette",'QA Log'!Z:Z,"Approved",'QA Log'!L:L,"*Vignette [5] Labor*"),
    COUNTIFS('QA Log'!D:D,A65,'QA Log'!M:M,"Vignette",'QA Log'!Z:Z,"Approved",'QA Log'!L:L,"*Vignette [6] PNC pre Discharge*"),
    COUNTIFS('QA Log'!D:D,A65,'QA Log'!M:M,"Vignette",'QA Log'!Z:Z,"Approved",'QA Log'!L:L,"*Vignette [7] First ANC Visit*"),
    COUNTIFS('QA Log'!D:D,A65,'QA Log'!M:M,"Vignette",'QA Log'!Z:Z,"Approved",'QA Log'!L:L,"*Vignette [8] Birth Spacing/ Family Planning :  FP Counselling*"),
    COUNTIFS('QA Log'!D:D,A65,'QA Log'!M:M,"Vignette",'QA Log'!Z:Z,"Approved",'QA Log'!L:L,"*Vignette [9] Birth Spacing: Change FP method to Injectable*"),
    COUNTIFS('QA Log'!D:D,A65,'QA Log'!M:M,"Vignette",'QA Log'!Z:Z,"Approved",'QA Log'!L:L,"*Vignette [10] Post Partum Haemorrhage - Atonic Uterus at Health Centre*")
  )
)</f>
        <v/>
      </c>
      <c r="BG65" s="105" t="str">
        <f>IF(A65&lt;&gt;"",COUNTIFS('QA Log'!D:D,A65,'QA Log'!M:M,"Vignette",'QA Log'!L:L,"Vignette [5] Labor",'QA Log'!Z:Z,"Approved"),"")</f>
        <v/>
      </c>
      <c r="BH65" s="105" t="str">
        <f>IF(A65&lt;&gt;"",COUNTIFS('QA Log'!D:D,A65,'QA Log'!M:M,"Vignette",'QA Log'!L:L,"Vignette [6] PNC pre Discharge",'QA Log'!Z:Z,"Approved"),"")</f>
        <v/>
      </c>
      <c r="BI65" s="105" t="str">
        <f>IF(A65&lt;&gt;"",COUNTIFS('QA Log'!D:D,A65,'QA Log'!M:M,"Vignette",'QA Log'!L:L,"Vignette [7] First ANC Visit",'QA Log'!Z:Z,"Approved"),"")</f>
        <v/>
      </c>
      <c r="BJ65" s="105" t="str">
        <f>IF(A65&lt;&gt;"",COUNTIFS('QA Log'!D:D,A65,'QA Log'!M:M,"Vignette",'QA Log'!L:L,"Vignette [8] Birth Spacing/ Family Planning :  FP Counselling",'QA Log'!Z:Z,"Approved"),"")</f>
        <v/>
      </c>
      <c r="BK65" s="105" t="str">
        <f>IF(A65&lt;&gt;"",COUNTIFS('QA Log'!D:D,A65,'QA Log'!M:M,"Vignette",'QA Log'!L:L,"Vignette [9] Birth Spacing: Change FP method to Injectable",'QA Log'!Z:Z,"Approved"),"")</f>
        <v/>
      </c>
      <c r="BL65" s="105" t="str">
        <f>IF(A65&lt;&gt;"",COUNTIFS('QA Log'!D:D,A65,'QA Log'!M:M,"Vignette",'QA Log'!L:L,"Vignette [10] Post Partum Haemorrhage - Atonic Uterus at Health Centre",'QA Log'!Z:Z,"Approved"),"")</f>
        <v/>
      </c>
      <c r="BM65" s="102" t="str">
        <f>IF(A65="","",SUM(
    COUNTIFS('QA Log'!D:D,A65,'QA Log'!M:M,"Vignette",'QA Log'!Z:Z,"Rejected",'QA Log'!L:L,"*Vignette [5] Labor*"),
    COUNTIFS('QA Log'!D:D,A65,'QA Log'!M:M,"Vignette",'QA Log'!Z:Z,"Rejected",'QA Log'!L:L,"*Vignette [6] PNC pre Discharge*"),
    COUNTIFS('QA Log'!D:D,A65,'QA Log'!M:M,"Vignette",'QA Log'!Z:Z,"Rejected",'QA Log'!L:L,"*Vignette [7] First ANC Visit*"),
    COUNTIFS('QA Log'!D:D,A65,'QA Log'!M:M,"Vignette",'QA Log'!Z:Z,"Rejected",'QA Log'!L:L,"*Vignette [8] Birth Spacing/ Family Planning :  FP Counselling*"),
    COUNTIFS('QA Log'!D:D,A65,'QA Log'!M:M,"Vignette",'QA Log'!Z:Z,"Rejected",'QA Log'!L:L,"*Vignette [9] Birth Spacing: Change FP method to Injectable*"),
    COUNTIFS('QA Log'!D:D,A65,'QA Log'!M:M,"Vignette",'QA Log'!Z:Z,"Rejected",'QA Log'!L:L,"*Vignette [10] Post Partum Haemorrhage - Atonic Uterus at Health Centre*")
  )
)</f>
        <v/>
      </c>
      <c r="BN65" s="107" t="str">
        <f t="shared" si="11"/>
        <v/>
      </c>
      <c r="BO65" s="103" t="str">
        <f t="shared" si="12"/>
        <v/>
      </c>
      <c r="BP65" s="102" t="str">
        <f>IF(A65="","",SUM(
COUNTIFS('QA Log'!D:D,A65,'QA Log'!M:M,"Vignette",'QA Log'!L:L,"*Exit Interview 1*"),
COUNTIFS('QA Log'!D:D,A65,'QA Log'!M:M,"Vignette",'QA Log'!L:L,"*Exit Interview 2*"),
)
)</f>
        <v/>
      </c>
      <c r="BQ65" s="102" t="str">
        <f>IF(
  A65="","",
  SUM(
    COUNTIFS('QA Log'!D:D,A65,'QA Log'!M:M,"Vignette",'QA Log'!Z:Z,"Approved",'QA Log'!L:L,"*Exit Interview 1*"),
    COUNTIFS('QA Log'!D:D,A65,'QA Log'!M:M,"Vignette",'QA Log'!Z:Z,"Approved",'QA Log'!L:L,"*Exit Interview 2*")
  )
)</f>
        <v/>
      </c>
      <c r="BR65" s="105" t="str">
        <f>IF(A65&lt;&gt;"",COUNTIFS('QA Log'!D:D,A65,'QA Log'!M:M,"Vignette",'QA Log'!L:L,"Exit Interview 1",'QA Log'!Z:Z,"Approved"),"")</f>
        <v/>
      </c>
      <c r="BS65" s="105" t="str">
        <f>IF(A65&lt;&gt;"",COUNTIFS('QA Log'!D:D,A65,'QA Log'!M:M,"Vignette",'QA Log'!L:L,"Exit Interview 2",'QA Log'!Z:Z,"Approved"),"")</f>
        <v/>
      </c>
      <c r="BT65" s="102" t="str">
        <f>IF(
  A65="","",
  SUM(
    COUNTIFS('QA Log'!D:D,A65,'QA Log'!M:M,"Vignette",'QA Log'!Z:Z,"Rejected",'QA Log'!L:L,"*Exit Interview 1*"),
    COUNTIFS('QA Log'!D:D,A65,'QA Log'!M:M,"Vignette",'QA Log'!Z:Z,"Rejected",'QA Log'!L:L,"*Exit Interview 2*")
  )
)</f>
        <v/>
      </c>
      <c r="BU65" s="107" t="str">
        <f t="shared" si="13"/>
        <v/>
      </c>
      <c r="BV65" s="102" t="str">
        <f t="shared" si="14"/>
        <v/>
      </c>
      <c r="BW65" s="102" t="str">
        <f t="shared" si="15"/>
        <v/>
      </c>
      <c r="BX65" s="102" t="str">
        <f t="shared" si="16"/>
        <v/>
      </c>
      <c r="BY65" s="102" t="str">
        <f t="shared" si="17"/>
        <v/>
      </c>
      <c r="BZ65" s="107" t="str">
        <f t="shared" si="18"/>
        <v/>
      </c>
      <c r="CA65" s="108" t="str">
        <f t="shared" si="19"/>
        <v/>
      </c>
      <c r="CB65" s="108" t="str">
        <f t="shared" si="20"/>
        <v/>
      </c>
      <c r="CC65" s="109" t="str">
        <f t="shared" si="21"/>
        <v/>
      </c>
      <c r="CD65" s="108" t="str">
        <f t="shared" si="22"/>
        <v/>
      </c>
      <c r="CE65" s="108" t="str">
        <f t="shared" si="23"/>
        <v/>
      </c>
      <c r="CF65" s="109" t="str">
        <f t="shared" si="24"/>
        <v/>
      </c>
      <c r="CG65" s="110" t="str">
        <f t="shared" si="25"/>
        <v/>
      </c>
      <c r="CH65" s="111"/>
    </row>
    <row r="66" spans="1:86" ht="12.75">
      <c r="A66" s="101"/>
      <c r="B66" s="102" t="e">
        <f t="array" aca="1" ref="B66" ca="1">_xludf.XLOOKUP(A66,'QA Log'!D:D,'QA Log'!E:E,"")</f>
        <v>#NAME?</v>
      </c>
      <c r="C66" s="102" t="e">
        <f t="array" aca="1" ref="C66" ca="1">_xludf.XLOOKUP(A66,'QA Log'!D:D,'QA Log'!F:F,"")</f>
        <v>#NAME?</v>
      </c>
      <c r="D66" s="102" t="e">
        <f t="array" aca="1" ref="D66" ca="1">_xludf.XLOOKUP(A66,'QA Log'!D:D,'QA Log'!H:H,"")</f>
        <v>#NAME?</v>
      </c>
      <c r="E66" s="102" t="e">
        <f t="array" aca="1" ref="E66" ca="1">_xludf.XLOOKUP(A66,'QA Log'!D:D,'QA Log'!G:G,"")</f>
        <v>#NAME?</v>
      </c>
      <c r="F66" s="103"/>
      <c r="G66" s="104"/>
      <c r="H66" s="104"/>
      <c r="I66" s="103" t="str">
        <f t="shared" si="0"/>
        <v/>
      </c>
      <c r="J66" s="102" t="str">
        <f>IF(A66="","",SUM(
COUNTIFS('QA Log'!D:D,A66,'QA Log'!M:M,"QQC",'QA Log'!L:L,"*1. General Management*"),
COUNTIFS('QA Log'!D:D,A66,'QA Log'!M:M,"QQC",'QA Log'!L:L,"*3. Curative Consultation (OPD)*"),
COUNTIFS('QA Log'!D:D,A66,'QA Log'!M:M,"QQC",'QA Log'!L:L,"*5. Laboratory*"),
COUNTIFS('QA Log'!D:D,A66,'QA Log'!M:M,"QQC",'QA Log'!L:L,"*6. Essential Medicine Management*"),
COUNTIFS('QA Log'!D:D,A66,'QA Log'!M:M,"QQC",'QA Log'!L:L,"*7. Tracer Medicine*"),
COUNTIFS('QA Log'!D:D,A66,'QA Log'!M:M,"QQC",'QA Log'!L:L,"*11. Additional Questions*")))</f>
        <v/>
      </c>
      <c r="K66" s="102" t="str">
        <f>IF(A66="","",SUM(
COUNTIFS('QA Log'!D:D,A66,'QA Log'!M:M,"QQC",'QA Log'!Z:Z,"Approved",'QA Log'!L:L,"*1. General Management*"),
COUNTIFS('QA Log'!D:D,A66,'QA Log'!M:M,"QQC",'QA Log'!Z:Z,"Approved",'QA Log'!L:L,"*3. Curative Consultation (OPD)*"),
COUNTIFS('QA Log'!D:D,A66,'QA Log'!M:M,"QQC",'QA Log'!Z:Z,"Approved",'QA Log'!L:L,"*5. Laboratory*"),
COUNTIFS('QA Log'!D:D,A66,'QA Log'!M:M,"QQC",'QA Log'!Z:Z,"Approved",'QA Log'!L:L,"*6. Essential Medicine Management*"),
COUNTIFS('QA Log'!D:D,A66,'QA Log'!M:M,"QQC",'QA Log'!Z:Z,"Approved",'QA Log'!L:L,"*7. Tracer Medicine*"),
COUNTIFS('QA Log'!D:D,A66,'QA Log'!M:M,"QQC",'QA Log'!Z:Z,"Approved",'QA Log'!L:L,"*11. Additional Questions*")))</f>
        <v/>
      </c>
      <c r="L66" s="105" t="str">
        <f>IF(A66&lt;&gt;"",COUNTIFS('QA Log'!D:D,A66,'QA Log'!M:M,"QQC",'QA Log'!L:L,"1. General Management",'QA Log'!Z:Z,"Approved"),"")</f>
        <v/>
      </c>
      <c r="M66" s="105" t="str">
        <f>IF(A66&lt;&gt;"",COUNTIFS('QA Log'!D:D,A66,'QA Log'!M:M,"QQC",'QA Log'!L:L,"3. Curative Consultation (OPD)",'QA Log'!Z:Z,"Approved"),"")</f>
        <v/>
      </c>
      <c r="N66" s="105" t="str">
        <f>IF(A66&lt;&gt;"",COUNTIFS('QA Log'!D:D,A66,'QA Log'!M:M,"QQC",'QA Log'!L:L,"5. Laboratory",'QA Log'!Z:Z,"Approved"),"")</f>
        <v/>
      </c>
      <c r="O66" s="105" t="str">
        <f>IF(A66&lt;&gt;"",COUNTIFS('QA Log'!D:D,A66,'QA Log'!M:M,"QQC",'QA Log'!L:L,"6. Essential Medicine Management",'QA Log'!Z:Z,"Approved"),"")</f>
        <v/>
      </c>
      <c r="P66" s="105" t="str">
        <f>IF(A66&lt;&gt;"",COUNTIFS('QA Log'!D:D,A66,'QA Log'!M:M,"QQC",'QA Log'!L:L,"7. Tracer Medicine",'QA Log'!Z:Z,"Approved"),"")</f>
        <v/>
      </c>
      <c r="Q66" s="105" t="str">
        <f>IF(A66&lt;&gt;"",COUNTIFS('QA Log'!D:D,A66,'QA Log'!M:M,"QQC",'QA Log'!L:L,"11. Additional Questions",'QA Log'!Z:Z,"Approved"),"")</f>
        <v/>
      </c>
      <c r="R66" s="102" t="str">
        <f>IF(A66="","",SUM(
COUNTIFS('QA Log'!D:D,A66,'QA Log'!M:M,"QQC",'QA Log'!Z:Z,"Rejected",'QA Log'!L:L,"*8. Maternity*"),
COUNTIFS('QA Log'!D:D,A66,'QA Log'!M:M,"QQC",'QA Log'!Z:Z,"Rejected",'QA Log'!L:L,"*EPI*"),
COUNTIFS('QA Log'!D:D,A66,'QA Log'!M:M,"QQC",'QA Log'!Z:Z,"Rejected",'QA Log'!L:L,"*10. Antenatal Care (ANC)*"),
COUNTIFS('QA Log'!D:D,A66,'QA Log'!M:M,"QQC",'QA Log'!Z:Z,"Rejected",'QA Log'!L:L,"*2. Hygiene and Sterilization*"),
COUNTIFS('QA Log'!D:D,A66,'QA Log'!M:M,"QQC",'QA Log'!Z:Z,"Rejected",'QA Log'!L:L,"*Family Planning*")))</f>
        <v/>
      </c>
      <c r="S66" s="106" t="str">
        <f t="shared" si="1"/>
        <v/>
      </c>
      <c r="T66" s="102" t="str">
        <f t="shared" si="2"/>
        <v/>
      </c>
      <c r="U66" s="102" t="str">
        <f>IF(A66="","",
SUM(
COUNTIFS('QA Log'!D:D,A66,'QA Log'!M:M,"QQC",'QA Log'!L:L,"*8. Maternity*"),
COUNTIFS('QA Log'!D:D,A66,'QA Log'!M:M,"QQC",'QA Log'!L:L,"*9. EPI and Pre-school Consultation*"),
COUNTIFS('QA Log'!D:D,A66,'QA Log'!M:M,"QQC",'QA Log'!L:L,"*10. Antenatal Care (ANC)*"),
COUNTIFS('QA Log'!D:D,A66,'QA Log'!M:M,"QQC",'QA Log'!L:L,"*2. Hygiene and Sterilization*"),
COUNTIFS('QA Log'!D:D,A66,'QA Log'!M:M,"QQC",'QA Log'!L:L,"*4. Family Planning*")
))</f>
        <v/>
      </c>
      <c r="V66" s="102" t="str">
        <f>IF(A66="","",
SUM(
COUNTIFS('QA Log'!D:D,A66,'QA Log'!M:M,"QQC",'QA Log'!Z:Z,"Approved",'QA Log'!L:L,"*8. Maternity*"),
COUNTIFS('QA Log'!D:D,A66,'QA Log'!M:M,"QQC",'QA Log'!Z:Z,"Approved",'QA Log'!L:L,"*9. EPI and Pre-school Consultation*"),
COUNTIFS('QA Log'!D:D,A66,'QA Log'!M:M,"QQC",'QA Log'!Z:Z,"Approved",'QA Log'!L:L,"*10. Antenatal Care (ANC)*"),
COUNTIFS('QA Log'!D:D,A66,'QA Log'!M:M,"QQC",'QA Log'!Z:Z,"Approved",'QA Log'!L:L,"*2. Hygiene and Sterilization*"),
COUNTIFS('QA Log'!D:D,A66,'QA Log'!M:M,"QQC",'QA Log'!Z:Z,"Approved",'QA Log'!L:L,"*4. Family Planning*")
))</f>
        <v/>
      </c>
      <c r="W66" s="105" t="str">
        <f>IF(A66&lt;&gt;"",COUNTIFS('QA Log'!D:D,A66,'QA Log'!M:M,"QQC",'QA Log'!L:L,"8. Maternity",'QA Log'!Z:Z,"Approved"),"")</f>
        <v/>
      </c>
      <c r="X66" s="105" t="str">
        <f>IF(A66&lt;&gt;"",COUNTIFS('QA Log'!D:D,A66,'QA Log'!M:M,"QQC",'QA Log'!L:L,"9. EPI and Pre-school Consultation",'QA Log'!Z:Z,"Approved"),"")</f>
        <v/>
      </c>
      <c r="Y66" s="105" t="str">
        <f>IF(A66&lt;&gt;"",COUNTIFS('QA Log'!D:D,A66,'QA Log'!M:M,"QQC",'QA Log'!L:L,"10. Antenatal Care (ANC)",'QA Log'!Z:Z,"Approved"),"")</f>
        <v/>
      </c>
      <c r="Z66" s="105" t="str">
        <f>IF(A66&lt;&gt;"",COUNTIFS('QA Log'!D:D,A66,'QA Log'!M:M,"QQC",'QA Log'!L:L,"2. Hygiene and Sterilization",'QA Log'!Z:Z,"Approved"),"")</f>
        <v/>
      </c>
      <c r="AA66" s="105" t="str">
        <f>IF(A66&lt;&gt;"",COUNTIFS('QA Log'!D:D,A66,'QA Log'!M:M,"QQC",'QA Log'!L:L,"4. Family Planning",'QA Log'!Z:Z,"Approved"),"")</f>
        <v/>
      </c>
      <c r="AB66" s="102" t="str">
        <f>IF(A66="","",
SUM(
COUNTIFS('QA Log'!D:D,A66,'QA Log'!M:M,"QQC",'QA Log'!Z:Z,"Rejected",'QA Log'!L:L,"*8. Maternity*"),
COUNTIFS('QA Log'!D:D,A66,'QA Log'!M:M,"QQC",'QA Log'!Z:Z,"Rejected",'QA Log'!L:L,"*9. EPI and Pre-school Consultation*"),
COUNTIFS('QA Log'!D:D,A66,'QA Log'!M:M,"QQC",'QA Log'!Z:Z,"Rejected",'QA Log'!L:L,"*10. Antenatal Care (ANC)*"),
COUNTIFS('QA Log'!D:D,A66,'QA Log'!M:M,"QQC",'QA Log'!Z:Z,"Rejected",'QA Log'!L:L,"*2. Hygiene and Sterilization*"),
COUNTIFS('QA Log'!D:D,A66,'QA Log'!M:M,"QQC",'QA Log'!Z:Z,"Rejected",'QA Log'!L:L,"*4. Family Planning*")
))</f>
        <v/>
      </c>
      <c r="AC66" s="102" t="str">
        <f t="shared" si="3"/>
        <v/>
      </c>
      <c r="AD66" s="103" t="str">
        <f t="shared" si="4"/>
        <v/>
      </c>
      <c r="AE66" s="102" t="str">
        <f>IF(A66="","",
SUM(
COUNTIFS('QA Log'!D:D,A66,'QA Log'!M:M,"Data Verification",'QA Log'!L:L,"*Medicine (section 2)*"),
COUNTIFS('QA Log'!D:D,A66,'QA Log'!M:M,"Data Verification",'QA Log'!L:L,"*Lab Testing Availability*"),
COUNTIFS('QA Log'!D:D,A66,'QA Log'!M:M,"Data Verification",'QA Log'!L:L,"*Other than P4P (section 6)*"),
COUNTIFS('QA Log'!D:D,A66,'QA Log'!M:M,"Data Verification",'QA Log'!L:L,"*Hospital Governance*")
))</f>
        <v/>
      </c>
      <c r="AF66" s="102" t="str">
        <f>IF(A66="","",
SUM(
COUNTIFS('QA Log'!D:D,A66,'QA Log'!M:M,"Data Verification",'QA Log'!Z:Z,"Approved",'QA Log'!L:L,"*Medicine (section 2)*"),
COUNTIFS('QA Log'!D:D,A66,'QA Log'!M:M,"Data Verification",'QA Log'!Z:Z,"Approved",'QA Log'!L:L,"*Lab Testing Availability*"),
COUNTIFS('QA Log'!D:D,A66,'QA Log'!M:M,"Data Verification",'QA Log'!Z:Z,"Approved",'QA Log'!L:L,"*Other than P4P (section 6)*"),
COUNTIFS('QA Log'!D:D,A66,'QA Log'!M:M,"Data Verification",'QA Log'!Z:Z,"Approved",'QA Log'!L:L,"*Hospital Governance*")
))</f>
        <v/>
      </c>
      <c r="AG66" s="105" t="str">
        <f>IF(A66&lt;&gt;"",COUNTIFS('QA Log'!D:D,A66,'QA Log'!M:M,"Data Verification",'QA Log'!L:L,"Medicine (section 2)",'QA Log'!Z:Z,"Approved"),"")</f>
        <v/>
      </c>
      <c r="AH66" s="105" t="str">
        <f>IF(A66&lt;&gt;"",COUNTIFS('QA Log'!D:D,A66,'QA Log'!M:M,"Data Verification",'QA Log'!L:L,"Lab Testing Availability",'QA Log'!Z:Z,"Approved"),"")</f>
        <v/>
      </c>
      <c r="AI66" s="105" t="str">
        <f>IF(A66&lt;&gt;"",COUNTIFS('QA Log'!D:D,A66,'QA Log'!M:M,"Data Verification",'QA Log'!L:L,"Other than P4P (section 6)",'QA Log'!Z:Z,"Approved"),"")</f>
        <v/>
      </c>
      <c r="AJ66" s="105" t="str">
        <f>IF(A66&lt;&gt;"",COUNTIFS('QA Log'!D:D,A66,'QA Log'!M:M,"Data Verification",'QA Log'!L:L,"Hospital Governance",'QA Log'!Z:Z,"Approved"),"")</f>
        <v/>
      </c>
      <c r="AK66" s="102" t="str">
        <f>IF(A66="","",
SUM(
COUNTIFS('QA Log'!D:D,A66,'QA Log'!M:M,"Data Verification",'QA Log'!Z:Z,"Rejected",'QA Log'!L:L,"*Medicine (section 2)*"),
COUNTIFS('QA Log'!D:D,A66,'QA Log'!M:M,"Data Verification",'QA Log'!Z:Z,"Rejected",'QA Log'!L:L,"*Lab Testing Availability*"),
COUNTIFS('QA Log'!D:D,A66,'QA Log'!M:M,"Data Verification",'QA Log'!Z:Z,"Rejected",'QA Log'!L:L,"*Other than P4P (section 6)*"),
COUNTIFS('QA Log'!D:D,A66,'QA Log'!M:M,"Data Verification",'QA Log'!Z:Z,"Rejected",'QA Log'!L:L,"*Hospital Governance*")
))</f>
        <v/>
      </c>
      <c r="AL66" s="106" t="str">
        <f t="shared" si="5"/>
        <v/>
      </c>
      <c r="AM66" s="102" t="str">
        <f t="shared" si="6"/>
        <v/>
      </c>
      <c r="AN66" s="102" t="str">
        <f>IF(A66="","",
SUM(
COUNTIFS('QA Log'!D:D,A66,'QA Log'!M:M,"Data Verification",'QA Log'!L:L,"*Personnel (section 1)*"),
COUNTIFS('QA Log'!D:D,A66,'QA Log'!M:M,"Data Verification",'QA Log'!L:L,"*Consumable (section 3)*"),
COUNTIFS('QA Log'!D:D,A66,'QA Log'!M:M,"Data Verification",'QA Log'!L:L,"*Equipments (section 4)*")
))</f>
        <v/>
      </c>
      <c r="AO66" s="102" t="str">
        <f>IF(A66="","",
SUM(
COUNTIFS('QA Log'!D:D,A66,'QA Log'!M:M,"Data Verification",'QA Log'!Z:Z,"Approved",'QA Log'!L:L,"*Personnel (section 1)*"),
COUNTIFS('QA Log'!D:D,A66,'QA Log'!M:M,"Data Verification",'QA Log'!Z:Z,"Approved",'QA Log'!L:L,"*Consumable (section 3)*"),
COUNTIFS('QA Log'!D:D,A66,'QA Log'!M:M,"Data Verification",'QA Log'!Z:Z,"Approved",'QA Log'!L:L,"*Equipments (section 4)*")
))</f>
        <v/>
      </c>
      <c r="AP66" s="105" t="str">
        <f>IF(A66&lt;&gt;"",COUNTIFS('QA Log'!D:D,A66,'QA Log'!M:M,"Data Verification",'QA Log'!L:L,"Personnel (section 1)",'QA Log'!Z:Z,"Approved"),"")</f>
        <v/>
      </c>
      <c r="AQ66" s="105" t="str">
        <f>IF(A66&lt;&gt;"",COUNTIFS('QA Log'!D:D,A66,'QA Log'!M:M,"Data Verification",'QA Log'!L:L,"Consumable (section 3)",'QA Log'!Z:Z,"Approved"),"")</f>
        <v/>
      </c>
      <c r="AR66" s="105" t="str">
        <f>IF(A66&lt;&gt;"",COUNTIFS('QA Log'!D:D,A66,'QA Log'!M:M,"Data Verification",'QA Log'!L:L,"Equipments (section 4)",'QA Log'!Z:Z,"Approved"),"")</f>
        <v/>
      </c>
      <c r="AS66" s="102" t="str">
        <f>IF(A66="","",
SUM(
COUNTIFS('QA Log'!D:D,A66,'QA Log'!M:M,"Data Verification",'QA Log'!Z:Z,"Rejected",'QA Log'!L:L,"*Personnel (section 1)*"),
COUNTIFS('QA Log'!D:D,A66,'QA Log'!M:M,"Data Verification",'QA Log'!Z:Z,"Rejected",'QA Log'!L:L,"*Consumable (section 3)*"),
COUNTIFS('QA Log'!D:D,A66,'QA Log'!M:M,"Data Verification",'QA Log'!Z:Z,"Rejected",'QA Log'!L:L,"*Equipments (section 4)*")
))</f>
        <v/>
      </c>
      <c r="AT66" s="102" t="str">
        <f t="shared" si="7"/>
        <v/>
      </c>
      <c r="AU66" s="103" t="str">
        <f t="shared" si="8"/>
        <v/>
      </c>
      <c r="AV66" s="102" t="str">
        <f>IF(A66="","",SUM(
COUNTIFS('QA Log'!D:D,A66,'QA Log'!M:M,"Vignette",'QA Log'!L:L,"*Vignette [1] Respiratory Infection: Pneumonia*"),
COUNTIFS('QA Log'!D:D,A66,'QA Log'!M:M,"Vignette",'QA Log'!L:L,"*Vignette [2]: Diarrhea with Cat B dehydration*"),
COUNTIFS('QA Log'!D:D,A66,'QA Log'!M:M,"Vignette",'QA Log'!L:L,"*Vignette [3] Growth Monitoring and Promotion*"),
COUNTIFS('QA Log'!D:D,A66,'QA Log'!M:M,"Vignette",'QA Log'!L:L,"*Vignette [4]: The management of presumptive TB patient*")
)
)</f>
        <v/>
      </c>
      <c r="AW66" s="102" t="str">
        <f>IF(
  A66="","",
  SUM(
    COUNTIFS('QA Log'!D:D,A66,'QA Log'!M:M,"Vignette",'QA Log'!Z:Z,"Approved",'QA Log'!L:L,"*Vignette [1] Respiratory Infection: Pneumonia*"),
    COUNTIFS('QA Log'!D:D,A66,'QA Log'!M:M,"Vignette",'QA Log'!Z:Z,"Approved",'QA Log'!L:L,"*Vignette [2]: Diarrhea with Cat B dehydration*"),
    COUNTIFS('QA Log'!D:D,A66,'QA Log'!M:M,"Vignette",'QA Log'!Z:Z,"Approved",'QA Log'!L:L,"*Vignette [3] Growth Monitoring and Promotion*"),
    COUNTIFS('QA Log'!D:D,A66,'QA Log'!M:M,"Vignette",'QA Log'!Z:Z,"Approved",'QA Log'!L:L,"*Vignette [4]: The management of presumptive TB patient*")
  )
)</f>
        <v/>
      </c>
      <c r="AX66" s="105" t="str">
        <f>IF(A66&lt;&gt;"",COUNTIFS('QA Log'!D:D,A66,'QA Log'!M:M,"Vignette",'QA Log'!L:L,"Vignette [1] Respiratory Infection: Pneumonia",'QA Log'!Z:Z,"Approved"),"")</f>
        <v/>
      </c>
      <c r="AY66" s="105" t="str">
        <f>IF(A66&lt;&gt;"",COUNTIFS('QA Log'!D:D,A66,'QA Log'!M:M,"Vignette",'QA Log'!L:L,"Vignette [2]: Diarrhea with Cat B dehydration",'QA Log'!Z:Z,"Approved"),"")</f>
        <v/>
      </c>
      <c r="AZ66" s="105" t="str">
        <f>IF(A66&lt;&gt;"",COUNTIFS('QA Log'!D:D,A66,'QA Log'!M:M,"Vignette",'QA Log'!L:L,"Vignette [3] Growth Monitoring and Promotion",'QA Log'!Z:Z,"Approved"),"")</f>
        <v/>
      </c>
      <c r="BA66" s="105" t="str">
        <f>IF(A66&lt;&gt;"",COUNTIFS('QA Log'!D:D,A66,'QA Log'!M:M,"Vignette",'QA Log'!L:L,"Vignette [4]: The management of presumptive TB patient",'QA Log'!Z:Z,"Approved"),"")</f>
        <v/>
      </c>
      <c r="BB66" s="102" t="str">
        <f>IF(A66="","",
  SUM(
    COUNTIFS('QA Log'!D:D,A66,'QA Log'!M:M,"Vignette",'QA Log'!Z:Z,"Rejected",'QA Log'!L:L,"*Vignette [1] Respiratory Infection: Pneumonia*"),
    COUNTIFS('QA Log'!D:D,A66,'QA Log'!M:M,"Vignette",'QA Log'!Z:Z,"Rejected",'QA Log'!L:L,"*Vignette [2]: Diarrhea with Cat B dehydration*"),
    COUNTIFS('QA Log'!D:D,A66,'QA Log'!M:M,"Vignette",'QA Log'!Z:Z,"Rejected",'QA Log'!L:L,"*Vignette [3] Growth Monitoring and Promotion*"),
    COUNTIFS('QA Log'!D:D,A66,'QA Log'!M:M,"Vignette",'QA Log'!Z:Z,"Rejected",'QA Log'!L:L,"*Vignette [4]: The management of presumptive TB patient*")
  )
)</f>
        <v/>
      </c>
      <c r="BC66" s="107" t="str">
        <f t="shared" si="9"/>
        <v/>
      </c>
      <c r="BD66" s="103" t="str">
        <f t="shared" si="10"/>
        <v/>
      </c>
      <c r="BE66" s="102" t="str">
        <f>IF(A66="","",SUM(
COUNTIFS('QA Log'!D:D,A66,'QA Log'!M:M,"Vignette",'QA Log'!L:L,"*Vignette [5] Labor*"),
COUNTIFS('QA Log'!D:D,A66,'QA Log'!M:M,"Vignette",'QA Log'!L:L,"*Vignette [6] PNC pre Discharge*"),
COUNTIFS('QA Log'!D:D,A66,'QA Log'!M:M,"Vignette",'QA Log'!L:L,"*Vignette [7] First ANC Visit*"),
COUNTIFS('QA Log'!D:D,A66,'QA Log'!M:M,"Vignette",'QA Log'!L:L,"*Vignette [8] Birth Spacing/ Family Planning :  FP Counselling*"),
COUNTIFS('QA Log'!D:D,A66,'QA Log'!M:M,"Vignette",'QA Log'!L:L,"*Vignette [9] Birth Spacing: Change FP method to Injectable*"),
COUNTIFS('QA Log'!D:D,A66,'QA Log'!M:M,"Vignette",'QA Log'!L:L,"*Vignette [10] Post Partum Haemorrhage - Atonic Uterus at Health Centre*"),
)
)</f>
        <v/>
      </c>
      <c r="BF66" s="102" t="str">
        <f>IF(A66="","",
  SUM(
    COUNTIFS('QA Log'!D:D,A66,'QA Log'!M:M,"Vignette",'QA Log'!Z:Z,"Approved",'QA Log'!L:L,"*Vignette [5] Labor*"),
    COUNTIFS('QA Log'!D:D,A66,'QA Log'!M:M,"Vignette",'QA Log'!Z:Z,"Approved",'QA Log'!L:L,"*Vignette [6] PNC pre Discharge*"),
    COUNTIFS('QA Log'!D:D,A66,'QA Log'!M:M,"Vignette",'QA Log'!Z:Z,"Approved",'QA Log'!L:L,"*Vignette [7] First ANC Visit*"),
    COUNTIFS('QA Log'!D:D,A66,'QA Log'!M:M,"Vignette",'QA Log'!Z:Z,"Approved",'QA Log'!L:L,"*Vignette [8] Birth Spacing/ Family Planning :  FP Counselling*"),
    COUNTIFS('QA Log'!D:D,A66,'QA Log'!M:M,"Vignette",'QA Log'!Z:Z,"Approved",'QA Log'!L:L,"*Vignette [9] Birth Spacing: Change FP method to Injectable*"),
    COUNTIFS('QA Log'!D:D,A66,'QA Log'!M:M,"Vignette",'QA Log'!Z:Z,"Approved",'QA Log'!L:L,"*Vignette [10] Post Partum Haemorrhage - Atonic Uterus at Health Centre*")
  )
)</f>
        <v/>
      </c>
      <c r="BG66" s="105" t="str">
        <f>IF(A66&lt;&gt;"",COUNTIFS('QA Log'!D:D,A66,'QA Log'!M:M,"Vignette",'QA Log'!L:L,"Vignette [5] Labor",'QA Log'!Z:Z,"Approved"),"")</f>
        <v/>
      </c>
      <c r="BH66" s="105" t="str">
        <f>IF(A66&lt;&gt;"",COUNTIFS('QA Log'!D:D,A66,'QA Log'!M:M,"Vignette",'QA Log'!L:L,"Vignette [6] PNC pre Discharge",'QA Log'!Z:Z,"Approved"),"")</f>
        <v/>
      </c>
      <c r="BI66" s="105" t="str">
        <f>IF(A66&lt;&gt;"",COUNTIFS('QA Log'!D:D,A66,'QA Log'!M:M,"Vignette",'QA Log'!L:L,"Vignette [7] First ANC Visit",'QA Log'!Z:Z,"Approved"),"")</f>
        <v/>
      </c>
      <c r="BJ66" s="105" t="str">
        <f>IF(A66&lt;&gt;"",COUNTIFS('QA Log'!D:D,A66,'QA Log'!M:M,"Vignette",'QA Log'!L:L,"Vignette [8] Birth Spacing/ Family Planning :  FP Counselling",'QA Log'!Z:Z,"Approved"),"")</f>
        <v/>
      </c>
      <c r="BK66" s="105" t="str">
        <f>IF(A66&lt;&gt;"",COUNTIFS('QA Log'!D:D,A66,'QA Log'!M:M,"Vignette",'QA Log'!L:L,"Vignette [9] Birth Spacing: Change FP method to Injectable",'QA Log'!Z:Z,"Approved"),"")</f>
        <v/>
      </c>
      <c r="BL66" s="105" t="str">
        <f>IF(A66&lt;&gt;"",COUNTIFS('QA Log'!D:D,A66,'QA Log'!M:M,"Vignette",'QA Log'!L:L,"Vignette [10] Post Partum Haemorrhage - Atonic Uterus at Health Centre",'QA Log'!Z:Z,"Approved"),"")</f>
        <v/>
      </c>
      <c r="BM66" s="102" t="str">
        <f>IF(A66="","",SUM(
    COUNTIFS('QA Log'!D:D,A66,'QA Log'!M:M,"Vignette",'QA Log'!Z:Z,"Rejected",'QA Log'!L:L,"*Vignette [5] Labor*"),
    COUNTIFS('QA Log'!D:D,A66,'QA Log'!M:M,"Vignette",'QA Log'!Z:Z,"Rejected",'QA Log'!L:L,"*Vignette [6] PNC pre Discharge*"),
    COUNTIFS('QA Log'!D:D,A66,'QA Log'!M:M,"Vignette",'QA Log'!Z:Z,"Rejected",'QA Log'!L:L,"*Vignette [7] First ANC Visit*"),
    COUNTIFS('QA Log'!D:D,A66,'QA Log'!M:M,"Vignette",'QA Log'!Z:Z,"Rejected",'QA Log'!L:L,"*Vignette [8] Birth Spacing/ Family Planning :  FP Counselling*"),
    COUNTIFS('QA Log'!D:D,A66,'QA Log'!M:M,"Vignette",'QA Log'!Z:Z,"Rejected",'QA Log'!L:L,"*Vignette [9] Birth Spacing: Change FP method to Injectable*"),
    COUNTIFS('QA Log'!D:D,A66,'QA Log'!M:M,"Vignette",'QA Log'!Z:Z,"Rejected",'QA Log'!L:L,"*Vignette [10] Post Partum Haemorrhage - Atonic Uterus at Health Centre*")
  )
)</f>
        <v/>
      </c>
      <c r="BN66" s="107" t="str">
        <f t="shared" si="11"/>
        <v/>
      </c>
      <c r="BO66" s="103" t="str">
        <f t="shared" si="12"/>
        <v/>
      </c>
      <c r="BP66" s="102" t="str">
        <f>IF(A66="","",SUM(
COUNTIFS('QA Log'!D:D,A66,'QA Log'!M:M,"Vignette",'QA Log'!L:L,"*Exit Interview 1*"),
COUNTIFS('QA Log'!D:D,A66,'QA Log'!M:M,"Vignette",'QA Log'!L:L,"*Exit Interview 2*"),
)
)</f>
        <v/>
      </c>
      <c r="BQ66" s="102" t="str">
        <f>IF(
  A66="","",
  SUM(
    COUNTIFS('QA Log'!D:D,A66,'QA Log'!M:M,"Vignette",'QA Log'!Z:Z,"Approved",'QA Log'!L:L,"*Exit Interview 1*"),
    COUNTIFS('QA Log'!D:D,A66,'QA Log'!M:M,"Vignette",'QA Log'!Z:Z,"Approved",'QA Log'!L:L,"*Exit Interview 2*")
  )
)</f>
        <v/>
      </c>
      <c r="BR66" s="105" t="str">
        <f>IF(A66&lt;&gt;"",COUNTIFS('QA Log'!D:D,A66,'QA Log'!M:M,"Vignette",'QA Log'!L:L,"Exit Interview 1",'QA Log'!Z:Z,"Approved"),"")</f>
        <v/>
      </c>
      <c r="BS66" s="105" t="str">
        <f>IF(A66&lt;&gt;"",COUNTIFS('QA Log'!D:D,A66,'QA Log'!M:M,"Vignette",'QA Log'!L:L,"Exit Interview 2",'QA Log'!Z:Z,"Approved"),"")</f>
        <v/>
      </c>
      <c r="BT66" s="102" t="str">
        <f>IF(
  A66="","",
  SUM(
    COUNTIFS('QA Log'!D:D,A66,'QA Log'!M:M,"Vignette",'QA Log'!Z:Z,"Rejected",'QA Log'!L:L,"*Exit Interview 1*"),
    COUNTIFS('QA Log'!D:D,A66,'QA Log'!M:M,"Vignette",'QA Log'!Z:Z,"Rejected",'QA Log'!L:L,"*Exit Interview 2*")
  )
)</f>
        <v/>
      </c>
      <c r="BU66" s="107" t="str">
        <f t="shared" si="13"/>
        <v/>
      </c>
      <c r="BV66" s="102" t="str">
        <f t="shared" si="14"/>
        <v/>
      </c>
      <c r="BW66" s="102" t="str">
        <f t="shared" si="15"/>
        <v/>
      </c>
      <c r="BX66" s="102" t="str">
        <f t="shared" si="16"/>
        <v/>
      </c>
      <c r="BY66" s="102" t="str">
        <f t="shared" si="17"/>
        <v/>
      </c>
      <c r="BZ66" s="107" t="str">
        <f t="shared" si="18"/>
        <v/>
      </c>
      <c r="CA66" s="108" t="str">
        <f t="shared" si="19"/>
        <v/>
      </c>
      <c r="CB66" s="108" t="str">
        <f t="shared" si="20"/>
        <v/>
      </c>
      <c r="CC66" s="109" t="str">
        <f t="shared" si="21"/>
        <v/>
      </c>
      <c r="CD66" s="108" t="str">
        <f t="shared" si="22"/>
        <v/>
      </c>
      <c r="CE66" s="108" t="str">
        <f t="shared" si="23"/>
        <v/>
      </c>
      <c r="CF66" s="109" t="str">
        <f t="shared" si="24"/>
        <v/>
      </c>
      <c r="CG66" s="110" t="str">
        <f t="shared" si="25"/>
        <v/>
      </c>
      <c r="CH66" s="111"/>
    </row>
    <row r="67" spans="1:86" ht="12.75">
      <c r="A67" s="101"/>
      <c r="B67" s="102" t="e">
        <f t="array" aca="1" ref="B67" ca="1">_xludf.XLOOKUP(A67,'QA Log'!D:D,'QA Log'!E:E,"")</f>
        <v>#NAME?</v>
      </c>
      <c r="C67" s="102" t="e">
        <f t="array" aca="1" ref="C67" ca="1">_xludf.XLOOKUP(A67,'QA Log'!D:D,'QA Log'!F:F,"")</f>
        <v>#NAME?</v>
      </c>
      <c r="D67" s="102" t="e">
        <f t="array" aca="1" ref="D67" ca="1">_xludf.XLOOKUP(A67,'QA Log'!D:D,'QA Log'!H:H,"")</f>
        <v>#NAME?</v>
      </c>
      <c r="E67" s="102" t="e">
        <f t="array" aca="1" ref="E67" ca="1">_xludf.XLOOKUP(A67,'QA Log'!D:D,'QA Log'!G:G,"")</f>
        <v>#NAME?</v>
      </c>
      <c r="F67" s="103"/>
      <c r="G67" s="104"/>
      <c r="H67" s="104"/>
      <c r="I67" s="103" t="str">
        <f t="shared" si="0"/>
        <v/>
      </c>
      <c r="J67" s="102" t="str">
        <f>IF(A67="","",SUM(
COUNTIFS('QA Log'!D:D,A67,'QA Log'!M:M,"QQC",'QA Log'!L:L,"*1. General Management*"),
COUNTIFS('QA Log'!D:D,A67,'QA Log'!M:M,"QQC",'QA Log'!L:L,"*3. Curative Consultation (OPD)*"),
COUNTIFS('QA Log'!D:D,A67,'QA Log'!M:M,"QQC",'QA Log'!L:L,"*5. Laboratory*"),
COUNTIFS('QA Log'!D:D,A67,'QA Log'!M:M,"QQC",'QA Log'!L:L,"*6. Essential Medicine Management*"),
COUNTIFS('QA Log'!D:D,A67,'QA Log'!M:M,"QQC",'QA Log'!L:L,"*7. Tracer Medicine*"),
COUNTIFS('QA Log'!D:D,A67,'QA Log'!M:M,"QQC",'QA Log'!L:L,"*11. Additional Questions*")))</f>
        <v/>
      </c>
      <c r="K67" s="102" t="str">
        <f>IF(A67="","",SUM(
COUNTIFS('QA Log'!D:D,A67,'QA Log'!M:M,"QQC",'QA Log'!Z:Z,"Approved",'QA Log'!L:L,"*1. General Management*"),
COUNTIFS('QA Log'!D:D,A67,'QA Log'!M:M,"QQC",'QA Log'!Z:Z,"Approved",'QA Log'!L:L,"*3. Curative Consultation (OPD)*"),
COUNTIFS('QA Log'!D:D,A67,'QA Log'!M:M,"QQC",'QA Log'!Z:Z,"Approved",'QA Log'!L:L,"*5. Laboratory*"),
COUNTIFS('QA Log'!D:D,A67,'QA Log'!M:M,"QQC",'QA Log'!Z:Z,"Approved",'QA Log'!L:L,"*6. Essential Medicine Management*"),
COUNTIFS('QA Log'!D:D,A67,'QA Log'!M:M,"QQC",'QA Log'!Z:Z,"Approved",'QA Log'!L:L,"*7. Tracer Medicine*"),
COUNTIFS('QA Log'!D:D,A67,'QA Log'!M:M,"QQC",'QA Log'!Z:Z,"Approved",'QA Log'!L:L,"*11. Additional Questions*")))</f>
        <v/>
      </c>
      <c r="L67" s="105" t="str">
        <f>IF(A67&lt;&gt;"",COUNTIFS('QA Log'!D:D,A67,'QA Log'!M:M,"QQC",'QA Log'!L:L,"1. General Management",'QA Log'!Z:Z,"Approved"),"")</f>
        <v/>
      </c>
      <c r="M67" s="105" t="str">
        <f>IF(A67&lt;&gt;"",COUNTIFS('QA Log'!D:D,A67,'QA Log'!M:M,"QQC",'QA Log'!L:L,"3. Curative Consultation (OPD)",'QA Log'!Z:Z,"Approved"),"")</f>
        <v/>
      </c>
      <c r="N67" s="105" t="str">
        <f>IF(A67&lt;&gt;"",COUNTIFS('QA Log'!D:D,A67,'QA Log'!M:M,"QQC",'QA Log'!L:L,"5. Laboratory",'QA Log'!Z:Z,"Approved"),"")</f>
        <v/>
      </c>
      <c r="O67" s="105" t="str">
        <f>IF(A67&lt;&gt;"",COUNTIFS('QA Log'!D:D,A67,'QA Log'!M:M,"QQC",'QA Log'!L:L,"6. Essential Medicine Management",'QA Log'!Z:Z,"Approved"),"")</f>
        <v/>
      </c>
      <c r="P67" s="105" t="str">
        <f>IF(A67&lt;&gt;"",COUNTIFS('QA Log'!D:D,A67,'QA Log'!M:M,"QQC",'QA Log'!L:L,"7. Tracer Medicine",'QA Log'!Z:Z,"Approved"),"")</f>
        <v/>
      </c>
      <c r="Q67" s="105" t="str">
        <f>IF(A67&lt;&gt;"",COUNTIFS('QA Log'!D:D,A67,'QA Log'!M:M,"QQC",'QA Log'!L:L,"11. Additional Questions",'QA Log'!Z:Z,"Approved"),"")</f>
        <v/>
      </c>
      <c r="R67" s="102" t="str">
        <f>IF(A67="","",SUM(
COUNTIFS('QA Log'!D:D,A67,'QA Log'!M:M,"QQC",'QA Log'!Z:Z,"Rejected",'QA Log'!L:L,"*8. Maternity*"),
COUNTIFS('QA Log'!D:D,A67,'QA Log'!M:M,"QQC",'QA Log'!Z:Z,"Rejected",'QA Log'!L:L,"*EPI*"),
COUNTIFS('QA Log'!D:D,A67,'QA Log'!M:M,"QQC",'QA Log'!Z:Z,"Rejected",'QA Log'!L:L,"*10. Antenatal Care (ANC)*"),
COUNTIFS('QA Log'!D:D,A67,'QA Log'!M:M,"QQC",'QA Log'!Z:Z,"Rejected",'QA Log'!L:L,"*2. Hygiene and Sterilization*"),
COUNTIFS('QA Log'!D:D,A67,'QA Log'!M:M,"QQC",'QA Log'!Z:Z,"Rejected",'QA Log'!L:L,"*Family Planning*")))</f>
        <v/>
      </c>
      <c r="S67" s="106" t="str">
        <f t="shared" si="1"/>
        <v/>
      </c>
      <c r="T67" s="102" t="str">
        <f t="shared" si="2"/>
        <v/>
      </c>
      <c r="U67" s="102" t="str">
        <f>IF(A67="","",
SUM(
COUNTIFS('QA Log'!D:D,A67,'QA Log'!M:M,"QQC",'QA Log'!L:L,"*8. Maternity*"),
COUNTIFS('QA Log'!D:D,A67,'QA Log'!M:M,"QQC",'QA Log'!L:L,"*9. EPI and Pre-school Consultation*"),
COUNTIFS('QA Log'!D:D,A67,'QA Log'!M:M,"QQC",'QA Log'!L:L,"*10. Antenatal Care (ANC)*"),
COUNTIFS('QA Log'!D:D,A67,'QA Log'!M:M,"QQC",'QA Log'!L:L,"*2. Hygiene and Sterilization*"),
COUNTIFS('QA Log'!D:D,A67,'QA Log'!M:M,"QQC",'QA Log'!L:L,"*4. Family Planning*")
))</f>
        <v/>
      </c>
      <c r="V67" s="102" t="str">
        <f>IF(A67="","",
SUM(
COUNTIFS('QA Log'!D:D,A67,'QA Log'!M:M,"QQC",'QA Log'!Z:Z,"Approved",'QA Log'!L:L,"*8. Maternity*"),
COUNTIFS('QA Log'!D:D,A67,'QA Log'!M:M,"QQC",'QA Log'!Z:Z,"Approved",'QA Log'!L:L,"*9. EPI and Pre-school Consultation*"),
COUNTIFS('QA Log'!D:D,A67,'QA Log'!M:M,"QQC",'QA Log'!Z:Z,"Approved",'QA Log'!L:L,"*10. Antenatal Care (ANC)*"),
COUNTIFS('QA Log'!D:D,A67,'QA Log'!M:M,"QQC",'QA Log'!Z:Z,"Approved",'QA Log'!L:L,"*2. Hygiene and Sterilization*"),
COUNTIFS('QA Log'!D:D,A67,'QA Log'!M:M,"QQC",'QA Log'!Z:Z,"Approved",'QA Log'!L:L,"*4. Family Planning*")
))</f>
        <v/>
      </c>
      <c r="W67" s="105" t="str">
        <f>IF(A67&lt;&gt;"",COUNTIFS('QA Log'!D:D,A67,'QA Log'!M:M,"QQC",'QA Log'!L:L,"8. Maternity",'QA Log'!Z:Z,"Approved"),"")</f>
        <v/>
      </c>
      <c r="X67" s="105" t="str">
        <f>IF(A67&lt;&gt;"",COUNTIFS('QA Log'!D:D,A67,'QA Log'!M:M,"QQC",'QA Log'!L:L,"9. EPI and Pre-school Consultation",'QA Log'!Z:Z,"Approved"),"")</f>
        <v/>
      </c>
      <c r="Y67" s="105" t="str">
        <f>IF(A67&lt;&gt;"",COUNTIFS('QA Log'!D:D,A67,'QA Log'!M:M,"QQC",'QA Log'!L:L,"10. Antenatal Care (ANC)",'QA Log'!Z:Z,"Approved"),"")</f>
        <v/>
      </c>
      <c r="Z67" s="105" t="str">
        <f>IF(A67&lt;&gt;"",COUNTIFS('QA Log'!D:D,A67,'QA Log'!M:M,"QQC",'QA Log'!L:L,"2. Hygiene and Sterilization",'QA Log'!Z:Z,"Approved"),"")</f>
        <v/>
      </c>
      <c r="AA67" s="105" t="str">
        <f>IF(A67&lt;&gt;"",COUNTIFS('QA Log'!D:D,A67,'QA Log'!M:M,"QQC",'QA Log'!L:L,"4. Family Planning",'QA Log'!Z:Z,"Approved"),"")</f>
        <v/>
      </c>
      <c r="AB67" s="102" t="str">
        <f>IF(A67="","",
SUM(
COUNTIFS('QA Log'!D:D,A67,'QA Log'!M:M,"QQC",'QA Log'!Z:Z,"Rejected",'QA Log'!L:L,"*8. Maternity*"),
COUNTIFS('QA Log'!D:D,A67,'QA Log'!M:M,"QQC",'QA Log'!Z:Z,"Rejected",'QA Log'!L:L,"*9. EPI and Pre-school Consultation*"),
COUNTIFS('QA Log'!D:D,A67,'QA Log'!M:M,"QQC",'QA Log'!Z:Z,"Rejected",'QA Log'!L:L,"*10. Antenatal Care (ANC)*"),
COUNTIFS('QA Log'!D:D,A67,'QA Log'!M:M,"QQC",'QA Log'!Z:Z,"Rejected",'QA Log'!L:L,"*2. Hygiene and Sterilization*"),
COUNTIFS('QA Log'!D:D,A67,'QA Log'!M:M,"QQC",'QA Log'!Z:Z,"Rejected",'QA Log'!L:L,"*4. Family Planning*")
))</f>
        <v/>
      </c>
      <c r="AC67" s="102" t="str">
        <f t="shared" si="3"/>
        <v/>
      </c>
      <c r="AD67" s="103" t="str">
        <f t="shared" si="4"/>
        <v/>
      </c>
      <c r="AE67" s="102" t="str">
        <f>IF(A67="","",
SUM(
COUNTIFS('QA Log'!D:D,A67,'QA Log'!M:M,"Data Verification",'QA Log'!L:L,"*Medicine (section 2)*"),
COUNTIFS('QA Log'!D:D,A67,'QA Log'!M:M,"Data Verification",'QA Log'!L:L,"*Lab Testing Availability*"),
COUNTIFS('QA Log'!D:D,A67,'QA Log'!M:M,"Data Verification",'QA Log'!L:L,"*Other than P4P (section 6)*"),
COUNTIFS('QA Log'!D:D,A67,'QA Log'!M:M,"Data Verification",'QA Log'!L:L,"*Hospital Governance*")
))</f>
        <v/>
      </c>
      <c r="AF67" s="102" t="str">
        <f>IF(A67="","",
SUM(
COUNTIFS('QA Log'!D:D,A67,'QA Log'!M:M,"Data Verification",'QA Log'!Z:Z,"Approved",'QA Log'!L:L,"*Medicine (section 2)*"),
COUNTIFS('QA Log'!D:D,A67,'QA Log'!M:M,"Data Verification",'QA Log'!Z:Z,"Approved",'QA Log'!L:L,"*Lab Testing Availability*"),
COUNTIFS('QA Log'!D:D,A67,'QA Log'!M:M,"Data Verification",'QA Log'!Z:Z,"Approved",'QA Log'!L:L,"*Other than P4P (section 6)*"),
COUNTIFS('QA Log'!D:D,A67,'QA Log'!M:M,"Data Verification",'QA Log'!Z:Z,"Approved",'QA Log'!L:L,"*Hospital Governance*")
))</f>
        <v/>
      </c>
      <c r="AG67" s="105" t="str">
        <f>IF(A67&lt;&gt;"",COUNTIFS('QA Log'!D:D,A67,'QA Log'!M:M,"Data Verification",'QA Log'!L:L,"Medicine (section 2)",'QA Log'!Z:Z,"Approved"),"")</f>
        <v/>
      </c>
      <c r="AH67" s="105" t="str">
        <f>IF(A67&lt;&gt;"",COUNTIFS('QA Log'!D:D,A67,'QA Log'!M:M,"Data Verification",'QA Log'!L:L,"Lab Testing Availability",'QA Log'!Z:Z,"Approved"),"")</f>
        <v/>
      </c>
      <c r="AI67" s="105" t="str">
        <f>IF(A67&lt;&gt;"",COUNTIFS('QA Log'!D:D,A67,'QA Log'!M:M,"Data Verification",'QA Log'!L:L,"Other than P4P (section 6)",'QA Log'!Z:Z,"Approved"),"")</f>
        <v/>
      </c>
      <c r="AJ67" s="105" t="str">
        <f>IF(A67&lt;&gt;"",COUNTIFS('QA Log'!D:D,A67,'QA Log'!M:M,"Data Verification",'QA Log'!L:L,"Hospital Governance",'QA Log'!Z:Z,"Approved"),"")</f>
        <v/>
      </c>
      <c r="AK67" s="102" t="str">
        <f>IF(A67="","",
SUM(
COUNTIFS('QA Log'!D:D,A67,'QA Log'!M:M,"Data Verification",'QA Log'!Z:Z,"Rejected",'QA Log'!L:L,"*Medicine (section 2)*"),
COUNTIFS('QA Log'!D:D,A67,'QA Log'!M:M,"Data Verification",'QA Log'!Z:Z,"Rejected",'QA Log'!L:L,"*Lab Testing Availability*"),
COUNTIFS('QA Log'!D:D,A67,'QA Log'!M:M,"Data Verification",'QA Log'!Z:Z,"Rejected",'QA Log'!L:L,"*Other than P4P (section 6)*"),
COUNTIFS('QA Log'!D:D,A67,'QA Log'!M:M,"Data Verification",'QA Log'!Z:Z,"Rejected",'QA Log'!L:L,"*Hospital Governance*")
))</f>
        <v/>
      </c>
      <c r="AL67" s="106" t="str">
        <f t="shared" si="5"/>
        <v/>
      </c>
      <c r="AM67" s="102" t="str">
        <f t="shared" si="6"/>
        <v/>
      </c>
      <c r="AN67" s="102" t="str">
        <f>IF(A67="","",
SUM(
COUNTIFS('QA Log'!D:D,A67,'QA Log'!M:M,"Data Verification",'QA Log'!L:L,"*Personnel (section 1)*"),
COUNTIFS('QA Log'!D:D,A67,'QA Log'!M:M,"Data Verification",'QA Log'!L:L,"*Consumable (section 3)*"),
COUNTIFS('QA Log'!D:D,A67,'QA Log'!M:M,"Data Verification",'QA Log'!L:L,"*Equipments (section 4)*")
))</f>
        <v/>
      </c>
      <c r="AO67" s="102" t="str">
        <f>IF(A67="","",
SUM(
COUNTIFS('QA Log'!D:D,A67,'QA Log'!M:M,"Data Verification",'QA Log'!Z:Z,"Approved",'QA Log'!L:L,"*Personnel (section 1)*"),
COUNTIFS('QA Log'!D:D,A67,'QA Log'!M:M,"Data Verification",'QA Log'!Z:Z,"Approved",'QA Log'!L:L,"*Consumable (section 3)*"),
COUNTIFS('QA Log'!D:D,A67,'QA Log'!M:M,"Data Verification",'QA Log'!Z:Z,"Approved",'QA Log'!L:L,"*Equipments (section 4)*")
))</f>
        <v/>
      </c>
      <c r="AP67" s="105" t="str">
        <f>IF(A67&lt;&gt;"",COUNTIFS('QA Log'!D:D,A67,'QA Log'!M:M,"Data Verification",'QA Log'!L:L,"Personnel (section 1)",'QA Log'!Z:Z,"Approved"),"")</f>
        <v/>
      </c>
      <c r="AQ67" s="105" t="str">
        <f>IF(A67&lt;&gt;"",COUNTIFS('QA Log'!D:D,A67,'QA Log'!M:M,"Data Verification",'QA Log'!L:L,"Consumable (section 3)",'QA Log'!Z:Z,"Approved"),"")</f>
        <v/>
      </c>
      <c r="AR67" s="105" t="str">
        <f>IF(A67&lt;&gt;"",COUNTIFS('QA Log'!D:D,A67,'QA Log'!M:M,"Data Verification",'QA Log'!L:L,"Equipments (section 4)",'QA Log'!Z:Z,"Approved"),"")</f>
        <v/>
      </c>
      <c r="AS67" s="102" t="str">
        <f>IF(A67="","",
SUM(
COUNTIFS('QA Log'!D:D,A67,'QA Log'!M:M,"Data Verification",'QA Log'!Z:Z,"Rejected",'QA Log'!L:L,"*Personnel (section 1)*"),
COUNTIFS('QA Log'!D:D,A67,'QA Log'!M:M,"Data Verification",'QA Log'!Z:Z,"Rejected",'QA Log'!L:L,"*Consumable (section 3)*"),
COUNTIFS('QA Log'!D:D,A67,'QA Log'!M:M,"Data Verification",'QA Log'!Z:Z,"Rejected",'QA Log'!L:L,"*Equipments (section 4)*")
))</f>
        <v/>
      </c>
      <c r="AT67" s="102" t="str">
        <f t="shared" si="7"/>
        <v/>
      </c>
      <c r="AU67" s="103" t="str">
        <f t="shared" si="8"/>
        <v/>
      </c>
      <c r="AV67" s="102" t="str">
        <f>IF(A67="","",SUM(
COUNTIFS('QA Log'!D:D,A67,'QA Log'!M:M,"Vignette",'QA Log'!L:L,"*Vignette [1] Respiratory Infection: Pneumonia*"),
COUNTIFS('QA Log'!D:D,A67,'QA Log'!M:M,"Vignette",'QA Log'!L:L,"*Vignette [2]: Diarrhea with Cat B dehydration*"),
COUNTIFS('QA Log'!D:D,A67,'QA Log'!M:M,"Vignette",'QA Log'!L:L,"*Vignette [3] Growth Monitoring and Promotion*"),
COUNTIFS('QA Log'!D:D,A67,'QA Log'!M:M,"Vignette",'QA Log'!L:L,"*Vignette [4]: The management of presumptive TB patient*")
)
)</f>
        <v/>
      </c>
      <c r="AW67" s="102" t="str">
        <f>IF(
  A67="","",
  SUM(
    COUNTIFS('QA Log'!D:D,A67,'QA Log'!M:M,"Vignette",'QA Log'!Z:Z,"Approved",'QA Log'!L:L,"*Vignette [1] Respiratory Infection: Pneumonia*"),
    COUNTIFS('QA Log'!D:D,A67,'QA Log'!M:M,"Vignette",'QA Log'!Z:Z,"Approved",'QA Log'!L:L,"*Vignette [2]: Diarrhea with Cat B dehydration*"),
    COUNTIFS('QA Log'!D:D,A67,'QA Log'!M:M,"Vignette",'QA Log'!Z:Z,"Approved",'QA Log'!L:L,"*Vignette [3] Growth Monitoring and Promotion*"),
    COUNTIFS('QA Log'!D:D,A67,'QA Log'!M:M,"Vignette",'QA Log'!Z:Z,"Approved",'QA Log'!L:L,"*Vignette [4]: The management of presumptive TB patient*")
  )
)</f>
        <v/>
      </c>
      <c r="AX67" s="105" t="str">
        <f>IF(A67&lt;&gt;"",COUNTIFS('QA Log'!D:D,A67,'QA Log'!M:M,"Vignette",'QA Log'!L:L,"Vignette [1] Respiratory Infection: Pneumonia",'QA Log'!Z:Z,"Approved"),"")</f>
        <v/>
      </c>
      <c r="AY67" s="105" t="str">
        <f>IF(A67&lt;&gt;"",COUNTIFS('QA Log'!D:D,A67,'QA Log'!M:M,"Vignette",'QA Log'!L:L,"Vignette [2]: Diarrhea with Cat B dehydration",'QA Log'!Z:Z,"Approved"),"")</f>
        <v/>
      </c>
      <c r="AZ67" s="105" t="str">
        <f>IF(A67&lt;&gt;"",COUNTIFS('QA Log'!D:D,A67,'QA Log'!M:M,"Vignette",'QA Log'!L:L,"Vignette [3] Growth Monitoring and Promotion",'QA Log'!Z:Z,"Approved"),"")</f>
        <v/>
      </c>
      <c r="BA67" s="105" t="str">
        <f>IF(A67&lt;&gt;"",COUNTIFS('QA Log'!D:D,A67,'QA Log'!M:M,"Vignette",'QA Log'!L:L,"Vignette [4]: The management of presumptive TB patient",'QA Log'!Z:Z,"Approved"),"")</f>
        <v/>
      </c>
      <c r="BB67" s="102" t="str">
        <f>IF(A67="","",
  SUM(
    COUNTIFS('QA Log'!D:D,A67,'QA Log'!M:M,"Vignette",'QA Log'!Z:Z,"Rejected",'QA Log'!L:L,"*Vignette [1] Respiratory Infection: Pneumonia*"),
    COUNTIFS('QA Log'!D:D,A67,'QA Log'!M:M,"Vignette",'QA Log'!Z:Z,"Rejected",'QA Log'!L:L,"*Vignette [2]: Diarrhea with Cat B dehydration*"),
    COUNTIFS('QA Log'!D:D,A67,'QA Log'!M:M,"Vignette",'QA Log'!Z:Z,"Rejected",'QA Log'!L:L,"*Vignette [3] Growth Monitoring and Promotion*"),
    COUNTIFS('QA Log'!D:D,A67,'QA Log'!M:M,"Vignette",'QA Log'!Z:Z,"Rejected",'QA Log'!L:L,"*Vignette [4]: The management of presumptive TB patient*")
  )
)</f>
        <v/>
      </c>
      <c r="BC67" s="107" t="str">
        <f t="shared" si="9"/>
        <v/>
      </c>
      <c r="BD67" s="103" t="str">
        <f t="shared" si="10"/>
        <v/>
      </c>
      <c r="BE67" s="102" t="str">
        <f>IF(A67="","",SUM(
COUNTIFS('QA Log'!D:D,A67,'QA Log'!M:M,"Vignette",'QA Log'!L:L,"*Vignette [5] Labor*"),
COUNTIFS('QA Log'!D:D,A67,'QA Log'!M:M,"Vignette",'QA Log'!L:L,"*Vignette [6] PNC pre Discharge*"),
COUNTIFS('QA Log'!D:D,A67,'QA Log'!M:M,"Vignette",'QA Log'!L:L,"*Vignette [7] First ANC Visit*"),
COUNTIFS('QA Log'!D:D,A67,'QA Log'!M:M,"Vignette",'QA Log'!L:L,"*Vignette [8] Birth Spacing/ Family Planning :  FP Counselling*"),
COUNTIFS('QA Log'!D:D,A67,'QA Log'!M:M,"Vignette",'QA Log'!L:L,"*Vignette [9] Birth Spacing: Change FP method to Injectable*"),
COUNTIFS('QA Log'!D:D,A67,'QA Log'!M:M,"Vignette",'QA Log'!L:L,"*Vignette [10] Post Partum Haemorrhage - Atonic Uterus at Health Centre*"),
)
)</f>
        <v/>
      </c>
      <c r="BF67" s="102" t="str">
        <f>IF(A67="","",
  SUM(
    COUNTIFS('QA Log'!D:D,A67,'QA Log'!M:M,"Vignette",'QA Log'!Z:Z,"Approved",'QA Log'!L:L,"*Vignette [5] Labor*"),
    COUNTIFS('QA Log'!D:D,A67,'QA Log'!M:M,"Vignette",'QA Log'!Z:Z,"Approved",'QA Log'!L:L,"*Vignette [6] PNC pre Discharge*"),
    COUNTIFS('QA Log'!D:D,A67,'QA Log'!M:M,"Vignette",'QA Log'!Z:Z,"Approved",'QA Log'!L:L,"*Vignette [7] First ANC Visit*"),
    COUNTIFS('QA Log'!D:D,A67,'QA Log'!M:M,"Vignette",'QA Log'!Z:Z,"Approved",'QA Log'!L:L,"*Vignette [8] Birth Spacing/ Family Planning :  FP Counselling*"),
    COUNTIFS('QA Log'!D:D,A67,'QA Log'!M:M,"Vignette",'QA Log'!Z:Z,"Approved",'QA Log'!L:L,"*Vignette [9] Birth Spacing: Change FP method to Injectable*"),
    COUNTIFS('QA Log'!D:D,A67,'QA Log'!M:M,"Vignette",'QA Log'!Z:Z,"Approved",'QA Log'!L:L,"*Vignette [10] Post Partum Haemorrhage - Atonic Uterus at Health Centre*")
  )
)</f>
        <v/>
      </c>
      <c r="BG67" s="105" t="str">
        <f>IF(A67&lt;&gt;"",COUNTIFS('QA Log'!D:D,A67,'QA Log'!M:M,"Vignette",'QA Log'!L:L,"Vignette [5] Labor",'QA Log'!Z:Z,"Approved"),"")</f>
        <v/>
      </c>
      <c r="BH67" s="105" t="str">
        <f>IF(A67&lt;&gt;"",COUNTIFS('QA Log'!D:D,A67,'QA Log'!M:M,"Vignette",'QA Log'!L:L,"Vignette [6] PNC pre Discharge",'QA Log'!Z:Z,"Approved"),"")</f>
        <v/>
      </c>
      <c r="BI67" s="105" t="str">
        <f>IF(A67&lt;&gt;"",COUNTIFS('QA Log'!D:D,A67,'QA Log'!M:M,"Vignette",'QA Log'!L:L,"Vignette [7] First ANC Visit",'QA Log'!Z:Z,"Approved"),"")</f>
        <v/>
      </c>
      <c r="BJ67" s="105" t="str">
        <f>IF(A67&lt;&gt;"",COUNTIFS('QA Log'!D:D,A67,'QA Log'!M:M,"Vignette",'QA Log'!L:L,"Vignette [8] Birth Spacing/ Family Planning :  FP Counselling",'QA Log'!Z:Z,"Approved"),"")</f>
        <v/>
      </c>
      <c r="BK67" s="105" t="str">
        <f>IF(A67&lt;&gt;"",COUNTIFS('QA Log'!D:D,A67,'QA Log'!M:M,"Vignette",'QA Log'!L:L,"Vignette [9] Birth Spacing: Change FP method to Injectable",'QA Log'!Z:Z,"Approved"),"")</f>
        <v/>
      </c>
      <c r="BL67" s="105" t="str">
        <f>IF(A67&lt;&gt;"",COUNTIFS('QA Log'!D:D,A67,'QA Log'!M:M,"Vignette",'QA Log'!L:L,"Vignette [10] Post Partum Haemorrhage - Atonic Uterus at Health Centre",'QA Log'!Z:Z,"Approved"),"")</f>
        <v/>
      </c>
      <c r="BM67" s="102" t="str">
        <f>IF(A67="","",SUM(
    COUNTIFS('QA Log'!D:D,A67,'QA Log'!M:M,"Vignette",'QA Log'!Z:Z,"Rejected",'QA Log'!L:L,"*Vignette [5] Labor*"),
    COUNTIFS('QA Log'!D:D,A67,'QA Log'!M:M,"Vignette",'QA Log'!Z:Z,"Rejected",'QA Log'!L:L,"*Vignette [6] PNC pre Discharge*"),
    COUNTIFS('QA Log'!D:D,A67,'QA Log'!M:M,"Vignette",'QA Log'!Z:Z,"Rejected",'QA Log'!L:L,"*Vignette [7] First ANC Visit*"),
    COUNTIFS('QA Log'!D:D,A67,'QA Log'!M:M,"Vignette",'QA Log'!Z:Z,"Rejected",'QA Log'!L:L,"*Vignette [8] Birth Spacing/ Family Planning :  FP Counselling*"),
    COUNTIFS('QA Log'!D:D,A67,'QA Log'!M:M,"Vignette",'QA Log'!Z:Z,"Rejected",'QA Log'!L:L,"*Vignette [9] Birth Spacing: Change FP method to Injectable*"),
    COUNTIFS('QA Log'!D:D,A67,'QA Log'!M:M,"Vignette",'QA Log'!Z:Z,"Rejected",'QA Log'!L:L,"*Vignette [10] Post Partum Haemorrhage - Atonic Uterus at Health Centre*")
  )
)</f>
        <v/>
      </c>
      <c r="BN67" s="107" t="str">
        <f t="shared" si="11"/>
        <v/>
      </c>
      <c r="BO67" s="103" t="str">
        <f t="shared" si="12"/>
        <v/>
      </c>
      <c r="BP67" s="102" t="str">
        <f>IF(A67="","",SUM(
COUNTIFS('QA Log'!D:D,A67,'QA Log'!M:M,"Vignette",'QA Log'!L:L,"*Exit Interview 1*"),
COUNTIFS('QA Log'!D:D,A67,'QA Log'!M:M,"Vignette",'QA Log'!L:L,"*Exit Interview 2*"),
)
)</f>
        <v/>
      </c>
      <c r="BQ67" s="102" t="str">
        <f>IF(
  A67="","",
  SUM(
    COUNTIFS('QA Log'!D:D,A67,'QA Log'!M:M,"Vignette",'QA Log'!Z:Z,"Approved",'QA Log'!L:L,"*Exit Interview 1*"),
    COUNTIFS('QA Log'!D:D,A67,'QA Log'!M:M,"Vignette",'QA Log'!Z:Z,"Approved",'QA Log'!L:L,"*Exit Interview 2*")
  )
)</f>
        <v/>
      </c>
      <c r="BR67" s="105" t="str">
        <f>IF(A67&lt;&gt;"",COUNTIFS('QA Log'!D:D,A67,'QA Log'!M:M,"Vignette",'QA Log'!L:L,"Exit Interview 1",'QA Log'!Z:Z,"Approved"),"")</f>
        <v/>
      </c>
      <c r="BS67" s="105" t="str">
        <f>IF(A67&lt;&gt;"",COUNTIFS('QA Log'!D:D,A67,'QA Log'!M:M,"Vignette",'QA Log'!L:L,"Exit Interview 2",'QA Log'!Z:Z,"Approved"),"")</f>
        <v/>
      </c>
      <c r="BT67" s="102" t="str">
        <f>IF(
  A67="","",
  SUM(
    COUNTIFS('QA Log'!D:D,A67,'QA Log'!M:M,"Vignette",'QA Log'!Z:Z,"Rejected",'QA Log'!L:L,"*Exit Interview 1*"),
    COUNTIFS('QA Log'!D:D,A67,'QA Log'!M:M,"Vignette",'QA Log'!Z:Z,"Rejected",'QA Log'!L:L,"*Exit Interview 2*")
  )
)</f>
        <v/>
      </c>
      <c r="BU67" s="107" t="str">
        <f t="shared" si="13"/>
        <v/>
      </c>
      <c r="BV67" s="102" t="str">
        <f t="shared" si="14"/>
        <v/>
      </c>
      <c r="BW67" s="102" t="str">
        <f t="shared" si="15"/>
        <v/>
      </c>
      <c r="BX67" s="102" t="str">
        <f t="shared" si="16"/>
        <v/>
      </c>
      <c r="BY67" s="102" t="str">
        <f t="shared" si="17"/>
        <v/>
      </c>
      <c r="BZ67" s="107" t="str">
        <f t="shared" si="18"/>
        <v/>
      </c>
      <c r="CA67" s="108" t="str">
        <f t="shared" si="19"/>
        <v/>
      </c>
      <c r="CB67" s="108" t="str">
        <f t="shared" si="20"/>
        <v/>
      </c>
      <c r="CC67" s="109" t="str">
        <f t="shared" si="21"/>
        <v/>
      </c>
      <c r="CD67" s="108" t="str">
        <f t="shared" si="22"/>
        <v/>
      </c>
      <c r="CE67" s="108" t="str">
        <f t="shared" si="23"/>
        <v/>
      </c>
      <c r="CF67" s="109" t="str">
        <f t="shared" si="24"/>
        <v/>
      </c>
      <c r="CG67" s="110" t="str">
        <f t="shared" si="25"/>
        <v/>
      </c>
      <c r="CH67" s="111"/>
    </row>
    <row r="68" spans="1:86" ht="12.75">
      <c r="A68" s="101"/>
      <c r="B68" s="102" t="e">
        <f t="array" aca="1" ref="B68" ca="1">_xludf.XLOOKUP(A68,'QA Log'!D:D,'QA Log'!E:E,"")</f>
        <v>#NAME?</v>
      </c>
      <c r="C68" s="102" t="e">
        <f t="array" aca="1" ref="C68" ca="1">_xludf.XLOOKUP(A68,'QA Log'!D:D,'QA Log'!F:F,"")</f>
        <v>#NAME?</v>
      </c>
      <c r="D68" s="102" t="e">
        <f t="array" aca="1" ref="D68" ca="1">_xludf.XLOOKUP(A68,'QA Log'!D:D,'QA Log'!H:H,"")</f>
        <v>#NAME?</v>
      </c>
      <c r="E68" s="102" t="e">
        <f t="array" aca="1" ref="E68" ca="1">_xludf.XLOOKUP(A68,'QA Log'!D:D,'QA Log'!G:G,"")</f>
        <v>#NAME?</v>
      </c>
      <c r="F68" s="103"/>
      <c r="G68" s="104"/>
      <c r="H68" s="104"/>
      <c r="I68" s="103" t="str">
        <f t="shared" si="0"/>
        <v/>
      </c>
      <c r="J68" s="102" t="str">
        <f>IF(A68="","",SUM(
COUNTIFS('QA Log'!D:D,A68,'QA Log'!M:M,"QQC",'QA Log'!L:L,"*1. General Management*"),
COUNTIFS('QA Log'!D:D,A68,'QA Log'!M:M,"QQC",'QA Log'!L:L,"*3. Curative Consultation (OPD)*"),
COUNTIFS('QA Log'!D:D,A68,'QA Log'!M:M,"QQC",'QA Log'!L:L,"*5. Laboratory*"),
COUNTIFS('QA Log'!D:D,A68,'QA Log'!M:M,"QQC",'QA Log'!L:L,"*6. Essential Medicine Management*"),
COUNTIFS('QA Log'!D:D,A68,'QA Log'!M:M,"QQC",'QA Log'!L:L,"*7. Tracer Medicine*"),
COUNTIFS('QA Log'!D:D,A68,'QA Log'!M:M,"QQC",'QA Log'!L:L,"*11. Additional Questions*")))</f>
        <v/>
      </c>
      <c r="K68" s="102" t="str">
        <f>IF(A68="","",SUM(
COUNTIFS('QA Log'!D:D,A68,'QA Log'!M:M,"QQC",'QA Log'!Z:Z,"Approved",'QA Log'!L:L,"*1. General Management*"),
COUNTIFS('QA Log'!D:D,A68,'QA Log'!M:M,"QQC",'QA Log'!Z:Z,"Approved",'QA Log'!L:L,"*3. Curative Consultation (OPD)*"),
COUNTIFS('QA Log'!D:D,A68,'QA Log'!M:M,"QQC",'QA Log'!Z:Z,"Approved",'QA Log'!L:L,"*5. Laboratory*"),
COUNTIFS('QA Log'!D:D,A68,'QA Log'!M:M,"QQC",'QA Log'!Z:Z,"Approved",'QA Log'!L:L,"*6. Essential Medicine Management*"),
COUNTIFS('QA Log'!D:D,A68,'QA Log'!M:M,"QQC",'QA Log'!Z:Z,"Approved",'QA Log'!L:L,"*7. Tracer Medicine*"),
COUNTIFS('QA Log'!D:D,A68,'QA Log'!M:M,"QQC",'QA Log'!Z:Z,"Approved",'QA Log'!L:L,"*11. Additional Questions*")))</f>
        <v/>
      </c>
      <c r="L68" s="105" t="str">
        <f>IF(A68&lt;&gt;"",COUNTIFS('QA Log'!D:D,A68,'QA Log'!M:M,"QQC",'QA Log'!L:L,"1. General Management",'QA Log'!Z:Z,"Approved"),"")</f>
        <v/>
      </c>
      <c r="M68" s="105" t="str">
        <f>IF(A68&lt;&gt;"",COUNTIFS('QA Log'!D:D,A68,'QA Log'!M:M,"QQC",'QA Log'!L:L,"3. Curative Consultation (OPD)",'QA Log'!Z:Z,"Approved"),"")</f>
        <v/>
      </c>
      <c r="N68" s="105" t="str">
        <f>IF(A68&lt;&gt;"",COUNTIFS('QA Log'!D:D,A68,'QA Log'!M:M,"QQC",'QA Log'!L:L,"5. Laboratory",'QA Log'!Z:Z,"Approved"),"")</f>
        <v/>
      </c>
      <c r="O68" s="105" t="str">
        <f>IF(A68&lt;&gt;"",COUNTIFS('QA Log'!D:D,A68,'QA Log'!M:M,"QQC",'QA Log'!L:L,"6. Essential Medicine Management",'QA Log'!Z:Z,"Approved"),"")</f>
        <v/>
      </c>
      <c r="P68" s="105" t="str">
        <f>IF(A68&lt;&gt;"",COUNTIFS('QA Log'!D:D,A68,'QA Log'!M:M,"QQC",'QA Log'!L:L,"7. Tracer Medicine",'QA Log'!Z:Z,"Approved"),"")</f>
        <v/>
      </c>
      <c r="Q68" s="105" t="str">
        <f>IF(A68&lt;&gt;"",COUNTIFS('QA Log'!D:D,A68,'QA Log'!M:M,"QQC",'QA Log'!L:L,"11. Additional Questions",'QA Log'!Z:Z,"Approved"),"")</f>
        <v/>
      </c>
      <c r="R68" s="102" t="str">
        <f>IF(A68="","",SUM(
COUNTIFS('QA Log'!D:D,A68,'QA Log'!M:M,"QQC",'QA Log'!Z:Z,"Rejected",'QA Log'!L:L,"*8. Maternity*"),
COUNTIFS('QA Log'!D:D,A68,'QA Log'!M:M,"QQC",'QA Log'!Z:Z,"Rejected",'QA Log'!L:L,"*EPI*"),
COUNTIFS('QA Log'!D:D,A68,'QA Log'!M:M,"QQC",'QA Log'!Z:Z,"Rejected",'QA Log'!L:L,"*10. Antenatal Care (ANC)*"),
COUNTIFS('QA Log'!D:D,A68,'QA Log'!M:M,"QQC",'QA Log'!Z:Z,"Rejected",'QA Log'!L:L,"*2. Hygiene and Sterilization*"),
COUNTIFS('QA Log'!D:D,A68,'QA Log'!M:M,"QQC",'QA Log'!Z:Z,"Rejected",'QA Log'!L:L,"*Family Planning*")))</f>
        <v/>
      </c>
      <c r="S68" s="106" t="str">
        <f t="shared" si="1"/>
        <v/>
      </c>
      <c r="T68" s="102" t="str">
        <f t="shared" si="2"/>
        <v/>
      </c>
      <c r="U68" s="102" t="str">
        <f>IF(A68="","",
SUM(
COUNTIFS('QA Log'!D:D,A68,'QA Log'!M:M,"QQC",'QA Log'!L:L,"*8. Maternity*"),
COUNTIFS('QA Log'!D:D,A68,'QA Log'!M:M,"QQC",'QA Log'!L:L,"*9. EPI and Pre-school Consultation*"),
COUNTIFS('QA Log'!D:D,A68,'QA Log'!M:M,"QQC",'QA Log'!L:L,"*10. Antenatal Care (ANC)*"),
COUNTIFS('QA Log'!D:D,A68,'QA Log'!M:M,"QQC",'QA Log'!L:L,"*2. Hygiene and Sterilization*"),
COUNTIFS('QA Log'!D:D,A68,'QA Log'!M:M,"QQC",'QA Log'!L:L,"*4. Family Planning*")
))</f>
        <v/>
      </c>
      <c r="V68" s="102" t="str">
        <f>IF(A68="","",
SUM(
COUNTIFS('QA Log'!D:D,A68,'QA Log'!M:M,"QQC",'QA Log'!Z:Z,"Approved",'QA Log'!L:L,"*8. Maternity*"),
COUNTIFS('QA Log'!D:D,A68,'QA Log'!M:M,"QQC",'QA Log'!Z:Z,"Approved",'QA Log'!L:L,"*9. EPI and Pre-school Consultation*"),
COUNTIFS('QA Log'!D:D,A68,'QA Log'!M:M,"QQC",'QA Log'!Z:Z,"Approved",'QA Log'!L:L,"*10. Antenatal Care (ANC)*"),
COUNTIFS('QA Log'!D:D,A68,'QA Log'!M:M,"QQC",'QA Log'!Z:Z,"Approved",'QA Log'!L:L,"*2. Hygiene and Sterilization*"),
COUNTIFS('QA Log'!D:D,A68,'QA Log'!M:M,"QQC",'QA Log'!Z:Z,"Approved",'QA Log'!L:L,"*4. Family Planning*")
))</f>
        <v/>
      </c>
      <c r="W68" s="105" t="str">
        <f>IF(A68&lt;&gt;"",COUNTIFS('QA Log'!D:D,A68,'QA Log'!M:M,"QQC",'QA Log'!L:L,"8. Maternity",'QA Log'!Z:Z,"Approved"),"")</f>
        <v/>
      </c>
      <c r="X68" s="105" t="str">
        <f>IF(A68&lt;&gt;"",COUNTIFS('QA Log'!D:D,A68,'QA Log'!M:M,"QQC",'QA Log'!L:L,"9. EPI and Pre-school Consultation",'QA Log'!Z:Z,"Approved"),"")</f>
        <v/>
      </c>
      <c r="Y68" s="105" t="str">
        <f>IF(A68&lt;&gt;"",COUNTIFS('QA Log'!D:D,A68,'QA Log'!M:M,"QQC",'QA Log'!L:L,"10. Antenatal Care (ANC)",'QA Log'!Z:Z,"Approved"),"")</f>
        <v/>
      </c>
      <c r="Z68" s="105" t="str">
        <f>IF(A68&lt;&gt;"",COUNTIFS('QA Log'!D:D,A68,'QA Log'!M:M,"QQC",'QA Log'!L:L,"2. Hygiene and Sterilization",'QA Log'!Z:Z,"Approved"),"")</f>
        <v/>
      </c>
      <c r="AA68" s="105" t="str">
        <f>IF(A68&lt;&gt;"",COUNTIFS('QA Log'!D:D,A68,'QA Log'!M:M,"QQC",'QA Log'!L:L,"4. Family Planning",'QA Log'!Z:Z,"Approved"),"")</f>
        <v/>
      </c>
      <c r="AB68" s="102" t="str">
        <f>IF(A68="","",
SUM(
COUNTIFS('QA Log'!D:D,A68,'QA Log'!M:M,"QQC",'QA Log'!Z:Z,"Rejected",'QA Log'!L:L,"*8. Maternity*"),
COUNTIFS('QA Log'!D:D,A68,'QA Log'!M:M,"QQC",'QA Log'!Z:Z,"Rejected",'QA Log'!L:L,"*9. EPI and Pre-school Consultation*"),
COUNTIFS('QA Log'!D:D,A68,'QA Log'!M:M,"QQC",'QA Log'!Z:Z,"Rejected",'QA Log'!L:L,"*10. Antenatal Care (ANC)*"),
COUNTIFS('QA Log'!D:D,A68,'QA Log'!M:M,"QQC",'QA Log'!Z:Z,"Rejected",'QA Log'!L:L,"*2. Hygiene and Sterilization*"),
COUNTIFS('QA Log'!D:D,A68,'QA Log'!M:M,"QQC",'QA Log'!Z:Z,"Rejected",'QA Log'!L:L,"*4. Family Planning*")
))</f>
        <v/>
      </c>
      <c r="AC68" s="102" t="str">
        <f t="shared" si="3"/>
        <v/>
      </c>
      <c r="AD68" s="103" t="str">
        <f t="shared" si="4"/>
        <v/>
      </c>
      <c r="AE68" s="102" t="str">
        <f>IF(A68="","",
SUM(
COUNTIFS('QA Log'!D:D,A68,'QA Log'!M:M,"Data Verification",'QA Log'!L:L,"*Medicine (section 2)*"),
COUNTIFS('QA Log'!D:D,A68,'QA Log'!M:M,"Data Verification",'QA Log'!L:L,"*Lab Testing Availability*"),
COUNTIFS('QA Log'!D:D,A68,'QA Log'!M:M,"Data Verification",'QA Log'!L:L,"*Other than P4P (section 6)*"),
COUNTIFS('QA Log'!D:D,A68,'QA Log'!M:M,"Data Verification",'QA Log'!L:L,"*Hospital Governance*")
))</f>
        <v/>
      </c>
      <c r="AF68" s="102" t="str">
        <f>IF(A68="","",
SUM(
COUNTIFS('QA Log'!D:D,A68,'QA Log'!M:M,"Data Verification",'QA Log'!Z:Z,"Approved",'QA Log'!L:L,"*Medicine (section 2)*"),
COUNTIFS('QA Log'!D:D,A68,'QA Log'!M:M,"Data Verification",'QA Log'!Z:Z,"Approved",'QA Log'!L:L,"*Lab Testing Availability*"),
COUNTIFS('QA Log'!D:D,A68,'QA Log'!M:M,"Data Verification",'QA Log'!Z:Z,"Approved",'QA Log'!L:L,"*Other than P4P (section 6)*"),
COUNTIFS('QA Log'!D:D,A68,'QA Log'!M:M,"Data Verification",'QA Log'!Z:Z,"Approved",'QA Log'!L:L,"*Hospital Governance*")
))</f>
        <v/>
      </c>
      <c r="AG68" s="105" t="str">
        <f>IF(A68&lt;&gt;"",COUNTIFS('QA Log'!D:D,A68,'QA Log'!M:M,"Data Verification",'QA Log'!L:L,"Medicine (section 2)",'QA Log'!Z:Z,"Approved"),"")</f>
        <v/>
      </c>
      <c r="AH68" s="105" t="str">
        <f>IF(A68&lt;&gt;"",COUNTIFS('QA Log'!D:D,A68,'QA Log'!M:M,"Data Verification",'QA Log'!L:L,"Lab Testing Availability",'QA Log'!Z:Z,"Approved"),"")</f>
        <v/>
      </c>
      <c r="AI68" s="105" t="str">
        <f>IF(A68&lt;&gt;"",COUNTIFS('QA Log'!D:D,A68,'QA Log'!M:M,"Data Verification",'QA Log'!L:L,"Other than P4P (section 6)",'QA Log'!Z:Z,"Approved"),"")</f>
        <v/>
      </c>
      <c r="AJ68" s="105" t="str">
        <f>IF(A68&lt;&gt;"",COUNTIFS('QA Log'!D:D,A68,'QA Log'!M:M,"Data Verification",'QA Log'!L:L,"Hospital Governance",'QA Log'!Z:Z,"Approved"),"")</f>
        <v/>
      </c>
      <c r="AK68" s="102" t="str">
        <f>IF(A68="","",
SUM(
COUNTIFS('QA Log'!D:D,A68,'QA Log'!M:M,"Data Verification",'QA Log'!Z:Z,"Rejected",'QA Log'!L:L,"*Medicine (section 2)*"),
COUNTIFS('QA Log'!D:D,A68,'QA Log'!M:M,"Data Verification",'QA Log'!Z:Z,"Rejected",'QA Log'!L:L,"*Lab Testing Availability*"),
COUNTIFS('QA Log'!D:D,A68,'QA Log'!M:M,"Data Verification",'QA Log'!Z:Z,"Rejected",'QA Log'!L:L,"*Other than P4P (section 6)*"),
COUNTIFS('QA Log'!D:D,A68,'QA Log'!M:M,"Data Verification",'QA Log'!Z:Z,"Rejected",'QA Log'!L:L,"*Hospital Governance*")
))</f>
        <v/>
      </c>
      <c r="AL68" s="106" t="str">
        <f t="shared" si="5"/>
        <v/>
      </c>
      <c r="AM68" s="102" t="str">
        <f t="shared" si="6"/>
        <v/>
      </c>
      <c r="AN68" s="102" t="str">
        <f>IF(A68="","",
SUM(
COUNTIFS('QA Log'!D:D,A68,'QA Log'!M:M,"Data Verification",'QA Log'!L:L,"*Personnel (section 1)*"),
COUNTIFS('QA Log'!D:D,A68,'QA Log'!M:M,"Data Verification",'QA Log'!L:L,"*Consumable (section 3)*"),
COUNTIFS('QA Log'!D:D,A68,'QA Log'!M:M,"Data Verification",'QA Log'!L:L,"*Equipments (section 4)*")
))</f>
        <v/>
      </c>
      <c r="AO68" s="102" t="str">
        <f>IF(A68="","",
SUM(
COUNTIFS('QA Log'!D:D,A68,'QA Log'!M:M,"Data Verification",'QA Log'!Z:Z,"Approved",'QA Log'!L:L,"*Personnel (section 1)*"),
COUNTIFS('QA Log'!D:D,A68,'QA Log'!M:M,"Data Verification",'QA Log'!Z:Z,"Approved",'QA Log'!L:L,"*Consumable (section 3)*"),
COUNTIFS('QA Log'!D:D,A68,'QA Log'!M:M,"Data Verification",'QA Log'!Z:Z,"Approved",'QA Log'!L:L,"*Equipments (section 4)*")
))</f>
        <v/>
      </c>
      <c r="AP68" s="105" t="str">
        <f>IF(A68&lt;&gt;"",COUNTIFS('QA Log'!D:D,A68,'QA Log'!M:M,"Data Verification",'QA Log'!L:L,"Personnel (section 1)",'QA Log'!Z:Z,"Approved"),"")</f>
        <v/>
      </c>
      <c r="AQ68" s="105" t="str">
        <f>IF(A68&lt;&gt;"",COUNTIFS('QA Log'!D:D,A68,'QA Log'!M:M,"Data Verification",'QA Log'!L:L,"Consumable (section 3)",'QA Log'!Z:Z,"Approved"),"")</f>
        <v/>
      </c>
      <c r="AR68" s="105" t="str">
        <f>IF(A68&lt;&gt;"",COUNTIFS('QA Log'!D:D,A68,'QA Log'!M:M,"Data Verification",'QA Log'!L:L,"Equipments (section 4)",'QA Log'!Z:Z,"Approved"),"")</f>
        <v/>
      </c>
      <c r="AS68" s="102" t="str">
        <f>IF(A68="","",
SUM(
COUNTIFS('QA Log'!D:D,A68,'QA Log'!M:M,"Data Verification",'QA Log'!Z:Z,"Rejected",'QA Log'!L:L,"*Personnel (section 1)*"),
COUNTIFS('QA Log'!D:D,A68,'QA Log'!M:M,"Data Verification",'QA Log'!Z:Z,"Rejected",'QA Log'!L:L,"*Consumable (section 3)*"),
COUNTIFS('QA Log'!D:D,A68,'QA Log'!M:M,"Data Verification",'QA Log'!Z:Z,"Rejected",'QA Log'!L:L,"*Equipments (section 4)*")
))</f>
        <v/>
      </c>
      <c r="AT68" s="102" t="str">
        <f t="shared" si="7"/>
        <v/>
      </c>
      <c r="AU68" s="103" t="str">
        <f t="shared" si="8"/>
        <v/>
      </c>
      <c r="AV68" s="102" t="str">
        <f>IF(A68="","",SUM(
COUNTIFS('QA Log'!D:D,A68,'QA Log'!M:M,"Vignette",'QA Log'!L:L,"*Vignette [1] Respiratory Infection: Pneumonia*"),
COUNTIFS('QA Log'!D:D,A68,'QA Log'!M:M,"Vignette",'QA Log'!L:L,"*Vignette [2]: Diarrhea with Cat B dehydration*"),
COUNTIFS('QA Log'!D:D,A68,'QA Log'!M:M,"Vignette",'QA Log'!L:L,"*Vignette [3] Growth Monitoring and Promotion*"),
COUNTIFS('QA Log'!D:D,A68,'QA Log'!M:M,"Vignette",'QA Log'!L:L,"*Vignette [4]: The management of presumptive TB patient*")
)
)</f>
        <v/>
      </c>
      <c r="AW68" s="102" t="str">
        <f>IF(
  A68="","",
  SUM(
    COUNTIFS('QA Log'!D:D,A68,'QA Log'!M:M,"Vignette",'QA Log'!Z:Z,"Approved",'QA Log'!L:L,"*Vignette [1] Respiratory Infection: Pneumonia*"),
    COUNTIFS('QA Log'!D:D,A68,'QA Log'!M:M,"Vignette",'QA Log'!Z:Z,"Approved",'QA Log'!L:L,"*Vignette [2]: Diarrhea with Cat B dehydration*"),
    COUNTIFS('QA Log'!D:D,A68,'QA Log'!M:M,"Vignette",'QA Log'!Z:Z,"Approved",'QA Log'!L:L,"*Vignette [3] Growth Monitoring and Promotion*"),
    COUNTIFS('QA Log'!D:D,A68,'QA Log'!M:M,"Vignette",'QA Log'!Z:Z,"Approved",'QA Log'!L:L,"*Vignette [4]: The management of presumptive TB patient*")
  )
)</f>
        <v/>
      </c>
      <c r="AX68" s="105" t="str">
        <f>IF(A68&lt;&gt;"",COUNTIFS('QA Log'!D:D,A68,'QA Log'!M:M,"Vignette",'QA Log'!L:L,"Vignette [1] Respiratory Infection: Pneumonia",'QA Log'!Z:Z,"Approved"),"")</f>
        <v/>
      </c>
      <c r="AY68" s="105" t="str">
        <f>IF(A68&lt;&gt;"",COUNTIFS('QA Log'!D:D,A68,'QA Log'!M:M,"Vignette",'QA Log'!L:L,"Vignette [2]: Diarrhea with Cat B dehydration",'QA Log'!Z:Z,"Approved"),"")</f>
        <v/>
      </c>
      <c r="AZ68" s="105" t="str">
        <f>IF(A68&lt;&gt;"",COUNTIFS('QA Log'!D:D,A68,'QA Log'!M:M,"Vignette",'QA Log'!L:L,"Vignette [3] Growth Monitoring and Promotion",'QA Log'!Z:Z,"Approved"),"")</f>
        <v/>
      </c>
      <c r="BA68" s="105" t="str">
        <f>IF(A68&lt;&gt;"",COUNTIFS('QA Log'!D:D,A68,'QA Log'!M:M,"Vignette",'QA Log'!L:L,"Vignette [4]: The management of presumptive TB patient",'QA Log'!Z:Z,"Approved"),"")</f>
        <v/>
      </c>
      <c r="BB68" s="102" t="str">
        <f>IF(A68="","",
  SUM(
    COUNTIFS('QA Log'!D:D,A68,'QA Log'!M:M,"Vignette",'QA Log'!Z:Z,"Rejected",'QA Log'!L:L,"*Vignette [1] Respiratory Infection: Pneumonia*"),
    COUNTIFS('QA Log'!D:D,A68,'QA Log'!M:M,"Vignette",'QA Log'!Z:Z,"Rejected",'QA Log'!L:L,"*Vignette [2]: Diarrhea with Cat B dehydration*"),
    COUNTIFS('QA Log'!D:D,A68,'QA Log'!M:M,"Vignette",'QA Log'!Z:Z,"Rejected",'QA Log'!L:L,"*Vignette [3] Growth Monitoring and Promotion*"),
    COUNTIFS('QA Log'!D:D,A68,'QA Log'!M:M,"Vignette",'QA Log'!Z:Z,"Rejected",'QA Log'!L:L,"*Vignette [4]: The management of presumptive TB patient*")
  )
)</f>
        <v/>
      </c>
      <c r="BC68" s="107" t="str">
        <f t="shared" si="9"/>
        <v/>
      </c>
      <c r="BD68" s="103" t="str">
        <f t="shared" si="10"/>
        <v/>
      </c>
      <c r="BE68" s="102" t="str">
        <f>IF(A68="","",SUM(
COUNTIFS('QA Log'!D:D,A68,'QA Log'!M:M,"Vignette",'QA Log'!L:L,"*Vignette [5] Labor*"),
COUNTIFS('QA Log'!D:D,A68,'QA Log'!M:M,"Vignette",'QA Log'!L:L,"*Vignette [6] PNC pre Discharge*"),
COUNTIFS('QA Log'!D:D,A68,'QA Log'!M:M,"Vignette",'QA Log'!L:L,"*Vignette [7] First ANC Visit*"),
COUNTIFS('QA Log'!D:D,A68,'QA Log'!M:M,"Vignette",'QA Log'!L:L,"*Vignette [8] Birth Spacing/ Family Planning :  FP Counselling*"),
COUNTIFS('QA Log'!D:D,A68,'QA Log'!M:M,"Vignette",'QA Log'!L:L,"*Vignette [9] Birth Spacing: Change FP method to Injectable*"),
COUNTIFS('QA Log'!D:D,A68,'QA Log'!M:M,"Vignette",'QA Log'!L:L,"*Vignette [10] Post Partum Haemorrhage - Atonic Uterus at Health Centre*"),
)
)</f>
        <v/>
      </c>
      <c r="BF68" s="102" t="str">
        <f>IF(A68="","",
  SUM(
    COUNTIFS('QA Log'!D:D,A68,'QA Log'!M:M,"Vignette",'QA Log'!Z:Z,"Approved",'QA Log'!L:L,"*Vignette [5] Labor*"),
    COUNTIFS('QA Log'!D:D,A68,'QA Log'!M:M,"Vignette",'QA Log'!Z:Z,"Approved",'QA Log'!L:L,"*Vignette [6] PNC pre Discharge*"),
    COUNTIFS('QA Log'!D:D,A68,'QA Log'!M:M,"Vignette",'QA Log'!Z:Z,"Approved",'QA Log'!L:L,"*Vignette [7] First ANC Visit*"),
    COUNTIFS('QA Log'!D:D,A68,'QA Log'!M:M,"Vignette",'QA Log'!Z:Z,"Approved",'QA Log'!L:L,"*Vignette [8] Birth Spacing/ Family Planning :  FP Counselling*"),
    COUNTIFS('QA Log'!D:D,A68,'QA Log'!M:M,"Vignette",'QA Log'!Z:Z,"Approved",'QA Log'!L:L,"*Vignette [9] Birth Spacing: Change FP method to Injectable*"),
    COUNTIFS('QA Log'!D:D,A68,'QA Log'!M:M,"Vignette",'QA Log'!Z:Z,"Approved",'QA Log'!L:L,"*Vignette [10] Post Partum Haemorrhage - Atonic Uterus at Health Centre*")
  )
)</f>
        <v/>
      </c>
      <c r="BG68" s="105" t="str">
        <f>IF(A68&lt;&gt;"",COUNTIFS('QA Log'!D:D,A68,'QA Log'!M:M,"Vignette",'QA Log'!L:L,"Vignette [5] Labor",'QA Log'!Z:Z,"Approved"),"")</f>
        <v/>
      </c>
      <c r="BH68" s="105" t="str">
        <f>IF(A68&lt;&gt;"",COUNTIFS('QA Log'!D:D,A68,'QA Log'!M:M,"Vignette",'QA Log'!L:L,"Vignette [6] PNC pre Discharge",'QA Log'!Z:Z,"Approved"),"")</f>
        <v/>
      </c>
      <c r="BI68" s="105" t="str">
        <f>IF(A68&lt;&gt;"",COUNTIFS('QA Log'!D:D,A68,'QA Log'!M:M,"Vignette",'QA Log'!L:L,"Vignette [7] First ANC Visit",'QA Log'!Z:Z,"Approved"),"")</f>
        <v/>
      </c>
      <c r="BJ68" s="105" t="str">
        <f>IF(A68&lt;&gt;"",COUNTIFS('QA Log'!D:D,A68,'QA Log'!M:M,"Vignette",'QA Log'!L:L,"Vignette [8] Birth Spacing/ Family Planning :  FP Counselling",'QA Log'!Z:Z,"Approved"),"")</f>
        <v/>
      </c>
      <c r="BK68" s="105" t="str">
        <f>IF(A68&lt;&gt;"",COUNTIFS('QA Log'!D:D,A68,'QA Log'!M:M,"Vignette",'QA Log'!L:L,"Vignette [9] Birth Spacing: Change FP method to Injectable",'QA Log'!Z:Z,"Approved"),"")</f>
        <v/>
      </c>
      <c r="BL68" s="105" t="str">
        <f>IF(A68&lt;&gt;"",COUNTIFS('QA Log'!D:D,A68,'QA Log'!M:M,"Vignette",'QA Log'!L:L,"Vignette [10] Post Partum Haemorrhage - Atonic Uterus at Health Centre",'QA Log'!Z:Z,"Approved"),"")</f>
        <v/>
      </c>
      <c r="BM68" s="102" t="str">
        <f>IF(A68="","",SUM(
    COUNTIFS('QA Log'!D:D,A68,'QA Log'!M:M,"Vignette",'QA Log'!Z:Z,"Rejected",'QA Log'!L:L,"*Vignette [5] Labor*"),
    COUNTIFS('QA Log'!D:D,A68,'QA Log'!M:M,"Vignette",'QA Log'!Z:Z,"Rejected",'QA Log'!L:L,"*Vignette [6] PNC pre Discharge*"),
    COUNTIFS('QA Log'!D:D,A68,'QA Log'!M:M,"Vignette",'QA Log'!Z:Z,"Rejected",'QA Log'!L:L,"*Vignette [7] First ANC Visit*"),
    COUNTIFS('QA Log'!D:D,A68,'QA Log'!M:M,"Vignette",'QA Log'!Z:Z,"Rejected",'QA Log'!L:L,"*Vignette [8] Birth Spacing/ Family Planning :  FP Counselling*"),
    COUNTIFS('QA Log'!D:D,A68,'QA Log'!M:M,"Vignette",'QA Log'!Z:Z,"Rejected",'QA Log'!L:L,"*Vignette [9] Birth Spacing: Change FP method to Injectable*"),
    COUNTIFS('QA Log'!D:D,A68,'QA Log'!M:M,"Vignette",'QA Log'!Z:Z,"Rejected",'QA Log'!L:L,"*Vignette [10] Post Partum Haemorrhage - Atonic Uterus at Health Centre*")
  )
)</f>
        <v/>
      </c>
      <c r="BN68" s="107" t="str">
        <f t="shared" si="11"/>
        <v/>
      </c>
      <c r="BO68" s="103" t="str">
        <f t="shared" si="12"/>
        <v/>
      </c>
      <c r="BP68" s="102" t="str">
        <f>IF(A68="","",SUM(
COUNTIFS('QA Log'!D:D,A68,'QA Log'!M:M,"Vignette",'QA Log'!L:L,"*Exit Interview 1*"),
COUNTIFS('QA Log'!D:D,A68,'QA Log'!M:M,"Vignette",'QA Log'!L:L,"*Exit Interview 2*"),
)
)</f>
        <v/>
      </c>
      <c r="BQ68" s="102" t="str">
        <f>IF(
  A68="","",
  SUM(
    COUNTIFS('QA Log'!D:D,A68,'QA Log'!M:M,"Vignette",'QA Log'!Z:Z,"Approved",'QA Log'!L:L,"*Exit Interview 1*"),
    COUNTIFS('QA Log'!D:D,A68,'QA Log'!M:M,"Vignette",'QA Log'!Z:Z,"Approved",'QA Log'!L:L,"*Exit Interview 2*")
  )
)</f>
        <v/>
      </c>
      <c r="BR68" s="105" t="str">
        <f>IF(A68&lt;&gt;"",COUNTIFS('QA Log'!D:D,A68,'QA Log'!M:M,"Vignette",'QA Log'!L:L,"Exit Interview 1",'QA Log'!Z:Z,"Approved"),"")</f>
        <v/>
      </c>
      <c r="BS68" s="105" t="str">
        <f>IF(A68&lt;&gt;"",COUNTIFS('QA Log'!D:D,A68,'QA Log'!M:M,"Vignette",'QA Log'!L:L,"Exit Interview 2",'QA Log'!Z:Z,"Approved"),"")</f>
        <v/>
      </c>
      <c r="BT68" s="102" t="str">
        <f>IF(
  A68="","",
  SUM(
    COUNTIFS('QA Log'!D:D,A68,'QA Log'!M:M,"Vignette",'QA Log'!Z:Z,"Rejected",'QA Log'!L:L,"*Exit Interview 1*"),
    COUNTIFS('QA Log'!D:D,A68,'QA Log'!M:M,"Vignette",'QA Log'!Z:Z,"Rejected",'QA Log'!L:L,"*Exit Interview 2*")
  )
)</f>
        <v/>
      </c>
      <c r="BU68" s="107" t="str">
        <f t="shared" si="13"/>
        <v/>
      </c>
      <c r="BV68" s="102" t="str">
        <f t="shared" si="14"/>
        <v/>
      </c>
      <c r="BW68" s="102" t="str">
        <f t="shared" si="15"/>
        <v/>
      </c>
      <c r="BX68" s="102" t="str">
        <f t="shared" si="16"/>
        <v/>
      </c>
      <c r="BY68" s="102" t="str">
        <f t="shared" si="17"/>
        <v/>
      </c>
      <c r="BZ68" s="107" t="str">
        <f t="shared" si="18"/>
        <v/>
      </c>
      <c r="CA68" s="108" t="str">
        <f t="shared" si="19"/>
        <v/>
      </c>
      <c r="CB68" s="108" t="str">
        <f t="shared" si="20"/>
        <v/>
      </c>
      <c r="CC68" s="109" t="str">
        <f t="shared" si="21"/>
        <v/>
      </c>
      <c r="CD68" s="108" t="str">
        <f t="shared" si="22"/>
        <v/>
      </c>
      <c r="CE68" s="108" t="str">
        <f t="shared" si="23"/>
        <v/>
      </c>
      <c r="CF68" s="109" t="str">
        <f t="shared" si="24"/>
        <v/>
      </c>
      <c r="CG68" s="110" t="str">
        <f t="shared" si="25"/>
        <v/>
      </c>
      <c r="CH68" s="111"/>
    </row>
    <row r="69" spans="1:86" ht="12.75">
      <c r="A69" s="101"/>
      <c r="B69" s="102" t="e">
        <f t="array" aca="1" ref="B69" ca="1">_xludf.XLOOKUP(A69,'QA Log'!D:D,'QA Log'!E:E,"")</f>
        <v>#NAME?</v>
      </c>
      <c r="C69" s="102" t="e">
        <f t="array" aca="1" ref="C69" ca="1">_xludf.XLOOKUP(A69,'QA Log'!D:D,'QA Log'!F:F,"")</f>
        <v>#NAME?</v>
      </c>
      <c r="D69" s="102" t="e">
        <f t="array" aca="1" ref="D69" ca="1">_xludf.XLOOKUP(A69,'QA Log'!D:D,'QA Log'!H:H,"")</f>
        <v>#NAME?</v>
      </c>
      <c r="E69" s="102" t="e">
        <f t="array" aca="1" ref="E69" ca="1">_xludf.XLOOKUP(A69,'QA Log'!D:D,'QA Log'!G:G,"")</f>
        <v>#NAME?</v>
      </c>
      <c r="F69" s="103"/>
      <c r="G69" s="104"/>
      <c r="H69" s="104"/>
      <c r="I69" s="103" t="str">
        <f t="shared" si="0"/>
        <v/>
      </c>
      <c r="J69" s="102" t="str">
        <f>IF(A69="","",SUM(
COUNTIFS('QA Log'!D:D,A69,'QA Log'!M:M,"QQC",'QA Log'!L:L,"*1. General Management*"),
COUNTIFS('QA Log'!D:D,A69,'QA Log'!M:M,"QQC",'QA Log'!L:L,"*3. Curative Consultation (OPD)*"),
COUNTIFS('QA Log'!D:D,A69,'QA Log'!M:M,"QQC",'QA Log'!L:L,"*5. Laboratory*"),
COUNTIFS('QA Log'!D:D,A69,'QA Log'!M:M,"QQC",'QA Log'!L:L,"*6. Essential Medicine Management*"),
COUNTIFS('QA Log'!D:D,A69,'QA Log'!M:M,"QQC",'QA Log'!L:L,"*7. Tracer Medicine*"),
COUNTIFS('QA Log'!D:D,A69,'QA Log'!M:M,"QQC",'QA Log'!L:L,"*11. Additional Questions*")))</f>
        <v/>
      </c>
      <c r="K69" s="102" t="str">
        <f>IF(A69="","",SUM(
COUNTIFS('QA Log'!D:D,A69,'QA Log'!M:M,"QQC",'QA Log'!Z:Z,"Approved",'QA Log'!L:L,"*1. General Management*"),
COUNTIFS('QA Log'!D:D,A69,'QA Log'!M:M,"QQC",'QA Log'!Z:Z,"Approved",'QA Log'!L:L,"*3. Curative Consultation (OPD)*"),
COUNTIFS('QA Log'!D:D,A69,'QA Log'!M:M,"QQC",'QA Log'!Z:Z,"Approved",'QA Log'!L:L,"*5. Laboratory*"),
COUNTIFS('QA Log'!D:D,A69,'QA Log'!M:M,"QQC",'QA Log'!Z:Z,"Approved",'QA Log'!L:L,"*6. Essential Medicine Management*"),
COUNTIFS('QA Log'!D:D,A69,'QA Log'!M:M,"QQC",'QA Log'!Z:Z,"Approved",'QA Log'!L:L,"*7. Tracer Medicine*"),
COUNTIFS('QA Log'!D:D,A69,'QA Log'!M:M,"QQC",'QA Log'!Z:Z,"Approved",'QA Log'!L:L,"*11. Additional Questions*")))</f>
        <v/>
      </c>
      <c r="L69" s="105" t="str">
        <f>IF(A69&lt;&gt;"",COUNTIFS('QA Log'!D:D,A69,'QA Log'!M:M,"QQC",'QA Log'!L:L,"1. General Management",'QA Log'!Z:Z,"Approved"),"")</f>
        <v/>
      </c>
      <c r="M69" s="105" t="str">
        <f>IF(A69&lt;&gt;"",COUNTIFS('QA Log'!D:D,A69,'QA Log'!M:M,"QQC",'QA Log'!L:L,"3. Curative Consultation (OPD)",'QA Log'!Z:Z,"Approved"),"")</f>
        <v/>
      </c>
      <c r="N69" s="105" t="str">
        <f>IF(A69&lt;&gt;"",COUNTIFS('QA Log'!D:D,A69,'QA Log'!M:M,"QQC",'QA Log'!L:L,"5. Laboratory",'QA Log'!Z:Z,"Approved"),"")</f>
        <v/>
      </c>
      <c r="O69" s="105" t="str">
        <f>IF(A69&lt;&gt;"",COUNTIFS('QA Log'!D:D,A69,'QA Log'!M:M,"QQC",'QA Log'!L:L,"6. Essential Medicine Management",'QA Log'!Z:Z,"Approved"),"")</f>
        <v/>
      </c>
      <c r="P69" s="105" t="str">
        <f>IF(A69&lt;&gt;"",COUNTIFS('QA Log'!D:D,A69,'QA Log'!M:M,"QQC",'QA Log'!L:L,"7. Tracer Medicine",'QA Log'!Z:Z,"Approved"),"")</f>
        <v/>
      </c>
      <c r="Q69" s="105" t="str">
        <f>IF(A69&lt;&gt;"",COUNTIFS('QA Log'!D:D,A69,'QA Log'!M:M,"QQC",'QA Log'!L:L,"11. Additional Questions",'QA Log'!Z:Z,"Approved"),"")</f>
        <v/>
      </c>
      <c r="R69" s="102" t="str">
        <f>IF(A69="","",SUM(
COUNTIFS('QA Log'!D:D,A69,'QA Log'!M:M,"QQC",'QA Log'!Z:Z,"Rejected",'QA Log'!L:L,"*8. Maternity*"),
COUNTIFS('QA Log'!D:D,A69,'QA Log'!M:M,"QQC",'QA Log'!Z:Z,"Rejected",'QA Log'!L:L,"*EPI*"),
COUNTIFS('QA Log'!D:D,A69,'QA Log'!M:M,"QQC",'QA Log'!Z:Z,"Rejected",'QA Log'!L:L,"*10. Antenatal Care (ANC)*"),
COUNTIFS('QA Log'!D:D,A69,'QA Log'!M:M,"QQC",'QA Log'!Z:Z,"Rejected",'QA Log'!L:L,"*2. Hygiene and Sterilization*"),
COUNTIFS('QA Log'!D:D,A69,'QA Log'!M:M,"QQC",'QA Log'!Z:Z,"Rejected",'QA Log'!L:L,"*Family Planning*")))</f>
        <v/>
      </c>
      <c r="S69" s="106" t="str">
        <f t="shared" si="1"/>
        <v/>
      </c>
      <c r="T69" s="102" t="str">
        <f t="shared" si="2"/>
        <v/>
      </c>
      <c r="U69" s="102" t="str">
        <f>IF(A69="","",
SUM(
COUNTIFS('QA Log'!D:D,A69,'QA Log'!M:M,"QQC",'QA Log'!L:L,"*8. Maternity*"),
COUNTIFS('QA Log'!D:D,A69,'QA Log'!M:M,"QQC",'QA Log'!L:L,"*9. EPI and Pre-school Consultation*"),
COUNTIFS('QA Log'!D:D,A69,'QA Log'!M:M,"QQC",'QA Log'!L:L,"*10. Antenatal Care (ANC)*"),
COUNTIFS('QA Log'!D:D,A69,'QA Log'!M:M,"QQC",'QA Log'!L:L,"*2. Hygiene and Sterilization*"),
COUNTIFS('QA Log'!D:D,A69,'QA Log'!M:M,"QQC",'QA Log'!L:L,"*4. Family Planning*")
))</f>
        <v/>
      </c>
      <c r="V69" s="102" t="str">
        <f>IF(A69="","",
SUM(
COUNTIFS('QA Log'!D:D,A69,'QA Log'!M:M,"QQC",'QA Log'!Z:Z,"Approved",'QA Log'!L:L,"*8. Maternity*"),
COUNTIFS('QA Log'!D:D,A69,'QA Log'!M:M,"QQC",'QA Log'!Z:Z,"Approved",'QA Log'!L:L,"*9. EPI and Pre-school Consultation*"),
COUNTIFS('QA Log'!D:D,A69,'QA Log'!M:M,"QQC",'QA Log'!Z:Z,"Approved",'QA Log'!L:L,"*10. Antenatal Care (ANC)*"),
COUNTIFS('QA Log'!D:D,A69,'QA Log'!M:M,"QQC",'QA Log'!Z:Z,"Approved",'QA Log'!L:L,"*2. Hygiene and Sterilization*"),
COUNTIFS('QA Log'!D:D,A69,'QA Log'!M:M,"QQC",'QA Log'!Z:Z,"Approved",'QA Log'!L:L,"*4. Family Planning*")
))</f>
        <v/>
      </c>
      <c r="W69" s="105" t="str">
        <f>IF(A69&lt;&gt;"",COUNTIFS('QA Log'!D:D,A69,'QA Log'!M:M,"QQC",'QA Log'!L:L,"8. Maternity",'QA Log'!Z:Z,"Approved"),"")</f>
        <v/>
      </c>
      <c r="X69" s="105" t="str">
        <f>IF(A69&lt;&gt;"",COUNTIFS('QA Log'!D:D,A69,'QA Log'!M:M,"QQC",'QA Log'!L:L,"9. EPI and Pre-school Consultation",'QA Log'!Z:Z,"Approved"),"")</f>
        <v/>
      </c>
      <c r="Y69" s="105" t="str">
        <f>IF(A69&lt;&gt;"",COUNTIFS('QA Log'!D:D,A69,'QA Log'!M:M,"QQC",'QA Log'!L:L,"10. Antenatal Care (ANC)",'QA Log'!Z:Z,"Approved"),"")</f>
        <v/>
      </c>
      <c r="Z69" s="105" t="str">
        <f>IF(A69&lt;&gt;"",COUNTIFS('QA Log'!D:D,A69,'QA Log'!M:M,"QQC",'QA Log'!L:L,"2. Hygiene and Sterilization",'QA Log'!Z:Z,"Approved"),"")</f>
        <v/>
      </c>
      <c r="AA69" s="105" t="str">
        <f>IF(A69&lt;&gt;"",COUNTIFS('QA Log'!D:D,A69,'QA Log'!M:M,"QQC",'QA Log'!L:L,"4. Family Planning",'QA Log'!Z:Z,"Approved"),"")</f>
        <v/>
      </c>
      <c r="AB69" s="102" t="str">
        <f>IF(A69="","",
SUM(
COUNTIFS('QA Log'!D:D,A69,'QA Log'!M:M,"QQC",'QA Log'!Z:Z,"Rejected",'QA Log'!L:L,"*8. Maternity*"),
COUNTIFS('QA Log'!D:D,A69,'QA Log'!M:M,"QQC",'QA Log'!Z:Z,"Rejected",'QA Log'!L:L,"*9. EPI and Pre-school Consultation*"),
COUNTIFS('QA Log'!D:D,A69,'QA Log'!M:M,"QQC",'QA Log'!Z:Z,"Rejected",'QA Log'!L:L,"*10. Antenatal Care (ANC)*"),
COUNTIFS('QA Log'!D:D,A69,'QA Log'!M:M,"QQC",'QA Log'!Z:Z,"Rejected",'QA Log'!L:L,"*2. Hygiene and Sterilization*"),
COUNTIFS('QA Log'!D:D,A69,'QA Log'!M:M,"QQC",'QA Log'!Z:Z,"Rejected",'QA Log'!L:L,"*4. Family Planning*")
))</f>
        <v/>
      </c>
      <c r="AC69" s="102" t="str">
        <f t="shared" si="3"/>
        <v/>
      </c>
      <c r="AD69" s="103" t="str">
        <f t="shared" si="4"/>
        <v/>
      </c>
      <c r="AE69" s="102" t="str">
        <f>IF(A69="","",
SUM(
COUNTIFS('QA Log'!D:D,A69,'QA Log'!M:M,"Data Verification",'QA Log'!L:L,"*Medicine (section 2)*"),
COUNTIFS('QA Log'!D:D,A69,'QA Log'!M:M,"Data Verification",'QA Log'!L:L,"*Lab Testing Availability*"),
COUNTIFS('QA Log'!D:D,A69,'QA Log'!M:M,"Data Verification",'QA Log'!L:L,"*Other than P4P (section 6)*"),
COUNTIFS('QA Log'!D:D,A69,'QA Log'!M:M,"Data Verification",'QA Log'!L:L,"*Hospital Governance*")
))</f>
        <v/>
      </c>
      <c r="AF69" s="102" t="str">
        <f>IF(A69="","",
SUM(
COUNTIFS('QA Log'!D:D,A69,'QA Log'!M:M,"Data Verification",'QA Log'!Z:Z,"Approved",'QA Log'!L:L,"*Medicine (section 2)*"),
COUNTIFS('QA Log'!D:D,A69,'QA Log'!M:M,"Data Verification",'QA Log'!Z:Z,"Approved",'QA Log'!L:L,"*Lab Testing Availability*"),
COUNTIFS('QA Log'!D:D,A69,'QA Log'!M:M,"Data Verification",'QA Log'!Z:Z,"Approved",'QA Log'!L:L,"*Other than P4P (section 6)*"),
COUNTIFS('QA Log'!D:D,A69,'QA Log'!M:M,"Data Verification",'QA Log'!Z:Z,"Approved",'QA Log'!L:L,"*Hospital Governance*")
))</f>
        <v/>
      </c>
      <c r="AG69" s="105" t="str">
        <f>IF(A69&lt;&gt;"",COUNTIFS('QA Log'!D:D,A69,'QA Log'!M:M,"Data Verification",'QA Log'!L:L,"Medicine (section 2)",'QA Log'!Z:Z,"Approved"),"")</f>
        <v/>
      </c>
      <c r="AH69" s="105" t="str">
        <f>IF(A69&lt;&gt;"",COUNTIFS('QA Log'!D:D,A69,'QA Log'!M:M,"Data Verification",'QA Log'!L:L,"Lab Testing Availability",'QA Log'!Z:Z,"Approved"),"")</f>
        <v/>
      </c>
      <c r="AI69" s="105" t="str">
        <f>IF(A69&lt;&gt;"",COUNTIFS('QA Log'!D:D,A69,'QA Log'!M:M,"Data Verification",'QA Log'!L:L,"Other than P4P (section 6)",'QA Log'!Z:Z,"Approved"),"")</f>
        <v/>
      </c>
      <c r="AJ69" s="105" t="str">
        <f>IF(A69&lt;&gt;"",COUNTIFS('QA Log'!D:D,A69,'QA Log'!M:M,"Data Verification",'QA Log'!L:L,"Hospital Governance",'QA Log'!Z:Z,"Approved"),"")</f>
        <v/>
      </c>
      <c r="AK69" s="102" t="str">
        <f>IF(A69="","",
SUM(
COUNTIFS('QA Log'!D:D,A69,'QA Log'!M:M,"Data Verification",'QA Log'!Z:Z,"Rejected",'QA Log'!L:L,"*Medicine (section 2)*"),
COUNTIFS('QA Log'!D:D,A69,'QA Log'!M:M,"Data Verification",'QA Log'!Z:Z,"Rejected",'QA Log'!L:L,"*Lab Testing Availability*"),
COUNTIFS('QA Log'!D:D,A69,'QA Log'!M:M,"Data Verification",'QA Log'!Z:Z,"Rejected",'QA Log'!L:L,"*Other than P4P (section 6)*"),
COUNTIFS('QA Log'!D:D,A69,'QA Log'!M:M,"Data Verification",'QA Log'!Z:Z,"Rejected",'QA Log'!L:L,"*Hospital Governance*")
))</f>
        <v/>
      </c>
      <c r="AL69" s="106" t="str">
        <f t="shared" si="5"/>
        <v/>
      </c>
      <c r="AM69" s="102" t="str">
        <f t="shared" si="6"/>
        <v/>
      </c>
      <c r="AN69" s="102" t="str">
        <f>IF(A69="","",
SUM(
COUNTIFS('QA Log'!D:D,A69,'QA Log'!M:M,"Data Verification",'QA Log'!L:L,"*Personnel (section 1)*"),
COUNTIFS('QA Log'!D:D,A69,'QA Log'!M:M,"Data Verification",'QA Log'!L:L,"*Consumable (section 3)*"),
COUNTIFS('QA Log'!D:D,A69,'QA Log'!M:M,"Data Verification",'QA Log'!L:L,"*Equipments (section 4)*")
))</f>
        <v/>
      </c>
      <c r="AO69" s="102" t="str">
        <f>IF(A69="","",
SUM(
COUNTIFS('QA Log'!D:D,A69,'QA Log'!M:M,"Data Verification",'QA Log'!Z:Z,"Approved",'QA Log'!L:L,"*Personnel (section 1)*"),
COUNTIFS('QA Log'!D:D,A69,'QA Log'!M:M,"Data Verification",'QA Log'!Z:Z,"Approved",'QA Log'!L:L,"*Consumable (section 3)*"),
COUNTIFS('QA Log'!D:D,A69,'QA Log'!M:M,"Data Verification",'QA Log'!Z:Z,"Approved",'QA Log'!L:L,"*Equipments (section 4)*")
))</f>
        <v/>
      </c>
      <c r="AP69" s="105" t="str">
        <f>IF(A69&lt;&gt;"",COUNTIFS('QA Log'!D:D,A69,'QA Log'!M:M,"Data Verification",'QA Log'!L:L,"Personnel (section 1)",'QA Log'!Z:Z,"Approved"),"")</f>
        <v/>
      </c>
      <c r="AQ69" s="105" t="str">
        <f>IF(A69&lt;&gt;"",COUNTIFS('QA Log'!D:D,A69,'QA Log'!M:M,"Data Verification",'QA Log'!L:L,"Consumable (section 3)",'QA Log'!Z:Z,"Approved"),"")</f>
        <v/>
      </c>
      <c r="AR69" s="105" t="str">
        <f>IF(A69&lt;&gt;"",COUNTIFS('QA Log'!D:D,A69,'QA Log'!M:M,"Data Verification",'QA Log'!L:L,"Equipments (section 4)",'QA Log'!Z:Z,"Approved"),"")</f>
        <v/>
      </c>
      <c r="AS69" s="102" t="str">
        <f>IF(A69="","",
SUM(
COUNTIFS('QA Log'!D:D,A69,'QA Log'!M:M,"Data Verification",'QA Log'!Z:Z,"Rejected",'QA Log'!L:L,"*Personnel (section 1)*"),
COUNTIFS('QA Log'!D:D,A69,'QA Log'!M:M,"Data Verification",'QA Log'!Z:Z,"Rejected",'QA Log'!L:L,"*Consumable (section 3)*"),
COUNTIFS('QA Log'!D:D,A69,'QA Log'!M:M,"Data Verification",'QA Log'!Z:Z,"Rejected",'QA Log'!L:L,"*Equipments (section 4)*")
))</f>
        <v/>
      </c>
      <c r="AT69" s="102" t="str">
        <f t="shared" si="7"/>
        <v/>
      </c>
      <c r="AU69" s="103" t="str">
        <f t="shared" si="8"/>
        <v/>
      </c>
      <c r="AV69" s="102" t="str">
        <f>IF(A69="","",SUM(
COUNTIFS('QA Log'!D:D,A69,'QA Log'!M:M,"Vignette",'QA Log'!L:L,"*Vignette [1] Respiratory Infection: Pneumonia*"),
COUNTIFS('QA Log'!D:D,A69,'QA Log'!M:M,"Vignette",'QA Log'!L:L,"*Vignette [2]: Diarrhea with Cat B dehydration*"),
COUNTIFS('QA Log'!D:D,A69,'QA Log'!M:M,"Vignette",'QA Log'!L:L,"*Vignette [3] Growth Monitoring and Promotion*"),
COUNTIFS('QA Log'!D:D,A69,'QA Log'!M:M,"Vignette",'QA Log'!L:L,"*Vignette [4]: The management of presumptive TB patient*")
)
)</f>
        <v/>
      </c>
      <c r="AW69" s="102" t="str">
        <f>IF(
  A69="","",
  SUM(
    COUNTIFS('QA Log'!D:D,A69,'QA Log'!M:M,"Vignette",'QA Log'!Z:Z,"Approved",'QA Log'!L:L,"*Vignette [1] Respiratory Infection: Pneumonia*"),
    COUNTIFS('QA Log'!D:D,A69,'QA Log'!M:M,"Vignette",'QA Log'!Z:Z,"Approved",'QA Log'!L:L,"*Vignette [2]: Diarrhea with Cat B dehydration*"),
    COUNTIFS('QA Log'!D:D,A69,'QA Log'!M:M,"Vignette",'QA Log'!Z:Z,"Approved",'QA Log'!L:L,"*Vignette [3] Growth Monitoring and Promotion*"),
    COUNTIFS('QA Log'!D:D,A69,'QA Log'!M:M,"Vignette",'QA Log'!Z:Z,"Approved",'QA Log'!L:L,"*Vignette [4]: The management of presumptive TB patient*")
  )
)</f>
        <v/>
      </c>
      <c r="AX69" s="105" t="str">
        <f>IF(A69&lt;&gt;"",COUNTIFS('QA Log'!D:D,A69,'QA Log'!M:M,"Vignette",'QA Log'!L:L,"Vignette [1] Respiratory Infection: Pneumonia",'QA Log'!Z:Z,"Approved"),"")</f>
        <v/>
      </c>
      <c r="AY69" s="105" t="str">
        <f>IF(A69&lt;&gt;"",COUNTIFS('QA Log'!D:D,A69,'QA Log'!M:M,"Vignette",'QA Log'!L:L,"Vignette [2]: Diarrhea with Cat B dehydration",'QA Log'!Z:Z,"Approved"),"")</f>
        <v/>
      </c>
      <c r="AZ69" s="105" t="str">
        <f>IF(A69&lt;&gt;"",COUNTIFS('QA Log'!D:D,A69,'QA Log'!M:M,"Vignette",'QA Log'!L:L,"Vignette [3] Growth Monitoring and Promotion",'QA Log'!Z:Z,"Approved"),"")</f>
        <v/>
      </c>
      <c r="BA69" s="105" t="str">
        <f>IF(A69&lt;&gt;"",COUNTIFS('QA Log'!D:D,A69,'QA Log'!M:M,"Vignette",'QA Log'!L:L,"Vignette [4]: The management of presumptive TB patient",'QA Log'!Z:Z,"Approved"),"")</f>
        <v/>
      </c>
      <c r="BB69" s="102" t="str">
        <f>IF(A69="","",
  SUM(
    COUNTIFS('QA Log'!D:D,A69,'QA Log'!M:M,"Vignette",'QA Log'!Z:Z,"Rejected",'QA Log'!L:L,"*Vignette [1] Respiratory Infection: Pneumonia*"),
    COUNTIFS('QA Log'!D:D,A69,'QA Log'!M:M,"Vignette",'QA Log'!Z:Z,"Rejected",'QA Log'!L:L,"*Vignette [2]: Diarrhea with Cat B dehydration*"),
    COUNTIFS('QA Log'!D:D,A69,'QA Log'!M:M,"Vignette",'QA Log'!Z:Z,"Rejected",'QA Log'!L:L,"*Vignette [3] Growth Monitoring and Promotion*"),
    COUNTIFS('QA Log'!D:D,A69,'QA Log'!M:M,"Vignette",'QA Log'!Z:Z,"Rejected",'QA Log'!L:L,"*Vignette [4]: The management of presumptive TB patient*")
  )
)</f>
        <v/>
      </c>
      <c r="BC69" s="107" t="str">
        <f t="shared" si="9"/>
        <v/>
      </c>
      <c r="BD69" s="103" t="str">
        <f t="shared" si="10"/>
        <v/>
      </c>
      <c r="BE69" s="102" t="str">
        <f>IF(A69="","",SUM(
COUNTIFS('QA Log'!D:D,A69,'QA Log'!M:M,"Vignette",'QA Log'!L:L,"*Vignette [5] Labor*"),
COUNTIFS('QA Log'!D:D,A69,'QA Log'!M:M,"Vignette",'QA Log'!L:L,"*Vignette [6] PNC pre Discharge*"),
COUNTIFS('QA Log'!D:D,A69,'QA Log'!M:M,"Vignette",'QA Log'!L:L,"*Vignette [7] First ANC Visit*"),
COUNTIFS('QA Log'!D:D,A69,'QA Log'!M:M,"Vignette",'QA Log'!L:L,"*Vignette [8] Birth Spacing/ Family Planning :  FP Counselling*"),
COUNTIFS('QA Log'!D:D,A69,'QA Log'!M:M,"Vignette",'QA Log'!L:L,"*Vignette [9] Birth Spacing: Change FP method to Injectable*"),
COUNTIFS('QA Log'!D:D,A69,'QA Log'!M:M,"Vignette",'QA Log'!L:L,"*Vignette [10] Post Partum Haemorrhage - Atonic Uterus at Health Centre*"),
)
)</f>
        <v/>
      </c>
      <c r="BF69" s="102" t="str">
        <f>IF(A69="","",
  SUM(
    COUNTIFS('QA Log'!D:D,A69,'QA Log'!M:M,"Vignette",'QA Log'!Z:Z,"Approved",'QA Log'!L:L,"*Vignette [5] Labor*"),
    COUNTIFS('QA Log'!D:D,A69,'QA Log'!M:M,"Vignette",'QA Log'!Z:Z,"Approved",'QA Log'!L:L,"*Vignette [6] PNC pre Discharge*"),
    COUNTIFS('QA Log'!D:D,A69,'QA Log'!M:M,"Vignette",'QA Log'!Z:Z,"Approved",'QA Log'!L:L,"*Vignette [7] First ANC Visit*"),
    COUNTIFS('QA Log'!D:D,A69,'QA Log'!M:M,"Vignette",'QA Log'!Z:Z,"Approved",'QA Log'!L:L,"*Vignette [8] Birth Spacing/ Family Planning :  FP Counselling*"),
    COUNTIFS('QA Log'!D:D,A69,'QA Log'!M:M,"Vignette",'QA Log'!Z:Z,"Approved",'QA Log'!L:L,"*Vignette [9] Birth Spacing: Change FP method to Injectable*"),
    COUNTIFS('QA Log'!D:D,A69,'QA Log'!M:M,"Vignette",'QA Log'!Z:Z,"Approved",'QA Log'!L:L,"*Vignette [10] Post Partum Haemorrhage - Atonic Uterus at Health Centre*")
  )
)</f>
        <v/>
      </c>
      <c r="BG69" s="105" t="str">
        <f>IF(A69&lt;&gt;"",COUNTIFS('QA Log'!D:D,A69,'QA Log'!M:M,"Vignette",'QA Log'!L:L,"Vignette [5] Labor",'QA Log'!Z:Z,"Approved"),"")</f>
        <v/>
      </c>
      <c r="BH69" s="105" t="str">
        <f>IF(A69&lt;&gt;"",COUNTIFS('QA Log'!D:D,A69,'QA Log'!M:M,"Vignette",'QA Log'!L:L,"Vignette [6] PNC pre Discharge",'QA Log'!Z:Z,"Approved"),"")</f>
        <v/>
      </c>
      <c r="BI69" s="105" t="str">
        <f>IF(A69&lt;&gt;"",COUNTIFS('QA Log'!D:D,A69,'QA Log'!M:M,"Vignette",'QA Log'!L:L,"Vignette [7] First ANC Visit",'QA Log'!Z:Z,"Approved"),"")</f>
        <v/>
      </c>
      <c r="BJ69" s="105" t="str">
        <f>IF(A69&lt;&gt;"",COUNTIFS('QA Log'!D:D,A69,'QA Log'!M:M,"Vignette",'QA Log'!L:L,"Vignette [8] Birth Spacing/ Family Planning :  FP Counselling",'QA Log'!Z:Z,"Approved"),"")</f>
        <v/>
      </c>
      <c r="BK69" s="105" t="str">
        <f>IF(A69&lt;&gt;"",COUNTIFS('QA Log'!D:D,A69,'QA Log'!M:M,"Vignette",'QA Log'!L:L,"Vignette [9] Birth Spacing: Change FP method to Injectable",'QA Log'!Z:Z,"Approved"),"")</f>
        <v/>
      </c>
      <c r="BL69" s="105" t="str">
        <f>IF(A69&lt;&gt;"",COUNTIFS('QA Log'!D:D,A69,'QA Log'!M:M,"Vignette",'QA Log'!L:L,"Vignette [10] Post Partum Haemorrhage - Atonic Uterus at Health Centre",'QA Log'!Z:Z,"Approved"),"")</f>
        <v/>
      </c>
      <c r="BM69" s="102" t="str">
        <f>IF(A69="","",SUM(
    COUNTIFS('QA Log'!D:D,A69,'QA Log'!M:M,"Vignette",'QA Log'!Z:Z,"Rejected",'QA Log'!L:L,"*Vignette [5] Labor*"),
    COUNTIFS('QA Log'!D:D,A69,'QA Log'!M:M,"Vignette",'QA Log'!Z:Z,"Rejected",'QA Log'!L:L,"*Vignette [6] PNC pre Discharge*"),
    COUNTIFS('QA Log'!D:D,A69,'QA Log'!M:M,"Vignette",'QA Log'!Z:Z,"Rejected",'QA Log'!L:L,"*Vignette [7] First ANC Visit*"),
    COUNTIFS('QA Log'!D:D,A69,'QA Log'!M:M,"Vignette",'QA Log'!Z:Z,"Rejected",'QA Log'!L:L,"*Vignette [8] Birth Spacing/ Family Planning :  FP Counselling*"),
    COUNTIFS('QA Log'!D:D,A69,'QA Log'!M:M,"Vignette",'QA Log'!Z:Z,"Rejected",'QA Log'!L:L,"*Vignette [9] Birth Spacing: Change FP method to Injectable*"),
    COUNTIFS('QA Log'!D:D,A69,'QA Log'!M:M,"Vignette",'QA Log'!Z:Z,"Rejected",'QA Log'!L:L,"*Vignette [10] Post Partum Haemorrhage - Atonic Uterus at Health Centre*")
  )
)</f>
        <v/>
      </c>
      <c r="BN69" s="107" t="str">
        <f t="shared" si="11"/>
        <v/>
      </c>
      <c r="BO69" s="103" t="str">
        <f t="shared" si="12"/>
        <v/>
      </c>
      <c r="BP69" s="102" t="str">
        <f>IF(A69="","",SUM(
COUNTIFS('QA Log'!D:D,A69,'QA Log'!M:M,"Vignette",'QA Log'!L:L,"*Exit Interview 1*"),
COUNTIFS('QA Log'!D:D,A69,'QA Log'!M:M,"Vignette",'QA Log'!L:L,"*Exit Interview 2*"),
)
)</f>
        <v/>
      </c>
      <c r="BQ69" s="102" t="str">
        <f>IF(
  A69="","",
  SUM(
    COUNTIFS('QA Log'!D:D,A69,'QA Log'!M:M,"Vignette",'QA Log'!Z:Z,"Approved",'QA Log'!L:L,"*Exit Interview 1*"),
    COUNTIFS('QA Log'!D:D,A69,'QA Log'!M:M,"Vignette",'QA Log'!Z:Z,"Approved",'QA Log'!L:L,"*Exit Interview 2*")
  )
)</f>
        <v/>
      </c>
      <c r="BR69" s="105" t="str">
        <f>IF(A69&lt;&gt;"",COUNTIFS('QA Log'!D:D,A69,'QA Log'!M:M,"Vignette",'QA Log'!L:L,"Exit Interview 1",'QA Log'!Z:Z,"Approved"),"")</f>
        <v/>
      </c>
      <c r="BS69" s="105" t="str">
        <f>IF(A69&lt;&gt;"",COUNTIFS('QA Log'!D:D,A69,'QA Log'!M:M,"Vignette",'QA Log'!L:L,"Exit Interview 2",'QA Log'!Z:Z,"Approved"),"")</f>
        <v/>
      </c>
      <c r="BT69" s="102" t="str">
        <f>IF(
  A69="","",
  SUM(
    COUNTIFS('QA Log'!D:D,A69,'QA Log'!M:M,"Vignette",'QA Log'!Z:Z,"Rejected",'QA Log'!L:L,"*Exit Interview 1*"),
    COUNTIFS('QA Log'!D:D,A69,'QA Log'!M:M,"Vignette",'QA Log'!Z:Z,"Rejected",'QA Log'!L:L,"*Exit Interview 2*")
  )
)</f>
        <v/>
      </c>
      <c r="BU69" s="107" t="str">
        <f t="shared" si="13"/>
        <v/>
      </c>
      <c r="BV69" s="102" t="str">
        <f t="shared" si="14"/>
        <v/>
      </c>
      <c r="BW69" s="102" t="str">
        <f t="shared" si="15"/>
        <v/>
      </c>
      <c r="BX69" s="102" t="str">
        <f t="shared" si="16"/>
        <v/>
      </c>
      <c r="BY69" s="102" t="str">
        <f t="shared" si="17"/>
        <v/>
      </c>
      <c r="BZ69" s="107" t="str">
        <f t="shared" si="18"/>
        <v/>
      </c>
      <c r="CA69" s="108" t="str">
        <f t="shared" si="19"/>
        <v/>
      </c>
      <c r="CB69" s="108" t="str">
        <f t="shared" si="20"/>
        <v/>
      </c>
      <c r="CC69" s="109" t="str">
        <f t="shared" si="21"/>
        <v/>
      </c>
      <c r="CD69" s="108" t="str">
        <f t="shared" si="22"/>
        <v/>
      </c>
      <c r="CE69" s="108" t="str">
        <f t="shared" si="23"/>
        <v/>
      </c>
      <c r="CF69" s="109" t="str">
        <f t="shared" si="24"/>
        <v/>
      </c>
      <c r="CG69" s="110" t="str">
        <f t="shared" si="25"/>
        <v/>
      </c>
      <c r="CH69" s="111"/>
    </row>
    <row r="70" spans="1:86" ht="12.75">
      <c r="A70" s="101"/>
      <c r="B70" s="102" t="e">
        <f t="array" aca="1" ref="B70" ca="1">_xludf.XLOOKUP(A70,'QA Log'!D:D,'QA Log'!E:E,"")</f>
        <v>#NAME?</v>
      </c>
      <c r="C70" s="102" t="e">
        <f t="array" aca="1" ref="C70" ca="1">_xludf.XLOOKUP(A70,'QA Log'!D:D,'QA Log'!F:F,"")</f>
        <v>#NAME?</v>
      </c>
      <c r="D70" s="102" t="e">
        <f t="array" aca="1" ref="D70" ca="1">_xludf.XLOOKUP(A70,'QA Log'!D:D,'QA Log'!H:H,"")</f>
        <v>#NAME?</v>
      </c>
      <c r="E70" s="102" t="e">
        <f t="array" aca="1" ref="E70" ca="1">_xludf.XLOOKUP(A70,'QA Log'!D:D,'QA Log'!G:G,"")</f>
        <v>#NAME?</v>
      </c>
      <c r="F70" s="103"/>
      <c r="G70" s="104"/>
      <c r="H70" s="104"/>
      <c r="I70" s="103" t="str">
        <f t="shared" si="0"/>
        <v/>
      </c>
      <c r="J70" s="102" t="str">
        <f>IF(A70="","",SUM(
COUNTIFS('QA Log'!D:D,A70,'QA Log'!M:M,"QQC",'QA Log'!L:L,"*1. General Management*"),
COUNTIFS('QA Log'!D:D,A70,'QA Log'!M:M,"QQC",'QA Log'!L:L,"*3. Curative Consultation (OPD)*"),
COUNTIFS('QA Log'!D:D,A70,'QA Log'!M:M,"QQC",'QA Log'!L:L,"*5. Laboratory*"),
COUNTIFS('QA Log'!D:D,A70,'QA Log'!M:M,"QQC",'QA Log'!L:L,"*6. Essential Medicine Management*"),
COUNTIFS('QA Log'!D:D,A70,'QA Log'!M:M,"QQC",'QA Log'!L:L,"*7. Tracer Medicine*"),
COUNTIFS('QA Log'!D:D,A70,'QA Log'!M:M,"QQC",'QA Log'!L:L,"*11. Additional Questions*")))</f>
        <v/>
      </c>
      <c r="K70" s="102" t="str">
        <f>IF(A70="","",SUM(
COUNTIFS('QA Log'!D:D,A70,'QA Log'!M:M,"QQC",'QA Log'!Z:Z,"Approved",'QA Log'!L:L,"*1. General Management*"),
COUNTIFS('QA Log'!D:D,A70,'QA Log'!M:M,"QQC",'QA Log'!Z:Z,"Approved",'QA Log'!L:L,"*3. Curative Consultation (OPD)*"),
COUNTIFS('QA Log'!D:D,A70,'QA Log'!M:M,"QQC",'QA Log'!Z:Z,"Approved",'QA Log'!L:L,"*5. Laboratory*"),
COUNTIFS('QA Log'!D:D,A70,'QA Log'!M:M,"QQC",'QA Log'!Z:Z,"Approved",'QA Log'!L:L,"*6. Essential Medicine Management*"),
COUNTIFS('QA Log'!D:D,A70,'QA Log'!M:M,"QQC",'QA Log'!Z:Z,"Approved",'QA Log'!L:L,"*7. Tracer Medicine*"),
COUNTIFS('QA Log'!D:D,A70,'QA Log'!M:M,"QQC",'QA Log'!Z:Z,"Approved",'QA Log'!L:L,"*11. Additional Questions*")))</f>
        <v/>
      </c>
      <c r="L70" s="105" t="str">
        <f>IF(A70&lt;&gt;"",COUNTIFS('QA Log'!D:D,A70,'QA Log'!M:M,"QQC",'QA Log'!L:L,"1. General Management",'QA Log'!Z:Z,"Approved"),"")</f>
        <v/>
      </c>
      <c r="M70" s="105" t="str">
        <f>IF(A70&lt;&gt;"",COUNTIFS('QA Log'!D:D,A70,'QA Log'!M:M,"QQC",'QA Log'!L:L,"3. Curative Consultation (OPD)",'QA Log'!Z:Z,"Approved"),"")</f>
        <v/>
      </c>
      <c r="N70" s="105" t="str">
        <f>IF(A70&lt;&gt;"",COUNTIFS('QA Log'!D:D,A70,'QA Log'!M:M,"QQC",'QA Log'!L:L,"5. Laboratory",'QA Log'!Z:Z,"Approved"),"")</f>
        <v/>
      </c>
      <c r="O70" s="105" t="str">
        <f>IF(A70&lt;&gt;"",COUNTIFS('QA Log'!D:D,A70,'QA Log'!M:M,"QQC",'QA Log'!L:L,"6. Essential Medicine Management",'QA Log'!Z:Z,"Approved"),"")</f>
        <v/>
      </c>
      <c r="P70" s="105" t="str">
        <f>IF(A70&lt;&gt;"",COUNTIFS('QA Log'!D:D,A70,'QA Log'!M:M,"QQC",'QA Log'!L:L,"7. Tracer Medicine",'QA Log'!Z:Z,"Approved"),"")</f>
        <v/>
      </c>
      <c r="Q70" s="105" t="str">
        <f>IF(A70&lt;&gt;"",COUNTIFS('QA Log'!D:D,A70,'QA Log'!M:M,"QQC",'QA Log'!L:L,"11. Additional Questions",'QA Log'!Z:Z,"Approved"),"")</f>
        <v/>
      </c>
      <c r="R70" s="102" t="str">
        <f>IF(A70="","",SUM(
COUNTIFS('QA Log'!D:D,A70,'QA Log'!M:M,"QQC",'QA Log'!Z:Z,"Rejected",'QA Log'!L:L,"*8. Maternity*"),
COUNTIFS('QA Log'!D:D,A70,'QA Log'!M:M,"QQC",'QA Log'!Z:Z,"Rejected",'QA Log'!L:L,"*EPI*"),
COUNTIFS('QA Log'!D:D,A70,'QA Log'!M:M,"QQC",'QA Log'!Z:Z,"Rejected",'QA Log'!L:L,"*10. Antenatal Care (ANC)*"),
COUNTIFS('QA Log'!D:D,A70,'QA Log'!M:M,"QQC",'QA Log'!Z:Z,"Rejected",'QA Log'!L:L,"*2. Hygiene and Sterilization*"),
COUNTIFS('QA Log'!D:D,A70,'QA Log'!M:M,"QQC",'QA Log'!Z:Z,"Rejected",'QA Log'!L:L,"*Family Planning*")))</f>
        <v/>
      </c>
      <c r="S70" s="106" t="str">
        <f t="shared" si="1"/>
        <v/>
      </c>
      <c r="T70" s="102" t="str">
        <f t="shared" si="2"/>
        <v/>
      </c>
      <c r="U70" s="102" t="str">
        <f>IF(A70="","",
SUM(
COUNTIFS('QA Log'!D:D,A70,'QA Log'!M:M,"QQC",'QA Log'!L:L,"*8. Maternity*"),
COUNTIFS('QA Log'!D:D,A70,'QA Log'!M:M,"QQC",'QA Log'!L:L,"*9. EPI and Pre-school Consultation*"),
COUNTIFS('QA Log'!D:D,A70,'QA Log'!M:M,"QQC",'QA Log'!L:L,"*10. Antenatal Care (ANC)*"),
COUNTIFS('QA Log'!D:D,A70,'QA Log'!M:M,"QQC",'QA Log'!L:L,"*2. Hygiene and Sterilization*"),
COUNTIFS('QA Log'!D:D,A70,'QA Log'!M:M,"QQC",'QA Log'!L:L,"*4. Family Planning*")
))</f>
        <v/>
      </c>
      <c r="V70" s="102" t="str">
        <f>IF(A70="","",
SUM(
COUNTIFS('QA Log'!D:D,A70,'QA Log'!M:M,"QQC",'QA Log'!Z:Z,"Approved",'QA Log'!L:L,"*8. Maternity*"),
COUNTIFS('QA Log'!D:D,A70,'QA Log'!M:M,"QQC",'QA Log'!Z:Z,"Approved",'QA Log'!L:L,"*9. EPI and Pre-school Consultation*"),
COUNTIFS('QA Log'!D:D,A70,'QA Log'!M:M,"QQC",'QA Log'!Z:Z,"Approved",'QA Log'!L:L,"*10. Antenatal Care (ANC)*"),
COUNTIFS('QA Log'!D:D,A70,'QA Log'!M:M,"QQC",'QA Log'!Z:Z,"Approved",'QA Log'!L:L,"*2. Hygiene and Sterilization*"),
COUNTIFS('QA Log'!D:D,A70,'QA Log'!M:M,"QQC",'QA Log'!Z:Z,"Approved",'QA Log'!L:L,"*4. Family Planning*")
))</f>
        <v/>
      </c>
      <c r="W70" s="105" t="str">
        <f>IF(A70&lt;&gt;"",COUNTIFS('QA Log'!D:D,A70,'QA Log'!M:M,"QQC",'QA Log'!L:L,"8. Maternity",'QA Log'!Z:Z,"Approved"),"")</f>
        <v/>
      </c>
      <c r="X70" s="105" t="str">
        <f>IF(A70&lt;&gt;"",COUNTIFS('QA Log'!D:D,A70,'QA Log'!M:M,"QQC",'QA Log'!L:L,"9. EPI and Pre-school Consultation",'QA Log'!Z:Z,"Approved"),"")</f>
        <v/>
      </c>
      <c r="Y70" s="105" t="str">
        <f>IF(A70&lt;&gt;"",COUNTIFS('QA Log'!D:D,A70,'QA Log'!M:M,"QQC",'QA Log'!L:L,"10. Antenatal Care (ANC)",'QA Log'!Z:Z,"Approved"),"")</f>
        <v/>
      </c>
      <c r="Z70" s="105" t="str">
        <f>IF(A70&lt;&gt;"",COUNTIFS('QA Log'!D:D,A70,'QA Log'!M:M,"QQC",'QA Log'!L:L,"2. Hygiene and Sterilization",'QA Log'!Z:Z,"Approved"),"")</f>
        <v/>
      </c>
      <c r="AA70" s="105" t="str">
        <f>IF(A70&lt;&gt;"",COUNTIFS('QA Log'!D:D,A70,'QA Log'!M:M,"QQC",'QA Log'!L:L,"4. Family Planning",'QA Log'!Z:Z,"Approved"),"")</f>
        <v/>
      </c>
      <c r="AB70" s="102" t="str">
        <f>IF(A70="","",
SUM(
COUNTIFS('QA Log'!D:D,A70,'QA Log'!M:M,"QQC",'QA Log'!Z:Z,"Rejected",'QA Log'!L:L,"*8. Maternity*"),
COUNTIFS('QA Log'!D:D,A70,'QA Log'!M:M,"QQC",'QA Log'!Z:Z,"Rejected",'QA Log'!L:L,"*9. EPI and Pre-school Consultation*"),
COUNTIFS('QA Log'!D:D,A70,'QA Log'!M:M,"QQC",'QA Log'!Z:Z,"Rejected",'QA Log'!L:L,"*10. Antenatal Care (ANC)*"),
COUNTIFS('QA Log'!D:D,A70,'QA Log'!M:M,"QQC",'QA Log'!Z:Z,"Rejected",'QA Log'!L:L,"*2. Hygiene and Sterilization*"),
COUNTIFS('QA Log'!D:D,A70,'QA Log'!M:M,"QQC",'QA Log'!Z:Z,"Rejected",'QA Log'!L:L,"*4. Family Planning*")
))</f>
        <v/>
      </c>
      <c r="AC70" s="102" t="str">
        <f t="shared" si="3"/>
        <v/>
      </c>
      <c r="AD70" s="103" t="str">
        <f t="shared" si="4"/>
        <v/>
      </c>
      <c r="AE70" s="102" t="str">
        <f>IF(A70="","",
SUM(
COUNTIFS('QA Log'!D:D,A70,'QA Log'!M:M,"Data Verification",'QA Log'!L:L,"*Medicine (section 2)*"),
COUNTIFS('QA Log'!D:D,A70,'QA Log'!M:M,"Data Verification",'QA Log'!L:L,"*Lab Testing Availability*"),
COUNTIFS('QA Log'!D:D,A70,'QA Log'!M:M,"Data Verification",'QA Log'!L:L,"*Other than P4P (section 6)*"),
COUNTIFS('QA Log'!D:D,A70,'QA Log'!M:M,"Data Verification",'QA Log'!L:L,"*Hospital Governance*")
))</f>
        <v/>
      </c>
      <c r="AF70" s="102" t="str">
        <f>IF(A70="","",
SUM(
COUNTIFS('QA Log'!D:D,A70,'QA Log'!M:M,"Data Verification",'QA Log'!Z:Z,"Approved",'QA Log'!L:L,"*Medicine (section 2)*"),
COUNTIFS('QA Log'!D:D,A70,'QA Log'!M:M,"Data Verification",'QA Log'!Z:Z,"Approved",'QA Log'!L:L,"*Lab Testing Availability*"),
COUNTIFS('QA Log'!D:D,A70,'QA Log'!M:M,"Data Verification",'QA Log'!Z:Z,"Approved",'QA Log'!L:L,"*Other than P4P (section 6)*"),
COUNTIFS('QA Log'!D:D,A70,'QA Log'!M:M,"Data Verification",'QA Log'!Z:Z,"Approved",'QA Log'!L:L,"*Hospital Governance*")
))</f>
        <v/>
      </c>
      <c r="AG70" s="105" t="str">
        <f>IF(A70&lt;&gt;"",COUNTIFS('QA Log'!D:D,A70,'QA Log'!M:M,"Data Verification",'QA Log'!L:L,"Medicine (section 2)",'QA Log'!Z:Z,"Approved"),"")</f>
        <v/>
      </c>
      <c r="AH70" s="105" t="str">
        <f>IF(A70&lt;&gt;"",COUNTIFS('QA Log'!D:D,A70,'QA Log'!M:M,"Data Verification",'QA Log'!L:L,"Lab Testing Availability",'QA Log'!Z:Z,"Approved"),"")</f>
        <v/>
      </c>
      <c r="AI70" s="105" t="str">
        <f>IF(A70&lt;&gt;"",COUNTIFS('QA Log'!D:D,A70,'QA Log'!M:M,"Data Verification",'QA Log'!L:L,"Other than P4P (section 6)",'QA Log'!Z:Z,"Approved"),"")</f>
        <v/>
      </c>
      <c r="AJ70" s="105" t="str">
        <f>IF(A70&lt;&gt;"",COUNTIFS('QA Log'!D:D,A70,'QA Log'!M:M,"Data Verification",'QA Log'!L:L,"Hospital Governance",'QA Log'!Z:Z,"Approved"),"")</f>
        <v/>
      </c>
      <c r="AK70" s="102" t="str">
        <f>IF(A70="","",
SUM(
COUNTIFS('QA Log'!D:D,A70,'QA Log'!M:M,"Data Verification",'QA Log'!Z:Z,"Rejected",'QA Log'!L:L,"*Medicine (section 2)*"),
COUNTIFS('QA Log'!D:D,A70,'QA Log'!M:M,"Data Verification",'QA Log'!Z:Z,"Rejected",'QA Log'!L:L,"*Lab Testing Availability*"),
COUNTIFS('QA Log'!D:D,A70,'QA Log'!M:M,"Data Verification",'QA Log'!Z:Z,"Rejected",'QA Log'!L:L,"*Other than P4P (section 6)*"),
COUNTIFS('QA Log'!D:D,A70,'QA Log'!M:M,"Data Verification",'QA Log'!Z:Z,"Rejected",'QA Log'!L:L,"*Hospital Governance*")
))</f>
        <v/>
      </c>
      <c r="AL70" s="106" t="str">
        <f t="shared" si="5"/>
        <v/>
      </c>
      <c r="AM70" s="102" t="str">
        <f t="shared" si="6"/>
        <v/>
      </c>
      <c r="AN70" s="102" t="str">
        <f>IF(A70="","",
SUM(
COUNTIFS('QA Log'!D:D,A70,'QA Log'!M:M,"Data Verification",'QA Log'!L:L,"*Personnel (section 1)*"),
COUNTIFS('QA Log'!D:D,A70,'QA Log'!M:M,"Data Verification",'QA Log'!L:L,"*Consumable (section 3)*"),
COUNTIFS('QA Log'!D:D,A70,'QA Log'!M:M,"Data Verification",'QA Log'!L:L,"*Equipments (section 4)*")
))</f>
        <v/>
      </c>
      <c r="AO70" s="102" t="str">
        <f>IF(A70="","",
SUM(
COUNTIFS('QA Log'!D:D,A70,'QA Log'!M:M,"Data Verification",'QA Log'!Z:Z,"Approved",'QA Log'!L:L,"*Personnel (section 1)*"),
COUNTIFS('QA Log'!D:D,A70,'QA Log'!M:M,"Data Verification",'QA Log'!Z:Z,"Approved",'QA Log'!L:L,"*Consumable (section 3)*"),
COUNTIFS('QA Log'!D:D,A70,'QA Log'!M:M,"Data Verification",'QA Log'!Z:Z,"Approved",'QA Log'!L:L,"*Equipments (section 4)*")
))</f>
        <v/>
      </c>
      <c r="AP70" s="105" t="str">
        <f>IF(A70&lt;&gt;"",COUNTIFS('QA Log'!D:D,A70,'QA Log'!M:M,"Data Verification",'QA Log'!L:L,"Personnel (section 1)",'QA Log'!Z:Z,"Approved"),"")</f>
        <v/>
      </c>
      <c r="AQ70" s="105" t="str">
        <f>IF(A70&lt;&gt;"",COUNTIFS('QA Log'!D:D,A70,'QA Log'!M:M,"Data Verification",'QA Log'!L:L,"Consumable (section 3)",'QA Log'!Z:Z,"Approved"),"")</f>
        <v/>
      </c>
      <c r="AR70" s="105" t="str">
        <f>IF(A70&lt;&gt;"",COUNTIFS('QA Log'!D:D,A70,'QA Log'!M:M,"Data Verification",'QA Log'!L:L,"Equipments (section 4)",'QA Log'!Z:Z,"Approved"),"")</f>
        <v/>
      </c>
      <c r="AS70" s="102" t="str">
        <f>IF(A70="","",
SUM(
COUNTIFS('QA Log'!D:D,A70,'QA Log'!M:M,"Data Verification",'QA Log'!Z:Z,"Rejected",'QA Log'!L:L,"*Personnel (section 1)*"),
COUNTIFS('QA Log'!D:D,A70,'QA Log'!M:M,"Data Verification",'QA Log'!Z:Z,"Rejected",'QA Log'!L:L,"*Consumable (section 3)*"),
COUNTIFS('QA Log'!D:D,A70,'QA Log'!M:M,"Data Verification",'QA Log'!Z:Z,"Rejected",'QA Log'!L:L,"*Equipments (section 4)*")
))</f>
        <v/>
      </c>
      <c r="AT70" s="102" t="str">
        <f t="shared" si="7"/>
        <v/>
      </c>
      <c r="AU70" s="103" t="str">
        <f t="shared" si="8"/>
        <v/>
      </c>
      <c r="AV70" s="102" t="str">
        <f>IF(A70="","",SUM(
COUNTIFS('QA Log'!D:D,A70,'QA Log'!M:M,"Vignette",'QA Log'!L:L,"*Vignette [1] Respiratory Infection: Pneumonia*"),
COUNTIFS('QA Log'!D:D,A70,'QA Log'!M:M,"Vignette",'QA Log'!L:L,"*Vignette [2]: Diarrhea with Cat B dehydration*"),
COUNTIFS('QA Log'!D:D,A70,'QA Log'!M:M,"Vignette",'QA Log'!L:L,"*Vignette [3] Growth Monitoring and Promotion*"),
COUNTIFS('QA Log'!D:D,A70,'QA Log'!M:M,"Vignette",'QA Log'!L:L,"*Vignette [4]: The management of presumptive TB patient*")
)
)</f>
        <v/>
      </c>
      <c r="AW70" s="102" t="str">
        <f>IF(
  A70="","",
  SUM(
    COUNTIFS('QA Log'!D:D,A70,'QA Log'!M:M,"Vignette",'QA Log'!Z:Z,"Approved",'QA Log'!L:L,"*Vignette [1] Respiratory Infection: Pneumonia*"),
    COUNTIFS('QA Log'!D:D,A70,'QA Log'!M:M,"Vignette",'QA Log'!Z:Z,"Approved",'QA Log'!L:L,"*Vignette [2]: Diarrhea with Cat B dehydration*"),
    COUNTIFS('QA Log'!D:D,A70,'QA Log'!M:M,"Vignette",'QA Log'!Z:Z,"Approved",'QA Log'!L:L,"*Vignette [3] Growth Monitoring and Promotion*"),
    COUNTIFS('QA Log'!D:D,A70,'QA Log'!M:M,"Vignette",'QA Log'!Z:Z,"Approved",'QA Log'!L:L,"*Vignette [4]: The management of presumptive TB patient*")
  )
)</f>
        <v/>
      </c>
      <c r="AX70" s="105" t="str">
        <f>IF(A70&lt;&gt;"",COUNTIFS('QA Log'!D:D,A70,'QA Log'!M:M,"Vignette",'QA Log'!L:L,"Vignette [1] Respiratory Infection: Pneumonia",'QA Log'!Z:Z,"Approved"),"")</f>
        <v/>
      </c>
      <c r="AY70" s="105" t="str">
        <f>IF(A70&lt;&gt;"",COUNTIFS('QA Log'!D:D,A70,'QA Log'!M:M,"Vignette",'QA Log'!L:L,"Vignette [2]: Diarrhea with Cat B dehydration",'QA Log'!Z:Z,"Approved"),"")</f>
        <v/>
      </c>
      <c r="AZ70" s="105" t="str">
        <f>IF(A70&lt;&gt;"",COUNTIFS('QA Log'!D:D,A70,'QA Log'!M:M,"Vignette",'QA Log'!L:L,"Vignette [3] Growth Monitoring and Promotion",'QA Log'!Z:Z,"Approved"),"")</f>
        <v/>
      </c>
      <c r="BA70" s="105" t="str">
        <f>IF(A70&lt;&gt;"",COUNTIFS('QA Log'!D:D,A70,'QA Log'!M:M,"Vignette",'QA Log'!L:L,"Vignette [4]: The management of presumptive TB patient",'QA Log'!Z:Z,"Approved"),"")</f>
        <v/>
      </c>
      <c r="BB70" s="102" t="str">
        <f>IF(A70="","",
  SUM(
    COUNTIFS('QA Log'!D:D,A70,'QA Log'!M:M,"Vignette",'QA Log'!Z:Z,"Rejected",'QA Log'!L:L,"*Vignette [1] Respiratory Infection: Pneumonia*"),
    COUNTIFS('QA Log'!D:D,A70,'QA Log'!M:M,"Vignette",'QA Log'!Z:Z,"Rejected",'QA Log'!L:L,"*Vignette [2]: Diarrhea with Cat B dehydration*"),
    COUNTIFS('QA Log'!D:D,A70,'QA Log'!M:M,"Vignette",'QA Log'!Z:Z,"Rejected",'QA Log'!L:L,"*Vignette [3] Growth Monitoring and Promotion*"),
    COUNTIFS('QA Log'!D:D,A70,'QA Log'!M:M,"Vignette",'QA Log'!Z:Z,"Rejected",'QA Log'!L:L,"*Vignette [4]: The management of presumptive TB patient*")
  )
)</f>
        <v/>
      </c>
      <c r="BC70" s="107" t="str">
        <f t="shared" si="9"/>
        <v/>
      </c>
      <c r="BD70" s="103" t="str">
        <f t="shared" si="10"/>
        <v/>
      </c>
      <c r="BE70" s="102" t="str">
        <f>IF(A70="","",SUM(
COUNTIFS('QA Log'!D:D,A70,'QA Log'!M:M,"Vignette",'QA Log'!L:L,"*Vignette [5] Labor*"),
COUNTIFS('QA Log'!D:D,A70,'QA Log'!M:M,"Vignette",'QA Log'!L:L,"*Vignette [6] PNC pre Discharge*"),
COUNTIFS('QA Log'!D:D,A70,'QA Log'!M:M,"Vignette",'QA Log'!L:L,"*Vignette [7] First ANC Visit*"),
COUNTIFS('QA Log'!D:D,A70,'QA Log'!M:M,"Vignette",'QA Log'!L:L,"*Vignette [8] Birth Spacing/ Family Planning :  FP Counselling*"),
COUNTIFS('QA Log'!D:D,A70,'QA Log'!M:M,"Vignette",'QA Log'!L:L,"*Vignette [9] Birth Spacing: Change FP method to Injectable*"),
COUNTIFS('QA Log'!D:D,A70,'QA Log'!M:M,"Vignette",'QA Log'!L:L,"*Vignette [10] Post Partum Haemorrhage - Atonic Uterus at Health Centre*"),
)
)</f>
        <v/>
      </c>
      <c r="BF70" s="102" t="str">
        <f>IF(A70="","",
  SUM(
    COUNTIFS('QA Log'!D:D,A70,'QA Log'!M:M,"Vignette",'QA Log'!Z:Z,"Approved",'QA Log'!L:L,"*Vignette [5] Labor*"),
    COUNTIFS('QA Log'!D:D,A70,'QA Log'!M:M,"Vignette",'QA Log'!Z:Z,"Approved",'QA Log'!L:L,"*Vignette [6] PNC pre Discharge*"),
    COUNTIFS('QA Log'!D:D,A70,'QA Log'!M:M,"Vignette",'QA Log'!Z:Z,"Approved",'QA Log'!L:L,"*Vignette [7] First ANC Visit*"),
    COUNTIFS('QA Log'!D:D,A70,'QA Log'!M:M,"Vignette",'QA Log'!Z:Z,"Approved",'QA Log'!L:L,"*Vignette [8] Birth Spacing/ Family Planning :  FP Counselling*"),
    COUNTIFS('QA Log'!D:D,A70,'QA Log'!M:M,"Vignette",'QA Log'!Z:Z,"Approved",'QA Log'!L:L,"*Vignette [9] Birth Spacing: Change FP method to Injectable*"),
    COUNTIFS('QA Log'!D:D,A70,'QA Log'!M:M,"Vignette",'QA Log'!Z:Z,"Approved",'QA Log'!L:L,"*Vignette [10] Post Partum Haemorrhage - Atonic Uterus at Health Centre*")
  )
)</f>
        <v/>
      </c>
      <c r="BG70" s="105" t="str">
        <f>IF(A70&lt;&gt;"",COUNTIFS('QA Log'!D:D,A70,'QA Log'!M:M,"Vignette",'QA Log'!L:L,"Vignette [5] Labor",'QA Log'!Z:Z,"Approved"),"")</f>
        <v/>
      </c>
      <c r="BH70" s="105" t="str">
        <f>IF(A70&lt;&gt;"",COUNTIFS('QA Log'!D:D,A70,'QA Log'!M:M,"Vignette",'QA Log'!L:L,"Vignette [6] PNC pre Discharge",'QA Log'!Z:Z,"Approved"),"")</f>
        <v/>
      </c>
      <c r="BI70" s="105" t="str">
        <f>IF(A70&lt;&gt;"",COUNTIFS('QA Log'!D:D,A70,'QA Log'!M:M,"Vignette",'QA Log'!L:L,"Vignette [7] First ANC Visit",'QA Log'!Z:Z,"Approved"),"")</f>
        <v/>
      </c>
      <c r="BJ70" s="105" t="str">
        <f>IF(A70&lt;&gt;"",COUNTIFS('QA Log'!D:D,A70,'QA Log'!M:M,"Vignette",'QA Log'!L:L,"Vignette [8] Birth Spacing/ Family Planning :  FP Counselling",'QA Log'!Z:Z,"Approved"),"")</f>
        <v/>
      </c>
      <c r="BK70" s="105" t="str">
        <f>IF(A70&lt;&gt;"",COUNTIFS('QA Log'!D:D,A70,'QA Log'!M:M,"Vignette",'QA Log'!L:L,"Vignette [9] Birth Spacing: Change FP method to Injectable",'QA Log'!Z:Z,"Approved"),"")</f>
        <v/>
      </c>
      <c r="BL70" s="105" t="str">
        <f>IF(A70&lt;&gt;"",COUNTIFS('QA Log'!D:D,A70,'QA Log'!M:M,"Vignette",'QA Log'!L:L,"Vignette [10] Post Partum Haemorrhage - Atonic Uterus at Health Centre",'QA Log'!Z:Z,"Approved"),"")</f>
        <v/>
      </c>
      <c r="BM70" s="102" t="str">
        <f>IF(A70="","",SUM(
    COUNTIFS('QA Log'!D:D,A70,'QA Log'!M:M,"Vignette",'QA Log'!Z:Z,"Rejected",'QA Log'!L:L,"*Vignette [5] Labor*"),
    COUNTIFS('QA Log'!D:D,A70,'QA Log'!M:M,"Vignette",'QA Log'!Z:Z,"Rejected",'QA Log'!L:L,"*Vignette [6] PNC pre Discharge*"),
    COUNTIFS('QA Log'!D:D,A70,'QA Log'!M:M,"Vignette",'QA Log'!Z:Z,"Rejected",'QA Log'!L:L,"*Vignette [7] First ANC Visit*"),
    COUNTIFS('QA Log'!D:D,A70,'QA Log'!M:M,"Vignette",'QA Log'!Z:Z,"Rejected",'QA Log'!L:L,"*Vignette [8] Birth Spacing/ Family Planning :  FP Counselling*"),
    COUNTIFS('QA Log'!D:D,A70,'QA Log'!M:M,"Vignette",'QA Log'!Z:Z,"Rejected",'QA Log'!L:L,"*Vignette [9] Birth Spacing: Change FP method to Injectable*"),
    COUNTIFS('QA Log'!D:D,A70,'QA Log'!M:M,"Vignette",'QA Log'!Z:Z,"Rejected",'QA Log'!L:L,"*Vignette [10] Post Partum Haemorrhage - Atonic Uterus at Health Centre*")
  )
)</f>
        <v/>
      </c>
      <c r="BN70" s="107" t="str">
        <f t="shared" si="11"/>
        <v/>
      </c>
      <c r="BO70" s="103" t="str">
        <f t="shared" si="12"/>
        <v/>
      </c>
      <c r="BP70" s="102" t="str">
        <f>IF(A70="","",SUM(
COUNTIFS('QA Log'!D:D,A70,'QA Log'!M:M,"Vignette",'QA Log'!L:L,"*Exit Interview 1*"),
COUNTIFS('QA Log'!D:D,A70,'QA Log'!M:M,"Vignette",'QA Log'!L:L,"*Exit Interview 2*"),
)
)</f>
        <v/>
      </c>
      <c r="BQ70" s="102" t="str">
        <f>IF(
  A70="","",
  SUM(
    COUNTIFS('QA Log'!D:D,A70,'QA Log'!M:M,"Vignette",'QA Log'!Z:Z,"Approved",'QA Log'!L:L,"*Exit Interview 1*"),
    COUNTIFS('QA Log'!D:D,A70,'QA Log'!M:M,"Vignette",'QA Log'!Z:Z,"Approved",'QA Log'!L:L,"*Exit Interview 2*")
  )
)</f>
        <v/>
      </c>
      <c r="BR70" s="105" t="str">
        <f>IF(A70&lt;&gt;"",COUNTIFS('QA Log'!D:D,A70,'QA Log'!M:M,"Vignette",'QA Log'!L:L,"Exit Interview 1",'QA Log'!Z:Z,"Approved"),"")</f>
        <v/>
      </c>
      <c r="BS70" s="105" t="str">
        <f>IF(A70&lt;&gt;"",COUNTIFS('QA Log'!D:D,A70,'QA Log'!M:M,"Vignette",'QA Log'!L:L,"Exit Interview 2",'QA Log'!Z:Z,"Approved"),"")</f>
        <v/>
      </c>
      <c r="BT70" s="102" t="str">
        <f>IF(
  A70="","",
  SUM(
    COUNTIFS('QA Log'!D:D,A70,'QA Log'!M:M,"Vignette",'QA Log'!Z:Z,"Rejected",'QA Log'!L:L,"*Exit Interview 1*"),
    COUNTIFS('QA Log'!D:D,A70,'QA Log'!M:M,"Vignette",'QA Log'!Z:Z,"Rejected",'QA Log'!L:L,"*Exit Interview 2*")
  )
)</f>
        <v/>
      </c>
      <c r="BU70" s="107" t="str">
        <f t="shared" si="13"/>
        <v/>
      </c>
      <c r="BV70" s="102" t="str">
        <f t="shared" si="14"/>
        <v/>
      </c>
      <c r="BW70" s="102" t="str">
        <f t="shared" si="15"/>
        <v/>
      </c>
      <c r="BX70" s="102" t="str">
        <f t="shared" si="16"/>
        <v/>
      </c>
      <c r="BY70" s="102" t="str">
        <f t="shared" si="17"/>
        <v/>
      </c>
      <c r="BZ70" s="107" t="str">
        <f t="shared" si="18"/>
        <v/>
      </c>
      <c r="CA70" s="108" t="str">
        <f t="shared" si="19"/>
        <v/>
      </c>
      <c r="CB70" s="108" t="str">
        <f t="shared" si="20"/>
        <v/>
      </c>
      <c r="CC70" s="109" t="str">
        <f t="shared" si="21"/>
        <v/>
      </c>
      <c r="CD70" s="108" t="str">
        <f t="shared" si="22"/>
        <v/>
      </c>
      <c r="CE70" s="108" t="str">
        <f t="shared" si="23"/>
        <v/>
      </c>
      <c r="CF70" s="109" t="str">
        <f t="shared" si="24"/>
        <v/>
      </c>
      <c r="CG70" s="110" t="str">
        <f t="shared" si="25"/>
        <v/>
      </c>
      <c r="CH70" s="111"/>
    </row>
    <row r="71" spans="1:86" ht="12.75">
      <c r="A71" s="101"/>
      <c r="B71" s="102" t="e">
        <f t="array" aca="1" ref="B71" ca="1">_xludf.XLOOKUP(A71,'QA Log'!D:D,'QA Log'!E:E,"")</f>
        <v>#NAME?</v>
      </c>
      <c r="C71" s="102" t="e">
        <f t="array" aca="1" ref="C71" ca="1">_xludf.XLOOKUP(A71,'QA Log'!D:D,'QA Log'!F:F,"")</f>
        <v>#NAME?</v>
      </c>
      <c r="D71" s="102" t="e">
        <f t="array" aca="1" ref="D71" ca="1">_xludf.XLOOKUP(A71,'QA Log'!D:D,'QA Log'!H:H,"")</f>
        <v>#NAME?</v>
      </c>
      <c r="E71" s="102" t="e">
        <f t="array" aca="1" ref="E71" ca="1">_xludf.XLOOKUP(A71,'QA Log'!D:D,'QA Log'!G:G,"")</f>
        <v>#NAME?</v>
      </c>
      <c r="F71" s="103"/>
      <c r="G71" s="104"/>
      <c r="H71" s="104"/>
      <c r="I71" s="103" t="str">
        <f t="shared" si="0"/>
        <v/>
      </c>
      <c r="J71" s="102" t="str">
        <f>IF(A71="","",SUM(
COUNTIFS('QA Log'!D:D,A71,'QA Log'!M:M,"QQC",'QA Log'!L:L,"*1. General Management*"),
COUNTIFS('QA Log'!D:D,A71,'QA Log'!M:M,"QQC",'QA Log'!L:L,"*3. Curative Consultation (OPD)*"),
COUNTIFS('QA Log'!D:D,A71,'QA Log'!M:M,"QQC",'QA Log'!L:L,"*5. Laboratory*"),
COUNTIFS('QA Log'!D:D,A71,'QA Log'!M:M,"QQC",'QA Log'!L:L,"*6. Essential Medicine Management*"),
COUNTIFS('QA Log'!D:D,A71,'QA Log'!M:M,"QQC",'QA Log'!L:L,"*7. Tracer Medicine*"),
COUNTIFS('QA Log'!D:D,A71,'QA Log'!M:M,"QQC",'QA Log'!L:L,"*11. Additional Questions*")))</f>
        <v/>
      </c>
      <c r="K71" s="102" t="str">
        <f>IF(A71="","",SUM(
COUNTIFS('QA Log'!D:D,A71,'QA Log'!M:M,"QQC",'QA Log'!Z:Z,"Approved",'QA Log'!L:L,"*1. General Management*"),
COUNTIFS('QA Log'!D:D,A71,'QA Log'!M:M,"QQC",'QA Log'!Z:Z,"Approved",'QA Log'!L:L,"*3. Curative Consultation (OPD)*"),
COUNTIFS('QA Log'!D:D,A71,'QA Log'!M:M,"QQC",'QA Log'!Z:Z,"Approved",'QA Log'!L:L,"*5. Laboratory*"),
COUNTIFS('QA Log'!D:D,A71,'QA Log'!M:M,"QQC",'QA Log'!Z:Z,"Approved",'QA Log'!L:L,"*6. Essential Medicine Management*"),
COUNTIFS('QA Log'!D:D,A71,'QA Log'!M:M,"QQC",'QA Log'!Z:Z,"Approved",'QA Log'!L:L,"*7. Tracer Medicine*"),
COUNTIFS('QA Log'!D:D,A71,'QA Log'!M:M,"QQC",'QA Log'!Z:Z,"Approved",'QA Log'!L:L,"*11. Additional Questions*")))</f>
        <v/>
      </c>
      <c r="L71" s="105" t="str">
        <f>IF(A71&lt;&gt;"",COUNTIFS('QA Log'!D:D,A71,'QA Log'!M:M,"QQC",'QA Log'!L:L,"1. General Management",'QA Log'!Z:Z,"Approved"),"")</f>
        <v/>
      </c>
      <c r="M71" s="105" t="str">
        <f>IF(A71&lt;&gt;"",COUNTIFS('QA Log'!D:D,A71,'QA Log'!M:M,"QQC",'QA Log'!L:L,"3. Curative Consultation (OPD)",'QA Log'!Z:Z,"Approved"),"")</f>
        <v/>
      </c>
      <c r="N71" s="105" t="str">
        <f>IF(A71&lt;&gt;"",COUNTIFS('QA Log'!D:D,A71,'QA Log'!M:M,"QQC",'QA Log'!L:L,"5. Laboratory",'QA Log'!Z:Z,"Approved"),"")</f>
        <v/>
      </c>
      <c r="O71" s="105" t="str">
        <f>IF(A71&lt;&gt;"",COUNTIFS('QA Log'!D:D,A71,'QA Log'!M:M,"QQC",'QA Log'!L:L,"6. Essential Medicine Management",'QA Log'!Z:Z,"Approved"),"")</f>
        <v/>
      </c>
      <c r="P71" s="105" t="str">
        <f>IF(A71&lt;&gt;"",COUNTIFS('QA Log'!D:D,A71,'QA Log'!M:M,"QQC",'QA Log'!L:L,"7. Tracer Medicine",'QA Log'!Z:Z,"Approved"),"")</f>
        <v/>
      </c>
      <c r="Q71" s="105" t="str">
        <f>IF(A71&lt;&gt;"",COUNTIFS('QA Log'!D:D,A71,'QA Log'!M:M,"QQC",'QA Log'!L:L,"11. Additional Questions",'QA Log'!Z:Z,"Approved"),"")</f>
        <v/>
      </c>
      <c r="R71" s="102" t="str">
        <f>IF(A71="","",SUM(
COUNTIFS('QA Log'!D:D,A71,'QA Log'!M:M,"QQC",'QA Log'!Z:Z,"Rejected",'QA Log'!L:L,"*8. Maternity*"),
COUNTIFS('QA Log'!D:D,A71,'QA Log'!M:M,"QQC",'QA Log'!Z:Z,"Rejected",'QA Log'!L:L,"*EPI*"),
COUNTIFS('QA Log'!D:D,A71,'QA Log'!M:M,"QQC",'QA Log'!Z:Z,"Rejected",'QA Log'!L:L,"*10. Antenatal Care (ANC)*"),
COUNTIFS('QA Log'!D:D,A71,'QA Log'!M:M,"QQC",'QA Log'!Z:Z,"Rejected",'QA Log'!L:L,"*2. Hygiene and Sterilization*"),
COUNTIFS('QA Log'!D:D,A71,'QA Log'!M:M,"QQC",'QA Log'!Z:Z,"Rejected",'QA Log'!L:L,"*Family Planning*")))</f>
        <v/>
      </c>
      <c r="S71" s="106" t="str">
        <f t="shared" si="1"/>
        <v/>
      </c>
      <c r="T71" s="102" t="str">
        <f t="shared" si="2"/>
        <v/>
      </c>
      <c r="U71" s="102" t="str">
        <f>IF(A71="","",
SUM(
COUNTIFS('QA Log'!D:D,A71,'QA Log'!M:M,"QQC",'QA Log'!L:L,"*8. Maternity*"),
COUNTIFS('QA Log'!D:D,A71,'QA Log'!M:M,"QQC",'QA Log'!L:L,"*9. EPI and Pre-school Consultation*"),
COUNTIFS('QA Log'!D:D,A71,'QA Log'!M:M,"QQC",'QA Log'!L:L,"*10. Antenatal Care (ANC)*"),
COUNTIFS('QA Log'!D:D,A71,'QA Log'!M:M,"QQC",'QA Log'!L:L,"*2. Hygiene and Sterilization*"),
COUNTIFS('QA Log'!D:D,A71,'QA Log'!M:M,"QQC",'QA Log'!L:L,"*4. Family Planning*")
))</f>
        <v/>
      </c>
      <c r="V71" s="102" t="str">
        <f>IF(A71="","",
SUM(
COUNTIFS('QA Log'!D:D,A71,'QA Log'!M:M,"QQC",'QA Log'!Z:Z,"Approved",'QA Log'!L:L,"*8. Maternity*"),
COUNTIFS('QA Log'!D:D,A71,'QA Log'!M:M,"QQC",'QA Log'!Z:Z,"Approved",'QA Log'!L:L,"*9. EPI and Pre-school Consultation*"),
COUNTIFS('QA Log'!D:D,A71,'QA Log'!M:M,"QQC",'QA Log'!Z:Z,"Approved",'QA Log'!L:L,"*10. Antenatal Care (ANC)*"),
COUNTIFS('QA Log'!D:D,A71,'QA Log'!M:M,"QQC",'QA Log'!Z:Z,"Approved",'QA Log'!L:L,"*2. Hygiene and Sterilization*"),
COUNTIFS('QA Log'!D:D,A71,'QA Log'!M:M,"QQC",'QA Log'!Z:Z,"Approved",'QA Log'!L:L,"*4. Family Planning*")
))</f>
        <v/>
      </c>
      <c r="W71" s="105" t="str">
        <f>IF(A71&lt;&gt;"",COUNTIFS('QA Log'!D:D,A71,'QA Log'!M:M,"QQC",'QA Log'!L:L,"8. Maternity",'QA Log'!Z:Z,"Approved"),"")</f>
        <v/>
      </c>
      <c r="X71" s="105" t="str">
        <f>IF(A71&lt;&gt;"",COUNTIFS('QA Log'!D:D,A71,'QA Log'!M:M,"QQC",'QA Log'!L:L,"9. EPI and Pre-school Consultation",'QA Log'!Z:Z,"Approved"),"")</f>
        <v/>
      </c>
      <c r="Y71" s="105" t="str">
        <f>IF(A71&lt;&gt;"",COUNTIFS('QA Log'!D:D,A71,'QA Log'!M:M,"QQC",'QA Log'!L:L,"10. Antenatal Care (ANC)",'QA Log'!Z:Z,"Approved"),"")</f>
        <v/>
      </c>
      <c r="Z71" s="105" t="str">
        <f>IF(A71&lt;&gt;"",COUNTIFS('QA Log'!D:D,A71,'QA Log'!M:M,"QQC",'QA Log'!L:L,"2. Hygiene and Sterilization",'QA Log'!Z:Z,"Approved"),"")</f>
        <v/>
      </c>
      <c r="AA71" s="105" t="str">
        <f>IF(A71&lt;&gt;"",COUNTIFS('QA Log'!D:D,A71,'QA Log'!M:M,"QQC",'QA Log'!L:L,"4. Family Planning",'QA Log'!Z:Z,"Approved"),"")</f>
        <v/>
      </c>
      <c r="AB71" s="102" t="str">
        <f>IF(A71="","",
SUM(
COUNTIFS('QA Log'!D:D,A71,'QA Log'!M:M,"QQC",'QA Log'!Z:Z,"Rejected",'QA Log'!L:L,"*8. Maternity*"),
COUNTIFS('QA Log'!D:D,A71,'QA Log'!M:M,"QQC",'QA Log'!Z:Z,"Rejected",'QA Log'!L:L,"*9. EPI and Pre-school Consultation*"),
COUNTIFS('QA Log'!D:D,A71,'QA Log'!M:M,"QQC",'QA Log'!Z:Z,"Rejected",'QA Log'!L:L,"*10. Antenatal Care (ANC)*"),
COUNTIFS('QA Log'!D:D,A71,'QA Log'!M:M,"QQC",'QA Log'!Z:Z,"Rejected",'QA Log'!L:L,"*2. Hygiene and Sterilization*"),
COUNTIFS('QA Log'!D:D,A71,'QA Log'!M:M,"QQC",'QA Log'!Z:Z,"Rejected",'QA Log'!L:L,"*4. Family Planning*")
))</f>
        <v/>
      </c>
      <c r="AC71" s="102" t="str">
        <f t="shared" si="3"/>
        <v/>
      </c>
      <c r="AD71" s="103" t="str">
        <f t="shared" si="4"/>
        <v/>
      </c>
      <c r="AE71" s="102" t="str">
        <f>IF(A71="","",
SUM(
COUNTIFS('QA Log'!D:D,A71,'QA Log'!M:M,"Data Verification",'QA Log'!L:L,"*Medicine (section 2)*"),
COUNTIFS('QA Log'!D:D,A71,'QA Log'!M:M,"Data Verification",'QA Log'!L:L,"*Lab Testing Availability*"),
COUNTIFS('QA Log'!D:D,A71,'QA Log'!M:M,"Data Verification",'QA Log'!L:L,"*Other than P4P (section 6)*"),
COUNTIFS('QA Log'!D:D,A71,'QA Log'!M:M,"Data Verification",'QA Log'!L:L,"*Hospital Governance*")
))</f>
        <v/>
      </c>
      <c r="AF71" s="102" t="str">
        <f>IF(A71="","",
SUM(
COUNTIFS('QA Log'!D:D,A71,'QA Log'!M:M,"Data Verification",'QA Log'!Z:Z,"Approved",'QA Log'!L:L,"*Medicine (section 2)*"),
COUNTIFS('QA Log'!D:D,A71,'QA Log'!M:M,"Data Verification",'QA Log'!Z:Z,"Approved",'QA Log'!L:L,"*Lab Testing Availability*"),
COUNTIFS('QA Log'!D:D,A71,'QA Log'!M:M,"Data Verification",'QA Log'!Z:Z,"Approved",'QA Log'!L:L,"*Other than P4P (section 6)*"),
COUNTIFS('QA Log'!D:D,A71,'QA Log'!M:M,"Data Verification",'QA Log'!Z:Z,"Approved",'QA Log'!L:L,"*Hospital Governance*")
))</f>
        <v/>
      </c>
      <c r="AG71" s="105" t="str">
        <f>IF(A71&lt;&gt;"",COUNTIFS('QA Log'!D:D,A71,'QA Log'!M:M,"Data Verification",'QA Log'!L:L,"Medicine (section 2)",'QA Log'!Z:Z,"Approved"),"")</f>
        <v/>
      </c>
      <c r="AH71" s="105" t="str">
        <f>IF(A71&lt;&gt;"",COUNTIFS('QA Log'!D:D,A71,'QA Log'!M:M,"Data Verification",'QA Log'!L:L,"Lab Testing Availability",'QA Log'!Z:Z,"Approved"),"")</f>
        <v/>
      </c>
      <c r="AI71" s="105" t="str">
        <f>IF(A71&lt;&gt;"",COUNTIFS('QA Log'!D:D,A71,'QA Log'!M:M,"Data Verification",'QA Log'!L:L,"Other than P4P (section 6)",'QA Log'!Z:Z,"Approved"),"")</f>
        <v/>
      </c>
      <c r="AJ71" s="105" t="str">
        <f>IF(A71&lt;&gt;"",COUNTIFS('QA Log'!D:D,A71,'QA Log'!M:M,"Data Verification",'QA Log'!L:L,"Hospital Governance",'QA Log'!Z:Z,"Approved"),"")</f>
        <v/>
      </c>
      <c r="AK71" s="102" t="str">
        <f>IF(A71="","",
SUM(
COUNTIFS('QA Log'!D:D,A71,'QA Log'!M:M,"Data Verification",'QA Log'!Z:Z,"Rejected",'QA Log'!L:L,"*Medicine (section 2)*"),
COUNTIFS('QA Log'!D:D,A71,'QA Log'!M:M,"Data Verification",'QA Log'!Z:Z,"Rejected",'QA Log'!L:L,"*Lab Testing Availability*"),
COUNTIFS('QA Log'!D:D,A71,'QA Log'!M:M,"Data Verification",'QA Log'!Z:Z,"Rejected",'QA Log'!L:L,"*Other than P4P (section 6)*"),
COUNTIFS('QA Log'!D:D,A71,'QA Log'!M:M,"Data Verification",'QA Log'!Z:Z,"Rejected",'QA Log'!L:L,"*Hospital Governance*")
))</f>
        <v/>
      </c>
      <c r="AL71" s="106" t="str">
        <f t="shared" si="5"/>
        <v/>
      </c>
      <c r="AM71" s="102" t="str">
        <f t="shared" si="6"/>
        <v/>
      </c>
      <c r="AN71" s="102" t="str">
        <f>IF(A71="","",
SUM(
COUNTIFS('QA Log'!D:D,A71,'QA Log'!M:M,"Data Verification",'QA Log'!L:L,"*Personnel (section 1)*"),
COUNTIFS('QA Log'!D:D,A71,'QA Log'!M:M,"Data Verification",'QA Log'!L:L,"*Consumable (section 3)*"),
COUNTIFS('QA Log'!D:D,A71,'QA Log'!M:M,"Data Verification",'QA Log'!L:L,"*Equipments (section 4)*")
))</f>
        <v/>
      </c>
      <c r="AO71" s="102" t="str">
        <f>IF(A71="","",
SUM(
COUNTIFS('QA Log'!D:D,A71,'QA Log'!M:M,"Data Verification",'QA Log'!Z:Z,"Approved",'QA Log'!L:L,"*Personnel (section 1)*"),
COUNTIFS('QA Log'!D:D,A71,'QA Log'!M:M,"Data Verification",'QA Log'!Z:Z,"Approved",'QA Log'!L:L,"*Consumable (section 3)*"),
COUNTIFS('QA Log'!D:D,A71,'QA Log'!M:M,"Data Verification",'QA Log'!Z:Z,"Approved",'QA Log'!L:L,"*Equipments (section 4)*")
))</f>
        <v/>
      </c>
      <c r="AP71" s="105" t="str">
        <f>IF(A71&lt;&gt;"",COUNTIFS('QA Log'!D:D,A71,'QA Log'!M:M,"Data Verification",'QA Log'!L:L,"Personnel (section 1)",'QA Log'!Z:Z,"Approved"),"")</f>
        <v/>
      </c>
      <c r="AQ71" s="105" t="str">
        <f>IF(A71&lt;&gt;"",COUNTIFS('QA Log'!D:D,A71,'QA Log'!M:M,"Data Verification",'QA Log'!L:L,"Consumable (section 3)",'QA Log'!Z:Z,"Approved"),"")</f>
        <v/>
      </c>
      <c r="AR71" s="105" t="str">
        <f>IF(A71&lt;&gt;"",COUNTIFS('QA Log'!D:D,A71,'QA Log'!M:M,"Data Verification",'QA Log'!L:L,"Equipments (section 4)",'QA Log'!Z:Z,"Approved"),"")</f>
        <v/>
      </c>
      <c r="AS71" s="102" t="str">
        <f>IF(A71="","",
SUM(
COUNTIFS('QA Log'!D:D,A71,'QA Log'!M:M,"Data Verification",'QA Log'!Z:Z,"Rejected",'QA Log'!L:L,"*Personnel (section 1)*"),
COUNTIFS('QA Log'!D:D,A71,'QA Log'!M:M,"Data Verification",'QA Log'!Z:Z,"Rejected",'QA Log'!L:L,"*Consumable (section 3)*"),
COUNTIFS('QA Log'!D:D,A71,'QA Log'!M:M,"Data Verification",'QA Log'!Z:Z,"Rejected",'QA Log'!L:L,"*Equipments (section 4)*")
))</f>
        <v/>
      </c>
      <c r="AT71" s="102" t="str">
        <f t="shared" si="7"/>
        <v/>
      </c>
      <c r="AU71" s="103" t="str">
        <f t="shared" si="8"/>
        <v/>
      </c>
      <c r="AV71" s="102" t="str">
        <f>IF(A71="","",SUM(
COUNTIFS('QA Log'!D:D,A71,'QA Log'!M:M,"Vignette",'QA Log'!L:L,"*Vignette [1] Respiratory Infection: Pneumonia*"),
COUNTIFS('QA Log'!D:D,A71,'QA Log'!M:M,"Vignette",'QA Log'!L:L,"*Vignette [2]: Diarrhea with Cat B dehydration*"),
COUNTIFS('QA Log'!D:D,A71,'QA Log'!M:M,"Vignette",'QA Log'!L:L,"*Vignette [3] Growth Monitoring and Promotion*"),
COUNTIFS('QA Log'!D:D,A71,'QA Log'!M:M,"Vignette",'QA Log'!L:L,"*Vignette [4]: The management of presumptive TB patient*")
)
)</f>
        <v/>
      </c>
      <c r="AW71" s="102" t="str">
        <f>IF(
  A71="","",
  SUM(
    COUNTIFS('QA Log'!D:D,A71,'QA Log'!M:M,"Vignette",'QA Log'!Z:Z,"Approved",'QA Log'!L:L,"*Vignette [1] Respiratory Infection: Pneumonia*"),
    COUNTIFS('QA Log'!D:D,A71,'QA Log'!M:M,"Vignette",'QA Log'!Z:Z,"Approved",'QA Log'!L:L,"*Vignette [2]: Diarrhea with Cat B dehydration*"),
    COUNTIFS('QA Log'!D:D,A71,'QA Log'!M:M,"Vignette",'QA Log'!Z:Z,"Approved",'QA Log'!L:L,"*Vignette [3] Growth Monitoring and Promotion*"),
    COUNTIFS('QA Log'!D:D,A71,'QA Log'!M:M,"Vignette",'QA Log'!Z:Z,"Approved",'QA Log'!L:L,"*Vignette [4]: The management of presumptive TB patient*")
  )
)</f>
        <v/>
      </c>
      <c r="AX71" s="105" t="str">
        <f>IF(A71&lt;&gt;"",COUNTIFS('QA Log'!D:D,A71,'QA Log'!M:M,"Vignette",'QA Log'!L:L,"Vignette [1] Respiratory Infection: Pneumonia",'QA Log'!Z:Z,"Approved"),"")</f>
        <v/>
      </c>
      <c r="AY71" s="105" t="str">
        <f>IF(A71&lt;&gt;"",COUNTIFS('QA Log'!D:D,A71,'QA Log'!M:M,"Vignette",'QA Log'!L:L,"Vignette [2]: Diarrhea with Cat B dehydration",'QA Log'!Z:Z,"Approved"),"")</f>
        <v/>
      </c>
      <c r="AZ71" s="105" t="str">
        <f>IF(A71&lt;&gt;"",COUNTIFS('QA Log'!D:D,A71,'QA Log'!M:M,"Vignette",'QA Log'!L:L,"Vignette [3] Growth Monitoring and Promotion",'QA Log'!Z:Z,"Approved"),"")</f>
        <v/>
      </c>
      <c r="BA71" s="105" t="str">
        <f>IF(A71&lt;&gt;"",COUNTIFS('QA Log'!D:D,A71,'QA Log'!M:M,"Vignette",'QA Log'!L:L,"Vignette [4]: The management of presumptive TB patient",'QA Log'!Z:Z,"Approved"),"")</f>
        <v/>
      </c>
      <c r="BB71" s="102" t="str">
        <f>IF(A71="","",
  SUM(
    COUNTIFS('QA Log'!D:D,A71,'QA Log'!M:M,"Vignette",'QA Log'!Z:Z,"Rejected",'QA Log'!L:L,"*Vignette [1] Respiratory Infection: Pneumonia*"),
    COUNTIFS('QA Log'!D:D,A71,'QA Log'!M:M,"Vignette",'QA Log'!Z:Z,"Rejected",'QA Log'!L:L,"*Vignette [2]: Diarrhea with Cat B dehydration*"),
    COUNTIFS('QA Log'!D:D,A71,'QA Log'!M:M,"Vignette",'QA Log'!Z:Z,"Rejected",'QA Log'!L:L,"*Vignette [3] Growth Monitoring and Promotion*"),
    COUNTIFS('QA Log'!D:D,A71,'QA Log'!M:M,"Vignette",'QA Log'!Z:Z,"Rejected",'QA Log'!L:L,"*Vignette [4]: The management of presumptive TB patient*")
  )
)</f>
        <v/>
      </c>
      <c r="BC71" s="107" t="str">
        <f t="shared" si="9"/>
        <v/>
      </c>
      <c r="BD71" s="103" t="str">
        <f t="shared" si="10"/>
        <v/>
      </c>
      <c r="BE71" s="102" t="str">
        <f>IF(A71="","",SUM(
COUNTIFS('QA Log'!D:D,A71,'QA Log'!M:M,"Vignette",'QA Log'!L:L,"*Vignette [5] Labor*"),
COUNTIFS('QA Log'!D:D,A71,'QA Log'!M:M,"Vignette",'QA Log'!L:L,"*Vignette [6] PNC pre Discharge*"),
COUNTIFS('QA Log'!D:D,A71,'QA Log'!M:M,"Vignette",'QA Log'!L:L,"*Vignette [7] First ANC Visit*"),
COUNTIFS('QA Log'!D:D,A71,'QA Log'!M:M,"Vignette",'QA Log'!L:L,"*Vignette [8] Birth Spacing/ Family Planning :  FP Counselling*"),
COUNTIFS('QA Log'!D:D,A71,'QA Log'!M:M,"Vignette",'QA Log'!L:L,"*Vignette [9] Birth Spacing: Change FP method to Injectable*"),
COUNTIFS('QA Log'!D:D,A71,'QA Log'!M:M,"Vignette",'QA Log'!L:L,"*Vignette [10] Post Partum Haemorrhage - Atonic Uterus at Health Centre*"),
)
)</f>
        <v/>
      </c>
      <c r="BF71" s="102" t="str">
        <f>IF(A71="","",
  SUM(
    COUNTIFS('QA Log'!D:D,A71,'QA Log'!M:M,"Vignette",'QA Log'!Z:Z,"Approved",'QA Log'!L:L,"*Vignette [5] Labor*"),
    COUNTIFS('QA Log'!D:D,A71,'QA Log'!M:M,"Vignette",'QA Log'!Z:Z,"Approved",'QA Log'!L:L,"*Vignette [6] PNC pre Discharge*"),
    COUNTIFS('QA Log'!D:D,A71,'QA Log'!M:M,"Vignette",'QA Log'!Z:Z,"Approved",'QA Log'!L:L,"*Vignette [7] First ANC Visit*"),
    COUNTIFS('QA Log'!D:D,A71,'QA Log'!M:M,"Vignette",'QA Log'!Z:Z,"Approved",'QA Log'!L:L,"*Vignette [8] Birth Spacing/ Family Planning :  FP Counselling*"),
    COUNTIFS('QA Log'!D:D,A71,'QA Log'!M:M,"Vignette",'QA Log'!Z:Z,"Approved",'QA Log'!L:L,"*Vignette [9] Birth Spacing: Change FP method to Injectable*"),
    COUNTIFS('QA Log'!D:D,A71,'QA Log'!M:M,"Vignette",'QA Log'!Z:Z,"Approved",'QA Log'!L:L,"*Vignette [10] Post Partum Haemorrhage - Atonic Uterus at Health Centre*")
  )
)</f>
        <v/>
      </c>
      <c r="BG71" s="105" t="str">
        <f>IF(A71&lt;&gt;"",COUNTIFS('QA Log'!D:D,A71,'QA Log'!M:M,"Vignette",'QA Log'!L:L,"Vignette [5] Labor",'QA Log'!Z:Z,"Approved"),"")</f>
        <v/>
      </c>
      <c r="BH71" s="105" t="str">
        <f>IF(A71&lt;&gt;"",COUNTIFS('QA Log'!D:D,A71,'QA Log'!M:M,"Vignette",'QA Log'!L:L,"Vignette [6] PNC pre Discharge",'QA Log'!Z:Z,"Approved"),"")</f>
        <v/>
      </c>
      <c r="BI71" s="105" t="str">
        <f>IF(A71&lt;&gt;"",COUNTIFS('QA Log'!D:D,A71,'QA Log'!M:M,"Vignette",'QA Log'!L:L,"Vignette [7] First ANC Visit",'QA Log'!Z:Z,"Approved"),"")</f>
        <v/>
      </c>
      <c r="BJ71" s="105" t="str">
        <f>IF(A71&lt;&gt;"",COUNTIFS('QA Log'!D:D,A71,'QA Log'!M:M,"Vignette",'QA Log'!L:L,"Vignette [8] Birth Spacing/ Family Planning :  FP Counselling",'QA Log'!Z:Z,"Approved"),"")</f>
        <v/>
      </c>
      <c r="BK71" s="105" t="str">
        <f>IF(A71&lt;&gt;"",COUNTIFS('QA Log'!D:D,A71,'QA Log'!M:M,"Vignette",'QA Log'!L:L,"Vignette [9] Birth Spacing: Change FP method to Injectable",'QA Log'!Z:Z,"Approved"),"")</f>
        <v/>
      </c>
      <c r="BL71" s="105" t="str">
        <f>IF(A71&lt;&gt;"",COUNTIFS('QA Log'!D:D,A71,'QA Log'!M:M,"Vignette",'QA Log'!L:L,"Vignette [10] Post Partum Haemorrhage - Atonic Uterus at Health Centre",'QA Log'!Z:Z,"Approved"),"")</f>
        <v/>
      </c>
      <c r="BM71" s="102" t="str">
        <f>IF(A71="","",SUM(
    COUNTIFS('QA Log'!D:D,A71,'QA Log'!M:M,"Vignette",'QA Log'!Z:Z,"Rejected",'QA Log'!L:L,"*Vignette [5] Labor*"),
    COUNTIFS('QA Log'!D:D,A71,'QA Log'!M:M,"Vignette",'QA Log'!Z:Z,"Rejected",'QA Log'!L:L,"*Vignette [6] PNC pre Discharge*"),
    COUNTIFS('QA Log'!D:D,A71,'QA Log'!M:M,"Vignette",'QA Log'!Z:Z,"Rejected",'QA Log'!L:L,"*Vignette [7] First ANC Visit*"),
    COUNTIFS('QA Log'!D:D,A71,'QA Log'!M:M,"Vignette",'QA Log'!Z:Z,"Rejected",'QA Log'!L:L,"*Vignette [8] Birth Spacing/ Family Planning :  FP Counselling*"),
    COUNTIFS('QA Log'!D:D,A71,'QA Log'!M:M,"Vignette",'QA Log'!Z:Z,"Rejected",'QA Log'!L:L,"*Vignette [9] Birth Spacing: Change FP method to Injectable*"),
    COUNTIFS('QA Log'!D:D,A71,'QA Log'!M:M,"Vignette",'QA Log'!Z:Z,"Rejected",'QA Log'!L:L,"*Vignette [10] Post Partum Haemorrhage - Atonic Uterus at Health Centre*")
  )
)</f>
        <v/>
      </c>
      <c r="BN71" s="107" t="str">
        <f t="shared" si="11"/>
        <v/>
      </c>
      <c r="BO71" s="103" t="str">
        <f t="shared" si="12"/>
        <v/>
      </c>
      <c r="BP71" s="102" t="str">
        <f>IF(A71="","",SUM(
COUNTIFS('QA Log'!D:D,A71,'QA Log'!M:M,"Vignette",'QA Log'!L:L,"*Exit Interview 1*"),
COUNTIFS('QA Log'!D:D,A71,'QA Log'!M:M,"Vignette",'QA Log'!L:L,"*Exit Interview 2*"),
)
)</f>
        <v/>
      </c>
      <c r="BQ71" s="102" t="str">
        <f>IF(
  A71="","",
  SUM(
    COUNTIFS('QA Log'!D:D,A71,'QA Log'!M:M,"Vignette",'QA Log'!Z:Z,"Approved",'QA Log'!L:L,"*Exit Interview 1*"),
    COUNTIFS('QA Log'!D:D,A71,'QA Log'!M:M,"Vignette",'QA Log'!Z:Z,"Approved",'QA Log'!L:L,"*Exit Interview 2*")
  )
)</f>
        <v/>
      </c>
      <c r="BR71" s="105" t="str">
        <f>IF(A71&lt;&gt;"",COUNTIFS('QA Log'!D:D,A71,'QA Log'!M:M,"Vignette",'QA Log'!L:L,"Exit Interview 1",'QA Log'!Z:Z,"Approved"),"")</f>
        <v/>
      </c>
      <c r="BS71" s="105" t="str">
        <f>IF(A71&lt;&gt;"",COUNTIFS('QA Log'!D:D,A71,'QA Log'!M:M,"Vignette",'QA Log'!L:L,"Exit Interview 2",'QA Log'!Z:Z,"Approved"),"")</f>
        <v/>
      </c>
      <c r="BT71" s="102" t="str">
        <f>IF(
  A71="","",
  SUM(
    COUNTIFS('QA Log'!D:D,A71,'QA Log'!M:M,"Vignette",'QA Log'!Z:Z,"Rejected",'QA Log'!L:L,"*Exit Interview 1*"),
    COUNTIFS('QA Log'!D:D,A71,'QA Log'!M:M,"Vignette",'QA Log'!Z:Z,"Rejected",'QA Log'!L:L,"*Exit Interview 2*")
  )
)</f>
        <v/>
      </c>
      <c r="BU71" s="107" t="str">
        <f t="shared" si="13"/>
        <v/>
      </c>
      <c r="BV71" s="102" t="str">
        <f t="shared" si="14"/>
        <v/>
      </c>
      <c r="BW71" s="102" t="str">
        <f t="shared" si="15"/>
        <v/>
      </c>
      <c r="BX71" s="102" t="str">
        <f t="shared" si="16"/>
        <v/>
      </c>
      <c r="BY71" s="102" t="str">
        <f t="shared" si="17"/>
        <v/>
      </c>
      <c r="BZ71" s="107" t="str">
        <f t="shared" si="18"/>
        <v/>
      </c>
      <c r="CA71" s="108" t="str">
        <f t="shared" si="19"/>
        <v/>
      </c>
      <c r="CB71" s="108" t="str">
        <f t="shared" si="20"/>
        <v/>
      </c>
      <c r="CC71" s="109" t="str">
        <f t="shared" si="21"/>
        <v/>
      </c>
      <c r="CD71" s="108" t="str">
        <f t="shared" si="22"/>
        <v/>
      </c>
      <c r="CE71" s="108" t="str">
        <f t="shared" si="23"/>
        <v/>
      </c>
      <c r="CF71" s="109" t="str">
        <f t="shared" si="24"/>
        <v/>
      </c>
      <c r="CG71" s="110" t="str">
        <f t="shared" si="25"/>
        <v/>
      </c>
      <c r="CH71" s="111"/>
    </row>
    <row r="72" spans="1:86" ht="12.75">
      <c r="A72" s="101"/>
      <c r="B72" s="102" t="e">
        <f t="array" aca="1" ref="B72" ca="1">_xludf.XLOOKUP(A72,'QA Log'!D:D,'QA Log'!E:E,"")</f>
        <v>#NAME?</v>
      </c>
      <c r="C72" s="102" t="e">
        <f t="array" aca="1" ref="C72" ca="1">_xludf.XLOOKUP(A72,'QA Log'!D:D,'QA Log'!F:F,"")</f>
        <v>#NAME?</v>
      </c>
      <c r="D72" s="102" t="e">
        <f t="array" aca="1" ref="D72" ca="1">_xludf.XLOOKUP(A72,'QA Log'!D:D,'QA Log'!H:H,"")</f>
        <v>#NAME?</v>
      </c>
      <c r="E72" s="102" t="e">
        <f t="array" aca="1" ref="E72" ca="1">_xludf.XLOOKUP(A72,'QA Log'!D:D,'QA Log'!G:G,"")</f>
        <v>#NAME?</v>
      </c>
      <c r="F72" s="103"/>
      <c r="G72" s="104"/>
      <c r="H72" s="104"/>
      <c r="I72" s="103" t="str">
        <f t="shared" si="0"/>
        <v/>
      </c>
      <c r="J72" s="102" t="str">
        <f>IF(A72="","",SUM(
COUNTIFS('QA Log'!D:D,A72,'QA Log'!M:M,"QQC",'QA Log'!L:L,"*1. General Management*"),
COUNTIFS('QA Log'!D:D,A72,'QA Log'!M:M,"QQC",'QA Log'!L:L,"*3. Curative Consultation (OPD)*"),
COUNTIFS('QA Log'!D:D,A72,'QA Log'!M:M,"QQC",'QA Log'!L:L,"*5. Laboratory*"),
COUNTIFS('QA Log'!D:D,A72,'QA Log'!M:M,"QQC",'QA Log'!L:L,"*6. Essential Medicine Management*"),
COUNTIFS('QA Log'!D:D,A72,'QA Log'!M:M,"QQC",'QA Log'!L:L,"*7. Tracer Medicine*"),
COUNTIFS('QA Log'!D:D,A72,'QA Log'!M:M,"QQC",'QA Log'!L:L,"*11. Additional Questions*")))</f>
        <v/>
      </c>
      <c r="K72" s="102" t="str">
        <f>IF(A72="","",SUM(
COUNTIFS('QA Log'!D:D,A72,'QA Log'!M:M,"QQC",'QA Log'!Z:Z,"Approved",'QA Log'!L:L,"*1. General Management*"),
COUNTIFS('QA Log'!D:D,A72,'QA Log'!M:M,"QQC",'QA Log'!Z:Z,"Approved",'QA Log'!L:L,"*3. Curative Consultation (OPD)*"),
COUNTIFS('QA Log'!D:D,A72,'QA Log'!M:M,"QQC",'QA Log'!Z:Z,"Approved",'QA Log'!L:L,"*5. Laboratory*"),
COUNTIFS('QA Log'!D:D,A72,'QA Log'!M:M,"QQC",'QA Log'!Z:Z,"Approved",'QA Log'!L:L,"*6. Essential Medicine Management*"),
COUNTIFS('QA Log'!D:D,A72,'QA Log'!M:M,"QQC",'QA Log'!Z:Z,"Approved",'QA Log'!L:L,"*7. Tracer Medicine*"),
COUNTIFS('QA Log'!D:D,A72,'QA Log'!M:M,"QQC",'QA Log'!Z:Z,"Approved",'QA Log'!L:L,"*11. Additional Questions*")))</f>
        <v/>
      </c>
      <c r="L72" s="105" t="str">
        <f>IF(A72&lt;&gt;"",COUNTIFS('QA Log'!D:D,A72,'QA Log'!M:M,"QQC",'QA Log'!L:L,"1. General Management",'QA Log'!Z:Z,"Approved"),"")</f>
        <v/>
      </c>
      <c r="M72" s="105" t="str">
        <f>IF(A72&lt;&gt;"",COUNTIFS('QA Log'!D:D,A72,'QA Log'!M:M,"QQC",'QA Log'!L:L,"3. Curative Consultation (OPD)",'QA Log'!Z:Z,"Approved"),"")</f>
        <v/>
      </c>
      <c r="N72" s="105" t="str">
        <f>IF(A72&lt;&gt;"",COUNTIFS('QA Log'!D:D,A72,'QA Log'!M:M,"QQC",'QA Log'!L:L,"5. Laboratory",'QA Log'!Z:Z,"Approved"),"")</f>
        <v/>
      </c>
      <c r="O72" s="105" t="str">
        <f>IF(A72&lt;&gt;"",COUNTIFS('QA Log'!D:D,A72,'QA Log'!M:M,"QQC",'QA Log'!L:L,"6. Essential Medicine Management",'QA Log'!Z:Z,"Approved"),"")</f>
        <v/>
      </c>
      <c r="P72" s="105" t="str">
        <f>IF(A72&lt;&gt;"",COUNTIFS('QA Log'!D:D,A72,'QA Log'!M:M,"QQC",'QA Log'!L:L,"7. Tracer Medicine",'QA Log'!Z:Z,"Approved"),"")</f>
        <v/>
      </c>
      <c r="Q72" s="105" t="str">
        <f>IF(A72&lt;&gt;"",COUNTIFS('QA Log'!D:D,A72,'QA Log'!M:M,"QQC",'QA Log'!L:L,"11. Additional Questions",'QA Log'!Z:Z,"Approved"),"")</f>
        <v/>
      </c>
      <c r="R72" s="102" t="str">
        <f>IF(A72="","",SUM(
COUNTIFS('QA Log'!D:D,A72,'QA Log'!M:M,"QQC",'QA Log'!Z:Z,"Rejected",'QA Log'!L:L,"*8. Maternity*"),
COUNTIFS('QA Log'!D:D,A72,'QA Log'!M:M,"QQC",'QA Log'!Z:Z,"Rejected",'QA Log'!L:L,"*EPI*"),
COUNTIFS('QA Log'!D:D,A72,'QA Log'!M:M,"QQC",'QA Log'!Z:Z,"Rejected",'QA Log'!L:L,"*10. Antenatal Care (ANC)*"),
COUNTIFS('QA Log'!D:D,A72,'QA Log'!M:M,"QQC",'QA Log'!Z:Z,"Rejected",'QA Log'!L:L,"*2. Hygiene and Sterilization*"),
COUNTIFS('QA Log'!D:D,A72,'QA Log'!M:M,"QQC",'QA Log'!Z:Z,"Rejected",'QA Log'!L:L,"*Family Planning*")))</f>
        <v/>
      </c>
      <c r="S72" s="106" t="str">
        <f t="shared" si="1"/>
        <v/>
      </c>
      <c r="T72" s="102" t="str">
        <f t="shared" si="2"/>
        <v/>
      </c>
      <c r="U72" s="102" t="str">
        <f>IF(A72="","",
SUM(
COUNTIFS('QA Log'!D:D,A72,'QA Log'!M:M,"QQC",'QA Log'!L:L,"*8. Maternity*"),
COUNTIFS('QA Log'!D:D,A72,'QA Log'!M:M,"QQC",'QA Log'!L:L,"*9. EPI and Pre-school Consultation*"),
COUNTIFS('QA Log'!D:D,A72,'QA Log'!M:M,"QQC",'QA Log'!L:L,"*10. Antenatal Care (ANC)*"),
COUNTIFS('QA Log'!D:D,A72,'QA Log'!M:M,"QQC",'QA Log'!L:L,"*2. Hygiene and Sterilization*"),
COUNTIFS('QA Log'!D:D,A72,'QA Log'!M:M,"QQC",'QA Log'!L:L,"*4. Family Planning*")
))</f>
        <v/>
      </c>
      <c r="V72" s="102" t="str">
        <f>IF(A72="","",
SUM(
COUNTIFS('QA Log'!D:D,A72,'QA Log'!M:M,"QQC",'QA Log'!Z:Z,"Approved",'QA Log'!L:L,"*8. Maternity*"),
COUNTIFS('QA Log'!D:D,A72,'QA Log'!M:M,"QQC",'QA Log'!Z:Z,"Approved",'QA Log'!L:L,"*9. EPI and Pre-school Consultation*"),
COUNTIFS('QA Log'!D:D,A72,'QA Log'!M:M,"QQC",'QA Log'!Z:Z,"Approved",'QA Log'!L:L,"*10. Antenatal Care (ANC)*"),
COUNTIFS('QA Log'!D:D,A72,'QA Log'!M:M,"QQC",'QA Log'!Z:Z,"Approved",'QA Log'!L:L,"*2. Hygiene and Sterilization*"),
COUNTIFS('QA Log'!D:D,A72,'QA Log'!M:M,"QQC",'QA Log'!Z:Z,"Approved",'QA Log'!L:L,"*4. Family Planning*")
))</f>
        <v/>
      </c>
      <c r="W72" s="105" t="str">
        <f>IF(A72&lt;&gt;"",COUNTIFS('QA Log'!D:D,A72,'QA Log'!M:M,"QQC",'QA Log'!L:L,"8. Maternity",'QA Log'!Z:Z,"Approved"),"")</f>
        <v/>
      </c>
      <c r="X72" s="105" t="str">
        <f>IF(A72&lt;&gt;"",COUNTIFS('QA Log'!D:D,A72,'QA Log'!M:M,"QQC",'QA Log'!L:L,"9. EPI and Pre-school Consultation",'QA Log'!Z:Z,"Approved"),"")</f>
        <v/>
      </c>
      <c r="Y72" s="105" t="str">
        <f>IF(A72&lt;&gt;"",COUNTIFS('QA Log'!D:D,A72,'QA Log'!M:M,"QQC",'QA Log'!L:L,"10. Antenatal Care (ANC)",'QA Log'!Z:Z,"Approved"),"")</f>
        <v/>
      </c>
      <c r="Z72" s="105" t="str">
        <f>IF(A72&lt;&gt;"",COUNTIFS('QA Log'!D:D,A72,'QA Log'!M:M,"QQC",'QA Log'!L:L,"2. Hygiene and Sterilization",'QA Log'!Z:Z,"Approved"),"")</f>
        <v/>
      </c>
      <c r="AA72" s="105" t="str">
        <f>IF(A72&lt;&gt;"",COUNTIFS('QA Log'!D:D,A72,'QA Log'!M:M,"QQC",'QA Log'!L:L,"4. Family Planning",'QA Log'!Z:Z,"Approved"),"")</f>
        <v/>
      </c>
      <c r="AB72" s="102" t="str">
        <f>IF(A72="","",
SUM(
COUNTIFS('QA Log'!D:D,A72,'QA Log'!M:M,"QQC",'QA Log'!Z:Z,"Rejected",'QA Log'!L:L,"*8. Maternity*"),
COUNTIFS('QA Log'!D:D,A72,'QA Log'!M:M,"QQC",'QA Log'!Z:Z,"Rejected",'QA Log'!L:L,"*9. EPI and Pre-school Consultation*"),
COUNTIFS('QA Log'!D:D,A72,'QA Log'!M:M,"QQC",'QA Log'!Z:Z,"Rejected",'QA Log'!L:L,"*10. Antenatal Care (ANC)*"),
COUNTIFS('QA Log'!D:D,A72,'QA Log'!M:M,"QQC",'QA Log'!Z:Z,"Rejected",'QA Log'!L:L,"*2. Hygiene and Sterilization*"),
COUNTIFS('QA Log'!D:D,A72,'QA Log'!M:M,"QQC",'QA Log'!Z:Z,"Rejected",'QA Log'!L:L,"*4. Family Planning*")
))</f>
        <v/>
      </c>
      <c r="AC72" s="102" t="str">
        <f t="shared" si="3"/>
        <v/>
      </c>
      <c r="AD72" s="103" t="str">
        <f t="shared" si="4"/>
        <v/>
      </c>
      <c r="AE72" s="102" t="str">
        <f>IF(A72="","",
SUM(
COUNTIFS('QA Log'!D:D,A72,'QA Log'!M:M,"Data Verification",'QA Log'!L:L,"*Medicine (section 2)*"),
COUNTIFS('QA Log'!D:D,A72,'QA Log'!M:M,"Data Verification",'QA Log'!L:L,"*Lab Testing Availability*"),
COUNTIFS('QA Log'!D:D,A72,'QA Log'!M:M,"Data Verification",'QA Log'!L:L,"*Other than P4P (section 6)*"),
COUNTIFS('QA Log'!D:D,A72,'QA Log'!M:M,"Data Verification",'QA Log'!L:L,"*Hospital Governance*")
))</f>
        <v/>
      </c>
      <c r="AF72" s="102" t="str">
        <f>IF(A72="","",
SUM(
COUNTIFS('QA Log'!D:D,A72,'QA Log'!M:M,"Data Verification",'QA Log'!Z:Z,"Approved",'QA Log'!L:L,"*Medicine (section 2)*"),
COUNTIFS('QA Log'!D:D,A72,'QA Log'!M:M,"Data Verification",'QA Log'!Z:Z,"Approved",'QA Log'!L:L,"*Lab Testing Availability*"),
COUNTIFS('QA Log'!D:D,A72,'QA Log'!M:M,"Data Verification",'QA Log'!Z:Z,"Approved",'QA Log'!L:L,"*Other than P4P (section 6)*"),
COUNTIFS('QA Log'!D:D,A72,'QA Log'!M:M,"Data Verification",'QA Log'!Z:Z,"Approved",'QA Log'!L:L,"*Hospital Governance*")
))</f>
        <v/>
      </c>
      <c r="AG72" s="105" t="str">
        <f>IF(A72&lt;&gt;"",COUNTIFS('QA Log'!D:D,A72,'QA Log'!M:M,"Data Verification",'QA Log'!L:L,"Medicine (section 2)",'QA Log'!Z:Z,"Approved"),"")</f>
        <v/>
      </c>
      <c r="AH72" s="105" t="str">
        <f>IF(A72&lt;&gt;"",COUNTIFS('QA Log'!D:D,A72,'QA Log'!M:M,"Data Verification",'QA Log'!L:L,"Lab Testing Availability",'QA Log'!Z:Z,"Approved"),"")</f>
        <v/>
      </c>
      <c r="AI72" s="105" t="str">
        <f>IF(A72&lt;&gt;"",COUNTIFS('QA Log'!D:D,A72,'QA Log'!M:M,"Data Verification",'QA Log'!L:L,"Other than P4P (section 6)",'QA Log'!Z:Z,"Approved"),"")</f>
        <v/>
      </c>
      <c r="AJ72" s="105" t="str">
        <f>IF(A72&lt;&gt;"",COUNTIFS('QA Log'!D:D,A72,'QA Log'!M:M,"Data Verification",'QA Log'!L:L,"Hospital Governance",'QA Log'!Z:Z,"Approved"),"")</f>
        <v/>
      </c>
      <c r="AK72" s="102" t="str">
        <f>IF(A72="","",
SUM(
COUNTIFS('QA Log'!D:D,A72,'QA Log'!M:M,"Data Verification",'QA Log'!Z:Z,"Rejected",'QA Log'!L:L,"*Medicine (section 2)*"),
COUNTIFS('QA Log'!D:D,A72,'QA Log'!M:M,"Data Verification",'QA Log'!Z:Z,"Rejected",'QA Log'!L:L,"*Lab Testing Availability*"),
COUNTIFS('QA Log'!D:D,A72,'QA Log'!M:M,"Data Verification",'QA Log'!Z:Z,"Rejected",'QA Log'!L:L,"*Other than P4P (section 6)*"),
COUNTIFS('QA Log'!D:D,A72,'QA Log'!M:M,"Data Verification",'QA Log'!Z:Z,"Rejected",'QA Log'!L:L,"*Hospital Governance*")
))</f>
        <v/>
      </c>
      <c r="AL72" s="106" t="str">
        <f t="shared" si="5"/>
        <v/>
      </c>
      <c r="AM72" s="102" t="str">
        <f t="shared" si="6"/>
        <v/>
      </c>
      <c r="AN72" s="102" t="str">
        <f>IF(A72="","",
SUM(
COUNTIFS('QA Log'!D:D,A72,'QA Log'!M:M,"Data Verification",'QA Log'!L:L,"*Personnel (section 1)*"),
COUNTIFS('QA Log'!D:D,A72,'QA Log'!M:M,"Data Verification",'QA Log'!L:L,"*Consumable (section 3)*"),
COUNTIFS('QA Log'!D:D,A72,'QA Log'!M:M,"Data Verification",'QA Log'!L:L,"*Equipments (section 4)*")
))</f>
        <v/>
      </c>
      <c r="AO72" s="102" t="str">
        <f>IF(A72="","",
SUM(
COUNTIFS('QA Log'!D:D,A72,'QA Log'!M:M,"Data Verification",'QA Log'!Z:Z,"Approved",'QA Log'!L:L,"*Personnel (section 1)*"),
COUNTIFS('QA Log'!D:D,A72,'QA Log'!M:M,"Data Verification",'QA Log'!Z:Z,"Approved",'QA Log'!L:L,"*Consumable (section 3)*"),
COUNTIFS('QA Log'!D:D,A72,'QA Log'!M:M,"Data Verification",'QA Log'!Z:Z,"Approved",'QA Log'!L:L,"*Equipments (section 4)*")
))</f>
        <v/>
      </c>
      <c r="AP72" s="105" t="str">
        <f>IF(A72&lt;&gt;"",COUNTIFS('QA Log'!D:D,A72,'QA Log'!M:M,"Data Verification",'QA Log'!L:L,"Personnel (section 1)",'QA Log'!Z:Z,"Approved"),"")</f>
        <v/>
      </c>
      <c r="AQ72" s="105" t="str">
        <f>IF(A72&lt;&gt;"",COUNTIFS('QA Log'!D:D,A72,'QA Log'!M:M,"Data Verification",'QA Log'!L:L,"Consumable (section 3)",'QA Log'!Z:Z,"Approved"),"")</f>
        <v/>
      </c>
      <c r="AR72" s="105" t="str">
        <f>IF(A72&lt;&gt;"",COUNTIFS('QA Log'!D:D,A72,'QA Log'!M:M,"Data Verification",'QA Log'!L:L,"Equipments (section 4)",'QA Log'!Z:Z,"Approved"),"")</f>
        <v/>
      </c>
      <c r="AS72" s="102" t="str">
        <f>IF(A72="","",
SUM(
COUNTIFS('QA Log'!D:D,A72,'QA Log'!M:M,"Data Verification",'QA Log'!Z:Z,"Rejected",'QA Log'!L:L,"*Personnel (section 1)*"),
COUNTIFS('QA Log'!D:D,A72,'QA Log'!M:M,"Data Verification",'QA Log'!Z:Z,"Rejected",'QA Log'!L:L,"*Consumable (section 3)*"),
COUNTIFS('QA Log'!D:D,A72,'QA Log'!M:M,"Data Verification",'QA Log'!Z:Z,"Rejected",'QA Log'!L:L,"*Equipments (section 4)*")
))</f>
        <v/>
      </c>
      <c r="AT72" s="102" t="str">
        <f t="shared" si="7"/>
        <v/>
      </c>
      <c r="AU72" s="103" t="str">
        <f t="shared" si="8"/>
        <v/>
      </c>
      <c r="AV72" s="102" t="str">
        <f>IF(A72="","",SUM(
COUNTIFS('QA Log'!D:D,A72,'QA Log'!M:M,"Vignette",'QA Log'!L:L,"*Vignette [1] Respiratory Infection: Pneumonia*"),
COUNTIFS('QA Log'!D:D,A72,'QA Log'!M:M,"Vignette",'QA Log'!L:L,"*Vignette [2]: Diarrhea with Cat B dehydration*"),
COUNTIFS('QA Log'!D:D,A72,'QA Log'!M:M,"Vignette",'QA Log'!L:L,"*Vignette [3] Growth Monitoring and Promotion*"),
COUNTIFS('QA Log'!D:D,A72,'QA Log'!M:M,"Vignette",'QA Log'!L:L,"*Vignette [4]: The management of presumptive TB patient*")
)
)</f>
        <v/>
      </c>
      <c r="AW72" s="102" t="str">
        <f>IF(
  A72="","",
  SUM(
    COUNTIFS('QA Log'!D:D,A72,'QA Log'!M:M,"Vignette",'QA Log'!Z:Z,"Approved",'QA Log'!L:L,"*Vignette [1] Respiratory Infection: Pneumonia*"),
    COUNTIFS('QA Log'!D:D,A72,'QA Log'!M:M,"Vignette",'QA Log'!Z:Z,"Approved",'QA Log'!L:L,"*Vignette [2]: Diarrhea with Cat B dehydration*"),
    COUNTIFS('QA Log'!D:D,A72,'QA Log'!M:M,"Vignette",'QA Log'!Z:Z,"Approved",'QA Log'!L:L,"*Vignette [3] Growth Monitoring and Promotion*"),
    COUNTIFS('QA Log'!D:D,A72,'QA Log'!M:M,"Vignette",'QA Log'!Z:Z,"Approved",'QA Log'!L:L,"*Vignette [4]: The management of presumptive TB patient*")
  )
)</f>
        <v/>
      </c>
      <c r="AX72" s="105" t="str">
        <f>IF(A72&lt;&gt;"",COUNTIFS('QA Log'!D:D,A72,'QA Log'!M:M,"Vignette",'QA Log'!L:L,"Vignette [1] Respiratory Infection: Pneumonia",'QA Log'!Z:Z,"Approved"),"")</f>
        <v/>
      </c>
      <c r="AY72" s="105" t="str">
        <f>IF(A72&lt;&gt;"",COUNTIFS('QA Log'!D:D,A72,'QA Log'!M:M,"Vignette",'QA Log'!L:L,"Vignette [2]: Diarrhea with Cat B dehydration",'QA Log'!Z:Z,"Approved"),"")</f>
        <v/>
      </c>
      <c r="AZ72" s="105" t="str">
        <f>IF(A72&lt;&gt;"",COUNTIFS('QA Log'!D:D,A72,'QA Log'!M:M,"Vignette",'QA Log'!L:L,"Vignette [3] Growth Monitoring and Promotion",'QA Log'!Z:Z,"Approved"),"")</f>
        <v/>
      </c>
      <c r="BA72" s="105" t="str">
        <f>IF(A72&lt;&gt;"",COUNTIFS('QA Log'!D:D,A72,'QA Log'!M:M,"Vignette",'QA Log'!L:L,"Vignette [4]: The management of presumptive TB patient",'QA Log'!Z:Z,"Approved"),"")</f>
        <v/>
      </c>
      <c r="BB72" s="102" t="str">
        <f>IF(A72="","",
  SUM(
    COUNTIFS('QA Log'!D:D,A72,'QA Log'!M:M,"Vignette",'QA Log'!Z:Z,"Rejected",'QA Log'!L:L,"*Vignette [1] Respiratory Infection: Pneumonia*"),
    COUNTIFS('QA Log'!D:D,A72,'QA Log'!M:M,"Vignette",'QA Log'!Z:Z,"Rejected",'QA Log'!L:L,"*Vignette [2]: Diarrhea with Cat B dehydration*"),
    COUNTIFS('QA Log'!D:D,A72,'QA Log'!M:M,"Vignette",'QA Log'!Z:Z,"Rejected",'QA Log'!L:L,"*Vignette [3] Growth Monitoring and Promotion*"),
    COUNTIFS('QA Log'!D:D,A72,'QA Log'!M:M,"Vignette",'QA Log'!Z:Z,"Rejected",'QA Log'!L:L,"*Vignette [4]: The management of presumptive TB patient*")
  )
)</f>
        <v/>
      </c>
      <c r="BC72" s="107" t="str">
        <f t="shared" si="9"/>
        <v/>
      </c>
      <c r="BD72" s="103" t="str">
        <f t="shared" si="10"/>
        <v/>
      </c>
      <c r="BE72" s="102" t="str">
        <f>IF(A72="","",SUM(
COUNTIFS('QA Log'!D:D,A72,'QA Log'!M:M,"Vignette",'QA Log'!L:L,"*Vignette [5] Labor*"),
COUNTIFS('QA Log'!D:D,A72,'QA Log'!M:M,"Vignette",'QA Log'!L:L,"*Vignette [6] PNC pre Discharge*"),
COUNTIFS('QA Log'!D:D,A72,'QA Log'!M:M,"Vignette",'QA Log'!L:L,"*Vignette [7] First ANC Visit*"),
COUNTIFS('QA Log'!D:D,A72,'QA Log'!M:M,"Vignette",'QA Log'!L:L,"*Vignette [8] Birth Spacing/ Family Planning :  FP Counselling*"),
COUNTIFS('QA Log'!D:D,A72,'QA Log'!M:M,"Vignette",'QA Log'!L:L,"*Vignette [9] Birth Spacing: Change FP method to Injectable*"),
COUNTIFS('QA Log'!D:D,A72,'QA Log'!M:M,"Vignette",'QA Log'!L:L,"*Vignette [10] Post Partum Haemorrhage - Atonic Uterus at Health Centre*"),
)
)</f>
        <v/>
      </c>
      <c r="BF72" s="102" t="str">
        <f>IF(A72="","",
  SUM(
    COUNTIFS('QA Log'!D:D,A72,'QA Log'!M:M,"Vignette",'QA Log'!Z:Z,"Approved",'QA Log'!L:L,"*Vignette [5] Labor*"),
    COUNTIFS('QA Log'!D:D,A72,'QA Log'!M:M,"Vignette",'QA Log'!Z:Z,"Approved",'QA Log'!L:L,"*Vignette [6] PNC pre Discharge*"),
    COUNTIFS('QA Log'!D:D,A72,'QA Log'!M:M,"Vignette",'QA Log'!Z:Z,"Approved",'QA Log'!L:L,"*Vignette [7] First ANC Visit*"),
    COUNTIFS('QA Log'!D:D,A72,'QA Log'!M:M,"Vignette",'QA Log'!Z:Z,"Approved",'QA Log'!L:L,"*Vignette [8] Birth Spacing/ Family Planning :  FP Counselling*"),
    COUNTIFS('QA Log'!D:D,A72,'QA Log'!M:M,"Vignette",'QA Log'!Z:Z,"Approved",'QA Log'!L:L,"*Vignette [9] Birth Spacing: Change FP method to Injectable*"),
    COUNTIFS('QA Log'!D:D,A72,'QA Log'!M:M,"Vignette",'QA Log'!Z:Z,"Approved",'QA Log'!L:L,"*Vignette [10] Post Partum Haemorrhage - Atonic Uterus at Health Centre*")
  )
)</f>
        <v/>
      </c>
      <c r="BG72" s="105" t="str">
        <f>IF(A72&lt;&gt;"",COUNTIFS('QA Log'!D:D,A72,'QA Log'!M:M,"Vignette",'QA Log'!L:L,"Vignette [5] Labor",'QA Log'!Z:Z,"Approved"),"")</f>
        <v/>
      </c>
      <c r="BH72" s="105" t="str">
        <f>IF(A72&lt;&gt;"",COUNTIFS('QA Log'!D:D,A72,'QA Log'!M:M,"Vignette",'QA Log'!L:L,"Vignette [6] PNC pre Discharge",'QA Log'!Z:Z,"Approved"),"")</f>
        <v/>
      </c>
      <c r="BI72" s="105" t="str">
        <f>IF(A72&lt;&gt;"",COUNTIFS('QA Log'!D:D,A72,'QA Log'!M:M,"Vignette",'QA Log'!L:L,"Vignette [7] First ANC Visit",'QA Log'!Z:Z,"Approved"),"")</f>
        <v/>
      </c>
      <c r="BJ72" s="105" t="str">
        <f>IF(A72&lt;&gt;"",COUNTIFS('QA Log'!D:D,A72,'QA Log'!M:M,"Vignette",'QA Log'!L:L,"Vignette [8] Birth Spacing/ Family Planning :  FP Counselling",'QA Log'!Z:Z,"Approved"),"")</f>
        <v/>
      </c>
      <c r="BK72" s="105" t="str">
        <f>IF(A72&lt;&gt;"",COUNTIFS('QA Log'!D:D,A72,'QA Log'!M:M,"Vignette",'QA Log'!L:L,"Vignette [9] Birth Spacing: Change FP method to Injectable",'QA Log'!Z:Z,"Approved"),"")</f>
        <v/>
      </c>
      <c r="BL72" s="105" t="str">
        <f>IF(A72&lt;&gt;"",COUNTIFS('QA Log'!D:D,A72,'QA Log'!M:M,"Vignette",'QA Log'!L:L,"Vignette [10] Post Partum Haemorrhage - Atonic Uterus at Health Centre",'QA Log'!Z:Z,"Approved"),"")</f>
        <v/>
      </c>
      <c r="BM72" s="102" t="str">
        <f>IF(A72="","",SUM(
    COUNTIFS('QA Log'!D:D,A72,'QA Log'!M:M,"Vignette",'QA Log'!Z:Z,"Rejected",'QA Log'!L:L,"*Vignette [5] Labor*"),
    COUNTIFS('QA Log'!D:D,A72,'QA Log'!M:M,"Vignette",'QA Log'!Z:Z,"Rejected",'QA Log'!L:L,"*Vignette [6] PNC pre Discharge*"),
    COUNTIFS('QA Log'!D:D,A72,'QA Log'!M:M,"Vignette",'QA Log'!Z:Z,"Rejected",'QA Log'!L:L,"*Vignette [7] First ANC Visit*"),
    COUNTIFS('QA Log'!D:D,A72,'QA Log'!M:M,"Vignette",'QA Log'!Z:Z,"Rejected",'QA Log'!L:L,"*Vignette [8] Birth Spacing/ Family Planning :  FP Counselling*"),
    COUNTIFS('QA Log'!D:D,A72,'QA Log'!M:M,"Vignette",'QA Log'!Z:Z,"Rejected",'QA Log'!L:L,"*Vignette [9] Birth Spacing: Change FP method to Injectable*"),
    COUNTIFS('QA Log'!D:D,A72,'QA Log'!M:M,"Vignette",'QA Log'!Z:Z,"Rejected",'QA Log'!L:L,"*Vignette [10] Post Partum Haemorrhage - Atonic Uterus at Health Centre*")
  )
)</f>
        <v/>
      </c>
      <c r="BN72" s="107" t="str">
        <f t="shared" si="11"/>
        <v/>
      </c>
      <c r="BO72" s="103" t="str">
        <f t="shared" si="12"/>
        <v/>
      </c>
      <c r="BP72" s="102" t="str">
        <f>IF(A72="","",SUM(
COUNTIFS('QA Log'!D:D,A72,'QA Log'!M:M,"Vignette",'QA Log'!L:L,"*Exit Interview 1*"),
COUNTIFS('QA Log'!D:D,A72,'QA Log'!M:M,"Vignette",'QA Log'!L:L,"*Exit Interview 2*"),
)
)</f>
        <v/>
      </c>
      <c r="BQ72" s="102" t="str">
        <f>IF(
  A72="","",
  SUM(
    COUNTIFS('QA Log'!D:D,A72,'QA Log'!M:M,"Vignette",'QA Log'!Z:Z,"Approved",'QA Log'!L:L,"*Exit Interview 1*"),
    COUNTIFS('QA Log'!D:D,A72,'QA Log'!M:M,"Vignette",'QA Log'!Z:Z,"Approved",'QA Log'!L:L,"*Exit Interview 2*")
  )
)</f>
        <v/>
      </c>
      <c r="BR72" s="105" t="str">
        <f>IF(A72&lt;&gt;"",COUNTIFS('QA Log'!D:D,A72,'QA Log'!M:M,"Vignette",'QA Log'!L:L,"Exit Interview 1",'QA Log'!Z:Z,"Approved"),"")</f>
        <v/>
      </c>
      <c r="BS72" s="105" t="str">
        <f>IF(A72&lt;&gt;"",COUNTIFS('QA Log'!D:D,A72,'QA Log'!M:M,"Vignette",'QA Log'!L:L,"Exit Interview 2",'QA Log'!Z:Z,"Approved"),"")</f>
        <v/>
      </c>
      <c r="BT72" s="102" t="str">
        <f>IF(
  A72="","",
  SUM(
    COUNTIFS('QA Log'!D:D,A72,'QA Log'!M:M,"Vignette",'QA Log'!Z:Z,"Rejected",'QA Log'!L:L,"*Exit Interview 1*"),
    COUNTIFS('QA Log'!D:D,A72,'QA Log'!M:M,"Vignette",'QA Log'!Z:Z,"Rejected",'QA Log'!L:L,"*Exit Interview 2*")
  )
)</f>
        <v/>
      </c>
      <c r="BU72" s="107" t="str">
        <f t="shared" si="13"/>
        <v/>
      </c>
      <c r="BV72" s="102" t="str">
        <f t="shared" si="14"/>
        <v/>
      </c>
      <c r="BW72" s="102" t="str">
        <f t="shared" si="15"/>
        <v/>
      </c>
      <c r="BX72" s="102" t="str">
        <f t="shared" si="16"/>
        <v/>
      </c>
      <c r="BY72" s="102" t="str">
        <f t="shared" si="17"/>
        <v/>
      </c>
      <c r="BZ72" s="107" t="str">
        <f t="shared" si="18"/>
        <v/>
      </c>
      <c r="CA72" s="108" t="str">
        <f t="shared" si="19"/>
        <v/>
      </c>
      <c r="CB72" s="108" t="str">
        <f t="shared" si="20"/>
        <v/>
      </c>
      <c r="CC72" s="109" t="str">
        <f t="shared" si="21"/>
        <v/>
      </c>
      <c r="CD72" s="108" t="str">
        <f t="shared" si="22"/>
        <v/>
      </c>
      <c r="CE72" s="108" t="str">
        <f t="shared" si="23"/>
        <v/>
      </c>
      <c r="CF72" s="109" t="str">
        <f t="shared" si="24"/>
        <v/>
      </c>
      <c r="CG72" s="110" t="str">
        <f t="shared" si="25"/>
        <v/>
      </c>
      <c r="CH72" s="111"/>
    </row>
    <row r="73" spans="1:86" ht="12.75">
      <c r="A73" s="101"/>
      <c r="B73" s="102" t="e">
        <f t="array" aca="1" ref="B73" ca="1">_xludf.XLOOKUP(A73,'QA Log'!D:D,'QA Log'!E:E,"")</f>
        <v>#NAME?</v>
      </c>
      <c r="C73" s="102" t="e">
        <f t="array" aca="1" ref="C73" ca="1">_xludf.XLOOKUP(A73,'QA Log'!D:D,'QA Log'!F:F,"")</f>
        <v>#NAME?</v>
      </c>
      <c r="D73" s="102" t="e">
        <f t="array" aca="1" ref="D73" ca="1">_xludf.XLOOKUP(A73,'QA Log'!D:D,'QA Log'!H:H,"")</f>
        <v>#NAME?</v>
      </c>
      <c r="E73" s="102" t="e">
        <f t="array" aca="1" ref="E73" ca="1">_xludf.XLOOKUP(A73,'QA Log'!D:D,'QA Log'!G:G,"")</f>
        <v>#NAME?</v>
      </c>
      <c r="F73" s="103"/>
      <c r="G73" s="104"/>
      <c r="H73" s="104"/>
      <c r="I73" s="103" t="str">
        <f t="shared" si="0"/>
        <v/>
      </c>
      <c r="J73" s="102" t="str">
        <f>IF(A73="","",SUM(
COUNTIFS('QA Log'!D:D,A73,'QA Log'!M:M,"QQC",'QA Log'!L:L,"*1. General Management*"),
COUNTIFS('QA Log'!D:D,A73,'QA Log'!M:M,"QQC",'QA Log'!L:L,"*3. Curative Consultation (OPD)*"),
COUNTIFS('QA Log'!D:D,A73,'QA Log'!M:M,"QQC",'QA Log'!L:L,"*5. Laboratory*"),
COUNTIFS('QA Log'!D:D,A73,'QA Log'!M:M,"QQC",'QA Log'!L:L,"*6. Essential Medicine Management*"),
COUNTIFS('QA Log'!D:D,A73,'QA Log'!M:M,"QQC",'QA Log'!L:L,"*7. Tracer Medicine*"),
COUNTIFS('QA Log'!D:D,A73,'QA Log'!M:M,"QQC",'QA Log'!L:L,"*11. Additional Questions*")))</f>
        <v/>
      </c>
      <c r="K73" s="102" t="str">
        <f>IF(A73="","",SUM(
COUNTIFS('QA Log'!D:D,A73,'QA Log'!M:M,"QQC",'QA Log'!Z:Z,"Approved",'QA Log'!L:L,"*1. General Management*"),
COUNTIFS('QA Log'!D:D,A73,'QA Log'!M:M,"QQC",'QA Log'!Z:Z,"Approved",'QA Log'!L:L,"*3. Curative Consultation (OPD)*"),
COUNTIFS('QA Log'!D:D,A73,'QA Log'!M:M,"QQC",'QA Log'!Z:Z,"Approved",'QA Log'!L:L,"*5. Laboratory*"),
COUNTIFS('QA Log'!D:D,A73,'QA Log'!M:M,"QQC",'QA Log'!Z:Z,"Approved",'QA Log'!L:L,"*6. Essential Medicine Management*"),
COUNTIFS('QA Log'!D:D,A73,'QA Log'!M:M,"QQC",'QA Log'!Z:Z,"Approved",'QA Log'!L:L,"*7. Tracer Medicine*"),
COUNTIFS('QA Log'!D:D,A73,'QA Log'!M:M,"QQC",'QA Log'!Z:Z,"Approved",'QA Log'!L:L,"*11. Additional Questions*")))</f>
        <v/>
      </c>
      <c r="L73" s="105" t="str">
        <f>IF(A73&lt;&gt;"",COUNTIFS('QA Log'!D:D,A73,'QA Log'!M:M,"QQC",'QA Log'!L:L,"1. General Management",'QA Log'!Z:Z,"Approved"),"")</f>
        <v/>
      </c>
      <c r="M73" s="105" t="str">
        <f>IF(A73&lt;&gt;"",COUNTIFS('QA Log'!D:D,A73,'QA Log'!M:M,"QQC",'QA Log'!L:L,"3. Curative Consultation (OPD)",'QA Log'!Z:Z,"Approved"),"")</f>
        <v/>
      </c>
      <c r="N73" s="105" t="str">
        <f>IF(A73&lt;&gt;"",COUNTIFS('QA Log'!D:D,A73,'QA Log'!M:M,"QQC",'QA Log'!L:L,"5. Laboratory",'QA Log'!Z:Z,"Approved"),"")</f>
        <v/>
      </c>
      <c r="O73" s="105" t="str">
        <f>IF(A73&lt;&gt;"",COUNTIFS('QA Log'!D:D,A73,'QA Log'!M:M,"QQC",'QA Log'!L:L,"6. Essential Medicine Management",'QA Log'!Z:Z,"Approved"),"")</f>
        <v/>
      </c>
      <c r="P73" s="105" t="str">
        <f>IF(A73&lt;&gt;"",COUNTIFS('QA Log'!D:D,A73,'QA Log'!M:M,"QQC",'QA Log'!L:L,"7. Tracer Medicine",'QA Log'!Z:Z,"Approved"),"")</f>
        <v/>
      </c>
      <c r="Q73" s="105" t="str">
        <f>IF(A73&lt;&gt;"",COUNTIFS('QA Log'!D:D,A73,'QA Log'!M:M,"QQC",'QA Log'!L:L,"11. Additional Questions",'QA Log'!Z:Z,"Approved"),"")</f>
        <v/>
      </c>
      <c r="R73" s="102" t="str">
        <f>IF(A73="","",SUM(
COUNTIFS('QA Log'!D:D,A73,'QA Log'!M:M,"QQC",'QA Log'!Z:Z,"Rejected",'QA Log'!L:L,"*8. Maternity*"),
COUNTIFS('QA Log'!D:D,A73,'QA Log'!M:M,"QQC",'QA Log'!Z:Z,"Rejected",'QA Log'!L:L,"*EPI*"),
COUNTIFS('QA Log'!D:D,A73,'QA Log'!M:M,"QQC",'QA Log'!Z:Z,"Rejected",'QA Log'!L:L,"*10. Antenatal Care (ANC)*"),
COUNTIFS('QA Log'!D:D,A73,'QA Log'!M:M,"QQC",'QA Log'!Z:Z,"Rejected",'QA Log'!L:L,"*2. Hygiene and Sterilization*"),
COUNTIFS('QA Log'!D:D,A73,'QA Log'!M:M,"QQC",'QA Log'!Z:Z,"Rejected",'QA Log'!L:L,"*Family Planning*")))</f>
        <v/>
      </c>
      <c r="S73" s="106" t="str">
        <f t="shared" si="1"/>
        <v/>
      </c>
      <c r="T73" s="102" t="str">
        <f t="shared" si="2"/>
        <v/>
      </c>
      <c r="U73" s="102" t="str">
        <f>IF(A73="","",
SUM(
COUNTIFS('QA Log'!D:D,A73,'QA Log'!M:M,"QQC",'QA Log'!L:L,"*8. Maternity*"),
COUNTIFS('QA Log'!D:D,A73,'QA Log'!M:M,"QQC",'QA Log'!L:L,"*9. EPI and Pre-school Consultation*"),
COUNTIFS('QA Log'!D:D,A73,'QA Log'!M:M,"QQC",'QA Log'!L:L,"*10. Antenatal Care (ANC)*"),
COUNTIFS('QA Log'!D:D,A73,'QA Log'!M:M,"QQC",'QA Log'!L:L,"*2. Hygiene and Sterilization*"),
COUNTIFS('QA Log'!D:D,A73,'QA Log'!M:M,"QQC",'QA Log'!L:L,"*4. Family Planning*")
))</f>
        <v/>
      </c>
      <c r="V73" s="102" t="str">
        <f>IF(A73="","",
SUM(
COUNTIFS('QA Log'!D:D,A73,'QA Log'!M:M,"QQC",'QA Log'!Z:Z,"Approved",'QA Log'!L:L,"*8. Maternity*"),
COUNTIFS('QA Log'!D:D,A73,'QA Log'!M:M,"QQC",'QA Log'!Z:Z,"Approved",'QA Log'!L:L,"*9. EPI and Pre-school Consultation*"),
COUNTIFS('QA Log'!D:D,A73,'QA Log'!M:M,"QQC",'QA Log'!Z:Z,"Approved",'QA Log'!L:L,"*10. Antenatal Care (ANC)*"),
COUNTIFS('QA Log'!D:D,A73,'QA Log'!M:M,"QQC",'QA Log'!Z:Z,"Approved",'QA Log'!L:L,"*2. Hygiene and Sterilization*"),
COUNTIFS('QA Log'!D:D,A73,'QA Log'!M:M,"QQC",'QA Log'!Z:Z,"Approved",'QA Log'!L:L,"*4. Family Planning*")
))</f>
        <v/>
      </c>
      <c r="W73" s="105" t="str">
        <f>IF(A73&lt;&gt;"",COUNTIFS('QA Log'!D:D,A73,'QA Log'!M:M,"QQC",'QA Log'!L:L,"8. Maternity",'QA Log'!Z:Z,"Approved"),"")</f>
        <v/>
      </c>
      <c r="X73" s="105" t="str">
        <f>IF(A73&lt;&gt;"",COUNTIFS('QA Log'!D:D,A73,'QA Log'!M:M,"QQC",'QA Log'!L:L,"9. EPI and Pre-school Consultation",'QA Log'!Z:Z,"Approved"),"")</f>
        <v/>
      </c>
      <c r="Y73" s="105" t="str">
        <f>IF(A73&lt;&gt;"",COUNTIFS('QA Log'!D:D,A73,'QA Log'!M:M,"QQC",'QA Log'!L:L,"10. Antenatal Care (ANC)",'QA Log'!Z:Z,"Approved"),"")</f>
        <v/>
      </c>
      <c r="Z73" s="105" t="str">
        <f>IF(A73&lt;&gt;"",COUNTIFS('QA Log'!D:D,A73,'QA Log'!M:M,"QQC",'QA Log'!L:L,"2. Hygiene and Sterilization",'QA Log'!Z:Z,"Approved"),"")</f>
        <v/>
      </c>
      <c r="AA73" s="105" t="str">
        <f>IF(A73&lt;&gt;"",COUNTIFS('QA Log'!D:D,A73,'QA Log'!M:M,"QQC",'QA Log'!L:L,"4. Family Planning",'QA Log'!Z:Z,"Approved"),"")</f>
        <v/>
      </c>
      <c r="AB73" s="102" t="str">
        <f>IF(A73="","",
SUM(
COUNTIFS('QA Log'!D:D,A73,'QA Log'!M:M,"QQC",'QA Log'!Z:Z,"Rejected",'QA Log'!L:L,"*8. Maternity*"),
COUNTIFS('QA Log'!D:D,A73,'QA Log'!M:M,"QQC",'QA Log'!Z:Z,"Rejected",'QA Log'!L:L,"*9. EPI and Pre-school Consultation*"),
COUNTIFS('QA Log'!D:D,A73,'QA Log'!M:M,"QQC",'QA Log'!Z:Z,"Rejected",'QA Log'!L:L,"*10. Antenatal Care (ANC)*"),
COUNTIFS('QA Log'!D:D,A73,'QA Log'!M:M,"QQC",'QA Log'!Z:Z,"Rejected",'QA Log'!L:L,"*2. Hygiene and Sterilization*"),
COUNTIFS('QA Log'!D:D,A73,'QA Log'!M:M,"QQC",'QA Log'!Z:Z,"Rejected",'QA Log'!L:L,"*4. Family Planning*")
))</f>
        <v/>
      </c>
      <c r="AC73" s="102" t="str">
        <f t="shared" si="3"/>
        <v/>
      </c>
      <c r="AD73" s="103" t="str">
        <f t="shared" si="4"/>
        <v/>
      </c>
      <c r="AE73" s="102" t="str">
        <f>IF(A73="","",
SUM(
COUNTIFS('QA Log'!D:D,A73,'QA Log'!M:M,"Data Verification",'QA Log'!L:L,"*Medicine (section 2)*"),
COUNTIFS('QA Log'!D:D,A73,'QA Log'!M:M,"Data Verification",'QA Log'!L:L,"*Lab Testing Availability*"),
COUNTIFS('QA Log'!D:D,A73,'QA Log'!M:M,"Data Verification",'QA Log'!L:L,"*Other than P4P (section 6)*"),
COUNTIFS('QA Log'!D:D,A73,'QA Log'!M:M,"Data Verification",'QA Log'!L:L,"*Hospital Governance*")
))</f>
        <v/>
      </c>
      <c r="AF73" s="102" t="str">
        <f>IF(A73="","",
SUM(
COUNTIFS('QA Log'!D:D,A73,'QA Log'!M:M,"Data Verification",'QA Log'!Z:Z,"Approved",'QA Log'!L:L,"*Medicine (section 2)*"),
COUNTIFS('QA Log'!D:D,A73,'QA Log'!M:M,"Data Verification",'QA Log'!Z:Z,"Approved",'QA Log'!L:L,"*Lab Testing Availability*"),
COUNTIFS('QA Log'!D:D,A73,'QA Log'!M:M,"Data Verification",'QA Log'!Z:Z,"Approved",'QA Log'!L:L,"*Other than P4P (section 6)*"),
COUNTIFS('QA Log'!D:D,A73,'QA Log'!M:M,"Data Verification",'QA Log'!Z:Z,"Approved",'QA Log'!L:L,"*Hospital Governance*")
))</f>
        <v/>
      </c>
      <c r="AG73" s="105" t="str">
        <f>IF(A73&lt;&gt;"",COUNTIFS('QA Log'!D:D,A73,'QA Log'!M:M,"Data Verification",'QA Log'!L:L,"Medicine (section 2)",'QA Log'!Z:Z,"Approved"),"")</f>
        <v/>
      </c>
      <c r="AH73" s="105" t="str">
        <f>IF(A73&lt;&gt;"",COUNTIFS('QA Log'!D:D,A73,'QA Log'!M:M,"Data Verification",'QA Log'!L:L,"Lab Testing Availability",'QA Log'!Z:Z,"Approved"),"")</f>
        <v/>
      </c>
      <c r="AI73" s="105" t="str">
        <f>IF(A73&lt;&gt;"",COUNTIFS('QA Log'!D:D,A73,'QA Log'!M:M,"Data Verification",'QA Log'!L:L,"Other than P4P (section 6)",'QA Log'!Z:Z,"Approved"),"")</f>
        <v/>
      </c>
      <c r="AJ73" s="105" t="str">
        <f>IF(A73&lt;&gt;"",COUNTIFS('QA Log'!D:D,A73,'QA Log'!M:M,"Data Verification",'QA Log'!L:L,"Hospital Governance",'QA Log'!Z:Z,"Approved"),"")</f>
        <v/>
      </c>
      <c r="AK73" s="102" t="str">
        <f>IF(A73="","",
SUM(
COUNTIFS('QA Log'!D:D,A73,'QA Log'!M:M,"Data Verification",'QA Log'!Z:Z,"Rejected",'QA Log'!L:L,"*Medicine (section 2)*"),
COUNTIFS('QA Log'!D:D,A73,'QA Log'!M:M,"Data Verification",'QA Log'!Z:Z,"Rejected",'QA Log'!L:L,"*Lab Testing Availability*"),
COUNTIFS('QA Log'!D:D,A73,'QA Log'!M:M,"Data Verification",'QA Log'!Z:Z,"Rejected",'QA Log'!L:L,"*Other than P4P (section 6)*"),
COUNTIFS('QA Log'!D:D,A73,'QA Log'!M:M,"Data Verification",'QA Log'!Z:Z,"Rejected",'QA Log'!L:L,"*Hospital Governance*")
))</f>
        <v/>
      </c>
      <c r="AL73" s="106" t="str">
        <f t="shared" si="5"/>
        <v/>
      </c>
      <c r="AM73" s="102" t="str">
        <f t="shared" si="6"/>
        <v/>
      </c>
      <c r="AN73" s="102" t="str">
        <f>IF(A73="","",
SUM(
COUNTIFS('QA Log'!D:D,A73,'QA Log'!M:M,"Data Verification",'QA Log'!L:L,"*Personnel (section 1)*"),
COUNTIFS('QA Log'!D:D,A73,'QA Log'!M:M,"Data Verification",'QA Log'!L:L,"*Consumable (section 3)*"),
COUNTIFS('QA Log'!D:D,A73,'QA Log'!M:M,"Data Verification",'QA Log'!L:L,"*Equipments (section 4)*")
))</f>
        <v/>
      </c>
      <c r="AO73" s="102" t="str">
        <f>IF(A73="","",
SUM(
COUNTIFS('QA Log'!D:D,A73,'QA Log'!M:M,"Data Verification",'QA Log'!Z:Z,"Approved",'QA Log'!L:L,"*Personnel (section 1)*"),
COUNTIFS('QA Log'!D:D,A73,'QA Log'!M:M,"Data Verification",'QA Log'!Z:Z,"Approved",'QA Log'!L:L,"*Consumable (section 3)*"),
COUNTIFS('QA Log'!D:D,A73,'QA Log'!M:M,"Data Verification",'QA Log'!Z:Z,"Approved",'QA Log'!L:L,"*Equipments (section 4)*")
))</f>
        <v/>
      </c>
      <c r="AP73" s="105" t="str">
        <f>IF(A73&lt;&gt;"",COUNTIFS('QA Log'!D:D,A73,'QA Log'!M:M,"Data Verification",'QA Log'!L:L,"Personnel (section 1)",'QA Log'!Z:Z,"Approved"),"")</f>
        <v/>
      </c>
      <c r="AQ73" s="105" t="str">
        <f>IF(A73&lt;&gt;"",COUNTIFS('QA Log'!D:D,A73,'QA Log'!M:M,"Data Verification",'QA Log'!L:L,"Consumable (section 3)",'QA Log'!Z:Z,"Approved"),"")</f>
        <v/>
      </c>
      <c r="AR73" s="105" t="str">
        <f>IF(A73&lt;&gt;"",COUNTIFS('QA Log'!D:D,A73,'QA Log'!M:M,"Data Verification",'QA Log'!L:L,"Equipments (section 4)",'QA Log'!Z:Z,"Approved"),"")</f>
        <v/>
      </c>
      <c r="AS73" s="102" t="str">
        <f>IF(A73="","",
SUM(
COUNTIFS('QA Log'!D:D,A73,'QA Log'!M:M,"Data Verification",'QA Log'!Z:Z,"Rejected",'QA Log'!L:L,"*Personnel (section 1)*"),
COUNTIFS('QA Log'!D:D,A73,'QA Log'!M:M,"Data Verification",'QA Log'!Z:Z,"Rejected",'QA Log'!L:L,"*Consumable (section 3)*"),
COUNTIFS('QA Log'!D:D,A73,'QA Log'!M:M,"Data Verification",'QA Log'!Z:Z,"Rejected",'QA Log'!L:L,"*Equipments (section 4)*")
))</f>
        <v/>
      </c>
      <c r="AT73" s="102" t="str">
        <f t="shared" si="7"/>
        <v/>
      </c>
      <c r="AU73" s="103" t="str">
        <f t="shared" si="8"/>
        <v/>
      </c>
      <c r="AV73" s="102" t="str">
        <f>IF(A73="","",SUM(
COUNTIFS('QA Log'!D:D,A73,'QA Log'!M:M,"Vignette",'QA Log'!L:L,"*Vignette [1] Respiratory Infection: Pneumonia*"),
COUNTIFS('QA Log'!D:D,A73,'QA Log'!M:M,"Vignette",'QA Log'!L:L,"*Vignette [2]: Diarrhea with Cat B dehydration*"),
COUNTIFS('QA Log'!D:D,A73,'QA Log'!M:M,"Vignette",'QA Log'!L:L,"*Vignette [3] Growth Monitoring and Promotion*"),
COUNTIFS('QA Log'!D:D,A73,'QA Log'!M:M,"Vignette",'QA Log'!L:L,"*Vignette [4]: The management of presumptive TB patient*")
)
)</f>
        <v/>
      </c>
      <c r="AW73" s="102" t="str">
        <f>IF(
  A73="","",
  SUM(
    COUNTIFS('QA Log'!D:D,A73,'QA Log'!M:M,"Vignette",'QA Log'!Z:Z,"Approved",'QA Log'!L:L,"*Vignette [1] Respiratory Infection: Pneumonia*"),
    COUNTIFS('QA Log'!D:D,A73,'QA Log'!M:M,"Vignette",'QA Log'!Z:Z,"Approved",'QA Log'!L:L,"*Vignette [2]: Diarrhea with Cat B dehydration*"),
    COUNTIFS('QA Log'!D:D,A73,'QA Log'!M:M,"Vignette",'QA Log'!Z:Z,"Approved",'QA Log'!L:L,"*Vignette [3] Growth Monitoring and Promotion*"),
    COUNTIFS('QA Log'!D:D,A73,'QA Log'!M:M,"Vignette",'QA Log'!Z:Z,"Approved",'QA Log'!L:L,"*Vignette [4]: The management of presumptive TB patient*")
  )
)</f>
        <v/>
      </c>
      <c r="AX73" s="105" t="str">
        <f>IF(A73&lt;&gt;"",COUNTIFS('QA Log'!D:D,A73,'QA Log'!M:M,"Vignette",'QA Log'!L:L,"Vignette [1] Respiratory Infection: Pneumonia",'QA Log'!Z:Z,"Approved"),"")</f>
        <v/>
      </c>
      <c r="AY73" s="105" t="str">
        <f>IF(A73&lt;&gt;"",COUNTIFS('QA Log'!D:D,A73,'QA Log'!M:M,"Vignette",'QA Log'!L:L,"Vignette [2]: Diarrhea with Cat B dehydration",'QA Log'!Z:Z,"Approved"),"")</f>
        <v/>
      </c>
      <c r="AZ73" s="105" t="str">
        <f>IF(A73&lt;&gt;"",COUNTIFS('QA Log'!D:D,A73,'QA Log'!M:M,"Vignette",'QA Log'!L:L,"Vignette [3] Growth Monitoring and Promotion",'QA Log'!Z:Z,"Approved"),"")</f>
        <v/>
      </c>
      <c r="BA73" s="105" t="str">
        <f>IF(A73&lt;&gt;"",COUNTIFS('QA Log'!D:D,A73,'QA Log'!M:M,"Vignette",'QA Log'!L:L,"Vignette [4]: The management of presumptive TB patient",'QA Log'!Z:Z,"Approved"),"")</f>
        <v/>
      </c>
      <c r="BB73" s="102" t="str">
        <f>IF(A73="","",
  SUM(
    COUNTIFS('QA Log'!D:D,A73,'QA Log'!M:M,"Vignette",'QA Log'!Z:Z,"Rejected",'QA Log'!L:L,"*Vignette [1] Respiratory Infection: Pneumonia*"),
    COUNTIFS('QA Log'!D:D,A73,'QA Log'!M:M,"Vignette",'QA Log'!Z:Z,"Rejected",'QA Log'!L:L,"*Vignette [2]: Diarrhea with Cat B dehydration*"),
    COUNTIFS('QA Log'!D:D,A73,'QA Log'!M:M,"Vignette",'QA Log'!Z:Z,"Rejected",'QA Log'!L:L,"*Vignette [3] Growth Monitoring and Promotion*"),
    COUNTIFS('QA Log'!D:D,A73,'QA Log'!M:M,"Vignette",'QA Log'!Z:Z,"Rejected",'QA Log'!L:L,"*Vignette [4]: The management of presumptive TB patient*")
  )
)</f>
        <v/>
      </c>
      <c r="BC73" s="107" t="str">
        <f t="shared" si="9"/>
        <v/>
      </c>
      <c r="BD73" s="103" t="str">
        <f t="shared" si="10"/>
        <v/>
      </c>
      <c r="BE73" s="102" t="str">
        <f>IF(A73="","",SUM(
COUNTIFS('QA Log'!D:D,A73,'QA Log'!M:M,"Vignette",'QA Log'!L:L,"*Vignette [5] Labor*"),
COUNTIFS('QA Log'!D:D,A73,'QA Log'!M:M,"Vignette",'QA Log'!L:L,"*Vignette [6] PNC pre Discharge*"),
COUNTIFS('QA Log'!D:D,A73,'QA Log'!M:M,"Vignette",'QA Log'!L:L,"*Vignette [7] First ANC Visit*"),
COUNTIFS('QA Log'!D:D,A73,'QA Log'!M:M,"Vignette",'QA Log'!L:L,"*Vignette [8] Birth Spacing/ Family Planning :  FP Counselling*"),
COUNTIFS('QA Log'!D:D,A73,'QA Log'!M:M,"Vignette",'QA Log'!L:L,"*Vignette [9] Birth Spacing: Change FP method to Injectable*"),
COUNTIFS('QA Log'!D:D,A73,'QA Log'!M:M,"Vignette",'QA Log'!L:L,"*Vignette [10] Post Partum Haemorrhage - Atonic Uterus at Health Centre*"),
)
)</f>
        <v/>
      </c>
      <c r="BF73" s="102" t="str">
        <f>IF(A73="","",
  SUM(
    COUNTIFS('QA Log'!D:D,A73,'QA Log'!M:M,"Vignette",'QA Log'!Z:Z,"Approved",'QA Log'!L:L,"*Vignette [5] Labor*"),
    COUNTIFS('QA Log'!D:D,A73,'QA Log'!M:M,"Vignette",'QA Log'!Z:Z,"Approved",'QA Log'!L:L,"*Vignette [6] PNC pre Discharge*"),
    COUNTIFS('QA Log'!D:D,A73,'QA Log'!M:M,"Vignette",'QA Log'!Z:Z,"Approved",'QA Log'!L:L,"*Vignette [7] First ANC Visit*"),
    COUNTIFS('QA Log'!D:D,A73,'QA Log'!M:M,"Vignette",'QA Log'!Z:Z,"Approved",'QA Log'!L:L,"*Vignette [8] Birth Spacing/ Family Planning :  FP Counselling*"),
    COUNTIFS('QA Log'!D:D,A73,'QA Log'!M:M,"Vignette",'QA Log'!Z:Z,"Approved",'QA Log'!L:L,"*Vignette [9] Birth Spacing: Change FP method to Injectable*"),
    COUNTIFS('QA Log'!D:D,A73,'QA Log'!M:M,"Vignette",'QA Log'!Z:Z,"Approved",'QA Log'!L:L,"*Vignette [10] Post Partum Haemorrhage - Atonic Uterus at Health Centre*")
  )
)</f>
        <v/>
      </c>
      <c r="BG73" s="105" t="str">
        <f>IF(A73&lt;&gt;"",COUNTIFS('QA Log'!D:D,A73,'QA Log'!M:M,"Vignette",'QA Log'!L:L,"Vignette [5] Labor",'QA Log'!Z:Z,"Approved"),"")</f>
        <v/>
      </c>
      <c r="BH73" s="105" t="str">
        <f>IF(A73&lt;&gt;"",COUNTIFS('QA Log'!D:D,A73,'QA Log'!M:M,"Vignette",'QA Log'!L:L,"Vignette [6] PNC pre Discharge",'QA Log'!Z:Z,"Approved"),"")</f>
        <v/>
      </c>
      <c r="BI73" s="105" t="str">
        <f>IF(A73&lt;&gt;"",COUNTIFS('QA Log'!D:D,A73,'QA Log'!M:M,"Vignette",'QA Log'!L:L,"Vignette [7] First ANC Visit",'QA Log'!Z:Z,"Approved"),"")</f>
        <v/>
      </c>
      <c r="BJ73" s="105" t="str">
        <f>IF(A73&lt;&gt;"",COUNTIFS('QA Log'!D:D,A73,'QA Log'!M:M,"Vignette",'QA Log'!L:L,"Vignette [8] Birth Spacing/ Family Planning :  FP Counselling",'QA Log'!Z:Z,"Approved"),"")</f>
        <v/>
      </c>
      <c r="BK73" s="105" t="str">
        <f>IF(A73&lt;&gt;"",COUNTIFS('QA Log'!D:D,A73,'QA Log'!M:M,"Vignette",'QA Log'!L:L,"Vignette [9] Birth Spacing: Change FP method to Injectable",'QA Log'!Z:Z,"Approved"),"")</f>
        <v/>
      </c>
      <c r="BL73" s="105" t="str">
        <f>IF(A73&lt;&gt;"",COUNTIFS('QA Log'!D:D,A73,'QA Log'!M:M,"Vignette",'QA Log'!L:L,"Vignette [10] Post Partum Haemorrhage - Atonic Uterus at Health Centre",'QA Log'!Z:Z,"Approved"),"")</f>
        <v/>
      </c>
      <c r="BM73" s="102" t="str">
        <f>IF(A73="","",SUM(
    COUNTIFS('QA Log'!D:D,A73,'QA Log'!M:M,"Vignette",'QA Log'!Z:Z,"Rejected",'QA Log'!L:L,"*Vignette [5] Labor*"),
    COUNTIFS('QA Log'!D:D,A73,'QA Log'!M:M,"Vignette",'QA Log'!Z:Z,"Rejected",'QA Log'!L:L,"*Vignette [6] PNC pre Discharge*"),
    COUNTIFS('QA Log'!D:D,A73,'QA Log'!M:M,"Vignette",'QA Log'!Z:Z,"Rejected",'QA Log'!L:L,"*Vignette [7] First ANC Visit*"),
    COUNTIFS('QA Log'!D:D,A73,'QA Log'!M:M,"Vignette",'QA Log'!Z:Z,"Rejected",'QA Log'!L:L,"*Vignette [8] Birth Spacing/ Family Planning :  FP Counselling*"),
    COUNTIFS('QA Log'!D:D,A73,'QA Log'!M:M,"Vignette",'QA Log'!Z:Z,"Rejected",'QA Log'!L:L,"*Vignette [9] Birth Spacing: Change FP method to Injectable*"),
    COUNTIFS('QA Log'!D:D,A73,'QA Log'!M:M,"Vignette",'QA Log'!Z:Z,"Rejected",'QA Log'!L:L,"*Vignette [10] Post Partum Haemorrhage - Atonic Uterus at Health Centre*")
  )
)</f>
        <v/>
      </c>
      <c r="BN73" s="107" t="str">
        <f t="shared" si="11"/>
        <v/>
      </c>
      <c r="BO73" s="103" t="str">
        <f t="shared" si="12"/>
        <v/>
      </c>
      <c r="BP73" s="102" t="str">
        <f>IF(A73="","",SUM(
COUNTIFS('QA Log'!D:D,A73,'QA Log'!M:M,"Vignette",'QA Log'!L:L,"*Exit Interview 1*"),
COUNTIFS('QA Log'!D:D,A73,'QA Log'!M:M,"Vignette",'QA Log'!L:L,"*Exit Interview 2*"),
)
)</f>
        <v/>
      </c>
      <c r="BQ73" s="102" t="str">
        <f>IF(
  A73="","",
  SUM(
    COUNTIFS('QA Log'!D:D,A73,'QA Log'!M:M,"Vignette",'QA Log'!Z:Z,"Approved",'QA Log'!L:L,"*Exit Interview 1*"),
    COUNTIFS('QA Log'!D:D,A73,'QA Log'!M:M,"Vignette",'QA Log'!Z:Z,"Approved",'QA Log'!L:L,"*Exit Interview 2*")
  )
)</f>
        <v/>
      </c>
      <c r="BR73" s="105" t="str">
        <f>IF(A73&lt;&gt;"",COUNTIFS('QA Log'!D:D,A73,'QA Log'!M:M,"Vignette",'QA Log'!L:L,"Exit Interview 1",'QA Log'!Z:Z,"Approved"),"")</f>
        <v/>
      </c>
      <c r="BS73" s="105" t="str">
        <f>IF(A73&lt;&gt;"",COUNTIFS('QA Log'!D:D,A73,'QA Log'!M:M,"Vignette",'QA Log'!L:L,"Exit Interview 2",'QA Log'!Z:Z,"Approved"),"")</f>
        <v/>
      </c>
      <c r="BT73" s="102" t="str">
        <f>IF(
  A73="","",
  SUM(
    COUNTIFS('QA Log'!D:D,A73,'QA Log'!M:M,"Vignette",'QA Log'!Z:Z,"Rejected",'QA Log'!L:L,"*Exit Interview 1*"),
    COUNTIFS('QA Log'!D:D,A73,'QA Log'!M:M,"Vignette",'QA Log'!Z:Z,"Rejected",'QA Log'!L:L,"*Exit Interview 2*")
  )
)</f>
        <v/>
      </c>
      <c r="BU73" s="107" t="str">
        <f t="shared" si="13"/>
        <v/>
      </c>
      <c r="BV73" s="102" t="str">
        <f t="shared" si="14"/>
        <v/>
      </c>
      <c r="BW73" s="102" t="str">
        <f t="shared" si="15"/>
        <v/>
      </c>
      <c r="BX73" s="102" t="str">
        <f t="shared" si="16"/>
        <v/>
      </c>
      <c r="BY73" s="102" t="str">
        <f t="shared" si="17"/>
        <v/>
      </c>
      <c r="BZ73" s="107" t="str">
        <f t="shared" si="18"/>
        <v/>
      </c>
      <c r="CA73" s="108" t="str">
        <f t="shared" si="19"/>
        <v/>
      </c>
      <c r="CB73" s="108" t="str">
        <f t="shared" si="20"/>
        <v/>
      </c>
      <c r="CC73" s="109" t="str">
        <f t="shared" si="21"/>
        <v/>
      </c>
      <c r="CD73" s="108" t="str">
        <f t="shared" si="22"/>
        <v/>
      </c>
      <c r="CE73" s="108" t="str">
        <f t="shared" si="23"/>
        <v/>
      </c>
      <c r="CF73" s="109" t="str">
        <f t="shared" si="24"/>
        <v/>
      </c>
      <c r="CG73" s="110" t="str">
        <f t="shared" si="25"/>
        <v/>
      </c>
      <c r="CH73" s="111"/>
    </row>
    <row r="74" spans="1:86" ht="12.75">
      <c r="A74" s="101"/>
      <c r="B74" s="102" t="e">
        <f t="array" aca="1" ref="B74" ca="1">_xludf.XLOOKUP(A74,'QA Log'!D:D,'QA Log'!E:E,"")</f>
        <v>#NAME?</v>
      </c>
      <c r="C74" s="102" t="e">
        <f t="array" aca="1" ref="C74" ca="1">_xludf.XLOOKUP(A74,'QA Log'!D:D,'QA Log'!F:F,"")</f>
        <v>#NAME?</v>
      </c>
      <c r="D74" s="102" t="e">
        <f t="array" aca="1" ref="D74" ca="1">_xludf.XLOOKUP(A74,'QA Log'!D:D,'QA Log'!H:H,"")</f>
        <v>#NAME?</v>
      </c>
      <c r="E74" s="102" t="e">
        <f t="array" aca="1" ref="E74" ca="1">_xludf.XLOOKUP(A74,'QA Log'!D:D,'QA Log'!G:G,"")</f>
        <v>#NAME?</v>
      </c>
      <c r="F74" s="103"/>
      <c r="G74" s="104"/>
      <c r="H74" s="104"/>
      <c r="I74" s="103" t="str">
        <f t="shared" si="0"/>
        <v/>
      </c>
      <c r="J74" s="102" t="str">
        <f>IF(A74="","",SUM(
COUNTIFS('QA Log'!D:D,A74,'QA Log'!M:M,"QQC",'QA Log'!L:L,"*1. General Management*"),
COUNTIFS('QA Log'!D:D,A74,'QA Log'!M:M,"QQC",'QA Log'!L:L,"*3. Curative Consultation (OPD)*"),
COUNTIFS('QA Log'!D:D,A74,'QA Log'!M:M,"QQC",'QA Log'!L:L,"*5. Laboratory*"),
COUNTIFS('QA Log'!D:D,A74,'QA Log'!M:M,"QQC",'QA Log'!L:L,"*6. Essential Medicine Management*"),
COUNTIFS('QA Log'!D:D,A74,'QA Log'!M:M,"QQC",'QA Log'!L:L,"*7. Tracer Medicine*"),
COUNTIFS('QA Log'!D:D,A74,'QA Log'!M:M,"QQC",'QA Log'!L:L,"*11. Additional Questions*")))</f>
        <v/>
      </c>
      <c r="K74" s="102" t="str">
        <f>IF(A74="","",SUM(
COUNTIFS('QA Log'!D:D,A74,'QA Log'!M:M,"QQC",'QA Log'!Z:Z,"Approved",'QA Log'!L:L,"*1. General Management*"),
COUNTIFS('QA Log'!D:D,A74,'QA Log'!M:M,"QQC",'QA Log'!Z:Z,"Approved",'QA Log'!L:L,"*3. Curative Consultation (OPD)*"),
COUNTIFS('QA Log'!D:D,A74,'QA Log'!M:M,"QQC",'QA Log'!Z:Z,"Approved",'QA Log'!L:L,"*5. Laboratory*"),
COUNTIFS('QA Log'!D:D,A74,'QA Log'!M:M,"QQC",'QA Log'!Z:Z,"Approved",'QA Log'!L:L,"*6. Essential Medicine Management*"),
COUNTIFS('QA Log'!D:D,A74,'QA Log'!M:M,"QQC",'QA Log'!Z:Z,"Approved",'QA Log'!L:L,"*7. Tracer Medicine*"),
COUNTIFS('QA Log'!D:D,A74,'QA Log'!M:M,"QQC",'QA Log'!Z:Z,"Approved",'QA Log'!L:L,"*11. Additional Questions*")))</f>
        <v/>
      </c>
      <c r="L74" s="105" t="str">
        <f>IF(A74&lt;&gt;"",COUNTIFS('QA Log'!D:D,A74,'QA Log'!M:M,"QQC",'QA Log'!L:L,"1. General Management",'QA Log'!Z:Z,"Approved"),"")</f>
        <v/>
      </c>
      <c r="M74" s="105" t="str">
        <f>IF(A74&lt;&gt;"",COUNTIFS('QA Log'!D:D,A74,'QA Log'!M:M,"QQC",'QA Log'!L:L,"3. Curative Consultation (OPD)",'QA Log'!Z:Z,"Approved"),"")</f>
        <v/>
      </c>
      <c r="N74" s="105" t="str">
        <f>IF(A74&lt;&gt;"",COUNTIFS('QA Log'!D:D,A74,'QA Log'!M:M,"QQC",'QA Log'!L:L,"5. Laboratory",'QA Log'!Z:Z,"Approved"),"")</f>
        <v/>
      </c>
      <c r="O74" s="105" t="str">
        <f>IF(A74&lt;&gt;"",COUNTIFS('QA Log'!D:D,A74,'QA Log'!M:M,"QQC",'QA Log'!L:L,"6. Essential Medicine Management",'QA Log'!Z:Z,"Approved"),"")</f>
        <v/>
      </c>
      <c r="P74" s="105" t="str">
        <f>IF(A74&lt;&gt;"",COUNTIFS('QA Log'!D:D,A74,'QA Log'!M:M,"QQC",'QA Log'!L:L,"7. Tracer Medicine",'QA Log'!Z:Z,"Approved"),"")</f>
        <v/>
      </c>
      <c r="Q74" s="105" t="str">
        <f>IF(A74&lt;&gt;"",COUNTIFS('QA Log'!D:D,A74,'QA Log'!M:M,"QQC",'QA Log'!L:L,"11. Additional Questions",'QA Log'!Z:Z,"Approved"),"")</f>
        <v/>
      </c>
      <c r="R74" s="102" t="str">
        <f>IF(A74="","",SUM(
COUNTIFS('QA Log'!D:D,A74,'QA Log'!M:M,"QQC",'QA Log'!Z:Z,"Rejected",'QA Log'!L:L,"*8. Maternity*"),
COUNTIFS('QA Log'!D:D,A74,'QA Log'!M:M,"QQC",'QA Log'!Z:Z,"Rejected",'QA Log'!L:L,"*EPI*"),
COUNTIFS('QA Log'!D:D,A74,'QA Log'!M:M,"QQC",'QA Log'!Z:Z,"Rejected",'QA Log'!L:L,"*10. Antenatal Care (ANC)*"),
COUNTIFS('QA Log'!D:D,A74,'QA Log'!M:M,"QQC",'QA Log'!Z:Z,"Rejected",'QA Log'!L:L,"*2. Hygiene and Sterilization*"),
COUNTIFS('QA Log'!D:D,A74,'QA Log'!M:M,"QQC",'QA Log'!Z:Z,"Rejected",'QA Log'!L:L,"*Family Planning*")))</f>
        <v/>
      </c>
      <c r="S74" s="106" t="str">
        <f t="shared" si="1"/>
        <v/>
      </c>
      <c r="T74" s="102" t="str">
        <f t="shared" si="2"/>
        <v/>
      </c>
      <c r="U74" s="102" t="str">
        <f>IF(A74="","",
SUM(
COUNTIFS('QA Log'!D:D,A74,'QA Log'!M:M,"QQC",'QA Log'!L:L,"*8. Maternity*"),
COUNTIFS('QA Log'!D:D,A74,'QA Log'!M:M,"QQC",'QA Log'!L:L,"*9. EPI and Pre-school Consultation*"),
COUNTIFS('QA Log'!D:D,A74,'QA Log'!M:M,"QQC",'QA Log'!L:L,"*10. Antenatal Care (ANC)*"),
COUNTIFS('QA Log'!D:D,A74,'QA Log'!M:M,"QQC",'QA Log'!L:L,"*2. Hygiene and Sterilization*"),
COUNTIFS('QA Log'!D:D,A74,'QA Log'!M:M,"QQC",'QA Log'!L:L,"*4. Family Planning*")
))</f>
        <v/>
      </c>
      <c r="V74" s="102" t="str">
        <f>IF(A74="","",
SUM(
COUNTIFS('QA Log'!D:D,A74,'QA Log'!M:M,"QQC",'QA Log'!Z:Z,"Approved",'QA Log'!L:L,"*8. Maternity*"),
COUNTIFS('QA Log'!D:D,A74,'QA Log'!M:M,"QQC",'QA Log'!Z:Z,"Approved",'QA Log'!L:L,"*9. EPI and Pre-school Consultation*"),
COUNTIFS('QA Log'!D:D,A74,'QA Log'!M:M,"QQC",'QA Log'!Z:Z,"Approved",'QA Log'!L:L,"*10. Antenatal Care (ANC)*"),
COUNTIFS('QA Log'!D:D,A74,'QA Log'!M:M,"QQC",'QA Log'!Z:Z,"Approved",'QA Log'!L:L,"*2. Hygiene and Sterilization*"),
COUNTIFS('QA Log'!D:D,A74,'QA Log'!M:M,"QQC",'QA Log'!Z:Z,"Approved",'QA Log'!L:L,"*4. Family Planning*")
))</f>
        <v/>
      </c>
      <c r="W74" s="105" t="str">
        <f>IF(A74&lt;&gt;"",COUNTIFS('QA Log'!D:D,A74,'QA Log'!M:M,"QQC",'QA Log'!L:L,"8. Maternity",'QA Log'!Z:Z,"Approved"),"")</f>
        <v/>
      </c>
      <c r="X74" s="105" t="str">
        <f>IF(A74&lt;&gt;"",COUNTIFS('QA Log'!D:D,A74,'QA Log'!M:M,"QQC",'QA Log'!L:L,"9. EPI and Pre-school Consultation",'QA Log'!Z:Z,"Approved"),"")</f>
        <v/>
      </c>
      <c r="Y74" s="105" t="str">
        <f>IF(A74&lt;&gt;"",COUNTIFS('QA Log'!D:D,A74,'QA Log'!M:M,"QQC",'QA Log'!L:L,"10. Antenatal Care (ANC)",'QA Log'!Z:Z,"Approved"),"")</f>
        <v/>
      </c>
      <c r="Z74" s="105" t="str">
        <f>IF(A74&lt;&gt;"",COUNTIFS('QA Log'!D:D,A74,'QA Log'!M:M,"QQC",'QA Log'!L:L,"2. Hygiene and Sterilization",'QA Log'!Z:Z,"Approved"),"")</f>
        <v/>
      </c>
      <c r="AA74" s="105" t="str">
        <f>IF(A74&lt;&gt;"",COUNTIFS('QA Log'!D:D,A74,'QA Log'!M:M,"QQC",'QA Log'!L:L,"4. Family Planning",'QA Log'!Z:Z,"Approved"),"")</f>
        <v/>
      </c>
      <c r="AB74" s="102" t="str">
        <f>IF(A74="","",
SUM(
COUNTIFS('QA Log'!D:D,A74,'QA Log'!M:M,"QQC",'QA Log'!Z:Z,"Rejected",'QA Log'!L:L,"*8. Maternity*"),
COUNTIFS('QA Log'!D:D,A74,'QA Log'!M:M,"QQC",'QA Log'!Z:Z,"Rejected",'QA Log'!L:L,"*9. EPI and Pre-school Consultation*"),
COUNTIFS('QA Log'!D:D,A74,'QA Log'!M:M,"QQC",'QA Log'!Z:Z,"Rejected",'QA Log'!L:L,"*10. Antenatal Care (ANC)*"),
COUNTIFS('QA Log'!D:D,A74,'QA Log'!M:M,"QQC",'QA Log'!Z:Z,"Rejected",'QA Log'!L:L,"*2. Hygiene and Sterilization*"),
COUNTIFS('QA Log'!D:D,A74,'QA Log'!M:M,"QQC",'QA Log'!Z:Z,"Rejected",'QA Log'!L:L,"*4. Family Planning*")
))</f>
        <v/>
      </c>
      <c r="AC74" s="102" t="str">
        <f t="shared" si="3"/>
        <v/>
      </c>
      <c r="AD74" s="103" t="str">
        <f t="shared" si="4"/>
        <v/>
      </c>
      <c r="AE74" s="102" t="str">
        <f>IF(A74="","",
SUM(
COUNTIFS('QA Log'!D:D,A74,'QA Log'!M:M,"Data Verification",'QA Log'!L:L,"*Medicine (section 2)*"),
COUNTIFS('QA Log'!D:D,A74,'QA Log'!M:M,"Data Verification",'QA Log'!L:L,"*Lab Testing Availability*"),
COUNTIFS('QA Log'!D:D,A74,'QA Log'!M:M,"Data Verification",'QA Log'!L:L,"*Other than P4P (section 6)*"),
COUNTIFS('QA Log'!D:D,A74,'QA Log'!M:M,"Data Verification",'QA Log'!L:L,"*Hospital Governance*")
))</f>
        <v/>
      </c>
      <c r="AF74" s="102" t="str">
        <f>IF(A74="","",
SUM(
COUNTIFS('QA Log'!D:D,A74,'QA Log'!M:M,"Data Verification",'QA Log'!Z:Z,"Approved",'QA Log'!L:L,"*Medicine (section 2)*"),
COUNTIFS('QA Log'!D:D,A74,'QA Log'!M:M,"Data Verification",'QA Log'!Z:Z,"Approved",'QA Log'!L:L,"*Lab Testing Availability*"),
COUNTIFS('QA Log'!D:D,A74,'QA Log'!M:M,"Data Verification",'QA Log'!Z:Z,"Approved",'QA Log'!L:L,"*Other than P4P (section 6)*"),
COUNTIFS('QA Log'!D:D,A74,'QA Log'!M:M,"Data Verification",'QA Log'!Z:Z,"Approved",'QA Log'!L:L,"*Hospital Governance*")
))</f>
        <v/>
      </c>
      <c r="AG74" s="105" t="str">
        <f>IF(A74&lt;&gt;"",COUNTIFS('QA Log'!D:D,A74,'QA Log'!M:M,"Data Verification",'QA Log'!L:L,"Medicine (section 2)",'QA Log'!Z:Z,"Approved"),"")</f>
        <v/>
      </c>
      <c r="AH74" s="105" t="str">
        <f>IF(A74&lt;&gt;"",COUNTIFS('QA Log'!D:D,A74,'QA Log'!M:M,"Data Verification",'QA Log'!L:L,"Lab Testing Availability",'QA Log'!Z:Z,"Approved"),"")</f>
        <v/>
      </c>
      <c r="AI74" s="105" t="str">
        <f>IF(A74&lt;&gt;"",COUNTIFS('QA Log'!D:D,A74,'QA Log'!M:M,"Data Verification",'QA Log'!L:L,"Other than P4P (section 6)",'QA Log'!Z:Z,"Approved"),"")</f>
        <v/>
      </c>
      <c r="AJ74" s="105" t="str">
        <f>IF(A74&lt;&gt;"",COUNTIFS('QA Log'!D:D,A74,'QA Log'!M:M,"Data Verification",'QA Log'!L:L,"Hospital Governance",'QA Log'!Z:Z,"Approved"),"")</f>
        <v/>
      </c>
      <c r="AK74" s="102" t="str">
        <f>IF(A74="","",
SUM(
COUNTIFS('QA Log'!D:D,A74,'QA Log'!M:M,"Data Verification",'QA Log'!Z:Z,"Rejected",'QA Log'!L:L,"*Medicine (section 2)*"),
COUNTIFS('QA Log'!D:D,A74,'QA Log'!M:M,"Data Verification",'QA Log'!Z:Z,"Rejected",'QA Log'!L:L,"*Lab Testing Availability*"),
COUNTIFS('QA Log'!D:D,A74,'QA Log'!M:M,"Data Verification",'QA Log'!Z:Z,"Rejected",'QA Log'!L:L,"*Other than P4P (section 6)*"),
COUNTIFS('QA Log'!D:D,A74,'QA Log'!M:M,"Data Verification",'QA Log'!Z:Z,"Rejected",'QA Log'!L:L,"*Hospital Governance*")
))</f>
        <v/>
      </c>
      <c r="AL74" s="106" t="str">
        <f t="shared" si="5"/>
        <v/>
      </c>
      <c r="AM74" s="102" t="str">
        <f t="shared" si="6"/>
        <v/>
      </c>
      <c r="AN74" s="102" t="str">
        <f>IF(A74="","",
SUM(
COUNTIFS('QA Log'!D:D,A74,'QA Log'!M:M,"Data Verification",'QA Log'!L:L,"*Personnel (section 1)*"),
COUNTIFS('QA Log'!D:D,A74,'QA Log'!M:M,"Data Verification",'QA Log'!L:L,"*Consumable (section 3)*"),
COUNTIFS('QA Log'!D:D,A74,'QA Log'!M:M,"Data Verification",'QA Log'!L:L,"*Equipments (section 4)*")
))</f>
        <v/>
      </c>
      <c r="AO74" s="102" t="str">
        <f>IF(A74="","",
SUM(
COUNTIFS('QA Log'!D:D,A74,'QA Log'!M:M,"Data Verification",'QA Log'!Z:Z,"Approved",'QA Log'!L:L,"*Personnel (section 1)*"),
COUNTIFS('QA Log'!D:D,A74,'QA Log'!M:M,"Data Verification",'QA Log'!Z:Z,"Approved",'QA Log'!L:L,"*Consumable (section 3)*"),
COUNTIFS('QA Log'!D:D,A74,'QA Log'!M:M,"Data Verification",'QA Log'!Z:Z,"Approved",'QA Log'!L:L,"*Equipments (section 4)*")
))</f>
        <v/>
      </c>
      <c r="AP74" s="105" t="str">
        <f>IF(A74&lt;&gt;"",COUNTIFS('QA Log'!D:D,A74,'QA Log'!M:M,"Data Verification",'QA Log'!L:L,"Personnel (section 1)",'QA Log'!Z:Z,"Approved"),"")</f>
        <v/>
      </c>
      <c r="AQ74" s="105" t="str">
        <f>IF(A74&lt;&gt;"",COUNTIFS('QA Log'!D:D,A74,'QA Log'!M:M,"Data Verification",'QA Log'!L:L,"Consumable (section 3)",'QA Log'!Z:Z,"Approved"),"")</f>
        <v/>
      </c>
      <c r="AR74" s="105" t="str">
        <f>IF(A74&lt;&gt;"",COUNTIFS('QA Log'!D:D,A74,'QA Log'!M:M,"Data Verification",'QA Log'!L:L,"Equipments (section 4)",'QA Log'!Z:Z,"Approved"),"")</f>
        <v/>
      </c>
      <c r="AS74" s="102" t="str">
        <f>IF(A74="","",
SUM(
COUNTIFS('QA Log'!D:D,A74,'QA Log'!M:M,"Data Verification",'QA Log'!Z:Z,"Rejected",'QA Log'!L:L,"*Personnel (section 1)*"),
COUNTIFS('QA Log'!D:D,A74,'QA Log'!M:M,"Data Verification",'QA Log'!Z:Z,"Rejected",'QA Log'!L:L,"*Consumable (section 3)*"),
COUNTIFS('QA Log'!D:D,A74,'QA Log'!M:M,"Data Verification",'QA Log'!Z:Z,"Rejected",'QA Log'!L:L,"*Equipments (section 4)*")
))</f>
        <v/>
      </c>
      <c r="AT74" s="102" t="str">
        <f t="shared" si="7"/>
        <v/>
      </c>
      <c r="AU74" s="103" t="str">
        <f t="shared" si="8"/>
        <v/>
      </c>
      <c r="AV74" s="102" t="str">
        <f>IF(A74="","",SUM(
COUNTIFS('QA Log'!D:D,A74,'QA Log'!M:M,"Vignette",'QA Log'!L:L,"*Vignette [1] Respiratory Infection: Pneumonia*"),
COUNTIFS('QA Log'!D:D,A74,'QA Log'!M:M,"Vignette",'QA Log'!L:L,"*Vignette [2]: Diarrhea with Cat B dehydration*"),
COUNTIFS('QA Log'!D:D,A74,'QA Log'!M:M,"Vignette",'QA Log'!L:L,"*Vignette [3] Growth Monitoring and Promotion*"),
COUNTIFS('QA Log'!D:D,A74,'QA Log'!M:M,"Vignette",'QA Log'!L:L,"*Vignette [4]: The management of presumptive TB patient*")
)
)</f>
        <v/>
      </c>
      <c r="AW74" s="102" t="str">
        <f>IF(
  A74="","",
  SUM(
    COUNTIFS('QA Log'!D:D,A74,'QA Log'!M:M,"Vignette",'QA Log'!Z:Z,"Approved",'QA Log'!L:L,"*Vignette [1] Respiratory Infection: Pneumonia*"),
    COUNTIFS('QA Log'!D:D,A74,'QA Log'!M:M,"Vignette",'QA Log'!Z:Z,"Approved",'QA Log'!L:L,"*Vignette [2]: Diarrhea with Cat B dehydration*"),
    COUNTIFS('QA Log'!D:D,A74,'QA Log'!M:M,"Vignette",'QA Log'!Z:Z,"Approved",'QA Log'!L:L,"*Vignette [3] Growth Monitoring and Promotion*"),
    COUNTIFS('QA Log'!D:D,A74,'QA Log'!M:M,"Vignette",'QA Log'!Z:Z,"Approved",'QA Log'!L:L,"*Vignette [4]: The management of presumptive TB patient*")
  )
)</f>
        <v/>
      </c>
      <c r="AX74" s="105" t="str">
        <f>IF(A74&lt;&gt;"",COUNTIFS('QA Log'!D:D,A74,'QA Log'!M:M,"Vignette",'QA Log'!L:L,"Vignette [1] Respiratory Infection: Pneumonia",'QA Log'!Z:Z,"Approved"),"")</f>
        <v/>
      </c>
      <c r="AY74" s="105" t="str">
        <f>IF(A74&lt;&gt;"",COUNTIFS('QA Log'!D:D,A74,'QA Log'!M:M,"Vignette",'QA Log'!L:L,"Vignette [2]: Diarrhea with Cat B dehydration",'QA Log'!Z:Z,"Approved"),"")</f>
        <v/>
      </c>
      <c r="AZ74" s="105" t="str">
        <f>IF(A74&lt;&gt;"",COUNTIFS('QA Log'!D:D,A74,'QA Log'!M:M,"Vignette",'QA Log'!L:L,"Vignette [3] Growth Monitoring and Promotion",'QA Log'!Z:Z,"Approved"),"")</f>
        <v/>
      </c>
      <c r="BA74" s="105" t="str">
        <f>IF(A74&lt;&gt;"",COUNTIFS('QA Log'!D:D,A74,'QA Log'!M:M,"Vignette",'QA Log'!L:L,"Vignette [4]: The management of presumptive TB patient",'QA Log'!Z:Z,"Approved"),"")</f>
        <v/>
      </c>
      <c r="BB74" s="102" t="str">
        <f>IF(A74="","",
  SUM(
    COUNTIFS('QA Log'!D:D,A74,'QA Log'!M:M,"Vignette",'QA Log'!Z:Z,"Rejected",'QA Log'!L:L,"*Vignette [1] Respiratory Infection: Pneumonia*"),
    COUNTIFS('QA Log'!D:D,A74,'QA Log'!M:M,"Vignette",'QA Log'!Z:Z,"Rejected",'QA Log'!L:L,"*Vignette [2]: Diarrhea with Cat B dehydration*"),
    COUNTIFS('QA Log'!D:D,A74,'QA Log'!M:M,"Vignette",'QA Log'!Z:Z,"Rejected",'QA Log'!L:L,"*Vignette [3] Growth Monitoring and Promotion*"),
    COUNTIFS('QA Log'!D:D,A74,'QA Log'!M:M,"Vignette",'QA Log'!Z:Z,"Rejected",'QA Log'!L:L,"*Vignette [4]: The management of presumptive TB patient*")
  )
)</f>
        <v/>
      </c>
      <c r="BC74" s="107" t="str">
        <f t="shared" si="9"/>
        <v/>
      </c>
      <c r="BD74" s="103" t="str">
        <f t="shared" si="10"/>
        <v/>
      </c>
      <c r="BE74" s="102" t="str">
        <f>IF(A74="","",SUM(
COUNTIFS('QA Log'!D:D,A74,'QA Log'!M:M,"Vignette",'QA Log'!L:L,"*Vignette [5] Labor*"),
COUNTIFS('QA Log'!D:D,A74,'QA Log'!M:M,"Vignette",'QA Log'!L:L,"*Vignette [6] PNC pre Discharge*"),
COUNTIFS('QA Log'!D:D,A74,'QA Log'!M:M,"Vignette",'QA Log'!L:L,"*Vignette [7] First ANC Visit*"),
COUNTIFS('QA Log'!D:D,A74,'QA Log'!M:M,"Vignette",'QA Log'!L:L,"*Vignette [8] Birth Spacing/ Family Planning :  FP Counselling*"),
COUNTIFS('QA Log'!D:D,A74,'QA Log'!M:M,"Vignette",'QA Log'!L:L,"*Vignette [9] Birth Spacing: Change FP method to Injectable*"),
COUNTIFS('QA Log'!D:D,A74,'QA Log'!M:M,"Vignette",'QA Log'!L:L,"*Vignette [10] Post Partum Haemorrhage - Atonic Uterus at Health Centre*"),
)
)</f>
        <v/>
      </c>
      <c r="BF74" s="102" t="str">
        <f>IF(A74="","",
  SUM(
    COUNTIFS('QA Log'!D:D,A74,'QA Log'!M:M,"Vignette",'QA Log'!Z:Z,"Approved",'QA Log'!L:L,"*Vignette [5] Labor*"),
    COUNTIFS('QA Log'!D:D,A74,'QA Log'!M:M,"Vignette",'QA Log'!Z:Z,"Approved",'QA Log'!L:L,"*Vignette [6] PNC pre Discharge*"),
    COUNTIFS('QA Log'!D:D,A74,'QA Log'!M:M,"Vignette",'QA Log'!Z:Z,"Approved",'QA Log'!L:L,"*Vignette [7] First ANC Visit*"),
    COUNTIFS('QA Log'!D:D,A74,'QA Log'!M:M,"Vignette",'QA Log'!Z:Z,"Approved",'QA Log'!L:L,"*Vignette [8] Birth Spacing/ Family Planning :  FP Counselling*"),
    COUNTIFS('QA Log'!D:D,A74,'QA Log'!M:M,"Vignette",'QA Log'!Z:Z,"Approved",'QA Log'!L:L,"*Vignette [9] Birth Spacing: Change FP method to Injectable*"),
    COUNTIFS('QA Log'!D:D,A74,'QA Log'!M:M,"Vignette",'QA Log'!Z:Z,"Approved",'QA Log'!L:L,"*Vignette [10] Post Partum Haemorrhage - Atonic Uterus at Health Centre*")
  )
)</f>
        <v/>
      </c>
      <c r="BG74" s="105" t="str">
        <f>IF(A74&lt;&gt;"",COUNTIFS('QA Log'!D:D,A74,'QA Log'!M:M,"Vignette",'QA Log'!L:L,"Vignette [5] Labor",'QA Log'!Z:Z,"Approved"),"")</f>
        <v/>
      </c>
      <c r="BH74" s="105" t="str">
        <f>IF(A74&lt;&gt;"",COUNTIFS('QA Log'!D:D,A74,'QA Log'!M:M,"Vignette",'QA Log'!L:L,"Vignette [6] PNC pre Discharge",'QA Log'!Z:Z,"Approved"),"")</f>
        <v/>
      </c>
      <c r="BI74" s="105" t="str">
        <f>IF(A74&lt;&gt;"",COUNTIFS('QA Log'!D:D,A74,'QA Log'!M:M,"Vignette",'QA Log'!L:L,"Vignette [7] First ANC Visit",'QA Log'!Z:Z,"Approved"),"")</f>
        <v/>
      </c>
      <c r="BJ74" s="105" t="str">
        <f>IF(A74&lt;&gt;"",COUNTIFS('QA Log'!D:D,A74,'QA Log'!M:M,"Vignette",'QA Log'!L:L,"Vignette [8] Birth Spacing/ Family Planning :  FP Counselling",'QA Log'!Z:Z,"Approved"),"")</f>
        <v/>
      </c>
      <c r="BK74" s="105" t="str">
        <f>IF(A74&lt;&gt;"",COUNTIFS('QA Log'!D:D,A74,'QA Log'!M:M,"Vignette",'QA Log'!L:L,"Vignette [9] Birth Spacing: Change FP method to Injectable",'QA Log'!Z:Z,"Approved"),"")</f>
        <v/>
      </c>
      <c r="BL74" s="105" t="str">
        <f>IF(A74&lt;&gt;"",COUNTIFS('QA Log'!D:D,A74,'QA Log'!M:M,"Vignette",'QA Log'!L:L,"Vignette [10] Post Partum Haemorrhage - Atonic Uterus at Health Centre",'QA Log'!Z:Z,"Approved"),"")</f>
        <v/>
      </c>
      <c r="BM74" s="102" t="str">
        <f>IF(A74="","",SUM(
    COUNTIFS('QA Log'!D:D,A74,'QA Log'!M:M,"Vignette",'QA Log'!Z:Z,"Rejected",'QA Log'!L:L,"*Vignette [5] Labor*"),
    COUNTIFS('QA Log'!D:D,A74,'QA Log'!M:M,"Vignette",'QA Log'!Z:Z,"Rejected",'QA Log'!L:L,"*Vignette [6] PNC pre Discharge*"),
    COUNTIFS('QA Log'!D:D,A74,'QA Log'!M:M,"Vignette",'QA Log'!Z:Z,"Rejected",'QA Log'!L:L,"*Vignette [7] First ANC Visit*"),
    COUNTIFS('QA Log'!D:D,A74,'QA Log'!M:M,"Vignette",'QA Log'!Z:Z,"Rejected",'QA Log'!L:L,"*Vignette [8] Birth Spacing/ Family Planning :  FP Counselling*"),
    COUNTIFS('QA Log'!D:D,A74,'QA Log'!M:M,"Vignette",'QA Log'!Z:Z,"Rejected",'QA Log'!L:L,"*Vignette [9] Birth Spacing: Change FP method to Injectable*"),
    COUNTIFS('QA Log'!D:D,A74,'QA Log'!M:M,"Vignette",'QA Log'!Z:Z,"Rejected",'QA Log'!L:L,"*Vignette [10] Post Partum Haemorrhage - Atonic Uterus at Health Centre*")
  )
)</f>
        <v/>
      </c>
      <c r="BN74" s="107" t="str">
        <f t="shared" si="11"/>
        <v/>
      </c>
      <c r="BO74" s="103" t="str">
        <f t="shared" si="12"/>
        <v/>
      </c>
      <c r="BP74" s="102" t="str">
        <f>IF(A74="","",SUM(
COUNTIFS('QA Log'!D:D,A74,'QA Log'!M:M,"Vignette",'QA Log'!L:L,"*Exit Interview 1*"),
COUNTIFS('QA Log'!D:D,A74,'QA Log'!M:M,"Vignette",'QA Log'!L:L,"*Exit Interview 2*"),
)
)</f>
        <v/>
      </c>
      <c r="BQ74" s="102" t="str">
        <f>IF(
  A74="","",
  SUM(
    COUNTIFS('QA Log'!D:D,A74,'QA Log'!M:M,"Vignette",'QA Log'!Z:Z,"Approved",'QA Log'!L:L,"*Exit Interview 1*"),
    COUNTIFS('QA Log'!D:D,A74,'QA Log'!M:M,"Vignette",'QA Log'!Z:Z,"Approved",'QA Log'!L:L,"*Exit Interview 2*")
  )
)</f>
        <v/>
      </c>
      <c r="BR74" s="105" t="str">
        <f>IF(A74&lt;&gt;"",COUNTIFS('QA Log'!D:D,A74,'QA Log'!M:M,"Vignette",'QA Log'!L:L,"Exit Interview 1",'QA Log'!Z:Z,"Approved"),"")</f>
        <v/>
      </c>
      <c r="BS74" s="105" t="str">
        <f>IF(A74&lt;&gt;"",COUNTIFS('QA Log'!D:D,A74,'QA Log'!M:M,"Vignette",'QA Log'!L:L,"Exit Interview 2",'QA Log'!Z:Z,"Approved"),"")</f>
        <v/>
      </c>
      <c r="BT74" s="102" t="str">
        <f>IF(
  A74="","",
  SUM(
    COUNTIFS('QA Log'!D:D,A74,'QA Log'!M:M,"Vignette",'QA Log'!Z:Z,"Rejected",'QA Log'!L:L,"*Exit Interview 1*"),
    COUNTIFS('QA Log'!D:D,A74,'QA Log'!M:M,"Vignette",'QA Log'!Z:Z,"Rejected",'QA Log'!L:L,"*Exit Interview 2*")
  )
)</f>
        <v/>
      </c>
      <c r="BU74" s="107" t="str">
        <f t="shared" si="13"/>
        <v/>
      </c>
      <c r="BV74" s="102" t="str">
        <f t="shared" si="14"/>
        <v/>
      </c>
      <c r="BW74" s="102" t="str">
        <f t="shared" si="15"/>
        <v/>
      </c>
      <c r="BX74" s="102" t="str">
        <f t="shared" si="16"/>
        <v/>
      </c>
      <c r="BY74" s="102" t="str">
        <f t="shared" si="17"/>
        <v/>
      </c>
      <c r="BZ74" s="107" t="str">
        <f t="shared" si="18"/>
        <v/>
      </c>
      <c r="CA74" s="108" t="str">
        <f t="shared" si="19"/>
        <v/>
      </c>
      <c r="CB74" s="108" t="str">
        <f t="shared" si="20"/>
        <v/>
      </c>
      <c r="CC74" s="109" t="str">
        <f t="shared" si="21"/>
        <v/>
      </c>
      <c r="CD74" s="108" t="str">
        <f t="shared" si="22"/>
        <v/>
      </c>
      <c r="CE74" s="108" t="str">
        <f t="shared" si="23"/>
        <v/>
      </c>
      <c r="CF74" s="109" t="str">
        <f t="shared" si="24"/>
        <v/>
      </c>
      <c r="CG74" s="110" t="str">
        <f t="shared" si="25"/>
        <v/>
      </c>
      <c r="CH74" s="111"/>
    </row>
    <row r="75" spans="1:86" ht="12.75">
      <c r="A75" s="101"/>
      <c r="B75" s="102" t="e">
        <f t="array" aca="1" ref="B75" ca="1">_xludf.XLOOKUP(A75,'QA Log'!D:D,'QA Log'!E:E,"")</f>
        <v>#NAME?</v>
      </c>
      <c r="C75" s="102" t="e">
        <f t="array" aca="1" ref="C75" ca="1">_xludf.XLOOKUP(A75,'QA Log'!D:D,'QA Log'!F:F,"")</f>
        <v>#NAME?</v>
      </c>
      <c r="D75" s="102" t="e">
        <f t="array" aca="1" ref="D75" ca="1">_xludf.XLOOKUP(A75,'QA Log'!D:D,'QA Log'!H:H,"")</f>
        <v>#NAME?</v>
      </c>
      <c r="E75" s="102" t="e">
        <f t="array" aca="1" ref="E75" ca="1">_xludf.XLOOKUP(A75,'QA Log'!D:D,'QA Log'!G:G,"")</f>
        <v>#NAME?</v>
      </c>
      <c r="F75" s="103"/>
      <c r="G75" s="104"/>
      <c r="H75" s="104"/>
      <c r="I75" s="103" t="str">
        <f t="shared" si="0"/>
        <v/>
      </c>
      <c r="J75" s="102" t="str">
        <f>IF(A75="","",SUM(
COUNTIFS('QA Log'!D:D,A75,'QA Log'!M:M,"QQC",'QA Log'!L:L,"*1. General Management*"),
COUNTIFS('QA Log'!D:D,A75,'QA Log'!M:M,"QQC",'QA Log'!L:L,"*3. Curative Consultation (OPD)*"),
COUNTIFS('QA Log'!D:D,A75,'QA Log'!M:M,"QQC",'QA Log'!L:L,"*5. Laboratory*"),
COUNTIFS('QA Log'!D:D,A75,'QA Log'!M:M,"QQC",'QA Log'!L:L,"*6. Essential Medicine Management*"),
COUNTIFS('QA Log'!D:D,A75,'QA Log'!M:M,"QQC",'QA Log'!L:L,"*7. Tracer Medicine*"),
COUNTIFS('QA Log'!D:D,A75,'QA Log'!M:M,"QQC",'QA Log'!L:L,"*11. Additional Questions*")))</f>
        <v/>
      </c>
      <c r="K75" s="102" t="str">
        <f>IF(A75="","",SUM(
COUNTIFS('QA Log'!D:D,A75,'QA Log'!M:M,"QQC",'QA Log'!Z:Z,"Approved",'QA Log'!L:L,"*1. General Management*"),
COUNTIFS('QA Log'!D:D,A75,'QA Log'!M:M,"QQC",'QA Log'!Z:Z,"Approved",'QA Log'!L:L,"*3. Curative Consultation (OPD)*"),
COUNTIFS('QA Log'!D:D,A75,'QA Log'!M:M,"QQC",'QA Log'!Z:Z,"Approved",'QA Log'!L:L,"*5. Laboratory*"),
COUNTIFS('QA Log'!D:D,A75,'QA Log'!M:M,"QQC",'QA Log'!Z:Z,"Approved",'QA Log'!L:L,"*6. Essential Medicine Management*"),
COUNTIFS('QA Log'!D:D,A75,'QA Log'!M:M,"QQC",'QA Log'!Z:Z,"Approved",'QA Log'!L:L,"*7. Tracer Medicine*"),
COUNTIFS('QA Log'!D:D,A75,'QA Log'!M:M,"QQC",'QA Log'!Z:Z,"Approved",'QA Log'!L:L,"*11. Additional Questions*")))</f>
        <v/>
      </c>
      <c r="L75" s="105" t="str">
        <f>IF(A75&lt;&gt;"",COUNTIFS('QA Log'!D:D,A75,'QA Log'!M:M,"QQC",'QA Log'!L:L,"1. General Management",'QA Log'!Z:Z,"Approved"),"")</f>
        <v/>
      </c>
      <c r="M75" s="105" t="str">
        <f>IF(A75&lt;&gt;"",COUNTIFS('QA Log'!D:D,A75,'QA Log'!M:M,"QQC",'QA Log'!L:L,"3. Curative Consultation (OPD)",'QA Log'!Z:Z,"Approved"),"")</f>
        <v/>
      </c>
      <c r="N75" s="105" t="str">
        <f>IF(A75&lt;&gt;"",COUNTIFS('QA Log'!D:D,A75,'QA Log'!M:M,"QQC",'QA Log'!L:L,"5. Laboratory",'QA Log'!Z:Z,"Approved"),"")</f>
        <v/>
      </c>
      <c r="O75" s="105" t="str">
        <f>IF(A75&lt;&gt;"",COUNTIFS('QA Log'!D:D,A75,'QA Log'!M:M,"QQC",'QA Log'!L:L,"6. Essential Medicine Management",'QA Log'!Z:Z,"Approved"),"")</f>
        <v/>
      </c>
      <c r="P75" s="105" t="str">
        <f>IF(A75&lt;&gt;"",COUNTIFS('QA Log'!D:D,A75,'QA Log'!M:M,"QQC",'QA Log'!L:L,"7. Tracer Medicine",'QA Log'!Z:Z,"Approved"),"")</f>
        <v/>
      </c>
      <c r="Q75" s="105" t="str">
        <f>IF(A75&lt;&gt;"",COUNTIFS('QA Log'!D:D,A75,'QA Log'!M:M,"QQC",'QA Log'!L:L,"11. Additional Questions",'QA Log'!Z:Z,"Approved"),"")</f>
        <v/>
      </c>
      <c r="R75" s="102" t="str">
        <f>IF(A75="","",SUM(
COUNTIFS('QA Log'!D:D,A75,'QA Log'!M:M,"QQC",'QA Log'!Z:Z,"Rejected",'QA Log'!L:L,"*8. Maternity*"),
COUNTIFS('QA Log'!D:D,A75,'QA Log'!M:M,"QQC",'QA Log'!Z:Z,"Rejected",'QA Log'!L:L,"*EPI*"),
COUNTIFS('QA Log'!D:D,A75,'QA Log'!M:M,"QQC",'QA Log'!Z:Z,"Rejected",'QA Log'!L:L,"*10. Antenatal Care (ANC)*"),
COUNTIFS('QA Log'!D:D,A75,'QA Log'!M:M,"QQC",'QA Log'!Z:Z,"Rejected",'QA Log'!L:L,"*2. Hygiene and Sterilization*"),
COUNTIFS('QA Log'!D:D,A75,'QA Log'!M:M,"QQC",'QA Log'!Z:Z,"Rejected",'QA Log'!L:L,"*Family Planning*")))</f>
        <v/>
      </c>
      <c r="S75" s="106" t="str">
        <f t="shared" si="1"/>
        <v/>
      </c>
      <c r="T75" s="102" t="str">
        <f t="shared" si="2"/>
        <v/>
      </c>
      <c r="U75" s="102" t="str">
        <f>IF(A75="","",
SUM(
COUNTIFS('QA Log'!D:D,A75,'QA Log'!M:M,"QQC",'QA Log'!L:L,"*8. Maternity*"),
COUNTIFS('QA Log'!D:D,A75,'QA Log'!M:M,"QQC",'QA Log'!L:L,"*9. EPI and Pre-school Consultation*"),
COUNTIFS('QA Log'!D:D,A75,'QA Log'!M:M,"QQC",'QA Log'!L:L,"*10. Antenatal Care (ANC)*"),
COUNTIFS('QA Log'!D:D,A75,'QA Log'!M:M,"QQC",'QA Log'!L:L,"*2. Hygiene and Sterilization*"),
COUNTIFS('QA Log'!D:D,A75,'QA Log'!M:M,"QQC",'QA Log'!L:L,"*4. Family Planning*")
))</f>
        <v/>
      </c>
      <c r="V75" s="102" t="str">
        <f>IF(A75="","",
SUM(
COUNTIFS('QA Log'!D:D,A75,'QA Log'!M:M,"QQC",'QA Log'!Z:Z,"Approved",'QA Log'!L:L,"*8. Maternity*"),
COUNTIFS('QA Log'!D:D,A75,'QA Log'!M:M,"QQC",'QA Log'!Z:Z,"Approved",'QA Log'!L:L,"*9. EPI and Pre-school Consultation*"),
COUNTIFS('QA Log'!D:D,A75,'QA Log'!M:M,"QQC",'QA Log'!Z:Z,"Approved",'QA Log'!L:L,"*10. Antenatal Care (ANC)*"),
COUNTIFS('QA Log'!D:D,A75,'QA Log'!M:M,"QQC",'QA Log'!Z:Z,"Approved",'QA Log'!L:L,"*2. Hygiene and Sterilization*"),
COUNTIFS('QA Log'!D:D,A75,'QA Log'!M:M,"QQC",'QA Log'!Z:Z,"Approved",'QA Log'!L:L,"*4. Family Planning*")
))</f>
        <v/>
      </c>
      <c r="W75" s="105" t="str">
        <f>IF(A75&lt;&gt;"",COUNTIFS('QA Log'!D:D,A75,'QA Log'!M:M,"QQC",'QA Log'!L:L,"8. Maternity",'QA Log'!Z:Z,"Approved"),"")</f>
        <v/>
      </c>
      <c r="X75" s="105" t="str">
        <f>IF(A75&lt;&gt;"",COUNTIFS('QA Log'!D:D,A75,'QA Log'!M:M,"QQC",'QA Log'!L:L,"9. EPI and Pre-school Consultation",'QA Log'!Z:Z,"Approved"),"")</f>
        <v/>
      </c>
      <c r="Y75" s="105" t="str">
        <f>IF(A75&lt;&gt;"",COUNTIFS('QA Log'!D:D,A75,'QA Log'!M:M,"QQC",'QA Log'!L:L,"10. Antenatal Care (ANC)",'QA Log'!Z:Z,"Approved"),"")</f>
        <v/>
      </c>
      <c r="Z75" s="105" t="str">
        <f>IF(A75&lt;&gt;"",COUNTIFS('QA Log'!D:D,A75,'QA Log'!M:M,"QQC",'QA Log'!L:L,"2. Hygiene and Sterilization",'QA Log'!Z:Z,"Approved"),"")</f>
        <v/>
      </c>
      <c r="AA75" s="105" t="str">
        <f>IF(A75&lt;&gt;"",COUNTIFS('QA Log'!D:D,A75,'QA Log'!M:M,"QQC",'QA Log'!L:L,"4. Family Planning",'QA Log'!Z:Z,"Approved"),"")</f>
        <v/>
      </c>
      <c r="AB75" s="102" t="str">
        <f>IF(A75="","",
SUM(
COUNTIFS('QA Log'!D:D,A75,'QA Log'!M:M,"QQC",'QA Log'!Z:Z,"Rejected",'QA Log'!L:L,"*8. Maternity*"),
COUNTIFS('QA Log'!D:D,A75,'QA Log'!M:M,"QQC",'QA Log'!Z:Z,"Rejected",'QA Log'!L:L,"*9. EPI and Pre-school Consultation*"),
COUNTIFS('QA Log'!D:D,A75,'QA Log'!M:M,"QQC",'QA Log'!Z:Z,"Rejected",'QA Log'!L:L,"*10. Antenatal Care (ANC)*"),
COUNTIFS('QA Log'!D:D,A75,'QA Log'!M:M,"QQC",'QA Log'!Z:Z,"Rejected",'QA Log'!L:L,"*2. Hygiene and Sterilization*"),
COUNTIFS('QA Log'!D:D,A75,'QA Log'!M:M,"QQC",'QA Log'!Z:Z,"Rejected",'QA Log'!L:L,"*4. Family Planning*")
))</f>
        <v/>
      </c>
      <c r="AC75" s="102" t="str">
        <f t="shared" si="3"/>
        <v/>
      </c>
      <c r="AD75" s="103" t="str">
        <f t="shared" si="4"/>
        <v/>
      </c>
      <c r="AE75" s="102" t="str">
        <f>IF(A75="","",
SUM(
COUNTIFS('QA Log'!D:D,A75,'QA Log'!M:M,"Data Verification",'QA Log'!L:L,"*Medicine (section 2)*"),
COUNTIFS('QA Log'!D:D,A75,'QA Log'!M:M,"Data Verification",'QA Log'!L:L,"*Lab Testing Availability*"),
COUNTIFS('QA Log'!D:D,A75,'QA Log'!M:M,"Data Verification",'QA Log'!L:L,"*Other than P4P (section 6)*"),
COUNTIFS('QA Log'!D:D,A75,'QA Log'!M:M,"Data Verification",'QA Log'!L:L,"*Hospital Governance*")
))</f>
        <v/>
      </c>
      <c r="AF75" s="102" t="str">
        <f>IF(A75="","",
SUM(
COUNTIFS('QA Log'!D:D,A75,'QA Log'!M:M,"Data Verification",'QA Log'!Z:Z,"Approved",'QA Log'!L:L,"*Medicine (section 2)*"),
COUNTIFS('QA Log'!D:D,A75,'QA Log'!M:M,"Data Verification",'QA Log'!Z:Z,"Approved",'QA Log'!L:L,"*Lab Testing Availability*"),
COUNTIFS('QA Log'!D:D,A75,'QA Log'!M:M,"Data Verification",'QA Log'!Z:Z,"Approved",'QA Log'!L:L,"*Other than P4P (section 6)*"),
COUNTIFS('QA Log'!D:D,A75,'QA Log'!M:M,"Data Verification",'QA Log'!Z:Z,"Approved",'QA Log'!L:L,"*Hospital Governance*")
))</f>
        <v/>
      </c>
      <c r="AG75" s="105" t="str">
        <f>IF(A75&lt;&gt;"",COUNTIFS('QA Log'!D:D,A75,'QA Log'!M:M,"Data Verification",'QA Log'!L:L,"Medicine (section 2)",'QA Log'!Z:Z,"Approved"),"")</f>
        <v/>
      </c>
      <c r="AH75" s="105" t="str">
        <f>IF(A75&lt;&gt;"",COUNTIFS('QA Log'!D:D,A75,'QA Log'!M:M,"Data Verification",'QA Log'!L:L,"Lab Testing Availability",'QA Log'!Z:Z,"Approved"),"")</f>
        <v/>
      </c>
      <c r="AI75" s="105" t="str">
        <f>IF(A75&lt;&gt;"",COUNTIFS('QA Log'!D:D,A75,'QA Log'!M:M,"Data Verification",'QA Log'!L:L,"Other than P4P (section 6)",'QA Log'!Z:Z,"Approved"),"")</f>
        <v/>
      </c>
      <c r="AJ75" s="105" t="str">
        <f>IF(A75&lt;&gt;"",COUNTIFS('QA Log'!D:D,A75,'QA Log'!M:M,"Data Verification",'QA Log'!L:L,"Hospital Governance",'QA Log'!Z:Z,"Approved"),"")</f>
        <v/>
      </c>
      <c r="AK75" s="102" t="str">
        <f>IF(A75="","",
SUM(
COUNTIFS('QA Log'!D:D,A75,'QA Log'!M:M,"Data Verification",'QA Log'!Z:Z,"Rejected",'QA Log'!L:L,"*Medicine (section 2)*"),
COUNTIFS('QA Log'!D:D,A75,'QA Log'!M:M,"Data Verification",'QA Log'!Z:Z,"Rejected",'QA Log'!L:L,"*Lab Testing Availability*"),
COUNTIFS('QA Log'!D:D,A75,'QA Log'!M:M,"Data Verification",'QA Log'!Z:Z,"Rejected",'QA Log'!L:L,"*Other than P4P (section 6)*"),
COUNTIFS('QA Log'!D:D,A75,'QA Log'!M:M,"Data Verification",'QA Log'!Z:Z,"Rejected",'QA Log'!L:L,"*Hospital Governance*")
))</f>
        <v/>
      </c>
      <c r="AL75" s="106" t="str">
        <f t="shared" si="5"/>
        <v/>
      </c>
      <c r="AM75" s="102" t="str">
        <f t="shared" si="6"/>
        <v/>
      </c>
      <c r="AN75" s="102" t="str">
        <f>IF(A75="","",
SUM(
COUNTIFS('QA Log'!D:D,A75,'QA Log'!M:M,"Data Verification",'QA Log'!L:L,"*Personnel (section 1)*"),
COUNTIFS('QA Log'!D:D,A75,'QA Log'!M:M,"Data Verification",'QA Log'!L:L,"*Consumable (section 3)*"),
COUNTIFS('QA Log'!D:D,A75,'QA Log'!M:M,"Data Verification",'QA Log'!L:L,"*Equipments (section 4)*")
))</f>
        <v/>
      </c>
      <c r="AO75" s="102" t="str">
        <f>IF(A75="","",
SUM(
COUNTIFS('QA Log'!D:D,A75,'QA Log'!M:M,"Data Verification",'QA Log'!Z:Z,"Approved",'QA Log'!L:L,"*Personnel (section 1)*"),
COUNTIFS('QA Log'!D:D,A75,'QA Log'!M:M,"Data Verification",'QA Log'!Z:Z,"Approved",'QA Log'!L:L,"*Consumable (section 3)*"),
COUNTIFS('QA Log'!D:D,A75,'QA Log'!M:M,"Data Verification",'QA Log'!Z:Z,"Approved",'QA Log'!L:L,"*Equipments (section 4)*")
))</f>
        <v/>
      </c>
      <c r="AP75" s="105" t="str">
        <f>IF(A75&lt;&gt;"",COUNTIFS('QA Log'!D:D,A75,'QA Log'!M:M,"Data Verification",'QA Log'!L:L,"Personnel (section 1)",'QA Log'!Z:Z,"Approved"),"")</f>
        <v/>
      </c>
      <c r="AQ75" s="105" t="str">
        <f>IF(A75&lt;&gt;"",COUNTIFS('QA Log'!D:D,A75,'QA Log'!M:M,"Data Verification",'QA Log'!L:L,"Consumable (section 3)",'QA Log'!Z:Z,"Approved"),"")</f>
        <v/>
      </c>
      <c r="AR75" s="105" t="str">
        <f>IF(A75&lt;&gt;"",COUNTIFS('QA Log'!D:D,A75,'QA Log'!M:M,"Data Verification",'QA Log'!L:L,"Equipments (section 4)",'QA Log'!Z:Z,"Approved"),"")</f>
        <v/>
      </c>
      <c r="AS75" s="102" t="str">
        <f>IF(A75="","",
SUM(
COUNTIFS('QA Log'!D:D,A75,'QA Log'!M:M,"Data Verification",'QA Log'!Z:Z,"Rejected",'QA Log'!L:L,"*Personnel (section 1)*"),
COUNTIFS('QA Log'!D:D,A75,'QA Log'!M:M,"Data Verification",'QA Log'!Z:Z,"Rejected",'QA Log'!L:L,"*Consumable (section 3)*"),
COUNTIFS('QA Log'!D:D,A75,'QA Log'!M:M,"Data Verification",'QA Log'!Z:Z,"Rejected",'QA Log'!L:L,"*Equipments (section 4)*")
))</f>
        <v/>
      </c>
      <c r="AT75" s="102" t="str">
        <f t="shared" si="7"/>
        <v/>
      </c>
      <c r="AU75" s="103" t="str">
        <f t="shared" si="8"/>
        <v/>
      </c>
      <c r="AV75" s="102" t="str">
        <f>IF(A75="","",SUM(
COUNTIFS('QA Log'!D:D,A75,'QA Log'!M:M,"Vignette",'QA Log'!L:L,"*Vignette [1] Respiratory Infection: Pneumonia*"),
COUNTIFS('QA Log'!D:D,A75,'QA Log'!M:M,"Vignette",'QA Log'!L:L,"*Vignette [2]: Diarrhea with Cat B dehydration*"),
COUNTIFS('QA Log'!D:D,A75,'QA Log'!M:M,"Vignette",'QA Log'!L:L,"*Vignette [3] Growth Monitoring and Promotion*"),
COUNTIFS('QA Log'!D:D,A75,'QA Log'!M:M,"Vignette",'QA Log'!L:L,"*Vignette [4]: The management of presumptive TB patient*")
)
)</f>
        <v/>
      </c>
      <c r="AW75" s="102" t="str">
        <f>IF(
  A75="","",
  SUM(
    COUNTIFS('QA Log'!D:D,A75,'QA Log'!M:M,"Vignette",'QA Log'!Z:Z,"Approved",'QA Log'!L:L,"*Vignette [1] Respiratory Infection: Pneumonia*"),
    COUNTIFS('QA Log'!D:D,A75,'QA Log'!M:M,"Vignette",'QA Log'!Z:Z,"Approved",'QA Log'!L:L,"*Vignette [2]: Diarrhea with Cat B dehydration*"),
    COUNTIFS('QA Log'!D:D,A75,'QA Log'!M:M,"Vignette",'QA Log'!Z:Z,"Approved",'QA Log'!L:L,"*Vignette [3] Growth Monitoring and Promotion*"),
    COUNTIFS('QA Log'!D:D,A75,'QA Log'!M:M,"Vignette",'QA Log'!Z:Z,"Approved",'QA Log'!L:L,"*Vignette [4]: The management of presumptive TB patient*")
  )
)</f>
        <v/>
      </c>
      <c r="AX75" s="105" t="str">
        <f>IF(A75&lt;&gt;"",COUNTIFS('QA Log'!D:D,A75,'QA Log'!M:M,"Vignette",'QA Log'!L:L,"Vignette [1] Respiratory Infection: Pneumonia",'QA Log'!Z:Z,"Approved"),"")</f>
        <v/>
      </c>
      <c r="AY75" s="105" t="str">
        <f>IF(A75&lt;&gt;"",COUNTIFS('QA Log'!D:D,A75,'QA Log'!M:M,"Vignette",'QA Log'!L:L,"Vignette [2]: Diarrhea with Cat B dehydration",'QA Log'!Z:Z,"Approved"),"")</f>
        <v/>
      </c>
      <c r="AZ75" s="105" t="str">
        <f>IF(A75&lt;&gt;"",COUNTIFS('QA Log'!D:D,A75,'QA Log'!M:M,"Vignette",'QA Log'!L:L,"Vignette [3] Growth Monitoring and Promotion",'QA Log'!Z:Z,"Approved"),"")</f>
        <v/>
      </c>
      <c r="BA75" s="105" t="str">
        <f>IF(A75&lt;&gt;"",COUNTIFS('QA Log'!D:D,A75,'QA Log'!M:M,"Vignette",'QA Log'!L:L,"Vignette [4]: The management of presumptive TB patient",'QA Log'!Z:Z,"Approved"),"")</f>
        <v/>
      </c>
      <c r="BB75" s="102" t="str">
        <f>IF(A75="","",
  SUM(
    COUNTIFS('QA Log'!D:D,A75,'QA Log'!M:M,"Vignette",'QA Log'!Z:Z,"Rejected",'QA Log'!L:L,"*Vignette [1] Respiratory Infection: Pneumonia*"),
    COUNTIFS('QA Log'!D:D,A75,'QA Log'!M:M,"Vignette",'QA Log'!Z:Z,"Rejected",'QA Log'!L:L,"*Vignette [2]: Diarrhea with Cat B dehydration*"),
    COUNTIFS('QA Log'!D:D,A75,'QA Log'!M:M,"Vignette",'QA Log'!Z:Z,"Rejected",'QA Log'!L:L,"*Vignette [3] Growth Monitoring and Promotion*"),
    COUNTIFS('QA Log'!D:D,A75,'QA Log'!M:M,"Vignette",'QA Log'!Z:Z,"Rejected",'QA Log'!L:L,"*Vignette [4]: The management of presumptive TB patient*")
  )
)</f>
        <v/>
      </c>
      <c r="BC75" s="107" t="str">
        <f t="shared" si="9"/>
        <v/>
      </c>
      <c r="BD75" s="103" t="str">
        <f t="shared" si="10"/>
        <v/>
      </c>
      <c r="BE75" s="102" t="str">
        <f>IF(A75="","",SUM(
COUNTIFS('QA Log'!D:D,A75,'QA Log'!M:M,"Vignette",'QA Log'!L:L,"*Vignette [5] Labor*"),
COUNTIFS('QA Log'!D:D,A75,'QA Log'!M:M,"Vignette",'QA Log'!L:L,"*Vignette [6] PNC pre Discharge*"),
COUNTIFS('QA Log'!D:D,A75,'QA Log'!M:M,"Vignette",'QA Log'!L:L,"*Vignette [7] First ANC Visit*"),
COUNTIFS('QA Log'!D:D,A75,'QA Log'!M:M,"Vignette",'QA Log'!L:L,"*Vignette [8] Birth Spacing/ Family Planning :  FP Counselling*"),
COUNTIFS('QA Log'!D:D,A75,'QA Log'!M:M,"Vignette",'QA Log'!L:L,"*Vignette [9] Birth Spacing: Change FP method to Injectable*"),
COUNTIFS('QA Log'!D:D,A75,'QA Log'!M:M,"Vignette",'QA Log'!L:L,"*Vignette [10] Post Partum Haemorrhage - Atonic Uterus at Health Centre*"),
)
)</f>
        <v/>
      </c>
      <c r="BF75" s="102" t="str">
        <f>IF(A75="","",
  SUM(
    COUNTIFS('QA Log'!D:D,A75,'QA Log'!M:M,"Vignette",'QA Log'!Z:Z,"Approved",'QA Log'!L:L,"*Vignette [5] Labor*"),
    COUNTIFS('QA Log'!D:D,A75,'QA Log'!M:M,"Vignette",'QA Log'!Z:Z,"Approved",'QA Log'!L:L,"*Vignette [6] PNC pre Discharge*"),
    COUNTIFS('QA Log'!D:D,A75,'QA Log'!M:M,"Vignette",'QA Log'!Z:Z,"Approved",'QA Log'!L:L,"*Vignette [7] First ANC Visit*"),
    COUNTIFS('QA Log'!D:D,A75,'QA Log'!M:M,"Vignette",'QA Log'!Z:Z,"Approved",'QA Log'!L:L,"*Vignette [8] Birth Spacing/ Family Planning :  FP Counselling*"),
    COUNTIFS('QA Log'!D:D,A75,'QA Log'!M:M,"Vignette",'QA Log'!Z:Z,"Approved",'QA Log'!L:L,"*Vignette [9] Birth Spacing: Change FP method to Injectable*"),
    COUNTIFS('QA Log'!D:D,A75,'QA Log'!M:M,"Vignette",'QA Log'!Z:Z,"Approved",'QA Log'!L:L,"*Vignette [10] Post Partum Haemorrhage - Atonic Uterus at Health Centre*")
  )
)</f>
        <v/>
      </c>
      <c r="BG75" s="105" t="str">
        <f>IF(A75&lt;&gt;"",COUNTIFS('QA Log'!D:D,A75,'QA Log'!M:M,"Vignette",'QA Log'!L:L,"Vignette [5] Labor",'QA Log'!Z:Z,"Approved"),"")</f>
        <v/>
      </c>
      <c r="BH75" s="105" t="str">
        <f>IF(A75&lt;&gt;"",COUNTIFS('QA Log'!D:D,A75,'QA Log'!M:M,"Vignette",'QA Log'!L:L,"Vignette [6] PNC pre Discharge",'QA Log'!Z:Z,"Approved"),"")</f>
        <v/>
      </c>
      <c r="BI75" s="105" t="str">
        <f>IF(A75&lt;&gt;"",COUNTIFS('QA Log'!D:D,A75,'QA Log'!M:M,"Vignette",'QA Log'!L:L,"Vignette [7] First ANC Visit",'QA Log'!Z:Z,"Approved"),"")</f>
        <v/>
      </c>
      <c r="BJ75" s="105" t="str">
        <f>IF(A75&lt;&gt;"",COUNTIFS('QA Log'!D:D,A75,'QA Log'!M:M,"Vignette",'QA Log'!L:L,"Vignette [8] Birth Spacing/ Family Planning :  FP Counselling",'QA Log'!Z:Z,"Approved"),"")</f>
        <v/>
      </c>
      <c r="BK75" s="105" t="str">
        <f>IF(A75&lt;&gt;"",COUNTIFS('QA Log'!D:D,A75,'QA Log'!M:M,"Vignette",'QA Log'!L:L,"Vignette [9] Birth Spacing: Change FP method to Injectable",'QA Log'!Z:Z,"Approved"),"")</f>
        <v/>
      </c>
      <c r="BL75" s="105" t="str">
        <f>IF(A75&lt;&gt;"",COUNTIFS('QA Log'!D:D,A75,'QA Log'!M:M,"Vignette",'QA Log'!L:L,"Vignette [10] Post Partum Haemorrhage - Atonic Uterus at Health Centre",'QA Log'!Z:Z,"Approved"),"")</f>
        <v/>
      </c>
      <c r="BM75" s="102" t="str">
        <f>IF(A75="","",SUM(
    COUNTIFS('QA Log'!D:D,A75,'QA Log'!M:M,"Vignette",'QA Log'!Z:Z,"Rejected",'QA Log'!L:L,"*Vignette [5] Labor*"),
    COUNTIFS('QA Log'!D:D,A75,'QA Log'!M:M,"Vignette",'QA Log'!Z:Z,"Rejected",'QA Log'!L:L,"*Vignette [6] PNC pre Discharge*"),
    COUNTIFS('QA Log'!D:D,A75,'QA Log'!M:M,"Vignette",'QA Log'!Z:Z,"Rejected",'QA Log'!L:L,"*Vignette [7] First ANC Visit*"),
    COUNTIFS('QA Log'!D:D,A75,'QA Log'!M:M,"Vignette",'QA Log'!Z:Z,"Rejected",'QA Log'!L:L,"*Vignette [8] Birth Spacing/ Family Planning :  FP Counselling*"),
    COUNTIFS('QA Log'!D:D,A75,'QA Log'!M:M,"Vignette",'QA Log'!Z:Z,"Rejected",'QA Log'!L:L,"*Vignette [9] Birth Spacing: Change FP method to Injectable*"),
    COUNTIFS('QA Log'!D:D,A75,'QA Log'!M:M,"Vignette",'QA Log'!Z:Z,"Rejected",'QA Log'!L:L,"*Vignette [10] Post Partum Haemorrhage - Atonic Uterus at Health Centre*")
  )
)</f>
        <v/>
      </c>
      <c r="BN75" s="107" t="str">
        <f t="shared" si="11"/>
        <v/>
      </c>
      <c r="BO75" s="103" t="str">
        <f t="shared" si="12"/>
        <v/>
      </c>
      <c r="BP75" s="102" t="str">
        <f>IF(A75="","",SUM(
COUNTIFS('QA Log'!D:D,A75,'QA Log'!M:M,"Vignette",'QA Log'!L:L,"*Exit Interview 1*"),
COUNTIFS('QA Log'!D:D,A75,'QA Log'!M:M,"Vignette",'QA Log'!L:L,"*Exit Interview 2*"),
)
)</f>
        <v/>
      </c>
      <c r="BQ75" s="102" t="str">
        <f>IF(
  A75="","",
  SUM(
    COUNTIFS('QA Log'!D:D,A75,'QA Log'!M:M,"Vignette",'QA Log'!Z:Z,"Approved",'QA Log'!L:L,"*Exit Interview 1*"),
    COUNTIFS('QA Log'!D:D,A75,'QA Log'!M:M,"Vignette",'QA Log'!Z:Z,"Approved",'QA Log'!L:L,"*Exit Interview 2*")
  )
)</f>
        <v/>
      </c>
      <c r="BR75" s="105" t="str">
        <f>IF(A75&lt;&gt;"",COUNTIFS('QA Log'!D:D,A75,'QA Log'!M:M,"Vignette",'QA Log'!L:L,"Exit Interview 1",'QA Log'!Z:Z,"Approved"),"")</f>
        <v/>
      </c>
      <c r="BS75" s="105" t="str">
        <f>IF(A75&lt;&gt;"",COUNTIFS('QA Log'!D:D,A75,'QA Log'!M:M,"Vignette",'QA Log'!L:L,"Exit Interview 2",'QA Log'!Z:Z,"Approved"),"")</f>
        <v/>
      </c>
      <c r="BT75" s="102" t="str">
        <f>IF(
  A75="","",
  SUM(
    COUNTIFS('QA Log'!D:D,A75,'QA Log'!M:M,"Vignette",'QA Log'!Z:Z,"Rejected",'QA Log'!L:L,"*Exit Interview 1*"),
    COUNTIFS('QA Log'!D:D,A75,'QA Log'!M:M,"Vignette",'QA Log'!Z:Z,"Rejected",'QA Log'!L:L,"*Exit Interview 2*")
  )
)</f>
        <v/>
      </c>
      <c r="BU75" s="107" t="str">
        <f t="shared" si="13"/>
        <v/>
      </c>
      <c r="BV75" s="102" t="str">
        <f t="shared" si="14"/>
        <v/>
      </c>
      <c r="BW75" s="102" t="str">
        <f t="shared" si="15"/>
        <v/>
      </c>
      <c r="BX75" s="102" t="str">
        <f t="shared" si="16"/>
        <v/>
      </c>
      <c r="BY75" s="102" t="str">
        <f t="shared" si="17"/>
        <v/>
      </c>
      <c r="BZ75" s="107" t="str">
        <f t="shared" si="18"/>
        <v/>
      </c>
      <c r="CA75" s="108" t="str">
        <f t="shared" si="19"/>
        <v/>
      </c>
      <c r="CB75" s="108" t="str">
        <f t="shared" si="20"/>
        <v/>
      </c>
      <c r="CC75" s="109" t="str">
        <f t="shared" si="21"/>
        <v/>
      </c>
      <c r="CD75" s="108" t="str">
        <f t="shared" si="22"/>
        <v/>
      </c>
      <c r="CE75" s="108" t="str">
        <f t="shared" si="23"/>
        <v/>
      </c>
      <c r="CF75" s="109" t="str">
        <f t="shared" si="24"/>
        <v/>
      </c>
      <c r="CG75" s="110" t="str">
        <f t="shared" si="25"/>
        <v/>
      </c>
      <c r="CH75" s="111"/>
    </row>
    <row r="76" spans="1:86" ht="12.75">
      <c r="A76" s="101"/>
      <c r="B76" s="102" t="e">
        <f t="array" aca="1" ref="B76" ca="1">_xludf.XLOOKUP(A76,'QA Log'!D:D,'QA Log'!E:E,"")</f>
        <v>#NAME?</v>
      </c>
      <c r="C76" s="102" t="e">
        <f t="array" aca="1" ref="C76" ca="1">_xludf.XLOOKUP(A76,'QA Log'!D:D,'QA Log'!F:F,"")</f>
        <v>#NAME?</v>
      </c>
      <c r="D76" s="102" t="e">
        <f t="array" aca="1" ref="D76" ca="1">_xludf.XLOOKUP(A76,'QA Log'!D:D,'QA Log'!H:H,"")</f>
        <v>#NAME?</v>
      </c>
      <c r="E76" s="102" t="e">
        <f t="array" aca="1" ref="E76" ca="1">_xludf.XLOOKUP(A76,'QA Log'!D:D,'QA Log'!G:G,"")</f>
        <v>#NAME?</v>
      </c>
      <c r="F76" s="103"/>
      <c r="G76" s="104"/>
      <c r="H76" s="104"/>
      <c r="I76" s="103" t="str">
        <f t="shared" si="0"/>
        <v/>
      </c>
      <c r="J76" s="102" t="str">
        <f>IF(A76="","",SUM(
COUNTIFS('QA Log'!D:D,A76,'QA Log'!M:M,"QQC",'QA Log'!L:L,"*1. General Management*"),
COUNTIFS('QA Log'!D:D,A76,'QA Log'!M:M,"QQC",'QA Log'!L:L,"*3. Curative Consultation (OPD)*"),
COUNTIFS('QA Log'!D:D,A76,'QA Log'!M:M,"QQC",'QA Log'!L:L,"*5. Laboratory*"),
COUNTIFS('QA Log'!D:D,A76,'QA Log'!M:M,"QQC",'QA Log'!L:L,"*6. Essential Medicine Management*"),
COUNTIFS('QA Log'!D:D,A76,'QA Log'!M:M,"QQC",'QA Log'!L:L,"*7. Tracer Medicine*"),
COUNTIFS('QA Log'!D:D,A76,'QA Log'!M:M,"QQC",'QA Log'!L:L,"*11. Additional Questions*")))</f>
        <v/>
      </c>
      <c r="K76" s="102" t="str">
        <f>IF(A76="","",SUM(
COUNTIFS('QA Log'!D:D,A76,'QA Log'!M:M,"QQC",'QA Log'!Z:Z,"Approved",'QA Log'!L:L,"*1. General Management*"),
COUNTIFS('QA Log'!D:D,A76,'QA Log'!M:M,"QQC",'QA Log'!Z:Z,"Approved",'QA Log'!L:L,"*3. Curative Consultation (OPD)*"),
COUNTIFS('QA Log'!D:D,A76,'QA Log'!M:M,"QQC",'QA Log'!Z:Z,"Approved",'QA Log'!L:L,"*5. Laboratory*"),
COUNTIFS('QA Log'!D:D,A76,'QA Log'!M:M,"QQC",'QA Log'!Z:Z,"Approved",'QA Log'!L:L,"*6. Essential Medicine Management*"),
COUNTIFS('QA Log'!D:D,A76,'QA Log'!M:M,"QQC",'QA Log'!Z:Z,"Approved",'QA Log'!L:L,"*7. Tracer Medicine*"),
COUNTIFS('QA Log'!D:D,A76,'QA Log'!M:M,"QQC",'QA Log'!Z:Z,"Approved",'QA Log'!L:L,"*11. Additional Questions*")))</f>
        <v/>
      </c>
      <c r="L76" s="105" t="str">
        <f>IF(A76&lt;&gt;"",COUNTIFS('QA Log'!D:D,A76,'QA Log'!M:M,"QQC",'QA Log'!L:L,"1. General Management",'QA Log'!Z:Z,"Approved"),"")</f>
        <v/>
      </c>
      <c r="M76" s="105" t="str">
        <f>IF(A76&lt;&gt;"",COUNTIFS('QA Log'!D:D,A76,'QA Log'!M:M,"QQC",'QA Log'!L:L,"3. Curative Consultation (OPD)",'QA Log'!Z:Z,"Approved"),"")</f>
        <v/>
      </c>
      <c r="N76" s="105" t="str">
        <f>IF(A76&lt;&gt;"",COUNTIFS('QA Log'!D:D,A76,'QA Log'!M:M,"QQC",'QA Log'!L:L,"5. Laboratory",'QA Log'!Z:Z,"Approved"),"")</f>
        <v/>
      </c>
      <c r="O76" s="105" t="str">
        <f>IF(A76&lt;&gt;"",COUNTIFS('QA Log'!D:D,A76,'QA Log'!M:M,"QQC",'QA Log'!L:L,"6. Essential Medicine Management",'QA Log'!Z:Z,"Approved"),"")</f>
        <v/>
      </c>
      <c r="P76" s="105" t="str">
        <f>IF(A76&lt;&gt;"",COUNTIFS('QA Log'!D:D,A76,'QA Log'!M:M,"QQC",'QA Log'!L:L,"7. Tracer Medicine",'QA Log'!Z:Z,"Approved"),"")</f>
        <v/>
      </c>
      <c r="Q76" s="105" t="str">
        <f>IF(A76&lt;&gt;"",COUNTIFS('QA Log'!D:D,A76,'QA Log'!M:M,"QQC",'QA Log'!L:L,"11. Additional Questions",'QA Log'!Z:Z,"Approved"),"")</f>
        <v/>
      </c>
      <c r="R76" s="102" t="str">
        <f>IF(A76="","",SUM(
COUNTIFS('QA Log'!D:D,A76,'QA Log'!M:M,"QQC",'QA Log'!Z:Z,"Rejected",'QA Log'!L:L,"*8. Maternity*"),
COUNTIFS('QA Log'!D:D,A76,'QA Log'!M:M,"QQC",'QA Log'!Z:Z,"Rejected",'QA Log'!L:L,"*EPI*"),
COUNTIFS('QA Log'!D:D,A76,'QA Log'!M:M,"QQC",'QA Log'!Z:Z,"Rejected",'QA Log'!L:L,"*10. Antenatal Care (ANC)*"),
COUNTIFS('QA Log'!D:D,A76,'QA Log'!M:M,"QQC",'QA Log'!Z:Z,"Rejected",'QA Log'!L:L,"*2. Hygiene and Sterilization*"),
COUNTIFS('QA Log'!D:D,A76,'QA Log'!M:M,"QQC",'QA Log'!Z:Z,"Rejected",'QA Log'!L:L,"*Family Planning*")))</f>
        <v/>
      </c>
      <c r="S76" s="106" t="str">
        <f t="shared" si="1"/>
        <v/>
      </c>
      <c r="T76" s="102" t="str">
        <f t="shared" si="2"/>
        <v/>
      </c>
      <c r="U76" s="102" t="str">
        <f>IF(A76="","",
SUM(
COUNTIFS('QA Log'!D:D,A76,'QA Log'!M:M,"QQC",'QA Log'!L:L,"*8. Maternity*"),
COUNTIFS('QA Log'!D:D,A76,'QA Log'!M:M,"QQC",'QA Log'!L:L,"*9. EPI and Pre-school Consultation*"),
COUNTIFS('QA Log'!D:D,A76,'QA Log'!M:M,"QQC",'QA Log'!L:L,"*10. Antenatal Care (ANC)*"),
COUNTIFS('QA Log'!D:D,A76,'QA Log'!M:M,"QQC",'QA Log'!L:L,"*2. Hygiene and Sterilization*"),
COUNTIFS('QA Log'!D:D,A76,'QA Log'!M:M,"QQC",'QA Log'!L:L,"*4. Family Planning*")
))</f>
        <v/>
      </c>
      <c r="V76" s="102" t="str">
        <f>IF(A76="","",
SUM(
COUNTIFS('QA Log'!D:D,A76,'QA Log'!M:M,"QQC",'QA Log'!Z:Z,"Approved",'QA Log'!L:L,"*8. Maternity*"),
COUNTIFS('QA Log'!D:D,A76,'QA Log'!M:M,"QQC",'QA Log'!Z:Z,"Approved",'QA Log'!L:L,"*9. EPI and Pre-school Consultation*"),
COUNTIFS('QA Log'!D:D,A76,'QA Log'!M:M,"QQC",'QA Log'!Z:Z,"Approved",'QA Log'!L:L,"*10. Antenatal Care (ANC)*"),
COUNTIFS('QA Log'!D:D,A76,'QA Log'!M:M,"QQC",'QA Log'!Z:Z,"Approved",'QA Log'!L:L,"*2. Hygiene and Sterilization*"),
COUNTIFS('QA Log'!D:D,A76,'QA Log'!M:M,"QQC",'QA Log'!Z:Z,"Approved",'QA Log'!L:L,"*4. Family Planning*")
))</f>
        <v/>
      </c>
      <c r="W76" s="105" t="str">
        <f>IF(A76&lt;&gt;"",COUNTIFS('QA Log'!D:D,A76,'QA Log'!M:M,"QQC",'QA Log'!L:L,"8. Maternity",'QA Log'!Z:Z,"Approved"),"")</f>
        <v/>
      </c>
      <c r="X76" s="105" t="str">
        <f>IF(A76&lt;&gt;"",COUNTIFS('QA Log'!D:D,A76,'QA Log'!M:M,"QQC",'QA Log'!L:L,"9. EPI and Pre-school Consultation",'QA Log'!Z:Z,"Approved"),"")</f>
        <v/>
      </c>
      <c r="Y76" s="105" t="str">
        <f>IF(A76&lt;&gt;"",COUNTIFS('QA Log'!D:D,A76,'QA Log'!M:M,"QQC",'QA Log'!L:L,"10. Antenatal Care (ANC)",'QA Log'!Z:Z,"Approved"),"")</f>
        <v/>
      </c>
      <c r="Z76" s="105" t="str">
        <f>IF(A76&lt;&gt;"",COUNTIFS('QA Log'!D:D,A76,'QA Log'!M:M,"QQC",'QA Log'!L:L,"2. Hygiene and Sterilization",'QA Log'!Z:Z,"Approved"),"")</f>
        <v/>
      </c>
      <c r="AA76" s="105" t="str">
        <f>IF(A76&lt;&gt;"",COUNTIFS('QA Log'!D:D,A76,'QA Log'!M:M,"QQC",'QA Log'!L:L,"4. Family Planning",'QA Log'!Z:Z,"Approved"),"")</f>
        <v/>
      </c>
      <c r="AB76" s="102" t="str">
        <f>IF(A76="","",
SUM(
COUNTIFS('QA Log'!D:D,A76,'QA Log'!M:M,"QQC",'QA Log'!Z:Z,"Rejected",'QA Log'!L:L,"*8. Maternity*"),
COUNTIFS('QA Log'!D:D,A76,'QA Log'!M:M,"QQC",'QA Log'!Z:Z,"Rejected",'QA Log'!L:L,"*9. EPI and Pre-school Consultation*"),
COUNTIFS('QA Log'!D:D,A76,'QA Log'!M:M,"QQC",'QA Log'!Z:Z,"Rejected",'QA Log'!L:L,"*10. Antenatal Care (ANC)*"),
COUNTIFS('QA Log'!D:D,A76,'QA Log'!M:M,"QQC",'QA Log'!Z:Z,"Rejected",'QA Log'!L:L,"*2. Hygiene and Sterilization*"),
COUNTIFS('QA Log'!D:D,A76,'QA Log'!M:M,"QQC",'QA Log'!Z:Z,"Rejected",'QA Log'!L:L,"*4. Family Planning*")
))</f>
        <v/>
      </c>
      <c r="AC76" s="102" t="str">
        <f t="shared" si="3"/>
        <v/>
      </c>
      <c r="AD76" s="103" t="str">
        <f t="shared" si="4"/>
        <v/>
      </c>
      <c r="AE76" s="102" t="str">
        <f>IF(A76="","",
SUM(
COUNTIFS('QA Log'!D:D,A76,'QA Log'!M:M,"Data Verification",'QA Log'!L:L,"*Medicine (section 2)*"),
COUNTIFS('QA Log'!D:D,A76,'QA Log'!M:M,"Data Verification",'QA Log'!L:L,"*Lab Testing Availability*"),
COUNTIFS('QA Log'!D:D,A76,'QA Log'!M:M,"Data Verification",'QA Log'!L:L,"*Other than P4P (section 6)*"),
COUNTIFS('QA Log'!D:D,A76,'QA Log'!M:M,"Data Verification",'QA Log'!L:L,"*Hospital Governance*")
))</f>
        <v/>
      </c>
      <c r="AF76" s="102" t="str">
        <f>IF(A76="","",
SUM(
COUNTIFS('QA Log'!D:D,A76,'QA Log'!M:M,"Data Verification",'QA Log'!Z:Z,"Approved",'QA Log'!L:L,"*Medicine (section 2)*"),
COUNTIFS('QA Log'!D:D,A76,'QA Log'!M:M,"Data Verification",'QA Log'!Z:Z,"Approved",'QA Log'!L:L,"*Lab Testing Availability*"),
COUNTIFS('QA Log'!D:D,A76,'QA Log'!M:M,"Data Verification",'QA Log'!Z:Z,"Approved",'QA Log'!L:L,"*Other than P4P (section 6)*"),
COUNTIFS('QA Log'!D:D,A76,'QA Log'!M:M,"Data Verification",'QA Log'!Z:Z,"Approved",'QA Log'!L:L,"*Hospital Governance*")
))</f>
        <v/>
      </c>
      <c r="AG76" s="105" t="str">
        <f>IF(A76&lt;&gt;"",COUNTIFS('QA Log'!D:D,A76,'QA Log'!M:M,"Data Verification",'QA Log'!L:L,"Medicine (section 2)",'QA Log'!Z:Z,"Approved"),"")</f>
        <v/>
      </c>
      <c r="AH76" s="105" t="str">
        <f>IF(A76&lt;&gt;"",COUNTIFS('QA Log'!D:D,A76,'QA Log'!M:M,"Data Verification",'QA Log'!L:L,"Lab Testing Availability",'QA Log'!Z:Z,"Approved"),"")</f>
        <v/>
      </c>
      <c r="AI76" s="105" t="str">
        <f>IF(A76&lt;&gt;"",COUNTIFS('QA Log'!D:D,A76,'QA Log'!M:M,"Data Verification",'QA Log'!L:L,"Other than P4P (section 6)",'QA Log'!Z:Z,"Approved"),"")</f>
        <v/>
      </c>
      <c r="AJ76" s="105" t="str">
        <f>IF(A76&lt;&gt;"",COUNTIFS('QA Log'!D:D,A76,'QA Log'!M:M,"Data Verification",'QA Log'!L:L,"Hospital Governance",'QA Log'!Z:Z,"Approved"),"")</f>
        <v/>
      </c>
      <c r="AK76" s="102" t="str">
        <f>IF(A76="","",
SUM(
COUNTIFS('QA Log'!D:D,A76,'QA Log'!M:M,"Data Verification",'QA Log'!Z:Z,"Rejected",'QA Log'!L:L,"*Medicine (section 2)*"),
COUNTIFS('QA Log'!D:D,A76,'QA Log'!M:M,"Data Verification",'QA Log'!Z:Z,"Rejected",'QA Log'!L:L,"*Lab Testing Availability*"),
COUNTIFS('QA Log'!D:D,A76,'QA Log'!M:M,"Data Verification",'QA Log'!Z:Z,"Rejected",'QA Log'!L:L,"*Other than P4P (section 6)*"),
COUNTIFS('QA Log'!D:D,A76,'QA Log'!M:M,"Data Verification",'QA Log'!Z:Z,"Rejected",'QA Log'!L:L,"*Hospital Governance*")
))</f>
        <v/>
      </c>
      <c r="AL76" s="106" t="str">
        <f t="shared" si="5"/>
        <v/>
      </c>
      <c r="AM76" s="102" t="str">
        <f t="shared" si="6"/>
        <v/>
      </c>
      <c r="AN76" s="102" t="str">
        <f>IF(A76="","",
SUM(
COUNTIFS('QA Log'!D:D,A76,'QA Log'!M:M,"Data Verification",'QA Log'!L:L,"*Personnel (section 1)*"),
COUNTIFS('QA Log'!D:D,A76,'QA Log'!M:M,"Data Verification",'QA Log'!L:L,"*Consumable (section 3)*"),
COUNTIFS('QA Log'!D:D,A76,'QA Log'!M:M,"Data Verification",'QA Log'!L:L,"*Equipments (section 4)*")
))</f>
        <v/>
      </c>
      <c r="AO76" s="102" t="str">
        <f>IF(A76="","",
SUM(
COUNTIFS('QA Log'!D:D,A76,'QA Log'!M:M,"Data Verification",'QA Log'!Z:Z,"Approved",'QA Log'!L:L,"*Personnel (section 1)*"),
COUNTIFS('QA Log'!D:D,A76,'QA Log'!M:M,"Data Verification",'QA Log'!Z:Z,"Approved",'QA Log'!L:L,"*Consumable (section 3)*"),
COUNTIFS('QA Log'!D:D,A76,'QA Log'!M:M,"Data Verification",'QA Log'!Z:Z,"Approved",'QA Log'!L:L,"*Equipments (section 4)*")
))</f>
        <v/>
      </c>
      <c r="AP76" s="105" t="str">
        <f>IF(A76&lt;&gt;"",COUNTIFS('QA Log'!D:D,A76,'QA Log'!M:M,"Data Verification",'QA Log'!L:L,"Personnel (section 1)",'QA Log'!Z:Z,"Approved"),"")</f>
        <v/>
      </c>
      <c r="AQ76" s="105" t="str">
        <f>IF(A76&lt;&gt;"",COUNTIFS('QA Log'!D:D,A76,'QA Log'!M:M,"Data Verification",'QA Log'!L:L,"Consumable (section 3)",'QA Log'!Z:Z,"Approved"),"")</f>
        <v/>
      </c>
      <c r="AR76" s="105" t="str">
        <f>IF(A76&lt;&gt;"",COUNTIFS('QA Log'!D:D,A76,'QA Log'!M:M,"Data Verification",'QA Log'!L:L,"Equipments (section 4)",'QA Log'!Z:Z,"Approved"),"")</f>
        <v/>
      </c>
      <c r="AS76" s="102" t="str">
        <f>IF(A76="","",
SUM(
COUNTIFS('QA Log'!D:D,A76,'QA Log'!M:M,"Data Verification",'QA Log'!Z:Z,"Rejected",'QA Log'!L:L,"*Personnel (section 1)*"),
COUNTIFS('QA Log'!D:D,A76,'QA Log'!M:M,"Data Verification",'QA Log'!Z:Z,"Rejected",'QA Log'!L:L,"*Consumable (section 3)*"),
COUNTIFS('QA Log'!D:D,A76,'QA Log'!M:M,"Data Verification",'QA Log'!Z:Z,"Rejected",'QA Log'!L:L,"*Equipments (section 4)*")
))</f>
        <v/>
      </c>
      <c r="AT76" s="102" t="str">
        <f t="shared" si="7"/>
        <v/>
      </c>
      <c r="AU76" s="103" t="str">
        <f t="shared" si="8"/>
        <v/>
      </c>
      <c r="AV76" s="102" t="str">
        <f>IF(A76="","",SUM(
COUNTIFS('QA Log'!D:D,A76,'QA Log'!M:M,"Vignette",'QA Log'!L:L,"*Vignette [1] Respiratory Infection: Pneumonia*"),
COUNTIFS('QA Log'!D:D,A76,'QA Log'!M:M,"Vignette",'QA Log'!L:L,"*Vignette [2]: Diarrhea with Cat B dehydration*"),
COUNTIFS('QA Log'!D:D,A76,'QA Log'!M:M,"Vignette",'QA Log'!L:L,"*Vignette [3] Growth Monitoring and Promotion*"),
COUNTIFS('QA Log'!D:D,A76,'QA Log'!M:M,"Vignette",'QA Log'!L:L,"*Vignette [4]: The management of presumptive TB patient*")
)
)</f>
        <v/>
      </c>
      <c r="AW76" s="102" t="str">
        <f>IF(
  A76="","",
  SUM(
    COUNTIFS('QA Log'!D:D,A76,'QA Log'!M:M,"Vignette",'QA Log'!Z:Z,"Approved",'QA Log'!L:L,"*Vignette [1] Respiratory Infection: Pneumonia*"),
    COUNTIFS('QA Log'!D:D,A76,'QA Log'!M:M,"Vignette",'QA Log'!Z:Z,"Approved",'QA Log'!L:L,"*Vignette [2]: Diarrhea with Cat B dehydration*"),
    COUNTIFS('QA Log'!D:D,A76,'QA Log'!M:M,"Vignette",'QA Log'!Z:Z,"Approved",'QA Log'!L:L,"*Vignette [3] Growth Monitoring and Promotion*"),
    COUNTIFS('QA Log'!D:D,A76,'QA Log'!M:M,"Vignette",'QA Log'!Z:Z,"Approved",'QA Log'!L:L,"*Vignette [4]: The management of presumptive TB patient*")
  )
)</f>
        <v/>
      </c>
      <c r="AX76" s="105" t="str">
        <f>IF(A76&lt;&gt;"",COUNTIFS('QA Log'!D:D,A76,'QA Log'!M:M,"Vignette",'QA Log'!L:L,"Vignette [1] Respiratory Infection: Pneumonia",'QA Log'!Z:Z,"Approved"),"")</f>
        <v/>
      </c>
      <c r="AY76" s="105" t="str">
        <f>IF(A76&lt;&gt;"",COUNTIFS('QA Log'!D:D,A76,'QA Log'!M:M,"Vignette",'QA Log'!L:L,"Vignette [2]: Diarrhea with Cat B dehydration",'QA Log'!Z:Z,"Approved"),"")</f>
        <v/>
      </c>
      <c r="AZ76" s="105" t="str">
        <f>IF(A76&lt;&gt;"",COUNTIFS('QA Log'!D:D,A76,'QA Log'!M:M,"Vignette",'QA Log'!L:L,"Vignette [3] Growth Monitoring and Promotion",'QA Log'!Z:Z,"Approved"),"")</f>
        <v/>
      </c>
      <c r="BA76" s="105" t="str">
        <f>IF(A76&lt;&gt;"",COUNTIFS('QA Log'!D:D,A76,'QA Log'!M:M,"Vignette",'QA Log'!L:L,"Vignette [4]: The management of presumptive TB patient",'QA Log'!Z:Z,"Approved"),"")</f>
        <v/>
      </c>
      <c r="BB76" s="102" t="str">
        <f>IF(A76="","",
  SUM(
    COUNTIFS('QA Log'!D:D,A76,'QA Log'!M:M,"Vignette",'QA Log'!Z:Z,"Rejected",'QA Log'!L:L,"*Vignette [1] Respiratory Infection: Pneumonia*"),
    COUNTIFS('QA Log'!D:D,A76,'QA Log'!M:M,"Vignette",'QA Log'!Z:Z,"Rejected",'QA Log'!L:L,"*Vignette [2]: Diarrhea with Cat B dehydration*"),
    COUNTIFS('QA Log'!D:D,A76,'QA Log'!M:M,"Vignette",'QA Log'!Z:Z,"Rejected",'QA Log'!L:L,"*Vignette [3] Growth Monitoring and Promotion*"),
    COUNTIFS('QA Log'!D:D,A76,'QA Log'!M:M,"Vignette",'QA Log'!Z:Z,"Rejected",'QA Log'!L:L,"*Vignette [4]: The management of presumptive TB patient*")
  )
)</f>
        <v/>
      </c>
      <c r="BC76" s="107" t="str">
        <f t="shared" si="9"/>
        <v/>
      </c>
      <c r="BD76" s="103" t="str">
        <f t="shared" si="10"/>
        <v/>
      </c>
      <c r="BE76" s="102" t="str">
        <f>IF(A76="","",SUM(
COUNTIFS('QA Log'!D:D,A76,'QA Log'!M:M,"Vignette",'QA Log'!L:L,"*Vignette [5] Labor*"),
COUNTIFS('QA Log'!D:D,A76,'QA Log'!M:M,"Vignette",'QA Log'!L:L,"*Vignette [6] PNC pre Discharge*"),
COUNTIFS('QA Log'!D:D,A76,'QA Log'!M:M,"Vignette",'QA Log'!L:L,"*Vignette [7] First ANC Visit*"),
COUNTIFS('QA Log'!D:D,A76,'QA Log'!M:M,"Vignette",'QA Log'!L:L,"*Vignette [8] Birth Spacing/ Family Planning :  FP Counselling*"),
COUNTIFS('QA Log'!D:D,A76,'QA Log'!M:M,"Vignette",'QA Log'!L:L,"*Vignette [9] Birth Spacing: Change FP method to Injectable*"),
COUNTIFS('QA Log'!D:D,A76,'QA Log'!M:M,"Vignette",'QA Log'!L:L,"*Vignette [10] Post Partum Haemorrhage - Atonic Uterus at Health Centre*"),
)
)</f>
        <v/>
      </c>
      <c r="BF76" s="102" t="str">
        <f>IF(A76="","",
  SUM(
    COUNTIFS('QA Log'!D:D,A76,'QA Log'!M:M,"Vignette",'QA Log'!Z:Z,"Approved",'QA Log'!L:L,"*Vignette [5] Labor*"),
    COUNTIFS('QA Log'!D:D,A76,'QA Log'!M:M,"Vignette",'QA Log'!Z:Z,"Approved",'QA Log'!L:L,"*Vignette [6] PNC pre Discharge*"),
    COUNTIFS('QA Log'!D:D,A76,'QA Log'!M:M,"Vignette",'QA Log'!Z:Z,"Approved",'QA Log'!L:L,"*Vignette [7] First ANC Visit*"),
    COUNTIFS('QA Log'!D:D,A76,'QA Log'!M:M,"Vignette",'QA Log'!Z:Z,"Approved",'QA Log'!L:L,"*Vignette [8] Birth Spacing/ Family Planning :  FP Counselling*"),
    COUNTIFS('QA Log'!D:D,A76,'QA Log'!M:M,"Vignette",'QA Log'!Z:Z,"Approved",'QA Log'!L:L,"*Vignette [9] Birth Spacing: Change FP method to Injectable*"),
    COUNTIFS('QA Log'!D:D,A76,'QA Log'!M:M,"Vignette",'QA Log'!Z:Z,"Approved",'QA Log'!L:L,"*Vignette [10] Post Partum Haemorrhage - Atonic Uterus at Health Centre*")
  )
)</f>
        <v/>
      </c>
      <c r="BG76" s="105" t="str">
        <f>IF(A76&lt;&gt;"",COUNTIFS('QA Log'!D:D,A76,'QA Log'!M:M,"Vignette",'QA Log'!L:L,"Vignette [5] Labor",'QA Log'!Z:Z,"Approved"),"")</f>
        <v/>
      </c>
      <c r="BH76" s="105" t="str">
        <f>IF(A76&lt;&gt;"",COUNTIFS('QA Log'!D:D,A76,'QA Log'!M:M,"Vignette",'QA Log'!L:L,"Vignette [6] PNC pre Discharge",'QA Log'!Z:Z,"Approved"),"")</f>
        <v/>
      </c>
      <c r="BI76" s="105" t="str">
        <f>IF(A76&lt;&gt;"",COUNTIFS('QA Log'!D:D,A76,'QA Log'!M:M,"Vignette",'QA Log'!L:L,"Vignette [7] First ANC Visit",'QA Log'!Z:Z,"Approved"),"")</f>
        <v/>
      </c>
      <c r="BJ76" s="105" t="str">
        <f>IF(A76&lt;&gt;"",COUNTIFS('QA Log'!D:D,A76,'QA Log'!M:M,"Vignette",'QA Log'!L:L,"Vignette [8] Birth Spacing/ Family Planning :  FP Counselling",'QA Log'!Z:Z,"Approved"),"")</f>
        <v/>
      </c>
      <c r="BK76" s="105" t="str">
        <f>IF(A76&lt;&gt;"",COUNTIFS('QA Log'!D:D,A76,'QA Log'!M:M,"Vignette",'QA Log'!L:L,"Vignette [9] Birth Spacing: Change FP method to Injectable",'QA Log'!Z:Z,"Approved"),"")</f>
        <v/>
      </c>
      <c r="BL76" s="105" t="str">
        <f>IF(A76&lt;&gt;"",COUNTIFS('QA Log'!D:D,A76,'QA Log'!M:M,"Vignette",'QA Log'!L:L,"Vignette [10] Post Partum Haemorrhage - Atonic Uterus at Health Centre",'QA Log'!Z:Z,"Approved"),"")</f>
        <v/>
      </c>
      <c r="BM76" s="102" t="str">
        <f>IF(A76="","",SUM(
    COUNTIFS('QA Log'!D:D,A76,'QA Log'!M:M,"Vignette",'QA Log'!Z:Z,"Rejected",'QA Log'!L:L,"*Vignette [5] Labor*"),
    COUNTIFS('QA Log'!D:D,A76,'QA Log'!M:M,"Vignette",'QA Log'!Z:Z,"Rejected",'QA Log'!L:L,"*Vignette [6] PNC pre Discharge*"),
    COUNTIFS('QA Log'!D:D,A76,'QA Log'!M:M,"Vignette",'QA Log'!Z:Z,"Rejected",'QA Log'!L:L,"*Vignette [7] First ANC Visit*"),
    COUNTIFS('QA Log'!D:D,A76,'QA Log'!M:M,"Vignette",'QA Log'!Z:Z,"Rejected",'QA Log'!L:L,"*Vignette [8] Birth Spacing/ Family Planning :  FP Counselling*"),
    COUNTIFS('QA Log'!D:D,A76,'QA Log'!M:M,"Vignette",'QA Log'!Z:Z,"Rejected",'QA Log'!L:L,"*Vignette [9] Birth Spacing: Change FP method to Injectable*"),
    COUNTIFS('QA Log'!D:D,A76,'QA Log'!M:M,"Vignette",'QA Log'!Z:Z,"Rejected",'QA Log'!L:L,"*Vignette [10] Post Partum Haemorrhage - Atonic Uterus at Health Centre*")
  )
)</f>
        <v/>
      </c>
      <c r="BN76" s="107" t="str">
        <f t="shared" si="11"/>
        <v/>
      </c>
      <c r="BO76" s="103" t="str">
        <f t="shared" si="12"/>
        <v/>
      </c>
      <c r="BP76" s="102" t="str">
        <f>IF(A76="","",SUM(
COUNTIFS('QA Log'!D:D,A76,'QA Log'!M:M,"Vignette",'QA Log'!L:L,"*Exit Interview 1*"),
COUNTIFS('QA Log'!D:D,A76,'QA Log'!M:M,"Vignette",'QA Log'!L:L,"*Exit Interview 2*"),
)
)</f>
        <v/>
      </c>
      <c r="BQ76" s="102" t="str">
        <f>IF(
  A76="","",
  SUM(
    COUNTIFS('QA Log'!D:D,A76,'QA Log'!M:M,"Vignette",'QA Log'!Z:Z,"Approved",'QA Log'!L:L,"*Exit Interview 1*"),
    COUNTIFS('QA Log'!D:D,A76,'QA Log'!M:M,"Vignette",'QA Log'!Z:Z,"Approved",'QA Log'!L:L,"*Exit Interview 2*")
  )
)</f>
        <v/>
      </c>
      <c r="BR76" s="105" t="str">
        <f>IF(A76&lt;&gt;"",COUNTIFS('QA Log'!D:D,A76,'QA Log'!M:M,"Vignette",'QA Log'!L:L,"Exit Interview 1",'QA Log'!Z:Z,"Approved"),"")</f>
        <v/>
      </c>
      <c r="BS76" s="105" t="str">
        <f>IF(A76&lt;&gt;"",COUNTIFS('QA Log'!D:D,A76,'QA Log'!M:M,"Vignette",'QA Log'!L:L,"Exit Interview 2",'QA Log'!Z:Z,"Approved"),"")</f>
        <v/>
      </c>
      <c r="BT76" s="102" t="str">
        <f>IF(
  A76="","",
  SUM(
    COUNTIFS('QA Log'!D:D,A76,'QA Log'!M:M,"Vignette",'QA Log'!Z:Z,"Rejected",'QA Log'!L:L,"*Exit Interview 1*"),
    COUNTIFS('QA Log'!D:D,A76,'QA Log'!M:M,"Vignette",'QA Log'!Z:Z,"Rejected",'QA Log'!L:L,"*Exit Interview 2*")
  )
)</f>
        <v/>
      </c>
      <c r="BU76" s="107" t="str">
        <f t="shared" si="13"/>
        <v/>
      </c>
      <c r="BV76" s="102" t="str">
        <f t="shared" si="14"/>
        <v/>
      </c>
      <c r="BW76" s="102" t="str">
        <f t="shared" si="15"/>
        <v/>
      </c>
      <c r="BX76" s="102" t="str">
        <f t="shared" si="16"/>
        <v/>
      </c>
      <c r="BY76" s="102" t="str">
        <f t="shared" si="17"/>
        <v/>
      </c>
      <c r="BZ76" s="107" t="str">
        <f t="shared" si="18"/>
        <v/>
      </c>
      <c r="CA76" s="108" t="str">
        <f t="shared" si="19"/>
        <v/>
      </c>
      <c r="CB76" s="108" t="str">
        <f t="shared" si="20"/>
        <v/>
      </c>
      <c r="CC76" s="109" t="str">
        <f t="shared" si="21"/>
        <v/>
      </c>
      <c r="CD76" s="108" t="str">
        <f t="shared" si="22"/>
        <v/>
      </c>
      <c r="CE76" s="108" t="str">
        <f t="shared" si="23"/>
        <v/>
      </c>
      <c r="CF76" s="109" t="str">
        <f t="shared" si="24"/>
        <v/>
      </c>
      <c r="CG76" s="110" t="str">
        <f t="shared" si="25"/>
        <v/>
      </c>
      <c r="CH76" s="111"/>
    </row>
    <row r="77" spans="1:86" ht="12.75">
      <c r="A77" s="101"/>
      <c r="B77" s="102" t="e">
        <f t="array" aca="1" ref="B77" ca="1">_xludf.XLOOKUP(A77,'QA Log'!D:D,'QA Log'!E:E,"")</f>
        <v>#NAME?</v>
      </c>
      <c r="C77" s="102" t="e">
        <f t="array" aca="1" ref="C77" ca="1">_xludf.XLOOKUP(A77,'QA Log'!D:D,'QA Log'!F:F,"")</f>
        <v>#NAME?</v>
      </c>
      <c r="D77" s="102" t="e">
        <f t="array" aca="1" ref="D77" ca="1">_xludf.XLOOKUP(A77,'QA Log'!D:D,'QA Log'!H:H,"")</f>
        <v>#NAME?</v>
      </c>
      <c r="E77" s="102" t="e">
        <f t="array" aca="1" ref="E77" ca="1">_xludf.XLOOKUP(A77,'QA Log'!D:D,'QA Log'!G:G,"")</f>
        <v>#NAME?</v>
      </c>
      <c r="F77" s="103"/>
      <c r="G77" s="104"/>
      <c r="H77" s="104"/>
      <c r="I77" s="103" t="str">
        <f t="shared" si="0"/>
        <v/>
      </c>
      <c r="J77" s="102" t="str">
        <f>IF(A77="","",SUM(
COUNTIFS('QA Log'!D:D,A77,'QA Log'!M:M,"QQC",'QA Log'!L:L,"*1. General Management*"),
COUNTIFS('QA Log'!D:D,A77,'QA Log'!M:M,"QQC",'QA Log'!L:L,"*3. Curative Consultation (OPD)*"),
COUNTIFS('QA Log'!D:D,A77,'QA Log'!M:M,"QQC",'QA Log'!L:L,"*5. Laboratory*"),
COUNTIFS('QA Log'!D:D,A77,'QA Log'!M:M,"QQC",'QA Log'!L:L,"*6. Essential Medicine Management*"),
COUNTIFS('QA Log'!D:D,A77,'QA Log'!M:M,"QQC",'QA Log'!L:L,"*7. Tracer Medicine*"),
COUNTIFS('QA Log'!D:D,A77,'QA Log'!M:M,"QQC",'QA Log'!L:L,"*11. Additional Questions*")))</f>
        <v/>
      </c>
      <c r="K77" s="102" t="str">
        <f>IF(A77="","",SUM(
COUNTIFS('QA Log'!D:D,A77,'QA Log'!M:M,"QQC",'QA Log'!Z:Z,"Approved",'QA Log'!L:L,"*1. General Management*"),
COUNTIFS('QA Log'!D:D,A77,'QA Log'!M:M,"QQC",'QA Log'!Z:Z,"Approved",'QA Log'!L:L,"*3. Curative Consultation (OPD)*"),
COUNTIFS('QA Log'!D:D,A77,'QA Log'!M:M,"QQC",'QA Log'!Z:Z,"Approved",'QA Log'!L:L,"*5. Laboratory*"),
COUNTIFS('QA Log'!D:D,A77,'QA Log'!M:M,"QQC",'QA Log'!Z:Z,"Approved",'QA Log'!L:L,"*6. Essential Medicine Management*"),
COUNTIFS('QA Log'!D:D,A77,'QA Log'!M:M,"QQC",'QA Log'!Z:Z,"Approved",'QA Log'!L:L,"*7. Tracer Medicine*"),
COUNTIFS('QA Log'!D:D,A77,'QA Log'!M:M,"QQC",'QA Log'!Z:Z,"Approved",'QA Log'!L:L,"*11. Additional Questions*")))</f>
        <v/>
      </c>
      <c r="L77" s="105" t="str">
        <f>IF(A77&lt;&gt;"",COUNTIFS('QA Log'!D:D,A77,'QA Log'!M:M,"QQC",'QA Log'!L:L,"1. General Management",'QA Log'!Z:Z,"Approved"),"")</f>
        <v/>
      </c>
      <c r="M77" s="105" t="str">
        <f>IF(A77&lt;&gt;"",COUNTIFS('QA Log'!D:D,A77,'QA Log'!M:M,"QQC",'QA Log'!L:L,"3. Curative Consultation (OPD)",'QA Log'!Z:Z,"Approved"),"")</f>
        <v/>
      </c>
      <c r="N77" s="105" t="str">
        <f>IF(A77&lt;&gt;"",COUNTIFS('QA Log'!D:D,A77,'QA Log'!M:M,"QQC",'QA Log'!L:L,"5. Laboratory",'QA Log'!Z:Z,"Approved"),"")</f>
        <v/>
      </c>
      <c r="O77" s="105" t="str">
        <f>IF(A77&lt;&gt;"",COUNTIFS('QA Log'!D:D,A77,'QA Log'!M:M,"QQC",'QA Log'!L:L,"6. Essential Medicine Management",'QA Log'!Z:Z,"Approved"),"")</f>
        <v/>
      </c>
      <c r="P77" s="105" t="str">
        <f>IF(A77&lt;&gt;"",COUNTIFS('QA Log'!D:D,A77,'QA Log'!M:M,"QQC",'QA Log'!L:L,"7. Tracer Medicine",'QA Log'!Z:Z,"Approved"),"")</f>
        <v/>
      </c>
      <c r="Q77" s="105" t="str">
        <f>IF(A77&lt;&gt;"",COUNTIFS('QA Log'!D:D,A77,'QA Log'!M:M,"QQC",'QA Log'!L:L,"11. Additional Questions",'QA Log'!Z:Z,"Approved"),"")</f>
        <v/>
      </c>
      <c r="R77" s="102" t="str">
        <f>IF(A77="","",SUM(
COUNTIFS('QA Log'!D:D,A77,'QA Log'!M:M,"QQC",'QA Log'!Z:Z,"Rejected",'QA Log'!L:L,"*8. Maternity*"),
COUNTIFS('QA Log'!D:D,A77,'QA Log'!M:M,"QQC",'QA Log'!Z:Z,"Rejected",'QA Log'!L:L,"*EPI*"),
COUNTIFS('QA Log'!D:D,A77,'QA Log'!M:M,"QQC",'QA Log'!Z:Z,"Rejected",'QA Log'!L:L,"*10. Antenatal Care (ANC)*"),
COUNTIFS('QA Log'!D:D,A77,'QA Log'!M:M,"QQC",'QA Log'!Z:Z,"Rejected",'QA Log'!L:L,"*2. Hygiene and Sterilization*"),
COUNTIFS('QA Log'!D:D,A77,'QA Log'!M:M,"QQC",'QA Log'!Z:Z,"Rejected",'QA Log'!L:L,"*Family Planning*")))</f>
        <v/>
      </c>
      <c r="S77" s="106" t="str">
        <f t="shared" si="1"/>
        <v/>
      </c>
      <c r="T77" s="102" t="str">
        <f t="shared" si="2"/>
        <v/>
      </c>
      <c r="U77" s="102" t="str">
        <f>IF(A77="","",
SUM(
COUNTIFS('QA Log'!D:D,A77,'QA Log'!M:M,"QQC",'QA Log'!L:L,"*8. Maternity*"),
COUNTIFS('QA Log'!D:D,A77,'QA Log'!M:M,"QQC",'QA Log'!L:L,"*9. EPI and Pre-school Consultation*"),
COUNTIFS('QA Log'!D:D,A77,'QA Log'!M:M,"QQC",'QA Log'!L:L,"*10. Antenatal Care (ANC)*"),
COUNTIFS('QA Log'!D:D,A77,'QA Log'!M:M,"QQC",'QA Log'!L:L,"*2. Hygiene and Sterilization*"),
COUNTIFS('QA Log'!D:D,A77,'QA Log'!M:M,"QQC",'QA Log'!L:L,"*4. Family Planning*")
))</f>
        <v/>
      </c>
      <c r="V77" s="102" t="str">
        <f>IF(A77="","",
SUM(
COUNTIFS('QA Log'!D:D,A77,'QA Log'!M:M,"QQC",'QA Log'!Z:Z,"Approved",'QA Log'!L:L,"*8. Maternity*"),
COUNTIFS('QA Log'!D:D,A77,'QA Log'!M:M,"QQC",'QA Log'!Z:Z,"Approved",'QA Log'!L:L,"*9. EPI and Pre-school Consultation*"),
COUNTIFS('QA Log'!D:D,A77,'QA Log'!M:M,"QQC",'QA Log'!Z:Z,"Approved",'QA Log'!L:L,"*10. Antenatal Care (ANC)*"),
COUNTIFS('QA Log'!D:D,A77,'QA Log'!M:M,"QQC",'QA Log'!Z:Z,"Approved",'QA Log'!L:L,"*2. Hygiene and Sterilization*"),
COUNTIFS('QA Log'!D:D,A77,'QA Log'!M:M,"QQC",'QA Log'!Z:Z,"Approved",'QA Log'!L:L,"*4. Family Planning*")
))</f>
        <v/>
      </c>
      <c r="W77" s="105" t="str">
        <f>IF(A77&lt;&gt;"",COUNTIFS('QA Log'!D:D,A77,'QA Log'!M:M,"QQC",'QA Log'!L:L,"8. Maternity",'QA Log'!Z:Z,"Approved"),"")</f>
        <v/>
      </c>
      <c r="X77" s="105" t="str">
        <f>IF(A77&lt;&gt;"",COUNTIFS('QA Log'!D:D,A77,'QA Log'!M:M,"QQC",'QA Log'!L:L,"9. EPI and Pre-school Consultation",'QA Log'!Z:Z,"Approved"),"")</f>
        <v/>
      </c>
      <c r="Y77" s="105" t="str">
        <f>IF(A77&lt;&gt;"",COUNTIFS('QA Log'!D:D,A77,'QA Log'!M:M,"QQC",'QA Log'!L:L,"10. Antenatal Care (ANC)",'QA Log'!Z:Z,"Approved"),"")</f>
        <v/>
      </c>
      <c r="Z77" s="105" t="str">
        <f>IF(A77&lt;&gt;"",COUNTIFS('QA Log'!D:D,A77,'QA Log'!M:M,"QQC",'QA Log'!L:L,"2. Hygiene and Sterilization",'QA Log'!Z:Z,"Approved"),"")</f>
        <v/>
      </c>
      <c r="AA77" s="105" t="str">
        <f>IF(A77&lt;&gt;"",COUNTIFS('QA Log'!D:D,A77,'QA Log'!M:M,"QQC",'QA Log'!L:L,"4. Family Planning",'QA Log'!Z:Z,"Approved"),"")</f>
        <v/>
      </c>
      <c r="AB77" s="102" t="str">
        <f>IF(A77="","",
SUM(
COUNTIFS('QA Log'!D:D,A77,'QA Log'!M:M,"QQC",'QA Log'!Z:Z,"Rejected",'QA Log'!L:L,"*8. Maternity*"),
COUNTIFS('QA Log'!D:D,A77,'QA Log'!M:M,"QQC",'QA Log'!Z:Z,"Rejected",'QA Log'!L:L,"*9. EPI and Pre-school Consultation*"),
COUNTIFS('QA Log'!D:D,A77,'QA Log'!M:M,"QQC",'QA Log'!Z:Z,"Rejected",'QA Log'!L:L,"*10. Antenatal Care (ANC)*"),
COUNTIFS('QA Log'!D:D,A77,'QA Log'!M:M,"QQC",'QA Log'!Z:Z,"Rejected",'QA Log'!L:L,"*2. Hygiene and Sterilization*"),
COUNTIFS('QA Log'!D:D,A77,'QA Log'!M:M,"QQC",'QA Log'!Z:Z,"Rejected",'QA Log'!L:L,"*4. Family Planning*")
))</f>
        <v/>
      </c>
      <c r="AC77" s="102" t="str">
        <f t="shared" si="3"/>
        <v/>
      </c>
      <c r="AD77" s="103" t="str">
        <f t="shared" si="4"/>
        <v/>
      </c>
      <c r="AE77" s="102" t="str">
        <f>IF(A77="","",
SUM(
COUNTIFS('QA Log'!D:D,A77,'QA Log'!M:M,"Data Verification",'QA Log'!L:L,"*Medicine (section 2)*"),
COUNTIFS('QA Log'!D:D,A77,'QA Log'!M:M,"Data Verification",'QA Log'!L:L,"*Lab Testing Availability*"),
COUNTIFS('QA Log'!D:D,A77,'QA Log'!M:M,"Data Verification",'QA Log'!L:L,"*Other than P4P (section 6)*"),
COUNTIFS('QA Log'!D:D,A77,'QA Log'!M:M,"Data Verification",'QA Log'!L:L,"*Hospital Governance*")
))</f>
        <v/>
      </c>
      <c r="AF77" s="102" t="str">
        <f>IF(A77="","",
SUM(
COUNTIFS('QA Log'!D:D,A77,'QA Log'!M:M,"Data Verification",'QA Log'!Z:Z,"Approved",'QA Log'!L:L,"*Medicine (section 2)*"),
COUNTIFS('QA Log'!D:D,A77,'QA Log'!M:M,"Data Verification",'QA Log'!Z:Z,"Approved",'QA Log'!L:L,"*Lab Testing Availability*"),
COUNTIFS('QA Log'!D:D,A77,'QA Log'!M:M,"Data Verification",'QA Log'!Z:Z,"Approved",'QA Log'!L:L,"*Other than P4P (section 6)*"),
COUNTIFS('QA Log'!D:D,A77,'QA Log'!M:M,"Data Verification",'QA Log'!Z:Z,"Approved",'QA Log'!L:L,"*Hospital Governance*")
))</f>
        <v/>
      </c>
      <c r="AG77" s="105" t="str">
        <f>IF(A77&lt;&gt;"",COUNTIFS('QA Log'!D:D,A77,'QA Log'!M:M,"Data Verification",'QA Log'!L:L,"Medicine (section 2)",'QA Log'!Z:Z,"Approved"),"")</f>
        <v/>
      </c>
      <c r="AH77" s="105" t="str">
        <f>IF(A77&lt;&gt;"",COUNTIFS('QA Log'!D:D,A77,'QA Log'!M:M,"Data Verification",'QA Log'!L:L,"Lab Testing Availability",'QA Log'!Z:Z,"Approved"),"")</f>
        <v/>
      </c>
      <c r="AI77" s="105" t="str">
        <f>IF(A77&lt;&gt;"",COUNTIFS('QA Log'!D:D,A77,'QA Log'!M:M,"Data Verification",'QA Log'!L:L,"Other than P4P (section 6)",'QA Log'!Z:Z,"Approved"),"")</f>
        <v/>
      </c>
      <c r="AJ77" s="105" t="str">
        <f>IF(A77&lt;&gt;"",COUNTIFS('QA Log'!D:D,A77,'QA Log'!M:M,"Data Verification",'QA Log'!L:L,"Hospital Governance",'QA Log'!Z:Z,"Approved"),"")</f>
        <v/>
      </c>
      <c r="AK77" s="102" t="str">
        <f>IF(A77="","",
SUM(
COUNTIFS('QA Log'!D:D,A77,'QA Log'!M:M,"Data Verification",'QA Log'!Z:Z,"Rejected",'QA Log'!L:L,"*Medicine (section 2)*"),
COUNTIFS('QA Log'!D:D,A77,'QA Log'!M:M,"Data Verification",'QA Log'!Z:Z,"Rejected",'QA Log'!L:L,"*Lab Testing Availability*"),
COUNTIFS('QA Log'!D:D,A77,'QA Log'!M:M,"Data Verification",'QA Log'!Z:Z,"Rejected",'QA Log'!L:L,"*Other than P4P (section 6)*"),
COUNTIFS('QA Log'!D:D,A77,'QA Log'!M:M,"Data Verification",'QA Log'!Z:Z,"Rejected",'QA Log'!L:L,"*Hospital Governance*")
))</f>
        <v/>
      </c>
      <c r="AL77" s="106" t="str">
        <f t="shared" si="5"/>
        <v/>
      </c>
      <c r="AM77" s="102" t="str">
        <f t="shared" si="6"/>
        <v/>
      </c>
      <c r="AN77" s="102" t="str">
        <f>IF(A77="","",
SUM(
COUNTIFS('QA Log'!D:D,A77,'QA Log'!M:M,"Data Verification",'QA Log'!L:L,"*Personnel (section 1)*"),
COUNTIFS('QA Log'!D:D,A77,'QA Log'!M:M,"Data Verification",'QA Log'!L:L,"*Consumable (section 3)*"),
COUNTIFS('QA Log'!D:D,A77,'QA Log'!M:M,"Data Verification",'QA Log'!L:L,"*Equipments (section 4)*")
))</f>
        <v/>
      </c>
      <c r="AO77" s="102" t="str">
        <f>IF(A77="","",
SUM(
COUNTIFS('QA Log'!D:D,A77,'QA Log'!M:M,"Data Verification",'QA Log'!Z:Z,"Approved",'QA Log'!L:L,"*Personnel (section 1)*"),
COUNTIFS('QA Log'!D:D,A77,'QA Log'!M:M,"Data Verification",'QA Log'!Z:Z,"Approved",'QA Log'!L:L,"*Consumable (section 3)*"),
COUNTIFS('QA Log'!D:D,A77,'QA Log'!M:M,"Data Verification",'QA Log'!Z:Z,"Approved",'QA Log'!L:L,"*Equipments (section 4)*")
))</f>
        <v/>
      </c>
      <c r="AP77" s="105" t="str">
        <f>IF(A77&lt;&gt;"",COUNTIFS('QA Log'!D:D,A77,'QA Log'!M:M,"Data Verification",'QA Log'!L:L,"Personnel (section 1)",'QA Log'!Z:Z,"Approved"),"")</f>
        <v/>
      </c>
      <c r="AQ77" s="105" t="str">
        <f>IF(A77&lt;&gt;"",COUNTIFS('QA Log'!D:D,A77,'QA Log'!M:M,"Data Verification",'QA Log'!L:L,"Consumable (section 3)",'QA Log'!Z:Z,"Approved"),"")</f>
        <v/>
      </c>
      <c r="AR77" s="105" t="str">
        <f>IF(A77&lt;&gt;"",COUNTIFS('QA Log'!D:D,A77,'QA Log'!M:M,"Data Verification",'QA Log'!L:L,"Equipments (section 4)",'QA Log'!Z:Z,"Approved"),"")</f>
        <v/>
      </c>
      <c r="AS77" s="102" t="str">
        <f>IF(A77="","",
SUM(
COUNTIFS('QA Log'!D:D,A77,'QA Log'!M:M,"Data Verification",'QA Log'!Z:Z,"Rejected",'QA Log'!L:L,"*Personnel (section 1)*"),
COUNTIFS('QA Log'!D:D,A77,'QA Log'!M:M,"Data Verification",'QA Log'!Z:Z,"Rejected",'QA Log'!L:L,"*Consumable (section 3)*"),
COUNTIFS('QA Log'!D:D,A77,'QA Log'!M:M,"Data Verification",'QA Log'!Z:Z,"Rejected",'QA Log'!L:L,"*Equipments (section 4)*")
))</f>
        <v/>
      </c>
      <c r="AT77" s="102" t="str">
        <f t="shared" si="7"/>
        <v/>
      </c>
      <c r="AU77" s="103" t="str">
        <f t="shared" si="8"/>
        <v/>
      </c>
      <c r="AV77" s="102" t="str">
        <f>IF(A77="","",SUM(
COUNTIFS('QA Log'!D:D,A77,'QA Log'!M:M,"Vignette",'QA Log'!L:L,"*Vignette [1] Respiratory Infection: Pneumonia*"),
COUNTIFS('QA Log'!D:D,A77,'QA Log'!M:M,"Vignette",'QA Log'!L:L,"*Vignette [2]: Diarrhea with Cat B dehydration*"),
COUNTIFS('QA Log'!D:D,A77,'QA Log'!M:M,"Vignette",'QA Log'!L:L,"*Vignette [3] Growth Monitoring and Promotion*"),
COUNTIFS('QA Log'!D:D,A77,'QA Log'!M:M,"Vignette",'QA Log'!L:L,"*Vignette [4]: The management of presumptive TB patient*")
)
)</f>
        <v/>
      </c>
      <c r="AW77" s="102" t="str">
        <f>IF(
  A77="","",
  SUM(
    COUNTIFS('QA Log'!D:D,A77,'QA Log'!M:M,"Vignette",'QA Log'!Z:Z,"Approved",'QA Log'!L:L,"*Vignette [1] Respiratory Infection: Pneumonia*"),
    COUNTIFS('QA Log'!D:D,A77,'QA Log'!M:M,"Vignette",'QA Log'!Z:Z,"Approved",'QA Log'!L:L,"*Vignette [2]: Diarrhea with Cat B dehydration*"),
    COUNTIFS('QA Log'!D:D,A77,'QA Log'!M:M,"Vignette",'QA Log'!Z:Z,"Approved",'QA Log'!L:L,"*Vignette [3] Growth Monitoring and Promotion*"),
    COUNTIFS('QA Log'!D:D,A77,'QA Log'!M:M,"Vignette",'QA Log'!Z:Z,"Approved",'QA Log'!L:L,"*Vignette [4]: The management of presumptive TB patient*")
  )
)</f>
        <v/>
      </c>
      <c r="AX77" s="105" t="str">
        <f>IF(A77&lt;&gt;"",COUNTIFS('QA Log'!D:D,A77,'QA Log'!M:M,"Vignette",'QA Log'!L:L,"Vignette [1] Respiratory Infection: Pneumonia",'QA Log'!Z:Z,"Approved"),"")</f>
        <v/>
      </c>
      <c r="AY77" s="105" t="str">
        <f>IF(A77&lt;&gt;"",COUNTIFS('QA Log'!D:D,A77,'QA Log'!M:M,"Vignette",'QA Log'!L:L,"Vignette [2]: Diarrhea with Cat B dehydration",'QA Log'!Z:Z,"Approved"),"")</f>
        <v/>
      </c>
      <c r="AZ77" s="105" t="str">
        <f>IF(A77&lt;&gt;"",COUNTIFS('QA Log'!D:D,A77,'QA Log'!M:M,"Vignette",'QA Log'!L:L,"Vignette [3] Growth Monitoring and Promotion",'QA Log'!Z:Z,"Approved"),"")</f>
        <v/>
      </c>
      <c r="BA77" s="105" t="str">
        <f>IF(A77&lt;&gt;"",COUNTIFS('QA Log'!D:D,A77,'QA Log'!M:M,"Vignette",'QA Log'!L:L,"Vignette [4]: The management of presumptive TB patient",'QA Log'!Z:Z,"Approved"),"")</f>
        <v/>
      </c>
      <c r="BB77" s="102" t="str">
        <f>IF(A77="","",
  SUM(
    COUNTIFS('QA Log'!D:D,A77,'QA Log'!M:M,"Vignette",'QA Log'!Z:Z,"Rejected",'QA Log'!L:L,"*Vignette [1] Respiratory Infection: Pneumonia*"),
    COUNTIFS('QA Log'!D:D,A77,'QA Log'!M:M,"Vignette",'QA Log'!Z:Z,"Rejected",'QA Log'!L:L,"*Vignette [2]: Diarrhea with Cat B dehydration*"),
    COUNTIFS('QA Log'!D:D,A77,'QA Log'!M:M,"Vignette",'QA Log'!Z:Z,"Rejected",'QA Log'!L:L,"*Vignette [3] Growth Monitoring and Promotion*"),
    COUNTIFS('QA Log'!D:D,A77,'QA Log'!M:M,"Vignette",'QA Log'!Z:Z,"Rejected",'QA Log'!L:L,"*Vignette [4]: The management of presumptive TB patient*")
  )
)</f>
        <v/>
      </c>
      <c r="BC77" s="107" t="str">
        <f t="shared" si="9"/>
        <v/>
      </c>
      <c r="BD77" s="103" t="str">
        <f t="shared" si="10"/>
        <v/>
      </c>
      <c r="BE77" s="102" t="str">
        <f>IF(A77="","",SUM(
COUNTIFS('QA Log'!D:D,A77,'QA Log'!M:M,"Vignette",'QA Log'!L:L,"*Vignette [5] Labor*"),
COUNTIFS('QA Log'!D:D,A77,'QA Log'!M:M,"Vignette",'QA Log'!L:L,"*Vignette [6] PNC pre Discharge*"),
COUNTIFS('QA Log'!D:D,A77,'QA Log'!M:M,"Vignette",'QA Log'!L:L,"*Vignette [7] First ANC Visit*"),
COUNTIFS('QA Log'!D:D,A77,'QA Log'!M:M,"Vignette",'QA Log'!L:L,"*Vignette [8] Birth Spacing/ Family Planning :  FP Counselling*"),
COUNTIFS('QA Log'!D:D,A77,'QA Log'!M:M,"Vignette",'QA Log'!L:L,"*Vignette [9] Birth Spacing: Change FP method to Injectable*"),
COUNTIFS('QA Log'!D:D,A77,'QA Log'!M:M,"Vignette",'QA Log'!L:L,"*Vignette [10] Post Partum Haemorrhage - Atonic Uterus at Health Centre*"),
)
)</f>
        <v/>
      </c>
      <c r="BF77" s="102" t="str">
        <f>IF(A77="","",
  SUM(
    COUNTIFS('QA Log'!D:D,A77,'QA Log'!M:M,"Vignette",'QA Log'!Z:Z,"Approved",'QA Log'!L:L,"*Vignette [5] Labor*"),
    COUNTIFS('QA Log'!D:D,A77,'QA Log'!M:M,"Vignette",'QA Log'!Z:Z,"Approved",'QA Log'!L:L,"*Vignette [6] PNC pre Discharge*"),
    COUNTIFS('QA Log'!D:D,A77,'QA Log'!M:M,"Vignette",'QA Log'!Z:Z,"Approved",'QA Log'!L:L,"*Vignette [7] First ANC Visit*"),
    COUNTIFS('QA Log'!D:D,A77,'QA Log'!M:M,"Vignette",'QA Log'!Z:Z,"Approved",'QA Log'!L:L,"*Vignette [8] Birth Spacing/ Family Planning :  FP Counselling*"),
    COUNTIFS('QA Log'!D:D,A77,'QA Log'!M:M,"Vignette",'QA Log'!Z:Z,"Approved",'QA Log'!L:L,"*Vignette [9] Birth Spacing: Change FP method to Injectable*"),
    COUNTIFS('QA Log'!D:D,A77,'QA Log'!M:M,"Vignette",'QA Log'!Z:Z,"Approved",'QA Log'!L:L,"*Vignette [10] Post Partum Haemorrhage - Atonic Uterus at Health Centre*")
  )
)</f>
        <v/>
      </c>
      <c r="BG77" s="105" t="str">
        <f>IF(A77&lt;&gt;"",COUNTIFS('QA Log'!D:D,A77,'QA Log'!M:M,"Vignette",'QA Log'!L:L,"Vignette [5] Labor",'QA Log'!Z:Z,"Approved"),"")</f>
        <v/>
      </c>
      <c r="BH77" s="105" t="str">
        <f>IF(A77&lt;&gt;"",COUNTIFS('QA Log'!D:D,A77,'QA Log'!M:M,"Vignette",'QA Log'!L:L,"Vignette [6] PNC pre Discharge",'QA Log'!Z:Z,"Approved"),"")</f>
        <v/>
      </c>
      <c r="BI77" s="105" t="str">
        <f>IF(A77&lt;&gt;"",COUNTIFS('QA Log'!D:D,A77,'QA Log'!M:M,"Vignette",'QA Log'!L:L,"Vignette [7] First ANC Visit",'QA Log'!Z:Z,"Approved"),"")</f>
        <v/>
      </c>
      <c r="BJ77" s="105" t="str">
        <f>IF(A77&lt;&gt;"",COUNTIFS('QA Log'!D:D,A77,'QA Log'!M:M,"Vignette",'QA Log'!L:L,"Vignette [8] Birth Spacing/ Family Planning :  FP Counselling",'QA Log'!Z:Z,"Approved"),"")</f>
        <v/>
      </c>
      <c r="BK77" s="105" t="str">
        <f>IF(A77&lt;&gt;"",COUNTIFS('QA Log'!D:D,A77,'QA Log'!M:M,"Vignette",'QA Log'!L:L,"Vignette [9] Birth Spacing: Change FP method to Injectable",'QA Log'!Z:Z,"Approved"),"")</f>
        <v/>
      </c>
      <c r="BL77" s="105" t="str">
        <f>IF(A77&lt;&gt;"",COUNTIFS('QA Log'!D:D,A77,'QA Log'!M:M,"Vignette",'QA Log'!L:L,"Vignette [10] Post Partum Haemorrhage - Atonic Uterus at Health Centre",'QA Log'!Z:Z,"Approved"),"")</f>
        <v/>
      </c>
      <c r="BM77" s="102" t="str">
        <f>IF(A77="","",SUM(
    COUNTIFS('QA Log'!D:D,A77,'QA Log'!M:M,"Vignette",'QA Log'!Z:Z,"Rejected",'QA Log'!L:L,"*Vignette [5] Labor*"),
    COUNTIFS('QA Log'!D:D,A77,'QA Log'!M:M,"Vignette",'QA Log'!Z:Z,"Rejected",'QA Log'!L:L,"*Vignette [6] PNC pre Discharge*"),
    COUNTIFS('QA Log'!D:D,A77,'QA Log'!M:M,"Vignette",'QA Log'!Z:Z,"Rejected",'QA Log'!L:L,"*Vignette [7] First ANC Visit*"),
    COUNTIFS('QA Log'!D:D,A77,'QA Log'!M:M,"Vignette",'QA Log'!Z:Z,"Rejected",'QA Log'!L:L,"*Vignette [8] Birth Spacing/ Family Planning :  FP Counselling*"),
    COUNTIFS('QA Log'!D:D,A77,'QA Log'!M:M,"Vignette",'QA Log'!Z:Z,"Rejected",'QA Log'!L:L,"*Vignette [9] Birth Spacing: Change FP method to Injectable*"),
    COUNTIFS('QA Log'!D:D,A77,'QA Log'!M:M,"Vignette",'QA Log'!Z:Z,"Rejected",'QA Log'!L:L,"*Vignette [10] Post Partum Haemorrhage - Atonic Uterus at Health Centre*")
  )
)</f>
        <v/>
      </c>
      <c r="BN77" s="107" t="str">
        <f t="shared" si="11"/>
        <v/>
      </c>
      <c r="BO77" s="103" t="str">
        <f t="shared" si="12"/>
        <v/>
      </c>
      <c r="BP77" s="102" t="str">
        <f>IF(A77="","",SUM(
COUNTIFS('QA Log'!D:D,A77,'QA Log'!M:M,"Vignette",'QA Log'!L:L,"*Exit Interview 1*"),
COUNTIFS('QA Log'!D:D,A77,'QA Log'!M:M,"Vignette",'QA Log'!L:L,"*Exit Interview 2*"),
)
)</f>
        <v/>
      </c>
      <c r="BQ77" s="102" t="str">
        <f>IF(
  A77="","",
  SUM(
    COUNTIFS('QA Log'!D:D,A77,'QA Log'!M:M,"Vignette",'QA Log'!Z:Z,"Approved",'QA Log'!L:L,"*Exit Interview 1*"),
    COUNTIFS('QA Log'!D:D,A77,'QA Log'!M:M,"Vignette",'QA Log'!Z:Z,"Approved",'QA Log'!L:L,"*Exit Interview 2*")
  )
)</f>
        <v/>
      </c>
      <c r="BR77" s="105" t="str">
        <f>IF(A77&lt;&gt;"",COUNTIFS('QA Log'!D:D,A77,'QA Log'!M:M,"Vignette",'QA Log'!L:L,"Exit Interview 1",'QA Log'!Z:Z,"Approved"),"")</f>
        <v/>
      </c>
      <c r="BS77" s="105" t="str">
        <f>IF(A77&lt;&gt;"",COUNTIFS('QA Log'!D:D,A77,'QA Log'!M:M,"Vignette",'QA Log'!L:L,"Exit Interview 2",'QA Log'!Z:Z,"Approved"),"")</f>
        <v/>
      </c>
      <c r="BT77" s="102" t="str">
        <f>IF(
  A77="","",
  SUM(
    COUNTIFS('QA Log'!D:D,A77,'QA Log'!M:M,"Vignette",'QA Log'!Z:Z,"Rejected",'QA Log'!L:L,"*Exit Interview 1*"),
    COUNTIFS('QA Log'!D:D,A77,'QA Log'!M:M,"Vignette",'QA Log'!Z:Z,"Rejected",'QA Log'!L:L,"*Exit Interview 2*")
  )
)</f>
        <v/>
      </c>
      <c r="BU77" s="107" t="str">
        <f t="shared" si="13"/>
        <v/>
      </c>
      <c r="BV77" s="102" t="str">
        <f t="shared" si="14"/>
        <v/>
      </c>
      <c r="BW77" s="102" t="str">
        <f t="shared" si="15"/>
        <v/>
      </c>
      <c r="BX77" s="102" t="str">
        <f t="shared" si="16"/>
        <v/>
      </c>
      <c r="BY77" s="102" t="str">
        <f t="shared" si="17"/>
        <v/>
      </c>
      <c r="BZ77" s="107" t="str">
        <f t="shared" si="18"/>
        <v/>
      </c>
      <c r="CA77" s="108" t="str">
        <f t="shared" si="19"/>
        <v/>
      </c>
      <c r="CB77" s="108" t="str">
        <f t="shared" si="20"/>
        <v/>
      </c>
      <c r="CC77" s="109" t="str">
        <f t="shared" si="21"/>
        <v/>
      </c>
      <c r="CD77" s="108" t="str">
        <f t="shared" si="22"/>
        <v/>
      </c>
      <c r="CE77" s="108" t="str">
        <f t="shared" si="23"/>
        <v/>
      </c>
      <c r="CF77" s="109" t="str">
        <f t="shared" si="24"/>
        <v/>
      </c>
      <c r="CG77" s="110" t="str">
        <f t="shared" si="25"/>
        <v/>
      </c>
      <c r="CH77" s="111"/>
    </row>
    <row r="78" spans="1:86" ht="12.75">
      <c r="A78" s="101"/>
      <c r="B78" s="102" t="e">
        <f t="array" aca="1" ref="B78" ca="1">_xludf.XLOOKUP(A78,'QA Log'!D:D,'QA Log'!E:E,"")</f>
        <v>#NAME?</v>
      </c>
      <c r="C78" s="102" t="e">
        <f t="array" aca="1" ref="C78" ca="1">_xludf.XLOOKUP(A78,'QA Log'!D:D,'QA Log'!F:F,"")</f>
        <v>#NAME?</v>
      </c>
      <c r="D78" s="102" t="e">
        <f t="array" aca="1" ref="D78" ca="1">_xludf.XLOOKUP(A78,'QA Log'!D:D,'QA Log'!H:H,"")</f>
        <v>#NAME?</v>
      </c>
      <c r="E78" s="102" t="e">
        <f t="array" aca="1" ref="E78" ca="1">_xludf.XLOOKUP(A78,'QA Log'!D:D,'QA Log'!G:G,"")</f>
        <v>#NAME?</v>
      </c>
      <c r="F78" s="103"/>
      <c r="G78" s="104"/>
      <c r="H78" s="104"/>
      <c r="I78" s="103" t="str">
        <f t="shared" si="0"/>
        <v/>
      </c>
      <c r="J78" s="102" t="str">
        <f>IF(A78="","",SUM(
COUNTIFS('QA Log'!D:D,A78,'QA Log'!M:M,"QQC",'QA Log'!L:L,"*1. General Management*"),
COUNTIFS('QA Log'!D:D,A78,'QA Log'!M:M,"QQC",'QA Log'!L:L,"*3. Curative Consultation (OPD)*"),
COUNTIFS('QA Log'!D:D,A78,'QA Log'!M:M,"QQC",'QA Log'!L:L,"*5. Laboratory*"),
COUNTIFS('QA Log'!D:D,A78,'QA Log'!M:M,"QQC",'QA Log'!L:L,"*6. Essential Medicine Management*"),
COUNTIFS('QA Log'!D:D,A78,'QA Log'!M:M,"QQC",'QA Log'!L:L,"*7. Tracer Medicine*"),
COUNTIFS('QA Log'!D:D,A78,'QA Log'!M:M,"QQC",'QA Log'!L:L,"*11. Additional Questions*")))</f>
        <v/>
      </c>
      <c r="K78" s="102" t="str">
        <f>IF(A78="","",SUM(
COUNTIFS('QA Log'!D:D,A78,'QA Log'!M:M,"QQC",'QA Log'!Z:Z,"Approved",'QA Log'!L:L,"*1. General Management*"),
COUNTIFS('QA Log'!D:D,A78,'QA Log'!M:M,"QQC",'QA Log'!Z:Z,"Approved",'QA Log'!L:L,"*3. Curative Consultation (OPD)*"),
COUNTIFS('QA Log'!D:D,A78,'QA Log'!M:M,"QQC",'QA Log'!Z:Z,"Approved",'QA Log'!L:L,"*5. Laboratory*"),
COUNTIFS('QA Log'!D:D,A78,'QA Log'!M:M,"QQC",'QA Log'!Z:Z,"Approved",'QA Log'!L:L,"*6. Essential Medicine Management*"),
COUNTIFS('QA Log'!D:D,A78,'QA Log'!M:M,"QQC",'QA Log'!Z:Z,"Approved",'QA Log'!L:L,"*7. Tracer Medicine*"),
COUNTIFS('QA Log'!D:D,A78,'QA Log'!M:M,"QQC",'QA Log'!Z:Z,"Approved",'QA Log'!L:L,"*11. Additional Questions*")))</f>
        <v/>
      </c>
      <c r="L78" s="105" t="str">
        <f>IF(A78&lt;&gt;"",COUNTIFS('QA Log'!D:D,A78,'QA Log'!M:M,"QQC",'QA Log'!L:L,"1. General Management",'QA Log'!Z:Z,"Approved"),"")</f>
        <v/>
      </c>
      <c r="M78" s="105" t="str">
        <f>IF(A78&lt;&gt;"",COUNTIFS('QA Log'!D:D,A78,'QA Log'!M:M,"QQC",'QA Log'!L:L,"3. Curative Consultation (OPD)",'QA Log'!Z:Z,"Approved"),"")</f>
        <v/>
      </c>
      <c r="N78" s="105" t="str">
        <f>IF(A78&lt;&gt;"",COUNTIFS('QA Log'!D:D,A78,'QA Log'!M:M,"QQC",'QA Log'!L:L,"5. Laboratory",'QA Log'!Z:Z,"Approved"),"")</f>
        <v/>
      </c>
      <c r="O78" s="105" t="str">
        <f>IF(A78&lt;&gt;"",COUNTIFS('QA Log'!D:D,A78,'QA Log'!M:M,"QQC",'QA Log'!L:L,"6. Essential Medicine Management",'QA Log'!Z:Z,"Approved"),"")</f>
        <v/>
      </c>
      <c r="P78" s="105" t="str">
        <f>IF(A78&lt;&gt;"",COUNTIFS('QA Log'!D:D,A78,'QA Log'!M:M,"QQC",'QA Log'!L:L,"7. Tracer Medicine",'QA Log'!Z:Z,"Approved"),"")</f>
        <v/>
      </c>
      <c r="Q78" s="105" t="str">
        <f>IF(A78&lt;&gt;"",COUNTIFS('QA Log'!D:D,A78,'QA Log'!M:M,"QQC",'QA Log'!L:L,"11. Additional Questions",'QA Log'!Z:Z,"Approved"),"")</f>
        <v/>
      </c>
      <c r="R78" s="102" t="str">
        <f>IF(A78="","",SUM(
COUNTIFS('QA Log'!D:D,A78,'QA Log'!M:M,"QQC",'QA Log'!Z:Z,"Rejected",'QA Log'!L:L,"*8. Maternity*"),
COUNTIFS('QA Log'!D:D,A78,'QA Log'!M:M,"QQC",'QA Log'!Z:Z,"Rejected",'QA Log'!L:L,"*EPI*"),
COUNTIFS('QA Log'!D:D,A78,'QA Log'!M:M,"QQC",'QA Log'!Z:Z,"Rejected",'QA Log'!L:L,"*10. Antenatal Care (ANC)*"),
COUNTIFS('QA Log'!D:D,A78,'QA Log'!M:M,"QQC",'QA Log'!Z:Z,"Rejected",'QA Log'!L:L,"*2. Hygiene and Sterilization*"),
COUNTIFS('QA Log'!D:D,A78,'QA Log'!M:M,"QQC",'QA Log'!Z:Z,"Rejected",'QA Log'!L:L,"*Family Planning*")))</f>
        <v/>
      </c>
      <c r="S78" s="106" t="str">
        <f t="shared" si="1"/>
        <v/>
      </c>
      <c r="T78" s="102" t="str">
        <f t="shared" si="2"/>
        <v/>
      </c>
      <c r="U78" s="102" t="str">
        <f>IF(A78="","",
SUM(
COUNTIFS('QA Log'!D:D,A78,'QA Log'!M:M,"QQC",'QA Log'!L:L,"*8. Maternity*"),
COUNTIFS('QA Log'!D:D,A78,'QA Log'!M:M,"QQC",'QA Log'!L:L,"*9. EPI and Pre-school Consultation*"),
COUNTIFS('QA Log'!D:D,A78,'QA Log'!M:M,"QQC",'QA Log'!L:L,"*10. Antenatal Care (ANC)*"),
COUNTIFS('QA Log'!D:D,A78,'QA Log'!M:M,"QQC",'QA Log'!L:L,"*2. Hygiene and Sterilization*"),
COUNTIFS('QA Log'!D:D,A78,'QA Log'!M:M,"QQC",'QA Log'!L:L,"*4. Family Planning*")
))</f>
        <v/>
      </c>
      <c r="V78" s="102" t="str">
        <f>IF(A78="","",
SUM(
COUNTIFS('QA Log'!D:D,A78,'QA Log'!M:M,"QQC",'QA Log'!Z:Z,"Approved",'QA Log'!L:L,"*8. Maternity*"),
COUNTIFS('QA Log'!D:D,A78,'QA Log'!M:M,"QQC",'QA Log'!Z:Z,"Approved",'QA Log'!L:L,"*9. EPI and Pre-school Consultation*"),
COUNTIFS('QA Log'!D:D,A78,'QA Log'!M:M,"QQC",'QA Log'!Z:Z,"Approved",'QA Log'!L:L,"*10. Antenatal Care (ANC)*"),
COUNTIFS('QA Log'!D:D,A78,'QA Log'!M:M,"QQC",'QA Log'!Z:Z,"Approved",'QA Log'!L:L,"*2. Hygiene and Sterilization*"),
COUNTIFS('QA Log'!D:D,A78,'QA Log'!M:M,"QQC",'QA Log'!Z:Z,"Approved",'QA Log'!L:L,"*4. Family Planning*")
))</f>
        <v/>
      </c>
      <c r="W78" s="105" t="str">
        <f>IF(A78&lt;&gt;"",COUNTIFS('QA Log'!D:D,A78,'QA Log'!M:M,"QQC",'QA Log'!L:L,"8. Maternity",'QA Log'!Z:Z,"Approved"),"")</f>
        <v/>
      </c>
      <c r="X78" s="105" t="str">
        <f>IF(A78&lt;&gt;"",COUNTIFS('QA Log'!D:D,A78,'QA Log'!M:M,"QQC",'QA Log'!L:L,"9. EPI and Pre-school Consultation",'QA Log'!Z:Z,"Approved"),"")</f>
        <v/>
      </c>
      <c r="Y78" s="105" t="str">
        <f>IF(A78&lt;&gt;"",COUNTIFS('QA Log'!D:D,A78,'QA Log'!M:M,"QQC",'QA Log'!L:L,"10. Antenatal Care (ANC)",'QA Log'!Z:Z,"Approved"),"")</f>
        <v/>
      </c>
      <c r="Z78" s="105" t="str">
        <f>IF(A78&lt;&gt;"",COUNTIFS('QA Log'!D:D,A78,'QA Log'!M:M,"QQC",'QA Log'!L:L,"2. Hygiene and Sterilization",'QA Log'!Z:Z,"Approved"),"")</f>
        <v/>
      </c>
      <c r="AA78" s="105" t="str">
        <f>IF(A78&lt;&gt;"",COUNTIFS('QA Log'!D:D,A78,'QA Log'!M:M,"QQC",'QA Log'!L:L,"4. Family Planning",'QA Log'!Z:Z,"Approved"),"")</f>
        <v/>
      </c>
      <c r="AB78" s="102" t="str">
        <f>IF(A78="","",
SUM(
COUNTIFS('QA Log'!D:D,A78,'QA Log'!M:M,"QQC",'QA Log'!Z:Z,"Rejected",'QA Log'!L:L,"*8. Maternity*"),
COUNTIFS('QA Log'!D:D,A78,'QA Log'!M:M,"QQC",'QA Log'!Z:Z,"Rejected",'QA Log'!L:L,"*9. EPI and Pre-school Consultation*"),
COUNTIFS('QA Log'!D:D,A78,'QA Log'!M:M,"QQC",'QA Log'!Z:Z,"Rejected",'QA Log'!L:L,"*10. Antenatal Care (ANC)*"),
COUNTIFS('QA Log'!D:D,A78,'QA Log'!M:M,"QQC",'QA Log'!Z:Z,"Rejected",'QA Log'!L:L,"*2. Hygiene and Sterilization*"),
COUNTIFS('QA Log'!D:D,A78,'QA Log'!M:M,"QQC",'QA Log'!Z:Z,"Rejected",'QA Log'!L:L,"*4. Family Planning*")
))</f>
        <v/>
      </c>
      <c r="AC78" s="102" t="str">
        <f t="shared" si="3"/>
        <v/>
      </c>
      <c r="AD78" s="103" t="str">
        <f t="shared" si="4"/>
        <v/>
      </c>
      <c r="AE78" s="102" t="str">
        <f>IF(A78="","",
SUM(
COUNTIFS('QA Log'!D:D,A78,'QA Log'!M:M,"Data Verification",'QA Log'!L:L,"*Medicine (section 2)*"),
COUNTIFS('QA Log'!D:D,A78,'QA Log'!M:M,"Data Verification",'QA Log'!L:L,"*Lab Testing Availability*"),
COUNTIFS('QA Log'!D:D,A78,'QA Log'!M:M,"Data Verification",'QA Log'!L:L,"*Other than P4P (section 6)*"),
COUNTIFS('QA Log'!D:D,A78,'QA Log'!M:M,"Data Verification",'QA Log'!L:L,"*Hospital Governance*")
))</f>
        <v/>
      </c>
      <c r="AF78" s="102" t="str">
        <f>IF(A78="","",
SUM(
COUNTIFS('QA Log'!D:D,A78,'QA Log'!M:M,"Data Verification",'QA Log'!Z:Z,"Approved",'QA Log'!L:L,"*Medicine (section 2)*"),
COUNTIFS('QA Log'!D:D,A78,'QA Log'!M:M,"Data Verification",'QA Log'!Z:Z,"Approved",'QA Log'!L:L,"*Lab Testing Availability*"),
COUNTIFS('QA Log'!D:D,A78,'QA Log'!M:M,"Data Verification",'QA Log'!Z:Z,"Approved",'QA Log'!L:L,"*Other than P4P (section 6)*"),
COUNTIFS('QA Log'!D:D,A78,'QA Log'!M:M,"Data Verification",'QA Log'!Z:Z,"Approved",'QA Log'!L:L,"*Hospital Governance*")
))</f>
        <v/>
      </c>
      <c r="AG78" s="105" t="str">
        <f>IF(A78&lt;&gt;"",COUNTIFS('QA Log'!D:D,A78,'QA Log'!M:M,"Data Verification",'QA Log'!L:L,"Medicine (section 2)",'QA Log'!Z:Z,"Approved"),"")</f>
        <v/>
      </c>
      <c r="AH78" s="105" t="str">
        <f>IF(A78&lt;&gt;"",COUNTIFS('QA Log'!D:D,A78,'QA Log'!M:M,"Data Verification",'QA Log'!L:L,"Lab Testing Availability",'QA Log'!Z:Z,"Approved"),"")</f>
        <v/>
      </c>
      <c r="AI78" s="105" t="str">
        <f>IF(A78&lt;&gt;"",COUNTIFS('QA Log'!D:D,A78,'QA Log'!M:M,"Data Verification",'QA Log'!L:L,"Other than P4P (section 6)",'QA Log'!Z:Z,"Approved"),"")</f>
        <v/>
      </c>
      <c r="AJ78" s="105" t="str">
        <f>IF(A78&lt;&gt;"",COUNTIFS('QA Log'!D:D,A78,'QA Log'!M:M,"Data Verification",'QA Log'!L:L,"Hospital Governance",'QA Log'!Z:Z,"Approved"),"")</f>
        <v/>
      </c>
      <c r="AK78" s="102" t="str">
        <f>IF(A78="","",
SUM(
COUNTIFS('QA Log'!D:D,A78,'QA Log'!M:M,"Data Verification",'QA Log'!Z:Z,"Rejected",'QA Log'!L:L,"*Medicine (section 2)*"),
COUNTIFS('QA Log'!D:D,A78,'QA Log'!M:M,"Data Verification",'QA Log'!Z:Z,"Rejected",'QA Log'!L:L,"*Lab Testing Availability*"),
COUNTIFS('QA Log'!D:D,A78,'QA Log'!M:M,"Data Verification",'QA Log'!Z:Z,"Rejected",'QA Log'!L:L,"*Other than P4P (section 6)*"),
COUNTIFS('QA Log'!D:D,A78,'QA Log'!M:M,"Data Verification",'QA Log'!Z:Z,"Rejected",'QA Log'!L:L,"*Hospital Governance*")
))</f>
        <v/>
      </c>
      <c r="AL78" s="106" t="str">
        <f t="shared" si="5"/>
        <v/>
      </c>
      <c r="AM78" s="102" t="str">
        <f t="shared" si="6"/>
        <v/>
      </c>
      <c r="AN78" s="102" t="str">
        <f>IF(A78="","",
SUM(
COUNTIFS('QA Log'!D:D,A78,'QA Log'!M:M,"Data Verification",'QA Log'!L:L,"*Personnel (section 1)*"),
COUNTIFS('QA Log'!D:D,A78,'QA Log'!M:M,"Data Verification",'QA Log'!L:L,"*Consumable (section 3)*"),
COUNTIFS('QA Log'!D:D,A78,'QA Log'!M:M,"Data Verification",'QA Log'!L:L,"*Equipments (section 4)*")
))</f>
        <v/>
      </c>
      <c r="AO78" s="102" t="str">
        <f>IF(A78="","",
SUM(
COUNTIFS('QA Log'!D:D,A78,'QA Log'!M:M,"Data Verification",'QA Log'!Z:Z,"Approved",'QA Log'!L:L,"*Personnel (section 1)*"),
COUNTIFS('QA Log'!D:D,A78,'QA Log'!M:M,"Data Verification",'QA Log'!Z:Z,"Approved",'QA Log'!L:L,"*Consumable (section 3)*"),
COUNTIFS('QA Log'!D:D,A78,'QA Log'!M:M,"Data Verification",'QA Log'!Z:Z,"Approved",'QA Log'!L:L,"*Equipments (section 4)*")
))</f>
        <v/>
      </c>
      <c r="AP78" s="105" t="str">
        <f>IF(A78&lt;&gt;"",COUNTIFS('QA Log'!D:D,A78,'QA Log'!M:M,"Data Verification",'QA Log'!L:L,"Personnel (section 1)",'QA Log'!Z:Z,"Approved"),"")</f>
        <v/>
      </c>
      <c r="AQ78" s="105" t="str">
        <f>IF(A78&lt;&gt;"",COUNTIFS('QA Log'!D:D,A78,'QA Log'!M:M,"Data Verification",'QA Log'!L:L,"Consumable (section 3)",'QA Log'!Z:Z,"Approved"),"")</f>
        <v/>
      </c>
      <c r="AR78" s="105" t="str">
        <f>IF(A78&lt;&gt;"",COUNTIFS('QA Log'!D:D,A78,'QA Log'!M:M,"Data Verification",'QA Log'!L:L,"Equipments (section 4)",'QA Log'!Z:Z,"Approved"),"")</f>
        <v/>
      </c>
      <c r="AS78" s="102" t="str">
        <f>IF(A78="","",
SUM(
COUNTIFS('QA Log'!D:D,A78,'QA Log'!M:M,"Data Verification",'QA Log'!Z:Z,"Rejected",'QA Log'!L:L,"*Personnel (section 1)*"),
COUNTIFS('QA Log'!D:D,A78,'QA Log'!M:M,"Data Verification",'QA Log'!Z:Z,"Rejected",'QA Log'!L:L,"*Consumable (section 3)*"),
COUNTIFS('QA Log'!D:D,A78,'QA Log'!M:M,"Data Verification",'QA Log'!Z:Z,"Rejected",'QA Log'!L:L,"*Equipments (section 4)*")
))</f>
        <v/>
      </c>
      <c r="AT78" s="102" t="str">
        <f t="shared" si="7"/>
        <v/>
      </c>
      <c r="AU78" s="103" t="str">
        <f t="shared" si="8"/>
        <v/>
      </c>
      <c r="AV78" s="102" t="str">
        <f>IF(A78="","",SUM(
COUNTIFS('QA Log'!D:D,A78,'QA Log'!M:M,"Vignette",'QA Log'!L:L,"*Vignette [1] Respiratory Infection: Pneumonia*"),
COUNTIFS('QA Log'!D:D,A78,'QA Log'!M:M,"Vignette",'QA Log'!L:L,"*Vignette [2]: Diarrhea with Cat B dehydration*"),
COUNTIFS('QA Log'!D:D,A78,'QA Log'!M:M,"Vignette",'QA Log'!L:L,"*Vignette [3] Growth Monitoring and Promotion*"),
COUNTIFS('QA Log'!D:D,A78,'QA Log'!M:M,"Vignette",'QA Log'!L:L,"*Vignette [4]: The management of presumptive TB patient*")
)
)</f>
        <v/>
      </c>
      <c r="AW78" s="102" t="str">
        <f>IF(
  A78="","",
  SUM(
    COUNTIFS('QA Log'!D:D,A78,'QA Log'!M:M,"Vignette",'QA Log'!Z:Z,"Approved",'QA Log'!L:L,"*Vignette [1] Respiratory Infection: Pneumonia*"),
    COUNTIFS('QA Log'!D:D,A78,'QA Log'!M:M,"Vignette",'QA Log'!Z:Z,"Approved",'QA Log'!L:L,"*Vignette [2]: Diarrhea with Cat B dehydration*"),
    COUNTIFS('QA Log'!D:D,A78,'QA Log'!M:M,"Vignette",'QA Log'!Z:Z,"Approved",'QA Log'!L:L,"*Vignette [3] Growth Monitoring and Promotion*"),
    COUNTIFS('QA Log'!D:D,A78,'QA Log'!M:M,"Vignette",'QA Log'!Z:Z,"Approved",'QA Log'!L:L,"*Vignette [4]: The management of presumptive TB patient*")
  )
)</f>
        <v/>
      </c>
      <c r="AX78" s="105" t="str">
        <f>IF(A78&lt;&gt;"",COUNTIFS('QA Log'!D:D,A78,'QA Log'!M:M,"Vignette",'QA Log'!L:L,"Vignette [1] Respiratory Infection: Pneumonia",'QA Log'!Z:Z,"Approved"),"")</f>
        <v/>
      </c>
      <c r="AY78" s="105" t="str">
        <f>IF(A78&lt;&gt;"",COUNTIFS('QA Log'!D:D,A78,'QA Log'!M:M,"Vignette",'QA Log'!L:L,"Vignette [2]: Diarrhea with Cat B dehydration",'QA Log'!Z:Z,"Approved"),"")</f>
        <v/>
      </c>
      <c r="AZ78" s="105" t="str">
        <f>IF(A78&lt;&gt;"",COUNTIFS('QA Log'!D:D,A78,'QA Log'!M:M,"Vignette",'QA Log'!L:L,"Vignette [3] Growth Monitoring and Promotion",'QA Log'!Z:Z,"Approved"),"")</f>
        <v/>
      </c>
      <c r="BA78" s="105" t="str">
        <f>IF(A78&lt;&gt;"",COUNTIFS('QA Log'!D:D,A78,'QA Log'!M:M,"Vignette",'QA Log'!L:L,"Vignette [4]: The management of presumptive TB patient",'QA Log'!Z:Z,"Approved"),"")</f>
        <v/>
      </c>
      <c r="BB78" s="102" t="str">
        <f>IF(A78="","",
  SUM(
    COUNTIFS('QA Log'!D:D,A78,'QA Log'!M:M,"Vignette",'QA Log'!Z:Z,"Rejected",'QA Log'!L:L,"*Vignette [1] Respiratory Infection: Pneumonia*"),
    COUNTIFS('QA Log'!D:D,A78,'QA Log'!M:M,"Vignette",'QA Log'!Z:Z,"Rejected",'QA Log'!L:L,"*Vignette [2]: Diarrhea with Cat B dehydration*"),
    COUNTIFS('QA Log'!D:D,A78,'QA Log'!M:M,"Vignette",'QA Log'!Z:Z,"Rejected",'QA Log'!L:L,"*Vignette [3] Growth Monitoring and Promotion*"),
    COUNTIFS('QA Log'!D:D,A78,'QA Log'!M:M,"Vignette",'QA Log'!Z:Z,"Rejected",'QA Log'!L:L,"*Vignette [4]: The management of presumptive TB patient*")
  )
)</f>
        <v/>
      </c>
      <c r="BC78" s="107" t="str">
        <f t="shared" si="9"/>
        <v/>
      </c>
      <c r="BD78" s="103" t="str">
        <f t="shared" si="10"/>
        <v/>
      </c>
      <c r="BE78" s="102" t="str">
        <f>IF(A78="","",SUM(
COUNTIFS('QA Log'!D:D,A78,'QA Log'!M:M,"Vignette",'QA Log'!L:L,"*Vignette [5] Labor*"),
COUNTIFS('QA Log'!D:D,A78,'QA Log'!M:M,"Vignette",'QA Log'!L:L,"*Vignette [6] PNC pre Discharge*"),
COUNTIFS('QA Log'!D:D,A78,'QA Log'!M:M,"Vignette",'QA Log'!L:L,"*Vignette [7] First ANC Visit*"),
COUNTIFS('QA Log'!D:D,A78,'QA Log'!M:M,"Vignette",'QA Log'!L:L,"*Vignette [8] Birth Spacing/ Family Planning :  FP Counselling*"),
COUNTIFS('QA Log'!D:D,A78,'QA Log'!M:M,"Vignette",'QA Log'!L:L,"*Vignette [9] Birth Spacing: Change FP method to Injectable*"),
COUNTIFS('QA Log'!D:D,A78,'QA Log'!M:M,"Vignette",'QA Log'!L:L,"*Vignette [10] Post Partum Haemorrhage - Atonic Uterus at Health Centre*"),
)
)</f>
        <v/>
      </c>
      <c r="BF78" s="102" t="str">
        <f>IF(A78="","",
  SUM(
    COUNTIFS('QA Log'!D:D,A78,'QA Log'!M:M,"Vignette",'QA Log'!Z:Z,"Approved",'QA Log'!L:L,"*Vignette [5] Labor*"),
    COUNTIFS('QA Log'!D:D,A78,'QA Log'!M:M,"Vignette",'QA Log'!Z:Z,"Approved",'QA Log'!L:L,"*Vignette [6] PNC pre Discharge*"),
    COUNTIFS('QA Log'!D:D,A78,'QA Log'!M:M,"Vignette",'QA Log'!Z:Z,"Approved",'QA Log'!L:L,"*Vignette [7] First ANC Visit*"),
    COUNTIFS('QA Log'!D:D,A78,'QA Log'!M:M,"Vignette",'QA Log'!Z:Z,"Approved",'QA Log'!L:L,"*Vignette [8] Birth Spacing/ Family Planning :  FP Counselling*"),
    COUNTIFS('QA Log'!D:D,A78,'QA Log'!M:M,"Vignette",'QA Log'!Z:Z,"Approved",'QA Log'!L:L,"*Vignette [9] Birth Spacing: Change FP method to Injectable*"),
    COUNTIFS('QA Log'!D:D,A78,'QA Log'!M:M,"Vignette",'QA Log'!Z:Z,"Approved",'QA Log'!L:L,"*Vignette [10] Post Partum Haemorrhage - Atonic Uterus at Health Centre*")
  )
)</f>
        <v/>
      </c>
      <c r="BG78" s="105" t="str">
        <f>IF(A78&lt;&gt;"",COUNTIFS('QA Log'!D:D,A78,'QA Log'!M:M,"Vignette",'QA Log'!L:L,"Vignette [5] Labor",'QA Log'!Z:Z,"Approved"),"")</f>
        <v/>
      </c>
      <c r="BH78" s="105" t="str">
        <f>IF(A78&lt;&gt;"",COUNTIFS('QA Log'!D:D,A78,'QA Log'!M:M,"Vignette",'QA Log'!L:L,"Vignette [6] PNC pre Discharge",'QA Log'!Z:Z,"Approved"),"")</f>
        <v/>
      </c>
      <c r="BI78" s="105" t="str">
        <f>IF(A78&lt;&gt;"",COUNTIFS('QA Log'!D:D,A78,'QA Log'!M:M,"Vignette",'QA Log'!L:L,"Vignette [7] First ANC Visit",'QA Log'!Z:Z,"Approved"),"")</f>
        <v/>
      </c>
      <c r="BJ78" s="105" t="str">
        <f>IF(A78&lt;&gt;"",COUNTIFS('QA Log'!D:D,A78,'QA Log'!M:M,"Vignette",'QA Log'!L:L,"Vignette [8] Birth Spacing/ Family Planning :  FP Counselling",'QA Log'!Z:Z,"Approved"),"")</f>
        <v/>
      </c>
      <c r="BK78" s="105" t="str">
        <f>IF(A78&lt;&gt;"",COUNTIFS('QA Log'!D:D,A78,'QA Log'!M:M,"Vignette",'QA Log'!L:L,"Vignette [9] Birth Spacing: Change FP method to Injectable",'QA Log'!Z:Z,"Approved"),"")</f>
        <v/>
      </c>
      <c r="BL78" s="105" t="str">
        <f>IF(A78&lt;&gt;"",COUNTIFS('QA Log'!D:D,A78,'QA Log'!M:M,"Vignette",'QA Log'!L:L,"Vignette [10] Post Partum Haemorrhage - Atonic Uterus at Health Centre",'QA Log'!Z:Z,"Approved"),"")</f>
        <v/>
      </c>
      <c r="BM78" s="102" t="str">
        <f>IF(A78="","",SUM(
    COUNTIFS('QA Log'!D:D,A78,'QA Log'!M:M,"Vignette",'QA Log'!Z:Z,"Rejected",'QA Log'!L:L,"*Vignette [5] Labor*"),
    COUNTIFS('QA Log'!D:D,A78,'QA Log'!M:M,"Vignette",'QA Log'!Z:Z,"Rejected",'QA Log'!L:L,"*Vignette [6] PNC pre Discharge*"),
    COUNTIFS('QA Log'!D:D,A78,'QA Log'!M:M,"Vignette",'QA Log'!Z:Z,"Rejected",'QA Log'!L:L,"*Vignette [7] First ANC Visit*"),
    COUNTIFS('QA Log'!D:D,A78,'QA Log'!M:M,"Vignette",'QA Log'!Z:Z,"Rejected",'QA Log'!L:L,"*Vignette [8] Birth Spacing/ Family Planning :  FP Counselling*"),
    COUNTIFS('QA Log'!D:D,A78,'QA Log'!M:M,"Vignette",'QA Log'!Z:Z,"Rejected",'QA Log'!L:L,"*Vignette [9] Birth Spacing: Change FP method to Injectable*"),
    COUNTIFS('QA Log'!D:D,A78,'QA Log'!M:M,"Vignette",'QA Log'!Z:Z,"Rejected",'QA Log'!L:L,"*Vignette [10] Post Partum Haemorrhage - Atonic Uterus at Health Centre*")
  )
)</f>
        <v/>
      </c>
      <c r="BN78" s="107" t="str">
        <f t="shared" si="11"/>
        <v/>
      </c>
      <c r="BO78" s="103" t="str">
        <f t="shared" si="12"/>
        <v/>
      </c>
      <c r="BP78" s="102" t="str">
        <f>IF(A78="","",SUM(
COUNTIFS('QA Log'!D:D,A78,'QA Log'!M:M,"Vignette",'QA Log'!L:L,"*Exit Interview 1*"),
COUNTIFS('QA Log'!D:D,A78,'QA Log'!M:M,"Vignette",'QA Log'!L:L,"*Exit Interview 2*"),
)
)</f>
        <v/>
      </c>
      <c r="BQ78" s="102" t="str">
        <f>IF(
  A78="","",
  SUM(
    COUNTIFS('QA Log'!D:D,A78,'QA Log'!M:M,"Vignette",'QA Log'!Z:Z,"Approved",'QA Log'!L:L,"*Exit Interview 1*"),
    COUNTIFS('QA Log'!D:D,A78,'QA Log'!M:M,"Vignette",'QA Log'!Z:Z,"Approved",'QA Log'!L:L,"*Exit Interview 2*")
  )
)</f>
        <v/>
      </c>
      <c r="BR78" s="105" t="str">
        <f>IF(A78&lt;&gt;"",COUNTIFS('QA Log'!D:D,A78,'QA Log'!M:M,"Vignette",'QA Log'!L:L,"Exit Interview 1",'QA Log'!Z:Z,"Approved"),"")</f>
        <v/>
      </c>
      <c r="BS78" s="105" t="str">
        <f>IF(A78&lt;&gt;"",COUNTIFS('QA Log'!D:D,A78,'QA Log'!M:M,"Vignette",'QA Log'!L:L,"Exit Interview 2",'QA Log'!Z:Z,"Approved"),"")</f>
        <v/>
      </c>
      <c r="BT78" s="102" t="str">
        <f>IF(
  A78="","",
  SUM(
    COUNTIFS('QA Log'!D:D,A78,'QA Log'!M:M,"Vignette",'QA Log'!Z:Z,"Rejected",'QA Log'!L:L,"*Exit Interview 1*"),
    COUNTIFS('QA Log'!D:D,A78,'QA Log'!M:M,"Vignette",'QA Log'!Z:Z,"Rejected",'QA Log'!L:L,"*Exit Interview 2*")
  )
)</f>
        <v/>
      </c>
      <c r="BU78" s="107" t="str">
        <f t="shared" si="13"/>
        <v/>
      </c>
      <c r="BV78" s="102" t="str">
        <f t="shared" si="14"/>
        <v/>
      </c>
      <c r="BW78" s="102" t="str">
        <f t="shared" si="15"/>
        <v/>
      </c>
      <c r="BX78" s="102" t="str">
        <f t="shared" si="16"/>
        <v/>
      </c>
      <c r="BY78" s="102" t="str">
        <f t="shared" si="17"/>
        <v/>
      </c>
      <c r="BZ78" s="107" t="str">
        <f t="shared" si="18"/>
        <v/>
      </c>
      <c r="CA78" s="108" t="str">
        <f t="shared" si="19"/>
        <v/>
      </c>
      <c r="CB78" s="108" t="str">
        <f t="shared" si="20"/>
        <v/>
      </c>
      <c r="CC78" s="109" t="str">
        <f t="shared" si="21"/>
        <v/>
      </c>
      <c r="CD78" s="108" t="str">
        <f t="shared" si="22"/>
        <v/>
      </c>
      <c r="CE78" s="108" t="str">
        <f t="shared" si="23"/>
        <v/>
      </c>
      <c r="CF78" s="109" t="str">
        <f t="shared" si="24"/>
        <v/>
      </c>
      <c r="CG78" s="110" t="str">
        <f t="shared" si="25"/>
        <v/>
      </c>
      <c r="CH78" s="111"/>
    </row>
    <row r="79" spans="1:86" ht="12.75">
      <c r="A79" s="101"/>
      <c r="B79" s="102" t="e">
        <f t="array" aca="1" ref="B79" ca="1">_xludf.XLOOKUP(A79,'QA Log'!D:D,'QA Log'!E:E,"")</f>
        <v>#NAME?</v>
      </c>
      <c r="C79" s="102" t="e">
        <f t="array" aca="1" ref="C79" ca="1">_xludf.XLOOKUP(A79,'QA Log'!D:D,'QA Log'!F:F,"")</f>
        <v>#NAME?</v>
      </c>
      <c r="D79" s="102" t="e">
        <f t="array" aca="1" ref="D79" ca="1">_xludf.XLOOKUP(A79,'QA Log'!D:D,'QA Log'!H:H,"")</f>
        <v>#NAME?</v>
      </c>
      <c r="E79" s="102" t="e">
        <f t="array" aca="1" ref="E79" ca="1">_xludf.XLOOKUP(A79,'QA Log'!D:D,'QA Log'!G:G,"")</f>
        <v>#NAME?</v>
      </c>
      <c r="F79" s="103"/>
      <c r="G79" s="104"/>
      <c r="H79" s="104"/>
      <c r="I79" s="103" t="str">
        <f t="shared" si="0"/>
        <v/>
      </c>
      <c r="J79" s="102" t="str">
        <f>IF(A79="","",SUM(
COUNTIFS('QA Log'!D:D,A79,'QA Log'!M:M,"QQC",'QA Log'!L:L,"*1. General Management*"),
COUNTIFS('QA Log'!D:D,A79,'QA Log'!M:M,"QQC",'QA Log'!L:L,"*3. Curative Consultation (OPD)*"),
COUNTIFS('QA Log'!D:D,A79,'QA Log'!M:M,"QQC",'QA Log'!L:L,"*5. Laboratory*"),
COUNTIFS('QA Log'!D:D,A79,'QA Log'!M:M,"QQC",'QA Log'!L:L,"*6. Essential Medicine Management*"),
COUNTIFS('QA Log'!D:D,A79,'QA Log'!M:M,"QQC",'QA Log'!L:L,"*7. Tracer Medicine*"),
COUNTIFS('QA Log'!D:D,A79,'QA Log'!M:M,"QQC",'QA Log'!L:L,"*11. Additional Questions*")))</f>
        <v/>
      </c>
      <c r="K79" s="102" t="str">
        <f>IF(A79="","",SUM(
COUNTIFS('QA Log'!D:D,A79,'QA Log'!M:M,"QQC",'QA Log'!Z:Z,"Approved",'QA Log'!L:L,"*1. General Management*"),
COUNTIFS('QA Log'!D:D,A79,'QA Log'!M:M,"QQC",'QA Log'!Z:Z,"Approved",'QA Log'!L:L,"*3. Curative Consultation (OPD)*"),
COUNTIFS('QA Log'!D:D,A79,'QA Log'!M:M,"QQC",'QA Log'!Z:Z,"Approved",'QA Log'!L:L,"*5. Laboratory*"),
COUNTIFS('QA Log'!D:D,A79,'QA Log'!M:M,"QQC",'QA Log'!Z:Z,"Approved",'QA Log'!L:L,"*6. Essential Medicine Management*"),
COUNTIFS('QA Log'!D:D,A79,'QA Log'!M:M,"QQC",'QA Log'!Z:Z,"Approved",'QA Log'!L:L,"*7. Tracer Medicine*"),
COUNTIFS('QA Log'!D:D,A79,'QA Log'!M:M,"QQC",'QA Log'!Z:Z,"Approved",'QA Log'!L:L,"*11. Additional Questions*")))</f>
        <v/>
      </c>
      <c r="L79" s="105" t="str">
        <f>IF(A79&lt;&gt;"",COUNTIFS('QA Log'!D:D,A79,'QA Log'!M:M,"QQC",'QA Log'!L:L,"1. General Management",'QA Log'!Z:Z,"Approved"),"")</f>
        <v/>
      </c>
      <c r="M79" s="105" t="str">
        <f>IF(A79&lt;&gt;"",COUNTIFS('QA Log'!D:D,A79,'QA Log'!M:M,"QQC",'QA Log'!L:L,"3. Curative Consultation (OPD)",'QA Log'!Z:Z,"Approved"),"")</f>
        <v/>
      </c>
      <c r="N79" s="105" t="str">
        <f>IF(A79&lt;&gt;"",COUNTIFS('QA Log'!D:D,A79,'QA Log'!M:M,"QQC",'QA Log'!L:L,"5. Laboratory",'QA Log'!Z:Z,"Approved"),"")</f>
        <v/>
      </c>
      <c r="O79" s="105" t="str">
        <f>IF(A79&lt;&gt;"",COUNTIFS('QA Log'!D:D,A79,'QA Log'!M:M,"QQC",'QA Log'!L:L,"6. Essential Medicine Management",'QA Log'!Z:Z,"Approved"),"")</f>
        <v/>
      </c>
      <c r="P79" s="105" t="str">
        <f>IF(A79&lt;&gt;"",COUNTIFS('QA Log'!D:D,A79,'QA Log'!M:M,"QQC",'QA Log'!L:L,"7. Tracer Medicine",'QA Log'!Z:Z,"Approved"),"")</f>
        <v/>
      </c>
      <c r="Q79" s="105" t="str">
        <f>IF(A79&lt;&gt;"",COUNTIFS('QA Log'!D:D,A79,'QA Log'!M:M,"QQC",'QA Log'!L:L,"11. Additional Questions",'QA Log'!Z:Z,"Approved"),"")</f>
        <v/>
      </c>
      <c r="R79" s="102" t="str">
        <f>IF(A79="","",SUM(
COUNTIFS('QA Log'!D:D,A79,'QA Log'!M:M,"QQC",'QA Log'!Z:Z,"Rejected",'QA Log'!L:L,"*8. Maternity*"),
COUNTIFS('QA Log'!D:D,A79,'QA Log'!M:M,"QQC",'QA Log'!Z:Z,"Rejected",'QA Log'!L:L,"*EPI*"),
COUNTIFS('QA Log'!D:D,A79,'QA Log'!M:M,"QQC",'QA Log'!Z:Z,"Rejected",'QA Log'!L:L,"*10. Antenatal Care (ANC)*"),
COUNTIFS('QA Log'!D:D,A79,'QA Log'!M:M,"QQC",'QA Log'!Z:Z,"Rejected",'QA Log'!L:L,"*2. Hygiene and Sterilization*"),
COUNTIFS('QA Log'!D:D,A79,'QA Log'!M:M,"QQC",'QA Log'!Z:Z,"Rejected",'QA Log'!L:L,"*Family Planning*")))</f>
        <v/>
      </c>
      <c r="S79" s="106" t="str">
        <f t="shared" si="1"/>
        <v/>
      </c>
      <c r="T79" s="102" t="str">
        <f t="shared" si="2"/>
        <v/>
      </c>
      <c r="U79" s="102" t="str">
        <f>IF(A79="","",
SUM(
COUNTIFS('QA Log'!D:D,A79,'QA Log'!M:M,"QQC",'QA Log'!L:L,"*8. Maternity*"),
COUNTIFS('QA Log'!D:D,A79,'QA Log'!M:M,"QQC",'QA Log'!L:L,"*9. EPI and Pre-school Consultation*"),
COUNTIFS('QA Log'!D:D,A79,'QA Log'!M:M,"QQC",'QA Log'!L:L,"*10. Antenatal Care (ANC)*"),
COUNTIFS('QA Log'!D:D,A79,'QA Log'!M:M,"QQC",'QA Log'!L:L,"*2. Hygiene and Sterilization*"),
COUNTIFS('QA Log'!D:D,A79,'QA Log'!M:M,"QQC",'QA Log'!L:L,"*4. Family Planning*")
))</f>
        <v/>
      </c>
      <c r="V79" s="102" t="str">
        <f>IF(A79="","",
SUM(
COUNTIFS('QA Log'!D:D,A79,'QA Log'!M:M,"QQC",'QA Log'!Z:Z,"Approved",'QA Log'!L:L,"*8. Maternity*"),
COUNTIFS('QA Log'!D:D,A79,'QA Log'!M:M,"QQC",'QA Log'!Z:Z,"Approved",'QA Log'!L:L,"*9. EPI and Pre-school Consultation*"),
COUNTIFS('QA Log'!D:D,A79,'QA Log'!M:M,"QQC",'QA Log'!Z:Z,"Approved",'QA Log'!L:L,"*10. Antenatal Care (ANC)*"),
COUNTIFS('QA Log'!D:D,A79,'QA Log'!M:M,"QQC",'QA Log'!Z:Z,"Approved",'QA Log'!L:L,"*2. Hygiene and Sterilization*"),
COUNTIFS('QA Log'!D:D,A79,'QA Log'!M:M,"QQC",'QA Log'!Z:Z,"Approved",'QA Log'!L:L,"*4. Family Planning*")
))</f>
        <v/>
      </c>
      <c r="W79" s="105" t="str">
        <f>IF(A79&lt;&gt;"",COUNTIFS('QA Log'!D:D,A79,'QA Log'!M:M,"QQC",'QA Log'!L:L,"8. Maternity",'QA Log'!Z:Z,"Approved"),"")</f>
        <v/>
      </c>
      <c r="X79" s="105" t="str">
        <f>IF(A79&lt;&gt;"",COUNTIFS('QA Log'!D:D,A79,'QA Log'!M:M,"QQC",'QA Log'!L:L,"9. EPI and Pre-school Consultation",'QA Log'!Z:Z,"Approved"),"")</f>
        <v/>
      </c>
      <c r="Y79" s="105" t="str">
        <f>IF(A79&lt;&gt;"",COUNTIFS('QA Log'!D:D,A79,'QA Log'!M:M,"QQC",'QA Log'!L:L,"10. Antenatal Care (ANC)",'QA Log'!Z:Z,"Approved"),"")</f>
        <v/>
      </c>
      <c r="Z79" s="105" t="str">
        <f>IF(A79&lt;&gt;"",COUNTIFS('QA Log'!D:D,A79,'QA Log'!M:M,"QQC",'QA Log'!L:L,"2. Hygiene and Sterilization",'QA Log'!Z:Z,"Approved"),"")</f>
        <v/>
      </c>
      <c r="AA79" s="105" t="str">
        <f>IF(A79&lt;&gt;"",COUNTIFS('QA Log'!D:D,A79,'QA Log'!M:M,"QQC",'QA Log'!L:L,"4. Family Planning",'QA Log'!Z:Z,"Approved"),"")</f>
        <v/>
      </c>
      <c r="AB79" s="102" t="str">
        <f>IF(A79="","",
SUM(
COUNTIFS('QA Log'!D:D,A79,'QA Log'!M:M,"QQC",'QA Log'!Z:Z,"Rejected",'QA Log'!L:L,"*8. Maternity*"),
COUNTIFS('QA Log'!D:D,A79,'QA Log'!M:M,"QQC",'QA Log'!Z:Z,"Rejected",'QA Log'!L:L,"*9. EPI and Pre-school Consultation*"),
COUNTIFS('QA Log'!D:D,A79,'QA Log'!M:M,"QQC",'QA Log'!Z:Z,"Rejected",'QA Log'!L:L,"*10. Antenatal Care (ANC)*"),
COUNTIFS('QA Log'!D:D,A79,'QA Log'!M:M,"QQC",'QA Log'!Z:Z,"Rejected",'QA Log'!L:L,"*2. Hygiene and Sterilization*"),
COUNTIFS('QA Log'!D:D,A79,'QA Log'!M:M,"QQC",'QA Log'!Z:Z,"Rejected",'QA Log'!L:L,"*4. Family Planning*")
))</f>
        <v/>
      </c>
      <c r="AC79" s="102" t="str">
        <f t="shared" si="3"/>
        <v/>
      </c>
      <c r="AD79" s="103" t="str">
        <f t="shared" si="4"/>
        <v/>
      </c>
      <c r="AE79" s="102" t="str">
        <f>IF(A79="","",
SUM(
COUNTIFS('QA Log'!D:D,A79,'QA Log'!M:M,"Data Verification",'QA Log'!L:L,"*Medicine (section 2)*"),
COUNTIFS('QA Log'!D:D,A79,'QA Log'!M:M,"Data Verification",'QA Log'!L:L,"*Lab Testing Availability*"),
COUNTIFS('QA Log'!D:D,A79,'QA Log'!M:M,"Data Verification",'QA Log'!L:L,"*Other than P4P (section 6)*"),
COUNTIFS('QA Log'!D:D,A79,'QA Log'!M:M,"Data Verification",'QA Log'!L:L,"*Hospital Governance*")
))</f>
        <v/>
      </c>
      <c r="AF79" s="102" t="str">
        <f>IF(A79="","",
SUM(
COUNTIFS('QA Log'!D:D,A79,'QA Log'!M:M,"Data Verification",'QA Log'!Z:Z,"Approved",'QA Log'!L:L,"*Medicine (section 2)*"),
COUNTIFS('QA Log'!D:D,A79,'QA Log'!M:M,"Data Verification",'QA Log'!Z:Z,"Approved",'QA Log'!L:L,"*Lab Testing Availability*"),
COUNTIFS('QA Log'!D:D,A79,'QA Log'!M:M,"Data Verification",'QA Log'!Z:Z,"Approved",'QA Log'!L:L,"*Other than P4P (section 6)*"),
COUNTIFS('QA Log'!D:D,A79,'QA Log'!M:M,"Data Verification",'QA Log'!Z:Z,"Approved",'QA Log'!L:L,"*Hospital Governance*")
))</f>
        <v/>
      </c>
      <c r="AG79" s="105" t="str">
        <f>IF(A79&lt;&gt;"",COUNTIFS('QA Log'!D:D,A79,'QA Log'!M:M,"Data Verification",'QA Log'!L:L,"Medicine (section 2)",'QA Log'!Z:Z,"Approved"),"")</f>
        <v/>
      </c>
      <c r="AH79" s="105" t="str">
        <f>IF(A79&lt;&gt;"",COUNTIFS('QA Log'!D:D,A79,'QA Log'!M:M,"Data Verification",'QA Log'!L:L,"Lab Testing Availability",'QA Log'!Z:Z,"Approved"),"")</f>
        <v/>
      </c>
      <c r="AI79" s="105" t="str">
        <f>IF(A79&lt;&gt;"",COUNTIFS('QA Log'!D:D,A79,'QA Log'!M:M,"Data Verification",'QA Log'!L:L,"Other than P4P (section 6)",'QA Log'!Z:Z,"Approved"),"")</f>
        <v/>
      </c>
      <c r="AJ79" s="105" t="str">
        <f>IF(A79&lt;&gt;"",COUNTIFS('QA Log'!D:D,A79,'QA Log'!M:M,"Data Verification",'QA Log'!L:L,"Hospital Governance",'QA Log'!Z:Z,"Approved"),"")</f>
        <v/>
      </c>
      <c r="AK79" s="102" t="str">
        <f>IF(A79="","",
SUM(
COUNTIFS('QA Log'!D:D,A79,'QA Log'!M:M,"Data Verification",'QA Log'!Z:Z,"Rejected",'QA Log'!L:L,"*Medicine (section 2)*"),
COUNTIFS('QA Log'!D:D,A79,'QA Log'!M:M,"Data Verification",'QA Log'!Z:Z,"Rejected",'QA Log'!L:L,"*Lab Testing Availability*"),
COUNTIFS('QA Log'!D:D,A79,'QA Log'!M:M,"Data Verification",'QA Log'!Z:Z,"Rejected",'QA Log'!L:L,"*Other than P4P (section 6)*"),
COUNTIFS('QA Log'!D:D,A79,'QA Log'!M:M,"Data Verification",'QA Log'!Z:Z,"Rejected",'QA Log'!L:L,"*Hospital Governance*")
))</f>
        <v/>
      </c>
      <c r="AL79" s="106" t="str">
        <f t="shared" si="5"/>
        <v/>
      </c>
      <c r="AM79" s="102" t="str">
        <f t="shared" si="6"/>
        <v/>
      </c>
      <c r="AN79" s="102" t="str">
        <f>IF(A79="","",
SUM(
COUNTIFS('QA Log'!D:D,A79,'QA Log'!M:M,"Data Verification",'QA Log'!L:L,"*Personnel (section 1)*"),
COUNTIFS('QA Log'!D:D,A79,'QA Log'!M:M,"Data Verification",'QA Log'!L:L,"*Consumable (section 3)*"),
COUNTIFS('QA Log'!D:D,A79,'QA Log'!M:M,"Data Verification",'QA Log'!L:L,"*Equipments (section 4)*")
))</f>
        <v/>
      </c>
      <c r="AO79" s="102" t="str">
        <f>IF(A79="","",
SUM(
COUNTIFS('QA Log'!D:D,A79,'QA Log'!M:M,"Data Verification",'QA Log'!Z:Z,"Approved",'QA Log'!L:L,"*Personnel (section 1)*"),
COUNTIFS('QA Log'!D:D,A79,'QA Log'!M:M,"Data Verification",'QA Log'!Z:Z,"Approved",'QA Log'!L:L,"*Consumable (section 3)*"),
COUNTIFS('QA Log'!D:D,A79,'QA Log'!M:M,"Data Verification",'QA Log'!Z:Z,"Approved",'QA Log'!L:L,"*Equipments (section 4)*")
))</f>
        <v/>
      </c>
      <c r="AP79" s="105" t="str">
        <f>IF(A79&lt;&gt;"",COUNTIFS('QA Log'!D:D,A79,'QA Log'!M:M,"Data Verification",'QA Log'!L:L,"Personnel (section 1)",'QA Log'!Z:Z,"Approved"),"")</f>
        <v/>
      </c>
      <c r="AQ79" s="105" t="str">
        <f>IF(A79&lt;&gt;"",COUNTIFS('QA Log'!D:D,A79,'QA Log'!M:M,"Data Verification",'QA Log'!L:L,"Consumable (section 3)",'QA Log'!Z:Z,"Approved"),"")</f>
        <v/>
      </c>
      <c r="AR79" s="105" t="str">
        <f>IF(A79&lt;&gt;"",COUNTIFS('QA Log'!D:D,A79,'QA Log'!M:M,"Data Verification",'QA Log'!L:L,"Equipments (section 4)",'QA Log'!Z:Z,"Approved"),"")</f>
        <v/>
      </c>
      <c r="AS79" s="102" t="str">
        <f>IF(A79="","",
SUM(
COUNTIFS('QA Log'!D:D,A79,'QA Log'!M:M,"Data Verification",'QA Log'!Z:Z,"Rejected",'QA Log'!L:L,"*Personnel (section 1)*"),
COUNTIFS('QA Log'!D:D,A79,'QA Log'!M:M,"Data Verification",'QA Log'!Z:Z,"Rejected",'QA Log'!L:L,"*Consumable (section 3)*"),
COUNTIFS('QA Log'!D:D,A79,'QA Log'!M:M,"Data Verification",'QA Log'!Z:Z,"Rejected",'QA Log'!L:L,"*Equipments (section 4)*")
))</f>
        <v/>
      </c>
      <c r="AT79" s="102" t="str">
        <f t="shared" si="7"/>
        <v/>
      </c>
      <c r="AU79" s="103" t="str">
        <f t="shared" si="8"/>
        <v/>
      </c>
      <c r="AV79" s="102" t="str">
        <f>IF(A79="","",SUM(
COUNTIFS('QA Log'!D:D,A79,'QA Log'!M:M,"Vignette",'QA Log'!L:L,"*Vignette [1] Respiratory Infection: Pneumonia*"),
COUNTIFS('QA Log'!D:D,A79,'QA Log'!M:M,"Vignette",'QA Log'!L:L,"*Vignette [2]: Diarrhea with Cat B dehydration*"),
COUNTIFS('QA Log'!D:D,A79,'QA Log'!M:M,"Vignette",'QA Log'!L:L,"*Vignette [3] Growth Monitoring and Promotion*"),
COUNTIFS('QA Log'!D:D,A79,'QA Log'!M:M,"Vignette",'QA Log'!L:L,"*Vignette [4]: The management of presumptive TB patient*")
)
)</f>
        <v/>
      </c>
      <c r="AW79" s="102" t="str">
        <f>IF(
  A79="","",
  SUM(
    COUNTIFS('QA Log'!D:D,A79,'QA Log'!M:M,"Vignette",'QA Log'!Z:Z,"Approved",'QA Log'!L:L,"*Vignette [1] Respiratory Infection: Pneumonia*"),
    COUNTIFS('QA Log'!D:D,A79,'QA Log'!M:M,"Vignette",'QA Log'!Z:Z,"Approved",'QA Log'!L:L,"*Vignette [2]: Diarrhea with Cat B dehydration*"),
    COUNTIFS('QA Log'!D:D,A79,'QA Log'!M:M,"Vignette",'QA Log'!Z:Z,"Approved",'QA Log'!L:L,"*Vignette [3] Growth Monitoring and Promotion*"),
    COUNTIFS('QA Log'!D:D,A79,'QA Log'!M:M,"Vignette",'QA Log'!Z:Z,"Approved",'QA Log'!L:L,"*Vignette [4]: The management of presumptive TB patient*")
  )
)</f>
        <v/>
      </c>
      <c r="AX79" s="105" t="str">
        <f>IF(A79&lt;&gt;"",COUNTIFS('QA Log'!D:D,A79,'QA Log'!M:M,"Vignette",'QA Log'!L:L,"Vignette [1] Respiratory Infection: Pneumonia",'QA Log'!Z:Z,"Approved"),"")</f>
        <v/>
      </c>
      <c r="AY79" s="105" t="str">
        <f>IF(A79&lt;&gt;"",COUNTIFS('QA Log'!D:D,A79,'QA Log'!M:M,"Vignette",'QA Log'!L:L,"Vignette [2]: Diarrhea with Cat B dehydration",'QA Log'!Z:Z,"Approved"),"")</f>
        <v/>
      </c>
      <c r="AZ79" s="105" t="str">
        <f>IF(A79&lt;&gt;"",COUNTIFS('QA Log'!D:D,A79,'QA Log'!M:M,"Vignette",'QA Log'!L:L,"Vignette [3] Growth Monitoring and Promotion",'QA Log'!Z:Z,"Approved"),"")</f>
        <v/>
      </c>
      <c r="BA79" s="105" t="str">
        <f>IF(A79&lt;&gt;"",COUNTIFS('QA Log'!D:D,A79,'QA Log'!M:M,"Vignette",'QA Log'!L:L,"Vignette [4]: The management of presumptive TB patient",'QA Log'!Z:Z,"Approved"),"")</f>
        <v/>
      </c>
      <c r="BB79" s="102" t="str">
        <f>IF(A79="","",
  SUM(
    COUNTIFS('QA Log'!D:D,A79,'QA Log'!M:M,"Vignette",'QA Log'!Z:Z,"Rejected",'QA Log'!L:L,"*Vignette [1] Respiratory Infection: Pneumonia*"),
    COUNTIFS('QA Log'!D:D,A79,'QA Log'!M:M,"Vignette",'QA Log'!Z:Z,"Rejected",'QA Log'!L:L,"*Vignette [2]: Diarrhea with Cat B dehydration*"),
    COUNTIFS('QA Log'!D:D,A79,'QA Log'!M:M,"Vignette",'QA Log'!Z:Z,"Rejected",'QA Log'!L:L,"*Vignette [3] Growth Monitoring and Promotion*"),
    COUNTIFS('QA Log'!D:D,A79,'QA Log'!M:M,"Vignette",'QA Log'!Z:Z,"Rejected",'QA Log'!L:L,"*Vignette [4]: The management of presumptive TB patient*")
  )
)</f>
        <v/>
      </c>
      <c r="BC79" s="107" t="str">
        <f t="shared" si="9"/>
        <v/>
      </c>
      <c r="BD79" s="103" t="str">
        <f t="shared" si="10"/>
        <v/>
      </c>
      <c r="BE79" s="102" t="str">
        <f>IF(A79="","",SUM(
COUNTIFS('QA Log'!D:D,A79,'QA Log'!M:M,"Vignette",'QA Log'!L:L,"*Vignette [5] Labor*"),
COUNTIFS('QA Log'!D:D,A79,'QA Log'!M:M,"Vignette",'QA Log'!L:L,"*Vignette [6] PNC pre Discharge*"),
COUNTIFS('QA Log'!D:D,A79,'QA Log'!M:M,"Vignette",'QA Log'!L:L,"*Vignette [7] First ANC Visit*"),
COUNTIFS('QA Log'!D:D,A79,'QA Log'!M:M,"Vignette",'QA Log'!L:L,"*Vignette [8] Birth Spacing/ Family Planning :  FP Counselling*"),
COUNTIFS('QA Log'!D:D,A79,'QA Log'!M:M,"Vignette",'QA Log'!L:L,"*Vignette [9] Birth Spacing: Change FP method to Injectable*"),
COUNTIFS('QA Log'!D:D,A79,'QA Log'!M:M,"Vignette",'QA Log'!L:L,"*Vignette [10] Post Partum Haemorrhage - Atonic Uterus at Health Centre*"),
)
)</f>
        <v/>
      </c>
      <c r="BF79" s="102" t="str">
        <f>IF(A79="","",
  SUM(
    COUNTIFS('QA Log'!D:D,A79,'QA Log'!M:M,"Vignette",'QA Log'!Z:Z,"Approved",'QA Log'!L:L,"*Vignette [5] Labor*"),
    COUNTIFS('QA Log'!D:D,A79,'QA Log'!M:M,"Vignette",'QA Log'!Z:Z,"Approved",'QA Log'!L:L,"*Vignette [6] PNC pre Discharge*"),
    COUNTIFS('QA Log'!D:D,A79,'QA Log'!M:M,"Vignette",'QA Log'!Z:Z,"Approved",'QA Log'!L:L,"*Vignette [7] First ANC Visit*"),
    COUNTIFS('QA Log'!D:D,A79,'QA Log'!M:M,"Vignette",'QA Log'!Z:Z,"Approved",'QA Log'!L:L,"*Vignette [8] Birth Spacing/ Family Planning :  FP Counselling*"),
    COUNTIFS('QA Log'!D:D,A79,'QA Log'!M:M,"Vignette",'QA Log'!Z:Z,"Approved",'QA Log'!L:L,"*Vignette [9] Birth Spacing: Change FP method to Injectable*"),
    COUNTIFS('QA Log'!D:D,A79,'QA Log'!M:M,"Vignette",'QA Log'!Z:Z,"Approved",'QA Log'!L:L,"*Vignette [10] Post Partum Haemorrhage - Atonic Uterus at Health Centre*")
  )
)</f>
        <v/>
      </c>
      <c r="BG79" s="105" t="str">
        <f>IF(A79&lt;&gt;"",COUNTIFS('QA Log'!D:D,A79,'QA Log'!M:M,"Vignette",'QA Log'!L:L,"Vignette [5] Labor",'QA Log'!Z:Z,"Approved"),"")</f>
        <v/>
      </c>
      <c r="BH79" s="105" t="str">
        <f>IF(A79&lt;&gt;"",COUNTIFS('QA Log'!D:D,A79,'QA Log'!M:M,"Vignette",'QA Log'!L:L,"Vignette [6] PNC pre Discharge",'QA Log'!Z:Z,"Approved"),"")</f>
        <v/>
      </c>
      <c r="BI79" s="105" t="str">
        <f>IF(A79&lt;&gt;"",COUNTIFS('QA Log'!D:D,A79,'QA Log'!M:M,"Vignette",'QA Log'!L:L,"Vignette [7] First ANC Visit",'QA Log'!Z:Z,"Approved"),"")</f>
        <v/>
      </c>
      <c r="BJ79" s="105" t="str">
        <f>IF(A79&lt;&gt;"",COUNTIFS('QA Log'!D:D,A79,'QA Log'!M:M,"Vignette",'QA Log'!L:L,"Vignette [8] Birth Spacing/ Family Planning :  FP Counselling",'QA Log'!Z:Z,"Approved"),"")</f>
        <v/>
      </c>
      <c r="BK79" s="105" t="str">
        <f>IF(A79&lt;&gt;"",COUNTIFS('QA Log'!D:D,A79,'QA Log'!M:M,"Vignette",'QA Log'!L:L,"Vignette [9] Birth Spacing: Change FP method to Injectable",'QA Log'!Z:Z,"Approved"),"")</f>
        <v/>
      </c>
      <c r="BL79" s="105" t="str">
        <f>IF(A79&lt;&gt;"",COUNTIFS('QA Log'!D:D,A79,'QA Log'!M:M,"Vignette",'QA Log'!L:L,"Vignette [10] Post Partum Haemorrhage - Atonic Uterus at Health Centre",'QA Log'!Z:Z,"Approved"),"")</f>
        <v/>
      </c>
      <c r="BM79" s="102" t="str">
        <f>IF(A79="","",SUM(
    COUNTIFS('QA Log'!D:D,A79,'QA Log'!M:M,"Vignette",'QA Log'!Z:Z,"Rejected",'QA Log'!L:L,"*Vignette [5] Labor*"),
    COUNTIFS('QA Log'!D:D,A79,'QA Log'!M:M,"Vignette",'QA Log'!Z:Z,"Rejected",'QA Log'!L:L,"*Vignette [6] PNC pre Discharge*"),
    COUNTIFS('QA Log'!D:D,A79,'QA Log'!M:M,"Vignette",'QA Log'!Z:Z,"Rejected",'QA Log'!L:L,"*Vignette [7] First ANC Visit*"),
    COUNTIFS('QA Log'!D:D,A79,'QA Log'!M:M,"Vignette",'QA Log'!Z:Z,"Rejected",'QA Log'!L:L,"*Vignette [8] Birth Spacing/ Family Planning :  FP Counselling*"),
    COUNTIFS('QA Log'!D:D,A79,'QA Log'!M:M,"Vignette",'QA Log'!Z:Z,"Rejected",'QA Log'!L:L,"*Vignette [9] Birth Spacing: Change FP method to Injectable*"),
    COUNTIFS('QA Log'!D:D,A79,'QA Log'!M:M,"Vignette",'QA Log'!Z:Z,"Rejected",'QA Log'!L:L,"*Vignette [10] Post Partum Haemorrhage - Atonic Uterus at Health Centre*")
  )
)</f>
        <v/>
      </c>
      <c r="BN79" s="107" t="str">
        <f t="shared" si="11"/>
        <v/>
      </c>
      <c r="BO79" s="103" t="str">
        <f t="shared" si="12"/>
        <v/>
      </c>
      <c r="BP79" s="102" t="str">
        <f>IF(A79="","",SUM(
COUNTIFS('QA Log'!D:D,A79,'QA Log'!M:M,"Vignette",'QA Log'!L:L,"*Exit Interview 1*"),
COUNTIFS('QA Log'!D:D,A79,'QA Log'!M:M,"Vignette",'QA Log'!L:L,"*Exit Interview 2*"),
)
)</f>
        <v/>
      </c>
      <c r="BQ79" s="102" t="str">
        <f>IF(
  A79="","",
  SUM(
    COUNTIFS('QA Log'!D:D,A79,'QA Log'!M:M,"Vignette",'QA Log'!Z:Z,"Approved",'QA Log'!L:L,"*Exit Interview 1*"),
    COUNTIFS('QA Log'!D:D,A79,'QA Log'!M:M,"Vignette",'QA Log'!Z:Z,"Approved",'QA Log'!L:L,"*Exit Interview 2*")
  )
)</f>
        <v/>
      </c>
      <c r="BR79" s="105" t="str">
        <f>IF(A79&lt;&gt;"",COUNTIFS('QA Log'!D:D,A79,'QA Log'!M:M,"Vignette",'QA Log'!L:L,"Exit Interview 1",'QA Log'!Z:Z,"Approved"),"")</f>
        <v/>
      </c>
      <c r="BS79" s="105" t="str">
        <f>IF(A79&lt;&gt;"",COUNTIFS('QA Log'!D:D,A79,'QA Log'!M:M,"Vignette",'QA Log'!L:L,"Exit Interview 2",'QA Log'!Z:Z,"Approved"),"")</f>
        <v/>
      </c>
      <c r="BT79" s="102" t="str">
        <f>IF(
  A79="","",
  SUM(
    COUNTIFS('QA Log'!D:D,A79,'QA Log'!M:M,"Vignette",'QA Log'!Z:Z,"Rejected",'QA Log'!L:L,"*Exit Interview 1*"),
    COUNTIFS('QA Log'!D:D,A79,'QA Log'!M:M,"Vignette",'QA Log'!Z:Z,"Rejected",'QA Log'!L:L,"*Exit Interview 2*")
  )
)</f>
        <v/>
      </c>
      <c r="BU79" s="107" t="str">
        <f t="shared" si="13"/>
        <v/>
      </c>
      <c r="BV79" s="102" t="str">
        <f t="shared" si="14"/>
        <v/>
      </c>
      <c r="BW79" s="102" t="str">
        <f t="shared" si="15"/>
        <v/>
      </c>
      <c r="BX79" s="102" t="str">
        <f t="shared" si="16"/>
        <v/>
      </c>
      <c r="BY79" s="102" t="str">
        <f t="shared" si="17"/>
        <v/>
      </c>
      <c r="BZ79" s="107" t="str">
        <f t="shared" si="18"/>
        <v/>
      </c>
      <c r="CA79" s="108" t="str">
        <f t="shared" si="19"/>
        <v/>
      </c>
      <c r="CB79" s="108" t="str">
        <f t="shared" si="20"/>
        <v/>
      </c>
      <c r="CC79" s="109" t="str">
        <f t="shared" si="21"/>
        <v/>
      </c>
      <c r="CD79" s="108" t="str">
        <f t="shared" si="22"/>
        <v/>
      </c>
      <c r="CE79" s="108" t="str">
        <f t="shared" si="23"/>
        <v/>
      </c>
      <c r="CF79" s="109" t="str">
        <f t="shared" si="24"/>
        <v/>
      </c>
      <c r="CG79" s="110" t="str">
        <f t="shared" si="25"/>
        <v/>
      </c>
      <c r="CH79" s="111"/>
    </row>
    <row r="80" spans="1:86" ht="12.75">
      <c r="A80" s="101"/>
      <c r="B80" s="102" t="e">
        <f t="array" aca="1" ref="B80" ca="1">_xludf.XLOOKUP(A80,'QA Log'!D:D,'QA Log'!E:E,"")</f>
        <v>#NAME?</v>
      </c>
      <c r="C80" s="102" t="e">
        <f t="array" aca="1" ref="C80" ca="1">_xludf.XLOOKUP(A80,'QA Log'!D:D,'QA Log'!F:F,"")</f>
        <v>#NAME?</v>
      </c>
      <c r="D80" s="102" t="e">
        <f t="array" aca="1" ref="D80" ca="1">_xludf.XLOOKUP(A80,'QA Log'!D:D,'QA Log'!H:H,"")</f>
        <v>#NAME?</v>
      </c>
      <c r="E80" s="102" t="e">
        <f t="array" aca="1" ref="E80" ca="1">_xludf.XLOOKUP(A80,'QA Log'!D:D,'QA Log'!G:G,"")</f>
        <v>#NAME?</v>
      </c>
      <c r="F80" s="103"/>
      <c r="G80" s="104"/>
      <c r="H80" s="104"/>
      <c r="I80" s="103" t="str">
        <f t="shared" si="0"/>
        <v/>
      </c>
      <c r="J80" s="102" t="str">
        <f>IF(A80="","",SUM(
COUNTIFS('QA Log'!D:D,A80,'QA Log'!M:M,"QQC",'QA Log'!L:L,"*1. General Management*"),
COUNTIFS('QA Log'!D:D,A80,'QA Log'!M:M,"QQC",'QA Log'!L:L,"*3. Curative Consultation (OPD)*"),
COUNTIFS('QA Log'!D:D,A80,'QA Log'!M:M,"QQC",'QA Log'!L:L,"*5. Laboratory*"),
COUNTIFS('QA Log'!D:D,A80,'QA Log'!M:M,"QQC",'QA Log'!L:L,"*6. Essential Medicine Management*"),
COUNTIFS('QA Log'!D:D,A80,'QA Log'!M:M,"QQC",'QA Log'!L:L,"*7. Tracer Medicine*"),
COUNTIFS('QA Log'!D:D,A80,'QA Log'!M:M,"QQC",'QA Log'!L:L,"*11. Additional Questions*")))</f>
        <v/>
      </c>
      <c r="K80" s="102" t="str">
        <f>IF(A80="","",SUM(
COUNTIFS('QA Log'!D:D,A80,'QA Log'!M:M,"QQC",'QA Log'!Z:Z,"Approved",'QA Log'!L:L,"*1. General Management*"),
COUNTIFS('QA Log'!D:D,A80,'QA Log'!M:M,"QQC",'QA Log'!Z:Z,"Approved",'QA Log'!L:L,"*3. Curative Consultation (OPD)*"),
COUNTIFS('QA Log'!D:D,A80,'QA Log'!M:M,"QQC",'QA Log'!Z:Z,"Approved",'QA Log'!L:L,"*5. Laboratory*"),
COUNTIFS('QA Log'!D:D,A80,'QA Log'!M:M,"QQC",'QA Log'!Z:Z,"Approved",'QA Log'!L:L,"*6. Essential Medicine Management*"),
COUNTIFS('QA Log'!D:D,A80,'QA Log'!M:M,"QQC",'QA Log'!Z:Z,"Approved",'QA Log'!L:L,"*7. Tracer Medicine*"),
COUNTIFS('QA Log'!D:D,A80,'QA Log'!M:M,"QQC",'QA Log'!Z:Z,"Approved",'QA Log'!L:L,"*11. Additional Questions*")))</f>
        <v/>
      </c>
      <c r="L80" s="105" t="str">
        <f>IF(A80&lt;&gt;"",COUNTIFS('QA Log'!D:D,A80,'QA Log'!M:M,"QQC",'QA Log'!L:L,"1. General Management",'QA Log'!Z:Z,"Approved"),"")</f>
        <v/>
      </c>
      <c r="M80" s="105" t="str">
        <f>IF(A80&lt;&gt;"",COUNTIFS('QA Log'!D:D,A80,'QA Log'!M:M,"QQC",'QA Log'!L:L,"3. Curative Consultation (OPD)",'QA Log'!Z:Z,"Approved"),"")</f>
        <v/>
      </c>
      <c r="N80" s="105" t="str">
        <f>IF(A80&lt;&gt;"",COUNTIFS('QA Log'!D:D,A80,'QA Log'!M:M,"QQC",'QA Log'!L:L,"5. Laboratory",'QA Log'!Z:Z,"Approved"),"")</f>
        <v/>
      </c>
      <c r="O80" s="105" t="str">
        <f>IF(A80&lt;&gt;"",COUNTIFS('QA Log'!D:D,A80,'QA Log'!M:M,"QQC",'QA Log'!L:L,"6. Essential Medicine Management",'QA Log'!Z:Z,"Approved"),"")</f>
        <v/>
      </c>
      <c r="P80" s="105" t="str">
        <f>IF(A80&lt;&gt;"",COUNTIFS('QA Log'!D:D,A80,'QA Log'!M:M,"QQC",'QA Log'!L:L,"7. Tracer Medicine",'QA Log'!Z:Z,"Approved"),"")</f>
        <v/>
      </c>
      <c r="Q80" s="105" t="str">
        <f>IF(A80&lt;&gt;"",COUNTIFS('QA Log'!D:D,A80,'QA Log'!M:M,"QQC",'QA Log'!L:L,"11. Additional Questions",'QA Log'!Z:Z,"Approved"),"")</f>
        <v/>
      </c>
      <c r="R80" s="102" t="str">
        <f>IF(A80="","",SUM(
COUNTIFS('QA Log'!D:D,A80,'QA Log'!M:M,"QQC",'QA Log'!Z:Z,"Rejected",'QA Log'!L:L,"*8. Maternity*"),
COUNTIFS('QA Log'!D:D,A80,'QA Log'!M:M,"QQC",'QA Log'!Z:Z,"Rejected",'QA Log'!L:L,"*EPI*"),
COUNTIFS('QA Log'!D:D,A80,'QA Log'!M:M,"QQC",'QA Log'!Z:Z,"Rejected",'QA Log'!L:L,"*10. Antenatal Care (ANC)*"),
COUNTIFS('QA Log'!D:D,A80,'QA Log'!M:M,"QQC",'QA Log'!Z:Z,"Rejected",'QA Log'!L:L,"*2. Hygiene and Sterilization*"),
COUNTIFS('QA Log'!D:D,A80,'QA Log'!M:M,"QQC",'QA Log'!Z:Z,"Rejected",'QA Log'!L:L,"*Family Planning*")))</f>
        <v/>
      </c>
      <c r="S80" s="106" t="str">
        <f t="shared" si="1"/>
        <v/>
      </c>
      <c r="T80" s="102" t="str">
        <f t="shared" si="2"/>
        <v/>
      </c>
      <c r="U80" s="102" t="str">
        <f>IF(A80="","",
SUM(
COUNTIFS('QA Log'!D:D,A80,'QA Log'!M:M,"QQC",'QA Log'!L:L,"*8. Maternity*"),
COUNTIFS('QA Log'!D:D,A80,'QA Log'!M:M,"QQC",'QA Log'!L:L,"*9. EPI and Pre-school Consultation*"),
COUNTIFS('QA Log'!D:D,A80,'QA Log'!M:M,"QQC",'QA Log'!L:L,"*10. Antenatal Care (ANC)*"),
COUNTIFS('QA Log'!D:D,A80,'QA Log'!M:M,"QQC",'QA Log'!L:L,"*2. Hygiene and Sterilization*"),
COUNTIFS('QA Log'!D:D,A80,'QA Log'!M:M,"QQC",'QA Log'!L:L,"*4. Family Planning*")
))</f>
        <v/>
      </c>
      <c r="V80" s="102" t="str">
        <f>IF(A80="","",
SUM(
COUNTIFS('QA Log'!D:D,A80,'QA Log'!M:M,"QQC",'QA Log'!Z:Z,"Approved",'QA Log'!L:L,"*8. Maternity*"),
COUNTIFS('QA Log'!D:D,A80,'QA Log'!M:M,"QQC",'QA Log'!Z:Z,"Approved",'QA Log'!L:L,"*9. EPI and Pre-school Consultation*"),
COUNTIFS('QA Log'!D:D,A80,'QA Log'!M:M,"QQC",'QA Log'!Z:Z,"Approved",'QA Log'!L:L,"*10. Antenatal Care (ANC)*"),
COUNTIFS('QA Log'!D:D,A80,'QA Log'!M:M,"QQC",'QA Log'!Z:Z,"Approved",'QA Log'!L:L,"*2. Hygiene and Sterilization*"),
COUNTIFS('QA Log'!D:D,A80,'QA Log'!M:M,"QQC",'QA Log'!Z:Z,"Approved",'QA Log'!L:L,"*4. Family Planning*")
))</f>
        <v/>
      </c>
      <c r="W80" s="105" t="str">
        <f>IF(A80&lt;&gt;"",COUNTIFS('QA Log'!D:D,A80,'QA Log'!M:M,"QQC",'QA Log'!L:L,"8. Maternity",'QA Log'!Z:Z,"Approved"),"")</f>
        <v/>
      </c>
      <c r="X80" s="105" t="str">
        <f>IF(A80&lt;&gt;"",COUNTIFS('QA Log'!D:D,A80,'QA Log'!M:M,"QQC",'QA Log'!L:L,"9. EPI and Pre-school Consultation",'QA Log'!Z:Z,"Approved"),"")</f>
        <v/>
      </c>
      <c r="Y80" s="105" t="str">
        <f>IF(A80&lt;&gt;"",COUNTIFS('QA Log'!D:D,A80,'QA Log'!M:M,"QQC",'QA Log'!L:L,"10. Antenatal Care (ANC)",'QA Log'!Z:Z,"Approved"),"")</f>
        <v/>
      </c>
      <c r="Z80" s="105" t="str">
        <f>IF(A80&lt;&gt;"",COUNTIFS('QA Log'!D:D,A80,'QA Log'!M:M,"QQC",'QA Log'!L:L,"2. Hygiene and Sterilization",'QA Log'!Z:Z,"Approved"),"")</f>
        <v/>
      </c>
      <c r="AA80" s="105" t="str">
        <f>IF(A80&lt;&gt;"",COUNTIFS('QA Log'!D:D,A80,'QA Log'!M:M,"QQC",'QA Log'!L:L,"4. Family Planning",'QA Log'!Z:Z,"Approved"),"")</f>
        <v/>
      </c>
      <c r="AB80" s="102" t="str">
        <f>IF(A80="","",
SUM(
COUNTIFS('QA Log'!D:D,A80,'QA Log'!M:M,"QQC",'QA Log'!Z:Z,"Rejected",'QA Log'!L:L,"*8. Maternity*"),
COUNTIFS('QA Log'!D:D,A80,'QA Log'!M:M,"QQC",'QA Log'!Z:Z,"Rejected",'QA Log'!L:L,"*9. EPI and Pre-school Consultation*"),
COUNTIFS('QA Log'!D:D,A80,'QA Log'!M:M,"QQC",'QA Log'!Z:Z,"Rejected",'QA Log'!L:L,"*10. Antenatal Care (ANC)*"),
COUNTIFS('QA Log'!D:D,A80,'QA Log'!M:M,"QQC",'QA Log'!Z:Z,"Rejected",'QA Log'!L:L,"*2. Hygiene and Sterilization*"),
COUNTIFS('QA Log'!D:D,A80,'QA Log'!M:M,"QQC",'QA Log'!Z:Z,"Rejected",'QA Log'!L:L,"*4. Family Planning*")
))</f>
        <v/>
      </c>
      <c r="AC80" s="102" t="str">
        <f t="shared" si="3"/>
        <v/>
      </c>
      <c r="AD80" s="103" t="str">
        <f t="shared" si="4"/>
        <v/>
      </c>
      <c r="AE80" s="102" t="str">
        <f>IF(A80="","",
SUM(
COUNTIFS('QA Log'!D:D,A80,'QA Log'!M:M,"Data Verification",'QA Log'!L:L,"*Medicine (section 2)*"),
COUNTIFS('QA Log'!D:D,A80,'QA Log'!M:M,"Data Verification",'QA Log'!L:L,"*Lab Testing Availability*"),
COUNTIFS('QA Log'!D:D,A80,'QA Log'!M:M,"Data Verification",'QA Log'!L:L,"*Other than P4P (section 6)*"),
COUNTIFS('QA Log'!D:D,A80,'QA Log'!M:M,"Data Verification",'QA Log'!L:L,"*Hospital Governance*")
))</f>
        <v/>
      </c>
      <c r="AF80" s="102" t="str">
        <f>IF(A80="","",
SUM(
COUNTIFS('QA Log'!D:D,A80,'QA Log'!M:M,"Data Verification",'QA Log'!Z:Z,"Approved",'QA Log'!L:L,"*Medicine (section 2)*"),
COUNTIFS('QA Log'!D:D,A80,'QA Log'!M:M,"Data Verification",'QA Log'!Z:Z,"Approved",'QA Log'!L:L,"*Lab Testing Availability*"),
COUNTIFS('QA Log'!D:D,A80,'QA Log'!M:M,"Data Verification",'QA Log'!Z:Z,"Approved",'QA Log'!L:L,"*Other than P4P (section 6)*"),
COUNTIFS('QA Log'!D:D,A80,'QA Log'!M:M,"Data Verification",'QA Log'!Z:Z,"Approved",'QA Log'!L:L,"*Hospital Governance*")
))</f>
        <v/>
      </c>
      <c r="AG80" s="105" t="str">
        <f>IF(A80&lt;&gt;"",COUNTIFS('QA Log'!D:D,A80,'QA Log'!M:M,"Data Verification",'QA Log'!L:L,"Medicine (section 2)",'QA Log'!Z:Z,"Approved"),"")</f>
        <v/>
      </c>
      <c r="AH80" s="105" t="str">
        <f>IF(A80&lt;&gt;"",COUNTIFS('QA Log'!D:D,A80,'QA Log'!M:M,"Data Verification",'QA Log'!L:L,"Lab Testing Availability",'QA Log'!Z:Z,"Approved"),"")</f>
        <v/>
      </c>
      <c r="AI80" s="105" t="str">
        <f>IF(A80&lt;&gt;"",COUNTIFS('QA Log'!D:D,A80,'QA Log'!M:M,"Data Verification",'QA Log'!L:L,"Other than P4P (section 6)",'QA Log'!Z:Z,"Approved"),"")</f>
        <v/>
      </c>
      <c r="AJ80" s="105" t="str">
        <f>IF(A80&lt;&gt;"",COUNTIFS('QA Log'!D:D,A80,'QA Log'!M:M,"Data Verification",'QA Log'!L:L,"Hospital Governance",'QA Log'!Z:Z,"Approved"),"")</f>
        <v/>
      </c>
      <c r="AK80" s="102" t="str">
        <f>IF(A80="","",
SUM(
COUNTIFS('QA Log'!D:D,A80,'QA Log'!M:M,"Data Verification",'QA Log'!Z:Z,"Rejected",'QA Log'!L:L,"*Medicine (section 2)*"),
COUNTIFS('QA Log'!D:D,A80,'QA Log'!M:M,"Data Verification",'QA Log'!Z:Z,"Rejected",'QA Log'!L:L,"*Lab Testing Availability*"),
COUNTIFS('QA Log'!D:D,A80,'QA Log'!M:M,"Data Verification",'QA Log'!Z:Z,"Rejected",'QA Log'!L:L,"*Other than P4P (section 6)*"),
COUNTIFS('QA Log'!D:D,A80,'QA Log'!M:M,"Data Verification",'QA Log'!Z:Z,"Rejected",'QA Log'!L:L,"*Hospital Governance*")
))</f>
        <v/>
      </c>
      <c r="AL80" s="106" t="str">
        <f t="shared" si="5"/>
        <v/>
      </c>
      <c r="AM80" s="102" t="str">
        <f t="shared" si="6"/>
        <v/>
      </c>
      <c r="AN80" s="102" t="str">
        <f>IF(A80="","",
SUM(
COUNTIFS('QA Log'!D:D,A80,'QA Log'!M:M,"Data Verification",'QA Log'!L:L,"*Personnel (section 1)*"),
COUNTIFS('QA Log'!D:D,A80,'QA Log'!M:M,"Data Verification",'QA Log'!L:L,"*Consumable (section 3)*"),
COUNTIFS('QA Log'!D:D,A80,'QA Log'!M:M,"Data Verification",'QA Log'!L:L,"*Equipments (section 4)*")
))</f>
        <v/>
      </c>
      <c r="AO80" s="102" t="str">
        <f>IF(A80="","",
SUM(
COUNTIFS('QA Log'!D:D,A80,'QA Log'!M:M,"Data Verification",'QA Log'!Z:Z,"Approved",'QA Log'!L:L,"*Personnel (section 1)*"),
COUNTIFS('QA Log'!D:D,A80,'QA Log'!M:M,"Data Verification",'QA Log'!Z:Z,"Approved",'QA Log'!L:L,"*Consumable (section 3)*"),
COUNTIFS('QA Log'!D:D,A80,'QA Log'!M:M,"Data Verification",'QA Log'!Z:Z,"Approved",'QA Log'!L:L,"*Equipments (section 4)*")
))</f>
        <v/>
      </c>
      <c r="AP80" s="105" t="str">
        <f>IF(A80&lt;&gt;"",COUNTIFS('QA Log'!D:D,A80,'QA Log'!M:M,"Data Verification",'QA Log'!L:L,"Personnel (section 1)",'QA Log'!Z:Z,"Approved"),"")</f>
        <v/>
      </c>
      <c r="AQ80" s="105" t="str">
        <f>IF(A80&lt;&gt;"",COUNTIFS('QA Log'!D:D,A80,'QA Log'!M:M,"Data Verification",'QA Log'!L:L,"Consumable (section 3)",'QA Log'!Z:Z,"Approved"),"")</f>
        <v/>
      </c>
      <c r="AR80" s="105" t="str">
        <f>IF(A80&lt;&gt;"",COUNTIFS('QA Log'!D:D,A80,'QA Log'!M:M,"Data Verification",'QA Log'!L:L,"Equipments (section 4)",'QA Log'!Z:Z,"Approved"),"")</f>
        <v/>
      </c>
      <c r="AS80" s="102" t="str">
        <f>IF(A80="","",
SUM(
COUNTIFS('QA Log'!D:D,A80,'QA Log'!M:M,"Data Verification",'QA Log'!Z:Z,"Rejected",'QA Log'!L:L,"*Personnel (section 1)*"),
COUNTIFS('QA Log'!D:D,A80,'QA Log'!M:M,"Data Verification",'QA Log'!Z:Z,"Rejected",'QA Log'!L:L,"*Consumable (section 3)*"),
COUNTIFS('QA Log'!D:D,A80,'QA Log'!M:M,"Data Verification",'QA Log'!Z:Z,"Rejected",'QA Log'!L:L,"*Equipments (section 4)*")
))</f>
        <v/>
      </c>
      <c r="AT80" s="102" t="str">
        <f t="shared" si="7"/>
        <v/>
      </c>
      <c r="AU80" s="103" t="str">
        <f t="shared" si="8"/>
        <v/>
      </c>
      <c r="AV80" s="102" t="str">
        <f>IF(A80="","",SUM(
COUNTIFS('QA Log'!D:D,A80,'QA Log'!M:M,"Vignette",'QA Log'!L:L,"*Vignette [1] Respiratory Infection: Pneumonia*"),
COUNTIFS('QA Log'!D:D,A80,'QA Log'!M:M,"Vignette",'QA Log'!L:L,"*Vignette [2]: Diarrhea with Cat B dehydration*"),
COUNTIFS('QA Log'!D:D,A80,'QA Log'!M:M,"Vignette",'QA Log'!L:L,"*Vignette [3] Growth Monitoring and Promotion*"),
COUNTIFS('QA Log'!D:D,A80,'QA Log'!M:M,"Vignette",'QA Log'!L:L,"*Vignette [4]: The management of presumptive TB patient*")
)
)</f>
        <v/>
      </c>
      <c r="AW80" s="102" t="str">
        <f>IF(
  A80="","",
  SUM(
    COUNTIFS('QA Log'!D:D,A80,'QA Log'!M:M,"Vignette",'QA Log'!Z:Z,"Approved",'QA Log'!L:L,"*Vignette [1] Respiratory Infection: Pneumonia*"),
    COUNTIFS('QA Log'!D:D,A80,'QA Log'!M:M,"Vignette",'QA Log'!Z:Z,"Approved",'QA Log'!L:L,"*Vignette [2]: Diarrhea with Cat B dehydration*"),
    COUNTIFS('QA Log'!D:D,A80,'QA Log'!M:M,"Vignette",'QA Log'!Z:Z,"Approved",'QA Log'!L:L,"*Vignette [3] Growth Monitoring and Promotion*"),
    COUNTIFS('QA Log'!D:D,A80,'QA Log'!M:M,"Vignette",'QA Log'!Z:Z,"Approved",'QA Log'!L:L,"*Vignette [4]: The management of presumptive TB patient*")
  )
)</f>
        <v/>
      </c>
      <c r="AX80" s="105" t="str">
        <f>IF(A80&lt;&gt;"",COUNTIFS('QA Log'!D:D,A80,'QA Log'!M:M,"Vignette",'QA Log'!L:L,"Vignette [1] Respiratory Infection: Pneumonia",'QA Log'!Z:Z,"Approved"),"")</f>
        <v/>
      </c>
      <c r="AY80" s="105" t="str">
        <f>IF(A80&lt;&gt;"",COUNTIFS('QA Log'!D:D,A80,'QA Log'!M:M,"Vignette",'QA Log'!L:L,"Vignette [2]: Diarrhea with Cat B dehydration",'QA Log'!Z:Z,"Approved"),"")</f>
        <v/>
      </c>
      <c r="AZ80" s="105" t="str">
        <f>IF(A80&lt;&gt;"",COUNTIFS('QA Log'!D:D,A80,'QA Log'!M:M,"Vignette",'QA Log'!L:L,"Vignette [3] Growth Monitoring and Promotion",'QA Log'!Z:Z,"Approved"),"")</f>
        <v/>
      </c>
      <c r="BA80" s="105" t="str">
        <f>IF(A80&lt;&gt;"",COUNTIFS('QA Log'!D:D,A80,'QA Log'!M:M,"Vignette",'QA Log'!L:L,"Vignette [4]: The management of presumptive TB patient",'QA Log'!Z:Z,"Approved"),"")</f>
        <v/>
      </c>
      <c r="BB80" s="102" t="str">
        <f>IF(A80="","",
  SUM(
    COUNTIFS('QA Log'!D:D,A80,'QA Log'!M:M,"Vignette",'QA Log'!Z:Z,"Rejected",'QA Log'!L:L,"*Vignette [1] Respiratory Infection: Pneumonia*"),
    COUNTIFS('QA Log'!D:D,A80,'QA Log'!M:M,"Vignette",'QA Log'!Z:Z,"Rejected",'QA Log'!L:L,"*Vignette [2]: Diarrhea with Cat B dehydration*"),
    COUNTIFS('QA Log'!D:D,A80,'QA Log'!M:M,"Vignette",'QA Log'!Z:Z,"Rejected",'QA Log'!L:L,"*Vignette [3] Growth Monitoring and Promotion*"),
    COUNTIFS('QA Log'!D:D,A80,'QA Log'!M:M,"Vignette",'QA Log'!Z:Z,"Rejected",'QA Log'!L:L,"*Vignette [4]: The management of presumptive TB patient*")
  )
)</f>
        <v/>
      </c>
      <c r="BC80" s="107" t="str">
        <f t="shared" si="9"/>
        <v/>
      </c>
      <c r="BD80" s="103" t="str">
        <f t="shared" si="10"/>
        <v/>
      </c>
      <c r="BE80" s="102" t="str">
        <f>IF(A80="","",SUM(
COUNTIFS('QA Log'!D:D,A80,'QA Log'!M:M,"Vignette",'QA Log'!L:L,"*Vignette [5] Labor*"),
COUNTIFS('QA Log'!D:D,A80,'QA Log'!M:M,"Vignette",'QA Log'!L:L,"*Vignette [6] PNC pre Discharge*"),
COUNTIFS('QA Log'!D:D,A80,'QA Log'!M:M,"Vignette",'QA Log'!L:L,"*Vignette [7] First ANC Visit*"),
COUNTIFS('QA Log'!D:D,A80,'QA Log'!M:M,"Vignette",'QA Log'!L:L,"*Vignette [8] Birth Spacing/ Family Planning :  FP Counselling*"),
COUNTIFS('QA Log'!D:D,A80,'QA Log'!M:M,"Vignette",'QA Log'!L:L,"*Vignette [9] Birth Spacing: Change FP method to Injectable*"),
COUNTIFS('QA Log'!D:D,A80,'QA Log'!M:M,"Vignette",'QA Log'!L:L,"*Vignette [10] Post Partum Haemorrhage - Atonic Uterus at Health Centre*"),
)
)</f>
        <v/>
      </c>
      <c r="BF80" s="102" t="str">
        <f>IF(A80="","",
  SUM(
    COUNTIFS('QA Log'!D:D,A80,'QA Log'!M:M,"Vignette",'QA Log'!Z:Z,"Approved",'QA Log'!L:L,"*Vignette [5] Labor*"),
    COUNTIFS('QA Log'!D:D,A80,'QA Log'!M:M,"Vignette",'QA Log'!Z:Z,"Approved",'QA Log'!L:L,"*Vignette [6] PNC pre Discharge*"),
    COUNTIFS('QA Log'!D:D,A80,'QA Log'!M:M,"Vignette",'QA Log'!Z:Z,"Approved",'QA Log'!L:L,"*Vignette [7] First ANC Visit*"),
    COUNTIFS('QA Log'!D:D,A80,'QA Log'!M:M,"Vignette",'QA Log'!Z:Z,"Approved",'QA Log'!L:L,"*Vignette [8] Birth Spacing/ Family Planning :  FP Counselling*"),
    COUNTIFS('QA Log'!D:D,A80,'QA Log'!M:M,"Vignette",'QA Log'!Z:Z,"Approved",'QA Log'!L:L,"*Vignette [9] Birth Spacing: Change FP method to Injectable*"),
    COUNTIFS('QA Log'!D:D,A80,'QA Log'!M:M,"Vignette",'QA Log'!Z:Z,"Approved",'QA Log'!L:L,"*Vignette [10] Post Partum Haemorrhage - Atonic Uterus at Health Centre*")
  )
)</f>
        <v/>
      </c>
      <c r="BG80" s="105" t="str">
        <f>IF(A80&lt;&gt;"",COUNTIFS('QA Log'!D:D,A80,'QA Log'!M:M,"Vignette",'QA Log'!L:L,"Vignette [5] Labor",'QA Log'!Z:Z,"Approved"),"")</f>
        <v/>
      </c>
      <c r="BH80" s="105" t="str">
        <f>IF(A80&lt;&gt;"",COUNTIFS('QA Log'!D:D,A80,'QA Log'!M:M,"Vignette",'QA Log'!L:L,"Vignette [6] PNC pre Discharge",'QA Log'!Z:Z,"Approved"),"")</f>
        <v/>
      </c>
      <c r="BI80" s="105" t="str">
        <f>IF(A80&lt;&gt;"",COUNTIFS('QA Log'!D:D,A80,'QA Log'!M:M,"Vignette",'QA Log'!L:L,"Vignette [7] First ANC Visit",'QA Log'!Z:Z,"Approved"),"")</f>
        <v/>
      </c>
      <c r="BJ80" s="105" t="str">
        <f>IF(A80&lt;&gt;"",COUNTIFS('QA Log'!D:D,A80,'QA Log'!M:M,"Vignette",'QA Log'!L:L,"Vignette [8] Birth Spacing/ Family Planning :  FP Counselling",'QA Log'!Z:Z,"Approved"),"")</f>
        <v/>
      </c>
      <c r="BK80" s="105" t="str">
        <f>IF(A80&lt;&gt;"",COUNTIFS('QA Log'!D:D,A80,'QA Log'!M:M,"Vignette",'QA Log'!L:L,"Vignette [9] Birth Spacing: Change FP method to Injectable",'QA Log'!Z:Z,"Approved"),"")</f>
        <v/>
      </c>
      <c r="BL80" s="105" t="str">
        <f>IF(A80&lt;&gt;"",COUNTIFS('QA Log'!D:D,A80,'QA Log'!M:M,"Vignette",'QA Log'!L:L,"Vignette [10] Post Partum Haemorrhage - Atonic Uterus at Health Centre",'QA Log'!Z:Z,"Approved"),"")</f>
        <v/>
      </c>
      <c r="BM80" s="102" t="str">
        <f>IF(A80="","",SUM(
    COUNTIFS('QA Log'!D:D,A80,'QA Log'!M:M,"Vignette",'QA Log'!Z:Z,"Rejected",'QA Log'!L:L,"*Vignette [5] Labor*"),
    COUNTIFS('QA Log'!D:D,A80,'QA Log'!M:M,"Vignette",'QA Log'!Z:Z,"Rejected",'QA Log'!L:L,"*Vignette [6] PNC pre Discharge*"),
    COUNTIFS('QA Log'!D:D,A80,'QA Log'!M:M,"Vignette",'QA Log'!Z:Z,"Rejected",'QA Log'!L:L,"*Vignette [7] First ANC Visit*"),
    COUNTIFS('QA Log'!D:D,A80,'QA Log'!M:M,"Vignette",'QA Log'!Z:Z,"Rejected",'QA Log'!L:L,"*Vignette [8] Birth Spacing/ Family Planning :  FP Counselling*"),
    COUNTIFS('QA Log'!D:D,A80,'QA Log'!M:M,"Vignette",'QA Log'!Z:Z,"Rejected",'QA Log'!L:L,"*Vignette [9] Birth Spacing: Change FP method to Injectable*"),
    COUNTIFS('QA Log'!D:D,A80,'QA Log'!M:M,"Vignette",'QA Log'!Z:Z,"Rejected",'QA Log'!L:L,"*Vignette [10] Post Partum Haemorrhage - Atonic Uterus at Health Centre*")
  )
)</f>
        <v/>
      </c>
      <c r="BN80" s="107" t="str">
        <f t="shared" si="11"/>
        <v/>
      </c>
      <c r="BO80" s="103" t="str">
        <f t="shared" si="12"/>
        <v/>
      </c>
      <c r="BP80" s="102" t="str">
        <f>IF(A80="","",SUM(
COUNTIFS('QA Log'!D:D,A80,'QA Log'!M:M,"Vignette",'QA Log'!L:L,"*Exit Interview 1*"),
COUNTIFS('QA Log'!D:D,A80,'QA Log'!M:M,"Vignette",'QA Log'!L:L,"*Exit Interview 2*"),
)
)</f>
        <v/>
      </c>
      <c r="BQ80" s="102" t="str">
        <f>IF(
  A80="","",
  SUM(
    COUNTIFS('QA Log'!D:D,A80,'QA Log'!M:M,"Vignette",'QA Log'!Z:Z,"Approved",'QA Log'!L:L,"*Exit Interview 1*"),
    COUNTIFS('QA Log'!D:D,A80,'QA Log'!M:M,"Vignette",'QA Log'!Z:Z,"Approved",'QA Log'!L:L,"*Exit Interview 2*")
  )
)</f>
        <v/>
      </c>
      <c r="BR80" s="105" t="str">
        <f>IF(A80&lt;&gt;"",COUNTIFS('QA Log'!D:D,A80,'QA Log'!M:M,"Vignette",'QA Log'!L:L,"Exit Interview 1",'QA Log'!Z:Z,"Approved"),"")</f>
        <v/>
      </c>
      <c r="BS80" s="105" t="str">
        <f>IF(A80&lt;&gt;"",COUNTIFS('QA Log'!D:D,A80,'QA Log'!M:M,"Vignette",'QA Log'!L:L,"Exit Interview 2",'QA Log'!Z:Z,"Approved"),"")</f>
        <v/>
      </c>
      <c r="BT80" s="102" t="str">
        <f>IF(
  A80="","",
  SUM(
    COUNTIFS('QA Log'!D:D,A80,'QA Log'!M:M,"Vignette",'QA Log'!Z:Z,"Rejected",'QA Log'!L:L,"*Exit Interview 1*"),
    COUNTIFS('QA Log'!D:D,A80,'QA Log'!M:M,"Vignette",'QA Log'!Z:Z,"Rejected",'QA Log'!L:L,"*Exit Interview 2*")
  )
)</f>
        <v/>
      </c>
      <c r="BU80" s="107" t="str">
        <f t="shared" si="13"/>
        <v/>
      </c>
      <c r="BV80" s="102" t="str">
        <f t="shared" si="14"/>
        <v/>
      </c>
      <c r="BW80" s="102" t="str">
        <f t="shared" si="15"/>
        <v/>
      </c>
      <c r="BX80" s="102" t="str">
        <f t="shared" si="16"/>
        <v/>
      </c>
      <c r="BY80" s="102" t="str">
        <f t="shared" si="17"/>
        <v/>
      </c>
      <c r="BZ80" s="107" t="str">
        <f t="shared" si="18"/>
        <v/>
      </c>
      <c r="CA80" s="108" t="str">
        <f t="shared" si="19"/>
        <v/>
      </c>
      <c r="CB80" s="108" t="str">
        <f t="shared" si="20"/>
        <v/>
      </c>
      <c r="CC80" s="109" t="str">
        <f t="shared" si="21"/>
        <v/>
      </c>
      <c r="CD80" s="108" t="str">
        <f t="shared" si="22"/>
        <v/>
      </c>
      <c r="CE80" s="108" t="str">
        <f t="shared" si="23"/>
        <v/>
      </c>
      <c r="CF80" s="109" t="str">
        <f t="shared" si="24"/>
        <v/>
      </c>
      <c r="CG80" s="110" t="str">
        <f t="shared" si="25"/>
        <v/>
      </c>
      <c r="CH80" s="111"/>
    </row>
    <row r="81" spans="1:86" ht="12.75">
      <c r="A81" s="101"/>
      <c r="B81" s="102" t="e">
        <f t="array" aca="1" ref="B81" ca="1">_xludf.XLOOKUP(A81,'QA Log'!D:D,'QA Log'!E:E,"")</f>
        <v>#NAME?</v>
      </c>
      <c r="C81" s="102" t="e">
        <f t="array" aca="1" ref="C81" ca="1">_xludf.XLOOKUP(A81,'QA Log'!D:D,'QA Log'!F:F,"")</f>
        <v>#NAME?</v>
      </c>
      <c r="D81" s="102" t="e">
        <f t="array" aca="1" ref="D81" ca="1">_xludf.XLOOKUP(A81,'QA Log'!D:D,'QA Log'!H:H,"")</f>
        <v>#NAME?</v>
      </c>
      <c r="E81" s="102" t="e">
        <f t="array" aca="1" ref="E81" ca="1">_xludf.XLOOKUP(A81,'QA Log'!D:D,'QA Log'!G:G,"")</f>
        <v>#NAME?</v>
      </c>
      <c r="F81" s="103"/>
      <c r="G81" s="104"/>
      <c r="H81" s="104"/>
      <c r="I81" s="103" t="str">
        <f t="shared" si="0"/>
        <v/>
      </c>
      <c r="J81" s="102" t="str">
        <f>IF(A81="","",SUM(
COUNTIFS('QA Log'!D:D,A81,'QA Log'!M:M,"QQC",'QA Log'!L:L,"*1. General Management*"),
COUNTIFS('QA Log'!D:D,A81,'QA Log'!M:M,"QQC",'QA Log'!L:L,"*3. Curative Consultation (OPD)*"),
COUNTIFS('QA Log'!D:D,A81,'QA Log'!M:M,"QQC",'QA Log'!L:L,"*5. Laboratory*"),
COUNTIFS('QA Log'!D:D,A81,'QA Log'!M:M,"QQC",'QA Log'!L:L,"*6. Essential Medicine Management*"),
COUNTIFS('QA Log'!D:D,A81,'QA Log'!M:M,"QQC",'QA Log'!L:L,"*7. Tracer Medicine*"),
COUNTIFS('QA Log'!D:D,A81,'QA Log'!M:M,"QQC",'QA Log'!L:L,"*11. Additional Questions*")))</f>
        <v/>
      </c>
      <c r="K81" s="102" t="str">
        <f>IF(A81="","",SUM(
COUNTIFS('QA Log'!D:D,A81,'QA Log'!M:M,"QQC",'QA Log'!Z:Z,"Approved",'QA Log'!L:L,"*1. General Management*"),
COUNTIFS('QA Log'!D:D,A81,'QA Log'!M:M,"QQC",'QA Log'!Z:Z,"Approved",'QA Log'!L:L,"*3. Curative Consultation (OPD)*"),
COUNTIFS('QA Log'!D:D,A81,'QA Log'!M:M,"QQC",'QA Log'!Z:Z,"Approved",'QA Log'!L:L,"*5. Laboratory*"),
COUNTIFS('QA Log'!D:D,A81,'QA Log'!M:M,"QQC",'QA Log'!Z:Z,"Approved",'QA Log'!L:L,"*6. Essential Medicine Management*"),
COUNTIFS('QA Log'!D:D,A81,'QA Log'!M:M,"QQC",'QA Log'!Z:Z,"Approved",'QA Log'!L:L,"*7. Tracer Medicine*"),
COUNTIFS('QA Log'!D:D,A81,'QA Log'!M:M,"QQC",'QA Log'!Z:Z,"Approved",'QA Log'!L:L,"*11. Additional Questions*")))</f>
        <v/>
      </c>
      <c r="L81" s="105" t="str">
        <f>IF(A81&lt;&gt;"",COUNTIFS('QA Log'!D:D,A81,'QA Log'!M:M,"QQC",'QA Log'!L:L,"1. General Management",'QA Log'!Z:Z,"Approved"),"")</f>
        <v/>
      </c>
      <c r="M81" s="105" t="str">
        <f>IF(A81&lt;&gt;"",COUNTIFS('QA Log'!D:D,A81,'QA Log'!M:M,"QQC",'QA Log'!L:L,"3. Curative Consultation (OPD)",'QA Log'!Z:Z,"Approved"),"")</f>
        <v/>
      </c>
      <c r="N81" s="105" t="str">
        <f>IF(A81&lt;&gt;"",COUNTIFS('QA Log'!D:D,A81,'QA Log'!M:M,"QQC",'QA Log'!L:L,"5. Laboratory",'QA Log'!Z:Z,"Approved"),"")</f>
        <v/>
      </c>
      <c r="O81" s="105" t="str">
        <f>IF(A81&lt;&gt;"",COUNTIFS('QA Log'!D:D,A81,'QA Log'!M:M,"QQC",'QA Log'!L:L,"6. Essential Medicine Management",'QA Log'!Z:Z,"Approved"),"")</f>
        <v/>
      </c>
      <c r="P81" s="105" t="str">
        <f>IF(A81&lt;&gt;"",COUNTIFS('QA Log'!D:D,A81,'QA Log'!M:M,"QQC",'QA Log'!L:L,"7. Tracer Medicine",'QA Log'!Z:Z,"Approved"),"")</f>
        <v/>
      </c>
      <c r="Q81" s="105" t="str">
        <f>IF(A81&lt;&gt;"",COUNTIFS('QA Log'!D:D,A81,'QA Log'!M:M,"QQC",'QA Log'!L:L,"11. Additional Questions",'QA Log'!Z:Z,"Approved"),"")</f>
        <v/>
      </c>
      <c r="R81" s="102" t="str">
        <f>IF(A81="","",SUM(
COUNTIFS('QA Log'!D:D,A81,'QA Log'!M:M,"QQC",'QA Log'!Z:Z,"Rejected",'QA Log'!L:L,"*8. Maternity*"),
COUNTIFS('QA Log'!D:D,A81,'QA Log'!M:M,"QQC",'QA Log'!Z:Z,"Rejected",'QA Log'!L:L,"*EPI*"),
COUNTIFS('QA Log'!D:D,A81,'QA Log'!M:M,"QQC",'QA Log'!Z:Z,"Rejected",'QA Log'!L:L,"*10. Antenatal Care (ANC)*"),
COUNTIFS('QA Log'!D:D,A81,'QA Log'!M:M,"QQC",'QA Log'!Z:Z,"Rejected",'QA Log'!L:L,"*2. Hygiene and Sterilization*"),
COUNTIFS('QA Log'!D:D,A81,'QA Log'!M:M,"QQC",'QA Log'!Z:Z,"Rejected",'QA Log'!L:L,"*Family Planning*")))</f>
        <v/>
      </c>
      <c r="S81" s="106" t="str">
        <f t="shared" si="1"/>
        <v/>
      </c>
      <c r="T81" s="102" t="str">
        <f t="shared" si="2"/>
        <v/>
      </c>
      <c r="U81" s="102" t="str">
        <f>IF(A81="","",
SUM(
COUNTIFS('QA Log'!D:D,A81,'QA Log'!M:M,"QQC",'QA Log'!L:L,"*8. Maternity*"),
COUNTIFS('QA Log'!D:D,A81,'QA Log'!M:M,"QQC",'QA Log'!L:L,"*9. EPI and Pre-school Consultation*"),
COUNTIFS('QA Log'!D:D,A81,'QA Log'!M:M,"QQC",'QA Log'!L:L,"*10. Antenatal Care (ANC)*"),
COUNTIFS('QA Log'!D:D,A81,'QA Log'!M:M,"QQC",'QA Log'!L:L,"*2. Hygiene and Sterilization*"),
COUNTIFS('QA Log'!D:D,A81,'QA Log'!M:M,"QQC",'QA Log'!L:L,"*4. Family Planning*")
))</f>
        <v/>
      </c>
      <c r="V81" s="102" t="str">
        <f>IF(A81="","",
SUM(
COUNTIFS('QA Log'!D:D,A81,'QA Log'!M:M,"QQC",'QA Log'!Z:Z,"Approved",'QA Log'!L:L,"*8. Maternity*"),
COUNTIFS('QA Log'!D:D,A81,'QA Log'!M:M,"QQC",'QA Log'!Z:Z,"Approved",'QA Log'!L:L,"*9. EPI and Pre-school Consultation*"),
COUNTIFS('QA Log'!D:D,A81,'QA Log'!M:M,"QQC",'QA Log'!Z:Z,"Approved",'QA Log'!L:L,"*10. Antenatal Care (ANC)*"),
COUNTIFS('QA Log'!D:D,A81,'QA Log'!M:M,"QQC",'QA Log'!Z:Z,"Approved",'QA Log'!L:L,"*2. Hygiene and Sterilization*"),
COUNTIFS('QA Log'!D:D,A81,'QA Log'!M:M,"QQC",'QA Log'!Z:Z,"Approved",'QA Log'!L:L,"*4. Family Planning*")
))</f>
        <v/>
      </c>
      <c r="W81" s="105" t="str">
        <f>IF(A81&lt;&gt;"",COUNTIFS('QA Log'!D:D,A81,'QA Log'!M:M,"QQC",'QA Log'!L:L,"8. Maternity",'QA Log'!Z:Z,"Approved"),"")</f>
        <v/>
      </c>
      <c r="X81" s="105" t="str">
        <f>IF(A81&lt;&gt;"",COUNTIFS('QA Log'!D:D,A81,'QA Log'!M:M,"QQC",'QA Log'!L:L,"9. EPI and Pre-school Consultation",'QA Log'!Z:Z,"Approved"),"")</f>
        <v/>
      </c>
      <c r="Y81" s="105" t="str">
        <f>IF(A81&lt;&gt;"",COUNTIFS('QA Log'!D:D,A81,'QA Log'!M:M,"QQC",'QA Log'!L:L,"10. Antenatal Care (ANC)",'QA Log'!Z:Z,"Approved"),"")</f>
        <v/>
      </c>
      <c r="Z81" s="105" t="str">
        <f>IF(A81&lt;&gt;"",COUNTIFS('QA Log'!D:D,A81,'QA Log'!M:M,"QQC",'QA Log'!L:L,"2. Hygiene and Sterilization",'QA Log'!Z:Z,"Approved"),"")</f>
        <v/>
      </c>
      <c r="AA81" s="105" t="str">
        <f>IF(A81&lt;&gt;"",COUNTIFS('QA Log'!D:D,A81,'QA Log'!M:M,"QQC",'QA Log'!L:L,"4. Family Planning",'QA Log'!Z:Z,"Approved"),"")</f>
        <v/>
      </c>
      <c r="AB81" s="102" t="str">
        <f>IF(A81="","",
SUM(
COUNTIFS('QA Log'!D:D,A81,'QA Log'!M:M,"QQC",'QA Log'!Z:Z,"Rejected",'QA Log'!L:L,"*8. Maternity*"),
COUNTIFS('QA Log'!D:D,A81,'QA Log'!M:M,"QQC",'QA Log'!Z:Z,"Rejected",'QA Log'!L:L,"*9. EPI and Pre-school Consultation*"),
COUNTIFS('QA Log'!D:D,A81,'QA Log'!M:M,"QQC",'QA Log'!Z:Z,"Rejected",'QA Log'!L:L,"*10. Antenatal Care (ANC)*"),
COUNTIFS('QA Log'!D:D,A81,'QA Log'!M:M,"QQC",'QA Log'!Z:Z,"Rejected",'QA Log'!L:L,"*2. Hygiene and Sterilization*"),
COUNTIFS('QA Log'!D:D,A81,'QA Log'!M:M,"QQC",'QA Log'!Z:Z,"Rejected",'QA Log'!L:L,"*4. Family Planning*")
))</f>
        <v/>
      </c>
      <c r="AC81" s="102" t="str">
        <f t="shared" si="3"/>
        <v/>
      </c>
      <c r="AD81" s="103" t="str">
        <f t="shared" si="4"/>
        <v/>
      </c>
      <c r="AE81" s="102" t="str">
        <f>IF(A81="","",
SUM(
COUNTIFS('QA Log'!D:D,A81,'QA Log'!M:M,"Data Verification",'QA Log'!L:L,"*Medicine (section 2)*"),
COUNTIFS('QA Log'!D:D,A81,'QA Log'!M:M,"Data Verification",'QA Log'!L:L,"*Lab Testing Availability*"),
COUNTIFS('QA Log'!D:D,A81,'QA Log'!M:M,"Data Verification",'QA Log'!L:L,"*Other than P4P (section 6)*"),
COUNTIFS('QA Log'!D:D,A81,'QA Log'!M:M,"Data Verification",'QA Log'!L:L,"*Hospital Governance*")
))</f>
        <v/>
      </c>
      <c r="AF81" s="102" t="str">
        <f>IF(A81="","",
SUM(
COUNTIFS('QA Log'!D:D,A81,'QA Log'!M:M,"Data Verification",'QA Log'!Z:Z,"Approved",'QA Log'!L:L,"*Medicine (section 2)*"),
COUNTIFS('QA Log'!D:D,A81,'QA Log'!M:M,"Data Verification",'QA Log'!Z:Z,"Approved",'QA Log'!L:L,"*Lab Testing Availability*"),
COUNTIFS('QA Log'!D:D,A81,'QA Log'!M:M,"Data Verification",'QA Log'!Z:Z,"Approved",'QA Log'!L:L,"*Other than P4P (section 6)*"),
COUNTIFS('QA Log'!D:D,A81,'QA Log'!M:M,"Data Verification",'QA Log'!Z:Z,"Approved",'QA Log'!L:L,"*Hospital Governance*")
))</f>
        <v/>
      </c>
      <c r="AG81" s="105" t="str">
        <f>IF(A81&lt;&gt;"",COUNTIFS('QA Log'!D:D,A81,'QA Log'!M:M,"Data Verification",'QA Log'!L:L,"Medicine (section 2)",'QA Log'!Z:Z,"Approved"),"")</f>
        <v/>
      </c>
      <c r="AH81" s="105" t="str">
        <f>IF(A81&lt;&gt;"",COUNTIFS('QA Log'!D:D,A81,'QA Log'!M:M,"Data Verification",'QA Log'!L:L,"Lab Testing Availability",'QA Log'!Z:Z,"Approved"),"")</f>
        <v/>
      </c>
      <c r="AI81" s="105" t="str">
        <f>IF(A81&lt;&gt;"",COUNTIFS('QA Log'!D:D,A81,'QA Log'!M:M,"Data Verification",'QA Log'!L:L,"Other than P4P (section 6)",'QA Log'!Z:Z,"Approved"),"")</f>
        <v/>
      </c>
      <c r="AJ81" s="105" t="str">
        <f>IF(A81&lt;&gt;"",COUNTIFS('QA Log'!D:D,A81,'QA Log'!M:M,"Data Verification",'QA Log'!L:L,"Hospital Governance",'QA Log'!Z:Z,"Approved"),"")</f>
        <v/>
      </c>
      <c r="AK81" s="102" t="str">
        <f>IF(A81="","",
SUM(
COUNTIFS('QA Log'!D:D,A81,'QA Log'!M:M,"Data Verification",'QA Log'!Z:Z,"Rejected",'QA Log'!L:L,"*Medicine (section 2)*"),
COUNTIFS('QA Log'!D:D,A81,'QA Log'!M:M,"Data Verification",'QA Log'!Z:Z,"Rejected",'QA Log'!L:L,"*Lab Testing Availability*"),
COUNTIFS('QA Log'!D:D,A81,'QA Log'!M:M,"Data Verification",'QA Log'!Z:Z,"Rejected",'QA Log'!L:L,"*Other than P4P (section 6)*"),
COUNTIFS('QA Log'!D:D,A81,'QA Log'!M:M,"Data Verification",'QA Log'!Z:Z,"Rejected",'QA Log'!L:L,"*Hospital Governance*")
))</f>
        <v/>
      </c>
      <c r="AL81" s="106" t="str">
        <f t="shared" si="5"/>
        <v/>
      </c>
      <c r="AM81" s="102" t="str">
        <f t="shared" si="6"/>
        <v/>
      </c>
      <c r="AN81" s="102" t="str">
        <f>IF(A81="","",
SUM(
COUNTIFS('QA Log'!D:D,A81,'QA Log'!M:M,"Data Verification",'QA Log'!L:L,"*Personnel (section 1)*"),
COUNTIFS('QA Log'!D:D,A81,'QA Log'!M:M,"Data Verification",'QA Log'!L:L,"*Consumable (section 3)*"),
COUNTIFS('QA Log'!D:D,A81,'QA Log'!M:M,"Data Verification",'QA Log'!L:L,"*Equipments (section 4)*")
))</f>
        <v/>
      </c>
      <c r="AO81" s="102" t="str">
        <f>IF(A81="","",
SUM(
COUNTIFS('QA Log'!D:D,A81,'QA Log'!M:M,"Data Verification",'QA Log'!Z:Z,"Approved",'QA Log'!L:L,"*Personnel (section 1)*"),
COUNTIFS('QA Log'!D:D,A81,'QA Log'!M:M,"Data Verification",'QA Log'!Z:Z,"Approved",'QA Log'!L:L,"*Consumable (section 3)*"),
COUNTIFS('QA Log'!D:D,A81,'QA Log'!M:M,"Data Verification",'QA Log'!Z:Z,"Approved",'QA Log'!L:L,"*Equipments (section 4)*")
))</f>
        <v/>
      </c>
      <c r="AP81" s="105" t="str">
        <f>IF(A81&lt;&gt;"",COUNTIFS('QA Log'!D:D,A81,'QA Log'!M:M,"Data Verification",'QA Log'!L:L,"Personnel (section 1)",'QA Log'!Z:Z,"Approved"),"")</f>
        <v/>
      </c>
      <c r="AQ81" s="105" t="str">
        <f>IF(A81&lt;&gt;"",COUNTIFS('QA Log'!D:D,A81,'QA Log'!M:M,"Data Verification",'QA Log'!L:L,"Consumable (section 3)",'QA Log'!Z:Z,"Approved"),"")</f>
        <v/>
      </c>
      <c r="AR81" s="105" t="str">
        <f>IF(A81&lt;&gt;"",COUNTIFS('QA Log'!D:D,A81,'QA Log'!M:M,"Data Verification",'QA Log'!L:L,"Equipments (section 4)",'QA Log'!Z:Z,"Approved"),"")</f>
        <v/>
      </c>
      <c r="AS81" s="102" t="str">
        <f>IF(A81="","",
SUM(
COUNTIFS('QA Log'!D:D,A81,'QA Log'!M:M,"Data Verification",'QA Log'!Z:Z,"Rejected",'QA Log'!L:L,"*Personnel (section 1)*"),
COUNTIFS('QA Log'!D:D,A81,'QA Log'!M:M,"Data Verification",'QA Log'!Z:Z,"Rejected",'QA Log'!L:L,"*Consumable (section 3)*"),
COUNTIFS('QA Log'!D:D,A81,'QA Log'!M:M,"Data Verification",'QA Log'!Z:Z,"Rejected",'QA Log'!L:L,"*Equipments (section 4)*")
))</f>
        <v/>
      </c>
      <c r="AT81" s="102" t="str">
        <f t="shared" si="7"/>
        <v/>
      </c>
      <c r="AU81" s="103" t="str">
        <f t="shared" si="8"/>
        <v/>
      </c>
      <c r="AV81" s="102" t="str">
        <f>IF(A81="","",SUM(
COUNTIFS('QA Log'!D:D,A81,'QA Log'!M:M,"Vignette",'QA Log'!L:L,"*Vignette [1] Respiratory Infection: Pneumonia*"),
COUNTIFS('QA Log'!D:D,A81,'QA Log'!M:M,"Vignette",'QA Log'!L:L,"*Vignette [2]: Diarrhea with Cat B dehydration*"),
COUNTIFS('QA Log'!D:D,A81,'QA Log'!M:M,"Vignette",'QA Log'!L:L,"*Vignette [3] Growth Monitoring and Promotion*"),
COUNTIFS('QA Log'!D:D,A81,'QA Log'!M:M,"Vignette",'QA Log'!L:L,"*Vignette [4]: The management of presumptive TB patient*")
)
)</f>
        <v/>
      </c>
      <c r="AW81" s="102" t="str">
        <f>IF(
  A81="","",
  SUM(
    COUNTIFS('QA Log'!D:D,A81,'QA Log'!M:M,"Vignette",'QA Log'!Z:Z,"Approved",'QA Log'!L:L,"*Vignette [1] Respiratory Infection: Pneumonia*"),
    COUNTIFS('QA Log'!D:D,A81,'QA Log'!M:M,"Vignette",'QA Log'!Z:Z,"Approved",'QA Log'!L:L,"*Vignette [2]: Diarrhea with Cat B dehydration*"),
    COUNTIFS('QA Log'!D:D,A81,'QA Log'!M:M,"Vignette",'QA Log'!Z:Z,"Approved",'QA Log'!L:L,"*Vignette [3] Growth Monitoring and Promotion*"),
    COUNTIFS('QA Log'!D:D,A81,'QA Log'!M:M,"Vignette",'QA Log'!Z:Z,"Approved",'QA Log'!L:L,"*Vignette [4]: The management of presumptive TB patient*")
  )
)</f>
        <v/>
      </c>
      <c r="AX81" s="105" t="str">
        <f>IF(A81&lt;&gt;"",COUNTIFS('QA Log'!D:D,A81,'QA Log'!M:M,"Vignette",'QA Log'!L:L,"Vignette [1] Respiratory Infection: Pneumonia",'QA Log'!Z:Z,"Approved"),"")</f>
        <v/>
      </c>
      <c r="AY81" s="105" t="str">
        <f>IF(A81&lt;&gt;"",COUNTIFS('QA Log'!D:D,A81,'QA Log'!M:M,"Vignette",'QA Log'!L:L,"Vignette [2]: Diarrhea with Cat B dehydration",'QA Log'!Z:Z,"Approved"),"")</f>
        <v/>
      </c>
      <c r="AZ81" s="105" t="str">
        <f>IF(A81&lt;&gt;"",COUNTIFS('QA Log'!D:D,A81,'QA Log'!M:M,"Vignette",'QA Log'!L:L,"Vignette [3] Growth Monitoring and Promotion",'QA Log'!Z:Z,"Approved"),"")</f>
        <v/>
      </c>
      <c r="BA81" s="105" t="str">
        <f>IF(A81&lt;&gt;"",COUNTIFS('QA Log'!D:D,A81,'QA Log'!M:M,"Vignette",'QA Log'!L:L,"Vignette [4]: The management of presumptive TB patient",'QA Log'!Z:Z,"Approved"),"")</f>
        <v/>
      </c>
      <c r="BB81" s="102" t="str">
        <f>IF(A81="","",
  SUM(
    COUNTIFS('QA Log'!D:D,A81,'QA Log'!M:M,"Vignette",'QA Log'!Z:Z,"Rejected",'QA Log'!L:L,"*Vignette [1] Respiratory Infection: Pneumonia*"),
    COUNTIFS('QA Log'!D:D,A81,'QA Log'!M:M,"Vignette",'QA Log'!Z:Z,"Rejected",'QA Log'!L:L,"*Vignette [2]: Diarrhea with Cat B dehydration*"),
    COUNTIFS('QA Log'!D:D,A81,'QA Log'!M:M,"Vignette",'QA Log'!Z:Z,"Rejected",'QA Log'!L:L,"*Vignette [3] Growth Monitoring and Promotion*"),
    COUNTIFS('QA Log'!D:D,A81,'QA Log'!M:M,"Vignette",'QA Log'!Z:Z,"Rejected",'QA Log'!L:L,"*Vignette [4]: The management of presumptive TB patient*")
  )
)</f>
        <v/>
      </c>
      <c r="BC81" s="107" t="str">
        <f t="shared" si="9"/>
        <v/>
      </c>
      <c r="BD81" s="103" t="str">
        <f t="shared" si="10"/>
        <v/>
      </c>
      <c r="BE81" s="102" t="str">
        <f>IF(A81="","",SUM(
COUNTIFS('QA Log'!D:D,A81,'QA Log'!M:M,"Vignette",'QA Log'!L:L,"*Vignette [5] Labor*"),
COUNTIFS('QA Log'!D:D,A81,'QA Log'!M:M,"Vignette",'QA Log'!L:L,"*Vignette [6] PNC pre Discharge*"),
COUNTIFS('QA Log'!D:D,A81,'QA Log'!M:M,"Vignette",'QA Log'!L:L,"*Vignette [7] First ANC Visit*"),
COUNTIFS('QA Log'!D:D,A81,'QA Log'!M:M,"Vignette",'QA Log'!L:L,"*Vignette [8] Birth Spacing/ Family Planning :  FP Counselling*"),
COUNTIFS('QA Log'!D:D,A81,'QA Log'!M:M,"Vignette",'QA Log'!L:L,"*Vignette [9] Birth Spacing: Change FP method to Injectable*"),
COUNTIFS('QA Log'!D:D,A81,'QA Log'!M:M,"Vignette",'QA Log'!L:L,"*Vignette [10] Post Partum Haemorrhage - Atonic Uterus at Health Centre*"),
)
)</f>
        <v/>
      </c>
      <c r="BF81" s="102" t="str">
        <f>IF(A81="","",
  SUM(
    COUNTIFS('QA Log'!D:D,A81,'QA Log'!M:M,"Vignette",'QA Log'!Z:Z,"Approved",'QA Log'!L:L,"*Vignette [5] Labor*"),
    COUNTIFS('QA Log'!D:D,A81,'QA Log'!M:M,"Vignette",'QA Log'!Z:Z,"Approved",'QA Log'!L:L,"*Vignette [6] PNC pre Discharge*"),
    COUNTIFS('QA Log'!D:D,A81,'QA Log'!M:M,"Vignette",'QA Log'!Z:Z,"Approved",'QA Log'!L:L,"*Vignette [7] First ANC Visit*"),
    COUNTIFS('QA Log'!D:D,A81,'QA Log'!M:M,"Vignette",'QA Log'!Z:Z,"Approved",'QA Log'!L:L,"*Vignette [8] Birth Spacing/ Family Planning :  FP Counselling*"),
    COUNTIFS('QA Log'!D:D,A81,'QA Log'!M:M,"Vignette",'QA Log'!Z:Z,"Approved",'QA Log'!L:L,"*Vignette [9] Birth Spacing: Change FP method to Injectable*"),
    COUNTIFS('QA Log'!D:D,A81,'QA Log'!M:M,"Vignette",'QA Log'!Z:Z,"Approved",'QA Log'!L:L,"*Vignette [10] Post Partum Haemorrhage - Atonic Uterus at Health Centre*")
  )
)</f>
        <v/>
      </c>
      <c r="BG81" s="105" t="str">
        <f>IF(A81&lt;&gt;"",COUNTIFS('QA Log'!D:D,A81,'QA Log'!M:M,"Vignette",'QA Log'!L:L,"Vignette [5] Labor",'QA Log'!Z:Z,"Approved"),"")</f>
        <v/>
      </c>
      <c r="BH81" s="105" t="str">
        <f>IF(A81&lt;&gt;"",COUNTIFS('QA Log'!D:D,A81,'QA Log'!M:M,"Vignette",'QA Log'!L:L,"Vignette [6] PNC pre Discharge",'QA Log'!Z:Z,"Approved"),"")</f>
        <v/>
      </c>
      <c r="BI81" s="105" t="str">
        <f>IF(A81&lt;&gt;"",COUNTIFS('QA Log'!D:D,A81,'QA Log'!M:M,"Vignette",'QA Log'!L:L,"Vignette [7] First ANC Visit",'QA Log'!Z:Z,"Approved"),"")</f>
        <v/>
      </c>
      <c r="BJ81" s="105" t="str">
        <f>IF(A81&lt;&gt;"",COUNTIFS('QA Log'!D:D,A81,'QA Log'!M:M,"Vignette",'QA Log'!L:L,"Vignette [8] Birth Spacing/ Family Planning :  FP Counselling",'QA Log'!Z:Z,"Approved"),"")</f>
        <v/>
      </c>
      <c r="BK81" s="105" t="str">
        <f>IF(A81&lt;&gt;"",COUNTIFS('QA Log'!D:D,A81,'QA Log'!M:M,"Vignette",'QA Log'!L:L,"Vignette [9] Birth Spacing: Change FP method to Injectable",'QA Log'!Z:Z,"Approved"),"")</f>
        <v/>
      </c>
      <c r="BL81" s="105" t="str">
        <f>IF(A81&lt;&gt;"",COUNTIFS('QA Log'!D:D,A81,'QA Log'!M:M,"Vignette",'QA Log'!L:L,"Vignette [10] Post Partum Haemorrhage - Atonic Uterus at Health Centre",'QA Log'!Z:Z,"Approved"),"")</f>
        <v/>
      </c>
      <c r="BM81" s="102" t="str">
        <f>IF(A81="","",SUM(
    COUNTIFS('QA Log'!D:D,A81,'QA Log'!M:M,"Vignette",'QA Log'!Z:Z,"Rejected",'QA Log'!L:L,"*Vignette [5] Labor*"),
    COUNTIFS('QA Log'!D:D,A81,'QA Log'!M:M,"Vignette",'QA Log'!Z:Z,"Rejected",'QA Log'!L:L,"*Vignette [6] PNC pre Discharge*"),
    COUNTIFS('QA Log'!D:D,A81,'QA Log'!M:M,"Vignette",'QA Log'!Z:Z,"Rejected",'QA Log'!L:L,"*Vignette [7] First ANC Visit*"),
    COUNTIFS('QA Log'!D:D,A81,'QA Log'!M:M,"Vignette",'QA Log'!Z:Z,"Rejected",'QA Log'!L:L,"*Vignette [8] Birth Spacing/ Family Planning :  FP Counselling*"),
    COUNTIFS('QA Log'!D:D,A81,'QA Log'!M:M,"Vignette",'QA Log'!Z:Z,"Rejected",'QA Log'!L:L,"*Vignette [9] Birth Spacing: Change FP method to Injectable*"),
    COUNTIFS('QA Log'!D:D,A81,'QA Log'!M:M,"Vignette",'QA Log'!Z:Z,"Rejected",'QA Log'!L:L,"*Vignette [10] Post Partum Haemorrhage - Atonic Uterus at Health Centre*")
  )
)</f>
        <v/>
      </c>
      <c r="BN81" s="107" t="str">
        <f t="shared" si="11"/>
        <v/>
      </c>
      <c r="BO81" s="103" t="str">
        <f t="shared" si="12"/>
        <v/>
      </c>
      <c r="BP81" s="102" t="str">
        <f>IF(A81="","",SUM(
COUNTIFS('QA Log'!D:D,A81,'QA Log'!M:M,"Vignette",'QA Log'!L:L,"*Exit Interview 1*"),
COUNTIFS('QA Log'!D:D,A81,'QA Log'!M:M,"Vignette",'QA Log'!L:L,"*Exit Interview 2*"),
)
)</f>
        <v/>
      </c>
      <c r="BQ81" s="102" t="str">
        <f>IF(
  A81="","",
  SUM(
    COUNTIFS('QA Log'!D:D,A81,'QA Log'!M:M,"Vignette",'QA Log'!Z:Z,"Approved",'QA Log'!L:L,"*Exit Interview 1*"),
    COUNTIFS('QA Log'!D:D,A81,'QA Log'!M:M,"Vignette",'QA Log'!Z:Z,"Approved",'QA Log'!L:L,"*Exit Interview 2*")
  )
)</f>
        <v/>
      </c>
      <c r="BR81" s="105" t="str">
        <f>IF(A81&lt;&gt;"",COUNTIFS('QA Log'!D:D,A81,'QA Log'!M:M,"Vignette",'QA Log'!L:L,"Exit Interview 1",'QA Log'!Z:Z,"Approved"),"")</f>
        <v/>
      </c>
      <c r="BS81" s="105" t="str">
        <f>IF(A81&lt;&gt;"",COUNTIFS('QA Log'!D:D,A81,'QA Log'!M:M,"Vignette",'QA Log'!L:L,"Exit Interview 2",'QA Log'!Z:Z,"Approved"),"")</f>
        <v/>
      </c>
      <c r="BT81" s="102" t="str">
        <f>IF(
  A81="","",
  SUM(
    COUNTIFS('QA Log'!D:D,A81,'QA Log'!M:M,"Vignette",'QA Log'!Z:Z,"Rejected",'QA Log'!L:L,"*Exit Interview 1*"),
    COUNTIFS('QA Log'!D:D,A81,'QA Log'!M:M,"Vignette",'QA Log'!Z:Z,"Rejected",'QA Log'!L:L,"*Exit Interview 2*")
  )
)</f>
        <v/>
      </c>
      <c r="BU81" s="107" t="str">
        <f t="shared" si="13"/>
        <v/>
      </c>
      <c r="BV81" s="102" t="str">
        <f t="shared" si="14"/>
        <v/>
      </c>
      <c r="BW81" s="102" t="str">
        <f t="shared" si="15"/>
        <v/>
      </c>
      <c r="BX81" s="102" t="str">
        <f t="shared" si="16"/>
        <v/>
      </c>
      <c r="BY81" s="102" t="str">
        <f t="shared" si="17"/>
        <v/>
      </c>
      <c r="BZ81" s="107" t="str">
        <f t="shared" si="18"/>
        <v/>
      </c>
      <c r="CA81" s="108" t="str">
        <f t="shared" si="19"/>
        <v/>
      </c>
      <c r="CB81" s="108" t="str">
        <f t="shared" si="20"/>
        <v/>
      </c>
      <c r="CC81" s="109" t="str">
        <f t="shared" si="21"/>
        <v/>
      </c>
      <c r="CD81" s="108" t="str">
        <f t="shared" si="22"/>
        <v/>
      </c>
      <c r="CE81" s="108" t="str">
        <f t="shared" si="23"/>
        <v/>
      </c>
      <c r="CF81" s="109" t="str">
        <f t="shared" si="24"/>
        <v/>
      </c>
      <c r="CG81" s="110" t="str">
        <f t="shared" si="25"/>
        <v/>
      </c>
      <c r="CH81" s="111"/>
    </row>
    <row r="82" spans="1:86" ht="12.75">
      <c r="A82" s="101"/>
      <c r="B82" s="102" t="e">
        <f t="array" aca="1" ref="B82" ca="1">_xludf.XLOOKUP(A82,'QA Log'!D:D,'QA Log'!E:E,"")</f>
        <v>#NAME?</v>
      </c>
      <c r="C82" s="102" t="e">
        <f t="array" aca="1" ref="C82" ca="1">_xludf.XLOOKUP(A82,'QA Log'!D:D,'QA Log'!F:F,"")</f>
        <v>#NAME?</v>
      </c>
      <c r="D82" s="102" t="e">
        <f t="array" aca="1" ref="D82" ca="1">_xludf.XLOOKUP(A82,'QA Log'!D:D,'QA Log'!H:H,"")</f>
        <v>#NAME?</v>
      </c>
      <c r="E82" s="102" t="e">
        <f t="array" aca="1" ref="E82" ca="1">_xludf.XLOOKUP(A82,'QA Log'!D:D,'QA Log'!G:G,"")</f>
        <v>#NAME?</v>
      </c>
      <c r="F82" s="103"/>
      <c r="G82" s="104"/>
      <c r="H82" s="104"/>
      <c r="I82" s="103" t="str">
        <f t="shared" si="0"/>
        <v/>
      </c>
      <c r="J82" s="102" t="str">
        <f>IF(A82="","",SUM(
COUNTIFS('QA Log'!D:D,A82,'QA Log'!M:M,"QQC",'QA Log'!L:L,"*1. General Management*"),
COUNTIFS('QA Log'!D:D,A82,'QA Log'!M:M,"QQC",'QA Log'!L:L,"*3. Curative Consultation (OPD)*"),
COUNTIFS('QA Log'!D:D,A82,'QA Log'!M:M,"QQC",'QA Log'!L:L,"*5. Laboratory*"),
COUNTIFS('QA Log'!D:D,A82,'QA Log'!M:M,"QQC",'QA Log'!L:L,"*6. Essential Medicine Management*"),
COUNTIFS('QA Log'!D:D,A82,'QA Log'!M:M,"QQC",'QA Log'!L:L,"*7. Tracer Medicine*"),
COUNTIFS('QA Log'!D:D,A82,'QA Log'!M:M,"QQC",'QA Log'!L:L,"*11. Additional Questions*")))</f>
        <v/>
      </c>
      <c r="K82" s="102" t="str">
        <f>IF(A82="","",SUM(
COUNTIFS('QA Log'!D:D,A82,'QA Log'!M:M,"QQC",'QA Log'!Z:Z,"Approved",'QA Log'!L:L,"*1. General Management*"),
COUNTIFS('QA Log'!D:D,A82,'QA Log'!M:M,"QQC",'QA Log'!Z:Z,"Approved",'QA Log'!L:L,"*3. Curative Consultation (OPD)*"),
COUNTIFS('QA Log'!D:D,A82,'QA Log'!M:M,"QQC",'QA Log'!Z:Z,"Approved",'QA Log'!L:L,"*5. Laboratory*"),
COUNTIFS('QA Log'!D:D,A82,'QA Log'!M:M,"QQC",'QA Log'!Z:Z,"Approved",'QA Log'!L:L,"*6. Essential Medicine Management*"),
COUNTIFS('QA Log'!D:D,A82,'QA Log'!M:M,"QQC",'QA Log'!Z:Z,"Approved",'QA Log'!L:L,"*7. Tracer Medicine*"),
COUNTIFS('QA Log'!D:D,A82,'QA Log'!M:M,"QQC",'QA Log'!Z:Z,"Approved",'QA Log'!L:L,"*11. Additional Questions*")))</f>
        <v/>
      </c>
      <c r="L82" s="105" t="str">
        <f>IF(A82&lt;&gt;"",COUNTIFS('QA Log'!D:D,A82,'QA Log'!M:M,"QQC",'QA Log'!L:L,"1. General Management",'QA Log'!Z:Z,"Approved"),"")</f>
        <v/>
      </c>
      <c r="M82" s="105" t="str">
        <f>IF(A82&lt;&gt;"",COUNTIFS('QA Log'!D:D,A82,'QA Log'!M:M,"QQC",'QA Log'!L:L,"3. Curative Consultation (OPD)",'QA Log'!Z:Z,"Approved"),"")</f>
        <v/>
      </c>
      <c r="N82" s="105" t="str">
        <f>IF(A82&lt;&gt;"",COUNTIFS('QA Log'!D:D,A82,'QA Log'!M:M,"QQC",'QA Log'!L:L,"5. Laboratory",'QA Log'!Z:Z,"Approved"),"")</f>
        <v/>
      </c>
      <c r="O82" s="105" t="str">
        <f>IF(A82&lt;&gt;"",COUNTIFS('QA Log'!D:D,A82,'QA Log'!M:M,"QQC",'QA Log'!L:L,"6. Essential Medicine Management",'QA Log'!Z:Z,"Approved"),"")</f>
        <v/>
      </c>
      <c r="P82" s="105" t="str">
        <f>IF(A82&lt;&gt;"",COUNTIFS('QA Log'!D:D,A82,'QA Log'!M:M,"QQC",'QA Log'!L:L,"7. Tracer Medicine",'QA Log'!Z:Z,"Approved"),"")</f>
        <v/>
      </c>
      <c r="Q82" s="105" t="str">
        <f>IF(A82&lt;&gt;"",COUNTIFS('QA Log'!D:D,A82,'QA Log'!M:M,"QQC",'QA Log'!L:L,"11. Additional Questions",'QA Log'!Z:Z,"Approved"),"")</f>
        <v/>
      </c>
      <c r="R82" s="102" t="str">
        <f>IF(A82="","",SUM(
COUNTIFS('QA Log'!D:D,A82,'QA Log'!M:M,"QQC",'QA Log'!Z:Z,"Rejected",'QA Log'!L:L,"*8. Maternity*"),
COUNTIFS('QA Log'!D:D,A82,'QA Log'!M:M,"QQC",'QA Log'!Z:Z,"Rejected",'QA Log'!L:L,"*EPI*"),
COUNTIFS('QA Log'!D:D,A82,'QA Log'!M:M,"QQC",'QA Log'!Z:Z,"Rejected",'QA Log'!L:L,"*10. Antenatal Care (ANC)*"),
COUNTIFS('QA Log'!D:D,A82,'QA Log'!M:M,"QQC",'QA Log'!Z:Z,"Rejected",'QA Log'!L:L,"*2. Hygiene and Sterilization*"),
COUNTIFS('QA Log'!D:D,A82,'QA Log'!M:M,"QQC",'QA Log'!Z:Z,"Rejected",'QA Log'!L:L,"*Family Planning*")))</f>
        <v/>
      </c>
      <c r="S82" s="106" t="str">
        <f t="shared" si="1"/>
        <v/>
      </c>
      <c r="T82" s="102" t="str">
        <f t="shared" si="2"/>
        <v/>
      </c>
      <c r="U82" s="102" t="str">
        <f>IF(A82="","",
SUM(
COUNTIFS('QA Log'!D:D,A82,'QA Log'!M:M,"QQC",'QA Log'!L:L,"*8. Maternity*"),
COUNTIFS('QA Log'!D:D,A82,'QA Log'!M:M,"QQC",'QA Log'!L:L,"*9. EPI and Pre-school Consultation*"),
COUNTIFS('QA Log'!D:D,A82,'QA Log'!M:M,"QQC",'QA Log'!L:L,"*10. Antenatal Care (ANC)*"),
COUNTIFS('QA Log'!D:D,A82,'QA Log'!M:M,"QQC",'QA Log'!L:L,"*2. Hygiene and Sterilization*"),
COUNTIFS('QA Log'!D:D,A82,'QA Log'!M:M,"QQC",'QA Log'!L:L,"*4. Family Planning*")
))</f>
        <v/>
      </c>
      <c r="V82" s="102" t="str">
        <f>IF(A82="","",
SUM(
COUNTIFS('QA Log'!D:D,A82,'QA Log'!M:M,"QQC",'QA Log'!Z:Z,"Approved",'QA Log'!L:L,"*8. Maternity*"),
COUNTIFS('QA Log'!D:D,A82,'QA Log'!M:M,"QQC",'QA Log'!Z:Z,"Approved",'QA Log'!L:L,"*9. EPI and Pre-school Consultation*"),
COUNTIFS('QA Log'!D:D,A82,'QA Log'!M:M,"QQC",'QA Log'!Z:Z,"Approved",'QA Log'!L:L,"*10. Antenatal Care (ANC)*"),
COUNTIFS('QA Log'!D:D,A82,'QA Log'!M:M,"QQC",'QA Log'!Z:Z,"Approved",'QA Log'!L:L,"*2. Hygiene and Sterilization*"),
COUNTIFS('QA Log'!D:D,A82,'QA Log'!M:M,"QQC",'QA Log'!Z:Z,"Approved",'QA Log'!L:L,"*4. Family Planning*")
))</f>
        <v/>
      </c>
      <c r="W82" s="105" t="str">
        <f>IF(A82&lt;&gt;"",COUNTIFS('QA Log'!D:D,A82,'QA Log'!M:M,"QQC",'QA Log'!L:L,"8. Maternity",'QA Log'!Z:Z,"Approved"),"")</f>
        <v/>
      </c>
      <c r="X82" s="105" t="str">
        <f>IF(A82&lt;&gt;"",COUNTIFS('QA Log'!D:D,A82,'QA Log'!M:M,"QQC",'QA Log'!L:L,"9. EPI and Pre-school Consultation",'QA Log'!Z:Z,"Approved"),"")</f>
        <v/>
      </c>
      <c r="Y82" s="105" t="str">
        <f>IF(A82&lt;&gt;"",COUNTIFS('QA Log'!D:D,A82,'QA Log'!M:M,"QQC",'QA Log'!L:L,"10. Antenatal Care (ANC)",'QA Log'!Z:Z,"Approved"),"")</f>
        <v/>
      </c>
      <c r="Z82" s="105" t="str">
        <f>IF(A82&lt;&gt;"",COUNTIFS('QA Log'!D:D,A82,'QA Log'!M:M,"QQC",'QA Log'!L:L,"2. Hygiene and Sterilization",'QA Log'!Z:Z,"Approved"),"")</f>
        <v/>
      </c>
      <c r="AA82" s="105" t="str">
        <f>IF(A82&lt;&gt;"",COUNTIFS('QA Log'!D:D,A82,'QA Log'!M:M,"QQC",'QA Log'!L:L,"4. Family Planning",'QA Log'!Z:Z,"Approved"),"")</f>
        <v/>
      </c>
      <c r="AB82" s="102" t="str">
        <f>IF(A82="","",
SUM(
COUNTIFS('QA Log'!D:D,A82,'QA Log'!M:M,"QQC",'QA Log'!Z:Z,"Rejected",'QA Log'!L:L,"*8. Maternity*"),
COUNTIFS('QA Log'!D:D,A82,'QA Log'!M:M,"QQC",'QA Log'!Z:Z,"Rejected",'QA Log'!L:L,"*9. EPI and Pre-school Consultation*"),
COUNTIFS('QA Log'!D:D,A82,'QA Log'!M:M,"QQC",'QA Log'!Z:Z,"Rejected",'QA Log'!L:L,"*10. Antenatal Care (ANC)*"),
COUNTIFS('QA Log'!D:D,A82,'QA Log'!M:M,"QQC",'QA Log'!Z:Z,"Rejected",'QA Log'!L:L,"*2. Hygiene and Sterilization*"),
COUNTIFS('QA Log'!D:D,A82,'QA Log'!M:M,"QQC",'QA Log'!Z:Z,"Rejected",'QA Log'!L:L,"*4. Family Planning*")
))</f>
        <v/>
      </c>
      <c r="AC82" s="102" t="str">
        <f t="shared" si="3"/>
        <v/>
      </c>
      <c r="AD82" s="103" t="str">
        <f t="shared" si="4"/>
        <v/>
      </c>
      <c r="AE82" s="102" t="str">
        <f>IF(A82="","",
SUM(
COUNTIFS('QA Log'!D:D,A82,'QA Log'!M:M,"Data Verification",'QA Log'!L:L,"*Medicine (section 2)*"),
COUNTIFS('QA Log'!D:D,A82,'QA Log'!M:M,"Data Verification",'QA Log'!L:L,"*Lab Testing Availability*"),
COUNTIFS('QA Log'!D:D,A82,'QA Log'!M:M,"Data Verification",'QA Log'!L:L,"*Other than P4P (section 6)*"),
COUNTIFS('QA Log'!D:D,A82,'QA Log'!M:M,"Data Verification",'QA Log'!L:L,"*Hospital Governance*")
))</f>
        <v/>
      </c>
      <c r="AF82" s="102" t="str">
        <f>IF(A82="","",
SUM(
COUNTIFS('QA Log'!D:D,A82,'QA Log'!M:M,"Data Verification",'QA Log'!Z:Z,"Approved",'QA Log'!L:L,"*Medicine (section 2)*"),
COUNTIFS('QA Log'!D:D,A82,'QA Log'!M:M,"Data Verification",'QA Log'!Z:Z,"Approved",'QA Log'!L:L,"*Lab Testing Availability*"),
COUNTIFS('QA Log'!D:D,A82,'QA Log'!M:M,"Data Verification",'QA Log'!Z:Z,"Approved",'QA Log'!L:L,"*Other than P4P (section 6)*"),
COUNTIFS('QA Log'!D:D,A82,'QA Log'!M:M,"Data Verification",'QA Log'!Z:Z,"Approved",'QA Log'!L:L,"*Hospital Governance*")
))</f>
        <v/>
      </c>
      <c r="AG82" s="105" t="str">
        <f>IF(A82&lt;&gt;"",COUNTIFS('QA Log'!D:D,A82,'QA Log'!M:M,"Data Verification",'QA Log'!L:L,"Medicine (section 2)",'QA Log'!Z:Z,"Approved"),"")</f>
        <v/>
      </c>
      <c r="AH82" s="105" t="str">
        <f>IF(A82&lt;&gt;"",COUNTIFS('QA Log'!D:D,A82,'QA Log'!M:M,"Data Verification",'QA Log'!L:L,"Lab Testing Availability",'QA Log'!Z:Z,"Approved"),"")</f>
        <v/>
      </c>
      <c r="AI82" s="105" t="str">
        <f>IF(A82&lt;&gt;"",COUNTIFS('QA Log'!D:D,A82,'QA Log'!M:M,"Data Verification",'QA Log'!L:L,"Other than P4P (section 6)",'QA Log'!Z:Z,"Approved"),"")</f>
        <v/>
      </c>
      <c r="AJ82" s="105" t="str">
        <f>IF(A82&lt;&gt;"",COUNTIFS('QA Log'!D:D,A82,'QA Log'!M:M,"Data Verification",'QA Log'!L:L,"Hospital Governance",'QA Log'!Z:Z,"Approved"),"")</f>
        <v/>
      </c>
      <c r="AK82" s="102" t="str">
        <f>IF(A82="","",
SUM(
COUNTIFS('QA Log'!D:D,A82,'QA Log'!M:M,"Data Verification",'QA Log'!Z:Z,"Rejected",'QA Log'!L:L,"*Medicine (section 2)*"),
COUNTIFS('QA Log'!D:D,A82,'QA Log'!M:M,"Data Verification",'QA Log'!Z:Z,"Rejected",'QA Log'!L:L,"*Lab Testing Availability*"),
COUNTIFS('QA Log'!D:D,A82,'QA Log'!M:M,"Data Verification",'QA Log'!Z:Z,"Rejected",'QA Log'!L:L,"*Other than P4P (section 6)*"),
COUNTIFS('QA Log'!D:D,A82,'QA Log'!M:M,"Data Verification",'QA Log'!Z:Z,"Rejected",'QA Log'!L:L,"*Hospital Governance*")
))</f>
        <v/>
      </c>
      <c r="AL82" s="106" t="str">
        <f t="shared" si="5"/>
        <v/>
      </c>
      <c r="AM82" s="102" t="str">
        <f t="shared" si="6"/>
        <v/>
      </c>
      <c r="AN82" s="102" t="str">
        <f>IF(A82="","",
SUM(
COUNTIFS('QA Log'!D:D,A82,'QA Log'!M:M,"Data Verification",'QA Log'!L:L,"*Personnel (section 1)*"),
COUNTIFS('QA Log'!D:D,A82,'QA Log'!M:M,"Data Verification",'QA Log'!L:L,"*Consumable (section 3)*"),
COUNTIFS('QA Log'!D:D,A82,'QA Log'!M:M,"Data Verification",'QA Log'!L:L,"*Equipments (section 4)*")
))</f>
        <v/>
      </c>
      <c r="AO82" s="102" t="str">
        <f>IF(A82="","",
SUM(
COUNTIFS('QA Log'!D:D,A82,'QA Log'!M:M,"Data Verification",'QA Log'!Z:Z,"Approved",'QA Log'!L:L,"*Personnel (section 1)*"),
COUNTIFS('QA Log'!D:D,A82,'QA Log'!M:M,"Data Verification",'QA Log'!Z:Z,"Approved",'QA Log'!L:L,"*Consumable (section 3)*"),
COUNTIFS('QA Log'!D:D,A82,'QA Log'!M:M,"Data Verification",'QA Log'!Z:Z,"Approved",'QA Log'!L:L,"*Equipments (section 4)*")
))</f>
        <v/>
      </c>
      <c r="AP82" s="105" t="str">
        <f>IF(A82&lt;&gt;"",COUNTIFS('QA Log'!D:D,A82,'QA Log'!M:M,"Data Verification",'QA Log'!L:L,"Personnel (section 1)",'QA Log'!Z:Z,"Approved"),"")</f>
        <v/>
      </c>
      <c r="AQ82" s="105" t="str">
        <f>IF(A82&lt;&gt;"",COUNTIFS('QA Log'!D:D,A82,'QA Log'!M:M,"Data Verification",'QA Log'!L:L,"Consumable (section 3)",'QA Log'!Z:Z,"Approved"),"")</f>
        <v/>
      </c>
      <c r="AR82" s="105" t="str">
        <f>IF(A82&lt;&gt;"",COUNTIFS('QA Log'!D:D,A82,'QA Log'!M:M,"Data Verification",'QA Log'!L:L,"Equipments (section 4)",'QA Log'!Z:Z,"Approved"),"")</f>
        <v/>
      </c>
      <c r="AS82" s="102" t="str">
        <f>IF(A82="","",
SUM(
COUNTIFS('QA Log'!D:D,A82,'QA Log'!M:M,"Data Verification",'QA Log'!Z:Z,"Rejected",'QA Log'!L:L,"*Personnel (section 1)*"),
COUNTIFS('QA Log'!D:D,A82,'QA Log'!M:M,"Data Verification",'QA Log'!Z:Z,"Rejected",'QA Log'!L:L,"*Consumable (section 3)*"),
COUNTIFS('QA Log'!D:D,A82,'QA Log'!M:M,"Data Verification",'QA Log'!Z:Z,"Rejected",'QA Log'!L:L,"*Equipments (section 4)*")
))</f>
        <v/>
      </c>
      <c r="AT82" s="102" t="str">
        <f t="shared" si="7"/>
        <v/>
      </c>
      <c r="AU82" s="103" t="str">
        <f t="shared" si="8"/>
        <v/>
      </c>
      <c r="AV82" s="102" t="str">
        <f>IF(A82="","",SUM(
COUNTIFS('QA Log'!D:D,A82,'QA Log'!M:M,"Vignette",'QA Log'!L:L,"*Vignette [1] Respiratory Infection: Pneumonia*"),
COUNTIFS('QA Log'!D:D,A82,'QA Log'!M:M,"Vignette",'QA Log'!L:L,"*Vignette [2]: Diarrhea with Cat B dehydration*"),
COUNTIFS('QA Log'!D:D,A82,'QA Log'!M:M,"Vignette",'QA Log'!L:L,"*Vignette [3] Growth Monitoring and Promotion*"),
COUNTIFS('QA Log'!D:D,A82,'QA Log'!M:M,"Vignette",'QA Log'!L:L,"*Vignette [4]: The management of presumptive TB patient*")
)
)</f>
        <v/>
      </c>
      <c r="AW82" s="102" t="str">
        <f>IF(
  A82="","",
  SUM(
    COUNTIFS('QA Log'!D:D,A82,'QA Log'!M:M,"Vignette",'QA Log'!Z:Z,"Approved",'QA Log'!L:L,"*Vignette [1] Respiratory Infection: Pneumonia*"),
    COUNTIFS('QA Log'!D:D,A82,'QA Log'!M:M,"Vignette",'QA Log'!Z:Z,"Approved",'QA Log'!L:L,"*Vignette [2]: Diarrhea with Cat B dehydration*"),
    COUNTIFS('QA Log'!D:D,A82,'QA Log'!M:M,"Vignette",'QA Log'!Z:Z,"Approved",'QA Log'!L:L,"*Vignette [3] Growth Monitoring and Promotion*"),
    COUNTIFS('QA Log'!D:D,A82,'QA Log'!M:M,"Vignette",'QA Log'!Z:Z,"Approved",'QA Log'!L:L,"*Vignette [4]: The management of presumptive TB patient*")
  )
)</f>
        <v/>
      </c>
      <c r="AX82" s="105" t="str">
        <f>IF(A82&lt;&gt;"",COUNTIFS('QA Log'!D:D,A82,'QA Log'!M:M,"Vignette",'QA Log'!L:L,"Vignette [1] Respiratory Infection: Pneumonia",'QA Log'!Z:Z,"Approved"),"")</f>
        <v/>
      </c>
      <c r="AY82" s="105" t="str">
        <f>IF(A82&lt;&gt;"",COUNTIFS('QA Log'!D:D,A82,'QA Log'!M:M,"Vignette",'QA Log'!L:L,"Vignette [2]: Diarrhea with Cat B dehydration",'QA Log'!Z:Z,"Approved"),"")</f>
        <v/>
      </c>
      <c r="AZ82" s="105" t="str">
        <f>IF(A82&lt;&gt;"",COUNTIFS('QA Log'!D:D,A82,'QA Log'!M:M,"Vignette",'QA Log'!L:L,"Vignette [3] Growth Monitoring and Promotion",'QA Log'!Z:Z,"Approved"),"")</f>
        <v/>
      </c>
      <c r="BA82" s="105" t="str">
        <f>IF(A82&lt;&gt;"",COUNTIFS('QA Log'!D:D,A82,'QA Log'!M:M,"Vignette",'QA Log'!L:L,"Vignette [4]: The management of presumptive TB patient",'QA Log'!Z:Z,"Approved"),"")</f>
        <v/>
      </c>
      <c r="BB82" s="102" t="str">
        <f>IF(A82="","",
  SUM(
    COUNTIFS('QA Log'!D:D,A82,'QA Log'!M:M,"Vignette",'QA Log'!Z:Z,"Rejected",'QA Log'!L:L,"*Vignette [1] Respiratory Infection: Pneumonia*"),
    COUNTIFS('QA Log'!D:D,A82,'QA Log'!M:M,"Vignette",'QA Log'!Z:Z,"Rejected",'QA Log'!L:L,"*Vignette [2]: Diarrhea with Cat B dehydration*"),
    COUNTIFS('QA Log'!D:D,A82,'QA Log'!M:M,"Vignette",'QA Log'!Z:Z,"Rejected",'QA Log'!L:L,"*Vignette [3] Growth Monitoring and Promotion*"),
    COUNTIFS('QA Log'!D:D,A82,'QA Log'!M:M,"Vignette",'QA Log'!Z:Z,"Rejected",'QA Log'!L:L,"*Vignette [4]: The management of presumptive TB patient*")
  )
)</f>
        <v/>
      </c>
      <c r="BC82" s="107" t="str">
        <f t="shared" si="9"/>
        <v/>
      </c>
      <c r="BD82" s="103" t="str">
        <f t="shared" si="10"/>
        <v/>
      </c>
      <c r="BE82" s="102" t="str">
        <f>IF(A82="","",SUM(
COUNTIFS('QA Log'!D:D,A82,'QA Log'!M:M,"Vignette",'QA Log'!L:L,"*Vignette [5] Labor*"),
COUNTIFS('QA Log'!D:D,A82,'QA Log'!M:M,"Vignette",'QA Log'!L:L,"*Vignette [6] PNC pre Discharge*"),
COUNTIFS('QA Log'!D:D,A82,'QA Log'!M:M,"Vignette",'QA Log'!L:L,"*Vignette [7] First ANC Visit*"),
COUNTIFS('QA Log'!D:D,A82,'QA Log'!M:M,"Vignette",'QA Log'!L:L,"*Vignette [8] Birth Spacing/ Family Planning :  FP Counselling*"),
COUNTIFS('QA Log'!D:D,A82,'QA Log'!M:M,"Vignette",'QA Log'!L:L,"*Vignette [9] Birth Spacing: Change FP method to Injectable*"),
COUNTIFS('QA Log'!D:D,A82,'QA Log'!M:M,"Vignette",'QA Log'!L:L,"*Vignette [10] Post Partum Haemorrhage - Atonic Uterus at Health Centre*"),
)
)</f>
        <v/>
      </c>
      <c r="BF82" s="102" t="str">
        <f>IF(A82="","",
  SUM(
    COUNTIFS('QA Log'!D:D,A82,'QA Log'!M:M,"Vignette",'QA Log'!Z:Z,"Approved",'QA Log'!L:L,"*Vignette [5] Labor*"),
    COUNTIFS('QA Log'!D:D,A82,'QA Log'!M:M,"Vignette",'QA Log'!Z:Z,"Approved",'QA Log'!L:L,"*Vignette [6] PNC pre Discharge*"),
    COUNTIFS('QA Log'!D:D,A82,'QA Log'!M:M,"Vignette",'QA Log'!Z:Z,"Approved",'QA Log'!L:L,"*Vignette [7] First ANC Visit*"),
    COUNTIFS('QA Log'!D:D,A82,'QA Log'!M:M,"Vignette",'QA Log'!Z:Z,"Approved",'QA Log'!L:L,"*Vignette [8] Birth Spacing/ Family Planning :  FP Counselling*"),
    COUNTIFS('QA Log'!D:D,A82,'QA Log'!M:M,"Vignette",'QA Log'!Z:Z,"Approved",'QA Log'!L:L,"*Vignette [9] Birth Spacing: Change FP method to Injectable*"),
    COUNTIFS('QA Log'!D:D,A82,'QA Log'!M:M,"Vignette",'QA Log'!Z:Z,"Approved",'QA Log'!L:L,"*Vignette [10] Post Partum Haemorrhage - Atonic Uterus at Health Centre*")
  )
)</f>
        <v/>
      </c>
      <c r="BG82" s="105" t="str">
        <f>IF(A82&lt;&gt;"",COUNTIFS('QA Log'!D:D,A82,'QA Log'!M:M,"Vignette",'QA Log'!L:L,"Vignette [5] Labor",'QA Log'!Z:Z,"Approved"),"")</f>
        <v/>
      </c>
      <c r="BH82" s="105" t="str">
        <f>IF(A82&lt;&gt;"",COUNTIFS('QA Log'!D:D,A82,'QA Log'!M:M,"Vignette",'QA Log'!L:L,"Vignette [6] PNC pre Discharge",'QA Log'!Z:Z,"Approved"),"")</f>
        <v/>
      </c>
      <c r="BI82" s="105" t="str">
        <f>IF(A82&lt;&gt;"",COUNTIFS('QA Log'!D:D,A82,'QA Log'!M:M,"Vignette",'QA Log'!L:L,"Vignette [7] First ANC Visit",'QA Log'!Z:Z,"Approved"),"")</f>
        <v/>
      </c>
      <c r="BJ82" s="105" t="str">
        <f>IF(A82&lt;&gt;"",COUNTIFS('QA Log'!D:D,A82,'QA Log'!M:M,"Vignette",'QA Log'!L:L,"Vignette [8] Birth Spacing/ Family Planning :  FP Counselling",'QA Log'!Z:Z,"Approved"),"")</f>
        <v/>
      </c>
      <c r="BK82" s="105" t="str">
        <f>IF(A82&lt;&gt;"",COUNTIFS('QA Log'!D:D,A82,'QA Log'!M:M,"Vignette",'QA Log'!L:L,"Vignette [9] Birth Spacing: Change FP method to Injectable",'QA Log'!Z:Z,"Approved"),"")</f>
        <v/>
      </c>
      <c r="BL82" s="105" t="str">
        <f>IF(A82&lt;&gt;"",COUNTIFS('QA Log'!D:D,A82,'QA Log'!M:M,"Vignette",'QA Log'!L:L,"Vignette [10] Post Partum Haemorrhage - Atonic Uterus at Health Centre",'QA Log'!Z:Z,"Approved"),"")</f>
        <v/>
      </c>
      <c r="BM82" s="102" t="str">
        <f>IF(A82="","",SUM(
    COUNTIFS('QA Log'!D:D,A82,'QA Log'!M:M,"Vignette",'QA Log'!Z:Z,"Rejected",'QA Log'!L:L,"*Vignette [5] Labor*"),
    COUNTIFS('QA Log'!D:D,A82,'QA Log'!M:M,"Vignette",'QA Log'!Z:Z,"Rejected",'QA Log'!L:L,"*Vignette [6] PNC pre Discharge*"),
    COUNTIFS('QA Log'!D:D,A82,'QA Log'!M:M,"Vignette",'QA Log'!Z:Z,"Rejected",'QA Log'!L:L,"*Vignette [7] First ANC Visit*"),
    COUNTIFS('QA Log'!D:D,A82,'QA Log'!M:M,"Vignette",'QA Log'!Z:Z,"Rejected",'QA Log'!L:L,"*Vignette [8] Birth Spacing/ Family Planning :  FP Counselling*"),
    COUNTIFS('QA Log'!D:D,A82,'QA Log'!M:M,"Vignette",'QA Log'!Z:Z,"Rejected",'QA Log'!L:L,"*Vignette [9] Birth Spacing: Change FP method to Injectable*"),
    COUNTIFS('QA Log'!D:D,A82,'QA Log'!M:M,"Vignette",'QA Log'!Z:Z,"Rejected",'QA Log'!L:L,"*Vignette [10] Post Partum Haemorrhage - Atonic Uterus at Health Centre*")
  )
)</f>
        <v/>
      </c>
      <c r="BN82" s="107" t="str">
        <f t="shared" si="11"/>
        <v/>
      </c>
      <c r="BO82" s="103" t="str">
        <f t="shared" si="12"/>
        <v/>
      </c>
      <c r="BP82" s="102" t="str">
        <f>IF(A82="","",SUM(
COUNTIFS('QA Log'!D:D,A82,'QA Log'!M:M,"Vignette",'QA Log'!L:L,"*Exit Interview 1*"),
COUNTIFS('QA Log'!D:D,A82,'QA Log'!M:M,"Vignette",'QA Log'!L:L,"*Exit Interview 2*"),
)
)</f>
        <v/>
      </c>
      <c r="BQ82" s="102" t="str">
        <f>IF(
  A82="","",
  SUM(
    COUNTIFS('QA Log'!D:D,A82,'QA Log'!M:M,"Vignette",'QA Log'!Z:Z,"Approved",'QA Log'!L:L,"*Exit Interview 1*"),
    COUNTIFS('QA Log'!D:D,A82,'QA Log'!M:M,"Vignette",'QA Log'!Z:Z,"Approved",'QA Log'!L:L,"*Exit Interview 2*")
  )
)</f>
        <v/>
      </c>
      <c r="BR82" s="105" t="str">
        <f>IF(A82&lt;&gt;"",COUNTIFS('QA Log'!D:D,A82,'QA Log'!M:M,"Vignette",'QA Log'!L:L,"Exit Interview 1",'QA Log'!Z:Z,"Approved"),"")</f>
        <v/>
      </c>
      <c r="BS82" s="105" t="str">
        <f>IF(A82&lt;&gt;"",COUNTIFS('QA Log'!D:D,A82,'QA Log'!M:M,"Vignette",'QA Log'!L:L,"Exit Interview 2",'QA Log'!Z:Z,"Approved"),"")</f>
        <v/>
      </c>
      <c r="BT82" s="102" t="str">
        <f>IF(
  A82="","",
  SUM(
    COUNTIFS('QA Log'!D:D,A82,'QA Log'!M:M,"Vignette",'QA Log'!Z:Z,"Rejected",'QA Log'!L:L,"*Exit Interview 1*"),
    COUNTIFS('QA Log'!D:D,A82,'QA Log'!M:M,"Vignette",'QA Log'!Z:Z,"Rejected",'QA Log'!L:L,"*Exit Interview 2*")
  )
)</f>
        <v/>
      </c>
      <c r="BU82" s="107" t="str">
        <f t="shared" si="13"/>
        <v/>
      </c>
      <c r="BV82" s="102" t="str">
        <f t="shared" si="14"/>
        <v/>
      </c>
      <c r="BW82" s="102" t="str">
        <f t="shared" si="15"/>
        <v/>
      </c>
      <c r="BX82" s="102" t="str">
        <f t="shared" si="16"/>
        <v/>
      </c>
      <c r="BY82" s="102" t="str">
        <f t="shared" si="17"/>
        <v/>
      </c>
      <c r="BZ82" s="107" t="str">
        <f t="shared" si="18"/>
        <v/>
      </c>
      <c r="CA82" s="108" t="str">
        <f t="shared" si="19"/>
        <v/>
      </c>
      <c r="CB82" s="108" t="str">
        <f t="shared" si="20"/>
        <v/>
      </c>
      <c r="CC82" s="109" t="str">
        <f t="shared" si="21"/>
        <v/>
      </c>
      <c r="CD82" s="108" t="str">
        <f t="shared" si="22"/>
        <v/>
      </c>
      <c r="CE82" s="108" t="str">
        <f t="shared" si="23"/>
        <v/>
      </c>
      <c r="CF82" s="109" t="str">
        <f t="shared" si="24"/>
        <v/>
      </c>
      <c r="CG82" s="110" t="str">
        <f t="shared" si="25"/>
        <v/>
      </c>
      <c r="CH82" s="111"/>
    </row>
    <row r="83" spans="1:86" ht="12.75">
      <c r="A83" s="101"/>
      <c r="B83" s="102" t="e">
        <f t="array" aca="1" ref="B83" ca="1">_xludf.XLOOKUP(A83,'QA Log'!D:D,'QA Log'!E:E,"")</f>
        <v>#NAME?</v>
      </c>
      <c r="C83" s="102" t="e">
        <f t="array" aca="1" ref="C83" ca="1">_xludf.XLOOKUP(A83,'QA Log'!D:D,'QA Log'!F:F,"")</f>
        <v>#NAME?</v>
      </c>
      <c r="D83" s="102" t="e">
        <f t="array" aca="1" ref="D83" ca="1">_xludf.XLOOKUP(A83,'QA Log'!D:D,'QA Log'!H:H,"")</f>
        <v>#NAME?</v>
      </c>
      <c r="E83" s="102" t="e">
        <f t="array" aca="1" ref="E83" ca="1">_xludf.XLOOKUP(A83,'QA Log'!D:D,'QA Log'!G:G,"")</f>
        <v>#NAME?</v>
      </c>
      <c r="F83" s="103"/>
      <c r="G83" s="104"/>
      <c r="H83" s="104"/>
      <c r="I83" s="103" t="str">
        <f t="shared" si="0"/>
        <v/>
      </c>
      <c r="J83" s="102" t="str">
        <f>IF(A83="","",SUM(
COUNTIFS('QA Log'!D:D,A83,'QA Log'!M:M,"QQC",'QA Log'!L:L,"*1. General Management*"),
COUNTIFS('QA Log'!D:D,A83,'QA Log'!M:M,"QQC",'QA Log'!L:L,"*3. Curative Consultation (OPD)*"),
COUNTIFS('QA Log'!D:D,A83,'QA Log'!M:M,"QQC",'QA Log'!L:L,"*5. Laboratory*"),
COUNTIFS('QA Log'!D:D,A83,'QA Log'!M:M,"QQC",'QA Log'!L:L,"*6. Essential Medicine Management*"),
COUNTIFS('QA Log'!D:D,A83,'QA Log'!M:M,"QQC",'QA Log'!L:L,"*7. Tracer Medicine*"),
COUNTIFS('QA Log'!D:D,A83,'QA Log'!M:M,"QQC",'QA Log'!L:L,"*11. Additional Questions*")))</f>
        <v/>
      </c>
      <c r="K83" s="102" t="str">
        <f>IF(A83="","",SUM(
COUNTIFS('QA Log'!D:D,A83,'QA Log'!M:M,"QQC",'QA Log'!Z:Z,"Approved",'QA Log'!L:L,"*1. General Management*"),
COUNTIFS('QA Log'!D:D,A83,'QA Log'!M:M,"QQC",'QA Log'!Z:Z,"Approved",'QA Log'!L:L,"*3. Curative Consultation (OPD)*"),
COUNTIFS('QA Log'!D:D,A83,'QA Log'!M:M,"QQC",'QA Log'!Z:Z,"Approved",'QA Log'!L:L,"*5. Laboratory*"),
COUNTIFS('QA Log'!D:D,A83,'QA Log'!M:M,"QQC",'QA Log'!Z:Z,"Approved",'QA Log'!L:L,"*6. Essential Medicine Management*"),
COUNTIFS('QA Log'!D:D,A83,'QA Log'!M:M,"QQC",'QA Log'!Z:Z,"Approved",'QA Log'!L:L,"*7. Tracer Medicine*"),
COUNTIFS('QA Log'!D:D,A83,'QA Log'!M:M,"QQC",'QA Log'!Z:Z,"Approved",'QA Log'!L:L,"*11. Additional Questions*")))</f>
        <v/>
      </c>
      <c r="L83" s="105" t="str">
        <f>IF(A83&lt;&gt;"",COUNTIFS('QA Log'!D:D,A83,'QA Log'!M:M,"QQC",'QA Log'!L:L,"1. General Management",'QA Log'!Z:Z,"Approved"),"")</f>
        <v/>
      </c>
      <c r="M83" s="105" t="str">
        <f>IF(A83&lt;&gt;"",COUNTIFS('QA Log'!D:D,A83,'QA Log'!M:M,"QQC",'QA Log'!L:L,"3. Curative Consultation (OPD)",'QA Log'!Z:Z,"Approved"),"")</f>
        <v/>
      </c>
      <c r="N83" s="105" t="str">
        <f>IF(A83&lt;&gt;"",COUNTIFS('QA Log'!D:D,A83,'QA Log'!M:M,"QQC",'QA Log'!L:L,"5. Laboratory",'QA Log'!Z:Z,"Approved"),"")</f>
        <v/>
      </c>
      <c r="O83" s="105" t="str">
        <f>IF(A83&lt;&gt;"",COUNTIFS('QA Log'!D:D,A83,'QA Log'!M:M,"QQC",'QA Log'!L:L,"6. Essential Medicine Management",'QA Log'!Z:Z,"Approved"),"")</f>
        <v/>
      </c>
      <c r="P83" s="105" t="str">
        <f>IF(A83&lt;&gt;"",COUNTIFS('QA Log'!D:D,A83,'QA Log'!M:M,"QQC",'QA Log'!L:L,"7. Tracer Medicine",'QA Log'!Z:Z,"Approved"),"")</f>
        <v/>
      </c>
      <c r="Q83" s="105" t="str">
        <f>IF(A83&lt;&gt;"",COUNTIFS('QA Log'!D:D,A83,'QA Log'!M:M,"QQC",'QA Log'!L:L,"11. Additional Questions",'QA Log'!Z:Z,"Approved"),"")</f>
        <v/>
      </c>
      <c r="R83" s="102" t="str">
        <f>IF(A83="","",SUM(
COUNTIFS('QA Log'!D:D,A83,'QA Log'!M:M,"QQC",'QA Log'!Z:Z,"Rejected",'QA Log'!L:L,"*8. Maternity*"),
COUNTIFS('QA Log'!D:D,A83,'QA Log'!M:M,"QQC",'QA Log'!Z:Z,"Rejected",'QA Log'!L:L,"*EPI*"),
COUNTIFS('QA Log'!D:D,A83,'QA Log'!M:M,"QQC",'QA Log'!Z:Z,"Rejected",'QA Log'!L:L,"*10. Antenatal Care (ANC)*"),
COUNTIFS('QA Log'!D:D,A83,'QA Log'!M:M,"QQC",'QA Log'!Z:Z,"Rejected",'QA Log'!L:L,"*2. Hygiene and Sterilization*"),
COUNTIFS('QA Log'!D:D,A83,'QA Log'!M:M,"QQC",'QA Log'!Z:Z,"Rejected",'QA Log'!L:L,"*Family Planning*")))</f>
        <v/>
      </c>
      <c r="S83" s="106" t="str">
        <f t="shared" si="1"/>
        <v/>
      </c>
      <c r="T83" s="102" t="str">
        <f t="shared" si="2"/>
        <v/>
      </c>
      <c r="U83" s="102" t="str">
        <f>IF(A83="","",
SUM(
COUNTIFS('QA Log'!D:D,A83,'QA Log'!M:M,"QQC",'QA Log'!L:L,"*8. Maternity*"),
COUNTIFS('QA Log'!D:D,A83,'QA Log'!M:M,"QQC",'QA Log'!L:L,"*9. EPI and Pre-school Consultation*"),
COUNTIFS('QA Log'!D:D,A83,'QA Log'!M:M,"QQC",'QA Log'!L:L,"*10. Antenatal Care (ANC)*"),
COUNTIFS('QA Log'!D:D,A83,'QA Log'!M:M,"QQC",'QA Log'!L:L,"*2. Hygiene and Sterilization*"),
COUNTIFS('QA Log'!D:D,A83,'QA Log'!M:M,"QQC",'QA Log'!L:L,"*4. Family Planning*")
))</f>
        <v/>
      </c>
      <c r="V83" s="102" t="str">
        <f>IF(A83="","",
SUM(
COUNTIFS('QA Log'!D:D,A83,'QA Log'!M:M,"QQC",'QA Log'!Z:Z,"Approved",'QA Log'!L:L,"*8. Maternity*"),
COUNTIFS('QA Log'!D:D,A83,'QA Log'!M:M,"QQC",'QA Log'!Z:Z,"Approved",'QA Log'!L:L,"*9. EPI and Pre-school Consultation*"),
COUNTIFS('QA Log'!D:D,A83,'QA Log'!M:M,"QQC",'QA Log'!Z:Z,"Approved",'QA Log'!L:L,"*10. Antenatal Care (ANC)*"),
COUNTIFS('QA Log'!D:D,A83,'QA Log'!M:M,"QQC",'QA Log'!Z:Z,"Approved",'QA Log'!L:L,"*2. Hygiene and Sterilization*"),
COUNTIFS('QA Log'!D:D,A83,'QA Log'!M:M,"QQC",'QA Log'!Z:Z,"Approved",'QA Log'!L:L,"*4. Family Planning*")
))</f>
        <v/>
      </c>
      <c r="W83" s="105" t="str">
        <f>IF(A83&lt;&gt;"",COUNTIFS('QA Log'!D:D,A83,'QA Log'!M:M,"QQC",'QA Log'!L:L,"8. Maternity",'QA Log'!Z:Z,"Approved"),"")</f>
        <v/>
      </c>
      <c r="X83" s="105" t="str">
        <f>IF(A83&lt;&gt;"",COUNTIFS('QA Log'!D:D,A83,'QA Log'!M:M,"QQC",'QA Log'!L:L,"9. EPI and Pre-school Consultation",'QA Log'!Z:Z,"Approved"),"")</f>
        <v/>
      </c>
      <c r="Y83" s="105" t="str">
        <f>IF(A83&lt;&gt;"",COUNTIFS('QA Log'!D:D,A83,'QA Log'!M:M,"QQC",'QA Log'!L:L,"10. Antenatal Care (ANC)",'QA Log'!Z:Z,"Approved"),"")</f>
        <v/>
      </c>
      <c r="Z83" s="105" t="str">
        <f>IF(A83&lt;&gt;"",COUNTIFS('QA Log'!D:D,A83,'QA Log'!M:M,"QQC",'QA Log'!L:L,"2. Hygiene and Sterilization",'QA Log'!Z:Z,"Approved"),"")</f>
        <v/>
      </c>
      <c r="AA83" s="105" t="str">
        <f>IF(A83&lt;&gt;"",COUNTIFS('QA Log'!D:D,A83,'QA Log'!M:M,"QQC",'QA Log'!L:L,"4. Family Planning",'QA Log'!Z:Z,"Approved"),"")</f>
        <v/>
      </c>
      <c r="AB83" s="102" t="str">
        <f>IF(A83="","",
SUM(
COUNTIFS('QA Log'!D:D,A83,'QA Log'!M:M,"QQC",'QA Log'!Z:Z,"Rejected",'QA Log'!L:L,"*8. Maternity*"),
COUNTIFS('QA Log'!D:D,A83,'QA Log'!M:M,"QQC",'QA Log'!Z:Z,"Rejected",'QA Log'!L:L,"*9. EPI and Pre-school Consultation*"),
COUNTIFS('QA Log'!D:D,A83,'QA Log'!M:M,"QQC",'QA Log'!Z:Z,"Rejected",'QA Log'!L:L,"*10. Antenatal Care (ANC)*"),
COUNTIFS('QA Log'!D:D,A83,'QA Log'!M:M,"QQC",'QA Log'!Z:Z,"Rejected",'QA Log'!L:L,"*2. Hygiene and Sterilization*"),
COUNTIFS('QA Log'!D:D,A83,'QA Log'!M:M,"QQC",'QA Log'!Z:Z,"Rejected",'QA Log'!L:L,"*4. Family Planning*")
))</f>
        <v/>
      </c>
      <c r="AC83" s="102" t="str">
        <f t="shared" si="3"/>
        <v/>
      </c>
      <c r="AD83" s="103" t="str">
        <f t="shared" si="4"/>
        <v/>
      </c>
      <c r="AE83" s="102" t="str">
        <f>IF(A83="","",
SUM(
COUNTIFS('QA Log'!D:D,A83,'QA Log'!M:M,"Data Verification",'QA Log'!L:L,"*Medicine (section 2)*"),
COUNTIFS('QA Log'!D:D,A83,'QA Log'!M:M,"Data Verification",'QA Log'!L:L,"*Lab Testing Availability*"),
COUNTIFS('QA Log'!D:D,A83,'QA Log'!M:M,"Data Verification",'QA Log'!L:L,"*Other than P4P (section 6)*"),
COUNTIFS('QA Log'!D:D,A83,'QA Log'!M:M,"Data Verification",'QA Log'!L:L,"*Hospital Governance*")
))</f>
        <v/>
      </c>
      <c r="AF83" s="102" t="str">
        <f>IF(A83="","",
SUM(
COUNTIFS('QA Log'!D:D,A83,'QA Log'!M:M,"Data Verification",'QA Log'!Z:Z,"Approved",'QA Log'!L:L,"*Medicine (section 2)*"),
COUNTIFS('QA Log'!D:D,A83,'QA Log'!M:M,"Data Verification",'QA Log'!Z:Z,"Approved",'QA Log'!L:L,"*Lab Testing Availability*"),
COUNTIFS('QA Log'!D:D,A83,'QA Log'!M:M,"Data Verification",'QA Log'!Z:Z,"Approved",'QA Log'!L:L,"*Other than P4P (section 6)*"),
COUNTIFS('QA Log'!D:D,A83,'QA Log'!M:M,"Data Verification",'QA Log'!Z:Z,"Approved",'QA Log'!L:L,"*Hospital Governance*")
))</f>
        <v/>
      </c>
      <c r="AG83" s="105" t="str">
        <f>IF(A83&lt;&gt;"",COUNTIFS('QA Log'!D:D,A83,'QA Log'!M:M,"Data Verification",'QA Log'!L:L,"Medicine (section 2)",'QA Log'!Z:Z,"Approved"),"")</f>
        <v/>
      </c>
      <c r="AH83" s="105" t="str">
        <f>IF(A83&lt;&gt;"",COUNTIFS('QA Log'!D:D,A83,'QA Log'!M:M,"Data Verification",'QA Log'!L:L,"Lab Testing Availability",'QA Log'!Z:Z,"Approved"),"")</f>
        <v/>
      </c>
      <c r="AI83" s="105" t="str">
        <f>IF(A83&lt;&gt;"",COUNTIFS('QA Log'!D:D,A83,'QA Log'!M:M,"Data Verification",'QA Log'!L:L,"Other than P4P (section 6)",'QA Log'!Z:Z,"Approved"),"")</f>
        <v/>
      </c>
      <c r="AJ83" s="105" t="str">
        <f>IF(A83&lt;&gt;"",COUNTIFS('QA Log'!D:D,A83,'QA Log'!M:M,"Data Verification",'QA Log'!L:L,"Hospital Governance",'QA Log'!Z:Z,"Approved"),"")</f>
        <v/>
      </c>
      <c r="AK83" s="102" t="str">
        <f>IF(A83="","",
SUM(
COUNTIFS('QA Log'!D:D,A83,'QA Log'!M:M,"Data Verification",'QA Log'!Z:Z,"Rejected",'QA Log'!L:L,"*Medicine (section 2)*"),
COUNTIFS('QA Log'!D:D,A83,'QA Log'!M:M,"Data Verification",'QA Log'!Z:Z,"Rejected",'QA Log'!L:L,"*Lab Testing Availability*"),
COUNTIFS('QA Log'!D:D,A83,'QA Log'!M:M,"Data Verification",'QA Log'!Z:Z,"Rejected",'QA Log'!L:L,"*Other than P4P (section 6)*"),
COUNTIFS('QA Log'!D:D,A83,'QA Log'!M:M,"Data Verification",'QA Log'!Z:Z,"Rejected",'QA Log'!L:L,"*Hospital Governance*")
))</f>
        <v/>
      </c>
      <c r="AL83" s="106" t="str">
        <f t="shared" si="5"/>
        <v/>
      </c>
      <c r="AM83" s="102" t="str">
        <f t="shared" si="6"/>
        <v/>
      </c>
      <c r="AN83" s="102" t="str">
        <f>IF(A83="","",
SUM(
COUNTIFS('QA Log'!D:D,A83,'QA Log'!M:M,"Data Verification",'QA Log'!L:L,"*Personnel (section 1)*"),
COUNTIFS('QA Log'!D:D,A83,'QA Log'!M:M,"Data Verification",'QA Log'!L:L,"*Consumable (section 3)*"),
COUNTIFS('QA Log'!D:D,A83,'QA Log'!M:M,"Data Verification",'QA Log'!L:L,"*Equipments (section 4)*")
))</f>
        <v/>
      </c>
      <c r="AO83" s="102" t="str">
        <f>IF(A83="","",
SUM(
COUNTIFS('QA Log'!D:D,A83,'QA Log'!M:M,"Data Verification",'QA Log'!Z:Z,"Approved",'QA Log'!L:L,"*Personnel (section 1)*"),
COUNTIFS('QA Log'!D:D,A83,'QA Log'!M:M,"Data Verification",'QA Log'!Z:Z,"Approved",'QA Log'!L:L,"*Consumable (section 3)*"),
COUNTIFS('QA Log'!D:D,A83,'QA Log'!M:M,"Data Verification",'QA Log'!Z:Z,"Approved",'QA Log'!L:L,"*Equipments (section 4)*")
))</f>
        <v/>
      </c>
      <c r="AP83" s="105" t="str">
        <f>IF(A83&lt;&gt;"",COUNTIFS('QA Log'!D:D,A83,'QA Log'!M:M,"Data Verification",'QA Log'!L:L,"Personnel (section 1)",'QA Log'!Z:Z,"Approved"),"")</f>
        <v/>
      </c>
      <c r="AQ83" s="105" t="str">
        <f>IF(A83&lt;&gt;"",COUNTIFS('QA Log'!D:D,A83,'QA Log'!M:M,"Data Verification",'QA Log'!L:L,"Consumable (section 3)",'QA Log'!Z:Z,"Approved"),"")</f>
        <v/>
      </c>
      <c r="AR83" s="105" t="str">
        <f>IF(A83&lt;&gt;"",COUNTIFS('QA Log'!D:D,A83,'QA Log'!M:M,"Data Verification",'QA Log'!L:L,"Equipments (section 4)",'QA Log'!Z:Z,"Approved"),"")</f>
        <v/>
      </c>
      <c r="AS83" s="102" t="str">
        <f>IF(A83="","",
SUM(
COUNTIFS('QA Log'!D:D,A83,'QA Log'!M:M,"Data Verification",'QA Log'!Z:Z,"Rejected",'QA Log'!L:L,"*Personnel (section 1)*"),
COUNTIFS('QA Log'!D:D,A83,'QA Log'!M:M,"Data Verification",'QA Log'!Z:Z,"Rejected",'QA Log'!L:L,"*Consumable (section 3)*"),
COUNTIFS('QA Log'!D:D,A83,'QA Log'!M:M,"Data Verification",'QA Log'!Z:Z,"Rejected",'QA Log'!L:L,"*Equipments (section 4)*")
))</f>
        <v/>
      </c>
      <c r="AT83" s="102" t="str">
        <f t="shared" si="7"/>
        <v/>
      </c>
      <c r="AU83" s="103" t="str">
        <f t="shared" si="8"/>
        <v/>
      </c>
      <c r="AV83" s="102" t="str">
        <f>IF(A83="","",SUM(
COUNTIFS('QA Log'!D:D,A83,'QA Log'!M:M,"Vignette",'QA Log'!L:L,"*Vignette [1] Respiratory Infection: Pneumonia*"),
COUNTIFS('QA Log'!D:D,A83,'QA Log'!M:M,"Vignette",'QA Log'!L:L,"*Vignette [2]: Diarrhea with Cat B dehydration*"),
COUNTIFS('QA Log'!D:D,A83,'QA Log'!M:M,"Vignette",'QA Log'!L:L,"*Vignette [3] Growth Monitoring and Promotion*"),
COUNTIFS('QA Log'!D:D,A83,'QA Log'!M:M,"Vignette",'QA Log'!L:L,"*Vignette [4]: The management of presumptive TB patient*")
)
)</f>
        <v/>
      </c>
      <c r="AW83" s="102" t="str">
        <f>IF(
  A83="","",
  SUM(
    COUNTIFS('QA Log'!D:D,A83,'QA Log'!M:M,"Vignette",'QA Log'!Z:Z,"Approved",'QA Log'!L:L,"*Vignette [1] Respiratory Infection: Pneumonia*"),
    COUNTIFS('QA Log'!D:D,A83,'QA Log'!M:M,"Vignette",'QA Log'!Z:Z,"Approved",'QA Log'!L:L,"*Vignette [2]: Diarrhea with Cat B dehydration*"),
    COUNTIFS('QA Log'!D:D,A83,'QA Log'!M:M,"Vignette",'QA Log'!Z:Z,"Approved",'QA Log'!L:L,"*Vignette [3] Growth Monitoring and Promotion*"),
    COUNTIFS('QA Log'!D:D,A83,'QA Log'!M:M,"Vignette",'QA Log'!Z:Z,"Approved",'QA Log'!L:L,"*Vignette [4]: The management of presumptive TB patient*")
  )
)</f>
        <v/>
      </c>
      <c r="AX83" s="105" t="str">
        <f>IF(A83&lt;&gt;"",COUNTIFS('QA Log'!D:D,A83,'QA Log'!M:M,"Vignette",'QA Log'!L:L,"Vignette [1] Respiratory Infection: Pneumonia",'QA Log'!Z:Z,"Approved"),"")</f>
        <v/>
      </c>
      <c r="AY83" s="105" t="str">
        <f>IF(A83&lt;&gt;"",COUNTIFS('QA Log'!D:D,A83,'QA Log'!M:M,"Vignette",'QA Log'!L:L,"Vignette [2]: Diarrhea with Cat B dehydration",'QA Log'!Z:Z,"Approved"),"")</f>
        <v/>
      </c>
      <c r="AZ83" s="105" t="str">
        <f>IF(A83&lt;&gt;"",COUNTIFS('QA Log'!D:D,A83,'QA Log'!M:M,"Vignette",'QA Log'!L:L,"Vignette [3] Growth Monitoring and Promotion",'QA Log'!Z:Z,"Approved"),"")</f>
        <v/>
      </c>
      <c r="BA83" s="105" t="str">
        <f>IF(A83&lt;&gt;"",COUNTIFS('QA Log'!D:D,A83,'QA Log'!M:M,"Vignette",'QA Log'!L:L,"Vignette [4]: The management of presumptive TB patient",'QA Log'!Z:Z,"Approved"),"")</f>
        <v/>
      </c>
      <c r="BB83" s="102" t="str">
        <f>IF(A83="","",
  SUM(
    COUNTIFS('QA Log'!D:D,A83,'QA Log'!M:M,"Vignette",'QA Log'!Z:Z,"Rejected",'QA Log'!L:L,"*Vignette [1] Respiratory Infection: Pneumonia*"),
    COUNTIFS('QA Log'!D:D,A83,'QA Log'!M:M,"Vignette",'QA Log'!Z:Z,"Rejected",'QA Log'!L:L,"*Vignette [2]: Diarrhea with Cat B dehydration*"),
    COUNTIFS('QA Log'!D:D,A83,'QA Log'!M:M,"Vignette",'QA Log'!Z:Z,"Rejected",'QA Log'!L:L,"*Vignette [3] Growth Monitoring and Promotion*"),
    COUNTIFS('QA Log'!D:D,A83,'QA Log'!M:M,"Vignette",'QA Log'!Z:Z,"Rejected",'QA Log'!L:L,"*Vignette [4]: The management of presumptive TB patient*")
  )
)</f>
        <v/>
      </c>
      <c r="BC83" s="107" t="str">
        <f t="shared" si="9"/>
        <v/>
      </c>
      <c r="BD83" s="103" t="str">
        <f t="shared" si="10"/>
        <v/>
      </c>
      <c r="BE83" s="102" t="str">
        <f>IF(A83="","",SUM(
COUNTIFS('QA Log'!D:D,A83,'QA Log'!M:M,"Vignette",'QA Log'!L:L,"*Vignette [5] Labor*"),
COUNTIFS('QA Log'!D:D,A83,'QA Log'!M:M,"Vignette",'QA Log'!L:L,"*Vignette [6] PNC pre Discharge*"),
COUNTIFS('QA Log'!D:D,A83,'QA Log'!M:M,"Vignette",'QA Log'!L:L,"*Vignette [7] First ANC Visit*"),
COUNTIFS('QA Log'!D:D,A83,'QA Log'!M:M,"Vignette",'QA Log'!L:L,"*Vignette [8] Birth Spacing/ Family Planning :  FP Counselling*"),
COUNTIFS('QA Log'!D:D,A83,'QA Log'!M:M,"Vignette",'QA Log'!L:L,"*Vignette [9] Birth Spacing: Change FP method to Injectable*"),
COUNTIFS('QA Log'!D:D,A83,'QA Log'!M:M,"Vignette",'QA Log'!L:L,"*Vignette [10] Post Partum Haemorrhage - Atonic Uterus at Health Centre*"),
)
)</f>
        <v/>
      </c>
      <c r="BF83" s="102" t="str">
        <f>IF(A83="","",
  SUM(
    COUNTIFS('QA Log'!D:D,A83,'QA Log'!M:M,"Vignette",'QA Log'!Z:Z,"Approved",'QA Log'!L:L,"*Vignette [5] Labor*"),
    COUNTIFS('QA Log'!D:D,A83,'QA Log'!M:M,"Vignette",'QA Log'!Z:Z,"Approved",'QA Log'!L:L,"*Vignette [6] PNC pre Discharge*"),
    COUNTIFS('QA Log'!D:D,A83,'QA Log'!M:M,"Vignette",'QA Log'!Z:Z,"Approved",'QA Log'!L:L,"*Vignette [7] First ANC Visit*"),
    COUNTIFS('QA Log'!D:D,A83,'QA Log'!M:M,"Vignette",'QA Log'!Z:Z,"Approved",'QA Log'!L:L,"*Vignette [8] Birth Spacing/ Family Planning :  FP Counselling*"),
    COUNTIFS('QA Log'!D:D,A83,'QA Log'!M:M,"Vignette",'QA Log'!Z:Z,"Approved",'QA Log'!L:L,"*Vignette [9] Birth Spacing: Change FP method to Injectable*"),
    COUNTIFS('QA Log'!D:D,A83,'QA Log'!M:M,"Vignette",'QA Log'!Z:Z,"Approved",'QA Log'!L:L,"*Vignette [10] Post Partum Haemorrhage - Atonic Uterus at Health Centre*")
  )
)</f>
        <v/>
      </c>
      <c r="BG83" s="105" t="str">
        <f>IF(A83&lt;&gt;"",COUNTIFS('QA Log'!D:D,A83,'QA Log'!M:M,"Vignette",'QA Log'!L:L,"Vignette [5] Labor",'QA Log'!Z:Z,"Approved"),"")</f>
        <v/>
      </c>
      <c r="BH83" s="105" t="str">
        <f>IF(A83&lt;&gt;"",COUNTIFS('QA Log'!D:D,A83,'QA Log'!M:M,"Vignette",'QA Log'!L:L,"Vignette [6] PNC pre Discharge",'QA Log'!Z:Z,"Approved"),"")</f>
        <v/>
      </c>
      <c r="BI83" s="105" t="str">
        <f>IF(A83&lt;&gt;"",COUNTIFS('QA Log'!D:D,A83,'QA Log'!M:M,"Vignette",'QA Log'!L:L,"Vignette [7] First ANC Visit",'QA Log'!Z:Z,"Approved"),"")</f>
        <v/>
      </c>
      <c r="BJ83" s="105" t="str">
        <f>IF(A83&lt;&gt;"",COUNTIFS('QA Log'!D:D,A83,'QA Log'!M:M,"Vignette",'QA Log'!L:L,"Vignette [8] Birth Spacing/ Family Planning :  FP Counselling",'QA Log'!Z:Z,"Approved"),"")</f>
        <v/>
      </c>
      <c r="BK83" s="105" t="str">
        <f>IF(A83&lt;&gt;"",COUNTIFS('QA Log'!D:D,A83,'QA Log'!M:M,"Vignette",'QA Log'!L:L,"Vignette [9] Birth Spacing: Change FP method to Injectable",'QA Log'!Z:Z,"Approved"),"")</f>
        <v/>
      </c>
      <c r="BL83" s="105" t="str">
        <f>IF(A83&lt;&gt;"",COUNTIFS('QA Log'!D:D,A83,'QA Log'!M:M,"Vignette",'QA Log'!L:L,"Vignette [10] Post Partum Haemorrhage - Atonic Uterus at Health Centre",'QA Log'!Z:Z,"Approved"),"")</f>
        <v/>
      </c>
      <c r="BM83" s="102" t="str">
        <f>IF(A83="","",SUM(
    COUNTIFS('QA Log'!D:D,A83,'QA Log'!M:M,"Vignette",'QA Log'!Z:Z,"Rejected",'QA Log'!L:L,"*Vignette [5] Labor*"),
    COUNTIFS('QA Log'!D:D,A83,'QA Log'!M:M,"Vignette",'QA Log'!Z:Z,"Rejected",'QA Log'!L:L,"*Vignette [6] PNC pre Discharge*"),
    COUNTIFS('QA Log'!D:D,A83,'QA Log'!M:M,"Vignette",'QA Log'!Z:Z,"Rejected",'QA Log'!L:L,"*Vignette [7] First ANC Visit*"),
    COUNTIFS('QA Log'!D:D,A83,'QA Log'!M:M,"Vignette",'QA Log'!Z:Z,"Rejected",'QA Log'!L:L,"*Vignette [8] Birth Spacing/ Family Planning :  FP Counselling*"),
    COUNTIFS('QA Log'!D:D,A83,'QA Log'!M:M,"Vignette",'QA Log'!Z:Z,"Rejected",'QA Log'!L:L,"*Vignette [9] Birth Spacing: Change FP method to Injectable*"),
    COUNTIFS('QA Log'!D:D,A83,'QA Log'!M:M,"Vignette",'QA Log'!Z:Z,"Rejected",'QA Log'!L:L,"*Vignette [10] Post Partum Haemorrhage - Atonic Uterus at Health Centre*")
  )
)</f>
        <v/>
      </c>
      <c r="BN83" s="107" t="str">
        <f t="shared" si="11"/>
        <v/>
      </c>
      <c r="BO83" s="103" t="str">
        <f t="shared" si="12"/>
        <v/>
      </c>
      <c r="BP83" s="102" t="str">
        <f>IF(A83="","",SUM(
COUNTIFS('QA Log'!D:D,A83,'QA Log'!M:M,"Vignette",'QA Log'!L:L,"*Exit Interview 1*"),
COUNTIFS('QA Log'!D:D,A83,'QA Log'!M:M,"Vignette",'QA Log'!L:L,"*Exit Interview 2*"),
)
)</f>
        <v/>
      </c>
      <c r="BQ83" s="102" t="str">
        <f>IF(
  A83="","",
  SUM(
    COUNTIFS('QA Log'!D:D,A83,'QA Log'!M:M,"Vignette",'QA Log'!Z:Z,"Approved",'QA Log'!L:L,"*Exit Interview 1*"),
    COUNTIFS('QA Log'!D:D,A83,'QA Log'!M:M,"Vignette",'QA Log'!Z:Z,"Approved",'QA Log'!L:L,"*Exit Interview 2*")
  )
)</f>
        <v/>
      </c>
      <c r="BR83" s="105" t="str">
        <f>IF(A83&lt;&gt;"",COUNTIFS('QA Log'!D:D,A83,'QA Log'!M:M,"Vignette",'QA Log'!L:L,"Exit Interview 1",'QA Log'!Z:Z,"Approved"),"")</f>
        <v/>
      </c>
      <c r="BS83" s="105" t="str">
        <f>IF(A83&lt;&gt;"",COUNTIFS('QA Log'!D:D,A83,'QA Log'!M:M,"Vignette",'QA Log'!L:L,"Exit Interview 2",'QA Log'!Z:Z,"Approved"),"")</f>
        <v/>
      </c>
      <c r="BT83" s="102" t="str">
        <f>IF(
  A83="","",
  SUM(
    COUNTIFS('QA Log'!D:D,A83,'QA Log'!M:M,"Vignette",'QA Log'!Z:Z,"Rejected",'QA Log'!L:L,"*Exit Interview 1*"),
    COUNTIFS('QA Log'!D:D,A83,'QA Log'!M:M,"Vignette",'QA Log'!Z:Z,"Rejected",'QA Log'!L:L,"*Exit Interview 2*")
  )
)</f>
        <v/>
      </c>
      <c r="BU83" s="107" t="str">
        <f t="shared" si="13"/>
        <v/>
      </c>
      <c r="BV83" s="102" t="str">
        <f t="shared" si="14"/>
        <v/>
      </c>
      <c r="BW83" s="102" t="str">
        <f t="shared" si="15"/>
        <v/>
      </c>
      <c r="BX83" s="102" t="str">
        <f t="shared" si="16"/>
        <v/>
      </c>
      <c r="BY83" s="102" t="str">
        <f t="shared" si="17"/>
        <v/>
      </c>
      <c r="BZ83" s="107" t="str">
        <f t="shared" si="18"/>
        <v/>
      </c>
      <c r="CA83" s="108" t="str">
        <f t="shared" si="19"/>
        <v/>
      </c>
      <c r="CB83" s="108" t="str">
        <f t="shared" si="20"/>
        <v/>
      </c>
      <c r="CC83" s="109" t="str">
        <f t="shared" si="21"/>
        <v/>
      </c>
      <c r="CD83" s="108" t="str">
        <f t="shared" si="22"/>
        <v/>
      </c>
      <c r="CE83" s="108" t="str">
        <f t="shared" si="23"/>
        <v/>
      </c>
      <c r="CF83" s="109" t="str">
        <f t="shared" si="24"/>
        <v/>
      </c>
      <c r="CG83" s="110" t="str">
        <f t="shared" si="25"/>
        <v/>
      </c>
      <c r="CH83" s="111"/>
    </row>
    <row r="84" spans="1:86" ht="12.75">
      <c r="A84" s="101"/>
      <c r="B84" s="102" t="e">
        <f t="array" aca="1" ref="B84" ca="1">_xludf.XLOOKUP(A84,'QA Log'!D:D,'QA Log'!E:E,"")</f>
        <v>#NAME?</v>
      </c>
      <c r="C84" s="102" t="e">
        <f t="array" aca="1" ref="C84" ca="1">_xludf.XLOOKUP(A84,'QA Log'!D:D,'QA Log'!F:F,"")</f>
        <v>#NAME?</v>
      </c>
      <c r="D84" s="102" t="e">
        <f t="array" aca="1" ref="D84" ca="1">_xludf.XLOOKUP(A84,'QA Log'!D:D,'QA Log'!H:H,"")</f>
        <v>#NAME?</v>
      </c>
      <c r="E84" s="102" t="e">
        <f t="array" aca="1" ref="E84" ca="1">_xludf.XLOOKUP(A84,'QA Log'!D:D,'QA Log'!G:G,"")</f>
        <v>#NAME?</v>
      </c>
      <c r="F84" s="103"/>
      <c r="G84" s="104"/>
      <c r="H84" s="104"/>
      <c r="I84" s="103" t="str">
        <f t="shared" si="0"/>
        <v/>
      </c>
      <c r="J84" s="102" t="str">
        <f>IF(A84="","",SUM(
COUNTIFS('QA Log'!D:D,A84,'QA Log'!M:M,"QQC",'QA Log'!L:L,"*1. General Management*"),
COUNTIFS('QA Log'!D:D,A84,'QA Log'!M:M,"QQC",'QA Log'!L:L,"*3. Curative Consultation (OPD)*"),
COUNTIFS('QA Log'!D:D,A84,'QA Log'!M:M,"QQC",'QA Log'!L:L,"*5. Laboratory*"),
COUNTIFS('QA Log'!D:D,A84,'QA Log'!M:M,"QQC",'QA Log'!L:L,"*6. Essential Medicine Management*"),
COUNTIFS('QA Log'!D:D,A84,'QA Log'!M:M,"QQC",'QA Log'!L:L,"*7. Tracer Medicine*"),
COUNTIFS('QA Log'!D:D,A84,'QA Log'!M:M,"QQC",'QA Log'!L:L,"*11. Additional Questions*")))</f>
        <v/>
      </c>
      <c r="K84" s="102" t="str">
        <f>IF(A84="","",SUM(
COUNTIFS('QA Log'!D:D,A84,'QA Log'!M:M,"QQC",'QA Log'!Z:Z,"Approved",'QA Log'!L:L,"*1. General Management*"),
COUNTIFS('QA Log'!D:D,A84,'QA Log'!M:M,"QQC",'QA Log'!Z:Z,"Approved",'QA Log'!L:L,"*3. Curative Consultation (OPD)*"),
COUNTIFS('QA Log'!D:D,A84,'QA Log'!M:M,"QQC",'QA Log'!Z:Z,"Approved",'QA Log'!L:L,"*5. Laboratory*"),
COUNTIFS('QA Log'!D:D,A84,'QA Log'!M:M,"QQC",'QA Log'!Z:Z,"Approved",'QA Log'!L:L,"*6. Essential Medicine Management*"),
COUNTIFS('QA Log'!D:D,A84,'QA Log'!M:M,"QQC",'QA Log'!Z:Z,"Approved",'QA Log'!L:L,"*7. Tracer Medicine*"),
COUNTIFS('QA Log'!D:D,A84,'QA Log'!M:M,"QQC",'QA Log'!Z:Z,"Approved",'QA Log'!L:L,"*11. Additional Questions*")))</f>
        <v/>
      </c>
      <c r="L84" s="105" t="str">
        <f>IF(A84&lt;&gt;"",COUNTIFS('QA Log'!D:D,A84,'QA Log'!M:M,"QQC",'QA Log'!L:L,"1. General Management",'QA Log'!Z:Z,"Approved"),"")</f>
        <v/>
      </c>
      <c r="M84" s="105" t="str">
        <f>IF(A84&lt;&gt;"",COUNTIFS('QA Log'!D:D,A84,'QA Log'!M:M,"QQC",'QA Log'!L:L,"3. Curative Consultation (OPD)",'QA Log'!Z:Z,"Approved"),"")</f>
        <v/>
      </c>
      <c r="N84" s="105" t="str">
        <f>IF(A84&lt;&gt;"",COUNTIFS('QA Log'!D:D,A84,'QA Log'!M:M,"QQC",'QA Log'!L:L,"5. Laboratory",'QA Log'!Z:Z,"Approved"),"")</f>
        <v/>
      </c>
      <c r="O84" s="105" t="str">
        <f>IF(A84&lt;&gt;"",COUNTIFS('QA Log'!D:D,A84,'QA Log'!M:M,"QQC",'QA Log'!L:L,"6. Essential Medicine Management",'QA Log'!Z:Z,"Approved"),"")</f>
        <v/>
      </c>
      <c r="P84" s="105" t="str">
        <f>IF(A84&lt;&gt;"",COUNTIFS('QA Log'!D:D,A84,'QA Log'!M:M,"QQC",'QA Log'!L:L,"7. Tracer Medicine",'QA Log'!Z:Z,"Approved"),"")</f>
        <v/>
      </c>
      <c r="Q84" s="105" t="str">
        <f>IF(A84&lt;&gt;"",COUNTIFS('QA Log'!D:D,A84,'QA Log'!M:M,"QQC",'QA Log'!L:L,"11. Additional Questions",'QA Log'!Z:Z,"Approved"),"")</f>
        <v/>
      </c>
      <c r="R84" s="102" t="str">
        <f>IF(A84="","",SUM(
COUNTIFS('QA Log'!D:D,A84,'QA Log'!M:M,"QQC",'QA Log'!Z:Z,"Rejected",'QA Log'!L:L,"*8. Maternity*"),
COUNTIFS('QA Log'!D:D,A84,'QA Log'!M:M,"QQC",'QA Log'!Z:Z,"Rejected",'QA Log'!L:L,"*EPI*"),
COUNTIFS('QA Log'!D:D,A84,'QA Log'!M:M,"QQC",'QA Log'!Z:Z,"Rejected",'QA Log'!L:L,"*10. Antenatal Care (ANC)*"),
COUNTIFS('QA Log'!D:D,A84,'QA Log'!M:M,"QQC",'QA Log'!Z:Z,"Rejected",'QA Log'!L:L,"*2. Hygiene and Sterilization*"),
COUNTIFS('QA Log'!D:D,A84,'QA Log'!M:M,"QQC",'QA Log'!Z:Z,"Rejected",'QA Log'!L:L,"*Family Planning*")))</f>
        <v/>
      </c>
      <c r="S84" s="106" t="str">
        <f t="shared" si="1"/>
        <v/>
      </c>
      <c r="T84" s="102" t="str">
        <f t="shared" si="2"/>
        <v/>
      </c>
      <c r="U84" s="102" t="str">
        <f>IF(A84="","",
SUM(
COUNTIFS('QA Log'!D:D,A84,'QA Log'!M:M,"QQC",'QA Log'!L:L,"*8. Maternity*"),
COUNTIFS('QA Log'!D:D,A84,'QA Log'!M:M,"QQC",'QA Log'!L:L,"*9. EPI and Pre-school Consultation*"),
COUNTIFS('QA Log'!D:D,A84,'QA Log'!M:M,"QQC",'QA Log'!L:L,"*10. Antenatal Care (ANC)*"),
COUNTIFS('QA Log'!D:D,A84,'QA Log'!M:M,"QQC",'QA Log'!L:L,"*2. Hygiene and Sterilization*"),
COUNTIFS('QA Log'!D:D,A84,'QA Log'!M:M,"QQC",'QA Log'!L:L,"*4. Family Planning*")
))</f>
        <v/>
      </c>
      <c r="V84" s="102" t="str">
        <f>IF(A84="","",
SUM(
COUNTIFS('QA Log'!D:D,A84,'QA Log'!M:M,"QQC",'QA Log'!Z:Z,"Approved",'QA Log'!L:L,"*8. Maternity*"),
COUNTIFS('QA Log'!D:D,A84,'QA Log'!M:M,"QQC",'QA Log'!Z:Z,"Approved",'QA Log'!L:L,"*9. EPI and Pre-school Consultation*"),
COUNTIFS('QA Log'!D:D,A84,'QA Log'!M:M,"QQC",'QA Log'!Z:Z,"Approved",'QA Log'!L:L,"*10. Antenatal Care (ANC)*"),
COUNTIFS('QA Log'!D:D,A84,'QA Log'!M:M,"QQC",'QA Log'!Z:Z,"Approved",'QA Log'!L:L,"*2. Hygiene and Sterilization*"),
COUNTIFS('QA Log'!D:D,A84,'QA Log'!M:M,"QQC",'QA Log'!Z:Z,"Approved",'QA Log'!L:L,"*4. Family Planning*")
))</f>
        <v/>
      </c>
      <c r="W84" s="105" t="str">
        <f>IF(A84&lt;&gt;"",COUNTIFS('QA Log'!D:D,A84,'QA Log'!M:M,"QQC",'QA Log'!L:L,"8. Maternity",'QA Log'!Z:Z,"Approved"),"")</f>
        <v/>
      </c>
      <c r="X84" s="105" t="str">
        <f>IF(A84&lt;&gt;"",COUNTIFS('QA Log'!D:D,A84,'QA Log'!M:M,"QQC",'QA Log'!L:L,"9. EPI and Pre-school Consultation",'QA Log'!Z:Z,"Approved"),"")</f>
        <v/>
      </c>
      <c r="Y84" s="105" t="str">
        <f>IF(A84&lt;&gt;"",COUNTIFS('QA Log'!D:D,A84,'QA Log'!M:M,"QQC",'QA Log'!L:L,"10. Antenatal Care (ANC)",'QA Log'!Z:Z,"Approved"),"")</f>
        <v/>
      </c>
      <c r="Z84" s="105" t="str">
        <f>IF(A84&lt;&gt;"",COUNTIFS('QA Log'!D:D,A84,'QA Log'!M:M,"QQC",'QA Log'!L:L,"2. Hygiene and Sterilization",'QA Log'!Z:Z,"Approved"),"")</f>
        <v/>
      </c>
      <c r="AA84" s="105" t="str">
        <f>IF(A84&lt;&gt;"",COUNTIFS('QA Log'!D:D,A84,'QA Log'!M:M,"QQC",'QA Log'!L:L,"4. Family Planning",'QA Log'!Z:Z,"Approved"),"")</f>
        <v/>
      </c>
      <c r="AB84" s="102" t="str">
        <f>IF(A84="","",
SUM(
COUNTIFS('QA Log'!D:D,A84,'QA Log'!M:M,"QQC",'QA Log'!Z:Z,"Rejected",'QA Log'!L:L,"*8. Maternity*"),
COUNTIFS('QA Log'!D:D,A84,'QA Log'!M:M,"QQC",'QA Log'!Z:Z,"Rejected",'QA Log'!L:L,"*9. EPI and Pre-school Consultation*"),
COUNTIFS('QA Log'!D:D,A84,'QA Log'!M:M,"QQC",'QA Log'!Z:Z,"Rejected",'QA Log'!L:L,"*10. Antenatal Care (ANC)*"),
COUNTIFS('QA Log'!D:D,A84,'QA Log'!M:M,"QQC",'QA Log'!Z:Z,"Rejected",'QA Log'!L:L,"*2. Hygiene and Sterilization*"),
COUNTIFS('QA Log'!D:D,A84,'QA Log'!M:M,"QQC",'QA Log'!Z:Z,"Rejected",'QA Log'!L:L,"*4. Family Planning*")
))</f>
        <v/>
      </c>
      <c r="AC84" s="102" t="str">
        <f t="shared" si="3"/>
        <v/>
      </c>
      <c r="AD84" s="103" t="str">
        <f t="shared" si="4"/>
        <v/>
      </c>
      <c r="AE84" s="102" t="str">
        <f>IF(A84="","",
SUM(
COUNTIFS('QA Log'!D:D,A84,'QA Log'!M:M,"Data Verification",'QA Log'!L:L,"*Medicine (section 2)*"),
COUNTIFS('QA Log'!D:D,A84,'QA Log'!M:M,"Data Verification",'QA Log'!L:L,"*Lab Testing Availability*"),
COUNTIFS('QA Log'!D:D,A84,'QA Log'!M:M,"Data Verification",'QA Log'!L:L,"*Other than P4P (section 6)*"),
COUNTIFS('QA Log'!D:D,A84,'QA Log'!M:M,"Data Verification",'QA Log'!L:L,"*Hospital Governance*")
))</f>
        <v/>
      </c>
      <c r="AF84" s="102" t="str">
        <f>IF(A84="","",
SUM(
COUNTIFS('QA Log'!D:D,A84,'QA Log'!M:M,"Data Verification",'QA Log'!Z:Z,"Approved",'QA Log'!L:L,"*Medicine (section 2)*"),
COUNTIFS('QA Log'!D:D,A84,'QA Log'!M:M,"Data Verification",'QA Log'!Z:Z,"Approved",'QA Log'!L:L,"*Lab Testing Availability*"),
COUNTIFS('QA Log'!D:D,A84,'QA Log'!M:M,"Data Verification",'QA Log'!Z:Z,"Approved",'QA Log'!L:L,"*Other than P4P (section 6)*"),
COUNTIFS('QA Log'!D:D,A84,'QA Log'!M:M,"Data Verification",'QA Log'!Z:Z,"Approved",'QA Log'!L:L,"*Hospital Governance*")
))</f>
        <v/>
      </c>
      <c r="AG84" s="105" t="str">
        <f>IF(A84&lt;&gt;"",COUNTIFS('QA Log'!D:D,A84,'QA Log'!M:M,"Data Verification",'QA Log'!L:L,"Medicine (section 2)",'QA Log'!Z:Z,"Approved"),"")</f>
        <v/>
      </c>
      <c r="AH84" s="105" t="str">
        <f>IF(A84&lt;&gt;"",COUNTIFS('QA Log'!D:D,A84,'QA Log'!M:M,"Data Verification",'QA Log'!L:L,"Lab Testing Availability",'QA Log'!Z:Z,"Approved"),"")</f>
        <v/>
      </c>
      <c r="AI84" s="105" t="str">
        <f>IF(A84&lt;&gt;"",COUNTIFS('QA Log'!D:D,A84,'QA Log'!M:M,"Data Verification",'QA Log'!L:L,"Other than P4P (section 6)",'QA Log'!Z:Z,"Approved"),"")</f>
        <v/>
      </c>
      <c r="AJ84" s="105" t="str">
        <f>IF(A84&lt;&gt;"",COUNTIFS('QA Log'!D:D,A84,'QA Log'!M:M,"Data Verification",'QA Log'!L:L,"Hospital Governance",'QA Log'!Z:Z,"Approved"),"")</f>
        <v/>
      </c>
      <c r="AK84" s="102" t="str">
        <f>IF(A84="","",
SUM(
COUNTIFS('QA Log'!D:D,A84,'QA Log'!M:M,"Data Verification",'QA Log'!Z:Z,"Rejected",'QA Log'!L:L,"*Medicine (section 2)*"),
COUNTIFS('QA Log'!D:D,A84,'QA Log'!M:M,"Data Verification",'QA Log'!Z:Z,"Rejected",'QA Log'!L:L,"*Lab Testing Availability*"),
COUNTIFS('QA Log'!D:D,A84,'QA Log'!M:M,"Data Verification",'QA Log'!Z:Z,"Rejected",'QA Log'!L:L,"*Other than P4P (section 6)*"),
COUNTIFS('QA Log'!D:D,A84,'QA Log'!M:M,"Data Verification",'QA Log'!Z:Z,"Rejected",'QA Log'!L:L,"*Hospital Governance*")
))</f>
        <v/>
      </c>
      <c r="AL84" s="106" t="str">
        <f t="shared" si="5"/>
        <v/>
      </c>
      <c r="AM84" s="102" t="str">
        <f t="shared" si="6"/>
        <v/>
      </c>
      <c r="AN84" s="102" t="str">
        <f>IF(A84="","",
SUM(
COUNTIFS('QA Log'!D:D,A84,'QA Log'!M:M,"Data Verification",'QA Log'!L:L,"*Personnel (section 1)*"),
COUNTIFS('QA Log'!D:D,A84,'QA Log'!M:M,"Data Verification",'QA Log'!L:L,"*Consumable (section 3)*"),
COUNTIFS('QA Log'!D:D,A84,'QA Log'!M:M,"Data Verification",'QA Log'!L:L,"*Equipments (section 4)*")
))</f>
        <v/>
      </c>
      <c r="AO84" s="102" t="str">
        <f>IF(A84="","",
SUM(
COUNTIFS('QA Log'!D:D,A84,'QA Log'!M:M,"Data Verification",'QA Log'!Z:Z,"Approved",'QA Log'!L:L,"*Personnel (section 1)*"),
COUNTIFS('QA Log'!D:D,A84,'QA Log'!M:M,"Data Verification",'QA Log'!Z:Z,"Approved",'QA Log'!L:L,"*Consumable (section 3)*"),
COUNTIFS('QA Log'!D:D,A84,'QA Log'!M:M,"Data Verification",'QA Log'!Z:Z,"Approved",'QA Log'!L:L,"*Equipments (section 4)*")
))</f>
        <v/>
      </c>
      <c r="AP84" s="105" t="str">
        <f>IF(A84&lt;&gt;"",COUNTIFS('QA Log'!D:D,A84,'QA Log'!M:M,"Data Verification",'QA Log'!L:L,"Personnel (section 1)",'QA Log'!Z:Z,"Approved"),"")</f>
        <v/>
      </c>
      <c r="AQ84" s="105" t="str">
        <f>IF(A84&lt;&gt;"",COUNTIFS('QA Log'!D:D,A84,'QA Log'!M:M,"Data Verification",'QA Log'!L:L,"Consumable (section 3)",'QA Log'!Z:Z,"Approved"),"")</f>
        <v/>
      </c>
      <c r="AR84" s="105" t="str">
        <f>IF(A84&lt;&gt;"",COUNTIFS('QA Log'!D:D,A84,'QA Log'!M:M,"Data Verification",'QA Log'!L:L,"Equipments (section 4)",'QA Log'!Z:Z,"Approved"),"")</f>
        <v/>
      </c>
      <c r="AS84" s="102" t="str">
        <f>IF(A84="","",
SUM(
COUNTIFS('QA Log'!D:D,A84,'QA Log'!M:M,"Data Verification",'QA Log'!Z:Z,"Rejected",'QA Log'!L:L,"*Personnel (section 1)*"),
COUNTIFS('QA Log'!D:D,A84,'QA Log'!M:M,"Data Verification",'QA Log'!Z:Z,"Rejected",'QA Log'!L:L,"*Consumable (section 3)*"),
COUNTIFS('QA Log'!D:D,A84,'QA Log'!M:M,"Data Verification",'QA Log'!Z:Z,"Rejected",'QA Log'!L:L,"*Equipments (section 4)*")
))</f>
        <v/>
      </c>
      <c r="AT84" s="102" t="str">
        <f t="shared" si="7"/>
        <v/>
      </c>
      <c r="AU84" s="103" t="str">
        <f t="shared" si="8"/>
        <v/>
      </c>
      <c r="AV84" s="102" t="str">
        <f>IF(A84="","",SUM(
COUNTIFS('QA Log'!D:D,A84,'QA Log'!M:M,"Vignette",'QA Log'!L:L,"*Vignette [1] Respiratory Infection: Pneumonia*"),
COUNTIFS('QA Log'!D:D,A84,'QA Log'!M:M,"Vignette",'QA Log'!L:L,"*Vignette [2]: Diarrhea with Cat B dehydration*"),
COUNTIFS('QA Log'!D:D,A84,'QA Log'!M:M,"Vignette",'QA Log'!L:L,"*Vignette [3] Growth Monitoring and Promotion*"),
COUNTIFS('QA Log'!D:D,A84,'QA Log'!M:M,"Vignette",'QA Log'!L:L,"*Vignette [4]: The management of presumptive TB patient*")
)
)</f>
        <v/>
      </c>
      <c r="AW84" s="102" t="str">
        <f>IF(
  A84="","",
  SUM(
    COUNTIFS('QA Log'!D:D,A84,'QA Log'!M:M,"Vignette",'QA Log'!Z:Z,"Approved",'QA Log'!L:L,"*Vignette [1] Respiratory Infection: Pneumonia*"),
    COUNTIFS('QA Log'!D:D,A84,'QA Log'!M:M,"Vignette",'QA Log'!Z:Z,"Approved",'QA Log'!L:L,"*Vignette [2]: Diarrhea with Cat B dehydration*"),
    COUNTIFS('QA Log'!D:D,A84,'QA Log'!M:M,"Vignette",'QA Log'!Z:Z,"Approved",'QA Log'!L:L,"*Vignette [3] Growth Monitoring and Promotion*"),
    COUNTIFS('QA Log'!D:D,A84,'QA Log'!M:M,"Vignette",'QA Log'!Z:Z,"Approved",'QA Log'!L:L,"*Vignette [4]: The management of presumptive TB patient*")
  )
)</f>
        <v/>
      </c>
      <c r="AX84" s="105" t="str">
        <f>IF(A84&lt;&gt;"",COUNTIFS('QA Log'!D:D,A84,'QA Log'!M:M,"Vignette",'QA Log'!L:L,"Vignette [1] Respiratory Infection: Pneumonia",'QA Log'!Z:Z,"Approved"),"")</f>
        <v/>
      </c>
      <c r="AY84" s="105" t="str">
        <f>IF(A84&lt;&gt;"",COUNTIFS('QA Log'!D:D,A84,'QA Log'!M:M,"Vignette",'QA Log'!L:L,"Vignette [2]: Diarrhea with Cat B dehydration",'QA Log'!Z:Z,"Approved"),"")</f>
        <v/>
      </c>
      <c r="AZ84" s="105" t="str">
        <f>IF(A84&lt;&gt;"",COUNTIFS('QA Log'!D:D,A84,'QA Log'!M:M,"Vignette",'QA Log'!L:L,"Vignette [3] Growth Monitoring and Promotion",'QA Log'!Z:Z,"Approved"),"")</f>
        <v/>
      </c>
      <c r="BA84" s="105" t="str">
        <f>IF(A84&lt;&gt;"",COUNTIFS('QA Log'!D:D,A84,'QA Log'!M:M,"Vignette",'QA Log'!L:L,"Vignette [4]: The management of presumptive TB patient",'QA Log'!Z:Z,"Approved"),"")</f>
        <v/>
      </c>
      <c r="BB84" s="102" t="str">
        <f>IF(A84="","",
  SUM(
    COUNTIFS('QA Log'!D:D,A84,'QA Log'!M:M,"Vignette",'QA Log'!Z:Z,"Rejected",'QA Log'!L:L,"*Vignette [1] Respiratory Infection: Pneumonia*"),
    COUNTIFS('QA Log'!D:D,A84,'QA Log'!M:M,"Vignette",'QA Log'!Z:Z,"Rejected",'QA Log'!L:L,"*Vignette [2]: Diarrhea with Cat B dehydration*"),
    COUNTIFS('QA Log'!D:D,A84,'QA Log'!M:M,"Vignette",'QA Log'!Z:Z,"Rejected",'QA Log'!L:L,"*Vignette [3] Growth Monitoring and Promotion*"),
    COUNTIFS('QA Log'!D:D,A84,'QA Log'!M:M,"Vignette",'QA Log'!Z:Z,"Rejected",'QA Log'!L:L,"*Vignette [4]: The management of presumptive TB patient*")
  )
)</f>
        <v/>
      </c>
      <c r="BC84" s="107" t="str">
        <f t="shared" si="9"/>
        <v/>
      </c>
      <c r="BD84" s="103" t="str">
        <f t="shared" si="10"/>
        <v/>
      </c>
      <c r="BE84" s="102" t="str">
        <f>IF(A84="","",SUM(
COUNTIFS('QA Log'!D:D,A84,'QA Log'!M:M,"Vignette",'QA Log'!L:L,"*Vignette [5] Labor*"),
COUNTIFS('QA Log'!D:D,A84,'QA Log'!M:M,"Vignette",'QA Log'!L:L,"*Vignette [6] PNC pre Discharge*"),
COUNTIFS('QA Log'!D:D,A84,'QA Log'!M:M,"Vignette",'QA Log'!L:L,"*Vignette [7] First ANC Visit*"),
COUNTIFS('QA Log'!D:D,A84,'QA Log'!M:M,"Vignette",'QA Log'!L:L,"*Vignette [8] Birth Spacing/ Family Planning :  FP Counselling*"),
COUNTIFS('QA Log'!D:D,A84,'QA Log'!M:M,"Vignette",'QA Log'!L:L,"*Vignette [9] Birth Spacing: Change FP method to Injectable*"),
COUNTIFS('QA Log'!D:D,A84,'QA Log'!M:M,"Vignette",'QA Log'!L:L,"*Vignette [10] Post Partum Haemorrhage - Atonic Uterus at Health Centre*"),
)
)</f>
        <v/>
      </c>
      <c r="BF84" s="102" t="str">
        <f>IF(A84="","",
  SUM(
    COUNTIFS('QA Log'!D:D,A84,'QA Log'!M:M,"Vignette",'QA Log'!Z:Z,"Approved",'QA Log'!L:L,"*Vignette [5] Labor*"),
    COUNTIFS('QA Log'!D:D,A84,'QA Log'!M:M,"Vignette",'QA Log'!Z:Z,"Approved",'QA Log'!L:L,"*Vignette [6] PNC pre Discharge*"),
    COUNTIFS('QA Log'!D:D,A84,'QA Log'!M:M,"Vignette",'QA Log'!Z:Z,"Approved",'QA Log'!L:L,"*Vignette [7] First ANC Visit*"),
    COUNTIFS('QA Log'!D:D,A84,'QA Log'!M:M,"Vignette",'QA Log'!Z:Z,"Approved",'QA Log'!L:L,"*Vignette [8] Birth Spacing/ Family Planning :  FP Counselling*"),
    COUNTIFS('QA Log'!D:D,A84,'QA Log'!M:M,"Vignette",'QA Log'!Z:Z,"Approved",'QA Log'!L:L,"*Vignette [9] Birth Spacing: Change FP method to Injectable*"),
    COUNTIFS('QA Log'!D:D,A84,'QA Log'!M:M,"Vignette",'QA Log'!Z:Z,"Approved",'QA Log'!L:L,"*Vignette [10] Post Partum Haemorrhage - Atonic Uterus at Health Centre*")
  )
)</f>
        <v/>
      </c>
      <c r="BG84" s="105" t="str">
        <f>IF(A84&lt;&gt;"",COUNTIFS('QA Log'!D:D,A84,'QA Log'!M:M,"Vignette",'QA Log'!L:L,"Vignette [5] Labor",'QA Log'!Z:Z,"Approved"),"")</f>
        <v/>
      </c>
      <c r="BH84" s="105" t="str">
        <f>IF(A84&lt;&gt;"",COUNTIFS('QA Log'!D:D,A84,'QA Log'!M:M,"Vignette",'QA Log'!L:L,"Vignette [6] PNC pre Discharge",'QA Log'!Z:Z,"Approved"),"")</f>
        <v/>
      </c>
      <c r="BI84" s="105" t="str">
        <f>IF(A84&lt;&gt;"",COUNTIFS('QA Log'!D:D,A84,'QA Log'!M:M,"Vignette",'QA Log'!L:L,"Vignette [7] First ANC Visit",'QA Log'!Z:Z,"Approved"),"")</f>
        <v/>
      </c>
      <c r="BJ84" s="105" t="str">
        <f>IF(A84&lt;&gt;"",COUNTIFS('QA Log'!D:D,A84,'QA Log'!M:M,"Vignette",'QA Log'!L:L,"Vignette [8] Birth Spacing/ Family Planning :  FP Counselling",'QA Log'!Z:Z,"Approved"),"")</f>
        <v/>
      </c>
      <c r="BK84" s="105" t="str">
        <f>IF(A84&lt;&gt;"",COUNTIFS('QA Log'!D:D,A84,'QA Log'!M:M,"Vignette",'QA Log'!L:L,"Vignette [9] Birth Spacing: Change FP method to Injectable",'QA Log'!Z:Z,"Approved"),"")</f>
        <v/>
      </c>
      <c r="BL84" s="105" t="str">
        <f>IF(A84&lt;&gt;"",COUNTIFS('QA Log'!D:D,A84,'QA Log'!M:M,"Vignette",'QA Log'!L:L,"Vignette [10] Post Partum Haemorrhage - Atonic Uterus at Health Centre",'QA Log'!Z:Z,"Approved"),"")</f>
        <v/>
      </c>
      <c r="BM84" s="102" t="str">
        <f>IF(A84="","",SUM(
    COUNTIFS('QA Log'!D:D,A84,'QA Log'!M:M,"Vignette",'QA Log'!Z:Z,"Rejected",'QA Log'!L:L,"*Vignette [5] Labor*"),
    COUNTIFS('QA Log'!D:D,A84,'QA Log'!M:M,"Vignette",'QA Log'!Z:Z,"Rejected",'QA Log'!L:L,"*Vignette [6] PNC pre Discharge*"),
    COUNTIFS('QA Log'!D:D,A84,'QA Log'!M:M,"Vignette",'QA Log'!Z:Z,"Rejected",'QA Log'!L:L,"*Vignette [7] First ANC Visit*"),
    COUNTIFS('QA Log'!D:D,A84,'QA Log'!M:M,"Vignette",'QA Log'!Z:Z,"Rejected",'QA Log'!L:L,"*Vignette [8] Birth Spacing/ Family Planning :  FP Counselling*"),
    COUNTIFS('QA Log'!D:D,A84,'QA Log'!M:M,"Vignette",'QA Log'!Z:Z,"Rejected",'QA Log'!L:L,"*Vignette [9] Birth Spacing: Change FP method to Injectable*"),
    COUNTIFS('QA Log'!D:D,A84,'QA Log'!M:M,"Vignette",'QA Log'!Z:Z,"Rejected",'QA Log'!L:L,"*Vignette [10] Post Partum Haemorrhage - Atonic Uterus at Health Centre*")
  )
)</f>
        <v/>
      </c>
      <c r="BN84" s="107" t="str">
        <f t="shared" si="11"/>
        <v/>
      </c>
      <c r="BO84" s="103" t="str">
        <f t="shared" si="12"/>
        <v/>
      </c>
      <c r="BP84" s="102" t="str">
        <f>IF(A84="","",SUM(
COUNTIFS('QA Log'!D:D,A84,'QA Log'!M:M,"Vignette",'QA Log'!L:L,"*Exit Interview 1*"),
COUNTIFS('QA Log'!D:D,A84,'QA Log'!M:M,"Vignette",'QA Log'!L:L,"*Exit Interview 2*"),
)
)</f>
        <v/>
      </c>
      <c r="BQ84" s="102" t="str">
        <f>IF(
  A84="","",
  SUM(
    COUNTIFS('QA Log'!D:D,A84,'QA Log'!M:M,"Vignette",'QA Log'!Z:Z,"Approved",'QA Log'!L:L,"*Exit Interview 1*"),
    COUNTIFS('QA Log'!D:D,A84,'QA Log'!M:M,"Vignette",'QA Log'!Z:Z,"Approved",'QA Log'!L:L,"*Exit Interview 2*")
  )
)</f>
        <v/>
      </c>
      <c r="BR84" s="105" t="str">
        <f>IF(A84&lt;&gt;"",COUNTIFS('QA Log'!D:D,A84,'QA Log'!M:M,"Vignette",'QA Log'!L:L,"Exit Interview 1",'QA Log'!Z:Z,"Approved"),"")</f>
        <v/>
      </c>
      <c r="BS84" s="105" t="str">
        <f>IF(A84&lt;&gt;"",COUNTIFS('QA Log'!D:D,A84,'QA Log'!M:M,"Vignette",'QA Log'!L:L,"Exit Interview 2",'QA Log'!Z:Z,"Approved"),"")</f>
        <v/>
      </c>
      <c r="BT84" s="102" t="str">
        <f>IF(
  A84="","",
  SUM(
    COUNTIFS('QA Log'!D:D,A84,'QA Log'!M:M,"Vignette",'QA Log'!Z:Z,"Rejected",'QA Log'!L:L,"*Exit Interview 1*"),
    COUNTIFS('QA Log'!D:D,A84,'QA Log'!M:M,"Vignette",'QA Log'!Z:Z,"Rejected",'QA Log'!L:L,"*Exit Interview 2*")
  )
)</f>
        <v/>
      </c>
      <c r="BU84" s="107" t="str">
        <f t="shared" si="13"/>
        <v/>
      </c>
      <c r="BV84" s="102" t="str">
        <f t="shared" si="14"/>
        <v/>
      </c>
      <c r="BW84" s="102" t="str">
        <f t="shared" si="15"/>
        <v/>
      </c>
      <c r="BX84" s="102" t="str">
        <f t="shared" si="16"/>
        <v/>
      </c>
      <c r="BY84" s="102" t="str">
        <f t="shared" si="17"/>
        <v/>
      </c>
      <c r="BZ84" s="107" t="str">
        <f t="shared" si="18"/>
        <v/>
      </c>
      <c r="CA84" s="108" t="str">
        <f t="shared" si="19"/>
        <v/>
      </c>
      <c r="CB84" s="108" t="str">
        <f t="shared" si="20"/>
        <v/>
      </c>
      <c r="CC84" s="109" t="str">
        <f t="shared" si="21"/>
        <v/>
      </c>
      <c r="CD84" s="108" t="str">
        <f t="shared" si="22"/>
        <v/>
      </c>
      <c r="CE84" s="108" t="str">
        <f t="shared" si="23"/>
        <v/>
      </c>
      <c r="CF84" s="109" t="str">
        <f t="shared" si="24"/>
        <v/>
      </c>
      <c r="CG84" s="110" t="str">
        <f t="shared" si="25"/>
        <v/>
      </c>
      <c r="CH84" s="111"/>
    </row>
    <row r="85" spans="1:86" ht="12.75">
      <c r="A85" s="101"/>
      <c r="B85" s="102" t="e">
        <f t="array" aca="1" ref="B85" ca="1">_xludf.XLOOKUP(A85,'QA Log'!D:D,'QA Log'!E:E,"")</f>
        <v>#NAME?</v>
      </c>
      <c r="C85" s="102" t="e">
        <f t="array" aca="1" ref="C85" ca="1">_xludf.XLOOKUP(A85,'QA Log'!D:D,'QA Log'!F:F,"")</f>
        <v>#NAME?</v>
      </c>
      <c r="D85" s="102" t="e">
        <f t="array" aca="1" ref="D85" ca="1">_xludf.XLOOKUP(A85,'QA Log'!D:D,'QA Log'!H:H,"")</f>
        <v>#NAME?</v>
      </c>
      <c r="E85" s="102" t="e">
        <f t="array" aca="1" ref="E85" ca="1">_xludf.XLOOKUP(A85,'QA Log'!D:D,'QA Log'!G:G,"")</f>
        <v>#NAME?</v>
      </c>
      <c r="F85" s="103"/>
      <c r="G85" s="104"/>
      <c r="H85" s="104"/>
      <c r="I85" s="103" t="str">
        <f t="shared" si="0"/>
        <v/>
      </c>
      <c r="J85" s="102" t="str">
        <f>IF(A85="","",SUM(
COUNTIFS('QA Log'!D:D,A85,'QA Log'!M:M,"QQC",'QA Log'!L:L,"*1. General Management*"),
COUNTIFS('QA Log'!D:D,A85,'QA Log'!M:M,"QQC",'QA Log'!L:L,"*3. Curative Consultation (OPD)*"),
COUNTIFS('QA Log'!D:D,A85,'QA Log'!M:M,"QQC",'QA Log'!L:L,"*5. Laboratory*"),
COUNTIFS('QA Log'!D:D,A85,'QA Log'!M:M,"QQC",'QA Log'!L:L,"*6. Essential Medicine Management*"),
COUNTIFS('QA Log'!D:D,A85,'QA Log'!M:M,"QQC",'QA Log'!L:L,"*7. Tracer Medicine*"),
COUNTIFS('QA Log'!D:D,A85,'QA Log'!M:M,"QQC",'QA Log'!L:L,"*11. Additional Questions*")))</f>
        <v/>
      </c>
      <c r="K85" s="102" t="str">
        <f>IF(A85="","",SUM(
COUNTIFS('QA Log'!D:D,A85,'QA Log'!M:M,"QQC",'QA Log'!Z:Z,"Approved",'QA Log'!L:L,"*1. General Management*"),
COUNTIFS('QA Log'!D:D,A85,'QA Log'!M:M,"QQC",'QA Log'!Z:Z,"Approved",'QA Log'!L:L,"*3. Curative Consultation (OPD)*"),
COUNTIFS('QA Log'!D:D,A85,'QA Log'!M:M,"QQC",'QA Log'!Z:Z,"Approved",'QA Log'!L:L,"*5. Laboratory*"),
COUNTIFS('QA Log'!D:D,A85,'QA Log'!M:M,"QQC",'QA Log'!Z:Z,"Approved",'QA Log'!L:L,"*6. Essential Medicine Management*"),
COUNTIFS('QA Log'!D:D,A85,'QA Log'!M:M,"QQC",'QA Log'!Z:Z,"Approved",'QA Log'!L:L,"*7. Tracer Medicine*"),
COUNTIFS('QA Log'!D:D,A85,'QA Log'!M:M,"QQC",'QA Log'!Z:Z,"Approved",'QA Log'!L:L,"*11. Additional Questions*")))</f>
        <v/>
      </c>
      <c r="L85" s="105" t="str">
        <f>IF(A85&lt;&gt;"",COUNTIFS('QA Log'!D:D,A85,'QA Log'!M:M,"QQC",'QA Log'!L:L,"1. General Management",'QA Log'!Z:Z,"Approved"),"")</f>
        <v/>
      </c>
      <c r="M85" s="105" t="str">
        <f>IF(A85&lt;&gt;"",COUNTIFS('QA Log'!D:D,A85,'QA Log'!M:M,"QQC",'QA Log'!L:L,"3. Curative Consultation (OPD)",'QA Log'!Z:Z,"Approved"),"")</f>
        <v/>
      </c>
      <c r="N85" s="105" t="str">
        <f>IF(A85&lt;&gt;"",COUNTIFS('QA Log'!D:D,A85,'QA Log'!M:M,"QQC",'QA Log'!L:L,"5. Laboratory",'QA Log'!Z:Z,"Approved"),"")</f>
        <v/>
      </c>
      <c r="O85" s="105" t="str">
        <f>IF(A85&lt;&gt;"",COUNTIFS('QA Log'!D:D,A85,'QA Log'!M:M,"QQC",'QA Log'!L:L,"6. Essential Medicine Management",'QA Log'!Z:Z,"Approved"),"")</f>
        <v/>
      </c>
      <c r="P85" s="105" t="str">
        <f>IF(A85&lt;&gt;"",COUNTIFS('QA Log'!D:D,A85,'QA Log'!M:M,"QQC",'QA Log'!L:L,"7. Tracer Medicine",'QA Log'!Z:Z,"Approved"),"")</f>
        <v/>
      </c>
      <c r="Q85" s="105" t="str">
        <f>IF(A85&lt;&gt;"",COUNTIFS('QA Log'!D:D,A85,'QA Log'!M:M,"QQC",'QA Log'!L:L,"11. Additional Questions",'QA Log'!Z:Z,"Approved"),"")</f>
        <v/>
      </c>
      <c r="R85" s="102" t="str">
        <f>IF(A85="","",SUM(
COUNTIFS('QA Log'!D:D,A85,'QA Log'!M:M,"QQC",'QA Log'!Z:Z,"Rejected",'QA Log'!L:L,"*8. Maternity*"),
COUNTIFS('QA Log'!D:D,A85,'QA Log'!M:M,"QQC",'QA Log'!Z:Z,"Rejected",'QA Log'!L:L,"*EPI*"),
COUNTIFS('QA Log'!D:D,A85,'QA Log'!M:M,"QQC",'QA Log'!Z:Z,"Rejected",'QA Log'!L:L,"*10. Antenatal Care (ANC)*"),
COUNTIFS('QA Log'!D:D,A85,'QA Log'!M:M,"QQC",'QA Log'!Z:Z,"Rejected",'QA Log'!L:L,"*2. Hygiene and Sterilization*"),
COUNTIFS('QA Log'!D:D,A85,'QA Log'!M:M,"QQC",'QA Log'!Z:Z,"Rejected",'QA Log'!L:L,"*Family Planning*")))</f>
        <v/>
      </c>
      <c r="S85" s="106" t="str">
        <f t="shared" si="1"/>
        <v/>
      </c>
      <c r="T85" s="102" t="str">
        <f t="shared" si="2"/>
        <v/>
      </c>
      <c r="U85" s="102" t="str">
        <f>IF(A85="","",
SUM(
COUNTIFS('QA Log'!D:D,A85,'QA Log'!M:M,"QQC",'QA Log'!L:L,"*8. Maternity*"),
COUNTIFS('QA Log'!D:D,A85,'QA Log'!M:M,"QQC",'QA Log'!L:L,"*9. EPI and Pre-school Consultation*"),
COUNTIFS('QA Log'!D:D,A85,'QA Log'!M:M,"QQC",'QA Log'!L:L,"*10. Antenatal Care (ANC)*"),
COUNTIFS('QA Log'!D:D,A85,'QA Log'!M:M,"QQC",'QA Log'!L:L,"*2. Hygiene and Sterilization*"),
COUNTIFS('QA Log'!D:D,A85,'QA Log'!M:M,"QQC",'QA Log'!L:L,"*4. Family Planning*")
))</f>
        <v/>
      </c>
      <c r="V85" s="102" t="str">
        <f>IF(A85="","",
SUM(
COUNTIFS('QA Log'!D:D,A85,'QA Log'!M:M,"QQC",'QA Log'!Z:Z,"Approved",'QA Log'!L:L,"*8. Maternity*"),
COUNTIFS('QA Log'!D:D,A85,'QA Log'!M:M,"QQC",'QA Log'!Z:Z,"Approved",'QA Log'!L:L,"*9. EPI and Pre-school Consultation*"),
COUNTIFS('QA Log'!D:D,A85,'QA Log'!M:M,"QQC",'QA Log'!Z:Z,"Approved",'QA Log'!L:L,"*10. Antenatal Care (ANC)*"),
COUNTIFS('QA Log'!D:D,A85,'QA Log'!M:M,"QQC",'QA Log'!Z:Z,"Approved",'QA Log'!L:L,"*2. Hygiene and Sterilization*"),
COUNTIFS('QA Log'!D:D,A85,'QA Log'!M:M,"QQC",'QA Log'!Z:Z,"Approved",'QA Log'!L:L,"*4. Family Planning*")
))</f>
        <v/>
      </c>
      <c r="W85" s="105" t="str">
        <f>IF(A85&lt;&gt;"",COUNTIFS('QA Log'!D:D,A85,'QA Log'!M:M,"QQC",'QA Log'!L:L,"8. Maternity",'QA Log'!Z:Z,"Approved"),"")</f>
        <v/>
      </c>
      <c r="X85" s="105" t="str">
        <f>IF(A85&lt;&gt;"",COUNTIFS('QA Log'!D:D,A85,'QA Log'!M:M,"QQC",'QA Log'!L:L,"9. EPI and Pre-school Consultation",'QA Log'!Z:Z,"Approved"),"")</f>
        <v/>
      </c>
      <c r="Y85" s="105" t="str">
        <f>IF(A85&lt;&gt;"",COUNTIFS('QA Log'!D:D,A85,'QA Log'!M:M,"QQC",'QA Log'!L:L,"10. Antenatal Care (ANC)",'QA Log'!Z:Z,"Approved"),"")</f>
        <v/>
      </c>
      <c r="Z85" s="105" t="str">
        <f>IF(A85&lt;&gt;"",COUNTIFS('QA Log'!D:D,A85,'QA Log'!M:M,"QQC",'QA Log'!L:L,"2. Hygiene and Sterilization",'QA Log'!Z:Z,"Approved"),"")</f>
        <v/>
      </c>
      <c r="AA85" s="105" t="str">
        <f>IF(A85&lt;&gt;"",COUNTIFS('QA Log'!D:D,A85,'QA Log'!M:M,"QQC",'QA Log'!L:L,"4. Family Planning",'QA Log'!Z:Z,"Approved"),"")</f>
        <v/>
      </c>
      <c r="AB85" s="102" t="str">
        <f>IF(A85="","",
SUM(
COUNTIFS('QA Log'!D:D,A85,'QA Log'!M:M,"QQC",'QA Log'!Z:Z,"Rejected",'QA Log'!L:L,"*8. Maternity*"),
COUNTIFS('QA Log'!D:D,A85,'QA Log'!M:M,"QQC",'QA Log'!Z:Z,"Rejected",'QA Log'!L:L,"*9. EPI and Pre-school Consultation*"),
COUNTIFS('QA Log'!D:D,A85,'QA Log'!M:M,"QQC",'QA Log'!Z:Z,"Rejected",'QA Log'!L:L,"*10. Antenatal Care (ANC)*"),
COUNTIFS('QA Log'!D:D,A85,'QA Log'!M:M,"QQC",'QA Log'!Z:Z,"Rejected",'QA Log'!L:L,"*2. Hygiene and Sterilization*"),
COUNTIFS('QA Log'!D:D,A85,'QA Log'!M:M,"QQC",'QA Log'!Z:Z,"Rejected",'QA Log'!L:L,"*4. Family Planning*")
))</f>
        <v/>
      </c>
      <c r="AC85" s="102" t="str">
        <f t="shared" si="3"/>
        <v/>
      </c>
      <c r="AD85" s="103" t="str">
        <f t="shared" si="4"/>
        <v/>
      </c>
      <c r="AE85" s="102" t="str">
        <f>IF(A85="","",
SUM(
COUNTIFS('QA Log'!D:D,A85,'QA Log'!M:M,"Data Verification",'QA Log'!L:L,"*Medicine (section 2)*"),
COUNTIFS('QA Log'!D:D,A85,'QA Log'!M:M,"Data Verification",'QA Log'!L:L,"*Lab Testing Availability*"),
COUNTIFS('QA Log'!D:D,A85,'QA Log'!M:M,"Data Verification",'QA Log'!L:L,"*Other than P4P (section 6)*"),
COUNTIFS('QA Log'!D:D,A85,'QA Log'!M:M,"Data Verification",'QA Log'!L:L,"*Hospital Governance*")
))</f>
        <v/>
      </c>
      <c r="AF85" s="102" t="str">
        <f>IF(A85="","",
SUM(
COUNTIFS('QA Log'!D:D,A85,'QA Log'!M:M,"Data Verification",'QA Log'!Z:Z,"Approved",'QA Log'!L:L,"*Medicine (section 2)*"),
COUNTIFS('QA Log'!D:D,A85,'QA Log'!M:M,"Data Verification",'QA Log'!Z:Z,"Approved",'QA Log'!L:L,"*Lab Testing Availability*"),
COUNTIFS('QA Log'!D:D,A85,'QA Log'!M:M,"Data Verification",'QA Log'!Z:Z,"Approved",'QA Log'!L:L,"*Other than P4P (section 6)*"),
COUNTIFS('QA Log'!D:D,A85,'QA Log'!M:M,"Data Verification",'QA Log'!Z:Z,"Approved",'QA Log'!L:L,"*Hospital Governance*")
))</f>
        <v/>
      </c>
      <c r="AG85" s="105" t="str">
        <f>IF(A85&lt;&gt;"",COUNTIFS('QA Log'!D:D,A85,'QA Log'!M:M,"Data Verification",'QA Log'!L:L,"Medicine (section 2)",'QA Log'!Z:Z,"Approved"),"")</f>
        <v/>
      </c>
      <c r="AH85" s="105" t="str">
        <f>IF(A85&lt;&gt;"",COUNTIFS('QA Log'!D:D,A85,'QA Log'!M:M,"Data Verification",'QA Log'!L:L,"Lab Testing Availability",'QA Log'!Z:Z,"Approved"),"")</f>
        <v/>
      </c>
      <c r="AI85" s="105" t="str">
        <f>IF(A85&lt;&gt;"",COUNTIFS('QA Log'!D:D,A85,'QA Log'!M:M,"Data Verification",'QA Log'!L:L,"Other than P4P (section 6)",'QA Log'!Z:Z,"Approved"),"")</f>
        <v/>
      </c>
      <c r="AJ85" s="105" t="str">
        <f>IF(A85&lt;&gt;"",COUNTIFS('QA Log'!D:D,A85,'QA Log'!M:M,"Data Verification",'QA Log'!L:L,"Hospital Governance",'QA Log'!Z:Z,"Approved"),"")</f>
        <v/>
      </c>
      <c r="AK85" s="102" t="str">
        <f>IF(A85="","",
SUM(
COUNTIFS('QA Log'!D:D,A85,'QA Log'!M:M,"Data Verification",'QA Log'!Z:Z,"Rejected",'QA Log'!L:L,"*Medicine (section 2)*"),
COUNTIFS('QA Log'!D:D,A85,'QA Log'!M:M,"Data Verification",'QA Log'!Z:Z,"Rejected",'QA Log'!L:L,"*Lab Testing Availability*"),
COUNTIFS('QA Log'!D:D,A85,'QA Log'!M:M,"Data Verification",'QA Log'!Z:Z,"Rejected",'QA Log'!L:L,"*Other than P4P (section 6)*"),
COUNTIFS('QA Log'!D:D,A85,'QA Log'!M:M,"Data Verification",'QA Log'!Z:Z,"Rejected",'QA Log'!L:L,"*Hospital Governance*")
))</f>
        <v/>
      </c>
      <c r="AL85" s="106" t="str">
        <f t="shared" si="5"/>
        <v/>
      </c>
      <c r="AM85" s="102" t="str">
        <f t="shared" si="6"/>
        <v/>
      </c>
      <c r="AN85" s="102" t="str">
        <f>IF(A85="","",
SUM(
COUNTIFS('QA Log'!D:D,A85,'QA Log'!M:M,"Data Verification",'QA Log'!L:L,"*Personnel (section 1)*"),
COUNTIFS('QA Log'!D:D,A85,'QA Log'!M:M,"Data Verification",'QA Log'!L:L,"*Consumable (section 3)*"),
COUNTIFS('QA Log'!D:D,A85,'QA Log'!M:M,"Data Verification",'QA Log'!L:L,"*Equipments (section 4)*")
))</f>
        <v/>
      </c>
      <c r="AO85" s="102" t="str">
        <f>IF(A85="","",
SUM(
COUNTIFS('QA Log'!D:D,A85,'QA Log'!M:M,"Data Verification",'QA Log'!Z:Z,"Approved",'QA Log'!L:L,"*Personnel (section 1)*"),
COUNTIFS('QA Log'!D:D,A85,'QA Log'!M:M,"Data Verification",'QA Log'!Z:Z,"Approved",'QA Log'!L:L,"*Consumable (section 3)*"),
COUNTIFS('QA Log'!D:D,A85,'QA Log'!M:M,"Data Verification",'QA Log'!Z:Z,"Approved",'QA Log'!L:L,"*Equipments (section 4)*")
))</f>
        <v/>
      </c>
      <c r="AP85" s="105" t="str">
        <f>IF(A85&lt;&gt;"",COUNTIFS('QA Log'!D:D,A85,'QA Log'!M:M,"Data Verification",'QA Log'!L:L,"Personnel (section 1)",'QA Log'!Z:Z,"Approved"),"")</f>
        <v/>
      </c>
      <c r="AQ85" s="105" t="str">
        <f>IF(A85&lt;&gt;"",COUNTIFS('QA Log'!D:D,A85,'QA Log'!M:M,"Data Verification",'QA Log'!L:L,"Consumable (section 3)",'QA Log'!Z:Z,"Approved"),"")</f>
        <v/>
      </c>
      <c r="AR85" s="105" t="str">
        <f>IF(A85&lt;&gt;"",COUNTIFS('QA Log'!D:D,A85,'QA Log'!M:M,"Data Verification",'QA Log'!L:L,"Equipments (section 4)",'QA Log'!Z:Z,"Approved"),"")</f>
        <v/>
      </c>
      <c r="AS85" s="102" t="str">
        <f>IF(A85="","",
SUM(
COUNTIFS('QA Log'!D:D,A85,'QA Log'!M:M,"Data Verification",'QA Log'!Z:Z,"Rejected",'QA Log'!L:L,"*Personnel (section 1)*"),
COUNTIFS('QA Log'!D:D,A85,'QA Log'!M:M,"Data Verification",'QA Log'!Z:Z,"Rejected",'QA Log'!L:L,"*Consumable (section 3)*"),
COUNTIFS('QA Log'!D:D,A85,'QA Log'!M:M,"Data Verification",'QA Log'!Z:Z,"Rejected",'QA Log'!L:L,"*Equipments (section 4)*")
))</f>
        <v/>
      </c>
      <c r="AT85" s="102" t="str">
        <f t="shared" si="7"/>
        <v/>
      </c>
      <c r="AU85" s="103" t="str">
        <f t="shared" si="8"/>
        <v/>
      </c>
      <c r="AV85" s="102" t="str">
        <f>IF(A85="","",SUM(
COUNTIFS('QA Log'!D:D,A85,'QA Log'!M:M,"Vignette",'QA Log'!L:L,"*Vignette [1] Respiratory Infection: Pneumonia*"),
COUNTIFS('QA Log'!D:D,A85,'QA Log'!M:M,"Vignette",'QA Log'!L:L,"*Vignette [2]: Diarrhea with Cat B dehydration*"),
COUNTIFS('QA Log'!D:D,A85,'QA Log'!M:M,"Vignette",'QA Log'!L:L,"*Vignette [3] Growth Monitoring and Promotion*"),
COUNTIFS('QA Log'!D:D,A85,'QA Log'!M:M,"Vignette",'QA Log'!L:L,"*Vignette [4]: The management of presumptive TB patient*")
)
)</f>
        <v/>
      </c>
      <c r="AW85" s="102" t="str">
        <f>IF(
  A85="","",
  SUM(
    COUNTIFS('QA Log'!D:D,A85,'QA Log'!M:M,"Vignette",'QA Log'!Z:Z,"Approved",'QA Log'!L:L,"*Vignette [1] Respiratory Infection: Pneumonia*"),
    COUNTIFS('QA Log'!D:D,A85,'QA Log'!M:M,"Vignette",'QA Log'!Z:Z,"Approved",'QA Log'!L:L,"*Vignette [2]: Diarrhea with Cat B dehydration*"),
    COUNTIFS('QA Log'!D:D,A85,'QA Log'!M:M,"Vignette",'QA Log'!Z:Z,"Approved",'QA Log'!L:L,"*Vignette [3] Growth Monitoring and Promotion*"),
    COUNTIFS('QA Log'!D:D,A85,'QA Log'!M:M,"Vignette",'QA Log'!Z:Z,"Approved",'QA Log'!L:L,"*Vignette [4]: The management of presumptive TB patient*")
  )
)</f>
        <v/>
      </c>
      <c r="AX85" s="105" t="str">
        <f>IF(A85&lt;&gt;"",COUNTIFS('QA Log'!D:D,A85,'QA Log'!M:M,"Vignette",'QA Log'!L:L,"Vignette [1] Respiratory Infection: Pneumonia",'QA Log'!Z:Z,"Approved"),"")</f>
        <v/>
      </c>
      <c r="AY85" s="105" t="str">
        <f>IF(A85&lt;&gt;"",COUNTIFS('QA Log'!D:D,A85,'QA Log'!M:M,"Vignette",'QA Log'!L:L,"Vignette [2]: Diarrhea with Cat B dehydration",'QA Log'!Z:Z,"Approved"),"")</f>
        <v/>
      </c>
      <c r="AZ85" s="105" t="str">
        <f>IF(A85&lt;&gt;"",COUNTIFS('QA Log'!D:D,A85,'QA Log'!M:M,"Vignette",'QA Log'!L:L,"Vignette [3] Growth Monitoring and Promotion",'QA Log'!Z:Z,"Approved"),"")</f>
        <v/>
      </c>
      <c r="BA85" s="105" t="str">
        <f>IF(A85&lt;&gt;"",COUNTIFS('QA Log'!D:D,A85,'QA Log'!M:M,"Vignette",'QA Log'!L:L,"Vignette [4]: The management of presumptive TB patient",'QA Log'!Z:Z,"Approved"),"")</f>
        <v/>
      </c>
      <c r="BB85" s="102" t="str">
        <f>IF(A85="","",
  SUM(
    COUNTIFS('QA Log'!D:D,A85,'QA Log'!M:M,"Vignette",'QA Log'!Z:Z,"Rejected",'QA Log'!L:L,"*Vignette [1] Respiratory Infection: Pneumonia*"),
    COUNTIFS('QA Log'!D:D,A85,'QA Log'!M:M,"Vignette",'QA Log'!Z:Z,"Rejected",'QA Log'!L:L,"*Vignette [2]: Diarrhea with Cat B dehydration*"),
    COUNTIFS('QA Log'!D:D,A85,'QA Log'!M:M,"Vignette",'QA Log'!Z:Z,"Rejected",'QA Log'!L:L,"*Vignette [3] Growth Monitoring and Promotion*"),
    COUNTIFS('QA Log'!D:D,A85,'QA Log'!M:M,"Vignette",'QA Log'!Z:Z,"Rejected",'QA Log'!L:L,"*Vignette [4]: The management of presumptive TB patient*")
  )
)</f>
        <v/>
      </c>
      <c r="BC85" s="107" t="str">
        <f t="shared" si="9"/>
        <v/>
      </c>
      <c r="BD85" s="103" t="str">
        <f t="shared" si="10"/>
        <v/>
      </c>
      <c r="BE85" s="102" t="str">
        <f>IF(A85="","",SUM(
COUNTIFS('QA Log'!D:D,A85,'QA Log'!M:M,"Vignette",'QA Log'!L:L,"*Vignette [5] Labor*"),
COUNTIFS('QA Log'!D:D,A85,'QA Log'!M:M,"Vignette",'QA Log'!L:L,"*Vignette [6] PNC pre Discharge*"),
COUNTIFS('QA Log'!D:D,A85,'QA Log'!M:M,"Vignette",'QA Log'!L:L,"*Vignette [7] First ANC Visit*"),
COUNTIFS('QA Log'!D:D,A85,'QA Log'!M:M,"Vignette",'QA Log'!L:L,"*Vignette [8] Birth Spacing/ Family Planning :  FP Counselling*"),
COUNTIFS('QA Log'!D:D,A85,'QA Log'!M:M,"Vignette",'QA Log'!L:L,"*Vignette [9] Birth Spacing: Change FP method to Injectable*"),
COUNTIFS('QA Log'!D:D,A85,'QA Log'!M:M,"Vignette",'QA Log'!L:L,"*Vignette [10] Post Partum Haemorrhage - Atonic Uterus at Health Centre*"),
)
)</f>
        <v/>
      </c>
      <c r="BF85" s="102" t="str">
        <f>IF(A85="","",
  SUM(
    COUNTIFS('QA Log'!D:D,A85,'QA Log'!M:M,"Vignette",'QA Log'!Z:Z,"Approved",'QA Log'!L:L,"*Vignette [5] Labor*"),
    COUNTIFS('QA Log'!D:D,A85,'QA Log'!M:M,"Vignette",'QA Log'!Z:Z,"Approved",'QA Log'!L:L,"*Vignette [6] PNC pre Discharge*"),
    COUNTIFS('QA Log'!D:D,A85,'QA Log'!M:M,"Vignette",'QA Log'!Z:Z,"Approved",'QA Log'!L:L,"*Vignette [7] First ANC Visit*"),
    COUNTIFS('QA Log'!D:D,A85,'QA Log'!M:M,"Vignette",'QA Log'!Z:Z,"Approved",'QA Log'!L:L,"*Vignette [8] Birth Spacing/ Family Planning :  FP Counselling*"),
    COUNTIFS('QA Log'!D:D,A85,'QA Log'!M:M,"Vignette",'QA Log'!Z:Z,"Approved",'QA Log'!L:L,"*Vignette [9] Birth Spacing: Change FP method to Injectable*"),
    COUNTIFS('QA Log'!D:D,A85,'QA Log'!M:M,"Vignette",'QA Log'!Z:Z,"Approved",'QA Log'!L:L,"*Vignette [10] Post Partum Haemorrhage - Atonic Uterus at Health Centre*")
  )
)</f>
        <v/>
      </c>
      <c r="BG85" s="105" t="str">
        <f>IF(A85&lt;&gt;"",COUNTIFS('QA Log'!D:D,A85,'QA Log'!M:M,"Vignette",'QA Log'!L:L,"Vignette [5] Labor",'QA Log'!Z:Z,"Approved"),"")</f>
        <v/>
      </c>
      <c r="BH85" s="105" t="str">
        <f>IF(A85&lt;&gt;"",COUNTIFS('QA Log'!D:D,A85,'QA Log'!M:M,"Vignette",'QA Log'!L:L,"Vignette [6] PNC pre Discharge",'QA Log'!Z:Z,"Approved"),"")</f>
        <v/>
      </c>
      <c r="BI85" s="105" t="str">
        <f>IF(A85&lt;&gt;"",COUNTIFS('QA Log'!D:D,A85,'QA Log'!M:M,"Vignette",'QA Log'!L:L,"Vignette [7] First ANC Visit",'QA Log'!Z:Z,"Approved"),"")</f>
        <v/>
      </c>
      <c r="BJ85" s="105" t="str">
        <f>IF(A85&lt;&gt;"",COUNTIFS('QA Log'!D:D,A85,'QA Log'!M:M,"Vignette",'QA Log'!L:L,"Vignette [8] Birth Spacing/ Family Planning :  FP Counselling",'QA Log'!Z:Z,"Approved"),"")</f>
        <v/>
      </c>
      <c r="BK85" s="105" t="str">
        <f>IF(A85&lt;&gt;"",COUNTIFS('QA Log'!D:D,A85,'QA Log'!M:M,"Vignette",'QA Log'!L:L,"Vignette [9] Birth Spacing: Change FP method to Injectable",'QA Log'!Z:Z,"Approved"),"")</f>
        <v/>
      </c>
      <c r="BL85" s="105" t="str">
        <f>IF(A85&lt;&gt;"",COUNTIFS('QA Log'!D:D,A85,'QA Log'!M:M,"Vignette",'QA Log'!L:L,"Vignette [10] Post Partum Haemorrhage - Atonic Uterus at Health Centre",'QA Log'!Z:Z,"Approved"),"")</f>
        <v/>
      </c>
      <c r="BM85" s="102" t="str">
        <f>IF(A85="","",SUM(
    COUNTIFS('QA Log'!D:D,A85,'QA Log'!M:M,"Vignette",'QA Log'!Z:Z,"Rejected",'QA Log'!L:L,"*Vignette [5] Labor*"),
    COUNTIFS('QA Log'!D:D,A85,'QA Log'!M:M,"Vignette",'QA Log'!Z:Z,"Rejected",'QA Log'!L:L,"*Vignette [6] PNC pre Discharge*"),
    COUNTIFS('QA Log'!D:D,A85,'QA Log'!M:M,"Vignette",'QA Log'!Z:Z,"Rejected",'QA Log'!L:L,"*Vignette [7] First ANC Visit*"),
    COUNTIFS('QA Log'!D:D,A85,'QA Log'!M:M,"Vignette",'QA Log'!Z:Z,"Rejected",'QA Log'!L:L,"*Vignette [8] Birth Spacing/ Family Planning :  FP Counselling*"),
    COUNTIFS('QA Log'!D:D,A85,'QA Log'!M:M,"Vignette",'QA Log'!Z:Z,"Rejected",'QA Log'!L:L,"*Vignette [9] Birth Spacing: Change FP method to Injectable*"),
    COUNTIFS('QA Log'!D:D,A85,'QA Log'!M:M,"Vignette",'QA Log'!Z:Z,"Rejected",'QA Log'!L:L,"*Vignette [10] Post Partum Haemorrhage - Atonic Uterus at Health Centre*")
  )
)</f>
        <v/>
      </c>
      <c r="BN85" s="107" t="str">
        <f t="shared" si="11"/>
        <v/>
      </c>
      <c r="BO85" s="103" t="str">
        <f t="shared" si="12"/>
        <v/>
      </c>
      <c r="BP85" s="102" t="str">
        <f>IF(A85="","",SUM(
COUNTIFS('QA Log'!D:D,A85,'QA Log'!M:M,"Vignette",'QA Log'!L:L,"*Exit Interview 1*"),
COUNTIFS('QA Log'!D:D,A85,'QA Log'!M:M,"Vignette",'QA Log'!L:L,"*Exit Interview 2*"),
)
)</f>
        <v/>
      </c>
      <c r="BQ85" s="102" t="str">
        <f>IF(
  A85="","",
  SUM(
    COUNTIFS('QA Log'!D:D,A85,'QA Log'!M:M,"Vignette",'QA Log'!Z:Z,"Approved",'QA Log'!L:L,"*Exit Interview 1*"),
    COUNTIFS('QA Log'!D:D,A85,'QA Log'!M:M,"Vignette",'QA Log'!Z:Z,"Approved",'QA Log'!L:L,"*Exit Interview 2*")
  )
)</f>
        <v/>
      </c>
      <c r="BR85" s="105" t="str">
        <f>IF(A85&lt;&gt;"",COUNTIFS('QA Log'!D:D,A85,'QA Log'!M:M,"Vignette",'QA Log'!L:L,"Exit Interview 1",'QA Log'!Z:Z,"Approved"),"")</f>
        <v/>
      </c>
      <c r="BS85" s="105" t="str">
        <f>IF(A85&lt;&gt;"",COUNTIFS('QA Log'!D:D,A85,'QA Log'!M:M,"Vignette",'QA Log'!L:L,"Exit Interview 2",'QA Log'!Z:Z,"Approved"),"")</f>
        <v/>
      </c>
      <c r="BT85" s="102" t="str">
        <f>IF(
  A85="","",
  SUM(
    COUNTIFS('QA Log'!D:D,A85,'QA Log'!M:M,"Vignette",'QA Log'!Z:Z,"Rejected",'QA Log'!L:L,"*Exit Interview 1*"),
    COUNTIFS('QA Log'!D:D,A85,'QA Log'!M:M,"Vignette",'QA Log'!Z:Z,"Rejected",'QA Log'!L:L,"*Exit Interview 2*")
  )
)</f>
        <v/>
      </c>
      <c r="BU85" s="107" t="str">
        <f t="shared" si="13"/>
        <v/>
      </c>
      <c r="BV85" s="102" t="str">
        <f t="shared" si="14"/>
        <v/>
      </c>
      <c r="BW85" s="102" t="str">
        <f t="shared" si="15"/>
        <v/>
      </c>
      <c r="BX85" s="102" t="str">
        <f t="shared" si="16"/>
        <v/>
      </c>
      <c r="BY85" s="102" t="str">
        <f t="shared" si="17"/>
        <v/>
      </c>
      <c r="BZ85" s="107" t="str">
        <f t="shared" si="18"/>
        <v/>
      </c>
      <c r="CA85" s="108" t="str">
        <f t="shared" si="19"/>
        <v/>
      </c>
      <c r="CB85" s="108" t="str">
        <f t="shared" si="20"/>
        <v/>
      </c>
      <c r="CC85" s="109" t="str">
        <f t="shared" si="21"/>
        <v/>
      </c>
      <c r="CD85" s="108" t="str">
        <f t="shared" si="22"/>
        <v/>
      </c>
      <c r="CE85" s="108" t="str">
        <f t="shared" si="23"/>
        <v/>
      </c>
      <c r="CF85" s="109" t="str">
        <f t="shared" si="24"/>
        <v/>
      </c>
      <c r="CG85" s="110" t="str">
        <f t="shared" si="25"/>
        <v/>
      </c>
      <c r="CH85" s="111"/>
    </row>
    <row r="86" spans="1:86" ht="12.75">
      <c r="A86" s="101"/>
      <c r="B86" s="102" t="e">
        <f t="array" aca="1" ref="B86" ca="1">_xludf.XLOOKUP(A86,'QA Log'!D:D,'QA Log'!E:E,"")</f>
        <v>#NAME?</v>
      </c>
      <c r="C86" s="102" t="e">
        <f t="array" aca="1" ref="C86" ca="1">_xludf.XLOOKUP(A86,'QA Log'!D:D,'QA Log'!F:F,"")</f>
        <v>#NAME?</v>
      </c>
      <c r="D86" s="102" t="e">
        <f t="array" aca="1" ref="D86" ca="1">_xludf.XLOOKUP(A86,'QA Log'!D:D,'QA Log'!H:H,"")</f>
        <v>#NAME?</v>
      </c>
      <c r="E86" s="102" t="e">
        <f t="array" aca="1" ref="E86" ca="1">_xludf.XLOOKUP(A86,'QA Log'!D:D,'QA Log'!G:G,"")</f>
        <v>#NAME?</v>
      </c>
      <c r="F86" s="103"/>
      <c r="G86" s="104"/>
      <c r="H86" s="104"/>
      <c r="I86" s="103" t="str">
        <f t="shared" si="0"/>
        <v/>
      </c>
      <c r="J86" s="102" t="str">
        <f>IF(A86="","",SUM(
COUNTIFS('QA Log'!D:D,A86,'QA Log'!M:M,"QQC",'QA Log'!L:L,"*1. General Management*"),
COUNTIFS('QA Log'!D:D,A86,'QA Log'!M:M,"QQC",'QA Log'!L:L,"*3. Curative Consultation (OPD)*"),
COUNTIFS('QA Log'!D:D,A86,'QA Log'!M:M,"QQC",'QA Log'!L:L,"*5. Laboratory*"),
COUNTIFS('QA Log'!D:D,A86,'QA Log'!M:M,"QQC",'QA Log'!L:L,"*6. Essential Medicine Management*"),
COUNTIFS('QA Log'!D:D,A86,'QA Log'!M:M,"QQC",'QA Log'!L:L,"*7. Tracer Medicine*"),
COUNTIFS('QA Log'!D:D,A86,'QA Log'!M:M,"QQC",'QA Log'!L:L,"*11. Additional Questions*")))</f>
        <v/>
      </c>
      <c r="K86" s="102" t="str">
        <f>IF(A86="","",SUM(
COUNTIFS('QA Log'!D:D,A86,'QA Log'!M:M,"QQC",'QA Log'!Z:Z,"Approved",'QA Log'!L:L,"*1. General Management*"),
COUNTIFS('QA Log'!D:D,A86,'QA Log'!M:M,"QQC",'QA Log'!Z:Z,"Approved",'QA Log'!L:L,"*3. Curative Consultation (OPD)*"),
COUNTIFS('QA Log'!D:D,A86,'QA Log'!M:M,"QQC",'QA Log'!Z:Z,"Approved",'QA Log'!L:L,"*5. Laboratory*"),
COUNTIFS('QA Log'!D:D,A86,'QA Log'!M:M,"QQC",'QA Log'!Z:Z,"Approved",'QA Log'!L:L,"*6. Essential Medicine Management*"),
COUNTIFS('QA Log'!D:D,A86,'QA Log'!M:M,"QQC",'QA Log'!Z:Z,"Approved",'QA Log'!L:L,"*7. Tracer Medicine*"),
COUNTIFS('QA Log'!D:D,A86,'QA Log'!M:M,"QQC",'QA Log'!Z:Z,"Approved",'QA Log'!L:L,"*11. Additional Questions*")))</f>
        <v/>
      </c>
      <c r="L86" s="105" t="str">
        <f>IF(A86&lt;&gt;"",COUNTIFS('QA Log'!D:D,A86,'QA Log'!M:M,"QQC",'QA Log'!L:L,"1. General Management",'QA Log'!Z:Z,"Approved"),"")</f>
        <v/>
      </c>
      <c r="M86" s="105" t="str">
        <f>IF(A86&lt;&gt;"",COUNTIFS('QA Log'!D:D,A86,'QA Log'!M:M,"QQC",'QA Log'!L:L,"3. Curative Consultation (OPD)",'QA Log'!Z:Z,"Approved"),"")</f>
        <v/>
      </c>
      <c r="N86" s="105" t="str">
        <f>IF(A86&lt;&gt;"",COUNTIFS('QA Log'!D:D,A86,'QA Log'!M:M,"QQC",'QA Log'!L:L,"5. Laboratory",'QA Log'!Z:Z,"Approved"),"")</f>
        <v/>
      </c>
      <c r="O86" s="105" t="str">
        <f>IF(A86&lt;&gt;"",COUNTIFS('QA Log'!D:D,A86,'QA Log'!M:M,"QQC",'QA Log'!L:L,"6. Essential Medicine Management",'QA Log'!Z:Z,"Approved"),"")</f>
        <v/>
      </c>
      <c r="P86" s="105" t="str">
        <f>IF(A86&lt;&gt;"",COUNTIFS('QA Log'!D:D,A86,'QA Log'!M:M,"QQC",'QA Log'!L:L,"7. Tracer Medicine",'QA Log'!Z:Z,"Approved"),"")</f>
        <v/>
      </c>
      <c r="Q86" s="105" t="str">
        <f>IF(A86&lt;&gt;"",COUNTIFS('QA Log'!D:D,A86,'QA Log'!M:M,"QQC",'QA Log'!L:L,"11. Additional Questions",'QA Log'!Z:Z,"Approved"),"")</f>
        <v/>
      </c>
      <c r="R86" s="102" t="str">
        <f>IF(A86="","",SUM(
COUNTIFS('QA Log'!D:D,A86,'QA Log'!M:M,"QQC",'QA Log'!Z:Z,"Rejected",'QA Log'!L:L,"*8. Maternity*"),
COUNTIFS('QA Log'!D:D,A86,'QA Log'!M:M,"QQC",'QA Log'!Z:Z,"Rejected",'QA Log'!L:L,"*EPI*"),
COUNTIFS('QA Log'!D:D,A86,'QA Log'!M:M,"QQC",'QA Log'!Z:Z,"Rejected",'QA Log'!L:L,"*10. Antenatal Care (ANC)*"),
COUNTIFS('QA Log'!D:D,A86,'QA Log'!M:M,"QQC",'QA Log'!Z:Z,"Rejected",'QA Log'!L:L,"*2. Hygiene and Sterilization*"),
COUNTIFS('QA Log'!D:D,A86,'QA Log'!M:M,"QQC",'QA Log'!Z:Z,"Rejected",'QA Log'!L:L,"*Family Planning*")))</f>
        <v/>
      </c>
      <c r="S86" s="106" t="str">
        <f t="shared" si="1"/>
        <v/>
      </c>
      <c r="T86" s="102" t="str">
        <f t="shared" si="2"/>
        <v/>
      </c>
      <c r="U86" s="102" t="str">
        <f>IF(A86="","",
SUM(
COUNTIFS('QA Log'!D:D,A86,'QA Log'!M:M,"QQC",'QA Log'!L:L,"*8. Maternity*"),
COUNTIFS('QA Log'!D:D,A86,'QA Log'!M:M,"QQC",'QA Log'!L:L,"*9. EPI and Pre-school Consultation*"),
COUNTIFS('QA Log'!D:D,A86,'QA Log'!M:M,"QQC",'QA Log'!L:L,"*10. Antenatal Care (ANC)*"),
COUNTIFS('QA Log'!D:D,A86,'QA Log'!M:M,"QQC",'QA Log'!L:L,"*2. Hygiene and Sterilization*"),
COUNTIFS('QA Log'!D:D,A86,'QA Log'!M:M,"QQC",'QA Log'!L:L,"*4. Family Planning*")
))</f>
        <v/>
      </c>
      <c r="V86" s="102" t="str">
        <f>IF(A86="","",
SUM(
COUNTIFS('QA Log'!D:D,A86,'QA Log'!M:M,"QQC",'QA Log'!Z:Z,"Approved",'QA Log'!L:L,"*8. Maternity*"),
COUNTIFS('QA Log'!D:D,A86,'QA Log'!M:M,"QQC",'QA Log'!Z:Z,"Approved",'QA Log'!L:L,"*9. EPI and Pre-school Consultation*"),
COUNTIFS('QA Log'!D:D,A86,'QA Log'!M:M,"QQC",'QA Log'!Z:Z,"Approved",'QA Log'!L:L,"*10. Antenatal Care (ANC)*"),
COUNTIFS('QA Log'!D:D,A86,'QA Log'!M:M,"QQC",'QA Log'!Z:Z,"Approved",'QA Log'!L:L,"*2. Hygiene and Sterilization*"),
COUNTIFS('QA Log'!D:D,A86,'QA Log'!M:M,"QQC",'QA Log'!Z:Z,"Approved",'QA Log'!L:L,"*4. Family Planning*")
))</f>
        <v/>
      </c>
      <c r="W86" s="105" t="str">
        <f>IF(A86&lt;&gt;"",COUNTIFS('QA Log'!D:D,A86,'QA Log'!M:M,"QQC",'QA Log'!L:L,"8. Maternity",'QA Log'!Z:Z,"Approved"),"")</f>
        <v/>
      </c>
      <c r="X86" s="105" t="str">
        <f>IF(A86&lt;&gt;"",COUNTIFS('QA Log'!D:D,A86,'QA Log'!M:M,"QQC",'QA Log'!L:L,"9. EPI and Pre-school Consultation",'QA Log'!Z:Z,"Approved"),"")</f>
        <v/>
      </c>
      <c r="Y86" s="105" t="str">
        <f>IF(A86&lt;&gt;"",COUNTIFS('QA Log'!D:D,A86,'QA Log'!M:M,"QQC",'QA Log'!L:L,"10. Antenatal Care (ANC)",'QA Log'!Z:Z,"Approved"),"")</f>
        <v/>
      </c>
      <c r="Z86" s="105" t="str">
        <f>IF(A86&lt;&gt;"",COUNTIFS('QA Log'!D:D,A86,'QA Log'!M:M,"QQC",'QA Log'!L:L,"2. Hygiene and Sterilization",'QA Log'!Z:Z,"Approved"),"")</f>
        <v/>
      </c>
      <c r="AA86" s="105" t="str">
        <f>IF(A86&lt;&gt;"",COUNTIFS('QA Log'!D:D,A86,'QA Log'!M:M,"QQC",'QA Log'!L:L,"4. Family Planning",'QA Log'!Z:Z,"Approved"),"")</f>
        <v/>
      </c>
      <c r="AB86" s="102" t="str">
        <f>IF(A86="","",
SUM(
COUNTIFS('QA Log'!D:D,A86,'QA Log'!M:M,"QQC",'QA Log'!Z:Z,"Rejected",'QA Log'!L:L,"*8. Maternity*"),
COUNTIFS('QA Log'!D:D,A86,'QA Log'!M:M,"QQC",'QA Log'!Z:Z,"Rejected",'QA Log'!L:L,"*9. EPI and Pre-school Consultation*"),
COUNTIFS('QA Log'!D:D,A86,'QA Log'!M:M,"QQC",'QA Log'!Z:Z,"Rejected",'QA Log'!L:L,"*10. Antenatal Care (ANC)*"),
COUNTIFS('QA Log'!D:D,A86,'QA Log'!M:M,"QQC",'QA Log'!Z:Z,"Rejected",'QA Log'!L:L,"*2. Hygiene and Sterilization*"),
COUNTIFS('QA Log'!D:D,A86,'QA Log'!M:M,"QQC",'QA Log'!Z:Z,"Rejected",'QA Log'!L:L,"*4. Family Planning*")
))</f>
        <v/>
      </c>
      <c r="AC86" s="102" t="str">
        <f t="shared" si="3"/>
        <v/>
      </c>
      <c r="AD86" s="103" t="str">
        <f t="shared" si="4"/>
        <v/>
      </c>
      <c r="AE86" s="102" t="str">
        <f>IF(A86="","",
SUM(
COUNTIFS('QA Log'!D:D,A86,'QA Log'!M:M,"Data Verification",'QA Log'!L:L,"*Medicine (section 2)*"),
COUNTIFS('QA Log'!D:D,A86,'QA Log'!M:M,"Data Verification",'QA Log'!L:L,"*Lab Testing Availability*"),
COUNTIFS('QA Log'!D:D,A86,'QA Log'!M:M,"Data Verification",'QA Log'!L:L,"*Other than P4P (section 6)*"),
COUNTIFS('QA Log'!D:D,A86,'QA Log'!M:M,"Data Verification",'QA Log'!L:L,"*Hospital Governance*")
))</f>
        <v/>
      </c>
      <c r="AF86" s="102" t="str">
        <f>IF(A86="","",
SUM(
COUNTIFS('QA Log'!D:D,A86,'QA Log'!M:M,"Data Verification",'QA Log'!Z:Z,"Approved",'QA Log'!L:L,"*Medicine (section 2)*"),
COUNTIFS('QA Log'!D:D,A86,'QA Log'!M:M,"Data Verification",'QA Log'!Z:Z,"Approved",'QA Log'!L:L,"*Lab Testing Availability*"),
COUNTIFS('QA Log'!D:D,A86,'QA Log'!M:M,"Data Verification",'QA Log'!Z:Z,"Approved",'QA Log'!L:L,"*Other than P4P (section 6)*"),
COUNTIFS('QA Log'!D:D,A86,'QA Log'!M:M,"Data Verification",'QA Log'!Z:Z,"Approved",'QA Log'!L:L,"*Hospital Governance*")
))</f>
        <v/>
      </c>
      <c r="AG86" s="105" t="str">
        <f>IF(A86&lt;&gt;"",COUNTIFS('QA Log'!D:D,A86,'QA Log'!M:M,"Data Verification",'QA Log'!L:L,"Medicine (section 2)",'QA Log'!Z:Z,"Approved"),"")</f>
        <v/>
      </c>
      <c r="AH86" s="105" t="str">
        <f>IF(A86&lt;&gt;"",COUNTIFS('QA Log'!D:D,A86,'QA Log'!M:M,"Data Verification",'QA Log'!L:L,"Lab Testing Availability",'QA Log'!Z:Z,"Approved"),"")</f>
        <v/>
      </c>
      <c r="AI86" s="105" t="str">
        <f>IF(A86&lt;&gt;"",COUNTIFS('QA Log'!D:D,A86,'QA Log'!M:M,"Data Verification",'QA Log'!L:L,"Other than P4P (section 6)",'QA Log'!Z:Z,"Approved"),"")</f>
        <v/>
      </c>
      <c r="AJ86" s="105" t="str">
        <f>IF(A86&lt;&gt;"",COUNTIFS('QA Log'!D:D,A86,'QA Log'!M:M,"Data Verification",'QA Log'!L:L,"Hospital Governance",'QA Log'!Z:Z,"Approved"),"")</f>
        <v/>
      </c>
      <c r="AK86" s="102" t="str">
        <f>IF(A86="","",
SUM(
COUNTIFS('QA Log'!D:D,A86,'QA Log'!M:M,"Data Verification",'QA Log'!Z:Z,"Rejected",'QA Log'!L:L,"*Medicine (section 2)*"),
COUNTIFS('QA Log'!D:D,A86,'QA Log'!M:M,"Data Verification",'QA Log'!Z:Z,"Rejected",'QA Log'!L:L,"*Lab Testing Availability*"),
COUNTIFS('QA Log'!D:D,A86,'QA Log'!M:M,"Data Verification",'QA Log'!Z:Z,"Rejected",'QA Log'!L:L,"*Other than P4P (section 6)*"),
COUNTIFS('QA Log'!D:D,A86,'QA Log'!M:M,"Data Verification",'QA Log'!Z:Z,"Rejected",'QA Log'!L:L,"*Hospital Governance*")
))</f>
        <v/>
      </c>
      <c r="AL86" s="106" t="str">
        <f t="shared" si="5"/>
        <v/>
      </c>
      <c r="AM86" s="102" t="str">
        <f t="shared" si="6"/>
        <v/>
      </c>
      <c r="AN86" s="102" t="str">
        <f>IF(A86="","",
SUM(
COUNTIFS('QA Log'!D:D,A86,'QA Log'!M:M,"Data Verification",'QA Log'!L:L,"*Personnel (section 1)*"),
COUNTIFS('QA Log'!D:D,A86,'QA Log'!M:M,"Data Verification",'QA Log'!L:L,"*Consumable (section 3)*"),
COUNTIFS('QA Log'!D:D,A86,'QA Log'!M:M,"Data Verification",'QA Log'!L:L,"*Equipments (section 4)*")
))</f>
        <v/>
      </c>
      <c r="AO86" s="102" t="str">
        <f>IF(A86="","",
SUM(
COUNTIFS('QA Log'!D:D,A86,'QA Log'!M:M,"Data Verification",'QA Log'!Z:Z,"Approved",'QA Log'!L:L,"*Personnel (section 1)*"),
COUNTIFS('QA Log'!D:D,A86,'QA Log'!M:M,"Data Verification",'QA Log'!Z:Z,"Approved",'QA Log'!L:L,"*Consumable (section 3)*"),
COUNTIFS('QA Log'!D:D,A86,'QA Log'!M:M,"Data Verification",'QA Log'!Z:Z,"Approved",'QA Log'!L:L,"*Equipments (section 4)*")
))</f>
        <v/>
      </c>
      <c r="AP86" s="105" t="str">
        <f>IF(A86&lt;&gt;"",COUNTIFS('QA Log'!D:D,A86,'QA Log'!M:M,"Data Verification",'QA Log'!L:L,"Personnel (section 1)",'QA Log'!Z:Z,"Approved"),"")</f>
        <v/>
      </c>
      <c r="AQ86" s="105" t="str">
        <f>IF(A86&lt;&gt;"",COUNTIFS('QA Log'!D:D,A86,'QA Log'!M:M,"Data Verification",'QA Log'!L:L,"Consumable (section 3)",'QA Log'!Z:Z,"Approved"),"")</f>
        <v/>
      </c>
      <c r="AR86" s="105" t="str">
        <f>IF(A86&lt;&gt;"",COUNTIFS('QA Log'!D:D,A86,'QA Log'!M:M,"Data Verification",'QA Log'!L:L,"Equipments (section 4)",'QA Log'!Z:Z,"Approved"),"")</f>
        <v/>
      </c>
      <c r="AS86" s="102" t="str">
        <f>IF(A86="","",
SUM(
COUNTIFS('QA Log'!D:D,A86,'QA Log'!M:M,"Data Verification",'QA Log'!Z:Z,"Rejected",'QA Log'!L:L,"*Personnel (section 1)*"),
COUNTIFS('QA Log'!D:D,A86,'QA Log'!M:M,"Data Verification",'QA Log'!Z:Z,"Rejected",'QA Log'!L:L,"*Consumable (section 3)*"),
COUNTIFS('QA Log'!D:D,A86,'QA Log'!M:M,"Data Verification",'QA Log'!Z:Z,"Rejected",'QA Log'!L:L,"*Equipments (section 4)*")
))</f>
        <v/>
      </c>
      <c r="AT86" s="102" t="str">
        <f t="shared" si="7"/>
        <v/>
      </c>
      <c r="AU86" s="103" t="str">
        <f t="shared" si="8"/>
        <v/>
      </c>
      <c r="AV86" s="102" t="str">
        <f>IF(A86="","",SUM(
COUNTIFS('QA Log'!D:D,A86,'QA Log'!M:M,"Vignette",'QA Log'!L:L,"*Vignette [1] Respiratory Infection: Pneumonia*"),
COUNTIFS('QA Log'!D:D,A86,'QA Log'!M:M,"Vignette",'QA Log'!L:L,"*Vignette [2]: Diarrhea with Cat B dehydration*"),
COUNTIFS('QA Log'!D:D,A86,'QA Log'!M:M,"Vignette",'QA Log'!L:L,"*Vignette [3] Growth Monitoring and Promotion*"),
COUNTIFS('QA Log'!D:D,A86,'QA Log'!M:M,"Vignette",'QA Log'!L:L,"*Vignette [4]: The management of presumptive TB patient*")
)
)</f>
        <v/>
      </c>
      <c r="AW86" s="102" t="str">
        <f>IF(
  A86="","",
  SUM(
    COUNTIFS('QA Log'!D:D,A86,'QA Log'!M:M,"Vignette",'QA Log'!Z:Z,"Approved",'QA Log'!L:L,"*Vignette [1] Respiratory Infection: Pneumonia*"),
    COUNTIFS('QA Log'!D:D,A86,'QA Log'!M:M,"Vignette",'QA Log'!Z:Z,"Approved",'QA Log'!L:L,"*Vignette [2]: Diarrhea with Cat B dehydration*"),
    COUNTIFS('QA Log'!D:D,A86,'QA Log'!M:M,"Vignette",'QA Log'!Z:Z,"Approved",'QA Log'!L:L,"*Vignette [3] Growth Monitoring and Promotion*"),
    COUNTIFS('QA Log'!D:D,A86,'QA Log'!M:M,"Vignette",'QA Log'!Z:Z,"Approved",'QA Log'!L:L,"*Vignette [4]: The management of presumptive TB patient*")
  )
)</f>
        <v/>
      </c>
      <c r="AX86" s="105" t="str">
        <f>IF(A86&lt;&gt;"",COUNTIFS('QA Log'!D:D,A86,'QA Log'!M:M,"Vignette",'QA Log'!L:L,"Vignette [1] Respiratory Infection: Pneumonia",'QA Log'!Z:Z,"Approved"),"")</f>
        <v/>
      </c>
      <c r="AY86" s="105" t="str">
        <f>IF(A86&lt;&gt;"",COUNTIFS('QA Log'!D:D,A86,'QA Log'!M:M,"Vignette",'QA Log'!L:L,"Vignette [2]: Diarrhea with Cat B dehydration",'QA Log'!Z:Z,"Approved"),"")</f>
        <v/>
      </c>
      <c r="AZ86" s="105" t="str">
        <f>IF(A86&lt;&gt;"",COUNTIFS('QA Log'!D:D,A86,'QA Log'!M:M,"Vignette",'QA Log'!L:L,"Vignette [3] Growth Monitoring and Promotion",'QA Log'!Z:Z,"Approved"),"")</f>
        <v/>
      </c>
      <c r="BA86" s="105" t="str">
        <f>IF(A86&lt;&gt;"",COUNTIFS('QA Log'!D:D,A86,'QA Log'!M:M,"Vignette",'QA Log'!L:L,"Vignette [4]: The management of presumptive TB patient",'QA Log'!Z:Z,"Approved"),"")</f>
        <v/>
      </c>
      <c r="BB86" s="102" t="str">
        <f>IF(A86="","",
  SUM(
    COUNTIFS('QA Log'!D:D,A86,'QA Log'!M:M,"Vignette",'QA Log'!Z:Z,"Rejected",'QA Log'!L:L,"*Vignette [1] Respiratory Infection: Pneumonia*"),
    COUNTIFS('QA Log'!D:D,A86,'QA Log'!M:M,"Vignette",'QA Log'!Z:Z,"Rejected",'QA Log'!L:L,"*Vignette [2]: Diarrhea with Cat B dehydration*"),
    COUNTIFS('QA Log'!D:D,A86,'QA Log'!M:M,"Vignette",'QA Log'!Z:Z,"Rejected",'QA Log'!L:L,"*Vignette [3] Growth Monitoring and Promotion*"),
    COUNTIFS('QA Log'!D:D,A86,'QA Log'!M:M,"Vignette",'QA Log'!Z:Z,"Rejected",'QA Log'!L:L,"*Vignette [4]: The management of presumptive TB patient*")
  )
)</f>
        <v/>
      </c>
      <c r="BC86" s="107" t="str">
        <f t="shared" si="9"/>
        <v/>
      </c>
      <c r="BD86" s="103" t="str">
        <f t="shared" si="10"/>
        <v/>
      </c>
      <c r="BE86" s="102" t="str">
        <f>IF(A86="","",SUM(
COUNTIFS('QA Log'!D:D,A86,'QA Log'!M:M,"Vignette",'QA Log'!L:L,"*Vignette [5] Labor*"),
COUNTIFS('QA Log'!D:D,A86,'QA Log'!M:M,"Vignette",'QA Log'!L:L,"*Vignette [6] PNC pre Discharge*"),
COUNTIFS('QA Log'!D:D,A86,'QA Log'!M:M,"Vignette",'QA Log'!L:L,"*Vignette [7] First ANC Visit*"),
COUNTIFS('QA Log'!D:D,A86,'QA Log'!M:M,"Vignette",'QA Log'!L:L,"*Vignette [8] Birth Spacing/ Family Planning :  FP Counselling*"),
COUNTIFS('QA Log'!D:D,A86,'QA Log'!M:M,"Vignette",'QA Log'!L:L,"*Vignette [9] Birth Spacing: Change FP method to Injectable*"),
COUNTIFS('QA Log'!D:D,A86,'QA Log'!M:M,"Vignette",'QA Log'!L:L,"*Vignette [10] Post Partum Haemorrhage - Atonic Uterus at Health Centre*"),
)
)</f>
        <v/>
      </c>
      <c r="BF86" s="102" t="str">
        <f>IF(A86="","",
  SUM(
    COUNTIFS('QA Log'!D:D,A86,'QA Log'!M:M,"Vignette",'QA Log'!Z:Z,"Approved",'QA Log'!L:L,"*Vignette [5] Labor*"),
    COUNTIFS('QA Log'!D:D,A86,'QA Log'!M:M,"Vignette",'QA Log'!Z:Z,"Approved",'QA Log'!L:L,"*Vignette [6] PNC pre Discharge*"),
    COUNTIFS('QA Log'!D:D,A86,'QA Log'!M:M,"Vignette",'QA Log'!Z:Z,"Approved",'QA Log'!L:L,"*Vignette [7] First ANC Visit*"),
    COUNTIFS('QA Log'!D:D,A86,'QA Log'!M:M,"Vignette",'QA Log'!Z:Z,"Approved",'QA Log'!L:L,"*Vignette [8] Birth Spacing/ Family Planning :  FP Counselling*"),
    COUNTIFS('QA Log'!D:D,A86,'QA Log'!M:M,"Vignette",'QA Log'!Z:Z,"Approved",'QA Log'!L:L,"*Vignette [9] Birth Spacing: Change FP method to Injectable*"),
    COUNTIFS('QA Log'!D:D,A86,'QA Log'!M:M,"Vignette",'QA Log'!Z:Z,"Approved",'QA Log'!L:L,"*Vignette [10] Post Partum Haemorrhage - Atonic Uterus at Health Centre*")
  )
)</f>
        <v/>
      </c>
      <c r="BG86" s="105" t="str">
        <f>IF(A86&lt;&gt;"",COUNTIFS('QA Log'!D:D,A86,'QA Log'!M:M,"Vignette",'QA Log'!L:L,"Vignette [5] Labor",'QA Log'!Z:Z,"Approved"),"")</f>
        <v/>
      </c>
      <c r="BH86" s="105" t="str">
        <f>IF(A86&lt;&gt;"",COUNTIFS('QA Log'!D:D,A86,'QA Log'!M:M,"Vignette",'QA Log'!L:L,"Vignette [6] PNC pre Discharge",'QA Log'!Z:Z,"Approved"),"")</f>
        <v/>
      </c>
      <c r="BI86" s="105" t="str">
        <f>IF(A86&lt;&gt;"",COUNTIFS('QA Log'!D:D,A86,'QA Log'!M:M,"Vignette",'QA Log'!L:L,"Vignette [7] First ANC Visit",'QA Log'!Z:Z,"Approved"),"")</f>
        <v/>
      </c>
      <c r="BJ86" s="105" t="str">
        <f>IF(A86&lt;&gt;"",COUNTIFS('QA Log'!D:D,A86,'QA Log'!M:M,"Vignette",'QA Log'!L:L,"Vignette [8] Birth Spacing/ Family Planning :  FP Counselling",'QA Log'!Z:Z,"Approved"),"")</f>
        <v/>
      </c>
      <c r="BK86" s="105" t="str">
        <f>IF(A86&lt;&gt;"",COUNTIFS('QA Log'!D:D,A86,'QA Log'!M:M,"Vignette",'QA Log'!L:L,"Vignette [9] Birth Spacing: Change FP method to Injectable",'QA Log'!Z:Z,"Approved"),"")</f>
        <v/>
      </c>
      <c r="BL86" s="105" t="str">
        <f>IF(A86&lt;&gt;"",COUNTIFS('QA Log'!D:D,A86,'QA Log'!M:M,"Vignette",'QA Log'!L:L,"Vignette [10] Post Partum Haemorrhage - Atonic Uterus at Health Centre",'QA Log'!Z:Z,"Approved"),"")</f>
        <v/>
      </c>
      <c r="BM86" s="102" t="str">
        <f>IF(A86="","",SUM(
    COUNTIFS('QA Log'!D:D,A86,'QA Log'!M:M,"Vignette",'QA Log'!Z:Z,"Rejected",'QA Log'!L:L,"*Vignette [5] Labor*"),
    COUNTIFS('QA Log'!D:D,A86,'QA Log'!M:M,"Vignette",'QA Log'!Z:Z,"Rejected",'QA Log'!L:L,"*Vignette [6] PNC pre Discharge*"),
    COUNTIFS('QA Log'!D:D,A86,'QA Log'!M:M,"Vignette",'QA Log'!Z:Z,"Rejected",'QA Log'!L:L,"*Vignette [7] First ANC Visit*"),
    COUNTIFS('QA Log'!D:D,A86,'QA Log'!M:M,"Vignette",'QA Log'!Z:Z,"Rejected",'QA Log'!L:L,"*Vignette [8] Birth Spacing/ Family Planning :  FP Counselling*"),
    COUNTIFS('QA Log'!D:D,A86,'QA Log'!M:M,"Vignette",'QA Log'!Z:Z,"Rejected",'QA Log'!L:L,"*Vignette [9] Birth Spacing: Change FP method to Injectable*"),
    COUNTIFS('QA Log'!D:D,A86,'QA Log'!M:M,"Vignette",'QA Log'!Z:Z,"Rejected",'QA Log'!L:L,"*Vignette [10] Post Partum Haemorrhage - Atonic Uterus at Health Centre*")
  )
)</f>
        <v/>
      </c>
      <c r="BN86" s="107" t="str">
        <f t="shared" si="11"/>
        <v/>
      </c>
      <c r="BO86" s="103" t="str">
        <f t="shared" si="12"/>
        <v/>
      </c>
      <c r="BP86" s="102" t="str">
        <f>IF(A86="","",SUM(
COUNTIFS('QA Log'!D:D,A86,'QA Log'!M:M,"Vignette",'QA Log'!L:L,"*Exit Interview 1*"),
COUNTIFS('QA Log'!D:D,A86,'QA Log'!M:M,"Vignette",'QA Log'!L:L,"*Exit Interview 2*"),
)
)</f>
        <v/>
      </c>
      <c r="BQ86" s="102" t="str">
        <f>IF(
  A86="","",
  SUM(
    COUNTIFS('QA Log'!D:D,A86,'QA Log'!M:M,"Vignette",'QA Log'!Z:Z,"Approved",'QA Log'!L:L,"*Exit Interview 1*"),
    COUNTIFS('QA Log'!D:D,A86,'QA Log'!M:M,"Vignette",'QA Log'!Z:Z,"Approved",'QA Log'!L:L,"*Exit Interview 2*")
  )
)</f>
        <v/>
      </c>
      <c r="BR86" s="105" t="str">
        <f>IF(A86&lt;&gt;"",COUNTIFS('QA Log'!D:D,A86,'QA Log'!M:M,"Vignette",'QA Log'!L:L,"Exit Interview 1",'QA Log'!Z:Z,"Approved"),"")</f>
        <v/>
      </c>
      <c r="BS86" s="105" t="str">
        <f>IF(A86&lt;&gt;"",COUNTIFS('QA Log'!D:D,A86,'QA Log'!M:M,"Vignette",'QA Log'!L:L,"Exit Interview 2",'QA Log'!Z:Z,"Approved"),"")</f>
        <v/>
      </c>
      <c r="BT86" s="102" t="str">
        <f>IF(
  A86="","",
  SUM(
    COUNTIFS('QA Log'!D:D,A86,'QA Log'!M:M,"Vignette",'QA Log'!Z:Z,"Rejected",'QA Log'!L:L,"*Exit Interview 1*"),
    COUNTIFS('QA Log'!D:D,A86,'QA Log'!M:M,"Vignette",'QA Log'!Z:Z,"Rejected",'QA Log'!L:L,"*Exit Interview 2*")
  )
)</f>
        <v/>
      </c>
      <c r="BU86" s="107" t="str">
        <f t="shared" si="13"/>
        <v/>
      </c>
      <c r="BV86" s="102" t="str">
        <f t="shared" si="14"/>
        <v/>
      </c>
      <c r="BW86" s="102" t="str">
        <f t="shared" si="15"/>
        <v/>
      </c>
      <c r="BX86" s="102" t="str">
        <f t="shared" si="16"/>
        <v/>
      </c>
      <c r="BY86" s="102" t="str">
        <f t="shared" si="17"/>
        <v/>
      </c>
      <c r="BZ86" s="107" t="str">
        <f t="shared" si="18"/>
        <v/>
      </c>
      <c r="CA86" s="108" t="str">
        <f t="shared" si="19"/>
        <v/>
      </c>
      <c r="CB86" s="108" t="str">
        <f t="shared" si="20"/>
        <v/>
      </c>
      <c r="CC86" s="109" t="str">
        <f t="shared" si="21"/>
        <v/>
      </c>
      <c r="CD86" s="108" t="str">
        <f t="shared" si="22"/>
        <v/>
      </c>
      <c r="CE86" s="108" t="str">
        <f t="shared" si="23"/>
        <v/>
      </c>
      <c r="CF86" s="109" t="str">
        <f t="shared" si="24"/>
        <v/>
      </c>
      <c r="CG86" s="110" t="str">
        <f t="shared" si="25"/>
        <v/>
      </c>
      <c r="CH86" s="111"/>
    </row>
    <row r="87" spans="1:86" ht="12.75">
      <c r="A87" s="101"/>
      <c r="B87" s="102" t="e">
        <f t="array" aca="1" ref="B87" ca="1">_xludf.XLOOKUP(A87,'QA Log'!D:D,'QA Log'!E:E,"")</f>
        <v>#NAME?</v>
      </c>
      <c r="C87" s="102" t="e">
        <f t="array" aca="1" ref="C87" ca="1">_xludf.XLOOKUP(A87,'QA Log'!D:D,'QA Log'!F:F,"")</f>
        <v>#NAME?</v>
      </c>
      <c r="D87" s="102" t="e">
        <f t="array" aca="1" ref="D87" ca="1">_xludf.XLOOKUP(A87,'QA Log'!D:D,'QA Log'!H:H,"")</f>
        <v>#NAME?</v>
      </c>
      <c r="E87" s="102" t="e">
        <f t="array" aca="1" ref="E87" ca="1">_xludf.XLOOKUP(A87,'QA Log'!D:D,'QA Log'!G:G,"")</f>
        <v>#NAME?</v>
      </c>
      <c r="F87" s="103"/>
      <c r="G87" s="104"/>
      <c r="H87" s="104"/>
      <c r="I87" s="103" t="str">
        <f t="shared" si="0"/>
        <v/>
      </c>
      <c r="J87" s="102" t="str">
        <f>IF(A87="","",SUM(
COUNTIFS('QA Log'!D:D,A87,'QA Log'!M:M,"QQC",'QA Log'!L:L,"*1. General Management*"),
COUNTIFS('QA Log'!D:D,A87,'QA Log'!M:M,"QQC",'QA Log'!L:L,"*3. Curative Consultation (OPD)*"),
COUNTIFS('QA Log'!D:D,A87,'QA Log'!M:M,"QQC",'QA Log'!L:L,"*5. Laboratory*"),
COUNTIFS('QA Log'!D:D,A87,'QA Log'!M:M,"QQC",'QA Log'!L:L,"*6. Essential Medicine Management*"),
COUNTIFS('QA Log'!D:D,A87,'QA Log'!M:M,"QQC",'QA Log'!L:L,"*7. Tracer Medicine*"),
COUNTIFS('QA Log'!D:D,A87,'QA Log'!M:M,"QQC",'QA Log'!L:L,"*11. Additional Questions*")))</f>
        <v/>
      </c>
      <c r="K87" s="102" t="str">
        <f>IF(A87="","",SUM(
COUNTIFS('QA Log'!D:D,A87,'QA Log'!M:M,"QQC",'QA Log'!Z:Z,"Approved",'QA Log'!L:L,"*1. General Management*"),
COUNTIFS('QA Log'!D:D,A87,'QA Log'!M:M,"QQC",'QA Log'!Z:Z,"Approved",'QA Log'!L:L,"*3. Curative Consultation (OPD)*"),
COUNTIFS('QA Log'!D:D,A87,'QA Log'!M:M,"QQC",'QA Log'!Z:Z,"Approved",'QA Log'!L:L,"*5. Laboratory*"),
COUNTIFS('QA Log'!D:D,A87,'QA Log'!M:M,"QQC",'QA Log'!Z:Z,"Approved",'QA Log'!L:L,"*6. Essential Medicine Management*"),
COUNTIFS('QA Log'!D:D,A87,'QA Log'!M:M,"QQC",'QA Log'!Z:Z,"Approved",'QA Log'!L:L,"*7. Tracer Medicine*"),
COUNTIFS('QA Log'!D:D,A87,'QA Log'!M:M,"QQC",'QA Log'!Z:Z,"Approved",'QA Log'!L:L,"*11. Additional Questions*")))</f>
        <v/>
      </c>
      <c r="L87" s="105" t="str">
        <f>IF(A87&lt;&gt;"",COUNTIFS('QA Log'!D:D,A87,'QA Log'!M:M,"QQC",'QA Log'!L:L,"1. General Management",'QA Log'!Z:Z,"Approved"),"")</f>
        <v/>
      </c>
      <c r="M87" s="105" t="str">
        <f>IF(A87&lt;&gt;"",COUNTIFS('QA Log'!D:D,A87,'QA Log'!M:M,"QQC",'QA Log'!L:L,"3. Curative Consultation (OPD)",'QA Log'!Z:Z,"Approved"),"")</f>
        <v/>
      </c>
      <c r="N87" s="105" t="str">
        <f>IF(A87&lt;&gt;"",COUNTIFS('QA Log'!D:D,A87,'QA Log'!M:M,"QQC",'QA Log'!L:L,"5. Laboratory",'QA Log'!Z:Z,"Approved"),"")</f>
        <v/>
      </c>
      <c r="O87" s="105" t="str">
        <f>IF(A87&lt;&gt;"",COUNTIFS('QA Log'!D:D,A87,'QA Log'!M:M,"QQC",'QA Log'!L:L,"6. Essential Medicine Management",'QA Log'!Z:Z,"Approved"),"")</f>
        <v/>
      </c>
      <c r="P87" s="105" t="str">
        <f>IF(A87&lt;&gt;"",COUNTIFS('QA Log'!D:D,A87,'QA Log'!M:M,"QQC",'QA Log'!L:L,"7. Tracer Medicine",'QA Log'!Z:Z,"Approved"),"")</f>
        <v/>
      </c>
      <c r="Q87" s="105" t="str">
        <f>IF(A87&lt;&gt;"",COUNTIFS('QA Log'!D:D,A87,'QA Log'!M:M,"QQC",'QA Log'!L:L,"11. Additional Questions",'QA Log'!Z:Z,"Approved"),"")</f>
        <v/>
      </c>
      <c r="R87" s="102" t="str">
        <f>IF(A87="","",SUM(
COUNTIFS('QA Log'!D:D,A87,'QA Log'!M:M,"QQC",'QA Log'!Z:Z,"Rejected",'QA Log'!L:L,"*8. Maternity*"),
COUNTIFS('QA Log'!D:D,A87,'QA Log'!M:M,"QQC",'QA Log'!Z:Z,"Rejected",'QA Log'!L:L,"*EPI*"),
COUNTIFS('QA Log'!D:D,A87,'QA Log'!M:M,"QQC",'QA Log'!Z:Z,"Rejected",'QA Log'!L:L,"*10. Antenatal Care (ANC)*"),
COUNTIFS('QA Log'!D:D,A87,'QA Log'!M:M,"QQC",'QA Log'!Z:Z,"Rejected",'QA Log'!L:L,"*2. Hygiene and Sterilization*"),
COUNTIFS('QA Log'!D:D,A87,'QA Log'!M:M,"QQC",'QA Log'!Z:Z,"Rejected",'QA Log'!L:L,"*Family Planning*")))</f>
        <v/>
      </c>
      <c r="S87" s="106" t="str">
        <f t="shared" si="1"/>
        <v/>
      </c>
      <c r="T87" s="102" t="str">
        <f t="shared" si="2"/>
        <v/>
      </c>
      <c r="U87" s="102" t="str">
        <f>IF(A87="","",
SUM(
COUNTIFS('QA Log'!D:D,A87,'QA Log'!M:M,"QQC",'QA Log'!L:L,"*8. Maternity*"),
COUNTIFS('QA Log'!D:D,A87,'QA Log'!M:M,"QQC",'QA Log'!L:L,"*9. EPI and Pre-school Consultation*"),
COUNTIFS('QA Log'!D:D,A87,'QA Log'!M:M,"QQC",'QA Log'!L:L,"*10. Antenatal Care (ANC)*"),
COUNTIFS('QA Log'!D:D,A87,'QA Log'!M:M,"QQC",'QA Log'!L:L,"*2. Hygiene and Sterilization*"),
COUNTIFS('QA Log'!D:D,A87,'QA Log'!M:M,"QQC",'QA Log'!L:L,"*4. Family Planning*")
))</f>
        <v/>
      </c>
      <c r="V87" s="102" t="str">
        <f>IF(A87="","",
SUM(
COUNTIFS('QA Log'!D:D,A87,'QA Log'!M:M,"QQC",'QA Log'!Z:Z,"Approved",'QA Log'!L:L,"*8. Maternity*"),
COUNTIFS('QA Log'!D:D,A87,'QA Log'!M:M,"QQC",'QA Log'!Z:Z,"Approved",'QA Log'!L:L,"*9. EPI and Pre-school Consultation*"),
COUNTIFS('QA Log'!D:D,A87,'QA Log'!M:M,"QQC",'QA Log'!Z:Z,"Approved",'QA Log'!L:L,"*10. Antenatal Care (ANC)*"),
COUNTIFS('QA Log'!D:D,A87,'QA Log'!M:M,"QQC",'QA Log'!Z:Z,"Approved",'QA Log'!L:L,"*2. Hygiene and Sterilization*"),
COUNTIFS('QA Log'!D:D,A87,'QA Log'!M:M,"QQC",'QA Log'!Z:Z,"Approved",'QA Log'!L:L,"*4. Family Planning*")
))</f>
        <v/>
      </c>
      <c r="W87" s="105" t="str">
        <f>IF(A87&lt;&gt;"",COUNTIFS('QA Log'!D:D,A87,'QA Log'!M:M,"QQC",'QA Log'!L:L,"8. Maternity",'QA Log'!Z:Z,"Approved"),"")</f>
        <v/>
      </c>
      <c r="X87" s="105" t="str">
        <f>IF(A87&lt;&gt;"",COUNTIFS('QA Log'!D:D,A87,'QA Log'!M:M,"QQC",'QA Log'!L:L,"9. EPI and Pre-school Consultation",'QA Log'!Z:Z,"Approved"),"")</f>
        <v/>
      </c>
      <c r="Y87" s="105" t="str">
        <f>IF(A87&lt;&gt;"",COUNTIFS('QA Log'!D:D,A87,'QA Log'!M:M,"QQC",'QA Log'!L:L,"10. Antenatal Care (ANC)",'QA Log'!Z:Z,"Approved"),"")</f>
        <v/>
      </c>
      <c r="Z87" s="105" t="str">
        <f>IF(A87&lt;&gt;"",COUNTIFS('QA Log'!D:D,A87,'QA Log'!M:M,"QQC",'QA Log'!L:L,"2. Hygiene and Sterilization",'QA Log'!Z:Z,"Approved"),"")</f>
        <v/>
      </c>
      <c r="AA87" s="105" t="str">
        <f>IF(A87&lt;&gt;"",COUNTIFS('QA Log'!D:D,A87,'QA Log'!M:M,"QQC",'QA Log'!L:L,"4. Family Planning",'QA Log'!Z:Z,"Approved"),"")</f>
        <v/>
      </c>
      <c r="AB87" s="102" t="str">
        <f>IF(A87="","",
SUM(
COUNTIFS('QA Log'!D:D,A87,'QA Log'!M:M,"QQC",'QA Log'!Z:Z,"Rejected",'QA Log'!L:L,"*8. Maternity*"),
COUNTIFS('QA Log'!D:D,A87,'QA Log'!M:M,"QQC",'QA Log'!Z:Z,"Rejected",'QA Log'!L:L,"*9. EPI and Pre-school Consultation*"),
COUNTIFS('QA Log'!D:D,A87,'QA Log'!M:M,"QQC",'QA Log'!Z:Z,"Rejected",'QA Log'!L:L,"*10. Antenatal Care (ANC)*"),
COUNTIFS('QA Log'!D:D,A87,'QA Log'!M:M,"QQC",'QA Log'!Z:Z,"Rejected",'QA Log'!L:L,"*2. Hygiene and Sterilization*"),
COUNTIFS('QA Log'!D:D,A87,'QA Log'!M:M,"QQC",'QA Log'!Z:Z,"Rejected",'QA Log'!L:L,"*4. Family Planning*")
))</f>
        <v/>
      </c>
      <c r="AC87" s="102" t="str">
        <f t="shared" si="3"/>
        <v/>
      </c>
      <c r="AD87" s="103" t="str">
        <f t="shared" si="4"/>
        <v/>
      </c>
      <c r="AE87" s="102" t="str">
        <f>IF(A87="","",
SUM(
COUNTIFS('QA Log'!D:D,A87,'QA Log'!M:M,"Data Verification",'QA Log'!L:L,"*Medicine (section 2)*"),
COUNTIFS('QA Log'!D:D,A87,'QA Log'!M:M,"Data Verification",'QA Log'!L:L,"*Lab Testing Availability*"),
COUNTIFS('QA Log'!D:D,A87,'QA Log'!M:M,"Data Verification",'QA Log'!L:L,"*Other than P4P (section 6)*"),
COUNTIFS('QA Log'!D:D,A87,'QA Log'!M:M,"Data Verification",'QA Log'!L:L,"*Hospital Governance*")
))</f>
        <v/>
      </c>
      <c r="AF87" s="102" t="str">
        <f>IF(A87="","",
SUM(
COUNTIFS('QA Log'!D:D,A87,'QA Log'!M:M,"Data Verification",'QA Log'!Z:Z,"Approved",'QA Log'!L:L,"*Medicine (section 2)*"),
COUNTIFS('QA Log'!D:D,A87,'QA Log'!M:M,"Data Verification",'QA Log'!Z:Z,"Approved",'QA Log'!L:L,"*Lab Testing Availability*"),
COUNTIFS('QA Log'!D:D,A87,'QA Log'!M:M,"Data Verification",'QA Log'!Z:Z,"Approved",'QA Log'!L:L,"*Other than P4P (section 6)*"),
COUNTIFS('QA Log'!D:D,A87,'QA Log'!M:M,"Data Verification",'QA Log'!Z:Z,"Approved",'QA Log'!L:L,"*Hospital Governance*")
))</f>
        <v/>
      </c>
      <c r="AG87" s="105" t="str">
        <f>IF(A87&lt;&gt;"",COUNTIFS('QA Log'!D:D,A87,'QA Log'!M:M,"Data Verification",'QA Log'!L:L,"Medicine (section 2)",'QA Log'!Z:Z,"Approved"),"")</f>
        <v/>
      </c>
      <c r="AH87" s="105" t="str">
        <f>IF(A87&lt;&gt;"",COUNTIFS('QA Log'!D:D,A87,'QA Log'!M:M,"Data Verification",'QA Log'!L:L,"Lab Testing Availability",'QA Log'!Z:Z,"Approved"),"")</f>
        <v/>
      </c>
      <c r="AI87" s="105" t="str">
        <f>IF(A87&lt;&gt;"",COUNTIFS('QA Log'!D:D,A87,'QA Log'!M:M,"Data Verification",'QA Log'!L:L,"Other than P4P (section 6)",'QA Log'!Z:Z,"Approved"),"")</f>
        <v/>
      </c>
      <c r="AJ87" s="105" t="str">
        <f>IF(A87&lt;&gt;"",COUNTIFS('QA Log'!D:D,A87,'QA Log'!M:M,"Data Verification",'QA Log'!L:L,"Hospital Governance",'QA Log'!Z:Z,"Approved"),"")</f>
        <v/>
      </c>
      <c r="AK87" s="102" t="str">
        <f>IF(A87="","",
SUM(
COUNTIFS('QA Log'!D:D,A87,'QA Log'!M:M,"Data Verification",'QA Log'!Z:Z,"Rejected",'QA Log'!L:L,"*Medicine (section 2)*"),
COUNTIFS('QA Log'!D:D,A87,'QA Log'!M:M,"Data Verification",'QA Log'!Z:Z,"Rejected",'QA Log'!L:L,"*Lab Testing Availability*"),
COUNTIFS('QA Log'!D:D,A87,'QA Log'!M:M,"Data Verification",'QA Log'!Z:Z,"Rejected",'QA Log'!L:L,"*Other than P4P (section 6)*"),
COUNTIFS('QA Log'!D:D,A87,'QA Log'!M:M,"Data Verification",'QA Log'!Z:Z,"Rejected",'QA Log'!L:L,"*Hospital Governance*")
))</f>
        <v/>
      </c>
      <c r="AL87" s="106" t="str">
        <f t="shared" si="5"/>
        <v/>
      </c>
      <c r="AM87" s="102" t="str">
        <f t="shared" si="6"/>
        <v/>
      </c>
      <c r="AN87" s="102" t="str">
        <f>IF(A87="","",
SUM(
COUNTIFS('QA Log'!D:D,A87,'QA Log'!M:M,"Data Verification",'QA Log'!L:L,"*Personnel (section 1)*"),
COUNTIFS('QA Log'!D:D,A87,'QA Log'!M:M,"Data Verification",'QA Log'!L:L,"*Consumable (section 3)*"),
COUNTIFS('QA Log'!D:D,A87,'QA Log'!M:M,"Data Verification",'QA Log'!L:L,"*Equipments (section 4)*")
))</f>
        <v/>
      </c>
      <c r="AO87" s="102" t="str">
        <f>IF(A87="","",
SUM(
COUNTIFS('QA Log'!D:D,A87,'QA Log'!M:M,"Data Verification",'QA Log'!Z:Z,"Approved",'QA Log'!L:L,"*Personnel (section 1)*"),
COUNTIFS('QA Log'!D:D,A87,'QA Log'!M:M,"Data Verification",'QA Log'!Z:Z,"Approved",'QA Log'!L:L,"*Consumable (section 3)*"),
COUNTIFS('QA Log'!D:D,A87,'QA Log'!M:M,"Data Verification",'QA Log'!Z:Z,"Approved",'QA Log'!L:L,"*Equipments (section 4)*")
))</f>
        <v/>
      </c>
      <c r="AP87" s="105" t="str">
        <f>IF(A87&lt;&gt;"",COUNTIFS('QA Log'!D:D,A87,'QA Log'!M:M,"Data Verification",'QA Log'!L:L,"Personnel (section 1)",'QA Log'!Z:Z,"Approved"),"")</f>
        <v/>
      </c>
      <c r="AQ87" s="105" t="str">
        <f>IF(A87&lt;&gt;"",COUNTIFS('QA Log'!D:D,A87,'QA Log'!M:M,"Data Verification",'QA Log'!L:L,"Consumable (section 3)",'QA Log'!Z:Z,"Approved"),"")</f>
        <v/>
      </c>
      <c r="AR87" s="105" t="str">
        <f>IF(A87&lt;&gt;"",COUNTIFS('QA Log'!D:D,A87,'QA Log'!M:M,"Data Verification",'QA Log'!L:L,"Equipments (section 4)",'QA Log'!Z:Z,"Approved"),"")</f>
        <v/>
      </c>
      <c r="AS87" s="102" t="str">
        <f>IF(A87="","",
SUM(
COUNTIFS('QA Log'!D:D,A87,'QA Log'!M:M,"Data Verification",'QA Log'!Z:Z,"Rejected",'QA Log'!L:L,"*Personnel (section 1)*"),
COUNTIFS('QA Log'!D:D,A87,'QA Log'!M:M,"Data Verification",'QA Log'!Z:Z,"Rejected",'QA Log'!L:L,"*Consumable (section 3)*"),
COUNTIFS('QA Log'!D:D,A87,'QA Log'!M:M,"Data Verification",'QA Log'!Z:Z,"Rejected",'QA Log'!L:L,"*Equipments (section 4)*")
))</f>
        <v/>
      </c>
      <c r="AT87" s="102" t="str">
        <f t="shared" si="7"/>
        <v/>
      </c>
      <c r="AU87" s="103" t="str">
        <f t="shared" si="8"/>
        <v/>
      </c>
      <c r="AV87" s="102" t="str">
        <f>IF(A87="","",SUM(
COUNTIFS('QA Log'!D:D,A87,'QA Log'!M:M,"Vignette",'QA Log'!L:L,"*Vignette [1] Respiratory Infection: Pneumonia*"),
COUNTIFS('QA Log'!D:D,A87,'QA Log'!M:M,"Vignette",'QA Log'!L:L,"*Vignette [2]: Diarrhea with Cat B dehydration*"),
COUNTIFS('QA Log'!D:D,A87,'QA Log'!M:M,"Vignette",'QA Log'!L:L,"*Vignette [3] Growth Monitoring and Promotion*"),
COUNTIFS('QA Log'!D:D,A87,'QA Log'!M:M,"Vignette",'QA Log'!L:L,"*Vignette [4]: The management of presumptive TB patient*")
)
)</f>
        <v/>
      </c>
      <c r="AW87" s="102" t="str">
        <f>IF(
  A87="","",
  SUM(
    COUNTIFS('QA Log'!D:D,A87,'QA Log'!M:M,"Vignette",'QA Log'!Z:Z,"Approved",'QA Log'!L:L,"*Vignette [1] Respiratory Infection: Pneumonia*"),
    COUNTIFS('QA Log'!D:D,A87,'QA Log'!M:M,"Vignette",'QA Log'!Z:Z,"Approved",'QA Log'!L:L,"*Vignette [2]: Diarrhea with Cat B dehydration*"),
    COUNTIFS('QA Log'!D:D,A87,'QA Log'!M:M,"Vignette",'QA Log'!Z:Z,"Approved",'QA Log'!L:L,"*Vignette [3] Growth Monitoring and Promotion*"),
    COUNTIFS('QA Log'!D:D,A87,'QA Log'!M:M,"Vignette",'QA Log'!Z:Z,"Approved",'QA Log'!L:L,"*Vignette [4]: The management of presumptive TB patient*")
  )
)</f>
        <v/>
      </c>
      <c r="AX87" s="105" t="str">
        <f>IF(A87&lt;&gt;"",COUNTIFS('QA Log'!D:D,A87,'QA Log'!M:M,"Vignette",'QA Log'!L:L,"Vignette [1] Respiratory Infection: Pneumonia",'QA Log'!Z:Z,"Approved"),"")</f>
        <v/>
      </c>
      <c r="AY87" s="105" t="str">
        <f>IF(A87&lt;&gt;"",COUNTIFS('QA Log'!D:D,A87,'QA Log'!M:M,"Vignette",'QA Log'!L:L,"Vignette [2]: Diarrhea with Cat B dehydration",'QA Log'!Z:Z,"Approved"),"")</f>
        <v/>
      </c>
      <c r="AZ87" s="105" t="str">
        <f>IF(A87&lt;&gt;"",COUNTIFS('QA Log'!D:D,A87,'QA Log'!M:M,"Vignette",'QA Log'!L:L,"Vignette [3] Growth Monitoring and Promotion",'QA Log'!Z:Z,"Approved"),"")</f>
        <v/>
      </c>
      <c r="BA87" s="105" t="str">
        <f>IF(A87&lt;&gt;"",COUNTIFS('QA Log'!D:D,A87,'QA Log'!M:M,"Vignette",'QA Log'!L:L,"Vignette [4]: The management of presumptive TB patient",'QA Log'!Z:Z,"Approved"),"")</f>
        <v/>
      </c>
      <c r="BB87" s="102" t="str">
        <f>IF(A87="","",
  SUM(
    COUNTIFS('QA Log'!D:D,A87,'QA Log'!M:M,"Vignette",'QA Log'!Z:Z,"Rejected",'QA Log'!L:L,"*Vignette [1] Respiratory Infection: Pneumonia*"),
    COUNTIFS('QA Log'!D:D,A87,'QA Log'!M:M,"Vignette",'QA Log'!Z:Z,"Rejected",'QA Log'!L:L,"*Vignette [2]: Diarrhea with Cat B dehydration*"),
    COUNTIFS('QA Log'!D:D,A87,'QA Log'!M:M,"Vignette",'QA Log'!Z:Z,"Rejected",'QA Log'!L:L,"*Vignette [3] Growth Monitoring and Promotion*"),
    COUNTIFS('QA Log'!D:D,A87,'QA Log'!M:M,"Vignette",'QA Log'!Z:Z,"Rejected",'QA Log'!L:L,"*Vignette [4]: The management of presumptive TB patient*")
  )
)</f>
        <v/>
      </c>
      <c r="BC87" s="107" t="str">
        <f t="shared" si="9"/>
        <v/>
      </c>
      <c r="BD87" s="103" t="str">
        <f t="shared" si="10"/>
        <v/>
      </c>
      <c r="BE87" s="102" t="str">
        <f>IF(A87="","",SUM(
COUNTIFS('QA Log'!D:D,A87,'QA Log'!M:M,"Vignette",'QA Log'!L:L,"*Vignette [5] Labor*"),
COUNTIFS('QA Log'!D:D,A87,'QA Log'!M:M,"Vignette",'QA Log'!L:L,"*Vignette [6] PNC pre Discharge*"),
COUNTIFS('QA Log'!D:D,A87,'QA Log'!M:M,"Vignette",'QA Log'!L:L,"*Vignette [7] First ANC Visit*"),
COUNTIFS('QA Log'!D:D,A87,'QA Log'!M:M,"Vignette",'QA Log'!L:L,"*Vignette [8] Birth Spacing/ Family Planning :  FP Counselling*"),
COUNTIFS('QA Log'!D:D,A87,'QA Log'!M:M,"Vignette",'QA Log'!L:L,"*Vignette [9] Birth Spacing: Change FP method to Injectable*"),
COUNTIFS('QA Log'!D:D,A87,'QA Log'!M:M,"Vignette",'QA Log'!L:L,"*Vignette [10] Post Partum Haemorrhage - Atonic Uterus at Health Centre*"),
)
)</f>
        <v/>
      </c>
      <c r="BF87" s="102" t="str">
        <f>IF(A87="","",
  SUM(
    COUNTIFS('QA Log'!D:D,A87,'QA Log'!M:M,"Vignette",'QA Log'!Z:Z,"Approved",'QA Log'!L:L,"*Vignette [5] Labor*"),
    COUNTIFS('QA Log'!D:D,A87,'QA Log'!M:M,"Vignette",'QA Log'!Z:Z,"Approved",'QA Log'!L:L,"*Vignette [6] PNC pre Discharge*"),
    COUNTIFS('QA Log'!D:D,A87,'QA Log'!M:M,"Vignette",'QA Log'!Z:Z,"Approved",'QA Log'!L:L,"*Vignette [7] First ANC Visit*"),
    COUNTIFS('QA Log'!D:D,A87,'QA Log'!M:M,"Vignette",'QA Log'!Z:Z,"Approved",'QA Log'!L:L,"*Vignette [8] Birth Spacing/ Family Planning :  FP Counselling*"),
    COUNTIFS('QA Log'!D:D,A87,'QA Log'!M:M,"Vignette",'QA Log'!Z:Z,"Approved",'QA Log'!L:L,"*Vignette [9] Birth Spacing: Change FP method to Injectable*"),
    COUNTIFS('QA Log'!D:D,A87,'QA Log'!M:M,"Vignette",'QA Log'!Z:Z,"Approved",'QA Log'!L:L,"*Vignette [10] Post Partum Haemorrhage - Atonic Uterus at Health Centre*")
  )
)</f>
        <v/>
      </c>
      <c r="BG87" s="105" t="str">
        <f>IF(A87&lt;&gt;"",COUNTIFS('QA Log'!D:D,A87,'QA Log'!M:M,"Vignette",'QA Log'!L:L,"Vignette [5] Labor",'QA Log'!Z:Z,"Approved"),"")</f>
        <v/>
      </c>
      <c r="BH87" s="105" t="str">
        <f>IF(A87&lt;&gt;"",COUNTIFS('QA Log'!D:D,A87,'QA Log'!M:M,"Vignette",'QA Log'!L:L,"Vignette [6] PNC pre Discharge",'QA Log'!Z:Z,"Approved"),"")</f>
        <v/>
      </c>
      <c r="BI87" s="105" t="str">
        <f>IF(A87&lt;&gt;"",COUNTIFS('QA Log'!D:D,A87,'QA Log'!M:M,"Vignette",'QA Log'!L:L,"Vignette [7] First ANC Visit",'QA Log'!Z:Z,"Approved"),"")</f>
        <v/>
      </c>
      <c r="BJ87" s="105" t="str">
        <f>IF(A87&lt;&gt;"",COUNTIFS('QA Log'!D:D,A87,'QA Log'!M:M,"Vignette",'QA Log'!L:L,"Vignette [8] Birth Spacing/ Family Planning :  FP Counselling",'QA Log'!Z:Z,"Approved"),"")</f>
        <v/>
      </c>
      <c r="BK87" s="105" t="str">
        <f>IF(A87&lt;&gt;"",COUNTIFS('QA Log'!D:D,A87,'QA Log'!M:M,"Vignette",'QA Log'!L:L,"Vignette [9] Birth Spacing: Change FP method to Injectable",'QA Log'!Z:Z,"Approved"),"")</f>
        <v/>
      </c>
      <c r="BL87" s="105" t="str">
        <f>IF(A87&lt;&gt;"",COUNTIFS('QA Log'!D:D,A87,'QA Log'!M:M,"Vignette",'QA Log'!L:L,"Vignette [10] Post Partum Haemorrhage - Atonic Uterus at Health Centre",'QA Log'!Z:Z,"Approved"),"")</f>
        <v/>
      </c>
      <c r="BM87" s="102" t="str">
        <f>IF(A87="","",SUM(
    COUNTIFS('QA Log'!D:D,A87,'QA Log'!M:M,"Vignette",'QA Log'!Z:Z,"Rejected",'QA Log'!L:L,"*Vignette [5] Labor*"),
    COUNTIFS('QA Log'!D:D,A87,'QA Log'!M:M,"Vignette",'QA Log'!Z:Z,"Rejected",'QA Log'!L:L,"*Vignette [6] PNC pre Discharge*"),
    COUNTIFS('QA Log'!D:D,A87,'QA Log'!M:M,"Vignette",'QA Log'!Z:Z,"Rejected",'QA Log'!L:L,"*Vignette [7] First ANC Visit*"),
    COUNTIFS('QA Log'!D:D,A87,'QA Log'!M:M,"Vignette",'QA Log'!Z:Z,"Rejected",'QA Log'!L:L,"*Vignette [8] Birth Spacing/ Family Planning :  FP Counselling*"),
    COUNTIFS('QA Log'!D:D,A87,'QA Log'!M:M,"Vignette",'QA Log'!Z:Z,"Rejected",'QA Log'!L:L,"*Vignette [9] Birth Spacing: Change FP method to Injectable*"),
    COUNTIFS('QA Log'!D:D,A87,'QA Log'!M:M,"Vignette",'QA Log'!Z:Z,"Rejected",'QA Log'!L:L,"*Vignette [10] Post Partum Haemorrhage - Atonic Uterus at Health Centre*")
  )
)</f>
        <v/>
      </c>
      <c r="BN87" s="107" t="str">
        <f t="shared" si="11"/>
        <v/>
      </c>
      <c r="BO87" s="103" t="str">
        <f t="shared" si="12"/>
        <v/>
      </c>
      <c r="BP87" s="102" t="str">
        <f>IF(A87="","",SUM(
COUNTIFS('QA Log'!D:D,A87,'QA Log'!M:M,"Vignette",'QA Log'!L:L,"*Exit Interview 1*"),
COUNTIFS('QA Log'!D:D,A87,'QA Log'!M:M,"Vignette",'QA Log'!L:L,"*Exit Interview 2*"),
)
)</f>
        <v/>
      </c>
      <c r="BQ87" s="102" t="str">
        <f>IF(
  A87="","",
  SUM(
    COUNTIFS('QA Log'!D:D,A87,'QA Log'!M:M,"Vignette",'QA Log'!Z:Z,"Approved",'QA Log'!L:L,"*Exit Interview 1*"),
    COUNTIFS('QA Log'!D:D,A87,'QA Log'!M:M,"Vignette",'QA Log'!Z:Z,"Approved",'QA Log'!L:L,"*Exit Interview 2*")
  )
)</f>
        <v/>
      </c>
      <c r="BR87" s="105" t="str">
        <f>IF(A87&lt;&gt;"",COUNTIFS('QA Log'!D:D,A87,'QA Log'!M:M,"Vignette",'QA Log'!L:L,"Exit Interview 1",'QA Log'!Z:Z,"Approved"),"")</f>
        <v/>
      </c>
      <c r="BS87" s="105" t="str">
        <f>IF(A87&lt;&gt;"",COUNTIFS('QA Log'!D:D,A87,'QA Log'!M:M,"Vignette",'QA Log'!L:L,"Exit Interview 2",'QA Log'!Z:Z,"Approved"),"")</f>
        <v/>
      </c>
      <c r="BT87" s="102" t="str">
        <f>IF(
  A87="","",
  SUM(
    COUNTIFS('QA Log'!D:D,A87,'QA Log'!M:M,"Vignette",'QA Log'!Z:Z,"Rejected",'QA Log'!L:L,"*Exit Interview 1*"),
    COUNTIFS('QA Log'!D:D,A87,'QA Log'!M:M,"Vignette",'QA Log'!Z:Z,"Rejected",'QA Log'!L:L,"*Exit Interview 2*")
  )
)</f>
        <v/>
      </c>
      <c r="BU87" s="107" t="str">
        <f t="shared" si="13"/>
        <v/>
      </c>
      <c r="BV87" s="102" t="str">
        <f t="shared" si="14"/>
        <v/>
      </c>
      <c r="BW87" s="102" t="str">
        <f t="shared" si="15"/>
        <v/>
      </c>
      <c r="BX87" s="102" t="str">
        <f t="shared" si="16"/>
        <v/>
      </c>
      <c r="BY87" s="102" t="str">
        <f t="shared" si="17"/>
        <v/>
      </c>
      <c r="BZ87" s="107" t="str">
        <f t="shared" si="18"/>
        <v/>
      </c>
      <c r="CA87" s="108" t="str">
        <f t="shared" si="19"/>
        <v/>
      </c>
      <c r="CB87" s="108" t="str">
        <f t="shared" si="20"/>
        <v/>
      </c>
      <c r="CC87" s="109" t="str">
        <f t="shared" si="21"/>
        <v/>
      </c>
      <c r="CD87" s="108" t="str">
        <f t="shared" si="22"/>
        <v/>
      </c>
      <c r="CE87" s="108" t="str">
        <f t="shared" si="23"/>
        <v/>
      </c>
      <c r="CF87" s="109" t="str">
        <f t="shared" si="24"/>
        <v/>
      </c>
      <c r="CG87" s="110" t="str">
        <f t="shared" si="25"/>
        <v/>
      </c>
      <c r="CH87" s="111"/>
    </row>
    <row r="88" spans="1:86" ht="12.75">
      <c r="A88" s="101"/>
      <c r="B88" s="102" t="e">
        <f t="array" aca="1" ref="B88" ca="1">_xludf.XLOOKUP(A88,'QA Log'!D:D,'QA Log'!E:E,"")</f>
        <v>#NAME?</v>
      </c>
      <c r="C88" s="102" t="e">
        <f t="array" aca="1" ref="C88" ca="1">_xludf.XLOOKUP(A88,'QA Log'!D:D,'QA Log'!F:F,"")</f>
        <v>#NAME?</v>
      </c>
      <c r="D88" s="102" t="e">
        <f t="array" aca="1" ref="D88" ca="1">_xludf.XLOOKUP(A88,'QA Log'!D:D,'QA Log'!H:H,"")</f>
        <v>#NAME?</v>
      </c>
      <c r="E88" s="102" t="e">
        <f t="array" aca="1" ref="E88" ca="1">_xludf.XLOOKUP(A88,'QA Log'!D:D,'QA Log'!G:G,"")</f>
        <v>#NAME?</v>
      </c>
      <c r="F88" s="103"/>
      <c r="G88" s="104"/>
      <c r="H88" s="104"/>
      <c r="I88" s="103" t="str">
        <f t="shared" si="0"/>
        <v/>
      </c>
      <c r="J88" s="102" t="str">
        <f>IF(A88="","",SUM(
COUNTIFS('QA Log'!D:D,A88,'QA Log'!M:M,"QQC",'QA Log'!L:L,"*1. General Management*"),
COUNTIFS('QA Log'!D:D,A88,'QA Log'!M:M,"QQC",'QA Log'!L:L,"*3. Curative Consultation (OPD)*"),
COUNTIFS('QA Log'!D:D,A88,'QA Log'!M:M,"QQC",'QA Log'!L:L,"*5. Laboratory*"),
COUNTIFS('QA Log'!D:D,A88,'QA Log'!M:M,"QQC",'QA Log'!L:L,"*6. Essential Medicine Management*"),
COUNTIFS('QA Log'!D:D,A88,'QA Log'!M:M,"QQC",'QA Log'!L:L,"*7. Tracer Medicine*"),
COUNTIFS('QA Log'!D:D,A88,'QA Log'!M:M,"QQC",'QA Log'!L:L,"*11. Additional Questions*")))</f>
        <v/>
      </c>
      <c r="K88" s="102" t="str">
        <f>IF(A88="","",SUM(
COUNTIFS('QA Log'!D:D,A88,'QA Log'!M:M,"QQC",'QA Log'!Z:Z,"Approved",'QA Log'!L:L,"*1. General Management*"),
COUNTIFS('QA Log'!D:D,A88,'QA Log'!M:M,"QQC",'QA Log'!Z:Z,"Approved",'QA Log'!L:L,"*3. Curative Consultation (OPD)*"),
COUNTIFS('QA Log'!D:D,A88,'QA Log'!M:M,"QQC",'QA Log'!Z:Z,"Approved",'QA Log'!L:L,"*5. Laboratory*"),
COUNTIFS('QA Log'!D:D,A88,'QA Log'!M:M,"QQC",'QA Log'!Z:Z,"Approved",'QA Log'!L:L,"*6. Essential Medicine Management*"),
COUNTIFS('QA Log'!D:D,A88,'QA Log'!M:M,"QQC",'QA Log'!Z:Z,"Approved",'QA Log'!L:L,"*7. Tracer Medicine*"),
COUNTIFS('QA Log'!D:D,A88,'QA Log'!M:M,"QQC",'QA Log'!Z:Z,"Approved",'QA Log'!L:L,"*11. Additional Questions*")))</f>
        <v/>
      </c>
      <c r="L88" s="105" t="str">
        <f>IF(A88&lt;&gt;"",COUNTIFS('QA Log'!D:D,A88,'QA Log'!M:M,"QQC",'QA Log'!L:L,"1. General Management",'QA Log'!Z:Z,"Approved"),"")</f>
        <v/>
      </c>
      <c r="M88" s="105" t="str">
        <f>IF(A88&lt;&gt;"",COUNTIFS('QA Log'!D:D,A88,'QA Log'!M:M,"QQC",'QA Log'!L:L,"3. Curative Consultation (OPD)",'QA Log'!Z:Z,"Approved"),"")</f>
        <v/>
      </c>
      <c r="N88" s="105" t="str">
        <f>IF(A88&lt;&gt;"",COUNTIFS('QA Log'!D:D,A88,'QA Log'!M:M,"QQC",'QA Log'!L:L,"5. Laboratory",'QA Log'!Z:Z,"Approved"),"")</f>
        <v/>
      </c>
      <c r="O88" s="105" t="str">
        <f>IF(A88&lt;&gt;"",COUNTIFS('QA Log'!D:D,A88,'QA Log'!M:M,"QQC",'QA Log'!L:L,"6. Essential Medicine Management",'QA Log'!Z:Z,"Approved"),"")</f>
        <v/>
      </c>
      <c r="P88" s="105" t="str">
        <f>IF(A88&lt;&gt;"",COUNTIFS('QA Log'!D:D,A88,'QA Log'!M:M,"QQC",'QA Log'!L:L,"7. Tracer Medicine",'QA Log'!Z:Z,"Approved"),"")</f>
        <v/>
      </c>
      <c r="Q88" s="105" t="str">
        <f>IF(A88&lt;&gt;"",COUNTIFS('QA Log'!D:D,A88,'QA Log'!M:M,"QQC",'QA Log'!L:L,"11. Additional Questions",'QA Log'!Z:Z,"Approved"),"")</f>
        <v/>
      </c>
      <c r="R88" s="102" t="str">
        <f>IF(A88="","",SUM(
COUNTIFS('QA Log'!D:D,A88,'QA Log'!M:M,"QQC",'QA Log'!Z:Z,"Rejected",'QA Log'!L:L,"*8. Maternity*"),
COUNTIFS('QA Log'!D:D,A88,'QA Log'!M:M,"QQC",'QA Log'!Z:Z,"Rejected",'QA Log'!L:L,"*EPI*"),
COUNTIFS('QA Log'!D:D,A88,'QA Log'!M:M,"QQC",'QA Log'!Z:Z,"Rejected",'QA Log'!L:L,"*10. Antenatal Care (ANC)*"),
COUNTIFS('QA Log'!D:D,A88,'QA Log'!M:M,"QQC",'QA Log'!Z:Z,"Rejected",'QA Log'!L:L,"*2. Hygiene and Sterilization*"),
COUNTIFS('QA Log'!D:D,A88,'QA Log'!M:M,"QQC",'QA Log'!Z:Z,"Rejected",'QA Log'!L:L,"*Family Planning*")))</f>
        <v/>
      </c>
      <c r="S88" s="106" t="str">
        <f t="shared" si="1"/>
        <v/>
      </c>
      <c r="T88" s="102" t="str">
        <f t="shared" si="2"/>
        <v/>
      </c>
      <c r="U88" s="102" t="str">
        <f>IF(A88="","",
SUM(
COUNTIFS('QA Log'!D:D,A88,'QA Log'!M:M,"QQC",'QA Log'!L:L,"*8. Maternity*"),
COUNTIFS('QA Log'!D:D,A88,'QA Log'!M:M,"QQC",'QA Log'!L:L,"*9. EPI and Pre-school Consultation*"),
COUNTIFS('QA Log'!D:D,A88,'QA Log'!M:M,"QQC",'QA Log'!L:L,"*10. Antenatal Care (ANC)*"),
COUNTIFS('QA Log'!D:D,A88,'QA Log'!M:M,"QQC",'QA Log'!L:L,"*2. Hygiene and Sterilization*"),
COUNTIFS('QA Log'!D:D,A88,'QA Log'!M:M,"QQC",'QA Log'!L:L,"*4. Family Planning*")
))</f>
        <v/>
      </c>
      <c r="V88" s="102" t="str">
        <f>IF(A88="","",
SUM(
COUNTIFS('QA Log'!D:D,A88,'QA Log'!M:M,"QQC",'QA Log'!Z:Z,"Approved",'QA Log'!L:L,"*8. Maternity*"),
COUNTIFS('QA Log'!D:D,A88,'QA Log'!M:M,"QQC",'QA Log'!Z:Z,"Approved",'QA Log'!L:L,"*9. EPI and Pre-school Consultation*"),
COUNTIFS('QA Log'!D:D,A88,'QA Log'!M:M,"QQC",'QA Log'!Z:Z,"Approved",'QA Log'!L:L,"*10. Antenatal Care (ANC)*"),
COUNTIFS('QA Log'!D:D,A88,'QA Log'!M:M,"QQC",'QA Log'!Z:Z,"Approved",'QA Log'!L:L,"*2. Hygiene and Sterilization*"),
COUNTIFS('QA Log'!D:D,A88,'QA Log'!M:M,"QQC",'QA Log'!Z:Z,"Approved",'QA Log'!L:L,"*4. Family Planning*")
))</f>
        <v/>
      </c>
      <c r="W88" s="105" t="str">
        <f>IF(A88&lt;&gt;"",COUNTIFS('QA Log'!D:D,A88,'QA Log'!M:M,"QQC",'QA Log'!L:L,"8. Maternity",'QA Log'!Z:Z,"Approved"),"")</f>
        <v/>
      </c>
      <c r="X88" s="105" t="str">
        <f>IF(A88&lt;&gt;"",COUNTIFS('QA Log'!D:D,A88,'QA Log'!M:M,"QQC",'QA Log'!L:L,"9. EPI and Pre-school Consultation",'QA Log'!Z:Z,"Approved"),"")</f>
        <v/>
      </c>
      <c r="Y88" s="105" t="str">
        <f>IF(A88&lt;&gt;"",COUNTIFS('QA Log'!D:D,A88,'QA Log'!M:M,"QQC",'QA Log'!L:L,"10. Antenatal Care (ANC)",'QA Log'!Z:Z,"Approved"),"")</f>
        <v/>
      </c>
      <c r="Z88" s="105" t="str">
        <f>IF(A88&lt;&gt;"",COUNTIFS('QA Log'!D:D,A88,'QA Log'!M:M,"QQC",'QA Log'!L:L,"2. Hygiene and Sterilization",'QA Log'!Z:Z,"Approved"),"")</f>
        <v/>
      </c>
      <c r="AA88" s="105" t="str">
        <f>IF(A88&lt;&gt;"",COUNTIFS('QA Log'!D:D,A88,'QA Log'!M:M,"QQC",'QA Log'!L:L,"4. Family Planning",'QA Log'!Z:Z,"Approved"),"")</f>
        <v/>
      </c>
      <c r="AB88" s="102" t="str">
        <f>IF(A88="","",
SUM(
COUNTIFS('QA Log'!D:D,A88,'QA Log'!M:M,"QQC",'QA Log'!Z:Z,"Rejected",'QA Log'!L:L,"*8. Maternity*"),
COUNTIFS('QA Log'!D:D,A88,'QA Log'!M:M,"QQC",'QA Log'!Z:Z,"Rejected",'QA Log'!L:L,"*9. EPI and Pre-school Consultation*"),
COUNTIFS('QA Log'!D:D,A88,'QA Log'!M:M,"QQC",'QA Log'!Z:Z,"Rejected",'QA Log'!L:L,"*10. Antenatal Care (ANC)*"),
COUNTIFS('QA Log'!D:D,A88,'QA Log'!M:M,"QQC",'QA Log'!Z:Z,"Rejected",'QA Log'!L:L,"*2. Hygiene and Sterilization*"),
COUNTIFS('QA Log'!D:D,A88,'QA Log'!M:M,"QQC",'QA Log'!Z:Z,"Rejected",'QA Log'!L:L,"*4. Family Planning*")
))</f>
        <v/>
      </c>
      <c r="AC88" s="102" t="str">
        <f t="shared" si="3"/>
        <v/>
      </c>
      <c r="AD88" s="103" t="str">
        <f t="shared" si="4"/>
        <v/>
      </c>
      <c r="AE88" s="102" t="str">
        <f>IF(A88="","",
SUM(
COUNTIFS('QA Log'!D:D,A88,'QA Log'!M:M,"Data Verification",'QA Log'!L:L,"*Medicine (section 2)*"),
COUNTIFS('QA Log'!D:D,A88,'QA Log'!M:M,"Data Verification",'QA Log'!L:L,"*Lab Testing Availability*"),
COUNTIFS('QA Log'!D:D,A88,'QA Log'!M:M,"Data Verification",'QA Log'!L:L,"*Other than P4P (section 6)*"),
COUNTIFS('QA Log'!D:D,A88,'QA Log'!M:M,"Data Verification",'QA Log'!L:L,"*Hospital Governance*")
))</f>
        <v/>
      </c>
      <c r="AF88" s="102" t="str">
        <f>IF(A88="","",
SUM(
COUNTIFS('QA Log'!D:D,A88,'QA Log'!M:M,"Data Verification",'QA Log'!Z:Z,"Approved",'QA Log'!L:L,"*Medicine (section 2)*"),
COUNTIFS('QA Log'!D:D,A88,'QA Log'!M:M,"Data Verification",'QA Log'!Z:Z,"Approved",'QA Log'!L:L,"*Lab Testing Availability*"),
COUNTIFS('QA Log'!D:D,A88,'QA Log'!M:M,"Data Verification",'QA Log'!Z:Z,"Approved",'QA Log'!L:L,"*Other than P4P (section 6)*"),
COUNTIFS('QA Log'!D:D,A88,'QA Log'!M:M,"Data Verification",'QA Log'!Z:Z,"Approved",'QA Log'!L:L,"*Hospital Governance*")
))</f>
        <v/>
      </c>
      <c r="AG88" s="105" t="str">
        <f>IF(A88&lt;&gt;"",COUNTIFS('QA Log'!D:D,A88,'QA Log'!M:M,"Data Verification",'QA Log'!L:L,"Medicine (section 2)",'QA Log'!Z:Z,"Approved"),"")</f>
        <v/>
      </c>
      <c r="AH88" s="105" t="str">
        <f>IF(A88&lt;&gt;"",COUNTIFS('QA Log'!D:D,A88,'QA Log'!M:M,"Data Verification",'QA Log'!L:L,"Lab Testing Availability",'QA Log'!Z:Z,"Approved"),"")</f>
        <v/>
      </c>
      <c r="AI88" s="105" t="str">
        <f>IF(A88&lt;&gt;"",COUNTIFS('QA Log'!D:D,A88,'QA Log'!M:M,"Data Verification",'QA Log'!L:L,"Other than P4P (section 6)",'QA Log'!Z:Z,"Approved"),"")</f>
        <v/>
      </c>
      <c r="AJ88" s="105" t="str">
        <f>IF(A88&lt;&gt;"",COUNTIFS('QA Log'!D:D,A88,'QA Log'!M:M,"Data Verification",'QA Log'!L:L,"Hospital Governance",'QA Log'!Z:Z,"Approved"),"")</f>
        <v/>
      </c>
      <c r="AK88" s="102" t="str">
        <f>IF(A88="","",
SUM(
COUNTIFS('QA Log'!D:D,A88,'QA Log'!M:M,"Data Verification",'QA Log'!Z:Z,"Rejected",'QA Log'!L:L,"*Medicine (section 2)*"),
COUNTIFS('QA Log'!D:D,A88,'QA Log'!M:M,"Data Verification",'QA Log'!Z:Z,"Rejected",'QA Log'!L:L,"*Lab Testing Availability*"),
COUNTIFS('QA Log'!D:D,A88,'QA Log'!M:M,"Data Verification",'QA Log'!Z:Z,"Rejected",'QA Log'!L:L,"*Other than P4P (section 6)*"),
COUNTIFS('QA Log'!D:D,A88,'QA Log'!M:M,"Data Verification",'QA Log'!Z:Z,"Rejected",'QA Log'!L:L,"*Hospital Governance*")
))</f>
        <v/>
      </c>
      <c r="AL88" s="106" t="str">
        <f t="shared" si="5"/>
        <v/>
      </c>
      <c r="AM88" s="102" t="str">
        <f t="shared" si="6"/>
        <v/>
      </c>
      <c r="AN88" s="102" t="str">
        <f>IF(A88="","",
SUM(
COUNTIFS('QA Log'!D:D,A88,'QA Log'!M:M,"Data Verification",'QA Log'!L:L,"*Personnel (section 1)*"),
COUNTIFS('QA Log'!D:D,A88,'QA Log'!M:M,"Data Verification",'QA Log'!L:L,"*Consumable (section 3)*"),
COUNTIFS('QA Log'!D:D,A88,'QA Log'!M:M,"Data Verification",'QA Log'!L:L,"*Equipments (section 4)*")
))</f>
        <v/>
      </c>
      <c r="AO88" s="102" t="str">
        <f>IF(A88="","",
SUM(
COUNTIFS('QA Log'!D:D,A88,'QA Log'!M:M,"Data Verification",'QA Log'!Z:Z,"Approved",'QA Log'!L:L,"*Personnel (section 1)*"),
COUNTIFS('QA Log'!D:D,A88,'QA Log'!M:M,"Data Verification",'QA Log'!Z:Z,"Approved",'QA Log'!L:L,"*Consumable (section 3)*"),
COUNTIFS('QA Log'!D:D,A88,'QA Log'!M:M,"Data Verification",'QA Log'!Z:Z,"Approved",'QA Log'!L:L,"*Equipments (section 4)*")
))</f>
        <v/>
      </c>
      <c r="AP88" s="105" t="str">
        <f>IF(A88&lt;&gt;"",COUNTIFS('QA Log'!D:D,A88,'QA Log'!M:M,"Data Verification",'QA Log'!L:L,"Personnel (section 1)",'QA Log'!Z:Z,"Approved"),"")</f>
        <v/>
      </c>
      <c r="AQ88" s="105" t="str">
        <f>IF(A88&lt;&gt;"",COUNTIFS('QA Log'!D:D,A88,'QA Log'!M:M,"Data Verification",'QA Log'!L:L,"Consumable (section 3)",'QA Log'!Z:Z,"Approved"),"")</f>
        <v/>
      </c>
      <c r="AR88" s="105" t="str">
        <f>IF(A88&lt;&gt;"",COUNTIFS('QA Log'!D:D,A88,'QA Log'!M:M,"Data Verification",'QA Log'!L:L,"Equipments (section 4)",'QA Log'!Z:Z,"Approved"),"")</f>
        <v/>
      </c>
      <c r="AS88" s="102" t="str">
        <f>IF(A88="","",
SUM(
COUNTIFS('QA Log'!D:D,A88,'QA Log'!M:M,"Data Verification",'QA Log'!Z:Z,"Rejected",'QA Log'!L:L,"*Personnel (section 1)*"),
COUNTIFS('QA Log'!D:D,A88,'QA Log'!M:M,"Data Verification",'QA Log'!Z:Z,"Rejected",'QA Log'!L:L,"*Consumable (section 3)*"),
COUNTIFS('QA Log'!D:D,A88,'QA Log'!M:M,"Data Verification",'QA Log'!Z:Z,"Rejected",'QA Log'!L:L,"*Equipments (section 4)*")
))</f>
        <v/>
      </c>
      <c r="AT88" s="102" t="str">
        <f t="shared" si="7"/>
        <v/>
      </c>
      <c r="AU88" s="103" t="str">
        <f t="shared" si="8"/>
        <v/>
      </c>
      <c r="AV88" s="102" t="str">
        <f>IF(A88="","",SUM(
COUNTIFS('QA Log'!D:D,A88,'QA Log'!M:M,"Vignette",'QA Log'!L:L,"*Vignette [1] Respiratory Infection: Pneumonia*"),
COUNTIFS('QA Log'!D:D,A88,'QA Log'!M:M,"Vignette",'QA Log'!L:L,"*Vignette [2]: Diarrhea with Cat B dehydration*"),
COUNTIFS('QA Log'!D:D,A88,'QA Log'!M:M,"Vignette",'QA Log'!L:L,"*Vignette [3] Growth Monitoring and Promotion*"),
COUNTIFS('QA Log'!D:D,A88,'QA Log'!M:M,"Vignette",'QA Log'!L:L,"*Vignette [4]: The management of presumptive TB patient*")
)
)</f>
        <v/>
      </c>
      <c r="AW88" s="102" t="str">
        <f>IF(
  A88="","",
  SUM(
    COUNTIFS('QA Log'!D:D,A88,'QA Log'!M:M,"Vignette",'QA Log'!Z:Z,"Approved",'QA Log'!L:L,"*Vignette [1] Respiratory Infection: Pneumonia*"),
    COUNTIFS('QA Log'!D:D,A88,'QA Log'!M:M,"Vignette",'QA Log'!Z:Z,"Approved",'QA Log'!L:L,"*Vignette [2]: Diarrhea with Cat B dehydration*"),
    COUNTIFS('QA Log'!D:D,A88,'QA Log'!M:M,"Vignette",'QA Log'!Z:Z,"Approved",'QA Log'!L:L,"*Vignette [3] Growth Monitoring and Promotion*"),
    COUNTIFS('QA Log'!D:D,A88,'QA Log'!M:M,"Vignette",'QA Log'!Z:Z,"Approved",'QA Log'!L:L,"*Vignette [4]: The management of presumptive TB patient*")
  )
)</f>
        <v/>
      </c>
      <c r="AX88" s="105" t="str">
        <f>IF(A88&lt;&gt;"",COUNTIFS('QA Log'!D:D,A88,'QA Log'!M:M,"Vignette",'QA Log'!L:L,"Vignette [1] Respiratory Infection: Pneumonia",'QA Log'!Z:Z,"Approved"),"")</f>
        <v/>
      </c>
      <c r="AY88" s="105" t="str">
        <f>IF(A88&lt;&gt;"",COUNTIFS('QA Log'!D:D,A88,'QA Log'!M:M,"Vignette",'QA Log'!L:L,"Vignette [2]: Diarrhea with Cat B dehydration",'QA Log'!Z:Z,"Approved"),"")</f>
        <v/>
      </c>
      <c r="AZ88" s="105" t="str">
        <f>IF(A88&lt;&gt;"",COUNTIFS('QA Log'!D:D,A88,'QA Log'!M:M,"Vignette",'QA Log'!L:L,"Vignette [3] Growth Monitoring and Promotion",'QA Log'!Z:Z,"Approved"),"")</f>
        <v/>
      </c>
      <c r="BA88" s="105" t="str">
        <f>IF(A88&lt;&gt;"",COUNTIFS('QA Log'!D:D,A88,'QA Log'!M:M,"Vignette",'QA Log'!L:L,"Vignette [4]: The management of presumptive TB patient",'QA Log'!Z:Z,"Approved"),"")</f>
        <v/>
      </c>
      <c r="BB88" s="102" t="str">
        <f>IF(A88="","",
  SUM(
    COUNTIFS('QA Log'!D:D,A88,'QA Log'!M:M,"Vignette",'QA Log'!Z:Z,"Rejected",'QA Log'!L:L,"*Vignette [1] Respiratory Infection: Pneumonia*"),
    COUNTIFS('QA Log'!D:D,A88,'QA Log'!M:M,"Vignette",'QA Log'!Z:Z,"Rejected",'QA Log'!L:L,"*Vignette [2]: Diarrhea with Cat B dehydration*"),
    COUNTIFS('QA Log'!D:D,A88,'QA Log'!M:M,"Vignette",'QA Log'!Z:Z,"Rejected",'QA Log'!L:L,"*Vignette [3] Growth Monitoring and Promotion*"),
    COUNTIFS('QA Log'!D:D,A88,'QA Log'!M:M,"Vignette",'QA Log'!Z:Z,"Rejected",'QA Log'!L:L,"*Vignette [4]: The management of presumptive TB patient*")
  )
)</f>
        <v/>
      </c>
      <c r="BC88" s="107" t="str">
        <f t="shared" si="9"/>
        <v/>
      </c>
      <c r="BD88" s="103" t="str">
        <f t="shared" si="10"/>
        <v/>
      </c>
      <c r="BE88" s="102" t="str">
        <f>IF(A88="","",SUM(
COUNTIFS('QA Log'!D:D,A88,'QA Log'!M:M,"Vignette",'QA Log'!L:L,"*Vignette [5] Labor*"),
COUNTIFS('QA Log'!D:D,A88,'QA Log'!M:M,"Vignette",'QA Log'!L:L,"*Vignette [6] PNC pre Discharge*"),
COUNTIFS('QA Log'!D:D,A88,'QA Log'!M:M,"Vignette",'QA Log'!L:L,"*Vignette [7] First ANC Visit*"),
COUNTIFS('QA Log'!D:D,A88,'QA Log'!M:M,"Vignette",'QA Log'!L:L,"*Vignette [8] Birth Spacing/ Family Planning :  FP Counselling*"),
COUNTIFS('QA Log'!D:D,A88,'QA Log'!M:M,"Vignette",'QA Log'!L:L,"*Vignette [9] Birth Spacing: Change FP method to Injectable*"),
COUNTIFS('QA Log'!D:D,A88,'QA Log'!M:M,"Vignette",'QA Log'!L:L,"*Vignette [10] Post Partum Haemorrhage - Atonic Uterus at Health Centre*"),
)
)</f>
        <v/>
      </c>
      <c r="BF88" s="102" t="str">
        <f>IF(A88="","",
  SUM(
    COUNTIFS('QA Log'!D:D,A88,'QA Log'!M:M,"Vignette",'QA Log'!Z:Z,"Approved",'QA Log'!L:L,"*Vignette [5] Labor*"),
    COUNTIFS('QA Log'!D:D,A88,'QA Log'!M:M,"Vignette",'QA Log'!Z:Z,"Approved",'QA Log'!L:L,"*Vignette [6] PNC pre Discharge*"),
    COUNTIFS('QA Log'!D:D,A88,'QA Log'!M:M,"Vignette",'QA Log'!Z:Z,"Approved",'QA Log'!L:L,"*Vignette [7] First ANC Visit*"),
    COUNTIFS('QA Log'!D:D,A88,'QA Log'!M:M,"Vignette",'QA Log'!Z:Z,"Approved",'QA Log'!L:L,"*Vignette [8] Birth Spacing/ Family Planning :  FP Counselling*"),
    COUNTIFS('QA Log'!D:D,A88,'QA Log'!M:M,"Vignette",'QA Log'!Z:Z,"Approved",'QA Log'!L:L,"*Vignette [9] Birth Spacing: Change FP method to Injectable*"),
    COUNTIFS('QA Log'!D:D,A88,'QA Log'!M:M,"Vignette",'QA Log'!Z:Z,"Approved",'QA Log'!L:L,"*Vignette [10] Post Partum Haemorrhage - Atonic Uterus at Health Centre*")
  )
)</f>
        <v/>
      </c>
      <c r="BG88" s="105" t="str">
        <f>IF(A88&lt;&gt;"",COUNTIFS('QA Log'!D:D,A88,'QA Log'!M:M,"Vignette",'QA Log'!L:L,"Vignette [5] Labor",'QA Log'!Z:Z,"Approved"),"")</f>
        <v/>
      </c>
      <c r="BH88" s="105" t="str">
        <f>IF(A88&lt;&gt;"",COUNTIFS('QA Log'!D:D,A88,'QA Log'!M:M,"Vignette",'QA Log'!L:L,"Vignette [6] PNC pre Discharge",'QA Log'!Z:Z,"Approved"),"")</f>
        <v/>
      </c>
      <c r="BI88" s="105" t="str">
        <f>IF(A88&lt;&gt;"",COUNTIFS('QA Log'!D:D,A88,'QA Log'!M:M,"Vignette",'QA Log'!L:L,"Vignette [7] First ANC Visit",'QA Log'!Z:Z,"Approved"),"")</f>
        <v/>
      </c>
      <c r="BJ88" s="105" t="str">
        <f>IF(A88&lt;&gt;"",COUNTIFS('QA Log'!D:D,A88,'QA Log'!M:M,"Vignette",'QA Log'!L:L,"Vignette [8] Birth Spacing/ Family Planning :  FP Counselling",'QA Log'!Z:Z,"Approved"),"")</f>
        <v/>
      </c>
      <c r="BK88" s="105" t="str">
        <f>IF(A88&lt;&gt;"",COUNTIFS('QA Log'!D:D,A88,'QA Log'!M:M,"Vignette",'QA Log'!L:L,"Vignette [9] Birth Spacing: Change FP method to Injectable",'QA Log'!Z:Z,"Approved"),"")</f>
        <v/>
      </c>
      <c r="BL88" s="105" t="str">
        <f>IF(A88&lt;&gt;"",COUNTIFS('QA Log'!D:D,A88,'QA Log'!M:M,"Vignette",'QA Log'!L:L,"Vignette [10] Post Partum Haemorrhage - Atonic Uterus at Health Centre",'QA Log'!Z:Z,"Approved"),"")</f>
        <v/>
      </c>
      <c r="BM88" s="102" t="str">
        <f>IF(A88="","",SUM(
    COUNTIFS('QA Log'!D:D,A88,'QA Log'!M:M,"Vignette",'QA Log'!Z:Z,"Rejected",'QA Log'!L:L,"*Vignette [5] Labor*"),
    COUNTIFS('QA Log'!D:D,A88,'QA Log'!M:M,"Vignette",'QA Log'!Z:Z,"Rejected",'QA Log'!L:L,"*Vignette [6] PNC pre Discharge*"),
    COUNTIFS('QA Log'!D:D,A88,'QA Log'!M:M,"Vignette",'QA Log'!Z:Z,"Rejected",'QA Log'!L:L,"*Vignette [7] First ANC Visit*"),
    COUNTIFS('QA Log'!D:D,A88,'QA Log'!M:M,"Vignette",'QA Log'!Z:Z,"Rejected",'QA Log'!L:L,"*Vignette [8] Birth Spacing/ Family Planning :  FP Counselling*"),
    COUNTIFS('QA Log'!D:D,A88,'QA Log'!M:M,"Vignette",'QA Log'!Z:Z,"Rejected",'QA Log'!L:L,"*Vignette [9] Birth Spacing: Change FP method to Injectable*"),
    COUNTIFS('QA Log'!D:D,A88,'QA Log'!M:M,"Vignette",'QA Log'!Z:Z,"Rejected",'QA Log'!L:L,"*Vignette [10] Post Partum Haemorrhage - Atonic Uterus at Health Centre*")
  )
)</f>
        <v/>
      </c>
      <c r="BN88" s="107" t="str">
        <f t="shared" si="11"/>
        <v/>
      </c>
      <c r="BO88" s="103" t="str">
        <f t="shared" si="12"/>
        <v/>
      </c>
      <c r="BP88" s="102" t="str">
        <f>IF(A88="","",SUM(
COUNTIFS('QA Log'!D:D,A88,'QA Log'!M:M,"Vignette",'QA Log'!L:L,"*Exit Interview 1*"),
COUNTIFS('QA Log'!D:D,A88,'QA Log'!M:M,"Vignette",'QA Log'!L:L,"*Exit Interview 2*"),
)
)</f>
        <v/>
      </c>
      <c r="BQ88" s="102" t="str">
        <f>IF(
  A88="","",
  SUM(
    COUNTIFS('QA Log'!D:D,A88,'QA Log'!M:M,"Vignette",'QA Log'!Z:Z,"Approved",'QA Log'!L:L,"*Exit Interview 1*"),
    COUNTIFS('QA Log'!D:D,A88,'QA Log'!M:M,"Vignette",'QA Log'!Z:Z,"Approved",'QA Log'!L:L,"*Exit Interview 2*")
  )
)</f>
        <v/>
      </c>
      <c r="BR88" s="105" t="str">
        <f>IF(A88&lt;&gt;"",COUNTIFS('QA Log'!D:D,A88,'QA Log'!M:M,"Vignette",'QA Log'!L:L,"Exit Interview 1",'QA Log'!Z:Z,"Approved"),"")</f>
        <v/>
      </c>
      <c r="BS88" s="105" t="str">
        <f>IF(A88&lt;&gt;"",COUNTIFS('QA Log'!D:D,A88,'QA Log'!M:M,"Vignette",'QA Log'!L:L,"Exit Interview 2",'QA Log'!Z:Z,"Approved"),"")</f>
        <v/>
      </c>
      <c r="BT88" s="102" t="str">
        <f>IF(
  A88="","",
  SUM(
    COUNTIFS('QA Log'!D:D,A88,'QA Log'!M:M,"Vignette",'QA Log'!Z:Z,"Rejected",'QA Log'!L:L,"*Exit Interview 1*"),
    COUNTIFS('QA Log'!D:D,A88,'QA Log'!M:M,"Vignette",'QA Log'!Z:Z,"Rejected",'QA Log'!L:L,"*Exit Interview 2*")
  )
)</f>
        <v/>
      </c>
      <c r="BU88" s="107" t="str">
        <f t="shared" si="13"/>
        <v/>
      </c>
      <c r="BV88" s="102" t="str">
        <f t="shared" si="14"/>
        <v/>
      </c>
      <c r="BW88" s="102" t="str">
        <f t="shared" si="15"/>
        <v/>
      </c>
      <c r="BX88" s="102" t="str">
        <f t="shared" si="16"/>
        <v/>
      </c>
      <c r="BY88" s="102" t="str">
        <f t="shared" si="17"/>
        <v/>
      </c>
      <c r="BZ88" s="107" t="str">
        <f t="shared" si="18"/>
        <v/>
      </c>
      <c r="CA88" s="108" t="str">
        <f t="shared" si="19"/>
        <v/>
      </c>
      <c r="CB88" s="108" t="str">
        <f t="shared" si="20"/>
        <v/>
      </c>
      <c r="CC88" s="109" t="str">
        <f t="shared" si="21"/>
        <v/>
      </c>
      <c r="CD88" s="108" t="str">
        <f t="shared" si="22"/>
        <v/>
      </c>
      <c r="CE88" s="108" t="str">
        <f t="shared" si="23"/>
        <v/>
      </c>
      <c r="CF88" s="109" t="str">
        <f t="shared" si="24"/>
        <v/>
      </c>
      <c r="CG88" s="110" t="str">
        <f t="shared" si="25"/>
        <v/>
      </c>
      <c r="CH88" s="111"/>
    </row>
    <row r="89" spans="1:86" ht="12.75">
      <c r="A89" s="101"/>
      <c r="B89" s="102" t="e">
        <f t="array" aca="1" ref="B89" ca="1">_xludf.XLOOKUP(A89,'QA Log'!D:D,'QA Log'!E:E,"")</f>
        <v>#NAME?</v>
      </c>
      <c r="C89" s="102" t="e">
        <f t="array" aca="1" ref="C89" ca="1">_xludf.XLOOKUP(A89,'QA Log'!D:D,'QA Log'!F:F,"")</f>
        <v>#NAME?</v>
      </c>
      <c r="D89" s="102" t="e">
        <f t="array" aca="1" ref="D89" ca="1">_xludf.XLOOKUP(A89,'QA Log'!D:D,'QA Log'!H:H,"")</f>
        <v>#NAME?</v>
      </c>
      <c r="E89" s="102" t="e">
        <f t="array" aca="1" ref="E89" ca="1">_xludf.XLOOKUP(A89,'QA Log'!D:D,'QA Log'!G:G,"")</f>
        <v>#NAME?</v>
      </c>
      <c r="F89" s="103"/>
      <c r="G89" s="104"/>
      <c r="H89" s="104"/>
      <c r="I89" s="103" t="str">
        <f t="shared" si="0"/>
        <v/>
      </c>
      <c r="J89" s="102" t="str">
        <f>IF(A89="","",SUM(
COUNTIFS('QA Log'!D:D,A89,'QA Log'!M:M,"QQC",'QA Log'!L:L,"*1. General Management*"),
COUNTIFS('QA Log'!D:D,A89,'QA Log'!M:M,"QQC",'QA Log'!L:L,"*3. Curative Consultation (OPD)*"),
COUNTIFS('QA Log'!D:D,A89,'QA Log'!M:M,"QQC",'QA Log'!L:L,"*5. Laboratory*"),
COUNTIFS('QA Log'!D:D,A89,'QA Log'!M:M,"QQC",'QA Log'!L:L,"*6. Essential Medicine Management*"),
COUNTIFS('QA Log'!D:D,A89,'QA Log'!M:M,"QQC",'QA Log'!L:L,"*7. Tracer Medicine*"),
COUNTIFS('QA Log'!D:D,A89,'QA Log'!M:M,"QQC",'QA Log'!L:L,"*11. Additional Questions*")))</f>
        <v/>
      </c>
      <c r="K89" s="102" t="str">
        <f>IF(A89="","",SUM(
COUNTIFS('QA Log'!D:D,A89,'QA Log'!M:M,"QQC",'QA Log'!Z:Z,"Approved",'QA Log'!L:L,"*1. General Management*"),
COUNTIFS('QA Log'!D:D,A89,'QA Log'!M:M,"QQC",'QA Log'!Z:Z,"Approved",'QA Log'!L:L,"*3. Curative Consultation (OPD)*"),
COUNTIFS('QA Log'!D:D,A89,'QA Log'!M:M,"QQC",'QA Log'!Z:Z,"Approved",'QA Log'!L:L,"*5. Laboratory*"),
COUNTIFS('QA Log'!D:D,A89,'QA Log'!M:M,"QQC",'QA Log'!Z:Z,"Approved",'QA Log'!L:L,"*6. Essential Medicine Management*"),
COUNTIFS('QA Log'!D:D,A89,'QA Log'!M:M,"QQC",'QA Log'!Z:Z,"Approved",'QA Log'!L:L,"*7. Tracer Medicine*"),
COUNTIFS('QA Log'!D:D,A89,'QA Log'!M:M,"QQC",'QA Log'!Z:Z,"Approved",'QA Log'!L:L,"*11. Additional Questions*")))</f>
        <v/>
      </c>
      <c r="L89" s="105" t="str">
        <f>IF(A89&lt;&gt;"",COUNTIFS('QA Log'!D:D,A89,'QA Log'!M:M,"QQC",'QA Log'!L:L,"1. General Management",'QA Log'!Z:Z,"Approved"),"")</f>
        <v/>
      </c>
      <c r="M89" s="105" t="str">
        <f>IF(A89&lt;&gt;"",COUNTIFS('QA Log'!D:D,A89,'QA Log'!M:M,"QQC",'QA Log'!L:L,"3. Curative Consultation (OPD)",'QA Log'!Z:Z,"Approved"),"")</f>
        <v/>
      </c>
      <c r="N89" s="105" t="str">
        <f>IF(A89&lt;&gt;"",COUNTIFS('QA Log'!D:D,A89,'QA Log'!M:M,"QQC",'QA Log'!L:L,"5. Laboratory",'QA Log'!Z:Z,"Approved"),"")</f>
        <v/>
      </c>
      <c r="O89" s="105" t="str">
        <f>IF(A89&lt;&gt;"",COUNTIFS('QA Log'!D:D,A89,'QA Log'!M:M,"QQC",'QA Log'!L:L,"6. Essential Medicine Management",'QA Log'!Z:Z,"Approved"),"")</f>
        <v/>
      </c>
      <c r="P89" s="105" t="str">
        <f>IF(A89&lt;&gt;"",COUNTIFS('QA Log'!D:D,A89,'QA Log'!M:M,"QQC",'QA Log'!L:L,"7. Tracer Medicine",'QA Log'!Z:Z,"Approved"),"")</f>
        <v/>
      </c>
      <c r="Q89" s="105" t="str">
        <f>IF(A89&lt;&gt;"",COUNTIFS('QA Log'!D:D,A89,'QA Log'!M:M,"QQC",'QA Log'!L:L,"11. Additional Questions",'QA Log'!Z:Z,"Approved"),"")</f>
        <v/>
      </c>
      <c r="R89" s="102" t="str">
        <f>IF(A89="","",SUM(
COUNTIFS('QA Log'!D:D,A89,'QA Log'!M:M,"QQC",'QA Log'!Z:Z,"Rejected",'QA Log'!L:L,"*8. Maternity*"),
COUNTIFS('QA Log'!D:D,A89,'QA Log'!M:M,"QQC",'QA Log'!Z:Z,"Rejected",'QA Log'!L:L,"*EPI*"),
COUNTIFS('QA Log'!D:D,A89,'QA Log'!M:M,"QQC",'QA Log'!Z:Z,"Rejected",'QA Log'!L:L,"*10. Antenatal Care (ANC)*"),
COUNTIFS('QA Log'!D:D,A89,'QA Log'!M:M,"QQC",'QA Log'!Z:Z,"Rejected",'QA Log'!L:L,"*2. Hygiene and Sterilization*"),
COUNTIFS('QA Log'!D:D,A89,'QA Log'!M:M,"QQC",'QA Log'!Z:Z,"Rejected",'QA Log'!L:L,"*Family Planning*")))</f>
        <v/>
      </c>
      <c r="S89" s="106" t="str">
        <f t="shared" si="1"/>
        <v/>
      </c>
      <c r="T89" s="102" t="str">
        <f t="shared" si="2"/>
        <v/>
      </c>
      <c r="U89" s="102" t="str">
        <f>IF(A89="","",
SUM(
COUNTIFS('QA Log'!D:D,A89,'QA Log'!M:M,"QQC",'QA Log'!L:L,"*8. Maternity*"),
COUNTIFS('QA Log'!D:D,A89,'QA Log'!M:M,"QQC",'QA Log'!L:L,"*9. EPI and Pre-school Consultation*"),
COUNTIFS('QA Log'!D:D,A89,'QA Log'!M:M,"QQC",'QA Log'!L:L,"*10. Antenatal Care (ANC)*"),
COUNTIFS('QA Log'!D:D,A89,'QA Log'!M:M,"QQC",'QA Log'!L:L,"*2. Hygiene and Sterilization*"),
COUNTIFS('QA Log'!D:D,A89,'QA Log'!M:M,"QQC",'QA Log'!L:L,"*4. Family Planning*")
))</f>
        <v/>
      </c>
      <c r="V89" s="102" t="str">
        <f>IF(A89="","",
SUM(
COUNTIFS('QA Log'!D:D,A89,'QA Log'!M:M,"QQC",'QA Log'!Z:Z,"Approved",'QA Log'!L:L,"*8. Maternity*"),
COUNTIFS('QA Log'!D:D,A89,'QA Log'!M:M,"QQC",'QA Log'!Z:Z,"Approved",'QA Log'!L:L,"*9. EPI and Pre-school Consultation*"),
COUNTIFS('QA Log'!D:D,A89,'QA Log'!M:M,"QQC",'QA Log'!Z:Z,"Approved",'QA Log'!L:L,"*10. Antenatal Care (ANC)*"),
COUNTIFS('QA Log'!D:D,A89,'QA Log'!M:M,"QQC",'QA Log'!Z:Z,"Approved",'QA Log'!L:L,"*2. Hygiene and Sterilization*"),
COUNTIFS('QA Log'!D:D,A89,'QA Log'!M:M,"QQC",'QA Log'!Z:Z,"Approved",'QA Log'!L:L,"*4. Family Planning*")
))</f>
        <v/>
      </c>
      <c r="W89" s="105" t="str">
        <f>IF(A89&lt;&gt;"",COUNTIFS('QA Log'!D:D,A89,'QA Log'!M:M,"QQC",'QA Log'!L:L,"8. Maternity",'QA Log'!Z:Z,"Approved"),"")</f>
        <v/>
      </c>
      <c r="X89" s="105" t="str">
        <f>IF(A89&lt;&gt;"",COUNTIFS('QA Log'!D:D,A89,'QA Log'!M:M,"QQC",'QA Log'!L:L,"9. EPI and Pre-school Consultation",'QA Log'!Z:Z,"Approved"),"")</f>
        <v/>
      </c>
      <c r="Y89" s="105" t="str">
        <f>IF(A89&lt;&gt;"",COUNTIFS('QA Log'!D:D,A89,'QA Log'!M:M,"QQC",'QA Log'!L:L,"10. Antenatal Care (ANC)",'QA Log'!Z:Z,"Approved"),"")</f>
        <v/>
      </c>
      <c r="Z89" s="105" t="str">
        <f>IF(A89&lt;&gt;"",COUNTIFS('QA Log'!D:D,A89,'QA Log'!M:M,"QQC",'QA Log'!L:L,"2. Hygiene and Sterilization",'QA Log'!Z:Z,"Approved"),"")</f>
        <v/>
      </c>
      <c r="AA89" s="105" t="str">
        <f>IF(A89&lt;&gt;"",COUNTIFS('QA Log'!D:D,A89,'QA Log'!M:M,"QQC",'QA Log'!L:L,"4. Family Planning",'QA Log'!Z:Z,"Approved"),"")</f>
        <v/>
      </c>
      <c r="AB89" s="102" t="str">
        <f>IF(A89="","",
SUM(
COUNTIFS('QA Log'!D:D,A89,'QA Log'!M:M,"QQC",'QA Log'!Z:Z,"Rejected",'QA Log'!L:L,"*8. Maternity*"),
COUNTIFS('QA Log'!D:D,A89,'QA Log'!M:M,"QQC",'QA Log'!Z:Z,"Rejected",'QA Log'!L:L,"*9. EPI and Pre-school Consultation*"),
COUNTIFS('QA Log'!D:D,A89,'QA Log'!M:M,"QQC",'QA Log'!Z:Z,"Rejected",'QA Log'!L:L,"*10. Antenatal Care (ANC)*"),
COUNTIFS('QA Log'!D:D,A89,'QA Log'!M:M,"QQC",'QA Log'!Z:Z,"Rejected",'QA Log'!L:L,"*2. Hygiene and Sterilization*"),
COUNTIFS('QA Log'!D:D,A89,'QA Log'!M:M,"QQC",'QA Log'!Z:Z,"Rejected",'QA Log'!L:L,"*4. Family Planning*")
))</f>
        <v/>
      </c>
      <c r="AC89" s="102" t="str">
        <f t="shared" si="3"/>
        <v/>
      </c>
      <c r="AD89" s="103" t="str">
        <f t="shared" si="4"/>
        <v/>
      </c>
      <c r="AE89" s="102" t="str">
        <f>IF(A89="","",
SUM(
COUNTIFS('QA Log'!D:D,A89,'QA Log'!M:M,"Data Verification",'QA Log'!L:L,"*Medicine (section 2)*"),
COUNTIFS('QA Log'!D:D,A89,'QA Log'!M:M,"Data Verification",'QA Log'!L:L,"*Lab Testing Availability*"),
COUNTIFS('QA Log'!D:D,A89,'QA Log'!M:M,"Data Verification",'QA Log'!L:L,"*Other than P4P (section 6)*"),
COUNTIFS('QA Log'!D:D,A89,'QA Log'!M:M,"Data Verification",'QA Log'!L:L,"*Hospital Governance*")
))</f>
        <v/>
      </c>
      <c r="AF89" s="102" t="str">
        <f>IF(A89="","",
SUM(
COUNTIFS('QA Log'!D:D,A89,'QA Log'!M:M,"Data Verification",'QA Log'!Z:Z,"Approved",'QA Log'!L:L,"*Medicine (section 2)*"),
COUNTIFS('QA Log'!D:D,A89,'QA Log'!M:M,"Data Verification",'QA Log'!Z:Z,"Approved",'QA Log'!L:L,"*Lab Testing Availability*"),
COUNTIFS('QA Log'!D:D,A89,'QA Log'!M:M,"Data Verification",'QA Log'!Z:Z,"Approved",'QA Log'!L:L,"*Other than P4P (section 6)*"),
COUNTIFS('QA Log'!D:D,A89,'QA Log'!M:M,"Data Verification",'QA Log'!Z:Z,"Approved",'QA Log'!L:L,"*Hospital Governance*")
))</f>
        <v/>
      </c>
      <c r="AG89" s="105" t="str">
        <f>IF(A89&lt;&gt;"",COUNTIFS('QA Log'!D:D,A89,'QA Log'!M:M,"Data Verification",'QA Log'!L:L,"Medicine (section 2)",'QA Log'!Z:Z,"Approved"),"")</f>
        <v/>
      </c>
      <c r="AH89" s="105" t="str">
        <f>IF(A89&lt;&gt;"",COUNTIFS('QA Log'!D:D,A89,'QA Log'!M:M,"Data Verification",'QA Log'!L:L,"Lab Testing Availability",'QA Log'!Z:Z,"Approved"),"")</f>
        <v/>
      </c>
      <c r="AI89" s="105" t="str">
        <f>IF(A89&lt;&gt;"",COUNTIFS('QA Log'!D:D,A89,'QA Log'!M:M,"Data Verification",'QA Log'!L:L,"Other than P4P (section 6)",'QA Log'!Z:Z,"Approved"),"")</f>
        <v/>
      </c>
      <c r="AJ89" s="105" t="str">
        <f>IF(A89&lt;&gt;"",COUNTIFS('QA Log'!D:D,A89,'QA Log'!M:M,"Data Verification",'QA Log'!L:L,"Hospital Governance",'QA Log'!Z:Z,"Approved"),"")</f>
        <v/>
      </c>
      <c r="AK89" s="102" t="str">
        <f>IF(A89="","",
SUM(
COUNTIFS('QA Log'!D:D,A89,'QA Log'!M:M,"Data Verification",'QA Log'!Z:Z,"Rejected",'QA Log'!L:L,"*Medicine (section 2)*"),
COUNTIFS('QA Log'!D:D,A89,'QA Log'!M:M,"Data Verification",'QA Log'!Z:Z,"Rejected",'QA Log'!L:L,"*Lab Testing Availability*"),
COUNTIFS('QA Log'!D:D,A89,'QA Log'!M:M,"Data Verification",'QA Log'!Z:Z,"Rejected",'QA Log'!L:L,"*Other than P4P (section 6)*"),
COUNTIFS('QA Log'!D:D,A89,'QA Log'!M:M,"Data Verification",'QA Log'!Z:Z,"Rejected",'QA Log'!L:L,"*Hospital Governance*")
))</f>
        <v/>
      </c>
      <c r="AL89" s="106" t="str">
        <f t="shared" si="5"/>
        <v/>
      </c>
      <c r="AM89" s="102" t="str">
        <f t="shared" si="6"/>
        <v/>
      </c>
      <c r="AN89" s="102" t="str">
        <f>IF(A89="","",
SUM(
COUNTIFS('QA Log'!D:D,A89,'QA Log'!M:M,"Data Verification",'QA Log'!L:L,"*Personnel (section 1)*"),
COUNTIFS('QA Log'!D:D,A89,'QA Log'!M:M,"Data Verification",'QA Log'!L:L,"*Consumable (section 3)*"),
COUNTIFS('QA Log'!D:D,A89,'QA Log'!M:M,"Data Verification",'QA Log'!L:L,"*Equipments (section 4)*")
))</f>
        <v/>
      </c>
      <c r="AO89" s="102" t="str">
        <f>IF(A89="","",
SUM(
COUNTIFS('QA Log'!D:D,A89,'QA Log'!M:M,"Data Verification",'QA Log'!Z:Z,"Approved",'QA Log'!L:L,"*Personnel (section 1)*"),
COUNTIFS('QA Log'!D:D,A89,'QA Log'!M:M,"Data Verification",'QA Log'!Z:Z,"Approved",'QA Log'!L:L,"*Consumable (section 3)*"),
COUNTIFS('QA Log'!D:D,A89,'QA Log'!M:M,"Data Verification",'QA Log'!Z:Z,"Approved",'QA Log'!L:L,"*Equipments (section 4)*")
))</f>
        <v/>
      </c>
      <c r="AP89" s="105" t="str">
        <f>IF(A89&lt;&gt;"",COUNTIFS('QA Log'!D:D,A89,'QA Log'!M:M,"Data Verification",'QA Log'!L:L,"Personnel (section 1)",'QA Log'!Z:Z,"Approved"),"")</f>
        <v/>
      </c>
      <c r="AQ89" s="105" t="str">
        <f>IF(A89&lt;&gt;"",COUNTIFS('QA Log'!D:D,A89,'QA Log'!M:M,"Data Verification",'QA Log'!L:L,"Consumable (section 3)",'QA Log'!Z:Z,"Approved"),"")</f>
        <v/>
      </c>
      <c r="AR89" s="105" t="str">
        <f>IF(A89&lt;&gt;"",COUNTIFS('QA Log'!D:D,A89,'QA Log'!M:M,"Data Verification",'QA Log'!L:L,"Equipments (section 4)",'QA Log'!Z:Z,"Approved"),"")</f>
        <v/>
      </c>
      <c r="AS89" s="102" t="str">
        <f>IF(A89="","",
SUM(
COUNTIFS('QA Log'!D:D,A89,'QA Log'!M:M,"Data Verification",'QA Log'!Z:Z,"Rejected",'QA Log'!L:L,"*Personnel (section 1)*"),
COUNTIFS('QA Log'!D:D,A89,'QA Log'!M:M,"Data Verification",'QA Log'!Z:Z,"Rejected",'QA Log'!L:L,"*Consumable (section 3)*"),
COUNTIFS('QA Log'!D:D,A89,'QA Log'!M:M,"Data Verification",'QA Log'!Z:Z,"Rejected",'QA Log'!L:L,"*Equipments (section 4)*")
))</f>
        <v/>
      </c>
      <c r="AT89" s="102" t="str">
        <f t="shared" si="7"/>
        <v/>
      </c>
      <c r="AU89" s="103" t="str">
        <f t="shared" si="8"/>
        <v/>
      </c>
      <c r="AV89" s="102" t="str">
        <f>IF(A89="","",SUM(
COUNTIFS('QA Log'!D:D,A89,'QA Log'!M:M,"Vignette",'QA Log'!L:L,"*Vignette [1] Respiratory Infection: Pneumonia*"),
COUNTIFS('QA Log'!D:D,A89,'QA Log'!M:M,"Vignette",'QA Log'!L:L,"*Vignette [2]: Diarrhea with Cat B dehydration*"),
COUNTIFS('QA Log'!D:D,A89,'QA Log'!M:M,"Vignette",'QA Log'!L:L,"*Vignette [3] Growth Monitoring and Promotion*"),
COUNTIFS('QA Log'!D:D,A89,'QA Log'!M:M,"Vignette",'QA Log'!L:L,"*Vignette [4]: The management of presumptive TB patient*")
)
)</f>
        <v/>
      </c>
      <c r="AW89" s="102" t="str">
        <f>IF(
  A89="","",
  SUM(
    COUNTIFS('QA Log'!D:D,A89,'QA Log'!M:M,"Vignette",'QA Log'!Z:Z,"Approved",'QA Log'!L:L,"*Vignette [1] Respiratory Infection: Pneumonia*"),
    COUNTIFS('QA Log'!D:D,A89,'QA Log'!M:M,"Vignette",'QA Log'!Z:Z,"Approved",'QA Log'!L:L,"*Vignette [2]: Diarrhea with Cat B dehydration*"),
    COUNTIFS('QA Log'!D:D,A89,'QA Log'!M:M,"Vignette",'QA Log'!Z:Z,"Approved",'QA Log'!L:L,"*Vignette [3] Growth Monitoring and Promotion*"),
    COUNTIFS('QA Log'!D:D,A89,'QA Log'!M:M,"Vignette",'QA Log'!Z:Z,"Approved",'QA Log'!L:L,"*Vignette [4]: The management of presumptive TB patient*")
  )
)</f>
        <v/>
      </c>
      <c r="AX89" s="105" t="str">
        <f>IF(A89&lt;&gt;"",COUNTIFS('QA Log'!D:D,A89,'QA Log'!M:M,"Vignette",'QA Log'!L:L,"Vignette [1] Respiratory Infection: Pneumonia",'QA Log'!Z:Z,"Approved"),"")</f>
        <v/>
      </c>
      <c r="AY89" s="105" t="str">
        <f>IF(A89&lt;&gt;"",COUNTIFS('QA Log'!D:D,A89,'QA Log'!M:M,"Vignette",'QA Log'!L:L,"Vignette [2]: Diarrhea with Cat B dehydration",'QA Log'!Z:Z,"Approved"),"")</f>
        <v/>
      </c>
      <c r="AZ89" s="105" t="str">
        <f>IF(A89&lt;&gt;"",COUNTIFS('QA Log'!D:D,A89,'QA Log'!M:M,"Vignette",'QA Log'!L:L,"Vignette [3] Growth Monitoring and Promotion",'QA Log'!Z:Z,"Approved"),"")</f>
        <v/>
      </c>
      <c r="BA89" s="105" t="str">
        <f>IF(A89&lt;&gt;"",COUNTIFS('QA Log'!D:D,A89,'QA Log'!M:M,"Vignette",'QA Log'!L:L,"Vignette [4]: The management of presumptive TB patient",'QA Log'!Z:Z,"Approved"),"")</f>
        <v/>
      </c>
      <c r="BB89" s="102" t="str">
        <f>IF(A89="","",
  SUM(
    COUNTIFS('QA Log'!D:D,A89,'QA Log'!M:M,"Vignette",'QA Log'!Z:Z,"Rejected",'QA Log'!L:L,"*Vignette [1] Respiratory Infection: Pneumonia*"),
    COUNTIFS('QA Log'!D:D,A89,'QA Log'!M:M,"Vignette",'QA Log'!Z:Z,"Rejected",'QA Log'!L:L,"*Vignette [2]: Diarrhea with Cat B dehydration*"),
    COUNTIFS('QA Log'!D:D,A89,'QA Log'!M:M,"Vignette",'QA Log'!Z:Z,"Rejected",'QA Log'!L:L,"*Vignette [3] Growth Monitoring and Promotion*"),
    COUNTIFS('QA Log'!D:D,A89,'QA Log'!M:M,"Vignette",'QA Log'!Z:Z,"Rejected",'QA Log'!L:L,"*Vignette [4]: The management of presumptive TB patient*")
  )
)</f>
        <v/>
      </c>
      <c r="BC89" s="107" t="str">
        <f t="shared" si="9"/>
        <v/>
      </c>
      <c r="BD89" s="103" t="str">
        <f t="shared" si="10"/>
        <v/>
      </c>
      <c r="BE89" s="102" t="str">
        <f>IF(A89="","",SUM(
COUNTIFS('QA Log'!D:D,A89,'QA Log'!M:M,"Vignette",'QA Log'!L:L,"*Vignette [5] Labor*"),
COUNTIFS('QA Log'!D:D,A89,'QA Log'!M:M,"Vignette",'QA Log'!L:L,"*Vignette [6] PNC pre Discharge*"),
COUNTIFS('QA Log'!D:D,A89,'QA Log'!M:M,"Vignette",'QA Log'!L:L,"*Vignette [7] First ANC Visit*"),
COUNTIFS('QA Log'!D:D,A89,'QA Log'!M:M,"Vignette",'QA Log'!L:L,"*Vignette [8] Birth Spacing/ Family Planning :  FP Counselling*"),
COUNTIFS('QA Log'!D:D,A89,'QA Log'!M:M,"Vignette",'QA Log'!L:L,"*Vignette [9] Birth Spacing: Change FP method to Injectable*"),
COUNTIFS('QA Log'!D:D,A89,'QA Log'!M:M,"Vignette",'QA Log'!L:L,"*Vignette [10] Post Partum Haemorrhage - Atonic Uterus at Health Centre*"),
)
)</f>
        <v/>
      </c>
      <c r="BF89" s="102" t="str">
        <f>IF(A89="","",
  SUM(
    COUNTIFS('QA Log'!D:D,A89,'QA Log'!M:M,"Vignette",'QA Log'!Z:Z,"Approved",'QA Log'!L:L,"*Vignette [5] Labor*"),
    COUNTIFS('QA Log'!D:D,A89,'QA Log'!M:M,"Vignette",'QA Log'!Z:Z,"Approved",'QA Log'!L:L,"*Vignette [6] PNC pre Discharge*"),
    COUNTIFS('QA Log'!D:D,A89,'QA Log'!M:M,"Vignette",'QA Log'!Z:Z,"Approved",'QA Log'!L:L,"*Vignette [7] First ANC Visit*"),
    COUNTIFS('QA Log'!D:D,A89,'QA Log'!M:M,"Vignette",'QA Log'!Z:Z,"Approved",'QA Log'!L:L,"*Vignette [8] Birth Spacing/ Family Planning :  FP Counselling*"),
    COUNTIFS('QA Log'!D:D,A89,'QA Log'!M:M,"Vignette",'QA Log'!Z:Z,"Approved",'QA Log'!L:L,"*Vignette [9] Birth Spacing: Change FP method to Injectable*"),
    COUNTIFS('QA Log'!D:D,A89,'QA Log'!M:M,"Vignette",'QA Log'!Z:Z,"Approved",'QA Log'!L:L,"*Vignette [10] Post Partum Haemorrhage - Atonic Uterus at Health Centre*")
  )
)</f>
        <v/>
      </c>
      <c r="BG89" s="105" t="str">
        <f>IF(A89&lt;&gt;"",COUNTIFS('QA Log'!D:D,A89,'QA Log'!M:M,"Vignette",'QA Log'!L:L,"Vignette [5] Labor",'QA Log'!Z:Z,"Approved"),"")</f>
        <v/>
      </c>
      <c r="BH89" s="105" t="str">
        <f>IF(A89&lt;&gt;"",COUNTIFS('QA Log'!D:D,A89,'QA Log'!M:M,"Vignette",'QA Log'!L:L,"Vignette [6] PNC pre Discharge",'QA Log'!Z:Z,"Approved"),"")</f>
        <v/>
      </c>
      <c r="BI89" s="105" t="str">
        <f>IF(A89&lt;&gt;"",COUNTIFS('QA Log'!D:D,A89,'QA Log'!M:M,"Vignette",'QA Log'!L:L,"Vignette [7] First ANC Visit",'QA Log'!Z:Z,"Approved"),"")</f>
        <v/>
      </c>
      <c r="BJ89" s="105" t="str">
        <f>IF(A89&lt;&gt;"",COUNTIFS('QA Log'!D:D,A89,'QA Log'!M:M,"Vignette",'QA Log'!L:L,"Vignette [8] Birth Spacing/ Family Planning :  FP Counselling",'QA Log'!Z:Z,"Approved"),"")</f>
        <v/>
      </c>
      <c r="BK89" s="105" t="str">
        <f>IF(A89&lt;&gt;"",COUNTIFS('QA Log'!D:D,A89,'QA Log'!M:M,"Vignette",'QA Log'!L:L,"Vignette [9] Birth Spacing: Change FP method to Injectable",'QA Log'!Z:Z,"Approved"),"")</f>
        <v/>
      </c>
      <c r="BL89" s="105" t="str">
        <f>IF(A89&lt;&gt;"",COUNTIFS('QA Log'!D:D,A89,'QA Log'!M:M,"Vignette",'QA Log'!L:L,"Vignette [10] Post Partum Haemorrhage - Atonic Uterus at Health Centre",'QA Log'!Z:Z,"Approved"),"")</f>
        <v/>
      </c>
      <c r="BM89" s="102" t="str">
        <f>IF(A89="","",SUM(
    COUNTIFS('QA Log'!D:D,A89,'QA Log'!M:M,"Vignette",'QA Log'!Z:Z,"Rejected",'QA Log'!L:L,"*Vignette [5] Labor*"),
    COUNTIFS('QA Log'!D:D,A89,'QA Log'!M:M,"Vignette",'QA Log'!Z:Z,"Rejected",'QA Log'!L:L,"*Vignette [6] PNC pre Discharge*"),
    COUNTIFS('QA Log'!D:D,A89,'QA Log'!M:M,"Vignette",'QA Log'!Z:Z,"Rejected",'QA Log'!L:L,"*Vignette [7] First ANC Visit*"),
    COUNTIFS('QA Log'!D:D,A89,'QA Log'!M:M,"Vignette",'QA Log'!Z:Z,"Rejected",'QA Log'!L:L,"*Vignette [8] Birth Spacing/ Family Planning :  FP Counselling*"),
    COUNTIFS('QA Log'!D:D,A89,'QA Log'!M:M,"Vignette",'QA Log'!Z:Z,"Rejected",'QA Log'!L:L,"*Vignette [9] Birth Spacing: Change FP method to Injectable*"),
    COUNTIFS('QA Log'!D:D,A89,'QA Log'!M:M,"Vignette",'QA Log'!Z:Z,"Rejected",'QA Log'!L:L,"*Vignette [10] Post Partum Haemorrhage - Atonic Uterus at Health Centre*")
  )
)</f>
        <v/>
      </c>
      <c r="BN89" s="107" t="str">
        <f t="shared" si="11"/>
        <v/>
      </c>
      <c r="BO89" s="103" t="str">
        <f t="shared" si="12"/>
        <v/>
      </c>
      <c r="BP89" s="102" t="str">
        <f>IF(A89="","",SUM(
COUNTIFS('QA Log'!D:D,A89,'QA Log'!M:M,"Vignette",'QA Log'!L:L,"*Exit Interview 1*"),
COUNTIFS('QA Log'!D:D,A89,'QA Log'!M:M,"Vignette",'QA Log'!L:L,"*Exit Interview 2*"),
)
)</f>
        <v/>
      </c>
      <c r="BQ89" s="102" t="str">
        <f>IF(
  A89="","",
  SUM(
    COUNTIFS('QA Log'!D:D,A89,'QA Log'!M:M,"Vignette",'QA Log'!Z:Z,"Approved",'QA Log'!L:L,"*Exit Interview 1*"),
    COUNTIFS('QA Log'!D:D,A89,'QA Log'!M:M,"Vignette",'QA Log'!Z:Z,"Approved",'QA Log'!L:L,"*Exit Interview 2*")
  )
)</f>
        <v/>
      </c>
      <c r="BR89" s="105" t="str">
        <f>IF(A89&lt;&gt;"",COUNTIFS('QA Log'!D:D,A89,'QA Log'!M:M,"Vignette",'QA Log'!L:L,"Exit Interview 1",'QA Log'!Z:Z,"Approved"),"")</f>
        <v/>
      </c>
      <c r="BS89" s="105" t="str">
        <f>IF(A89&lt;&gt;"",COUNTIFS('QA Log'!D:D,A89,'QA Log'!M:M,"Vignette",'QA Log'!L:L,"Exit Interview 2",'QA Log'!Z:Z,"Approved"),"")</f>
        <v/>
      </c>
      <c r="BT89" s="102" t="str">
        <f>IF(
  A89="","",
  SUM(
    COUNTIFS('QA Log'!D:D,A89,'QA Log'!M:M,"Vignette",'QA Log'!Z:Z,"Rejected",'QA Log'!L:L,"*Exit Interview 1*"),
    COUNTIFS('QA Log'!D:D,A89,'QA Log'!M:M,"Vignette",'QA Log'!Z:Z,"Rejected",'QA Log'!L:L,"*Exit Interview 2*")
  )
)</f>
        <v/>
      </c>
      <c r="BU89" s="107" t="str">
        <f t="shared" si="13"/>
        <v/>
      </c>
      <c r="BV89" s="102" t="str">
        <f t="shared" si="14"/>
        <v/>
      </c>
      <c r="BW89" s="102" t="str">
        <f t="shared" si="15"/>
        <v/>
      </c>
      <c r="BX89" s="102" t="str">
        <f t="shared" si="16"/>
        <v/>
      </c>
      <c r="BY89" s="102" t="str">
        <f t="shared" si="17"/>
        <v/>
      </c>
      <c r="BZ89" s="107" t="str">
        <f t="shared" si="18"/>
        <v/>
      </c>
      <c r="CA89" s="108" t="str">
        <f t="shared" si="19"/>
        <v/>
      </c>
      <c r="CB89" s="108" t="str">
        <f t="shared" si="20"/>
        <v/>
      </c>
      <c r="CC89" s="109" t="str">
        <f t="shared" si="21"/>
        <v/>
      </c>
      <c r="CD89" s="108" t="str">
        <f t="shared" si="22"/>
        <v/>
      </c>
      <c r="CE89" s="108" t="str">
        <f t="shared" si="23"/>
        <v/>
      </c>
      <c r="CF89" s="109" t="str">
        <f t="shared" si="24"/>
        <v/>
      </c>
      <c r="CG89" s="110" t="str">
        <f t="shared" si="25"/>
        <v/>
      </c>
      <c r="CH89" s="111"/>
    </row>
    <row r="90" spans="1:86" ht="12.75">
      <c r="A90" s="101"/>
      <c r="B90" s="102" t="e">
        <f t="array" aca="1" ref="B90" ca="1">_xludf.XLOOKUP(A90,'QA Log'!D:D,'QA Log'!E:E,"")</f>
        <v>#NAME?</v>
      </c>
      <c r="C90" s="102" t="e">
        <f t="array" aca="1" ref="C90" ca="1">_xludf.XLOOKUP(A90,'QA Log'!D:D,'QA Log'!F:F,"")</f>
        <v>#NAME?</v>
      </c>
      <c r="D90" s="102" t="e">
        <f t="array" aca="1" ref="D90" ca="1">_xludf.XLOOKUP(A90,'QA Log'!D:D,'QA Log'!H:H,"")</f>
        <v>#NAME?</v>
      </c>
      <c r="E90" s="102" t="e">
        <f t="array" aca="1" ref="E90" ca="1">_xludf.XLOOKUP(A90,'QA Log'!D:D,'QA Log'!G:G,"")</f>
        <v>#NAME?</v>
      </c>
      <c r="F90" s="103"/>
      <c r="G90" s="104"/>
      <c r="H90" s="104"/>
      <c r="I90" s="103" t="str">
        <f t="shared" si="0"/>
        <v/>
      </c>
      <c r="J90" s="102" t="str">
        <f>IF(A90="","",SUM(
COUNTIFS('QA Log'!D:D,A90,'QA Log'!M:M,"QQC",'QA Log'!L:L,"*1. General Management*"),
COUNTIFS('QA Log'!D:D,A90,'QA Log'!M:M,"QQC",'QA Log'!L:L,"*3. Curative Consultation (OPD)*"),
COUNTIFS('QA Log'!D:D,A90,'QA Log'!M:M,"QQC",'QA Log'!L:L,"*5. Laboratory*"),
COUNTIFS('QA Log'!D:D,A90,'QA Log'!M:M,"QQC",'QA Log'!L:L,"*6. Essential Medicine Management*"),
COUNTIFS('QA Log'!D:D,A90,'QA Log'!M:M,"QQC",'QA Log'!L:L,"*7. Tracer Medicine*"),
COUNTIFS('QA Log'!D:D,A90,'QA Log'!M:M,"QQC",'QA Log'!L:L,"*11. Additional Questions*")))</f>
        <v/>
      </c>
      <c r="K90" s="102" t="str">
        <f>IF(A90="","",SUM(
COUNTIFS('QA Log'!D:D,A90,'QA Log'!M:M,"QQC",'QA Log'!Z:Z,"Approved",'QA Log'!L:L,"*1. General Management*"),
COUNTIFS('QA Log'!D:D,A90,'QA Log'!M:M,"QQC",'QA Log'!Z:Z,"Approved",'QA Log'!L:L,"*3. Curative Consultation (OPD)*"),
COUNTIFS('QA Log'!D:D,A90,'QA Log'!M:M,"QQC",'QA Log'!Z:Z,"Approved",'QA Log'!L:L,"*5. Laboratory*"),
COUNTIFS('QA Log'!D:D,A90,'QA Log'!M:M,"QQC",'QA Log'!Z:Z,"Approved",'QA Log'!L:L,"*6. Essential Medicine Management*"),
COUNTIFS('QA Log'!D:D,A90,'QA Log'!M:M,"QQC",'QA Log'!Z:Z,"Approved",'QA Log'!L:L,"*7. Tracer Medicine*"),
COUNTIFS('QA Log'!D:D,A90,'QA Log'!M:M,"QQC",'QA Log'!Z:Z,"Approved",'QA Log'!L:L,"*11. Additional Questions*")))</f>
        <v/>
      </c>
      <c r="L90" s="105" t="str">
        <f>IF(A90&lt;&gt;"",COUNTIFS('QA Log'!D:D,A90,'QA Log'!M:M,"QQC",'QA Log'!L:L,"1. General Management",'QA Log'!Z:Z,"Approved"),"")</f>
        <v/>
      </c>
      <c r="M90" s="105" t="str">
        <f>IF(A90&lt;&gt;"",COUNTIFS('QA Log'!D:D,A90,'QA Log'!M:M,"QQC",'QA Log'!L:L,"3. Curative Consultation (OPD)",'QA Log'!Z:Z,"Approved"),"")</f>
        <v/>
      </c>
      <c r="N90" s="105" t="str">
        <f>IF(A90&lt;&gt;"",COUNTIFS('QA Log'!D:D,A90,'QA Log'!M:M,"QQC",'QA Log'!L:L,"5. Laboratory",'QA Log'!Z:Z,"Approved"),"")</f>
        <v/>
      </c>
      <c r="O90" s="105" t="str">
        <f>IF(A90&lt;&gt;"",COUNTIFS('QA Log'!D:D,A90,'QA Log'!M:M,"QQC",'QA Log'!L:L,"6. Essential Medicine Management",'QA Log'!Z:Z,"Approved"),"")</f>
        <v/>
      </c>
      <c r="P90" s="105" t="str">
        <f>IF(A90&lt;&gt;"",COUNTIFS('QA Log'!D:D,A90,'QA Log'!M:M,"QQC",'QA Log'!L:L,"7. Tracer Medicine",'QA Log'!Z:Z,"Approved"),"")</f>
        <v/>
      </c>
      <c r="Q90" s="105" t="str">
        <f>IF(A90&lt;&gt;"",COUNTIFS('QA Log'!D:D,A90,'QA Log'!M:M,"QQC",'QA Log'!L:L,"11. Additional Questions",'QA Log'!Z:Z,"Approved"),"")</f>
        <v/>
      </c>
      <c r="R90" s="102" t="str">
        <f>IF(A90="","",SUM(
COUNTIFS('QA Log'!D:D,A90,'QA Log'!M:M,"QQC",'QA Log'!Z:Z,"Rejected",'QA Log'!L:L,"*8. Maternity*"),
COUNTIFS('QA Log'!D:D,A90,'QA Log'!M:M,"QQC",'QA Log'!Z:Z,"Rejected",'QA Log'!L:L,"*EPI*"),
COUNTIFS('QA Log'!D:D,A90,'QA Log'!M:M,"QQC",'QA Log'!Z:Z,"Rejected",'QA Log'!L:L,"*10. Antenatal Care (ANC)*"),
COUNTIFS('QA Log'!D:D,A90,'QA Log'!M:M,"QQC",'QA Log'!Z:Z,"Rejected",'QA Log'!L:L,"*2. Hygiene and Sterilization*"),
COUNTIFS('QA Log'!D:D,A90,'QA Log'!M:M,"QQC",'QA Log'!Z:Z,"Rejected",'QA Log'!L:L,"*Family Planning*")))</f>
        <v/>
      </c>
      <c r="S90" s="106" t="str">
        <f t="shared" si="1"/>
        <v/>
      </c>
      <c r="T90" s="102" t="str">
        <f t="shared" si="2"/>
        <v/>
      </c>
      <c r="U90" s="102" t="str">
        <f>IF(A90="","",
SUM(
COUNTIFS('QA Log'!D:D,A90,'QA Log'!M:M,"QQC",'QA Log'!L:L,"*8. Maternity*"),
COUNTIFS('QA Log'!D:D,A90,'QA Log'!M:M,"QQC",'QA Log'!L:L,"*9. EPI and Pre-school Consultation*"),
COUNTIFS('QA Log'!D:D,A90,'QA Log'!M:M,"QQC",'QA Log'!L:L,"*10. Antenatal Care (ANC)*"),
COUNTIFS('QA Log'!D:D,A90,'QA Log'!M:M,"QQC",'QA Log'!L:L,"*2. Hygiene and Sterilization*"),
COUNTIFS('QA Log'!D:D,A90,'QA Log'!M:M,"QQC",'QA Log'!L:L,"*4. Family Planning*")
))</f>
        <v/>
      </c>
      <c r="V90" s="102" t="str">
        <f>IF(A90="","",
SUM(
COUNTIFS('QA Log'!D:D,A90,'QA Log'!M:M,"QQC",'QA Log'!Z:Z,"Approved",'QA Log'!L:L,"*8. Maternity*"),
COUNTIFS('QA Log'!D:D,A90,'QA Log'!M:M,"QQC",'QA Log'!Z:Z,"Approved",'QA Log'!L:L,"*9. EPI and Pre-school Consultation*"),
COUNTIFS('QA Log'!D:D,A90,'QA Log'!M:M,"QQC",'QA Log'!Z:Z,"Approved",'QA Log'!L:L,"*10. Antenatal Care (ANC)*"),
COUNTIFS('QA Log'!D:D,A90,'QA Log'!M:M,"QQC",'QA Log'!Z:Z,"Approved",'QA Log'!L:L,"*2. Hygiene and Sterilization*"),
COUNTIFS('QA Log'!D:D,A90,'QA Log'!M:M,"QQC",'QA Log'!Z:Z,"Approved",'QA Log'!L:L,"*4. Family Planning*")
))</f>
        <v/>
      </c>
      <c r="W90" s="105" t="str">
        <f>IF(A90&lt;&gt;"",COUNTIFS('QA Log'!D:D,A90,'QA Log'!M:M,"QQC",'QA Log'!L:L,"8. Maternity",'QA Log'!Z:Z,"Approved"),"")</f>
        <v/>
      </c>
      <c r="X90" s="105" t="str">
        <f>IF(A90&lt;&gt;"",COUNTIFS('QA Log'!D:D,A90,'QA Log'!M:M,"QQC",'QA Log'!L:L,"9. EPI and Pre-school Consultation",'QA Log'!Z:Z,"Approved"),"")</f>
        <v/>
      </c>
      <c r="Y90" s="105" t="str">
        <f>IF(A90&lt;&gt;"",COUNTIFS('QA Log'!D:D,A90,'QA Log'!M:M,"QQC",'QA Log'!L:L,"10. Antenatal Care (ANC)",'QA Log'!Z:Z,"Approved"),"")</f>
        <v/>
      </c>
      <c r="Z90" s="105" t="str">
        <f>IF(A90&lt;&gt;"",COUNTIFS('QA Log'!D:D,A90,'QA Log'!M:M,"QQC",'QA Log'!L:L,"2. Hygiene and Sterilization",'QA Log'!Z:Z,"Approved"),"")</f>
        <v/>
      </c>
      <c r="AA90" s="105" t="str">
        <f>IF(A90&lt;&gt;"",COUNTIFS('QA Log'!D:D,A90,'QA Log'!M:M,"QQC",'QA Log'!L:L,"4. Family Planning",'QA Log'!Z:Z,"Approved"),"")</f>
        <v/>
      </c>
      <c r="AB90" s="102" t="str">
        <f>IF(A90="","",
SUM(
COUNTIFS('QA Log'!D:D,A90,'QA Log'!M:M,"QQC",'QA Log'!Z:Z,"Rejected",'QA Log'!L:L,"*8. Maternity*"),
COUNTIFS('QA Log'!D:D,A90,'QA Log'!M:M,"QQC",'QA Log'!Z:Z,"Rejected",'QA Log'!L:L,"*9. EPI and Pre-school Consultation*"),
COUNTIFS('QA Log'!D:D,A90,'QA Log'!M:M,"QQC",'QA Log'!Z:Z,"Rejected",'QA Log'!L:L,"*10. Antenatal Care (ANC)*"),
COUNTIFS('QA Log'!D:D,A90,'QA Log'!M:M,"QQC",'QA Log'!Z:Z,"Rejected",'QA Log'!L:L,"*2. Hygiene and Sterilization*"),
COUNTIFS('QA Log'!D:D,A90,'QA Log'!M:M,"QQC",'QA Log'!Z:Z,"Rejected",'QA Log'!L:L,"*4. Family Planning*")
))</f>
        <v/>
      </c>
      <c r="AC90" s="102" t="str">
        <f t="shared" si="3"/>
        <v/>
      </c>
      <c r="AD90" s="103" t="str">
        <f t="shared" si="4"/>
        <v/>
      </c>
      <c r="AE90" s="102" t="str">
        <f>IF(A90="","",
SUM(
COUNTIFS('QA Log'!D:D,A90,'QA Log'!M:M,"Data Verification",'QA Log'!L:L,"*Medicine (section 2)*"),
COUNTIFS('QA Log'!D:D,A90,'QA Log'!M:M,"Data Verification",'QA Log'!L:L,"*Lab Testing Availability*"),
COUNTIFS('QA Log'!D:D,A90,'QA Log'!M:M,"Data Verification",'QA Log'!L:L,"*Other than P4P (section 6)*"),
COUNTIFS('QA Log'!D:D,A90,'QA Log'!M:M,"Data Verification",'QA Log'!L:L,"*Hospital Governance*")
))</f>
        <v/>
      </c>
      <c r="AF90" s="102" t="str">
        <f>IF(A90="","",
SUM(
COUNTIFS('QA Log'!D:D,A90,'QA Log'!M:M,"Data Verification",'QA Log'!Z:Z,"Approved",'QA Log'!L:L,"*Medicine (section 2)*"),
COUNTIFS('QA Log'!D:D,A90,'QA Log'!M:M,"Data Verification",'QA Log'!Z:Z,"Approved",'QA Log'!L:L,"*Lab Testing Availability*"),
COUNTIFS('QA Log'!D:D,A90,'QA Log'!M:M,"Data Verification",'QA Log'!Z:Z,"Approved",'QA Log'!L:L,"*Other than P4P (section 6)*"),
COUNTIFS('QA Log'!D:D,A90,'QA Log'!M:M,"Data Verification",'QA Log'!Z:Z,"Approved",'QA Log'!L:L,"*Hospital Governance*")
))</f>
        <v/>
      </c>
      <c r="AG90" s="105" t="str">
        <f>IF(A90&lt;&gt;"",COUNTIFS('QA Log'!D:D,A90,'QA Log'!M:M,"Data Verification",'QA Log'!L:L,"Medicine (section 2)",'QA Log'!Z:Z,"Approved"),"")</f>
        <v/>
      </c>
      <c r="AH90" s="105" t="str">
        <f>IF(A90&lt;&gt;"",COUNTIFS('QA Log'!D:D,A90,'QA Log'!M:M,"Data Verification",'QA Log'!L:L,"Lab Testing Availability",'QA Log'!Z:Z,"Approved"),"")</f>
        <v/>
      </c>
      <c r="AI90" s="105" t="str">
        <f>IF(A90&lt;&gt;"",COUNTIFS('QA Log'!D:D,A90,'QA Log'!M:M,"Data Verification",'QA Log'!L:L,"Other than P4P (section 6)",'QA Log'!Z:Z,"Approved"),"")</f>
        <v/>
      </c>
      <c r="AJ90" s="105" t="str">
        <f>IF(A90&lt;&gt;"",COUNTIFS('QA Log'!D:D,A90,'QA Log'!M:M,"Data Verification",'QA Log'!L:L,"Hospital Governance",'QA Log'!Z:Z,"Approved"),"")</f>
        <v/>
      </c>
      <c r="AK90" s="102" t="str">
        <f>IF(A90="","",
SUM(
COUNTIFS('QA Log'!D:D,A90,'QA Log'!M:M,"Data Verification",'QA Log'!Z:Z,"Rejected",'QA Log'!L:L,"*Medicine (section 2)*"),
COUNTIFS('QA Log'!D:D,A90,'QA Log'!M:M,"Data Verification",'QA Log'!Z:Z,"Rejected",'QA Log'!L:L,"*Lab Testing Availability*"),
COUNTIFS('QA Log'!D:D,A90,'QA Log'!M:M,"Data Verification",'QA Log'!Z:Z,"Rejected",'QA Log'!L:L,"*Other than P4P (section 6)*"),
COUNTIFS('QA Log'!D:D,A90,'QA Log'!M:M,"Data Verification",'QA Log'!Z:Z,"Rejected",'QA Log'!L:L,"*Hospital Governance*")
))</f>
        <v/>
      </c>
      <c r="AL90" s="106" t="str">
        <f t="shared" si="5"/>
        <v/>
      </c>
      <c r="AM90" s="102" t="str">
        <f t="shared" si="6"/>
        <v/>
      </c>
      <c r="AN90" s="102" t="str">
        <f>IF(A90="","",
SUM(
COUNTIFS('QA Log'!D:D,A90,'QA Log'!M:M,"Data Verification",'QA Log'!L:L,"*Personnel (section 1)*"),
COUNTIFS('QA Log'!D:D,A90,'QA Log'!M:M,"Data Verification",'QA Log'!L:L,"*Consumable (section 3)*"),
COUNTIFS('QA Log'!D:D,A90,'QA Log'!M:M,"Data Verification",'QA Log'!L:L,"*Equipments (section 4)*")
))</f>
        <v/>
      </c>
      <c r="AO90" s="102" t="str">
        <f>IF(A90="","",
SUM(
COUNTIFS('QA Log'!D:D,A90,'QA Log'!M:M,"Data Verification",'QA Log'!Z:Z,"Approved",'QA Log'!L:L,"*Personnel (section 1)*"),
COUNTIFS('QA Log'!D:D,A90,'QA Log'!M:M,"Data Verification",'QA Log'!Z:Z,"Approved",'QA Log'!L:L,"*Consumable (section 3)*"),
COUNTIFS('QA Log'!D:D,A90,'QA Log'!M:M,"Data Verification",'QA Log'!Z:Z,"Approved",'QA Log'!L:L,"*Equipments (section 4)*")
))</f>
        <v/>
      </c>
      <c r="AP90" s="105" t="str">
        <f>IF(A90&lt;&gt;"",COUNTIFS('QA Log'!D:D,A90,'QA Log'!M:M,"Data Verification",'QA Log'!L:L,"Personnel (section 1)",'QA Log'!Z:Z,"Approved"),"")</f>
        <v/>
      </c>
      <c r="AQ90" s="105" t="str">
        <f>IF(A90&lt;&gt;"",COUNTIFS('QA Log'!D:D,A90,'QA Log'!M:M,"Data Verification",'QA Log'!L:L,"Consumable (section 3)",'QA Log'!Z:Z,"Approved"),"")</f>
        <v/>
      </c>
      <c r="AR90" s="105" t="str">
        <f>IF(A90&lt;&gt;"",COUNTIFS('QA Log'!D:D,A90,'QA Log'!M:M,"Data Verification",'QA Log'!L:L,"Equipments (section 4)",'QA Log'!Z:Z,"Approved"),"")</f>
        <v/>
      </c>
      <c r="AS90" s="102" t="str">
        <f>IF(A90="","",
SUM(
COUNTIFS('QA Log'!D:D,A90,'QA Log'!M:M,"Data Verification",'QA Log'!Z:Z,"Rejected",'QA Log'!L:L,"*Personnel (section 1)*"),
COUNTIFS('QA Log'!D:D,A90,'QA Log'!M:M,"Data Verification",'QA Log'!Z:Z,"Rejected",'QA Log'!L:L,"*Consumable (section 3)*"),
COUNTIFS('QA Log'!D:D,A90,'QA Log'!M:M,"Data Verification",'QA Log'!Z:Z,"Rejected",'QA Log'!L:L,"*Equipments (section 4)*")
))</f>
        <v/>
      </c>
      <c r="AT90" s="102" t="str">
        <f t="shared" si="7"/>
        <v/>
      </c>
      <c r="AU90" s="103" t="str">
        <f t="shared" si="8"/>
        <v/>
      </c>
      <c r="AV90" s="102" t="str">
        <f>IF(A90="","",SUM(
COUNTIFS('QA Log'!D:D,A90,'QA Log'!M:M,"Vignette",'QA Log'!L:L,"*Vignette [1] Respiratory Infection: Pneumonia*"),
COUNTIFS('QA Log'!D:D,A90,'QA Log'!M:M,"Vignette",'QA Log'!L:L,"*Vignette [2]: Diarrhea with Cat B dehydration*"),
COUNTIFS('QA Log'!D:D,A90,'QA Log'!M:M,"Vignette",'QA Log'!L:L,"*Vignette [3] Growth Monitoring and Promotion*"),
COUNTIFS('QA Log'!D:D,A90,'QA Log'!M:M,"Vignette",'QA Log'!L:L,"*Vignette [4]: The management of presumptive TB patient*")
)
)</f>
        <v/>
      </c>
      <c r="AW90" s="102" t="str">
        <f>IF(
  A90="","",
  SUM(
    COUNTIFS('QA Log'!D:D,A90,'QA Log'!M:M,"Vignette",'QA Log'!Z:Z,"Approved",'QA Log'!L:L,"*Vignette [1] Respiratory Infection: Pneumonia*"),
    COUNTIFS('QA Log'!D:D,A90,'QA Log'!M:M,"Vignette",'QA Log'!Z:Z,"Approved",'QA Log'!L:L,"*Vignette [2]: Diarrhea with Cat B dehydration*"),
    COUNTIFS('QA Log'!D:D,A90,'QA Log'!M:M,"Vignette",'QA Log'!Z:Z,"Approved",'QA Log'!L:L,"*Vignette [3] Growth Monitoring and Promotion*"),
    COUNTIFS('QA Log'!D:D,A90,'QA Log'!M:M,"Vignette",'QA Log'!Z:Z,"Approved",'QA Log'!L:L,"*Vignette [4]: The management of presumptive TB patient*")
  )
)</f>
        <v/>
      </c>
      <c r="AX90" s="105" t="str">
        <f>IF(A90&lt;&gt;"",COUNTIFS('QA Log'!D:D,A90,'QA Log'!M:M,"Vignette",'QA Log'!L:L,"Vignette [1] Respiratory Infection: Pneumonia",'QA Log'!Z:Z,"Approved"),"")</f>
        <v/>
      </c>
      <c r="AY90" s="105" t="str">
        <f>IF(A90&lt;&gt;"",COUNTIFS('QA Log'!D:D,A90,'QA Log'!M:M,"Vignette",'QA Log'!L:L,"Vignette [2]: Diarrhea with Cat B dehydration",'QA Log'!Z:Z,"Approved"),"")</f>
        <v/>
      </c>
      <c r="AZ90" s="105" t="str">
        <f>IF(A90&lt;&gt;"",COUNTIFS('QA Log'!D:D,A90,'QA Log'!M:M,"Vignette",'QA Log'!L:L,"Vignette [3] Growth Monitoring and Promotion",'QA Log'!Z:Z,"Approved"),"")</f>
        <v/>
      </c>
      <c r="BA90" s="105" t="str">
        <f>IF(A90&lt;&gt;"",COUNTIFS('QA Log'!D:D,A90,'QA Log'!M:M,"Vignette",'QA Log'!L:L,"Vignette [4]: The management of presumptive TB patient",'QA Log'!Z:Z,"Approved"),"")</f>
        <v/>
      </c>
      <c r="BB90" s="102" t="str">
        <f>IF(A90="","",
  SUM(
    COUNTIFS('QA Log'!D:D,A90,'QA Log'!M:M,"Vignette",'QA Log'!Z:Z,"Rejected",'QA Log'!L:L,"*Vignette [1] Respiratory Infection: Pneumonia*"),
    COUNTIFS('QA Log'!D:D,A90,'QA Log'!M:M,"Vignette",'QA Log'!Z:Z,"Rejected",'QA Log'!L:L,"*Vignette [2]: Diarrhea with Cat B dehydration*"),
    COUNTIFS('QA Log'!D:D,A90,'QA Log'!M:M,"Vignette",'QA Log'!Z:Z,"Rejected",'QA Log'!L:L,"*Vignette [3] Growth Monitoring and Promotion*"),
    COUNTIFS('QA Log'!D:D,A90,'QA Log'!M:M,"Vignette",'QA Log'!Z:Z,"Rejected",'QA Log'!L:L,"*Vignette [4]: The management of presumptive TB patient*")
  )
)</f>
        <v/>
      </c>
      <c r="BC90" s="107" t="str">
        <f t="shared" si="9"/>
        <v/>
      </c>
      <c r="BD90" s="103" t="str">
        <f t="shared" si="10"/>
        <v/>
      </c>
      <c r="BE90" s="102" t="str">
        <f>IF(A90="","",SUM(
COUNTIFS('QA Log'!D:D,A90,'QA Log'!M:M,"Vignette",'QA Log'!L:L,"*Vignette [5] Labor*"),
COUNTIFS('QA Log'!D:D,A90,'QA Log'!M:M,"Vignette",'QA Log'!L:L,"*Vignette [6] PNC pre Discharge*"),
COUNTIFS('QA Log'!D:D,A90,'QA Log'!M:M,"Vignette",'QA Log'!L:L,"*Vignette [7] First ANC Visit*"),
COUNTIFS('QA Log'!D:D,A90,'QA Log'!M:M,"Vignette",'QA Log'!L:L,"*Vignette [8] Birth Spacing/ Family Planning :  FP Counselling*"),
COUNTIFS('QA Log'!D:D,A90,'QA Log'!M:M,"Vignette",'QA Log'!L:L,"*Vignette [9] Birth Spacing: Change FP method to Injectable*"),
COUNTIFS('QA Log'!D:D,A90,'QA Log'!M:M,"Vignette",'QA Log'!L:L,"*Vignette [10] Post Partum Haemorrhage - Atonic Uterus at Health Centre*"),
)
)</f>
        <v/>
      </c>
      <c r="BF90" s="102" t="str">
        <f>IF(A90="","",
  SUM(
    COUNTIFS('QA Log'!D:D,A90,'QA Log'!M:M,"Vignette",'QA Log'!Z:Z,"Approved",'QA Log'!L:L,"*Vignette [5] Labor*"),
    COUNTIFS('QA Log'!D:D,A90,'QA Log'!M:M,"Vignette",'QA Log'!Z:Z,"Approved",'QA Log'!L:L,"*Vignette [6] PNC pre Discharge*"),
    COUNTIFS('QA Log'!D:D,A90,'QA Log'!M:M,"Vignette",'QA Log'!Z:Z,"Approved",'QA Log'!L:L,"*Vignette [7] First ANC Visit*"),
    COUNTIFS('QA Log'!D:D,A90,'QA Log'!M:M,"Vignette",'QA Log'!Z:Z,"Approved",'QA Log'!L:L,"*Vignette [8] Birth Spacing/ Family Planning :  FP Counselling*"),
    COUNTIFS('QA Log'!D:D,A90,'QA Log'!M:M,"Vignette",'QA Log'!Z:Z,"Approved",'QA Log'!L:L,"*Vignette [9] Birth Spacing: Change FP method to Injectable*"),
    COUNTIFS('QA Log'!D:D,A90,'QA Log'!M:M,"Vignette",'QA Log'!Z:Z,"Approved",'QA Log'!L:L,"*Vignette [10] Post Partum Haemorrhage - Atonic Uterus at Health Centre*")
  )
)</f>
        <v/>
      </c>
      <c r="BG90" s="105" t="str">
        <f>IF(A90&lt;&gt;"",COUNTIFS('QA Log'!D:D,A90,'QA Log'!M:M,"Vignette",'QA Log'!L:L,"Vignette [5] Labor",'QA Log'!Z:Z,"Approved"),"")</f>
        <v/>
      </c>
      <c r="BH90" s="105" t="str">
        <f>IF(A90&lt;&gt;"",COUNTIFS('QA Log'!D:D,A90,'QA Log'!M:M,"Vignette",'QA Log'!L:L,"Vignette [6] PNC pre Discharge",'QA Log'!Z:Z,"Approved"),"")</f>
        <v/>
      </c>
      <c r="BI90" s="105" t="str">
        <f>IF(A90&lt;&gt;"",COUNTIFS('QA Log'!D:D,A90,'QA Log'!M:M,"Vignette",'QA Log'!L:L,"Vignette [7] First ANC Visit",'QA Log'!Z:Z,"Approved"),"")</f>
        <v/>
      </c>
      <c r="BJ90" s="105" t="str">
        <f>IF(A90&lt;&gt;"",COUNTIFS('QA Log'!D:D,A90,'QA Log'!M:M,"Vignette",'QA Log'!L:L,"Vignette [8] Birth Spacing/ Family Planning :  FP Counselling",'QA Log'!Z:Z,"Approved"),"")</f>
        <v/>
      </c>
      <c r="BK90" s="105" t="str">
        <f>IF(A90&lt;&gt;"",COUNTIFS('QA Log'!D:D,A90,'QA Log'!M:M,"Vignette",'QA Log'!L:L,"Vignette [9] Birth Spacing: Change FP method to Injectable",'QA Log'!Z:Z,"Approved"),"")</f>
        <v/>
      </c>
      <c r="BL90" s="105" t="str">
        <f>IF(A90&lt;&gt;"",COUNTIFS('QA Log'!D:D,A90,'QA Log'!M:M,"Vignette",'QA Log'!L:L,"Vignette [10] Post Partum Haemorrhage - Atonic Uterus at Health Centre",'QA Log'!Z:Z,"Approved"),"")</f>
        <v/>
      </c>
      <c r="BM90" s="102" t="str">
        <f>IF(A90="","",SUM(
    COUNTIFS('QA Log'!D:D,A90,'QA Log'!M:M,"Vignette",'QA Log'!Z:Z,"Rejected",'QA Log'!L:L,"*Vignette [5] Labor*"),
    COUNTIFS('QA Log'!D:D,A90,'QA Log'!M:M,"Vignette",'QA Log'!Z:Z,"Rejected",'QA Log'!L:L,"*Vignette [6] PNC pre Discharge*"),
    COUNTIFS('QA Log'!D:D,A90,'QA Log'!M:M,"Vignette",'QA Log'!Z:Z,"Rejected",'QA Log'!L:L,"*Vignette [7] First ANC Visit*"),
    COUNTIFS('QA Log'!D:D,A90,'QA Log'!M:M,"Vignette",'QA Log'!Z:Z,"Rejected",'QA Log'!L:L,"*Vignette [8] Birth Spacing/ Family Planning :  FP Counselling*"),
    COUNTIFS('QA Log'!D:D,A90,'QA Log'!M:M,"Vignette",'QA Log'!Z:Z,"Rejected",'QA Log'!L:L,"*Vignette [9] Birth Spacing: Change FP method to Injectable*"),
    COUNTIFS('QA Log'!D:D,A90,'QA Log'!M:M,"Vignette",'QA Log'!Z:Z,"Rejected",'QA Log'!L:L,"*Vignette [10] Post Partum Haemorrhage - Atonic Uterus at Health Centre*")
  )
)</f>
        <v/>
      </c>
      <c r="BN90" s="107" t="str">
        <f t="shared" si="11"/>
        <v/>
      </c>
      <c r="BO90" s="103" t="str">
        <f t="shared" si="12"/>
        <v/>
      </c>
      <c r="BP90" s="102" t="str">
        <f>IF(A90="","",SUM(
COUNTIFS('QA Log'!D:D,A90,'QA Log'!M:M,"Vignette",'QA Log'!L:L,"*Exit Interview 1*"),
COUNTIFS('QA Log'!D:D,A90,'QA Log'!M:M,"Vignette",'QA Log'!L:L,"*Exit Interview 2*"),
)
)</f>
        <v/>
      </c>
      <c r="BQ90" s="102" t="str">
        <f>IF(
  A90="","",
  SUM(
    COUNTIFS('QA Log'!D:D,A90,'QA Log'!M:M,"Vignette",'QA Log'!Z:Z,"Approved",'QA Log'!L:L,"*Exit Interview 1*"),
    COUNTIFS('QA Log'!D:D,A90,'QA Log'!M:M,"Vignette",'QA Log'!Z:Z,"Approved",'QA Log'!L:L,"*Exit Interview 2*")
  )
)</f>
        <v/>
      </c>
      <c r="BR90" s="105" t="str">
        <f>IF(A90&lt;&gt;"",COUNTIFS('QA Log'!D:D,A90,'QA Log'!M:M,"Vignette",'QA Log'!L:L,"Exit Interview 1",'QA Log'!Z:Z,"Approved"),"")</f>
        <v/>
      </c>
      <c r="BS90" s="105" t="str">
        <f>IF(A90&lt;&gt;"",COUNTIFS('QA Log'!D:D,A90,'QA Log'!M:M,"Vignette",'QA Log'!L:L,"Exit Interview 2",'QA Log'!Z:Z,"Approved"),"")</f>
        <v/>
      </c>
      <c r="BT90" s="102" t="str">
        <f>IF(
  A90="","",
  SUM(
    COUNTIFS('QA Log'!D:D,A90,'QA Log'!M:M,"Vignette",'QA Log'!Z:Z,"Rejected",'QA Log'!L:L,"*Exit Interview 1*"),
    COUNTIFS('QA Log'!D:D,A90,'QA Log'!M:M,"Vignette",'QA Log'!Z:Z,"Rejected",'QA Log'!L:L,"*Exit Interview 2*")
  )
)</f>
        <v/>
      </c>
      <c r="BU90" s="107" t="str">
        <f t="shared" si="13"/>
        <v/>
      </c>
      <c r="BV90" s="102" t="str">
        <f t="shared" si="14"/>
        <v/>
      </c>
      <c r="BW90" s="102" t="str">
        <f t="shared" si="15"/>
        <v/>
      </c>
      <c r="BX90" s="102" t="str">
        <f t="shared" si="16"/>
        <v/>
      </c>
      <c r="BY90" s="102" t="str">
        <f t="shared" si="17"/>
        <v/>
      </c>
      <c r="BZ90" s="107" t="str">
        <f t="shared" si="18"/>
        <v/>
      </c>
      <c r="CA90" s="108" t="str">
        <f t="shared" si="19"/>
        <v/>
      </c>
      <c r="CB90" s="108" t="str">
        <f t="shared" si="20"/>
        <v/>
      </c>
      <c r="CC90" s="109" t="str">
        <f t="shared" si="21"/>
        <v/>
      </c>
      <c r="CD90" s="108" t="str">
        <f t="shared" si="22"/>
        <v/>
      </c>
      <c r="CE90" s="108" t="str">
        <f t="shared" si="23"/>
        <v/>
      </c>
      <c r="CF90" s="109" t="str">
        <f t="shared" si="24"/>
        <v/>
      </c>
      <c r="CG90" s="110" t="str">
        <f t="shared" si="25"/>
        <v/>
      </c>
      <c r="CH90" s="111"/>
    </row>
    <row r="91" spans="1:86" ht="12.75">
      <c r="A91" s="101"/>
      <c r="B91" s="102" t="e">
        <f t="array" aca="1" ref="B91" ca="1">_xludf.XLOOKUP(A91,'QA Log'!D:D,'QA Log'!E:E,"")</f>
        <v>#NAME?</v>
      </c>
      <c r="C91" s="102" t="e">
        <f t="array" aca="1" ref="C91" ca="1">_xludf.XLOOKUP(A91,'QA Log'!D:D,'QA Log'!F:F,"")</f>
        <v>#NAME?</v>
      </c>
      <c r="D91" s="102" t="e">
        <f t="array" aca="1" ref="D91" ca="1">_xludf.XLOOKUP(A91,'QA Log'!D:D,'QA Log'!H:H,"")</f>
        <v>#NAME?</v>
      </c>
      <c r="E91" s="102" t="e">
        <f t="array" aca="1" ref="E91" ca="1">_xludf.XLOOKUP(A91,'QA Log'!D:D,'QA Log'!G:G,"")</f>
        <v>#NAME?</v>
      </c>
      <c r="F91" s="103"/>
      <c r="G91" s="104"/>
      <c r="H91" s="104"/>
      <c r="I91" s="103" t="str">
        <f t="shared" si="0"/>
        <v/>
      </c>
      <c r="J91" s="102" t="str">
        <f>IF(A91="","",SUM(
COUNTIFS('QA Log'!D:D,A91,'QA Log'!M:M,"QQC",'QA Log'!L:L,"*1. General Management*"),
COUNTIFS('QA Log'!D:D,A91,'QA Log'!M:M,"QQC",'QA Log'!L:L,"*3. Curative Consultation (OPD)*"),
COUNTIFS('QA Log'!D:D,A91,'QA Log'!M:M,"QQC",'QA Log'!L:L,"*5. Laboratory*"),
COUNTIFS('QA Log'!D:D,A91,'QA Log'!M:M,"QQC",'QA Log'!L:L,"*6. Essential Medicine Management*"),
COUNTIFS('QA Log'!D:D,A91,'QA Log'!M:M,"QQC",'QA Log'!L:L,"*7. Tracer Medicine*"),
COUNTIFS('QA Log'!D:D,A91,'QA Log'!M:M,"QQC",'QA Log'!L:L,"*11. Additional Questions*")))</f>
        <v/>
      </c>
      <c r="K91" s="102" t="str">
        <f>IF(A91="","",SUM(
COUNTIFS('QA Log'!D:D,A91,'QA Log'!M:M,"QQC",'QA Log'!Z:Z,"Approved",'QA Log'!L:L,"*1. General Management*"),
COUNTIFS('QA Log'!D:D,A91,'QA Log'!M:M,"QQC",'QA Log'!Z:Z,"Approved",'QA Log'!L:L,"*3. Curative Consultation (OPD)*"),
COUNTIFS('QA Log'!D:D,A91,'QA Log'!M:M,"QQC",'QA Log'!Z:Z,"Approved",'QA Log'!L:L,"*5. Laboratory*"),
COUNTIFS('QA Log'!D:D,A91,'QA Log'!M:M,"QQC",'QA Log'!Z:Z,"Approved",'QA Log'!L:L,"*6. Essential Medicine Management*"),
COUNTIFS('QA Log'!D:D,A91,'QA Log'!M:M,"QQC",'QA Log'!Z:Z,"Approved",'QA Log'!L:L,"*7. Tracer Medicine*"),
COUNTIFS('QA Log'!D:D,A91,'QA Log'!M:M,"QQC",'QA Log'!Z:Z,"Approved",'QA Log'!L:L,"*11. Additional Questions*")))</f>
        <v/>
      </c>
      <c r="L91" s="105" t="str">
        <f>IF(A91&lt;&gt;"",COUNTIFS('QA Log'!D:D,A91,'QA Log'!M:M,"QQC",'QA Log'!L:L,"1. General Management",'QA Log'!Z:Z,"Approved"),"")</f>
        <v/>
      </c>
      <c r="M91" s="105" t="str">
        <f>IF(A91&lt;&gt;"",COUNTIFS('QA Log'!D:D,A91,'QA Log'!M:M,"QQC",'QA Log'!L:L,"3. Curative Consultation (OPD)",'QA Log'!Z:Z,"Approved"),"")</f>
        <v/>
      </c>
      <c r="N91" s="105" t="str">
        <f>IF(A91&lt;&gt;"",COUNTIFS('QA Log'!D:D,A91,'QA Log'!M:M,"QQC",'QA Log'!L:L,"5. Laboratory",'QA Log'!Z:Z,"Approved"),"")</f>
        <v/>
      </c>
      <c r="O91" s="105" t="str">
        <f>IF(A91&lt;&gt;"",COUNTIFS('QA Log'!D:D,A91,'QA Log'!M:M,"QQC",'QA Log'!L:L,"6. Essential Medicine Management",'QA Log'!Z:Z,"Approved"),"")</f>
        <v/>
      </c>
      <c r="P91" s="105" t="str">
        <f>IF(A91&lt;&gt;"",COUNTIFS('QA Log'!D:D,A91,'QA Log'!M:M,"QQC",'QA Log'!L:L,"7. Tracer Medicine",'QA Log'!Z:Z,"Approved"),"")</f>
        <v/>
      </c>
      <c r="Q91" s="105" t="str">
        <f>IF(A91&lt;&gt;"",COUNTIFS('QA Log'!D:D,A91,'QA Log'!M:M,"QQC",'QA Log'!L:L,"11. Additional Questions",'QA Log'!Z:Z,"Approved"),"")</f>
        <v/>
      </c>
      <c r="R91" s="102" t="str">
        <f>IF(A91="","",SUM(
COUNTIFS('QA Log'!D:D,A91,'QA Log'!M:M,"QQC",'QA Log'!Z:Z,"Rejected",'QA Log'!L:L,"*8. Maternity*"),
COUNTIFS('QA Log'!D:D,A91,'QA Log'!M:M,"QQC",'QA Log'!Z:Z,"Rejected",'QA Log'!L:L,"*EPI*"),
COUNTIFS('QA Log'!D:D,A91,'QA Log'!M:M,"QQC",'QA Log'!Z:Z,"Rejected",'QA Log'!L:L,"*10. Antenatal Care (ANC)*"),
COUNTIFS('QA Log'!D:D,A91,'QA Log'!M:M,"QQC",'QA Log'!Z:Z,"Rejected",'QA Log'!L:L,"*2. Hygiene and Sterilization*"),
COUNTIFS('QA Log'!D:D,A91,'QA Log'!M:M,"QQC",'QA Log'!Z:Z,"Rejected",'QA Log'!L:L,"*Family Planning*")))</f>
        <v/>
      </c>
      <c r="S91" s="106" t="str">
        <f t="shared" si="1"/>
        <v/>
      </c>
      <c r="T91" s="102" t="str">
        <f t="shared" si="2"/>
        <v/>
      </c>
      <c r="U91" s="102" t="str">
        <f>IF(A91="","",
SUM(
COUNTIFS('QA Log'!D:D,A91,'QA Log'!M:M,"QQC",'QA Log'!L:L,"*8. Maternity*"),
COUNTIFS('QA Log'!D:D,A91,'QA Log'!M:M,"QQC",'QA Log'!L:L,"*9. EPI and Pre-school Consultation*"),
COUNTIFS('QA Log'!D:D,A91,'QA Log'!M:M,"QQC",'QA Log'!L:L,"*10. Antenatal Care (ANC)*"),
COUNTIFS('QA Log'!D:D,A91,'QA Log'!M:M,"QQC",'QA Log'!L:L,"*2. Hygiene and Sterilization*"),
COUNTIFS('QA Log'!D:D,A91,'QA Log'!M:M,"QQC",'QA Log'!L:L,"*4. Family Planning*")
))</f>
        <v/>
      </c>
      <c r="V91" s="102" t="str">
        <f>IF(A91="","",
SUM(
COUNTIFS('QA Log'!D:D,A91,'QA Log'!M:M,"QQC",'QA Log'!Z:Z,"Approved",'QA Log'!L:L,"*8. Maternity*"),
COUNTIFS('QA Log'!D:D,A91,'QA Log'!M:M,"QQC",'QA Log'!Z:Z,"Approved",'QA Log'!L:L,"*9. EPI and Pre-school Consultation*"),
COUNTIFS('QA Log'!D:D,A91,'QA Log'!M:M,"QQC",'QA Log'!Z:Z,"Approved",'QA Log'!L:L,"*10. Antenatal Care (ANC)*"),
COUNTIFS('QA Log'!D:D,A91,'QA Log'!M:M,"QQC",'QA Log'!Z:Z,"Approved",'QA Log'!L:L,"*2. Hygiene and Sterilization*"),
COUNTIFS('QA Log'!D:D,A91,'QA Log'!M:M,"QQC",'QA Log'!Z:Z,"Approved",'QA Log'!L:L,"*4. Family Planning*")
))</f>
        <v/>
      </c>
      <c r="W91" s="105" t="str">
        <f>IF(A91&lt;&gt;"",COUNTIFS('QA Log'!D:D,A91,'QA Log'!M:M,"QQC",'QA Log'!L:L,"8. Maternity",'QA Log'!Z:Z,"Approved"),"")</f>
        <v/>
      </c>
      <c r="X91" s="105" t="str">
        <f>IF(A91&lt;&gt;"",COUNTIFS('QA Log'!D:D,A91,'QA Log'!M:M,"QQC",'QA Log'!L:L,"9. EPI and Pre-school Consultation",'QA Log'!Z:Z,"Approved"),"")</f>
        <v/>
      </c>
      <c r="Y91" s="105" t="str">
        <f>IF(A91&lt;&gt;"",COUNTIFS('QA Log'!D:D,A91,'QA Log'!M:M,"QQC",'QA Log'!L:L,"10. Antenatal Care (ANC)",'QA Log'!Z:Z,"Approved"),"")</f>
        <v/>
      </c>
      <c r="Z91" s="105" t="str">
        <f>IF(A91&lt;&gt;"",COUNTIFS('QA Log'!D:D,A91,'QA Log'!M:M,"QQC",'QA Log'!L:L,"2. Hygiene and Sterilization",'QA Log'!Z:Z,"Approved"),"")</f>
        <v/>
      </c>
      <c r="AA91" s="105" t="str">
        <f>IF(A91&lt;&gt;"",COUNTIFS('QA Log'!D:D,A91,'QA Log'!M:M,"QQC",'QA Log'!L:L,"4. Family Planning",'QA Log'!Z:Z,"Approved"),"")</f>
        <v/>
      </c>
      <c r="AB91" s="102" t="str">
        <f>IF(A91="","",
SUM(
COUNTIFS('QA Log'!D:D,A91,'QA Log'!M:M,"QQC",'QA Log'!Z:Z,"Rejected",'QA Log'!L:L,"*8. Maternity*"),
COUNTIFS('QA Log'!D:D,A91,'QA Log'!M:M,"QQC",'QA Log'!Z:Z,"Rejected",'QA Log'!L:L,"*9. EPI and Pre-school Consultation*"),
COUNTIFS('QA Log'!D:D,A91,'QA Log'!M:M,"QQC",'QA Log'!Z:Z,"Rejected",'QA Log'!L:L,"*10. Antenatal Care (ANC)*"),
COUNTIFS('QA Log'!D:D,A91,'QA Log'!M:M,"QQC",'QA Log'!Z:Z,"Rejected",'QA Log'!L:L,"*2. Hygiene and Sterilization*"),
COUNTIFS('QA Log'!D:D,A91,'QA Log'!M:M,"QQC",'QA Log'!Z:Z,"Rejected",'QA Log'!L:L,"*4. Family Planning*")
))</f>
        <v/>
      </c>
      <c r="AC91" s="102" t="str">
        <f t="shared" si="3"/>
        <v/>
      </c>
      <c r="AD91" s="103" t="str">
        <f t="shared" si="4"/>
        <v/>
      </c>
      <c r="AE91" s="102" t="str">
        <f>IF(A91="","",
SUM(
COUNTIFS('QA Log'!D:D,A91,'QA Log'!M:M,"Data Verification",'QA Log'!L:L,"*Medicine (section 2)*"),
COUNTIFS('QA Log'!D:D,A91,'QA Log'!M:M,"Data Verification",'QA Log'!L:L,"*Lab Testing Availability*"),
COUNTIFS('QA Log'!D:D,A91,'QA Log'!M:M,"Data Verification",'QA Log'!L:L,"*Other than P4P (section 6)*"),
COUNTIFS('QA Log'!D:D,A91,'QA Log'!M:M,"Data Verification",'QA Log'!L:L,"*Hospital Governance*")
))</f>
        <v/>
      </c>
      <c r="AF91" s="102" t="str">
        <f>IF(A91="","",
SUM(
COUNTIFS('QA Log'!D:D,A91,'QA Log'!M:M,"Data Verification",'QA Log'!Z:Z,"Approved",'QA Log'!L:L,"*Medicine (section 2)*"),
COUNTIFS('QA Log'!D:D,A91,'QA Log'!M:M,"Data Verification",'QA Log'!Z:Z,"Approved",'QA Log'!L:L,"*Lab Testing Availability*"),
COUNTIFS('QA Log'!D:D,A91,'QA Log'!M:M,"Data Verification",'QA Log'!Z:Z,"Approved",'QA Log'!L:L,"*Other than P4P (section 6)*"),
COUNTIFS('QA Log'!D:D,A91,'QA Log'!M:M,"Data Verification",'QA Log'!Z:Z,"Approved",'QA Log'!L:L,"*Hospital Governance*")
))</f>
        <v/>
      </c>
      <c r="AG91" s="105" t="str">
        <f>IF(A91&lt;&gt;"",COUNTIFS('QA Log'!D:D,A91,'QA Log'!M:M,"Data Verification",'QA Log'!L:L,"Medicine (section 2)",'QA Log'!Z:Z,"Approved"),"")</f>
        <v/>
      </c>
      <c r="AH91" s="105" t="str">
        <f>IF(A91&lt;&gt;"",COUNTIFS('QA Log'!D:D,A91,'QA Log'!M:M,"Data Verification",'QA Log'!L:L,"Lab Testing Availability",'QA Log'!Z:Z,"Approved"),"")</f>
        <v/>
      </c>
      <c r="AI91" s="105" t="str">
        <f>IF(A91&lt;&gt;"",COUNTIFS('QA Log'!D:D,A91,'QA Log'!M:M,"Data Verification",'QA Log'!L:L,"Other than P4P (section 6)",'QA Log'!Z:Z,"Approved"),"")</f>
        <v/>
      </c>
      <c r="AJ91" s="105" t="str">
        <f>IF(A91&lt;&gt;"",COUNTIFS('QA Log'!D:D,A91,'QA Log'!M:M,"Data Verification",'QA Log'!L:L,"Hospital Governance",'QA Log'!Z:Z,"Approved"),"")</f>
        <v/>
      </c>
      <c r="AK91" s="102" t="str">
        <f>IF(A91="","",
SUM(
COUNTIFS('QA Log'!D:D,A91,'QA Log'!M:M,"Data Verification",'QA Log'!Z:Z,"Rejected",'QA Log'!L:L,"*Medicine (section 2)*"),
COUNTIFS('QA Log'!D:D,A91,'QA Log'!M:M,"Data Verification",'QA Log'!Z:Z,"Rejected",'QA Log'!L:L,"*Lab Testing Availability*"),
COUNTIFS('QA Log'!D:D,A91,'QA Log'!M:M,"Data Verification",'QA Log'!Z:Z,"Rejected",'QA Log'!L:L,"*Other than P4P (section 6)*"),
COUNTIFS('QA Log'!D:D,A91,'QA Log'!M:M,"Data Verification",'QA Log'!Z:Z,"Rejected",'QA Log'!L:L,"*Hospital Governance*")
))</f>
        <v/>
      </c>
      <c r="AL91" s="106" t="str">
        <f t="shared" si="5"/>
        <v/>
      </c>
      <c r="AM91" s="102" t="str">
        <f t="shared" si="6"/>
        <v/>
      </c>
      <c r="AN91" s="102" t="str">
        <f>IF(A91="","",
SUM(
COUNTIFS('QA Log'!D:D,A91,'QA Log'!M:M,"Data Verification",'QA Log'!L:L,"*Personnel (section 1)*"),
COUNTIFS('QA Log'!D:D,A91,'QA Log'!M:M,"Data Verification",'QA Log'!L:L,"*Consumable (section 3)*"),
COUNTIFS('QA Log'!D:D,A91,'QA Log'!M:M,"Data Verification",'QA Log'!L:L,"*Equipments (section 4)*")
))</f>
        <v/>
      </c>
      <c r="AO91" s="102" t="str">
        <f>IF(A91="","",
SUM(
COUNTIFS('QA Log'!D:D,A91,'QA Log'!M:M,"Data Verification",'QA Log'!Z:Z,"Approved",'QA Log'!L:L,"*Personnel (section 1)*"),
COUNTIFS('QA Log'!D:D,A91,'QA Log'!M:M,"Data Verification",'QA Log'!Z:Z,"Approved",'QA Log'!L:L,"*Consumable (section 3)*"),
COUNTIFS('QA Log'!D:D,A91,'QA Log'!M:M,"Data Verification",'QA Log'!Z:Z,"Approved",'QA Log'!L:L,"*Equipments (section 4)*")
))</f>
        <v/>
      </c>
      <c r="AP91" s="105" t="str">
        <f>IF(A91&lt;&gt;"",COUNTIFS('QA Log'!D:D,A91,'QA Log'!M:M,"Data Verification",'QA Log'!L:L,"Personnel (section 1)",'QA Log'!Z:Z,"Approved"),"")</f>
        <v/>
      </c>
      <c r="AQ91" s="105" t="str">
        <f>IF(A91&lt;&gt;"",COUNTIFS('QA Log'!D:D,A91,'QA Log'!M:M,"Data Verification",'QA Log'!L:L,"Consumable (section 3)",'QA Log'!Z:Z,"Approved"),"")</f>
        <v/>
      </c>
      <c r="AR91" s="105" t="str">
        <f>IF(A91&lt;&gt;"",COUNTIFS('QA Log'!D:D,A91,'QA Log'!M:M,"Data Verification",'QA Log'!L:L,"Equipments (section 4)",'QA Log'!Z:Z,"Approved"),"")</f>
        <v/>
      </c>
      <c r="AS91" s="102" t="str">
        <f>IF(A91="","",
SUM(
COUNTIFS('QA Log'!D:D,A91,'QA Log'!M:M,"Data Verification",'QA Log'!Z:Z,"Rejected",'QA Log'!L:L,"*Personnel (section 1)*"),
COUNTIFS('QA Log'!D:D,A91,'QA Log'!M:M,"Data Verification",'QA Log'!Z:Z,"Rejected",'QA Log'!L:L,"*Consumable (section 3)*"),
COUNTIFS('QA Log'!D:D,A91,'QA Log'!M:M,"Data Verification",'QA Log'!Z:Z,"Rejected",'QA Log'!L:L,"*Equipments (section 4)*")
))</f>
        <v/>
      </c>
      <c r="AT91" s="102" t="str">
        <f t="shared" si="7"/>
        <v/>
      </c>
      <c r="AU91" s="103" t="str">
        <f t="shared" si="8"/>
        <v/>
      </c>
      <c r="AV91" s="102" t="str">
        <f>IF(A91="","",SUM(
COUNTIFS('QA Log'!D:D,A91,'QA Log'!M:M,"Vignette",'QA Log'!L:L,"*Vignette [1] Respiratory Infection: Pneumonia*"),
COUNTIFS('QA Log'!D:D,A91,'QA Log'!M:M,"Vignette",'QA Log'!L:L,"*Vignette [2]: Diarrhea with Cat B dehydration*"),
COUNTIFS('QA Log'!D:D,A91,'QA Log'!M:M,"Vignette",'QA Log'!L:L,"*Vignette [3] Growth Monitoring and Promotion*"),
COUNTIFS('QA Log'!D:D,A91,'QA Log'!M:M,"Vignette",'QA Log'!L:L,"*Vignette [4]: The management of presumptive TB patient*")
)
)</f>
        <v/>
      </c>
      <c r="AW91" s="102" t="str">
        <f>IF(
  A91="","",
  SUM(
    COUNTIFS('QA Log'!D:D,A91,'QA Log'!M:M,"Vignette",'QA Log'!Z:Z,"Approved",'QA Log'!L:L,"*Vignette [1] Respiratory Infection: Pneumonia*"),
    COUNTIFS('QA Log'!D:D,A91,'QA Log'!M:M,"Vignette",'QA Log'!Z:Z,"Approved",'QA Log'!L:L,"*Vignette [2]: Diarrhea with Cat B dehydration*"),
    COUNTIFS('QA Log'!D:D,A91,'QA Log'!M:M,"Vignette",'QA Log'!Z:Z,"Approved",'QA Log'!L:L,"*Vignette [3] Growth Monitoring and Promotion*"),
    COUNTIFS('QA Log'!D:D,A91,'QA Log'!M:M,"Vignette",'QA Log'!Z:Z,"Approved",'QA Log'!L:L,"*Vignette [4]: The management of presumptive TB patient*")
  )
)</f>
        <v/>
      </c>
      <c r="AX91" s="105" t="str">
        <f>IF(A91&lt;&gt;"",COUNTIFS('QA Log'!D:D,A91,'QA Log'!M:M,"Vignette",'QA Log'!L:L,"Vignette [1] Respiratory Infection: Pneumonia",'QA Log'!Z:Z,"Approved"),"")</f>
        <v/>
      </c>
      <c r="AY91" s="105" t="str">
        <f>IF(A91&lt;&gt;"",COUNTIFS('QA Log'!D:D,A91,'QA Log'!M:M,"Vignette",'QA Log'!L:L,"Vignette [2]: Diarrhea with Cat B dehydration",'QA Log'!Z:Z,"Approved"),"")</f>
        <v/>
      </c>
      <c r="AZ91" s="105" t="str">
        <f>IF(A91&lt;&gt;"",COUNTIFS('QA Log'!D:D,A91,'QA Log'!M:M,"Vignette",'QA Log'!L:L,"Vignette [3] Growth Monitoring and Promotion",'QA Log'!Z:Z,"Approved"),"")</f>
        <v/>
      </c>
      <c r="BA91" s="105" t="str">
        <f>IF(A91&lt;&gt;"",COUNTIFS('QA Log'!D:D,A91,'QA Log'!M:M,"Vignette",'QA Log'!L:L,"Vignette [4]: The management of presumptive TB patient",'QA Log'!Z:Z,"Approved"),"")</f>
        <v/>
      </c>
      <c r="BB91" s="102" t="str">
        <f>IF(A91="","",
  SUM(
    COUNTIFS('QA Log'!D:D,A91,'QA Log'!M:M,"Vignette",'QA Log'!Z:Z,"Rejected",'QA Log'!L:L,"*Vignette [1] Respiratory Infection: Pneumonia*"),
    COUNTIFS('QA Log'!D:D,A91,'QA Log'!M:M,"Vignette",'QA Log'!Z:Z,"Rejected",'QA Log'!L:L,"*Vignette [2]: Diarrhea with Cat B dehydration*"),
    COUNTIFS('QA Log'!D:D,A91,'QA Log'!M:M,"Vignette",'QA Log'!Z:Z,"Rejected",'QA Log'!L:L,"*Vignette [3] Growth Monitoring and Promotion*"),
    COUNTIFS('QA Log'!D:D,A91,'QA Log'!M:M,"Vignette",'QA Log'!Z:Z,"Rejected",'QA Log'!L:L,"*Vignette [4]: The management of presumptive TB patient*")
  )
)</f>
        <v/>
      </c>
      <c r="BC91" s="107" t="str">
        <f t="shared" si="9"/>
        <v/>
      </c>
      <c r="BD91" s="103" t="str">
        <f t="shared" si="10"/>
        <v/>
      </c>
      <c r="BE91" s="102" t="str">
        <f>IF(A91="","",SUM(
COUNTIFS('QA Log'!D:D,A91,'QA Log'!M:M,"Vignette",'QA Log'!L:L,"*Vignette [5] Labor*"),
COUNTIFS('QA Log'!D:D,A91,'QA Log'!M:M,"Vignette",'QA Log'!L:L,"*Vignette [6] PNC pre Discharge*"),
COUNTIFS('QA Log'!D:D,A91,'QA Log'!M:M,"Vignette",'QA Log'!L:L,"*Vignette [7] First ANC Visit*"),
COUNTIFS('QA Log'!D:D,A91,'QA Log'!M:M,"Vignette",'QA Log'!L:L,"*Vignette [8] Birth Spacing/ Family Planning :  FP Counselling*"),
COUNTIFS('QA Log'!D:D,A91,'QA Log'!M:M,"Vignette",'QA Log'!L:L,"*Vignette [9] Birth Spacing: Change FP method to Injectable*"),
COUNTIFS('QA Log'!D:D,A91,'QA Log'!M:M,"Vignette",'QA Log'!L:L,"*Vignette [10] Post Partum Haemorrhage - Atonic Uterus at Health Centre*"),
)
)</f>
        <v/>
      </c>
      <c r="BF91" s="102" t="str">
        <f>IF(A91="","",
  SUM(
    COUNTIFS('QA Log'!D:D,A91,'QA Log'!M:M,"Vignette",'QA Log'!Z:Z,"Approved",'QA Log'!L:L,"*Vignette [5] Labor*"),
    COUNTIFS('QA Log'!D:D,A91,'QA Log'!M:M,"Vignette",'QA Log'!Z:Z,"Approved",'QA Log'!L:L,"*Vignette [6] PNC pre Discharge*"),
    COUNTIFS('QA Log'!D:D,A91,'QA Log'!M:M,"Vignette",'QA Log'!Z:Z,"Approved",'QA Log'!L:L,"*Vignette [7] First ANC Visit*"),
    COUNTIFS('QA Log'!D:D,A91,'QA Log'!M:M,"Vignette",'QA Log'!Z:Z,"Approved",'QA Log'!L:L,"*Vignette [8] Birth Spacing/ Family Planning :  FP Counselling*"),
    COUNTIFS('QA Log'!D:D,A91,'QA Log'!M:M,"Vignette",'QA Log'!Z:Z,"Approved",'QA Log'!L:L,"*Vignette [9] Birth Spacing: Change FP method to Injectable*"),
    COUNTIFS('QA Log'!D:D,A91,'QA Log'!M:M,"Vignette",'QA Log'!Z:Z,"Approved",'QA Log'!L:L,"*Vignette [10] Post Partum Haemorrhage - Atonic Uterus at Health Centre*")
  )
)</f>
        <v/>
      </c>
      <c r="BG91" s="105" t="str">
        <f>IF(A91&lt;&gt;"",COUNTIFS('QA Log'!D:D,A91,'QA Log'!M:M,"Vignette",'QA Log'!L:L,"Vignette [5] Labor",'QA Log'!Z:Z,"Approved"),"")</f>
        <v/>
      </c>
      <c r="BH91" s="105" t="str">
        <f>IF(A91&lt;&gt;"",COUNTIFS('QA Log'!D:D,A91,'QA Log'!M:M,"Vignette",'QA Log'!L:L,"Vignette [6] PNC pre Discharge",'QA Log'!Z:Z,"Approved"),"")</f>
        <v/>
      </c>
      <c r="BI91" s="105" t="str">
        <f>IF(A91&lt;&gt;"",COUNTIFS('QA Log'!D:D,A91,'QA Log'!M:M,"Vignette",'QA Log'!L:L,"Vignette [7] First ANC Visit",'QA Log'!Z:Z,"Approved"),"")</f>
        <v/>
      </c>
      <c r="BJ91" s="105" t="str">
        <f>IF(A91&lt;&gt;"",COUNTIFS('QA Log'!D:D,A91,'QA Log'!M:M,"Vignette",'QA Log'!L:L,"Vignette [8] Birth Spacing/ Family Planning :  FP Counselling",'QA Log'!Z:Z,"Approved"),"")</f>
        <v/>
      </c>
      <c r="BK91" s="105" t="str">
        <f>IF(A91&lt;&gt;"",COUNTIFS('QA Log'!D:D,A91,'QA Log'!M:M,"Vignette",'QA Log'!L:L,"Vignette [9] Birth Spacing: Change FP method to Injectable",'QA Log'!Z:Z,"Approved"),"")</f>
        <v/>
      </c>
      <c r="BL91" s="105" t="str">
        <f>IF(A91&lt;&gt;"",COUNTIFS('QA Log'!D:D,A91,'QA Log'!M:M,"Vignette",'QA Log'!L:L,"Vignette [10] Post Partum Haemorrhage - Atonic Uterus at Health Centre",'QA Log'!Z:Z,"Approved"),"")</f>
        <v/>
      </c>
      <c r="BM91" s="102" t="str">
        <f>IF(A91="","",SUM(
    COUNTIFS('QA Log'!D:D,A91,'QA Log'!M:M,"Vignette",'QA Log'!Z:Z,"Rejected",'QA Log'!L:L,"*Vignette [5] Labor*"),
    COUNTIFS('QA Log'!D:D,A91,'QA Log'!M:M,"Vignette",'QA Log'!Z:Z,"Rejected",'QA Log'!L:L,"*Vignette [6] PNC pre Discharge*"),
    COUNTIFS('QA Log'!D:D,A91,'QA Log'!M:M,"Vignette",'QA Log'!Z:Z,"Rejected",'QA Log'!L:L,"*Vignette [7] First ANC Visit*"),
    COUNTIFS('QA Log'!D:D,A91,'QA Log'!M:M,"Vignette",'QA Log'!Z:Z,"Rejected",'QA Log'!L:L,"*Vignette [8] Birth Spacing/ Family Planning :  FP Counselling*"),
    COUNTIFS('QA Log'!D:D,A91,'QA Log'!M:M,"Vignette",'QA Log'!Z:Z,"Rejected",'QA Log'!L:L,"*Vignette [9] Birth Spacing: Change FP method to Injectable*"),
    COUNTIFS('QA Log'!D:D,A91,'QA Log'!M:M,"Vignette",'QA Log'!Z:Z,"Rejected",'QA Log'!L:L,"*Vignette [10] Post Partum Haemorrhage - Atonic Uterus at Health Centre*")
  )
)</f>
        <v/>
      </c>
      <c r="BN91" s="107" t="str">
        <f t="shared" si="11"/>
        <v/>
      </c>
      <c r="BO91" s="103" t="str">
        <f t="shared" si="12"/>
        <v/>
      </c>
      <c r="BP91" s="102" t="str">
        <f>IF(A91="","",SUM(
COUNTIFS('QA Log'!D:D,A91,'QA Log'!M:M,"Vignette",'QA Log'!L:L,"*Exit Interview 1*"),
COUNTIFS('QA Log'!D:D,A91,'QA Log'!M:M,"Vignette",'QA Log'!L:L,"*Exit Interview 2*"),
)
)</f>
        <v/>
      </c>
      <c r="BQ91" s="102" t="str">
        <f>IF(
  A91="","",
  SUM(
    COUNTIFS('QA Log'!D:D,A91,'QA Log'!M:M,"Vignette",'QA Log'!Z:Z,"Approved",'QA Log'!L:L,"*Exit Interview 1*"),
    COUNTIFS('QA Log'!D:D,A91,'QA Log'!M:M,"Vignette",'QA Log'!Z:Z,"Approved",'QA Log'!L:L,"*Exit Interview 2*")
  )
)</f>
        <v/>
      </c>
      <c r="BR91" s="105" t="str">
        <f>IF(A91&lt;&gt;"",COUNTIFS('QA Log'!D:D,A91,'QA Log'!M:M,"Vignette",'QA Log'!L:L,"Exit Interview 1",'QA Log'!Z:Z,"Approved"),"")</f>
        <v/>
      </c>
      <c r="BS91" s="105" t="str">
        <f>IF(A91&lt;&gt;"",COUNTIFS('QA Log'!D:D,A91,'QA Log'!M:M,"Vignette",'QA Log'!L:L,"Exit Interview 2",'QA Log'!Z:Z,"Approved"),"")</f>
        <v/>
      </c>
      <c r="BT91" s="102" t="str">
        <f>IF(
  A91="","",
  SUM(
    COUNTIFS('QA Log'!D:D,A91,'QA Log'!M:M,"Vignette",'QA Log'!Z:Z,"Rejected",'QA Log'!L:L,"*Exit Interview 1*"),
    COUNTIFS('QA Log'!D:D,A91,'QA Log'!M:M,"Vignette",'QA Log'!Z:Z,"Rejected",'QA Log'!L:L,"*Exit Interview 2*")
  )
)</f>
        <v/>
      </c>
      <c r="BU91" s="107" t="str">
        <f t="shared" si="13"/>
        <v/>
      </c>
      <c r="BV91" s="102" t="str">
        <f t="shared" si="14"/>
        <v/>
      </c>
      <c r="BW91" s="102" t="str">
        <f t="shared" si="15"/>
        <v/>
      </c>
      <c r="BX91" s="102" t="str">
        <f t="shared" si="16"/>
        <v/>
      </c>
      <c r="BY91" s="102" t="str">
        <f t="shared" si="17"/>
        <v/>
      </c>
      <c r="BZ91" s="107" t="str">
        <f t="shared" si="18"/>
        <v/>
      </c>
      <c r="CA91" s="108" t="str">
        <f t="shared" si="19"/>
        <v/>
      </c>
      <c r="CB91" s="108" t="str">
        <f t="shared" si="20"/>
        <v/>
      </c>
      <c r="CC91" s="109" t="str">
        <f t="shared" si="21"/>
        <v/>
      </c>
      <c r="CD91" s="108" t="str">
        <f t="shared" si="22"/>
        <v/>
      </c>
      <c r="CE91" s="108" t="str">
        <f t="shared" si="23"/>
        <v/>
      </c>
      <c r="CF91" s="109" t="str">
        <f t="shared" si="24"/>
        <v/>
      </c>
      <c r="CG91" s="110" t="str">
        <f t="shared" si="25"/>
        <v/>
      </c>
      <c r="CH91" s="111"/>
    </row>
    <row r="92" spans="1:86" ht="12.75">
      <c r="A92" s="101"/>
      <c r="B92" s="102" t="e">
        <f t="array" aca="1" ref="B92" ca="1">_xludf.XLOOKUP(A92,'QA Log'!D:D,'QA Log'!E:E,"")</f>
        <v>#NAME?</v>
      </c>
      <c r="C92" s="102" t="e">
        <f t="array" aca="1" ref="C92" ca="1">_xludf.XLOOKUP(A92,'QA Log'!D:D,'QA Log'!F:F,"")</f>
        <v>#NAME?</v>
      </c>
      <c r="D92" s="102" t="e">
        <f t="array" aca="1" ref="D92" ca="1">_xludf.XLOOKUP(A92,'QA Log'!D:D,'QA Log'!H:H,"")</f>
        <v>#NAME?</v>
      </c>
      <c r="E92" s="102" t="e">
        <f t="array" aca="1" ref="E92" ca="1">_xludf.XLOOKUP(A92,'QA Log'!D:D,'QA Log'!G:G,"")</f>
        <v>#NAME?</v>
      </c>
      <c r="F92" s="103"/>
      <c r="G92" s="104"/>
      <c r="H92" s="104"/>
      <c r="I92" s="103" t="str">
        <f t="shared" si="0"/>
        <v/>
      </c>
      <c r="J92" s="102" t="str">
        <f>IF(A92="","",SUM(
COUNTIFS('QA Log'!D:D,A92,'QA Log'!M:M,"QQC",'QA Log'!L:L,"*1. General Management*"),
COUNTIFS('QA Log'!D:D,A92,'QA Log'!M:M,"QQC",'QA Log'!L:L,"*3. Curative Consultation (OPD)*"),
COUNTIFS('QA Log'!D:D,A92,'QA Log'!M:M,"QQC",'QA Log'!L:L,"*5. Laboratory*"),
COUNTIFS('QA Log'!D:D,A92,'QA Log'!M:M,"QQC",'QA Log'!L:L,"*6. Essential Medicine Management*"),
COUNTIFS('QA Log'!D:D,A92,'QA Log'!M:M,"QQC",'QA Log'!L:L,"*7. Tracer Medicine*"),
COUNTIFS('QA Log'!D:D,A92,'QA Log'!M:M,"QQC",'QA Log'!L:L,"*11. Additional Questions*")))</f>
        <v/>
      </c>
      <c r="K92" s="102" t="str">
        <f>IF(A92="","",SUM(
COUNTIFS('QA Log'!D:D,A92,'QA Log'!M:M,"QQC",'QA Log'!Z:Z,"Approved",'QA Log'!L:L,"*1. General Management*"),
COUNTIFS('QA Log'!D:D,A92,'QA Log'!M:M,"QQC",'QA Log'!Z:Z,"Approved",'QA Log'!L:L,"*3. Curative Consultation (OPD)*"),
COUNTIFS('QA Log'!D:D,A92,'QA Log'!M:M,"QQC",'QA Log'!Z:Z,"Approved",'QA Log'!L:L,"*5. Laboratory*"),
COUNTIFS('QA Log'!D:D,A92,'QA Log'!M:M,"QQC",'QA Log'!Z:Z,"Approved",'QA Log'!L:L,"*6. Essential Medicine Management*"),
COUNTIFS('QA Log'!D:D,A92,'QA Log'!M:M,"QQC",'QA Log'!Z:Z,"Approved",'QA Log'!L:L,"*7. Tracer Medicine*"),
COUNTIFS('QA Log'!D:D,A92,'QA Log'!M:M,"QQC",'QA Log'!Z:Z,"Approved",'QA Log'!L:L,"*11. Additional Questions*")))</f>
        <v/>
      </c>
      <c r="L92" s="105" t="str">
        <f>IF(A92&lt;&gt;"",COUNTIFS('QA Log'!D:D,A92,'QA Log'!M:M,"QQC",'QA Log'!L:L,"1. General Management",'QA Log'!Z:Z,"Approved"),"")</f>
        <v/>
      </c>
      <c r="M92" s="105" t="str">
        <f>IF(A92&lt;&gt;"",COUNTIFS('QA Log'!D:D,A92,'QA Log'!M:M,"QQC",'QA Log'!L:L,"3. Curative Consultation (OPD)",'QA Log'!Z:Z,"Approved"),"")</f>
        <v/>
      </c>
      <c r="N92" s="105" t="str">
        <f>IF(A92&lt;&gt;"",COUNTIFS('QA Log'!D:D,A92,'QA Log'!M:M,"QQC",'QA Log'!L:L,"5. Laboratory",'QA Log'!Z:Z,"Approved"),"")</f>
        <v/>
      </c>
      <c r="O92" s="105" t="str">
        <f>IF(A92&lt;&gt;"",COUNTIFS('QA Log'!D:D,A92,'QA Log'!M:M,"QQC",'QA Log'!L:L,"6. Essential Medicine Management",'QA Log'!Z:Z,"Approved"),"")</f>
        <v/>
      </c>
      <c r="P92" s="105" t="str">
        <f>IF(A92&lt;&gt;"",COUNTIFS('QA Log'!D:D,A92,'QA Log'!M:M,"QQC",'QA Log'!L:L,"7. Tracer Medicine",'QA Log'!Z:Z,"Approved"),"")</f>
        <v/>
      </c>
      <c r="Q92" s="105" t="str">
        <f>IF(A92&lt;&gt;"",COUNTIFS('QA Log'!D:D,A92,'QA Log'!M:M,"QQC",'QA Log'!L:L,"11. Additional Questions",'QA Log'!Z:Z,"Approved"),"")</f>
        <v/>
      </c>
      <c r="R92" s="102" t="str">
        <f>IF(A92="","",SUM(
COUNTIFS('QA Log'!D:D,A92,'QA Log'!M:M,"QQC",'QA Log'!Z:Z,"Rejected",'QA Log'!L:L,"*8. Maternity*"),
COUNTIFS('QA Log'!D:D,A92,'QA Log'!M:M,"QQC",'QA Log'!Z:Z,"Rejected",'QA Log'!L:L,"*EPI*"),
COUNTIFS('QA Log'!D:D,A92,'QA Log'!M:M,"QQC",'QA Log'!Z:Z,"Rejected",'QA Log'!L:L,"*10. Antenatal Care (ANC)*"),
COUNTIFS('QA Log'!D:D,A92,'QA Log'!M:M,"QQC",'QA Log'!Z:Z,"Rejected",'QA Log'!L:L,"*2. Hygiene and Sterilization*"),
COUNTIFS('QA Log'!D:D,A92,'QA Log'!M:M,"QQC",'QA Log'!Z:Z,"Rejected",'QA Log'!L:L,"*Family Planning*")))</f>
        <v/>
      </c>
      <c r="S92" s="106" t="str">
        <f t="shared" si="1"/>
        <v/>
      </c>
      <c r="T92" s="102" t="str">
        <f t="shared" si="2"/>
        <v/>
      </c>
      <c r="U92" s="102" t="str">
        <f>IF(A92="","",
SUM(
COUNTIFS('QA Log'!D:D,A92,'QA Log'!M:M,"QQC",'QA Log'!L:L,"*8. Maternity*"),
COUNTIFS('QA Log'!D:D,A92,'QA Log'!M:M,"QQC",'QA Log'!L:L,"*9. EPI and Pre-school Consultation*"),
COUNTIFS('QA Log'!D:D,A92,'QA Log'!M:M,"QQC",'QA Log'!L:L,"*10. Antenatal Care (ANC)*"),
COUNTIFS('QA Log'!D:D,A92,'QA Log'!M:M,"QQC",'QA Log'!L:L,"*2. Hygiene and Sterilization*"),
COUNTIFS('QA Log'!D:D,A92,'QA Log'!M:M,"QQC",'QA Log'!L:L,"*4. Family Planning*")
))</f>
        <v/>
      </c>
      <c r="V92" s="102" t="str">
        <f>IF(A92="","",
SUM(
COUNTIFS('QA Log'!D:D,A92,'QA Log'!M:M,"QQC",'QA Log'!Z:Z,"Approved",'QA Log'!L:L,"*8. Maternity*"),
COUNTIFS('QA Log'!D:D,A92,'QA Log'!M:M,"QQC",'QA Log'!Z:Z,"Approved",'QA Log'!L:L,"*9. EPI and Pre-school Consultation*"),
COUNTIFS('QA Log'!D:D,A92,'QA Log'!M:M,"QQC",'QA Log'!Z:Z,"Approved",'QA Log'!L:L,"*10. Antenatal Care (ANC)*"),
COUNTIFS('QA Log'!D:D,A92,'QA Log'!M:M,"QQC",'QA Log'!Z:Z,"Approved",'QA Log'!L:L,"*2. Hygiene and Sterilization*"),
COUNTIFS('QA Log'!D:D,A92,'QA Log'!M:M,"QQC",'QA Log'!Z:Z,"Approved",'QA Log'!L:L,"*4. Family Planning*")
))</f>
        <v/>
      </c>
      <c r="W92" s="105" t="str">
        <f>IF(A92&lt;&gt;"",COUNTIFS('QA Log'!D:D,A92,'QA Log'!M:M,"QQC",'QA Log'!L:L,"8. Maternity",'QA Log'!Z:Z,"Approved"),"")</f>
        <v/>
      </c>
      <c r="X92" s="105" t="str">
        <f>IF(A92&lt;&gt;"",COUNTIFS('QA Log'!D:D,A92,'QA Log'!M:M,"QQC",'QA Log'!L:L,"9. EPI and Pre-school Consultation",'QA Log'!Z:Z,"Approved"),"")</f>
        <v/>
      </c>
      <c r="Y92" s="105" t="str">
        <f>IF(A92&lt;&gt;"",COUNTIFS('QA Log'!D:D,A92,'QA Log'!M:M,"QQC",'QA Log'!L:L,"10. Antenatal Care (ANC)",'QA Log'!Z:Z,"Approved"),"")</f>
        <v/>
      </c>
      <c r="Z92" s="105" t="str">
        <f>IF(A92&lt;&gt;"",COUNTIFS('QA Log'!D:D,A92,'QA Log'!M:M,"QQC",'QA Log'!L:L,"2. Hygiene and Sterilization",'QA Log'!Z:Z,"Approved"),"")</f>
        <v/>
      </c>
      <c r="AA92" s="105" t="str">
        <f>IF(A92&lt;&gt;"",COUNTIFS('QA Log'!D:D,A92,'QA Log'!M:M,"QQC",'QA Log'!L:L,"4. Family Planning",'QA Log'!Z:Z,"Approved"),"")</f>
        <v/>
      </c>
      <c r="AB92" s="102" t="str">
        <f>IF(A92="","",
SUM(
COUNTIFS('QA Log'!D:D,A92,'QA Log'!M:M,"QQC",'QA Log'!Z:Z,"Rejected",'QA Log'!L:L,"*8. Maternity*"),
COUNTIFS('QA Log'!D:D,A92,'QA Log'!M:M,"QQC",'QA Log'!Z:Z,"Rejected",'QA Log'!L:L,"*9. EPI and Pre-school Consultation*"),
COUNTIFS('QA Log'!D:D,A92,'QA Log'!M:M,"QQC",'QA Log'!Z:Z,"Rejected",'QA Log'!L:L,"*10. Antenatal Care (ANC)*"),
COUNTIFS('QA Log'!D:D,A92,'QA Log'!M:M,"QQC",'QA Log'!Z:Z,"Rejected",'QA Log'!L:L,"*2. Hygiene and Sterilization*"),
COUNTIFS('QA Log'!D:D,A92,'QA Log'!M:M,"QQC",'QA Log'!Z:Z,"Rejected",'QA Log'!L:L,"*4. Family Planning*")
))</f>
        <v/>
      </c>
      <c r="AC92" s="102" t="str">
        <f t="shared" si="3"/>
        <v/>
      </c>
      <c r="AD92" s="103" t="str">
        <f t="shared" si="4"/>
        <v/>
      </c>
      <c r="AE92" s="102" t="str">
        <f>IF(A92="","",
SUM(
COUNTIFS('QA Log'!D:D,A92,'QA Log'!M:M,"Data Verification",'QA Log'!L:L,"*Medicine (section 2)*"),
COUNTIFS('QA Log'!D:D,A92,'QA Log'!M:M,"Data Verification",'QA Log'!L:L,"*Lab Testing Availability*"),
COUNTIFS('QA Log'!D:D,A92,'QA Log'!M:M,"Data Verification",'QA Log'!L:L,"*Other than P4P (section 6)*"),
COUNTIFS('QA Log'!D:D,A92,'QA Log'!M:M,"Data Verification",'QA Log'!L:L,"*Hospital Governance*")
))</f>
        <v/>
      </c>
      <c r="AF92" s="102" t="str">
        <f>IF(A92="","",
SUM(
COUNTIFS('QA Log'!D:D,A92,'QA Log'!M:M,"Data Verification",'QA Log'!Z:Z,"Approved",'QA Log'!L:L,"*Medicine (section 2)*"),
COUNTIFS('QA Log'!D:D,A92,'QA Log'!M:M,"Data Verification",'QA Log'!Z:Z,"Approved",'QA Log'!L:L,"*Lab Testing Availability*"),
COUNTIFS('QA Log'!D:D,A92,'QA Log'!M:M,"Data Verification",'QA Log'!Z:Z,"Approved",'QA Log'!L:L,"*Other than P4P (section 6)*"),
COUNTIFS('QA Log'!D:D,A92,'QA Log'!M:M,"Data Verification",'QA Log'!Z:Z,"Approved",'QA Log'!L:L,"*Hospital Governance*")
))</f>
        <v/>
      </c>
      <c r="AG92" s="105" t="str">
        <f>IF(A92&lt;&gt;"",COUNTIFS('QA Log'!D:D,A92,'QA Log'!M:M,"Data Verification",'QA Log'!L:L,"Medicine (section 2)",'QA Log'!Z:Z,"Approved"),"")</f>
        <v/>
      </c>
      <c r="AH92" s="105" t="str">
        <f>IF(A92&lt;&gt;"",COUNTIFS('QA Log'!D:D,A92,'QA Log'!M:M,"Data Verification",'QA Log'!L:L,"Lab Testing Availability",'QA Log'!Z:Z,"Approved"),"")</f>
        <v/>
      </c>
      <c r="AI92" s="105" t="str">
        <f>IF(A92&lt;&gt;"",COUNTIFS('QA Log'!D:D,A92,'QA Log'!M:M,"Data Verification",'QA Log'!L:L,"Other than P4P (section 6)",'QA Log'!Z:Z,"Approved"),"")</f>
        <v/>
      </c>
      <c r="AJ92" s="105" t="str">
        <f>IF(A92&lt;&gt;"",COUNTIFS('QA Log'!D:D,A92,'QA Log'!M:M,"Data Verification",'QA Log'!L:L,"Hospital Governance",'QA Log'!Z:Z,"Approved"),"")</f>
        <v/>
      </c>
      <c r="AK92" s="102" t="str">
        <f>IF(A92="","",
SUM(
COUNTIFS('QA Log'!D:D,A92,'QA Log'!M:M,"Data Verification",'QA Log'!Z:Z,"Rejected",'QA Log'!L:L,"*Medicine (section 2)*"),
COUNTIFS('QA Log'!D:D,A92,'QA Log'!M:M,"Data Verification",'QA Log'!Z:Z,"Rejected",'QA Log'!L:L,"*Lab Testing Availability*"),
COUNTIFS('QA Log'!D:D,A92,'QA Log'!M:M,"Data Verification",'QA Log'!Z:Z,"Rejected",'QA Log'!L:L,"*Other than P4P (section 6)*"),
COUNTIFS('QA Log'!D:D,A92,'QA Log'!M:M,"Data Verification",'QA Log'!Z:Z,"Rejected",'QA Log'!L:L,"*Hospital Governance*")
))</f>
        <v/>
      </c>
      <c r="AL92" s="106" t="str">
        <f t="shared" si="5"/>
        <v/>
      </c>
      <c r="AM92" s="102" t="str">
        <f t="shared" si="6"/>
        <v/>
      </c>
      <c r="AN92" s="102" t="str">
        <f>IF(A92="","",
SUM(
COUNTIFS('QA Log'!D:D,A92,'QA Log'!M:M,"Data Verification",'QA Log'!L:L,"*Personnel (section 1)*"),
COUNTIFS('QA Log'!D:D,A92,'QA Log'!M:M,"Data Verification",'QA Log'!L:L,"*Consumable (section 3)*"),
COUNTIFS('QA Log'!D:D,A92,'QA Log'!M:M,"Data Verification",'QA Log'!L:L,"*Equipments (section 4)*")
))</f>
        <v/>
      </c>
      <c r="AO92" s="102" t="str">
        <f>IF(A92="","",
SUM(
COUNTIFS('QA Log'!D:D,A92,'QA Log'!M:M,"Data Verification",'QA Log'!Z:Z,"Approved",'QA Log'!L:L,"*Personnel (section 1)*"),
COUNTIFS('QA Log'!D:D,A92,'QA Log'!M:M,"Data Verification",'QA Log'!Z:Z,"Approved",'QA Log'!L:L,"*Consumable (section 3)*"),
COUNTIFS('QA Log'!D:D,A92,'QA Log'!M:M,"Data Verification",'QA Log'!Z:Z,"Approved",'QA Log'!L:L,"*Equipments (section 4)*")
))</f>
        <v/>
      </c>
      <c r="AP92" s="105" t="str">
        <f>IF(A92&lt;&gt;"",COUNTIFS('QA Log'!D:D,A92,'QA Log'!M:M,"Data Verification",'QA Log'!L:L,"Personnel (section 1)",'QA Log'!Z:Z,"Approved"),"")</f>
        <v/>
      </c>
      <c r="AQ92" s="105" t="str">
        <f>IF(A92&lt;&gt;"",COUNTIFS('QA Log'!D:D,A92,'QA Log'!M:M,"Data Verification",'QA Log'!L:L,"Consumable (section 3)",'QA Log'!Z:Z,"Approved"),"")</f>
        <v/>
      </c>
      <c r="AR92" s="105" t="str">
        <f>IF(A92&lt;&gt;"",COUNTIFS('QA Log'!D:D,A92,'QA Log'!M:M,"Data Verification",'QA Log'!L:L,"Equipments (section 4)",'QA Log'!Z:Z,"Approved"),"")</f>
        <v/>
      </c>
      <c r="AS92" s="102" t="str">
        <f>IF(A92="","",
SUM(
COUNTIFS('QA Log'!D:D,A92,'QA Log'!M:M,"Data Verification",'QA Log'!Z:Z,"Rejected",'QA Log'!L:L,"*Personnel (section 1)*"),
COUNTIFS('QA Log'!D:D,A92,'QA Log'!M:M,"Data Verification",'QA Log'!Z:Z,"Rejected",'QA Log'!L:L,"*Consumable (section 3)*"),
COUNTIFS('QA Log'!D:D,A92,'QA Log'!M:M,"Data Verification",'QA Log'!Z:Z,"Rejected",'QA Log'!L:L,"*Equipments (section 4)*")
))</f>
        <v/>
      </c>
      <c r="AT92" s="102" t="str">
        <f t="shared" si="7"/>
        <v/>
      </c>
      <c r="AU92" s="103" t="str">
        <f t="shared" si="8"/>
        <v/>
      </c>
      <c r="AV92" s="102" t="str">
        <f>IF(A92="","",SUM(
COUNTIFS('QA Log'!D:D,A92,'QA Log'!M:M,"Vignette",'QA Log'!L:L,"*Vignette [1] Respiratory Infection: Pneumonia*"),
COUNTIFS('QA Log'!D:D,A92,'QA Log'!M:M,"Vignette",'QA Log'!L:L,"*Vignette [2]: Diarrhea with Cat B dehydration*"),
COUNTIFS('QA Log'!D:D,A92,'QA Log'!M:M,"Vignette",'QA Log'!L:L,"*Vignette [3] Growth Monitoring and Promotion*"),
COUNTIFS('QA Log'!D:D,A92,'QA Log'!M:M,"Vignette",'QA Log'!L:L,"*Vignette [4]: The management of presumptive TB patient*")
)
)</f>
        <v/>
      </c>
      <c r="AW92" s="102" t="str">
        <f>IF(
  A92="","",
  SUM(
    COUNTIFS('QA Log'!D:D,A92,'QA Log'!M:M,"Vignette",'QA Log'!Z:Z,"Approved",'QA Log'!L:L,"*Vignette [1] Respiratory Infection: Pneumonia*"),
    COUNTIFS('QA Log'!D:D,A92,'QA Log'!M:M,"Vignette",'QA Log'!Z:Z,"Approved",'QA Log'!L:L,"*Vignette [2]: Diarrhea with Cat B dehydration*"),
    COUNTIFS('QA Log'!D:D,A92,'QA Log'!M:M,"Vignette",'QA Log'!Z:Z,"Approved",'QA Log'!L:L,"*Vignette [3] Growth Monitoring and Promotion*"),
    COUNTIFS('QA Log'!D:D,A92,'QA Log'!M:M,"Vignette",'QA Log'!Z:Z,"Approved",'QA Log'!L:L,"*Vignette [4]: The management of presumptive TB patient*")
  )
)</f>
        <v/>
      </c>
      <c r="AX92" s="105" t="str">
        <f>IF(A92&lt;&gt;"",COUNTIFS('QA Log'!D:D,A92,'QA Log'!M:M,"Vignette",'QA Log'!L:L,"Vignette [1] Respiratory Infection: Pneumonia",'QA Log'!Z:Z,"Approved"),"")</f>
        <v/>
      </c>
      <c r="AY92" s="105" t="str">
        <f>IF(A92&lt;&gt;"",COUNTIFS('QA Log'!D:D,A92,'QA Log'!M:M,"Vignette",'QA Log'!L:L,"Vignette [2]: Diarrhea with Cat B dehydration",'QA Log'!Z:Z,"Approved"),"")</f>
        <v/>
      </c>
      <c r="AZ92" s="105" t="str">
        <f>IF(A92&lt;&gt;"",COUNTIFS('QA Log'!D:D,A92,'QA Log'!M:M,"Vignette",'QA Log'!L:L,"Vignette [3] Growth Monitoring and Promotion",'QA Log'!Z:Z,"Approved"),"")</f>
        <v/>
      </c>
      <c r="BA92" s="105" t="str">
        <f>IF(A92&lt;&gt;"",COUNTIFS('QA Log'!D:D,A92,'QA Log'!M:M,"Vignette",'QA Log'!L:L,"Vignette [4]: The management of presumptive TB patient",'QA Log'!Z:Z,"Approved"),"")</f>
        <v/>
      </c>
      <c r="BB92" s="102" t="str">
        <f>IF(A92="","",
  SUM(
    COUNTIFS('QA Log'!D:D,A92,'QA Log'!M:M,"Vignette",'QA Log'!Z:Z,"Rejected",'QA Log'!L:L,"*Vignette [1] Respiratory Infection: Pneumonia*"),
    COUNTIFS('QA Log'!D:D,A92,'QA Log'!M:M,"Vignette",'QA Log'!Z:Z,"Rejected",'QA Log'!L:L,"*Vignette [2]: Diarrhea with Cat B dehydration*"),
    COUNTIFS('QA Log'!D:D,A92,'QA Log'!M:M,"Vignette",'QA Log'!Z:Z,"Rejected",'QA Log'!L:L,"*Vignette [3] Growth Monitoring and Promotion*"),
    COUNTIFS('QA Log'!D:D,A92,'QA Log'!M:M,"Vignette",'QA Log'!Z:Z,"Rejected",'QA Log'!L:L,"*Vignette [4]: The management of presumptive TB patient*")
  )
)</f>
        <v/>
      </c>
      <c r="BC92" s="107" t="str">
        <f t="shared" si="9"/>
        <v/>
      </c>
      <c r="BD92" s="103" t="str">
        <f t="shared" si="10"/>
        <v/>
      </c>
      <c r="BE92" s="102" t="str">
        <f>IF(A92="","",SUM(
COUNTIFS('QA Log'!D:D,A92,'QA Log'!M:M,"Vignette",'QA Log'!L:L,"*Vignette [5] Labor*"),
COUNTIFS('QA Log'!D:D,A92,'QA Log'!M:M,"Vignette",'QA Log'!L:L,"*Vignette [6] PNC pre Discharge*"),
COUNTIFS('QA Log'!D:D,A92,'QA Log'!M:M,"Vignette",'QA Log'!L:L,"*Vignette [7] First ANC Visit*"),
COUNTIFS('QA Log'!D:D,A92,'QA Log'!M:M,"Vignette",'QA Log'!L:L,"*Vignette [8] Birth Spacing/ Family Planning :  FP Counselling*"),
COUNTIFS('QA Log'!D:D,A92,'QA Log'!M:M,"Vignette",'QA Log'!L:L,"*Vignette [9] Birth Spacing: Change FP method to Injectable*"),
COUNTIFS('QA Log'!D:D,A92,'QA Log'!M:M,"Vignette",'QA Log'!L:L,"*Vignette [10] Post Partum Haemorrhage - Atonic Uterus at Health Centre*"),
)
)</f>
        <v/>
      </c>
      <c r="BF92" s="102" t="str">
        <f>IF(A92="","",
  SUM(
    COUNTIFS('QA Log'!D:D,A92,'QA Log'!M:M,"Vignette",'QA Log'!Z:Z,"Approved",'QA Log'!L:L,"*Vignette [5] Labor*"),
    COUNTIFS('QA Log'!D:D,A92,'QA Log'!M:M,"Vignette",'QA Log'!Z:Z,"Approved",'QA Log'!L:L,"*Vignette [6] PNC pre Discharge*"),
    COUNTIFS('QA Log'!D:D,A92,'QA Log'!M:M,"Vignette",'QA Log'!Z:Z,"Approved",'QA Log'!L:L,"*Vignette [7] First ANC Visit*"),
    COUNTIFS('QA Log'!D:D,A92,'QA Log'!M:M,"Vignette",'QA Log'!Z:Z,"Approved",'QA Log'!L:L,"*Vignette [8] Birth Spacing/ Family Planning :  FP Counselling*"),
    COUNTIFS('QA Log'!D:D,A92,'QA Log'!M:M,"Vignette",'QA Log'!Z:Z,"Approved",'QA Log'!L:L,"*Vignette [9] Birth Spacing: Change FP method to Injectable*"),
    COUNTIFS('QA Log'!D:D,A92,'QA Log'!M:M,"Vignette",'QA Log'!Z:Z,"Approved",'QA Log'!L:L,"*Vignette [10] Post Partum Haemorrhage - Atonic Uterus at Health Centre*")
  )
)</f>
        <v/>
      </c>
      <c r="BG92" s="105" t="str">
        <f>IF(A92&lt;&gt;"",COUNTIFS('QA Log'!D:D,A92,'QA Log'!M:M,"Vignette",'QA Log'!L:L,"Vignette [5] Labor",'QA Log'!Z:Z,"Approved"),"")</f>
        <v/>
      </c>
      <c r="BH92" s="105" t="str">
        <f>IF(A92&lt;&gt;"",COUNTIFS('QA Log'!D:D,A92,'QA Log'!M:M,"Vignette",'QA Log'!L:L,"Vignette [6] PNC pre Discharge",'QA Log'!Z:Z,"Approved"),"")</f>
        <v/>
      </c>
      <c r="BI92" s="105" t="str">
        <f>IF(A92&lt;&gt;"",COUNTIFS('QA Log'!D:D,A92,'QA Log'!M:M,"Vignette",'QA Log'!L:L,"Vignette [7] First ANC Visit",'QA Log'!Z:Z,"Approved"),"")</f>
        <v/>
      </c>
      <c r="BJ92" s="105" t="str">
        <f>IF(A92&lt;&gt;"",COUNTIFS('QA Log'!D:D,A92,'QA Log'!M:M,"Vignette",'QA Log'!L:L,"Vignette [8] Birth Spacing/ Family Planning :  FP Counselling",'QA Log'!Z:Z,"Approved"),"")</f>
        <v/>
      </c>
      <c r="BK92" s="105" t="str">
        <f>IF(A92&lt;&gt;"",COUNTIFS('QA Log'!D:D,A92,'QA Log'!M:M,"Vignette",'QA Log'!L:L,"Vignette [9] Birth Spacing: Change FP method to Injectable",'QA Log'!Z:Z,"Approved"),"")</f>
        <v/>
      </c>
      <c r="BL92" s="105" t="str">
        <f>IF(A92&lt;&gt;"",COUNTIFS('QA Log'!D:D,A92,'QA Log'!M:M,"Vignette",'QA Log'!L:L,"Vignette [10] Post Partum Haemorrhage - Atonic Uterus at Health Centre",'QA Log'!Z:Z,"Approved"),"")</f>
        <v/>
      </c>
      <c r="BM92" s="102" t="str">
        <f>IF(A92="","",SUM(
    COUNTIFS('QA Log'!D:D,A92,'QA Log'!M:M,"Vignette",'QA Log'!Z:Z,"Rejected",'QA Log'!L:L,"*Vignette [5] Labor*"),
    COUNTIFS('QA Log'!D:D,A92,'QA Log'!M:M,"Vignette",'QA Log'!Z:Z,"Rejected",'QA Log'!L:L,"*Vignette [6] PNC pre Discharge*"),
    COUNTIFS('QA Log'!D:D,A92,'QA Log'!M:M,"Vignette",'QA Log'!Z:Z,"Rejected",'QA Log'!L:L,"*Vignette [7] First ANC Visit*"),
    COUNTIFS('QA Log'!D:D,A92,'QA Log'!M:M,"Vignette",'QA Log'!Z:Z,"Rejected",'QA Log'!L:L,"*Vignette [8] Birth Spacing/ Family Planning :  FP Counselling*"),
    COUNTIFS('QA Log'!D:D,A92,'QA Log'!M:M,"Vignette",'QA Log'!Z:Z,"Rejected",'QA Log'!L:L,"*Vignette [9] Birth Spacing: Change FP method to Injectable*"),
    COUNTIFS('QA Log'!D:D,A92,'QA Log'!M:M,"Vignette",'QA Log'!Z:Z,"Rejected",'QA Log'!L:L,"*Vignette [10] Post Partum Haemorrhage - Atonic Uterus at Health Centre*")
  )
)</f>
        <v/>
      </c>
      <c r="BN92" s="107" t="str">
        <f t="shared" si="11"/>
        <v/>
      </c>
      <c r="BO92" s="103" t="str">
        <f t="shared" si="12"/>
        <v/>
      </c>
      <c r="BP92" s="102" t="str">
        <f>IF(A92="","",SUM(
COUNTIFS('QA Log'!D:D,A92,'QA Log'!M:M,"Vignette",'QA Log'!L:L,"*Exit Interview 1*"),
COUNTIFS('QA Log'!D:D,A92,'QA Log'!M:M,"Vignette",'QA Log'!L:L,"*Exit Interview 2*"),
)
)</f>
        <v/>
      </c>
      <c r="BQ92" s="102" t="str">
        <f>IF(
  A92="","",
  SUM(
    COUNTIFS('QA Log'!D:D,A92,'QA Log'!M:M,"Vignette",'QA Log'!Z:Z,"Approved",'QA Log'!L:L,"*Exit Interview 1*"),
    COUNTIFS('QA Log'!D:D,A92,'QA Log'!M:M,"Vignette",'QA Log'!Z:Z,"Approved",'QA Log'!L:L,"*Exit Interview 2*")
  )
)</f>
        <v/>
      </c>
      <c r="BR92" s="105" t="str">
        <f>IF(A92&lt;&gt;"",COUNTIFS('QA Log'!D:D,A92,'QA Log'!M:M,"Vignette",'QA Log'!L:L,"Exit Interview 1",'QA Log'!Z:Z,"Approved"),"")</f>
        <v/>
      </c>
      <c r="BS92" s="105" t="str">
        <f>IF(A92&lt;&gt;"",COUNTIFS('QA Log'!D:D,A92,'QA Log'!M:M,"Vignette",'QA Log'!L:L,"Exit Interview 2",'QA Log'!Z:Z,"Approved"),"")</f>
        <v/>
      </c>
      <c r="BT92" s="102" t="str">
        <f>IF(
  A92="","",
  SUM(
    COUNTIFS('QA Log'!D:D,A92,'QA Log'!M:M,"Vignette",'QA Log'!Z:Z,"Rejected",'QA Log'!L:L,"*Exit Interview 1*"),
    COUNTIFS('QA Log'!D:D,A92,'QA Log'!M:M,"Vignette",'QA Log'!Z:Z,"Rejected",'QA Log'!L:L,"*Exit Interview 2*")
  )
)</f>
        <v/>
      </c>
      <c r="BU92" s="107" t="str">
        <f t="shared" si="13"/>
        <v/>
      </c>
      <c r="BV92" s="102" t="str">
        <f t="shared" si="14"/>
        <v/>
      </c>
      <c r="BW92" s="102" t="str">
        <f t="shared" si="15"/>
        <v/>
      </c>
      <c r="BX92" s="102" t="str">
        <f t="shared" si="16"/>
        <v/>
      </c>
      <c r="BY92" s="102" t="str">
        <f t="shared" si="17"/>
        <v/>
      </c>
      <c r="BZ92" s="107" t="str">
        <f t="shared" si="18"/>
        <v/>
      </c>
      <c r="CA92" s="108" t="str">
        <f t="shared" si="19"/>
        <v/>
      </c>
      <c r="CB92" s="108" t="str">
        <f t="shared" si="20"/>
        <v/>
      </c>
      <c r="CC92" s="109" t="str">
        <f t="shared" si="21"/>
        <v/>
      </c>
      <c r="CD92" s="108" t="str">
        <f t="shared" si="22"/>
        <v/>
      </c>
      <c r="CE92" s="108" t="str">
        <f t="shared" si="23"/>
        <v/>
      </c>
      <c r="CF92" s="109" t="str">
        <f t="shared" si="24"/>
        <v/>
      </c>
      <c r="CG92" s="110" t="str">
        <f t="shared" si="25"/>
        <v/>
      </c>
      <c r="CH92" s="111"/>
    </row>
    <row r="93" spans="1:86" ht="12.75">
      <c r="A93" s="101"/>
      <c r="B93" s="102" t="e">
        <f t="array" aca="1" ref="B93" ca="1">_xludf.XLOOKUP(A93,'QA Log'!D:D,'QA Log'!E:E,"")</f>
        <v>#NAME?</v>
      </c>
      <c r="C93" s="102" t="e">
        <f t="array" aca="1" ref="C93" ca="1">_xludf.XLOOKUP(A93,'QA Log'!D:D,'QA Log'!F:F,"")</f>
        <v>#NAME?</v>
      </c>
      <c r="D93" s="102" t="e">
        <f t="array" aca="1" ref="D93" ca="1">_xludf.XLOOKUP(A93,'QA Log'!D:D,'QA Log'!H:H,"")</f>
        <v>#NAME?</v>
      </c>
      <c r="E93" s="102" t="e">
        <f t="array" aca="1" ref="E93" ca="1">_xludf.XLOOKUP(A93,'QA Log'!D:D,'QA Log'!G:G,"")</f>
        <v>#NAME?</v>
      </c>
      <c r="F93" s="103"/>
      <c r="G93" s="104"/>
      <c r="H93" s="104"/>
      <c r="I93" s="103" t="str">
        <f t="shared" si="0"/>
        <v/>
      </c>
      <c r="J93" s="102" t="str">
        <f>IF(A93="","",SUM(
COUNTIFS('QA Log'!D:D,A93,'QA Log'!M:M,"QQC",'QA Log'!L:L,"*1. General Management*"),
COUNTIFS('QA Log'!D:D,A93,'QA Log'!M:M,"QQC",'QA Log'!L:L,"*3. Curative Consultation (OPD)*"),
COUNTIFS('QA Log'!D:D,A93,'QA Log'!M:M,"QQC",'QA Log'!L:L,"*5. Laboratory*"),
COUNTIFS('QA Log'!D:D,A93,'QA Log'!M:M,"QQC",'QA Log'!L:L,"*6. Essential Medicine Management*"),
COUNTIFS('QA Log'!D:D,A93,'QA Log'!M:M,"QQC",'QA Log'!L:L,"*7. Tracer Medicine*"),
COUNTIFS('QA Log'!D:D,A93,'QA Log'!M:M,"QQC",'QA Log'!L:L,"*11. Additional Questions*")))</f>
        <v/>
      </c>
      <c r="K93" s="102" t="str">
        <f>IF(A93="","",SUM(
COUNTIFS('QA Log'!D:D,A93,'QA Log'!M:M,"QQC",'QA Log'!Z:Z,"Approved",'QA Log'!L:L,"*1. General Management*"),
COUNTIFS('QA Log'!D:D,A93,'QA Log'!M:M,"QQC",'QA Log'!Z:Z,"Approved",'QA Log'!L:L,"*3. Curative Consultation (OPD)*"),
COUNTIFS('QA Log'!D:D,A93,'QA Log'!M:M,"QQC",'QA Log'!Z:Z,"Approved",'QA Log'!L:L,"*5. Laboratory*"),
COUNTIFS('QA Log'!D:D,A93,'QA Log'!M:M,"QQC",'QA Log'!Z:Z,"Approved",'QA Log'!L:L,"*6. Essential Medicine Management*"),
COUNTIFS('QA Log'!D:D,A93,'QA Log'!M:M,"QQC",'QA Log'!Z:Z,"Approved",'QA Log'!L:L,"*7. Tracer Medicine*"),
COUNTIFS('QA Log'!D:D,A93,'QA Log'!M:M,"QQC",'QA Log'!Z:Z,"Approved",'QA Log'!L:L,"*11. Additional Questions*")))</f>
        <v/>
      </c>
      <c r="L93" s="105" t="str">
        <f>IF(A93&lt;&gt;"",COUNTIFS('QA Log'!D:D,A93,'QA Log'!M:M,"QQC",'QA Log'!L:L,"1. General Management",'QA Log'!Z:Z,"Approved"),"")</f>
        <v/>
      </c>
      <c r="M93" s="105" t="str">
        <f>IF(A93&lt;&gt;"",COUNTIFS('QA Log'!D:D,A93,'QA Log'!M:M,"QQC",'QA Log'!L:L,"3. Curative Consultation (OPD)",'QA Log'!Z:Z,"Approved"),"")</f>
        <v/>
      </c>
      <c r="N93" s="105" t="str">
        <f>IF(A93&lt;&gt;"",COUNTIFS('QA Log'!D:D,A93,'QA Log'!M:M,"QQC",'QA Log'!L:L,"5. Laboratory",'QA Log'!Z:Z,"Approved"),"")</f>
        <v/>
      </c>
      <c r="O93" s="105" t="str">
        <f>IF(A93&lt;&gt;"",COUNTIFS('QA Log'!D:D,A93,'QA Log'!M:M,"QQC",'QA Log'!L:L,"6. Essential Medicine Management",'QA Log'!Z:Z,"Approved"),"")</f>
        <v/>
      </c>
      <c r="P93" s="105" t="str">
        <f>IF(A93&lt;&gt;"",COUNTIFS('QA Log'!D:D,A93,'QA Log'!M:M,"QQC",'QA Log'!L:L,"7. Tracer Medicine",'QA Log'!Z:Z,"Approved"),"")</f>
        <v/>
      </c>
      <c r="Q93" s="105" t="str">
        <f>IF(A93&lt;&gt;"",COUNTIFS('QA Log'!D:D,A93,'QA Log'!M:M,"QQC",'QA Log'!L:L,"11. Additional Questions",'QA Log'!Z:Z,"Approved"),"")</f>
        <v/>
      </c>
      <c r="R93" s="102" t="str">
        <f>IF(A93="","",SUM(
COUNTIFS('QA Log'!D:D,A93,'QA Log'!M:M,"QQC",'QA Log'!Z:Z,"Rejected",'QA Log'!L:L,"*8. Maternity*"),
COUNTIFS('QA Log'!D:D,A93,'QA Log'!M:M,"QQC",'QA Log'!Z:Z,"Rejected",'QA Log'!L:L,"*EPI*"),
COUNTIFS('QA Log'!D:D,A93,'QA Log'!M:M,"QQC",'QA Log'!Z:Z,"Rejected",'QA Log'!L:L,"*10. Antenatal Care (ANC)*"),
COUNTIFS('QA Log'!D:D,A93,'QA Log'!M:M,"QQC",'QA Log'!Z:Z,"Rejected",'QA Log'!L:L,"*2. Hygiene and Sterilization*"),
COUNTIFS('QA Log'!D:D,A93,'QA Log'!M:M,"QQC",'QA Log'!Z:Z,"Rejected",'QA Log'!L:L,"*Family Planning*")))</f>
        <v/>
      </c>
      <c r="S93" s="106" t="str">
        <f t="shared" si="1"/>
        <v/>
      </c>
      <c r="T93" s="102" t="str">
        <f t="shared" si="2"/>
        <v/>
      </c>
      <c r="U93" s="102" t="str">
        <f>IF(A93="","",
SUM(
COUNTIFS('QA Log'!D:D,A93,'QA Log'!M:M,"QQC",'QA Log'!L:L,"*8. Maternity*"),
COUNTIFS('QA Log'!D:D,A93,'QA Log'!M:M,"QQC",'QA Log'!L:L,"*9. EPI and Pre-school Consultation*"),
COUNTIFS('QA Log'!D:D,A93,'QA Log'!M:M,"QQC",'QA Log'!L:L,"*10. Antenatal Care (ANC)*"),
COUNTIFS('QA Log'!D:D,A93,'QA Log'!M:M,"QQC",'QA Log'!L:L,"*2. Hygiene and Sterilization*"),
COUNTIFS('QA Log'!D:D,A93,'QA Log'!M:M,"QQC",'QA Log'!L:L,"*4. Family Planning*")
))</f>
        <v/>
      </c>
      <c r="V93" s="102" t="str">
        <f>IF(A93="","",
SUM(
COUNTIFS('QA Log'!D:D,A93,'QA Log'!M:M,"QQC",'QA Log'!Z:Z,"Approved",'QA Log'!L:L,"*8. Maternity*"),
COUNTIFS('QA Log'!D:D,A93,'QA Log'!M:M,"QQC",'QA Log'!Z:Z,"Approved",'QA Log'!L:L,"*9. EPI and Pre-school Consultation*"),
COUNTIFS('QA Log'!D:D,A93,'QA Log'!M:M,"QQC",'QA Log'!Z:Z,"Approved",'QA Log'!L:L,"*10. Antenatal Care (ANC)*"),
COUNTIFS('QA Log'!D:D,A93,'QA Log'!M:M,"QQC",'QA Log'!Z:Z,"Approved",'QA Log'!L:L,"*2. Hygiene and Sterilization*"),
COUNTIFS('QA Log'!D:D,A93,'QA Log'!M:M,"QQC",'QA Log'!Z:Z,"Approved",'QA Log'!L:L,"*4. Family Planning*")
))</f>
        <v/>
      </c>
      <c r="W93" s="105" t="str">
        <f>IF(A93&lt;&gt;"",COUNTIFS('QA Log'!D:D,A93,'QA Log'!M:M,"QQC",'QA Log'!L:L,"8. Maternity",'QA Log'!Z:Z,"Approved"),"")</f>
        <v/>
      </c>
      <c r="X93" s="105" t="str">
        <f>IF(A93&lt;&gt;"",COUNTIFS('QA Log'!D:D,A93,'QA Log'!M:M,"QQC",'QA Log'!L:L,"9. EPI and Pre-school Consultation",'QA Log'!Z:Z,"Approved"),"")</f>
        <v/>
      </c>
      <c r="Y93" s="105" t="str">
        <f>IF(A93&lt;&gt;"",COUNTIFS('QA Log'!D:D,A93,'QA Log'!M:M,"QQC",'QA Log'!L:L,"10. Antenatal Care (ANC)",'QA Log'!Z:Z,"Approved"),"")</f>
        <v/>
      </c>
      <c r="Z93" s="105" t="str">
        <f>IF(A93&lt;&gt;"",COUNTIFS('QA Log'!D:D,A93,'QA Log'!M:M,"QQC",'QA Log'!L:L,"2. Hygiene and Sterilization",'QA Log'!Z:Z,"Approved"),"")</f>
        <v/>
      </c>
      <c r="AA93" s="105" t="str">
        <f>IF(A93&lt;&gt;"",COUNTIFS('QA Log'!D:D,A93,'QA Log'!M:M,"QQC",'QA Log'!L:L,"4. Family Planning",'QA Log'!Z:Z,"Approved"),"")</f>
        <v/>
      </c>
      <c r="AB93" s="102" t="str">
        <f>IF(A93="","",
SUM(
COUNTIFS('QA Log'!D:D,A93,'QA Log'!M:M,"QQC",'QA Log'!Z:Z,"Rejected",'QA Log'!L:L,"*8. Maternity*"),
COUNTIFS('QA Log'!D:D,A93,'QA Log'!M:M,"QQC",'QA Log'!Z:Z,"Rejected",'QA Log'!L:L,"*9. EPI and Pre-school Consultation*"),
COUNTIFS('QA Log'!D:D,A93,'QA Log'!M:M,"QQC",'QA Log'!Z:Z,"Rejected",'QA Log'!L:L,"*10. Antenatal Care (ANC)*"),
COUNTIFS('QA Log'!D:D,A93,'QA Log'!M:M,"QQC",'QA Log'!Z:Z,"Rejected",'QA Log'!L:L,"*2. Hygiene and Sterilization*"),
COUNTIFS('QA Log'!D:D,A93,'QA Log'!M:M,"QQC",'QA Log'!Z:Z,"Rejected",'QA Log'!L:L,"*4. Family Planning*")
))</f>
        <v/>
      </c>
      <c r="AC93" s="102" t="str">
        <f t="shared" si="3"/>
        <v/>
      </c>
      <c r="AD93" s="103" t="str">
        <f t="shared" si="4"/>
        <v/>
      </c>
      <c r="AE93" s="102" t="str">
        <f>IF(A93="","",
SUM(
COUNTIFS('QA Log'!D:D,A93,'QA Log'!M:M,"Data Verification",'QA Log'!L:L,"*Medicine (section 2)*"),
COUNTIFS('QA Log'!D:D,A93,'QA Log'!M:M,"Data Verification",'QA Log'!L:L,"*Lab Testing Availability*"),
COUNTIFS('QA Log'!D:D,A93,'QA Log'!M:M,"Data Verification",'QA Log'!L:L,"*Other than P4P (section 6)*"),
COUNTIFS('QA Log'!D:D,A93,'QA Log'!M:M,"Data Verification",'QA Log'!L:L,"*Hospital Governance*")
))</f>
        <v/>
      </c>
      <c r="AF93" s="102" t="str">
        <f>IF(A93="","",
SUM(
COUNTIFS('QA Log'!D:D,A93,'QA Log'!M:M,"Data Verification",'QA Log'!Z:Z,"Approved",'QA Log'!L:L,"*Medicine (section 2)*"),
COUNTIFS('QA Log'!D:D,A93,'QA Log'!M:M,"Data Verification",'QA Log'!Z:Z,"Approved",'QA Log'!L:L,"*Lab Testing Availability*"),
COUNTIFS('QA Log'!D:D,A93,'QA Log'!M:M,"Data Verification",'QA Log'!Z:Z,"Approved",'QA Log'!L:L,"*Other than P4P (section 6)*"),
COUNTIFS('QA Log'!D:D,A93,'QA Log'!M:M,"Data Verification",'QA Log'!Z:Z,"Approved",'QA Log'!L:L,"*Hospital Governance*")
))</f>
        <v/>
      </c>
      <c r="AG93" s="105" t="str">
        <f>IF(A93&lt;&gt;"",COUNTIFS('QA Log'!D:D,A93,'QA Log'!M:M,"Data Verification",'QA Log'!L:L,"Medicine (section 2)",'QA Log'!Z:Z,"Approved"),"")</f>
        <v/>
      </c>
      <c r="AH93" s="105" t="str">
        <f>IF(A93&lt;&gt;"",COUNTIFS('QA Log'!D:D,A93,'QA Log'!M:M,"Data Verification",'QA Log'!L:L,"Lab Testing Availability",'QA Log'!Z:Z,"Approved"),"")</f>
        <v/>
      </c>
      <c r="AI93" s="105" t="str">
        <f>IF(A93&lt;&gt;"",COUNTIFS('QA Log'!D:D,A93,'QA Log'!M:M,"Data Verification",'QA Log'!L:L,"Other than P4P (section 6)",'QA Log'!Z:Z,"Approved"),"")</f>
        <v/>
      </c>
      <c r="AJ93" s="105" t="str">
        <f>IF(A93&lt;&gt;"",COUNTIFS('QA Log'!D:D,A93,'QA Log'!M:M,"Data Verification",'QA Log'!L:L,"Hospital Governance",'QA Log'!Z:Z,"Approved"),"")</f>
        <v/>
      </c>
      <c r="AK93" s="102" t="str">
        <f>IF(A93="","",
SUM(
COUNTIFS('QA Log'!D:D,A93,'QA Log'!M:M,"Data Verification",'QA Log'!Z:Z,"Rejected",'QA Log'!L:L,"*Medicine (section 2)*"),
COUNTIFS('QA Log'!D:D,A93,'QA Log'!M:M,"Data Verification",'QA Log'!Z:Z,"Rejected",'QA Log'!L:L,"*Lab Testing Availability*"),
COUNTIFS('QA Log'!D:D,A93,'QA Log'!M:M,"Data Verification",'QA Log'!Z:Z,"Rejected",'QA Log'!L:L,"*Other than P4P (section 6)*"),
COUNTIFS('QA Log'!D:D,A93,'QA Log'!M:M,"Data Verification",'QA Log'!Z:Z,"Rejected",'QA Log'!L:L,"*Hospital Governance*")
))</f>
        <v/>
      </c>
      <c r="AL93" s="106" t="str">
        <f t="shared" si="5"/>
        <v/>
      </c>
      <c r="AM93" s="102" t="str">
        <f t="shared" si="6"/>
        <v/>
      </c>
      <c r="AN93" s="102" t="str">
        <f>IF(A93="","",
SUM(
COUNTIFS('QA Log'!D:D,A93,'QA Log'!M:M,"Data Verification",'QA Log'!L:L,"*Personnel (section 1)*"),
COUNTIFS('QA Log'!D:D,A93,'QA Log'!M:M,"Data Verification",'QA Log'!L:L,"*Consumable (section 3)*"),
COUNTIFS('QA Log'!D:D,A93,'QA Log'!M:M,"Data Verification",'QA Log'!L:L,"*Equipments (section 4)*")
))</f>
        <v/>
      </c>
      <c r="AO93" s="102" t="str">
        <f>IF(A93="","",
SUM(
COUNTIFS('QA Log'!D:D,A93,'QA Log'!M:M,"Data Verification",'QA Log'!Z:Z,"Approved",'QA Log'!L:L,"*Personnel (section 1)*"),
COUNTIFS('QA Log'!D:D,A93,'QA Log'!M:M,"Data Verification",'QA Log'!Z:Z,"Approved",'QA Log'!L:L,"*Consumable (section 3)*"),
COUNTIFS('QA Log'!D:D,A93,'QA Log'!M:M,"Data Verification",'QA Log'!Z:Z,"Approved",'QA Log'!L:L,"*Equipments (section 4)*")
))</f>
        <v/>
      </c>
      <c r="AP93" s="105" t="str">
        <f>IF(A93&lt;&gt;"",COUNTIFS('QA Log'!D:D,A93,'QA Log'!M:M,"Data Verification",'QA Log'!L:L,"Personnel (section 1)",'QA Log'!Z:Z,"Approved"),"")</f>
        <v/>
      </c>
      <c r="AQ93" s="105" t="str">
        <f>IF(A93&lt;&gt;"",COUNTIFS('QA Log'!D:D,A93,'QA Log'!M:M,"Data Verification",'QA Log'!L:L,"Consumable (section 3)",'QA Log'!Z:Z,"Approved"),"")</f>
        <v/>
      </c>
      <c r="AR93" s="105" t="str">
        <f>IF(A93&lt;&gt;"",COUNTIFS('QA Log'!D:D,A93,'QA Log'!M:M,"Data Verification",'QA Log'!L:L,"Equipments (section 4)",'QA Log'!Z:Z,"Approved"),"")</f>
        <v/>
      </c>
      <c r="AS93" s="102" t="str">
        <f>IF(A93="","",
SUM(
COUNTIFS('QA Log'!D:D,A93,'QA Log'!M:M,"Data Verification",'QA Log'!Z:Z,"Rejected",'QA Log'!L:L,"*Personnel (section 1)*"),
COUNTIFS('QA Log'!D:D,A93,'QA Log'!M:M,"Data Verification",'QA Log'!Z:Z,"Rejected",'QA Log'!L:L,"*Consumable (section 3)*"),
COUNTIFS('QA Log'!D:D,A93,'QA Log'!M:M,"Data Verification",'QA Log'!Z:Z,"Rejected",'QA Log'!L:L,"*Equipments (section 4)*")
))</f>
        <v/>
      </c>
      <c r="AT93" s="102" t="str">
        <f t="shared" si="7"/>
        <v/>
      </c>
      <c r="AU93" s="103" t="str">
        <f t="shared" si="8"/>
        <v/>
      </c>
      <c r="AV93" s="102" t="str">
        <f>IF(A93="","",SUM(
COUNTIFS('QA Log'!D:D,A93,'QA Log'!M:M,"Vignette",'QA Log'!L:L,"*Vignette [1] Respiratory Infection: Pneumonia*"),
COUNTIFS('QA Log'!D:D,A93,'QA Log'!M:M,"Vignette",'QA Log'!L:L,"*Vignette [2]: Diarrhea with Cat B dehydration*"),
COUNTIFS('QA Log'!D:D,A93,'QA Log'!M:M,"Vignette",'QA Log'!L:L,"*Vignette [3] Growth Monitoring and Promotion*"),
COUNTIFS('QA Log'!D:D,A93,'QA Log'!M:M,"Vignette",'QA Log'!L:L,"*Vignette [4]: The management of presumptive TB patient*")
)
)</f>
        <v/>
      </c>
      <c r="AW93" s="102" t="str">
        <f>IF(
  A93="","",
  SUM(
    COUNTIFS('QA Log'!D:D,A93,'QA Log'!M:M,"Vignette",'QA Log'!Z:Z,"Approved",'QA Log'!L:L,"*Vignette [1] Respiratory Infection: Pneumonia*"),
    COUNTIFS('QA Log'!D:D,A93,'QA Log'!M:M,"Vignette",'QA Log'!Z:Z,"Approved",'QA Log'!L:L,"*Vignette [2]: Diarrhea with Cat B dehydration*"),
    COUNTIFS('QA Log'!D:D,A93,'QA Log'!M:M,"Vignette",'QA Log'!Z:Z,"Approved",'QA Log'!L:L,"*Vignette [3] Growth Monitoring and Promotion*"),
    COUNTIFS('QA Log'!D:D,A93,'QA Log'!M:M,"Vignette",'QA Log'!Z:Z,"Approved",'QA Log'!L:L,"*Vignette [4]: The management of presumptive TB patient*")
  )
)</f>
        <v/>
      </c>
      <c r="AX93" s="105" t="str">
        <f>IF(A93&lt;&gt;"",COUNTIFS('QA Log'!D:D,A93,'QA Log'!M:M,"Vignette",'QA Log'!L:L,"Vignette [1] Respiratory Infection: Pneumonia",'QA Log'!Z:Z,"Approved"),"")</f>
        <v/>
      </c>
      <c r="AY93" s="105" t="str">
        <f>IF(A93&lt;&gt;"",COUNTIFS('QA Log'!D:D,A93,'QA Log'!M:M,"Vignette",'QA Log'!L:L,"Vignette [2]: Diarrhea with Cat B dehydration",'QA Log'!Z:Z,"Approved"),"")</f>
        <v/>
      </c>
      <c r="AZ93" s="105" t="str">
        <f>IF(A93&lt;&gt;"",COUNTIFS('QA Log'!D:D,A93,'QA Log'!M:M,"Vignette",'QA Log'!L:L,"Vignette [3] Growth Monitoring and Promotion",'QA Log'!Z:Z,"Approved"),"")</f>
        <v/>
      </c>
      <c r="BA93" s="105" t="str">
        <f>IF(A93&lt;&gt;"",COUNTIFS('QA Log'!D:D,A93,'QA Log'!M:M,"Vignette",'QA Log'!L:L,"Vignette [4]: The management of presumptive TB patient",'QA Log'!Z:Z,"Approved"),"")</f>
        <v/>
      </c>
      <c r="BB93" s="102" t="str">
        <f>IF(A93="","",
  SUM(
    COUNTIFS('QA Log'!D:D,A93,'QA Log'!M:M,"Vignette",'QA Log'!Z:Z,"Rejected",'QA Log'!L:L,"*Vignette [1] Respiratory Infection: Pneumonia*"),
    COUNTIFS('QA Log'!D:D,A93,'QA Log'!M:M,"Vignette",'QA Log'!Z:Z,"Rejected",'QA Log'!L:L,"*Vignette [2]: Diarrhea with Cat B dehydration*"),
    COUNTIFS('QA Log'!D:D,A93,'QA Log'!M:M,"Vignette",'QA Log'!Z:Z,"Rejected",'QA Log'!L:L,"*Vignette [3] Growth Monitoring and Promotion*"),
    COUNTIFS('QA Log'!D:D,A93,'QA Log'!M:M,"Vignette",'QA Log'!Z:Z,"Rejected",'QA Log'!L:L,"*Vignette [4]: The management of presumptive TB patient*")
  )
)</f>
        <v/>
      </c>
      <c r="BC93" s="107" t="str">
        <f t="shared" si="9"/>
        <v/>
      </c>
      <c r="BD93" s="103" t="str">
        <f t="shared" si="10"/>
        <v/>
      </c>
      <c r="BE93" s="102" t="str">
        <f>IF(A93="","",SUM(
COUNTIFS('QA Log'!D:D,A93,'QA Log'!M:M,"Vignette",'QA Log'!L:L,"*Vignette [5] Labor*"),
COUNTIFS('QA Log'!D:D,A93,'QA Log'!M:M,"Vignette",'QA Log'!L:L,"*Vignette [6] PNC pre Discharge*"),
COUNTIFS('QA Log'!D:D,A93,'QA Log'!M:M,"Vignette",'QA Log'!L:L,"*Vignette [7] First ANC Visit*"),
COUNTIFS('QA Log'!D:D,A93,'QA Log'!M:M,"Vignette",'QA Log'!L:L,"*Vignette [8] Birth Spacing/ Family Planning :  FP Counselling*"),
COUNTIFS('QA Log'!D:D,A93,'QA Log'!M:M,"Vignette",'QA Log'!L:L,"*Vignette [9] Birth Spacing: Change FP method to Injectable*"),
COUNTIFS('QA Log'!D:D,A93,'QA Log'!M:M,"Vignette",'QA Log'!L:L,"*Vignette [10] Post Partum Haemorrhage - Atonic Uterus at Health Centre*"),
)
)</f>
        <v/>
      </c>
      <c r="BF93" s="102" t="str">
        <f>IF(A93="","",
  SUM(
    COUNTIFS('QA Log'!D:D,A93,'QA Log'!M:M,"Vignette",'QA Log'!Z:Z,"Approved",'QA Log'!L:L,"*Vignette [5] Labor*"),
    COUNTIFS('QA Log'!D:D,A93,'QA Log'!M:M,"Vignette",'QA Log'!Z:Z,"Approved",'QA Log'!L:L,"*Vignette [6] PNC pre Discharge*"),
    COUNTIFS('QA Log'!D:D,A93,'QA Log'!M:M,"Vignette",'QA Log'!Z:Z,"Approved",'QA Log'!L:L,"*Vignette [7] First ANC Visit*"),
    COUNTIFS('QA Log'!D:D,A93,'QA Log'!M:M,"Vignette",'QA Log'!Z:Z,"Approved",'QA Log'!L:L,"*Vignette [8] Birth Spacing/ Family Planning :  FP Counselling*"),
    COUNTIFS('QA Log'!D:D,A93,'QA Log'!M:M,"Vignette",'QA Log'!Z:Z,"Approved",'QA Log'!L:L,"*Vignette [9] Birth Spacing: Change FP method to Injectable*"),
    COUNTIFS('QA Log'!D:D,A93,'QA Log'!M:M,"Vignette",'QA Log'!Z:Z,"Approved",'QA Log'!L:L,"*Vignette [10] Post Partum Haemorrhage - Atonic Uterus at Health Centre*")
  )
)</f>
        <v/>
      </c>
      <c r="BG93" s="105" t="str">
        <f>IF(A93&lt;&gt;"",COUNTIFS('QA Log'!D:D,A93,'QA Log'!M:M,"Vignette",'QA Log'!L:L,"Vignette [5] Labor",'QA Log'!Z:Z,"Approved"),"")</f>
        <v/>
      </c>
      <c r="BH93" s="105" t="str">
        <f>IF(A93&lt;&gt;"",COUNTIFS('QA Log'!D:D,A93,'QA Log'!M:M,"Vignette",'QA Log'!L:L,"Vignette [6] PNC pre Discharge",'QA Log'!Z:Z,"Approved"),"")</f>
        <v/>
      </c>
      <c r="BI93" s="105" t="str">
        <f>IF(A93&lt;&gt;"",COUNTIFS('QA Log'!D:D,A93,'QA Log'!M:M,"Vignette",'QA Log'!L:L,"Vignette [7] First ANC Visit",'QA Log'!Z:Z,"Approved"),"")</f>
        <v/>
      </c>
      <c r="BJ93" s="105" t="str">
        <f>IF(A93&lt;&gt;"",COUNTIFS('QA Log'!D:D,A93,'QA Log'!M:M,"Vignette",'QA Log'!L:L,"Vignette [8] Birth Spacing/ Family Planning :  FP Counselling",'QA Log'!Z:Z,"Approved"),"")</f>
        <v/>
      </c>
      <c r="BK93" s="105" t="str">
        <f>IF(A93&lt;&gt;"",COUNTIFS('QA Log'!D:D,A93,'QA Log'!M:M,"Vignette",'QA Log'!L:L,"Vignette [9] Birth Spacing: Change FP method to Injectable",'QA Log'!Z:Z,"Approved"),"")</f>
        <v/>
      </c>
      <c r="BL93" s="105" t="str">
        <f>IF(A93&lt;&gt;"",COUNTIFS('QA Log'!D:D,A93,'QA Log'!M:M,"Vignette",'QA Log'!L:L,"Vignette [10] Post Partum Haemorrhage - Atonic Uterus at Health Centre",'QA Log'!Z:Z,"Approved"),"")</f>
        <v/>
      </c>
      <c r="BM93" s="102" t="str">
        <f>IF(A93="","",SUM(
    COUNTIFS('QA Log'!D:D,A93,'QA Log'!M:M,"Vignette",'QA Log'!Z:Z,"Rejected",'QA Log'!L:L,"*Vignette [5] Labor*"),
    COUNTIFS('QA Log'!D:D,A93,'QA Log'!M:M,"Vignette",'QA Log'!Z:Z,"Rejected",'QA Log'!L:L,"*Vignette [6] PNC pre Discharge*"),
    COUNTIFS('QA Log'!D:D,A93,'QA Log'!M:M,"Vignette",'QA Log'!Z:Z,"Rejected",'QA Log'!L:L,"*Vignette [7] First ANC Visit*"),
    COUNTIFS('QA Log'!D:D,A93,'QA Log'!M:M,"Vignette",'QA Log'!Z:Z,"Rejected",'QA Log'!L:L,"*Vignette [8] Birth Spacing/ Family Planning :  FP Counselling*"),
    COUNTIFS('QA Log'!D:D,A93,'QA Log'!M:M,"Vignette",'QA Log'!Z:Z,"Rejected",'QA Log'!L:L,"*Vignette [9] Birth Spacing: Change FP method to Injectable*"),
    COUNTIFS('QA Log'!D:D,A93,'QA Log'!M:M,"Vignette",'QA Log'!Z:Z,"Rejected",'QA Log'!L:L,"*Vignette [10] Post Partum Haemorrhage - Atonic Uterus at Health Centre*")
  )
)</f>
        <v/>
      </c>
      <c r="BN93" s="107" t="str">
        <f t="shared" si="11"/>
        <v/>
      </c>
      <c r="BO93" s="103" t="str">
        <f t="shared" si="12"/>
        <v/>
      </c>
      <c r="BP93" s="102" t="str">
        <f>IF(A93="","",SUM(
COUNTIFS('QA Log'!D:D,A93,'QA Log'!M:M,"Vignette",'QA Log'!L:L,"*Exit Interview 1*"),
COUNTIFS('QA Log'!D:D,A93,'QA Log'!M:M,"Vignette",'QA Log'!L:L,"*Exit Interview 2*"),
)
)</f>
        <v/>
      </c>
      <c r="BQ93" s="102" t="str">
        <f>IF(
  A93="","",
  SUM(
    COUNTIFS('QA Log'!D:D,A93,'QA Log'!M:M,"Vignette",'QA Log'!Z:Z,"Approved",'QA Log'!L:L,"*Exit Interview 1*"),
    COUNTIFS('QA Log'!D:D,A93,'QA Log'!M:M,"Vignette",'QA Log'!Z:Z,"Approved",'QA Log'!L:L,"*Exit Interview 2*")
  )
)</f>
        <v/>
      </c>
      <c r="BR93" s="105" t="str">
        <f>IF(A93&lt;&gt;"",COUNTIFS('QA Log'!D:D,A93,'QA Log'!M:M,"Vignette",'QA Log'!L:L,"Exit Interview 1",'QA Log'!Z:Z,"Approved"),"")</f>
        <v/>
      </c>
      <c r="BS93" s="105" t="str">
        <f>IF(A93&lt;&gt;"",COUNTIFS('QA Log'!D:D,A93,'QA Log'!M:M,"Vignette",'QA Log'!L:L,"Exit Interview 2",'QA Log'!Z:Z,"Approved"),"")</f>
        <v/>
      </c>
      <c r="BT93" s="102" t="str">
        <f>IF(
  A93="","",
  SUM(
    COUNTIFS('QA Log'!D:D,A93,'QA Log'!M:M,"Vignette",'QA Log'!Z:Z,"Rejected",'QA Log'!L:L,"*Exit Interview 1*"),
    COUNTIFS('QA Log'!D:D,A93,'QA Log'!M:M,"Vignette",'QA Log'!Z:Z,"Rejected",'QA Log'!L:L,"*Exit Interview 2*")
  )
)</f>
        <v/>
      </c>
      <c r="BU93" s="107" t="str">
        <f t="shared" si="13"/>
        <v/>
      </c>
      <c r="BV93" s="102" t="str">
        <f t="shared" si="14"/>
        <v/>
      </c>
      <c r="BW93" s="102" t="str">
        <f t="shared" si="15"/>
        <v/>
      </c>
      <c r="BX93" s="102" t="str">
        <f t="shared" si="16"/>
        <v/>
      </c>
      <c r="BY93" s="102" t="str">
        <f t="shared" si="17"/>
        <v/>
      </c>
      <c r="BZ93" s="107" t="str">
        <f t="shared" si="18"/>
        <v/>
      </c>
      <c r="CA93" s="108" t="str">
        <f t="shared" si="19"/>
        <v/>
      </c>
      <c r="CB93" s="108" t="str">
        <f t="shared" si="20"/>
        <v/>
      </c>
      <c r="CC93" s="109" t="str">
        <f t="shared" si="21"/>
        <v/>
      </c>
      <c r="CD93" s="108" t="str">
        <f t="shared" si="22"/>
        <v/>
      </c>
      <c r="CE93" s="108" t="str">
        <f t="shared" si="23"/>
        <v/>
      </c>
      <c r="CF93" s="109" t="str">
        <f t="shared" si="24"/>
        <v/>
      </c>
      <c r="CG93" s="110" t="str">
        <f t="shared" si="25"/>
        <v/>
      </c>
      <c r="CH93" s="111"/>
    </row>
    <row r="94" spans="1:86" ht="12.75">
      <c r="A94" s="101"/>
      <c r="B94" s="102" t="e">
        <f t="array" aca="1" ref="B94" ca="1">_xludf.XLOOKUP(A94,'QA Log'!D:D,'QA Log'!E:E,"")</f>
        <v>#NAME?</v>
      </c>
      <c r="C94" s="102" t="e">
        <f t="array" aca="1" ref="C94" ca="1">_xludf.XLOOKUP(A94,'QA Log'!D:D,'QA Log'!F:F,"")</f>
        <v>#NAME?</v>
      </c>
      <c r="D94" s="102" t="e">
        <f t="array" aca="1" ref="D94" ca="1">_xludf.XLOOKUP(A94,'QA Log'!D:D,'QA Log'!H:H,"")</f>
        <v>#NAME?</v>
      </c>
      <c r="E94" s="102" t="e">
        <f t="array" aca="1" ref="E94" ca="1">_xludf.XLOOKUP(A94,'QA Log'!D:D,'QA Log'!G:G,"")</f>
        <v>#NAME?</v>
      </c>
      <c r="F94" s="103"/>
      <c r="G94" s="104"/>
      <c r="H94" s="104"/>
      <c r="I94" s="103" t="str">
        <f t="shared" si="0"/>
        <v/>
      </c>
      <c r="J94" s="102" t="str">
        <f>IF(A94="","",SUM(
COUNTIFS('QA Log'!D:D,A94,'QA Log'!M:M,"QQC",'QA Log'!L:L,"*1. General Management*"),
COUNTIFS('QA Log'!D:D,A94,'QA Log'!M:M,"QQC",'QA Log'!L:L,"*3. Curative Consultation (OPD)*"),
COUNTIFS('QA Log'!D:D,A94,'QA Log'!M:M,"QQC",'QA Log'!L:L,"*5. Laboratory*"),
COUNTIFS('QA Log'!D:D,A94,'QA Log'!M:M,"QQC",'QA Log'!L:L,"*6. Essential Medicine Management*"),
COUNTIFS('QA Log'!D:D,A94,'QA Log'!M:M,"QQC",'QA Log'!L:L,"*7. Tracer Medicine*"),
COUNTIFS('QA Log'!D:D,A94,'QA Log'!M:M,"QQC",'QA Log'!L:L,"*11. Additional Questions*")))</f>
        <v/>
      </c>
      <c r="K94" s="102" t="str">
        <f>IF(A94="","",SUM(
COUNTIFS('QA Log'!D:D,A94,'QA Log'!M:M,"QQC",'QA Log'!Z:Z,"Approved",'QA Log'!L:L,"*1. General Management*"),
COUNTIFS('QA Log'!D:D,A94,'QA Log'!M:M,"QQC",'QA Log'!Z:Z,"Approved",'QA Log'!L:L,"*3. Curative Consultation (OPD)*"),
COUNTIFS('QA Log'!D:D,A94,'QA Log'!M:M,"QQC",'QA Log'!Z:Z,"Approved",'QA Log'!L:L,"*5. Laboratory*"),
COUNTIFS('QA Log'!D:D,A94,'QA Log'!M:M,"QQC",'QA Log'!Z:Z,"Approved",'QA Log'!L:L,"*6. Essential Medicine Management*"),
COUNTIFS('QA Log'!D:D,A94,'QA Log'!M:M,"QQC",'QA Log'!Z:Z,"Approved",'QA Log'!L:L,"*7. Tracer Medicine*"),
COUNTIFS('QA Log'!D:D,A94,'QA Log'!M:M,"QQC",'QA Log'!Z:Z,"Approved",'QA Log'!L:L,"*11. Additional Questions*")))</f>
        <v/>
      </c>
      <c r="L94" s="105" t="str">
        <f>IF(A94&lt;&gt;"",COUNTIFS('QA Log'!D:D,A94,'QA Log'!M:M,"QQC",'QA Log'!L:L,"1. General Management",'QA Log'!Z:Z,"Approved"),"")</f>
        <v/>
      </c>
      <c r="M94" s="105" t="str">
        <f>IF(A94&lt;&gt;"",COUNTIFS('QA Log'!D:D,A94,'QA Log'!M:M,"QQC",'QA Log'!L:L,"3. Curative Consultation (OPD)",'QA Log'!Z:Z,"Approved"),"")</f>
        <v/>
      </c>
      <c r="N94" s="105" t="str">
        <f>IF(A94&lt;&gt;"",COUNTIFS('QA Log'!D:D,A94,'QA Log'!M:M,"QQC",'QA Log'!L:L,"5. Laboratory",'QA Log'!Z:Z,"Approved"),"")</f>
        <v/>
      </c>
      <c r="O94" s="105" t="str">
        <f>IF(A94&lt;&gt;"",COUNTIFS('QA Log'!D:D,A94,'QA Log'!M:M,"QQC",'QA Log'!L:L,"6. Essential Medicine Management",'QA Log'!Z:Z,"Approved"),"")</f>
        <v/>
      </c>
      <c r="P94" s="105" t="str">
        <f>IF(A94&lt;&gt;"",COUNTIFS('QA Log'!D:D,A94,'QA Log'!M:M,"QQC",'QA Log'!L:L,"7. Tracer Medicine",'QA Log'!Z:Z,"Approved"),"")</f>
        <v/>
      </c>
      <c r="Q94" s="105" t="str">
        <f>IF(A94&lt;&gt;"",COUNTIFS('QA Log'!D:D,A94,'QA Log'!M:M,"QQC",'QA Log'!L:L,"11. Additional Questions",'QA Log'!Z:Z,"Approved"),"")</f>
        <v/>
      </c>
      <c r="R94" s="102" t="str">
        <f>IF(A94="","",SUM(
COUNTIFS('QA Log'!D:D,A94,'QA Log'!M:M,"QQC",'QA Log'!Z:Z,"Rejected",'QA Log'!L:L,"*8. Maternity*"),
COUNTIFS('QA Log'!D:D,A94,'QA Log'!M:M,"QQC",'QA Log'!Z:Z,"Rejected",'QA Log'!L:L,"*EPI*"),
COUNTIFS('QA Log'!D:D,A94,'QA Log'!M:M,"QQC",'QA Log'!Z:Z,"Rejected",'QA Log'!L:L,"*10. Antenatal Care (ANC)*"),
COUNTIFS('QA Log'!D:D,A94,'QA Log'!M:M,"QQC",'QA Log'!Z:Z,"Rejected",'QA Log'!L:L,"*2. Hygiene and Sterilization*"),
COUNTIFS('QA Log'!D:D,A94,'QA Log'!M:M,"QQC",'QA Log'!Z:Z,"Rejected",'QA Log'!L:L,"*Family Planning*")))</f>
        <v/>
      </c>
      <c r="S94" s="106" t="str">
        <f t="shared" si="1"/>
        <v/>
      </c>
      <c r="T94" s="102" t="str">
        <f t="shared" si="2"/>
        <v/>
      </c>
      <c r="U94" s="102" t="str">
        <f>IF(A94="","",
SUM(
COUNTIFS('QA Log'!D:D,A94,'QA Log'!M:M,"QQC",'QA Log'!L:L,"*8. Maternity*"),
COUNTIFS('QA Log'!D:D,A94,'QA Log'!M:M,"QQC",'QA Log'!L:L,"*9. EPI and Pre-school Consultation*"),
COUNTIFS('QA Log'!D:D,A94,'QA Log'!M:M,"QQC",'QA Log'!L:L,"*10. Antenatal Care (ANC)*"),
COUNTIFS('QA Log'!D:D,A94,'QA Log'!M:M,"QQC",'QA Log'!L:L,"*2. Hygiene and Sterilization*"),
COUNTIFS('QA Log'!D:D,A94,'QA Log'!M:M,"QQC",'QA Log'!L:L,"*4. Family Planning*")
))</f>
        <v/>
      </c>
      <c r="V94" s="102" t="str">
        <f>IF(A94="","",
SUM(
COUNTIFS('QA Log'!D:D,A94,'QA Log'!M:M,"QQC",'QA Log'!Z:Z,"Approved",'QA Log'!L:L,"*8. Maternity*"),
COUNTIFS('QA Log'!D:D,A94,'QA Log'!M:M,"QQC",'QA Log'!Z:Z,"Approved",'QA Log'!L:L,"*9. EPI and Pre-school Consultation*"),
COUNTIFS('QA Log'!D:D,A94,'QA Log'!M:M,"QQC",'QA Log'!Z:Z,"Approved",'QA Log'!L:L,"*10. Antenatal Care (ANC)*"),
COUNTIFS('QA Log'!D:D,A94,'QA Log'!M:M,"QQC",'QA Log'!Z:Z,"Approved",'QA Log'!L:L,"*2. Hygiene and Sterilization*"),
COUNTIFS('QA Log'!D:D,A94,'QA Log'!M:M,"QQC",'QA Log'!Z:Z,"Approved",'QA Log'!L:L,"*4. Family Planning*")
))</f>
        <v/>
      </c>
      <c r="W94" s="105" t="str">
        <f>IF(A94&lt;&gt;"",COUNTIFS('QA Log'!D:D,A94,'QA Log'!M:M,"QQC",'QA Log'!L:L,"8. Maternity",'QA Log'!Z:Z,"Approved"),"")</f>
        <v/>
      </c>
      <c r="X94" s="105" t="str">
        <f>IF(A94&lt;&gt;"",COUNTIFS('QA Log'!D:D,A94,'QA Log'!M:M,"QQC",'QA Log'!L:L,"9. EPI and Pre-school Consultation",'QA Log'!Z:Z,"Approved"),"")</f>
        <v/>
      </c>
      <c r="Y94" s="105" t="str">
        <f>IF(A94&lt;&gt;"",COUNTIFS('QA Log'!D:D,A94,'QA Log'!M:M,"QQC",'QA Log'!L:L,"10. Antenatal Care (ANC)",'QA Log'!Z:Z,"Approved"),"")</f>
        <v/>
      </c>
      <c r="Z94" s="105" t="str">
        <f>IF(A94&lt;&gt;"",COUNTIFS('QA Log'!D:D,A94,'QA Log'!M:M,"QQC",'QA Log'!L:L,"2. Hygiene and Sterilization",'QA Log'!Z:Z,"Approved"),"")</f>
        <v/>
      </c>
      <c r="AA94" s="105" t="str">
        <f>IF(A94&lt;&gt;"",COUNTIFS('QA Log'!D:D,A94,'QA Log'!M:M,"QQC",'QA Log'!L:L,"4. Family Planning",'QA Log'!Z:Z,"Approved"),"")</f>
        <v/>
      </c>
      <c r="AB94" s="102" t="str">
        <f>IF(A94="","",
SUM(
COUNTIFS('QA Log'!D:D,A94,'QA Log'!M:M,"QQC",'QA Log'!Z:Z,"Rejected",'QA Log'!L:L,"*8. Maternity*"),
COUNTIFS('QA Log'!D:D,A94,'QA Log'!M:M,"QQC",'QA Log'!Z:Z,"Rejected",'QA Log'!L:L,"*9. EPI and Pre-school Consultation*"),
COUNTIFS('QA Log'!D:D,A94,'QA Log'!M:M,"QQC",'QA Log'!Z:Z,"Rejected",'QA Log'!L:L,"*10. Antenatal Care (ANC)*"),
COUNTIFS('QA Log'!D:D,A94,'QA Log'!M:M,"QQC",'QA Log'!Z:Z,"Rejected",'QA Log'!L:L,"*2. Hygiene and Sterilization*"),
COUNTIFS('QA Log'!D:D,A94,'QA Log'!M:M,"QQC",'QA Log'!Z:Z,"Rejected",'QA Log'!L:L,"*4. Family Planning*")
))</f>
        <v/>
      </c>
      <c r="AC94" s="102" t="str">
        <f t="shared" si="3"/>
        <v/>
      </c>
      <c r="AD94" s="103" t="str">
        <f t="shared" si="4"/>
        <v/>
      </c>
      <c r="AE94" s="102" t="str">
        <f>IF(A94="","",
SUM(
COUNTIFS('QA Log'!D:D,A94,'QA Log'!M:M,"Data Verification",'QA Log'!L:L,"*Medicine (section 2)*"),
COUNTIFS('QA Log'!D:D,A94,'QA Log'!M:M,"Data Verification",'QA Log'!L:L,"*Lab Testing Availability*"),
COUNTIFS('QA Log'!D:D,A94,'QA Log'!M:M,"Data Verification",'QA Log'!L:L,"*Other than P4P (section 6)*"),
COUNTIFS('QA Log'!D:D,A94,'QA Log'!M:M,"Data Verification",'QA Log'!L:L,"*Hospital Governance*")
))</f>
        <v/>
      </c>
      <c r="AF94" s="102" t="str">
        <f>IF(A94="","",
SUM(
COUNTIFS('QA Log'!D:D,A94,'QA Log'!M:M,"Data Verification",'QA Log'!Z:Z,"Approved",'QA Log'!L:L,"*Medicine (section 2)*"),
COUNTIFS('QA Log'!D:D,A94,'QA Log'!M:M,"Data Verification",'QA Log'!Z:Z,"Approved",'QA Log'!L:L,"*Lab Testing Availability*"),
COUNTIFS('QA Log'!D:D,A94,'QA Log'!M:M,"Data Verification",'QA Log'!Z:Z,"Approved",'QA Log'!L:L,"*Other than P4P (section 6)*"),
COUNTIFS('QA Log'!D:D,A94,'QA Log'!M:M,"Data Verification",'QA Log'!Z:Z,"Approved",'QA Log'!L:L,"*Hospital Governance*")
))</f>
        <v/>
      </c>
      <c r="AG94" s="105" t="str">
        <f>IF(A94&lt;&gt;"",COUNTIFS('QA Log'!D:D,A94,'QA Log'!M:M,"Data Verification",'QA Log'!L:L,"Medicine (section 2)",'QA Log'!Z:Z,"Approved"),"")</f>
        <v/>
      </c>
      <c r="AH94" s="105" t="str">
        <f>IF(A94&lt;&gt;"",COUNTIFS('QA Log'!D:D,A94,'QA Log'!M:M,"Data Verification",'QA Log'!L:L,"Lab Testing Availability",'QA Log'!Z:Z,"Approved"),"")</f>
        <v/>
      </c>
      <c r="AI94" s="105" t="str">
        <f>IF(A94&lt;&gt;"",COUNTIFS('QA Log'!D:D,A94,'QA Log'!M:M,"Data Verification",'QA Log'!L:L,"Other than P4P (section 6)",'QA Log'!Z:Z,"Approved"),"")</f>
        <v/>
      </c>
      <c r="AJ94" s="105" t="str">
        <f>IF(A94&lt;&gt;"",COUNTIFS('QA Log'!D:D,A94,'QA Log'!M:M,"Data Verification",'QA Log'!L:L,"Hospital Governance",'QA Log'!Z:Z,"Approved"),"")</f>
        <v/>
      </c>
      <c r="AK94" s="102" t="str">
        <f>IF(A94="","",
SUM(
COUNTIFS('QA Log'!D:D,A94,'QA Log'!M:M,"Data Verification",'QA Log'!Z:Z,"Rejected",'QA Log'!L:L,"*Medicine (section 2)*"),
COUNTIFS('QA Log'!D:D,A94,'QA Log'!M:M,"Data Verification",'QA Log'!Z:Z,"Rejected",'QA Log'!L:L,"*Lab Testing Availability*"),
COUNTIFS('QA Log'!D:D,A94,'QA Log'!M:M,"Data Verification",'QA Log'!Z:Z,"Rejected",'QA Log'!L:L,"*Other than P4P (section 6)*"),
COUNTIFS('QA Log'!D:D,A94,'QA Log'!M:M,"Data Verification",'QA Log'!Z:Z,"Rejected",'QA Log'!L:L,"*Hospital Governance*")
))</f>
        <v/>
      </c>
      <c r="AL94" s="106" t="str">
        <f t="shared" si="5"/>
        <v/>
      </c>
      <c r="AM94" s="102" t="str">
        <f t="shared" si="6"/>
        <v/>
      </c>
      <c r="AN94" s="102" t="str">
        <f>IF(A94="","",
SUM(
COUNTIFS('QA Log'!D:D,A94,'QA Log'!M:M,"Data Verification",'QA Log'!L:L,"*Personnel (section 1)*"),
COUNTIFS('QA Log'!D:D,A94,'QA Log'!M:M,"Data Verification",'QA Log'!L:L,"*Consumable (section 3)*"),
COUNTIFS('QA Log'!D:D,A94,'QA Log'!M:M,"Data Verification",'QA Log'!L:L,"*Equipments (section 4)*")
))</f>
        <v/>
      </c>
      <c r="AO94" s="102" t="str">
        <f>IF(A94="","",
SUM(
COUNTIFS('QA Log'!D:D,A94,'QA Log'!M:M,"Data Verification",'QA Log'!Z:Z,"Approved",'QA Log'!L:L,"*Personnel (section 1)*"),
COUNTIFS('QA Log'!D:D,A94,'QA Log'!M:M,"Data Verification",'QA Log'!Z:Z,"Approved",'QA Log'!L:L,"*Consumable (section 3)*"),
COUNTIFS('QA Log'!D:D,A94,'QA Log'!M:M,"Data Verification",'QA Log'!Z:Z,"Approved",'QA Log'!L:L,"*Equipments (section 4)*")
))</f>
        <v/>
      </c>
      <c r="AP94" s="105" t="str">
        <f>IF(A94&lt;&gt;"",COUNTIFS('QA Log'!D:D,A94,'QA Log'!M:M,"Data Verification",'QA Log'!L:L,"Personnel (section 1)",'QA Log'!Z:Z,"Approved"),"")</f>
        <v/>
      </c>
      <c r="AQ94" s="105" t="str">
        <f>IF(A94&lt;&gt;"",COUNTIFS('QA Log'!D:D,A94,'QA Log'!M:M,"Data Verification",'QA Log'!L:L,"Consumable (section 3)",'QA Log'!Z:Z,"Approved"),"")</f>
        <v/>
      </c>
      <c r="AR94" s="105" t="str">
        <f>IF(A94&lt;&gt;"",COUNTIFS('QA Log'!D:D,A94,'QA Log'!M:M,"Data Verification",'QA Log'!L:L,"Equipments (section 4)",'QA Log'!Z:Z,"Approved"),"")</f>
        <v/>
      </c>
      <c r="AS94" s="102" t="str">
        <f>IF(A94="","",
SUM(
COUNTIFS('QA Log'!D:D,A94,'QA Log'!M:M,"Data Verification",'QA Log'!Z:Z,"Rejected",'QA Log'!L:L,"*Personnel (section 1)*"),
COUNTIFS('QA Log'!D:D,A94,'QA Log'!M:M,"Data Verification",'QA Log'!Z:Z,"Rejected",'QA Log'!L:L,"*Consumable (section 3)*"),
COUNTIFS('QA Log'!D:D,A94,'QA Log'!M:M,"Data Verification",'QA Log'!Z:Z,"Rejected",'QA Log'!L:L,"*Equipments (section 4)*")
))</f>
        <v/>
      </c>
      <c r="AT94" s="102" t="str">
        <f t="shared" si="7"/>
        <v/>
      </c>
      <c r="AU94" s="103" t="str">
        <f t="shared" si="8"/>
        <v/>
      </c>
      <c r="AV94" s="102" t="str">
        <f>IF(A94="","",SUM(
COUNTIFS('QA Log'!D:D,A94,'QA Log'!M:M,"Vignette",'QA Log'!L:L,"*Vignette [1] Respiratory Infection: Pneumonia*"),
COUNTIFS('QA Log'!D:D,A94,'QA Log'!M:M,"Vignette",'QA Log'!L:L,"*Vignette [2]: Diarrhea with Cat B dehydration*"),
COUNTIFS('QA Log'!D:D,A94,'QA Log'!M:M,"Vignette",'QA Log'!L:L,"*Vignette [3] Growth Monitoring and Promotion*"),
COUNTIFS('QA Log'!D:D,A94,'QA Log'!M:M,"Vignette",'QA Log'!L:L,"*Vignette [4]: The management of presumptive TB patient*")
)
)</f>
        <v/>
      </c>
      <c r="AW94" s="102" t="str">
        <f>IF(
  A94="","",
  SUM(
    COUNTIFS('QA Log'!D:D,A94,'QA Log'!M:M,"Vignette",'QA Log'!Z:Z,"Approved",'QA Log'!L:L,"*Vignette [1] Respiratory Infection: Pneumonia*"),
    COUNTIFS('QA Log'!D:D,A94,'QA Log'!M:M,"Vignette",'QA Log'!Z:Z,"Approved",'QA Log'!L:L,"*Vignette [2]: Diarrhea with Cat B dehydration*"),
    COUNTIFS('QA Log'!D:D,A94,'QA Log'!M:M,"Vignette",'QA Log'!Z:Z,"Approved",'QA Log'!L:L,"*Vignette [3] Growth Monitoring and Promotion*"),
    COUNTIFS('QA Log'!D:D,A94,'QA Log'!M:M,"Vignette",'QA Log'!Z:Z,"Approved",'QA Log'!L:L,"*Vignette [4]: The management of presumptive TB patient*")
  )
)</f>
        <v/>
      </c>
      <c r="AX94" s="105" t="str">
        <f>IF(A94&lt;&gt;"",COUNTIFS('QA Log'!D:D,A94,'QA Log'!M:M,"Vignette",'QA Log'!L:L,"Vignette [1] Respiratory Infection: Pneumonia",'QA Log'!Z:Z,"Approved"),"")</f>
        <v/>
      </c>
      <c r="AY94" s="105" t="str">
        <f>IF(A94&lt;&gt;"",COUNTIFS('QA Log'!D:D,A94,'QA Log'!M:M,"Vignette",'QA Log'!L:L,"Vignette [2]: Diarrhea with Cat B dehydration",'QA Log'!Z:Z,"Approved"),"")</f>
        <v/>
      </c>
      <c r="AZ94" s="105" t="str">
        <f>IF(A94&lt;&gt;"",COUNTIFS('QA Log'!D:D,A94,'QA Log'!M:M,"Vignette",'QA Log'!L:L,"Vignette [3] Growth Monitoring and Promotion",'QA Log'!Z:Z,"Approved"),"")</f>
        <v/>
      </c>
      <c r="BA94" s="105" t="str">
        <f>IF(A94&lt;&gt;"",COUNTIFS('QA Log'!D:D,A94,'QA Log'!M:M,"Vignette",'QA Log'!L:L,"Vignette [4]: The management of presumptive TB patient",'QA Log'!Z:Z,"Approved"),"")</f>
        <v/>
      </c>
      <c r="BB94" s="102" t="str">
        <f>IF(A94="","",
  SUM(
    COUNTIFS('QA Log'!D:D,A94,'QA Log'!M:M,"Vignette",'QA Log'!Z:Z,"Rejected",'QA Log'!L:L,"*Vignette [1] Respiratory Infection: Pneumonia*"),
    COUNTIFS('QA Log'!D:D,A94,'QA Log'!M:M,"Vignette",'QA Log'!Z:Z,"Rejected",'QA Log'!L:L,"*Vignette [2]: Diarrhea with Cat B dehydration*"),
    COUNTIFS('QA Log'!D:D,A94,'QA Log'!M:M,"Vignette",'QA Log'!Z:Z,"Rejected",'QA Log'!L:L,"*Vignette [3] Growth Monitoring and Promotion*"),
    COUNTIFS('QA Log'!D:D,A94,'QA Log'!M:M,"Vignette",'QA Log'!Z:Z,"Rejected",'QA Log'!L:L,"*Vignette [4]: The management of presumptive TB patient*")
  )
)</f>
        <v/>
      </c>
      <c r="BC94" s="107" t="str">
        <f t="shared" si="9"/>
        <v/>
      </c>
      <c r="BD94" s="103" t="str">
        <f t="shared" si="10"/>
        <v/>
      </c>
      <c r="BE94" s="102" t="str">
        <f>IF(A94="","",SUM(
COUNTIFS('QA Log'!D:D,A94,'QA Log'!M:M,"Vignette",'QA Log'!L:L,"*Vignette [5] Labor*"),
COUNTIFS('QA Log'!D:D,A94,'QA Log'!M:M,"Vignette",'QA Log'!L:L,"*Vignette [6] PNC pre Discharge*"),
COUNTIFS('QA Log'!D:D,A94,'QA Log'!M:M,"Vignette",'QA Log'!L:L,"*Vignette [7] First ANC Visit*"),
COUNTIFS('QA Log'!D:D,A94,'QA Log'!M:M,"Vignette",'QA Log'!L:L,"*Vignette [8] Birth Spacing/ Family Planning :  FP Counselling*"),
COUNTIFS('QA Log'!D:D,A94,'QA Log'!M:M,"Vignette",'QA Log'!L:L,"*Vignette [9] Birth Spacing: Change FP method to Injectable*"),
COUNTIFS('QA Log'!D:D,A94,'QA Log'!M:M,"Vignette",'QA Log'!L:L,"*Vignette [10] Post Partum Haemorrhage - Atonic Uterus at Health Centre*"),
)
)</f>
        <v/>
      </c>
      <c r="BF94" s="102" t="str">
        <f>IF(A94="","",
  SUM(
    COUNTIFS('QA Log'!D:D,A94,'QA Log'!M:M,"Vignette",'QA Log'!Z:Z,"Approved",'QA Log'!L:L,"*Vignette [5] Labor*"),
    COUNTIFS('QA Log'!D:D,A94,'QA Log'!M:M,"Vignette",'QA Log'!Z:Z,"Approved",'QA Log'!L:L,"*Vignette [6] PNC pre Discharge*"),
    COUNTIFS('QA Log'!D:D,A94,'QA Log'!M:M,"Vignette",'QA Log'!Z:Z,"Approved",'QA Log'!L:L,"*Vignette [7] First ANC Visit*"),
    COUNTIFS('QA Log'!D:D,A94,'QA Log'!M:M,"Vignette",'QA Log'!Z:Z,"Approved",'QA Log'!L:L,"*Vignette [8] Birth Spacing/ Family Planning :  FP Counselling*"),
    COUNTIFS('QA Log'!D:D,A94,'QA Log'!M:M,"Vignette",'QA Log'!Z:Z,"Approved",'QA Log'!L:L,"*Vignette [9] Birth Spacing: Change FP method to Injectable*"),
    COUNTIFS('QA Log'!D:D,A94,'QA Log'!M:M,"Vignette",'QA Log'!Z:Z,"Approved",'QA Log'!L:L,"*Vignette [10] Post Partum Haemorrhage - Atonic Uterus at Health Centre*")
  )
)</f>
        <v/>
      </c>
      <c r="BG94" s="105" t="str">
        <f>IF(A94&lt;&gt;"",COUNTIFS('QA Log'!D:D,A94,'QA Log'!M:M,"Vignette",'QA Log'!L:L,"Vignette [5] Labor",'QA Log'!Z:Z,"Approved"),"")</f>
        <v/>
      </c>
      <c r="BH94" s="105" t="str">
        <f>IF(A94&lt;&gt;"",COUNTIFS('QA Log'!D:D,A94,'QA Log'!M:M,"Vignette",'QA Log'!L:L,"Vignette [6] PNC pre Discharge",'QA Log'!Z:Z,"Approved"),"")</f>
        <v/>
      </c>
      <c r="BI94" s="105" t="str">
        <f>IF(A94&lt;&gt;"",COUNTIFS('QA Log'!D:D,A94,'QA Log'!M:M,"Vignette",'QA Log'!L:L,"Vignette [7] First ANC Visit",'QA Log'!Z:Z,"Approved"),"")</f>
        <v/>
      </c>
      <c r="BJ94" s="105" t="str">
        <f>IF(A94&lt;&gt;"",COUNTIFS('QA Log'!D:D,A94,'QA Log'!M:M,"Vignette",'QA Log'!L:L,"Vignette [8] Birth Spacing/ Family Planning :  FP Counselling",'QA Log'!Z:Z,"Approved"),"")</f>
        <v/>
      </c>
      <c r="BK94" s="105" t="str">
        <f>IF(A94&lt;&gt;"",COUNTIFS('QA Log'!D:D,A94,'QA Log'!M:M,"Vignette",'QA Log'!L:L,"Vignette [9] Birth Spacing: Change FP method to Injectable",'QA Log'!Z:Z,"Approved"),"")</f>
        <v/>
      </c>
      <c r="BL94" s="105" t="str">
        <f>IF(A94&lt;&gt;"",COUNTIFS('QA Log'!D:D,A94,'QA Log'!M:M,"Vignette",'QA Log'!L:L,"Vignette [10] Post Partum Haemorrhage - Atonic Uterus at Health Centre",'QA Log'!Z:Z,"Approved"),"")</f>
        <v/>
      </c>
      <c r="BM94" s="102" t="str">
        <f>IF(A94="","",SUM(
    COUNTIFS('QA Log'!D:D,A94,'QA Log'!M:M,"Vignette",'QA Log'!Z:Z,"Rejected",'QA Log'!L:L,"*Vignette [5] Labor*"),
    COUNTIFS('QA Log'!D:D,A94,'QA Log'!M:M,"Vignette",'QA Log'!Z:Z,"Rejected",'QA Log'!L:L,"*Vignette [6] PNC pre Discharge*"),
    COUNTIFS('QA Log'!D:D,A94,'QA Log'!M:M,"Vignette",'QA Log'!Z:Z,"Rejected",'QA Log'!L:L,"*Vignette [7] First ANC Visit*"),
    COUNTIFS('QA Log'!D:D,A94,'QA Log'!M:M,"Vignette",'QA Log'!Z:Z,"Rejected",'QA Log'!L:L,"*Vignette [8] Birth Spacing/ Family Planning :  FP Counselling*"),
    COUNTIFS('QA Log'!D:D,A94,'QA Log'!M:M,"Vignette",'QA Log'!Z:Z,"Rejected",'QA Log'!L:L,"*Vignette [9] Birth Spacing: Change FP method to Injectable*"),
    COUNTIFS('QA Log'!D:D,A94,'QA Log'!M:M,"Vignette",'QA Log'!Z:Z,"Rejected",'QA Log'!L:L,"*Vignette [10] Post Partum Haemorrhage - Atonic Uterus at Health Centre*")
  )
)</f>
        <v/>
      </c>
      <c r="BN94" s="107" t="str">
        <f t="shared" si="11"/>
        <v/>
      </c>
      <c r="BO94" s="103" t="str">
        <f t="shared" si="12"/>
        <v/>
      </c>
      <c r="BP94" s="102" t="str">
        <f>IF(A94="","",SUM(
COUNTIFS('QA Log'!D:D,A94,'QA Log'!M:M,"Vignette",'QA Log'!L:L,"*Exit Interview 1*"),
COUNTIFS('QA Log'!D:D,A94,'QA Log'!M:M,"Vignette",'QA Log'!L:L,"*Exit Interview 2*"),
)
)</f>
        <v/>
      </c>
      <c r="BQ94" s="102" t="str">
        <f>IF(
  A94="","",
  SUM(
    COUNTIFS('QA Log'!D:D,A94,'QA Log'!M:M,"Vignette",'QA Log'!Z:Z,"Approved",'QA Log'!L:L,"*Exit Interview 1*"),
    COUNTIFS('QA Log'!D:D,A94,'QA Log'!M:M,"Vignette",'QA Log'!Z:Z,"Approved",'QA Log'!L:L,"*Exit Interview 2*")
  )
)</f>
        <v/>
      </c>
      <c r="BR94" s="105" t="str">
        <f>IF(A94&lt;&gt;"",COUNTIFS('QA Log'!D:D,A94,'QA Log'!M:M,"Vignette",'QA Log'!L:L,"Exit Interview 1",'QA Log'!Z:Z,"Approved"),"")</f>
        <v/>
      </c>
      <c r="BS94" s="105" t="str">
        <f>IF(A94&lt;&gt;"",COUNTIFS('QA Log'!D:D,A94,'QA Log'!M:M,"Vignette",'QA Log'!L:L,"Exit Interview 2",'QA Log'!Z:Z,"Approved"),"")</f>
        <v/>
      </c>
      <c r="BT94" s="102" t="str">
        <f>IF(
  A94="","",
  SUM(
    COUNTIFS('QA Log'!D:D,A94,'QA Log'!M:M,"Vignette",'QA Log'!Z:Z,"Rejected",'QA Log'!L:L,"*Exit Interview 1*"),
    COUNTIFS('QA Log'!D:D,A94,'QA Log'!M:M,"Vignette",'QA Log'!Z:Z,"Rejected",'QA Log'!L:L,"*Exit Interview 2*")
  )
)</f>
        <v/>
      </c>
      <c r="BU94" s="107" t="str">
        <f t="shared" si="13"/>
        <v/>
      </c>
      <c r="BV94" s="102" t="str">
        <f t="shared" si="14"/>
        <v/>
      </c>
      <c r="BW94" s="102" t="str">
        <f t="shared" si="15"/>
        <v/>
      </c>
      <c r="BX94" s="102" t="str">
        <f t="shared" si="16"/>
        <v/>
      </c>
      <c r="BY94" s="102" t="str">
        <f t="shared" si="17"/>
        <v/>
      </c>
      <c r="BZ94" s="107" t="str">
        <f t="shared" si="18"/>
        <v/>
      </c>
      <c r="CA94" s="108" t="str">
        <f t="shared" si="19"/>
        <v/>
      </c>
      <c r="CB94" s="108" t="str">
        <f t="shared" si="20"/>
        <v/>
      </c>
      <c r="CC94" s="109" t="str">
        <f t="shared" si="21"/>
        <v/>
      </c>
      <c r="CD94" s="108" t="str">
        <f t="shared" si="22"/>
        <v/>
      </c>
      <c r="CE94" s="108" t="str">
        <f t="shared" si="23"/>
        <v/>
      </c>
      <c r="CF94" s="109" t="str">
        <f t="shared" si="24"/>
        <v/>
      </c>
      <c r="CG94" s="110" t="str">
        <f t="shared" si="25"/>
        <v/>
      </c>
      <c r="CH94" s="111"/>
    </row>
    <row r="95" spans="1:86" ht="12.75">
      <c r="A95" s="101"/>
      <c r="B95" s="102" t="e">
        <f t="array" aca="1" ref="B95" ca="1">_xludf.XLOOKUP(A95,'QA Log'!D:D,'QA Log'!E:E,"")</f>
        <v>#NAME?</v>
      </c>
      <c r="C95" s="102" t="e">
        <f t="array" aca="1" ref="C95" ca="1">_xludf.XLOOKUP(A95,'QA Log'!D:D,'QA Log'!F:F,"")</f>
        <v>#NAME?</v>
      </c>
      <c r="D95" s="102" t="e">
        <f t="array" aca="1" ref="D95" ca="1">_xludf.XLOOKUP(A95,'QA Log'!D:D,'QA Log'!H:H,"")</f>
        <v>#NAME?</v>
      </c>
      <c r="E95" s="102" t="e">
        <f t="array" aca="1" ref="E95" ca="1">_xludf.XLOOKUP(A95,'QA Log'!D:D,'QA Log'!G:G,"")</f>
        <v>#NAME?</v>
      </c>
      <c r="F95" s="103"/>
      <c r="G95" s="104"/>
      <c r="H95" s="104"/>
      <c r="I95" s="103" t="str">
        <f t="shared" si="0"/>
        <v/>
      </c>
      <c r="J95" s="102" t="str">
        <f>IF(A95="","",SUM(
COUNTIFS('QA Log'!D:D,A95,'QA Log'!M:M,"QQC",'QA Log'!L:L,"*1. General Management*"),
COUNTIFS('QA Log'!D:D,A95,'QA Log'!M:M,"QQC",'QA Log'!L:L,"*3. Curative Consultation (OPD)*"),
COUNTIFS('QA Log'!D:D,A95,'QA Log'!M:M,"QQC",'QA Log'!L:L,"*5. Laboratory*"),
COUNTIFS('QA Log'!D:D,A95,'QA Log'!M:M,"QQC",'QA Log'!L:L,"*6. Essential Medicine Management*"),
COUNTIFS('QA Log'!D:D,A95,'QA Log'!M:M,"QQC",'QA Log'!L:L,"*7. Tracer Medicine*"),
COUNTIFS('QA Log'!D:D,A95,'QA Log'!M:M,"QQC",'QA Log'!L:L,"*11. Additional Questions*")))</f>
        <v/>
      </c>
      <c r="K95" s="102" t="str">
        <f>IF(A95="","",SUM(
COUNTIFS('QA Log'!D:D,A95,'QA Log'!M:M,"QQC",'QA Log'!Z:Z,"Approved",'QA Log'!L:L,"*1. General Management*"),
COUNTIFS('QA Log'!D:D,A95,'QA Log'!M:M,"QQC",'QA Log'!Z:Z,"Approved",'QA Log'!L:L,"*3. Curative Consultation (OPD)*"),
COUNTIFS('QA Log'!D:D,A95,'QA Log'!M:M,"QQC",'QA Log'!Z:Z,"Approved",'QA Log'!L:L,"*5. Laboratory*"),
COUNTIFS('QA Log'!D:D,A95,'QA Log'!M:M,"QQC",'QA Log'!Z:Z,"Approved",'QA Log'!L:L,"*6. Essential Medicine Management*"),
COUNTIFS('QA Log'!D:D,A95,'QA Log'!M:M,"QQC",'QA Log'!Z:Z,"Approved",'QA Log'!L:L,"*7. Tracer Medicine*"),
COUNTIFS('QA Log'!D:D,A95,'QA Log'!M:M,"QQC",'QA Log'!Z:Z,"Approved",'QA Log'!L:L,"*11. Additional Questions*")))</f>
        <v/>
      </c>
      <c r="L95" s="105" t="str">
        <f>IF(A95&lt;&gt;"",COUNTIFS('QA Log'!D:D,A95,'QA Log'!M:M,"QQC",'QA Log'!L:L,"1. General Management",'QA Log'!Z:Z,"Approved"),"")</f>
        <v/>
      </c>
      <c r="M95" s="105" t="str">
        <f>IF(A95&lt;&gt;"",COUNTIFS('QA Log'!D:D,A95,'QA Log'!M:M,"QQC",'QA Log'!L:L,"3. Curative Consultation (OPD)",'QA Log'!Z:Z,"Approved"),"")</f>
        <v/>
      </c>
      <c r="N95" s="105" t="str">
        <f>IF(A95&lt;&gt;"",COUNTIFS('QA Log'!D:D,A95,'QA Log'!M:M,"QQC",'QA Log'!L:L,"5. Laboratory",'QA Log'!Z:Z,"Approved"),"")</f>
        <v/>
      </c>
      <c r="O95" s="105" t="str">
        <f>IF(A95&lt;&gt;"",COUNTIFS('QA Log'!D:D,A95,'QA Log'!M:M,"QQC",'QA Log'!L:L,"6. Essential Medicine Management",'QA Log'!Z:Z,"Approved"),"")</f>
        <v/>
      </c>
      <c r="P95" s="105" t="str">
        <f>IF(A95&lt;&gt;"",COUNTIFS('QA Log'!D:D,A95,'QA Log'!M:M,"QQC",'QA Log'!L:L,"7. Tracer Medicine",'QA Log'!Z:Z,"Approved"),"")</f>
        <v/>
      </c>
      <c r="Q95" s="105" t="str">
        <f>IF(A95&lt;&gt;"",COUNTIFS('QA Log'!D:D,A95,'QA Log'!M:M,"QQC",'QA Log'!L:L,"11. Additional Questions",'QA Log'!Z:Z,"Approved"),"")</f>
        <v/>
      </c>
      <c r="R95" s="102" t="str">
        <f>IF(A95="","",SUM(
COUNTIFS('QA Log'!D:D,A95,'QA Log'!M:M,"QQC",'QA Log'!Z:Z,"Rejected",'QA Log'!L:L,"*8. Maternity*"),
COUNTIFS('QA Log'!D:D,A95,'QA Log'!M:M,"QQC",'QA Log'!Z:Z,"Rejected",'QA Log'!L:L,"*EPI*"),
COUNTIFS('QA Log'!D:D,A95,'QA Log'!M:M,"QQC",'QA Log'!Z:Z,"Rejected",'QA Log'!L:L,"*10. Antenatal Care (ANC)*"),
COUNTIFS('QA Log'!D:D,A95,'QA Log'!M:M,"QQC",'QA Log'!Z:Z,"Rejected",'QA Log'!L:L,"*2. Hygiene and Sterilization*"),
COUNTIFS('QA Log'!D:D,A95,'QA Log'!M:M,"QQC",'QA Log'!Z:Z,"Rejected",'QA Log'!L:L,"*Family Planning*")))</f>
        <v/>
      </c>
      <c r="S95" s="106" t="str">
        <f t="shared" si="1"/>
        <v/>
      </c>
      <c r="T95" s="102" t="str">
        <f t="shared" si="2"/>
        <v/>
      </c>
      <c r="U95" s="102" t="str">
        <f>IF(A95="","",
SUM(
COUNTIFS('QA Log'!D:D,A95,'QA Log'!M:M,"QQC",'QA Log'!L:L,"*8. Maternity*"),
COUNTIFS('QA Log'!D:D,A95,'QA Log'!M:M,"QQC",'QA Log'!L:L,"*9. EPI and Pre-school Consultation*"),
COUNTIFS('QA Log'!D:D,A95,'QA Log'!M:M,"QQC",'QA Log'!L:L,"*10. Antenatal Care (ANC)*"),
COUNTIFS('QA Log'!D:D,A95,'QA Log'!M:M,"QQC",'QA Log'!L:L,"*2. Hygiene and Sterilization*"),
COUNTIFS('QA Log'!D:D,A95,'QA Log'!M:M,"QQC",'QA Log'!L:L,"*4. Family Planning*")
))</f>
        <v/>
      </c>
      <c r="V95" s="102" t="str">
        <f>IF(A95="","",
SUM(
COUNTIFS('QA Log'!D:D,A95,'QA Log'!M:M,"QQC",'QA Log'!Z:Z,"Approved",'QA Log'!L:L,"*8. Maternity*"),
COUNTIFS('QA Log'!D:D,A95,'QA Log'!M:M,"QQC",'QA Log'!Z:Z,"Approved",'QA Log'!L:L,"*9. EPI and Pre-school Consultation*"),
COUNTIFS('QA Log'!D:D,A95,'QA Log'!M:M,"QQC",'QA Log'!Z:Z,"Approved",'QA Log'!L:L,"*10. Antenatal Care (ANC)*"),
COUNTIFS('QA Log'!D:D,A95,'QA Log'!M:M,"QQC",'QA Log'!Z:Z,"Approved",'QA Log'!L:L,"*2. Hygiene and Sterilization*"),
COUNTIFS('QA Log'!D:D,A95,'QA Log'!M:M,"QQC",'QA Log'!Z:Z,"Approved",'QA Log'!L:L,"*4. Family Planning*")
))</f>
        <v/>
      </c>
      <c r="W95" s="105" t="str">
        <f>IF(A95&lt;&gt;"",COUNTIFS('QA Log'!D:D,A95,'QA Log'!M:M,"QQC",'QA Log'!L:L,"8. Maternity",'QA Log'!Z:Z,"Approved"),"")</f>
        <v/>
      </c>
      <c r="X95" s="105" t="str">
        <f>IF(A95&lt;&gt;"",COUNTIFS('QA Log'!D:D,A95,'QA Log'!M:M,"QQC",'QA Log'!L:L,"9. EPI and Pre-school Consultation",'QA Log'!Z:Z,"Approved"),"")</f>
        <v/>
      </c>
      <c r="Y95" s="105" t="str">
        <f>IF(A95&lt;&gt;"",COUNTIFS('QA Log'!D:D,A95,'QA Log'!M:M,"QQC",'QA Log'!L:L,"10. Antenatal Care (ANC)",'QA Log'!Z:Z,"Approved"),"")</f>
        <v/>
      </c>
      <c r="Z95" s="105" t="str">
        <f>IF(A95&lt;&gt;"",COUNTIFS('QA Log'!D:D,A95,'QA Log'!M:M,"QQC",'QA Log'!L:L,"2. Hygiene and Sterilization",'QA Log'!Z:Z,"Approved"),"")</f>
        <v/>
      </c>
      <c r="AA95" s="105" t="str">
        <f>IF(A95&lt;&gt;"",COUNTIFS('QA Log'!D:D,A95,'QA Log'!M:M,"QQC",'QA Log'!L:L,"4. Family Planning",'QA Log'!Z:Z,"Approved"),"")</f>
        <v/>
      </c>
      <c r="AB95" s="102" t="str">
        <f>IF(A95="","",
SUM(
COUNTIFS('QA Log'!D:D,A95,'QA Log'!M:M,"QQC",'QA Log'!Z:Z,"Rejected",'QA Log'!L:L,"*8. Maternity*"),
COUNTIFS('QA Log'!D:D,A95,'QA Log'!M:M,"QQC",'QA Log'!Z:Z,"Rejected",'QA Log'!L:L,"*9. EPI and Pre-school Consultation*"),
COUNTIFS('QA Log'!D:D,A95,'QA Log'!M:M,"QQC",'QA Log'!Z:Z,"Rejected",'QA Log'!L:L,"*10. Antenatal Care (ANC)*"),
COUNTIFS('QA Log'!D:D,A95,'QA Log'!M:M,"QQC",'QA Log'!Z:Z,"Rejected",'QA Log'!L:L,"*2. Hygiene and Sterilization*"),
COUNTIFS('QA Log'!D:D,A95,'QA Log'!M:M,"QQC",'QA Log'!Z:Z,"Rejected",'QA Log'!L:L,"*4. Family Planning*")
))</f>
        <v/>
      </c>
      <c r="AC95" s="102" t="str">
        <f t="shared" si="3"/>
        <v/>
      </c>
      <c r="AD95" s="103" t="str">
        <f t="shared" si="4"/>
        <v/>
      </c>
      <c r="AE95" s="102" t="str">
        <f>IF(A95="","",
SUM(
COUNTIFS('QA Log'!D:D,A95,'QA Log'!M:M,"Data Verification",'QA Log'!L:L,"*Medicine (section 2)*"),
COUNTIFS('QA Log'!D:D,A95,'QA Log'!M:M,"Data Verification",'QA Log'!L:L,"*Lab Testing Availability*"),
COUNTIFS('QA Log'!D:D,A95,'QA Log'!M:M,"Data Verification",'QA Log'!L:L,"*Other than P4P (section 6)*"),
COUNTIFS('QA Log'!D:D,A95,'QA Log'!M:M,"Data Verification",'QA Log'!L:L,"*Hospital Governance*")
))</f>
        <v/>
      </c>
      <c r="AF95" s="102" t="str">
        <f>IF(A95="","",
SUM(
COUNTIFS('QA Log'!D:D,A95,'QA Log'!M:M,"Data Verification",'QA Log'!Z:Z,"Approved",'QA Log'!L:L,"*Medicine (section 2)*"),
COUNTIFS('QA Log'!D:D,A95,'QA Log'!M:M,"Data Verification",'QA Log'!Z:Z,"Approved",'QA Log'!L:L,"*Lab Testing Availability*"),
COUNTIFS('QA Log'!D:D,A95,'QA Log'!M:M,"Data Verification",'QA Log'!Z:Z,"Approved",'QA Log'!L:L,"*Other than P4P (section 6)*"),
COUNTIFS('QA Log'!D:D,A95,'QA Log'!M:M,"Data Verification",'QA Log'!Z:Z,"Approved",'QA Log'!L:L,"*Hospital Governance*")
))</f>
        <v/>
      </c>
      <c r="AG95" s="105" t="str">
        <f>IF(A95&lt;&gt;"",COUNTIFS('QA Log'!D:D,A95,'QA Log'!M:M,"Data Verification",'QA Log'!L:L,"Medicine (section 2)",'QA Log'!Z:Z,"Approved"),"")</f>
        <v/>
      </c>
      <c r="AH95" s="105" t="str">
        <f>IF(A95&lt;&gt;"",COUNTIFS('QA Log'!D:D,A95,'QA Log'!M:M,"Data Verification",'QA Log'!L:L,"Lab Testing Availability",'QA Log'!Z:Z,"Approved"),"")</f>
        <v/>
      </c>
      <c r="AI95" s="105" t="str">
        <f>IF(A95&lt;&gt;"",COUNTIFS('QA Log'!D:D,A95,'QA Log'!M:M,"Data Verification",'QA Log'!L:L,"Other than P4P (section 6)",'QA Log'!Z:Z,"Approved"),"")</f>
        <v/>
      </c>
      <c r="AJ95" s="105" t="str">
        <f>IF(A95&lt;&gt;"",COUNTIFS('QA Log'!D:D,A95,'QA Log'!M:M,"Data Verification",'QA Log'!L:L,"Hospital Governance",'QA Log'!Z:Z,"Approved"),"")</f>
        <v/>
      </c>
      <c r="AK95" s="102" t="str">
        <f>IF(A95="","",
SUM(
COUNTIFS('QA Log'!D:D,A95,'QA Log'!M:M,"Data Verification",'QA Log'!Z:Z,"Rejected",'QA Log'!L:L,"*Medicine (section 2)*"),
COUNTIFS('QA Log'!D:D,A95,'QA Log'!M:M,"Data Verification",'QA Log'!Z:Z,"Rejected",'QA Log'!L:L,"*Lab Testing Availability*"),
COUNTIFS('QA Log'!D:D,A95,'QA Log'!M:M,"Data Verification",'QA Log'!Z:Z,"Rejected",'QA Log'!L:L,"*Other than P4P (section 6)*"),
COUNTIFS('QA Log'!D:D,A95,'QA Log'!M:M,"Data Verification",'QA Log'!Z:Z,"Rejected",'QA Log'!L:L,"*Hospital Governance*")
))</f>
        <v/>
      </c>
      <c r="AL95" s="106" t="str">
        <f t="shared" si="5"/>
        <v/>
      </c>
      <c r="AM95" s="102" t="str">
        <f t="shared" si="6"/>
        <v/>
      </c>
      <c r="AN95" s="102" t="str">
        <f>IF(A95="","",
SUM(
COUNTIFS('QA Log'!D:D,A95,'QA Log'!M:M,"Data Verification",'QA Log'!L:L,"*Personnel (section 1)*"),
COUNTIFS('QA Log'!D:D,A95,'QA Log'!M:M,"Data Verification",'QA Log'!L:L,"*Consumable (section 3)*"),
COUNTIFS('QA Log'!D:D,A95,'QA Log'!M:M,"Data Verification",'QA Log'!L:L,"*Equipments (section 4)*")
))</f>
        <v/>
      </c>
      <c r="AO95" s="102" t="str">
        <f>IF(A95="","",
SUM(
COUNTIFS('QA Log'!D:D,A95,'QA Log'!M:M,"Data Verification",'QA Log'!Z:Z,"Approved",'QA Log'!L:L,"*Personnel (section 1)*"),
COUNTIFS('QA Log'!D:D,A95,'QA Log'!M:M,"Data Verification",'QA Log'!Z:Z,"Approved",'QA Log'!L:L,"*Consumable (section 3)*"),
COUNTIFS('QA Log'!D:D,A95,'QA Log'!M:M,"Data Verification",'QA Log'!Z:Z,"Approved",'QA Log'!L:L,"*Equipments (section 4)*")
))</f>
        <v/>
      </c>
      <c r="AP95" s="105" t="str">
        <f>IF(A95&lt;&gt;"",COUNTIFS('QA Log'!D:D,A95,'QA Log'!M:M,"Data Verification",'QA Log'!L:L,"Personnel (section 1)",'QA Log'!Z:Z,"Approved"),"")</f>
        <v/>
      </c>
      <c r="AQ95" s="105" t="str">
        <f>IF(A95&lt;&gt;"",COUNTIFS('QA Log'!D:D,A95,'QA Log'!M:M,"Data Verification",'QA Log'!L:L,"Consumable (section 3)",'QA Log'!Z:Z,"Approved"),"")</f>
        <v/>
      </c>
      <c r="AR95" s="105" t="str">
        <f>IF(A95&lt;&gt;"",COUNTIFS('QA Log'!D:D,A95,'QA Log'!M:M,"Data Verification",'QA Log'!L:L,"Equipments (section 4)",'QA Log'!Z:Z,"Approved"),"")</f>
        <v/>
      </c>
      <c r="AS95" s="102" t="str">
        <f>IF(A95="","",
SUM(
COUNTIFS('QA Log'!D:D,A95,'QA Log'!M:M,"Data Verification",'QA Log'!Z:Z,"Rejected",'QA Log'!L:L,"*Personnel (section 1)*"),
COUNTIFS('QA Log'!D:D,A95,'QA Log'!M:M,"Data Verification",'QA Log'!Z:Z,"Rejected",'QA Log'!L:L,"*Consumable (section 3)*"),
COUNTIFS('QA Log'!D:D,A95,'QA Log'!M:M,"Data Verification",'QA Log'!Z:Z,"Rejected",'QA Log'!L:L,"*Equipments (section 4)*")
))</f>
        <v/>
      </c>
      <c r="AT95" s="102" t="str">
        <f t="shared" si="7"/>
        <v/>
      </c>
      <c r="AU95" s="103" t="str">
        <f t="shared" si="8"/>
        <v/>
      </c>
      <c r="AV95" s="102" t="str">
        <f>IF(A95="","",SUM(
COUNTIFS('QA Log'!D:D,A95,'QA Log'!M:M,"Vignette",'QA Log'!L:L,"*Vignette [1] Respiratory Infection: Pneumonia*"),
COUNTIFS('QA Log'!D:D,A95,'QA Log'!M:M,"Vignette",'QA Log'!L:L,"*Vignette [2]: Diarrhea with Cat B dehydration*"),
COUNTIFS('QA Log'!D:D,A95,'QA Log'!M:M,"Vignette",'QA Log'!L:L,"*Vignette [3] Growth Monitoring and Promotion*"),
COUNTIFS('QA Log'!D:D,A95,'QA Log'!M:M,"Vignette",'QA Log'!L:L,"*Vignette [4]: The management of presumptive TB patient*")
)
)</f>
        <v/>
      </c>
      <c r="AW95" s="102" t="str">
        <f>IF(
  A95="","",
  SUM(
    COUNTIFS('QA Log'!D:D,A95,'QA Log'!M:M,"Vignette",'QA Log'!Z:Z,"Approved",'QA Log'!L:L,"*Vignette [1] Respiratory Infection: Pneumonia*"),
    COUNTIFS('QA Log'!D:D,A95,'QA Log'!M:M,"Vignette",'QA Log'!Z:Z,"Approved",'QA Log'!L:L,"*Vignette [2]: Diarrhea with Cat B dehydration*"),
    COUNTIFS('QA Log'!D:D,A95,'QA Log'!M:M,"Vignette",'QA Log'!Z:Z,"Approved",'QA Log'!L:L,"*Vignette [3] Growth Monitoring and Promotion*"),
    COUNTIFS('QA Log'!D:D,A95,'QA Log'!M:M,"Vignette",'QA Log'!Z:Z,"Approved",'QA Log'!L:L,"*Vignette [4]: The management of presumptive TB patient*")
  )
)</f>
        <v/>
      </c>
      <c r="AX95" s="105" t="str">
        <f>IF(A95&lt;&gt;"",COUNTIFS('QA Log'!D:D,A95,'QA Log'!M:M,"Vignette",'QA Log'!L:L,"Vignette [1] Respiratory Infection: Pneumonia",'QA Log'!Z:Z,"Approved"),"")</f>
        <v/>
      </c>
      <c r="AY95" s="105" t="str">
        <f>IF(A95&lt;&gt;"",COUNTIFS('QA Log'!D:D,A95,'QA Log'!M:M,"Vignette",'QA Log'!L:L,"Vignette [2]: Diarrhea with Cat B dehydration",'QA Log'!Z:Z,"Approved"),"")</f>
        <v/>
      </c>
      <c r="AZ95" s="105" t="str">
        <f>IF(A95&lt;&gt;"",COUNTIFS('QA Log'!D:D,A95,'QA Log'!M:M,"Vignette",'QA Log'!L:L,"Vignette [3] Growth Monitoring and Promotion",'QA Log'!Z:Z,"Approved"),"")</f>
        <v/>
      </c>
      <c r="BA95" s="105" t="str">
        <f>IF(A95&lt;&gt;"",COUNTIFS('QA Log'!D:D,A95,'QA Log'!M:M,"Vignette",'QA Log'!L:L,"Vignette [4]: The management of presumptive TB patient",'QA Log'!Z:Z,"Approved"),"")</f>
        <v/>
      </c>
      <c r="BB95" s="102" t="str">
        <f>IF(A95="","",
  SUM(
    COUNTIFS('QA Log'!D:D,A95,'QA Log'!M:M,"Vignette",'QA Log'!Z:Z,"Rejected",'QA Log'!L:L,"*Vignette [1] Respiratory Infection: Pneumonia*"),
    COUNTIFS('QA Log'!D:D,A95,'QA Log'!M:M,"Vignette",'QA Log'!Z:Z,"Rejected",'QA Log'!L:L,"*Vignette [2]: Diarrhea with Cat B dehydration*"),
    COUNTIFS('QA Log'!D:D,A95,'QA Log'!M:M,"Vignette",'QA Log'!Z:Z,"Rejected",'QA Log'!L:L,"*Vignette [3] Growth Monitoring and Promotion*"),
    COUNTIFS('QA Log'!D:D,A95,'QA Log'!M:M,"Vignette",'QA Log'!Z:Z,"Rejected",'QA Log'!L:L,"*Vignette [4]: The management of presumptive TB patient*")
  )
)</f>
        <v/>
      </c>
      <c r="BC95" s="107" t="str">
        <f t="shared" si="9"/>
        <v/>
      </c>
      <c r="BD95" s="103" t="str">
        <f t="shared" si="10"/>
        <v/>
      </c>
      <c r="BE95" s="102" t="str">
        <f>IF(A95="","",SUM(
COUNTIFS('QA Log'!D:D,A95,'QA Log'!M:M,"Vignette",'QA Log'!L:L,"*Vignette [5] Labor*"),
COUNTIFS('QA Log'!D:D,A95,'QA Log'!M:M,"Vignette",'QA Log'!L:L,"*Vignette [6] PNC pre Discharge*"),
COUNTIFS('QA Log'!D:D,A95,'QA Log'!M:M,"Vignette",'QA Log'!L:L,"*Vignette [7] First ANC Visit*"),
COUNTIFS('QA Log'!D:D,A95,'QA Log'!M:M,"Vignette",'QA Log'!L:L,"*Vignette [8] Birth Spacing/ Family Planning :  FP Counselling*"),
COUNTIFS('QA Log'!D:D,A95,'QA Log'!M:M,"Vignette",'QA Log'!L:L,"*Vignette [9] Birth Spacing: Change FP method to Injectable*"),
COUNTIFS('QA Log'!D:D,A95,'QA Log'!M:M,"Vignette",'QA Log'!L:L,"*Vignette [10] Post Partum Haemorrhage - Atonic Uterus at Health Centre*"),
)
)</f>
        <v/>
      </c>
      <c r="BF95" s="102" t="str">
        <f>IF(A95="","",
  SUM(
    COUNTIFS('QA Log'!D:D,A95,'QA Log'!M:M,"Vignette",'QA Log'!Z:Z,"Approved",'QA Log'!L:L,"*Vignette [5] Labor*"),
    COUNTIFS('QA Log'!D:D,A95,'QA Log'!M:M,"Vignette",'QA Log'!Z:Z,"Approved",'QA Log'!L:L,"*Vignette [6] PNC pre Discharge*"),
    COUNTIFS('QA Log'!D:D,A95,'QA Log'!M:M,"Vignette",'QA Log'!Z:Z,"Approved",'QA Log'!L:L,"*Vignette [7] First ANC Visit*"),
    COUNTIFS('QA Log'!D:D,A95,'QA Log'!M:M,"Vignette",'QA Log'!Z:Z,"Approved",'QA Log'!L:L,"*Vignette [8] Birth Spacing/ Family Planning :  FP Counselling*"),
    COUNTIFS('QA Log'!D:D,A95,'QA Log'!M:M,"Vignette",'QA Log'!Z:Z,"Approved",'QA Log'!L:L,"*Vignette [9] Birth Spacing: Change FP method to Injectable*"),
    COUNTIFS('QA Log'!D:D,A95,'QA Log'!M:M,"Vignette",'QA Log'!Z:Z,"Approved",'QA Log'!L:L,"*Vignette [10] Post Partum Haemorrhage - Atonic Uterus at Health Centre*")
  )
)</f>
        <v/>
      </c>
      <c r="BG95" s="105" t="str">
        <f>IF(A95&lt;&gt;"",COUNTIFS('QA Log'!D:D,A95,'QA Log'!M:M,"Vignette",'QA Log'!L:L,"Vignette [5] Labor",'QA Log'!Z:Z,"Approved"),"")</f>
        <v/>
      </c>
      <c r="BH95" s="105" t="str">
        <f>IF(A95&lt;&gt;"",COUNTIFS('QA Log'!D:D,A95,'QA Log'!M:M,"Vignette",'QA Log'!L:L,"Vignette [6] PNC pre Discharge",'QA Log'!Z:Z,"Approved"),"")</f>
        <v/>
      </c>
      <c r="BI95" s="105" t="str">
        <f>IF(A95&lt;&gt;"",COUNTIFS('QA Log'!D:D,A95,'QA Log'!M:M,"Vignette",'QA Log'!L:L,"Vignette [7] First ANC Visit",'QA Log'!Z:Z,"Approved"),"")</f>
        <v/>
      </c>
      <c r="BJ95" s="105" t="str">
        <f>IF(A95&lt;&gt;"",COUNTIFS('QA Log'!D:D,A95,'QA Log'!M:M,"Vignette",'QA Log'!L:L,"Vignette [8] Birth Spacing/ Family Planning :  FP Counselling",'QA Log'!Z:Z,"Approved"),"")</f>
        <v/>
      </c>
      <c r="BK95" s="105" t="str">
        <f>IF(A95&lt;&gt;"",COUNTIFS('QA Log'!D:D,A95,'QA Log'!M:M,"Vignette",'QA Log'!L:L,"Vignette [9] Birth Spacing: Change FP method to Injectable",'QA Log'!Z:Z,"Approved"),"")</f>
        <v/>
      </c>
      <c r="BL95" s="105" t="str">
        <f>IF(A95&lt;&gt;"",COUNTIFS('QA Log'!D:D,A95,'QA Log'!M:M,"Vignette",'QA Log'!L:L,"Vignette [10] Post Partum Haemorrhage - Atonic Uterus at Health Centre",'QA Log'!Z:Z,"Approved"),"")</f>
        <v/>
      </c>
      <c r="BM95" s="102" t="str">
        <f>IF(A95="","",SUM(
    COUNTIFS('QA Log'!D:D,A95,'QA Log'!M:M,"Vignette",'QA Log'!Z:Z,"Rejected",'QA Log'!L:L,"*Vignette [5] Labor*"),
    COUNTIFS('QA Log'!D:D,A95,'QA Log'!M:M,"Vignette",'QA Log'!Z:Z,"Rejected",'QA Log'!L:L,"*Vignette [6] PNC pre Discharge*"),
    COUNTIFS('QA Log'!D:D,A95,'QA Log'!M:M,"Vignette",'QA Log'!Z:Z,"Rejected",'QA Log'!L:L,"*Vignette [7] First ANC Visit*"),
    COUNTIFS('QA Log'!D:D,A95,'QA Log'!M:M,"Vignette",'QA Log'!Z:Z,"Rejected",'QA Log'!L:L,"*Vignette [8] Birth Spacing/ Family Planning :  FP Counselling*"),
    COUNTIFS('QA Log'!D:D,A95,'QA Log'!M:M,"Vignette",'QA Log'!Z:Z,"Rejected",'QA Log'!L:L,"*Vignette [9] Birth Spacing: Change FP method to Injectable*"),
    COUNTIFS('QA Log'!D:D,A95,'QA Log'!M:M,"Vignette",'QA Log'!Z:Z,"Rejected",'QA Log'!L:L,"*Vignette [10] Post Partum Haemorrhage - Atonic Uterus at Health Centre*")
  )
)</f>
        <v/>
      </c>
      <c r="BN95" s="107" t="str">
        <f t="shared" si="11"/>
        <v/>
      </c>
      <c r="BO95" s="103" t="str">
        <f t="shared" si="12"/>
        <v/>
      </c>
      <c r="BP95" s="102" t="str">
        <f>IF(A95="","",SUM(
COUNTIFS('QA Log'!D:D,A95,'QA Log'!M:M,"Vignette",'QA Log'!L:L,"*Exit Interview 1*"),
COUNTIFS('QA Log'!D:D,A95,'QA Log'!M:M,"Vignette",'QA Log'!L:L,"*Exit Interview 2*"),
)
)</f>
        <v/>
      </c>
      <c r="BQ95" s="102" t="str">
        <f>IF(
  A95="","",
  SUM(
    COUNTIFS('QA Log'!D:D,A95,'QA Log'!M:M,"Vignette",'QA Log'!Z:Z,"Approved",'QA Log'!L:L,"*Exit Interview 1*"),
    COUNTIFS('QA Log'!D:D,A95,'QA Log'!M:M,"Vignette",'QA Log'!Z:Z,"Approved",'QA Log'!L:L,"*Exit Interview 2*")
  )
)</f>
        <v/>
      </c>
      <c r="BR95" s="105" t="str">
        <f>IF(A95&lt;&gt;"",COUNTIFS('QA Log'!D:D,A95,'QA Log'!M:M,"Vignette",'QA Log'!L:L,"Exit Interview 1",'QA Log'!Z:Z,"Approved"),"")</f>
        <v/>
      </c>
      <c r="BS95" s="105" t="str">
        <f>IF(A95&lt;&gt;"",COUNTIFS('QA Log'!D:D,A95,'QA Log'!M:M,"Vignette",'QA Log'!L:L,"Exit Interview 2",'QA Log'!Z:Z,"Approved"),"")</f>
        <v/>
      </c>
      <c r="BT95" s="102" t="str">
        <f>IF(
  A95="","",
  SUM(
    COUNTIFS('QA Log'!D:D,A95,'QA Log'!M:M,"Vignette",'QA Log'!Z:Z,"Rejected",'QA Log'!L:L,"*Exit Interview 1*"),
    COUNTIFS('QA Log'!D:D,A95,'QA Log'!M:M,"Vignette",'QA Log'!Z:Z,"Rejected",'QA Log'!L:L,"*Exit Interview 2*")
  )
)</f>
        <v/>
      </c>
      <c r="BU95" s="107" t="str">
        <f t="shared" si="13"/>
        <v/>
      </c>
      <c r="BV95" s="102" t="str">
        <f t="shared" si="14"/>
        <v/>
      </c>
      <c r="BW95" s="102" t="str">
        <f t="shared" si="15"/>
        <v/>
      </c>
      <c r="BX95" s="102" t="str">
        <f t="shared" si="16"/>
        <v/>
      </c>
      <c r="BY95" s="102" t="str">
        <f t="shared" si="17"/>
        <v/>
      </c>
      <c r="BZ95" s="107" t="str">
        <f t="shared" si="18"/>
        <v/>
      </c>
      <c r="CA95" s="108" t="str">
        <f t="shared" si="19"/>
        <v/>
      </c>
      <c r="CB95" s="108" t="str">
        <f t="shared" si="20"/>
        <v/>
      </c>
      <c r="CC95" s="109" t="str">
        <f t="shared" si="21"/>
        <v/>
      </c>
      <c r="CD95" s="108" t="str">
        <f t="shared" si="22"/>
        <v/>
      </c>
      <c r="CE95" s="108" t="str">
        <f t="shared" si="23"/>
        <v/>
      </c>
      <c r="CF95" s="109" t="str">
        <f t="shared" si="24"/>
        <v/>
      </c>
      <c r="CG95" s="110" t="str">
        <f t="shared" si="25"/>
        <v/>
      </c>
      <c r="CH95" s="111"/>
    </row>
    <row r="96" spans="1:86" ht="12.75">
      <c r="A96" s="101"/>
      <c r="B96" s="102" t="e">
        <f t="array" aca="1" ref="B96" ca="1">_xludf.XLOOKUP(A96,'QA Log'!D:D,'QA Log'!E:E,"")</f>
        <v>#NAME?</v>
      </c>
      <c r="C96" s="102" t="e">
        <f t="array" aca="1" ref="C96" ca="1">_xludf.XLOOKUP(A96,'QA Log'!D:D,'QA Log'!F:F,"")</f>
        <v>#NAME?</v>
      </c>
      <c r="D96" s="102" t="e">
        <f t="array" aca="1" ref="D96" ca="1">_xludf.XLOOKUP(A96,'QA Log'!D:D,'QA Log'!H:H,"")</f>
        <v>#NAME?</v>
      </c>
      <c r="E96" s="102" t="e">
        <f t="array" aca="1" ref="E96" ca="1">_xludf.XLOOKUP(A96,'QA Log'!D:D,'QA Log'!G:G,"")</f>
        <v>#NAME?</v>
      </c>
      <c r="F96" s="103"/>
      <c r="G96" s="104"/>
      <c r="H96" s="104"/>
      <c r="I96" s="103" t="str">
        <f t="shared" si="0"/>
        <v/>
      </c>
      <c r="J96" s="102" t="str">
        <f>IF(A96="","",SUM(
COUNTIFS('QA Log'!D:D,A96,'QA Log'!M:M,"QQC",'QA Log'!L:L,"*1. General Management*"),
COUNTIFS('QA Log'!D:D,A96,'QA Log'!M:M,"QQC",'QA Log'!L:L,"*3. Curative Consultation (OPD)*"),
COUNTIFS('QA Log'!D:D,A96,'QA Log'!M:M,"QQC",'QA Log'!L:L,"*5. Laboratory*"),
COUNTIFS('QA Log'!D:D,A96,'QA Log'!M:M,"QQC",'QA Log'!L:L,"*6. Essential Medicine Management*"),
COUNTIFS('QA Log'!D:D,A96,'QA Log'!M:M,"QQC",'QA Log'!L:L,"*7. Tracer Medicine*"),
COUNTIFS('QA Log'!D:D,A96,'QA Log'!M:M,"QQC",'QA Log'!L:L,"*11. Additional Questions*")))</f>
        <v/>
      </c>
      <c r="K96" s="102" t="str">
        <f>IF(A96="","",SUM(
COUNTIFS('QA Log'!D:D,A96,'QA Log'!M:M,"QQC",'QA Log'!Z:Z,"Approved",'QA Log'!L:L,"*1. General Management*"),
COUNTIFS('QA Log'!D:D,A96,'QA Log'!M:M,"QQC",'QA Log'!Z:Z,"Approved",'QA Log'!L:L,"*3. Curative Consultation (OPD)*"),
COUNTIFS('QA Log'!D:D,A96,'QA Log'!M:M,"QQC",'QA Log'!Z:Z,"Approved",'QA Log'!L:L,"*5. Laboratory*"),
COUNTIFS('QA Log'!D:D,A96,'QA Log'!M:M,"QQC",'QA Log'!Z:Z,"Approved",'QA Log'!L:L,"*6. Essential Medicine Management*"),
COUNTIFS('QA Log'!D:D,A96,'QA Log'!M:M,"QQC",'QA Log'!Z:Z,"Approved",'QA Log'!L:L,"*7. Tracer Medicine*"),
COUNTIFS('QA Log'!D:D,A96,'QA Log'!M:M,"QQC",'QA Log'!Z:Z,"Approved",'QA Log'!L:L,"*11. Additional Questions*")))</f>
        <v/>
      </c>
      <c r="L96" s="105" t="str">
        <f>IF(A96&lt;&gt;"",COUNTIFS('QA Log'!D:D,A96,'QA Log'!M:M,"QQC",'QA Log'!L:L,"1. General Management",'QA Log'!Z:Z,"Approved"),"")</f>
        <v/>
      </c>
      <c r="M96" s="105" t="str">
        <f>IF(A96&lt;&gt;"",COUNTIFS('QA Log'!D:D,A96,'QA Log'!M:M,"QQC",'QA Log'!L:L,"3. Curative Consultation (OPD)",'QA Log'!Z:Z,"Approved"),"")</f>
        <v/>
      </c>
      <c r="N96" s="105" t="str">
        <f>IF(A96&lt;&gt;"",COUNTIFS('QA Log'!D:D,A96,'QA Log'!M:M,"QQC",'QA Log'!L:L,"5. Laboratory",'QA Log'!Z:Z,"Approved"),"")</f>
        <v/>
      </c>
      <c r="O96" s="105" t="str">
        <f>IF(A96&lt;&gt;"",COUNTIFS('QA Log'!D:D,A96,'QA Log'!M:M,"QQC",'QA Log'!L:L,"6. Essential Medicine Management",'QA Log'!Z:Z,"Approved"),"")</f>
        <v/>
      </c>
      <c r="P96" s="105" t="str">
        <f>IF(A96&lt;&gt;"",COUNTIFS('QA Log'!D:D,A96,'QA Log'!M:M,"QQC",'QA Log'!L:L,"7. Tracer Medicine",'QA Log'!Z:Z,"Approved"),"")</f>
        <v/>
      </c>
      <c r="Q96" s="105" t="str">
        <f>IF(A96&lt;&gt;"",COUNTIFS('QA Log'!D:D,A96,'QA Log'!M:M,"QQC",'QA Log'!L:L,"11. Additional Questions",'QA Log'!Z:Z,"Approved"),"")</f>
        <v/>
      </c>
      <c r="R96" s="102" t="str">
        <f>IF(A96="","",SUM(
COUNTIFS('QA Log'!D:D,A96,'QA Log'!M:M,"QQC",'QA Log'!Z:Z,"Rejected",'QA Log'!L:L,"*8. Maternity*"),
COUNTIFS('QA Log'!D:D,A96,'QA Log'!M:M,"QQC",'QA Log'!Z:Z,"Rejected",'QA Log'!L:L,"*EPI*"),
COUNTIFS('QA Log'!D:D,A96,'QA Log'!M:M,"QQC",'QA Log'!Z:Z,"Rejected",'QA Log'!L:L,"*10. Antenatal Care (ANC)*"),
COUNTIFS('QA Log'!D:D,A96,'QA Log'!M:M,"QQC",'QA Log'!Z:Z,"Rejected",'QA Log'!L:L,"*2. Hygiene and Sterilization*"),
COUNTIFS('QA Log'!D:D,A96,'QA Log'!M:M,"QQC",'QA Log'!Z:Z,"Rejected",'QA Log'!L:L,"*Family Planning*")))</f>
        <v/>
      </c>
      <c r="S96" s="106" t="str">
        <f t="shared" si="1"/>
        <v/>
      </c>
      <c r="T96" s="102" t="str">
        <f t="shared" si="2"/>
        <v/>
      </c>
      <c r="U96" s="102" t="str">
        <f>IF(A96="","",
SUM(
COUNTIFS('QA Log'!D:D,A96,'QA Log'!M:M,"QQC",'QA Log'!L:L,"*8. Maternity*"),
COUNTIFS('QA Log'!D:D,A96,'QA Log'!M:M,"QQC",'QA Log'!L:L,"*9. EPI and Pre-school Consultation*"),
COUNTIFS('QA Log'!D:D,A96,'QA Log'!M:M,"QQC",'QA Log'!L:L,"*10. Antenatal Care (ANC)*"),
COUNTIFS('QA Log'!D:D,A96,'QA Log'!M:M,"QQC",'QA Log'!L:L,"*2. Hygiene and Sterilization*"),
COUNTIFS('QA Log'!D:D,A96,'QA Log'!M:M,"QQC",'QA Log'!L:L,"*4. Family Planning*")
))</f>
        <v/>
      </c>
      <c r="V96" s="102" t="str">
        <f>IF(A96="","",
SUM(
COUNTIFS('QA Log'!D:D,A96,'QA Log'!M:M,"QQC",'QA Log'!Z:Z,"Approved",'QA Log'!L:L,"*8. Maternity*"),
COUNTIFS('QA Log'!D:D,A96,'QA Log'!M:M,"QQC",'QA Log'!Z:Z,"Approved",'QA Log'!L:L,"*9. EPI and Pre-school Consultation*"),
COUNTIFS('QA Log'!D:D,A96,'QA Log'!M:M,"QQC",'QA Log'!Z:Z,"Approved",'QA Log'!L:L,"*10. Antenatal Care (ANC)*"),
COUNTIFS('QA Log'!D:D,A96,'QA Log'!M:M,"QQC",'QA Log'!Z:Z,"Approved",'QA Log'!L:L,"*2. Hygiene and Sterilization*"),
COUNTIFS('QA Log'!D:D,A96,'QA Log'!M:M,"QQC",'QA Log'!Z:Z,"Approved",'QA Log'!L:L,"*4. Family Planning*")
))</f>
        <v/>
      </c>
      <c r="W96" s="105" t="str">
        <f>IF(A96&lt;&gt;"",COUNTIFS('QA Log'!D:D,A96,'QA Log'!M:M,"QQC",'QA Log'!L:L,"8. Maternity",'QA Log'!Z:Z,"Approved"),"")</f>
        <v/>
      </c>
      <c r="X96" s="105" t="str">
        <f>IF(A96&lt;&gt;"",COUNTIFS('QA Log'!D:D,A96,'QA Log'!M:M,"QQC",'QA Log'!L:L,"9. EPI and Pre-school Consultation",'QA Log'!Z:Z,"Approved"),"")</f>
        <v/>
      </c>
      <c r="Y96" s="105" t="str">
        <f>IF(A96&lt;&gt;"",COUNTIFS('QA Log'!D:D,A96,'QA Log'!M:M,"QQC",'QA Log'!L:L,"10. Antenatal Care (ANC)",'QA Log'!Z:Z,"Approved"),"")</f>
        <v/>
      </c>
      <c r="Z96" s="105" t="str">
        <f>IF(A96&lt;&gt;"",COUNTIFS('QA Log'!D:D,A96,'QA Log'!M:M,"QQC",'QA Log'!L:L,"2. Hygiene and Sterilization",'QA Log'!Z:Z,"Approved"),"")</f>
        <v/>
      </c>
      <c r="AA96" s="105" t="str">
        <f>IF(A96&lt;&gt;"",COUNTIFS('QA Log'!D:D,A96,'QA Log'!M:M,"QQC",'QA Log'!L:L,"4. Family Planning",'QA Log'!Z:Z,"Approved"),"")</f>
        <v/>
      </c>
      <c r="AB96" s="102" t="str">
        <f>IF(A96="","",
SUM(
COUNTIFS('QA Log'!D:D,A96,'QA Log'!M:M,"QQC",'QA Log'!Z:Z,"Rejected",'QA Log'!L:L,"*8. Maternity*"),
COUNTIFS('QA Log'!D:D,A96,'QA Log'!M:M,"QQC",'QA Log'!Z:Z,"Rejected",'QA Log'!L:L,"*9. EPI and Pre-school Consultation*"),
COUNTIFS('QA Log'!D:D,A96,'QA Log'!M:M,"QQC",'QA Log'!Z:Z,"Rejected",'QA Log'!L:L,"*10. Antenatal Care (ANC)*"),
COUNTIFS('QA Log'!D:D,A96,'QA Log'!M:M,"QQC",'QA Log'!Z:Z,"Rejected",'QA Log'!L:L,"*2. Hygiene and Sterilization*"),
COUNTIFS('QA Log'!D:D,A96,'QA Log'!M:M,"QQC",'QA Log'!Z:Z,"Rejected",'QA Log'!L:L,"*4. Family Planning*")
))</f>
        <v/>
      </c>
      <c r="AC96" s="102" t="str">
        <f t="shared" si="3"/>
        <v/>
      </c>
      <c r="AD96" s="103" t="str">
        <f t="shared" si="4"/>
        <v/>
      </c>
      <c r="AE96" s="102" t="str">
        <f>IF(A96="","",
SUM(
COUNTIFS('QA Log'!D:D,A96,'QA Log'!M:M,"Data Verification",'QA Log'!L:L,"*Medicine (section 2)*"),
COUNTIFS('QA Log'!D:D,A96,'QA Log'!M:M,"Data Verification",'QA Log'!L:L,"*Lab Testing Availability*"),
COUNTIFS('QA Log'!D:D,A96,'QA Log'!M:M,"Data Verification",'QA Log'!L:L,"*Other than P4P (section 6)*"),
COUNTIFS('QA Log'!D:D,A96,'QA Log'!M:M,"Data Verification",'QA Log'!L:L,"*Hospital Governance*")
))</f>
        <v/>
      </c>
      <c r="AF96" s="102" t="str">
        <f>IF(A96="","",
SUM(
COUNTIFS('QA Log'!D:D,A96,'QA Log'!M:M,"Data Verification",'QA Log'!Z:Z,"Approved",'QA Log'!L:L,"*Medicine (section 2)*"),
COUNTIFS('QA Log'!D:D,A96,'QA Log'!M:M,"Data Verification",'QA Log'!Z:Z,"Approved",'QA Log'!L:L,"*Lab Testing Availability*"),
COUNTIFS('QA Log'!D:D,A96,'QA Log'!M:M,"Data Verification",'QA Log'!Z:Z,"Approved",'QA Log'!L:L,"*Other than P4P (section 6)*"),
COUNTIFS('QA Log'!D:D,A96,'QA Log'!M:M,"Data Verification",'QA Log'!Z:Z,"Approved",'QA Log'!L:L,"*Hospital Governance*")
))</f>
        <v/>
      </c>
      <c r="AG96" s="105" t="str">
        <f>IF(A96&lt;&gt;"",COUNTIFS('QA Log'!D:D,A96,'QA Log'!M:M,"Data Verification",'QA Log'!L:L,"Medicine (section 2)",'QA Log'!Z:Z,"Approved"),"")</f>
        <v/>
      </c>
      <c r="AH96" s="105" t="str">
        <f>IF(A96&lt;&gt;"",COUNTIFS('QA Log'!D:D,A96,'QA Log'!M:M,"Data Verification",'QA Log'!L:L,"Lab Testing Availability",'QA Log'!Z:Z,"Approved"),"")</f>
        <v/>
      </c>
      <c r="AI96" s="105" t="str">
        <f>IF(A96&lt;&gt;"",COUNTIFS('QA Log'!D:D,A96,'QA Log'!M:M,"Data Verification",'QA Log'!L:L,"Other than P4P (section 6)",'QA Log'!Z:Z,"Approved"),"")</f>
        <v/>
      </c>
      <c r="AJ96" s="105" t="str">
        <f>IF(A96&lt;&gt;"",COUNTIFS('QA Log'!D:D,A96,'QA Log'!M:M,"Data Verification",'QA Log'!L:L,"Hospital Governance",'QA Log'!Z:Z,"Approved"),"")</f>
        <v/>
      </c>
      <c r="AK96" s="102" t="str">
        <f>IF(A96="","",
SUM(
COUNTIFS('QA Log'!D:D,A96,'QA Log'!M:M,"Data Verification",'QA Log'!Z:Z,"Rejected",'QA Log'!L:L,"*Medicine (section 2)*"),
COUNTIFS('QA Log'!D:D,A96,'QA Log'!M:M,"Data Verification",'QA Log'!Z:Z,"Rejected",'QA Log'!L:L,"*Lab Testing Availability*"),
COUNTIFS('QA Log'!D:D,A96,'QA Log'!M:M,"Data Verification",'QA Log'!Z:Z,"Rejected",'QA Log'!L:L,"*Other than P4P (section 6)*"),
COUNTIFS('QA Log'!D:D,A96,'QA Log'!M:M,"Data Verification",'QA Log'!Z:Z,"Rejected",'QA Log'!L:L,"*Hospital Governance*")
))</f>
        <v/>
      </c>
      <c r="AL96" s="106" t="str">
        <f t="shared" si="5"/>
        <v/>
      </c>
      <c r="AM96" s="102" t="str">
        <f t="shared" si="6"/>
        <v/>
      </c>
      <c r="AN96" s="102" t="str">
        <f>IF(A96="","",
SUM(
COUNTIFS('QA Log'!D:D,A96,'QA Log'!M:M,"Data Verification",'QA Log'!L:L,"*Personnel (section 1)*"),
COUNTIFS('QA Log'!D:D,A96,'QA Log'!M:M,"Data Verification",'QA Log'!L:L,"*Consumable (section 3)*"),
COUNTIFS('QA Log'!D:D,A96,'QA Log'!M:M,"Data Verification",'QA Log'!L:L,"*Equipments (section 4)*")
))</f>
        <v/>
      </c>
      <c r="AO96" s="102" t="str">
        <f>IF(A96="","",
SUM(
COUNTIFS('QA Log'!D:D,A96,'QA Log'!M:M,"Data Verification",'QA Log'!Z:Z,"Approved",'QA Log'!L:L,"*Personnel (section 1)*"),
COUNTIFS('QA Log'!D:D,A96,'QA Log'!M:M,"Data Verification",'QA Log'!Z:Z,"Approved",'QA Log'!L:L,"*Consumable (section 3)*"),
COUNTIFS('QA Log'!D:D,A96,'QA Log'!M:M,"Data Verification",'QA Log'!Z:Z,"Approved",'QA Log'!L:L,"*Equipments (section 4)*")
))</f>
        <v/>
      </c>
      <c r="AP96" s="105" t="str">
        <f>IF(A96&lt;&gt;"",COUNTIFS('QA Log'!D:D,A96,'QA Log'!M:M,"Data Verification",'QA Log'!L:L,"Personnel (section 1)",'QA Log'!Z:Z,"Approved"),"")</f>
        <v/>
      </c>
      <c r="AQ96" s="105" t="str">
        <f>IF(A96&lt;&gt;"",COUNTIFS('QA Log'!D:D,A96,'QA Log'!M:M,"Data Verification",'QA Log'!L:L,"Consumable (section 3)",'QA Log'!Z:Z,"Approved"),"")</f>
        <v/>
      </c>
      <c r="AR96" s="105" t="str">
        <f>IF(A96&lt;&gt;"",COUNTIFS('QA Log'!D:D,A96,'QA Log'!M:M,"Data Verification",'QA Log'!L:L,"Equipments (section 4)",'QA Log'!Z:Z,"Approved"),"")</f>
        <v/>
      </c>
      <c r="AS96" s="102" t="str">
        <f>IF(A96="","",
SUM(
COUNTIFS('QA Log'!D:D,A96,'QA Log'!M:M,"Data Verification",'QA Log'!Z:Z,"Rejected",'QA Log'!L:L,"*Personnel (section 1)*"),
COUNTIFS('QA Log'!D:D,A96,'QA Log'!M:M,"Data Verification",'QA Log'!Z:Z,"Rejected",'QA Log'!L:L,"*Consumable (section 3)*"),
COUNTIFS('QA Log'!D:D,A96,'QA Log'!M:M,"Data Verification",'QA Log'!Z:Z,"Rejected",'QA Log'!L:L,"*Equipments (section 4)*")
))</f>
        <v/>
      </c>
      <c r="AT96" s="102" t="str">
        <f t="shared" si="7"/>
        <v/>
      </c>
      <c r="AU96" s="103" t="str">
        <f t="shared" si="8"/>
        <v/>
      </c>
      <c r="AV96" s="102" t="str">
        <f>IF(A96="","",SUM(
COUNTIFS('QA Log'!D:D,A96,'QA Log'!M:M,"Vignette",'QA Log'!L:L,"*Vignette [1] Respiratory Infection: Pneumonia*"),
COUNTIFS('QA Log'!D:D,A96,'QA Log'!M:M,"Vignette",'QA Log'!L:L,"*Vignette [2]: Diarrhea with Cat B dehydration*"),
COUNTIFS('QA Log'!D:D,A96,'QA Log'!M:M,"Vignette",'QA Log'!L:L,"*Vignette [3] Growth Monitoring and Promotion*"),
COUNTIFS('QA Log'!D:D,A96,'QA Log'!M:M,"Vignette",'QA Log'!L:L,"*Vignette [4]: The management of presumptive TB patient*")
)
)</f>
        <v/>
      </c>
      <c r="AW96" s="102" t="str">
        <f>IF(
  A96="","",
  SUM(
    COUNTIFS('QA Log'!D:D,A96,'QA Log'!M:M,"Vignette",'QA Log'!Z:Z,"Approved",'QA Log'!L:L,"*Vignette [1] Respiratory Infection: Pneumonia*"),
    COUNTIFS('QA Log'!D:D,A96,'QA Log'!M:M,"Vignette",'QA Log'!Z:Z,"Approved",'QA Log'!L:L,"*Vignette [2]: Diarrhea with Cat B dehydration*"),
    COUNTIFS('QA Log'!D:D,A96,'QA Log'!M:M,"Vignette",'QA Log'!Z:Z,"Approved",'QA Log'!L:L,"*Vignette [3] Growth Monitoring and Promotion*"),
    COUNTIFS('QA Log'!D:D,A96,'QA Log'!M:M,"Vignette",'QA Log'!Z:Z,"Approved",'QA Log'!L:L,"*Vignette [4]: The management of presumptive TB patient*")
  )
)</f>
        <v/>
      </c>
      <c r="AX96" s="105" t="str">
        <f>IF(A96&lt;&gt;"",COUNTIFS('QA Log'!D:D,A96,'QA Log'!M:M,"Vignette",'QA Log'!L:L,"Vignette [1] Respiratory Infection: Pneumonia",'QA Log'!Z:Z,"Approved"),"")</f>
        <v/>
      </c>
      <c r="AY96" s="105" t="str">
        <f>IF(A96&lt;&gt;"",COUNTIFS('QA Log'!D:D,A96,'QA Log'!M:M,"Vignette",'QA Log'!L:L,"Vignette [2]: Diarrhea with Cat B dehydration",'QA Log'!Z:Z,"Approved"),"")</f>
        <v/>
      </c>
      <c r="AZ96" s="105" t="str">
        <f>IF(A96&lt;&gt;"",COUNTIFS('QA Log'!D:D,A96,'QA Log'!M:M,"Vignette",'QA Log'!L:L,"Vignette [3] Growth Monitoring and Promotion",'QA Log'!Z:Z,"Approved"),"")</f>
        <v/>
      </c>
      <c r="BA96" s="105" t="str">
        <f>IF(A96&lt;&gt;"",COUNTIFS('QA Log'!D:D,A96,'QA Log'!M:M,"Vignette",'QA Log'!L:L,"Vignette [4]: The management of presumptive TB patient",'QA Log'!Z:Z,"Approved"),"")</f>
        <v/>
      </c>
      <c r="BB96" s="102" t="str">
        <f>IF(A96="","",
  SUM(
    COUNTIFS('QA Log'!D:D,A96,'QA Log'!M:M,"Vignette",'QA Log'!Z:Z,"Rejected",'QA Log'!L:L,"*Vignette [1] Respiratory Infection: Pneumonia*"),
    COUNTIFS('QA Log'!D:D,A96,'QA Log'!M:M,"Vignette",'QA Log'!Z:Z,"Rejected",'QA Log'!L:L,"*Vignette [2]: Diarrhea with Cat B dehydration*"),
    COUNTIFS('QA Log'!D:D,A96,'QA Log'!M:M,"Vignette",'QA Log'!Z:Z,"Rejected",'QA Log'!L:L,"*Vignette [3] Growth Monitoring and Promotion*"),
    COUNTIFS('QA Log'!D:D,A96,'QA Log'!M:M,"Vignette",'QA Log'!Z:Z,"Rejected",'QA Log'!L:L,"*Vignette [4]: The management of presumptive TB patient*")
  )
)</f>
        <v/>
      </c>
      <c r="BC96" s="107" t="str">
        <f t="shared" si="9"/>
        <v/>
      </c>
      <c r="BD96" s="103" t="str">
        <f t="shared" si="10"/>
        <v/>
      </c>
      <c r="BE96" s="102" t="str">
        <f>IF(A96="","",SUM(
COUNTIFS('QA Log'!D:D,A96,'QA Log'!M:M,"Vignette",'QA Log'!L:L,"*Vignette [5] Labor*"),
COUNTIFS('QA Log'!D:D,A96,'QA Log'!M:M,"Vignette",'QA Log'!L:L,"*Vignette [6] PNC pre Discharge*"),
COUNTIFS('QA Log'!D:D,A96,'QA Log'!M:M,"Vignette",'QA Log'!L:L,"*Vignette [7] First ANC Visit*"),
COUNTIFS('QA Log'!D:D,A96,'QA Log'!M:M,"Vignette",'QA Log'!L:L,"*Vignette [8] Birth Spacing/ Family Planning :  FP Counselling*"),
COUNTIFS('QA Log'!D:D,A96,'QA Log'!M:M,"Vignette",'QA Log'!L:L,"*Vignette [9] Birth Spacing: Change FP method to Injectable*"),
COUNTIFS('QA Log'!D:D,A96,'QA Log'!M:M,"Vignette",'QA Log'!L:L,"*Vignette [10] Post Partum Haemorrhage - Atonic Uterus at Health Centre*"),
)
)</f>
        <v/>
      </c>
      <c r="BF96" s="102" t="str">
        <f>IF(A96="","",
  SUM(
    COUNTIFS('QA Log'!D:D,A96,'QA Log'!M:M,"Vignette",'QA Log'!Z:Z,"Approved",'QA Log'!L:L,"*Vignette [5] Labor*"),
    COUNTIFS('QA Log'!D:D,A96,'QA Log'!M:M,"Vignette",'QA Log'!Z:Z,"Approved",'QA Log'!L:L,"*Vignette [6] PNC pre Discharge*"),
    COUNTIFS('QA Log'!D:D,A96,'QA Log'!M:M,"Vignette",'QA Log'!Z:Z,"Approved",'QA Log'!L:L,"*Vignette [7] First ANC Visit*"),
    COUNTIFS('QA Log'!D:D,A96,'QA Log'!M:M,"Vignette",'QA Log'!Z:Z,"Approved",'QA Log'!L:L,"*Vignette [8] Birth Spacing/ Family Planning :  FP Counselling*"),
    COUNTIFS('QA Log'!D:D,A96,'QA Log'!M:M,"Vignette",'QA Log'!Z:Z,"Approved",'QA Log'!L:L,"*Vignette [9] Birth Spacing: Change FP method to Injectable*"),
    COUNTIFS('QA Log'!D:D,A96,'QA Log'!M:M,"Vignette",'QA Log'!Z:Z,"Approved",'QA Log'!L:L,"*Vignette [10] Post Partum Haemorrhage - Atonic Uterus at Health Centre*")
  )
)</f>
        <v/>
      </c>
      <c r="BG96" s="105" t="str">
        <f>IF(A96&lt;&gt;"",COUNTIFS('QA Log'!D:D,A96,'QA Log'!M:M,"Vignette",'QA Log'!L:L,"Vignette [5] Labor",'QA Log'!Z:Z,"Approved"),"")</f>
        <v/>
      </c>
      <c r="BH96" s="105" t="str">
        <f>IF(A96&lt;&gt;"",COUNTIFS('QA Log'!D:D,A96,'QA Log'!M:M,"Vignette",'QA Log'!L:L,"Vignette [6] PNC pre Discharge",'QA Log'!Z:Z,"Approved"),"")</f>
        <v/>
      </c>
      <c r="BI96" s="105" t="str">
        <f>IF(A96&lt;&gt;"",COUNTIFS('QA Log'!D:D,A96,'QA Log'!M:M,"Vignette",'QA Log'!L:L,"Vignette [7] First ANC Visit",'QA Log'!Z:Z,"Approved"),"")</f>
        <v/>
      </c>
      <c r="BJ96" s="105" t="str">
        <f>IF(A96&lt;&gt;"",COUNTIFS('QA Log'!D:D,A96,'QA Log'!M:M,"Vignette",'QA Log'!L:L,"Vignette [8] Birth Spacing/ Family Planning :  FP Counselling",'QA Log'!Z:Z,"Approved"),"")</f>
        <v/>
      </c>
      <c r="BK96" s="105" t="str">
        <f>IF(A96&lt;&gt;"",COUNTIFS('QA Log'!D:D,A96,'QA Log'!M:M,"Vignette",'QA Log'!L:L,"Vignette [9] Birth Spacing: Change FP method to Injectable",'QA Log'!Z:Z,"Approved"),"")</f>
        <v/>
      </c>
      <c r="BL96" s="105" t="str">
        <f>IF(A96&lt;&gt;"",COUNTIFS('QA Log'!D:D,A96,'QA Log'!M:M,"Vignette",'QA Log'!L:L,"Vignette [10] Post Partum Haemorrhage - Atonic Uterus at Health Centre",'QA Log'!Z:Z,"Approved"),"")</f>
        <v/>
      </c>
      <c r="BM96" s="102" t="str">
        <f>IF(A96="","",SUM(
    COUNTIFS('QA Log'!D:D,A96,'QA Log'!M:M,"Vignette",'QA Log'!Z:Z,"Rejected",'QA Log'!L:L,"*Vignette [5] Labor*"),
    COUNTIFS('QA Log'!D:D,A96,'QA Log'!M:M,"Vignette",'QA Log'!Z:Z,"Rejected",'QA Log'!L:L,"*Vignette [6] PNC pre Discharge*"),
    COUNTIFS('QA Log'!D:D,A96,'QA Log'!M:M,"Vignette",'QA Log'!Z:Z,"Rejected",'QA Log'!L:L,"*Vignette [7] First ANC Visit*"),
    COUNTIFS('QA Log'!D:D,A96,'QA Log'!M:M,"Vignette",'QA Log'!Z:Z,"Rejected",'QA Log'!L:L,"*Vignette [8] Birth Spacing/ Family Planning :  FP Counselling*"),
    COUNTIFS('QA Log'!D:D,A96,'QA Log'!M:M,"Vignette",'QA Log'!Z:Z,"Rejected",'QA Log'!L:L,"*Vignette [9] Birth Spacing: Change FP method to Injectable*"),
    COUNTIFS('QA Log'!D:D,A96,'QA Log'!M:M,"Vignette",'QA Log'!Z:Z,"Rejected",'QA Log'!L:L,"*Vignette [10] Post Partum Haemorrhage - Atonic Uterus at Health Centre*")
  )
)</f>
        <v/>
      </c>
      <c r="BN96" s="107" t="str">
        <f t="shared" si="11"/>
        <v/>
      </c>
      <c r="BO96" s="103" t="str">
        <f t="shared" si="12"/>
        <v/>
      </c>
      <c r="BP96" s="102" t="str">
        <f>IF(A96="","",SUM(
COUNTIFS('QA Log'!D:D,A96,'QA Log'!M:M,"Vignette",'QA Log'!L:L,"*Exit Interview 1*"),
COUNTIFS('QA Log'!D:D,A96,'QA Log'!M:M,"Vignette",'QA Log'!L:L,"*Exit Interview 2*"),
)
)</f>
        <v/>
      </c>
      <c r="BQ96" s="102" t="str">
        <f>IF(
  A96="","",
  SUM(
    COUNTIFS('QA Log'!D:D,A96,'QA Log'!M:M,"Vignette",'QA Log'!Z:Z,"Approved",'QA Log'!L:L,"*Exit Interview 1*"),
    COUNTIFS('QA Log'!D:D,A96,'QA Log'!M:M,"Vignette",'QA Log'!Z:Z,"Approved",'QA Log'!L:L,"*Exit Interview 2*")
  )
)</f>
        <v/>
      </c>
      <c r="BR96" s="105" t="str">
        <f>IF(A96&lt;&gt;"",COUNTIFS('QA Log'!D:D,A96,'QA Log'!M:M,"Vignette",'QA Log'!L:L,"Exit Interview 1",'QA Log'!Z:Z,"Approved"),"")</f>
        <v/>
      </c>
      <c r="BS96" s="105" t="str">
        <f>IF(A96&lt;&gt;"",COUNTIFS('QA Log'!D:D,A96,'QA Log'!M:M,"Vignette",'QA Log'!L:L,"Exit Interview 2",'QA Log'!Z:Z,"Approved"),"")</f>
        <v/>
      </c>
      <c r="BT96" s="102" t="str">
        <f>IF(
  A96="","",
  SUM(
    COUNTIFS('QA Log'!D:D,A96,'QA Log'!M:M,"Vignette",'QA Log'!Z:Z,"Rejected",'QA Log'!L:L,"*Exit Interview 1*"),
    COUNTIFS('QA Log'!D:D,A96,'QA Log'!M:M,"Vignette",'QA Log'!Z:Z,"Rejected",'QA Log'!L:L,"*Exit Interview 2*")
  )
)</f>
        <v/>
      </c>
      <c r="BU96" s="107" t="str">
        <f t="shared" si="13"/>
        <v/>
      </c>
      <c r="BV96" s="102" t="str">
        <f t="shared" si="14"/>
        <v/>
      </c>
      <c r="BW96" s="102" t="str">
        <f t="shared" si="15"/>
        <v/>
      </c>
      <c r="BX96" s="102" t="str">
        <f t="shared" si="16"/>
        <v/>
      </c>
      <c r="BY96" s="102" t="str">
        <f t="shared" si="17"/>
        <v/>
      </c>
      <c r="BZ96" s="107" t="str">
        <f t="shared" si="18"/>
        <v/>
      </c>
      <c r="CA96" s="108" t="str">
        <f t="shared" si="19"/>
        <v/>
      </c>
      <c r="CB96" s="108" t="str">
        <f t="shared" si="20"/>
        <v/>
      </c>
      <c r="CC96" s="109" t="str">
        <f t="shared" si="21"/>
        <v/>
      </c>
      <c r="CD96" s="108" t="str">
        <f t="shared" si="22"/>
        <v/>
      </c>
      <c r="CE96" s="108" t="str">
        <f t="shared" si="23"/>
        <v/>
      </c>
      <c r="CF96" s="109" t="str">
        <f t="shared" si="24"/>
        <v/>
      </c>
      <c r="CG96" s="110" t="str">
        <f t="shared" si="25"/>
        <v/>
      </c>
      <c r="CH96" s="111"/>
    </row>
    <row r="97" spans="1:86" ht="12.75">
      <c r="A97" s="101"/>
      <c r="B97" s="102" t="e">
        <f t="array" aca="1" ref="B97" ca="1">_xludf.XLOOKUP(A97,'QA Log'!D:D,'QA Log'!E:E,"")</f>
        <v>#NAME?</v>
      </c>
      <c r="C97" s="102" t="e">
        <f t="array" aca="1" ref="C97" ca="1">_xludf.XLOOKUP(A97,'QA Log'!D:D,'QA Log'!F:F,"")</f>
        <v>#NAME?</v>
      </c>
      <c r="D97" s="102" t="e">
        <f t="array" aca="1" ref="D97" ca="1">_xludf.XLOOKUP(A97,'QA Log'!D:D,'QA Log'!H:H,"")</f>
        <v>#NAME?</v>
      </c>
      <c r="E97" s="102" t="e">
        <f t="array" aca="1" ref="E97" ca="1">_xludf.XLOOKUP(A97,'QA Log'!D:D,'QA Log'!G:G,"")</f>
        <v>#NAME?</v>
      </c>
      <c r="F97" s="103"/>
      <c r="G97" s="104"/>
      <c r="H97" s="104"/>
      <c r="I97" s="103" t="str">
        <f t="shared" si="0"/>
        <v/>
      </c>
      <c r="J97" s="102" t="str">
        <f>IF(A97="","",SUM(
COUNTIFS('QA Log'!D:D,A97,'QA Log'!M:M,"QQC",'QA Log'!L:L,"*1. General Management*"),
COUNTIFS('QA Log'!D:D,A97,'QA Log'!M:M,"QQC",'QA Log'!L:L,"*3. Curative Consultation (OPD)*"),
COUNTIFS('QA Log'!D:D,A97,'QA Log'!M:M,"QQC",'QA Log'!L:L,"*5. Laboratory*"),
COUNTIFS('QA Log'!D:D,A97,'QA Log'!M:M,"QQC",'QA Log'!L:L,"*6. Essential Medicine Management*"),
COUNTIFS('QA Log'!D:D,A97,'QA Log'!M:M,"QQC",'QA Log'!L:L,"*7. Tracer Medicine*"),
COUNTIFS('QA Log'!D:D,A97,'QA Log'!M:M,"QQC",'QA Log'!L:L,"*11. Additional Questions*")))</f>
        <v/>
      </c>
      <c r="K97" s="102" t="str">
        <f>IF(A97="","",SUM(
COUNTIFS('QA Log'!D:D,A97,'QA Log'!M:M,"QQC",'QA Log'!Z:Z,"Approved",'QA Log'!L:L,"*1. General Management*"),
COUNTIFS('QA Log'!D:D,A97,'QA Log'!M:M,"QQC",'QA Log'!Z:Z,"Approved",'QA Log'!L:L,"*3. Curative Consultation (OPD)*"),
COUNTIFS('QA Log'!D:D,A97,'QA Log'!M:M,"QQC",'QA Log'!Z:Z,"Approved",'QA Log'!L:L,"*5. Laboratory*"),
COUNTIFS('QA Log'!D:D,A97,'QA Log'!M:M,"QQC",'QA Log'!Z:Z,"Approved",'QA Log'!L:L,"*6. Essential Medicine Management*"),
COUNTIFS('QA Log'!D:D,A97,'QA Log'!M:M,"QQC",'QA Log'!Z:Z,"Approved",'QA Log'!L:L,"*7. Tracer Medicine*"),
COUNTIFS('QA Log'!D:D,A97,'QA Log'!M:M,"QQC",'QA Log'!Z:Z,"Approved",'QA Log'!L:L,"*11. Additional Questions*")))</f>
        <v/>
      </c>
      <c r="L97" s="105" t="str">
        <f>IF(A97&lt;&gt;"",COUNTIFS('QA Log'!D:D,A97,'QA Log'!M:M,"QQC",'QA Log'!L:L,"1. General Management",'QA Log'!Z:Z,"Approved"),"")</f>
        <v/>
      </c>
      <c r="M97" s="105" t="str">
        <f>IF(A97&lt;&gt;"",COUNTIFS('QA Log'!D:D,A97,'QA Log'!M:M,"QQC",'QA Log'!L:L,"3. Curative Consultation (OPD)",'QA Log'!Z:Z,"Approved"),"")</f>
        <v/>
      </c>
      <c r="N97" s="105" t="str">
        <f>IF(A97&lt;&gt;"",COUNTIFS('QA Log'!D:D,A97,'QA Log'!M:M,"QQC",'QA Log'!L:L,"5. Laboratory",'QA Log'!Z:Z,"Approved"),"")</f>
        <v/>
      </c>
      <c r="O97" s="105" t="str">
        <f>IF(A97&lt;&gt;"",COUNTIFS('QA Log'!D:D,A97,'QA Log'!M:M,"QQC",'QA Log'!L:L,"6. Essential Medicine Management",'QA Log'!Z:Z,"Approved"),"")</f>
        <v/>
      </c>
      <c r="P97" s="105" t="str">
        <f>IF(A97&lt;&gt;"",COUNTIFS('QA Log'!D:D,A97,'QA Log'!M:M,"QQC",'QA Log'!L:L,"7. Tracer Medicine",'QA Log'!Z:Z,"Approved"),"")</f>
        <v/>
      </c>
      <c r="Q97" s="105" t="str">
        <f>IF(A97&lt;&gt;"",COUNTIFS('QA Log'!D:D,A97,'QA Log'!M:M,"QQC",'QA Log'!L:L,"11. Additional Questions",'QA Log'!Z:Z,"Approved"),"")</f>
        <v/>
      </c>
      <c r="R97" s="102" t="str">
        <f>IF(A97="","",SUM(
COUNTIFS('QA Log'!D:D,A97,'QA Log'!M:M,"QQC",'QA Log'!Z:Z,"Rejected",'QA Log'!L:L,"*8. Maternity*"),
COUNTIFS('QA Log'!D:D,A97,'QA Log'!M:M,"QQC",'QA Log'!Z:Z,"Rejected",'QA Log'!L:L,"*EPI*"),
COUNTIFS('QA Log'!D:D,A97,'QA Log'!M:M,"QQC",'QA Log'!Z:Z,"Rejected",'QA Log'!L:L,"*10. Antenatal Care (ANC)*"),
COUNTIFS('QA Log'!D:D,A97,'QA Log'!M:M,"QQC",'QA Log'!Z:Z,"Rejected",'QA Log'!L:L,"*2. Hygiene and Sterilization*"),
COUNTIFS('QA Log'!D:D,A97,'QA Log'!M:M,"QQC",'QA Log'!Z:Z,"Rejected",'QA Log'!L:L,"*Family Planning*")))</f>
        <v/>
      </c>
      <c r="S97" s="106" t="str">
        <f t="shared" si="1"/>
        <v/>
      </c>
      <c r="T97" s="102" t="str">
        <f t="shared" si="2"/>
        <v/>
      </c>
      <c r="U97" s="102" t="str">
        <f>IF(A97="","",
SUM(
COUNTIFS('QA Log'!D:D,A97,'QA Log'!M:M,"QQC",'QA Log'!L:L,"*8. Maternity*"),
COUNTIFS('QA Log'!D:D,A97,'QA Log'!M:M,"QQC",'QA Log'!L:L,"*9. EPI and Pre-school Consultation*"),
COUNTIFS('QA Log'!D:D,A97,'QA Log'!M:M,"QQC",'QA Log'!L:L,"*10. Antenatal Care (ANC)*"),
COUNTIFS('QA Log'!D:D,A97,'QA Log'!M:M,"QQC",'QA Log'!L:L,"*2. Hygiene and Sterilization*"),
COUNTIFS('QA Log'!D:D,A97,'QA Log'!M:M,"QQC",'QA Log'!L:L,"*4. Family Planning*")
))</f>
        <v/>
      </c>
      <c r="V97" s="102" t="str">
        <f>IF(A97="","",
SUM(
COUNTIFS('QA Log'!D:D,A97,'QA Log'!M:M,"QQC",'QA Log'!Z:Z,"Approved",'QA Log'!L:L,"*8. Maternity*"),
COUNTIFS('QA Log'!D:D,A97,'QA Log'!M:M,"QQC",'QA Log'!Z:Z,"Approved",'QA Log'!L:L,"*9. EPI and Pre-school Consultation*"),
COUNTIFS('QA Log'!D:D,A97,'QA Log'!M:M,"QQC",'QA Log'!Z:Z,"Approved",'QA Log'!L:L,"*10. Antenatal Care (ANC)*"),
COUNTIFS('QA Log'!D:D,A97,'QA Log'!M:M,"QQC",'QA Log'!Z:Z,"Approved",'QA Log'!L:L,"*2. Hygiene and Sterilization*"),
COUNTIFS('QA Log'!D:D,A97,'QA Log'!M:M,"QQC",'QA Log'!Z:Z,"Approved",'QA Log'!L:L,"*4. Family Planning*")
))</f>
        <v/>
      </c>
      <c r="W97" s="105" t="str">
        <f>IF(A97&lt;&gt;"",COUNTIFS('QA Log'!D:D,A97,'QA Log'!M:M,"QQC",'QA Log'!L:L,"8. Maternity",'QA Log'!Z:Z,"Approved"),"")</f>
        <v/>
      </c>
      <c r="X97" s="105" t="str">
        <f>IF(A97&lt;&gt;"",COUNTIFS('QA Log'!D:D,A97,'QA Log'!M:M,"QQC",'QA Log'!L:L,"9. EPI and Pre-school Consultation",'QA Log'!Z:Z,"Approved"),"")</f>
        <v/>
      </c>
      <c r="Y97" s="105" t="str">
        <f>IF(A97&lt;&gt;"",COUNTIFS('QA Log'!D:D,A97,'QA Log'!M:M,"QQC",'QA Log'!L:L,"10. Antenatal Care (ANC)",'QA Log'!Z:Z,"Approved"),"")</f>
        <v/>
      </c>
      <c r="Z97" s="105" t="str">
        <f>IF(A97&lt;&gt;"",COUNTIFS('QA Log'!D:D,A97,'QA Log'!M:M,"QQC",'QA Log'!L:L,"2. Hygiene and Sterilization",'QA Log'!Z:Z,"Approved"),"")</f>
        <v/>
      </c>
      <c r="AA97" s="105" t="str">
        <f>IF(A97&lt;&gt;"",COUNTIFS('QA Log'!D:D,A97,'QA Log'!M:M,"QQC",'QA Log'!L:L,"4. Family Planning",'QA Log'!Z:Z,"Approved"),"")</f>
        <v/>
      </c>
      <c r="AB97" s="102" t="str">
        <f>IF(A97="","",
SUM(
COUNTIFS('QA Log'!D:D,A97,'QA Log'!M:M,"QQC",'QA Log'!Z:Z,"Rejected",'QA Log'!L:L,"*8. Maternity*"),
COUNTIFS('QA Log'!D:D,A97,'QA Log'!M:M,"QQC",'QA Log'!Z:Z,"Rejected",'QA Log'!L:L,"*9. EPI and Pre-school Consultation*"),
COUNTIFS('QA Log'!D:D,A97,'QA Log'!M:M,"QQC",'QA Log'!Z:Z,"Rejected",'QA Log'!L:L,"*10. Antenatal Care (ANC)*"),
COUNTIFS('QA Log'!D:D,A97,'QA Log'!M:M,"QQC",'QA Log'!Z:Z,"Rejected",'QA Log'!L:L,"*2. Hygiene and Sterilization*"),
COUNTIFS('QA Log'!D:D,A97,'QA Log'!M:M,"QQC",'QA Log'!Z:Z,"Rejected",'QA Log'!L:L,"*4. Family Planning*")
))</f>
        <v/>
      </c>
      <c r="AC97" s="102" t="str">
        <f t="shared" si="3"/>
        <v/>
      </c>
      <c r="AD97" s="103" t="str">
        <f t="shared" si="4"/>
        <v/>
      </c>
      <c r="AE97" s="102" t="str">
        <f>IF(A97="","",
SUM(
COUNTIFS('QA Log'!D:D,A97,'QA Log'!M:M,"Data Verification",'QA Log'!L:L,"*Medicine (section 2)*"),
COUNTIFS('QA Log'!D:D,A97,'QA Log'!M:M,"Data Verification",'QA Log'!L:L,"*Lab Testing Availability*"),
COUNTIFS('QA Log'!D:D,A97,'QA Log'!M:M,"Data Verification",'QA Log'!L:L,"*Other than P4P (section 6)*"),
COUNTIFS('QA Log'!D:D,A97,'QA Log'!M:M,"Data Verification",'QA Log'!L:L,"*Hospital Governance*")
))</f>
        <v/>
      </c>
      <c r="AF97" s="102" t="str">
        <f>IF(A97="","",
SUM(
COUNTIFS('QA Log'!D:D,A97,'QA Log'!M:M,"Data Verification",'QA Log'!Z:Z,"Approved",'QA Log'!L:L,"*Medicine (section 2)*"),
COUNTIFS('QA Log'!D:D,A97,'QA Log'!M:M,"Data Verification",'QA Log'!Z:Z,"Approved",'QA Log'!L:L,"*Lab Testing Availability*"),
COUNTIFS('QA Log'!D:D,A97,'QA Log'!M:M,"Data Verification",'QA Log'!Z:Z,"Approved",'QA Log'!L:L,"*Other than P4P (section 6)*"),
COUNTIFS('QA Log'!D:D,A97,'QA Log'!M:M,"Data Verification",'QA Log'!Z:Z,"Approved",'QA Log'!L:L,"*Hospital Governance*")
))</f>
        <v/>
      </c>
      <c r="AG97" s="105" t="str">
        <f>IF(A97&lt;&gt;"",COUNTIFS('QA Log'!D:D,A97,'QA Log'!M:M,"Data Verification",'QA Log'!L:L,"Medicine (section 2)",'QA Log'!Z:Z,"Approved"),"")</f>
        <v/>
      </c>
      <c r="AH97" s="105" t="str">
        <f>IF(A97&lt;&gt;"",COUNTIFS('QA Log'!D:D,A97,'QA Log'!M:M,"Data Verification",'QA Log'!L:L,"Lab Testing Availability",'QA Log'!Z:Z,"Approved"),"")</f>
        <v/>
      </c>
      <c r="AI97" s="105" t="str">
        <f>IF(A97&lt;&gt;"",COUNTIFS('QA Log'!D:D,A97,'QA Log'!M:M,"Data Verification",'QA Log'!L:L,"Other than P4P (section 6)",'QA Log'!Z:Z,"Approved"),"")</f>
        <v/>
      </c>
      <c r="AJ97" s="105" t="str">
        <f>IF(A97&lt;&gt;"",COUNTIFS('QA Log'!D:D,A97,'QA Log'!M:M,"Data Verification",'QA Log'!L:L,"Hospital Governance",'QA Log'!Z:Z,"Approved"),"")</f>
        <v/>
      </c>
      <c r="AK97" s="102" t="str">
        <f>IF(A97="","",
SUM(
COUNTIFS('QA Log'!D:D,A97,'QA Log'!M:M,"Data Verification",'QA Log'!Z:Z,"Rejected",'QA Log'!L:L,"*Medicine (section 2)*"),
COUNTIFS('QA Log'!D:D,A97,'QA Log'!M:M,"Data Verification",'QA Log'!Z:Z,"Rejected",'QA Log'!L:L,"*Lab Testing Availability*"),
COUNTIFS('QA Log'!D:D,A97,'QA Log'!M:M,"Data Verification",'QA Log'!Z:Z,"Rejected",'QA Log'!L:L,"*Other than P4P (section 6)*"),
COUNTIFS('QA Log'!D:D,A97,'QA Log'!M:M,"Data Verification",'QA Log'!Z:Z,"Rejected",'QA Log'!L:L,"*Hospital Governance*")
))</f>
        <v/>
      </c>
      <c r="AL97" s="106" t="str">
        <f t="shared" si="5"/>
        <v/>
      </c>
      <c r="AM97" s="102" t="str">
        <f t="shared" si="6"/>
        <v/>
      </c>
      <c r="AN97" s="102" t="str">
        <f>IF(A97="","",
SUM(
COUNTIFS('QA Log'!D:D,A97,'QA Log'!M:M,"Data Verification",'QA Log'!L:L,"*Personnel (section 1)*"),
COUNTIFS('QA Log'!D:D,A97,'QA Log'!M:M,"Data Verification",'QA Log'!L:L,"*Consumable (section 3)*"),
COUNTIFS('QA Log'!D:D,A97,'QA Log'!M:M,"Data Verification",'QA Log'!L:L,"*Equipments (section 4)*")
))</f>
        <v/>
      </c>
      <c r="AO97" s="102" t="str">
        <f>IF(A97="","",
SUM(
COUNTIFS('QA Log'!D:D,A97,'QA Log'!M:M,"Data Verification",'QA Log'!Z:Z,"Approved",'QA Log'!L:L,"*Personnel (section 1)*"),
COUNTIFS('QA Log'!D:D,A97,'QA Log'!M:M,"Data Verification",'QA Log'!Z:Z,"Approved",'QA Log'!L:L,"*Consumable (section 3)*"),
COUNTIFS('QA Log'!D:D,A97,'QA Log'!M:M,"Data Verification",'QA Log'!Z:Z,"Approved",'QA Log'!L:L,"*Equipments (section 4)*")
))</f>
        <v/>
      </c>
      <c r="AP97" s="105" t="str">
        <f>IF(A97&lt;&gt;"",COUNTIFS('QA Log'!D:D,A97,'QA Log'!M:M,"Data Verification",'QA Log'!L:L,"Personnel (section 1)",'QA Log'!Z:Z,"Approved"),"")</f>
        <v/>
      </c>
      <c r="AQ97" s="105" t="str">
        <f>IF(A97&lt;&gt;"",COUNTIFS('QA Log'!D:D,A97,'QA Log'!M:M,"Data Verification",'QA Log'!L:L,"Consumable (section 3)",'QA Log'!Z:Z,"Approved"),"")</f>
        <v/>
      </c>
      <c r="AR97" s="105" t="str">
        <f>IF(A97&lt;&gt;"",COUNTIFS('QA Log'!D:D,A97,'QA Log'!M:M,"Data Verification",'QA Log'!L:L,"Equipments (section 4)",'QA Log'!Z:Z,"Approved"),"")</f>
        <v/>
      </c>
      <c r="AS97" s="102" t="str">
        <f>IF(A97="","",
SUM(
COUNTIFS('QA Log'!D:D,A97,'QA Log'!M:M,"Data Verification",'QA Log'!Z:Z,"Rejected",'QA Log'!L:L,"*Personnel (section 1)*"),
COUNTIFS('QA Log'!D:D,A97,'QA Log'!M:M,"Data Verification",'QA Log'!Z:Z,"Rejected",'QA Log'!L:L,"*Consumable (section 3)*"),
COUNTIFS('QA Log'!D:D,A97,'QA Log'!M:M,"Data Verification",'QA Log'!Z:Z,"Rejected",'QA Log'!L:L,"*Equipments (section 4)*")
))</f>
        <v/>
      </c>
      <c r="AT97" s="102" t="str">
        <f t="shared" si="7"/>
        <v/>
      </c>
      <c r="AU97" s="103" t="str">
        <f t="shared" si="8"/>
        <v/>
      </c>
      <c r="AV97" s="102" t="str">
        <f>IF(A97="","",SUM(
COUNTIFS('QA Log'!D:D,A97,'QA Log'!M:M,"Vignette",'QA Log'!L:L,"*Vignette [1] Respiratory Infection: Pneumonia*"),
COUNTIFS('QA Log'!D:D,A97,'QA Log'!M:M,"Vignette",'QA Log'!L:L,"*Vignette [2]: Diarrhea with Cat B dehydration*"),
COUNTIFS('QA Log'!D:D,A97,'QA Log'!M:M,"Vignette",'QA Log'!L:L,"*Vignette [3] Growth Monitoring and Promotion*"),
COUNTIFS('QA Log'!D:D,A97,'QA Log'!M:M,"Vignette",'QA Log'!L:L,"*Vignette [4]: The management of presumptive TB patient*")
)
)</f>
        <v/>
      </c>
      <c r="AW97" s="102" t="str">
        <f>IF(
  A97="","",
  SUM(
    COUNTIFS('QA Log'!D:D,A97,'QA Log'!M:M,"Vignette",'QA Log'!Z:Z,"Approved",'QA Log'!L:L,"*Vignette [1] Respiratory Infection: Pneumonia*"),
    COUNTIFS('QA Log'!D:D,A97,'QA Log'!M:M,"Vignette",'QA Log'!Z:Z,"Approved",'QA Log'!L:L,"*Vignette [2]: Diarrhea with Cat B dehydration*"),
    COUNTIFS('QA Log'!D:D,A97,'QA Log'!M:M,"Vignette",'QA Log'!Z:Z,"Approved",'QA Log'!L:L,"*Vignette [3] Growth Monitoring and Promotion*"),
    COUNTIFS('QA Log'!D:D,A97,'QA Log'!M:M,"Vignette",'QA Log'!Z:Z,"Approved",'QA Log'!L:L,"*Vignette [4]: The management of presumptive TB patient*")
  )
)</f>
        <v/>
      </c>
      <c r="AX97" s="105" t="str">
        <f>IF(A97&lt;&gt;"",COUNTIFS('QA Log'!D:D,A97,'QA Log'!M:M,"Vignette",'QA Log'!L:L,"Vignette [1] Respiratory Infection: Pneumonia",'QA Log'!Z:Z,"Approved"),"")</f>
        <v/>
      </c>
      <c r="AY97" s="105" t="str">
        <f>IF(A97&lt;&gt;"",COUNTIFS('QA Log'!D:D,A97,'QA Log'!M:M,"Vignette",'QA Log'!L:L,"Vignette [2]: Diarrhea with Cat B dehydration",'QA Log'!Z:Z,"Approved"),"")</f>
        <v/>
      </c>
      <c r="AZ97" s="105" t="str">
        <f>IF(A97&lt;&gt;"",COUNTIFS('QA Log'!D:D,A97,'QA Log'!M:M,"Vignette",'QA Log'!L:L,"Vignette [3] Growth Monitoring and Promotion",'QA Log'!Z:Z,"Approved"),"")</f>
        <v/>
      </c>
      <c r="BA97" s="105" t="str">
        <f>IF(A97&lt;&gt;"",COUNTIFS('QA Log'!D:D,A97,'QA Log'!M:M,"Vignette",'QA Log'!L:L,"Vignette [4]: The management of presumptive TB patient",'QA Log'!Z:Z,"Approved"),"")</f>
        <v/>
      </c>
      <c r="BB97" s="102" t="str">
        <f>IF(A97="","",
  SUM(
    COUNTIFS('QA Log'!D:D,A97,'QA Log'!M:M,"Vignette",'QA Log'!Z:Z,"Rejected",'QA Log'!L:L,"*Vignette [1] Respiratory Infection: Pneumonia*"),
    COUNTIFS('QA Log'!D:D,A97,'QA Log'!M:M,"Vignette",'QA Log'!Z:Z,"Rejected",'QA Log'!L:L,"*Vignette [2]: Diarrhea with Cat B dehydration*"),
    COUNTIFS('QA Log'!D:D,A97,'QA Log'!M:M,"Vignette",'QA Log'!Z:Z,"Rejected",'QA Log'!L:L,"*Vignette [3] Growth Monitoring and Promotion*"),
    COUNTIFS('QA Log'!D:D,A97,'QA Log'!M:M,"Vignette",'QA Log'!Z:Z,"Rejected",'QA Log'!L:L,"*Vignette [4]: The management of presumptive TB patient*")
  )
)</f>
        <v/>
      </c>
      <c r="BC97" s="107" t="str">
        <f t="shared" si="9"/>
        <v/>
      </c>
      <c r="BD97" s="103" t="str">
        <f t="shared" si="10"/>
        <v/>
      </c>
      <c r="BE97" s="102" t="str">
        <f>IF(A97="","",SUM(
COUNTIFS('QA Log'!D:D,A97,'QA Log'!M:M,"Vignette",'QA Log'!L:L,"*Vignette [5] Labor*"),
COUNTIFS('QA Log'!D:D,A97,'QA Log'!M:M,"Vignette",'QA Log'!L:L,"*Vignette [6] PNC pre Discharge*"),
COUNTIFS('QA Log'!D:D,A97,'QA Log'!M:M,"Vignette",'QA Log'!L:L,"*Vignette [7] First ANC Visit*"),
COUNTIFS('QA Log'!D:D,A97,'QA Log'!M:M,"Vignette",'QA Log'!L:L,"*Vignette [8] Birth Spacing/ Family Planning :  FP Counselling*"),
COUNTIFS('QA Log'!D:D,A97,'QA Log'!M:M,"Vignette",'QA Log'!L:L,"*Vignette [9] Birth Spacing: Change FP method to Injectable*"),
COUNTIFS('QA Log'!D:D,A97,'QA Log'!M:M,"Vignette",'QA Log'!L:L,"*Vignette [10] Post Partum Haemorrhage - Atonic Uterus at Health Centre*"),
)
)</f>
        <v/>
      </c>
      <c r="BF97" s="102" t="str">
        <f>IF(A97="","",
  SUM(
    COUNTIFS('QA Log'!D:D,A97,'QA Log'!M:M,"Vignette",'QA Log'!Z:Z,"Approved",'QA Log'!L:L,"*Vignette [5] Labor*"),
    COUNTIFS('QA Log'!D:D,A97,'QA Log'!M:M,"Vignette",'QA Log'!Z:Z,"Approved",'QA Log'!L:L,"*Vignette [6] PNC pre Discharge*"),
    COUNTIFS('QA Log'!D:D,A97,'QA Log'!M:M,"Vignette",'QA Log'!Z:Z,"Approved",'QA Log'!L:L,"*Vignette [7] First ANC Visit*"),
    COUNTIFS('QA Log'!D:D,A97,'QA Log'!M:M,"Vignette",'QA Log'!Z:Z,"Approved",'QA Log'!L:L,"*Vignette [8] Birth Spacing/ Family Planning :  FP Counselling*"),
    COUNTIFS('QA Log'!D:D,A97,'QA Log'!M:M,"Vignette",'QA Log'!Z:Z,"Approved",'QA Log'!L:L,"*Vignette [9] Birth Spacing: Change FP method to Injectable*"),
    COUNTIFS('QA Log'!D:D,A97,'QA Log'!M:M,"Vignette",'QA Log'!Z:Z,"Approved",'QA Log'!L:L,"*Vignette [10] Post Partum Haemorrhage - Atonic Uterus at Health Centre*")
  )
)</f>
        <v/>
      </c>
      <c r="BG97" s="105" t="str">
        <f>IF(A97&lt;&gt;"",COUNTIFS('QA Log'!D:D,A97,'QA Log'!M:M,"Vignette",'QA Log'!L:L,"Vignette [5] Labor",'QA Log'!Z:Z,"Approved"),"")</f>
        <v/>
      </c>
      <c r="BH97" s="105" t="str">
        <f>IF(A97&lt;&gt;"",COUNTIFS('QA Log'!D:D,A97,'QA Log'!M:M,"Vignette",'QA Log'!L:L,"Vignette [6] PNC pre Discharge",'QA Log'!Z:Z,"Approved"),"")</f>
        <v/>
      </c>
      <c r="BI97" s="105" t="str">
        <f>IF(A97&lt;&gt;"",COUNTIFS('QA Log'!D:D,A97,'QA Log'!M:M,"Vignette",'QA Log'!L:L,"Vignette [7] First ANC Visit",'QA Log'!Z:Z,"Approved"),"")</f>
        <v/>
      </c>
      <c r="BJ97" s="105" t="str">
        <f>IF(A97&lt;&gt;"",COUNTIFS('QA Log'!D:D,A97,'QA Log'!M:M,"Vignette",'QA Log'!L:L,"Vignette [8] Birth Spacing/ Family Planning :  FP Counselling",'QA Log'!Z:Z,"Approved"),"")</f>
        <v/>
      </c>
      <c r="BK97" s="105" t="str">
        <f>IF(A97&lt;&gt;"",COUNTIFS('QA Log'!D:D,A97,'QA Log'!M:M,"Vignette",'QA Log'!L:L,"Vignette [9] Birth Spacing: Change FP method to Injectable",'QA Log'!Z:Z,"Approved"),"")</f>
        <v/>
      </c>
      <c r="BL97" s="105" t="str">
        <f>IF(A97&lt;&gt;"",COUNTIFS('QA Log'!D:D,A97,'QA Log'!M:M,"Vignette",'QA Log'!L:L,"Vignette [10] Post Partum Haemorrhage - Atonic Uterus at Health Centre",'QA Log'!Z:Z,"Approved"),"")</f>
        <v/>
      </c>
      <c r="BM97" s="102" t="str">
        <f>IF(A97="","",SUM(
    COUNTIFS('QA Log'!D:D,A97,'QA Log'!M:M,"Vignette",'QA Log'!Z:Z,"Rejected",'QA Log'!L:L,"*Vignette [5] Labor*"),
    COUNTIFS('QA Log'!D:D,A97,'QA Log'!M:M,"Vignette",'QA Log'!Z:Z,"Rejected",'QA Log'!L:L,"*Vignette [6] PNC pre Discharge*"),
    COUNTIFS('QA Log'!D:D,A97,'QA Log'!M:M,"Vignette",'QA Log'!Z:Z,"Rejected",'QA Log'!L:L,"*Vignette [7] First ANC Visit*"),
    COUNTIFS('QA Log'!D:D,A97,'QA Log'!M:M,"Vignette",'QA Log'!Z:Z,"Rejected",'QA Log'!L:L,"*Vignette [8] Birth Spacing/ Family Planning :  FP Counselling*"),
    COUNTIFS('QA Log'!D:D,A97,'QA Log'!M:M,"Vignette",'QA Log'!Z:Z,"Rejected",'QA Log'!L:L,"*Vignette [9] Birth Spacing: Change FP method to Injectable*"),
    COUNTIFS('QA Log'!D:D,A97,'QA Log'!M:M,"Vignette",'QA Log'!Z:Z,"Rejected",'QA Log'!L:L,"*Vignette [10] Post Partum Haemorrhage - Atonic Uterus at Health Centre*")
  )
)</f>
        <v/>
      </c>
      <c r="BN97" s="107" t="str">
        <f t="shared" si="11"/>
        <v/>
      </c>
      <c r="BO97" s="103" t="str">
        <f t="shared" si="12"/>
        <v/>
      </c>
      <c r="BP97" s="102" t="str">
        <f>IF(A97="","",SUM(
COUNTIFS('QA Log'!D:D,A97,'QA Log'!M:M,"Vignette",'QA Log'!L:L,"*Exit Interview 1*"),
COUNTIFS('QA Log'!D:D,A97,'QA Log'!M:M,"Vignette",'QA Log'!L:L,"*Exit Interview 2*"),
)
)</f>
        <v/>
      </c>
      <c r="BQ97" s="102" t="str">
        <f>IF(
  A97="","",
  SUM(
    COUNTIFS('QA Log'!D:D,A97,'QA Log'!M:M,"Vignette",'QA Log'!Z:Z,"Approved",'QA Log'!L:L,"*Exit Interview 1*"),
    COUNTIFS('QA Log'!D:D,A97,'QA Log'!M:M,"Vignette",'QA Log'!Z:Z,"Approved",'QA Log'!L:L,"*Exit Interview 2*")
  )
)</f>
        <v/>
      </c>
      <c r="BR97" s="105" t="str">
        <f>IF(A97&lt;&gt;"",COUNTIFS('QA Log'!D:D,A97,'QA Log'!M:M,"Vignette",'QA Log'!L:L,"Exit Interview 1",'QA Log'!Z:Z,"Approved"),"")</f>
        <v/>
      </c>
      <c r="BS97" s="105" t="str">
        <f>IF(A97&lt;&gt;"",COUNTIFS('QA Log'!D:D,A97,'QA Log'!M:M,"Vignette",'QA Log'!L:L,"Exit Interview 2",'QA Log'!Z:Z,"Approved"),"")</f>
        <v/>
      </c>
      <c r="BT97" s="102" t="str">
        <f>IF(
  A97="","",
  SUM(
    COUNTIFS('QA Log'!D:D,A97,'QA Log'!M:M,"Vignette",'QA Log'!Z:Z,"Rejected",'QA Log'!L:L,"*Exit Interview 1*"),
    COUNTIFS('QA Log'!D:D,A97,'QA Log'!M:M,"Vignette",'QA Log'!Z:Z,"Rejected",'QA Log'!L:L,"*Exit Interview 2*")
  )
)</f>
        <v/>
      </c>
      <c r="BU97" s="107" t="str">
        <f t="shared" si="13"/>
        <v/>
      </c>
      <c r="BV97" s="102" t="str">
        <f t="shared" si="14"/>
        <v/>
      </c>
      <c r="BW97" s="102" t="str">
        <f t="shared" si="15"/>
        <v/>
      </c>
      <c r="BX97" s="102" t="str">
        <f t="shared" si="16"/>
        <v/>
      </c>
      <c r="BY97" s="102" t="str">
        <f t="shared" si="17"/>
        <v/>
      </c>
      <c r="BZ97" s="107" t="str">
        <f t="shared" si="18"/>
        <v/>
      </c>
      <c r="CA97" s="108" t="str">
        <f t="shared" si="19"/>
        <v/>
      </c>
      <c r="CB97" s="108" t="str">
        <f t="shared" si="20"/>
        <v/>
      </c>
      <c r="CC97" s="109" t="str">
        <f t="shared" si="21"/>
        <v/>
      </c>
      <c r="CD97" s="108" t="str">
        <f t="shared" si="22"/>
        <v/>
      </c>
      <c r="CE97" s="108" t="str">
        <f t="shared" si="23"/>
        <v/>
      </c>
      <c r="CF97" s="109" t="str">
        <f t="shared" si="24"/>
        <v/>
      </c>
      <c r="CG97" s="110" t="str">
        <f t="shared" si="25"/>
        <v/>
      </c>
      <c r="CH97" s="111"/>
    </row>
    <row r="98" spans="1:86" ht="12.75">
      <c r="A98" s="101"/>
      <c r="B98" s="102" t="e">
        <f t="array" aca="1" ref="B98" ca="1">_xludf.XLOOKUP(A98,'QA Log'!D:D,'QA Log'!E:E,"")</f>
        <v>#NAME?</v>
      </c>
      <c r="C98" s="102" t="e">
        <f t="array" aca="1" ref="C98" ca="1">_xludf.XLOOKUP(A98,'QA Log'!D:D,'QA Log'!F:F,"")</f>
        <v>#NAME?</v>
      </c>
      <c r="D98" s="102" t="e">
        <f t="array" aca="1" ref="D98" ca="1">_xludf.XLOOKUP(A98,'QA Log'!D:D,'QA Log'!H:H,"")</f>
        <v>#NAME?</v>
      </c>
      <c r="E98" s="102" t="e">
        <f t="array" aca="1" ref="E98" ca="1">_xludf.XLOOKUP(A98,'QA Log'!D:D,'QA Log'!G:G,"")</f>
        <v>#NAME?</v>
      </c>
      <c r="F98" s="103"/>
      <c r="G98" s="104"/>
      <c r="H98" s="104"/>
      <c r="I98" s="103" t="str">
        <f t="shared" si="0"/>
        <v/>
      </c>
      <c r="J98" s="102" t="str">
        <f>IF(A98="","",SUM(
COUNTIFS('QA Log'!D:D,A98,'QA Log'!M:M,"QQC",'QA Log'!L:L,"*1. General Management*"),
COUNTIFS('QA Log'!D:D,A98,'QA Log'!M:M,"QQC",'QA Log'!L:L,"*3. Curative Consultation (OPD)*"),
COUNTIFS('QA Log'!D:D,A98,'QA Log'!M:M,"QQC",'QA Log'!L:L,"*5. Laboratory*"),
COUNTIFS('QA Log'!D:D,A98,'QA Log'!M:M,"QQC",'QA Log'!L:L,"*6. Essential Medicine Management*"),
COUNTIFS('QA Log'!D:D,A98,'QA Log'!M:M,"QQC",'QA Log'!L:L,"*7. Tracer Medicine*"),
COUNTIFS('QA Log'!D:D,A98,'QA Log'!M:M,"QQC",'QA Log'!L:L,"*11. Additional Questions*")))</f>
        <v/>
      </c>
      <c r="K98" s="102" t="str">
        <f>IF(A98="","",SUM(
COUNTIFS('QA Log'!D:D,A98,'QA Log'!M:M,"QQC",'QA Log'!Z:Z,"Approved",'QA Log'!L:L,"*1. General Management*"),
COUNTIFS('QA Log'!D:D,A98,'QA Log'!M:M,"QQC",'QA Log'!Z:Z,"Approved",'QA Log'!L:L,"*3. Curative Consultation (OPD)*"),
COUNTIFS('QA Log'!D:D,A98,'QA Log'!M:M,"QQC",'QA Log'!Z:Z,"Approved",'QA Log'!L:L,"*5. Laboratory*"),
COUNTIFS('QA Log'!D:D,A98,'QA Log'!M:M,"QQC",'QA Log'!Z:Z,"Approved",'QA Log'!L:L,"*6. Essential Medicine Management*"),
COUNTIFS('QA Log'!D:D,A98,'QA Log'!M:M,"QQC",'QA Log'!Z:Z,"Approved",'QA Log'!L:L,"*7. Tracer Medicine*"),
COUNTIFS('QA Log'!D:D,A98,'QA Log'!M:M,"QQC",'QA Log'!Z:Z,"Approved",'QA Log'!L:L,"*11. Additional Questions*")))</f>
        <v/>
      </c>
      <c r="L98" s="105" t="str">
        <f>IF(A98&lt;&gt;"",COUNTIFS('QA Log'!D:D,A98,'QA Log'!M:M,"QQC",'QA Log'!L:L,"1. General Management",'QA Log'!Z:Z,"Approved"),"")</f>
        <v/>
      </c>
      <c r="M98" s="105" t="str">
        <f>IF(A98&lt;&gt;"",COUNTIFS('QA Log'!D:D,A98,'QA Log'!M:M,"QQC",'QA Log'!L:L,"3. Curative Consultation (OPD)",'QA Log'!Z:Z,"Approved"),"")</f>
        <v/>
      </c>
      <c r="N98" s="105" t="str">
        <f>IF(A98&lt;&gt;"",COUNTIFS('QA Log'!D:D,A98,'QA Log'!M:M,"QQC",'QA Log'!L:L,"5. Laboratory",'QA Log'!Z:Z,"Approved"),"")</f>
        <v/>
      </c>
      <c r="O98" s="105" t="str">
        <f>IF(A98&lt;&gt;"",COUNTIFS('QA Log'!D:D,A98,'QA Log'!M:M,"QQC",'QA Log'!L:L,"6. Essential Medicine Management",'QA Log'!Z:Z,"Approved"),"")</f>
        <v/>
      </c>
      <c r="P98" s="105" t="str">
        <f>IF(A98&lt;&gt;"",COUNTIFS('QA Log'!D:D,A98,'QA Log'!M:M,"QQC",'QA Log'!L:L,"7. Tracer Medicine",'QA Log'!Z:Z,"Approved"),"")</f>
        <v/>
      </c>
      <c r="Q98" s="105" t="str">
        <f>IF(A98&lt;&gt;"",COUNTIFS('QA Log'!D:D,A98,'QA Log'!M:M,"QQC",'QA Log'!L:L,"11. Additional Questions",'QA Log'!Z:Z,"Approved"),"")</f>
        <v/>
      </c>
      <c r="R98" s="102" t="str">
        <f>IF(A98="","",SUM(
COUNTIFS('QA Log'!D:D,A98,'QA Log'!M:M,"QQC",'QA Log'!Z:Z,"Rejected",'QA Log'!L:L,"*8. Maternity*"),
COUNTIFS('QA Log'!D:D,A98,'QA Log'!M:M,"QQC",'QA Log'!Z:Z,"Rejected",'QA Log'!L:L,"*EPI*"),
COUNTIFS('QA Log'!D:D,A98,'QA Log'!M:M,"QQC",'QA Log'!Z:Z,"Rejected",'QA Log'!L:L,"*10. Antenatal Care (ANC)*"),
COUNTIFS('QA Log'!D:D,A98,'QA Log'!M:M,"QQC",'QA Log'!Z:Z,"Rejected",'QA Log'!L:L,"*2. Hygiene and Sterilization*"),
COUNTIFS('QA Log'!D:D,A98,'QA Log'!M:M,"QQC",'QA Log'!Z:Z,"Rejected",'QA Log'!L:L,"*Family Planning*")))</f>
        <v/>
      </c>
      <c r="S98" s="106" t="str">
        <f t="shared" si="1"/>
        <v/>
      </c>
      <c r="T98" s="102" t="str">
        <f t="shared" si="2"/>
        <v/>
      </c>
      <c r="U98" s="102" t="str">
        <f>IF(A98="","",
SUM(
COUNTIFS('QA Log'!D:D,A98,'QA Log'!M:M,"QQC",'QA Log'!L:L,"*8. Maternity*"),
COUNTIFS('QA Log'!D:D,A98,'QA Log'!M:M,"QQC",'QA Log'!L:L,"*9. EPI and Pre-school Consultation*"),
COUNTIFS('QA Log'!D:D,A98,'QA Log'!M:M,"QQC",'QA Log'!L:L,"*10. Antenatal Care (ANC)*"),
COUNTIFS('QA Log'!D:D,A98,'QA Log'!M:M,"QQC",'QA Log'!L:L,"*2. Hygiene and Sterilization*"),
COUNTIFS('QA Log'!D:D,A98,'QA Log'!M:M,"QQC",'QA Log'!L:L,"*4. Family Planning*")
))</f>
        <v/>
      </c>
      <c r="V98" s="102" t="str">
        <f>IF(A98="","",
SUM(
COUNTIFS('QA Log'!D:D,A98,'QA Log'!M:M,"QQC",'QA Log'!Z:Z,"Approved",'QA Log'!L:L,"*8. Maternity*"),
COUNTIFS('QA Log'!D:D,A98,'QA Log'!M:M,"QQC",'QA Log'!Z:Z,"Approved",'QA Log'!L:L,"*9. EPI and Pre-school Consultation*"),
COUNTIFS('QA Log'!D:D,A98,'QA Log'!M:M,"QQC",'QA Log'!Z:Z,"Approved",'QA Log'!L:L,"*10. Antenatal Care (ANC)*"),
COUNTIFS('QA Log'!D:D,A98,'QA Log'!M:M,"QQC",'QA Log'!Z:Z,"Approved",'QA Log'!L:L,"*2. Hygiene and Sterilization*"),
COUNTIFS('QA Log'!D:D,A98,'QA Log'!M:M,"QQC",'QA Log'!Z:Z,"Approved",'QA Log'!L:L,"*4. Family Planning*")
))</f>
        <v/>
      </c>
      <c r="W98" s="105" t="str">
        <f>IF(A98&lt;&gt;"",COUNTIFS('QA Log'!D:D,A98,'QA Log'!M:M,"QQC",'QA Log'!L:L,"8. Maternity",'QA Log'!Z:Z,"Approved"),"")</f>
        <v/>
      </c>
      <c r="X98" s="105" t="str">
        <f>IF(A98&lt;&gt;"",COUNTIFS('QA Log'!D:D,A98,'QA Log'!M:M,"QQC",'QA Log'!L:L,"9. EPI and Pre-school Consultation",'QA Log'!Z:Z,"Approved"),"")</f>
        <v/>
      </c>
      <c r="Y98" s="105" t="str">
        <f>IF(A98&lt;&gt;"",COUNTIFS('QA Log'!D:D,A98,'QA Log'!M:M,"QQC",'QA Log'!L:L,"10. Antenatal Care (ANC)",'QA Log'!Z:Z,"Approved"),"")</f>
        <v/>
      </c>
      <c r="Z98" s="105" t="str">
        <f>IF(A98&lt;&gt;"",COUNTIFS('QA Log'!D:D,A98,'QA Log'!M:M,"QQC",'QA Log'!L:L,"2. Hygiene and Sterilization",'QA Log'!Z:Z,"Approved"),"")</f>
        <v/>
      </c>
      <c r="AA98" s="105" t="str">
        <f>IF(A98&lt;&gt;"",COUNTIFS('QA Log'!D:D,A98,'QA Log'!M:M,"QQC",'QA Log'!L:L,"4. Family Planning",'QA Log'!Z:Z,"Approved"),"")</f>
        <v/>
      </c>
      <c r="AB98" s="102" t="str">
        <f>IF(A98="","",
SUM(
COUNTIFS('QA Log'!D:D,A98,'QA Log'!M:M,"QQC",'QA Log'!Z:Z,"Rejected",'QA Log'!L:L,"*8. Maternity*"),
COUNTIFS('QA Log'!D:D,A98,'QA Log'!M:M,"QQC",'QA Log'!Z:Z,"Rejected",'QA Log'!L:L,"*9. EPI and Pre-school Consultation*"),
COUNTIFS('QA Log'!D:D,A98,'QA Log'!M:M,"QQC",'QA Log'!Z:Z,"Rejected",'QA Log'!L:L,"*10. Antenatal Care (ANC)*"),
COUNTIFS('QA Log'!D:D,A98,'QA Log'!M:M,"QQC",'QA Log'!Z:Z,"Rejected",'QA Log'!L:L,"*2. Hygiene and Sterilization*"),
COUNTIFS('QA Log'!D:D,A98,'QA Log'!M:M,"QQC",'QA Log'!Z:Z,"Rejected",'QA Log'!L:L,"*4. Family Planning*")
))</f>
        <v/>
      </c>
      <c r="AC98" s="102" t="str">
        <f t="shared" si="3"/>
        <v/>
      </c>
      <c r="AD98" s="103" t="str">
        <f t="shared" si="4"/>
        <v/>
      </c>
      <c r="AE98" s="102" t="str">
        <f>IF(A98="","",
SUM(
COUNTIFS('QA Log'!D:D,A98,'QA Log'!M:M,"Data Verification",'QA Log'!L:L,"*Medicine (section 2)*"),
COUNTIFS('QA Log'!D:D,A98,'QA Log'!M:M,"Data Verification",'QA Log'!L:L,"*Lab Testing Availability*"),
COUNTIFS('QA Log'!D:D,A98,'QA Log'!M:M,"Data Verification",'QA Log'!L:L,"*Other than P4P (section 6)*"),
COUNTIFS('QA Log'!D:D,A98,'QA Log'!M:M,"Data Verification",'QA Log'!L:L,"*Hospital Governance*")
))</f>
        <v/>
      </c>
      <c r="AF98" s="102" t="str">
        <f>IF(A98="","",
SUM(
COUNTIFS('QA Log'!D:D,A98,'QA Log'!M:M,"Data Verification",'QA Log'!Z:Z,"Approved",'QA Log'!L:L,"*Medicine (section 2)*"),
COUNTIFS('QA Log'!D:D,A98,'QA Log'!M:M,"Data Verification",'QA Log'!Z:Z,"Approved",'QA Log'!L:L,"*Lab Testing Availability*"),
COUNTIFS('QA Log'!D:D,A98,'QA Log'!M:M,"Data Verification",'QA Log'!Z:Z,"Approved",'QA Log'!L:L,"*Other than P4P (section 6)*"),
COUNTIFS('QA Log'!D:D,A98,'QA Log'!M:M,"Data Verification",'QA Log'!Z:Z,"Approved",'QA Log'!L:L,"*Hospital Governance*")
))</f>
        <v/>
      </c>
      <c r="AG98" s="105" t="str">
        <f>IF(A98&lt;&gt;"",COUNTIFS('QA Log'!D:D,A98,'QA Log'!M:M,"Data Verification",'QA Log'!L:L,"Medicine (section 2)",'QA Log'!Z:Z,"Approved"),"")</f>
        <v/>
      </c>
      <c r="AH98" s="105" t="str">
        <f>IF(A98&lt;&gt;"",COUNTIFS('QA Log'!D:D,A98,'QA Log'!M:M,"Data Verification",'QA Log'!L:L,"Lab Testing Availability",'QA Log'!Z:Z,"Approved"),"")</f>
        <v/>
      </c>
      <c r="AI98" s="105" t="str">
        <f>IF(A98&lt;&gt;"",COUNTIFS('QA Log'!D:D,A98,'QA Log'!M:M,"Data Verification",'QA Log'!L:L,"Other than P4P (section 6)",'QA Log'!Z:Z,"Approved"),"")</f>
        <v/>
      </c>
      <c r="AJ98" s="105" t="str">
        <f>IF(A98&lt;&gt;"",COUNTIFS('QA Log'!D:D,A98,'QA Log'!M:M,"Data Verification",'QA Log'!L:L,"Hospital Governance",'QA Log'!Z:Z,"Approved"),"")</f>
        <v/>
      </c>
      <c r="AK98" s="102" t="str">
        <f>IF(A98="","",
SUM(
COUNTIFS('QA Log'!D:D,A98,'QA Log'!M:M,"Data Verification",'QA Log'!Z:Z,"Rejected",'QA Log'!L:L,"*Medicine (section 2)*"),
COUNTIFS('QA Log'!D:D,A98,'QA Log'!M:M,"Data Verification",'QA Log'!Z:Z,"Rejected",'QA Log'!L:L,"*Lab Testing Availability*"),
COUNTIFS('QA Log'!D:D,A98,'QA Log'!M:M,"Data Verification",'QA Log'!Z:Z,"Rejected",'QA Log'!L:L,"*Other than P4P (section 6)*"),
COUNTIFS('QA Log'!D:D,A98,'QA Log'!M:M,"Data Verification",'QA Log'!Z:Z,"Rejected",'QA Log'!L:L,"*Hospital Governance*")
))</f>
        <v/>
      </c>
      <c r="AL98" s="106" t="str">
        <f t="shared" si="5"/>
        <v/>
      </c>
      <c r="AM98" s="102" t="str">
        <f t="shared" si="6"/>
        <v/>
      </c>
      <c r="AN98" s="102" t="str">
        <f>IF(A98="","",
SUM(
COUNTIFS('QA Log'!D:D,A98,'QA Log'!M:M,"Data Verification",'QA Log'!L:L,"*Personnel (section 1)*"),
COUNTIFS('QA Log'!D:D,A98,'QA Log'!M:M,"Data Verification",'QA Log'!L:L,"*Consumable (section 3)*"),
COUNTIFS('QA Log'!D:D,A98,'QA Log'!M:M,"Data Verification",'QA Log'!L:L,"*Equipments (section 4)*")
))</f>
        <v/>
      </c>
      <c r="AO98" s="102" t="str">
        <f>IF(A98="","",
SUM(
COUNTIFS('QA Log'!D:D,A98,'QA Log'!M:M,"Data Verification",'QA Log'!Z:Z,"Approved",'QA Log'!L:L,"*Personnel (section 1)*"),
COUNTIFS('QA Log'!D:D,A98,'QA Log'!M:M,"Data Verification",'QA Log'!Z:Z,"Approved",'QA Log'!L:L,"*Consumable (section 3)*"),
COUNTIFS('QA Log'!D:D,A98,'QA Log'!M:M,"Data Verification",'QA Log'!Z:Z,"Approved",'QA Log'!L:L,"*Equipments (section 4)*")
))</f>
        <v/>
      </c>
      <c r="AP98" s="105" t="str">
        <f>IF(A98&lt;&gt;"",COUNTIFS('QA Log'!D:D,A98,'QA Log'!M:M,"Data Verification",'QA Log'!L:L,"Personnel (section 1)",'QA Log'!Z:Z,"Approved"),"")</f>
        <v/>
      </c>
      <c r="AQ98" s="105" t="str">
        <f>IF(A98&lt;&gt;"",COUNTIFS('QA Log'!D:D,A98,'QA Log'!M:M,"Data Verification",'QA Log'!L:L,"Consumable (section 3)",'QA Log'!Z:Z,"Approved"),"")</f>
        <v/>
      </c>
      <c r="AR98" s="105" t="str">
        <f>IF(A98&lt;&gt;"",COUNTIFS('QA Log'!D:D,A98,'QA Log'!M:M,"Data Verification",'QA Log'!L:L,"Equipments (section 4)",'QA Log'!Z:Z,"Approved"),"")</f>
        <v/>
      </c>
      <c r="AS98" s="102" t="str">
        <f>IF(A98="","",
SUM(
COUNTIFS('QA Log'!D:D,A98,'QA Log'!M:M,"Data Verification",'QA Log'!Z:Z,"Rejected",'QA Log'!L:L,"*Personnel (section 1)*"),
COUNTIFS('QA Log'!D:D,A98,'QA Log'!M:M,"Data Verification",'QA Log'!Z:Z,"Rejected",'QA Log'!L:L,"*Consumable (section 3)*"),
COUNTIFS('QA Log'!D:D,A98,'QA Log'!M:M,"Data Verification",'QA Log'!Z:Z,"Rejected",'QA Log'!L:L,"*Equipments (section 4)*")
))</f>
        <v/>
      </c>
      <c r="AT98" s="102" t="str">
        <f t="shared" si="7"/>
        <v/>
      </c>
      <c r="AU98" s="103" t="str">
        <f t="shared" si="8"/>
        <v/>
      </c>
      <c r="AV98" s="102" t="str">
        <f>IF(A98="","",SUM(
COUNTIFS('QA Log'!D:D,A98,'QA Log'!M:M,"Vignette",'QA Log'!L:L,"*Vignette [1] Respiratory Infection: Pneumonia*"),
COUNTIFS('QA Log'!D:D,A98,'QA Log'!M:M,"Vignette",'QA Log'!L:L,"*Vignette [2]: Diarrhea with Cat B dehydration*"),
COUNTIFS('QA Log'!D:D,A98,'QA Log'!M:M,"Vignette",'QA Log'!L:L,"*Vignette [3] Growth Monitoring and Promotion*"),
COUNTIFS('QA Log'!D:D,A98,'QA Log'!M:M,"Vignette",'QA Log'!L:L,"*Vignette [4]: The management of presumptive TB patient*")
)
)</f>
        <v/>
      </c>
      <c r="AW98" s="102" t="str">
        <f>IF(
  A98="","",
  SUM(
    COUNTIFS('QA Log'!D:D,A98,'QA Log'!M:M,"Vignette",'QA Log'!Z:Z,"Approved",'QA Log'!L:L,"*Vignette [1] Respiratory Infection: Pneumonia*"),
    COUNTIFS('QA Log'!D:D,A98,'QA Log'!M:M,"Vignette",'QA Log'!Z:Z,"Approved",'QA Log'!L:L,"*Vignette [2]: Diarrhea with Cat B dehydration*"),
    COUNTIFS('QA Log'!D:D,A98,'QA Log'!M:M,"Vignette",'QA Log'!Z:Z,"Approved",'QA Log'!L:L,"*Vignette [3] Growth Monitoring and Promotion*"),
    COUNTIFS('QA Log'!D:D,A98,'QA Log'!M:M,"Vignette",'QA Log'!Z:Z,"Approved",'QA Log'!L:L,"*Vignette [4]: The management of presumptive TB patient*")
  )
)</f>
        <v/>
      </c>
      <c r="AX98" s="105" t="str">
        <f>IF(A98&lt;&gt;"",COUNTIFS('QA Log'!D:D,A98,'QA Log'!M:M,"Vignette",'QA Log'!L:L,"Vignette [1] Respiratory Infection: Pneumonia",'QA Log'!Z:Z,"Approved"),"")</f>
        <v/>
      </c>
      <c r="AY98" s="105" t="str">
        <f>IF(A98&lt;&gt;"",COUNTIFS('QA Log'!D:D,A98,'QA Log'!M:M,"Vignette",'QA Log'!L:L,"Vignette [2]: Diarrhea with Cat B dehydration",'QA Log'!Z:Z,"Approved"),"")</f>
        <v/>
      </c>
      <c r="AZ98" s="105" t="str">
        <f>IF(A98&lt;&gt;"",COUNTIFS('QA Log'!D:D,A98,'QA Log'!M:M,"Vignette",'QA Log'!L:L,"Vignette [3] Growth Monitoring and Promotion",'QA Log'!Z:Z,"Approved"),"")</f>
        <v/>
      </c>
      <c r="BA98" s="105" t="str">
        <f>IF(A98&lt;&gt;"",COUNTIFS('QA Log'!D:D,A98,'QA Log'!M:M,"Vignette",'QA Log'!L:L,"Vignette [4]: The management of presumptive TB patient",'QA Log'!Z:Z,"Approved"),"")</f>
        <v/>
      </c>
      <c r="BB98" s="102" t="str">
        <f>IF(A98="","",
  SUM(
    COUNTIFS('QA Log'!D:D,A98,'QA Log'!M:M,"Vignette",'QA Log'!Z:Z,"Rejected",'QA Log'!L:L,"*Vignette [1] Respiratory Infection: Pneumonia*"),
    COUNTIFS('QA Log'!D:D,A98,'QA Log'!M:M,"Vignette",'QA Log'!Z:Z,"Rejected",'QA Log'!L:L,"*Vignette [2]: Diarrhea with Cat B dehydration*"),
    COUNTIFS('QA Log'!D:D,A98,'QA Log'!M:M,"Vignette",'QA Log'!Z:Z,"Rejected",'QA Log'!L:L,"*Vignette [3] Growth Monitoring and Promotion*"),
    COUNTIFS('QA Log'!D:D,A98,'QA Log'!M:M,"Vignette",'QA Log'!Z:Z,"Rejected",'QA Log'!L:L,"*Vignette [4]: The management of presumptive TB patient*")
  )
)</f>
        <v/>
      </c>
      <c r="BC98" s="107" t="str">
        <f t="shared" si="9"/>
        <v/>
      </c>
      <c r="BD98" s="103" t="str">
        <f t="shared" si="10"/>
        <v/>
      </c>
      <c r="BE98" s="102" t="str">
        <f>IF(A98="","",SUM(
COUNTIFS('QA Log'!D:D,A98,'QA Log'!M:M,"Vignette",'QA Log'!L:L,"*Vignette [5] Labor*"),
COUNTIFS('QA Log'!D:D,A98,'QA Log'!M:M,"Vignette",'QA Log'!L:L,"*Vignette [6] PNC pre Discharge*"),
COUNTIFS('QA Log'!D:D,A98,'QA Log'!M:M,"Vignette",'QA Log'!L:L,"*Vignette [7] First ANC Visit*"),
COUNTIFS('QA Log'!D:D,A98,'QA Log'!M:M,"Vignette",'QA Log'!L:L,"*Vignette [8] Birth Spacing/ Family Planning :  FP Counselling*"),
COUNTIFS('QA Log'!D:D,A98,'QA Log'!M:M,"Vignette",'QA Log'!L:L,"*Vignette [9] Birth Spacing: Change FP method to Injectable*"),
COUNTIFS('QA Log'!D:D,A98,'QA Log'!M:M,"Vignette",'QA Log'!L:L,"*Vignette [10] Post Partum Haemorrhage - Atonic Uterus at Health Centre*"),
)
)</f>
        <v/>
      </c>
      <c r="BF98" s="102" t="str">
        <f>IF(A98="","",
  SUM(
    COUNTIFS('QA Log'!D:D,A98,'QA Log'!M:M,"Vignette",'QA Log'!Z:Z,"Approved",'QA Log'!L:L,"*Vignette [5] Labor*"),
    COUNTIFS('QA Log'!D:D,A98,'QA Log'!M:M,"Vignette",'QA Log'!Z:Z,"Approved",'QA Log'!L:L,"*Vignette [6] PNC pre Discharge*"),
    COUNTIFS('QA Log'!D:D,A98,'QA Log'!M:M,"Vignette",'QA Log'!Z:Z,"Approved",'QA Log'!L:L,"*Vignette [7] First ANC Visit*"),
    COUNTIFS('QA Log'!D:D,A98,'QA Log'!M:M,"Vignette",'QA Log'!Z:Z,"Approved",'QA Log'!L:L,"*Vignette [8] Birth Spacing/ Family Planning :  FP Counselling*"),
    COUNTIFS('QA Log'!D:D,A98,'QA Log'!M:M,"Vignette",'QA Log'!Z:Z,"Approved",'QA Log'!L:L,"*Vignette [9] Birth Spacing: Change FP method to Injectable*"),
    COUNTIFS('QA Log'!D:D,A98,'QA Log'!M:M,"Vignette",'QA Log'!Z:Z,"Approved",'QA Log'!L:L,"*Vignette [10] Post Partum Haemorrhage - Atonic Uterus at Health Centre*")
  )
)</f>
        <v/>
      </c>
      <c r="BG98" s="105" t="str">
        <f>IF(A98&lt;&gt;"",COUNTIFS('QA Log'!D:D,A98,'QA Log'!M:M,"Vignette",'QA Log'!L:L,"Vignette [5] Labor",'QA Log'!Z:Z,"Approved"),"")</f>
        <v/>
      </c>
      <c r="BH98" s="105" t="str">
        <f>IF(A98&lt;&gt;"",COUNTIFS('QA Log'!D:D,A98,'QA Log'!M:M,"Vignette",'QA Log'!L:L,"Vignette [6] PNC pre Discharge",'QA Log'!Z:Z,"Approved"),"")</f>
        <v/>
      </c>
      <c r="BI98" s="105" t="str">
        <f>IF(A98&lt;&gt;"",COUNTIFS('QA Log'!D:D,A98,'QA Log'!M:M,"Vignette",'QA Log'!L:L,"Vignette [7] First ANC Visit",'QA Log'!Z:Z,"Approved"),"")</f>
        <v/>
      </c>
      <c r="BJ98" s="105" t="str">
        <f>IF(A98&lt;&gt;"",COUNTIFS('QA Log'!D:D,A98,'QA Log'!M:M,"Vignette",'QA Log'!L:L,"Vignette [8] Birth Spacing/ Family Planning :  FP Counselling",'QA Log'!Z:Z,"Approved"),"")</f>
        <v/>
      </c>
      <c r="BK98" s="105" t="str">
        <f>IF(A98&lt;&gt;"",COUNTIFS('QA Log'!D:D,A98,'QA Log'!M:M,"Vignette",'QA Log'!L:L,"Vignette [9] Birth Spacing: Change FP method to Injectable",'QA Log'!Z:Z,"Approved"),"")</f>
        <v/>
      </c>
      <c r="BL98" s="105" t="str">
        <f>IF(A98&lt;&gt;"",COUNTIFS('QA Log'!D:D,A98,'QA Log'!M:M,"Vignette",'QA Log'!L:L,"Vignette [10] Post Partum Haemorrhage - Atonic Uterus at Health Centre",'QA Log'!Z:Z,"Approved"),"")</f>
        <v/>
      </c>
      <c r="BM98" s="102" t="str">
        <f>IF(A98="","",SUM(
    COUNTIFS('QA Log'!D:D,A98,'QA Log'!M:M,"Vignette",'QA Log'!Z:Z,"Rejected",'QA Log'!L:L,"*Vignette [5] Labor*"),
    COUNTIFS('QA Log'!D:D,A98,'QA Log'!M:M,"Vignette",'QA Log'!Z:Z,"Rejected",'QA Log'!L:L,"*Vignette [6] PNC pre Discharge*"),
    COUNTIFS('QA Log'!D:D,A98,'QA Log'!M:M,"Vignette",'QA Log'!Z:Z,"Rejected",'QA Log'!L:L,"*Vignette [7] First ANC Visit*"),
    COUNTIFS('QA Log'!D:D,A98,'QA Log'!M:M,"Vignette",'QA Log'!Z:Z,"Rejected",'QA Log'!L:L,"*Vignette [8] Birth Spacing/ Family Planning :  FP Counselling*"),
    COUNTIFS('QA Log'!D:D,A98,'QA Log'!M:M,"Vignette",'QA Log'!Z:Z,"Rejected",'QA Log'!L:L,"*Vignette [9] Birth Spacing: Change FP method to Injectable*"),
    COUNTIFS('QA Log'!D:D,A98,'QA Log'!M:M,"Vignette",'QA Log'!Z:Z,"Rejected",'QA Log'!L:L,"*Vignette [10] Post Partum Haemorrhage - Atonic Uterus at Health Centre*")
  )
)</f>
        <v/>
      </c>
      <c r="BN98" s="107" t="str">
        <f t="shared" si="11"/>
        <v/>
      </c>
      <c r="BO98" s="103" t="str">
        <f t="shared" si="12"/>
        <v/>
      </c>
      <c r="BP98" s="102" t="str">
        <f>IF(A98="","",SUM(
COUNTIFS('QA Log'!D:D,A98,'QA Log'!M:M,"Vignette",'QA Log'!L:L,"*Exit Interview 1*"),
COUNTIFS('QA Log'!D:D,A98,'QA Log'!M:M,"Vignette",'QA Log'!L:L,"*Exit Interview 2*"),
)
)</f>
        <v/>
      </c>
      <c r="BQ98" s="102" t="str">
        <f>IF(
  A98="","",
  SUM(
    COUNTIFS('QA Log'!D:D,A98,'QA Log'!M:M,"Vignette",'QA Log'!Z:Z,"Approved",'QA Log'!L:L,"*Exit Interview 1*"),
    COUNTIFS('QA Log'!D:D,A98,'QA Log'!M:M,"Vignette",'QA Log'!Z:Z,"Approved",'QA Log'!L:L,"*Exit Interview 2*")
  )
)</f>
        <v/>
      </c>
      <c r="BR98" s="105" t="str">
        <f>IF(A98&lt;&gt;"",COUNTIFS('QA Log'!D:D,A98,'QA Log'!M:M,"Vignette",'QA Log'!L:L,"Exit Interview 1",'QA Log'!Z:Z,"Approved"),"")</f>
        <v/>
      </c>
      <c r="BS98" s="105" t="str">
        <f>IF(A98&lt;&gt;"",COUNTIFS('QA Log'!D:D,A98,'QA Log'!M:M,"Vignette",'QA Log'!L:L,"Exit Interview 2",'QA Log'!Z:Z,"Approved"),"")</f>
        <v/>
      </c>
      <c r="BT98" s="102" t="str">
        <f>IF(
  A98="","",
  SUM(
    COUNTIFS('QA Log'!D:D,A98,'QA Log'!M:M,"Vignette",'QA Log'!Z:Z,"Rejected",'QA Log'!L:L,"*Exit Interview 1*"),
    COUNTIFS('QA Log'!D:D,A98,'QA Log'!M:M,"Vignette",'QA Log'!Z:Z,"Rejected",'QA Log'!L:L,"*Exit Interview 2*")
  )
)</f>
        <v/>
      </c>
      <c r="BU98" s="107" t="str">
        <f t="shared" si="13"/>
        <v/>
      </c>
      <c r="BV98" s="102" t="str">
        <f t="shared" si="14"/>
        <v/>
      </c>
      <c r="BW98" s="102" t="str">
        <f t="shared" si="15"/>
        <v/>
      </c>
      <c r="BX98" s="102" t="str">
        <f t="shared" si="16"/>
        <v/>
      </c>
      <c r="BY98" s="102" t="str">
        <f t="shared" si="17"/>
        <v/>
      </c>
      <c r="BZ98" s="107" t="str">
        <f t="shared" si="18"/>
        <v/>
      </c>
      <c r="CA98" s="108" t="str">
        <f t="shared" si="19"/>
        <v/>
      </c>
      <c r="CB98" s="108" t="str">
        <f t="shared" si="20"/>
        <v/>
      </c>
      <c r="CC98" s="109" t="str">
        <f t="shared" si="21"/>
        <v/>
      </c>
      <c r="CD98" s="108" t="str">
        <f t="shared" si="22"/>
        <v/>
      </c>
      <c r="CE98" s="108" t="str">
        <f t="shared" si="23"/>
        <v/>
      </c>
      <c r="CF98" s="109" t="str">
        <f t="shared" si="24"/>
        <v/>
      </c>
      <c r="CG98" s="110" t="str">
        <f t="shared" si="25"/>
        <v/>
      </c>
      <c r="CH98" s="111"/>
    </row>
    <row r="99" spans="1:86" ht="12.75">
      <c r="A99" s="101"/>
      <c r="B99" s="102" t="e">
        <f t="array" aca="1" ref="B99" ca="1">_xludf.XLOOKUP(A99,'QA Log'!D:D,'QA Log'!E:E,"")</f>
        <v>#NAME?</v>
      </c>
      <c r="C99" s="102" t="e">
        <f t="array" aca="1" ref="C99" ca="1">_xludf.XLOOKUP(A99,'QA Log'!D:D,'QA Log'!F:F,"")</f>
        <v>#NAME?</v>
      </c>
      <c r="D99" s="102" t="e">
        <f t="array" aca="1" ref="D99" ca="1">_xludf.XLOOKUP(A99,'QA Log'!D:D,'QA Log'!H:H,"")</f>
        <v>#NAME?</v>
      </c>
      <c r="E99" s="102" t="e">
        <f t="array" aca="1" ref="E99" ca="1">_xludf.XLOOKUP(A99,'QA Log'!D:D,'QA Log'!G:G,"")</f>
        <v>#NAME?</v>
      </c>
      <c r="F99" s="103"/>
      <c r="G99" s="104"/>
      <c r="H99" s="104"/>
      <c r="I99" s="103" t="str">
        <f t="shared" si="0"/>
        <v/>
      </c>
      <c r="J99" s="102" t="str">
        <f>IF(A99="","",SUM(
COUNTIFS('QA Log'!D:D,A99,'QA Log'!M:M,"QQC",'QA Log'!L:L,"*1. General Management*"),
COUNTIFS('QA Log'!D:D,A99,'QA Log'!M:M,"QQC",'QA Log'!L:L,"*3. Curative Consultation (OPD)*"),
COUNTIFS('QA Log'!D:D,A99,'QA Log'!M:M,"QQC",'QA Log'!L:L,"*5. Laboratory*"),
COUNTIFS('QA Log'!D:D,A99,'QA Log'!M:M,"QQC",'QA Log'!L:L,"*6. Essential Medicine Management*"),
COUNTIFS('QA Log'!D:D,A99,'QA Log'!M:M,"QQC",'QA Log'!L:L,"*7. Tracer Medicine*"),
COUNTIFS('QA Log'!D:D,A99,'QA Log'!M:M,"QQC",'QA Log'!L:L,"*11. Additional Questions*")))</f>
        <v/>
      </c>
      <c r="K99" s="102" t="str">
        <f>IF(A99="","",SUM(
COUNTIFS('QA Log'!D:D,A99,'QA Log'!M:M,"QQC",'QA Log'!Z:Z,"Approved",'QA Log'!L:L,"*1. General Management*"),
COUNTIFS('QA Log'!D:D,A99,'QA Log'!M:M,"QQC",'QA Log'!Z:Z,"Approved",'QA Log'!L:L,"*3. Curative Consultation (OPD)*"),
COUNTIFS('QA Log'!D:D,A99,'QA Log'!M:M,"QQC",'QA Log'!Z:Z,"Approved",'QA Log'!L:L,"*5. Laboratory*"),
COUNTIFS('QA Log'!D:D,A99,'QA Log'!M:M,"QQC",'QA Log'!Z:Z,"Approved",'QA Log'!L:L,"*6. Essential Medicine Management*"),
COUNTIFS('QA Log'!D:D,A99,'QA Log'!M:M,"QQC",'QA Log'!Z:Z,"Approved",'QA Log'!L:L,"*7. Tracer Medicine*"),
COUNTIFS('QA Log'!D:D,A99,'QA Log'!M:M,"QQC",'QA Log'!Z:Z,"Approved",'QA Log'!L:L,"*11. Additional Questions*")))</f>
        <v/>
      </c>
      <c r="L99" s="105" t="str">
        <f>IF(A99&lt;&gt;"",COUNTIFS('QA Log'!D:D,A99,'QA Log'!M:M,"QQC",'QA Log'!L:L,"1. General Management",'QA Log'!Z:Z,"Approved"),"")</f>
        <v/>
      </c>
      <c r="M99" s="105" t="str">
        <f>IF(A99&lt;&gt;"",COUNTIFS('QA Log'!D:D,A99,'QA Log'!M:M,"QQC",'QA Log'!L:L,"3. Curative Consultation (OPD)",'QA Log'!Z:Z,"Approved"),"")</f>
        <v/>
      </c>
      <c r="N99" s="105" t="str">
        <f>IF(A99&lt;&gt;"",COUNTIFS('QA Log'!D:D,A99,'QA Log'!M:M,"QQC",'QA Log'!L:L,"5. Laboratory",'QA Log'!Z:Z,"Approved"),"")</f>
        <v/>
      </c>
      <c r="O99" s="105" t="str">
        <f>IF(A99&lt;&gt;"",COUNTIFS('QA Log'!D:D,A99,'QA Log'!M:M,"QQC",'QA Log'!L:L,"6. Essential Medicine Management",'QA Log'!Z:Z,"Approved"),"")</f>
        <v/>
      </c>
      <c r="P99" s="105" t="str">
        <f>IF(A99&lt;&gt;"",COUNTIFS('QA Log'!D:D,A99,'QA Log'!M:M,"QQC",'QA Log'!L:L,"7. Tracer Medicine",'QA Log'!Z:Z,"Approved"),"")</f>
        <v/>
      </c>
      <c r="Q99" s="105" t="str">
        <f>IF(A99&lt;&gt;"",COUNTIFS('QA Log'!D:D,A99,'QA Log'!M:M,"QQC",'QA Log'!L:L,"11. Additional Questions",'QA Log'!Z:Z,"Approved"),"")</f>
        <v/>
      </c>
      <c r="R99" s="102" t="str">
        <f>IF(A99="","",SUM(
COUNTIFS('QA Log'!D:D,A99,'QA Log'!M:M,"QQC",'QA Log'!Z:Z,"Rejected",'QA Log'!L:L,"*8. Maternity*"),
COUNTIFS('QA Log'!D:D,A99,'QA Log'!M:M,"QQC",'QA Log'!Z:Z,"Rejected",'QA Log'!L:L,"*EPI*"),
COUNTIFS('QA Log'!D:D,A99,'QA Log'!M:M,"QQC",'QA Log'!Z:Z,"Rejected",'QA Log'!L:L,"*10. Antenatal Care (ANC)*"),
COUNTIFS('QA Log'!D:D,A99,'QA Log'!M:M,"QQC",'QA Log'!Z:Z,"Rejected",'QA Log'!L:L,"*2. Hygiene and Sterilization*"),
COUNTIFS('QA Log'!D:D,A99,'QA Log'!M:M,"QQC",'QA Log'!Z:Z,"Rejected",'QA Log'!L:L,"*Family Planning*")))</f>
        <v/>
      </c>
      <c r="S99" s="106" t="str">
        <f t="shared" si="1"/>
        <v/>
      </c>
      <c r="T99" s="102" t="str">
        <f t="shared" si="2"/>
        <v/>
      </c>
      <c r="U99" s="102" t="str">
        <f>IF(A99="","",
SUM(
COUNTIFS('QA Log'!D:D,A99,'QA Log'!M:M,"QQC",'QA Log'!L:L,"*8. Maternity*"),
COUNTIFS('QA Log'!D:D,A99,'QA Log'!M:M,"QQC",'QA Log'!L:L,"*9. EPI and Pre-school Consultation*"),
COUNTIFS('QA Log'!D:D,A99,'QA Log'!M:M,"QQC",'QA Log'!L:L,"*10. Antenatal Care (ANC)*"),
COUNTIFS('QA Log'!D:D,A99,'QA Log'!M:M,"QQC",'QA Log'!L:L,"*2. Hygiene and Sterilization*"),
COUNTIFS('QA Log'!D:D,A99,'QA Log'!M:M,"QQC",'QA Log'!L:L,"*4. Family Planning*")
))</f>
        <v/>
      </c>
      <c r="V99" s="102" t="str">
        <f>IF(A99="","",
SUM(
COUNTIFS('QA Log'!D:D,A99,'QA Log'!M:M,"QQC",'QA Log'!Z:Z,"Approved",'QA Log'!L:L,"*8. Maternity*"),
COUNTIFS('QA Log'!D:D,A99,'QA Log'!M:M,"QQC",'QA Log'!Z:Z,"Approved",'QA Log'!L:L,"*9. EPI and Pre-school Consultation*"),
COUNTIFS('QA Log'!D:D,A99,'QA Log'!M:M,"QQC",'QA Log'!Z:Z,"Approved",'QA Log'!L:L,"*10. Antenatal Care (ANC)*"),
COUNTIFS('QA Log'!D:D,A99,'QA Log'!M:M,"QQC",'QA Log'!Z:Z,"Approved",'QA Log'!L:L,"*2. Hygiene and Sterilization*"),
COUNTIFS('QA Log'!D:D,A99,'QA Log'!M:M,"QQC",'QA Log'!Z:Z,"Approved",'QA Log'!L:L,"*4. Family Planning*")
))</f>
        <v/>
      </c>
      <c r="W99" s="105" t="str">
        <f>IF(A99&lt;&gt;"",COUNTIFS('QA Log'!D:D,A99,'QA Log'!M:M,"QQC",'QA Log'!L:L,"8. Maternity",'QA Log'!Z:Z,"Approved"),"")</f>
        <v/>
      </c>
      <c r="X99" s="105" t="str">
        <f>IF(A99&lt;&gt;"",COUNTIFS('QA Log'!D:D,A99,'QA Log'!M:M,"QQC",'QA Log'!L:L,"9. EPI and Pre-school Consultation",'QA Log'!Z:Z,"Approved"),"")</f>
        <v/>
      </c>
      <c r="Y99" s="105" t="str">
        <f>IF(A99&lt;&gt;"",COUNTIFS('QA Log'!D:D,A99,'QA Log'!M:M,"QQC",'QA Log'!L:L,"10. Antenatal Care (ANC)",'QA Log'!Z:Z,"Approved"),"")</f>
        <v/>
      </c>
      <c r="Z99" s="105" t="str">
        <f>IF(A99&lt;&gt;"",COUNTIFS('QA Log'!D:D,A99,'QA Log'!M:M,"QQC",'QA Log'!L:L,"2. Hygiene and Sterilization",'QA Log'!Z:Z,"Approved"),"")</f>
        <v/>
      </c>
      <c r="AA99" s="105" t="str">
        <f>IF(A99&lt;&gt;"",COUNTIFS('QA Log'!D:D,A99,'QA Log'!M:M,"QQC",'QA Log'!L:L,"4. Family Planning",'QA Log'!Z:Z,"Approved"),"")</f>
        <v/>
      </c>
      <c r="AB99" s="102" t="str">
        <f>IF(A99="","",
SUM(
COUNTIFS('QA Log'!D:D,A99,'QA Log'!M:M,"QQC",'QA Log'!Z:Z,"Rejected",'QA Log'!L:L,"*8. Maternity*"),
COUNTIFS('QA Log'!D:D,A99,'QA Log'!M:M,"QQC",'QA Log'!Z:Z,"Rejected",'QA Log'!L:L,"*9. EPI and Pre-school Consultation*"),
COUNTIFS('QA Log'!D:D,A99,'QA Log'!M:M,"QQC",'QA Log'!Z:Z,"Rejected",'QA Log'!L:L,"*10. Antenatal Care (ANC)*"),
COUNTIFS('QA Log'!D:D,A99,'QA Log'!M:M,"QQC",'QA Log'!Z:Z,"Rejected",'QA Log'!L:L,"*2. Hygiene and Sterilization*"),
COUNTIFS('QA Log'!D:D,A99,'QA Log'!M:M,"QQC",'QA Log'!Z:Z,"Rejected",'QA Log'!L:L,"*4. Family Planning*")
))</f>
        <v/>
      </c>
      <c r="AC99" s="102" t="str">
        <f t="shared" si="3"/>
        <v/>
      </c>
      <c r="AD99" s="103" t="str">
        <f t="shared" si="4"/>
        <v/>
      </c>
      <c r="AE99" s="102" t="str">
        <f>IF(A99="","",
SUM(
COUNTIFS('QA Log'!D:D,A99,'QA Log'!M:M,"Data Verification",'QA Log'!L:L,"*Medicine (section 2)*"),
COUNTIFS('QA Log'!D:D,A99,'QA Log'!M:M,"Data Verification",'QA Log'!L:L,"*Lab Testing Availability*"),
COUNTIFS('QA Log'!D:D,A99,'QA Log'!M:M,"Data Verification",'QA Log'!L:L,"*Other than P4P (section 6)*"),
COUNTIFS('QA Log'!D:D,A99,'QA Log'!M:M,"Data Verification",'QA Log'!L:L,"*Hospital Governance*")
))</f>
        <v/>
      </c>
      <c r="AF99" s="102" t="str">
        <f>IF(A99="","",
SUM(
COUNTIFS('QA Log'!D:D,A99,'QA Log'!M:M,"Data Verification",'QA Log'!Z:Z,"Approved",'QA Log'!L:L,"*Medicine (section 2)*"),
COUNTIFS('QA Log'!D:D,A99,'QA Log'!M:M,"Data Verification",'QA Log'!Z:Z,"Approved",'QA Log'!L:L,"*Lab Testing Availability*"),
COUNTIFS('QA Log'!D:D,A99,'QA Log'!M:M,"Data Verification",'QA Log'!Z:Z,"Approved",'QA Log'!L:L,"*Other than P4P (section 6)*"),
COUNTIFS('QA Log'!D:D,A99,'QA Log'!M:M,"Data Verification",'QA Log'!Z:Z,"Approved",'QA Log'!L:L,"*Hospital Governance*")
))</f>
        <v/>
      </c>
      <c r="AG99" s="105" t="str">
        <f>IF(A99&lt;&gt;"",COUNTIFS('QA Log'!D:D,A99,'QA Log'!M:M,"Data Verification",'QA Log'!L:L,"Medicine (section 2)",'QA Log'!Z:Z,"Approved"),"")</f>
        <v/>
      </c>
      <c r="AH99" s="105" t="str">
        <f>IF(A99&lt;&gt;"",COUNTIFS('QA Log'!D:D,A99,'QA Log'!M:M,"Data Verification",'QA Log'!L:L,"Lab Testing Availability",'QA Log'!Z:Z,"Approved"),"")</f>
        <v/>
      </c>
      <c r="AI99" s="105" t="str">
        <f>IF(A99&lt;&gt;"",COUNTIFS('QA Log'!D:D,A99,'QA Log'!M:M,"Data Verification",'QA Log'!L:L,"Other than P4P (section 6)",'QA Log'!Z:Z,"Approved"),"")</f>
        <v/>
      </c>
      <c r="AJ99" s="105" t="str">
        <f>IF(A99&lt;&gt;"",COUNTIFS('QA Log'!D:D,A99,'QA Log'!M:M,"Data Verification",'QA Log'!L:L,"Hospital Governance",'QA Log'!Z:Z,"Approved"),"")</f>
        <v/>
      </c>
      <c r="AK99" s="102" t="str">
        <f>IF(A99="","",
SUM(
COUNTIFS('QA Log'!D:D,A99,'QA Log'!M:M,"Data Verification",'QA Log'!Z:Z,"Rejected",'QA Log'!L:L,"*Medicine (section 2)*"),
COUNTIFS('QA Log'!D:D,A99,'QA Log'!M:M,"Data Verification",'QA Log'!Z:Z,"Rejected",'QA Log'!L:L,"*Lab Testing Availability*"),
COUNTIFS('QA Log'!D:D,A99,'QA Log'!M:M,"Data Verification",'QA Log'!Z:Z,"Rejected",'QA Log'!L:L,"*Other than P4P (section 6)*"),
COUNTIFS('QA Log'!D:D,A99,'QA Log'!M:M,"Data Verification",'QA Log'!Z:Z,"Rejected",'QA Log'!L:L,"*Hospital Governance*")
))</f>
        <v/>
      </c>
      <c r="AL99" s="106" t="str">
        <f t="shared" si="5"/>
        <v/>
      </c>
      <c r="AM99" s="102" t="str">
        <f t="shared" si="6"/>
        <v/>
      </c>
      <c r="AN99" s="102" t="str">
        <f>IF(A99="","",
SUM(
COUNTIFS('QA Log'!D:D,A99,'QA Log'!M:M,"Data Verification",'QA Log'!L:L,"*Personnel (section 1)*"),
COUNTIFS('QA Log'!D:D,A99,'QA Log'!M:M,"Data Verification",'QA Log'!L:L,"*Consumable (section 3)*"),
COUNTIFS('QA Log'!D:D,A99,'QA Log'!M:M,"Data Verification",'QA Log'!L:L,"*Equipments (section 4)*")
))</f>
        <v/>
      </c>
      <c r="AO99" s="102" t="str">
        <f>IF(A99="","",
SUM(
COUNTIFS('QA Log'!D:D,A99,'QA Log'!M:M,"Data Verification",'QA Log'!Z:Z,"Approved",'QA Log'!L:L,"*Personnel (section 1)*"),
COUNTIFS('QA Log'!D:D,A99,'QA Log'!M:M,"Data Verification",'QA Log'!Z:Z,"Approved",'QA Log'!L:L,"*Consumable (section 3)*"),
COUNTIFS('QA Log'!D:D,A99,'QA Log'!M:M,"Data Verification",'QA Log'!Z:Z,"Approved",'QA Log'!L:L,"*Equipments (section 4)*")
))</f>
        <v/>
      </c>
      <c r="AP99" s="105" t="str">
        <f>IF(A99&lt;&gt;"",COUNTIFS('QA Log'!D:D,A99,'QA Log'!M:M,"Data Verification",'QA Log'!L:L,"Personnel (section 1)",'QA Log'!Z:Z,"Approved"),"")</f>
        <v/>
      </c>
      <c r="AQ99" s="105" t="str">
        <f>IF(A99&lt;&gt;"",COUNTIFS('QA Log'!D:D,A99,'QA Log'!M:M,"Data Verification",'QA Log'!L:L,"Consumable (section 3)",'QA Log'!Z:Z,"Approved"),"")</f>
        <v/>
      </c>
      <c r="AR99" s="105" t="str">
        <f>IF(A99&lt;&gt;"",COUNTIFS('QA Log'!D:D,A99,'QA Log'!M:M,"Data Verification",'QA Log'!L:L,"Equipments (section 4)",'QA Log'!Z:Z,"Approved"),"")</f>
        <v/>
      </c>
      <c r="AS99" s="102" t="str">
        <f>IF(A99="","",
SUM(
COUNTIFS('QA Log'!D:D,A99,'QA Log'!M:M,"Data Verification",'QA Log'!Z:Z,"Rejected",'QA Log'!L:L,"*Personnel (section 1)*"),
COUNTIFS('QA Log'!D:D,A99,'QA Log'!M:M,"Data Verification",'QA Log'!Z:Z,"Rejected",'QA Log'!L:L,"*Consumable (section 3)*"),
COUNTIFS('QA Log'!D:D,A99,'QA Log'!M:M,"Data Verification",'QA Log'!Z:Z,"Rejected",'QA Log'!L:L,"*Equipments (section 4)*")
))</f>
        <v/>
      </c>
      <c r="AT99" s="102" t="str">
        <f t="shared" si="7"/>
        <v/>
      </c>
      <c r="AU99" s="103" t="str">
        <f t="shared" si="8"/>
        <v/>
      </c>
      <c r="AV99" s="102" t="str">
        <f>IF(A99="","",SUM(
COUNTIFS('QA Log'!D:D,A99,'QA Log'!M:M,"Vignette",'QA Log'!L:L,"*Vignette [1] Respiratory Infection: Pneumonia*"),
COUNTIFS('QA Log'!D:D,A99,'QA Log'!M:M,"Vignette",'QA Log'!L:L,"*Vignette [2]: Diarrhea with Cat B dehydration*"),
COUNTIFS('QA Log'!D:D,A99,'QA Log'!M:M,"Vignette",'QA Log'!L:L,"*Vignette [3] Growth Monitoring and Promotion*"),
COUNTIFS('QA Log'!D:D,A99,'QA Log'!M:M,"Vignette",'QA Log'!L:L,"*Vignette [4]: The management of presumptive TB patient*")
)
)</f>
        <v/>
      </c>
      <c r="AW99" s="102" t="str">
        <f>IF(
  A99="","",
  SUM(
    COUNTIFS('QA Log'!D:D,A99,'QA Log'!M:M,"Vignette",'QA Log'!Z:Z,"Approved",'QA Log'!L:L,"*Vignette [1] Respiratory Infection: Pneumonia*"),
    COUNTIFS('QA Log'!D:D,A99,'QA Log'!M:M,"Vignette",'QA Log'!Z:Z,"Approved",'QA Log'!L:L,"*Vignette [2]: Diarrhea with Cat B dehydration*"),
    COUNTIFS('QA Log'!D:D,A99,'QA Log'!M:M,"Vignette",'QA Log'!Z:Z,"Approved",'QA Log'!L:L,"*Vignette [3] Growth Monitoring and Promotion*"),
    COUNTIFS('QA Log'!D:D,A99,'QA Log'!M:M,"Vignette",'QA Log'!Z:Z,"Approved",'QA Log'!L:L,"*Vignette [4]: The management of presumptive TB patient*")
  )
)</f>
        <v/>
      </c>
      <c r="AX99" s="105" t="str">
        <f>IF(A99&lt;&gt;"",COUNTIFS('QA Log'!D:D,A99,'QA Log'!M:M,"Vignette",'QA Log'!L:L,"Vignette [1] Respiratory Infection: Pneumonia",'QA Log'!Z:Z,"Approved"),"")</f>
        <v/>
      </c>
      <c r="AY99" s="105" t="str">
        <f>IF(A99&lt;&gt;"",COUNTIFS('QA Log'!D:D,A99,'QA Log'!M:M,"Vignette",'QA Log'!L:L,"Vignette [2]: Diarrhea with Cat B dehydration",'QA Log'!Z:Z,"Approved"),"")</f>
        <v/>
      </c>
      <c r="AZ99" s="105" t="str">
        <f>IF(A99&lt;&gt;"",COUNTIFS('QA Log'!D:D,A99,'QA Log'!M:M,"Vignette",'QA Log'!L:L,"Vignette [3] Growth Monitoring and Promotion",'QA Log'!Z:Z,"Approved"),"")</f>
        <v/>
      </c>
      <c r="BA99" s="105" t="str">
        <f>IF(A99&lt;&gt;"",COUNTIFS('QA Log'!D:D,A99,'QA Log'!M:M,"Vignette",'QA Log'!L:L,"Vignette [4]: The management of presumptive TB patient",'QA Log'!Z:Z,"Approved"),"")</f>
        <v/>
      </c>
      <c r="BB99" s="102" t="str">
        <f>IF(A99="","",
  SUM(
    COUNTIFS('QA Log'!D:D,A99,'QA Log'!M:M,"Vignette",'QA Log'!Z:Z,"Rejected",'QA Log'!L:L,"*Vignette [1] Respiratory Infection: Pneumonia*"),
    COUNTIFS('QA Log'!D:D,A99,'QA Log'!M:M,"Vignette",'QA Log'!Z:Z,"Rejected",'QA Log'!L:L,"*Vignette [2]: Diarrhea with Cat B dehydration*"),
    COUNTIFS('QA Log'!D:D,A99,'QA Log'!M:M,"Vignette",'QA Log'!Z:Z,"Rejected",'QA Log'!L:L,"*Vignette [3] Growth Monitoring and Promotion*"),
    COUNTIFS('QA Log'!D:D,A99,'QA Log'!M:M,"Vignette",'QA Log'!Z:Z,"Rejected",'QA Log'!L:L,"*Vignette [4]: The management of presumptive TB patient*")
  )
)</f>
        <v/>
      </c>
      <c r="BC99" s="107" t="str">
        <f t="shared" si="9"/>
        <v/>
      </c>
      <c r="BD99" s="103" t="str">
        <f t="shared" si="10"/>
        <v/>
      </c>
      <c r="BE99" s="102" t="str">
        <f>IF(A99="","",SUM(
COUNTIFS('QA Log'!D:D,A99,'QA Log'!M:M,"Vignette",'QA Log'!L:L,"*Vignette [5] Labor*"),
COUNTIFS('QA Log'!D:D,A99,'QA Log'!M:M,"Vignette",'QA Log'!L:L,"*Vignette [6] PNC pre Discharge*"),
COUNTIFS('QA Log'!D:D,A99,'QA Log'!M:M,"Vignette",'QA Log'!L:L,"*Vignette [7] First ANC Visit*"),
COUNTIFS('QA Log'!D:D,A99,'QA Log'!M:M,"Vignette",'QA Log'!L:L,"*Vignette [8] Birth Spacing/ Family Planning :  FP Counselling*"),
COUNTIFS('QA Log'!D:D,A99,'QA Log'!M:M,"Vignette",'QA Log'!L:L,"*Vignette [9] Birth Spacing: Change FP method to Injectable*"),
COUNTIFS('QA Log'!D:D,A99,'QA Log'!M:M,"Vignette",'QA Log'!L:L,"*Vignette [10] Post Partum Haemorrhage - Atonic Uterus at Health Centre*"),
)
)</f>
        <v/>
      </c>
      <c r="BF99" s="102" t="str">
        <f>IF(A99="","",
  SUM(
    COUNTIFS('QA Log'!D:D,A99,'QA Log'!M:M,"Vignette",'QA Log'!Z:Z,"Approved",'QA Log'!L:L,"*Vignette [5] Labor*"),
    COUNTIFS('QA Log'!D:D,A99,'QA Log'!M:M,"Vignette",'QA Log'!Z:Z,"Approved",'QA Log'!L:L,"*Vignette [6] PNC pre Discharge*"),
    COUNTIFS('QA Log'!D:D,A99,'QA Log'!M:M,"Vignette",'QA Log'!Z:Z,"Approved",'QA Log'!L:L,"*Vignette [7] First ANC Visit*"),
    COUNTIFS('QA Log'!D:D,A99,'QA Log'!M:M,"Vignette",'QA Log'!Z:Z,"Approved",'QA Log'!L:L,"*Vignette [8] Birth Spacing/ Family Planning :  FP Counselling*"),
    COUNTIFS('QA Log'!D:D,A99,'QA Log'!M:M,"Vignette",'QA Log'!Z:Z,"Approved",'QA Log'!L:L,"*Vignette [9] Birth Spacing: Change FP method to Injectable*"),
    COUNTIFS('QA Log'!D:D,A99,'QA Log'!M:M,"Vignette",'QA Log'!Z:Z,"Approved",'QA Log'!L:L,"*Vignette [10] Post Partum Haemorrhage - Atonic Uterus at Health Centre*")
  )
)</f>
        <v/>
      </c>
      <c r="BG99" s="105" t="str">
        <f>IF(A99&lt;&gt;"",COUNTIFS('QA Log'!D:D,A99,'QA Log'!M:M,"Vignette",'QA Log'!L:L,"Vignette [5] Labor",'QA Log'!Z:Z,"Approved"),"")</f>
        <v/>
      </c>
      <c r="BH99" s="105" t="str">
        <f>IF(A99&lt;&gt;"",COUNTIFS('QA Log'!D:D,A99,'QA Log'!M:M,"Vignette",'QA Log'!L:L,"Vignette [6] PNC pre Discharge",'QA Log'!Z:Z,"Approved"),"")</f>
        <v/>
      </c>
      <c r="BI99" s="105" t="str">
        <f>IF(A99&lt;&gt;"",COUNTIFS('QA Log'!D:D,A99,'QA Log'!M:M,"Vignette",'QA Log'!L:L,"Vignette [7] First ANC Visit",'QA Log'!Z:Z,"Approved"),"")</f>
        <v/>
      </c>
      <c r="BJ99" s="105" t="str">
        <f>IF(A99&lt;&gt;"",COUNTIFS('QA Log'!D:D,A99,'QA Log'!M:M,"Vignette",'QA Log'!L:L,"Vignette [8] Birth Spacing/ Family Planning :  FP Counselling",'QA Log'!Z:Z,"Approved"),"")</f>
        <v/>
      </c>
      <c r="BK99" s="105" t="str">
        <f>IF(A99&lt;&gt;"",COUNTIFS('QA Log'!D:D,A99,'QA Log'!M:M,"Vignette",'QA Log'!L:L,"Vignette [9] Birth Spacing: Change FP method to Injectable",'QA Log'!Z:Z,"Approved"),"")</f>
        <v/>
      </c>
      <c r="BL99" s="105" t="str">
        <f>IF(A99&lt;&gt;"",COUNTIFS('QA Log'!D:D,A99,'QA Log'!M:M,"Vignette",'QA Log'!L:L,"Vignette [10] Post Partum Haemorrhage - Atonic Uterus at Health Centre",'QA Log'!Z:Z,"Approved"),"")</f>
        <v/>
      </c>
      <c r="BM99" s="102" t="str">
        <f>IF(A99="","",SUM(
    COUNTIFS('QA Log'!D:D,A99,'QA Log'!M:M,"Vignette",'QA Log'!Z:Z,"Rejected",'QA Log'!L:L,"*Vignette [5] Labor*"),
    COUNTIFS('QA Log'!D:D,A99,'QA Log'!M:M,"Vignette",'QA Log'!Z:Z,"Rejected",'QA Log'!L:L,"*Vignette [6] PNC pre Discharge*"),
    COUNTIFS('QA Log'!D:D,A99,'QA Log'!M:M,"Vignette",'QA Log'!Z:Z,"Rejected",'QA Log'!L:L,"*Vignette [7] First ANC Visit*"),
    COUNTIFS('QA Log'!D:D,A99,'QA Log'!M:M,"Vignette",'QA Log'!Z:Z,"Rejected",'QA Log'!L:L,"*Vignette [8] Birth Spacing/ Family Planning :  FP Counselling*"),
    COUNTIFS('QA Log'!D:D,A99,'QA Log'!M:M,"Vignette",'QA Log'!Z:Z,"Rejected",'QA Log'!L:L,"*Vignette [9] Birth Spacing: Change FP method to Injectable*"),
    COUNTIFS('QA Log'!D:D,A99,'QA Log'!M:M,"Vignette",'QA Log'!Z:Z,"Rejected",'QA Log'!L:L,"*Vignette [10] Post Partum Haemorrhage - Atonic Uterus at Health Centre*")
  )
)</f>
        <v/>
      </c>
      <c r="BN99" s="107" t="str">
        <f t="shared" si="11"/>
        <v/>
      </c>
      <c r="BO99" s="103" t="str">
        <f t="shared" si="12"/>
        <v/>
      </c>
      <c r="BP99" s="102" t="str">
        <f>IF(A99="","",SUM(
COUNTIFS('QA Log'!D:D,A99,'QA Log'!M:M,"Vignette",'QA Log'!L:L,"*Exit Interview 1*"),
COUNTIFS('QA Log'!D:D,A99,'QA Log'!M:M,"Vignette",'QA Log'!L:L,"*Exit Interview 2*"),
)
)</f>
        <v/>
      </c>
      <c r="BQ99" s="102" t="str">
        <f>IF(
  A99="","",
  SUM(
    COUNTIFS('QA Log'!D:D,A99,'QA Log'!M:M,"Vignette",'QA Log'!Z:Z,"Approved",'QA Log'!L:L,"*Exit Interview 1*"),
    COUNTIFS('QA Log'!D:D,A99,'QA Log'!M:M,"Vignette",'QA Log'!Z:Z,"Approved",'QA Log'!L:L,"*Exit Interview 2*")
  )
)</f>
        <v/>
      </c>
      <c r="BR99" s="105" t="str">
        <f>IF(A99&lt;&gt;"",COUNTIFS('QA Log'!D:D,A99,'QA Log'!M:M,"Vignette",'QA Log'!L:L,"Exit Interview 1",'QA Log'!Z:Z,"Approved"),"")</f>
        <v/>
      </c>
      <c r="BS99" s="105" t="str">
        <f>IF(A99&lt;&gt;"",COUNTIFS('QA Log'!D:D,A99,'QA Log'!M:M,"Vignette",'QA Log'!L:L,"Exit Interview 2",'QA Log'!Z:Z,"Approved"),"")</f>
        <v/>
      </c>
      <c r="BT99" s="102" t="str">
        <f>IF(
  A99="","",
  SUM(
    COUNTIFS('QA Log'!D:D,A99,'QA Log'!M:M,"Vignette",'QA Log'!Z:Z,"Rejected",'QA Log'!L:L,"*Exit Interview 1*"),
    COUNTIFS('QA Log'!D:D,A99,'QA Log'!M:M,"Vignette",'QA Log'!Z:Z,"Rejected",'QA Log'!L:L,"*Exit Interview 2*")
  )
)</f>
        <v/>
      </c>
      <c r="BU99" s="107" t="str">
        <f t="shared" si="13"/>
        <v/>
      </c>
      <c r="BV99" s="102" t="str">
        <f t="shared" si="14"/>
        <v/>
      </c>
      <c r="BW99" s="102" t="str">
        <f t="shared" si="15"/>
        <v/>
      </c>
      <c r="BX99" s="102" t="str">
        <f t="shared" si="16"/>
        <v/>
      </c>
      <c r="BY99" s="102" t="str">
        <f t="shared" si="17"/>
        <v/>
      </c>
      <c r="BZ99" s="107" t="str">
        <f t="shared" si="18"/>
        <v/>
      </c>
      <c r="CA99" s="108" t="str">
        <f t="shared" si="19"/>
        <v/>
      </c>
      <c r="CB99" s="108" t="str">
        <f t="shared" si="20"/>
        <v/>
      </c>
      <c r="CC99" s="109" t="str">
        <f t="shared" si="21"/>
        <v/>
      </c>
      <c r="CD99" s="108" t="str">
        <f t="shared" si="22"/>
        <v/>
      </c>
      <c r="CE99" s="108" t="str">
        <f t="shared" si="23"/>
        <v/>
      </c>
      <c r="CF99" s="109" t="str">
        <f t="shared" si="24"/>
        <v/>
      </c>
      <c r="CG99" s="110" t="str">
        <f t="shared" si="25"/>
        <v/>
      </c>
      <c r="CH99" s="111"/>
    </row>
    <row r="100" spans="1:86" ht="12.75">
      <c r="A100" s="101"/>
      <c r="B100" s="102" t="e">
        <f t="array" aca="1" ref="B100" ca="1">_xludf.XLOOKUP(A100,'QA Log'!D:D,'QA Log'!E:E,"")</f>
        <v>#NAME?</v>
      </c>
      <c r="C100" s="102" t="e">
        <f t="array" aca="1" ref="C100" ca="1">_xludf.XLOOKUP(A100,'QA Log'!D:D,'QA Log'!F:F,"")</f>
        <v>#NAME?</v>
      </c>
      <c r="D100" s="102" t="e">
        <f t="array" aca="1" ref="D100" ca="1">_xludf.XLOOKUP(A100,'QA Log'!D:D,'QA Log'!H:H,"")</f>
        <v>#NAME?</v>
      </c>
      <c r="E100" s="102" t="e">
        <f t="array" aca="1" ref="E100" ca="1">_xludf.XLOOKUP(A100,'QA Log'!D:D,'QA Log'!G:G,"")</f>
        <v>#NAME?</v>
      </c>
      <c r="F100" s="103"/>
      <c r="G100" s="104"/>
      <c r="H100" s="104"/>
      <c r="I100" s="103" t="str">
        <f t="shared" si="0"/>
        <v/>
      </c>
      <c r="J100" s="102" t="str">
        <f>IF(A100="","",SUM(
COUNTIFS('QA Log'!D:D,A100,'QA Log'!M:M,"QQC",'QA Log'!L:L,"*1. General Management*"),
COUNTIFS('QA Log'!D:D,A100,'QA Log'!M:M,"QQC",'QA Log'!L:L,"*3. Curative Consultation (OPD)*"),
COUNTIFS('QA Log'!D:D,A100,'QA Log'!M:M,"QQC",'QA Log'!L:L,"*5. Laboratory*"),
COUNTIFS('QA Log'!D:D,A100,'QA Log'!M:M,"QQC",'QA Log'!L:L,"*6. Essential Medicine Management*"),
COUNTIFS('QA Log'!D:D,A100,'QA Log'!M:M,"QQC",'QA Log'!L:L,"*7. Tracer Medicine*"),
COUNTIFS('QA Log'!D:D,A100,'QA Log'!M:M,"QQC",'QA Log'!L:L,"*11. Additional Questions*")))</f>
        <v/>
      </c>
      <c r="K100" s="102" t="str">
        <f>IF(A100="","",SUM(
COUNTIFS('QA Log'!D:D,A100,'QA Log'!M:M,"QQC",'QA Log'!Z:Z,"Approved",'QA Log'!L:L,"*1. General Management*"),
COUNTIFS('QA Log'!D:D,A100,'QA Log'!M:M,"QQC",'QA Log'!Z:Z,"Approved",'QA Log'!L:L,"*3. Curative Consultation (OPD)*"),
COUNTIFS('QA Log'!D:D,A100,'QA Log'!M:M,"QQC",'QA Log'!Z:Z,"Approved",'QA Log'!L:L,"*5. Laboratory*"),
COUNTIFS('QA Log'!D:D,A100,'QA Log'!M:M,"QQC",'QA Log'!Z:Z,"Approved",'QA Log'!L:L,"*6. Essential Medicine Management*"),
COUNTIFS('QA Log'!D:D,A100,'QA Log'!M:M,"QQC",'QA Log'!Z:Z,"Approved",'QA Log'!L:L,"*7. Tracer Medicine*"),
COUNTIFS('QA Log'!D:D,A100,'QA Log'!M:M,"QQC",'QA Log'!Z:Z,"Approved",'QA Log'!L:L,"*11. Additional Questions*")))</f>
        <v/>
      </c>
      <c r="L100" s="105" t="str">
        <f>IF(A100&lt;&gt;"",COUNTIFS('QA Log'!D:D,A100,'QA Log'!M:M,"QQC",'QA Log'!L:L,"1. General Management",'QA Log'!Z:Z,"Approved"),"")</f>
        <v/>
      </c>
      <c r="M100" s="105" t="str">
        <f>IF(A100&lt;&gt;"",COUNTIFS('QA Log'!D:D,A100,'QA Log'!M:M,"QQC",'QA Log'!L:L,"3. Curative Consultation (OPD)",'QA Log'!Z:Z,"Approved"),"")</f>
        <v/>
      </c>
      <c r="N100" s="105" t="str">
        <f>IF(A100&lt;&gt;"",COUNTIFS('QA Log'!D:D,A100,'QA Log'!M:M,"QQC",'QA Log'!L:L,"5. Laboratory",'QA Log'!Z:Z,"Approved"),"")</f>
        <v/>
      </c>
      <c r="O100" s="105" t="str">
        <f>IF(A100&lt;&gt;"",COUNTIFS('QA Log'!D:D,A100,'QA Log'!M:M,"QQC",'QA Log'!L:L,"6. Essential Medicine Management",'QA Log'!Z:Z,"Approved"),"")</f>
        <v/>
      </c>
      <c r="P100" s="105" t="str">
        <f>IF(A100&lt;&gt;"",COUNTIFS('QA Log'!D:D,A100,'QA Log'!M:M,"QQC",'QA Log'!L:L,"7. Tracer Medicine",'QA Log'!Z:Z,"Approved"),"")</f>
        <v/>
      </c>
      <c r="Q100" s="105" t="str">
        <f>IF(A100&lt;&gt;"",COUNTIFS('QA Log'!D:D,A100,'QA Log'!M:M,"QQC",'QA Log'!L:L,"11. Additional Questions",'QA Log'!Z:Z,"Approved"),"")</f>
        <v/>
      </c>
      <c r="R100" s="102" t="str">
        <f>IF(A100="","",SUM(
COUNTIFS('QA Log'!D:D,A100,'QA Log'!M:M,"QQC",'QA Log'!Z:Z,"Rejected",'QA Log'!L:L,"*8. Maternity*"),
COUNTIFS('QA Log'!D:D,A100,'QA Log'!M:M,"QQC",'QA Log'!Z:Z,"Rejected",'QA Log'!L:L,"*EPI*"),
COUNTIFS('QA Log'!D:D,A100,'QA Log'!M:M,"QQC",'QA Log'!Z:Z,"Rejected",'QA Log'!L:L,"*10. Antenatal Care (ANC)*"),
COUNTIFS('QA Log'!D:D,A100,'QA Log'!M:M,"QQC",'QA Log'!Z:Z,"Rejected",'QA Log'!L:L,"*2. Hygiene and Sterilization*"),
COUNTIFS('QA Log'!D:D,A100,'QA Log'!M:M,"QQC",'QA Log'!Z:Z,"Rejected",'QA Log'!L:L,"*Family Planning*")))</f>
        <v/>
      </c>
      <c r="S100" s="106" t="str">
        <f t="shared" si="1"/>
        <v/>
      </c>
      <c r="T100" s="102" t="str">
        <f t="shared" si="2"/>
        <v/>
      </c>
      <c r="U100" s="102" t="str">
        <f>IF(A100="","",
SUM(
COUNTIFS('QA Log'!D:D,A100,'QA Log'!M:M,"QQC",'QA Log'!L:L,"*8. Maternity*"),
COUNTIFS('QA Log'!D:D,A100,'QA Log'!M:M,"QQC",'QA Log'!L:L,"*9. EPI and Pre-school Consultation*"),
COUNTIFS('QA Log'!D:D,A100,'QA Log'!M:M,"QQC",'QA Log'!L:L,"*10. Antenatal Care (ANC)*"),
COUNTIFS('QA Log'!D:D,A100,'QA Log'!M:M,"QQC",'QA Log'!L:L,"*2. Hygiene and Sterilization*"),
COUNTIFS('QA Log'!D:D,A100,'QA Log'!M:M,"QQC",'QA Log'!L:L,"*4. Family Planning*")
))</f>
        <v/>
      </c>
      <c r="V100" s="102" t="str">
        <f>IF(A100="","",
SUM(
COUNTIFS('QA Log'!D:D,A100,'QA Log'!M:M,"QQC",'QA Log'!Z:Z,"Approved",'QA Log'!L:L,"*8. Maternity*"),
COUNTIFS('QA Log'!D:D,A100,'QA Log'!M:M,"QQC",'QA Log'!Z:Z,"Approved",'QA Log'!L:L,"*9. EPI and Pre-school Consultation*"),
COUNTIFS('QA Log'!D:D,A100,'QA Log'!M:M,"QQC",'QA Log'!Z:Z,"Approved",'QA Log'!L:L,"*10. Antenatal Care (ANC)*"),
COUNTIFS('QA Log'!D:D,A100,'QA Log'!M:M,"QQC",'QA Log'!Z:Z,"Approved",'QA Log'!L:L,"*2. Hygiene and Sterilization*"),
COUNTIFS('QA Log'!D:D,A100,'QA Log'!M:M,"QQC",'QA Log'!Z:Z,"Approved",'QA Log'!L:L,"*4. Family Planning*")
))</f>
        <v/>
      </c>
      <c r="W100" s="105" t="str">
        <f>IF(A100&lt;&gt;"",COUNTIFS('QA Log'!D:D,A100,'QA Log'!M:M,"QQC",'QA Log'!L:L,"8. Maternity",'QA Log'!Z:Z,"Approved"),"")</f>
        <v/>
      </c>
      <c r="X100" s="105" t="str">
        <f>IF(A100&lt;&gt;"",COUNTIFS('QA Log'!D:D,A100,'QA Log'!M:M,"QQC",'QA Log'!L:L,"9. EPI and Pre-school Consultation",'QA Log'!Z:Z,"Approved"),"")</f>
        <v/>
      </c>
      <c r="Y100" s="105" t="str">
        <f>IF(A100&lt;&gt;"",COUNTIFS('QA Log'!D:D,A100,'QA Log'!M:M,"QQC",'QA Log'!L:L,"10. Antenatal Care (ANC)",'QA Log'!Z:Z,"Approved"),"")</f>
        <v/>
      </c>
      <c r="Z100" s="105" t="str">
        <f>IF(A100&lt;&gt;"",COUNTIFS('QA Log'!D:D,A100,'QA Log'!M:M,"QQC",'QA Log'!L:L,"2. Hygiene and Sterilization",'QA Log'!Z:Z,"Approved"),"")</f>
        <v/>
      </c>
      <c r="AA100" s="105" t="str">
        <f>IF(A100&lt;&gt;"",COUNTIFS('QA Log'!D:D,A100,'QA Log'!M:M,"QQC",'QA Log'!L:L,"4. Family Planning",'QA Log'!Z:Z,"Approved"),"")</f>
        <v/>
      </c>
      <c r="AB100" s="102" t="str">
        <f>IF(A100="","",
SUM(
COUNTIFS('QA Log'!D:D,A100,'QA Log'!M:M,"QQC",'QA Log'!Z:Z,"Rejected",'QA Log'!L:L,"*8. Maternity*"),
COUNTIFS('QA Log'!D:D,A100,'QA Log'!M:M,"QQC",'QA Log'!Z:Z,"Rejected",'QA Log'!L:L,"*9. EPI and Pre-school Consultation*"),
COUNTIFS('QA Log'!D:D,A100,'QA Log'!M:M,"QQC",'QA Log'!Z:Z,"Rejected",'QA Log'!L:L,"*10. Antenatal Care (ANC)*"),
COUNTIFS('QA Log'!D:D,A100,'QA Log'!M:M,"QQC",'QA Log'!Z:Z,"Rejected",'QA Log'!L:L,"*2. Hygiene and Sterilization*"),
COUNTIFS('QA Log'!D:D,A100,'QA Log'!M:M,"QQC",'QA Log'!Z:Z,"Rejected",'QA Log'!L:L,"*4. Family Planning*")
))</f>
        <v/>
      </c>
      <c r="AC100" s="102" t="str">
        <f t="shared" si="3"/>
        <v/>
      </c>
      <c r="AD100" s="103" t="str">
        <f t="shared" si="4"/>
        <v/>
      </c>
      <c r="AE100" s="102" t="str">
        <f>IF(A100="","",
SUM(
COUNTIFS('QA Log'!D:D,A100,'QA Log'!M:M,"Data Verification",'QA Log'!L:L,"*Medicine (section 2)*"),
COUNTIFS('QA Log'!D:D,A100,'QA Log'!M:M,"Data Verification",'QA Log'!L:L,"*Lab Testing Availability*"),
COUNTIFS('QA Log'!D:D,A100,'QA Log'!M:M,"Data Verification",'QA Log'!L:L,"*Other than P4P (section 6)*"),
COUNTIFS('QA Log'!D:D,A100,'QA Log'!M:M,"Data Verification",'QA Log'!L:L,"*Hospital Governance*")
))</f>
        <v/>
      </c>
      <c r="AF100" s="102" t="str">
        <f>IF(A100="","",
SUM(
COUNTIFS('QA Log'!D:D,A100,'QA Log'!M:M,"Data Verification",'QA Log'!Z:Z,"Approved",'QA Log'!L:L,"*Medicine (section 2)*"),
COUNTIFS('QA Log'!D:D,A100,'QA Log'!M:M,"Data Verification",'QA Log'!Z:Z,"Approved",'QA Log'!L:L,"*Lab Testing Availability*"),
COUNTIFS('QA Log'!D:D,A100,'QA Log'!M:M,"Data Verification",'QA Log'!Z:Z,"Approved",'QA Log'!L:L,"*Other than P4P (section 6)*"),
COUNTIFS('QA Log'!D:D,A100,'QA Log'!M:M,"Data Verification",'QA Log'!Z:Z,"Approved",'QA Log'!L:L,"*Hospital Governance*")
))</f>
        <v/>
      </c>
      <c r="AG100" s="105" t="str">
        <f>IF(A100&lt;&gt;"",COUNTIFS('QA Log'!D:D,A100,'QA Log'!M:M,"Data Verification",'QA Log'!L:L,"Medicine (section 2)",'QA Log'!Z:Z,"Approved"),"")</f>
        <v/>
      </c>
      <c r="AH100" s="105" t="str">
        <f>IF(A100&lt;&gt;"",COUNTIFS('QA Log'!D:D,A100,'QA Log'!M:M,"Data Verification",'QA Log'!L:L,"Lab Testing Availability",'QA Log'!Z:Z,"Approved"),"")</f>
        <v/>
      </c>
      <c r="AI100" s="105" t="str">
        <f>IF(A100&lt;&gt;"",COUNTIFS('QA Log'!D:D,A100,'QA Log'!M:M,"Data Verification",'QA Log'!L:L,"Other than P4P (section 6)",'QA Log'!Z:Z,"Approved"),"")</f>
        <v/>
      </c>
      <c r="AJ100" s="105" t="str">
        <f>IF(A100&lt;&gt;"",COUNTIFS('QA Log'!D:D,A100,'QA Log'!M:M,"Data Verification",'QA Log'!L:L,"Hospital Governance",'QA Log'!Z:Z,"Approved"),"")</f>
        <v/>
      </c>
      <c r="AK100" s="102" t="str">
        <f>IF(A100="","",
SUM(
COUNTIFS('QA Log'!D:D,A100,'QA Log'!M:M,"Data Verification",'QA Log'!Z:Z,"Rejected",'QA Log'!L:L,"*Medicine (section 2)*"),
COUNTIFS('QA Log'!D:D,A100,'QA Log'!M:M,"Data Verification",'QA Log'!Z:Z,"Rejected",'QA Log'!L:L,"*Lab Testing Availability*"),
COUNTIFS('QA Log'!D:D,A100,'QA Log'!M:M,"Data Verification",'QA Log'!Z:Z,"Rejected",'QA Log'!L:L,"*Other than P4P (section 6)*"),
COUNTIFS('QA Log'!D:D,A100,'QA Log'!M:M,"Data Verification",'QA Log'!Z:Z,"Rejected",'QA Log'!L:L,"*Hospital Governance*")
))</f>
        <v/>
      </c>
      <c r="AL100" s="106" t="str">
        <f t="shared" si="5"/>
        <v/>
      </c>
      <c r="AM100" s="102" t="str">
        <f t="shared" si="6"/>
        <v/>
      </c>
      <c r="AN100" s="102" t="str">
        <f>IF(A100="","",
SUM(
COUNTIFS('QA Log'!D:D,A100,'QA Log'!M:M,"Data Verification",'QA Log'!L:L,"*Personnel (section 1)*"),
COUNTIFS('QA Log'!D:D,A100,'QA Log'!M:M,"Data Verification",'QA Log'!L:L,"*Consumable (section 3)*"),
COUNTIFS('QA Log'!D:D,A100,'QA Log'!M:M,"Data Verification",'QA Log'!L:L,"*Equipments (section 4)*")
))</f>
        <v/>
      </c>
      <c r="AO100" s="102" t="str">
        <f>IF(A100="","",
SUM(
COUNTIFS('QA Log'!D:D,A100,'QA Log'!M:M,"Data Verification",'QA Log'!Z:Z,"Approved",'QA Log'!L:L,"*Personnel (section 1)*"),
COUNTIFS('QA Log'!D:D,A100,'QA Log'!M:M,"Data Verification",'QA Log'!Z:Z,"Approved",'QA Log'!L:L,"*Consumable (section 3)*"),
COUNTIFS('QA Log'!D:D,A100,'QA Log'!M:M,"Data Verification",'QA Log'!Z:Z,"Approved",'QA Log'!L:L,"*Equipments (section 4)*")
))</f>
        <v/>
      </c>
      <c r="AP100" s="105" t="str">
        <f>IF(A100&lt;&gt;"",COUNTIFS('QA Log'!D:D,A100,'QA Log'!M:M,"Data Verification",'QA Log'!L:L,"Personnel (section 1)",'QA Log'!Z:Z,"Approved"),"")</f>
        <v/>
      </c>
      <c r="AQ100" s="105" t="str">
        <f>IF(A100&lt;&gt;"",COUNTIFS('QA Log'!D:D,A100,'QA Log'!M:M,"Data Verification",'QA Log'!L:L,"Consumable (section 3)",'QA Log'!Z:Z,"Approved"),"")</f>
        <v/>
      </c>
      <c r="AR100" s="105" t="str">
        <f>IF(A100&lt;&gt;"",COUNTIFS('QA Log'!D:D,A100,'QA Log'!M:M,"Data Verification",'QA Log'!L:L,"Equipments (section 4)",'QA Log'!Z:Z,"Approved"),"")</f>
        <v/>
      </c>
      <c r="AS100" s="102" t="str">
        <f>IF(A100="","",
SUM(
COUNTIFS('QA Log'!D:D,A100,'QA Log'!M:M,"Data Verification",'QA Log'!Z:Z,"Rejected",'QA Log'!L:L,"*Personnel (section 1)*"),
COUNTIFS('QA Log'!D:D,A100,'QA Log'!M:M,"Data Verification",'QA Log'!Z:Z,"Rejected",'QA Log'!L:L,"*Consumable (section 3)*"),
COUNTIFS('QA Log'!D:D,A100,'QA Log'!M:M,"Data Verification",'QA Log'!Z:Z,"Rejected",'QA Log'!L:L,"*Equipments (section 4)*")
))</f>
        <v/>
      </c>
      <c r="AT100" s="102" t="str">
        <f t="shared" si="7"/>
        <v/>
      </c>
      <c r="AU100" s="103" t="str">
        <f t="shared" si="8"/>
        <v/>
      </c>
      <c r="AV100" s="102" t="str">
        <f>IF(A100="","",SUM(
COUNTIFS('QA Log'!D:D,A100,'QA Log'!M:M,"Vignette",'QA Log'!L:L,"*Vignette [1] Respiratory Infection: Pneumonia*"),
COUNTIFS('QA Log'!D:D,A100,'QA Log'!M:M,"Vignette",'QA Log'!L:L,"*Vignette [2]: Diarrhea with Cat B dehydration*"),
COUNTIFS('QA Log'!D:D,A100,'QA Log'!M:M,"Vignette",'QA Log'!L:L,"*Vignette [3] Growth Monitoring and Promotion*"),
COUNTIFS('QA Log'!D:D,A100,'QA Log'!M:M,"Vignette",'QA Log'!L:L,"*Vignette [4]: The management of presumptive TB patient*")
)
)</f>
        <v/>
      </c>
      <c r="AW100" s="102" t="str">
        <f>IF(
  A100="","",
  SUM(
    COUNTIFS('QA Log'!D:D,A100,'QA Log'!M:M,"Vignette",'QA Log'!Z:Z,"Approved",'QA Log'!L:L,"*Vignette [1] Respiratory Infection: Pneumonia*"),
    COUNTIFS('QA Log'!D:D,A100,'QA Log'!M:M,"Vignette",'QA Log'!Z:Z,"Approved",'QA Log'!L:L,"*Vignette [2]: Diarrhea with Cat B dehydration*"),
    COUNTIFS('QA Log'!D:D,A100,'QA Log'!M:M,"Vignette",'QA Log'!Z:Z,"Approved",'QA Log'!L:L,"*Vignette [3] Growth Monitoring and Promotion*"),
    COUNTIFS('QA Log'!D:D,A100,'QA Log'!M:M,"Vignette",'QA Log'!Z:Z,"Approved",'QA Log'!L:L,"*Vignette [4]: The management of presumptive TB patient*")
  )
)</f>
        <v/>
      </c>
      <c r="AX100" s="105" t="str">
        <f>IF(A100&lt;&gt;"",COUNTIFS('QA Log'!D:D,A100,'QA Log'!M:M,"Vignette",'QA Log'!L:L,"Vignette [1] Respiratory Infection: Pneumonia",'QA Log'!Z:Z,"Approved"),"")</f>
        <v/>
      </c>
      <c r="AY100" s="105" t="str">
        <f>IF(A100&lt;&gt;"",COUNTIFS('QA Log'!D:D,A100,'QA Log'!M:M,"Vignette",'QA Log'!L:L,"Vignette [2]: Diarrhea with Cat B dehydration",'QA Log'!Z:Z,"Approved"),"")</f>
        <v/>
      </c>
      <c r="AZ100" s="105" t="str">
        <f>IF(A100&lt;&gt;"",COUNTIFS('QA Log'!D:D,A100,'QA Log'!M:M,"Vignette",'QA Log'!L:L,"Vignette [3] Growth Monitoring and Promotion",'QA Log'!Z:Z,"Approved"),"")</f>
        <v/>
      </c>
      <c r="BA100" s="105" t="str">
        <f>IF(A100&lt;&gt;"",COUNTIFS('QA Log'!D:D,A100,'QA Log'!M:M,"Vignette",'QA Log'!L:L,"Vignette [4]: The management of presumptive TB patient",'QA Log'!Z:Z,"Approved"),"")</f>
        <v/>
      </c>
      <c r="BB100" s="102" t="str">
        <f>IF(A100="","",
  SUM(
    COUNTIFS('QA Log'!D:D,A100,'QA Log'!M:M,"Vignette",'QA Log'!Z:Z,"Rejected",'QA Log'!L:L,"*Vignette [1] Respiratory Infection: Pneumonia*"),
    COUNTIFS('QA Log'!D:D,A100,'QA Log'!M:M,"Vignette",'QA Log'!Z:Z,"Rejected",'QA Log'!L:L,"*Vignette [2]: Diarrhea with Cat B dehydration*"),
    COUNTIFS('QA Log'!D:D,A100,'QA Log'!M:M,"Vignette",'QA Log'!Z:Z,"Rejected",'QA Log'!L:L,"*Vignette [3] Growth Monitoring and Promotion*"),
    COUNTIFS('QA Log'!D:D,A100,'QA Log'!M:M,"Vignette",'QA Log'!Z:Z,"Rejected",'QA Log'!L:L,"*Vignette [4]: The management of presumptive TB patient*")
  )
)</f>
        <v/>
      </c>
      <c r="BC100" s="107" t="str">
        <f t="shared" si="9"/>
        <v/>
      </c>
      <c r="BD100" s="103" t="str">
        <f t="shared" si="10"/>
        <v/>
      </c>
      <c r="BE100" s="102" t="str">
        <f>IF(A100="","",SUM(
COUNTIFS('QA Log'!D:D,A100,'QA Log'!M:M,"Vignette",'QA Log'!L:L,"*Vignette [5] Labor*"),
COUNTIFS('QA Log'!D:D,A100,'QA Log'!M:M,"Vignette",'QA Log'!L:L,"*Vignette [6] PNC pre Discharge*"),
COUNTIFS('QA Log'!D:D,A100,'QA Log'!M:M,"Vignette",'QA Log'!L:L,"*Vignette [7] First ANC Visit*"),
COUNTIFS('QA Log'!D:D,A100,'QA Log'!M:M,"Vignette",'QA Log'!L:L,"*Vignette [8] Birth Spacing/ Family Planning :  FP Counselling*"),
COUNTIFS('QA Log'!D:D,A100,'QA Log'!M:M,"Vignette",'QA Log'!L:L,"*Vignette [9] Birth Spacing: Change FP method to Injectable*"),
COUNTIFS('QA Log'!D:D,A100,'QA Log'!M:M,"Vignette",'QA Log'!L:L,"*Vignette [10] Post Partum Haemorrhage - Atonic Uterus at Health Centre*"),
)
)</f>
        <v/>
      </c>
      <c r="BF100" s="102" t="str">
        <f>IF(A100="","",
  SUM(
    COUNTIFS('QA Log'!D:D,A100,'QA Log'!M:M,"Vignette",'QA Log'!Z:Z,"Approved",'QA Log'!L:L,"*Vignette [5] Labor*"),
    COUNTIFS('QA Log'!D:D,A100,'QA Log'!M:M,"Vignette",'QA Log'!Z:Z,"Approved",'QA Log'!L:L,"*Vignette [6] PNC pre Discharge*"),
    COUNTIFS('QA Log'!D:D,A100,'QA Log'!M:M,"Vignette",'QA Log'!Z:Z,"Approved",'QA Log'!L:L,"*Vignette [7] First ANC Visit*"),
    COUNTIFS('QA Log'!D:D,A100,'QA Log'!M:M,"Vignette",'QA Log'!Z:Z,"Approved",'QA Log'!L:L,"*Vignette [8] Birth Spacing/ Family Planning :  FP Counselling*"),
    COUNTIFS('QA Log'!D:D,A100,'QA Log'!M:M,"Vignette",'QA Log'!Z:Z,"Approved",'QA Log'!L:L,"*Vignette [9] Birth Spacing: Change FP method to Injectable*"),
    COUNTIFS('QA Log'!D:D,A100,'QA Log'!M:M,"Vignette",'QA Log'!Z:Z,"Approved",'QA Log'!L:L,"*Vignette [10] Post Partum Haemorrhage - Atonic Uterus at Health Centre*")
  )
)</f>
        <v/>
      </c>
      <c r="BG100" s="105" t="str">
        <f>IF(A100&lt;&gt;"",COUNTIFS('QA Log'!D:D,A100,'QA Log'!M:M,"Vignette",'QA Log'!L:L,"Vignette [5] Labor",'QA Log'!Z:Z,"Approved"),"")</f>
        <v/>
      </c>
      <c r="BH100" s="105" t="str">
        <f>IF(A100&lt;&gt;"",COUNTIFS('QA Log'!D:D,A100,'QA Log'!M:M,"Vignette",'QA Log'!L:L,"Vignette [6] PNC pre Discharge",'QA Log'!Z:Z,"Approved"),"")</f>
        <v/>
      </c>
      <c r="BI100" s="105" t="str">
        <f>IF(A100&lt;&gt;"",COUNTIFS('QA Log'!D:D,A100,'QA Log'!M:M,"Vignette",'QA Log'!L:L,"Vignette [7] First ANC Visit",'QA Log'!Z:Z,"Approved"),"")</f>
        <v/>
      </c>
      <c r="BJ100" s="105" t="str">
        <f>IF(A100&lt;&gt;"",COUNTIFS('QA Log'!D:D,A100,'QA Log'!M:M,"Vignette",'QA Log'!L:L,"Vignette [8] Birth Spacing/ Family Planning :  FP Counselling",'QA Log'!Z:Z,"Approved"),"")</f>
        <v/>
      </c>
      <c r="BK100" s="105" t="str">
        <f>IF(A100&lt;&gt;"",COUNTIFS('QA Log'!D:D,A100,'QA Log'!M:M,"Vignette",'QA Log'!L:L,"Vignette [9] Birth Spacing: Change FP method to Injectable",'QA Log'!Z:Z,"Approved"),"")</f>
        <v/>
      </c>
      <c r="BL100" s="105" t="str">
        <f>IF(A100&lt;&gt;"",COUNTIFS('QA Log'!D:D,A100,'QA Log'!M:M,"Vignette",'QA Log'!L:L,"Vignette [10] Post Partum Haemorrhage - Atonic Uterus at Health Centre",'QA Log'!Z:Z,"Approved"),"")</f>
        <v/>
      </c>
      <c r="BM100" s="102" t="str">
        <f>IF(A100="","",SUM(
    COUNTIFS('QA Log'!D:D,A100,'QA Log'!M:M,"Vignette",'QA Log'!Z:Z,"Rejected",'QA Log'!L:L,"*Vignette [5] Labor*"),
    COUNTIFS('QA Log'!D:D,A100,'QA Log'!M:M,"Vignette",'QA Log'!Z:Z,"Rejected",'QA Log'!L:L,"*Vignette [6] PNC pre Discharge*"),
    COUNTIFS('QA Log'!D:D,A100,'QA Log'!M:M,"Vignette",'QA Log'!Z:Z,"Rejected",'QA Log'!L:L,"*Vignette [7] First ANC Visit*"),
    COUNTIFS('QA Log'!D:D,A100,'QA Log'!M:M,"Vignette",'QA Log'!Z:Z,"Rejected",'QA Log'!L:L,"*Vignette [8] Birth Spacing/ Family Planning :  FP Counselling*"),
    COUNTIFS('QA Log'!D:D,A100,'QA Log'!M:M,"Vignette",'QA Log'!Z:Z,"Rejected",'QA Log'!L:L,"*Vignette [9] Birth Spacing: Change FP method to Injectable*"),
    COUNTIFS('QA Log'!D:D,A100,'QA Log'!M:M,"Vignette",'QA Log'!Z:Z,"Rejected",'QA Log'!L:L,"*Vignette [10] Post Partum Haemorrhage - Atonic Uterus at Health Centre*")
  )
)</f>
        <v/>
      </c>
      <c r="BN100" s="107" t="str">
        <f t="shared" si="11"/>
        <v/>
      </c>
      <c r="BO100" s="103" t="str">
        <f t="shared" si="12"/>
        <v/>
      </c>
      <c r="BP100" s="102" t="str">
        <f>IF(A100="","",SUM(
COUNTIFS('QA Log'!D:D,A100,'QA Log'!M:M,"Vignette",'QA Log'!L:L,"*Exit Interview 1*"),
COUNTIFS('QA Log'!D:D,A100,'QA Log'!M:M,"Vignette",'QA Log'!L:L,"*Exit Interview 2*"),
)
)</f>
        <v/>
      </c>
      <c r="BQ100" s="102" t="str">
        <f>IF(
  A100="","",
  SUM(
    COUNTIFS('QA Log'!D:D,A100,'QA Log'!M:M,"Vignette",'QA Log'!Z:Z,"Approved",'QA Log'!L:L,"*Exit Interview 1*"),
    COUNTIFS('QA Log'!D:D,A100,'QA Log'!M:M,"Vignette",'QA Log'!Z:Z,"Approved",'QA Log'!L:L,"*Exit Interview 2*")
  )
)</f>
        <v/>
      </c>
      <c r="BR100" s="105" t="str">
        <f>IF(A100&lt;&gt;"",COUNTIFS('QA Log'!D:D,A100,'QA Log'!M:M,"Vignette",'QA Log'!L:L,"Exit Interview 1",'QA Log'!Z:Z,"Approved"),"")</f>
        <v/>
      </c>
      <c r="BS100" s="105" t="str">
        <f>IF(A100&lt;&gt;"",COUNTIFS('QA Log'!D:D,A100,'QA Log'!M:M,"Vignette",'QA Log'!L:L,"Exit Interview 2",'QA Log'!Z:Z,"Approved"),"")</f>
        <v/>
      </c>
      <c r="BT100" s="102" t="str">
        <f>IF(
  A100="","",
  SUM(
    COUNTIFS('QA Log'!D:D,A100,'QA Log'!M:M,"Vignette",'QA Log'!Z:Z,"Rejected",'QA Log'!L:L,"*Exit Interview 1*"),
    COUNTIFS('QA Log'!D:D,A100,'QA Log'!M:M,"Vignette",'QA Log'!Z:Z,"Rejected",'QA Log'!L:L,"*Exit Interview 2*")
  )
)</f>
        <v/>
      </c>
      <c r="BU100" s="107" t="str">
        <f t="shared" si="13"/>
        <v/>
      </c>
      <c r="BV100" s="102" t="str">
        <f t="shared" si="14"/>
        <v/>
      </c>
      <c r="BW100" s="102" t="str">
        <f t="shared" si="15"/>
        <v/>
      </c>
      <c r="BX100" s="102" t="str">
        <f t="shared" si="16"/>
        <v/>
      </c>
      <c r="BY100" s="102" t="str">
        <f t="shared" si="17"/>
        <v/>
      </c>
      <c r="BZ100" s="107" t="str">
        <f t="shared" si="18"/>
        <v/>
      </c>
      <c r="CA100" s="108" t="str">
        <f t="shared" si="19"/>
        <v/>
      </c>
      <c r="CB100" s="108" t="str">
        <f t="shared" si="20"/>
        <v/>
      </c>
      <c r="CC100" s="109" t="str">
        <f t="shared" si="21"/>
        <v/>
      </c>
      <c r="CD100" s="108" t="str">
        <f t="shared" si="22"/>
        <v/>
      </c>
      <c r="CE100" s="108" t="str">
        <f t="shared" si="23"/>
        <v/>
      </c>
      <c r="CF100" s="109" t="str">
        <f t="shared" si="24"/>
        <v/>
      </c>
      <c r="CG100" s="110" t="str">
        <f t="shared" si="25"/>
        <v/>
      </c>
      <c r="CH100" s="111"/>
    </row>
    <row r="101" spans="1:86" ht="12.75">
      <c r="A101" s="101"/>
      <c r="B101" s="102" t="e">
        <f t="array" aca="1" ref="B101" ca="1">_xludf.XLOOKUP(A101,'QA Log'!D:D,'QA Log'!E:E,"")</f>
        <v>#NAME?</v>
      </c>
      <c r="C101" s="102" t="e">
        <f t="array" aca="1" ref="C101" ca="1">_xludf.XLOOKUP(A101,'QA Log'!D:D,'QA Log'!F:F,"")</f>
        <v>#NAME?</v>
      </c>
      <c r="D101" s="102" t="e">
        <f t="array" aca="1" ref="D101" ca="1">_xludf.XLOOKUP(A101,'QA Log'!D:D,'QA Log'!H:H,"")</f>
        <v>#NAME?</v>
      </c>
      <c r="E101" s="102" t="e">
        <f t="array" aca="1" ref="E101" ca="1">_xludf.XLOOKUP(A101,'QA Log'!D:D,'QA Log'!G:G,"")</f>
        <v>#NAME?</v>
      </c>
      <c r="F101" s="103"/>
      <c r="G101" s="104"/>
      <c r="H101" s="104"/>
      <c r="I101" s="103" t="str">
        <f t="shared" si="0"/>
        <v/>
      </c>
      <c r="J101" s="102" t="str">
        <f>IF(A101="","",SUM(
COUNTIFS('QA Log'!D:D,A101,'QA Log'!M:M,"QQC",'QA Log'!L:L,"*1. General Management*"),
COUNTIFS('QA Log'!D:D,A101,'QA Log'!M:M,"QQC",'QA Log'!L:L,"*3. Curative Consultation (OPD)*"),
COUNTIFS('QA Log'!D:D,A101,'QA Log'!M:M,"QQC",'QA Log'!L:L,"*5. Laboratory*"),
COUNTIFS('QA Log'!D:D,A101,'QA Log'!M:M,"QQC",'QA Log'!L:L,"*6. Essential Medicine Management*"),
COUNTIFS('QA Log'!D:D,A101,'QA Log'!M:M,"QQC",'QA Log'!L:L,"*7. Tracer Medicine*"),
COUNTIFS('QA Log'!D:D,A101,'QA Log'!M:M,"QQC",'QA Log'!L:L,"*11. Additional Questions*")))</f>
        <v/>
      </c>
      <c r="K101" s="102" t="str">
        <f>IF(A101="","",SUM(
COUNTIFS('QA Log'!D:D,A101,'QA Log'!M:M,"QQC",'QA Log'!Z:Z,"Approved",'QA Log'!L:L,"*1. General Management*"),
COUNTIFS('QA Log'!D:D,A101,'QA Log'!M:M,"QQC",'QA Log'!Z:Z,"Approved",'QA Log'!L:L,"*3. Curative Consultation (OPD)*"),
COUNTIFS('QA Log'!D:D,A101,'QA Log'!M:M,"QQC",'QA Log'!Z:Z,"Approved",'QA Log'!L:L,"*5. Laboratory*"),
COUNTIFS('QA Log'!D:D,A101,'QA Log'!M:M,"QQC",'QA Log'!Z:Z,"Approved",'QA Log'!L:L,"*6. Essential Medicine Management*"),
COUNTIFS('QA Log'!D:D,A101,'QA Log'!M:M,"QQC",'QA Log'!Z:Z,"Approved",'QA Log'!L:L,"*7. Tracer Medicine*"),
COUNTIFS('QA Log'!D:D,A101,'QA Log'!M:M,"QQC",'QA Log'!Z:Z,"Approved",'QA Log'!L:L,"*11. Additional Questions*")))</f>
        <v/>
      </c>
      <c r="L101" s="105" t="str">
        <f>IF(A101&lt;&gt;"",COUNTIFS('QA Log'!D:D,A101,'QA Log'!M:M,"QQC",'QA Log'!L:L,"1. General Management",'QA Log'!Z:Z,"Approved"),"")</f>
        <v/>
      </c>
      <c r="M101" s="105" t="str">
        <f>IF(A101&lt;&gt;"",COUNTIFS('QA Log'!D:D,A101,'QA Log'!M:M,"QQC",'QA Log'!L:L,"3. Curative Consultation (OPD)",'QA Log'!Z:Z,"Approved"),"")</f>
        <v/>
      </c>
      <c r="N101" s="105" t="str">
        <f>IF(A101&lt;&gt;"",COUNTIFS('QA Log'!D:D,A101,'QA Log'!M:M,"QQC",'QA Log'!L:L,"5. Laboratory",'QA Log'!Z:Z,"Approved"),"")</f>
        <v/>
      </c>
      <c r="O101" s="105" t="str">
        <f>IF(A101&lt;&gt;"",COUNTIFS('QA Log'!D:D,A101,'QA Log'!M:M,"QQC",'QA Log'!L:L,"6. Essential Medicine Management",'QA Log'!Z:Z,"Approved"),"")</f>
        <v/>
      </c>
      <c r="P101" s="105" t="str">
        <f>IF(A101&lt;&gt;"",COUNTIFS('QA Log'!D:D,A101,'QA Log'!M:M,"QQC",'QA Log'!L:L,"7. Tracer Medicine",'QA Log'!Z:Z,"Approved"),"")</f>
        <v/>
      </c>
      <c r="Q101" s="105" t="str">
        <f>IF(A101&lt;&gt;"",COUNTIFS('QA Log'!D:D,A101,'QA Log'!M:M,"QQC",'QA Log'!L:L,"11. Additional Questions",'QA Log'!Z:Z,"Approved"),"")</f>
        <v/>
      </c>
      <c r="R101" s="102" t="str">
        <f>IF(A101="","",SUM(
COUNTIFS('QA Log'!D:D,A101,'QA Log'!M:M,"QQC",'QA Log'!Z:Z,"Rejected",'QA Log'!L:L,"*8. Maternity*"),
COUNTIFS('QA Log'!D:D,A101,'QA Log'!M:M,"QQC",'QA Log'!Z:Z,"Rejected",'QA Log'!L:L,"*EPI*"),
COUNTIFS('QA Log'!D:D,A101,'QA Log'!M:M,"QQC",'QA Log'!Z:Z,"Rejected",'QA Log'!L:L,"*10. Antenatal Care (ANC)*"),
COUNTIFS('QA Log'!D:D,A101,'QA Log'!M:M,"QQC",'QA Log'!Z:Z,"Rejected",'QA Log'!L:L,"*2. Hygiene and Sterilization*"),
COUNTIFS('QA Log'!D:D,A101,'QA Log'!M:M,"QQC",'QA Log'!Z:Z,"Rejected",'QA Log'!L:L,"*Family Planning*")))</f>
        <v/>
      </c>
      <c r="S101" s="106" t="str">
        <f t="shared" si="1"/>
        <v/>
      </c>
      <c r="T101" s="102" t="str">
        <f t="shared" si="2"/>
        <v/>
      </c>
      <c r="U101" s="102" t="str">
        <f>IF(A101="","",
SUM(
COUNTIFS('QA Log'!D:D,A101,'QA Log'!M:M,"QQC",'QA Log'!L:L,"*8. Maternity*"),
COUNTIFS('QA Log'!D:D,A101,'QA Log'!M:M,"QQC",'QA Log'!L:L,"*9. EPI and Pre-school Consultation*"),
COUNTIFS('QA Log'!D:D,A101,'QA Log'!M:M,"QQC",'QA Log'!L:L,"*10. Antenatal Care (ANC)*"),
COUNTIFS('QA Log'!D:D,A101,'QA Log'!M:M,"QQC",'QA Log'!L:L,"*2. Hygiene and Sterilization*"),
COUNTIFS('QA Log'!D:D,A101,'QA Log'!M:M,"QQC",'QA Log'!L:L,"*4. Family Planning*")
))</f>
        <v/>
      </c>
      <c r="V101" s="102" t="str">
        <f>IF(A101="","",
SUM(
COUNTIFS('QA Log'!D:D,A101,'QA Log'!M:M,"QQC",'QA Log'!Z:Z,"Approved",'QA Log'!L:L,"*8. Maternity*"),
COUNTIFS('QA Log'!D:D,A101,'QA Log'!M:M,"QQC",'QA Log'!Z:Z,"Approved",'QA Log'!L:L,"*9. EPI and Pre-school Consultation*"),
COUNTIFS('QA Log'!D:D,A101,'QA Log'!M:M,"QQC",'QA Log'!Z:Z,"Approved",'QA Log'!L:L,"*10. Antenatal Care (ANC)*"),
COUNTIFS('QA Log'!D:D,A101,'QA Log'!M:M,"QQC",'QA Log'!Z:Z,"Approved",'QA Log'!L:L,"*2. Hygiene and Sterilization*"),
COUNTIFS('QA Log'!D:D,A101,'QA Log'!M:M,"QQC",'QA Log'!Z:Z,"Approved",'QA Log'!L:L,"*4. Family Planning*")
))</f>
        <v/>
      </c>
      <c r="W101" s="105" t="str">
        <f>IF(A101&lt;&gt;"",COUNTIFS('QA Log'!D:D,A101,'QA Log'!M:M,"QQC",'QA Log'!L:L,"8. Maternity",'QA Log'!Z:Z,"Approved"),"")</f>
        <v/>
      </c>
      <c r="X101" s="105" t="str">
        <f>IF(A101&lt;&gt;"",COUNTIFS('QA Log'!D:D,A101,'QA Log'!M:M,"QQC",'QA Log'!L:L,"9. EPI and Pre-school Consultation",'QA Log'!Z:Z,"Approved"),"")</f>
        <v/>
      </c>
      <c r="Y101" s="105" t="str">
        <f>IF(A101&lt;&gt;"",COUNTIFS('QA Log'!D:D,A101,'QA Log'!M:M,"QQC",'QA Log'!L:L,"10. Antenatal Care (ANC)",'QA Log'!Z:Z,"Approved"),"")</f>
        <v/>
      </c>
      <c r="Z101" s="105" t="str">
        <f>IF(A101&lt;&gt;"",COUNTIFS('QA Log'!D:D,A101,'QA Log'!M:M,"QQC",'QA Log'!L:L,"2. Hygiene and Sterilization",'QA Log'!Z:Z,"Approved"),"")</f>
        <v/>
      </c>
      <c r="AA101" s="105" t="str">
        <f>IF(A101&lt;&gt;"",COUNTIFS('QA Log'!D:D,A101,'QA Log'!M:M,"QQC",'QA Log'!L:L,"4. Family Planning",'QA Log'!Z:Z,"Approved"),"")</f>
        <v/>
      </c>
      <c r="AB101" s="102" t="str">
        <f>IF(A101="","",
SUM(
COUNTIFS('QA Log'!D:D,A101,'QA Log'!M:M,"QQC",'QA Log'!Z:Z,"Rejected",'QA Log'!L:L,"*8. Maternity*"),
COUNTIFS('QA Log'!D:D,A101,'QA Log'!M:M,"QQC",'QA Log'!Z:Z,"Rejected",'QA Log'!L:L,"*9. EPI and Pre-school Consultation*"),
COUNTIFS('QA Log'!D:D,A101,'QA Log'!M:M,"QQC",'QA Log'!Z:Z,"Rejected",'QA Log'!L:L,"*10. Antenatal Care (ANC)*"),
COUNTIFS('QA Log'!D:D,A101,'QA Log'!M:M,"QQC",'QA Log'!Z:Z,"Rejected",'QA Log'!L:L,"*2. Hygiene and Sterilization*"),
COUNTIFS('QA Log'!D:D,A101,'QA Log'!M:M,"QQC",'QA Log'!Z:Z,"Rejected",'QA Log'!L:L,"*4. Family Planning*")
))</f>
        <v/>
      </c>
      <c r="AC101" s="102" t="str">
        <f t="shared" si="3"/>
        <v/>
      </c>
      <c r="AD101" s="103" t="str">
        <f t="shared" si="4"/>
        <v/>
      </c>
      <c r="AE101" s="102" t="str">
        <f>IF(A101="","",
SUM(
COUNTIFS('QA Log'!D:D,A101,'QA Log'!M:M,"Data Verification",'QA Log'!L:L,"*Medicine (section 2)*"),
COUNTIFS('QA Log'!D:D,A101,'QA Log'!M:M,"Data Verification",'QA Log'!L:L,"*Lab Testing Availability*"),
COUNTIFS('QA Log'!D:D,A101,'QA Log'!M:M,"Data Verification",'QA Log'!L:L,"*Other than P4P (section 6)*"),
COUNTIFS('QA Log'!D:D,A101,'QA Log'!M:M,"Data Verification",'QA Log'!L:L,"*Hospital Governance*")
))</f>
        <v/>
      </c>
      <c r="AF101" s="102" t="str">
        <f>IF(A101="","",
SUM(
COUNTIFS('QA Log'!D:D,A101,'QA Log'!M:M,"Data Verification",'QA Log'!Z:Z,"Approved",'QA Log'!L:L,"*Medicine (section 2)*"),
COUNTIFS('QA Log'!D:D,A101,'QA Log'!M:M,"Data Verification",'QA Log'!Z:Z,"Approved",'QA Log'!L:L,"*Lab Testing Availability*"),
COUNTIFS('QA Log'!D:D,A101,'QA Log'!M:M,"Data Verification",'QA Log'!Z:Z,"Approved",'QA Log'!L:L,"*Other than P4P (section 6)*"),
COUNTIFS('QA Log'!D:D,A101,'QA Log'!M:M,"Data Verification",'QA Log'!Z:Z,"Approved",'QA Log'!L:L,"*Hospital Governance*")
))</f>
        <v/>
      </c>
      <c r="AG101" s="105" t="str">
        <f>IF(A101&lt;&gt;"",COUNTIFS('QA Log'!D:D,A101,'QA Log'!M:M,"Data Verification",'QA Log'!L:L,"Medicine (section 2)",'QA Log'!Z:Z,"Approved"),"")</f>
        <v/>
      </c>
      <c r="AH101" s="105" t="str">
        <f>IF(A101&lt;&gt;"",COUNTIFS('QA Log'!D:D,A101,'QA Log'!M:M,"Data Verification",'QA Log'!L:L,"Lab Testing Availability",'QA Log'!Z:Z,"Approved"),"")</f>
        <v/>
      </c>
      <c r="AI101" s="105" t="str">
        <f>IF(A101&lt;&gt;"",COUNTIFS('QA Log'!D:D,A101,'QA Log'!M:M,"Data Verification",'QA Log'!L:L,"Other than P4P (section 6)",'QA Log'!Z:Z,"Approved"),"")</f>
        <v/>
      </c>
      <c r="AJ101" s="105" t="str">
        <f>IF(A101&lt;&gt;"",COUNTIFS('QA Log'!D:D,A101,'QA Log'!M:M,"Data Verification",'QA Log'!L:L,"Hospital Governance",'QA Log'!Z:Z,"Approved"),"")</f>
        <v/>
      </c>
      <c r="AK101" s="102" t="str">
        <f>IF(A101="","",
SUM(
COUNTIFS('QA Log'!D:D,A101,'QA Log'!M:M,"Data Verification",'QA Log'!Z:Z,"Rejected",'QA Log'!L:L,"*Medicine (section 2)*"),
COUNTIFS('QA Log'!D:D,A101,'QA Log'!M:M,"Data Verification",'QA Log'!Z:Z,"Rejected",'QA Log'!L:L,"*Lab Testing Availability*"),
COUNTIFS('QA Log'!D:D,A101,'QA Log'!M:M,"Data Verification",'QA Log'!Z:Z,"Rejected",'QA Log'!L:L,"*Other than P4P (section 6)*"),
COUNTIFS('QA Log'!D:D,A101,'QA Log'!M:M,"Data Verification",'QA Log'!Z:Z,"Rejected",'QA Log'!L:L,"*Hospital Governance*")
))</f>
        <v/>
      </c>
      <c r="AL101" s="106" t="str">
        <f t="shared" si="5"/>
        <v/>
      </c>
      <c r="AM101" s="102" t="str">
        <f t="shared" si="6"/>
        <v/>
      </c>
      <c r="AN101" s="102" t="str">
        <f>IF(A101="","",
SUM(
COUNTIFS('QA Log'!D:D,A101,'QA Log'!M:M,"Data Verification",'QA Log'!L:L,"*Personnel (section 1)*"),
COUNTIFS('QA Log'!D:D,A101,'QA Log'!M:M,"Data Verification",'QA Log'!L:L,"*Consumable (section 3)*"),
COUNTIFS('QA Log'!D:D,A101,'QA Log'!M:M,"Data Verification",'QA Log'!L:L,"*Equipments (section 4)*")
))</f>
        <v/>
      </c>
      <c r="AO101" s="102" t="str">
        <f>IF(A101="","",
SUM(
COUNTIFS('QA Log'!D:D,A101,'QA Log'!M:M,"Data Verification",'QA Log'!Z:Z,"Approved",'QA Log'!L:L,"*Personnel (section 1)*"),
COUNTIFS('QA Log'!D:D,A101,'QA Log'!M:M,"Data Verification",'QA Log'!Z:Z,"Approved",'QA Log'!L:L,"*Consumable (section 3)*"),
COUNTIFS('QA Log'!D:D,A101,'QA Log'!M:M,"Data Verification",'QA Log'!Z:Z,"Approved",'QA Log'!L:L,"*Equipments (section 4)*")
))</f>
        <v/>
      </c>
      <c r="AP101" s="105" t="str">
        <f>IF(A101&lt;&gt;"",COUNTIFS('QA Log'!D:D,A101,'QA Log'!M:M,"Data Verification",'QA Log'!L:L,"Personnel (section 1)",'QA Log'!Z:Z,"Approved"),"")</f>
        <v/>
      </c>
      <c r="AQ101" s="105" t="str">
        <f>IF(A101&lt;&gt;"",COUNTIFS('QA Log'!D:D,A101,'QA Log'!M:M,"Data Verification",'QA Log'!L:L,"Consumable (section 3)",'QA Log'!Z:Z,"Approved"),"")</f>
        <v/>
      </c>
      <c r="AR101" s="105" t="str">
        <f>IF(A101&lt;&gt;"",COUNTIFS('QA Log'!D:D,A101,'QA Log'!M:M,"Data Verification",'QA Log'!L:L,"Equipments (section 4)",'QA Log'!Z:Z,"Approved"),"")</f>
        <v/>
      </c>
      <c r="AS101" s="102" t="str">
        <f>IF(A101="","",
SUM(
COUNTIFS('QA Log'!D:D,A101,'QA Log'!M:M,"Data Verification",'QA Log'!Z:Z,"Rejected",'QA Log'!L:L,"*Personnel (section 1)*"),
COUNTIFS('QA Log'!D:D,A101,'QA Log'!M:M,"Data Verification",'QA Log'!Z:Z,"Rejected",'QA Log'!L:L,"*Consumable (section 3)*"),
COUNTIFS('QA Log'!D:D,A101,'QA Log'!M:M,"Data Verification",'QA Log'!Z:Z,"Rejected",'QA Log'!L:L,"*Equipments (section 4)*")
))</f>
        <v/>
      </c>
      <c r="AT101" s="102" t="str">
        <f t="shared" si="7"/>
        <v/>
      </c>
      <c r="AU101" s="103" t="str">
        <f t="shared" si="8"/>
        <v/>
      </c>
      <c r="AV101" s="102" t="str">
        <f>IF(A101="","",SUM(
COUNTIFS('QA Log'!D:D,A101,'QA Log'!M:M,"Vignette",'QA Log'!L:L,"*Vignette [1] Respiratory Infection: Pneumonia*"),
COUNTIFS('QA Log'!D:D,A101,'QA Log'!M:M,"Vignette",'QA Log'!L:L,"*Vignette [2]: Diarrhea with Cat B dehydration*"),
COUNTIFS('QA Log'!D:D,A101,'QA Log'!M:M,"Vignette",'QA Log'!L:L,"*Vignette [3] Growth Monitoring and Promotion*"),
COUNTIFS('QA Log'!D:D,A101,'QA Log'!M:M,"Vignette",'QA Log'!L:L,"*Vignette [4]: The management of presumptive TB patient*")
)
)</f>
        <v/>
      </c>
      <c r="AW101" s="102" t="str">
        <f>IF(
  A101="","",
  SUM(
    COUNTIFS('QA Log'!D:D,A101,'QA Log'!M:M,"Vignette",'QA Log'!Z:Z,"Approved",'QA Log'!L:L,"*Vignette [1] Respiratory Infection: Pneumonia*"),
    COUNTIFS('QA Log'!D:D,A101,'QA Log'!M:M,"Vignette",'QA Log'!Z:Z,"Approved",'QA Log'!L:L,"*Vignette [2]: Diarrhea with Cat B dehydration*"),
    COUNTIFS('QA Log'!D:D,A101,'QA Log'!M:M,"Vignette",'QA Log'!Z:Z,"Approved",'QA Log'!L:L,"*Vignette [3] Growth Monitoring and Promotion*"),
    COUNTIFS('QA Log'!D:D,A101,'QA Log'!M:M,"Vignette",'QA Log'!Z:Z,"Approved",'QA Log'!L:L,"*Vignette [4]: The management of presumptive TB patient*")
  )
)</f>
        <v/>
      </c>
      <c r="AX101" s="105" t="str">
        <f>IF(A101&lt;&gt;"",COUNTIFS('QA Log'!D:D,A101,'QA Log'!M:M,"Vignette",'QA Log'!L:L,"Vignette [1] Respiratory Infection: Pneumonia",'QA Log'!Z:Z,"Approved"),"")</f>
        <v/>
      </c>
      <c r="AY101" s="105" t="str">
        <f>IF(A101&lt;&gt;"",COUNTIFS('QA Log'!D:D,A101,'QA Log'!M:M,"Vignette",'QA Log'!L:L,"Vignette [2]: Diarrhea with Cat B dehydration",'QA Log'!Z:Z,"Approved"),"")</f>
        <v/>
      </c>
      <c r="AZ101" s="105" t="str">
        <f>IF(A101&lt;&gt;"",COUNTIFS('QA Log'!D:D,A101,'QA Log'!M:M,"Vignette",'QA Log'!L:L,"Vignette [3] Growth Monitoring and Promotion",'QA Log'!Z:Z,"Approved"),"")</f>
        <v/>
      </c>
      <c r="BA101" s="105" t="str">
        <f>IF(A101&lt;&gt;"",COUNTIFS('QA Log'!D:D,A101,'QA Log'!M:M,"Vignette",'QA Log'!L:L,"Vignette [4]: The management of presumptive TB patient",'QA Log'!Z:Z,"Approved"),"")</f>
        <v/>
      </c>
      <c r="BB101" s="102" t="str">
        <f>IF(A101="","",
  SUM(
    COUNTIFS('QA Log'!D:D,A101,'QA Log'!M:M,"Vignette",'QA Log'!Z:Z,"Rejected",'QA Log'!L:L,"*Vignette [1] Respiratory Infection: Pneumonia*"),
    COUNTIFS('QA Log'!D:D,A101,'QA Log'!M:M,"Vignette",'QA Log'!Z:Z,"Rejected",'QA Log'!L:L,"*Vignette [2]: Diarrhea with Cat B dehydration*"),
    COUNTIFS('QA Log'!D:D,A101,'QA Log'!M:M,"Vignette",'QA Log'!Z:Z,"Rejected",'QA Log'!L:L,"*Vignette [3] Growth Monitoring and Promotion*"),
    COUNTIFS('QA Log'!D:D,A101,'QA Log'!M:M,"Vignette",'QA Log'!Z:Z,"Rejected",'QA Log'!L:L,"*Vignette [4]: The management of presumptive TB patient*")
  )
)</f>
        <v/>
      </c>
      <c r="BC101" s="107" t="str">
        <f t="shared" si="9"/>
        <v/>
      </c>
      <c r="BD101" s="103" t="str">
        <f t="shared" si="10"/>
        <v/>
      </c>
      <c r="BE101" s="102" t="str">
        <f>IF(A101="","",SUM(
COUNTIFS('QA Log'!D:D,A101,'QA Log'!M:M,"Vignette",'QA Log'!L:L,"*Vignette [5] Labor*"),
COUNTIFS('QA Log'!D:D,A101,'QA Log'!M:M,"Vignette",'QA Log'!L:L,"*Vignette [6] PNC pre Discharge*"),
COUNTIFS('QA Log'!D:D,A101,'QA Log'!M:M,"Vignette",'QA Log'!L:L,"*Vignette [7] First ANC Visit*"),
COUNTIFS('QA Log'!D:D,A101,'QA Log'!M:M,"Vignette",'QA Log'!L:L,"*Vignette [8] Birth Spacing/ Family Planning :  FP Counselling*"),
COUNTIFS('QA Log'!D:D,A101,'QA Log'!M:M,"Vignette",'QA Log'!L:L,"*Vignette [9] Birth Spacing: Change FP method to Injectable*"),
COUNTIFS('QA Log'!D:D,A101,'QA Log'!M:M,"Vignette",'QA Log'!L:L,"*Vignette [10] Post Partum Haemorrhage - Atonic Uterus at Health Centre*"),
)
)</f>
        <v/>
      </c>
      <c r="BF101" s="102" t="str">
        <f>IF(A101="","",
  SUM(
    COUNTIFS('QA Log'!D:D,A101,'QA Log'!M:M,"Vignette",'QA Log'!Z:Z,"Approved",'QA Log'!L:L,"*Vignette [5] Labor*"),
    COUNTIFS('QA Log'!D:D,A101,'QA Log'!M:M,"Vignette",'QA Log'!Z:Z,"Approved",'QA Log'!L:L,"*Vignette [6] PNC pre Discharge*"),
    COUNTIFS('QA Log'!D:D,A101,'QA Log'!M:M,"Vignette",'QA Log'!Z:Z,"Approved",'QA Log'!L:L,"*Vignette [7] First ANC Visit*"),
    COUNTIFS('QA Log'!D:D,A101,'QA Log'!M:M,"Vignette",'QA Log'!Z:Z,"Approved",'QA Log'!L:L,"*Vignette [8] Birth Spacing/ Family Planning :  FP Counselling*"),
    COUNTIFS('QA Log'!D:D,A101,'QA Log'!M:M,"Vignette",'QA Log'!Z:Z,"Approved",'QA Log'!L:L,"*Vignette [9] Birth Spacing: Change FP method to Injectable*"),
    COUNTIFS('QA Log'!D:D,A101,'QA Log'!M:M,"Vignette",'QA Log'!Z:Z,"Approved",'QA Log'!L:L,"*Vignette [10] Post Partum Haemorrhage - Atonic Uterus at Health Centre*")
  )
)</f>
        <v/>
      </c>
      <c r="BG101" s="105" t="str">
        <f>IF(A101&lt;&gt;"",COUNTIFS('QA Log'!D:D,A101,'QA Log'!M:M,"Vignette",'QA Log'!L:L,"Vignette [5] Labor",'QA Log'!Z:Z,"Approved"),"")</f>
        <v/>
      </c>
      <c r="BH101" s="105" t="str">
        <f>IF(A101&lt;&gt;"",COUNTIFS('QA Log'!D:D,A101,'QA Log'!M:M,"Vignette",'QA Log'!L:L,"Vignette [6] PNC pre Discharge",'QA Log'!Z:Z,"Approved"),"")</f>
        <v/>
      </c>
      <c r="BI101" s="105" t="str">
        <f>IF(A101&lt;&gt;"",COUNTIFS('QA Log'!D:D,A101,'QA Log'!M:M,"Vignette",'QA Log'!L:L,"Vignette [7] First ANC Visit",'QA Log'!Z:Z,"Approved"),"")</f>
        <v/>
      </c>
      <c r="BJ101" s="105" t="str">
        <f>IF(A101&lt;&gt;"",COUNTIFS('QA Log'!D:D,A101,'QA Log'!M:M,"Vignette",'QA Log'!L:L,"Vignette [8] Birth Spacing/ Family Planning :  FP Counselling",'QA Log'!Z:Z,"Approved"),"")</f>
        <v/>
      </c>
      <c r="BK101" s="105" t="str">
        <f>IF(A101&lt;&gt;"",COUNTIFS('QA Log'!D:D,A101,'QA Log'!M:M,"Vignette",'QA Log'!L:L,"Vignette [9] Birth Spacing: Change FP method to Injectable",'QA Log'!Z:Z,"Approved"),"")</f>
        <v/>
      </c>
      <c r="BL101" s="105" t="str">
        <f>IF(A101&lt;&gt;"",COUNTIFS('QA Log'!D:D,A101,'QA Log'!M:M,"Vignette",'QA Log'!L:L,"Vignette [10] Post Partum Haemorrhage - Atonic Uterus at Health Centre",'QA Log'!Z:Z,"Approved"),"")</f>
        <v/>
      </c>
      <c r="BM101" s="102" t="str">
        <f>IF(A101="","",SUM(
    COUNTIFS('QA Log'!D:D,A101,'QA Log'!M:M,"Vignette",'QA Log'!Z:Z,"Rejected",'QA Log'!L:L,"*Vignette [5] Labor*"),
    COUNTIFS('QA Log'!D:D,A101,'QA Log'!M:M,"Vignette",'QA Log'!Z:Z,"Rejected",'QA Log'!L:L,"*Vignette [6] PNC pre Discharge*"),
    COUNTIFS('QA Log'!D:D,A101,'QA Log'!M:M,"Vignette",'QA Log'!Z:Z,"Rejected",'QA Log'!L:L,"*Vignette [7] First ANC Visit*"),
    COUNTIFS('QA Log'!D:D,A101,'QA Log'!M:M,"Vignette",'QA Log'!Z:Z,"Rejected",'QA Log'!L:L,"*Vignette [8] Birth Spacing/ Family Planning :  FP Counselling*"),
    COUNTIFS('QA Log'!D:D,A101,'QA Log'!M:M,"Vignette",'QA Log'!Z:Z,"Rejected",'QA Log'!L:L,"*Vignette [9] Birth Spacing: Change FP method to Injectable*"),
    COUNTIFS('QA Log'!D:D,A101,'QA Log'!M:M,"Vignette",'QA Log'!Z:Z,"Rejected",'QA Log'!L:L,"*Vignette [10] Post Partum Haemorrhage - Atonic Uterus at Health Centre*")
  )
)</f>
        <v/>
      </c>
      <c r="BN101" s="107" t="str">
        <f t="shared" si="11"/>
        <v/>
      </c>
      <c r="BO101" s="103" t="str">
        <f t="shared" si="12"/>
        <v/>
      </c>
      <c r="BP101" s="102" t="str">
        <f>IF(A101="","",SUM(
COUNTIFS('QA Log'!D:D,A101,'QA Log'!M:M,"Vignette",'QA Log'!L:L,"*Exit Interview 1*"),
COUNTIFS('QA Log'!D:D,A101,'QA Log'!M:M,"Vignette",'QA Log'!L:L,"*Exit Interview 2*"),
)
)</f>
        <v/>
      </c>
      <c r="BQ101" s="102" t="str">
        <f>IF(
  A101="","",
  SUM(
    COUNTIFS('QA Log'!D:D,A101,'QA Log'!M:M,"Vignette",'QA Log'!Z:Z,"Approved",'QA Log'!L:L,"*Exit Interview 1*"),
    COUNTIFS('QA Log'!D:D,A101,'QA Log'!M:M,"Vignette",'QA Log'!Z:Z,"Approved",'QA Log'!L:L,"*Exit Interview 2*")
  )
)</f>
        <v/>
      </c>
      <c r="BR101" s="105" t="str">
        <f>IF(A101&lt;&gt;"",COUNTIFS('QA Log'!D:D,A101,'QA Log'!M:M,"Vignette",'QA Log'!L:L,"Exit Interview 1",'QA Log'!Z:Z,"Approved"),"")</f>
        <v/>
      </c>
      <c r="BS101" s="105" t="str">
        <f>IF(A101&lt;&gt;"",COUNTIFS('QA Log'!D:D,A101,'QA Log'!M:M,"Vignette",'QA Log'!L:L,"Exit Interview 2",'QA Log'!Z:Z,"Approved"),"")</f>
        <v/>
      </c>
      <c r="BT101" s="102" t="str">
        <f>IF(
  A101="","",
  SUM(
    COUNTIFS('QA Log'!D:D,A101,'QA Log'!M:M,"Vignette",'QA Log'!Z:Z,"Rejected",'QA Log'!L:L,"*Exit Interview 1*"),
    COUNTIFS('QA Log'!D:D,A101,'QA Log'!M:M,"Vignette",'QA Log'!Z:Z,"Rejected",'QA Log'!L:L,"*Exit Interview 2*")
  )
)</f>
        <v/>
      </c>
      <c r="BU101" s="107" t="str">
        <f t="shared" si="13"/>
        <v/>
      </c>
      <c r="BV101" s="102" t="str">
        <f t="shared" si="14"/>
        <v/>
      </c>
      <c r="BW101" s="102" t="str">
        <f t="shared" si="15"/>
        <v/>
      </c>
      <c r="BX101" s="102" t="str">
        <f t="shared" si="16"/>
        <v/>
      </c>
      <c r="BY101" s="102" t="str">
        <f t="shared" si="17"/>
        <v/>
      </c>
      <c r="BZ101" s="107" t="str">
        <f t="shared" si="18"/>
        <v/>
      </c>
      <c r="CA101" s="108" t="str">
        <f t="shared" si="19"/>
        <v/>
      </c>
      <c r="CB101" s="108" t="str">
        <f t="shared" si="20"/>
        <v/>
      </c>
      <c r="CC101" s="109" t="str">
        <f t="shared" si="21"/>
        <v/>
      </c>
      <c r="CD101" s="108" t="str">
        <f t="shared" si="22"/>
        <v/>
      </c>
      <c r="CE101" s="108" t="str">
        <f t="shared" si="23"/>
        <v/>
      </c>
      <c r="CF101" s="109" t="str">
        <f t="shared" si="24"/>
        <v/>
      </c>
      <c r="CG101" s="110" t="str">
        <f t="shared" si="25"/>
        <v/>
      </c>
      <c r="CH101" s="111"/>
    </row>
    <row r="102" spans="1:86" ht="12.75">
      <c r="A102" s="101"/>
      <c r="B102" s="102" t="e">
        <f t="array" aca="1" ref="B102" ca="1">_xludf.XLOOKUP(A102,'QA Log'!D:D,'QA Log'!E:E,"")</f>
        <v>#NAME?</v>
      </c>
      <c r="C102" s="102" t="e">
        <f t="array" aca="1" ref="C102" ca="1">_xludf.XLOOKUP(A102,'QA Log'!D:D,'QA Log'!F:F,"")</f>
        <v>#NAME?</v>
      </c>
      <c r="D102" s="102" t="e">
        <f t="array" aca="1" ref="D102" ca="1">_xludf.XLOOKUP(A102,'QA Log'!D:D,'QA Log'!H:H,"")</f>
        <v>#NAME?</v>
      </c>
      <c r="E102" s="102" t="e">
        <f t="array" aca="1" ref="E102" ca="1">_xludf.XLOOKUP(A102,'QA Log'!D:D,'QA Log'!G:G,"")</f>
        <v>#NAME?</v>
      </c>
      <c r="F102" s="103"/>
      <c r="G102" s="104"/>
      <c r="H102" s="104"/>
      <c r="I102" s="103" t="str">
        <f t="shared" si="0"/>
        <v/>
      </c>
      <c r="J102" s="102" t="str">
        <f>IF(A102="","",SUM(
COUNTIFS('QA Log'!D:D,A102,'QA Log'!M:M,"QQC",'QA Log'!L:L,"*1. General Management*"),
COUNTIFS('QA Log'!D:D,A102,'QA Log'!M:M,"QQC",'QA Log'!L:L,"*3. Curative Consultation (OPD)*"),
COUNTIFS('QA Log'!D:D,A102,'QA Log'!M:M,"QQC",'QA Log'!L:L,"*5. Laboratory*"),
COUNTIFS('QA Log'!D:D,A102,'QA Log'!M:M,"QQC",'QA Log'!L:L,"*6. Essential Medicine Management*"),
COUNTIFS('QA Log'!D:D,A102,'QA Log'!M:M,"QQC",'QA Log'!L:L,"*7. Tracer Medicine*"),
COUNTIFS('QA Log'!D:D,A102,'QA Log'!M:M,"QQC",'QA Log'!L:L,"*11. Additional Questions*")))</f>
        <v/>
      </c>
      <c r="K102" s="102" t="str">
        <f>IF(A102="","",SUM(
COUNTIFS('QA Log'!D:D,A102,'QA Log'!M:M,"QQC",'QA Log'!Z:Z,"Approved",'QA Log'!L:L,"*1. General Management*"),
COUNTIFS('QA Log'!D:D,A102,'QA Log'!M:M,"QQC",'QA Log'!Z:Z,"Approved",'QA Log'!L:L,"*3. Curative Consultation (OPD)*"),
COUNTIFS('QA Log'!D:D,A102,'QA Log'!M:M,"QQC",'QA Log'!Z:Z,"Approved",'QA Log'!L:L,"*5. Laboratory*"),
COUNTIFS('QA Log'!D:D,A102,'QA Log'!M:M,"QQC",'QA Log'!Z:Z,"Approved",'QA Log'!L:L,"*6. Essential Medicine Management*"),
COUNTIFS('QA Log'!D:D,A102,'QA Log'!M:M,"QQC",'QA Log'!Z:Z,"Approved",'QA Log'!L:L,"*7. Tracer Medicine*"),
COUNTIFS('QA Log'!D:D,A102,'QA Log'!M:M,"QQC",'QA Log'!Z:Z,"Approved",'QA Log'!L:L,"*11. Additional Questions*")))</f>
        <v/>
      </c>
      <c r="L102" s="105" t="str">
        <f>IF(A102&lt;&gt;"",COUNTIFS('QA Log'!D:D,A102,'QA Log'!M:M,"QQC",'QA Log'!L:L,"1. General Management",'QA Log'!Z:Z,"Approved"),"")</f>
        <v/>
      </c>
      <c r="M102" s="105" t="str">
        <f>IF(A102&lt;&gt;"",COUNTIFS('QA Log'!D:D,A102,'QA Log'!M:M,"QQC",'QA Log'!L:L,"3. Curative Consultation (OPD)",'QA Log'!Z:Z,"Approved"),"")</f>
        <v/>
      </c>
      <c r="N102" s="105" t="str">
        <f>IF(A102&lt;&gt;"",COUNTIFS('QA Log'!D:D,A102,'QA Log'!M:M,"QQC",'QA Log'!L:L,"5. Laboratory",'QA Log'!Z:Z,"Approved"),"")</f>
        <v/>
      </c>
      <c r="O102" s="105" t="str">
        <f>IF(A102&lt;&gt;"",COUNTIFS('QA Log'!D:D,A102,'QA Log'!M:M,"QQC",'QA Log'!L:L,"6. Essential Medicine Management",'QA Log'!Z:Z,"Approved"),"")</f>
        <v/>
      </c>
      <c r="P102" s="105" t="str">
        <f>IF(A102&lt;&gt;"",COUNTIFS('QA Log'!D:D,A102,'QA Log'!M:M,"QQC",'QA Log'!L:L,"7. Tracer Medicine",'QA Log'!Z:Z,"Approved"),"")</f>
        <v/>
      </c>
      <c r="Q102" s="105" t="str">
        <f>IF(A102&lt;&gt;"",COUNTIFS('QA Log'!D:D,A102,'QA Log'!M:M,"QQC",'QA Log'!L:L,"11. Additional Questions",'QA Log'!Z:Z,"Approved"),"")</f>
        <v/>
      </c>
      <c r="R102" s="102" t="str">
        <f>IF(A102="","",SUM(
COUNTIFS('QA Log'!D:D,A102,'QA Log'!M:M,"QQC",'QA Log'!Z:Z,"Rejected",'QA Log'!L:L,"*8. Maternity*"),
COUNTIFS('QA Log'!D:D,A102,'QA Log'!M:M,"QQC",'QA Log'!Z:Z,"Rejected",'QA Log'!L:L,"*EPI*"),
COUNTIFS('QA Log'!D:D,A102,'QA Log'!M:M,"QQC",'QA Log'!Z:Z,"Rejected",'QA Log'!L:L,"*10. Antenatal Care (ANC)*"),
COUNTIFS('QA Log'!D:D,A102,'QA Log'!M:M,"QQC",'QA Log'!Z:Z,"Rejected",'QA Log'!L:L,"*2. Hygiene and Sterilization*"),
COUNTIFS('QA Log'!D:D,A102,'QA Log'!M:M,"QQC",'QA Log'!Z:Z,"Rejected",'QA Log'!L:L,"*Family Planning*")))</f>
        <v/>
      </c>
      <c r="S102" s="106" t="str">
        <f t="shared" si="1"/>
        <v/>
      </c>
      <c r="T102" s="102" t="str">
        <f t="shared" si="2"/>
        <v/>
      </c>
      <c r="U102" s="102" t="str">
        <f>IF(A102="","",
SUM(
COUNTIFS('QA Log'!D:D,A102,'QA Log'!M:M,"QQC",'QA Log'!L:L,"*8. Maternity*"),
COUNTIFS('QA Log'!D:D,A102,'QA Log'!M:M,"QQC",'QA Log'!L:L,"*9. EPI and Pre-school Consultation*"),
COUNTIFS('QA Log'!D:D,A102,'QA Log'!M:M,"QQC",'QA Log'!L:L,"*10. Antenatal Care (ANC)*"),
COUNTIFS('QA Log'!D:D,A102,'QA Log'!M:M,"QQC",'QA Log'!L:L,"*2. Hygiene and Sterilization*"),
COUNTIFS('QA Log'!D:D,A102,'QA Log'!M:M,"QQC",'QA Log'!L:L,"*4. Family Planning*")
))</f>
        <v/>
      </c>
      <c r="V102" s="102" t="str">
        <f>IF(A102="","",
SUM(
COUNTIFS('QA Log'!D:D,A102,'QA Log'!M:M,"QQC",'QA Log'!Z:Z,"Approved",'QA Log'!L:L,"*8. Maternity*"),
COUNTIFS('QA Log'!D:D,A102,'QA Log'!M:M,"QQC",'QA Log'!Z:Z,"Approved",'QA Log'!L:L,"*9. EPI and Pre-school Consultation*"),
COUNTIFS('QA Log'!D:D,A102,'QA Log'!M:M,"QQC",'QA Log'!Z:Z,"Approved",'QA Log'!L:L,"*10. Antenatal Care (ANC)*"),
COUNTIFS('QA Log'!D:D,A102,'QA Log'!M:M,"QQC",'QA Log'!Z:Z,"Approved",'QA Log'!L:L,"*2. Hygiene and Sterilization*"),
COUNTIFS('QA Log'!D:D,A102,'QA Log'!M:M,"QQC",'QA Log'!Z:Z,"Approved",'QA Log'!L:L,"*4. Family Planning*")
))</f>
        <v/>
      </c>
      <c r="W102" s="105" t="str">
        <f>IF(A102&lt;&gt;"",COUNTIFS('QA Log'!D:D,A102,'QA Log'!M:M,"QQC",'QA Log'!L:L,"8. Maternity",'QA Log'!Z:Z,"Approved"),"")</f>
        <v/>
      </c>
      <c r="X102" s="105" t="str">
        <f>IF(A102&lt;&gt;"",COUNTIFS('QA Log'!D:D,A102,'QA Log'!M:M,"QQC",'QA Log'!L:L,"9. EPI and Pre-school Consultation",'QA Log'!Z:Z,"Approved"),"")</f>
        <v/>
      </c>
      <c r="Y102" s="105" t="str">
        <f>IF(A102&lt;&gt;"",COUNTIFS('QA Log'!D:D,A102,'QA Log'!M:M,"QQC",'QA Log'!L:L,"10. Antenatal Care (ANC)",'QA Log'!Z:Z,"Approved"),"")</f>
        <v/>
      </c>
      <c r="Z102" s="105" t="str">
        <f>IF(A102&lt;&gt;"",COUNTIFS('QA Log'!D:D,A102,'QA Log'!M:M,"QQC",'QA Log'!L:L,"2. Hygiene and Sterilization",'QA Log'!Z:Z,"Approved"),"")</f>
        <v/>
      </c>
      <c r="AA102" s="105" t="str">
        <f>IF(A102&lt;&gt;"",COUNTIFS('QA Log'!D:D,A102,'QA Log'!M:M,"QQC",'QA Log'!L:L,"4. Family Planning",'QA Log'!Z:Z,"Approved"),"")</f>
        <v/>
      </c>
      <c r="AB102" s="102" t="str">
        <f>IF(A102="","",
SUM(
COUNTIFS('QA Log'!D:D,A102,'QA Log'!M:M,"QQC",'QA Log'!Z:Z,"Rejected",'QA Log'!L:L,"*8. Maternity*"),
COUNTIFS('QA Log'!D:D,A102,'QA Log'!M:M,"QQC",'QA Log'!Z:Z,"Rejected",'QA Log'!L:L,"*9. EPI and Pre-school Consultation*"),
COUNTIFS('QA Log'!D:D,A102,'QA Log'!M:M,"QQC",'QA Log'!Z:Z,"Rejected",'QA Log'!L:L,"*10. Antenatal Care (ANC)*"),
COUNTIFS('QA Log'!D:D,A102,'QA Log'!M:M,"QQC",'QA Log'!Z:Z,"Rejected",'QA Log'!L:L,"*2. Hygiene and Sterilization*"),
COUNTIFS('QA Log'!D:D,A102,'QA Log'!M:M,"QQC",'QA Log'!Z:Z,"Rejected",'QA Log'!L:L,"*4. Family Planning*")
))</f>
        <v/>
      </c>
      <c r="AC102" s="102" t="str">
        <f t="shared" si="3"/>
        <v/>
      </c>
      <c r="AD102" s="103" t="str">
        <f t="shared" si="4"/>
        <v/>
      </c>
      <c r="AE102" s="102" t="str">
        <f>IF(A102="","",
SUM(
COUNTIFS('QA Log'!D:D,A102,'QA Log'!M:M,"Data Verification",'QA Log'!L:L,"*Medicine (section 2)*"),
COUNTIFS('QA Log'!D:D,A102,'QA Log'!M:M,"Data Verification",'QA Log'!L:L,"*Lab Testing Availability*"),
COUNTIFS('QA Log'!D:D,A102,'QA Log'!M:M,"Data Verification",'QA Log'!L:L,"*Other than P4P (section 6)*"),
COUNTIFS('QA Log'!D:D,A102,'QA Log'!M:M,"Data Verification",'QA Log'!L:L,"*Hospital Governance*")
))</f>
        <v/>
      </c>
      <c r="AF102" s="102" t="str">
        <f>IF(A102="","",
SUM(
COUNTIFS('QA Log'!D:D,A102,'QA Log'!M:M,"Data Verification",'QA Log'!Z:Z,"Approved",'QA Log'!L:L,"*Medicine (section 2)*"),
COUNTIFS('QA Log'!D:D,A102,'QA Log'!M:M,"Data Verification",'QA Log'!Z:Z,"Approved",'QA Log'!L:L,"*Lab Testing Availability*"),
COUNTIFS('QA Log'!D:D,A102,'QA Log'!M:M,"Data Verification",'QA Log'!Z:Z,"Approved",'QA Log'!L:L,"*Other than P4P (section 6)*"),
COUNTIFS('QA Log'!D:D,A102,'QA Log'!M:M,"Data Verification",'QA Log'!Z:Z,"Approved",'QA Log'!L:L,"*Hospital Governance*")
))</f>
        <v/>
      </c>
      <c r="AG102" s="105" t="str">
        <f>IF(A102&lt;&gt;"",COUNTIFS('QA Log'!D:D,A102,'QA Log'!M:M,"Data Verification",'QA Log'!L:L,"Medicine (section 2)",'QA Log'!Z:Z,"Approved"),"")</f>
        <v/>
      </c>
      <c r="AH102" s="105" t="str">
        <f>IF(A102&lt;&gt;"",COUNTIFS('QA Log'!D:D,A102,'QA Log'!M:M,"Data Verification",'QA Log'!L:L,"Lab Testing Availability",'QA Log'!Z:Z,"Approved"),"")</f>
        <v/>
      </c>
      <c r="AI102" s="105" t="str">
        <f>IF(A102&lt;&gt;"",COUNTIFS('QA Log'!D:D,A102,'QA Log'!M:M,"Data Verification",'QA Log'!L:L,"Other than P4P (section 6)",'QA Log'!Z:Z,"Approved"),"")</f>
        <v/>
      </c>
      <c r="AJ102" s="105" t="str">
        <f>IF(A102&lt;&gt;"",COUNTIFS('QA Log'!D:D,A102,'QA Log'!M:M,"Data Verification",'QA Log'!L:L,"Hospital Governance",'QA Log'!Z:Z,"Approved"),"")</f>
        <v/>
      </c>
      <c r="AK102" s="102" t="str">
        <f>IF(A102="","",
SUM(
COUNTIFS('QA Log'!D:D,A102,'QA Log'!M:M,"Data Verification",'QA Log'!Z:Z,"Rejected",'QA Log'!L:L,"*Medicine (section 2)*"),
COUNTIFS('QA Log'!D:D,A102,'QA Log'!M:M,"Data Verification",'QA Log'!Z:Z,"Rejected",'QA Log'!L:L,"*Lab Testing Availability*"),
COUNTIFS('QA Log'!D:D,A102,'QA Log'!M:M,"Data Verification",'QA Log'!Z:Z,"Rejected",'QA Log'!L:L,"*Other than P4P (section 6)*"),
COUNTIFS('QA Log'!D:D,A102,'QA Log'!M:M,"Data Verification",'QA Log'!Z:Z,"Rejected",'QA Log'!L:L,"*Hospital Governance*")
))</f>
        <v/>
      </c>
      <c r="AL102" s="106" t="str">
        <f t="shared" si="5"/>
        <v/>
      </c>
      <c r="AM102" s="102" t="str">
        <f t="shared" si="6"/>
        <v/>
      </c>
      <c r="AN102" s="102" t="str">
        <f>IF(A102="","",
SUM(
COUNTIFS('QA Log'!D:D,A102,'QA Log'!M:M,"Data Verification",'QA Log'!L:L,"*Personnel (section 1)*"),
COUNTIFS('QA Log'!D:D,A102,'QA Log'!M:M,"Data Verification",'QA Log'!L:L,"*Consumable (section 3)*"),
COUNTIFS('QA Log'!D:D,A102,'QA Log'!M:M,"Data Verification",'QA Log'!L:L,"*Equipments (section 4)*")
))</f>
        <v/>
      </c>
      <c r="AO102" s="102" t="str">
        <f>IF(A102="","",
SUM(
COUNTIFS('QA Log'!D:D,A102,'QA Log'!M:M,"Data Verification",'QA Log'!Z:Z,"Approved",'QA Log'!L:L,"*Personnel (section 1)*"),
COUNTIFS('QA Log'!D:D,A102,'QA Log'!M:M,"Data Verification",'QA Log'!Z:Z,"Approved",'QA Log'!L:L,"*Consumable (section 3)*"),
COUNTIFS('QA Log'!D:D,A102,'QA Log'!M:M,"Data Verification",'QA Log'!Z:Z,"Approved",'QA Log'!L:L,"*Equipments (section 4)*")
))</f>
        <v/>
      </c>
      <c r="AP102" s="105" t="str">
        <f>IF(A102&lt;&gt;"",COUNTIFS('QA Log'!D:D,A102,'QA Log'!M:M,"Data Verification",'QA Log'!L:L,"Personnel (section 1)",'QA Log'!Z:Z,"Approved"),"")</f>
        <v/>
      </c>
      <c r="AQ102" s="105" t="str">
        <f>IF(A102&lt;&gt;"",COUNTIFS('QA Log'!D:D,A102,'QA Log'!M:M,"Data Verification",'QA Log'!L:L,"Consumable (section 3)",'QA Log'!Z:Z,"Approved"),"")</f>
        <v/>
      </c>
      <c r="AR102" s="105" t="str">
        <f>IF(A102&lt;&gt;"",COUNTIFS('QA Log'!D:D,A102,'QA Log'!M:M,"Data Verification",'QA Log'!L:L,"Equipments (section 4)",'QA Log'!Z:Z,"Approved"),"")</f>
        <v/>
      </c>
      <c r="AS102" s="102" t="str">
        <f>IF(A102="","",
SUM(
COUNTIFS('QA Log'!D:D,A102,'QA Log'!M:M,"Data Verification",'QA Log'!Z:Z,"Rejected",'QA Log'!L:L,"*Personnel (section 1)*"),
COUNTIFS('QA Log'!D:D,A102,'QA Log'!M:M,"Data Verification",'QA Log'!Z:Z,"Rejected",'QA Log'!L:L,"*Consumable (section 3)*"),
COUNTIFS('QA Log'!D:D,A102,'QA Log'!M:M,"Data Verification",'QA Log'!Z:Z,"Rejected",'QA Log'!L:L,"*Equipments (section 4)*")
))</f>
        <v/>
      </c>
      <c r="AT102" s="102" t="str">
        <f t="shared" si="7"/>
        <v/>
      </c>
      <c r="AU102" s="103" t="str">
        <f t="shared" si="8"/>
        <v/>
      </c>
      <c r="AV102" s="102" t="str">
        <f>IF(A102="","",SUM(
COUNTIFS('QA Log'!D:D,A102,'QA Log'!M:M,"Vignette",'QA Log'!L:L,"*Vignette [1] Respiratory Infection: Pneumonia*"),
COUNTIFS('QA Log'!D:D,A102,'QA Log'!M:M,"Vignette",'QA Log'!L:L,"*Vignette [2]: Diarrhea with Cat B dehydration*"),
COUNTIFS('QA Log'!D:D,A102,'QA Log'!M:M,"Vignette",'QA Log'!L:L,"*Vignette [3] Growth Monitoring and Promotion*"),
COUNTIFS('QA Log'!D:D,A102,'QA Log'!M:M,"Vignette",'QA Log'!L:L,"*Vignette [4]: The management of presumptive TB patient*")
)
)</f>
        <v/>
      </c>
      <c r="AW102" s="102" t="str">
        <f>IF(
  A102="","",
  SUM(
    COUNTIFS('QA Log'!D:D,A102,'QA Log'!M:M,"Vignette",'QA Log'!Z:Z,"Approved",'QA Log'!L:L,"*Vignette [1] Respiratory Infection: Pneumonia*"),
    COUNTIFS('QA Log'!D:D,A102,'QA Log'!M:M,"Vignette",'QA Log'!Z:Z,"Approved",'QA Log'!L:L,"*Vignette [2]: Diarrhea with Cat B dehydration*"),
    COUNTIFS('QA Log'!D:D,A102,'QA Log'!M:M,"Vignette",'QA Log'!Z:Z,"Approved",'QA Log'!L:L,"*Vignette [3] Growth Monitoring and Promotion*"),
    COUNTIFS('QA Log'!D:D,A102,'QA Log'!M:M,"Vignette",'QA Log'!Z:Z,"Approved",'QA Log'!L:L,"*Vignette [4]: The management of presumptive TB patient*")
  )
)</f>
        <v/>
      </c>
      <c r="AX102" s="105" t="str">
        <f>IF(A102&lt;&gt;"",COUNTIFS('QA Log'!D:D,A102,'QA Log'!M:M,"Vignette",'QA Log'!L:L,"Vignette [1] Respiratory Infection: Pneumonia",'QA Log'!Z:Z,"Approved"),"")</f>
        <v/>
      </c>
      <c r="AY102" s="105" t="str">
        <f>IF(A102&lt;&gt;"",COUNTIFS('QA Log'!D:D,A102,'QA Log'!M:M,"Vignette",'QA Log'!L:L,"Vignette [2]: Diarrhea with Cat B dehydration",'QA Log'!Z:Z,"Approved"),"")</f>
        <v/>
      </c>
      <c r="AZ102" s="105" t="str">
        <f>IF(A102&lt;&gt;"",COUNTIFS('QA Log'!D:D,A102,'QA Log'!M:M,"Vignette",'QA Log'!L:L,"Vignette [3] Growth Monitoring and Promotion",'QA Log'!Z:Z,"Approved"),"")</f>
        <v/>
      </c>
      <c r="BA102" s="105" t="str">
        <f>IF(A102&lt;&gt;"",COUNTIFS('QA Log'!D:D,A102,'QA Log'!M:M,"Vignette",'QA Log'!L:L,"Vignette [4]: The management of presumptive TB patient",'QA Log'!Z:Z,"Approved"),"")</f>
        <v/>
      </c>
      <c r="BB102" s="102" t="str">
        <f>IF(A102="","",
  SUM(
    COUNTIFS('QA Log'!D:D,A102,'QA Log'!M:M,"Vignette",'QA Log'!Z:Z,"Rejected",'QA Log'!L:L,"*Vignette [1] Respiratory Infection: Pneumonia*"),
    COUNTIFS('QA Log'!D:D,A102,'QA Log'!M:M,"Vignette",'QA Log'!Z:Z,"Rejected",'QA Log'!L:L,"*Vignette [2]: Diarrhea with Cat B dehydration*"),
    COUNTIFS('QA Log'!D:D,A102,'QA Log'!M:M,"Vignette",'QA Log'!Z:Z,"Rejected",'QA Log'!L:L,"*Vignette [3] Growth Monitoring and Promotion*"),
    COUNTIFS('QA Log'!D:D,A102,'QA Log'!M:M,"Vignette",'QA Log'!Z:Z,"Rejected",'QA Log'!L:L,"*Vignette [4]: The management of presumptive TB patient*")
  )
)</f>
        <v/>
      </c>
      <c r="BC102" s="107" t="str">
        <f t="shared" si="9"/>
        <v/>
      </c>
      <c r="BD102" s="103" t="str">
        <f t="shared" si="10"/>
        <v/>
      </c>
      <c r="BE102" s="102" t="str">
        <f>IF(A102="","",SUM(
COUNTIFS('QA Log'!D:D,A102,'QA Log'!M:M,"Vignette",'QA Log'!L:L,"*Vignette [5] Labor*"),
COUNTIFS('QA Log'!D:D,A102,'QA Log'!M:M,"Vignette",'QA Log'!L:L,"*Vignette [6] PNC pre Discharge*"),
COUNTIFS('QA Log'!D:D,A102,'QA Log'!M:M,"Vignette",'QA Log'!L:L,"*Vignette [7] First ANC Visit*"),
COUNTIFS('QA Log'!D:D,A102,'QA Log'!M:M,"Vignette",'QA Log'!L:L,"*Vignette [8] Birth Spacing/ Family Planning :  FP Counselling*"),
COUNTIFS('QA Log'!D:D,A102,'QA Log'!M:M,"Vignette",'QA Log'!L:L,"*Vignette [9] Birth Spacing: Change FP method to Injectable*"),
COUNTIFS('QA Log'!D:D,A102,'QA Log'!M:M,"Vignette",'QA Log'!L:L,"*Vignette [10] Post Partum Haemorrhage - Atonic Uterus at Health Centre*"),
)
)</f>
        <v/>
      </c>
      <c r="BF102" s="102" t="str">
        <f>IF(A102="","",
  SUM(
    COUNTIFS('QA Log'!D:D,A102,'QA Log'!M:M,"Vignette",'QA Log'!Z:Z,"Approved",'QA Log'!L:L,"*Vignette [5] Labor*"),
    COUNTIFS('QA Log'!D:D,A102,'QA Log'!M:M,"Vignette",'QA Log'!Z:Z,"Approved",'QA Log'!L:L,"*Vignette [6] PNC pre Discharge*"),
    COUNTIFS('QA Log'!D:D,A102,'QA Log'!M:M,"Vignette",'QA Log'!Z:Z,"Approved",'QA Log'!L:L,"*Vignette [7] First ANC Visit*"),
    COUNTIFS('QA Log'!D:D,A102,'QA Log'!M:M,"Vignette",'QA Log'!Z:Z,"Approved",'QA Log'!L:L,"*Vignette [8] Birth Spacing/ Family Planning :  FP Counselling*"),
    COUNTIFS('QA Log'!D:D,A102,'QA Log'!M:M,"Vignette",'QA Log'!Z:Z,"Approved",'QA Log'!L:L,"*Vignette [9] Birth Spacing: Change FP method to Injectable*"),
    COUNTIFS('QA Log'!D:D,A102,'QA Log'!M:M,"Vignette",'QA Log'!Z:Z,"Approved",'QA Log'!L:L,"*Vignette [10] Post Partum Haemorrhage - Atonic Uterus at Health Centre*")
  )
)</f>
        <v/>
      </c>
      <c r="BG102" s="105" t="str">
        <f>IF(A102&lt;&gt;"",COUNTIFS('QA Log'!D:D,A102,'QA Log'!M:M,"Vignette",'QA Log'!L:L,"Vignette [5] Labor",'QA Log'!Z:Z,"Approved"),"")</f>
        <v/>
      </c>
      <c r="BH102" s="105" t="str">
        <f>IF(A102&lt;&gt;"",COUNTIFS('QA Log'!D:D,A102,'QA Log'!M:M,"Vignette",'QA Log'!L:L,"Vignette [6] PNC pre Discharge",'QA Log'!Z:Z,"Approved"),"")</f>
        <v/>
      </c>
      <c r="BI102" s="105" t="str">
        <f>IF(A102&lt;&gt;"",COUNTIFS('QA Log'!D:D,A102,'QA Log'!M:M,"Vignette",'QA Log'!L:L,"Vignette [7] First ANC Visit",'QA Log'!Z:Z,"Approved"),"")</f>
        <v/>
      </c>
      <c r="BJ102" s="105" t="str">
        <f>IF(A102&lt;&gt;"",COUNTIFS('QA Log'!D:D,A102,'QA Log'!M:M,"Vignette",'QA Log'!L:L,"Vignette [8] Birth Spacing/ Family Planning :  FP Counselling",'QA Log'!Z:Z,"Approved"),"")</f>
        <v/>
      </c>
      <c r="BK102" s="105" t="str">
        <f>IF(A102&lt;&gt;"",COUNTIFS('QA Log'!D:D,A102,'QA Log'!M:M,"Vignette",'QA Log'!L:L,"Vignette [9] Birth Spacing: Change FP method to Injectable",'QA Log'!Z:Z,"Approved"),"")</f>
        <v/>
      </c>
      <c r="BL102" s="105" t="str">
        <f>IF(A102&lt;&gt;"",COUNTIFS('QA Log'!D:D,A102,'QA Log'!M:M,"Vignette",'QA Log'!L:L,"Vignette [10] Post Partum Haemorrhage - Atonic Uterus at Health Centre",'QA Log'!Z:Z,"Approved"),"")</f>
        <v/>
      </c>
      <c r="BM102" s="102" t="str">
        <f>IF(A102="","",SUM(
    COUNTIFS('QA Log'!D:D,A102,'QA Log'!M:M,"Vignette",'QA Log'!Z:Z,"Rejected",'QA Log'!L:L,"*Vignette [5] Labor*"),
    COUNTIFS('QA Log'!D:D,A102,'QA Log'!M:M,"Vignette",'QA Log'!Z:Z,"Rejected",'QA Log'!L:L,"*Vignette [6] PNC pre Discharge*"),
    COUNTIFS('QA Log'!D:D,A102,'QA Log'!M:M,"Vignette",'QA Log'!Z:Z,"Rejected",'QA Log'!L:L,"*Vignette [7] First ANC Visit*"),
    COUNTIFS('QA Log'!D:D,A102,'QA Log'!M:M,"Vignette",'QA Log'!Z:Z,"Rejected",'QA Log'!L:L,"*Vignette [8] Birth Spacing/ Family Planning :  FP Counselling*"),
    COUNTIFS('QA Log'!D:D,A102,'QA Log'!M:M,"Vignette",'QA Log'!Z:Z,"Rejected",'QA Log'!L:L,"*Vignette [9] Birth Spacing: Change FP method to Injectable*"),
    COUNTIFS('QA Log'!D:D,A102,'QA Log'!M:M,"Vignette",'QA Log'!Z:Z,"Rejected",'QA Log'!L:L,"*Vignette [10] Post Partum Haemorrhage - Atonic Uterus at Health Centre*")
  )
)</f>
        <v/>
      </c>
      <c r="BN102" s="107" t="str">
        <f t="shared" si="11"/>
        <v/>
      </c>
      <c r="BO102" s="103" t="str">
        <f t="shared" si="12"/>
        <v/>
      </c>
      <c r="BP102" s="102" t="str">
        <f>IF(A102="","",SUM(
COUNTIFS('QA Log'!D:D,A102,'QA Log'!M:M,"Vignette",'QA Log'!L:L,"*Exit Interview 1*"),
COUNTIFS('QA Log'!D:D,A102,'QA Log'!M:M,"Vignette",'QA Log'!L:L,"*Exit Interview 2*"),
)
)</f>
        <v/>
      </c>
      <c r="BQ102" s="102" t="str">
        <f>IF(
  A102="","",
  SUM(
    COUNTIFS('QA Log'!D:D,A102,'QA Log'!M:M,"Vignette",'QA Log'!Z:Z,"Approved",'QA Log'!L:L,"*Exit Interview 1*"),
    COUNTIFS('QA Log'!D:D,A102,'QA Log'!M:M,"Vignette",'QA Log'!Z:Z,"Approved",'QA Log'!L:L,"*Exit Interview 2*")
  )
)</f>
        <v/>
      </c>
      <c r="BR102" s="105" t="str">
        <f>IF(A102&lt;&gt;"",COUNTIFS('QA Log'!D:D,A102,'QA Log'!M:M,"Vignette",'QA Log'!L:L,"Exit Interview 1",'QA Log'!Z:Z,"Approved"),"")</f>
        <v/>
      </c>
      <c r="BS102" s="105" t="str">
        <f>IF(A102&lt;&gt;"",COUNTIFS('QA Log'!D:D,A102,'QA Log'!M:M,"Vignette",'QA Log'!L:L,"Exit Interview 2",'QA Log'!Z:Z,"Approved"),"")</f>
        <v/>
      </c>
      <c r="BT102" s="102" t="str">
        <f>IF(
  A102="","",
  SUM(
    COUNTIFS('QA Log'!D:D,A102,'QA Log'!M:M,"Vignette",'QA Log'!Z:Z,"Rejected",'QA Log'!L:L,"*Exit Interview 1*"),
    COUNTIFS('QA Log'!D:D,A102,'QA Log'!M:M,"Vignette",'QA Log'!Z:Z,"Rejected",'QA Log'!L:L,"*Exit Interview 2*")
  )
)</f>
        <v/>
      </c>
      <c r="BU102" s="107" t="str">
        <f t="shared" si="13"/>
        <v/>
      </c>
      <c r="BV102" s="102" t="str">
        <f t="shared" si="14"/>
        <v/>
      </c>
      <c r="BW102" s="102" t="str">
        <f t="shared" si="15"/>
        <v/>
      </c>
      <c r="BX102" s="102" t="str">
        <f t="shared" si="16"/>
        <v/>
      </c>
      <c r="BY102" s="102" t="str">
        <f t="shared" si="17"/>
        <v/>
      </c>
      <c r="BZ102" s="107" t="str">
        <f t="shared" si="18"/>
        <v/>
      </c>
      <c r="CA102" s="108" t="str">
        <f t="shared" si="19"/>
        <v/>
      </c>
      <c r="CB102" s="108" t="str">
        <f t="shared" si="20"/>
        <v/>
      </c>
      <c r="CC102" s="109" t="str">
        <f t="shared" si="21"/>
        <v/>
      </c>
      <c r="CD102" s="108" t="str">
        <f t="shared" si="22"/>
        <v/>
      </c>
      <c r="CE102" s="108" t="str">
        <f t="shared" si="23"/>
        <v/>
      </c>
      <c r="CF102" s="109" t="str">
        <f t="shared" si="24"/>
        <v/>
      </c>
      <c r="CG102" s="110" t="str">
        <f t="shared" si="25"/>
        <v/>
      </c>
      <c r="CH102" s="111"/>
    </row>
    <row r="103" spans="1:86" ht="12.75">
      <c r="A103" s="101"/>
      <c r="B103" s="102" t="e">
        <f t="array" aca="1" ref="B103" ca="1">_xludf.XLOOKUP(A103,'QA Log'!D:D,'QA Log'!E:E,"")</f>
        <v>#NAME?</v>
      </c>
      <c r="C103" s="102" t="e">
        <f t="array" aca="1" ref="C103" ca="1">_xludf.XLOOKUP(A103,'QA Log'!D:D,'QA Log'!F:F,"")</f>
        <v>#NAME?</v>
      </c>
      <c r="D103" s="102" t="e">
        <f t="array" aca="1" ref="D103" ca="1">_xludf.XLOOKUP(A103,'QA Log'!D:D,'QA Log'!H:H,"")</f>
        <v>#NAME?</v>
      </c>
      <c r="E103" s="102" t="e">
        <f t="array" aca="1" ref="E103" ca="1">_xludf.XLOOKUP(A103,'QA Log'!D:D,'QA Log'!G:G,"")</f>
        <v>#NAME?</v>
      </c>
      <c r="F103" s="103"/>
      <c r="G103" s="104"/>
      <c r="H103" s="104"/>
      <c r="I103" s="103" t="str">
        <f t="shared" si="0"/>
        <v/>
      </c>
      <c r="J103" s="102" t="str">
        <f>IF(A103="","",SUM(
COUNTIFS('QA Log'!D:D,A103,'QA Log'!M:M,"QQC",'QA Log'!L:L,"*1. General Management*"),
COUNTIFS('QA Log'!D:D,A103,'QA Log'!M:M,"QQC",'QA Log'!L:L,"*3. Curative Consultation (OPD)*"),
COUNTIFS('QA Log'!D:D,A103,'QA Log'!M:M,"QQC",'QA Log'!L:L,"*5. Laboratory*"),
COUNTIFS('QA Log'!D:D,A103,'QA Log'!M:M,"QQC",'QA Log'!L:L,"*6. Essential Medicine Management*"),
COUNTIFS('QA Log'!D:D,A103,'QA Log'!M:M,"QQC",'QA Log'!L:L,"*7. Tracer Medicine*"),
COUNTIFS('QA Log'!D:D,A103,'QA Log'!M:M,"QQC",'QA Log'!L:L,"*11. Additional Questions*")))</f>
        <v/>
      </c>
      <c r="K103" s="102" t="str">
        <f>IF(A103="","",SUM(
COUNTIFS('QA Log'!D:D,A103,'QA Log'!M:M,"QQC",'QA Log'!Z:Z,"Approved",'QA Log'!L:L,"*1. General Management*"),
COUNTIFS('QA Log'!D:D,A103,'QA Log'!M:M,"QQC",'QA Log'!Z:Z,"Approved",'QA Log'!L:L,"*3. Curative Consultation (OPD)*"),
COUNTIFS('QA Log'!D:D,A103,'QA Log'!M:M,"QQC",'QA Log'!Z:Z,"Approved",'QA Log'!L:L,"*5. Laboratory*"),
COUNTIFS('QA Log'!D:D,A103,'QA Log'!M:M,"QQC",'QA Log'!Z:Z,"Approved",'QA Log'!L:L,"*6. Essential Medicine Management*"),
COUNTIFS('QA Log'!D:D,A103,'QA Log'!M:M,"QQC",'QA Log'!Z:Z,"Approved",'QA Log'!L:L,"*7. Tracer Medicine*"),
COUNTIFS('QA Log'!D:D,A103,'QA Log'!M:M,"QQC",'QA Log'!Z:Z,"Approved",'QA Log'!L:L,"*11. Additional Questions*")))</f>
        <v/>
      </c>
      <c r="L103" s="105" t="str">
        <f>IF(A103&lt;&gt;"",COUNTIFS('QA Log'!D:D,A103,'QA Log'!M:M,"QQC",'QA Log'!L:L,"1. General Management",'QA Log'!Z:Z,"Approved"),"")</f>
        <v/>
      </c>
      <c r="M103" s="105" t="str">
        <f>IF(A103&lt;&gt;"",COUNTIFS('QA Log'!D:D,A103,'QA Log'!M:M,"QQC",'QA Log'!L:L,"3. Curative Consultation (OPD)",'QA Log'!Z:Z,"Approved"),"")</f>
        <v/>
      </c>
      <c r="N103" s="105" t="str">
        <f>IF(A103&lt;&gt;"",COUNTIFS('QA Log'!D:D,A103,'QA Log'!M:M,"QQC",'QA Log'!L:L,"5. Laboratory",'QA Log'!Z:Z,"Approved"),"")</f>
        <v/>
      </c>
      <c r="O103" s="105" t="str">
        <f>IF(A103&lt;&gt;"",COUNTIFS('QA Log'!D:D,A103,'QA Log'!M:M,"QQC",'QA Log'!L:L,"6. Essential Medicine Management",'QA Log'!Z:Z,"Approved"),"")</f>
        <v/>
      </c>
      <c r="P103" s="105" t="str">
        <f>IF(A103&lt;&gt;"",COUNTIFS('QA Log'!D:D,A103,'QA Log'!M:M,"QQC",'QA Log'!L:L,"7. Tracer Medicine",'QA Log'!Z:Z,"Approved"),"")</f>
        <v/>
      </c>
      <c r="Q103" s="105" t="str">
        <f>IF(A103&lt;&gt;"",COUNTIFS('QA Log'!D:D,A103,'QA Log'!M:M,"QQC",'QA Log'!L:L,"11. Additional Questions",'QA Log'!Z:Z,"Approved"),"")</f>
        <v/>
      </c>
      <c r="R103" s="102" t="str">
        <f>IF(A103="","",SUM(
COUNTIFS('QA Log'!D:D,A103,'QA Log'!M:M,"QQC",'QA Log'!Z:Z,"Rejected",'QA Log'!L:L,"*8. Maternity*"),
COUNTIFS('QA Log'!D:D,A103,'QA Log'!M:M,"QQC",'QA Log'!Z:Z,"Rejected",'QA Log'!L:L,"*EPI*"),
COUNTIFS('QA Log'!D:D,A103,'QA Log'!M:M,"QQC",'QA Log'!Z:Z,"Rejected",'QA Log'!L:L,"*10. Antenatal Care (ANC)*"),
COUNTIFS('QA Log'!D:D,A103,'QA Log'!M:M,"QQC",'QA Log'!Z:Z,"Rejected",'QA Log'!L:L,"*2. Hygiene and Sterilization*"),
COUNTIFS('QA Log'!D:D,A103,'QA Log'!M:M,"QQC",'QA Log'!Z:Z,"Rejected",'QA Log'!L:L,"*Family Planning*")))</f>
        <v/>
      </c>
      <c r="S103" s="106" t="str">
        <f t="shared" si="1"/>
        <v/>
      </c>
      <c r="T103" s="102" t="str">
        <f t="shared" si="2"/>
        <v/>
      </c>
      <c r="U103" s="102" t="str">
        <f>IF(A103="","",
SUM(
COUNTIFS('QA Log'!D:D,A103,'QA Log'!M:M,"QQC",'QA Log'!L:L,"*8. Maternity*"),
COUNTIFS('QA Log'!D:D,A103,'QA Log'!M:M,"QQC",'QA Log'!L:L,"*9. EPI and Pre-school Consultation*"),
COUNTIFS('QA Log'!D:D,A103,'QA Log'!M:M,"QQC",'QA Log'!L:L,"*10. Antenatal Care (ANC)*"),
COUNTIFS('QA Log'!D:D,A103,'QA Log'!M:M,"QQC",'QA Log'!L:L,"*2. Hygiene and Sterilization*"),
COUNTIFS('QA Log'!D:D,A103,'QA Log'!M:M,"QQC",'QA Log'!L:L,"*4. Family Planning*")
))</f>
        <v/>
      </c>
      <c r="V103" s="102" t="str">
        <f>IF(A103="","",
SUM(
COUNTIFS('QA Log'!D:D,A103,'QA Log'!M:M,"QQC",'QA Log'!Z:Z,"Approved",'QA Log'!L:L,"*8. Maternity*"),
COUNTIFS('QA Log'!D:D,A103,'QA Log'!M:M,"QQC",'QA Log'!Z:Z,"Approved",'QA Log'!L:L,"*9. EPI and Pre-school Consultation*"),
COUNTIFS('QA Log'!D:D,A103,'QA Log'!M:M,"QQC",'QA Log'!Z:Z,"Approved",'QA Log'!L:L,"*10. Antenatal Care (ANC)*"),
COUNTIFS('QA Log'!D:D,A103,'QA Log'!M:M,"QQC",'QA Log'!Z:Z,"Approved",'QA Log'!L:L,"*2. Hygiene and Sterilization*"),
COUNTIFS('QA Log'!D:D,A103,'QA Log'!M:M,"QQC",'QA Log'!Z:Z,"Approved",'QA Log'!L:L,"*4. Family Planning*")
))</f>
        <v/>
      </c>
      <c r="W103" s="105" t="str">
        <f>IF(A103&lt;&gt;"",COUNTIFS('QA Log'!D:D,A103,'QA Log'!M:M,"QQC",'QA Log'!L:L,"8. Maternity",'QA Log'!Z:Z,"Approved"),"")</f>
        <v/>
      </c>
      <c r="X103" s="105" t="str">
        <f>IF(A103&lt;&gt;"",COUNTIFS('QA Log'!D:D,A103,'QA Log'!M:M,"QQC",'QA Log'!L:L,"9. EPI and Pre-school Consultation",'QA Log'!Z:Z,"Approved"),"")</f>
        <v/>
      </c>
      <c r="Y103" s="105" t="str">
        <f>IF(A103&lt;&gt;"",COUNTIFS('QA Log'!D:D,A103,'QA Log'!M:M,"QQC",'QA Log'!L:L,"10. Antenatal Care (ANC)",'QA Log'!Z:Z,"Approved"),"")</f>
        <v/>
      </c>
      <c r="Z103" s="105" t="str">
        <f>IF(A103&lt;&gt;"",COUNTIFS('QA Log'!D:D,A103,'QA Log'!M:M,"QQC",'QA Log'!L:L,"2. Hygiene and Sterilization",'QA Log'!Z:Z,"Approved"),"")</f>
        <v/>
      </c>
      <c r="AA103" s="105" t="str">
        <f>IF(A103&lt;&gt;"",COUNTIFS('QA Log'!D:D,A103,'QA Log'!M:M,"QQC",'QA Log'!L:L,"4. Family Planning",'QA Log'!Z:Z,"Approved"),"")</f>
        <v/>
      </c>
      <c r="AB103" s="102" t="str">
        <f>IF(A103="","",
SUM(
COUNTIFS('QA Log'!D:D,A103,'QA Log'!M:M,"QQC",'QA Log'!Z:Z,"Rejected",'QA Log'!L:L,"*8. Maternity*"),
COUNTIFS('QA Log'!D:D,A103,'QA Log'!M:M,"QQC",'QA Log'!Z:Z,"Rejected",'QA Log'!L:L,"*9. EPI and Pre-school Consultation*"),
COUNTIFS('QA Log'!D:D,A103,'QA Log'!M:M,"QQC",'QA Log'!Z:Z,"Rejected",'QA Log'!L:L,"*10. Antenatal Care (ANC)*"),
COUNTIFS('QA Log'!D:D,A103,'QA Log'!M:M,"QQC",'QA Log'!Z:Z,"Rejected",'QA Log'!L:L,"*2. Hygiene and Sterilization*"),
COUNTIFS('QA Log'!D:D,A103,'QA Log'!M:M,"QQC",'QA Log'!Z:Z,"Rejected",'QA Log'!L:L,"*4. Family Planning*")
))</f>
        <v/>
      </c>
      <c r="AC103" s="102" t="str">
        <f t="shared" si="3"/>
        <v/>
      </c>
      <c r="AD103" s="103" t="str">
        <f t="shared" si="4"/>
        <v/>
      </c>
      <c r="AE103" s="102" t="str">
        <f>IF(A103="","",
SUM(
COUNTIFS('QA Log'!D:D,A103,'QA Log'!M:M,"Data Verification",'QA Log'!L:L,"*Medicine (section 2)*"),
COUNTIFS('QA Log'!D:D,A103,'QA Log'!M:M,"Data Verification",'QA Log'!L:L,"*Lab Testing Availability*"),
COUNTIFS('QA Log'!D:D,A103,'QA Log'!M:M,"Data Verification",'QA Log'!L:L,"*Other than P4P (section 6)*"),
COUNTIFS('QA Log'!D:D,A103,'QA Log'!M:M,"Data Verification",'QA Log'!L:L,"*Hospital Governance*")
))</f>
        <v/>
      </c>
      <c r="AF103" s="102" t="str">
        <f>IF(A103="","",
SUM(
COUNTIFS('QA Log'!D:D,A103,'QA Log'!M:M,"Data Verification",'QA Log'!Z:Z,"Approved",'QA Log'!L:L,"*Medicine (section 2)*"),
COUNTIFS('QA Log'!D:D,A103,'QA Log'!M:M,"Data Verification",'QA Log'!Z:Z,"Approved",'QA Log'!L:L,"*Lab Testing Availability*"),
COUNTIFS('QA Log'!D:D,A103,'QA Log'!M:M,"Data Verification",'QA Log'!Z:Z,"Approved",'QA Log'!L:L,"*Other than P4P (section 6)*"),
COUNTIFS('QA Log'!D:D,A103,'QA Log'!M:M,"Data Verification",'QA Log'!Z:Z,"Approved",'QA Log'!L:L,"*Hospital Governance*")
))</f>
        <v/>
      </c>
      <c r="AG103" s="105" t="str">
        <f>IF(A103&lt;&gt;"",COUNTIFS('QA Log'!D:D,A103,'QA Log'!M:M,"Data Verification",'QA Log'!L:L,"Medicine (section 2)",'QA Log'!Z:Z,"Approved"),"")</f>
        <v/>
      </c>
      <c r="AH103" s="105" t="str">
        <f>IF(A103&lt;&gt;"",COUNTIFS('QA Log'!D:D,A103,'QA Log'!M:M,"Data Verification",'QA Log'!L:L,"Lab Testing Availability",'QA Log'!Z:Z,"Approved"),"")</f>
        <v/>
      </c>
      <c r="AI103" s="105" t="str">
        <f>IF(A103&lt;&gt;"",COUNTIFS('QA Log'!D:D,A103,'QA Log'!M:M,"Data Verification",'QA Log'!L:L,"Other than P4P (section 6)",'QA Log'!Z:Z,"Approved"),"")</f>
        <v/>
      </c>
      <c r="AJ103" s="105" t="str">
        <f>IF(A103&lt;&gt;"",COUNTIFS('QA Log'!D:D,A103,'QA Log'!M:M,"Data Verification",'QA Log'!L:L,"Hospital Governance",'QA Log'!Z:Z,"Approved"),"")</f>
        <v/>
      </c>
      <c r="AK103" s="102" t="str">
        <f>IF(A103="","",
SUM(
COUNTIFS('QA Log'!D:D,A103,'QA Log'!M:M,"Data Verification",'QA Log'!Z:Z,"Rejected",'QA Log'!L:L,"*Medicine (section 2)*"),
COUNTIFS('QA Log'!D:D,A103,'QA Log'!M:M,"Data Verification",'QA Log'!Z:Z,"Rejected",'QA Log'!L:L,"*Lab Testing Availability*"),
COUNTIFS('QA Log'!D:D,A103,'QA Log'!M:M,"Data Verification",'QA Log'!Z:Z,"Rejected",'QA Log'!L:L,"*Other than P4P (section 6)*"),
COUNTIFS('QA Log'!D:D,A103,'QA Log'!M:M,"Data Verification",'QA Log'!Z:Z,"Rejected",'QA Log'!L:L,"*Hospital Governance*")
))</f>
        <v/>
      </c>
      <c r="AL103" s="106" t="str">
        <f t="shared" si="5"/>
        <v/>
      </c>
      <c r="AM103" s="102" t="str">
        <f t="shared" si="6"/>
        <v/>
      </c>
      <c r="AN103" s="102" t="str">
        <f>IF(A103="","",
SUM(
COUNTIFS('QA Log'!D:D,A103,'QA Log'!M:M,"Data Verification",'QA Log'!L:L,"*Personnel (section 1)*"),
COUNTIFS('QA Log'!D:D,A103,'QA Log'!M:M,"Data Verification",'QA Log'!L:L,"*Consumable (section 3)*"),
COUNTIFS('QA Log'!D:D,A103,'QA Log'!M:M,"Data Verification",'QA Log'!L:L,"*Equipments (section 4)*")
))</f>
        <v/>
      </c>
      <c r="AO103" s="102" t="str">
        <f>IF(A103="","",
SUM(
COUNTIFS('QA Log'!D:D,A103,'QA Log'!M:M,"Data Verification",'QA Log'!Z:Z,"Approved",'QA Log'!L:L,"*Personnel (section 1)*"),
COUNTIFS('QA Log'!D:D,A103,'QA Log'!M:M,"Data Verification",'QA Log'!Z:Z,"Approved",'QA Log'!L:L,"*Consumable (section 3)*"),
COUNTIFS('QA Log'!D:D,A103,'QA Log'!M:M,"Data Verification",'QA Log'!Z:Z,"Approved",'QA Log'!L:L,"*Equipments (section 4)*")
))</f>
        <v/>
      </c>
      <c r="AP103" s="105" t="str">
        <f>IF(A103&lt;&gt;"",COUNTIFS('QA Log'!D:D,A103,'QA Log'!M:M,"Data Verification",'QA Log'!L:L,"Personnel (section 1)",'QA Log'!Z:Z,"Approved"),"")</f>
        <v/>
      </c>
      <c r="AQ103" s="105" t="str">
        <f>IF(A103&lt;&gt;"",COUNTIFS('QA Log'!D:D,A103,'QA Log'!M:M,"Data Verification",'QA Log'!L:L,"Consumable (section 3)",'QA Log'!Z:Z,"Approved"),"")</f>
        <v/>
      </c>
      <c r="AR103" s="105" t="str">
        <f>IF(A103&lt;&gt;"",COUNTIFS('QA Log'!D:D,A103,'QA Log'!M:M,"Data Verification",'QA Log'!L:L,"Equipments (section 4)",'QA Log'!Z:Z,"Approved"),"")</f>
        <v/>
      </c>
      <c r="AS103" s="102" t="str">
        <f>IF(A103="","",
SUM(
COUNTIFS('QA Log'!D:D,A103,'QA Log'!M:M,"Data Verification",'QA Log'!Z:Z,"Rejected",'QA Log'!L:L,"*Personnel (section 1)*"),
COUNTIFS('QA Log'!D:D,A103,'QA Log'!M:M,"Data Verification",'QA Log'!Z:Z,"Rejected",'QA Log'!L:L,"*Consumable (section 3)*"),
COUNTIFS('QA Log'!D:D,A103,'QA Log'!M:M,"Data Verification",'QA Log'!Z:Z,"Rejected",'QA Log'!L:L,"*Equipments (section 4)*")
))</f>
        <v/>
      </c>
      <c r="AT103" s="102" t="str">
        <f t="shared" si="7"/>
        <v/>
      </c>
      <c r="AU103" s="103" t="str">
        <f t="shared" si="8"/>
        <v/>
      </c>
      <c r="AV103" s="102" t="str">
        <f>IF(A103="","",SUM(
COUNTIFS('QA Log'!D:D,A103,'QA Log'!M:M,"Vignette",'QA Log'!L:L,"*Vignette [1] Respiratory Infection: Pneumonia*"),
COUNTIFS('QA Log'!D:D,A103,'QA Log'!M:M,"Vignette",'QA Log'!L:L,"*Vignette [2]: Diarrhea with Cat B dehydration*"),
COUNTIFS('QA Log'!D:D,A103,'QA Log'!M:M,"Vignette",'QA Log'!L:L,"*Vignette [3] Growth Monitoring and Promotion*"),
COUNTIFS('QA Log'!D:D,A103,'QA Log'!M:M,"Vignette",'QA Log'!L:L,"*Vignette [4]: The management of presumptive TB patient*")
)
)</f>
        <v/>
      </c>
      <c r="AW103" s="102" t="str">
        <f>IF(
  A103="","",
  SUM(
    COUNTIFS('QA Log'!D:D,A103,'QA Log'!M:M,"Vignette",'QA Log'!Z:Z,"Approved",'QA Log'!L:L,"*Vignette [1] Respiratory Infection: Pneumonia*"),
    COUNTIFS('QA Log'!D:D,A103,'QA Log'!M:M,"Vignette",'QA Log'!Z:Z,"Approved",'QA Log'!L:L,"*Vignette [2]: Diarrhea with Cat B dehydration*"),
    COUNTIFS('QA Log'!D:D,A103,'QA Log'!M:M,"Vignette",'QA Log'!Z:Z,"Approved",'QA Log'!L:L,"*Vignette [3] Growth Monitoring and Promotion*"),
    COUNTIFS('QA Log'!D:D,A103,'QA Log'!M:M,"Vignette",'QA Log'!Z:Z,"Approved",'QA Log'!L:L,"*Vignette [4]: The management of presumptive TB patient*")
  )
)</f>
        <v/>
      </c>
      <c r="AX103" s="105" t="str">
        <f>IF(A103&lt;&gt;"",COUNTIFS('QA Log'!D:D,A103,'QA Log'!M:M,"Vignette",'QA Log'!L:L,"Vignette [1] Respiratory Infection: Pneumonia",'QA Log'!Z:Z,"Approved"),"")</f>
        <v/>
      </c>
      <c r="AY103" s="105" t="str">
        <f>IF(A103&lt;&gt;"",COUNTIFS('QA Log'!D:D,A103,'QA Log'!M:M,"Vignette",'QA Log'!L:L,"Vignette [2]: Diarrhea with Cat B dehydration",'QA Log'!Z:Z,"Approved"),"")</f>
        <v/>
      </c>
      <c r="AZ103" s="105" t="str">
        <f>IF(A103&lt;&gt;"",COUNTIFS('QA Log'!D:D,A103,'QA Log'!M:M,"Vignette",'QA Log'!L:L,"Vignette [3] Growth Monitoring and Promotion",'QA Log'!Z:Z,"Approved"),"")</f>
        <v/>
      </c>
      <c r="BA103" s="105" t="str">
        <f>IF(A103&lt;&gt;"",COUNTIFS('QA Log'!D:D,A103,'QA Log'!M:M,"Vignette",'QA Log'!L:L,"Vignette [4]: The management of presumptive TB patient",'QA Log'!Z:Z,"Approved"),"")</f>
        <v/>
      </c>
      <c r="BB103" s="102" t="str">
        <f>IF(A103="","",
  SUM(
    COUNTIFS('QA Log'!D:D,A103,'QA Log'!M:M,"Vignette",'QA Log'!Z:Z,"Rejected",'QA Log'!L:L,"*Vignette [1] Respiratory Infection: Pneumonia*"),
    COUNTIFS('QA Log'!D:D,A103,'QA Log'!M:M,"Vignette",'QA Log'!Z:Z,"Rejected",'QA Log'!L:L,"*Vignette [2]: Diarrhea with Cat B dehydration*"),
    COUNTIFS('QA Log'!D:D,A103,'QA Log'!M:M,"Vignette",'QA Log'!Z:Z,"Rejected",'QA Log'!L:L,"*Vignette [3] Growth Monitoring and Promotion*"),
    COUNTIFS('QA Log'!D:D,A103,'QA Log'!M:M,"Vignette",'QA Log'!Z:Z,"Rejected",'QA Log'!L:L,"*Vignette [4]: The management of presumptive TB patient*")
  )
)</f>
        <v/>
      </c>
      <c r="BC103" s="107" t="str">
        <f t="shared" si="9"/>
        <v/>
      </c>
      <c r="BD103" s="103" t="str">
        <f t="shared" si="10"/>
        <v/>
      </c>
      <c r="BE103" s="102" t="str">
        <f>IF(A103="","",SUM(
COUNTIFS('QA Log'!D:D,A103,'QA Log'!M:M,"Vignette",'QA Log'!L:L,"*Vignette [5] Labor*"),
COUNTIFS('QA Log'!D:D,A103,'QA Log'!M:M,"Vignette",'QA Log'!L:L,"*Vignette [6] PNC pre Discharge*"),
COUNTIFS('QA Log'!D:D,A103,'QA Log'!M:M,"Vignette",'QA Log'!L:L,"*Vignette [7] First ANC Visit*"),
COUNTIFS('QA Log'!D:D,A103,'QA Log'!M:M,"Vignette",'QA Log'!L:L,"*Vignette [8] Birth Spacing/ Family Planning :  FP Counselling*"),
COUNTIFS('QA Log'!D:D,A103,'QA Log'!M:M,"Vignette",'QA Log'!L:L,"*Vignette [9] Birth Spacing: Change FP method to Injectable*"),
COUNTIFS('QA Log'!D:D,A103,'QA Log'!M:M,"Vignette",'QA Log'!L:L,"*Vignette [10] Post Partum Haemorrhage - Atonic Uterus at Health Centre*"),
)
)</f>
        <v/>
      </c>
      <c r="BF103" s="102" t="str">
        <f>IF(A103="","",
  SUM(
    COUNTIFS('QA Log'!D:D,A103,'QA Log'!M:M,"Vignette",'QA Log'!Z:Z,"Approved",'QA Log'!L:L,"*Vignette [5] Labor*"),
    COUNTIFS('QA Log'!D:D,A103,'QA Log'!M:M,"Vignette",'QA Log'!Z:Z,"Approved",'QA Log'!L:L,"*Vignette [6] PNC pre Discharge*"),
    COUNTIFS('QA Log'!D:D,A103,'QA Log'!M:M,"Vignette",'QA Log'!Z:Z,"Approved",'QA Log'!L:L,"*Vignette [7] First ANC Visit*"),
    COUNTIFS('QA Log'!D:D,A103,'QA Log'!M:M,"Vignette",'QA Log'!Z:Z,"Approved",'QA Log'!L:L,"*Vignette [8] Birth Spacing/ Family Planning :  FP Counselling*"),
    COUNTIFS('QA Log'!D:D,A103,'QA Log'!M:M,"Vignette",'QA Log'!Z:Z,"Approved",'QA Log'!L:L,"*Vignette [9] Birth Spacing: Change FP method to Injectable*"),
    COUNTIFS('QA Log'!D:D,A103,'QA Log'!M:M,"Vignette",'QA Log'!Z:Z,"Approved",'QA Log'!L:L,"*Vignette [10] Post Partum Haemorrhage - Atonic Uterus at Health Centre*")
  )
)</f>
        <v/>
      </c>
      <c r="BG103" s="105" t="str">
        <f>IF(A103&lt;&gt;"",COUNTIFS('QA Log'!D:D,A103,'QA Log'!M:M,"Vignette",'QA Log'!L:L,"Vignette [5] Labor",'QA Log'!Z:Z,"Approved"),"")</f>
        <v/>
      </c>
      <c r="BH103" s="105" t="str">
        <f>IF(A103&lt;&gt;"",COUNTIFS('QA Log'!D:D,A103,'QA Log'!M:M,"Vignette",'QA Log'!L:L,"Vignette [6] PNC pre Discharge",'QA Log'!Z:Z,"Approved"),"")</f>
        <v/>
      </c>
      <c r="BI103" s="105" t="str">
        <f>IF(A103&lt;&gt;"",COUNTIFS('QA Log'!D:D,A103,'QA Log'!M:M,"Vignette",'QA Log'!L:L,"Vignette [7] First ANC Visit",'QA Log'!Z:Z,"Approved"),"")</f>
        <v/>
      </c>
      <c r="BJ103" s="105" t="str">
        <f>IF(A103&lt;&gt;"",COUNTIFS('QA Log'!D:D,A103,'QA Log'!M:M,"Vignette",'QA Log'!L:L,"Vignette [8] Birth Spacing/ Family Planning :  FP Counselling",'QA Log'!Z:Z,"Approved"),"")</f>
        <v/>
      </c>
      <c r="BK103" s="105" t="str">
        <f>IF(A103&lt;&gt;"",COUNTIFS('QA Log'!D:D,A103,'QA Log'!M:M,"Vignette",'QA Log'!L:L,"Vignette [9] Birth Spacing: Change FP method to Injectable",'QA Log'!Z:Z,"Approved"),"")</f>
        <v/>
      </c>
      <c r="BL103" s="105" t="str">
        <f>IF(A103&lt;&gt;"",COUNTIFS('QA Log'!D:D,A103,'QA Log'!M:M,"Vignette",'QA Log'!L:L,"Vignette [10] Post Partum Haemorrhage - Atonic Uterus at Health Centre",'QA Log'!Z:Z,"Approved"),"")</f>
        <v/>
      </c>
      <c r="BM103" s="102" t="str">
        <f>IF(A103="","",SUM(
    COUNTIFS('QA Log'!D:D,A103,'QA Log'!M:M,"Vignette",'QA Log'!Z:Z,"Rejected",'QA Log'!L:L,"*Vignette [5] Labor*"),
    COUNTIFS('QA Log'!D:D,A103,'QA Log'!M:M,"Vignette",'QA Log'!Z:Z,"Rejected",'QA Log'!L:L,"*Vignette [6] PNC pre Discharge*"),
    COUNTIFS('QA Log'!D:D,A103,'QA Log'!M:M,"Vignette",'QA Log'!Z:Z,"Rejected",'QA Log'!L:L,"*Vignette [7] First ANC Visit*"),
    COUNTIFS('QA Log'!D:D,A103,'QA Log'!M:M,"Vignette",'QA Log'!Z:Z,"Rejected",'QA Log'!L:L,"*Vignette [8] Birth Spacing/ Family Planning :  FP Counselling*"),
    COUNTIFS('QA Log'!D:D,A103,'QA Log'!M:M,"Vignette",'QA Log'!Z:Z,"Rejected",'QA Log'!L:L,"*Vignette [9] Birth Spacing: Change FP method to Injectable*"),
    COUNTIFS('QA Log'!D:D,A103,'QA Log'!M:M,"Vignette",'QA Log'!Z:Z,"Rejected",'QA Log'!L:L,"*Vignette [10] Post Partum Haemorrhage - Atonic Uterus at Health Centre*")
  )
)</f>
        <v/>
      </c>
      <c r="BN103" s="107" t="str">
        <f t="shared" si="11"/>
        <v/>
      </c>
      <c r="BO103" s="103" t="str">
        <f t="shared" si="12"/>
        <v/>
      </c>
      <c r="BP103" s="102" t="str">
        <f>IF(A103="","",SUM(
COUNTIFS('QA Log'!D:D,A103,'QA Log'!M:M,"Vignette",'QA Log'!L:L,"*Exit Interview 1*"),
COUNTIFS('QA Log'!D:D,A103,'QA Log'!M:M,"Vignette",'QA Log'!L:L,"*Exit Interview 2*"),
)
)</f>
        <v/>
      </c>
      <c r="BQ103" s="102" t="str">
        <f>IF(
  A103="","",
  SUM(
    COUNTIFS('QA Log'!D:D,A103,'QA Log'!M:M,"Vignette",'QA Log'!Z:Z,"Approved",'QA Log'!L:L,"*Exit Interview 1*"),
    COUNTIFS('QA Log'!D:D,A103,'QA Log'!M:M,"Vignette",'QA Log'!Z:Z,"Approved",'QA Log'!L:L,"*Exit Interview 2*")
  )
)</f>
        <v/>
      </c>
      <c r="BR103" s="105" t="str">
        <f>IF(A103&lt;&gt;"",COUNTIFS('QA Log'!D:D,A103,'QA Log'!M:M,"Vignette",'QA Log'!L:L,"Exit Interview 1",'QA Log'!Z:Z,"Approved"),"")</f>
        <v/>
      </c>
      <c r="BS103" s="105" t="str">
        <f>IF(A103&lt;&gt;"",COUNTIFS('QA Log'!D:D,A103,'QA Log'!M:M,"Vignette",'QA Log'!L:L,"Exit Interview 2",'QA Log'!Z:Z,"Approved"),"")</f>
        <v/>
      </c>
      <c r="BT103" s="102" t="str">
        <f>IF(
  A103="","",
  SUM(
    COUNTIFS('QA Log'!D:D,A103,'QA Log'!M:M,"Vignette",'QA Log'!Z:Z,"Rejected",'QA Log'!L:L,"*Exit Interview 1*"),
    COUNTIFS('QA Log'!D:D,A103,'QA Log'!M:M,"Vignette",'QA Log'!Z:Z,"Rejected",'QA Log'!L:L,"*Exit Interview 2*")
  )
)</f>
        <v/>
      </c>
      <c r="BU103" s="107" t="str">
        <f t="shared" si="13"/>
        <v/>
      </c>
      <c r="BV103" s="102" t="str">
        <f t="shared" si="14"/>
        <v/>
      </c>
      <c r="BW103" s="102" t="str">
        <f t="shared" si="15"/>
        <v/>
      </c>
      <c r="BX103" s="102" t="str">
        <f t="shared" si="16"/>
        <v/>
      </c>
      <c r="BY103" s="102" t="str">
        <f t="shared" si="17"/>
        <v/>
      </c>
      <c r="BZ103" s="107" t="str">
        <f t="shared" si="18"/>
        <v/>
      </c>
      <c r="CA103" s="108" t="str">
        <f t="shared" si="19"/>
        <v/>
      </c>
      <c r="CB103" s="108" t="str">
        <f t="shared" si="20"/>
        <v/>
      </c>
      <c r="CC103" s="109" t="str">
        <f t="shared" si="21"/>
        <v/>
      </c>
      <c r="CD103" s="108" t="str">
        <f t="shared" si="22"/>
        <v/>
      </c>
      <c r="CE103" s="108" t="str">
        <f t="shared" si="23"/>
        <v/>
      </c>
      <c r="CF103" s="109" t="str">
        <f t="shared" si="24"/>
        <v/>
      </c>
      <c r="CG103" s="110" t="str">
        <f t="shared" si="25"/>
        <v/>
      </c>
      <c r="CH103" s="111"/>
    </row>
    <row r="104" spans="1:86" ht="12.75">
      <c r="A104" s="101"/>
      <c r="B104" s="102" t="e">
        <f t="array" aca="1" ref="B104" ca="1">_xludf.XLOOKUP(A104,'QA Log'!D:D,'QA Log'!E:E,"")</f>
        <v>#NAME?</v>
      </c>
      <c r="C104" s="102" t="e">
        <f t="array" aca="1" ref="C104" ca="1">_xludf.XLOOKUP(A104,'QA Log'!D:D,'QA Log'!F:F,"")</f>
        <v>#NAME?</v>
      </c>
      <c r="D104" s="102" t="e">
        <f t="array" aca="1" ref="D104" ca="1">_xludf.XLOOKUP(A104,'QA Log'!D:D,'QA Log'!H:H,"")</f>
        <v>#NAME?</v>
      </c>
      <c r="E104" s="102" t="e">
        <f t="array" aca="1" ref="E104" ca="1">_xludf.XLOOKUP(A104,'QA Log'!D:D,'QA Log'!G:G,"")</f>
        <v>#NAME?</v>
      </c>
      <c r="F104" s="103"/>
      <c r="G104" s="104"/>
      <c r="H104" s="104"/>
      <c r="I104" s="103" t="str">
        <f t="shared" si="0"/>
        <v/>
      </c>
      <c r="J104" s="102" t="str">
        <f>IF(A104="","",SUM(
COUNTIFS('QA Log'!D:D,A104,'QA Log'!M:M,"QQC",'QA Log'!L:L,"*1. General Management*"),
COUNTIFS('QA Log'!D:D,A104,'QA Log'!M:M,"QQC",'QA Log'!L:L,"*3. Curative Consultation (OPD)*"),
COUNTIFS('QA Log'!D:D,A104,'QA Log'!M:M,"QQC",'QA Log'!L:L,"*5. Laboratory*"),
COUNTIFS('QA Log'!D:D,A104,'QA Log'!M:M,"QQC",'QA Log'!L:L,"*6. Essential Medicine Management*"),
COUNTIFS('QA Log'!D:D,A104,'QA Log'!M:M,"QQC",'QA Log'!L:L,"*7. Tracer Medicine*"),
COUNTIFS('QA Log'!D:D,A104,'QA Log'!M:M,"QQC",'QA Log'!L:L,"*11. Additional Questions*")))</f>
        <v/>
      </c>
      <c r="K104" s="102" t="str">
        <f>IF(A104="","",SUM(
COUNTIFS('QA Log'!D:D,A104,'QA Log'!M:M,"QQC",'QA Log'!Z:Z,"Approved",'QA Log'!L:L,"*1. General Management*"),
COUNTIFS('QA Log'!D:D,A104,'QA Log'!M:M,"QQC",'QA Log'!Z:Z,"Approved",'QA Log'!L:L,"*3. Curative Consultation (OPD)*"),
COUNTIFS('QA Log'!D:D,A104,'QA Log'!M:M,"QQC",'QA Log'!Z:Z,"Approved",'QA Log'!L:L,"*5. Laboratory*"),
COUNTIFS('QA Log'!D:D,A104,'QA Log'!M:M,"QQC",'QA Log'!Z:Z,"Approved",'QA Log'!L:L,"*6. Essential Medicine Management*"),
COUNTIFS('QA Log'!D:D,A104,'QA Log'!M:M,"QQC",'QA Log'!Z:Z,"Approved",'QA Log'!L:L,"*7. Tracer Medicine*"),
COUNTIFS('QA Log'!D:D,A104,'QA Log'!M:M,"QQC",'QA Log'!Z:Z,"Approved",'QA Log'!L:L,"*11. Additional Questions*")))</f>
        <v/>
      </c>
      <c r="L104" s="105" t="str">
        <f>IF(A104&lt;&gt;"",COUNTIFS('QA Log'!D:D,A104,'QA Log'!M:M,"QQC",'QA Log'!L:L,"1. General Management",'QA Log'!Z:Z,"Approved"),"")</f>
        <v/>
      </c>
      <c r="M104" s="105" t="str">
        <f>IF(A104&lt;&gt;"",COUNTIFS('QA Log'!D:D,A104,'QA Log'!M:M,"QQC",'QA Log'!L:L,"3. Curative Consultation (OPD)",'QA Log'!Z:Z,"Approved"),"")</f>
        <v/>
      </c>
      <c r="N104" s="105" t="str">
        <f>IF(A104&lt;&gt;"",COUNTIFS('QA Log'!D:D,A104,'QA Log'!M:M,"QQC",'QA Log'!L:L,"5. Laboratory",'QA Log'!Z:Z,"Approved"),"")</f>
        <v/>
      </c>
      <c r="O104" s="105" t="str">
        <f>IF(A104&lt;&gt;"",COUNTIFS('QA Log'!D:D,A104,'QA Log'!M:M,"QQC",'QA Log'!L:L,"6. Essential Medicine Management",'QA Log'!Z:Z,"Approved"),"")</f>
        <v/>
      </c>
      <c r="P104" s="105" t="str">
        <f>IF(A104&lt;&gt;"",COUNTIFS('QA Log'!D:D,A104,'QA Log'!M:M,"QQC",'QA Log'!L:L,"7. Tracer Medicine",'QA Log'!Z:Z,"Approved"),"")</f>
        <v/>
      </c>
      <c r="Q104" s="105" t="str">
        <f>IF(A104&lt;&gt;"",COUNTIFS('QA Log'!D:D,A104,'QA Log'!M:M,"QQC",'QA Log'!L:L,"11. Additional Questions",'QA Log'!Z:Z,"Approved"),"")</f>
        <v/>
      </c>
      <c r="R104" s="102" t="str">
        <f>IF(A104="","",SUM(
COUNTIFS('QA Log'!D:D,A104,'QA Log'!M:M,"QQC",'QA Log'!Z:Z,"Rejected",'QA Log'!L:L,"*8. Maternity*"),
COUNTIFS('QA Log'!D:D,A104,'QA Log'!M:M,"QQC",'QA Log'!Z:Z,"Rejected",'QA Log'!L:L,"*EPI*"),
COUNTIFS('QA Log'!D:D,A104,'QA Log'!M:M,"QQC",'QA Log'!Z:Z,"Rejected",'QA Log'!L:L,"*10. Antenatal Care (ANC)*"),
COUNTIFS('QA Log'!D:D,A104,'QA Log'!M:M,"QQC",'QA Log'!Z:Z,"Rejected",'QA Log'!L:L,"*2. Hygiene and Sterilization*"),
COUNTIFS('QA Log'!D:D,A104,'QA Log'!M:M,"QQC",'QA Log'!Z:Z,"Rejected",'QA Log'!L:L,"*Family Planning*")))</f>
        <v/>
      </c>
      <c r="S104" s="106" t="str">
        <f t="shared" si="1"/>
        <v/>
      </c>
      <c r="T104" s="102" t="str">
        <f t="shared" si="2"/>
        <v/>
      </c>
      <c r="U104" s="102" t="str">
        <f>IF(A104="","",
SUM(
COUNTIFS('QA Log'!D:D,A104,'QA Log'!M:M,"QQC",'QA Log'!L:L,"*8. Maternity*"),
COUNTIFS('QA Log'!D:D,A104,'QA Log'!M:M,"QQC",'QA Log'!L:L,"*9. EPI and Pre-school Consultation*"),
COUNTIFS('QA Log'!D:D,A104,'QA Log'!M:M,"QQC",'QA Log'!L:L,"*10. Antenatal Care (ANC)*"),
COUNTIFS('QA Log'!D:D,A104,'QA Log'!M:M,"QQC",'QA Log'!L:L,"*2. Hygiene and Sterilization*"),
COUNTIFS('QA Log'!D:D,A104,'QA Log'!M:M,"QQC",'QA Log'!L:L,"*4. Family Planning*")
))</f>
        <v/>
      </c>
      <c r="V104" s="102" t="str">
        <f>IF(A104="","",
SUM(
COUNTIFS('QA Log'!D:D,A104,'QA Log'!M:M,"QQC",'QA Log'!Z:Z,"Approved",'QA Log'!L:L,"*8. Maternity*"),
COUNTIFS('QA Log'!D:D,A104,'QA Log'!M:M,"QQC",'QA Log'!Z:Z,"Approved",'QA Log'!L:L,"*9. EPI and Pre-school Consultation*"),
COUNTIFS('QA Log'!D:D,A104,'QA Log'!M:M,"QQC",'QA Log'!Z:Z,"Approved",'QA Log'!L:L,"*10. Antenatal Care (ANC)*"),
COUNTIFS('QA Log'!D:D,A104,'QA Log'!M:M,"QQC",'QA Log'!Z:Z,"Approved",'QA Log'!L:L,"*2. Hygiene and Sterilization*"),
COUNTIFS('QA Log'!D:D,A104,'QA Log'!M:M,"QQC",'QA Log'!Z:Z,"Approved",'QA Log'!L:L,"*4. Family Planning*")
))</f>
        <v/>
      </c>
      <c r="W104" s="105" t="str">
        <f>IF(A104&lt;&gt;"",COUNTIFS('QA Log'!D:D,A104,'QA Log'!M:M,"QQC",'QA Log'!L:L,"8. Maternity",'QA Log'!Z:Z,"Approved"),"")</f>
        <v/>
      </c>
      <c r="X104" s="105" t="str">
        <f>IF(A104&lt;&gt;"",COUNTIFS('QA Log'!D:D,A104,'QA Log'!M:M,"QQC",'QA Log'!L:L,"9. EPI and Pre-school Consultation",'QA Log'!Z:Z,"Approved"),"")</f>
        <v/>
      </c>
      <c r="Y104" s="105" t="str">
        <f>IF(A104&lt;&gt;"",COUNTIFS('QA Log'!D:D,A104,'QA Log'!M:M,"QQC",'QA Log'!L:L,"10. Antenatal Care (ANC)",'QA Log'!Z:Z,"Approved"),"")</f>
        <v/>
      </c>
      <c r="Z104" s="105" t="str">
        <f>IF(A104&lt;&gt;"",COUNTIFS('QA Log'!D:D,A104,'QA Log'!M:M,"QQC",'QA Log'!L:L,"2. Hygiene and Sterilization",'QA Log'!Z:Z,"Approved"),"")</f>
        <v/>
      </c>
      <c r="AA104" s="105" t="str">
        <f>IF(A104&lt;&gt;"",COUNTIFS('QA Log'!D:D,A104,'QA Log'!M:M,"QQC",'QA Log'!L:L,"4. Family Planning",'QA Log'!Z:Z,"Approved"),"")</f>
        <v/>
      </c>
      <c r="AB104" s="102" t="str">
        <f>IF(A104="","",
SUM(
COUNTIFS('QA Log'!D:D,A104,'QA Log'!M:M,"QQC",'QA Log'!Z:Z,"Rejected",'QA Log'!L:L,"*8. Maternity*"),
COUNTIFS('QA Log'!D:D,A104,'QA Log'!M:M,"QQC",'QA Log'!Z:Z,"Rejected",'QA Log'!L:L,"*9. EPI and Pre-school Consultation*"),
COUNTIFS('QA Log'!D:D,A104,'QA Log'!M:M,"QQC",'QA Log'!Z:Z,"Rejected",'QA Log'!L:L,"*10. Antenatal Care (ANC)*"),
COUNTIFS('QA Log'!D:D,A104,'QA Log'!M:M,"QQC",'QA Log'!Z:Z,"Rejected",'QA Log'!L:L,"*2. Hygiene and Sterilization*"),
COUNTIFS('QA Log'!D:D,A104,'QA Log'!M:M,"QQC",'QA Log'!Z:Z,"Rejected",'QA Log'!L:L,"*4. Family Planning*")
))</f>
        <v/>
      </c>
      <c r="AC104" s="102" t="str">
        <f t="shared" si="3"/>
        <v/>
      </c>
      <c r="AD104" s="103" t="str">
        <f t="shared" si="4"/>
        <v/>
      </c>
      <c r="AE104" s="102" t="str">
        <f>IF(A104="","",
SUM(
COUNTIFS('QA Log'!D:D,A104,'QA Log'!M:M,"Data Verification",'QA Log'!L:L,"*Medicine (section 2)*"),
COUNTIFS('QA Log'!D:D,A104,'QA Log'!M:M,"Data Verification",'QA Log'!L:L,"*Lab Testing Availability*"),
COUNTIFS('QA Log'!D:D,A104,'QA Log'!M:M,"Data Verification",'QA Log'!L:L,"*Other than P4P (section 6)*"),
COUNTIFS('QA Log'!D:D,A104,'QA Log'!M:M,"Data Verification",'QA Log'!L:L,"*Hospital Governance*")
))</f>
        <v/>
      </c>
      <c r="AF104" s="102" t="str">
        <f>IF(A104="","",
SUM(
COUNTIFS('QA Log'!D:D,A104,'QA Log'!M:M,"Data Verification",'QA Log'!Z:Z,"Approved",'QA Log'!L:L,"*Medicine (section 2)*"),
COUNTIFS('QA Log'!D:D,A104,'QA Log'!M:M,"Data Verification",'QA Log'!Z:Z,"Approved",'QA Log'!L:L,"*Lab Testing Availability*"),
COUNTIFS('QA Log'!D:D,A104,'QA Log'!M:M,"Data Verification",'QA Log'!Z:Z,"Approved",'QA Log'!L:L,"*Other than P4P (section 6)*"),
COUNTIFS('QA Log'!D:D,A104,'QA Log'!M:M,"Data Verification",'QA Log'!Z:Z,"Approved",'QA Log'!L:L,"*Hospital Governance*")
))</f>
        <v/>
      </c>
      <c r="AG104" s="105" t="str">
        <f>IF(A104&lt;&gt;"",COUNTIFS('QA Log'!D:D,A104,'QA Log'!M:M,"Data Verification",'QA Log'!L:L,"Medicine (section 2)",'QA Log'!Z:Z,"Approved"),"")</f>
        <v/>
      </c>
      <c r="AH104" s="105" t="str">
        <f>IF(A104&lt;&gt;"",COUNTIFS('QA Log'!D:D,A104,'QA Log'!M:M,"Data Verification",'QA Log'!L:L,"Lab Testing Availability",'QA Log'!Z:Z,"Approved"),"")</f>
        <v/>
      </c>
      <c r="AI104" s="105" t="str">
        <f>IF(A104&lt;&gt;"",COUNTIFS('QA Log'!D:D,A104,'QA Log'!M:M,"Data Verification",'QA Log'!L:L,"Other than P4P (section 6)",'QA Log'!Z:Z,"Approved"),"")</f>
        <v/>
      </c>
      <c r="AJ104" s="105" t="str">
        <f>IF(A104&lt;&gt;"",COUNTIFS('QA Log'!D:D,A104,'QA Log'!M:M,"Data Verification",'QA Log'!L:L,"Hospital Governance",'QA Log'!Z:Z,"Approved"),"")</f>
        <v/>
      </c>
      <c r="AK104" s="102" t="str">
        <f>IF(A104="","",
SUM(
COUNTIFS('QA Log'!D:D,A104,'QA Log'!M:M,"Data Verification",'QA Log'!Z:Z,"Rejected",'QA Log'!L:L,"*Medicine (section 2)*"),
COUNTIFS('QA Log'!D:D,A104,'QA Log'!M:M,"Data Verification",'QA Log'!Z:Z,"Rejected",'QA Log'!L:L,"*Lab Testing Availability*"),
COUNTIFS('QA Log'!D:D,A104,'QA Log'!M:M,"Data Verification",'QA Log'!Z:Z,"Rejected",'QA Log'!L:L,"*Other than P4P (section 6)*"),
COUNTIFS('QA Log'!D:D,A104,'QA Log'!M:M,"Data Verification",'QA Log'!Z:Z,"Rejected",'QA Log'!L:L,"*Hospital Governance*")
))</f>
        <v/>
      </c>
      <c r="AL104" s="106" t="str">
        <f t="shared" si="5"/>
        <v/>
      </c>
      <c r="AM104" s="102" t="str">
        <f t="shared" si="6"/>
        <v/>
      </c>
      <c r="AN104" s="102" t="str">
        <f>IF(A104="","",
SUM(
COUNTIFS('QA Log'!D:D,A104,'QA Log'!M:M,"Data Verification",'QA Log'!L:L,"*Personnel (section 1)*"),
COUNTIFS('QA Log'!D:D,A104,'QA Log'!M:M,"Data Verification",'QA Log'!L:L,"*Consumable (section 3)*"),
COUNTIFS('QA Log'!D:D,A104,'QA Log'!M:M,"Data Verification",'QA Log'!L:L,"*Equipments (section 4)*")
))</f>
        <v/>
      </c>
      <c r="AO104" s="102" t="str">
        <f>IF(A104="","",
SUM(
COUNTIFS('QA Log'!D:D,A104,'QA Log'!M:M,"Data Verification",'QA Log'!Z:Z,"Approved",'QA Log'!L:L,"*Personnel (section 1)*"),
COUNTIFS('QA Log'!D:D,A104,'QA Log'!M:M,"Data Verification",'QA Log'!Z:Z,"Approved",'QA Log'!L:L,"*Consumable (section 3)*"),
COUNTIFS('QA Log'!D:D,A104,'QA Log'!M:M,"Data Verification",'QA Log'!Z:Z,"Approved",'QA Log'!L:L,"*Equipments (section 4)*")
))</f>
        <v/>
      </c>
      <c r="AP104" s="105" t="str">
        <f>IF(A104&lt;&gt;"",COUNTIFS('QA Log'!D:D,A104,'QA Log'!M:M,"Data Verification",'QA Log'!L:L,"Personnel (section 1)",'QA Log'!Z:Z,"Approved"),"")</f>
        <v/>
      </c>
      <c r="AQ104" s="105" t="str">
        <f>IF(A104&lt;&gt;"",COUNTIFS('QA Log'!D:D,A104,'QA Log'!M:M,"Data Verification",'QA Log'!L:L,"Consumable (section 3)",'QA Log'!Z:Z,"Approved"),"")</f>
        <v/>
      </c>
      <c r="AR104" s="105" t="str">
        <f>IF(A104&lt;&gt;"",COUNTIFS('QA Log'!D:D,A104,'QA Log'!M:M,"Data Verification",'QA Log'!L:L,"Equipments (section 4)",'QA Log'!Z:Z,"Approved"),"")</f>
        <v/>
      </c>
      <c r="AS104" s="102" t="str">
        <f>IF(A104="","",
SUM(
COUNTIFS('QA Log'!D:D,A104,'QA Log'!M:M,"Data Verification",'QA Log'!Z:Z,"Rejected",'QA Log'!L:L,"*Personnel (section 1)*"),
COUNTIFS('QA Log'!D:D,A104,'QA Log'!M:M,"Data Verification",'QA Log'!Z:Z,"Rejected",'QA Log'!L:L,"*Consumable (section 3)*"),
COUNTIFS('QA Log'!D:D,A104,'QA Log'!M:M,"Data Verification",'QA Log'!Z:Z,"Rejected",'QA Log'!L:L,"*Equipments (section 4)*")
))</f>
        <v/>
      </c>
      <c r="AT104" s="102" t="str">
        <f t="shared" si="7"/>
        <v/>
      </c>
      <c r="AU104" s="103" t="str">
        <f t="shared" si="8"/>
        <v/>
      </c>
      <c r="AV104" s="102" t="str">
        <f>IF(A104="","",SUM(
COUNTIFS('QA Log'!D:D,A104,'QA Log'!M:M,"Vignette",'QA Log'!L:L,"*Vignette [1] Respiratory Infection: Pneumonia*"),
COUNTIFS('QA Log'!D:D,A104,'QA Log'!M:M,"Vignette",'QA Log'!L:L,"*Vignette [2]: Diarrhea with Cat B dehydration*"),
COUNTIFS('QA Log'!D:D,A104,'QA Log'!M:M,"Vignette",'QA Log'!L:L,"*Vignette [3] Growth Monitoring and Promotion*"),
COUNTIFS('QA Log'!D:D,A104,'QA Log'!M:M,"Vignette",'QA Log'!L:L,"*Vignette [4]: The management of presumptive TB patient*")
)
)</f>
        <v/>
      </c>
      <c r="AW104" s="102" t="str">
        <f>IF(
  A104="","",
  SUM(
    COUNTIFS('QA Log'!D:D,A104,'QA Log'!M:M,"Vignette",'QA Log'!Z:Z,"Approved",'QA Log'!L:L,"*Vignette [1] Respiratory Infection: Pneumonia*"),
    COUNTIFS('QA Log'!D:D,A104,'QA Log'!M:M,"Vignette",'QA Log'!Z:Z,"Approved",'QA Log'!L:L,"*Vignette [2]: Diarrhea with Cat B dehydration*"),
    COUNTIFS('QA Log'!D:D,A104,'QA Log'!M:M,"Vignette",'QA Log'!Z:Z,"Approved",'QA Log'!L:L,"*Vignette [3] Growth Monitoring and Promotion*"),
    COUNTIFS('QA Log'!D:D,A104,'QA Log'!M:M,"Vignette",'QA Log'!Z:Z,"Approved",'QA Log'!L:L,"*Vignette [4]: The management of presumptive TB patient*")
  )
)</f>
        <v/>
      </c>
      <c r="AX104" s="105" t="str">
        <f>IF(A104&lt;&gt;"",COUNTIFS('QA Log'!D:D,A104,'QA Log'!M:M,"Vignette",'QA Log'!L:L,"Vignette [1] Respiratory Infection: Pneumonia",'QA Log'!Z:Z,"Approved"),"")</f>
        <v/>
      </c>
      <c r="AY104" s="105" t="str">
        <f>IF(A104&lt;&gt;"",COUNTIFS('QA Log'!D:D,A104,'QA Log'!M:M,"Vignette",'QA Log'!L:L,"Vignette [2]: Diarrhea with Cat B dehydration",'QA Log'!Z:Z,"Approved"),"")</f>
        <v/>
      </c>
      <c r="AZ104" s="105" t="str">
        <f>IF(A104&lt;&gt;"",COUNTIFS('QA Log'!D:D,A104,'QA Log'!M:M,"Vignette",'QA Log'!L:L,"Vignette [3] Growth Monitoring and Promotion",'QA Log'!Z:Z,"Approved"),"")</f>
        <v/>
      </c>
      <c r="BA104" s="105" t="str">
        <f>IF(A104&lt;&gt;"",COUNTIFS('QA Log'!D:D,A104,'QA Log'!M:M,"Vignette",'QA Log'!L:L,"Vignette [4]: The management of presumptive TB patient",'QA Log'!Z:Z,"Approved"),"")</f>
        <v/>
      </c>
      <c r="BB104" s="102" t="str">
        <f>IF(A104="","",
  SUM(
    COUNTIFS('QA Log'!D:D,A104,'QA Log'!M:M,"Vignette",'QA Log'!Z:Z,"Rejected",'QA Log'!L:L,"*Vignette [1] Respiratory Infection: Pneumonia*"),
    COUNTIFS('QA Log'!D:D,A104,'QA Log'!M:M,"Vignette",'QA Log'!Z:Z,"Rejected",'QA Log'!L:L,"*Vignette [2]: Diarrhea with Cat B dehydration*"),
    COUNTIFS('QA Log'!D:D,A104,'QA Log'!M:M,"Vignette",'QA Log'!Z:Z,"Rejected",'QA Log'!L:L,"*Vignette [3] Growth Monitoring and Promotion*"),
    COUNTIFS('QA Log'!D:D,A104,'QA Log'!M:M,"Vignette",'QA Log'!Z:Z,"Rejected",'QA Log'!L:L,"*Vignette [4]: The management of presumptive TB patient*")
  )
)</f>
        <v/>
      </c>
      <c r="BC104" s="107" t="str">
        <f t="shared" si="9"/>
        <v/>
      </c>
      <c r="BD104" s="103" t="str">
        <f t="shared" si="10"/>
        <v/>
      </c>
      <c r="BE104" s="102" t="str">
        <f>IF(A104="","",SUM(
COUNTIFS('QA Log'!D:D,A104,'QA Log'!M:M,"Vignette",'QA Log'!L:L,"*Vignette [5] Labor*"),
COUNTIFS('QA Log'!D:D,A104,'QA Log'!M:M,"Vignette",'QA Log'!L:L,"*Vignette [6] PNC pre Discharge*"),
COUNTIFS('QA Log'!D:D,A104,'QA Log'!M:M,"Vignette",'QA Log'!L:L,"*Vignette [7] First ANC Visit*"),
COUNTIFS('QA Log'!D:D,A104,'QA Log'!M:M,"Vignette",'QA Log'!L:L,"*Vignette [8] Birth Spacing/ Family Planning :  FP Counselling*"),
COUNTIFS('QA Log'!D:D,A104,'QA Log'!M:M,"Vignette",'QA Log'!L:L,"*Vignette [9] Birth Spacing: Change FP method to Injectable*"),
COUNTIFS('QA Log'!D:D,A104,'QA Log'!M:M,"Vignette",'QA Log'!L:L,"*Vignette [10] Post Partum Haemorrhage - Atonic Uterus at Health Centre*"),
)
)</f>
        <v/>
      </c>
      <c r="BF104" s="102" t="str">
        <f>IF(A104="","",
  SUM(
    COUNTIFS('QA Log'!D:D,A104,'QA Log'!M:M,"Vignette",'QA Log'!Z:Z,"Approved",'QA Log'!L:L,"*Vignette [5] Labor*"),
    COUNTIFS('QA Log'!D:D,A104,'QA Log'!M:M,"Vignette",'QA Log'!Z:Z,"Approved",'QA Log'!L:L,"*Vignette [6] PNC pre Discharge*"),
    COUNTIFS('QA Log'!D:D,A104,'QA Log'!M:M,"Vignette",'QA Log'!Z:Z,"Approved",'QA Log'!L:L,"*Vignette [7] First ANC Visit*"),
    COUNTIFS('QA Log'!D:D,A104,'QA Log'!M:M,"Vignette",'QA Log'!Z:Z,"Approved",'QA Log'!L:L,"*Vignette [8] Birth Spacing/ Family Planning :  FP Counselling*"),
    COUNTIFS('QA Log'!D:D,A104,'QA Log'!M:M,"Vignette",'QA Log'!Z:Z,"Approved",'QA Log'!L:L,"*Vignette [9] Birth Spacing: Change FP method to Injectable*"),
    COUNTIFS('QA Log'!D:D,A104,'QA Log'!M:M,"Vignette",'QA Log'!Z:Z,"Approved",'QA Log'!L:L,"*Vignette [10] Post Partum Haemorrhage - Atonic Uterus at Health Centre*")
  )
)</f>
        <v/>
      </c>
      <c r="BG104" s="105" t="str">
        <f>IF(A104&lt;&gt;"",COUNTIFS('QA Log'!D:D,A104,'QA Log'!M:M,"Vignette",'QA Log'!L:L,"Vignette [5] Labor",'QA Log'!Z:Z,"Approved"),"")</f>
        <v/>
      </c>
      <c r="BH104" s="105" t="str">
        <f>IF(A104&lt;&gt;"",COUNTIFS('QA Log'!D:D,A104,'QA Log'!M:M,"Vignette",'QA Log'!L:L,"Vignette [6] PNC pre Discharge",'QA Log'!Z:Z,"Approved"),"")</f>
        <v/>
      </c>
      <c r="BI104" s="105" t="str">
        <f>IF(A104&lt;&gt;"",COUNTIFS('QA Log'!D:D,A104,'QA Log'!M:M,"Vignette",'QA Log'!L:L,"Vignette [7] First ANC Visit",'QA Log'!Z:Z,"Approved"),"")</f>
        <v/>
      </c>
      <c r="BJ104" s="105" t="str">
        <f>IF(A104&lt;&gt;"",COUNTIFS('QA Log'!D:D,A104,'QA Log'!M:M,"Vignette",'QA Log'!L:L,"Vignette [8] Birth Spacing/ Family Planning :  FP Counselling",'QA Log'!Z:Z,"Approved"),"")</f>
        <v/>
      </c>
      <c r="BK104" s="105" t="str">
        <f>IF(A104&lt;&gt;"",COUNTIFS('QA Log'!D:D,A104,'QA Log'!M:M,"Vignette",'QA Log'!L:L,"Vignette [9] Birth Spacing: Change FP method to Injectable",'QA Log'!Z:Z,"Approved"),"")</f>
        <v/>
      </c>
      <c r="BL104" s="105" t="str">
        <f>IF(A104&lt;&gt;"",COUNTIFS('QA Log'!D:D,A104,'QA Log'!M:M,"Vignette",'QA Log'!L:L,"Vignette [10] Post Partum Haemorrhage - Atonic Uterus at Health Centre",'QA Log'!Z:Z,"Approved"),"")</f>
        <v/>
      </c>
      <c r="BM104" s="102" t="str">
        <f>IF(A104="","",SUM(
    COUNTIFS('QA Log'!D:D,A104,'QA Log'!M:M,"Vignette",'QA Log'!Z:Z,"Rejected",'QA Log'!L:L,"*Vignette [5] Labor*"),
    COUNTIFS('QA Log'!D:D,A104,'QA Log'!M:M,"Vignette",'QA Log'!Z:Z,"Rejected",'QA Log'!L:L,"*Vignette [6] PNC pre Discharge*"),
    COUNTIFS('QA Log'!D:D,A104,'QA Log'!M:M,"Vignette",'QA Log'!Z:Z,"Rejected",'QA Log'!L:L,"*Vignette [7] First ANC Visit*"),
    COUNTIFS('QA Log'!D:D,A104,'QA Log'!M:M,"Vignette",'QA Log'!Z:Z,"Rejected",'QA Log'!L:L,"*Vignette [8] Birth Spacing/ Family Planning :  FP Counselling*"),
    COUNTIFS('QA Log'!D:D,A104,'QA Log'!M:M,"Vignette",'QA Log'!Z:Z,"Rejected",'QA Log'!L:L,"*Vignette [9] Birth Spacing: Change FP method to Injectable*"),
    COUNTIFS('QA Log'!D:D,A104,'QA Log'!M:M,"Vignette",'QA Log'!Z:Z,"Rejected",'QA Log'!L:L,"*Vignette [10] Post Partum Haemorrhage - Atonic Uterus at Health Centre*")
  )
)</f>
        <v/>
      </c>
      <c r="BN104" s="107" t="str">
        <f t="shared" si="11"/>
        <v/>
      </c>
      <c r="BO104" s="103" t="str">
        <f t="shared" si="12"/>
        <v/>
      </c>
      <c r="BP104" s="102" t="str">
        <f>IF(A104="","",SUM(
COUNTIFS('QA Log'!D:D,A104,'QA Log'!M:M,"Vignette",'QA Log'!L:L,"*Exit Interview 1*"),
COUNTIFS('QA Log'!D:D,A104,'QA Log'!M:M,"Vignette",'QA Log'!L:L,"*Exit Interview 2*"),
)
)</f>
        <v/>
      </c>
      <c r="BQ104" s="102" t="str">
        <f>IF(
  A104="","",
  SUM(
    COUNTIFS('QA Log'!D:D,A104,'QA Log'!M:M,"Vignette",'QA Log'!Z:Z,"Approved",'QA Log'!L:L,"*Exit Interview 1*"),
    COUNTIFS('QA Log'!D:D,A104,'QA Log'!M:M,"Vignette",'QA Log'!Z:Z,"Approved",'QA Log'!L:L,"*Exit Interview 2*")
  )
)</f>
        <v/>
      </c>
      <c r="BR104" s="105" t="str">
        <f>IF(A104&lt;&gt;"",COUNTIFS('QA Log'!D:D,A104,'QA Log'!M:M,"Vignette",'QA Log'!L:L,"Exit Interview 1",'QA Log'!Z:Z,"Approved"),"")</f>
        <v/>
      </c>
      <c r="BS104" s="105" t="str">
        <f>IF(A104&lt;&gt;"",COUNTIFS('QA Log'!D:D,A104,'QA Log'!M:M,"Vignette",'QA Log'!L:L,"Exit Interview 2",'QA Log'!Z:Z,"Approved"),"")</f>
        <v/>
      </c>
      <c r="BT104" s="102" t="str">
        <f>IF(
  A104="","",
  SUM(
    COUNTIFS('QA Log'!D:D,A104,'QA Log'!M:M,"Vignette",'QA Log'!Z:Z,"Rejected",'QA Log'!L:L,"*Exit Interview 1*"),
    COUNTIFS('QA Log'!D:D,A104,'QA Log'!M:M,"Vignette",'QA Log'!Z:Z,"Rejected",'QA Log'!L:L,"*Exit Interview 2*")
  )
)</f>
        <v/>
      </c>
      <c r="BU104" s="107" t="str">
        <f t="shared" si="13"/>
        <v/>
      </c>
      <c r="BV104" s="102" t="str">
        <f t="shared" si="14"/>
        <v/>
      </c>
      <c r="BW104" s="102" t="str">
        <f t="shared" si="15"/>
        <v/>
      </c>
      <c r="BX104" s="102" t="str">
        <f t="shared" si="16"/>
        <v/>
      </c>
      <c r="BY104" s="102" t="str">
        <f t="shared" si="17"/>
        <v/>
      </c>
      <c r="BZ104" s="107" t="str">
        <f t="shared" si="18"/>
        <v/>
      </c>
      <c r="CA104" s="108" t="str">
        <f t="shared" si="19"/>
        <v/>
      </c>
      <c r="CB104" s="108" t="str">
        <f t="shared" si="20"/>
        <v/>
      </c>
      <c r="CC104" s="109" t="str">
        <f t="shared" si="21"/>
        <v/>
      </c>
      <c r="CD104" s="108" t="str">
        <f t="shared" si="22"/>
        <v/>
      </c>
      <c r="CE104" s="108" t="str">
        <f t="shared" si="23"/>
        <v/>
      </c>
      <c r="CF104" s="109" t="str">
        <f t="shared" si="24"/>
        <v/>
      </c>
      <c r="CG104" s="110" t="str">
        <f t="shared" si="25"/>
        <v/>
      </c>
      <c r="CH104" s="111"/>
    </row>
    <row r="105" spans="1:86" ht="12.75">
      <c r="A105" s="101"/>
      <c r="B105" s="102" t="e">
        <f t="array" aca="1" ref="B105" ca="1">_xludf.XLOOKUP(A105,'QA Log'!D:D,'QA Log'!E:E,"")</f>
        <v>#NAME?</v>
      </c>
      <c r="C105" s="102" t="e">
        <f t="array" aca="1" ref="C105" ca="1">_xludf.XLOOKUP(A105,'QA Log'!D:D,'QA Log'!F:F,"")</f>
        <v>#NAME?</v>
      </c>
      <c r="D105" s="102" t="e">
        <f t="array" aca="1" ref="D105" ca="1">_xludf.XLOOKUP(A105,'QA Log'!D:D,'QA Log'!H:H,"")</f>
        <v>#NAME?</v>
      </c>
      <c r="E105" s="102" t="e">
        <f t="array" aca="1" ref="E105" ca="1">_xludf.XLOOKUP(A105,'QA Log'!D:D,'QA Log'!G:G,"")</f>
        <v>#NAME?</v>
      </c>
      <c r="F105" s="103"/>
      <c r="G105" s="104"/>
      <c r="H105" s="104"/>
      <c r="I105" s="103" t="str">
        <f t="shared" si="0"/>
        <v/>
      </c>
      <c r="J105" s="102" t="str">
        <f>IF(A105="","",SUM(
COUNTIFS('QA Log'!D:D,A105,'QA Log'!M:M,"QQC",'QA Log'!L:L,"*1. General Management*"),
COUNTIFS('QA Log'!D:D,A105,'QA Log'!M:M,"QQC",'QA Log'!L:L,"*3. Curative Consultation (OPD)*"),
COUNTIFS('QA Log'!D:D,A105,'QA Log'!M:M,"QQC",'QA Log'!L:L,"*5. Laboratory*"),
COUNTIFS('QA Log'!D:D,A105,'QA Log'!M:M,"QQC",'QA Log'!L:L,"*6. Essential Medicine Management*"),
COUNTIFS('QA Log'!D:D,A105,'QA Log'!M:M,"QQC",'QA Log'!L:L,"*7. Tracer Medicine*"),
COUNTIFS('QA Log'!D:D,A105,'QA Log'!M:M,"QQC",'QA Log'!L:L,"*11. Additional Questions*")))</f>
        <v/>
      </c>
      <c r="K105" s="102" t="str">
        <f>IF(A105="","",SUM(
COUNTIFS('QA Log'!D:D,A105,'QA Log'!M:M,"QQC",'QA Log'!Z:Z,"Approved",'QA Log'!L:L,"*1. General Management*"),
COUNTIFS('QA Log'!D:D,A105,'QA Log'!M:M,"QQC",'QA Log'!Z:Z,"Approved",'QA Log'!L:L,"*3. Curative Consultation (OPD)*"),
COUNTIFS('QA Log'!D:D,A105,'QA Log'!M:M,"QQC",'QA Log'!Z:Z,"Approved",'QA Log'!L:L,"*5. Laboratory*"),
COUNTIFS('QA Log'!D:D,A105,'QA Log'!M:M,"QQC",'QA Log'!Z:Z,"Approved",'QA Log'!L:L,"*6. Essential Medicine Management*"),
COUNTIFS('QA Log'!D:D,A105,'QA Log'!M:M,"QQC",'QA Log'!Z:Z,"Approved",'QA Log'!L:L,"*7. Tracer Medicine*"),
COUNTIFS('QA Log'!D:D,A105,'QA Log'!M:M,"QQC",'QA Log'!Z:Z,"Approved",'QA Log'!L:L,"*11. Additional Questions*")))</f>
        <v/>
      </c>
      <c r="L105" s="105" t="str">
        <f>IF(A105&lt;&gt;"",COUNTIFS('QA Log'!D:D,A105,'QA Log'!M:M,"QQC",'QA Log'!L:L,"1. General Management",'QA Log'!Z:Z,"Approved"),"")</f>
        <v/>
      </c>
      <c r="M105" s="105" t="str">
        <f>IF(A105&lt;&gt;"",COUNTIFS('QA Log'!D:D,A105,'QA Log'!M:M,"QQC",'QA Log'!L:L,"3. Curative Consultation (OPD)",'QA Log'!Z:Z,"Approved"),"")</f>
        <v/>
      </c>
      <c r="N105" s="105" t="str">
        <f>IF(A105&lt;&gt;"",COUNTIFS('QA Log'!D:D,A105,'QA Log'!M:M,"QQC",'QA Log'!L:L,"5. Laboratory",'QA Log'!Z:Z,"Approved"),"")</f>
        <v/>
      </c>
      <c r="O105" s="105" t="str">
        <f>IF(A105&lt;&gt;"",COUNTIFS('QA Log'!D:D,A105,'QA Log'!M:M,"QQC",'QA Log'!L:L,"6. Essential Medicine Management",'QA Log'!Z:Z,"Approved"),"")</f>
        <v/>
      </c>
      <c r="P105" s="105" t="str">
        <f>IF(A105&lt;&gt;"",COUNTIFS('QA Log'!D:D,A105,'QA Log'!M:M,"QQC",'QA Log'!L:L,"7. Tracer Medicine",'QA Log'!Z:Z,"Approved"),"")</f>
        <v/>
      </c>
      <c r="Q105" s="105" t="str">
        <f>IF(A105&lt;&gt;"",COUNTIFS('QA Log'!D:D,A105,'QA Log'!M:M,"QQC",'QA Log'!L:L,"11. Additional Questions",'QA Log'!Z:Z,"Approved"),"")</f>
        <v/>
      </c>
      <c r="R105" s="102" t="str">
        <f>IF(A105="","",SUM(
COUNTIFS('QA Log'!D:D,A105,'QA Log'!M:M,"QQC",'QA Log'!Z:Z,"Rejected",'QA Log'!L:L,"*8. Maternity*"),
COUNTIFS('QA Log'!D:D,A105,'QA Log'!M:M,"QQC",'QA Log'!Z:Z,"Rejected",'QA Log'!L:L,"*EPI*"),
COUNTIFS('QA Log'!D:D,A105,'QA Log'!M:M,"QQC",'QA Log'!Z:Z,"Rejected",'QA Log'!L:L,"*10. Antenatal Care (ANC)*"),
COUNTIFS('QA Log'!D:D,A105,'QA Log'!M:M,"QQC",'QA Log'!Z:Z,"Rejected",'QA Log'!L:L,"*2. Hygiene and Sterilization*"),
COUNTIFS('QA Log'!D:D,A105,'QA Log'!M:M,"QQC",'QA Log'!Z:Z,"Rejected",'QA Log'!L:L,"*Family Planning*")))</f>
        <v/>
      </c>
      <c r="S105" s="106" t="str">
        <f t="shared" si="1"/>
        <v/>
      </c>
      <c r="T105" s="102" t="str">
        <f t="shared" si="2"/>
        <v/>
      </c>
      <c r="U105" s="102" t="str">
        <f>IF(A105="","",
SUM(
COUNTIFS('QA Log'!D:D,A105,'QA Log'!M:M,"QQC",'QA Log'!L:L,"*8. Maternity*"),
COUNTIFS('QA Log'!D:D,A105,'QA Log'!M:M,"QQC",'QA Log'!L:L,"*9. EPI and Pre-school Consultation*"),
COUNTIFS('QA Log'!D:D,A105,'QA Log'!M:M,"QQC",'QA Log'!L:L,"*10. Antenatal Care (ANC)*"),
COUNTIFS('QA Log'!D:D,A105,'QA Log'!M:M,"QQC",'QA Log'!L:L,"*2. Hygiene and Sterilization*"),
COUNTIFS('QA Log'!D:D,A105,'QA Log'!M:M,"QQC",'QA Log'!L:L,"*4. Family Planning*")
))</f>
        <v/>
      </c>
      <c r="V105" s="102" t="str">
        <f>IF(A105="","",
SUM(
COUNTIFS('QA Log'!D:D,A105,'QA Log'!M:M,"QQC",'QA Log'!Z:Z,"Approved",'QA Log'!L:L,"*8. Maternity*"),
COUNTIFS('QA Log'!D:D,A105,'QA Log'!M:M,"QQC",'QA Log'!Z:Z,"Approved",'QA Log'!L:L,"*9. EPI and Pre-school Consultation*"),
COUNTIFS('QA Log'!D:D,A105,'QA Log'!M:M,"QQC",'QA Log'!Z:Z,"Approved",'QA Log'!L:L,"*10. Antenatal Care (ANC)*"),
COUNTIFS('QA Log'!D:D,A105,'QA Log'!M:M,"QQC",'QA Log'!Z:Z,"Approved",'QA Log'!L:L,"*2. Hygiene and Sterilization*"),
COUNTIFS('QA Log'!D:D,A105,'QA Log'!M:M,"QQC",'QA Log'!Z:Z,"Approved",'QA Log'!L:L,"*4. Family Planning*")
))</f>
        <v/>
      </c>
      <c r="W105" s="105" t="str">
        <f>IF(A105&lt;&gt;"",COUNTIFS('QA Log'!D:D,A105,'QA Log'!M:M,"QQC",'QA Log'!L:L,"8. Maternity",'QA Log'!Z:Z,"Approved"),"")</f>
        <v/>
      </c>
      <c r="X105" s="105" t="str">
        <f>IF(A105&lt;&gt;"",COUNTIFS('QA Log'!D:D,A105,'QA Log'!M:M,"QQC",'QA Log'!L:L,"9. EPI and Pre-school Consultation",'QA Log'!Z:Z,"Approved"),"")</f>
        <v/>
      </c>
      <c r="Y105" s="105" t="str">
        <f>IF(A105&lt;&gt;"",COUNTIFS('QA Log'!D:D,A105,'QA Log'!M:M,"QQC",'QA Log'!L:L,"10. Antenatal Care (ANC)",'QA Log'!Z:Z,"Approved"),"")</f>
        <v/>
      </c>
      <c r="Z105" s="105" t="str">
        <f>IF(A105&lt;&gt;"",COUNTIFS('QA Log'!D:D,A105,'QA Log'!M:M,"QQC",'QA Log'!L:L,"2. Hygiene and Sterilization",'QA Log'!Z:Z,"Approved"),"")</f>
        <v/>
      </c>
      <c r="AA105" s="105" t="str">
        <f>IF(A105&lt;&gt;"",COUNTIFS('QA Log'!D:D,A105,'QA Log'!M:M,"QQC",'QA Log'!L:L,"4. Family Planning",'QA Log'!Z:Z,"Approved"),"")</f>
        <v/>
      </c>
      <c r="AB105" s="102" t="str">
        <f>IF(A105="","",
SUM(
COUNTIFS('QA Log'!D:D,A105,'QA Log'!M:M,"QQC",'QA Log'!Z:Z,"Rejected",'QA Log'!L:L,"*8. Maternity*"),
COUNTIFS('QA Log'!D:D,A105,'QA Log'!M:M,"QQC",'QA Log'!Z:Z,"Rejected",'QA Log'!L:L,"*9. EPI and Pre-school Consultation*"),
COUNTIFS('QA Log'!D:D,A105,'QA Log'!M:M,"QQC",'QA Log'!Z:Z,"Rejected",'QA Log'!L:L,"*10. Antenatal Care (ANC)*"),
COUNTIFS('QA Log'!D:D,A105,'QA Log'!M:M,"QQC",'QA Log'!Z:Z,"Rejected",'QA Log'!L:L,"*2. Hygiene and Sterilization*"),
COUNTIFS('QA Log'!D:D,A105,'QA Log'!M:M,"QQC",'QA Log'!Z:Z,"Rejected",'QA Log'!L:L,"*4. Family Planning*")
))</f>
        <v/>
      </c>
      <c r="AC105" s="102" t="str">
        <f t="shared" si="3"/>
        <v/>
      </c>
      <c r="AD105" s="103" t="str">
        <f t="shared" si="4"/>
        <v/>
      </c>
      <c r="AE105" s="102" t="str">
        <f>IF(A105="","",
SUM(
COUNTIFS('QA Log'!D:D,A105,'QA Log'!M:M,"Data Verification",'QA Log'!L:L,"*Medicine (section 2)*"),
COUNTIFS('QA Log'!D:D,A105,'QA Log'!M:M,"Data Verification",'QA Log'!L:L,"*Lab Testing Availability*"),
COUNTIFS('QA Log'!D:D,A105,'QA Log'!M:M,"Data Verification",'QA Log'!L:L,"*Other than P4P (section 6)*"),
COUNTIFS('QA Log'!D:D,A105,'QA Log'!M:M,"Data Verification",'QA Log'!L:L,"*Hospital Governance*")
))</f>
        <v/>
      </c>
      <c r="AF105" s="102" t="str">
        <f>IF(A105="","",
SUM(
COUNTIFS('QA Log'!D:D,A105,'QA Log'!M:M,"Data Verification",'QA Log'!Z:Z,"Approved",'QA Log'!L:L,"*Medicine (section 2)*"),
COUNTIFS('QA Log'!D:D,A105,'QA Log'!M:M,"Data Verification",'QA Log'!Z:Z,"Approved",'QA Log'!L:L,"*Lab Testing Availability*"),
COUNTIFS('QA Log'!D:D,A105,'QA Log'!M:M,"Data Verification",'QA Log'!Z:Z,"Approved",'QA Log'!L:L,"*Other than P4P (section 6)*"),
COUNTIFS('QA Log'!D:D,A105,'QA Log'!M:M,"Data Verification",'QA Log'!Z:Z,"Approved",'QA Log'!L:L,"*Hospital Governance*")
))</f>
        <v/>
      </c>
      <c r="AG105" s="105" t="str">
        <f>IF(A105&lt;&gt;"",COUNTIFS('QA Log'!D:D,A105,'QA Log'!M:M,"Data Verification",'QA Log'!L:L,"Medicine (section 2)",'QA Log'!Z:Z,"Approved"),"")</f>
        <v/>
      </c>
      <c r="AH105" s="105" t="str">
        <f>IF(A105&lt;&gt;"",COUNTIFS('QA Log'!D:D,A105,'QA Log'!M:M,"Data Verification",'QA Log'!L:L,"Lab Testing Availability",'QA Log'!Z:Z,"Approved"),"")</f>
        <v/>
      </c>
      <c r="AI105" s="105" t="str">
        <f>IF(A105&lt;&gt;"",COUNTIFS('QA Log'!D:D,A105,'QA Log'!M:M,"Data Verification",'QA Log'!L:L,"Other than P4P (section 6)",'QA Log'!Z:Z,"Approved"),"")</f>
        <v/>
      </c>
      <c r="AJ105" s="105" t="str">
        <f>IF(A105&lt;&gt;"",COUNTIFS('QA Log'!D:D,A105,'QA Log'!M:M,"Data Verification",'QA Log'!L:L,"Hospital Governance",'QA Log'!Z:Z,"Approved"),"")</f>
        <v/>
      </c>
      <c r="AK105" s="102" t="str">
        <f>IF(A105="","",
SUM(
COUNTIFS('QA Log'!D:D,A105,'QA Log'!M:M,"Data Verification",'QA Log'!Z:Z,"Rejected",'QA Log'!L:L,"*Medicine (section 2)*"),
COUNTIFS('QA Log'!D:D,A105,'QA Log'!M:M,"Data Verification",'QA Log'!Z:Z,"Rejected",'QA Log'!L:L,"*Lab Testing Availability*"),
COUNTIFS('QA Log'!D:D,A105,'QA Log'!M:M,"Data Verification",'QA Log'!Z:Z,"Rejected",'QA Log'!L:L,"*Other than P4P (section 6)*"),
COUNTIFS('QA Log'!D:D,A105,'QA Log'!M:M,"Data Verification",'QA Log'!Z:Z,"Rejected",'QA Log'!L:L,"*Hospital Governance*")
))</f>
        <v/>
      </c>
      <c r="AL105" s="106" t="str">
        <f t="shared" si="5"/>
        <v/>
      </c>
      <c r="AM105" s="102" t="str">
        <f t="shared" si="6"/>
        <v/>
      </c>
      <c r="AN105" s="102" t="str">
        <f>IF(A105="","",
SUM(
COUNTIFS('QA Log'!D:D,A105,'QA Log'!M:M,"Data Verification",'QA Log'!L:L,"*Personnel (section 1)*"),
COUNTIFS('QA Log'!D:D,A105,'QA Log'!M:M,"Data Verification",'QA Log'!L:L,"*Consumable (section 3)*"),
COUNTIFS('QA Log'!D:D,A105,'QA Log'!M:M,"Data Verification",'QA Log'!L:L,"*Equipments (section 4)*")
))</f>
        <v/>
      </c>
      <c r="AO105" s="102" t="str">
        <f>IF(A105="","",
SUM(
COUNTIFS('QA Log'!D:D,A105,'QA Log'!M:M,"Data Verification",'QA Log'!Z:Z,"Approved",'QA Log'!L:L,"*Personnel (section 1)*"),
COUNTIFS('QA Log'!D:D,A105,'QA Log'!M:M,"Data Verification",'QA Log'!Z:Z,"Approved",'QA Log'!L:L,"*Consumable (section 3)*"),
COUNTIFS('QA Log'!D:D,A105,'QA Log'!M:M,"Data Verification",'QA Log'!Z:Z,"Approved",'QA Log'!L:L,"*Equipments (section 4)*")
))</f>
        <v/>
      </c>
      <c r="AP105" s="105" t="str">
        <f>IF(A105&lt;&gt;"",COUNTIFS('QA Log'!D:D,A105,'QA Log'!M:M,"Data Verification",'QA Log'!L:L,"Personnel (section 1)",'QA Log'!Z:Z,"Approved"),"")</f>
        <v/>
      </c>
      <c r="AQ105" s="105" t="str">
        <f>IF(A105&lt;&gt;"",COUNTIFS('QA Log'!D:D,A105,'QA Log'!M:M,"Data Verification",'QA Log'!L:L,"Consumable (section 3)",'QA Log'!Z:Z,"Approved"),"")</f>
        <v/>
      </c>
      <c r="AR105" s="105" t="str">
        <f>IF(A105&lt;&gt;"",COUNTIFS('QA Log'!D:D,A105,'QA Log'!M:M,"Data Verification",'QA Log'!L:L,"Equipments (section 4)",'QA Log'!Z:Z,"Approved"),"")</f>
        <v/>
      </c>
      <c r="AS105" s="102" t="str">
        <f>IF(A105="","",
SUM(
COUNTIFS('QA Log'!D:D,A105,'QA Log'!M:M,"Data Verification",'QA Log'!Z:Z,"Rejected",'QA Log'!L:L,"*Personnel (section 1)*"),
COUNTIFS('QA Log'!D:D,A105,'QA Log'!M:M,"Data Verification",'QA Log'!Z:Z,"Rejected",'QA Log'!L:L,"*Consumable (section 3)*"),
COUNTIFS('QA Log'!D:D,A105,'QA Log'!M:M,"Data Verification",'QA Log'!Z:Z,"Rejected",'QA Log'!L:L,"*Equipments (section 4)*")
))</f>
        <v/>
      </c>
      <c r="AT105" s="102" t="str">
        <f t="shared" si="7"/>
        <v/>
      </c>
      <c r="AU105" s="103" t="str">
        <f t="shared" si="8"/>
        <v/>
      </c>
      <c r="AV105" s="102" t="str">
        <f>IF(A105="","",SUM(
COUNTIFS('QA Log'!D:D,A105,'QA Log'!M:M,"Vignette",'QA Log'!L:L,"*Vignette [1] Respiratory Infection: Pneumonia*"),
COUNTIFS('QA Log'!D:D,A105,'QA Log'!M:M,"Vignette",'QA Log'!L:L,"*Vignette [2]: Diarrhea with Cat B dehydration*"),
COUNTIFS('QA Log'!D:D,A105,'QA Log'!M:M,"Vignette",'QA Log'!L:L,"*Vignette [3] Growth Monitoring and Promotion*"),
COUNTIFS('QA Log'!D:D,A105,'QA Log'!M:M,"Vignette",'QA Log'!L:L,"*Vignette [4]: The management of presumptive TB patient*")
)
)</f>
        <v/>
      </c>
      <c r="AW105" s="102" t="str">
        <f>IF(
  A105="","",
  SUM(
    COUNTIFS('QA Log'!D:D,A105,'QA Log'!M:M,"Vignette",'QA Log'!Z:Z,"Approved",'QA Log'!L:L,"*Vignette [1] Respiratory Infection: Pneumonia*"),
    COUNTIFS('QA Log'!D:D,A105,'QA Log'!M:M,"Vignette",'QA Log'!Z:Z,"Approved",'QA Log'!L:L,"*Vignette [2]: Diarrhea with Cat B dehydration*"),
    COUNTIFS('QA Log'!D:D,A105,'QA Log'!M:M,"Vignette",'QA Log'!Z:Z,"Approved",'QA Log'!L:L,"*Vignette [3] Growth Monitoring and Promotion*"),
    COUNTIFS('QA Log'!D:D,A105,'QA Log'!M:M,"Vignette",'QA Log'!Z:Z,"Approved",'QA Log'!L:L,"*Vignette [4]: The management of presumptive TB patient*")
  )
)</f>
        <v/>
      </c>
      <c r="AX105" s="105" t="str">
        <f>IF(A105&lt;&gt;"",COUNTIFS('QA Log'!D:D,A105,'QA Log'!M:M,"Vignette",'QA Log'!L:L,"Vignette [1] Respiratory Infection: Pneumonia",'QA Log'!Z:Z,"Approved"),"")</f>
        <v/>
      </c>
      <c r="AY105" s="105" t="str">
        <f>IF(A105&lt;&gt;"",COUNTIFS('QA Log'!D:D,A105,'QA Log'!M:M,"Vignette",'QA Log'!L:L,"Vignette [2]: Diarrhea with Cat B dehydration",'QA Log'!Z:Z,"Approved"),"")</f>
        <v/>
      </c>
      <c r="AZ105" s="105" t="str">
        <f>IF(A105&lt;&gt;"",COUNTIFS('QA Log'!D:D,A105,'QA Log'!M:M,"Vignette",'QA Log'!L:L,"Vignette [3] Growth Monitoring and Promotion",'QA Log'!Z:Z,"Approved"),"")</f>
        <v/>
      </c>
      <c r="BA105" s="105" t="str">
        <f>IF(A105&lt;&gt;"",COUNTIFS('QA Log'!D:D,A105,'QA Log'!M:M,"Vignette",'QA Log'!L:L,"Vignette [4]: The management of presumptive TB patient",'QA Log'!Z:Z,"Approved"),"")</f>
        <v/>
      </c>
      <c r="BB105" s="102" t="str">
        <f>IF(A105="","",
  SUM(
    COUNTIFS('QA Log'!D:D,A105,'QA Log'!M:M,"Vignette",'QA Log'!Z:Z,"Rejected",'QA Log'!L:L,"*Vignette [1] Respiratory Infection: Pneumonia*"),
    COUNTIFS('QA Log'!D:D,A105,'QA Log'!M:M,"Vignette",'QA Log'!Z:Z,"Rejected",'QA Log'!L:L,"*Vignette [2]: Diarrhea with Cat B dehydration*"),
    COUNTIFS('QA Log'!D:D,A105,'QA Log'!M:M,"Vignette",'QA Log'!Z:Z,"Rejected",'QA Log'!L:L,"*Vignette [3] Growth Monitoring and Promotion*"),
    COUNTIFS('QA Log'!D:D,A105,'QA Log'!M:M,"Vignette",'QA Log'!Z:Z,"Rejected",'QA Log'!L:L,"*Vignette [4]: The management of presumptive TB patient*")
  )
)</f>
        <v/>
      </c>
      <c r="BC105" s="107" t="str">
        <f t="shared" si="9"/>
        <v/>
      </c>
      <c r="BD105" s="103" t="str">
        <f t="shared" si="10"/>
        <v/>
      </c>
      <c r="BE105" s="102" t="str">
        <f>IF(A105="","",SUM(
COUNTIFS('QA Log'!D:D,A105,'QA Log'!M:M,"Vignette",'QA Log'!L:L,"*Vignette [5] Labor*"),
COUNTIFS('QA Log'!D:D,A105,'QA Log'!M:M,"Vignette",'QA Log'!L:L,"*Vignette [6] PNC pre Discharge*"),
COUNTIFS('QA Log'!D:D,A105,'QA Log'!M:M,"Vignette",'QA Log'!L:L,"*Vignette [7] First ANC Visit*"),
COUNTIFS('QA Log'!D:D,A105,'QA Log'!M:M,"Vignette",'QA Log'!L:L,"*Vignette [8] Birth Spacing/ Family Planning :  FP Counselling*"),
COUNTIFS('QA Log'!D:D,A105,'QA Log'!M:M,"Vignette",'QA Log'!L:L,"*Vignette [9] Birth Spacing: Change FP method to Injectable*"),
COUNTIFS('QA Log'!D:D,A105,'QA Log'!M:M,"Vignette",'QA Log'!L:L,"*Vignette [10] Post Partum Haemorrhage - Atonic Uterus at Health Centre*"),
)
)</f>
        <v/>
      </c>
      <c r="BF105" s="102" t="str">
        <f>IF(A105="","",
  SUM(
    COUNTIFS('QA Log'!D:D,A105,'QA Log'!M:M,"Vignette",'QA Log'!Z:Z,"Approved",'QA Log'!L:L,"*Vignette [5] Labor*"),
    COUNTIFS('QA Log'!D:D,A105,'QA Log'!M:M,"Vignette",'QA Log'!Z:Z,"Approved",'QA Log'!L:L,"*Vignette [6] PNC pre Discharge*"),
    COUNTIFS('QA Log'!D:D,A105,'QA Log'!M:M,"Vignette",'QA Log'!Z:Z,"Approved",'QA Log'!L:L,"*Vignette [7] First ANC Visit*"),
    COUNTIFS('QA Log'!D:D,A105,'QA Log'!M:M,"Vignette",'QA Log'!Z:Z,"Approved",'QA Log'!L:L,"*Vignette [8] Birth Spacing/ Family Planning :  FP Counselling*"),
    COUNTIFS('QA Log'!D:D,A105,'QA Log'!M:M,"Vignette",'QA Log'!Z:Z,"Approved",'QA Log'!L:L,"*Vignette [9] Birth Spacing: Change FP method to Injectable*"),
    COUNTIFS('QA Log'!D:D,A105,'QA Log'!M:M,"Vignette",'QA Log'!Z:Z,"Approved",'QA Log'!L:L,"*Vignette [10] Post Partum Haemorrhage - Atonic Uterus at Health Centre*")
  )
)</f>
        <v/>
      </c>
      <c r="BG105" s="105" t="str">
        <f>IF(A105&lt;&gt;"",COUNTIFS('QA Log'!D:D,A105,'QA Log'!M:M,"Vignette",'QA Log'!L:L,"Vignette [5] Labor",'QA Log'!Z:Z,"Approved"),"")</f>
        <v/>
      </c>
      <c r="BH105" s="105" t="str">
        <f>IF(A105&lt;&gt;"",COUNTIFS('QA Log'!D:D,A105,'QA Log'!M:M,"Vignette",'QA Log'!L:L,"Vignette [6] PNC pre Discharge",'QA Log'!Z:Z,"Approved"),"")</f>
        <v/>
      </c>
      <c r="BI105" s="105" t="str">
        <f>IF(A105&lt;&gt;"",COUNTIFS('QA Log'!D:D,A105,'QA Log'!M:M,"Vignette",'QA Log'!L:L,"Vignette [7] First ANC Visit",'QA Log'!Z:Z,"Approved"),"")</f>
        <v/>
      </c>
      <c r="BJ105" s="105" t="str">
        <f>IF(A105&lt;&gt;"",COUNTIFS('QA Log'!D:D,A105,'QA Log'!M:M,"Vignette",'QA Log'!L:L,"Vignette [8] Birth Spacing/ Family Planning :  FP Counselling",'QA Log'!Z:Z,"Approved"),"")</f>
        <v/>
      </c>
      <c r="BK105" s="105" t="str">
        <f>IF(A105&lt;&gt;"",COUNTIFS('QA Log'!D:D,A105,'QA Log'!M:M,"Vignette",'QA Log'!L:L,"Vignette [9] Birth Spacing: Change FP method to Injectable",'QA Log'!Z:Z,"Approved"),"")</f>
        <v/>
      </c>
      <c r="BL105" s="105" t="str">
        <f>IF(A105&lt;&gt;"",COUNTIFS('QA Log'!D:D,A105,'QA Log'!M:M,"Vignette",'QA Log'!L:L,"Vignette [10] Post Partum Haemorrhage - Atonic Uterus at Health Centre",'QA Log'!Z:Z,"Approved"),"")</f>
        <v/>
      </c>
      <c r="BM105" s="102" t="str">
        <f>IF(A105="","",SUM(
    COUNTIFS('QA Log'!D:D,A105,'QA Log'!M:M,"Vignette",'QA Log'!Z:Z,"Rejected",'QA Log'!L:L,"*Vignette [5] Labor*"),
    COUNTIFS('QA Log'!D:D,A105,'QA Log'!M:M,"Vignette",'QA Log'!Z:Z,"Rejected",'QA Log'!L:L,"*Vignette [6] PNC pre Discharge*"),
    COUNTIFS('QA Log'!D:D,A105,'QA Log'!M:M,"Vignette",'QA Log'!Z:Z,"Rejected",'QA Log'!L:L,"*Vignette [7] First ANC Visit*"),
    COUNTIFS('QA Log'!D:D,A105,'QA Log'!M:M,"Vignette",'QA Log'!Z:Z,"Rejected",'QA Log'!L:L,"*Vignette [8] Birth Spacing/ Family Planning :  FP Counselling*"),
    COUNTIFS('QA Log'!D:D,A105,'QA Log'!M:M,"Vignette",'QA Log'!Z:Z,"Rejected",'QA Log'!L:L,"*Vignette [9] Birth Spacing: Change FP method to Injectable*"),
    COUNTIFS('QA Log'!D:D,A105,'QA Log'!M:M,"Vignette",'QA Log'!Z:Z,"Rejected",'QA Log'!L:L,"*Vignette [10] Post Partum Haemorrhage - Atonic Uterus at Health Centre*")
  )
)</f>
        <v/>
      </c>
      <c r="BN105" s="107" t="str">
        <f t="shared" si="11"/>
        <v/>
      </c>
      <c r="BO105" s="103" t="str">
        <f t="shared" si="12"/>
        <v/>
      </c>
      <c r="BP105" s="102" t="str">
        <f>IF(A105="","",SUM(
COUNTIFS('QA Log'!D:D,A105,'QA Log'!M:M,"Vignette",'QA Log'!L:L,"*Exit Interview 1*"),
COUNTIFS('QA Log'!D:D,A105,'QA Log'!M:M,"Vignette",'QA Log'!L:L,"*Exit Interview 2*"),
)
)</f>
        <v/>
      </c>
      <c r="BQ105" s="102" t="str">
        <f>IF(
  A105="","",
  SUM(
    COUNTIFS('QA Log'!D:D,A105,'QA Log'!M:M,"Vignette",'QA Log'!Z:Z,"Approved",'QA Log'!L:L,"*Exit Interview 1*"),
    COUNTIFS('QA Log'!D:D,A105,'QA Log'!M:M,"Vignette",'QA Log'!Z:Z,"Approved",'QA Log'!L:L,"*Exit Interview 2*")
  )
)</f>
        <v/>
      </c>
      <c r="BR105" s="105" t="str">
        <f>IF(A105&lt;&gt;"",COUNTIFS('QA Log'!D:D,A105,'QA Log'!M:M,"Vignette",'QA Log'!L:L,"Exit Interview 1",'QA Log'!Z:Z,"Approved"),"")</f>
        <v/>
      </c>
      <c r="BS105" s="105" t="str">
        <f>IF(A105&lt;&gt;"",COUNTIFS('QA Log'!D:D,A105,'QA Log'!M:M,"Vignette",'QA Log'!L:L,"Exit Interview 2",'QA Log'!Z:Z,"Approved"),"")</f>
        <v/>
      </c>
      <c r="BT105" s="102" t="str">
        <f>IF(
  A105="","",
  SUM(
    COUNTIFS('QA Log'!D:D,A105,'QA Log'!M:M,"Vignette",'QA Log'!Z:Z,"Rejected",'QA Log'!L:L,"*Exit Interview 1*"),
    COUNTIFS('QA Log'!D:D,A105,'QA Log'!M:M,"Vignette",'QA Log'!Z:Z,"Rejected",'QA Log'!L:L,"*Exit Interview 2*")
  )
)</f>
        <v/>
      </c>
      <c r="BU105" s="107" t="str">
        <f t="shared" si="13"/>
        <v/>
      </c>
      <c r="BV105" s="102" t="str">
        <f t="shared" si="14"/>
        <v/>
      </c>
      <c r="BW105" s="102" t="str">
        <f t="shared" si="15"/>
        <v/>
      </c>
      <c r="BX105" s="102" t="str">
        <f t="shared" si="16"/>
        <v/>
      </c>
      <c r="BY105" s="102" t="str">
        <f t="shared" si="17"/>
        <v/>
      </c>
      <c r="BZ105" s="107" t="str">
        <f t="shared" si="18"/>
        <v/>
      </c>
      <c r="CA105" s="108" t="str">
        <f t="shared" si="19"/>
        <v/>
      </c>
      <c r="CB105" s="108" t="str">
        <f t="shared" si="20"/>
        <v/>
      </c>
      <c r="CC105" s="109" t="str">
        <f t="shared" si="21"/>
        <v/>
      </c>
      <c r="CD105" s="108" t="str">
        <f t="shared" si="22"/>
        <v/>
      </c>
      <c r="CE105" s="108" t="str">
        <f t="shared" si="23"/>
        <v/>
      </c>
      <c r="CF105" s="109" t="str">
        <f t="shared" si="24"/>
        <v/>
      </c>
      <c r="CG105" s="110" t="str">
        <f t="shared" si="25"/>
        <v/>
      </c>
      <c r="CH105" s="111"/>
    </row>
    <row r="106" spans="1:86" ht="12.75">
      <c r="A106" s="101"/>
      <c r="B106" s="102" t="e">
        <f t="array" aca="1" ref="B106" ca="1">_xludf.XLOOKUP(A106,'QA Log'!D:D,'QA Log'!E:E,"")</f>
        <v>#NAME?</v>
      </c>
      <c r="C106" s="102" t="e">
        <f t="array" aca="1" ref="C106" ca="1">_xludf.XLOOKUP(A106,'QA Log'!D:D,'QA Log'!F:F,"")</f>
        <v>#NAME?</v>
      </c>
      <c r="D106" s="102" t="e">
        <f t="array" aca="1" ref="D106" ca="1">_xludf.XLOOKUP(A106,'QA Log'!D:D,'QA Log'!H:H,"")</f>
        <v>#NAME?</v>
      </c>
      <c r="E106" s="102" t="e">
        <f t="array" aca="1" ref="E106" ca="1">_xludf.XLOOKUP(A106,'QA Log'!D:D,'QA Log'!G:G,"")</f>
        <v>#NAME?</v>
      </c>
      <c r="F106" s="103"/>
      <c r="G106" s="104"/>
      <c r="H106" s="104"/>
      <c r="I106" s="103" t="str">
        <f t="shared" si="0"/>
        <v/>
      </c>
      <c r="J106" s="102" t="str">
        <f>IF(A106="","",SUM(
COUNTIFS('QA Log'!D:D,A106,'QA Log'!M:M,"QQC",'QA Log'!L:L,"*1. General Management*"),
COUNTIFS('QA Log'!D:D,A106,'QA Log'!M:M,"QQC",'QA Log'!L:L,"*3. Curative Consultation (OPD)*"),
COUNTIFS('QA Log'!D:D,A106,'QA Log'!M:M,"QQC",'QA Log'!L:L,"*5. Laboratory*"),
COUNTIFS('QA Log'!D:D,A106,'QA Log'!M:M,"QQC",'QA Log'!L:L,"*6. Essential Medicine Management*"),
COUNTIFS('QA Log'!D:D,A106,'QA Log'!M:M,"QQC",'QA Log'!L:L,"*7. Tracer Medicine*"),
COUNTIFS('QA Log'!D:D,A106,'QA Log'!M:M,"QQC",'QA Log'!L:L,"*11. Additional Questions*")))</f>
        <v/>
      </c>
      <c r="K106" s="102" t="str">
        <f>IF(A106="","",SUM(
COUNTIFS('QA Log'!D:D,A106,'QA Log'!M:M,"QQC",'QA Log'!Z:Z,"Approved",'QA Log'!L:L,"*1. General Management*"),
COUNTIFS('QA Log'!D:D,A106,'QA Log'!M:M,"QQC",'QA Log'!Z:Z,"Approved",'QA Log'!L:L,"*3. Curative Consultation (OPD)*"),
COUNTIFS('QA Log'!D:D,A106,'QA Log'!M:M,"QQC",'QA Log'!Z:Z,"Approved",'QA Log'!L:L,"*5. Laboratory*"),
COUNTIFS('QA Log'!D:D,A106,'QA Log'!M:M,"QQC",'QA Log'!Z:Z,"Approved",'QA Log'!L:L,"*6. Essential Medicine Management*"),
COUNTIFS('QA Log'!D:D,A106,'QA Log'!M:M,"QQC",'QA Log'!Z:Z,"Approved",'QA Log'!L:L,"*7. Tracer Medicine*"),
COUNTIFS('QA Log'!D:D,A106,'QA Log'!M:M,"QQC",'QA Log'!Z:Z,"Approved",'QA Log'!L:L,"*11. Additional Questions*")))</f>
        <v/>
      </c>
      <c r="L106" s="105" t="str">
        <f>IF(A106&lt;&gt;"",COUNTIFS('QA Log'!D:D,A106,'QA Log'!M:M,"QQC",'QA Log'!L:L,"1. General Management",'QA Log'!Z:Z,"Approved"),"")</f>
        <v/>
      </c>
      <c r="M106" s="105" t="str">
        <f>IF(A106&lt;&gt;"",COUNTIFS('QA Log'!D:D,A106,'QA Log'!M:M,"QQC",'QA Log'!L:L,"3. Curative Consultation (OPD)",'QA Log'!Z:Z,"Approved"),"")</f>
        <v/>
      </c>
      <c r="N106" s="105" t="str">
        <f>IF(A106&lt;&gt;"",COUNTIFS('QA Log'!D:D,A106,'QA Log'!M:M,"QQC",'QA Log'!L:L,"5. Laboratory",'QA Log'!Z:Z,"Approved"),"")</f>
        <v/>
      </c>
      <c r="O106" s="105" t="str">
        <f>IF(A106&lt;&gt;"",COUNTIFS('QA Log'!D:D,A106,'QA Log'!M:M,"QQC",'QA Log'!L:L,"6. Essential Medicine Management",'QA Log'!Z:Z,"Approved"),"")</f>
        <v/>
      </c>
      <c r="P106" s="105" t="str">
        <f>IF(A106&lt;&gt;"",COUNTIFS('QA Log'!D:D,A106,'QA Log'!M:M,"QQC",'QA Log'!L:L,"7. Tracer Medicine",'QA Log'!Z:Z,"Approved"),"")</f>
        <v/>
      </c>
      <c r="Q106" s="105" t="str">
        <f>IF(A106&lt;&gt;"",COUNTIFS('QA Log'!D:D,A106,'QA Log'!M:M,"QQC",'QA Log'!L:L,"11. Additional Questions",'QA Log'!Z:Z,"Approved"),"")</f>
        <v/>
      </c>
      <c r="R106" s="102" t="str">
        <f>IF(A106="","",SUM(
COUNTIFS('QA Log'!D:D,A106,'QA Log'!M:M,"QQC",'QA Log'!Z:Z,"Rejected",'QA Log'!L:L,"*8. Maternity*"),
COUNTIFS('QA Log'!D:D,A106,'QA Log'!M:M,"QQC",'QA Log'!Z:Z,"Rejected",'QA Log'!L:L,"*EPI*"),
COUNTIFS('QA Log'!D:D,A106,'QA Log'!M:M,"QQC",'QA Log'!Z:Z,"Rejected",'QA Log'!L:L,"*10. Antenatal Care (ANC)*"),
COUNTIFS('QA Log'!D:D,A106,'QA Log'!M:M,"QQC",'QA Log'!Z:Z,"Rejected",'QA Log'!L:L,"*2. Hygiene and Sterilization*"),
COUNTIFS('QA Log'!D:D,A106,'QA Log'!M:M,"QQC",'QA Log'!Z:Z,"Rejected",'QA Log'!L:L,"*Family Planning*")))</f>
        <v/>
      </c>
      <c r="S106" s="106" t="str">
        <f t="shared" si="1"/>
        <v/>
      </c>
      <c r="T106" s="102" t="str">
        <f t="shared" si="2"/>
        <v/>
      </c>
      <c r="U106" s="102" t="str">
        <f>IF(A106="","",
SUM(
COUNTIFS('QA Log'!D:D,A106,'QA Log'!M:M,"QQC",'QA Log'!L:L,"*8. Maternity*"),
COUNTIFS('QA Log'!D:D,A106,'QA Log'!M:M,"QQC",'QA Log'!L:L,"*9. EPI and Pre-school Consultation*"),
COUNTIFS('QA Log'!D:D,A106,'QA Log'!M:M,"QQC",'QA Log'!L:L,"*10. Antenatal Care (ANC)*"),
COUNTIFS('QA Log'!D:D,A106,'QA Log'!M:M,"QQC",'QA Log'!L:L,"*2. Hygiene and Sterilization*"),
COUNTIFS('QA Log'!D:D,A106,'QA Log'!M:M,"QQC",'QA Log'!L:L,"*4. Family Planning*")
))</f>
        <v/>
      </c>
      <c r="V106" s="102" t="str">
        <f>IF(A106="","",
SUM(
COUNTIFS('QA Log'!D:D,A106,'QA Log'!M:M,"QQC",'QA Log'!Z:Z,"Approved",'QA Log'!L:L,"*8. Maternity*"),
COUNTIFS('QA Log'!D:D,A106,'QA Log'!M:M,"QQC",'QA Log'!Z:Z,"Approved",'QA Log'!L:L,"*9. EPI and Pre-school Consultation*"),
COUNTIFS('QA Log'!D:D,A106,'QA Log'!M:M,"QQC",'QA Log'!Z:Z,"Approved",'QA Log'!L:L,"*10. Antenatal Care (ANC)*"),
COUNTIFS('QA Log'!D:D,A106,'QA Log'!M:M,"QQC",'QA Log'!Z:Z,"Approved",'QA Log'!L:L,"*2. Hygiene and Sterilization*"),
COUNTIFS('QA Log'!D:D,A106,'QA Log'!M:M,"QQC",'QA Log'!Z:Z,"Approved",'QA Log'!L:L,"*4. Family Planning*")
))</f>
        <v/>
      </c>
      <c r="W106" s="105" t="str">
        <f>IF(A106&lt;&gt;"",COUNTIFS('QA Log'!D:D,A106,'QA Log'!M:M,"QQC",'QA Log'!L:L,"8. Maternity",'QA Log'!Z:Z,"Approved"),"")</f>
        <v/>
      </c>
      <c r="X106" s="105" t="str">
        <f>IF(A106&lt;&gt;"",COUNTIFS('QA Log'!D:D,A106,'QA Log'!M:M,"QQC",'QA Log'!L:L,"9. EPI and Pre-school Consultation",'QA Log'!Z:Z,"Approved"),"")</f>
        <v/>
      </c>
      <c r="Y106" s="105" t="str">
        <f>IF(A106&lt;&gt;"",COUNTIFS('QA Log'!D:D,A106,'QA Log'!M:M,"QQC",'QA Log'!L:L,"10. Antenatal Care (ANC)",'QA Log'!Z:Z,"Approved"),"")</f>
        <v/>
      </c>
      <c r="Z106" s="105" t="str">
        <f>IF(A106&lt;&gt;"",COUNTIFS('QA Log'!D:D,A106,'QA Log'!M:M,"QQC",'QA Log'!L:L,"2. Hygiene and Sterilization",'QA Log'!Z:Z,"Approved"),"")</f>
        <v/>
      </c>
      <c r="AA106" s="105" t="str">
        <f>IF(A106&lt;&gt;"",COUNTIFS('QA Log'!D:D,A106,'QA Log'!M:M,"QQC",'QA Log'!L:L,"4. Family Planning",'QA Log'!Z:Z,"Approved"),"")</f>
        <v/>
      </c>
      <c r="AB106" s="102" t="str">
        <f>IF(A106="","",
SUM(
COUNTIFS('QA Log'!D:D,A106,'QA Log'!M:M,"QQC",'QA Log'!Z:Z,"Rejected",'QA Log'!L:L,"*8. Maternity*"),
COUNTIFS('QA Log'!D:D,A106,'QA Log'!M:M,"QQC",'QA Log'!Z:Z,"Rejected",'QA Log'!L:L,"*9. EPI and Pre-school Consultation*"),
COUNTIFS('QA Log'!D:D,A106,'QA Log'!M:M,"QQC",'QA Log'!Z:Z,"Rejected",'QA Log'!L:L,"*10. Antenatal Care (ANC)*"),
COUNTIFS('QA Log'!D:D,A106,'QA Log'!M:M,"QQC",'QA Log'!Z:Z,"Rejected",'QA Log'!L:L,"*2. Hygiene and Sterilization*"),
COUNTIFS('QA Log'!D:D,A106,'QA Log'!M:M,"QQC",'QA Log'!Z:Z,"Rejected",'QA Log'!L:L,"*4. Family Planning*")
))</f>
        <v/>
      </c>
      <c r="AC106" s="102" t="str">
        <f t="shared" si="3"/>
        <v/>
      </c>
      <c r="AD106" s="103" t="str">
        <f t="shared" si="4"/>
        <v/>
      </c>
      <c r="AE106" s="102" t="str">
        <f>IF(A106="","",
SUM(
COUNTIFS('QA Log'!D:D,A106,'QA Log'!M:M,"Data Verification",'QA Log'!L:L,"*Medicine (section 2)*"),
COUNTIFS('QA Log'!D:D,A106,'QA Log'!M:M,"Data Verification",'QA Log'!L:L,"*Lab Testing Availability*"),
COUNTIFS('QA Log'!D:D,A106,'QA Log'!M:M,"Data Verification",'QA Log'!L:L,"*Other than P4P (section 6)*"),
COUNTIFS('QA Log'!D:D,A106,'QA Log'!M:M,"Data Verification",'QA Log'!L:L,"*Hospital Governance*")
))</f>
        <v/>
      </c>
      <c r="AF106" s="102" t="str">
        <f>IF(A106="","",
SUM(
COUNTIFS('QA Log'!D:D,A106,'QA Log'!M:M,"Data Verification",'QA Log'!Z:Z,"Approved",'QA Log'!L:L,"*Medicine (section 2)*"),
COUNTIFS('QA Log'!D:D,A106,'QA Log'!M:M,"Data Verification",'QA Log'!Z:Z,"Approved",'QA Log'!L:L,"*Lab Testing Availability*"),
COUNTIFS('QA Log'!D:D,A106,'QA Log'!M:M,"Data Verification",'QA Log'!Z:Z,"Approved",'QA Log'!L:L,"*Other than P4P (section 6)*"),
COUNTIFS('QA Log'!D:D,A106,'QA Log'!M:M,"Data Verification",'QA Log'!Z:Z,"Approved",'QA Log'!L:L,"*Hospital Governance*")
))</f>
        <v/>
      </c>
      <c r="AG106" s="105" t="str">
        <f>IF(A106&lt;&gt;"",COUNTIFS('QA Log'!D:D,A106,'QA Log'!M:M,"Data Verification",'QA Log'!L:L,"Medicine (section 2)",'QA Log'!Z:Z,"Approved"),"")</f>
        <v/>
      </c>
      <c r="AH106" s="105" t="str">
        <f>IF(A106&lt;&gt;"",COUNTIFS('QA Log'!D:D,A106,'QA Log'!M:M,"Data Verification",'QA Log'!L:L,"Lab Testing Availability",'QA Log'!Z:Z,"Approved"),"")</f>
        <v/>
      </c>
      <c r="AI106" s="105" t="str">
        <f>IF(A106&lt;&gt;"",COUNTIFS('QA Log'!D:D,A106,'QA Log'!M:M,"Data Verification",'QA Log'!L:L,"Other than P4P (section 6)",'QA Log'!Z:Z,"Approved"),"")</f>
        <v/>
      </c>
      <c r="AJ106" s="105" t="str">
        <f>IF(A106&lt;&gt;"",COUNTIFS('QA Log'!D:D,A106,'QA Log'!M:M,"Data Verification",'QA Log'!L:L,"Hospital Governance",'QA Log'!Z:Z,"Approved"),"")</f>
        <v/>
      </c>
      <c r="AK106" s="102" t="str">
        <f>IF(A106="","",
SUM(
COUNTIFS('QA Log'!D:D,A106,'QA Log'!M:M,"Data Verification",'QA Log'!Z:Z,"Rejected",'QA Log'!L:L,"*Medicine (section 2)*"),
COUNTIFS('QA Log'!D:D,A106,'QA Log'!M:M,"Data Verification",'QA Log'!Z:Z,"Rejected",'QA Log'!L:L,"*Lab Testing Availability*"),
COUNTIFS('QA Log'!D:D,A106,'QA Log'!M:M,"Data Verification",'QA Log'!Z:Z,"Rejected",'QA Log'!L:L,"*Other than P4P (section 6)*"),
COUNTIFS('QA Log'!D:D,A106,'QA Log'!M:M,"Data Verification",'QA Log'!Z:Z,"Rejected",'QA Log'!L:L,"*Hospital Governance*")
))</f>
        <v/>
      </c>
      <c r="AL106" s="106" t="str">
        <f t="shared" si="5"/>
        <v/>
      </c>
      <c r="AM106" s="102" t="str">
        <f t="shared" si="6"/>
        <v/>
      </c>
      <c r="AN106" s="102" t="str">
        <f>IF(A106="","",
SUM(
COUNTIFS('QA Log'!D:D,A106,'QA Log'!M:M,"Data Verification",'QA Log'!L:L,"*Personnel (section 1)*"),
COUNTIFS('QA Log'!D:D,A106,'QA Log'!M:M,"Data Verification",'QA Log'!L:L,"*Consumable (section 3)*"),
COUNTIFS('QA Log'!D:D,A106,'QA Log'!M:M,"Data Verification",'QA Log'!L:L,"*Equipments (section 4)*")
))</f>
        <v/>
      </c>
      <c r="AO106" s="102" t="str">
        <f>IF(A106="","",
SUM(
COUNTIFS('QA Log'!D:D,A106,'QA Log'!M:M,"Data Verification",'QA Log'!Z:Z,"Approved",'QA Log'!L:L,"*Personnel (section 1)*"),
COUNTIFS('QA Log'!D:D,A106,'QA Log'!M:M,"Data Verification",'QA Log'!Z:Z,"Approved",'QA Log'!L:L,"*Consumable (section 3)*"),
COUNTIFS('QA Log'!D:D,A106,'QA Log'!M:M,"Data Verification",'QA Log'!Z:Z,"Approved",'QA Log'!L:L,"*Equipments (section 4)*")
))</f>
        <v/>
      </c>
      <c r="AP106" s="105" t="str">
        <f>IF(A106&lt;&gt;"",COUNTIFS('QA Log'!D:D,A106,'QA Log'!M:M,"Data Verification",'QA Log'!L:L,"Personnel (section 1)",'QA Log'!Z:Z,"Approved"),"")</f>
        <v/>
      </c>
      <c r="AQ106" s="105" t="str">
        <f>IF(A106&lt;&gt;"",COUNTIFS('QA Log'!D:D,A106,'QA Log'!M:M,"Data Verification",'QA Log'!L:L,"Consumable (section 3)",'QA Log'!Z:Z,"Approved"),"")</f>
        <v/>
      </c>
      <c r="AR106" s="105" t="str">
        <f>IF(A106&lt;&gt;"",COUNTIFS('QA Log'!D:D,A106,'QA Log'!M:M,"Data Verification",'QA Log'!L:L,"Equipments (section 4)",'QA Log'!Z:Z,"Approved"),"")</f>
        <v/>
      </c>
      <c r="AS106" s="102" t="str">
        <f>IF(A106="","",
SUM(
COUNTIFS('QA Log'!D:D,A106,'QA Log'!M:M,"Data Verification",'QA Log'!Z:Z,"Rejected",'QA Log'!L:L,"*Personnel (section 1)*"),
COUNTIFS('QA Log'!D:D,A106,'QA Log'!M:M,"Data Verification",'QA Log'!Z:Z,"Rejected",'QA Log'!L:L,"*Consumable (section 3)*"),
COUNTIFS('QA Log'!D:D,A106,'QA Log'!M:M,"Data Verification",'QA Log'!Z:Z,"Rejected",'QA Log'!L:L,"*Equipments (section 4)*")
))</f>
        <v/>
      </c>
      <c r="AT106" s="102" t="str">
        <f t="shared" si="7"/>
        <v/>
      </c>
      <c r="AU106" s="103" t="str">
        <f t="shared" si="8"/>
        <v/>
      </c>
      <c r="AV106" s="102" t="str">
        <f>IF(A106="","",SUM(
COUNTIFS('QA Log'!D:D,A106,'QA Log'!M:M,"Vignette",'QA Log'!L:L,"*Vignette [1] Respiratory Infection: Pneumonia*"),
COUNTIFS('QA Log'!D:D,A106,'QA Log'!M:M,"Vignette",'QA Log'!L:L,"*Vignette [2]: Diarrhea with Cat B dehydration*"),
COUNTIFS('QA Log'!D:D,A106,'QA Log'!M:M,"Vignette",'QA Log'!L:L,"*Vignette [3] Growth Monitoring and Promotion*"),
COUNTIFS('QA Log'!D:D,A106,'QA Log'!M:M,"Vignette",'QA Log'!L:L,"*Vignette [4]: The management of presumptive TB patient*")
)
)</f>
        <v/>
      </c>
      <c r="AW106" s="102" t="str">
        <f>IF(
  A106="","",
  SUM(
    COUNTIFS('QA Log'!D:D,A106,'QA Log'!M:M,"Vignette",'QA Log'!Z:Z,"Approved",'QA Log'!L:L,"*Vignette [1] Respiratory Infection: Pneumonia*"),
    COUNTIFS('QA Log'!D:D,A106,'QA Log'!M:M,"Vignette",'QA Log'!Z:Z,"Approved",'QA Log'!L:L,"*Vignette [2]: Diarrhea with Cat B dehydration*"),
    COUNTIFS('QA Log'!D:D,A106,'QA Log'!M:M,"Vignette",'QA Log'!Z:Z,"Approved",'QA Log'!L:L,"*Vignette [3] Growth Monitoring and Promotion*"),
    COUNTIFS('QA Log'!D:D,A106,'QA Log'!M:M,"Vignette",'QA Log'!Z:Z,"Approved",'QA Log'!L:L,"*Vignette [4]: The management of presumptive TB patient*")
  )
)</f>
        <v/>
      </c>
      <c r="AX106" s="105" t="str">
        <f>IF(A106&lt;&gt;"",COUNTIFS('QA Log'!D:D,A106,'QA Log'!M:M,"Vignette",'QA Log'!L:L,"Vignette [1] Respiratory Infection: Pneumonia",'QA Log'!Z:Z,"Approved"),"")</f>
        <v/>
      </c>
      <c r="AY106" s="105" t="str">
        <f>IF(A106&lt;&gt;"",COUNTIFS('QA Log'!D:D,A106,'QA Log'!M:M,"Vignette",'QA Log'!L:L,"Vignette [2]: Diarrhea with Cat B dehydration",'QA Log'!Z:Z,"Approved"),"")</f>
        <v/>
      </c>
      <c r="AZ106" s="105" t="str">
        <f>IF(A106&lt;&gt;"",COUNTIFS('QA Log'!D:D,A106,'QA Log'!M:M,"Vignette",'QA Log'!L:L,"Vignette [3] Growth Monitoring and Promotion",'QA Log'!Z:Z,"Approved"),"")</f>
        <v/>
      </c>
      <c r="BA106" s="105" t="str">
        <f>IF(A106&lt;&gt;"",COUNTIFS('QA Log'!D:D,A106,'QA Log'!M:M,"Vignette",'QA Log'!L:L,"Vignette [4]: The management of presumptive TB patient",'QA Log'!Z:Z,"Approved"),"")</f>
        <v/>
      </c>
      <c r="BB106" s="102" t="str">
        <f>IF(A106="","",
  SUM(
    COUNTIFS('QA Log'!D:D,A106,'QA Log'!M:M,"Vignette",'QA Log'!Z:Z,"Rejected",'QA Log'!L:L,"*Vignette [1] Respiratory Infection: Pneumonia*"),
    COUNTIFS('QA Log'!D:D,A106,'QA Log'!M:M,"Vignette",'QA Log'!Z:Z,"Rejected",'QA Log'!L:L,"*Vignette [2]: Diarrhea with Cat B dehydration*"),
    COUNTIFS('QA Log'!D:D,A106,'QA Log'!M:M,"Vignette",'QA Log'!Z:Z,"Rejected",'QA Log'!L:L,"*Vignette [3] Growth Monitoring and Promotion*"),
    COUNTIFS('QA Log'!D:D,A106,'QA Log'!M:M,"Vignette",'QA Log'!Z:Z,"Rejected",'QA Log'!L:L,"*Vignette [4]: The management of presumptive TB patient*")
  )
)</f>
        <v/>
      </c>
      <c r="BC106" s="107" t="str">
        <f t="shared" si="9"/>
        <v/>
      </c>
      <c r="BD106" s="103" t="str">
        <f t="shared" si="10"/>
        <v/>
      </c>
      <c r="BE106" s="102" t="str">
        <f>IF(A106="","",SUM(
COUNTIFS('QA Log'!D:D,A106,'QA Log'!M:M,"Vignette",'QA Log'!L:L,"*Vignette [5] Labor*"),
COUNTIFS('QA Log'!D:D,A106,'QA Log'!M:M,"Vignette",'QA Log'!L:L,"*Vignette [6] PNC pre Discharge*"),
COUNTIFS('QA Log'!D:D,A106,'QA Log'!M:M,"Vignette",'QA Log'!L:L,"*Vignette [7] First ANC Visit*"),
COUNTIFS('QA Log'!D:D,A106,'QA Log'!M:M,"Vignette",'QA Log'!L:L,"*Vignette [8] Birth Spacing/ Family Planning :  FP Counselling*"),
COUNTIFS('QA Log'!D:D,A106,'QA Log'!M:M,"Vignette",'QA Log'!L:L,"*Vignette [9] Birth Spacing: Change FP method to Injectable*"),
COUNTIFS('QA Log'!D:D,A106,'QA Log'!M:M,"Vignette",'QA Log'!L:L,"*Vignette [10] Post Partum Haemorrhage - Atonic Uterus at Health Centre*"),
)
)</f>
        <v/>
      </c>
      <c r="BF106" s="102" t="str">
        <f>IF(A106="","",
  SUM(
    COUNTIFS('QA Log'!D:D,A106,'QA Log'!M:M,"Vignette",'QA Log'!Z:Z,"Approved",'QA Log'!L:L,"*Vignette [5] Labor*"),
    COUNTIFS('QA Log'!D:D,A106,'QA Log'!M:M,"Vignette",'QA Log'!Z:Z,"Approved",'QA Log'!L:L,"*Vignette [6] PNC pre Discharge*"),
    COUNTIFS('QA Log'!D:D,A106,'QA Log'!M:M,"Vignette",'QA Log'!Z:Z,"Approved",'QA Log'!L:L,"*Vignette [7] First ANC Visit*"),
    COUNTIFS('QA Log'!D:D,A106,'QA Log'!M:M,"Vignette",'QA Log'!Z:Z,"Approved",'QA Log'!L:L,"*Vignette [8] Birth Spacing/ Family Planning :  FP Counselling*"),
    COUNTIFS('QA Log'!D:D,A106,'QA Log'!M:M,"Vignette",'QA Log'!Z:Z,"Approved",'QA Log'!L:L,"*Vignette [9] Birth Spacing: Change FP method to Injectable*"),
    COUNTIFS('QA Log'!D:D,A106,'QA Log'!M:M,"Vignette",'QA Log'!Z:Z,"Approved",'QA Log'!L:L,"*Vignette [10] Post Partum Haemorrhage - Atonic Uterus at Health Centre*")
  )
)</f>
        <v/>
      </c>
      <c r="BG106" s="105" t="str">
        <f>IF(A106&lt;&gt;"",COUNTIFS('QA Log'!D:D,A106,'QA Log'!M:M,"Vignette",'QA Log'!L:L,"Vignette [5] Labor",'QA Log'!Z:Z,"Approved"),"")</f>
        <v/>
      </c>
      <c r="BH106" s="105" t="str">
        <f>IF(A106&lt;&gt;"",COUNTIFS('QA Log'!D:D,A106,'QA Log'!M:M,"Vignette",'QA Log'!L:L,"Vignette [6] PNC pre Discharge",'QA Log'!Z:Z,"Approved"),"")</f>
        <v/>
      </c>
      <c r="BI106" s="105" t="str">
        <f>IF(A106&lt;&gt;"",COUNTIFS('QA Log'!D:D,A106,'QA Log'!M:M,"Vignette",'QA Log'!L:L,"Vignette [7] First ANC Visit",'QA Log'!Z:Z,"Approved"),"")</f>
        <v/>
      </c>
      <c r="BJ106" s="105" t="str">
        <f>IF(A106&lt;&gt;"",COUNTIFS('QA Log'!D:D,A106,'QA Log'!M:M,"Vignette",'QA Log'!L:L,"Vignette [8] Birth Spacing/ Family Planning :  FP Counselling",'QA Log'!Z:Z,"Approved"),"")</f>
        <v/>
      </c>
      <c r="BK106" s="105" t="str">
        <f>IF(A106&lt;&gt;"",COUNTIFS('QA Log'!D:D,A106,'QA Log'!M:M,"Vignette",'QA Log'!L:L,"Vignette [9] Birth Spacing: Change FP method to Injectable",'QA Log'!Z:Z,"Approved"),"")</f>
        <v/>
      </c>
      <c r="BL106" s="105" t="str">
        <f>IF(A106&lt;&gt;"",COUNTIFS('QA Log'!D:D,A106,'QA Log'!M:M,"Vignette",'QA Log'!L:L,"Vignette [10] Post Partum Haemorrhage - Atonic Uterus at Health Centre",'QA Log'!Z:Z,"Approved"),"")</f>
        <v/>
      </c>
      <c r="BM106" s="102" t="str">
        <f>IF(A106="","",SUM(
    COUNTIFS('QA Log'!D:D,A106,'QA Log'!M:M,"Vignette",'QA Log'!Z:Z,"Rejected",'QA Log'!L:L,"*Vignette [5] Labor*"),
    COUNTIFS('QA Log'!D:D,A106,'QA Log'!M:M,"Vignette",'QA Log'!Z:Z,"Rejected",'QA Log'!L:L,"*Vignette [6] PNC pre Discharge*"),
    COUNTIFS('QA Log'!D:D,A106,'QA Log'!M:M,"Vignette",'QA Log'!Z:Z,"Rejected",'QA Log'!L:L,"*Vignette [7] First ANC Visit*"),
    COUNTIFS('QA Log'!D:D,A106,'QA Log'!M:M,"Vignette",'QA Log'!Z:Z,"Rejected",'QA Log'!L:L,"*Vignette [8] Birth Spacing/ Family Planning :  FP Counselling*"),
    COUNTIFS('QA Log'!D:D,A106,'QA Log'!M:M,"Vignette",'QA Log'!Z:Z,"Rejected",'QA Log'!L:L,"*Vignette [9] Birth Spacing: Change FP method to Injectable*"),
    COUNTIFS('QA Log'!D:D,A106,'QA Log'!M:M,"Vignette",'QA Log'!Z:Z,"Rejected",'QA Log'!L:L,"*Vignette [10] Post Partum Haemorrhage - Atonic Uterus at Health Centre*")
  )
)</f>
        <v/>
      </c>
      <c r="BN106" s="107" t="str">
        <f t="shared" si="11"/>
        <v/>
      </c>
      <c r="BO106" s="103" t="str">
        <f t="shared" si="12"/>
        <v/>
      </c>
      <c r="BP106" s="102" t="str">
        <f>IF(A106="","",SUM(
COUNTIFS('QA Log'!D:D,A106,'QA Log'!M:M,"Vignette",'QA Log'!L:L,"*Exit Interview 1*"),
COUNTIFS('QA Log'!D:D,A106,'QA Log'!M:M,"Vignette",'QA Log'!L:L,"*Exit Interview 2*"),
)
)</f>
        <v/>
      </c>
      <c r="BQ106" s="102" t="str">
        <f>IF(
  A106="","",
  SUM(
    COUNTIFS('QA Log'!D:D,A106,'QA Log'!M:M,"Vignette",'QA Log'!Z:Z,"Approved",'QA Log'!L:L,"*Exit Interview 1*"),
    COUNTIFS('QA Log'!D:D,A106,'QA Log'!M:M,"Vignette",'QA Log'!Z:Z,"Approved",'QA Log'!L:L,"*Exit Interview 2*")
  )
)</f>
        <v/>
      </c>
      <c r="BR106" s="105" t="str">
        <f>IF(A106&lt;&gt;"",COUNTIFS('QA Log'!D:D,A106,'QA Log'!M:M,"Vignette",'QA Log'!L:L,"Exit Interview 1",'QA Log'!Z:Z,"Approved"),"")</f>
        <v/>
      </c>
      <c r="BS106" s="105" t="str">
        <f>IF(A106&lt;&gt;"",COUNTIFS('QA Log'!D:D,A106,'QA Log'!M:M,"Vignette",'QA Log'!L:L,"Exit Interview 2",'QA Log'!Z:Z,"Approved"),"")</f>
        <v/>
      </c>
      <c r="BT106" s="102" t="str">
        <f>IF(
  A106="","",
  SUM(
    COUNTIFS('QA Log'!D:D,A106,'QA Log'!M:M,"Vignette",'QA Log'!Z:Z,"Rejected",'QA Log'!L:L,"*Exit Interview 1*"),
    COUNTIFS('QA Log'!D:D,A106,'QA Log'!M:M,"Vignette",'QA Log'!Z:Z,"Rejected",'QA Log'!L:L,"*Exit Interview 2*")
  )
)</f>
        <v/>
      </c>
      <c r="BU106" s="107" t="str">
        <f t="shared" si="13"/>
        <v/>
      </c>
      <c r="BV106" s="102" t="str">
        <f t="shared" si="14"/>
        <v/>
      </c>
      <c r="BW106" s="102" t="str">
        <f t="shared" si="15"/>
        <v/>
      </c>
      <c r="BX106" s="102" t="str">
        <f t="shared" si="16"/>
        <v/>
      </c>
      <c r="BY106" s="102" t="str">
        <f t="shared" si="17"/>
        <v/>
      </c>
      <c r="BZ106" s="107" t="str">
        <f t="shared" si="18"/>
        <v/>
      </c>
      <c r="CA106" s="108" t="str">
        <f t="shared" si="19"/>
        <v/>
      </c>
      <c r="CB106" s="108" t="str">
        <f t="shared" si="20"/>
        <v/>
      </c>
      <c r="CC106" s="109" t="str">
        <f t="shared" si="21"/>
        <v/>
      </c>
      <c r="CD106" s="108" t="str">
        <f t="shared" si="22"/>
        <v/>
      </c>
      <c r="CE106" s="108" t="str">
        <f t="shared" si="23"/>
        <v/>
      </c>
      <c r="CF106" s="109" t="str">
        <f t="shared" si="24"/>
        <v/>
      </c>
      <c r="CG106" s="110" t="str">
        <f t="shared" si="25"/>
        <v/>
      </c>
      <c r="CH106" s="111"/>
    </row>
    <row r="107" spans="1:86" ht="12.75">
      <c r="A107" s="101"/>
      <c r="B107" s="102" t="e">
        <f t="array" aca="1" ref="B107" ca="1">_xludf.XLOOKUP(A107,'QA Log'!D:D,'QA Log'!E:E,"")</f>
        <v>#NAME?</v>
      </c>
      <c r="C107" s="102" t="e">
        <f t="array" aca="1" ref="C107" ca="1">_xludf.XLOOKUP(A107,'QA Log'!D:D,'QA Log'!F:F,"")</f>
        <v>#NAME?</v>
      </c>
      <c r="D107" s="102" t="e">
        <f t="array" aca="1" ref="D107" ca="1">_xludf.XLOOKUP(A107,'QA Log'!D:D,'QA Log'!H:H,"")</f>
        <v>#NAME?</v>
      </c>
      <c r="E107" s="102" t="e">
        <f t="array" aca="1" ref="E107" ca="1">_xludf.XLOOKUP(A107,'QA Log'!D:D,'QA Log'!G:G,"")</f>
        <v>#NAME?</v>
      </c>
      <c r="F107" s="103"/>
      <c r="G107" s="104"/>
      <c r="H107" s="104"/>
      <c r="I107" s="103" t="str">
        <f t="shared" si="0"/>
        <v/>
      </c>
      <c r="J107" s="102" t="str">
        <f>IF(A107="","",SUM(
COUNTIFS('QA Log'!D:D,A107,'QA Log'!M:M,"QQC",'QA Log'!L:L,"*1. General Management*"),
COUNTIFS('QA Log'!D:D,A107,'QA Log'!M:M,"QQC",'QA Log'!L:L,"*3. Curative Consultation (OPD)*"),
COUNTIFS('QA Log'!D:D,A107,'QA Log'!M:M,"QQC",'QA Log'!L:L,"*5. Laboratory*"),
COUNTIFS('QA Log'!D:D,A107,'QA Log'!M:M,"QQC",'QA Log'!L:L,"*6. Essential Medicine Management*"),
COUNTIFS('QA Log'!D:D,A107,'QA Log'!M:M,"QQC",'QA Log'!L:L,"*7. Tracer Medicine*"),
COUNTIFS('QA Log'!D:D,A107,'QA Log'!M:M,"QQC",'QA Log'!L:L,"*11. Additional Questions*")))</f>
        <v/>
      </c>
      <c r="K107" s="102" t="str">
        <f>IF(A107="","",SUM(
COUNTIFS('QA Log'!D:D,A107,'QA Log'!M:M,"QQC",'QA Log'!Z:Z,"Approved",'QA Log'!L:L,"*1. General Management*"),
COUNTIFS('QA Log'!D:D,A107,'QA Log'!M:M,"QQC",'QA Log'!Z:Z,"Approved",'QA Log'!L:L,"*3. Curative Consultation (OPD)*"),
COUNTIFS('QA Log'!D:D,A107,'QA Log'!M:M,"QQC",'QA Log'!Z:Z,"Approved",'QA Log'!L:L,"*5. Laboratory*"),
COUNTIFS('QA Log'!D:D,A107,'QA Log'!M:M,"QQC",'QA Log'!Z:Z,"Approved",'QA Log'!L:L,"*6. Essential Medicine Management*"),
COUNTIFS('QA Log'!D:D,A107,'QA Log'!M:M,"QQC",'QA Log'!Z:Z,"Approved",'QA Log'!L:L,"*7. Tracer Medicine*"),
COUNTIFS('QA Log'!D:D,A107,'QA Log'!M:M,"QQC",'QA Log'!Z:Z,"Approved",'QA Log'!L:L,"*11. Additional Questions*")))</f>
        <v/>
      </c>
      <c r="L107" s="105" t="str">
        <f>IF(A107&lt;&gt;"",COUNTIFS('QA Log'!D:D,A107,'QA Log'!M:M,"QQC",'QA Log'!L:L,"1. General Management",'QA Log'!Z:Z,"Approved"),"")</f>
        <v/>
      </c>
      <c r="M107" s="105" t="str">
        <f>IF(A107&lt;&gt;"",COUNTIFS('QA Log'!D:D,A107,'QA Log'!M:M,"QQC",'QA Log'!L:L,"3. Curative Consultation (OPD)",'QA Log'!Z:Z,"Approved"),"")</f>
        <v/>
      </c>
      <c r="N107" s="105" t="str">
        <f>IF(A107&lt;&gt;"",COUNTIFS('QA Log'!D:D,A107,'QA Log'!M:M,"QQC",'QA Log'!L:L,"5. Laboratory",'QA Log'!Z:Z,"Approved"),"")</f>
        <v/>
      </c>
      <c r="O107" s="105" t="str">
        <f>IF(A107&lt;&gt;"",COUNTIFS('QA Log'!D:D,A107,'QA Log'!M:M,"QQC",'QA Log'!L:L,"6. Essential Medicine Management",'QA Log'!Z:Z,"Approved"),"")</f>
        <v/>
      </c>
      <c r="P107" s="105" t="str">
        <f>IF(A107&lt;&gt;"",COUNTIFS('QA Log'!D:D,A107,'QA Log'!M:M,"QQC",'QA Log'!L:L,"7. Tracer Medicine",'QA Log'!Z:Z,"Approved"),"")</f>
        <v/>
      </c>
      <c r="Q107" s="105" t="str">
        <f>IF(A107&lt;&gt;"",COUNTIFS('QA Log'!D:D,A107,'QA Log'!M:M,"QQC",'QA Log'!L:L,"11. Additional Questions",'QA Log'!Z:Z,"Approved"),"")</f>
        <v/>
      </c>
      <c r="R107" s="102" t="str">
        <f>IF(A107="","",SUM(
COUNTIFS('QA Log'!D:D,A107,'QA Log'!M:M,"QQC",'QA Log'!Z:Z,"Rejected",'QA Log'!L:L,"*8. Maternity*"),
COUNTIFS('QA Log'!D:D,A107,'QA Log'!M:M,"QQC",'QA Log'!Z:Z,"Rejected",'QA Log'!L:L,"*EPI*"),
COUNTIFS('QA Log'!D:D,A107,'QA Log'!M:M,"QQC",'QA Log'!Z:Z,"Rejected",'QA Log'!L:L,"*10. Antenatal Care (ANC)*"),
COUNTIFS('QA Log'!D:D,A107,'QA Log'!M:M,"QQC",'QA Log'!Z:Z,"Rejected",'QA Log'!L:L,"*2. Hygiene and Sterilization*"),
COUNTIFS('QA Log'!D:D,A107,'QA Log'!M:M,"QQC",'QA Log'!Z:Z,"Rejected",'QA Log'!L:L,"*Family Planning*")))</f>
        <v/>
      </c>
      <c r="S107" s="106" t="str">
        <f t="shared" si="1"/>
        <v/>
      </c>
      <c r="T107" s="102" t="str">
        <f t="shared" si="2"/>
        <v/>
      </c>
      <c r="U107" s="102" t="str">
        <f>IF(A107="","",
SUM(
COUNTIFS('QA Log'!D:D,A107,'QA Log'!M:M,"QQC",'QA Log'!L:L,"*8. Maternity*"),
COUNTIFS('QA Log'!D:D,A107,'QA Log'!M:M,"QQC",'QA Log'!L:L,"*9. EPI and Pre-school Consultation*"),
COUNTIFS('QA Log'!D:D,A107,'QA Log'!M:M,"QQC",'QA Log'!L:L,"*10. Antenatal Care (ANC)*"),
COUNTIFS('QA Log'!D:D,A107,'QA Log'!M:M,"QQC",'QA Log'!L:L,"*2. Hygiene and Sterilization*"),
COUNTIFS('QA Log'!D:D,A107,'QA Log'!M:M,"QQC",'QA Log'!L:L,"*4. Family Planning*")
))</f>
        <v/>
      </c>
      <c r="V107" s="102" t="str">
        <f>IF(A107="","",
SUM(
COUNTIFS('QA Log'!D:D,A107,'QA Log'!M:M,"QQC",'QA Log'!Z:Z,"Approved",'QA Log'!L:L,"*8. Maternity*"),
COUNTIFS('QA Log'!D:D,A107,'QA Log'!M:M,"QQC",'QA Log'!Z:Z,"Approved",'QA Log'!L:L,"*9. EPI and Pre-school Consultation*"),
COUNTIFS('QA Log'!D:D,A107,'QA Log'!M:M,"QQC",'QA Log'!Z:Z,"Approved",'QA Log'!L:L,"*10. Antenatal Care (ANC)*"),
COUNTIFS('QA Log'!D:D,A107,'QA Log'!M:M,"QQC",'QA Log'!Z:Z,"Approved",'QA Log'!L:L,"*2. Hygiene and Sterilization*"),
COUNTIFS('QA Log'!D:D,A107,'QA Log'!M:M,"QQC",'QA Log'!Z:Z,"Approved",'QA Log'!L:L,"*4. Family Planning*")
))</f>
        <v/>
      </c>
      <c r="W107" s="105" t="str">
        <f>IF(A107&lt;&gt;"",COUNTIFS('QA Log'!D:D,A107,'QA Log'!M:M,"QQC",'QA Log'!L:L,"8. Maternity",'QA Log'!Z:Z,"Approved"),"")</f>
        <v/>
      </c>
      <c r="X107" s="105" t="str">
        <f>IF(A107&lt;&gt;"",COUNTIFS('QA Log'!D:D,A107,'QA Log'!M:M,"QQC",'QA Log'!L:L,"9. EPI and Pre-school Consultation",'QA Log'!Z:Z,"Approved"),"")</f>
        <v/>
      </c>
      <c r="Y107" s="105" t="str">
        <f>IF(A107&lt;&gt;"",COUNTIFS('QA Log'!D:D,A107,'QA Log'!M:M,"QQC",'QA Log'!L:L,"10. Antenatal Care (ANC)",'QA Log'!Z:Z,"Approved"),"")</f>
        <v/>
      </c>
      <c r="Z107" s="105" t="str">
        <f>IF(A107&lt;&gt;"",COUNTIFS('QA Log'!D:D,A107,'QA Log'!M:M,"QQC",'QA Log'!L:L,"2. Hygiene and Sterilization",'QA Log'!Z:Z,"Approved"),"")</f>
        <v/>
      </c>
      <c r="AA107" s="105" t="str">
        <f>IF(A107&lt;&gt;"",COUNTIFS('QA Log'!D:D,A107,'QA Log'!M:M,"QQC",'QA Log'!L:L,"4. Family Planning",'QA Log'!Z:Z,"Approved"),"")</f>
        <v/>
      </c>
      <c r="AB107" s="102" t="str">
        <f>IF(A107="","",
SUM(
COUNTIFS('QA Log'!D:D,A107,'QA Log'!M:M,"QQC",'QA Log'!Z:Z,"Rejected",'QA Log'!L:L,"*8. Maternity*"),
COUNTIFS('QA Log'!D:D,A107,'QA Log'!M:M,"QQC",'QA Log'!Z:Z,"Rejected",'QA Log'!L:L,"*9. EPI and Pre-school Consultation*"),
COUNTIFS('QA Log'!D:D,A107,'QA Log'!M:M,"QQC",'QA Log'!Z:Z,"Rejected",'QA Log'!L:L,"*10. Antenatal Care (ANC)*"),
COUNTIFS('QA Log'!D:D,A107,'QA Log'!M:M,"QQC",'QA Log'!Z:Z,"Rejected",'QA Log'!L:L,"*2. Hygiene and Sterilization*"),
COUNTIFS('QA Log'!D:D,A107,'QA Log'!M:M,"QQC",'QA Log'!Z:Z,"Rejected",'QA Log'!L:L,"*4. Family Planning*")
))</f>
        <v/>
      </c>
      <c r="AC107" s="102" t="str">
        <f t="shared" si="3"/>
        <v/>
      </c>
      <c r="AD107" s="103" t="str">
        <f t="shared" si="4"/>
        <v/>
      </c>
      <c r="AE107" s="102" t="str">
        <f>IF(A107="","",
SUM(
COUNTIFS('QA Log'!D:D,A107,'QA Log'!M:M,"Data Verification",'QA Log'!L:L,"*Medicine (section 2)*"),
COUNTIFS('QA Log'!D:D,A107,'QA Log'!M:M,"Data Verification",'QA Log'!L:L,"*Lab Testing Availability*"),
COUNTIFS('QA Log'!D:D,A107,'QA Log'!M:M,"Data Verification",'QA Log'!L:L,"*Other than P4P (section 6)*"),
COUNTIFS('QA Log'!D:D,A107,'QA Log'!M:M,"Data Verification",'QA Log'!L:L,"*Hospital Governance*")
))</f>
        <v/>
      </c>
      <c r="AF107" s="102" t="str">
        <f>IF(A107="","",
SUM(
COUNTIFS('QA Log'!D:D,A107,'QA Log'!M:M,"Data Verification",'QA Log'!Z:Z,"Approved",'QA Log'!L:L,"*Medicine (section 2)*"),
COUNTIFS('QA Log'!D:D,A107,'QA Log'!M:M,"Data Verification",'QA Log'!Z:Z,"Approved",'QA Log'!L:L,"*Lab Testing Availability*"),
COUNTIFS('QA Log'!D:D,A107,'QA Log'!M:M,"Data Verification",'QA Log'!Z:Z,"Approved",'QA Log'!L:L,"*Other than P4P (section 6)*"),
COUNTIFS('QA Log'!D:D,A107,'QA Log'!M:M,"Data Verification",'QA Log'!Z:Z,"Approved",'QA Log'!L:L,"*Hospital Governance*")
))</f>
        <v/>
      </c>
      <c r="AG107" s="105" t="str">
        <f>IF(A107&lt;&gt;"",COUNTIFS('QA Log'!D:D,A107,'QA Log'!M:M,"Data Verification",'QA Log'!L:L,"Medicine (section 2)",'QA Log'!Z:Z,"Approved"),"")</f>
        <v/>
      </c>
      <c r="AH107" s="105" t="str">
        <f>IF(A107&lt;&gt;"",COUNTIFS('QA Log'!D:D,A107,'QA Log'!M:M,"Data Verification",'QA Log'!L:L,"Lab Testing Availability",'QA Log'!Z:Z,"Approved"),"")</f>
        <v/>
      </c>
      <c r="AI107" s="105" t="str">
        <f>IF(A107&lt;&gt;"",COUNTIFS('QA Log'!D:D,A107,'QA Log'!M:M,"Data Verification",'QA Log'!L:L,"Other than P4P (section 6)",'QA Log'!Z:Z,"Approved"),"")</f>
        <v/>
      </c>
      <c r="AJ107" s="105" t="str">
        <f>IF(A107&lt;&gt;"",COUNTIFS('QA Log'!D:D,A107,'QA Log'!M:M,"Data Verification",'QA Log'!L:L,"Hospital Governance",'QA Log'!Z:Z,"Approved"),"")</f>
        <v/>
      </c>
      <c r="AK107" s="102" t="str">
        <f>IF(A107="","",
SUM(
COUNTIFS('QA Log'!D:D,A107,'QA Log'!M:M,"Data Verification",'QA Log'!Z:Z,"Rejected",'QA Log'!L:L,"*Medicine (section 2)*"),
COUNTIFS('QA Log'!D:D,A107,'QA Log'!M:M,"Data Verification",'QA Log'!Z:Z,"Rejected",'QA Log'!L:L,"*Lab Testing Availability*"),
COUNTIFS('QA Log'!D:D,A107,'QA Log'!M:M,"Data Verification",'QA Log'!Z:Z,"Rejected",'QA Log'!L:L,"*Other than P4P (section 6)*"),
COUNTIFS('QA Log'!D:D,A107,'QA Log'!M:M,"Data Verification",'QA Log'!Z:Z,"Rejected",'QA Log'!L:L,"*Hospital Governance*")
))</f>
        <v/>
      </c>
      <c r="AL107" s="106" t="str">
        <f t="shared" si="5"/>
        <v/>
      </c>
      <c r="AM107" s="102" t="str">
        <f t="shared" si="6"/>
        <v/>
      </c>
      <c r="AN107" s="102" t="str">
        <f>IF(A107="","",
SUM(
COUNTIFS('QA Log'!D:D,A107,'QA Log'!M:M,"Data Verification",'QA Log'!L:L,"*Personnel (section 1)*"),
COUNTIFS('QA Log'!D:D,A107,'QA Log'!M:M,"Data Verification",'QA Log'!L:L,"*Consumable (section 3)*"),
COUNTIFS('QA Log'!D:D,A107,'QA Log'!M:M,"Data Verification",'QA Log'!L:L,"*Equipments (section 4)*")
))</f>
        <v/>
      </c>
      <c r="AO107" s="102" t="str">
        <f>IF(A107="","",
SUM(
COUNTIFS('QA Log'!D:D,A107,'QA Log'!M:M,"Data Verification",'QA Log'!Z:Z,"Approved",'QA Log'!L:L,"*Personnel (section 1)*"),
COUNTIFS('QA Log'!D:D,A107,'QA Log'!M:M,"Data Verification",'QA Log'!Z:Z,"Approved",'QA Log'!L:L,"*Consumable (section 3)*"),
COUNTIFS('QA Log'!D:D,A107,'QA Log'!M:M,"Data Verification",'QA Log'!Z:Z,"Approved",'QA Log'!L:L,"*Equipments (section 4)*")
))</f>
        <v/>
      </c>
      <c r="AP107" s="105" t="str">
        <f>IF(A107&lt;&gt;"",COUNTIFS('QA Log'!D:D,A107,'QA Log'!M:M,"Data Verification",'QA Log'!L:L,"Personnel (section 1)",'QA Log'!Z:Z,"Approved"),"")</f>
        <v/>
      </c>
      <c r="AQ107" s="105" t="str">
        <f>IF(A107&lt;&gt;"",COUNTIFS('QA Log'!D:D,A107,'QA Log'!M:M,"Data Verification",'QA Log'!L:L,"Consumable (section 3)",'QA Log'!Z:Z,"Approved"),"")</f>
        <v/>
      </c>
      <c r="AR107" s="105" t="str">
        <f>IF(A107&lt;&gt;"",COUNTIFS('QA Log'!D:D,A107,'QA Log'!M:M,"Data Verification",'QA Log'!L:L,"Equipments (section 4)",'QA Log'!Z:Z,"Approved"),"")</f>
        <v/>
      </c>
      <c r="AS107" s="102" t="str">
        <f>IF(A107="","",
SUM(
COUNTIFS('QA Log'!D:D,A107,'QA Log'!M:M,"Data Verification",'QA Log'!Z:Z,"Rejected",'QA Log'!L:L,"*Personnel (section 1)*"),
COUNTIFS('QA Log'!D:D,A107,'QA Log'!M:M,"Data Verification",'QA Log'!Z:Z,"Rejected",'QA Log'!L:L,"*Consumable (section 3)*"),
COUNTIFS('QA Log'!D:D,A107,'QA Log'!M:M,"Data Verification",'QA Log'!Z:Z,"Rejected",'QA Log'!L:L,"*Equipments (section 4)*")
))</f>
        <v/>
      </c>
      <c r="AT107" s="102" t="str">
        <f t="shared" si="7"/>
        <v/>
      </c>
      <c r="AU107" s="103" t="str">
        <f t="shared" si="8"/>
        <v/>
      </c>
      <c r="AV107" s="102" t="str">
        <f>IF(A107="","",SUM(
COUNTIFS('QA Log'!D:D,A107,'QA Log'!M:M,"Vignette",'QA Log'!L:L,"*Vignette [1] Respiratory Infection: Pneumonia*"),
COUNTIFS('QA Log'!D:D,A107,'QA Log'!M:M,"Vignette",'QA Log'!L:L,"*Vignette [2]: Diarrhea with Cat B dehydration*"),
COUNTIFS('QA Log'!D:D,A107,'QA Log'!M:M,"Vignette",'QA Log'!L:L,"*Vignette [3] Growth Monitoring and Promotion*"),
COUNTIFS('QA Log'!D:D,A107,'QA Log'!M:M,"Vignette",'QA Log'!L:L,"*Vignette [4]: The management of presumptive TB patient*")
)
)</f>
        <v/>
      </c>
      <c r="AW107" s="102" t="str">
        <f>IF(
  A107="","",
  SUM(
    COUNTIFS('QA Log'!D:D,A107,'QA Log'!M:M,"Vignette",'QA Log'!Z:Z,"Approved",'QA Log'!L:L,"*Vignette [1] Respiratory Infection: Pneumonia*"),
    COUNTIFS('QA Log'!D:D,A107,'QA Log'!M:M,"Vignette",'QA Log'!Z:Z,"Approved",'QA Log'!L:L,"*Vignette [2]: Diarrhea with Cat B dehydration*"),
    COUNTIFS('QA Log'!D:D,A107,'QA Log'!M:M,"Vignette",'QA Log'!Z:Z,"Approved",'QA Log'!L:L,"*Vignette [3] Growth Monitoring and Promotion*"),
    COUNTIFS('QA Log'!D:D,A107,'QA Log'!M:M,"Vignette",'QA Log'!Z:Z,"Approved",'QA Log'!L:L,"*Vignette [4]: The management of presumptive TB patient*")
  )
)</f>
        <v/>
      </c>
      <c r="AX107" s="105" t="str">
        <f>IF(A107&lt;&gt;"",COUNTIFS('QA Log'!D:D,A107,'QA Log'!M:M,"Vignette",'QA Log'!L:L,"Vignette [1] Respiratory Infection: Pneumonia",'QA Log'!Z:Z,"Approved"),"")</f>
        <v/>
      </c>
      <c r="AY107" s="105" t="str">
        <f>IF(A107&lt;&gt;"",COUNTIFS('QA Log'!D:D,A107,'QA Log'!M:M,"Vignette",'QA Log'!L:L,"Vignette [2]: Diarrhea with Cat B dehydration",'QA Log'!Z:Z,"Approved"),"")</f>
        <v/>
      </c>
      <c r="AZ107" s="105" t="str">
        <f>IF(A107&lt;&gt;"",COUNTIFS('QA Log'!D:D,A107,'QA Log'!M:M,"Vignette",'QA Log'!L:L,"Vignette [3] Growth Monitoring and Promotion",'QA Log'!Z:Z,"Approved"),"")</f>
        <v/>
      </c>
      <c r="BA107" s="105" t="str">
        <f>IF(A107&lt;&gt;"",COUNTIFS('QA Log'!D:D,A107,'QA Log'!M:M,"Vignette",'QA Log'!L:L,"Vignette [4]: The management of presumptive TB patient",'QA Log'!Z:Z,"Approved"),"")</f>
        <v/>
      </c>
      <c r="BB107" s="102" t="str">
        <f>IF(A107="","",
  SUM(
    COUNTIFS('QA Log'!D:D,A107,'QA Log'!M:M,"Vignette",'QA Log'!Z:Z,"Rejected",'QA Log'!L:L,"*Vignette [1] Respiratory Infection: Pneumonia*"),
    COUNTIFS('QA Log'!D:D,A107,'QA Log'!M:M,"Vignette",'QA Log'!Z:Z,"Rejected",'QA Log'!L:L,"*Vignette [2]: Diarrhea with Cat B dehydration*"),
    COUNTIFS('QA Log'!D:D,A107,'QA Log'!M:M,"Vignette",'QA Log'!Z:Z,"Rejected",'QA Log'!L:L,"*Vignette [3] Growth Monitoring and Promotion*"),
    COUNTIFS('QA Log'!D:D,A107,'QA Log'!M:M,"Vignette",'QA Log'!Z:Z,"Rejected",'QA Log'!L:L,"*Vignette [4]: The management of presumptive TB patient*")
  )
)</f>
        <v/>
      </c>
      <c r="BC107" s="107" t="str">
        <f t="shared" si="9"/>
        <v/>
      </c>
      <c r="BD107" s="103" t="str">
        <f t="shared" si="10"/>
        <v/>
      </c>
      <c r="BE107" s="102" t="str">
        <f>IF(A107="","",SUM(
COUNTIFS('QA Log'!D:D,A107,'QA Log'!M:M,"Vignette",'QA Log'!L:L,"*Vignette [5] Labor*"),
COUNTIFS('QA Log'!D:D,A107,'QA Log'!M:M,"Vignette",'QA Log'!L:L,"*Vignette [6] PNC pre Discharge*"),
COUNTIFS('QA Log'!D:D,A107,'QA Log'!M:M,"Vignette",'QA Log'!L:L,"*Vignette [7] First ANC Visit*"),
COUNTIFS('QA Log'!D:D,A107,'QA Log'!M:M,"Vignette",'QA Log'!L:L,"*Vignette [8] Birth Spacing/ Family Planning :  FP Counselling*"),
COUNTIFS('QA Log'!D:D,A107,'QA Log'!M:M,"Vignette",'QA Log'!L:L,"*Vignette [9] Birth Spacing: Change FP method to Injectable*"),
COUNTIFS('QA Log'!D:D,A107,'QA Log'!M:M,"Vignette",'QA Log'!L:L,"*Vignette [10] Post Partum Haemorrhage - Atonic Uterus at Health Centre*"),
)
)</f>
        <v/>
      </c>
      <c r="BF107" s="102" t="str">
        <f>IF(A107="","",
  SUM(
    COUNTIFS('QA Log'!D:D,A107,'QA Log'!M:M,"Vignette",'QA Log'!Z:Z,"Approved",'QA Log'!L:L,"*Vignette [5] Labor*"),
    COUNTIFS('QA Log'!D:D,A107,'QA Log'!M:M,"Vignette",'QA Log'!Z:Z,"Approved",'QA Log'!L:L,"*Vignette [6] PNC pre Discharge*"),
    COUNTIFS('QA Log'!D:D,A107,'QA Log'!M:M,"Vignette",'QA Log'!Z:Z,"Approved",'QA Log'!L:L,"*Vignette [7] First ANC Visit*"),
    COUNTIFS('QA Log'!D:D,A107,'QA Log'!M:M,"Vignette",'QA Log'!Z:Z,"Approved",'QA Log'!L:L,"*Vignette [8] Birth Spacing/ Family Planning :  FP Counselling*"),
    COUNTIFS('QA Log'!D:D,A107,'QA Log'!M:M,"Vignette",'QA Log'!Z:Z,"Approved",'QA Log'!L:L,"*Vignette [9] Birth Spacing: Change FP method to Injectable*"),
    COUNTIFS('QA Log'!D:D,A107,'QA Log'!M:M,"Vignette",'QA Log'!Z:Z,"Approved",'QA Log'!L:L,"*Vignette [10] Post Partum Haemorrhage - Atonic Uterus at Health Centre*")
  )
)</f>
        <v/>
      </c>
      <c r="BG107" s="105" t="str">
        <f>IF(A107&lt;&gt;"",COUNTIFS('QA Log'!D:D,A107,'QA Log'!M:M,"Vignette",'QA Log'!L:L,"Vignette [5] Labor",'QA Log'!Z:Z,"Approved"),"")</f>
        <v/>
      </c>
      <c r="BH107" s="105" t="str">
        <f>IF(A107&lt;&gt;"",COUNTIFS('QA Log'!D:D,A107,'QA Log'!M:M,"Vignette",'QA Log'!L:L,"Vignette [6] PNC pre Discharge",'QA Log'!Z:Z,"Approved"),"")</f>
        <v/>
      </c>
      <c r="BI107" s="105" t="str">
        <f>IF(A107&lt;&gt;"",COUNTIFS('QA Log'!D:D,A107,'QA Log'!M:M,"Vignette",'QA Log'!L:L,"Vignette [7] First ANC Visit",'QA Log'!Z:Z,"Approved"),"")</f>
        <v/>
      </c>
      <c r="BJ107" s="105" t="str">
        <f>IF(A107&lt;&gt;"",COUNTIFS('QA Log'!D:D,A107,'QA Log'!M:M,"Vignette",'QA Log'!L:L,"Vignette [8] Birth Spacing/ Family Planning :  FP Counselling",'QA Log'!Z:Z,"Approved"),"")</f>
        <v/>
      </c>
      <c r="BK107" s="105" t="str">
        <f>IF(A107&lt;&gt;"",COUNTIFS('QA Log'!D:D,A107,'QA Log'!M:M,"Vignette",'QA Log'!L:L,"Vignette [9] Birth Spacing: Change FP method to Injectable",'QA Log'!Z:Z,"Approved"),"")</f>
        <v/>
      </c>
      <c r="BL107" s="105" t="str">
        <f>IF(A107&lt;&gt;"",COUNTIFS('QA Log'!D:D,A107,'QA Log'!M:M,"Vignette",'QA Log'!L:L,"Vignette [10] Post Partum Haemorrhage - Atonic Uterus at Health Centre",'QA Log'!Z:Z,"Approved"),"")</f>
        <v/>
      </c>
      <c r="BM107" s="102" t="str">
        <f>IF(A107="","",SUM(
    COUNTIFS('QA Log'!D:D,A107,'QA Log'!M:M,"Vignette",'QA Log'!Z:Z,"Rejected",'QA Log'!L:L,"*Vignette [5] Labor*"),
    COUNTIFS('QA Log'!D:D,A107,'QA Log'!M:M,"Vignette",'QA Log'!Z:Z,"Rejected",'QA Log'!L:L,"*Vignette [6] PNC pre Discharge*"),
    COUNTIFS('QA Log'!D:D,A107,'QA Log'!M:M,"Vignette",'QA Log'!Z:Z,"Rejected",'QA Log'!L:L,"*Vignette [7] First ANC Visit*"),
    COUNTIFS('QA Log'!D:D,A107,'QA Log'!M:M,"Vignette",'QA Log'!Z:Z,"Rejected",'QA Log'!L:L,"*Vignette [8] Birth Spacing/ Family Planning :  FP Counselling*"),
    COUNTIFS('QA Log'!D:D,A107,'QA Log'!M:M,"Vignette",'QA Log'!Z:Z,"Rejected",'QA Log'!L:L,"*Vignette [9] Birth Spacing: Change FP method to Injectable*"),
    COUNTIFS('QA Log'!D:D,A107,'QA Log'!M:M,"Vignette",'QA Log'!Z:Z,"Rejected",'QA Log'!L:L,"*Vignette [10] Post Partum Haemorrhage - Atonic Uterus at Health Centre*")
  )
)</f>
        <v/>
      </c>
      <c r="BN107" s="107" t="str">
        <f t="shared" si="11"/>
        <v/>
      </c>
      <c r="BO107" s="103" t="str">
        <f t="shared" si="12"/>
        <v/>
      </c>
      <c r="BP107" s="102" t="str">
        <f>IF(A107="","",SUM(
COUNTIFS('QA Log'!D:D,A107,'QA Log'!M:M,"Vignette",'QA Log'!L:L,"*Exit Interview 1*"),
COUNTIFS('QA Log'!D:D,A107,'QA Log'!M:M,"Vignette",'QA Log'!L:L,"*Exit Interview 2*"),
)
)</f>
        <v/>
      </c>
      <c r="BQ107" s="102" t="str">
        <f>IF(
  A107="","",
  SUM(
    COUNTIFS('QA Log'!D:D,A107,'QA Log'!M:M,"Vignette",'QA Log'!Z:Z,"Approved",'QA Log'!L:L,"*Exit Interview 1*"),
    COUNTIFS('QA Log'!D:D,A107,'QA Log'!M:M,"Vignette",'QA Log'!Z:Z,"Approved",'QA Log'!L:L,"*Exit Interview 2*")
  )
)</f>
        <v/>
      </c>
      <c r="BR107" s="105" t="str">
        <f>IF(A107&lt;&gt;"",COUNTIFS('QA Log'!D:D,A107,'QA Log'!M:M,"Vignette",'QA Log'!L:L,"Exit Interview 1",'QA Log'!Z:Z,"Approved"),"")</f>
        <v/>
      </c>
      <c r="BS107" s="105" t="str">
        <f>IF(A107&lt;&gt;"",COUNTIFS('QA Log'!D:D,A107,'QA Log'!M:M,"Vignette",'QA Log'!L:L,"Exit Interview 2",'QA Log'!Z:Z,"Approved"),"")</f>
        <v/>
      </c>
      <c r="BT107" s="102" t="str">
        <f>IF(
  A107="","",
  SUM(
    COUNTIFS('QA Log'!D:D,A107,'QA Log'!M:M,"Vignette",'QA Log'!Z:Z,"Rejected",'QA Log'!L:L,"*Exit Interview 1*"),
    COUNTIFS('QA Log'!D:D,A107,'QA Log'!M:M,"Vignette",'QA Log'!Z:Z,"Rejected",'QA Log'!L:L,"*Exit Interview 2*")
  )
)</f>
        <v/>
      </c>
      <c r="BU107" s="107" t="str">
        <f t="shared" si="13"/>
        <v/>
      </c>
      <c r="BV107" s="102" t="str">
        <f t="shared" si="14"/>
        <v/>
      </c>
      <c r="BW107" s="102" t="str">
        <f t="shared" si="15"/>
        <v/>
      </c>
      <c r="BX107" s="102" t="str">
        <f t="shared" si="16"/>
        <v/>
      </c>
      <c r="BY107" s="102" t="str">
        <f t="shared" si="17"/>
        <v/>
      </c>
      <c r="BZ107" s="107" t="str">
        <f t="shared" si="18"/>
        <v/>
      </c>
      <c r="CA107" s="108" t="str">
        <f t="shared" si="19"/>
        <v/>
      </c>
      <c r="CB107" s="108" t="str">
        <f t="shared" si="20"/>
        <v/>
      </c>
      <c r="CC107" s="109" t="str">
        <f t="shared" si="21"/>
        <v/>
      </c>
      <c r="CD107" s="108" t="str">
        <f t="shared" si="22"/>
        <v/>
      </c>
      <c r="CE107" s="108" t="str">
        <f t="shared" si="23"/>
        <v/>
      </c>
      <c r="CF107" s="109" t="str">
        <f t="shared" si="24"/>
        <v/>
      </c>
      <c r="CG107" s="110" t="str">
        <f t="shared" si="25"/>
        <v/>
      </c>
      <c r="CH107" s="111"/>
    </row>
    <row r="108" spans="1:86" ht="12.75">
      <c r="A108" s="101"/>
      <c r="B108" s="102" t="e">
        <f t="array" aca="1" ref="B108" ca="1">_xludf.XLOOKUP(A108,'QA Log'!D:D,'QA Log'!E:E,"")</f>
        <v>#NAME?</v>
      </c>
      <c r="C108" s="102" t="e">
        <f t="array" aca="1" ref="C108" ca="1">_xludf.XLOOKUP(A108,'QA Log'!D:D,'QA Log'!F:F,"")</f>
        <v>#NAME?</v>
      </c>
      <c r="D108" s="102" t="e">
        <f t="array" aca="1" ref="D108" ca="1">_xludf.XLOOKUP(A108,'QA Log'!D:D,'QA Log'!H:H,"")</f>
        <v>#NAME?</v>
      </c>
      <c r="E108" s="102" t="e">
        <f t="array" aca="1" ref="E108" ca="1">_xludf.XLOOKUP(A108,'QA Log'!D:D,'QA Log'!G:G,"")</f>
        <v>#NAME?</v>
      </c>
      <c r="F108" s="103"/>
      <c r="G108" s="104"/>
      <c r="H108" s="104"/>
      <c r="I108" s="103" t="str">
        <f t="shared" si="0"/>
        <v/>
      </c>
      <c r="J108" s="102" t="str">
        <f>IF(A108="","",SUM(
COUNTIFS('QA Log'!D:D,A108,'QA Log'!M:M,"QQC",'QA Log'!L:L,"*1. General Management*"),
COUNTIFS('QA Log'!D:D,A108,'QA Log'!M:M,"QQC",'QA Log'!L:L,"*3. Curative Consultation (OPD)*"),
COUNTIFS('QA Log'!D:D,A108,'QA Log'!M:M,"QQC",'QA Log'!L:L,"*5. Laboratory*"),
COUNTIFS('QA Log'!D:D,A108,'QA Log'!M:M,"QQC",'QA Log'!L:L,"*6. Essential Medicine Management*"),
COUNTIFS('QA Log'!D:D,A108,'QA Log'!M:M,"QQC",'QA Log'!L:L,"*7. Tracer Medicine*"),
COUNTIFS('QA Log'!D:D,A108,'QA Log'!M:M,"QQC",'QA Log'!L:L,"*11. Additional Questions*")))</f>
        <v/>
      </c>
      <c r="K108" s="102" t="str">
        <f>IF(A108="","",SUM(
COUNTIFS('QA Log'!D:D,A108,'QA Log'!M:M,"QQC",'QA Log'!Z:Z,"Approved",'QA Log'!L:L,"*1. General Management*"),
COUNTIFS('QA Log'!D:D,A108,'QA Log'!M:M,"QQC",'QA Log'!Z:Z,"Approved",'QA Log'!L:L,"*3. Curative Consultation (OPD)*"),
COUNTIFS('QA Log'!D:D,A108,'QA Log'!M:M,"QQC",'QA Log'!Z:Z,"Approved",'QA Log'!L:L,"*5. Laboratory*"),
COUNTIFS('QA Log'!D:D,A108,'QA Log'!M:M,"QQC",'QA Log'!Z:Z,"Approved",'QA Log'!L:L,"*6. Essential Medicine Management*"),
COUNTIFS('QA Log'!D:D,A108,'QA Log'!M:M,"QQC",'QA Log'!Z:Z,"Approved",'QA Log'!L:L,"*7. Tracer Medicine*"),
COUNTIFS('QA Log'!D:D,A108,'QA Log'!M:M,"QQC",'QA Log'!Z:Z,"Approved",'QA Log'!L:L,"*11. Additional Questions*")))</f>
        <v/>
      </c>
      <c r="L108" s="105" t="str">
        <f>IF(A108&lt;&gt;"",COUNTIFS('QA Log'!D:D,A108,'QA Log'!M:M,"QQC",'QA Log'!L:L,"1. General Management",'QA Log'!Z:Z,"Approved"),"")</f>
        <v/>
      </c>
      <c r="M108" s="105" t="str">
        <f>IF(A108&lt;&gt;"",COUNTIFS('QA Log'!D:D,A108,'QA Log'!M:M,"QQC",'QA Log'!L:L,"3. Curative Consultation (OPD)",'QA Log'!Z:Z,"Approved"),"")</f>
        <v/>
      </c>
      <c r="N108" s="105" t="str">
        <f>IF(A108&lt;&gt;"",COUNTIFS('QA Log'!D:D,A108,'QA Log'!M:M,"QQC",'QA Log'!L:L,"5. Laboratory",'QA Log'!Z:Z,"Approved"),"")</f>
        <v/>
      </c>
      <c r="O108" s="105" t="str">
        <f>IF(A108&lt;&gt;"",COUNTIFS('QA Log'!D:D,A108,'QA Log'!M:M,"QQC",'QA Log'!L:L,"6. Essential Medicine Management",'QA Log'!Z:Z,"Approved"),"")</f>
        <v/>
      </c>
      <c r="P108" s="105" t="str">
        <f>IF(A108&lt;&gt;"",COUNTIFS('QA Log'!D:D,A108,'QA Log'!M:M,"QQC",'QA Log'!L:L,"7. Tracer Medicine",'QA Log'!Z:Z,"Approved"),"")</f>
        <v/>
      </c>
      <c r="Q108" s="105" t="str">
        <f>IF(A108&lt;&gt;"",COUNTIFS('QA Log'!D:D,A108,'QA Log'!M:M,"QQC",'QA Log'!L:L,"11. Additional Questions",'QA Log'!Z:Z,"Approved"),"")</f>
        <v/>
      </c>
      <c r="R108" s="102" t="str">
        <f>IF(A108="","",SUM(
COUNTIFS('QA Log'!D:D,A108,'QA Log'!M:M,"QQC",'QA Log'!Z:Z,"Rejected",'QA Log'!L:L,"*8. Maternity*"),
COUNTIFS('QA Log'!D:D,A108,'QA Log'!M:M,"QQC",'QA Log'!Z:Z,"Rejected",'QA Log'!L:L,"*EPI*"),
COUNTIFS('QA Log'!D:D,A108,'QA Log'!M:M,"QQC",'QA Log'!Z:Z,"Rejected",'QA Log'!L:L,"*10. Antenatal Care (ANC)*"),
COUNTIFS('QA Log'!D:D,A108,'QA Log'!M:M,"QQC",'QA Log'!Z:Z,"Rejected",'QA Log'!L:L,"*2. Hygiene and Sterilization*"),
COUNTIFS('QA Log'!D:D,A108,'QA Log'!M:M,"QQC",'QA Log'!Z:Z,"Rejected",'QA Log'!L:L,"*Family Planning*")))</f>
        <v/>
      </c>
      <c r="S108" s="106" t="str">
        <f t="shared" si="1"/>
        <v/>
      </c>
      <c r="T108" s="102" t="str">
        <f t="shared" si="2"/>
        <v/>
      </c>
      <c r="U108" s="102" t="str">
        <f>IF(A108="","",
SUM(
COUNTIFS('QA Log'!D:D,A108,'QA Log'!M:M,"QQC",'QA Log'!L:L,"*8. Maternity*"),
COUNTIFS('QA Log'!D:D,A108,'QA Log'!M:M,"QQC",'QA Log'!L:L,"*9. EPI and Pre-school Consultation*"),
COUNTIFS('QA Log'!D:D,A108,'QA Log'!M:M,"QQC",'QA Log'!L:L,"*10. Antenatal Care (ANC)*"),
COUNTIFS('QA Log'!D:D,A108,'QA Log'!M:M,"QQC",'QA Log'!L:L,"*2. Hygiene and Sterilization*"),
COUNTIFS('QA Log'!D:D,A108,'QA Log'!M:M,"QQC",'QA Log'!L:L,"*4. Family Planning*")
))</f>
        <v/>
      </c>
      <c r="V108" s="102" t="str">
        <f>IF(A108="","",
SUM(
COUNTIFS('QA Log'!D:D,A108,'QA Log'!M:M,"QQC",'QA Log'!Z:Z,"Approved",'QA Log'!L:L,"*8. Maternity*"),
COUNTIFS('QA Log'!D:D,A108,'QA Log'!M:M,"QQC",'QA Log'!Z:Z,"Approved",'QA Log'!L:L,"*9. EPI and Pre-school Consultation*"),
COUNTIFS('QA Log'!D:D,A108,'QA Log'!M:M,"QQC",'QA Log'!Z:Z,"Approved",'QA Log'!L:L,"*10. Antenatal Care (ANC)*"),
COUNTIFS('QA Log'!D:D,A108,'QA Log'!M:M,"QQC",'QA Log'!Z:Z,"Approved",'QA Log'!L:L,"*2. Hygiene and Sterilization*"),
COUNTIFS('QA Log'!D:D,A108,'QA Log'!M:M,"QQC",'QA Log'!Z:Z,"Approved",'QA Log'!L:L,"*4. Family Planning*")
))</f>
        <v/>
      </c>
      <c r="W108" s="105" t="str">
        <f>IF(A108&lt;&gt;"",COUNTIFS('QA Log'!D:D,A108,'QA Log'!M:M,"QQC",'QA Log'!L:L,"8. Maternity",'QA Log'!Z:Z,"Approved"),"")</f>
        <v/>
      </c>
      <c r="X108" s="105" t="str">
        <f>IF(A108&lt;&gt;"",COUNTIFS('QA Log'!D:D,A108,'QA Log'!M:M,"QQC",'QA Log'!L:L,"9. EPI and Pre-school Consultation",'QA Log'!Z:Z,"Approved"),"")</f>
        <v/>
      </c>
      <c r="Y108" s="105" t="str">
        <f>IF(A108&lt;&gt;"",COUNTIFS('QA Log'!D:D,A108,'QA Log'!M:M,"QQC",'QA Log'!L:L,"10. Antenatal Care (ANC)",'QA Log'!Z:Z,"Approved"),"")</f>
        <v/>
      </c>
      <c r="Z108" s="105" t="str">
        <f>IF(A108&lt;&gt;"",COUNTIFS('QA Log'!D:D,A108,'QA Log'!M:M,"QQC",'QA Log'!L:L,"2. Hygiene and Sterilization",'QA Log'!Z:Z,"Approved"),"")</f>
        <v/>
      </c>
      <c r="AA108" s="105" t="str">
        <f>IF(A108&lt;&gt;"",COUNTIFS('QA Log'!D:D,A108,'QA Log'!M:M,"QQC",'QA Log'!L:L,"4. Family Planning",'QA Log'!Z:Z,"Approved"),"")</f>
        <v/>
      </c>
      <c r="AB108" s="102" t="str">
        <f>IF(A108="","",
SUM(
COUNTIFS('QA Log'!D:D,A108,'QA Log'!M:M,"QQC",'QA Log'!Z:Z,"Rejected",'QA Log'!L:L,"*8. Maternity*"),
COUNTIFS('QA Log'!D:D,A108,'QA Log'!M:M,"QQC",'QA Log'!Z:Z,"Rejected",'QA Log'!L:L,"*9. EPI and Pre-school Consultation*"),
COUNTIFS('QA Log'!D:D,A108,'QA Log'!M:M,"QQC",'QA Log'!Z:Z,"Rejected",'QA Log'!L:L,"*10. Antenatal Care (ANC)*"),
COUNTIFS('QA Log'!D:D,A108,'QA Log'!M:M,"QQC",'QA Log'!Z:Z,"Rejected",'QA Log'!L:L,"*2. Hygiene and Sterilization*"),
COUNTIFS('QA Log'!D:D,A108,'QA Log'!M:M,"QQC",'QA Log'!Z:Z,"Rejected",'QA Log'!L:L,"*4. Family Planning*")
))</f>
        <v/>
      </c>
      <c r="AC108" s="102" t="str">
        <f t="shared" si="3"/>
        <v/>
      </c>
      <c r="AD108" s="103" t="str">
        <f t="shared" si="4"/>
        <v/>
      </c>
      <c r="AE108" s="102" t="str">
        <f>IF(A108="","",
SUM(
COUNTIFS('QA Log'!D:D,A108,'QA Log'!M:M,"Data Verification",'QA Log'!L:L,"*Medicine (section 2)*"),
COUNTIFS('QA Log'!D:D,A108,'QA Log'!M:M,"Data Verification",'QA Log'!L:L,"*Lab Testing Availability*"),
COUNTIFS('QA Log'!D:D,A108,'QA Log'!M:M,"Data Verification",'QA Log'!L:L,"*Other than P4P (section 6)*"),
COUNTIFS('QA Log'!D:D,A108,'QA Log'!M:M,"Data Verification",'QA Log'!L:L,"*Hospital Governance*")
))</f>
        <v/>
      </c>
      <c r="AF108" s="102" t="str">
        <f>IF(A108="","",
SUM(
COUNTIFS('QA Log'!D:D,A108,'QA Log'!M:M,"Data Verification",'QA Log'!Z:Z,"Approved",'QA Log'!L:L,"*Medicine (section 2)*"),
COUNTIFS('QA Log'!D:D,A108,'QA Log'!M:M,"Data Verification",'QA Log'!Z:Z,"Approved",'QA Log'!L:L,"*Lab Testing Availability*"),
COUNTIFS('QA Log'!D:D,A108,'QA Log'!M:M,"Data Verification",'QA Log'!Z:Z,"Approved",'QA Log'!L:L,"*Other than P4P (section 6)*"),
COUNTIFS('QA Log'!D:D,A108,'QA Log'!M:M,"Data Verification",'QA Log'!Z:Z,"Approved",'QA Log'!L:L,"*Hospital Governance*")
))</f>
        <v/>
      </c>
      <c r="AG108" s="105" t="str">
        <f>IF(A108&lt;&gt;"",COUNTIFS('QA Log'!D:D,A108,'QA Log'!M:M,"Data Verification",'QA Log'!L:L,"Medicine (section 2)",'QA Log'!Z:Z,"Approved"),"")</f>
        <v/>
      </c>
      <c r="AH108" s="105" t="str">
        <f>IF(A108&lt;&gt;"",COUNTIFS('QA Log'!D:D,A108,'QA Log'!M:M,"Data Verification",'QA Log'!L:L,"Lab Testing Availability",'QA Log'!Z:Z,"Approved"),"")</f>
        <v/>
      </c>
      <c r="AI108" s="105" t="str">
        <f>IF(A108&lt;&gt;"",COUNTIFS('QA Log'!D:D,A108,'QA Log'!M:M,"Data Verification",'QA Log'!L:L,"Other than P4P (section 6)",'QA Log'!Z:Z,"Approved"),"")</f>
        <v/>
      </c>
      <c r="AJ108" s="105" t="str">
        <f>IF(A108&lt;&gt;"",COUNTIFS('QA Log'!D:D,A108,'QA Log'!M:M,"Data Verification",'QA Log'!L:L,"Hospital Governance",'QA Log'!Z:Z,"Approved"),"")</f>
        <v/>
      </c>
      <c r="AK108" s="102" t="str">
        <f>IF(A108="","",
SUM(
COUNTIFS('QA Log'!D:D,A108,'QA Log'!M:M,"Data Verification",'QA Log'!Z:Z,"Rejected",'QA Log'!L:L,"*Medicine (section 2)*"),
COUNTIFS('QA Log'!D:D,A108,'QA Log'!M:M,"Data Verification",'QA Log'!Z:Z,"Rejected",'QA Log'!L:L,"*Lab Testing Availability*"),
COUNTIFS('QA Log'!D:D,A108,'QA Log'!M:M,"Data Verification",'QA Log'!Z:Z,"Rejected",'QA Log'!L:L,"*Other than P4P (section 6)*"),
COUNTIFS('QA Log'!D:D,A108,'QA Log'!M:M,"Data Verification",'QA Log'!Z:Z,"Rejected",'QA Log'!L:L,"*Hospital Governance*")
))</f>
        <v/>
      </c>
      <c r="AL108" s="106" t="str">
        <f t="shared" si="5"/>
        <v/>
      </c>
      <c r="AM108" s="102" t="str">
        <f t="shared" si="6"/>
        <v/>
      </c>
      <c r="AN108" s="102" t="str">
        <f>IF(A108="","",
SUM(
COUNTIFS('QA Log'!D:D,A108,'QA Log'!M:M,"Data Verification",'QA Log'!L:L,"*Personnel (section 1)*"),
COUNTIFS('QA Log'!D:D,A108,'QA Log'!M:M,"Data Verification",'QA Log'!L:L,"*Consumable (section 3)*"),
COUNTIFS('QA Log'!D:D,A108,'QA Log'!M:M,"Data Verification",'QA Log'!L:L,"*Equipments (section 4)*")
))</f>
        <v/>
      </c>
      <c r="AO108" s="102" t="str">
        <f>IF(A108="","",
SUM(
COUNTIFS('QA Log'!D:D,A108,'QA Log'!M:M,"Data Verification",'QA Log'!Z:Z,"Approved",'QA Log'!L:L,"*Personnel (section 1)*"),
COUNTIFS('QA Log'!D:D,A108,'QA Log'!M:M,"Data Verification",'QA Log'!Z:Z,"Approved",'QA Log'!L:L,"*Consumable (section 3)*"),
COUNTIFS('QA Log'!D:D,A108,'QA Log'!M:M,"Data Verification",'QA Log'!Z:Z,"Approved",'QA Log'!L:L,"*Equipments (section 4)*")
))</f>
        <v/>
      </c>
      <c r="AP108" s="105" t="str">
        <f>IF(A108&lt;&gt;"",COUNTIFS('QA Log'!D:D,A108,'QA Log'!M:M,"Data Verification",'QA Log'!L:L,"Personnel (section 1)",'QA Log'!Z:Z,"Approved"),"")</f>
        <v/>
      </c>
      <c r="AQ108" s="105" t="str">
        <f>IF(A108&lt;&gt;"",COUNTIFS('QA Log'!D:D,A108,'QA Log'!M:M,"Data Verification",'QA Log'!L:L,"Consumable (section 3)",'QA Log'!Z:Z,"Approved"),"")</f>
        <v/>
      </c>
      <c r="AR108" s="105" t="str">
        <f>IF(A108&lt;&gt;"",COUNTIFS('QA Log'!D:D,A108,'QA Log'!M:M,"Data Verification",'QA Log'!L:L,"Equipments (section 4)",'QA Log'!Z:Z,"Approved"),"")</f>
        <v/>
      </c>
      <c r="AS108" s="102" t="str">
        <f>IF(A108="","",
SUM(
COUNTIFS('QA Log'!D:D,A108,'QA Log'!M:M,"Data Verification",'QA Log'!Z:Z,"Rejected",'QA Log'!L:L,"*Personnel (section 1)*"),
COUNTIFS('QA Log'!D:D,A108,'QA Log'!M:M,"Data Verification",'QA Log'!Z:Z,"Rejected",'QA Log'!L:L,"*Consumable (section 3)*"),
COUNTIFS('QA Log'!D:D,A108,'QA Log'!M:M,"Data Verification",'QA Log'!Z:Z,"Rejected",'QA Log'!L:L,"*Equipments (section 4)*")
))</f>
        <v/>
      </c>
      <c r="AT108" s="102" t="str">
        <f t="shared" si="7"/>
        <v/>
      </c>
      <c r="AU108" s="103" t="str">
        <f t="shared" si="8"/>
        <v/>
      </c>
      <c r="AV108" s="102" t="str">
        <f>IF(A108="","",SUM(
COUNTIFS('QA Log'!D:D,A108,'QA Log'!M:M,"Vignette",'QA Log'!L:L,"*Vignette [1] Respiratory Infection: Pneumonia*"),
COUNTIFS('QA Log'!D:D,A108,'QA Log'!M:M,"Vignette",'QA Log'!L:L,"*Vignette [2]: Diarrhea with Cat B dehydration*"),
COUNTIFS('QA Log'!D:D,A108,'QA Log'!M:M,"Vignette",'QA Log'!L:L,"*Vignette [3] Growth Monitoring and Promotion*"),
COUNTIFS('QA Log'!D:D,A108,'QA Log'!M:M,"Vignette",'QA Log'!L:L,"*Vignette [4]: The management of presumptive TB patient*")
)
)</f>
        <v/>
      </c>
      <c r="AW108" s="102" t="str">
        <f>IF(
  A108="","",
  SUM(
    COUNTIFS('QA Log'!D:D,A108,'QA Log'!M:M,"Vignette",'QA Log'!Z:Z,"Approved",'QA Log'!L:L,"*Vignette [1] Respiratory Infection: Pneumonia*"),
    COUNTIFS('QA Log'!D:D,A108,'QA Log'!M:M,"Vignette",'QA Log'!Z:Z,"Approved",'QA Log'!L:L,"*Vignette [2]: Diarrhea with Cat B dehydration*"),
    COUNTIFS('QA Log'!D:D,A108,'QA Log'!M:M,"Vignette",'QA Log'!Z:Z,"Approved",'QA Log'!L:L,"*Vignette [3] Growth Monitoring and Promotion*"),
    COUNTIFS('QA Log'!D:D,A108,'QA Log'!M:M,"Vignette",'QA Log'!Z:Z,"Approved",'QA Log'!L:L,"*Vignette [4]: The management of presumptive TB patient*")
  )
)</f>
        <v/>
      </c>
      <c r="AX108" s="105" t="str">
        <f>IF(A108&lt;&gt;"",COUNTIFS('QA Log'!D:D,A108,'QA Log'!M:M,"Vignette",'QA Log'!L:L,"Vignette [1] Respiratory Infection: Pneumonia",'QA Log'!Z:Z,"Approved"),"")</f>
        <v/>
      </c>
      <c r="AY108" s="105" t="str">
        <f>IF(A108&lt;&gt;"",COUNTIFS('QA Log'!D:D,A108,'QA Log'!M:M,"Vignette",'QA Log'!L:L,"Vignette [2]: Diarrhea with Cat B dehydration",'QA Log'!Z:Z,"Approved"),"")</f>
        <v/>
      </c>
      <c r="AZ108" s="105" t="str">
        <f>IF(A108&lt;&gt;"",COUNTIFS('QA Log'!D:D,A108,'QA Log'!M:M,"Vignette",'QA Log'!L:L,"Vignette [3] Growth Monitoring and Promotion",'QA Log'!Z:Z,"Approved"),"")</f>
        <v/>
      </c>
      <c r="BA108" s="105" t="str">
        <f>IF(A108&lt;&gt;"",COUNTIFS('QA Log'!D:D,A108,'QA Log'!M:M,"Vignette",'QA Log'!L:L,"Vignette [4]: The management of presumptive TB patient",'QA Log'!Z:Z,"Approved"),"")</f>
        <v/>
      </c>
      <c r="BB108" s="102" t="str">
        <f>IF(A108="","",
  SUM(
    COUNTIFS('QA Log'!D:D,A108,'QA Log'!M:M,"Vignette",'QA Log'!Z:Z,"Rejected",'QA Log'!L:L,"*Vignette [1] Respiratory Infection: Pneumonia*"),
    COUNTIFS('QA Log'!D:D,A108,'QA Log'!M:M,"Vignette",'QA Log'!Z:Z,"Rejected",'QA Log'!L:L,"*Vignette [2]: Diarrhea with Cat B dehydration*"),
    COUNTIFS('QA Log'!D:D,A108,'QA Log'!M:M,"Vignette",'QA Log'!Z:Z,"Rejected",'QA Log'!L:L,"*Vignette [3] Growth Monitoring and Promotion*"),
    COUNTIFS('QA Log'!D:D,A108,'QA Log'!M:M,"Vignette",'QA Log'!Z:Z,"Rejected",'QA Log'!L:L,"*Vignette [4]: The management of presumptive TB patient*")
  )
)</f>
        <v/>
      </c>
      <c r="BC108" s="107" t="str">
        <f t="shared" si="9"/>
        <v/>
      </c>
      <c r="BD108" s="103" t="str">
        <f t="shared" si="10"/>
        <v/>
      </c>
      <c r="BE108" s="102" t="str">
        <f>IF(A108="","",SUM(
COUNTIFS('QA Log'!D:D,A108,'QA Log'!M:M,"Vignette",'QA Log'!L:L,"*Vignette [5] Labor*"),
COUNTIFS('QA Log'!D:D,A108,'QA Log'!M:M,"Vignette",'QA Log'!L:L,"*Vignette [6] PNC pre Discharge*"),
COUNTIFS('QA Log'!D:D,A108,'QA Log'!M:M,"Vignette",'QA Log'!L:L,"*Vignette [7] First ANC Visit*"),
COUNTIFS('QA Log'!D:D,A108,'QA Log'!M:M,"Vignette",'QA Log'!L:L,"*Vignette [8] Birth Spacing/ Family Planning :  FP Counselling*"),
COUNTIFS('QA Log'!D:D,A108,'QA Log'!M:M,"Vignette",'QA Log'!L:L,"*Vignette [9] Birth Spacing: Change FP method to Injectable*"),
COUNTIFS('QA Log'!D:D,A108,'QA Log'!M:M,"Vignette",'QA Log'!L:L,"*Vignette [10] Post Partum Haemorrhage - Atonic Uterus at Health Centre*"),
)
)</f>
        <v/>
      </c>
      <c r="BF108" s="102" t="str">
        <f>IF(A108="","",
  SUM(
    COUNTIFS('QA Log'!D:D,A108,'QA Log'!M:M,"Vignette",'QA Log'!Z:Z,"Approved",'QA Log'!L:L,"*Vignette [5] Labor*"),
    COUNTIFS('QA Log'!D:D,A108,'QA Log'!M:M,"Vignette",'QA Log'!Z:Z,"Approved",'QA Log'!L:L,"*Vignette [6] PNC pre Discharge*"),
    COUNTIFS('QA Log'!D:D,A108,'QA Log'!M:M,"Vignette",'QA Log'!Z:Z,"Approved",'QA Log'!L:L,"*Vignette [7] First ANC Visit*"),
    COUNTIFS('QA Log'!D:D,A108,'QA Log'!M:M,"Vignette",'QA Log'!Z:Z,"Approved",'QA Log'!L:L,"*Vignette [8] Birth Spacing/ Family Planning :  FP Counselling*"),
    COUNTIFS('QA Log'!D:D,A108,'QA Log'!M:M,"Vignette",'QA Log'!Z:Z,"Approved",'QA Log'!L:L,"*Vignette [9] Birth Spacing: Change FP method to Injectable*"),
    COUNTIFS('QA Log'!D:D,A108,'QA Log'!M:M,"Vignette",'QA Log'!Z:Z,"Approved",'QA Log'!L:L,"*Vignette [10] Post Partum Haemorrhage - Atonic Uterus at Health Centre*")
  )
)</f>
        <v/>
      </c>
      <c r="BG108" s="105" t="str">
        <f>IF(A108&lt;&gt;"",COUNTIFS('QA Log'!D:D,A108,'QA Log'!M:M,"Vignette",'QA Log'!L:L,"Vignette [5] Labor",'QA Log'!Z:Z,"Approved"),"")</f>
        <v/>
      </c>
      <c r="BH108" s="105" t="str">
        <f>IF(A108&lt;&gt;"",COUNTIFS('QA Log'!D:D,A108,'QA Log'!M:M,"Vignette",'QA Log'!L:L,"Vignette [6] PNC pre Discharge",'QA Log'!Z:Z,"Approved"),"")</f>
        <v/>
      </c>
      <c r="BI108" s="105" t="str">
        <f>IF(A108&lt;&gt;"",COUNTIFS('QA Log'!D:D,A108,'QA Log'!M:M,"Vignette",'QA Log'!L:L,"Vignette [7] First ANC Visit",'QA Log'!Z:Z,"Approved"),"")</f>
        <v/>
      </c>
      <c r="BJ108" s="105" t="str">
        <f>IF(A108&lt;&gt;"",COUNTIFS('QA Log'!D:D,A108,'QA Log'!M:M,"Vignette",'QA Log'!L:L,"Vignette [8] Birth Spacing/ Family Planning :  FP Counselling",'QA Log'!Z:Z,"Approved"),"")</f>
        <v/>
      </c>
      <c r="BK108" s="105" t="str">
        <f>IF(A108&lt;&gt;"",COUNTIFS('QA Log'!D:D,A108,'QA Log'!M:M,"Vignette",'QA Log'!L:L,"Vignette [9] Birth Spacing: Change FP method to Injectable",'QA Log'!Z:Z,"Approved"),"")</f>
        <v/>
      </c>
      <c r="BL108" s="105" t="str">
        <f>IF(A108&lt;&gt;"",COUNTIFS('QA Log'!D:D,A108,'QA Log'!M:M,"Vignette",'QA Log'!L:L,"Vignette [10] Post Partum Haemorrhage - Atonic Uterus at Health Centre",'QA Log'!Z:Z,"Approved"),"")</f>
        <v/>
      </c>
      <c r="BM108" s="102" t="str">
        <f>IF(A108="","",SUM(
    COUNTIFS('QA Log'!D:D,A108,'QA Log'!M:M,"Vignette",'QA Log'!Z:Z,"Rejected",'QA Log'!L:L,"*Vignette [5] Labor*"),
    COUNTIFS('QA Log'!D:D,A108,'QA Log'!M:M,"Vignette",'QA Log'!Z:Z,"Rejected",'QA Log'!L:L,"*Vignette [6] PNC pre Discharge*"),
    COUNTIFS('QA Log'!D:D,A108,'QA Log'!M:M,"Vignette",'QA Log'!Z:Z,"Rejected",'QA Log'!L:L,"*Vignette [7] First ANC Visit*"),
    COUNTIFS('QA Log'!D:D,A108,'QA Log'!M:M,"Vignette",'QA Log'!Z:Z,"Rejected",'QA Log'!L:L,"*Vignette [8] Birth Spacing/ Family Planning :  FP Counselling*"),
    COUNTIFS('QA Log'!D:D,A108,'QA Log'!M:M,"Vignette",'QA Log'!Z:Z,"Rejected",'QA Log'!L:L,"*Vignette [9] Birth Spacing: Change FP method to Injectable*"),
    COUNTIFS('QA Log'!D:D,A108,'QA Log'!M:M,"Vignette",'QA Log'!Z:Z,"Rejected",'QA Log'!L:L,"*Vignette [10] Post Partum Haemorrhage - Atonic Uterus at Health Centre*")
  )
)</f>
        <v/>
      </c>
      <c r="BN108" s="107" t="str">
        <f t="shared" si="11"/>
        <v/>
      </c>
      <c r="BO108" s="103" t="str">
        <f t="shared" si="12"/>
        <v/>
      </c>
      <c r="BP108" s="102" t="str">
        <f>IF(A108="","",SUM(
COUNTIFS('QA Log'!D:D,A108,'QA Log'!M:M,"Vignette",'QA Log'!L:L,"*Exit Interview 1*"),
COUNTIFS('QA Log'!D:D,A108,'QA Log'!M:M,"Vignette",'QA Log'!L:L,"*Exit Interview 2*"),
)
)</f>
        <v/>
      </c>
      <c r="BQ108" s="102" t="str">
        <f>IF(
  A108="","",
  SUM(
    COUNTIFS('QA Log'!D:D,A108,'QA Log'!M:M,"Vignette",'QA Log'!Z:Z,"Approved",'QA Log'!L:L,"*Exit Interview 1*"),
    COUNTIFS('QA Log'!D:D,A108,'QA Log'!M:M,"Vignette",'QA Log'!Z:Z,"Approved",'QA Log'!L:L,"*Exit Interview 2*")
  )
)</f>
        <v/>
      </c>
      <c r="BR108" s="105" t="str">
        <f>IF(A108&lt;&gt;"",COUNTIFS('QA Log'!D:D,A108,'QA Log'!M:M,"Vignette",'QA Log'!L:L,"Exit Interview 1",'QA Log'!Z:Z,"Approved"),"")</f>
        <v/>
      </c>
      <c r="BS108" s="105" t="str">
        <f>IF(A108&lt;&gt;"",COUNTIFS('QA Log'!D:D,A108,'QA Log'!M:M,"Vignette",'QA Log'!L:L,"Exit Interview 2",'QA Log'!Z:Z,"Approved"),"")</f>
        <v/>
      </c>
      <c r="BT108" s="102" t="str">
        <f>IF(
  A108="","",
  SUM(
    COUNTIFS('QA Log'!D:D,A108,'QA Log'!M:M,"Vignette",'QA Log'!Z:Z,"Rejected",'QA Log'!L:L,"*Exit Interview 1*"),
    COUNTIFS('QA Log'!D:D,A108,'QA Log'!M:M,"Vignette",'QA Log'!Z:Z,"Rejected",'QA Log'!L:L,"*Exit Interview 2*")
  )
)</f>
        <v/>
      </c>
      <c r="BU108" s="107" t="str">
        <f t="shared" si="13"/>
        <v/>
      </c>
      <c r="BV108" s="102" t="str">
        <f t="shared" si="14"/>
        <v/>
      </c>
      <c r="BW108" s="102" t="str">
        <f t="shared" si="15"/>
        <v/>
      </c>
      <c r="BX108" s="102" t="str">
        <f t="shared" si="16"/>
        <v/>
      </c>
      <c r="BY108" s="102" t="str">
        <f t="shared" si="17"/>
        <v/>
      </c>
      <c r="BZ108" s="107" t="str">
        <f t="shared" si="18"/>
        <v/>
      </c>
      <c r="CA108" s="108" t="str">
        <f t="shared" si="19"/>
        <v/>
      </c>
      <c r="CB108" s="108" t="str">
        <f t="shared" si="20"/>
        <v/>
      </c>
      <c r="CC108" s="109" t="str">
        <f t="shared" si="21"/>
        <v/>
      </c>
      <c r="CD108" s="108" t="str">
        <f t="shared" si="22"/>
        <v/>
      </c>
      <c r="CE108" s="108" t="str">
        <f t="shared" si="23"/>
        <v/>
      </c>
      <c r="CF108" s="109" t="str">
        <f t="shared" si="24"/>
        <v/>
      </c>
      <c r="CG108" s="110" t="str">
        <f t="shared" si="25"/>
        <v/>
      </c>
      <c r="CH108" s="111"/>
    </row>
    <row r="109" spans="1:86" ht="12.75">
      <c r="A109" s="101"/>
      <c r="B109" s="102" t="e">
        <f t="array" aca="1" ref="B109" ca="1">_xludf.XLOOKUP(A109,'QA Log'!D:D,'QA Log'!E:E,"")</f>
        <v>#NAME?</v>
      </c>
      <c r="C109" s="102" t="e">
        <f t="array" aca="1" ref="C109" ca="1">_xludf.XLOOKUP(A109,'QA Log'!D:D,'QA Log'!F:F,"")</f>
        <v>#NAME?</v>
      </c>
      <c r="D109" s="102" t="e">
        <f t="array" aca="1" ref="D109" ca="1">_xludf.XLOOKUP(A109,'QA Log'!D:D,'QA Log'!H:H,"")</f>
        <v>#NAME?</v>
      </c>
      <c r="E109" s="102" t="e">
        <f t="array" aca="1" ref="E109" ca="1">_xludf.XLOOKUP(A109,'QA Log'!D:D,'QA Log'!G:G,"")</f>
        <v>#NAME?</v>
      </c>
      <c r="F109" s="103"/>
      <c r="G109" s="104"/>
      <c r="H109" s="104"/>
      <c r="I109" s="103" t="str">
        <f t="shared" si="0"/>
        <v/>
      </c>
      <c r="J109" s="102" t="str">
        <f>IF(A109="","",SUM(
COUNTIFS('QA Log'!D:D,A109,'QA Log'!M:M,"QQC",'QA Log'!L:L,"*1. General Management*"),
COUNTIFS('QA Log'!D:D,A109,'QA Log'!M:M,"QQC",'QA Log'!L:L,"*3. Curative Consultation (OPD)*"),
COUNTIFS('QA Log'!D:D,A109,'QA Log'!M:M,"QQC",'QA Log'!L:L,"*5. Laboratory*"),
COUNTIFS('QA Log'!D:D,A109,'QA Log'!M:M,"QQC",'QA Log'!L:L,"*6. Essential Medicine Management*"),
COUNTIFS('QA Log'!D:D,A109,'QA Log'!M:M,"QQC",'QA Log'!L:L,"*7. Tracer Medicine*"),
COUNTIFS('QA Log'!D:D,A109,'QA Log'!M:M,"QQC",'QA Log'!L:L,"*11. Additional Questions*")))</f>
        <v/>
      </c>
      <c r="K109" s="102" t="str">
        <f>IF(A109="","",SUM(
COUNTIFS('QA Log'!D:D,A109,'QA Log'!M:M,"QQC",'QA Log'!Z:Z,"Approved",'QA Log'!L:L,"*1. General Management*"),
COUNTIFS('QA Log'!D:D,A109,'QA Log'!M:M,"QQC",'QA Log'!Z:Z,"Approved",'QA Log'!L:L,"*3. Curative Consultation (OPD)*"),
COUNTIFS('QA Log'!D:D,A109,'QA Log'!M:M,"QQC",'QA Log'!Z:Z,"Approved",'QA Log'!L:L,"*5. Laboratory*"),
COUNTIFS('QA Log'!D:D,A109,'QA Log'!M:M,"QQC",'QA Log'!Z:Z,"Approved",'QA Log'!L:L,"*6. Essential Medicine Management*"),
COUNTIFS('QA Log'!D:D,A109,'QA Log'!M:M,"QQC",'QA Log'!Z:Z,"Approved",'QA Log'!L:L,"*7. Tracer Medicine*"),
COUNTIFS('QA Log'!D:D,A109,'QA Log'!M:M,"QQC",'QA Log'!Z:Z,"Approved",'QA Log'!L:L,"*11. Additional Questions*")))</f>
        <v/>
      </c>
      <c r="L109" s="105" t="str">
        <f>IF(A109&lt;&gt;"",COUNTIFS('QA Log'!D:D,A109,'QA Log'!M:M,"QQC",'QA Log'!L:L,"1. General Management",'QA Log'!Z:Z,"Approved"),"")</f>
        <v/>
      </c>
      <c r="M109" s="105" t="str">
        <f>IF(A109&lt;&gt;"",COUNTIFS('QA Log'!D:D,A109,'QA Log'!M:M,"QQC",'QA Log'!L:L,"3. Curative Consultation (OPD)",'QA Log'!Z:Z,"Approved"),"")</f>
        <v/>
      </c>
      <c r="N109" s="105" t="str">
        <f>IF(A109&lt;&gt;"",COUNTIFS('QA Log'!D:D,A109,'QA Log'!M:M,"QQC",'QA Log'!L:L,"5. Laboratory",'QA Log'!Z:Z,"Approved"),"")</f>
        <v/>
      </c>
      <c r="O109" s="105" t="str">
        <f>IF(A109&lt;&gt;"",COUNTIFS('QA Log'!D:D,A109,'QA Log'!M:M,"QQC",'QA Log'!L:L,"6. Essential Medicine Management",'QA Log'!Z:Z,"Approved"),"")</f>
        <v/>
      </c>
      <c r="P109" s="105" t="str">
        <f>IF(A109&lt;&gt;"",COUNTIFS('QA Log'!D:D,A109,'QA Log'!M:M,"QQC",'QA Log'!L:L,"7. Tracer Medicine",'QA Log'!Z:Z,"Approved"),"")</f>
        <v/>
      </c>
      <c r="Q109" s="105" t="str">
        <f>IF(A109&lt;&gt;"",COUNTIFS('QA Log'!D:D,A109,'QA Log'!M:M,"QQC",'QA Log'!L:L,"11. Additional Questions",'QA Log'!Z:Z,"Approved"),"")</f>
        <v/>
      </c>
      <c r="R109" s="102" t="str">
        <f>IF(A109="","",SUM(
COUNTIFS('QA Log'!D:D,A109,'QA Log'!M:M,"QQC",'QA Log'!Z:Z,"Rejected",'QA Log'!L:L,"*8. Maternity*"),
COUNTIFS('QA Log'!D:D,A109,'QA Log'!M:M,"QQC",'QA Log'!Z:Z,"Rejected",'QA Log'!L:L,"*EPI*"),
COUNTIFS('QA Log'!D:D,A109,'QA Log'!M:M,"QQC",'QA Log'!Z:Z,"Rejected",'QA Log'!L:L,"*10. Antenatal Care (ANC)*"),
COUNTIFS('QA Log'!D:D,A109,'QA Log'!M:M,"QQC",'QA Log'!Z:Z,"Rejected",'QA Log'!L:L,"*2. Hygiene and Sterilization*"),
COUNTIFS('QA Log'!D:D,A109,'QA Log'!M:M,"QQC",'QA Log'!Z:Z,"Rejected",'QA Log'!L:L,"*Family Planning*")))</f>
        <v/>
      </c>
      <c r="S109" s="106" t="str">
        <f t="shared" si="1"/>
        <v/>
      </c>
      <c r="T109" s="102" t="str">
        <f t="shared" si="2"/>
        <v/>
      </c>
      <c r="U109" s="102" t="str">
        <f>IF(A109="","",
SUM(
COUNTIFS('QA Log'!D:D,A109,'QA Log'!M:M,"QQC",'QA Log'!L:L,"*8. Maternity*"),
COUNTIFS('QA Log'!D:D,A109,'QA Log'!M:M,"QQC",'QA Log'!L:L,"*9. EPI and Pre-school Consultation*"),
COUNTIFS('QA Log'!D:D,A109,'QA Log'!M:M,"QQC",'QA Log'!L:L,"*10. Antenatal Care (ANC)*"),
COUNTIFS('QA Log'!D:D,A109,'QA Log'!M:M,"QQC",'QA Log'!L:L,"*2. Hygiene and Sterilization*"),
COUNTIFS('QA Log'!D:D,A109,'QA Log'!M:M,"QQC",'QA Log'!L:L,"*4. Family Planning*")
))</f>
        <v/>
      </c>
      <c r="V109" s="102" t="str">
        <f>IF(A109="","",
SUM(
COUNTIFS('QA Log'!D:D,A109,'QA Log'!M:M,"QQC",'QA Log'!Z:Z,"Approved",'QA Log'!L:L,"*8. Maternity*"),
COUNTIFS('QA Log'!D:D,A109,'QA Log'!M:M,"QQC",'QA Log'!Z:Z,"Approved",'QA Log'!L:L,"*9. EPI and Pre-school Consultation*"),
COUNTIFS('QA Log'!D:D,A109,'QA Log'!M:M,"QQC",'QA Log'!Z:Z,"Approved",'QA Log'!L:L,"*10. Antenatal Care (ANC)*"),
COUNTIFS('QA Log'!D:D,A109,'QA Log'!M:M,"QQC",'QA Log'!Z:Z,"Approved",'QA Log'!L:L,"*2. Hygiene and Sterilization*"),
COUNTIFS('QA Log'!D:D,A109,'QA Log'!M:M,"QQC",'QA Log'!Z:Z,"Approved",'QA Log'!L:L,"*4. Family Planning*")
))</f>
        <v/>
      </c>
      <c r="W109" s="105" t="str">
        <f>IF(A109&lt;&gt;"",COUNTIFS('QA Log'!D:D,A109,'QA Log'!M:M,"QQC",'QA Log'!L:L,"8. Maternity",'QA Log'!Z:Z,"Approved"),"")</f>
        <v/>
      </c>
      <c r="X109" s="105" t="str">
        <f>IF(A109&lt;&gt;"",COUNTIFS('QA Log'!D:D,A109,'QA Log'!M:M,"QQC",'QA Log'!L:L,"9. EPI and Pre-school Consultation",'QA Log'!Z:Z,"Approved"),"")</f>
        <v/>
      </c>
      <c r="Y109" s="105" t="str">
        <f>IF(A109&lt;&gt;"",COUNTIFS('QA Log'!D:D,A109,'QA Log'!M:M,"QQC",'QA Log'!L:L,"10. Antenatal Care (ANC)",'QA Log'!Z:Z,"Approved"),"")</f>
        <v/>
      </c>
      <c r="Z109" s="105" t="str">
        <f>IF(A109&lt;&gt;"",COUNTIFS('QA Log'!D:D,A109,'QA Log'!M:M,"QQC",'QA Log'!L:L,"2. Hygiene and Sterilization",'QA Log'!Z:Z,"Approved"),"")</f>
        <v/>
      </c>
      <c r="AA109" s="105" t="str">
        <f>IF(A109&lt;&gt;"",COUNTIFS('QA Log'!D:D,A109,'QA Log'!M:M,"QQC",'QA Log'!L:L,"4. Family Planning",'QA Log'!Z:Z,"Approved"),"")</f>
        <v/>
      </c>
      <c r="AB109" s="102" t="str">
        <f>IF(A109="","",
SUM(
COUNTIFS('QA Log'!D:D,A109,'QA Log'!M:M,"QQC",'QA Log'!Z:Z,"Rejected",'QA Log'!L:L,"*8. Maternity*"),
COUNTIFS('QA Log'!D:D,A109,'QA Log'!M:M,"QQC",'QA Log'!Z:Z,"Rejected",'QA Log'!L:L,"*9. EPI and Pre-school Consultation*"),
COUNTIFS('QA Log'!D:D,A109,'QA Log'!M:M,"QQC",'QA Log'!Z:Z,"Rejected",'QA Log'!L:L,"*10. Antenatal Care (ANC)*"),
COUNTIFS('QA Log'!D:D,A109,'QA Log'!M:M,"QQC",'QA Log'!Z:Z,"Rejected",'QA Log'!L:L,"*2. Hygiene and Sterilization*"),
COUNTIFS('QA Log'!D:D,A109,'QA Log'!M:M,"QQC",'QA Log'!Z:Z,"Rejected",'QA Log'!L:L,"*4. Family Planning*")
))</f>
        <v/>
      </c>
      <c r="AC109" s="102" t="str">
        <f t="shared" si="3"/>
        <v/>
      </c>
      <c r="AD109" s="103" t="str">
        <f t="shared" si="4"/>
        <v/>
      </c>
      <c r="AE109" s="102" t="str">
        <f>IF(A109="","",
SUM(
COUNTIFS('QA Log'!D:D,A109,'QA Log'!M:M,"Data Verification",'QA Log'!L:L,"*Medicine (section 2)*"),
COUNTIFS('QA Log'!D:D,A109,'QA Log'!M:M,"Data Verification",'QA Log'!L:L,"*Lab Testing Availability*"),
COUNTIFS('QA Log'!D:D,A109,'QA Log'!M:M,"Data Verification",'QA Log'!L:L,"*Other than P4P (section 6)*"),
COUNTIFS('QA Log'!D:D,A109,'QA Log'!M:M,"Data Verification",'QA Log'!L:L,"*Hospital Governance*")
))</f>
        <v/>
      </c>
      <c r="AF109" s="102" t="str">
        <f>IF(A109="","",
SUM(
COUNTIFS('QA Log'!D:D,A109,'QA Log'!M:M,"Data Verification",'QA Log'!Z:Z,"Approved",'QA Log'!L:L,"*Medicine (section 2)*"),
COUNTIFS('QA Log'!D:D,A109,'QA Log'!M:M,"Data Verification",'QA Log'!Z:Z,"Approved",'QA Log'!L:L,"*Lab Testing Availability*"),
COUNTIFS('QA Log'!D:D,A109,'QA Log'!M:M,"Data Verification",'QA Log'!Z:Z,"Approved",'QA Log'!L:L,"*Other than P4P (section 6)*"),
COUNTIFS('QA Log'!D:D,A109,'QA Log'!M:M,"Data Verification",'QA Log'!Z:Z,"Approved",'QA Log'!L:L,"*Hospital Governance*")
))</f>
        <v/>
      </c>
      <c r="AG109" s="105" t="str">
        <f>IF(A109&lt;&gt;"",COUNTIFS('QA Log'!D:D,A109,'QA Log'!M:M,"Data Verification",'QA Log'!L:L,"Medicine (section 2)",'QA Log'!Z:Z,"Approved"),"")</f>
        <v/>
      </c>
      <c r="AH109" s="105" t="str">
        <f>IF(A109&lt;&gt;"",COUNTIFS('QA Log'!D:D,A109,'QA Log'!M:M,"Data Verification",'QA Log'!L:L,"Lab Testing Availability",'QA Log'!Z:Z,"Approved"),"")</f>
        <v/>
      </c>
      <c r="AI109" s="105" t="str">
        <f>IF(A109&lt;&gt;"",COUNTIFS('QA Log'!D:D,A109,'QA Log'!M:M,"Data Verification",'QA Log'!L:L,"Other than P4P (section 6)",'QA Log'!Z:Z,"Approved"),"")</f>
        <v/>
      </c>
      <c r="AJ109" s="105" t="str">
        <f>IF(A109&lt;&gt;"",COUNTIFS('QA Log'!D:D,A109,'QA Log'!M:M,"Data Verification",'QA Log'!L:L,"Hospital Governance",'QA Log'!Z:Z,"Approved"),"")</f>
        <v/>
      </c>
      <c r="AK109" s="102" t="str">
        <f>IF(A109="","",
SUM(
COUNTIFS('QA Log'!D:D,A109,'QA Log'!M:M,"Data Verification",'QA Log'!Z:Z,"Rejected",'QA Log'!L:L,"*Medicine (section 2)*"),
COUNTIFS('QA Log'!D:D,A109,'QA Log'!M:M,"Data Verification",'QA Log'!Z:Z,"Rejected",'QA Log'!L:L,"*Lab Testing Availability*"),
COUNTIFS('QA Log'!D:D,A109,'QA Log'!M:M,"Data Verification",'QA Log'!Z:Z,"Rejected",'QA Log'!L:L,"*Other than P4P (section 6)*"),
COUNTIFS('QA Log'!D:D,A109,'QA Log'!M:M,"Data Verification",'QA Log'!Z:Z,"Rejected",'QA Log'!L:L,"*Hospital Governance*")
))</f>
        <v/>
      </c>
      <c r="AL109" s="106" t="str">
        <f t="shared" si="5"/>
        <v/>
      </c>
      <c r="AM109" s="102" t="str">
        <f t="shared" si="6"/>
        <v/>
      </c>
      <c r="AN109" s="102" t="str">
        <f>IF(A109="","",
SUM(
COUNTIFS('QA Log'!D:D,A109,'QA Log'!M:M,"Data Verification",'QA Log'!L:L,"*Personnel (section 1)*"),
COUNTIFS('QA Log'!D:D,A109,'QA Log'!M:M,"Data Verification",'QA Log'!L:L,"*Consumable (section 3)*"),
COUNTIFS('QA Log'!D:D,A109,'QA Log'!M:M,"Data Verification",'QA Log'!L:L,"*Equipments (section 4)*")
))</f>
        <v/>
      </c>
      <c r="AO109" s="102" t="str">
        <f>IF(A109="","",
SUM(
COUNTIFS('QA Log'!D:D,A109,'QA Log'!M:M,"Data Verification",'QA Log'!Z:Z,"Approved",'QA Log'!L:L,"*Personnel (section 1)*"),
COUNTIFS('QA Log'!D:D,A109,'QA Log'!M:M,"Data Verification",'QA Log'!Z:Z,"Approved",'QA Log'!L:L,"*Consumable (section 3)*"),
COUNTIFS('QA Log'!D:D,A109,'QA Log'!M:M,"Data Verification",'QA Log'!Z:Z,"Approved",'QA Log'!L:L,"*Equipments (section 4)*")
))</f>
        <v/>
      </c>
      <c r="AP109" s="105" t="str">
        <f>IF(A109&lt;&gt;"",COUNTIFS('QA Log'!D:D,A109,'QA Log'!M:M,"Data Verification",'QA Log'!L:L,"Personnel (section 1)",'QA Log'!Z:Z,"Approved"),"")</f>
        <v/>
      </c>
      <c r="AQ109" s="105" t="str">
        <f>IF(A109&lt;&gt;"",COUNTIFS('QA Log'!D:D,A109,'QA Log'!M:M,"Data Verification",'QA Log'!L:L,"Consumable (section 3)",'QA Log'!Z:Z,"Approved"),"")</f>
        <v/>
      </c>
      <c r="AR109" s="105" t="str">
        <f>IF(A109&lt;&gt;"",COUNTIFS('QA Log'!D:D,A109,'QA Log'!M:M,"Data Verification",'QA Log'!L:L,"Equipments (section 4)",'QA Log'!Z:Z,"Approved"),"")</f>
        <v/>
      </c>
      <c r="AS109" s="102" t="str">
        <f>IF(A109="","",
SUM(
COUNTIFS('QA Log'!D:D,A109,'QA Log'!M:M,"Data Verification",'QA Log'!Z:Z,"Rejected",'QA Log'!L:L,"*Personnel (section 1)*"),
COUNTIFS('QA Log'!D:D,A109,'QA Log'!M:M,"Data Verification",'QA Log'!Z:Z,"Rejected",'QA Log'!L:L,"*Consumable (section 3)*"),
COUNTIFS('QA Log'!D:D,A109,'QA Log'!M:M,"Data Verification",'QA Log'!Z:Z,"Rejected",'QA Log'!L:L,"*Equipments (section 4)*")
))</f>
        <v/>
      </c>
      <c r="AT109" s="102" t="str">
        <f t="shared" si="7"/>
        <v/>
      </c>
      <c r="AU109" s="103" t="str">
        <f t="shared" si="8"/>
        <v/>
      </c>
      <c r="AV109" s="102" t="str">
        <f>IF(A109="","",SUM(
COUNTIFS('QA Log'!D:D,A109,'QA Log'!M:M,"Vignette",'QA Log'!L:L,"*Vignette [1] Respiratory Infection: Pneumonia*"),
COUNTIFS('QA Log'!D:D,A109,'QA Log'!M:M,"Vignette",'QA Log'!L:L,"*Vignette [2]: Diarrhea with Cat B dehydration*"),
COUNTIFS('QA Log'!D:D,A109,'QA Log'!M:M,"Vignette",'QA Log'!L:L,"*Vignette [3] Growth Monitoring and Promotion*"),
COUNTIFS('QA Log'!D:D,A109,'QA Log'!M:M,"Vignette",'QA Log'!L:L,"*Vignette [4]: The management of presumptive TB patient*")
)
)</f>
        <v/>
      </c>
      <c r="AW109" s="102" t="str">
        <f>IF(
  A109="","",
  SUM(
    COUNTIFS('QA Log'!D:D,A109,'QA Log'!M:M,"Vignette",'QA Log'!Z:Z,"Approved",'QA Log'!L:L,"*Vignette [1] Respiratory Infection: Pneumonia*"),
    COUNTIFS('QA Log'!D:D,A109,'QA Log'!M:M,"Vignette",'QA Log'!Z:Z,"Approved",'QA Log'!L:L,"*Vignette [2]: Diarrhea with Cat B dehydration*"),
    COUNTIFS('QA Log'!D:D,A109,'QA Log'!M:M,"Vignette",'QA Log'!Z:Z,"Approved",'QA Log'!L:L,"*Vignette [3] Growth Monitoring and Promotion*"),
    COUNTIFS('QA Log'!D:D,A109,'QA Log'!M:M,"Vignette",'QA Log'!Z:Z,"Approved",'QA Log'!L:L,"*Vignette [4]: The management of presumptive TB patient*")
  )
)</f>
        <v/>
      </c>
      <c r="AX109" s="105" t="str">
        <f>IF(A109&lt;&gt;"",COUNTIFS('QA Log'!D:D,A109,'QA Log'!M:M,"Vignette",'QA Log'!L:L,"Vignette [1] Respiratory Infection: Pneumonia",'QA Log'!Z:Z,"Approved"),"")</f>
        <v/>
      </c>
      <c r="AY109" s="105" t="str">
        <f>IF(A109&lt;&gt;"",COUNTIFS('QA Log'!D:D,A109,'QA Log'!M:M,"Vignette",'QA Log'!L:L,"Vignette [2]: Diarrhea with Cat B dehydration",'QA Log'!Z:Z,"Approved"),"")</f>
        <v/>
      </c>
      <c r="AZ109" s="105" t="str">
        <f>IF(A109&lt;&gt;"",COUNTIFS('QA Log'!D:D,A109,'QA Log'!M:M,"Vignette",'QA Log'!L:L,"Vignette [3] Growth Monitoring and Promotion",'QA Log'!Z:Z,"Approved"),"")</f>
        <v/>
      </c>
      <c r="BA109" s="105" t="str">
        <f>IF(A109&lt;&gt;"",COUNTIFS('QA Log'!D:D,A109,'QA Log'!M:M,"Vignette",'QA Log'!L:L,"Vignette [4]: The management of presumptive TB patient",'QA Log'!Z:Z,"Approved"),"")</f>
        <v/>
      </c>
      <c r="BB109" s="102" t="str">
        <f>IF(A109="","",
  SUM(
    COUNTIFS('QA Log'!D:D,A109,'QA Log'!M:M,"Vignette",'QA Log'!Z:Z,"Rejected",'QA Log'!L:L,"*Vignette [1] Respiratory Infection: Pneumonia*"),
    COUNTIFS('QA Log'!D:D,A109,'QA Log'!M:M,"Vignette",'QA Log'!Z:Z,"Rejected",'QA Log'!L:L,"*Vignette [2]: Diarrhea with Cat B dehydration*"),
    COUNTIFS('QA Log'!D:D,A109,'QA Log'!M:M,"Vignette",'QA Log'!Z:Z,"Rejected",'QA Log'!L:L,"*Vignette [3] Growth Monitoring and Promotion*"),
    COUNTIFS('QA Log'!D:D,A109,'QA Log'!M:M,"Vignette",'QA Log'!Z:Z,"Rejected",'QA Log'!L:L,"*Vignette [4]: The management of presumptive TB patient*")
  )
)</f>
        <v/>
      </c>
      <c r="BC109" s="107" t="str">
        <f t="shared" si="9"/>
        <v/>
      </c>
      <c r="BD109" s="103" t="str">
        <f t="shared" si="10"/>
        <v/>
      </c>
      <c r="BE109" s="102" t="str">
        <f>IF(A109="","",SUM(
COUNTIFS('QA Log'!D:D,A109,'QA Log'!M:M,"Vignette",'QA Log'!L:L,"*Vignette [5] Labor*"),
COUNTIFS('QA Log'!D:D,A109,'QA Log'!M:M,"Vignette",'QA Log'!L:L,"*Vignette [6] PNC pre Discharge*"),
COUNTIFS('QA Log'!D:D,A109,'QA Log'!M:M,"Vignette",'QA Log'!L:L,"*Vignette [7] First ANC Visit*"),
COUNTIFS('QA Log'!D:D,A109,'QA Log'!M:M,"Vignette",'QA Log'!L:L,"*Vignette [8] Birth Spacing/ Family Planning :  FP Counselling*"),
COUNTIFS('QA Log'!D:D,A109,'QA Log'!M:M,"Vignette",'QA Log'!L:L,"*Vignette [9] Birth Spacing: Change FP method to Injectable*"),
COUNTIFS('QA Log'!D:D,A109,'QA Log'!M:M,"Vignette",'QA Log'!L:L,"*Vignette [10] Post Partum Haemorrhage - Atonic Uterus at Health Centre*"),
)
)</f>
        <v/>
      </c>
      <c r="BF109" s="102" t="str">
        <f>IF(A109="","",
  SUM(
    COUNTIFS('QA Log'!D:D,A109,'QA Log'!M:M,"Vignette",'QA Log'!Z:Z,"Approved",'QA Log'!L:L,"*Vignette [5] Labor*"),
    COUNTIFS('QA Log'!D:D,A109,'QA Log'!M:M,"Vignette",'QA Log'!Z:Z,"Approved",'QA Log'!L:L,"*Vignette [6] PNC pre Discharge*"),
    COUNTIFS('QA Log'!D:D,A109,'QA Log'!M:M,"Vignette",'QA Log'!Z:Z,"Approved",'QA Log'!L:L,"*Vignette [7] First ANC Visit*"),
    COUNTIFS('QA Log'!D:D,A109,'QA Log'!M:M,"Vignette",'QA Log'!Z:Z,"Approved",'QA Log'!L:L,"*Vignette [8] Birth Spacing/ Family Planning :  FP Counselling*"),
    COUNTIFS('QA Log'!D:D,A109,'QA Log'!M:M,"Vignette",'QA Log'!Z:Z,"Approved",'QA Log'!L:L,"*Vignette [9] Birth Spacing: Change FP method to Injectable*"),
    COUNTIFS('QA Log'!D:D,A109,'QA Log'!M:M,"Vignette",'QA Log'!Z:Z,"Approved",'QA Log'!L:L,"*Vignette [10] Post Partum Haemorrhage - Atonic Uterus at Health Centre*")
  )
)</f>
        <v/>
      </c>
      <c r="BG109" s="105" t="str">
        <f>IF(A109&lt;&gt;"",COUNTIFS('QA Log'!D:D,A109,'QA Log'!M:M,"Vignette",'QA Log'!L:L,"Vignette [5] Labor",'QA Log'!Z:Z,"Approved"),"")</f>
        <v/>
      </c>
      <c r="BH109" s="105" t="str">
        <f>IF(A109&lt;&gt;"",COUNTIFS('QA Log'!D:D,A109,'QA Log'!M:M,"Vignette",'QA Log'!L:L,"Vignette [6] PNC pre Discharge",'QA Log'!Z:Z,"Approved"),"")</f>
        <v/>
      </c>
      <c r="BI109" s="105" t="str">
        <f>IF(A109&lt;&gt;"",COUNTIFS('QA Log'!D:D,A109,'QA Log'!M:M,"Vignette",'QA Log'!L:L,"Vignette [7] First ANC Visit",'QA Log'!Z:Z,"Approved"),"")</f>
        <v/>
      </c>
      <c r="BJ109" s="105" t="str">
        <f>IF(A109&lt;&gt;"",COUNTIFS('QA Log'!D:D,A109,'QA Log'!M:M,"Vignette",'QA Log'!L:L,"Vignette [8] Birth Spacing/ Family Planning :  FP Counselling",'QA Log'!Z:Z,"Approved"),"")</f>
        <v/>
      </c>
      <c r="BK109" s="105" t="str">
        <f>IF(A109&lt;&gt;"",COUNTIFS('QA Log'!D:D,A109,'QA Log'!M:M,"Vignette",'QA Log'!L:L,"Vignette [9] Birth Spacing: Change FP method to Injectable",'QA Log'!Z:Z,"Approved"),"")</f>
        <v/>
      </c>
      <c r="BL109" s="105" t="str">
        <f>IF(A109&lt;&gt;"",COUNTIFS('QA Log'!D:D,A109,'QA Log'!M:M,"Vignette",'QA Log'!L:L,"Vignette [10] Post Partum Haemorrhage - Atonic Uterus at Health Centre",'QA Log'!Z:Z,"Approved"),"")</f>
        <v/>
      </c>
      <c r="BM109" s="102" t="str">
        <f>IF(A109="","",SUM(
    COUNTIFS('QA Log'!D:D,A109,'QA Log'!M:M,"Vignette",'QA Log'!Z:Z,"Rejected",'QA Log'!L:L,"*Vignette [5] Labor*"),
    COUNTIFS('QA Log'!D:D,A109,'QA Log'!M:M,"Vignette",'QA Log'!Z:Z,"Rejected",'QA Log'!L:L,"*Vignette [6] PNC pre Discharge*"),
    COUNTIFS('QA Log'!D:D,A109,'QA Log'!M:M,"Vignette",'QA Log'!Z:Z,"Rejected",'QA Log'!L:L,"*Vignette [7] First ANC Visit*"),
    COUNTIFS('QA Log'!D:D,A109,'QA Log'!M:M,"Vignette",'QA Log'!Z:Z,"Rejected",'QA Log'!L:L,"*Vignette [8] Birth Spacing/ Family Planning :  FP Counselling*"),
    COUNTIFS('QA Log'!D:D,A109,'QA Log'!M:M,"Vignette",'QA Log'!Z:Z,"Rejected",'QA Log'!L:L,"*Vignette [9] Birth Spacing: Change FP method to Injectable*"),
    COUNTIFS('QA Log'!D:D,A109,'QA Log'!M:M,"Vignette",'QA Log'!Z:Z,"Rejected",'QA Log'!L:L,"*Vignette [10] Post Partum Haemorrhage - Atonic Uterus at Health Centre*")
  )
)</f>
        <v/>
      </c>
      <c r="BN109" s="107" t="str">
        <f t="shared" si="11"/>
        <v/>
      </c>
      <c r="BO109" s="103" t="str">
        <f t="shared" si="12"/>
        <v/>
      </c>
      <c r="BP109" s="102" t="str">
        <f>IF(A109="","",SUM(
COUNTIFS('QA Log'!D:D,A109,'QA Log'!M:M,"Vignette",'QA Log'!L:L,"*Exit Interview 1*"),
COUNTIFS('QA Log'!D:D,A109,'QA Log'!M:M,"Vignette",'QA Log'!L:L,"*Exit Interview 2*"),
)
)</f>
        <v/>
      </c>
      <c r="BQ109" s="102" t="str">
        <f>IF(
  A109="","",
  SUM(
    COUNTIFS('QA Log'!D:D,A109,'QA Log'!M:M,"Vignette",'QA Log'!Z:Z,"Approved",'QA Log'!L:L,"*Exit Interview 1*"),
    COUNTIFS('QA Log'!D:D,A109,'QA Log'!M:M,"Vignette",'QA Log'!Z:Z,"Approved",'QA Log'!L:L,"*Exit Interview 2*")
  )
)</f>
        <v/>
      </c>
      <c r="BR109" s="105" t="str">
        <f>IF(A109&lt;&gt;"",COUNTIFS('QA Log'!D:D,A109,'QA Log'!M:M,"Vignette",'QA Log'!L:L,"Exit Interview 1",'QA Log'!Z:Z,"Approved"),"")</f>
        <v/>
      </c>
      <c r="BS109" s="105" t="str">
        <f>IF(A109&lt;&gt;"",COUNTIFS('QA Log'!D:D,A109,'QA Log'!M:M,"Vignette",'QA Log'!L:L,"Exit Interview 2",'QA Log'!Z:Z,"Approved"),"")</f>
        <v/>
      </c>
      <c r="BT109" s="102" t="str">
        <f>IF(
  A109="","",
  SUM(
    COUNTIFS('QA Log'!D:D,A109,'QA Log'!M:M,"Vignette",'QA Log'!Z:Z,"Rejected",'QA Log'!L:L,"*Exit Interview 1*"),
    COUNTIFS('QA Log'!D:D,A109,'QA Log'!M:M,"Vignette",'QA Log'!Z:Z,"Rejected",'QA Log'!L:L,"*Exit Interview 2*")
  )
)</f>
        <v/>
      </c>
      <c r="BU109" s="107" t="str">
        <f t="shared" si="13"/>
        <v/>
      </c>
      <c r="BV109" s="102" t="str">
        <f t="shared" si="14"/>
        <v/>
      </c>
      <c r="BW109" s="102" t="str">
        <f t="shared" si="15"/>
        <v/>
      </c>
      <c r="BX109" s="102" t="str">
        <f t="shared" si="16"/>
        <v/>
      </c>
      <c r="BY109" s="102" t="str">
        <f t="shared" si="17"/>
        <v/>
      </c>
      <c r="BZ109" s="107" t="str">
        <f t="shared" si="18"/>
        <v/>
      </c>
      <c r="CA109" s="108" t="str">
        <f t="shared" si="19"/>
        <v/>
      </c>
      <c r="CB109" s="108" t="str">
        <f t="shared" si="20"/>
        <v/>
      </c>
      <c r="CC109" s="109" t="str">
        <f t="shared" si="21"/>
        <v/>
      </c>
      <c r="CD109" s="108" t="str">
        <f t="shared" si="22"/>
        <v/>
      </c>
      <c r="CE109" s="108" t="str">
        <f t="shared" si="23"/>
        <v/>
      </c>
      <c r="CF109" s="109" t="str">
        <f t="shared" si="24"/>
        <v/>
      </c>
      <c r="CG109" s="110" t="str">
        <f t="shared" si="25"/>
        <v/>
      </c>
      <c r="CH109" s="111"/>
    </row>
    <row r="110" spans="1:86" ht="12.75">
      <c r="A110" s="101"/>
      <c r="B110" s="102" t="e">
        <f t="array" aca="1" ref="B110" ca="1">_xludf.XLOOKUP(A110,'QA Log'!D:D,'QA Log'!E:E,"")</f>
        <v>#NAME?</v>
      </c>
      <c r="C110" s="102" t="e">
        <f t="array" aca="1" ref="C110" ca="1">_xludf.XLOOKUP(A110,'QA Log'!D:D,'QA Log'!F:F,"")</f>
        <v>#NAME?</v>
      </c>
      <c r="D110" s="102" t="e">
        <f t="array" aca="1" ref="D110" ca="1">_xludf.XLOOKUP(A110,'QA Log'!D:D,'QA Log'!H:H,"")</f>
        <v>#NAME?</v>
      </c>
      <c r="E110" s="102" t="e">
        <f t="array" aca="1" ref="E110" ca="1">_xludf.XLOOKUP(A110,'QA Log'!D:D,'QA Log'!G:G,"")</f>
        <v>#NAME?</v>
      </c>
      <c r="F110" s="103"/>
      <c r="G110" s="104"/>
      <c r="H110" s="104"/>
      <c r="I110" s="103" t="str">
        <f t="shared" si="0"/>
        <v/>
      </c>
      <c r="J110" s="102" t="str">
        <f>IF(A110="","",SUM(
COUNTIFS('QA Log'!D:D,A110,'QA Log'!M:M,"QQC",'QA Log'!L:L,"*1. General Management*"),
COUNTIFS('QA Log'!D:D,A110,'QA Log'!M:M,"QQC",'QA Log'!L:L,"*3. Curative Consultation (OPD)*"),
COUNTIFS('QA Log'!D:D,A110,'QA Log'!M:M,"QQC",'QA Log'!L:L,"*5. Laboratory*"),
COUNTIFS('QA Log'!D:D,A110,'QA Log'!M:M,"QQC",'QA Log'!L:L,"*6. Essential Medicine Management*"),
COUNTIFS('QA Log'!D:D,A110,'QA Log'!M:M,"QQC",'QA Log'!L:L,"*7. Tracer Medicine*"),
COUNTIFS('QA Log'!D:D,A110,'QA Log'!M:M,"QQC",'QA Log'!L:L,"*11. Additional Questions*")))</f>
        <v/>
      </c>
      <c r="K110" s="102" t="str">
        <f>IF(A110="","",SUM(
COUNTIFS('QA Log'!D:D,A110,'QA Log'!M:M,"QQC",'QA Log'!Z:Z,"Approved",'QA Log'!L:L,"*1. General Management*"),
COUNTIFS('QA Log'!D:D,A110,'QA Log'!M:M,"QQC",'QA Log'!Z:Z,"Approved",'QA Log'!L:L,"*3. Curative Consultation (OPD)*"),
COUNTIFS('QA Log'!D:D,A110,'QA Log'!M:M,"QQC",'QA Log'!Z:Z,"Approved",'QA Log'!L:L,"*5. Laboratory*"),
COUNTIFS('QA Log'!D:D,A110,'QA Log'!M:M,"QQC",'QA Log'!Z:Z,"Approved",'QA Log'!L:L,"*6. Essential Medicine Management*"),
COUNTIFS('QA Log'!D:D,A110,'QA Log'!M:M,"QQC",'QA Log'!Z:Z,"Approved",'QA Log'!L:L,"*7. Tracer Medicine*"),
COUNTIFS('QA Log'!D:D,A110,'QA Log'!M:M,"QQC",'QA Log'!Z:Z,"Approved",'QA Log'!L:L,"*11. Additional Questions*")))</f>
        <v/>
      </c>
      <c r="L110" s="105" t="str">
        <f>IF(A110&lt;&gt;"",COUNTIFS('QA Log'!D:D,A110,'QA Log'!M:M,"QQC",'QA Log'!L:L,"1. General Management",'QA Log'!Z:Z,"Approved"),"")</f>
        <v/>
      </c>
      <c r="M110" s="105" t="str">
        <f>IF(A110&lt;&gt;"",COUNTIFS('QA Log'!D:D,A110,'QA Log'!M:M,"QQC",'QA Log'!L:L,"3. Curative Consultation (OPD)",'QA Log'!Z:Z,"Approved"),"")</f>
        <v/>
      </c>
      <c r="N110" s="105" t="str">
        <f>IF(A110&lt;&gt;"",COUNTIFS('QA Log'!D:D,A110,'QA Log'!M:M,"QQC",'QA Log'!L:L,"5. Laboratory",'QA Log'!Z:Z,"Approved"),"")</f>
        <v/>
      </c>
      <c r="O110" s="105" t="str">
        <f>IF(A110&lt;&gt;"",COUNTIFS('QA Log'!D:D,A110,'QA Log'!M:M,"QQC",'QA Log'!L:L,"6. Essential Medicine Management",'QA Log'!Z:Z,"Approved"),"")</f>
        <v/>
      </c>
      <c r="P110" s="105" t="str">
        <f>IF(A110&lt;&gt;"",COUNTIFS('QA Log'!D:D,A110,'QA Log'!M:M,"QQC",'QA Log'!L:L,"7. Tracer Medicine",'QA Log'!Z:Z,"Approved"),"")</f>
        <v/>
      </c>
      <c r="Q110" s="105" t="str">
        <f>IF(A110&lt;&gt;"",COUNTIFS('QA Log'!D:D,A110,'QA Log'!M:M,"QQC",'QA Log'!L:L,"11. Additional Questions",'QA Log'!Z:Z,"Approved"),"")</f>
        <v/>
      </c>
      <c r="R110" s="102" t="str">
        <f>IF(A110="","",SUM(
COUNTIFS('QA Log'!D:D,A110,'QA Log'!M:M,"QQC",'QA Log'!Z:Z,"Rejected",'QA Log'!L:L,"*8. Maternity*"),
COUNTIFS('QA Log'!D:D,A110,'QA Log'!M:M,"QQC",'QA Log'!Z:Z,"Rejected",'QA Log'!L:L,"*EPI*"),
COUNTIFS('QA Log'!D:D,A110,'QA Log'!M:M,"QQC",'QA Log'!Z:Z,"Rejected",'QA Log'!L:L,"*10. Antenatal Care (ANC)*"),
COUNTIFS('QA Log'!D:D,A110,'QA Log'!M:M,"QQC",'QA Log'!Z:Z,"Rejected",'QA Log'!L:L,"*2. Hygiene and Sterilization*"),
COUNTIFS('QA Log'!D:D,A110,'QA Log'!M:M,"QQC",'QA Log'!Z:Z,"Rejected",'QA Log'!L:L,"*Family Planning*")))</f>
        <v/>
      </c>
      <c r="S110" s="106" t="str">
        <f t="shared" si="1"/>
        <v/>
      </c>
      <c r="T110" s="102" t="str">
        <f t="shared" si="2"/>
        <v/>
      </c>
      <c r="U110" s="102" t="str">
        <f>IF(A110="","",
SUM(
COUNTIFS('QA Log'!D:D,A110,'QA Log'!M:M,"QQC",'QA Log'!L:L,"*8. Maternity*"),
COUNTIFS('QA Log'!D:D,A110,'QA Log'!M:M,"QQC",'QA Log'!L:L,"*9. EPI and Pre-school Consultation*"),
COUNTIFS('QA Log'!D:D,A110,'QA Log'!M:M,"QQC",'QA Log'!L:L,"*10. Antenatal Care (ANC)*"),
COUNTIFS('QA Log'!D:D,A110,'QA Log'!M:M,"QQC",'QA Log'!L:L,"*2. Hygiene and Sterilization*"),
COUNTIFS('QA Log'!D:D,A110,'QA Log'!M:M,"QQC",'QA Log'!L:L,"*4. Family Planning*")
))</f>
        <v/>
      </c>
      <c r="V110" s="102" t="str">
        <f>IF(A110="","",
SUM(
COUNTIFS('QA Log'!D:D,A110,'QA Log'!M:M,"QQC",'QA Log'!Z:Z,"Approved",'QA Log'!L:L,"*8. Maternity*"),
COUNTIFS('QA Log'!D:D,A110,'QA Log'!M:M,"QQC",'QA Log'!Z:Z,"Approved",'QA Log'!L:L,"*9. EPI and Pre-school Consultation*"),
COUNTIFS('QA Log'!D:D,A110,'QA Log'!M:M,"QQC",'QA Log'!Z:Z,"Approved",'QA Log'!L:L,"*10. Antenatal Care (ANC)*"),
COUNTIFS('QA Log'!D:D,A110,'QA Log'!M:M,"QQC",'QA Log'!Z:Z,"Approved",'QA Log'!L:L,"*2. Hygiene and Sterilization*"),
COUNTIFS('QA Log'!D:D,A110,'QA Log'!M:M,"QQC",'QA Log'!Z:Z,"Approved",'QA Log'!L:L,"*4. Family Planning*")
))</f>
        <v/>
      </c>
      <c r="W110" s="105" t="str">
        <f>IF(A110&lt;&gt;"",COUNTIFS('QA Log'!D:D,A110,'QA Log'!M:M,"QQC",'QA Log'!L:L,"8. Maternity",'QA Log'!Z:Z,"Approved"),"")</f>
        <v/>
      </c>
      <c r="X110" s="105" t="str">
        <f>IF(A110&lt;&gt;"",COUNTIFS('QA Log'!D:D,A110,'QA Log'!M:M,"QQC",'QA Log'!L:L,"9. EPI and Pre-school Consultation",'QA Log'!Z:Z,"Approved"),"")</f>
        <v/>
      </c>
      <c r="Y110" s="105" t="str">
        <f>IF(A110&lt;&gt;"",COUNTIFS('QA Log'!D:D,A110,'QA Log'!M:M,"QQC",'QA Log'!L:L,"10. Antenatal Care (ANC)",'QA Log'!Z:Z,"Approved"),"")</f>
        <v/>
      </c>
      <c r="Z110" s="105" t="str">
        <f>IF(A110&lt;&gt;"",COUNTIFS('QA Log'!D:D,A110,'QA Log'!M:M,"QQC",'QA Log'!L:L,"2. Hygiene and Sterilization",'QA Log'!Z:Z,"Approved"),"")</f>
        <v/>
      </c>
      <c r="AA110" s="105" t="str">
        <f>IF(A110&lt;&gt;"",COUNTIFS('QA Log'!D:D,A110,'QA Log'!M:M,"QQC",'QA Log'!L:L,"4. Family Planning",'QA Log'!Z:Z,"Approved"),"")</f>
        <v/>
      </c>
      <c r="AB110" s="102" t="str">
        <f>IF(A110="","",
SUM(
COUNTIFS('QA Log'!D:D,A110,'QA Log'!M:M,"QQC",'QA Log'!Z:Z,"Rejected",'QA Log'!L:L,"*8. Maternity*"),
COUNTIFS('QA Log'!D:D,A110,'QA Log'!M:M,"QQC",'QA Log'!Z:Z,"Rejected",'QA Log'!L:L,"*9. EPI and Pre-school Consultation*"),
COUNTIFS('QA Log'!D:D,A110,'QA Log'!M:M,"QQC",'QA Log'!Z:Z,"Rejected",'QA Log'!L:L,"*10. Antenatal Care (ANC)*"),
COUNTIFS('QA Log'!D:D,A110,'QA Log'!M:M,"QQC",'QA Log'!Z:Z,"Rejected",'QA Log'!L:L,"*2. Hygiene and Sterilization*"),
COUNTIFS('QA Log'!D:D,A110,'QA Log'!M:M,"QQC",'QA Log'!Z:Z,"Rejected",'QA Log'!L:L,"*4. Family Planning*")
))</f>
        <v/>
      </c>
      <c r="AC110" s="102" t="str">
        <f t="shared" si="3"/>
        <v/>
      </c>
      <c r="AD110" s="103" t="str">
        <f t="shared" si="4"/>
        <v/>
      </c>
      <c r="AE110" s="102" t="str">
        <f>IF(A110="","",
SUM(
COUNTIFS('QA Log'!D:D,A110,'QA Log'!M:M,"Data Verification",'QA Log'!L:L,"*Medicine (section 2)*"),
COUNTIFS('QA Log'!D:D,A110,'QA Log'!M:M,"Data Verification",'QA Log'!L:L,"*Lab Testing Availability*"),
COUNTIFS('QA Log'!D:D,A110,'QA Log'!M:M,"Data Verification",'QA Log'!L:L,"*Other than P4P (section 6)*"),
COUNTIFS('QA Log'!D:D,A110,'QA Log'!M:M,"Data Verification",'QA Log'!L:L,"*Hospital Governance*")
))</f>
        <v/>
      </c>
      <c r="AF110" s="102" t="str">
        <f>IF(A110="","",
SUM(
COUNTIFS('QA Log'!D:D,A110,'QA Log'!M:M,"Data Verification",'QA Log'!Z:Z,"Approved",'QA Log'!L:L,"*Medicine (section 2)*"),
COUNTIFS('QA Log'!D:D,A110,'QA Log'!M:M,"Data Verification",'QA Log'!Z:Z,"Approved",'QA Log'!L:L,"*Lab Testing Availability*"),
COUNTIFS('QA Log'!D:D,A110,'QA Log'!M:M,"Data Verification",'QA Log'!Z:Z,"Approved",'QA Log'!L:L,"*Other than P4P (section 6)*"),
COUNTIFS('QA Log'!D:D,A110,'QA Log'!M:M,"Data Verification",'QA Log'!Z:Z,"Approved",'QA Log'!L:L,"*Hospital Governance*")
))</f>
        <v/>
      </c>
      <c r="AG110" s="105" t="str">
        <f>IF(A110&lt;&gt;"",COUNTIFS('QA Log'!D:D,A110,'QA Log'!M:M,"Data Verification",'QA Log'!L:L,"Medicine (section 2)",'QA Log'!Z:Z,"Approved"),"")</f>
        <v/>
      </c>
      <c r="AH110" s="105" t="str">
        <f>IF(A110&lt;&gt;"",COUNTIFS('QA Log'!D:D,A110,'QA Log'!M:M,"Data Verification",'QA Log'!L:L,"Lab Testing Availability",'QA Log'!Z:Z,"Approved"),"")</f>
        <v/>
      </c>
      <c r="AI110" s="105" t="str">
        <f>IF(A110&lt;&gt;"",COUNTIFS('QA Log'!D:D,A110,'QA Log'!M:M,"Data Verification",'QA Log'!L:L,"Other than P4P (section 6)",'QA Log'!Z:Z,"Approved"),"")</f>
        <v/>
      </c>
      <c r="AJ110" s="105" t="str">
        <f>IF(A110&lt;&gt;"",COUNTIFS('QA Log'!D:D,A110,'QA Log'!M:M,"Data Verification",'QA Log'!L:L,"Hospital Governance",'QA Log'!Z:Z,"Approved"),"")</f>
        <v/>
      </c>
      <c r="AK110" s="102" t="str">
        <f>IF(A110="","",
SUM(
COUNTIFS('QA Log'!D:D,A110,'QA Log'!M:M,"Data Verification",'QA Log'!Z:Z,"Rejected",'QA Log'!L:L,"*Medicine (section 2)*"),
COUNTIFS('QA Log'!D:D,A110,'QA Log'!M:M,"Data Verification",'QA Log'!Z:Z,"Rejected",'QA Log'!L:L,"*Lab Testing Availability*"),
COUNTIFS('QA Log'!D:D,A110,'QA Log'!M:M,"Data Verification",'QA Log'!Z:Z,"Rejected",'QA Log'!L:L,"*Other than P4P (section 6)*"),
COUNTIFS('QA Log'!D:D,A110,'QA Log'!M:M,"Data Verification",'QA Log'!Z:Z,"Rejected",'QA Log'!L:L,"*Hospital Governance*")
))</f>
        <v/>
      </c>
      <c r="AL110" s="106" t="str">
        <f t="shared" si="5"/>
        <v/>
      </c>
      <c r="AM110" s="102" t="str">
        <f t="shared" si="6"/>
        <v/>
      </c>
      <c r="AN110" s="102" t="str">
        <f>IF(A110="","",
SUM(
COUNTIFS('QA Log'!D:D,A110,'QA Log'!M:M,"Data Verification",'QA Log'!L:L,"*Personnel (section 1)*"),
COUNTIFS('QA Log'!D:D,A110,'QA Log'!M:M,"Data Verification",'QA Log'!L:L,"*Consumable (section 3)*"),
COUNTIFS('QA Log'!D:D,A110,'QA Log'!M:M,"Data Verification",'QA Log'!L:L,"*Equipments (section 4)*")
))</f>
        <v/>
      </c>
      <c r="AO110" s="102" t="str">
        <f>IF(A110="","",
SUM(
COUNTIFS('QA Log'!D:D,A110,'QA Log'!M:M,"Data Verification",'QA Log'!Z:Z,"Approved",'QA Log'!L:L,"*Personnel (section 1)*"),
COUNTIFS('QA Log'!D:D,A110,'QA Log'!M:M,"Data Verification",'QA Log'!Z:Z,"Approved",'QA Log'!L:L,"*Consumable (section 3)*"),
COUNTIFS('QA Log'!D:D,A110,'QA Log'!M:M,"Data Verification",'QA Log'!Z:Z,"Approved",'QA Log'!L:L,"*Equipments (section 4)*")
))</f>
        <v/>
      </c>
      <c r="AP110" s="105" t="str">
        <f>IF(A110&lt;&gt;"",COUNTIFS('QA Log'!D:D,A110,'QA Log'!M:M,"Data Verification",'QA Log'!L:L,"Personnel (section 1)",'QA Log'!Z:Z,"Approved"),"")</f>
        <v/>
      </c>
      <c r="AQ110" s="105" t="str">
        <f>IF(A110&lt;&gt;"",COUNTIFS('QA Log'!D:D,A110,'QA Log'!M:M,"Data Verification",'QA Log'!L:L,"Consumable (section 3)",'QA Log'!Z:Z,"Approved"),"")</f>
        <v/>
      </c>
      <c r="AR110" s="105" t="str">
        <f>IF(A110&lt;&gt;"",COUNTIFS('QA Log'!D:D,A110,'QA Log'!M:M,"Data Verification",'QA Log'!L:L,"Equipments (section 4)",'QA Log'!Z:Z,"Approved"),"")</f>
        <v/>
      </c>
      <c r="AS110" s="102" t="str">
        <f>IF(A110="","",
SUM(
COUNTIFS('QA Log'!D:D,A110,'QA Log'!M:M,"Data Verification",'QA Log'!Z:Z,"Rejected",'QA Log'!L:L,"*Personnel (section 1)*"),
COUNTIFS('QA Log'!D:D,A110,'QA Log'!M:M,"Data Verification",'QA Log'!Z:Z,"Rejected",'QA Log'!L:L,"*Consumable (section 3)*"),
COUNTIFS('QA Log'!D:D,A110,'QA Log'!M:M,"Data Verification",'QA Log'!Z:Z,"Rejected",'QA Log'!L:L,"*Equipments (section 4)*")
))</f>
        <v/>
      </c>
      <c r="AT110" s="102" t="str">
        <f t="shared" si="7"/>
        <v/>
      </c>
      <c r="AU110" s="103" t="str">
        <f t="shared" si="8"/>
        <v/>
      </c>
      <c r="AV110" s="102" t="str">
        <f>IF(A110="","",SUM(
COUNTIFS('QA Log'!D:D,A110,'QA Log'!M:M,"Vignette",'QA Log'!L:L,"*Vignette [1] Respiratory Infection: Pneumonia*"),
COUNTIFS('QA Log'!D:D,A110,'QA Log'!M:M,"Vignette",'QA Log'!L:L,"*Vignette [2]: Diarrhea with Cat B dehydration*"),
COUNTIFS('QA Log'!D:D,A110,'QA Log'!M:M,"Vignette",'QA Log'!L:L,"*Vignette [3] Growth Monitoring and Promotion*"),
COUNTIFS('QA Log'!D:D,A110,'QA Log'!M:M,"Vignette",'QA Log'!L:L,"*Vignette [4]: The management of presumptive TB patient*")
)
)</f>
        <v/>
      </c>
      <c r="AW110" s="102" t="str">
        <f>IF(
  A110="","",
  SUM(
    COUNTIFS('QA Log'!D:D,A110,'QA Log'!M:M,"Vignette",'QA Log'!Z:Z,"Approved",'QA Log'!L:L,"*Vignette [1] Respiratory Infection: Pneumonia*"),
    COUNTIFS('QA Log'!D:D,A110,'QA Log'!M:M,"Vignette",'QA Log'!Z:Z,"Approved",'QA Log'!L:L,"*Vignette [2]: Diarrhea with Cat B dehydration*"),
    COUNTIFS('QA Log'!D:D,A110,'QA Log'!M:M,"Vignette",'QA Log'!Z:Z,"Approved",'QA Log'!L:L,"*Vignette [3] Growth Monitoring and Promotion*"),
    COUNTIFS('QA Log'!D:D,A110,'QA Log'!M:M,"Vignette",'QA Log'!Z:Z,"Approved",'QA Log'!L:L,"*Vignette [4]: The management of presumptive TB patient*")
  )
)</f>
        <v/>
      </c>
      <c r="AX110" s="105" t="str">
        <f>IF(A110&lt;&gt;"",COUNTIFS('QA Log'!D:D,A110,'QA Log'!M:M,"Vignette",'QA Log'!L:L,"Vignette [1] Respiratory Infection: Pneumonia",'QA Log'!Z:Z,"Approved"),"")</f>
        <v/>
      </c>
      <c r="AY110" s="105" t="str">
        <f>IF(A110&lt;&gt;"",COUNTIFS('QA Log'!D:D,A110,'QA Log'!M:M,"Vignette",'QA Log'!L:L,"Vignette [2]: Diarrhea with Cat B dehydration",'QA Log'!Z:Z,"Approved"),"")</f>
        <v/>
      </c>
      <c r="AZ110" s="105" t="str">
        <f>IF(A110&lt;&gt;"",COUNTIFS('QA Log'!D:D,A110,'QA Log'!M:M,"Vignette",'QA Log'!L:L,"Vignette [3] Growth Monitoring and Promotion",'QA Log'!Z:Z,"Approved"),"")</f>
        <v/>
      </c>
      <c r="BA110" s="105" t="str">
        <f>IF(A110&lt;&gt;"",COUNTIFS('QA Log'!D:D,A110,'QA Log'!M:M,"Vignette",'QA Log'!L:L,"Vignette [4]: The management of presumptive TB patient",'QA Log'!Z:Z,"Approved"),"")</f>
        <v/>
      </c>
      <c r="BB110" s="102" t="str">
        <f>IF(A110="","",
  SUM(
    COUNTIFS('QA Log'!D:D,A110,'QA Log'!M:M,"Vignette",'QA Log'!Z:Z,"Rejected",'QA Log'!L:L,"*Vignette [1] Respiratory Infection: Pneumonia*"),
    COUNTIFS('QA Log'!D:D,A110,'QA Log'!M:M,"Vignette",'QA Log'!Z:Z,"Rejected",'QA Log'!L:L,"*Vignette [2]: Diarrhea with Cat B dehydration*"),
    COUNTIFS('QA Log'!D:D,A110,'QA Log'!M:M,"Vignette",'QA Log'!Z:Z,"Rejected",'QA Log'!L:L,"*Vignette [3] Growth Monitoring and Promotion*"),
    COUNTIFS('QA Log'!D:D,A110,'QA Log'!M:M,"Vignette",'QA Log'!Z:Z,"Rejected",'QA Log'!L:L,"*Vignette [4]: The management of presumptive TB patient*")
  )
)</f>
        <v/>
      </c>
      <c r="BC110" s="107" t="str">
        <f t="shared" si="9"/>
        <v/>
      </c>
      <c r="BD110" s="103" t="str">
        <f t="shared" si="10"/>
        <v/>
      </c>
      <c r="BE110" s="102" t="str">
        <f>IF(A110="","",SUM(
COUNTIFS('QA Log'!D:D,A110,'QA Log'!M:M,"Vignette",'QA Log'!L:L,"*Vignette [5] Labor*"),
COUNTIFS('QA Log'!D:D,A110,'QA Log'!M:M,"Vignette",'QA Log'!L:L,"*Vignette [6] PNC pre Discharge*"),
COUNTIFS('QA Log'!D:D,A110,'QA Log'!M:M,"Vignette",'QA Log'!L:L,"*Vignette [7] First ANC Visit*"),
COUNTIFS('QA Log'!D:D,A110,'QA Log'!M:M,"Vignette",'QA Log'!L:L,"*Vignette [8] Birth Spacing/ Family Planning :  FP Counselling*"),
COUNTIFS('QA Log'!D:D,A110,'QA Log'!M:M,"Vignette",'QA Log'!L:L,"*Vignette [9] Birth Spacing: Change FP method to Injectable*"),
COUNTIFS('QA Log'!D:D,A110,'QA Log'!M:M,"Vignette",'QA Log'!L:L,"*Vignette [10] Post Partum Haemorrhage - Atonic Uterus at Health Centre*"),
)
)</f>
        <v/>
      </c>
      <c r="BF110" s="102" t="str">
        <f>IF(A110="","",
  SUM(
    COUNTIFS('QA Log'!D:D,A110,'QA Log'!M:M,"Vignette",'QA Log'!Z:Z,"Approved",'QA Log'!L:L,"*Vignette [5] Labor*"),
    COUNTIFS('QA Log'!D:D,A110,'QA Log'!M:M,"Vignette",'QA Log'!Z:Z,"Approved",'QA Log'!L:L,"*Vignette [6] PNC pre Discharge*"),
    COUNTIFS('QA Log'!D:D,A110,'QA Log'!M:M,"Vignette",'QA Log'!Z:Z,"Approved",'QA Log'!L:L,"*Vignette [7] First ANC Visit*"),
    COUNTIFS('QA Log'!D:D,A110,'QA Log'!M:M,"Vignette",'QA Log'!Z:Z,"Approved",'QA Log'!L:L,"*Vignette [8] Birth Spacing/ Family Planning :  FP Counselling*"),
    COUNTIFS('QA Log'!D:D,A110,'QA Log'!M:M,"Vignette",'QA Log'!Z:Z,"Approved",'QA Log'!L:L,"*Vignette [9] Birth Spacing: Change FP method to Injectable*"),
    COUNTIFS('QA Log'!D:D,A110,'QA Log'!M:M,"Vignette",'QA Log'!Z:Z,"Approved",'QA Log'!L:L,"*Vignette [10] Post Partum Haemorrhage - Atonic Uterus at Health Centre*")
  )
)</f>
        <v/>
      </c>
      <c r="BG110" s="105" t="str">
        <f>IF(A110&lt;&gt;"",COUNTIFS('QA Log'!D:D,A110,'QA Log'!M:M,"Vignette",'QA Log'!L:L,"Vignette [5] Labor",'QA Log'!Z:Z,"Approved"),"")</f>
        <v/>
      </c>
      <c r="BH110" s="105" t="str">
        <f>IF(A110&lt;&gt;"",COUNTIFS('QA Log'!D:D,A110,'QA Log'!M:M,"Vignette",'QA Log'!L:L,"Vignette [6] PNC pre Discharge",'QA Log'!Z:Z,"Approved"),"")</f>
        <v/>
      </c>
      <c r="BI110" s="105" t="str">
        <f>IF(A110&lt;&gt;"",COUNTIFS('QA Log'!D:D,A110,'QA Log'!M:M,"Vignette",'QA Log'!L:L,"Vignette [7] First ANC Visit",'QA Log'!Z:Z,"Approved"),"")</f>
        <v/>
      </c>
      <c r="BJ110" s="105" t="str">
        <f>IF(A110&lt;&gt;"",COUNTIFS('QA Log'!D:D,A110,'QA Log'!M:M,"Vignette",'QA Log'!L:L,"Vignette [8] Birth Spacing/ Family Planning :  FP Counselling",'QA Log'!Z:Z,"Approved"),"")</f>
        <v/>
      </c>
      <c r="BK110" s="105" t="str">
        <f>IF(A110&lt;&gt;"",COUNTIFS('QA Log'!D:D,A110,'QA Log'!M:M,"Vignette",'QA Log'!L:L,"Vignette [9] Birth Spacing: Change FP method to Injectable",'QA Log'!Z:Z,"Approved"),"")</f>
        <v/>
      </c>
      <c r="BL110" s="105" t="str">
        <f>IF(A110&lt;&gt;"",COUNTIFS('QA Log'!D:D,A110,'QA Log'!M:M,"Vignette",'QA Log'!L:L,"Vignette [10] Post Partum Haemorrhage - Atonic Uterus at Health Centre",'QA Log'!Z:Z,"Approved"),"")</f>
        <v/>
      </c>
      <c r="BM110" s="102" t="str">
        <f>IF(A110="","",SUM(
    COUNTIFS('QA Log'!D:D,A110,'QA Log'!M:M,"Vignette",'QA Log'!Z:Z,"Rejected",'QA Log'!L:L,"*Vignette [5] Labor*"),
    COUNTIFS('QA Log'!D:D,A110,'QA Log'!M:M,"Vignette",'QA Log'!Z:Z,"Rejected",'QA Log'!L:L,"*Vignette [6] PNC pre Discharge*"),
    COUNTIFS('QA Log'!D:D,A110,'QA Log'!M:M,"Vignette",'QA Log'!Z:Z,"Rejected",'QA Log'!L:L,"*Vignette [7] First ANC Visit*"),
    COUNTIFS('QA Log'!D:D,A110,'QA Log'!M:M,"Vignette",'QA Log'!Z:Z,"Rejected",'QA Log'!L:L,"*Vignette [8] Birth Spacing/ Family Planning :  FP Counselling*"),
    COUNTIFS('QA Log'!D:D,A110,'QA Log'!M:M,"Vignette",'QA Log'!Z:Z,"Rejected",'QA Log'!L:L,"*Vignette [9] Birth Spacing: Change FP method to Injectable*"),
    COUNTIFS('QA Log'!D:D,A110,'QA Log'!M:M,"Vignette",'QA Log'!Z:Z,"Rejected",'QA Log'!L:L,"*Vignette [10] Post Partum Haemorrhage - Atonic Uterus at Health Centre*")
  )
)</f>
        <v/>
      </c>
      <c r="BN110" s="107" t="str">
        <f t="shared" si="11"/>
        <v/>
      </c>
      <c r="BO110" s="103" t="str">
        <f t="shared" si="12"/>
        <v/>
      </c>
      <c r="BP110" s="102" t="str">
        <f>IF(A110="","",SUM(
COUNTIFS('QA Log'!D:D,A110,'QA Log'!M:M,"Vignette",'QA Log'!L:L,"*Exit Interview 1*"),
COUNTIFS('QA Log'!D:D,A110,'QA Log'!M:M,"Vignette",'QA Log'!L:L,"*Exit Interview 2*"),
)
)</f>
        <v/>
      </c>
      <c r="BQ110" s="102" t="str">
        <f>IF(
  A110="","",
  SUM(
    COUNTIFS('QA Log'!D:D,A110,'QA Log'!M:M,"Vignette",'QA Log'!Z:Z,"Approved",'QA Log'!L:L,"*Exit Interview 1*"),
    COUNTIFS('QA Log'!D:D,A110,'QA Log'!M:M,"Vignette",'QA Log'!Z:Z,"Approved",'QA Log'!L:L,"*Exit Interview 2*")
  )
)</f>
        <v/>
      </c>
      <c r="BR110" s="105" t="str">
        <f>IF(A110&lt;&gt;"",COUNTIFS('QA Log'!D:D,A110,'QA Log'!M:M,"Vignette",'QA Log'!L:L,"Exit Interview 1",'QA Log'!Z:Z,"Approved"),"")</f>
        <v/>
      </c>
      <c r="BS110" s="105" t="str">
        <f>IF(A110&lt;&gt;"",COUNTIFS('QA Log'!D:D,A110,'QA Log'!M:M,"Vignette",'QA Log'!L:L,"Exit Interview 2",'QA Log'!Z:Z,"Approved"),"")</f>
        <v/>
      </c>
      <c r="BT110" s="102" t="str">
        <f>IF(
  A110="","",
  SUM(
    COUNTIFS('QA Log'!D:D,A110,'QA Log'!M:M,"Vignette",'QA Log'!Z:Z,"Rejected",'QA Log'!L:L,"*Exit Interview 1*"),
    COUNTIFS('QA Log'!D:D,A110,'QA Log'!M:M,"Vignette",'QA Log'!Z:Z,"Rejected",'QA Log'!L:L,"*Exit Interview 2*")
  )
)</f>
        <v/>
      </c>
      <c r="BU110" s="107" t="str">
        <f t="shared" si="13"/>
        <v/>
      </c>
      <c r="BV110" s="102" t="str">
        <f t="shared" si="14"/>
        <v/>
      </c>
      <c r="BW110" s="102" t="str">
        <f t="shared" si="15"/>
        <v/>
      </c>
      <c r="BX110" s="102" t="str">
        <f t="shared" si="16"/>
        <v/>
      </c>
      <c r="BY110" s="102" t="str">
        <f t="shared" si="17"/>
        <v/>
      </c>
      <c r="BZ110" s="107" t="str">
        <f t="shared" si="18"/>
        <v/>
      </c>
      <c r="CA110" s="108" t="str">
        <f t="shared" si="19"/>
        <v/>
      </c>
      <c r="CB110" s="108" t="str">
        <f t="shared" si="20"/>
        <v/>
      </c>
      <c r="CC110" s="109" t="str">
        <f t="shared" si="21"/>
        <v/>
      </c>
      <c r="CD110" s="108" t="str">
        <f t="shared" si="22"/>
        <v/>
      </c>
      <c r="CE110" s="108" t="str">
        <f t="shared" si="23"/>
        <v/>
      </c>
      <c r="CF110" s="109" t="str">
        <f t="shared" si="24"/>
        <v/>
      </c>
      <c r="CG110" s="110" t="str">
        <f t="shared" si="25"/>
        <v/>
      </c>
      <c r="CH110" s="111"/>
    </row>
    <row r="111" spans="1:86" ht="12.75">
      <c r="A111" s="101"/>
      <c r="B111" s="102" t="e">
        <f t="array" aca="1" ref="B111" ca="1">_xludf.XLOOKUP(A111,'QA Log'!D:D,'QA Log'!E:E,"")</f>
        <v>#NAME?</v>
      </c>
      <c r="C111" s="102" t="e">
        <f t="array" aca="1" ref="C111" ca="1">_xludf.XLOOKUP(A111,'QA Log'!D:D,'QA Log'!F:F,"")</f>
        <v>#NAME?</v>
      </c>
      <c r="D111" s="102" t="e">
        <f t="array" aca="1" ref="D111" ca="1">_xludf.XLOOKUP(A111,'QA Log'!D:D,'QA Log'!H:H,"")</f>
        <v>#NAME?</v>
      </c>
      <c r="E111" s="102" t="e">
        <f t="array" aca="1" ref="E111" ca="1">_xludf.XLOOKUP(A111,'QA Log'!D:D,'QA Log'!G:G,"")</f>
        <v>#NAME?</v>
      </c>
      <c r="F111" s="103"/>
      <c r="G111" s="104"/>
      <c r="H111" s="104"/>
      <c r="I111" s="103" t="str">
        <f t="shared" si="0"/>
        <v/>
      </c>
      <c r="J111" s="102" t="str">
        <f>IF(A111="","",SUM(
COUNTIFS('QA Log'!D:D,A111,'QA Log'!M:M,"QQC",'QA Log'!L:L,"*1. General Management*"),
COUNTIFS('QA Log'!D:D,A111,'QA Log'!M:M,"QQC",'QA Log'!L:L,"*3. Curative Consultation (OPD)*"),
COUNTIFS('QA Log'!D:D,A111,'QA Log'!M:M,"QQC",'QA Log'!L:L,"*5. Laboratory*"),
COUNTIFS('QA Log'!D:D,A111,'QA Log'!M:M,"QQC",'QA Log'!L:L,"*6. Essential Medicine Management*"),
COUNTIFS('QA Log'!D:D,A111,'QA Log'!M:M,"QQC",'QA Log'!L:L,"*7. Tracer Medicine*"),
COUNTIFS('QA Log'!D:D,A111,'QA Log'!M:M,"QQC",'QA Log'!L:L,"*11. Additional Questions*")))</f>
        <v/>
      </c>
      <c r="K111" s="102" t="str">
        <f>IF(A111="","",SUM(
COUNTIFS('QA Log'!D:D,A111,'QA Log'!M:M,"QQC",'QA Log'!Z:Z,"Approved",'QA Log'!L:L,"*1. General Management*"),
COUNTIFS('QA Log'!D:D,A111,'QA Log'!M:M,"QQC",'QA Log'!Z:Z,"Approved",'QA Log'!L:L,"*3. Curative Consultation (OPD)*"),
COUNTIFS('QA Log'!D:D,A111,'QA Log'!M:M,"QQC",'QA Log'!Z:Z,"Approved",'QA Log'!L:L,"*5. Laboratory*"),
COUNTIFS('QA Log'!D:D,A111,'QA Log'!M:M,"QQC",'QA Log'!Z:Z,"Approved",'QA Log'!L:L,"*6. Essential Medicine Management*"),
COUNTIFS('QA Log'!D:D,A111,'QA Log'!M:M,"QQC",'QA Log'!Z:Z,"Approved",'QA Log'!L:L,"*7. Tracer Medicine*"),
COUNTIFS('QA Log'!D:D,A111,'QA Log'!M:M,"QQC",'QA Log'!Z:Z,"Approved",'QA Log'!L:L,"*11. Additional Questions*")))</f>
        <v/>
      </c>
      <c r="L111" s="105" t="str">
        <f>IF(A111&lt;&gt;"",COUNTIFS('QA Log'!D:D,A111,'QA Log'!M:M,"QQC",'QA Log'!L:L,"1. General Management",'QA Log'!Z:Z,"Approved"),"")</f>
        <v/>
      </c>
      <c r="M111" s="105" t="str">
        <f>IF(A111&lt;&gt;"",COUNTIFS('QA Log'!D:D,A111,'QA Log'!M:M,"QQC",'QA Log'!L:L,"3. Curative Consultation (OPD)",'QA Log'!Z:Z,"Approved"),"")</f>
        <v/>
      </c>
      <c r="N111" s="105" t="str">
        <f>IF(A111&lt;&gt;"",COUNTIFS('QA Log'!D:D,A111,'QA Log'!M:M,"QQC",'QA Log'!L:L,"5. Laboratory",'QA Log'!Z:Z,"Approved"),"")</f>
        <v/>
      </c>
      <c r="O111" s="105" t="str">
        <f>IF(A111&lt;&gt;"",COUNTIFS('QA Log'!D:D,A111,'QA Log'!M:M,"QQC",'QA Log'!L:L,"6. Essential Medicine Management",'QA Log'!Z:Z,"Approved"),"")</f>
        <v/>
      </c>
      <c r="P111" s="105" t="str">
        <f>IF(A111&lt;&gt;"",COUNTIFS('QA Log'!D:D,A111,'QA Log'!M:M,"QQC",'QA Log'!L:L,"7. Tracer Medicine",'QA Log'!Z:Z,"Approved"),"")</f>
        <v/>
      </c>
      <c r="Q111" s="105" t="str">
        <f>IF(A111&lt;&gt;"",COUNTIFS('QA Log'!D:D,A111,'QA Log'!M:M,"QQC",'QA Log'!L:L,"11. Additional Questions",'QA Log'!Z:Z,"Approved"),"")</f>
        <v/>
      </c>
      <c r="R111" s="102" t="str">
        <f>IF(A111="","",SUM(
COUNTIFS('QA Log'!D:D,A111,'QA Log'!M:M,"QQC",'QA Log'!Z:Z,"Rejected",'QA Log'!L:L,"*8. Maternity*"),
COUNTIFS('QA Log'!D:D,A111,'QA Log'!M:M,"QQC",'QA Log'!Z:Z,"Rejected",'QA Log'!L:L,"*EPI*"),
COUNTIFS('QA Log'!D:D,A111,'QA Log'!M:M,"QQC",'QA Log'!Z:Z,"Rejected",'QA Log'!L:L,"*10. Antenatal Care (ANC)*"),
COUNTIFS('QA Log'!D:D,A111,'QA Log'!M:M,"QQC",'QA Log'!Z:Z,"Rejected",'QA Log'!L:L,"*2. Hygiene and Sterilization*"),
COUNTIFS('QA Log'!D:D,A111,'QA Log'!M:M,"QQC",'QA Log'!Z:Z,"Rejected",'QA Log'!L:L,"*Family Planning*")))</f>
        <v/>
      </c>
      <c r="S111" s="106" t="str">
        <f t="shared" si="1"/>
        <v/>
      </c>
      <c r="T111" s="102" t="str">
        <f t="shared" si="2"/>
        <v/>
      </c>
      <c r="U111" s="102" t="str">
        <f>IF(A111="","",
SUM(
COUNTIFS('QA Log'!D:D,A111,'QA Log'!M:M,"QQC",'QA Log'!L:L,"*8. Maternity*"),
COUNTIFS('QA Log'!D:D,A111,'QA Log'!M:M,"QQC",'QA Log'!L:L,"*9. EPI and Pre-school Consultation*"),
COUNTIFS('QA Log'!D:D,A111,'QA Log'!M:M,"QQC",'QA Log'!L:L,"*10. Antenatal Care (ANC)*"),
COUNTIFS('QA Log'!D:D,A111,'QA Log'!M:M,"QQC",'QA Log'!L:L,"*2. Hygiene and Sterilization*"),
COUNTIFS('QA Log'!D:D,A111,'QA Log'!M:M,"QQC",'QA Log'!L:L,"*4. Family Planning*")
))</f>
        <v/>
      </c>
      <c r="V111" s="102" t="str">
        <f>IF(A111="","",
SUM(
COUNTIFS('QA Log'!D:D,A111,'QA Log'!M:M,"QQC",'QA Log'!Z:Z,"Approved",'QA Log'!L:L,"*8. Maternity*"),
COUNTIFS('QA Log'!D:D,A111,'QA Log'!M:M,"QQC",'QA Log'!Z:Z,"Approved",'QA Log'!L:L,"*9. EPI and Pre-school Consultation*"),
COUNTIFS('QA Log'!D:D,A111,'QA Log'!M:M,"QQC",'QA Log'!Z:Z,"Approved",'QA Log'!L:L,"*10. Antenatal Care (ANC)*"),
COUNTIFS('QA Log'!D:D,A111,'QA Log'!M:M,"QQC",'QA Log'!Z:Z,"Approved",'QA Log'!L:L,"*2. Hygiene and Sterilization*"),
COUNTIFS('QA Log'!D:D,A111,'QA Log'!M:M,"QQC",'QA Log'!Z:Z,"Approved",'QA Log'!L:L,"*4. Family Planning*")
))</f>
        <v/>
      </c>
      <c r="W111" s="105" t="str">
        <f>IF(A111&lt;&gt;"",COUNTIFS('QA Log'!D:D,A111,'QA Log'!M:M,"QQC",'QA Log'!L:L,"8. Maternity",'QA Log'!Z:Z,"Approved"),"")</f>
        <v/>
      </c>
      <c r="X111" s="105" t="str">
        <f>IF(A111&lt;&gt;"",COUNTIFS('QA Log'!D:D,A111,'QA Log'!M:M,"QQC",'QA Log'!L:L,"9. EPI and Pre-school Consultation",'QA Log'!Z:Z,"Approved"),"")</f>
        <v/>
      </c>
      <c r="Y111" s="105" t="str">
        <f>IF(A111&lt;&gt;"",COUNTIFS('QA Log'!D:D,A111,'QA Log'!M:M,"QQC",'QA Log'!L:L,"10. Antenatal Care (ANC)",'QA Log'!Z:Z,"Approved"),"")</f>
        <v/>
      </c>
      <c r="Z111" s="105" t="str">
        <f>IF(A111&lt;&gt;"",COUNTIFS('QA Log'!D:D,A111,'QA Log'!M:M,"QQC",'QA Log'!L:L,"2. Hygiene and Sterilization",'QA Log'!Z:Z,"Approved"),"")</f>
        <v/>
      </c>
      <c r="AA111" s="105" t="str">
        <f>IF(A111&lt;&gt;"",COUNTIFS('QA Log'!D:D,A111,'QA Log'!M:M,"QQC",'QA Log'!L:L,"4. Family Planning",'QA Log'!Z:Z,"Approved"),"")</f>
        <v/>
      </c>
      <c r="AB111" s="102" t="str">
        <f>IF(A111="","",
SUM(
COUNTIFS('QA Log'!D:D,A111,'QA Log'!M:M,"QQC",'QA Log'!Z:Z,"Rejected",'QA Log'!L:L,"*8. Maternity*"),
COUNTIFS('QA Log'!D:D,A111,'QA Log'!M:M,"QQC",'QA Log'!Z:Z,"Rejected",'QA Log'!L:L,"*9. EPI and Pre-school Consultation*"),
COUNTIFS('QA Log'!D:D,A111,'QA Log'!M:M,"QQC",'QA Log'!Z:Z,"Rejected",'QA Log'!L:L,"*10. Antenatal Care (ANC)*"),
COUNTIFS('QA Log'!D:D,A111,'QA Log'!M:M,"QQC",'QA Log'!Z:Z,"Rejected",'QA Log'!L:L,"*2. Hygiene and Sterilization*"),
COUNTIFS('QA Log'!D:D,A111,'QA Log'!M:M,"QQC",'QA Log'!Z:Z,"Rejected",'QA Log'!L:L,"*4. Family Planning*")
))</f>
        <v/>
      </c>
      <c r="AC111" s="102" t="str">
        <f t="shared" si="3"/>
        <v/>
      </c>
      <c r="AD111" s="103" t="str">
        <f t="shared" si="4"/>
        <v/>
      </c>
      <c r="AE111" s="102" t="str">
        <f>IF(A111="","",
SUM(
COUNTIFS('QA Log'!D:D,A111,'QA Log'!M:M,"Data Verification",'QA Log'!L:L,"*Medicine (section 2)*"),
COUNTIFS('QA Log'!D:D,A111,'QA Log'!M:M,"Data Verification",'QA Log'!L:L,"*Lab Testing Availability*"),
COUNTIFS('QA Log'!D:D,A111,'QA Log'!M:M,"Data Verification",'QA Log'!L:L,"*Other than P4P (section 6)*"),
COUNTIFS('QA Log'!D:D,A111,'QA Log'!M:M,"Data Verification",'QA Log'!L:L,"*Hospital Governance*")
))</f>
        <v/>
      </c>
      <c r="AF111" s="102" t="str">
        <f>IF(A111="","",
SUM(
COUNTIFS('QA Log'!D:D,A111,'QA Log'!M:M,"Data Verification",'QA Log'!Z:Z,"Approved",'QA Log'!L:L,"*Medicine (section 2)*"),
COUNTIFS('QA Log'!D:D,A111,'QA Log'!M:M,"Data Verification",'QA Log'!Z:Z,"Approved",'QA Log'!L:L,"*Lab Testing Availability*"),
COUNTIFS('QA Log'!D:D,A111,'QA Log'!M:M,"Data Verification",'QA Log'!Z:Z,"Approved",'QA Log'!L:L,"*Other than P4P (section 6)*"),
COUNTIFS('QA Log'!D:D,A111,'QA Log'!M:M,"Data Verification",'QA Log'!Z:Z,"Approved",'QA Log'!L:L,"*Hospital Governance*")
))</f>
        <v/>
      </c>
      <c r="AG111" s="105" t="str">
        <f>IF(A111&lt;&gt;"",COUNTIFS('QA Log'!D:D,A111,'QA Log'!M:M,"Data Verification",'QA Log'!L:L,"Medicine (section 2)",'QA Log'!Z:Z,"Approved"),"")</f>
        <v/>
      </c>
      <c r="AH111" s="105" t="str">
        <f>IF(A111&lt;&gt;"",COUNTIFS('QA Log'!D:D,A111,'QA Log'!M:M,"Data Verification",'QA Log'!L:L,"Lab Testing Availability",'QA Log'!Z:Z,"Approved"),"")</f>
        <v/>
      </c>
      <c r="AI111" s="105" t="str">
        <f>IF(A111&lt;&gt;"",COUNTIFS('QA Log'!D:D,A111,'QA Log'!M:M,"Data Verification",'QA Log'!L:L,"Other than P4P (section 6)",'QA Log'!Z:Z,"Approved"),"")</f>
        <v/>
      </c>
      <c r="AJ111" s="105" t="str">
        <f>IF(A111&lt;&gt;"",COUNTIFS('QA Log'!D:D,A111,'QA Log'!M:M,"Data Verification",'QA Log'!L:L,"Hospital Governance",'QA Log'!Z:Z,"Approved"),"")</f>
        <v/>
      </c>
      <c r="AK111" s="102" t="str">
        <f>IF(A111="","",
SUM(
COUNTIFS('QA Log'!D:D,A111,'QA Log'!M:M,"Data Verification",'QA Log'!Z:Z,"Rejected",'QA Log'!L:L,"*Medicine (section 2)*"),
COUNTIFS('QA Log'!D:D,A111,'QA Log'!M:M,"Data Verification",'QA Log'!Z:Z,"Rejected",'QA Log'!L:L,"*Lab Testing Availability*"),
COUNTIFS('QA Log'!D:D,A111,'QA Log'!M:M,"Data Verification",'QA Log'!Z:Z,"Rejected",'QA Log'!L:L,"*Other than P4P (section 6)*"),
COUNTIFS('QA Log'!D:D,A111,'QA Log'!M:M,"Data Verification",'QA Log'!Z:Z,"Rejected",'QA Log'!L:L,"*Hospital Governance*")
))</f>
        <v/>
      </c>
      <c r="AL111" s="106" t="str">
        <f t="shared" si="5"/>
        <v/>
      </c>
      <c r="AM111" s="102" t="str">
        <f t="shared" si="6"/>
        <v/>
      </c>
      <c r="AN111" s="102" t="str">
        <f>IF(A111="","",
SUM(
COUNTIFS('QA Log'!D:D,A111,'QA Log'!M:M,"Data Verification",'QA Log'!L:L,"*Personnel (section 1)*"),
COUNTIFS('QA Log'!D:D,A111,'QA Log'!M:M,"Data Verification",'QA Log'!L:L,"*Consumable (section 3)*"),
COUNTIFS('QA Log'!D:D,A111,'QA Log'!M:M,"Data Verification",'QA Log'!L:L,"*Equipments (section 4)*")
))</f>
        <v/>
      </c>
      <c r="AO111" s="102" t="str">
        <f>IF(A111="","",
SUM(
COUNTIFS('QA Log'!D:D,A111,'QA Log'!M:M,"Data Verification",'QA Log'!Z:Z,"Approved",'QA Log'!L:L,"*Personnel (section 1)*"),
COUNTIFS('QA Log'!D:D,A111,'QA Log'!M:M,"Data Verification",'QA Log'!Z:Z,"Approved",'QA Log'!L:L,"*Consumable (section 3)*"),
COUNTIFS('QA Log'!D:D,A111,'QA Log'!M:M,"Data Verification",'QA Log'!Z:Z,"Approved",'QA Log'!L:L,"*Equipments (section 4)*")
))</f>
        <v/>
      </c>
      <c r="AP111" s="105" t="str">
        <f>IF(A111&lt;&gt;"",COUNTIFS('QA Log'!D:D,A111,'QA Log'!M:M,"Data Verification",'QA Log'!L:L,"Personnel (section 1)",'QA Log'!Z:Z,"Approved"),"")</f>
        <v/>
      </c>
      <c r="AQ111" s="105" t="str">
        <f>IF(A111&lt;&gt;"",COUNTIFS('QA Log'!D:D,A111,'QA Log'!M:M,"Data Verification",'QA Log'!L:L,"Consumable (section 3)",'QA Log'!Z:Z,"Approved"),"")</f>
        <v/>
      </c>
      <c r="AR111" s="105" t="str">
        <f>IF(A111&lt;&gt;"",COUNTIFS('QA Log'!D:D,A111,'QA Log'!M:M,"Data Verification",'QA Log'!L:L,"Equipments (section 4)",'QA Log'!Z:Z,"Approved"),"")</f>
        <v/>
      </c>
      <c r="AS111" s="102" t="str">
        <f>IF(A111="","",
SUM(
COUNTIFS('QA Log'!D:D,A111,'QA Log'!M:M,"Data Verification",'QA Log'!Z:Z,"Rejected",'QA Log'!L:L,"*Personnel (section 1)*"),
COUNTIFS('QA Log'!D:D,A111,'QA Log'!M:M,"Data Verification",'QA Log'!Z:Z,"Rejected",'QA Log'!L:L,"*Consumable (section 3)*"),
COUNTIFS('QA Log'!D:D,A111,'QA Log'!M:M,"Data Verification",'QA Log'!Z:Z,"Rejected",'QA Log'!L:L,"*Equipments (section 4)*")
))</f>
        <v/>
      </c>
      <c r="AT111" s="102" t="str">
        <f t="shared" si="7"/>
        <v/>
      </c>
      <c r="AU111" s="103" t="str">
        <f t="shared" si="8"/>
        <v/>
      </c>
      <c r="AV111" s="102" t="str">
        <f>IF(A111="","",SUM(
COUNTIFS('QA Log'!D:D,A111,'QA Log'!M:M,"Vignette",'QA Log'!L:L,"*Vignette [1] Respiratory Infection: Pneumonia*"),
COUNTIFS('QA Log'!D:D,A111,'QA Log'!M:M,"Vignette",'QA Log'!L:L,"*Vignette [2]: Diarrhea with Cat B dehydration*"),
COUNTIFS('QA Log'!D:D,A111,'QA Log'!M:M,"Vignette",'QA Log'!L:L,"*Vignette [3] Growth Monitoring and Promotion*"),
COUNTIFS('QA Log'!D:D,A111,'QA Log'!M:M,"Vignette",'QA Log'!L:L,"*Vignette [4]: The management of presumptive TB patient*")
)
)</f>
        <v/>
      </c>
      <c r="AW111" s="102" t="str">
        <f>IF(
  A111="","",
  SUM(
    COUNTIFS('QA Log'!D:D,A111,'QA Log'!M:M,"Vignette",'QA Log'!Z:Z,"Approved",'QA Log'!L:L,"*Vignette [1] Respiratory Infection: Pneumonia*"),
    COUNTIFS('QA Log'!D:D,A111,'QA Log'!M:M,"Vignette",'QA Log'!Z:Z,"Approved",'QA Log'!L:L,"*Vignette [2]: Diarrhea with Cat B dehydration*"),
    COUNTIFS('QA Log'!D:D,A111,'QA Log'!M:M,"Vignette",'QA Log'!Z:Z,"Approved",'QA Log'!L:L,"*Vignette [3] Growth Monitoring and Promotion*"),
    COUNTIFS('QA Log'!D:D,A111,'QA Log'!M:M,"Vignette",'QA Log'!Z:Z,"Approved",'QA Log'!L:L,"*Vignette [4]: The management of presumptive TB patient*")
  )
)</f>
        <v/>
      </c>
      <c r="AX111" s="105" t="str">
        <f>IF(A111&lt;&gt;"",COUNTIFS('QA Log'!D:D,A111,'QA Log'!M:M,"Vignette",'QA Log'!L:L,"Vignette [1] Respiratory Infection: Pneumonia",'QA Log'!Z:Z,"Approved"),"")</f>
        <v/>
      </c>
      <c r="AY111" s="105" t="str">
        <f>IF(A111&lt;&gt;"",COUNTIFS('QA Log'!D:D,A111,'QA Log'!M:M,"Vignette",'QA Log'!L:L,"Vignette [2]: Diarrhea with Cat B dehydration",'QA Log'!Z:Z,"Approved"),"")</f>
        <v/>
      </c>
      <c r="AZ111" s="105" t="str">
        <f>IF(A111&lt;&gt;"",COUNTIFS('QA Log'!D:D,A111,'QA Log'!M:M,"Vignette",'QA Log'!L:L,"Vignette [3] Growth Monitoring and Promotion",'QA Log'!Z:Z,"Approved"),"")</f>
        <v/>
      </c>
      <c r="BA111" s="105" t="str">
        <f>IF(A111&lt;&gt;"",COUNTIFS('QA Log'!D:D,A111,'QA Log'!M:M,"Vignette",'QA Log'!L:L,"Vignette [4]: The management of presumptive TB patient",'QA Log'!Z:Z,"Approved"),"")</f>
        <v/>
      </c>
      <c r="BB111" s="102" t="str">
        <f>IF(A111="","",
  SUM(
    COUNTIFS('QA Log'!D:D,A111,'QA Log'!M:M,"Vignette",'QA Log'!Z:Z,"Rejected",'QA Log'!L:L,"*Vignette [1] Respiratory Infection: Pneumonia*"),
    COUNTIFS('QA Log'!D:D,A111,'QA Log'!M:M,"Vignette",'QA Log'!Z:Z,"Rejected",'QA Log'!L:L,"*Vignette [2]: Diarrhea with Cat B dehydration*"),
    COUNTIFS('QA Log'!D:D,A111,'QA Log'!M:M,"Vignette",'QA Log'!Z:Z,"Rejected",'QA Log'!L:L,"*Vignette [3] Growth Monitoring and Promotion*"),
    COUNTIFS('QA Log'!D:D,A111,'QA Log'!M:M,"Vignette",'QA Log'!Z:Z,"Rejected",'QA Log'!L:L,"*Vignette [4]: The management of presumptive TB patient*")
  )
)</f>
        <v/>
      </c>
      <c r="BC111" s="107" t="str">
        <f t="shared" si="9"/>
        <v/>
      </c>
      <c r="BD111" s="103" t="str">
        <f t="shared" si="10"/>
        <v/>
      </c>
      <c r="BE111" s="102" t="str">
        <f>IF(A111="","",SUM(
COUNTIFS('QA Log'!D:D,A111,'QA Log'!M:M,"Vignette",'QA Log'!L:L,"*Vignette [5] Labor*"),
COUNTIFS('QA Log'!D:D,A111,'QA Log'!M:M,"Vignette",'QA Log'!L:L,"*Vignette [6] PNC pre Discharge*"),
COUNTIFS('QA Log'!D:D,A111,'QA Log'!M:M,"Vignette",'QA Log'!L:L,"*Vignette [7] First ANC Visit*"),
COUNTIFS('QA Log'!D:D,A111,'QA Log'!M:M,"Vignette",'QA Log'!L:L,"*Vignette [8] Birth Spacing/ Family Planning :  FP Counselling*"),
COUNTIFS('QA Log'!D:D,A111,'QA Log'!M:M,"Vignette",'QA Log'!L:L,"*Vignette [9] Birth Spacing: Change FP method to Injectable*"),
COUNTIFS('QA Log'!D:D,A111,'QA Log'!M:M,"Vignette",'QA Log'!L:L,"*Vignette [10] Post Partum Haemorrhage - Atonic Uterus at Health Centre*"),
)
)</f>
        <v/>
      </c>
      <c r="BF111" s="102" t="str">
        <f>IF(A111="","",
  SUM(
    COUNTIFS('QA Log'!D:D,A111,'QA Log'!M:M,"Vignette",'QA Log'!Z:Z,"Approved",'QA Log'!L:L,"*Vignette [5] Labor*"),
    COUNTIFS('QA Log'!D:D,A111,'QA Log'!M:M,"Vignette",'QA Log'!Z:Z,"Approved",'QA Log'!L:L,"*Vignette [6] PNC pre Discharge*"),
    COUNTIFS('QA Log'!D:D,A111,'QA Log'!M:M,"Vignette",'QA Log'!Z:Z,"Approved",'QA Log'!L:L,"*Vignette [7] First ANC Visit*"),
    COUNTIFS('QA Log'!D:D,A111,'QA Log'!M:M,"Vignette",'QA Log'!Z:Z,"Approved",'QA Log'!L:L,"*Vignette [8] Birth Spacing/ Family Planning :  FP Counselling*"),
    COUNTIFS('QA Log'!D:D,A111,'QA Log'!M:M,"Vignette",'QA Log'!Z:Z,"Approved",'QA Log'!L:L,"*Vignette [9] Birth Spacing: Change FP method to Injectable*"),
    COUNTIFS('QA Log'!D:D,A111,'QA Log'!M:M,"Vignette",'QA Log'!Z:Z,"Approved",'QA Log'!L:L,"*Vignette [10] Post Partum Haemorrhage - Atonic Uterus at Health Centre*")
  )
)</f>
        <v/>
      </c>
      <c r="BG111" s="105" t="str">
        <f>IF(A111&lt;&gt;"",COUNTIFS('QA Log'!D:D,A111,'QA Log'!M:M,"Vignette",'QA Log'!L:L,"Vignette [5] Labor",'QA Log'!Z:Z,"Approved"),"")</f>
        <v/>
      </c>
      <c r="BH111" s="105" t="str">
        <f>IF(A111&lt;&gt;"",COUNTIFS('QA Log'!D:D,A111,'QA Log'!M:M,"Vignette",'QA Log'!L:L,"Vignette [6] PNC pre Discharge",'QA Log'!Z:Z,"Approved"),"")</f>
        <v/>
      </c>
      <c r="BI111" s="105" t="str">
        <f>IF(A111&lt;&gt;"",COUNTIFS('QA Log'!D:D,A111,'QA Log'!M:M,"Vignette",'QA Log'!L:L,"Vignette [7] First ANC Visit",'QA Log'!Z:Z,"Approved"),"")</f>
        <v/>
      </c>
      <c r="BJ111" s="105" t="str">
        <f>IF(A111&lt;&gt;"",COUNTIFS('QA Log'!D:D,A111,'QA Log'!M:M,"Vignette",'QA Log'!L:L,"Vignette [8] Birth Spacing/ Family Planning :  FP Counselling",'QA Log'!Z:Z,"Approved"),"")</f>
        <v/>
      </c>
      <c r="BK111" s="105" t="str">
        <f>IF(A111&lt;&gt;"",COUNTIFS('QA Log'!D:D,A111,'QA Log'!M:M,"Vignette",'QA Log'!L:L,"Vignette [9] Birth Spacing: Change FP method to Injectable",'QA Log'!Z:Z,"Approved"),"")</f>
        <v/>
      </c>
      <c r="BL111" s="105" t="str">
        <f>IF(A111&lt;&gt;"",COUNTIFS('QA Log'!D:D,A111,'QA Log'!M:M,"Vignette",'QA Log'!L:L,"Vignette [10] Post Partum Haemorrhage - Atonic Uterus at Health Centre",'QA Log'!Z:Z,"Approved"),"")</f>
        <v/>
      </c>
      <c r="BM111" s="102" t="str">
        <f>IF(A111="","",SUM(
    COUNTIFS('QA Log'!D:D,A111,'QA Log'!M:M,"Vignette",'QA Log'!Z:Z,"Rejected",'QA Log'!L:L,"*Vignette [5] Labor*"),
    COUNTIFS('QA Log'!D:D,A111,'QA Log'!M:M,"Vignette",'QA Log'!Z:Z,"Rejected",'QA Log'!L:L,"*Vignette [6] PNC pre Discharge*"),
    COUNTIFS('QA Log'!D:D,A111,'QA Log'!M:M,"Vignette",'QA Log'!Z:Z,"Rejected",'QA Log'!L:L,"*Vignette [7] First ANC Visit*"),
    COUNTIFS('QA Log'!D:D,A111,'QA Log'!M:M,"Vignette",'QA Log'!Z:Z,"Rejected",'QA Log'!L:L,"*Vignette [8] Birth Spacing/ Family Planning :  FP Counselling*"),
    COUNTIFS('QA Log'!D:D,A111,'QA Log'!M:M,"Vignette",'QA Log'!Z:Z,"Rejected",'QA Log'!L:L,"*Vignette [9] Birth Spacing: Change FP method to Injectable*"),
    COUNTIFS('QA Log'!D:D,A111,'QA Log'!M:M,"Vignette",'QA Log'!Z:Z,"Rejected",'QA Log'!L:L,"*Vignette [10] Post Partum Haemorrhage - Atonic Uterus at Health Centre*")
  )
)</f>
        <v/>
      </c>
      <c r="BN111" s="107" t="str">
        <f t="shared" si="11"/>
        <v/>
      </c>
      <c r="BO111" s="103" t="str">
        <f t="shared" si="12"/>
        <v/>
      </c>
      <c r="BP111" s="102" t="str">
        <f>IF(A111="","",SUM(
COUNTIFS('QA Log'!D:D,A111,'QA Log'!M:M,"Vignette",'QA Log'!L:L,"*Exit Interview 1*"),
COUNTIFS('QA Log'!D:D,A111,'QA Log'!M:M,"Vignette",'QA Log'!L:L,"*Exit Interview 2*"),
)
)</f>
        <v/>
      </c>
      <c r="BQ111" s="102" t="str">
        <f>IF(
  A111="","",
  SUM(
    COUNTIFS('QA Log'!D:D,A111,'QA Log'!M:M,"Vignette",'QA Log'!Z:Z,"Approved",'QA Log'!L:L,"*Exit Interview 1*"),
    COUNTIFS('QA Log'!D:D,A111,'QA Log'!M:M,"Vignette",'QA Log'!Z:Z,"Approved",'QA Log'!L:L,"*Exit Interview 2*")
  )
)</f>
        <v/>
      </c>
      <c r="BR111" s="105" t="str">
        <f>IF(A111&lt;&gt;"",COUNTIFS('QA Log'!D:D,A111,'QA Log'!M:M,"Vignette",'QA Log'!L:L,"Exit Interview 1",'QA Log'!Z:Z,"Approved"),"")</f>
        <v/>
      </c>
      <c r="BS111" s="105" t="str">
        <f>IF(A111&lt;&gt;"",COUNTIFS('QA Log'!D:D,A111,'QA Log'!M:M,"Vignette",'QA Log'!L:L,"Exit Interview 2",'QA Log'!Z:Z,"Approved"),"")</f>
        <v/>
      </c>
      <c r="BT111" s="102" t="str">
        <f>IF(
  A111="","",
  SUM(
    COUNTIFS('QA Log'!D:D,A111,'QA Log'!M:M,"Vignette",'QA Log'!Z:Z,"Rejected",'QA Log'!L:L,"*Exit Interview 1*"),
    COUNTIFS('QA Log'!D:D,A111,'QA Log'!M:M,"Vignette",'QA Log'!Z:Z,"Rejected",'QA Log'!L:L,"*Exit Interview 2*")
  )
)</f>
        <v/>
      </c>
      <c r="BU111" s="107" t="str">
        <f t="shared" si="13"/>
        <v/>
      </c>
      <c r="BV111" s="102" t="str">
        <f t="shared" si="14"/>
        <v/>
      </c>
      <c r="BW111" s="102" t="str">
        <f t="shared" si="15"/>
        <v/>
      </c>
      <c r="BX111" s="102" t="str">
        <f t="shared" si="16"/>
        <v/>
      </c>
      <c r="BY111" s="102" t="str">
        <f t="shared" si="17"/>
        <v/>
      </c>
      <c r="BZ111" s="107" t="str">
        <f t="shared" si="18"/>
        <v/>
      </c>
      <c r="CA111" s="108" t="str">
        <f t="shared" si="19"/>
        <v/>
      </c>
      <c r="CB111" s="108" t="str">
        <f t="shared" si="20"/>
        <v/>
      </c>
      <c r="CC111" s="109" t="str">
        <f t="shared" si="21"/>
        <v/>
      </c>
      <c r="CD111" s="108" t="str">
        <f t="shared" si="22"/>
        <v/>
      </c>
      <c r="CE111" s="108" t="str">
        <f t="shared" si="23"/>
        <v/>
      </c>
      <c r="CF111" s="109" t="str">
        <f t="shared" si="24"/>
        <v/>
      </c>
      <c r="CG111" s="110" t="str">
        <f t="shared" si="25"/>
        <v/>
      </c>
      <c r="CH111" s="111"/>
    </row>
    <row r="112" spans="1:86" ht="12.75">
      <c r="A112" s="101"/>
      <c r="B112" s="102" t="e">
        <f t="array" aca="1" ref="B112" ca="1">_xludf.XLOOKUP(A112,'QA Log'!D:D,'QA Log'!E:E,"")</f>
        <v>#NAME?</v>
      </c>
      <c r="C112" s="102" t="e">
        <f t="array" aca="1" ref="C112" ca="1">_xludf.XLOOKUP(A112,'QA Log'!D:D,'QA Log'!F:F,"")</f>
        <v>#NAME?</v>
      </c>
      <c r="D112" s="102" t="e">
        <f t="array" aca="1" ref="D112" ca="1">_xludf.XLOOKUP(A112,'QA Log'!D:D,'QA Log'!H:H,"")</f>
        <v>#NAME?</v>
      </c>
      <c r="E112" s="102" t="e">
        <f t="array" aca="1" ref="E112" ca="1">_xludf.XLOOKUP(A112,'QA Log'!D:D,'QA Log'!G:G,"")</f>
        <v>#NAME?</v>
      </c>
      <c r="F112" s="103"/>
      <c r="G112" s="104"/>
      <c r="H112" s="104"/>
      <c r="I112" s="103" t="str">
        <f t="shared" si="0"/>
        <v/>
      </c>
      <c r="J112" s="102" t="str">
        <f>IF(A112="","",SUM(
COUNTIFS('QA Log'!D:D,A112,'QA Log'!M:M,"QQC",'QA Log'!L:L,"*1. General Management*"),
COUNTIFS('QA Log'!D:D,A112,'QA Log'!M:M,"QQC",'QA Log'!L:L,"*3. Curative Consultation (OPD)*"),
COUNTIFS('QA Log'!D:D,A112,'QA Log'!M:M,"QQC",'QA Log'!L:L,"*5. Laboratory*"),
COUNTIFS('QA Log'!D:D,A112,'QA Log'!M:M,"QQC",'QA Log'!L:L,"*6. Essential Medicine Management*"),
COUNTIFS('QA Log'!D:D,A112,'QA Log'!M:M,"QQC",'QA Log'!L:L,"*7. Tracer Medicine*"),
COUNTIFS('QA Log'!D:D,A112,'QA Log'!M:M,"QQC",'QA Log'!L:L,"*11. Additional Questions*")))</f>
        <v/>
      </c>
      <c r="K112" s="102" t="str">
        <f>IF(A112="","",SUM(
COUNTIFS('QA Log'!D:D,A112,'QA Log'!M:M,"QQC",'QA Log'!Z:Z,"Approved",'QA Log'!L:L,"*1. General Management*"),
COUNTIFS('QA Log'!D:D,A112,'QA Log'!M:M,"QQC",'QA Log'!Z:Z,"Approved",'QA Log'!L:L,"*3. Curative Consultation (OPD)*"),
COUNTIFS('QA Log'!D:D,A112,'QA Log'!M:M,"QQC",'QA Log'!Z:Z,"Approved",'QA Log'!L:L,"*5. Laboratory*"),
COUNTIFS('QA Log'!D:D,A112,'QA Log'!M:M,"QQC",'QA Log'!Z:Z,"Approved",'QA Log'!L:L,"*6. Essential Medicine Management*"),
COUNTIFS('QA Log'!D:D,A112,'QA Log'!M:M,"QQC",'QA Log'!Z:Z,"Approved",'QA Log'!L:L,"*7. Tracer Medicine*"),
COUNTIFS('QA Log'!D:D,A112,'QA Log'!M:M,"QQC",'QA Log'!Z:Z,"Approved",'QA Log'!L:L,"*11. Additional Questions*")))</f>
        <v/>
      </c>
      <c r="L112" s="105" t="str">
        <f>IF(A112&lt;&gt;"",COUNTIFS('QA Log'!D:D,A112,'QA Log'!M:M,"QQC",'QA Log'!L:L,"1. General Management",'QA Log'!Z:Z,"Approved"),"")</f>
        <v/>
      </c>
      <c r="M112" s="105" t="str">
        <f>IF(A112&lt;&gt;"",COUNTIFS('QA Log'!D:D,A112,'QA Log'!M:M,"QQC",'QA Log'!L:L,"3. Curative Consultation (OPD)",'QA Log'!Z:Z,"Approved"),"")</f>
        <v/>
      </c>
      <c r="N112" s="105" t="str">
        <f>IF(A112&lt;&gt;"",COUNTIFS('QA Log'!D:D,A112,'QA Log'!M:M,"QQC",'QA Log'!L:L,"5. Laboratory",'QA Log'!Z:Z,"Approved"),"")</f>
        <v/>
      </c>
      <c r="O112" s="105" t="str">
        <f>IF(A112&lt;&gt;"",COUNTIFS('QA Log'!D:D,A112,'QA Log'!M:M,"QQC",'QA Log'!L:L,"6. Essential Medicine Management",'QA Log'!Z:Z,"Approved"),"")</f>
        <v/>
      </c>
      <c r="P112" s="105" t="str">
        <f>IF(A112&lt;&gt;"",COUNTIFS('QA Log'!D:D,A112,'QA Log'!M:M,"QQC",'QA Log'!L:L,"7. Tracer Medicine",'QA Log'!Z:Z,"Approved"),"")</f>
        <v/>
      </c>
      <c r="Q112" s="105" t="str">
        <f>IF(A112&lt;&gt;"",COUNTIFS('QA Log'!D:D,A112,'QA Log'!M:M,"QQC",'QA Log'!L:L,"11. Additional Questions",'QA Log'!Z:Z,"Approved"),"")</f>
        <v/>
      </c>
      <c r="R112" s="102" t="str">
        <f>IF(A112="","",SUM(
COUNTIFS('QA Log'!D:D,A112,'QA Log'!M:M,"QQC",'QA Log'!Z:Z,"Rejected",'QA Log'!L:L,"*8. Maternity*"),
COUNTIFS('QA Log'!D:D,A112,'QA Log'!M:M,"QQC",'QA Log'!Z:Z,"Rejected",'QA Log'!L:L,"*EPI*"),
COUNTIFS('QA Log'!D:D,A112,'QA Log'!M:M,"QQC",'QA Log'!Z:Z,"Rejected",'QA Log'!L:L,"*10. Antenatal Care (ANC)*"),
COUNTIFS('QA Log'!D:D,A112,'QA Log'!M:M,"QQC",'QA Log'!Z:Z,"Rejected",'QA Log'!L:L,"*2. Hygiene and Sterilization*"),
COUNTIFS('QA Log'!D:D,A112,'QA Log'!M:M,"QQC",'QA Log'!Z:Z,"Rejected",'QA Log'!L:L,"*Family Planning*")))</f>
        <v/>
      </c>
      <c r="S112" s="106" t="str">
        <f t="shared" si="1"/>
        <v/>
      </c>
      <c r="T112" s="102" t="str">
        <f t="shared" si="2"/>
        <v/>
      </c>
      <c r="U112" s="102" t="str">
        <f>IF(A112="","",
SUM(
COUNTIFS('QA Log'!D:D,A112,'QA Log'!M:M,"QQC",'QA Log'!L:L,"*8. Maternity*"),
COUNTIFS('QA Log'!D:D,A112,'QA Log'!M:M,"QQC",'QA Log'!L:L,"*9. EPI and Pre-school Consultation*"),
COUNTIFS('QA Log'!D:D,A112,'QA Log'!M:M,"QQC",'QA Log'!L:L,"*10. Antenatal Care (ANC)*"),
COUNTIFS('QA Log'!D:D,A112,'QA Log'!M:M,"QQC",'QA Log'!L:L,"*2. Hygiene and Sterilization*"),
COUNTIFS('QA Log'!D:D,A112,'QA Log'!M:M,"QQC",'QA Log'!L:L,"*4. Family Planning*")
))</f>
        <v/>
      </c>
      <c r="V112" s="102" t="str">
        <f>IF(A112="","",
SUM(
COUNTIFS('QA Log'!D:D,A112,'QA Log'!M:M,"QQC",'QA Log'!Z:Z,"Approved",'QA Log'!L:L,"*8. Maternity*"),
COUNTIFS('QA Log'!D:D,A112,'QA Log'!M:M,"QQC",'QA Log'!Z:Z,"Approved",'QA Log'!L:L,"*9. EPI and Pre-school Consultation*"),
COUNTIFS('QA Log'!D:D,A112,'QA Log'!M:M,"QQC",'QA Log'!Z:Z,"Approved",'QA Log'!L:L,"*10. Antenatal Care (ANC)*"),
COUNTIFS('QA Log'!D:D,A112,'QA Log'!M:M,"QQC",'QA Log'!Z:Z,"Approved",'QA Log'!L:L,"*2. Hygiene and Sterilization*"),
COUNTIFS('QA Log'!D:D,A112,'QA Log'!M:M,"QQC",'QA Log'!Z:Z,"Approved",'QA Log'!L:L,"*4. Family Planning*")
))</f>
        <v/>
      </c>
      <c r="W112" s="105" t="str">
        <f>IF(A112&lt;&gt;"",COUNTIFS('QA Log'!D:D,A112,'QA Log'!M:M,"QQC",'QA Log'!L:L,"8. Maternity",'QA Log'!Z:Z,"Approved"),"")</f>
        <v/>
      </c>
      <c r="X112" s="105" t="str">
        <f>IF(A112&lt;&gt;"",COUNTIFS('QA Log'!D:D,A112,'QA Log'!M:M,"QQC",'QA Log'!L:L,"9. EPI and Pre-school Consultation",'QA Log'!Z:Z,"Approved"),"")</f>
        <v/>
      </c>
      <c r="Y112" s="105" t="str">
        <f>IF(A112&lt;&gt;"",COUNTIFS('QA Log'!D:D,A112,'QA Log'!M:M,"QQC",'QA Log'!L:L,"10. Antenatal Care (ANC)",'QA Log'!Z:Z,"Approved"),"")</f>
        <v/>
      </c>
      <c r="Z112" s="105" t="str">
        <f>IF(A112&lt;&gt;"",COUNTIFS('QA Log'!D:D,A112,'QA Log'!M:M,"QQC",'QA Log'!L:L,"2. Hygiene and Sterilization",'QA Log'!Z:Z,"Approved"),"")</f>
        <v/>
      </c>
      <c r="AA112" s="105" t="str">
        <f>IF(A112&lt;&gt;"",COUNTIFS('QA Log'!D:D,A112,'QA Log'!M:M,"QQC",'QA Log'!L:L,"4. Family Planning",'QA Log'!Z:Z,"Approved"),"")</f>
        <v/>
      </c>
      <c r="AB112" s="102" t="str">
        <f>IF(A112="","",
SUM(
COUNTIFS('QA Log'!D:D,A112,'QA Log'!M:M,"QQC",'QA Log'!Z:Z,"Rejected",'QA Log'!L:L,"*8. Maternity*"),
COUNTIFS('QA Log'!D:D,A112,'QA Log'!M:M,"QQC",'QA Log'!Z:Z,"Rejected",'QA Log'!L:L,"*9. EPI and Pre-school Consultation*"),
COUNTIFS('QA Log'!D:D,A112,'QA Log'!M:M,"QQC",'QA Log'!Z:Z,"Rejected",'QA Log'!L:L,"*10. Antenatal Care (ANC)*"),
COUNTIFS('QA Log'!D:D,A112,'QA Log'!M:M,"QQC",'QA Log'!Z:Z,"Rejected",'QA Log'!L:L,"*2. Hygiene and Sterilization*"),
COUNTIFS('QA Log'!D:D,A112,'QA Log'!M:M,"QQC",'QA Log'!Z:Z,"Rejected",'QA Log'!L:L,"*4. Family Planning*")
))</f>
        <v/>
      </c>
      <c r="AC112" s="102" t="str">
        <f t="shared" si="3"/>
        <v/>
      </c>
      <c r="AD112" s="103" t="str">
        <f t="shared" si="4"/>
        <v/>
      </c>
      <c r="AE112" s="102" t="str">
        <f>IF(A112="","",
SUM(
COUNTIFS('QA Log'!D:D,A112,'QA Log'!M:M,"Data Verification",'QA Log'!L:L,"*Medicine (section 2)*"),
COUNTIFS('QA Log'!D:D,A112,'QA Log'!M:M,"Data Verification",'QA Log'!L:L,"*Lab Testing Availability*"),
COUNTIFS('QA Log'!D:D,A112,'QA Log'!M:M,"Data Verification",'QA Log'!L:L,"*Other than P4P (section 6)*"),
COUNTIFS('QA Log'!D:D,A112,'QA Log'!M:M,"Data Verification",'QA Log'!L:L,"*Hospital Governance*")
))</f>
        <v/>
      </c>
      <c r="AF112" s="102" t="str">
        <f>IF(A112="","",
SUM(
COUNTIFS('QA Log'!D:D,A112,'QA Log'!M:M,"Data Verification",'QA Log'!Z:Z,"Approved",'QA Log'!L:L,"*Medicine (section 2)*"),
COUNTIFS('QA Log'!D:D,A112,'QA Log'!M:M,"Data Verification",'QA Log'!Z:Z,"Approved",'QA Log'!L:L,"*Lab Testing Availability*"),
COUNTIFS('QA Log'!D:D,A112,'QA Log'!M:M,"Data Verification",'QA Log'!Z:Z,"Approved",'QA Log'!L:L,"*Other than P4P (section 6)*"),
COUNTIFS('QA Log'!D:D,A112,'QA Log'!M:M,"Data Verification",'QA Log'!Z:Z,"Approved",'QA Log'!L:L,"*Hospital Governance*")
))</f>
        <v/>
      </c>
      <c r="AG112" s="105" t="str">
        <f>IF(A112&lt;&gt;"",COUNTIFS('QA Log'!D:D,A112,'QA Log'!M:M,"Data Verification",'QA Log'!L:L,"Medicine (section 2)",'QA Log'!Z:Z,"Approved"),"")</f>
        <v/>
      </c>
      <c r="AH112" s="105" t="str">
        <f>IF(A112&lt;&gt;"",COUNTIFS('QA Log'!D:D,A112,'QA Log'!M:M,"Data Verification",'QA Log'!L:L,"Lab Testing Availability",'QA Log'!Z:Z,"Approved"),"")</f>
        <v/>
      </c>
      <c r="AI112" s="105" t="str">
        <f>IF(A112&lt;&gt;"",COUNTIFS('QA Log'!D:D,A112,'QA Log'!M:M,"Data Verification",'QA Log'!L:L,"Other than P4P (section 6)",'QA Log'!Z:Z,"Approved"),"")</f>
        <v/>
      </c>
      <c r="AJ112" s="105" t="str">
        <f>IF(A112&lt;&gt;"",COUNTIFS('QA Log'!D:D,A112,'QA Log'!M:M,"Data Verification",'QA Log'!L:L,"Hospital Governance",'QA Log'!Z:Z,"Approved"),"")</f>
        <v/>
      </c>
      <c r="AK112" s="102" t="str">
        <f>IF(A112="","",
SUM(
COUNTIFS('QA Log'!D:D,A112,'QA Log'!M:M,"Data Verification",'QA Log'!Z:Z,"Rejected",'QA Log'!L:L,"*Medicine (section 2)*"),
COUNTIFS('QA Log'!D:D,A112,'QA Log'!M:M,"Data Verification",'QA Log'!Z:Z,"Rejected",'QA Log'!L:L,"*Lab Testing Availability*"),
COUNTIFS('QA Log'!D:D,A112,'QA Log'!M:M,"Data Verification",'QA Log'!Z:Z,"Rejected",'QA Log'!L:L,"*Other than P4P (section 6)*"),
COUNTIFS('QA Log'!D:D,A112,'QA Log'!M:M,"Data Verification",'QA Log'!Z:Z,"Rejected",'QA Log'!L:L,"*Hospital Governance*")
))</f>
        <v/>
      </c>
      <c r="AL112" s="106" t="str">
        <f t="shared" si="5"/>
        <v/>
      </c>
      <c r="AM112" s="102" t="str">
        <f t="shared" si="6"/>
        <v/>
      </c>
      <c r="AN112" s="102" t="str">
        <f>IF(A112="","",
SUM(
COUNTIFS('QA Log'!D:D,A112,'QA Log'!M:M,"Data Verification",'QA Log'!L:L,"*Personnel (section 1)*"),
COUNTIFS('QA Log'!D:D,A112,'QA Log'!M:M,"Data Verification",'QA Log'!L:L,"*Consumable (section 3)*"),
COUNTIFS('QA Log'!D:D,A112,'QA Log'!M:M,"Data Verification",'QA Log'!L:L,"*Equipments (section 4)*")
))</f>
        <v/>
      </c>
      <c r="AO112" s="102" t="str">
        <f>IF(A112="","",
SUM(
COUNTIFS('QA Log'!D:D,A112,'QA Log'!M:M,"Data Verification",'QA Log'!Z:Z,"Approved",'QA Log'!L:L,"*Personnel (section 1)*"),
COUNTIFS('QA Log'!D:D,A112,'QA Log'!M:M,"Data Verification",'QA Log'!Z:Z,"Approved",'QA Log'!L:L,"*Consumable (section 3)*"),
COUNTIFS('QA Log'!D:D,A112,'QA Log'!M:M,"Data Verification",'QA Log'!Z:Z,"Approved",'QA Log'!L:L,"*Equipments (section 4)*")
))</f>
        <v/>
      </c>
      <c r="AP112" s="105" t="str">
        <f>IF(A112&lt;&gt;"",COUNTIFS('QA Log'!D:D,A112,'QA Log'!M:M,"Data Verification",'QA Log'!L:L,"Personnel (section 1)",'QA Log'!Z:Z,"Approved"),"")</f>
        <v/>
      </c>
      <c r="AQ112" s="105" t="str">
        <f>IF(A112&lt;&gt;"",COUNTIFS('QA Log'!D:D,A112,'QA Log'!M:M,"Data Verification",'QA Log'!L:L,"Consumable (section 3)",'QA Log'!Z:Z,"Approved"),"")</f>
        <v/>
      </c>
      <c r="AR112" s="105" t="str">
        <f>IF(A112&lt;&gt;"",COUNTIFS('QA Log'!D:D,A112,'QA Log'!M:M,"Data Verification",'QA Log'!L:L,"Equipments (section 4)",'QA Log'!Z:Z,"Approved"),"")</f>
        <v/>
      </c>
      <c r="AS112" s="102" t="str">
        <f>IF(A112="","",
SUM(
COUNTIFS('QA Log'!D:D,A112,'QA Log'!M:M,"Data Verification",'QA Log'!Z:Z,"Rejected",'QA Log'!L:L,"*Personnel (section 1)*"),
COUNTIFS('QA Log'!D:D,A112,'QA Log'!M:M,"Data Verification",'QA Log'!Z:Z,"Rejected",'QA Log'!L:L,"*Consumable (section 3)*"),
COUNTIFS('QA Log'!D:D,A112,'QA Log'!M:M,"Data Verification",'QA Log'!Z:Z,"Rejected",'QA Log'!L:L,"*Equipments (section 4)*")
))</f>
        <v/>
      </c>
      <c r="AT112" s="102" t="str">
        <f t="shared" si="7"/>
        <v/>
      </c>
      <c r="AU112" s="103" t="str">
        <f t="shared" si="8"/>
        <v/>
      </c>
      <c r="AV112" s="102" t="str">
        <f>IF(A112="","",SUM(
COUNTIFS('QA Log'!D:D,A112,'QA Log'!M:M,"Vignette",'QA Log'!L:L,"*Vignette [1] Respiratory Infection: Pneumonia*"),
COUNTIFS('QA Log'!D:D,A112,'QA Log'!M:M,"Vignette",'QA Log'!L:L,"*Vignette [2]: Diarrhea with Cat B dehydration*"),
COUNTIFS('QA Log'!D:D,A112,'QA Log'!M:M,"Vignette",'QA Log'!L:L,"*Vignette [3] Growth Monitoring and Promotion*"),
COUNTIFS('QA Log'!D:D,A112,'QA Log'!M:M,"Vignette",'QA Log'!L:L,"*Vignette [4]: The management of presumptive TB patient*")
)
)</f>
        <v/>
      </c>
      <c r="AW112" s="102" t="str">
        <f>IF(
  A112="","",
  SUM(
    COUNTIFS('QA Log'!D:D,A112,'QA Log'!M:M,"Vignette",'QA Log'!Z:Z,"Approved",'QA Log'!L:L,"*Vignette [1] Respiratory Infection: Pneumonia*"),
    COUNTIFS('QA Log'!D:D,A112,'QA Log'!M:M,"Vignette",'QA Log'!Z:Z,"Approved",'QA Log'!L:L,"*Vignette [2]: Diarrhea with Cat B dehydration*"),
    COUNTIFS('QA Log'!D:D,A112,'QA Log'!M:M,"Vignette",'QA Log'!Z:Z,"Approved",'QA Log'!L:L,"*Vignette [3] Growth Monitoring and Promotion*"),
    COUNTIFS('QA Log'!D:D,A112,'QA Log'!M:M,"Vignette",'QA Log'!Z:Z,"Approved",'QA Log'!L:L,"*Vignette [4]: The management of presumptive TB patient*")
  )
)</f>
        <v/>
      </c>
      <c r="AX112" s="105" t="str">
        <f>IF(A112&lt;&gt;"",COUNTIFS('QA Log'!D:D,A112,'QA Log'!M:M,"Vignette",'QA Log'!L:L,"Vignette [1] Respiratory Infection: Pneumonia",'QA Log'!Z:Z,"Approved"),"")</f>
        <v/>
      </c>
      <c r="AY112" s="105" t="str">
        <f>IF(A112&lt;&gt;"",COUNTIFS('QA Log'!D:D,A112,'QA Log'!M:M,"Vignette",'QA Log'!L:L,"Vignette [2]: Diarrhea with Cat B dehydration",'QA Log'!Z:Z,"Approved"),"")</f>
        <v/>
      </c>
      <c r="AZ112" s="105" t="str">
        <f>IF(A112&lt;&gt;"",COUNTIFS('QA Log'!D:D,A112,'QA Log'!M:M,"Vignette",'QA Log'!L:L,"Vignette [3] Growth Monitoring and Promotion",'QA Log'!Z:Z,"Approved"),"")</f>
        <v/>
      </c>
      <c r="BA112" s="105" t="str">
        <f>IF(A112&lt;&gt;"",COUNTIFS('QA Log'!D:D,A112,'QA Log'!M:M,"Vignette",'QA Log'!L:L,"Vignette [4]: The management of presumptive TB patient",'QA Log'!Z:Z,"Approved"),"")</f>
        <v/>
      </c>
      <c r="BB112" s="102" t="str">
        <f>IF(A112="","",
  SUM(
    COUNTIFS('QA Log'!D:D,A112,'QA Log'!M:M,"Vignette",'QA Log'!Z:Z,"Rejected",'QA Log'!L:L,"*Vignette [1] Respiratory Infection: Pneumonia*"),
    COUNTIFS('QA Log'!D:D,A112,'QA Log'!M:M,"Vignette",'QA Log'!Z:Z,"Rejected",'QA Log'!L:L,"*Vignette [2]: Diarrhea with Cat B dehydration*"),
    COUNTIFS('QA Log'!D:D,A112,'QA Log'!M:M,"Vignette",'QA Log'!Z:Z,"Rejected",'QA Log'!L:L,"*Vignette [3] Growth Monitoring and Promotion*"),
    COUNTIFS('QA Log'!D:D,A112,'QA Log'!M:M,"Vignette",'QA Log'!Z:Z,"Rejected",'QA Log'!L:L,"*Vignette [4]: The management of presumptive TB patient*")
  )
)</f>
        <v/>
      </c>
      <c r="BC112" s="107" t="str">
        <f t="shared" si="9"/>
        <v/>
      </c>
      <c r="BD112" s="103" t="str">
        <f t="shared" si="10"/>
        <v/>
      </c>
      <c r="BE112" s="102" t="str">
        <f>IF(A112="","",SUM(
COUNTIFS('QA Log'!D:D,A112,'QA Log'!M:M,"Vignette",'QA Log'!L:L,"*Vignette [5] Labor*"),
COUNTIFS('QA Log'!D:D,A112,'QA Log'!M:M,"Vignette",'QA Log'!L:L,"*Vignette [6] PNC pre Discharge*"),
COUNTIFS('QA Log'!D:D,A112,'QA Log'!M:M,"Vignette",'QA Log'!L:L,"*Vignette [7] First ANC Visit*"),
COUNTIFS('QA Log'!D:D,A112,'QA Log'!M:M,"Vignette",'QA Log'!L:L,"*Vignette [8] Birth Spacing/ Family Planning :  FP Counselling*"),
COUNTIFS('QA Log'!D:D,A112,'QA Log'!M:M,"Vignette",'QA Log'!L:L,"*Vignette [9] Birth Spacing: Change FP method to Injectable*"),
COUNTIFS('QA Log'!D:D,A112,'QA Log'!M:M,"Vignette",'QA Log'!L:L,"*Vignette [10] Post Partum Haemorrhage - Atonic Uterus at Health Centre*"),
)
)</f>
        <v/>
      </c>
      <c r="BF112" s="102" t="str">
        <f>IF(A112="","",
  SUM(
    COUNTIFS('QA Log'!D:D,A112,'QA Log'!M:M,"Vignette",'QA Log'!Z:Z,"Approved",'QA Log'!L:L,"*Vignette [5] Labor*"),
    COUNTIFS('QA Log'!D:D,A112,'QA Log'!M:M,"Vignette",'QA Log'!Z:Z,"Approved",'QA Log'!L:L,"*Vignette [6] PNC pre Discharge*"),
    COUNTIFS('QA Log'!D:D,A112,'QA Log'!M:M,"Vignette",'QA Log'!Z:Z,"Approved",'QA Log'!L:L,"*Vignette [7] First ANC Visit*"),
    COUNTIFS('QA Log'!D:D,A112,'QA Log'!M:M,"Vignette",'QA Log'!Z:Z,"Approved",'QA Log'!L:L,"*Vignette [8] Birth Spacing/ Family Planning :  FP Counselling*"),
    COUNTIFS('QA Log'!D:D,A112,'QA Log'!M:M,"Vignette",'QA Log'!Z:Z,"Approved",'QA Log'!L:L,"*Vignette [9] Birth Spacing: Change FP method to Injectable*"),
    COUNTIFS('QA Log'!D:D,A112,'QA Log'!M:M,"Vignette",'QA Log'!Z:Z,"Approved",'QA Log'!L:L,"*Vignette [10] Post Partum Haemorrhage - Atonic Uterus at Health Centre*")
  )
)</f>
        <v/>
      </c>
      <c r="BG112" s="105" t="str">
        <f>IF(A112&lt;&gt;"",COUNTIFS('QA Log'!D:D,A112,'QA Log'!M:M,"Vignette",'QA Log'!L:L,"Vignette [5] Labor",'QA Log'!Z:Z,"Approved"),"")</f>
        <v/>
      </c>
      <c r="BH112" s="105" t="str">
        <f>IF(A112&lt;&gt;"",COUNTIFS('QA Log'!D:D,A112,'QA Log'!M:M,"Vignette",'QA Log'!L:L,"Vignette [6] PNC pre Discharge",'QA Log'!Z:Z,"Approved"),"")</f>
        <v/>
      </c>
      <c r="BI112" s="105" t="str">
        <f>IF(A112&lt;&gt;"",COUNTIFS('QA Log'!D:D,A112,'QA Log'!M:M,"Vignette",'QA Log'!L:L,"Vignette [7] First ANC Visit",'QA Log'!Z:Z,"Approved"),"")</f>
        <v/>
      </c>
      <c r="BJ112" s="105" t="str">
        <f>IF(A112&lt;&gt;"",COUNTIFS('QA Log'!D:D,A112,'QA Log'!M:M,"Vignette",'QA Log'!L:L,"Vignette [8] Birth Spacing/ Family Planning :  FP Counselling",'QA Log'!Z:Z,"Approved"),"")</f>
        <v/>
      </c>
      <c r="BK112" s="105" t="str">
        <f>IF(A112&lt;&gt;"",COUNTIFS('QA Log'!D:D,A112,'QA Log'!M:M,"Vignette",'QA Log'!L:L,"Vignette [9] Birth Spacing: Change FP method to Injectable",'QA Log'!Z:Z,"Approved"),"")</f>
        <v/>
      </c>
      <c r="BL112" s="105" t="str">
        <f>IF(A112&lt;&gt;"",COUNTIFS('QA Log'!D:D,A112,'QA Log'!M:M,"Vignette",'QA Log'!L:L,"Vignette [10] Post Partum Haemorrhage - Atonic Uterus at Health Centre",'QA Log'!Z:Z,"Approved"),"")</f>
        <v/>
      </c>
      <c r="BM112" s="102" t="str">
        <f>IF(A112="","",SUM(
    COUNTIFS('QA Log'!D:D,A112,'QA Log'!M:M,"Vignette",'QA Log'!Z:Z,"Rejected",'QA Log'!L:L,"*Vignette [5] Labor*"),
    COUNTIFS('QA Log'!D:D,A112,'QA Log'!M:M,"Vignette",'QA Log'!Z:Z,"Rejected",'QA Log'!L:L,"*Vignette [6] PNC pre Discharge*"),
    COUNTIFS('QA Log'!D:D,A112,'QA Log'!M:M,"Vignette",'QA Log'!Z:Z,"Rejected",'QA Log'!L:L,"*Vignette [7] First ANC Visit*"),
    COUNTIFS('QA Log'!D:D,A112,'QA Log'!M:M,"Vignette",'QA Log'!Z:Z,"Rejected",'QA Log'!L:L,"*Vignette [8] Birth Spacing/ Family Planning :  FP Counselling*"),
    COUNTIFS('QA Log'!D:D,A112,'QA Log'!M:M,"Vignette",'QA Log'!Z:Z,"Rejected",'QA Log'!L:L,"*Vignette [9] Birth Spacing: Change FP method to Injectable*"),
    COUNTIFS('QA Log'!D:D,A112,'QA Log'!M:M,"Vignette",'QA Log'!Z:Z,"Rejected",'QA Log'!L:L,"*Vignette [10] Post Partum Haemorrhage - Atonic Uterus at Health Centre*")
  )
)</f>
        <v/>
      </c>
      <c r="BN112" s="107" t="str">
        <f t="shared" si="11"/>
        <v/>
      </c>
      <c r="BO112" s="103" t="str">
        <f t="shared" si="12"/>
        <v/>
      </c>
      <c r="BP112" s="102" t="str">
        <f>IF(A112="","",SUM(
COUNTIFS('QA Log'!D:D,A112,'QA Log'!M:M,"Vignette",'QA Log'!L:L,"*Exit Interview 1*"),
COUNTIFS('QA Log'!D:D,A112,'QA Log'!M:M,"Vignette",'QA Log'!L:L,"*Exit Interview 2*"),
)
)</f>
        <v/>
      </c>
      <c r="BQ112" s="102" t="str">
        <f>IF(
  A112="","",
  SUM(
    COUNTIFS('QA Log'!D:D,A112,'QA Log'!M:M,"Vignette",'QA Log'!Z:Z,"Approved",'QA Log'!L:L,"*Exit Interview 1*"),
    COUNTIFS('QA Log'!D:D,A112,'QA Log'!M:M,"Vignette",'QA Log'!Z:Z,"Approved",'QA Log'!L:L,"*Exit Interview 2*")
  )
)</f>
        <v/>
      </c>
      <c r="BR112" s="105" t="str">
        <f>IF(A112&lt;&gt;"",COUNTIFS('QA Log'!D:D,A112,'QA Log'!M:M,"Vignette",'QA Log'!L:L,"Exit Interview 1",'QA Log'!Z:Z,"Approved"),"")</f>
        <v/>
      </c>
      <c r="BS112" s="105" t="str">
        <f>IF(A112&lt;&gt;"",COUNTIFS('QA Log'!D:D,A112,'QA Log'!M:M,"Vignette",'QA Log'!L:L,"Exit Interview 2",'QA Log'!Z:Z,"Approved"),"")</f>
        <v/>
      </c>
      <c r="BT112" s="102" t="str">
        <f>IF(
  A112="","",
  SUM(
    COUNTIFS('QA Log'!D:D,A112,'QA Log'!M:M,"Vignette",'QA Log'!Z:Z,"Rejected",'QA Log'!L:L,"*Exit Interview 1*"),
    COUNTIFS('QA Log'!D:D,A112,'QA Log'!M:M,"Vignette",'QA Log'!Z:Z,"Rejected",'QA Log'!L:L,"*Exit Interview 2*")
  )
)</f>
        <v/>
      </c>
      <c r="BU112" s="107" t="str">
        <f t="shared" si="13"/>
        <v/>
      </c>
      <c r="BV112" s="102" t="str">
        <f t="shared" si="14"/>
        <v/>
      </c>
      <c r="BW112" s="102" t="str">
        <f t="shared" si="15"/>
        <v/>
      </c>
      <c r="BX112" s="102" t="str">
        <f t="shared" si="16"/>
        <v/>
      </c>
      <c r="BY112" s="102" t="str">
        <f t="shared" si="17"/>
        <v/>
      </c>
      <c r="BZ112" s="107" t="str">
        <f t="shared" si="18"/>
        <v/>
      </c>
      <c r="CA112" s="108" t="str">
        <f t="shared" si="19"/>
        <v/>
      </c>
      <c r="CB112" s="108" t="str">
        <f t="shared" si="20"/>
        <v/>
      </c>
      <c r="CC112" s="109" t="str">
        <f t="shared" si="21"/>
        <v/>
      </c>
      <c r="CD112" s="108" t="str">
        <f t="shared" si="22"/>
        <v/>
      </c>
      <c r="CE112" s="108" t="str">
        <f t="shared" si="23"/>
        <v/>
      </c>
      <c r="CF112" s="109" t="str">
        <f t="shared" si="24"/>
        <v/>
      </c>
      <c r="CG112" s="110" t="str">
        <f t="shared" si="25"/>
        <v/>
      </c>
      <c r="CH112" s="111"/>
    </row>
    <row r="113" spans="1:86" ht="12.75">
      <c r="A113" s="101"/>
      <c r="B113" s="102" t="e">
        <f t="array" aca="1" ref="B113" ca="1">_xludf.XLOOKUP(A113,'QA Log'!D:D,'QA Log'!E:E,"")</f>
        <v>#NAME?</v>
      </c>
      <c r="C113" s="102" t="e">
        <f t="array" aca="1" ref="C113" ca="1">_xludf.XLOOKUP(A113,'QA Log'!D:D,'QA Log'!F:F,"")</f>
        <v>#NAME?</v>
      </c>
      <c r="D113" s="102" t="e">
        <f t="array" aca="1" ref="D113" ca="1">_xludf.XLOOKUP(A113,'QA Log'!D:D,'QA Log'!H:H,"")</f>
        <v>#NAME?</v>
      </c>
      <c r="E113" s="102" t="e">
        <f t="array" aca="1" ref="E113" ca="1">_xludf.XLOOKUP(A113,'QA Log'!D:D,'QA Log'!G:G,"")</f>
        <v>#NAME?</v>
      </c>
      <c r="F113" s="103"/>
      <c r="G113" s="104"/>
      <c r="H113" s="104"/>
      <c r="I113" s="103" t="str">
        <f t="shared" si="0"/>
        <v/>
      </c>
      <c r="J113" s="102" t="str">
        <f>IF(A113="","",SUM(
COUNTIFS('QA Log'!D:D,A113,'QA Log'!M:M,"QQC",'QA Log'!L:L,"*1. General Management*"),
COUNTIFS('QA Log'!D:D,A113,'QA Log'!M:M,"QQC",'QA Log'!L:L,"*3. Curative Consultation (OPD)*"),
COUNTIFS('QA Log'!D:D,A113,'QA Log'!M:M,"QQC",'QA Log'!L:L,"*5. Laboratory*"),
COUNTIFS('QA Log'!D:D,A113,'QA Log'!M:M,"QQC",'QA Log'!L:L,"*6. Essential Medicine Management*"),
COUNTIFS('QA Log'!D:D,A113,'QA Log'!M:M,"QQC",'QA Log'!L:L,"*7. Tracer Medicine*"),
COUNTIFS('QA Log'!D:D,A113,'QA Log'!M:M,"QQC",'QA Log'!L:L,"*11. Additional Questions*")))</f>
        <v/>
      </c>
      <c r="K113" s="102" t="str">
        <f>IF(A113="","",SUM(
COUNTIFS('QA Log'!D:D,A113,'QA Log'!M:M,"QQC",'QA Log'!Z:Z,"Approved",'QA Log'!L:L,"*1. General Management*"),
COUNTIFS('QA Log'!D:D,A113,'QA Log'!M:M,"QQC",'QA Log'!Z:Z,"Approved",'QA Log'!L:L,"*3. Curative Consultation (OPD)*"),
COUNTIFS('QA Log'!D:D,A113,'QA Log'!M:M,"QQC",'QA Log'!Z:Z,"Approved",'QA Log'!L:L,"*5. Laboratory*"),
COUNTIFS('QA Log'!D:D,A113,'QA Log'!M:M,"QQC",'QA Log'!Z:Z,"Approved",'QA Log'!L:L,"*6. Essential Medicine Management*"),
COUNTIFS('QA Log'!D:D,A113,'QA Log'!M:M,"QQC",'QA Log'!Z:Z,"Approved",'QA Log'!L:L,"*7. Tracer Medicine*"),
COUNTIFS('QA Log'!D:D,A113,'QA Log'!M:M,"QQC",'QA Log'!Z:Z,"Approved",'QA Log'!L:L,"*11. Additional Questions*")))</f>
        <v/>
      </c>
      <c r="L113" s="105" t="str">
        <f>IF(A113&lt;&gt;"",COUNTIFS('QA Log'!D:D,A113,'QA Log'!M:M,"QQC",'QA Log'!L:L,"1. General Management",'QA Log'!Z:Z,"Approved"),"")</f>
        <v/>
      </c>
      <c r="M113" s="105" t="str">
        <f>IF(A113&lt;&gt;"",COUNTIFS('QA Log'!D:D,A113,'QA Log'!M:M,"QQC",'QA Log'!L:L,"3. Curative Consultation (OPD)",'QA Log'!Z:Z,"Approved"),"")</f>
        <v/>
      </c>
      <c r="N113" s="105" t="str">
        <f>IF(A113&lt;&gt;"",COUNTIFS('QA Log'!D:D,A113,'QA Log'!M:M,"QQC",'QA Log'!L:L,"5. Laboratory",'QA Log'!Z:Z,"Approved"),"")</f>
        <v/>
      </c>
      <c r="O113" s="105" t="str">
        <f>IF(A113&lt;&gt;"",COUNTIFS('QA Log'!D:D,A113,'QA Log'!M:M,"QQC",'QA Log'!L:L,"6. Essential Medicine Management",'QA Log'!Z:Z,"Approved"),"")</f>
        <v/>
      </c>
      <c r="P113" s="105" t="str">
        <f>IF(A113&lt;&gt;"",COUNTIFS('QA Log'!D:D,A113,'QA Log'!M:M,"QQC",'QA Log'!L:L,"7. Tracer Medicine",'QA Log'!Z:Z,"Approved"),"")</f>
        <v/>
      </c>
      <c r="Q113" s="105" t="str">
        <f>IF(A113&lt;&gt;"",COUNTIFS('QA Log'!D:D,A113,'QA Log'!M:M,"QQC",'QA Log'!L:L,"11. Additional Questions",'QA Log'!Z:Z,"Approved"),"")</f>
        <v/>
      </c>
      <c r="R113" s="102" t="str">
        <f>IF(A113="","",SUM(
COUNTIFS('QA Log'!D:D,A113,'QA Log'!M:M,"QQC",'QA Log'!Z:Z,"Rejected",'QA Log'!L:L,"*8. Maternity*"),
COUNTIFS('QA Log'!D:D,A113,'QA Log'!M:M,"QQC",'QA Log'!Z:Z,"Rejected",'QA Log'!L:L,"*EPI*"),
COUNTIFS('QA Log'!D:D,A113,'QA Log'!M:M,"QQC",'QA Log'!Z:Z,"Rejected",'QA Log'!L:L,"*10. Antenatal Care (ANC)*"),
COUNTIFS('QA Log'!D:D,A113,'QA Log'!M:M,"QQC",'QA Log'!Z:Z,"Rejected",'QA Log'!L:L,"*2. Hygiene and Sterilization*"),
COUNTIFS('QA Log'!D:D,A113,'QA Log'!M:M,"QQC",'QA Log'!Z:Z,"Rejected",'QA Log'!L:L,"*Family Planning*")))</f>
        <v/>
      </c>
      <c r="S113" s="106" t="str">
        <f t="shared" si="1"/>
        <v/>
      </c>
      <c r="T113" s="102" t="str">
        <f t="shared" si="2"/>
        <v/>
      </c>
      <c r="U113" s="102" t="str">
        <f>IF(A113="","",
SUM(
COUNTIFS('QA Log'!D:D,A113,'QA Log'!M:M,"QQC",'QA Log'!L:L,"*8. Maternity*"),
COUNTIFS('QA Log'!D:D,A113,'QA Log'!M:M,"QQC",'QA Log'!L:L,"*9. EPI and Pre-school Consultation*"),
COUNTIFS('QA Log'!D:D,A113,'QA Log'!M:M,"QQC",'QA Log'!L:L,"*10. Antenatal Care (ANC)*"),
COUNTIFS('QA Log'!D:D,A113,'QA Log'!M:M,"QQC",'QA Log'!L:L,"*2. Hygiene and Sterilization*"),
COUNTIFS('QA Log'!D:D,A113,'QA Log'!M:M,"QQC",'QA Log'!L:L,"*4. Family Planning*")
))</f>
        <v/>
      </c>
      <c r="V113" s="102" t="str">
        <f>IF(A113="","",
SUM(
COUNTIFS('QA Log'!D:D,A113,'QA Log'!M:M,"QQC",'QA Log'!Z:Z,"Approved",'QA Log'!L:L,"*8. Maternity*"),
COUNTIFS('QA Log'!D:D,A113,'QA Log'!M:M,"QQC",'QA Log'!Z:Z,"Approved",'QA Log'!L:L,"*9. EPI and Pre-school Consultation*"),
COUNTIFS('QA Log'!D:D,A113,'QA Log'!M:M,"QQC",'QA Log'!Z:Z,"Approved",'QA Log'!L:L,"*10. Antenatal Care (ANC)*"),
COUNTIFS('QA Log'!D:D,A113,'QA Log'!M:M,"QQC",'QA Log'!Z:Z,"Approved",'QA Log'!L:L,"*2. Hygiene and Sterilization*"),
COUNTIFS('QA Log'!D:D,A113,'QA Log'!M:M,"QQC",'QA Log'!Z:Z,"Approved",'QA Log'!L:L,"*4. Family Planning*")
))</f>
        <v/>
      </c>
      <c r="W113" s="105" t="str">
        <f>IF(A113&lt;&gt;"",COUNTIFS('QA Log'!D:D,A113,'QA Log'!M:M,"QQC",'QA Log'!L:L,"8. Maternity",'QA Log'!Z:Z,"Approved"),"")</f>
        <v/>
      </c>
      <c r="X113" s="105" t="str">
        <f>IF(A113&lt;&gt;"",COUNTIFS('QA Log'!D:D,A113,'QA Log'!M:M,"QQC",'QA Log'!L:L,"9. EPI and Pre-school Consultation",'QA Log'!Z:Z,"Approved"),"")</f>
        <v/>
      </c>
      <c r="Y113" s="105" t="str">
        <f>IF(A113&lt;&gt;"",COUNTIFS('QA Log'!D:D,A113,'QA Log'!M:M,"QQC",'QA Log'!L:L,"10. Antenatal Care (ANC)",'QA Log'!Z:Z,"Approved"),"")</f>
        <v/>
      </c>
      <c r="Z113" s="105" t="str">
        <f>IF(A113&lt;&gt;"",COUNTIFS('QA Log'!D:D,A113,'QA Log'!M:M,"QQC",'QA Log'!L:L,"2. Hygiene and Sterilization",'QA Log'!Z:Z,"Approved"),"")</f>
        <v/>
      </c>
      <c r="AA113" s="105" t="str">
        <f>IF(A113&lt;&gt;"",COUNTIFS('QA Log'!D:D,A113,'QA Log'!M:M,"QQC",'QA Log'!L:L,"4. Family Planning",'QA Log'!Z:Z,"Approved"),"")</f>
        <v/>
      </c>
      <c r="AB113" s="102" t="str">
        <f>IF(A113="","",
SUM(
COUNTIFS('QA Log'!D:D,A113,'QA Log'!M:M,"QQC",'QA Log'!Z:Z,"Rejected",'QA Log'!L:L,"*8. Maternity*"),
COUNTIFS('QA Log'!D:D,A113,'QA Log'!M:M,"QQC",'QA Log'!Z:Z,"Rejected",'QA Log'!L:L,"*9. EPI and Pre-school Consultation*"),
COUNTIFS('QA Log'!D:D,A113,'QA Log'!M:M,"QQC",'QA Log'!Z:Z,"Rejected",'QA Log'!L:L,"*10. Antenatal Care (ANC)*"),
COUNTIFS('QA Log'!D:D,A113,'QA Log'!M:M,"QQC",'QA Log'!Z:Z,"Rejected",'QA Log'!L:L,"*2. Hygiene and Sterilization*"),
COUNTIFS('QA Log'!D:D,A113,'QA Log'!M:M,"QQC",'QA Log'!Z:Z,"Rejected",'QA Log'!L:L,"*4. Family Planning*")
))</f>
        <v/>
      </c>
      <c r="AC113" s="102" t="str">
        <f t="shared" si="3"/>
        <v/>
      </c>
      <c r="AD113" s="103" t="str">
        <f t="shared" si="4"/>
        <v/>
      </c>
      <c r="AE113" s="102" t="str">
        <f>IF(A113="","",
SUM(
COUNTIFS('QA Log'!D:D,A113,'QA Log'!M:M,"Data Verification",'QA Log'!L:L,"*Medicine (section 2)*"),
COUNTIFS('QA Log'!D:D,A113,'QA Log'!M:M,"Data Verification",'QA Log'!L:L,"*Lab Testing Availability*"),
COUNTIFS('QA Log'!D:D,A113,'QA Log'!M:M,"Data Verification",'QA Log'!L:L,"*Other than P4P (section 6)*"),
COUNTIFS('QA Log'!D:D,A113,'QA Log'!M:M,"Data Verification",'QA Log'!L:L,"*Hospital Governance*")
))</f>
        <v/>
      </c>
      <c r="AF113" s="102" t="str">
        <f>IF(A113="","",
SUM(
COUNTIFS('QA Log'!D:D,A113,'QA Log'!M:M,"Data Verification",'QA Log'!Z:Z,"Approved",'QA Log'!L:L,"*Medicine (section 2)*"),
COUNTIFS('QA Log'!D:D,A113,'QA Log'!M:M,"Data Verification",'QA Log'!Z:Z,"Approved",'QA Log'!L:L,"*Lab Testing Availability*"),
COUNTIFS('QA Log'!D:D,A113,'QA Log'!M:M,"Data Verification",'QA Log'!Z:Z,"Approved",'QA Log'!L:L,"*Other than P4P (section 6)*"),
COUNTIFS('QA Log'!D:D,A113,'QA Log'!M:M,"Data Verification",'QA Log'!Z:Z,"Approved",'QA Log'!L:L,"*Hospital Governance*")
))</f>
        <v/>
      </c>
      <c r="AG113" s="105" t="str">
        <f>IF(A113&lt;&gt;"",COUNTIFS('QA Log'!D:D,A113,'QA Log'!M:M,"Data Verification",'QA Log'!L:L,"Medicine (section 2)",'QA Log'!Z:Z,"Approved"),"")</f>
        <v/>
      </c>
      <c r="AH113" s="105" t="str">
        <f>IF(A113&lt;&gt;"",COUNTIFS('QA Log'!D:D,A113,'QA Log'!M:M,"Data Verification",'QA Log'!L:L,"Lab Testing Availability",'QA Log'!Z:Z,"Approved"),"")</f>
        <v/>
      </c>
      <c r="AI113" s="105" t="str">
        <f>IF(A113&lt;&gt;"",COUNTIFS('QA Log'!D:D,A113,'QA Log'!M:M,"Data Verification",'QA Log'!L:L,"Other than P4P (section 6)",'QA Log'!Z:Z,"Approved"),"")</f>
        <v/>
      </c>
      <c r="AJ113" s="105" t="str">
        <f>IF(A113&lt;&gt;"",COUNTIFS('QA Log'!D:D,A113,'QA Log'!M:M,"Data Verification",'QA Log'!L:L,"Hospital Governance",'QA Log'!Z:Z,"Approved"),"")</f>
        <v/>
      </c>
      <c r="AK113" s="102" t="str">
        <f>IF(A113="","",
SUM(
COUNTIFS('QA Log'!D:D,A113,'QA Log'!M:M,"Data Verification",'QA Log'!Z:Z,"Rejected",'QA Log'!L:L,"*Medicine (section 2)*"),
COUNTIFS('QA Log'!D:D,A113,'QA Log'!M:M,"Data Verification",'QA Log'!Z:Z,"Rejected",'QA Log'!L:L,"*Lab Testing Availability*"),
COUNTIFS('QA Log'!D:D,A113,'QA Log'!M:M,"Data Verification",'QA Log'!Z:Z,"Rejected",'QA Log'!L:L,"*Other than P4P (section 6)*"),
COUNTIFS('QA Log'!D:D,A113,'QA Log'!M:M,"Data Verification",'QA Log'!Z:Z,"Rejected",'QA Log'!L:L,"*Hospital Governance*")
))</f>
        <v/>
      </c>
      <c r="AL113" s="106" t="str">
        <f t="shared" si="5"/>
        <v/>
      </c>
      <c r="AM113" s="102" t="str">
        <f t="shared" si="6"/>
        <v/>
      </c>
      <c r="AN113" s="102" t="str">
        <f>IF(A113="","",
SUM(
COUNTIFS('QA Log'!D:D,A113,'QA Log'!M:M,"Data Verification",'QA Log'!L:L,"*Personnel (section 1)*"),
COUNTIFS('QA Log'!D:D,A113,'QA Log'!M:M,"Data Verification",'QA Log'!L:L,"*Consumable (section 3)*"),
COUNTIFS('QA Log'!D:D,A113,'QA Log'!M:M,"Data Verification",'QA Log'!L:L,"*Equipments (section 4)*")
))</f>
        <v/>
      </c>
      <c r="AO113" s="102" t="str">
        <f>IF(A113="","",
SUM(
COUNTIFS('QA Log'!D:D,A113,'QA Log'!M:M,"Data Verification",'QA Log'!Z:Z,"Approved",'QA Log'!L:L,"*Personnel (section 1)*"),
COUNTIFS('QA Log'!D:D,A113,'QA Log'!M:M,"Data Verification",'QA Log'!Z:Z,"Approved",'QA Log'!L:L,"*Consumable (section 3)*"),
COUNTIFS('QA Log'!D:D,A113,'QA Log'!M:M,"Data Verification",'QA Log'!Z:Z,"Approved",'QA Log'!L:L,"*Equipments (section 4)*")
))</f>
        <v/>
      </c>
      <c r="AP113" s="105" t="str">
        <f>IF(A113&lt;&gt;"",COUNTIFS('QA Log'!D:D,A113,'QA Log'!M:M,"Data Verification",'QA Log'!L:L,"Personnel (section 1)",'QA Log'!Z:Z,"Approved"),"")</f>
        <v/>
      </c>
      <c r="AQ113" s="105" t="str">
        <f>IF(A113&lt;&gt;"",COUNTIFS('QA Log'!D:D,A113,'QA Log'!M:M,"Data Verification",'QA Log'!L:L,"Consumable (section 3)",'QA Log'!Z:Z,"Approved"),"")</f>
        <v/>
      </c>
      <c r="AR113" s="105" t="str">
        <f>IF(A113&lt;&gt;"",COUNTIFS('QA Log'!D:D,A113,'QA Log'!M:M,"Data Verification",'QA Log'!L:L,"Equipments (section 4)",'QA Log'!Z:Z,"Approved"),"")</f>
        <v/>
      </c>
      <c r="AS113" s="102" t="str">
        <f>IF(A113="","",
SUM(
COUNTIFS('QA Log'!D:D,A113,'QA Log'!M:M,"Data Verification",'QA Log'!Z:Z,"Rejected",'QA Log'!L:L,"*Personnel (section 1)*"),
COUNTIFS('QA Log'!D:D,A113,'QA Log'!M:M,"Data Verification",'QA Log'!Z:Z,"Rejected",'QA Log'!L:L,"*Consumable (section 3)*"),
COUNTIFS('QA Log'!D:D,A113,'QA Log'!M:M,"Data Verification",'QA Log'!Z:Z,"Rejected",'QA Log'!L:L,"*Equipments (section 4)*")
))</f>
        <v/>
      </c>
      <c r="AT113" s="102" t="str">
        <f t="shared" si="7"/>
        <v/>
      </c>
      <c r="AU113" s="103" t="str">
        <f t="shared" si="8"/>
        <v/>
      </c>
      <c r="AV113" s="102" t="str">
        <f>IF(A113="","",SUM(
COUNTIFS('QA Log'!D:D,A113,'QA Log'!M:M,"Vignette",'QA Log'!L:L,"*Vignette [1] Respiratory Infection: Pneumonia*"),
COUNTIFS('QA Log'!D:D,A113,'QA Log'!M:M,"Vignette",'QA Log'!L:L,"*Vignette [2]: Diarrhea with Cat B dehydration*"),
COUNTIFS('QA Log'!D:D,A113,'QA Log'!M:M,"Vignette",'QA Log'!L:L,"*Vignette [3] Growth Monitoring and Promotion*"),
COUNTIFS('QA Log'!D:D,A113,'QA Log'!M:M,"Vignette",'QA Log'!L:L,"*Vignette [4]: The management of presumptive TB patient*")
)
)</f>
        <v/>
      </c>
      <c r="AW113" s="102" t="str">
        <f>IF(
  A113="","",
  SUM(
    COUNTIFS('QA Log'!D:D,A113,'QA Log'!M:M,"Vignette",'QA Log'!Z:Z,"Approved",'QA Log'!L:L,"*Vignette [1] Respiratory Infection: Pneumonia*"),
    COUNTIFS('QA Log'!D:D,A113,'QA Log'!M:M,"Vignette",'QA Log'!Z:Z,"Approved",'QA Log'!L:L,"*Vignette [2]: Diarrhea with Cat B dehydration*"),
    COUNTIFS('QA Log'!D:D,A113,'QA Log'!M:M,"Vignette",'QA Log'!Z:Z,"Approved",'QA Log'!L:L,"*Vignette [3] Growth Monitoring and Promotion*"),
    COUNTIFS('QA Log'!D:D,A113,'QA Log'!M:M,"Vignette",'QA Log'!Z:Z,"Approved",'QA Log'!L:L,"*Vignette [4]: The management of presumptive TB patient*")
  )
)</f>
        <v/>
      </c>
      <c r="AX113" s="105" t="str">
        <f>IF(A113&lt;&gt;"",COUNTIFS('QA Log'!D:D,A113,'QA Log'!M:M,"Vignette",'QA Log'!L:L,"Vignette [1] Respiratory Infection: Pneumonia",'QA Log'!Z:Z,"Approved"),"")</f>
        <v/>
      </c>
      <c r="AY113" s="105" t="str">
        <f>IF(A113&lt;&gt;"",COUNTIFS('QA Log'!D:D,A113,'QA Log'!M:M,"Vignette",'QA Log'!L:L,"Vignette [2]: Diarrhea with Cat B dehydration",'QA Log'!Z:Z,"Approved"),"")</f>
        <v/>
      </c>
      <c r="AZ113" s="105" t="str">
        <f>IF(A113&lt;&gt;"",COUNTIFS('QA Log'!D:D,A113,'QA Log'!M:M,"Vignette",'QA Log'!L:L,"Vignette [3] Growth Monitoring and Promotion",'QA Log'!Z:Z,"Approved"),"")</f>
        <v/>
      </c>
      <c r="BA113" s="105" t="str">
        <f>IF(A113&lt;&gt;"",COUNTIFS('QA Log'!D:D,A113,'QA Log'!M:M,"Vignette",'QA Log'!L:L,"Vignette [4]: The management of presumptive TB patient",'QA Log'!Z:Z,"Approved"),"")</f>
        <v/>
      </c>
      <c r="BB113" s="102" t="str">
        <f>IF(A113="","",
  SUM(
    COUNTIFS('QA Log'!D:D,A113,'QA Log'!M:M,"Vignette",'QA Log'!Z:Z,"Rejected",'QA Log'!L:L,"*Vignette [1] Respiratory Infection: Pneumonia*"),
    COUNTIFS('QA Log'!D:D,A113,'QA Log'!M:M,"Vignette",'QA Log'!Z:Z,"Rejected",'QA Log'!L:L,"*Vignette [2]: Diarrhea with Cat B dehydration*"),
    COUNTIFS('QA Log'!D:D,A113,'QA Log'!M:M,"Vignette",'QA Log'!Z:Z,"Rejected",'QA Log'!L:L,"*Vignette [3] Growth Monitoring and Promotion*"),
    COUNTIFS('QA Log'!D:D,A113,'QA Log'!M:M,"Vignette",'QA Log'!Z:Z,"Rejected",'QA Log'!L:L,"*Vignette [4]: The management of presumptive TB patient*")
  )
)</f>
        <v/>
      </c>
      <c r="BC113" s="107" t="str">
        <f t="shared" si="9"/>
        <v/>
      </c>
      <c r="BD113" s="103" t="str">
        <f t="shared" si="10"/>
        <v/>
      </c>
      <c r="BE113" s="102" t="str">
        <f>IF(A113="","",SUM(
COUNTIFS('QA Log'!D:D,A113,'QA Log'!M:M,"Vignette",'QA Log'!L:L,"*Vignette [5] Labor*"),
COUNTIFS('QA Log'!D:D,A113,'QA Log'!M:M,"Vignette",'QA Log'!L:L,"*Vignette [6] PNC pre Discharge*"),
COUNTIFS('QA Log'!D:D,A113,'QA Log'!M:M,"Vignette",'QA Log'!L:L,"*Vignette [7] First ANC Visit*"),
COUNTIFS('QA Log'!D:D,A113,'QA Log'!M:M,"Vignette",'QA Log'!L:L,"*Vignette [8] Birth Spacing/ Family Planning :  FP Counselling*"),
COUNTIFS('QA Log'!D:D,A113,'QA Log'!M:M,"Vignette",'QA Log'!L:L,"*Vignette [9] Birth Spacing: Change FP method to Injectable*"),
COUNTIFS('QA Log'!D:D,A113,'QA Log'!M:M,"Vignette",'QA Log'!L:L,"*Vignette [10] Post Partum Haemorrhage - Atonic Uterus at Health Centre*"),
)
)</f>
        <v/>
      </c>
      <c r="BF113" s="102" t="str">
        <f>IF(A113="","",
  SUM(
    COUNTIFS('QA Log'!D:D,A113,'QA Log'!M:M,"Vignette",'QA Log'!Z:Z,"Approved",'QA Log'!L:L,"*Vignette [5] Labor*"),
    COUNTIFS('QA Log'!D:D,A113,'QA Log'!M:M,"Vignette",'QA Log'!Z:Z,"Approved",'QA Log'!L:L,"*Vignette [6] PNC pre Discharge*"),
    COUNTIFS('QA Log'!D:D,A113,'QA Log'!M:M,"Vignette",'QA Log'!Z:Z,"Approved",'QA Log'!L:L,"*Vignette [7] First ANC Visit*"),
    COUNTIFS('QA Log'!D:D,A113,'QA Log'!M:M,"Vignette",'QA Log'!Z:Z,"Approved",'QA Log'!L:L,"*Vignette [8] Birth Spacing/ Family Planning :  FP Counselling*"),
    COUNTIFS('QA Log'!D:D,A113,'QA Log'!M:M,"Vignette",'QA Log'!Z:Z,"Approved",'QA Log'!L:L,"*Vignette [9] Birth Spacing: Change FP method to Injectable*"),
    COUNTIFS('QA Log'!D:D,A113,'QA Log'!M:M,"Vignette",'QA Log'!Z:Z,"Approved",'QA Log'!L:L,"*Vignette [10] Post Partum Haemorrhage - Atonic Uterus at Health Centre*")
  )
)</f>
        <v/>
      </c>
      <c r="BG113" s="105" t="str">
        <f>IF(A113&lt;&gt;"",COUNTIFS('QA Log'!D:D,A113,'QA Log'!M:M,"Vignette",'QA Log'!L:L,"Vignette [5] Labor",'QA Log'!Z:Z,"Approved"),"")</f>
        <v/>
      </c>
      <c r="BH113" s="105" t="str">
        <f>IF(A113&lt;&gt;"",COUNTIFS('QA Log'!D:D,A113,'QA Log'!M:M,"Vignette",'QA Log'!L:L,"Vignette [6] PNC pre Discharge",'QA Log'!Z:Z,"Approved"),"")</f>
        <v/>
      </c>
      <c r="BI113" s="105" t="str">
        <f>IF(A113&lt;&gt;"",COUNTIFS('QA Log'!D:D,A113,'QA Log'!M:M,"Vignette",'QA Log'!L:L,"Vignette [7] First ANC Visit",'QA Log'!Z:Z,"Approved"),"")</f>
        <v/>
      </c>
      <c r="BJ113" s="105" t="str">
        <f>IF(A113&lt;&gt;"",COUNTIFS('QA Log'!D:D,A113,'QA Log'!M:M,"Vignette",'QA Log'!L:L,"Vignette [8] Birth Spacing/ Family Planning :  FP Counselling",'QA Log'!Z:Z,"Approved"),"")</f>
        <v/>
      </c>
      <c r="BK113" s="105" t="str">
        <f>IF(A113&lt;&gt;"",COUNTIFS('QA Log'!D:D,A113,'QA Log'!M:M,"Vignette",'QA Log'!L:L,"Vignette [9] Birth Spacing: Change FP method to Injectable",'QA Log'!Z:Z,"Approved"),"")</f>
        <v/>
      </c>
      <c r="BL113" s="105" t="str">
        <f>IF(A113&lt;&gt;"",COUNTIFS('QA Log'!D:D,A113,'QA Log'!M:M,"Vignette",'QA Log'!L:L,"Vignette [10] Post Partum Haemorrhage - Atonic Uterus at Health Centre",'QA Log'!Z:Z,"Approved"),"")</f>
        <v/>
      </c>
      <c r="BM113" s="102" t="str">
        <f>IF(A113="","",SUM(
    COUNTIFS('QA Log'!D:D,A113,'QA Log'!M:M,"Vignette",'QA Log'!Z:Z,"Rejected",'QA Log'!L:L,"*Vignette [5] Labor*"),
    COUNTIFS('QA Log'!D:D,A113,'QA Log'!M:M,"Vignette",'QA Log'!Z:Z,"Rejected",'QA Log'!L:L,"*Vignette [6] PNC pre Discharge*"),
    COUNTIFS('QA Log'!D:D,A113,'QA Log'!M:M,"Vignette",'QA Log'!Z:Z,"Rejected",'QA Log'!L:L,"*Vignette [7] First ANC Visit*"),
    COUNTIFS('QA Log'!D:D,A113,'QA Log'!M:M,"Vignette",'QA Log'!Z:Z,"Rejected",'QA Log'!L:L,"*Vignette [8] Birth Spacing/ Family Planning :  FP Counselling*"),
    COUNTIFS('QA Log'!D:D,A113,'QA Log'!M:M,"Vignette",'QA Log'!Z:Z,"Rejected",'QA Log'!L:L,"*Vignette [9] Birth Spacing: Change FP method to Injectable*"),
    COUNTIFS('QA Log'!D:D,A113,'QA Log'!M:M,"Vignette",'QA Log'!Z:Z,"Rejected",'QA Log'!L:L,"*Vignette [10] Post Partum Haemorrhage - Atonic Uterus at Health Centre*")
  )
)</f>
        <v/>
      </c>
      <c r="BN113" s="107" t="str">
        <f t="shared" si="11"/>
        <v/>
      </c>
      <c r="BO113" s="103" t="str">
        <f t="shared" si="12"/>
        <v/>
      </c>
      <c r="BP113" s="102" t="str">
        <f>IF(A113="","",SUM(
COUNTIFS('QA Log'!D:D,A113,'QA Log'!M:M,"Vignette",'QA Log'!L:L,"*Exit Interview 1*"),
COUNTIFS('QA Log'!D:D,A113,'QA Log'!M:M,"Vignette",'QA Log'!L:L,"*Exit Interview 2*"),
)
)</f>
        <v/>
      </c>
      <c r="BQ113" s="102" t="str">
        <f>IF(
  A113="","",
  SUM(
    COUNTIFS('QA Log'!D:D,A113,'QA Log'!M:M,"Vignette",'QA Log'!Z:Z,"Approved",'QA Log'!L:L,"*Exit Interview 1*"),
    COUNTIFS('QA Log'!D:D,A113,'QA Log'!M:M,"Vignette",'QA Log'!Z:Z,"Approved",'QA Log'!L:L,"*Exit Interview 2*")
  )
)</f>
        <v/>
      </c>
      <c r="BR113" s="105" t="str">
        <f>IF(A113&lt;&gt;"",COUNTIFS('QA Log'!D:D,A113,'QA Log'!M:M,"Vignette",'QA Log'!L:L,"Exit Interview 1",'QA Log'!Z:Z,"Approved"),"")</f>
        <v/>
      </c>
      <c r="BS113" s="105" t="str">
        <f>IF(A113&lt;&gt;"",COUNTIFS('QA Log'!D:D,A113,'QA Log'!M:M,"Vignette",'QA Log'!L:L,"Exit Interview 2",'QA Log'!Z:Z,"Approved"),"")</f>
        <v/>
      </c>
      <c r="BT113" s="102" t="str">
        <f>IF(
  A113="","",
  SUM(
    COUNTIFS('QA Log'!D:D,A113,'QA Log'!M:M,"Vignette",'QA Log'!Z:Z,"Rejected",'QA Log'!L:L,"*Exit Interview 1*"),
    COUNTIFS('QA Log'!D:D,A113,'QA Log'!M:M,"Vignette",'QA Log'!Z:Z,"Rejected",'QA Log'!L:L,"*Exit Interview 2*")
  )
)</f>
        <v/>
      </c>
      <c r="BU113" s="107" t="str">
        <f t="shared" si="13"/>
        <v/>
      </c>
      <c r="BV113" s="102" t="str">
        <f t="shared" si="14"/>
        <v/>
      </c>
      <c r="BW113" s="102" t="str">
        <f t="shared" si="15"/>
        <v/>
      </c>
      <c r="BX113" s="102" t="str">
        <f t="shared" si="16"/>
        <v/>
      </c>
      <c r="BY113" s="102" t="str">
        <f t="shared" si="17"/>
        <v/>
      </c>
      <c r="BZ113" s="107" t="str">
        <f t="shared" si="18"/>
        <v/>
      </c>
      <c r="CA113" s="108" t="str">
        <f t="shared" si="19"/>
        <v/>
      </c>
      <c r="CB113" s="108" t="str">
        <f t="shared" si="20"/>
        <v/>
      </c>
      <c r="CC113" s="109" t="str">
        <f t="shared" si="21"/>
        <v/>
      </c>
      <c r="CD113" s="108" t="str">
        <f t="shared" si="22"/>
        <v/>
      </c>
      <c r="CE113" s="108" t="str">
        <f t="shared" si="23"/>
        <v/>
      </c>
      <c r="CF113" s="109" t="str">
        <f t="shared" si="24"/>
        <v/>
      </c>
      <c r="CG113" s="110" t="str">
        <f t="shared" si="25"/>
        <v/>
      </c>
      <c r="CH113" s="111"/>
    </row>
    <row r="114" spans="1:86" ht="12.75">
      <c r="A114" s="101"/>
      <c r="B114" s="102" t="e">
        <f t="array" aca="1" ref="B114" ca="1">_xludf.XLOOKUP(A114,'QA Log'!D:D,'QA Log'!E:E,"")</f>
        <v>#NAME?</v>
      </c>
      <c r="C114" s="102" t="e">
        <f t="array" aca="1" ref="C114" ca="1">_xludf.XLOOKUP(A114,'QA Log'!D:D,'QA Log'!F:F,"")</f>
        <v>#NAME?</v>
      </c>
      <c r="D114" s="102" t="e">
        <f t="array" aca="1" ref="D114" ca="1">_xludf.XLOOKUP(A114,'QA Log'!D:D,'QA Log'!H:H,"")</f>
        <v>#NAME?</v>
      </c>
      <c r="E114" s="102" t="e">
        <f t="array" aca="1" ref="E114" ca="1">_xludf.XLOOKUP(A114,'QA Log'!D:D,'QA Log'!G:G,"")</f>
        <v>#NAME?</v>
      </c>
      <c r="F114" s="103"/>
      <c r="G114" s="104"/>
      <c r="H114" s="104"/>
      <c r="I114" s="103" t="str">
        <f t="shared" si="0"/>
        <v/>
      </c>
      <c r="J114" s="102" t="str">
        <f>IF(A114="","",SUM(
COUNTIFS('QA Log'!D:D,A114,'QA Log'!M:M,"QQC",'QA Log'!L:L,"*1. General Management*"),
COUNTIFS('QA Log'!D:D,A114,'QA Log'!M:M,"QQC",'QA Log'!L:L,"*3. Curative Consultation (OPD)*"),
COUNTIFS('QA Log'!D:D,A114,'QA Log'!M:M,"QQC",'QA Log'!L:L,"*5. Laboratory*"),
COUNTIFS('QA Log'!D:D,A114,'QA Log'!M:M,"QQC",'QA Log'!L:L,"*6. Essential Medicine Management*"),
COUNTIFS('QA Log'!D:D,A114,'QA Log'!M:M,"QQC",'QA Log'!L:L,"*7. Tracer Medicine*"),
COUNTIFS('QA Log'!D:D,A114,'QA Log'!M:M,"QQC",'QA Log'!L:L,"*11. Additional Questions*")))</f>
        <v/>
      </c>
      <c r="K114" s="102" t="str">
        <f>IF(A114="","",SUM(
COUNTIFS('QA Log'!D:D,A114,'QA Log'!M:M,"QQC",'QA Log'!Z:Z,"Approved",'QA Log'!L:L,"*1. General Management*"),
COUNTIFS('QA Log'!D:D,A114,'QA Log'!M:M,"QQC",'QA Log'!Z:Z,"Approved",'QA Log'!L:L,"*3. Curative Consultation (OPD)*"),
COUNTIFS('QA Log'!D:D,A114,'QA Log'!M:M,"QQC",'QA Log'!Z:Z,"Approved",'QA Log'!L:L,"*5. Laboratory*"),
COUNTIFS('QA Log'!D:D,A114,'QA Log'!M:M,"QQC",'QA Log'!Z:Z,"Approved",'QA Log'!L:L,"*6. Essential Medicine Management*"),
COUNTIFS('QA Log'!D:D,A114,'QA Log'!M:M,"QQC",'QA Log'!Z:Z,"Approved",'QA Log'!L:L,"*7. Tracer Medicine*"),
COUNTIFS('QA Log'!D:D,A114,'QA Log'!M:M,"QQC",'QA Log'!Z:Z,"Approved",'QA Log'!L:L,"*11. Additional Questions*")))</f>
        <v/>
      </c>
      <c r="L114" s="105" t="str">
        <f>IF(A114&lt;&gt;"",COUNTIFS('QA Log'!D:D,A114,'QA Log'!M:M,"QQC",'QA Log'!L:L,"1. General Management",'QA Log'!Z:Z,"Approved"),"")</f>
        <v/>
      </c>
      <c r="M114" s="105" t="str">
        <f>IF(A114&lt;&gt;"",COUNTIFS('QA Log'!D:D,A114,'QA Log'!M:M,"QQC",'QA Log'!L:L,"3. Curative Consultation (OPD)",'QA Log'!Z:Z,"Approved"),"")</f>
        <v/>
      </c>
      <c r="N114" s="105" t="str">
        <f>IF(A114&lt;&gt;"",COUNTIFS('QA Log'!D:D,A114,'QA Log'!M:M,"QQC",'QA Log'!L:L,"5. Laboratory",'QA Log'!Z:Z,"Approved"),"")</f>
        <v/>
      </c>
      <c r="O114" s="105" t="str">
        <f>IF(A114&lt;&gt;"",COUNTIFS('QA Log'!D:D,A114,'QA Log'!M:M,"QQC",'QA Log'!L:L,"6. Essential Medicine Management",'QA Log'!Z:Z,"Approved"),"")</f>
        <v/>
      </c>
      <c r="P114" s="105" t="str">
        <f>IF(A114&lt;&gt;"",COUNTIFS('QA Log'!D:D,A114,'QA Log'!M:M,"QQC",'QA Log'!L:L,"7. Tracer Medicine",'QA Log'!Z:Z,"Approved"),"")</f>
        <v/>
      </c>
      <c r="Q114" s="105" t="str">
        <f>IF(A114&lt;&gt;"",COUNTIFS('QA Log'!D:D,A114,'QA Log'!M:M,"QQC",'QA Log'!L:L,"11. Additional Questions",'QA Log'!Z:Z,"Approved"),"")</f>
        <v/>
      </c>
      <c r="R114" s="102" t="str">
        <f>IF(A114="","",SUM(
COUNTIFS('QA Log'!D:D,A114,'QA Log'!M:M,"QQC",'QA Log'!Z:Z,"Rejected",'QA Log'!L:L,"*8. Maternity*"),
COUNTIFS('QA Log'!D:D,A114,'QA Log'!M:M,"QQC",'QA Log'!Z:Z,"Rejected",'QA Log'!L:L,"*EPI*"),
COUNTIFS('QA Log'!D:D,A114,'QA Log'!M:M,"QQC",'QA Log'!Z:Z,"Rejected",'QA Log'!L:L,"*10. Antenatal Care (ANC)*"),
COUNTIFS('QA Log'!D:D,A114,'QA Log'!M:M,"QQC",'QA Log'!Z:Z,"Rejected",'QA Log'!L:L,"*2. Hygiene and Sterilization*"),
COUNTIFS('QA Log'!D:D,A114,'QA Log'!M:M,"QQC",'QA Log'!Z:Z,"Rejected",'QA Log'!L:L,"*Family Planning*")))</f>
        <v/>
      </c>
      <c r="S114" s="106" t="str">
        <f t="shared" si="1"/>
        <v/>
      </c>
      <c r="T114" s="102" t="str">
        <f t="shared" si="2"/>
        <v/>
      </c>
      <c r="U114" s="102" t="str">
        <f>IF(A114="","",
SUM(
COUNTIFS('QA Log'!D:D,A114,'QA Log'!M:M,"QQC",'QA Log'!L:L,"*8. Maternity*"),
COUNTIFS('QA Log'!D:D,A114,'QA Log'!M:M,"QQC",'QA Log'!L:L,"*9. EPI and Pre-school Consultation*"),
COUNTIFS('QA Log'!D:D,A114,'QA Log'!M:M,"QQC",'QA Log'!L:L,"*10. Antenatal Care (ANC)*"),
COUNTIFS('QA Log'!D:D,A114,'QA Log'!M:M,"QQC",'QA Log'!L:L,"*2. Hygiene and Sterilization*"),
COUNTIFS('QA Log'!D:D,A114,'QA Log'!M:M,"QQC",'QA Log'!L:L,"*4. Family Planning*")
))</f>
        <v/>
      </c>
      <c r="V114" s="102" t="str">
        <f>IF(A114="","",
SUM(
COUNTIFS('QA Log'!D:D,A114,'QA Log'!M:M,"QQC",'QA Log'!Z:Z,"Approved",'QA Log'!L:L,"*8. Maternity*"),
COUNTIFS('QA Log'!D:D,A114,'QA Log'!M:M,"QQC",'QA Log'!Z:Z,"Approved",'QA Log'!L:L,"*9. EPI and Pre-school Consultation*"),
COUNTIFS('QA Log'!D:D,A114,'QA Log'!M:M,"QQC",'QA Log'!Z:Z,"Approved",'QA Log'!L:L,"*10. Antenatal Care (ANC)*"),
COUNTIFS('QA Log'!D:D,A114,'QA Log'!M:M,"QQC",'QA Log'!Z:Z,"Approved",'QA Log'!L:L,"*2. Hygiene and Sterilization*"),
COUNTIFS('QA Log'!D:D,A114,'QA Log'!M:M,"QQC",'QA Log'!Z:Z,"Approved",'QA Log'!L:L,"*4. Family Planning*")
))</f>
        <v/>
      </c>
      <c r="W114" s="105" t="str">
        <f>IF(A114&lt;&gt;"",COUNTIFS('QA Log'!D:D,A114,'QA Log'!M:M,"QQC",'QA Log'!L:L,"8. Maternity",'QA Log'!Z:Z,"Approved"),"")</f>
        <v/>
      </c>
      <c r="X114" s="105" t="str">
        <f>IF(A114&lt;&gt;"",COUNTIFS('QA Log'!D:D,A114,'QA Log'!M:M,"QQC",'QA Log'!L:L,"9. EPI and Pre-school Consultation",'QA Log'!Z:Z,"Approved"),"")</f>
        <v/>
      </c>
      <c r="Y114" s="105" t="str">
        <f>IF(A114&lt;&gt;"",COUNTIFS('QA Log'!D:D,A114,'QA Log'!M:M,"QQC",'QA Log'!L:L,"10. Antenatal Care (ANC)",'QA Log'!Z:Z,"Approved"),"")</f>
        <v/>
      </c>
      <c r="Z114" s="105" t="str">
        <f>IF(A114&lt;&gt;"",COUNTIFS('QA Log'!D:D,A114,'QA Log'!M:M,"QQC",'QA Log'!L:L,"2. Hygiene and Sterilization",'QA Log'!Z:Z,"Approved"),"")</f>
        <v/>
      </c>
      <c r="AA114" s="105" t="str">
        <f>IF(A114&lt;&gt;"",COUNTIFS('QA Log'!D:D,A114,'QA Log'!M:M,"QQC",'QA Log'!L:L,"4. Family Planning",'QA Log'!Z:Z,"Approved"),"")</f>
        <v/>
      </c>
      <c r="AB114" s="102" t="str">
        <f>IF(A114="","",
SUM(
COUNTIFS('QA Log'!D:D,A114,'QA Log'!M:M,"QQC",'QA Log'!Z:Z,"Rejected",'QA Log'!L:L,"*8. Maternity*"),
COUNTIFS('QA Log'!D:D,A114,'QA Log'!M:M,"QQC",'QA Log'!Z:Z,"Rejected",'QA Log'!L:L,"*9. EPI and Pre-school Consultation*"),
COUNTIFS('QA Log'!D:D,A114,'QA Log'!M:M,"QQC",'QA Log'!Z:Z,"Rejected",'QA Log'!L:L,"*10. Antenatal Care (ANC)*"),
COUNTIFS('QA Log'!D:D,A114,'QA Log'!M:M,"QQC",'QA Log'!Z:Z,"Rejected",'QA Log'!L:L,"*2. Hygiene and Sterilization*"),
COUNTIFS('QA Log'!D:D,A114,'QA Log'!M:M,"QQC",'QA Log'!Z:Z,"Rejected",'QA Log'!L:L,"*4. Family Planning*")
))</f>
        <v/>
      </c>
      <c r="AC114" s="102" t="str">
        <f t="shared" si="3"/>
        <v/>
      </c>
      <c r="AD114" s="103" t="str">
        <f t="shared" si="4"/>
        <v/>
      </c>
      <c r="AE114" s="102" t="str">
        <f>IF(A114="","",
SUM(
COUNTIFS('QA Log'!D:D,A114,'QA Log'!M:M,"Data Verification",'QA Log'!L:L,"*Medicine (section 2)*"),
COUNTIFS('QA Log'!D:D,A114,'QA Log'!M:M,"Data Verification",'QA Log'!L:L,"*Lab Testing Availability*"),
COUNTIFS('QA Log'!D:D,A114,'QA Log'!M:M,"Data Verification",'QA Log'!L:L,"*Other than P4P (section 6)*"),
COUNTIFS('QA Log'!D:D,A114,'QA Log'!M:M,"Data Verification",'QA Log'!L:L,"*Hospital Governance*")
))</f>
        <v/>
      </c>
      <c r="AF114" s="102" t="str">
        <f>IF(A114="","",
SUM(
COUNTIFS('QA Log'!D:D,A114,'QA Log'!M:M,"Data Verification",'QA Log'!Z:Z,"Approved",'QA Log'!L:L,"*Medicine (section 2)*"),
COUNTIFS('QA Log'!D:D,A114,'QA Log'!M:M,"Data Verification",'QA Log'!Z:Z,"Approved",'QA Log'!L:L,"*Lab Testing Availability*"),
COUNTIFS('QA Log'!D:D,A114,'QA Log'!M:M,"Data Verification",'QA Log'!Z:Z,"Approved",'QA Log'!L:L,"*Other than P4P (section 6)*"),
COUNTIFS('QA Log'!D:D,A114,'QA Log'!M:M,"Data Verification",'QA Log'!Z:Z,"Approved",'QA Log'!L:L,"*Hospital Governance*")
))</f>
        <v/>
      </c>
      <c r="AG114" s="105" t="str">
        <f>IF(A114&lt;&gt;"",COUNTIFS('QA Log'!D:D,A114,'QA Log'!M:M,"Data Verification",'QA Log'!L:L,"Medicine (section 2)",'QA Log'!Z:Z,"Approved"),"")</f>
        <v/>
      </c>
      <c r="AH114" s="105" t="str">
        <f>IF(A114&lt;&gt;"",COUNTIFS('QA Log'!D:D,A114,'QA Log'!M:M,"Data Verification",'QA Log'!L:L,"Lab Testing Availability",'QA Log'!Z:Z,"Approved"),"")</f>
        <v/>
      </c>
      <c r="AI114" s="105" t="str">
        <f>IF(A114&lt;&gt;"",COUNTIFS('QA Log'!D:D,A114,'QA Log'!M:M,"Data Verification",'QA Log'!L:L,"Other than P4P (section 6)",'QA Log'!Z:Z,"Approved"),"")</f>
        <v/>
      </c>
      <c r="AJ114" s="105" t="str">
        <f>IF(A114&lt;&gt;"",COUNTIFS('QA Log'!D:D,A114,'QA Log'!M:M,"Data Verification",'QA Log'!L:L,"Hospital Governance",'QA Log'!Z:Z,"Approved"),"")</f>
        <v/>
      </c>
      <c r="AK114" s="102" t="str">
        <f>IF(A114="","",
SUM(
COUNTIFS('QA Log'!D:D,A114,'QA Log'!M:M,"Data Verification",'QA Log'!Z:Z,"Rejected",'QA Log'!L:L,"*Medicine (section 2)*"),
COUNTIFS('QA Log'!D:D,A114,'QA Log'!M:M,"Data Verification",'QA Log'!Z:Z,"Rejected",'QA Log'!L:L,"*Lab Testing Availability*"),
COUNTIFS('QA Log'!D:D,A114,'QA Log'!M:M,"Data Verification",'QA Log'!Z:Z,"Rejected",'QA Log'!L:L,"*Other than P4P (section 6)*"),
COUNTIFS('QA Log'!D:D,A114,'QA Log'!M:M,"Data Verification",'QA Log'!Z:Z,"Rejected",'QA Log'!L:L,"*Hospital Governance*")
))</f>
        <v/>
      </c>
      <c r="AL114" s="106" t="str">
        <f t="shared" si="5"/>
        <v/>
      </c>
      <c r="AM114" s="102" t="str">
        <f t="shared" si="6"/>
        <v/>
      </c>
      <c r="AN114" s="102" t="str">
        <f>IF(A114="","",
SUM(
COUNTIFS('QA Log'!D:D,A114,'QA Log'!M:M,"Data Verification",'QA Log'!L:L,"*Personnel (section 1)*"),
COUNTIFS('QA Log'!D:D,A114,'QA Log'!M:M,"Data Verification",'QA Log'!L:L,"*Consumable (section 3)*"),
COUNTIFS('QA Log'!D:D,A114,'QA Log'!M:M,"Data Verification",'QA Log'!L:L,"*Equipments (section 4)*")
))</f>
        <v/>
      </c>
      <c r="AO114" s="102" t="str">
        <f>IF(A114="","",
SUM(
COUNTIFS('QA Log'!D:D,A114,'QA Log'!M:M,"Data Verification",'QA Log'!Z:Z,"Approved",'QA Log'!L:L,"*Personnel (section 1)*"),
COUNTIFS('QA Log'!D:D,A114,'QA Log'!M:M,"Data Verification",'QA Log'!Z:Z,"Approved",'QA Log'!L:L,"*Consumable (section 3)*"),
COUNTIFS('QA Log'!D:D,A114,'QA Log'!M:M,"Data Verification",'QA Log'!Z:Z,"Approved",'QA Log'!L:L,"*Equipments (section 4)*")
))</f>
        <v/>
      </c>
      <c r="AP114" s="105" t="str">
        <f>IF(A114&lt;&gt;"",COUNTIFS('QA Log'!D:D,A114,'QA Log'!M:M,"Data Verification",'QA Log'!L:L,"Personnel (section 1)",'QA Log'!Z:Z,"Approved"),"")</f>
        <v/>
      </c>
      <c r="AQ114" s="105" t="str">
        <f>IF(A114&lt;&gt;"",COUNTIFS('QA Log'!D:D,A114,'QA Log'!M:M,"Data Verification",'QA Log'!L:L,"Consumable (section 3)",'QA Log'!Z:Z,"Approved"),"")</f>
        <v/>
      </c>
      <c r="AR114" s="105" t="str">
        <f>IF(A114&lt;&gt;"",COUNTIFS('QA Log'!D:D,A114,'QA Log'!M:M,"Data Verification",'QA Log'!L:L,"Equipments (section 4)",'QA Log'!Z:Z,"Approved"),"")</f>
        <v/>
      </c>
      <c r="AS114" s="102" t="str">
        <f>IF(A114="","",
SUM(
COUNTIFS('QA Log'!D:D,A114,'QA Log'!M:M,"Data Verification",'QA Log'!Z:Z,"Rejected",'QA Log'!L:L,"*Personnel (section 1)*"),
COUNTIFS('QA Log'!D:D,A114,'QA Log'!M:M,"Data Verification",'QA Log'!Z:Z,"Rejected",'QA Log'!L:L,"*Consumable (section 3)*"),
COUNTIFS('QA Log'!D:D,A114,'QA Log'!M:M,"Data Verification",'QA Log'!Z:Z,"Rejected",'QA Log'!L:L,"*Equipments (section 4)*")
))</f>
        <v/>
      </c>
      <c r="AT114" s="102" t="str">
        <f t="shared" si="7"/>
        <v/>
      </c>
      <c r="AU114" s="103" t="str">
        <f t="shared" si="8"/>
        <v/>
      </c>
      <c r="AV114" s="102" t="str">
        <f>IF(A114="","",SUM(
COUNTIFS('QA Log'!D:D,A114,'QA Log'!M:M,"Vignette",'QA Log'!L:L,"*Vignette [1] Respiratory Infection: Pneumonia*"),
COUNTIFS('QA Log'!D:D,A114,'QA Log'!M:M,"Vignette",'QA Log'!L:L,"*Vignette [2]: Diarrhea with Cat B dehydration*"),
COUNTIFS('QA Log'!D:D,A114,'QA Log'!M:M,"Vignette",'QA Log'!L:L,"*Vignette [3] Growth Monitoring and Promotion*"),
COUNTIFS('QA Log'!D:D,A114,'QA Log'!M:M,"Vignette",'QA Log'!L:L,"*Vignette [4]: The management of presumptive TB patient*")
)
)</f>
        <v/>
      </c>
      <c r="AW114" s="102" t="str">
        <f>IF(
  A114="","",
  SUM(
    COUNTIFS('QA Log'!D:D,A114,'QA Log'!M:M,"Vignette",'QA Log'!Z:Z,"Approved",'QA Log'!L:L,"*Vignette [1] Respiratory Infection: Pneumonia*"),
    COUNTIFS('QA Log'!D:D,A114,'QA Log'!M:M,"Vignette",'QA Log'!Z:Z,"Approved",'QA Log'!L:L,"*Vignette [2]: Diarrhea with Cat B dehydration*"),
    COUNTIFS('QA Log'!D:D,A114,'QA Log'!M:M,"Vignette",'QA Log'!Z:Z,"Approved",'QA Log'!L:L,"*Vignette [3] Growth Monitoring and Promotion*"),
    COUNTIFS('QA Log'!D:D,A114,'QA Log'!M:M,"Vignette",'QA Log'!Z:Z,"Approved",'QA Log'!L:L,"*Vignette [4]: The management of presumptive TB patient*")
  )
)</f>
        <v/>
      </c>
      <c r="AX114" s="105" t="str">
        <f>IF(A114&lt;&gt;"",COUNTIFS('QA Log'!D:D,A114,'QA Log'!M:M,"Vignette",'QA Log'!L:L,"Vignette [1] Respiratory Infection: Pneumonia",'QA Log'!Z:Z,"Approved"),"")</f>
        <v/>
      </c>
      <c r="AY114" s="105" t="str">
        <f>IF(A114&lt;&gt;"",COUNTIFS('QA Log'!D:D,A114,'QA Log'!M:M,"Vignette",'QA Log'!L:L,"Vignette [2]: Diarrhea with Cat B dehydration",'QA Log'!Z:Z,"Approved"),"")</f>
        <v/>
      </c>
      <c r="AZ114" s="105" t="str">
        <f>IF(A114&lt;&gt;"",COUNTIFS('QA Log'!D:D,A114,'QA Log'!M:M,"Vignette",'QA Log'!L:L,"Vignette [3] Growth Monitoring and Promotion",'QA Log'!Z:Z,"Approved"),"")</f>
        <v/>
      </c>
      <c r="BA114" s="105" t="str">
        <f>IF(A114&lt;&gt;"",COUNTIFS('QA Log'!D:D,A114,'QA Log'!M:M,"Vignette",'QA Log'!L:L,"Vignette [4]: The management of presumptive TB patient",'QA Log'!Z:Z,"Approved"),"")</f>
        <v/>
      </c>
      <c r="BB114" s="102" t="str">
        <f>IF(A114="","",
  SUM(
    COUNTIFS('QA Log'!D:D,A114,'QA Log'!M:M,"Vignette",'QA Log'!Z:Z,"Rejected",'QA Log'!L:L,"*Vignette [1] Respiratory Infection: Pneumonia*"),
    COUNTIFS('QA Log'!D:D,A114,'QA Log'!M:M,"Vignette",'QA Log'!Z:Z,"Rejected",'QA Log'!L:L,"*Vignette [2]: Diarrhea with Cat B dehydration*"),
    COUNTIFS('QA Log'!D:D,A114,'QA Log'!M:M,"Vignette",'QA Log'!Z:Z,"Rejected",'QA Log'!L:L,"*Vignette [3] Growth Monitoring and Promotion*"),
    COUNTIFS('QA Log'!D:D,A114,'QA Log'!M:M,"Vignette",'QA Log'!Z:Z,"Rejected",'QA Log'!L:L,"*Vignette [4]: The management of presumptive TB patient*")
  )
)</f>
        <v/>
      </c>
      <c r="BC114" s="107" t="str">
        <f t="shared" si="9"/>
        <v/>
      </c>
      <c r="BD114" s="103" t="str">
        <f t="shared" si="10"/>
        <v/>
      </c>
      <c r="BE114" s="102" t="str">
        <f>IF(A114="","",SUM(
COUNTIFS('QA Log'!D:D,A114,'QA Log'!M:M,"Vignette",'QA Log'!L:L,"*Vignette [5] Labor*"),
COUNTIFS('QA Log'!D:D,A114,'QA Log'!M:M,"Vignette",'QA Log'!L:L,"*Vignette [6] PNC pre Discharge*"),
COUNTIFS('QA Log'!D:D,A114,'QA Log'!M:M,"Vignette",'QA Log'!L:L,"*Vignette [7] First ANC Visit*"),
COUNTIFS('QA Log'!D:D,A114,'QA Log'!M:M,"Vignette",'QA Log'!L:L,"*Vignette [8] Birth Spacing/ Family Planning :  FP Counselling*"),
COUNTIFS('QA Log'!D:D,A114,'QA Log'!M:M,"Vignette",'QA Log'!L:L,"*Vignette [9] Birth Spacing: Change FP method to Injectable*"),
COUNTIFS('QA Log'!D:D,A114,'QA Log'!M:M,"Vignette",'QA Log'!L:L,"*Vignette [10] Post Partum Haemorrhage - Atonic Uterus at Health Centre*"),
)
)</f>
        <v/>
      </c>
      <c r="BF114" s="102" t="str">
        <f>IF(A114="","",
  SUM(
    COUNTIFS('QA Log'!D:D,A114,'QA Log'!M:M,"Vignette",'QA Log'!Z:Z,"Approved",'QA Log'!L:L,"*Vignette [5] Labor*"),
    COUNTIFS('QA Log'!D:D,A114,'QA Log'!M:M,"Vignette",'QA Log'!Z:Z,"Approved",'QA Log'!L:L,"*Vignette [6] PNC pre Discharge*"),
    COUNTIFS('QA Log'!D:D,A114,'QA Log'!M:M,"Vignette",'QA Log'!Z:Z,"Approved",'QA Log'!L:L,"*Vignette [7] First ANC Visit*"),
    COUNTIFS('QA Log'!D:D,A114,'QA Log'!M:M,"Vignette",'QA Log'!Z:Z,"Approved",'QA Log'!L:L,"*Vignette [8] Birth Spacing/ Family Planning :  FP Counselling*"),
    COUNTIFS('QA Log'!D:D,A114,'QA Log'!M:M,"Vignette",'QA Log'!Z:Z,"Approved",'QA Log'!L:L,"*Vignette [9] Birth Spacing: Change FP method to Injectable*"),
    COUNTIFS('QA Log'!D:D,A114,'QA Log'!M:M,"Vignette",'QA Log'!Z:Z,"Approved",'QA Log'!L:L,"*Vignette [10] Post Partum Haemorrhage - Atonic Uterus at Health Centre*")
  )
)</f>
        <v/>
      </c>
      <c r="BG114" s="105" t="str">
        <f>IF(A114&lt;&gt;"",COUNTIFS('QA Log'!D:D,A114,'QA Log'!M:M,"Vignette",'QA Log'!L:L,"Vignette [5] Labor",'QA Log'!Z:Z,"Approved"),"")</f>
        <v/>
      </c>
      <c r="BH114" s="105" t="str">
        <f>IF(A114&lt;&gt;"",COUNTIFS('QA Log'!D:D,A114,'QA Log'!M:M,"Vignette",'QA Log'!L:L,"Vignette [6] PNC pre Discharge",'QA Log'!Z:Z,"Approved"),"")</f>
        <v/>
      </c>
      <c r="BI114" s="105" t="str">
        <f>IF(A114&lt;&gt;"",COUNTIFS('QA Log'!D:D,A114,'QA Log'!M:M,"Vignette",'QA Log'!L:L,"Vignette [7] First ANC Visit",'QA Log'!Z:Z,"Approved"),"")</f>
        <v/>
      </c>
      <c r="BJ114" s="105" t="str">
        <f>IF(A114&lt;&gt;"",COUNTIFS('QA Log'!D:D,A114,'QA Log'!M:M,"Vignette",'QA Log'!L:L,"Vignette [8] Birth Spacing/ Family Planning :  FP Counselling",'QA Log'!Z:Z,"Approved"),"")</f>
        <v/>
      </c>
      <c r="BK114" s="105" t="str">
        <f>IF(A114&lt;&gt;"",COUNTIFS('QA Log'!D:D,A114,'QA Log'!M:M,"Vignette",'QA Log'!L:L,"Vignette [9] Birth Spacing: Change FP method to Injectable",'QA Log'!Z:Z,"Approved"),"")</f>
        <v/>
      </c>
      <c r="BL114" s="105" t="str">
        <f>IF(A114&lt;&gt;"",COUNTIFS('QA Log'!D:D,A114,'QA Log'!M:M,"Vignette",'QA Log'!L:L,"Vignette [10] Post Partum Haemorrhage - Atonic Uterus at Health Centre",'QA Log'!Z:Z,"Approved"),"")</f>
        <v/>
      </c>
      <c r="BM114" s="102" t="str">
        <f>IF(A114="","",SUM(
    COUNTIFS('QA Log'!D:D,A114,'QA Log'!M:M,"Vignette",'QA Log'!Z:Z,"Rejected",'QA Log'!L:L,"*Vignette [5] Labor*"),
    COUNTIFS('QA Log'!D:D,A114,'QA Log'!M:M,"Vignette",'QA Log'!Z:Z,"Rejected",'QA Log'!L:L,"*Vignette [6] PNC pre Discharge*"),
    COUNTIFS('QA Log'!D:D,A114,'QA Log'!M:M,"Vignette",'QA Log'!Z:Z,"Rejected",'QA Log'!L:L,"*Vignette [7] First ANC Visit*"),
    COUNTIFS('QA Log'!D:D,A114,'QA Log'!M:M,"Vignette",'QA Log'!Z:Z,"Rejected",'QA Log'!L:L,"*Vignette [8] Birth Spacing/ Family Planning :  FP Counselling*"),
    COUNTIFS('QA Log'!D:D,A114,'QA Log'!M:M,"Vignette",'QA Log'!Z:Z,"Rejected",'QA Log'!L:L,"*Vignette [9] Birth Spacing: Change FP method to Injectable*"),
    COUNTIFS('QA Log'!D:D,A114,'QA Log'!M:M,"Vignette",'QA Log'!Z:Z,"Rejected",'QA Log'!L:L,"*Vignette [10] Post Partum Haemorrhage - Atonic Uterus at Health Centre*")
  )
)</f>
        <v/>
      </c>
      <c r="BN114" s="107" t="str">
        <f t="shared" si="11"/>
        <v/>
      </c>
      <c r="BO114" s="103" t="str">
        <f t="shared" si="12"/>
        <v/>
      </c>
      <c r="BP114" s="102" t="str">
        <f>IF(A114="","",SUM(
COUNTIFS('QA Log'!D:D,A114,'QA Log'!M:M,"Vignette",'QA Log'!L:L,"*Exit Interview 1*"),
COUNTIFS('QA Log'!D:D,A114,'QA Log'!M:M,"Vignette",'QA Log'!L:L,"*Exit Interview 2*"),
)
)</f>
        <v/>
      </c>
      <c r="BQ114" s="102" t="str">
        <f>IF(
  A114="","",
  SUM(
    COUNTIFS('QA Log'!D:D,A114,'QA Log'!M:M,"Vignette",'QA Log'!Z:Z,"Approved",'QA Log'!L:L,"*Exit Interview 1*"),
    COUNTIFS('QA Log'!D:D,A114,'QA Log'!M:M,"Vignette",'QA Log'!Z:Z,"Approved",'QA Log'!L:L,"*Exit Interview 2*")
  )
)</f>
        <v/>
      </c>
      <c r="BR114" s="105" t="str">
        <f>IF(A114&lt;&gt;"",COUNTIFS('QA Log'!D:D,A114,'QA Log'!M:M,"Vignette",'QA Log'!L:L,"Exit Interview 1",'QA Log'!Z:Z,"Approved"),"")</f>
        <v/>
      </c>
      <c r="BS114" s="105" t="str">
        <f>IF(A114&lt;&gt;"",COUNTIFS('QA Log'!D:D,A114,'QA Log'!M:M,"Vignette",'QA Log'!L:L,"Exit Interview 2",'QA Log'!Z:Z,"Approved"),"")</f>
        <v/>
      </c>
      <c r="BT114" s="102" t="str">
        <f>IF(
  A114="","",
  SUM(
    COUNTIFS('QA Log'!D:D,A114,'QA Log'!M:M,"Vignette",'QA Log'!Z:Z,"Rejected",'QA Log'!L:L,"*Exit Interview 1*"),
    COUNTIFS('QA Log'!D:D,A114,'QA Log'!M:M,"Vignette",'QA Log'!Z:Z,"Rejected",'QA Log'!L:L,"*Exit Interview 2*")
  )
)</f>
        <v/>
      </c>
      <c r="BU114" s="107" t="str">
        <f t="shared" si="13"/>
        <v/>
      </c>
      <c r="BV114" s="102" t="str">
        <f t="shared" si="14"/>
        <v/>
      </c>
      <c r="BW114" s="102" t="str">
        <f t="shared" si="15"/>
        <v/>
      </c>
      <c r="BX114" s="102" t="str">
        <f t="shared" si="16"/>
        <v/>
      </c>
      <c r="BY114" s="102" t="str">
        <f t="shared" si="17"/>
        <v/>
      </c>
      <c r="BZ114" s="107" t="str">
        <f t="shared" si="18"/>
        <v/>
      </c>
      <c r="CA114" s="108" t="str">
        <f t="shared" si="19"/>
        <v/>
      </c>
      <c r="CB114" s="108" t="str">
        <f t="shared" si="20"/>
        <v/>
      </c>
      <c r="CC114" s="109" t="str">
        <f t="shared" si="21"/>
        <v/>
      </c>
      <c r="CD114" s="108" t="str">
        <f t="shared" si="22"/>
        <v/>
      </c>
      <c r="CE114" s="108" t="str">
        <f t="shared" si="23"/>
        <v/>
      </c>
      <c r="CF114" s="109" t="str">
        <f t="shared" si="24"/>
        <v/>
      </c>
      <c r="CG114" s="110" t="str">
        <f t="shared" si="25"/>
        <v/>
      </c>
      <c r="CH114" s="111"/>
    </row>
    <row r="115" spans="1:86" ht="12.75">
      <c r="A115" s="101"/>
      <c r="B115" s="102" t="e">
        <f t="array" aca="1" ref="B115" ca="1">_xludf.XLOOKUP(A115,'QA Log'!D:D,'QA Log'!E:E,"")</f>
        <v>#NAME?</v>
      </c>
      <c r="C115" s="102" t="e">
        <f t="array" aca="1" ref="C115" ca="1">_xludf.XLOOKUP(A115,'QA Log'!D:D,'QA Log'!F:F,"")</f>
        <v>#NAME?</v>
      </c>
      <c r="D115" s="102" t="e">
        <f t="array" aca="1" ref="D115" ca="1">_xludf.XLOOKUP(A115,'QA Log'!D:D,'QA Log'!H:H,"")</f>
        <v>#NAME?</v>
      </c>
      <c r="E115" s="102" t="e">
        <f t="array" aca="1" ref="E115" ca="1">_xludf.XLOOKUP(A115,'QA Log'!D:D,'QA Log'!G:G,"")</f>
        <v>#NAME?</v>
      </c>
      <c r="F115" s="103"/>
      <c r="G115" s="104"/>
      <c r="H115" s="104"/>
      <c r="I115" s="103" t="str">
        <f t="shared" si="0"/>
        <v/>
      </c>
      <c r="J115" s="102" t="str">
        <f>IF(A115="","",SUM(
COUNTIFS('QA Log'!D:D,A115,'QA Log'!M:M,"QQC",'QA Log'!L:L,"*1. General Management*"),
COUNTIFS('QA Log'!D:D,A115,'QA Log'!M:M,"QQC",'QA Log'!L:L,"*3. Curative Consultation (OPD)*"),
COUNTIFS('QA Log'!D:D,A115,'QA Log'!M:M,"QQC",'QA Log'!L:L,"*5. Laboratory*"),
COUNTIFS('QA Log'!D:D,A115,'QA Log'!M:M,"QQC",'QA Log'!L:L,"*6. Essential Medicine Management*"),
COUNTIFS('QA Log'!D:D,A115,'QA Log'!M:M,"QQC",'QA Log'!L:L,"*7. Tracer Medicine*"),
COUNTIFS('QA Log'!D:D,A115,'QA Log'!M:M,"QQC",'QA Log'!L:L,"*11. Additional Questions*")))</f>
        <v/>
      </c>
      <c r="K115" s="102" t="str">
        <f>IF(A115="","",SUM(
COUNTIFS('QA Log'!D:D,A115,'QA Log'!M:M,"QQC",'QA Log'!Z:Z,"Approved",'QA Log'!L:L,"*1. General Management*"),
COUNTIFS('QA Log'!D:D,A115,'QA Log'!M:M,"QQC",'QA Log'!Z:Z,"Approved",'QA Log'!L:L,"*3. Curative Consultation (OPD)*"),
COUNTIFS('QA Log'!D:D,A115,'QA Log'!M:M,"QQC",'QA Log'!Z:Z,"Approved",'QA Log'!L:L,"*5. Laboratory*"),
COUNTIFS('QA Log'!D:D,A115,'QA Log'!M:M,"QQC",'QA Log'!Z:Z,"Approved",'QA Log'!L:L,"*6. Essential Medicine Management*"),
COUNTIFS('QA Log'!D:D,A115,'QA Log'!M:M,"QQC",'QA Log'!Z:Z,"Approved",'QA Log'!L:L,"*7. Tracer Medicine*"),
COUNTIFS('QA Log'!D:D,A115,'QA Log'!M:M,"QQC",'QA Log'!Z:Z,"Approved",'QA Log'!L:L,"*11. Additional Questions*")))</f>
        <v/>
      </c>
      <c r="L115" s="105" t="str">
        <f>IF(A115&lt;&gt;"",COUNTIFS('QA Log'!D:D,A115,'QA Log'!M:M,"QQC",'QA Log'!L:L,"1. General Management",'QA Log'!Z:Z,"Approved"),"")</f>
        <v/>
      </c>
      <c r="M115" s="105" t="str">
        <f>IF(A115&lt;&gt;"",COUNTIFS('QA Log'!D:D,A115,'QA Log'!M:M,"QQC",'QA Log'!L:L,"3. Curative Consultation (OPD)",'QA Log'!Z:Z,"Approved"),"")</f>
        <v/>
      </c>
      <c r="N115" s="105" t="str">
        <f>IF(A115&lt;&gt;"",COUNTIFS('QA Log'!D:D,A115,'QA Log'!M:M,"QQC",'QA Log'!L:L,"5. Laboratory",'QA Log'!Z:Z,"Approved"),"")</f>
        <v/>
      </c>
      <c r="O115" s="105" t="str">
        <f>IF(A115&lt;&gt;"",COUNTIFS('QA Log'!D:D,A115,'QA Log'!M:M,"QQC",'QA Log'!L:L,"6. Essential Medicine Management",'QA Log'!Z:Z,"Approved"),"")</f>
        <v/>
      </c>
      <c r="P115" s="105" t="str">
        <f>IF(A115&lt;&gt;"",COUNTIFS('QA Log'!D:D,A115,'QA Log'!M:M,"QQC",'QA Log'!L:L,"7. Tracer Medicine",'QA Log'!Z:Z,"Approved"),"")</f>
        <v/>
      </c>
      <c r="Q115" s="105" t="str">
        <f>IF(A115&lt;&gt;"",COUNTIFS('QA Log'!D:D,A115,'QA Log'!M:M,"QQC",'QA Log'!L:L,"11. Additional Questions",'QA Log'!Z:Z,"Approved"),"")</f>
        <v/>
      </c>
      <c r="R115" s="102" t="str">
        <f>IF(A115="","",SUM(
COUNTIFS('QA Log'!D:D,A115,'QA Log'!M:M,"QQC",'QA Log'!Z:Z,"Rejected",'QA Log'!L:L,"*8. Maternity*"),
COUNTIFS('QA Log'!D:D,A115,'QA Log'!M:M,"QQC",'QA Log'!Z:Z,"Rejected",'QA Log'!L:L,"*EPI*"),
COUNTIFS('QA Log'!D:D,A115,'QA Log'!M:M,"QQC",'QA Log'!Z:Z,"Rejected",'QA Log'!L:L,"*10. Antenatal Care (ANC)*"),
COUNTIFS('QA Log'!D:D,A115,'QA Log'!M:M,"QQC",'QA Log'!Z:Z,"Rejected",'QA Log'!L:L,"*2. Hygiene and Sterilization*"),
COUNTIFS('QA Log'!D:D,A115,'QA Log'!M:M,"QQC",'QA Log'!Z:Z,"Rejected",'QA Log'!L:L,"*Family Planning*")))</f>
        <v/>
      </c>
      <c r="S115" s="106" t="str">
        <f t="shared" si="1"/>
        <v/>
      </c>
      <c r="T115" s="102" t="str">
        <f t="shared" si="2"/>
        <v/>
      </c>
      <c r="U115" s="102" t="str">
        <f>IF(A115="","",
SUM(
COUNTIFS('QA Log'!D:D,A115,'QA Log'!M:M,"QQC",'QA Log'!L:L,"*8. Maternity*"),
COUNTIFS('QA Log'!D:D,A115,'QA Log'!M:M,"QQC",'QA Log'!L:L,"*9. EPI and Pre-school Consultation*"),
COUNTIFS('QA Log'!D:D,A115,'QA Log'!M:M,"QQC",'QA Log'!L:L,"*10. Antenatal Care (ANC)*"),
COUNTIFS('QA Log'!D:D,A115,'QA Log'!M:M,"QQC",'QA Log'!L:L,"*2. Hygiene and Sterilization*"),
COUNTIFS('QA Log'!D:D,A115,'QA Log'!M:M,"QQC",'QA Log'!L:L,"*4. Family Planning*")
))</f>
        <v/>
      </c>
      <c r="V115" s="102" t="str">
        <f>IF(A115="","",
SUM(
COUNTIFS('QA Log'!D:D,A115,'QA Log'!M:M,"QQC",'QA Log'!Z:Z,"Approved",'QA Log'!L:L,"*8. Maternity*"),
COUNTIFS('QA Log'!D:D,A115,'QA Log'!M:M,"QQC",'QA Log'!Z:Z,"Approved",'QA Log'!L:L,"*9. EPI and Pre-school Consultation*"),
COUNTIFS('QA Log'!D:D,A115,'QA Log'!M:M,"QQC",'QA Log'!Z:Z,"Approved",'QA Log'!L:L,"*10. Antenatal Care (ANC)*"),
COUNTIFS('QA Log'!D:D,A115,'QA Log'!M:M,"QQC",'QA Log'!Z:Z,"Approved",'QA Log'!L:L,"*2. Hygiene and Sterilization*"),
COUNTIFS('QA Log'!D:D,A115,'QA Log'!M:M,"QQC",'QA Log'!Z:Z,"Approved",'QA Log'!L:L,"*4. Family Planning*")
))</f>
        <v/>
      </c>
      <c r="W115" s="105" t="str">
        <f>IF(A115&lt;&gt;"",COUNTIFS('QA Log'!D:D,A115,'QA Log'!M:M,"QQC",'QA Log'!L:L,"8. Maternity",'QA Log'!Z:Z,"Approved"),"")</f>
        <v/>
      </c>
      <c r="X115" s="105" t="str">
        <f>IF(A115&lt;&gt;"",COUNTIFS('QA Log'!D:D,A115,'QA Log'!M:M,"QQC",'QA Log'!L:L,"9. EPI and Pre-school Consultation",'QA Log'!Z:Z,"Approved"),"")</f>
        <v/>
      </c>
      <c r="Y115" s="105" t="str">
        <f>IF(A115&lt;&gt;"",COUNTIFS('QA Log'!D:D,A115,'QA Log'!M:M,"QQC",'QA Log'!L:L,"10. Antenatal Care (ANC)",'QA Log'!Z:Z,"Approved"),"")</f>
        <v/>
      </c>
      <c r="Z115" s="105" t="str">
        <f>IF(A115&lt;&gt;"",COUNTIFS('QA Log'!D:D,A115,'QA Log'!M:M,"QQC",'QA Log'!L:L,"2. Hygiene and Sterilization",'QA Log'!Z:Z,"Approved"),"")</f>
        <v/>
      </c>
      <c r="AA115" s="105" t="str">
        <f>IF(A115&lt;&gt;"",COUNTIFS('QA Log'!D:D,A115,'QA Log'!M:M,"QQC",'QA Log'!L:L,"4. Family Planning",'QA Log'!Z:Z,"Approved"),"")</f>
        <v/>
      </c>
      <c r="AB115" s="102" t="str">
        <f>IF(A115="","",
SUM(
COUNTIFS('QA Log'!D:D,A115,'QA Log'!M:M,"QQC",'QA Log'!Z:Z,"Rejected",'QA Log'!L:L,"*8. Maternity*"),
COUNTIFS('QA Log'!D:D,A115,'QA Log'!M:M,"QQC",'QA Log'!Z:Z,"Rejected",'QA Log'!L:L,"*9. EPI and Pre-school Consultation*"),
COUNTIFS('QA Log'!D:D,A115,'QA Log'!M:M,"QQC",'QA Log'!Z:Z,"Rejected",'QA Log'!L:L,"*10. Antenatal Care (ANC)*"),
COUNTIFS('QA Log'!D:D,A115,'QA Log'!M:M,"QQC",'QA Log'!Z:Z,"Rejected",'QA Log'!L:L,"*2. Hygiene and Sterilization*"),
COUNTIFS('QA Log'!D:D,A115,'QA Log'!M:M,"QQC",'QA Log'!Z:Z,"Rejected",'QA Log'!L:L,"*4. Family Planning*")
))</f>
        <v/>
      </c>
      <c r="AC115" s="102" t="str">
        <f t="shared" si="3"/>
        <v/>
      </c>
      <c r="AD115" s="103" t="str">
        <f t="shared" si="4"/>
        <v/>
      </c>
      <c r="AE115" s="102" t="str">
        <f>IF(A115="","",
SUM(
COUNTIFS('QA Log'!D:D,A115,'QA Log'!M:M,"Data Verification",'QA Log'!L:L,"*Medicine (section 2)*"),
COUNTIFS('QA Log'!D:D,A115,'QA Log'!M:M,"Data Verification",'QA Log'!L:L,"*Lab Testing Availability*"),
COUNTIFS('QA Log'!D:D,A115,'QA Log'!M:M,"Data Verification",'QA Log'!L:L,"*Other than P4P (section 6)*"),
COUNTIFS('QA Log'!D:D,A115,'QA Log'!M:M,"Data Verification",'QA Log'!L:L,"*Hospital Governance*")
))</f>
        <v/>
      </c>
      <c r="AF115" s="102" t="str">
        <f>IF(A115="","",
SUM(
COUNTIFS('QA Log'!D:D,A115,'QA Log'!M:M,"Data Verification",'QA Log'!Z:Z,"Approved",'QA Log'!L:L,"*Medicine (section 2)*"),
COUNTIFS('QA Log'!D:D,A115,'QA Log'!M:M,"Data Verification",'QA Log'!Z:Z,"Approved",'QA Log'!L:L,"*Lab Testing Availability*"),
COUNTIFS('QA Log'!D:D,A115,'QA Log'!M:M,"Data Verification",'QA Log'!Z:Z,"Approved",'QA Log'!L:L,"*Other than P4P (section 6)*"),
COUNTIFS('QA Log'!D:D,A115,'QA Log'!M:M,"Data Verification",'QA Log'!Z:Z,"Approved",'QA Log'!L:L,"*Hospital Governance*")
))</f>
        <v/>
      </c>
      <c r="AG115" s="105" t="str">
        <f>IF(A115&lt;&gt;"",COUNTIFS('QA Log'!D:D,A115,'QA Log'!M:M,"Data Verification",'QA Log'!L:L,"Medicine (section 2)",'QA Log'!Z:Z,"Approved"),"")</f>
        <v/>
      </c>
      <c r="AH115" s="105" t="str">
        <f>IF(A115&lt;&gt;"",COUNTIFS('QA Log'!D:D,A115,'QA Log'!M:M,"Data Verification",'QA Log'!L:L,"Lab Testing Availability",'QA Log'!Z:Z,"Approved"),"")</f>
        <v/>
      </c>
      <c r="AI115" s="105" t="str">
        <f>IF(A115&lt;&gt;"",COUNTIFS('QA Log'!D:D,A115,'QA Log'!M:M,"Data Verification",'QA Log'!L:L,"Other than P4P (section 6)",'QA Log'!Z:Z,"Approved"),"")</f>
        <v/>
      </c>
      <c r="AJ115" s="105" t="str">
        <f>IF(A115&lt;&gt;"",COUNTIFS('QA Log'!D:D,A115,'QA Log'!M:M,"Data Verification",'QA Log'!L:L,"Hospital Governance",'QA Log'!Z:Z,"Approved"),"")</f>
        <v/>
      </c>
      <c r="AK115" s="102" t="str">
        <f>IF(A115="","",
SUM(
COUNTIFS('QA Log'!D:D,A115,'QA Log'!M:M,"Data Verification",'QA Log'!Z:Z,"Rejected",'QA Log'!L:L,"*Medicine (section 2)*"),
COUNTIFS('QA Log'!D:D,A115,'QA Log'!M:M,"Data Verification",'QA Log'!Z:Z,"Rejected",'QA Log'!L:L,"*Lab Testing Availability*"),
COUNTIFS('QA Log'!D:D,A115,'QA Log'!M:M,"Data Verification",'QA Log'!Z:Z,"Rejected",'QA Log'!L:L,"*Other than P4P (section 6)*"),
COUNTIFS('QA Log'!D:D,A115,'QA Log'!M:M,"Data Verification",'QA Log'!Z:Z,"Rejected",'QA Log'!L:L,"*Hospital Governance*")
))</f>
        <v/>
      </c>
      <c r="AL115" s="106" t="str">
        <f t="shared" si="5"/>
        <v/>
      </c>
      <c r="AM115" s="102" t="str">
        <f t="shared" si="6"/>
        <v/>
      </c>
      <c r="AN115" s="102" t="str">
        <f>IF(A115="","",
SUM(
COUNTIFS('QA Log'!D:D,A115,'QA Log'!M:M,"Data Verification",'QA Log'!L:L,"*Personnel (section 1)*"),
COUNTIFS('QA Log'!D:D,A115,'QA Log'!M:M,"Data Verification",'QA Log'!L:L,"*Consumable (section 3)*"),
COUNTIFS('QA Log'!D:D,A115,'QA Log'!M:M,"Data Verification",'QA Log'!L:L,"*Equipments (section 4)*")
))</f>
        <v/>
      </c>
      <c r="AO115" s="102" t="str">
        <f>IF(A115="","",
SUM(
COUNTIFS('QA Log'!D:D,A115,'QA Log'!M:M,"Data Verification",'QA Log'!Z:Z,"Approved",'QA Log'!L:L,"*Personnel (section 1)*"),
COUNTIFS('QA Log'!D:D,A115,'QA Log'!M:M,"Data Verification",'QA Log'!Z:Z,"Approved",'QA Log'!L:L,"*Consumable (section 3)*"),
COUNTIFS('QA Log'!D:D,A115,'QA Log'!M:M,"Data Verification",'QA Log'!Z:Z,"Approved",'QA Log'!L:L,"*Equipments (section 4)*")
))</f>
        <v/>
      </c>
      <c r="AP115" s="105" t="str">
        <f>IF(A115&lt;&gt;"",COUNTIFS('QA Log'!D:D,A115,'QA Log'!M:M,"Data Verification",'QA Log'!L:L,"Personnel (section 1)",'QA Log'!Z:Z,"Approved"),"")</f>
        <v/>
      </c>
      <c r="AQ115" s="105" t="str">
        <f>IF(A115&lt;&gt;"",COUNTIFS('QA Log'!D:D,A115,'QA Log'!M:M,"Data Verification",'QA Log'!L:L,"Consumable (section 3)",'QA Log'!Z:Z,"Approved"),"")</f>
        <v/>
      </c>
      <c r="AR115" s="105" t="str">
        <f>IF(A115&lt;&gt;"",COUNTIFS('QA Log'!D:D,A115,'QA Log'!M:M,"Data Verification",'QA Log'!L:L,"Equipments (section 4)",'QA Log'!Z:Z,"Approved"),"")</f>
        <v/>
      </c>
      <c r="AS115" s="102" t="str">
        <f>IF(A115="","",
SUM(
COUNTIFS('QA Log'!D:D,A115,'QA Log'!M:M,"Data Verification",'QA Log'!Z:Z,"Rejected",'QA Log'!L:L,"*Personnel (section 1)*"),
COUNTIFS('QA Log'!D:D,A115,'QA Log'!M:M,"Data Verification",'QA Log'!Z:Z,"Rejected",'QA Log'!L:L,"*Consumable (section 3)*"),
COUNTIFS('QA Log'!D:D,A115,'QA Log'!M:M,"Data Verification",'QA Log'!Z:Z,"Rejected",'QA Log'!L:L,"*Equipments (section 4)*")
))</f>
        <v/>
      </c>
      <c r="AT115" s="102" t="str">
        <f t="shared" si="7"/>
        <v/>
      </c>
      <c r="AU115" s="103" t="str">
        <f t="shared" si="8"/>
        <v/>
      </c>
      <c r="AV115" s="102" t="str">
        <f>IF(A115="","",SUM(
COUNTIFS('QA Log'!D:D,A115,'QA Log'!M:M,"Vignette",'QA Log'!L:L,"*Vignette [1] Respiratory Infection: Pneumonia*"),
COUNTIFS('QA Log'!D:D,A115,'QA Log'!M:M,"Vignette",'QA Log'!L:L,"*Vignette [2]: Diarrhea with Cat B dehydration*"),
COUNTIFS('QA Log'!D:D,A115,'QA Log'!M:M,"Vignette",'QA Log'!L:L,"*Vignette [3] Growth Monitoring and Promotion*"),
COUNTIFS('QA Log'!D:D,A115,'QA Log'!M:M,"Vignette",'QA Log'!L:L,"*Vignette [4]: The management of presumptive TB patient*")
)
)</f>
        <v/>
      </c>
      <c r="AW115" s="102" t="str">
        <f>IF(
  A115="","",
  SUM(
    COUNTIFS('QA Log'!D:D,A115,'QA Log'!M:M,"Vignette",'QA Log'!Z:Z,"Approved",'QA Log'!L:L,"*Vignette [1] Respiratory Infection: Pneumonia*"),
    COUNTIFS('QA Log'!D:D,A115,'QA Log'!M:M,"Vignette",'QA Log'!Z:Z,"Approved",'QA Log'!L:L,"*Vignette [2]: Diarrhea with Cat B dehydration*"),
    COUNTIFS('QA Log'!D:D,A115,'QA Log'!M:M,"Vignette",'QA Log'!Z:Z,"Approved",'QA Log'!L:L,"*Vignette [3] Growth Monitoring and Promotion*"),
    COUNTIFS('QA Log'!D:D,A115,'QA Log'!M:M,"Vignette",'QA Log'!Z:Z,"Approved",'QA Log'!L:L,"*Vignette [4]: The management of presumptive TB patient*")
  )
)</f>
        <v/>
      </c>
      <c r="AX115" s="105" t="str">
        <f>IF(A115&lt;&gt;"",COUNTIFS('QA Log'!D:D,A115,'QA Log'!M:M,"Vignette",'QA Log'!L:L,"Vignette [1] Respiratory Infection: Pneumonia",'QA Log'!Z:Z,"Approved"),"")</f>
        <v/>
      </c>
      <c r="AY115" s="105" t="str">
        <f>IF(A115&lt;&gt;"",COUNTIFS('QA Log'!D:D,A115,'QA Log'!M:M,"Vignette",'QA Log'!L:L,"Vignette [2]: Diarrhea with Cat B dehydration",'QA Log'!Z:Z,"Approved"),"")</f>
        <v/>
      </c>
      <c r="AZ115" s="105" t="str">
        <f>IF(A115&lt;&gt;"",COUNTIFS('QA Log'!D:D,A115,'QA Log'!M:M,"Vignette",'QA Log'!L:L,"Vignette [3] Growth Monitoring and Promotion",'QA Log'!Z:Z,"Approved"),"")</f>
        <v/>
      </c>
      <c r="BA115" s="105" t="str">
        <f>IF(A115&lt;&gt;"",COUNTIFS('QA Log'!D:D,A115,'QA Log'!M:M,"Vignette",'QA Log'!L:L,"Vignette [4]: The management of presumptive TB patient",'QA Log'!Z:Z,"Approved"),"")</f>
        <v/>
      </c>
      <c r="BB115" s="102" t="str">
        <f>IF(A115="","",
  SUM(
    COUNTIFS('QA Log'!D:D,A115,'QA Log'!M:M,"Vignette",'QA Log'!Z:Z,"Rejected",'QA Log'!L:L,"*Vignette [1] Respiratory Infection: Pneumonia*"),
    COUNTIFS('QA Log'!D:D,A115,'QA Log'!M:M,"Vignette",'QA Log'!Z:Z,"Rejected",'QA Log'!L:L,"*Vignette [2]: Diarrhea with Cat B dehydration*"),
    COUNTIFS('QA Log'!D:D,A115,'QA Log'!M:M,"Vignette",'QA Log'!Z:Z,"Rejected",'QA Log'!L:L,"*Vignette [3] Growth Monitoring and Promotion*"),
    COUNTIFS('QA Log'!D:D,A115,'QA Log'!M:M,"Vignette",'QA Log'!Z:Z,"Rejected",'QA Log'!L:L,"*Vignette [4]: The management of presumptive TB patient*")
  )
)</f>
        <v/>
      </c>
      <c r="BC115" s="107" t="str">
        <f t="shared" si="9"/>
        <v/>
      </c>
      <c r="BD115" s="103" t="str">
        <f t="shared" si="10"/>
        <v/>
      </c>
      <c r="BE115" s="102" t="str">
        <f>IF(A115="","",SUM(
COUNTIFS('QA Log'!D:D,A115,'QA Log'!M:M,"Vignette",'QA Log'!L:L,"*Vignette [5] Labor*"),
COUNTIFS('QA Log'!D:D,A115,'QA Log'!M:M,"Vignette",'QA Log'!L:L,"*Vignette [6] PNC pre Discharge*"),
COUNTIFS('QA Log'!D:D,A115,'QA Log'!M:M,"Vignette",'QA Log'!L:L,"*Vignette [7] First ANC Visit*"),
COUNTIFS('QA Log'!D:D,A115,'QA Log'!M:M,"Vignette",'QA Log'!L:L,"*Vignette [8] Birth Spacing/ Family Planning :  FP Counselling*"),
COUNTIFS('QA Log'!D:D,A115,'QA Log'!M:M,"Vignette",'QA Log'!L:L,"*Vignette [9] Birth Spacing: Change FP method to Injectable*"),
COUNTIFS('QA Log'!D:D,A115,'QA Log'!M:M,"Vignette",'QA Log'!L:L,"*Vignette [10] Post Partum Haemorrhage - Atonic Uterus at Health Centre*"),
)
)</f>
        <v/>
      </c>
      <c r="BF115" s="102" t="str">
        <f>IF(A115="","",
  SUM(
    COUNTIFS('QA Log'!D:D,A115,'QA Log'!M:M,"Vignette",'QA Log'!Z:Z,"Approved",'QA Log'!L:L,"*Vignette [5] Labor*"),
    COUNTIFS('QA Log'!D:D,A115,'QA Log'!M:M,"Vignette",'QA Log'!Z:Z,"Approved",'QA Log'!L:L,"*Vignette [6] PNC pre Discharge*"),
    COUNTIFS('QA Log'!D:D,A115,'QA Log'!M:M,"Vignette",'QA Log'!Z:Z,"Approved",'QA Log'!L:L,"*Vignette [7] First ANC Visit*"),
    COUNTIFS('QA Log'!D:D,A115,'QA Log'!M:M,"Vignette",'QA Log'!Z:Z,"Approved",'QA Log'!L:L,"*Vignette [8] Birth Spacing/ Family Planning :  FP Counselling*"),
    COUNTIFS('QA Log'!D:D,A115,'QA Log'!M:M,"Vignette",'QA Log'!Z:Z,"Approved",'QA Log'!L:L,"*Vignette [9] Birth Spacing: Change FP method to Injectable*"),
    COUNTIFS('QA Log'!D:D,A115,'QA Log'!M:M,"Vignette",'QA Log'!Z:Z,"Approved",'QA Log'!L:L,"*Vignette [10] Post Partum Haemorrhage - Atonic Uterus at Health Centre*")
  )
)</f>
        <v/>
      </c>
      <c r="BG115" s="105" t="str">
        <f>IF(A115&lt;&gt;"",COUNTIFS('QA Log'!D:D,A115,'QA Log'!M:M,"Vignette",'QA Log'!L:L,"Vignette [5] Labor",'QA Log'!Z:Z,"Approved"),"")</f>
        <v/>
      </c>
      <c r="BH115" s="105" t="str">
        <f>IF(A115&lt;&gt;"",COUNTIFS('QA Log'!D:D,A115,'QA Log'!M:M,"Vignette",'QA Log'!L:L,"Vignette [6] PNC pre Discharge",'QA Log'!Z:Z,"Approved"),"")</f>
        <v/>
      </c>
      <c r="BI115" s="105" t="str">
        <f>IF(A115&lt;&gt;"",COUNTIFS('QA Log'!D:D,A115,'QA Log'!M:M,"Vignette",'QA Log'!L:L,"Vignette [7] First ANC Visit",'QA Log'!Z:Z,"Approved"),"")</f>
        <v/>
      </c>
      <c r="BJ115" s="105" t="str">
        <f>IF(A115&lt;&gt;"",COUNTIFS('QA Log'!D:D,A115,'QA Log'!M:M,"Vignette",'QA Log'!L:L,"Vignette [8] Birth Spacing/ Family Planning :  FP Counselling",'QA Log'!Z:Z,"Approved"),"")</f>
        <v/>
      </c>
      <c r="BK115" s="105" t="str">
        <f>IF(A115&lt;&gt;"",COUNTIFS('QA Log'!D:D,A115,'QA Log'!M:M,"Vignette",'QA Log'!L:L,"Vignette [9] Birth Spacing: Change FP method to Injectable",'QA Log'!Z:Z,"Approved"),"")</f>
        <v/>
      </c>
      <c r="BL115" s="105" t="str">
        <f>IF(A115&lt;&gt;"",COUNTIFS('QA Log'!D:D,A115,'QA Log'!M:M,"Vignette",'QA Log'!L:L,"Vignette [10] Post Partum Haemorrhage - Atonic Uterus at Health Centre",'QA Log'!Z:Z,"Approved"),"")</f>
        <v/>
      </c>
      <c r="BM115" s="102" t="str">
        <f>IF(A115="","",SUM(
    COUNTIFS('QA Log'!D:D,A115,'QA Log'!M:M,"Vignette",'QA Log'!Z:Z,"Rejected",'QA Log'!L:L,"*Vignette [5] Labor*"),
    COUNTIFS('QA Log'!D:D,A115,'QA Log'!M:M,"Vignette",'QA Log'!Z:Z,"Rejected",'QA Log'!L:L,"*Vignette [6] PNC pre Discharge*"),
    COUNTIFS('QA Log'!D:D,A115,'QA Log'!M:M,"Vignette",'QA Log'!Z:Z,"Rejected",'QA Log'!L:L,"*Vignette [7] First ANC Visit*"),
    COUNTIFS('QA Log'!D:D,A115,'QA Log'!M:M,"Vignette",'QA Log'!Z:Z,"Rejected",'QA Log'!L:L,"*Vignette [8] Birth Spacing/ Family Planning :  FP Counselling*"),
    COUNTIFS('QA Log'!D:D,A115,'QA Log'!M:M,"Vignette",'QA Log'!Z:Z,"Rejected",'QA Log'!L:L,"*Vignette [9] Birth Spacing: Change FP method to Injectable*"),
    COUNTIFS('QA Log'!D:D,A115,'QA Log'!M:M,"Vignette",'QA Log'!Z:Z,"Rejected",'QA Log'!L:L,"*Vignette [10] Post Partum Haemorrhage - Atonic Uterus at Health Centre*")
  )
)</f>
        <v/>
      </c>
      <c r="BN115" s="107" t="str">
        <f t="shared" si="11"/>
        <v/>
      </c>
      <c r="BO115" s="103" t="str">
        <f t="shared" si="12"/>
        <v/>
      </c>
      <c r="BP115" s="102" t="str">
        <f>IF(A115="","",SUM(
COUNTIFS('QA Log'!D:D,A115,'QA Log'!M:M,"Vignette",'QA Log'!L:L,"*Exit Interview 1*"),
COUNTIFS('QA Log'!D:D,A115,'QA Log'!M:M,"Vignette",'QA Log'!L:L,"*Exit Interview 2*"),
)
)</f>
        <v/>
      </c>
      <c r="BQ115" s="102" t="str">
        <f>IF(
  A115="","",
  SUM(
    COUNTIFS('QA Log'!D:D,A115,'QA Log'!M:M,"Vignette",'QA Log'!Z:Z,"Approved",'QA Log'!L:L,"*Exit Interview 1*"),
    COUNTIFS('QA Log'!D:D,A115,'QA Log'!M:M,"Vignette",'QA Log'!Z:Z,"Approved",'QA Log'!L:L,"*Exit Interview 2*")
  )
)</f>
        <v/>
      </c>
      <c r="BR115" s="105" t="str">
        <f>IF(A115&lt;&gt;"",COUNTIFS('QA Log'!D:D,A115,'QA Log'!M:M,"Vignette",'QA Log'!L:L,"Exit Interview 1",'QA Log'!Z:Z,"Approved"),"")</f>
        <v/>
      </c>
      <c r="BS115" s="105" t="str">
        <f>IF(A115&lt;&gt;"",COUNTIFS('QA Log'!D:D,A115,'QA Log'!M:M,"Vignette",'QA Log'!L:L,"Exit Interview 2",'QA Log'!Z:Z,"Approved"),"")</f>
        <v/>
      </c>
      <c r="BT115" s="102" t="str">
        <f>IF(
  A115="","",
  SUM(
    COUNTIFS('QA Log'!D:D,A115,'QA Log'!M:M,"Vignette",'QA Log'!Z:Z,"Rejected",'QA Log'!L:L,"*Exit Interview 1*"),
    COUNTIFS('QA Log'!D:D,A115,'QA Log'!M:M,"Vignette",'QA Log'!Z:Z,"Rejected",'QA Log'!L:L,"*Exit Interview 2*")
  )
)</f>
        <v/>
      </c>
      <c r="BU115" s="107" t="str">
        <f t="shared" si="13"/>
        <v/>
      </c>
      <c r="BV115" s="102" t="str">
        <f t="shared" si="14"/>
        <v/>
      </c>
      <c r="BW115" s="102" t="str">
        <f t="shared" si="15"/>
        <v/>
      </c>
      <c r="BX115" s="102" t="str">
        <f t="shared" si="16"/>
        <v/>
      </c>
      <c r="BY115" s="102" t="str">
        <f t="shared" si="17"/>
        <v/>
      </c>
      <c r="BZ115" s="107" t="str">
        <f t="shared" si="18"/>
        <v/>
      </c>
      <c r="CA115" s="108" t="str">
        <f t="shared" si="19"/>
        <v/>
      </c>
      <c r="CB115" s="108" t="str">
        <f t="shared" si="20"/>
        <v/>
      </c>
      <c r="CC115" s="109" t="str">
        <f t="shared" si="21"/>
        <v/>
      </c>
      <c r="CD115" s="108" t="str">
        <f t="shared" si="22"/>
        <v/>
      </c>
      <c r="CE115" s="108" t="str">
        <f t="shared" si="23"/>
        <v/>
      </c>
      <c r="CF115" s="109" t="str">
        <f t="shared" si="24"/>
        <v/>
      </c>
      <c r="CG115" s="110" t="str">
        <f t="shared" si="25"/>
        <v/>
      </c>
      <c r="CH115" s="111"/>
    </row>
    <row r="116" spans="1:86" ht="12.75">
      <c r="A116" s="101"/>
      <c r="B116" s="102" t="e">
        <f t="array" aca="1" ref="B116" ca="1">_xludf.XLOOKUP(A116,'QA Log'!D:D,'QA Log'!E:E,"")</f>
        <v>#NAME?</v>
      </c>
      <c r="C116" s="102" t="e">
        <f t="array" aca="1" ref="C116" ca="1">_xludf.XLOOKUP(A116,'QA Log'!D:D,'QA Log'!F:F,"")</f>
        <v>#NAME?</v>
      </c>
      <c r="D116" s="102" t="e">
        <f t="array" aca="1" ref="D116" ca="1">_xludf.XLOOKUP(A116,'QA Log'!D:D,'QA Log'!H:H,"")</f>
        <v>#NAME?</v>
      </c>
      <c r="E116" s="102" t="e">
        <f t="array" aca="1" ref="E116" ca="1">_xludf.XLOOKUP(A116,'QA Log'!D:D,'QA Log'!G:G,"")</f>
        <v>#NAME?</v>
      </c>
      <c r="F116" s="103"/>
      <c r="G116" s="104"/>
      <c r="H116" s="104"/>
      <c r="I116" s="103" t="str">
        <f t="shared" si="0"/>
        <v/>
      </c>
      <c r="J116" s="102" t="str">
        <f>IF(A116="","",SUM(
COUNTIFS('QA Log'!D:D,A116,'QA Log'!M:M,"QQC",'QA Log'!L:L,"*1. General Management*"),
COUNTIFS('QA Log'!D:D,A116,'QA Log'!M:M,"QQC",'QA Log'!L:L,"*3. Curative Consultation (OPD)*"),
COUNTIFS('QA Log'!D:D,A116,'QA Log'!M:M,"QQC",'QA Log'!L:L,"*5. Laboratory*"),
COUNTIFS('QA Log'!D:D,A116,'QA Log'!M:M,"QQC",'QA Log'!L:L,"*6. Essential Medicine Management*"),
COUNTIFS('QA Log'!D:D,A116,'QA Log'!M:M,"QQC",'QA Log'!L:L,"*7. Tracer Medicine*"),
COUNTIFS('QA Log'!D:D,A116,'QA Log'!M:M,"QQC",'QA Log'!L:L,"*11. Additional Questions*")))</f>
        <v/>
      </c>
      <c r="K116" s="102" t="str">
        <f>IF(A116="","",SUM(
COUNTIFS('QA Log'!D:D,A116,'QA Log'!M:M,"QQC",'QA Log'!Z:Z,"Approved",'QA Log'!L:L,"*1. General Management*"),
COUNTIFS('QA Log'!D:D,A116,'QA Log'!M:M,"QQC",'QA Log'!Z:Z,"Approved",'QA Log'!L:L,"*3. Curative Consultation (OPD)*"),
COUNTIFS('QA Log'!D:D,A116,'QA Log'!M:M,"QQC",'QA Log'!Z:Z,"Approved",'QA Log'!L:L,"*5. Laboratory*"),
COUNTIFS('QA Log'!D:D,A116,'QA Log'!M:M,"QQC",'QA Log'!Z:Z,"Approved",'QA Log'!L:L,"*6. Essential Medicine Management*"),
COUNTIFS('QA Log'!D:D,A116,'QA Log'!M:M,"QQC",'QA Log'!Z:Z,"Approved",'QA Log'!L:L,"*7. Tracer Medicine*"),
COUNTIFS('QA Log'!D:D,A116,'QA Log'!M:M,"QQC",'QA Log'!Z:Z,"Approved",'QA Log'!L:L,"*11. Additional Questions*")))</f>
        <v/>
      </c>
      <c r="L116" s="105" t="str">
        <f>IF(A116&lt;&gt;"",COUNTIFS('QA Log'!D:D,A116,'QA Log'!M:M,"QQC",'QA Log'!L:L,"1. General Management",'QA Log'!Z:Z,"Approved"),"")</f>
        <v/>
      </c>
      <c r="M116" s="105" t="str">
        <f>IF(A116&lt;&gt;"",COUNTIFS('QA Log'!D:D,A116,'QA Log'!M:M,"QQC",'QA Log'!L:L,"3. Curative Consultation (OPD)",'QA Log'!Z:Z,"Approved"),"")</f>
        <v/>
      </c>
      <c r="N116" s="105" t="str">
        <f>IF(A116&lt;&gt;"",COUNTIFS('QA Log'!D:D,A116,'QA Log'!M:M,"QQC",'QA Log'!L:L,"5. Laboratory",'QA Log'!Z:Z,"Approved"),"")</f>
        <v/>
      </c>
      <c r="O116" s="105" t="str">
        <f>IF(A116&lt;&gt;"",COUNTIFS('QA Log'!D:D,A116,'QA Log'!M:M,"QQC",'QA Log'!L:L,"6. Essential Medicine Management",'QA Log'!Z:Z,"Approved"),"")</f>
        <v/>
      </c>
      <c r="P116" s="105" t="str">
        <f>IF(A116&lt;&gt;"",COUNTIFS('QA Log'!D:D,A116,'QA Log'!M:M,"QQC",'QA Log'!L:L,"7. Tracer Medicine",'QA Log'!Z:Z,"Approved"),"")</f>
        <v/>
      </c>
      <c r="Q116" s="105" t="str">
        <f>IF(A116&lt;&gt;"",COUNTIFS('QA Log'!D:D,A116,'QA Log'!M:M,"QQC",'QA Log'!L:L,"11. Additional Questions",'QA Log'!Z:Z,"Approved"),"")</f>
        <v/>
      </c>
      <c r="R116" s="102" t="str">
        <f>IF(A116="","",SUM(
COUNTIFS('QA Log'!D:D,A116,'QA Log'!M:M,"QQC",'QA Log'!Z:Z,"Rejected",'QA Log'!L:L,"*8. Maternity*"),
COUNTIFS('QA Log'!D:D,A116,'QA Log'!M:M,"QQC",'QA Log'!Z:Z,"Rejected",'QA Log'!L:L,"*EPI*"),
COUNTIFS('QA Log'!D:D,A116,'QA Log'!M:M,"QQC",'QA Log'!Z:Z,"Rejected",'QA Log'!L:L,"*10. Antenatal Care (ANC)*"),
COUNTIFS('QA Log'!D:D,A116,'QA Log'!M:M,"QQC",'QA Log'!Z:Z,"Rejected",'QA Log'!L:L,"*2. Hygiene and Sterilization*"),
COUNTIFS('QA Log'!D:D,A116,'QA Log'!M:M,"QQC",'QA Log'!Z:Z,"Rejected",'QA Log'!L:L,"*Family Planning*")))</f>
        <v/>
      </c>
      <c r="S116" s="106" t="str">
        <f t="shared" si="1"/>
        <v/>
      </c>
      <c r="T116" s="102" t="str">
        <f t="shared" si="2"/>
        <v/>
      </c>
      <c r="U116" s="102" t="str">
        <f>IF(A116="","",
SUM(
COUNTIFS('QA Log'!D:D,A116,'QA Log'!M:M,"QQC",'QA Log'!L:L,"*8. Maternity*"),
COUNTIFS('QA Log'!D:D,A116,'QA Log'!M:M,"QQC",'QA Log'!L:L,"*9. EPI and Pre-school Consultation*"),
COUNTIFS('QA Log'!D:D,A116,'QA Log'!M:M,"QQC",'QA Log'!L:L,"*10. Antenatal Care (ANC)*"),
COUNTIFS('QA Log'!D:D,A116,'QA Log'!M:M,"QQC",'QA Log'!L:L,"*2. Hygiene and Sterilization*"),
COUNTIFS('QA Log'!D:D,A116,'QA Log'!M:M,"QQC",'QA Log'!L:L,"*4. Family Planning*")
))</f>
        <v/>
      </c>
      <c r="V116" s="102" t="str">
        <f>IF(A116="","",
SUM(
COUNTIFS('QA Log'!D:D,A116,'QA Log'!M:M,"QQC",'QA Log'!Z:Z,"Approved",'QA Log'!L:L,"*8. Maternity*"),
COUNTIFS('QA Log'!D:D,A116,'QA Log'!M:M,"QQC",'QA Log'!Z:Z,"Approved",'QA Log'!L:L,"*9. EPI and Pre-school Consultation*"),
COUNTIFS('QA Log'!D:D,A116,'QA Log'!M:M,"QQC",'QA Log'!Z:Z,"Approved",'QA Log'!L:L,"*10. Antenatal Care (ANC)*"),
COUNTIFS('QA Log'!D:D,A116,'QA Log'!M:M,"QQC",'QA Log'!Z:Z,"Approved",'QA Log'!L:L,"*2. Hygiene and Sterilization*"),
COUNTIFS('QA Log'!D:D,A116,'QA Log'!M:M,"QQC",'QA Log'!Z:Z,"Approved",'QA Log'!L:L,"*4. Family Planning*")
))</f>
        <v/>
      </c>
      <c r="W116" s="105" t="str">
        <f>IF(A116&lt;&gt;"",COUNTIFS('QA Log'!D:D,A116,'QA Log'!M:M,"QQC",'QA Log'!L:L,"8. Maternity",'QA Log'!Z:Z,"Approved"),"")</f>
        <v/>
      </c>
      <c r="X116" s="105" t="str">
        <f>IF(A116&lt;&gt;"",COUNTIFS('QA Log'!D:D,A116,'QA Log'!M:M,"QQC",'QA Log'!L:L,"9. EPI and Pre-school Consultation",'QA Log'!Z:Z,"Approved"),"")</f>
        <v/>
      </c>
      <c r="Y116" s="105" t="str">
        <f>IF(A116&lt;&gt;"",COUNTIFS('QA Log'!D:D,A116,'QA Log'!M:M,"QQC",'QA Log'!L:L,"10. Antenatal Care (ANC)",'QA Log'!Z:Z,"Approved"),"")</f>
        <v/>
      </c>
      <c r="Z116" s="105" t="str">
        <f>IF(A116&lt;&gt;"",COUNTIFS('QA Log'!D:D,A116,'QA Log'!M:M,"QQC",'QA Log'!L:L,"2. Hygiene and Sterilization",'QA Log'!Z:Z,"Approved"),"")</f>
        <v/>
      </c>
      <c r="AA116" s="105" t="str">
        <f>IF(A116&lt;&gt;"",COUNTIFS('QA Log'!D:D,A116,'QA Log'!M:M,"QQC",'QA Log'!L:L,"4. Family Planning",'QA Log'!Z:Z,"Approved"),"")</f>
        <v/>
      </c>
      <c r="AB116" s="102" t="str">
        <f>IF(A116="","",
SUM(
COUNTIFS('QA Log'!D:D,A116,'QA Log'!M:M,"QQC",'QA Log'!Z:Z,"Rejected",'QA Log'!L:L,"*8. Maternity*"),
COUNTIFS('QA Log'!D:D,A116,'QA Log'!M:M,"QQC",'QA Log'!Z:Z,"Rejected",'QA Log'!L:L,"*9. EPI and Pre-school Consultation*"),
COUNTIFS('QA Log'!D:D,A116,'QA Log'!M:M,"QQC",'QA Log'!Z:Z,"Rejected",'QA Log'!L:L,"*10. Antenatal Care (ANC)*"),
COUNTIFS('QA Log'!D:D,A116,'QA Log'!M:M,"QQC",'QA Log'!Z:Z,"Rejected",'QA Log'!L:L,"*2. Hygiene and Sterilization*"),
COUNTIFS('QA Log'!D:D,A116,'QA Log'!M:M,"QQC",'QA Log'!Z:Z,"Rejected",'QA Log'!L:L,"*4. Family Planning*")
))</f>
        <v/>
      </c>
      <c r="AC116" s="102" t="str">
        <f t="shared" si="3"/>
        <v/>
      </c>
      <c r="AD116" s="103" t="str">
        <f t="shared" si="4"/>
        <v/>
      </c>
      <c r="AE116" s="102" t="str">
        <f>IF(A116="","",
SUM(
COUNTIFS('QA Log'!D:D,A116,'QA Log'!M:M,"Data Verification",'QA Log'!L:L,"*Medicine (section 2)*"),
COUNTIFS('QA Log'!D:D,A116,'QA Log'!M:M,"Data Verification",'QA Log'!L:L,"*Lab Testing Availability*"),
COUNTIFS('QA Log'!D:D,A116,'QA Log'!M:M,"Data Verification",'QA Log'!L:L,"*Other than P4P (section 6)*"),
COUNTIFS('QA Log'!D:D,A116,'QA Log'!M:M,"Data Verification",'QA Log'!L:L,"*Hospital Governance*")
))</f>
        <v/>
      </c>
      <c r="AF116" s="102" t="str">
        <f>IF(A116="","",
SUM(
COUNTIFS('QA Log'!D:D,A116,'QA Log'!M:M,"Data Verification",'QA Log'!Z:Z,"Approved",'QA Log'!L:L,"*Medicine (section 2)*"),
COUNTIFS('QA Log'!D:D,A116,'QA Log'!M:M,"Data Verification",'QA Log'!Z:Z,"Approved",'QA Log'!L:L,"*Lab Testing Availability*"),
COUNTIFS('QA Log'!D:D,A116,'QA Log'!M:M,"Data Verification",'QA Log'!Z:Z,"Approved",'QA Log'!L:L,"*Other than P4P (section 6)*"),
COUNTIFS('QA Log'!D:D,A116,'QA Log'!M:M,"Data Verification",'QA Log'!Z:Z,"Approved",'QA Log'!L:L,"*Hospital Governance*")
))</f>
        <v/>
      </c>
      <c r="AG116" s="105" t="str">
        <f>IF(A116&lt;&gt;"",COUNTIFS('QA Log'!D:D,A116,'QA Log'!M:M,"Data Verification",'QA Log'!L:L,"Medicine (section 2)",'QA Log'!Z:Z,"Approved"),"")</f>
        <v/>
      </c>
      <c r="AH116" s="105" t="str">
        <f>IF(A116&lt;&gt;"",COUNTIFS('QA Log'!D:D,A116,'QA Log'!M:M,"Data Verification",'QA Log'!L:L,"Lab Testing Availability",'QA Log'!Z:Z,"Approved"),"")</f>
        <v/>
      </c>
      <c r="AI116" s="105" t="str">
        <f>IF(A116&lt;&gt;"",COUNTIFS('QA Log'!D:D,A116,'QA Log'!M:M,"Data Verification",'QA Log'!L:L,"Other than P4P (section 6)",'QA Log'!Z:Z,"Approved"),"")</f>
        <v/>
      </c>
      <c r="AJ116" s="105" t="str">
        <f>IF(A116&lt;&gt;"",COUNTIFS('QA Log'!D:D,A116,'QA Log'!M:M,"Data Verification",'QA Log'!L:L,"Hospital Governance",'QA Log'!Z:Z,"Approved"),"")</f>
        <v/>
      </c>
      <c r="AK116" s="102" t="str">
        <f>IF(A116="","",
SUM(
COUNTIFS('QA Log'!D:D,A116,'QA Log'!M:M,"Data Verification",'QA Log'!Z:Z,"Rejected",'QA Log'!L:L,"*Medicine (section 2)*"),
COUNTIFS('QA Log'!D:D,A116,'QA Log'!M:M,"Data Verification",'QA Log'!Z:Z,"Rejected",'QA Log'!L:L,"*Lab Testing Availability*"),
COUNTIFS('QA Log'!D:D,A116,'QA Log'!M:M,"Data Verification",'QA Log'!Z:Z,"Rejected",'QA Log'!L:L,"*Other than P4P (section 6)*"),
COUNTIFS('QA Log'!D:D,A116,'QA Log'!M:M,"Data Verification",'QA Log'!Z:Z,"Rejected",'QA Log'!L:L,"*Hospital Governance*")
))</f>
        <v/>
      </c>
      <c r="AL116" s="106" t="str">
        <f t="shared" si="5"/>
        <v/>
      </c>
      <c r="AM116" s="102" t="str">
        <f t="shared" si="6"/>
        <v/>
      </c>
      <c r="AN116" s="102" t="str">
        <f>IF(A116="","",
SUM(
COUNTIFS('QA Log'!D:D,A116,'QA Log'!M:M,"Data Verification",'QA Log'!L:L,"*Personnel (section 1)*"),
COUNTIFS('QA Log'!D:D,A116,'QA Log'!M:M,"Data Verification",'QA Log'!L:L,"*Consumable (section 3)*"),
COUNTIFS('QA Log'!D:D,A116,'QA Log'!M:M,"Data Verification",'QA Log'!L:L,"*Equipments (section 4)*")
))</f>
        <v/>
      </c>
      <c r="AO116" s="102" t="str">
        <f>IF(A116="","",
SUM(
COUNTIFS('QA Log'!D:D,A116,'QA Log'!M:M,"Data Verification",'QA Log'!Z:Z,"Approved",'QA Log'!L:L,"*Personnel (section 1)*"),
COUNTIFS('QA Log'!D:D,A116,'QA Log'!M:M,"Data Verification",'QA Log'!Z:Z,"Approved",'QA Log'!L:L,"*Consumable (section 3)*"),
COUNTIFS('QA Log'!D:D,A116,'QA Log'!M:M,"Data Verification",'QA Log'!Z:Z,"Approved",'QA Log'!L:L,"*Equipments (section 4)*")
))</f>
        <v/>
      </c>
      <c r="AP116" s="105" t="str">
        <f>IF(A116&lt;&gt;"",COUNTIFS('QA Log'!D:D,A116,'QA Log'!M:M,"Data Verification",'QA Log'!L:L,"Personnel (section 1)",'QA Log'!Z:Z,"Approved"),"")</f>
        <v/>
      </c>
      <c r="AQ116" s="105" t="str">
        <f>IF(A116&lt;&gt;"",COUNTIFS('QA Log'!D:D,A116,'QA Log'!M:M,"Data Verification",'QA Log'!L:L,"Consumable (section 3)",'QA Log'!Z:Z,"Approved"),"")</f>
        <v/>
      </c>
      <c r="AR116" s="105" t="str">
        <f>IF(A116&lt;&gt;"",COUNTIFS('QA Log'!D:D,A116,'QA Log'!M:M,"Data Verification",'QA Log'!L:L,"Equipments (section 4)",'QA Log'!Z:Z,"Approved"),"")</f>
        <v/>
      </c>
      <c r="AS116" s="102" t="str">
        <f>IF(A116="","",
SUM(
COUNTIFS('QA Log'!D:D,A116,'QA Log'!M:M,"Data Verification",'QA Log'!Z:Z,"Rejected",'QA Log'!L:L,"*Personnel (section 1)*"),
COUNTIFS('QA Log'!D:D,A116,'QA Log'!M:M,"Data Verification",'QA Log'!Z:Z,"Rejected",'QA Log'!L:L,"*Consumable (section 3)*"),
COUNTIFS('QA Log'!D:D,A116,'QA Log'!M:M,"Data Verification",'QA Log'!Z:Z,"Rejected",'QA Log'!L:L,"*Equipments (section 4)*")
))</f>
        <v/>
      </c>
      <c r="AT116" s="102" t="str">
        <f t="shared" si="7"/>
        <v/>
      </c>
      <c r="AU116" s="103" t="str">
        <f t="shared" si="8"/>
        <v/>
      </c>
      <c r="AV116" s="102" t="str">
        <f>IF(A116="","",SUM(
COUNTIFS('QA Log'!D:D,A116,'QA Log'!M:M,"Vignette",'QA Log'!L:L,"*Vignette [1] Respiratory Infection: Pneumonia*"),
COUNTIFS('QA Log'!D:D,A116,'QA Log'!M:M,"Vignette",'QA Log'!L:L,"*Vignette [2]: Diarrhea with Cat B dehydration*"),
COUNTIFS('QA Log'!D:D,A116,'QA Log'!M:M,"Vignette",'QA Log'!L:L,"*Vignette [3] Growth Monitoring and Promotion*"),
COUNTIFS('QA Log'!D:D,A116,'QA Log'!M:M,"Vignette",'QA Log'!L:L,"*Vignette [4]: The management of presumptive TB patient*")
)
)</f>
        <v/>
      </c>
      <c r="AW116" s="102" t="str">
        <f>IF(
  A116="","",
  SUM(
    COUNTIFS('QA Log'!D:D,A116,'QA Log'!M:M,"Vignette",'QA Log'!Z:Z,"Approved",'QA Log'!L:L,"*Vignette [1] Respiratory Infection: Pneumonia*"),
    COUNTIFS('QA Log'!D:D,A116,'QA Log'!M:M,"Vignette",'QA Log'!Z:Z,"Approved",'QA Log'!L:L,"*Vignette [2]: Diarrhea with Cat B dehydration*"),
    COUNTIFS('QA Log'!D:D,A116,'QA Log'!M:M,"Vignette",'QA Log'!Z:Z,"Approved",'QA Log'!L:L,"*Vignette [3] Growth Monitoring and Promotion*"),
    COUNTIFS('QA Log'!D:D,A116,'QA Log'!M:M,"Vignette",'QA Log'!Z:Z,"Approved",'QA Log'!L:L,"*Vignette [4]: The management of presumptive TB patient*")
  )
)</f>
        <v/>
      </c>
      <c r="AX116" s="105" t="str">
        <f>IF(A116&lt;&gt;"",COUNTIFS('QA Log'!D:D,A116,'QA Log'!M:M,"Vignette",'QA Log'!L:L,"Vignette [1] Respiratory Infection: Pneumonia",'QA Log'!Z:Z,"Approved"),"")</f>
        <v/>
      </c>
      <c r="AY116" s="105" t="str">
        <f>IF(A116&lt;&gt;"",COUNTIFS('QA Log'!D:D,A116,'QA Log'!M:M,"Vignette",'QA Log'!L:L,"Vignette [2]: Diarrhea with Cat B dehydration",'QA Log'!Z:Z,"Approved"),"")</f>
        <v/>
      </c>
      <c r="AZ116" s="105" t="str">
        <f>IF(A116&lt;&gt;"",COUNTIFS('QA Log'!D:D,A116,'QA Log'!M:M,"Vignette",'QA Log'!L:L,"Vignette [3] Growth Monitoring and Promotion",'QA Log'!Z:Z,"Approved"),"")</f>
        <v/>
      </c>
      <c r="BA116" s="105" t="str">
        <f>IF(A116&lt;&gt;"",COUNTIFS('QA Log'!D:D,A116,'QA Log'!M:M,"Vignette",'QA Log'!L:L,"Vignette [4]: The management of presumptive TB patient",'QA Log'!Z:Z,"Approved"),"")</f>
        <v/>
      </c>
      <c r="BB116" s="102" t="str">
        <f>IF(A116="","",
  SUM(
    COUNTIFS('QA Log'!D:D,A116,'QA Log'!M:M,"Vignette",'QA Log'!Z:Z,"Rejected",'QA Log'!L:L,"*Vignette [1] Respiratory Infection: Pneumonia*"),
    COUNTIFS('QA Log'!D:D,A116,'QA Log'!M:M,"Vignette",'QA Log'!Z:Z,"Rejected",'QA Log'!L:L,"*Vignette [2]: Diarrhea with Cat B dehydration*"),
    COUNTIFS('QA Log'!D:D,A116,'QA Log'!M:M,"Vignette",'QA Log'!Z:Z,"Rejected",'QA Log'!L:L,"*Vignette [3] Growth Monitoring and Promotion*"),
    COUNTIFS('QA Log'!D:D,A116,'QA Log'!M:M,"Vignette",'QA Log'!Z:Z,"Rejected",'QA Log'!L:L,"*Vignette [4]: The management of presumptive TB patient*")
  )
)</f>
        <v/>
      </c>
      <c r="BC116" s="107" t="str">
        <f t="shared" si="9"/>
        <v/>
      </c>
      <c r="BD116" s="103" t="str">
        <f t="shared" si="10"/>
        <v/>
      </c>
      <c r="BE116" s="102" t="str">
        <f>IF(A116="","",SUM(
COUNTIFS('QA Log'!D:D,A116,'QA Log'!M:M,"Vignette",'QA Log'!L:L,"*Vignette [5] Labor*"),
COUNTIFS('QA Log'!D:D,A116,'QA Log'!M:M,"Vignette",'QA Log'!L:L,"*Vignette [6] PNC pre Discharge*"),
COUNTIFS('QA Log'!D:D,A116,'QA Log'!M:M,"Vignette",'QA Log'!L:L,"*Vignette [7] First ANC Visit*"),
COUNTIFS('QA Log'!D:D,A116,'QA Log'!M:M,"Vignette",'QA Log'!L:L,"*Vignette [8] Birth Spacing/ Family Planning :  FP Counselling*"),
COUNTIFS('QA Log'!D:D,A116,'QA Log'!M:M,"Vignette",'QA Log'!L:L,"*Vignette [9] Birth Spacing: Change FP method to Injectable*"),
COUNTIFS('QA Log'!D:D,A116,'QA Log'!M:M,"Vignette",'QA Log'!L:L,"*Vignette [10] Post Partum Haemorrhage - Atonic Uterus at Health Centre*"),
)
)</f>
        <v/>
      </c>
      <c r="BF116" s="102" t="str">
        <f>IF(A116="","",
  SUM(
    COUNTIFS('QA Log'!D:D,A116,'QA Log'!M:M,"Vignette",'QA Log'!Z:Z,"Approved",'QA Log'!L:L,"*Vignette [5] Labor*"),
    COUNTIFS('QA Log'!D:D,A116,'QA Log'!M:M,"Vignette",'QA Log'!Z:Z,"Approved",'QA Log'!L:L,"*Vignette [6] PNC pre Discharge*"),
    COUNTIFS('QA Log'!D:D,A116,'QA Log'!M:M,"Vignette",'QA Log'!Z:Z,"Approved",'QA Log'!L:L,"*Vignette [7] First ANC Visit*"),
    COUNTIFS('QA Log'!D:D,A116,'QA Log'!M:M,"Vignette",'QA Log'!Z:Z,"Approved",'QA Log'!L:L,"*Vignette [8] Birth Spacing/ Family Planning :  FP Counselling*"),
    COUNTIFS('QA Log'!D:D,A116,'QA Log'!M:M,"Vignette",'QA Log'!Z:Z,"Approved",'QA Log'!L:L,"*Vignette [9] Birth Spacing: Change FP method to Injectable*"),
    COUNTIFS('QA Log'!D:D,A116,'QA Log'!M:M,"Vignette",'QA Log'!Z:Z,"Approved",'QA Log'!L:L,"*Vignette [10] Post Partum Haemorrhage - Atonic Uterus at Health Centre*")
  )
)</f>
        <v/>
      </c>
      <c r="BG116" s="105" t="str">
        <f>IF(A116&lt;&gt;"",COUNTIFS('QA Log'!D:D,A116,'QA Log'!M:M,"Vignette",'QA Log'!L:L,"Vignette [5] Labor",'QA Log'!Z:Z,"Approved"),"")</f>
        <v/>
      </c>
      <c r="BH116" s="105" t="str">
        <f>IF(A116&lt;&gt;"",COUNTIFS('QA Log'!D:D,A116,'QA Log'!M:M,"Vignette",'QA Log'!L:L,"Vignette [6] PNC pre Discharge",'QA Log'!Z:Z,"Approved"),"")</f>
        <v/>
      </c>
      <c r="BI116" s="105" t="str">
        <f>IF(A116&lt;&gt;"",COUNTIFS('QA Log'!D:D,A116,'QA Log'!M:M,"Vignette",'QA Log'!L:L,"Vignette [7] First ANC Visit",'QA Log'!Z:Z,"Approved"),"")</f>
        <v/>
      </c>
      <c r="BJ116" s="105" t="str">
        <f>IF(A116&lt;&gt;"",COUNTIFS('QA Log'!D:D,A116,'QA Log'!M:M,"Vignette",'QA Log'!L:L,"Vignette [8] Birth Spacing/ Family Planning :  FP Counselling",'QA Log'!Z:Z,"Approved"),"")</f>
        <v/>
      </c>
      <c r="BK116" s="105" t="str">
        <f>IF(A116&lt;&gt;"",COUNTIFS('QA Log'!D:D,A116,'QA Log'!M:M,"Vignette",'QA Log'!L:L,"Vignette [9] Birth Spacing: Change FP method to Injectable",'QA Log'!Z:Z,"Approved"),"")</f>
        <v/>
      </c>
      <c r="BL116" s="105" t="str">
        <f>IF(A116&lt;&gt;"",COUNTIFS('QA Log'!D:D,A116,'QA Log'!M:M,"Vignette",'QA Log'!L:L,"Vignette [10] Post Partum Haemorrhage - Atonic Uterus at Health Centre",'QA Log'!Z:Z,"Approved"),"")</f>
        <v/>
      </c>
      <c r="BM116" s="102" t="str">
        <f>IF(A116="","",SUM(
    COUNTIFS('QA Log'!D:D,A116,'QA Log'!M:M,"Vignette",'QA Log'!Z:Z,"Rejected",'QA Log'!L:L,"*Vignette [5] Labor*"),
    COUNTIFS('QA Log'!D:D,A116,'QA Log'!M:M,"Vignette",'QA Log'!Z:Z,"Rejected",'QA Log'!L:L,"*Vignette [6] PNC pre Discharge*"),
    COUNTIFS('QA Log'!D:D,A116,'QA Log'!M:M,"Vignette",'QA Log'!Z:Z,"Rejected",'QA Log'!L:L,"*Vignette [7] First ANC Visit*"),
    COUNTIFS('QA Log'!D:D,A116,'QA Log'!M:M,"Vignette",'QA Log'!Z:Z,"Rejected",'QA Log'!L:L,"*Vignette [8] Birth Spacing/ Family Planning :  FP Counselling*"),
    COUNTIFS('QA Log'!D:D,A116,'QA Log'!M:M,"Vignette",'QA Log'!Z:Z,"Rejected",'QA Log'!L:L,"*Vignette [9] Birth Spacing: Change FP method to Injectable*"),
    COUNTIFS('QA Log'!D:D,A116,'QA Log'!M:M,"Vignette",'QA Log'!Z:Z,"Rejected",'QA Log'!L:L,"*Vignette [10] Post Partum Haemorrhage - Atonic Uterus at Health Centre*")
  )
)</f>
        <v/>
      </c>
      <c r="BN116" s="107" t="str">
        <f t="shared" si="11"/>
        <v/>
      </c>
      <c r="BO116" s="103" t="str">
        <f t="shared" si="12"/>
        <v/>
      </c>
      <c r="BP116" s="102" t="str">
        <f>IF(A116="","",SUM(
COUNTIFS('QA Log'!D:D,A116,'QA Log'!M:M,"Vignette",'QA Log'!L:L,"*Exit Interview 1*"),
COUNTIFS('QA Log'!D:D,A116,'QA Log'!M:M,"Vignette",'QA Log'!L:L,"*Exit Interview 2*"),
)
)</f>
        <v/>
      </c>
      <c r="BQ116" s="102" t="str">
        <f>IF(
  A116="","",
  SUM(
    COUNTIFS('QA Log'!D:D,A116,'QA Log'!M:M,"Vignette",'QA Log'!Z:Z,"Approved",'QA Log'!L:L,"*Exit Interview 1*"),
    COUNTIFS('QA Log'!D:D,A116,'QA Log'!M:M,"Vignette",'QA Log'!Z:Z,"Approved",'QA Log'!L:L,"*Exit Interview 2*")
  )
)</f>
        <v/>
      </c>
      <c r="BR116" s="105" t="str">
        <f>IF(A116&lt;&gt;"",COUNTIFS('QA Log'!D:D,A116,'QA Log'!M:M,"Vignette",'QA Log'!L:L,"Exit Interview 1",'QA Log'!Z:Z,"Approved"),"")</f>
        <v/>
      </c>
      <c r="BS116" s="105" t="str">
        <f>IF(A116&lt;&gt;"",COUNTIFS('QA Log'!D:D,A116,'QA Log'!M:M,"Vignette",'QA Log'!L:L,"Exit Interview 2",'QA Log'!Z:Z,"Approved"),"")</f>
        <v/>
      </c>
      <c r="BT116" s="102" t="str">
        <f>IF(
  A116="","",
  SUM(
    COUNTIFS('QA Log'!D:D,A116,'QA Log'!M:M,"Vignette",'QA Log'!Z:Z,"Rejected",'QA Log'!L:L,"*Exit Interview 1*"),
    COUNTIFS('QA Log'!D:D,A116,'QA Log'!M:M,"Vignette",'QA Log'!Z:Z,"Rejected",'QA Log'!L:L,"*Exit Interview 2*")
  )
)</f>
        <v/>
      </c>
      <c r="BU116" s="107" t="str">
        <f t="shared" si="13"/>
        <v/>
      </c>
      <c r="BV116" s="102" t="str">
        <f t="shared" si="14"/>
        <v/>
      </c>
      <c r="BW116" s="102" t="str">
        <f t="shared" si="15"/>
        <v/>
      </c>
      <c r="BX116" s="102" t="str">
        <f t="shared" si="16"/>
        <v/>
      </c>
      <c r="BY116" s="102" t="str">
        <f t="shared" si="17"/>
        <v/>
      </c>
      <c r="BZ116" s="107" t="str">
        <f t="shared" si="18"/>
        <v/>
      </c>
      <c r="CA116" s="108" t="str">
        <f t="shared" si="19"/>
        <v/>
      </c>
      <c r="CB116" s="108" t="str">
        <f t="shared" si="20"/>
        <v/>
      </c>
      <c r="CC116" s="109" t="str">
        <f t="shared" si="21"/>
        <v/>
      </c>
      <c r="CD116" s="108" t="str">
        <f t="shared" si="22"/>
        <v/>
      </c>
      <c r="CE116" s="108" t="str">
        <f t="shared" si="23"/>
        <v/>
      </c>
      <c r="CF116" s="109" t="str">
        <f t="shared" si="24"/>
        <v/>
      </c>
      <c r="CG116" s="110" t="str">
        <f t="shared" si="25"/>
        <v/>
      </c>
      <c r="CH116" s="111"/>
    </row>
    <row r="117" spans="1:86" ht="12.75">
      <c r="A117" s="101"/>
      <c r="B117" s="102" t="e">
        <f t="array" aca="1" ref="B117" ca="1">_xludf.XLOOKUP(A117,'QA Log'!D:D,'QA Log'!E:E,"")</f>
        <v>#NAME?</v>
      </c>
      <c r="C117" s="102" t="e">
        <f t="array" aca="1" ref="C117" ca="1">_xludf.XLOOKUP(A117,'QA Log'!D:D,'QA Log'!F:F,"")</f>
        <v>#NAME?</v>
      </c>
      <c r="D117" s="102" t="e">
        <f t="array" aca="1" ref="D117" ca="1">_xludf.XLOOKUP(A117,'QA Log'!D:D,'QA Log'!H:H,"")</f>
        <v>#NAME?</v>
      </c>
      <c r="E117" s="102" t="e">
        <f t="array" aca="1" ref="E117" ca="1">_xludf.XLOOKUP(A117,'QA Log'!D:D,'QA Log'!G:G,"")</f>
        <v>#NAME?</v>
      </c>
      <c r="F117" s="103"/>
      <c r="G117" s="104"/>
      <c r="H117" s="104"/>
      <c r="I117" s="103" t="str">
        <f t="shared" si="0"/>
        <v/>
      </c>
      <c r="J117" s="102" t="str">
        <f>IF(A117="","",SUM(
COUNTIFS('QA Log'!D:D,A117,'QA Log'!M:M,"QQC",'QA Log'!L:L,"*1. General Management*"),
COUNTIFS('QA Log'!D:D,A117,'QA Log'!M:M,"QQC",'QA Log'!L:L,"*3. Curative Consultation (OPD)*"),
COUNTIFS('QA Log'!D:D,A117,'QA Log'!M:M,"QQC",'QA Log'!L:L,"*5. Laboratory*"),
COUNTIFS('QA Log'!D:D,A117,'QA Log'!M:M,"QQC",'QA Log'!L:L,"*6. Essential Medicine Management*"),
COUNTIFS('QA Log'!D:D,A117,'QA Log'!M:M,"QQC",'QA Log'!L:L,"*7. Tracer Medicine*"),
COUNTIFS('QA Log'!D:D,A117,'QA Log'!M:M,"QQC",'QA Log'!L:L,"*11. Additional Questions*")))</f>
        <v/>
      </c>
      <c r="K117" s="102" t="str">
        <f>IF(A117="","",SUM(
COUNTIFS('QA Log'!D:D,A117,'QA Log'!M:M,"QQC",'QA Log'!Z:Z,"Approved",'QA Log'!L:L,"*1. General Management*"),
COUNTIFS('QA Log'!D:D,A117,'QA Log'!M:M,"QQC",'QA Log'!Z:Z,"Approved",'QA Log'!L:L,"*3. Curative Consultation (OPD)*"),
COUNTIFS('QA Log'!D:D,A117,'QA Log'!M:M,"QQC",'QA Log'!Z:Z,"Approved",'QA Log'!L:L,"*5. Laboratory*"),
COUNTIFS('QA Log'!D:D,A117,'QA Log'!M:M,"QQC",'QA Log'!Z:Z,"Approved",'QA Log'!L:L,"*6. Essential Medicine Management*"),
COUNTIFS('QA Log'!D:D,A117,'QA Log'!M:M,"QQC",'QA Log'!Z:Z,"Approved",'QA Log'!L:L,"*7. Tracer Medicine*"),
COUNTIFS('QA Log'!D:D,A117,'QA Log'!M:M,"QQC",'QA Log'!Z:Z,"Approved",'QA Log'!L:L,"*11. Additional Questions*")))</f>
        <v/>
      </c>
      <c r="L117" s="105" t="str">
        <f>IF(A117&lt;&gt;"",COUNTIFS('QA Log'!D:D,A117,'QA Log'!M:M,"QQC",'QA Log'!L:L,"1. General Management",'QA Log'!Z:Z,"Approved"),"")</f>
        <v/>
      </c>
      <c r="M117" s="105" t="str">
        <f>IF(A117&lt;&gt;"",COUNTIFS('QA Log'!D:D,A117,'QA Log'!M:M,"QQC",'QA Log'!L:L,"3. Curative Consultation (OPD)",'QA Log'!Z:Z,"Approved"),"")</f>
        <v/>
      </c>
      <c r="N117" s="105" t="str">
        <f>IF(A117&lt;&gt;"",COUNTIFS('QA Log'!D:D,A117,'QA Log'!M:M,"QQC",'QA Log'!L:L,"5. Laboratory",'QA Log'!Z:Z,"Approved"),"")</f>
        <v/>
      </c>
      <c r="O117" s="105" t="str">
        <f>IF(A117&lt;&gt;"",COUNTIFS('QA Log'!D:D,A117,'QA Log'!M:M,"QQC",'QA Log'!L:L,"6. Essential Medicine Management",'QA Log'!Z:Z,"Approved"),"")</f>
        <v/>
      </c>
      <c r="P117" s="105" t="str">
        <f>IF(A117&lt;&gt;"",COUNTIFS('QA Log'!D:D,A117,'QA Log'!M:M,"QQC",'QA Log'!L:L,"7. Tracer Medicine",'QA Log'!Z:Z,"Approved"),"")</f>
        <v/>
      </c>
      <c r="Q117" s="105" t="str">
        <f>IF(A117&lt;&gt;"",COUNTIFS('QA Log'!D:D,A117,'QA Log'!M:M,"QQC",'QA Log'!L:L,"11. Additional Questions",'QA Log'!Z:Z,"Approved"),"")</f>
        <v/>
      </c>
      <c r="R117" s="102" t="str">
        <f>IF(A117="","",SUM(
COUNTIFS('QA Log'!D:D,A117,'QA Log'!M:M,"QQC",'QA Log'!Z:Z,"Rejected",'QA Log'!L:L,"*8. Maternity*"),
COUNTIFS('QA Log'!D:D,A117,'QA Log'!M:M,"QQC",'QA Log'!Z:Z,"Rejected",'QA Log'!L:L,"*EPI*"),
COUNTIFS('QA Log'!D:D,A117,'QA Log'!M:M,"QQC",'QA Log'!Z:Z,"Rejected",'QA Log'!L:L,"*10. Antenatal Care (ANC)*"),
COUNTIFS('QA Log'!D:D,A117,'QA Log'!M:M,"QQC",'QA Log'!Z:Z,"Rejected",'QA Log'!L:L,"*2. Hygiene and Sterilization*"),
COUNTIFS('QA Log'!D:D,A117,'QA Log'!M:M,"QQC",'QA Log'!Z:Z,"Rejected",'QA Log'!L:L,"*Family Planning*")))</f>
        <v/>
      </c>
      <c r="S117" s="106" t="str">
        <f t="shared" si="1"/>
        <v/>
      </c>
      <c r="T117" s="102" t="str">
        <f t="shared" si="2"/>
        <v/>
      </c>
      <c r="U117" s="102" t="str">
        <f>IF(A117="","",
SUM(
COUNTIFS('QA Log'!D:D,A117,'QA Log'!M:M,"QQC",'QA Log'!L:L,"*8. Maternity*"),
COUNTIFS('QA Log'!D:D,A117,'QA Log'!M:M,"QQC",'QA Log'!L:L,"*9. EPI and Pre-school Consultation*"),
COUNTIFS('QA Log'!D:D,A117,'QA Log'!M:M,"QQC",'QA Log'!L:L,"*10. Antenatal Care (ANC)*"),
COUNTIFS('QA Log'!D:D,A117,'QA Log'!M:M,"QQC",'QA Log'!L:L,"*2. Hygiene and Sterilization*"),
COUNTIFS('QA Log'!D:D,A117,'QA Log'!M:M,"QQC",'QA Log'!L:L,"*4. Family Planning*")
))</f>
        <v/>
      </c>
      <c r="V117" s="102" t="str">
        <f>IF(A117="","",
SUM(
COUNTIFS('QA Log'!D:D,A117,'QA Log'!M:M,"QQC",'QA Log'!Z:Z,"Approved",'QA Log'!L:L,"*8. Maternity*"),
COUNTIFS('QA Log'!D:D,A117,'QA Log'!M:M,"QQC",'QA Log'!Z:Z,"Approved",'QA Log'!L:L,"*9. EPI and Pre-school Consultation*"),
COUNTIFS('QA Log'!D:D,A117,'QA Log'!M:M,"QQC",'QA Log'!Z:Z,"Approved",'QA Log'!L:L,"*10. Antenatal Care (ANC)*"),
COUNTIFS('QA Log'!D:D,A117,'QA Log'!M:M,"QQC",'QA Log'!Z:Z,"Approved",'QA Log'!L:L,"*2. Hygiene and Sterilization*"),
COUNTIFS('QA Log'!D:D,A117,'QA Log'!M:M,"QQC",'QA Log'!Z:Z,"Approved",'QA Log'!L:L,"*4. Family Planning*")
))</f>
        <v/>
      </c>
      <c r="W117" s="105" t="str">
        <f>IF(A117&lt;&gt;"",COUNTIFS('QA Log'!D:D,A117,'QA Log'!M:M,"QQC",'QA Log'!L:L,"8. Maternity",'QA Log'!Z:Z,"Approved"),"")</f>
        <v/>
      </c>
      <c r="X117" s="105" t="str">
        <f>IF(A117&lt;&gt;"",COUNTIFS('QA Log'!D:D,A117,'QA Log'!M:M,"QQC",'QA Log'!L:L,"9. EPI and Pre-school Consultation",'QA Log'!Z:Z,"Approved"),"")</f>
        <v/>
      </c>
      <c r="Y117" s="105" t="str">
        <f>IF(A117&lt;&gt;"",COUNTIFS('QA Log'!D:D,A117,'QA Log'!M:M,"QQC",'QA Log'!L:L,"10. Antenatal Care (ANC)",'QA Log'!Z:Z,"Approved"),"")</f>
        <v/>
      </c>
      <c r="Z117" s="105" t="str">
        <f>IF(A117&lt;&gt;"",COUNTIFS('QA Log'!D:D,A117,'QA Log'!M:M,"QQC",'QA Log'!L:L,"2. Hygiene and Sterilization",'QA Log'!Z:Z,"Approved"),"")</f>
        <v/>
      </c>
      <c r="AA117" s="105" t="str">
        <f>IF(A117&lt;&gt;"",COUNTIFS('QA Log'!D:D,A117,'QA Log'!M:M,"QQC",'QA Log'!L:L,"4. Family Planning",'QA Log'!Z:Z,"Approved"),"")</f>
        <v/>
      </c>
      <c r="AB117" s="102" t="str">
        <f>IF(A117="","",
SUM(
COUNTIFS('QA Log'!D:D,A117,'QA Log'!M:M,"QQC",'QA Log'!Z:Z,"Rejected",'QA Log'!L:L,"*8. Maternity*"),
COUNTIFS('QA Log'!D:D,A117,'QA Log'!M:M,"QQC",'QA Log'!Z:Z,"Rejected",'QA Log'!L:L,"*9. EPI and Pre-school Consultation*"),
COUNTIFS('QA Log'!D:D,A117,'QA Log'!M:M,"QQC",'QA Log'!Z:Z,"Rejected",'QA Log'!L:L,"*10. Antenatal Care (ANC)*"),
COUNTIFS('QA Log'!D:D,A117,'QA Log'!M:M,"QQC",'QA Log'!Z:Z,"Rejected",'QA Log'!L:L,"*2. Hygiene and Sterilization*"),
COUNTIFS('QA Log'!D:D,A117,'QA Log'!M:M,"QQC",'QA Log'!Z:Z,"Rejected",'QA Log'!L:L,"*4. Family Planning*")
))</f>
        <v/>
      </c>
      <c r="AC117" s="102" t="str">
        <f t="shared" si="3"/>
        <v/>
      </c>
      <c r="AD117" s="103" t="str">
        <f t="shared" si="4"/>
        <v/>
      </c>
      <c r="AE117" s="102" t="str">
        <f>IF(A117="","",
SUM(
COUNTIFS('QA Log'!D:D,A117,'QA Log'!M:M,"Data Verification",'QA Log'!L:L,"*Medicine (section 2)*"),
COUNTIFS('QA Log'!D:D,A117,'QA Log'!M:M,"Data Verification",'QA Log'!L:L,"*Lab Testing Availability*"),
COUNTIFS('QA Log'!D:D,A117,'QA Log'!M:M,"Data Verification",'QA Log'!L:L,"*Other than P4P (section 6)*"),
COUNTIFS('QA Log'!D:D,A117,'QA Log'!M:M,"Data Verification",'QA Log'!L:L,"*Hospital Governance*")
))</f>
        <v/>
      </c>
      <c r="AF117" s="102" t="str">
        <f>IF(A117="","",
SUM(
COUNTIFS('QA Log'!D:D,A117,'QA Log'!M:M,"Data Verification",'QA Log'!Z:Z,"Approved",'QA Log'!L:L,"*Medicine (section 2)*"),
COUNTIFS('QA Log'!D:D,A117,'QA Log'!M:M,"Data Verification",'QA Log'!Z:Z,"Approved",'QA Log'!L:L,"*Lab Testing Availability*"),
COUNTIFS('QA Log'!D:D,A117,'QA Log'!M:M,"Data Verification",'QA Log'!Z:Z,"Approved",'QA Log'!L:L,"*Other than P4P (section 6)*"),
COUNTIFS('QA Log'!D:D,A117,'QA Log'!M:M,"Data Verification",'QA Log'!Z:Z,"Approved",'QA Log'!L:L,"*Hospital Governance*")
))</f>
        <v/>
      </c>
      <c r="AG117" s="105" t="str">
        <f>IF(A117&lt;&gt;"",COUNTIFS('QA Log'!D:D,A117,'QA Log'!M:M,"Data Verification",'QA Log'!L:L,"Medicine (section 2)",'QA Log'!Z:Z,"Approved"),"")</f>
        <v/>
      </c>
      <c r="AH117" s="105" t="str">
        <f>IF(A117&lt;&gt;"",COUNTIFS('QA Log'!D:D,A117,'QA Log'!M:M,"Data Verification",'QA Log'!L:L,"Lab Testing Availability",'QA Log'!Z:Z,"Approved"),"")</f>
        <v/>
      </c>
      <c r="AI117" s="105" t="str">
        <f>IF(A117&lt;&gt;"",COUNTIFS('QA Log'!D:D,A117,'QA Log'!M:M,"Data Verification",'QA Log'!L:L,"Other than P4P (section 6)",'QA Log'!Z:Z,"Approved"),"")</f>
        <v/>
      </c>
      <c r="AJ117" s="105" t="str">
        <f>IF(A117&lt;&gt;"",COUNTIFS('QA Log'!D:D,A117,'QA Log'!M:M,"Data Verification",'QA Log'!L:L,"Hospital Governance",'QA Log'!Z:Z,"Approved"),"")</f>
        <v/>
      </c>
      <c r="AK117" s="102" t="str">
        <f>IF(A117="","",
SUM(
COUNTIFS('QA Log'!D:D,A117,'QA Log'!M:M,"Data Verification",'QA Log'!Z:Z,"Rejected",'QA Log'!L:L,"*Medicine (section 2)*"),
COUNTIFS('QA Log'!D:D,A117,'QA Log'!M:M,"Data Verification",'QA Log'!Z:Z,"Rejected",'QA Log'!L:L,"*Lab Testing Availability*"),
COUNTIFS('QA Log'!D:D,A117,'QA Log'!M:M,"Data Verification",'QA Log'!Z:Z,"Rejected",'QA Log'!L:L,"*Other than P4P (section 6)*"),
COUNTIFS('QA Log'!D:D,A117,'QA Log'!M:M,"Data Verification",'QA Log'!Z:Z,"Rejected",'QA Log'!L:L,"*Hospital Governance*")
))</f>
        <v/>
      </c>
      <c r="AL117" s="106" t="str">
        <f t="shared" si="5"/>
        <v/>
      </c>
      <c r="AM117" s="102" t="str">
        <f t="shared" si="6"/>
        <v/>
      </c>
      <c r="AN117" s="102" t="str">
        <f>IF(A117="","",
SUM(
COUNTIFS('QA Log'!D:D,A117,'QA Log'!M:M,"Data Verification",'QA Log'!L:L,"*Personnel (section 1)*"),
COUNTIFS('QA Log'!D:D,A117,'QA Log'!M:M,"Data Verification",'QA Log'!L:L,"*Consumable (section 3)*"),
COUNTIFS('QA Log'!D:D,A117,'QA Log'!M:M,"Data Verification",'QA Log'!L:L,"*Equipments (section 4)*")
))</f>
        <v/>
      </c>
      <c r="AO117" s="102" t="str">
        <f>IF(A117="","",
SUM(
COUNTIFS('QA Log'!D:D,A117,'QA Log'!M:M,"Data Verification",'QA Log'!Z:Z,"Approved",'QA Log'!L:L,"*Personnel (section 1)*"),
COUNTIFS('QA Log'!D:D,A117,'QA Log'!M:M,"Data Verification",'QA Log'!Z:Z,"Approved",'QA Log'!L:L,"*Consumable (section 3)*"),
COUNTIFS('QA Log'!D:D,A117,'QA Log'!M:M,"Data Verification",'QA Log'!Z:Z,"Approved",'QA Log'!L:L,"*Equipments (section 4)*")
))</f>
        <v/>
      </c>
      <c r="AP117" s="105" t="str">
        <f>IF(A117&lt;&gt;"",COUNTIFS('QA Log'!D:D,A117,'QA Log'!M:M,"Data Verification",'QA Log'!L:L,"Personnel (section 1)",'QA Log'!Z:Z,"Approved"),"")</f>
        <v/>
      </c>
      <c r="AQ117" s="105" t="str">
        <f>IF(A117&lt;&gt;"",COUNTIFS('QA Log'!D:D,A117,'QA Log'!M:M,"Data Verification",'QA Log'!L:L,"Consumable (section 3)",'QA Log'!Z:Z,"Approved"),"")</f>
        <v/>
      </c>
      <c r="AR117" s="105" t="str">
        <f>IF(A117&lt;&gt;"",COUNTIFS('QA Log'!D:D,A117,'QA Log'!M:M,"Data Verification",'QA Log'!L:L,"Equipments (section 4)",'QA Log'!Z:Z,"Approved"),"")</f>
        <v/>
      </c>
      <c r="AS117" s="102" t="str">
        <f>IF(A117="","",
SUM(
COUNTIFS('QA Log'!D:D,A117,'QA Log'!M:M,"Data Verification",'QA Log'!Z:Z,"Rejected",'QA Log'!L:L,"*Personnel (section 1)*"),
COUNTIFS('QA Log'!D:D,A117,'QA Log'!M:M,"Data Verification",'QA Log'!Z:Z,"Rejected",'QA Log'!L:L,"*Consumable (section 3)*"),
COUNTIFS('QA Log'!D:D,A117,'QA Log'!M:M,"Data Verification",'QA Log'!Z:Z,"Rejected",'QA Log'!L:L,"*Equipments (section 4)*")
))</f>
        <v/>
      </c>
      <c r="AT117" s="102" t="str">
        <f t="shared" si="7"/>
        <v/>
      </c>
      <c r="AU117" s="103" t="str">
        <f t="shared" si="8"/>
        <v/>
      </c>
      <c r="AV117" s="102" t="str">
        <f>IF(A117="","",SUM(
COUNTIFS('QA Log'!D:D,A117,'QA Log'!M:M,"Vignette",'QA Log'!L:L,"*Vignette [1] Respiratory Infection: Pneumonia*"),
COUNTIFS('QA Log'!D:D,A117,'QA Log'!M:M,"Vignette",'QA Log'!L:L,"*Vignette [2]: Diarrhea with Cat B dehydration*"),
COUNTIFS('QA Log'!D:D,A117,'QA Log'!M:M,"Vignette",'QA Log'!L:L,"*Vignette [3] Growth Monitoring and Promotion*"),
COUNTIFS('QA Log'!D:D,A117,'QA Log'!M:M,"Vignette",'QA Log'!L:L,"*Vignette [4]: The management of presumptive TB patient*")
)
)</f>
        <v/>
      </c>
      <c r="AW117" s="102" t="str">
        <f>IF(
  A117="","",
  SUM(
    COUNTIFS('QA Log'!D:D,A117,'QA Log'!M:M,"Vignette",'QA Log'!Z:Z,"Approved",'QA Log'!L:L,"*Vignette [1] Respiratory Infection: Pneumonia*"),
    COUNTIFS('QA Log'!D:D,A117,'QA Log'!M:M,"Vignette",'QA Log'!Z:Z,"Approved",'QA Log'!L:L,"*Vignette [2]: Diarrhea with Cat B dehydration*"),
    COUNTIFS('QA Log'!D:D,A117,'QA Log'!M:M,"Vignette",'QA Log'!Z:Z,"Approved",'QA Log'!L:L,"*Vignette [3] Growth Monitoring and Promotion*"),
    COUNTIFS('QA Log'!D:D,A117,'QA Log'!M:M,"Vignette",'QA Log'!Z:Z,"Approved",'QA Log'!L:L,"*Vignette [4]: The management of presumptive TB patient*")
  )
)</f>
        <v/>
      </c>
      <c r="AX117" s="105" t="str">
        <f>IF(A117&lt;&gt;"",COUNTIFS('QA Log'!D:D,A117,'QA Log'!M:M,"Vignette",'QA Log'!L:L,"Vignette [1] Respiratory Infection: Pneumonia",'QA Log'!Z:Z,"Approved"),"")</f>
        <v/>
      </c>
      <c r="AY117" s="105" t="str">
        <f>IF(A117&lt;&gt;"",COUNTIFS('QA Log'!D:D,A117,'QA Log'!M:M,"Vignette",'QA Log'!L:L,"Vignette [2]: Diarrhea with Cat B dehydration",'QA Log'!Z:Z,"Approved"),"")</f>
        <v/>
      </c>
      <c r="AZ117" s="105" t="str">
        <f>IF(A117&lt;&gt;"",COUNTIFS('QA Log'!D:D,A117,'QA Log'!M:M,"Vignette",'QA Log'!L:L,"Vignette [3] Growth Monitoring and Promotion",'QA Log'!Z:Z,"Approved"),"")</f>
        <v/>
      </c>
      <c r="BA117" s="105" t="str">
        <f>IF(A117&lt;&gt;"",COUNTIFS('QA Log'!D:D,A117,'QA Log'!M:M,"Vignette",'QA Log'!L:L,"Vignette [4]: The management of presumptive TB patient",'QA Log'!Z:Z,"Approved"),"")</f>
        <v/>
      </c>
      <c r="BB117" s="102" t="str">
        <f>IF(A117="","",
  SUM(
    COUNTIFS('QA Log'!D:D,A117,'QA Log'!M:M,"Vignette",'QA Log'!Z:Z,"Rejected",'QA Log'!L:L,"*Vignette [1] Respiratory Infection: Pneumonia*"),
    COUNTIFS('QA Log'!D:D,A117,'QA Log'!M:M,"Vignette",'QA Log'!Z:Z,"Rejected",'QA Log'!L:L,"*Vignette [2]: Diarrhea with Cat B dehydration*"),
    COUNTIFS('QA Log'!D:D,A117,'QA Log'!M:M,"Vignette",'QA Log'!Z:Z,"Rejected",'QA Log'!L:L,"*Vignette [3] Growth Monitoring and Promotion*"),
    COUNTIFS('QA Log'!D:D,A117,'QA Log'!M:M,"Vignette",'QA Log'!Z:Z,"Rejected",'QA Log'!L:L,"*Vignette [4]: The management of presumptive TB patient*")
  )
)</f>
        <v/>
      </c>
      <c r="BC117" s="107" t="str">
        <f t="shared" si="9"/>
        <v/>
      </c>
      <c r="BD117" s="103" t="str">
        <f t="shared" si="10"/>
        <v/>
      </c>
      <c r="BE117" s="102" t="str">
        <f>IF(A117="","",SUM(
COUNTIFS('QA Log'!D:D,A117,'QA Log'!M:M,"Vignette",'QA Log'!L:L,"*Vignette [5] Labor*"),
COUNTIFS('QA Log'!D:D,A117,'QA Log'!M:M,"Vignette",'QA Log'!L:L,"*Vignette [6] PNC pre Discharge*"),
COUNTIFS('QA Log'!D:D,A117,'QA Log'!M:M,"Vignette",'QA Log'!L:L,"*Vignette [7] First ANC Visit*"),
COUNTIFS('QA Log'!D:D,A117,'QA Log'!M:M,"Vignette",'QA Log'!L:L,"*Vignette [8] Birth Spacing/ Family Planning :  FP Counselling*"),
COUNTIFS('QA Log'!D:D,A117,'QA Log'!M:M,"Vignette",'QA Log'!L:L,"*Vignette [9] Birth Spacing: Change FP method to Injectable*"),
COUNTIFS('QA Log'!D:D,A117,'QA Log'!M:M,"Vignette",'QA Log'!L:L,"*Vignette [10] Post Partum Haemorrhage - Atonic Uterus at Health Centre*"),
)
)</f>
        <v/>
      </c>
      <c r="BF117" s="102" t="str">
        <f>IF(A117="","",
  SUM(
    COUNTIFS('QA Log'!D:D,A117,'QA Log'!M:M,"Vignette",'QA Log'!Z:Z,"Approved",'QA Log'!L:L,"*Vignette [5] Labor*"),
    COUNTIFS('QA Log'!D:D,A117,'QA Log'!M:M,"Vignette",'QA Log'!Z:Z,"Approved",'QA Log'!L:L,"*Vignette [6] PNC pre Discharge*"),
    COUNTIFS('QA Log'!D:D,A117,'QA Log'!M:M,"Vignette",'QA Log'!Z:Z,"Approved",'QA Log'!L:L,"*Vignette [7] First ANC Visit*"),
    COUNTIFS('QA Log'!D:D,A117,'QA Log'!M:M,"Vignette",'QA Log'!Z:Z,"Approved",'QA Log'!L:L,"*Vignette [8] Birth Spacing/ Family Planning :  FP Counselling*"),
    COUNTIFS('QA Log'!D:D,A117,'QA Log'!M:M,"Vignette",'QA Log'!Z:Z,"Approved",'QA Log'!L:L,"*Vignette [9] Birth Spacing: Change FP method to Injectable*"),
    COUNTIFS('QA Log'!D:D,A117,'QA Log'!M:M,"Vignette",'QA Log'!Z:Z,"Approved",'QA Log'!L:L,"*Vignette [10] Post Partum Haemorrhage - Atonic Uterus at Health Centre*")
  )
)</f>
        <v/>
      </c>
      <c r="BG117" s="105" t="str">
        <f>IF(A117&lt;&gt;"",COUNTIFS('QA Log'!D:D,A117,'QA Log'!M:M,"Vignette",'QA Log'!L:L,"Vignette [5] Labor",'QA Log'!Z:Z,"Approved"),"")</f>
        <v/>
      </c>
      <c r="BH117" s="105" t="str">
        <f>IF(A117&lt;&gt;"",COUNTIFS('QA Log'!D:D,A117,'QA Log'!M:M,"Vignette",'QA Log'!L:L,"Vignette [6] PNC pre Discharge",'QA Log'!Z:Z,"Approved"),"")</f>
        <v/>
      </c>
      <c r="BI117" s="105" t="str">
        <f>IF(A117&lt;&gt;"",COUNTIFS('QA Log'!D:D,A117,'QA Log'!M:M,"Vignette",'QA Log'!L:L,"Vignette [7] First ANC Visit",'QA Log'!Z:Z,"Approved"),"")</f>
        <v/>
      </c>
      <c r="BJ117" s="105" t="str">
        <f>IF(A117&lt;&gt;"",COUNTIFS('QA Log'!D:D,A117,'QA Log'!M:M,"Vignette",'QA Log'!L:L,"Vignette [8] Birth Spacing/ Family Planning :  FP Counselling",'QA Log'!Z:Z,"Approved"),"")</f>
        <v/>
      </c>
      <c r="BK117" s="105" t="str">
        <f>IF(A117&lt;&gt;"",COUNTIFS('QA Log'!D:D,A117,'QA Log'!M:M,"Vignette",'QA Log'!L:L,"Vignette [9] Birth Spacing: Change FP method to Injectable",'QA Log'!Z:Z,"Approved"),"")</f>
        <v/>
      </c>
      <c r="BL117" s="105" t="str">
        <f>IF(A117&lt;&gt;"",COUNTIFS('QA Log'!D:D,A117,'QA Log'!M:M,"Vignette",'QA Log'!L:L,"Vignette [10] Post Partum Haemorrhage - Atonic Uterus at Health Centre",'QA Log'!Z:Z,"Approved"),"")</f>
        <v/>
      </c>
      <c r="BM117" s="102" t="str">
        <f>IF(A117="","",SUM(
    COUNTIFS('QA Log'!D:D,A117,'QA Log'!M:M,"Vignette",'QA Log'!Z:Z,"Rejected",'QA Log'!L:L,"*Vignette [5] Labor*"),
    COUNTIFS('QA Log'!D:D,A117,'QA Log'!M:M,"Vignette",'QA Log'!Z:Z,"Rejected",'QA Log'!L:L,"*Vignette [6] PNC pre Discharge*"),
    COUNTIFS('QA Log'!D:D,A117,'QA Log'!M:M,"Vignette",'QA Log'!Z:Z,"Rejected",'QA Log'!L:L,"*Vignette [7] First ANC Visit*"),
    COUNTIFS('QA Log'!D:D,A117,'QA Log'!M:M,"Vignette",'QA Log'!Z:Z,"Rejected",'QA Log'!L:L,"*Vignette [8] Birth Spacing/ Family Planning :  FP Counselling*"),
    COUNTIFS('QA Log'!D:D,A117,'QA Log'!M:M,"Vignette",'QA Log'!Z:Z,"Rejected",'QA Log'!L:L,"*Vignette [9] Birth Spacing: Change FP method to Injectable*"),
    COUNTIFS('QA Log'!D:D,A117,'QA Log'!M:M,"Vignette",'QA Log'!Z:Z,"Rejected",'QA Log'!L:L,"*Vignette [10] Post Partum Haemorrhage - Atonic Uterus at Health Centre*")
  )
)</f>
        <v/>
      </c>
      <c r="BN117" s="107" t="str">
        <f t="shared" si="11"/>
        <v/>
      </c>
      <c r="BO117" s="103" t="str">
        <f t="shared" si="12"/>
        <v/>
      </c>
      <c r="BP117" s="102" t="str">
        <f>IF(A117="","",SUM(
COUNTIFS('QA Log'!D:D,A117,'QA Log'!M:M,"Vignette",'QA Log'!L:L,"*Exit Interview 1*"),
COUNTIFS('QA Log'!D:D,A117,'QA Log'!M:M,"Vignette",'QA Log'!L:L,"*Exit Interview 2*"),
)
)</f>
        <v/>
      </c>
      <c r="BQ117" s="102" t="str">
        <f>IF(
  A117="","",
  SUM(
    COUNTIFS('QA Log'!D:D,A117,'QA Log'!M:M,"Vignette",'QA Log'!Z:Z,"Approved",'QA Log'!L:L,"*Exit Interview 1*"),
    COUNTIFS('QA Log'!D:D,A117,'QA Log'!M:M,"Vignette",'QA Log'!Z:Z,"Approved",'QA Log'!L:L,"*Exit Interview 2*")
  )
)</f>
        <v/>
      </c>
      <c r="BR117" s="105" t="str">
        <f>IF(A117&lt;&gt;"",COUNTIFS('QA Log'!D:D,A117,'QA Log'!M:M,"Vignette",'QA Log'!L:L,"Exit Interview 1",'QA Log'!Z:Z,"Approved"),"")</f>
        <v/>
      </c>
      <c r="BS117" s="105" t="str">
        <f>IF(A117&lt;&gt;"",COUNTIFS('QA Log'!D:D,A117,'QA Log'!M:M,"Vignette",'QA Log'!L:L,"Exit Interview 2",'QA Log'!Z:Z,"Approved"),"")</f>
        <v/>
      </c>
      <c r="BT117" s="102" t="str">
        <f>IF(
  A117="","",
  SUM(
    COUNTIFS('QA Log'!D:D,A117,'QA Log'!M:M,"Vignette",'QA Log'!Z:Z,"Rejected",'QA Log'!L:L,"*Exit Interview 1*"),
    COUNTIFS('QA Log'!D:D,A117,'QA Log'!M:M,"Vignette",'QA Log'!Z:Z,"Rejected",'QA Log'!L:L,"*Exit Interview 2*")
  )
)</f>
        <v/>
      </c>
      <c r="BU117" s="107" t="str">
        <f t="shared" si="13"/>
        <v/>
      </c>
      <c r="BV117" s="102" t="str">
        <f t="shared" si="14"/>
        <v/>
      </c>
      <c r="BW117" s="102" t="str">
        <f t="shared" si="15"/>
        <v/>
      </c>
      <c r="BX117" s="102" t="str">
        <f t="shared" si="16"/>
        <v/>
      </c>
      <c r="BY117" s="102" t="str">
        <f t="shared" si="17"/>
        <v/>
      </c>
      <c r="BZ117" s="107" t="str">
        <f t="shared" si="18"/>
        <v/>
      </c>
      <c r="CA117" s="108" t="str">
        <f t="shared" si="19"/>
        <v/>
      </c>
      <c r="CB117" s="108" t="str">
        <f t="shared" si="20"/>
        <v/>
      </c>
      <c r="CC117" s="109" t="str">
        <f t="shared" si="21"/>
        <v/>
      </c>
      <c r="CD117" s="108" t="str">
        <f t="shared" si="22"/>
        <v/>
      </c>
      <c r="CE117" s="108" t="str">
        <f t="shared" si="23"/>
        <v/>
      </c>
      <c r="CF117" s="109" t="str">
        <f t="shared" si="24"/>
        <v/>
      </c>
      <c r="CG117" s="110" t="str">
        <f t="shared" si="25"/>
        <v/>
      </c>
      <c r="CH117" s="111"/>
    </row>
    <row r="118" spans="1:86" ht="12.75">
      <c r="A118" s="101"/>
      <c r="B118" s="102" t="e">
        <f t="array" aca="1" ref="B118" ca="1">_xludf.XLOOKUP(A118,'QA Log'!D:D,'QA Log'!E:E,"")</f>
        <v>#NAME?</v>
      </c>
      <c r="C118" s="102" t="e">
        <f t="array" aca="1" ref="C118" ca="1">_xludf.XLOOKUP(A118,'QA Log'!D:D,'QA Log'!F:F,"")</f>
        <v>#NAME?</v>
      </c>
      <c r="D118" s="102" t="e">
        <f t="array" aca="1" ref="D118" ca="1">_xludf.XLOOKUP(A118,'QA Log'!D:D,'QA Log'!H:H,"")</f>
        <v>#NAME?</v>
      </c>
      <c r="E118" s="102" t="e">
        <f t="array" aca="1" ref="E118" ca="1">_xludf.XLOOKUP(A118,'QA Log'!D:D,'QA Log'!G:G,"")</f>
        <v>#NAME?</v>
      </c>
      <c r="F118" s="103"/>
      <c r="G118" s="104"/>
      <c r="H118" s="104"/>
      <c r="I118" s="103" t="str">
        <f t="shared" si="0"/>
        <v/>
      </c>
      <c r="J118" s="102" t="str">
        <f>IF(A118="","",SUM(
COUNTIFS('QA Log'!D:D,A118,'QA Log'!M:M,"QQC",'QA Log'!L:L,"*1. General Management*"),
COUNTIFS('QA Log'!D:D,A118,'QA Log'!M:M,"QQC",'QA Log'!L:L,"*3. Curative Consultation (OPD)*"),
COUNTIFS('QA Log'!D:D,A118,'QA Log'!M:M,"QQC",'QA Log'!L:L,"*5. Laboratory*"),
COUNTIFS('QA Log'!D:D,A118,'QA Log'!M:M,"QQC",'QA Log'!L:L,"*6. Essential Medicine Management*"),
COUNTIFS('QA Log'!D:D,A118,'QA Log'!M:M,"QQC",'QA Log'!L:L,"*7. Tracer Medicine*"),
COUNTIFS('QA Log'!D:D,A118,'QA Log'!M:M,"QQC",'QA Log'!L:L,"*11. Additional Questions*")))</f>
        <v/>
      </c>
      <c r="K118" s="102" t="str">
        <f>IF(A118="","",SUM(
COUNTIFS('QA Log'!D:D,A118,'QA Log'!M:M,"QQC",'QA Log'!Z:Z,"Approved",'QA Log'!L:L,"*1. General Management*"),
COUNTIFS('QA Log'!D:D,A118,'QA Log'!M:M,"QQC",'QA Log'!Z:Z,"Approved",'QA Log'!L:L,"*3. Curative Consultation (OPD)*"),
COUNTIFS('QA Log'!D:D,A118,'QA Log'!M:M,"QQC",'QA Log'!Z:Z,"Approved",'QA Log'!L:L,"*5. Laboratory*"),
COUNTIFS('QA Log'!D:D,A118,'QA Log'!M:M,"QQC",'QA Log'!Z:Z,"Approved",'QA Log'!L:L,"*6. Essential Medicine Management*"),
COUNTIFS('QA Log'!D:D,A118,'QA Log'!M:M,"QQC",'QA Log'!Z:Z,"Approved",'QA Log'!L:L,"*7. Tracer Medicine*"),
COUNTIFS('QA Log'!D:D,A118,'QA Log'!M:M,"QQC",'QA Log'!Z:Z,"Approved",'QA Log'!L:L,"*11. Additional Questions*")))</f>
        <v/>
      </c>
      <c r="L118" s="105" t="str">
        <f>IF(A118&lt;&gt;"",COUNTIFS('QA Log'!D:D,A118,'QA Log'!M:M,"QQC",'QA Log'!L:L,"1. General Management",'QA Log'!Z:Z,"Approved"),"")</f>
        <v/>
      </c>
      <c r="M118" s="105" t="str">
        <f>IF(A118&lt;&gt;"",COUNTIFS('QA Log'!D:D,A118,'QA Log'!M:M,"QQC",'QA Log'!L:L,"3. Curative Consultation (OPD)",'QA Log'!Z:Z,"Approved"),"")</f>
        <v/>
      </c>
      <c r="N118" s="105" t="str">
        <f>IF(A118&lt;&gt;"",COUNTIFS('QA Log'!D:D,A118,'QA Log'!M:M,"QQC",'QA Log'!L:L,"5. Laboratory",'QA Log'!Z:Z,"Approved"),"")</f>
        <v/>
      </c>
      <c r="O118" s="105" t="str">
        <f>IF(A118&lt;&gt;"",COUNTIFS('QA Log'!D:D,A118,'QA Log'!M:M,"QQC",'QA Log'!L:L,"6. Essential Medicine Management",'QA Log'!Z:Z,"Approved"),"")</f>
        <v/>
      </c>
      <c r="P118" s="105" t="str">
        <f>IF(A118&lt;&gt;"",COUNTIFS('QA Log'!D:D,A118,'QA Log'!M:M,"QQC",'QA Log'!L:L,"7. Tracer Medicine",'QA Log'!Z:Z,"Approved"),"")</f>
        <v/>
      </c>
      <c r="Q118" s="105" t="str">
        <f>IF(A118&lt;&gt;"",COUNTIFS('QA Log'!D:D,A118,'QA Log'!M:M,"QQC",'QA Log'!L:L,"11. Additional Questions",'QA Log'!Z:Z,"Approved"),"")</f>
        <v/>
      </c>
      <c r="R118" s="102" t="str">
        <f>IF(A118="","",SUM(
COUNTIFS('QA Log'!D:D,A118,'QA Log'!M:M,"QQC",'QA Log'!Z:Z,"Rejected",'QA Log'!L:L,"*8. Maternity*"),
COUNTIFS('QA Log'!D:D,A118,'QA Log'!M:M,"QQC",'QA Log'!Z:Z,"Rejected",'QA Log'!L:L,"*EPI*"),
COUNTIFS('QA Log'!D:D,A118,'QA Log'!M:M,"QQC",'QA Log'!Z:Z,"Rejected",'QA Log'!L:L,"*10. Antenatal Care (ANC)*"),
COUNTIFS('QA Log'!D:D,A118,'QA Log'!M:M,"QQC",'QA Log'!Z:Z,"Rejected",'QA Log'!L:L,"*2. Hygiene and Sterilization*"),
COUNTIFS('QA Log'!D:D,A118,'QA Log'!M:M,"QQC",'QA Log'!Z:Z,"Rejected",'QA Log'!L:L,"*Family Planning*")))</f>
        <v/>
      </c>
      <c r="S118" s="106" t="str">
        <f t="shared" si="1"/>
        <v/>
      </c>
      <c r="T118" s="102" t="str">
        <f t="shared" si="2"/>
        <v/>
      </c>
      <c r="U118" s="102" t="str">
        <f>IF(A118="","",
SUM(
COUNTIFS('QA Log'!D:D,A118,'QA Log'!M:M,"QQC",'QA Log'!L:L,"*8. Maternity*"),
COUNTIFS('QA Log'!D:D,A118,'QA Log'!M:M,"QQC",'QA Log'!L:L,"*9. EPI and Pre-school Consultation*"),
COUNTIFS('QA Log'!D:D,A118,'QA Log'!M:M,"QQC",'QA Log'!L:L,"*10. Antenatal Care (ANC)*"),
COUNTIFS('QA Log'!D:D,A118,'QA Log'!M:M,"QQC",'QA Log'!L:L,"*2. Hygiene and Sterilization*"),
COUNTIFS('QA Log'!D:D,A118,'QA Log'!M:M,"QQC",'QA Log'!L:L,"*4. Family Planning*")
))</f>
        <v/>
      </c>
      <c r="V118" s="102" t="str">
        <f>IF(A118="","",
SUM(
COUNTIFS('QA Log'!D:D,A118,'QA Log'!M:M,"QQC",'QA Log'!Z:Z,"Approved",'QA Log'!L:L,"*8. Maternity*"),
COUNTIFS('QA Log'!D:D,A118,'QA Log'!M:M,"QQC",'QA Log'!Z:Z,"Approved",'QA Log'!L:L,"*9. EPI and Pre-school Consultation*"),
COUNTIFS('QA Log'!D:D,A118,'QA Log'!M:M,"QQC",'QA Log'!Z:Z,"Approved",'QA Log'!L:L,"*10. Antenatal Care (ANC)*"),
COUNTIFS('QA Log'!D:D,A118,'QA Log'!M:M,"QQC",'QA Log'!Z:Z,"Approved",'QA Log'!L:L,"*2. Hygiene and Sterilization*"),
COUNTIFS('QA Log'!D:D,A118,'QA Log'!M:M,"QQC",'QA Log'!Z:Z,"Approved",'QA Log'!L:L,"*4. Family Planning*")
))</f>
        <v/>
      </c>
      <c r="W118" s="105" t="str">
        <f>IF(A118&lt;&gt;"",COUNTIFS('QA Log'!D:D,A118,'QA Log'!M:M,"QQC",'QA Log'!L:L,"8. Maternity",'QA Log'!Z:Z,"Approved"),"")</f>
        <v/>
      </c>
      <c r="X118" s="105" t="str">
        <f>IF(A118&lt;&gt;"",COUNTIFS('QA Log'!D:D,A118,'QA Log'!M:M,"QQC",'QA Log'!L:L,"9. EPI and Pre-school Consultation",'QA Log'!Z:Z,"Approved"),"")</f>
        <v/>
      </c>
      <c r="Y118" s="105" t="str">
        <f>IF(A118&lt;&gt;"",COUNTIFS('QA Log'!D:D,A118,'QA Log'!M:M,"QQC",'QA Log'!L:L,"10. Antenatal Care (ANC)",'QA Log'!Z:Z,"Approved"),"")</f>
        <v/>
      </c>
      <c r="Z118" s="105" t="str">
        <f>IF(A118&lt;&gt;"",COUNTIFS('QA Log'!D:D,A118,'QA Log'!M:M,"QQC",'QA Log'!L:L,"2. Hygiene and Sterilization",'QA Log'!Z:Z,"Approved"),"")</f>
        <v/>
      </c>
      <c r="AA118" s="105" t="str">
        <f>IF(A118&lt;&gt;"",COUNTIFS('QA Log'!D:D,A118,'QA Log'!M:M,"QQC",'QA Log'!L:L,"4. Family Planning",'QA Log'!Z:Z,"Approved"),"")</f>
        <v/>
      </c>
      <c r="AB118" s="102" t="str">
        <f>IF(A118="","",
SUM(
COUNTIFS('QA Log'!D:D,A118,'QA Log'!M:M,"QQC",'QA Log'!Z:Z,"Rejected",'QA Log'!L:L,"*8. Maternity*"),
COUNTIFS('QA Log'!D:D,A118,'QA Log'!M:M,"QQC",'QA Log'!Z:Z,"Rejected",'QA Log'!L:L,"*9. EPI and Pre-school Consultation*"),
COUNTIFS('QA Log'!D:D,A118,'QA Log'!M:M,"QQC",'QA Log'!Z:Z,"Rejected",'QA Log'!L:L,"*10. Antenatal Care (ANC)*"),
COUNTIFS('QA Log'!D:D,A118,'QA Log'!M:M,"QQC",'QA Log'!Z:Z,"Rejected",'QA Log'!L:L,"*2. Hygiene and Sterilization*"),
COUNTIFS('QA Log'!D:D,A118,'QA Log'!M:M,"QQC",'QA Log'!Z:Z,"Rejected",'QA Log'!L:L,"*4. Family Planning*")
))</f>
        <v/>
      </c>
      <c r="AC118" s="102" t="str">
        <f t="shared" si="3"/>
        <v/>
      </c>
      <c r="AD118" s="103" t="str">
        <f t="shared" si="4"/>
        <v/>
      </c>
      <c r="AE118" s="102" t="str">
        <f>IF(A118="","",
SUM(
COUNTIFS('QA Log'!D:D,A118,'QA Log'!M:M,"Data Verification",'QA Log'!L:L,"*Medicine (section 2)*"),
COUNTIFS('QA Log'!D:D,A118,'QA Log'!M:M,"Data Verification",'QA Log'!L:L,"*Lab Testing Availability*"),
COUNTIFS('QA Log'!D:D,A118,'QA Log'!M:M,"Data Verification",'QA Log'!L:L,"*Other than P4P (section 6)*"),
COUNTIFS('QA Log'!D:D,A118,'QA Log'!M:M,"Data Verification",'QA Log'!L:L,"*Hospital Governance*")
))</f>
        <v/>
      </c>
      <c r="AF118" s="102" t="str">
        <f>IF(A118="","",
SUM(
COUNTIFS('QA Log'!D:D,A118,'QA Log'!M:M,"Data Verification",'QA Log'!Z:Z,"Approved",'QA Log'!L:L,"*Medicine (section 2)*"),
COUNTIFS('QA Log'!D:D,A118,'QA Log'!M:M,"Data Verification",'QA Log'!Z:Z,"Approved",'QA Log'!L:L,"*Lab Testing Availability*"),
COUNTIFS('QA Log'!D:D,A118,'QA Log'!M:M,"Data Verification",'QA Log'!Z:Z,"Approved",'QA Log'!L:L,"*Other than P4P (section 6)*"),
COUNTIFS('QA Log'!D:D,A118,'QA Log'!M:M,"Data Verification",'QA Log'!Z:Z,"Approved",'QA Log'!L:L,"*Hospital Governance*")
))</f>
        <v/>
      </c>
      <c r="AG118" s="105" t="str">
        <f>IF(A118&lt;&gt;"",COUNTIFS('QA Log'!D:D,A118,'QA Log'!M:M,"Data Verification",'QA Log'!L:L,"Medicine (section 2)",'QA Log'!Z:Z,"Approved"),"")</f>
        <v/>
      </c>
      <c r="AH118" s="105" t="str">
        <f>IF(A118&lt;&gt;"",COUNTIFS('QA Log'!D:D,A118,'QA Log'!M:M,"Data Verification",'QA Log'!L:L,"Lab Testing Availability",'QA Log'!Z:Z,"Approved"),"")</f>
        <v/>
      </c>
      <c r="AI118" s="105" t="str">
        <f>IF(A118&lt;&gt;"",COUNTIFS('QA Log'!D:D,A118,'QA Log'!M:M,"Data Verification",'QA Log'!L:L,"Other than P4P (section 6)",'QA Log'!Z:Z,"Approved"),"")</f>
        <v/>
      </c>
      <c r="AJ118" s="105" t="str">
        <f>IF(A118&lt;&gt;"",COUNTIFS('QA Log'!D:D,A118,'QA Log'!M:M,"Data Verification",'QA Log'!L:L,"Hospital Governance",'QA Log'!Z:Z,"Approved"),"")</f>
        <v/>
      </c>
      <c r="AK118" s="102" t="str">
        <f>IF(A118="","",
SUM(
COUNTIFS('QA Log'!D:D,A118,'QA Log'!M:M,"Data Verification",'QA Log'!Z:Z,"Rejected",'QA Log'!L:L,"*Medicine (section 2)*"),
COUNTIFS('QA Log'!D:D,A118,'QA Log'!M:M,"Data Verification",'QA Log'!Z:Z,"Rejected",'QA Log'!L:L,"*Lab Testing Availability*"),
COUNTIFS('QA Log'!D:D,A118,'QA Log'!M:M,"Data Verification",'QA Log'!Z:Z,"Rejected",'QA Log'!L:L,"*Other than P4P (section 6)*"),
COUNTIFS('QA Log'!D:D,A118,'QA Log'!M:M,"Data Verification",'QA Log'!Z:Z,"Rejected",'QA Log'!L:L,"*Hospital Governance*")
))</f>
        <v/>
      </c>
      <c r="AL118" s="106" t="str">
        <f t="shared" si="5"/>
        <v/>
      </c>
      <c r="AM118" s="102" t="str">
        <f t="shared" si="6"/>
        <v/>
      </c>
      <c r="AN118" s="102" t="str">
        <f>IF(A118="","",
SUM(
COUNTIFS('QA Log'!D:D,A118,'QA Log'!M:M,"Data Verification",'QA Log'!L:L,"*Personnel (section 1)*"),
COUNTIFS('QA Log'!D:D,A118,'QA Log'!M:M,"Data Verification",'QA Log'!L:L,"*Consumable (section 3)*"),
COUNTIFS('QA Log'!D:D,A118,'QA Log'!M:M,"Data Verification",'QA Log'!L:L,"*Equipments (section 4)*")
))</f>
        <v/>
      </c>
      <c r="AO118" s="102" t="str">
        <f>IF(A118="","",
SUM(
COUNTIFS('QA Log'!D:D,A118,'QA Log'!M:M,"Data Verification",'QA Log'!Z:Z,"Approved",'QA Log'!L:L,"*Personnel (section 1)*"),
COUNTIFS('QA Log'!D:D,A118,'QA Log'!M:M,"Data Verification",'QA Log'!Z:Z,"Approved",'QA Log'!L:L,"*Consumable (section 3)*"),
COUNTIFS('QA Log'!D:D,A118,'QA Log'!M:M,"Data Verification",'QA Log'!Z:Z,"Approved",'QA Log'!L:L,"*Equipments (section 4)*")
))</f>
        <v/>
      </c>
      <c r="AP118" s="105" t="str">
        <f>IF(A118&lt;&gt;"",COUNTIFS('QA Log'!D:D,A118,'QA Log'!M:M,"Data Verification",'QA Log'!L:L,"Personnel (section 1)",'QA Log'!Z:Z,"Approved"),"")</f>
        <v/>
      </c>
      <c r="AQ118" s="105" t="str">
        <f>IF(A118&lt;&gt;"",COUNTIFS('QA Log'!D:D,A118,'QA Log'!M:M,"Data Verification",'QA Log'!L:L,"Consumable (section 3)",'QA Log'!Z:Z,"Approved"),"")</f>
        <v/>
      </c>
      <c r="AR118" s="105" t="str">
        <f>IF(A118&lt;&gt;"",COUNTIFS('QA Log'!D:D,A118,'QA Log'!M:M,"Data Verification",'QA Log'!L:L,"Equipments (section 4)",'QA Log'!Z:Z,"Approved"),"")</f>
        <v/>
      </c>
      <c r="AS118" s="102" t="str">
        <f>IF(A118="","",
SUM(
COUNTIFS('QA Log'!D:D,A118,'QA Log'!M:M,"Data Verification",'QA Log'!Z:Z,"Rejected",'QA Log'!L:L,"*Personnel (section 1)*"),
COUNTIFS('QA Log'!D:D,A118,'QA Log'!M:M,"Data Verification",'QA Log'!Z:Z,"Rejected",'QA Log'!L:L,"*Consumable (section 3)*"),
COUNTIFS('QA Log'!D:D,A118,'QA Log'!M:M,"Data Verification",'QA Log'!Z:Z,"Rejected",'QA Log'!L:L,"*Equipments (section 4)*")
))</f>
        <v/>
      </c>
      <c r="AT118" s="102" t="str">
        <f t="shared" si="7"/>
        <v/>
      </c>
      <c r="AU118" s="103" t="str">
        <f t="shared" si="8"/>
        <v/>
      </c>
      <c r="AV118" s="102" t="str">
        <f>IF(A118="","",SUM(
COUNTIFS('QA Log'!D:D,A118,'QA Log'!M:M,"Vignette",'QA Log'!L:L,"*Vignette [1] Respiratory Infection: Pneumonia*"),
COUNTIFS('QA Log'!D:D,A118,'QA Log'!M:M,"Vignette",'QA Log'!L:L,"*Vignette [2]: Diarrhea with Cat B dehydration*"),
COUNTIFS('QA Log'!D:D,A118,'QA Log'!M:M,"Vignette",'QA Log'!L:L,"*Vignette [3] Growth Monitoring and Promotion*"),
COUNTIFS('QA Log'!D:D,A118,'QA Log'!M:M,"Vignette",'QA Log'!L:L,"*Vignette [4]: The management of presumptive TB patient*")
)
)</f>
        <v/>
      </c>
      <c r="AW118" s="102" t="str">
        <f>IF(
  A118="","",
  SUM(
    COUNTIFS('QA Log'!D:D,A118,'QA Log'!M:M,"Vignette",'QA Log'!Z:Z,"Approved",'QA Log'!L:L,"*Vignette [1] Respiratory Infection: Pneumonia*"),
    COUNTIFS('QA Log'!D:D,A118,'QA Log'!M:M,"Vignette",'QA Log'!Z:Z,"Approved",'QA Log'!L:L,"*Vignette [2]: Diarrhea with Cat B dehydration*"),
    COUNTIFS('QA Log'!D:D,A118,'QA Log'!M:M,"Vignette",'QA Log'!Z:Z,"Approved",'QA Log'!L:L,"*Vignette [3] Growth Monitoring and Promotion*"),
    COUNTIFS('QA Log'!D:D,A118,'QA Log'!M:M,"Vignette",'QA Log'!Z:Z,"Approved",'QA Log'!L:L,"*Vignette [4]: The management of presumptive TB patient*")
  )
)</f>
        <v/>
      </c>
      <c r="AX118" s="105" t="str">
        <f>IF(A118&lt;&gt;"",COUNTIFS('QA Log'!D:D,A118,'QA Log'!M:M,"Vignette",'QA Log'!L:L,"Vignette [1] Respiratory Infection: Pneumonia",'QA Log'!Z:Z,"Approved"),"")</f>
        <v/>
      </c>
      <c r="AY118" s="105" t="str">
        <f>IF(A118&lt;&gt;"",COUNTIFS('QA Log'!D:D,A118,'QA Log'!M:M,"Vignette",'QA Log'!L:L,"Vignette [2]: Diarrhea with Cat B dehydration",'QA Log'!Z:Z,"Approved"),"")</f>
        <v/>
      </c>
      <c r="AZ118" s="105" t="str">
        <f>IF(A118&lt;&gt;"",COUNTIFS('QA Log'!D:D,A118,'QA Log'!M:M,"Vignette",'QA Log'!L:L,"Vignette [3] Growth Monitoring and Promotion",'QA Log'!Z:Z,"Approved"),"")</f>
        <v/>
      </c>
      <c r="BA118" s="105" t="str">
        <f>IF(A118&lt;&gt;"",COUNTIFS('QA Log'!D:D,A118,'QA Log'!M:M,"Vignette",'QA Log'!L:L,"Vignette [4]: The management of presumptive TB patient",'QA Log'!Z:Z,"Approved"),"")</f>
        <v/>
      </c>
      <c r="BB118" s="102" t="str">
        <f>IF(A118="","",
  SUM(
    COUNTIFS('QA Log'!D:D,A118,'QA Log'!M:M,"Vignette",'QA Log'!Z:Z,"Rejected",'QA Log'!L:L,"*Vignette [1] Respiratory Infection: Pneumonia*"),
    COUNTIFS('QA Log'!D:D,A118,'QA Log'!M:M,"Vignette",'QA Log'!Z:Z,"Rejected",'QA Log'!L:L,"*Vignette [2]: Diarrhea with Cat B dehydration*"),
    COUNTIFS('QA Log'!D:D,A118,'QA Log'!M:M,"Vignette",'QA Log'!Z:Z,"Rejected",'QA Log'!L:L,"*Vignette [3] Growth Monitoring and Promotion*"),
    COUNTIFS('QA Log'!D:D,A118,'QA Log'!M:M,"Vignette",'QA Log'!Z:Z,"Rejected",'QA Log'!L:L,"*Vignette [4]: The management of presumptive TB patient*")
  )
)</f>
        <v/>
      </c>
      <c r="BC118" s="107" t="str">
        <f t="shared" si="9"/>
        <v/>
      </c>
      <c r="BD118" s="103" t="str">
        <f t="shared" si="10"/>
        <v/>
      </c>
      <c r="BE118" s="102" t="str">
        <f>IF(A118="","",SUM(
COUNTIFS('QA Log'!D:D,A118,'QA Log'!M:M,"Vignette",'QA Log'!L:L,"*Vignette [5] Labor*"),
COUNTIFS('QA Log'!D:D,A118,'QA Log'!M:M,"Vignette",'QA Log'!L:L,"*Vignette [6] PNC pre Discharge*"),
COUNTIFS('QA Log'!D:D,A118,'QA Log'!M:M,"Vignette",'QA Log'!L:L,"*Vignette [7] First ANC Visit*"),
COUNTIFS('QA Log'!D:D,A118,'QA Log'!M:M,"Vignette",'QA Log'!L:L,"*Vignette [8] Birth Spacing/ Family Planning :  FP Counselling*"),
COUNTIFS('QA Log'!D:D,A118,'QA Log'!M:M,"Vignette",'QA Log'!L:L,"*Vignette [9] Birth Spacing: Change FP method to Injectable*"),
COUNTIFS('QA Log'!D:D,A118,'QA Log'!M:M,"Vignette",'QA Log'!L:L,"*Vignette [10] Post Partum Haemorrhage - Atonic Uterus at Health Centre*"),
)
)</f>
        <v/>
      </c>
      <c r="BF118" s="102" t="str">
        <f>IF(A118="","",
  SUM(
    COUNTIFS('QA Log'!D:D,A118,'QA Log'!M:M,"Vignette",'QA Log'!Z:Z,"Approved",'QA Log'!L:L,"*Vignette [5] Labor*"),
    COUNTIFS('QA Log'!D:D,A118,'QA Log'!M:M,"Vignette",'QA Log'!Z:Z,"Approved",'QA Log'!L:L,"*Vignette [6] PNC pre Discharge*"),
    COUNTIFS('QA Log'!D:D,A118,'QA Log'!M:M,"Vignette",'QA Log'!Z:Z,"Approved",'QA Log'!L:L,"*Vignette [7] First ANC Visit*"),
    COUNTIFS('QA Log'!D:D,A118,'QA Log'!M:M,"Vignette",'QA Log'!Z:Z,"Approved",'QA Log'!L:L,"*Vignette [8] Birth Spacing/ Family Planning :  FP Counselling*"),
    COUNTIFS('QA Log'!D:D,A118,'QA Log'!M:M,"Vignette",'QA Log'!Z:Z,"Approved",'QA Log'!L:L,"*Vignette [9] Birth Spacing: Change FP method to Injectable*"),
    COUNTIFS('QA Log'!D:D,A118,'QA Log'!M:M,"Vignette",'QA Log'!Z:Z,"Approved",'QA Log'!L:L,"*Vignette [10] Post Partum Haemorrhage - Atonic Uterus at Health Centre*")
  )
)</f>
        <v/>
      </c>
      <c r="BG118" s="105" t="str">
        <f>IF(A118&lt;&gt;"",COUNTIFS('QA Log'!D:D,A118,'QA Log'!M:M,"Vignette",'QA Log'!L:L,"Vignette [5] Labor",'QA Log'!Z:Z,"Approved"),"")</f>
        <v/>
      </c>
      <c r="BH118" s="105" t="str">
        <f>IF(A118&lt;&gt;"",COUNTIFS('QA Log'!D:D,A118,'QA Log'!M:M,"Vignette",'QA Log'!L:L,"Vignette [6] PNC pre Discharge",'QA Log'!Z:Z,"Approved"),"")</f>
        <v/>
      </c>
      <c r="BI118" s="105" t="str">
        <f>IF(A118&lt;&gt;"",COUNTIFS('QA Log'!D:D,A118,'QA Log'!M:M,"Vignette",'QA Log'!L:L,"Vignette [7] First ANC Visit",'QA Log'!Z:Z,"Approved"),"")</f>
        <v/>
      </c>
      <c r="BJ118" s="105" t="str">
        <f>IF(A118&lt;&gt;"",COUNTIFS('QA Log'!D:D,A118,'QA Log'!M:M,"Vignette",'QA Log'!L:L,"Vignette [8] Birth Spacing/ Family Planning :  FP Counselling",'QA Log'!Z:Z,"Approved"),"")</f>
        <v/>
      </c>
      <c r="BK118" s="105" t="str">
        <f>IF(A118&lt;&gt;"",COUNTIFS('QA Log'!D:D,A118,'QA Log'!M:M,"Vignette",'QA Log'!L:L,"Vignette [9] Birth Spacing: Change FP method to Injectable",'QA Log'!Z:Z,"Approved"),"")</f>
        <v/>
      </c>
      <c r="BL118" s="105" t="str">
        <f>IF(A118&lt;&gt;"",COUNTIFS('QA Log'!D:D,A118,'QA Log'!M:M,"Vignette",'QA Log'!L:L,"Vignette [10] Post Partum Haemorrhage - Atonic Uterus at Health Centre",'QA Log'!Z:Z,"Approved"),"")</f>
        <v/>
      </c>
      <c r="BM118" s="102" t="str">
        <f>IF(A118="","",SUM(
    COUNTIFS('QA Log'!D:D,A118,'QA Log'!M:M,"Vignette",'QA Log'!Z:Z,"Rejected",'QA Log'!L:L,"*Vignette [5] Labor*"),
    COUNTIFS('QA Log'!D:D,A118,'QA Log'!M:M,"Vignette",'QA Log'!Z:Z,"Rejected",'QA Log'!L:L,"*Vignette [6] PNC pre Discharge*"),
    COUNTIFS('QA Log'!D:D,A118,'QA Log'!M:M,"Vignette",'QA Log'!Z:Z,"Rejected",'QA Log'!L:L,"*Vignette [7] First ANC Visit*"),
    COUNTIFS('QA Log'!D:D,A118,'QA Log'!M:M,"Vignette",'QA Log'!Z:Z,"Rejected",'QA Log'!L:L,"*Vignette [8] Birth Spacing/ Family Planning :  FP Counselling*"),
    COUNTIFS('QA Log'!D:D,A118,'QA Log'!M:M,"Vignette",'QA Log'!Z:Z,"Rejected",'QA Log'!L:L,"*Vignette [9] Birth Spacing: Change FP method to Injectable*"),
    COUNTIFS('QA Log'!D:D,A118,'QA Log'!M:M,"Vignette",'QA Log'!Z:Z,"Rejected",'QA Log'!L:L,"*Vignette [10] Post Partum Haemorrhage - Atonic Uterus at Health Centre*")
  )
)</f>
        <v/>
      </c>
      <c r="BN118" s="107" t="str">
        <f t="shared" si="11"/>
        <v/>
      </c>
      <c r="BO118" s="103" t="str">
        <f t="shared" si="12"/>
        <v/>
      </c>
      <c r="BP118" s="102" t="str">
        <f>IF(A118="","",SUM(
COUNTIFS('QA Log'!D:D,A118,'QA Log'!M:M,"Vignette",'QA Log'!L:L,"*Exit Interview 1*"),
COUNTIFS('QA Log'!D:D,A118,'QA Log'!M:M,"Vignette",'QA Log'!L:L,"*Exit Interview 2*"),
)
)</f>
        <v/>
      </c>
      <c r="BQ118" s="102" t="str">
        <f>IF(
  A118="","",
  SUM(
    COUNTIFS('QA Log'!D:D,A118,'QA Log'!M:M,"Vignette",'QA Log'!Z:Z,"Approved",'QA Log'!L:L,"*Exit Interview 1*"),
    COUNTIFS('QA Log'!D:D,A118,'QA Log'!M:M,"Vignette",'QA Log'!Z:Z,"Approved",'QA Log'!L:L,"*Exit Interview 2*")
  )
)</f>
        <v/>
      </c>
      <c r="BR118" s="105" t="str">
        <f>IF(A118&lt;&gt;"",COUNTIFS('QA Log'!D:D,A118,'QA Log'!M:M,"Vignette",'QA Log'!L:L,"Exit Interview 1",'QA Log'!Z:Z,"Approved"),"")</f>
        <v/>
      </c>
      <c r="BS118" s="105" t="str">
        <f>IF(A118&lt;&gt;"",COUNTIFS('QA Log'!D:D,A118,'QA Log'!M:M,"Vignette",'QA Log'!L:L,"Exit Interview 2",'QA Log'!Z:Z,"Approved"),"")</f>
        <v/>
      </c>
      <c r="BT118" s="102" t="str">
        <f>IF(
  A118="","",
  SUM(
    COUNTIFS('QA Log'!D:D,A118,'QA Log'!M:M,"Vignette",'QA Log'!Z:Z,"Rejected",'QA Log'!L:L,"*Exit Interview 1*"),
    COUNTIFS('QA Log'!D:D,A118,'QA Log'!M:M,"Vignette",'QA Log'!Z:Z,"Rejected",'QA Log'!L:L,"*Exit Interview 2*")
  )
)</f>
        <v/>
      </c>
      <c r="BU118" s="107" t="str">
        <f t="shared" si="13"/>
        <v/>
      </c>
      <c r="BV118" s="102" t="str">
        <f t="shared" si="14"/>
        <v/>
      </c>
      <c r="BW118" s="102" t="str">
        <f t="shared" si="15"/>
        <v/>
      </c>
      <c r="BX118" s="102" t="str">
        <f t="shared" si="16"/>
        <v/>
      </c>
      <c r="BY118" s="102" t="str">
        <f t="shared" si="17"/>
        <v/>
      </c>
      <c r="BZ118" s="107" t="str">
        <f t="shared" si="18"/>
        <v/>
      </c>
      <c r="CA118" s="108" t="str">
        <f t="shared" si="19"/>
        <v/>
      </c>
      <c r="CB118" s="108" t="str">
        <f t="shared" si="20"/>
        <v/>
      </c>
      <c r="CC118" s="109" t="str">
        <f t="shared" si="21"/>
        <v/>
      </c>
      <c r="CD118" s="108" t="str">
        <f t="shared" si="22"/>
        <v/>
      </c>
      <c r="CE118" s="108" t="str">
        <f t="shared" si="23"/>
        <v/>
      </c>
      <c r="CF118" s="109" t="str">
        <f t="shared" si="24"/>
        <v/>
      </c>
      <c r="CG118" s="110" t="str">
        <f t="shared" si="25"/>
        <v/>
      </c>
      <c r="CH118" s="111"/>
    </row>
    <row r="119" spans="1:86" ht="12.75">
      <c r="A119" s="101"/>
      <c r="B119" s="102" t="e">
        <f t="array" aca="1" ref="B119" ca="1">_xludf.XLOOKUP(A119,'QA Log'!D:D,'QA Log'!E:E,"")</f>
        <v>#NAME?</v>
      </c>
      <c r="C119" s="102" t="e">
        <f t="array" aca="1" ref="C119" ca="1">_xludf.XLOOKUP(A119,'QA Log'!D:D,'QA Log'!F:F,"")</f>
        <v>#NAME?</v>
      </c>
      <c r="D119" s="102" t="e">
        <f t="array" aca="1" ref="D119" ca="1">_xludf.XLOOKUP(A119,'QA Log'!D:D,'QA Log'!H:H,"")</f>
        <v>#NAME?</v>
      </c>
      <c r="E119" s="102" t="e">
        <f t="array" aca="1" ref="E119" ca="1">_xludf.XLOOKUP(A119,'QA Log'!D:D,'QA Log'!G:G,"")</f>
        <v>#NAME?</v>
      </c>
      <c r="F119" s="103"/>
      <c r="G119" s="104"/>
      <c r="H119" s="104"/>
      <c r="I119" s="103" t="str">
        <f t="shared" si="0"/>
        <v/>
      </c>
      <c r="J119" s="102" t="str">
        <f>IF(A119="","",SUM(
COUNTIFS('QA Log'!D:D,A119,'QA Log'!M:M,"QQC",'QA Log'!L:L,"*1. General Management*"),
COUNTIFS('QA Log'!D:D,A119,'QA Log'!M:M,"QQC",'QA Log'!L:L,"*3. Curative Consultation (OPD)*"),
COUNTIFS('QA Log'!D:D,A119,'QA Log'!M:M,"QQC",'QA Log'!L:L,"*5. Laboratory*"),
COUNTIFS('QA Log'!D:D,A119,'QA Log'!M:M,"QQC",'QA Log'!L:L,"*6. Essential Medicine Management*"),
COUNTIFS('QA Log'!D:D,A119,'QA Log'!M:M,"QQC",'QA Log'!L:L,"*7. Tracer Medicine*"),
COUNTIFS('QA Log'!D:D,A119,'QA Log'!M:M,"QQC",'QA Log'!L:L,"*11. Additional Questions*")))</f>
        <v/>
      </c>
      <c r="K119" s="102" t="str">
        <f>IF(A119="","",SUM(
COUNTIFS('QA Log'!D:D,A119,'QA Log'!M:M,"QQC",'QA Log'!Z:Z,"Approved",'QA Log'!L:L,"*1. General Management*"),
COUNTIFS('QA Log'!D:D,A119,'QA Log'!M:M,"QQC",'QA Log'!Z:Z,"Approved",'QA Log'!L:L,"*3. Curative Consultation (OPD)*"),
COUNTIFS('QA Log'!D:D,A119,'QA Log'!M:M,"QQC",'QA Log'!Z:Z,"Approved",'QA Log'!L:L,"*5. Laboratory*"),
COUNTIFS('QA Log'!D:D,A119,'QA Log'!M:M,"QQC",'QA Log'!Z:Z,"Approved",'QA Log'!L:L,"*6. Essential Medicine Management*"),
COUNTIFS('QA Log'!D:D,A119,'QA Log'!M:M,"QQC",'QA Log'!Z:Z,"Approved",'QA Log'!L:L,"*7. Tracer Medicine*"),
COUNTIFS('QA Log'!D:D,A119,'QA Log'!M:M,"QQC",'QA Log'!Z:Z,"Approved",'QA Log'!L:L,"*11. Additional Questions*")))</f>
        <v/>
      </c>
      <c r="L119" s="105" t="str">
        <f>IF(A119&lt;&gt;"",COUNTIFS('QA Log'!D:D,A119,'QA Log'!M:M,"QQC",'QA Log'!L:L,"1. General Management",'QA Log'!Z:Z,"Approved"),"")</f>
        <v/>
      </c>
      <c r="M119" s="105" t="str">
        <f>IF(A119&lt;&gt;"",COUNTIFS('QA Log'!D:D,A119,'QA Log'!M:M,"QQC",'QA Log'!L:L,"3. Curative Consultation (OPD)",'QA Log'!Z:Z,"Approved"),"")</f>
        <v/>
      </c>
      <c r="N119" s="105" t="str">
        <f>IF(A119&lt;&gt;"",COUNTIFS('QA Log'!D:D,A119,'QA Log'!M:M,"QQC",'QA Log'!L:L,"5. Laboratory",'QA Log'!Z:Z,"Approved"),"")</f>
        <v/>
      </c>
      <c r="O119" s="105" t="str">
        <f>IF(A119&lt;&gt;"",COUNTIFS('QA Log'!D:D,A119,'QA Log'!M:M,"QQC",'QA Log'!L:L,"6. Essential Medicine Management",'QA Log'!Z:Z,"Approved"),"")</f>
        <v/>
      </c>
      <c r="P119" s="105" t="str">
        <f>IF(A119&lt;&gt;"",COUNTIFS('QA Log'!D:D,A119,'QA Log'!M:M,"QQC",'QA Log'!L:L,"7. Tracer Medicine",'QA Log'!Z:Z,"Approved"),"")</f>
        <v/>
      </c>
      <c r="Q119" s="105" t="str">
        <f>IF(A119&lt;&gt;"",COUNTIFS('QA Log'!D:D,A119,'QA Log'!M:M,"QQC",'QA Log'!L:L,"11. Additional Questions",'QA Log'!Z:Z,"Approved"),"")</f>
        <v/>
      </c>
      <c r="R119" s="102" t="str">
        <f>IF(A119="","",SUM(
COUNTIFS('QA Log'!D:D,A119,'QA Log'!M:M,"QQC",'QA Log'!Z:Z,"Rejected",'QA Log'!L:L,"*8. Maternity*"),
COUNTIFS('QA Log'!D:D,A119,'QA Log'!M:M,"QQC",'QA Log'!Z:Z,"Rejected",'QA Log'!L:L,"*EPI*"),
COUNTIFS('QA Log'!D:D,A119,'QA Log'!M:M,"QQC",'QA Log'!Z:Z,"Rejected",'QA Log'!L:L,"*10. Antenatal Care (ANC)*"),
COUNTIFS('QA Log'!D:D,A119,'QA Log'!M:M,"QQC",'QA Log'!Z:Z,"Rejected",'QA Log'!L:L,"*2. Hygiene and Sterilization*"),
COUNTIFS('QA Log'!D:D,A119,'QA Log'!M:M,"QQC",'QA Log'!Z:Z,"Rejected",'QA Log'!L:L,"*Family Planning*")))</f>
        <v/>
      </c>
      <c r="S119" s="106" t="str">
        <f t="shared" si="1"/>
        <v/>
      </c>
      <c r="T119" s="102" t="str">
        <f t="shared" si="2"/>
        <v/>
      </c>
      <c r="U119" s="102" t="str">
        <f>IF(A119="","",
SUM(
COUNTIFS('QA Log'!D:D,A119,'QA Log'!M:M,"QQC",'QA Log'!L:L,"*8. Maternity*"),
COUNTIFS('QA Log'!D:D,A119,'QA Log'!M:M,"QQC",'QA Log'!L:L,"*9. EPI and Pre-school Consultation*"),
COUNTIFS('QA Log'!D:D,A119,'QA Log'!M:M,"QQC",'QA Log'!L:L,"*10. Antenatal Care (ANC)*"),
COUNTIFS('QA Log'!D:D,A119,'QA Log'!M:M,"QQC",'QA Log'!L:L,"*2. Hygiene and Sterilization*"),
COUNTIFS('QA Log'!D:D,A119,'QA Log'!M:M,"QQC",'QA Log'!L:L,"*4. Family Planning*")
))</f>
        <v/>
      </c>
      <c r="V119" s="102" t="str">
        <f>IF(A119="","",
SUM(
COUNTIFS('QA Log'!D:D,A119,'QA Log'!M:M,"QQC",'QA Log'!Z:Z,"Approved",'QA Log'!L:L,"*8. Maternity*"),
COUNTIFS('QA Log'!D:D,A119,'QA Log'!M:M,"QQC",'QA Log'!Z:Z,"Approved",'QA Log'!L:L,"*9. EPI and Pre-school Consultation*"),
COUNTIFS('QA Log'!D:D,A119,'QA Log'!M:M,"QQC",'QA Log'!Z:Z,"Approved",'QA Log'!L:L,"*10. Antenatal Care (ANC)*"),
COUNTIFS('QA Log'!D:D,A119,'QA Log'!M:M,"QQC",'QA Log'!Z:Z,"Approved",'QA Log'!L:L,"*2. Hygiene and Sterilization*"),
COUNTIFS('QA Log'!D:D,A119,'QA Log'!M:M,"QQC",'QA Log'!Z:Z,"Approved",'QA Log'!L:L,"*4. Family Planning*")
))</f>
        <v/>
      </c>
      <c r="W119" s="105" t="str">
        <f>IF(A119&lt;&gt;"",COUNTIFS('QA Log'!D:D,A119,'QA Log'!M:M,"QQC",'QA Log'!L:L,"8. Maternity",'QA Log'!Z:Z,"Approved"),"")</f>
        <v/>
      </c>
      <c r="X119" s="105" t="str">
        <f>IF(A119&lt;&gt;"",COUNTIFS('QA Log'!D:D,A119,'QA Log'!M:M,"QQC",'QA Log'!L:L,"9. EPI and Pre-school Consultation",'QA Log'!Z:Z,"Approved"),"")</f>
        <v/>
      </c>
      <c r="Y119" s="105" t="str">
        <f>IF(A119&lt;&gt;"",COUNTIFS('QA Log'!D:D,A119,'QA Log'!M:M,"QQC",'QA Log'!L:L,"10. Antenatal Care (ANC)",'QA Log'!Z:Z,"Approved"),"")</f>
        <v/>
      </c>
      <c r="Z119" s="105" t="str">
        <f>IF(A119&lt;&gt;"",COUNTIFS('QA Log'!D:D,A119,'QA Log'!M:M,"QQC",'QA Log'!L:L,"2. Hygiene and Sterilization",'QA Log'!Z:Z,"Approved"),"")</f>
        <v/>
      </c>
      <c r="AA119" s="105" t="str">
        <f>IF(A119&lt;&gt;"",COUNTIFS('QA Log'!D:D,A119,'QA Log'!M:M,"QQC",'QA Log'!L:L,"4. Family Planning",'QA Log'!Z:Z,"Approved"),"")</f>
        <v/>
      </c>
      <c r="AB119" s="102" t="str">
        <f>IF(A119="","",
SUM(
COUNTIFS('QA Log'!D:D,A119,'QA Log'!M:M,"QQC",'QA Log'!Z:Z,"Rejected",'QA Log'!L:L,"*8. Maternity*"),
COUNTIFS('QA Log'!D:D,A119,'QA Log'!M:M,"QQC",'QA Log'!Z:Z,"Rejected",'QA Log'!L:L,"*9. EPI and Pre-school Consultation*"),
COUNTIFS('QA Log'!D:D,A119,'QA Log'!M:M,"QQC",'QA Log'!Z:Z,"Rejected",'QA Log'!L:L,"*10. Antenatal Care (ANC)*"),
COUNTIFS('QA Log'!D:D,A119,'QA Log'!M:M,"QQC",'QA Log'!Z:Z,"Rejected",'QA Log'!L:L,"*2. Hygiene and Sterilization*"),
COUNTIFS('QA Log'!D:D,A119,'QA Log'!M:M,"QQC",'QA Log'!Z:Z,"Rejected",'QA Log'!L:L,"*4. Family Planning*")
))</f>
        <v/>
      </c>
      <c r="AC119" s="102" t="str">
        <f t="shared" si="3"/>
        <v/>
      </c>
      <c r="AD119" s="103" t="str">
        <f t="shared" si="4"/>
        <v/>
      </c>
      <c r="AE119" s="102" t="str">
        <f>IF(A119="","",
SUM(
COUNTIFS('QA Log'!D:D,A119,'QA Log'!M:M,"Data Verification",'QA Log'!L:L,"*Medicine (section 2)*"),
COUNTIFS('QA Log'!D:D,A119,'QA Log'!M:M,"Data Verification",'QA Log'!L:L,"*Lab Testing Availability*"),
COUNTIFS('QA Log'!D:D,A119,'QA Log'!M:M,"Data Verification",'QA Log'!L:L,"*Other than P4P (section 6)*"),
COUNTIFS('QA Log'!D:D,A119,'QA Log'!M:M,"Data Verification",'QA Log'!L:L,"*Hospital Governance*")
))</f>
        <v/>
      </c>
      <c r="AF119" s="102" t="str">
        <f>IF(A119="","",
SUM(
COUNTIFS('QA Log'!D:D,A119,'QA Log'!M:M,"Data Verification",'QA Log'!Z:Z,"Approved",'QA Log'!L:L,"*Medicine (section 2)*"),
COUNTIFS('QA Log'!D:D,A119,'QA Log'!M:M,"Data Verification",'QA Log'!Z:Z,"Approved",'QA Log'!L:L,"*Lab Testing Availability*"),
COUNTIFS('QA Log'!D:D,A119,'QA Log'!M:M,"Data Verification",'QA Log'!Z:Z,"Approved",'QA Log'!L:L,"*Other than P4P (section 6)*"),
COUNTIFS('QA Log'!D:D,A119,'QA Log'!M:M,"Data Verification",'QA Log'!Z:Z,"Approved",'QA Log'!L:L,"*Hospital Governance*")
))</f>
        <v/>
      </c>
      <c r="AG119" s="105" t="str">
        <f>IF(A119&lt;&gt;"",COUNTIFS('QA Log'!D:D,A119,'QA Log'!M:M,"Data Verification",'QA Log'!L:L,"Medicine (section 2)",'QA Log'!Z:Z,"Approved"),"")</f>
        <v/>
      </c>
      <c r="AH119" s="105" t="str">
        <f>IF(A119&lt;&gt;"",COUNTIFS('QA Log'!D:D,A119,'QA Log'!M:M,"Data Verification",'QA Log'!L:L,"Lab Testing Availability",'QA Log'!Z:Z,"Approved"),"")</f>
        <v/>
      </c>
      <c r="AI119" s="105" t="str">
        <f>IF(A119&lt;&gt;"",COUNTIFS('QA Log'!D:D,A119,'QA Log'!M:M,"Data Verification",'QA Log'!L:L,"Other than P4P (section 6)",'QA Log'!Z:Z,"Approved"),"")</f>
        <v/>
      </c>
      <c r="AJ119" s="105" t="str">
        <f>IF(A119&lt;&gt;"",COUNTIFS('QA Log'!D:D,A119,'QA Log'!M:M,"Data Verification",'QA Log'!L:L,"Hospital Governance",'QA Log'!Z:Z,"Approved"),"")</f>
        <v/>
      </c>
      <c r="AK119" s="102" t="str">
        <f>IF(A119="","",
SUM(
COUNTIFS('QA Log'!D:D,A119,'QA Log'!M:M,"Data Verification",'QA Log'!Z:Z,"Rejected",'QA Log'!L:L,"*Medicine (section 2)*"),
COUNTIFS('QA Log'!D:D,A119,'QA Log'!M:M,"Data Verification",'QA Log'!Z:Z,"Rejected",'QA Log'!L:L,"*Lab Testing Availability*"),
COUNTIFS('QA Log'!D:D,A119,'QA Log'!M:M,"Data Verification",'QA Log'!Z:Z,"Rejected",'QA Log'!L:L,"*Other than P4P (section 6)*"),
COUNTIFS('QA Log'!D:D,A119,'QA Log'!M:M,"Data Verification",'QA Log'!Z:Z,"Rejected",'QA Log'!L:L,"*Hospital Governance*")
))</f>
        <v/>
      </c>
      <c r="AL119" s="106" t="str">
        <f t="shared" si="5"/>
        <v/>
      </c>
      <c r="AM119" s="102" t="str">
        <f t="shared" si="6"/>
        <v/>
      </c>
      <c r="AN119" s="102" t="str">
        <f>IF(A119="","",
SUM(
COUNTIFS('QA Log'!D:D,A119,'QA Log'!M:M,"Data Verification",'QA Log'!L:L,"*Personnel (section 1)*"),
COUNTIFS('QA Log'!D:D,A119,'QA Log'!M:M,"Data Verification",'QA Log'!L:L,"*Consumable (section 3)*"),
COUNTIFS('QA Log'!D:D,A119,'QA Log'!M:M,"Data Verification",'QA Log'!L:L,"*Equipments (section 4)*")
))</f>
        <v/>
      </c>
      <c r="AO119" s="102" t="str">
        <f>IF(A119="","",
SUM(
COUNTIFS('QA Log'!D:D,A119,'QA Log'!M:M,"Data Verification",'QA Log'!Z:Z,"Approved",'QA Log'!L:L,"*Personnel (section 1)*"),
COUNTIFS('QA Log'!D:D,A119,'QA Log'!M:M,"Data Verification",'QA Log'!Z:Z,"Approved",'QA Log'!L:L,"*Consumable (section 3)*"),
COUNTIFS('QA Log'!D:D,A119,'QA Log'!M:M,"Data Verification",'QA Log'!Z:Z,"Approved",'QA Log'!L:L,"*Equipments (section 4)*")
))</f>
        <v/>
      </c>
      <c r="AP119" s="105" t="str">
        <f>IF(A119&lt;&gt;"",COUNTIFS('QA Log'!D:D,A119,'QA Log'!M:M,"Data Verification",'QA Log'!L:L,"Personnel (section 1)",'QA Log'!Z:Z,"Approved"),"")</f>
        <v/>
      </c>
      <c r="AQ119" s="105" t="str">
        <f>IF(A119&lt;&gt;"",COUNTIFS('QA Log'!D:D,A119,'QA Log'!M:M,"Data Verification",'QA Log'!L:L,"Consumable (section 3)",'QA Log'!Z:Z,"Approved"),"")</f>
        <v/>
      </c>
      <c r="AR119" s="105" t="str">
        <f>IF(A119&lt;&gt;"",COUNTIFS('QA Log'!D:D,A119,'QA Log'!M:M,"Data Verification",'QA Log'!L:L,"Equipments (section 4)",'QA Log'!Z:Z,"Approved"),"")</f>
        <v/>
      </c>
      <c r="AS119" s="102" t="str">
        <f>IF(A119="","",
SUM(
COUNTIFS('QA Log'!D:D,A119,'QA Log'!M:M,"Data Verification",'QA Log'!Z:Z,"Rejected",'QA Log'!L:L,"*Personnel (section 1)*"),
COUNTIFS('QA Log'!D:D,A119,'QA Log'!M:M,"Data Verification",'QA Log'!Z:Z,"Rejected",'QA Log'!L:L,"*Consumable (section 3)*"),
COUNTIFS('QA Log'!D:D,A119,'QA Log'!M:M,"Data Verification",'QA Log'!Z:Z,"Rejected",'QA Log'!L:L,"*Equipments (section 4)*")
))</f>
        <v/>
      </c>
      <c r="AT119" s="102" t="str">
        <f t="shared" si="7"/>
        <v/>
      </c>
      <c r="AU119" s="103" t="str">
        <f t="shared" si="8"/>
        <v/>
      </c>
      <c r="AV119" s="102" t="str">
        <f>IF(A119="","",SUM(
COUNTIFS('QA Log'!D:D,A119,'QA Log'!M:M,"Vignette",'QA Log'!L:L,"*Vignette [1] Respiratory Infection: Pneumonia*"),
COUNTIFS('QA Log'!D:D,A119,'QA Log'!M:M,"Vignette",'QA Log'!L:L,"*Vignette [2]: Diarrhea with Cat B dehydration*"),
COUNTIFS('QA Log'!D:D,A119,'QA Log'!M:M,"Vignette",'QA Log'!L:L,"*Vignette [3] Growth Monitoring and Promotion*"),
COUNTIFS('QA Log'!D:D,A119,'QA Log'!M:M,"Vignette",'QA Log'!L:L,"*Vignette [4]: The management of presumptive TB patient*")
)
)</f>
        <v/>
      </c>
      <c r="AW119" s="102" t="str">
        <f>IF(
  A119="","",
  SUM(
    COUNTIFS('QA Log'!D:D,A119,'QA Log'!M:M,"Vignette",'QA Log'!Z:Z,"Approved",'QA Log'!L:L,"*Vignette [1] Respiratory Infection: Pneumonia*"),
    COUNTIFS('QA Log'!D:D,A119,'QA Log'!M:M,"Vignette",'QA Log'!Z:Z,"Approved",'QA Log'!L:L,"*Vignette [2]: Diarrhea with Cat B dehydration*"),
    COUNTIFS('QA Log'!D:D,A119,'QA Log'!M:M,"Vignette",'QA Log'!Z:Z,"Approved",'QA Log'!L:L,"*Vignette [3] Growth Monitoring and Promotion*"),
    COUNTIFS('QA Log'!D:D,A119,'QA Log'!M:M,"Vignette",'QA Log'!Z:Z,"Approved",'QA Log'!L:L,"*Vignette [4]: The management of presumptive TB patient*")
  )
)</f>
        <v/>
      </c>
      <c r="AX119" s="105" t="str">
        <f>IF(A119&lt;&gt;"",COUNTIFS('QA Log'!D:D,A119,'QA Log'!M:M,"Vignette",'QA Log'!L:L,"Vignette [1] Respiratory Infection: Pneumonia",'QA Log'!Z:Z,"Approved"),"")</f>
        <v/>
      </c>
      <c r="AY119" s="105" t="str">
        <f>IF(A119&lt;&gt;"",COUNTIFS('QA Log'!D:D,A119,'QA Log'!M:M,"Vignette",'QA Log'!L:L,"Vignette [2]: Diarrhea with Cat B dehydration",'QA Log'!Z:Z,"Approved"),"")</f>
        <v/>
      </c>
      <c r="AZ119" s="105" t="str">
        <f>IF(A119&lt;&gt;"",COUNTIFS('QA Log'!D:D,A119,'QA Log'!M:M,"Vignette",'QA Log'!L:L,"Vignette [3] Growth Monitoring and Promotion",'QA Log'!Z:Z,"Approved"),"")</f>
        <v/>
      </c>
      <c r="BA119" s="105" t="str">
        <f>IF(A119&lt;&gt;"",COUNTIFS('QA Log'!D:D,A119,'QA Log'!M:M,"Vignette",'QA Log'!L:L,"Vignette [4]: The management of presumptive TB patient",'QA Log'!Z:Z,"Approved"),"")</f>
        <v/>
      </c>
      <c r="BB119" s="102" t="str">
        <f>IF(A119="","",
  SUM(
    COUNTIFS('QA Log'!D:D,A119,'QA Log'!M:M,"Vignette",'QA Log'!Z:Z,"Rejected",'QA Log'!L:L,"*Vignette [1] Respiratory Infection: Pneumonia*"),
    COUNTIFS('QA Log'!D:D,A119,'QA Log'!M:M,"Vignette",'QA Log'!Z:Z,"Rejected",'QA Log'!L:L,"*Vignette [2]: Diarrhea with Cat B dehydration*"),
    COUNTIFS('QA Log'!D:D,A119,'QA Log'!M:M,"Vignette",'QA Log'!Z:Z,"Rejected",'QA Log'!L:L,"*Vignette [3] Growth Monitoring and Promotion*"),
    COUNTIFS('QA Log'!D:D,A119,'QA Log'!M:M,"Vignette",'QA Log'!Z:Z,"Rejected",'QA Log'!L:L,"*Vignette [4]: The management of presumptive TB patient*")
  )
)</f>
        <v/>
      </c>
      <c r="BC119" s="107" t="str">
        <f t="shared" si="9"/>
        <v/>
      </c>
      <c r="BD119" s="103" t="str">
        <f t="shared" si="10"/>
        <v/>
      </c>
      <c r="BE119" s="102" t="str">
        <f>IF(A119="","",SUM(
COUNTIFS('QA Log'!D:D,A119,'QA Log'!M:M,"Vignette",'QA Log'!L:L,"*Vignette [5] Labor*"),
COUNTIFS('QA Log'!D:D,A119,'QA Log'!M:M,"Vignette",'QA Log'!L:L,"*Vignette [6] PNC pre Discharge*"),
COUNTIFS('QA Log'!D:D,A119,'QA Log'!M:M,"Vignette",'QA Log'!L:L,"*Vignette [7] First ANC Visit*"),
COUNTIFS('QA Log'!D:D,A119,'QA Log'!M:M,"Vignette",'QA Log'!L:L,"*Vignette [8] Birth Spacing/ Family Planning :  FP Counselling*"),
COUNTIFS('QA Log'!D:D,A119,'QA Log'!M:M,"Vignette",'QA Log'!L:L,"*Vignette [9] Birth Spacing: Change FP method to Injectable*"),
COUNTIFS('QA Log'!D:D,A119,'QA Log'!M:M,"Vignette",'QA Log'!L:L,"*Vignette [10] Post Partum Haemorrhage - Atonic Uterus at Health Centre*"),
)
)</f>
        <v/>
      </c>
      <c r="BF119" s="102" t="str">
        <f>IF(A119="","",
  SUM(
    COUNTIFS('QA Log'!D:D,A119,'QA Log'!M:M,"Vignette",'QA Log'!Z:Z,"Approved",'QA Log'!L:L,"*Vignette [5] Labor*"),
    COUNTIFS('QA Log'!D:D,A119,'QA Log'!M:M,"Vignette",'QA Log'!Z:Z,"Approved",'QA Log'!L:L,"*Vignette [6] PNC pre Discharge*"),
    COUNTIFS('QA Log'!D:D,A119,'QA Log'!M:M,"Vignette",'QA Log'!Z:Z,"Approved",'QA Log'!L:L,"*Vignette [7] First ANC Visit*"),
    COUNTIFS('QA Log'!D:D,A119,'QA Log'!M:M,"Vignette",'QA Log'!Z:Z,"Approved",'QA Log'!L:L,"*Vignette [8] Birth Spacing/ Family Planning :  FP Counselling*"),
    COUNTIFS('QA Log'!D:D,A119,'QA Log'!M:M,"Vignette",'QA Log'!Z:Z,"Approved",'QA Log'!L:L,"*Vignette [9] Birth Spacing: Change FP method to Injectable*"),
    COUNTIFS('QA Log'!D:D,A119,'QA Log'!M:M,"Vignette",'QA Log'!Z:Z,"Approved",'QA Log'!L:L,"*Vignette [10] Post Partum Haemorrhage - Atonic Uterus at Health Centre*")
  )
)</f>
        <v/>
      </c>
      <c r="BG119" s="105" t="str">
        <f>IF(A119&lt;&gt;"",COUNTIFS('QA Log'!D:D,A119,'QA Log'!M:M,"Vignette",'QA Log'!L:L,"Vignette [5] Labor",'QA Log'!Z:Z,"Approved"),"")</f>
        <v/>
      </c>
      <c r="BH119" s="105" t="str">
        <f>IF(A119&lt;&gt;"",COUNTIFS('QA Log'!D:D,A119,'QA Log'!M:M,"Vignette",'QA Log'!L:L,"Vignette [6] PNC pre Discharge",'QA Log'!Z:Z,"Approved"),"")</f>
        <v/>
      </c>
      <c r="BI119" s="105" t="str">
        <f>IF(A119&lt;&gt;"",COUNTIFS('QA Log'!D:D,A119,'QA Log'!M:M,"Vignette",'QA Log'!L:L,"Vignette [7] First ANC Visit",'QA Log'!Z:Z,"Approved"),"")</f>
        <v/>
      </c>
      <c r="BJ119" s="105" t="str">
        <f>IF(A119&lt;&gt;"",COUNTIFS('QA Log'!D:D,A119,'QA Log'!M:M,"Vignette",'QA Log'!L:L,"Vignette [8] Birth Spacing/ Family Planning :  FP Counselling",'QA Log'!Z:Z,"Approved"),"")</f>
        <v/>
      </c>
      <c r="BK119" s="105" t="str">
        <f>IF(A119&lt;&gt;"",COUNTIFS('QA Log'!D:D,A119,'QA Log'!M:M,"Vignette",'QA Log'!L:L,"Vignette [9] Birth Spacing: Change FP method to Injectable",'QA Log'!Z:Z,"Approved"),"")</f>
        <v/>
      </c>
      <c r="BL119" s="105" t="str">
        <f>IF(A119&lt;&gt;"",COUNTIFS('QA Log'!D:D,A119,'QA Log'!M:M,"Vignette",'QA Log'!L:L,"Vignette [10] Post Partum Haemorrhage - Atonic Uterus at Health Centre",'QA Log'!Z:Z,"Approved"),"")</f>
        <v/>
      </c>
      <c r="BM119" s="102" t="str">
        <f>IF(A119="","",SUM(
    COUNTIFS('QA Log'!D:D,A119,'QA Log'!M:M,"Vignette",'QA Log'!Z:Z,"Rejected",'QA Log'!L:L,"*Vignette [5] Labor*"),
    COUNTIFS('QA Log'!D:D,A119,'QA Log'!M:M,"Vignette",'QA Log'!Z:Z,"Rejected",'QA Log'!L:L,"*Vignette [6] PNC pre Discharge*"),
    COUNTIFS('QA Log'!D:D,A119,'QA Log'!M:M,"Vignette",'QA Log'!Z:Z,"Rejected",'QA Log'!L:L,"*Vignette [7] First ANC Visit*"),
    COUNTIFS('QA Log'!D:D,A119,'QA Log'!M:M,"Vignette",'QA Log'!Z:Z,"Rejected",'QA Log'!L:L,"*Vignette [8] Birth Spacing/ Family Planning :  FP Counselling*"),
    COUNTIFS('QA Log'!D:D,A119,'QA Log'!M:M,"Vignette",'QA Log'!Z:Z,"Rejected",'QA Log'!L:L,"*Vignette [9] Birth Spacing: Change FP method to Injectable*"),
    COUNTIFS('QA Log'!D:D,A119,'QA Log'!M:M,"Vignette",'QA Log'!Z:Z,"Rejected",'QA Log'!L:L,"*Vignette [10] Post Partum Haemorrhage - Atonic Uterus at Health Centre*")
  )
)</f>
        <v/>
      </c>
      <c r="BN119" s="107" t="str">
        <f t="shared" si="11"/>
        <v/>
      </c>
      <c r="BO119" s="103" t="str">
        <f t="shared" si="12"/>
        <v/>
      </c>
      <c r="BP119" s="102" t="str">
        <f>IF(A119="","",SUM(
COUNTIFS('QA Log'!D:D,A119,'QA Log'!M:M,"Vignette",'QA Log'!L:L,"*Exit Interview 1*"),
COUNTIFS('QA Log'!D:D,A119,'QA Log'!M:M,"Vignette",'QA Log'!L:L,"*Exit Interview 2*"),
)
)</f>
        <v/>
      </c>
      <c r="BQ119" s="102" t="str">
        <f>IF(
  A119="","",
  SUM(
    COUNTIFS('QA Log'!D:D,A119,'QA Log'!M:M,"Vignette",'QA Log'!Z:Z,"Approved",'QA Log'!L:L,"*Exit Interview 1*"),
    COUNTIFS('QA Log'!D:D,A119,'QA Log'!M:M,"Vignette",'QA Log'!Z:Z,"Approved",'QA Log'!L:L,"*Exit Interview 2*")
  )
)</f>
        <v/>
      </c>
      <c r="BR119" s="105" t="str">
        <f>IF(A119&lt;&gt;"",COUNTIFS('QA Log'!D:D,A119,'QA Log'!M:M,"Vignette",'QA Log'!L:L,"Exit Interview 1",'QA Log'!Z:Z,"Approved"),"")</f>
        <v/>
      </c>
      <c r="BS119" s="105" t="str">
        <f>IF(A119&lt;&gt;"",COUNTIFS('QA Log'!D:D,A119,'QA Log'!M:M,"Vignette",'QA Log'!L:L,"Exit Interview 2",'QA Log'!Z:Z,"Approved"),"")</f>
        <v/>
      </c>
      <c r="BT119" s="102" t="str">
        <f>IF(
  A119="","",
  SUM(
    COUNTIFS('QA Log'!D:D,A119,'QA Log'!M:M,"Vignette",'QA Log'!Z:Z,"Rejected",'QA Log'!L:L,"*Exit Interview 1*"),
    COUNTIFS('QA Log'!D:D,A119,'QA Log'!M:M,"Vignette",'QA Log'!Z:Z,"Rejected",'QA Log'!L:L,"*Exit Interview 2*")
  )
)</f>
        <v/>
      </c>
      <c r="BU119" s="107" t="str">
        <f t="shared" si="13"/>
        <v/>
      </c>
      <c r="BV119" s="102" t="str">
        <f t="shared" si="14"/>
        <v/>
      </c>
      <c r="BW119" s="102" t="str">
        <f t="shared" si="15"/>
        <v/>
      </c>
      <c r="BX119" s="102" t="str">
        <f t="shared" si="16"/>
        <v/>
      </c>
      <c r="BY119" s="102" t="str">
        <f t="shared" si="17"/>
        <v/>
      </c>
      <c r="BZ119" s="107" t="str">
        <f t="shared" si="18"/>
        <v/>
      </c>
      <c r="CA119" s="108" t="str">
        <f t="shared" si="19"/>
        <v/>
      </c>
      <c r="CB119" s="108" t="str">
        <f t="shared" si="20"/>
        <v/>
      </c>
      <c r="CC119" s="109" t="str">
        <f t="shared" si="21"/>
        <v/>
      </c>
      <c r="CD119" s="108" t="str">
        <f t="shared" si="22"/>
        <v/>
      </c>
      <c r="CE119" s="108" t="str">
        <f t="shared" si="23"/>
        <v/>
      </c>
      <c r="CF119" s="109" t="str">
        <f t="shared" si="24"/>
        <v/>
      </c>
      <c r="CG119" s="110" t="str">
        <f t="shared" si="25"/>
        <v/>
      </c>
      <c r="CH119" s="111"/>
    </row>
    <row r="120" spans="1:86" ht="12.75">
      <c r="A120" s="101"/>
      <c r="B120" s="102" t="e">
        <f t="array" aca="1" ref="B120" ca="1">_xludf.XLOOKUP(A120,'QA Log'!D:D,'QA Log'!E:E,"")</f>
        <v>#NAME?</v>
      </c>
      <c r="C120" s="102" t="e">
        <f t="array" aca="1" ref="C120" ca="1">_xludf.XLOOKUP(A120,'QA Log'!D:D,'QA Log'!F:F,"")</f>
        <v>#NAME?</v>
      </c>
      <c r="D120" s="102" t="e">
        <f t="array" aca="1" ref="D120" ca="1">_xludf.XLOOKUP(A120,'QA Log'!D:D,'QA Log'!H:H,"")</f>
        <v>#NAME?</v>
      </c>
      <c r="E120" s="102" t="e">
        <f t="array" aca="1" ref="E120" ca="1">_xludf.XLOOKUP(A120,'QA Log'!D:D,'QA Log'!G:G,"")</f>
        <v>#NAME?</v>
      </c>
      <c r="F120" s="103"/>
      <c r="G120" s="104"/>
      <c r="H120" s="104"/>
      <c r="I120" s="103" t="str">
        <f t="shared" si="0"/>
        <v/>
      </c>
      <c r="J120" s="102" t="str">
        <f>IF(A120="","",SUM(
COUNTIFS('QA Log'!D:D,A120,'QA Log'!M:M,"QQC",'QA Log'!L:L,"*1. General Management*"),
COUNTIFS('QA Log'!D:D,A120,'QA Log'!M:M,"QQC",'QA Log'!L:L,"*3. Curative Consultation (OPD)*"),
COUNTIFS('QA Log'!D:D,A120,'QA Log'!M:M,"QQC",'QA Log'!L:L,"*5. Laboratory*"),
COUNTIFS('QA Log'!D:D,A120,'QA Log'!M:M,"QQC",'QA Log'!L:L,"*6. Essential Medicine Management*"),
COUNTIFS('QA Log'!D:D,A120,'QA Log'!M:M,"QQC",'QA Log'!L:L,"*7. Tracer Medicine*"),
COUNTIFS('QA Log'!D:D,A120,'QA Log'!M:M,"QQC",'QA Log'!L:L,"*11. Additional Questions*")))</f>
        <v/>
      </c>
      <c r="K120" s="102" t="str">
        <f>IF(A120="","",SUM(
COUNTIFS('QA Log'!D:D,A120,'QA Log'!M:M,"QQC",'QA Log'!Z:Z,"Approved",'QA Log'!L:L,"*1. General Management*"),
COUNTIFS('QA Log'!D:D,A120,'QA Log'!M:M,"QQC",'QA Log'!Z:Z,"Approved",'QA Log'!L:L,"*3. Curative Consultation (OPD)*"),
COUNTIFS('QA Log'!D:D,A120,'QA Log'!M:M,"QQC",'QA Log'!Z:Z,"Approved",'QA Log'!L:L,"*5. Laboratory*"),
COUNTIFS('QA Log'!D:D,A120,'QA Log'!M:M,"QQC",'QA Log'!Z:Z,"Approved",'QA Log'!L:L,"*6. Essential Medicine Management*"),
COUNTIFS('QA Log'!D:D,A120,'QA Log'!M:M,"QQC",'QA Log'!Z:Z,"Approved",'QA Log'!L:L,"*7. Tracer Medicine*"),
COUNTIFS('QA Log'!D:D,A120,'QA Log'!M:M,"QQC",'QA Log'!Z:Z,"Approved",'QA Log'!L:L,"*11. Additional Questions*")))</f>
        <v/>
      </c>
      <c r="L120" s="105" t="str">
        <f>IF(A120&lt;&gt;"",COUNTIFS('QA Log'!D:D,A120,'QA Log'!M:M,"QQC",'QA Log'!L:L,"1. General Management",'QA Log'!Z:Z,"Approved"),"")</f>
        <v/>
      </c>
      <c r="M120" s="105" t="str">
        <f>IF(A120&lt;&gt;"",COUNTIFS('QA Log'!D:D,A120,'QA Log'!M:M,"QQC",'QA Log'!L:L,"3. Curative Consultation (OPD)",'QA Log'!Z:Z,"Approved"),"")</f>
        <v/>
      </c>
      <c r="N120" s="105" t="str">
        <f>IF(A120&lt;&gt;"",COUNTIFS('QA Log'!D:D,A120,'QA Log'!M:M,"QQC",'QA Log'!L:L,"5. Laboratory",'QA Log'!Z:Z,"Approved"),"")</f>
        <v/>
      </c>
      <c r="O120" s="105" t="str">
        <f>IF(A120&lt;&gt;"",COUNTIFS('QA Log'!D:D,A120,'QA Log'!M:M,"QQC",'QA Log'!L:L,"6. Essential Medicine Management",'QA Log'!Z:Z,"Approved"),"")</f>
        <v/>
      </c>
      <c r="P120" s="105" t="str">
        <f>IF(A120&lt;&gt;"",COUNTIFS('QA Log'!D:D,A120,'QA Log'!M:M,"QQC",'QA Log'!L:L,"7. Tracer Medicine",'QA Log'!Z:Z,"Approved"),"")</f>
        <v/>
      </c>
      <c r="Q120" s="105" t="str">
        <f>IF(A120&lt;&gt;"",COUNTIFS('QA Log'!D:D,A120,'QA Log'!M:M,"QQC",'QA Log'!L:L,"11. Additional Questions",'QA Log'!Z:Z,"Approved"),"")</f>
        <v/>
      </c>
      <c r="R120" s="102" t="str">
        <f>IF(A120="","",SUM(
COUNTIFS('QA Log'!D:D,A120,'QA Log'!M:M,"QQC",'QA Log'!Z:Z,"Rejected",'QA Log'!L:L,"*8. Maternity*"),
COUNTIFS('QA Log'!D:D,A120,'QA Log'!M:M,"QQC",'QA Log'!Z:Z,"Rejected",'QA Log'!L:L,"*EPI*"),
COUNTIFS('QA Log'!D:D,A120,'QA Log'!M:M,"QQC",'QA Log'!Z:Z,"Rejected",'QA Log'!L:L,"*10. Antenatal Care (ANC)*"),
COUNTIFS('QA Log'!D:D,A120,'QA Log'!M:M,"QQC",'QA Log'!Z:Z,"Rejected",'QA Log'!L:L,"*2. Hygiene and Sterilization*"),
COUNTIFS('QA Log'!D:D,A120,'QA Log'!M:M,"QQC",'QA Log'!Z:Z,"Rejected",'QA Log'!L:L,"*Family Planning*")))</f>
        <v/>
      </c>
      <c r="S120" s="106" t="str">
        <f t="shared" si="1"/>
        <v/>
      </c>
      <c r="T120" s="102" t="str">
        <f t="shared" si="2"/>
        <v/>
      </c>
      <c r="U120" s="102" t="str">
        <f>IF(A120="","",
SUM(
COUNTIFS('QA Log'!D:D,A120,'QA Log'!M:M,"QQC",'QA Log'!L:L,"*8. Maternity*"),
COUNTIFS('QA Log'!D:D,A120,'QA Log'!M:M,"QQC",'QA Log'!L:L,"*9. EPI and Pre-school Consultation*"),
COUNTIFS('QA Log'!D:D,A120,'QA Log'!M:M,"QQC",'QA Log'!L:L,"*10. Antenatal Care (ANC)*"),
COUNTIFS('QA Log'!D:D,A120,'QA Log'!M:M,"QQC",'QA Log'!L:L,"*2. Hygiene and Sterilization*"),
COUNTIFS('QA Log'!D:D,A120,'QA Log'!M:M,"QQC",'QA Log'!L:L,"*4. Family Planning*")
))</f>
        <v/>
      </c>
      <c r="V120" s="102" t="str">
        <f>IF(A120="","",
SUM(
COUNTIFS('QA Log'!D:D,A120,'QA Log'!M:M,"QQC",'QA Log'!Z:Z,"Approved",'QA Log'!L:L,"*8. Maternity*"),
COUNTIFS('QA Log'!D:D,A120,'QA Log'!M:M,"QQC",'QA Log'!Z:Z,"Approved",'QA Log'!L:L,"*9. EPI and Pre-school Consultation*"),
COUNTIFS('QA Log'!D:D,A120,'QA Log'!M:M,"QQC",'QA Log'!Z:Z,"Approved",'QA Log'!L:L,"*10. Antenatal Care (ANC)*"),
COUNTIFS('QA Log'!D:D,A120,'QA Log'!M:M,"QQC",'QA Log'!Z:Z,"Approved",'QA Log'!L:L,"*2. Hygiene and Sterilization*"),
COUNTIFS('QA Log'!D:D,A120,'QA Log'!M:M,"QQC",'QA Log'!Z:Z,"Approved",'QA Log'!L:L,"*4. Family Planning*")
))</f>
        <v/>
      </c>
      <c r="W120" s="105" t="str">
        <f>IF(A120&lt;&gt;"",COUNTIFS('QA Log'!D:D,A120,'QA Log'!M:M,"QQC",'QA Log'!L:L,"8. Maternity",'QA Log'!Z:Z,"Approved"),"")</f>
        <v/>
      </c>
      <c r="X120" s="105" t="str">
        <f>IF(A120&lt;&gt;"",COUNTIFS('QA Log'!D:D,A120,'QA Log'!M:M,"QQC",'QA Log'!L:L,"9. EPI and Pre-school Consultation",'QA Log'!Z:Z,"Approved"),"")</f>
        <v/>
      </c>
      <c r="Y120" s="105" t="str">
        <f>IF(A120&lt;&gt;"",COUNTIFS('QA Log'!D:D,A120,'QA Log'!M:M,"QQC",'QA Log'!L:L,"10. Antenatal Care (ANC)",'QA Log'!Z:Z,"Approved"),"")</f>
        <v/>
      </c>
      <c r="Z120" s="105" t="str">
        <f>IF(A120&lt;&gt;"",COUNTIFS('QA Log'!D:D,A120,'QA Log'!M:M,"QQC",'QA Log'!L:L,"2. Hygiene and Sterilization",'QA Log'!Z:Z,"Approved"),"")</f>
        <v/>
      </c>
      <c r="AA120" s="105" t="str">
        <f>IF(A120&lt;&gt;"",COUNTIFS('QA Log'!D:D,A120,'QA Log'!M:M,"QQC",'QA Log'!L:L,"4. Family Planning",'QA Log'!Z:Z,"Approved"),"")</f>
        <v/>
      </c>
      <c r="AB120" s="102" t="str">
        <f>IF(A120="","",
SUM(
COUNTIFS('QA Log'!D:D,A120,'QA Log'!M:M,"QQC",'QA Log'!Z:Z,"Rejected",'QA Log'!L:L,"*8. Maternity*"),
COUNTIFS('QA Log'!D:D,A120,'QA Log'!M:M,"QQC",'QA Log'!Z:Z,"Rejected",'QA Log'!L:L,"*9. EPI and Pre-school Consultation*"),
COUNTIFS('QA Log'!D:D,A120,'QA Log'!M:M,"QQC",'QA Log'!Z:Z,"Rejected",'QA Log'!L:L,"*10. Antenatal Care (ANC)*"),
COUNTIFS('QA Log'!D:D,A120,'QA Log'!M:M,"QQC",'QA Log'!Z:Z,"Rejected",'QA Log'!L:L,"*2. Hygiene and Sterilization*"),
COUNTIFS('QA Log'!D:D,A120,'QA Log'!M:M,"QQC",'QA Log'!Z:Z,"Rejected",'QA Log'!L:L,"*4. Family Planning*")
))</f>
        <v/>
      </c>
      <c r="AC120" s="102" t="str">
        <f t="shared" si="3"/>
        <v/>
      </c>
      <c r="AD120" s="103" t="str">
        <f t="shared" si="4"/>
        <v/>
      </c>
      <c r="AE120" s="102" t="str">
        <f>IF(A120="","",
SUM(
COUNTIFS('QA Log'!D:D,A120,'QA Log'!M:M,"Data Verification",'QA Log'!L:L,"*Medicine (section 2)*"),
COUNTIFS('QA Log'!D:D,A120,'QA Log'!M:M,"Data Verification",'QA Log'!L:L,"*Lab Testing Availability*"),
COUNTIFS('QA Log'!D:D,A120,'QA Log'!M:M,"Data Verification",'QA Log'!L:L,"*Other than P4P (section 6)*"),
COUNTIFS('QA Log'!D:D,A120,'QA Log'!M:M,"Data Verification",'QA Log'!L:L,"*Hospital Governance*")
))</f>
        <v/>
      </c>
      <c r="AF120" s="102" t="str">
        <f>IF(A120="","",
SUM(
COUNTIFS('QA Log'!D:D,A120,'QA Log'!M:M,"Data Verification",'QA Log'!Z:Z,"Approved",'QA Log'!L:L,"*Medicine (section 2)*"),
COUNTIFS('QA Log'!D:D,A120,'QA Log'!M:M,"Data Verification",'QA Log'!Z:Z,"Approved",'QA Log'!L:L,"*Lab Testing Availability*"),
COUNTIFS('QA Log'!D:D,A120,'QA Log'!M:M,"Data Verification",'QA Log'!Z:Z,"Approved",'QA Log'!L:L,"*Other than P4P (section 6)*"),
COUNTIFS('QA Log'!D:D,A120,'QA Log'!M:M,"Data Verification",'QA Log'!Z:Z,"Approved",'QA Log'!L:L,"*Hospital Governance*")
))</f>
        <v/>
      </c>
      <c r="AG120" s="105" t="str">
        <f>IF(A120&lt;&gt;"",COUNTIFS('QA Log'!D:D,A120,'QA Log'!M:M,"Data Verification",'QA Log'!L:L,"Medicine (section 2)",'QA Log'!Z:Z,"Approved"),"")</f>
        <v/>
      </c>
      <c r="AH120" s="105" t="str">
        <f>IF(A120&lt;&gt;"",COUNTIFS('QA Log'!D:D,A120,'QA Log'!M:M,"Data Verification",'QA Log'!L:L,"Lab Testing Availability",'QA Log'!Z:Z,"Approved"),"")</f>
        <v/>
      </c>
      <c r="AI120" s="105" t="str">
        <f>IF(A120&lt;&gt;"",COUNTIFS('QA Log'!D:D,A120,'QA Log'!M:M,"Data Verification",'QA Log'!L:L,"Other than P4P (section 6)",'QA Log'!Z:Z,"Approved"),"")</f>
        <v/>
      </c>
      <c r="AJ120" s="105" t="str">
        <f>IF(A120&lt;&gt;"",COUNTIFS('QA Log'!D:D,A120,'QA Log'!M:M,"Data Verification",'QA Log'!L:L,"Hospital Governance",'QA Log'!Z:Z,"Approved"),"")</f>
        <v/>
      </c>
      <c r="AK120" s="102" t="str">
        <f>IF(A120="","",
SUM(
COUNTIFS('QA Log'!D:D,A120,'QA Log'!M:M,"Data Verification",'QA Log'!Z:Z,"Rejected",'QA Log'!L:L,"*Medicine (section 2)*"),
COUNTIFS('QA Log'!D:D,A120,'QA Log'!M:M,"Data Verification",'QA Log'!Z:Z,"Rejected",'QA Log'!L:L,"*Lab Testing Availability*"),
COUNTIFS('QA Log'!D:D,A120,'QA Log'!M:M,"Data Verification",'QA Log'!Z:Z,"Rejected",'QA Log'!L:L,"*Other than P4P (section 6)*"),
COUNTIFS('QA Log'!D:D,A120,'QA Log'!M:M,"Data Verification",'QA Log'!Z:Z,"Rejected",'QA Log'!L:L,"*Hospital Governance*")
))</f>
        <v/>
      </c>
      <c r="AL120" s="106" t="str">
        <f t="shared" si="5"/>
        <v/>
      </c>
      <c r="AM120" s="102" t="str">
        <f t="shared" si="6"/>
        <v/>
      </c>
      <c r="AN120" s="102" t="str">
        <f>IF(A120="","",
SUM(
COUNTIFS('QA Log'!D:D,A120,'QA Log'!M:M,"Data Verification",'QA Log'!L:L,"*Personnel (section 1)*"),
COUNTIFS('QA Log'!D:D,A120,'QA Log'!M:M,"Data Verification",'QA Log'!L:L,"*Consumable (section 3)*"),
COUNTIFS('QA Log'!D:D,A120,'QA Log'!M:M,"Data Verification",'QA Log'!L:L,"*Equipments (section 4)*")
))</f>
        <v/>
      </c>
      <c r="AO120" s="102" t="str">
        <f>IF(A120="","",
SUM(
COUNTIFS('QA Log'!D:D,A120,'QA Log'!M:M,"Data Verification",'QA Log'!Z:Z,"Approved",'QA Log'!L:L,"*Personnel (section 1)*"),
COUNTIFS('QA Log'!D:D,A120,'QA Log'!M:M,"Data Verification",'QA Log'!Z:Z,"Approved",'QA Log'!L:L,"*Consumable (section 3)*"),
COUNTIFS('QA Log'!D:D,A120,'QA Log'!M:M,"Data Verification",'QA Log'!Z:Z,"Approved",'QA Log'!L:L,"*Equipments (section 4)*")
))</f>
        <v/>
      </c>
      <c r="AP120" s="105" t="str">
        <f>IF(A120&lt;&gt;"",COUNTIFS('QA Log'!D:D,A120,'QA Log'!M:M,"Data Verification",'QA Log'!L:L,"Personnel (section 1)",'QA Log'!Z:Z,"Approved"),"")</f>
        <v/>
      </c>
      <c r="AQ120" s="105" t="str">
        <f>IF(A120&lt;&gt;"",COUNTIFS('QA Log'!D:D,A120,'QA Log'!M:M,"Data Verification",'QA Log'!L:L,"Consumable (section 3)",'QA Log'!Z:Z,"Approved"),"")</f>
        <v/>
      </c>
      <c r="AR120" s="105" t="str">
        <f>IF(A120&lt;&gt;"",COUNTIFS('QA Log'!D:D,A120,'QA Log'!M:M,"Data Verification",'QA Log'!L:L,"Equipments (section 4)",'QA Log'!Z:Z,"Approved"),"")</f>
        <v/>
      </c>
      <c r="AS120" s="102" t="str">
        <f>IF(A120="","",
SUM(
COUNTIFS('QA Log'!D:D,A120,'QA Log'!M:M,"Data Verification",'QA Log'!Z:Z,"Rejected",'QA Log'!L:L,"*Personnel (section 1)*"),
COUNTIFS('QA Log'!D:D,A120,'QA Log'!M:M,"Data Verification",'QA Log'!Z:Z,"Rejected",'QA Log'!L:L,"*Consumable (section 3)*"),
COUNTIFS('QA Log'!D:D,A120,'QA Log'!M:M,"Data Verification",'QA Log'!Z:Z,"Rejected",'QA Log'!L:L,"*Equipments (section 4)*")
))</f>
        <v/>
      </c>
      <c r="AT120" s="102" t="str">
        <f t="shared" si="7"/>
        <v/>
      </c>
      <c r="AU120" s="103" t="str">
        <f t="shared" si="8"/>
        <v/>
      </c>
      <c r="AV120" s="102" t="str">
        <f>IF(A120="","",SUM(
COUNTIFS('QA Log'!D:D,A120,'QA Log'!M:M,"Vignette",'QA Log'!L:L,"*Vignette [1] Respiratory Infection: Pneumonia*"),
COUNTIFS('QA Log'!D:D,A120,'QA Log'!M:M,"Vignette",'QA Log'!L:L,"*Vignette [2]: Diarrhea with Cat B dehydration*"),
COUNTIFS('QA Log'!D:D,A120,'QA Log'!M:M,"Vignette",'QA Log'!L:L,"*Vignette [3] Growth Monitoring and Promotion*"),
COUNTIFS('QA Log'!D:D,A120,'QA Log'!M:M,"Vignette",'QA Log'!L:L,"*Vignette [4]: The management of presumptive TB patient*")
)
)</f>
        <v/>
      </c>
      <c r="AW120" s="102" t="str">
        <f>IF(
  A120="","",
  SUM(
    COUNTIFS('QA Log'!D:D,A120,'QA Log'!M:M,"Vignette",'QA Log'!Z:Z,"Approved",'QA Log'!L:L,"*Vignette [1] Respiratory Infection: Pneumonia*"),
    COUNTIFS('QA Log'!D:D,A120,'QA Log'!M:M,"Vignette",'QA Log'!Z:Z,"Approved",'QA Log'!L:L,"*Vignette [2]: Diarrhea with Cat B dehydration*"),
    COUNTIFS('QA Log'!D:D,A120,'QA Log'!M:M,"Vignette",'QA Log'!Z:Z,"Approved",'QA Log'!L:L,"*Vignette [3] Growth Monitoring and Promotion*"),
    COUNTIFS('QA Log'!D:D,A120,'QA Log'!M:M,"Vignette",'QA Log'!Z:Z,"Approved",'QA Log'!L:L,"*Vignette [4]: The management of presumptive TB patient*")
  )
)</f>
        <v/>
      </c>
      <c r="AX120" s="105" t="str">
        <f>IF(A120&lt;&gt;"",COUNTIFS('QA Log'!D:D,A120,'QA Log'!M:M,"Vignette",'QA Log'!L:L,"Vignette [1] Respiratory Infection: Pneumonia",'QA Log'!Z:Z,"Approved"),"")</f>
        <v/>
      </c>
      <c r="AY120" s="105" t="str">
        <f>IF(A120&lt;&gt;"",COUNTIFS('QA Log'!D:D,A120,'QA Log'!M:M,"Vignette",'QA Log'!L:L,"Vignette [2]: Diarrhea with Cat B dehydration",'QA Log'!Z:Z,"Approved"),"")</f>
        <v/>
      </c>
      <c r="AZ120" s="105" t="str">
        <f>IF(A120&lt;&gt;"",COUNTIFS('QA Log'!D:D,A120,'QA Log'!M:M,"Vignette",'QA Log'!L:L,"Vignette [3] Growth Monitoring and Promotion",'QA Log'!Z:Z,"Approved"),"")</f>
        <v/>
      </c>
      <c r="BA120" s="105" t="str">
        <f>IF(A120&lt;&gt;"",COUNTIFS('QA Log'!D:D,A120,'QA Log'!M:M,"Vignette",'QA Log'!L:L,"Vignette [4]: The management of presumptive TB patient",'QA Log'!Z:Z,"Approved"),"")</f>
        <v/>
      </c>
      <c r="BB120" s="102" t="str">
        <f>IF(A120="","",
  SUM(
    COUNTIFS('QA Log'!D:D,A120,'QA Log'!M:M,"Vignette",'QA Log'!Z:Z,"Rejected",'QA Log'!L:L,"*Vignette [1] Respiratory Infection: Pneumonia*"),
    COUNTIFS('QA Log'!D:D,A120,'QA Log'!M:M,"Vignette",'QA Log'!Z:Z,"Rejected",'QA Log'!L:L,"*Vignette [2]: Diarrhea with Cat B dehydration*"),
    COUNTIFS('QA Log'!D:D,A120,'QA Log'!M:M,"Vignette",'QA Log'!Z:Z,"Rejected",'QA Log'!L:L,"*Vignette [3] Growth Monitoring and Promotion*"),
    COUNTIFS('QA Log'!D:D,A120,'QA Log'!M:M,"Vignette",'QA Log'!Z:Z,"Rejected",'QA Log'!L:L,"*Vignette [4]: The management of presumptive TB patient*")
  )
)</f>
        <v/>
      </c>
      <c r="BC120" s="107" t="str">
        <f t="shared" si="9"/>
        <v/>
      </c>
      <c r="BD120" s="103" t="str">
        <f t="shared" si="10"/>
        <v/>
      </c>
      <c r="BE120" s="102" t="str">
        <f>IF(A120="","",SUM(
COUNTIFS('QA Log'!D:D,A120,'QA Log'!M:M,"Vignette",'QA Log'!L:L,"*Vignette [5] Labor*"),
COUNTIFS('QA Log'!D:D,A120,'QA Log'!M:M,"Vignette",'QA Log'!L:L,"*Vignette [6] PNC pre Discharge*"),
COUNTIFS('QA Log'!D:D,A120,'QA Log'!M:M,"Vignette",'QA Log'!L:L,"*Vignette [7] First ANC Visit*"),
COUNTIFS('QA Log'!D:D,A120,'QA Log'!M:M,"Vignette",'QA Log'!L:L,"*Vignette [8] Birth Spacing/ Family Planning :  FP Counselling*"),
COUNTIFS('QA Log'!D:D,A120,'QA Log'!M:M,"Vignette",'QA Log'!L:L,"*Vignette [9] Birth Spacing: Change FP method to Injectable*"),
COUNTIFS('QA Log'!D:D,A120,'QA Log'!M:M,"Vignette",'QA Log'!L:L,"*Vignette [10] Post Partum Haemorrhage - Atonic Uterus at Health Centre*"),
)
)</f>
        <v/>
      </c>
      <c r="BF120" s="102" t="str">
        <f>IF(A120="","",
  SUM(
    COUNTIFS('QA Log'!D:D,A120,'QA Log'!M:M,"Vignette",'QA Log'!Z:Z,"Approved",'QA Log'!L:L,"*Vignette [5] Labor*"),
    COUNTIFS('QA Log'!D:D,A120,'QA Log'!M:M,"Vignette",'QA Log'!Z:Z,"Approved",'QA Log'!L:L,"*Vignette [6] PNC pre Discharge*"),
    COUNTIFS('QA Log'!D:D,A120,'QA Log'!M:M,"Vignette",'QA Log'!Z:Z,"Approved",'QA Log'!L:L,"*Vignette [7] First ANC Visit*"),
    COUNTIFS('QA Log'!D:D,A120,'QA Log'!M:M,"Vignette",'QA Log'!Z:Z,"Approved",'QA Log'!L:L,"*Vignette [8] Birth Spacing/ Family Planning :  FP Counselling*"),
    COUNTIFS('QA Log'!D:D,A120,'QA Log'!M:M,"Vignette",'QA Log'!Z:Z,"Approved",'QA Log'!L:L,"*Vignette [9] Birth Spacing: Change FP method to Injectable*"),
    COUNTIFS('QA Log'!D:D,A120,'QA Log'!M:M,"Vignette",'QA Log'!Z:Z,"Approved",'QA Log'!L:L,"*Vignette [10] Post Partum Haemorrhage - Atonic Uterus at Health Centre*")
  )
)</f>
        <v/>
      </c>
      <c r="BG120" s="105" t="str">
        <f>IF(A120&lt;&gt;"",COUNTIFS('QA Log'!D:D,A120,'QA Log'!M:M,"Vignette",'QA Log'!L:L,"Vignette [5] Labor",'QA Log'!Z:Z,"Approved"),"")</f>
        <v/>
      </c>
      <c r="BH120" s="105" t="str">
        <f>IF(A120&lt;&gt;"",COUNTIFS('QA Log'!D:D,A120,'QA Log'!M:M,"Vignette",'QA Log'!L:L,"Vignette [6] PNC pre Discharge",'QA Log'!Z:Z,"Approved"),"")</f>
        <v/>
      </c>
      <c r="BI120" s="105" t="str">
        <f>IF(A120&lt;&gt;"",COUNTIFS('QA Log'!D:D,A120,'QA Log'!M:M,"Vignette",'QA Log'!L:L,"Vignette [7] First ANC Visit",'QA Log'!Z:Z,"Approved"),"")</f>
        <v/>
      </c>
      <c r="BJ120" s="105" t="str">
        <f>IF(A120&lt;&gt;"",COUNTIFS('QA Log'!D:D,A120,'QA Log'!M:M,"Vignette",'QA Log'!L:L,"Vignette [8] Birth Spacing/ Family Planning :  FP Counselling",'QA Log'!Z:Z,"Approved"),"")</f>
        <v/>
      </c>
      <c r="BK120" s="105" t="str">
        <f>IF(A120&lt;&gt;"",COUNTIFS('QA Log'!D:D,A120,'QA Log'!M:M,"Vignette",'QA Log'!L:L,"Vignette [9] Birth Spacing: Change FP method to Injectable",'QA Log'!Z:Z,"Approved"),"")</f>
        <v/>
      </c>
      <c r="BL120" s="105" t="str">
        <f>IF(A120&lt;&gt;"",COUNTIFS('QA Log'!D:D,A120,'QA Log'!M:M,"Vignette",'QA Log'!L:L,"Vignette [10] Post Partum Haemorrhage - Atonic Uterus at Health Centre",'QA Log'!Z:Z,"Approved"),"")</f>
        <v/>
      </c>
      <c r="BM120" s="102" t="str">
        <f>IF(A120="","",SUM(
    COUNTIFS('QA Log'!D:D,A120,'QA Log'!M:M,"Vignette",'QA Log'!Z:Z,"Rejected",'QA Log'!L:L,"*Vignette [5] Labor*"),
    COUNTIFS('QA Log'!D:D,A120,'QA Log'!M:M,"Vignette",'QA Log'!Z:Z,"Rejected",'QA Log'!L:L,"*Vignette [6] PNC pre Discharge*"),
    COUNTIFS('QA Log'!D:D,A120,'QA Log'!M:M,"Vignette",'QA Log'!Z:Z,"Rejected",'QA Log'!L:L,"*Vignette [7] First ANC Visit*"),
    COUNTIFS('QA Log'!D:D,A120,'QA Log'!M:M,"Vignette",'QA Log'!Z:Z,"Rejected",'QA Log'!L:L,"*Vignette [8] Birth Spacing/ Family Planning :  FP Counselling*"),
    COUNTIFS('QA Log'!D:D,A120,'QA Log'!M:M,"Vignette",'QA Log'!Z:Z,"Rejected",'QA Log'!L:L,"*Vignette [9] Birth Spacing: Change FP method to Injectable*"),
    COUNTIFS('QA Log'!D:D,A120,'QA Log'!M:M,"Vignette",'QA Log'!Z:Z,"Rejected",'QA Log'!L:L,"*Vignette [10] Post Partum Haemorrhage - Atonic Uterus at Health Centre*")
  )
)</f>
        <v/>
      </c>
      <c r="BN120" s="107" t="str">
        <f t="shared" si="11"/>
        <v/>
      </c>
      <c r="BO120" s="103" t="str">
        <f t="shared" si="12"/>
        <v/>
      </c>
      <c r="BP120" s="102" t="str">
        <f>IF(A120="","",SUM(
COUNTIFS('QA Log'!D:D,A120,'QA Log'!M:M,"Vignette",'QA Log'!L:L,"*Exit Interview 1*"),
COUNTIFS('QA Log'!D:D,A120,'QA Log'!M:M,"Vignette",'QA Log'!L:L,"*Exit Interview 2*"),
)
)</f>
        <v/>
      </c>
      <c r="BQ120" s="102" t="str">
        <f>IF(
  A120="","",
  SUM(
    COUNTIFS('QA Log'!D:D,A120,'QA Log'!M:M,"Vignette",'QA Log'!Z:Z,"Approved",'QA Log'!L:L,"*Exit Interview 1*"),
    COUNTIFS('QA Log'!D:D,A120,'QA Log'!M:M,"Vignette",'QA Log'!Z:Z,"Approved",'QA Log'!L:L,"*Exit Interview 2*")
  )
)</f>
        <v/>
      </c>
      <c r="BR120" s="105" t="str">
        <f>IF(A120&lt;&gt;"",COUNTIFS('QA Log'!D:D,A120,'QA Log'!M:M,"Vignette",'QA Log'!L:L,"Exit Interview 1",'QA Log'!Z:Z,"Approved"),"")</f>
        <v/>
      </c>
      <c r="BS120" s="105" t="str">
        <f>IF(A120&lt;&gt;"",COUNTIFS('QA Log'!D:D,A120,'QA Log'!M:M,"Vignette",'QA Log'!L:L,"Exit Interview 2",'QA Log'!Z:Z,"Approved"),"")</f>
        <v/>
      </c>
      <c r="BT120" s="102" t="str">
        <f>IF(
  A120="","",
  SUM(
    COUNTIFS('QA Log'!D:D,A120,'QA Log'!M:M,"Vignette",'QA Log'!Z:Z,"Rejected",'QA Log'!L:L,"*Exit Interview 1*"),
    COUNTIFS('QA Log'!D:D,A120,'QA Log'!M:M,"Vignette",'QA Log'!Z:Z,"Rejected",'QA Log'!L:L,"*Exit Interview 2*")
  )
)</f>
        <v/>
      </c>
      <c r="BU120" s="107" t="str">
        <f t="shared" si="13"/>
        <v/>
      </c>
      <c r="BV120" s="102" t="str">
        <f t="shared" si="14"/>
        <v/>
      </c>
      <c r="BW120" s="102" t="str">
        <f t="shared" si="15"/>
        <v/>
      </c>
      <c r="BX120" s="102" t="str">
        <f t="shared" si="16"/>
        <v/>
      </c>
      <c r="BY120" s="102" t="str">
        <f t="shared" si="17"/>
        <v/>
      </c>
      <c r="BZ120" s="107" t="str">
        <f t="shared" si="18"/>
        <v/>
      </c>
      <c r="CA120" s="108" t="str">
        <f t="shared" si="19"/>
        <v/>
      </c>
      <c r="CB120" s="108" t="str">
        <f t="shared" si="20"/>
        <v/>
      </c>
      <c r="CC120" s="109" t="str">
        <f t="shared" si="21"/>
        <v/>
      </c>
      <c r="CD120" s="108" t="str">
        <f t="shared" si="22"/>
        <v/>
      </c>
      <c r="CE120" s="108" t="str">
        <f t="shared" si="23"/>
        <v/>
      </c>
      <c r="CF120" s="109" t="str">
        <f t="shared" si="24"/>
        <v/>
      </c>
      <c r="CG120" s="110" t="str">
        <f t="shared" si="25"/>
        <v/>
      </c>
      <c r="CH120" s="111"/>
    </row>
    <row r="121" spans="1:86" ht="12.75">
      <c r="A121" s="101"/>
      <c r="B121" s="102" t="e">
        <f t="array" aca="1" ref="B121" ca="1">_xludf.XLOOKUP(A121,'QA Log'!D:D,'QA Log'!E:E,"")</f>
        <v>#NAME?</v>
      </c>
      <c r="C121" s="102" t="e">
        <f t="array" aca="1" ref="C121" ca="1">_xludf.XLOOKUP(A121,'QA Log'!D:D,'QA Log'!F:F,"")</f>
        <v>#NAME?</v>
      </c>
      <c r="D121" s="102" t="e">
        <f t="array" aca="1" ref="D121" ca="1">_xludf.XLOOKUP(A121,'QA Log'!D:D,'QA Log'!H:H,"")</f>
        <v>#NAME?</v>
      </c>
      <c r="E121" s="102" t="e">
        <f t="array" aca="1" ref="E121" ca="1">_xludf.XLOOKUP(A121,'QA Log'!D:D,'QA Log'!G:G,"")</f>
        <v>#NAME?</v>
      </c>
      <c r="F121" s="103"/>
      <c r="G121" s="104"/>
      <c r="H121" s="104"/>
      <c r="I121" s="103" t="str">
        <f t="shared" si="0"/>
        <v/>
      </c>
      <c r="J121" s="102" t="str">
        <f>IF(A121="","",SUM(
COUNTIFS('QA Log'!D:D,A121,'QA Log'!M:M,"QQC",'QA Log'!L:L,"*1. General Management*"),
COUNTIFS('QA Log'!D:D,A121,'QA Log'!M:M,"QQC",'QA Log'!L:L,"*3. Curative Consultation (OPD)*"),
COUNTIFS('QA Log'!D:D,A121,'QA Log'!M:M,"QQC",'QA Log'!L:L,"*5. Laboratory*"),
COUNTIFS('QA Log'!D:D,A121,'QA Log'!M:M,"QQC",'QA Log'!L:L,"*6. Essential Medicine Management*"),
COUNTIFS('QA Log'!D:D,A121,'QA Log'!M:M,"QQC",'QA Log'!L:L,"*7. Tracer Medicine*"),
COUNTIFS('QA Log'!D:D,A121,'QA Log'!M:M,"QQC",'QA Log'!L:L,"*11. Additional Questions*")))</f>
        <v/>
      </c>
      <c r="K121" s="102" t="str">
        <f>IF(A121="","",SUM(
COUNTIFS('QA Log'!D:D,A121,'QA Log'!M:M,"QQC",'QA Log'!Z:Z,"Approved",'QA Log'!L:L,"*1. General Management*"),
COUNTIFS('QA Log'!D:D,A121,'QA Log'!M:M,"QQC",'QA Log'!Z:Z,"Approved",'QA Log'!L:L,"*3. Curative Consultation (OPD)*"),
COUNTIFS('QA Log'!D:D,A121,'QA Log'!M:M,"QQC",'QA Log'!Z:Z,"Approved",'QA Log'!L:L,"*5. Laboratory*"),
COUNTIFS('QA Log'!D:D,A121,'QA Log'!M:M,"QQC",'QA Log'!Z:Z,"Approved",'QA Log'!L:L,"*6. Essential Medicine Management*"),
COUNTIFS('QA Log'!D:D,A121,'QA Log'!M:M,"QQC",'QA Log'!Z:Z,"Approved",'QA Log'!L:L,"*7. Tracer Medicine*"),
COUNTIFS('QA Log'!D:D,A121,'QA Log'!M:M,"QQC",'QA Log'!Z:Z,"Approved",'QA Log'!L:L,"*11. Additional Questions*")))</f>
        <v/>
      </c>
      <c r="L121" s="105" t="str">
        <f>IF(A121&lt;&gt;"",COUNTIFS('QA Log'!D:D,A121,'QA Log'!M:M,"QQC",'QA Log'!L:L,"1. General Management",'QA Log'!Z:Z,"Approved"),"")</f>
        <v/>
      </c>
      <c r="M121" s="105" t="str">
        <f>IF(A121&lt;&gt;"",COUNTIFS('QA Log'!D:D,A121,'QA Log'!M:M,"QQC",'QA Log'!L:L,"3. Curative Consultation (OPD)",'QA Log'!Z:Z,"Approved"),"")</f>
        <v/>
      </c>
      <c r="N121" s="105" t="str">
        <f>IF(A121&lt;&gt;"",COUNTIFS('QA Log'!D:D,A121,'QA Log'!M:M,"QQC",'QA Log'!L:L,"5. Laboratory",'QA Log'!Z:Z,"Approved"),"")</f>
        <v/>
      </c>
      <c r="O121" s="105" t="str">
        <f>IF(A121&lt;&gt;"",COUNTIFS('QA Log'!D:D,A121,'QA Log'!M:M,"QQC",'QA Log'!L:L,"6. Essential Medicine Management",'QA Log'!Z:Z,"Approved"),"")</f>
        <v/>
      </c>
      <c r="P121" s="105" t="str">
        <f>IF(A121&lt;&gt;"",COUNTIFS('QA Log'!D:D,A121,'QA Log'!M:M,"QQC",'QA Log'!L:L,"7. Tracer Medicine",'QA Log'!Z:Z,"Approved"),"")</f>
        <v/>
      </c>
      <c r="Q121" s="105" t="str">
        <f>IF(A121&lt;&gt;"",COUNTIFS('QA Log'!D:D,A121,'QA Log'!M:M,"QQC",'QA Log'!L:L,"11. Additional Questions",'QA Log'!Z:Z,"Approved"),"")</f>
        <v/>
      </c>
      <c r="R121" s="102" t="str">
        <f>IF(A121="","",SUM(
COUNTIFS('QA Log'!D:D,A121,'QA Log'!M:M,"QQC",'QA Log'!Z:Z,"Rejected",'QA Log'!L:L,"*8. Maternity*"),
COUNTIFS('QA Log'!D:D,A121,'QA Log'!M:M,"QQC",'QA Log'!Z:Z,"Rejected",'QA Log'!L:L,"*EPI*"),
COUNTIFS('QA Log'!D:D,A121,'QA Log'!M:M,"QQC",'QA Log'!Z:Z,"Rejected",'QA Log'!L:L,"*10. Antenatal Care (ANC)*"),
COUNTIFS('QA Log'!D:D,A121,'QA Log'!M:M,"QQC",'QA Log'!Z:Z,"Rejected",'QA Log'!L:L,"*2. Hygiene and Sterilization*"),
COUNTIFS('QA Log'!D:D,A121,'QA Log'!M:M,"QQC",'QA Log'!Z:Z,"Rejected",'QA Log'!L:L,"*Family Planning*")))</f>
        <v/>
      </c>
      <c r="S121" s="106" t="str">
        <f t="shared" si="1"/>
        <v/>
      </c>
      <c r="T121" s="102" t="str">
        <f t="shared" si="2"/>
        <v/>
      </c>
      <c r="U121" s="102" t="str">
        <f>IF(A121="","",
SUM(
COUNTIFS('QA Log'!D:D,A121,'QA Log'!M:M,"QQC",'QA Log'!L:L,"*8. Maternity*"),
COUNTIFS('QA Log'!D:D,A121,'QA Log'!M:M,"QQC",'QA Log'!L:L,"*9. EPI and Pre-school Consultation*"),
COUNTIFS('QA Log'!D:D,A121,'QA Log'!M:M,"QQC",'QA Log'!L:L,"*10. Antenatal Care (ANC)*"),
COUNTIFS('QA Log'!D:D,A121,'QA Log'!M:M,"QQC",'QA Log'!L:L,"*2. Hygiene and Sterilization*"),
COUNTIFS('QA Log'!D:D,A121,'QA Log'!M:M,"QQC",'QA Log'!L:L,"*4. Family Planning*")
))</f>
        <v/>
      </c>
      <c r="V121" s="102" t="str">
        <f>IF(A121="","",
SUM(
COUNTIFS('QA Log'!D:D,A121,'QA Log'!M:M,"QQC",'QA Log'!Z:Z,"Approved",'QA Log'!L:L,"*8. Maternity*"),
COUNTIFS('QA Log'!D:D,A121,'QA Log'!M:M,"QQC",'QA Log'!Z:Z,"Approved",'QA Log'!L:L,"*9. EPI and Pre-school Consultation*"),
COUNTIFS('QA Log'!D:D,A121,'QA Log'!M:M,"QQC",'QA Log'!Z:Z,"Approved",'QA Log'!L:L,"*10. Antenatal Care (ANC)*"),
COUNTIFS('QA Log'!D:D,A121,'QA Log'!M:M,"QQC",'QA Log'!Z:Z,"Approved",'QA Log'!L:L,"*2. Hygiene and Sterilization*"),
COUNTIFS('QA Log'!D:D,A121,'QA Log'!M:M,"QQC",'QA Log'!Z:Z,"Approved",'QA Log'!L:L,"*4. Family Planning*")
))</f>
        <v/>
      </c>
      <c r="W121" s="105" t="str">
        <f>IF(A121&lt;&gt;"",COUNTIFS('QA Log'!D:D,A121,'QA Log'!M:M,"QQC",'QA Log'!L:L,"8. Maternity",'QA Log'!Z:Z,"Approved"),"")</f>
        <v/>
      </c>
      <c r="X121" s="105" t="str">
        <f>IF(A121&lt;&gt;"",COUNTIFS('QA Log'!D:D,A121,'QA Log'!M:M,"QQC",'QA Log'!L:L,"9. EPI and Pre-school Consultation",'QA Log'!Z:Z,"Approved"),"")</f>
        <v/>
      </c>
      <c r="Y121" s="105" t="str">
        <f>IF(A121&lt;&gt;"",COUNTIFS('QA Log'!D:D,A121,'QA Log'!M:M,"QQC",'QA Log'!L:L,"10. Antenatal Care (ANC)",'QA Log'!Z:Z,"Approved"),"")</f>
        <v/>
      </c>
      <c r="Z121" s="105" t="str">
        <f>IF(A121&lt;&gt;"",COUNTIFS('QA Log'!D:D,A121,'QA Log'!M:M,"QQC",'QA Log'!L:L,"2. Hygiene and Sterilization",'QA Log'!Z:Z,"Approved"),"")</f>
        <v/>
      </c>
      <c r="AA121" s="105" t="str">
        <f>IF(A121&lt;&gt;"",COUNTIFS('QA Log'!D:D,A121,'QA Log'!M:M,"QQC",'QA Log'!L:L,"4. Family Planning",'QA Log'!Z:Z,"Approved"),"")</f>
        <v/>
      </c>
      <c r="AB121" s="102" t="str">
        <f>IF(A121="","",
SUM(
COUNTIFS('QA Log'!D:D,A121,'QA Log'!M:M,"QQC",'QA Log'!Z:Z,"Rejected",'QA Log'!L:L,"*8. Maternity*"),
COUNTIFS('QA Log'!D:D,A121,'QA Log'!M:M,"QQC",'QA Log'!Z:Z,"Rejected",'QA Log'!L:L,"*9. EPI and Pre-school Consultation*"),
COUNTIFS('QA Log'!D:D,A121,'QA Log'!M:M,"QQC",'QA Log'!Z:Z,"Rejected",'QA Log'!L:L,"*10. Antenatal Care (ANC)*"),
COUNTIFS('QA Log'!D:D,A121,'QA Log'!M:M,"QQC",'QA Log'!Z:Z,"Rejected",'QA Log'!L:L,"*2. Hygiene and Sterilization*"),
COUNTIFS('QA Log'!D:D,A121,'QA Log'!M:M,"QQC",'QA Log'!Z:Z,"Rejected",'QA Log'!L:L,"*4. Family Planning*")
))</f>
        <v/>
      </c>
      <c r="AC121" s="102" t="str">
        <f t="shared" si="3"/>
        <v/>
      </c>
      <c r="AD121" s="103" t="str">
        <f t="shared" si="4"/>
        <v/>
      </c>
      <c r="AE121" s="102" t="str">
        <f>IF(A121="","",
SUM(
COUNTIFS('QA Log'!D:D,A121,'QA Log'!M:M,"Data Verification",'QA Log'!L:L,"*Medicine (section 2)*"),
COUNTIFS('QA Log'!D:D,A121,'QA Log'!M:M,"Data Verification",'QA Log'!L:L,"*Lab Testing Availability*"),
COUNTIFS('QA Log'!D:D,A121,'QA Log'!M:M,"Data Verification",'QA Log'!L:L,"*Other than P4P (section 6)*"),
COUNTIFS('QA Log'!D:D,A121,'QA Log'!M:M,"Data Verification",'QA Log'!L:L,"*Hospital Governance*")
))</f>
        <v/>
      </c>
      <c r="AF121" s="102" t="str">
        <f>IF(A121="","",
SUM(
COUNTIFS('QA Log'!D:D,A121,'QA Log'!M:M,"Data Verification",'QA Log'!Z:Z,"Approved",'QA Log'!L:L,"*Medicine (section 2)*"),
COUNTIFS('QA Log'!D:D,A121,'QA Log'!M:M,"Data Verification",'QA Log'!Z:Z,"Approved",'QA Log'!L:L,"*Lab Testing Availability*"),
COUNTIFS('QA Log'!D:D,A121,'QA Log'!M:M,"Data Verification",'QA Log'!Z:Z,"Approved",'QA Log'!L:L,"*Other than P4P (section 6)*"),
COUNTIFS('QA Log'!D:D,A121,'QA Log'!M:M,"Data Verification",'QA Log'!Z:Z,"Approved",'QA Log'!L:L,"*Hospital Governance*")
))</f>
        <v/>
      </c>
      <c r="AG121" s="105" t="str">
        <f>IF(A121&lt;&gt;"",COUNTIFS('QA Log'!D:D,A121,'QA Log'!M:M,"Data Verification",'QA Log'!L:L,"Medicine (section 2)",'QA Log'!Z:Z,"Approved"),"")</f>
        <v/>
      </c>
      <c r="AH121" s="105" t="str">
        <f>IF(A121&lt;&gt;"",COUNTIFS('QA Log'!D:D,A121,'QA Log'!M:M,"Data Verification",'QA Log'!L:L,"Lab Testing Availability",'QA Log'!Z:Z,"Approved"),"")</f>
        <v/>
      </c>
      <c r="AI121" s="105" t="str">
        <f>IF(A121&lt;&gt;"",COUNTIFS('QA Log'!D:D,A121,'QA Log'!M:M,"Data Verification",'QA Log'!L:L,"Other than P4P (section 6)",'QA Log'!Z:Z,"Approved"),"")</f>
        <v/>
      </c>
      <c r="AJ121" s="105" t="str">
        <f>IF(A121&lt;&gt;"",COUNTIFS('QA Log'!D:D,A121,'QA Log'!M:M,"Data Verification",'QA Log'!L:L,"Hospital Governance",'QA Log'!Z:Z,"Approved"),"")</f>
        <v/>
      </c>
      <c r="AK121" s="102" t="str">
        <f>IF(A121="","",
SUM(
COUNTIFS('QA Log'!D:D,A121,'QA Log'!M:M,"Data Verification",'QA Log'!Z:Z,"Rejected",'QA Log'!L:L,"*Medicine (section 2)*"),
COUNTIFS('QA Log'!D:D,A121,'QA Log'!M:M,"Data Verification",'QA Log'!Z:Z,"Rejected",'QA Log'!L:L,"*Lab Testing Availability*"),
COUNTIFS('QA Log'!D:D,A121,'QA Log'!M:M,"Data Verification",'QA Log'!Z:Z,"Rejected",'QA Log'!L:L,"*Other than P4P (section 6)*"),
COUNTIFS('QA Log'!D:D,A121,'QA Log'!M:M,"Data Verification",'QA Log'!Z:Z,"Rejected",'QA Log'!L:L,"*Hospital Governance*")
))</f>
        <v/>
      </c>
      <c r="AL121" s="106" t="str">
        <f t="shared" si="5"/>
        <v/>
      </c>
      <c r="AM121" s="102" t="str">
        <f t="shared" si="6"/>
        <v/>
      </c>
      <c r="AN121" s="102" t="str">
        <f>IF(A121="","",
SUM(
COUNTIFS('QA Log'!D:D,A121,'QA Log'!M:M,"Data Verification",'QA Log'!L:L,"*Personnel (section 1)*"),
COUNTIFS('QA Log'!D:D,A121,'QA Log'!M:M,"Data Verification",'QA Log'!L:L,"*Consumable (section 3)*"),
COUNTIFS('QA Log'!D:D,A121,'QA Log'!M:M,"Data Verification",'QA Log'!L:L,"*Equipments (section 4)*")
))</f>
        <v/>
      </c>
      <c r="AO121" s="102" t="str">
        <f>IF(A121="","",
SUM(
COUNTIFS('QA Log'!D:D,A121,'QA Log'!M:M,"Data Verification",'QA Log'!Z:Z,"Approved",'QA Log'!L:L,"*Personnel (section 1)*"),
COUNTIFS('QA Log'!D:D,A121,'QA Log'!M:M,"Data Verification",'QA Log'!Z:Z,"Approved",'QA Log'!L:L,"*Consumable (section 3)*"),
COUNTIFS('QA Log'!D:D,A121,'QA Log'!M:M,"Data Verification",'QA Log'!Z:Z,"Approved",'QA Log'!L:L,"*Equipments (section 4)*")
))</f>
        <v/>
      </c>
      <c r="AP121" s="105" t="str">
        <f>IF(A121&lt;&gt;"",COUNTIFS('QA Log'!D:D,A121,'QA Log'!M:M,"Data Verification",'QA Log'!L:L,"Personnel (section 1)",'QA Log'!Z:Z,"Approved"),"")</f>
        <v/>
      </c>
      <c r="AQ121" s="105" t="str">
        <f>IF(A121&lt;&gt;"",COUNTIFS('QA Log'!D:D,A121,'QA Log'!M:M,"Data Verification",'QA Log'!L:L,"Consumable (section 3)",'QA Log'!Z:Z,"Approved"),"")</f>
        <v/>
      </c>
      <c r="AR121" s="105" t="str">
        <f>IF(A121&lt;&gt;"",COUNTIFS('QA Log'!D:D,A121,'QA Log'!M:M,"Data Verification",'QA Log'!L:L,"Equipments (section 4)",'QA Log'!Z:Z,"Approved"),"")</f>
        <v/>
      </c>
      <c r="AS121" s="102" t="str">
        <f>IF(A121="","",
SUM(
COUNTIFS('QA Log'!D:D,A121,'QA Log'!M:M,"Data Verification",'QA Log'!Z:Z,"Rejected",'QA Log'!L:L,"*Personnel (section 1)*"),
COUNTIFS('QA Log'!D:D,A121,'QA Log'!M:M,"Data Verification",'QA Log'!Z:Z,"Rejected",'QA Log'!L:L,"*Consumable (section 3)*"),
COUNTIFS('QA Log'!D:D,A121,'QA Log'!M:M,"Data Verification",'QA Log'!Z:Z,"Rejected",'QA Log'!L:L,"*Equipments (section 4)*")
))</f>
        <v/>
      </c>
      <c r="AT121" s="102" t="str">
        <f t="shared" si="7"/>
        <v/>
      </c>
      <c r="AU121" s="103" t="str">
        <f t="shared" si="8"/>
        <v/>
      </c>
      <c r="AV121" s="102" t="str">
        <f>IF(A121="","",SUM(
COUNTIFS('QA Log'!D:D,A121,'QA Log'!M:M,"Vignette",'QA Log'!L:L,"*Vignette [1] Respiratory Infection: Pneumonia*"),
COUNTIFS('QA Log'!D:D,A121,'QA Log'!M:M,"Vignette",'QA Log'!L:L,"*Vignette [2]: Diarrhea with Cat B dehydration*"),
COUNTIFS('QA Log'!D:D,A121,'QA Log'!M:M,"Vignette",'QA Log'!L:L,"*Vignette [3] Growth Monitoring and Promotion*"),
COUNTIFS('QA Log'!D:D,A121,'QA Log'!M:M,"Vignette",'QA Log'!L:L,"*Vignette [4]: The management of presumptive TB patient*")
)
)</f>
        <v/>
      </c>
      <c r="AW121" s="102" t="str">
        <f>IF(
  A121="","",
  SUM(
    COUNTIFS('QA Log'!D:D,A121,'QA Log'!M:M,"Vignette",'QA Log'!Z:Z,"Approved",'QA Log'!L:L,"*Vignette [1] Respiratory Infection: Pneumonia*"),
    COUNTIFS('QA Log'!D:D,A121,'QA Log'!M:M,"Vignette",'QA Log'!Z:Z,"Approved",'QA Log'!L:L,"*Vignette [2]: Diarrhea with Cat B dehydration*"),
    COUNTIFS('QA Log'!D:D,A121,'QA Log'!M:M,"Vignette",'QA Log'!Z:Z,"Approved",'QA Log'!L:L,"*Vignette [3] Growth Monitoring and Promotion*"),
    COUNTIFS('QA Log'!D:D,A121,'QA Log'!M:M,"Vignette",'QA Log'!Z:Z,"Approved",'QA Log'!L:L,"*Vignette [4]: The management of presumptive TB patient*")
  )
)</f>
        <v/>
      </c>
      <c r="AX121" s="105" t="str">
        <f>IF(A121&lt;&gt;"",COUNTIFS('QA Log'!D:D,A121,'QA Log'!M:M,"Vignette",'QA Log'!L:L,"Vignette [1] Respiratory Infection: Pneumonia",'QA Log'!Z:Z,"Approved"),"")</f>
        <v/>
      </c>
      <c r="AY121" s="105" t="str">
        <f>IF(A121&lt;&gt;"",COUNTIFS('QA Log'!D:D,A121,'QA Log'!M:M,"Vignette",'QA Log'!L:L,"Vignette [2]: Diarrhea with Cat B dehydration",'QA Log'!Z:Z,"Approved"),"")</f>
        <v/>
      </c>
      <c r="AZ121" s="105" t="str">
        <f>IF(A121&lt;&gt;"",COUNTIFS('QA Log'!D:D,A121,'QA Log'!M:M,"Vignette",'QA Log'!L:L,"Vignette [3] Growth Monitoring and Promotion",'QA Log'!Z:Z,"Approved"),"")</f>
        <v/>
      </c>
      <c r="BA121" s="105" t="str">
        <f>IF(A121&lt;&gt;"",COUNTIFS('QA Log'!D:D,A121,'QA Log'!M:M,"Vignette",'QA Log'!L:L,"Vignette [4]: The management of presumptive TB patient",'QA Log'!Z:Z,"Approved"),"")</f>
        <v/>
      </c>
      <c r="BB121" s="102" t="str">
        <f>IF(A121="","",
  SUM(
    COUNTIFS('QA Log'!D:D,A121,'QA Log'!M:M,"Vignette",'QA Log'!Z:Z,"Rejected",'QA Log'!L:L,"*Vignette [1] Respiratory Infection: Pneumonia*"),
    COUNTIFS('QA Log'!D:D,A121,'QA Log'!M:M,"Vignette",'QA Log'!Z:Z,"Rejected",'QA Log'!L:L,"*Vignette [2]: Diarrhea with Cat B dehydration*"),
    COUNTIFS('QA Log'!D:D,A121,'QA Log'!M:M,"Vignette",'QA Log'!Z:Z,"Rejected",'QA Log'!L:L,"*Vignette [3] Growth Monitoring and Promotion*"),
    COUNTIFS('QA Log'!D:D,A121,'QA Log'!M:M,"Vignette",'QA Log'!Z:Z,"Rejected",'QA Log'!L:L,"*Vignette [4]: The management of presumptive TB patient*")
  )
)</f>
        <v/>
      </c>
      <c r="BC121" s="107" t="str">
        <f t="shared" si="9"/>
        <v/>
      </c>
      <c r="BD121" s="103" t="str">
        <f t="shared" si="10"/>
        <v/>
      </c>
      <c r="BE121" s="102" t="str">
        <f>IF(A121="","",SUM(
COUNTIFS('QA Log'!D:D,A121,'QA Log'!M:M,"Vignette",'QA Log'!L:L,"*Vignette [5] Labor*"),
COUNTIFS('QA Log'!D:D,A121,'QA Log'!M:M,"Vignette",'QA Log'!L:L,"*Vignette [6] PNC pre Discharge*"),
COUNTIFS('QA Log'!D:D,A121,'QA Log'!M:M,"Vignette",'QA Log'!L:L,"*Vignette [7] First ANC Visit*"),
COUNTIFS('QA Log'!D:D,A121,'QA Log'!M:M,"Vignette",'QA Log'!L:L,"*Vignette [8] Birth Spacing/ Family Planning :  FP Counselling*"),
COUNTIFS('QA Log'!D:D,A121,'QA Log'!M:M,"Vignette",'QA Log'!L:L,"*Vignette [9] Birth Spacing: Change FP method to Injectable*"),
COUNTIFS('QA Log'!D:D,A121,'QA Log'!M:M,"Vignette",'QA Log'!L:L,"*Vignette [10] Post Partum Haemorrhage - Atonic Uterus at Health Centre*"),
)
)</f>
        <v/>
      </c>
      <c r="BF121" s="102" t="str">
        <f>IF(A121="","",
  SUM(
    COUNTIFS('QA Log'!D:D,A121,'QA Log'!M:M,"Vignette",'QA Log'!Z:Z,"Approved",'QA Log'!L:L,"*Vignette [5] Labor*"),
    COUNTIFS('QA Log'!D:D,A121,'QA Log'!M:M,"Vignette",'QA Log'!Z:Z,"Approved",'QA Log'!L:L,"*Vignette [6] PNC pre Discharge*"),
    COUNTIFS('QA Log'!D:D,A121,'QA Log'!M:M,"Vignette",'QA Log'!Z:Z,"Approved",'QA Log'!L:L,"*Vignette [7] First ANC Visit*"),
    COUNTIFS('QA Log'!D:D,A121,'QA Log'!M:M,"Vignette",'QA Log'!Z:Z,"Approved",'QA Log'!L:L,"*Vignette [8] Birth Spacing/ Family Planning :  FP Counselling*"),
    COUNTIFS('QA Log'!D:D,A121,'QA Log'!M:M,"Vignette",'QA Log'!Z:Z,"Approved",'QA Log'!L:L,"*Vignette [9] Birth Spacing: Change FP method to Injectable*"),
    COUNTIFS('QA Log'!D:D,A121,'QA Log'!M:M,"Vignette",'QA Log'!Z:Z,"Approved",'QA Log'!L:L,"*Vignette [10] Post Partum Haemorrhage - Atonic Uterus at Health Centre*")
  )
)</f>
        <v/>
      </c>
      <c r="BG121" s="105" t="str">
        <f>IF(A121&lt;&gt;"",COUNTIFS('QA Log'!D:D,A121,'QA Log'!M:M,"Vignette",'QA Log'!L:L,"Vignette [5] Labor",'QA Log'!Z:Z,"Approved"),"")</f>
        <v/>
      </c>
      <c r="BH121" s="105" t="str">
        <f>IF(A121&lt;&gt;"",COUNTIFS('QA Log'!D:D,A121,'QA Log'!M:M,"Vignette",'QA Log'!L:L,"Vignette [6] PNC pre Discharge",'QA Log'!Z:Z,"Approved"),"")</f>
        <v/>
      </c>
      <c r="BI121" s="105" t="str">
        <f>IF(A121&lt;&gt;"",COUNTIFS('QA Log'!D:D,A121,'QA Log'!M:M,"Vignette",'QA Log'!L:L,"Vignette [7] First ANC Visit",'QA Log'!Z:Z,"Approved"),"")</f>
        <v/>
      </c>
      <c r="BJ121" s="105" t="str">
        <f>IF(A121&lt;&gt;"",COUNTIFS('QA Log'!D:D,A121,'QA Log'!M:M,"Vignette",'QA Log'!L:L,"Vignette [8] Birth Spacing/ Family Planning :  FP Counselling",'QA Log'!Z:Z,"Approved"),"")</f>
        <v/>
      </c>
      <c r="BK121" s="105" t="str">
        <f>IF(A121&lt;&gt;"",COUNTIFS('QA Log'!D:D,A121,'QA Log'!M:M,"Vignette",'QA Log'!L:L,"Vignette [9] Birth Spacing: Change FP method to Injectable",'QA Log'!Z:Z,"Approved"),"")</f>
        <v/>
      </c>
      <c r="BL121" s="105" t="str">
        <f>IF(A121&lt;&gt;"",COUNTIFS('QA Log'!D:D,A121,'QA Log'!M:M,"Vignette",'QA Log'!L:L,"Vignette [10] Post Partum Haemorrhage - Atonic Uterus at Health Centre",'QA Log'!Z:Z,"Approved"),"")</f>
        <v/>
      </c>
      <c r="BM121" s="102" t="str">
        <f>IF(A121="","",SUM(
    COUNTIFS('QA Log'!D:D,A121,'QA Log'!M:M,"Vignette",'QA Log'!Z:Z,"Rejected",'QA Log'!L:L,"*Vignette [5] Labor*"),
    COUNTIFS('QA Log'!D:D,A121,'QA Log'!M:M,"Vignette",'QA Log'!Z:Z,"Rejected",'QA Log'!L:L,"*Vignette [6] PNC pre Discharge*"),
    COUNTIFS('QA Log'!D:D,A121,'QA Log'!M:M,"Vignette",'QA Log'!Z:Z,"Rejected",'QA Log'!L:L,"*Vignette [7] First ANC Visit*"),
    COUNTIFS('QA Log'!D:D,A121,'QA Log'!M:M,"Vignette",'QA Log'!Z:Z,"Rejected",'QA Log'!L:L,"*Vignette [8] Birth Spacing/ Family Planning :  FP Counselling*"),
    COUNTIFS('QA Log'!D:D,A121,'QA Log'!M:M,"Vignette",'QA Log'!Z:Z,"Rejected",'QA Log'!L:L,"*Vignette [9] Birth Spacing: Change FP method to Injectable*"),
    COUNTIFS('QA Log'!D:D,A121,'QA Log'!M:M,"Vignette",'QA Log'!Z:Z,"Rejected",'QA Log'!L:L,"*Vignette [10] Post Partum Haemorrhage - Atonic Uterus at Health Centre*")
  )
)</f>
        <v/>
      </c>
      <c r="BN121" s="107" t="str">
        <f t="shared" si="11"/>
        <v/>
      </c>
      <c r="BO121" s="103" t="str">
        <f t="shared" si="12"/>
        <v/>
      </c>
      <c r="BP121" s="102" t="str">
        <f>IF(A121="","",SUM(
COUNTIFS('QA Log'!D:D,A121,'QA Log'!M:M,"Vignette",'QA Log'!L:L,"*Exit Interview 1*"),
COUNTIFS('QA Log'!D:D,A121,'QA Log'!M:M,"Vignette",'QA Log'!L:L,"*Exit Interview 2*"),
)
)</f>
        <v/>
      </c>
      <c r="BQ121" s="102" t="str">
        <f>IF(
  A121="","",
  SUM(
    COUNTIFS('QA Log'!D:D,A121,'QA Log'!M:M,"Vignette",'QA Log'!Z:Z,"Approved",'QA Log'!L:L,"*Exit Interview 1*"),
    COUNTIFS('QA Log'!D:D,A121,'QA Log'!M:M,"Vignette",'QA Log'!Z:Z,"Approved",'QA Log'!L:L,"*Exit Interview 2*")
  )
)</f>
        <v/>
      </c>
      <c r="BR121" s="105" t="str">
        <f>IF(A121&lt;&gt;"",COUNTIFS('QA Log'!D:D,A121,'QA Log'!M:M,"Vignette",'QA Log'!L:L,"Exit Interview 1",'QA Log'!Z:Z,"Approved"),"")</f>
        <v/>
      </c>
      <c r="BS121" s="105" t="str">
        <f>IF(A121&lt;&gt;"",COUNTIFS('QA Log'!D:D,A121,'QA Log'!M:M,"Vignette",'QA Log'!L:L,"Exit Interview 2",'QA Log'!Z:Z,"Approved"),"")</f>
        <v/>
      </c>
      <c r="BT121" s="102" t="str">
        <f>IF(
  A121="","",
  SUM(
    COUNTIFS('QA Log'!D:D,A121,'QA Log'!M:M,"Vignette",'QA Log'!Z:Z,"Rejected",'QA Log'!L:L,"*Exit Interview 1*"),
    COUNTIFS('QA Log'!D:D,A121,'QA Log'!M:M,"Vignette",'QA Log'!Z:Z,"Rejected",'QA Log'!L:L,"*Exit Interview 2*")
  )
)</f>
        <v/>
      </c>
      <c r="BU121" s="107" t="str">
        <f t="shared" si="13"/>
        <v/>
      </c>
      <c r="BV121" s="102" t="str">
        <f t="shared" si="14"/>
        <v/>
      </c>
      <c r="BW121" s="102" t="str">
        <f t="shared" si="15"/>
        <v/>
      </c>
      <c r="BX121" s="102" t="str">
        <f t="shared" si="16"/>
        <v/>
      </c>
      <c r="BY121" s="102" t="str">
        <f t="shared" si="17"/>
        <v/>
      </c>
      <c r="BZ121" s="107" t="str">
        <f t="shared" si="18"/>
        <v/>
      </c>
      <c r="CA121" s="108" t="str">
        <f t="shared" si="19"/>
        <v/>
      </c>
      <c r="CB121" s="108" t="str">
        <f t="shared" si="20"/>
        <v/>
      </c>
      <c r="CC121" s="109" t="str">
        <f t="shared" si="21"/>
        <v/>
      </c>
      <c r="CD121" s="108" t="str">
        <f t="shared" si="22"/>
        <v/>
      </c>
      <c r="CE121" s="108" t="str">
        <f t="shared" si="23"/>
        <v/>
      </c>
      <c r="CF121" s="109" t="str">
        <f t="shared" si="24"/>
        <v/>
      </c>
      <c r="CG121" s="110" t="str">
        <f t="shared" si="25"/>
        <v/>
      </c>
      <c r="CH121" s="111"/>
    </row>
    <row r="122" spans="1:86" ht="12.75">
      <c r="A122" s="101"/>
      <c r="B122" s="102" t="e">
        <f t="array" aca="1" ref="B122" ca="1">_xludf.XLOOKUP(A122,'QA Log'!D:D,'QA Log'!E:E,"")</f>
        <v>#NAME?</v>
      </c>
      <c r="C122" s="102" t="e">
        <f t="array" aca="1" ref="C122" ca="1">_xludf.XLOOKUP(A122,'QA Log'!D:D,'QA Log'!F:F,"")</f>
        <v>#NAME?</v>
      </c>
      <c r="D122" s="102" t="e">
        <f t="array" aca="1" ref="D122" ca="1">_xludf.XLOOKUP(A122,'QA Log'!D:D,'QA Log'!H:H,"")</f>
        <v>#NAME?</v>
      </c>
      <c r="E122" s="102" t="e">
        <f t="array" aca="1" ref="E122" ca="1">_xludf.XLOOKUP(A122,'QA Log'!D:D,'QA Log'!G:G,"")</f>
        <v>#NAME?</v>
      </c>
      <c r="F122" s="103"/>
      <c r="G122" s="104"/>
      <c r="H122" s="104"/>
      <c r="I122" s="103" t="str">
        <f t="shared" si="0"/>
        <v/>
      </c>
      <c r="J122" s="102" t="str">
        <f>IF(A122="","",SUM(
COUNTIFS('QA Log'!D:D,A122,'QA Log'!M:M,"QQC",'QA Log'!L:L,"*1. General Management*"),
COUNTIFS('QA Log'!D:D,A122,'QA Log'!M:M,"QQC",'QA Log'!L:L,"*3. Curative Consultation (OPD)*"),
COUNTIFS('QA Log'!D:D,A122,'QA Log'!M:M,"QQC",'QA Log'!L:L,"*5. Laboratory*"),
COUNTIFS('QA Log'!D:D,A122,'QA Log'!M:M,"QQC",'QA Log'!L:L,"*6. Essential Medicine Management*"),
COUNTIFS('QA Log'!D:D,A122,'QA Log'!M:M,"QQC",'QA Log'!L:L,"*7. Tracer Medicine*"),
COUNTIFS('QA Log'!D:D,A122,'QA Log'!M:M,"QQC",'QA Log'!L:L,"*11. Additional Questions*")))</f>
        <v/>
      </c>
      <c r="K122" s="102" t="str">
        <f>IF(A122="","",SUM(
COUNTIFS('QA Log'!D:D,A122,'QA Log'!M:M,"QQC",'QA Log'!Z:Z,"Approved",'QA Log'!L:L,"*1. General Management*"),
COUNTIFS('QA Log'!D:D,A122,'QA Log'!M:M,"QQC",'QA Log'!Z:Z,"Approved",'QA Log'!L:L,"*3. Curative Consultation (OPD)*"),
COUNTIFS('QA Log'!D:D,A122,'QA Log'!M:M,"QQC",'QA Log'!Z:Z,"Approved",'QA Log'!L:L,"*5. Laboratory*"),
COUNTIFS('QA Log'!D:D,A122,'QA Log'!M:M,"QQC",'QA Log'!Z:Z,"Approved",'QA Log'!L:L,"*6. Essential Medicine Management*"),
COUNTIFS('QA Log'!D:D,A122,'QA Log'!M:M,"QQC",'QA Log'!Z:Z,"Approved",'QA Log'!L:L,"*7. Tracer Medicine*"),
COUNTIFS('QA Log'!D:D,A122,'QA Log'!M:M,"QQC",'QA Log'!Z:Z,"Approved",'QA Log'!L:L,"*11. Additional Questions*")))</f>
        <v/>
      </c>
      <c r="L122" s="105" t="str">
        <f>IF(A122&lt;&gt;"",COUNTIFS('QA Log'!D:D,A122,'QA Log'!M:M,"QQC",'QA Log'!L:L,"1. General Management",'QA Log'!Z:Z,"Approved"),"")</f>
        <v/>
      </c>
      <c r="M122" s="105" t="str">
        <f>IF(A122&lt;&gt;"",COUNTIFS('QA Log'!D:D,A122,'QA Log'!M:M,"QQC",'QA Log'!L:L,"3. Curative Consultation (OPD)",'QA Log'!Z:Z,"Approved"),"")</f>
        <v/>
      </c>
      <c r="N122" s="105" t="str">
        <f>IF(A122&lt;&gt;"",COUNTIFS('QA Log'!D:D,A122,'QA Log'!M:M,"QQC",'QA Log'!L:L,"5. Laboratory",'QA Log'!Z:Z,"Approved"),"")</f>
        <v/>
      </c>
      <c r="O122" s="105" t="str">
        <f>IF(A122&lt;&gt;"",COUNTIFS('QA Log'!D:D,A122,'QA Log'!M:M,"QQC",'QA Log'!L:L,"6. Essential Medicine Management",'QA Log'!Z:Z,"Approved"),"")</f>
        <v/>
      </c>
      <c r="P122" s="105" t="str">
        <f>IF(A122&lt;&gt;"",COUNTIFS('QA Log'!D:D,A122,'QA Log'!M:M,"QQC",'QA Log'!L:L,"7. Tracer Medicine",'QA Log'!Z:Z,"Approved"),"")</f>
        <v/>
      </c>
      <c r="Q122" s="105" t="str">
        <f>IF(A122&lt;&gt;"",COUNTIFS('QA Log'!D:D,A122,'QA Log'!M:M,"QQC",'QA Log'!L:L,"11. Additional Questions",'QA Log'!Z:Z,"Approved"),"")</f>
        <v/>
      </c>
      <c r="R122" s="102" t="str">
        <f>IF(A122="","",SUM(
COUNTIFS('QA Log'!D:D,A122,'QA Log'!M:M,"QQC",'QA Log'!Z:Z,"Rejected",'QA Log'!L:L,"*8. Maternity*"),
COUNTIFS('QA Log'!D:D,A122,'QA Log'!M:M,"QQC",'QA Log'!Z:Z,"Rejected",'QA Log'!L:L,"*EPI*"),
COUNTIFS('QA Log'!D:D,A122,'QA Log'!M:M,"QQC",'QA Log'!Z:Z,"Rejected",'QA Log'!L:L,"*10. Antenatal Care (ANC)*"),
COUNTIFS('QA Log'!D:D,A122,'QA Log'!M:M,"QQC",'QA Log'!Z:Z,"Rejected",'QA Log'!L:L,"*2. Hygiene and Sterilization*"),
COUNTIFS('QA Log'!D:D,A122,'QA Log'!M:M,"QQC",'QA Log'!Z:Z,"Rejected",'QA Log'!L:L,"*Family Planning*")))</f>
        <v/>
      </c>
      <c r="S122" s="106" t="str">
        <f t="shared" si="1"/>
        <v/>
      </c>
      <c r="T122" s="102" t="str">
        <f t="shared" si="2"/>
        <v/>
      </c>
      <c r="U122" s="102" t="str">
        <f>IF(A122="","",
SUM(
COUNTIFS('QA Log'!D:D,A122,'QA Log'!M:M,"QQC",'QA Log'!L:L,"*8. Maternity*"),
COUNTIFS('QA Log'!D:D,A122,'QA Log'!M:M,"QQC",'QA Log'!L:L,"*9. EPI and Pre-school Consultation*"),
COUNTIFS('QA Log'!D:D,A122,'QA Log'!M:M,"QQC",'QA Log'!L:L,"*10. Antenatal Care (ANC)*"),
COUNTIFS('QA Log'!D:D,A122,'QA Log'!M:M,"QQC",'QA Log'!L:L,"*2. Hygiene and Sterilization*"),
COUNTIFS('QA Log'!D:D,A122,'QA Log'!M:M,"QQC",'QA Log'!L:L,"*4. Family Planning*")
))</f>
        <v/>
      </c>
      <c r="V122" s="102" t="str">
        <f>IF(A122="","",
SUM(
COUNTIFS('QA Log'!D:D,A122,'QA Log'!M:M,"QQC",'QA Log'!Z:Z,"Approved",'QA Log'!L:L,"*8. Maternity*"),
COUNTIFS('QA Log'!D:D,A122,'QA Log'!M:M,"QQC",'QA Log'!Z:Z,"Approved",'QA Log'!L:L,"*9. EPI and Pre-school Consultation*"),
COUNTIFS('QA Log'!D:D,A122,'QA Log'!M:M,"QQC",'QA Log'!Z:Z,"Approved",'QA Log'!L:L,"*10. Antenatal Care (ANC)*"),
COUNTIFS('QA Log'!D:D,A122,'QA Log'!M:M,"QQC",'QA Log'!Z:Z,"Approved",'QA Log'!L:L,"*2. Hygiene and Sterilization*"),
COUNTIFS('QA Log'!D:D,A122,'QA Log'!M:M,"QQC",'QA Log'!Z:Z,"Approved",'QA Log'!L:L,"*4. Family Planning*")
))</f>
        <v/>
      </c>
      <c r="W122" s="105" t="str">
        <f>IF(A122&lt;&gt;"",COUNTIFS('QA Log'!D:D,A122,'QA Log'!M:M,"QQC",'QA Log'!L:L,"8. Maternity",'QA Log'!Z:Z,"Approved"),"")</f>
        <v/>
      </c>
      <c r="X122" s="105" t="str">
        <f>IF(A122&lt;&gt;"",COUNTIFS('QA Log'!D:D,A122,'QA Log'!M:M,"QQC",'QA Log'!L:L,"9. EPI and Pre-school Consultation",'QA Log'!Z:Z,"Approved"),"")</f>
        <v/>
      </c>
      <c r="Y122" s="105" t="str">
        <f>IF(A122&lt;&gt;"",COUNTIFS('QA Log'!D:D,A122,'QA Log'!M:M,"QQC",'QA Log'!L:L,"10. Antenatal Care (ANC)",'QA Log'!Z:Z,"Approved"),"")</f>
        <v/>
      </c>
      <c r="Z122" s="105" t="str">
        <f>IF(A122&lt;&gt;"",COUNTIFS('QA Log'!D:D,A122,'QA Log'!M:M,"QQC",'QA Log'!L:L,"2. Hygiene and Sterilization",'QA Log'!Z:Z,"Approved"),"")</f>
        <v/>
      </c>
      <c r="AA122" s="105" t="str">
        <f>IF(A122&lt;&gt;"",COUNTIFS('QA Log'!D:D,A122,'QA Log'!M:M,"QQC",'QA Log'!L:L,"4. Family Planning",'QA Log'!Z:Z,"Approved"),"")</f>
        <v/>
      </c>
      <c r="AB122" s="102" t="str">
        <f>IF(A122="","",
SUM(
COUNTIFS('QA Log'!D:D,A122,'QA Log'!M:M,"QQC",'QA Log'!Z:Z,"Rejected",'QA Log'!L:L,"*8. Maternity*"),
COUNTIFS('QA Log'!D:D,A122,'QA Log'!M:M,"QQC",'QA Log'!Z:Z,"Rejected",'QA Log'!L:L,"*9. EPI and Pre-school Consultation*"),
COUNTIFS('QA Log'!D:D,A122,'QA Log'!M:M,"QQC",'QA Log'!Z:Z,"Rejected",'QA Log'!L:L,"*10. Antenatal Care (ANC)*"),
COUNTIFS('QA Log'!D:D,A122,'QA Log'!M:M,"QQC",'QA Log'!Z:Z,"Rejected",'QA Log'!L:L,"*2. Hygiene and Sterilization*"),
COUNTIFS('QA Log'!D:D,A122,'QA Log'!M:M,"QQC",'QA Log'!Z:Z,"Rejected",'QA Log'!L:L,"*4. Family Planning*")
))</f>
        <v/>
      </c>
      <c r="AC122" s="102" t="str">
        <f t="shared" si="3"/>
        <v/>
      </c>
      <c r="AD122" s="103" t="str">
        <f t="shared" si="4"/>
        <v/>
      </c>
      <c r="AE122" s="102" t="str">
        <f>IF(A122="","",
SUM(
COUNTIFS('QA Log'!D:D,A122,'QA Log'!M:M,"Data Verification",'QA Log'!L:L,"*Medicine (section 2)*"),
COUNTIFS('QA Log'!D:D,A122,'QA Log'!M:M,"Data Verification",'QA Log'!L:L,"*Lab Testing Availability*"),
COUNTIFS('QA Log'!D:D,A122,'QA Log'!M:M,"Data Verification",'QA Log'!L:L,"*Other than P4P (section 6)*"),
COUNTIFS('QA Log'!D:D,A122,'QA Log'!M:M,"Data Verification",'QA Log'!L:L,"*Hospital Governance*")
))</f>
        <v/>
      </c>
      <c r="AF122" s="102" t="str">
        <f>IF(A122="","",
SUM(
COUNTIFS('QA Log'!D:D,A122,'QA Log'!M:M,"Data Verification",'QA Log'!Z:Z,"Approved",'QA Log'!L:L,"*Medicine (section 2)*"),
COUNTIFS('QA Log'!D:D,A122,'QA Log'!M:M,"Data Verification",'QA Log'!Z:Z,"Approved",'QA Log'!L:L,"*Lab Testing Availability*"),
COUNTIFS('QA Log'!D:D,A122,'QA Log'!M:M,"Data Verification",'QA Log'!Z:Z,"Approved",'QA Log'!L:L,"*Other than P4P (section 6)*"),
COUNTIFS('QA Log'!D:D,A122,'QA Log'!M:M,"Data Verification",'QA Log'!Z:Z,"Approved",'QA Log'!L:L,"*Hospital Governance*")
))</f>
        <v/>
      </c>
      <c r="AG122" s="105" t="str">
        <f>IF(A122&lt;&gt;"",COUNTIFS('QA Log'!D:D,A122,'QA Log'!M:M,"Data Verification",'QA Log'!L:L,"Medicine (section 2)",'QA Log'!Z:Z,"Approved"),"")</f>
        <v/>
      </c>
      <c r="AH122" s="105" t="str">
        <f>IF(A122&lt;&gt;"",COUNTIFS('QA Log'!D:D,A122,'QA Log'!M:M,"Data Verification",'QA Log'!L:L,"Lab Testing Availability",'QA Log'!Z:Z,"Approved"),"")</f>
        <v/>
      </c>
      <c r="AI122" s="105" t="str">
        <f>IF(A122&lt;&gt;"",COUNTIFS('QA Log'!D:D,A122,'QA Log'!M:M,"Data Verification",'QA Log'!L:L,"Other than P4P (section 6)",'QA Log'!Z:Z,"Approved"),"")</f>
        <v/>
      </c>
      <c r="AJ122" s="105" t="str">
        <f>IF(A122&lt;&gt;"",COUNTIFS('QA Log'!D:D,A122,'QA Log'!M:M,"Data Verification",'QA Log'!L:L,"Hospital Governance",'QA Log'!Z:Z,"Approved"),"")</f>
        <v/>
      </c>
      <c r="AK122" s="102" t="str">
        <f>IF(A122="","",
SUM(
COUNTIFS('QA Log'!D:D,A122,'QA Log'!M:M,"Data Verification",'QA Log'!Z:Z,"Rejected",'QA Log'!L:L,"*Medicine (section 2)*"),
COUNTIFS('QA Log'!D:D,A122,'QA Log'!M:M,"Data Verification",'QA Log'!Z:Z,"Rejected",'QA Log'!L:L,"*Lab Testing Availability*"),
COUNTIFS('QA Log'!D:D,A122,'QA Log'!M:M,"Data Verification",'QA Log'!Z:Z,"Rejected",'QA Log'!L:L,"*Other than P4P (section 6)*"),
COUNTIFS('QA Log'!D:D,A122,'QA Log'!M:M,"Data Verification",'QA Log'!Z:Z,"Rejected",'QA Log'!L:L,"*Hospital Governance*")
))</f>
        <v/>
      </c>
      <c r="AL122" s="106" t="str">
        <f t="shared" si="5"/>
        <v/>
      </c>
      <c r="AM122" s="102" t="str">
        <f t="shared" si="6"/>
        <v/>
      </c>
      <c r="AN122" s="102" t="str">
        <f>IF(A122="","",
SUM(
COUNTIFS('QA Log'!D:D,A122,'QA Log'!M:M,"Data Verification",'QA Log'!L:L,"*Personnel (section 1)*"),
COUNTIFS('QA Log'!D:D,A122,'QA Log'!M:M,"Data Verification",'QA Log'!L:L,"*Consumable (section 3)*"),
COUNTIFS('QA Log'!D:D,A122,'QA Log'!M:M,"Data Verification",'QA Log'!L:L,"*Equipments (section 4)*")
))</f>
        <v/>
      </c>
      <c r="AO122" s="102" t="str">
        <f>IF(A122="","",
SUM(
COUNTIFS('QA Log'!D:D,A122,'QA Log'!M:M,"Data Verification",'QA Log'!Z:Z,"Approved",'QA Log'!L:L,"*Personnel (section 1)*"),
COUNTIFS('QA Log'!D:D,A122,'QA Log'!M:M,"Data Verification",'QA Log'!Z:Z,"Approved",'QA Log'!L:L,"*Consumable (section 3)*"),
COUNTIFS('QA Log'!D:D,A122,'QA Log'!M:M,"Data Verification",'QA Log'!Z:Z,"Approved",'QA Log'!L:L,"*Equipments (section 4)*")
))</f>
        <v/>
      </c>
      <c r="AP122" s="105" t="str">
        <f>IF(A122&lt;&gt;"",COUNTIFS('QA Log'!D:D,A122,'QA Log'!M:M,"Data Verification",'QA Log'!L:L,"Personnel (section 1)",'QA Log'!Z:Z,"Approved"),"")</f>
        <v/>
      </c>
      <c r="AQ122" s="105" t="str">
        <f>IF(A122&lt;&gt;"",COUNTIFS('QA Log'!D:D,A122,'QA Log'!M:M,"Data Verification",'QA Log'!L:L,"Consumable (section 3)",'QA Log'!Z:Z,"Approved"),"")</f>
        <v/>
      </c>
      <c r="AR122" s="105" t="str">
        <f>IF(A122&lt;&gt;"",COUNTIFS('QA Log'!D:D,A122,'QA Log'!M:M,"Data Verification",'QA Log'!L:L,"Equipments (section 4)",'QA Log'!Z:Z,"Approved"),"")</f>
        <v/>
      </c>
      <c r="AS122" s="102" t="str">
        <f>IF(A122="","",
SUM(
COUNTIFS('QA Log'!D:D,A122,'QA Log'!M:M,"Data Verification",'QA Log'!Z:Z,"Rejected",'QA Log'!L:L,"*Personnel (section 1)*"),
COUNTIFS('QA Log'!D:D,A122,'QA Log'!M:M,"Data Verification",'QA Log'!Z:Z,"Rejected",'QA Log'!L:L,"*Consumable (section 3)*"),
COUNTIFS('QA Log'!D:D,A122,'QA Log'!M:M,"Data Verification",'QA Log'!Z:Z,"Rejected",'QA Log'!L:L,"*Equipments (section 4)*")
))</f>
        <v/>
      </c>
      <c r="AT122" s="102" t="str">
        <f t="shared" si="7"/>
        <v/>
      </c>
      <c r="AU122" s="103" t="str">
        <f t="shared" si="8"/>
        <v/>
      </c>
      <c r="AV122" s="102" t="str">
        <f>IF(A122="","",SUM(
COUNTIFS('QA Log'!D:D,A122,'QA Log'!M:M,"Vignette",'QA Log'!L:L,"*Vignette [1] Respiratory Infection: Pneumonia*"),
COUNTIFS('QA Log'!D:D,A122,'QA Log'!M:M,"Vignette",'QA Log'!L:L,"*Vignette [2]: Diarrhea with Cat B dehydration*"),
COUNTIFS('QA Log'!D:D,A122,'QA Log'!M:M,"Vignette",'QA Log'!L:L,"*Vignette [3] Growth Monitoring and Promotion*"),
COUNTIFS('QA Log'!D:D,A122,'QA Log'!M:M,"Vignette",'QA Log'!L:L,"*Vignette [4]: The management of presumptive TB patient*")
)
)</f>
        <v/>
      </c>
      <c r="AW122" s="102" t="str">
        <f>IF(
  A122="","",
  SUM(
    COUNTIFS('QA Log'!D:D,A122,'QA Log'!M:M,"Vignette",'QA Log'!Z:Z,"Approved",'QA Log'!L:L,"*Vignette [1] Respiratory Infection: Pneumonia*"),
    COUNTIFS('QA Log'!D:D,A122,'QA Log'!M:M,"Vignette",'QA Log'!Z:Z,"Approved",'QA Log'!L:L,"*Vignette [2]: Diarrhea with Cat B dehydration*"),
    COUNTIFS('QA Log'!D:D,A122,'QA Log'!M:M,"Vignette",'QA Log'!Z:Z,"Approved",'QA Log'!L:L,"*Vignette [3] Growth Monitoring and Promotion*"),
    COUNTIFS('QA Log'!D:D,A122,'QA Log'!M:M,"Vignette",'QA Log'!Z:Z,"Approved",'QA Log'!L:L,"*Vignette [4]: The management of presumptive TB patient*")
  )
)</f>
        <v/>
      </c>
      <c r="AX122" s="105" t="str">
        <f>IF(A122&lt;&gt;"",COUNTIFS('QA Log'!D:D,A122,'QA Log'!M:M,"Vignette",'QA Log'!L:L,"Vignette [1] Respiratory Infection: Pneumonia",'QA Log'!Z:Z,"Approved"),"")</f>
        <v/>
      </c>
      <c r="AY122" s="105" t="str">
        <f>IF(A122&lt;&gt;"",COUNTIFS('QA Log'!D:D,A122,'QA Log'!M:M,"Vignette",'QA Log'!L:L,"Vignette [2]: Diarrhea with Cat B dehydration",'QA Log'!Z:Z,"Approved"),"")</f>
        <v/>
      </c>
      <c r="AZ122" s="105" t="str">
        <f>IF(A122&lt;&gt;"",COUNTIFS('QA Log'!D:D,A122,'QA Log'!M:M,"Vignette",'QA Log'!L:L,"Vignette [3] Growth Monitoring and Promotion",'QA Log'!Z:Z,"Approved"),"")</f>
        <v/>
      </c>
      <c r="BA122" s="105" t="str">
        <f>IF(A122&lt;&gt;"",COUNTIFS('QA Log'!D:D,A122,'QA Log'!M:M,"Vignette",'QA Log'!L:L,"Vignette [4]: The management of presumptive TB patient",'QA Log'!Z:Z,"Approved"),"")</f>
        <v/>
      </c>
      <c r="BB122" s="102" t="str">
        <f>IF(A122="","",
  SUM(
    COUNTIFS('QA Log'!D:D,A122,'QA Log'!M:M,"Vignette",'QA Log'!Z:Z,"Rejected",'QA Log'!L:L,"*Vignette [1] Respiratory Infection: Pneumonia*"),
    COUNTIFS('QA Log'!D:D,A122,'QA Log'!M:M,"Vignette",'QA Log'!Z:Z,"Rejected",'QA Log'!L:L,"*Vignette [2]: Diarrhea with Cat B dehydration*"),
    COUNTIFS('QA Log'!D:D,A122,'QA Log'!M:M,"Vignette",'QA Log'!Z:Z,"Rejected",'QA Log'!L:L,"*Vignette [3] Growth Monitoring and Promotion*"),
    COUNTIFS('QA Log'!D:D,A122,'QA Log'!M:M,"Vignette",'QA Log'!Z:Z,"Rejected",'QA Log'!L:L,"*Vignette [4]: The management of presumptive TB patient*")
  )
)</f>
        <v/>
      </c>
      <c r="BC122" s="107" t="str">
        <f t="shared" si="9"/>
        <v/>
      </c>
      <c r="BD122" s="103" t="str">
        <f t="shared" si="10"/>
        <v/>
      </c>
      <c r="BE122" s="102" t="str">
        <f>IF(A122="","",SUM(
COUNTIFS('QA Log'!D:D,A122,'QA Log'!M:M,"Vignette",'QA Log'!L:L,"*Vignette [5] Labor*"),
COUNTIFS('QA Log'!D:D,A122,'QA Log'!M:M,"Vignette",'QA Log'!L:L,"*Vignette [6] PNC pre Discharge*"),
COUNTIFS('QA Log'!D:D,A122,'QA Log'!M:M,"Vignette",'QA Log'!L:L,"*Vignette [7] First ANC Visit*"),
COUNTIFS('QA Log'!D:D,A122,'QA Log'!M:M,"Vignette",'QA Log'!L:L,"*Vignette [8] Birth Spacing/ Family Planning :  FP Counselling*"),
COUNTIFS('QA Log'!D:D,A122,'QA Log'!M:M,"Vignette",'QA Log'!L:L,"*Vignette [9] Birth Spacing: Change FP method to Injectable*"),
COUNTIFS('QA Log'!D:D,A122,'QA Log'!M:M,"Vignette",'QA Log'!L:L,"*Vignette [10] Post Partum Haemorrhage - Atonic Uterus at Health Centre*"),
)
)</f>
        <v/>
      </c>
      <c r="BF122" s="102" t="str">
        <f>IF(A122="","",
  SUM(
    COUNTIFS('QA Log'!D:D,A122,'QA Log'!M:M,"Vignette",'QA Log'!Z:Z,"Approved",'QA Log'!L:L,"*Vignette [5] Labor*"),
    COUNTIFS('QA Log'!D:D,A122,'QA Log'!M:M,"Vignette",'QA Log'!Z:Z,"Approved",'QA Log'!L:L,"*Vignette [6] PNC pre Discharge*"),
    COUNTIFS('QA Log'!D:D,A122,'QA Log'!M:M,"Vignette",'QA Log'!Z:Z,"Approved",'QA Log'!L:L,"*Vignette [7] First ANC Visit*"),
    COUNTIFS('QA Log'!D:D,A122,'QA Log'!M:M,"Vignette",'QA Log'!Z:Z,"Approved",'QA Log'!L:L,"*Vignette [8] Birth Spacing/ Family Planning :  FP Counselling*"),
    COUNTIFS('QA Log'!D:D,A122,'QA Log'!M:M,"Vignette",'QA Log'!Z:Z,"Approved",'QA Log'!L:L,"*Vignette [9] Birth Spacing: Change FP method to Injectable*"),
    COUNTIFS('QA Log'!D:D,A122,'QA Log'!M:M,"Vignette",'QA Log'!Z:Z,"Approved",'QA Log'!L:L,"*Vignette [10] Post Partum Haemorrhage - Atonic Uterus at Health Centre*")
  )
)</f>
        <v/>
      </c>
      <c r="BG122" s="105" t="str">
        <f>IF(A122&lt;&gt;"",COUNTIFS('QA Log'!D:D,A122,'QA Log'!M:M,"Vignette",'QA Log'!L:L,"Vignette [5] Labor",'QA Log'!Z:Z,"Approved"),"")</f>
        <v/>
      </c>
      <c r="BH122" s="105" t="str">
        <f>IF(A122&lt;&gt;"",COUNTIFS('QA Log'!D:D,A122,'QA Log'!M:M,"Vignette",'QA Log'!L:L,"Vignette [6] PNC pre Discharge",'QA Log'!Z:Z,"Approved"),"")</f>
        <v/>
      </c>
      <c r="BI122" s="105" t="str">
        <f>IF(A122&lt;&gt;"",COUNTIFS('QA Log'!D:D,A122,'QA Log'!M:M,"Vignette",'QA Log'!L:L,"Vignette [7] First ANC Visit",'QA Log'!Z:Z,"Approved"),"")</f>
        <v/>
      </c>
      <c r="BJ122" s="105" t="str">
        <f>IF(A122&lt;&gt;"",COUNTIFS('QA Log'!D:D,A122,'QA Log'!M:M,"Vignette",'QA Log'!L:L,"Vignette [8] Birth Spacing/ Family Planning :  FP Counselling",'QA Log'!Z:Z,"Approved"),"")</f>
        <v/>
      </c>
      <c r="BK122" s="105" t="str">
        <f>IF(A122&lt;&gt;"",COUNTIFS('QA Log'!D:D,A122,'QA Log'!M:M,"Vignette",'QA Log'!L:L,"Vignette [9] Birth Spacing: Change FP method to Injectable",'QA Log'!Z:Z,"Approved"),"")</f>
        <v/>
      </c>
      <c r="BL122" s="105" t="str">
        <f>IF(A122&lt;&gt;"",COUNTIFS('QA Log'!D:D,A122,'QA Log'!M:M,"Vignette",'QA Log'!L:L,"Vignette [10] Post Partum Haemorrhage - Atonic Uterus at Health Centre",'QA Log'!Z:Z,"Approved"),"")</f>
        <v/>
      </c>
      <c r="BM122" s="102" t="str">
        <f>IF(A122="","",SUM(
    COUNTIFS('QA Log'!D:D,A122,'QA Log'!M:M,"Vignette",'QA Log'!Z:Z,"Rejected",'QA Log'!L:L,"*Vignette [5] Labor*"),
    COUNTIFS('QA Log'!D:D,A122,'QA Log'!M:M,"Vignette",'QA Log'!Z:Z,"Rejected",'QA Log'!L:L,"*Vignette [6] PNC pre Discharge*"),
    COUNTIFS('QA Log'!D:D,A122,'QA Log'!M:M,"Vignette",'QA Log'!Z:Z,"Rejected",'QA Log'!L:L,"*Vignette [7] First ANC Visit*"),
    COUNTIFS('QA Log'!D:D,A122,'QA Log'!M:M,"Vignette",'QA Log'!Z:Z,"Rejected",'QA Log'!L:L,"*Vignette [8] Birth Spacing/ Family Planning :  FP Counselling*"),
    COUNTIFS('QA Log'!D:D,A122,'QA Log'!M:M,"Vignette",'QA Log'!Z:Z,"Rejected",'QA Log'!L:L,"*Vignette [9] Birth Spacing: Change FP method to Injectable*"),
    COUNTIFS('QA Log'!D:D,A122,'QA Log'!M:M,"Vignette",'QA Log'!Z:Z,"Rejected",'QA Log'!L:L,"*Vignette [10] Post Partum Haemorrhage - Atonic Uterus at Health Centre*")
  )
)</f>
        <v/>
      </c>
      <c r="BN122" s="107" t="str">
        <f t="shared" si="11"/>
        <v/>
      </c>
      <c r="BO122" s="103" t="str">
        <f t="shared" si="12"/>
        <v/>
      </c>
      <c r="BP122" s="102" t="str">
        <f>IF(A122="","",SUM(
COUNTIFS('QA Log'!D:D,A122,'QA Log'!M:M,"Vignette",'QA Log'!L:L,"*Exit Interview 1*"),
COUNTIFS('QA Log'!D:D,A122,'QA Log'!M:M,"Vignette",'QA Log'!L:L,"*Exit Interview 2*"),
)
)</f>
        <v/>
      </c>
      <c r="BQ122" s="102" t="str">
        <f>IF(
  A122="","",
  SUM(
    COUNTIFS('QA Log'!D:D,A122,'QA Log'!M:M,"Vignette",'QA Log'!Z:Z,"Approved",'QA Log'!L:L,"*Exit Interview 1*"),
    COUNTIFS('QA Log'!D:D,A122,'QA Log'!M:M,"Vignette",'QA Log'!Z:Z,"Approved",'QA Log'!L:L,"*Exit Interview 2*")
  )
)</f>
        <v/>
      </c>
      <c r="BR122" s="105" t="str">
        <f>IF(A122&lt;&gt;"",COUNTIFS('QA Log'!D:D,A122,'QA Log'!M:M,"Vignette",'QA Log'!L:L,"Exit Interview 1",'QA Log'!Z:Z,"Approved"),"")</f>
        <v/>
      </c>
      <c r="BS122" s="105" t="str">
        <f>IF(A122&lt;&gt;"",COUNTIFS('QA Log'!D:D,A122,'QA Log'!M:M,"Vignette",'QA Log'!L:L,"Exit Interview 2",'QA Log'!Z:Z,"Approved"),"")</f>
        <v/>
      </c>
      <c r="BT122" s="102" t="str">
        <f>IF(
  A122="","",
  SUM(
    COUNTIFS('QA Log'!D:D,A122,'QA Log'!M:M,"Vignette",'QA Log'!Z:Z,"Rejected",'QA Log'!L:L,"*Exit Interview 1*"),
    COUNTIFS('QA Log'!D:D,A122,'QA Log'!M:M,"Vignette",'QA Log'!Z:Z,"Rejected",'QA Log'!L:L,"*Exit Interview 2*")
  )
)</f>
        <v/>
      </c>
      <c r="BU122" s="107" t="str">
        <f t="shared" si="13"/>
        <v/>
      </c>
      <c r="BV122" s="102" t="str">
        <f t="shared" si="14"/>
        <v/>
      </c>
      <c r="BW122" s="102" t="str">
        <f t="shared" si="15"/>
        <v/>
      </c>
      <c r="BX122" s="102" t="str">
        <f t="shared" si="16"/>
        <v/>
      </c>
      <c r="BY122" s="102" t="str">
        <f t="shared" si="17"/>
        <v/>
      </c>
      <c r="BZ122" s="107" t="str">
        <f t="shared" si="18"/>
        <v/>
      </c>
      <c r="CA122" s="108" t="str">
        <f t="shared" si="19"/>
        <v/>
      </c>
      <c r="CB122" s="108" t="str">
        <f t="shared" si="20"/>
        <v/>
      </c>
      <c r="CC122" s="109" t="str">
        <f t="shared" si="21"/>
        <v/>
      </c>
      <c r="CD122" s="108" t="str">
        <f t="shared" si="22"/>
        <v/>
      </c>
      <c r="CE122" s="108" t="str">
        <f t="shared" si="23"/>
        <v/>
      </c>
      <c r="CF122" s="109" t="str">
        <f t="shared" si="24"/>
        <v/>
      </c>
      <c r="CG122" s="110" t="str">
        <f t="shared" si="25"/>
        <v/>
      </c>
      <c r="CH122" s="111"/>
    </row>
    <row r="123" spans="1:86" ht="12.75">
      <c r="A123" s="101"/>
      <c r="B123" s="102" t="e">
        <f t="array" aca="1" ref="B123" ca="1">_xludf.XLOOKUP(A123,'QA Log'!D:D,'QA Log'!E:E,"")</f>
        <v>#NAME?</v>
      </c>
      <c r="C123" s="102" t="e">
        <f t="array" aca="1" ref="C123" ca="1">_xludf.XLOOKUP(A123,'QA Log'!D:D,'QA Log'!F:F,"")</f>
        <v>#NAME?</v>
      </c>
      <c r="D123" s="102" t="e">
        <f t="array" aca="1" ref="D123" ca="1">_xludf.XLOOKUP(A123,'QA Log'!D:D,'QA Log'!H:H,"")</f>
        <v>#NAME?</v>
      </c>
      <c r="E123" s="102" t="e">
        <f t="array" aca="1" ref="E123" ca="1">_xludf.XLOOKUP(A123,'QA Log'!D:D,'QA Log'!G:G,"")</f>
        <v>#NAME?</v>
      </c>
      <c r="F123" s="103"/>
      <c r="G123" s="104"/>
      <c r="H123" s="104"/>
      <c r="I123" s="103" t="str">
        <f t="shared" si="0"/>
        <v/>
      </c>
      <c r="J123" s="102" t="str">
        <f>IF(A123="","",SUM(
COUNTIFS('QA Log'!D:D,A123,'QA Log'!M:M,"QQC",'QA Log'!L:L,"*1. General Management*"),
COUNTIFS('QA Log'!D:D,A123,'QA Log'!M:M,"QQC",'QA Log'!L:L,"*3. Curative Consultation (OPD)*"),
COUNTIFS('QA Log'!D:D,A123,'QA Log'!M:M,"QQC",'QA Log'!L:L,"*5. Laboratory*"),
COUNTIFS('QA Log'!D:D,A123,'QA Log'!M:M,"QQC",'QA Log'!L:L,"*6. Essential Medicine Management*"),
COUNTIFS('QA Log'!D:D,A123,'QA Log'!M:M,"QQC",'QA Log'!L:L,"*7. Tracer Medicine*"),
COUNTIFS('QA Log'!D:D,A123,'QA Log'!M:M,"QQC",'QA Log'!L:L,"*11. Additional Questions*")))</f>
        <v/>
      </c>
      <c r="K123" s="102" t="str">
        <f>IF(A123="","",SUM(
COUNTIFS('QA Log'!D:D,A123,'QA Log'!M:M,"QQC",'QA Log'!Z:Z,"Approved",'QA Log'!L:L,"*1. General Management*"),
COUNTIFS('QA Log'!D:D,A123,'QA Log'!M:M,"QQC",'QA Log'!Z:Z,"Approved",'QA Log'!L:L,"*3. Curative Consultation (OPD)*"),
COUNTIFS('QA Log'!D:D,A123,'QA Log'!M:M,"QQC",'QA Log'!Z:Z,"Approved",'QA Log'!L:L,"*5. Laboratory*"),
COUNTIFS('QA Log'!D:D,A123,'QA Log'!M:M,"QQC",'QA Log'!Z:Z,"Approved",'QA Log'!L:L,"*6. Essential Medicine Management*"),
COUNTIFS('QA Log'!D:D,A123,'QA Log'!M:M,"QQC",'QA Log'!Z:Z,"Approved",'QA Log'!L:L,"*7. Tracer Medicine*"),
COUNTIFS('QA Log'!D:D,A123,'QA Log'!M:M,"QQC",'QA Log'!Z:Z,"Approved",'QA Log'!L:L,"*11. Additional Questions*")))</f>
        <v/>
      </c>
      <c r="L123" s="105" t="str">
        <f>IF(A123&lt;&gt;"",COUNTIFS('QA Log'!D:D,A123,'QA Log'!M:M,"QQC",'QA Log'!L:L,"1. General Management",'QA Log'!Z:Z,"Approved"),"")</f>
        <v/>
      </c>
      <c r="M123" s="105" t="str">
        <f>IF(A123&lt;&gt;"",COUNTIFS('QA Log'!D:D,A123,'QA Log'!M:M,"QQC",'QA Log'!L:L,"3. Curative Consultation (OPD)",'QA Log'!Z:Z,"Approved"),"")</f>
        <v/>
      </c>
      <c r="N123" s="105" t="str">
        <f>IF(A123&lt;&gt;"",COUNTIFS('QA Log'!D:D,A123,'QA Log'!M:M,"QQC",'QA Log'!L:L,"5. Laboratory",'QA Log'!Z:Z,"Approved"),"")</f>
        <v/>
      </c>
      <c r="O123" s="105" t="str">
        <f>IF(A123&lt;&gt;"",COUNTIFS('QA Log'!D:D,A123,'QA Log'!M:M,"QQC",'QA Log'!L:L,"6. Essential Medicine Management",'QA Log'!Z:Z,"Approved"),"")</f>
        <v/>
      </c>
      <c r="P123" s="105" t="str">
        <f>IF(A123&lt;&gt;"",COUNTIFS('QA Log'!D:D,A123,'QA Log'!M:M,"QQC",'QA Log'!L:L,"7. Tracer Medicine",'QA Log'!Z:Z,"Approved"),"")</f>
        <v/>
      </c>
      <c r="Q123" s="105" t="str">
        <f>IF(A123&lt;&gt;"",COUNTIFS('QA Log'!D:D,A123,'QA Log'!M:M,"QQC",'QA Log'!L:L,"11. Additional Questions",'QA Log'!Z:Z,"Approved"),"")</f>
        <v/>
      </c>
      <c r="R123" s="102" t="str">
        <f>IF(A123="","",SUM(
COUNTIFS('QA Log'!D:D,A123,'QA Log'!M:M,"QQC",'QA Log'!Z:Z,"Rejected",'QA Log'!L:L,"*8. Maternity*"),
COUNTIFS('QA Log'!D:D,A123,'QA Log'!M:M,"QQC",'QA Log'!Z:Z,"Rejected",'QA Log'!L:L,"*EPI*"),
COUNTIFS('QA Log'!D:D,A123,'QA Log'!M:M,"QQC",'QA Log'!Z:Z,"Rejected",'QA Log'!L:L,"*10. Antenatal Care (ANC)*"),
COUNTIFS('QA Log'!D:D,A123,'QA Log'!M:M,"QQC",'QA Log'!Z:Z,"Rejected",'QA Log'!L:L,"*2. Hygiene and Sterilization*"),
COUNTIFS('QA Log'!D:D,A123,'QA Log'!M:M,"QQC",'QA Log'!Z:Z,"Rejected",'QA Log'!L:L,"*Family Planning*")))</f>
        <v/>
      </c>
      <c r="S123" s="106" t="str">
        <f t="shared" si="1"/>
        <v/>
      </c>
      <c r="T123" s="102" t="str">
        <f t="shared" si="2"/>
        <v/>
      </c>
      <c r="U123" s="102" t="str">
        <f>IF(A123="","",
SUM(
COUNTIFS('QA Log'!D:D,A123,'QA Log'!M:M,"QQC",'QA Log'!L:L,"*8. Maternity*"),
COUNTIFS('QA Log'!D:D,A123,'QA Log'!M:M,"QQC",'QA Log'!L:L,"*9. EPI and Pre-school Consultation*"),
COUNTIFS('QA Log'!D:D,A123,'QA Log'!M:M,"QQC",'QA Log'!L:L,"*10. Antenatal Care (ANC)*"),
COUNTIFS('QA Log'!D:D,A123,'QA Log'!M:M,"QQC",'QA Log'!L:L,"*2. Hygiene and Sterilization*"),
COUNTIFS('QA Log'!D:D,A123,'QA Log'!M:M,"QQC",'QA Log'!L:L,"*4. Family Planning*")
))</f>
        <v/>
      </c>
      <c r="V123" s="102" t="str">
        <f>IF(A123="","",
SUM(
COUNTIFS('QA Log'!D:D,A123,'QA Log'!M:M,"QQC",'QA Log'!Z:Z,"Approved",'QA Log'!L:L,"*8. Maternity*"),
COUNTIFS('QA Log'!D:D,A123,'QA Log'!M:M,"QQC",'QA Log'!Z:Z,"Approved",'QA Log'!L:L,"*9. EPI and Pre-school Consultation*"),
COUNTIFS('QA Log'!D:D,A123,'QA Log'!M:M,"QQC",'QA Log'!Z:Z,"Approved",'QA Log'!L:L,"*10. Antenatal Care (ANC)*"),
COUNTIFS('QA Log'!D:D,A123,'QA Log'!M:M,"QQC",'QA Log'!Z:Z,"Approved",'QA Log'!L:L,"*2. Hygiene and Sterilization*"),
COUNTIFS('QA Log'!D:D,A123,'QA Log'!M:M,"QQC",'QA Log'!Z:Z,"Approved",'QA Log'!L:L,"*4. Family Planning*")
))</f>
        <v/>
      </c>
      <c r="W123" s="105" t="str">
        <f>IF(A123&lt;&gt;"",COUNTIFS('QA Log'!D:D,A123,'QA Log'!M:M,"QQC",'QA Log'!L:L,"8. Maternity",'QA Log'!Z:Z,"Approved"),"")</f>
        <v/>
      </c>
      <c r="X123" s="105" t="str">
        <f>IF(A123&lt;&gt;"",COUNTIFS('QA Log'!D:D,A123,'QA Log'!M:M,"QQC",'QA Log'!L:L,"9. EPI and Pre-school Consultation",'QA Log'!Z:Z,"Approved"),"")</f>
        <v/>
      </c>
      <c r="Y123" s="105" t="str">
        <f>IF(A123&lt;&gt;"",COUNTIFS('QA Log'!D:D,A123,'QA Log'!M:M,"QQC",'QA Log'!L:L,"10. Antenatal Care (ANC)",'QA Log'!Z:Z,"Approved"),"")</f>
        <v/>
      </c>
      <c r="Z123" s="105" t="str">
        <f>IF(A123&lt;&gt;"",COUNTIFS('QA Log'!D:D,A123,'QA Log'!M:M,"QQC",'QA Log'!L:L,"2. Hygiene and Sterilization",'QA Log'!Z:Z,"Approved"),"")</f>
        <v/>
      </c>
      <c r="AA123" s="105" t="str">
        <f>IF(A123&lt;&gt;"",COUNTIFS('QA Log'!D:D,A123,'QA Log'!M:M,"QQC",'QA Log'!L:L,"4. Family Planning",'QA Log'!Z:Z,"Approved"),"")</f>
        <v/>
      </c>
      <c r="AB123" s="102" t="str">
        <f>IF(A123="","",
SUM(
COUNTIFS('QA Log'!D:D,A123,'QA Log'!M:M,"QQC",'QA Log'!Z:Z,"Rejected",'QA Log'!L:L,"*8. Maternity*"),
COUNTIFS('QA Log'!D:D,A123,'QA Log'!M:M,"QQC",'QA Log'!Z:Z,"Rejected",'QA Log'!L:L,"*9. EPI and Pre-school Consultation*"),
COUNTIFS('QA Log'!D:D,A123,'QA Log'!M:M,"QQC",'QA Log'!Z:Z,"Rejected",'QA Log'!L:L,"*10. Antenatal Care (ANC)*"),
COUNTIFS('QA Log'!D:D,A123,'QA Log'!M:M,"QQC",'QA Log'!Z:Z,"Rejected",'QA Log'!L:L,"*2. Hygiene and Sterilization*"),
COUNTIFS('QA Log'!D:D,A123,'QA Log'!M:M,"QQC",'QA Log'!Z:Z,"Rejected",'QA Log'!L:L,"*4. Family Planning*")
))</f>
        <v/>
      </c>
      <c r="AC123" s="102" t="str">
        <f t="shared" si="3"/>
        <v/>
      </c>
      <c r="AD123" s="103" t="str">
        <f t="shared" si="4"/>
        <v/>
      </c>
      <c r="AE123" s="102" t="str">
        <f>IF(A123="","",
SUM(
COUNTIFS('QA Log'!D:D,A123,'QA Log'!M:M,"Data Verification",'QA Log'!L:L,"*Medicine (section 2)*"),
COUNTIFS('QA Log'!D:D,A123,'QA Log'!M:M,"Data Verification",'QA Log'!L:L,"*Lab Testing Availability*"),
COUNTIFS('QA Log'!D:D,A123,'QA Log'!M:M,"Data Verification",'QA Log'!L:L,"*Other than P4P (section 6)*"),
COUNTIFS('QA Log'!D:D,A123,'QA Log'!M:M,"Data Verification",'QA Log'!L:L,"*Hospital Governance*")
))</f>
        <v/>
      </c>
      <c r="AF123" s="102" t="str">
        <f>IF(A123="","",
SUM(
COUNTIFS('QA Log'!D:D,A123,'QA Log'!M:M,"Data Verification",'QA Log'!Z:Z,"Approved",'QA Log'!L:L,"*Medicine (section 2)*"),
COUNTIFS('QA Log'!D:D,A123,'QA Log'!M:M,"Data Verification",'QA Log'!Z:Z,"Approved",'QA Log'!L:L,"*Lab Testing Availability*"),
COUNTIFS('QA Log'!D:D,A123,'QA Log'!M:M,"Data Verification",'QA Log'!Z:Z,"Approved",'QA Log'!L:L,"*Other than P4P (section 6)*"),
COUNTIFS('QA Log'!D:D,A123,'QA Log'!M:M,"Data Verification",'QA Log'!Z:Z,"Approved",'QA Log'!L:L,"*Hospital Governance*")
))</f>
        <v/>
      </c>
      <c r="AG123" s="105" t="str">
        <f>IF(A123&lt;&gt;"",COUNTIFS('QA Log'!D:D,A123,'QA Log'!M:M,"Data Verification",'QA Log'!L:L,"Medicine (section 2)",'QA Log'!Z:Z,"Approved"),"")</f>
        <v/>
      </c>
      <c r="AH123" s="105" t="str">
        <f>IF(A123&lt;&gt;"",COUNTIFS('QA Log'!D:D,A123,'QA Log'!M:M,"Data Verification",'QA Log'!L:L,"Lab Testing Availability",'QA Log'!Z:Z,"Approved"),"")</f>
        <v/>
      </c>
      <c r="AI123" s="105" t="str">
        <f>IF(A123&lt;&gt;"",COUNTIFS('QA Log'!D:D,A123,'QA Log'!M:M,"Data Verification",'QA Log'!L:L,"Other than P4P (section 6)",'QA Log'!Z:Z,"Approved"),"")</f>
        <v/>
      </c>
      <c r="AJ123" s="105" t="str">
        <f>IF(A123&lt;&gt;"",COUNTIFS('QA Log'!D:D,A123,'QA Log'!M:M,"Data Verification",'QA Log'!L:L,"Hospital Governance",'QA Log'!Z:Z,"Approved"),"")</f>
        <v/>
      </c>
      <c r="AK123" s="102" t="str">
        <f>IF(A123="","",
SUM(
COUNTIFS('QA Log'!D:D,A123,'QA Log'!M:M,"Data Verification",'QA Log'!Z:Z,"Rejected",'QA Log'!L:L,"*Medicine (section 2)*"),
COUNTIFS('QA Log'!D:D,A123,'QA Log'!M:M,"Data Verification",'QA Log'!Z:Z,"Rejected",'QA Log'!L:L,"*Lab Testing Availability*"),
COUNTIFS('QA Log'!D:D,A123,'QA Log'!M:M,"Data Verification",'QA Log'!Z:Z,"Rejected",'QA Log'!L:L,"*Other than P4P (section 6)*"),
COUNTIFS('QA Log'!D:D,A123,'QA Log'!M:M,"Data Verification",'QA Log'!Z:Z,"Rejected",'QA Log'!L:L,"*Hospital Governance*")
))</f>
        <v/>
      </c>
      <c r="AL123" s="106" t="str">
        <f t="shared" si="5"/>
        <v/>
      </c>
      <c r="AM123" s="102" t="str">
        <f t="shared" si="6"/>
        <v/>
      </c>
      <c r="AN123" s="102" t="str">
        <f>IF(A123="","",
SUM(
COUNTIFS('QA Log'!D:D,A123,'QA Log'!M:M,"Data Verification",'QA Log'!L:L,"*Personnel (section 1)*"),
COUNTIFS('QA Log'!D:D,A123,'QA Log'!M:M,"Data Verification",'QA Log'!L:L,"*Consumable (section 3)*"),
COUNTIFS('QA Log'!D:D,A123,'QA Log'!M:M,"Data Verification",'QA Log'!L:L,"*Equipments (section 4)*")
))</f>
        <v/>
      </c>
      <c r="AO123" s="102" t="str">
        <f>IF(A123="","",
SUM(
COUNTIFS('QA Log'!D:D,A123,'QA Log'!M:M,"Data Verification",'QA Log'!Z:Z,"Approved",'QA Log'!L:L,"*Personnel (section 1)*"),
COUNTIFS('QA Log'!D:D,A123,'QA Log'!M:M,"Data Verification",'QA Log'!Z:Z,"Approved",'QA Log'!L:L,"*Consumable (section 3)*"),
COUNTIFS('QA Log'!D:D,A123,'QA Log'!M:M,"Data Verification",'QA Log'!Z:Z,"Approved",'QA Log'!L:L,"*Equipments (section 4)*")
))</f>
        <v/>
      </c>
      <c r="AP123" s="105" t="str">
        <f>IF(A123&lt;&gt;"",COUNTIFS('QA Log'!D:D,A123,'QA Log'!M:M,"Data Verification",'QA Log'!L:L,"Personnel (section 1)",'QA Log'!Z:Z,"Approved"),"")</f>
        <v/>
      </c>
      <c r="AQ123" s="105" t="str">
        <f>IF(A123&lt;&gt;"",COUNTIFS('QA Log'!D:D,A123,'QA Log'!M:M,"Data Verification",'QA Log'!L:L,"Consumable (section 3)",'QA Log'!Z:Z,"Approved"),"")</f>
        <v/>
      </c>
      <c r="AR123" s="105" t="str">
        <f>IF(A123&lt;&gt;"",COUNTIFS('QA Log'!D:D,A123,'QA Log'!M:M,"Data Verification",'QA Log'!L:L,"Equipments (section 4)",'QA Log'!Z:Z,"Approved"),"")</f>
        <v/>
      </c>
      <c r="AS123" s="102" t="str">
        <f>IF(A123="","",
SUM(
COUNTIFS('QA Log'!D:D,A123,'QA Log'!M:M,"Data Verification",'QA Log'!Z:Z,"Rejected",'QA Log'!L:L,"*Personnel (section 1)*"),
COUNTIFS('QA Log'!D:D,A123,'QA Log'!M:M,"Data Verification",'QA Log'!Z:Z,"Rejected",'QA Log'!L:L,"*Consumable (section 3)*"),
COUNTIFS('QA Log'!D:D,A123,'QA Log'!M:M,"Data Verification",'QA Log'!Z:Z,"Rejected",'QA Log'!L:L,"*Equipments (section 4)*")
))</f>
        <v/>
      </c>
      <c r="AT123" s="102" t="str">
        <f t="shared" si="7"/>
        <v/>
      </c>
      <c r="AU123" s="103" t="str">
        <f t="shared" si="8"/>
        <v/>
      </c>
      <c r="AV123" s="102" t="str">
        <f>IF(A123="","",SUM(
COUNTIFS('QA Log'!D:D,A123,'QA Log'!M:M,"Vignette",'QA Log'!L:L,"*Vignette [1] Respiratory Infection: Pneumonia*"),
COUNTIFS('QA Log'!D:D,A123,'QA Log'!M:M,"Vignette",'QA Log'!L:L,"*Vignette [2]: Diarrhea with Cat B dehydration*"),
COUNTIFS('QA Log'!D:D,A123,'QA Log'!M:M,"Vignette",'QA Log'!L:L,"*Vignette [3] Growth Monitoring and Promotion*"),
COUNTIFS('QA Log'!D:D,A123,'QA Log'!M:M,"Vignette",'QA Log'!L:L,"*Vignette [4]: The management of presumptive TB patient*")
)
)</f>
        <v/>
      </c>
      <c r="AW123" s="102" t="str">
        <f>IF(
  A123="","",
  SUM(
    COUNTIFS('QA Log'!D:D,A123,'QA Log'!M:M,"Vignette",'QA Log'!Z:Z,"Approved",'QA Log'!L:L,"*Vignette [1] Respiratory Infection: Pneumonia*"),
    COUNTIFS('QA Log'!D:D,A123,'QA Log'!M:M,"Vignette",'QA Log'!Z:Z,"Approved",'QA Log'!L:L,"*Vignette [2]: Diarrhea with Cat B dehydration*"),
    COUNTIFS('QA Log'!D:D,A123,'QA Log'!M:M,"Vignette",'QA Log'!Z:Z,"Approved",'QA Log'!L:L,"*Vignette [3] Growth Monitoring and Promotion*"),
    COUNTIFS('QA Log'!D:D,A123,'QA Log'!M:M,"Vignette",'QA Log'!Z:Z,"Approved",'QA Log'!L:L,"*Vignette [4]: The management of presumptive TB patient*")
  )
)</f>
        <v/>
      </c>
      <c r="AX123" s="105" t="str">
        <f>IF(A123&lt;&gt;"",COUNTIFS('QA Log'!D:D,A123,'QA Log'!M:M,"Vignette",'QA Log'!L:L,"Vignette [1] Respiratory Infection: Pneumonia",'QA Log'!Z:Z,"Approved"),"")</f>
        <v/>
      </c>
      <c r="AY123" s="105" t="str">
        <f>IF(A123&lt;&gt;"",COUNTIFS('QA Log'!D:D,A123,'QA Log'!M:M,"Vignette",'QA Log'!L:L,"Vignette [2]: Diarrhea with Cat B dehydration",'QA Log'!Z:Z,"Approved"),"")</f>
        <v/>
      </c>
      <c r="AZ123" s="105" t="str">
        <f>IF(A123&lt;&gt;"",COUNTIFS('QA Log'!D:D,A123,'QA Log'!M:M,"Vignette",'QA Log'!L:L,"Vignette [3] Growth Monitoring and Promotion",'QA Log'!Z:Z,"Approved"),"")</f>
        <v/>
      </c>
      <c r="BA123" s="105" t="str">
        <f>IF(A123&lt;&gt;"",COUNTIFS('QA Log'!D:D,A123,'QA Log'!M:M,"Vignette",'QA Log'!L:L,"Vignette [4]: The management of presumptive TB patient",'QA Log'!Z:Z,"Approved"),"")</f>
        <v/>
      </c>
      <c r="BB123" s="102" t="str">
        <f>IF(A123="","",
  SUM(
    COUNTIFS('QA Log'!D:D,A123,'QA Log'!M:M,"Vignette",'QA Log'!Z:Z,"Rejected",'QA Log'!L:L,"*Vignette [1] Respiratory Infection: Pneumonia*"),
    COUNTIFS('QA Log'!D:D,A123,'QA Log'!M:M,"Vignette",'QA Log'!Z:Z,"Rejected",'QA Log'!L:L,"*Vignette [2]: Diarrhea with Cat B dehydration*"),
    COUNTIFS('QA Log'!D:D,A123,'QA Log'!M:M,"Vignette",'QA Log'!Z:Z,"Rejected",'QA Log'!L:L,"*Vignette [3] Growth Monitoring and Promotion*"),
    COUNTIFS('QA Log'!D:D,A123,'QA Log'!M:M,"Vignette",'QA Log'!Z:Z,"Rejected",'QA Log'!L:L,"*Vignette [4]: The management of presumptive TB patient*")
  )
)</f>
        <v/>
      </c>
      <c r="BC123" s="107" t="str">
        <f t="shared" si="9"/>
        <v/>
      </c>
      <c r="BD123" s="103" t="str">
        <f t="shared" si="10"/>
        <v/>
      </c>
      <c r="BE123" s="102" t="str">
        <f>IF(A123="","",SUM(
COUNTIFS('QA Log'!D:D,A123,'QA Log'!M:M,"Vignette",'QA Log'!L:L,"*Vignette [5] Labor*"),
COUNTIFS('QA Log'!D:D,A123,'QA Log'!M:M,"Vignette",'QA Log'!L:L,"*Vignette [6] PNC pre Discharge*"),
COUNTIFS('QA Log'!D:D,A123,'QA Log'!M:M,"Vignette",'QA Log'!L:L,"*Vignette [7] First ANC Visit*"),
COUNTIFS('QA Log'!D:D,A123,'QA Log'!M:M,"Vignette",'QA Log'!L:L,"*Vignette [8] Birth Spacing/ Family Planning :  FP Counselling*"),
COUNTIFS('QA Log'!D:D,A123,'QA Log'!M:M,"Vignette",'QA Log'!L:L,"*Vignette [9] Birth Spacing: Change FP method to Injectable*"),
COUNTIFS('QA Log'!D:D,A123,'QA Log'!M:M,"Vignette",'QA Log'!L:L,"*Vignette [10] Post Partum Haemorrhage - Atonic Uterus at Health Centre*"),
)
)</f>
        <v/>
      </c>
      <c r="BF123" s="102" t="str">
        <f>IF(A123="","",
  SUM(
    COUNTIFS('QA Log'!D:D,A123,'QA Log'!M:M,"Vignette",'QA Log'!Z:Z,"Approved",'QA Log'!L:L,"*Vignette [5] Labor*"),
    COUNTIFS('QA Log'!D:D,A123,'QA Log'!M:M,"Vignette",'QA Log'!Z:Z,"Approved",'QA Log'!L:L,"*Vignette [6] PNC pre Discharge*"),
    COUNTIFS('QA Log'!D:D,A123,'QA Log'!M:M,"Vignette",'QA Log'!Z:Z,"Approved",'QA Log'!L:L,"*Vignette [7] First ANC Visit*"),
    COUNTIFS('QA Log'!D:D,A123,'QA Log'!M:M,"Vignette",'QA Log'!Z:Z,"Approved",'QA Log'!L:L,"*Vignette [8] Birth Spacing/ Family Planning :  FP Counselling*"),
    COUNTIFS('QA Log'!D:D,A123,'QA Log'!M:M,"Vignette",'QA Log'!Z:Z,"Approved",'QA Log'!L:L,"*Vignette [9] Birth Spacing: Change FP method to Injectable*"),
    COUNTIFS('QA Log'!D:D,A123,'QA Log'!M:M,"Vignette",'QA Log'!Z:Z,"Approved",'QA Log'!L:L,"*Vignette [10] Post Partum Haemorrhage - Atonic Uterus at Health Centre*")
  )
)</f>
        <v/>
      </c>
      <c r="BG123" s="105" t="str">
        <f>IF(A123&lt;&gt;"",COUNTIFS('QA Log'!D:D,A123,'QA Log'!M:M,"Vignette",'QA Log'!L:L,"Vignette [5] Labor",'QA Log'!Z:Z,"Approved"),"")</f>
        <v/>
      </c>
      <c r="BH123" s="105" t="str">
        <f>IF(A123&lt;&gt;"",COUNTIFS('QA Log'!D:D,A123,'QA Log'!M:M,"Vignette",'QA Log'!L:L,"Vignette [6] PNC pre Discharge",'QA Log'!Z:Z,"Approved"),"")</f>
        <v/>
      </c>
      <c r="BI123" s="105" t="str">
        <f>IF(A123&lt;&gt;"",COUNTIFS('QA Log'!D:D,A123,'QA Log'!M:M,"Vignette",'QA Log'!L:L,"Vignette [7] First ANC Visit",'QA Log'!Z:Z,"Approved"),"")</f>
        <v/>
      </c>
      <c r="BJ123" s="105" t="str">
        <f>IF(A123&lt;&gt;"",COUNTIFS('QA Log'!D:D,A123,'QA Log'!M:M,"Vignette",'QA Log'!L:L,"Vignette [8] Birth Spacing/ Family Planning :  FP Counselling",'QA Log'!Z:Z,"Approved"),"")</f>
        <v/>
      </c>
      <c r="BK123" s="105" t="str">
        <f>IF(A123&lt;&gt;"",COUNTIFS('QA Log'!D:D,A123,'QA Log'!M:M,"Vignette",'QA Log'!L:L,"Vignette [9] Birth Spacing: Change FP method to Injectable",'QA Log'!Z:Z,"Approved"),"")</f>
        <v/>
      </c>
      <c r="BL123" s="105" t="str">
        <f>IF(A123&lt;&gt;"",COUNTIFS('QA Log'!D:D,A123,'QA Log'!M:M,"Vignette",'QA Log'!L:L,"Vignette [10] Post Partum Haemorrhage - Atonic Uterus at Health Centre",'QA Log'!Z:Z,"Approved"),"")</f>
        <v/>
      </c>
      <c r="BM123" s="102" t="str">
        <f>IF(A123="","",SUM(
    COUNTIFS('QA Log'!D:D,A123,'QA Log'!M:M,"Vignette",'QA Log'!Z:Z,"Rejected",'QA Log'!L:L,"*Vignette [5] Labor*"),
    COUNTIFS('QA Log'!D:D,A123,'QA Log'!M:M,"Vignette",'QA Log'!Z:Z,"Rejected",'QA Log'!L:L,"*Vignette [6] PNC pre Discharge*"),
    COUNTIFS('QA Log'!D:D,A123,'QA Log'!M:M,"Vignette",'QA Log'!Z:Z,"Rejected",'QA Log'!L:L,"*Vignette [7] First ANC Visit*"),
    COUNTIFS('QA Log'!D:D,A123,'QA Log'!M:M,"Vignette",'QA Log'!Z:Z,"Rejected",'QA Log'!L:L,"*Vignette [8] Birth Spacing/ Family Planning :  FP Counselling*"),
    COUNTIFS('QA Log'!D:D,A123,'QA Log'!M:M,"Vignette",'QA Log'!Z:Z,"Rejected",'QA Log'!L:L,"*Vignette [9] Birth Spacing: Change FP method to Injectable*"),
    COUNTIFS('QA Log'!D:D,A123,'QA Log'!M:M,"Vignette",'QA Log'!Z:Z,"Rejected",'QA Log'!L:L,"*Vignette [10] Post Partum Haemorrhage - Atonic Uterus at Health Centre*")
  )
)</f>
        <v/>
      </c>
      <c r="BN123" s="107" t="str">
        <f t="shared" si="11"/>
        <v/>
      </c>
      <c r="BO123" s="103" t="str">
        <f t="shared" si="12"/>
        <v/>
      </c>
      <c r="BP123" s="102" t="str">
        <f>IF(A123="","",SUM(
COUNTIFS('QA Log'!D:D,A123,'QA Log'!M:M,"Vignette",'QA Log'!L:L,"*Exit Interview 1*"),
COUNTIFS('QA Log'!D:D,A123,'QA Log'!M:M,"Vignette",'QA Log'!L:L,"*Exit Interview 2*"),
)
)</f>
        <v/>
      </c>
      <c r="BQ123" s="102" t="str">
        <f>IF(
  A123="","",
  SUM(
    COUNTIFS('QA Log'!D:D,A123,'QA Log'!M:M,"Vignette",'QA Log'!Z:Z,"Approved",'QA Log'!L:L,"*Exit Interview 1*"),
    COUNTIFS('QA Log'!D:D,A123,'QA Log'!M:M,"Vignette",'QA Log'!Z:Z,"Approved",'QA Log'!L:L,"*Exit Interview 2*")
  )
)</f>
        <v/>
      </c>
      <c r="BR123" s="105" t="str">
        <f>IF(A123&lt;&gt;"",COUNTIFS('QA Log'!D:D,A123,'QA Log'!M:M,"Vignette",'QA Log'!L:L,"Exit Interview 1",'QA Log'!Z:Z,"Approved"),"")</f>
        <v/>
      </c>
      <c r="BS123" s="105" t="str">
        <f>IF(A123&lt;&gt;"",COUNTIFS('QA Log'!D:D,A123,'QA Log'!M:M,"Vignette",'QA Log'!L:L,"Exit Interview 2",'QA Log'!Z:Z,"Approved"),"")</f>
        <v/>
      </c>
      <c r="BT123" s="102" t="str">
        <f>IF(
  A123="","",
  SUM(
    COUNTIFS('QA Log'!D:D,A123,'QA Log'!M:M,"Vignette",'QA Log'!Z:Z,"Rejected",'QA Log'!L:L,"*Exit Interview 1*"),
    COUNTIFS('QA Log'!D:D,A123,'QA Log'!M:M,"Vignette",'QA Log'!Z:Z,"Rejected",'QA Log'!L:L,"*Exit Interview 2*")
  )
)</f>
        <v/>
      </c>
      <c r="BU123" s="107" t="str">
        <f t="shared" si="13"/>
        <v/>
      </c>
      <c r="BV123" s="102" t="str">
        <f t="shared" si="14"/>
        <v/>
      </c>
      <c r="BW123" s="102" t="str">
        <f t="shared" si="15"/>
        <v/>
      </c>
      <c r="BX123" s="102" t="str">
        <f t="shared" si="16"/>
        <v/>
      </c>
      <c r="BY123" s="102" t="str">
        <f t="shared" si="17"/>
        <v/>
      </c>
      <c r="BZ123" s="107" t="str">
        <f t="shared" si="18"/>
        <v/>
      </c>
      <c r="CA123" s="108" t="str">
        <f t="shared" si="19"/>
        <v/>
      </c>
      <c r="CB123" s="108" t="str">
        <f t="shared" si="20"/>
        <v/>
      </c>
      <c r="CC123" s="109" t="str">
        <f t="shared" si="21"/>
        <v/>
      </c>
      <c r="CD123" s="108" t="str">
        <f t="shared" si="22"/>
        <v/>
      </c>
      <c r="CE123" s="108" t="str">
        <f t="shared" si="23"/>
        <v/>
      </c>
      <c r="CF123" s="109" t="str">
        <f t="shared" si="24"/>
        <v/>
      </c>
      <c r="CG123" s="110" t="str">
        <f t="shared" si="25"/>
        <v/>
      </c>
      <c r="CH123" s="111"/>
    </row>
    <row r="124" spans="1:86" ht="12.75">
      <c r="A124" s="101"/>
      <c r="B124" s="102" t="e">
        <f t="array" aca="1" ref="B124" ca="1">_xludf.XLOOKUP(A124,'QA Log'!D:D,'QA Log'!E:E,"")</f>
        <v>#NAME?</v>
      </c>
      <c r="C124" s="102" t="e">
        <f t="array" aca="1" ref="C124" ca="1">_xludf.XLOOKUP(A124,'QA Log'!D:D,'QA Log'!F:F,"")</f>
        <v>#NAME?</v>
      </c>
      <c r="D124" s="102" t="e">
        <f t="array" aca="1" ref="D124" ca="1">_xludf.XLOOKUP(A124,'QA Log'!D:D,'QA Log'!H:H,"")</f>
        <v>#NAME?</v>
      </c>
      <c r="E124" s="102" t="e">
        <f t="array" aca="1" ref="E124" ca="1">_xludf.XLOOKUP(A124,'QA Log'!D:D,'QA Log'!G:G,"")</f>
        <v>#NAME?</v>
      </c>
      <c r="F124" s="103"/>
      <c r="G124" s="104"/>
      <c r="H124" s="104"/>
      <c r="I124" s="103" t="str">
        <f t="shared" si="0"/>
        <v/>
      </c>
      <c r="J124" s="102" t="str">
        <f>IF(A124="","",SUM(
COUNTIFS('QA Log'!D:D,A124,'QA Log'!M:M,"QQC",'QA Log'!L:L,"*1. General Management*"),
COUNTIFS('QA Log'!D:D,A124,'QA Log'!M:M,"QQC",'QA Log'!L:L,"*3. Curative Consultation (OPD)*"),
COUNTIFS('QA Log'!D:D,A124,'QA Log'!M:M,"QQC",'QA Log'!L:L,"*5. Laboratory*"),
COUNTIFS('QA Log'!D:D,A124,'QA Log'!M:M,"QQC",'QA Log'!L:L,"*6. Essential Medicine Management*"),
COUNTIFS('QA Log'!D:D,A124,'QA Log'!M:M,"QQC",'QA Log'!L:L,"*7. Tracer Medicine*"),
COUNTIFS('QA Log'!D:D,A124,'QA Log'!M:M,"QQC",'QA Log'!L:L,"*11. Additional Questions*")))</f>
        <v/>
      </c>
      <c r="K124" s="102" t="str">
        <f>IF(A124="","",SUM(
COUNTIFS('QA Log'!D:D,A124,'QA Log'!M:M,"QQC",'QA Log'!Z:Z,"Approved",'QA Log'!L:L,"*1. General Management*"),
COUNTIFS('QA Log'!D:D,A124,'QA Log'!M:M,"QQC",'QA Log'!Z:Z,"Approved",'QA Log'!L:L,"*3. Curative Consultation (OPD)*"),
COUNTIFS('QA Log'!D:D,A124,'QA Log'!M:M,"QQC",'QA Log'!Z:Z,"Approved",'QA Log'!L:L,"*5. Laboratory*"),
COUNTIFS('QA Log'!D:D,A124,'QA Log'!M:M,"QQC",'QA Log'!Z:Z,"Approved",'QA Log'!L:L,"*6. Essential Medicine Management*"),
COUNTIFS('QA Log'!D:D,A124,'QA Log'!M:M,"QQC",'QA Log'!Z:Z,"Approved",'QA Log'!L:L,"*7. Tracer Medicine*"),
COUNTIFS('QA Log'!D:D,A124,'QA Log'!M:M,"QQC",'QA Log'!Z:Z,"Approved",'QA Log'!L:L,"*11. Additional Questions*")))</f>
        <v/>
      </c>
      <c r="L124" s="105" t="str">
        <f>IF(A124&lt;&gt;"",COUNTIFS('QA Log'!D:D,A124,'QA Log'!M:M,"QQC",'QA Log'!L:L,"1. General Management",'QA Log'!Z:Z,"Approved"),"")</f>
        <v/>
      </c>
      <c r="M124" s="105" t="str">
        <f>IF(A124&lt;&gt;"",COUNTIFS('QA Log'!D:D,A124,'QA Log'!M:M,"QQC",'QA Log'!L:L,"3. Curative Consultation (OPD)",'QA Log'!Z:Z,"Approved"),"")</f>
        <v/>
      </c>
      <c r="N124" s="105" t="str">
        <f>IF(A124&lt;&gt;"",COUNTIFS('QA Log'!D:D,A124,'QA Log'!M:M,"QQC",'QA Log'!L:L,"5. Laboratory",'QA Log'!Z:Z,"Approved"),"")</f>
        <v/>
      </c>
      <c r="O124" s="105" t="str">
        <f>IF(A124&lt;&gt;"",COUNTIFS('QA Log'!D:D,A124,'QA Log'!M:M,"QQC",'QA Log'!L:L,"6. Essential Medicine Management",'QA Log'!Z:Z,"Approved"),"")</f>
        <v/>
      </c>
      <c r="P124" s="105" t="str">
        <f>IF(A124&lt;&gt;"",COUNTIFS('QA Log'!D:D,A124,'QA Log'!M:M,"QQC",'QA Log'!L:L,"7. Tracer Medicine",'QA Log'!Z:Z,"Approved"),"")</f>
        <v/>
      </c>
      <c r="Q124" s="105" t="str">
        <f>IF(A124&lt;&gt;"",COUNTIFS('QA Log'!D:D,A124,'QA Log'!M:M,"QQC",'QA Log'!L:L,"11. Additional Questions",'QA Log'!Z:Z,"Approved"),"")</f>
        <v/>
      </c>
      <c r="R124" s="102" t="str">
        <f>IF(A124="","",SUM(
COUNTIFS('QA Log'!D:D,A124,'QA Log'!M:M,"QQC",'QA Log'!Z:Z,"Rejected",'QA Log'!L:L,"*8. Maternity*"),
COUNTIFS('QA Log'!D:D,A124,'QA Log'!M:M,"QQC",'QA Log'!Z:Z,"Rejected",'QA Log'!L:L,"*EPI*"),
COUNTIFS('QA Log'!D:D,A124,'QA Log'!M:M,"QQC",'QA Log'!Z:Z,"Rejected",'QA Log'!L:L,"*10. Antenatal Care (ANC)*"),
COUNTIFS('QA Log'!D:D,A124,'QA Log'!M:M,"QQC",'QA Log'!Z:Z,"Rejected",'QA Log'!L:L,"*2. Hygiene and Sterilization*"),
COUNTIFS('QA Log'!D:D,A124,'QA Log'!M:M,"QQC",'QA Log'!Z:Z,"Rejected",'QA Log'!L:L,"*Family Planning*")))</f>
        <v/>
      </c>
      <c r="S124" s="106" t="str">
        <f t="shared" si="1"/>
        <v/>
      </c>
      <c r="T124" s="102" t="str">
        <f t="shared" si="2"/>
        <v/>
      </c>
      <c r="U124" s="102" t="str">
        <f>IF(A124="","",
SUM(
COUNTIFS('QA Log'!D:D,A124,'QA Log'!M:M,"QQC",'QA Log'!L:L,"*8. Maternity*"),
COUNTIFS('QA Log'!D:D,A124,'QA Log'!M:M,"QQC",'QA Log'!L:L,"*9. EPI and Pre-school Consultation*"),
COUNTIFS('QA Log'!D:D,A124,'QA Log'!M:M,"QQC",'QA Log'!L:L,"*10. Antenatal Care (ANC)*"),
COUNTIFS('QA Log'!D:D,A124,'QA Log'!M:M,"QQC",'QA Log'!L:L,"*2. Hygiene and Sterilization*"),
COUNTIFS('QA Log'!D:D,A124,'QA Log'!M:M,"QQC",'QA Log'!L:L,"*4. Family Planning*")
))</f>
        <v/>
      </c>
      <c r="V124" s="102" t="str">
        <f>IF(A124="","",
SUM(
COUNTIFS('QA Log'!D:D,A124,'QA Log'!M:M,"QQC",'QA Log'!Z:Z,"Approved",'QA Log'!L:L,"*8. Maternity*"),
COUNTIFS('QA Log'!D:D,A124,'QA Log'!M:M,"QQC",'QA Log'!Z:Z,"Approved",'QA Log'!L:L,"*9. EPI and Pre-school Consultation*"),
COUNTIFS('QA Log'!D:D,A124,'QA Log'!M:M,"QQC",'QA Log'!Z:Z,"Approved",'QA Log'!L:L,"*10. Antenatal Care (ANC)*"),
COUNTIFS('QA Log'!D:D,A124,'QA Log'!M:M,"QQC",'QA Log'!Z:Z,"Approved",'QA Log'!L:L,"*2. Hygiene and Sterilization*"),
COUNTIFS('QA Log'!D:D,A124,'QA Log'!M:M,"QQC",'QA Log'!Z:Z,"Approved",'QA Log'!L:L,"*4. Family Planning*")
))</f>
        <v/>
      </c>
      <c r="W124" s="105" t="str">
        <f>IF(A124&lt;&gt;"",COUNTIFS('QA Log'!D:D,A124,'QA Log'!M:M,"QQC",'QA Log'!L:L,"8. Maternity",'QA Log'!Z:Z,"Approved"),"")</f>
        <v/>
      </c>
      <c r="X124" s="105" t="str">
        <f>IF(A124&lt;&gt;"",COUNTIFS('QA Log'!D:D,A124,'QA Log'!M:M,"QQC",'QA Log'!L:L,"9. EPI and Pre-school Consultation",'QA Log'!Z:Z,"Approved"),"")</f>
        <v/>
      </c>
      <c r="Y124" s="105" t="str">
        <f>IF(A124&lt;&gt;"",COUNTIFS('QA Log'!D:D,A124,'QA Log'!M:M,"QQC",'QA Log'!L:L,"10. Antenatal Care (ANC)",'QA Log'!Z:Z,"Approved"),"")</f>
        <v/>
      </c>
      <c r="Z124" s="105" t="str">
        <f>IF(A124&lt;&gt;"",COUNTIFS('QA Log'!D:D,A124,'QA Log'!M:M,"QQC",'QA Log'!L:L,"2. Hygiene and Sterilization",'QA Log'!Z:Z,"Approved"),"")</f>
        <v/>
      </c>
      <c r="AA124" s="105" t="str">
        <f>IF(A124&lt;&gt;"",COUNTIFS('QA Log'!D:D,A124,'QA Log'!M:M,"QQC",'QA Log'!L:L,"4. Family Planning",'QA Log'!Z:Z,"Approved"),"")</f>
        <v/>
      </c>
      <c r="AB124" s="102" t="str">
        <f>IF(A124="","",
SUM(
COUNTIFS('QA Log'!D:D,A124,'QA Log'!M:M,"QQC",'QA Log'!Z:Z,"Rejected",'QA Log'!L:L,"*8. Maternity*"),
COUNTIFS('QA Log'!D:D,A124,'QA Log'!M:M,"QQC",'QA Log'!Z:Z,"Rejected",'QA Log'!L:L,"*9. EPI and Pre-school Consultation*"),
COUNTIFS('QA Log'!D:D,A124,'QA Log'!M:M,"QQC",'QA Log'!Z:Z,"Rejected",'QA Log'!L:L,"*10. Antenatal Care (ANC)*"),
COUNTIFS('QA Log'!D:D,A124,'QA Log'!M:M,"QQC",'QA Log'!Z:Z,"Rejected",'QA Log'!L:L,"*2. Hygiene and Sterilization*"),
COUNTIFS('QA Log'!D:D,A124,'QA Log'!M:M,"QQC",'QA Log'!Z:Z,"Rejected",'QA Log'!L:L,"*4. Family Planning*")
))</f>
        <v/>
      </c>
      <c r="AC124" s="102" t="str">
        <f t="shared" si="3"/>
        <v/>
      </c>
      <c r="AD124" s="103" t="str">
        <f t="shared" si="4"/>
        <v/>
      </c>
      <c r="AE124" s="102" t="str">
        <f>IF(A124="","",
SUM(
COUNTIFS('QA Log'!D:D,A124,'QA Log'!M:M,"Data Verification",'QA Log'!L:L,"*Medicine (section 2)*"),
COUNTIFS('QA Log'!D:D,A124,'QA Log'!M:M,"Data Verification",'QA Log'!L:L,"*Lab Testing Availability*"),
COUNTIFS('QA Log'!D:D,A124,'QA Log'!M:M,"Data Verification",'QA Log'!L:L,"*Other than P4P (section 6)*"),
COUNTIFS('QA Log'!D:D,A124,'QA Log'!M:M,"Data Verification",'QA Log'!L:L,"*Hospital Governance*")
))</f>
        <v/>
      </c>
      <c r="AF124" s="102" t="str">
        <f>IF(A124="","",
SUM(
COUNTIFS('QA Log'!D:D,A124,'QA Log'!M:M,"Data Verification",'QA Log'!Z:Z,"Approved",'QA Log'!L:L,"*Medicine (section 2)*"),
COUNTIFS('QA Log'!D:D,A124,'QA Log'!M:M,"Data Verification",'QA Log'!Z:Z,"Approved",'QA Log'!L:L,"*Lab Testing Availability*"),
COUNTIFS('QA Log'!D:D,A124,'QA Log'!M:M,"Data Verification",'QA Log'!Z:Z,"Approved",'QA Log'!L:L,"*Other than P4P (section 6)*"),
COUNTIFS('QA Log'!D:D,A124,'QA Log'!M:M,"Data Verification",'QA Log'!Z:Z,"Approved",'QA Log'!L:L,"*Hospital Governance*")
))</f>
        <v/>
      </c>
      <c r="AG124" s="105" t="str">
        <f>IF(A124&lt;&gt;"",COUNTIFS('QA Log'!D:D,A124,'QA Log'!M:M,"Data Verification",'QA Log'!L:L,"Medicine (section 2)",'QA Log'!Z:Z,"Approved"),"")</f>
        <v/>
      </c>
      <c r="AH124" s="105" t="str">
        <f>IF(A124&lt;&gt;"",COUNTIFS('QA Log'!D:D,A124,'QA Log'!M:M,"Data Verification",'QA Log'!L:L,"Lab Testing Availability",'QA Log'!Z:Z,"Approved"),"")</f>
        <v/>
      </c>
      <c r="AI124" s="105" t="str">
        <f>IF(A124&lt;&gt;"",COUNTIFS('QA Log'!D:D,A124,'QA Log'!M:M,"Data Verification",'QA Log'!L:L,"Other than P4P (section 6)",'QA Log'!Z:Z,"Approved"),"")</f>
        <v/>
      </c>
      <c r="AJ124" s="105" t="str">
        <f>IF(A124&lt;&gt;"",COUNTIFS('QA Log'!D:D,A124,'QA Log'!M:M,"Data Verification",'QA Log'!L:L,"Hospital Governance",'QA Log'!Z:Z,"Approved"),"")</f>
        <v/>
      </c>
      <c r="AK124" s="102" t="str">
        <f>IF(A124="","",
SUM(
COUNTIFS('QA Log'!D:D,A124,'QA Log'!M:M,"Data Verification",'QA Log'!Z:Z,"Rejected",'QA Log'!L:L,"*Medicine (section 2)*"),
COUNTIFS('QA Log'!D:D,A124,'QA Log'!M:M,"Data Verification",'QA Log'!Z:Z,"Rejected",'QA Log'!L:L,"*Lab Testing Availability*"),
COUNTIFS('QA Log'!D:D,A124,'QA Log'!M:M,"Data Verification",'QA Log'!Z:Z,"Rejected",'QA Log'!L:L,"*Other than P4P (section 6)*"),
COUNTIFS('QA Log'!D:D,A124,'QA Log'!M:M,"Data Verification",'QA Log'!Z:Z,"Rejected",'QA Log'!L:L,"*Hospital Governance*")
))</f>
        <v/>
      </c>
      <c r="AL124" s="106" t="str">
        <f t="shared" si="5"/>
        <v/>
      </c>
      <c r="AM124" s="102" t="str">
        <f t="shared" si="6"/>
        <v/>
      </c>
      <c r="AN124" s="102" t="str">
        <f>IF(A124="","",
SUM(
COUNTIFS('QA Log'!D:D,A124,'QA Log'!M:M,"Data Verification",'QA Log'!L:L,"*Personnel (section 1)*"),
COUNTIFS('QA Log'!D:D,A124,'QA Log'!M:M,"Data Verification",'QA Log'!L:L,"*Consumable (section 3)*"),
COUNTIFS('QA Log'!D:D,A124,'QA Log'!M:M,"Data Verification",'QA Log'!L:L,"*Equipments (section 4)*")
))</f>
        <v/>
      </c>
      <c r="AO124" s="102" t="str">
        <f>IF(A124="","",
SUM(
COUNTIFS('QA Log'!D:D,A124,'QA Log'!M:M,"Data Verification",'QA Log'!Z:Z,"Approved",'QA Log'!L:L,"*Personnel (section 1)*"),
COUNTIFS('QA Log'!D:D,A124,'QA Log'!M:M,"Data Verification",'QA Log'!Z:Z,"Approved",'QA Log'!L:L,"*Consumable (section 3)*"),
COUNTIFS('QA Log'!D:D,A124,'QA Log'!M:M,"Data Verification",'QA Log'!Z:Z,"Approved",'QA Log'!L:L,"*Equipments (section 4)*")
))</f>
        <v/>
      </c>
      <c r="AP124" s="105" t="str">
        <f>IF(A124&lt;&gt;"",COUNTIFS('QA Log'!D:D,A124,'QA Log'!M:M,"Data Verification",'QA Log'!L:L,"Personnel (section 1)",'QA Log'!Z:Z,"Approved"),"")</f>
        <v/>
      </c>
      <c r="AQ124" s="105" t="str">
        <f>IF(A124&lt;&gt;"",COUNTIFS('QA Log'!D:D,A124,'QA Log'!M:M,"Data Verification",'QA Log'!L:L,"Consumable (section 3)",'QA Log'!Z:Z,"Approved"),"")</f>
        <v/>
      </c>
      <c r="AR124" s="105" t="str">
        <f>IF(A124&lt;&gt;"",COUNTIFS('QA Log'!D:D,A124,'QA Log'!M:M,"Data Verification",'QA Log'!L:L,"Equipments (section 4)",'QA Log'!Z:Z,"Approved"),"")</f>
        <v/>
      </c>
      <c r="AS124" s="102" t="str">
        <f>IF(A124="","",
SUM(
COUNTIFS('QA Log'!D:D,A124,'QA Log'!M:M,"Data Verification",'QA Log'!Z:Z,"Rejected",'QA Log'!L:L,"*Personnel (section 1)*"),
COUNTIFS('QA Log'!D:D,A124,'QA Log'!M:M,"Data Verification",'QA Log'!Z:Z,"Rejected",'QA Log'!L:L,"*Consumable (section 3)*"),
COUNTIFS('QA Log'!D:D,A124,'QA Log'!M:M,"Data Verification",'QA Log'!Z:Z,"Rejected",'QA Log'!L:L,"*Equipments (section 4)*")
))</f>
        <v/>
      </c>
      <c r="AT124" s="102" t="str">
        <f t="shared" si="7"/>
        <v/>
      </c>
      <c r="AU124" s="103" t="str">
        <f t="shared" si="8"/>
        <v/>
      </c>
      <c r="AV124" s="102" t="str">
        <f>IF(A124="","",SUM(
COUNTIFS('QA Log'!D:D,A124,'QA Log'!M:M,"Vignette",'QA Log'!L:L,"*Vignette [1] Respiratory Infection: Pneumonia*"),
COUNTIFS('QA Log'!D:D,A124,'QA Log'!M:M,"Vignette",'QA Log'!L:L,"*Vignette [2]: Diarrhea with Cat B dehydration*"),
COUNTIFS('QA Log'!D:D,A124,'QA Log'!M:M,"Vignette",'QA Log'!L:L,"*Vignette [3] Growth Monitoring and Promotion*"),
COUNTIFS('QA Log'!D:D,A124,'QA Log'!M:M,"Vignette",'QA Log'!L:L,"*Vignette [4]: The management of presumptive TB patient*")
)
)</f>
        <v/>
      </c>
      <c r="AW124" s="102" t="str">
        <f>IF(
  A124="","",
  SUM(
    COUNTIFS('QA Log'!D:D,A124,'QA Log'!M:M,"Vignette",'QA Log'!Z:Z,"Approved",'QA Log'!L:L,"*Vignette [1] Respiratory Infection: Pneumonia*"),
    COUNTIFS('QA Log'!D:D,A124,'QA Log'!M:M,"Vignette",'QA Log'!Z:Z,"Approved",'QA Log'!L:L,"*Vignette [2]: Diarrhea with Cat B dehydration*"),
    COUNTIFS('QA Log'!D:D,A124,'QA Log'!M:M,"Vignette",'QA Log'!Z:Z,"Approved",'QA Log'!L:L,"*Vignette [3] Growth Monitoring and Promotion*"),
    COUNTIFS('QA Log'!D:D,A124,'QA Log'!M:M,"Vignette",'QA Log'!Z:Z,"Approved",'QA Log'!L:L,"*Vignette [4]: The management of presumptive TB patient*")
  )
)</f>
        <v/>
      </c>
      <c r="AX124" s="105" t="str">
        <f>IF(A124&lt;&gt;"",COUNTIFS('QA Log'!D:D,A124,'QA Log'!M:M,"Vignette",'QA Log'!L:L,"Vignette [1] Respiratory Infection: Pneumonia",'QA Log'!Z:Z,"Approved"),"")</f>
        <v/>
      </c>
      <c r="AY124" s="105" t="str">
        <f>IF(A124&lt;&gt;"",COUNTIFS('QA Log'!D:D,A124,'QA Log'!M:M,"Vignette",'QA Log'!L:L,"Vignette [2]: Diarrhea with Cat B dehydration",'QA Log'!Z:Z,"Approved"),"")</f>
        <v/>
      </c>
      <c r="AZ124" s="105" t="str">
        <f>IF(A124&lt;&gt;"",COUNTIFS('QA Log'!D:D,A124,'QA Log'!M:M,"Vignette",'QA Log'!L:L,"Vignette [3] Growth Monitoring and Promotion",'QA Log'!Z:Z,"Approved"),"")</f>
        <v/>
      </c>
      <c r="BA124" s="105" t="str">
        <f>IF(A124&lt;&gt;"",COUNTIFS('QA Log'!D:D,A124,'QA Log'!M:M,"Vignette",'QA Log'!L:L,"Vignette [4]: The management of presumptive TB patient",'QA Log'!Z:Z,"Approved"),"")</f>
        <v/>
      </c>
      <c r="BB124" s="102" t="str">
        <f>IF(A124="","",
  SUM(
    COUNTIFS('QA Log'!D:D,A124,'QA Log'!M:M,"Vignette",'QA Log'!Z:Z,"Rejected",'QA Log'!L:L,"*Vignette [1] Respiratory Infection: Pneumonia*"),
    COUNTIFS('QA Log'!D:D,A124,'QA Log'!M:M,"Vignette",'QA Log'!Z:Z,"Rejected",'QA Log'!L:L,"*Vignette [2]: Diarrhea with Cat B dehydration*"),
    COUNTIFS('QA Log'!D:D,A124,'QA Log'!M:M,"Vignette",'QA Log'!Z:Z,"Rejected",'QA Log'!L:L,"*Vignette [3] Growth Monitoring and Promotion*"),
    COUNTIFS('QA Log'!D:D,A124,'QA Log'!M:M,"Vignette",'QA Log'!Z:Z,"Rejected",'QA Log'!L:L,"*Vignette [4]: The management of presumptive TB patient*")
  )
)</f>
        <v/>
      </c>
      <c r="BC124" s="107" t="str">
        <f t="shared" si="9"/>
        <v/>
      </c>
      <c r="BD124" s="103" t="str">
        <f t="shared" si="10"/>
        <v/>
      </c>
      <c r="BE124" s="102" t="str">
        <f>IF(A124="","",SUM(
COUNTIFS('QA Log'!D:D,A124,'QA Log'!M:M,"Vignette",'QA Log'!L:L,"*Vignette [5] Labor*"),
COUNTIFS('QA Log'!D:D,A124,'QA Log'!M:M,"Vignette",'QA Log'!L:L,"*Vignette [6] PNC pre Discharge*"),
COUNTIFS('QA Log'!D:D,A124,'QA Log'!M:M,"Vignette",'QA Log'!L:L,"*Vignette [7] First ANC Visit*"),
COUNTIFS('QA Log'!D:D,A124,'QA Log'!M:M,"Vignette",'QA Log'!L:L,"*Vignette [8] Birth Spacing/ Family Planning :  FP Counselling*"),
COUNTIFS('QA Log'!D:D,A124,'QA Log'!M:M,"Vignette",'QA Log'!L:L,"*Vignette [9] Birth Spacing: Change FP method to Injectable*"),
COUNTIFS('QA Log'!D:D,A124,'QA Log'!M:M,"Vignette",'QA Log'!L:L,"*Vignette [10] Post Partum Haemorrhage - Atonic Uterus at Health Centre*"),
)
)</f>
        <v/>
      </c>
      <c r="BF124" s="102" t="str">
        <f>IF(A124="","",
  SUM(
    COUNTIFS('QA Log'!D:D,A124,'QA Log'!M:M,"Vignette",'QA Log'!Z:Z,"Approved",'QA Log'!L:L,"*Vignette [5] Labor*"),
    COUNTIFS('QA Log'!D:D,A124,'QA Log'!M:M,"Vignette",'QA Log'!Z:Z,"Approved",'QA Log'!L:L,"*Vignette [6] PNC pre Discharge*"),
    COUNTIFS('QA Log'!D:D,A124,'QA Log'!M:M,"Vignette",'QA Log'!Z:Z,"Approved",'QA Log'!L:L,"*Vignette [7] First ANC Visit*"),
    COUNTIFS('QA Log'!D:D,A124,'QA Log'!M:M,"Vignette",'QA Log'!Z:Z,"Approved",'QA Log'!L:L,"*Vignette [8] Birth Spacing/ Family Planning :  FP Counselling*"),
    COUNTIFS('QA Log'!D:D,A124,'QA Log'!M:M,"Vignette",'QA Log'!Z:Z,"Approved",'QA Log'!L:L,"*Vignette [9] Birth Spacing: Change FP method to Injectable*"),
    COUNTIFS('QA Log'!D:D,A124,'QA Log'!M:M,"Vignette",'QA Log'!Z:Z,"Approved",'QA Log'!L:L,"*Vignette [10] Post Partum Haemorrhage - Atonic Uterus at Health Centre*")
  )
)</f>
        <v/>
      </c>
      <c r="BG124" s="105" t="str">
        <f>IF(A124&lt;&gt;"",COUNTIFS('QA Log'!D:D,A124,'QA Log'!M:M,"Vignette",'QA Log'!L:L,"Vignette [5] Labor",'QA Log'!Z:Z,"Approved"),"")</f>
        <v/>
      </c>
      <c r="BH124" s="105" t="str">
        <f>IF(A124&lt;&gt;"",COUNTIFS('QA Log'!D:D,A124,'QA Log'!M:M,"Vignette",'QA Log'!L:L,"Vignette [6] PNC pre Discharge",'QA Log'!Z:Z,"Approved"),"")</f>
        <v/>
      </c>
      <c r="BI124" s="105" t="str">
        <f>IF(A124&lt;&gt;"",COUNTIFS('QA Log'!D:D,A124,'QA Log'!M:M,"Vignette",'QA Log'!L:L,"Vignette [7] First ANC Visit",'QA Log'!Z:Z,"Approved"),"")</f>
        <v/>
      </c>
      <c r="BJ124" s="105" t="str">
        <f>IF(A124&lt;&gt;"",COUNTIFS('QA Log'!D:D,A124,'QA Log'!M:M,"Vignette",'QA Log'!L:L,"Vignette [8] Birth Spacing/ Family Planning :  FP Counselling",'QA Log'!Z:Z,"Approved"),"")</f>
        <v/>
      </c>
      <c r="BK124" s="105" t="str">
        <f>IF(A124&lt;&gt;"",COUNTIFS('QA Log'!D:D,A124,'QA Log'!M:M,"Vignette",'QA Log'!L:L,"Vignette [9] Birth Spacing: Change FP method to Injectable",'QA Log'!Z:Z,"Approved"),"")</f>
        <v/>
      </c>
      <c r="BL124" s="105" t="str">
        <f>IF(A124&lt;&gt;"",COUNTIFS('QA Log'!D:D,A124,'QA Log'!M:M,"Vignette",'QA Log'!L:L,"Vignette [10] Post Partum Haemorrhage - Atonic Uterus at Health Centre",'QA Log'!Z:Z,"Approved"),"")</f>
        <v/>
      </c>
      <c r="BM124" s="102" t="str">
        <f>IF(A124="","",SUM(
    COUNTIFS('QA Log'!D:D,A124,'QA Log'!M:M,"Vignette",'QA Log'!Z:Z,"Rejected",'QA Log'!L:L,"*Vignette [5] Labor*"),
    COUNTIFS('QA Log'!D:D,A124,'QA Log'!M:M,"Vignette",'QA Log'!Z:Z,"Rejected",'QA Log'!L:L,"*Vignette [6] PNC pre Discharge*"),
    COUNTIFS('QA Log'!D:D,A124,'QA Log'!M:M,"Vignette",'QA Log'!Z:Z,"Rejected",'QA Log'!L:L,"*Vignette [7] First ANC Visit*"),
    COUNTIFS('QA Log'!D:D,A124,'QA Log'!M:M,"Vignette",'QA Log'!Z:Z,"Rejected",'QA Log'!L:L,"*Vignette [8] Birth Spacing/ Family Planning :  FP Counselling*"),
    COUNTIFS('QA Log'!D:D,A124,'QA Log'!M:M,"Vignette",'QA Log'!Z:Z,"Rejected",'QA Log'!L:L,"*Vignette [9] Birth Spacing: Change FP method to Injectable*"),
    COUNTIFS('QA Log'!D:D,A124,'QA Log'!M:M,"Vignette",'QA Log'!Z:Z,"Rejected",'QA Log'!L:L,"*Vignette [10] Post Partum Haemorrhage - Atonic Uterus at Health Centre*")
  )
)</f>
        <v/>
      </c>
      <c r="BN124" s="107" t="str">
        <f t="shared" si="11"/>
        <v/>
      </c>
      <c r="BO124" s="103" t="str">
        <f t="shared" si="12"/>
        <v/>
      </c>
      <c r="BP124" s="102" t="str">
        <f>IF(A124="","",SUM(
COUNTIFS('QA Log'!D:D,A124,'QA Log'!M:M,"Vignette",'QA Log'!L:L,"*Exit Interview 1*"),
COUNTIFS('QA Log'!D:D,A124,'QA Log'!M:M,"Vignette",'QA Log'!L:L,"*Exit Interview 2*"),
)
)</f>
        <v/>
      </c>
      <c r="BQ124" s="102" t="str">
        <f>IF(
  A124="","",
  SUM(
    COUNTIFS('QA Log'!D:D,A124,'QA Log'!M:M,"Vignette",'QA Log'!Z:Z,"Approved",'QA Log'!L:L,"*Exit Interview 1*"),
    COUNTIFS('QA Log'!D:D,A124,'QA Log'!M:M,"Vignette",'QA Log'!Z:Z,"Approved",'QA Log'!L:L,"*Exit Interview 2*")
  )
)</f>
        <v/>
      </c>
      <c r="BR124" s="105" t="str">
        <f>IF(A124&lt;&gt;"",COUNTIFS('QA Log'!D:D,A124,'QA Log'!M:M,"Vignette",'QA Log'!L:L,"Exit Interview 1",'QA Log'!Z:Z,"Approved"),"")</f>
        <v/>
      </c>
      <c r="BS124" s="105" t="str">
        <f>IF(A124&lt;&gt;"",COUNTIFS('QA Log'!D:D,A124,'QA Log'!M:M,"Vignette",'QA Log'!L:L,"Exit Interview 2",'QA Log'!Z:Z,"Approved"),"")</f>
        <v/>
      </c>
      <c r="BT124" s="102" t="str">
        <f>IF(
  A124="","",
  SUM(
    COUNTIFS('QA Log'!D:D,A124,'QA Log'!M:M,"Vignette",'QA Log'!Z:Z,"Rejected",'QA Log'!L:L,"*Exit Interview 1*"),
    COUNTIFS('QA Log'!D:D,A124,'QA Log'!M:M,"Vignette",'QA Log'!Z:Z,"Rejected",'QA Log'!L:L,"*Exit Interview 2*")
  )
)</f>
        <v/>
      </c>
      <c r="BU124" s="107" t="str">
        <f t="shared" si="13"/>
        <v/>
      </c>
      <c r="BV124" s="102" t="str">
        <f t="shared" si="14"/>
        <v/>
      </c>
      <c r="BW124" s="102" t="str">
        <f t="shared" si="15"/>
        <v/>
      </c>
      <c r="BX124" s="102" t="str">
        <f t="shared" si="16"/>
        <v/>
      </c>
      <c r="BY124" s="102" t="str">
        <f t="shared" si="17"/>
        <v/>
      </c>
      <c r="BZ124" s="107" t="str">
        <f t="shared" si="18"/>
        <v/>
      </c>
      <c r="CA124" s="108" t="str">
        <f t="shared" si="19"/>
        <v/>
      </c>
      <c r="CB124" s="108" t="str">
        <f t="shared" si="20"/>
        <v/>
      </c>
      <c r="CC124" s="109" t="str">
        <f t="shared" si="21"/>
        <v/>
      </c>
      <c r="CD124" s="108" t="str">
        <f t="shared" si="22"/>
        <v/>
      </c>
      <c r="CE124" s="108" t="str">
        <f t="shared" si="23"/>
        <v/>
      </c>
      <c r="CF124" s="109" t="str">
        <f t="shared" si="24"/>
        <v/>
      </c>
      <c r="CG124" s="110" t="str">
        <f t="shared" si="25"/>
        <v/>
      </c>
      <c r="CH124" s="111"/>
    </row>
    <row r="125" spans="1:86" ht="12.75">
      <c r="A125" s="101"/>
      <c r="B125" s="102" t="e">
        <f t="array" aca="1" ref="B125" ca="1">_xludf.XLOOKUP(A125,'QA Log'!D:D,'QA Log'!E:E,"")</f>
        <v>#NAME?</v>
      </c>
      <c r="C125" s="102" t="e">
        <f t="array" aca="1" ref="C125" ca="1">_xludf.XLOOKUP(A125,'QA Log'!D:D,'QA Log'!F:F,"")</f>
        <v>#NAME?</v>
      </c>
      <c r="D125" s="102" t="e">
        <f t="array" aca="1" ref="D125" ca="1">_xludf.XLOOKUP(A125,'QA Log'!D:D,'QA Log'!H:H,"")</f>
        <v>#NAME?</v>
      </c>
      <c r="E125" s="102" t="e">
        <f t="array" aca="1" ref="E125" ca="1">_xludf.XLOOKUP(A125,'QA Log'!D:D,'QA Log'!G:G,"")</f>
        <v>#NAME?</v>
      </c>
      <c r="F125" s="103"/>
      <c r="G125" s="104"/>
      <c r="H125" s="104"/>
      <c r="I125" s="103" t="str">
        <f t="shared" si="0"/>
        <v/>
      </c>
      <c r="J125" s="102" t="str">
        <f>IF(A125="","",SUM(
COUNTIFS('QA Log'!D:D,A125,'QA Log'!M:M,"QQC",'QA Log'!L:L,"*1. General Management*"),
COUNTIFS('QA Log'!D:D,A125,'QA Log'!M:M,"QQC",'QA Log'!L:L,"*3. Curative Consultation (OPD)*"),
COUNTIFS('QA Log'!D:D,A125,'QA Log'!M:M,"QQC",'QA Log'!L:L,"*5. Laboratory*"),
COUNTIFS('QA Log'!D:D,A125,'QA Log'!M:M,"QQC",'QA Log'!L:L,"*6. Essential Medicine Management*"),
COUNTIFS('QA Log'!D:D,A125,'QA Log'!M:M,"QQC",'QA Log'!L:L,"*7. Tracer Medicine*"),
COUNTIFS('QA Log'!D:D,A125,'QA Log'!M:M,"QQC",'QA Log'!L:L,"*11. Additional Questions*")))</f>
        <v/>
      </c>
      <c r="K125" s="102" t="str">
        <f>IF(A125="","",SUM(
COUNTIFS('QA Log'!D:D,A125,'QA Log'!M:M,"QQC",'QA Log'!Z:Z,"Approved",'QA Log'!L:L,"*1. General Management*"),
COUNTIFS('QA Log'!D:D,A125,'QA Log'!M:M,"QQC",'QA Log'!Z:Z,"Approved",'QA Log'!L:L,"*3. Curative Consultation (OPD)*"),
COUNTIFS('QA Log'!D:D,A125,'QA Log'!M:M,"QQC",'QA Log'!Z:Z,"Approved",'QA Log'!L:L,"*5. Laboratory*"),
COUNTIFS('QA Log'!D:D,A125,'QA Log'!M:M,"QQC",'QA Log'!Z:Z,"Approved",'QA Log'!L:L,"*6. Essential Medicine Management*"),
COUNTIFS('QA Log'!D:D,A125,'QA Log'!M:M,"QQC",'QA Log'!Z:Z,"Approved",'QA Log'!L:L,"*7. Tracer Medicine*"),
COUNTIFS('QA Log'!D:D,A125,'QA Log'!M:M,"QQC",'QA Log'!Z:Z,"Approved",'QA Log'!L:L,"*11. Additional Questions*")))</f>
        <v/>
      </c>
      <c r="L125" s="105" t="str">
        <f>IF(A125&lt;&gt;"",COUNTIFS('QA Log'!D:D,A125,'QA Log'!M:M,"QQC",'QA Log'!L:L,"1. General Management",'QA Log'!Z:Z,"Approved"),"")</f>
        <v/>
      </c>
      <c r="M125" s="105" t="str">
        <f>IF(A125&lt;&gt;"",COUNTIFS('QA Log'!D:D,A125,'QA Log'!M:M,"QQC",'QA Log'!L:L,"3. Curative Consultation (OPD)",'QA Log'!Z:Z,"Approved"),"")</f>
        <v/>
      </c>
      <c r="N125" s="105" t="str">
        <f>IF(A125&lt;&gt;"",COUNTIFS('QA Log'!D:D,A125,'QA Log'!M:M,"QQC",'QA Log'!L:L,"5. Laboratory",'QA Log'!Z:Z,"Approved"),"")</f>
        <v/>
      </c>
      <c r="O125" s="105" t="str">
        <f>IF(A125&lt;&gt;"",COUNTIFS('QA Log'!D:D,A125,'QA Log'!M:M,"QQC",'QA Log'!L:L,"6. Essential Medicine Management",'QA Log'!Z:Z,"Approved"),"")</f>
        <v/>
      </c>
      <c r="P125" s="105" t="str">
        <f>IF(A125&lt;&gt;"",COUNTIFS('QA Log'!D:D,A125,'QA Log'!M:M,"QQC",'QA Log'!L:L,"7. Tracer Medicine",'QA Log'!Z:Z,"Approved"),"")</f>
        <v/>
      </c>
      <c r="Q125" s="105" t="str">
        <f>IF(A125&lt;&gt;"",COUNTIFS('QA Log'!D:D,A125,'QA Log'!M:M,"QQC",'QA Log'!L:L,"11. Additional Questions",'QA Log'!Z:Z,"Approved"),"")</f>
        <v/>
      </c>
      <c r="R125" s="102" t="str">
        <f>IF(A125="","",SUM(
COUNTIFS('QA Log'!D:D,A125,'QA Log'!M:M,"QQC",'QA Log'!Z:Z,"Rejected",'QA Log'!L:L,"*8. Maternity*"),
COUNTIFS('QA Log'!D:D,A125,'QA Log'!M:M,"QQC",'QA Log'!Z:Z,"Rejected",'QA Log'!L:L,"*EPI*"),
COUNTIFS('QA Log'!D:D,A125,'QA Log'!M:M,"QQC",'QA Log'!Z:Z,"Rejected",'QA Log'!L:L,"*10. Antenatal Care (ANC)*"),
COUNTIFS('QA Log'!D:D,A125,'QA Log'!M:M,"QQC",'QA Log'!Z:Z,"Rejected",'QA Log'!L:L,"*2. Hygiene and Sterilization*"),
COUNTIFS('QA Log'!D:D,A125,'QA Log'!M:M,"QQC",'QA Log'!Z:Z,"Rejected",'QA Log'!L:L,"*Family Planning*")))</f>
        <v/>
      </c>
      <c r="S125" s="106" t="str">
        <f t="shared" si="1"/>
        <v/>
      </c>
      <c r="T125" s="102" t="str">
        <f t="shared" si="2"/>
        <v/>
      </c>
      <c r="U125" s="102" t="str">
        <f>IF(A125="","",
SUM(
COUNTIFS('QA Log'!D:D,A125,'QA Log'!M:M,"QQC",'QA Log'!L:L,"*8. Maternity*"),
COUNTIFS('QA Log'!D:D,A125,'QA Log'!M:M,"QQC",'QA Log'!L:L,"*9. EPI and Pre-school Consultation*"),
COUNTIFS('QA Log'!D:D,A125,'QA Log'!M:M,"QQC",'QA Log'!L:L,"*10. Antenatal Care (ANC)*"),
COUNTIFS('QA Log'!D:D,A125,'QA Log'!M:M,"QQC",'QA Log'!L:L,"*2. Hygiene and Sterilization*"),
COUNTIFS('QA Log'!D:D,A125,'QA Log'!M:M,"QQC",'QA Log'!L:L,"*4. Family Planning*")
))</f>
        <v/>
      </c>
      <c r="V125" s="102" t="str">
        <f>IF(A125="","",
SUM(
COUNTIFS('QA Log'!D:D,A125,'QA Log'!M:M,"QQC",'QA Log'!Z:Z,"Approved",'QA Log'!L:L,"*8. Maternity*"),
COUNTIFS('QA Log'!D:D,A125,'QA Log'!M:M,"QQC",'QA Log'!Z:Z,"Approved",'QA Log'!L:L,"*9. EPI and Pre-school Consultation*"),
COUNTIFS('QA Log'!D:D,A125,'QA Log'!M:M,"QQC",'QA Log'!Z:Z,"Approved",'QA Log'!L:L,"*10. Antenatal Care (ANC)*"),
COUNTIFS('QA Log'!D:D,A125,'QA Log'!M:M,"QQC",'QA Log'!Z:Z,"Approved",'QA Log'!L:L,"*2. Hygiene and Sterilization*"),
COUNTIFS('QA Log'!D:D,A125,'QA Log'!M:M,"QQC",'QA Log'!Z:Z,"Approved",'QA Log'!L:L,"*4. Family Planning*")
))</f>
        <v/>
      </c>
      <c r="W125" s="105" t="str">
        <f>IF(A125&lt;&gt;"",COUNTIFS('QA Log'!D:D,A125,'QA Log'!M:M,"QQC",'QA Log'!L:L,"8. Maternity",'QA Log'!Z:Z,"Approved"),"")</f>
        <v/>
      </c>
      <c r="X125" s="105" t="str">
        <f>IF(A125&lt;&gt;"",COUNTIFS('QA Log'!D:D,A125,'QA Log'!M:M,"QQC",'QA Log'!L:L,"9. EPI and Pre-school Consultation",'QA Log'!Z:Z,"Approved"),"")</f>
        <v/>
      </c>
      <c r="Y125" s="105" t="str">
        <f>IF(A125&lt;&gt;"",COUNTIFS('QA Log'!D:D,A125,'QA Log'!M:M,"QQC",'QA Log'!L:L,"10. Antenatal Care (ANC)",'QA Log'!Z:Z,"Approved"),"")</f>
        <v/>
      </c>
      <c r="Z125" s="105" t="str">
        <f>IF(A125&lt;&gt;"",COUNTIFS('QA Log'!D:D,A125,'QA Log'!M:M,"QQC",'QA Log'!L:L,"2. Hygiene and Sterilization",'QA Log'!Z:Z,"Approved"),"")</f>
        <v/>
      </c>
      <c r="AA125" s="105" t="str">
        <f>IF(A125&lt;&gt;"",COUNTIFS('QA Log'!D:D,A125,'QA Log'!M:M,"QQC",'QA Log'!L:L,"4. Family Planning",'QA Log'!Z:Z,"Approved"),"")</f>
        <v/>
      </c>
      <c r="AB125" s="102" t="str">
        <f>IF(A125="","",
SUM(
COUNTIFS('QA Log'!D:D,A125,'QA Log'!M:M,"QQC",'QA Log'!Z:Z,"Rejected",'QA Log'!L:L,"*8. Maternity*"),
COUNTIFS('QA Log'!D:D,A125,'QA Log'!M:M,"QQC",'QA Log'!Z:Z,"Rejected",'QA Log'!L:L,"*9. EPI and Pre-school Consultation*"),
COUNTIFS('QA Log'!D:D,A125,'QA Log'!M:M,"QQC",'QA Log'!Z:Z,"Rejected",'QA Log'!L:L,"*10. Antenatal Care (ANC)*"),
COUNTIFS('QA Log'!D:D,A125,'QA Log'!M:M,"QQC",'QA Log'!Z:Z,"Rejected",'QA Log'!L:L,"*2. Hygiene and Sterilization*"),
COUNTIFS('QA Log'!D:D,A125,'QA Log'!M:M,"QQC",'QA Log'!Z:Z,"Rejected",'QA Log'!L:L,"*4. Family Planning*")
))</f>
        <v/>
      </c>
      <c r="AC125" s="102" t="str">
        <f t="shared" si="3"/>
        <v/>
      </c>
      <c r="AD125" s="103" t="str">
        <f t="shared" si="4"/>
        <v/>
      </c>
      <c r="AE125" s="102" t="str">
        <f>IF(A125="","",
SUM(
COUNTIFS('QA Log'!D:D,A125,'QA Log'!M:M,"Data Verification",'QA Log'!L:L,"*Medicine (section 2)*"),
COUNTIFS('QA Log'!D:D,A125,'QA Log'!M:M,"Data Verification",'QA Log'!L:L,"*Lab Testing Availability*"),
COUNTIFS('QA Log'!D:D,A125,'QA Log'!M:M,"Data Verification",'QA Log'!L:L,"*Other than P4P (section 6)*"),
COUNTIFS('QA Log'!D:D,A125,'QA Log'!M:M,"Data Verification",'QA Log'!L:L,"*Hospital Governance*")
))</f>
        <v/>
      </c>
      <c r="AF125" s="102" t="str">
        <f>IF(A125="","",
SUM(
COUNTIFS('QA Log'!D:D,A125,'QA Log'!M:M,"Data Verification",'QA Log'!Z:Z,"Approved",'QA Log'!L:L,"*Medicine (section 2)*"),
COUNTIFS('QA Log'!D:D,A125,'QA Log'!M:M,"Data Verification",'QA Log'!Z:Z,"Approved",'QA Log'!L:L,"*Lab Testing Availability*"),
COUNTIFS('QA Log'!D:D,A125,'QA Log'!M:M,"Data Verification",'QA Log'!Z:Z,"Approved",'QA Log'!L:L,"*Other than P4P (section 6)*"),
COUNTIFS('QA Log'!D:D,A125,'QA Log'!M:M,"Data Verification",'QA Log'!Z:Z,"Approved",'QA Log'!L:L,"*Hospital Governance*")
))</f>
        <v/>
      </c>
      <c r="AG125" s="105" t="str">
        <f>IF(A125&lt;&gt;"",COUNTIFS('QA Log'!D:D,A125,'QA Log'!M:M,"Data Verification",'QA Log'!L:L,"Medicine (section 2)",'QA Log'!Z:Z,"Approved"),"")</f>
        <v/>
      </c>
      <c r="AH125" s="105" t="str">
        <f>IF(A125&lt;&gt;"",COUNTIFS('QA Log'!D:D,A125,'QA Log'!M:M,"Data Verification",'QA Log'!L:L,"Lab Testing Availability",'QA Log'!Z:Z,"Approved"),"")</f>
        <v/>
      </c>
      <c r="AI125" s="105" t="str">
        <f>IF(A125&lt;&gt;"",COUNTIFS('QA Log'!D:D,A125,'QA Log'!M:M,"Data Verification",'QA Log'!L:L,"Other than P4P (section 6)",'QA Log'!Z:Z,"Approved"),"")</f>
        <v/>
      </c>
      <c r="AJ125" s="105" t="str">
        <f>IF(A125&lt;&gt;"",COUNTIFS('QA Log'!D:D,A125,'QA Log'!M:M,"Data Verification",'QA Log'!L:L,"Hospital Governance",'QA Log'!Z:Z,"Approved"),"")</f>
        <v/>
      </c>
      <c r="AK125" s="102" t="str">
        <f>IF(A125="","",
SUM(
COUNTIFS('QA Log'!D:D,A125,'QA Log'!M:M,"Data Verification",'QA Log'!Z:Z,"Rejected",'QA Log'!L:L,"*Medicine (section 2)*"),
COUNTIFS('QA Log'!D:D,A125,'QA Log'!M:M,"Data Verification",'QA Log'!Z:Z,"Rejected",'QA Log'!L:L,"*Lab Testing Availability*"),
COUNTIFS('QA Log'!D:D,A125,'QA Log'!M:M,"Data Verification",'QA Log'!Z:Z,"Rejected",'QA Log'!L:L,"*Other than P4P (section 6)*"),
COUNTIFS('QA Log'!D:D,A125,'QA Log'!M:M,"Data Verification",'QA Log'!Z:Z,"Rejected",'QA Log'!L:L,"*Hospital Governance*")
))</f>
        <v/>
      </c>
      <c r="AL125" s="106" t="str">
        <f t="shared" si="5"/>
        <v/>
      </c>
      <c r="AM125" s="102" t="str">
        <f t="shared" si="6"/>
        <v/>
      </c>
      <c r="AN125" s="102" t="str">
        <f>IF(A125="","",
SUM(
COUNTIFS('QA Log'!D:D,A125,'QA Log'!M:M,"Data Verification",'QA Log'!L:L,"*Personnel (section 1)*"),
COUNTIFS('QA Log'!D:D,A125,'QA Log'!M:M,"Data Verification",'QA Log'!L:L,"*Consumable (section 3)*"),
COUNTIFS('QA Log'!D:D,A125,'QA Log'!M:M,"Data Verification",'QA Log'!L:L,"*Equipments (section 4)*")
))</f>
        <v/>
      </c>
      <c r="AO125" s="102" t="str">
        <f>IF(A125="","",
SUM(
COUNTIFS('QA Log'!D:D,A125,'QA Log'!M:M,"Data Verification",'QA Log'!Z:Z,"Approved",'QA Log'!L:L,"*Personnel (section 1)*"),
COUNTIFS('QA Log'!D:D,A125,'QA Log'!M:M,"Data Verification",'QA Log'!Z:Z,"Approved",'QA Log'!L:L,"*Consumable (section 3)*"),
COUNTIFS('QA Log'!D:D,A125,'QA Log'!M:M,"Data Verification",'QA Log'!Z:Z,"Approved",'QA Log'!L:L,"*Equipments (section 4)*")
))</f>
        <v/>
      </c>
      <c r="AP125" s="105" t="str">
        <f>IF(A125&lt;&gt;"",COUNTIFS('QA Log'!D:D,A125,'QA Log'!M:M,"Data Verification",'QA Log'!L:L,"Personnel (section 1)",'QA Log'!Z:Z,"Approved"),"")</f>
        <v/>
      </c>
      <c r="AQ125" s="105" t="str">
        <f>IF(A125&lt;&gt;"",COUNTIFS('QA Log'!D:D,A125,'QA Log'!M:M,"Data Verification",'QA Log'!L:L,"Consumable (section 3)",'QA Log'!Z:Z,"Approved"),"")</f>
        <v/>
      </c>
      <c r="AR125" s="105" t="str">
        <f>IF(A125&lt;&gt;"",COUNTIFS('QA Log'!D:D,A125,'QA Log'!M:M,"Data Verification",'QA Log'!L:L,"Equipments (section 4)",'QA Log'!Z:Z,"Approved"),"")</f>
        <v/>
      </c>
      <c r="AS125" s="102" t="str">
        <f>IF(A125="","",
SUM(
COUNTIFS('QA Log'!D:D,A125,'QA Log'!M:M,"Data Verification",'QA Log'!Z:Z,"Rejected",'QA Log'!L:L,"*Personnel (section 1)*"),
COUNTIFS('QA Log'!D:D,A125,'QA Log'!M:M,"Data Verification",'QA Log'!Z:Z,"Rejected",'QA Log'!L:L,"*Consumable (section 3)*"),
COUNTIFS('QA Log'!D:D,A125,'QA Log'!M:M,"Data Verification",'QA Log'!Z:Z,"Rejected",'QA Log'!L:L,"*Equipments (section 4)*")
))</f>
        <v/>
      </c>
      <c r="AT125" s="102" t="str">
        <f t="shared" si="7"/>
        <v/>
      </c>
      <c r="AU125" s="103" t="str">
        <f t="shared" si="8"/>
        <v/>
      </c>
      <c r="AV125" s="102" t="str">
        <f>IF(A125="","",SUM(
COUNTIFS('QA Log'!D:D,A125,'QA Log'!M:M,"Vignette",'QA Log'!L:L,"*Vignette [1] Respiratory Infection: Pneumonia*"),
COUNTIFS('QA Log'!D:D,A125,'QA Log'!M:M,"Vignette",'QA Log'!L:L,"*Vignette [2]: Diarrhea with Cat B dehydration*"),
COUNTIFS('QA Log'!D:D,A125,'QA Log'!M:M,"Vignette",'QA Log'!L:L,"*Vignette [3] Growth Monitoring and Promotion*"),
COUNTIFS('QA Log'!D:D,A125,'QA Log'!M:M,"Vignette",'QA Log'!L:L,"*Vignette [4]: The management of presumptive TB patient*")
)
)</f>
        <v/>
      </c>
      <c r="AW125" s="102" t="str">
        <f>IF(
  A125="","",
  SUM(
    COUNTIFS('QA Log'!D:D,A125,'QA Log'!M:M,"Vignette",'QA Log'!Z:Z,"Approved",'QA Log'!L:L,"*Vignette [1] Respiratory Infection: Pneumonia*"),
    COUNTIFS('QA Log'!D:D,A125,'QA Log'!M:M,"Vignette",'QA Log'!Z:Z,"Approved",'QA Log'!L:L,"*Vignette [2]: Diarrhea with Cat B dehydration*"),
    COUNTIFS('QA Log'!D:D,A125,'QA Log'!M:M,"Vignette",'QA Log'!Z:Z,"Approved",'QA Log'!L:L,"*Vignette [3] Growth Monitoring and Promotion*"),
    COUNTIFS('QA Log'!D:D,A125,'QA Log'!M:M,"Vignette",'QA Log'!Z:Z,"Approved",'QA Log'!L:L,"*Vignette [4]: The management of presumptive TB patient*")
  )
)</f>
        <v/>
      </c>
      <c r="AX125" s="105" t="str">
        <f>IF(A125&lt;&gt;"",COUNTIFS('QA Log'!D:D,A125,'QA Log'!M:M,"Vignette",'QA Log'!L:L,"Vignette [1] Respiratory Infection: Pneumonia",'QA Log'!Z:Z,"Approved"),"")</f>
        <v/>
      </c>
      <c r="AY125" s="105" t="str">
        <f>IF(A125&lt;&gt;"",COUNTIFS('QA Log'!D:D,A125,'QA Log'!M:M,"Vignette",'QA Log'!L:L,"Vignette [2]: Diarrhea with Cat B dehydration",'QA Log'!Z:Z,"Approved"),"")</f>
        <v/>
      </c>
      <c r="AZ125" s="105" t="str">
        <f>IF(A125&lt;&gt;"",COUNTIFS('QA Log'!D:D,A125,'QA Log'!M:M,"Vignette",'QA Log'!L:L,"Vignette [3] Growth Monitoring and Promotion",'QA Log'!Z:Z,"Approved"),"")</f>
        <v/>
      </c>
      <c r="BA125" s="105" t="str">
        <f>IF(A125&lt;&gt;"",COUNTIFS('QA Log'!D:D,A125,'QA Log'!M:M,"Vignette",'QA Log'!L:L,"Vignette [4]: The management of presumptive TB patient",'QA Log'!Z:Z,"Approved"),"")</f>
        <v/>
      </c>
      <c r="BB125" s="102" t="str">
        <f>IF(A125="","",
  SUM(
    COUNTIFS('QA Log'!D:D,A125,'QA Log'!M:M,"Vignette",'QA Log'!Z:Z,"Rejected",'QA Log'!L:L,"*Vignette [1] Respiratory Infection: Pneumonia*"),
    COUNTIFS('QA Log'!D:D,A125,'QA Log'!M:M,"Vignette",'QA Log'!Z:Z,"Rejected",'QA Log'!L:L,"*Vignette [2]: Diarrhea with Cat B dehydration*"),
    COUNTIFS('QA Log'!D:D,A125,'QA Log'!M:M,"Vignette",'QA Log'!Z:Z,"Rejected",'QA Log'!L:L,"*Vignette [3] Growth Monitoring and Promotion*"),
    COUNTIFS('QA Log'!D:D,A125,'QA Log'!M:M,"Vignette",'QA Log'!Z:Z,"Rejected",'QA Log'!L:L,"*Vignette [4]: The management of presumptive TB patient*")
  )
)</f>
        <v/>
      </c>
      <c r="BC125" s="107" t="str">
        <f t="shared" si="9"/>
        <v/>
      </c>
      <c r="BD125" s="103" t="str">
        <f t="shared" si="10"/>
        <v/>
      </c>
      <c r="BE125" s="102" t="str">
        <f>IF(A125="","",SUM(
COUNTIFS('QA Log'!D:D,A125,'QA Log'!M:M,"Vignette",'QA Log'!L:L,"*Vignette [5] Labor*"),
COUNTIFS('QA Log'!D:D,A125,'QA Log'!M:M,"Vignette",'QA Log'!L:L,"*Vignette [6] PNC pre Discharge*"),
COUNTIFS('QA Log'!D:D,A125,'QA Log'!M:M,"Vignette",'QA Log'!L:L,"*Vignette [7] First ANC Visit*"),
COUNTIFS('QA Log'!D:D,A125,'QA Log'!M:M,"Vignette",'QA Log'!L:L,"*Vignette [8] Birth Spacing/ Family Planning :  FP Counselling*"),
COUNTIFS('QA Log'!D:D,A125,'QA Log'!M:M,"Vignette",'QA Log'!L:L,"*Vignette [9] Birth Spacing: Change FP method to Injectable*"),
COUNTIFS('QA Log'!D:D,A125,'QA Log'!M:M,"Vignette",'QA Log'!L:L,"*Vignette [10] Post Partum Haemorrhage - Atonic Uterus at Health Centre*"),
)
)</f>
        <v/>
      </c>
      <c r="BF125" s="102" t="str">
        <f>IF(A125="","",
  SUM(
    COUNTIFS('QA Log'!D:D,A125,'QA Log'!M:M,"Vignette",'QA Log'!Z:Z,"Approved",'QA Log'!L:L,"*Vignette [5] Labor*"),
    COUNTIFS('QA Log'!D:D,A125,'QA Log'!M:M,"Vignette",'QA Log'!Z:Z,"Approved",'QA Log'!L:L,"*Vignette [6] PNC pre Discharge*"),
    COUNTIFS('QA Log'!D:D,A125,'QA Log'!M:M,"Vignette",'QA Log'!Z:Z,"Approved",'QA Log'!L:L,"*Vignette [7] First ANC Visit*"),
    COUNTIFS('QA Log'!D:D,A125,'QA Log'!M:M,"Vignette",'QA Log'!Z:Z,"Approved",'QA Log'!L:L,"*Vignette [8] Birth Spacing/ Family Planning :  FP Counselling*"),
    COUNTIFS('QA Log'!D:D,A125,'QA Log'!M:M,"Vignette",'QA Log'!Z:Z,"Approved",'QA Log'!L:L,"*Vignette [9] Birth Spacing: Change FP method to Injectable*"),
    COUNTIFS('QA Log'!D:D,A125,'QA Log'!M:M,"Vignette",'QA Log'!Z:Z,"Approved",'QA Log'!L:L,"*Vignette [10] Post Partum Haemorrhage - Atonic Uterus at Health Centre*")
  )
)</f>
        <v/>
      </c>
      <c r="BG125" s="105" t="str">
        <f>IF(A125&lt;&gt;"",COUNTIFS('QA Log'!D:D,A125,'QA Log'!M:M,"Vignette",'QA Log'!L:L,"Vignette [5] Labor",'QA Log'!Z:Z,"Approved"),"")</f>
        <v/>
      </c>
      <c r="BH125" s="105" t="str">
        <f>IF(A125&lt;&gt;"",COUNTIFS('QA Log'!D:D,A125,'QA Log'!M:M,"Vignette",'QA Log'!L:L,"Vignette [6] PNC pre Discharge",'QA Log'!Z:Z,"Approved"),"")</f>
        <v/>
      </c>
      <c r="BI125" s="105" t="str">
        <f>IF(A125&lt;&gt;"",COUNTIFS('QA Log'!D:D,A125,'QA Log'!M:M,"Vignette",'QA Log'!L:L,"Vignette [7] First ANC Visit",'QA Log'!Z:Z,"Approved"),"")</f>
        <v/>
      </c>
      <c r="BJ125" s="105" t="str">
        <f>IF(A125&lt;&gt;"",COUNTIFS('QA Log'!D:D,A125,'QA Log'!M:M,"Vignette",'QA Log'!L:L,"Vignette [8] Birth Spacing/ Family Planning :  FP Counselling",'QA Log'!Z:Z,"Approved"),"")</f>
        <v/>
      </c>
      <c r="BK125" s="105" t="str">
        <f>IF(A125&lt;&gt;"",COUNTIFS('QA Log'!D:D,A125,'QA Log'!M:M,"Vignette",'QA Log'!L:L,"Vignette [9] Birth Spacing: Change FP method to Injectable",'QA Log'!Z:Z,"Approved"),"")</f>
        <v/>
      </c>
      <c r="BL125" s="105" t="str">
        <f>IF(A125&lt;&gt;"",COUNTIFS('QA Log'!D:D,A125,'QA Log'!M:M,"Vignette",'QA Log'!L:L,"Vignette [10] Post Partum Haemorrhage - Atonic Uterus at Health Centre",'QA Log'!Z:Z,"Approved"),"")</f>
        <v/>
      </c>
      <c r="BM125" s="102" t="str">
        <f>IF(A125="","",SUM(
    COUNTIFS('QA Log'!D:D,A125,'QA Log'!M:M,"Vignette",'QA Log'!Z:Z,"Rejected",'QA Log'!L:L,"*Vignette [5] Labor*"),
    COUNTIFS('QA Log'!D:D,A125,'QA Log'!M:M,"Vignette",'QA Log'!Z:Z,"Rejected",'QA Log'!L:L,"*Vignette [6] PNC pre Discharge*"),
    COUNTIFS('QA Log'!D:D,A125,'QA Log'!M:M,"Vignette",'QA Log'!Z:Z,"Rejected",'QA Log'!L:L,"*Vignette [7] First ANC Visit*"),
    COUNTIFS('QA Log'!D:D,A125,'QA Log'!M:M,"Vignette",'QA Log'!Z:Z,"Rejected",'QA Log'!L:L,"*Vignette [8] Birth Spacing/ Family Planning :  FP Counselling*"),
    COUNTIFS('QA Log'!D:D,A125,'QA Log'!M:M,"Vignette",'QA Log'!Z:Z,"Rejected",'QA Log'!L:L,"*Vignette [9] Birth Spacing: Change FP method to Injectable*"),
    COUNTIFS('QA Log'!D:D,A125,'QA Log'!M:M,"Vignette",'QA Log'!Z:Z,"Rejected",'QA Log'!L:L,"*Vignette [10] Post Partum Haemorrhage - Atonic Uterus at Health Centre*")
  )
)</f>
        <v/>
      </c>
      <c r="BN125" s="107" t="str">
        <f t="shared" si="11"/>
        <v/>
      </c>
      <c r="BO125" s="103" t="str">
        <f t="shared" si="12"/>
        <v/>
      </c>
      <c r="BP125" s="102" t="str">
        <f>IF(A125="","",SUM(
COUNTIFS('QA Log'!D:D,A125,'QA Log'!M:M,"Vignette",'QA Log'!L:L,"*Exit Interview 1*"),
COUNTIFS('QA Log'!D:D,A125,'QA Log'!M:M,"Vignette",'QA Log'!L:L,"*Exit Interview 2*"),
)
)</f>
        <v/>
      </c>
      <c r="BQ125" s="102" t="str">
        <f>IF(
  A125="","",
  SUM(
    COUNTIFS('QA Log'!D:D,A125,'QA Log'!M:M,"Vignette",'QA Log'!Z:Z,"Approved",'QA Log'!L:L,"*Exit Interview 1*"),
    COUNTIFS('QA Log'!D:D,A125,'QA Log'!M:M,"Vignette",'QA Log'!Z:Z,"Approved",'QA Log'!L:L,"*Exit Interview 2*")
  )
)</f>
        <v/>
      </c>
      <c r="BR125" s="105" t="str">
        <f>IF(A125&lt;&gt;"",COUNTIFS('QA Log'!D:D,A125,'QA Log'!M:M,"Vignette",'QA Log'!L:L,"Exit Interview 1",'QA Log'!Z:Z,"Approved"),"")</f>
        <v/>
      </c>
      <c r="BS125" s="105" t="str">
        <f>IF(A125&lt;&gt;"",COUNTIFS('QA Log'!D:D,A125,'QA Log'!M:M,"Vignette",'QA Log'!L:L,"Exit Interview 2",'QA Log'!Z:Z,"Approved"),"")</f>
        <v/>
      </c>
      <c r="BT125" s="102" t="str">
        <f>IF(
  A125="","",
  SUM(
    COUNTIFS('QA Log'!D:D,A125,'QA Log'!M:M,"Vignette",'QA Log'!Z:Z,"Rejected",'QA Log'!L:L,"*Exit Interview 1*"),
    COUNTIFS('QA Log'!D:D,A125,'QA Log'!M:M,"Vignette",'QA Log'!Z:Z,"Rejected",'QA Log'!L:L,"*Exit Interview 2*")
  )
)</f>
        <v/>
      </c>
      <c r="BU125" s="107" t="str">
        <f t="shared" si="13"/>
        <v/>
      </c>
      <c r="BV125" s="102" t="str">
        <f t="shared" si="14"/>
        <v/>
      </c>
      <c r="BW125" s="102" t="str">
        <f t="shared" si="15"/>
        <v/>
      </c>
      <c r="BX125" s="102" t="str">
        <f t="shared" si="16"/>
        <v/>
      </c>
      <c r="BY125" s="102" t="str">
        <f t="shared" si="17"/>
        <v/>
      </c>
      <c r="BZ125" s="107" t="str">
        <f t="shared" si="18"/>
        <v/>
      </c>
      <c r="CA125" s="108" t="str">
        <f t="shared" si="19"/>
        <v/>
      </c>
      <c r="CB125" s="108" t="str">
        <f t="shared" si="20"/>
        <v/>
      </c>
      <c r="CC125" s="109" t="str">
        <f t="shared" si="21"/>
        <v/>
      </c>
      <c r="CD125" s="108" t="str">
        <f t="shared" si="22"/>
        <v/>
      </c>
      <c r="CE125" s="108" t="str">
        <f t="shared" si="23"/>
        <v/>
      </c>
      <c r="CF125" s="109" t="str">
        <f t="shared" si="24"/>
        <v/>
      </c>
      <c r="CG125" s="110" t="str">
        <f t="shared" si="25"/>
        <v/>
      </c>
      <c r="CH125" s="111"/>
    </row>
    <row r="126" spans="1:86" ht="12.75">
      <c r="A126" s="101"/>
      <c r="B126" s="102" t="e">
        <f t="array" aca="1" ref="B126" ca="1">_xludf.XLOOKUP(A126,'QA Log'!D:D,'QA Log'!E:E,"")</f>
        <v>#NAME?</v>
      </c>
      <c r="C126" s="102" t="e">
        <f t="array" aca="1" ref="C126" ca="1">_xludf.XLOOKUP(A126,'QA Log'!D:D,'QA Log'!F:F,"")</f>
        <v>#NAME?</v>
      </c>
      <c r="D126" s="102" t="e">
        <f t="array" aca="1" ref="D126" ca="1">_xludf.XLOOKUP(A126,'QA Log'!D:D,'QA Log'!H:H,"")</f>
        <v>#NAME?</v>
      </c>
      <c r="E126" s="102" t="e">
        <f t="array" aca="1" ref="E126" ca="1">_xludf.XLOOKUP(A126,'QA Log'!D:D,'QA Log'!G:G,"")</f>
        <v>#NAME?</v>
      </c>
      <c r="F126" s="103"/>
      <c r="G126" s="104"/>
      <c r="H126" s="104"/>
      <c r="I126" s="103" t="str">
        <f t="shared" si="0"/>
        <v/>
      </c>
      <c r="J126" s="102" t="str">
        <f>IF(A126="","",SUM(
COUNTIFS('QA Log'!D:D,A126,'QA Log'!M:M,"QQC",'QA Log'!L:L,"*1. General Management*"),
COUNTIFS('QA Log'!D:D,A126,'QA Log'!M:M,"QQC",'QA Log'!L:L,"*3. Curative Consultation (OPD)*"),
COUNTIFS('QA Log'!D:D,A126,'QA Log'!M:M,"QQC",'QA Log'!L:L,"*5. Laboratory*"),
COUNTIFS('QA Log'!D:D,A126,'QA Log'!M:M,"QQC",'QA Log'!L:L,"*6. Essential Medicine Management*"),
COUNTIFS('QA Log'!D:D,A126,'QA Log'!M:M,"QQC",'QA Log'!L:L,"*7. Tracer Medicine*"),
COUNTIFS('QA Log'!D:D,A126,'QA Log'!M:M,"QQC",'QA Log'!L:L,"*11. Additional Questions*")))</f>
        <v/>
      </c>
      <c r="K126" s="102" t="str">
        <f>IF(A126="","",SUM(
COUNTIFS('QA Log'!D:D,A126,'QA Log'!M:M,"QQC",'QA Log'!Z:Z,"Approved",'QA Log'!L:L,"*1. General Management*"),
COUNTIFS('QA Log'!D:D,A126,'QA Log'!M:M,"QQC",'QA Log'!Z:Z,"Approved",'QA Log'!L:L,"*3. Curative Consultation (OPD)*"),
COUNTIFS('QA Log'!D:D,A126,'QA Log'!M:M,"QQC",'QA Log'!Z:Z,"Approved",'QA Log'!L:L,"*5. Laboratory*"),
COUNTIFS('QA Log'!D:D,A126,'QA Log'!M:M,"QQC",'QA Log'!Z:Z,"Approved",'QA Log'!L:L,"*6. Essential Medicine Management*"),
COUNTIFS('QA Log'!D:D,A126,'QA Log'!M:M,"QQC",'QA Log'!Z:Z,"Approved",'QA Log'!L:L,"*7. Tracer Medicine*"),
COUNTIFS('QA Log'!D:D,A126,'QA Log'!M:M,"QQC",'QA Log'!Z:Z,"Approved",'QA Log'!L:L,"*11. Additional Questions*")))</f>
        <v/>
      </c>
      <c r="L126" s="105" t="str">
        <f>IF(A126&lt;&gt;"",COUNTIFS('QA Log'!D:D,A126,'QA Log'!M:M,"QQC",'QA Log'!L:L,"1. General Management",'QA Log'!Z:Z,"Approved"),"")</f>
        <v/>
      </c>
      <c r="M126" s="105" t="str">
        <f>IF(A126&lt;&gt;"",COUNTIFS('QA Log'!D:D,A126,'QA Log'!M:M,"QQC",'QA Log'!L:L,"3. Curative Consultation (OPD)",'QA Log'!Z:Z,"Approved"),"")</f>
        <v/>
      </c>
      <c r="N126" s="105" t="str">
        <f>IF(A126&lt;&gt;"",COUNTIFS('QA Log'!D:D,A126,'QA Log'!M:M,"QQC",'QA Log'!L:L,"5. Laboratory",'QA Log'!Z:Z,"Approved"),"")</f>
        <v/>
      </c>
      <c r="O126" s="105" t="str">
        <f>IF(A126&lt;&gt;"",COUNTIFS('QA Log'!D:D,A126,'QA Log'!M:M,"QQC",'QA Log'!L:L,"6. Essential Medicine Management",'QA Log'!Z:Z,"Approved"),"")</f>
        <v/>
      </c>
      <c r="P126" s="105" t="str">
        <f>IF(A126&lt;&gt;"",COUNTIFS('QA Log'!D:D,A126,'QA Log'!M:M,"QQC",'QA Log'!L:L,"7. Tracer Medicine",'QA Log'!Z:Z,"Approved"),"")</f>
        <v/>
      </c>
      <c r="Q126" s="105" t="str">
        <f>IF(A126&lt;&gt;"",COUNTIFS('QA Log'!D:D,A126,'QA Log'!M:M,"QQC",'QA Log'!L:L,"11. Additional Questions",'QA Log'!Z:Z,"Approved"),"")</f>
        <v/>
      </c>
      <c r="R126" s="102" t="str">
        <f>IF(A126="","",SUM(
COUNTIFS('QA Log'!D:D,A126,'QA Log'!M:M,"QQC",'QA Log'!Z:Z,"Rejected",'QA Log'!L:L,"*8. Maternity*"),
COUNTIFS('QA Log'!D:D,A126,'QA Log'!M:M,"QQC",'QA Log'!Z:Z,"Rejected",'QA Log'!L:L,"*EPI*"),
COUNTIFS('QA Log'!D:D,A126,'QA Log'!M:M,"QQC",'QA Log'!Z:Z,"Rejected",'QA Log'!L:L,"*10. Antenatal Care (ANC)*"),
COUNTIFS('QA Log'!D:D,A126,'QA Log'!M:M,"QQC",'QA Log'!Z:Z,"Rejected",'QA Log'!L:L,"*2. Hygiene and Sterilization*"),
COUNTIFS('QA Log'!D:D,A126,'QA Log'!M:M,"QQC",'QA Log'!Z:Z,"Rejected",'QA Log'!L:L,"*Family Planning*")))</f>
        <v/>
      </c>
      <c r="S126" s="106" t="str">
        <f t="shared" si="1"/>
        <v/>
      </c>
      <c r="T126" s="102" t="str">
        <f t="shared" si="2"/>
        <v/>
      </c>
      <c r="U126" s="102" t="str">
        <f>IF(A126="","",
SUM(
COUNTIFS('QA Log'!D:D,A126,'QA Log'!M:M,"QQC",'QA Log'!L:L,"*8. Maternity*"),
COUNTIFS('QA Log'!D:D,A126,'QA Log'!M:M,"QQC",'QA Log'!L:L,"*9. EPI and Pre-school Consultation*"),
COUNTIFS('QA Log'!D:D,A126,'QA Log'!M:M,"QQC",'QA Log'!L:L,"*10. Antenatal Care (ANC)*"),
COUNTIFS('QA Log'!D:D,A126,'QA Log'!M:M,"QQC",'QA Log'!L:L,"*2. Hygiene and Sterilization*"),
COUNTIFS('QA Log'!D:D,A126,'QA Log'!M:M,"QQC",'QA Log'!L:L,"*4. Family Planning*")
))</f>
        <v/>
      </c>
      <c r="V126" s="102" t="str">
        <f>IF(A126="","",
SUM(
COUNTIFS('QA Log'!D:D,A126,'QA Log'!M:M,"QQC",'QA Log'!Z:Z,"Approved",'QA Log'!L:L,"*8. Maternity*"),
COUNTIFS('QA Log'!D:D,A126,'QA Log'!M:M,"QQC",'QA Log'!Z:Z,"Approved",'QA Log'!L:L,"*9. EPI and Pre-school Consultation*"),
COUNTIFS('QA Log'!D:D,A126,'QA Log'!M:M,"QQC",'QA Log'!Z:Z,"Approved",'QA Log'!L:L,"*10. Antenatal Care (ANC)*"),
COUNTIFS('QA Log'!D:D,A126,'QA Log'!M:M,"QQC",'QA Log'!Z:Z,"Approved",'QA Log'!L:L,"*2. Hygiene and Sterilization*"),
COUNTIFS('QA Log'!D:D,A126,'QA Log'!M:M,"QQC",'QA Log'!Z:Z,"Approved",'QA Log'!L:L,"*4. Family Planning*")
))</f>
        <v/>
      </c>
      <c r="W126" s="105" t="str">
        <f>IF(A126&lt;&gt;"",COUNTIFS('QA Log'!D:D,A126,'QA Log'!M:M,"QQC",'QA Log'!L:L,"8. Maternity",'QA Log'!Z:Z,"Approved"),"")</f>
        <v/>
      </c>
      <c r="X126" s="105" t="str">
        <f>IF(A126&lt;&gt;"",COUNTIFS('QA Log'!D:D,A126,'QA Log'!M:M,"QQC",'QA Log'!L:L,"9. EPI and Pre-school Consultation",'QA Log'!Z:Z,"Approved"),"")</f>
        <v/>
      </c>
      <c r="Y126" s="105" t="str">
        <f>IF(A126&lt;&gt;"",COUNTIFS('QA Log'!D:D,A126,'QA Log'!M:M,"QQC",'QA Log'!L:L,"10. Antenatal Care (ANC)",'QA Log'!Z:Z,"Approved"),"")</f>
        <v/>
      </c>
      <c r="Z126" s="105" t="str">
        <f>IF(A126&lt;&gt;"",COUNTIFS('QA Log'!D:D,A126,'QA Log'!M:M,"QQC",'QA Log'!L:L,"2. Hygiene and Sterilization",'QA Log'!Z:Z,"Approved"),"")</f>
        <v/>
      </c>
      <c r="AA126" s="105" t="str">
        <f>IF(A126&lt;&gt;"",COUNTIFS('QA Log'!D:D,A126,'QA Log'!M:M,"QQC",'QA Log'!L:L,"4. Family Planning",'QA Log'!Z:Z,"Approved"),"")</f>
        <v/>
      </c>
      <c r="AB126" s="102" t="str">
        <f>IF(A126="","",
SUM(
COUNTIFS('QA Log'!D:D,A126,'QA Log'!M:M,"QQC",'QA Log'!Z:Z,"Rejected",'QA Log'!L:L,"*8. Maternity*"),
COUNTIFS('QA Log'!D:D,A126,'QA Log'!M:M,"QQC",'QA Log'!Z:Z,"Rejected",'QA Log'!L:L,"*9. EPI and Pre-school Consultation*"),
COUNTIFS('QA Log'!D:D,A126,'QA Log'!M:M,"QQC",'QA Log'!Z:Z,"Rejected",'QA Log'!L:L,"*10. Antenatal Care (ANC)*"),
COUNTIFS('QA Log'!D:D,A126,'QA Log'!M:M,"QQC",'QA Log'!Z:Z,"Rejected",'QA Log'!L:L,"*2. Hygiene and Sterilization*"),
COUNTIFS('QA Log'!D:D,A126,'QA Log'!M:M,"QQC",'QA Log'!Z:Z,"Rejected",'QA Log'!L:L,"*4. Family Planning*")
))</f>
        <v/>
      </c>
      <c r="AC126" s="102" t="str">
        <f t="shared" si="3"/>
        <v/>
      </c>
      <c r="AD126" s="103" t="str">
        <f t="shared" si="4"/>
        <v/>
      </c>
      <c r="AE126" s="102" t="str">
        <f>IF(A126="","",
SUM(
COUNTIFS('QA Log'!D:D,A126,'QA Log'!M:M,"Data Verification",'QA Log'!L:L,"*Medicine (section 2)*"),
COUNTIFS('QA Log'!D:D,A126,'QA Log'!M:M,"Data Verification",'QA Log'!L:L,"*Lab Testing Availability*"),
COUNTIFS('QA Log'!D:D,A126,'QA Log'!M:M,"Data Verification",'QA Log'!L:L,"*Other than P4P (section 6)*"),
COUNTIFS('QA Log'!D:D,A126,'QA Log'!M:M,"Data Verification",'QA Log'!L:L,"*Hospital Governance*")
))</f>
        <v/>
      </c>
      <c r="AF126" s="102" t="str">
        <f>IF(A126="","",
SUM(
COUNTIFS('QA Log'!D:D,A126,'QA Log'!M:M,"Data Verification",'QA Log'!Z:Z,"Approved",'QA Log'!L:L,"*Medicine (section 2)*"),
COUNTIFS('QA Log'!D:D,A126,'QA Log'!M:M,"Data Verification",'QA Log'!Z:Z,"Approved",'QA Log'!L:L,"*Lab Testing Availability*"),
COUNTIFS('QA Log'!D:D,A126,'QA Log'!M:M,"Data Verification",'QA Log'!Z:Z,"Approved",'QA Log'!L:L,"*Other than P4P (section 6)*"),
COUNTIFS('QA Log'!D:D,A126,'QA Log'!M:M,"Data Verification",'QA Log'!Z:Z,"Approved",'QA Log'!L:L,"*Hospital Governance*")
))</f>
        <v/>
      </c>
      <c r="AG126" s="105" t="str">
        <f>IF(A126&lt;&gt;"",COUNTIFS('QA Log'!D:D,A126,'QA Log'!M:M,"Data Verification",'QA Log'!L:L,"Medicine (section 2)",'QA Log'!Z:Z,"Approved"),"")</f>
        <v/>
      </c>
      <c r="AH126" s="105" t="str">
        <f>IF(A126&lt;&gt;"",COUNTIFS('QA Log'!D:D,A126,'QA Log'!M:M,"Data Verification",'QA Log'!L:L,"Lab Testing Availability",'QA Log'!Z:Z,"Approved"),"")</f>
        <v/>
      </c>
      <c r="AI126" s="105" t="str">
        <f>IF(A126&lt;&gt;"",COUNTIFS('QA Log'!D:D,A126,'QA Log'!M:M,"Data Verification",'QA Log'!L:L,"Other than P4P (section 6)",'QA Log'!Z:Z,"Approved"),"")</f>
        <v/>
      </c>
      <c r="AJ126" s="105" t="str">
        <f>IF(A126&lt;&gt;"",COUNTIFS('QA Log'!D:D,A126,'QA Log'!M:M,"Data Verification",'QA Log'!L:L,"Hospital Governance",'QA Log'!Z:Z,"Approved"),"")</f>
        <v/>
      </c>
      <c r="AK126" s="102" t="str">
        <f>IF(A126="","",
SUM(
COUNTIFS('QA Log'!D:D,A126,'QA Log'!M:M,"Data Verification",'QA Log'!Z:Z,"Rejected",'QA Log'!L:L,"*Medicine (section 2)*"),
COUNTIFS('QA Log'!D:D,A126,'QA Log'!M:M,"Data Verification",'QA Log'!Z:Z,"Rejected",'QA Log'!L:L,"*Lab Testing Availability*"),
COUNTIFS('QA Log'!D:D,A126,'QA Log'!M:M,"Data Verification",'QA Log'!Z:Z,"Rejected",'QA Log'!L:L,"*Other than P4P (section 6)*"),
COUNTIFS('QA Log'!D:D,A126,'QA Log'!M:M,"Data Verification",'QA Log'!Z:Z,"Rejected",'QA Log'!L:L,"*Hospital Governance*")
))</f>
        <v/>
      </c>
      <c r="AL126" s="106" t="str">
        <f t="shared" si="5"/>
        <v/>
      </c>
      <c r="AM126" s="102" t="str">
        <f t="shared" si="6"/>
        <v/>
      </c>
      <c r="AN126" s="102" t="str">
        <f>IF(A126="","",
SUM(
COUNTIFS('QA Log'!D:D,A126,'QA Log'!M:M,"Data Verification",'QA Log'!L:L,"*Personnel (section 1)*"),
COUNTIFS('QA Log'!D:D,A126,'QA Log'!M:M,"Data Verification",'QA Log'!L:L,"*Consumable (section 3)*"),
COUNTIFS('QA Log'!D:D,A126,'QA Log'!M:M,"Data Verification",'QA Log'!L:L,"*Equipments (section 4)*")
))</f>
        <v/>
      </c>
      <c r="AO126" s="102" t="str">
        <f>IF(A126="","",
SUM(
COUNTIFS('QA Log'!D:D,A126,'QA Log'!M:M,"Data Verification",'QA Log'!Z:Z,"Approved",'QA Log'!L:L,"*Personnel (section 1)*"),
COUNTIFS('QA Log'!D:D,A126,'QA Log'!M:M,"Data Verification",'QA Log'!Z:Z,"Approved",'QA Log'!L:L,"*Consumable (section 3)*"),
COUNTIFS('QA Log'!D:D,A126,'QA Log'!M:M,"Data Verification",'QA Log'!Z:Z,"Approved",'QA Log'!L:L,"*Equipments (section 4)*")
))</f>
        <v/>
      </c>
      <c r="AP126" s="105" t="str">
        <f>IF(A126&lt;&gt;"",COUNTIFS('QA Log'!D:D,A126,'QA Log'!M:M,"Data Verification",'QA Log'!L:L,"Personnel (section 1)",'QA Log'!Z:Z,"Approved"),"")</f>
        <v/>
      </c>
      <c r="AQ126" s="105" t="str">
        <f>IF(A126&lt;&gt;"",COUNTIFS('QA Log'!D:D,A126,'QA Log'!M:M,"Data Verification",'QA Log'!L:L,"Consumable (section 3)",'QA Log'!Z:Z,"Approved"),"")</f>
        <v/>
      </c>
      <c r="AR126" s="105" t="str">
        <f>IF(A126&lt;&gt;"",COUNTIFS('QA Log'!D:D,A126,'QA Log'!M:M,"Data Verification",'QA Log'!L:L,"Equipments (section 4)",'QA Log'!Z:Z,"Approved"),"")</f>
        <v/>
      </c>
      <c r="AS126" s="102" t="str">
        <f>IF(A126="","",
SUM(
COUNTIFS('QA Log'!D:D,A126,'QA Log'!M:M,"Data Verification",'QA Log'!Z:Z,"Rejected",'QA Log'!L:L,"*Personnel (section 1)*"),
COUNTIFS('QA Log'!D:D,A126,'QA Log'!M:M,"Data Verification",'QA Log'!Z:Z,"Rejected",'QA Log'!L:L,"*Consumable (section 3)*"),
COUNTIFS('QA Log'!D:D,A126,'QA Log'!M:M,"Data Verification",'QA Log'!Z:Z,"Rejected",'QA Log'!L:L,"*Equipments (section 4)*")
))</f>
        <v/>
      </c>
      <c r="AT126" s="102" t="str">
        <f t="shared" si="7"/>
        <v/>
      </c>
      <c r="AU126" s="103" t="str">
        <f t="shared" si="8"/>
        <v/>
      </c>
      <c r="AV126" s="102" t="str">
        <f>IF(A126="","",SUM(
COUNTIFS('QA Log'!D:D,A126,'QA Log'!M:M,"Vignette",'QA Log'!L:L,"*Vignette [1] Respiratory Infection: Pneumonia*"),
COUNTIFS('QA Log'!D:D,A126,'QA Log'!M:M,"Vignette",'QA Log'!L:L,"*Vignette [2]: Diarrhea with Cat B dehydration*"),
COUNTIFS('QA Log'!D:D,A126,'QA Log'!M:M,"Vignette",'QA Log'!L:L,"*Vignette [3] Growth Monitoring and Promotion*"),
COUNTIFS('QA Log'!D:D,A126,'QA Log'!M:M,"Vignette",'QA Log'!L:L,"*Vignette [4]: The management of presumptive TB patient*")
)
)</f>
        <v/>
      </c>
      <c r="AW126" s="102" t="str">
        <f>IF(
  A126="","",
  SUM(
    COUNTIFS('QA Log'!D:D,A126,'QA Log'!M:M,"Vignette",'QA Log'!Z:Z,"Approved",'QA Log'!L:L,"*Vignette [1] Respiratory Infection: Pneumonia*"),
    COUNTIFS('QA Log'!D:D,A126,'QA Log'!M:M,"Vignette",'QA Log'!Z:Z,"Approved",'QA Log'!L:L,"*Vignette [2]: Diarrhea with Cat B dehydration*"),
    COUNTIFS('QA Log'!D:D,A126,'QA Log'!M:M,"Vignette",'QA Log'!Z:Z,"Approved",'QA Log'!L:L,"*Vignette [3] Growth Monitoring and Promotion*"),
    COUNTIFS('QA Log'!D:D,A126,'QA Log'!M:M,"Vignette",'QA Log'!Z:Z,"Approved",'QA Log'!L:L,"*Vignette [4]: The management of presumptive TB patient*")
  )
)</f>
        <v/>
      </c>
      <c r="AX126" s="105" t="str">
        <f>IF(A126&lt;&gt;"",COUNTIFS('QA Log'!D:D,A126,'QA Log'!M:M,"Vignette",'QA Log'!L:L,"Vignette [1] Respiratory Infection: Pneumonia",'QA Log'!Z:Z,"Approved"),"")</f>
        <v/>
      </c>
      <c r="AY126" s="105" t="str">
        <f>IF(A126&lt;&gt;"",COUNTIFS('QA Log'!D:D,A126,'QA Log'!M:M,"Vignette",'QA Log'!L:L,"Vignette [2]: Diarrhea with Cat B dehydration",'QA Log'!Z:Z,"Approved"),"")</f>
        <v/>
      </c>
      <c r="AZ126" s="105" t="str">
        <f>IF(A126&lt;&gt;"",COUNTIFS('QA Log'!D:D,A126,'QA Log'!M:M,"Vignette",'QA Log'!L:L,"Vignette [3] Growth Monitoring and Promotion",'QA Log'!Z:Z,"Approved"),"")</f>
        <v/>
      </c>
      <c r="BA126" s="105" t="str">
        <f>IF(A126&lt;&gt;"",COUNTIFS('QA Log'!D:D,A126,'QA Log'!M:M,"Vignette",'QA Log'!L:L,"Vignette [4]: The management of presumptive TB patient",'QA Log'!Z:Z,"Approved"),"")</f>
        <v/>
      </c>
      <c r="BB126" s="102" t="str">
        <f>IF(A126="","",
  SUM(
    COUNTIFS('QA Log'!D:D,A126,'QA Log'!M:M,"Vignette",'QA Log'!Z:Z,"Rejected",'QA Log'!L:L,"*Vignette [1] Respiratory Infection: Pneumonia*"),
    COUNTIFS('QA Log'!D:D,A126,'QA Log'!M:M,"Vignette",'QA Log'!Z:Z,"Rejected",'QA Log'!L:L,"*Vignette [2]: Diarrhea with Cat B dehydration*"),
    COUNTIFS('QA Log'!D:D,A126,'QA Log'!M:M,"Vignette",'QA Log'!Z:Z,"Rejected",'QA Log'!L:L,"*Vignette [3] Growth Monitoring and Promotion*"),
    COUNTIFS('QA Log'!D:D,A126,'QA Log'!M:M,"Vignette",'QA Log'!Z:Z,"Rejected",'QA Log'!L:L,"*Vignette [4]: The management of presumptive TB patient*")
  )
)</f>
        <v/>
      </c>
      <c r="BC126" s="107" t="str">
        <f t="shared" si="9"/>
        <v/>
      </c>
      <c r="BD126" s="103" t="str">
        <f t="shared" si="10"/>
        <v/>
      </c>
      <c r="BE126" s="102" t="str">
        <f>IF(A126="","",SUM(
COUNTIFS('QA Log'!D:D,A126,'QA Log'!M:M,"Vignette",'QA Log'!L:L,"*Vignette [5] Labor*"),
COUNTIFS('QA Log'!D:D,A126,'QA Log'!M:M,"Vignette",'QA Log'!L:L,"*Vignette [6] PNC pre Discharge*"),
COUNTIFS('QA Log'!D:D,A126,'QA Log'!M:M,"Vignette",'QA Log'!L:L,"*Vignette [7] First ANC Visit*"),
COUNTIFS('QA Log'!D:D,A126,'QA Log'!M:M,"Vignette",'QA Log'!L:L,"*Vignette [8] Birth Spacing/ Family Planning :  FP Counselling*"),
COUNTIFS('QA Log'!D:D,A126,'QA Log'!M:M,"Vignette",'QA Log'!L:L,"*Vignette [9] Birth Spacing: Change FP method to Injectable*"),
COUNTIFS('QA Log'!D:D,A126,'QA Log'!M:M,"Vignette",'QA Log'!L:L,"*Vignette [10] Post Partum Haemorrhage - Atonic Uterus at Health Centre*"),
)
)</f>
        <v/>
      </c>
      <c r="BF126" s="102" t="str">
        <f>IF(A126="","",
  SUM(
    COUNTIFS('QA Log'!D:D,A126,'QA Log'!M:M,"Vignette",'QA Log'!Z:Z,"Approved",'QA Log'!L:L,"*Vignette [5] Labor*"),
    COUNTIFS('QA Log'!D:D,A126,'QA Log'!M:M,"Vignette",'QA Log'!Z:Z,"Approved",'QA Log'!L:L,"*Vignette [6] PNC pre Discharge*"),
    COUNTIFS('QA Log'!D:D,A126,'QA Log'!M:M,"Vignette",'QA Log'!Z:Z,"Approved",'QA Log'!L:L,"*Vignette [7] First ANC Visit*"),
    COUNTIFS('QA Log'!D:D,A126,'QA Log'!M:M,"Vignette",'QA Log'!Z:Z,"Approved",'QA Log'!L:L,"*Vignette [8] Birth Spacing/ Family Planning :  FP Counselling*"),
    COUNTIFS('QA Log'!D:D,A126,'QA Log'!M:M,"Vignette",'QA Log'!Z:Z,"Approved",'QA Log'!L:L,"*Vignette [9] Birth Spacing: Change FP method to Injectable*"),
    COUNTIFS('QA Log'!D:D,A126,'QA Log'!M:M,"Vignette",'QA Log'!Z:Z,"Approved",'QA Log'!L:L,"*Vignette [10] Post Partum Haemorrhage - Atonic Uterus at Health Centre*")
  )
)</f>
        <v/>
      </c>
      <c r="BG126" s="105" t="str">
        <f>IF(A126&lt;&gt;"",COUNTIFS('QA Log'!D:D,A126,'QA Log'!M:M,"Vignette",'QA Log'!L:L,"Vignette [5] Labor",'QA Log'!Z:Z,"Approved"),"")</f>
        <v/>
      </c>
      <c r="BH126" s="105" t="str">
        <f>IF(A126&lt;&gt;"",COUNTIFS('QA Log'!D:D,A126,'QA Log'!M:M,"Vignette",'QA Log'!L:L,"Vignette [6] PNC pre Discharge",'QA Log'!Z:Z,"Approved"),"")</f>
        <v/>
      </c>
      <c r="BI126" s="105" t="str">
        <f>IF(A126&lt;&gt;"",COUNTIFS('QA Log'!D:D,A126,'QA Log'!M:M,"Vignette",'QA Log'!L:L,"Vignette [7] First ANC Visit",'QA Log'!Z:Z,"Approved"),"")</f>
        <v/>
      </c>
      <c r="BJ126" s="105" t="str">
        <f>IF(A126&lt;&gt;"",COUNTIFS('QA Log'!D:D,A126,'QA Log'!M:M,"Vignette",'QA Log'!L:L,"Vignette [8] Birth Spacing/ Family Planning :  FP Counselling",'QA Log'!Z:Z,"Approved"),"")</f>
        <v/>
      </c>
      <c r="BK126" s="105" t="str">
        <f>IF(A126&lt;&gt;"",COUNTIFS('QA Log'!D:D,A126,'QA Log'!M:M,"Vignette",'QA Log'!L:L,"Vignette [9] Birth Spacing: Change FP method to Injectable",'QA Log'!Z:Z,"Approved"),"")</f>
        <v/>
      </c>
      <c r="BL126" s="105" t="str">
        <f>IF(A126&lt;&gt;"",COUNTIFS('QA Log'!D:D,A126,'QA Log'!M:M,"Vignette",'QA Log'!L:L,"Vignette [10] Post Partum Haemorrhage - Atonic Uterus at Health Centre",'QA Log'!Z:Z,"Approved"),"")</f>
        <v/>
      </c>
      <c r="BM126" s="102" t="str">
        <f>IF(A126="","",SUM(
    COUNTIFS('QA Log'!D:D,A126,'QA Log'!M:M,"Vignette",'QA Log'!Z:Z,"Rejected",'QA Log'!L:L,"*Vignette [5] Labor*"),
    COUNTIFS('QA Log'!D:D,A126,'QA Log'!M:M,"Vignette",'QA Log'!Z:Z,"Rejected",'QA Log'!L:L,"*Vignette [6] PNC pre Discharge*"),
    COUNTIFS('QA Log'!D:D,A126,'QA Log'!M:M,"Vignette",'QA Log'!Z:Z,"Rejected",'QA Log'!L:L,"*Vignette [7] First ANC Visit*"),
    COUNTIFS('QA Log'!D:D,A126,'QA Log'!M:M,"Vignette",'QA Log'!Z:Z,"Rejected",'QA Log'!L:L,"*Vignette [8] Birth Spacing/ Family Planning :  FP Counselling*"),
    COUNTIFS('QA Log'!D:D,A126,'QA Log'!M:M,"Vignette",'QA Log'!Z:Z,"Rejected",'QA Log'!L:L,"*Vignette [9] Birth Spacing: Change FP method to Injectable*"),
    COUNTIFS('QA Log'!D:D,A126,'QA Log'!M:M,"Vignette",'QA Log'!Z:Z,"Rejected",'QA Log'!L:L,"*Vignette [10] Post Partum Haemorrhage - Atonic Uterus at Health Centre*")
  )
)</f>
        <v/>
      </c>
      <c r="BN126" s="107" t="str">
        <f t="shared" si="11"/>
        <v/>
      </c>
      <c r="BO126" s="103" t="str">
        <f t="shared" si="12"/>
        <v/>
      </c>
      <c r="BP126" s="102" t="str">
        <f>IF(A126="","",SUM(
COUNTIFS('QA Log'!D:D,A126,'QA Log'!M:M,"Vignette",'QA Log'!L:L,"*Exit Interview 1*"),
COUNTIFS('QA Log'!D:D,A126,'QA Log'!M:M,"Vignette",'QA Log'!L:L,"*Exit Interview 2*"),
)
)</f>
        <v/>
      </c>
      <c r="BQ126" s="102" t="str">
        <f>IF(
  A126="","",
  SUM(
    COUNTIFS('QA Log'!D:D,A126,'QA Log'!M:M,"Vignette",'QA Log'!Z:Z,"Approved",'QA Log'!L:L,"*Exit Interview 1*"),
    COUNTIFS('QA Log'!D:D,A126,'QA Log'!M:M,"Vignette",'QA Log'!Z:Z,"Approved",'QA Log'!L:L,"*Exit Interview 2*")
  )
)</f>
        <v/>
      </c>
      <c r="BR126" s="105" t="str">
        <f>IF(A126&lt;&gt;"",COUNTIFS('QA Log'!D:D,A126,'QA Log'!M:M,"Vignette",'QA Log'!L:L,"Exit Interview 1",'QA Log'!Z:Z,"Approved"),"")</f>
        <v/>
      </c>
      <c r="BS126" s="105" t="str">
        <f>IF(A126&lt;&gt;"",COUNTIFS('QA Log'!D:D,A126,'QA Log'!M:M,"Vignette",'QA Log'!L:L,"Exit Interview 2",'QA Log'!Z:Z,"Approved"),"")</f>
        <v/>
      </c>
      <c r="BT126" s="102" t="str">
        <f>IF(
  A126="","",
  SUM(
    COUNTIFS('QA Log'!D:D,A126,'QA Log'!M:M,"Vignette",'QA Log'!Z:Z,"Rejected",'QA Log'!L:L,"*Exit Interview 1*"),
    COUNTIFS('QA Log'!D:D,A126,'QA Log'!M:M,"Vignette",'QA Log'!Z:Z,"Rejected",'QA Log'!L:L,"*Exit Interview 2*")
  )
)</f>
        <v/>
      </c>
      <c r="BU126" s="107" t="str">
        <f t="shared" si="13"/>
        <v/>
      </c>
      <c r="BV126" s="102" t="str">
        <f t="shared" si="14"/>
        <v/>
      </c>
      <c r="BW126" s="102" t="str">
        <f t="shared" si="15"/>
        <v/>
      </c>
      <c r="BX126" s="102" t="str">
        <f t="shared" si="16"/>
        <v/>
      </c>
      <c r="BY126" s="102" t="str">
        <f t="shared" si="17"/>
        <v/>
      </c>
      <c r="BZ126" s="107" t="str">
        <f t="shared" si="18"/>
        <v/>
      </c>
      <c r="CA126" s="108" t="str">
        <f t="shared" si="19"/>
        <v/>
      </c>
      <c r="CB126" s="108" t="str">
        <f t="shared" si="20"/>
        <v/>
      </c>
      <c r="CC126" s="109" t="str">
        <f t="shared" si="21"/>
        <v/>
      </c>
      <c r="CD126" s="108" t="str">
        <f t="shared" si="22"/>
        <v/>
      </c>
      <c r="CE126" s="108" t="str">
        <f t="shared" si="23"/>
        <v/>
      </c>
      <c r="CF126" s="109" t="str">
        <f t="shared" si="24"/>
        <v/>
      </c>
      <c r="CG126" s="110" t="str">
        <f t="shared" si="25"/>
        <v/>
      </c>
      <c r="CH126" s="111"/>
    </row>
    <row r="127" spans="1:86" ht="12.75">
      <c r="A127" s="101"/>
      <c r="B127" s="102" t="e">
        <f t="array" aca="1" ref="B127" ca="1">_xludf.XLOOKUP(A127,'QA Log'!D:D,'QA Log'!E:E,"")</f>
        <v>#NAME?</v>
      </c>
      <c r="C127" s="102" t="e">
        <f t="array" aca="1" ref="C127" ca="1">_xludf.XLOOKUP(A127,'QA Log'!D:D,'QA Log'!F:F,"")</f>
        <v>#NAME?</v>
      </c>
      <c r="D127" s="102" t="e">
        <f t="array" aca="1" ref="D127" ca="1">_xludf.XLOOKUP(A127,'QA Log'!D:D,'QA Log'!H:H,"")</f>
        <v>#NAME?</v>
      </c>
      <c r="E127" s="102" t="e">
        <f t="array" aca="1" ref="E127" ca="1">_xludf.XLOOKUP(A127,'QA Log'!D:D,'QA Log'!G:G,"")</f>
        <v>#NAME?</v>
      </c>
      <c r="F127" s="103"/>
      <c r="G127" s="104"/>
      <c r="H127" s="104"/>
      <c r="I127" s="103" t="str">
        <f t="shared" si="0"/>
        <v/>
      </c>
      <c r="J127" s="102" t="str">
        <f>IF(A127="","",SUM(
COUNTIFS('QA Log'!D:D,A127,'QA Log'!M:M,"QQC",'QA Log'!L:L,"*1. General Management*"),
COUNTIFS('QA Log'!D:D,A127,'QA Log'!M:M,"QQC",'QA Log'!L:L,"*3. Curative Consultation (OPD)*"),
COUNTIFS('QA Log'!D:D,A127,'QA Log'!M:M,"QQC",'QA Log'!L:L,"*5. Laboratory*"),
COUNTIFS('QA Log'!D:D,A127,'QA Log'!M:M,"QQC",'QA Log'!L:L,"*6. Essential Medicine Management*"),
COUNTIFS('QA Log'!D:D,A127,'QA Log'!M:M,"QQC",'QA Log'!L:L,"*7. Tracer Medicine*"),
COUNTIFS('QA Log'!D:D,A127,'QA Log'!M:M,"QQC",'QA Log'!L:L,"*11. Additional Questions*")))</f>
        <v/>
      </c>
      <c r="K127" s="102" t="str">
        <f>IF(A127="","",SUM(
COUNTIFS('QA Log'!D:D,A127,'QA Log'!M:M,"QQC",'QA Log'!Z:Z,"Approved",'QA Log'!L:L,"*1. General Management*"),
COUNTIFS('QA Log'!D:D,A127,'QA Log'!M:M,"QQC",'QA Log'!Z:Z,"Approved",'QA Log'!L:L,"*3. Curative Consultation (OPD)*"),
COUNTIFS('QA Log'!D:D,A127,'QA Log'!M:M,"QQC",'QA Log'!Z:Z,"Approved",'QA Log'!L:L,"*5. Laboratory*"),
COUNTIFS('QA Log'!D:D,A127,'QA Log'!M:M,"QQC",'QA Log'!Z:Z,"Approved",'QA Log'!L:L,"*6. Essential Medicine Management*"),
COUNTIFS('QA Log'!D:D,A127,'QA Log'!M:M,"QQC",'QA Log'!Z:Z,"Approved",'QA Log'!L:L,"*7. Tracer Medicine*"),
COUNTIFS('QA Log'!D:D,A127,'QA Log'!M:M,"QQC",'QA Log'!Z:Z,"Approved",'QA Log'!L:L,"*11. Additional Questions*")))</f>
        <v/>
      </c>
      <c r="L127" s="105" t="str">
        <f>IF(A127&lt;&gt;"",COUNTIFS('QA Log'!D:D,A127,'QA Log'!M:M,"QQC",'QA Log'!L:L,"1. General Management",'QA Log'!Z:Z,"Approved"),"")</f>
        <v/>
      </c>
      <c r="M127" s="105" t="str">
        <f>IF(A127&lt;&gt;"",COUNTIFS('QA Log'!D:D,A127,'QA Log'!M:M,"QQC",'QA Log'!L:L,"3. Curative Consultation (OPD)",'QA Log'!Z:Z,"Approved"),"")</f>
        <v/>
      </c>
      <c r="N127" s="105" t="str">
        <f>IF(A127&lt;&gt;"",COUNTIFS('QA Log'!D:D,A127,'QA Log'!M:M,"QQC",'QA Log'!L:L,"5. Laboratory",'QA Log'!Z:Z,"Approved"),"")</f>
        <v/>
      </c>
      <c r="O127" s="105" t="str">
        <f>IF(A127&lt;&gt;"",COUNTIFS('QA Log'!D:D,A127,'QA Log'!M:M,"QQC",'QA Log'!L:L,"6. Essential Medicine Management",'QA Log'!Z:Z,"Approved"),"")</f>
        <v/>
      </c>
      <c r="P127" s="105" t="str">
        <f>IF(A127&lt;&gt;"",COUNTIFS('QA Log'!D:D,A127,'QA Log'!M:M,"QQC",'QA Log'!L:L,"7. Tracer Medicine",'QA Log'!Z:Z,"Approved"),"")</f>
        <v/>
      </c>
      <c r="Q127" s="105" t="str">
        <f>IF(A127&lt;&gt;"",COUNTIFS('QA Log'!D:D,A127,'QA Log'!M:M,"QQC",'QA Log'!L:L,"11. Additional Questions",'QA Log'!Z:Z,"Approved"),"")</f>
        <v/>
      </c>
      <c r="R127" s="102" t="str">
        <f>IF(A127="","",SUM(
COUNTIFS('QA Log'!D:D,A127,'QA Log'!M:M,"QQC",'QA Log'!Z:Z,"Rejected",'QA Log'!L:L,"*8. Maternity*"),
COUNTIFS('QA Log'!D:D,A127,'QA Log'!M:M,"QQC",'QA Log'!Z:Z,"Rejected",'QA Log'!L:L,"*EPI*"),
COUNTIFS('QA Log'!D:D,A127,'QA Log'!M:M,"QQC",'QA Log'!Z:Z,"Rejected",'QA Log'!L:L,"*10. Antenatal Care (ANC)*"),
COUNTIFS('QA Log'!D:D,A127,'QA Log'!M:M,"QQC",'QA Log'!Z:Z,"Rejected",'QA Log'!L:L,"*2. Hygiene and Sterilization*"),
COUNTIFS('QA Log'!D:D,A127,'QA Log'!M:M,"QQC",'QA Log'!Z:Z,"Rejected",'QA Log'!L:L,"*Family Planning*")))</f>
        <v/>
      </c>
      <c r="S127" s="106" t="str">
        <f t="shared" si="1"/>
        <v/>
      </c>
      <c r="T127" s="102" t="str">
        <f t="shared" si="2"/>
        <v/>
      </c>
      <c r="U127" s="102" t="str">
        <f>IF(A127="","",
SUM(
COUNTIFS('QA Log'!D:D,A127,'QA Log'!M:M,"QQC",'QA Log'!L:L,"*8. Maternity*"),
COUNTIFS('QA Log'!D:D,A127,'QA Log'!M:M,"QQC",'QA Log'!L:L,"*9. EPI and Pre-school Consultation*"),
COUNTIFS('QA Log'!D:D,A127,'QA Log'!M:M,"QQC",'QA Log'!L:L,"*10. Antenatal Care (ANC)*"),
COUNTIFS('QA Log'!D:D,A127,'QA Log'!M:M,"QQC",'QA Log'!L:L,"*2. Hygiene and Sterilization*"),
COUNTIFS('QA Log'!D:D,A127,'QA Log'!M:M,"QQC",'QA Log'!L:L,"*4. Family Planning*")
))</f>
        <v/>
      </c>
      <c r="V127" s="102" t="str">
        <f>IF(A127="","",
SUM(
COUNTIFS('QA Log'!D:D,A127,'QA Log'!M:M,"QQC",'QA Log'!Z:Z,"Approved",'QA Log'!L:L,"*8. Maternity*"),
COUNTIFS('QA Log'!D:D,A127,'QA Log'!M:M,"QQC",'QA Log'!Z:Z,"Approved",'QA Log'!L:L,"*9. EPI and Pre-school Consultation*"),
COUNTIFS('QA Log'!D:D,A127,'QA Log'!M:M,"QQC",'QA Log'!Z:Z,"Approved",'QA Log'!L:L,"*10. Antenatal Care (ANC)*"),
COUNTIFS('QA Log'!D:D,A127,'QA Log'!M:M,"QQC",'QA Log'!Z:Z,"Approved",'QA Log'!L:L,"*2. Hygiene and Sterilization*"),
COUNTIFS('QA Log'!D:D,A127,'QA Log'!M:M,"QQC",'QA Log'!Z:Z,"Approved",'QA Log'!L:L,"*4. Family Planning*")
))</f>
        <v/>
      </c>
      <c r="W127" s="105" t="str">
        <f>IF(A127&lt;&gt;"",COUNTIFS('QA Log'!D:D,A127,'QA Log'!M:M,"QQC",'QA Log'!L:L,"8. Maternity",'QA Log'!Z:Z,"Approved"),"")</f>
        <v/>
      </c>
      <c r="X127" s="105" t="str">
        <f>IF(A127&lt;&gt;"",COUNTIFS('QA Log'!D:D,A127,'QA Log'!M:M,"QQC",'QA Log'!L:L,"9. EPI and Pre-school Consultation",'QA Log'!Z:Z,"Approved"),"")</f>
        <v/>
      </c>
      <c r="Y127" s="105" t="str">
        <f>IF(A127&lt;&gt;"",COUNTIFS('QA Log'!D:D,A127,'QA Log'!M:M,"QQC",'QA Log'!L:L,"10. Antenatal Care (ANC)",'QA Log'!Z:Z,"Approved"),"")</f>
        <v/>
      </c>
      <c r="Z127" s="105" t="str">
        <f>IF(A127&lt;&gt;"",COUNTIFS('QA Log'!D:D,A127,'QA Log'!M:M,"QQC",'QA Log'!L:L,"2. Hygiene and Sterilization",'QA Log'!Z:Z,"Approved"),"")</f>
        <v/>
      </c>
      <c r="AA127" s="105" t="str">
        <f>IF(A127&lt;&gt;"",COUNTIFS('QA Log'!D:D,A127,'QA Log'!M:M,"QQC",'QA Log'!L:L,"4. Family Planning",'QA Log'!Z:Z,"Approved"),"")</f>
        <v/>
      </c>
      <c r="AB127" s="102" t="str">
        <f>IF(A127="","",
SUM(
COUNTIFS('QA Log'!D:D,A127,'QA Log'!M:M,"QQC",'QA Log'!Z:Z,"Rejected",'QA Log'!L:L,"*8. Maternity*"),
COUNTIFS('QA Log'!D:D,A127,'QA Log'!M:M,"QQC",'QA Log'!Z:Z,"Rejected",'QA Log'!L:L,"*9. EPI and Pre-school Consultation*"),
COUNTIFS('QA Log'!D:D,A127,'QA Log'!M:M,"QQC",'QA Log'!Z:Z,"Rejected",'QA Log'!L:L,"*10. Antenatal Care (ANC)*"),
COUNTIFS('QA Log'!D:D,A127,'QA Log'!M:M,"QQC",'QA Log'!Z:Z,"Rejected",'QA Log'!L:L,"*2. Hygiene and Sterilization*"),
COUNTIFS('QA Log'!D:D,A127,'QA Log'!M:M,"QQC",'QA Log'!Z:Z,"Rejected",'QA Log'!L:L,"*4. Family Planning*")
))</f>
        <v/>
      </c>
      <c r="AC127" s="102" t="str">
        <f t="shared" si="3"/>
        <v/>
      </c>
      <c r="AD127" s="103" t="str">
        <f t="shared" si="4"/>
        <v/>
      </c>
      <c r="AE127" s="102" t="str">
        <f>IF(A127="","",
SUM(
COUNTIFS('QA Log'!D:D,A127,'QA Log'!M:M,"Data Verification",'QA Log'!L:L,"*Medicine (section 2)*"),
COUNTIFS('QA Log'!D:D,A127,'QA Log'!M:M,"Data Verification",'QA Log'!L:L,"*Lab Testing Availability*"),
COUNTIFS('QA Log'!D:D,A127,'QA Log'!M:M,"Data Verification",'QA Log'!L:L,"*Other than P4P (section 6)*"),
COUNTIFS('QA Log'!D:D,A127,'QA Log'!M:M,"Data Verification",'QA Log'!L:L,"*Hospital Governance*")
))</f>
        <v/>
      </c>
      <c r="AF127" s="102" t="str">
        <f>IF(A127="","",
SUM(
COUNTIFS('QA Log'!D:D,A127,'QA Log'!M:M,"Data Verification",'QA Log'!Z:Z,"Approved",'QA Log'!L:L,"*Medicine (section 2)*"),
COUNTIFS('QA Log'!D:D,A127,'QA Log'!M:M,"Data Verification",'QA Log'!Z:Z,"Approved",'QA Log'!L:L,"*Lab Testing Availability*"),
COUNTIFS('QA Log'!D:D,A127,'QA Log'!M:M,"Data Verification",'QA Log'!Z:Z,"Approved",'QA Log'!L:L,"*Other than P4P (section 6)*"),
COUNTIFS('QA Log'!D:D,A127,'QA Log'!M:M,"Data Verification",'QA Log'!Z:Z,"Approved",'QA Log'!L:L,"*Hospital Governance*")
))</f>
        <v/>
      </c>
      <c r="AG127" s="105" t="str">
        <f>IF(A127&lt;&gt;"",COUNTIFS('QA Log'!D:D,A127,'QA Log'!M:M,"Data Verification",'QA Log'!L:L,"Medicine (section 2)",'QA Log'!Z:Z,"Approved"),"")</f>
        <v/>
      </c>
      <c r="AH127" s="105" t="str">
        <f>IF(A127&lt;&gt;"",COUNTIFS('QA Log'!D:D,A127,'QA Log'!M:M,"Data Verification",'QA Log'!L:L,"Lab Testing Availability",'QA Log'!Z:Z,"Approved"),"")</f>
        <v/>
      </c>
      <c r="AI127" s="105" t="str">
        <f>IF(A127&lt;&gt;"",COUNTIFS('QA Log'!D:D,A127,'QA Log'!M:M,"Data Verification",'QA Log'!L:L,"Other than P4P (section 6)",'QA Log'!Z:Z,"Approved"),"")</f>
        <v/>
      </c>
      <c r="AJ127" s="105" t="str">
        <f>IF(A127&lt;&gt;"",COUNTIFS('QA Log'!D:D,A127,'QA Log'!M:M,"Data Verification",'QA Log'!L:L,"Hospital Governance",'QA Log'!Z:Z,"Approved"),"")</f>
        <v/>
      </c>
      <c r="AK127" s="102" t="str">
        <f>IF(A127="","",
SUM(
COUNTIFS('QA Log'!D:D,A127,'QA Log'!M:M,"Data Verification",'QA Log'!Z:Z,"Rejected",'QA Log'!L:L,"*Medicine (section 2)*"),
COUNTIFS('QA Log'!D:D,A127,'QA Log'!M:M,"Data Verification",'QA Log'!Z:Z,"Rejected",'QA Log'!L:L,"*Lab Testing Availability*"),
COUNTIFS('QA Log'!D:D,A127,'QA Log'!M:M,"Data Verification",'QA Log'!Z:Z,"Rejected",'QA Log'!L:L,"*Other than P4P (section 6)*"),
COUNTIFS('QA Log'!D:D,A127,'QA Log'!M:M,"Data Verification",'QA Log'!Z:Z,"Rejected",'QA Log'!L:L,"*Hospital Governance*")
))</f>
        <v/>
      </c>
      <c r="AL127" s="106" t="str">
        <f t="shared" si="5"/>
        <v/>
      </c>
      <c r="AM127" s="102" t="str">
        <f t="shared" si="6"/>
        <v/>
      </c>
      <c r="AN127" s="102" t="str">
        <f>IF(A127="","",
SUM(
COUNTIFS('QA Log'!D:D,A127,'QA Log'!M:M,"Data Verification",'QA Log'!L:L,"*Personnel (section 1)*"),
COUNTIFS('QA Log'!D:D,A127,'QA Log'!M:M,"Data Verification",'QA Log'!L:L,"*Consumable (section 3)*"),
COUNTIFS('QA Log'!D:D,A127,'QA Log'!M:M,"Data Verification",'QA Log'!L:L,"*Equipments (section 4)*")
))</f>
        <v/>
      </c>
      <c r="AO127" s="102" t="str">
        <f>IF(A127="","",
SUM(
COUNTIFS('QA Log'!D:D,A127,'QA Log'!M:M,"Data Verification",'QA Log'!Z:Z,"Approved",'QA Log'!L:L,"*Personnel (section 1)*"),
COUNTIFS('QA Log'!D:D,A127,'QA Log'!M:M,"Data Verification",'QA Log'!Z:Z,"Approved",'QA Log'!L:L,"*Consumable (section 3)*"),
COUNTIFS('QA Log'!D:D,A127,'QA Log'!M:M,"Data Verification",'QA Log'!Z:Z,"Approved",'QA Log'!L:L,"*Equipments (section 4)*")
))</f>
        <v/>
      </c>
      <c r="AP127" s="105" t="str">
        <f>IF(A127&lt;&gt;"",COUNTIFS('QA Log'!D:D,A127,'QA Log'!M:M,"Data Verification",'QA Log'!L:L,"Personnel (section 1)",'QA Log'!Z:Z,"Approved"),"")</f>
        <v/>
      </c>
      <c r="AQ127" s="105" t="str">
        <f>IF(A127&lt;&gt;"",COUNTIFS('QA Log'!D:D,A127,'QA Log'!M:M,"Data Verification",'QA Log'!L:L,"Consumable (section 3)",'QA Log'!Z:Z,"Approved"),"")</f>
        <v/>
      </c>
      <c r="AR127" s="105" t="str">
        <f>IF(A127&lt;&gt;"",COUNTIFS('QA Log'!D:D,A127,'QA Log'!M:M,"Data Verification",'QA Log'!L:L,"Equipments (section 4)",'QA Log'!Z:Z,"Approved"),"")</f>
        <v/>
      </c>
      <c r="AS127" s="102" t="str">
        <f>IF(A127="","",
SUM(
COUNTIFS('QA Log'!D:D,A127,'QA Log'!M:M,"Data Verification",'QA Log'!Z:Z,"Rejected",'QA Log'!L:L,"*Personnel (section 1)*"),
COUNTIFS('QA Log'!D:D,A127,'QA Log'!M:M,"Data Verification",'QA Log'!Z:Z,"Rejected",'QA Log'!L:L,"*Consumable (section 3)*"),
COUNTIFS('QA Log'!D:D,A127,'QA Log'!M:M,"Data Verification",'QA Log'!Z:Z,"Rejected",'QA Log'!L:L,"*Equipments (section 4)*")
))</f>
        <v/>
      </c>
      <c r="AT127" s="102" t="str">
        <f t="shared" si="7"/>
        <v/>
      </c>
      <c r="AU127" s="103" t="str">
        <f t="shared" si="8"/>
        <v/>
      </c>
      <c r="AV127" s="102" t="str">
        <f>IF(A127="","",SUM(
COUNTIFS('QA Log'!D:D,A127,'QA Log'!M:M,"Vignette",'QA Log'!L:L,"*Vignette [1] Respiratory Infection: Pneumonia*"),
COUNTIFS('QA Log'!D:D,A127,'QA Log'!M:M,"Vignette",'QA Log'!L:L,"*Vignette [2]: Diarrhea with Cat B dehydration*"),
COUNTIFS('QA Log'!D:D,A127,'QA Log'!M:M,"Vignette",'QA Log'!L:L,"*Vignette [3] Growth Monitoring and Promotion*"),
COUNTIFS('QA Log'!D:D,A127,'QA Log'!M:M,"Vignette",'QA Log'!L:L,"*Vignette [4]: The management of presumptive TB patient*")
)
)</f>
        <v/>
      </c>
      <c r="AW127" s="102" t="str">
        <f>IF(
  A127="","",
  SUM(
    COUNTIFS('QA Log'!D:D,A127,'QA Log'!M:M,"Vignette",'QA Log'!Z:Z,"Approved",'QA Log'!L:L,"*Vignette [1] Respiratory Infection: Pneumonia*"),
    COUNTIFS('QA Log'!D:D,A127,'QA Log'!M:M,"Vignette",'QA Log'!Z:Z,"Approved",'QA Log'!L:L,"*Vignette [2]: Diarrhea with Cat B dehydration*"),
    COUNTIFS('QA Log'!D:D,A127,'QA Log'!M:M,"Vignette",'QA Log'!Z:Z,"Approved",'QA Log'!L:L,"*Vignette [3] Growth Monitoring and Promotion*"),
    COUNTIFS('QA Log'!D:D,A127,'QA Log'!M:M,"Vignette",'QA Log'!Z:Z,"Approved",'QA Log'!L:L,"*Vignette [4]: The management of presumptive TB patient*")
  )
)</f>
        <v/>
      </c>
      <c r="AX127" s="105" t="str">
        <f>IF(A127&lt;&gt;"",COUNTIFS('QA Log'!D:D,A127,'QA Log'!M:M,"Vignette",'QA Log'!L:L,"Vignette [1] Respiratory Infection: Pneumonia",'QA Log'!Z:Z,"Approved"),"")</f>
        <v/>
      </c>
      <c r="AY127" s="105" t="str">
        <f>IF(A127&lt;&gt;"",COUNTIFS('QA Log'!D:D,A127,'QA Log'!M:M,"Vignette",'QA Log'!L:L,"Vignette [2]: Diarrhea with Cat B dehydration",'QA Log'!Z:Z,"Approved"),"")</f>
        <v/>
      </c>
      <c r="AZ127" s="105" t="str">
        <f>IF(A127&lt;&gt;"",COUNTIFS('QA Log'!D:D,A127,'QA Log'!M:M,"Vignette",'QA Log'!L:L,"Vignette [3] Growth Monitoring and Promotion",'QA Log'!Z:Z,"Approved"),"")</f>
        <v/>
      </c>
      <c r="BA127" s="105" t="str">
        <f>IF(A127&lt;&gt;"",COUNTIFS('QA Log'!D:D,A127,'QA Log'!M:M,"Vignette",'QA Log'!L:L,"Vignette [4]: The management of presumptive TB patient",'QA Log'!Z:Z,"Approved"),"")</f>
        <v/>
      </c>
      <c r="BB127" s="102" t="str">
        <f>IF(A127="","",
  SUM(
    COUNTIFS('QA Log'!D:D,A127,'QA Log'!M:M,"Vignette",'QA Log'!Z:Z,"Rejected",'QA Log'!L:L,"*Vignette [1] Respiratory Infection: Pneumonia*"),
    COUNTIFS('QA Log'!D:D,A127,'QA Log'!M:M,"Vignette",'QA Log'!Z:Z,"Rejected",'QA Log'!L:L,"*Vignette [2]: Diarrhea with Cat B dehydration*"),
    COUNTIFS('QA Log'!D:D,A127,'QA Log'!M:M,"Vignette",'QA Log'!Z:Z,"Rejected",'QA Log'!L:L,"*Vignette [3] Growth Monitoring and Promotion*"),
    COUNTIFS('QA Log'!D:D,A127,'QA Log'!M:M,"Vignette",'QA Log'!Z:Z,"Rejected",'QA Log'!L:L,"*Vignette [4]: The management of presumptive TB patient*")
  )
)</f>
        <v/>
      </c>
      <c r="BC127" s="107" t="str">
        <f t="shared" si="9"/>
        <v/>
      </c>
      <c r="BD127" s="103" t="str">
        <f t="shared" si="10"/>
        <v/>
      </c>
      <c r="BE127" s="102" t="str">
        <f>IF(A127="","",SUM(
COUNTIFS('QA Log'!D:D,A127,'QA Log'!M:M,"Vignette",'QA Log'!L:L,"*Vignette [5] Labor*"),
COUNTIFS('QA Log'!D:D,A127,'QA Log'!M:M,"Vignette",'QA Log'!L:L,"*Vignette [6] PNC pre Discharge*"),
COUNTIFS('QA Log'!D:D,A127,'QA Log'!M:M,"Vignette",'QA Log'!L:L,"*Vignette [7] First ANC Visit*"),
COUNTIFS('QA Log'!D:D,A127,'QA Log'!M:M,"Vignette",'QA Log'!L:L,"*Vignette [8] Birth Spacing/ Family Planning :  FP Counselling*"),
COUNTIFS('QA Log'!D:D,A127,'QA Log'!M:M,"Vignette",'QA Log'!L:L,"*Vignette [9] Birth Spacing: Change FP method to Injectable*"),
COUNTIFS('QA Log'!D:D,A127,'QA Log'!M:M,"Vignette",'QA Log'!L:L,"*Vignette [10] Post Partum Haemorrhage - Atonic Uterus at Health Centre*"),
)
)</f>
        <v/>
      </c>
      <c r="BF127" s="102" t="str">
        <f>IF(A127="","",
  SUM(
    COUNTIFS('QA Log'!D:D,A127,'QA Log'!M:M,"Vignette",'QA Log'!Z:Z,"Approved",'QA Log'!L:L,"*Vignette [5] Labor*"),
    COUNTIFS('QA Log'!D:D,A127,'QA Log'!M:M,"Vignette",'QA Log'!Z:Z,"Approved",'QA Log'!L:L,"*Vignette [6] PNC pre Discharge*"),
    COUNTIFS('QA Log'!D:D,A127,'QA Log'!M:M,"Vignette",'QA Log'!Z:Z,"Approved",'QA Log'!L:L,"*Vignette [7] First ANC Visit*"),
    COUNTIFS('QA Log'!D:D,A127,'QA Log'!M:M,"Vignette",'QA Log'!Z:Z,"Approved",'QA Log'!L:L,"*Vignette [8] Birth Spacing/ Family Planning :  FP Counselling*"),
    COUNTIFS('QA Log'!D:D,A127,'QA Log'!M:M,"Vignette",'QA Log'!Z:Z,"Approved",'QA Log'!L:L,"*Vignette [9] Birth Spacing: Change FP method to Injectable*"),
    COUNTIFS('QA Log'!D:D,A127,'QA Log'!M:M,"Vignette",'QA Log'!Z:Z,"Approved",'QA Log'!L:L,"*Vignette [10] Post Partum Haemorrhage - Atonic Uterus at Health Centre*")
  )
)</f>
        <v/>
      </c>
      <c r="BG127" s="105" t="str">
        <f>IF(A127&lt;&gt;"",COUNTIFS('QA Log'!D:D,A127,'QA Log'!M:M,"Vignette",'QA Log'!L:L,"Vignette [5] Labor",'QA Log'!Z:Z,"Approved"),"")</f>
        <v/>
      </c>
      <c r="BH127" s="105" t="str">
        <f>IF(A127&lt;&gt;"",COUNTIFS('QA Log'!D:D,A127,'QA Log'!M:M,"Vignette",'QA Log'!L:L,"Vignette [6] PNC pre Discharge",'QA Log'!Z:Z,"Approved"),"")</f>
        <v/>
      </c>
      <c r="BI127" s="105" t="str">
        <f>IF(A127&lt;&gt;"",COUNTIFS('QA Log'!D:D,A127,'QA Log'!M:M,"Vignette",'QA Log'!L:L,"Vignette [7] First ANC Visit",'QA Log'!Z:Z,"Approved"),"")</f>
        <v/>
      </c>
      <c r="BJ127" s="105" t="str">
        <f>IF(A127&lt;&gt;"",COUNTIFS('QA Log'!D:D,A127,'QA Log'!M:M,"Vignette",'QA Log'!L:L,"Vignette [8] Birth Spacing/ Family Planning :  FP Counselling",'QA Log'!Z:Z,"Approved"),"")</f>
        <v/>
      </c>
      <c r="BK127" s="105" t="str">
        <f>IF(A127&lt;&gt;"",COUNTIFS('QA Log'!D:D,A127,'QA Log'!M:M,"Vignette",'QA Log'!L:L,"Vignette [9] Birth Spacing: Change FP method to Injectable",'QA Log'!Z:Z,"Approved"),"")</f>
        <v/>
      </c>
      <c r="BL127" s="105" t="str">
        <f>IF(A127&lt;&gt;"",COUNTIFS('QA Log'!D:D,A127,'QA Log'!M:M,"Vignette",'QA Log'!L:L,"Vignette [10] Post Partum Haemorrhage - Atonic Uterus at Health Centre",'QA Log'!Z:Z,"Approved"),"")</f>
        <v/>
      </c>
      <c r="BM127" s="102" t="str">
        <f>IF(A127="","",SUM(
    COUNTIFS('QA Log'!D:D,A127,'QA Log'!M:M,"Vignette",'QA Log'!Z:Z,"Rejected",'QA Log'!L:L,"*Vignette [5] Labor*"),
    COUNTIFS('QA Log'!D:D,A127,'QA Log'!M:M,"Vignette",'QA Log'!Z:Z,"Rejected",'QA Log'!L:L,"*Vignette [6] PNC pre Discharge*"),
    COUNTIFS('QA Log'!D:D,A127,'QA Log'!M:M,"Vignette",'QA Log'!Z:Z,"Rejected",'QA Log'!L:L,"*Vignette [7] First ANC Visit*"),
    COUNTIFS('QA Log'!D:D,A127,'QA Log'!M:M,"Vignette",'QA Log'!Z:Z,"Rejected",'QA Log'!L:L,"*Vignette [8] Birth Spacing/ Family Planning :  FP Counselling*"),
    COUNTIFS('QA Log'!D:D,A127,'QA Log'!M:M,"Vignette",'QA Log'!Z:Z,"Rejected",'QA Log'!L:L,"*Vignette [9] Birth Spacing: Change FP method to Injectable*"),
    COUNTIFS('QA Log'!D:D,A127,'QA Log'!M:M,"Vignette",'QA Log'!Z:Z,"Rejected",'QA Log'!L:L,"*Vignette [10] Post Partum Haemorrhage - Atonic Uterus at Health Centre*")
  )
)</f>
        <v/>
      </c>
      <c r="BN127" s="107" t="str">
        <f t="shared" si="11"/>
        <v/>
      </c>
      <c r="BO127" s="103" t="str">
        <f t="shared" si="12"/>
        <v/>
      </c>
      <c r="BP127" s="102" t="str">
        <f>IF(A127="","",SUM(
COUNTIFS('QA Log'!D:D,A127,'QA Log'!M:M,"Vignette",'QA Log'!L:L,"*Exit Interview 1*"),
COUNTIFS('QA Log'!D:D,A127,'QA Log'!M:M,"Vignette",'QA Log'!L:L,"*Exit Interview 2*"),
)
)</f>
        <v/>
      </c>
      <c r="BQ127" s="102" t="str">
        <f>IF(
  A127="","",
  SUM(
    COUNTIFS('QA Log'!D:D,A127,'QA Log'!M:M,"Vignette",'QA Log'!Z:Z,"Approved",'QA Log'!L:L,"*Exit Interview 1*"),
    COUNTIFS('QA Log'!D:D,A127,'QA Log'!M:M,"Vignette",'QA Log'!Z:Z,"Approved",'QA Log'!L:L,"*Exit Interview 2*")
  )
)</f>
        <v/>
      </c>
      <c r="BR127" s="105" t="str">
        <f>IF(A127&lt;&gt;"",COUNTIFS('QA Log'!D:D,A127,'QA Log'!M:M,"Vignette",'QA Log'!L:L,"Exit Interview 1",'QA Log'!Z:Z,"Approved"),"")</f>
        <v/>
      </c>
      <c r="BS127" s="105" t="str">
        <f>IF(A127&lt;&gt;"",COUNTIFS('QA Log'!D:D,A127,'QA Log'!M:M,"Vignette",'QA Log'!L:L,"Exit Interview 2",'QA Log'!Z:Z,"Approved"),"")</f>
        <v/>
      </c>
      <c r="BT127" s="102" t="str">
        <f>IF(
  A127="","",
  SUM(
    COUNTIFS('QA Log'!D:D,A127,'QA Log'!M:M,"Vignette",'QA Log'!Z:Z,"Rejected",'QA Log'!L:L,"*Exit Interview 1*"),
    COUNTIFS('QA Log'!D:D,A127,'QA Log'!M:M,"Vignette",'QA Log'!Z:Z,"Rejected",'QA Log'!L:L,"*Exit Interview 2*")
  )
)</f>
        <v/>
      </c>
      <c r="BU127" s="107" t="str">
        <f t="shared" si="13"/>
        <v/>
      </c>
      <c r="BV127" s="102" t="str">
        <f t="shared" si="14"/>
        <v/>
      </c>
      <c r="BW127" s="102" t="str">
        <f t="shared" si="15"/>
        <v/>
      </c>
      <c r="BX127" s="102" t="str">
        <f t="shared" si="16"/>
        <v/>
      </c>
      <c r="BY127" s="102" t="str">
        <f t="shared" si="17"/>
        <v/>
      </c>
      <c r="BZ127" s="107" t="str">
        <f t="shared" si="18"/>
        <v/>
      </c>
      <c r="CA127" s="108" t="str">
        <f t="shared" si="19"/>
        <v/>
      </c>
      <c r="CB127" s="108" t="str">
        <f t="shared" si="20"/>
        <v/>
      </c>
      <c r="CC127" s="109" t="str">
        <f t="shared" si="21"/>
        <v/>
      </c>
      <c r="CD127" s="108" t="str">
        <f t="shared" si="22"/>
        <v/>
      </c>
      <c r="CE127" s="108" t="str">
        <f t="shared" si="23"/>
        <v/>
      </c>
      <c r="CF127" s="109" t="str">
        <f t="shared" si="24"/>
        <v/>
      </c>
      <c r="CG127" s="110" t="str">
        <f t="shared" si="25"/>
        <v/>
      </c>
      <c r="CH127" s="111"/>
    </row>
    <row r="128" spans="1:86" ht="12.75">
      <c r="A128" s="101"/>
      <c r="B128" s="102" t="e">
        <f t="array" aca="1" ref="B128" ca="1">_xludf.XLOOKUP(A128,'QA Log'!D:D,'QA Log'!E:E,"")</f>
        <v>#NAME?</v>
      </c>
      <c r="C128" s="102" t="e">
        <f t="array" aca="1" ref="C128" ca="1">_xludf.XLOOKUP(A128,'QA Log'!D:D,'QA Log'!F:F,"")</f>
        <v>#NAME?</v>
      </c>
      <c r="D128" s="102" t="e">
        <f t="array" aca="1" ref="D128" ca="1">_xludf.XLOOKUP(A128,'QA Log'!D:D,'QA Log'!H:H,"")</f>
        <v>#NAME?</v>
      </c>
      <c r="E128" s="102" t="e">
        <f t="array" aca="1" ref="E128" ca="1">_xludf.XLOOKUP(A128,'QA Log'!D:D,'QA Log'!G:G,"")</f>
        <v>#NAME?</v>
      </c>
      <c r="F128" s="103"/>
      <c r="G128" s="104"/>
      <c r="H128" s="104"/>
      <c r="I128" s="103" t="str">
        <f t="shared" si="0"/>
        <v/>
      </c>
      <c r="J128" s="102" t="str">
        <f>IF(A128="","",SUM(
COUNTIFS('QA Log'!D:D,A128,'QA Log'!M:M,"QQC",'QA Log'!L:L,"*1. General Management*"),
COUNTIFS('QA Log'!D:D,A128,'QA Log'!M:M,"QQC",'QA Log'!L:L,"*3. Curative Consultation (OPD)*"),
COUNTIFS('QA Log'!D:D,A128,'QA Log'!M:M,"QQC",'QA Log'!L:L,"*5. Laboratory*"),
COUNTIFS('QA Log'!D:D,A128,'QA Log'!M:M,"QQC",'QA Log'!L:L,"*6. Essential Medicine Management*"),
COUNTIFS('QA Log'!D:D,A128,'QA Log'!M:M,"QQC",'QA Log'!L:L,"*7. Tracer Medicine*"),
COUNTIFS('QA Log'!D:D,A128,'QA Log'!M:M,"QQC",'QA Log'!L:L,"*11. Additional Questions*")))</f>
        <v/>
      </c>
      <c r="K128" s="102" t="str">
        <f>IF(A128="","",SUM(
COUNTIFS('QA Log'!D:D,A128,'QA Log'!M:M,"QQC",'QA Log'!Z:Z,"Approved",'QA Log'!L:L,"*1. General Management*"),
COUNTIFS('QA Log'!D:D,A128,'QA Log'!M:M,"QQC",'QA Log'!Z:Z,"Approved",'QA Log'!L:L,"*3. Curative Consultation (OPD)*"),
COUNTIFS('QA Log'!D:D,A128,'QA Log'!M:M,"QQC",'QA Log'!Z:Z,"Approved",'QA Log'!L:L,"*5. Laboratory*"),
COUNTIFS('QA Log'!D:D,A128,'QA Log'!M:M,"QQC",'QA Log'!Z:Z,"Approved",'QA Log'!L:L,"*6. Essential Medicine Management*"),
COUNTIFS('QA Log'!D:D,A128,'QA Log'!M:M,"QQC",'QA Log'!Z:Z,"Approved",'QA Log'!L:L,"*7. Tracer Medicine*"),
COUNTIFS('QA Log'!D:D,A128,'QA Log'!M:M,"QQC",'QA Log'!Z:Z,"Approved",'QA Log'!L:L,"*11. Additional Questions*")))</f>
        <v/>
      </c>
      <c r="L128" s="105" t="str">
        <f>IF(A128&lt;&gt;"",COUNTIFS('QA Log'!D:D,A128,'QA Log'!M:M,"QQC",'QA Log'!L:L,"1. General Management",'QA Log'!Z:Z,"Approved"),"")</f>
        <v/>
      </c>
      <c r="M128" s="105" t="str">
        <f>IF(A128&lt;&gt;"",COUNTIFS('QA Log'!D:D,A128,'QA Log'!M:M,"QQC",'QA Log'!L:L,"3. Curative Consultation (OPD)",'QA Log'!Z:Z,"Approved"),"")</f>
        <v/>
      </c>
      <c r="N128" s="105" t="str">
        <f>IF(A128&lt;&gt;"",COUNTIFS('QA Log'!D:D,A128,'QA Log'!M:M,"QQC",'QA Log'!L:L,"5. Laboratory",'QA Log'!Z:Z,"Approved"),"")</f>
        <v/>
      </c>
      <c r="O128" s="105" t="str">
        <f>IF(A128&lt;&gt;"",COUNTIFS('QA Log'!D:D,A128,'QA Log'!M:M,"QQC",'QA Log'!L:L,"6. Essential Medicine Management",'QA Log'!Z:Z,"Approved"),"")</f>
        <v/>
      </c>
      <c r="P128" s="105" t="str">
        <f>IF(A128&lt;&gt;"",COUNTIFS('QA Log'!D:D,A128,'QA Log'!M:M,"QQC",'QA Log'!L:L,"7. Tracer Medicine",'QA Log'!Z:Z,"Approved"),"")</f>
        <v/>
      </c>
      <c r="Q128" s="105" t="str">
        <f>IF(A128&lt;&gt;"",COUNTIFS('QA Log'!D:D,A128,'QA Log'!M:M,"QQC",'QA Log'!L:L,"11. Additional Questions",'QA Log'!Z:Z,"Approved"),"")</f>
        <v/>
      </c>
      <c r="R128" s="102" t="str">
        <f>IF(A128="","",SUM(
COUNTIFS('QA Log'!D:D,A128,'QA Log'!M:M,"QQC",'QA Log'!Z:Z,"Rejected",'QA Log'!L:L,"*8. Maternity*"),
COUNTIFS('QA Log'!D:D,A128,'QA Log'!M:M,"QQC",'QA Log'!Z:Z,"Rejected",'QA Log'!L:L,"*EPI*"),
COUNTIFS('QA Log'!D:D,A128,'QA Log'!M:M,"QQC",'QA Log'!Z:Z,"Rejected",'QA Log'!L:L,"*10. Antenatal Care (ANC)*"),
COUNTIFS('QA Log'!D:D,A128,'QA Log'!M:M,"QQC",'QA Log'!Z:Z,"Rejected",'QA Log'!L:L,"*2. Hygiene and Sterilization*"),
COUNTIFS('QA Log'!D:D,A128,'QA Log'!M:M,"QQC",'QA Log'!Z:Z,"Rejected",'QA Log'!L:L,"*Family Planning*")))</f>
        <v/>
      </c>
      <c r="S128" s="106" t="str">
        <f t="shared" si="1"/>
        <v/>
      </c>
      <c r="T128" s="102" t="str">
        <f t="shared" si="2"/>
        <v/>
      </c>
      <c r="U128" s="102" t="str">
        <f>IF(A128="","",
SUM(
COUNTIFS('QA Log'!D:D,A128,'QA Log'!M:M,"QQC",'QA Log'!L:L,"*8. Maternity*"),
COUNTIFS('QA Log'!D:D,A128,'QA Log'!M:M,"QQC",'QA Log'!L:L,"*9. EPI and Pre-school Consultation*"),
COUNTIFS('QA Log'!D:D,A128,'QA Log'!M:M,"QQC",'QA Log'!L:L,"*10. Antenatal Care (ANC)*"),
COUNTIFS('QA Log'!D:D,A128,'QA Log'!M:M,"QQC",'QA Log'!L:L,"*2. Hygiene and Sterilization*"),
COUNTIFS('QA Log'!D:D,A128,'QA Log'!M:M,"QQC",'QA Log'!L:L,"*4. Family Planning*")
))</f>
        <v/>
      </c>
      <c r="V128" s="102" t="str">
        <f>IF(A128="","",
SUM(
COUNTIFS('QA Log'!D:D,A128,'QA Log'!M:M,"QQC",'QA Log'!Z:Z,"Approved",'QA Log'!L:L,"*8. Maternity*"),
COUNTIFS('QA Log'!D:D,A128,'QA Log'!M:M,"QQC",'QA Log'!Z:Z,"Approved",'QA Log'!L:L,"*9. EPI and Pre-school Consultation*"),
COUNTIFS('QA Log'!D:D,A128,'QA Log'!M:M,"QQC",'QA Log'!Z:Z,"Approved",'QA Log'!L:L,"*10. Antenatal Care (ANC)*"),
COUNTIFS('QA Log'!D:D,A128,'QA Log'!M:M,"QQC",'QA Log'!Z:Z,"Approved",'QA Log'!L:L,"*2. Hygiene and Sterilization*"),
COUNTIFS('QA Log'!D:D,A128,'QA Log'!M:M,"QQC",'QA Log'!Z:Z,"Approved",'QA Log'!L:L,"*4. Family Planning*")
))</f>
        <v/>
      </c>
      <c r="W128" s="105" t="str">
        <f>IF(A128&lt;&gt;"",COUNTIFS('QA Log'!D:D,A128,'QA Log'!M:M,"QQC",'QA Log'!L:L,"8. Maternity",'QA Log'!Z:Z,"Approved"),"")</f>
        <v/>
      </c>
      <c r="X128" s="105" t="str">
        <f>IF(A128&lt;&gt;"",COUNTIFS('QA Log'!D:D,A128,'QA Log'!M:M,"QQC",'QA Log'!L:L,"9. EPI and Pre-school Consultation",'QA Log'!Z:Z,"Approved"),"")</f>
        <v/>
      </c>
      <c r="Y128" s="105" t="str">
        <f>IF(A128&lt;&gt;"",COUNTIFS('QA Log'!D:D,A128,'QA Log'!M:M,"QQC",'QA Log'!L:L,"10. Antenatal Care (ANC)",'QA Log'!Z:Z,"Approved"),"")</f>
        <v/>
      </c>
      <c r="Z128" s="105" t="str">
        <f>IF(A128&lt;&gt;"",COUNTIFS('QA Log'!D:D,A128,'QA Log'!M:M,"QQC",'QA Log'!L:L,"2. Hygiene and Sterilization",'QA Log'!Z:Z,"Approved"),"")</f>
        <v/>
      </c>
      <c r="AA128" s="105" t="str">
        <f>IF(A128&lt;&gt;"",COUNTIFS('QA Log'!D:D,A128,'QA Log'!M:M,"QQC",'QA Log'!L:L,"4. Family Planning",'QA Log'!Z:Z,"Approved"),"")</f>
        <v/>
      </c>
      <c r="AB128" s="102" t="str">
        <f>IF(A128="","",
SUM(
COUNTIFS('QA Log'!D:D,A128,'QA Log'!M:M,"QQC",'QA Log'!Z:Z,"Rejected",'QA Log'!L:L,"*8. Maternity*"),
COUNTIFS('QA Log'!D:D,A128,'QA Log'!M:M,"QQC",'QA Log'!Z:Z,"Rejected",'QA Log'!L:L,"*9. EPI and Pre-school Consultation*"),
COUNTIFS('QA Log'!D:D,A128,'QA Log'!M:M,"QQC",'QA Log'!Z:Z,"Rejected",'QA Log'!L:L,"*10. Antenatal Care (ANC)*"),
COUNTIFS('QA Log'!D:D,A128,'QA Log'!M:M,"QQC",'QA Log'!Z:Z,"Rejected",'QA Log'!L:L,"*2. Hygiene and Sterilization*"),
COUNTIFS('QA Log'!D:D,A128,'QA Log'!M:M,"QQC",'QA Log'!Z:Z,"Rejected",'QA Log'!L:L,"*4. Family Planning*")
))</f>
        <v/>
      </c>
      <c r="AC128" s="102" t="str">
        <f t="shared" si="3"/>
        <v/>
      </c>
      <c r="AD128" s="103" t="str">
        <f t="shared" si="4"/>
        <v/>
      </c>
      <c r="AE128" s="102" t="str">
        <f>IF(A128="","",
SUM(
COUNTIFS('QA Log'!D:D,A128,'QA Log'!M:M,"Data Verification",'QA Log'!L:L,"*Medicine (section 2)*"),
COUNTIFS('QA Log'!D:D,A128,'QA Log'!M:M,"Data Verification",'QA Log'!L:L,"*Lab Testing Availability*"),
COUNTIFS('QA Log'!D:D,A128,'QA Log'!M:M,"Data Verification",'QA Log'!L:L,"*Other than P4P (section 6)*"),
COUNTIFS('QA Log'!D:D,A128,'QA Log'!M:M,"Data Verification",'QA Log'!L:L,"*Hospital Governance*")
))</f>
        <v/>
      </c>
      <c r="AF128" s="102" t="str">
        <f>IF(A128="","",
SUM(
COUNTIFS('QA Log'!D:D,A128,'QA Log'!M:M,"Data Verification",'QA Log'!Z:Z,"Approved",'QA Log'!L:L,"*Medicine (section 2)*"),
COUNTIFS('QA Log'!D:D,A128,'QA Log'!M:M,"Data Verification",'QA Log'!Z:Z,"Approved",'QA Log'!L:L,"*Lab Testing Availability*"),
COUNTIFS('QA Log'!D:D,A128,'QA Log'!M:M,"Data Verification",'QA Log'!Z:Z,"Approved",'QA Log'!L:L,"*Other than P4P (section 6)*"),
COUNTIFS('QA Log'!D:D,A128,'QA Log'!M:M,"Data Verification",'QA Log'!Z:Z,"Approved",'QA Log'!L:L,"*Hospital Governance*")
))</f>
        <v/>
      </c>
      <c r="AG128" s="105" t="str">
        <f>IF(A128&lt;&gt;"",COUNTIFS('QA Log'!D:D,A128,'QA Log'!M:M,"Data Verification",'QA Log'!L:L,"Medicine (section 2)",'QA Log'!Z:Z,"Approved"),"")</f>
        <v/>
      </c>
      <c r="AH128" s="105" t="str">
        <f>IF(A128&lt;&gt;"",COUNTIFS('QA Log'!D:D,A128,'QA Log'!M:M,"Data Verification",'QA Log'!L:L,"Lab Testing Availability",'QA Log'!Z:Z,"Approved"),"")</f>
        <v/>
      </c>
      <c r="AI128" s="105" t="str">
        <f>IF(A128&lt;&gt;"",COUNTIFS('QA Log'!D:D,A128,'QA Log'!M:M,"Data Verification",'QA Log'!L:L,"Other than P4P (section 6)",'QA Log'!Z:Z,"Approved"),"")</f>
        <v/>
      </c>
      <c r="AJ128" s="105" t="str">
        <f>IF(A128&lt;&gt;"",COUNTIFS('QA Log'!D:D,A128,'QA Log'!M:M,"Data Verification",'QA Log'!L:L,"Hospital Governance",'QA Log'!Z:Z,"Approved"),"")</f>
        <v/>
      </c>
      <c r="AK128" s="102" t="str">
        <f>IF(A128="","",
SUM(
COUNTIFS('QA Log'!D:D,A128,'QA Log'!M:M,"Data Verification",'QA Log'!Z:Z,"Rejected",'QA Log'!L:L,"*Medicine (section 2)*"),
COUNTIFS('QA Log'!D:D,A128,'QA Log'!M:M,"Data Verification",'QA Log'!Z:Z,"Rejected",'QA Log'!L:L,"*Lab Testing Availability*"),
COUNTIFS('QA Log'!D:D,A128,'QA Log'!M:M,"Data Verification",'QA Log'!Z:Z,"Rejected",'QA Log'!L:L,"*Other than P4P (section 6)*"),
COUNTIFS('QA Log'!D:D,A128,'QA Log'!M:M,"Data Verification",'QA Log'!Z:Z,"Rejected",'QA Log'!L:L,"*Hospital Governance*")
))</f>
        <v/>
      </c>
      <c r="AL128" s="106" t="str">
        <f t="shared" si="5"/>
        <v/>
      </c>
      <c r="AM128" s="102" t="str">
        <f t="shared" si="6"/>
        <v/>
      </c>
      <c r="AN128" s="102" t="str">
        <f>IF(A128="","",
SUM(
COUNTIFS('QA Log'!D:D,A128,'QA Log'!M:M,"Data Verification",'QA Log'!L:L,"*Personnel (section 1)*"),
COUNTIFS('QA Log'!D:D,A128,'QA Log'!M:M,"Data Verification",'QA Log'!L:L,"*Consumable (section 3)*"),
COUNTIFS('QA Log'!D:D,A128,'QA Log'!M:M,"Data Verification",'QA Log'!L:L,"*Equipments (section 4)*")
))</f>
        <v/>
      </c>
      <c r="AO128" s="102" t="str">
        <f>IF(A128="","",
SUM(
COUNTIFS('QA Log'!D:D,A128,'QA Log'!M:M,"Data Verification",'QA Log'!Z:Z,"Approved",'QA Log'!L:L,"*Personnel (section 1)*"),
COUNTIFS('QA Log'!D:D,A128,'QA Log'!M:M,"Data Verification",'QA Log'!Z:Z,"Approved",'QA Log'!L:L,"*Consumable (section 3)*"),
COUNTIFS('QA Log'!D:D,A128,'QA Log'!M:M,"Data Verification",'QA Log'!Z:Z,"Approved",'QA Log'!L:L,"*Equipments (section 4)*")
))</f>
        <v/>
      </c>
      <c r="AP128" s="105" t="str">
        <f>IF(A128&lt;&gt;"",COUNTIFS('QA Log'!D:D,A128,'QA Log'!M:M,"Data Verification",'QA Log'!L:L,"Personnel (section 1)",'QA Log'!Z:Z,"Approved"),"")</f>
        <v/>
      </c>
      <c r="AQ128" s="105" t="str">
        <f>IF(A128&lt;&gt;"",COUNTIFS('QA Log'!D:D,A128,'QA Log'!M:M,"Data Verification",'QA Log'!L:L,"Consumable (section 3)",'QA Log'!Z:Z,"Approved"),"")</f>
        <v/>
      </c>
      <c r="AR128" s="105" t="str">
        <f>IF(A128&lt;&gt;"",COUNTIFS('QA Log'!D:D,A128,'QA Log'!M:M,"Data Verification",'QA Log'!L:L,"Equipments (section 4)",'QA Log'!Z:Z,"Approved"),"")</f>
        <v/>
      </c>
      <c r="AS128" s="102" t="str">
        <f>IF(A128="","",
SUM(
COUNTIFS('QA Log'!D:D,A128,'QA Log'!M:M,"Data Verification",'QA Log'!Z:Z,"Rejected",'QA Log'!L:L,"*Personnel (section 1)*"),
COUNTIFS('QA Log'!D:D,A128,'QA Log'!M:M,"Data Verification",'QA Log'!Z:Z,"Rejected",'QA Log'!L:L,"*Consumable (section 3)*"),
COUNTIFS('QA Log'!D:D,A128,'QA Log'!M:M,"Data Verification",'QA Log'!Z:Z,"Rejected",'QA Log'!L:L,"*Equipments (section 4)*")
))</f>
        <v/>
      </c>
      <c r="AT128" s="102" t="str">
        <f t="shared" si="7"/>
        <v/>
      </c>
      <c r="AU128" s="103" t="str">
        <f t="shared" si="8"/>
        <v/>
      </c>
      <c r="AV128" s="102" t="str">
        <f>IF(A128="","",SUM(
COUNTIFS('QA Log'!D:D,A128,'QA Log'!M:M,"Vignette",'QA Log'!L:L,"*Vignette [1] Respiratory Infection: Pneumonia*"),
COUNTIFS('QA Log'!D:D,A128,'QA Log'!M:M,"Vignette",'QA Log'!L:L,"*Vignette [2]: Diarrhea with Cat B dehydration*"),
COUNTIFS('QA Log'!D:D,A128,'QA Log'!M:M,"Vignette",'QA Log'!L:L,"*Vignette [3] Growth Monitoring and Promotion*"),
COUNTIFS('QA Log'!D:D,A128,'QA Log'!M:M,"Vignette",'QA Log'!L:L,"*Vignette [4]: The management of presumptive TB patient*")
)
)</f>
        <v/>
      </c>
      <c r="AW128" s="102" t="str">
        <f>IF(
  A128="","",
  SUM(
    COUNTIFS('QA Log'!D:D,A128,'QA Log'!M:M,"Vignette",'QA Log'!Z:Z,"Approved",'QA Log'!L:L,"*Vignette [1] Respiratory Infection: Pneumonia*"),
    COUNTIFS('QA Log'!D:D,A128,'QA Log'!M:M,"Vignette",'QA Log'!Z:Z,"Approved",'QA Log'!L:L,"*Vignette [2]: Diarrhea with Cat B dehydration*"),
    COUNTIFS('QA Log'!D:D,A128,'QA Log'!M:M,"Vignette",'QA Log'!Z:Z,"Approved",'QA Log'!L:L,"*Vignette [3] Growth Monitoring and Promotion*"),
    COUNTIFS('QA Log'!D:D,A128,'QA Log'!M:M,"Vignette",'QA Log'!Z:Z,"Approved",'QA Log'!L:L,"*Vignette [4]: The management of presumptive TB patient*")
  )
)</f>
        <v/>
      </c>
      <c r="AX128" s="105" t="str">
        <f>IF(A128&lt;&gt;"",COUNTIFS('QA Log'!D:D,A128,'QA Log'!M:M,"Vignette",'QA Log'!L:L,"Vignette [1] Respiratory Infection: Pneumonia",'QA Log'!Z:Z,"Approved"),"")</f>
        <v/>
      </c>
      <c r="AY128" s="105" t="str">
        <f>IF(A128&lt;&gt;"",COUNTIFS('QA Log'!D:D,A128,'QA Log'!M:M,"Vignette",'QA Log'!L:L,"Vignette [2]: Diarrhea with Cat B dehydration",'QA Log'!Z:Z,"Approved"),"")</f>
        <v/>
      </c>
      <c r="AZ128" s="105" t="str">
        <f>IF(A128&lt;&gt;"",COUNTIFS('QA Log'!D:D,A128,'QA Log'!M:M,"Vignette",'QA Log'!L:L,"Vignette [3] Growth Monitoring and Promotion",'QA Log'!Z:Z,"Approved"),"")</f>
        <v/>
      </c>
      <c r="BA128" s="105" t="str">
        <f>IF(A128&lt;&gt;"",COUNTIFS('QA Log'!D:D,A128,'QA Log'!M:M,"Vignette",'QA Log'!L:L,"Vignette [4]: The management of presumptive TB patient",'QA Log'!Z:Z,"Approved"),"")</f>
        <v/>
      </c>
      <c r="BB128" s="102" t="str">
        <f>IF(A128="","",
  SUM(
    COUNTIFS('QA Log'!D:D,A128,'QA Log'!M:M,"Vignette",'QA Log'!Z:Z,"Rejected",'QA Log'!L:L,"*Vignette [1] Respiratory Infection: Pneumonia*"),
    COUNTIFS('QA Log'!D:D,A128,'QA Log'!M:M,"Vignette",'QA Log'!Z:Z,"Rejected",'QA Log'!L:L,"*Vignette [2]: Diarrhea with Cat B dehydration*"),
    COUNTIFS('QA Log'!D:D,A128,'QA Log'!M:M,"Vignette",'QA Log'!Z:Z,"Rejected",'QA Log'!L:L,"*Vignette [3] Growth Monitoring and Promotion*"),
    COUNTIFS('QA Log'!D:D,A128,'QA Log'!M:M,"Vignette",'QA Log'!Z:Z,"Rejected",'QA Log'!L:L,"*Vignette [4]: The management of presumptive TB patient*")
  )
)</f>
        <v/>
      </c>
      <c r="BC128" s="107" t="str">
        <f t="shared" si="9"/>
        <v/>
      </c>
      <c r="BD128" s="103" t="str">
        <f t="shared" si="10"/>
        <v/>
      </c>
      <c r="BE128" s="102" t="str">
        <f>IF(A128="","",SUM(
COUNTIFS('QA Log'!D:D,A128,'QA Log'!M:M,"Vignette",'QA Log'!L:L,"*Vignette [5] Labor*"),
COUNTIFS('QA Log'!D:D,A128,'QA Log'!M:M,"Vignette",'QA Log'!L:L,"*Vignette [6] PNC pre Discharge*"),
COUNTIFS('QA Log'!D:D,A128,'QA Log'!M:M,"Vignette",'QA Log'!L:L,"*Vignette [7] First ANC Visit*"),
COUNTIFS('QA Log'!D:D,A128,'QA Log'!M:M,"Vignette",'QA Log'!L:L,"*Vignette [8] Birth Spacing/ Family Planning :  FP Counselling*"),
COUNTIFS('QA Log'!D:D,A128,'QA Log'!M:M,"Vignette",'QA Log'!L:L,"*Vignette [9] Birth Spacing: Change FP method to Injectable*"),
COUNTIFS('QA Log'!D:D,A128,'QA Log'!M:M,"Vignette",'QA Log'!L:L,"*Vignette [10] Post Partum Haemorrhage - Atonic Uterus at Health Centre*"),
)
)</f>
        <v/>
      </c>
      <c r="BF128" s="102" t="str">
        <f>IF(A128="","",
  SUM(
    COUNTIFS('QA Log'!D:D,A128,'QA Log'!M:M,"Vignette",'QA Log'!Z:Z,"Approved",'QA Log'!L:L,"*Vignette [5] Labor*"),
    COUNTIFS('QA Log'!D:D,A128,'QA Log'!M:M,"Vignette",'QA Log'!Z:Z,"Approved",'QA Log'!L:L,"*Vignette [6] PNC pre Discharge*"),
    COUNTIFS('QA Log'!D:D,A128,'QA Log'!M:M,"Vignette",'QA Log'!Z:Z,"Approved",'QA Log'!L:L,"*Vignette [7] First ANC Visit*"),
    COUNTIFS('QA Log'!D:D,A128,'QA Log'!M:M,"Vignette",'QA Log'!Z:Z,"Approved",'QA Log'!L:L,"*Vignette [8] Birth Spacing/ Family Planning :  FP Counselling*"),
    COUNTIFS('QA Log'!D:D,A128,'QA Log'!M:M,"Vignette",'QA Log'!Z:Z,"Approved",'QA Log'!L:L,"*Vignette [9] Birth Spacing: Change FP method to Injectable*"),
    COUNTIFS('QA Log'!D:D,A128,'QA Log'!M:M,"Vignette",'QA Log'!Z:Z,"Approved",'QA Log'!L:L,"*Vignette [10] Post Partum Haemorrhage - Atonic Uterus at Health Centre*")
  )
)</f>
        <v/>
      </c>
      <c r="BG128" s="105" t="str">
        <f>IF(A128&lt;&gt;"",COUNTIFS('QA Log'!D:D,A128,'QA Log'!M:M,"Vignette",'QA Log'!L:L,"Vignette [5] Labor",'QA Log'!Z:Z,"Approved"),"")</f>
        <v/>
      </c>
      <c r="BH128" s="105" t="str">
        <f>IF(A128&lt;&gt;"",COUNTIFS('QA Log'!D:D,A128,'QA Log'!M:M,"Vignette",'QA Log'!L:L,"Vignette [6] PNC pre Discharge",'QA Log'!Z:Z,"Approved"),"")</f>
        <v/>
      </c>
      <c r="BI128" s="105" t="str">
        <f>IF(A128&lt;&gt;"",COUNTIFS('QA Log'!D:D,A128,'QA Log'!M:M,"Vignette",'QA Log'!L:L,"Vignette [7] First ANC Visit",'QA Log'!Z:Z,"Approved"),"")</f>
        <v/>
      </c>
      <c r="BJ128" s="105" t="str">
        <f>IF(A128&lt;&gt;"",COUNTIFS('QA Log'!D:D,A128,'QA Log'!M:M,"Vignette",'QA Log'!L:L,"Vignette [8] Birth Spacing/ Family Planning :  FP Counselling",'QA Log'!Z:Z,"Approved"),"")</f>
        <v/>
      </c>
      <c r="BK128" s="105" t="str">
        <f>IF(A128&lt;&gt;"",COUNTIFS('QA Log'!D:D,A128,'QA Log'!M:M,"Vignette",'QA Log'!L:L,"Vignette [9] Birth Spacing: Change FP method to Injectable",'QA Log'!Z:Z,"Approved"),"")</f>
        <v/>
      </c>
      <c r="BL128" s="105" t="str">
        <f>IF(A128&lt;&gt;"",COUNTIFS('QA Log'!D:D,A128,'QA Log'!M:M,"Vignette",'QA Log'!L:L,"Vignette [10] Post Partum Haemorrhage - Atonic Uterus at Health Centre",'QA Log'!Z:Z,"Approved"),"")</f>
        <v/>
      </c>
      <c r="BM128" s="102" t="str">
        <f>IF(A128="","",SUM(
    COUNTIFS('QA Log'!D:D,A128,'QA Log'!M:M,"Vignette",'QA Log'!Z:Z,"Rejected",'QA Log'!L:L,"*Vignette [5] Labor*"),
    COUNTIFS('QA Log'!D:D,A128,'QA Log'!M:M,"Vignette",'QA Log'!Z:Z,"Rejected",'QA Log'!L:L,"*Vignette [6] PNC pre Discharge*"),
    COUNTIFS('QA Log'!D:D,A128,'QA Log'!M:M,"Vignette",'QA Log'!Z:Z,"Rejected",'QA Log'!L:L,"*Vignette [7] First ANC Visit*"),
    COUNTIFS('QA Log'!D:D,A128,'QA Log'!M:M,"Vignette",'QA Log'!Z:Z,"Rejected",'QA Log'!L:L,"*Vignette [8] Birth Spacing/ Family Planning :  FP Counselling*"),
    COUNTIFS('QA Log'!D:D,A128,'QA Log'!M:M,"Vignette",'QA Log'!Z:Z,"Rejected",'QA Log'!L:L,"*Vignette [9] Birth Spacing: Change FP method to Injectable*"),
    COUNTIFS('QA Log'!D:D,A128,'QA Log'!M:M,"Vignette",'QA Log'!Z:Z,"Rejected",'QA Log'!L:L,"*Vignette [10] Post Partum Haemorrhage - Atonic Uterus at Health Centre*")
  )
)</f>
        <v/>
      </c>
      <c r="BN128" s="107" t="str">
        <f t="shared" si="11"/>
        <v/>
      </c>
      <c r="BO128" s="103" t="str">
        <f t="shared" si="12"/>
        <v/>
      </c>
      <c r="BP128" s="102" t="str">
        <f>IF(A128="","",SUM(
COUNTIFS('QA Log'!D:D,A128,'QA Log'!M:M,"Vignette",'QA Log'!L:L,"*Exit Interview 1*"),
COUNTIFS('QA Log'!D:D,A128,'QA Log'!M:M,"Vignette",'QA Log'!L:L,"*Exit Interview 2*"),
)
)</f>
        <v/>
      </c>
      <c r="BQ128" s="102" t="str">
        <f>IF(
  A128="","",
  SUM(
    COUNTIFS('QA Log'!D:D,A128,'QA Log'!M:M,"Vignette",'QA Log'!Z:Z,"Approved",'QA Log'!L:L,"*Exit Interview 1*"),
    COUNTIFS('QA Log'!D:D,A128,'QA Log'!M:M,"Vignette",'QA Log'!Z:Z,"Approved",'QA Log'!L:L,"*Exit Interview 2*")
  )
)</f>
        <v/>
      </c>
      <c r="BR128" s="105" t="str">
        <f>IF(A128&lt;&gt;"",COUNTIFS('QA Log'!D:D,A128,'QA Log'!M:M,"Vignette",'QA Log'!L:L,"Exit Interview 1",'QA Log'!Z:Z,"Approved"),"")</f>
        <v/>
      </c>
      <c r="BS128" s="105" t="str">
        <f>IF(A128&lt;&gt;"",COUNTIFS('QA Log'!D:D,A128,'QA Log'!M:M,"Vignette",'QA Log'!L:L,"Exit Interview 2",'QA Log'!Z:Z,"Approved"),"")</f>
        <v/>
      </c>
      <c r="BT128" s="102" t="str">
        <f>IF(
  A128="","",
  SUM(
    COUNTIFS('QA Log'!D:D,A128,'QA Log'!M:M,"Vignette",'QA Log'!Z:Z,"Rejected",'QA Log'!L:L,"*Exit Interview 1*"),
    COUNTIFS('QA Log'!D:D,A128,'QA Log'!M:M,"Vignette",'QA Log'!Z:Z,"Rejected",'QA Log'!L:L,"*Exit Interview 2*")
  )
)</f>
        <v/>
      </c>
      <c r="BU128" s="107" t="str">
        <f t="shared" si="13"/>
        <v/>
      </c>
      <c r="BV128" s="102" t="str">
        <f t="shared" si="14"/>
        <v/>
      </c>
      <c r="BW128" s="102" t="str">
        <f t="shared" si="15"/>
        <v/>
      </c>
      <c r="BX128" s="102" t="str">
        <f t="shared" si="16"/>
        <v/>
      </c>
      <c r="BY128" s="102" t="str">
        <f t="shared" si="17"/>
        <v/>
      </c>
      <c r="BZ128" s="107" t="str">
        <f t="shared" si="18"/>
        <v/>
      </c>
      <c r="CA128" s="108" t="str">
        <f t="shared" si="19"/>
        <v/>
      </c>
      <c r="CB128" s="108" t="str">
        <f t="shared" si="20"/>
        <v/>
      </c>
      <c r="CC128" s="109" t="str">
        <f t="shared" si="21"/>
        <v/>
      </c>
      <c r="CD128" s="108" t="str">
        <f t="shared" si="22"/>
        <v/>
      </c>
      <c r="CE128" s="108" t="str">
        <f t="shared" si="23"/>
        <v/>
      </c>
      <c r="CF128" s="109" t="str">
        <f t="shared" si="24"/>
        <v/>
      </c>
      <c r="CG128" s="110" t="str">
        <f t="shared" si="25"/>
        <v/>
      </c>
      <c r="CH128" s="111"/>
    </row>
    <row r="129" spans="1:86" ht="12.75">
      <c r="A129" s="101"/>
      <c r="B129" s="102" t="e">
        <f t="array" aca="1" ref="B129" ca="1">_xludf.XLOOKUP(A129,'QA Log'!D:D,'QA Log'!E:E,"")</f>
        <v>#NAME?</v>
      </c>
      <c r="C129" s="102" t="e">
        <f t="array" aca="1" ref="C129" ca="1">_xludf.XLOOKUP(A129,'QA Log'!D:D,'QA Log'!F:F,"")</f>
        <v>#NAME?</v>
      </c>
      <c r="D129" s="102" t="e">
        <f t="array" aca="1" ref="D129" ca="1">_xludf.XLOOKUP(A129,'QA Log'!D:D,'QA Log'!H:H,"")</f>
        <v>#NAME?</v>
      </c>
      <c r="E129" s="102" t="e">
        <f t="array" aca="1" ref="E129" ca="1">_xludf.XLOOKUP(A129,'QA Log'!D:D,'QA Log'!G:G,"")</f>
        <v>#NAME?</v>
      </c>
      <c r="F129" s="103"/>
      <c r="G129" s="104"/>
      <c r="H129" s="104"/>
      <c r="I129" s="103" t="str">
        <f t="shared" si="0"/>
        <v/>
      </c>
      <c r="J129" s="102" t="str">
        <f>IF(A129="","",SUM(
COUNTIFS('QA Log'!D:D,A129,'QA Log'!M:M,"QQC",'QA Log'!L:L,"*1. General Management*"),
COUNTIFS('QA Log'!D:D,A129,'QA Log'!M:M,"QQC",'QA Log'!L:L,"*3. Curative Consultation (OPD)*"),
COUNTIFS('QA Log'!D:D,A129,'QA Log'!M:M,"QQC",'QA Log'!L:L,"*5. Laboratory*"),
COUNTIFS('QA Log'!D:D,A129,'QA Log'!M:M,"QQC",'QA Log'!L:L,"*6. Essential Medicine Management*"),
COUNTIFS('QA Log'!D:D,A129,'QA Log'!M:M,"QQC",'QA Log'!L:L,"*7. Tracer Medicine*"),
COUNTIFS('QA Log'!D:D,A129,'QA Log'!M:M,"QQC",'QA Log'!L:L,"*11. Additional Questions*")))</f>
        <v/>
      </c>
      <c r="K129" s="102" t="str">
        <f>IF(A129="","",SUM(
COUNTIFS('QA Log'!D:D,A129,'QA Log'!M:M,"QQC",'QA Log'!Z:Z,"Approved",'QA Log'!L:L,"*1. General Management*"),
COUNTIFS('QA Log'!D:D,A129,'QA Log'!M:M,"QQC",'QA Log'!Z:Z,"Approved",'QA Log'!L:L,"*3. Curative Consultation (OPD)*"),
COUNTIFS('QA Log'!D:D,A129,'QA Log'!M:M,"QQC",'QA Log'!Z:Z,"Approved",'QA Log'!L:L,"*5. Laboratory*"),
COUNTIFS('QA Log'!D:D,A129,'QA Log'!M:M,"QQC",'QA Log'!Z:Z,"Approved",'QA Log'!L:L,"*6. Essential Medicine Management*"),
COUNTIFS('QA Log'!D:D,A129,'QA Log'!M:M,"QQC",'QA Log'!Z:Z,"Approved",'QA Log'!L:L,"*7. Tracer Medicine*"),
COUNTIFS('QA Log'!D:D,A129,'QA Log'!M:M,"QQC",'QA Log'!Z:Z,"Approved",'QA Log'!L:L,"*11. Additional Questions*")))</f>
        <v/>
      </c>
      <c r="L129" s="105" t="str">
        <f>IF(A129&lt;&gt;"",COUNTIFS('QA Log'!D:D,A129,'QA Log'!M:M,"QQC",'QA Log'!L:L,"1. General Management",'QA Log'!Z:Z,"Approved"),"")</f>
        <v/>
      </c>
      <c r="M129" s="105" t="str">
        <f>IF(A129&lt;&gt;"",COUNTIFS('QA Log'!D:D,A129,'QA Log'!M:M,"QQC",'QA Log'!L:L,"3. Curative Consultation (OPD)",'QA Log'!Z:Z,"Approved"),"")</f>
        <v/>
      </c>
      <c r="N129" s="105" t="str">
        <f>IF(A129&lt;&gt;"",COUNTIFS('QA Log'!D:D,A129,'QA Log'!M:M,"QQC",'QA Log'!L:L,"5. Laboratory",'QA Log'!Z:Z,"Approved"),"")</f>
        <v/>
      </c>
      <c r="O129" s="105" t="str">
        <f>IF(A129&lt;&gt;"",COUNTIFS('QA Log'!D:D,A129,'QA Log'!M:M,"QQC",'QA Log'!L:L,"6. Essential Medicine Management",'QA Log'!Z:Z,"Approved"),"")</f>
        <v/>
      </c>
      <c r="P129" s="105" t="str">
        <f>IF(A129&lt;&gt;"",COUNTIFS('QA Log'!D:D,A129,'QA Log'!M:M,"QQC",'QA Log'!L:L,"7. Tracer Medicine",'QA Log'!Z:Z,"Approved"),"")</f>
        <v/>
      </c>
      <c r="Q129" s="105" t="str">
        <f>IF(A129&lt;&gt;"",COUNTIFS('QA Log'!D:D,A129,'QA Log'!M:M,"QQC",'QA Log'!L:L,"11. Additional Questions",'QA Log'!Z:Z,"Approved"),"")</f>
        <v/>
      </c>
      <c r="R129" s="102" t="str">
        <f>IF(A129="","",SUM(
COUNTIFS('QA Log'!D:D,A129,'QA Log'!M:M,"QQC",'QA Log'!Z:Z,"Rejected",'QA Log'!L:L,"*8. Maternity*"),
COUNTIFS('QA Log'!D:D,A129,'QA Log'!M:M,"QQC",'QA Log'!Z:Z,"Rejected",'QA Log'!L:L,"*EPI*"),
COUNTIFS('QA Log'!D:D,A129,'QA Log'!M:M,"QQC",'QA Log'!Z:Z,"Rejected",'QA Log'!L:L,"*10. Antenatal Care (ANC)*"),
COUNTIFS('QA Log'!D:D,A129,'QA Log'!M:M,"QQC",'QA Log'!Z:Z,"Rejected",'QA Log'!L:L,"*2. Hygiene and Sterilization*"),
COUNTIFS('QA Log'!D:D,A129,'QA Log'!M:M,"QQC",'QA Log'!Z:Z,"Rejected",'QA Log'!L:L,"*Family Planning*")))</f>
        <v/>
      </c>
      <c r="S129" s="106" t="str">
        <f t="shared" si="1"/>
        <v/>
      </c>
      <c r="T129" s="102" t="str">
        <f t="shared" si="2"/>
        <v/>
      </c>
      <c r="U129" s="102" t="str">
        <f>IF(A129="","",
SUM(
COUNTIFS('QA Log'!D:D,A129,'QA Log'!M:M,"QQC",'QA Log'!L:L,"*8. Maternity*"),
COUNTIFS('QA Log'!D:D,A129,'QA Log'!M:M,"QQC",'QA Log'!L:L,"*9. EPI and Pre-school Consultation*"),
COUNTIFS('QA Log'!D:D,A129,'QA Log'!M:M,"QQC",'QA Log'!L:L,"*10. Antenatal Care (ANC)*"),
COUNTIFS('QA Log'!D:D,A129,'QA Log'!M:M,"QQC",'QA Log'!L:L,"*2. Hygiene and Sterilization*"),
COUNTIFS('QA Log'!D:D,A129,'QA Log'!M:M,"QQC",'QA Log'!L:L,"*4. Family Planning*")
))</f>
        <v/>
      </c>
      <c r="V129" s="102" t="str">
        <f>IF(A129="","",
SUM(
COUNTIFS('QA Log'!D:D,A129,'QA Log'!M:M,"QQC",'QA Log'!Z:Z,"Approved",'QA Log'!L:L,"*8. Maternity*"),
COUNTIFS('QA Log'!D:D,A129,'QA Log'!M:M,"QQC",'QA Log'!Z:Z,"Approved",'QA Log'!L:L,"*9. EPI and Pre-school Consultation*"),
COUNTIFS('QA Log'!D:D,A129,'QA Log'!M:M,"QQC",'QA Log'!Z:Z,"Approved",'QA Log'!L:L,"*10. Antenatal Care (ANC)*"),
COUNTIFS('QA Log'!D:D,A129,'QA Log'!M:M,"QQC",'QA Log'!Z:Z,"Approved",'QA Log'!L:L,"*2. Hygiene and Sterilization*"),
COUNTIFS('QA Log'!D:D,A129,'QA Log'!M:M,"QQC",'QA Log'!Z:Z,"Approved",'QA Log'!L:L,"*4. Family Planning*")
))</f>
        <v/>
      </c>
      <c r="W129" s="105" t="str">
        <f>IF(A129&lt;&gt;"",COUNTIFS('QA Log'!D:D,A129,'QA Log'!M:M,"QQC",'QA Log'!L:L,"8. Maternity",'QA Log'!Z:Z,"Approved"),"")</f>
        <v/>
      </c>
      <c r="X129" s="105" t="str">
        <f>IF(A129&lt;&gt;"",COUNTIFS('QA Log'!D:D,A129,'QA Log'!M:M,"QQC",'QA Log'!L:L,"9. EPI and Pre-school Consultation",'QA Log'!Z:Z,"Approved"),"")</f>
        <v/>
      </c>
      <c r="Y129" s="105" t="str">
        <f>IF(A129&lt;&gt;"",COUNTIFS('QA Log'!D:D,A129,'QA Log'!M:M,"QQC",'QA Log'!L:L,"10. Antenatal Care (ANC)",'QA Log'!Z:Z,"Approved"),"")</f>
        <v/>
      </c>
      <c r="Z129" s="105" t="str">
        <f>IF(A129&lt;&gt;"",COUNTIFS('QA Log'!D:D,A129,'QA Log'!M:M,"QQC",'QA Log'!L:L,"2. Hygiene and Sterilization",'QA Log'!Z:Z,"Approved"),"")</f>
        <v/>
      </c>
      <c r="AA129" s="105" t="str">
        <f>IF(A129&lt;&gt;"",COUNTIFS('QA Log'!D:D,A129,'QA Log'!M:M,"QQC",'QA Log'!L:L,"4. Family Planning",'QA Log'!Z:Z,"Approved"),"")</f>
        <v/>
      </c>
      <c r="AB129" s="102" t="str">
        <f>IF(A129="","",
SUM(
COUNTIFS('QA Log'!D:D,A129,'QA Log'!M:M,"QQC",'QA Log'!Z:Z,"Rejected",'QA Log'!L:L,"*8. Maternity*"),
COUNTIFS('QA Log'!D:D,A129,'QA Log'!M:M,"QQC",'QA Log'!Z:Z,"Rejected",'QA Log'!L:L,"*9. EPI and Pre-school Consultation*"),
COUNTIFS('QA Log'!D:D,A129,'QA Log'!M:M,"QQC",'QA Log'!Z:Z,"Rejected",'QA Log'!L:L,"*10. Antenatal Care (ANC)*"),
COUNTIFS('QA Log'!D:D,A129,'QA Log'!M:M,"QQC",'QA Log'!Z:Z,"Rejected",'QA Log'!L:L,"*2. Hygiene and Sterilization*"),
COUNTIFS('QA Log'!D:D,A129,'QA Log'!M:M,"QQC",'QA Log'!Z:Z,"Rejected",'QA Log'!L:L,"*4. Family Planning*")
))</f>
        <v/>
      </c>
      <c r="AC129" s="102" t="str">
        <f t="shared" si="3"/>
        <v/>
      </c>
      <c r="AD129" s="103" t="str">
        <f t="shared" si="4"/>
        <v/>
      </c>
      <c r="AE129" s="102" t="str">
        <f>IF(A129="","",
SUM(
COUNTIFS('QA Log'!D:D,A129,'QA Log'!M:M,"Data Verification",'QA Log'!L:L,"*Medicine (section 2)*"),
COUNTIFS('QA Log'!D:D,A129,'QA Log'!M:M,"Data Verification",'QA Log'!L:L,"*Lab Testing Availability*"),
COUNTIFS('QA Log'!D:D,A129,'QA Log'!M:M,"Data Verification",'QA Log'!L:L,"*Other than P4P (section 6)*"),
COUNTIFS('QA Log'!D:D,A129,'QA Log'!M:M,"Data Verification",'QA Log'!L:L,"*Hospital Governance*")
))</f>
        <v/>
      </c>
      <c r="AF129" s="102" t="str">
        <f>IF(A129="","",
SUM(
COUNTIFS('QA Log'!D:D,A129,'QA Log'!M:M,"Data Verification",'QA Log'!Z:Z,"Approved",'QA Log'!L:L,"*Medicine (section 2)*"),
COUNTIFS('QA Log'!D:D,A129,'QA Log'!M:M,"Data Verification",'QA Log'!Z:Z,"Approved",'QA Log'!L:L,"*Lab Testing Availability*"),
COUNTIFS('QA Log'!D:D,A129,'QA Log'!M:M,"Data Verification",'QA Log'!Z:Z,"Approved",'QA Log'!L:L,"*Other than P4P (section 6)*"),
COUNTIFS('QA Log'!D:D,A129,'QA Log'!M:M,"Data Verification",'QA Log'!Z:Z,"Approved",'QA Log'!L:L,"*Hospital Governance*")
))</f>
        <v/>
      </c>
      <c r="AG129" s="105" t="str">
        <f>IF(A129&lt;&gt;"",COUNTIFS('QA Log'!D:D,A129,'QA Log'!M:M,"Data Verification",'QA Log'!L:L,"Medicine (section 2)",'QA Log'!Z:Z,"Approved"),"")</f>
        <v/>
      </c>
      <c r="AH129" s="105" t="str">
        <f>IF(A129&lt;&gt;"",COUNTIFS('QA Log'!D:D,A129,'QA Log'!M:M,"Data Verification",'QA Log'!L:L,"Lab Testing Availability",'QA Log'!Z:Z,"Approved"),"")</f>
        <v/>
      </c>
      <c r="AI129" s="105" t="str">
        <f>IF(A129&lt;&gt;"",COUNTIFS('QA Log'!D:D,A129,'QA Log'!M:M,"Data Verification",'QA Log'!L:L,"Other than P4P (section 6)",'QA Log'!Z:Z,"Approved"),"")</f>
        <v/>
      </c>
      <c r="AJ129" s="105" t="str">
        <f>IF(A129&lt;&gt;"",COUNTIFS('QA Log'!D:D,A129,'QA Log'!M:M,"Data Verification",'QA Log'!L:L,"Hospital Governance",'QA Log'!Z:Z,"Approved"),"")</f>
        <v/>
      </c>
      <c r="AK129" s="102" t="str">
        <f>IF(A129="","",
SUM(
COUNTIFS('QA Log'!D:D,A129,'QA Log'!M:M,"Data Verification",'QA Log'!Z:Z,"Rejected",'QA Log'!L:L,"*Medicine (section 2)*"),
COUNTIFS('QA Log'!D:D,A129,'QA Log'!M:M,"Data Verification",'QA Log'!Z:Z,"Rejected",'QA Log'!L:L,"*Lab Testing Availability*"),
COUNTIFS('QA Log'!D:D,A129,'QA Log'!M:M,"Data Verification",'QA Log'!Z:Z,"Rejected",'QA Log'!L:L,"*Other than P4P (section 6)*"),
COUNTIFS('QA Log'!D:D,A129,'QA Log'!M:M,"Data Verification",'QA Log'!Z:Z,"Rejected",'QA Log'!L:L,"*Hospital Governance*")
))</f>
        <v/>
      </c>
      <c r="AL129" s="106" t="str">
        <f t="shared" si="5"/>
        <v/>
      </c>
      <c r="AM129" s="102" t="str">
        <f t="shared" si="6"/>
        <v/>
      </c>
      <c r="AN129" s="102" t="str">
        <f>IF(A129="","",
SUM(
COUNTIFS('QA Log'!D:D,A129,'QA Log'!M:M,"Data Verification",'QA Log'!L:L,"*Personnel (section 1)*"),
COUNTIFS('QA Log'!D:D,A129,'QA Log'!M:M,"Data Verification",'QA Log'!L:L,"*Consumable (section 3)*"),
COUNTIFS('QA Log'!D:D,A129,'QA Log'!M:M,"Data Verification",'QA Log'!L:L,"*Equipments (section 4)*")
))</f>
        <v/>
      </c>
      <c r="AO129" s="102" t="str">
        <f>IF(A129="","",
SUM(
COUNTIFS('QA Log'!D:D,A129,'QA Log'!M:M,"Data Verification",'QA Log'!Z:Z,"Approved",'QA Log'!L:L,"*Personnel (section 1)*"),
COUNTIFS('QA Log'!D:D,A129,'QA Log'!M:M,"Data Verification",'QA Log'!Z:Z,"Approved",'QA Log'!L:L,"*Consumable (section 3)*"),
COUNTIFS('QA Log'!D:D,A129,'QA Log'!M:M,"Data Verification",'QA Log'!Z:Z,"Approved",'QA Log'!L:L,"*Equipments (section 4)*")
))</f>
        <v/>
      </c>
      <c r="AP129" s="105" t="str">
        <f>IF(A129&lt;&gt;"",COUNTIFS('QA Log'!D:D,A129,'QA Log'!M:M,"Data Verification",'QA Log'!L:L,"Personnel (section 1)",'QA Log'!Z:Z,"Approved"),"")</f>
        <v/>
      </c>
      <c r="AQ129" s="105" t="str">
        <f>IF(A129&lt;&gt;"",COUNTIFS('QA Log'!D:D,A129,'QA Log'!M:M,"Data Verification",'QA Log'!L:L,"Consumable (section 3)",'QA Log'!Z:Z,"Approved"),"")</f>
        <v/>
      </c>
      <c r="AR129" s="105" t="str">
        <f>IF(A129&lt;&gt;"",COUNTIFS('QA Log'!D:D,A129,'QA Log'!M:M,"Data Verification",'QA Log'!L:L,"Equipments (section 4)",'QA Log'!Z:Z,"Approved"),"")</f>
        <v/>
      </c>
      <c r="AS129" s="102" t="str">
        <f>IF(A129="","",
SUM(
COUNTIFS('QA Log'!D:D,A129,'QA Log'!M:M,"Data Verification",'QA Log'!Z:Z,"Rejected",'QA Log'!L:L,"*Personnel (section 1)*"),
COUNTIFS('QA Log'!D:D,A129,'QA Log'!M:M,"Data Verification",'QA Log'!Z:Z,"Rejected",'QA Log'!L:L,"*Consumable (section 3)*"),
COUNTIFS('QA Log'!D:D,A129,'QA Log'!M:M,"Data Verification",'QA Log'!Z:Z,"Rejected",'QA Log'!L:L,"*Equipments (section 4)*")
))</f>
        <v/>
      </c>
      <c r="AT129" s="102" t="str">
        <f t="shared" si="7"/>
        <v/>
      </c>
      <c r="AU129" s="103" t="str">
        <f t="shared" si="8"/>
        <v/>
      </c>
      <c r="AV129" s="102" t="str">
        <f>IF(A129="","",SUM(
COUNTIFS('QA Log'!D:D,A129,'QA Log'!M:M,"Vignette",'QA Log'!L:L,"*Vignette [1] Respiratory Infection: Pneumonia*"),
COUNTIFS('QA Log'!D:D,A129,'QA Log'!M:M,"Vignette",'QA Log'!L:L,"*Vignette [2]: Diarrhea with Cat B dehydration*"),
COUNTIFS('QA Log'!D:D,A129,'QA Log'!M:M,"Vignette",'QA Log'!L:L,"*Vignette [3] Growth Monitoring and Promotion*"),
COUNTIFS('QA Log'!D:D,A129,'QA Log'!M:M,"Vignette",'QA Log'!L:L,"*Vignette [4]: The management of presumptive TB patient*")
)
)</f>
        <v/>
      </c>
      <c r="AW129" s="102" t="str">
        <f>IF(
  A129="","",
  SUM(
    COUNTIFS('QA Log'!D:D,A129,'QA Log'!M:M,"Vignette",'QA Log'!Z:Z,"Approved",'QA Log'!L:L,"*Vignette [1] Respiratory Infection: Pneumonia*"),
    COUNTIFS('QA Log'!D:D,A129,'QA Log'!M:M,"Vignette",'QA Log'!Z:Z,"Approved",'QA Log'!L:L,"*Vignette [2]: Diarrhea with Cat B dehydration*"),
    COUNTIFS('QA Log'!D:D,A129,'QA Log'!M:M,"Vignette",'QA Log'!Z:Z,"Approved",'QA Log'!L:L,"*Vignette [3] Growth Monitoring and Promotion*"),
    COUNTIFS('QA Log'!D:D,A129,'QA Log'!M:M,"Vignette",'QA Log'!Z:Z,"Approved",'QA Log'!L:L,"*Vignette [4]: The management of presumptive TB patient*")
  )
)</f>
        <v/>
      </c>
      <c r="AX129" s="105" t="str">
        <f>IF(A129&lt;&gt;"",COUNTIFS('QA Log'!D:D,A129,'QA Log'!M:M,"Vignette",'QA Log'!L:L,"Vignette [1] Respiratory Infection: Pneumonia",'QA Log'!Z:Z,"Approved"),"")</f>
        <v/>
      </c>
      <c r="AY129" s="105" t="str">
        <f>IF(A129&lt;&gt;"",COUNTIFS('QA Log'!D:D,A129,'QA Log'!M:M,"Vignette",'QA Log'!L:L,"Vignette [2]: Diarrhea with Cat B dehydration",'QA Log'!Z:Z,"Approved"),"")</f>
        <v/>
      </c>
      <c r="AZ129" s="105" t="str">
        <f>IF(A129&lt;&gt;"",COUNTIFS('QA Log'!D:D,A129,'QA Log'!M:M,"Vignette",'QA Log'!L:L,"Vignette [3] Growth Monitoring and Promotion",'QA Log'!Z:Z,"Approved"),"")</f>
        <v/>
      </c>
      <c r="BA129" s="105" t="str">
        <f>IF(A129&lt;&gt;"",COUNTIFS('QA Log'!D:D,A129,'QA Log'!M:M,"Vignette",'QA Log'!L:L,"Vignette [4]: The management of presumptive TB patient",'QA Log'!Z:Z,"Approved"),"")</f>
        <v/>
      </c>
      <c r="BB129" s="102" t="str">
        <f>IF(A129="","",
  SUM(
    COUNTIFS('QA Log'!D:D,A129,'QA Log'!M:M,"Vignette",'QA Log'!Z:Z,"Rejected",'QA Log'!L:L,"*Vignette [1] Respiratory Infection: Pneumonia*"),
    COUNTIFS('QA Log'!D:D,A129,'QA Log'!M:M,"Vignette",'QA Log'!Z:Z,"Rejected",'QA Log'!L:L,"*Vignette [2]: Diarrhea with Cat B dehydration*"),
    COUNTIFS('QA Log'!D:D,A129,'QA Log'!M:M,"Vignette",'QA Log'!Z:Z,"Rejected",'QA Log'!L:L,"*Vignette [3] Growth Monitoring and Promotion*"),
    COUNTIFS('QA Log'!D:D,A129,'QA Log'!M:M,"Vignette",'QA Log'!Z:Z,"Rejected",'QA Log'!L:L,"*Vignette [4]: The management of presumptive TB patient*")
  )
)</f>
        <v/>
      </c>
      <c r="BC129" s="107" t="str">
        <f t="shared" si="9"/>
        <v/>
      </c>
      <c r="BD129" s="103" t="str">
        <f t="shared" si="10"/>
        <v/>
      </c>
      <c r="BE129" s="102" t="str">
        <f>IF(A129="","",SUM(
COUNTIFS('QA Log'!D:D,A129,'QA Log'!M:M,"Vignette",'QA Log'!L:L,"*Vignette [5] Labor*"),
COUNTIFS('QA Log'!D:D,A129,'QA Log'!M:M,"Vignette",'QA Log'!L:L,"*Vignette [6] PNC pre Discharge*"),
COUNTIFS('QA Log'!D:D,A129,'QA Log'!M:M,"Vignette",'QA Log'!L:L,"*Vignette [7] First ANC Visit*"),
COUNTIFS('QA Log'!D:D,A129,'QA Log'!M:M,"Vignette",'QA Log'!L:L,"*Vignette [8] Birth Spacing/ Family Planning :  FP Counselling*"),
COUNTIFS('QA Log'!D:D,A129,'QA Log'!M:M,"Vignette",'QA Log'!L:L,"*Vignette [9] Birth Spacing: Change FP method to Injectable*"),
COUNTIFS('QA Log'!D:D,A129,'QA Log'!M:M,"Vignette",'QA Log'!L:L,"*Vignette [10] Post Partum Haemorrhage - Atonic Uterus at Health Centre*"),
)
)</f>
        <v/>
      </c>
      <c r="BF129" s="102" t="str">
        <f>IF(A129="","",
  SUM(
    COUNTIFS('QA Log'!D:D,A129,'QA Log'!M:M,"Vignette",'QA Log'!Z:Z,"Approved",'QA Log'!L:L,"*Vignette [5] Labor*"),
    COUNTIFS('QA Log'!D:D,A129,'QA Log'!M:M,"Vignette",'QA Log'!Z:Z,"Approved",'QA Log'!L:L,"*Vignette [6] PNC pre Discharge*"),
    COUNTIFS('QA Log'!D:D,A129,'QA Log'!M:M,"Vignette",'QA Log'!Z:Z,"Approved",'QA Log'!L:L,"*Vignette [7] First ANC Visit*"),
    COUNTIFS('QA Log'!D:D,A129,'QA Log'!M:M,"Vignette",'QA Log'!Z:Z,"Approved",'QA Log'!L:L,"*Vignette [8] Birth Spacing/ Family Planning :  FP Counselling*"),
    COUNTIFS('QA Log'!D:D,A129,'QA Log'!M:M,"Vignette",'QA Log'!Z:Z,"Approved",'QA Log'!L:L,"*Vignette [9] Birth Spacing: Change FP method to Injectable*"),
    COUNTIFS('QA Log'!D:D,A129,'QA Log'!M:M,"Vignette",'QA Log'!Z:Z,"Approved",'QA Log'!L:L,"*Vignette [10] Post Partum Haemorrhage - Atonic Uterus at Health Centre*")
  )
)</f>
        <v/>
      </c>
      <c r="BG129" s="105" t="str">
        <f>IF(A129&lt;&gt;"",COUNTIFS('QA Log'!D:D,A129,'QA Log'!M:M,"Vignette",'QA Log'!L:L,"Vignette [5] Labor",'QA Log'!Z:Z,"Approved"),"")</f>
        <v/>
      </c>
      <c r="BH129" s="105" t="str">
        <f>IF(A129&lt;&gt;"",COUNTIFS('QA Log'!D:D,A129,'QA Log'!M:M,"Vignette",'QA Log'!L:L,"Vignette [6] PNC pre Discharge",'QA Log'!Z:Z,"Approved"),"")</f>
        <v/>
      </c>
      <c r="BI129" s="105" t="str">
        <f>IF(A129&lt;&gt;"",COUNTIFS('QA Log'!D:D,A129,'QA Log'!M:M,"Vignette",'QA Log'!L:L,"Vignette [7] First ANC Visit",'QA Log'!Z:Z,"Approved"),"")</f>
        <v/>
      </c>
      <c r="BJ129" s="105" t="str">
        <f>IF(A129&lt;&gt;"",COUNTIFS('QA Log'!D:D,A129,'QA Log'!M:M,"Vignette",'QA Log'!L:L,"Vignette [8] Birth Spacing/ Family Planning :  FP Counselling",'QA Log'!Z:Z,"Approved"),"")</f>
        <v/>
      </c>
      <c r="BK129" s="105" t="str">
        <f>IF(A129&lt;&gt;"",COUNTIFS('QA Log'!D:D,A129,'QA Log'!M:M,"Vignette",'QA Log'!L:L,"Vignette [9] Birth Spacing: Change FP method to Injectable",'QA Log'!Z:Z,"Approved"),"")</f>
        <v/>
      </c>
      <c r="BL129" s="105" t="str">
        <f>IF(A129&lt;&gt;"",COUNTIFS('QA Log'!D:D,A129,'QA Log'!M:M,"Vignette",'QA Log'!L:L,"Vignette [10] Post Partum Haemorrhage - Atonic Uterus at Health Centre",'QA Log'!Z:Z,"Approved"),"")</f>
        <v/>
      </c>
      <c r="BM129" s="102" t="str">
        <f>IF(A129="","",SUM(
    COUNTIFS('QA Log'!D:D,A129,'QA Log'!M:M,"Vignette",'QA Log'!Z:Z,"Rejected",'QA Log'!L:L,"*Vignette [5] Labor*"),
    COUNTIFS('QA Log'!D:D,A129,'QA Log'!M:M,"Vignette",'QA Log'!Z:Z,"Rejected",'QA Log'!L:L,"*Vignette [6] PNC pre Discharge*"),
    COUNTIFS('QA Log'!D:D,A129,'QA Log'!M:M,"Vignette",'QA Log'!Z:Z,"Rejected",'QA Log'!L:L,"*Vignette [7] First ANC Visit*"),
    COUNTIFS('QA Log'!D:D,A129,'QA Log'!M:M,"Vignette",'QA Log'!Z:Z,"Rejected",'QA Log'!L:L,"*Vignette [8] Birth Spacing/ Family Planning :  FP Counselling*"),
    COUNTIFS('QA Log'!D:D,A129,'QA Log'!M:M,"Vignette",'QA Log'!Z:Z,"Rejected",'QA Log'!L:L,"*Vignette [9] Birth Spacing: Change FP method to Injectable*"),
    COUNTIFS('QA Log'!D:D,A129,'QA Log'!M:M,"Vignette",'QA Log'!Z:Z,"Rejected",'QA Log'!L:L,"*Vignette [10] Post Partum Haemorrhage - Atonic Uterus at Health Centre*")
  )
)</f>
        <v/>
      </c>
      <c r="BN129" s="107" t="str">
        <f t="shared" si="11"/>
        <v/>
      </c>
      <c r="BO129" s="103" t="str">
        <f t="shared" si="12"/>
        <v/>
      </c>
      <c r="BP129" s="102" t="str">
        <f>IF(A129="","",SUM(
COUNTIFS('QA Log'!D:D,A129,'QA Log'!M:M,"Vignette",'QA Log'!L:L,"*Exit Interview 1*"),
COUNTIFS('QA Log'!D:D,A129,'QA Log'!M:M,"Vignette",'QA Log'!L:L,"*Exit Interview 2*"),
)
)</f>
        <v/>
      </c>
      <c r="BQ129" s="102" t="str">
        <f>IF(
  A129="","",
  SUM(
    COUNTIFS('QA Log'!D:D,A129,'QA Log'!M:M,"Vignette",'QA Log'!Z:Z,"Approved",'QA Log'!L:L,"*Exit Interview 1*"),
    COUNTIFS('QA Log'!D:D,A129,'QA Log'!M:M,"Vignette",'QA Log'!Z:Z,"Approved",'QA Log'!L:L,"*Exit Interview 2*")
  )
)</f>
        <v/>
      </c>
      <c r="BR129" s="105" t="str">
        <f>IF(A129&lt;&gt;"",COUNTIFS('QA Log'!D:D,A129,'QA Log'!M:M,"Vignette",'QA Log'!L:L,"Exit Interview 1",'QA Log'!Z:Z,"Approved"),"")</f>
        <v/>
      </c>
      <c r="BS129" s="105" t="str">
        <f>IF(A129&lt;&gt;"",COUNTIFS('QA Log'!D:D,A129,'QA Log'!M:M,"Vignette",'QA Log'!L:L,"Exit Interview 2",'QA Log'!Z:Z,"Approved"),"")</f>
        <v/>
      </c>
      <c r="BT129" s="102" t="str">
        <f>IF(
  A129="","",
  SUM(
    COUNTIFS('QA Log'!D:D,A129,'QA Log'!M:M,"Vignette",'QA Log'!Z:Z,"Rejected",'QA Log'!L:L,"*Exit Interview 1*"),
    COUNTIFS('QA Log'!D:D,A129,'QA Log'!M:M,"Vignette",'QA Log'!Z:Z,"Rejected",'QA Log'!L:L,"*Exit Interview 2*")
  )
)</f>
        <v/>
      </c>
      <c r="BU129" s="107" t="str">
        <f t="shared" si="13"/>
        <v/>
      </c>
      <c r="BV129" s="102" t="str">
        <f t="shared" si="14"/>
        <v/>
      </c>
      <c r="BW129" s="102" t="str">
        <f t="shared" si="15"/>
        <v/>
      </c>
      <c r="BX129" s="102" t="str">
        <f t="shared" si="16"/>
        <v/>
      </c>
      <c r="BY129" s="102" t="str">
        <f t="shared" si="17"/>
        <v/>
      </c>
      <c r="BZ129" s="107" t="str">
        <f t="shared" si="18"/>
        <v/>
      </c>
      <c r="CA129" s="108" t="str">
        <f t="shared" si="19"/>
        <v/>
      </c>
      <c r="CB129" s="108" t="str">
        <f t="shared" si="20"/>
        <v/>
      </c>
      <c r="CC129" s="109" t="str">
        <f t="shared" si="21"/>
        <v/>
      </c>
      <c r="CD129" s="108" t="str">
        <f t="shared" si="22"/>
        <v/>
      </c>
      <c r="CE129" s="108" t="str">
        <f t="shared" si="23"/>
        <v/>
      </c>
      <c r="CF129" s="109" t="str">
        <f t="shared" si="24"/>
        <v/>
      </c>
      <c r="CG129" s="110" t="str">
        <f t="shared" si="25"/>
        <v/>
      </c>
      <c r="CH129" s="111"/>
    </row>
    <row r="130" spans="1:86" ht="12.75">
      <c r="A130" s="101"/>
      <c r="B130" s="102" t="e">
        <f t="array" aca="1" ref="B130" ca="1">_xludf.XLOOKUP(A130,'QA Log'!D:D,'QA Log'!E:E,"")</f>
        <v>#NAME?</v>
      </c>
      <c r="C130" s="102" t="e">
        <f t="array" aca="1" ref="C130" ca="1">_xludf.XLOOKUP(A130,'QA Log'!D:D,'QA Log'!F:F,"")</f>
        <v>#NAME?</v>
      </c>
      <c r="D130" s="102" t="e">
        <f t="array" aca="1" ref="D130" ca="1">_xludf.XLOOKUP(A130,'QA Log'!D:D,'QA Log'!H:H,"")</f>
        <v>#NAME?</v>
      </c>
      <c r="E130" s="102" t="e">
        <f t="array" aca="1" ref="E130" ca="1">_xludf.XLOOKUP(A130,'QA Log'!D:D,'QA Log'!G:G,"")</f>
        <v>#NAME?</v>
      </c>
      <c r="F130" s="103"/>
      <c r="G130" s="104"/>
      <c r="H130" s="104"/>
      <c r="I130" s="103" t="str">
        <f t="shared" si="0"/>
        <v/>
      </c>
      <c r="J130" s="102" t="str">
        <f>IF(A130="","",SUM(
COUNTIFS('QA Log'!D:D,A130,'QA Log'!M:M,"QQC",'QA Log'!L:L,"*1. General Management*"),
COUNTIFS('QA Log'!D:D,A130,'QA Log'!M:M,"QQC",'QA Log'!L:L,"*3. Curative Consultation (OPD)*"),
COUNTIFS('QA Log'!D:D,A130,'QA Log'!M:M,"QQC",'QA Log'!L:L,"*5. Laboratory*"),
COUNTIFS('QA Log'!D:D,A130,'QA Log'!M:M,"QQC",'QA Log'!L:L,"*6. Essential Medicine Management*"),
COUNTIFS('QA Log'!D:D,A130,'QA Log'!M:M,"QQC",'QA Log'!L:L,"*7. Tracer Medicine*"),
COUNTIFS('QA Log'!D:D,A130,'QA Log'!M:M,"QQC",'QA Log'!L:L,"*11. Additional Questions*")))</f>
        <v/>
      </c>
      <c r="K130" s="102" t="str">
        <f>IF(A130="","",SUM(
COUNTIFS('QA Log'!D:D,A130,'QA Log'!M:M,"QQC",'QA Log'!Z:Z,"Approved",'QA Log'!L:L,"*1. General Management*"),
COUNTIFS('QA Log'!D:D,A130,'QA Log'!M:M,"QQC",'QA Log'!Z:Z,"Approved",'QA Log'!L:L,"*3. Curative Consultation (OPD)*"),
COUNTIFS('QA Log'!D:D,A130,'QA Log'!M:M,"QQC",'QA Log'!Z:Z,"Approved",'QA Log'!L:L,"*5. Laboratory*"),
COUNTIFS('QA Log'!D:D,A130,'QA Log'!M:M,"QQC",'QA Log'!Z:Z,"Approved",'QA Log'!L:L,"*6. Essential Medicine Management*"),
COUNTIFS('QA Log'!D:D,A130,'QA Log'!M:M,"QQC",'QA Log'!Z:Z,"Approved",'QA Log'!L:L,"*7. Tracer Medicine*"),
COUNTIFS('QA Log'!D:D,A130,'QA Log'!M:M,"QQC",'QA Log'!Z:Z,"Approved",'QA Log'!L:L,"*11. Additional Questions*")))</f>
        <v/>
      </c>
      <c r="L130" s="105" t="str">
        <f>IF(A130&lt;&gt;"",COUNTIFS('QA Log'!D:D,A130,'QA Log'!M:M,"QQC",'QA Log'!L:L,"1. General Management",'QA Log'!Z:Z,"Approved"),"")</f>
        <v/>
      </c>
      <c r="M130" s="105" t="str">
        <f>IF(A130&lt;&gt;"",COUNTIFS('QA Log'!D:D,A130,'QA Log'!M:M,"QQC",'QA Log'!L:L,"3. Curative Consultation (OPD)",'QA Log'!Z:Z,"Approved"),"")</f>
        <v/>
      </c>
      <c r="N130" s="105" t="str">
        <f>IF(A130&lt;&gt;"",COUNTIFS('QA Log'!D:D,A130,'QA Log'!M:M,"QQC",'QA Log'!L:L,"5. Laboratory",'QA Log'!Z:Z,"Approved"),"")</f>
        <v/>
      </c>
      <c r="O130" s="105" t="str">
        <f>IF(A130&lt;&gt;"",COUNTIFS('QA Log'!D:D,A130,'QA Log'!M:M,"QQC",'QA Log'!L:L,"6. Essential Medicine Management",'QA Log'!Z:Z,"Approved"),"")</f>
        <v/>
      </c>
      <c r="P130" s="105" t="str">
        <f>IF(A130&lt;&gt;"",COUNTIFS('QA Log'!D:D,A130,'QA Log'!M:M,"QQC",'QA Log'!L:L,"7. Tracer Medicine",'QA Log'!Z:Z,"Approved"),"")</f>
        <v/>
      </c>
      <c r="Q130" s="105" t="str">
        <f>IF(A130&lt;&gt;"",COUNTIFS('QA Log'!D:D,A130,'QA Log'!M:M,"QQC",'QA Log'!L:L,"11. Additional Questions",'QA Log'!Z:Z,"Approved"),"")</f>
        <v/>
      </c>
      <c r="R130" s="102" t="str">
        <f>IF(A130="","",SUM(
COUNTIFS('QA Log'!D:D,A130,'QA Log'!M:M,"QQC",'QA Log'!Z:Z,"Rejected",'QA Log'!L:L,"*8. Maternity*"),
COUNTIFS('QA Log'!D:D,A130,'QA Log'!M:M,"QQC",'QA Log'!Z:Z,"Rejected",'QA Log'!L:L,"*EPI*"),
COUNTIFS('QA Log'!D:D,A130,'QA Log'!M:M,"QQC",'QA Log'!Z:Z,"Rejected",'QA Log'!L:L,"*10. Antenatal Care (ANC)*"),
COUNTIFS('QA Log'!D:D,A130,'QA Log'!M:M,"QQC",'QA Log'!Z:Z,"Rejected",'QA Log'!L:L,"*2. Hygiene and Sterilization*"),
COUNTIFS('QA Log'!D:D,A130,'QA Log'!M:M,"QQC",'QA Log'!Z:Z,"Rejected",'QA Log'!L:L,"*Family Planning*")))</f>
        <v/>
      </c>
      <c r="S130" s="106" t="str">
        <f t="shared" si="1"/>
        <v/>
      </c>
      <c r="T130" s="102" t="str">
        <f t="shared" si="2"/>
        <v/>
      </c>
      <c r="U130" s="102" t="str">
        <f>IF(A130="","",
SUM(
COUNTIFS('QA Log'!D:D,A130,'QA Log'!M:M,"QQC",'QA Log'!L:L,"*8. Maternity*"),
COUNTIFS('QA Log'!D:D,A130,'QA Log'!M:M,"QQC",'QA Log'!L:L,"*9. EPI and Pre-school Consultation*"),
COUNTIFS('QA Log'!D:D,A130,'QA Log'!M:M,"QQC",'QA Log'!L:L,"*10. Antenatal Care (ANC)*"),
COUNTIFS('QA Log'!D:D,A130,'QA Log'!M:M,"QQC",'QA Log'!L:L,"*2. Hygiene and Sterilization*"),
COUNTIFS('QA Log'!D:D,A130,'QA Log'!M:M,"QQC",'QA Log'!L:L,"*4. Family Planning*")
))</f>
        <v/>
      </c>
      <c r="V130" s="102" t="str">
        <f>IF(A130="","",
SUM(
COUNTIFS('QA Log'!D:D,A130,'QA Log'!M:M,"QQC",'QA Log'!Z:Z,"Approved",'QA Log'!L:L,"*8. Maternity*"),
COUNTIFS('QA Log'!D:D,A130,'QA Log'!M:M,"QQC",'QA Log'!Z:Z,"Approved",'QA Log'!L:L,"*9. EPI and Pre-school Consultation*"),
COUNTIFS('QA Log'!D:D,A130,'QA Log'!M:M,"QQC",'QA Log'!Z:Z,"Approved",'QA Log'!L:L,"*10. Antenatal Care (ANC)*"),
COUNTIFS('QA Log'!D:D,A130,'QA Log'!M:M,"QQC",'QA Log'!Z:Z,"Approved",'QA Log'!L:L,"*2. Hygiene and Sterilization*"),
COUNTIFS('QA Log'!D:D,A130,'QA Log'!M:M,"QQC",'QA Log'!Z:Z,"Approved",'QA Log'!L:L,"*4. Family Planning*")
))</f>
        <v/>
      </c>
      <c r="W130" s="105" t="str">
        <f>IF(A130&lt;&gt;"",COUNTIFS('QA Log'!D:D,A130,'QA Log'!M:M,"QQC",'QA Log'!L:L,"8. Maternity",'QA Log'!Z:Z,"Approved"),"")</f>
        <v/>
      </c>
      <c r="X130" s="105" t="str">
        <f>IF(A130&lt;&gt;"",COUNTIFS('QA Log'!D:D,A130,'QA Log'!M:M,"QQC",'QA Log'!L:L,"9. EPI and Pre-school Consultation",'QA Log'!Z:Z,"Approved"),"")</f>
        <v/>
      </c>
      <c r="Y130" s="105" t="str">
        <f>IF(A130&lt;&gt;"",COUNTIFS('QA Log'!D:D,A130,'QA Log'!M:M,"QQC",'QA Log'!L:L,"10. Antenatal Care (ANC)",'QA Log'!Z:Z,"Approved"),"")</f>
        <v/>
      </c>
      <c r="Z130" s="105" t="str">
        <f>IF(A130&lt;&gt;"",COUNTIFS('QA Log'!D:D,A130,'QA Log'!M:M,"QQC",'QA Log'!L:L,"2. Hygiene and Sterilization",'QA Log'!Z:Z,"Approved"),"")</f>
        <v/>
      </c>
      <c r="AA130" s="105" t="str">
        <f>IF(A130&lt;&gt;"",COUNTIFS('QA Log'!D:D,A130,'QA Log'!M:M,"QQC",'QA Log'!L:L,"4. Family Planning",'QA Log'!Z:Z,"Approved"),"")</f>
        <v/>
      </c>
      <c r="AB130" s="102" t="str">
        <f>IF(A130="","",
SUM(
COUNTIFS('QA Log'!D:D,A130,'QA Log'!M:M,"QQC",'QA Log'!Z:Z,"Rejected",'QA Log'!L:L,"*8. Maternity*"),
COUNTIFS('QA Log'!D:D,A130,'QA Log'!M:M,"QQC",'QA Log'!Z:Z,"Rejected",'QA Log'!L:L,"*9. EPI and Pre-school Consultation*"),
COUNTIFS('QA Log'!D:D,A130,'QA Log'!M:M,"QQC",'QA Log'!Z:Z,"Rejected",'QA Log'!L:L,"*10. Antenatal Care (ANC)*"),
COUNTIFS('QA Log'!D:D,A130,'QA Log'!M:M,"QQC",'QA Log'!Z:Z,"Rejected",'QA Log'!L:L,"*2. Hygiene and Sterilization*"),
COUNTIFS('QA Log'!D:D,A130,'QA Log'!M:M,"QQC",'QA Log'!Z:Z,"Rejected",'QA Log'!L:L,"*4. Family Planning*")
))</f>
        <v/>
      </c>
      <c r="AC130" s="102" t="str">
        <f t="shared" si="3"/>
        <v/>
      </c>
      <c r="AD130" s="103" t="str">
        <f t="shared" si="4"/>
        <v/>
      </c>
      <c r="AE130" s="102" t="str">
        <f>IF(A130="","",
SUM(
COUNTIFS('QA Log'!D:D,A130,'QA Log'!M:M,"Data Verification",'QA Log'!L:L,"*Medicine (section 2)*"),
COUNTIFS('QA Log'!D:D,A130,'QA Log'!M:M,"Data Verification",'QA Log'!L:L,"*Lab Testing Availability*"),
COUNTIFS('QA Log'!D:D,A130,'QA Log'!M:M,"Data Verification",'QA Log'!L:L,"*Other than P4P (section 6)*"),
COUNTIFS('QA Log'!D:D,A130,'QA Log'!M:M,"Data Verification",'QA Log'!L:L,"*Hospital Governance*")
))</f>
        <v/>
      </c>
      <c r="AF130" s="102" t="str">
        <f>IF(A130="","",
SUM(
COUNTIFS('QA Log'!D:D,A130,'QA Log'!M:M,"Data Verification",'QA Log'!Z:Z,"Approved",'QA Log'!L:L,"*Medicine (section 2)*"),
COUNTIFS('QA Log'!D:D,A130,'QA Log'!M:M,"Data Verification",'QA Log'!Z:Z,"Approved",'QA Log'!L:L,"*Lab Testing Availability*"),
COUNTIFS('QA Log'!D:D,A130,'QA Log'!M:M,"Data Verification",'QA Log'!Z:Z,"Approved",'QA Log'!L:L,"*Other than P4P (section 6)*"),
COUNTIFS('QA Log'!D:D,A130,'QA Log'!M:M,"Data Verification",'QA Log'!Z:Z,"Approved",'QA Log'!L:L,"*Hospital Governance*")
))</f>
        <v/>
      </c>
      <c r="AG130" s="105" t="str">
        <f>IF(A130&lt;&gt;"",COUNTIFS('QA Log'!D:D,A130,'QA Log'!M:M,"Data Verification",'QA Log'!L:L,"Medicine (section 2)",'QA Log'!Z:Z,"Approved"),"")</f>
        <v/>
      </c>
      <c r="AH130" s="105" t="str">
        <f>IF(A130&lt;&gt;"",COUNTIFS('QA Log'!D:D,A130,'QA Log'!M:M,"Data Verification",'QA Log'!L:L,"Lab Testing Availability",'QA Log'!Z:Z,"Approved"),"")</f>
        <v/>
      </c>
      <c r="AI130" s="105" t="str">
        <f>IF(A130&lt;&gt;"",COUNTIFS('QA Log'!D:D,A130,'QA Log'!M:M,"Data Verification",'QA Log'!L:L,"Other than P4P (section 6)",'QA Log'!Z:Z,"Approved"),"")</f>
        <v/>
      </c>
      <c r="AJ130" s="105" t="str">
        <f>IF(A130&lt;&gt;"",COUNTIFS('QA Log'!D:D,A130,'QA Log'!M:M,"Data Verification",'QA Log'!L:L,"Hospital Governance",'QA Log'!Z:Z,"Approved"),"")</f>
        <v/>
      </c>
      <c r="AK130" s="102" t="str">
        <f>IF(A130="","",
SUM(
COUNTIFS('QA Log'!D:D,A130,'QA Log'!M:M,"Data Verification",'QA Log'!Z:Z,"Rejected",'QA Log'!L:L,"*Medicine (section 2)*"),
COUNTIFS('QA Log'!D:D,A130,'QA Log'!M:M,"Data Verification",'QA Log'!Z:Z,"Rejected",'QA Log'!L:L,"*Lab Testing Availability*"),
COUNTIFS('QA Log'!D:D,A130,'QA Log'!M:M,"Data Verification",'QA Log'!Z:Z,"Rejected",'QA Log'!L:L,"*Other than P4P (section 6)*"),
COUNTIFS('QA Log'!D:D,A130,'QA Log'!M:M,"Data Verification",'QA Log'!Z:Z,"Rejected",'QA Log'!L:L,"*Hospital Governance*")
))</f>
        <v/>
      </c>
      <c r="AL130" s="106" t="str">
        <f t="shared" si="5"/>
        <v/>
      </c>
      <c r="AM130" s="102" t="str">
        <f t="shared" si="6"/>
        <v/>
      </c>
      <c r="AN130" s="102" t="str">
        <f>IF(A130="","",
SUM(
COUNTIFS('QA Log'!D:D,A130,'QA Log'!M:M,"Data Verification",'QA Log'!L:L,"*Personnel (section 1)*"),
COUNTIFS('QA Log'!D:D,A130,'QA Log'!M:M,"Data Verification",'QA Log'!L:L,"*Consumable (section 3)*"),
COUNTIFS('QA Log'!D:D,A130,'QA Log'!M:M,"Data Verification",'QA Log'!L:L,"*Equipments (section 4)*")
))</f>
        <v/>
      </c>
      <c r="AO130" s="102" t="str">
        <f>IF(A130="","",
SUM(
COUNTIFS('QA Log'!D:D,A130,'QA Log'!M:M,"Data Verification",'QA Log'!Z:Z,"Approved",'QA Log'!L:L,"*Personnel (section 1)*"),
COUNTIFS('QA Log'!D:D,A130,'QA Log'!M:M,"Data Verification",'QA Log'!Z:Z,"Approved",'QA Log'!L:L,"*Consumable (section 3)*"),
COUNTIFS('QA Log'!D:D,A130,'QA Log'!M:M,"Data Verification",'QA Log'!Z:Z,"Approved",'QA Log'!L:L,"*Equipments (section 4)*")
))</f>
        <v/>
      </c>
      <c r="AP130" s="105" t="str">
        <f>IF(A130&lt;&gt;"",COUNTIFS('QA Log'!D:D,A130,'QA Log'!M:M,"Data Verification",'QA Log'!L:L,"Personnel (section 1)",'QA Log'!Z:Z,"Approved"),"")</f>
        <v/>
      </c>
      <c r="AQ130" s="105" t="str">
        <f>IF(A130&lt;&gt;"",COUNTIFS('QA Log'!D:D,A130,'QA Log'!M:M,"Data Verification",'QA Log'!L:L,"Consumable (section 3)",'QA Log'!Z:Z,"Approved"),"")</f>
        <v/>
      </c>
      <c r="AR130" s="105" t="str">
        <f>IF(A130&lt;&gt;"",COUNTIFS('QA Log'!D:D,A130,'QA Log'!M:M,"Data Verification",'QA Log'!L:L,"Equipments (section 4)",'QA Log'!Z:Z,"Approved"),"")</f>
        <v/>
      </c>
      <c r="AS130" s="102" t="str">
        <f>IF(A130="","",
SUM(
COUNTIFS('QA Log'!D:D,A130,'QA Log'!M:M,"Data Verification",'QA Log'!Z:Z,"Rejected",'QA Log'!L:L,"*Personnel (section 1)*"),
COUNTIFS('QA Log'!D:D,A130,'QA Log'!M:M,"Data Verification",'QA Log'!Z:Z,"Rejected",'QA Log'!L:L,"*Consumable (section 3)*"),
COUNTIFS('QA Log'!D:D,A130,'QA Log'!M:M,"Data Verification",'QA Log'!Z:Z,"Rejected",'QA Log'!L:L,"*Equipments (section 4)*")
))</f>
        <v/>
      </c>
      <c r="AT130" s="102" t="str">
        <f t="shared" si="7"/>
        <v/>
      </c>
      <c r="AU130" s="103" t="str">
        <f t="shared" si="8"/>
        <v/>
      </c>
      <c r="AV130" s="102" t="str">
        <f>IF(A130="","",SUM(
COUNTIFS('QA Log'!D:D,A130,'QA Log'!M:M,"Vignette",'QA Log'!L:L,"*Vignette [1] Respiratory Infection: Pneumonia*"),
COUNTIFS('QA Log'!D:D,A130,'QA Log'!M:M,"Vignette",'QA Log'!L:L,"*Vignette [2]: Diarrhea with Cat B dehydration*"),
COUNTIFS('QA Log'!D:D,A130,'QA Log'!M:M,"Vignette",'QA Log'!L:L,"*Vignette [3] Growth Monitoring and Promotion*"),
COUNTIFS('QA Log'!D:D,A130,'QA Log'!M:M,"Vignette",'QA Log'!L:L,"*Vignette [4]: The management of presumptive TB patient*")
)
)</f>
        <v/>
      </c>
      <c r="AW130" s="102" t="str">
        <f>IF(
  A130="","",
  SUM(
    COUNTIFS('QA Log'!D:D,A130,'QA Log'!M:M,"Vignette",'QA Log'!Z:Z,"Approved",'QA Log'!L:L,"*Vignette [1] Respiratory Infection: Pneumonia*"),
    COUNTIFS('QA Log'!D:D,A130,'QA Log'!M:M,"Vignette",'QA Log'!Z:Z,"Approved",'QA Log'!L:L,"*Vignette [2]: Diarrhea with Cat B dehydration*"),
    COUNTIFS('QA Log'!D:D,A130,'QA Log'!M:M,"Vignette",'QA Log'!Z:Z,"Approved",'QA Log'!L:L,"*Vignette [3] Growth Monitoring and Promotion*"),
    COUNTIFS('QA Log'!D:D,A130,'QA Log'!M:M,"Vignette",'QA Log'!Z:Z,"Approved",'QA Log'!L:L,"*Vignette [4]: The management of presumptive TB patient*")
  )
)</f>
        <v/>
      </c>
      <c r="AX130" s="105" t="str">
        <f>IF(A130&lt;&gt;"",COUNTIFS('QA Log'!D:D,A130,'QA Log'!M:M,"Vignette",'QA Log'!L:L,"Vignette [1] Respiratory Infection: Pneumonia",'QA Log'!Z:Z,"Approved"),"")</f>
        <v/>
      </c>
      <c r="AY130" s="105" t="str">
        <f>IF(A130&lt;&gt;"",COUNTIFS('QA Log'!D:D,A130,'QA Log'!M:M,"Vignette",'QA Log'!L:L,"Vignette [2]: Diarrhea with Cat B dehydration",'QA Log'!Z:Z,"Approved"),"")</f>
        <v/>
      </c>
      <c r="AZ130" s="105" t="str">
        <f>IF(A130&lt;&gt;"",COUNTIFS('QA Log'!D:D,A130,'QA Log'!M:M,"Vignette",'QA Log'!L:L,"Vignette [3] Growth Monitoring and Promotion",'QA Log'!Z:Z,"Approved"),"")</f>
        <v/>
      </c>
      <c r="BA130" s="105" t="str">
        <f>IF(A130&lt;&gt;"",COUNTIFS('QA Log'!D:D,A130,'QA Log'!M:M,"Vignette",'QA Log'!L:L,"Vignette [4]: The management of presumptive TB patient",'QA Log'!Z:Z,"Approved"),"")</f>
        <v/>
      </c>
      <c r="BB130" s="102" t="str">
        <f>IF(A130="","",
  SUM(
    COUNTIFS('QA Log'!D:D,A130,'QA Log'!M:M,"Vignette",'QA Log'!Z:Z,"Rejected",'QA Log'!L:L,"*Vignette [1] Respiratory Infection: Pneumonia*"),
    COUNTIFS('QA Log'!D:D,A130,'QA Log'!M:M,"Vignette",'QA Log'!Z:Z,"Rejected",'QA Log'!L:L,"*Vignette [2]: Diarrhea with Cat B dehydration*"),
    COUNTIFS('QA Log'!D:D,A130,'QA Log'!M:M,"Vignette",'QA Log'!Z:Z,"Rejected",'QA Log'!L:L,"*Vignette [3] Growth Monitoring and Promotion*"),
    COUNTIFS('QA Log'!D:D,A130,'QA Log'!M:M,"Vignette",'QA Log'!Z:Z,"Rejected",'QA Log'!L:L,"*Vignette [4]: The management of presumptive TB patient*")
  )
)</f>
        <v/>
      </c>
      <c r="BC130" s="107" t="str">
        <f t="shared" si="9"/>
        <v/>
      </c>
      <c r="BD130" s="103" t="str">
        <f t="shared" si="10"/>
        <v/>
      </c>
      <c r="BE130" s="102" t="str">
        <f>IF(A130="","",SUM(
COUNTIFS('QA Log'!D:D,A130,'QA Log'!M:M,"Vignette",'QA Log'!L:L,"*Vignette [5] Labor*"),
COUNTIFS('QA Log'!D:D,A130,'QA Log'!M:M,"Vignette",'QA Log'!L:L,"*Vignette [6] PNC pre Discharge*"),
COUNTIFS('QA Log'!D:D,A130,'QA Log'!M:M,"Vignette",'QA Log'!L:L,"*Vignette [7] First ANC Visit*"),
COUNTIFS('QA Log'!D:D,A130,'QA Log'!M:M,"Vignette",'QA Log'!L:L,"*Vignette [8] Birth Spacing/ Family Planning :  FP Counselling*"),
COUNTIFS('QA Log'!D:D,A130,'QA Log'!M:M,"Vignette",'QA Log'!L:L,"*Vignette [9] Birth Spacing: Change FP method to Injectable*"),
COUNTIFS('QA Log'!D:D,A130,'QA Log'!M:M,"Vignette",'QA Log'!L:L,"*Vignette [10] Post Partum Haemorrhage - Atonic Uterus at Health Centre*"),
)
)</f>
        <v/>
      </c>
      <c r="BF130" s="102" t="str">
        <f>IF(A130="","",
  SUM(
    COUNTIFS('QA Log'!D:D,A130,'QA Log'!M:M,"Vignette",'QA Log'!Z:Z,"Approved",'QA Log'!L:L,"*Vignette [5] Labor*"),
    COUNTIFS('QA Log'!D:D,A130,'QA Log'!M:M,"Vignette",'QA Log'!Z:Z,"Approved",'QA Log'!L:L,"*Vignette [6] PNC pre Discharge*"),
    COUNTIFS('QA Log'!D:D,A130,'QA Log'!M:M,"Vignette",'QA Log'!Z:Z,"Approved",'QA Log'!L:L,"*Vignette [7] First ANC Visit*"),
    COUNTIFS('QA Log'!D:D,A130,'QA Log'!M:M,"Vignette",'QA Log'!Z:Z,"Approved",'QA Log'!L:L,"*Vignette [8] Birth Spacing/ Family Planning :  FP Counselling*"),
    COUNTIFS('QA Log'!D:D,A130,'QA Log'!M:M,"Vignette",'QA Log'!Z:Z,"Approved",'QA Log'!L:L,"*Vignette [9] Birth Spacing: Change FP method to Injectable*"),
    COUNTIFS('QA Log'!D:D,A130,'QA Log'!M:M,"Vignette",'QA Log'!Z:Z,"Approved",'QA Log'!L:L,"*Vignette [10] Post Partum Haemorrhage - Atonic Uterus at Health Centre*")
  )
)</f>
        <v/>
      </c>
      <c r="BG130" s="105" t="str">
        <f>IF(A130&lt;&gt;"",COUNTIFS('QA Log'!D:D,A130,'QA Log'!M:M,"Vignette",'QA Log'!L:L,"Vignette [5] Labor",'QA Log'!Z:Z,"Approved"),"")</f>
        <v/>
      </c>
      <c r="BH130" s="105" t="str">
        <f>IF(A130&lt;&gt;"",COUNTIFS('QA Log'!D:D,A130,'QA Log'!M:M,"Vignette",'QA Log'!L:L,"Vignette [6] PNC pre Discharge",'QA Log'!Z:Z,"Approved"),"")</f>
        <v/>
      </c>
      <c r="BI130" s="105" t="str">
        <f>IF(A130&lt;&gt;"",COUNTIFS('QA Log'!D:D,A130,'QA Log'!M:M,"Vignette",'QA Log'!L:L,"Vignette [7] First ANC Visit",'QA Log'!Z:Z,"Approved"),"")</f>
        <v/>
      </c>
      <c r="BJ130" s="105" t="str">
        <f>IF(A130&lt;&gt;"",COUNTIFS('QA Log'!D:D,A130,'QA Log'!M:M,"Vignette",'QA Log'!L:L,"Vignette [8] Birth Spacing/ Family Planning :  FP Counselling",'QA Log'!Z:Z,"Approved"),"")</f>
        <v/>
      </c>
      <c r="BK130" s="105" t="str">
        <f>IF(A130&lt;&gt;"",COUNTIFS('QA Log'!D:D,A130,'QA Log'!M:M,"Vignette",'QA Log'!L:L,"Vignette [9] Birth Spacing: Change FP method to Injectable",'QA Log'!Z:Z,"Approved"),"")</f>
        <v/>
      </c>
      <c r="BL130" s="105" t="str">
        <f>IF(A130&lt;&gt;"",COUNTIFS('QA Log'!D:D,A130,'QA Log'!M:M,"Vignette",'QA Log'!L:L,"Vignette [10] Post Partum Haemorrhage - Atonic Uterus at Health Centre",'QA Log'!Z:Z,"Approved"),"")</f>
        <v/>
      </c>
      <c r="BM130" s="102" t="str">
        <f>IF(A130="","",SUM(
    COUNTIFS('QA Log'!D:D,A130,'QA Log'!M:M,"Vignette",'QA Log'!Z:Z,"Rejected",'QA Log'!L:L,"*Vignette [5] Labor*"),
    COUNTIFS('QA Log'!D:D,A130,'QA Log'!M:M,"Vignette",'QA Log'!Z:Z,"Rejected",'QA Log'!L:L,"*Vignette [6] PNC pre Discharge*"),
    COUNTIFS('QA Log'!D:D,A130,'QA Log'!M:M,"Vignette",'QA Log'!Z:Z,"Rejected",'QA Log'!L:L,"*Vignette [7] First ANC Visit*"),
    COUNTIFS('QA Log'!D:D,A130,'QA Log'!M:M,"Vignette",'QA Log'!Z:Z,"Rejected",'QA Log'!L:L,"*Vignette [8] Birth Spacing/ Family Planning :  FP Counselling*"),
    COUNTIFS('QA Log'!D:D,A130,'QA Log'!M:M,"Vignette",'QA Log'!Z:Z,"Rejected",'QA Log'!L:L,"*Vignette [9] Birth Spacing: Change FP method to Injectable*"),
    COUNTIFS('QA Log'!D:D,A130,'QA Log'!M:M,"Vignette",'QA Log'!Z:Z,"Rejected",'QA Log'!L:L,"*Vignette [10] Post Partum Haemorrhage - Atonic Uterus at Health Centre*")
  )
)</f>
        <v/>
      </c>
      <c r="BN130" s="107" t="str">
        <f t="shared" si="11"/>
        <v/>
      </c>
      <c r="BO130" s="103" t="str">
        <f t="shared" si="12"/>
        <v/>
      </c>
      <c r="BP130" s="102" t="str">
        <f>IF(A130="","",SUM(
COUNTIFS('QA Log'!D:D,A130,'QA Log'!M:M,"Vignette",'QA Log'!L:L,"*Exit Interview 1*"),
COUNTIFS('QA Log'!D:D,A130,'QA Log'!M:M,"Vignette",'QA Log'!L:L,"*Exit Interview 2*"),
)
)</f>
        <v/>
      </c>
      <c r="BQ130" s="102" t="str">
        <f>IF(
  A130="","",
  SUM(
    COUNTIFS('QA Log'!D:D,A130,'QA Log'!M:M,"Vignette",'QA Log'!Z:Z,"Approved",'QA Log'!L:L,"*Exit Interview 1*"),
    COUNTIFS('QA Log'!D:D,A130,'QA Log'!M:M,"Vignette",'QA Log'!Z:Z,"Approved",'QA Log'!L:L,"*Exit Interview 2*")
  )
)</f>
        <v/>
      </c>
      <c r="BR130" s="105" t="str">
        <f>IF(A130&lt;&gt;"",COUNTIFS('QA Log'!D:D,A130,'QA Log'!M:M,"Vignette",'QA Log'!L:L,"Exit Interview 1",'QA Log'!Z:Z,"Approved"),"")</f>
        <v/>
      </c>
      <c r="BS130" s="105" t="str">
        <f>IF(A130&lt;&gt;"",COUNTIFS('QA Log'!D:D,A130,'QA Log'!M:M,"Vignette",'QA Log'!L:L,"Exit Interview 2",'QA Log'!Z:Z,"Approved"),"")</f>
        <v/>
      </c>
      <c r="BT130" s="102" t="str">
        <f>IF(
  A130="","",
  SUM(
    COUNTIFS('QA Log'!D:D,A130,'QA Log'!M:M,"Vignette",'QA Log'!Z:Z,"Rejected",'QA Log'!L:L,"*Exit Interview 1*"),
    COUNTIFS('QA Log'!D:D,A130,'QA Log'!M:M,"Vignette",'QA Log'!Z:Z,"Rejected",'QA Log'!L:L,"*Exit Interview 2*")
  )
)</f>
        <v/>
      </c>
      <c r="BU130" s="107" t="str">
        <f t="shared" si="13"/>
        <v/>
      </c>
      <c r="BV130" s="102" t="str">
        <f t="shared" si="14"/>
        <v/>
      </c>
      <c r="BW130" s="102" t="str">
        <f t="shared" si="15"/>
        <v/>
      </c>
      <c r="BX130" s="102" t="str">
        <f t="shared" si="16"/>
        <v/>
      </c>
      <c r="BY130" s="102" t="str">
        <f t="shared" si="17"/>
        <v/>
      </c>
      <c r="BZ130" s="107" t="str">
        <f t="shared" si="18"/>
        <v/>
      </c>
      <c r="CA130" s="108" t="str">
        <f t="shared" si="19"/>
        <v/>
      </c>
      <c r="CB130" s="108" t="str">
        <f t="shared" si="20"/>
        <v/>
      </c>
      <c r="CC130" s="109" t="str">
        <f t="shared" si="21"/>
        <v/>
      </c>
      <c r="CD130" s="108" t="str">
        <f t="shared" si="22"/>
        <v/>
      </c>
      <c r="CE130" s="108" t="str">
        <f t="shared" si="23"/>
        <v/>
      </c>
      <c r="CF130" s="109" t="str">
        <f t="shared" si="24"/>
        <v/>
      </c>
      <c r="CG130" s="110" t="str">
        <f t="shared" si="25"/>
        <v/>
      </c>
      <c r="CH130" s="111"/>
    </row>
    <row r="131" spans="1:86" ht="12.75">
      <c r="A131" s="101"/>
      <c r="B131" s="102" t="e">
        <f t="array" aca="1" ref="B131" ca="1">_xludf.XLOOKUP(A131,'QA Log'!D:D,'QA Log'!E:E,"")</f>
        <v>#NAME?</v>
      </c>
      <c r="C131" s="102" t="e">
        <f t="array" aca="1" ref="C131" ca="1">_xludf.XLOOKUP(A131,'QA Log'!D:D,'QA Log'!F:F,"")</f>
        <v>#NAME?</v>
      </c>
      <c r="D131" s="102" t="e">
        <f t="array" aca="1" ref="D131" ca="1">_xludf.XLOOKUP(A131,'QA Log'!D:D,'QA Log'!H:H,"")</f>
        <v>#NAME?</v>
      </c>
      <c r="E131" s="102" t="e">
        <f t="array" aca="1" ref="E131" ca="1">_xludf.XLOOKUP(A131,'QA Log'!D:D,'QA Log'!G:G,"")</f>
        <v>#NAME?</v>
      </c>
      <c r="F131" s="103"/>
      <c r="G131" s="104"/>
      <c r="H131" s="104"/>
      <c r="I131" s="103" t="str">
        <f t="shared" si="0"/>
        <v/>
      </c>
      <c r="J131" s="102" t="str">
        <f>IF(A131="","",SUM(
COUNTIFS('QA Log'!D:D,A131,'QA Log'!M:M,"QQC",'QA Log'!L:L,"*1. General Management*"),
COUNTIFS('QA Log'!D:D,A131,'QA Log'!M:M,"QQC",'QA Log'!L:L,"*3. Curative Consultation (OPD)*"),
COUNTIFS('QA Log'!D:D,A131,'QA Log'!M:M,"QQC",'QA Log'!L:L,"*5. Laboratory*"),
COUNTIFS('QA Log'!D:D,A131,'QA Log'!M:M,"QQC",'QA Log'!L:L,"*6. Essential Medicine Management*"),
COUNTIFS('QA Log'!D:D,A131,'QA Log'!M:M,"QQC",'QA Log'!L:L,"*7. Tracer Medicine*"),
COUNTIFS('QA Log'!D:D,A131,'QA Log'!M:M,"QQC",'QA Log'!L:L,"*11. Additional Questions*")))</f>
        <v/>
      </c>
      <c r="K131" s="102" t="str">
        <f>IF(A131="","",SUM(
COUNTIFS('QA Log'!D:D,A131,'QA Log'!M:M,"QQC",'QA Log'!Z:Z,"Approved",'QA Log'!L:L,"*1. General Management*"),
COUNTIFS('QA Log'!D:D,A131,'QA Log'!M:M,"QQC",'QA Log'!Z:Z,"Approved",'QA Log'!L:L,"*3. Curative Consultation (OPD)*"),
COUNTIFS('QA Log'!D:D,A131,'QA Log'!M:M,"QQC",'QA Log'!Z:Z,"Approved",'QA Log'!L:L,"*5. Laboratory*"),
COUNTIFS('QA Log'!D:D,A131,'QA Log'!M:M,"QQC",'QA Log'!Z:Z,"Approved",'QA Log'!L:L,"*6. Essential Medicine Management*"),
COUNTIFS('QA Log'!D:D,A131,'QA Log'!M:M,"QQC",'QA Log'!Z:Z,"Approved",'QA Log'!L:L,"*7. Tracer Medicine*"),
COUNTIFS('QA Log'!D:D,A131,'QA Log'!M:M,"QQC",'QA Log'!Z:Z,"Approved",'QA Log'!L:L,"*11. Additional Questions*")))</f>
        <v/>
      </c>
      <c r="L131" s="105" t="str">
        <f>IF(A131&lt;&gt;"",COUNTIFS('QA Log'!D:D,A131,'QA Log'!M:M,"QQC",'QA Log'!L:L,"1. General Management",'QA Log'!Z:Z,"Approved"),"")</f>
        <v/>
      </c>
      <c r="M131" s="105" t="str">
        <f>IF(A131&lt;&gt;"",COUNTIFS('QA Log'!D:D,A131,'QA Log'!M:M,"QQC",'QA Log'!L:L,"3. Curative Consultation (OPD)",'QA Log'!Z:Z,"Approved"),"")</f>
        <v/>
      </c>
      <c r="N131" s="105" t="str">
        <f>IF(A131&lt;&gt;"",COUNTIFS('QA Log'!D:D,A131,'QA Log'!M:M,"QQC",'QA Log'!L:L,"5. Laboratory",'QA Log'!Z:Z,"Approved"),"")</f>
        <v/>
      </c>
      <c r="O131" s="105" t="str">
        <f>IF(A131&lt;&gt;"",COUNTIFS('QA Log'!D:D,A131,'QA Log'!M:M,"QQC",'QA Log'!L:L,"6. Essential Medicine Management",'QA Log'!Z:Z,"Approved"),"")</f>
        <v/>
      </c>
      <c r="P131" s="105" t="str">
        <f>IF(A131&lt;&gt;"",COUNTIFS('QA Log'!D:D,A131,'QA Log'!M:M,"QQC",'QA Log'!L:L,"7. Tracer Medicine",'QA Log'!Z:Z,"Approved"),"")</f>
        <v/>
      </c>
      <c r="Q131" s="105" t="str">
        <f>IF(A131&lt;&gt;"",COUNTIFS('QA Log'!D:D,A131,'QA Log'!M:M,"QQC",'QA Log'!L:L,"11. Additional Questions",'QA Log'!Z:Z,"Approved"),"")</f>
        <v/>
      </c>
      <c r="R131" s="102" t="str">
        <f>IF(A131="","",SUM(
COUNTIFS('QA Log'!D:D,A131,'QA Log'!M:M,"QQC",'QA Log'!Z:Z,"Rejected",'QA Log'!L:L,"*8. Maternity*"),
COUNTIFS('QA Log'!D:D,A131,'QA Log'!M:M,"QQC",'QA Log'!Z:Z,"Rejected",'QA Log'!L:L,"*EPI*"),
COUNTIFS('QA Log'!D:D,A131,'QA Log'!M:M,"QQC",'QA Log'!Z:Z,"Rejected",'QA Log'!L:L,"*10. Antenatal Care (ANC)*"),
COUNTIFS('QA Log'!D:D,A131,'QA Log'!M:M,"QQC",'QA Log'!Z:Z,"Rejected",'QA Log'!L:L,"*2. Hygiene and Sterilization*"),
COUNTIFS('QA Log'!D:D,A131,'QA Log'!M:M,"QQC",'QA Log'!Z:Z,"Rejected",'QA Log'!L:L,"*Family Planning*")))</f>
        <v/>
      </c>
      <c r="S131" s="106" t="str">
        <f t="shared" si="1"/>
        <v/>
      </c>
      <c r="T131" s="102" t="str">
        <f t="shared" si="2"/>
        <v/>
      </c>
      <c r="U131" s="102" t="str">
        <f>IF(A131="","",
SUM(
COUNTIFS('QA Log'!D:D,A131,'QA Log'!M:M,"QQC",'QA Log'!L:L,"*8. Maternity*"),
COUNTIFS('QA Log'!D:D,A131,'QA Log'!M:M,"QQC",'QA Log'!L:L,"*9. EPI and Pre-school Consultation*"),
COUNTIFS('QA Log'!D:D,A131,'QA Log'!M:M,"QQC",'QA Log'!L:L,"*10. Antenatal Care (ANC)*"),
COUNTIFS('QA Log'!D:D,A131,'QA Log'!M:M,"QQC",'QA Log'!L:L,"*2. Hygiene and Sterilization*"),
COUNTIFS('QA Log'!D:D,A131,'QA Log'!M:M,"QQC",'QA Log'!L:L,"*4. Family Planning*")
))</f>
        <v/>
      </c>
      <c r="V131" s="102" t="str">
        <f>IF(A131="","",
SUM(
COUNTIFS('QA Log'!D:D,A131,'QA Log'!M:M,"QQC",'QA Log'!Z:Z,"Approved",'QA Log'!L:L,"*8. Maternity*"),
COUNTIFS('QA Log'!D:D,A131,'QA Log'!M:M,"QQC",'QA Log'!Z:Z,"Approved",'QA Log'!L:L,"*9. EPI and Pre-school Consultation*"),
COUNTIFS('QA Log'!D:D,A131,'QA Log'!M:M,"QQC",'QA Log'!Z:Z,"Approved",'QA Log'!L:L,"*10. Antenatal Care (ANC)*"),
COUNTIFS('QA Log'!D:D,A131,'QA Log'!M:M,"QQC",'QA Log'!Z:Z,"Approved",'QA Log'!L:L,"*2. Hygiene and Sterilization*"),
COUNTIFS('QA Log'!D:D,A131,'QA Log'!M:M,"QQC",'QA Log'!Z:Z,"Approved",'QA Log'!L:L,"*4. Family Planning*")
))</f>
        <v/>
      </c>
      <c r="W131" s="105" t="str">
        <f>IF(A131&lt;&gt;"",COUNTIFS('QA Log'!D:D,A131,'QA Log'!M:M,"QQC",'QA Log'!L:L,"8. Maternity",'QA Log'!Z:Z,"Approved"),"")</f>
        <v/>
      </c>
      <c r="X131" s="105" t="str">
        <f>IF(A131&lt;&gt;"",COUNTIFS('QA Log'!D:D,A131,'QA Log'!M:M,"QQC",'QA Log'!L:L,"9. EPI and Pre-school Consultation",'QA Log'!Z:Z,"Approved"),"")</f>
        <v/>
      </c>
      <c r="Y131" s="105" t="str">
        <f>IF(A131&lt;&gt;"",COUNTIFS('QA Log'!D:D,A131,'QA Log'!M:M,"QQC",'QA Log'!L:L,"10. Antenatal Care (ANC)",'QA Log'!Z:Z,"Approved"),"")</f>
        <v/>
      </c>
      <c r="Z131" s="105" t="str">
        <f>IF(A131&lt;&gt;"",COUNTIFS('QA Log'!D:D,A131,'QA Log'!M:M,"QQC",'QA Log'!L:L,"2. Hygiene and Sterilization",'QA Log'!Z:Z,"Approved"),"")</f>
        <v/>
      </c>
      <c r="AA131" s="105" t="str">
        <f>IF(A131&lt;&gt;"",COUNTIFS('QA Log'!D:D,A131,'QA Log'!M:M,"QQC",'QA Log'!L:L,"4. Family Planning",'QA Log'!Z:Z,"Approved"),"")</f>
        <v/>
      </c>
      <c r="AB131" s="102" t="str">
        <f>IF(A131="","",
SUM(
COUNTIFS('QA Log'!D:D,A131,'QA Log'!M:M,"QQC",'QA Log'!Z:Z,"Rejected",'QA Log'!L:L,"*8. Maternity*"),
COUNTIFS('QA Log'!D:D,A131,'QA Log'!M:M,"QQC",'QA Log'!Z:Z,"Rejected",'QA Log'!L:L,"*9. EPI and Pre-school Consultation*"),
COUNTIFS('QA Log'!D:D,A131,'QA Log'!M:M,"QQC",'QA Log'!Z:Z,"Rejected",'QA Log'!L:L,"*10. Antenatal Care (ANC)*"),
COUNTIFS('QA Log'!D:D,A131,'QA Log'!M:M,"QQC",'QA Log'!Z:Z,"Rejected",'QA Log'!L:L,"*2. Hygiene and Sterilization*"),
COUNTIFS('QA Log'!D:D,A131,'QA Log'!M:M,"QQC",'QA Log'!Z:Z,"Rejected",'QA Log'!L:L,"*4. Family Planning*")
))</f>
        <v/>
      </c>
      <c r="AC131" s="102" t="str">
        <f t="shared" si="3"/>
        <v/>
      </c>
      <c r="AD131" s="103" t="str">
        <f t="shared" si="4"/>
        <v/>
      </c>
      <c r="AE131" s="102" t="str">
        <f>IF(A131="","",
SUM(
COUNTIFS('QA Log'!D:D,A131,'QA Log'!M:M,"Data Verification",'QA Log'!L:L,"*Medicine (section 2)*"),
COUNTIFS('QA Log'!D:D,A131,'QA Log'!M:M,"Data Verification",'QA Log'!L:L,"*Lab Testing Availability*"),
COUNTIFS('QA Log'!D:D,A131,'QA Log'!M:M,"Data Verification",'QA Log'!L:L,"*Other than P4P (section 6)*"),
COUNTIFS('QA Log'!D:D,A131,'QA Log'!M:M,"Data Verification",'QA Log'!L:L,"*Hospital Governance*")
))</f>
        <v/>
      </c>
      <c r="AF131" s="102" t="str">
        <f>IF(A131="","",
SUM(
COUNTIFS('QA Log'!D:D,A131,'QA Log'!M:M,"Data Verification",'QA Log'!Z:Z,"Approved",'QA Log'!L:L,"*Medicine (section 2)*"),
COUNTIFS('QA Log'!D:D,A131,'QA Log'!M:M,"Data Verification",'QA Log'!Z:Z,"Approved",'QA Log'!L:L,"*Lab Testing Availability*"),
COUNTIFS('QA Log'!D:D,A131,'QA Log'!M:M,"Data Verification",'QA Log'!Z:Z,"Approved",'QA Log'!L:L,"*Other than P4P (section 6)*"),
COUNTIFS('QA Log'!D:D,A131,'QA Log'!M:M,"Data Verification",'QA Log'!Z:Z,"Approved",'QA Log'!L:L,"*Hospital Governance*")
))</f>
        <v/>
      </c>
      <c r="AG131" s="105" t="str">
        <f>IF(A131&lt;&gt;"",COUNTIFS('QA Log'!D:D,A131,'QA Log'!M:M,"Data Verification",'QA Log'!L:L,"Medicine (section 2)",'QA Log'!Z:Z,"Approved"),"")</f>
        <v/>
      </c>
      <c r="AH131" s="105" t="str">
        <f>IF(A131&lt;&gt;"",COUNTIFS('QA Log'!D:D,A131,'QA Log'!M:M,"Data Verification",'QA Log'!L:L,"Lab Testing Availability",'QA Log'!Z:Z,"Approved"),"")</f>
        <v/>
      </c>
      <c r="AI131" s="105" t="str">
        <f>IF(A131&lt;&gt;"",COUNTIFS('QA Log'!D:D,A131,'QA Log'!M:M,"Data Verification",'QA Log'!L:L,"Other than P4P (section 6)",'QA Log'!Z:Z,"Approved"),"")</f>
        <v/>
      </c>
      <c r="AJ131" s="105" t="str">
        <f>IF(A131&lt;&gt;"",COUNTIFS('QA Log'!D:D,A131,'QA Log'!M:M,"Data Verification",'QA Log'!L:L,"Hospital Governance",'QA Log'!Z:Z,"Approved"),"")</f>
        <v/>
      </c>
      <c r="AK131" s="102" t="str">
        <f>IF(A131="","",
SUM(
COUNTIFS('QA Log'!D:D,A131,'QA Log'!M:M,"Data Verification",'QA Log'!Z:Z,"Rejected",'QA Log'!L:L,"*Medicine (section 2)*"),
COUNTIFS('QA Log'!D:D,A131,'QA Log'!M:M,"Data Verification",'QA Log'!Z:Z,"Rejected",'QA Log'!L:L,"*Lab Testing Availability*"),
COUNTIFS('QA Log'!D:D,A131,'QA Log'!M:M,"Data Verification",'QA Log'!Z:Z,"Rejected",'QA Log'!L:L,"*Other than P4P (section 6)*"),
COUNTIFS('QA Log'!D:D,A131,'QA Log'!M:M,"Data Verification",'QA Log'!Z:Z,"Rejected",'QA Log'!L:L,"*Hospital Governance*")
))</f>
        <v/>
      </c>
      <c r="AL131" s="106" t="str">
        <f t="shared" si="5"/>
        <v/>
      </c>
      <c r="AM131" s="102" t="str">
        <f t="shared" si="6"/>
        <v/>
      </c>
      <c r="AN131" s="102" t="str">
        <f>IF(A131="","",
SUM(
COUNTIFS('QA Log'!D:D,A131,'QA Log'!M:M,"Data Verification",'QA Log'!L:L,"*Personnel (section 1)*"),
COUNTIFS('QA Log'!D:D,A131,'QA Log'!M:M,"Data Verification",'QA Log'!L:L,"*Consumable (section 3)*"),
COUNTIFS('QA Log'!D:D,A131,'QA Log'!M:M,"Data Verification",'QA Log'!L:L,"*Equipments (section 4)*")
))</f>
        <v/>
      </c>
      <c r="AO131" s="102" t="str">
        <f>IF(A131="","",
SUM(
COUNTIFS('QA Log'!D:D,A131,'QA Log'!M:M,"Data Verification",'QA Log'!Z:Z,"Approved",'QA Log'!L:L,"*Personnel (section 1)*"),
COUNTIFS('QA Log'!D:D,A131,'QA Log'!M:M,"Data Verification",'QA Log'!Z:Z,"Approved",'QA Log'!L:L,"*Consumable (section 3)*"),
COUNTIFS('QA Log'!D:D,A131,'QA Log'!M:M,"Data Verification",'QA Log'!Z:Z,"Approved",'QA Log'!L:L,"*Equipments (section 4)*")
))</f>
        <v/>
      </c>
      <c r="AP131" s="105" t="str">
        <f>IF(A131&lt;&gt;"",COUNTIFS('QA Log'!D:D,A131,'QA Log'!M:M,"Data Verification",'QA Log'!L:L,"Personnel (section 1)",'QA Log'!Z:Z,"Approved"),"")</f>
        <v/>
      </c>
      <c r="AQ131" s="105" t="str">
        <f>IF(A131&lt;&gt;"",COUNTIFS('QA Log'!D:D,A131,'QA Log'!M:M,"Data Verification",'QA Log'!L:L,"Consumable (section 3)",'QA Log'!Z:Z,"Approved"),"")</f>
        <v/>
      </c>
      <c r="AR131" s="105" t="str">
        <f>IF(A131&lt;&gt;"",COUNTIFS('QA Log'!D:D,A131,'QA Log'!M:M,"Data Verification",'QA Log'!L:L,"Equipments (section 4)",'QA Log'!Z:Z,"Approved"),"")</f>
        <v/>
      </c>
      <c r="AS131" s="102" t="str">
        <f>IF(A131="","",
SUM(
COUNTIFS('QA Log'!D:D,A131,'QA Log'!M:M,"Data Verification",'QA Log'!Z:Z,"Rejected",'QA Log'!L:L,"*Personnel (section 1)*"),
COUNTIFS('QA Log'!D:D,A131,'QA Log'!M:M,"Data Verification",'QA Log'!Z:Z,"Rejected",'QA Log'!L:L,"*Consumable (section 3)*"),
COUNTIFS('QA Log'!D:D,A131,'QA Log'!M:M,"Data Verification",'QA Log'!Z:Z,"Rejected",'QA Log'!L:L,"*Equipments (section 4)*")
))</f>
        <v/>
      </c>
      <c r="AT131" s="102" t="str">
        <f t="shared" si="7"/>
        <v/>
      </c>
      <c r="AU131" s="103" t="str">
        <f t="shared" si="8"/>
        <v/>
      </c>
      <c r="AV131" s="102" t="str">
        <f>IF(A131="","",SUM(
COUNTIFS('QA Log'!D:D,A131,'QA Log'!M:M,"Vignette",'QA Log'!L:L,"*Vignette [1] Respiratory Infection: Pneumonia*"),
COUNTIFS('QA Log'!D:D,A131,'QA Log'!M:M,"Vignette",'QA Log'!L:L,"*Vignette [2]: Diarrhea with Cat B dehydration*"),
COUNTIFS('QA Log'!D:D,A131,'QA Log'!M:M,"Vignette",'QA Log'!L:L,"*Vignette [3] Growth Monitoring and Promotion*"),
COUNTIFS('QA Log'!D:D,A131,'QA Log'!M:M,"Vignette",'QA Log'!L:L,"*Vignette [4]: The management of presumptive TB patient*")
)
)</f>
        <v/>
      </c>
      <c r="AW131" s="102" t="str">
        <f>IF(
  A131="","",
  SUM(
    COUNTIFS('QA Log'!D:D,A131,'QA Log'!M:M,"Vignette",'QA Log'!Z:Z,"Approved",'QA Log'!L:L,"*Vignette [1] Respiratory Infection: Pneumonia*"),
    COUNTIFS('QA Log'!D:D,A131,'QA Log'!M:M,"Vignette",'QA Log'!Z:Z,"Approved",'QA Log'!L:L,"*Vignette [2]: Diarrhea with Cat B dehydration*"),
    COUNTIFS('QA Log'!D:D,A131,'QA Log'!M:M,"Vignette",'QA Log'!Z:Z,"Approved",'QA Log'!L:L,"*Vignette [3] Growth Monitoring and Promotion*"),
    COUNTIFS('QA Log'!D:D,A131,'QA Log'!M:M,"Vignette",'QA Log'!Z:Z,"Approved",'QA Log'!L:L,"*Vignette [4]: The management of presumptive TB patient*")
  )
)</f>
        <v/>
      </c>
      <c r="AX131" s="105" t="str">
        <f>IF(A131&lt;&gt;"",COUNTIFS('QA Log'!D:D,A131,'QA Log'!M:M,"Vignette",'QA Log'!L:L,"Vignette [1] Respiratory Infection: Pneumonia",'QA Log'!Z:Z,"Approved"),"")</f>
        <v/>
      </c>
      <c r="AY131" s="105" t="str">
        <f>IF(A131&lt;&gt;"",COUNTIFS('QA Log'!D:D,A131,'QA Log'!M:M,"Vignette",'QA Log'!L:L,"Vignette [2]: Diarrhea with Cat B dehydration",'QA Log'!Z:Z,"Approved"),"")</f>
        <v/>
      </c>
      <c r="AZ131" s="105" t="str">
        <f>IF(A131&lt;&gt;"",COUNTIFS('QA Log'!D:D,A131,'QA Log'!M:M,"Vignette",'QA Log'!L:L,"Vignette [3] Growth Monitoring and Promotion",'QA Log'!Z:Z,"Approved"),"")</f>
        <v/>
      </c>
      <c r="BA131" s="105" t="str">
        <f>IF(A131&lt;&gt;"",COUNTIFS('QA Log'!D:D,A131,'QA Log'!M:M,"Vignette",'QA Log'!L:L,"Vignette [4]: The management of presumptive TB patient",'QA Log'!Z:Z,"Approved"),"")</f>
        <v/>
      </c>
      <c r="BB131" s="102" t="str">
        <f>IF(A131="","",
  SUM(
    COUNTIFS('QA Log'!D:D,A131,'QA Log'!M:M,"Vignette",'QA Log'!Z:Z,"Rejected",'QA Log'!L:L,"*Vignette [1] Respiratory Infection: Pneumonia*"),
    COUNTIFS('QA Log'!D:D,A131,'QA Log'!M:M,"Vignette",'QA Log'!Z:Z,"Rejected",'QA Log'!L:L,"*Vignette [2]: Diarrhea with Cat B dehydration*"),
    COUNTIFS('QA Log'!D:D,A131,'QA Log'!M:M,"Vignette",'QA Log'!Z:Z,"Rejected",'QA Log'!L:L,"*Vignette [3] Growth Monitoring and Promotion*"),
    COUNTIFS('QA Log'!D:D,A131,'QA Log'!M:M,"Vignette",'QA Log'!Z:Z,"Rejected",'QA Log'!L:L,"*Vignette [4]: The management of presumptive TB patient*")
  )
)</f>
        <v/>
      </c>
      <c r="BC131" s="107" t="str">
        <f t="shared" si="9"/>
        <v/>
      </c>
      <c r="BD131" s="103" t="str">
        <f t="shared" si="10"/>
        <v/>
      </c>
      <c r="BE131" s="102" t="str">
        <f>IF(A131="","",SUM(
COUNTIFS('QA Log'!D:D,A131,'QA Log'!M:M,"Vignette",'QA Log'!L:L,"*Vignette [5] Labor*"),
COUNTIFS('QA Log'!D:D,A131,'QA Log'!M:M,"Vignette",'QA Log'!L:L,"*Vignette [6] PNC pre Discharge*"),
COUNTIFS('QA Log'!D:D,A131,'QA Log'!M:M,"Vignette",'QA Log'!L:L,"*Vignette [7] First ANC Visit*"),
COUNTIFS('QA Log'!D:D,A131,'QA Log'!M:M,"Vignette",'QA Log'!L:L,"*Vignette [8] Birth Spacing/ Family Planning :  FP Counselling*"),
COUNTIFS('QA Log'!D:D,A131,'QA Log'!M:M,"Vignette",'QA Log'!L:L,"*Vignette [9] Birth Spacing: Change FP method to Injectable*"),
COUNTIFS('QA Log'!D:D,A131,'QA Log'!M:M,"Vignette",'QA Log'!L:L,"*Vignette [10] Post Partum Haemorrhage - Atonic Uterus at Health Centre*"),
)
)</f>
        <v/>
      </c>
      <c r="BF131" s="102" t="str">
        <f>IF(A131="","",
  SUM(
    COUNTIFS('QA Log'!D:D,A131,'QA Log'!M:M,"Vignette",'QA Log'!Z:Z,"Approved",'QA Log'!L:L,"*Vignette [5] Labor*"),
    COUNTIFS('QA Log'!D:D,A131,'QA Log'!M:M,"Vignette",'QA Log'!Z:Z,"Approved",'QA Log'!L:L,"*Vignette [6] PNC pre Discharge*"),
    COUNTIFS('QA Log'!D:D,A131,'QA Log'!M:M,"Vignette",'QA Log'!Z:Z,"Approved",'QA Log'!L:L,"*Vignette [7] First ANC Visit*"),
    COUNTIFS('QA Log'!D:D,A131,'QA Log'!M:M,"Vignette",'QA Log'!Z:Z,"Approved",'QA Log'!L:L,"*Vignette [8] Birth Spacing/ Family Planning :  FP Counselling*"),
    COUNTIFS('QA Log'!D:D,A131,'QA Log'!M:M,"Vignette",'QA Log'!Z:Z,"Approved",'QA Log'!L:L,"*Vignette [9] Birth Spacing: Change FP method to Injectable*"),
    COUNTIFS('QA Log'!D:D,A131,'QA Log'!M:M,"Vignette",'QA Log'!Z:Z,"Approved",'QA Log'!L:L,"*Vignette [10] Post Partum Haemorrhage - Atonic Uterus at Health Centre*")
  )
)</f>
        <v/>
      </c>
      <c r="BG131" s="105" t="str">
        <f>IF(A131&lt;&gt;"",COUNTIFS('QA Log'!D:D,A131,'QA Log'!M:M,"Vignette",'QA Log'!L:L,"Vignette [5] Labor",'QA Log'!Z:Z,"Approved"),"")</f>
        <v/>
      </c>
      <c r="BH131" s="105" t="str">
        <f>IF(A131&lt;&gt;"",COUNTIFS('QA Log'!D:D,A131,'QA Log'!M:M,"Vignette",'QA Log'!L:L,"Vignette [6] PNC pre Discharge",'QA Log'!Z:Z,"Approved"),"")</f>
        <v/>
      </c>
      <c r="BI131" s="105" t="str">
        <f>IF(A131&lt;&gt;"",COUNTIFS('QA Log'!D:D,A131,'QA Log'!M:M,"Vignette",'QA Log'!L:L,"Vignette [7] First ANC Visit",'QA Log'!Z:Z,"Approved"),"")</f>
        <v/>
      </c>
      <c r="BJ131" s="105" t="str">
        <f>IF(A131&lt;&gt;"",COUNTIFS('QA Log'!D:D,A131,'QA Log'!M:M,"Vignette",'QA Log'!L:L,"Vignette [8] Birth Spacing/ Family Planning :  FP Counselling",'QA Log'!Z:Z,"Approved"),"")</f>
        <v/>
      </c>
      <c r="BK131" s="105" t="str">
        <f>IF(A131&lt;&gt;"",COUNTIFS('QA Log'!D:D,A131,'QA Log'!M:M,"Vignette",'QA Log'!L:L,"Vignette [9] Birth Spacing: Change FP method to Injectable",'QA Log'!Z:Z,"Approved"),"")</f>
        <v/>
      </c>
      <c r="BL131" s="105" t="str">
        <f>IF(A131&lt;&gt;"",COUNTIFS('QA Log'!D:D,A131,'QA Log'!M:M,"Vignette",'QA Log'!L:L,"Vignette [10] Post Partum Haemorrhage - Atonic Uterus at Health Centre",'QA Log'!Z:Z,"Approved"),"")</f>
        <v/>
      </c>
      <c r="BM131" s="102" t="str">
        <f>IF(A131="","",SUM(
    COUNTIFS('QA Log'!D:D,A131,'QA Log'!M:M,"Vignette",'QA Log'!Z:Z,"Rejected",'QA Log'!L:L,"*Vignette [5] Labor*"),
    COUNTIFS('QA Log'!D:D,A131,'QA Log'!M:M,"Vignette",'QA Log'!Z:Z,"Rejected",'QA Log'!L:L,"*Vignette [6] PNC pre Discharge*"),
    COUNTIFS('QA Log'!D:D,A131,'QA Log'!M:M,"Vignette",'QA Log'!Z:Z,"Rejected",'QA Log'!L:L,"*Vignette [7] First ANC Visit*"),
    COUNTIFS('QA Log'!D:D,A131,'QA Log'!M:M,"Vignette",'QA Log'!Z:Z,"Rejected",'QA Log'!L:L,"*Vignette [8] Birth Spacing/ Family Planning :  FP Counselling*"),
    COUNTIFS('QA Log'!D:D,A131,'QA Log'!M:M,"Vignette",'QA Log'!Z:Z,"Rejected",'QA Log'!L:L,"*Vignette [9] Birth Spacing: Change FP method to Injectable*"),
    COUNTIFS('QA Log'!D:D,A131,'QA Log'!M:M,"Vignette",'QA Log'!Z:Z,"Rejected",'QA Log'!L:L,"*Vignette [10] Post Partum Haemorrhage - Atonic Uterus at Health Centre*")
  )
)</f>
        <v/>
      </c>
      <c r="BN131" s="107" t="str">
        <f t="shared" si="11"/>
        <v/>
      </c>
      <c r="BO131" s="103" t="str">
        <f t="shared" si="12"/>
        <v/>
      </c>
      <c r="BP131" s="102" t="str">
        <f>IF(A131="","",SUM(
COUNTIFS('QA Log'!D:D,A131,'QA Log'!M:M,"Vignette",'QA Log'!L:L,"*Exit Interview 1*"),
COUNTIFS('QA Log'!D:D,A131,'QA Log'!M:M,"Vignette",'QA Log'!L:L,"*Exit Interview 2*"),
)
)</f>
        <v/>
      </c>
      <c r="BQ131" s="102" t="str">
        <f>IF(
  A131="","",
  SUM(
    COUNTIFS('QA Log'!D:D,A131,'QA Log'!M:M,"Vignette",'QA Log'!Z:Z,"Approved",'QA Log'!L:L,"*Exit Interview 1*"),
    COUNTIFS('QA Log'!D:D,A131,'QA Log'!M:M,"Vignette",'QA Log'!Z:Z,"Approved",'QA Log'!L:L,"*Exit Interview 2*")
  )
)</f>
        <v/>
      </c>
      <c r="BR131" s="105" t="str">
        <f>IF(A131&lt;&gt;"",COUNTIFS('QA Log'!D:D,A131,'QA Log'!M:M,"Vignette",'QA Log'!L:L,"Exit Interview 1",'QA Log'!Z:Z,"Approved"),"")</f>
        <v/>
      </c>
      <c r="BS131" s="105" t="str">
        <f>IF(A131&lt;&gt;"",COUNTIFS('QA Log'!D:D,A131,'QA Log'!M:M,"Vignette",'QA Log'!L:L,"Exit Interview 2",'QA Log'!Z:Z,"Approved"),"")</f>
        <v/>
      </c>
      <c r="BT131" s="102" t="str">
        <f>IF(
  A131="","",
  SUM(
    COUNTIFS('QA Log'!D:D,A131,'QA Log'!M:M,"Vignette",'QA Log'!Z:Z,"Rejected",'QA Log'!L:L,"*Exit Interview 1*"),
    COUNTIFS('QA Log'!D:D,A131,'QA Log'!M:M,"Vignette",'QA Log'!Z:Z,"Rejected",'QA Log'!L:L,"*Exit Interview 2*")
  )
)</f>
        <v/>
      </c>
      <c r="BU131" s="107" t="str">
        <f t="shared" si="13"/>
        <v/>
      </c>
      <c r="BV131" s="102" t="str">
        <f t="shared" si="14"/>
        <v/>
      </c>
      <c r="BW131" s="102" t="str">
        <f t="shared" si="15"/>
        <v/>
      </c>
      <c r="BX131" s="102" t="str">
        <f t="shared" si="16"/>
        <v/>
      </c>
      <c r="BY131" s="102" t="str">
        <f t="shared" si="17"/>
        <v/>
      </c>
      <c r="BZ131" s="107" t="str">
        <f t="shared" si="18"/>
        <v/>
      </c>
      <c r="CA131" s="108" t="str">
        <f t="shared" si="19"/>
        <v/>
      </c>
      <c r="CB131" s="108" t="str">
        <f t="shared" si="20"/>
        <v/>
      </c>
      <c r="CC131" s="109" t="str">
        <f t="shared" si="21"/>
        <v/>
      </c>
      <c r="CD131" s="108" t="str">
        <f t="shared" si="22"/>
        <v/>
      </c>
      <c r="CE131" s="108" t="str">
        <f t="shared" si="23"/>
        <v/>
      </c>
      <c r="CF131" s="109" t="str">
        <f t="shared" si="24"/>
        <v/>
      </c>
      <c r="CG131" s="110" t="str">
        <f t="shared" si="25"/>
        <v/>
      </c>
      <c r="CH131" s="111"/>
    </row>
    <row r="132" spans="1:86" ht="12.75">
      <c r="A132" s="101"/>
      <c r="B132" s="102" t="e">
        <f t="array" aca="1" ref="B132" ca="1">_xludf.XLOOKUP(A132,'QA Log'!D:D,'QA Log'!E:E,"")</f>
        <v>#NAME?</v>
      </c>
      <c r="C132" s="102" t="e">
        <f t="array" aca="1" ref="C132" ca="1">_xludf.XLOOKUP(A132,'QA Log'!D:D,'QA Log'!F:F,"")</f>
        <v>#NAME?</v>
      </c>
      <c r="D132" s="102" t="e">
        <f t="array" aca="1" ref="D132" ca="1">_xludf.XLOOKUP(A132,'QA Log'!D:D,'QA Log'!H:H,"")</f>
        <v>#NAME?</v>
      </c>
      <c r="E132" s="102" t="e">
        <f t="array" aca="1" ref="E132" ca="1">_xludf.XLOOKUP(A132,'QA Log'!D:D,'QA Log'!G:G,"")</f>
        <v>#NAME?</v>
      </c>
      <c r="F132" s="103"/>
      <c r="G132" s="104"/>
      <c r="H132" s="104"/>
      <c r="I132" s="103" t="str">
        <f t="shared" si="0"/>
        <v/>
      </c>
      <c r="J132" s="102" t="str">
        <f>IF(A132="","",SUM(
COUNTIFS('QA Log'!D:D,A132,'QA Log'!M:M,"QQC",'QA Log'!L:L,"*1. General Management*"),
COUNTIFS('QA Log'!D:D,A132,'QA Log'!M:M,"QQC",'QA Log'!L:L,"*3. Curative Consultation (OPD)*"),
COUNTIFS('QA Log'!D:D,A132,'QA Log'!M:M,"QQC",'QA Log'!L:L,"*5. Laboratory*"),
COUNTIFS('QA Log'!D:D,A132,'QA Log'!M:M,"QQC",'QA Log'!L:L,"*6. Essential Medicine Management*"),
COUNTIFS('QA Log'!D:D,A132,'QA Log'!M:M,"QQC",'QA Log'!L:L,"*7. Tracer Medicine*"),
COUNTIFS('QA Log'!D:D,A132,'QA Log'!M:M,"QQC",'QA Log'!L:L,"*11. Additional Questions*")))</f>
        <v/>
      </c>
      <c r="K132" s="102" t="str">
        <f>IF(A132="","",SUM(
COUNTIFS('QA Log'!D:D,A132,'QA Log'!M:M,"QQC",'QA Log'!Z:Z,"Approved",'QA Log'!L:L,"*1. General Management*"),
COUNTIFS('QA Log'!D:D,A132,'QA Log'!M:M,"QQC",'QA Log'!Z:Z,"Approved",'QA Log'!L:L,"*3. Curative Consultation (OPD)*"),
COUNTIFS('QA Log'!D:D,A132,'QA Log'!M:M,"QQC",'QA Log'!Z:Z,"Approved",'QA Log'!L:L,"*5. Laboratory*"),
COUNTIFS('QA Log'!D:D,A132,'QA Log'!M:M,"QQC",'QA Log'!Z:Z,"Approved",'QA Log'!L:L,"*6. Essential Medicine Management*"),
COUNTIFS('QA Log'!D:D,A132,'QA Log'!M:M,"QQC",'QA Log'!Z:Z,"Approved",'QA Log'!L:L,"*7. Tracer Medicine*"),
COUNTIFS('QA Log'!D:D,A132,'QA Log'!M:M,"QQC",'QA Log'!Z:Z,"Approved",'QA Log'!L:L,"*11. Additional Questions*")))</f>
        <v/>
      </c>
      <c r="L132" s="105" t="str">
        <f>IF(A132&lt;&gt;"",COUNTIFS('QA Log'!D:D,A132,'QA Log'!M:M,"QQC",'QA Log'!L:L,"1. General Management",'QA Log'!Z:Z,"Approved"),"")</f>
        <v/>
      </c>
      <c r="M132" s="105" t="str">
        <f>IF(A132&lt;&gt;"",COUNTIFS('QA Log'!D:D,A132,'QA Log'!M:M,"QQC",'QA Log'!L:L,"3. Curative Consultation (OPD)",'QA Log'!Z:Z,"Approved"),"")</f>
        <v/>
      </c>
      <c r="N132" s="105" t="str">
        <f>IF(A132&lt;&gt;"",COUNTIFS('QA Log'!D:D,A132,'QA Log'!M:M,"QQC",'QA Log'!L:L,"5. Laboratory",'QA Log'!Z:Z,"Approved"),"")</f>
        <v/>
      </c>
      <c r="O132" s="105" t="str">
        <f>IF(A132&lt;&gt;"",COUNTIFS('QA Log'!D:D,A132,'QA Log'!M:M,"QQC",'QA Log'!L:L,"6. Essential Medicine Management",'QA Log'!Z:Z,"Approved"),"")</f>
        <v/>
      </c>
      <c r="P132" s="105" t="str">
        <f>IF(A132&lt;&gt;"",COUNTIFS('QA Log'!D:D,A132,'QA Log'!M:M,"QQC",'QA Log'!L:L,"7. Tracer Medicine",'QA Log'!Z:Z,"Approved"),"")</f>
        <v/>
      </c>
      <c r="Q132" s="105" t="str">
        <f>IF(A132&lt;&gt;"",COUNTIFS('QA Log'!D:D,A132,'QA Log'!M:M,"QQC",'QA Log'!L:L,"11. Additional Questions",'QA Log'!Z:Z,"Approved"),"")</f>
        <v/>
      </c>
      <c r="R132" s="102" t="str">
        <f>IF(A132="","",SUM(
COUNTIFS('QA Log'!D:D,A132,'QA Log'!M:M,"QQC",'QA Log'!Z:Z,"Rejected",'QA Log'!L:L,"*8. Maternity*"),
COUNTIFS('QA Log'!D:D,A132,'QA Log'!M:M,"QQC",'QA Log'!Z:Z,"Rejected",'QA Log'!L:L,"*EPI*"),
COUNTIFS('QA Log'!D:D,A132,'QA Log'!M:M,"QQC",'QA Log'!Z:Z,"Rejected",'QA Log'!L:L,"*10. Antenatal Care (ANC)*"),
COUNTIFS('QA Log'!D:D,A132,'QA Log'!M:M,"QQC",'QA Log'!Z:Z,"Rejected",'QA Log'!L:L,"*2. Hygiene and Sterilization*"),
COUNTIFS('QA Log'!D:D,A132,'QA Log'!M:M,"QQC",'QA Log'!Z:Z,"Rejected",'QA Log'!L:L,"*Family Planning*")))</f>
        <v/>
      </c>
      <c r="S132" s="106" t="str">
        <f t="shared" si="1"/>
        <v/>
      </c>
      <c r="T132" s="102" t="str">
        <f t="shared" si="2"/>
        <v/>
      </c>
      <c r="U132" s="102" t="str">
        <f>IF(A132="","",
SUM(
COUNTIFS('QA Log'!D:D,A132,'QA Log'!M:M,"QQC",'QA Log'!L:L,"*8. Maternity*"),
COUNTIFS('QA Log'!D:D,A132,'QA Log'!M:M,"QQC",'QA Log'!L:L,"*9. EPI and Pre-school Consultation*"),
COUNTIFS('QA Log'!D:D,A132,'QA Log'!M:M,"QQC",'QA Log'!L:L,"*10. Antenatal Care (ANC)*"),
COUNTIFS('QA Log'!D:D,A132,'QA Log'!M:M,"QQC",'QA Log'!L:L,"*2. Hygiene and Sterilization*"),
COUNTIFS('QA Log'!D:D,A132,'QA Log'!M:M,"QQC",'QA Log'!L:L,"*4. Family Planning*")
))</f>
        <v/>
      </c>
      <c r="V132" s="102" t="str">
        <f>IF(A132="","",
SUM(
COUNTIFS('QA Log'!D:D,A132,'QA Log'!M:M,"QQC",'QA Log'!Z:Z,"Approved",'QA Log'!L:L,"*8. Maternity*"),
COUNTIFS('QA Log'!D:D,A132,'QA Log'!M:M,"QQC",'QA Log'!Z:Z,"Approved",'QA Log'!L:L,"*9. EPI and Pre-school Consultation*"),
COUNTIFS('QA Log'!D:D,A132,'QA Log'!M:M,"QQC",'QA Log'!Z:Z,"Approved",'QA Log'!L:L,"*10. Antenatal Care (ANC)*"),
COUNTIFS('QA Log'!D:D,A132,'QA Log'!M:M,"QQC",'QA Log'!Z:Z,"Approved",'QA Log'!L:L,"*2. Hygiene and Sterilization*"),
COUNTIFS('QA Log'!D:D,A132,'QA Log'!M:M,"QQC",'QA Log'!Z:Z,"Approved",'QA Log'!L:L,"*4. Family Planning*")
))</f>
        <v/>
      </c>
      <c r="W132" s="105" t="str">
        <f>IF(A132&lt;&gt;"",COUNTIFS('QA Log'!D:D,A132,'QA Log'!M:M,"QQC",'QA Log'!L:L,"8. Maternity",'QA Log'!Z:Z,"Approved"),"")</f>
        <v/>
      </c>
      <c r="X132" s="105" t="str">
        <f>IF(A132&lt;&gt;"",COUNTIFS('QA Log'!D:D,A132,'QA Log'!M:M,"QQC",'QA Log'!L:L,"9. EPI and Pre-school Consultation",'QA Log'!Z:Z,"Approved"),"")</f>
        <v/>
      </c>
      <c r="Y132" s="105" t="str">
        <f>IF(A132&lt;&gt;"",COUNTIFS('QA Log'!D:D,A132,'QA Log'!M:M,"QQC",'QA Log'!L:L,"10. Antenatal Care (ANC)",'QA Log'!Z:Z,"Approved"),"")</f>
        <v/>
      </c>
      <c r="Z132" s="105" t="str">
        <f>IF(A132&lt;&gt;"",COUNTIFS('QA Log'!D:D,A132,'QA Log'!M:M,"QQC",'QA Log'!L:L,"2. Hygiene and Sterilization",'QA Log'!Z:Z,"Approved"),"")</f>
        <v/>
      </c>
      <c r="AA132" s="105" t="str">
        <f>IF(A132&lt;&gt;"",COUNTIFS('QA Log'!D:D,A132,'QA Log'!M:M,"QQC",'QA Log'!L:L,"4. Family Planning",'QA Log'!Z:Z,"Approved"),"")</f>
        <v/>
      </c>
      <c r="AB132" s="102" t="str">
        <f>IF(A132="","",
SUM(
COUNTIFS('QA Log'!D:D,A132,'QA Log'!M:M,"QQC",'QA Log'!Z:Z,"Rejected",'QA Log'!L:L,"*8. Maternity*"),
COUNTIFS('QA Log'!D:D,A132,'QA Log'!M:M,"QQC",'QA Log'!Z:Z,"Rejected",'QA Log'!L:L,"*9. EPI and Pre-school Consultation*"),
COUNTIFS('QA Log'!D:D,A132,'QA Log'!M:M,"QQC",'QA Log'!Z:Z,"Rejected",'QA Log'!L:L,"*10. Antenatal Care (ANC)*"),
COUNTIFS('QA Log'!D:D,A132,'QA Log'!M:M,"QQC",'QA Log'!Z:Z,"Rejected",'QA Log'!L:L,"*2. Hygiene and Sterilization*"),
COUNTIFS('QA Log'!D:D,A132,'QA Log'!M:M,"QQC",'QA Log'!Z:Z,"Rejected",'QA Log'!L:L,"*4. Family Planning*")
))</f>
        <v/>
      </c>
      <c r="AC132" s="102" t="str">
        <f t="shared" si="3"/>
        <v/>
      </c>
      <c r="AD132" s="103" t="str">
        <f t="shared" si="4"/>
        <v/>
      </c>
      <c r="AE132" s="102" t="str">
        <f>IF(A132="","",
SUM(
COUNTIFS('QA Log'!D:D,A132,'QA Log'!M:M,"Data Verification",'QA Log'!L:L,"*Medicine (section 2)*"),
COUNTIFS('QA Log'!D:D,A132,'QA Log'!M:M,"Data Verification",'QA Log'!L:L,"*Lab Testing Availability*"),
COUNTIFS('QA Log'!D:D,A132,'QA Log'!M:M,"Data Verification",'QA Log'!L:L,"*Other than P4P (section 6)*"),
COUNTIFS('QA Log'!D:D,A132,'QA Log'!M:M,"Data Verification",'QA Log'!L:L,"*Hospital Governance*")
))</f>
        <v/>
      </c>
      <c r="AF132" s="102" t="str">
        <f>IF(A132="","",
SUM(
COUNTIFS('QA Log'!D:D,A132,'QA Log'!M:M,"Data Verification",'QA Log'!Z:Z,"Approved",'QA Log'!L:L,"*Medicine (section 2)*"),
COUNTIFS('QA Log'!D:D,A132,'QA Log'!M:M,"Data Verification",'QA Log'!Z:Z,"Approved",'QA Log'!L:L,"*Lab Testing Availability*"),
COUNTIFS('QA Log'!D:D,A132,'QA Log'!M:M,"Data Verification",'QA Log'!Z:Z,"Approved",'QA Log'!L:L,"*Other than P4P (section 6)*"),
COUNTIFS('QA Log'!D:D,A132,'QA Log'!M:M,"Data Verification",'QA Log'!Z:Z,"Approved",'QA Log'!L:L,"*Hospital Governance*")
))</f>
        <v/>
      </c>
      <c r="AG132" s="105" t="str">
        <f>IF(A132&lt;&gt;"",COUNTIFS('QA Log'!D:D,A132,'QA Log'!M:M,"Data Verification",'QA Log'!L:L,"Medicine (section 2)",'QA Log'!Z:Z,"Approved"),"")</f>
        <v/>
      </c>
      <c r="AH132" s="105" t="str">
        <f>IF(A132&lt;&gt;"",COUNTIFS('QA Log'!D:D,A132,'QA Log'!M:M,"Data Verification",'QA Log'!L:L,"Lab Testing Availability",'QA Log'!Z:Z,"Approved"),"")</f>
        <v/>
      </c>
      <c r="AI132" s="105" t="str">
        <f>IF(A132&lt;&gt;"",COUNTIFS('QA Log'!D:D,A132,'QA Log'!M:M,"Data Verification",'QA Log'!L:L,"Other than P4P (section 6)",'QA Log'!Z:Z,"Approved"),"")</f>
        <v/>
      </c>
      <c r="AJ132" s="105" t="str">
        <f>IF(A132&lt;&gt;"",COUNTIFS('QA Log'!D:D,A132,'QA Log'!M:M,"Data Verification",'QA Log'!L:L,"Hospital Governance",'QA Log'!Z:Z,"Approved"),"")</f>
        <v/>
      </c>
      <c r="AK132" s="102" t="str">
        <f>IF(A132="","",
SUM(
COUNTIFS('QA Log'!D:D,A132,'QA Log'!M:M,"Data Verification",'QA Log'!Z:Z,"Rejected",'QA Log'!L:L,"*Medicine (section 2)*"),
COUNTIFS('QA Log'!D:D,A132,'QA Log'!M:M,"Data Verification",'QA Log'!Z:Z,"Rejected",'QA Log'!L:L,"*Lab Testing Availability*"),
COUNTIFS('QA Log'!D:D,A132,'QA Log'!M:M,"Data Verification",'QA Log'!Z:Z,"Rejected",'QA Log'!L:L,"*Other than P4P (section 6)*"),
COUNTIFS('QA Log'!D:D,A132,'QA Log'!M:M,"Data Verification",'QA Log'!Z:Z,"Rejected",'QA Log'!L:L,"*Hospital Governance*")
))</f>
        <v/>
      </c>
      <c r="AL132" s="106" t="str">
        <f t="shared" si="5"/>
        <v/>
      </c>
      <c r="AM132" s="102" t="str">
        <f t="shared" si="6"/>
        <v/>
      </c>
      <c r="AN132" s="102" t="str">
        <f>IF(A132="","",
SUM(
COUNTIFS('QA Log'!D:D,A132,'QA Log'!M:M,"Data Verification",'QA Log'!L:L,"*Personnel (section 1)*"),
COUNTIFS('QA Log'!D:D,A132,'QA Log'!M:M,"Data Verification",'QA Log'!L:L,"*Consumable (section 3)*"),
COUNTIFS('QA Log'!D:D,A132,'QA Log'!M:M,"Data Verification",'QA Log'!L:L,"*Equipments (section 4)*")
))</f>
        <v/>
      </c>
      <c r="AO132" s="102" t="str">
        <f>IF(A132="","",
SUM(
COUNTIFS('QA Log'!D:D,A132,'QA Log'!M:M,"Data Verification",'QA Log'!Z:Z,"Approved",'QA Log'!L:L,"*Personnel (section 1)*"),
COUNTIFS('QA Log'!D:D,A132,'QA Log'!M:M,"Data Verification",'QA Log'!Z:Z,"Approved",'QA Log'!L:L,"*Consumable (section 3)*"),
COUNTIFS('QA Log'!D:D,A132,'QA Log'!M:M,"Data Verification",'QA Log'!Z:Z,"Approved",'QA Log'!L:L,"*Equipments (section 4)*")
))</f>
        <v/>
      </c>
      <c r="AP132" s="105" t="str">
        <f>IF(A132&lt;&gt;"",COUNTIFS('QA Log'!D:D,A132,'QA Log'!M:M,"Data Verification",'QA Log'!L:L,"Personnel (section 1)",'QA Log'!Z:Z,"Approved"),"")</f>
        <v/>
      </c>
      <c r="AQ132" s="105" t="str">
        <f>IF(A132&lt;&gt;"",COUNTIFS('QA Log'!D:D,A132,'QA Log'!M:M,"Data Verification",'QA Log'!L:L,"Consumable (section 3)",'QA Log'!Z:Z,"Approved"),"")</f>
        <v/>
      </c>
      <c r="AR132" s="105" t="str">
        <f>IF(A132&lt;&gt;"",COUNTIFS('QA Log'!D:D,A132,'QA Log'!M:M,"Data Verification",'QA Log'!L:L,"Equipments (section 4)",'QA Log'!Z:Z,"Approved"),"")</f>
        <v/>
      </c>
      <c r="AS132" s="102" t="str">
        <f>IF(A132="","",
SUM(
COUNTIFS('QA Log'!D:D,A132,'QA Log'!M:M,"Data Verification",'QA Log'!Z:Z,"Rejected",'QA Log'!L:L,"*Personnel (section 1)*"),
COUNTIFS('QA Log'!D:D,A132,'QA Log'!M:M,"Data Verification",'QA Log'!Z:Z,"Rejected",'QA Log'!L:L,"*Consumable (section 3)*"),
COUNTIFS('QA Log'!D:D,A132,'QA Log'!M:M,"Data Verification",'QA Log'!Z:Z,"Rejected",'QA Log'!L:L,"*Equipments (section 4)*")
))</f>
        <v/>
      </c>
      <c r="AT132" s="102" t="str">
        <f t="shared" si="7"/>
        <v/>
      </c>
      <c r="AU132" s="103" t="str">
        <f t="shared" si="8"/>
        <v/>
      </c>
      <c r="AV132" s="102" t="str">
        <f>IF(A132="","",SUM(
COUNTIFS('QA Log'!D:D,A132,'QA Log'!M:M,"Vignette",'QA Log'!L:L,"*Vignette [1] Respiratory Infection: Pneumonia*"),
COUNTIFS('QA Log'!D:D,A132,'QA Log'!M:M,"Vignette",'QA Log'!L:L,"*Vignette [2]: Diarrhea with Cat B dehydration*"),
COUNTIFS('QA Log'!D:D,A132,'QA Log'!M:M,"Vignette",'QA Log'!L:L,"*Vignette [3] Growth Monitoring and Promotion*"),
COUNTIFS('QA Log'!D:D,A132,'QA Log'!M:M,"Vignette",'QA Log'!L:L,"*Vignette [4]: The management of presumptive TB patient*")
)
)</f>
        <v/>
      </c>
      <c r="AW132" s="102" t="str">
        <f>IF(
  A132="","",
  SUM(
    COUNTIFS('QA Log'!D:D,A132,'QA Log'!M:M,"Vignette",'QA Log'!Z:Z,"Approved",'QA Log'!L:L,"*Vignette [1] Respiratory Infection: Pneumonia*"),
    COUNTIFS('QA Log'!D:D,A132,'QA Log'!M:M,"Vignette",'QA Log'!Z:Z,"Approved",'QA Log'!L:L,"*Vignette [2]: Diarrhea with Cat B dehydration*"),
    COUNTIFS('QA Log'!D:D,A132,'QA Log'!M:M,"Vignette",'QA Log'!Z:Z,"Approved",'QA Log'!L:L,"*Vignette [3] Growth Monitoring and Promotion*"),
    COUNTIFS('QA Log'!D:D,A132,'QA Log'!M:M,"Vignette",'QA Log'!Z:Z,"Approved",'QA Log'!L:L,"*Vignette [4]: The management of presumptive TB patient*")
  )
)</f>
        <v/>
      </c>
      <c r="AX132" s="105" t="str">
        <f>IF(A132&lt;&gt;"",COUNTIFS('QA Log'!D:D,A132,'QA Log'!M:M,"Vignette",'QA Log'!L:L,"Vignette [1] Respiratory Infection: Pneumonia",'QA Log'!Z:Z,"Approved"),"")</f>
        <v/>
      </c>
      <c r="AY132" s="105" t="str">
        <f>IF(A132&lt;&gt;"",COUNTIFS('QA Log'!D:D,A132,'QA Log'!M:M,"Vignette",'QA Log'!L:L,"Vignette [2]: Diarrhea with Cat B dehydration",'QA Log'!Z:Z,"Approved"),"")</f>
        <v/>
      </c>
      <c r="AZ132" s="105" t="str">
        <f>IF(A132&lt;&gt;"",COUNTIFS('QA Log'!D:D,A132,'QA Log'!M:M,"Vignette",'QA Log'!L:L,"Vignette [3] Growth Monitoring and Promotion",'QA Log'!Z:Z,"Approved"),"")</f>
        <v/>
      </c>
      <c r="BA132" s="105" t="str">
        <f>IF(A132&lt;&gt;"",COUNTIFS('QA Log'!D:D,A132,'QA Log'!M:M,"Vignette",'QA Log'!L:L,"Vignette [4]: The management of presumptive TB patient",'QA Log'!Z:Z,"Approved"),"")</f>
        <v/>
      </c>
      <c r="BB132" s="102" t="str">
        <f>IF(A132="","",
  SUM(
    COUNTIFS('QA Log'!D:D,A132,'QA Log'!M:M,"Vignette",'QA Log'!Z:Z,"Rejected",'QA Log'!L:L,"*Vignette [1] Respiratory Infection: Pneumonia*"),
    COUNTIFS('QA Log'!D:D,A132,'QA Log'!M:M,"Vignette",'QA Log'!Z:Z,"Rejected",'QA Log'!L:L,"*Vignette [2]: Diarrhea with Cat B dehydration*"),
    COUNTIFS('QA Log'!D:D,A132,'QA Log'!M:M,"Vignette",'QA Log'!Z:Z,"Rejected",'QA Log'!L:L,"*Vignette [3] Growth Monitoring and Promotion*"),
    COUNTIFS('QA Log'!D:D,A132,'QA Log'!M:M,"Vignette",'QA Log'!Z:Z,"Rejected",'QA Log'!L:L,"*Vignette [4]: The management of presumptive TB patient*")
  )
)</f>
        <v/>
      </c>
      <c r="BC132" s="107" t="str">
        <f t="shared" si="9"/>
        <v/>
      </c>
      <c r="BD132" s="103" t="str">
        <f t="shared" si="10"/>
        <v/>
      </c>
      <c r="BE132" s="102" t="str">
        <f>IF(A132="","",SUM(
COUNTIFS('QA Log'!D:D,A132,'QA Log'!M:M,"Vignette",'QA Log'!L:L,"*Vignette [5] Labor*"),
COUNTIFS('QA Log'!D:D,A132,'QA Log'!M:M,"Vignette",'QA Log'!L:L,"*Vignette [6] PNC pre Discharge*"),
COUNTIFS('QA Log'!D:D,A132,'QA Log'!M:M,"Vignette",'QA Log'!L:L,"*Vignette [7] First ANC Visit*"),
COUNTIFS('QA Log'!D:D,A132,'QA Log'!M:M,"Vignette",'QA Log'!L:L,"*Vignette [8] Birth Spacing/ Family Planning :  FP Counselling*"),
COUNTIFS('QA Log'!D:D,A132,'QA Log'!M:M,"Vignette",'QA Log'!L:L,"*Vignette [9] Birth Spacing: Change FP method to Injectable*"),
COUNTIFS('QA Log'!D:D,A132,'QA Log'!M:M,"Vignette",'QA Log'!L:L,"*Vignette [10] Post Partum Haemorrhage - Atonic Uterus at Health Centre*"),
)
)</f>
        <v/>
      </c>
      <c r="BF132" s="102" t="str">
        <f>IF(A132="","",
  SUM(
    COUNTIFS('QA Log'!D:D,A132,'QA Log'!M:M,"Vignette",'QA Log'!Z:Z,"Approved",'QA Log'!L:L,"*Vignette [5] Labor*"),
    COUNTIFS('QA Log'!D:D,A132,'QA Log'!M:M,"Vignette",'QA Log'!Z:Z,"Approved",'QA Log'!L:L,"*Vignette [6] PNC pre Discharge*"),
    COUNTIFS('QA Log'!D:D,A132,'QA Log'!M:M,"Vignette",'QA Log'!Z:Z,"Approved",'QA Log'!L:L,"*Vignette [7] First ANC Visit*"),
    COUNTIFS('QA Log'!D:D,A132,'QA Log'!M:M,"Vignette",'QA Log'!Z:Z,"Approved",'QA Log'!L:L,"*Vignette [8] Birth Spacing/ Family Planning :  FP Counselling*"),
    COUNTIFS('QA Log'!D:D,A132,'QA Log'!M:M,"Vignette",'QA Log'!Z:Z,"Approved",'QA Log'!L:L,"*Vignette [9] Birth Spacing: Change FP method to Injectable*"),
    COUNTIFS('QA Log'!D:D,A132,'QA Log'!M:M,"Vignette",'QA Log'!Z:Z,"Approved",'QA Log'!L:L,"*Vignette [10] Post Partum Haemorrhage - Atonic Uterus at Health Centre*")
  )
)</f>
        <v/>
      </c>
      <c r="BG132" s="105" t="str">
        <f>IF(A132&lt;&gt;"",COUNTIFS('QA Log'!D:D,A132,'QA Log'!M:M,"Vignette",'QA Log'!L:L,"Vignette [5] Labor",'QA Log'!Z:Z,"Approved"),"")</f>
        <v/>
      </c>
      <c r="BH132" s="105" t="str">
        <f>IF(A132&lt;&gt;"",COUNTIFS('QA Log'!D:D,A132,'QA Log'!M:M,"Vignette",'QA Log'!L:L,"Vignette [6] PNC pre Discharge",'QA Log'!Z:Z,"Approved"),"")</f>
        <v/>
      </c>
      <c r="BI132" s="105" t="str">
        <f>IF(A132&lt;&gt;"",COUNTIFS('QA Log'!D:D,A132,'QA Log'!M:M,"Vignette",'QA Log'!L:L,"Vignette [7] First ANC Visit",'QA Log'!Z:Z,"Approved"),"")</f>
        <v/>
      </c>
      <c r="BJ132" s="105" t="str">
        <f>IF(A132&lt;&gt;"",COUNTIFS('QA Log'!D:D,A132,'QA Log'!M:M,"Vignette",'QA Log'!L:L,"Vignette [8] Birth Spacing/ Family Planning :  FP Counselling",'QA Log'!Z:Z,"Approved"),"")</f>
        <v/>
      </c>
      <c r="BK132" s="105" t="str">
        <f>IF(A132&lt;&gt;"",COUNTIFS('QA Log'!D:D,A132,'QA Log'!M:M,"Vignette",'QA Log'!L:L,"Vignette [9] Birth Spacing: Change FP method to Injectable",'QA Log'!Z:Z,"Approved"),"")</f>
        <v/>
      </c>
      <c r="BL132" s="105" t="str">
        <f>IF(A132&lt;&gt;"",COUNTIFS('QA Log'!D:D,A132,'QA Log'!M:M,"Vignette",'QA Log'!L:L,"Vignette [10] Post Partum Haemorrhage - Atonic Uterus at Health Centre",'QA Log'!Z:Z,"Approved"),"")</f>
        <v/>
      </c>
      <c r="BM132" s="102" t="str">
        <f>IF(A132="","",SUM(
    COUNTIFS('QA Log'!D:D,A132,'QA Log'!M:M,"Vignette",'QA Log'!Z:Z,"Rejected",'QA Log'!L:L,"*Vignette [5] Labor*"),
    COUNTIFS('QA Log'!D:D,A132,'QA Log'!M:M,"Vignette",'QA Log'!Z:Z,"Rejected",'QA Log'!L:L,"*Vignette [6] PNC pre Discharge*"),
    COUNTIFS('QA Log'!D:D,A132,'QA Log'!M:M,"Vignette",'QA Log'!Z:Z,"Rejected",'QA Log'!L:L,"*Vignette [7] First ANC Visit*"),
    COUNTIFS('QA Log'!D:D,A132,'QA Log'!M:M,"Vignette",'QA Log'!Z:Z,"Rejected",'QA Log'!L:L,"*Vignette [8] Birth Spacing/ Family Planning :  FP Counselling*"),
    COUNTIFS('QA Log'!D:D,A132,'QA Log'!M:M,"Vignette",'QA Log'!Z:Z,"Rejected",'QA Log'!L:L,"*Vignette [9] Birth Spacing: Change FP method to Injectable*"),
    COUNTIFS('QA Log'!D:D,A132,'QA Log'!M:M,"Vignette",'QA Log'!Z:Z,"Rejected",'QA Log'!L:L,"*Vignette [10] Post Partum Haemorrhage - Atonic Uterus at Health Centre*")
  )
)</f>
        <v/>
      </c>
      <c r="BN132" s="107" t="str">
        <f t="shared" si="11"/>
        <v/>
      </c>
      <c r="BO132" s="103" t="str">
        <f t="shared" si="12"/>
        <v/>
      </c>
      <c r="BP132" s="102" t="str">
        <f>IF(A132="","",SUM(
COUNTIFS('QA Log'!D:D,A132,'QA Log'!M:M,"Vignette",'QA Log'!L:L,"*Exit Interview 1*"),
COUNTIFS('QA Log'!D:D,A132,'QA Log'!M:M,"Vignette",'QA Log'!L:L,"*Exit Interview 2*"),
)
)</f>
        <v/>
      </c>
      <c r="BQ132" s="102" t="str">
        <f>IF(
  A132="","",
  SUM(
    COUNTIFS('QA Log'!D:D,A132,'QA Log'!M:M,"Vignette",'QA Log'!Z:Z,"Approved",'QA Log'!L:L,"*Exit Interview 1*"),
    COUNTIFS('QA Log'!D:D,A132,'QA Log'!M:M,"Vignette",'QA Log'!Z:Z,"Approved",'QA Log'!L:L,"*Exit Interview 2*")
  )
)</f>
        <v/>
      </c>
      <c r="BR132" s="105" t="str">
        <f>IF(A132&lt;&gt;"",COUNTIFS('QA Log'!D:D,A132,'QA Log'!M:M,"Vignette",'QA Log'!L:L,"Exit Interview 1",'QA Log'!Z:Z,"Approved"),"")</f>
        <v/>
      </c>
      <c r="BS132" s="105" t="str">
        <f>IF(A132&lt;&gt;"",COUNTIFS('QA Log'!D:D,A132,'QA Log'!M:M,"Vignette",'QA Log'!L:L,"Exit Interview 2",'QA Log'!Z:Z,"Approved"),"")</f>
        <v/>
      </c>
      <c r="BT132" s="102" t="str">
        <f>IF(
  A132="","",
  SUM(
    COUNTIFS('QA Log'!D:D,A132,'QA Log'!M:M,"Vignette",'QA Log'!Z:Z,"Rejected",'QA Log'!L:L,"*Exit Interview 1*"),
    COUNTIFS('QA Log'!D:D,A132,'QA Log'!M:M,"Vignette",'QA Log'!Z:Z,"Rejected",'QA Log'!L:L,"*Exit Interview 2*")
  )
)</f>
        <v/>
      </c>
      <c r="BU132" s="107" t="str">
        <f t="shared" si="13"/>
        <v/>
      </c>
      <c r="BV132" s="102" t="str">
        <f t="shared" si="14"/>
        <v/>
      </c>
      <c r="BW132" s="102" t="str">
        <f t="shared" si="15"/>
        <v/>
      </c>
      <c r="BX132" s="102" t="str">
        <f t="shared" si="16"/>
        <v/>
      </c>
      <c r="BY132" s="102" t="str">
        <f t="shared" si="17"/>
        <v/>
      </c>
      <c r="BZ132" s="107" t="str">
        <f t="shared" si="18"/>
        <v/>
      </c>
      <c r="CA132" s="108" t="str">
        <f t="shared" si="19"/>
        <v/>
      </c>
      <c r="CB132" s="108" t="str">
        <f t="shared" si="20"/>
        <v/>
      </c>
      <c r="CC132" s="109" t="str">
        <f t="shared" si="21"/>
        <v/>
      </c>
      <c r="CD132" s="108" t="str">
        <f t="shared" si="22"/>
        <v/>
      </c>
      <c r="CE132" s="108" t="str">
        <f t="shared" si="23"/>
        <v/>
      </c>
      <c r="CF132" s="109" t="str">
        <f t="shared" si="24"/>
        <v/>
      </c>
      <c r="CG132" s="110" t="str">
        <f t="shared" si="25"/>
        <v/>
      </c>
      <c r="CH132" s="111"/>
    </row>
    <row r="133" spans="1:86" ht="12.75">
      <c r="A133" s="101"/>
      <c r="B133" s="102" t="e">
        <f t="array" aca="1" ref="B133" ca="1">_xludf.XLOOKUP(A133,'QA Log'!D:D,'QA Log'!E:E,"")</f>
        <v>#NAME?</v>
      </c>
      <c r="C133" s="102" t="e">
        <f t="array" aca="1" ref="C133" ca="1">_xludf.XLOOKUP(A133,'QA Log'!D:D,'QA Log'!F:F,"")</f>
        <v>#NAME?</v>
      </c>
      <c r="D133" s="102" t="e">
        <f t="array" aca="1" ref="D133" ca="1">_xludf.XLOOKUP(A133,'QA Log'!D:D,'QA Log'!H:H,"")</f>
        <v>#NAME?</v>
      </c>
      <c r="E133" s="102" t="e">
        <f t="array" aca="1" ref="E133" ca="1">_xludf.XLOOKUP(A133,'QA Log'!D:D,'QA Log'!G:G,"")</f>
        <v>#NAME?</v>
      </c>
      <c r="F133" s="103"/>
      <c r="G133" s="104"/>
      <c r="H133" s="104"/>
      <c r="I133" s="103" t="str">
        <f t="shared" si="0"/>
        <v/>
      </c>
      <c r="J133" s="102" t="str">
        <f>IF(A133="","",SUM(
COUNTIFS('QA Log'!D:D,A133,'QA Log'!M:M,"QQC",'QA Log'!L:L,"*1. General Management*"),
COUNTIFS('QA Log'!D:D,A133,'QA Log'!M:M,"QQC",'QA Log'!L:L,"*3. Curative Consultation (OPD)*"),
COUNTIFS('QA Log'!D:D,A133,'QA Log'!M:M,"QQC",'QA Log'!L:L,"*5. Laboratory*"),
COUNTIFS('QA Log'!D:D,A133,'QA Log'!M:M,"QQC",'QA Log'!L:L,"*6. Essential Medicine Management*"),
COUNTIFS('QA Log'!D:D,A133,'QA Log'!M:M,"QQC",'QA Log'!L:L,"*7. Tracer Medicine*"),
COUNTIFS('QA Log'!D:D,A133,'QA Log'!M:M,"QQC",'QA Log'!L:L,"*11. Additional Questions*")))</f>
        <v/>
      </c>
      <c r="K133" s="102" t="str">
        <f>IF(A133="","",SUM(
COUNTIFS('QA Log'!D:D,A133,'QA Log'!M:M,"QQC",'QA Log'!Z:Z,"Approved",'QA Log'!L:L,"*1. General Management*"),
COUNTIFS('QA Log'!D:D,A133,'QA Log'!M:M,"QQC",'QA Log'!Z:Z,"Approved",'QA Log'!L:L,"*3. Curative Consultation (OPD)*"),
COUNTIFS('QA Log'!D:D,A133,'QA Log'!M:M,"QQC",'QA Log'!Z:Z,"Approved",'QA Log'!L:L,"*5. Laboratory*"),
COUNTIFS('QA Log'!D:D,A133,'QA Log'!M:M,"QQC",'QA Log'!Z:Z,"Approved",'QA Log'!L:L,"*6. Essential Medicine Management*"),
COUNTIFS('QA Log'!D:D,A133,'QA Log'!M:M,"QQC",'QA Log'!Z:Z,"Approved",'QA Log'!L:L,"*7. Tracer Medicine*"),
COUNTIFS('QA Log'!D:D,A133,'QA Log'!M:M,"QQC",'QA Log'!Z:Z,"Approved",'QA Log'!L:L,"*11. Additional Questions*")))</f>
        <v/>
      </c>
      <c r="L133" s="105" t="str">
        <f>IF(A133&lt;&gt;"",COUNTIFS('QA Log'!D:D,A133,'QA Log'!M:M,"QQC",'QA Log'!L:L,"1. General Management",'QA Log'!Z:Z,"Approved"),"")</f>
        <v/>
      </c>
      <c r="M133" s="105" t="str">
        <f>IF(A133&lt;&gt;"",COUNTIFS('QA Log'!D:D,A133,'QA Log'!M:M,"QQC",'QA Log'!L:L,"3. Curative Consultation (OPD)",'QA Log'!Z:Z,"Approved"),"")</f>
        <v/>
      </c>
      <c r="N133" s="105" t="str">
        <f>IF(A133&lt;&gt;"",COUNTIFS('QA Log'!D:D,A133,'QA Log'!M:M,"QQC",'QA Log'!L:L,"5. Laboratory",'QA Log'!Z:Z,"Approved"),"")</f>
        <v/>
      </c>
      <c r="O133" s="105" t="str">
        <f>IF(A133&lt;&gt;"",COUNTIFS('QA Log'!D:D,A133,'QA Log'!M:M,"QQC",'QA Log'!L:L,"6. Essential Medicine Management",'QA Log'!Z:Z,"Approved"),"")</f>
        <v/>
      </c>
      <c r="P133" s="105" t="str">
        <f>IF(A133&lt;&gt;"",COUNTIFS('QA Log'!D:D,A133,'QA Log'!M:M,"QQC",'QA Log'!L:L,"7. Tracer Medicine",'QA Log'!Z:Z,"Approved"),"")</f>
        <v/>
      </c>
      <c r="Q133" s="105" t="str">
        <f>IF(A133&lt;&gt;"",COUNTIFS('QA Log'!D:D,A133,'QA Log'!M:M,"QQC",'QA Log'!L:L,"11. Additional Questions",'QA Log'!Z:Z,"Approved"),"")</f>
        <v/>
      </c>
      <c r="R133" s="102" t="str">
        <f>IF(A133="","",SUM(
COUNTIFS('QA Log'!D:D,A133,'QA Log'!M:M,"QQC",'QA Log'!Z:Z,"Rejected",'QA Log'!L:L,"*8. Maternity*"),
COUNTIFS('QA Log'!D:D,A133,'QA Log'!M:M,"QQC",'QA Log'!Z:Z,"Rejected",'QA Log'!L:L,"*EPI*"),
COUNTIFS('QA Log'!D:D,A133,'QA Log'!M:M,"QQC",'QA Log'!Z:Z,"Rejected",'QA Log'!L:L,"*10. Antenatal Care (ANC)*"),
COUNTIFS('QA Log'!D:D,A133,'QA Log'!M:M,"QQC",'QA Log'!Z:Z,"Rejected",'QA Log'!L:L,"*2. Hygiene and Sterilization*"),
COUNTIFS('QA Log'!D:D,A133,'QA Log'!M:M,"QQC",'QA Log'!Z:Z,"Rejected",'QA Log'!L:L,"*Family Planning*")))</f>
        <v/>
      </c>
      <c r="S133" s="106" t="str">
        <f t="shared" si="1"/>
        <v/>
      </c>
      <c r="T133" s="102" t="str">
        <f t="shared" si="2"/>
        <v/>
      </c>
      <c r="U133" s="102" t="str">
        <f>IF(A133="","",
SUM(
COUNTIFS('QA Log'!D:D,A133,'QA Log'!M:M,"QQC",'QA Log'!L:L,"*8. Maternity*"),
COUNTIFS('QA Log'!D:D,A133,'QA Log'!M:M,"QQC",'QA Log'!L:L,"*9. EPI and Pre-school Consultation*"),
COUNTIFS('QA Log'!D:D,A133,'QA Log'!M:M,"QQC",'QA Log'!L:L,"*10. Antenatal Care (ANC)*"),
COUNTIFS('QA Log'!D:D,A133,'QA Log'!M:M,"QQC",'QA Log'!L:L,"*2. Hygiene and Sterilization*"),
COUNTIFS('QA Log'!D:D,A133,'QA Log'!M:M,"QQC",'QA Log'!L:L,"*4. Family Planning*")
))</f>
        <v/>
      </c>
      <c r="V133" s="102" t="str">
        <f>IF(A133="","",
SUM(
COUNTIFS('QA Log'!D:D,A133,'QA Log'!M:M,"QQC",'QA Log'!Z:Z,"Approved",'QA Log'!L:L,"*8. Maternity*"),
COUNTIFS('QA Log'!D:D,A133,'QA Log'!M:M,"QQC",'QA Log'!Z:Z,"Approved",'QA Log'!L:L,"*9. EPI and Pre-school Consultation*"),
COUNTIFS('QA Log'!D:D,A133,'QA Log'!M:M,"QQC",'QA Log'!Z:Z,"Approved",'QA Log'!L:L,"*10. Antenatal Care (ANC)*"),
COUNTIFS('QA Log'!D:D,A133,'QA Log'!M:M,"QQC",'QA Log'!Z:Z,"Approved",'QA Log'!L:L,"*2. Hygiene and Sterilization*"),
COUNTIFS('QA Log'!D:D,A133,'QA Log'!M:M,"QQC",'QA Log'!Z:Z,"Approved",'QA Log'!L:L,"*4. Family Planning*")
))</f>
        <v/>
      </c>
      <c r="W133" s="105" t="str">
        <f>IF(A133&lt;&gt;"",COUNTIFS('QA Log'!D:D,A133,'QA Log'!M:M,"QQC",'QA Log'!L:L,"8. Maternity",'QA Log'!Z:Z,"Approved"),"")</f>
        <v/>
      </c>
      <c r="X133" s="105" t="str">
        <f>IF(A133&lt;&gt;"",COUNTIFS('QA Log'!D:D,A133,'QA Log'!M:M,"QQC",'QA Log'!L:L,"9. EPI and Pre-school Consultation",'QA Log'!Z:Z,"Approved"),"")</f>
        <v/>
      </c>
      <c r="Y133" s="105" t="str">
        <f>IF(A133&lt;&gt;"",COUNTIFS('QA Log'!D:D,A133,'QA Log'!M:M,"QQC",'QA Log'!L:L,"10. Antenatal Care (ANC)",'QA Log'!Z:Z,"Approved"),"")</f>
        <v/>
      </c>
      <c r="Z133" s="105" t="str">
        <f>IF(A133&lt;&gt;"",COUNTIFS('QA Log'!D:D,A133,'QA Log'!M:M,"QQC",'QA Log'!L:L,"2. Hygiene and Sterilization",'QA Log'!Z:Z,"Approved"),"")</f>
        <v/>
      </c>
      <c r="AA133" s="105" t="str">
        <f>IF(A133&lt;&gt;"",COUNTIFS('QA Log'!D:D,A133,'QA Log'!M:M,"QQC",'QA Log'!L:L,"4. Family Planning",'QA Log'!Z:Z,"Approved"),"")</f>
        <v/>
      </c>
      <c r="AB133" s="102" t="str">
        <f>IF(A133="","",
SUM(
COUNTIFS('QA Log'!D:D,A133,'QA Log'!M:M,"QQC",'QA Log'!Z:Z,"Rejected",'QA Log'!L:L,"*8. Maternity*"),
COUNTIFS('QA Log'!D:D,A133,'QA Log'!M:M,"QQC",'QA Log'!Z:Z,"Rejected",'QA Log'!L:L,"*9. EPI and Pre-school Consultation*"),
COUNTIFS('QA Log'!D:D,A133,'QA Log'!M:M,"QQC",'QA Log'!Z:Z,"Rejected",'QA Log'!L:L,"*10. Antenatal Care (ANC)*"),
COUNTIFS('QA Log'!D:D,A133,'QA Log'!M:M,"QQC",'QA Log'!Z:Z,"Rejected",'QA Log'!L:L,"*2. Hygiene and Sterilization*"),
COUNTIFS('QA Log'!D:D,A133,'QA Log'!M:M,"QQC",'QA Log'!Z:Z,"Rejected",'QA Log'!L:L,"*4. Family Planning*")
))</f>
        <v/>
      </c>
      <c r="AC133" s="102" t="str">
        <f t="shared" si="3"/>
        <v/>
      </c>
      <c r="AD133" s="103" t="str">
        <f t="shared" si="4"/>
        <v/>
      </c>
      <c r="AE133" s="102" t="str">
        <f>IF(A133="","",
SUM(
COUNTIFS('QA Log'!D:D,A133,'QA Log'!M:M,"Data Verification",'QA Log'!L:L,"*Medicine (section 2)*"),
COUNTIFS('QA Log'!D:D,A133,'QA Log'!M:M,"Data Verification",'QA Log'!L:L,"*Lab Testing Availability*"),
COUNTIFS('QA Log'!D:D,A133,'QA Log'!M:M,"Data Verification",'QA Log'!L:L,"*Other than P4P (section 6)*"),
COUNTIFS('QA Log'!D:D,A133,'QA Log'!M:M,"Data Verification",'QA Log'!L:L,"*Hospital Governance*")
))</f>
        <v/>
      </c>
      <c r="AF133" s="102" t="str">
        <f>IF(A133="","",
SUM(
COUNTIFS('QA Log'!D:D,A133,'QA Log'!M:M,"Data Verification",'QA Log'!Z:Z,"Approved",'QA Log'!L:L,"*Medicine (section 2)*"),
COUNTIFS('QA Log'!D:D,A133,'QA Log'!M:M,"Data Verification",'QA Log'!Z:Z,"Approved",'QA Log'!L:L,"*Lab Testing Availability*"),
COUNTIFS('QA Log'!D:D,A133,'QA Log'!M:M,"Data Verification",'QA Log'!Z:Z,"Approved",'QA Log'!L:L,"*Other than P4P (section 6)*"),
COUNTIFS('QA Log'!D:D,A133,'QA Log'!M:M,"Data Verification",'QA Log'!Z:Z,"Approved",'QA Log'!L:L,"*Hospital Governance*")
))</f>
        <v/>
      </c>
      <c r="AG133" s="105" t="str">
        <f>IF(A133&lt;&gt;"",COUNTIFS('QA Log'!D:D,A133,'QA Log'!M:M,"Data Verification",'QA Log'!L:L,"Medicine (section 2)",'QA Log'!Z:Z,"Approved"),"")</f>
        <v/>
      </c>
      <c r="AH133" s="105" t="str">
        <f>IF(A133&lt;&gt;"",COUNTIFS('QA Log'!D:D,A133,'QA Log'!M:M,"Data Verification",'QA Log'!L:L,"Lab Testing Availability",'QA Log'!Z:Z,"Approved"),"")</f>
        <v/>
      </c>
      <c r="AI133" s="105" t="str">
        <f>IF(A133&lt;&gt;"",COUNTIFS('QA Log'!D:D,A133,'QA Log'!M:M,"Data Verification",'QA Log'!L:L,"Other than P4P (section 6)",'QA Log'!Z:Z,"Approved"),"")</f>
        <v/>
      </c>
      <c r="AJ133" s="105" t="str">
        <f>IF(A133&lt;&gt;"",COUNTIFS('QA Log'!D:D,A133,'QA Log'!M:M,"Data Verification",'QA Log'!L:L,"Hospital Governance",'QA Log'!Z:Z,"Approved"),"")</f>
        <v/>
      </c>
      <c r="AK133" s="102" t="str">
        <f>IF(A133="","",
SUM(
COUNTIFS('QA Log'!D:D,A133,'QA Log'!M:M,"Data Verification",'QA Log'!Z:Z,"Rejected",'QA Log'!L:L,"*Medicine (section 2)*"),
COUNTIFS('QA Log'!D:D,A133,'QA Log'!M:M,"Data Verification",'QA Log'!Z:Z,"Rejected",'QA Log'!L:L,"*Lab Testing Availability*"),
COUNTIFS('QA Log'!D:D,A133,'QA Log'!M:M,"Data Verification",'QA Log'!Z:Z,"Rejected",'QA Log'!L:L,"*Other than P4P (section 6)*"),
COUNTIFS('QA Log'!D:D,A133,'QA Log'!M:M,"Data Verification",'QA Log'!Z:Z,"Rejected",'QA Log'!L:L,"*Hospital Governance*")
))</f>
        <v/>
      </c>
      <c r="AL133" s="106" t="str">
        <f t="shared" si="5"/>
        <v/>
      </c>
      <c r="AM133" s="102" t="str">
        <f t="shared" si="6"/>
        <v/>
      </c>
      <c r="AN133" s="102" t="str">
        <f>IF(A133="","",
SUM(
COUNTIFS('QA Log'!D:D,A133,'QA Log'!M:M,"Data Verification",'QA Log'!L:L,"*Personnel (section 1)*"),
COUNTIFS('QA Log'!D:D,A133,'QA Log'!M:M,"Data Verification",'QA Log'!L:L,"*Consumable (section 3)*"),
COUNTIFS('QA Log'!D:D,A133,'QA Log'!M:M,"Data Verification",'QA Log'!L:L,"*Equipments (section 4)*")
))</f>
        <v/>
      </c>
      <c r="AO133" s="102" t="str">
        <f>IF(A133="","",
SUM(
COUNTIFS('QA Log'!D:D,A133,'QA Log'!M:M,"Data Verification",'QA Log'!Z:Z,"Approved",'QA Log'!L:L,"*Personnel (section 1)*"),
COUNTIFS('QA Log'!D:D,A133,'QA Log'!M:M,"Data Verification",'QA Log'!Z:Z,"Approved",'QA Log'!L:L,"*Consumable (section 3)*"),
COUNTIFS('QA Log'!D:D,A133,'QA Log'!M:M,"Data Verification",'QA Log'!Z:Z,"Approved",'QA Log'!L:L,"*Equipments (section 4)*")
))</f>
        <v/>
      </c>
      <c r="AP133" s="105" t="str">
        <f>IF(A133&lt;&gt;"",COUNTIFS('QA Log'!D:D,A133,'QA Log'!M:M,"Data Verification",'QA Log'!L:L,"Personnel (section 1)",'QA Log'!Z:Z,"Approved"),"")</f>
        <v/>
      </c>
      <c r="AQ133" s="105" t="str">
        <f>IF(A133&lt;&gt;"",COUNTIFS('QA Log'!D:D,A133,'QA Log'!M:M,"Data Verification",'QA Log'!L:L,"Consumable (section 3)",'QA Log'!Z:Z,"Approved"),"")</f>
        <v/>
      </c>
      <c r="AR133" s="105" t="str">
        <f>IF(A133&lt;&gt;"",COUNTIFS('QA Log'!D:D,A133,'QA Log'!M:M,"Data Verification",'QA Log'!L:L,"Equipments (section 4)",'QA Log'!Z:Z,"Approved"),"")</f>
        <v/>
      </c>
      <c r="AS133" s="102" t="str">
        <f>IF(A133="","",
SUM(
COUNTIFS('QA Log'!D:D,A133,'QA Log'!M:M,"Data Verification",'QA Log'!Z:Z,"Rejected",'QA Log'!L:L,"*Personnel (section 1)*"),
COUNTIFS('QA Log'!D:D,A133,'QA Log'!M:M,"Data Verification",'QA Log'!Z:Z,"Rejected",'QA Log'!L:L,"*Consumable (section 3)*"),
COUNTIFS('QA Log'!D:D,A133,'QA Log'!M:M,"Data Verification",'QA Log'!Z:Z,"Rejected",'QA Log'!L:L,"*Equipments (section 4)*")
))</f>
        <v/>
      </c>
      <c r="AT133" s="102" t="str">
        <f t="shared" si="7"/>
        <v/>
      </c>
      <c r="AU133" s="103" t="str">
        <f t="shared" si="8"/>
        <v/>
      </c>
      <c r="AV133" s="102" t="str">
        <f>IF(A133="","",SUM(
COUNTIFS('QA Log'!D:D,A133,'QA Log'!M:M,"Vignette",'QA Log'!L:L,"*Vignette [1] Respiratory Infection: Pneumonia*"),
COUNTIFS('QA Log'!D:D,A133,'QA Log'!M:M,"Vignette",'QA Log'!L:L,"*Vignette [2]: Diarrhea with Cat B dehydration*"),
COUNTIFS('QA Log'!D:D,A133,'QA Log'!M:M,"Vignette",'QA Log'!L:L,"*Vignette [3] Growth Monitoring and Promotion*"),
COUNTIFS('QA Log'!D:D,A133,'QA Log'!M:M,"Vignette",'QA Log'!L:L,"*Vignette [4]: The management of presumptive TB patient*")
)
)</f>
        <v/>
      </c>
      <c r="AW133" s="102" t="str">
        <f>IF(
  A133="","",
  SUM(
    COUNTIFS('QA Log'!D:D,A133,'QA Log'!M:M,"Vignette",'QA Log'!Z:Z,"Approved",'QA Log'!L:L,"*Vignette [1] Respiratory Infection: Pneumonia*"),
    COUNTIFS('QA Log'!D:D,A133,'QA Log'!M:M,"Vignette",'QA Log'!Z:Z,"Approved",'QA Log'!L:L,"*Vignette [2]: Diarrhea with Cat B dehydration*"),
    COUNTIFS('QA Log'!D:D,A133,'QA Log'!M:M,"Vignette",'QA Log'!Z:Z,"Approved",'QA Log'!L:L,"*Vignette [3] Growth Monitoring and Promotion*"),
    COUNTIFS('QA Log'!D:D,A133,'QA Log'!M:M,"Vignette",'QA Log'!Z:Z,"Approved",'QA Log'!L:L,"*Vignette [4]: The management of presumptive TB patient*")
  )
)</f>
        <v/>
      </c>
      <c r="AX133" s="105" t="str">
        <f>IF(A133&lt;&gt;"",COUNTIFS('QA Log'!D:D,A133,'QA Log'!M:M,"Vignette",'QA Log'!L:L,"Vignette [1] Respiratory Infection: Pneumonia",'QA Log'!Z:Z,"Approved"),"")</f>
        <v/>
      </c>
      <c r="AY133" s="105" t="str">
        <f>IF(A133&lt;&gt;"",COUNTIFS('QA Log'!D:D,A133,'QA Log'!M:M,"Vignette",'QA Log'!L:L,"Vignette [2]: Diarrhea with Cat B dehydration",'QA Log'!Z:Z,"Approved"),"")</f>
        <v/>
      </c>
      <c r="AZ133" s="105" t="str">
        <f>IF(A133&lt;&gt;"",COUNTIFS('QA Log'!D:D,A133,'QA Log'!M:M,"Vignette",'QA Log'!L:L,"Vignette [3] Growth Monitoring and Promotion",'QA Log'!Z:Z,"Approved"),"")</f>
        <v/>
      </c>
      <c r="BA133" s="105" t="str">
        <f>IF(A133&lt;&gt;"",COUNTIFS('QA Log'!D:D,A133,'QA Log'!M:M,"Vignette",'QA Log'!L:L,"Vignette [4]: The management of presumptive TB patient",'QA Log'!Z:Z,"Approved"),"")</f>
        <v/>
      </c>
      <c r="BB133" s="102" t="str">
        <f>IF(A133="","",
  SUM(
    COUNTIFS('QA Log'!D:D,A133,'QA Log'!M:M,"Vignette",'QA Log'!Z:Z,"Rejected",'QA Log'!L:L,"*Vignette [1] Respiratory Infection: Pneumonia*"),
    COUNTIFS('QA Log'!D:D,A133,'QA Log'!M:M,"Vignette",'QA Log'!Z:Z,"Rejected",'QA Log'!L:L,"*Vignette [2]: Diarrhea with Cat B dehydration*"),
    COUNTIFS('QA Log'!D:D,A133,'QA Log'!M:M,"Vignette",'QA Log'!Z:Z,"Rejected",'QA Log'!L:L,"*Vignette [3] Growth Monitoring and Promotion*"),
    COUNTIFS('QA Log'!D:D,A133,'QA Log'!M:M,"Vignette",'QA Log'!Z:Z,"Rejected",'QA Log'!L:L,"*Vignette [4]: The management of presumptive TB patient*")
  )
)</f>
        <v/>
      </c>
      <c r="BC133" s="107" t="str">
        <f t="shared" si="9"/>
        <v/>
      </c>
      <c r="BD133" s="103" t="str">
        <f t="shared" si="10"/>
        <v/>
      </c>
      <c r="BE133" s="102" t="str">
        <f>IF(A133="","",SUM(
COUNTIFS('QA Log'!D:D,A133,'QA Log'!M:M,"Vignette",'QA Log'!L:L,"*Vignette [5] Labor*"),
COUNTIFS('QA Log'!D:D,A133,'QA Log'!M:M,"Vignette",'QA Log'!L:L,"*Vignette [6] PNC pre Discharge*"),
COUNTIFS('QA Log'!D:D,A133,'QA Log'!M:M,"Vignette",'QA Log'!L:L,"*Vignette [7] First ANC Visit*"),
COUNTIFS('QA Log'!D:D,A133,'QA Log'!M:M,"Vignette",'QA Log'!L:L,"*Vignette [8] Birth Spacing/ Family Planning :  FP Counselling*"),
COUNTIFS('QA Log'!D:D,A133,'QA Log'!M:M,"Vignette",'QA Log'!L:L,"*Vignette [9] Birth Spacing: Change FP method to Injectable*"),
COUNTIFS('QA Log'!D:D,A133,'QA Log'!M:M,"Vignette",'QA Log'!L:L,"*Vignette [10] Post Partum Haemorrhage - Atonic Uterus at Health Centre*"),
)
)</f>
        <v/>
      </c>
      <c r="BF133" s="102" t="str">
        <f>IF(A133="","",
  SUM(
    COUNTIFS('QA Log'!D:D,A133,'QA Log'!M:M,"Vignette",'QA Log'!Z:Z,"Approved",'QA Log'!L:L,"*Vignette [5] Labor*"),
    COUNTIFS('QA Log'!D:D,A133,'QA Log'!M:M,"Vignette",'QA Log'!Z:Z,"Approved",'QA Log'!L:L,"*Vignette [6] PNC pre Discharge*"),
    COUNTIFS('QA Log'!D:D,A133,'QA Log'!M:M,"Vignette",'QA Log'!Z:Z,"Approved",'QA Log'!L:L,"*Vignette [7] First ANC Visit*"),
    COUNTIFS('QA Log'!D:D,A133,'QA Log'!M:M,"Vignette",'QA Log'!Z:Z,"Approved",'QA Log'!L:L,"*Vignette [8] Birth Spacing/ Family Planning :  FP Counselling*"),
    COUNTIFS('QA Log'!D:D,A133,'QA Log'!M:M,"Vignette",'QA Log'!Z:Z,"Approved",'QA Log'!L:L,"*Vignette [9] Birth Spacing: Change FP method to Injectable*"),
    COUNTIFS('QA Log'!D:D,A133,'QA Log'!M:M,"Vignette",'QA Log'!Z:Z,"Approved",'QA Log'!L:L,"*Vignette [10] Post Partum Haemorrhage - Atonic Uterus at Health Centre*")
  )
)</f>
        <v/>
      </c>
      <c r="BG133" s="105" t="str">
        <f>IF(A133&lt;&gt;"",COUNTIFS('QA Log'!D:D,A133,'QA Log'!M:M,"Vignette",'QA Log'!L:L,"Vignette [5] Labor",'QA Log'!Z:Z,"Approved"),"")</f>
        <v/>
      </c>
      <c r="BH133" s="105" t="str">
        <f>IF(A133&lt;&gt;"",COUNTIFS('QA Log'!D:D,A133,'QA Log'!M:M,"Vignette",'QA Log'!L:L,"Vignette [6] PNC pre Discharge",'QA Log'!Z:Z,"Approved"),"")</f>
        <v/>
      </c>
      <c r="BI133" s="105" t="str">
        <f>IF(A133&lt;&gt;"",COUNTIFS('QA Log'!D:D,A133,'QA Log'!M:M,"Vignette",'QA Log'!L:L,"Vignette [7] First ANC Visit",'QA Log'!Z:Z,"Approved"),"")</f>
        <v/>
      </c>
      <c r="BJ133" s="105" t="str">
        <f>IF(A133&lt;&gt;"",COUNTIFS('QA Log'!D:D,A133,'QA Log'!M:M,"Vignette",'QA Log'!L:L,"Vignette [8] Birth Spacing/ Family Planning :  FP Counselling",'QA Log'!Z:Z,"Approved"),"")</f>
        <v/>
      </c>
      <c r="BK133" s="105" t="str">
        <f>IF(A133&lt;&gt;"",COUNTIFS('QA Log'!D:D,A133,'QA Log'!M:M,"Vignette",'QA Log'!L:L,"Vignette [9] Birth Spacing: Change FP method to Injectable",'QA Log'!Z:Z,"Approved"),"")</f>
        <v/>
      </c>
      <c r="BL133" s="105" t="str">
        <f>IF(A133&lt;&gt;"",COUNTIFS('QA Log'!D:D,A133,'QA Log'!M:M,"Vignette",'QA Log'!L:L,"Vignette [10] Post Partum Haemorrhage - Atonic Uterus at Health Centre",'QA Log'!Z:Z,"Approved"),"")</f>
        <v/>
      </c>
      <c r="BM133" s="102" t="str">
        <f>IF(A133="","",SUM(
    COUNTIFS('QA Log'!D:D,A133,'QA Log'!M:M,"Vignette",'QA Log'!Z:Z,"Rejected",'QA Log'!L:L,"*Vignette [5] Labor*"),
    COUNTIFS('QA Log'!D:D,A133,'QA Log'!M:M,"Vignette",'QA Log'!Z:Z,"Rejected",'QA Log'!L:L,"*Vignette [6] PNC pre Discharge*"),
    COUNTIFS('QA Log'!D:D,A133,'QA Log'!M:M,"Vignette",'QA Log'!Z:Z,"Rejected",'QA Log'!L:L,"*Vignette [7] First ANC Visit*"),
    COUNTIFS('QA Log'!D:D,A133,'QA Log'!M:M,"Vignette",'QA Log'!Z:Z,"Rejected",'QA Log'!L:L,"*Vignette [8] Birth Spacing/ Family Planning :  FP Counselling*"),
    COUNTIFS('QA Log'!D:D,A133,'QA Log'!M:M,"Vignette",'QA Log'!Z:Z,"Rejected",'QA Log'!L:L,"*Vignette [9] Birth Spacing: Change FP method to Injectable*"),
    COUNTIFS('QA Log'!D:D,A133,'QA Log'!M:M,"Vignette",'QA Log'!Z:Z,"Rejected",'QA Log'!L:L,"*Vignette [10] Post Partum Haemorrhage - Atonic Uterus at Health Centre*")
  )
)</f>
        <v/>
      </c>
      <c r="BN133" s="107" t="str">
        <f t="shared" si="11"/>
        <v/>
      </c>
      <c r="BO133" s="103" t="str">
        <f t="shared" si="12"/>
        <v/>
      </c>
      <c r="BP133" s="102" t="str">
        <f>IF(A133="","",SUM(
COUNTIFS('QA Log'!D:D,A133,'QA Log'!M:M,"Vignette",'QA Log'!L:L,"*Exit Interview 1*"),
COUNTIFS('QA Log'!D:D,A133,'QA Log'!M:M,"Vignette",'QA Log'!L:L,"*Exit Interview 2*"),
)
)</f>
        <v/>
      </c>
      <c r="BQ133" s="102" t="str">
        <f>IF(
  A133="","",
  SUM(
    COUNTIFS('QA Log'!D:D,A133,'QA Log'!M:M,"Vignette",'QA Log'!Z:Z,"Approved",'QA Log'!L:L,"*Exit Interview 1*"),
    COUNTIFS('QA Log'!D:D,A133,'QA Log'!M:M,"Vignette",'QA Log'!Z:Z,"Approved",'QA Log'!L:L,"*Exit Interview 2*")
  )
)</f>
        <v/>
      </c>
      <c r="BR133" s="105" t="str">
        <f>IF(A133&lt;&gt;"",COUNTIFS('QA Log'!D:D,A133,'QA Log'!M:M,"Vignette",'QA Log'!L:L,"Exit Interview 1",'QA Log'!Z:Z,"Approved"),"")</f>
        <v/>
      </c>
      <c r="BS133" s="105" t="str">
        <f>IF(A133&lt;&gt;"",COUNTIFS('QA Log'!D:D,A133,'QA Log'!M:M,"Vignette",'QA Log'!L:L,"Exit Interview 2",'QA Log'!Z:Z,"Approved"),"")</f>
        <v/>
      </c>
      <c r="BT133" s="102" t="str">
        <f>IF(
  A133="","",
  SUM(
    COUNTIFS('QA Log'!D:D,A133,'QA Log'!M:M,"Vignette",'QA Log'!Z:Z,"Rejected",'QA Log'!L:L,"*Exit Interview 1*"),
    COUNTIFS('QA Log'!D:D,A133,'QA Log'!M:M,"Vignette",'QA Log'!Z:Z,"Rejected",'QA Log'!L:L,"*Exit Interview 2*")
  )
)</f>
        <v/>
      </c>
      <c r="BU133" s="107" t="str">
        <f t="shared" si="13"/>
        <v/>
      </c>
      <c r="BV133" s="102" t="str">
        <f t="shared" si="14"/>
        <v/>
      </c>
      <c r="BW133" s="102" t="str">
        <f t="shared" si="15"/>
        <v/>
      </c>
      <c r="BX133" s="102" t="str">
        <f t="shared" si="16"/>
        <v/>
      </c>
      <c r="BY133" s="102" t="str">
        <f t="shared" si="17"/>
        <v/>
      </c>
      <c r="BZ133" s="107" t="str">
        <f t="shared" si="18"/>
        <v/>
      </c>
      <c r="CA133" s="108" t="str">
        <f t="shared" si="19"/>
        <v/>
      </c>
      <c r="CB133" s="108" t="str">
        <f t="shared" si="20"/>
        <v/>
      </c>
      <c r="CC133" s="109" t="str">
        <f t="shared" si="21"/>
        <v/>
      </c>
      <c r="CD133" s="108" t="str">
        <f t="shared" si="22"/>
        <v/>
      </c>
      <c r="CE133" s="108" t="str">
        <f t="shared" si="23"/>
        <v/>
      </c>
      <c r="CF133" s="109" t="str">
        <f t="shared" si="24"/>
        <v/>
      </c>
      <c r="CG133" s="110" t="str">
        <f t="shared" si="25"/>
        <v/>
      </c>
      <c r="CH133" s="111"/>
    </row>
    <row r="134" spans="1:86" ht="12.75">
      <c r="A134" s="101"/>
      <c r="B134" s="102" t="e">
        <f t="array" aca="1" ref="B134" ca="1">_xludf.XLOOKUP(A134,'QA Log'!D:D,'QA Log'!E:E,"")</f>
        <v>#NAME?</v>
      </c>
      <c r="C134" s="102" t="e">
        <f t="array" aca="1" ref="C134" ca="1">_xludf.XLOOKUP(A134,'QA Log'!D:D,'QA Log'!F:F,"")</f>
        <v>#NAME?</v>
      </c>
      <c r="D134" s="102" t="e">
        <f t="array" aca="1" ref="D134" ca="1">_xludf.XLOOKUP(A134,'QA Log'!D:D,'QA Log'!H:H,"")</f>
        <v>#NAME?</v>
      </c>
      <c r="E134" s="102" t="e">
        <f t="array" aca="1" ref="E134" ca="1">_xludf.XLOOKUP(A134,'QA Log'!D:D,'QA Log'!G:G,"")</f>
        <v>#NAME?</v>
      </c>
      <c r="F134" s="103"/>
      <c r="G134" s="104"/>
      <c r="H134" s="104"/>
      <c r="I134" s="103" t="str">
        <f t="shared" si="0"/>
        <v/>
      </c>
      <c r="J134" s="102" t="str">
        <f>IF(A134="","",SUM(
COUNTIFS('QA Log'!D:D,A134,'QA Log'!M:M,"QQC",'QA Log'!L:L,"*1. General Management*"),
COUNTIFS('QA Log'!D:D,A134,'QA Log'!M:M,"QQC",'QA Log'!L:L,"*3. Curative Consultation (OPD)*"),
COUNTIFS('QA Log'!D:D,A134,'QA Log'!M:M,"QQC",'QA Log'!L:L,"*5. Laboratory*"),
COUNTIFS('QA Log'!D:D,A134,'QA Log'!M:M,"QQC",'QA Log'!L:L,"*6. Essential Medicine Management*"),
COUNTIFS('QA Log'!D:D,A134,'QA Log'!M:M,"QQC",'QA Log'!L:L,"*7. Tracer Medicine*"),
COUNTIFS('QA Log'!D:D,A134,'QA Log'!M:M,"QQC",'QA Log'!L:L,"*11. Additional Questions*")))</f>
        <v/>
      </c>
      <c r="K134" s="102" t="str">
        <f>IF(A134="","",SUM(
COUNTIFS('QA Log'!D:D,A134,'QA Log'!M:M,"QQC",'QA Log'!Z:Z,"Approved",'QA Log'!L:L,"*1. General Management*"),
COUNTIFS('QA Log'!D:D,A134,'QA Log'!M:M,"QQC",'QA Log'!Z:Z,"Approved",'QA Log'!L:L,"*3. Curative Consultation (OPD)*"),
COUNTIFS('QA Log'!D:D,A134,'QA Log'!M:M,"QQC",'QA Log'!Z:Z,"Approved",'QA Log'!L:L,"*5. Laboratory*"),
COUNTIFS('QA Log'!D:D,A134,'QA Log'!M:M,"QQC",'QA Log'!Z:Z,"Approved",'QA Log'!L:L,"*6. Essential Medicine Management*"),
COUNTIFS('QA Log'!D:D,A134,'QA Log'!M:M,"QQC",'QA Log'!Z:Z,"Approved",'QA Log'!L:L,"*7. Tracer Medicine*"),
COUNTIFS('QA Log'!D:D,A134,'QA Log'!M:M,"QQC",'QA Log'!Z:Z,"Approved",'QA Log'!L:L,"*11. Additional Questions*")))</f>
        <v/>
      </c>
      <c r="L134" s="105" t="str">
        <f>IF(A134&lt;&gt;"",COUNTIFS('QA Log'!D:D,A134,'QA Log'!M:M,"QQC",'QA Log'!L:L,"1. General Management",'QA Log'!Z:Z,"Approved"),"")</f>
        <v/>
      </c>
      <c r="M134" s="105" t="str">
        <f>IF(A134&lt;&gt;"",COUNTIFS('QA Log'!D:D,A134,'QA Log'!M:M,"QQC",'QA Log'!L:L,"3. Curative Consultation (OPD)",'QA Log'!Z:Z,"Approved"),"")</f>
        <v/>
      </c>
      <c r="N134" s="105" t="str">
        <f>IF(A134&lt;&gt;"",COUNTIFS('QA Log'!D:D,A134,'QA Log'!M:M,"QQC",'QA Log'!L:L,"5. Laboratory",'QA Log'!Z:Z,"Approved"),"")</f>
        <v/>
      </c>
      <c r="O134" s="105" t="str">
        <f>IF(A134&lt;&gt;"",COUNTIFS('QA Log'!D:D,A134,'QA Log'!M:M,"QQC",'QA Log'!L:L,"6. Essential Medicine Management",'QA Log'!Z:Z,"Approved"),"")</f>
        <v/>
      </c>
      <c r="P134" s="105" t="str">
        <f>IF(A134&lt;&gt;"",COUNTIFS('QA Log'!D:D,A134,'QA Log'!M:M,"QQC",'QA Log'!L:L,"7. Tracer Medicine",'QA Log'!Z:Z,"Approved"),"")</f>
        <v/>
      </c>
      <c r="Q134" s="105" t="str">
        <f>IF(A134&lt;&gt;"",COUNTIFS('QA Log'!D:D,A134,'QA Log'!M:M,"QQC",'QA Log'!L:L,"11. Additional Questions",'QA Log'!Z:Z,"Approved"),"")</f>
        <v/>
      </c>
      <c r="R134" s="102" t="str">
        <f>IF(A134="","",SUM(
COUNTIFS('QA Log'!D:D,A134,'QA Log'!M:M,"QQC",'QA Log'!Z:Z,"Rejected",'QA Log'!L:L,"*8. Maternity*"),
COUNTIFS('QA Log'!D:D,A134,'QA Log'!M:M,"QQC",'QA Log'!Z:Z,"Rejected",'QA Log'!L:L,"*EPI*"),
COUNTIFS('QA Log'!D:D,A134,'QA Log'!M:M,"QQC",'QA Log'!Z:Z,"Rejected",'QA Log'!L:L,"*10. Antenatal Care (ANC)*"),
COUNTIFS('QA Log'!D:D,A134,'QA Log'!M:M,"QQC",'QA Log'!Z:Z,"Rejected",'QA Log'!L:L,"*2. Hygiene and Sterilization*"),
COUNTIFS('QA Log'!D:D,A134,'QA Log'!M:M,"QQC",'QA Log'!Z:Z,"Rejected",'QA Log'!L:L,"*Family Planning*")))</f>
        <v/>
      </c>
      <c r="S134" s="106" t="str">
        <f t="shared" si="1"/>
        <v/>
      </c>
      <c r="T134" s="102" t="str">
        <f t="shared" si="2"/>
        <v/>
      </c>
      <c r="U134" s="102" t="str">
        <f>IF(A134="","",
SUM(
COUNTIFS('QA Log'!D:D,A134,'QA Log'!M:M,"QQC",'QA Log'!L:L,"*8. Maternity*"),
COUNTIFS('QA Log'!D:D,A134,'QA Log'!M:M,"QQC",'QA Log'!L:L,"*9. EPI and Pre-school Consultation*"),
COUNTIFS('QA Log'!D:D,A134,'QA Log'!M:M,"QQC",'QA Log'!L:L,"*10. Antenatal Care (ANC)*"),
COUNTIFS('QA Log'!D:D,A134,'QA Log'!M:M,"QQC",'QA Log'!L:L,"*2. Hygiene and Sterilization*"),
COUNTIFS('QA Log'!D:D,A134,'QA Log'!M:M,"QQC",'QA Log'!L:L,"*4. Family Planning*")
))</f>
        <v/>
      </c>
      <c r="V134" s="102" t="str">
        <f>IF(A134="","",
SUM(
COUNTIFS('QA Log'!D:D,A134,'QA Log'!M:M,"QQC",'QA Log'!Z:Z,"Approved",'QA Log'!L:L,"*8. Maternity*"),
COUNTIFS('QA Log'!D:D,A134,'QA Log'!M:M,"QQC",'QA Log'!Z:Z,"Approved",'QA Log'!L:L,"*9. EPI and Pre-school Consultation*"),
COUNTIFS('QA Log'!D:D,A134,'QA Log'!M:M,"QQC",'QA Log'!Z:Z,"Approved",'QA Log'!L:L,"*10. Antenatal Care (ANC)*"),
COUNTIFS('QA Log'!D:D,A134,'QA Log'!M:M,"QQC",'QA Log'!Z:Z,"Approved",'QA Log'!L:L,"*2. Hygiene and Sterilization*"),
COUNTIFS('QA Log'!D:D,A134,'QA Log'!M:M,"QQC",'QA Log'!Z:Z,"Approved",'QA Log'!L:L,"*4. Family Planning*")
))</f>
        <v/>
      </c>
      <c r="W134" s="105" t="str">
        <f>IF(A134&lt;&gt;"",COUNTIFS('QA Log'!D:D,A134,'QA Log'!M:M,"QQC",'QA Log'!L:L,"8. Maternity",'QA Log'!Z:Z,"Approved"),"")</f>
        <v/>
      </c>
      <c r="X134" s="105" t="str">
        <f>IF(A134&lt;&gt;"",COUNTIFS('QA Log'!D:D,A134,'QA Log'!M:M,"QQC",'QA Log'!L:L,"9. EPI and Pre-school Consultation",'QA Log'!Z:Z,"Approved"),"")</f>
        <v/>
      </c>
      <c r="Y134" s="105" t="str">
        <f>IF(A134&lt;&gt;"",COUNTIFS('QA Log'!D:D,A134,'QA Log'!M:M,"QQC",'QA Log'!L:L,"10. Antenatal Care (ANC)",'QA Log'!Z:Z,"Approved"),"")</f>
        <v/>
      </c>
      <c r="Z134" s="105" t="str">
        <f>IF(A134&lt;&gt;"",COUNTIFS('QA Log'!D:D,A134,'QA Log'!M:M,"QQC",'QA Log'!L:L,"2. Hygiene and Sterilization",'QA Log'!Z:Z,"Approved"),"")</f>
        <v/>
      </c>
      <c r="AA134" s="105" t="str">
        <f>IF(A134&lt;&gt;"",COUNTIFS('QA Log'!D:D,A134,'QA Log'!M:M,"QQC",'QA Log'!L:L,"4. Family Planning",'QA Log'!Z:Z,"Approved"),"")</f>
        <v/>
      </c>
      <c r="AB134" s="102" t="str">
        <f>IF(A134="","",
SUM(
COUNTIFS('QA Log'!D:D,A134,'QA Log'!M:M,"QQC",'QA Log'!Z:Z,"Rejected",'QA Log'!L:L,"*8. Maternity*"),
COUNTIFS('QA Log'!D:D,A134,'QA Log'!M:M,"QQC",'QA Log'!Z:Z,"Rejected",'QA Log'!L:L,"*9. EPI and Pre-school Consultation*"),
COUNTIFS('QA Log'!D:D,A134,'QA Log'!M:M,"QQC",'QA Log'!Z:Z,"Rejected",'QA Log'!L:L,"*10. Antenatal Care (ANC)*"),
COUNTIFS('QA Log'!D:D,A134,'QA Log'!M:M,"QQC",'QA Log'!Z:Z,"Rejected",'QA Log'!L:L,"*2. Hygiene and Sterilization*"),
COUNTIFS('QA Log'!D:D,A134,'QA Log'!M:M,"QQC",'QA Log'!Z:Z,"Rejected",'QA Log'!L:L,"*4. Family Planning*")
))</f>
        <v/>
      </c>
      <c r="AC134" s="102" t="str">
        <f t="shared" si="3"/>
        <v/>
      </c>
      <c r="AD134" s="103" t="str">
        <f t="shared" si="4"/>
        <v/>
      </c>
      <c r="AE134" s="102" t="str">
        <f>IF(A134="","",
SUM(
COUNTIFS('QA Log'!D:D,A134,'QA Log'!M:M,"Data Verification",'QA Log'!L:L,"*Medicine (section 2)*"),
COUNTIFS('QA Log'!D:D,A134,'QA Log'!M:M,"Data Verification",'QA Log'!L:L,"*Lab Testing Availability*"),
COUNTIFS('QA Log'!D:D,A134,'QA Log'!M:M,"Data Verification",'QA Log'!L:L,"*Other than P4P (section 6)*"),
COUNTIFS('QA Log'!D:D,A134,'QA Log'!M:M,"Data Verification",'QA Log'!L:L,"*Hospital Governance*")
))</f>
        <v/>
      </c>
      <c r="AF134" s="102" t="str">
        <f>IF(A134="","",
SUM(
COUNTIFS('QA Log'!D:D,A134,'QA Log'!M:M,"Data Verification",'QA Log'!Z:Z,"Approved",'QA Log'!L:L,"*Medicine (section 2)*"),
COUNTIFS('QA Log'!D:D,A134,'QA Log'!M:M,"Data Verification",'QA Log'!Z:Z,"Approved",'QA Log'!L:L,"*Lab Testing Availability*"),
COUNTIFS('QA Log'!D:D,A134,'QA Log'!M:M,"Data Verification",'QA Log'!Z:Z,"Approved",'QA Log'!L:L,"*Other than P4P (section 6)*"),
COUNTIFS('QA Log'!D:D,A134,'QA Log'!M:M,"Data Verification",'QA Log'!Z:Z,"Approved",'QA Log'!L:L,"*Hospital Governance*")
))</f>
        <v/>
      </c>
      <c r="AG134" s="105" t="str">
        <f>IF(A134&lt;&gt;"",COUNTIFS('QA Log'!D:D,A134,'QA Log'!M:M,"Data Verification",'QA Log'!L:L,"Medicine (section 2)",'QA Log'!Z:Z,"Approved"),"")</f>
        <v/>
      </c>
      <c r="AH134" s="105" t="str">
        <f>IF(A134&lt;&gt;"",COUNTIFS('QA Log'!D:D,A134,'QA Log'!M:M,"Data Verification",'QA Log'!L:L,"Lab Testing Availability",'QA Log'!Z:Z,"Approved"),"")</f>
        <v/>
      </c>
      <c r="AI134" s="105" t="str">
        <f>IF(A134&lt;&gt;"",COUNTIFS('QA Log'!D:D,A134,'QA Log'!M:M,"Data Verification",'QA Log'!L:L,"Other than P4P (section 6)",'QA Log'!Z:Z,"Approved"),"")</f>
        <v/>
      </c>
      <c r="AJ134" s="105" t="str">
        <f>IF(A134&lt;&gt;"",COUNTIFS('QA Log'!D:D,A134,'QA Log'!M:M,"Data Verification",'QA Log'!L:L,"Hospital Governance",'QA Log'!Z:Z,"Approved"),"")</f>
        <v/>
      </c>
      <c r="AK134" s="102" t="str">
        <f>IF(A134="","",
SUM(
COUNTIFS('QA Log'!D:D,A134,'QA Log'!M:M,"Data Verification",'QA Log'!Z:Z,"Rejected",'QA Log'!L:L,"*Medicine (section 2)*"),
COUNTIFS('QA Log'!D:D,A134,'QA Log'!M:M,"Data Verification",'QA Log'!Z:Z,"Rejected",'QA Log'!L:L,"*Lab Testing Availability*"),
COUNTIFS('QA Log'!D:D,A134,'QA Log'!M:M,"Data Verification",'QA Log'!Z:Z,"Rejected",'QA Log'!L:L,"*Other than P4P (section 6)*"),
COUNTIFS('QA Log'!D:D,A134,'QA Log'!M:M,"Data Verification",'QA Log'!Z:Z,"Rejected",'QA Log'!L:L,"*Hospital Governance*")
))</f>
        <v/>
      </c>
      <c r="AL134" s="106" t="str">
        <f t="shared" si="5"/>
        <v/>
      </c>
      <c r="AM134" s="102" t="str">
        <f t="shared" si="6"/>
        <v/>
      </c>
      <c r="AN134" s="102" t="str">
        <f>IF(A134="","",
SUM(
COUNTIFS('QA Log'!D:D,A134,'QA Log'!M:M,"Data Verification",'QA Log'!L:L,"*Personnel (section 1)*"),
COUNTIFS('QA Log'!D:D,A134,'QA Log'!M:M,"Data Verification",'QA Log'!L:L,"*Consumable (section 3)*"),
COUNTIFS('QA Log'!D:D,A134,'QA Log'!M:M,"Data Verification",'QA Log'!L:L,"*Equipments (section 4)*")
))</f>
        <v/>
      </c>
      <c r="AO134" s="102" t="str">
        <f>IF(A134="","",
SUM(
COUNTIFS('QA Log'!D:D,A134,'QA Log'!M:M,"Data Verification",'QA Log'!Z:Z,"Approved",'QA Log'!L:L,"*Personnel (section 1)*"),
COUNTIFS('QA Log'!D:D,A134,'QA Log'!M:M,"Data Verification",'QA Log'!Z:Z,"Approved",'QA Log'!L:L,"*Consumable (section 3)*"),
COUNTIFS('QA Log'!D:D,A134,'QA Log'!M:M,"Data Verification",'QA Log'!Z:Z,"Approved",'QA Log'!L:L,"*Equipments (section 4)*")
))</f>
        <v/>
      </c>
      <c r="AP134" s="105" t="str">
        <f>IF(A134&lt;&gt;"",COUNTIFS('QA Log'!D:D,A134,'QA Log'!M:M,"Data Verification",'QA Log'!L:L,"Personnel (section 1)",'QA Log'!Z:Z,"Approved"),"")</f>
        <v/>
      </c>
      <c r="AQ134" s="105" t="str">
        <f>IF(A134&lt;&gt;"",COUNTIFS('QA Log'!D:D,A134,'QA Log'!M:M,"Data Verification",'QA Log'!L:L,"Consumable (section 3)",'QA Log'!Z:Z,"Approved"),"")</f>
        <v/>
      </c>
      <c r="AR134" s="105" t="str">
        <f>IF(A134&lt;&gt;"",COUNTIFS('QA Log'!D:D,A134,'QA Log'!M:M,"Data Verification",'QA Log'!L:L,"Equipments (section 4)",'QA Log'!Z:Z,"Approved"),"")</f>
        <v/>
      </c>
      <c r="AS134" s="102" t="str">
        <f>IF(A134="","",
SUM(
COUNTIFS('QA Log'!D:D,A134,'QA Log'!M:M,"Data Verification",'QA Log'!Z:Z,"Rejected",'QA Log'!L:L,"*Personnel (section 1)*"),
COUNTIFS('QA Log'!D:D,A134,'QA Log'!M:M,"Data Verification",'QA Log'!Z:Z,"Rejected",'QA Log'!L:L,"*Consumable (section 3)*"),
COUNTIFS('QA Log'!D:D,A134,'QA Log'!M:M,"Data Verification",'QA Log'!Z:Z,"Rejected",'QA Log'!L:L,"*Equipments (section 4)*")
))</f>
        <v/>
      </c>
      <c r="AT134" s="102" t="str">
        <f t="shared" si="7"/>
        <v/>
      </c>
      <c r="AU134" s="103" t="str">
        <f t="shared" si="8"/>
        <v/>
      </c>
      <c r="AV134" s="102" t="str">
        <f>IF(A134="","",SUM(
COUNTIFS('QA Log'!D:D,A134,'QA Log'!M:M,"Vignette",'QA Log'!L:L,"*Vignette [1] Respiratory Infection: Pneumonia*"),
COUNTIFS('QA Log'!D:D,A134,'QA Log'!M:M,"Vignette",'QA Log'!L:L,"*Vignette [2]: Diarrhea with Cat B dehydration*"),
COUNTIFS('QA Log'!D:D,A134,'QA Log'!M:M,"Vignette",'QA Log'!L:L,"*Vignette [3] Growth Monitoring and Promotion*"),
COUNTIFS('QA Log'!D:D,A134,'QA Log'!M:M,"Vignette",'QA Log'!L:L,"*Vignette [4]: The management of presumptive TB patient*")
)
)</f>
        <v/>
      </c>
      <c r="AW134" s="102" t="str">
        <f>IF(
  A134="","",
  SUM(
    COUNTIFS('QA Log'!D:D,A134,'QA Log'!M:M,"Vignette",'QA Log'!Z:Z,"Approved",'QA Log'!L:L,"*Vignette [1] Respiratory Infection: Pneumonia*"),
    COUNTIFS('QA Log'!D:D,A134,'QA Log'!M:M,"Vignette",'QA Log'!Z:Z,"Approved",'QA Log'!L:L,"*Vignette [2]: Diarrhea with Cat B dehydration*"),
    COUNTIFS('QA Log'!D:D,A134,'QA Log'!M:M,"Vignette",'QA Log'!Z:Z,"Approved",'QA Log'!L:L,"*Vignette [3] Growth Monitoring and Promotion*"),
    COUNTIFS('QA Log'!D:D,A134,'QA Log'!M:M,"Vignette",'QA Log'!Z:Z,"Approved",'QA Log'!L:L,"*Vignette [4]: The management of presumptive TB patient*")
  )
)</f>
        <v/>
      </c>
      <c r="AX134" s="105" t="str">
        <f>IF(A134&lt;&gt;"",COUNTIFS('QA Log'!D:D,A134,'QA Log'!M:M,"Vignette",'QA Log'!L:L,"Vignette [1] Respiratory Infection: Pneumonia",'QA Log'!Z:Z,"Approved"),"")</f>
        <v/>
      </c>
      <c r="AY134" s="105" t="str">
        <f>IF(A134&lt;&gt;"",COUNTIFS('QA Log'!D:D,A134,'QA Log'!M:M,"Vignette",'QA Log'!L:L,"Vignette [2]: Diarrhea with Cat B dehydration",'QA Log'!Z:Z,"Approved"),"")</f>
        <v/>
      </c>
      <c r="AZ134" s="105" t="str">
        <f>IF(A134&lt;&gt;"",COUNTIFS('QA Log'!D:D,A134,'QA Log'!M:M,"Vignette",'QA Log'!L:L,"Vignette [3] Growth Monitoring and Promotion",'QA Log'!Z:Z,"Approved"),"")</f>
        <v/>
      </c>
      <c r="BA134" s="105" t="str">
        <f>IF(A134&lt;&gt;"",COUNTIFS('QA Log'!D:D,A134,'QA Log'!M:M,"Vignette",'QA Log'!L:L,"Vignette [4]: The management of presumptive TB patient",'QA Log'!Z:Z,"Approved"),"")</f>
        <v/>
      </c>
      <c r="BB134" s="102" t="str">
        <f>IF(A134="","",
  SUM(
    COUNTIFS('QA Log'!D:D,A134,'QA Log'!M:M,"Vignette",'QA Log'!Z:Z,"Rejected",'QA Log'!L:L,"*Vignette [1] Respiratory Infection: Pneumonia*"),
    COUNTIFS('QA Log'!D:D,A134,'QA Log'!M:M,"Vignette",'QA Log'!Z:Z,"Rejected",'QA Log'!L:L,"*Vignette [2]: Diarrhea with Cat B dehydration*"),
    COUNTIFS('QA Log'!D:D,A134,'QA Log'!M:M,"Vignette",'QA Log'!Z:Z,"Rejected",'QA Log'!L:L,"*Vignette [3] Growth Monitoring and Promotion*"),
    COUNTIFS('QA Log'!D:D,A134,'QA Log'!M:M,"Vignette",'QA Log'!Z:Z,"Rejected",'QA Log'!L:L,"*Vignette [4]: The management of presumptive TB patient*")
  )
)</f>
        <v/>
      </c>
      <c r="BC134" s="107" t="str">
        <f t="shared" si="9"/>
        <v/>
      </c>
      <c r="BD134" s="103" t="str">
        <f t="shared" si="10"/>
        <v/>
      </c>
      <c r="BE134" s="102" t="str">
        <f>IF(A134="","",SUM(
COUNTIFS('QA Log'!D:D,A134,'QA Log'!M:M,"Vignette",'QA Log'!L:L,"*Vignette [5] Labor*"),
COUNTIFS('QA Log'!D:D,A134,'QA Log'!M:M,"Vignette",'QA Log'!L:L,"*Vignette [6] PNC pre Discharge*"),
COUNTIFS('QA Log'!D:D,A134,'QA Log'!M:M,"Vignette",'QA Log'!L:L,"*Vignette [7] First ANC Visit*"),
COUNTIFS('QA Log'!D:D,A134,'QA Log'!M:M,"Vignette",'QA Log'!L:L,"*Vignette [8] Birth Spacing/ Family Planning :  FP Counselling*"),
COUNTIFS('QA Log'!D:D,A134,'QA Log'!M:M,"Vignette",'QA Log'!L:L,"*Vignette [9] Birth Spacing: Change FP method to Injectable*"),
COUNTIFS('QA Log'!D:D,A134,'QA Log'!M:M,"Vignette",'QA Log'!L:L,"*Vignette [10] Post Partum Haemorrhage - Atonic Uterus at Health Centre*"),
)
)</f>
        <v/>
      </c>
      <c r="BF134" s="102" t="str">
        <f>IF(A134="","",
  SUM(
    COUNTIFS('QA Log'!D:D,A134,'QA Log'!M:M,"Vignette",'QA Log'!Z:Z,"Approved",'QA Log'!L:L,"*Vignette [5] Labor*"),
    COUNTIFS('QA Log'!D:D,A134,'QA Log'!M:M,"Vignette",'QA Log'!Z:Z,"Approved",'QA Log'!L:L,"*Vignette [6] PNC pre Discharge*"),
    COUNTIFS('QA Log'!D:D,A134,'QA Log'!M:M,"Vignette",'QA Log'!Z:Z,"Approved",'QA Log'!L:L,"*Vignette [7] First ANC Visit*"),
    COUNTIFS('QA Log'!D:D,A134,'QA Log'!M:M,"Vignette",'QA Log'!Z:Z,"Approved",'QA Log'!L:L,"*Vignette [8] Birth Spacing/ Family Planning :  FP Counselling*"),
    COUNTIFS('QA Log'!D:D,A134,'QA Log'!M:M,"Vignette",'QA Log'!Z:Z,"Approved",'QA Log'!L:L,"*Vignette [9] Birth Spacing: Change FP method to Injectable*"),
    COUNTIFS('QA Log'!D:D,A134,'QA Log'!M:M,"Vignette",'QA Log'!Z:Z,"Approved",'QA Log'!L:L,"*Vignette [10] Post Partum Haemorrhage - Atonic Uterus at Health Centre*")
  )
)</f>
        <v/>
      </c>
      <c r="BG134" s="105" t="str">
        <f>IF(A134&lt;&gt;"",COUNTIFS('QA Log'!D:D,A134,'QA Log'!M:M,"Vignette",'QA Log'!L:L,"Vignette [5] Labor",'QA Log'!Z:Z,"Approved"),"")</f>
        <v/>
      </c>
      <c r="BH134" s="105" t="str">
        <f>IF(A134&lt;&gt;"",COUNTIFS('QA Log'!D:D,A134,'QA Log'!M:M,"Vignette",'QA Log'!L:L,"Vignette [6] PNC pre Discharge",'QA Log'!Z:Z,"Approved"),"")</f>
        <v/>
      </c>
      <c r="BI134" s="105" t="str">
        <f>IF(A134&lt;&gt;"",COUNTIFS('QA Log'!D:D,A134,'QA Log'!M:M,"Vignette",'QA Log'!L:L,"Vignette [7] First ANC Visit",'QA Log'!Z:Z,"Approved"),"")</f>
        <v/>
      </c>
      <c r="BJ134" s="105" t="str">
        <f>IF(A134&lt;&gt;"",COUNTIFS('QA Log'!D:D,A134,'QA Log'!M:M,"Vignette",'QA Log'!L:L,"Vignette [8] Birth Spacing/ Family Planning :  FP Counselling",'QA Log'!Z:Z,"Approved"),"")</f>
        <v/>
      </c>
      <c r="BK134" s="105" t="str">
        <f>IF(A134&lt;&gt;"",COUNTIFS('QA Log'!D:D,A134,'QA Log'!M:M,"Vignette",'QA Log'!L:L,"Vignette [9] Birth Spacing: Change FP method to Injectable",'QA Log'!Z:Z,"Approved"),"")</f>
        <v/>
      </c>
      <c r="BL134" s="105" t="str">
        <f>IF(A134&lt;&gt;"",COUNTIFS('QA Log'!D:D,A134,'QA Log'!M:M,"Vignette",'QA Log'!L:L,"Vignette [10] Post Partum Haemorrhage - Atonic Uterus at Health Centre",'QA Log'!Z:Z,"Approved"),"")</f>
        <v/>
      </c>
      <c r="BM134" s="102" t="str">
        <f>IF(A134="","",SUM(
    COUNTIFS('QA Log'!D:D,A134,'QA Log'!M:M,"Vignette",'QA Log'!Z:Z,"Rejected",'QA Log'!L:L,"*Vignette [5] Labor*"),
    COUNTIFS('QA Log'!D:D,A134,'QA Log'!M:M,"Vignette",'QA Log'!Z:Z,"Rejected",'QA Log'!L:L,"*Vignette [6] PNC pre Discharge*"),
    COUNTIFS('QA Log'!D:D,A134,'QA Log'!M:M,"Vignette",'QA Log'!Z:Z,"Rejected",'QA Log'!L:L,"*Vignette [7] First ANC Visit*"),
    COUNTIFS('QA Log'!D:D,A134,'QA Log'!M:M,"Vignette",'QA Log'!Z:Z,"Rejected",'QA Log'!L:L,"*Vignette [8] Birth Spacing/ Family Planning :  FP Counselling*"),
    COUNTIFS('QA Log'!D:D,A134,'QA Log'!M:M,"Vignette",'QA Log'!Z:Z,"Rejected",'QA Log'!L:L,"*Vignette [9] Birth Spacing: Change FP method to Injectable*"),
    COUNTIFS('QA Log'!D:D,A134,'QA Log'!M:M,"Vignette",'QA Log'!Z:Z,"Rejected",'QA Log'!L:L,"*Vignette [10] Post Partum Haemorrhage - Atonic Uterus at Health Centre*")
  )
)</f>
        <v/>
      </c>
      <c r="BN134" s="107" t="str">
        <f t="shared" si="11"/>
        <v/>
      </c>
      <c r="BO134" s="103" t="str">
        <f t="shared" si="12"/>
        <v/>
      </c>
      <c r="BP134" s="102" t="str">
        <f>IF(A134="","",SUM(
COUNTIFS('QA Log'!D:D,A134,'QA Log'!M:M,"Vignette",'QA Log'!L:L,"*Exit Interview 1*"),
COUNTIFS('QA Log'!D:D,A134,'QA Log'!M:M,"Vignette",'QA Log'!L:L,"*Exit Interview 2*"),
)
)</f>
        <v/>
      </c>
      <c r="BQ134" s="102" t="str">
        <f>IF(
  A134="","",
  SUM(
    COUNTIFS('QA Log'!D:D,A134,'QA Log'!M:M,"Vignette",'QA Log'!Z:Z,"Approved",'QA Log'!L:L,"*Exit Interview 1*"),
    COUNTIFS('QA Log'!D:D,A134,'QA Log'!M:M,"Vignette",'QA Log'!Z:Z,"Approved",'QA Log'!L:L,"*Exit Interview 2*")
  )
)</f>
        <v/>
      </c>
      <c r="BR134" s="105" t="str">
        <f>IF(A134&lt;&gt;"",COUNTIFS('QA Log'!D:D,A134,'QA Log'!M:M,"Vignette",'QA Log'!L:L,"Exit Interview 1",'QA Log'!Z:Z,"Approved"),"")</f>
        <v/>
      </c>
      <c r="BS134" s="105" t="str">
        <f>IF(A134&lt;&gt;"",COUNTIFS('QA Log'!D:D,A134,'QA Log'!M:M,"Vignette",'QA Log'!L:L,"Exit Interview 2",'QA Log'!Z:Z,"Approved"),"")</f>
        <v/>
      </c>
      <c r="BT134" s="102" t="str">
        <f>IF(
  A134="","",
  SUM(
    COUNTIFS('QA Log'!D:D,A134,'QA Log'!M:M,"Vignette",'QA Log'!Z:Z,"Rejected",'QA Log'!L:L,"*Exit Interview 1*"),
    COUNTIFS('QA Log'!D:D,A134,'QA Log'!M:M,"Vignette",'QA Log'!Z:Z,"Rejected",'QA Log'!L:L,"*Exit Interview 2*")
  )
)</f>
        <v/>
      </c>
      <c r="BU134" s="107" t="str">
        <f t="shared" si="13"/>
        <v/>
      </c>
      <c r="BV134" s="102" t="str">
        <f t="shared" si="14"/>
        <v/>
      </c>
      <c r="BW134" s="102" t="str">
        <f t="shared" si="15"/>
        <v/>
      </c>
      <c r="BX134" s="102" t="str">
        <f t="shared" si="16"/>
        <v/>
      </c>
      <c r="BY134" s="102" t="str">
        <f t="shared" si="17"/>
        <v/>
      </c>
      <c r="BZ134" s="107" t="str">
        <f t="shared" si="18"/>
        <v/>
      </c>
      <c r="CA134" s="108" t="str">
        <f t="shared" si="19"/>
        <v/>
      </c>
      <c r="CB134" s="108" t="str">
        <f t="shared" si="20"/>
        <v/>
      </c>
      <c r="CC134" s="109" t="str">
        <f t="shared" si="21"/>
        <v/>
      </c>
      <c r="CD134" s="108" t="str">
        <f t="shared" si="22"/>
        <v/>
      </c>
      <c r="CE134" s="108" t="str">
        <f t="shared" si="23"/>
        <v/>
      </c>
      <c r="CF134" s="109" t="str">
        <f t="shared" si="24"/>
        <v/>
      </c>
      <c r="CG134" s="110" t="str">
        <f t="shared" si="25"/>
        <v/>
      </c>
      <c r="CH134" s="111"/>
    </row>
    <row r="135" spans="1:86" ht="12.75">
      <c r="A135" s="101"/>
      <c r="B135" s="102" t="e">
        <f t="array" aca="1" ref="B135" ca="1">_xludf.XLOOKUP(A135,'QA Log'!D:D,'QA Log'!E:E,"")</f>
        <v>#NAME?</v>
      </c>
      <c r="C135" s="102" t="e">
        <f t="array" aca="1" ref="C135" ca="1">_xludf.XLOOKUP(A135,'QA Log'!D:D,'QA Log'!F:F,"")</f>
        <v>#NAME?</v>
      </c>
      <c r="D135" s="102" t="e">
        <f t="array" aca="1" ref="D135" ca="1">_xludf.XLOOKUP(A135,'QA Log'!D:D,'QA Log'!H:H,"")</f>
        <v>#NAME?</v>
      </c>
      <c r="E135" s="102" t="e">
        <f t="array" aca="1" ref="E135" ca="1">_xludf.XLOOKUP(A135,'QA Log'!D:D,'QA Log'!G:G,"")</f>
        <v>#NAME?</v>
      </c>
      <c r="F135" s="103"/>
      <c r="G135" s="104"/>
      <c r="H135" s="104"/>
      <c r="I135" s="103" t="str">
        <f t="shared" si="0"/>
        <v/>
      </c>
      <c r="J135" s="102" t="str">
        <f>IF(A135="","",SUM(
COUNTIFS('QA Log'!D:D,A135,'QA Log'!M:M,"QQC",'QA Log'!L:L,"*1. General Management*"),
COUNTIFS('QA Log'!D:D,A135,'QA Log'!M:M,"QQC",'QA Log'!L:L,"*3. Curative Consultation (OPD)*"),
COUNTIFS('QA Log'!D:D,A135,'QA Log'!M:M,"QQC",'QA Log'!L:L,"*5. Laboratory*"),
COUNTIFS('QA Log'!D:D,A135,'QA Log'!M:M,"QQC",'QA Log'!L:L,"*6. Essential Medicine Management*"),
COUNTIFS('QA Log'!D:D,A135,'QA Log'!M:M,"QQC",'QA Log'!L:L,"*7. Tracer Medicine*"),
COUNTIFS('QA Log'!D:D,A135,'QA Log'!M:M,"QQC",'QA Log'!L:L,"*11. Additional Questions*")))</f>
        <v/>
      </c>
      <c r="K135" s="102" t="str">
        <f>IF(A135="","",SUM(
COUNTIFS('QA Log'!D:D,A135,'QA Log'!M:M,"QQC",'QA Log'!Z:Z,"Approved",'QA Log'!L:L,"*1. General Management*"),
COUNTIFS('QA Log'!D:D,A135,'QA Log'!M:M,"QQC",'QA Log'!Z:Z,"Approved",'QA Log'!L:L,"*3. Curative Consultation (OPD)*"),
COUNTIFS('QA Log'!D:D,A135,'QA Log'!M:M,"QQC",'QA Log'!Z:Z,"Approved",'QA Log'!L:L,"*5. Laboratory*"),
COUNTIFS('QA Log'!D:D,A135,'QA Log'!M:M,"QQC",'QA Log'!Z:Z,"Approved",'QA Log'!L:L,"*6. Essential Medicine Management*"),
COUNTIFS('QA Log'!D:D,A135,'QA Log'!M:M,"QQC",'QA Log'!Z:Z,"Approved",'QA Log'!L:L,"*7. Tracer Medicine*"),
COUNTIFS('QA Log'!D:D,A135,'QA Log'!M:M,"QQC",'QA Log'!Z:Z,"Approved",'QA Log'!L:L,"*11. Additional Questions*")))</f>
        <v/>
      </c>
      <c r="L135" s="105" t="str">
        <f>IF(A135&lt;&gt;"",COUNTIFS('QA Log'!D:D,A135,'QA Log'!M:M,"QQC",'QA Log'!L:L,"1. General Management",'QA Log'!Z:Z,"Approved"),"")</f>
        <v/>
      </c>
      <c r="M135" s="105" t="str">
        <f>IF(A135&lt;&gt;"",COUNTIFS('QA Log'!D:D,A135,'QA Log'!M:M,"QQC",'QA Log'!L:L,"3. Curative Consultation (OPD)",'QA Log'!Z:Z,"Approved"),"")</f>
        <v/>
      </c>
      <c r="N135" s="105" t="str">
        <f>IF(A135&lt;&gt;"",COUNTIFS('QA Log'!D:D,A135,'QA Log'!M:M,"QQC",'QA Log'!L:L,"5. Laboratory",'QA Log'!Z:Z,"Approved"),"")</f>
        <v/>
      </c>
      <c r="O135" s="105" t="str">
        <f>IF(A135&lt;&gt;"",COUNTIFS('QA Log'!D:D,A135,'QA Log'!M:M,"QQC",'QA Log'!L:L,"6. Essential Medicine Management",'QA Log'!Z:Z,"Approved"),"")</f>
        <v/>
      </c>
      <c r="P135" s="105" t="str">
        <f>IF(A135&lt;&gt;"",COUNTIFS('QA Log'!D:D,A135,'QA Log'!M:M,"QQC",'QA Log'!L:L,"7. Tracer Medicine",'QA Log'!Z:Z,"Approved"),"")</f>
        <v/>
      </c>
      <c r="Q135" s="105" t="str">
        <f>IF(A135&lt;&gt;"",COUNTIFS('QA Log'!D:D,A135,'QA Log'!M:M,"QQC",'QA Log'!L:L,"11. Additional Questions",'QA Log'!Z:Z,"Approved"),"")</f>
        <v/>
      </c>
      <c r="R135" s="102" t="str">
        <f>IF(A135="","",SUM(
COUNTIFS('QA Log'!D:D,A135,'QA Log'!M:M,"QQC",'QA Log'!Z:Z,"Rejected",'QA Log'!L:L,"*8. Maternity*"),
COUNTIFS('QA Log'!D:D,A135,'QA Log'!M:M,"QQC",'QA Log'!Z:Z,"Rejected",'QA Log'!L:L,"*EPI*"),
COUNTIFS('QA Log'!D:D,A135,'QA Log'!M:M,"QQC",'QA Log'!Z:Z,"Rejected",'QA Log'!L:L,"*10. Antenatal Care (ANC)*"),
COUNTIFS('QA Log'!D:D,A135,'QA Log'!M:M,"QQC",'QA Log'!Z:Z,"Rejected",'QA Log'!L:L,"*2. Hygiene and Sterilization*"),
COUNTIFS('QA Log'!D:D,A135,'QA Log'!M:M,"QQC",'QA Log'!Z:Z,"Rejected",'QA Log'!L:L,"*Family Planning*")))</f>
        <v/>
      </c>
      <c r="S135" s="106" t="str">
        <f t="shared" si="1"/>
        <v/>
      </c>
      <c r="T135" s="102" t="str">
        <f t="shared" si="2"/>
        <v/>
      </c>
      <c r="U135" s="102" t="str">
        <f>IF(A135="","",
SUM(
COUNTIFS('QA Log'!D:D,A135,'QA Log'!M:M,"QQC",'QA Log'!L:L,"*8. Maternity*"),
COUNTIFS('QA Log'!D:D,A135,'QA Log'!M:M,"QQC",'QA Log'!L:L,"*9. EPI and Pre-school Consultation*"),
COUNTIFS('QA Log'!D:D,A135,'QA Log'!M:M,"QQC",'QA Log'!L:L,"*10. Antenatal Care (ANC)*"),
COUNTIFS('QA Log'!D:D,A135,'QA Log'!M:M,"QQC",'QA Log'!L:L,"*2. Hygiene and Sterilization*"),
COUNTIFS('QA Log'!D:D,A135,'QA Log'!M:M,"QQC",'QA Log'!L:L,"*4. Family Planning*")
))</f>
        <v/>
      </c>
      <c r="V135" s="102" t="str">
        <f>IF(A135="","",
SUM(
COUNTIFS('QA Log'!D:D,A135,'QA Log'!M:M,"QQC",'QA Log'!Z:Z,"Approved",'QA Log'!L:L,"*8. Maternity*"),
COUNTIFS('QA Log'!D:D,A135,'QA Log'!M:M,"QQC",'QA Log'!Z:Z,"Approved",'QA Log'!L:L,"*9. EPI and Pre-school Consultation*"),
COUNTIFS('QA Log'!D:D,A135,'QA Log'!M:M,"QQC",'QA Log'!Z:Z,"Approved",'QA Log'!L:L,"*10. Antenatal Care (ANC)*"),
COUNTIFS('QA Log'!D:D,A135,'QA Log'!M:M,"QQC",'QA Log'!Z:Z,"Approved",'QA Log'!L:L,"*2. Hygiene and Sterilization*"),
COUNTIFS('QA Log'!D:D,A135,'QA Log'!M:M,"QQC",'QA Log'!Z:Z,"Approved",'QA Log'!L:L,"*4. Family Planning*")
))</f>
        <v/>
      </c>
      <c r="W135" s="105" t="str">
        <f>IF(A135&lt;&gt;"",COUNTIFS('QA Log'!D:D,A135,'QA Log'!M:M,"QQC",'QA Log'!L:L,"8. Maternity",'QA Log'!Z:Z,"Approved"),"")</f>
        <v/>
      </c>
      <c r="X135" s="105" t="str">
        <f>IF(A135&lt;&gt;"",COUNTIFS('QA Log'!D:D,A135,'QA Log'!M:M,"QQC",'QA Log'!L:L,"9. EPI and Pre-school Consultation",'QA Log'!Z:Z,"Approved"),"")</f>
        <v/>
      </c>
      <c r="Y135" s="105" t="str">
        <f>IF(A135&lt;&gt;"",COUNTIFS('QA Log'!D:D,A135,'QA Log'!M:M,"QQC",'QA Log'!L:L,"10. Antenatal Care (ANC)",'QA Log'!Z:Z,"Approved"),"")</f>
        <v/>
      </c>
      <c r="Z135" s="105" t="str">
        <f>IF(A135&lt;&gt;"",COUNTIFS('QA Log'!D:D,A135,'QA Log'!M:M,"QQC",'QA Log'!L:L,"2. Hygiene and Sterilization",'QA Log'!Z:Z,"Approved"),"")</f>
        <v/>
      </c>
      <c r="AA135" s="105" t="str">
        <f>IF(A135&lt;&gt;"",COUNTIFS('QA Log'!D:D,A135,'QA Log'!M:M,"QQC",'QA Log'!L:L,"4. Family Planning",'QA Log'!Z:Z,"Approved"),"")</f>
        <v/>
      </c>
      <c r="AB135" s="102" t="str">
        <f>IF(A135="","",
SUM(
COUNTIFS('QA Log'!D:D,A135,'QA Log'!M:M,"QQC",'QA Log'!Z:Z,"Rejected",'QA Log'!L:L,"*8. Maternity*"),
COUNTIFS('QA Log'!D:D,A135,'QA Log'!M:M,"QQC",'QA Log'!Z:Z,"Rejected",'QA Log'!L:L,"*9. EPI and Pre-school Consultation*"),
COUNTIFS('QA Log'!D:D,A135,'QA Log'!M:M,"QQC",'QA Log'!Z:Z,"Rejected",'QA Log'!L:L,"*10. Antenatal Care (ANC)*"),
COUNTIFS('QA Log'!D:D,A135,'QA Log'!M:M,"QQC",'QA Log'!Z:Z,"Rejected",'QA Log'!L:L,"*2. Hygiene and Sterilization*"),
COUNTIFS('QA Log'!D:D,A135,'QA Log'!M:M,"QQC",'QA Log'!Z:Z,"Rejected",'QA Log'!L:L,"*4. Family Planning*")
))</f>
        <v/>
      </c>
      <c r="AC135" s="102" t="str">
        <f t="shared" si="3"/>
        <v/>
      </c>
      <c r="AD135" s="103" t="str">
        <f t="shared" si="4"/>
        <v/>
      </c>
      <c r="AE135" s="102" t="str">
        <f>IF(A135="","",
SUM(
COUNTIFS('QA Log'!D:D,A135,'QA Log'!M:M,"Data Verification",'QA Log'!L:L,"*Medicine (section 2)*"),
COUNTIFS('QA Log'!D:D,A135,'QA Log'!M:M,"Data Verification",'QA Log'!L:L,"*Lab Testing Availability*"),
COUNTIFS('QA Log'!D:D,A135,'QA Log'!M:M,"Data Verification",'QA Log'!L:L,"*Other than P4P (section 6)*"),
COUNTIFS('QA Log'!D:D,A135,'QA Log'!M:M,"Data Verification",'QA Log'!L:L,"*Hospital Governance*")
))</f>
        <v/>
      </c>
      <c r="AF135" s="102" t="str">
        <f>IF(A135="","",
SUM(
COUNTIFS('QA Log'!D:D,A135,'QA Log'!M:M,"Data Verification",'QA Log'!Z:Z,"Approved",'QA Log'!L:L,"*Medicine (section 2)*"),
COUNTIFS('QA Log'!D:D,A135,'QA Log'!M:M,"Data Verification",'QA Log'!Z:Z,"Approved",'QA Log'!L:L,"*Lab Testing Availability*"),
COUNTIFS('QA Log'!D:D,A135,'QA Log'!M:M,"Data Verification",'QA Log'!Z:Z,"Approved",'QA Log'!L:L,"*Other than P4P (section 6)*"),
COUNTIFS('QA Log'!D:D,A135,'QA Log'!M:M,"Data Verification",'QA Log'!Z:Z,"Approved",'QA Log'!L:L,"*Hospital Governance*")
))</f>
        <v/>
      </c>
      <c r="AG135" s="105" t="str">
        <f>IF(A135&lt;&gt;"",COUNTIFS('QA Log'!D:D,A135,'QA Log'!M:M,"Data Verification",'QA Log'!L:L,"Medicine (section 2)",'QA Log'!Z:Z,"Approved"),"")</f>
        <v/>
      </c>
      <c r="AH135" s="105" t="str">
        <f>IF(A135&lt;&gt;"",COUNTIFS('QA Log'!D:D,A135,'QA Log'!M:M,"Data Verification",'QA Log'!L:L,"Lab Testing Availability",'QA Log'!Z:Z,"Approved"),"")</f>
        <v/>
      </c>
      <c r="AI135" s="105" t="str">
        <f>IF(A135&lt;&gt;"",COUNTIFS('QA Log'!D:D,A135,'QA Log'!M:M,"Data Verification",'QA Log'!L:L,"Other than P4P (section 6)",'QA Log'!Z:Z,"Approved"),"")</f>
        <v/>
      </c>
      <c r="AJ135" s="105" t="str">
        <f>IF(A135&lt;&gt;"",COUNTIFS('QA Log'!D:D,A135,'QA Log'!M:M,"Data Verification",'QA Log'!L:L,"Hospital Governance",'QA Log'!Z:Z,"Approved"),"")</f>
        <v/>
      </c>
      <c r="AK135" s="102" t="str">
        <f>IF(A135="","",
SUM(
COUNTIFS('QA Log'!D:D,A135,'QA Log'!M:M,"Data Verification",'QA Log'!Z:Z,"Rejected",'QA Log'!L:L,"*Medicine (section 2)*"),
COUNTIFS('QA Log'!D:D,A135,'QA Log'!M:M,"Data Verification",'QA Log'!Z:Z,"Rejected",'QA Log'!L:L,"*Lab Testing Availability*"),
COUNTIFS('QA Log'!D:D,A135,'QA Log'!M:M,"Data Verification",'QA Log'!Z:Z,"Rejected",'QA Log'!L:L,"*Other than P4P (section 6)*"),
COUNTIFS('QA Log'!D:D,A135,'QA Log'!M:M,"Data Verification",'QA Log'!Z:Z,"Rejected",'QA Log'!L:L,"*Hospital Governance*")
))</f>
        <v/>
      </c>
      <c r="AL135" s="106" t="str">
        <f t="shared" si="5"/>
        <v/>
      </c>
      <c r="AM135" s="102" t="str">
        <f t="shared" si="6"/>
        <v/>
      </c>
      <c r="AN135" s="102" t="str">
        <f>IF(A135="","",
SUM(
COUNTIFS('QA Log'!D:D,A135,'QA Log'!M:M,"Data Verification",'QA Log'!L:L,"*Personnel (section 1)*"),
COUNTIFS('QA Log'!D:D,A135,'QA Log'!M:M,"Data Verification",'QA Log'!L:L,"*Consumable (section 3)*"),
COUNTIFS('QA Log'!D:D,A135,'QA Log'!M:M,"Data Verification",'QA Log'!L:L,"*Equipments (section 4)*")
))</f>
        <v/>
      </c>
      <c r="AO135" s="102" t="str">
        <f>IF(A135="","",
SUM(
COUNTIFS('QA Log'!D:D,A135,'QA Log'!M:M,"Data Verification",'QA Log'!Z:Z,"Approved",'QA Log'!L:L,"*Personnel (section 1)*"),
COUNTIFS('QA Log'!D:D,A135,'QA Log'!M:M,"Data Verification",'QA Log'!Z:Z,"Approved",'QA Log'!L:L,"*Consumable (section 3)*"),
COUNTIFS('QA Log'!D:D,A135,'QA Log'!M:M,"Data Verification",'QA Log'!Z:Z,"Approved",'QA Log'!L:L,"*Equipments (section 4)*")
))</f>
        <v/>
      </c>
      <c r="AP135" s="105" t="str">
        <f>IF(A135&lt;&gt;"",COUNTIFS('QA Log'!D:D,A135,'QA Log'!M:M,"Data Verification",'QA Log'!L:L,"Personnel (section 1)",'QA Log'!Z:Z,"Approved"),"")</f>
        <v/>
      </c>
      <c r="AQ135" s="105" t="str">
        <f>IF(A135&lt;&gt;"",COUNTIFS('QA Log'!D:D,A135,'QA Log'!M:M,"Data Verification",'QA Log'!L:L,"Consumable (section 3)",'QA Log'!Z:Z,"Approved"),"")</f>
        <v/>
      </c>
      <c r="AR135" s="105" t="str">
        <f>IF(A135&lt;&gt;"",COUNTIFS('QA Log'!D:D,A135,'QA Log'!M:M,"Data Verification",'QA Log'!L:L,"Equipments (section 4)",'QA Log'!Z:Z,"Approved"),"")</f>
        <v/>
      </c>
      <c r="AS135" s="102" t="str">
        <f>IF(A135="","",
SUM(
COUNTIFS('QA Log'!D:D,A135,'QA Log'!M:M,"Data Verification",'QA Log'!Z:Z,"Rejected",'QA Log'!L:L,"*Personnel (section 1)*"),
COUNTIFS('QA Log'!D:D,A135,'QA Log'!M:M,"Data Verification",'QA Log'!Z:Z,"Rejected",'QA Log'!L:L,"*Consumable (section 3)*"),
COUNTIFS('QA Log'!D:D,A135,'QA Log'!M:M,"Data Verification",'QA Log'!Z:Z,"Rejected",'QA Log'!L:L,"*Equipments (section 4)*")
))</f>
        <v/>
      </c>
      <c r="AT135" s="102" t="str">
        <f t="shared" si="7"/>
        <v/>
      </c>
      <c r="AU135" s="103" t="str">
        <f t="shared" si="8"/>
        <v/>
      </c>
      <c r="AV135" s="102" t="str">
        <f>IF(A135="","",SUM(
COUNTIFS('QA Log'!D:D,A135,'QA Log'!M:M,"Vignette",'QA Log'!L:L,"*Vignette [1] Respiratory Infection: Pneumonia*"),
COUNTIFS('QA Log'!D:D,A135,'QA Log'!M:M,"Vignette",'QA Log'!L:L,"*Vignette [2]: Diarrhea with Cat B dehydration*"),
COUNTIFS('QA Log'!D:D,A135,'QA Log'!M:M,"Vignette",'QA Log'!L:L,"*Vignette [3] Growth Monitoring and Promotion*"),
COUNTIFS('QA Log'!D:D,A135,'QA Log'!M:M,"Vignette",'QA Log'!L:L,"*Vignette [4]: The management of presumptive TB patient*")
)
)</f>
        <v/>
      </c>
      <c r="AW135" s="102" t="str">
        <f>IF(
  A135="","",
  SUM(
    COUNTIFS('QA Log'!D:D,A135,'QA Log'!M:M,"Vignette",'QA Log'!Z:Z,"Approved",'QA Log'!L:L,"*Vignette [1] Respiratory Infection: Pneumonia*"),
    COUNTIFS('QA Log'!D:D,A135,'QA Log'!M:M,"Vignette",'QA Log'!Z:Z,"Approved",'QA Log'!L:L,"*Vignette [2]: Diarrhea with Cat B dehydration*"),
    COUNTIFS('QA Log'!D:D,A135,'QA Log'!M:M,"Vignette",'QA Log'!Z:Z,"Approved",'QA Log'!L:L,"*Vignette [3] Growth Monitoring and Promotion*"),
    COUNTIFS('QA Log'!D:D,A135,'QA Log'!M:M,"Vignette",'QA Log'!Z:Z,"Approved",'QA Log'!L:L,"*Vignette [4]: The management of presumptive TB patient*")
  )
)</f>
        <v/>
      </c>
      <c r="AX135" s="105" t="str">
        <f>IF(A135&lt;&gt;"",COUNTIFS('QA Log'!D:D,A135,'QA Log'!M:M,"Vignette",'QA Log'!L:L,"Vignette [1] Respiratory Infection: Pneumonia",'QA Log'!Z:Z,"Approved"),"")</f>
        <v/>
      </c>
      <c r="AY135" s="105" t="str">
        <f>IF(A135&lt;&gt;"",COUNTIFS('QA Log'!D:D,A135,'QA Log'!M:M,"Vignette",'QA Log'!L:L,"Vignette [2]: Diarrhea with Cat B dehydration",'QA Log'!Z:Z,"Approved"),"")</f>
        <v/>
      </c>
      <c r="AZ135" s="105" t="str">
        <f>IF(A135&lt;&gt;"",COUNTIFS('QA Log'!D:D,A135,'QA Log'!M:M,"Vignette",'QA Log'!L:L,"Vignette [3] Growth Monitoring and Promotion",'QA Log'!Z:Z,"Approved"),"")</f>
        <v/>
      </c>
      <c r="BA135" s="105" t="str">
        <f>IF(A135&lt;&gt;"",COUNTIFS('QA Log'!D:D,A135,'QA Log'!M:M,"Vignette",'QA Log'!L:L,"Vignette [4]: The management of presumptive TB patient",'QA Log'!Z:Z,"Approved"),"")</f>
        <v/>
      </c>
      <c r="BB135" s="102" t="str">
        <f>IF(A135="","",
  SUM(
    COUNTIFS('QA Log'!D:D,A135,'QA Log'!M:M,"Vignette",'QA Log'!Z:Z,"Rejected",'QA Log'!L:L,"*Vignette [1] Respiratory Infection: Pneumonia*"),
    COUNTIFS('QA Log'!D:D,A135,'QA Log'!M:M,"Vignette",'QA Log'!Z:Z,"Rejected",'QA Log'!L:L,"*Vignette [2]: Diarrhea with Cat B dehydration*"),
    COUNTIFS('QA Log'!D:D,A135,'QA Log'!M:M,"Vignette",'QA Log'!Z:Z,"Rejected",'QA Log'!L:L,"*Vignette [3] Growth Monitoring and Promotion*"),
    COUNTIFS('QA Log'!D:D,A135,'QA Log'!M:M,"Vignette",'QA Log'!Z:Z,"Rejected",'QA Log'!L:L,"*Vignette [4]: The management of presumptive TB patient*")
  )
)</f>
        <v/>
      </c>
      <c r="BC135" s="107" t="str">
        <f t="shared" si="9"/>
        <v/>
      </c>
      <c r="BD135" s="103" t="str">
        <f t="shared" si="10"/>
        <v/>
      </c>
      <c r="BE135" s="102" t="str">
        <f>IF(A135="","",SUM(
COUNTIFS('QA Log'!D:D,A135,'QA Log'!M:M,"Vignette",'QA Log'!L:L,"*Vignette [5] Labor*"),
COUNTIFS('QA Log'!D:D,A135,'QA Log'!M:M,"Vignette",'QA Log'!L:L,"*Vignette [6] PNC pre Discharge*"),
COUNTIFS('QA Log'!D:D,A135,'QA Log'!M:M,"Vignette",'QA Log'!L:L,"*Vignette [7] First ANC Visit*"),
COUNTIFS('QA Log'!D:D,A135,'QA Log'!M:M,"Vignette",'QA Log'!L:L,"*Vignette [8] Birth Spacing/ Family Planning :  FP Counselling*"),
COUNTIFS('QA Log'!D:D,A135,'QA Log'!M:M,"Vignette",'QA Log'!L:L,"*Vignette [9] Birth Spacing: Change FP method to Injectable*"),
COUNTIFS('QA Log'!D:D,A135,'QA Log'!M:M,"Vignette",'QA Log'!L:L,"*Vignette [10] Post Partum Haemorrhage - Atonic Uterus at Health Centre*"),
)
)</f>
        <v/>
      </c>
      <c r="BF135" s="102" t="str">
        <f>IF(A135="","",
  SUM(
    COUNTIFS('QA Log'!D:D,A135,'QA Log'!M:M,"Vignette",'QA Log'!Z:Z,"Approved",'QA Log'!L:L,"*Vignette [5] Labor*"),
    COUNTIFS('QA Log'!D:D,A135,'QA Log'!M:M,"Vignette",'QA Log'!Z:Z,"Approved",'QA Log'!L:L,"*Vignette [6] PNC pre Discharge*"),
    COUNTIFS('QA Log'!D:D,A135,'QA Log'!M:M,"Vignette",'QA Log'!Z:Z,"Approved",'QA Log'!L:L,"*Vignette [7] First ANC Visit*"),
    COUNTIFS('QA Log'!D:D,A135,'QA Log'!M:M,"Vignette",'QA Log'!Z:Z,"Approved",'QA Log'!L:L,"*Vignette [8] Birth Spacing/ Family Planning :  FP Counselling*"),
    COUNTIFS('QA Log'!D:D,A135,'QA Log'!M:M,"Vignette",'QA Log'!Z:Z,"Approved",'QA Log'!L:L,"*Vignette [9] Birth Spacing: Change FP method to Injectable*"),
    COUNTIFS('QA Log'!D:D,A135,'QA Log'!M:M,"Vignette",'QA Log'!Z:Z,"Approved",'QA Log'!L:L,"*Vignette [10] Post Partum Haemorrhage - Atonic Uterus at Health Centre*")
  )
)</f>
        <v/>
      </c>
      <c r="BG135" s="105" t="str">
        <f>IF(A135&lt;&gt;"",COUNTIFS('QA Log'!D:D,A135,'QA Log'!M:M,"Vignette",'QA Log'!L:L,"Vignette [5] Labor",'QA Log'!Z:Z,"Approved"),"")</f>
        <v/>
      </c>
      <c r="BH135" s="105" t="str">
        <f>IF(A135&lt;&gt;"",COUNTIFS('QA Log'!D:D,A135,'QA Log'!M:M,"Vignette",'QA Log'!L:L,"Vignette [6] PNC pre Discharge",'QA Log'!Z:Z,"Approved"),"")</f>
        <v/>
      </c>
      <c r="BI135" s="105" t="str">
        <f>IF(A135&lt;&gt;"",COUNTIFS('QA Log'!D:D,A135,'QA Log'!M:M,"Vignette",'QA Log'!L:L,"Vignette [7] First ANC Visit",'QA Log'!Z:Z,"Approved"),"")</f>
        <v/>
      </c>
      <c r="BJ135" s="105" t="str">
        <f>IF(A135&lt;&gt;"",COUNTIFS('QA Log'!D:D,A135,'QA Log'!M:M,"Vignette",'QA Log'!L:L,"Vignette [8] Birth Spacing/ Family Planning :  FP Counselling",'QA Log'!Z:Z,"Approved"),"")</f>
        <v/>
      </c>
      <c r="BK135" s="105" t="str">
        <f>IF(A135&lt;&gt;"",COUNTIFS('QA Log'!D:D,A135,'QA Log'!M:M,"Vignette",'QA Log'!L:L,"Vignette [9] Birth Spacing: Change FP method to Injectable",'QA Log'!Z:Z,"Approved"),"")</f>
        <v/>
      </c>
      <c r="BL135" s="105" t="str">
        <f>IF(A135&lt;&gt;"",COUNTIFS('QA Log'!D:D,A135,'QA Log'!M:M,"Vignette",'QA Log'!L:L,"Vignette [10] Post Partum Haemorrhage - Atonic Uterus at Health Centre",'QA Log'!Z:Z,"Approved"),"")</f>
        <v/>
      </c>
      <c r="BM135" s="102" t="str">
        <f>IF(A135="","",SUM(
    COUNTIFS('QA Log'!D:D,A135,'QA Log'!M:M,"Vignette",'QA Log'!Z:Z,"Rejected",'QA Log'!L:L,"*Vignette [5] Labor*"),
    COUNTIFS('QA Log'!D:D,A135,'QA Log'!M:M,"Vignette",'QA Log'!Z:Z,"Rejected",'QA Log'!L:L,"*Vignette [6] PNC pre Discharge*"),
    COUNTIFS('QA Log'!D:D,A135,'QA Log'!M:M,"Vignette",'QA Log'!Z:Z,"Rejected",'QA Log'!L:L,"*Vignette [7] First ANC Visit*"),
    COUNTIFS('QA Log'!D:D,A135,'QA Log'!M:M,"Vignette",'QA Log'!Z:Z,"Rejected",'QA Log'!L:L,"*Vignette [8] Birth Spacing/ Family Planning :  FP Counselling*"),
    COUNTIFS('QA Log'!D:D,A135,'QA Log'!M:M,"Vignette",'QA Log'!Z:Z,"Rejected",'QA Log'!L:L,"*Vignette [9] Birth Spacing: Change FP method to Injectable*"),
    COUNTIFS('QA Log'!D:D,A135,'QA Log'!M:M,"Vignette",'QA Log'!Z:Z,"Rejected",'QA Log'!L:L,"*Vignette [10] Post Partum Haemorrhage - Atonic Uterus at Health Centre*")
  )
)</f>
        <v/>
      </c>
      <c r="BN135" s="107" t="str">
        <f t="shared" si="11"/>
        <v/>
      </c>
      <c r="BO135" s="103" t="str">
        <f t="shared" si="12"/>
        <v/>
      </c>
      <c r="BP135" s="102" t="str">
        <f>IF(A135="","",SUM(
COUNTIFS('QA Log'!D:D,A135,'QA Log'!M:M,"Vignette",'QA Log'!L:L,"*Exit Interview 1*"),
COUNTIFS('QA Log'!D:D,A135,'QA Log'!M:M,"Vignette",'QA Log'!L:L,"*Exit Interview 2*"),
)
)</f>
        <v/>
      </c>
      <c r="BQ135" s="102" t="str">
        <f>IF(
  A135="","",
  SUM(
    COUNTIFS('QA Log'!D:D,A135,'QA Log'!M:M,"Vignette",'QA Log'!Z:Z,"Approved",'QA Log'!L:L,"*Exit Interview 1*"),
    COUNTIFS('QA Log'!D:D,A135,'QA Log'!M:M,"Vignette",'QA Log'!Z:Z,"Approved",'QA Log'!L:L,"*Exit Interview 2*")
  )
)</f>
        <v/>
      </c>
      <c r="BR135" s="105" t="str">
        <f>IF(A135&lt;&gt;"",COUNTIFS('QA Log'!D:D,A135,'QA Log'!M:M,"Vignette",'QA Log'!L:L,"Exit Interview 1",'QA Log'!Z:Z,"Approved"),"")</f>
        <v/>
      </c>
      <c r="BS135" s="105" t="str">
        <f>IF(A135&lt;&gt;"",COUNTIFS('QA Log'!D:D,A135,'QA Log'!M:M,"Vignette",'QA Log'!L:L,"Exit Interview 2",'QA Log'!Z:Z,"Approved"),"")</f>
        <v/>
      </c>
      <c r="BT135" s="102" t="str">
        <f>IF(
  A135="","",
  SUM(
    COUNTIFS('QA Log'!D:D,A135,'QA Log'!M:M,"Vignette",'QA Log'!Z:Z,"Rejected",'QA Log'!L:L,"*Exit Interview 1*"),
    COUNTIFS('QA Log'!D:D,A135,'QA Log'!M:M,"Vignette",'QA Log'!Z:Z,"Rejected",'QA Log'!L:L,"*Exit Interview 2*")
  )
)</f>
        <v/>
      </c>
      <c r="BU135" s="107" t="str">
        <f t="shared" si="13"/>
        <v/>
      </c>
      <c r="BV135" s="102" t="str">
        <f t="shared" si="14"/>
        <v/>
      </c>
      <c r="BW135" s="102" t="str">
        <f t="shared" si="15"/>
        <v/>
      </c>
      <c r="BX135" s="102" t="str">
        <f t="shared" si="16"/>
        <v/>
      </c>
      <c r="BY135" s="102" t="str">
        <f t="shared" si="17"/>
        <v/>
      </c>
      <c r="BZ135" s="107" t="str">
        <f t="shared" si="18"/>
        <v/>
      </c>
      <c r="CA135" s="108" t="str">
        <f t="shared" si="19"/>
        <v/>
      </c>
      <c r="CB135" s="108" t="str">
        <f t="shared" si="20"/>
        <v/>
      </c>
      <c r="CC135" s="109" t="str">
        <f t="shared" si="21"/>
        <v/>
      </c>
      <c r="CD135" s="108" t="str">
        <f t="shared" si="22"/>
        <v/>
      </c>
      <c r="CE135" s="108" t="str">
        <f t="shared" si="23"/>
        <v/>
      </c>
      <c r="CF135" s="109" t="str">
        <f t="shared" si="24"/>
        <v/>
      </c>
      <c r="CG135" s="110" t="str">
        <f t="shared" si="25"/>
        <v/>
      </c>
      <c r="CH135" s="111"/>
    </row>
    <row r="136" spans="1:86" ht="12.75">
      <c r="A136" s="101"/>
      <c r="B136" s="102" t="e">
        <f t="array" aca="1" ref="B136" ca="1">_xludf.XLOOKUP(A136,'QA Log'!D:D,'QA Log'!E:E,"")</f>
        <v>#NAME?</v>
      </c>
      <c r="C136" s="102" t="e">
        <f t="array" aca="1" ref="C136" ca="1">_xludf.XLOOKUP(A136,'QA Log'!D:D,'QA Log'!F:F,"")</f>
        <v>#NAME?</v>
      </c>
      <c r="D136" s="102" t="e">
        <f t="array" aca="1" ref="D136" ca="1">_xludf.XLOOKUP(A136,'QA Log'!D:D,'QA Log'!H:H,"")</f>
        <v>#NAME?</v>
      </c>
      <c r="E136" s="102" t="e">
        <f t="array" aca="1" ref="E136" ca="1">_xludf.XLOOKUP(A136,'QA Log'!D:D,'QA Log'!G:G,"")</f>
        <v>#NAME?</v>
      </c>
      <c r="F136" s="103"/>
      <c r="G136" s="104"/>
      <c r="H136" s="104"/>
      <c r="I136" s="103" t="str">
        <f t="shared" si="0"/>
        <v/>
      </c>
      <c r="J136" s="102" t="str">
        <f>IF(A136="","",SUM(
COUNTIFS('QA Log'!D:D,A136,'QA Log'!M:M,"QQC",'QA Log'!L:L,"*1. General Management*"),
COUNTIFS('QA Log'!D:D,A136,'QA Log'!M:M,"QQC",'QA Log'!L:L,"*3. Curative Consultation (OPD)*"),
COUNTIFS('QA Log'!D:D,A136,'QA Log'!M:M,"QQC",'QA Log'!L:L,"*5. Laboratory*"),
COUNTIFS('QA Log'!D:D,A136,'QA Log'!M:M,"QQC",'QA Log'!L:L,"*6. Essential Medicine Management*"),
COUNTIFS('QA Log'!D:D,A136,'QA Log'!M:M,"QQC",'QA Log'!L:L,"*7. Tracer Medicine*"),
COUNTIFS('QA Log'!D:D,A136,'QA Log'!M:M,"QQC",'QA Log'!L:L,"*11. Additional Questions*")))</f>
        <v/>
      </c>
      <c r="K136" s="102" t="str">
        <f>IF(A136="","",SUM(
COUNTIFS('QA Log'!D:D,A136,'QA Log'!M:M,"QQC",'QA Log'!Z:Z,"Approved",'QA Log'!L:L,"*1. General Management*"),
COUNTIFS('QA Log'!D:D,A136,'QA Log'!M:M,"QQC",'QA Log'!Z:Z,"Approved",'QA Log'!L:L,"*3. Curative Consultation (OPD)*"),
COUNTIFS('QA Log'!D:D,A136,'QA Log'!M:M,"QQC",'QA Log'!Z:Z,"Approved",'QA Log'!L:L,"*5. Laboratory*"),
COUNTIFS('QA Log'!D:D,A136,'QA Log'!M:M,"QQC",'QA Log'!Z:Z,"Approved",'QA Log'!L:L,"*6. Essential Medicine Management*"),
COUNTIFS('QA Log'!D:D,A136,'QA Log'!M:M,"QQC",'QA Log'!Z:Z,"Approved",'QA Log'!L:L,"*7. Tracer Medicine*"),
COUNTIFS('QA Log'!D:D,A136,'QA Log'!M:M,"QQC",'QA Log'!Z:Z,"Approved",'QA Log'!L:L,"*11. Additional Questions*")))</f>
        <v/>
      </c>
      <c r="L136" s="105" t="str">
        <f>IF(A136&lt;&gt;"",COUNTIFS('QA Log'!D:D,A136,'QA Log'!M:M,"QQC",'QA Log'!L:L,"1. General Management",'QA Log'!Z:Z,"Approved"),"")</f>
        <v/>
      </c>
      <c r="M136" s="105" t="str">
        <f>IF(A136&lt;&gt;"",COUNTIFS('QA Log'!D:D,A136,'QA Log'!M:M,"QQC",'QA Log'!L:L,"3. Curative Consultation (OPD)",'QA Log'!Z:Z,"Approved"),"")</f>
        <v/>
      </c>
      <c r="N136" s="105" t="str">
        <f>IF(A136&lt;&gt;"",COUNTIFS('QA Log'!D:D,A136,'QA Log'!M:M,"QQC",'QA Log'!L:L,"5. Laboratory",'QA Log'!Z:Z,"Approved"),"")</f>
        <v/>
      </c>
      <c r="O136" s="105" t="str">
        <f>IF(A136&lt;&gt;"",COUNTIFS('QA Log'!D:D,A136,'QA Log'!M:M,"QQC",'QA Log'!L:L,"6. Essential Medicine Management",'QA Log'!Z:Z,"Approved"),"")</f>
        <v/>
      </c>
      <c r="P136" s="105" t="str">
        <f>IF(A136&lt;&gt;"",COUNTIFS('QA Log'!D:D,A136,'QA Log'!M:M,"QQC",'QA Log'!L:L,"7. Tracer Medicine",'QA Log'!Z:Z,"Approved"),"")</f>
        <v/>
      </c>
      <c r="Q136" s="105" t="str">
        <f>IF(A136&lt;&gt;"",COUNTIFS('QA Log'!D:D,A136,'QA Log'!M:M,"QQC",'QA Log'!L:L,"11. Additional Questions",'QA Log'!Z:Z,"Approved"),"")</f>
        <v/>
      </c>
      <c r="R136" s="102" t="str">
        <f>IF(A136="","",SUM(
COUNTIFS('QA Log'!D:D,A136,'QA Log'!M:M,"QQC",'QA Log'!Z:Z,"Rejected",'QA Log'!L:L,"*8. Maternity*"),
COUNTIFS('QA Log'!D:D,A136,'QA Log'!M:M,"QQC",'QA Log'!Z:Z,"Rejected",'QA Log'!L:L,"*EPI*"),
COUNTIFS('QA Log'!D:D,A136,'QA Log'!M:M,"QQC",'QA Log'!Z:Z,"Rejected",'QA Log'!L:L,"*10. Antenatal Care (ANC)*"),
COUNTIFS('QA Log'!D:D,A136,'QA Log'!M:M,"QQC",'QA Log'!Z:Z,"Rejected",'QA Log'!L:L,"*2. Hygiene and Sterilization*"),
COUNTIFS('QA Log'!D:D,A136,'QA Log'!M:M,"QQC",'QA Log'!Z:Z,"Rejected",'QA Log'!L:L,"*Family Planning*")))</f>
        <v/>
      </c>
      <c r="S136" s="106" t="str">
        <f t="shared" si="1"/>
        <v/>
      </c>
      <c r="T136" s="102" t="str">
        <f t="shared" si="2"/>
        <v/>
      </c>
      <c r="U136" s="102" t="str">
        <f>IF(A136="","",
SUM(
COUNTIFS('QA Log'!D:D,A136,'QA Log'!M:M,"QQC",'QA Log'!L:L,"*8. Maternity*"),
COUNTIFS('QA Log'!D:D,A136,'QA Log'!M:M,"QQC",'QA Log'!L:L,"*9. EPI and Pre-school Consultation*"),
COUNTIFS('QA Log'!D:D,A136,'QA Log'!M:M,"QQC",'QA Log'!L:L,"*10. Antenatal Care (ANC)*"),
COUNTIFS('QA Log'!D:D,A136,'QA Log'!M:M,"QQC",'QA Log'!L:L,"*2. Hygiene and Sterilization*"),
COUNTIFS('QA Log'!D:D,A136,'QA Log'!M:M,"QQC",'QA Log'!L:L,"*4. Family Planning*")
))</f>
        <v/>
      </c>
      <c r="V136" s="102" t="str">
        <f>IF(A136="","",
SUM(
COUNTIFS('QA Log'!D:D,A136,'QA Log'!M:M,"QQC",'QA Log'!Z:Z,"Approved",'QA Log'!L:L,"*8. Maternity*"),
COUNTIFS('QA Log'!D:D,A136,'QA Log'!M:M,"QQC",'QA Log'!Z:Z,"Approved",'QA Log'!L:L,"*9. EPI and Pre-school Consultation*"),
COUNTIFS('QA Log'!D:D,A136,'QA Log'!M:M,"QQC",'QA Log'!Z:Z,"Approved",'QA Log'!L:L,"*10. Antenatal Care (ANC)*"),
COUNTIFS('QA Log'!D:D,A136,'QA Log'!M:M,"QQC",'QA Log'!Z:Z,"Approved",'QA Log'!L:L,"*2. Hygiene and Sterilization*"),
COUNTIFS('QA Log'!D:D,A136,'QA Log'!M:M,"QQC",'QA Log'!Z:Z,"Approved",'QA Log'!L:L,"*4. Family Planning*")
))</f>
        <v/>
      </c>
      <c r="W136" s="105" t="str">
        <f>IF(A136&lt;&gt;"",COUNTIFS('QA Log'!D:D,A136,'QA Log'!M:M,"QQC",'QA Log'!L:L,"8. Maternity",'QA Log'!Z:Z,"Approved"),"")</f>
        <v/>
      </c>
      <c r="X136" s="105" t="str">
        <f>IF(A136&lt;&gt;"",COUNTIFS('QA Log'!D:D,A136,'QA Log'!M:M,"QQC",'QA Log'!L:L,"9. EPI and Pre-school Consultation",'QA Log'!Z:Z,"Approved"),"")</f>
        <v/>
      </c>
      <c r="Y136" s="105" t="str">
        <f>IF(A136&lt;&gt;"",COUNTIFS('QA Log'!D:D,A136,'QA Log'!M:M,"QQC",'QA Log'!L:L,"10. Antenatal Care (ANC)",'QA Log'!Z:Z,"Approved"),"")</f>
        <v/>
      </c>
      <c r="Z136" s="105" t="str">
        <f>IF(A136&lt;&gt;"",COUNTIFS('QA Log'!D:D,A136,'QA Log'!M:M,"QQC",'QA Log'!L:L,"2. Hygiene and Sterilization",'QA Log'!Z:Z,"Approved"),"")</f>
        <v/>
      </c>
      <c r="AA136" s="105" t="str">
        <f>IF(A136&lt;&gt;"",COUNTIFS('QA Log'!D:D,A136,'QA Log'!M:M,"QQC",'QA Log'!L:L,"4. Family Planning",'QA Log'!Z:Z,"Approved"),"")</f>
        <v/>
      </c>
      <c r="AB136" s="102" t="str">
        <f>IF(A136="","",
SUM(
COUNTIFS('QA Log'!D:D,A136,'QA Log'!M:M,"QQC",'QA Log'!Z:Z,"Rejected",'QA Log'!L:L,"*8. Maternity*"),
COUNTIFS('QA Log'!D:D,A136,'QA Log'!M:M,"QQC",'QA Log'!Z:Z,"Rejected",'QA Log'!L:L,"*9. EPI and Pre-school Consultation*"),
COUNTIFS('QA Log'!D:D,A136,'QA Log'!M:M,"QQC",'QA Log'!Z:Z,"Rejected",'QA Log'!L:L,"*10. Antenatal Care (ANC)*"),
COUNTIFS('QA Log'!D:D,A136,'QA Log'!M:M,"QQC",'QA Log'!Z:Z,"Rejected",'QA Log'!L:L,"*2. Hygiene and Sterilization*"),
COUNTIFS('QA Log'!D:D,A136,'QA Log'!M:M,"QQC",'QA Log'!Z:Z,"Rejected",'QA Log'!L:L,"*4. Family Planning*")
))</f>
        <v/>
      </c>
      <c r="AC136" s="102" t="str">
        <f t="shared" si="3"/>
        <v/>
      </c>
      <c r="AD136" s="103" t="str">
        <f t="shared" si="4"/>
        <v/>
      </c>
      <c r="AE136" s="102" t="str">
        <f>IF(A136="","",
SUM(
COUNTIFS('QA Log'!D:D,A136,'QA Log'!M:M,"Data Verification",'QA Log'!L:L,"*Medicine (section 2)*"),
COUNTIFS('QA Log'!D:D,A136,'QA Log'!M:M,"Data Verification",'QA Log'!L:L,"*Lab Testing Availability*"),
COUNTIFS('QA Log'!D:D,A136,'QA Log'!M:M,"Data Verification",'QA Log'!L:L,"*Other than P4P (section 6)*"),
COUNTIFS('QA Log'!D:D,A136,'QA Log'!M:M,"Data Verification",'QA Log'!L:L,"*Hospital Governance*")
))</f>
        <v/>
      </c>
      <c r="AF136" s="102" t="str">
        <f>IF(A136="","",
SUM(
COUNTIFS('QA Log'!D:D,A136,'QA Log'!M:M,"Data Verification",'QA Log'!Z:Z,"Approved",'QA Log'!L:L,"*Medicine (section 2)*"),
COUNTIFS('QA Log'!D:D,A136,'QA Log'!M:M,"Data Verification",'QA Log'!Z:Z,"Approved",'QA Log'!L:L,"*Lab Testing Availability*"),
COUNTIFS('QA Log'!D:D,A136,'QA Log'!M:M,"Data Verification",'QA Log'!Z:Z,"Approved",'QA Log'!L:L,"*Other than P4P (section 6)*"),
COUNTIFS('QA Log'!D:D,A136,'QA Log'!M:M,"Data Verification",'QA Log'!Z:Z,"Approved",'QA Log'!L:L,"*Hospital Governance*")
))</f>
        <v/>
      </c>
      <c r="AG136" s="105" t="str">
        <f>IF(A136&lt;&gt;"",COUNTIFS('QA Log'!D:D,A136,'QA Log'!M:M,"Data Verification",'QA Log'!L:L,"Medicine (section 2)",'QA Log'!Z:Z,"Approved"),"")</f>
        <v/>
      </c>
      <c r="AH136" s="105" t="str">
        <f>IF(A136&lt;&gt;"",COUNTIFS('QA Log'!D:D,A136,'QA Log'!M:M,"Data Verification",'QA Log'!L:L,"Lab Testing Availability",'QA Log'!Z:Z,"Approved"),"")</f>
        <v/>
      </c>
      <c r="AI136" s="105" t="str">
        <f>IF(A136&lt;&gt;"",COUNTIFS('QA Log'!D:D,A136,'QA Log'!M:M,"Data Verification",'QA Log'!L:L,"Other than P4P (section 6)",'QA Log'!Z:Z,"Approved"),"")</f>
        <v/>
      </c>
      <c r="AJ136" s="105" t="str">
        <f>IF(A136&lt;&gt;"",COUNTIFS('QA Log'!D:D,A136,'QA Log'!M:M,"Data Verification",'QA Log'!L:L,"Hospital Governance",'QA Log'!Z:Z,"Approved"),"")</f>
        <v/>
      </c>
      <c r="AK136" s="102" t="str">
        <f>IF(A136="","",
SUM(
COUNTIFS('QA Log'!D:D,A136,'QA Log'!M:M,"Data Verification",'QA Log'!Z:Z,"Rejected",'QA Log'!L:L,"*Medicine (section 2)*"),
COUNTIFS('QA Log'!D:D,A136,'QA Log'!M:M,"Data Verification",'QA Log'!Z:Z,"Rejected",'QA Log'!L:L,"*Lab Testing Availability*"),
COUNTIFS('QA Log'!D:D,A136,'QA Log'!M:M,"Data Verification",'QA Log'!Z:Z,"Rejected",'QA Log'!L:L,"*Other than P4P (section 6)*"),
COUNTIFS('QA Log'!D:D,A136,'QA Log'!M:M,"Data Verification",'QA Log'!Z:Z,"Rejected",'QA Log'!L:L,"*Hospital Governance*")
))</f>
        <v/>
      </c>
      <c r="AL136" s="106" t="str">
        <f t="shared" si="5"/>
        <v/>
      </c>
      <c r="AM136" s="102" t="str">
        <f t="shared" si="6"/>
        <v/>
      </c>
      <c r="AN136" s="102" t="str">
        <f>IF(A136="","",
SUM(
COUNTIFS('QA Log'!D:D,A136,'QA Log'!M:M,"Data Verification",'QA Log'!L:L,"*Personnel (section 1)*"),
COUNTIFS('QA Log'!D:D,A136,'QA Log'!M:M,"Data Verification",'QA Log'!L:L,"*Consumable (section 3)*"),
COUNTIFS('QA Log'!D:D,A136,'QA Log'!M:M,"Data Verification",'QA Log'!L:L,"*Equipments (section 4)*")
))</f>
        <v/>
      </c>
      <c r="AO136" s="102" t="str">
        <f>IF(A136="","",
SUM(
COUNTIFS('QA Log'!D:D,A136,'QA Log'!M:M,"Data Verification",'QA Log'!Z:Z,"Approved",'QA Log'!L:L,"*Personnel (section 1)*"),
COUNTIFS('QA Log'!D:D,A136,'QA Log'!M:M,"Data Verification",'QA Log'!Z:Z,"Approved",'QA Log'!L:L,"*Consumable (section 3)*"),
COUNTIFS('QA Log'!D:D,A136,'QA Log'!M:M,"Data Verification",'QA Log'!Z:Z,"Approved",'QA Log'!L:L,"*Equipments (section 4)*")
))</f>
        <v/>
      </c>
      <c r="AP136" s="105" t="str">
        <f>IF(A136&lt;&gt;"",COUNTIFS('QA Log'!D:D,A136,'QA Log'!M:M,"Data Verification",'QA Log'!L:L,"Personnel (section 1)",'QA Log'!Z:Z,"Approved"),"")</f>
        <v/>
      </c>
      <c r="AQ136" s="105" t="str">
        <f>IF(A136&lt;&gt;"",COUNTIFS('QA Log'!D:D,A136,'QA Log'!M:M,"Data Verification",'QA Log'!L:L,"Consumable (section 3)",'QA Log'!Z:Z,"Approved"),"")</f>
        <v/>
      </c>
      <c r="AR136" s="105" t="str">
        <f>IF(A136&lt;&gt;"",COUNTIFS('QA Log'!D:D,A136,'QA Log'!M:M,"Data Verification",'QA Log'!L:L,"Equipments (section 4)",'QA Log'!Z:Z,"Approved"),"")</f>
        <v/>
      </c>
      <c r="AS136" s="102" t="str">
        <f>IF(A136="","",
SUM(
COUNTIFS('QA Log'!D:D,A136,'QA Log'!M:M,"Data Verification",'QA Log'!Z:Z,"Rejected",'QA Log'!L:L,"*Personnel (section 1)*"),
COUNTIFS('QA Log'!D:D,A136,'QA Log'!M:M,"Data Verification",'QA Log'!Z:Z,"Rejected",'QA Log'!L:L,"*Consumable (section 3)*"),
COUNTIFS('QA Log'!D:D,A136,'QA Log'!M:M,"Data Verification",'QA Log'!Z:Z,"Rejected",'QA Log'!L:L,"*Equipments (section 4)*")
))</f>
        <v/>
      </c>
      <c r="AT136" s="102" t="str">
        <f t="shared" si="7"/>
        <v/>
      </c>
      <c r="AU136" s="103" t="str">
        <f t="shared" si="8"/>
        <v/>
      </c>
      <c r="AV136" s="102" t="str">
        <f>IF(A136="","",SUM(
COUNTIFS('QA Log'!D:D,A136,'QA Log'!M:M,"Vignette",'QA Log'!L:L,"*Vignette [1] Respiratory Infection: Pneumonia*"),
COUNTIFS('QA Log'!D:D,A136,'QA Log'!M:M,"Vignette",'QA Log'!L:L,"*Vignette [2]: Diarrhea with Cat B dehydration*"),
COUNTIFS('QA Log'!D:D,A136,'QA Log'!M:M,"Vignette",'QA Log'!L:L,"*Vignette [3] Growth Monitoring and Promotion*"),
COUNTIFS('QA Log'!D:D,A136,'QA Log'!M:M,"Vignette",'QA Log'!L:L,"*Vignette [4]: The management of presumptive TB patient*")
)
)</f>
        <v/>
      </c>
      <c r="AW136" s="102" t="str">
        <f>IF(
  A136="","",
  SUM(
    COUNTIFS('QA Log'!D:D,A136,'QA Log'!M:M,"Vignette",'QA Log'!Z:Z,"Approved",'QA Log'!L:L,"*Vignette [1] Respiratory Infection: Pneumonia*"),
    COUNTIFS('QA Log'!D:D,A136,'QA Log'!M:M,"Vignette",'QA Log'!Z:Z,"Approved",'QA Log'!L:L,"*Vignette [2]: Diarrhea with Cat B dehydration*"),
    COUNTIFS('QA Log'!D:D,A136,'QA Log'!M:M,"Vignette",'QA Log'!Z:Z,"Approved",'QA Log'!L:L,"*Vignette [3] Growth Monitoring and Promotion*"),
    COUNTIFS('QA Log'!D:D,A136,'QA Log'!M:M,"Vignette",'QA Log'!Z:Z,"Approved",'QA Log'!L:L,"*Vignette [4]: The management of presumptive TB patient*")
  )
)</f>
        <v/>
      </c>
      <c r="AX136" s="105" t="str">
        <f>IF(A136&lt;&gt;"",COUNTIFS('QA Log'!D:D,A136,'QA Log'!M:M,"Vignette",'QA Log'!L:L,"Vignette [1] Respiratory Infection: Pneumonia",'QA Log'!Z:Z,"Approved"),"")</f>
        <v/>
      </c>
      <c r="AY136" s="105" t="str">
        <f>IF(A136&lt;&gt;"",COUNTIFS('QA Log'!D:D,A136,'QA Log'!M:M,"Vignette",'QA Log'!L:L,"Vignette [2]: Diarrhea with Cat B dehydration",'QA Log'!Z:Z,"Approved"),"")</f>
        <v/>
      </c>
      <c r="AZ136" s="105" t="str">
        <f>IF(A136&lt;&gt;"",COUNTIFS('QA Log'!D:D,A136,'QA Log'!M:M,"Vignette",'QA Log'!L:L,"Vignette [3] Growth Monitoring and Promotion",'QA Log'!Z:Z,"Approved"),"")</f>
        <v/>
      </c>
      <c r="BA136" s="105" t="str">
        <f>IF(A136&lt;&gt;"",COUNTIFS('QA Log'!D:D,A136,'QA Log'!M:M,"Vignette",'QA Log'!L:L,"Vignette [4]: The management of presumptive TB patient",'QA Log'!Z:Z,"Approved"),"")</f>
        <v/>
      </c>
      <c r="BB136" s="102" t="str">
        <f>IF(A136="","",
  SUM(
    COUNTIFS('QA Log'!D:D,A136,'QA Log'!M:M,"Vignette",'QA Log'!Z:Z,"Rejected",'QA Log'!L:L,"*Vignette [1] Respiratory Infection: Pneumonia*"),
    COUNTIFS('QA Log'!D:D,A136,'QA Log'!M:M,"Vignette",'QA Log'!Z:Z,"Rejected",'QA Log'!L:L,"*Vignette [2]: Diarrhea with Cat B dehydration*"),
    COUNTIFS('QA Log'!D:D,A136,'QA Log'!M:M,"Vignette",'QA Log'!Z:Z,"Rejected",'QA Log'!L:L,"*Vignette [3] Growth Monitoring and Promotion*"),
    COUNTIFS('QA Log'!D:D,A136,'QA Log'!M:M,"Vignette",'QA Log'!Z:Z,"Rejected",'QA Log'!L:L,"*Vignette [4]: The management of presumptive TB patient*")
  )
)</f>
        <v/>
      </c>
      <c r="BC136" s="107" t="str">
        <f t="shared" si="9"/>
        <v/>
      </c>
      <c r="BD136" s="103" t="str">
        <f t="shared" si="10"/>
        <v/>
      </c>
      <c r="BE136" s="102" t="str">
        <f>IF(A136="","",SUM(
COUNTIFS('QA Log'!D:D,A136,'QA Log'!M:M,"Vignette",'QA Log'!L:L,"*Vignette [5] Labor*"),
COUNTIFS('QA Log'!D:D,A136,'QA Log'!M:M,"Vignette",'QA Log'!L:L,"*Vignette [6] PNC pre Discharge*"),
COUNTIFS('QA Log'!D:D,A136,'QA Log'!M:M,"Vignette",'QA Log'!L:L,"*Vignette [7] First ANC Visit*"),
COUNTIFS('QA Log'!D:D,A136,'QA Log'!M:M,"Vignette",'QA Log'!L:L,"*Vignette [8] Birth Spacing/ Family Planning :  FP Counselling*"),
COUNTIFS('QA Log'!D:D,A136,'QA Log'!M:M,"Vignette",'QA Log'!L:L,"*Vignette [9] Birth Spacing: Change FP method to Injectable*"),
COUNTIFS('QA Log'!D:D,A136,'QA Log'!M:M,"Vignette",'QA Log'!L:L,"*Vignette [10] Post Partum Haemorrhage - Atonic Uterus at Health Centre*"),
)
)</f>
        <v/>
      </c>
      <c r="BF136" s="102" t="str">
        <f>IF(A136="","",
  SUM(
    COUNTIFS('QA Log'!D:D,A136,'QA Log'!M:M,"Vignette",'QA Log'!Z:Z,"Approved",'QA Log'!L:L,"*Vignette [5] Labor*"),
    COUNTIFS('QA Log'!D:D,A136,'QA Log'!M:M,"Vignette",'QA Log'!Z:Z,"Approved",'QA Log'!L:L,"*Vignette [6] PNC pre Discharge*"),
    COUNTIFS('QA Log'!D:D,A136,'QA Log'!M:M,"Vignette",'QA Log'!Z:Z,"Approved",'QA Log'!L:L,"*Vignette [7] First ANC Visit*"),
    COUNTIFS('QA Log'!D:D,A136,'QA Log'!M:M,"Vignette",'QA Log'!Z:Z,"Approved",'QA Log'!L:L,"*Vignette [8] Birth Spacing/ Family Planning :  FP Counselling*"),
    COUNTIFS('QA Log'!D:D,A136,'QA Log'!M:M,"Vignette",'QA Log'!Z:Z,"Approved",'QA Log'!L:L,"*Vignette [9] Birth Spacing: Change FP method to Injectable*"),
    COUNTIFS('QA Log'!D:D,A136,'QA Log'!M:M,"Vignette",'QA Log'!Z:Z,"Approved",'QA Log'!L:L,"*Vignette [10] Post Partum Haemorrhage - Atonic Uterus at Health Centre*")
  )
)</f>
        <v/>
      </c>
      <c r="BG136" s="105" t="str">
        <f>IF(A136&lt;&gt;"",COUNTIFS('QA Log'!D:D,A136,'QA Log'!M:M,"Vignette",'QA Log'!L:L,"Vignette [5] Labor",'QA Log'!Z:Z,"Approved"),"")</f>
        <v/>
      </c>
      <c r="BH136" s="105" t="str">
        <f>IF(A136&lt;&gt;"",COUNTIFS('QA Log'!D:D,A136,'QA Log'!M:M,"Vignette",'QA Log'!L:L,"Vignette [6] PNC pre Discharge",'QA Log'!Z:Z,"Approved"),"")</f>
        <v/>
      </c>
      <c r="BI136" s="105" t="str">
        <f>IF(A136&lt;&gt;"",COUNTIFS('QA Log'!D:D,A136,'QA Log'!M:M,"Vignette",'QA Log'!L:L,"Vignette [7] First ANC Visit",'QA Log'!Z:Z,"Approved"),"")</f>
        <v/>
      </c>
      <c r="BJ136" s="105" t="str">
        <f>IF(A136&lt;&gt;"",COUNTIFS('QA Log'!D:D,A136,'QA Log'!M:M,"Vignette",'QA Log'!L:L,"Vignette [8] Birth Spacing/ Family Planning :  FP Counselling",'QA Log'!Z:Z,"Approved"),"")</f>
        <v/>
      </c>
      <c r="BK136" s="105" t="str">
        <f>IF(A136&lt;&gt;"",COUNTIFS('QA Log'!D:D,A136,'QA Log'!M:M,"Vignette",'QA Log'!L:L,"Vignette [9] Birth Spacing: Change FP method to Injectable",'QA Log'!Z:Z,"Approved"),"")</f>
        <v/>
      </c>
      <c r="BL136" s="105" t="str">
        <f>IF(A136&lt;&gt;"",COUNTIFS('QA Log'!D:D,A136,'QA Log'!M:M,"Vignette",'QA Log'!L:L,"Vignette [10] Post Partum Haemorrhage - Atonic Uterus at Health Centre",'QA Log'!Z:Z,"Approved"),"")</f>
        <v/>
      </c>
      <c r="BM136" s="102" t="str">
        <f>IF(A136="","",SUM(
    COUNTIFS('QA Log'!D:D,A136,'QA Log'!M:M,"Vignette",'QA Log'!Z:Z,"Rejected",'QA Log'!L:L,"*Vignette [5] Labor*"),
    COUNTIFS('QA Log'!D:D,A136,'QA Log'!M:M,"Vignette",'QA Log'!Z:Z,"Rejected",'QA Log'!L:L,"*Vignette [6] PNC pre Discharge*"),
    COUNTIFS('QA Log'!D:D,A136,'QA Log'!M:M,"Vignette",'QA Log'!Z:Z,"Rejected",'QA Log'!L:L,"*Vignette [7] First ANC Visit*"),
    COUNTIFS('QA Log'!D:D,A136,'QA Log'!M:M,"Vignette",'QA Log'!Z:Z,"Rejected",'QA Log'!L:L,"*Vignette [8] Birth Spacing/ Family Planning :  FP Counselling*"),
    COUNTIFS('QA Log'!D:D,A136,'QA Log'!M:M,"Vignette",'QA Log'!Z:Z,"Rejected",'QA Log'!L:L,"*Vignette [9] Birth Spacing: Change FP method to Injectable*"),
    COUNTIFS('QA Log'!D:D,A136,'QA Log'!M:M,"Vignette",'QA Log'!Z:Z,"Rejected",'QA Log'!L:L,"*Vignette [10] Post Partum Haemorrhage - Atonic Uterus at Health Centre*")
  )
)</f>
        <v/>
      </c>
      <c r="BN136" s="107" t="str">
        <f t="shared" si="11"/>
        <v/>
      </c>
      <c r="BO136" s="103" t="str">
        <f t="shared" si="12"/>
        <v/>
      </c>
      <c r="BP136" s="102" t="str">
        <f>IF(A136="","",SUM(
COUNTIFS('QA Log'!D:D,A136,'QA Log'!M:M,"Vignette",'QA Log'!L:L,"*Exit Interview 1*"),
COUNTIFS('QA Log'!D:D,A136,'QA Log'!M:M,"Vignette",'QA Log'!L:L,"*Exit Interview 2*"),
)
)</f>
        <v/>
      </c>
      <c r="BQ136" s="102" t="str">
        <f>IF(
  A136="","",
  SUM(
    COUNTIFS('QA Log'!D:D,A136,'QA Log'!M:M,"Vignette",'QA Log'!Z:Z,"Approved",'QA Log'!L:L,"*Exit Interview 1*"),
    COUNTIFS('QA Log'!D:D,A136,'QA Log'!M:M,"Vignette",'QA Log'!Z:Z,"Approved",'QA Log'!L:L,"*Exit Interview 2*")
  )
)</f>
        <v/>
      </c>
      <c r="BR136" s="105" t="str">
        <f>IF(A136&lt;&gt;"",COUNTIFS('QA Log'!D:D,A136,'QA Log'!M:M,"Vignette",'QA Log'!L:L,"Exit Interview 1",'QA Log'!Z:Z,"Approved"),"")</f>
        <v/>
      </c>
      <c r="BS136" s="105" t="str">
        <f>IF(A136&lt;&gt;"",COUNTIFS('QA Log'!D:D,A136,'QA Log'!M:M,"Vignette",'QA Log'!L:L,"Exit Interview 2",'QA Log'!Z:Z,"Approved"),"")</f>
        <v/>
      </c>
      <c r="BT136" s="102" t="str">
        <f>IF(
  A136="","",
  SUM(
    COUNTIFS('QA Log'!D:D,A136,'QA Log'!M:M,"Vignette",'QA Log'!Z:Z,"Rejected",'QA Log'!L:L,"*Exit Interview 1*"),
    COUNTIFS('QA Log'!D:D,A136,'QA Log'!M:M,"Vignette",'QA Log'!Z:Z,"Rejected",'QA Log'!L:L,"*Exit Interview 2*")
  )
)</f>
        <v/>
      </c>
      <c r="BU136" s="107" t="str">
        <f t="shared" si="13"/>
        <v/>
      </c>
      <c r="BV136" s="102" t="str">
        <f t="shared" si="14"/>
        <v/>
      </c>
      <c r="BW136" s="102" t="str">
        <f t="shared" si="15"/>
        <v/>
      </c>
      <c r="BX136" s="102" t="str">
        <f t="shared" si="16"/>
        <v/>
      </c>
      <c r="BY136" s="102" t="str">
        <f t="shared" si="17"/>
        <v/>
      </c>
      <c r="BZ136" s="107" t="str">
        <f t="shared" si="18"/>
        <v/>
      </c>
      <c r="CA136" s="108" t="str">
        <f t="shared" si="19"/>
        <v/>
      </c>
      <c r="CB136" s="108" t="str">
        <f t="shared" si="20"/>
        <v/>
      </c>
      <c r="CC136" s="109" t="str">
        <f t="shared" si="21"/>
        <v/>
      </c>
      <c r="CD136" s="108" t="str">
        <f t="shared" si="22"/>
        <v/>
      </c>
      <c r="CE136" s="108" t="str">
        <f t="shared" si="23"/>
        <v/>
      </c>
      <c r="CF136" s="109" t="str">
        <f t="shared" si="24"/>
        <v/>
      </c>
      <c r="CG136" s="110" t="str">
        <f t="shared" si="25"/>
        <v/>
      </c>
      <c r="CH136" s="111"/>
    </row>
    <row r="137" spans="1:86" ht="12.75">
      <c r="A137" s="101"/>
      <c r="B137" s="102" t="e">
        <f t="array" aca="1" ref="B137" ca="1">_xludf.XLOOKUP(A137,'QA Log'!D:D,'QA Log'!E:E,"")</f>
        <v>#NAME?</v>
      </c>
      <c r="C137" s="102" t="e">
        <f t="array" aca="1" ref="C137" ca="1">_xludf.XLOOKUP(A137,'QA Log'!D:D,'QA Log'!F:F,"")</f>
        <v>#NAME?</v>
      </c>
      <c r="D137" s="102" t="e">
        <f t="array" aca="1" ref="D137" ca="1">_xludf.XLOOKUP(A137,'QA Log'!D:D,'QA Log'!H:H,"")</f>
        <v>#NAME?</v>
      </c>
      <c r="E137" s="102" t="e">
        <f t="array" aca="1" ref="E137" ca="1">_xludf.XLOOKUP(A137,'QA Log'!D:D,'QA Log'!G:G,"")</f>
        <v>#NAME?</v>
      </c>
      <c r="F137" s="103"/>
      <c r="G137" s="104"/>
      <c r="H137" s="104"/>
      <c r="I137" s="103" t="str">
        <f t="shared" si="0"/>
        <v/>
      </c>
      <c r="J137" s="102" t="str">
        <f>IF(A137="","",SUM(
COUNTIFS('QA Log'!D:D,A137,'QA Log'!M:M,"QQC",'QA Log'!L:L,"*1. General Management*"),
COUNTIFS('QA Log'!D:D,A137,'QA Log'!M:M,"QQC",'QA Log'!L:L,"*3. Curative Consultation (OPD)*"),
COUNTIFS('QA Log'!D:D,A137,'QA Log'!M:M,"QQC",'QA Log'!L:L,"*5. Laboratory*"),
COUNTIFS('QA Log'!D:D,A137,'QA Log'!M:M,"QQC",'QA Log'!L:L,"*6. Essential Medicine Management*"),
COUNTIFS('QA Log'!D:D,A137,'QA Log'!M:M,"QQC",'QA Log'!L:L,"*7. Tracer Medicine*"),
COUNTIFS('QA Log'!D:D,A137,'QA Log'!M:M,"QQC",'QA Log'!L:L,"*11. Additional Questions*")))</f>
        <v/>
      </c>
      <c r="K137" s="102" t="str">
        <f>IF(A137="","",SUM(
COUNTIFS('QA Log'!D:D,A137,'QA Log'!M:M,"QQC",'QA Log'!Z:Z,"Approved",'QA Log'!L:L,"*1. General Management*"),
COUNTIFS('QA Log'!D:D,A137,'QA Log'!M:M,"QQC",'QA Log'!Z:Z,"Approved",'QA Log'!L:L,"*3. Curative Consultation (OPD)*"),
COUNTIFS('QA Log'!D:D,A137,'QA Log'!M:M,"QQC",'QA Log'!Z:Z,"Approved",'QA Log'!L:L,"*5. Laboratory*"),
COUNTIFS('QA Log'!D:D,A137,'QA Log'!M:M,"QQC",'QA Log'!Z:Z,"Approved",'QA Log'!L:L,"*6. Essential Medicine Management*"),
COUNTIFS('QA Log'!D:D,A137,'QA Log'!M:M,"QQC",'QA Log'!Z:Z,"Approved",'QA Log'!L:L,"*7. Tracer Medicine*"),
COUNTIFS('QA Log'!D:D,A137,'QA Log'!M:M,"QQC",'QA Log'!Z:Z,"Approved",'QA Log'!L:L,"*11. Additional Questions*")))</f>
        <v/>
      </c>
      <c r="L137" s="105" t="str">
        <f>IF(A137&lt;&gt;"",COUNTIFS('QA Log'!D:D,A137,'QA Log'!M:M,"QQC",'QA Log'!L:L,"1. General Management",'QA Log'!Z:Z,"Approved"),"")</f>
        <v/>
      </c>
      <c r="M137" s="105" t="str">
        <f>IF(A137&lt;&gt;"",COUNTIFS('QA Log'!D:D,A137,'QA Log'!M:M,"QQC",'QA Log'!L:L,"3. Curative Consultation (OPD)",'QA Log'!Z:Z,"Approved"),"")</f>
        <v/>
      </c>
      <c r="N137" s="105" t="str">
        <f>IF(A137&lt;&gt;"",COUNTIFS('QA Log'!D:D,A137,'QA Log'!M:M,"QQC",'QA Log'!L:L,"5. Laboratory",'QA Log'!Z:Z,"Approved"),"")</f>
        <v/>
      </c>
      <c r="O137" s="105" t="str">
        <f>IF(A137&lt;&gt;"",COUNTIFS('QA Log'!D:D,A137,'QA Log'!M:M,"QQC",'QA Log'!L:L,"6. Essential Medicine Management",'QA Log'!Z:Z,"Approved"),"")</f>
        <v/>
      </c>
      <c r="P137" s="105" t="str">
        <f>IF(A137&lt;&gt;"",COUNTIFS('QA Log'!D:D,A137,'QA Log'!M:M,"QQC",'QA Log'!L:L,"7. Tracer Medicine",'QA Log'!Z:Z,"Approved"),"")</f>
        <v/>
      </c>
      <c r="Q137" s="105" t="str">
        <f>IF(A137&lt;&gt;"",COUNTIFS('QA Log'!D:D,A137,'QA Log'!M:M,"QQC",'QA Log'!L:L,"11. Additional Questions",'QA Log'!Z:Z,"Approved"),"")</f>
        <v/>
      </c>
      <c r="R137" s="102" t="str">
        <f>IF(A137="","",SUM(
COUNTIFS('QA Log'!D:D,A137,'QA Log'!M:M,"QQC",'QA Log'!Z:Z,"Rejected",'QA Log'!L:L,"*8. Maternity*"),
COUNTIFS('QA Log'!D:D,A137,'QA Log'!M:M,"QQC",'QA Log'!Z:Z,"Rejected",'QA Log'!L:L,"*EPI*"),
COUNTIFS('QA Log'!D:D,A137,'QA Log'!M:M,"QQC",'QA Log'!Z:Z,"Rejected",'QA Log'!L:L,"*10. Antenatal Care (ANC)*"),
COUNTIFS('QA Log'!D:D,A137,'QA Log'!M:M,"QQC",'QA Log'!Z:Z,"Rejected",'QA Log'!L:L,"*2. Hygiene and Sterilization*"),
COUNTIFS('QA Log'!D:D,A137,'QA Log'!M:M,"QQC",'QA Log'!Z:Z,"Rejected",'QA Log'!L:L,"*Family Planning*")))</f>
        <v/>
      </c>
      <c r="S137" s="106" t="str">
        <f t="shared" si="1"/>
        <v/>
      </c>
      <c r="T137" s="102" t="str">
        <f t="shared" si="2"/>
        <v/>
      </c>
      <c r="U137" s="102" t="str">
        <f>IF(A137="","",
SUM(
COUNTIFS('QA Log'!D:D,A137,'QA Log'!M:M,"QQC",'QA Log'!L:L,"*8. Maternity*"),
COUNTIFS('QA Log'!D:D,A137,'QA Log'!M:M,"QQC",'QA Log'!L:L,"*9. EPI and Pre-school Consultation*"),
COUNTIFS('QA Log'!D:D,A137,'QA Log'!M:M,"QQC",'QA Log'!L:L,"*10. Antenatal Care (ANC)*"),
COUNTIFS('QA Log'!D:D,A137,'QA Log'!M:M,"QQC",'QA Log'!L:L,"*2. Hygiene and Sterilization*"),
COUNTIFS('QA Log'!D:D,A137,'QA Log'!M:M,"QQC",'QA Log'!L:L,"*4. Family Planning*")
))</f>
        <v/>
      </c>
      <c r="V137" s="102" t="str">
        <f>IF(A137="","",
SUM(
COUNTIFS('QA Log'!D:D,A137,'QA Log'!M:M,"QQC",'QA Log'!Z:Z,"Approved",'QA Log'!L:L,"*8. Maternity*"),
COUNTIFS('QA Log'!D:D,A137,'QA Log'!M:M,"QQC",'QA Log'!Z:Z,"Approved",'QA Log'!L:L,"*9. EPI and Pre-school Consultation*"),
COUNTIFS('QA Log'!D:D,A137,'QA Log'!M:M,"QQC",'QA Log'!Z:Z,"Approved",'QA Log'!L:L,"*10. Antenatal Care (ANC)*"),
COUNTIFS('QA Log'!D:D,A137,'QA Log'!M:M,"QQC",'QA Log'!Z:Z,"Approved",'QA Log'!L:L,"*2. Hygiene and Sterilization*"),
COUNTIFS('QA Log'!D:D,A137,'QA Log'!M:M,"QQC",'QA Log'!Z:Z,"Approved",'QA Log'!L:L,"*4. Family Planning*")
))</f>
        <v/>
      </c>
      <c r="W137" s="105" t="str">
        <f>IF(A137&lt;&gt;"",COUNTIFS('QA Log'!D:D,A137,'QA Log'!M:M,"QQC",'QA Log'!L:L,"8. Maternity",'QA Log'!Z:Z,"Approved"),"")</f>
        <v/>
      </c>
      <c r="X137" s="105" t="str">
        <f>IF(A137&lt;&gt;"",COUNTIFS('QA Log'!D:D,A137,'QA Log'!M:M,"QQC",'QA Log'!L:L,"9. EPI and Pre-school Consultation",'QA Log'!Z:Z,"Approved"),"")</f>
        <v/>
      </c>
      <c r="Y137" s="105" t="str">
        <f>IF(A137&lt;&gt;"",COUNTIFS('QA Log'!D:D,A137,'QA Log'!M:M,"QQC",'QA Log'!L:L,"10. Antenatal Care (ANC)",'QA Log'!Z:Z,"Approved"),"")</f>
        <v/>
      </c>
      <c r="Z137" s="105" t="str">
        <f>IF(A137&lt;&gt;"",COUNTIFS('QA Log'!D:D,A137,'QA Log'!M:M,"QQC",'QA Log'!L:L,"2. Hygiene and Sterilization",'QA Log'!Z:Z,"Approved"),"")</f>
        <v/>
      </c>
      <c r="AA137" s="105" t="str">
        <f>IF(A137&lt;&gt;"",COUNTIFS('QA Log'!D:D,A137,'QA Log'!M:M,"QQC",'QA Log'!L:L,"4. Family Planning",'QA Log'!Z:Z,"Approved"),"")</f>
        <v/>
      </c>
      <c r="AB137" s="102" t="str">
        <f>IF(A137="","",
SUM(
COUNTIFS('QA Log'!D:D,A137,'QA Log'!M:M,"QQC",'QA Log'!Z:Z,"Rejected",'QA Log'!L:L,"*8. Maternity*"),
COUNTIFS('QA Log'!D:D,A137,'QA Log'!M:M,"QQC",'QA Log'!Z:Z,"Rejected",'QA Log'!L:L,"*9. EPI and Pre-school Consultation*"),
COUNTIFS('QA Log'!D:D,A137,'QA Log'!M:M,"QQC",'QA Log'!Z:Z,"Rejected",'QA Log'!L:L,"*10. Antenatal Care (ANC)*"),
COUNTIFS('QA Log'!D:D,A137,'QA Log'!M:M,"QQC",'QA Log'!Z:Z,"Rejected",'QA Log'!L:L,"*2. Hygiene and Sterilization*"),
COUNTIFS('QA Log'!D:D,A137,'QA Log'!M:M,"QQC",'QA Log'!Z:Z,"Rejected",'QA Log'!L:L,"*4. Family Planning*")
))</f>
        <v/>
      </c>
      <c r="AC137" s="102" t="str">
        <f t="shared" si="3"/>
        <v/>
      </c>
      <c r="AD137" s="103" t="str">
        <f t="shared" si="4"/>
        <v/>
      </c>
      <c r="AE137" s="102" t="str">
        <f>IF(A137="","",
SUM(
COUNTIFS('QA Log'!D:D,A137,'QA Log'!M:M,"Data Verification",'QA Log'!L:L,"*Medicine (section 2)*"),
COUNTIFS('QA Log'!D:D,A137,'QA Log'!M:M,"Data Verification",'QA Log'!L:L,"*Lab Testing Availability*"),
COUNTIFS('QA Log'!D:D,A137,'QA Log'!M:M,"Data Verification",'QA Log'!L:L,"*Other than P4P (section 6)*"),
COUNTIFS('QA Log'!D:D,A137,'QA Log'!M:M,"Data Verification",'QA Log'!L:L,"*Hospital Governance*")
))</f>
        <v/>
      </c>
      <c r="AF137" s="102" t="str">
        <f>IF(A137="","",
SUM(
COUNTIFS('QA Log'!D:D,A137,'QA Log'!M:M,"Data Verification",'QA Log'!Z:Z,"Approved",'QA Log'!L:L,"*Medicine (section 2)*"),
COUNTIFS('QA Log'!D:D,A137,'QA Log'!M:M,"Data Verification",'QA Log'!Z:Z,"Approved",'QA Log'!L:L,"*Lab Testing Availability*"),
COUNTIFS('QA Log'!D:D,A137,'QA Log'!M:M,"Data Verification",'QA Log'!Z:Z,"Approved",'QA Log'!L:L,"*Other than P4P (section 6)*"),
COUNTIFS('QA Log'!D:D,A137,'QA Log'!M:M,"Data Verification",'QA Log'!Z:Z,"Approved",'QA Log'!L:L,"*Hospital Governance*")
))</f>
        <v/>
      </c>
      <c r="AG137" s="105" t="str">
        <f>IF(A137&lt;&gt;"",COUNTIFS('QA Log'!D:D,A137,'QA Log'!M:M,"Data Verification",'QA Log'!L:L,"Medicine (section 2)",'QA Log'!Z:Z,"Approved"),"")</f>
        <v/>
      </c>
      <c r="AH137" s="105" t="str">
        <f>IF(A137&lt;&gt;"",COUNTIFS('QA Log'!D:D,A137,'QA Log'!M:M,"Data Verification",'QA Log'!L:L,"Lab Testing Availability",'QA Log'!Z:Z,"Approved"),"")</f>
        <v/>
      </c>
      <c r="AI137" s="105" t="str">
        <f>IF(A137&lt;&gt;"",COUNTIFS('QA Log'!D:D,A137,'QA Log'!M:M,"Data Verification",'QA Log'!L:L,"Other than P4P (section 6)",'QA Log'!Z:Z,"Approved"),"")</f>
        <v/>
      </c>
      <c r="AJ137" s="105" t="str">
        <f>IF(A137&lt;&gt;"",COUNTIFS('QA Log'!D:D,A137,'QA Log'!M:M,"Data Verification",'QA Log'!L:L,"Hospital Governance",'QA Log'!Z:Z,"Approved"),"")</f>
        <v/>
      </c>
      <c r="AK137" s="102" t="str">
        <f>IF(A137="","",
SUM(
COUNTIFS('QA Log'!D:D,A137,'QA Log'!M:M,"Data Verification",'QA Log'!Z:Z,"Rejected",'QA Log'!L:L,"*Medicine (section 2)*"),
COUNTIFS('QA Log'!D:D,A137,'QA Log'!M:M,"Data Verification",'QA Log'!Z:Z,"Rejected",'QA Log'!L:L,"*Lab Testing Availability*"),
COUNTIFS('QA Log'!D:D,A137,'QA Log'!M:M,"Data Verification",'QA Log'!Z:Z,"Rejected",'QA Log'!L:L,"*Other than P4P (section 6)*"),
COUNTIFS('QA Log'!D:D,A137,'QA Log'!M:M,"Data Verification",'QA Log'!Z:Z,"Rejected",'QA Log'!L:L,"*Hospital Governance*")
))</f>
        <v/>
      </c>
      <c r="AL137" s="106" t="str">
        <f t="shared" si="5"/>
        <v/>
      </c>
      <c r="AM137" s="102" t="str">
        <f t="shared" si="6"/>
        <v/>
      </c>
      <c r="AN137" s="102" t="str">
        <f>IF(A137="","",
SUM(
COUNTIFS('QA Log'!D:D,A137,'QA Log'!M:M,"Data Verification",'QA Log'!L:L,"*Personnel (section 1)*"),
COUNTIFS('QA Log'!D:D,A137,'QA Log'!M:M,"Data Verification",'QA Log'!L:L,"*Consumable (section 3)*"),
COUNTIFS('QA Log'!D:D,A137,'QA Log'!M:M,"Data Verification",'QA Log'!L:L,"*Equipments (section 4)*")
))</f>
        <v/>
      </c>
      <c r="AO137" s="102" t="str">
        <f>IF(A137="","",
SUM(
COUNTIFS('QA Log'!D:D,A137,'QA Log'!M:M,"Data Verification",'QA Log'!Z:Z,"Approved",'QA Log'!L:L,"*Personnel (section 1)*"),
COUNTIFS('QA Log'!D:D,A137,'QA Log'!M:M,"Data Verification",'QA Log'!Z:Z,"Approved",'QA Log'!L:L,"*Consumable (section 3)*"),
COUNTIFS('QA Log'!D:D,A137,'QA Log'!M:M,"Data Verification",'QA Log'!Z:Z,"Approved",'QA Log'!L:L,"*Equipments (section 4)*")
))</f>
        <v/>
      </c>
      <c r="AP137" s="105" t="str">
        <f>IF(A137&lt;&gt;"",COUNTIFS('QA Log'!D:D,A137,'QA Log'!M:M,"Data Verification",'QA Log'!L:L,"Personnel (section 1)",'QA Log'!Z:Z,"Approved"),"")</f>
        <v/>
      </c>
      <c r="AQ137" s="105" t="str">
        <f>IF(A137&lt;&gt;"",COUNTIFS('QA Log'!D:D,A137,'QA Log'!M:M,"Data Verification",'QA Log'!L:L,"Consumable (section 3)",'QA Log'!Z:Z,"Approved"),"")</f>
        <v/>
      </c>
      <c r="AR137" s="105" t="str">
        <f>IF(A137&lt;&gt;"",COUNTIFS('QA Log'!D:D,A137,'QA Log'!M:M,"Data Verification",'QA Log'!L:L,"Equipments (section 4)",'QA Log'!Z:Z,"Approved"),"")</f>
        <v/>
      </c>
      <c r="AS137" s="102" t="str">
        <f>IF(A137="","",
SUM(
COUNTIFS('QA Log'!D:D,A137,'QA Log'!M:M,"Data Verification",'QA Log'!Z:Z,"Rejected",'QA Log'!L:L,"*Personnel (section 1)*"),
COUNTIFS('QA Log'!D:D,A137,'QA Log'!M:M,"Data Verification",'QA Log'!Z:Z,"Rejected",'QA Log'!L:L,"*Consumable (section 3)*"),
COUNTIFS('QA Log'!D:D,A137,'QA Log'!M:M,"Data Verification",'QA Log'!Z:Z,"Rejected",'QA Log'!L:L,"*Equipments (section 4)*")
))</f>
        <v/>
      </c>
      <c r="AT137" s="102" t="str">
        <f t="shared" si="7"/>
        <v/>
      </c>
      <c r="AU137" s="103" t="str">
        <f t="shared" si="8"/>
        <v/>
      </c>
      <c r="AV137" s="102" t="str">
        <f>IF(A137="","",SUM(
COUNTIFS('QA Log'!D:D,A137,'QA Log'!M:M,"Vignette",'QA Log'!L:L,"*Vignette [1] Respiratory Infection: Pneumonia*"),
COUNTIFS('QA Log'!D:D,A137,'QA Log'!M:M,"Vignette",'QA Log'!L:L,"*Vignette [2]: Diarrhea with Cat B dehydration*"),
COUNTIFS('QA Log'!D:D,A137,'QA Log'!M:M,"Vignette",'QA Log'!L:L,"*Vignette [3] Growth Monitoring and Promotion*"),
COUNTIFS('QA Log'!D:D,A137,'QA Log'!M:M,"Vignette",'QA Log'!L:L,"*Vignette [4]: The management of presumptive TB patient*")
)
)</f>
        <v/>
      </c>
      <c r="AW137" s="102" t="str">
        <f>IF(
  A137="","",
  SUM(
    COUNTIFS('QA Log'!D:D,A137,'QA Log'!M:M,"Vignette",'QA Log'!Z:Z,"Approved",'QA Log'!L:L,"*Vignette [1] Respiratory Infection: Pneumonia*"),
    COUNTIFS('QA Log'!D:D,A137,'QA Log'!M:M,"Vignette",'QA Log'!Z:Z,"Approved",'QA Log'!L:L,"*Vignette [2]: Diarrhea with Cat B dehydration*"),
    COUNTIFS('QA Log'!D:D,A137,'QA Log'!M:M,"Vignette",'QA Log'!Z:Z,"Approved",'QA Log'!L:L,"*Vignette [3] Growth Monitoring and Promotion*"),
    COUNTIFS('QA Log'!D:D,A137,'QA Log'!M:M,"Vignette",'QA Log'!Z:Z,"Approved",'QA Log'!L:L,"*Vignette [4]: The management of presumptive TB patient*")
  )
)</f>
        <v/>
      </c>
      <c r="AX137" s="105" t="str">
        <f>IF(A137&lt;&gt;"",COUNTIFS('QA Log'!D:D,A137,'QA Log'!M:M,"Vignette",'QA Log'!L:L,"Vignette [1] Respiratory Infection: Pneumonia",'QA Log'!Z:Z,"Approved"),"")</f>
        <v/>
      </c>
      <c r="AY137" s="105" t="str">
        <f>IF(A137&lt;&gt;"",COUNTIFS('QA Log'!D:D,A137,'QA Log'!M:M,"Vignette",'QA Log'!L:L,"Vignette [2]: Diarrhea with Cat B dehydration",'QA Log'!Z:Z,"Approved"),"")</f>
        <v/>
      </c>
      <c r="AZ137" s="105" t="str">
        <f>IF(A137&lt;&gt;"",COUNTIFS('QA Log'!D:D,A137,'QA Log'!M:M,"Vignette",'QA Log'!L:L,"Vignette [3] Growth Monitoring and Promotion",'QA Log'!Z:Z,"Approved"),"")</f>
        <v/>
      </c>
      <c r="BA137" s="105" t="str">
        <f>IF(A137&lt;&gt;"",COUNTIFS('QA Log'!D:D,A137,'QA Log'!M:M,"Vignette",'QA Log'!L:L,"Vignette [4]: The management of presumptive TB patient",'QA Log'!Z:Z,"Approved"),"")</f>
        <v/>
      </c>
      <c r="BB137" s="102" t="str">
        <f>IF(A137="","",
  SUM(
    COUNTIFS('QA Log'!D:D,A137,'QA Log'!M:M,"Vignette",'QA Log'!Z:Z,"Rejected",'QA Log'!L:L,"*Vignette [1] Respiratory Infection: Pneumonia*"),
    COUNTIFS('QA Log'!D:D,A137,'QA Log'!M:M,"Vignette",'QA Log'!Z:Z,"Rejected",'QA Log'!L:L,"*Vignette [2]: Diarrhea with Cat B dehydration*"),
    COUNTIFS('QA Log'!D:D,A137,'QA Log'!M:M,"Vignette",'QA Log'!Z:Z,"Rejected",'QA Log'!L:L,"*Vignette [3] Growth Monitoring and Promotion*"),
    COUNTIFS('QA Log'!D:D,A137,'QA Log'!M:M,"Vignette",'QA Log'!Z:Z,"Rejected",'QA Log'!L:L,"*Vignette [4]: The management of presumptive TB patient*")
  )
)</f>
        <v/>
      </c>
      <c r="BC137" s="107" t="str">
        <f t="shared" si="9"/>
        <v/>
      </c>
      <c r="BD137" s="103" t="str">
        <f t="shared" si="10"/>
        <v/>
      </c>
      <c r="BE137" s="102" t="str">
        <f>IF(A137="","",SUM(
COUNTIFS('QA Log'!D:D,A137,'QA Log'!M:M,"Vignette",'QA Log'!L:L,"*Vignette [5] Labor*"),
COUNTIFS('QA Log'!D:D,A137,'QA Log'!M:M,"Vignette",'QA Log'!L:L,"*Vignette [6] PNC pre Discharge*"),
COUNTIFS('QA Log'!D:D,A137,'QA Log'!M:M,"Vignette",'QA Log'!L:L,"*Vignette [7] First ANC Visit*"),
COUNTIFS('QA Log'!D:D,A137,'QA Log'!M:M,"Vignette",'QA Log'!L:L,"*Vignette [8] Birth Spacing/ Family Planning :  FP Counselling*"),
COUNTIFS('QA Log'!D:D,A137,'QA Log'!M:M,"Vignette",'QA Log'!L:L,"*Vignette [9] Birth Spacing: Change FP method to Injectable*"),
COUNTIFS('QA Log'!D:D,A137,'QA Log'!M:M,"Vignette",'QA Log'!L:L,"*Vignette [10] Post Partum Haemorrhage - Atonic Uterus at Health Centre*"),
)
)</f>
        <v/>
      </c>
      <c r="BF137" s="102" t="str">
        <f>IF(A137="","",
  SUM(
    COUNTIFS('QA Log'!D:D,A137,'QA Log'!M:M,"Vignette",'QA Log'!Z:Z,"Approved",'QA Log'!L:L,"*Vignette [5] Labor*"),
    COUNTIFS('QA Log'!D:D,A137,'QA Log'!M:M,"Vignette",'QA Log'!Z:Z,"Approved",'QA Log'!L:L,"*Vignette [6] PNC pre Discharge*"),
    COUNTIFS('QA Log'!D:D,A137,'QA Log'!M:M,"Vignette",'QA Log'!Z:Z,"Approved",'QA Log'!L:L,"*Vignette [7] First ANC Visit*"),
    COUNTIFS('QA Log'!D:D,A137,'QA Log'!M:M,"Vignette",'QA Log'!Z:Z,"Approved",'QA Log'!L:L,"*Vignette [8] Birth Spacing/ Family Planning :  FP Counselling*"),
    COUNTIFS('QA Log'!D:D,A137,'QA Log'!M:M,"Vignette",'QA Log'!Z:Z,"Approved",'QA Log'!L:L,"*Vignette [9] Birth Spacing: Change FP method to Injectable*"),
    COUNTIFS('QA Log'!D:D,A137,'QA Log'!M:M,"Vignette",'QA Log'!Z:Z,"Approved",'QA Log'!L:L,"*Vignette [10] Post Partum Haemorrhage - Atonic Uterus at Health Centre*")
  )
)</f>
        <v/>
      </c>
      <c r="BG137" s="105" t="str">
        <f>IF(A137&lt;&gt;"",COUNTIFS('QA Log'!D:D,A137,'QA Log'!M:M,"Vignette",'QA Log'!L:L,"Vignette [5] Labor",'QA Log'!Z:Z,"Approved"),"")</f>
        <v/>
      </c>
      <c r="BH137" s="105" t="str">
        <f>IF(A137&lt;&gt;"",COUNTIFS('QA Log'!D:D,A137,'QA Log'!M:M,"Vignette",'QA Log'!L:L,"Vignette [6] PNC pre Discharge",'QA Log'!Z:Z,"Approved"),"")</f>
        <v/>
      </c>
      <c r="BI137" s="105" t="str">
        <f>IF(A137&lt;&gt;"",COUNTIFS('QA Log'!D:D,A137,'QA Log'!M:M,"Vignette",'QA Log'!L:L,"Vignette [7] First ANC Visit",'QA Log'!Z:Z,"Approved"),"")</f>
        <v/>
      </c>
      <c r="BJ137" s="105" t="str">
        <f>IF(A137&lt;&gt;"",COUNTIFS('QA Log'!D:D,A137,'QA Log'!M:M,"Vignette",'QA Log'!L:L,"Vignette [8] Birth Spacing/ Family Planning :  FP Counselling",'QA Log'!Z:Z,"Approved"),"")</f>
        <v/>
      </c>
      <c r="BK137" s="105" t="str">
        <f>IF(A137&lt;&gt;"",COUNTIFS('QA Log'!D:D,A137,'QA Log'!M:M,"Vignette",'QA Log'!L:L,"Vignette [9] Birth Spacing: Change FP method to Injectable",'QA Log'!Z:Z,"Approved"),"")</f>
        <v/>
      </c>
      <c r="BL137" s="105" t="str">
        <f>IF(A137&lt;&gt;"",COUNTIFS('QA Log'!D:D,A137,'QA Log'!M:M,"Vignette",'QA Log'!L:L,"Vignette [10] Post Partum Haemorrhage - Atonic Uterus at Health Centre",'QA Log'!Z:Z,"Approved"),"")</f>
        <v/>
      </c>
      <c r="BM137" s="102" t="str">
        <f>IF(A137="","",SUM(
    COUNTIFS('QA Log'!D:D,A137,'QA Log'!M:M,"Vignette",'QA Log'!Z:Z,"Rejected",'QA Log'!L:L,"*Vignette [5] Labor*"),
    COUNTIFS('QA Log'!D:D,A137,'QA Log'!M:M,"Vignette",'QA Log'!Z:Z,"Rejected",'QA Log'!L:L,"*Vignette [6] PNC pre Discharge*"),
    COUNTIFS('QA Log'!D:D,A137,'QA Log'!M:M,"Vignette",'QA Log'!Z:Z,"Rejected",'QA Log'!L:L,"*Vignette [7] First ANC Visit*"),
    COUNTIFS('QA Log'!D:D,A137,'QA Log'!M:M,"Vignette",'QA Log'!Z:Z,"Rejected",'QA Log'!L:L,"*Vignette [8] Birth Spacing/ Family Planning :  FP Counselling*"),
    COUNTIFS('QA Log'!D:D,A137,'QA Log'!M:M,"Vignette",'QA Log'!Z:Z,"Rejected",'QA Log'!L:L,"*Vignette [9] Birth Spacing: Change FP method to Injectable*"),
    COUNTIFS('QA Log'!D:D,A137,'QA Log'!M:M,"Vignette",'QA Log'!Z:Z,"Rejected",'QA Log'!L:L,"*Vignette [10] Post Partum Haemorrhage - Atonic Uterus at Health Centre*")
  )
)</f>
        <v/>
      </c>
      <c r="BN137" s="107" t="str">
        <f t="shared" si="11"/>
        <v/>
      </c>
      <c r="BO137" s="103" t="str">
        <f t="shared" si="12"/>
        <v/>
      </c>
      <c r="BP137" s="102" t="str">
        <f>IF(A137="","",SUM(
COUNTIFS('QA Log'!D:D,A137,'QA Log'!M:M,"Vignette",'QA Log'!L:L,"*Exit Interview 1*"),
COUNTIFS('QA Log'!D:D,A137,'QA Log'!M:M,"Vignette",'QA Log'!L:L,"*Exit Interview 2*"),
)
)</f>
        <v/>
      </c>
      <c r="BQ137" s="102" t="str">
        <f>IF(
  A137="","",
  SUM(
    COUNTIFS('QA Log'!D:D,A137,'QA Log'!M:M,"Vignette",'QA Log'!Z:Z,"Approved",'QA Log'!L:L,"*Exit Interview 1*"),
    COUNTIFS('QA Log'!D:D,A137,'QA Log'!M:M,"Vignette",'QA Log'!Z:Z,"Approved",'QA Log'!L:L,"*Exit Interview 2*")
  )
)</f>
        <v/>
      </c>
      <c r="BR137" s="105" t="str">
        <f>IF(A137&lt;&gt;"",COUNTIFS('QA Log'!D:D,A137,'QA Log'!M:M,"Vignette",'QA Log'!L:L,"Exit Interview 1",'QA Log'!Z:Z,"Approved"),"")</f>
        <v/>
      </c>
      <c r="BS137" s="105" t="str">
        <f>IF(A137&lt;&gt;"",COUNTIFS('QA Log'!D:D,A137,'QA Log'!M:M,"Vignette",'QA Log'!L:L,"Exit Interview 2",'QA Log'!Z:Z,"Approved"),"")</f>
        <v/>
      </c>
      <c r="BT137" s="102" t="str">
        <f>IF(
  A137="","",
  SUM(
    COUNTIFS('QA Log'!D:D,A137,'QA Log'!M:M,"Vignette",'QA Log'!Z:Z,"Rejected",'QA Log'!L:L,"*Exit Interview 1*"),
    COUNTIFS('QA Log'!D:D,A137,'QA Log'!M:M,"Vignette",'QA Log'!Z:Z,"Rejected",'QA Log'!L:L,"*Exit Interview 2*")
  )
)</f>
        <v/>
      </c>
      <c r="BU137" s="107" t="str">
        <f t="shared" si="13"/>
        <v/>
      </c>
      <c r="BV137" s="102" t="str">
        <f t="shared" si="14"/>
        <v/>
      </c>
      <c r="BW137" s="102" t="str">
        <f t="shared" si="15"/>
        <v/>
      </c>
      <c r="BX137" s="102" t="str">
        <f t="shared" si="16"/>
        <v/>
      </c>
      <c r="BY137" s="102" t="str">
        <f t="shared" si="17"/>
        <v/>
      </c>
      <c r="BZ137" s="107" t="str">
        <f t="shared" si="18"/>
        <v/>
      </c>
      <c r="CA137" s="108" t="str">
        <f t="shared" si="19"/>
        <v/>
      </c>
      <c r="CB137" s="108" t="str">
        <f t="shared" si="20"/>
        <v/>
      </c>
      <c r="CC137" s="109" t="str">
        <f t="shared" si="21"/>
        <v/>
      </c>
      <c r="CD137" s="108" t="str">
        <f t="shared" si="22"/>
        <v/>
      </c>
      <c r="CE137" s="108" t="str">
        <f t="shared" si="23"/>
        <v/>
      </c>
      <c r="CF137" s="109" t="str">
        <f t="shared" si="24"/>
        <v/>
      </c>
      <c r="CG137" s="110" t="str">
        <f t="shared" si="25"/>
        <v/>
      </c>
      <c r="CH137" s="111"/>
    </row>
    <row r="138" spans="1:86" ht="12.75">
      <c r="A138" s="101"/>
      <c r="B138" s="102" t="e">
        <f t="array" aca="1" ref="B138" ca="1">_xludf.XLOOKUP(A138,'QA Log'!D:D,'QA Log'!E:E,"")</f>
        <v>#NAME?</v>
      </c>
      <c r="C138" s="102" t="e">
        <f t="array" aca="1" ref="C138" ca="1">_xludf.XLOOKUP(A138,'QA Log'!D:D,'QA Log'!F:F,"")</f>
        <v>#NAME?</v>
      </c>
      <c r="D138" s="102" t="e">
        <f t="array" aca="1" ref="D138" ca="1">_xludf.XLOOKUP(A138,'QA Log'!D:D,'QA Log'!H:H,"")</f>
        <v>#NAME?</v>
      </c>
      <c r="E138" s="102" t="e">
        <f t="array" aca="1" ref="E138" ca="1">_xludf.XLOOKUP(A138,'QA Log'!D:D,'QA Log'!G:G,"")</f>
        <v>#NAME?</v>
      </c>
      <c r="F138" s="103"/>
      <c r="G138" s="104"/>
      <c r="H138" s="104"/>
      <c r="I138" s="103" t="str">
        <f t="shared" si="0"/>
        <v/>
      </c>
      <c r="J138" s="102" t="str">
        <f>IF(A138="","",SUM(
COUNTIFS('QA Log'!D:D,A138,'QA Log'!M:M,"QQC",'QA Log'!L:L,"*1. General Management*"),
COUNTIFS('QA Log'!D:D,A138,'QA Log'!M:M,"QQC",'QA Log'!L:L,"*3. Curative Consultation (OPD)*"),
COUNTIFS('QA Log'!D:D,A138,'QA Log'!M:M,"QQC",'QA Log'!L:L,"*5. Laboratory*"),
COUNTIFS('QA Log'!D:D,A138,'QA Log'!M:M,"QQC",'QA Log'!L:L,"*6. Essential Medicine Management*"),
COUNTIFS('QA Log'!D:D,A138,'QA Log'!M:M,"QQC",'QA Log'!L:L,"*7. Tracer Medicine*"),
COUNTIFS('QA Log'!D:D,A138,'QA Log'!M:M,"QQC",'QA Log'!L:L,"*11. Additional Questions*")))</f>
        <v/>
      </c>
      <c r="K138" s="102" t="str">
        <f>IF(A138="","",SUM(
COUNTIFS('QA Log'!D:D,A138,'QA Log'!M:M,"QQC",'QA Log'!Z:Z,"Approved",'QA Log'!L:L,"*1. General Management*"),
COUNTIFS('QA Log'!D:D,A138,'QA Log'!M:M,"QQC",'QA Log'!Z:Z,"Approved",'QA Log'!L:L,"*3. Curative Consultation (OPD)*"),
COUNTIFS('QA Log'!D:D,A138,'QA Log'!M:M,"QQC",'QA Log'!Z:Z,"Approved",'QA Log'!L:L,"*5. Laboratory*"),
COUNTIFS('QA Log'!D:D,A138,'QA Log'!M:M,"QQC",'QA Log'!Z:Z,"Approved",'QA Log'!L:L,"*6. Essential Medicine Management*"),
COUNTIFS('QA Log'!D:D,A138,'QA Log'!M:M,"QQC",'QA Log'!Z:Z,"Approved",'QA Log'!L:L,"*7. Tracer Medicine*"),
COUNTIFS('QA Log'!D:D,A138,'QA Log'!M:M,"QQC",'QA Log'!Z:Z,"Approved",'QA Log'!L:L,"*11. Additional Questions*")))</f>
        <v/>
      </c>
      <c r="L138" s="105" t="str">
        <f>IF(A138&lt;&gt;"",COUNTIFS('QA Log'!D:D,A138,'QA Log'!M:M,"QQC",'QA Log'!L:L,"1. General Management",'QA Log'!Z:Z,"Approved"),"")</f>
        <v/>
      </c>
      <c r="M138" s="105" t="str">
        <f>IF(A138&lt;&gt;"",COUNTIFS('QA Log'!D:D,A138,'QA Log'!M:M,"QQC",'QA Log'!L:L,"3. Curative Consultation (OPD)",'QA Log'!Z:Z,"Approved"),"")</f>
        <v/>
      </c>
      <c r="N138" s="105" t="str">
        <f>IF(A138&lt;&gt;"",COUNTIFS('QA Log'!D:D,A138,'QA Log'!M:M,"QQC",'QA Log'!L:L,"5. Laboratory",'QA Log'!Z:Z,"Approved"),"")</f>
        <v/>
      </c>
      <c r="O138" s="105" t="str">
        <f>IF(A138&lt;&gt;"",COUNTIFS('QA Log'!D:D,A138,'QA Log'!M:M,"QQC",'QA Log'!L:L,"6. Essential Medicine Management",'QA Log'!Z:Z,"Approved"),"")</f>
        <v/>
      </c>
      <c r="P138" s="105" t="str">
        <f>IF(A138&lt;&gt;"",COUNTIFS('QA Log'!D:D,A138,'QA Log'!M:M,"QQC",'QA Log'!L:L,"7. Tracer Medicine",'QA Log'!Z:Z,"Approved"),"")</f>
        <v/>
      </c>
      <c r="Q138" s="105" t="str">
        <f>IF(A138&lt;&gt;"",COUNTIFS('QA Log'!D:D,A138,'QA Log'!M:M,"QQC",'QA Log'!L:L,"11. Additional Questions",'QA Log'!Z:Z,"Approved"),"")</f>
        <v/>
      </c>
      <c r="R138" s="102" t="str">
        <f>IF(A138="","",SUM(
COUNTIFS('QA Log'!D:D,A138,'QA Log'!M:M,"QQC",'QA Log'!Z:Z,"Rejected",'QA Log'!L:L,"*8. Maternity*"),
COUNTIFS('QA Log'!D:D,A138,'QA Log'!M:M,"QQC",'QA Log'!Z:Z,"Rejected",'QA Log'!L:L,"*EPI*"),
COUNTIFS('QA Log'!D:D,A138,'QA Log'!M:M,"QQC",'QA Log'!Z:Z,"Rejected",'QA Log'!L:L,"*10. Antenatal Care (ANC)*"),
COUNTIFS('QA Log'!D:D,A138,'QA Log'!M:M,"QQC",'QA Log'!Z:Z,"Rejected",'QA Log'!L:L,"*2. Hygiene and Sterilization*"),
COUNTIFS('QA Log'!D:D,A138,'QA Log'!M:M,"QQC",'QA Log'!Z:Z,"Rejected",'QA Log'!L:L,"*Family Planning*")))</f>
        <v/>
      </c>
      <c r="S138" s="106" t="str">
        <f t="shared" si="1"/>
        <v/>
      </c>
      <c r="T138" s="102" t="str">
        <f t="shared" si="2"/>
        <v/>
      </c>
      <c r="U138" s="102" t="str">
        <f>IF(A138="","",
SUM(
COUNTIFS('QA Log'!D:D,A138,'QA Log'!M:M,"QQC",'QA Log'!L:L,"*8. Maternity*"),
COUNTIFS('QA Log'!D:D,A138,'QA Log'!M:M,"QQC",'QA Log'!L:L,"*9. EPI and Pre-school Consultation*"),
COUNTIFS('QA Log'!D:D,A138,'QA Log'!M:M,"QQC",'QA Log'!L:L,"*10. Antenatal Care (ANC)*"),
COUNTIFS('QA Log'!D:D,A138,'QA Log'!M:M,"QQC",'QA Log'!L:L,"*2. Hygiene and Sterilization*"),
COUNTIFS('QA Log'!D:D,A138,'QA Log'!M:M,"QQC",'QA Log'!L:L,"*4. Family Planning*")
))</f>
        <v/>
      </c>
      <c r="V138" s="102" t="str">
        <f>IF(A138="","",
SUM(
COUNTIFS('QA Log'!D:D,A138,'QA Log'!M:M,"QQC",'QA Log'!Z:Z,"Approved",'QA Log'!L:L,"*8. Maternity*"),
COUNTIFS('QA Log'!D:D,A138,'QA Log'!M:M,"QQC",'QA Log'!Z:Z,"Approved",'QA Log'!L:L,"*9. EPI and Pre-school Consultation*"),
COUNTIFS('QA Log'!D:D,A138,'QA Log'!M:M,"QQC",'QA Log'!Z:Z,"Approved",'QA Log'!L:L,"*10. Antenatal Care (ANC)*"),
COUNTIFS('QA Log'!D:D,A138,'QA Log'!M:M,"QQC",'QA Log'!Z:Z,"Approved",'QA Log'!L:L,"*2. Hygiene and Sterilization*"),
COUNTIFS('QA Log'!D:D,A138,'QA Log'!M:M,"QQC",'QA Log'!Z:Z,"Approved",'QA Log'!L:L,"*4. Family Planning*")
))</f>
        <v/>
      </c>
      <c r="W138" s="105" t="str">
        <f>IF(A138&lt;&gt;"",COUNTIFS('QA Log'!D:D,A138,'QA Log'!M:M,"QQC",'QA Log'!L:L,"8. Maternity",'QA Log'!Z:Z,"Approved"),"")</f>
        <v/>
      </c>
      <c r="X138" s="105" t="str">
        <f>IF(A138&lt;&gt;"",COUNTIFS('QA Log'!D:D,A138,'QA Log'!M:M,"QQC",'QA Log'!L:L,"9. EPI and Pre-school Consultation",'QA Log'!Z:Z,"Approved"),"")</f>
        <v/>
      </c>
      <c r="Y138" s="105" t="str">
        <f>IF(A138&lt;&gt;"",COUNTIFS('QA Log'!D:D,A138,'QA Log'!M:M,"QQC",'QA Log'!L:L,"10. Antenatal Care (ANC)",'QA Log'!Z:Z,"Approved"),"")</f>
        <v/>
      </c>
      <c r="Z138" s="105" t="str">
        <f>IF(A138&lt;&gt;"",COUNTIFS('QA Log'!D:D,A138,'QA Log'!M:M,"QQC",'QA Log'!L:L,"2. Hygiene and Sterilization",'QA Log'!Z:Z,"Approved"),"")</f>
        <v/>
      </c>
      <c r="AA138" s="105" t="str">
        <f>IF(A138&lt;&gt;"",COUNTIFS('QA Log'!D:D,A138,'QA Log'!M:M,"QQC",'QA Log'!L:L,"4. Family Planning",'QA Log'!Z:Z,"Approved"),"")</f>
        <v/>
      </c>
      <c r="AB138" s="102" t="str">
        <f>IF(A138="","",
SUM(
COUNTIFS('QA Log'!D:D,A138,'QA Log'!M:M,"QQC",'QA Log'!Z:Z,"Rejected",'QA Log'!L:L,"*8. Maternity*"),
COUNTIFS('QA Log'!D:D,A138,'QA Log'!M:M,"QQC",'QA Log'!Z:Z,"Rejected",'QA Log'!L:L,"*9. EPI and Pre-school Consultation*"),
COUNTIFS('QA Log'!D:D,A138,'QA Log'!M:M,"QQC",'QA Log'!Z:Z,"Rejected",'QA Log'!L:L,"*10. Antenatal Care (ANC)*"),
COUNTIFS('QA Log'!D:D,A138,'QA Log'!M:M,"QQC",'QA Log'!Z:Z,"Rejected",'QA Log'!L:L,"*2. Hygiene and Sterilization*"),
COUNTIFS('QA Log'!D:D,A138,'QA Log'!M:M,"QQC",'QA Log'!Z:Z,"Rejected",'QA Log'!L:L,"*4. Family Planning*")
))</f>
        <v/>
      </c>
      <c r="AC138" s="102" t="str">
        <f t="shared" si="3"/>
        <v/>
      </c>
      <c r="AD138" s="103" t="str">
        <f t="shared" si="4"/>
        <v/>
      </c>
      <c r="AE138" s="102" t="str">
        <f>IF(A138="","",
SUM(
COUNTIFS('QA Log'!D:D,A138,'QA Log'!M:M,"Data Verification",'QA Log'!L:L,"*Medicine (section 2)*"),
COUNTIFS('QA Log'!D:D,A138,'QA Log'!M:M,"Data Verification",'QA Log'!L:L,"*Lab Testing Availability*"),
COUNTIFS('QA Log'!D:D,A138,'QA Log'!M:M,"Data Verification",'QA Log'!L:L,"*Other than P4P (section 6)*"),
COUNTIFS('QA Log'!D:D,A138,'QA Log'!M:M,"Data Verification",'QA Log'!L:L,"*Hospital Governance*")
))</f>
        <v/>
      </c>
      <c r="AF138" s="102" t="str">
        <f>IF(A138="","",
SUM(
COUNTIFS('QA Log'!D:D,A138,'QA Log'!M:M,"Data Verification",'QA Log'!Z:Z,"Approved",'QA Log'!L:L,"*Medicine (section 2)*"),
COUNTIFS('QA Log'!D:D,A138,'QA Log'!M:M,"Data Verification",'QA Log'!Z:Z,"Approved",'QA Log'!L:L,"*Lab Testing Availability*"),
COUNTIFS('QA Log'!D:D,A138,'QA Log'!M:M,"Data Verification",'QA Log'!Z:Z,"Approved",'QA Log'!L:L,"*Other than P4P (section 6)*"),
COUNTIFS('QA Log'!D:D,A138,'QA Log'!M:M,"Data Verification",'QA Log'!Z:Z,"Approved",'QA Log'!L:L,"*Hospital Governance*")
))</f>
        <v/>
      </c>
      <c r="AG138" s="105" t="str">
        <f>IF(A138&lt;&gt;"",COUNTIFS('QA Log'!D:D,A138,'QA Log'!M:M,"Data Verification",'QA Log'!L:L,"Medicine (section 2)",'QA Log'!Z:Z,"Approved"),"")</f>
        <v/>
      </c>
      <c r="AH138" s="105" t="str">
        <f>IF(A138&lt;&gt;"",COUNTIFS('QA Log'!D:D,A138,'QA Log'!M:M,"Data Verification",'QA Log'!L:L,"Lab Testing Availability",'QA Log'!Z:Z,"Approved"),"")</f>
        <v/>
      </c>
      <c r="AI138" s="105" t="str">
        <f>IF(A138&lt;&gt;"",COUNTIFS('QA Log'!D:D,A138,'QA Log'!M:M,"Data Verification",'QA Log'!L:L,"Other than P4P (section 6)",'QA Log'!Z:Z,"Approved"),"")</f>
        <v/>
      </c>
      <c r="AJ138" s="105" t="str">
        <f>IF(A138&lt;&gt;"",COUNTIFS('QA Log'!D:D,A138,'QA Log'!M:M,"Data Verification",'QA Log'!L:L,"Hospital Governance",'QA Log'!Z:Z,"Approved"),"")</f>
        <v/>
      </c>
      <c r="AK138" s="102" t="str">
        <f>IF(A138="","",
SUM(
COUNTIFS('QA Log'!D:D,A138,'QA Log'!M:M,"Data Verification",'QA Log'!Z:Z,"Rejected",'QA Log'!L:L,"*Medicine (section 2)*"),
COUNTIFS('QA Log'!D:D,A138,'QA Log'!M:M,"Data Verification",'QA Log'!Z:Z,"Rejected",'QA Log'!L:L,"*Lab Testing Availability*"),
COUNTIFS('QA Log'!D:D,A138,'QA Log'!M:M,"Data Verification",'QA Log'!Z:Z,"Rejected",'QA Log'!L:L,"*Other than P4P (section 6)*"),
COUNTIFS('QA Log'!D:D,A138,'QA Log'!M:M,"Data Verification",'QA Log'!Z:Z,"Rejected",'QA Log'!L:L,"*Hospital Governance*")
))</f>
        <v/>
      </c>
      <c r="AL138" s="106" t="str">
        <f t="shared" si="5"/>
        <v/>
      </c>
      <c r="AM138" s="102" t="str">
        <f t="shared" si="6"/>
        <v/>
      </c>
      <c r="AN138" s="102" t="str">
        <f>IF(A138="","",
SUM(
COUNTIFS('QA Log'!D:D,A138,'QA Log'!M:M,"Data Verification",'QA Log'!L:L,"*Personnel (section 1)*"),
COUNTIFS('QA Log'!D:D,A138,'QA Log'!M:M,"Data Verification",'QA Log'!L:L,"*Consumable (section 3)*"),
COUNTIFS('QA Log'!D:D,A138,'QA Log'!M:M,"Data Verification",'QA Log'!L:L,"*Equipments (section 4)*")
))</f>
        <v/>
      </c>
      <c r="AO138" s="102" t="str">
        <f>IF(A138="","",
SUM(
COUNTIFS('QA Log'!D:D,A138,'QA Log'!M:M,"Data Verification",'QA Log'!Z:Z,"Approved",'QA Log'!L:L,"*Personnel (section 1)*"),
COUNTIFS('QA Log'!D:D,A138,'QA Log'!M:M,"Data Verification",'QA Log'!Z:Z,"Approved",'QA Log'!L:L,"*Consumable (section 3)*"),
COUNTIFS('QA Log'!D:D,A138,'QA Log'!M:M,"Data Verification",'QA Log'!Z:Z,"Approved",'QA Log'!L:L,"*Equipments (section 4)*")
))</f>
        <v/>
      </c>
      <c r="AP138" s="105" t="str">
        <f>IF(A138&lt;&gt;"",COUNTIFS('QA Log'!D:D,A138,'QA Log'!M:M,"Data Verification",'QA Log'!L:L,"Personnel (section 1)",'QA Log'!Z:Z,"Approved"),"")</f>
        <v/>
      </c>
      <c r="AQ138" s="105" t="str">
        <f>IF(A138&lt;&gt;"",COUNTIFS('QA Log'!D:D,A138,'QA Log'!M:M,"Data Verification",'QA Log'!L:L,"Consumable (section 3)",'QA Log'!Z:Z,"Approved"),"")</f>
        <v/>
      </c>
      <c r="AR138" s="105" t="str">
        <f>IF(A138&lt;&gt;"",COUNTIFS('QA Log'!D:D,A138,'QA Log'!M:M,"Data Verification",'QA Log'!L:L,"Equipments (section 4)",'QA Log'!Z:Z,"Approved"),"")</f>
        <v/>
      </c>
      <c r="AS138" s="102" t="str">
        <f>IF(A138="","",
SUM(
COUNTIFS('QA Log'!D:D,A138,'QA Log'!M:M,"Data Verification",'QA Log'!Z:Z,"Rejected",'QA Log'!L:L,"*Personnel (section 1)*"),
COUNTIFS('QA Log'!D:D,A138,'QA Log'!M:M,"Data Verification",'QA Log'!Z:Z,"Rejected",'QA Log'!L:L,"*Consumable (section 3)*"),
COUNTIFS('QA Log'!D:D,A138,'QA Log'!M:M,"Data Verification",'QA Log'!Z:Z,"Rejected",'QA Log'!L:L,"*Equipments (section 4)*")
))</f>
        <v/>
      </c>
      <c r="AT138" s="102" t="str">
        <f t="shared" si="7"/>
        <v/>
      </c>
      <c r="AU138" s="103" t="str">
        <f t="shared" si="8"/>
        <v/>
      </c>
      <c r="AV138" s="102" t="str">
        <f>IF(A138="","",SUM(
COUNTIFS('QA Log'!D:D,A138,'QA Log'!M:M,"Vignette",'QA Log'!L:L,"*Vignette [1] Respiratory Infection: Pneumonia*"),
COUNTIFS('QA Log'!D:D,A138,'QA Log'!M:M,"Vignette",'QA Log'!L:L,"*Vignette [2]: Diarrhea with Cat B dehydration*"),
COUNTIFS('QA Log'!D:D,A138,'QA Log'!M:M,"Vignette",'QA Log'!L:L,"*Vignette [3] Growth Monitoring and Promotion*"),
COUNTIFS('QA Log'!D:D,A138,'QA Log'!M:M,"Vignette",'QA Log'!L:L,"*Vignette [4]: The management of presumptive TB patient*")
)
)</f>
        <v/>
      </c>
      <c r="AW138" s="102" t="str">
        <f>IF(
  A138="","",
  SUM(
    COUNTIFS('QA Log'!D:D,A138,'QA Log'!M:M,"Vignette",'QA Log'!Z:Z,"Approved",'QA Log'!L:L,"*Vignette [1] Respiratory Infection: Pneumonia*"),
    COUNTIFS('QA Log'!D:D,A138,'QA Log'!M:M,"Vignette",'QA Log'!Z:Z,"Approved",'QA Log'!L:L,"*Vignette [2]: Diarrhea with Cat B dehydration*"),
    COUNTIFS('QA Log'!D:D,A138,'QA Log'!M:M,"Vignette",'QA Log'!Z:Z,"Approved",'QA Log'!L:L,"*Vignette [3] Growth Monitoring and Promotion*"),
    COUNTIFS('QA Log'!D:D,A138,'QA Log'!M:M,"Vignette",'QA Log'!Z:Z,"Approved",'QA Log'!L:L,"*Vignette [4]: The management of presumptive TB patient*")
  )
)</f>
        <v/>
      </c>
      <c r="AX138" s="105" t="str">
        <f>IF(A138&lt;&gt;"",COUNTIFS('QA Log'!D:D,A138,'QA Log'!M:M,"Vignette",'QA Log'!L:L,"Vignette [1] Respiratory Infection: Pneumonia",'QA Log'!Z:Z,"Approved"),"")</f>
        <v/>
      </c>
      <c r="AY138" s="105" t="str">
        <f>IF(A138&lt;&gt;"",COUNTIFS('QA Log'!D:D,A138,'QA Log'!M:M,"Vignette",'QA Log'!L:L,"Vignette [2]: Diarrhea with Cat B dehydration",'QA Log'!Z:Z,"Approved"),"")</f>
        <v/>
      </c>
      <c r="AZ138" s="105" t="str">
        <f>IF(A138&lt;&gt;"",COUNTIFS('QA Log'!D:D,A138,'QA Log'!M:M,"Vignette",'QA Log'!L:L,"Vignette [3] Growth Monitoring and Promotion",'QA Log'!Z:Z,"Approved"),"")</f>
        <v/>
      </c>
      <c r="BA138" s="105" t="str">
        <f>IF(A138&lt;&gt;"",COUNTIFS('QA Log'!D:D,A138,'QA Log'!M:M,"Vignette",'QA Log'!L:L,"Vignette [4]: The management of presumptive TB patient",'QA Log'!Z:Z,"Approved"),"")</f>
        <v/>
      </c>
      <c r="BB138" s="102" t="str">
        <f>IF(A138="","",
  SUM(
    COUNTIFS('QA Log'!D:D,A138,'QA Log'!M:M,"Vignette",'QA Log'!Z:Z,"Rejected",'QA Log'!L:L,"*Vignette [1] Respiratory Infection: Pneumonia*"),
    COUNTIFS('QA Log'!D:D,A138,'QA Log'!M:M,"Vignette",'QA Log'!Z:Z,"Rejected",'QA Log'!L:L,"*Vignette [2]: Diarrhea with Cat B dehydration*"),
    COUNTIFS('QA Log'!D:D,A138,'QA Log'!M:M,"Vignette",'QA Log'!Z:Z,"Rejected",'QA Log'!L:L,"*Vignette [3] Growth Monitoring and Promotion*"),
    COUNTIFS('QA Log'!D:D,A138,'QA Log'!M:M,"Vignette",'QA Log'!Z:Z,"Rejected",'QA Log'!L:L,"*Vignette [4]: The management of presumptive TB patient*")
  )
)</f>
        <v/>
      </c>
      <c r="BC138" s="107" t="str">
        <f t="shared" si="9"/>
        <v/>
      </c>
      <c r="BD138" s="103" t="str">
        <f t="shared" si="10"/>
        <v/>
      </c>
      <c r="BE138" s="102" t="str">
        <f>IF(A138="","",SUM(
COUNTIFS('QA Log'!D:D,A138,'QA Log'!M:M,"Vignette",'QA Log'!L:L,"*Vignette [5] Labor*"),
COUNTIFS('QA Log'!D:D,A138,'QA Log'!M:M,"Vignette",'QA Log'!L:L,"*Vignette [6] PNC pre Discharge*"),
COUNTIFS('QA Log'!D:D,A138,'QA Log'!M:M,"Vignette",'QA Log'!L:L,"*Vignette [7] First ANC Visit*"),
COUNTIFS('QA Log'!D:D,A138,'QA Log'!M:M,"Vignette",'QA Log'!L:L,"*Vignette [8] Birth Spacing/ Family Planning :  FP Counselling*"),
COUNTIFS('QA Log'!D:D,A138,'QA Log'!M:M,"Vignette",'QA Log'!L:L,"*Vignette [9] Birth Spacing: Change FP method to Injectable*"),
COUNTIFS('QA Log'!D:D,A138,'QA Log'!M:M,"Vignette",'QA Log'!L:L,"*Vignette [10] Post Partum Haemorrhage - Atonic Uterus at Health Centre*"),
)
)</f>
        <v/>
      </c>
      <c r="BF138" s="102" t="str">
        <f>IF(A138="","",
  SUM(
    COUNTIFS('QA Log'!D:D,A138,'QA Log'!M:M,"Vignette",'QA Log'!Z:Z,"Approved",'QA Log'!L:L,"*Vignette [5] Labor*"),
    COUNTIFS('QA Log'!D:D,A138,'QA Log'!M:M,"Vignette",'QA Log'!Z:Z,"Approved",'QA Log'!L:L,"*Vignette [6] PNC pre Discharge*"),
    COUNTIFS('QA Log'!D:D,A138,'QA Log'!M:M,"Vignette",'QA Log'!Z:Z,"Approved",'QA Log'!L:L,"*Vignette [7] First ANC Visit*"),
    COUNTIFS('QA Log'!D:D,A138,'QA Log'!M:M,"Vignette",'QA Log'!Z:Z,"Approved",'QA Log'!L:L,"*Vignette [8] Birth Spacing/ Family Planning :  FP Counselling*"),
    COUNTIFS('QA Log'!D:D,A138,'QA Log'!M:M,"Vignette",'QA Log'!Z:Z,"Approved",'QA Log'!L:L,"*Vignette [9] Birth Spacing: Change FP method to Injectable*"),
    COUNTIFS('QA Log'!D:D,A138,'QA Log'!M:M,"Vignette",'QA Log'!Z:Z,"Approved",'QA Log'!L:L,"*Vignette [10] Post Partum Haemorrhage - Atonic Uterus at Health Centre*")
  )
)</f>
        <v/>
      </c>
      <c r="BG138" s="105" t="str">
        <f>IF(A138&lt;&gt;"",COUNTIFS('QA Log'!D:D,A138,'QA Log'!M:M,"Vignette",'QA Log'!L:L,"Vignette [5] Labor",'QA Log'!Z:Z,"Approved"),"")</f>
        <v/>
      </c>
      <c r="BH138" s="105" t="str">
        <f>IF(A138&lt;&gt;"",COUNTIFS('QA Log'!D:D,A138,'QA Log'!M:M,"Vignette",'QA Log'!L:L,"Vignette [6] PNC pre Discharge",'QA Log'!Z:Z,"Approved"),"")</f>
        <v/>
      </c>
      <c r="BI138" s="105" t="str">
        <f>IF(A138&lt;&gt;"",COUNTIFS('QA Log'!D:D,A138,'QA Log'!M:M,"Vignette",'QA Log'!L:L,"Vignette [7] First ANC Visit",'QA Log'!Z:Z,"Approved"),"")</f>
        <v/>
      </c>
      <c r="BJ138" s="105" t="str">
        <f>IF(A138&lt;&gt;"",COUNTIFS('QA Log'!D:D,A138,'QA Log'!M:M,"Vignette",'QA Log'!L:L,"Vignette [8] Birth Spacing/ Family Planning :  FP Counselling",'QA Log'!Z:Z,"Approved"),"")</f>
        <v/>
      </c>
      <c r="BK138" s="105" t="str">
        <f>IF(A138&lt;&gt;"",COUNTIFS('QA Log'!D:D,A138,'QA Log'!M:M,"Vignette",'QA Log'!L:L,"Vignette [9] Birth Spacing: Change FP method to Injectable",'QA Log'!Z:Z,"Approved"),"")</f>
        <v/>
      </c>
      <c r="BL138" s="105" t="str">
        <f>IF(A138&lt;&gt;"",COUNTIFS('QA Log'!D:D,A138,'QA Log'!M:M,"Vignette",'QA Log'!L:L,"Vignette [10] Post Partum Haemorrhage - Atonic Uterus at Health Centre",'QA Log'!Z:Z,"Approved"),"")</f>
        <v/>
      </c>
      <c r="BM138" s="102" t="str">
        <f>IF(A138="","",SUM(
    COUNTIFS('QA Log'!D:D,A138,'QA Log'!M:M,"Vignette",'QA Log'!Z:Z,"Rejected",'QA Log'!L:L,"*Vignette [5] Labor*"),
    COUNTIFS('QA Log'!D:D,A138,'QA Log'!M:M,"Vignette",'QA Log'!Z:Z,"Rejected",'QA Log'!L:L,"*Vignette [6] PNC pre Discharge*"),
    COUNTIFS('QA Log'!D:D,A138,'QA Log'!M:M,"Vignette",'QA Log'!Z:Z,"Rejected",'QA Log'!L:L,"*Vignette [7] First ANC Visit*"),
    COUNTIFS('QA Log'!D:D,A138,'QA Log'!M:M,"Vignette",'QA Log'!Z:Z,"Rejected",'QA Log'!L:L,"*Vignette [8] Birth Spacing/ Family Planning :  FP Counselling*"),
    COUNTIFS('QA Log'!D:D,A138,'QA Log'!M:M,"Vignette",'QA Log'!Z:Z,"Rejected",'QA Log'!L:L,"*Vignette [9] Birth Spacing: Change FP method to Injectable*"),
    COUNTIFS('QA Log'!D:D,A138,'QA Log'!M:M,"Vignette",'QA Log'!Z:Z,"Rejected",'QA Log'!L:L,"*Vignette [10] Post Partum Haemorrhage - Atonic Uterus at Health Centre*")
  )
)</f>
        <v/>
      </c>
      <c r="BN138" s="107" t="str">
        <f t="shared" si="11"/>
        <v/>
      </c>
      <c r="BO138" s="103" t="str">
        <f t="shared" si="12"/>
        <v/>
      </c>
      <c r="BP138" s="102" t="str">
        <f>IF(A138="","",SUM(
COUNTIFS('QA Log'!D:D,A138,'QA Log'!M:M,"Vignette",'QA Log'!L:L,"*Exit Interview 1*"),
COUNTIFS('QA Log'!D:D,A138,'QA Log'!M:M,"Vignette",'QA Log'!L:L,"*Exit Interview 2*"),
)
)</f>
        <v/>
      </c>
      <c r="BQ138" s="102" t="str">
        <f>IF(
  A138="","",
  SUM(
    COUNTIFS('QA Log'!D:D,A138,'QA Log'!M:M,"Vignette",'QA Log'!Z:Z,"Approved",'QA Log'!L:L,"*Exit Interview 1*"),
    COUNTIFS('QA Log'!D:D,A138,'QA Log'!M:M,"Vignette",'QA Log'!Z:Z,"Approved",'QA Log'!L:L,"*Exit Interview 2*")
  )
)</f>
        <v/>
      </c>
      <c r="BR138" s="105" t="str">
        <f>IF(A138&lt;&gt;"",COUNTIFS('QA Log'!D:D,A138,'QA Log'!M:M,"Vignette",'QA Log'!L:L,"Exit Interview 1",'QA Log'!Z:Z,"Approved"),"")</f>
        <v/>
      </c>
      <c r="BS138" s="105" t="str">
        <f>IF(A138&lt;&gt;"",COUNTIFS('QA Log'!D:D,A138,'QA Log'!M:M,"Vignette",'QA Log'!L:L,"Exit Interview 2",'QA Log'!Z:Z,"Approved"),"")</f>
        <v/>
      </c>
      <c r="BT138" s="102" t="str">
        <f>IF(
  A138="","",
  SUM(
    COUNTIFS('QA Log'!D:D,A138,'QA Log'!M:M,"Vignette",'QA Log'!Z:Z,"Rejected",'QA Log'!L:L,"*Exit Interview 1*"),
    COUNTIFS('QA Log'!D:D,A138,'QA Log'!M:M,"Vignette",'QA Log'!Z:Z,"Rejected",'QA Log'!L:L,"*Exit Interview 2*")
  )
)</f>
        <v/>
      </c>
      <c r="BU138" s="107" t="str">
        <f t="shared" si="13"/>
        <v/>
      </c>
      <c r="BV138" s="102" t="str">
        <f t="shared" si="14"/>
        <v/>
      </c>
      <c r="BW138" s="102" t="str">
        <f t="shared" si="15"/>
        <v/>
      </c>
      <c r="BX138" s="102" t="str">
        <f t="shared" si="16"/>
        <v/>
      </c>
      <c r="BY138" s="102" t="str">
        <f t="shared" si="17"/>
        <v/>
      </c>
      <c r="BZ138" s="107" t="str">
        <f t="shared" si="18"/>
        <v/>
      </c>
      <c r="CA138" s="108" t="str">
        <f t="shared" si="19"/>
        <v/>
      </c>
      <c r="CB138" s="108" t="str">
        <f t="shared" si="20"/>
        <v/>
      </c>
      <c r="CC138" s="109" t="str">
        <f t="shared" si="21"/>
        <v/>
      </c>
      <c r="CD138" s="108" t="str">
        <f t="shared" si="22"/>
        <v/>
      </c>
      <c r="CE138" s="108" t="str">
        <f t="shared" si="23"/>
        <v/>
      </c>
      <c r="CF138" s="109" t="str">
        <f t="shared" si="24"/>
        <v/>
      </c>
      <c r="CG138" s="110" t="str">
        <f t="shared" si="25"/>
        <v/>
      </c>
      <c r="CH138" s="111"/>
    </row>
    <row r="139" spans="1:86" ht="12.75">
      <c r="A139" s="101"/>
      <c r="B139" s="102" t="e">
        <f t="array" aca="1" ref="B139" ca="1">_xludf.XLOOKUP(A139,'QA Log'!D:D,'QA Log'!E:E,"")</f>
        <v>#NAME?</v>
      </c>
      <c r="C139" s="102" t="e">
        <f t="array" aca="1" ref="C139" ca="1">_xludf.XLOOKUP(A139,'QA Log'!D:D,'QA Log'!F:F,"")</f>
        <v>#NAME?</v>
      </c>
      <c r="D139" s="102" t="e">
        <f t="array" aca="1" ref="D139" ca="1">_xludf.XLOOKUP(A139,'QA Log'!D:D,'QA Log'!H:H,"")</f>
        <v>#NAME?</v>
      </c>
      <c r="E139" s="102" t="e">
        <f t="array" aca="1" ref="E139" ca="1">_xludf.XLOOKUP(A139,'QA Log'!D:D,'QA Log'!G:G,"")</f>
        <v>#NAME?</v>
      </c>
      <c r="F139" s="103"/>
      <c r="G139" s="104"/>
      <c r="H139" s="104"/>
      <c r="I139" s="103" t="str">
        <f t="shared" si="0"/>
        <v/>
      </c>
      <c r="J139" s="102" t="str">
        <f>IF(A139="","",SUM(
COUNTIFS('QA Log'!D:D,A139,'QA Log'!M:M,"QQC",'QA Log'!L:L,"*1. General Management*"),
COUNTIFS('QA Log'!D:D,A139,'QA Log'!M:M,"QQC",'QA Log'!L:L,"*3. Curative Consultation (OPD)*"),
COUNTIFS('QA Log'!D:D,A139,'QA Log'!M:M,"QQC",'QA Log'!L:L,"*5. Laboratory*"),
COUNTIFS('QA Log'!D:D,A139,'QA Log'!M:M,"QQC",'QA Log'!L:L,"*6. Essential Medicine Management*"),
COUNTIFS('QA Log'!D:D,A139,'QA Log'!M:M,"QQC",'QA Log'!L:L,"*7. Tracer Medicine*"),
COUNTIFS('QA Log'!D:D,A139,'QA Log'!M:M,"QQC",'QA Log'!L:L,"*11. Additional Questions*")))</f>
        <v/>
      </c>
      <c r="K139" s="102" t="str">
        <f>IF(A139="","",SUM(
COUNTIFS('QA Log'!D:D,A139,'QA Log'!M:M,"QQC",'QA Log'!Z:Z,"Approved",'QA Log'!L:L,"*1. General Management*"),
COUNTIFS('QA Log'!D:D,A139,'QA Log'!M:M,"QQC",'QA Log'!Z:Z,"Approved",'QA Log'!L:L,"*3. Curative Consultation (OPD)*"),
COUNTIFS('QA Log'!D:D,A139,'QA Log'!M:M,"QQC",'QA Log'!Z:Z,"Approved",'QA Log'!L:L,"*5. Laboratory*"),
COUNTIFS('QA Log'!D:D,A139,'QA Log'!M:M,"QQC",'QA Log'!Z:Z,"Approved",'QA Log'!L:L,"*6. Essential Medicine Management*"),
COUNTIFS('QA Log'!D:D,A139,'QA Log'!M:M,"QQC",'QA Log'!Z:Z,"Approved",'QA Log'!L:L,"*7. Tracer Medicine*"),
COUNTIFS('QA Log'!D:D,A139,'QA Log'!M:M,"QQC",'QA Log'!Z:Z,"Approved",'QA Log'!L:L,"*11. Additional Questions*")))</f>
        <v/>
      </c>
      <c r="L139" s="105" t="str">
        <f>IF(A139&lt;&gt;"",COUNTIFS('QA Log'!D:D,A139,'QA Log'!M:M,"QQC",'QA Log'!L:L,"1. General Management",'QA Log'!Z:Z,"Approved"),"")</f>
        <v/>
      </c>
      <c r="M139" s="105" t="str">
        <f>IF(A139&lt;&gt;"",COUNTIFS('QA Log'!D:D,A139,'QA Log'!M:M,"QQC",'QA Log'!L:L,"3. Curative Consultation (OPD)",'QA Log'!Z:Z,"Approved"),"")</f>
        <v/>
      </c>
      <c r="N139" s="105" t="str">
        <f>IF(A139&lt;&gt;"",COUNTIFS('QA Log'!D:D,A139,'QA Log'!M:M,"QQC",'QA Log'!L:L,"5. Laboratory",'QA Log'!Z:Z,"Approved"),"")</f>
        <v/>
      </c>
      <c r="O139" s="105" t="str">
        <f>IF(A139&lt;&gt;"",COUNTIFS('QA Log'!D:D,A139,'QA Log'!M:M,"QQC",'QA Log'!L:L,"6. Essential Medicine Management",'QA Log'!Z:Z,"Approved"),"")</f>
        <v/>
      </c>
      <c r="P139" s="105" t="str">
        <f>IF(A139&lt;&gt;"",COUNTIFS('QA Log'!D:D,A139,'QA Log'!M:M,"QQC",'QA Log'!L:L,"7. Tracer Medicine",'QA Log'!Z:Z,"Approved"),"")</f>
        <v/>
      </c>
      <c r="Q139" s="105" t="str">
        <f>IF(A139&lt;&gt;"",COUNTIFS('QA Log'!D:D,A139,'QA Log'!M:M,"QQC",'QA Log'!L:L,"11. Additional Questions",'QA Log'!Z:Z,"Approved"),"")</f>
        <v/>
      </c>
      <c r="R139" s="102" t="str">
        <f>IF(A139="","",SUM(
COUNTIFS('QA Log'!D:D,A139,'QA Log'!M:M,"QQC",'QA Log'!Z:Z,"Rejected",'QA Log'!L:L,"*8. Maternity*"),
COUNTIFS('QA Log'!D:D,A139,'QA Log'!M:M,"QQC",'QA Log'!Z:Z,"Rejected",'QA Log'!L:L,"*EPI*"),
COUNTIFS('QA Log'!D:D,A139,'QA Log'!M:M,"QQC",'QA Log'!Z:Z,"Rejected",'QA Log'!L:L,"*10. Antenatal Care (ANC)*"),
COUNTIFS('QA Log'!D:D,A139,'QA Log'!M:M,"QQC",'QA Log'!Z:Z,"Rejected",'QA Log'!L:L,"*2. Hygiene and Sterilization*"),
COUNTIFS('QA Log'!D:D,A139,'QA Log'!M:M,"QQC",'QA Log'!Z:Z,"Rejected",'QA Log'!L:L,"*Family Planning*")))</f>
        <v/>
      </c>
      <c r="S139" s="106" t="str">
        <f t="shared" si="1"/>
        <v/>
      </c>
      <c r="T139" s="102" t="str">
        <f t="shared" si="2"/>
        <v/>
      </c>
      <c r="U139" s="102" t="str">
        <f>IF(A139="","",
SUM(
COUNTIFS('QA Log'!D:D,A139,'QA Log'!M:M,"QQC",'QA Log'!L:L,"*8. Maternity*"),
COUNTIFS('QA Log'!D:D,A139,'QA Log'!M:M,"QQC",'QA Log'!L:L,"*9. EPI and Pre-school Consultation*"),
COUNTIFS('QA Log'!D:D,A139,'QA Log'!M:M,"QQC",'QA Log'!L:L,"*10. Antenatal Care (ANC)*"),
COUNTIFS('QA Log'!D:D,A139,'QA Log'!M:M,"QQC",'QA Log'!L:L,"*2. Hygiene and Sterilization*"),
COUNTIFS('QA Log'!D:D,A139,'QA Log'!M:M,"QQC",'QA Log'!L:L,"*4. Family Planning*")
))</f>
        <v/>
      </c>
      <c r="V139" s="102" t="str">
        <f>IF(A139="","",
SUM(
COUNTIFS('QA Log'!D:D,A139,'QA Log'!M:M,"QQC",'QA Log'!Z:Z,"Approved",'QA Log'!L:L,"*8. Maternity*"),
COUNTIFS('QA Log'!D:D,A139,'QA Log'!M:M,"QQC",'QA Log'!Z:Z,"Approved",'QA Log'!L:L,"*9. EPI and Pre-school Consultation*"),
COUNTIFS('QA Log'!D:D,A139,'QA Log'!M:M,"QQC",'QA Log'!Z:Z,"Approved",'QA Log'!L:L,"*10. Antenatal Care (ANC)*"),
COUNTIFS('QA Log'!D:D,A139,'QA Log'!M:M,"QQC",'QA Log'!Z:Z,"Approved",'QA Log'!L:L,"*2. Hygiene and Sterilization*"),
COUNTIFS('QA Log'!D:D,A139,'QA Log'!M:M,"QQC",'QA Log'!Z:Z,"Approved",'QA Log'!L:L,"*4. Family Planning*")
))</f>
        <v/>
      </c>
      <c r="W139" s="105" t="str">
        <f>IF(A139&lt;&gt;"",COUNTIFS('QA Log'!D:D,A139,'QA Log'!M:M,"QQC",'QA Log'!L:L,"8. Maternity",'QA Log'!Z:Z,"Approved"),"")</f>
        <v/>
      </c>
      <c r="X139" s="105" t="str">
        <f>IF(A139&lt;&gt;"",COUNTIFS('QA Log'!D:D,A139,'QA Log'!M:M,"QQC",'QA Log'!L:L,"9. EPI and Pre-school Consultation",'QA Log'!Z:Z,"Approved"),"")</f>
        <v/>
      </c>
      <c r="Y139" s="105" t="str">
        <f>IF(A139&lt;&gt;"",COUNTIFS('QA Log'!D:D,A139,'QA Log'!M:M,"QQC",'QA Log'!L:L,"10. Antenatal Care (ANC)",'QA Log'!Z:Z,"Approved"),"")</f>
        <v/>
      </c>
      <c r="Z139" s="105" t="str">
        <f>IF(A139&lt;&gt;"",COUNTIFS('QA Log'!D:D,A139,'QA Log'!M:M,"QQC",'QA Log'!L:L,"2. Hygiene and Sterilization",'QA Log'!Z:Z,"Approved"),"")</f>
        <v/>
      </c>
      <c r="AA139" s="105" t="str">
        <f>IF(A139&lt;&gt;"",COUNTIFS('QA Log'!D:D,A139,'QA Log'!M:M,"QQC",'QA Log'!L:L,"4. Family Planning",'QA Log'!Z:Z,"Approved"),"")</f>
        <v/>
      </c>
      <c r="AB139" s="102" t="str">
        <f>IF(A139="","",
SUM(
COUNTIFS('QA Log'!D:D,A139,'QA Log'!M:M,"QQC",'QA Log'!Z:Z,"Rejected",'QA Log'!L:L,"*8. Maternity*"),
COUNTIFS('QA Log'!D:D,A139,'QA Log'!M:M,"QQC",'QA Log'!Z:Z,"Rejected",'QA Log'!L:L,"*9. EPI and Pre-school Consultation*"),
COUNTIFS('QA Log'!D:D,A139,'QA Log'!M:M,"QQC",'QA Log'!Z:Z,"Rejected",'QA Log'!L:L,"*10. Antenatal Care (ANC)*"),
COUNTIFS('QA Log'!D:D,A139,'QA Log'!M:M,"QQC",'QA Log'!Z:Z,"Rejected",'QA Log'!L:L,"*2. Hygiene and Sterilization*"),
COUNTIFS('QA Log'!D:D,A139,'QA Log'!M:M,"QQC",'QA Log'!Z:Z,"Rejected",'QA Log'!L:L,"*4. Family Planning*")
))</f>
        <v/>
      </c>
      <c r="AC139" s="102" t="str">
        <f t="shared" si="3"/>
        <v/>
      </c>
      <c r="AD139" s="103" t="str">
        <f t="shared" si="4"/>
        <v/>
      </c>
      <c r="AE139" s="102" t="str">
        <f>IF(A139="","",
SUM(
COUNTIFS('QA Log'!D:D,A139,'QA Log'!M:M,"Data Verification",'QA Log'!L:L,"*Medicine (section 2)*"),
COUNTIFS('QA Log'!D:D,A139,'QA Log'!M:M,"Data Verification",'QA Log'!L:L,"*Lab Testing Availability*"),
COUNTIFS('QA Log'!D:D,A139,'QA Log'!M:M,"Data Verification",'QA Log'!L:L,"*Other than P4P (section 6)*"),
COUNTIFS('QA Log'!D:D,A139,'QA Log'!M:M,"Data Verification",'QA Log'!L:L,"*Hospital Governance*")
))</f>
        <v/>
      </c>
      <c r="AF139" s="102" t="str">
        <f>IF(A139="","",
SUM(
COUNTIFS('QA Log'!D:D,A139,'QA Log'!M:M,"Data Verification",'QA Log'!Z:Z,"Approved",'QA Log'!L:L,"*Medicine (section 2)*"),
COUNTIFS('QA Log'!D:D,A139,'QA Log'!M:M,"Data Verification",'QA Log'!Z:Z,"Approved",'QA Log'!L:L,"*Lab Testing Availability*"),
COUNTIFS('QA Log'!D:D,A139,'QA Log'!M:M,"Data Verification",'QA Log'!Z:Z,"Approved",'QA Log'!L:L,"*Other than P4P (section 6)*"),
COUNTIFS('QA Log'!D:D,A139,'QA Log'!M:M,"Data Verification",'QA Log'!Z:Z,"Approved",'QA Log'!L:L,"*Hospital Governance*")
))</f>
        <v/>
      </c>
      <c r="AG139" s="105" t="str">
        <f>IF(A139&lt;&gt;"",COUNTIFS('QA Log'!D:D,A139,'QA Log'!M:M,"Data Verification",'QA Log'!L:L,"Medicine (section 2)",'QA Log'!Z:Z,"Approved"),"")</f>
        <v/>
      </c>
      <c r="AH139" s="105" t="str">
        <f>IF(A139&lt;&gt;"",COUNTIFS('QA Log'!D:D,A139,'QA Log'!M:M,"Data Verification",'QA Log'!L:L,"Lab Testing Availability",'QA Log'!Z:Z,"Approved"),"")</f>
        <v/>
      </c>
      <c r="AI139" s="105" t="str">
        <f>IF(A139&lt;&gt;"",COUNTIFS('QA Log'!D:D,A139,'QA Log'!M:M,"Data Verification",'QA Log'!L:L,"Other than P4P (section 6)",'QA Log'!Z:Z,"Approved"),"")</f>
        <v/>
      </c>
      <c r="AJ139" s="105" t="str">
        <f>IF(A139&lt;&gt;"",COUNTIFS('QA Log'!D:D,A139,'QA Log'!M:M,"Data Verification",'QA Log'!L:L,"Hospital Governance",'QA Log'!Z:Z,"Approved"),"")</f>
        <v/>
      </c>
      <c r="AK139" s="102" t="str">
        <f>IF(A139="","",
SUM(
COUNTIFS('QA Log'!D:D,A139,'QA Log'!M:M,"Data Verification",'QA Log'!Z:Z,"Rejected",'QA Log'!L:L,"*Medicine (section 2)*"),
COUNTIFS('QA Log'!D:D,A139,'QA Log'!M:M,"Data Verification",'QA Log'!Z:Z,"Rejected",'QA Log'!L:L,"*Lab Testing Availability*"),
COUNTIFS('QA Log'!D:D,A139,'QA Log'!M:M,"Data Verification",'QA Log'!Z:Z,"Rejected",'QA Log'!L:L,"*Other than P4P (section 6)*"),
COUNTIFS('QA Log'!D:D,A139,'QA Log'!M:M,"Data Verification",'QA Log'!Z:Z,"Rejected",'QA Log'!L:L,"*Hospital Governance*")
))</f>
        <v/>
      </c>
      <c r="AL139" s="106" t="str">
        <f t="shared" si="5"/>
        <v/>
      </c>
      <c r="AM139" s="102" t="str">
        <f t="shared" si="6"/>
        <v/>
      </c>
      <c r="AN139" s="102" t="str">
        <f>IF(A139="","",
SUM(
COUNTIFS('QA Log'!D:D,A139,'QA Log'!M:M,"Data Verification",'QA Log'!L:L,"*Personnel (section 1)*"),
COUNTIFS('QA Log'!D:D,A139,'QA Log'!M:M,"Data Verification",'QA Log'!L:L,"*Consumable (section 3)*"),
COUNTIFS('QA Log'!D:D,A139,'QA Log'!M:M,"Data Verification",'QA Log'!L:L,"*Equipments (section 4)*")
))</f>
        <v/>
      </c>
      <c r="AO139" s="102" t="str">
        <f>IF(A139="","",
SUM(
COUNTIFS('QA Log'!D:D,A139,'QA Log'!M:M,"Data Verification",'QA Log'!Z:Z,"Approved",'QA Log'!L:L,"*Personnel (section 1)*"),
COUNTIFS('QA Log'!D:D,A139,'QA Log'!M:M,"Data Verification",'QA Log'!Z:Z,"Approved",'QA Log'!L:L,"*Consumable (section 3)*"),
COUNTIFS('QA Log'!D:D,A139,'QA Log'!M:M,"Data Verification",'QA Log'!Z:Z,"Approved",'QA Log'!L:L,"*Equipments (section 4)*")
))</f>
        <v/>
      </c>
      <c r="AP139" s="105" t="str">
        <f>IF(A139&lt;&gt;"",COUNTIFS('QA Log'!D:D,A139,'QA Log'!M:M,"Data Verification",'QA Log'!L:L,"Personnel (section 1)",'QA Log'!Z:Z,"Approved"),"")</f>
        <v/>
      </c>
      <c r="AQ139" s="105" t="str">
        <f>IF(A139&lt;&gt;"",COUNTIFS('QA Log'!D:D,A139,'QA Log'!M:M,"Data Verification",'QA Log'!L:L,"Consumable (section 3)",'QA Log'!Z:Z,"Approved"),"")</f>
        <v/>
      </c>
      <c r="AR139" s="105" t="str">
        <f>IF(A139&lt;&gt;"",COUNTIFS('QA Log'!D:D,A139,'QA Log'!M:M,"Data Verification",'QA Log'!L:L,"Equipments (section 4)",'QA Log'!Z:Z,"Approved"),"")</f>
        <v/>
      </c>
      <c r="AS139" s="102" t="str">
        <f>IF(A139="","",
SUM(
COUNTIFS('QA Log'!D:D,A139,'QA Log'!M:M,"Data Verification",'QA Log'!Z:Z,"Rejected",'QA Log'!L:L,"*Personnel (section 1)*"),
COUNTIFS('QA Log'!D:D,A139,'QA Log'!M:M,"Data Verification",'QA Log'!Z:Z,"Rejected",'QA Log'!L:L,"*Consumable (section 3)*"),
COUNTIFS('QA Log'!D:D,A139,'QA Log'!M:M,"Data Verification",'QA Log'!Z:Z,"Rejected",'QA Log'!L:L,"*Equipments (section 4)*")
))</f>
        <v/>
      </c>
      <c r="AT139" s="102" t="str">
        <f t="shared" si="7"/>
        <v/>
      </c>
      <c r="AU139" s="103" t="str">
        <f t="shared" si="8"/>
        <v/>
      </c>
      <c r="AV139" s="102" t="str">
        <f>IF(A139="","",SUM(
COUNTIFS('QA Log'!D:D,A139,'QA Log'!M:M,"Vignette",'QA Log'!L:L,"*Vignette [1] Respiratory Infection: Pneumonia*"),
COUNTIFS('QA Log'!D:D,A139,'QA Log'!M:M,"Vignette",'QA Log'!L:L,"*Vignette [2]: Diarrhea with Cat B dehydration*"),
COUNTIFS('QA Log'!D:D,A139,'QA Log'!M:M,"Vignette",'QA Log'!L:L,"*Vignette [3] Growth Monitoring and Promotion*"),
COUNTIFS('QA Log'!D:D,A139,'QA Log'!M:M,"Vignette",'QA Log'!L:L,"*Vignette [4]: The management of presumptive TB patient*")
)
)</f>
        <v/>
      </c>
      <c r="AW139" s="102" t="str">
        <f>IF(
  A139="","",
  SUM(
    COUNTIFS('QA Log'!D:D,A139,'QA Log'!M:M,"Vignette",'QA Log'!Z:Z,"Approved",'QA Log'!L:L,"*Vignette [1] Respiratory Infection: Pneumonia*"),
    COUNTIFS('QA Log'!D:D,A139,'QA Log'!M:M,"Vignette",'QA Log'!Z:Z,"Approved",'QA Log'!L:L,"*Vignette [2]: Diarrhea with Cat B dehydration*"),
    COUNTIFS('QA Log'!D:D,A139,'QA Log'!M:M,"Vignette",'QA Log'!Z:Z,"Approved",'QA Log'!L:L,"*Vignette [3] Growth Monitoring and Promotion*"),
    COUNTIFS('QA Log'!D:D,A139,'QA Log'!M:M,"Vignette",'QA Log'!Z:Z,"Approved",'QA Log'!L:L,"*Vignette [4]: The management of presumptive TB patient*")
  )
)</f>
        <v/>
      </c>
      <c r="AX139" s="105" t="str">
        <f>IF(A139&lt;&gt;"",COUNTIFS('QA Log'!D:D,A139,'QA Log'!M:M,"Vignette",'QA Log'!L:L,"Vignette [1] Respiratory Infection: Pneumonia",'QA Log'!Z:Z,"Approved"),"")</f>
        <v/>
      </c>
      <c r="AY139" s="105" t="str">
        <f>IF(A139&lt;&gt;"",COUNTIFS('QA Log'!D:D,A139,'QA Log'!M:M,"Vignette",'QA Log'!L:L,"Vignette [2]: Diarrhea with Cat B dehydration",'QA Log'!Z:Z,"Approved"),"")</f>
        <v/>
      </c>
      <c r="AZ139" s="105" t="str">
        <f>IF(A139&lt;&gt;"",COUNTIFS('QA Log'!D:D,A139,'QA Log'!M:M,"Vignette",'QA Log'!L:L,"Vignette [3] Growth Monitoring and Promotion",'QA Log'!Z:Z,"Approved"),"")</f>
        <v/>
      </c>
      <c r="BA139" s="105" t="str">
        <f>IF(A139&lt;&gt;"",COUNTIFS('QA Log'!D:D,A139,'QA Log'!M:M,"Vignette",'QA Log'!L:L,"Vignette [4]: The management of presumptive TB patient",'QA Log'!Z:Z,"Approved"),"")</f>
        <v/>
      </c>
      <c r="BB139" s="102" t="str">
        <f>IF(A139="","",
  SUM(
    COUNTIFS('QA Log'!D:D,A139,'QA Log'!M:M,"Vignette",'QA Log'!Z:Z,"Rejected",'QA Log'!L:L,"*Vignette [1] Respiratory Infection: Pneumonia*"),
    COUNTIFS('QA Log'!D:D,A139,'QA Log'!M:M,"Vignette",'QA Log'!Z:Z,"Rejected",'QA Log'!L:L,"*Vignette [2]: Diarrhea with Cat B dehydration*"),
    COUNTIFS('QA Log'!D:D,A139,'QA Log'!M:M,"Vignette",'QA Log'!Z:Z,"Rejected",'QA Log'!L:L,"*Vignette [3] Growth Monitoring and Promotion*"),
    COUNTIFS('QA Log'!D:D,A139,'QA Log'!M:M,"Vignette",'QA Log'!Z:Z,"Rejected",'QA Log'!L:L,"*Vignette [4]: The management of presumptive TB patient*")
  )
)</f>
        <v/>
      </c>
      <c r="BC139" s="107" t="str">
        <f t="shared" si="9"/>
        <v/>
      </c>
      <c r="BD139" s="103" t="str">
        <f t="shared" si="10"/>
        <v/>
      </c>
      <c r="BE139" s="102" t="str">
        <f>IF(A139="","",SUM(
COUNTIFS('QA Log'!D:D,A139,'QA Log'!M:M,"Vignette",'QA Log'!L:L,"*Vignette [5] Labor*"),
COUNTIFS('QA Log'!D:D,A139,'QA Log'!M:M,"Vignette",'QA Log'!L:L,"*Vignette [6] PNC pre Discharge*"),
COUNTIFS('QA Log'!D:D,A139,'QA Log'!M:M,"Vignette",'QA Log'!L:L,"*Vignette [7] First ANC Visit*"),
COUNTIFS('QA Log'!D:D,A139,'QA Log'!M:M,"Vignette",'QA Log'!L:L,"*Vignette [8] Birth Spacing/ Family Planning :  FP Counselling*"),
COUNTIFS('QA Log'!D:D,A139,'QA Log'!M:M,"Vignette",'QA Log'!L:L,"*Vignette [9] Birth Spacing: Change FP method to Injectable*"),
COUNTIFS('QA Log'!D:D,A139,'QA Log'!M:M,"Vignette",'QA Log'!L:L,"*Vignette [10] Post Partum Haemorrhage - Atonic Uterus at Health Centre*"),
)
)</f>
        <v/>
      </c>
      <c r="BF139" s="102" t="str">
        <f>IF(A139="","",
  SUM(
    COUNTIFS('QA Log'!D:D,A139,'QA Log'!M:M,"Vignette",'QA Log'!Z:Z,"Approved",'QA Log'!L:L,"*Vignette [5] Labor*"),
    COUNTIFS('QA Log'!D:D,A139,'QA Log'!M:M,"Vignette",'QA Log'!Z:Z,"Approved",'QA Log'!L:L,"*Vignette [6] PNC pre Discharge*"),
    COUNTIFS('QA Log'!D:D,A139,'QA Log'!M:M,"Vignette",'QA Log'!Z:Z,"Approved",'QA Log'!L:L,"*Vignette [7] First ANC Visit*"),
    COUNTIFS('QA Log'!D:D,A139,'QA Log'!M:M,"Vignette",'QA Log'!Z:Z,"Approved",'QA Log'!L:L,"*Vignette [8] Birth Spacing/ Family Planning :  FP Counselling*"),
    COUNTIFS('QA Log'!D:D,A139,'QA Log'!M:M,"Vignette",'QA Log'!Z:Z,"Approved",'QA Log'!L:L,"*Vignette [9] Birth Spacing: Change FP method to Injectable*"),
    COUNTIFS('QA Log'!D:D,A139,'QA Log'!M:M,"Vignette",'QA Log'!Z:Z,"Approved",'QA Log'!L:L,"*Vignette [10] Post Partum Haemorrhage - Atonic Uterus at Health Centre*")
  )
)</f>
        <v/>
      </c>
      <c r="BG139" s="105" t="str">
        <f>IF(A139&lt;&gt;"",COUNTIFS('QA Log'!D:D,A139,'QA Log'!M:M,"Vignette",'QA Log'!L:L,"Vignette [5] Labor",'QA Log'!Z:Z,"Approved"),"")</f>
        <v/>
      </c>
      <c r="BH139" s="105" t="str">
        <f>IF(A139&lt;&gt;"",COUNTIFS('QA Log'!D:D,A139,'QA Log'!M:M,"Vignette",'QA Log'!L:L,"Vignette [6] PNC pre Discharge",'QA Log'!Z:Z,"Approved"),"")</f>
        <v/>
      </c>
      <c r="BI139" s="105" t="str">
        <f>IF(A139&lt;&gt;"",COUNTIFS('QA Log'!D:D,A139,'QA Log'!M:M,"Vignette",'QA Log'!L:L,"Vignette [7] First ANC Visit",'QA Log'!Z:Z,"Approved"),"")</f>
        <v/>
      </c>
      <c r="BJ139" s="105" t="str">
        <f>IF(A139&lt;&gt;"",COUNTIFS('QA Log'!D:D,A139,'QA Log'!M:M,"Vignette",'QA Log'!L:L,"Vignette [8] Birth Spacing/ Family Planning :  FP Counselling",'QA Log'!Z:Z,"Approved"),"")</f>
        <v/>
      </c>
      <c r="BK139" s="105" t="str">
        <f>IF(A139&lt;&gt;"",COUNTIFS('QA Log'!D:D,A139,'QA Log'!M:M,"Vignette",'QA Log'!L:L,"Vignette [9] Birth Spacing: Change FP method to Injectable",'QA Log'!Z:Z,"Approved"),"")</f>
        <v/>
      </c>
      <c r="BL139" s="105" t="str">
        <f>IF(A139&lt;&gt;"",COUNTIFS('QA Log'!D:D,A139,'QA Log'!M:M,"Vignette",'QA Log'!L:L,"Vignette [10] Post Partum Haemorrhage - Atonic Uterus at Health Centre",'QA Log'!Z:Z,"Approved"),"")</f>
        <v/>
      </c>
      <c r="BM139" s="102" t="str">
        <f>IF(A139="","",SUM(
    COUNTIFS('QA Log'!D:D,A139,'QA Log'!M:M,"Vignette",'QA Log'!Z:Z,"Rejected",'QA Log'!L:L,"*Vignette [5] Labor*"),
    COUNTIFS('QA Log'!D:D,A139,'QA Log'!M:M,"Vignette",'QA Log'!Z:Z,"Rejected",'QA Log'!L:L,"*Vignette [6] PNC pre Discharge*"),
    COUNTIFS('QA Log'!D:D,A139,'QA Log'!M:M,"Vignette",'QA Log'!Z:Z,"Rejected",'QA Log'!L:L,"*Vignette [7] First ANC Visit*"),
    COUNTIFS('QA Log'!D:D,A139,'QA Log'!M:M,"Vignette",'QA Log'!Z:Z,"Rejected",'QA Log'!L:L,"*Vignette [8] Birth Spacing/ Family Planning :  FP Counselling*"),
    COUNTIFS('QA Log'!D:D,A139,'QA Log'!M:M,"Vignette",'QA Log'!Z:Z,"Rejected",'QA Log'!L:L,"*Vignette [9] Birth Spacing: Change FP method to Injectable*"),
    COUNTIFS('QA Log'!D:D,A139,'QA Log'!M:M,"Vignette",'QA Log'!Z:Z,"Rejected",'QA Log'!L:L,"*Vignette [10] Post Partum Haemorrhage - Atonic Uterus at Health Centre*")
  )
)</f>
        <v/>
      </c>
      <c r="BN139" s="107" t="str">
        <f t="shared" si="11"/>
        <v/>
      </c>
      <c r="BO139" s="103" t="str">
        <f t="shared" si="12"/>
        <v/>
      </c>
      <c r="BP139" s="102" t="str">
        <f>IF(A139="","",SUM(
COUNTIFS('QA Log'!D:D,A139,'QA Log'!M:M,"Vignette",'QA Log'!L:L,"*Exit Interview 1*"),
COUNTIFS('QA Log'!D:D,A139,'QA Log'!M:M,"Vignette",'QA Log'!L:L,"*Exit Interview 2*"),
)
)</f>
        <v/>
      </c>
      <c r="BQ139" s="102" t="str">
        <f>IF(
  A139="","",
  SUM(
    COUNTIFS('QA Log'!D:D,A139,'QA Log'!M:M,"Vignette",'QA Log'!Z:Z,"Approved",'QA Log'!L:L,"*Exit Interview 1*"),
    COUNTIFS('QA Log'!D:D,A139,'QA Log'!M:M,"Vignette",'QA Log'!Z:Z,"Approved",'QA Log'!L:L,"*Exit Interview 2*")
  )
)</f>
        <v/>
      </c>
      <c r="BR139" s="105" t="str">
        <f>IF(A139&lt;&gt;"",COUNTIFS('QA Log'!D:D,A139,'QA Log'!M:M,"Vignette",'QA Log'!L:L,"Exit Interview 1",'QA Log'!Z:Z,"Approved"),"")</f>
        <v/>
      </c>
      <c r="BS139" s="105" t="str">
        <f>IF(A139&lt;&gt;"",COUNTIFS('QA Log'!D:D,A139,'QA Log'!M:M,"Vignette",'QA Log'!L:L,"Exit Interview 2",'QA Log'!Z:Z,"Approved"),"")</f>
        <v/>
      </c>
      <c r="BT139" s="102" t="str">
        <f>IF(
  A139="","",
  SUM(
    COUNTIFS('QA Log'!D:D,A139,'QA Log'!M:M,"Vignette",'QA Log'!Z:Z,"Rejected",'QA Log'!L:L,"*Exit Interview 1*"),
    COUNTIFS('QA Log'!D:D,A139,'QA Log'!M:M,"Vignette",'QA Log'!Z:Z,"Rejected",'QA Log'!L:L,"*Exit Interview 2*")
  )
)</f>
        <v/>
      </c>
      <c r="BU139" s="107" t="str">
        <f t="shared" si="13"/>
        <v/>
      </c>
      <c r="BV139" s="102" t="str">
        <f t="shared" si="14"/>
        <v/>
      </c>
      <c r="BW139" s="102" t="str">
        <f t="shared" si="15"/>
        <v/>
      </c>
      <c r="BX139" s="102" t="str">
        <f t="shared" si="16"/>
        <v/>
      </c>
      <c r="BY139" s="102" t="str">
        <f t="shared" si="17"/>
        <v/>
      </c>
      <c r="BZ139" s="107" t="str">
        <f t="shared" si="18"/>
        <v/>
      </c>
      <c r="CA139" s="108" t="str">
        <f t="shared" si="19"/>
        <v/>
      </c>
      <c r="CB139" s="108" t="str">
        <f t="shared" si="20"/>
        <v/>
      </c>
      <c r="CC139" s="109" t="str">
        <f t="shared" si="21"/>
        <v/>
      </c>
      <c r="CD139" s="108" t="str">
        <f t="shared" si="22"/>
        <v/>
      </c>
      <c r="CE139" s="108" t="str">
        <f t="shared" si="23"/>
        <v/>
      </c>
      <c r="CF139" s="109" t="str">
        <f t="shared" si="24"/>
        <v/>
      </c>
      <c r="CG139" s="110" t="str">
        <f t="shared" si="25"/>
        <v/>
      </c>
      <c r="CH139" s="111"/>
    </row>
    <row r="140" spans="1:86" ht="12.75">
      <c r="A140" s="101"/>
      <c r="B140" s="102" t="e">
        <f t="array" aca="1" ref="B140" ca="1">_xludf.XLOOKUP(A140,'QA Log'!D:D,'QA Log'!E:E,"")</f>
        <v>#NAME?</v>
      </c>
      <c r="C140" s="102" t="e">
        <f t="array" aca="1" ref="C140" ca="1">_xludf.XLOOKUP(A140,'QA Log'!D:D,'QA Log'!F:F,"")</f>
        <v>#NAME?</v>
      </c>
      <c r="D140" s="102" t="e">
        <f t="array" aca="1" ref="D140" ca="1">_xludf.XLOOKUP(A140,'QA Log'!D:D,'QA Log'!H:H,"")</f>
        <v>#NAME?</v>
      </c>
      <c r="E140" s="102" t="e">
        <f t="array" aca="1" ref="E140" ca="1">_xludf.XLOOKUP(A140,'QA Log'!D:D,'QA Log'!G:G,"")</f>
        <v>#NAME?</v>
      </c>
      <c r="F140" s="103"/>
      <c r="G140" s="104"/>
      <c r="H140" s="104"/>
      <c r="I140" s="103" t="str">
        <f t="shared" si="0"/>
        <v/>
      </c>
      <c r="J140" s="102" t="str">
        <f>IF(A140="","",SUM(
COUNTIFS('QA Log'!D:D,A140,'QA Log'!M:M,"QQC",'QA Log'!L:L,"*1. General Management*"),
COUNTIFS('QA Log'!D:D,A140,'QA Log'!M:M,"QQC",'QA Log'!L:L,"*3. Curative Consultation (OPD)*"),
COUNTIFS('QA Log'!D:D,A140,'QA Log'!M:M,"QQC",'QA Log'!L:L,"*5. Laboratory*"),
COUNTIFS('QA Log'!D:D,A140,'QA Log'!M:M,"QQC",'QA Log'!L:L,"*6. Essential Medicine Management*"),
COUNTIFS('QA Log'!D:D,A140,'QA Log'!M:M,"QQC",'QA Log'!L:L,"*7. Tracer Medicine*"),
COUNTIFS('QA Log'!D:D,A140,'QA Log'!M:M,"QQC",'QA Log'!L:L,"*11. Additional Questions*")))</f>
        <v/>
      </c>
      <c r="K140" s="102" t="str">
        <f>IF(A140="","",SUM(
COUNTIFS('QA Log'!D:D,A140,'QA Log'!M:M,"QQC",'QA Log'!Z:Z,"Approved",'QA Log'!L:L,"*1. General Management*"),
COUNTIFS('QA Log'!D:D,A140,'QA Log'!M:M,"QQC",'QA Log'!Z:Z,"Approved",'QA Log'!L:L,"*3. Curative Consultation (OPD)*"),
COUNTIFS('QA Log'!D:D,A140,'QA Log'!M:M,"QQC",'QA Log'!Z:Z,"Approved",'QA Log'!L:L,"*5. Laboratory*"),
COUNTIFS('QA Log'!D:D,A140,'QA Log'!M:M,"QQC",'QA Log'!Z:Z,"Approved",'QA Log'!L:L,"*6. Essential Medicine Management*"),
COUNTIFS('QA Log'!D:D,A140,'QA Log'!M:M,"QQC",'QA Log'!Z:Z,"Approved",'QA Log'!L:L,"*7. Tracer Medicine*"),
COUNTIFS('QA Log'!D:D,A140,'QA Log'!M:M,"QQC",'QA Log'!Z:Z,"Approved",'QA Log'!L:L,"*11. Additional Questions*")))</f>
        <v/>
      </c>
      <c r="L140" s="105" t="str">
        <f>IF(A140&lt;&gt;"",COUNTIFS('QA Log'!D:D,A140,'QA Log'!M:M,"QQC",'QA Log'!L:L,"1. General Management",'QA Log'!Z:Z,"Approved"),"")</f>
        <v/>
      </c>
      <c r="M140" s="105" t="str">
        <f>IF(A140&lt;&gt;"",COUNTIFS('QA Log'!D:D,A140,'QA Log'!M:M,"QQC",'QA Log'!L:L,"3. Curative Consultation (OPD)",'QA Log'!Z:Z,"Approved"),"")</f>
        <v/>
      </c>
      <c r="N140" s="105" t="str">
        <f>IF(A140&lt;&gt;"",COUNTIFS('QA Log'!D:D,A140,'QA Log'!M:M,"QQC",'QA Log'!L:L,"5. Laboratory",'QA Log'!Z:Z,"Approved"),"")</f>
        <v/>
      </c>
      <c r="O140" s="105" t="str">
        <f>IF(A140&lt;&gt;"",COUNTIFS('QA Log'!D:D,A140,'QA Log'!M:M,"QQC",'QA Log'!L:L,"6. Essential Medicine Management",'QA Log'!Z:Z,"Approved"),"")</f>
        <v/>
      </c>
      <c r="P140" s="105" t="str">
        <f>IF(A140&lt;&gt;"",COUNTIFS('QA Log'!D:D,A140,'QA Log'!M:M,"QQC",'QA Log'!L:L,"7. Tracer Medicine",'QA Log'!Z:Z,"Approved"),"")</f>
        <v/>
      </c>
      <c r="Q140" s="105" t="str">
        <f>IF(A140&lt;&gt;"",COUNTIFS('QA Log'!D:D,A140,'QA Log'!M:M,"QQC",'QA Log'!L:L,"11. Additional Questions",'QA Log'!Z:Z,"Approved"),"")</f>
        <v/>
      </c>
      <c r="R140" s="102" t="str">
        <f>IF(A140="","",SUM(
COUNTIFS('QA Log'!D:D,A140,'QA Log'!M:M,"QQC",'QA Log'!Z:Z,"Rejected",'QA Log'!L:L,"*8. Maternity*"),
COUNTIFS('QA Log'!D:D,A140,'QA Log'!M:M,"QQC",'QA Log'!Z:Z,"Rejected",'QA Log'!L:L,"*EPI*"),
COUNTIFS('QA Log'!D:D,A140,'QA Log'!M:M,"QQC",'QA Log'!Z:Z,"Rejected",'QA Log'!L:L,"*10. Antenatal Care (ANC)*"),
COUNTIFS('QA Log'!D:D,A140,'QA Log'!M:M,"QQC",'QA Log'!Z:Z,"Rejected",'QA Log'!L:L,"*2. Hygiene and Sterilization*"),
COUNTIFS('QA Log'!D:D,A140,'QA Log'!M:M,"QQC",'QA Log'!Z:Z,"Rejected",'QA Log'!L:L,"*Family Planning*")))</f>
        <v/>
      </c>
      <c r="S140" s="106" t="str">
        <f t="shared" si="1"/>
        <v/>
      </c>
      <c r="T140" s="102" t="str">
        <f t="shared" si="2"/>
        <v/>
      </c>
      <c r="U140" s="102" t="str">
        <f>IF(A140="","",
SUM(
COUNTIFS('QA Log'!D:D,A140,'QA Log'!M:M,"QQC",'QA Log'!L:L,"*8. Maternity*"),
COUNTIFS('QA Log'!D:D,A140,'QA Log'!M:M,"QQC",'QA Log'!L:L,"*9. EPI and Pre-school Consultation*"),
COUNTIFS('QA Log'!D:D,A140,'QA Log'!M:M,"QQC",'QA Log'!L:L,"*10. Antenatal Care (ANC)*"),
COUNTIFS('QA Log'!D:D,A140,'QA Log'!M:M,"QQC",'QA Log'!L:L,"*2. Hygiene and Sterilization*"),
COUNTIFS('QA Log'!D:D,A140,'QA Log'!M:M,"QQC",'QA Log'!L:L,"*4. Family Planning*")
))</f>
        <v/>
      </c>
      <c r="V140" s="102" t="str">
        <f>IF(A140="","",
SUM(
COUNTIFS('QA Log'!D:D,A140,'QA Log'!M:M,"QQC",'QA Log'!Z:Z,"Approved",'QA Log'!L:L,"*8. Maternity*"),
COUNTIFS('QA Log'!D:D,A140,'QA Log'!M:M,"QQC",'QA Log'!Z:Z,"Approved",'QA Log'!L:L,"*9. EPI and Pre-school Consultation*"),
COUNTIFS('QA Log'!D:D,A140,'QA Log'!M:M,"QQC",'QA Log'!Z:Z,"Approved",'QA Log'!L:L,"*10. Antenatal Care (ANC)*"),
COUNTIFS('QA Log'!D:D,A140,'QA Log'!M:M,"QQC",'QA Log'!Z:Z,"Approved",'QA Log'!L:L,"*2. Hygiene and Sterilization*"),
COUNTIFS('QA Log'!D:D,A140,'QA Log'!M:M,"QQC",'QA Log'!Z:Z,"Approved",'QA Log'!L:L,"*4. Family Planning*")
))</f>
        <v/>
      </c>
      <c r="W140" s="105" t="str">
        <f>IF(A140&lt;&gt;"",COUNTIFS('QA Log'!D:D,A140,'QA Log'!M:M,"QQC",'QA Log'!L:L,"8. Maternity",'QA Log'!Z:Z,"Approved"),"")</f>
        <v/>
      </c>
      <c r="X140" s="105" t="str">
        <f>IF(A140&lt;&gt;"",COUNTIFS('QA Log'!D:D,A140,'QA Log'!M:M,"QQC",'QA Log'!L:L,"9. EPI and Pre-school Consultation",'QA Log'!Z:Z,"Approved"),"")</f>
        <v/>
      </c>
      <c r="Y140" s="105" t="str">
        <f>IF(A140&lt;&gt;"",COUNTIFS('QA Log'!D:D,A140,'QA Log'!M:M,"QQC",'QA Log'!L:L,"10. Antenatal Care (ANC)",'QA Log'!Z:Z,"Approved"),"")</f>
        <v/>
      </c>
      <c r="Z140" s="105" t="str">
        <f>IF(A140&lt;&gt;"",COUNTIFS('QA Log'!D:D,A140,'QA Log'!M:M,"QQC",'QA Log'!L:L,"2. Hygiene and Sterilization",'QA Log'!Z:Z,"Approved"),"")</f>
        <v/>
      </c>
      <c r="AA140" s="105" t="str">
        <f>IF(A140&lt;&gt;"",COUNTIFS('QA Log'!D:D,A140,'QA Log'!M:M,"QQC",'QA Log'!L:L,"4. Family Planning",'QA Log'!Z:Z,"Approved"),"")</f>
        <v/>
      </c>
      <c r="AB140" s="102" t="str">
        <f>IF(A140="","",
SUM(
COUNTIFS('QA Log'!D:D,A140,'QA Log'!M:M,"QQC",'QA Log'!Z:Z,"Rejected",'QA Log'!L:L,"*8. Maternity*"),
COUNTIFS('QA Log'!D:D,A140,'QA Log'!M:M,"QQC",'QA Log'!Z:Z,"Rejected",'QA Log'!L:L,"*9. EPI and Pre-school Consultation*"),
COUNTIFS('QA Log'!D:D,A140,'QA Log'!M:M,"QQC",'QA Log'!Z:Z,"Rejected",'QA Log'!L:L,"*10. Antenatal Care (ANC)*"),
COUNTIFS('QA Log'!D:D,A140,'QA Log'!M:M,"QQC",'QA Log'!Z:Z,"Rejected",'QA Log'!L:L,"*2. Hygiene and Sterilization*"),
COUNTIFS('QA Log'!D:D,A140,'QA Log'!M:M,"QQC",'QA Log'!Z:Z,"Rejected",'QA Log'!L:L,"*4. Family Planning*")
))</f>
        <v/>
      </c>
      <c r="AC140" s="102" t="str">
        <f t="shared" si="3"/>
        <v/>
      </c>
      <c r="AD140" s="103" t="str">
        <f t="shared" si="4"/>
        <v/>
      </c>
      <c r="AE140" s="102" t="str">
        <f>IF(A140="","",
SUM(
COUNTIFS('QA Log'!D:D,A140,'QA Log'!M:M,"Data Verification",'QA Log'!L:L,"*Medicine (section 2)*"),
COUNTIFS('QA Log'!D:D,A140,'QA Log'!M:M,"Data Verification",'QA Log'!L:L,"*Lab Testing Availability*"),
COUNTIFS('QA Log'!D:D,A140,'QA Log'!M:M,"Data Verification",'QA Log'!L:L,"*Other than P4P (section 6)*"),
COUNTIFS('QA Log'!D:D,A140,'QA Log'!M:M,"Data Verification",'QA Log'!L:L,"*Hospital Governance*")
))</f>
        <v/>
      </c>
      <c r="AF140" s="102" t="str">
        <f>IF(A140="","",
SUM(
COUNTIFS('QA Log'!D:D,A140,'QA Log'!M:M,"Data Verification",'QA Log'!Z:Z,"Approved",'QA Log'!L:L,"*Medicine (section 2)*"),
COUNTIFS('QA Log'!D:D,A140,'QA Log'!M:M,"Data Verification",'QA Log'!Z:Z,"Approved",'QA Log'!L:L,"*Lab Testing Availability*"),
COUNTIFS('QA Log'!D:D,A140,'QA Log'!M:M,"Data Verification",'QA Log'!Z:Z,"Approved",'QA Log'!L:L,"*Other than P4P (section 6)*"),
COUNTIFS('QA Log'!D:D,A140,'QA Log'!M:M,"Data Verification",'QA Log'!Z:Z,"Approved",'QA Log'!L:L,"*Hospital Governance*")
))</f>
        <v/>
      </c>
      <c r="AG140" s="105" t="str">
        <f>IF(A140&lt;&gt;"",COUNTIFS('QA Log'!D:D,A140,'QA Log'!M:M,"Data Verification",'QA Log'!L:L,"Medicine (section 2)",'QA Log'!Z:Z,"Approved"),"")</f>
        <v/>
      </c>
      <c r="AH140" s="105" t="str">
        <f>IF(A140&lt;&gt;"",COUNTIFS('QA Log'!D:D,A140,'QA Log'!M:M,"Data Verification",'QA Log'!L:L,"Lab Testing Availability",'QA Log'!Z:Z,"Approved"),"")</f>
        <v/>
      </c>
      <c r="AI140" s="105" t="str">
        <f>IF(A140&lt;&gt;"",COUNTIFS('QA Log'!D:D,A140,'QA Log'!M:M,"Data Verification",'QA Log'!L:L,"Other than P4P (section 6)",'QA Log'!Z:Z,"Approved"),"")</f>
        <v/>
      </c>
      <c r="AJ140" s="105" t="str">
        <f>IF(A140&lt;&gt;"",COUNTIFS('QA Log'!D:D,A140,'QA Log'!M:M,"Data Verification",'QA Log'!L:L,"Hospital Governance",'QA Log'!Z:Z,"Approved"),"")</f>
        <v/>
      </c>
      <c r="AK140" s="102" t="str">
        <f>IF(A140="","",
SUM(
COUNTIFS('QA Log'!D:D,A140,'QA Log'!M:M,"Data Verification",'QA Log'!Z:Z,"Rejected",'QA Log'!L:L,"*Medicine (section 2)*"),
COUNTIFS('QA Log'!D:D,A140,'QA Log'!M:M,"Data Verification",'QA Log'!Z:Z,"Rejected",'QA Log'!L:L,"*Lab Testing Availability*"),
COUNTIFS('QA Log'!D:D,A140,'QA Log'!M:M,"Data Verification",'QA Log'!Z:Z,"Rejected",'QA Log'!L:L,"*Other than P4P (section 6)*"),
COUNTIFS('QA Log'!D:D,A140,'QA Log'!M:M,"Data Verification",'QA Log'!Z:Z,"Rejected",'QA Log'!L:L,"*Hospital Governance*")
))</f>
        <v/>
      </c>
      <c r="AL140" s="106" t="str">
        <f t="shared" si="5"/>
        <v/>
      </c>
      <c r="AM140" s="102" t="str">
        <f t="shared" si="6"/>
        <v/>
      </c>
      <c r="AN140" s="102" t="str">
        <f>IF(A140="","",
SUM(
COUNTIFS('QA Log'!D:D,A140,'QA Log'!M:M,"Data Verification",'QA Log'!L:L,"*Personnel (section 1)*"),
COUNTIFS('QA Log'!D:D,A140,'QA Log'!M:M,"Data Verification",'QA Log'!L:L,"*Consumable (section 3)*"),
COUNTIFS('QA Log'!D:D,A140,'QA Log'!M:M,"Data Verification",'QA Log'!L:L,"*Equipments (section 4)*")
))</f>
        <v/>
      </c>
      <c r="AO140" s="102" t="str">
        <f>IF(A140="","",
SUM(
COUNTIFS('QA Log'!D:D,A140,'QA Log'!M:M,"Data Verification",'QA Log'!Z:Z,"Approved",'QA Log'!L:L,"*Personnel (section 1)*"),
COUNTIFS('QA Log'!D:D,A140,'QA Log'!M:M,"Data Verification",'QA Log'!Z:Z,"Approved",'QA Log'!L:L,"*Consumable (section 3)*"),
COUNTIFS('QA Log'!D:D,A140,'QA Log'!M:M,"Data Verification",'QA Log'!Z:Z,"Approved",'QA Log'!L:L,"*Equipments (section 4)*")
))</f>
        <v/>
      </c>
      <c r="AP140" s="105" t="str">
        <f>IF(A140&lt;&gt;"",COUNTIFS('QA Log'!D:D,A140,'QA Log'!M:M,"Data Verification",'QA Log'!L:L,"Personnel (section 1)",'QA Log'!Z:Z,"Approved"),"")</f>
        <v/>
      </c>
      <c r="AQ140" s="105" t="str">
        <f>IF(A140&lt;&gt;"",COUNTIFS('QA Log'!D:D,A140,'QA Log'!M:M,"Data Verification",'QA Log'!L:L,"Consumable (section 3)",'QA Log'!Z:Z,"Approved"),"")</f>
        <v/>
      </c>
      <c r="AR140" s="105" t="str">
        <f>IF(A140&lt;&gt;"",COUNTIFS('QA Log'!D:D,A140,'QA Log'!M:M,"Data Verification",'QA Log'!L:L,"Equipments (section 4)",'QA Log'!Z:Z,"Approved"),"")</f>
        <v/>
      </c>
      <c r="AS140" s="102" t="str">
        <f>IF(A140="","",
SUM(
COUNTIFS('QA Log'!D:D,A140,'QA Log'!M:M,"Data Verification",'QA Log'!Z:Z,"Rejected",'QA Log'!L:L,"*Personnel (section 1)*"),
COUNTIFS('QA Log'!D:D,A140,'QA Log'!M:M,"Data Verification",'QA Log'!Z:Z,"Rejected",'QA Log'!L:L,"*Consumable (section 3)*"),
COUNTIFS('QA Log'!D:D,A140,'QA Log'!M:M,"Data Verification",'QA Log'!Z:Z,"Rejected",'QA Log'!L:L,"*Equipments (section 4)*")
))</f>
        <v/>
      </c>
      <c r="AT140" s="102" t="str">
        <f t="shared" si="7"/>
        <v/>
      </c>
      <c r="AU140" s="103" t="str">
        <f t="shared" si="8"/>
        <v/>
      </c>
      <c r="AV140" s="102" t="str">
        <f>IF(A140="","",SUM(
COUNTIFS('QA Log'!D:D,A140,'QA Log'!M:M,"Vignette",'QA Log'!L:L,"*Vignette [1] Respiratory Infection: Pneumonia*"),
COUNTIFS('QA Log'!D:D,A140,'QA Log'!M:M,"Vignette",'QA Log'!L:L,"*Vignette [2]: Diarrhea with Cat B dehydration*"),
COUNTIFS('QA Log'!D:D,A140,'QA Log'!M:M,"Vignette",'QA Log'!L:L,"*Vignette [3] Growth Monitoring and Promotion*"),
COUNTIFS('QA Log'!D:D,A140,'QA Log'!M:M,"Vignette",'QA Log'!L:L,"*Vignette [4]: The management of presumptive TB patient*")
)
)</f>
        <v/>
      </c>
      <c r="AW140" s="102" t="str">
        <f>IF(
  A140="","",
  SUM(
    COUNTIFS('QA Log'!D:D,A140,'QA Log'!M:M,"Vignette",'QA Log'!Z:Z,"Approved",'QA Log'!L:L,"*Vignette [1] Respiratory Infection: Pneumonia*"),
    COUNTIFS('QA Log'!D:D,A140,'QA Log'!M:M,"Vignette",'QA Log'!Z:Z,"Approved",'QA Log'!L:L,"*Vignette [2]: Diarrhea with Cat B dehydration*"),
    COUNTIFS('QA Log'!D:D,A140,'QA Log'!M:M,"Vignette",'QA Log'!Z:Z,"Approved",'QA Log'!L:L,"*Vignette [3] Growth Monitoring and Promotion*"),
    COUNTIFS('QA Log'!D:D,A140,'QA Log'!M:M,"Vignette",'QA Log'!Z:Z,"Approved",'QA Log'!L:L,"*Vignette [4]: The management of presumptive TB patient*")
  )
)</f>
        <v/>
      </c>
      <c r="AX140" s="105" t="str">
        <f>IF(A140&lt;&gt;"",COUNTIFS('QA Log'!D:D,A140,'QA Log'!M:M,"Vignette",'QA Log'!L:L,"Vignette [1] Respiratory Infection: Pneumonia",'QA Log'!Z:Z,"Approved"),"")</f>
        <v/>
      </c>
      <c r="AY140" s="105" t="str">
        <f>IF(A140&lt;&gt;"",COUNTIFS('QA Log'!D:D,A140,'QA Log'!M:M,"Vignette",'QA Log'!L:L,"Vignette [2]: Diarrhea with Cat B dehydration",'QA Log'!Z:Z,"Approved"),"")</f>
        <v/>
      </c>
      <c r="AZ140" s="105" t="str">
        <f>IF(A140&lt;&gt;"",COUNTIFS('QA Log'!D:D,A140,'QA Log'!M:M,"Vignette",'QA Log'!L:L,"Vignette [3] Growth Monitoring and Promotion",'QA Log'!Z:Z,"Approved"),"")</f>
        <v/>
      </c>
      <c r="BA140" s="105" t="str">
        <f>IF(A140&lt;&gt;"",COUNTIFS('QA Log'!D:D,A140,'QA Log'!M:M,"Vignette",'QA Log'!L:L,"Vignette [4]: The management of presumptive TB patient",'QA Log'!Z:Z,"Approved"),"")</f>
        <v/>
      </c>
      <c r="BB140" s="102" t="str">
        <f>IF(A140="","",
  SUM(
    COUNTIFS('QA Log'!D:D,A140,'QA Log'!M:M,"Vignette",'QA Log'!Z:Z,"Rejected",'QA Log'!L:L,"*Vignette [1] Respiratory Infection: Pneumonia*"),
    COUNTIFS('QA Log'!D:D,A140,'QA Log'!M:M,"Vignette",'QA Log'!Z:Z,"Rejected",'QA Log'!L:L,"*Vignette [2]: Diarrhea with Cat B dehydration*"),
    COUNTIFS('QA Log'!D:D,A140,'QA Log'!M:M,"Vignette",'QA Log'!Z:Z,"Rejected",'QA Log'!L:L,"*Vignette [3] Growth Monitoring and Promotion*"),
    COUNTIFS('QA Log'!D:D,A140,'QA Log'!M:M,"Vignette",'QA Log'!Z:Z,"Rejected",'QA Log'!L:L,"*Vignette [4]: The management of presumptive TB patient*")
  )
)</f>
        <v/>
      </c>
      <c r="BC140" s="107" t="str">
        <f t="shared" si="9"/>
        <v/>
      </c>
      <c r="BD140" s="103" t="str">
        <f t="shared" si="10"/>
        <v/>
      </c>
      <c r="BE140" s="102" t="str">
        <f>IF(A140="","",SUM(
COUNTIFS('QA Log'!D:D,A140,'QA Log'!M:M,"Vignette",'QA Log'!L:L,"*Vignette [5] Labor*"),
COUNTIFS('QA Log'!D:D,A140,'QA Log'!M:M,"Vignette",'QA Log'!L:L,"*Vignette [6] PNC pre Discharge*"),
COUNTIFS('QA Log'!D:D,A140,'QA Log'!M:M,"Vignette",'QA Log'!L:L,"*Vignette [7] First ANC Visit*"),
COUNTIFS('QA Log'!D:D,A140,'QA Log'!M:M,"Vignette",'QA Log'!L:L,"*Vignette [8] Birth Spacing/ Family Planning :  FP Counselling*"),
COUNTIFS('QA Log'!D:D,A140,'QA Log'!M:M,"Vignette",'QA Log'!L:L,"*Vignette [9] Birth Spacing: Change FP method to Injectable*"),
COUNTIFS('QA Log'!D:D,A140,'QA Log'!M:M,"Vignette",'QA Log'!L:L,"*Vignette [10] Post Partum Haemorrhage - Atonic Uterus at Health Centre*"),
)
)</f>
        <v/>
      </c>
      <c r="BF140" s="102" t="str">
        <f>IF(A140="","",
  SUM(
    COUNTIFS('QA Log'!D:D,A140,'QA Log'!M:M,"Vignette",'QA Log'!Z:Z,"Approved",'QA Log'!L:L,"*Vignette [5] Labor*"),
    COUNTIFS('QA Log'!D:D,A140,'QA Log'!M:M,"Vignette",'QA Log'!Z:Z,"Approved",'QA Log'!L:L,"*Vignette [6] PNC pre Discharge*"),
    COUNTIFS('QA Log'!D:D,A140,'QA Log'!M:M,"Vignette",'QA Log'!Z:Z,"Approved",'QA Log'!L:L,"*Vignette [7] First ANC Visit*"),
    COUNTIFS('QA Log'!D:D,A140,'QA Log'!M:M,"Vignette",'QA Log'!Z:Z,"Approved",'QA Log'!L:L,"*Vignette [8] Birth Spacing/ Family Planning :  FP Counselling*"),
    COUNTIFS('QA Log'!D:D,A140,'QA Log'!M:M,"Vignette",'QA Log'!Z:Z,"Approved",'QA Log'!L:L,"*Vignette [9] Birth Spacing: Change FP method to Injectable*"),
    COUNTIFS('QA Log'!D:D,A140,'QA Log'!M:M,"Vignette",'QA Log'!Z:Z,"Approved",'QA Log'!L:L,"*Vignette [10] Post Partum Haemorrhage - Atonic Uterus at Health Centre*")
  )
)</f>
        <v/>
      </c>
      <c r="BG140" s="105" t="str">
        <f>IF(A140&lt;&gt;"",COUNTIFS('QA Log'!D:D,A140,'QA Log'!M:M,"Vignette",'QA Log'!L:L,"Vignette [5] Labor",'QA Log'!Z:Z,"Approved"),"")</f>
        <v/>
      </c>
      <c r="BH140" s="105" t="str">
        <f>IF(A140&lt;&gt;"",COUNTIFS('QA Log'!D:D,A140,'QA Log'!M:M,"Vignette",'QA Log'!L:L,"Vignette [6] PNC pre Discharge",'QA Log'!Z:Z,"Approved"),"")</f>
        <v/>
      </c>
      <c r="BI140" s="105" t="str">
        <f>IF(A140&lt;&gt;"",COUNTIFS('QA Log'!D:D,A140,'QA Log'!M:M,"Vignette",'QA Log'!L:L,"Vignette [7] First ANC Visit",'QA Log'!Z:Z,"Approved"),"")</f>
        <v/>
      </c>
      <c r="BJ140" s="105" t="str">
        <f>IF(A140&lt;&gt;"",COUNTIFS('QA Log'!D:D,A140,'QA Log'!M:M,"Vignette",'QA Log'!L:L,"Vignette [8] Birth Spacing/ Family Planning :  FP Counselling",'QA Log'!Z:Z,"Approved"),"")</f>
        <v/>
      </c>
      <c r="BK140" s="105" t="str">
        <f>IF(A140&lt;&gt;"",COUNTIFS('QA Log'!D:D,A140,'QA Log'!M:M,"Vignette",'QA Log'!L:L,"Vignette [9] Birth Spacing: Change FP method to Injectable",'QA Log'!Z:Z,"Approved"),"")</f>
        <v/>
      </c>
      <c r="BL140" s="105" t="str">
        <f>IF(A140&lt;&gt;"",COUNTIFS('QA Log'!D:D,A140,'QA Log'!M:M,"Vignette",'QA Log'!L:L,"Vignette [10] Post Partum Haemorrhage - Atonic Uterus at Health Centre",'QA Log'!Z:Z,"Approved"),"")</f>
        <v/>
      </c>
      <c r="BM140" s="102" t="str">
        <f>IF(A140="","",SUM(
    COUNTIFS('QA Log'!D:D,A140,'QA Log'!M:M,"Vignette",'QA Log'!Z:Z,"Rejected",'QA Log'!L:L,"*Vignette [5] Labor*"),
    COUNTIFS('QA Log'!D:D,A140,'QA Log'!M:M,"Vignette",'QA Log'!Z:Z,"Rejected",'QA Log'!L:L,"*Vignette [6] PNC pre Discharge*"),
    COUNTIFS('QA Log'!D:D,A140,'QA Log'!M:M,"Vignette",'QA Log'!Z:Z,"Rejected",'QA Log'!L:L,"*Vignette [7] First ANC Visit*"),
    COUNTIFS('QA Log'!D:D,A140,'QA Log'!M:M,"Vignette",'QA Log'!Z:Z,"Rejected",'QA Log'!L:L,"*Vignette [8] Birth Spacing/ Family Planning :  FP Counselling*"),
    COUNTIFS('QA Log'!D:D,A140,'QA Log'!M:M,"Vignette",'QA Log'!Z:Z,"Rejected",'QA Log'!L:L,"*Vignette [9] Birth Spacing: Change FP method to Injectable*"),
    COUNTIFS('QA Log'!D:D,A140,'QA Log'!M:M,"Vignette",'QA Log'!Z:Z,"Rejected",'QA Log'!L:L,"*Vignette [10] Post Partum Haemorrhage - Atonic Uterus at Health Centre*")
  )
)</f>
        <v/>
      </c>
      <c r="BN140" s="107" t="str">
        <f t="shared" si="11"/>
        <v/>
      </c>
      <c r="BO140" s="103" t="str">
        <f t="shared" si="12"/>
        <v/>
      </c>
      <c r="BP140" s="102" t="str">
        <f>IF(A140="","",SUM(
COUNTIFS('QA Log'!D:D,A140,'QA Log'!M:M,"Vignette",'QA Log'!L:L,"*Exit Interview 1*"),
COUNTIFS('QA Log'!D:D,A140,'QA Log'!M:M,"Vignette",'QA Log'!L:L,"*Exit Interview 2*"),
)
)</f>
        <v/>
      </c>
      <c r="BQ140" s="102" t="str">
        <f>IF(
  A140="","",
  SUM(
    COUNTIFS('QA Log'!D:D,A140,'QA Log'!M:M,"Vignette",'QA Log'!Z:Z,"Approved",'QA Log'!L:L,"*Exit Interview 1*"),
    COUNTIFS('QA Log'!D:D,A140,'QA Log'!M:M,"Vignette",'QA Log'!Z:Z,"Approved",'QA Log'!L:L,"*Exit Interview 2*")
  )
)</f>
        <v/>
      </c>
      <c r="BR140" s="105" t="str">
        <f>IF(A140&lt;&gt;"",COUNTIFS('QA Log'!D:D,A140,'QA Log'!M:M,"Vignette",'QA Log'!L:L,"Exit Interview 1",'QA Log'!Z:Z,"Approved"),"")</f>
        <v/>
      </c>
      <c r="BS140" s="105" t="str">
        <f>IF(A140&lt;&gt;"",COUNTIFS('QA Log'!D:D,A140,'QA Log'!M:M,"Vignette",'QA Log'!L:L,"Exit Interview 2",'QA Log'!Z:Z,"Approved"),"")</f>
        <v/>
      </c>
      <c r="BT140" s="102" t="str">
        <f>IF(
  A140="","",
  SUM(
    COUNTIFS('QA Log'!D:D,A140,'QA Log'!M:M,"Vignette",'QA Log'!Z:Z,"Rejected",'QA Log'!L:L,"*Exit Interview 1*"),
    COUNTIFS('QA Log'!D:D,A140,'QA Log'!M:M,"Vignette",'QA Log'!Z:Z,"Rejected",'QA Log'!L:L,"*Exit Interview 2*")
  )
)</f>
        <v/>
      </c>
      <c r="BU140" s="107" t="str">
        <f t="shared" si="13"/>
        <v/>
      </c>
      <c r="BV140" s="102" t="str">
        <f t="shared" si="14"/>
        <v/>
      </c>
      <c r="BW140" s="102" t="str">
        <f t="shared" si="15"/>
        <v/>
      </c>
      <c r="BX140" s="102" t="str">
        <f t="shared" si="16"/>
        <v/>
      </c>
      <c r="BY140" s="102" t="str">
        <f t="shared" si="17"/>
        <v/>
      </c>
      <c r="BZ140" s="107" t="str">
        <f t="shared" si="18"/>
        <v/>
      </c>
      <c r="CA140" s="108" t="str">
        <f t="shared" si="19"/>
        <v/>
      </c>
      <c r="CB140" s="108" t="str">
        <f t="shared" si="20"/>
        <v/>
      </c>
      <c r="CC140" s="109" t="str">
        <f t="shared" si="21"/>
        <v/>
      </c>
      <c r="CD140" s="108" t="str">
        <f t="shared" si="22"/>
        <v/>
      </c>
      <c r="CE140" s="108" t="str">
        <f t="shared" si="23"/>
        <v/>
      </c>
      <c r="CF140" s="109" t="str">
        <f t="shared" si="24"/>
        <v/>
      </c>
      <c r="CG140" s="110" t="str">
        <f t="shared" si="25"/>
        <v/>
      </c>
      <c r="CH140" s="111"/>
    </row>
    <row r="141" spans="1:86" ht="12.75">
      <c r="A141" s="101"/>
      <c r="B141" s="102" t="e">
        <f t="array" aca="1" ref="B141" ca="1">_xludf.XLOOKUP(A141,'QA Log'!D:D,'QA Log'!E:E,"")</f>
        <v>#NAME?</v>
      </c>
      <c r="C141" s="102" t="e">
        <f t="array" aca="1" ref="C141" ca="1">_xludf.XLOOKUP(A141,'QA Log'!D:D,'QA Log'!F:F,"")</f>
        <v>#NAME?</v>
      </c>
      <c r="D141" s="102" t="e">
        <f t="array" aca="1" ref="D141" ca="1">_xludf.XLOOKUP(A141,'QA Log'!D:D,'QA Log'!H:H,"")</f>
        <v>#NAME?</v>
      </c>
      <c r="E141" s="102" t="e">
        <f t="array" aca="1" ref="E141" ca="1">_xludf.XLOOKUP(A141,'QA Log'!D:D,'QA Log'!G:G,"")</f>
        <v>#NAME?</v>
      </c>
      <c r="F141" s="103"/>
      <c r="G141" s="104"/>
      <c r="H141" s="104"/>
      <c r="I141" s="103" t="str">
        <f t="shared" si="0"/>
        <v/>
      </c>
      <c r="J141" s="102" t="str">
        <f>IF(A141="","",SUM(
COUNTIFS('QA Log'!D:D,A141,'QA Log'!M:M,"QQC",'QA Log'!L:L,"*1. General Management*"),
COUNTIFS('QA Log'!D:D,A141,'QA Log'!M:M,"QQC",'QA Log'!L:L,"*3. Curative Consultation (OPD)*"),
COUNTIFS('QA Log'!D:D,A141,'QA Log'!M:M,"QQC",'QA Log'!L:L,"*5. Laboratory*"),
COUNTIFS('QA Log'!D:D,A141,'QA Log'!M:M,"QQC",'QA Log'!L:L,"*6. Essential Medicine Management*"),
COUNTIFS('QA Log'!D:D,A141,'QA Log'!M:M,"QQC",'QA Log'!L:L,"*7. Tracer Medicine*"),
COUNTIFS('QA Log'!D:D,A141,'QA Log'!M:M,"QQC",'QA Log'!L:L,"*11. Additional Questions*")))</f>
        <v/>
      </c>
      <c r="K141" s="102" t="str">
        <f>IF(A141="","",SUM(
COUNTIFS('QA Log'!D:D,A141,'QA Log'!M:M,"QQC",'QA Log'!Z:Z,"Approved",'QA Log'!L:L,"*1. General Management*"),
COUNTIFS('QA Log'!D:D,A141,'QA Log'!M:M,"QQC",'QA Log'!Z:Z,"Approved",'QA Log'!L:L,"*3. Curative Consultation (OPD)*"),
COUNTIFS('QA Log'!D:D,A141,'QA Log'!M:M,"QQC",'QA Log'!Z:Z,"Approved",'QA Log'!L:L,"*5. Laboratory*"),
COUNTIFS('QA Log'!D:D,A141,'QA Log'!M:M,"QQC",'QA Log'!Z:Z,"Approved",'QA Log'!L:L,"*6. Essential Medicine Management*"),
COUNTIFS('QA Log'!D:D,A141,'QA Log'!M:M,"QQC",'QA Log'!Z:Z,"Approved",'QA Log'!L:L,"*7. Tracer Medicine*"),
COUNTIFS('QA Log'!D:D,A141,'QA Log'!M:M,"QQC",'QA Log'!Z:Z,"Approved",'QA Log'!L:L,"*11. Additional Questions*")))</f>
        <v/>
      </c>
      <c r="L141" s="105" t="str">
        <f>IF(A141&lt;&gt;"",COUNTIFS('QA Log'!D:D,A141,'QA Log'!M:M,"QQC",'QA Log'!L:L,"1. General Management",'QA Log'!Z:Z,"Approved"),"")</f>
        <v/>
      </c>
      <c r="M141" s="105" t="str">
        <f>IF(A141&lt;&gt;"",COUNTIFS('QA Log'!D:D,A141,'QA Log'!M:M,"QQC",'QA Log'!L:L,"3. Curative Consultation (OPD)",'QA Log'!Z:Z,"Approved"),"")</f>
        <v/>
      </c>
      <c r="N141" s="105" t="str">
        <f>IF(A141&lt;&gt;"",COUNTIFS('QA Log'!D:D,A141,'QA Log'!M:M,"QQC",'QA Log'!L:L,"5. Laboratory",'QA Log'!Z:Z,"Approved"),"")</f>
        <v/>
      </c>
      <c r="O141" s="105" t="str">
        <f>IF(A141&lt;&gt;"",COUNTIFS('QA Log'!D:D,A141,'QA Log'!M:M,"QQC",'QA Log'!L:L,"6. Essential Medicine Management",'QA Log'!Z:Z,"Approved"),"")</f>
        <v/>
      </c>
      <c r="P141" s="105" t="str">
        <f>IF(A141&lt;&gt;"",COUNTIFS('QA Log'!D:D,A141,'QA Log'!M:M,"QQC",'QA Log'!L:L,"7. Tracer Medicine",'QA Log'!Z:Z,"Approved"),"")</f>
        <v/>
      </c>
      <c r="Q141" s="105" t="str">
        <f>IF(A141&lt;&gt;"",COUNTIFS('QA Log'!D:D,A141,'QA Log'!M:M,"QQC",'QA Log'!L:L,"11. Additional Questions",'QA Log'!Z:Z,"Approved"),"")</f>
        <v/>
      </c>
      <c r="R141" s="102" t="str">
        <f>IF(A141="","",SUM(
COUNTIFS('QA Log'!D:D,A141,'QA Log'!M:M,"QQC",'QA Log'!Z:Z,"Rejected",'QA Log'!L:L,"*8. Maternity*"),
COUNTIFS('QA Log'!D:D,A141,'QA Log'!M:M,"QQC",'QA Log'!Z:Z,"Rejected",'QA Log'!L:L,"*EPI*"),
COUNTIFS('QA Log'!D:D,A141,'QA Log'!M:M,"QQC",'QA Log'!Z:Z,"Rejected",'QA Log'!L:L,"*10. Antenatal Care (ANC)*"),
COUNTIFS('QA Log'!D:D,A141,'QA Log'!M:M,"QQC",'QA Log'!Z:Z,"Rejected",'QA Log'!L:L,"*2. Hygiene and Sterilization*"),
COUNTIFS('QA Log'!D:D,A141,'QA Log'!M:M,"QQC",'QA Log'!Z:Z,"Rejected",'QA Log'!L:L,"*Family Planning*")))</f>
        <v/>
      </c>
      <c r="S141" s="106" t="str">
        <f t="shared" si="1"/>
        <v/>
      </c>
      <c r="T141" s="102" t="str">
        <f t="shared" si="2"/>
        <v/>
      </c>
      <c r="U141" s="102" t="str">
        <f>IF(A141="","",
SUM(
COUNTIFS('QA Log'!D:D,A141,'QA Log'!M:M,"QQC",'QA Log'!L:L,"*8. Maternity*"),
COUNTIFS('QA Log'!D:D,A141,'QA Log'!M:M,"QQC",'QA Log'!L:L,"*9. EPI and Pre-school Consultation*"),
COUNTIFS('QA Log'!D:D,A141,'QA Log'!M:M,"QQC",'QA Log'!L:L,"*10. Antenatal Care (ANC)*"),
COUNTIFS('QA Log'!D:D,A141,'QA Log'!M:M,"QQC",'QA Log'!L:L,"*2. Hygiene and Sterilization*"),
COUNTIFS('QA Log'!D:D,A141,'QA Log'!M:M,"QQC",'QA Log'!L:L,"*4. Family Planning*")
))</f>
        <v/>
      </c>
      <c r="V141" s="102" t="str">
        <f>IF(A141="","",
SUM(
COUNTIFS('QA Log'!D:D,A141,'QA Log'!M:M,"QQC",'QA Log'!Z:Z,"Approved",'QA Log'!L:L,"*8. Maternity*"),
COUNTIFS('QA Log'!D:D,A141,'QA Log'!M:M,"QQC",'QA Log'!Z:Z,"Approved",'QA Log'!L:L,"*9. EPI and Pre-school Consultation*"),
COUNTIFS('QA Log'!D:D,A141,'QA Log'!M:M,"QQC",'QA Log'!Z:Z,"Approved",'QA Log'!L:L,"*10. Antenatal Care (ANC)*"),
COUNTIFS('QA Log'!D:D,A141,'QA Log'!M:M,"QQC",'QA Log'!Z:Z,"Approved",'QA Log'!L:L,"*2. Hygiene and Sterilization*"),
COUNTIFS('QA Log'!D:D,A141,'QA Log'!M:M,"QQC",'QA Log'!Z:Z,"Approved",'QA Log'!L:L,"*4. Family Planning*")
))</f>
        <v/>
      </c>
      <c r="W141" s="105" t="str">
        <f>IF(A141&lt;&gt;"",COUNTIFS('QA Log'!D:D,A141,'QA Log'!M:M,"QQC",'QA Log'!L:L,"8. Maternity",'QA Log'!Z:Z,"Approved"),"")</f>
        <v/>
      </c>
      <c r="X141" s="105" t="str">
        <f>IF(A141&lt;&gt;"",COUNTIFS('QA Log'!D:D,A141,'QA Log'!M:M,"QQC",'QA Log'!L:L,"9. EPI and Pre-school Consultation",'QA Log'!Z:Z,"Approved"),"")</f>
        <v/>
      </c>
      <c r="Y141" s="105" t="str">
        <f>IF(A141&lt;&gt;"",COUNTIFS('QA Log'!D:D,A141,'QA Log'!M:M,"QQC",'QA Log'!L:L,"10. Antenatal Care (ANC)",'QA Log'!Z:Z,"Approved"),"")</f>
        <v/>
      </c>
      <c r="Z141" s="105" t="str">
        <f>IF(A141&lt;&gt;"",COUNTIFS('QA Log'!D:D,A141,'QA Log'!M:M,"QQC",'QA Log'!L:L,"2. Hygiene and Sterilization",'QA Log'!Z:Z,"Approved"),"")</f>
        <v/>
      </c>
      <c r="AA141" s="105" t="str">
        <f>IF(A141&lt;&gt;"",COUNTIFS('QA Log'!D:D,A141,'QA Log'!M:M,"QQC",'QA Log'!L:L,"4. Family Planning",'QA Log'!Z:Z,"Approved"),"")</f>
        <v/>
      </c>
      <c r="AB141" s="102" t="str">
        <f>IF(A141="","",
SUM(
COUNTIFS('QA Log'!D:D,A141,'QA Log'!M:M,"QQC",'QA Log'!Z:Z,"Rejected",'QA Log'!L:L,"*8. Maternity*"),
COUNTIFS('QA Log'!D:D,A141,'QA Log'!M:M,"QQC",'QA Log'!Z:Z,"Rejected",'QA Log'!L:L,"*9. EPI and Pre-school Consultation*"),
COUNTIFS('QA Log'!D:D,A141,'QA Log'!M:M,"QQC",'QA Log'!Z:Z,"Rejected",'QA Log'!L:L,"*10. Antenatal Care (ANC)*"),
COUNTIFS('QA Log'!D:D,A141,'QA Log'!M:M,"QQC",'QA Log'!Z:Z,"Rejected",'QA Log'!L:L,"*2. Hygiene and Sterilization*"),
COUNTIFS('QA Log'!D:D,A141,'QA Log'!M:M,"QQC",'QA Log'!Z:Z,"Rejected",'QA Log'!L:L,"*4. Family Planning*")
))</f>
        <v/>
      </c>
      <c r="AC141" s="102" t="str">
        <f t="shared" si="3"/>
        <v/>
      </c>
      <c r="AD141" s="103" t="str">
        <f t="shared" si="4"/>
        <v/>
      </c>
      <c r="AE141" s="102" t="str">
        <f>IF(A141="","",
SUM(
COUNTIFS('QA Log'!D:D,A141,'QA Log'!M:M,"Data Verification",'QA Log'!L:L,"*Medicine (section 2)*"),
COUNTIFS('QA Log'!D:D,A141,'QA Log'!M:M,"Data Verification",'QA Log'!L:L,"*Lab Testing Availability*"),
COUNTIFS('QA Log'!D:D,A141,'QA Log'!M:M,"Data Verification",'QA Log'!L:L,"*Other than P4P (section 6)*"),
COUNTIFS('QA Log'!D:D,A141,'QA Log'!M:M,"Data Verification",'QA Log'!L:L,"*Hospital Governance*")
))</f>
        <v/>
      </c>
      <c r="AF141" s="102" t="str">
        <f>IF(A141="","",
SUM(
COUNTIFS('QA Log'!D:D,A141,'QA Log'!M:M,"Data Verification",'QA Log'!Z:Z,"Approved",'QA Log'!L:L,"*Medicine (section 2)*"),
COUNTIFS('QA Log'!D:D,A141,'QA Log'!M:M,"Data Verification",'QA Log'!Z:Z,"Approved",'QA Log'!L:L,"*Lab Testing Availability*"),
COUNTIFS('QA Log'!D:D,A141,'QA Log'!M:M,"Data Verification",'QA Log'!Z:Z,"Approved",'QA Log'!L:L,"*Other than P4P (section 6)*"),
COUNTIFS('QA Log'!D:D,A141,'QA Log'!M:M,"Data Verification",'QA Log'!Z:Z,"Approved",'QA Log'!L:L,"*Hospital Governance*")
))</f>
        <v/>
      </c>
      <c r="AG141" s="105" t="str">
        <f>IF(A141&lt;&gt;"",COUNTIFS('QA Log'!D:D,A141,'QA Log'!M:M,"Data Verification",'QA Log'!L:L,"Medicine (section 2)",'QA Log'!Z:Z,"Approved"),"")</f>
        <v/>
      </c>
      <c r="AH141" s="105" t="str">
        <f>IF(A141&lt;&gt;"",COUNTIFS('QA Log'!D:D,A141,'QA Log'!M:M,"Data Verification",'QA Log'!L:L,"Lab Testing Availability",'QA Log'!Z:Z,"Approved"),"")</f>
        <v/>
      </c>
      <c r="AI141" s="105" t="str">
        <f>IF(A141&lt;&gt;"",COUNTIFS('QA Log'!D:D,A141,'QA Log'!M:M,"Data Verification",'QA Log'!L:L,"Other than P4P (section 6)",'QA Log'!Z:Z,"Approved"),"")</f>
        <v/>
      </c>
      <c r="AJ141" s="105" t="str">
        <f>IF(A141&lt;&gt;"",COUNTIFS('QA Log'!D:D,A141,'QA Log'!M:M,"Data Verification",'QA Log'!L:L,"Hospital Governance",'QA Log'!Z:Z,"Approved"),"")</f>
        <v/>
      </c>
      <c r="AK141" s="102" t="str">
        <f>IF(A141="","",
SUM(
COUNTIFS('QA Log'!D:D,A141,'QA Log'!M:M,"Data Verification",'QA Log'!Z:Z,"Rejected",'QA Log'!L:L,"*Medicine (section 2)*"),
COUNTIFS('QA Log'!D:D,A141,'QA Log'!M:M,"Data Verification",'QA Log'!Z:Z,"Rejected",'QA Log'!L:L,"*Lab Testing Availability*"),
COUNTIFS('QA Log'!D:D,A141,'QA Log'!M:M,"Data Verification",'QA Log'!Z:Z,"Rejected",'QA Log'!L:L,"*Other than P4P (section 6)*"),
COUNTIFS('QA Log'!D:D,A141,'QA Log'!M:M,"Data Verification",'QA Log'!Z:Z,"Rejected",'QA Log'!L:L,"*Hospital Governance*")
))</f>
        <v/>
      </c>
      <c r="AL141" s="106" t="str">
        <f t="shared" si="5"/>
        <v/>
      </c>
      <c r="AM141" s="102" t="str">
        <f t="shared" si="6"/>
        <v/>
      </c>
      <c r="AN141" s="102" t="str">
        <f>IF(A141="","",
SUM(
COUNTIFS('QA Log'!D:D,A141,'QA Log'!M:M,"Data Verification",'QA Log'!L:L,"*Personnel (section 1)*"),
COUNTIFS('QA Log'!D:D,A141,'QA Log'!M:M,"Data Verification",'QA Log'!L:L,"*Consumable (section 3)*"),
COUNTIFS('QA Log'!D:D,A141,'QA Log'!M:M,"Data Verification",'QA Log'!L:L,"*Equipments (section 4)*")
))</f>
        <v/>
      </c>
      <c r="AO141" s="102" t="str">
        <f>IF(A141="","",
SUM(
COUNTIFS('QA Log'!D:D,A141,'QA Log'!M:M,"Data Verification",'QA Log'!Z:Z,"Approved",'QA Log'!L:L,"*Personnel (section 1)*"),
COUNTIFS('QA Log'!D:D,A141,'QA Log'!M:M,"Data Verification",'QA Log'!Z:Z,"Approved",'QA Log'!L:L,"*Consumable (section 3)*"),
COUNTIFS('QA Log'!D:D,A141,'QA Log'!M:M,"Data Verification",'QA Log'!Z:Z,"Approved",'QA Log'!L:L,"*Equipments (section 4)*")
))</f>
        <v/>
      </c>
      <c r="AP141" s="105" t="str">
        <f>IF(A141&lt;&gt;"",COUNTIFS('QA Log'!D:D,A141,'QA Log'!M:M,"Data Verification",'QA Log'!L:L,"Personnel (section 1)",'QA Log'!Z:Z,"Approved"),"")</f>
        <v/>
      </c>
      <c r="AQ141" s="105" t="str">
        <f>IF(A141&lt;&gt;"",COUNTIFS('QA Log'!D:D,A141,'QA Log'!M:M,"Data Verification",'QA Log'!L:L,"Consumable (section 3)",'QA Log'!Z:Z,"Approved"),"")</f>
        <v/>
      </c>
      <c r="AR141" s="105" t="str">
        <f>IF(A141&lt;&gt;"",COUNTIFS('QA Log'!D:D,A141,'QA Log'!M:M,"Data Verification",'QA Log'!L:L,"Equipments (section 4)",'QA Log'!Z:Z,"Approved"),"")</f>
        <v/>
      </c>
      <c r="AS141" s="102" t="str">
        <f>IF(A141="","",
SUM(
COUNTIFS('QA Log'!D:D,A141,'QA Log'!M:M,"Data Verification",'QA Log'!Z:Z,"Rejected",'QA Log'!L:L,"*Personnel (section 1)*"),
COUNTIFS('QA Log'!D:D,A141,'QA Log'!M:M,"Data Verification",'QA Log'!Z:Z,"Rejected",'QA Log'!L:L,"*Consumable (section 3)*"),
COUNTIFS('QA Log'!D:D,A141,'QA Log'!M:M,"Data Verification",'QA Log'!Z:Z,"Rejected",'QA Log'!L:L,"*Equipments (section 4)*")
))</f>
        <v/>
      </c>
      <c r="AT141" s="102" t="str">
        <f t="shared" si="7"/>
        <v/>
      </c>
      <c r="AU141" s="103" t="str">
        <f t="shared" si="8"/>
        <v/>
      </c>
      <c r="AV141" s="102" t="str">
        <f>IF(A141="","",SUM(
COUNTIFS('QA Log'!D:D,A141,'QA Log'!M:M,"Vignette",'QA Log'!L:L,"*Vignette [1] Respiratory Infection: Pneumonia*"),
COUNTIFS('QA Log'!D:D,A141,'QA Log'!M:M,"Vignette",'QA Log'!L:L,"*Vignette [2]: Diarrhea with Cat B dehydration*"),
COUNTIFS('QA Log'!D:D,A141,'QA Log'!M:M,"Vignette",'QA Log'!L:L,"*Vignette [3] Growth Monitoring and Promotion*"),
COUNTIFS('QA Log'!D:D,A141,'QA Log'!M:M,"Vignette",'QA Log'!L:L,"*Vignette [4]: The management of presumptive TB patient*")
)
)</f>
        <v/>
      </c>
      <c r="AW141" s="102" t="str">
        <f>IF(
  A141="","",
  SUM(
    COUNTIFS('QA Log'!D:D,A141,'QA Log'!M:M,"Vignette",'QA Log'!Z:Z,"Approved",'QA Log'!L:L,"*Vignette [1] Respiratory Infection: Pneumonia*"),
    COUNTIFS('QA Log'!D:D,A141,'QA Log'!M:M,"Vignette",'QA Log'!Z:Z,"Approved",'QA Log'!L:L,"*Vignette [2]: Diarrhea with Cat B dehydration*"),
    COUNTIFS('QA Log'!D:D,A141,'QA Log'!M:M,"Vignette",'QA Log'!Z:Z,"Approved",'QA Log'!L:L,"*Vignette [3] Growth Monitoring and Promotion*"),
    COUNTIFS('QA Log'!D:D,A141,'QA Log'!M:M,"Vignette",'QA Log'!Z:Z,"Approved",'QA Log'!L:L,"*Vignette [4]: The management of presumptive TB patient*")
  )
)</f>
        <v/>
      </c>
      <c r="AX141" s="105" t="str">
        <f>IF(A141&lt;&gt;"",COUNTIFS('QA Log'!D:D,A141,'QA Log'!M:M,"Vignette",'QA Log'!L:L,"Vignette [1] Respiratory Infection: Pneumonia",'QA Log'!Z:Z,"Approved"),"")</f>
        <v/>
      </c>
      <c r="AY141" s="105" t="str">
        <f>IF(A141&lt;&gt;"",COUNTIFS('QA Log'!D:D,A141,'QA Log'!M:M,"Vignette",'QA Log'!L:L,"Vignette [2]: Diarrhea with Cat B dehydration",'QA Log'!Z:Z,"Approved"),"")</f>
        <v/>
      </c>
      <c r="AZ141" s="105" t="str">
        <f>IF(A141&lt;&gt;"",COUNTIFS('QA Log'!D:D,A141,'QA Log'!M:M,"Vignette",'QA Log'!L:L,"Vignette [3] Growth Monitoring and Promotion",'QA Log'!Z:Z,"Approved"),"")</f>
        <v/>
      </c>
      <c r="BA141" s="105" t="str">
        <f>IF(A141&lt;&gt;"",COUNTIFS('QA Log'!D:D,A141,'QA Log'!M:M,"Vignette",'QA Log'!L:L,"Vignette [4]: The management of presumptive TB patient",'QA Log'!Z:Z,"Approved"),"")</f>
        <v/>
      </c>
      <c r="BB141" s="102" t="str">
        <f>IF(A141="","",
  SUM(
    COUNTIFS('QA Log'!D:D,A141,'QA Log'!M:M,"Vignette",'QA Log'!Z:Z,"Rejected",'QA Log'!L:L,"*Vignette [1] Respiratory Infection: Pneumonia*"),
    COUNTIFS('QA Log'!D:D,A141,'QA Log'!M:M,"Vignette",'QA Log'!Z:Z,"Rejected",'QA Log'!L:L,"*Vignette [2]: Diarrhea with Cat B dehydration*"),
    COUNTIFS('QA Log'!D:D,A141,'QA Log'!M:M,"Vignette",'QA Log'!Z:Z,"Rejected",'QA Log'!L:L,"*Vignette [3] Growth Monitoring and Promotion*"),
    COUNTIFS('QA Log'!D:D,A141,'QA Log'!M:M,"Vignette",'QA Log'!Z:Z,"Rejected",'QA Log'!L:L,"*Vignette [4]: The management of presumptive TB patient*")
  )
)</f>
        <v/>
      </c>
      <c r="BC141" s="107" t="str">
        <f t="shared" si="9"/>
        <v/>
      </c>
      <c r="BD141" s="103" t="str">
        <f t="shared" si="10"/>
        <v/>
      </c>
      <c r="BE141" s="102" t="str">
        <f>IF(A141="","",SUM(
COUNTIFS('QA Log'!D:D,A141,'QA Log'!M:M,"Vignette",'QA Log'!L:L,"*Vignette [5] Labor*"),
COUNTIFS('QA Log'!D:D,A141,'QA Log'!M:M,"Vignette",'QA Log'!L:L,"*Vignette [6] PNC pre Discharge*"),
COUNTIFS('QA Log'!D:D,A141,'QA Log'!M:M,"Vignette",'QA Log'!L:L,"*Vignette [7] First ANC Visit*"),
COUNTIFS('QA Log'!D:D,A141,'QA Log'!M:M,"Vignette",'QA Log'!L:L,"*Vignette [8] Birth Spacing/ Family Planning :  FP Counselling*"),
COUNTIFS('QA Log'!D:D,A141,'QA Log'!M:M,"Vignette",'QA Log'!L:L,"*Vignette [9] Birth Spacing: Change FP method to Injectable*"),
COUNTIFS('QA Log'!D:D,A141,'QA Log'!M:M,"Vignette",'QA Log'!L:L,"*Vignette [10] Post Partum Haemorrhage - Atonic Uterus at Health Centre*"),
)
)</f>
        <v/>
      </c>
      <c r="BF141" s="102" t="str">
        <f>IF(A141="","",
  SUM(
    COUNTIFS('QA Log'!D:D,A141,'QA Log'!M:M,"Vignette",'QA Log'!Z:Z,"Approved",'QA Log'!L:L,"*Vignette [5] Labor*"),
    COUNTIFS('QA Log'!D:D,A141,'QA Log'!M:M,"Vignette",'QA Log'!Z:Z,"Approved",'QA Log'!L:L,"*Vignette [6] PNC pre Discharge*"),
    COUNTIFS('QA Log'!D:D,A141,'QA Log'!M:M,"Vignette",'QA Log'!Z:Z,"Approved",'QA Log'!L:L,"*Vignette [7] First ANC Visit*"),
    COUNTIFS('QA Log'!D:D,A141,'QA Log'!M:M,"Vignette",'QA Log'!Z:Z,"Approved",'QA Log'!L:L,"*Vignette [8] Birth Spacing/ Family Planning :  FP Counselling*"),
    COUNTIFS('QA Log'!D:D,A141,'QA Log'!M:M,"Vignette",'QA Log'!Z:Z,"Approved",'QA Log'!L:L,"*Vignette [9] Birth Spacing: Change FP method to Injectable*"),
    COUNTIFS('QA Log'!D:D,A141,'QA Log'!M:M,"Vignette",'QA Log'!Z:Z,"Approved",'QA Log'!L:L,"*Vignette [10] Post Partum Haemorrhage - Atonic Uterus at Health Centre*")
  )
)</f>
        <v/>
      </c>
      <c r="BG141" s="105" t="str">
        <f>IF(A141&lt;&gt;"",COUNTIFS('QA Log'!D:D,A141,'QA Log'!M:M,"Vignette",'QA Log'!L:L,"Vignette [5] Labor",'QA Log'!Z:Z,"Approved"),"")</f>
        <v/>
      </c>
      <c r="BH141" s="105" t="str">
        <f>IF(A141&lt;&gt;"",COUNTIFS('QA Log'!D:D,A141,'QA Log'!M:M,"Vignette",'QA Log'!L:L,"Vignette [6] PNC pre Discharge",'QA Log'!Z:Z,"Approved"),"")</f>
        <v/>
      </c>
      <c r="BI141" s="105" t="str">
        <f>IF(A141&lt;&gt;"",COUNTIFS('QA Log'!D:D,A141,'QA Log'!M:M,"Vignette",'QA Log'!L:L,"Vignette [7] First ANC Visit",'QA Log'!Z:Z,"Approved"),"")</f>
        <v/>
      </c>
      <c r="BJ141" s="105" t="str">
        <f>IF(A141&lt;&gt;"",COUNTIFS('QA Log'!D:D,A141,'QA Log'!M:M,"Vignette",'QA Log'!L:L,"Vignette [8] Birth Spacing/ Family Planning :  FP Counselling",'QA Log'!Z:Z,"Approved"),"")</f>
        <v/>
      </c>
      <c r="BK141" s="105" t="str">
        <f>IF(A141&lt;&gt;"",COUNTIFS('QA Log'!D:D,A141,'QA Log'!M:M,"Vignette",'QA Log'!L:L,"Vignette [9] Birth Spacing: Change FP method to Injectable",'QA Log'!Z:Z,"Approved"),"")</f>
        <v/>
      </c>
      <c r="BL141" s="105" t="str">
        <f>IF(A141&lt;&gt;"",COUNTIFS('QA Log'!D:D,A141,'QA Log'!M:M,"Vignette",'QA Log'!L:L,"Vignette [10] Post Partum Haemorrhage - Atonic Uterus at Health Centre",'QA Log'!Z:Z,"Approved"),"")</f>
        <v/>
      </c>
      <c r="BM141" s="102" t="str">
        <f>IF(A141="","",SUM(
    COUNTIFS('QA Log'!D:D,A141,'QA Log'!M:M,"Vignette",'QA Log'!Z:Z,"Rejected",'QA Log'!L:L,"*Vignette [5] Labor*"),
    COUNTIFS('QA Log'!D:D,A141,'QA Log'!M:M,"Vignette",'QA Log'!Z:Z,"Rejected",'QA Log'!L:L,"*Vignette [6] PNC pre Discharge*"),
    COUNTIFS('QA Log'!D:D,A141,'QA Log'!M:M,"Vignette",'QA Log'!Z:Z,"Rejected",'QA Log'!L:L,"*Vignette [7] First ANC Visit*"),
    COUNTIFS('QA Log'!D:D,A141,'QA Log'!M:M,"Vignette",'QA Log'!Z:Z,"Rejected",'QA Log'!L:L,"*Vignette [8] Birth Spacing/ Family Planning :  FP Counselling*"),
    COUNTIFS('QA Log'!D:D,A141,'QA Log'!M:M,"Vignette",'QA Log'!Z:Z,"Rejected",'QA Log'!L:L,"*Vignette [9] Birth Spacing: Change FP method to Injectable*"),
    COUNTIFS('QA Log'!D:D,A141,'QA Log'!M:M,"Vignette",'QA Log'!Z:Z,"Rejected",'QA Log'!L:L,"*Vignette [10] Post Partum Haemorrhage - Atonic Uterus at Health Centre*")
  )
)</f>
        <v/>
      </c>
      <c r="BN141" s="107" t="str">
        <f t="shared" si="11"/>
        <v/>
      </c>
      <c r="BO141" s="103" t="str">
        <f t="shared" si="12"/>
        <v/>
      </c>
      <c r="BP141" s="102" t="str">
        <f>IF(A141="","",SUM(
COUNTIFS('QA Log'!D:D,A141,'QA Log'!M:M,"Vignette",'QA Log'!L:L,"*Exit Interview 1*"),
COUNTIFS('QA Log'!D:D,A141,'QA Log'!M:M,"Vignette",'QA Log'!L:L,"*Exit Interview 2*"),
)
)</f>
        <v/>
      </c>
      <c r="BQ141" s="102" t="str">
        <f>IF(
  A141="","",
  SUM(
    COUNTIFS('QA Log'!D:D,A141,'QA Log'!M:M,"Vignette",'QA Log'!Z:Z,"Approved",'QA Log'!L:L,"*Exit Interview 1*"),
    COUNTIFS('QA Log'!D:D,A141,'QA Log'!M:M,"Vignette",'QA Log'!Z:Z,"Approved",'QA Log'!L:L,"*Exit Interview 2*")
  )
)</f>
        <v/>
      </c>
      <c r="BR141" s="105" t="str">
        <f>IF(A141&lt;&gt;"",COUNTIFS('QA Log'!D:D,A141,'QA Log'!M:M,"Vignette",'QA Log'!L:L,"Exit Interview 1",'QA Log'!Z:Z,"Approved"),"")</f>
        <v/>
      </c>
      <c r="BS141" s="105" t="str">
        <f>IF(A141&lt;&gt;"",COUNTIFS('QA Log'!D:D,A141,'QA Log'!M:M,"Vignette",'QA Log'!L:L,"Exit Interview 2",'QA Log'!Z:Z,"Approved"),"")</f>
        <v/>
      </c>
      <c r="BT141" s="102" t="str">
        <f>IF(
  A141="","",
  SUM(
    COUNTIFS('QA Log'!D:D,A141,'QA Log'!M:M,"Vignette",'QA Log'!Z:Z,"Rejected",'QA Log'!L:L,"*Exit Interview 1*"),
    COUNTIFS('QA Log'!D:D,A141,'QA Log'!M:M,"Vignette",'QA Log'!Z:Z,"Rejected",'QA Log'!L:L,"*Exit Interview 2*")
  )
)</f>
        <v/>
      </c>
      <c r="BU141" s="107" t="str">
        <f t="shared" si="13"/>
        <v/>
      </c>
      <c r="BV141" s="102" t="str">
        <f t="shared" si="14"/>
        <v/>
      </c>
      <c r="BW141" s="102" t="str">
        <f t="shared" si="15"/>
        <v/>
      </c>
      <c r="BX141" s="102" t="str">
        <f t="shared" si="16"/>
        <v/>
      </c>
      <c r="BY141" s="102" t="str">
        <f t="shared" si="17"/>
        <v/>
      </c>
      <c r="BZ141" s="107" t="str">
        <f t="shared" si="18"/>
        <v/>
      </c>
      <c r="CA141" s="108" t="str">
        <f t="shared" si="19"/>
        <v/>
      </c>
      <c r="CB141" s="108" t="str">
        <f t="shared" si="20"/>
        <v/>
      </c>
      <c r="CC141" s="109" t="str">
        <f t="shared" si="21"/>
        <v/>
      </c>
      <c r="CD141" s="108" t="str">
        <f t="shared" si="22"/>
        <v/>
      </c>
      <c r="CE141" s="108" t="str">
        <f t="shared" si="23"/>
        <v/>
      </c>
      <c r="CF141" s="109" t="str">
        <f t="shared" si="24"/>
        <v/>
      </c>
      <c r="CG141" s="110" t="str">
        <f t="shared" si="25"/>
        <v/>
      </c>
      <c r="CH141" s="111"/>
    </row>
    <row r="142" spans="1:86" ht="12.75">
      <c r="A142" s="101"/>
      <c r="B142" s="102" t="e">
        <f t="array" aca="1" ref="B142" ca="1">_xludf.XLOOKUP(A142,'QA Log'!D:D,'QA Log'!E:E,"")</f>
        <v>#NAME?</v>
      </c>
      <c r="C142" s="102" t="e">
        <f t="array" aca="1" ref="C142" ca="1">_xludf.XLOOKUP(A142,'QA Log'!D:D,'QA Log'!F:F,"")</f>
        <v>#NAME?</v>
      </c>
      <c r="D142" s="102" t="e">
        <f t="array" aca="1" ref="D142" ca="1">_xludf.XLOOKUP(A142,'QA Log'!D:D,'QA Log'!H:H,"")</f>
        <v>#NAME?</v>
      </c>
      <c r="E142" s="102" t="e">
        <f t="array" aca="1" ref="E142" ca="1">_xludf.XLOOKUP(A142,'QA Log'!D:D,'QA Log'!G:G,"")</f>
        <v>#NAME?</v>
      </c>
      <c r="F142" s="103"/>
      <c r="G142" s="104"/>
      <c r="H142" s="104"/>
      <c r="I142" s="103" t="str">
        <f t="shared" si="0"/>
        <v/>
      </c>
      <c r="J142" s="102" t="str">
        <f>IF(A142="","",SUM(
COUNTIFS('QA Log'!D:D,A142,'QA Log'!M:M,"QQC",'QA Log'!L:L,"*1. General Management*"),
COUNTIFS('QA Log'!D:D,A142,'QA Log'!M:M,"QQC",'QA Log'!L:L,"*3. Curative Consultation (OPD)*"),
COUNTIFS('QA Log'!D:D,A142,'QA Log'!M:M,"QQC",'QA Log'!L:L,"*5. Laboratory*"),
COUNTIFS('QA Log'!D:D,A142,'QA Log'!M:M,"QQC",'QA Log'!L:L,"*6. Essential Medicine Management*"),
COUNTIFS('QA Log'!D:D,A142,'QA Log'!M:M,"QQC",'QA Log'!L:L,"*7. Tracer Medicine*"),
COUNTIFS('QA Log'!D:D,A142,'QA Log'!M:M,"QQC",'QA Log'!L:L,"*11. Additional Questions*")))</f>
        <v/>
      </c>
      <c r="K142" s="102" t="str">
        <f>IF(A142="","",SUM(
COUNTIFS('QA Log'!D:D,A142,'QA Log'!M:M,"QQC",'QA Log'!Z:Z,"Approved",'QA Log'!L:L,"*1. General Management*"),
COUNTIFS('QA Log'!D:D,A142,'QA Log'!M:M,"QQC",'QA Log'!Z:Z,"Approved",'QA Log'!L:L,"*3. Curative Consultation (OPD)*"),
COUNTIFS('QA Log'!D:D,A142,'QA Log'!M:M,"QQC",'QA Log'!Z:Z,"Approved",'QA Log'!L:L,"*5. Laboratory*"),
COUNTIFS('QA Log'!D:D,A142,'QA Log'!M:M,"QQC",'QA Log'!Z:Z,"Approved",'QA Log'!L:L,"*6. Essential Medicine Management*"),
COUNTIFS('QA Log'!D:D,A142,'QA Log'!M:M,"QQC",'QA Log'!Z:Z,"Approved",'QA Log'!L:L,"*7. Tracer Medicine*"),
COUNTIFS('QA Log'!D:D,A142,'QA Log'!M:M,"QQC",'QA Log'!Z:Z,"Approved",'QA Log'!L:L,"*11. Additional Questions*")))</f>
        <v/>
      </c>
      <c r="L142" s="105" t="str">
        <f>IF(A142&lt;&gt;"",COUNTIFS('QA Log'!D:D,A142,'QA Log'!M:M,"QQC",'QA Log'!L:L,"1. General Management",'QA Log'!Z:Z,"Approved"),"")</f>
        <v/>
      </c>
      <c r="M142" s="105" t="str">
        <f>IF(A142&lt;&gt;"",COUNTIFS('QA Log'!D:D,A142,'QA Log'!M:M,"QQC",'QA Log'!L:L,"3. Curative Consultation (OPD)",'QA Log'!Z:Z,"Approved"),"")</f>
        <v/>
      </c>
      <c r="N142" s="105" t="str">
        <f>IF(A142&lt;&gt;"",COUNTIFS('QA Log'!D:D,A142,'QA Log'!M:M,"QQC",'QA Log'!L:L,"5. Laboratory",'QA Log'!Z:Z,"Approved"),"")</f>
        <v/>
      </c>
      <c r="O142" s="105" t="str">
        <f>IF(A142&lt;&gt;"",COUNTIFS('QA Log'!D:D,A142,'QA Log'!M:M,"QQC",'QA Log'!L:L,"6. Essential Medicine Management",'QA Log'!Z:Z,"Approved"),"")</f>
        <v/>
      </c>
      <c r="P142" s="105" t="str">
        <f>IF(A142&lt;&gt;"",COUNTIFS('QA Log'!D:D,A142,'QA Log'!M:M,"QQC",'QA Log'!L:L,"7. Tracer Medicine",'QA Log'!Z:Z,"Approved"),"")</f>
        <v/>
      </c>
      <c r="Q142" s="105" t="str">
        <f>IF(A142&lt;&gt;"",COUNTIFS('QA Log'!D:D,A142,'QA Log'!M:M,"QQC",'QA Log'!L:L,"11. Additional Questions",'QA Log'!Z:Z,"Approved"),"")</f>
        <v/>
      </c>
      <c r="R142" s="102" t="str">
        <f>IF(A142="","",SUM(
COUNTIFS('QA Log'!D:D,A142,'QA Log'!M:M,"QQC",'QA Log'!Z:Z,"Rejected",'QA Log'!L:L,"*8. Maternity*"),
COUNTIFS('QA Log'!D:D,A142,'QA Log'!M:M,"QQC",'QA Log'!Z:Z,"Rejected",'QA Log'!L:L,"*EPI*"),
COUNTIFS('QA Log'!D:D,A142,'QA Log'!M:M,"QQC",'QA Log'!Z:Z,"Rejected",'QA Log'!L:L,"*10. Antenatal Care (ANC)*"),
COUNTIFS('QA Log'!D:D,A142,'QA Log'!M:M,"QQC",'QA Log'!Z:Z,"Rejected",'QA Log'!L:L,"*2. Hygiene and Sterilization*"),
COUNTIFS('QA Log'!D:D,A142,'QA Log'!M:M,"QQC",'QA Log'!Z:Z,"Rejected",'QA Log'!L:L,"*Family Planning*")))</f>
        <v/>
      </c>
      <c r="S142" s="106" t="str">
        <f t="shared" si="1"/>
        <v/>
      </c>
      <c r="T142" s="102" t="str">
        <f t="shared" si="2"/>
        <v/>
      </c>
      <c r="U142" s="102" t="str">
        <f>IF(A142="","",
SUM(
COUNTIFS('QA Log'!D:D,A142,'QA Log'!M:M,"QQC",'QA Log'!L:L,"*8. Maternity*"),
COUNTIFS('QA Log'!D:D,A142,'QA Log'!M:M,"QQC",'QA Log'!L:L,"*9. EPI and Pre-school Consultation*"),
COUNTIFS('QA Log'!D:D,A142,'QA Log'!M:M,"QQC",'QA Log'!L:L,"*10. Antenatal Care (ANC)*"),
COUNTIFS('QA Log'!D:D,A142,'QA Log'!M:M,"QQC",'QA Log'!L:L,"*2. Hygiene and Sterilization*"),
COUNTIFS('QA Log'!D:D,A142,'QA Log'!M:M,"QQC",'QA Log'!L:L,"*4. Family Planning*")
))</f>
        <v/>
      </c>
      <c r="V142" s="102" t="str">
        <f>IF(A142="","",
SUM(
COUNTIFS('QA Log'!D:D,A142,'QA Log'!M:M,"QQC",'QA Log'!Z:Z,"Approved",'QA Log'!L:L,"*8. Maternity*"),
COUNTIFS('QA Log'!D:D,A142,'QA Log'!M:M,"QQC",'QA Log'!Z:Z,"Approved",'QA Log'!L:L,"*9. EPI and Pre-school Consultation*"),
COUNTIFS('QA Log'!D:D,A142,'QA Log'!M:M,"QQC",'QA Log'!Z:Z,"Approved",'QA Log'!L:L,"*10. Antenatal Care (ANC)*"),
COUNTIFS('QA Log'!D:D,A142,'QA Log'!M:M,"QQC",'QA Log'!Z:Z,"Approved",'QA Log'!L:L,"*2. Hygiene and Sterilization*"),
COUNTIFS('QA Log'!D:D,A142,'QA Log'!M:M,"QQC",'QA Log'!Z:Z,"Approved",'QA Log'!L:L,"*4. Family Planning*")
))</f>
        <v/>
      </c>
      <c r="W142" s="105" t="str">
        <f>IF(A142&lt;&gt;"",COUNTIFS('QA Log'!D:D,A142,'QA Log'!M:M,"QQC",'QA Log'!L:L,"8. Maternity",'QA Log'!Z:Z,"Approved"),"")</f>
        <v/>
      </c>
      <c r="X142" s="105" t="str">
        <f>IF(A142&lt;&gt;"",COUNTIFS('QA Log'!D:D,A142,'QA Log'!M:M,"QQC",'QA Log'!L:L,"9. EPI and Pre-school Consultation",'QA Log'!Z:Z,"Approved"),"")</f>
        <v/>
      </c>
      <c r="Y142" s="105" t="str">
        <f>IF(A142&lt;&gt;"",COUNTIFS('QA Log'!D:D,A142,'QA Log'!M:M,"QQC",'QA Log'!L:L,"10. Antenatal Care (ANC)",'QA Log'!Z:Z,"Approved"),"")</f>
        <v/>
      </c>
      <c r="Z142" s="105" t="str">
        <f>IF(A142&lt;&gt;"",COUNTIFS('QA Log'!D:D,A142,'QA Log'!M:M,"QQC",'QA Log'!L:L,"2. Hygiene and Sterilization",'QA Log'!Z:Z,"Approved"),"")</f>
        <v/>
      </c>
      <c r="AA142" s="105" t="str">
        <f>IF(A142&lt;&gt;"",COUNTIFS('QA Log'!D:D,A142,'QA Log'!M:M,"QQC",'QA Log'!L:L,"4. Family Planning",'QA Log'!Z:Z,"Approved"),"")</f>
        <v/>
      </c>
      <c r="AB142" s="102" t="str">
        <f>IF(A142="","",
SUM(
COUNTIFS('QA Log'!D:D,A142,'QA Log'!M:M,"QQC",'QA Log'!Z:Z,"Rejected",'QA Log'!L:L,"*8. Maternity*"),
COUNTIFS('QA Log'!D:D,A142,'QA Log'!M:M,"QQC",'QA Log'!Z:Z,"Rejected",'QA Log'!L:L,"*9. EPI and Pre-school Consultation*"),
COUNTIFS('QA Log'!D:D,A142,'QA Log'!M:M,"QQC",'QA Log'!Z:Z,"Rejected",'QA Log'!L:L,"*10. Antenatal Care (ANC)*"),
COUNTIFS('QA Log'!D:D,A142,'QA Log'!M:M,"QQC",'QA Log'!Z:Z,"Rejected",'QA Log'!L:L,"*2. Hygiene and Sterilization*"),
COUNTIFS('QA Log'!D:D,A142,'QA Log'!M:M,"QQC",'QA Log'!Z:Z,"Rejected",'QA Log'!L:L,"*4. Family Planning*")
))</f>
        <v/>
      </c>
      <c r="AC142" s="102" t="str">
        <f t="shared" si="3"/>
        <v/>
      </c>
      <c r="AD142" s="103" t="str">
        <f t="shared" si="4"/>
        <v/>
      </c>
      <c r="AE142" s="102" t="str">
        <f>IF(A142="","",
SUM(
COUNTIFS('QA Log'!D:D,A142,'QA Log'!M:M,"Data Verification",'QA Log'!L:L,"*Medicine (section 2)*"),
COUNTIFS('QA Log'!D:D,A142,'QA Log'!M:M,"Data Verification",'QA Log'!L:L,"*Lab Testing Availability*"),
COUNTIFS('QA Log'!D:D,A142,'QA Log'!M:M,"Data Verification",'QA Log'!L:L,"*Other than P4P (section 6)*"),
COUNTIFS('QA Log'!D:D,A142,'QA Log'!M:M,"Data Verification",'QA Log'!L:L,"*Hospital Governance*")
))</f>
        <v/>
      </c>
      <c r="AF142" s="102" t="str">
        <f>IF(A142="","",
SUM(
COUNTIFS('QA Log'!D:D,A142,'QA Log'!M:M,"Data Verification",'QA Log'!Z:Z,"Approved",'QA Log'!L:L,"*Medicine (section 2)*"),
COUNTIFS('QA Log'!D:D,A142,'QA Log'!M:M,"Data Verification",'QA Log'!Z:Z,"Approved",'QA Log'!L:L,"*Lab Testing Availability*"),
COUNTIFS('QA Log'!D:D,A142,'QA Log'!M:M,"Data Verification",'QA Log'!Z:Z,"Approved",'QA Log'!L:L,"*Other than P4P (section 6)*"),
COUNTIFS('QA Log'!D:D,A142,'QA Log'!M:M,"Data Verification",'QA Log'!Z:Z,"Approved",'QA Log'!L:L,"*Hospital Governance*")
))</f>
        <v/>
      </c>
      <c r="AG142" s="105" t="str">
        <f>IF(A142&lt;&gt;"",COUNTIFS('QA Log'!D:D,A142,'QA Log'!M:M,"Data Verification",'QA Log'!L:L,"Medicine (section 2)",'QA Log'!Z:Z,"Approved"),"")</f>
        <v/>
      </c>
      <c r="AH142" s="105" t="str">
        <f>IF(A142&lt;&gt;"",COUNTIFS('QA Log'!D:D,A142,'QA Log'!M:M,"Data Verification",'QA Log'!L:L,"Lab Testing Availability",'QA Log'!Z:Z,"Approved"),"")</f>
        <v/>
      </c>
      <c r="AI142" s="105" t="str">
        <f>IF(A142&lt;&gt;"",COUNTIFS('QA Log'!D:D,A142,'QA Log'!M:M,"Data Verification",'QA Log'!L:L,"Other than P4P (section 6)",'QA Log'!Z:Z,"Approved"),"")</f>
        <v/>
      </c>
      <c r="AJ142" s="105" t="str">
        <f>IF(A142&lt;&gt;"",COUNTIFS('QA Log'!D:D,A142,'QA Log'!M:M,"Data Verification",'QA Log'!L:L,"Hospital Governance",'QA Log'!Z:Z,"Approved"),"")</f>
        <v/>
      </c>
      <c r="AK142" s="102" t="str">
        <f>IF(A142="","",
SUM(
COUNTIFS('QA Log'!D:D,A142,'QA Log'!M:M,"Data Verification",'QA Log'!Z:Z,"Rejected",'QA Log'!L:L,"*Medicine (section 2)*"),
COUNTIFS('QA Log'!D:D,A142,'QA Log'!M:M,"Data Verification",'QA Log'!Z:Z,"Rejected",'QA Log'!L:L,"*Lab Testing Availability*"),
COUNTIFS('QA Log'!D:D,A142,'QA Log'!M:M,"Data Verification",'QA Log'!Z:Z,"Rejected",'QA Log'!L:L,"*Other than P4P (section 6)*"),
COUNTIFS('QA Log'!D:D,A142,'QA Log'!M:M,"Data Verification",'QA Log'!Z:Z,"Rejected",'QA Log'!L:L,"*Hospital Governance*")
))</f>
        <v/>
      </c>
      <c r="AL142" s="106" t="str">
        <f t="shared" si="5"/>
        <v/>
      </c>
      <c r="AM142" s="102" t="str">
        <f t="shared" si="6"/>
        <v/>
      </c>
      <c r="AN142" s="102" t="str">
        <f>IF(A142="","",
SUM(
COUNTIFS('QA Log'!D:D,A142,'QA Log'!M:M,"Data Verification",'QA Log'!L:L,"*Personnel (section 1)*"),
COUNTIFS('QA Log'!D:D,A142,'QA Log'!M:M,"Data Verification",'QA Log'!L:L,"*Consumable (section 3)*"),
COUNTIFS('QA Log'!D:D,A142,'QA Log'!M:M,"Data Verification",'QA Log'!L:L,"*Equipments (section 4)*")
))</f>
        <v/>
      </c>
      <c r="AO142" s="102" t="str">
        <f>IF(A142="","",
SUM(
COUNTIFS('QA Log'!D:D,A142,'QA Log'!M:M,"Data Verification",'QA Log'!Z:Z,"Approved",'QA Log'!L:L,"*Personnel (section 1)*"),
COUNTIFS('QA Log'!D:D,A142,'QA Log'!M:M,"Data Verification",'QA Log'!Z:Z,"Approved",'QA Log'!L:L,"*Consumable (section 3)*"),
COUNTIFS('QA Log'!D:D,A142,'QA Log'!M:M,"Data Verification",'QA Log'!Z:Z,"Approved",'QA Log'!L:L,"*Equipments (section 4)*")
))</f>
        <v/>
      </c>
      <c r="AP142" s="105" t="str">
        <f>IF(A142&lt;&gt;"",COUNTIFS('QA Log'!D:D,A142,'QA Log'!M:M,"Data Verification",'QA Log'!L:L,"Personnel (section 1)",'QA Log'!Z:Z,"Approved"),"")</f>
        <v/>
      </c>
      <c r="AQ142" s="105" t="str">
        <f>IF(A142&lt;&gt;"",COUNTIFS('QA Log'!D:D,A142,'QA Log'!M:M,"Data Verification",'QA Log'!L:L,"Consumable (section 3)",'QA Log'!Z:Z,"Approved"),"")</f>
        <v/>
      </c>
      <c r="AR142" s="105" t="str">
        <f>IF(A142&lt;&gt;"",COUNTIFS('QA Log'!D:D,A142,'QA Log'!M:M,"Data Verification",'QA Log'!L:L,"Equipments (section 4)",'QA Log'!Z:Z,"Approved"),"")</f>
        <v/>
      </c>
      <c r="AS142" s="102" t="str">
        <f>IF(A142="","",
SUM(
COUNTIFS('QA Log'!D:D,A142,'QA Log'!M:M,"Data Verification",'QA Log'!Z:Z,"Rejected",'QA Log'!L:L,"*Personnel (section 1)*"),
COUNTIFS('QA Log'!D:D,A142,'QA Log'!M:M,"Data Verification",'QA Log'!Z:Z,"Rejected",'QA Log'!L:L,"*Consumable (section 3)*"),
COUNTIFS('QA Log'!D:D,A142,'QA Log'!M:M,"Data Verification",'QA Log'!Z:Z,"Rejected",'QA Log'!L:L,"*Equipments (section 4)*")
))</f>
        <v/>
      </c>
      <c r="AT142" s="102" t="str">
        <f t="shared" si="7"/>
        <v/>
      </c>
      <c r="AU142" s="103" t="str">
        <f t="shared" si="8"/>
        <v/>
      </c>
      <c r="AV142" s="102" t="str">
        <f>IF(A142="","",SUM(
COUNTIFS('QA Log'!D:D,A142,'QA Log'!M:M,"Vignette",'QA Log'!L:L,"*Vignette [1] Respiratory Infection: Pneumonia*"),
COUNTIFS('QA Log'!D:D,A142,'QA Log'!M:M,"Vignette",'QA Log'!L:L,"*Vignette [2]: Diarrhea with Cat B dehydration*"),
COUNTIFS('QA Log'!D:D,A142,'QA Log'!M:M,"Vignette",'QA Log'!L:L,"*Vignette [3] Growth Monitoring and Promotion*"),
COUNTIFS('QA Log'!D:D,A142,'QA Log'!M:M,"Vignette",'QA Log'!L:L,"*Vignette [4]: The management of presumptive TB patient*")
)
)</f>
        <v/>
      </c>
      <c r="AW142" s="102" t="str">
        <f>IF(
  A142="","",
  SUM(
    COUNTIFS('QA Log'!D:D,A142,'QA Log'!M:M,"Vignette",'QA Log'!Z:Z,"Approved",'QA Log'!L:L,"*Vignette [1] Respiratory Infection: Pneumonia*"),
    COUNTIFS('QA Log'!D:D,A142,'QA Log'!M:M,"Vignette",'QA Log'!Z:Z,"Approved",'QA Log'!L:L,"*Vignette [2]: Diarrhea with Cat B dehydration*"),
    COUNTIFS('QA Log'!D:D,A142,'QA Log'!M:M,"Vignette",'QA Log'!Z:Z,"Approved",'QA Log'!L:L,"*Vignette [3] Growth Monitoring and Promotion*"),
    COUNTIFS('QA Log'!D:D,A142,'QA Log'!M:M,"Vignette",'QA Log'!Z:Z,"Approved",'QA Log'!L:L,"*Vignette [4]: The management of presumptive TB patient*")
  )
)</f>
        <v/>
      </c>
      <c r="AX142" s="105" t="str">
        <f>IF(A142&lt;&gt;"",COUNTIFS('QA Log'!D:D,A142,'QA Log'!M:M,"Vignette",'QA Log'!L:L,"Vignette [1] Respiratory Infection: Pneumonia",'QA Log'!Z:Z,"Approved"),"")</f>
        <v/>
      </c>
      <c r="AY142" s="105" t="str">
        <f>IF(A142&lt;&gt;"",COUNTIFS('QA Log'!D:D,A142,'QA Log'!M:M,"Vignette",'QA Log'!L:L,"Vignette [2]: Diarrhea with Cat B dehydration",'QA Log'!Z:Z,"Approved"),"")</f>
        <v/>
      </c>
      <c r="AZ142" s="105" t="str">
        <f>IF(A142&lt;&gt;"",COUNTIFS('QA Log'!D:D,A142,'QA Log'!M:M,"Vignette",'QA Log'!L:L,"Vignette [3] Growth Monitoring and Promotion",'QA Log'!Z:Z,"Approved"),"")</f>
        <v/>
      </c>
      <c r="BA142" s="105" t="str">
        <f>IF(A142&lt;&gt;"",COUNTIFS('QA Log'!D:D,A142,'QA Log'!M:M,"Vignette",'QA Log'!L:L,"Vignette [4]: The management of presumptive TB patient",'QA Log'!Z:Z,"Approved"),"")</f>
        <v/>
      </c>
      <c r="BB142" s="102" t="str">
        <f>IF(A142="","",
  SUM(
    COUNTIFS('QA Log'!D:D,A142,'QA Log'!M:M,"Vignette",'QA Log'!Z:Z,"Rejected",'QA Log'!L:L,"*Vignette [1] Respiratory Infection: Pneumonia*"),
    COUNTIFS('QA Log'!D:D,A142,'QA Log'!M:M,"Vignette",'QA Log'!Z:Z,"Rejected",'QA Log'!L:L,"*Vignette [2]: Diarrhea with Cat B dehydration*"),
    COUNTIFS('QA Log'!D:D,A142,'QA Log'!M:M,"Vignette",'QA Log'!Z:Z,"Rejected",'QA Log'!L:L,"*Vignette [3] Growth Monitoring and Promotion*"),
    COUNTIFS('QA Log'!D:D,A142,'QA Log'!M:M,"Vignette",'QA Log'!Z:Z,"Rejected",'QA Log'!L:L,"*Vignette [4]: The management of presumptive TB patient*")
  )
)</f>
        <v/>
      </c>
      <c r="BC142" s="107" t="str">
        <f t="shared" si="9"/>
        <v/>
      </c>
      <c r="BD142" s="103" t="str">
        <f t="shared" si="10"/>
        <v/>
      </c>
      <c r="BE142" s="102" t="str">
        <f>IF(A142="","",SUM(
COUNTIFS('QA Log'!D:D,A142,'QA Log'!M:M,"Vignette",'QA Log'!L:L,"*Vignette [5] Labor*"),
COUNTIFS('QA Log'!D:D,A142,'QA Log'!M:M,"Vignette",'QA Log'!L:L,"*Vignette [6] PNC pre Discharge*"),
COUNTIFS('QA Log'!D:D,A142,'QA Log'!M:M,"Vignette",'QA Log'!L:L,"*Vignette [7] First ANC Visit*"),
COUNTIFS('QA Log'!D:D,A142,'QA Log'!M:M,"Vignette",'QA Log'!L:L,"*Vignette [8] Birth Spacing/ Family Planning :  FP Counselling*"),
COUNTIFS('QA Log'!D:D,A142,'QA Log'!M:M,"Vignette",'QA Log'!L:L,"*Vignette [9] Birth Spacing: Change FP method to Injectable*"),
COUNTIFS('QA Log'!D:D,A142,'QA Log'!M:M,"Vignette",'QA Log'!L:L,"*Vignette [10] Post Partum Haemorrhage - Atonic Uterus at Health Centre*"),
)
)</f>
        <v/>
      </c>
      <c r="BF142" s="102" t="str">
        <f>IF(A142="","",
  SUM(
    COUNTIFS('QA Log'!D:D,A142,'QA Log'!M:M,"Vignette",'QA Log'!Z:Z,"Approved",'QA Log'!L:L,"*Vignette [5] Labor*"),
    COUNTIFS('QA Log'!D:D,A142,'QA Log'!M:M,"Vignette",'QA Log'!Z:Z,"Approved",'QA Log'!L:L,"*Vignette [6] PNC pre Discharge*"),
    COUNTIFS('QA Log'!D:D,A142,'QA Log'!M:M,"Vignette",'QA Log'!Z:Z,"Approved",'QA Log'!L:L,"*Vignette [7] First ANC Visit*"),
    COUNTIFS('QA Log'!D:D,A142,'QA Log'!M:M,"Vignette",'QA Log'!Z:Z,"Approved",'QA Log'!L:L,"*Vignette [8] Birth Spacing/ Family Planning :  FP Counselling*"),
    COUNTIFS('QA Log'!D:D,A142,'QA Log'!M:M,"Vignette",'QA Log'!Z:Z,"Approved",'QA Log'!L:L,"*Vignette [9] Birth Spacing: Change FP method to Injectable*"),
    COUNTIFS('QA Log'!D:D,A142,'QA Log'!M:M,"Vignette",'QA Log'!Z:Z,"Approved",'QA Log'!L:L,"*Vignette [10] Post Partum Haemorrhage - Atonic Uterus at Health Centre*")
  )
)</f>
        <v/>
      </c>
      <c r="BG142" s="105" t="str">
        <f>IF(A142&lt;&gt;"",COUNTIFS('QA Log'!D:D,A142,'QA Log'!M:M,"Vignette",'QA Log'!L:L,"Vignette [5] Labor",'QA Log'!Z:Z,"Approved"),"")</f>
        <v/>
      </c>
      <c r="BH142" s="105" t="str">
        <f>IF(A142&lt;&gt;"",COUNTIFS('QA Log'!D:D,A142,'QA Log'!M:M,"Vignette",'QA Log'!L:L,"Vignette [6] PNC pre Discharge",'QA Log'!Z:Z,"Approved"),"")</f>
        <v/>
      </c>
      <c r="BI142" s="105" t="str">
        <f>IF(A142&lt;&gt;"",COUNTIFS('QA Log'!D:D,A142,'QA Log'!M:M,"Vignette",'QA Log'!L:L,"Vignette [7] First ANC Visit",'QA Log'!Z:Z,"Approved"),"")</f>
        <v/>
      </c>
      <c r="BJ142" s="105" t="str">
        <f>IF(A142&lt;&gt;"",COUNTIFS('QA Log'!D:D,A142,'QA Log'!M:M,"Vignette",'QA Log'!L:L,"Vignette [8] Birth Spacing/ Family Planning :  FP Counselling",'QA Log'!Z:Z,"Approved"),"")</f>
        <v/>
      </c>
      <c r="BK142" s="105" t="str">
        <f>IF(A142&lt;&gt;"",COUNTIFS('QA Log'!D:D,A142,'QA Log'!M:M,"Vignette",'QA Log'!L:L,"Vignette [9] Birth Spacing: Change FP method to Injectable",'QA Log'!Z:Z,"Approved"),"")</f>
        <v/>
      </c>
      <c r="BL142" s="105" t="str">
        <f>IF(A142&lt;&gt;"",COUNTIFS('QA Log'!D:D,A142,'QA Log'!M:M,"Vignette",'QA Log'!L:L,"Vignette [10] Post Partum Haemorrhage - Atonic Uterus at Health Centre",'QA Log'!Z:Z,"Approved"),"")</f>
        <v/>
      </c>
      <c r="BM142" s="102" t="str">
        <f>IF(A142="","",SUM(
    COUNTIFS('QA Log'!D:D,A142,'QA Log'!M:M,"Vignette",'QA Log'!Z:Z,"Rejected",'QA Log'!L:L,"*Vignette [5] Labor*"),
    COUNTIFS('QA Log'!D:D,A142,'QA Log'!M:M,"Vignette",'QA Log'!Z:Z,"Rejected",'QA Log'!L:L,"*Vignette [6] PNC pre Discharge*"),
    COUNTIFS('QA Log'!D:D,A142,'QA Log'!M:M,"Vignette",'QA Log'!Z:Z,"Rejected",'QA Log'!L:L,"*Vignette [7] First ANC Visit*"),
    COUNTIFS('QA Log'!D:D,A142,'QA Log'!M:M,"Vignette",'QA Log'!Z:Z,"Rejected",'QA Log'!L:L,"*Vignette [8] Birth Spacing/ Family Planning :  FP Counselling*"),
    COUNTIFS('QA Log'!D:D,A142,'QA Log'!M:M,"Vignette",'QA Log'!Z:Z,"Rejected",'QA Log'!L:L,"*Vignette [9] Birth Spacing: Change FP method to Injectable*"),
    COUNTIFS('QA Log'!D:D,A142,'QA Log'!M:M,"Vignette",'QA Log'!Z:Z,"Rejected",'QA Log'!L:L,"*Vignette [10] Post Partum Haemorrhage - Atonic Uterus at Health Centre*")
  )
)</f>
        <v/>
      </c>
      <c r="BN142" s="107" t="str">
        <f t="shared" si="11"/>
        <v/>
      </c>
      <c r="BO142" s="103" t="str">
        <f t="shared" si="12"/>
        <v/>
      </c>
      <c r="BP142" s="102" t="str">
        <f>IF(A142="","",SUM(
COUNTIFS('QA Log'!D:D,A142,'QA Log'!M:M,"Vignette",'QA Log'!L:L,"*Exit Interview 1*"),
COUNTIFS('QA Log'!D:D,A142,'QA Log'!M:M,"Vignette",'QA Log'!L:L,"*Exit Interview 2*"),
)
)</f>
        <v/>
      </c>
      <c r="BQ142" s="102" t="str">
        <f>IF(
  A142="","",
  SUM(
    COUNTIFS('QA Log'!D:D,A142,'QA Log'!M:M,"Vignette",'QA Log'!Z:Z,"Approved",'QA Log'!L:L,"*Exit Interview 1*"),
    COUNTIFS('QA Log'!D:D,A142,'QA Log'!M:M,"Vignette",'QA Log'!Z:Z,"Approved",'QA Log'!L:L,"*Exit Interview 2*")
  )
)</f>
        <v/>
      </c>
      <c r="BR142" s="105" t="str">
        <f>IF(A142&lt;&gt;"",COUNTIFS('QA Log'!D:D,A142,'QA Log'!M:M,"Vignette",'QA Log'!L:L,"Exit Interview 1",'QA Log'!Z:Z,"Approved"),"")</f>
        <v/>
      </c>
      <c r="BS142" s="105" t="str">
        <f>IF(A142&lt;&gt;"",COUNTIFS('QA Log'!D:D,A142,'QA Log'!M:M,"Vignette",'QA Log'!L:L,"Exit Interview 2",'QA Log'!Z:Z,"Approved"),"")</f>
        <v/>
      </c>
      <c r="BT142" s="102" t="str">
        <f>IF(
  A142="","",
  SUM(
    COUNTIFS('QA Log'!D:D,A142,'QA Log'!M:M,"Vignette",'QA Log'!Z:Z,"Rejected",'QA Log'!L:L,"*Exit Interview 1*"),
    COUNTIFS('QA Log'!D:D,A142,'QA Log'!M:M,"Vignette",'QA Log'!Z:Z,"Rejected",'QA Log'!L:L,"*Exit Interview 2*")
  )
)</f>
        <v/>
      </c>
      <c r="BU142" s="107" t="str">
        <f t="shared" si="13"/>
        <v/>
      </c>
      <c r="BV142" s="102" t="str">
        <f t="shared" si="14"/>
        <v/>
      </c>
      <c r="BW142" s="102" t="str">
        <f t="shared" si="15"/>
        <v/>
      </c>
      <c r="BX142" s="102" t="str">
        <f t="shared" si="16"/>
        <v/>
      </c>
      <c r="BY142" s="102" t="str">
        <f t="shared" si="17"/>
        <v/>
      </c>
      <c r="BZ142" s="107" t="str">
        <f t="shared" si="18"/>
        <v/>
      </c>
      <c r="CA142" s="108" t="str">
        <f t="shared" si="19"/>
        <v/>
      </c>
      <c r="CB142" s="108" t="str">
        <f t="shared" si="20"/>
        <v/>
      </c>
      <c r="CC142" s="109" t="str">
        <f t="shared" si="21"/>
        <v/>
      </c>
      <c r="CD142" s="108" t="str">
        <f t="shared" si="22"/>
        <v/>
      </c>
      <c r="CE142" s="108" t="str">
        <f t="shared" si="23"/>
        <v/>
      </c>
      <c r="CF142" s="109" t="str">
        <f t="shared" si="24"/>
        <v/>
      </c>
      <c r="CG142" s="110" t="str">
        <f t="shared" si="25"/>
        <v/>
      </c>
      <c r="CH142" s="111"/>
    </row>
    <row r="143" spans="1:86" ht="12.75">
      <c r="A143" s="101"/>
      <c r="B143" s="102" t="e">
        <f t="array" aca="1" ref="B143" ca="1">_xludf.XLOOKUP(A143,'QA Log'!D:D,'QA Log'!E:E,"")</f>
        <v>#NAME?</v>
      </c>
      <c r="C143" s="102" t="e">
        <f t="array" aca="1" ref="C143" ca="1">_xludf.XLOOKUP(A143,'QA Log'!D:D,'QA Log'!F:F,"")</f>
        <v>#NAME?</v>
      </c>
      <c r="D143" s="102" t="e">
        <f t="array" aca="1" ref="D143" ca="1">_xludf.XLOOKUP(A143,'QA Log'!D:D,'QA Log'!H:H,"")</f>
        <v>#NAME?</v>
      </c>
      <c r="E143" s="102" t="e">
        <f t="array" aca="1" ref="E143" ca="1">_xludf.XLOOKUP(A143,'QA Log'!D:D,'QA Log'!G:G,"")</f>
        <v>#NAME?</v>
      </c>
      <c r="F143" s="103"/>
      <c r="G143" s="104"/>
      <c r="H143" s="104"/>
      <c r="I143" s="103" t="str">
        <f t="shared" si="0"/>
        <v/>
      </c>
      <c r="J143" s="102" t="str">
        <f>IF(A143="","",SUM(
COUNTIFS('QA Log'!D:D,A143,'QA Log'!M:M,"QQC",'QA Log'!L:L,"*1. General Management*"),
COUNTIFS('QA Log'!D:D,A143,'QA Log'!M:M,"QQC",'QA Log'!L:L,"*3. Curative Consultation (OPD)*"),
COUNTIFS('QA Log'!D:D,A143,'QA Log'!M:M,"QQC",'QA Log'!L:L,"*5. Laboratory*"),
COUNTIFS('QA Log'!D:D,A143,'QA Log'!M:M,"QQC",'QA Log'!L:L,"*6. Essential Medicine Management*"),
COUNTIFS('QA Log'!D:D,A143,'QA Log'!M:M,"QQC",'QA Log'!L:L,"*7. Tracer Medicine*"),
COUNTIFS('QA Log'!D:D,A143,'QA Log'!M:M,"QQC",'QA Log'!L:L,"*11. Additional Questions*")))</f>
        <v/>
      </c>
      <c r="K143" s="102" t="str">
        <f>IF(A143="","",SUM(
COUNTIFS('QA Log'!D:D,A143,'QA Log'!M:M,"QQC",'QA Log'!Z:Z,"Approved",'QA Log'!L:L,"*1. General Management*"),
COUNTIFS('QA Log'!D:D,A143,'QA Log'!M:M,"QQC",'QA Log'!Z:Z,"Approved",'QA Log'!L:L,"*3. Curative Consultation (OPD)*"),
COUNTIFS('QA Log'!D:D,A143,'QA Log'!M:M,"QQC",'QA Log'!Z:Z,"Approved",'QA Log'!L:L,"*5. Laboratory*"),
COUNTIFS('QA Log'!D:D,A143,'QA Log'!M:M,"QQC",'QA Log'!Z:Z,"Approved",'QA Log'!L:L,"*6. Essential Medicine Management*"),
COUNTIFS('QA Log'!D:D,A143,'QA Log'!M:M,"QQC",'QA Log'!Z:Z,"Approved",'QA Log'!L:L,"*7. Tracer Medicine*"),
COUNTIFS('QA Log'!D:D,A143,'QA Log'!M:M,"QQC",'QA Log'!Z:Z,"Approved",'QA Log'!L:L,"*11. Additional Questions*")))</f>
        <v/>
      </c>
      <c r="L143" s="105" t="str">
        <f>IF(A143&lt;&gt;"",COUNTIFS('QA Log'!D:D,A143,'QA Log'!M:M,"QQC",'QA Log'!L:L,"1. General Management",'QA Log'!Z:Z,"Approved"),"")</f>
        <v/>
      </c>
      <c r="M143" s="105" t="str">
        <f>IF(A143&lt;&gt;"",COUNTIFS('QA Log'!D:D,A143,'QA Log'!M:M,"QQC",'QA Log'!L:L,"3. Curative Consultation (OPD)",'QA Log'!Z:Z,"Approved"),"")</f>
        <v/>
      </c>
      <c r="N143" s="105" t="str">
        <f>IF(A143&lt;&gt;"",COUNTIFS('QA Log'!D:D,A143,'QA Log'!M:M,"QQC",'QA Log'!L:L,"5. Laboratory",'QA Log'!Z:Z,"Approved"),"")</f>
        <v/>
      </c>
      <c r="O143" s="105" t="str">
        <f>IF(A143&lt;&gt;"",COUNTIFS('QA Log'!D:D,A143,'QA Log'!M:M,"QQC",'QA Log'!L:L,"6. Essential Medicine Management",'QA Log'!Z:Z,"Approved"),"")</f>
        <v/>
      </c>
      <c r="P143" s="105" t="str">
        <f>IF(A143&lt;&gt;"",COUNTIFS('QA Log'!D:D,A143,'QA Log'!M:M,"QQC",'QA Log'!L:L,"7. Tracer Medicine",'QA Log'!Z:Z,"Approved"),"")</f>
        <v/>
      </c>
      <c r="Q143" s="105" t="str">
        <f>IF(A143&lt;&gt;"",COUNTIFS('QA Log'!D:D,A143,'QA Log'!M:M,"QQC",'QA Log'!L:L,"11. Additional Questions",'QA Log'!Z:Z,"Approved"),"")</f>
        <v/>
      </c>
      <c r="R143" s="102" t="str">
        <f>IF(A143="","",SUM(
COUNTIFS('QA Log'!D:D,A143,'QA Log'!M:M,"QQC",'QA Log'!Z:Z,"Rejected",'QA Log'!L:L,"*8. Maternity*"),
COUNTIFS('QA Log'!D:D,A143,'QA Log'!M:M,"QQC",'QA Log'!Z:Z,"Rejected",'QA Log'!L:L,"*EPI*"),
COUNTIFS('QA Log'!D:D,A143,'QA Log'!M:M,"QQC",'QA Log'!Z:Z,"Rejected",'QA Log'!L:L,"*10. Antenatal Care (ANC)*"),
COUNTIFS('QA Log'!D:D,A143,'QA Log'!M:M,"QQC",'QA Log'!Z:Z,"Rejected",'QA Log'!L:L,"*2. Hygiene and Sterilization*"),
COUNTIFS('QA Log'!D:D,A143,'QA Log'!M:M,"QQC",'QA Log'!Z:Z,"Rejected",'QA Log'!L:L,"*Family Planning*")))</f>
        <v/>
      </c>
      <c r="S143" s="106" t="str">
        <f t="shared" si="1"/>
        <v/>
      </c>
      <c r="T143" s="102" t="str">
        <f t="shared" si="2"/>
        <v/>
      </c>
      <c r="U143" s="102" t="str">
        <f>IF(A143="","",
SUM(
COUNTIFS('QA Log'!D:D,A143,'QA Log'!M:M,"QQC",'QA Log'!L:L,"*8. Maternity*"),
COUNTIFS('QA Log'!D:D,A143,'QA Log'!M:M,"QQC",'QA Log'!L:L,"*9. EPI and Pre-school Consultation*"),
COUNTIFS('QA Log'!D:D,A143,'QA Log'!M:M,"QQC",'QA Log'!L:L,"*10. Antenatal Care (ANC)*"),
COUNTIFS('QA Log'!D:D,A143,'QA Log'!M:M,"QQC",'QA Log'!L:L,"*2. Hygiene and Sterilization*"),
COUNTIFS('QA Log'!D:D,A143,'QA Log'!M:M,"QQC",'QA Log'!L:L,"*4. Family Planning*")
))</f>
        <v/>
      </c>
      <c r="V143" s="102" t="str">
        <f>IF(A143="","",
SUM(
COUNTIFS('QA Log'!D:D,A143,'QA Log'!M:M,"QQC",'QA Log'!Z:Z,"Approved",'QA Log'!L:L,"*8. Maternity*"),
COUNTIFS('QA Log'!D:D,A143,'QA Log'!M:M,"QQC",'QA Log'!Z:Z,"Approved",'QA Log'!L:L,"*9. EPI and Pre-school Consultation*"),
COUNTIFS('QA Log'!D:D,A143,'QA Log'!M:M,"QQC",'QA Log'!Z:Z,"Approved",'QA Log'!L:L,"*10. Antenatal Care (ANC)*"),
COUNTIFS('QA Log'!D:D,A143,'QA Log'!M:M,"QQC",'QA Log'!Z:Z,"Approved",'QA Log'!L:L,"*2. Hygiene and Sterilization*"),
COUNTIFS('QA Log'!D:D,A143,'QA Log'!M:M,"QQC",'QA Log'!Z:Z,"Approved",'QA Log'!L:L,"*4. Family Planning*")
))</f>
        <v/>
      </c>
      <c r="W143" s="105" t="str">
        <f>IF(A143&lt;&gt;"",COUNTIFS('QA Log'!D:D,A143,'QA Log'!M:M,"QQC",'QA Log'!L:L,"8. Maternity",'QA Log'!Z:Z,"Approved"),"")</f>
        <v/>
      </c>
      <c r="X143" s="105" t="str">
        <f>IF(A143&lt;&gt;"",COUNTIFS('QA Log'!D:D,A143,'QA Log'!M:M,"QQC",'QA Log'!L:L,"9. EPI and Pre-school Consultation",'QA Log'!Z:Z,"Approved"),"")</f>
        <v/>
      </c>
      <c r="Y143" s="105" t="str">
        <f>IF(A143&lt;&gt;"",COUNTIFS('QA Log'!D:D,A143,'QA Log'!M:M,"QQC",'QA Log'!L:L,"10. Antenatal Care (ANC)",'QA Log'!Z:Z,"Approved"),"")</f>
        <v/>
      </c>
      <c r="Z143" s="105" t="str">
        <f>IF(A143&lt;&gt;"",COUNTIFS('QA Log'!D:D,A143,'QA Log'!M:M,"QQC",'QA Log'!L:L,"2. Hygiene and Sterilization",'QA Log'!Z:Z,"Approved"),"")</f>
        <v/>
      </c>
      <c r="AA143" s="105" t="str">
        <f>IF(A143&lt;&gt;"",COUNTIFS('QA Log'!D:D,A143,'QA Log'!M:M,"QQC",'QA Log'!L:L,"4. Family Planning",'QA Log'!Z:Z,"Approved"),"")</f>
        <v/>
      </c>
      <c r="AB143" s="102" t="str">
        <f>IF(A143="","",
SUM(
COUNTIFS('QA Log'!D:D,A143,'QA Log'!M:M,"QQC",'QA Log'!Z:Z,"Rejected",'QA Log'!L:L,"*8. Maternity*"),
COUNTIFS('QA Log'!D:D,A143,'QA Log'!M:M,"QQC",'QA Log'!Z:Z,"Rejected",'QA Log'!L:L,"*9. EPI and Pre-school Consultation*"),
COUNTIFS('QA Log'!D:D,A143,'QA Log'!M:M,"QQC",'QA Log'!Z:Z,"Rejected",'QA Log'!L:L,"*10. Antenatal Care (ANC)*"),
COUNTIFS('QA Log'!D:D,A143,'QA Log'!M:M,"QQC",'QA Log'!Z:Z,"Rejected",'QA Log'!L:L,"*2. Hygiene and Sterilization*"),
COUNTIFS('QA Log'!D:D,A143,'QA Log'!M:M,"QQC",'QA Log'!Z:Z,"Rejected",'QA Log'!L:L,"*4. Family Planning*")
))</f>
        <v/>
      </c>
      <c r="AC143" s="102" t="str">
        <f t="shared" si="3"/>
        <v/>
      </c>
      <c r="AD143" s="103" t="str">
        <f t="shared" si="4"/>
        <v/>
      </c>
      <c r="AE143" s="102" t="str">
        <f>IF(A143="","",
SUM(
COUNTIFS('QA Log'!D:D,A143,'QA Log'!M:M,"Data Verification",'QA Log'!L:L,"*Medicine (section 2)*"),
COUNTIFS('QA Log'!D:D,A143,'QA Log'!M:M,"Data Verification",'QA Log'!L:L,"*Lab Testing Availability*"),
COUNTIFS('QA Log'!D:D,A143,'QA Log'!M:M,"Data Verification",'QA Log'!L:L,"*Other than P4P (section 6)*"),
COUNTIFS('QA Log'!D:D,A143,'QA Log'!M:M,"Data Verification",'QA Log'!L:L,"*Hospital Governance*")
))</f>
        <v/>
      </c>
      <c r="AF143" s="102" t="str">
        <f>IF(A143="","",
SUM(
COUNTIFS('QA Log'!D:D,A143,'QA Log'!M:M,"Data Verification",'QA Log'!Z:Z,"Approved",'QA Log'!L:L,"*Medicine (section 2)*"),
COUNTIFS('QA Log'!D:D,A143,'QA Log'!M:M,"Data Verification",'QA Log'!Z:Z,"Approved",'QA Log'!L:L,"*Lab Testing Availability*"),
COUNTIFS('QA Log'!D:D,A143,'QA Log'!M:M,"Data Verification",'QA Log'!Z:Z,"Approved",'QA Log'!L:L,"*Other than P4P (section 6)*"),
COUNTIFS('QA Log'!D:D,A143,'QA Log'!M:M,"Data Verification",'QA Log'!Z:Z,"Approved",'QA Log'!L:L,"*Hospital Governance*")
))</f>
        <v/>
      </c>
      <c r="AG143" s="105" t="str">
        <f>IF(A143&lt;&gt;"",COUNTIFS('QA Log'!D:D,A143,'QA Log'!M:M,"Data Verification",'QA Log'!L:L,"Medicine (section 2)",'QA Log'!Z:Z,"Approved"),"")</f>
        <v/>
      </c>
      <c r="AH143" s="105" t="str">
        <f>IF(A143&lt;&gt;"",COUNTIFS('QA Log'!D:D,A143,'QA Log'!M:M,"Data Verification",'QA Log'!L:L,"Lab Testing Availability",'QA Log'!Z:Z,"Approved"),"")</f>
        <v/>
      </c>
      <c r="AI143" s="105" t="str">
        <f>IF(A143&lt;&gt;"",COUNTIFS('QA Log'!D:D,A143,'QA Log'!M:M,"Data Verification",'QA Log'!L:L,"Other than P4P (section 6)",'QA Log'!Z:Z,"Approved"),"")</f>
        <v/>
      </c>
      <c r="AJ143" s="105" t="str">
        <f>IF(A143&lt;&gt;"",COUNTIFS('QA Log'!D:D,A143,'QA Log'!M:M,"Data Verification",'QA Log'!L:L,"Hospital Governance",'QA Log'!Z:Z,"Approved"),"")</f>
        <v/>
      </c>
      <c r="AK143" s="102" t="str">
        <f>IF(A143="","",
SUM(
COUNTIFS('QA Log'!D:D,A143,'QA Log'!M:M,"Data Verification",'QA Log'!Z:Z,"Rejected",'QA Log'!L:L,"*Medicine (section 2)*"),
COUNTIFS('QA Log'!D:D,A143,'QA Log'!M:M,"Data Verification",'QA Log'!Z:Z,"Rejected",'QA Log'!L:L,"*Lab Testing Availability*"),
COUNTIFS('QA Log'!D:D,A143,'QA Log'!M:M,"Data Verification",'QA Log'!Z:Z,"Rejected",'QA Log'!L:L,"*Other than P4P (section 6)*"),
COUNTIFS('QA Log'!D:D,A143,'QA Log'!M:M,"Data Verification",'QA Log'!Z:Z,"Rejected",'QA Log'!L:L,"*Hospital Governance*")
))</f>
        <v/>
      </c>
      <c r="AL143" s="106" t="str">
        <f t="shared" si="5"/>
        <v/>
      </c>
      <c r="AM143" s="102" t="str">
        <f t="shared" si="6"/>
        <v/>
      </c>
      <c r="AN143" s="102" t="str">
        <f>IF(A143="","",
SUM(
COUNTIFS('QA Log'!D:D,A143,'QA Log'!M:M,"Data Verification",'QA Log'!L:L,"*Personnel (section 1)*"),
COUNTIFS('QA Log'!D:D,A143,'QA Log'!M:M,"Data Verification",'QA Log'!L:L,"*Consumable (section 3)*"),
COUNTIFS('QA Log'!D:D,A143,'QA Log'!M:M,"Data Verification",'QA Log'!L:L,"*Equipments (section 4)*")
))</f>
        <v/>
      </c>
      <c r="AO143" s="102" t="str">
        <f>IF(A143="","",
SUM(
COUNTIFS('QA Log'!D:D,A143,'QA Log'!M:M,"Data Verification",'QA Log'!Z:Z,"Approved",'QA Log'!L:L,"*Personnel (section 1)*"),
COUNTIFS('QA Log'!D:D,A143,'QA Log'!M:M,"Data Verification",'QA Log'!Z:Z,"Approved",'QA Log'!L:L,"*Consumable (section 3)*"),
COUNTIFS('QA Log'!D:D,A143,'QA Log'!M:M,"Data Verification",'QA Log'!Z:Z,"Approved",'QA Log'!L:L,"*Equipments (section 4)*")
))</f>
        <v/>
      </c>
      <c r="AP143" s="105" t="str">
        <f>IF(A143&lt;&gt;"",COUNTIFS('QA Log'!D:D,A143,'QA Log'!M:M,"Data Verification",'QA Log'!L:L,"Personnel (section 1)",'QA Log'!Z:Z,"Approved"),"")</f>
        <v/>
      </c>
      <c r="AQ143" s="105" t="str">
        <f>IF(A143&lt;&gt;"",COUNTIFS('QA Log'!D:D,A143,'QA Log'!M:M,"Data Verification",'QA Log'!L:L,"Consumable (section 3)",'QA Log'!Z:Z,"Approved"),"")</f>
        <v/>
      </c>
      <c r="AR143" s="105" t="str">
        <f>IF(A143&lt;&gt;"",COUNTIFS('QA Log'!D:D,A143,'QA Log'!M:M,"Data Verification",'QA Log'!L:L,"Equipments (section 4)",'QA Log'!Z:Z,"Approved"),"")</f>
        <v/>
      </c>
      <c r="AS143" s="102" t="str">
        <f>IF(A143="","",
SUM(
COUNTIFS('QA Log'!D:D,A143,'QA Log'!M:M,"Data Verification",'QA Log'!Z:Z,"Rejected",'QA Log'!L:L,"*Personnel (section 1)*"),
COUNTIFS('QA Log'!D:D,A143,'QA Log'!M:M,"Data Verification",'QA Log'!Z:Z,"Rejected",'QA Log'!L:L,"*Consumable (section 3)*"),
COUNTIFS('QA Log'!D:D,A143,'QA Log'!M:M,"Data Verification",'QA Log'!Z:Z,"Rejected",'QA Log'!L:L,"*Equipments (section 4)*")
))</f>
        <v/>
      </c>
      <c r="AT143" s="102" t="str">
        <f t="shared" si="7"/>
        <v/>
      </c>
      <c r="AU143" s="103" t="str">
        <f t="shared" si="8"/>
        <v/>
      </c>
      <c r="AV143" s="102" t="str">
        <f>IF(A143="","",SUM(
COUNTIFS('QA Log'!D:D,A143,'QA Log'!M:M,"Vignette",'QA Log'!L:L,"*Vignette [1] Respiratory Infection: Pneumonia*"),
COUNTIFS('QA Log'!D:D,A143,'QA Log'!M:M,"Vignette",'QA Log'!L:L,"*Vignette [2]: Diarrhea with Cat B dehydration*"),
COUNTIFS('QA Log'!D:D,A143,'QA Log'!M:M,"Vignette",'QA Log'!L:L,"*Vignette [3] Growth Monitoring and Promotion*"),
COUNTIFS('QA Log'!D:D,A143,'QA Log'!M:M,"Vignette",'QA Log'!L:L,"*Vignette [4]: The management of presumptive TB patient*")
)
)</f>
        <v/>
      </c>
      <c r="AW143" s="102" t="str">
        <f>IF(
  A143="","",
  SUM(
    COUNTIFS('QA Log'!D:D,A143,'QA Log'!M:M,"Vignette",'QA Log'!Z:Z,"Approved",'QA Log'!L:L,"*Vignette [1] Respiratory Infection: Pneumonia*"),
    COUNTIFS('QA Log'!D:D,A143,'QA Log'!M:M,"Vignette",'QA Log'!Z:Z,"Approved",'QA Log'!L:L,"*Vignette [2]: Diarrhea with Cat B dehydration*"),
    COUNTIFS('QA Log'!D:D,A143,'QA Log'!M:M,"Vignette",'QA Log'!Z:Z,"Approved",'QA Log'!L:L,"*Vignette [3] Growth Monitoring and Promotion*"),
    COUNTIFS('QA Log'!D:D,A143,'QA Log'!M:M,"Vignette",'QA Log'!Z:Z,"Approved",'QA Log'!L:L,"*Vignette [4]: The management of presumptive TB patient*")
  )
)</f>
        <v/>
      </c>
      <c r="AX143" s="105" t="str">
        <f>IF(A143&lt;&gt;"",COUNTIFS('QA Log'!D:D,A143,'QA Log'!M:M,"Vignette",'QA Log'!L:L,"Vignette [1] Respiratory Infection: Pneumonia",'QA Log'!Z:Z,"Approved"),"")</f>
        <v/>
      </c>
      <c r="AY143" s="105" t="str">
        <f>IF(A143&lt;&gt;"",COUNTIFS('QA Log'!D:D,A143,'QA Log'!M:M,"Vignette",'QA Log'!L:L,"Vignette [2]: Diarrhea with Cat B dehydration",'QA Log'!Z:Z,"Approved"),"")</f>
        <v/>
      </c>
      <c r="AZ143" s="105" t="str">
        <f>IF(A143&lt;&gt;"",COUNTIFS('QA Log'!D:D,A143,'QA Log'!M:M,"Vignette",'QA Log'!L:L,"Vignette [3] Growth Monitoring and Promotion",'QA Log'!Z:Z,"Approved"),"")</f>
        <v/>
      </c>
      <c r="BA143" s="105" t="str">
        <f>IF(A143&lt;&gt;"",COUNTIFS('QA Log'!D:D,A143,'QA Log'!M:M,"Vignette",'QA Log'!L:L,"Vignette [4]: The management of presumptive TB patient",'QA Log'!Z:Z,"Approved"),"")</f>
        <v/>
      </c>
      <c r="BB143" s="102" t="str">
        <f>IF(A143="","",
  SUM(
    COUNTIFS('QA Log'!D:D,A143,'QA Log'!M:M,"Vignette",'QA Log'!Z:Z,"Rejected",'QA Log'!L:L,"*Vignette [1] Respiratory Infection: Pneumonia*"),
    COUNTIFS('QA Log'!D:D,A143,'QA Log'!M:M,"Vignette",'QA Log'!Z:Z,"Rejected",'QA Log'!L:L,"*Vignette [2]: Diarrhea with Cat B dehydration*"),
    COUNTIFS('QA Log'!D:D,A143,'QA Log'!M:M,"Vignette",'QA Log'!Z:Z,"Rejected",'QA Log'!L:L,"*Vignette [3] Growth Monitoring and Promotion*"),
    COUNTIFS('QA Log'!D:D,A143,'QA Log'!M:M,"Vignette",'QA Log'!Z:Z,"Rejected",'QA Log'!L:L,"*Vignette [4]: The management of presumptive TB patient*")
  )
)</f>
        <v/>
      </c>
      <c r="BC143" s="107" t="str">
        <f t="shared" si="9"/>
        <v/>
      </c>
      <c r="BD143" s="103" t="str">
        <f t="shared" si="10"/>
        <v/>
      </c>
      <c r="BE143" s="102" t="str">
        <f>IF(A143="","",SUM(
COUNTIFS('QA Log'!D:D,A143,'QA Log'!M:M,"Vignette",'QA Log'!L:L,"*Vignette [5] Labor*"),
COUNTIFS('QA Log'!D:D,A143,'QA Log'!M:M,"Vignette",'QA Log'!L:L,"*Vignette [6] PNC pre Discharge*"),
COUNTIFS('QA Log'!D:D,A143,'QA Log'!M:M,"Vignette",'QA Log'!L:L,"*Vignette [7] First ANC Visit*"),
COUNTIFS('QA Log'!D:D,A143,'QA Log'!M:M,"Vignette",'QA Log'!L:L,"*Vignette [8] Birth Spacing/ Family Planning :  FP Counselling*"),
COUNTIFS('QA Log'!D:D,A143,'QA Log'!M:M,"Vignette",'QA Log'!L:L,"*Vignette [9] Birth Spacing: Change FP method to Injectable*"),
COUNTIFS('QA Log'!D:D,A143,'QA Log'!M:M,"Vignette",'QA Log'!L:L,"*Vignette [10] Post Partum Haemorrhage - Atonic Uterus at Health Centre*"),
)
)</f>
        <v/>
      </c>
      <c r="BF143" s="102" t="str">
        <f>IF(A143="","",
  SUM(
    COUNTIFS('QA Log'!D:D,A143,'QA Log'!M:M,"Vignette",'QA Log'!Z:Z,"Approved",'QA Log'!L:L,"*Vignette [5] Labor*"),
    COUNTIFS('QA Log'!D:D,A143,'QA Log'!M:M,"Vignette",'QA Log'!Z:Z,"Approved",'QA Log'!L:L,"*Vignette [6] PNC pre Discharge*"),
    COUNTIFS('QA Log'!D:D,A143,'QA Log'!M:M,"Vignette",'QA Log'!Z:Z,"Approved",'QA Log'!L:L,"*Vignette [7] First ANC Visit*"),
    COUNTIFS('QA Log'!D:D,A143,'QA Log'!M:M,"Vignette",'QA Log'!Z:Z,"Approved",'QA Log'!L:L,"*Vignette [8] Birth Spacing/ Family Planning :  FP Counselling*"),
    COUNTIFS('QA Log'!D:D,A143,'QA Log'!M:M,"Vignette",'QA Log'!Z:Z,"Approved",'QA Log'!L:L,"*Vignette [9] Birth Spacing: Change FP method to Injectable*"),
    COUNTIFS('QA Log'!D:D,A143,'QA Log'!M:M,"Vignette",'QA Log'!Z:Z,"Approved",'QA Log'!L:L,"*Vignette [10] Post Partum Haemorrhage - Atonic Uterus at Health Centre*")
  )
)</f>
        <v/>
      </c>
      <c r="BG143" s="105" t="str">
        <f>IF(A143&lt;&gt;"",COUNTIFS('QA Log'!D:D,A143,'QA Log'!M:M,"Vignette",'QA Log'!L:L,"Vignette [5] Labor",'QA Log'!Z:Z,"Approved"),"")</f>
        <v/>
      </c>
      <c r="BH143" s="105" t="str">
        <f>IF(A143&lt;&gt;"",COUNTIFS('QA Log'!D:D,A143,'QA Log'!M:M,"Vignette",'QA Log'!L:L,"Vignette [6] PNC pre Discharge",'QA Log'!Z:Z,"Approved"),"")</f>
        <v/>
      </c>
      <c r="BI143" s="105" t="str">
        <f>IF(A143&lt;&gt;"",COUNTIFS('QA Log'!D:D,A143,'QA Log'!M:M,"Vignette",'QA Log'!L:L,"Vignette [7] First ANC Visit",'QA Log'!Z:Z,"Approved"),"")</f>
        <v/>
      </c>
      <c r="BJ143" s="105" t="str">
        <f>IF(A143&lt;&gt;"",COUNTIFS('QA Log'!D:D,A143,'QA Log'!M:M,"Vignette",'QA Log'!L:L,"Vignette [8] Birth Spacing/ Family Planning :  FP Counselling",'QA Log'!Z:Z,"Approved"),"")</f>
        <v/>
      </c>
      <c r="BK143" s="105" t="str">
        <f>IF(A143&lt;&gt;"",COUNTIFS('QA Log'!D:D,A143,'QA Log'!M:M,"Vignette",'QA Log'!L:L,"Vignette [9] Birth Spacing: Change FP method to Injectable",'QA Log'!Z:Z,"Approved"),"")</f>
        <v/>
      </c>
      <c r="BL143" s="105" t="str">
        <f>IF(A143&lt;&gt;"",COUNTIFS('QA Log'!D:D,A143,'QA Log'!M:M,"Vignette",'QA Log'!L:L,"Vignette [10] Post Partum Haemorrhage - Atonic Uterus at Health Centre",'QA Log'!Z:Z,"Approved"),"")</f>
        <v/>
      </c>
      <c r="BM143" s="102" t="str">
        <f>IF(A143="","",SUM(
    COUNTIFS('QA Log'!D:D,A143,'QA Log'!M:M,"Vignette",'QA Log'!Z:Z,"Rejected",'QA Log'!L:L,"*Vignette [5] Labor*"),
    COUNTIFS('QA Log'!D:D,A143,'QA Log'!M:M,"Vignette",'QA Log'!Z:Z,"Rejected",'QA Log'!L:L,"*Vignette [6] PNC pre Discharge*"),
    COUNTIFS('QA Log'!D:D,A143,'QA Log'!M:M,"Vignette",'QA Log'!Z:Z,"Rejected",'QA Log'!L:L,"*Vignette [7] First ANC Visit*"),
    COUNTIFS('QA Log'!D:D,A143,'QA Log'!M:M,"Vignette",'QA Log'!Z:Z,"Rejected",'QA Log'!L:L,"*Vignette [8] Birth Spacing/ Family Planning :  FP Counselling*"),
    COUNTIFS('QA Log'!D:D,A143,'QA Log'!M:M,"Vignette",'QA Log'!Z:Z,"Rejected",'QA Log'!L:L,"*Vignette [9] Birth Spacing: Change FP method to Injectable*"),
    COUNTIFS('QA Log'!D:D,A143,'QA Log'!M:M,"Vignette",'QA Log'!Z:Z,"Rejected",'QA Log'!L:L,"*Vignette [10] Post Partum Haemorrhage - Atonic Uterus at Health Centre*")
  )
)</f>
        <v/>
      </c>
      <c r="BN143" s="107" t="str">
        <f t="shared" si="11"/>
        <v/>
      </c>
      <c r="BO143" s="103" t="str">
        <f t="shared" si="12"/>
        <v/>
      </c>
      <c r="BP143" s="102" t="str">
        <f>IF(A143="","",SUM(
COUNTIFS('QA Log'!D:D,A143,'QA Log'!M:M,"Vignette",'QA Log'!L:L,"*Exit Interview 1*"),
COUNTIFS('QA Log'!D:D,A143,'QA Log'!M:M,"Vignette",'QA Log'!L:L,"*Exit Interview 2*"),
)
)</f>
        <v/>
      </c>
      <c r="BQ143" s="102" t="str">
        <f>IF(
  A143="","",
  SUM(
    COUNTIFS('QA Log'!D:D,A143,'QA Log'!M:M,"Vignette",'QA Log'!Z:Z,"Approved",'QA Log'!L:L,"*Exit Interview 1*"),
    COUNTIFS('QA Log'!D:D,A143,'QA Log'!M:M,"Vignette",'QA Log'!Z:Z,"Approved",'QA Log'!L:L,"*Exit Interview 2*")
  )
)</f>
        <v/>
      </c>
      <c r="BR143" s="105" t="str">
        <f>IF(A143&lt;&gt;"",COUNTIFS('QA Log'!D:D,A143,'QA Log'!M:M,"Vignette",'QA Log'!L:L,"Exit Interview 1",'QA Log'!Z:Z,"Approved"),"")</f>
        <v/>
      </c>
      <c r="BS143" s="105" t="str">
        <f>IF(A143&lt;&gt;"",COUNTIFS('QA Log'!D:D,A143,'QA Log'!M:M,"Vignette",'QA Log'!L:L,"Exit Interview 2",'QA Log'!Z:Z,"Approved"),"")</f>
        <v/>
      </c>
      <c r="BT143" s="102" t="str">
        <f>IF(
  A143="","",
  SUM(
    COUNTIFS('QA Log'!D:D,A143,'QA Log'!M:M,"Vignette",'QA Log'!Z:Z,"Rejected",'QA Log'!L:L,"*Exit Interview 1*"),
    COUNTIFS('QA Log'!D:D,A143,'QA Log'!M:M,"Vignette",'QA Log'!Z:Z,"Rejected",'QA Log'!L:L,"*Exit Interview 2*")
  )
)</f>
        <v/>
      </c>
      <c r="BU143" s="107" t="str">
        <f t="shared" si="13"/>
        <v/>
      </c>
      <c r="BV143" s="102" t="str">
        <f t="shared" si="14"/>
        <v/>
      </c>
      <c r="BW143" s="102" t="str">
        <f t="shared" si="15"/>
        <v/>
      </c>
      <c r="BX143" s="102" t="str">
        <f t="shared" si="16"/>
        <v/>
      </c>
      <c r="BY143" s="102" t="str">
        <f t="shared" si="17"/>
        <v/>
      </c>
      <c r="BZ143" s="107" t="str">
        <f t="shared" si="18"/>
        <v/>
      </c>
      <c r="CA143" s="108" t="str">
        <f t="shared" si="19"/>
        <v/>
      </c>
      <c r="CB143" s="108" t="str">
        <f t="shared" si="20"/>
        <v/>
      </c>
      <c r="CC143" s="109" t="str">
        <f t="shared" si="21"/>
        <v/>
      </c>
      <c r="CD143" s="108" t="str">
        <f t="shared" si="22"/>
        <v/>
      </c>
      <c r="CE143" s="108" t="str">
        <f t="shared" si="23"/>
        <v/>
      </c>
      <c r="CF143" s="109" t="str">
        <f t="shared" si="24"/>
        <v/>
      </c>
      <c r="CG143" s="110" t="str">
        <f t="shared" si="25"/>
        <v/>
      </c>
      <c r="CH143" s="111"/>
    </row>
    <row r="144" spans="1:86" ht="12.75">
      <c r="A144" s="101"/>
      <c r="B144" s="102" t="e">
        <f t="array" aca="1" ref="B144" ca="1">_xludf.XLOOKUP(A144,'QA Log'!D:D,'QA Log'!E:E,"")</f>
        <v>#NAME?</v>
      </c>
      <c r="C144" s="102" t="e">
        <f t="array" aca="1" ref="C144" ca="1">_xludf.XLOOKUP(A144,'QA Log'!D:D,'QA Log'!F:F,"")</f>
        <v>#NAME?</v>
      </c>
      <c r="D144" s="102" t="e">
        <f t="array" aca="1" ref="D144" ca="1">_xludf.XLOOKUP(A144,'QA Log'!D:D,'QA Log'!H:H,"")</f>
        <v>#NAME?</v>
      </c>
      <c r="E144" s="102" t="e">
        <f t="array" aca="1" ref="E144" ca="1">_xludf.XLOOKUP(A144,'QA Log'!D:D,'QA Log'!G:G,"")</f>
        <v>#NAME?</v>
      </c>
      <c r="F144" s="103"/>
      <c r="G144" s="104"/>
      <c r="H144" s="104"/>
      <c r="I144" s="103" t="str">
        <f t="shared" si="0"/>
        <v/>
      </c>
      <c r="J144" s="102" t="str">
        <f>IF(A144="","",SUM(
COUNTIFS('QA Log'!D:D,A144,'QA Log'!M:M,"QQC",'QA Log'!L:L,"*1. General Management*"),
COUNTIFS('QA Log'!D:D,A144,'QA Log'!M:M,"QQC",'QA Log'!L:L,"*3. Curative Consultation (OPD)*"),
COUNTIFS('QA Log'!D:D,A144,'QA Log'!M:M,"QQC",'QA Log'!L:L,"*5. Laboratory*"),
COUNTIFS('QA Log'!D:D,A144,'QA Log'!M:M,"QQC",'QA Log'!L:L,"*6. Essential Medicine Management*"),
COUNTIFS('QA Log'!D:D,A144,'QA Log'!M:M,"QQC",'QA Log'!L:L,"*7. Tracer Medicine*"),
COUNTIFS('QA Log'!D:D,A144,'QA Log'!M:M,"QQC",'QA Log'!L:L,"*11. Additional Questions*")))</f>
        <v/>
      </c>
      <c r="K144" s="102" t="str">
        <f>IF(A144="","",SUM(
COUNTIFS('QA Log'!D:D,A144,'QA Log'!M:M,"QQC",'QA Log'!Z:Z,"Approved",'QA Log'!L:L,"*1. General Management*"),
COUNTIFS('QA Log'!D:D,A144,'QA Log'!M:M,"QQC",'QA Log'!Z:Z,"Approved",'QA Log'!L:L,"*3. Curative Consultation (OPD)*"),
COUNTIFS('QA Log'!D:D,A144,'QA Log'!M:M,"QQC",'QA Log'!Z:Z,"Approved",'QA Log'!L:L,"*5. Laboratory*"),
COUNTIFS('QA Log'!D:D,A144,'QA Log'!M:M,"QQC",'QA Log'!Z:Z,"Approved",'QA Log'!L:L,"*6. Essential Medicine Management*"),
COUNTIFS('QA Log'!D:D,A144,'QA Log'!M:M,"QQC",'QA Log'!Z:Z,"Approved",'QA Log'!L:L,"*7. Tracer Medicine*"),
COUNTIFS('QA Log'!D:D,A144,'QA Log'!M:M,"QQC",'QA Log'!Z:Z,"Approved",'QA Log'!L:L,"*11. Additional Questions*")))</f>
        <v/>
      </c>
      <c r="L144" s="105" t="str">
        <f>IF(A144&lt;&gt;"",COUNTIFS('QA Log'!D:D,A144,'QA Log'!M:M,"QQC",'QA Log'!L:L,"1. General Management",'QA Log'!Z:Z,"Approved"),"")</f>
        <v/>
      </c>
      <c r="M144" s="105" t="str">
        <f>IF(A144&lt;&gt;"",COUNTIFS('QA Log'!D:D,A144,'QA Log'!M:M,"QQC",'QA Log'!L:L,"3. Curative Consultation (OPD)",'QA Log'!Z:Z,"Approved"),"")</f>
        <v/>
      </c>
      <c r="N144" s="105" t="str">
        <f>IF(A144&lt;&gt;"",COUNTIFS('QA Log'!D:D,A144,'QA Log'!M:M,"QQC",'QA Log'!L:L,"5. Laboratory",'QA Log'!Z:Z,"Approved"),"")</f>
        <v/>
      </c>
      <c r="O144" s="105" t="str">
        <f>IF(A144&lt;&gt;"",COUNTIFS('QA Log'!D:D,A144,'QA Log'!M:M,"QQC",'QA Log'!L:L,"6. Essential Medicine Management",'QA Log'!Z:Z,"Approved"),"")</f>
        <v/>
      </c>
      <c r="P144" s="105" t="str">
        <f>IF(A144&lt;&gt;"",COUNTIFS('QA Log'!D:D,A144,'QA Log'!M:M,"QQC",'QA Log'!L:L,"7. Tracer Medicine",'QA Log'!Z:Z,"Approved"),"")</f>
        <v/>
      </c>
      <c r="Q144" s="105" t="str">
        <f>IF(A144&lt;&gt;"",COUNTIFS('QA Log'!D:D,A144,'QA Log'!M:M,"QQC",'QA Log'!L:L,"11. Additional Questions",'QA Log'!Z:Z,"Approved"),"")</f>
        <v/>
      </c>
      <c r="R144" s="102" t="str">
        <f>IF(A144="","",SUM(
COUNTIFS('QA Log'!D:D,A144,'QA Log'!M:M,"QQC",'QA Log'!Z:Z,"Rejected",'QA Log'!L:L,"*8. Maternity*"),
COUNTIFS('QA Log'!D:D,A144,'QA Log'!M:M,"QQC",'QA Log'!Z:Z,"Rejected",'QA Log'!L:L,"*EPI*"),
COUNTIFS('QA Log'!D:D,A144,'QA Log'!M:M,"QQC",'QA Log'!Z:Z,"Rejected",'QA Log'!L:L,"*10. Antenatal Care (ANC)*"),
COUNTIFS('QA Log'!D:D,A144,'QA Log'!M:M,"QQC",'QA Log'!Z:Z,"Rejected",'QA Log'!L:L,"*2. Hygiene and Sterilization*"),
COUNTIFS('QA Log'!D:D,A144,'QA Log'!M:M,"QQC",'QA Log'!Z:Z,"Rejected",'QA Log'!L:L,"*Family Planning*")))</f>
        <v/>
      </c>
      <c r="S144" s="106" t="str">
        <f t="shared" si="1"/>
        <v/>
      </c>
      <c r="T144" s="102" t="str">
        <f t="shared" si="2"/>
        <v/>
      </c>
      <c r="U144" s="102" t="str">
        <f>IF(A144="","",
SUM(
COUNTIFS('QA Log'!D:D,A144,'QA Log'!M:M,"QQC",'QA Log'!L:L,"*8. Maternity*"),
COUNTIFS('QA Log'!D:D,A144,'QA Log'!M:M,"QQC",'QA Log'!L:L,"*9. EPI and Pre-school Consultation*"),
COUNTIFS('QA Log'!D:D,A144,'QA Log'!M:M,"QQC",'QA Log'!L:L,"*10. Antenatal Care (ANC)*"),
COUNTIFS('QA Log'!D:D,A144,'QA Log'!M:M,"QQC",'QA Log'!L:L,"*2. Hygiene and Sterilization*"),
COUNTIFS('QA Log'!D:D,A144,'QA Log'!M:M,"QQC",'QA Log'!L:L,"*4. Family Planning*")
))</f>
        <v/>
      </c>
      <c r="V144" s="102" t="str">
        <f>IF(A144="","",
SUM(
COUNTIFS('QA Log'!D:D,A144,'QA Log'!M:M,"QQC",'QA Log'!Z:Z,"Approved",'QA Log'!L:L,"*8. Maternity*"),
COUNTIFS('QA Log'!D:D,A144,'QA Log'!M:M,"QQC",'QA Log'!Z:Z,"Approved",'QA Log'!L:L,"*9. EPI and Pre-school Consultation*"),
COUNTIFS('QA Log'!D:D,A144,'QA Log'!M:M,"QQC",'QA Log'!Z:Z,"Approved",'QA Log'!L:L,"*10. Antenatal Care (ANC)*"),
COUNTIFS('QA Log'!D:D,A144,'QA Log'!M:M,"QQC",'QA Log'!Z:Z,"Approved",'QA Log'!L:L,"*2. Hygiene and Sterilization*"),
COUNTIFS('QA Log'!D:D,A144,'QA Log'!M:M,"QQC",'QA Log'!Z:Z,"Approved",'QA Log'!L:L,"*4. Family Planning*")
))</f>
        <v/>
      </c>
      <c r="W144" s="105" t="str">
        <f>IF(A144&lt;&gt;"",COUNTIFS('QA Log'!D:D,A144,'QA Log'!M:M,"QQC",'QA Log'!L:L,"8. Maternity",'QA Log'!Z:Z,"Approved"),"")</f>
        <v/>
      </c>
      <c r="X144" s="105" t="str">
        <f>IF(A144&lt;&gt;"",COUNTIFS('QA Log'!D:D,A144,'QA Log'!M:M,"QQC",'QA Log'!L:L,"9. EPI and Pre-school Consultation",'QA Log'!Z:Z,"Approved"),"")</f>
        <v/>
      </c>
      <c r="Y144" s="105" t="str">
        <f>IF(A144&lt;&gt;"",COUNTIFS('QA Log'!D:D,A144,'QA Log'!M:M,"QQC",'QA Log'!L:L,"10. Antenatal Care (ANC)",'QA Log'!Z:Z,"Approved"),"")</f>
        <v/>
      </c>
      <c r="Z144" s="105" t="str">
        <f>IF(A144&lt;&gt;"",COUNTIFS('QA Log'!D:D,A144,'QA Log'!M:M,"QQC",'QA Log'!L:L,"2. Hygiene and Sterilization",'QA Log'!Z:Z,"Approved"),"")</f>
        <v/>
      </c>
      <c r="AA144" s="105" t="str">
        <f>IF(A144&lt;&gt;"",COUNTIFS('QA Log'!D:D,A144,'QA Log'!M:M,"QQC",'QA Log'!L:L,"4. Family Planning",'QA Log'!Z:Z,"Approved"),"")</f>
        <v/>
      </c>
      <c r="AB144" s="102" t="str">
        <f>IF(A144="","",
SUM(
COUNTIFS('QA Log'!D:D,A144,'QA Log'!M:M,"QQC",'QA Log'!Z:Z,"Rejected",'QA Log'!L:L,"*8. Maternity*"),
COUNTIFS('QA Log'!D:D,A144,'QA Log'!M:M,"QQC",'QA Log'!Z:Z,"Rejected",'QA Log'!L:L,"*9. EPI and Pre-school Consultation*"),
COUNTIFS('QA Log'!D:D,A144,'QA Log'!M:M,"QQC",'QA Log'!Z:Z,"Rejected",'QA Log'!L:L,"*10. Antenatal Care (ANC)*"),
COUNTIFS('QA Log'!D:D,A144,'QA Log'!M:M,"QQC",'QA Log'!Z:Z,"Rejected",'QA Log'!L:L,"*2. Hygiene and Sterilization*"),
COUNTIFS('QA Log'!D:D,A144,'QA Log'!M:M,"QQC",'QA Log'!Z:Z,"Rejected",'QA Log'!L:L,"*4. Family Planning*")
))</f>
        <v/>
      </c>
      <c r="AC144" s="102" t="str">
        <f t="shared" si="3"/>
        <v/>
      </c>
      <c r="AD144" s="103" t="str">
        <f t="shared" si="4"/>
        <v/>
      </c>
      <c r="AE144" s="102" t="str">
        <f>IF(A144="","",
SUM(
COUNTIFS('QA Log'!D:D,A144,'QA Log'!M:M,"Data Verification",'QA Log'!L:L,"*Medicine (section 2)*"),
COUNTIFS('QA Log'!D:D,A144,'QA Log'!M:M,"Data Verification",'QA Log'!L:L,"*Lab Testing Availability*"),
COUNTIFS('QA Log'!D:D,A144,'QA Log'!M:M,"Data Verification",'QA Log'!L:L,"*Other than P4P (section 6)*"),
COUNTIFS('QA Log'!D:D,A144,'QA Log'!M:M,"Data Verification",'QA Log'!L:L,"*Hospital Governance*")
))</f>
        <v/>
      </c>
      <c r="AF144" s="102" t="str">
        <f>IF(A144="","",
SUM(
COUNTIFS('QA Log'!D:D,A144,'QA Log'!M:M,"Data Verification",'QA Log'!Z:Z,"Approved",'QA Log'!L:L,"*Medicine (section 2)*"),
COUNTIFS('QA Log'!D:D,A144,'QA Log'!M:M,"Data Verification",'QA Log'!Z:Z,"Approved",'QA Log'!L:L,"*Lab Testing Availability*"),
COUNTIFS('QA Log'!D:D,A144,'QA Log'!M:M,"Data Verification",'QA Log'!Z:Z,"Approved",'QA Log'!L:L,"*Other than P4P (section 6)*"),
COUNTIFS('QA Log'!D:D,A144,'QA Log'!M:M,"Data Verification",'QA Log'!Z:Z,"Approved",'QA Log'!L:L,"*Hospital Governance*")
))</f>
        <v/>
      </c>
      <c r="AG144" s="105" t="str">
        <f>IF(A144&lt;&gt;"",COUNTIFS('QA Log'!D:D,A144,'QA Log'!M:M,"Data Verification",'QA Log'!L:L,"Medicine (section 2)",'QA Log'!Z:Z,"Approved"),"")</f>
        <v/>
      </c>
      <c r="AH144" s="105" t="str">
        <f>IF(A144&lt;&gt;"",COUNTIFS('QA Log'!D:D,A144,'QA Log'!M:M,"Data Verification",'QA Log'!L:L,"Lab Testing Availability",'QA Log'!Z:Z,"Approved"),"")</f>
        <v/>
      </c>
      <c r="AI144" s="105" t="str">
        <f>IF(A144&lt;&gt;"",COUNTIFS('QA Log'!D:D,A144,'QA Log'!M:M,"Data Verification",'QA Log'!L:L,"Other than P4P (section 6)",'QA Log'!Z:Z,"Approved"),"")</f>
        <v/>
      </c>
      <c r="AJ144" s="105" t="str">
        <f>IF(A144&lt;&gt;"",COUNTIFS('QA Log'!D:D,A144,'QA Log'!M:M,"Data Verification",'QA Log'!L:L,"Hospital Governance",'QA Log'!Z:Z,"Approved"),"")</f>
        <v/>
      </c>
      <c r="AK144" s="102" t="str">
        <f>IF(A144="","",
SUM(
COUNTIFS('QA Log'!D:D,A144,'QA Log'!M:M,"Data Verification",'QA Log'!Z:Z,"Rejected",'QA Log'!L:L,"*Medicine (section 2)*"),
COUNTIFS('QA Log'!D:D,A144,'QA Log'!M:M,"Data Verification",'QA Log'!Z:Z,"Rejected",'QA Log'!L:L,"*Lab Testing Availability*"),
COUNTIFS('QA Log'!D:D,A144,'QA Log'!M:M,"Data Verification",'QA Log'!Z:Z,"Rejected",'QA Log'!L:L,"*Other than P4P (section 6)*"),
COUNTIFS('QA Log'!D:D,A144,'QA Log'!M:M,"Data Verification",'QA Log'!Z:Z,"Rejected",'QA Log'!L:L,"*Hospital Governance*")
))</f>
        <v/>
      </c>
      <c r="AL144" s="106" t="str">
        <f t="shared" si="5"/>
        <v/>
      </c>
      <c r="AM144" s="102" t="str">
        <f t="shared" si="6"/>
        <v/>
      </c>
      <c r="AN144" s="102" t="str">
        <f>IF(A144="","",
SUM(
COUNTIFS('QA Log'!D:D,A144,'QA Log'!M:M,"Data Verification",'QA Log'!L:L,"*Personnel (section 1)*"),
COUNTIFS('QA Log'!D:D,A144,'QA Log'!M:M,"Data Verification",'QA Log'!L:L,"*Consumable (section 3)*"),
COUNTIFS('QA Log'!D:D,A144,'QA Log'!M:M,"Data Verification",'QA Log'!L:L,"*Equipments (section 4)*")
))</f>
        <v/>
      </c>
      <c r="AO144" s="102" t="str">
        <f>IF(A144="","",
SUM(
COUNTIFS('QA Log'!D:D,A144,'QA Log'!M:M,"Data Verification",'QA Log'!Z:Z,"Approved",'QA Log'!L:L,"*Personnel (section 1)*"),
COUNTIFS('QA Log'!D:D,A144,'QA Log'!M:M,"Data Verification",'QA Log'!Z:Z,"Approved",'QA Log'!L:L,"*Consumable (section 3)*"),
COUNTIFS('QA Log'!D:D,A144,'QA Log'!M:M,"Data Verification",'QA Log'!Z:Z,"Approved",'QA Log'!L:L,"*Equipments (section 4)*")
))</f>
        <v/>
      </c>
      <c r="AP144" s="105" t="str">
        <f>IF(A144&lt;&gt;"",COUNTIFS('QA Log'!D:D,A144,'QA Log'!M:M,"Data Verification",'QA Log'!L:L,"Personnel (section 1)",'QA Log'!Z:Z,"Approved"),"")</f>
        <v/>
      </c>
      <c r="AQ144" s="105" t="str">
        <f>IF(A144&lt;&gt;"",COUNTIFS('QA Log'!D:D,A144,'QA Log'!M:M,"Data Verification",'QA Log'!L:L,"Consumable (section 3)",'QA Log'!Z:Z,"Approved"),"")</f>
        <v/>
      </c>
      <c r="AR144" s="105" t="str">
        <f>IF(A144&lt;&gt;"",COUNTIFS('QA Log'!D:D,A144,'QA Log'!M:M,"Data Verification",'QA Log'!L:L,"Equipments (section 4)",'QA Log'!Z:Z,"Approved"),"")</f>
        <v/>
      </c>
      <c r="AS144" s="102" t="str">
        <f>IF(A144="","",
SUM(
COUNTIFS('QA Log'!D:D,A144,'QA Log'!M:M,"Data Verification",'QA Log'!Z:Z,"Rejected",'QA Log'!L:L,"*Personnel (section 1)*"),
COUNTIFS('QA Log'!D:D,A144,'QA Log'!M:M,"Data Verification",'QA Log'!Z:Z,"Rejected",'QA Log'!L:L,"*Consumable (section 3)*"),
COUNTIFS('QA Log'!D:D,A144,'QA Log'!M:M,"Data Verification",'QA Log'!Z:Z,"Rejected",'QA Log'!L:L,"*Equipments (section 4)*")
))</f>
        <v/>
      </c>
      <c r="AT144" s="102" t="str">
        <f t="shared" si="7"/>
        <v/>
      </c>
      <c r="AU144" s="103" t="str">
        <f t="shared" si="8"/>
        <v/>
      </c>
      <c r="AV144" s="102" t="str">
        <f>IF(A144="","",SUM(
COUNTIFS('QA Log'!D:D,A144,'QA Log'!M:M,"Vignette",'QA Log'!L:L,"*Vignette [1] Respiratory Infection: Pneumonia*"),
COUNTIFS('QA Log'!D:D,A144,'QA Log'!M:M,"Vignette",'QA Log'!L:L,"*Vignette [2]: Diarrhea with Cat B dehydration*"),
COUNTIFS('QA Log'!D:D,A144,'QA Log'!M:M,"Vignette",'QA Log'!L:L,"*Vignette [3] Growth Monitoring and Promotion*"),
COUNTIFS('QA Log'!D:D,A144,'QA Log'!M:M,"Vignette",'QA Log'!L:L,"*Vignette [4]: The management of presumptive TB patient*")
)
)</f>
        <v/>
      </c>
      <c r="AW144" s="102" t="str">
        <f>IF(
  A144="","",
  SUM(
    COUNTIFS('QA Log'!D:D,A144,'QA Log'!M:M,"Vignette",'QA Log'!Z:Z,"Approved",'QA Log'!L:L,"*Vignette [1] Respiratory Infection: Pneumonia*"),
    COUNTIFS('QA Log'!D:D,A144,'QA Log'!M:M,"Vignette",'QA Log'!Z:Z,"Approved",'QA Log'!L:L,"*Vignette [2]: Diarrhea with Cat B dehydration*"),
    COUNTIFS('QA Log'!D:D,A144,'QA Log'!M:M,"Vignette",'QA Log'!Z:Z,"Approved",'QA Log'!L:L,"*Vignette [3] Growth Monitoring and Promotion*"),
    COUNTIFS('QA Log'!D:D,A144,'QA Log'!M:M,"Vignette",'QA Log'!Z:Z,"Approved",'QA Log'!L:L,"*Vignette [4]: The management of presumptive TB patient*")
  )
)</f>
        <v/>
      </c>
      <c r="AX144" s="105" t="str">
        <f>IF(A144&lt;&gt;"",COUNTIFS('QA Log'!D:D,A144,'QA Log'!M:M,"Vignette",'QA Log'!L:L,"Vignette [1] Respiratory Infection: Pneumonia",'QA Log'!Z:Z,"Approved"),"")</f>
        <v/>
      </c>
      <c r="AY144" s="105" t="str">
        <f>IF(A144&lt;&gt;"",COUNTIFS('QA Log'!D:D,A144,'QA Log'!M:M,"Vignette",'QA Log'!L:L,"Vignette [2]: Diarrhea with Cat B dehydration",'QA Log'!Z:Z,"Approved"),"")</f>
        <v/>
      </c>
      <c r="AZ144" s="105" t="str">
        <f>IF(A144&lt;&gt;"",COUNTIFS('QA Log'!D:D,A144,'QA Log'!M:M,"Vignette",'QA Log'!L:L,"Vignette [3] Growth Monitoring and Promotion",'QA Log'!Z:Z,"Approved"),"")</f>
        <v/>
      </c>
      <c r="BA144" s="105" t="str">
        <f>IF(A144&lt;&gt;"",COUNTIFS('QA Log'!D:D,A144,'QA Log'!M:M,"Vignette",'QA Log'!L:L,"Vignette [4]: The management of presumptive TB patient",'QA Log'!Z:Z,"Approved"),"")</f>
        <v/>
      </c>
      <c r="BB144" s="102" t="str">
        <f>IF(A144="","",
  SUM(
    COUNTIFS('QA Log'!D:D,A144,'QA Log'!M:M,"Vignette",'QA Log'!Z:Z,"Rejected",'QA Log'!L:L,"*Vignette [1] Respiratory Infection: Pneumonia*"),
    COUNTIFS('QA Log'!D:D,A144,'QA Log'!M:M,"Vignette",'QA Log'!Z:Z,"Rejected",'QA Log'!L:L,"*Vignette [2]: Diarrhea with Cat B dehydration*"),
    COUNTIFS('QA Log'!D:D,A144,'QA Log'!M:M,"Vignette",'QA Log'!Z:Z,"Rejected",'QA Log'!L:L,"*Vignette [3] Growth Monitoring and Promotion*"),
    COUNTIFS('QA Log'!D:D,A144,'QA Log'!M:M,"Vignette",'QA Log'!Z:Z,"Rejected",'QA Log'!L:L,"*Vignette [4]: The management of presumptive TB patient*")
  )
)</f>
        <v/>
      </c>
      <c r="BC144" s="107" t="str">
        <f t="shared" si="9"/>
        <v/>
      </c>
      <c r="BD144" s="103" t="str">
        <f t="shared" si="10"/>
        <v/>
      </c>
      <c r="BE144" s="102" t="str">
        <f>IF(A144="","",SUM(
COUNTIFS('QA Log'!D:D,A144,'QA Log'!M:M,"Vignette",'QA Log'!L:L,"*Vignette [5] Labor*"),
COUNTIFS('QA Log'!D:D,A144,'QA Log'!M:M,"Vignette",'QA Log'!L:L,"*Vignette [6] PNC pre Discharge*"),
COUNTIFS('QA Log'!D:D,A144,'QA Log'!M:M,"Vignette",'QA Log'!L:L,"*Vignette [7] First ANC Visit*"),
COUNTIFS('QA Log'!D:D,A144,'QA Log'!M:M,"Vignette",'QA Log'!L:L,"*Vignette [8] Birth Spacing/ Family Planning :  FP Counselling*"),
COUNTIFS('QA Log'!D:D,A144,'QA Log'!M:M,"Vignette",'QA Log'!L:L,"*Vignette [9] Birth Spacing: Change FP method to Injectable*"),
COUNTIFS('QA Log'!D:D,A144,'QA Log'!M:M,"Vignette",'QA Log'!L:L,"*Vignette [10] Post Partum Haemorrhage - Atonic Uterus at Health Centre*"),
)
)</f>
        <v/>
      </c>
      <c r="BF144" s="102" t="str">
        <f>IF(A144="","",
  SUM(
    COUNTIFS('QA Log'!D:D,A144,'QA Log'!M:M,"Vignette",'QA Log'!Z:Z,"Approved",'QA Log'!L:L,"*Vignette [5] Labor*"),
    COUNTIFS('QA Log'!D:D,A144,'QA Log'!M:M,"Vignette",'QA Log'!Z:Z,"Approved",'QA Log'!L:L,"*Vignette [6] PNC pre Discharge*"),
    COUNTIFS('QA Log'!D:D,A144,'QA Log'!M:M,"Vignette",'QA Log'!Z:Z,"Approved",'QA Log'!L:L,"*Vignette [7] First ANC Visit*"),
    COUNTIFS('QA Log'!D:D,A144,'QA Log'!M:M,"Vignette",'QA Log'!Z:Z,"Approved",'QA Log'!L:L,"*Vignette [8] Birth Spacing/ Family Planning :  FP Counselling*"),
    COUNTIFS('QA Log'!D:D,A144,'QA Log'!M:M,"Vignette",'QA Log'!Z:Z,"Approved",'QA Log'!L:L,"*Vignette [9] Birth Spacing: Change FP method to Injectable*"),
    COUNTIFS('QA Log'!D:D,A144,'QA Log'!M:M,"Vignette",'QA Log'!Z:Z,"Approved",'QA Log'!L:L,"*Vignette [10] Post Partum Haemorrhage - Atonic Uterus at Health Centre*")
  )
)</f>
        <v/>
      </c>
      <c r="BG144" s="105" t="str">
        <f>IF(A144&lt;&gt;"",COUNTIFS('QA Log'!D:D,A144,'QA Log'!M:M,"Vignette",'QA Log'!L:L,"Vignette [5] Labor",'QA Log'!Z:Z,"Approved"),"")</f>
        <v/>
      </c>
      <c r="BH144" s="105" t="str">
        <f>IF(A144&lt;&gt;"",COUNTIFS('QA Log'!D:D,A144,'QA Log'!M:M,"Vignette",'QA Log'!L:L,"Vignette [6] PNC pre Discharge",'QA Log'!Z:Z,"Approved"),"")</f>
        <v/>
      </c>
      <c r="BI144" s="105" t="str">
        <f>IF(A144&lt;&gt;"",COUNTIFS('QA Log'!D:D,A144,'QA Log'!M:M,"Vignette",'QA Log'!L:L,"Vignette [7] First ANC Visit",'QA Log'!Z:Z,"Approved"),"")</f>
        <v/>
      </c>
      <c r="BJ144" s="105" t="str">
        <f>IF(A144&lt;&gt;"",COUNTIFS('QA Log'!D:D,A144,'QA Log'!M:M,"Vignette",'QA Log'!L:L,"Vignette [8] Birth Spacing/ Family Planning :  FP Counselling",'QA Log'!Z:Z,"Approved"),"")</f>
        <v/>
      </c>
      <c r="BK144" s="105" t="str">
        <f>IF(A144&lt;&gt;"",COUNTIFS('QA Log'!D:D,A144,'QA Log'!M:M,"Vignette",'QA Log'!L:L,"Vignette [9] Birth Spacing: Change FP method to Injectable",'QA Log'!Z:Z,"Approved"),"")</f>
        <v/>
      </c>
      <c r="BL144" s="105" t="str">
        <f>IF(A144&lt;&gt;"",COUNTIFS('QA Log'!D:D,A144,'QA Log'!M:M,"Vignette",'QA Log'!L:L,"Vignette [10] Post Partum Haemorrhage - Atonic Uterus at Health Centre",'QA Log'!Z:Z,"Approved"),"")</f>
        <v/>
      </c>
      <c r="BM144" s="102" t="str">
        <f>IF(A144="","",SUM(
    COUNTIFS('QA Log'!D:D,A144,'QA Log'!M:M,"Vignette",'QA Log'!Z:Z,"Rejected",'QA Log'!L:L,"*Vignette [5] Labor*"),
    COUNTIFS('QA Log'!D:D,A144,'QA Log'!M:M,"Vignette",'QA Log'!Z:Z,"Rejected",'QA Log'!L:L,"*Vignette [6] PNC pre Discharge*"),
    COUNTIFS('QA Log'!D:D,A144,'QA Log'!M:M,"Vignette",'QA Log'!Z:Z,"Rejected",'QA Log'!L:L,"*Vignette [7] First ANC Visit*"),
    COUNTIFS('QA Log'!D:D,A144,'QA Log'!M:M,"Vignette",'QA Log'!Z:Z,"Rejected",'QA Log'!L:L,"*Vignette [8] Birth Spacing/ Family Planning :  FP Counselling*"),
    COUNTIFS('QA Log'!D:D,A144,'QA Log'!M:M,"Vignette",'QA Log'!Z:Z,"Rejected",'QA Log'!L:L,"*Vignette [9] Birth Spacing: Change FP method to Injectable*"),
    COUNTIFS('QA Log'!D:D,A144,'QA Log'!M:M,"Vignette",'QA Log'!Z:Z,"Rejected",'QA Log'!L:L,"*Vignette [10] Post Partum Haemorrhage - Atonic Uterus at Health Centre*")
  )
)</f>
        <v/>
      </c>
      <c r="BN144" s="107" t="str">
        <f t="shared" si="11"/>
        <v/>
      </c>
      <c r="BO144" s="103" t="str">
        <f t="shared" si="12"/>
        <v/>
      </c>
      <c r="BP144" s="102" t="str">
        <f>IF(A144="","",SUM(
COUNTIFS('QA Log'!D:D,A144,'QA Log'!M:M,"Vignette",'QA Log'!L:L,"*Exit Interview 1*"),
COUNTIFS('QA Log'!D:D,A144,'QA Log'!M:M,"Vignette",'QA Log'!L:L,"*Exit Interview 2*"),
)
)</f>
        <v/>
      </c>
      <c r="BQ144" s="102" t="str">
        <f>IF(
  A144="","",
  SUM(
    COUNTIFS('QA Log'!D:D,A144,'QA Log'!M:M,"Vignette",'QA Log'!Z:Z,"Approved",'QA Log'!L:L,"*Exit Interview 1*"),
    COUNTIFS('QA Log'!D:D,A144,'QA Log'!M:M,"Vignette",'QA Log'!Z:Z,"Approved",'QA Log'!L:L,"*Exit Interview 2*")
  )
)</f>
        <v/>
      </c>
      <c r="BR144" s="105" t="str">
        <f>IF(A144&lt;&gt;"",COUNTIFS('QA Log'!D:D,A144,'QA Log'!M:M,"Vignette",'QA Log'!L:L,"Exit Interview 1",'QA Log'!Z:Z,"Approved"),"")</f>
        <v/>
      </c>
      <c r="BS144" s="105" t="str">
        <f>IF(A144&lt;&gt;"",COUNTIFS('QA Log'!D:D,A144,'QA Log'!M:M,"Vignette",'QA Log'!L:L,"Exit Interview 2",'QA Log'!Z:Z,"Approved"),"")</f>
        <v/>
      </c>
      <c r="BT144" s="102" t="str">
        <f>IF(
  A144="","",
  SUM(
    COUNTIFS('QA Log'!D:D,A144,'QA Log'!M:M,"Vignette",'QA Log'!Z:Z,"Rejected",'QA Log'!L:L,"*Exit Interview 1*"),
    COUNTIFS('QA Log'!D:D,A144,'QA Log'!M:M,"Vignette",'QA Log'!Z:Z,"Rejected",'QA Log'!L:L,"*Exit Interview 2*")
  )
)</f>
        <v/>
      </c>
      <c r="BU144" s="107" t="str">
        <f t="shared" si="13"/>
        <v/>
      </c>
      <c r="BV144" s="102" t="str">
        <f t="shared" si="14"/>
        <v/>
      </c>
      <c r="BW144" s="102" t="str">
        <f t="shared" si="15"/>
        <v/>
      </c>
      <c r="BX144" s="102" t="str">
        <f t="shared" si="16"/>
        <v/>
      </c>
      <c r="BY144" s="102" t="str">
        <f t="shared" si="17"/>
        <v/>
      </c>
      <c r="BZ144" s="107" t="str">
        <f t="shared" si="18"/>
        <v/>
      </c>
      <c r="CA144" s="108" t="str">
        <f t="shared" si="19"/>
        <v/>
      </c>
      <c r="CB144" s="108" t="str">
        <f t="shared" si="20"/>
        <v/>
      </c>
      <c r="CC144" s="109" t="str">
        <f t="shared" si="21"/>
        <v/>
      </c>
      <c r="CD144" s="108" t="str">
        <f t="shared" si="22"/>
        <v/>
      </c>
      <c r="CE144" s="108" t="str">
        <f t="shared" si="23"/>
        <v/>
      </c>
      <c r="CF144" s="109" t="str">
        <f t="shared" si="24"/>
        <v/>
      </c>
      <c r="CG144" s="110" t="str">
        <f t="shared" si="25"/>
        <v/>
      </c>
      <c r="CH144" s="111"/>
    </row>
    <row r="145" spans="1:86" ht="12.75">
      <c r="A145" s="101"/>
      <c r="B145" s="102" t="e">
        <f t="array" aca="1" ref="B145" ca="1">_xludf.XLOOKUP(A145,'QA Log'!D:D,'QA Log'!E:E,"")</f>
        <v>#NAME?</v>
      </c>
      <c r="C145" s="102" t="e">
        <f t="array" aca="1" ref="C145" ca="1">_xludf.XLOOKUP(A145,'QA Log'!D:D,'QA Log'!F:F,"")</f>
        <v>#NAME?</v>
      </c>
      <c r="D145" s="102" t="e">
        <f t="array" aca="1" ref="D145" ca="1">_xludf.XLOOKUP(A145,'QA Log'!D:D,'QA Log'!H:H,"")</f>
        <v>#NAME?</v>
      </c>
      <c r="E145" s="102" t="e">
        <f t="array" aca="1" ref="E145" ca="1">_xludf.XLOOKUP(A145,'QA Log'!D:D,'QA Log'!G:G,"")</f>
        <v>#NAME?</v>
      </c>
      <c r="F145" s="103"/>
      <c r="G145" s="104"/>
      <c r="H145" s="104"/>
      <c r="I145" s="103" t="str">
        <f t="shared" si="0"/>
        <v/>
      </c>
      <c r="J145" s="102" t="str">
        <f>IF(A145="","",SUM(
COUNTIFS('QA Log'!D:D,A145,'QA Log'!M:M,"QQC",'QA Log'!L:L,"*1. General Management*"),
COUNTIFS('QA Log'!D:D,A145,'QA Log'!M:M,"QQC",'QA Log'!L:L,"*3. Curative Consultation (OPD)*"),
COUNTIFS('QA Log'!D:D,A145,'QA Log'!M:M,"QQC",'QA Log'!L:L,"*5. Laboratory*"),
COUNTIFS('QA Log'!D:D,A145,'QA Log'!M:M,"QQC",'QA Log'!L:L,"*6. Essential Medicine Management*"),
COUNTIFS('QA Log'!D:D,A145,'QA Log'!M:M,"QQC",'QA Log'!L:L,"*7. Tracer Medicine*"),
COUNTIFS('QA Log'!D:D,A145,'QA Log'!M:M,"QQC",'QA Log'!L:L,"*11. Additional Questions*")))</f>
        <v/>
      </c>
      <c r="K145" s="102" t="str">
        <f>IF(A145="","",SUM(
COUNTIFS('QA Log'!D:D,A145,'QA Log'!M:M,"QQC",'QA Log'!Z:Z,"Approved",'QA Log'!L:L,"*1. General Management*"),
COUNTIFS('QA Log'!D:D,A145,'QA Log'!M:M,"QQC",'QA Log'!Z:Z,"Approved",'QA Log'!L:L,"*3. Curative Consultation (OPD)*"),
COUNTIFS('QA Log'!D:D,A145,'QA Log'!M:M,"QQC",'QA Log'!Z:Z,"Approved",'QA Log'!L:L,"*5. Laboratory*"),
COUNTIFS('QA Log'!D:D,A145,'QA Log'!M:M,"QQC",'QA Log'!Z:Z,"Approved",'QA Log'!L:L,"*6. Essential Medicine Management*"),
COUNTIFS('QA Log'!D:D,A145,'QA Log'!M:M,"QQC",'QA Log'!Z:Z,"Approved",'QA Log'!L:L,"*7. Tracer Medicine*"),
COUNTIFS('QA Log'!D:D,A145,'QA Log'!M:M,"QQC",'QA Log'!Z:Z,"Approved",'QA Log'!L:L,"*11. Additional Questions*")))</f>
        <v/>
      </c>
      <c r="L145" s="105" t="str">
        <f>IF(A145&lt;&gt;"",COUNTIFS('QA Log'!D:D,A145,'QA Log'!M:M,"QQC",'QA Log'!L:L,"1. General Management",'QA Log'!Z:Z,"Approved"),"")</f>
        <v/>
      </c>
      <c r="M145" s="105" t="str">
        <f>IF(A145&lt;&gt;"",COUNTIFS('QA Log'!D:D,A145,'QA Log'!M:M,"QQC",'QA Log'!L:L,"3. Curative Consultation (OPD)",'QA Log'!Z:Z,"Approved"),"")</f>
        <v/>
      </c>
      <c r="N145" s="105" t="str">
        <f>IF(A145&lt;&gt;"",COUNTIFS('QA Log'!D:D,A145,'QA Log'!M:M,"QQC",'QA Log'!L:L,"5. Laboratory",'QA Log'!Z:Z,"Approved"),"")</f>
        <v/>
      </c>
      <c r="O145" s="105" t="str">
        <f>IF(A145&lt;&gt;"",COUNTIFS('QA Log'!D:D,A145,'QA Log'!M:M,"QQC",'QA Log'!L:L,"6. Essential Medicine Management",'QA Log'!Z:Z,"Approved"),"")</f>
        <v/>
      </c>
      <c r="P145" s="105" t="str">
        <f>IF(A145&lt;&gt;"",COUNTIFS('QA Log'!D:D,A145,'QA Log'!M:M,"QQC",'QA Log'!L:L,"7. Tracer Medicine",'QA Log'!Z:Z,"Approved"),"")</f>
        <v/>
      </c>
      <c r="Q145" s="105" t="str">
        <f>IF(A145&lt;&gt;"",COUNTIFS('QA Log'!D:D,A145,'QA Log'!M:M,"QQC",'QA Log'!L:L,"11. Additional Questions",'QA Log'!Z:Z,"Approved"),"")</f>
        <v/>
      </c>
      <c r="R145" s="102" t="str">
        <f>IF(A145="","",SUM(
COUNTIFS('QA Log'!D:D,A145,'QA Log'!M:M,"QQC",'QA Log'!Z:Z,"Rejected",'QA Log'!L:L,"*8. Maternity*"),
COUNTIFS('QA Log'!D:D,A145,'QA Log'!M:M,"QQC",'QA Log'!Z:Z,"Rejected",'QA Log'!L:L,"*EPI*"),
COUNTIFS('QA Log'!D:D,A145,'QA Log'!M:M,"QQC",'QA Log'!Z:Z,"Rejected",'QA Log'!L:L,"*10. Antenatal Care (ANC)*"),
COUNTIFS('QA Log'!D:D,A145,'QA Log'!M:M,"QQC",'QA Log'!Z:Z,"Rejected",'QA Log'!L:L,"*2. Hygiene and Sterilization*"),
COUNTIFS('QA Log'!D:D,A145,'QA Log'!M:M,"QQC",'QA Log'!Z:Z,"Rejected",'QA Log'!L:L,"*Family Planning*")))</f>
        <v/>
      </c>
      <c r="S145" s="106" t="str">
        <f t="shared" si="1"/>
        <v/>
      </c>
      <c r="T145" s="102" t="str">
        <f t="shared" si="2"/>
        <v/>
      </c>
      <c r="U145" s="102" t="str">
        <f>IF(A145="","",
SUM(
COUNTIFS('QA Log'!D:D,A145,'QA Log'!M:M,"QQC",'QA Log'!L:L,"*8. Maternity*"),
COUNTIFS('QA Log'!D:D,A145,'QA Log'!M:M,"QQC",'QA Log'!L:L,"*9. EPI and Pre-school Consultation*"),
COUNTIFS('QA Log'!D:D,A145,'QA Log'!M:M,"QQC",'QA Log'!L:L,"*10. Antenatal Care (ANC)*"),
COUNTIFS('QA Log'!D:D,A145,'QA Log'!M:M,"QQC",'QA Log'!L:L,"*2. Hygiene and Sterilization*"),
COUNTIFS('QA Log'!D:D,A145,'QA Log'!M:M,"QQC",'QA Log'!L:L,"*4. Family Planning*")
))</f>
        <v/>
      </c>
      <c r="V145" s="102" t="str">
        <f>IF(A145="","",
SUM(
COUNTIFS('QA Log'!D:D,A145,'QA Log'!M:M,"QQC",'QA Log'!Z:Z,"Approved",'QA Log'!L:L,"*8. Maternity*"),
COUNTIFS('QA Log'!D:D,A145,'QA Log'!M:M,"QQC",'QA Log'!Z:Z,"Approved",'QA Log'!L:L,"*9. EPI and Pre-school Consultation*"),
COUNTIFS('QA Log'!D:D,A145,'QA Log'!M:M,"QQC",'QA Log'!Z:Z,"Approved",'QA Log'!L:L,"*10. Antenatal Care (ANC)*"),
COUNTIFS('QA Log'!D:D,A145,'QA Log'!M:M,"QQC",'QA Log'!Z:Z,"Approved",'QA Log'!L:L,"*2. Hygiene and Sterilization*"),
COUNTIFS('QA Log'!D:D,A145,'QA Log'!M:M,"QQC",'QA Log'!Z:Z,"Approved",'QA Log'!L:L,"*4. Family Planning*")
))</f>
        <v/>
      </c>
      <c r="W145" s="105" t="str">
        <f>IF(A145&lt;&gt;"",COUNTIFS('QA Log'!D:D,A145,'QA Log'!M:M,"QQC",'QA Log'!L:L,"8. Maternity",'QA Log'!Z:Z,"Approved"),"")</f>
        <v/>
      </c>
      <c r="X145" s="105" t="str">
        <f>IF(A145&lt;&gt;"",COUNTIFS('QA Log'!D:D,A145,'QA Log'!M:M,"QQC",'QA Log'!L:L,"9. EPI and Pre-school Consultation",'QA Log'!Z:Z,"Approved"),"")</f>
        <v/>
      </c>
      <c r="Y145" s="105" t="str">
        <f>IF(A145&lt;&gt;"",COUNTIFS('QA Log'!D:D,A145,'QA Log'!M:M,"QQC",'QA Log'!L:L,"10. Antenatal Care (ANC)",'QA Log'!Z:Z,"Approved"),"")</f>
        <v/>
      </c>
      <c r="Z145" s="105" t="str">
        <f>IF(A145&lt;&gt;"",COUNTIFS('QA Log'!D:D,A145,'QA Log'!M:M,"QQC",'QA Log'!L:L,"2. Hygiene and Sterilization",'QA Log'!Z:Z,"Approved"),"")</f>
        <v/>
      </c>
      <c r="AA145" s="105" t="str">
        <f>IF(A145&lt;&gt;"",COUNTIFS('QA Log'!D:D,A145,'QA Log'!M:M,"QQC",'QA Log'!L:L,"4. Family Planning",'QA Log'!Z:Z,"Approved"),"")</f>
        <v/>
      </c>
      <c r="AB145" s="102" t="str">
        <f>IF(A145="","",
SUM(
COUNTIFS('QA Log'!D:D,A145,'QA Log'!M:M,"QQC",'QA Log'!Z:Z,"Rejected",'QA Log'!L:L,"*8. Maternity*"),
COUNTIFS('QA Log'!D:D,A145,'QA Log'!M:M,"QQC",'QA Log'!Z:Z,"Rejected",'QA Log'!L:L,"*9. EPI and Pre-school Consultation*"),
COUNTIFS('QA Log'!D:D,A145,'QA Log'!M:M,"QQC",'QA Log'!Z:Z,"Rejected",'QA Log'!L:L,"*10. Antenatal Care (ANC)*"),
COUNTIFS('QA Log'!D:D,A145,'QA Log'!M:M,"QQC",'QA Log'!Z:Z,"Rejected",'QA Log'!L:L,"*2. Hygiene and Sterilization*"),
COUNTIFS('QA Log'!D:D,A145,'QA Log'!M:M,"QQC",'QA Log'!Z:Z,"Rejected",'QA Log'!L:L,"*4. Family Planning*")
))</f>
        <v/>
      </c>
      <c r="AC145" s="102" t="str">
        <f t="shared" si="3"/>
        <v/>
      </c>
      <c r="AD145" s="103" t="str">
        <f t="shared" si="4"/>
        <v/>
      </c>
      <c r="AE145" s="102" t="str">
        <f>IF(A145="","",
SUM(
COUNTIFS('QA Log'!D:D,A145,'QA Log'!M:M,"Data Verification",'QA Log'!L:L,"*Medicine (section 2)*"),
COUNTIFS('QA Log'!D:D,A145,'QA Log'!M:M,"Data Verification",'QA Log'!L:L,"*Lab Testing Availability*"),
COUNTIFS('QA Log'!D:D,A145,'QA Log'!M:M,"Data Verification",'QA Log'!L:L,"*Other than P4P (section 6)*"),
COUNTIFS('QA Log'!D:D,A145,'QA Log'!M:M,"Data Verification",'QA Log'!L:L,"*Hospital Governance*")
))</f>
        <v/>
      </c>
      <c r="AF145" s="102" t="str">
        <f>IF(A145="","",
SUM(
COUNTIFS('QA Log'!D:D,A145,'QA Log'!M:M,"Data Verification",'QA Log'!Z:Z,"Approved",'QA Log'!L:L,"*Medicine (section 2)*"),
COUNTIFS('QA Log'!D:D,A145,'QA Log'!M:M,"Data Verification",'QA Log'!Z:Z,"Approved",'QA Log'!L:L,"*Lab Testing Availability*"),
COUNTIFS('QA Log'!D:D,A145,'QA Log'!M:M,"Data Verification",'QA Log'!Z:Z,"Approved",'QA Log'!L:L,"*Other than P4P (section 6)*"),
COUNTIFS('QA Log'!D:D,A145,'QA Log'!M:M,"Data Verification",'QA Log'!Z:Z,"Approved",'QA Log'!L:L,"*Hospital Governance*")
))</f>
        <v/>
      </c>
      <c r="AG145" s="105" t="str">
        <f>IF(A145&lt;&gt;"",COUNTIFS('QA Log'!D:D,A145,'QA Log'!M:M,"Data Verification",'QA Log'!L:L,"Medicine (section 2)",'QA Log'!Z:Z,"Approved"),"")</f>
        <v/>
      </c>
      <c r="AH145" s="105" t="str">
        <f>IF(A145&lt;&gt;"",COUNTIFS('QA Log'!D:D,A145,'QA Log'!M:M,"Data Verification",'QA Log'!L:L,"Lab Testing Availability",'QA Log'!Z:Z,"Approved"),"")</f>
        <v/>
      </c>
      <c r="AI145" s="105" t="str">
        <f>IF(A145&lt;&gt;"",COUNTIFS('QA Log'!D:D,A145,'QA Log'!M:M,"Data Verification",'QA Log'!L:L,"Other than P4P (section 6)",'QA Log'!Z:Z,"Approved"),"")</f>
        <v/>
      </c>
      <c r="AJ145" s="105" t="str">
        <f>IF(A145&lt;&gt;"",COUNTIFS('QA Log'!D:D,A145,'QA Log'!M:M,"Data Verification",'QA Log'!L:L,"Hospital Governance",'QA Log'!Z:Z,"Approved"),"")</f>
        <v/>
      </c>
      <c r="AK145" s="102" t="str">
        <f>IF(A145="","",
SUM(
COUNTIFS('QA Log'!D:D,A145,'QA Log'!M:M,"Data Verification",'QA Log'!Z:Z,"Rejected",'QA Log'!L:L,"*Medicine (section 2)*"),
COUNTIFS('QA Log'!D:D,A145,'QA Log'!M:M,"Data Verification",'QA Log'!Z:Z,"Rejected",'QA Log'!L:L,"*Lab Testing Availability*"),
COUNTIFS('QA Log'!D:D,A145,'QA Log'!M:M,"Data Verification",'QA Log'!Z:Z,"Rejected",'QA Log'!L:L,"*Other than P4P (section 6)*"),
COUNTIFS('QA Log'!D:D,A145,'QA Log'!M:M,"Data Verification",'QA Log'!Z:Z,"Rejected",'QA Log'!L:L,"*Hospital Governance*")
))</f>
        <v/>
      </c>
      <c r="AL145" s="106" t="str">
        <f t="shared" si="5"/>
        <v/>
      </c>
      <c r="AM145" s="102" t="str">
        <f t="shared" si="6"/>
        <v/>
      </c>
      <c r="AN145" s="102" t="str">
        <f>IF(A145="","",
SUM(
COUNTIFS('QA Log'!D:D,A145,'QA Log'!M:M,"Data Verification",'QA Log'!L:L,"*Personnel (section 1)*"),
COUNTIFS('QA Log'!D:D,A145,'QA Log'!M:M,"Data Verification",'QA Log'!L:L,"*Consumable (section 3)*"),
COUNTIFS('QA Log'!D:D,A145,'QA Log'!M:M,"Data Verification",'QA Log'!L:L,"*Equipments (section 4)*")
))</f>
        <v/>
      </c>
      <c r="AO145" s="102" t="str">
        <f>IF(A145="","",
SUM(
COUNTIFS('QA Log'!D:D,A145,'QA Log'!M:M,"Data Verification",'QA Log'!Z:Z,"Approved",'QA Log'!L:L,"*Personnel (section 1)*"),
COUNTIFS('QA Log'!D:D,A145,'QA Log'!M:M,"Data Verification",'QA Log'!Z:Z,"Approved",'QA Log'!L:L,"*Consumable (section 3)*"),
COUNTIFS('QA Log'!D:D,A145,'QA Log'!M:M,"Data Verification",'QA Log'!Z:Z,"Approved",'QA Log'!L:L,"*Equipments (section 4)*")
))</f>
        <v/>
      </c>
      <c r="AP145" s="105" t="str">
        <f>IF(A145&lt;&gt;"",COUNTIFS('QA Log'!D:D,A145,'QA Log'!M:M,"Data Verification",'QA Log'!L:L,"Personnel (section 1)",'QA Log'!Z:Z,"Approved"),"")</f>
        <v/>
      </c>
      <c r="AQ145" s="105" t="str">
        <f>IF(A145&lt;&gt;"",COUNTIFS('QA Log'!D:D,A145,'QA Log'!M:M,"Data Verification",'QA Log'!L:L,"Consumable (section 3)",'QA Log'!Z:Z,"Approved"),"")</f>
        <v/>
      </c>
      <c r="AR145" s="105" t="str">
        <f>IF(A145&lt;&gt;"",COUNTIFS('QA Log'!D:D,A145,'QA Log'!M:M,"Data Verification",'QA Log'!L:L,"Equipments (section 4)",'QA Log'!Z:Z,"Approved"),"")</f>
        <v/>
      </c>
      <c r="AS145" s="102" t="str">
        <f>IF(A145="","",
SUM(
COUNTIFS('QA Log'!D:D,A145,'QA Log'!M:M,"Data Verification",'QA Log'!Z:Z,"Rejected",'QA Log'!L:L,"*Personnel (section 1)*"),
COUNTIFS('QA Log'!D:D,A145,'QA Log'!M:M,"Data Verification",'QA Log'!Z:Z,"Rejected",'QA Log'!L:L,"*Consumable (section 3)*"),
COUNTIFS('QA Log'!D:D,A145,'QA Log'!M:M,"Data Verification",'QA Log'!Z:Z,"Rejected",'QA Log'!L:L,"*Equipments (section 4)*")
))</f>
        <v/>
      </c>
      <c r="AT145" s="102" t="str">
        <f t="shared" si="7"/>
        <v/>
      </c>
      <c r="AU145" s="103" t="str">
        <f t="shared" si="8"/>
        <v/>
      </c>
      <c r="AV145" s="102" t="str">
        <f>IF(A145="","",SUM(
COUNTIFS('QA Log'!D:D,A145,'QA Log'!M:M,"Vignette",'QA Log'!L:L,"*Vignette [1] Respiratory Infection: Pneumonia*"),
COUNTIFS('QA Log'!D:D,A145,'QA Log'!M:M,"Vignette",'QA Log'!L:L,"*Vignette [2]: Diarrhea with Cat B dehydration*"),
COUNTIFS('QA Log'!D:D,A145,'QA Log'!M:M,"Vignette",'QA Log'!L:L,"*Vignette [3] Growth Monitoring and Promotion*"),
COUNTIFS('QA Log'!D:D,A145,'QA Log'!M:M,"Vignette",'QA Log'!L:L,"*Vignette [4]: The management of presumptive TB patient*")
)
)</f>
        <v/>
      </c>
      <c r="AW145" s="102" t="str">
        <f>IF(
  A145="","",
  SUM(
    COUNTIFS('QA Log'!D:D,A145,'QA Log'!M:M,"Vignette",'QA Log'!Z:Z,"Approved",'QA Log'!L:L,"*Vignette [1] Respiratory Infection: Pneumonia*"),
    COUNTIFS('QA Log'!D:D,A145,'QA Log'!M:M,"Vignette",'QA Log'!Z:Z,"Approved",'QA Log'!L:L,"*Vignette [2]: Diarrhea with Cat B dehydration*"),
    COUNTIFS('QA Log'!D:D,A145,'QA Log'!M:M,"Vignette",'QA Log'!Z:Z,"Approved",'QA Log'!L:L,"*Vignette [3] Growth Monitoring and Promotion*"),
    COUNTIFS('QA Log'!D:D,A145,'QA Log'!M:M,"Vignette",'QA Log'!Z:Z,"Approved",'QA Log'!L:L,"*Vignette [4]: The management of presumptive TB patient*")
  )
)</f>
        <v/>
      </c>
      <c r="AX145" s="105" t="str">
        <f>IF(A145&lt;&gt;"",COUNTIFS('QA Log'!D:D,A145,'QA Log'!M:M,"Vignette",'QA Log'!L:L,"Vignette [1] Respiratory Infection: Pneumonia",'QA Log'!Z:Z,"Approved"),"")</f>
        <v/>
      </c>
      <c r="AY145" s="105" t="str">
        <f>IF(A145&lt;&gt;"",COUNTIFS('QA Log'!D:D,A145,'QA Log'!M:M,"Vignette",'QA Log'!L:L,"Vignette [2]: Diarrhea with Cat B dehydration",'QA Log'!Z:Z,"Approved"),"")</f>
        <v/>
      </c>
      <c r="AZ145" s="105" t="str">
        <f>IF(A145&lt;&gt;"",COUNTIFS('QA Log'!D:D,A145,'QA Log'!M:M,"Vignette",'QA Log'!L:L,"Vignette [3] Growth Monitoring and Promotion",'QA Log'!Z:Z,"Approved"),"")</f>
        <v/>
      </c>
      <c r="BA145" s="105" t="str">
        <f>IF(A145&lt;&gt;"",COUNTIFS('QA Log'!D:D,A145,'QA Log'!M:M,"Vignette",'QA Log'!L:L,"Vignette [4]: The management of presumptive TB patient",'QA Log'!Z:Z,"Approved"),"")</f>
        <v/>
      </c>
      <c r="BB145" s="102" t="str">
        <f>IF(A145="","",
  SUM(
    COUNTIFS('QA Log'!D:D,A145,'QA Log'!M:M,"Vignette",'QA Log'!Z:Z,"Rejected",'QA Log'!L:L,"*Vignette [1] Respiratory Infection: Pneumonia*"),
    COUNTIFS('QA Log'!D:D,A145,'QA Log'!M:M,"Vignette",'QA Log'!Z:Z,"Rejected",'QA Log'!L:L,"*Vignette [2]: Diarrhea with Cat B dehydration*"),
    COUNTIFS('QA Log'!D:D,A145,'QA Log'!M:M,"Vignette",'QA Log'!Z:Z,"Rejected",'QA Log'!L:L,"*Vignette [3] Growth Monitoring and Promotion*"),
    COUNTIFS('QA Log'!D:D,A145,'QA Log'!M:M,"Vignette",'QA Log'!Z:Z,"Rejected",'QA Log'!L:L,"*Vignette [4]: The management of presumptive TB patient*")
  )
)</f>
        <v/>
      </c>
      <c r="BC145" s="107" t="str">
        <f t="shared" si="9"/>
        <v/>
      </c>
      <c r="BD145" s="103" t="str">
        <f t="shared" si="10"/>
        <v/>
      </c>
      <c r="BE145" s="102" t="str">
        <f>IF(A145="","",SUM(
COUNTIFS('QA Log'!D:D,A145,'QA Log'!M:M,"Vignette",'QA Log'!L:L,"*Vignette [5] Labor*"),
COUNTIFS('QA Log'!D:D,A145,'QA Log'!M:M,"Vignette",'QA Log'!L:L,"*Vignette [6] PNC pre Discharge*"),
COUNTIFS('QA Log'!D:D,A145,'QA Log'!M:M,"Vignette",'QA Log'!L:L,"*Vignette [7] First ANC Visit*"),
COUNTIFS('QA Log'!D:D,A145,'QA Log'!M:M,"Vignette",'QA Log'!L:L,"*Vignette [8] Birth Spacing/ Family Planning :  FP Counselling*"),
COUNTIFS('QA Log'!D:D,A145,'QA Log'!M:M,"Vignette",'QA Log'!L:L,"*Vignette [9] Birth Spacing: Change FP method to Injectable*"),
COUNTIFS('QA Log'!D:D,A145,'QA Log'!M:M,"Vignette",'QA Log'!L:L,"*Vignette [10] Post Partum Haemorrhage - Atonic Uterus at Health Centre*"),
)
)</f>
        <v/>
      </c>
      <c r="BF145" s="102" t="str">
        <f>IF(A145="","",
  SUM(
    COUNTIFS('QA Log'!D:D,A145,'QA Log'!M:M,"Vignette",'QA Log'!Z:Z,"Approved",'QA Log'!L:L,"*Vignette [5] Labor*"),
    COUNTIFS('QA Log'!D:D,A145,'QA Log'!M:M,"Vignette",'QA Log'!Z:Z,"Approved",'QA Log'!L:L,"*Vignette [6] PNC pre Discharge*"),
    COUNTIFS('QA Log'!D:D,A145,'QA Log'!M:M,"Vignette",'QA Log'!Z:Z,"Approved",'QA Log'!L:L,"*Vignette [7] First ANC Visit*"),
    COUNTIFS('QA Log'!D:D,A145,'QA Log'!M:M,"Vignette",'QA Log'!Z:Z,"Approved",'QA Log'!L:L,"*Vignette [8] Birth Spacing/ Family Planning :  FP Counselling*"),
    COUNTIFS('QA Log'!D:D,A145,'QA Log'!M:M,"Vignette",'QA Log'!Z:Z,"Approved",'QA Log'!L:L,"*Vignette [9] Birth Spacing: Change FP method to Injectable*"),
    COUNTIFS('QA Log'!D:D,A145,'QA Log'!M:M,"Vignette",'QA Log'!Z:Z,"Approved",'QA Log'!L:L,"*Vignette [10] Post Partum Haemorrhage - Atonic Uterus at Health Centre*")
  )
)</f>
        <v/>
      </c>
      <c r="BG145" s="105" t="str">
        <f>IF(A145&lt;&gt;"",COUNTIFS('QA Log'!D:D,A145,'QA Log'!M:M,"Vignette",'QA Log'!L:L,"Vignette [5] Labor",'QA Log'!Z:Z,"Approved"),"")</f>
        <v/>
      </c>
      <c r="BH145" s="105" t="str">
        <f>IF(A145&lt;&gt;"",COUNTIFS('QA Log'!D:D,A145,'QA Log'!M:M,"Vignette",'QA Log'!L:L,"Vignette [6] PNC pre Discharge",'QA Log'!Z:Z,"Approved"),"")</f>
        <v/>
      </c>
      <c r="BI145" s="105" t="str">
        <f>IF(A145&lt;&gt;"",COUNTIFS('QA Log'!D:D,A145,'QA Log'!M:M,"Vignette",'QA Log'!L:L,"Vignette [7] First ANC Visit",'QA Log'!Z:Z,"Approved"),"")</f>
        <v/>
      </c>
      <c r="BJ145" s="105" t="str">
        <f>IF(A145&lt;&gt;"",COUNTIFS('QA Log'!D:D,A145,'QA Log'!M:M,"Vignette",'QA Log'!L:L,"Vignette [8] Birth Spacing/ Family Planning :  FP Counselling",'QA Log'!Z:Z,"Approved"),"")</f>
        <v/>
      </c>
      <c r="BK145" s="105" t="str">
        <f>IF(A145&lt;&gt;"",COUNTIFS('QA Log'!D:D,A145,'QA Log'!M:M,"Vignette",'QA Log'!L:L,"Vignette [9] Birth Spacing: Change FP method to Injectable",'QA Log'!Z:Z,"Approved"),"")</f>
        <v/>
      </c>
      <c r="BL145" s="105" t="str">
        <f>IF(A145&lt;&gt;"",COUNTIFS('QA Log'!D:D,A145,'QA Log'!M:M,"Vignette",'QA Log'!L:L,"Vignette [10] Post Partum Haemorrhage - Atonic Uterus at Health Centre",'QA Log'!Z:Z,"Approved"),"")</f>
        <v/>
      </c>
      <c r="BM145" s="102" t="str">
        <f>IF(A145="","",SUM(
    COUNTIFS('QA Log'!D:D,A145,'QA Log'!M:M,"Vignette",'QA Log'!Z:Z,"Rejected",'QA Log'!L:L,"*Vignette [5] Labor*"),
    COUNTIFS('QA Log'!D:D,A145,'QA Log'!M:M,"Vignette",'QA Log'!Z:Z,"Rejected",'QA Log'!L:L,"*Vignette [6] PNC pre Discharge*"),
    COUNTIFS('QA Log'!D:D,A145,'QA Log'!M:M,"Vignette",'QA Log'!Z:Z,"Rejected",'QA Log'!L:L,"*Vignette [7] First ANC Visit*"),
    COUNTIFS('QA Log'!D:D,A145,'QA Log'!M:M,"Vignette",'QA Log'!Z:Z,"Rejected",'QA Log'!L:L,"*Vignette [8] Birth Spacing/ Family Planning :  FP Counselling*"),
    COUNTIFS('QA Log'!D:D,A145,'QA Log'!M:M,"Vignette",'QA Log'!Z:Z,"Rejected",'QA Log'!L:L,"*Vignette [9] Birth Spacing: Change FP method to Injectable*"),
    COUNTIFS('QA Log'!D:D,A145,'QA Log'!M:M,"Vignette",'QA Log'!Z:Z,"Rejected",'QA Log'!L:L,"*Vignette [10] Post Partum Haemorrhage - Atonic Uterus at Health Centre*")
  )
)</f>
        <v/>
      </c>
      <c r="BN145" s="107" t="str">
        <f t="shared" si="11"/>
        <v/>
      </c>
      <c r="BO145" s="103" t="str">
        <f t="shared" si="12"/>
        <v/>
      </c>
      <c r="BP145" s="102" t="str">
        <f>IF(A145="","",SUM(
COUNTIFS('QA Log'!D:D,A145,'QA Log'!M:M,"Vignette",'QA Log'!L:L,"*Exit Interview 1*"),
COUNTIFS('QA Log'!D:D,A145,'QA Log'!M:M,"Vignette",'QA Log'!L:L,"*Exit Interview 2*"),
)
)</f>
        <v/>
      </c>
      <c r="BQ145" s="102" t="str">
        <f>IF(
  A145="","",
  SUM(
    COUNTIFS('QA Log'!D:D,A145,'QA Log'!M:M,"Vignette",'QA Log'!Z:Z,"Approved",'QA Log'!L:L,"*Exit Interview 1*"),
    COUNTIFS('QA Log'!D:D,A145,'QA Log'!M:M,"Vignette",'QA Log'!Z:Z,"Approved",'QA Log'!L:L,"*Exit Interview 2*")
  )
)</f>
        <v/>
      </c>
      <c r="BR145" s="105" t="str">
        <f>IF(A145&lt;&gt;"",COUNTIFS('QA Log'!D:D,A145,'QA Log'!M:M,"Vignette",'QA Log'!L:L,"Exit Interview 1",'QA Log'!Z:Z,"Approved"),"")</f>
        <v/>
      </c>
      <c r="BS145" s="105" t="str">
        <f>IF(A145&lt;&gt;"",COUNTIFS('QA Log'!D:D,A145,'QA Log'!M:M,"Vignette",'QA Log'!L:L,"Exit Interview 2",'QA Log'!Z:Z,"Approved"),"")</f>
        <v/>
      </c>
      <c r="BT145" s="102" t="str">
        <f>IF(
  A145="","",
  SUM(
    COUNTIFS('QA Log'!D:D,A145,'QA Log'!M:M,"Vignette",'QA Log'!Z:Z,"Rejected",'QA Log'!L:L,"*Exit Interview 1*"),
    COUNTIFS('QA Log'!D:D,A145,'QA Log'!M:M,"Vignette",'QA Log'!Z:Z,"Rejected",'QA Log'!L:L,"*Exit Interview 2*")
  )
)</f>
        <v/>
      </c>
      <c r="BU145" s="107" t="str">
        <f t="shared" si="13"/>
        <v/>
      </c>
      <c r="BV145" s="102" t="str">
        <f t="shared" si="14"/>
        <v/>
      </c>
      <c r="BW145" s="102" t="str">
        <f t="shared" si="15"/>
        <v/>
      </c>
      <c r="BX145" s="102" t="str">
        <f t="shared" si="16"/>
        <v/>
      </c>
      <c r="BY145" s="102" t="str">
        <f t="shared" si="17"/>
        <v/>
      </c>
      <c r="BZ145" s="107" t="str">
        <f t="shared" si="18"/>
        <v/>
      </c>
      <c r="CA145" s="108" t="str">
        <f t="shared" si="19"/>
        <v/>
      </c>
      <c r="CB145" s="108" t="str">
        <f t="shared" si="20"/>
        <v/>
      </c>
      <c r="CC145" s="109" t="str">
        <f t="shared" si="21"/>
        <v/>
      </c>
      <c r="CD145" s="108" t="str">
        <f t="shared" si="22"/>
        <v/>
      </c>
      <c r="CE145" s="108" t="str">
        <f t="shared" si="23"/>
        <v/>
      </c>
      <c r="CF145" s="109" t="str">
        <f t="shared" si="24"/>
        <v/>
      </c>
      <c r="CG145" s="110" t="str">
        <f t="shared" si="25"/>
        <v/>
      </c>
      <c r="CH145" s="111"/>
    </row>
    <row r="146" spans="1:86" ht="12.75">
      <c r="A146" s="101"/>
      <c r="B146" s="102" t="e">
        <f t="array" aca="1" ref="B146" ca="1">_xludf.XLOOKUP(A146,'QA Log'!D:D,'QA Log'!E:E,"")</f>
        <v>#NAME?</v>
      </c>
      <c r="C146" s="102" t="e">
        <f t="array" aca="1" ref="C146" ca="1">_xludf.XLOOKUP(A146,'QA Log'!D:D,'QA Log'!F:F,"")</f>
        <v>#NAME?</v>
      </c>
      <c r="D146" s="102" t="e">
        <f t="array" aca="1" ref="D146" ca="1">_xludf.XLOOKUP(A146,'QA Log'!D:D,'QA Log'!H:H,"")</f>
        <v>#NAME?</v>
      </c>
      <c r="E146" s="102" t="e">
        <f t="array" aca="1" ref="E146" ca="1">_xludf.XLOOKUP(A146,'QA Log'!D:D,'QA Log'!G:G,"")</f>
        <v>#NAME?</v>
      </c>
      <c r="F146" s="103"/>
      <c r="G146" s="104"/>
      <c r="H146" s="104"/>
      <c r="I146" s="103" t="str">
        <f t="shared" si="0"/>
        <v/>
      </c>
      <c r="J146" s="102" t="str">
        <f>IF(A146="","",SUM(
COUNTIFS('QA Log'!D:D,A146,'QA Log'!M:M,"QQC",'QA Log'!L:L,"*1. General Management*"),
COUNTIFS('QA Log'!D:D,A146,'QA Log'!M:M,"QQC",'QA Log'!L:L,"*3. Curative Consultation (OPD)*"),
COUNTIFS('QA Log'!D:D,A146,'QA Log'!M:M,"QQC",'QA Log'!L:L,"*5. Laboratory*"),
COUNTIFS('QA Log'!D:D,A146,'QA Log'!M:M,"QQC",'QA Log'!L:L,"*6. Essential Medicine Management*"),
COUNTIFS('QA Log'!D:D,A146,'QA Log'!M:M,"QQC",'QA Log'!L:L,"*7. Tracer Medicine*"),
COUNTIFS('QA Log'!D:D,A146,'QA Log'!M:M,"QQC",'QA Log'!L:L,"*11. Additional Questions*")))</f>
        <v/>
      </c>
      <c r="K146" s="102" t="str">
        <f>IF(A146="","",SUM(
COUNTIFS('QA Log'!D:D,A146,'QA Log'!M:M,"QQC",'QA Log'!Z:Z,"Approved",'QA Log'!L:L,"*1. General Management*"),
COUNTIFS('QA Log'!D:D,A146,'QA Log'!M:M,"QQC",'QA Log'!Z:Z,"Approved",'QA Log'!L:L,"*3. Curative Consultation (OPD)*"),
COUNTIFS('QA Log'!D:D,A146,'QA Log'!M:M,"QQC",'QA Log'!Z:Z,"Approved",'QA Log'!L:L,"*5. Laboratory*"),
COUNTIFS('QA Log'!D:D,A146,'QA Log'!M:M,"QQC",'QA Log'!Z:Z,"Approved",'QA Log'!L:L,"*6. Essential Medicine Management*"),
COUNTIFS('QA Log'!D:D,A146,'QA Log'!M:M,"QQC",'QA Log'!Z:Z,"Approved",'QA Log'!L:L,"*7. Tracer Medicine*"),
COUNTIFS('QA Log'!D:D,A146,'QA Log'!M:M,"QQC",'QA Log'!Z:Z,"Approved",'QA Log'!L:L,"*11. Additional Questions*")))</f>
        <v/>
      </c>
      <c r="L146" s="105" t="str">
        <f>IF(A146&lt;&gt;"",COUNTIFS('QA Log'!D:D,A146,'QA Log'!M:M,"QQC",'QA Log'!L:L,"1. General Management",'QA Log'!Z:Z,"Approved"),"")</f>
        <v/>
      </c>
      <c r="M146" s="105" t="str">
        <f>IF(A146&lt;&gt;"",COUNTIFS('QA Log'!D:D,A146,'QA Log'!M:M,"QQC",'QA Log'!L:L,"3. Curative Consultation (OPD)",'QA Log'!Z:Z,"Approved"),"")</f>
        <v/>
      </c>
      <c r="N146" s="105" t="str">
        <f>IF(A146&lt;&gt;"",COUNTIFS('QA Log'!D:D,A146,'QA Log'!M:M,"QQC",'QA Log'!L:L,"5. Laboratory",'QA Log'!Z:Z,"Approved"),"")</f>
        <v/>
      </c>
      <c r="O146" s="105" t="str">
        <f>IF(A146&lt;&gt;"",COUNTIFS('QA Log'!D:D,A146,'QA Log'!M:M,"QQC",'QA Log'!L:L,"6. Essential Medicine Management",'QA Log'!Z:Z,"Approved"),"")</f>
        <v/>
      </c>
      <c r="P146" s="105" t="str">
        <f>IF(A146&lt;&gt;"",COUNTIFS('QA Log'!D:D,A146,'QA Log'!M:M,"QQC",'QA Log'!L:L,"7. Tracer Medicine",'QA Log'!Z:Z,"Approved"),"")</f>
        <v/>
      </c>
      <c r="Q146" s="105" t="str">
        <f>IF(A146&lt;&gt;"",COUNTIFS('QA Log'!D:D,A146,'QA Log'!M:M,"QQC",'QA Log'!L:L,"11. Additional Questions",'QA Log'!Z:Z,"Approved"),"")</f>
        <v/>
      </c>
      <c r="R146" s="102" t="str">
        <f>IF(A146="","",SUM(
COUNTIFS('QA Log'!D:D,A146,'QA Log'!M:M,"QQC",'QA Log'!Z:Z,"Rejected",'QA Log'!L:L,"*8. Maternity*"),
COUNTIFS('QA Log'!D:D,A146,'QA Log'!M:M,"QQC",'QA Log'!Z:Z,"Rejected",'QA Log'!L:L,"*EPI*"),
COUNTIFS('QA Log'!D:D,A146,'QA Log'!M:M,"QQC",'QA Log'!Z:Z,"Rejected",'QA Log'!L:L,"*10. Antenatal Care (ANC)*"),
COUNTIFS('QA Log'!D:D,A146,'QA Log'!M:M,"QQC",'QA Log'!Z:Z,"Rejected",'QA Log'!L:L,"*2. Hygiene and Sterilization*"),
COUNTIFS('QA Log'!D:D,A146,'QA Log'!M:M,"QQC",'QA Log'!Z:Z,"Rejected",'QA Log'!L:L,"*Family Planning*")))</f>
        <v/>
      </c>
      <c r="S146" s="106" t="str">
        <f t="shared" si="1"/>
        <v/>
      </c>
      <c r="T146" s="102" t="str">
        <f t="shared" si="2"/>
        <v/>
      </c>
      <c r="U146" s="102" t="str">
        <f>IF(A146="","",
SUM(
COUNTIFS('QA Log'!D:D,A146,'QA Log'!M:M,"QQC",'QA Log'!L:L,"*8. Maternity*"),
COUNTIFS('QA Log'!D:D,A146,'QA Log'!M:M,"QQC",'QA Log'!L:L,"*9. EPI and Pre-school Consultation*"),
COUNTIFS('QA Log'!D:D,A146,'QA Log'!M:M,"QQC",'QA Log'!L:L,"*10. Antenatal Care (ANC)*"),
COUNTIFS('QA Log'!D:D,A146,'QA Log'!M:M,"QQC",'QA Log'!L:L,"*2. Hygiene and Sterilization*"),
COUNTIFS('QA Log'!D:D,A146,'QA Log'!M:M,"QQC",'QA Log'!L:L,"*4. Family Planning*")
))</f>
        <v/>
      </c>
      <c r="V146" s="102" t="str">
        <f>IF(A146="","",
SUM(
COUNTIFS('QA Log'!D:D,A146,'QA Log'!M:M,"QQC",'QA Log'!Z:Z,"Approved",'QA Log'!L:L,"*8. Maternity*"),
COUNTIFS('QA Log'!D:D,A146,'QA Log'!M:M,"QQC",'QA Log'!Z:Z,"Approved",'QA Log'!L:L,"*9. EPI and Pre-school Consultation*"),
COUNTIFS('QA Log'!D:D,A146,'QA Log'!M:M,"QQC",'QA Log'!Z:Z,"Approved",'QA Log'!L:L,"*10. Antenatal Care (ANC)*"),
COUNTIFS('QA Log'!D:D,A146,'QA Log'!M:M,"QQC",'QA Log'!Z:Z,"Approved",'QA Log'!L:L,"*2. Hygiene and Sterilization*"),
COUNTIFS('QA Log'!D:D,A146,'QA Log'!M:M,"QQC",'QA Log'!Z:Z,"Approved",'QA Log'!L:L,"*4. Family Planning*")
))</f>
        <v/>
      </c>
      <c r="W146" s="105" t="str">
        <f>IF(A146&lt;&gt;"",COUNTIFS('QA Log'!D:D,A146,'QA Log'!M:M,"QQC",'QA Log'!L:L,"8. Maternity",'QA Log'!Z:Z,"Approved"),"")</f>
        <v/>
      </c>
      <c r="X146" s="105" t="str">
        <f>IF(A146&lt;&gt;"",COUNTIFS('QA Log'!D:D,A146,'QA Log'!M:M,"QQC",'QA Log'!L:L,"9. EPI and Pre-school Consultation",'QA Log'!Z:Z,"Approved"),"")</f>
        <v/>
      </c>
      <c r="Y146" s="105" t="str">
        <f>IF(A146&lt;&gt;"",COUNTIFS('QA Log'!D:D,A146,'QA Log'!M:M,"QQC",'QA Log'!L:L,"10. Antenatal Care (ANC)",'QA Log'!Z:Z,"Approved"),"")</f>
        <v/>
      </c>
      <c r="Z146" s="105" t="str">
        <f>IF(A146&lt;&gt;"",COUNTIFS('QA Log'!D:D,A146,'QA Log'!M:M,"QQC",'QA Log'!L:L,"2. Hygiene and Sterilization",'QA Log'!Z:Z,"Approved"),"")</f>
        <v/>
      </c>
      <c r="AA146" s="105" t="str">
        <f>IF(A146&lt;&gt;"",COUNTIFS('QA Log'!D:D,A146,'QA Log'!M:M,"QQC",'QA Log'!L:L,"4. Family Planning",'QA Log'!Z:Z,"Approved"),"")</f>
        <v/>
      </c>
      <c r="AB146" s="102" t="str">
        <f>IF(A146="","",
SUM(
COUNTIFS('QA Log'!D:D,A146,'QA Log'!M:M,"QQC",'QA Log'!Z:Z,"Rejected",'QA Log'!L:L,"*8. Maternity*"),
COUNTIFS('QA Log'!D:D,A146,'QA Log'!M:M,"QQC",'QA Log'!Z:Z,"Rejected",'QA Log'!L:L,"*9. EPI and Pre-school Consultation*"),
COUNTIFS('QA Log'!D:D,A146,'QA Log'!M:M,"QQC",'QA Log'!Z:Z,"Rejected",'QA Log'!L:L,"*10. Antenatal Care (ANC)*"),
COUNTIFS('QA Log'!D:D,A146,'QA Log'!M:M,"QQC",'QA Log'!Z:Z,"Rejected",'QA Log'!L:L,"*2. Hygiene and Sterilization*"),
COUNTIFS('QA Log'!D:D,A146,'QA Log'!M:M,"QQC",'QA Log'!Z:Z,"Rejected",'QA Log'!L:L,"*4. Family Planning*")
))</f>
        <v/>
      </c>
      <c r="AC146" s="102" t="str">
        <f t="shared" si="3"/>
        <v/>
      </c>
      <c r="AD146" s="103" t="str">
        <f t="shared" si="4"/>
        <v/>
      </c>
      <c r="AE146" s="102" t="str">
        <f>IF(A146="","",
SUM(
COUNTIFS('QA Log'!D:D,A146,'QA Log'!M:M,"Data Verification",'QA Log'!L:L,"*Medicine (section 2)*"),
COUNTIFS('QA Log'!D:D,A146,'QA Log'!M:M,"Data Verification",'QA Log'!L:L,"*Lab Testing Availability*"),
COUNTIFS('QA Log'!D:D,A146,'QA Log'!M:M,"Data Verification",'QA Log'!L:L,"*Other than P4P (section 6)*"),
COUNTIFS('QA Log'!D:D,A146,'QA Log'!M:M,"Data Verification",'QA Log'!L:L,"*Hospital Governance*")
))</f>
        <v/>
      </c>
      <c r="AF146" s="102" t="str">
        <f>IF(A146="","",
SUM(
COUNTIFS('QA Log'!D:D,A146,'QA Log'!M:M,"Data Verification",'QA Log'!Z:Z,"Approved",'QA Log'!L:L,"*Medicine (section 2)*"),
COUNTIFS('QA Log'!D:D,A146,'QA Log'!M:M,"Data Verification",'QA Log'!Z:Z,"Approved",'QA Log'!L:L,"*Lab Testing Availability*"),
COUNTIFS('QA Log'!D:D,A146,'QA Log'!M:M,"Data Verification",'QA Log'!Z:Z,"Approved",'QA Log'!L:L,"*Other than P4P (section 6)*"),
COUNTIFS('QA Log'!D:D,A146,'QA Log'!M:M,"Data Verification",'QA Log'!Z:Z,"Approved",'QA Log'!L:L,"*Hospital Governance*")
))</f>
        <v/>
      </c>
      <c r="AG146" s="105" t="str">
        <f>IF(A146&lt;&gt;"",COUNTIFS('QA Log'!D:D,A146,'QA Log'!M:M,"Data Verification",'QA Log'!L:L,"Medicine (section 2)",'QA Log'!Z:Z,"Approved"),"")</f>
        <v/>
      </c>
      <c r="AH146" s="105" t="str">
        <f>IF(A146&lt;&gt;"",COUNTIFS('QA Log'!D:D,A146,'QA Log'!M:M,"Data Verification",'QA Log'!L:L,"Lab Testing Availability",'QA Log'!Z:Z,"Approved"),"")</f>
        <v/>
      </c>
      <c r="AI146" s="105" t="str">
        <f>IF(A146&lt;&gt;"",COUNTIFS('QA Log'!D:D,A146,'QA Log'!M:M,"Data Verification",'QA Log'!L:L,"Other than P4P (section 6)",'QA Log'!Z:Z,"Approved"),"")</f>
        <v/>
      </c>
      <c r="AJ146" s="105" t="str">
        <f>IF(A146&lt;&gt;"",COUNTIFS('QA Log'!D:D,A146,'QA Log'!M:M,"Data Verification",'QA Log'!L:L,"Hospital Governance",'QA Log'!Z:Z,"Approved"),"")</f>
        <v/>
      </c>
      <c r="AK146" s="102" t="str">
        <f>IF(A146="","",
SUM(
COUNTIFS('QA Log'!D:D,A146,'QA Log'!M:M,"Data Verification",'QA Log'!Z:Z,"Rejected",'QA Log'!L:L,"*Medicine (section 2)*"),
COUNTIFS('QA Log'!D:D,A146,'QA Log'!M:M,"Data Verification",'QA Log'!Z:Z,"Rejected",'QA Log'!L:L,"*Lab Testing Availability*"),
COUNTIFS('QA Log'!D:D,A146,'QA Log'!M:M,"Data Verification",'QA Log'!Z:Z,"Rejected",'QA Log'!L:L,"*Other than P4P (section 6)*"),
COUNTIFS('QA Log'!D:D,A146,'QA Log'!M:M,"Data Verification",'QA Log'!Z:Z,"Rejected",'QA Log'!L:L,"*Hospital Governance*")
))</f>
        <v/>
      </c>
      <c r="AL146" s="106" t="str">
        <f t="shared" si="5"/>
        <v/>
      </c>
      <c r="AM146" s="102" t="str">
        <f t="shared" si="6"/>
        <v/>
      </c>
      <c r="AN146" s="102" t="str">
        <f>IF(A146="","",
SUM(
COUNTIFS('QA Log'!D:D,A146,'QA Log'!M:M,"Data Verification",'QA Log'!L:L,"*Personnel (section 1)*"),
COUNTIFS('QA Log'!D:D,A146,'QA Log'!M:M,"Data Verification",'QA Log'!L:L,"*Consumable (section 3)*"),
COUNTIFS('QA Log'!D:D,A146,'QA Log'!M:M,"Data Verification",'QA Log'!L:L,"*Equipments (section 4)*")
))</f>
        <v/>
      </c>
      <c r="AO146" s="102" t="str">
        <f>IF(A146="","",
SUM(
COUNTIFS('QA Log'!D:D,A146,'QA Log'!M:M,"Data Verification",'QA Log'!Z:Z,"Approved",'QA Log'!L:L,"*Personnel (section 1)*"),
COUNTIFS('QA Log'!D:D,A146,'QA Log'!M:M,"Data Verification",'QA Log'!Z:Z,"Approved",'QA Log'!L:L,"*Consumable (section 3)*"),
COUNTIFS('QA Log'!D:D,A146,'QA Log'!M:M,"Data Verification",'QA Log'!Z:Z,"Approved",'QA Log'!L:L,"*Equipments (section 4)*")
))</f>
        <v/>
      </c>
      <c r="AP146" s="105" t="str">
        <f>IF(A146&lt;&gt;"",COUNTIFS('QA Log'!D:D,A146,'QA Log'!M:M,"Data Verification",'QA Log'!L:L,"Personnel (section 1)",'QA Log'!Z:Z,"Approved"),"")</f>
        <v/>
      </c>
      <c r="AQ146" s="105" t="str">
        <f>IF(A146&lt;&gt;"",COUNTIFS('QA Log'!D:D,A146,'QA Log'!M:M,"Data Verification",'QA Log'!L:L,"Consumable (section 3)",'QA Log'!Z:Z,"Approved"),"")</f>
        <v/>
      </c>
      <c r="AR146" s="105" t="str">
        <f>IF(A146&lt;&gt;"",COUNTIFS('QA Log'!D:D,A146,'QA Log'!M:M,"Data Verification",'QA Log'!L:L,"Equipments (section 4)",'QA Log'!Z:Z,"Approved"),"")</f>
        <v/>
      </c>
      <c r="AS146" s="102" t="str">
        <f>IF(A146="","",
SUM(
COUNTIFS('QA Log'!D:D,A146,'QA Log'!M:M,"Data Verification",'QA Log'!Z:Z,"Rejected",'QA Log'!L:L,"*Personnel (section 1)*"),
COUNTIFS('QA Log'!D:D,A146,'QA Log'!M:M,"Data Verification",'QA Log'!Z:Z,"Rejected",'QA Log'!L:L,"*Consumable (section 3)*"),
COUNTIFS('QA Log'!D:D,A146,'QA Log'!M:M,"Data Verification",'QA Log'!Z:Z,"Rejected",'QA Log'!L:L,"*Equipments (section 4)*")
))</f>
        <v/>
      </c>
      <c r="AT146" s="102" t="str">
        <f t="shared" si="7"/>
        <v/>
      </c>
      <c r="AU146" s="103" t="str">
        <f t="shared" si="8"/>
        <v/>
      </c>
      <c r="AV146" s="102" t="str">
        <f>IF(A146="","",SUM(
COUNTIFS('QA Log'!D:D,A146,'QA Log'!M:M,"Vignette",'QA Log'!L:L,"*Vignette [1] Respiratory Infection: Pneumonia*"),
COUNTIFS('QA Log'!D:D,A146,'QA Log'!M:M,"Vignette",'QA Log'!L:L,"*Vignette [2]: Diarrhea with Cat B dehydration*"),
COUNTIFS('QA Log'!D:D,A146,'QA Log'!M:M,"Vignette",'QA Log'!L:L,"*Vignette [3] Growth Monitoring and Promotion*"),
COUNTIFS('QA Log'!D:D,A146,'QA Log'!M:M,"Vignette",'QA Log'!L:L,"*Vignette [4]: The management of presumptive TB patient*")
)
)</f>
        <v/>
      </c>
      <c r="AW146" s="102" t="str">
        <f>IF(
  A146="","",
  SUM(
    COUNTIFS('QA Log'!D:D,A146,'QA Log'!M:M,"Vignette",'QA Log'!Z:Z,"Approved",'QA Log'!L:L,"*Vignette [1] Respiratory Infection: Pneumonia*"),
    COUNTIFS('QA Log'!D:D,A146,'QA Log'!M:M,"Vignette",'QA Log'!Z:Z,"Approved",'QA Log'!L:L,"*Vignette [2]: Diarrhea with Cat B dehydration*"),
    COUNTIFS('QA Log'!D:D,A146,'QA Log'!M:M,"Vignette",'QA Log'!Z:Z,"Approved",'QA Log'!L:L,"*Vignette [3] Growth Monitoring and Promotion*"),
    COUNTIFS('QA Log'!D:D,A146,'QA Log'!M:M,"Vignette",'QA Log'!Z:Z,"Approved",'QA Log'!L:L,"*Vignette [4]: The management of presumptive TB patient*")
  )
)</f>
        <v/>
      </c>
      <c r="AX146" s="105" t="str">
        <f>IF(A146&lt;&gt;"",COUNTIFS('QA Log'!D:D,A146,'QA Log'!M:M,"Vignette",'QA Log'!L:L,"Vignette [1] Respiratory Infection: Pneumonia",'QA Log'!Z:Z,"Approved"),"")</f>
        <v/>
      </c>
      <c r="AY146" s="105" t="str">
        <f>IF(A146&lt;&gt;"",COUNTIFS('QA Log'!D:D,A146,'QA Log'!M:M,"Vignette",'QA Log'!L:L,"Vignette [2]: Diarrhea with Cat B dehydration",'QA Log'!Z:Z,"Approved"),"")</f>
        <v/>
      </c>
      <c r="AZ146" s="105" t="str">
        <f>IF(A146&lt;&gt;"",COUNTIFS('QA Log'!D:D,A146,'QA Log'!M:M,"Vignette",'QA Log'!L:L,"Vignette [3] Growth Monitoring and Promotion",'QA Log'!Z:Z,"Approved"),"")</f>
        <v/>
      </c>
      <c r="BA146" s="105" t="str">
        <f>IF(A146&lt;&gt;"",COUNTIFS('QA Log'!D:D,A146,'QA Log'!M:M,"Vignette",'QA Log'!L:L,"Vignette [4]: The management of presumptive TB patient",'QA Log'!Z:Z,"Approved"),"")</f>
        <v/>
      </c>
      <c r="BB146" s="102" t="str">
        <f>IF(A146="","",
  SUM(
    COUNTIFS('QA Log'!D:D,A146,'QA Log'!M:M,"Vignette",'QA Log'!Z:Z,"Rejected",'QA Log'!L:L,"*Vignette [1] Respiratory Infection: Pneumonia*"),
    COUNTIFS('QA Log'!D:D,A146,'QA Log'!M:M,"Vignette",'QA Log'!Z:Z,"Rejected",'QA Log'!L:L,"*Vignette [2]: Diarrhea with Cat B dehydration*"),
    COUNTIFS('QA Log'!D:D,A146,'QA Log'!M:M,"Vignette",'QA Log'!Z:Z,"Rejected",'QA Log'!L:L,"*Vignette [3] Growth Monitoring and Promotion*"),
    COUNTIFS('QA Log'!D:D,A146,'QA Log'!M:M,"Vignette",'QA Log'!Z:Z,"Rejected",'QA Log'!L:L,"*Vignette [4]: The management of presumptive TB patient*")
  )
)</f>
        <v/>
      </c>
      <c r="BC146" s="107" t="str">
        <f t="shared" si="9"/>
        <v/>
      </c>
      <c r="BD146" s="103" t="str">
        <f t="shared" si="10"/>
        <v/>
      </c>
      <c r="BE146" s="102" t="str">
        <f>IF(A146="","",SUM(
COUNTIFS('QA Log'!D:D,A146,'QA Log'!M:M,"Vignette",'QA Log'!L:L,"*Vignette [5] Labor*"),
COUNTIFS('QA Log'!D:D,A146,'QA Log'!M:M,"Vignette",'QA Log'!L:L,"*Vignette [6] PNC pre Discharge*"),
COUNTIFS('QA Log'!D:D,A146,'QA Log'!M:M,"Vignette",'QA Log'!L:L,"*Vignette [7] First ANC Visit*"),
COUNTIFS('QA Log'!D:D,A146,'QA Log'!M:M,"Vignette",'QA Log'!L:L,"*Vignette [8] Birth Spacing/ Family Planning :  FP Counselling*"),
COUNTIFS('QA Log'!D:D,A146,'QA Log'!M:M,"Vignette",'QA Log'!L:L,"*Vignette [9] Birth Spacing: Change FP method to Injectable*"),
COUNTIFS('QA Log'!D:D,A146,'QA Log'!M:M,"Vignette",'QA Log'!L:L,"*Vignette [10] Post Partum Haemorrhage - Atonic Uterus at Health Centre*"),
)
)</f>
        <v/>
      </c>
      <c r="BF146" s="102" t="str">
        <f>IF(A146="","",
  SUM(
    COUNTIFS('QA Log'!D:D,A146,'QA Log'!M:M,"Vignette",'QA Log'!Z:Z,"Approved",'QA Log'!L:L,"*Vignette [5] Labor*"),
    COUNTIFS('QA Log'!D:D,A146,'QA Log'!M:M,"Vignette",'QA Log'!Z:Z,"Approved",'QA Log'!L:L,"*Vignette [6] PNC pre Discharge*"),
    COUNTIFS('QA Log'!D:D,A146,'QA Log'!M:M,"Vignette",'QA Log'!Z:Z,"Approved",'QA Log'!L:L,"*Vignette [7] First ANC Visit*"),
    COUNTIFS('QA Log'!D:D,A146,'QA Log'!M:M,"Vignette",'QA Log'!Z:Z,"Approved",'QA Log'!L:L,"*Vignette [8] Birth Spacing/ Family Planning :  FP Counselling*"),
    COUNTIFS('QA Log'!D:D,A146,'QA Log'!M:M,"Vignette",'QA Log'!Z:Z,"Approved",'QA Log'!L:L,"*Vignette [9] Birth Spacing: Change FP method to Injectable*"),
    COUNTIFS('QA Log'!D:D,A146,'QA Log'!M:M,"Vignette",'QA Log'!Z:Z,"Approved",'QA Log'!L:L,"*Vignette [10] Post Partum Haemorrhage - Atonic Uterus at Health Centre*")
  )
)</f>
        <v/>
      </c>
      <c r="BG146" s="105" t="str">
        <f>IF(A146&lt;&gt;"",COUNTIFS('QA Log'!D:D,A146,'QA Log'!M:M,"Vignette",'QA Log'!L:L,"Vignette [5] Labor",'QA Log'!Z:Z,"Approved"),"")</f>
        <v/>
      </c>
      <c r="BH146" s="105" t="str">
        <f>IF(A146&lt;&gt;"",COUNTIFS('QA Log'!D:D,A146,'QA Log'!M:M,"Vignette",'QA Log'!L:L,"Vignette [6] PNC pre Discharge",'QA Log'!Z:Z,"Approved"),"")</f>
        <v/>
      </c>
      <c r="BI146" s="105" t="str">
        <f>IF(A146&lt;&gt;"",COUNTIFS('QA Log'!D:D,A146,'QA Log'!M:M,"Vignette",'QA Log'!L:L,"Vignette [7] First ANC Visit",'QA Log'!Z:Z,"Approved"),"")</f>
        <v/>
      </c>
      <c r="BJ146" s="105" t="str">
        <f>IF(A146&lt;&gt;"",COUNTIFS('QA Log'!D:D,A146,'QA Log'!M:M,"Vignette",'QA Log'!L:L,"Vignette [8] Birth Spacing/ Family Planning :  FP Counselling",'QA Log'!Z:Z,"Approved"),"")</f>
        <v/>
      </c>
      <c r="BK146" s="105" t="str">
        <f>IF(A146&lt;&gt;"",COUNTIFS('QA Log'!D:D,A146,'QA Log'!M:M,"Vignette",'QA Log'!L:L,"Vignette [9] Birth Spacing: Change FP method to Injectable",'QA Log'!Z:Z,"Approved"),"")</f>
        <v/>
      </c>
      <c r="BL146" s="105" t="str">
        <f>IF(A146&lt;&gt;"",COUNTIFS('QA Log'!D:D,A146,'QA Log'!M:M,"Vignette",'QA Log'!L:L,"Vignette [10] Post Partum Haemorrhage - Atonic Uterus at Health Centre",'QA Log'!Z:Z,"Approved"),"")</f>
        <v/>
      </c>
      <c r="BM146" s="102" t="str">
        <f>IF(A146="","",SUM(
    COUNTIFS('QA Log'!D:D,A146,'QA Log'!M:M,"Vignette",'QA Log'!Z:Z,"Rejected",'QA Log'!L:L,"*Vignette [5] Labor*"),
    COUNTIFS('QA Log'!D:D,A146,'QA Log'!M:M,"Vignette",'QA Log'!Z:Z,"Rejected",'QA Log'!L:L,"*Vignette [6] PNC pre Discharge*"),
    COUNTIFS('QA Log'!D:D,A146,'QA Log'!M:M,"Vignette",'QA Log'!Z:Z,"Rejected",'QA Log'!L:L,"*Vignette [7] First ANC Visit*"),
    COUNTIFS('QA Log'!D:D,A146,'QA Log'!M:M,"Vignette",'QA Log'!Z:Z,"Rejected",'QA Log'!L:L,"*Vignette [8] Birth Spacing/ Family Planning :  FP Counselling*"),
    COUNTIFS('QA Log'!D:D,A146,'QA Log'!M:M,"Vignette",'QA Log'!Z:Z,"Rejected",'QA Log'!L:L,"*Vignette [9] Birth Spacing: Change FP method to Injectable*"),
    COUNTIFS('QA Log'!D:D,A146,'QA Log'!M:M,"Vignette",'QA Log'!Z:Z,"Rejected",'QA Log'!L:L,"*Vignette [10] Post Partum Haemorrhage - Atonic Uterus at Health Centre*")
  )
)</f>
        <v/>
      </c>
      <c r="BN146" s="107" t="str">
        <f t="shared" si="11"/>
        <v/>
      </c>
      <c r="BO146" s="103" t="str">
        <f t="shared" si="12"/>
        <v/>
      </c>
      <c r="BP146" s="102" t="str">
        <f>IF(A146="","",SUM(
COUNTIFS('QA Log'!D:D,A146,'QA Log'!M:M,"Vignette",'QA Log'!L:L,"*Exit Interview 1*"),
COUNTIFS('QA Log'!D:D,A146,'QA Log'!M:M,"Vignette",'QA Log'!L:L,"*Exit Interview 2*"),
)
)</f>
        <v/>
      </c>
      <c r="BQ146" s="102" t="str">
        <f>IF(
  A146="","",
  SUM(
    COUNTIFS('QA Log'!D:D,A146,'QA Log'!M:M,"Vignette",'QA Log'!Z:Z,"Approved",'QA Log'!L:L,"*Exit Interview 1*"),
    COUNTIFS('QA Log'!D:D,A146,'QA Log'!M:M,"Vignette",'QA Log'!Z:Z,"Approved",'QA Log'!L:L,"*Exit Interview 2*")
  )
)</f>
        <v/>
      </c>
      <c r="BR146" s="105" t="str">
        <f>IF(A146&lt;&gt;"",COUNTIFS('QA Log'!D:D,A146,'QA Log'!M:M,"Vignette",'QA Log'!L:L,"Exit Interview 1",'QA Log'!Z:Z,"Approved"),"")</f>
        <v/>
      </c>
      <c r="BS146" s="105" t="str">
        <f>IF(A146&lt;&gt;"",COUNTIFS('QA Log'!D:D,A146,'QA Log'!M:M,"Vignette",'QA Log'!L:L,"Exit Interview 2",'QA Log'!Z:Z,"Approved"),"")</f>
        <v/>
      </c>
      <c r="BT146" s="102" t="str">
        <f>IF(
  A146="","",
  SUM(
    COUNTIFS('QA Log'!D:D,A146,'QA Log'!M:M,"Vignette",'QA Log'!Z:Z,"Rejected",'QA Log'!L:L,"*Exit Interview 1*"),
    COUNTIFS('QA Log'!D:D,A146,'QA Log'!M:M,"Vignette",'QA Log'!Z:Z,"Rejected",'QA Log'!L:L,"*Exit Interview 2*")
  )
)</f>
        <v/>
      </c>
      <c r="BU146" s="107" t="str">
        <f t="shared" si="13"/>
        <v/>
      </c>
      <c r="BV146" s="102" t="str">
        <f t="shared" si="14"/>
        <v/>
      </c>
      <c r="BW146" s="102" t="str">
        <f t="shared" si="15"/>
        <v/>
      </c>
      <c r="BX146" s="102" t="str">
        <f t="shared" si="16"/>
        <v/>
      </c>
      <c r="BY146" s="102" t="str">
        <f t="shared" si="17"/>
        <v/>
      </c>
      <c r="BZ146" s="107" t="str">
        <f t="shared" si="18"/>
        <v/>
      </c>
      <c r="CA146" s="108" t="str">
        <f t="shared" si="19"/>
        <v/>
      </c>
      <c r="CB146" s="108" t="str">
        <f t="shared" si="20"/>
        <v/>
      </c>
      <c r="CC146" s="109" t="str">
        <f t="shared" si="21"/>
        <v/>
      </c>
      <c r="CD146" s="108" t="str">
        <f t="shared" si="22"/>
        <v/>
      </c>
      <c r="CE146" s="108" t="str">
        <f t="shared" si="23"/>
        <v/>
      </c>
      <c r="CF146" s="109" t="str">
        <f t="shared" si="24"/>
        <v/>
      </c>
      <c r="CG146" s="110" t="str">
        <f t="shared" si="25"/>
        <v/>
      </c>
      <c r="CH146" s="111"/>
    </row>
    <row r="147" spans="1:86" ht="12.75">
      <c r="A147" s="101"/>
      <c r="B147" s="102" t="e">
        <f t="array" aca="1" ref="B147" ca="1">_xludf.XLOOKUP(A147,'QA Log'!D:D,'QA Log'!E:E,"")</f>
        <v>#NAME?</v>
      </c>
      <c r="C147" s="102" t="e">
        <f t="array" aca="1" ref="C147" ca="1">_xludf.XLOOKUP(A147,'QA Log'!D:D,'QA Log'!F:F,"")</f>
        <v>#NAME?</v>
      </c>
      <c r="D147" s="102" t="e">
        <f t="array" aca="1" ref="D147" ca="1">_xludf.XLOOKUP(A147,'QA Log'!D:D,'QA Log'!H:H,"")</f>
        <v>#NAME?</v>
      </c>
      <c r="E147" s="102" t="e">
        <f t="array" aca="1" ref="E147" ca="1">_xludf.XLOOKUP(A147,'QA Log'!D:D,'QA Log'!G:G,"")</f>
        <v>#NAME?</v>
      </c>
      <c r="F147" s="103"/>
      <c r="G147" s="104"/>
      <c r="H147" s="104"/>
      <c r="I147" s="103" t="str">
        <f t="shared" si="0"/>
        <v/>
      </c>
      <c r="J147" s="102" t="str">
        <f>IF(A147="","",SUM(
COUNTIFS('QA Log'!D:D,A147,'QA Log'!M:M,"QQC",'QA Log'!L:L,"*1. General Management*"),
COUNTIFS('QA Log'!D:D,A147,'QA Log'!M:M,"QQC",'QA Log'!L:L,"*3. Curative Consultation (OPD)*"),
COUNTIFS('QA Log'!D:D,A147,'QA Log'!M:M,"QQC",'QA Log'!L:L,"*5. Laboratory*"),
COUNTIFS('QA Log'!D:D,A147,'QA Log'!M:M,"QQC",'QA Log'!L:L,"*6. Essential Medicine Management*"),
COUNTIFS('QA Log'!D:D,A147,'QA Log'!M:M,"QQC",'QA Log'!L:L,"*7. Tracer Medicine*"),
COUNTIFS('QA Log'!D:D,A147,'QA Log'!M:M,"QQC",'QA Log'!L:L,"*11. Additional Questions*")))</f>
        <v/>
      </c>
      <c r="K147" s="102" t="str">
        <f>IF(A147="","",SUM(
COUNTIFS('QA Log'!D:D,A147,'QA Log'!M:M,"QQC",'QA Log'!Z:Z,"Approved",'QA Log'!L:L,"*1. General Management*"),
COUNTIFS('QA Log'!D:D,A147,'QA Log'!M:M,"QQC",'QA Log'!Z:Z,"Approved",'QA Log'!L:L,"*3. Curative Consultation (OPD)*"),
COUNTIFS('QA Log'!D:D,A147,'QA Log'!M:M,"QQC",'QA Log'!Z:Z,"Approved",'QA Log'!L:L,"*5. Laboratory*"),
COUNTIFS('QA Log'!D:D,A147,'QA Log'!M:M,"QQC",'QA Log'!Z:Z,"Approved",'QA Log'!L:L,"*6. Essential Medicine Management*"),
COUNTIFS('QA Log'!D:D,A147,'QA Log'!M:M,"QQC",'QA Log'!Z:Z,"Approved",'QA Log'!L:L,"*7. Tracer Medicine*"),
COUNTIFS('QA Log'!D:D,A147,'QA Log'!M:M,"QQC",'QA Log'!Z:Z,"Approved",'QA Log'!L:L,"*11. Additional Questions*")))</f>
        <v/>
      </c>
      <c r="L147" s="105" t="str">
        <f>IF(A147&lt;&gt;"",COUNTIFS('QA Log'!D:D,A147,'QA Log'!M:M,"QQC",'QA Log'!L:L,"1. General Management",'QA Log'!Z:Z,"Approved"),"")</f>
        <v/>
      </c>
      <c r="M147" s="105" t="str">
        <f>IF(A147&lt;&gt;"",COUNTIFS('QA Log'!D:D,A147,'QA Log'!M:M,"QQC",'QA Log'!L:L,"3. Curative Consultation (OPD)",'QA Log'!Z:Z,"Approved"),"")</f>
        <v/>
      </c>
      <c r="N147" s="105" t="str">
        <f>IF(A147&lt;&gt;"",COUNTIFS('QA Log'!D:D,A147,'QA Log'!M:M,"QQC",'QA Log'!L:L,"5. Laboratory",'QA Log'!Z:Z,"Approved"),"")</f>
        <v/>
      </c>
      <c r="O147" s="105" t="str">
        <f>IF(A147&lt;&gt;"",COUNTIFS('QA Log'!D:D,A147,'QA Log'!M:M,"QQC",'QA Log'!L:L,"6. Essential Medicine Management",'QA Log'!Z:Z,"Approved"),"")</f>
        <v/>
      </c>
      <c r="P147" s="105" t="str">
        <f>IF(A147&lt;&gt;"",COUNTIFS('QA Log'!D:D,A147,'QA Log'!M:M,"QQC",'QA Log'!L:L,"7. Tracer Medicine",'QA Log'!Z:Z,"Approved"),"")</f>
        <v/>
      </c>
      <c r="Q147" s="105" t="str">
        <f>IF(A147&lt;&gt;"",COUNTIFS('QA Log'!D:D,A147,'QA Log'!M:M,"QQC",'QA Log'!L:L,"11. Additional Questions",'QA Log'!Z:Z,"Approved"),"")</f>
        <v/>
      </c>
      <c r="R147" s="102" t="str">
        <f>IF(A147="","",SUM(
COUNTIFS('QA Log'!D:D,A147,'QA Log'!M:M,"QQC",'QA Log'!Z:Z,"Rejected",'QA Log'!L:L,"*8. Maternity*"),
COUNTIFS('QA Log'!D:D,A147,'QA Log'!M:M,"QQC",'QA Log'!Z:Z,"Rejected",'QA Log'!L:L,"*EPI*"),
COUNTIFS('QA Log'!D:D,A147,'QA Log'!M:M,"QQC",'QA Log'!Z:Z,"Rejected",'QA Log'!L:L,"*10. Antenatal Care (ANC)*"),
COUNTIFS('QA Log'!D:D,A147,'QA Log'!M:M,"QQC",'QA Log'!Z:Z,"Rejected",'QA Log'!L:L,"*2. Hygiene and Sterilization*"),
COUNTIFS('QA Log'!D:D,A147,'QA Log'!M:M,"QQC",'QA Log'!Z:Z,"Rejected",'QA Log'!L:L,"*Family Planning*")))</f>
        <v/>
      </c>
      <c r="S147" s="106" t="str">
        <f t="shared" si="1"/>
        <v/>
      </c>
      <c r="T147" s="102" t="str">
        <f t="shared" si="2"/>
        <v/>
      </c>
      <c r="U147" s="102" t="str">
        <f>IF(A147="","",
SUM(
COUNTIFS('QA Log'!D:D,A147,'QA Log'!M:M,"QQC",'QA Log'!L:L,"*8. Maternity*"),
COUNTIFS('QA Log'!D:D,A147,'QA Log'!M:M,"QQC",'QA Log'!L:L,"*9. EPI and Pre-school Consultation*"),
COUNTIFS('QA Log'!D:D,A147,'QA Log'!M:M,"QQC",'QA Log'!L:L,"*10. Antenatal Care (ANC)*"),
COUNTIFS('QA Log'!D:D,A147,'QA Log'!M:M,"QQC",'QA Log'!L:L,"*2. Hygiene and Sterilization*"),
COUNTIFS('QA Log'!D:D,A147,'QA Log'!M:M,"QQC",'QA Log'!L:L,"*4. Family Planning*")
))</f>
        <v/>
      </c>
      <c r="V147" s="102" t="str">
        <f>IF(A147="","",
SUM(
COUNTIFS('QA Log'!D:D,A147,'QA Log'!M:M,"QQC",'QA Log'!Z:Z,"Approved",'QA Log'!L:L,"*8. Maternity*"),
COUNTIFS('QA Log'!D:D,A147,'QA Log'!M:M,"QQC",'QA Log'!Z:Z,"Approved",'QA Log'!L:L,"*9. EPI and Pre-school Consultation*"),
COUNTIFS('QA Log'!D:D,A147,'QA Log'!M:M,"QQC",'QA Log'!Z:Z,"Approved",'QA Log'!L:L,"*10. Antenatal Care (ANC)*"),
COUNTIFS('QA Log'!D:D,A147,'QA Log'!M:M,"QQC",'QA Log'!Z:Z,"Approved",'QA Log'!L:L,"*2. Hygiene and Sterilization*"),
COUNTIFS('QA Log'!D:D,A147,'QA Log'!M:M,"QQC",'QA Log'!Z:Z,"Approved",'QA Log'!L:L,"*4. Family Planning*")
))</f>
        <v/>
      </c>
      <c r="W147" s="105" t="str">
        <f>IF(A147&lt;&gt;"",COUNTIFS('QA Log'!D:D,A147,'QA Log'!M:M,"QQC",'QA Log'!L:L,"8. Maternity",'QA Log'!Z:Z,"Approved"),"")</f>
        <v/>
      </c>
      <c r="X147" s="105" t="str">
        <f>IF(A147&lt;&gt;"",COUNTIFS('QA Log'!D:D,A147,'QA Log'!M:M,"QQC",'QA Log'!L:L,"9. EPI and Pre-school Consultation",'QA Log'!Z:Z,"Approved"),"")</f>
        <v/>
      </c>
      <c r="Y147" s="105" t="str">
        <f>IF(A147&lt;&gt;"",COUNTIFS('QA Log'!D:D,A147,'QA Log'!M:M,"QQC",'QA Log'!L:L,"10. Antenatal Care (ANC)",'QA Log'!Z:Z,"Approved"),"")</f>
        <v/>
      </c>
      <c r="Z147" s="105" t="str">
        <f>IF(A147&lt;&gt;"",COUNTIFS('QA Log'!D:D,A147,'QA Log'!M:M,"QQC",'QA Log'!L:L,"2. Hygiene and Sterilization",'QA Log'!Z:Z,"Approved"),"")</f>
        <v/>
      </c>
      <c r="AA147" s="105" t="str">
        <f>IF(A147&lt;&gt;"",COUNTIFS('QA Log'!D:D,A147,'QA Log'!M:M,"QQC",'QA Log'!L:L,"4. Family Planning",'QA Log'!Z:Z,"Approved"),"")</f>
        <v/>
      </c>
      <c r="AB147" s="102" t="str">
        <f>IF(A147="","",
SUM(
COUNTIFS('QA Log'!D:D,A147,'QA Log'!M:M,"QQC",'QA Log'!Z:Z,"Rejected",'QA Log'!L:L,"*8. Maternity*"),
COUNTIFS('QA Log'!D:D,A147,'QA Log'!M:M,"QQC",'QA Log'!Z:Z,"Rejected",'QA Log'!L:L,"*9. EPI and Pre-school Consultation*"),
COUNTIFS('QA Log'!D:D,A147,'QA Log'!M:M,"QQC",'QA Log'!Z:Z,"Rejected",'QA Log'!L:L,"*10. Antenatal Care (ANC)*"),
COUNTIFS('QA Log'!D:D,A147,'QA Log'!M:M,"QQC",'QA Log'!Z:Z,"Rejected",'QA Log'!L:L,"*2. Hygiene and Sterilization*"),
COUNTIFS('QA Log'!D:D,A147,'QA Log'!M:M,"QQC",'QA Log'!Z:Z,"Rejected",'QA Log'!L:L,"*4. Family Planning*")
))</f>
        <v/>
      </c>
      <c r="AC147" s="102" t="str">
        <f t="shared" si="3"/>
        <v/>
      </c>
      <c r="AD147" s="103" t="str">
        <f t="shared" si="4"/>
        <v/>
      </c>
      <c r="AE147" s="102" t="str">
        <f>IF(A147="","",
SUM(
COUNTIFS('QA Log'!D:D,A147,'QA Log'!M:M,"Data Verification",'QA Log'!L:L,"*Medicine (section 2)*"),
COUNTIFS('QA Log'!D:D,A147,'QA Log'!M:M,"Data Verification",'QA Log'!L:L,"*Lab Testing Availability*"),
COUNTIFS('QA Log'!D:D,A147,'QA Log'!M:M,"Data Verification",'QA Log'!L:L,"*Other than P4P (section 6)*"),
COUNTIFS('QA Log'!D:D,A147,'QA Log'!M:M,"Data Verification",'QA Log'!L:L,"*Hospital Governance*")
))</f>
        <v/>
      </c>
      <c r="AF147" s="102" t="str">
        <f>IF(A147="","",
SUM(
COUNTIFS('QA Log'!D:D,A147,'QA Log'!M:M,"Data Verification",'QA Log'!Z:Z,"Approved",'QA Log'!L:L,"*Medicine (section 2)*"),
COUNTIFS('QA Log'!D:D,A147,'QA Log'!M:M,"Data Verification",'QA Log'!Z:Z,"Approved",'QA Log'!L:L,"*Lab Testing Availability*"),
COUNTIFS('QA Log'!D:D,A147,'QA Log'!M:M,"Data Verification",'QA Log'!Z:Z,"Approved",'QA Log'!L:L,"*Other than P4P (section 6)*"),
COUNTIFS('QA Log'!D:D,A147,'QA Log'!M:M,"Data Verification",'QA Log'!Z:Z,"Approved",'QA Log'!L:L,"*Hospital Governance*")
))</f>
        <v/>
      </c>
      <c r="AG147" s="105" t="str">
        <f>IF(A147&lt;&gt;"",COUNTIFS('QA Log'!D:D,A147,'QA Log'!M:M,"Data Verification",'QA Log'!L:L,"Medicine (section 2)",'QA Log'!Z:Z,"Approved"),"")</f>
        <v/>
      </c>
      <c r="AH147" s="105" t="str">
        <f>IF(A147&lt;&gt;"",COUNTIFS('QA Log'!D:D,A147,'QA Log'!M:M,"Data Verification",'QA Log'!L:L,"Lab Testing Availability",'QA Log'!Z:Z,"Approved"),"")</f>
        <v/>
      </c>
      <c r="AI147" s="105" t="str">
        <f>IF(A147&lt;&gt;"",COUNTIFS('QA Log'!D:D,A147,'QA Log'!M:M,"Data Verification",'QA Log'!L:L,"Other than P4P (section 6)",'QA Log'!Z:Z,"Approved"),"")</f>
        <v/>
      </c>
      <c r="AJ147" s="105" t="str">
        <f>IF(A147&lt;&gt;"",COUNTIFS('QA Log'!D:D,A147,'QA Log'!M:M,"Data Verification",'QA Log'!L:L,"Hospital Governance",'QA Log'!Z:Z,"Approved"),"")</f>
        <v/>
      </c>
      <c r="AK147" s="102" t="str">
        <f>IF(A147="","",
SUM(
COUNTIFS('QA Log'!D:D,A147,'QA Log'!M:M,"Data Verification",'QA Log'!Z:Z,"Rejected",'QA Log'!L:L,"*Medicine (section 2)*"),
COUNTIFS('QA Log'!D:D,A147,'QA Log'!M:M,"Data Verification",'QA Log'!Z:Z,"Rejected",'QA Log'!L:L,"*Lab Testing Availability*"),
COUNTIFS('QA Log'!D:D,A147,'QA Log'!M:M,"Data Verification",'QA Log'!Z:Z,"Rejected",'QA Log'!L:L,"*Other than P4P (section 6)*"),
COUNTIFS('QA Log'!D:D,A147,'QA Log'!M:M,"Data Verification",'QA Log'!Z:Z,"Rejected",'QA Log'!L:L,"*Hospital Governance*")
))</f>
        <v/>
      </c>
      <c r="AL147" s="106" t="str">
        <f t="shared" si="5"/>
        <v/>
      </c>
      <c r="AM147" s="102" t="str">
        <f t="shared" si="6"/>
        <v/>
      </c>
      <c r="AN147" s="102" t="str">
        <f>IF(A147="","",
SUM(
COUNTIFS('QA Log'!D:D,A147,'QA Log'!M:M,"Data Verification",'QA Log'!L:L,"*Personnel (section 1)*"),
COUNTIFS('QA Log'!D:D,A147,'QA Log'!M:M,"Data Verification",'QA Log'!L:L,"*Consumable (section 3)*"),
COUNTIFS('QA Log'!D:D,A147,'QA Log'!M:M,"Data Verification",'QA Log'!L:L,"*Equipments (section 4)*")
))</f>
        <v/>
      </c>
      <c r="AO147" s="102" t="str">
        <f>IF(A147="","",
SUM(
COUNTIFS('QA Log'!D:D,A147,'QA Log'!M:M,"Data Verification",'QA Log'!Z:Z,"Approved",'QA Log'!L:L,"*Personnel (section 1)*"),
COUNTIFS('QA Log'!D:D,A147,'QA Log'!M:M,"Data Verification",'QA Log'!Z:Z,"Approved",'QA Log'!L:L,"*Consumable (section 3)*"),
COUNTIFS('QA Log'!D:D,A147,'QA Log'!M:M,"Data Verification",'QA Log'!Z:Z,"Approved",'QA Log'!L:L,"*Equipments (section 4)*")
))</f>
        <v/>
      </c>
      <c r="AP147" s="105" t="str">
        <f>IF(A147&lt;&gt;"",COUNTIFS('QA Log'!D:D,A147,'QA Log'!M:M,"Data Verification",'QA Log'!L:L,"Personnel (section 1)",'QA Log'!Z:Z,"Approved"),"")</f>
        <v/>
      </c>
      <c r="AQ147" s="105" t="str">
        <f>IF(A147&lt;&gt;"",COUNTIFS('QA Log'!D:D,A147,'QA Log'!M:M,"Data Verification",'QA Log'!L:L,"Consumable (section 3)",'QA Log'!Z:Z,"Approved"),"")</f>
        <v/>
      </c>
      <c r="AR147" s="105" t="str">
        <f>IF(A147&lt;&gt;"",COUNTIFS('QA Log'!D:D,A147,'QA Log'!M:M,"Data Verification",'QA Log'!L:L,"Equipments (section 4)",'QA Log'!Z:Z,"Approved"),"")</f>
        <v/>
      </c>
      <c r="AS147" s="102" t="str">
        <f>IF(A147="","",
SUM(
COUNTIFS('QA Log'!D:D,A147,'QA Log'!M:M,"Data Verification",'QA Log'!Z:Z,"Rejected",'QA Log'!L:L,"*Personnel (section 1)*"),
COUNTIFS('QA Log'!D:D,A147,'QA Log'!M:M,"Data Verification",'QA Log'!Z:Z,"Rejected",'QA Log'!L:L,"*Consumable (section 3)*"),
COUNTIFS('QA Log'!D:D,A147,'QA Log'!M:M,"Data Verification",'QA Log'!Z:Z,"Rejected",'QA Log'!L:L,"*Equipments (section 4)*")
))</f>
        <v/>
      </c>
      <c r="AT147" s="102" t="str">
        <f t="shared" si="7"/>
        <v/>
      </c>
      <c r="AU147" s="103" t="str">
        <f t="shared" si="8"/>
        <v/>
      </c>
      <c r="AV147" s="102" t="str">
        <f>IF(A147="","",SUM(
COUNTIFS('QA Log'!D:D,A147,'QA Log'!M:M,"Vignette",'QA Log'!L:L,"*Vignette [1] Respiratory Infection: Pneumonia*"),
COUNTIFS('QA Log'!D:D,A147,'QA Log'!M:M,"Vignette",'QA Log'!L:L,"*Vignette [2]: Diarrhea with Cat B dehydration*"),
COUNTIFS('QA Log'!D:D,A147,'QA Log'!M:M,"Vignette",'QA Log'!L:L,"*Vignette [3] Growth Monitoring and Promotion*"),
COUNTIFS('QA Log'!D:D,A147,'QA Log'!M:M,"Vignette",'QA Log'!L:L,"*Vignette [4]: The management of presumptive TB patient*")
)
)</f>
        <v/>
      </c>
      <c r="AW147" s="102" t="str">
        <f>IF(
  A147="","",
  SUM(
    COUNTIFS('QA Log'!D:D,A147,'QA Log'!M:M,"Vignette",'QA Log'!Z:Z,"Approved",'QA Log'!L:L,"*Vignette [1] Respiratory Infection: Pneumonia*"),
    COUNTIFS('QA Log'!D:D,A147,'QA Log'!M:M,"Vignette",'QA Log'!Z:Z,"Approved",'QA Log'!L:L,"*Vignette [2]: Diarrhea with Cat B dehydration*"),
    COUNTIFS('QA Log'!D:D,A147,'QA Log'!M:M,"Vignette",'QA Log'!Z:Z,"Approved",'QA Log'!L:L,"*Vignette [3] Growth Monitoring and Promotion*"),
    COUNTIFS('QA Log'!D:D,A147,'QA Log'!M:M,"Vignette",'QA Log'!Z:Z,"Approved",'QA Log'!L:L,"*Vignette [4]: The management of presumptive TB patient*")
  )
)</f>
        <v/>
      </c>
      <c r="AX147" s="105" t="str">
        <f>IF(A147&lt;&gt;"",COUNTIFS('QA Log'!D:D,A147,'QA Log'!M:M,"Vignette",'QA Log'!L:L,"Vignette [1] Respiratory Infection: Pneumonia",'QA Log'!Z:Z,"Approved"),"")</f>
        <v/>
      </c>
      <c r="AY147" s="105" t="str">
        <f>IF(A147&lt;&gt;"",COUNTIFS('QA Log'!D:D,A147,'QA Log'!M:M,"Vignette",'QA Log'!L:L,"Vignette [2]: Diarrhea with Cat B dehydration",'QA Log'!Z:Z,"Approved"),"")</f>
        <v/>
      </c>
      <c r="AZ147" s="105" t="str">
        <f>IF(A147&lt;&gt;"",COUNTIFS('QA Log'!D:D,A147,'QA Log'!M:M,"Vignette",'QA Log'!L:L,"Vignette [3] Growth Monitoring and Promotion",'QA Log'!Z:Z,"Approved"),"")</f>
        <v/>
      </c>
      <c r="BA147" s="105" t="str">
        <f>IF(A147&lt;&gt;"",COUNTIFS('QA Log'!D:D,A147,'QA Log'!M:M,"Vignette",'QA Log'!L:L,"Vignette [4]: The management of presumptive TB patient",'QA Log'!Z:Z,"Approved"),"")</f>
        <v/>
      </c>
      <c r="BB147" s="102" t="str">
        <f>IF(A147="","",
  SUM(
    COUNTIFS('QA Log'!D:D,A147,'QA Log'!M:M,"Vignette",'QA Log'!Z:Z,"Rejected",'QA Log'!L:L,"*Vignette [1] Respiratory Infection: Pneumonia*"),
    COUNTIFS('QA Log'!D:D,A147,'QA Log'!M:M,"Vignette",'QA Log'!Z:Z,"Rejected",'QA Log'!L:L,"*Vignette [2]: Diarrhea with Cat B dehydration*"),
    COUNTIFS('QA Log'!D:D,A147,'QA Log'!M:M,"Vignette",'QA Log'!Z:Z,"Rejected",'QA Log'!L:L,"*Vignette [3] Growth Monitoring and Promotion*"),
    COUNTIFS('QA Log'!D:D,A147,'QA Log'!M:M,"Vignette",'QA Log'!Z:Z,"Rejected",'QA Log'!L:L,"*Vignette [4]: The management of presumptive TB patient*")
  )
)</f>
        <v/>
      </c>
      <c r="BC147" s="107" t="str">
        <f t="shared" si="9"/>
        <v/>
      </c>
      <c r="BD147" s="103" t="str">
        <f t="shared" si="10"/>
        <v/>
      </c>
      <c r="BE147" s="102" t="str">
        <f>IF(A147="","",SUM(
COUNTIFS('QA Log'!D:D,A147,'QA Log'!M:M,"Vignette",'QA Log'!L:L,"*Vignette [5] Labor*"),
COUNTIFS('QA Log'!D:D,A147,'QA Log'!M:M,"Vignette",'QA Log'!L:L,"*Vignette [6] PNC pre Discharge*"),
COUNTIFS('QA Log'!D:D,A147,'QA Log'!M:M,"Vignette",'QA Log'!L:L,"*Vignette [7] First ANC Visit*"),
COUNTIFS('QA Log'!D:D,A147,'QA Log'!M:M,"Vignette",'QA Log'!L:L,"*Vignette [8] Birth Spacing/ Family Planning :  FP Counselling*"),
COUNTIFS('QA Log'!D:D,A147,'QA Log'!M:M,"Vignette",'QA Log'!L:L,"*Vignette [9] Birth Spacing: Change FP method to Injectable*"),
COUNTIFS('QA Log'!D:D,A147,'QA Log'!M:M,"Vignette",'QA Log'!L:L,"*Vignette [10] Post Partum Haemorrhage - Atonic Uterus at Health Centre*"),
)
)</f>
        <v/>
      </c>
      <c r="BF147" s="102" t="str">
        <f>IF(A147="","",
  SUM(
    COUNTIFS('QA Log'!D:D,A147,'QA Log'!M:M,"Vignette",'QA Log'!Z:Z,"Approved",'QA Log'!L:L,"*Vignette [5] Labor*"),
    COUNTIFS('QA Log'!D:D,A147,'QA Log'!M:M,"Vignette",'QA Log'!Z:Z,"Approved",'QA Log'!L:L,"*Vignette [6] PNC pre Discharge*"),
    COUNTIFS('QA Log'!D:D,A147,'QA Log'!M:M,"Vignette",'QA Log'!Z:Z,"Approved",'QA Log'!L:L,"*Vignette [7] First ANC Visit*"),
    COUNTIFS('QA Log'!D:D,A147,'QA Log'!M:M,"Vignette",'QA Log'!Z:Z,"Approved",'QA Log'!L:L,"*Vignette [8] Birth Spacing/ Family Planning :  FP Counselling*"),
    COUNTIFS('QA Log'!D:D,A147,'QA Log'!M:M,"Vignette",'QA Log'!Z:Z,"Approved",'QA Log'!L:L,"*Vignette [9] Birth Spacing: Change FP method to Injectable*"),
    COUNTIFS('QA Log'!D:D,A147,'QA Log'!M:M,"Vignette",'QA Log'!Z:Z,"Approved",'QA Log'!L:L,"*Vignette [10] Post Partum Haemorrhage - Atonic Uterus at Health Centre*")
  )
)</f>
        <v/>
      </c>
      <c r="BG147" s="105" t="str">
        <f>IF(A147&lt;&gt;"",COUNTIFS('QA Log'!D:D,A147,'QA Log'!M:M,"Vignette",'QA Log'!L:L,"Vignette [5] Labor",'QA Log'!Z:Z,"Approved"),"")</f>
        <v/>
      </c>
      <c r="BH147" s="105" t="str">
        <f>IF(A147&lt;&gt;"",COUNTIFS('QA Log'!D:D,A147,'QA Log'!M:M,"Vignette",'QA Log'!L:L,"Vignette [6] PNC pre Discharge",'QA Log'!Z:Z,"Approved"),"")</f>
        <v/>
      </c>
      <c r="BI147" s="105" t="str">
        <f>IF(A147&lt;&gt;"",COUNTIFS('QA Log'!D:D,A147,'QA Log'!M:M,"Vignette",'QA Log'!L:L,"Vignette [7] First ANC Visit",'QA Log'!Z:Z,"Approved"),"")</f>
        <v/>
      </c>
      <c r="BJ147" s="105" t="str">
        <f>IF(A147&lt;&gt;"",COUNTIFS('QA Log'!D:D,A147,'QA Log'!M:M,"Vignette",'QA Log'!L:L,"Vignette [8] Birth Spacing/ Family Planning :  FP Counselling",'QA Log'!Z:Z,"Approved"),"")</f>
        <v/>
      </c>
      <c r="BK147" s="105" t="str">
        <f>IF(A147&lt;&gt;"",COUNTIFS('QA Log'!D:D,A147,'QA Log'!M:M,"Vignette",'QA Log'!L:L,"Vignette [9] Birth Spacing: Change FP method to Injectable",'QA Log'!Z:Z,"Approved"),"")</f>
        <v/>
      </c>
      <c r="BL147" s="105" t="str">
        <f>IF(A147&lt;&gt;"",COUNTIFS('QA Log'!D:D,A147,'QA Log'!M:M,"Vignette",'QA Log'!L:L,"Vignette [10] Post Partum Haemorrhage - Atonic Uterus at Health Centre",'QA Log'!Z:Z,"Approved"),"")</f>
        <v/>
      </c>
      <c r="BM147" s="102" t="str">
        <f>IF(A147="","",SUM(
    COUNTIFS('QA Log'!D:D,A147,'QA Log'!M:M,"Vignette",'QA Log'!Z:Z,"Rejected",'QA Log'!L:L,"*Vignette [5] Labor*"),
    COUNTIFS('QA Log'!D:D,A147,'QA Log'!M:M,"Vignette",'QA Log'!Z:Z,"Rejected",'QA Log'!L:L,"*Vignette [6] PNC pre Discharge*"),
    COUNTIFS('QA Log'!D:D,A147,'QA Log'!M:M,"Vignette",'QA Log'!Z:Z,"Rejected",'QA Log'!L:L,"*Vignette [7] First ANC Visit*"),
    COUNTIFS('QA Log'!D:D,A147,'QA Log'!M:M,"Vignette",'QA Log'!Z:Z,"Rejected",'QA Log'!L:L,"*Vignette [8] Birth Spacing/ Family Planning :  FP Counselling*"),
    COUNTIFS('QA Log'!D:D,A147,'QA Log'!M:M,"Vignette",'QA Log'!Z:Z,"Rejected",'QA Log'!L:L,"*Vignette [9] Birth Spacing: Change FP method to Injectable*"),
    COUNTIFS('QA Log'!D:D,A147,'QA Log'!M:M,"Vignette",'QA Log'!Z:Z,"Rejected",'QA Log'!L:L,"*Vignette [10] Post Partum Haemorrhage - Atonic Uterus at Health Centre*")
  )
)</f>
        <v/>
      </c>
      <c r="BN147" s="107" t="str">
        <f t="shared" si="11"/>
        <v/>
      </c>
      <c r="BO147" s="103" t="str">
        <f t="shared" si="12"/>
        <v/>
      </c>
      <c r="BP147" s="102" t="str">
        <f>IF(A147="","",SUM(
COUNTIFS('QA Log'!D:D,A147,'QA Log'!M:M,"Vignette",'QA Log'!L:L,"*Exit Interview 1*"),
COUNTIFS('QA Log'!D:D,A147,'QA Log'!M:M,"Vignette",'QA Log'!L:L,"*Exit Interview 2*"),
)
)</f>
        <v/>
      </c>
      <c r="BQ147" s="102" t="str">
        <f>IF(
  A147="","",
  SUM(
    COUNTIFS('QA Log'!D:D,A147,'QA Log'!M:M,"Vignette",'QA Log'!Z:Z,"Approved",'QA Log'!L:L,"*Exit Interview 1*"),
    COUNTIFS('QA Log'!D:D,A147,'QA Log'!M:M,"Vignette",'QA Log'!Z:Z,"Approved",'QA Log'!L:L,"*Exit Interview 2*")
  )
)</f>
        <v/>
      </c>
      <c r="BR147" s="105" t="str">
        <f>IF(A147&lt;&gt;"",COUNTIFS('QA Log'!D:D,A147,'QA Log'!M:M,"Vignette",'QA Log'!L:L,"Exit Interview 1",'QA Log'!Z:Z,"Approved"),"")</f>
        <v/>
      </c>
      <c r="BS147" s="105" t="str">
        <f>IF(A147&lt;&gt;"",COUNTIFS('QA Log'!D:D,A147,'QA Log'!M:M,"Vignette",'QA Log'!L:L,"Exit Interview 2",'QA Log'!Z:Z,"Approved"),"")</f>
        <v/>
      </c>
      <c r="BT147" s="102" t="str">
        <f>IF(
  A147="","",
  SUM(
    COUNTIFS('QA Log'!D:D,A147,'QA Log'!M:M,"Vignette",'QA Log'!Z:Z,"Rejected",'QA Log'!L:L,"*Exit Interview 1*"),
    COUNTIFS('QA Log'!D:D,A147,'QA Log'!M:M,"Vignette",'QA Log'!Z:Z,"Rejected",'QA Log'!L:L,"*Exit Interview 2*")
  )
)</f>
        <v/>
      </c>
      <c r="BU147" s="107" t="str">
        <f t="shared" si="13"/>
        <v/>
      </c>
      <c r="BV147" s="102" t="str">
        <f t="shared" si="14"/>
        <v/>
      </c>
      <c r="BW147" s="102" t="str">
        <f t="shared" si="15"/>
        <v/>
      </c>
      <c r="BX147" s="102" t="str">
        <f t="shared" si="16"/>
        <v/>
      </c>
      <c r="BY147" s="102" t="str">
        <f t="shared" si="17"/>
        <v/>
      </c>
      <c r="BZ147" s="107" t="str">
        <f t="shared" si="18"/>
        <v/>
      </c>
      <c r="CA147" s="108" t="str">
        <f t="shared" si="19"/>
        <v/>
      </c>
      <c r="CB147" s="108" t="str">
        <f t="shared" si="20"/>
        <v/>
      </c>
      <c r="CC147" s="109" t="str">
        <f t="shared" si="21"/>
        <v/>
      </c>
      <c r="CD147" s="108" t="str">
        <f t="shared" si="22"/>
        <v/>
      </c>
      <c r="CE147" s="108" t="str">
        <f t="shared" si="23"/>
        <v/>
      </c>
      <c r="CF147" s="109" t="str">
        <f t="shared" si="24"/>
        <v/>
      </c>
      <c r="CG147" s="110" t="str">
        <f t="shared" si="25"/>
        <v/>
      </c>
      <c r="CH147" s="111"/>
    </row>
    <row r="148" spans="1:86" ht="12.75">
      <c r="A148" s="101"/>
      <c r="B148" s="102" t="e">
        <f t="array" aca="1" ref="B148" ca="1">_xludf.XLOOKUP(A148,'QA Log'!D:D,'QA Log'!E:E,"")</f>
        <v>#NAME?</v>
      </c>
      <c r="C148" s="102" t="e">
        <f t="array" aca="1" ref="C148" ca="1">_xludf.XLOOKUP(A148,'QA Log'!D:D,'QA Log'!F:F,"")</f>
        <v>#NAME?</v>
      </c>
      <c r="D148" s="102" t="e">
        <f t="array" aca="1" ref="D148" ca="1">_xludf.XLOOKUP(A148,'QA Log'!D:D,'QA Log'!H:H,"")</f>
        <v>#NAME?</v>
      </c>
      <c r="E148" s="102" t="e">
        <f t="array" aca="1" ref="E148" ca="1">_xludf.XLOOKUP(A148,'QA Log'!D:D,'QA Log'!G:G,"")</f>
        <v>#NAME?</v>
      </c>
      <c r="F148" s="103"/>
      <c r="G148" s="104"/>
      <c r="H148" s="104"/>
      <c r="I148" s="103" t="str">
        <f t="shared" si="0"/>
        <v/>
      </c>
      <c r="J148" s="102" t="str">
        <f>IF(A148="","",SUM(
COUNTIFS('QA Log'!D:D,A148,'QA Log'!M:M,"QQC",'QA Log'!L:L,"*1. General Management*"),
COUNTIFS('QA Log'!D:D,A148,'QA Log'!M:M,"QQC",'QA Log'!L:L,"*3. Curative Consultation (OPD)*"),
COUNTIFS('QA Log'!D:D,A148,'QA Log'!M:M,"QQC",'QA Log'!L:L,"*5. Laboratory*"),
COUNTIFS('QA Log'!D:D,A148,'QA Log'!M:M,"QQC",'QA Log'!L:L,"*6. Essential Medicine Management*"),
COUNTIFS('QA Log'!D:D,A148,'QA Log'!M:M,"QQC",'QA Log'!L:L,"*7. Tracer Medicine*"),
COUNTIFS('QA Log'!D:D,A148,'QA Log'!M:M,"QQC",'QA Log'!L:L,"*11. Additional Questions*")))</f>
        <v/>
      </c>
      <c r="K148" s="102" t="str">
        <f>IF(A148="","",SUM(
COUNTIFS('QA Log'!D:D,A148,'QA Log'!M:M,"QQC",'QA Log'!Z:Z,"Approved",'QA Log'!L:L,"*1. General Management*"),
COUNTIFS('QA Log'!D:D,A148,'QA Log'!M:M,"QQC",'QA Log'!Z:Z,"Approved",'QA Log'!L:L,"*3. Curative Consultation (OPD)*"),
COUNTIFS('QA Log'!D:D,A148,'QA Log'!M:M,"QQC",'QA Log'!Z:Z,"Approved",'QA Log'!L:L,"*5. Laboratory*"),
COUNTIFS('QA Log'!D:D,A148,'QA Log'!M:M,"QQC",'QA Log'!Z:Z,"Approved",'QA Log'!L:L,"*6. Essential Medicine Management*"),
COUNTIFS('QA Log'!D:D,A148,'QA Log'!M:M,"QQC",'QA Log'!Z:Z,"Approved",'QA Log'!L:L,"*7. Tracer Medicine*"),
COUNTIFS('QA Log'!D:D,A148,'QA Log'!M:M,"QQC",'QA Log'!Z:Z,"Approved",'QA Log'!L:L,"*11. Additional Questions*")))</f>
        <v/>
      </c>
      <c r="L148" s="105" t="str">
        <f>IF(A148&lt;&gt;"",COUNTIFS('QA Log'!D:D,A148,'QA Log'!M:M,"QQC",'QA Log'!L:L,"1. General Management",'QA Log'!Z:Z,"Approved"),"")</f>
        <v/>
      </c>
      <c r="M148" s="105" t="str">
        <f>IF(A148&lt;&gt;"",COUNTIFS('QA Log'!D:D,A148,'QA Log'!M:M,"QQC",'QA Log'!L:L,"3. Curative Consultation (OPD)",'QA Log'!Z:Z,"Approved"),"")</f>
        <v/>
      </c>
      <c r="N148" s="105" t="str">
        <f>IF(A148&lt;&gt;"",COUNTIFS('QA Log'!D:D,A148,'QA Log'!M:M,"QQC",'QA Log'!L:L,"5. Laboratory",'QA Log'!Z:Z,"Approved"),"")</f>
        <v/>
      </c>
      <c r="O148" s="105" t="str">
        <f>IF(A148&lt;&gt;"",COUNTIFS('QA Log'!D:D,A148,'QA Log'!M:M,"QQC",'QA Log'!L:L,"6. Essential Medicine Management",'QA Log'!Z:Z,"Approved"),"")</f>
        <v/>
      </c>
      <c r="P148" s="105" t="str">
        <f>IF(A148&lt;&gt;"",COUNTIFS('QA Log'!D:D,A148,'QA Log'!M:M,"QQC",'QA Log'!L:L,"7. Tracer Medicine",'QA Log'!Z:Z,"Approved"),"")</f>
        <v/>
      </c>
      <c r="Q148" s="105" t="str">
        <f>IF(A148&lt;&gt;"",COUNTIFS('QA Log'!D:D,A148,'QA Log'!M:M,"QQC",'QA Log'!L:L,"11. Additional Questions",'QA Log'!Z:Z,"Approved"),"")</f>
        <v/>
      </c>
      <c r="R148" s="102" t="str">
        <f>IF(A148="","",SUM(
COUNTIFS('QA Log'!D:D,A148,'QA Log'!M:M,"QQC",'QA Log'!Z:Z,"Rejected",'QA Log'!L:L,"*8. Maternity*"),
COUNTIFS('QA Log'!D:D,A148,'QA Log'!M:M,"QQC",'QA Log'!Z:Z,"Rejected",'QA Log'!L:L,"*EPI*"),
COUNTIFS('QA Log'!D:D,A148,'QA Log'!M:M,"QQC",'QA Log'!Z:Z,"Rejected",'QA Log'!L:L,"*10. Antenatal Care (ANC)*"),
COUNTIFS('QA Log'!D:D,A148,'QA Log'!M:M,"QQC",'QA Log'!Z:Z,"Rejected",'QA Log'!L:L,"*2. Hygiene and Sterilization*"),
COUNTIFS('QA Log'!D:D,A148,'QA Log'!M:M,"QQC",'QA Log'!Z:Z,"Rejected",'QA Log'!L:L,"*Family Planning*")))</f>
        <v/>
      </c>
      <c r="S148" s="106" t="str">
        <f t="shared" si="1"/>
        <v/>
      </c>
      <c r="T148" s="102" t="str">
        <f t="shared" si="2"/>
        <v/>
      </c>
      <c r="U148" s="102" t="str">
        <f>IF(A148="","",
SUM(
COUNTIFS('QA Log'!D:D,A148,'QA Log'!M:M,"QQC",'QA Log'!L:L,"*8. Maternity*"),
COUNTIFS('QA Log'!D:D,A148,'QA Log'!M:M,"QQC",'QA Log'!L:L,"*9. EPI and Pre-school Consultation*"),
COUNTIFS('QA Log'!D:D,A148,'QA Log'!M:M,"QQC",'QA Log'!L:L,"*10. Antenatal Care (ANC)*"),
COUNTIFS('QA Log'!D:D,A148,'QA Log'!M:M,"QQC",'QA Log'!L:L,"*2. Hygiene and Sterilization*"),
COUNTIFS('QA Log'!D:D,A148,'QA Log'!M:M,"QQC",'QA Log'!L:L,"*4. Family Planning*")
))</f>
        <v/>
      </c>
      <c r="V148" s="102" t="str">
        <f>IF(A148="","",
SUM(
COUNTIFS('QA Log'!D:D,A148,'QA Log'!M:M,"QQC",'QA Log'!Z:Z,"Approved",'QA Log'!L:L,"*8. Maternity*"),
COUNTIFS('QA Log'!D:D,A148,'QA Log'!M:M,"QQC",'QA Log'!Z:Z,"Approved",'QA Log'!L:L,"*9. EPI and Pre-school Consultation*"),
COUNTIFS('QA Log'!D:D,A148,'QA Log'!M:M,"QQC",'QA Log'!Z:Z,"Approved",'QA Log'!L:L,"*10. Antenatal Care (ANC)*"),
COUNTIFS('QA Log'!D:D,A148,'QA Log'!M:M,"QQC",'QA Log'!Z:Z,"Approved",'QA Log'!L:L,"*2. Hygiene and Sterilization*"),
COUNTIFS('QA Log'!D:D,A148,'QA Log'!M:M,"QQC",'QA Log'!Z:Z,"Approved",'QA Log'!L:L,"*4. Family Planning*")
))</f>
        <v/>
      </c>
      <c r="W148" s="105" t="str">
        <f>IF(A148&lt;&gt;"",COUNTIFS('QA Log'!D:D,A148,'QA Log'!M:M,"QQC",'QA Log'!L:L,"8. Maternity",'QA Log'!Z:Z,"Approved"),"")</f>
        <v/>
      </c>
      <c r="X148" s="105" t="str">
        <f>IF(A148&lt;&gt;"",COUNTIFS('QA Log'!D:D,A148,'QA Log'!M:M,"QQC",'QA Log'!L:L,"9. EPI and Pre-school Consultation",'QA Log'!Z:Z,"Approved"),"")</f>
        <v/>
      </c>
      <c r="Y148" s="105" t="str">
        <f>IF(A148&lt;&gt;"",COUNTIFS('QA Log'!D:D,A148,'QA Log'!M:M,"QQC",'QA Log'!L:L,"10. Antenatal Care (ANC)",'QA Log'!Z:Z,"Approved"),"")</f>
        <v/>
      </c>
      <c r="Z148" s="105" t="str">
        <f>IF(A148&lt;&gt;"",COUNTIFS('QA Log'!D:D,A148,'QA Log'!M:M,"QQC",'QA Log'!L:L,"2. Hygiene and Sterilization",'QA Log'!Z:Z,"Approved"),"")</f>
        <v/>
      </c>
      <c r="AA148" s="105" t="str">
        <f>IF(A148&lt;&gt;"",COUNTIFS('QA Log'!D:D,A148,'QA Log'!M:M,"QQC",'QA Log'!L:L,"4. Family Planning",'QA Log'!Z:Z,"Approved"),"")</f>
        <v/>
      </c>
      <c r="AB148" s="102" t="str">
        <f>IF(A148="","",
SUM(
COUNTIFS('QA Log'!D:D,A148,'QA Log'!M:M,"QQC",'QA Log'!Z:Z,"Rejected",'QA Log'!L:L,"*8. Maternity*"),
COUNTIFS('QA Log'!D:D,A148,'QA Log'!M:M,"QQC",'QA Log'!Z:Z,"Rejected",'QA Log'!L:L,"*9. EPI and Pre-school Consultation*"),
COUNTIFS('QA Log'!D:D,A148,'QA Log'!M:M,"QQC",'QA Log'!Z:Z,"Rejected",'QA Log'!L:L,"*10. Antenatal Care (ANC)*"),
COUNTIFS('QA Log'!D:D,A148,'QA Log'!M:M,"QQC",'QA Log'!Z:Z,"Rejected",'QA Log'!L:L,"*2. Hygiene and Sterilization*"),
COUNTIFS('QA Log'!D:D,A148,'QA Log'!M:M,"QQC",'QA Log'!Z:Z,"Rejected",'QA Log'!L:L,"*4. Family Planning*")
))</f>
        <v/>
      </c>
      <c r="AC148" s="102" t="str">
        <f t="shared" si="3"/>
        <v/>
      </c>
      <c r="AD148" s="103" t="str">
        <f t="shared" si="4"/>
        <v/>
      </c>
      <c r="AE148" s="102" t="str">
        <f>IF(A148="","",
SUM(
COUNTIFS('QA Log'!D:D,A148,'QA Log'!M:M,"Data Verification",'QA Log'!L:L,"*Medicine (section 2)*"),
COUNTIFS('QA Log'!D:D,A148,'QA Log'!M:M,"Data Verification",'QA Log'!L:L,"*Lab Testing Availability*"),
COUNTIFS('QA Log'!D:D,A148,'QA Log'!M:M,"Data Verification",'QA Log'!L:L,"*Other than P4P (section 6)*"),
COUNTIFS('QA Log'!D:D,A148,'QA Log'!M:M,"Data Verification",'QA Log'!L:L,"*Hospital Governance*")
))</f>
        <v/>
      </c>
      <c r="AF148" s="102" t="str">
        <f>IF(A148="","",
SUM(
COUNTIFS('QA Log'!D:D,A148,'QA Log'!M:M,"Data Verification",'QA Log'!Z:Z,"Approved",'QA Log'!L:L,"*Medicine (section 2)*"),
COUNTIFS('QA Log'!D:D,A148,'QA Log'!M:M,"Data Verification",'QA Log'!Z:Z,"Approved",'QA Log'!L:L,"*Lab Testing Availability*"),
COUNTIFS('QA Log'!D:D,A148,'QA Log'!M:M,"Data Verification",'QA Log'!Z:Z,"Approved",'QA Log'!L:L,"*Other than P4P (section 6)*"),
COUNTIFS('QA Log'!D:D,A148,'QA Log'!M:M,"Data Verification",'QA Log'!Z:Z,"Approved",'QA Log'!L:L,"*Hospital Governance*")
))</f>
        <v/>
      </c>
      <c r="AG148" s="105" t="str">
        <f>IF(A148&lt;&gt;"",COUNTIFS('QA Log'!D:D,A148,'QA Log'!M:M,"Data Verification",'QA Log'!L:L,"Medicine (section 2)",'QA Log'!Z:Z,"Approved"),"")</f>
        <v/>
      </c>
      <c r="AH148" s="105" t="str">
        <f>IF(A148&lt;&gt;"",COUNTIFS('QA Log'!D:D,A148,'QA Log'!M:M,"Data Verification",'QA Log'!L:L,"Lab Testing Availability",'QA Log'!Z:Z,"Approved"),"")</f>
        <v/>
      </c>
      <c r="AI148" s="105" t="str">
        <f>IF(A148&lt;&gt;"",COUNTIFS('QA Log'!D:D,A148,'QA Log'!M:M,"Data Verification",'QA Log'!L:L,"Other than P4P (section 6)",'QA Log'!Z:Z,"Approved"),"")</f>
        <v/>
      </c>
      <c r="AJ148" s="105" t="str">
        <f>IF(A148&lt;&gt;"",COUNTIFS('QA Log'!D:D,A148,'QA Log'!M:M,"Data Verification",'QA Log'!L:L,"Hospital Governance",'QA Log'!Z:Z,"Approved"),"")</f>
        <v/>
      </c>
      <c r="AK148" s="102" t="str">
        <f>IF(A148="","",
SUM(
COUNTIFS('QA Log'!D:D,A148,'QA Log'!M:M,"Data Verification",'QA Log'!Z:Z,"Rejected",'QA Log'!L:L,"*Medicine (section 2)*"),
COUNTIFS('QA Log'!D:D,A148,'QA Log'!M:M,"Data Verification",'QA Log'!Z:Z,"Rejected",'QA Log'!L:L,"*Lab Testing Availability*"),
COUNTIFS('QA Log'!D:D,A148,'QA Log'!M:M,"Data Verification",'QA Log'!Z:Z,"Rejected",'QA Log'!L:L,"*Other than P4P (section 6)*"),
COUNTIFS('QA Log'!D:D,A148,'QA Log'!M:M,"Data Verification",'QA Log'!Z:Z,"Rejected",'QA Log'!L:L,"*Hospital Governance*")
))</f>
        <v/>
      </c>
      <c r="AL148" s="106" t="str">
        <f t="shared" si="5"/>
        <v/>
      </c>
      <c r="AM148" s="102" t="str">
        <f t="shared" si="6"/>
        <v/>
      </c>
      <c r="AN148" s="102" t="str">
        <f>IF(A148="","",
SUM(
COUNTIFS('QA Log'!D:D,A148,'QA Log'!M:M,"Data Verification",'QA Log'!L:L,"*Personnel (section 1)*"),
COUNTIFS('QA Log'!D:D,A148,'QA Log'!M:M,"Data Verification",'QA Log'!L:L,"*Consumable (section 3)*"),
COUNTIFS('QA Log'!D:D,A148,'QA Log'!M:M,"Data Verification",'QA Log'!L:L,"*Equipments (section 4)*")
))</f>
        <v/>
      </c>
      <c r="AO148" s="102" t="str">
        <f>IF(A148="","",
SUM(
COUNTIFS('QA Log'!D:D,A148,'QA Log'!M:M,"Data Verification",'QA Log'!Z:Z,"Approved",'QA Log'!L:L,"*Personnel (section 1)*"),
COUNTIFS('QA Log'!D:D,A148,'QA Log'!M:M,"Data Verification",'QA Log'!Z:Z,"Approved",'QA Log'!L:L,"*Consumable (section 3)*"),
COUNTIFS('QA Log'!D:D,A148,'QA Log'!M:M,"Data Verification",'QA Log'!Z:Z,"Approved",'QA Log'!L:L,"*Equipments (section 4)*")
))</f>
        <v/>
      </c>
      <c r="AP148" s="105" t="str">
        <f>IF(A148&lt;&gt;"",COUNTIFS('QA Log'!D:D,A148,'QA Log'!M:M,"Data Verification",'QA Log'!L:L,"Personnel (section 1)",'QA Log'!Z:Z,"Approved"),"")</f>
        <v/>
      </c>
      <c r="AQ148" s="105" t="str">
        <f>IF(A148&lt;&gt;"",COUNTIFS('QA Log'!D:D,A148,'QA Log'!M:M,"Data Verification",'QA Log'!L:L,"Consumable (section 3)",'QA Log'!Z:Z,"Approved"),"")</f>
        <v/>
      </c>
      <c r="AR148" s="105" t="str">
        <f>IF(A148&lt;&gt;"",COUNTIFS('QA Log'!D:D,A148,'QA Log'!M:M,"Data Verification",'QA Log'!L:L,"Equipments (section 4)",'QA Log'!Z:Z,"Approved"),"")</f>
        <v/>
      </c>
      <c r="AS148" s="102" t="str">
        <f>IF(A148="","",
SUM(
COUNTIFS('QA Log'!D:D,A148,'QA Log'!M:M,"Data Verification",'QA Log'!Z:Z,"Rejected",'QA Log'!L:L,"*Personnel (section 1)*"),
COUNTIFS('QA Log'!D:D,A148,'QA Log'!M:M,"Data Verification",'QA Log'!Z:Z,"Rejected",'QA Log'!L:L,"*Consumable (section 3)*"),
COUNTIFS('QA Log'!D:D,A148,'QA Log'!M:M,"Data Verification",'QA Log'!Z:Z,"Rejected",'QA Log'!L:L,"*Equipments (section 4)*")
))</f>
        <v/>
      </c>
      <c r="AT148" s="102" t="str">
        <f t="shared" si="7"/>
        <v/>
      </c>
      <c r="AU148" s="103" t="str">
        <f t="shared" si="8"/>
        <v/>
      </c>
      <c r="AV148" s="102" t="str">
        <f>IF(A148="","",SUM(
COUNTIFS('QA Log'!D:D,A148,'QA Log'!M:M,"Vignette",'QA Log'!L:L,"*Vignette [1] Respiratory Infection: Pneumonia*"),
COUNTIFS('QA Log'!D:D,A148,'QA Log'!M:M,"Vignette",'QA Log'!L:L,"*Vignette [2]: Diarrhea with Cat B dehydration*"),
COUNTIFS('QA Log'!D:D,A148,'QA Log'!M:M,"Vignette",'QA Log'!L:L,"*Vignette [3] Growth Monitoring and Promotion*"),
COUNTIFS('QA Log'!D:D,A148,'QA Log'!M:M,"Vignette",'QA Log'!L:L,"*Vignette [4]: The management of presumptive TB patient*")
)
)</f>
        <v/>
      </c>
      <c r="AW148" s="102" t="str">
        <f>IF(
  A148="","",
  SUM(
    COUNTIFS('QA Log'!D:D,A148,'QA Log'!M:M,"Vignette",'QA Log'!Z:Z,"Approved",'QA Log'!L:L,"*Vignette [1] Respiratory Infection: Pneumonia*"),
    COUNTIFS('QA Log'!D:D,A148,'QA Log'!M:M,"Vignette",'QA Log'!Z:Z,"Approved",'QA Log'!L:L,"*Vignette [2]: Diarrhea with Cat B dehydration*"),
    COUNTIFS('QA Log'!D:D,A148,'QA Log'!M:M,"Vignette",'QA Log'!Z:Z,"Approved",'QA Log'!L:L,"*Vignette [3] Growth Monitoring and Promotion*"),
    COUNTIFS('QA Log'!D:D,A148,'QA Log'!M:M,"Vignette",'QA Log'!Z:Z,"Approved",'QA Log'!L:L,"*Vignette [4]: The management of presumptive TB patient*")
  )
)</f>
        <v/>
      </c>
      <c r="AX148" s="105" t="str">
        <f>IF(A148&lt;&gt;"",COUNTIFS('QA Log'!D:D,A148,'QA Log'!M:M,"Vignette",'QA Log'!L:L,"Vignette [1] Respiratory Infection: Pneumonia",'QA Log'!Z:Z,"Approved"),"")</f>
        <v/>
      </c>
      <c r="AY148" s="105" t="str">
        <f>IF(A148&lt;&gt;"",COUNTIFS('QA Log'!D:D,A148,'QA Log'!M:M,"Vignette",'QA Log'!L:L,"Vignette [2]: Diarrhea with Cat B dehydration",'QA Log'!Z:Z,"Approved"),"")</f>
        <v/>
      </c>
      <c r="AZ148" s="105" t="str">
        <f>IF(A148&lt;&gt;"",COUNTIFS('QA Log'!D:D,A148,'QA Log'!M:M,"Vignette",'QA Log'!L:L,"Vignette [3] Growth Monitoring and Promotion",'QA Log'!Z:Z,"Approved"),"")</f>
        <v/>
      </c>
      <c r="BA148" s="105" t="str">
        <f>IF(A148&lt;&gt;"",COUNTIFS('QA Log'!D:D,A148,'QA Log'!M:M,"Vignette",'QA Log'!L:L,"Vignette [4]: The management of presumptive TB patient",'QA Log'!Z:Z,"Approved"),"")</f>
        <v/>
      </c>
      <c r="BB148" s="102" t="str">
        <f>IF(A148="","",
  SUM(
    COUNTIFS('QA Log'!D:D,A148,'QA Log'!M:M,"Vignette",'QA Log'!Z:Z,"Rejected",'QA Log'!L:L,"*Vignette [1] Respiratory Infection: Pneumonia*"),
    COUNTIFS('QA Log'!D:D,A148,'QA Log'!M:M,"Vignette",'QA Log'!Z:Z,"Rejected",'QA Log'!L:L,"*Vignette [2]: Diarrhea with Cat B dehydration*"),
    COUNTIFS('QA Log'!D:D,A148,'QA Log'!M:M,"Vignette",'QA Log'!Z:Z,"Rejected",'QA Log'!L:L,"*Vignette [3] Growth Monitoring and Promotion*"),
    COUNTIFS('QA Log'!D:D,A148,'QA Log'!M:M,"Vignette",'QA Log'!Z:Z,"Rejected",'QA Log'!L:L,"*Vignette [4]: The management of presumptive TB patient*")
  )
)</f>
        <v/>
      </c>
      <c r="BC148" s="107" t="str">
        <f t="shared" si="9"/>
        <v/>
      </c>
      <c r="BD148" s="103" t="str">
        <f t="shared" si="10"/>
        <v/>
      </c>
      <c r="BE148" s="102" t="str">
        <f>IF(A148="","",SUM(
COUNTIFS('QA Log'!D:D,A148,'QA Log'!M:M,"Vignette",'QA Log'!L:L,"*Vignette [5] Labor*"),
COUNTIFS('QA Log'!D:D,A148,'QA Log'!M:M,"Vignette",'QA Log'!L:L,"*Vignette [6] PNC pre Discharge*"),
COUNTIFS('QA Log'!D:D,A148,'QA Log'!M:M,"Vignette",'QA Log'!L:L,"*Vignette [7] First ANC Visit*"),
COUNTIFS('QA Log'!D:D,A148,'QA Log'!M:M,"Vignette",'QA Log'!L:L,"*Vignette [8] Birth Spacing/ Family Planning :  FP Counselling*"),
COUNTIFS('QA Log'!D:D,A148,'QA Log'!M:M,"Vignette",'QA Log'!L:L,"*Vignette [9] Birth Spacing: Change FP method to Injectable*"),
COUNTIFS('QA Log'!D:D,A148,'QA Log'!M:M,"Vignette",'QA Log'!L:L,"*Vignette [10] Post Partum Haemorrhage - Atonic Uterus at Health Centre*"),
)
)</f>
        <v/>
      </c>
      <c r="BF148" s="102" t="str">
        <f>IF(A148="","",
  SUM(
    COUNTIFS('QA Log'!D:D,A148,'QA Log'!M:M,"Vignette",'QA Log'!Z:Z,"Approved",'QA Log'!L:L,"*Vignette [5] Labor*"),
    COUNTIFS('QA Log'!D:D,A148,'QA Log'!M:M,"Vignette",'QA Log'!Z:Z,"Approved",'QA Log'!L:L,"*Vignette [6] PNC pre Discharge*"),
    COUNTIFS('QA Log'!D:D,A148,'QA Log'!M:M,"Vignette",'QA Log'!Z:Z,"Approved",'QA Log'!L:L,"*Vignette [7] First ANC Visit*"),
    COUNTIFS('QA Log'!D:D,A148,'QA Log'!M:M,"Vignette",'QA Log'!Z:Z,"Approved",'QA Log'!L:L,"*Vignette [8] Birth Spacing/ Family Planning :  FP Counselling*"),
    COUNTIFS('QA Log'!D:D,A148,'QA Log'!M:M,"Vignette",'QA Log'!Z:Z,"Approved",'QA Log'!L:L,"*Vignette [9] Birth Spacing: Change FP method to Injectable*"),
    COUNTIFS('QA Log'!D:D,A148,'QA Log'!M:M,"Vignette",'QA Log'!Z:Z,"Approved",'QA Log'!L:L,"*Vignette [10] Post Partum Haemorrhage - Atonic Uterus at Health Centre*")
  )
)</f>
        <v/>
      </c>
      <c r="BG148" s="105" t="str">
        <f>IF(A148&lt;&gt;"",COUNTIFS('QA Log'!D:D,A148,'QA Log'!M:M,"Vignette",'QA Log'!L:L,"Vignette [5] Labor",'QA Log'!Z:Z,"Approved"),"")</f>
        <v/>
      </c>
      <c r="BH148" s="105" t="str">
        <f>IF(A148&lt;&gt;"",COUNTIFS('QA Log'!D:D,A148,'QA Log'!M:M,"Vignette",'QA Log'!L:L,"Vignette [6] PNC pre Discharge",'QA Log'!Z:Z,"Approved"),"")</f>
        <v/>
      </c>
      <c r="BI148" s="105" t="str">
        <f>IF(A148&lt;&gt;"",COUNTIFS('QA Log'!D:D,A148,'QA Log'!M:M,"Vignette",'QA Log'!L:L,"Vignette [7] First ANC Visit",'QA Log'!Z:Z,"Approved"),"")</f>
        <v/>
      </c>
      <c r="BJ148" s="105" t="str">
        <f>IF(A148&lt;&gt;"",COUNTIFS('QA Log'!D:D,A148,'QA Log'!M:M,"Vignette",'QA Log'!L:L,"Vignette [8] Birth Spacing/ Family Planning :  FP Counselling",'QA Log'!Z:Z,"Approved"),"")</f>
        <v/>
      </c>
      <c r="BK148" s="105" t="str">
        <f>IF(A148&lt;&gt;"",COUNTIFS('QA Log'!D:D,A148,'QA Log'!M:M,"Vignette",'QA Log'!L:L,"Vignette [9] Birth Spacing: Change FP method to Injectable",'QA Log'!Z:Z,"Approved"),"")</f>
        <v/>
      </c>
      <c r="BL148" s="105" t="str">
        <f>IF(A148&lt;&gt;"",COUNTIFS('QA Log'!D:D,A148,'QA Log'!M:M,"Vignette",'QA Log'!L:L,"Vignette [10] Post Partum Haemorrhage - Atonic Uterus at Health Centre",'QA Log'!Z:Z,"Approved"),"")</f>
        <v/>
      </c>
      <c r="BM148" s="102" t="str">
        <f>IF(A148="","",SUM(
    COUNTIFS('QA Log'!D:D,A148,'QA Log'!M:M,"Vignette",'QA Log'!Z:Z,"Rejected",'QA Log'!L:L,"*Vignette [5] Labor*"),
    COUNTIFS('QA Log'!D:D,A148,'QA Log'!M:M,"Vignette",'QA Log'!Z:Z,"Rejected",'QA Log'!L:L,"*Vignette [6] PNC pre Discharge*"),
    COUNTIFS('QA Log'!D:D,A148,'QA Log'!M:M,"Vignette",'QA Log'!Z:Z,"Rejected",'QA Log'!L:L,"*Vignette [7] First ANC Visit*"),
    COUNTIFS('QA Log'!D:D,A148,'QA Log'!M:M,"Vignette",'QA Log'!Z:Z,"Rejected",'QA Log'!L:L,"*Vignette [8] Birth Spacing/ Family Planning :  FP Counselling*"),
    COUNTIFS('QA Log'!D:D,A148,'QA Log'!M:M,"Vignette",'QA Log'!Z:Z,"Rejected",'QA Log'!L:L,"*Vignette [9] Birth Spacing: Change FP method to Injectable*"),
    COUNTIFS('QA Log'!D:D,A148,'QA Log'!M:M,"Vignette",'QA Log'!Z:Z,"Rejected",'QA Log'!L:L,"*Vignette [10] Post Partum Haemorrhage - Atonic Uterus at Health Centre*")
  )
)</f>
        <v/>
      </c>
      <c r="BN148" s="107" t="str">
        <f t="shared" si="11"/>
        <v/>
      </c>
      <c r="BO148" s="103" t="str">
        <f t="shared" si="12"/>
        <v/>
      </c>
      <c r="BP148" s="102" t="str">
        <f>IF(A148="","",SUM(
COUNTIFS('QA Log'!D:D,A148,'QA Log'!M:M,"Vignette",'QA Log'!L:L,"*Exit Interview 1*"),
COUNTIFS('QA Log'!D:D,A148,'QA Log'!M:M,"Vignette",'QA Log'!L:L,"*Exit Interview 2*"),
)
)</f>
        <v/>
      </c>
      <c r="BQ148" s="102" t="str">
        <f>IF(
  A148="","",
  SUM(
    COUNTIFS('QA Log'!D:D,A148,'QA Log'!M:M,"Vignette",'QA Log'!Z:Z,"Approved",'QA Log'!L:L,"*Exit Interview 1*"),
    COUNTIFS('QA Log'!D:D,A148,'QA Log'!M:M,"Vignette",'QA Log'!Z:Z,"Approved",'QA Log'!L:L,"*Exit Interview 2*")
  )
)</f>
        <v/>
      </c>
      <c r="BR148" s="105" t="str">
        <f>IF(A148&lt;&gt;"",COUNTIFS('QA Log'!D:D,A148,'QA Log'!M:M,"Vignette",'QA Log'!L:L,"Exit Interview 1",'QA Log'!Z:Z,"Approved"),"")</f>
        <v/>
      </c>
      <c r="BS148" s="105" t="str">
        <f>IF(A148&lt;&gt;"",COUNTIFS('QA Log'!D:D,A148,'QA Log'!M:M,"Vignette",'QA Log'!L:L,"Exit Interview 2",'QA Log'!Z:Z,"Approved"),"")</f>
        <v/>
      </c>
      <c r="BT148" s="102" t="str">
        <f>IF(
  A148="","",
  SUM(
    COUNTIFS('QA Log'!D:D,A148,'QA Log'!M:M,"Vignette",'QA Log'!Z:Z,"Rejected",'QA Log'!L:L,"*Exit Interview 1*"),
    COUNTIFS('QA Log'!D:D,A148,'QA Log'!M:M,"Vignette",'QA Log'!Z:Z,"Rejected",'QA Log'!L:L,"*Exit Interview 2*")
  )
)</f>
        <v/>
      </c>
      <c r="BU148" s="107" t="str">
        <f t="shared" si="13"/>
        <v/>
      </c>
      <c r="BV148" s="102" t="str">
        <f t="shared" si="14"/>
        <v/>
      </c>
      <c r="BW148" s="102" t="str">
        <f t="shared" si="15"/>
        <v/>
      </c>
      <c r="BX148" s="102" t="str">
        <f t="shared" si="16"/>
        <v/>
      </c>
      <c r="BY148" s="102" t="str">
        <f t="shared" si="17"/>
        <v/>
      </c>
      <c r="BZ148" s="107" t="str">
        <f t="shared" si="18"/>
        <v/>
      </c>
      <c r="CA148" s="108" t="str">
        <f t="shared" si="19"/>
        <v/>
      </c>
      <c r="CB148" s="108" t="str">
        <f t="shared" si="20"/>
        <v/>
      </c>
      <c r="CC148" s="109" t="str">
        <f t="shared" si="21"/>
        <v/>
      </c>
      <c r="CD148" s="108" t="str">
        <f t="shared" si="22"/>
        <v/>
      </c>
      <c r="CE148" s="108" t="str">
        <f t="shared" si="23"/>
        <v/>
      </c>
      <c r="CF148" s="109" t="str">
        <f t="shared" si="24"/>
        <v/>
      </c>
      <c r="CG148" s="110" t="str">
        <f t="shared" si="25"/>
        <v/>
      </c>
      <c r="CH148" s="111"/>
    </row>
    <row r="149" spans="1:86" ht="12.75">
      <c r="A149" s="101"/>
      <c r="B149" s="102" t="e">
        <f t="array" aca="1" ref="B149" ca="1">_xludf.XLOOKUP(A149,'QA Log'!D:D,'QA Log'!E:E,"")</f>
        <v>#NAME?</v>
      </c>
      <c r="C149" s="102" t="e">
        <f t="array" aca="1" ref="C149" ca="1">_xludf.XLOOKUP(A149,'QA Log'!D:D,'QA Log'!F:F,"")</f>
        <v>#NAME?</v>
      </c>
      <c r="D149" s="102" t="e">
        <f t="array" aca="1" ref="D149" ca="1">_xludf.XLOOKUP(A149,'QA Log'!D:D,'QA Log'!H:H,"")</f>
        <v>#NAME?</v>
      </c>
      <c r="E149" s="102" t="e">
        <f t="array" aca="1" ref="E149" ca="1">_xludf.XLOOKUP(A149,'QA Log'!D:D,'QA Log'!G:G,"")</f>
        <v>#NAME?</v>
      </c>
      <c r="F149" s="103"/>
      <c r="G149" s="104"/>
      <c r="H149" s="104"/>
      <c r="I149" s="103" t="str">
        <f t="shared" si="0"/>
        <v/>
      </c>
      <c r="J149" s="102" t="str">
        <f>IF(A149="","",SUM(
COUNTIFS('QA Log'!D:D,A149,'QA Log'!M:M,"QQC",'QA Log'!L:L,"*1. General Management*"),
COUNTIFS('QA Log'!D:D,A149,'QA Log'!M:M,"QQC",'QA Log'!L:L,"*3. Curative Consultation (OPD)*"),
COUNTIFS('QA Log'!D:D,A149,'QA Log'!M:M,"QQC",'QA Log'!L:L,"*5. Laboratory*"),
COUNTIFS('QA Log'!D:D,A149,'QA Log'!M:M,"QQC",'QA Log'!L:L,"*6. Essential Medicine Management*"),
COUNTIFS('QA Log'!D:D,A149,'QA Log'!M:M,"QQC",'QA Log'!L:L,"*7. Tracer Medicine*"),
COUNTIFS('QA Log'!D:D,A149,'QA Log'!M:M,"QQC",'QA Log'!L:L,"*11. Additional Questions*")))</f>
        <v/>
      </c>
      <c r="K149" s="102" t="str">
        <f>IF(A149="","",SUM(
COUNTIFS('QA Log'!D:D,A149,'QA Log'!M:M,"QQC",'QA Log'!Z:Z,"Approved",'QA Log'!L:L,"*1. General Management*"),
COUNTIFS('QA Log'!D:D,A149,'QA Log'!M:M,"QQC",'QA Log'!Z:Z,"Approved",'QA Log'!L:L,"*3. Curative Consultation (OPD)*"),
COUNTIFS('QA Log'!D:D,A149,'QA Log'!M:M,"QQC",'QA Log'!Z:Z,"Approved",'QA Log'!L:L,"*5. Laboratory*"),
COUNTIFS('QA Log'!D:D,A149,'QA Log'!M:M,"QQC",'QA Log'!Z:Z,"Approved",'QA Log'!L:L,"*6. Essential Medicine Management*"),
COUNTIFS('QA Log'!D:D,A149,'QA Log'!M:M,"QQC",'QA Log'!Z:Z,"Approved",'QA Log'!L:L,"*7. Tracer Medicine*"),
COUNTIFS('QA Log'!D:D,A149,'QA Log'!M:M,"QQC",'QA Log'!Z:Z,"Approved",'QA Log'!L:L,"*11. Additional Questions*")))</f>
        <v/>
      </c>
      <c r="L149" s="105" t="str">
        <f>IF(A149&lt;&gt;"",COUNTIFS('QA Log'!D:D,A149,'QA Log'!M:M,"QQC",'QA Log'!L:L,"1. General Management",'QA Log'!Z:Z,"Approved"),"")</f>
        <v/>
      </c>
      <c r="M149" s="105" t="str">
        <f>IF(A149&lt;&gt;"",COUNTIFS('QA Log'!D:D,A149,'QA Log'!M:M,"QQC",'QA Log'!L:L,"3. Curative Consultation (OPD)",'QA Log'!Z:Z,"Approved"),"")</f>
        <v/>
      </c>
      <c r="N149" s="105" t="str">
        <f>IF(A149&lt;&gt;"",COUNTIFS('QA Log'!D:D,A149,'QA Log'!M:M,"QQC",'QA Log'!L:L,"5. Laboratory",'QA Log'!Z:Z,"Approved"),"")</f>
        <v/>
      </c>
      <c r="O149" s="105" t="str">
        <f>IF(A149&lt;&gt;"",COUNTIFS('QA Log'!D:D,A149,'QA Log'!M:M,"QQC",'QA Log'!L:L,"6. Essential Medicine Management",'QA Log'!Z:Z,"Approved"),"")</f>
        <v/>
      </c>
      <c r="P149" s="105" t="str">
        <f>IF(A149&lt;&gt;"",COUNTIFS('QA Log'!D:D,A149,'QA Log'!M:M,"QQC",'QA Log'!L:L,"7. Tracer Medicine",'QA Log'!Z:Z,"Approved"),"")</f>
        <v/>
      </c>
      <c r="Q149" s="105" t="str">
        <f>IF(A149&lt;&gt;"",COUNTIFS('QA Log'!D:D,A149,'QA Log'!M:M,"QQC",'QA Log'!L:L,"11. Additional Questions",'QA Log'!Z:Z,"Approved"),"")</f>
        <v/>
      </c>
      <c r="R149" s="102" t="str">
        <f>IF(A149="","",SUM(
COUNTIFS('QA Log'!D:D,A149,'QA Log'!M:M,"QQC",'QA Log'!Z:Z,"Rejected",'QA Log'!L:L,"*8. Maternity*"),
COUNTIFS('QA Log'!D:D,A149,'QA Log'!M:M,"QQC",'QA Log'!Z:Z,"Rejected",'QA Log'!L:L,"*EPI*"),
COUNTIFS('QA Log'!D:D,A149,'QA Log'!M:M,"QQC",'QA Log'!Z:Z,"Rejected",'QA Log'!L:L,"*10. Antenatal Care (ANC)*"),
COUNTIFS('QA Log'!D:D,A149,'QA Log'!M:M,"QQC",'QA Log'!Z:Z,"Rejected",'QA Log'!L:L,"*2. Hygiene and Sterilization*"),
COUNTIFS('QA Log'!D:D,A149,'QA Log'!M:M,"QQC",'QA Log'!Z:Z,"Rejected",'QA Log'!L:L,"*Family Planning*")))</f>
        <v/>
      </c>
      <c r="S149" s="106" t="str">
        <f t="shared" si="1"/>
        <v/>
      </c>
      <c r="T149" s="102" t="str">
        <f t="shared" si="2"/>
        <v/>
      </c>
      <c r="U149" s="102" t="str">
        <f>IF(A149="","",
SUM(
COUNTIFS('QA Log'!D:D,A149,'QA Log'!M:M,"QQC",'QA Log'!L:L,"*8. Maternity*"),
COUNTIFS('QA Log'!D:D,A149,'QA Log'!M:M,"QQC",'QA Log'!L:L,"*9. EPI and Pre-school Consultation*"),
COUNTIFS('QA Log'!D:D,A149,'QA Log'!M:M,"QQC",'QA Log'!L:L,"*10. Antenatal Care (ANC)*"),
COUNTIFS('QA Log'!D:D,A149,'QA Log'!M:M,"QQC",'QA Log'!L:L,"*2. Hygiene and Sterilization*"),
COUNTIFS('QA Log'!D:D,A149,'QA Log'!M:M,"QQC",'QA Log'!L:L,"*4. Family Planning*")
))</f>
        <v/>
      </c>
      <c r="V149" s="102" t="str">
        <f>IF(A149="","",
SUM(
COUNTIFS('QA Log'!D:D,A149,'QA Log'!M:M,"QQC",'QA Log'!Z:Z,"Approved",'QA Log'!L:L,"*8. Maternity*"),
COUNTIFS('QA Log'!D:D,A149,'QA Log'!M:M,"QQC",'QA Log'!Z:Z,"Approved",'QA Log'!L:L,"*9. EPI and Pre-school Consultation*"),
COUNTIFS('QA Log'!D:D,A149,'QA Log'!M:M,"QQC",'QA Log'!Z:Z,"Approved",'QA Log'!L:L,"*10. Antenatal Care (ANC)*"),
COUNTIFS('QA Log'!D:D,A149,'QA Log'!M:M,"QQC",'QA Log'!Z:Z,"Approved",'QA Log'!L:L,"*2. Hygiene and Sterilization*"),
COUNTIFS('QA Log'!D:D,A149,'QA Log'!M:M,"QQC",'QA Log'!Z:Z,"Approved",'QA Log'!L:L,"*4. Family Planning*")
))</f>
        <v/>
      </c>
      <c r="W149" s="105" t="str">
        <f>IF(A149&lt;&gt;"",COUNTIFS('QA Log'!D:D,A149,'QA Log'!M:M,"QQC",'QA Log'!L:L,"8. Maternity",'QA Log'!Z:Z,"Approved"),"")</f>
        <v/>
      </c>
      <c r="X149" s="105" t="str">
        <f>IF(A149&lt;&gt;"",COUNTIFS('QA Log'!D:D,A149,'QA Log'!M:M,"QQC",'QA Log'!L:L,"9. EPI and Pre-school Consultation",'QA Log'!Z:Z,"Approved"),"")</f>
        <v/>
      </c>
      <c r="Y149" s="105" t="str">
        <f>IF(A149&lt;&gt;"",COUNTIFS('QA Log'!D:D,A149,'QA Log'!M:M,"QQC",'QA Log'!L:L,"10. Antenatal Care (ANC)",'QA Log'!Z:Z,"Approved"),"")</f>
        <v/>
      </c>
      <c r="Z149" s="105" t="str">
        <f>IF(A149&lt;&gt;"",COUNTIFS('QA Log'!D:D,A149,'QA Log'!M:M,"QQC",'QA Log'!L:L,"2. Hygiene and Sterilization",'QA Log'!Z:Z,"Approved"),"")</f>
        <v/>
      </c>
      <c r="AA149" s="105" t="str">
        <f>IF(A149&lt;&gt;"",COUNTIFS('QA Log'!D:D,A149,'QA Log'!M:M,"QQC",'QA Log'!L:L,"4. Family Planning",'QA Log'!Z:Z,"Approved"),"")</f>
        <v/>
      </c>
      <c r="AB149" s="102" t="str">
        <f>IF(A149="","",
SUM(
COUNTIFS('QA Log'!D:D,A149,'QA Log'!M:M,"QQC",'QA Log'!Z:Z,"Rejected",'QA Log'!L:L,"*8. Maternity*"),
COUNTIFS('QA Log'!D:D,A149,'QA Log'!M:M,"QQC",'QA Log'!Z:Z,"Rejected",'QA Log'!L:L,"*9. EPI and Pre-school Consultation*"),
COUNTIFS('QA Log'!D:D,A149,'QA Log'!M:M,"QQC",'QA Log'!Z:Z,"Rejected",'QA Log'!L:L,"*10. Antenatal Care (ANC)*"),
COUNTIFS('QA Log'!D:D,A149,'QA Log'!M:M,"QQC",'QA Log'!Z:Z,"Rejected",'QA Log'!L:L,"*2. Hygiene and Sterilization*"),
COUNTIFS('QA Log'!D:D,A149,'QA Log'!M:M,"QQC",'QA Log'!Z:Z,"Rejected",'QA Log'!L:L,"*4. Family Planning*")
))</f>
        <v/>
      </c>
      <c r="AC149" s="102" t="str">
        <f t="shared" si="3"/>
        <v/>
      </c>
      <c r="AD149" s="103" t="str">
        <f t="shared" si="4"/>
        <v/>
      </c>
      <c r="AE149" s="102" t="str">
        <f>IF(A149="","",
SUM(
COUNTIFS('QA Log'!D:D,A149,'QA Log'!M:M,"Data Verification",'QA Log'!L:L,"*Medicine (section 2)*"),
COUNTIFS('QA Log'!D:D,A149,'QA Log'!M:M,"Data Verification",'QA Log'!L:L,"*Lab Testing Availability*"),
COUNTIFS('QA Log'!D:D,A149,'QA Log'!M:M,"Data Verification",'QA Log'!L:L,"*Other than P4P (section 6)*"),
COUNTIFS('QA Log'!D:D,A149,'QA Log'!M:M,"Data Verification",'QA Log'!L:L,"*Hospital Governance*")
))</f>
        <v/>
      </c>
      <c r="AF149" s="102" t="str">
        <f>IF(A149="","",
SUM(
COUNTIFS('QA Log'!D:D,A149,'QA Log'!M:M,"Data Verification",'QA Log'!Z:Z,"Approved",'QA Log'!L:L,"*Medicine (section 2)*"),
COUNTIFS('QA Log'!D:D,A149,'QA Log'!M:M,"Data Verification",'QA Log'!Z:Z,"Approved",'QA Log'!L:L,"*Lab Testing Availability*"),
COUNTIFS('QA Log'!D:D,A149,'QA Log'!M:M,"Data Verification",'QA Log'!Z:Z,"Approved",'QA Log'!L:L,"*Other than P4P (section 6)*"),
COUNTIFS('QA Log'!D:D,A149,'QA Log'!M:M,"Data Verification",'QA Log'!Z:Z,"Approved",'QA Log'!L:L,"*Hospital Governance*")
))</f>
        <v/>
      </c>
      <c r="AG149" s="105" t="str">
        <f>IF(A149&lt;&gt;"",COUNTIFS('QA Log'!D:D,A149,'QA Log'!M:M,"Data Verification",'QA Log'!L:L,"Medicine (section 2)",'QA Log'!Z:Z,"Approved"),"")</f>
        <v/>
      </c>
      <c r="AH149" s="105" t="str">
        <f>IF(A149&lt;&gt;"",COUNTIFS('QA Log'!D:D,A149,'QA Log'!M:M,"Data Verification",'QA Log'!L:L,"Lab Testing Availability",'QA Log'!Z:Z,"Approved"),"")</f>
        <v/>
      </c>
      <c r="AI149" s="105" t="str">
        <f>IF(A149&lt;&gt;"",COUNTIFS('QA Log'!D:D,A149,'QA Log'!M:M,"Data Verification",'QA Log'!L:L,"Other than P4P (section 6)",'QA Log'!Z:Z,"Approved"),"")</f>
        <v/>
      </c>
      <c r="AJ149" s="105" t="str">
        <f>IF(A149&lt;&gt;"",COUNTIFS('QA Log'!D:D,A149,'QA Log'!M:M,"Data Verification",'QA Log'!L:L,"Hospital Governance",'QA Log'!Z:Z,"Approved"),"")</f>
        <v/>
      </c>
      <c r="AK149" s="102" t="str">
        <f>IF(A149="","",
SUM(
COUNTIFS('QA Log'!D:D,A149,'QA Log'!M:M,"Data Verification",'QA Log'!Z:Z,"Rejected",'QA Log'!L:L,"*Medicine (section 2)*"),
COUNTIFS('QA Log'!D:D,A149,'QA Log'!M:M,"Data Verification",'QA Log'!Z:Z,"Rejected",'QA Log'!L:L,"*Lab Testing Availability*"),
COUNTIFS('QA Log'!D:D,A149,'QA Log'!M:M,"Data Verification",'QA Log'!Z:Z,"Rejected",'QA Log'!L:L,"*Other than P4P (section 6)*"),
COUNTIFS('QA Log'!D:D,A149,'QA Log'!M:M,"Data Verification",'QA Log'!Z:Z,"Rejected",'QA Log'!L:L,"*Hospital Governance*")
))</f>
        <v/>
      </c>
      <c r="AL149" s="106" t="str">
        <f t="shared" si="5"/>
        <v/>
      </c>
      <c r="AM149" s="102" t="str">
        <f t="shared" si="6"/>
        <v/>
      </c>
      <c r="AN149" s="102" t="str">
        <f>IF(A149="","",
SUM(
COUNTIFS('QA Log'!D:D,A149,'QA Log'!M:M,"Data Verification",'QA Log'!L:L,"*Personnel (section 1)*"),
COUNTIFS('QA Log'!D:D,A149,'QA Log'!M:M,"Data Verification",'QA Log'!L:L,"*Consumable (section 3)*"),
COUNTIFS('QA Log'!D:D,A149,'QA Log'!M:M,"Data Verification",'QA Log'!L:L,"*Equipments (section 4)*")
))</f>
        <v/>
      </c>
      <c r="AO149" s="102" t="str">
        <f>IF(A149="","",
SUM(
COUNTIFS('QA Log'!D:D,A149,'QA Log'!M:M,"Data Verification",'QA Log'!Z:Z,"Approved",'QA Log'!L:L,"*Personnel (section 1)*"),
COUNTIFS('QA Log'!D:D,A149,'QA Log'!M:M,"Data Verification",'QA Log'!Z:Z,"Approved",'QA Log'!L:L,"*Consumable (section 3)*"),
COUNTIFS('QA Log'!D:D,A149,'QA Log'!M:M,"Data Verification",'QA Log'!Z:Z,"Approved",'QA Log'!L:L,"*Equipments (section 4)*")
))</f>
        <v/>
      </c>
      <c r="AP149" s="105" t="str">
        <f>IF(A149&lt;&gt;"",COUNTIFS('QA Log'!D:D,A149,'QA Log'!M:M,"Data Verification",'QA Log'!L:L,"Personnel (section 1)",'QA Log'!Z:Z,"Approved"),"")</f>
        <v/>
      </c>
      <c r="AQ149" s="105" t="str">
        <f>IF(A149&lt;&gt;"",COUNTIFS('QA Log'!D:D,A149,'QA Log'!M:M,"Data Verification",'QA Log'!L:L,"Consumable (section 3)",'QA Log'!Z:Z,"Approved"),"")</f>
        <v/>
      </c>
      <c r="AR149" s="105" t="str">
        <f>IF(A149&lt;&gt;"",COUNTIFS('QA Log'!D:D,A149,'QA Log'!M:M,"Data Verification",'QA Log'!L:L,"Equipments (section 4)",'QA Log'!Z:Z,"Approved"),"")</f>
        <v/>
      </c>
      <c r="AS149" s="102" t="str">
        <f>IF(A149="","",
SUM(
COUNTIFS('QA Log'!D:D,A149,'QA Log'!M:M,"Data Verification",'QA Log'!Z:Z,"Rejected",'QA Log'!L:L,"*Personnel (section 1)*"),
COUNTIFS('QA Log'!D:D,A149,'QA Log'!M:M,"Data Verification",'QA Log'!Z:Z,"Rejected",'QA Log'!L:L,"*Consumable (section 3)*"),
COUNTIFS('QA Log'!D:D,A149,'QA Log'!M:M,"Data Verification",'QA Log'!Z:Z,"Rejected",'QA Log'!L:L,"*Equipments (section 4)*")
))</f>
        <v/>
      </c>
      <c r="AT149" s="102" t="str">
        <f t="shared" si="7"/>
        <v/>
      </c>
      <c r="AU149" s="103" t="str">
        <f t="shared" si="8"/>
        <v/>
      </c>
      <c r="AV149" s="102" t="str">
        <f>IF(A149="","",SUM(
COUNTIFS('QA Log'!D:D,A149,'QA Log'!M:M,"Vignette",'QA Log'!L:L,"*Vignette [1] Respiratory Infection: Pneumonia*"),
COUNTIFS('QA Log'!D:D,A149,'QA Log'!M:M,"Vignette",'QA Log'!L:L,"*Vignette [2]: Diarrhea with Cat B dehydration*"),
COUNTIFS('QA Log'!D:D,A149,'QA Log'!M:M,"Vignette",'QA Log'!L:L,"*Vignette [3] Growth Monitoring and Promotion*"),
COUNTIFS('QA Log'!D:D,A149,'QA Log'!M:M,"Vignette",'QA Log'!L:L,"*Vignette [4]: The management of presumptive TB patient*")
)
)</f>
        <v/>
      </c>
      <c r="AW149" s="102" t="str">
        <f>IF(
  A149="","",
  SUM(
    COUNTIFS('QA Log'!D:D,A149,'QA Log'!M:M,"Vignette",'QA Log'!Z:Z,"Approved",'QA Log'!L:L,"*Vignette [1] Respiratory Infection: Pneumonia*"),
    COUNTIFS('QA Log'!D:D,A149,'QA Log'!M:M,"Vignette",'QA Log'!Z:Z,"Approved",'QA Log'!L:L,"*Vignette [2]: Diarrhea with Cat B dehydration*"),
    COUNTIFS('QA Log'!D:D,A149,'QA Log'!M:M,"Vignette",'QA Log'!Z:Z,"Approved",'QA Log'!L:L,"*Vignette [3] Growth Monitoring and Promotion*"),
    COUNTIFS('QA Log'!D:D,A149,'QA Log'!M:M,"Vignette",'QA Log'!Z:Z,"Approved",'QA Log'!L:L,"*Vignette [4]: The management of presumptive TB patient*")
  )
)</f>
        <v/>
      </c>
      <c r="AX149" s="105" t="str">
        <f>IF(A149&lt;&gt;"",COUNTIFS('QA Log'!D:D,A149,'QA Log'!M:M,"Vignette",'QA Log'!L:L,"Vignette [1] Respiratory Infection: Pneumonia",'QA Log'!Z:Z,"Approved"),"")</f>
        <v/>
      </c>
      <c r="AY149" s="105" t="str">
        <f>IF(A149&lt;&gt;"",COUNTIFS('QA Log'!D:D,A149,'QA Log'!M:M,"Vignette",'QA Log'!L:L,"Vignette [2]: Diarrhea with Cat B dehydration",'QA Log'!Z:Z,"Approved"),"")</f>
        <v/>
      </c>
      <c r="AZ149" s="105" t="str">
        <f>IF(A149&lt;&gt;"",COUNTIFS('QA Log'!D:D,A149,'QA Log'!M:M,"Vignette",'QA Log'!L:L,"Vignette [3] Growth Monitoring and Promotion",'QA Log'!Z:Z,"Approved"),"")</f>
        <v/>
      </c>
      <c r="BA149" s="105" t="str">
        <f>IF(A149&lt;&gt;"",COUNTIFS('QA Log'!D:D,A149,'QA Log'!M:M,"Vignette",'QA Log'!L:L,"Vignette [4]: The management of presumptive TB patient",'QA Log'!Z:Z,"Approved"),"")</f>
        <v/>
      </c>
      <c r="BB149" s="102" t="str">
        <f>IF(A149="","",
  SUM(
    COUNTIFS('QA Log'!D:D,A149,'QA Log'!M:M,"Vignette",'QA Log'!Z:Z,"Rejected",'QA Log'!L:L,"*Vignette [1] Respiratory Infection: Pneumonia*"),
    COUNTIFS('QA Log'!D:D,A149,'QA Log'!M:M,"Vignette",'QA Log'!Z:Z,"Rejected",'QA Log'!L:L,"*Vignette [2]: Diarrhea with Cat B dehydration*"),
    COUNTIFS('QA Log'!D:D,A149,'QA Log'!M:M,"Vignette",'QA Log'!Z:Z,"Rejected",'QA Log'!L:L,"*Vignette [3] Growth Monitoring and Promotion*"),
    COUNTIFS('QA Log'!D:D,A149,'QA Log'!M:M,"Vignette",'QA Log'!Z:Z,"Rejected",'QA Log'!L:L,"*Vignette [4]: The management of presumptive TB patient*")
  )
)</f>
        <v/>
      </c>
      <c r="BC149" s="107" t="str">
        <f t="shared" si="9"/>
        <v/>
      </c>
      <c r="BD149" s="103" t="str">
        <f t="shared" si="10"/>
        <v/>
      </c>
      <c r="BE149" s="102" t="str">
        <f>IF(A149="","",SUM(
COUNTIFS('QA Log'!D:D,A149,'QA Log'!M:M,"Vignette",'QA Log'!L:L,"*Vignette [5] Labor*"),
COUNTIFS('QA Log'!D:D,A149,'QA Log'!M:M,"Vignette",'QA Log'!L:L,"*Vignette [6] PNC pre Discharge*"),
COUNTIFS('QA Log'!D:D,A149,'QA Log'!M:M,"Vignette",'QA Log'!L:L,"*Vignette [7] First ANC Visit*"),
COUNTIFS('QA Log'!D:D,A149,'QA Log'!M:M,"Vignette",'QA Log'!L:L,"*Vignette [8] Birth Spacing/ Family Planning :  FP Counselling*"),
COUNTIFS('QA Log'!D:D,A149,'QA Log'!M:M,"Vignette",'QA Log'!L:L,"*Vignette [9] Birth Spacing: Change FP method to Injectable*"),
COUNTIFS('QA Log'!D:D,A149,'QA Log'!M:M,"Vignette",'QA Log'!L:L,"*Vignette [10] Post Partum Haemorrhage - Atonic Uterus at Health Centre*"),
)
)</f>
        <v/>
      </c>
      <c r="BF149" s="102" t="str">
        <f>IF(A149="","",
  SUM(
    COUNTIFS('QA Log'!D:D,A149,'QA Log'!M:M,"Vignette",'QA Log'!Z:Z,"Approved",'QA Log'!L:L,"*Vignette [5] Labor*"),
    COUNTIFS('QA Log'!D:D,A149,'QA Log'!M:M,"Vignette",'QA Log'!Z:Z,"Approved",'QA Log'!L:L,"*Vignette [6] PNC pre Discharge*"),
    COUNTIFS('QA Log'!D:D,A149,'QA Log'!M:M,"Vignette",'QA Log'!Z:Z,"Approved",'QA Log'!L:L,"*Vignette [7] First ANC Visit*"),
    COUNTIFS('QA Log'!D:D,A149,'QA Log'!M:M,"Vignette",'QA Log'!Z:Z,"Approved",'QA Log'!L:L,"*Vignette [8] Birth Spacing/ Family Planning :  FP Counselling*"),
    COUNTIFS('QA Log'!D:D,A149,'QA Log'!M:M,"Vignette",'QA Log'!Z:Z,"Approved",'QA Log'!L:L,"*Vignette [9] Birth Spacing: Change FP method to Injectable*"),
    COUNTIFS('QA Log'!D:D,A149,'QA Log'!M:M,"Vignette",'QA Log'!Z:Z,"Approved",'QA Log'!L:L,"*Vignette [10] Post Partum Haemorrhage - Atonic Uterus at Health Centre*")
  )
)</f>
        <v/>
      </c>
      <c r="BG149" s="105" t="str">
        <f>IF(A149&lt;&gt;"",COUNTIFS('QA Log'!D:D,A149,'QA Log'!M:M,"Vignette",'QA Log'!L:L,"Vignette [5] Labor",'QA Log'!Z:Z,"Approved"),"")</f>
        <v/>
      </c>
      <c r="BH149" s="105" t="str">
        <f>IF(A149&lt;&gt;"",COUNTIFS('QA Log'!D:D,A149,'QA Log'!M:M,"Vignette",'QA Log'!L:L,"Vignette [6] PNC pre Discharge",'QA Log'!Z:Z,"Approved"),"")</f>
        <v/>
      </c>
      <c r="BI149" s="105" t="str">
        <f>IF(A149&lt;&gt;"",COUNTIFS('QA Log'!D:D,A149,'QA Log'!M:M,"Vignette",'QA Log'!L:L,"Vignette [7] First ANC Visit",'QA Log'!Z:Z,"Approved"),"")</f>
        <v/>
      </c>
      <c r="BJ149" s="105" t="str">
        <f>IF(A149&lt;&gt;"",COUNTIFS('QA Log'!D:D,A149,'QA Log'!M:M,"Vignette",'QA Log'!L:L,"Vignette [8] Birth Spacing/ Family Planning :  FP Counselling",'QA Log'!Z:Z,"Approved"),"")</f>
        <v/>
      </c>
      <c r="BK149" s="105" t="str">
        <f>IF(A149&lt;&gt;"",COUNTIFS('QA Log'!D:D,A149,'QA Log'!M:M,"Vignette",'QA Log'!L:L,"Vignette [9] Birth Spacing: Change FP method to Injectable",'QA Log'!Z:Z,"Approved"),"")</f>
        <v/>
      </c>
      <c r="BL149" s="105" t="str">
        <f>IF(A149&lt;&gt;"",COUNTIFS('QA Log'!D:D,A149,'QA Log'!M:M,"Vignette",'QA Log'!L:L,"Vignette [10] Post Partum Haemorrhage - Atonic Uterus at Health Centre",'QA Log'!Z:Z,"Approved"),"")</f>
        <v/>
      </c>
      <c r="BM149" s="102" t="str">
        <f>IF(A149="","",SUM(
    COUNTIFS('QA Log'!D:D,A149,'QA Log'!M:M,"Vignette",'QA Log'!Z:Z,"Rejected",'QA Log'!L:L,"*Vignette [5] Labor*"),
    COUNTIFS('QA Log'!D:D,A149,'QA Log'!M:M,"Vignette",'QA Log'!Z:Z,"Rejected",'QA Log'!L:L,"*Vignette [6] PNC pre Discharge*"),
    COUNTIFS('QA Log'!D:D,A149,'QA Log'!M:M,"Vignette",'QA Log'!Z:Z,"Rejected",'QA Log'!L:L,"*Vignette [7] First ANC Visit*"),
    COUNTIFS('QA Log'!D:D,A149,'QA Log'!M:M,"Vignette",'QA Log'!Z:Z,"Rejected",'QA Log'!L:L,"*Vignette [8] Birth Spacing/ Family Planning :  FP Counselling*"),
    COUNTIFS('QA Log'!D:D,A149,'QA Log'!M:M,"Vignette",'QA Log'!Z:Z,"Rejected",'QA Log'!L:L,"*Vignette [9] Birth Spacing: Change FP method to Injectable*"),
    COUNTIFS('QA Log'!D:D,A149,'QA Log'!M:M,"Vignette",'QA Log'!Z:Z,"Rejected",'QA Log'!L:L,"*Vignette [10] Post Partum Haemorrhage - Atonic Uterus at Health Centre*")
  )
)</f>
        <v/>
      </c>
      <c r="BN149" s="107" t="str">
        <f t="shared" si="11"/>
        <v/>
      </c>
      <c r="BO149" s="103" t="str">
        <f t="shared" si="12"/>
        <v/>
      </c>
      <c r="BP149" s="102" t="str">
        <f>IF(A149="","",SUM(
COUNTIFS('QA Log'!D:D,A149,'QA Log'!M:M,"Vignette",'QA Log'!L:L,"*Exit Interview 1*"),
COUNTIFS('QA Log'!D:D,A149,'QA Log'!M:M,"Vignette",'QA Log'!L:L,"*Exit Interview 2*"),
)
)</f>
        <v/>
      </c>
      <c r="BQ149" s="102" t="str">
        <f>IF(
  A149="","",
  SUM(
    COUNTIFS('QA Log'!D:D,A149,'QA Log'!M:M,"Vignette",'QA Log'!Z:Z,"Approved",'QA Log'!L:L,"*Exit Interview 1*"),
    COUNTIFS('QA Log'!D:D,A149,'QA Log'!M:M,"Vignette",'QA Log'!Z:Z,"Approved",'QA Log'!L:L,"*Exit Interview 2*")
  )
)</f>
        <v/>
      </c>
      <c r="BR149" s="105" t="str">
        <f>IF(A149&lt;&gt;"",COUNTIFS('QA Log'!D:D,A149,'QA Log'!M:M,"Vignette",'QA Log'!L:L,"Exit Interview 1",'QA Log'!Z:Z,"Approved"),"")</f>
        <v/>
      </c>
      <c r="BS149" s="105" t="str">
        <f>IF(A149&lt;&gt;"",COUNTIFS('QA Log'!D:D,A149,'QA Log'!M:M,"Vignette",'QA Log'!L:L,"Exit Interview 2",'QA Log'!Z:Z,"Approved"),"")</f>
        <v/>
      </c>
      <c r="BT149" s="102" t="str">
        <f>IF(
  A149="","",
  SUM(
    COUNTIFS('QA Log'!D:D,A149,'QA Log'!M:M,"Vignette",'QA Log'!Z:Z,"Rejected",'QA Log'!L:L,"*Exit Interview 1*"),
    COUNTIFS('QA Log'!D:D,A149,'QA Log'!M:M,"Vignette",'QA Log'!Z:Z,"Rejected",'QA Log'!L:L,"*Exit Interview 2*")
  )
)</f>
        <v/>
      </c>
      <c r="BU149" s="107" t="str">
        <f t="shared" si="13"/>
        <v/>
      </c>
      <c r="BV149" s="102" t="str">
        <f t="shared" si="14"/>
        <v/>
      </c>
      <c r="BW149" s="102" t="str">
        <f t="shared" si="15"/>
        <v/>
      </c>
      <c r="BX149" s="102" t="str">
        <f t="shared" si="16"/>
        <v/>
      </c>
      <c r="BY149" s="102" t="str">
        <f t="shared" si="17"/>
        <v/>
      </c>
      <c r="BZ149" s="107" t="str">
        <f t="shared" si="18"/>
        <v/>
      </c>
      <c r="CA149" s="108" t="str">
        <f t="shared" si="19"/>
        <v/>
      </c>
      <c r="CB149" s="108" t="str">
        <f t="shared" si="20"/>
        <v/>
      </c>
      <c r="CC149" s="109" t="str">
        <f t="shared" si="21"/>
        <v/>
      </c>
      <c r="CD149" s="108" t="str">
        <f t="shared" si="22"/>
        <v/>
      </c>
      <c r="CE149" s="108" t="str">
        <f t="shared" si="23"/>
        <v/>
      </c>
      <c r="CF149" s="109" t="str">
        <f t="shared" si="24"/>
        <v/>
      </c>
      <c r="CG149" s="110" t="str">
        <f t="shared" si="25"/>
        <v/>
      </c>
      <c r="CH149" s="111"/>
    </row>
    <row r="150" spans="1:86" ht="12.75">
      <c r="A150" s="101"/>
      <c r="B150" s="102" t="e">
        <f t="array" aca="1" ref="B150" ca="1">_xludf.XLOOKUP(A150,'QA Log'!D:D,'QA Log'!E:E,"")</f>
        <v>#NAME?</v>
      </c>
      <c r="C150" s="102" t="e">
        <f t="array" aca="1" ref="C150" ca="1">_xludf.XLOOKUP(A150,'QA Log'!D:D,'QA Log'!F:F,"")</f>
        <v>#NAME?</v>
      </c>
      <c r="D150" s="102" t="e">
        <f t="array" aca="1" ref="D150" ca="1">_xludf.XLOOKUP(A150,'QA Log'!D:D,'QA Log'!H:H,"")</f>
        <v>#NAME?</v>
      </c>
      <c r="E150" s="102" t="e">
        <f t="array" aca="1" ref="E150" ca="1">_xludf.XLOOKUP(A150,'QA Log'!D:D,'QA Log'!G:G,"")</f>
        <v>#NAME?</v>
      </c>
      <c r="F150" s="103"/>
      <c r="G150" s="104"/>
      <c r="H150" s="104"/>
      <c r="I150" s="103" t="str">
        <f t="shared" si="0"/>
        <v/>
      </c>
      <c r="J150" s="102" t="str">
        <f>IF(A150="","",SUM(
COUNTIFS('QA Log'!D:D,A150,'QA Log'!M:M,"QQC",'QA Log'!L:L,"*1. General Management*"),
COUNTIFS('QA Log'!D:D,A150,'QA Log'!M:M,"QQC",'QA Log'!L:L,"*3. Curative Consultation (OPD)*"),
COUNTIFS('QA Log'!D:D,A150,'QA Log'!M:M,"QQC",'QA Log'!L:L,"*5. Laboratory*"),
COUNTIFS('QA Log'!D:D,A150,'QA Log'!M:M,"QQC",'QA Log'!L:L,"*6. Essential Medicine Management*"),
COUNTIFS('QA Log'!D:D,A150,'QA Log'!M:M,"QQC",'QA Log'!L:L,"*7. Tracer Medicine*"),
COUNTIFS('QA Log'!D:D,A150,'QA Log'!M:M,"QQC",'QA Log'!L:L,"*11. Additional Questions*")))</f>
        <v/>
      </c>
      <c r="K150" s="102" t="str">
        <f>IF(A150="","",SUM(
COUNTIFS('QA Log'!D:D,A150,'QA Log'!M:M,"QQC",'QA Log'!Z:Z,"Approved",'QA Log'!L:L,"*1. General Management*"),
COUNTIFS('QA Log'!D:D,A150,'QA Log'!M:M,"QQC",'QA Log'!Z:Z,"Approved",'QA Log'!L:L,"*3. Curative Consultation (OPD)*"),
COUNTIFS('QA Log'!D:D,A150,'QA Log'!M:M,"QQC",'QA Log'!Z:Z,"Approved",'QA Log'!L:L,"*5. Laboratory*"),
COUNTIFS('QA Log'!D:D,A150,'QA Log'!M:M,"QQC",'QA Log'!Z:Z,"Approved",'QA Log'!L:L,"*6. Essential Medicine Management*"),
COUNTIFS('QA Log'!D:D,A150,'QA Log'!M:M,"QQC",'QA Log'!Z:Z,"Approved",'QA Log'!L:L,"*7. Tracer Medicine*"),
COUNTIFS('QA Log'!D:D,A150,'QA Log'!M:M,"QQC",'QA Log'!Z:Z,"Approved",'QA Log'!L:L,"*11. Additional Questions*")))</f>
        <v/>
      </c>
      <c r="L150" s="105" t="str">
        <f>IF(A150&lt;&gt;"",COUNTIFS('QA Log'!D:D,A150,'QA Log'!M:M,"QQC",'QA Log'!L:L,"1. General Management",'QA Log'!Z:Z,"Approved"),"")</f>
        <v/>
      </c>
      <c r="M150" s="105" t="str">
        <f>IF(A150&lt;&gt;"",COUNTIFS('QA Log'!D:D,A150,'QA Log'!M:M,"QQC",'QA Log'!L:L,"3. Curative Consultation (OPD)",'QA Log'!Z:Z,"Approved"),"")</f>
        <v/>
      </c>
      <c r="N150" s="105" t="str">
        <f>IF(A150&lt;&gt;"",COUNTIFS('QA Log'!D:D,A150,'QA Log'!M:M,"QQC",'QA Log'!L:L,"5. Laboratory",'QA Log'!Z:Z,"Approved"),"")</f>
        <v/>
      </c>
      <c r="O150" s="105" t="str">
        <f>IF(A150&lt;&gt;"",COUNTIFS('QA Log'!D:D,A150,'QA Log'!M:M,"QQC",'QA Log'!L:L,"6. Essential Medicine Management",'QA Log'!Z:Z,"Approved"),"")</f>
        <v/>
      </c>
      <c r="P150" s="105" t="str">
        <f>IF(A150&lt;&gt;"",COUNTIFS('QA Log'!D:D,A150,'QA Log'!M:M,"QQC",'QA Log'!L:L,"7. Tracer Medicine",'QA Log'!Z:Z,"Approved"),"")</f>
        <v/>
      </c>
      <c r="Q150" s="105" t="str">
        <f>IF(A150&lt;&gt;"",COUNTIFS('QA Log'!D:D,A150,'QA Log'!M:M,"QQC",'QA Log'!L:L,"11. Additional Questions",'QA Log'!Z:Z,"Approved"),"")</f>
        <v/>
      </c>
      <c r="R150" s="102" t="str">
        <f>IF(A150="","",SUM(
COUNTIFS('QA Log'!D:D,A150,'QA Log'!M:M,"QQC",'QA Log'!Z:Z,"Rejected",'QA Log'!L:L,"*8. Maternity*"),
COUNTIFS('QA Log'!D:D,A150,'QA Log'!M:M,"QQC",'QA Log'!Z:Z,"Rejected",'QA Log'!L:L,"*EPI*"),
COUNTIFS('QA Log'!D:D,A150,'QA Log'!M:M,"QQC",'QA Log'!Z:Z,"Rejected",'QA Log'!L:L,"*10. Antenatal Care (ANC)*"),
COUNTIFS('QA Log'!D:D,A150,'QA Log'!M:M,"QQC",'QA Log'!Z:Z,"Rejected",'QA Log'!L:L,"*2. Hygiene and Sterilization*"),
COUNTIFS('QA Log'!D:D,A150,'QA Log'!M:M,"QQC",'QA Log'!Z:Z,"Rejected",'QA Log'!L:L,"*Family Planning*")))</f>
        <v/>
      </c>
      <c r="S150" s="106" t="str">
        <f t="shared" si="1"/>
        <v/>
      </c>
      <c r="T150" s="102" t="str">
        <f t="shared" si="2"/>
        <v/>
      </c>
      <c r="U150" s="102" t="str">
        <f>IF(A150="","",
SUM(
COUNTIFS('QA Log'!D:D,A150,'QA Log'!M:M,"QQC",'QA Log'!L:L,"*8. Maternity*"),
COUNTIFS('QA Log'!D:D,A150,'QA Log'!M:M,"QQC",'QA Log'!L:L,"*9. EPI and Pre-school Consultation*"),
COUNTIFS('QA Log'!D:D,A150,'QA Log'!M:M,"QQC",'QA Log'!L:L,"*10. Antenatal Care (ANC)*"),
COUNTIFS('QA Log'!D:D,A150,'QA Log'!M:M,"QQC",'QA Log'!L:L,"*2. Hygiene and Sterilization*"),
COUNTIFS('QA Log'!D:D,A150,'QA Log'!M:M,"QQC",'QA Log'!L:L,"*4. Family Planning*")
))</f>
        <v/>
      </c>
      <c r="V150" s="102" t="str">
        <f>IF(A150="","",
SUM(
COUNTIFS('QA Log'!D:D,A150,'QA Log'!M:M,"QQC",'QA Log'!Z:Z,"Approved",'QA Log'!L:L,"*8. Maternity*"),
COUNTIFS('QA Log'!D:D,A150,'QA Log'!M:M,"QQC",'QA Log'!Z:Z,"Approved",'QA Log'!L:L,"*9. EPI and Pre-school Consultation*"),
COUNTIFS('QA Log'!D:D,A150,'QA Log'!M:M,"QQC",'QA Log'!Z:Z,"Approved",'QA Log'!L:L,"*10. Antenatal Care (ANC)*"),
COUNTIFS('QA Log'!D:D,A150,'QA Log'!M:M,"QQC",'QA Log'!Z:Z,"Approved",'QA Log'!L:L,"*2. Hygiene and Sterilization*"),
COUNTIFS('QA Log'!D:D,A150,'QA Log'!M:M,"QQC",'QA Log'!Z:Z,"Approved",'QA Log'!L:L,"*4. Family Planning*")
))</f>
        <v/>
      </c>
      <c r="W150" s="105" t="str">
        <f>IF(A150&lt;&gt;"",COUNTIFS('QA Log'!D:D,A150,'QA Log'!M:M,"QQC",'QA Log'!L:L,"8. Maternity",'QA Log'!Z:Z,"Approved"),"")</f>
        <v/>
      </c>
      <c r="X150" s="105" t="str">
        <f>IF(A150&lt;&gt;"",COUNTIFS('QA Log'!D:D,A150,'QA Log'!M:M,"QQC",'QA Log'!L:L,"9. EPI and Pre-school Consultation",'QA Log'!Z:Z,"Approved"),"")</f>
        <v/>
      </c>
      <c r="Y150" s="105" t="str">
        <f>IF(A150&lt;&gt;"",COUNTIFS('QA Log'!D:D,A150,'QA Log'!M:M,"QQC",'QA Log'!L:L,"10. Antenatal Care (ANC)",'QA Log'!Z:Z,"Approved"),"")</f>
        <v/>
      </c>
      <c r="Z150" s="105" t="str">
        <f>IF(A150&lt;&gt;"",COUNTIFS('QA Log'!D:D,A150,'QA Log'!M:M,"QQC",'QA Log'!L:L,"2. Hygiene and Sterilization",'QA Log'!Z:Z,"Approved"),"")</f>
        <v/>
      </c>
      <c r="AA150" s="105" t="str">
        <f>IF(A150&lt;&gt;"",COUNTIFS('QA Log'!D:D,A150,'QA Log'!M:M,"QQC",'QA Log'!L:L,"4. Family Planning",'QA Log'!Z:Z,"Approved"),"")</f>
        <v/>
      </c>
      <c r="AB150" s="102" t="str">
        <f>IF(A150="","",
SUM(
COUNTIFS('QA Log'!D:D,A150,'QA Log'!M:M,"QQC",'QA Log'!Z:Z,"Rejected",'QA Log'!L:L,"*8. Maternity*"),
COUNTIFS('QA Log'!D:D,A150,'QA Log'!M:M,"QQC",'QA Log'!Z:Z,"Rejected",'QA Log'!L:L,"*9. EPI and Pre-school Consultation*"),
COUNTIFS('QA Log'!D:D,A150,'QA Log'!M:M,"QQC",'QA Log'!Z:Z,"Rejected",'QA Log'!L:L,"*10. Antenatal Care (ANC)*"),
COUNTIFS('QA Log'!D:D,A150,'QA Log'!M:M,"QQC",'QA Log'!Z:Z,"Rejected",'QA Log'!L:L,"*2. Hygiene and Sterilization*"),
COUNTIFS('QA Log'!D:D,A150,'QA Log'!M:M,"QQC",'QA Log'!Z:Z,"Rejected",'QA Log'!L:L,"*4. Family Planning*")
))</f>
        <v/>
      </c>
      <c r="AC150" s="102" t="str">
        <f t="shared" si="3"/>
        <v/>
      </c>
      <c r="AD150" s="103" t="str">
        <f t="shared" si="4"/>
        <v/>
      </c>
      <c r="AE150" s="102" t="str">
        <f>IF(A150="","",
SUM(
COUNTIFS('QA Log'!D:D,A150,'QA Log'!M:M,"Data Verification",'QA Log'!L:L,"*Medicine (section 2)*"),
COUNTIFS('QA Log'!D:D,A150,'QA Log'!M:M,"Data Verification",'QA Log'!L:L,"*Lab Testing Availability*"),
COUNTIFS('QA Log'!D:D,A150,'QA Log'!M:M,"Data Verification",'QA Log'!L:L,"*Other than P4P (section 6)*"),
COUNTIFS('QA Log'!D:D,A150,'QA Log'!M:M,"Data Verification",'QA Log'!L:L,"*Hospital Governance*")
))</f>
        <v/>
      </c>
      <c r="AF150" s="102" t="str">
        <f>IF(A150="","",
SUM(
COUNTIFS('QA Log'!D:D,A150,'QA Log'!M:M,"Data Verification",'QA Log'!Z:Z,"Approved",'QA Log'!L:L,"*Medicine (section 2)*"),
COUNTIFS('QA Log'!D:D,A150,'QA Log'!M:M,"Data Verification",'QA Log'!Z:Z,"Approved",'QA Log'!L:L,"*Lab Testing Availability*"),
COUNTIFS('QA Log'!D:D,A150,'QA Log'!M:M,"Data Verification",'QA Log'!Z:Z,"Approved",'QA Log'!L:L,"*Other than P4P (section 6)*"),
COUNTIFS('QA Log'!D:D,A150,'QA Log'!M:M,"Data Verification",'QA Log'!Z:Z,"Approved",'QA Log'!L:L,"*Hospital Governance*")
))</f>
        <v/>
      </c>
      <c r="AG150" s="105" t="str">
        <f>IF(A150&lt;&gt;"",COUNTIFS('QA Log'!D:D,A150,'QA Log'!M:M,"Data Verification",'QA Log'!L:L,"Medicine (section 2)",'QA Log'!Z:Z,"Approved"),"")</f>
        <v/>
      </c>
      <c r="AH150" s="105" t="str">
        <f>IF(A150&lt;&gt;"",COUNTIFS('QA Log'!D:D,A150,'QA Log'!M:M,"Data Verification",'QA Log'!L:L,"Lab Testing Availability",'QA Log'!Z:Z,"Approved"),"")</f>
        <v/>
      </c>
      <c r="AI150" s="105" t="str">
        <f>IF(A150&lt;&gt;"",COUNTIFS('QA Log'!D:D,A150,'QA Log'!M:M,"Data Verification",'QA Log'!L:L,"Other than P4P (section 6)",'QA Log'!Z:Z,"Approved"),"")</f>
        <v/>
      </c>
      <c r="AJ150" s="105" t="str">
        <f>IF(A150&lt;&gt;"",COUNTIFS('QA Log'!D:D,A150,'QA Log'!M:M,"Data Verification",'QA Log'!L:L,"Hospital Governance",'QA Log'!Z:Z,"Approved"),"")</f>
        <v/>
      </c>
      <c r="AK150" s="102" t="str">
        <f>IF(A150="","",
SUM(
COUNTIFS('QA Log'!D:D,A150,'QA Log'!M:M,"Data Verification",'QA Log'!Z:Z,"Rejected",'QA Log'!L:L,"*Medicine (section 2)*"),
COUNTIFS('QA Log'!D:D,A150,'QA Log'!M:M,"Data Verification",'QA Log'!Z:Z,"Rejected",'QA Log'!L:L,"*Lab Testing Availability*"),
COUNTIFS('QA Log'!D:D,A150,'QA Log'!M:M,"Data Verification",'QA Log'!Z:Z,"Rejected",'QA Log'!L:L,"*Other than P4P (section 6)*"),
COUNTIFS('QA Log'!D:D,A150,'QA Log'!M:M,"Data Verification",'QA Log'!Z:Z,"Rejected",'QA Log'!L:L,"*Hospital Governance*")
))</f>
        <v/>
      </c>
      <c r="AL150" s="106" t="str">
        <f t="shared" si="5"/>
        <v/>
      </c>
      <c r="AM150" s="102" t="str">
        <f t="shared" si="6"/>
        <v/>
      </c>
      <c r="AN150" s="102" t="str">
        <f>IF(A150="","",
SUM(
COUNTIFS('QA Log'!D:D,A150,'QA Log'!M:M,"Data Verification",'QA Log'!L:L,"*Personnel (section 1)*"),
COUNTIFS('QA Log'!D:D,A150,'QA Log'!M:M,"Data Verification",'QA Log'!L:L,"*Consumable (section 3)*"),
COUNTIFS('QA Log'!D:D,A150,'QA Log'!M:M,"Data Verification",'QA Log'!L:L,"*Equipments (section 4)*")
))</f>
        <v/>
      </c>
      <c r="AO150" s="102" t="str">
        <f>IF(A150="","",
SUM(
COUNTIFS('QA Log'!D:D,A150,'QA Log'!M:M,"Data Verification",'QA Log'!Z:Z,"Approved",'QA Log'!L:L,"*Personnel (section 1)*"),
COUNTIFS('QA Log'!D:D,A150,'QA Log'!M:M,"Data Verification",'QA Log'!Z:Z,"Approved",'QA Log'!L:L,"*Consumable (section 3)*"),
COUNTIFS('QA Log'!D:D,A150,'QA Log'!M:M,"Data Verification",'QA Log'!Z:Z,"Approved",'QA Log'!L:L,"*Equipments (section 4)*")
))</f>
        <v/>
      </c>
      <c r="AP150" s="105" t="str">
        <f>IF(A150&lt;&gt;"",COUNTIFS('QA Log'!D:D,A150,'QA Log'!M:M,"Data Verification",'QA Log'!L:L,"Personnel (section 1)",'QA Log'!Z:Z,"Approved"),"")</f>
        <v/>
      </c>
      <c r="AQ150" s="105" t="str">
        <f>IF(A150&lt;&gt;"",COUNTIFS('QA Log'!D:D,A150,'QA Log'!M:M,"Data Verification",'QA Log'!L:L,"Consumable (section 3)",'QA Log'!Z:Z,"Approved"),"")</f>
        <v/>
      </c>
      <c r="AR150" s="105" t="str">
        <f>IF(A150&lt;&gt;"",COUNTIFS('QA Log'!D:D,A150,'QA Log'!M:M,"Data Verification",'QA Log'!L:L,"Equipments (section 4)",'QA Log'!Z:Z,"Approved"),"")</f>
        <v/>
      </c>
      <c r="AS150" s="102" t="str">
        <f>IF(A150="","",
SUM(
COUNTIFS('QA Log'!D:D,A150,'QA Log'!M:M,"Data Verification",'QA Log'!Z:Z,"Rejected",'QA Log'!L:L,"*Personnel (section 1)*"),
COUNTIFS('QA Log'!D:D,A150,'QA Log'!M:M,"Data Verification",'QA Log'!Z:Z,"Rejected",'QA Log'!L:L,"*Consumable (section 3)*"),
COUNTIFS('QA Log'!D:D,A150,'QA Log'!M:M,"Data Verification",'QA Log'!Z:Z,"Rejected",'QA Log'!L:L,"*Equipments (section 4)*")
))</f>
        <v/>
      </c>
      <c r="AT150" s="102" t="str">
        <f t="shared" si="7"/>
        <v/>
      </c>
      <c r="AU150" s="103" t="str">
        <f t="shared" si="8"/>
        <v/>
      </c>
      <c r="AV150" s="102" t="str">
        <f>IF(A150="","",SUM(
COUNTIFS('QA Log'!D:D,A150,'QA Log'!M:M,"Vignette",'QA Log'!L:L,"*Vignette [1] Respiratory Infection: Pneumonia*"),
COUNTIFS('QA Log'!D:D,A150,'QA Log'!M:M,"Vignette",'QA Log'!L:L,"*Vignette [2]: Diarrhea with Cat B dehydration*"),
COUNTIFS('QA Log'!D:D,A150,'QA Log'!M:M,"Vignette",'QA Log'!L:L,"*Vignette [3] Growth Monitoring and Promotion*"),
COUNTIFS('QA Log'!D:D,A150,'QA Log'!M:M,"Vignette",'QA Log'!L:L,"*Vignette [4]: The management of presumptive TB patient*")
)
)</f>
        <v/>
      </c>
      <c r="AW150" s="102" t="str">
        <f>IF(
  A150="","",
  SUM(
    COUNTIFS('QA Log'!D:D,A150,'QA Log'!M:M,"Vignette",'QA Log'!Z:Z,"Approved",'QA Log'!L:L,"*Vignette [1] Respiratory Infection: Pneumonia*"),
    COUNTIFS('QA Log'!D:D,A150,'QA Log'!M:M,"Vignette",'QA Log'!Z:Z,"Approved",'QA Log'!L:L,"*Vignette [2]: Diarrhea with Cat B dehydration*"),
    COUNTIFS('QA Log'!D:D,A150,'QA Log'!M:M,"Vignette",'QA Log'!Z:Z,"Approved",'QA Log'!L:L,"*Vignette [3] Growth Monitoring and Promotion*"),
    COUNTIFS('QA Log'!D:D,A150,'QA Log'!M:M,"Vignette",'QA Log'!Z:Z,"Approved",'QA Log'!L:L,"*Vignette [4]: The management of presumptive TB patient*")
  )
)</f>
        <v/>
      </c>
      <c r="AX150" s="105" t="str">
        <f>IF(A150&lt;&gt;"",COUNTIFS('QA Log'!D:D,A150,'QA Log'!M:M,"Vignette",'QA Log'!L:L,"Vignette [1] Respiratory Infection: Pneumonia",'QA Log'!Z:Z,"Approved"),"")</f>
        <v/>
      </c>
      <c r="AY150" s="105" t="str">
        <f>IF(A150&lt;&gt;"",COUNTIFS('QA Log'!D:D,A150,'QA Log'!M:M,"Vignette",'QA Log'!L:L,"Vignette [2]: Diarrhea with Cat B dehydration",'QA Log'!Z:Z,"Approved"),"")</f>
        <v/>
      </c>
      <c r="AZ150" s="105" t="str">
        <f>IF(A150&lt;&gt;"",COUNTIFS('QA Log'!D:D,A150,'QA Log'!M:M,"Vignette",'QA Log'!L:L,"Vignette [3] Growth Monitoring and Promotion",'QA Log'!Z:Z,"Approved"),"")</f>
        <v/>
      </c>
      <c r="BA150" s="105" t="str">
        <f>IF(A150&lt;&gt;"",COUNTIFS('QA Log'!D:D,A150,'QA Log'!M:M,"Vignette",'QA Log'!L:L,"Vignette [4]: The management of presumptive TB patient",'QA Log'!Z:Z,"Approved"),"")</f>
        <v/>
      </c>
      <c r="BB150" s="102" t="str">
        <f>IF(A150="","",
  SUM(
    COUNTIFS('QA Log'!D:D,A150,'QA Log'!M:M,"Vignette",'QA Log'!Z:Z,"Rejected",'QA Log'!L:L,"*Vignette [1] Respiratory Infection: Pneumonia*"),
    COUNTIFS('QA Log'!D:D,A150,'QA Log'!M:M,"Vignette",'QA Log'!Z:Z,"Rejected",'QA Log'!L:L,"*Vignette [2]: Diarrhea with Cat B dehydration*"),
    COUNTIFS('QA Log'!D:D,A150,'QA Log'!M:M,"Vignette",'QA Log'!Z:Z,"Rejected",'QA Log'!L:L,"*Vignette [3] Growth Monitoring and Promotion*"),
    COUNTIFS('QA Log'!D:D,A150,'QA Log'!M:M,"Vignette",'QA Log'!Z:Z,"Rejected",'QA Log'!L:L,"*Vignette [4]: The management of presumptive TB patient*")
  )
)</f>
        <v/>
      </c>
      <c r="BC150" s="107" t="str">
        <f t="shared" si="9"/>
        <v/>
      </c>
      <c r="BD150" s="103" t="str">
        <f t="shared" si="10"/>
        <v/>
      </c>
      <c r="BE150" s="102" t="str">
        <f>IF(A150="","",SUM(
COUNTIFS('QA Log'!D:D,A150,'QA Log'!M:M,"Vignette",'QA Log'!L:L,"*Vignette [5] Labor*"),
COUNTIFS('QA Log'!D:D,A150,'QA Log'!M:M,"Vignette",'QA Log'!L:L,"*Vignette [6] PNC pre Discharge*"),
COUNTIFS('QA Log'!D:D,A150,'QA Log'!M:M,"Vignette",'QA Log'!L:L,"*Vignette [7] First ANC Visit*"),
COUNTIFS('QA Log'!D:D,A150,'QA Log'!M:M,"Vignette",'QA Log'!L:L,"*Vignette [8] Birth Spacing/ Family Planning :  FP Counselling*"),
COUNTIFS('QA Log'!D:D,A150,'QA Log'!M:M,"Vignette",'QA Log'!L:L,"*Vignette [9] Birth Spacing: Change FP method to Injectable*"),
COUNTIFS('QA Log'!D:D,A150,'QA Log'!M:M,"Vignette",'QA Log'!L:L,"*Vignette [10] Post Partum Haemorrhage - Atonic Uterus at Health Centre*"),
)
)</f>
        <v/>
      </c>
      <c r="BF150" s="102" t="str">
        <f>IF(A150="","",
  SUM(
    COUNTIFS('QA Log'!D:D,A150,'QA Log'!M:M,"Vignette",'QA Log'!Z:Z,"Approved",'QA Log'!L:L,"*Vignette [5] Labor*"),
    COUNTIFS('QA Log'!D:D,A150,'QA Log'!M:M,"Vignette",'QA Log'!Z:Z,"Approved",'QA Log'!L:L,"*Vignette [6] PNC pre Discharge*"),
    COUNTIFS('QA Log'!D:D,A150,'QA Log'!M:M,"Vignette",'QA Log'!Z:Z,"Approved",'QA Log'!L:L,"*Vignette [7] First ANC Visit*"),
    COUNTIFS('QA Log'!D:D,A150,'QA Log'!M:M,"Vignette",'QA Log'!Z:Z,"Approved",'QA Log'!L:L,"*Vignette [8] Birth Spacing/ Family Planning :  FP Counselling*"),
    COUNTIFS('QA Log'!D:D,A150,'QA Log'!M:M,"Vignette",'QA Log'!Z:Z,"Approved",'QA Log'!L:L,"*Vignette [9] Birth Spacing: Change FP method to Injectable*"),
    COUNTIFS('QA Log'!D:D,A150,'QA Log'!M:M,"Vignette",'QA Log'!Z:Z,"Approved",'QA Log'!L:L,"*Vignette [10] Post Partum Haemorrhage - Atonic Uterus at Health Centre*")
  )
)</f>
        <v/>
      </c>
      <c r="BG150" s="105" t="str">
        <f>IF(A150&lt;&gt;"",COUNTIFS('QA Log'!D:D,A150,'QA Log'!M:M,"Vignette",'QA Log'!L:L,"Vignette [5] Labor",'QA Log'!Z:Z,"Approved"),"")</f>
        <v/>
      </c>
      <c r="BH150" s="105" t="str">
        <f>IF(A150&lt;&gt;"",COUNTIFS('QA Log'!D:D,A150,'QA Log'!M:M,"Vignette",'QA Log'!L:L,"Vignette [6] PNC pre Discharge",'QA Log'!Z:Z,"Approved"),"")</f>
        <v/>
      </c>
      <c r="BI150" s="105" t="str">
        <f>IF(A150&lt;&gt;"",COUNTIFS('QA Log'!D:D,A150,'QA Log'!M:M,"Vignette",'QA Log'!L:L,"Vignette [7] First ANC Visit",'QA Log'!Z:Z,"Approved"),"")</f>
        <v/>
      </c>
      <c r="BJ150" s="105" t="str">
        <f>IF(A150&lt;&gt;"",COUNTIFS('QA Log'!D:D,A150,'QA Log'!M:M,"Vignette",'QA Log'!L:L,"Vignette [8] Birth Spacing/ Family Planning :  FP Counselling",'QA Log'!Z:Z,"Approved"),"")</f>
        <v/>
      </c>
      <c r="BK150" s="105" t="str">
        <f>IF(A150&lt;&gt;"",COUNTIFS('QA Log'!D:D,A150,'QA Log'!M:M,"Vignette",'QA Log'!L:L,"Vignette [9] Birth Spacing: Change FP method to Injectable",'QA Log'!Z:Z,"Approved"),"")</f>
        <v/>
      </c>
      <c r="BL150" s="105" t="str">
        <f>IF(A150&lt;&gt;"",COUNTIFS('QA Log'!D:D,A150,'QA Log'!M:M,"Vignette",'QA Log'!L:L,"Vignette [10] Post Partum Haemorrhage - Atonic Uterus at Health Centre",'QA Log'!Z:Z,"Approved"),"")</f>
        <v/>
      </c>
      <c r="BM150" s="102" t="str">
        <f>IF(A150="","",SUM(
    COUNTIFS('QA Log'!D:D,A150,'QA Log'!M:M,"Vignette",'QA Log'!Z:Z,"Rejected",'QA Log'!L:L,"*Vignette [5] Labor*"),
    COUNTIFS('QA Log'!D:D,A150,'QA Log'!M:M,"Vignette",'QA Log'!Z:Z,"Rejected",'QA Log'!L:L,"*Vignette [6] PNC pre Discharge*"),
    COUNTIFS('QA Log'!D:D,A150,'QA Log'!M:M,"Vignette",'QA Log'!Z:Z,"Rejected",'QA Log'!L:L,"*Vignette [7] First ANC Visit*"),
    COUNTIFS('QA Log'!D:D,A150,'QA Log'!M:M,"Vignette",'QA Log'!Z:Z,"Rejected",'QA Log'!L:L,"*Vignette [8] Birth Spacing/ Family Planning :  FP Counselling*"),
    COUNTIFS('QA Log'!D:D,A150,'QA Log'!M:M,"Vignette",'QA Log'!Z:Z,"Rejected",'QA Log'!L:L,"*Vignette [9] Birth Spacing: Change FP method to Injectable*"),
    COUNTIFS('QA Log'!D:D,A150,'QA Log'!M:M,"Vignette",'QA Log'!Z:Z,"Rejected",'QA Log'!L:L,"*Vignette [10] Post Partum Haemorrhage - Atonic Uterus at Health Centre*")
  )
)</f>
        <v/>
      </c>
      <c r="BN150" s="107" t="str">
        <f t="shared" si="11"/>
        <v/>
      </c>
      <c r="BO150" s="103" t="str">
        <f t="shared" si="12"/>
        <v/>
      </c>
      <c r="BP150" s="102" t="str">
        <f>IF(A150="","",SUM(
COUNTIFS('QA Log'!D:D,A150,'QA Log'!M:M,"Vignette",'QA Log'!L:L,"*Exit Interview 1*"),
COUNTIFS('QA Log'!D:D,A150,'QA Log'!M:M,"Vignette",'QA Log'!L:L,"*Exit Interview 2*"),
)
)</f>
        <v/>
      </c>
      <c r="BQ150" s="102" t="str">
        <f>IF(
  A150="","",
  SUM(
    COUNTIFS('QA Log'!D:D,A150,'QA Log'!M:M,"Vignette",'QA Log'!Z:Z,"Approved",'QA Log'!L:L,"*Exit Interview 1*"),
    COUNTIFS('QA Log'!D:D,A150,'QA Log'!M:M,"Vignette",'QA Log'!Z:Z,"Approved",'QA Log'!L:L,"*Exit Interview 2*")
  )
)</f>
        <v/>
      </c>
      <c r="BR150" s="105" t="str">
        <f>IF(A150&lt;&gt;"",COUNTIFS('QA Log'!D:D,A150,'QA Log'!M:M,"Vignette",'QA Log'!L:L,"Exit Interview 1",'QA Log'!Z:Z,"Approved"),"")</f>
        <v/>
      </c>
      <c r="BS150" s="105" t="str">
        <f>IF(A150&lt;&gt;"",COUNTIFS('QA Log'!D:D,A150,'QA Log'!M:M,"Vignette",'QA Log'!L:L,"Exit Interview 2",'QA Log'!Z:Z,"Approved"),"")</f>
        <v/>
      </c>
      <c r="BT150" s="102" t="str">
        <f>IF(
  A150="","",
  SUM(
    COUNTIFS('QA Log'!D:D,A150,'QA Log'!M:M,"Vignette",'QA Log'!Z:Z,"Rejected",'QA Log'!L:L,"*Exit Interview 1*"),
    COUNTIFS('QA Log'!D:D,A150,'QA Log'!M:M,"Vignette",'QA Log'!Z:Z,"Rejected",'QA Log'!L:L,"*Exit Interview 2*")
  )
)</f>
        <v/>
      </c>
      <c r="BU150" s="107" t="str">
        <f t="shared" si="13"/>
        <v/>
      </c>
      <c r="BV150" s="102" t="str">
        <f t="shared" si="14"/>
        <v/>
      </c>
      <c r="BW150" s="102" t="str">
        <f t="shared" si="15"/>
        <v/>
      </c>
      <c r="BX150" s="102" t="str">
        <f t="shared" si="16"/>
        <v/>
      </c>
      <c r="BY150" s="102" t="str">
        <f t="shared" si="17"/>
        <v/>
      </c>
      <c r="BZ150" s="107" t="str">
        <f t="shared" si="18"/>
        <v/>
      </c>
      <c r="CA150" s="108" t="str">
        <f t="shared" si="19"/>
        <v/>
      </c>
      <c r="CB150" s="108" t="str">
        <f t="shared" si="20"/>
        <v/>
      </c>
      <c r="CC150" s="109" t="str">
        <f t="shared" si="21"/>
        <v/>
      </c>
      <c r="CD150" s="108" t="str">
        <f t="shared" si="22"/>
        <v/>
      </c>
      <c r="CE150" s="108" t="str">
        <f t="shared" si="23"/>
        <v/>
      </c>
      <c r="CF150" s="109" t="str">
        <f t="shared" si="24"/>
        <v/>
      </c>
      <c r="CG150" s="110" t="str">
        <f t="shared" si="25"/>
        <v/>
      </c>
      <c r="CH150" s="111"/>
    </row>
    <row r="151" spans="1:86" ht="12.75">
      <c r="A151" s="101"/>
      <c r="B151" s="102" t="e">
        <f t="array" aca="1" ref="B151" ca="1">_xludf.XLOOKUP(A151,'QA Log'!D:D,'QA Log'!E:E,"")</f>
        <v>#NAME?</v>
      </c>
      <c r="C151" s="102" t="e">
        <f t="array" aca="1" ref="C151" ca="1">_xludf.XLOOKUP(A151,'QA Log'!D:D,'QA Log'!F:F,"")</f>
        <v>#NAME?</v>
      </c>
      <c r="D151" s="102" t="e">
        <f t="array" aca="1" ref="D151" ca="1">_xludf.XLOOKUP(A151,'QA Log'!D:D,'QA Log'!H:H,"")</f>
        <v>#NAME?</v>
      </c>
      <c r="E151" s="102" t="e">
        <f t="array" aca="1" ref="E151" ca="1">_xludf.XLOOKUP(A151,'QA Log'!D:D,'QA Log'!G:G,"")</f>
        <v>#NAME?</v>
      </c>
      <c r="F151" s="103"/>
      <c r="G151" s="104"/>
      <c r="H151" s="104"/>
      <c r="I151" s="103" t="str">
        <f t="shared" si="0"/>
        <v/>
      </c>
      <c r="J151" s="102" t="str">
        <f>IF(A151="","",SUM(
COUNTIFS('QA Log'!D:D,A151,'QA Log'!M:M,"QQC",'QA Log'!L:L,"*1. General Management*"),
COUNTIFS('QA Log'!D:D,A151,'QA Log'!M:M,"QQC",'QA Log'!L:L,"*3. Curative Consultation (OPD)*"),
COUNTIFS('QA Log'!D:D,A151,'QA Log'!M:M,"QQC",'QA Log'!L:L,"*5. Laboratory*"),
COUNTIFS('QA Log'!D:D,A151,'QA Log'!M:M,"QQC",'QA Log'!L:L,"*6. Essential Medicine Management*"),
COUNTIFS('QA Log'!D:D,A151,'QA Log'!M:M,"QQC",'QA Log'!L:L,"*7. Tracer Medicine*"),
COUNTIFS('QA Log'!D:D,A151,'QA Log'!M:M,"QQC",'QA Log'!L:L,"*11. Additional Questions*")))</f>
        <v/>
      </c>
      <c r="K151" s="102" t="str">
        <f>IF(A151="","",SUM(
COUNTIFS('QA Log'!D:D,A151,'QA Log'!M:M,"QQC",'QA Log'!Z:Z,"Approved",'QA Log'!L:L,"*1. General Management*"),
COUNTIFS('QA Log'!D:D,A151,'QA Log'!M:M,"QQC",'QA Log'!Z:Z,"Approved",'QA Log'!L:L,"*3. Curative Consultation (OPD)*"),
COUNTIFS('QA Log'!D:D,A151,'QA Log'!M:M,"QQC",'QA Log'!Z:Z,"Approved",'QA Log'!L:L,"*5. Laboratory*"),
COUNTIFS('QA Log'!D:D,A151,'QA Log'!M:M,"QQC",'QA Log'!Z:Z,"Approved",'QA Log'!L:L,"*6. Essential Medicine Management*"),
COUNTIFS('QA Log'!D:D,A151,'QA Log'!M:M,"QQC",'QA Log'!Z:Z,"Approved",'QA Log'!L:L,"*7. Tracer Medicine*"),
COUNTIFS('QA Log'!D:D,A151,'QA Log'!M:M,"QQC",'QA Log'!Z:Z,"Approved",'QA Log'!L:L,"*11. Additional Questions*")))</f>
        <v/>
      </c>
      <c r="L151" s="105" t="str">
        <f>IF(A151&lt;&gt;"",COUNTIFS('QA Log'!D:D,A151,'QA Log'!M:M,"QQC",'QA Log'!L:L,"1. General Management",'QA Log'!Z:Z,"Approved"),"")</f>
        <v/>
      </c>
      <c r="M151" s="105" t="str">
        <f>IF(A151&lt;&gt;"",COUNTIFS('QA Log'!D:D,A151,'QA Log'!M:M,"QQC",'QA Log'!L:L,"3. Curative Consultation (OPD)",'QA Log'!Z:Z,"Approved"),"")</f>
        <v/>
      </c>
      <c r="N151" s="105" t="str">
        <f>IF(A151&lt;&gt;"",COUNTIFS('QA Log'!D:D,A151,'QA Log'!M:M,"QQC",'QA Log'!L:L,"5. Laboratory",'QA Log'!Z:Z,"Approved"),"")</f>
        <v/>
      </c>
      <c r="O151" s="105" t="str">
        <f>IF(A151&lt;&gt;"",COUNTIFS('QA Log'!D:D,A151,'QA Log'!M:M,"QQC",'QA Log'!L:L,"6. Essential Medicine Management",'QA Log'!Z:Z,"Approved"),"")</f>
        <v/>
      </c>
      <c r="P151" s="105" t="str">
        <f>IF(A151&lt;&gt;"",COUNTIFS('QA Log'!D:D,A151,'QA Log'!M:M,"QQC",'QA Log'!L:L,"7. Tracer Medicine",'QA Log'!Z:Z,"Approved"),"")</f>
        <v/>
      </c>
      <c r="Q151" s="105" t="str">
        <f>IF(A151&lt;&gt;"",COUNTIFS('QA Log'!D:D,A151,'QA Log'!M:M,"QQC",'QA Log'!L:L,"11. Additional Questions",'QA Log'!Z:Z,"Approved"),"")</f>
        <v/>
      </c>
      <c r="R151" s="102" t="str">
        <f>IF(A151="","",SUM(
COUNTIFS('QA Log'!D:D,A151,'QA Log'!M:M,"QQC",'QA Log'!Z:Z,"Rejected",'QA Log'!L:L,"*8. Maternity*"),
COUNTIFS('QA Log'!D:D,A151,'QA Log'!M:M,"QQC",'QA Log'!Z:Z,"Rejected",'QA Log'!L:L,"*EPI*"),
COUNTIFS('QA Log'!D:D,A151,'QA Log'!M:M,"QQC",'QA Log'!Z:Z,"Rejected",'QA Log'!L:L,"*10. Antenatal Care (ANC)*"),
COUNTIFS('QA Log'!D:D,A151,'QA Log'!M:M,"QQC",'QA Log'!Z:Z,"Rejected",'QA Log'!L:L,"*2. Hygiene and Sterilization*"),
COUNTIFS('QA Log'!D:D,A151,'QA Log'!M:M,"QQC",'QA Log'!Z:Z,"Rejected",'QA Log'!L:L,"*Family Planning*")))</f>
        <v/>
      </c>
      <c r="S151" s="106" t="str">
        <f t="shared" si="1"/>
        <v/>
      </c>
      <c r="T151" s="102" t="str">
        <f t="shared" si="2"/>
        <v/>
      </c>
      <c r="U151" s="102" t="str">
        <f>IF(A151="","",
SUM(
COUNTIFS('QA Log'!D:D,A151,'QA Log'!M:M,"QQC",'QA Log'!L:L,"*8. Maternity*"),
COUNTIFS('QA Log'!D:D,A151,'QA Log'!M:M,"QQC",'QA Log'!L:L,"*9. EPI and Pre-school Consultation*"),
COUNTIFS('QA Log'!D:D,A151,'QA Log'!M:M,"QQC",'QA Log'!L:L,"*10. Antenatal Care (ANC)*"),
COUNTIFS('QA Log'!D:D,A151,'QA Log'!M:M,"QQC",'QA Log'!L:L,"*2. Hygiene and Sterilization*"),
COUNTIFS('QA Log'!D:D,A151,'QA Log'!M:M,"QQC",'QA Log'!L:L,"*4. Family Planning*")
))</f>
        <v/>
      </c>
      <c r="V151" s="102" t="str">
        <f>IF(A151="","",
SUM(
COUNTIFS('QA Log'!D:D,A151,'QA Log'!M:M,"QQC",'QA Log'!Z:Z,"Approved",'QA Log'!L:L,"*8. Maternity*"),
COUNTIFS('QA Log'!D:D,A151,'QA Log'!M:M,"QQC",'QA Log'!Z:Z,"Approved",'QA Log'!L:L,"*9. EPI and Pre-school Consultation*"),
COUNTIFS('QA Log'!D:D,A151,'QA Log'!M:M,"QQC",'QA Log'!Z:Z,"Approved",'QA Log'!L:L,"*10. Antenatal Care (ANC)*"),
COUNTIFS('QA Log'!D:D,A151,'QA Log'!M:M,"QQC",'QA Log'!Z:Z,"Approved",'QA Log'!L:L,"*2. Hygiene and Sterilization*"),
COUNTIFS('QA Log'!D:D,A151,'QA Log'!M:M,"QQC",'QA Log'!Z:Z,"Approved",'QA Log'!L:L,"*4. Family Planning*")
))</f>
        <v/>
      </c>
      <c r="W151" s="105" t="str">
        <f>IF(A151&lt;&gt;"",COUNTIFS('QA Log'!D:D,A151,'QA Log'!M:M,"QQC",'QA Log'!L:L,"8. Maternity",'QA Log'!Z:Z,"Approved"),"")</f>
        <v/>
      </c>
      <c r="X151" s="105" t="str">
        <f>IF(A151&lt;&gt;"",COUNTIFS('QA Log'!D:D,A151,'QA Log'!M:M,"QQC",'QA Log'!L:L,"9. EPI and Pre-school Consultation",'QA Log'!Z:Z,"Approved"),"")</f>
        <v/>
      </c>
      <c r="Y151" s="105" t="str">
        <f>IF(A151&lt;&gt;"",COUNTIFS('QA Log'!D:D,A151,'QA Log'!M:M,"QQC",'QA Log'!L:L,"10. Antenatal Care (ANC)",'QA Log'!Z:Z,"Approved"),"")</f>
        <v/>
      </c>
      <c r="Z151" s="105" t="str">
        <f>IF(A151&lt;&gt;"",COUNTIFS('QA Log'!D:D,A151,'QA Log'!M:M,"QQC",'QA Log'!L:L,"2. Hygiene and Sterilization",'QA Log'!Z:Z,"Approved"),"")</f>
        <v/>
      </c>
      <c r="AA151" s="105" t="str">
        <f>IF(A151&lt;&gt;"",COUNTIFS('QA Log'!D:D,A151,'QA Log'!M:M,"QQC",'QA Log'!L:L,"4. Family Planning",'QA Log'!Z:Z,"Approved"),"")</f>
        <v/>
      </c>
      <c r="AB151" s="102" t="str">
        <f>IF(A151="","",
SUM(
COUNTIFS('QA Log'!D:D,A151,'QA Log'!M:M,"QQC",'QA Log'!Z:Z,"Rejected",'QA Log'!L:L,"*8. Maternity*"),
COUNTIFS('QA Log'!D:D,A151,'QA Log'!M:M,"QQC",'QA Log'!Z:Z,"Rejected",'QA Log'!L:L,"*9. EPI and Pre-school Consultation*"),
COUNTIFS('QA Log'!D:D,A151,'QA Log'!M:M,"QQC",'QA Log'!Z:Z,"Rejected",'QA Log'!L:L,"*10. Antenatal Care (ANC)*"),
COUNTIFS('QA Log'!D:D,A151,'QA Log'!M:M,"QQC",'QA Log'!Z:Z,"Rejected",'QA Log'!L:L,"*2. Hygiene and Sterilization*"),
COUNTIFS('QA Log'!D:D,A151,'QA Log'!M:M,"QQC",'QA Log'!Z:Z,"Rejected",'QA Log'!L:L,"*4. Family Planning*")
))</f>
        <v/>
      </c>
      <c r="AC151" s="102" t="str">
        <f t="shared" si="3"/>
        <v/>
      </c>
      <c r="AD151" s="103" t="str">
        <f t="shared" si="4"/>
        <v/>
      </c>
      <c r="AE151" s="102" t="str">
        <f>IF(A151="","",
SUM(
COUNTIFS('QA Log'!D:D,A151,'QA Log'!M:M,"Data Verification",'QA Log'!L:L,"*Medicine (section 2)*"),
COUNTIFS('QA Log'!D:D,A151,'QA Log'!M:M,"Data Verification",'QA Log'!L:L,"*Lab Testing Availability*"),
COUNTIFS('QA Log'!D:D,A151,'QA Log'!M:M,"Data Verification",'QA Log'!L:L,"*Other than P4P (section 6)*"),
COUNTIFS('QA Log'!D:D,A151,'QA Log'!M:M,"Data Verification",'QA Log'!L:L,"*Hospital Governance*")
))</f>
        <v/>
      </c>
      <c r="AF151" s="102" t="str">
        <f>IF(A151="","",
SUM(
COUNTIFS('QA Log'!D:D,A151,'QA Log'!M:M,"Data Verification",'QA Log'!Z:Z,"Approved",'QA Log'!L:L,"*Medicine (section 2)*"),
COUNTIFS('QA Log'!D:D,A151,'QA Log'!M:M,"Data Verification",'QA Log'!Z:Z,"Approved",'QA Log'!L:L,"*Lab Testing Availability*"),
COUNTIFS('QA Log'!D:D,A151,'QA Log'!M:M,"Data Verification",'QA Log'!Z:Z,"Approved",'QA Log'!L:L,"*Other than P4P (section 6)*"),
COUNTIFS('QA Log'!D:D,A151,'QA Log'!M:M,"Data Verification",'QA Log'!Z:Z,"Approved",'QA Log'!L:L,"*Hospital Governance*")
))</f>
        <v/>
      </c>
      <c r="AG151" s="105" t="str">
        <f>IF(A151&lt;&gt;"",COUNTIFS('QA Log'!D:D,A151,'QA Log'!M:M,"Data Verification",'QA Log'!L:L,"Medicine (section 2)",'QA Log'!Z:Z,"Approved"),"")</f>
        <v/>
      </c>
      <c r="AH151" s="105" t="str">
        <f>IF(A151&lt;&gt;"",COUNTIFS('QA Log'!D:D,A151,'QA Log'!M:M,"Data Verification",'QA Log'!L:L,"Lab Testing Availability",'QA Log'!Z:Z,"Approved"),"")</f>
        <v/>
      </c>
      <c r="AI151" s="105" t="str">
        <f>IF(A151&lt;&gt;"",COUNTIFS('QA Log'!D:D,A151,'QA Log'!M:M,"Data Verification",'QA Log'!L:L,"Other than P4P (section 6)",'QA Log'!Z:Z,"Approved"),"")</f>
        <v/>
      </c>
      <c r="AJ151" s="105" t="str">
        <f>IF(A151&lt;&gt;"",COUNTIFS('QA Log'!D:D,A151,'QA Log'!M:M,"Data Verification",'QA Log'!L:L,"Hospital Governance",'QA Log'!Z:Z,"Approved"),"")</f>
        <v/>
      </c>
      <c r="AK151" s="102" t="str">
        <f>IF(A151="","",
SUM(
COUNTIFS('QA Log'!D:D,A151,'QA Log'!M:M,"Data Verification",'QA Log'!Z:Z,"Rejected",'QA Log'!L:L,"*Medicine (section 2)*"),
COUNTIFS('QA Log'!D:D,A151,'QA Log'!M:M,"Data Verification",'QA Log'!Z:Z,"Rejected",'QA Log'!L:L,"*Lab Testing Availability*"),
COUNTIFS('QA Log'!D:D,A151,'QA Log'!M:M,"Data Verification",'QA Log'!Z:Z,"Rejected",'QA Log'!L:L,"*Other than P4P (section 6)*"),
COUNTIFS('QA Log'!D:D,A151,'QA Log'!M:M,"Data Verification",'QA Log'!Z:Z,"Rejected",'QA Log'!L:L,"*Hospital Governance*")
))</f>
        <v/>
      </c>
      <c r="AL151" s="106" t="str">
        <f t="shared" si="5"/>
        <v/>
      </c>
      <c r="AM151" s="102" t="str">
        <f t="shared" si="6"/>
        <v/>
      </c>
      <c r="AN151" s="102" t="str">
        <f>IF(A151="","",
SUM(
COUNTIFS('QA Log'!D:D,A151,'QA Log'!M:M,"Data Verification",'QA Log'!L:L,"*Personnel (section 1)*"),
COUNTIFS('QA Log'!D:D,A151,'QA Log'!M:M,"Data Verification",'QA Log'!L:L,"*Consumable (section 3)*"),
COUNTIFS('QA Log'!D:D,A151,'QA Log'!M:M,"Data Verification",'QA Log'!L:L,"*Equipments (section 4)*")
))</f>
        <v/>
      </c>
      <c r="AO151" s="102" t="str">
        <f>IF(A151="","",
SUM(
COUNTIFS('QA Log'!D:D,A151,'QA Log'!M:M,"Data Verification",'QA Log'!Z:Z,"Approved",'QA Log'!L:L,"*Personnel (section 1)*"),
COUNTIFS('QA Log'!D:D,A151,'QA Log'!M:M,"Data Verification",'QA Log'!Z:Z,"Approved",'QA Log'!L:L,"*Consumable (section 3)*"),
COUNTIFS('QA Log'!D:D,A151,'QA Log'!M:M,"Data Verification",'QA Log'!Z:Z,"Approved",'QA Log'!L:L,"*Equipments (section 4)*")
))</f>
        <v/>
      </c>
      <c r="AP151" s="105" t="str">
        <f>IF(A151&lt;&gt;"",COUNTIFS('QA Log'!D:D,A151,'QA Log'!M:M,"Data Verification",'QA Log'!L:L,"Personnel (section 1)",'QA Log'!Z:Z,"Approved"),"")</f>
        <v/>
      </c>
      <c r="AQ151" s="105" t="str">
        <f>IF(A151&lt;&gt;"",COUNTIFS('QA Log'!D:D,A151,'QA Log'!M:M,"Data Verification",'QA Log'!L:L,"Consumable (section 3)",'QA Log'!Z:Z,"Approved"),"")</f>
        <v/>
      </c>
      <c r="AR151" s="105" t="str">
        <f>IF(A151&lt;&gt;"",COUNTIFS('QA Log'!D:D,A151,'QA Log'!M:M,"Data Verification",'QA Log'!L:L,"Equipments (section 4)",'QA Log'!Z:Z,"Approved"),"")</f>
        <v/>
      </c>
      <c r="AS151" s="102" t="str">
        <f>IF(A151="","",
SUM(
COUNTIFS('QA Log'!D:D,A151,'QA Log'!M:M,"Data Verification",'QA Log'!Z:Z,"Rejected",'QA Log'!L:L,"*Personnel (section 1)*"),
COUNTIFS('QA Log'!D:D,A151,'QA Log'!M:M,"Data Verification",'QA Log'!Z:Z,"Rejected",'QA Log'!L:L,"*Consumable (section 3)*"),
COUNTIFS('QA Log'!D:D,A151,'QA Log'!M:M,"Data Verification",'QA Log'!Z:Z,"Rejected",'QA Log'!L:L,"*Equipments (section 4)*")
))</f>
        <v/>
      </c>
      <c r="AT151" s="102" t="str">
        <f t="shared" si="7"/>
        <v/>
      </c>
      <c r="AU151" s="103" t="str">
        <f t="shared" si="8"/>
        <v/>
      </c>
      <c r="AV151" s="102" t="str">
        <f>IF(A151="","",SUM(
COUNTIFS('QA Log'!D:D,A151,'QA Log'!M:M,"Vignette",'QA Log'!L:L,"*Vignette [1] Respiratory Infection: Pneumonia*"),
COUNTIFS('QA Log'!D:D,A151,'QA Log'!M:M,"Vignette",'QA Log'!L:L,"*Vignette [2]: Diarrhea with Cat B dehydration*"),
COUNTIFS('QA Log'!D:D,A151,'QA Log'!M:M,"Vignette",'QA Log'!L:L,"*Vignette [3] Growth Monitoring and Promotion*"),
COUNTIFS('QA Log'!D:D,A151,'QA Log'!M:M,"Vignette",'QA Log'!L:L,"*Vignette [4]: The management of presumptive TB patient*")
)
)</f>
        <v/>
      </c>
      <c r="AW151" s="102" t="str">
        <f>IF(
  A151="","",
  SUM(
    COUNTIFS('QA Log'!D:D,A151,'QA Log'!M:M,"Vignette",'QA Log'!Z:Z,"Approved",'QA Log'!L:L,"*Vignette [1] Respiratory Infection: Pneumonia*"),
    COUNTIFS('QA Log'!D:D,A151,'QA Log'!M:M,"Vignette",'QA Log'!Z:Z,"Approved",'QA Log'!L:L,"*Vignette [2]: Diarrhea with Cat B dehydration*"),
    COUNTIFS('QA Log'!D:D,A151,'QA Log'!M:M,"Vignette",'QA Log'!Z:Z,"Approved",'QA Log'!L:L,"*Vignette [3] Growth Monitoring and Promotion*"),
    COUNTIFS('QA Log'!D:D,A151,'QA Log'!M:M,"Vignette",'QA Log'!Z:Z,"Approved",'QA Log'!L:L,"*Vignette [4]: The management of presumptive TB patient*")
  )
)</f>
        <v/>
      </c>
      <c r="AX151" s="105" t="str">
        <f>IF(A151&lt;&gt;"",COUNTIFS('QA Log'!D:D,A151,'QA Log'!M:M,"Vignette",'QA Log'!L:L,"Vignette [1] Respiratory Infection: Pneumonia",'QA Log'!Z:Z,"Approved"),"")</f>
        <v/>
      </c>
      <c r="AY151" s="105" t="str">
        <f>IF(A151&lt;&gt;"",COUNTIFS('QA Log'!D:D,A151,'QA Log'!M:M,"Vignette",'QA Log'!L:L,"Vignette [2]: Diarrhea with Cat B dehydration",'QA Log'!Z:Z,"Approved"),"")</f>
        <v/>
      </c>
      <c r="AZ151" s="105" t="str">
        <f>IF(A151&lt;&gt;"",COUNTIFS('QA Log'!D:D,A151,'QA Log'!M:M,"Vignette",'QA Log'!L:L,"Vignette [3] Growth Monitoring and Promotion",'QA Log'!Z:Z,"Approved"),"")</f>
        <v/>
      </c>
      <c r="BA151" s="105" t="str">
        <f>IF(A151&lt;&gt;"",COUNTIFS('QA Log'!D:D,A151,'QA Log'!M:M,"Vignette",'QA Log'!L:L,"Vignette [4]: The management of presumptive TB patient",'QA Log'!Z:Z,"Approved"),"")</f>
        <v/>
      </c>
      <c r="BB151" s="102" t="str">
        <f>IF(A151="","",
  SUM(
    COUNTIFS('QA Log'!D:D,A151,'QA Log'!M:M,"Vignette",'QA Log'!Z:Z,"Rejected",'QA Log'!L:L,"*Vignette [1] Respiratory Infection: Pneumonia*"),
    COUNTIFS('QA Log'!D:D,A151,'QA Log'!M:M,"Vignette",'QA Log'!Z:Z,"Rejected",'QA Log'!L:L,"*Vignette [2]: Diarrhea with Cat B dehydration*"),
    COUNTIFS('QA Log'!D:D,A151,'QA Log'!M:M,"Vignette",'QA Log'!Z:Z,"Rejected",'QA Log'!L:L,"*Vignette [3] Growth Monitoring and Promotion*"),
    COUNTIFS('QA Log'!D:D,A151,'QA Log'!M:M,"Vignette",'QA Log'!Z:Z,"Rejected",'QA Log'!L:L,"*Vignette [4]: The management of presumptive TB patient*")
  )
)</f>
        <v/>
      </c>
      <c r="BC151" s="107" t="str">
        <f t="shared" si="9"/>
        <v/>
      </c>
      <c r="BD151" s="103" t="str">
        <f t="shared" si="10"/>
        <v/>
      </c>
      <c r="BE151" s="102" t="str">
        <f>IF(A151="","",SUM(
COUNTIFS('QA Log'!D:D,A151,'QA Log'!M:M,"Vignette",'QA Log'!L:L,"*Vignette [5] Labor*"),
COUNTIFS('QA Log'!D:D,A151,'QA Log'!M:M,"Vignette",'QA Log'!L:L,"*Vignette [6] PNC pre Discharge*"),
COUNTIFS('QA Log'!D:D,A151,'QA Log'!M:M,"Vignette",'QA Log'!L:L,"*Vignette [7] First ANC Visit*"),
COUNTIFS('QA Log'!D:D,A151,'QA Log'!M:M,"Vignette",'QA Log'!L:L,"*Vignette [8] Birth Spacing/ Family Planning :  FP Counselling*"),
COUNTIFS('QA Log'!D:D,A151,'QA Log'!M:M,"Vignette",'QA Log'!L:L,"*Vignette [9] Birth Spacing: Change FP method to Injectable*"),
COUNTIFS('QA Log'!D:D,A151,'QA Log'!M:M,"Vignette",'QA Log'!L:L,"*Vignette [10] Post Partum Haemorrhage - Atonic Uterus at Health Centre*"),
)
)</f>
        <v/>
      </c>
      <c r="BF151" s="102" t="str">
        <f>IF(A151="","",
  SUM(
    COUNTIFS('QA Log'!D:D,A151,'QA Log'!M:M,"Vignette",'QA Log'!Z:Z,"Approved",'QA Log'!L:L,"*Vignette [5] Labor*"),
    COUNTIFS('QA Log'!D:D,A151,'QA Log'!M:M,"Vignette",'QA Log'!Z:Z,"Approved",'QA Log'!L:L,"*Vignette [6] PNC pre Discharge*"),
    COUNTIFS('QA Log'!D:D,A151,'QA Log'!M:M,"Vignette",'QA Log'!Z:Z,"Approved",'QA Log'!L:L,"*Vignette [7] First ANC Visit*"),
    COUNTIFS('QA Log'!D:D,A151,'QA Log'!M:M,"Vignette",'QA Log'!Z:Z,"Approved",'QA Log'!L:L,"*Vignette [8] Birth Spacing/ Family Planning :  FP Counselling*"),
    COUNTIFS('QA Log'!D:D,A151,'QA Log'!M:M,"Vignette",'QA Log'!Z:Z,"Approved",'QA Log'!L:L,"*Vignette [9] Birth Spacing: Change FP method to Injectable*"),
    COUNTIFS('QA Log'!D:D,A151,'QA Log'!M:M,"Vignette",'QA Log'!Z:Z,"Approved",'QA Log'!L:L,"*Vignette [10] Post Partum Haemorrhage - Atonic Uterus at Health Centre*")
  )
)</f>
        <v/>
      </c>
      <c r="BG151" s="105" t="str">
        <f>IF(A151&lt;&gt;"",COUNTIFS('QA Log'!D:D,A151,'QA Log'!M:M,"Vignette",'QA Log'!L:L,"Vignette [5] Labor",'QA Log'!Z:Z,"Approved"),"")</f>
        <v/>
      </c>
      <c r="BH151" s="105" t="str">
        <f>IF(A151&lt;&gt;"",COUNTIFS('QA Log'!D:D,A151,'QA Log'!M:M,"Vignette",'QA Log'!L:L,"Vignette [6] PNC pre Discharge",'QA Log'!Z:Z,"Approved"),"")</f>
        <v/>
      </c>
      <c r="BI151" s="105" t="str">
        <f>IF(A151&lt;&gt;"",COUNTIFS('QA Log'!D:D,A151,'QA Log'!M:M,"Vignette",'QA Log'!L:L,"Vignette [7] First ANC Visit",'QA Log'!Z:Z,"Approved"),"")</f>
        <v/>
      </c>
      <c r="BJ151" s="105" t="str">
        <f>IF(A151&lt;&gt;"",COUNTIFS('QA Log'!D:D,A151,'QA Log'!M:M,"Vignette",'QA Log'!L:L,"Vignette [8] Birth Spacing/ Family Planning :  FP Counselling",'QA Log'!Z:Z,"Approved"),"")</f>
        <v/>
      </c>
      <c r="BK151" s="105" t="str">
        <f>IF(A151&lt;&gt;"",COUNTIFS('QA Log'!D:D,A151,'QA Log'!M:M,"Vignette",'QA Log'!L:L,"Vignette [9] Birth Spacing: Change FP method to Injectable",'QA Log'!Z:Z,"Approved"),"")</f>
        <v/>
      </c>
      <c r="BL151" s="105" t="str">
        <f>IF(A151&lt;&gt;"",COUNTIFS('QA Log'!D:D,A151,'QA Log'!M:M,"Vignette",'QA Log'!L:L,"Vignette [10] Post Partum Haemorrhage - Atonic Uterus at Health Centre",'QA Log'!Z:Z,"Approved"),"")</f>
        <v/>
      </c>
      <c r="BM151" s="102" t="str">
        <f>IF(A151="","",SUM(
    COUNTIFS('QA Log'!D:D,A151,'QA Log'!M:M,"Vignette",'QA Log'!Z:Z,"Rejected",'QA Log'!L:L,"*Vignette [5] Labor*"),
    COUNTIFS('QA Log'!D:D,A151,'QA Log'!M:M,"Vignette",'QA Log'!Z:Z,"Rejected",'QA Log'!L:L,"*Vignette [6] PNC pre Discharge*"),
    COUNTIFS('QA Log'!D:D,A151,'QA Log'!M:M,"Vignette",'QA Log'!Z:Z,"Rejected",'QA Log'!L:L,"*Vignette [7] First ANC Visit*"),
    COUNTIFS('QA Log'!D:D,A151,'QA Log'!M:M,"Vignette",'QA Log'!Z:Z,"Rejected",'QA Log'!L:L,"*Vignette [8] Birth Spacing/ Family Planning :  FP Counselling*"),
    COUNTIFS('QA Log'!D:D,A151,'QA Log'!M:M,"Vignette",'QA Log'!Z:Z,"Rejected",'QA Log'!L:L,"*Vignette [9] Birth Spacing: Change FP method to Injectable*"),
    COUNTIFS('QA Log'!D:D,A151,'QA Log'!M:M,"Vignette",'QA Log'!Z:Z,"Rejected",'QA Log'!L:L,"*Vignette [10] Post Partum Haemorrhage - Atonic Uterus at Health Centre*")
  )
)</f>
        <v/>
      </c>
      <c r="BN151" s="107" t="str">
        <f t="shared" si="11"/>
        <v/>
      </c>
      <c r="BO151" s="103" t="str">
        <f t="shared" si="12"/>
        <v/>
      </c>
      <c r="BP151" s="102" t="str">
        <f>IF(A151="","",SUM(
COUNTIFS('QA Log'!D:D,A151,'QA Log'!M:M,"Vignette",'QA Log'!L:L,"*Exit Interview 1*"),
COUNTIFS('QA Log'!D:D,A151,'QA Log'!M:M,"Vignette",'QA Log'!L:L,"*Exit Interview 2*"),
)
)</f>
        <v/>
      </c>
      <c r="BQ151" s="102" t="str">
        <f>IF(
  A151="","",
  SUM(
    COUNTIFS('QA Log'!D:D,A151,'QA Log'!M:M,"Vignette",'QA Log'!Z:Z,"Approved",'QA Log'!L:L,"*Exit Interview 1*"),
    COUNTIFS('QA Log'!D:D,A151,'QA Log'!M:M,"Vignette",'QA Log'!Z:Z,"Approved",'QA Log'!L:L,"*Exit Interview 2*")
  )
)</f>
        <v/>
      </c>
      <c r="BR151" s="105" t="str">
        <f>IF(A151&lt;&gt;"",COUNTIFS('QA Log'!D:D,A151,'QA Log'!M:M,"Vignette",'QA Log'!L:L,"Exit Interview 1",'QA Log'!Z:Z,"Approved"),"")</f>
        <v/>
      </c>
      <c r="BS151" s="105" t="str">
        <f>IF(A151&lt;&gt;"",COUNTIFS('QA Log'!D:D,A151,'QA Log'!M:M,"Vignette",'QA Log'!L:L,"Exit Interview 2",'QA Log'!Z:Z,"Approved"),"")</f>
        <v/>
      </c>
      <c r="BT151" s="102" t="str">
        <f>IF(
  A151="","",
  SUM(
    COUNTIFS('QA Log'!D:D,A151,'QA Log'!M:M,"Vignette",'QA Log'!Z:Z,"Rejected",'QA Log'!L:L,"*Exit Interview 1*"),
    COUNTIFS('QA Log'!D:D,A151,'QA Log'!M:M,"Vignette",'QA Log'!Z:Z,"Rejected",'QA Log'!L:L,"*Exit Interview 2*")
  )
)</f>
        <v/>
      </c>
      <c r="BU151" s="107" t="str">
        <f t="shared" si="13"/>
        <v/>
      </c>
      <c r="BV151" s="102" t="str">
        <f t="shared" si="14"/>
        <v/>
      </c>
      <c r="BW151" s="102" t="str">
        <f t="shared" si="15"/>
        <v/>
      </c>
      <c r="BX151" s="102" t="str">
        <f t="shared" si="16"/>
        <v/>
      </c>
      <c r="BY151" s="102" t="str">
        <f t="shared" si="17"/>
        <v/>
      </c>
      <c r="BZ151" s="107" t="str">
        <f t="shared" si="18"/>
        <v/>
      </c>
      <c r="CA151" s="108" t="str">
        <f t="shared" si="19"/>
        <v/>
      </c>
      <c r="CB151" s="108" t="str">
        <f t="shared" si="20"/>
        <v/>
      </c>
      <c r="CC151" s="109" t="str">
        <f t="shared" si="21"/>
        <v/>
      </c>
      <c r="CD151" s="108" t="str">
        <f t="shared" si="22"/>
        <v/>
      </c>
      <c r="CE151" s="108" t="str">
        <f t="shared" si="23"/>
        <v/>
      </c>
      <c r="CF151" s="109" t="str">
        <f t="shared" si="24"/>
        <v/>
      </c>
      <c r="CG151" s="110" t="str">
        <f t="shared" si="25"/>
        <v/>
      </c>
      <c r="CH151" s="111"/>
    </row>
    <row r="152" spans="1:86" ht="12.75">
      <c r="A152" s="101"/>
      <c r="B152" s="102" t="e">
        <f t="array" aca="1" ref="B152" ca="1">_xludf.XLOOKUP(A152,'QA Log'!D:D,'QA Log'!E:E,"")</f>
        <v>#NAME?</v>
      </c>
      <c r="C152" s="102" t="e">
        <f t="array" aca="1" ref="C152" ca="1">_xludf.XLOOKUP(A152,'QA Log'!D:D,'QA Log'!F:F,"")</f>
        <v>#NAME?</v>
      </c>
      <c r="D152" s="102" t="e">
        <f t="array" aca="1" ref="D152" ca="1">_xludf.XLOOKUP(A152,'QA Log'!D:D,'QA Log'!H:H,"")</f>
        <v>#NAME?</v>
      </c>
      <c r="E152" s="102" t="e">
        <f t="array" aca="1" ref="E152" ca="1">_xludf.XLOOKUP(A152,'QA Log'!D:D,'QA Log'!G:G,"")</f>
        <v>#NAME?</v>
      </c>
      <c r="F152" s="103"/>
      <c r="G152" s="104"/>
      <c r="H152" s="104"/>
      <c r="I152" s="103" t="str">
        <f t="shared" si="0"/>
        <v/>
      </c>
      <c r="J152" s="102" t="str">
        <f>IF(A152="","",SUM(
COUNTIFS('QA Log'!D:D,A152,'QA Log'!M:M,"QQC",'QA Log'!L:L,"*1. General Management*"),
COUNTIFS('QA Log'!D:D,A152,'QA Log'!M:M,"QQC",'QA Log'!L:L,"*3. Curative Consultation (OPD)*"),
COUNTIFS('QA Log'!D:D,A152,'QA Log'!M:M,"QQC",'QA Log'!L:L,"*5. Laboratory*"),
COUNTIFS('QA Log'!D:D,A152,'QA Log'!M:M,"QQC",'QA Log'!L:L,"*6. Essential Medicine Management*"),
COUNTIFS('QA Log'!D:D,A152,'QA Log'!M:M,"QQC",'QA Log'!L:L,"*7. Tracer Medicine*"),
COUNTIFS('QA Log'!D:D,A152,'QA Log'!M:M,"QQC",'QA Log'!L:L,"*11. Additional Questions*")))</f>
        <v/>
      </c>
      <c r="K152" s="102" t="str">
        <f>IF(A152="","",SUM(
COUNTIFS('QA Log'!D:D,A152,'QA Log'!M:M,"QQC",'QA Log'!Z:Z,"Approved",'QA Log'!L:L,"*1. General Management*"),
COUNTIFS('QA Log'!D:D,A152,'QA Log'!M:M,"QQC",'QA Log'!Z:Z,"Approved",'QA Log'!L:L,"*3. Curative Consultation (OPD)*"),
COUNTIFS('QA Log'!D:D,A152,'QA Log'!M:M,"QQC",'QA Log'!Z:Z,"Approved",'QA Log'!L:L,"*5. Laboratory*"),
COUNTIFS('QA Log'!D:D,A152,'QA Log'!M:M,"QQC",'QA Log'!Z:Z,"Approved",'QA Log'!L:L,"*6. Essential Medicine Management*"),
COUNTIFS('QA Log'!D:D,A152,'QA Log'!M:M,"QQC",'QA Log'!Z:Z,"Approved",'QA Log'!L:L,"*7. Tracer Medicine*"),
COUNTIFS('QA Log'!D:D,A152,'QA Log'!M:M,"QQC",'QA Log'!Z:Z,"Approved",'QA Log'!L:L,"*11. Additional Questions*")))</f>
        <v/>
      </c>
      <c r="L152" s="105" t="str">
        <f>IF(A152&lt;&gt;"",COUNTIFS('QA Log'!D:D,A152,'QA Log'!M:M,"QQC",'QA Log'!L:L,"1. General Management",'QA Log'!Z:Z,"Approved"),"")</f>
        <v/>
      </c>
      <c r="M152" s="105" t="str">
        <f>IF(A152&lt;&gt;"",COUNTIFS('QA Log'!D:D,A152,'QA Log'!M:M,"QQC",'QA Log'!L:L,"3. Curative Consultation (OPD)",'QA Log'!Z:Z,"Approved"),"")</f>
        <v/>
      </c>
      <c r="N152" s="105" t="str">
        <f>IF(A152&lt;&gt;"",COUNTIFS('QA Log'!D:D,A152,'QA Log'!M:M,"QQC",'QA Log'!L:L,"5. Laboratory",'QA Log'!Z:Z,"Approved"),"")</f>
        <v/>
      </c>
      <c r="O152" s="105" t="str">
        <f>IF(A152&lt;&gt;"",COUNTIFS('QA Log'!D:D,A152,'QA Log'!M:M,"QQC",'QA Log'!L:L,"6. Essential Medicine Management",'QA Log'!Z:Z,"Approved"),"")</f>
        <v/>
      </c>
      <c r="P152" s="105" t="str">
        <f>IF(A152&lt;&gt;"",COUNTIFS('QA Log'!D:D,A152,'QA Log'!M:M,"QQC",'QA Log'!L:L,"7. Tracer Medicine",'QA Log'!Z:Z,"Approved"),"")</f>
        <v/>
      </c>
      <c r="Q152" s="105" t="str">
        <f>IF(A152&lt;&gt;"",COUNTIFS('QA Log'!D:D,A152,'QA Log'!M:M,"QQC",'QA Log'!L:L,"11. Additional Questions",'QA Log'!Z:Z,"Approved"),"")</f>
        <v/>
      </c>
      <c r="R152" s="102" t="str">
        <f>IF(A152="","",SUM(
COUNTIFS('QA Log'!D:D,A152,'QA Log'!M:M,"QQC",'QA Log'!Z:Z,"Rejected",'QA Log'!L:L,"*8. Maternity*"),
COUNTIFS('QA Log'!D:D,A152,'QA Log'!M:M,"QQC",'QA Log'!Z:Z,"Rejected",'QA Log'!L:L,"*EPI*"),
COUNTIFS('QA Log'!D:D,A152,'QA Log'!M:M,"QQC",'QA Log'!Z:Z,"Rejected",'QA Log'!L:L,"*10. Antenatal Care (ANC)*"),
COUNTIFS('QA Log'!D:D,A152,'QA Log'!M:M,"QQC",'QA Log'!Z:Z,"Rejected",'QA Log'!L:L,"*2. Hygiene and Sterilization*"),
COUNTIFS('QA Log'!D:D,A152,'QA Log'!M:M,"QQC",'QA Log'!Z:Z,"Rejected",'QA Log'!L:L,"*Family Planning*")))</f>
        <v/>
      </c>
      <c r="S152" s="106" t="str">
        <f t="shared" si="1"/>
        <v/>
      </c>
      <c r="T152" s="102" t="str">
        <f t="shared" si="2"/>
        <v/>
      </c>
      <c r="U152" s="102" t="str">
        <f>IF(A152="","",
SUM(
COUNTIFS('QA Log'!D:D,A152,'QA Log'!M:M,"QQC",'QA Log'!L:L,"*8. Maternity*"),
COUNTIFS('QA Log'!D:D,A152,'QA Log'!M:M,"QQC",'QA Log'!L:L,"*9. EPI and Pre-school Consultation*"),
COUNTIFS('QA Log'!D:D,A152,'QA Log'!M:M,"QQC",'QA Log'!L:L,"*10. Antenatal Care (ANC)*"),
COUNTIFS('QA Log'!D:D,A152,'QA Log'!M:M,"QQC",'QA Log'!L:L,"*2. Hygiene and Sterilization*"),
COUNTIFS('QA Log'!D:D,A152,'QA Log'!M:M,"QQC",'QA Log'!L:L,"*4. Family Planning*")
))</f>
        <v/>
      </c>
      <c r="V152" s="102" t="str">
        <f>IF(A152="","",
SUM(
COUNTIFS('QA Log'!D:D,A152,'QA Log'!M:M,"QQC",'QA Log'!Z:Z,"Approved",'QA Log'!L:L,"*8. Maternity*"),
COUNTIFS('QA Log'!D:D,A152,'QA Log'!M:M,"QQC",'QA Log'!Z:Z,"Approved",'QA Log'!L:L,"*9. EPI and Pre-school Consultation*"),
COUNTIFS('QA Log'!D:D,A152,'QA Log'!M:M,"QQC",'QA Log'!Z:Z,"Approved",'QA Log'!L:L,"*10. Antenatal Care (ANC)*"),
COUNTIFS('QA Log'!D:D,A152,'QA Log'!M:M,"QQC",'QA Log'!Z:Z,"Approved",'QA Log'!L:L,"*2. Hygiene and Sterilization*"),
COUNTIFS('QA Log'!D:D,A152,'QA Log'!M:M,"QQC",'QA Log'!Z:Z,"Approved",'QA Log'!L:L,"*4. Family Planning*")
))</f>
        <v/>
      </c>
      <c r="W152" s="105" t="str">
        <f>IF(A152&lt;&gt;"",COUNTIFS('QA Log'!D:D,A152,'QA Log'!M:M,"QQC",'QA Log'!L:L,"8. Maternity",'QA Log'!Z:Z,"Approved"),"")</f>
        <v/>
      </c>
      <c r="X152" s="105" t="str">
        <f>IF(A152&lt;&gt;"",COUNTIFS('QA Log'!D:D,A152,'QA Log'!M:M,"QQC",'QA Log'!L:L,"9. EPI and Pre-school Consultation",'QA Log'!Z:Z,"Approved"),"")</f>
        <v/>
      </c>
      <c r="Y152" s="105" t="str">
        <f>IF(A152&lt;&gt;"",COUNTIFS('QA Log'!D:D,A152,'QA Log'!M:M,"QQC",'QA Log'!L:L,"10. Antenatal Care (ANC)",'QA Log'!Z:Z,"Approved"),"")</f>
        <v/>
      </c>
      <c r="Z152" s="105" t="str">
        <f>IF(A152&lt;&gt;"",COUNTIFS('QA Log'!D:D,A152,'QA Log'!M:M,"QQC",'QA Log'!L:L,"2. Hygiene and Sterilization",'QA Log'!Z:Z,"Approved"),"")</f>
        <v/>
      </c>
      <c r="AA152" s="105" t="str">
        <f>IF(A152&lt;&gt;"",COUNTIFS('QA Log'!D:D,A152,'QA Log'!M:M,"QQC",'QA Log'!L:L,"4. Family Planning",'QA Log'!Z:Z,"Approved"),"")</f>
        <v/>
      </c>
      <c r="AB152" s="102" t="str">
        <f>IF(A152="","",
SUM(
COUNTIFS('QA Log'!D:D,A152,'QA Log'!M:M,"QQC",'QA Log'!Z:Z,"Rejected",'QA Log'!L:L,"*8. Maternity*"),
COUNTIFS('QA Log'!D:D,A152,'QA Log'!M:M,"QQC",'QA Log'!Z:Z,"Rejected",'QA Log'!L:L,"*9. EPI and Pre-school Consultation*"),
COUNTIFS('QA Log'!D:D,A152,'QA Log'!M:M,"QQC",'QA Log'!Z:Z,"Rejected",'QA Log'!L:L,"*10. Antenatal Care (ANC)*"),
COUNTIFS('QA Log'!D:D,A152,'QA Log'!M:M,"QQC",'QA Log'!Z:Z,"Rejected",'QA Log'!L:L,"*2. Hygiene and Sterilization*"),
COUNTIFS('QA Log'!D:D,A152,'QA Log'!M:M,"QQC",'QA Log'!Z:Z,"Rejected",'QA Log'!L:L,"*4. Family Planning*")
))</f>
        <v/>
      </c>
      <c r="AC152" s="102" t="str">
        <f t="shared" si="3"/>
        <v/>
      </c>
      <c r="AD152" s="103" t="str">
        <f t="shared" si="4"/>
        <v/>
      </c>
      <c r="AE152" s="102" t="str">
        <f>IF(A152="","",
SUM(
COUNTIFS('QA Log'!D:D,A152,'QA Log'!M:M,"Data Verification",'QA Log'!L:L,"*Medicine (section 2)*"),
COUNTIFS('QA Log'!D:D,A152,'QA Log'!M:M,"Data Verification",'QA Log'!L:L,"*Lab Testing Availability*"),
COUNTIFS('QA Log'!D:D,A152,'QA Log'!M:M,"Data Verification",'QA Log'!L:L,"*Other than P4P (section 6)*"),
COUNTIFS('QA Log'!D:D,A152,'QA Log'!M:M,"Data Verification",'QA Log'!L:L,"*Hospital Governance*")
))</f>
        <v/>
      </c>
      <c r="AF152" s="102" t="str">
        <f>IF(A152="","",
SUM(
COUNTIFS('QA Log'!D:D,A152,'QA Log'!M:M,"Data Verification",'QA Log'!Z:Z,"Approved",'QA Log'!L:L,"*Medicine (section 2)*"),
COUNTIFS('QA Log'!D:D,A152,'QA Log'!M:M,"Data Verification",'QA Log'!Z:Z,"Approved",'QA Log'!L:L,"*Lab Testing Availability*"),
COUNTIFS('QA Log'!D:D,A152,'QA Log'!M:M,"Data Verification",'QA Log'!Z:Z,"Approved",'QA Log'!L:L,"*Other than P4P (section 6)*"),
COUNTIFS('QA Log'!D:D,A152,'QA Log'!M:M,"Data Verification",'QA Log'!Z:Z,"Approved",'QA Log'!L:L,"*Hospital Governance*")
))</f>
        <v/>
      </c>
      <c r="AG152" s="105" t="str">
        <f>IF(A152&lt;&gt;"",COUNTIFS('QA Log'!D:D,A152,'QA Log'!M:M,"Data Verification",'QA Log'!L:L,"Medicine (section 2)",'QA Log'!Z:Z,"Approved"),"")</f>
        <v/>
      </c>
      <c r="AH152" s="105" t="str">
        <f>IF(A152&lt;&gt;"",COUNTIFS('QA Log'!D:D,A152,'QA Log'!M:M,"Data Verification",'QA Log'!L:L,"Lab Testing Availability",'QA Log'!Z:Z,"Approved"),"")</f>
        <v/>
      </c>
      <c r="AI152" s="105" t="str">
        <f>IF(A152&lt;&gt;"",COUNTIFS('QA Log'!D:D,A152,'QA Log'!M:M,"Data Verification",'QA Log'!L:L,"Other than P4P (section 6)",'QA Log'!Z:Z,"Approved"),"")</f>
        <v/>
      </c>
      <c r="AJ152" s="105" t="str">
        <f>IF(A152&lt;&gt;"",COUNTIFS('QA Log'!D:D,A152,'QA Log'!M:M,"Data Verification",'QA Log'!L:L,"Hospital Governance",'QA Log'!Z:Z,"Approved"),"")</f>
        <v/>
      </c>
      <c r="AK152" s="102" t="str">
        <f>IF(A152="","",
SUM(
COUNTIFS('QA Log'!D:D,A152,'QA Log'!M:M,"Data Verification",'QA Log'!Z:Z,"Rejected",'QA Log'!L:L,"*Medicine (section 2)*"),
COUNTIFS('QA Log'!D:D,A152,'QA Log'!M:M,"Data Verification",'QA Log'!Z:Z,"Rejected",'QA Log'!L:L,"*Lab Testing Availability*"),
COUNTIFS('QA Log'!D:D,A152,'QA Log'!M:M,"Data Verification",'QA Log'!Z:Z,"Rejected",'QA Log'!L:L,"*Other than P4P (section 6)*"),
COUNTIFS('QA Log'!D:D,A152,'QA Log'!M:M,"Data Verification",'QA Log'!Z:Z,"Rejected",'QA Log'!L:L,"*Hospital Governance*")
))</f>
        <v/>
      </c>
      <c r="AL152" s="106" t="str">
        <f t="shared" si="5"/>
        <v/>
      </c>
      <c r="AM152" s="102" t="str">
        <f t="shared" si="6"/>
        <v/>
      </c>
      <c r="AN152" s="102" t="str">
        <f>IF(A152="","",
SUM(
COUNTIFS('QA Log'!D:D,A152,'QA Log'!M:M,"Data Verification",'QA Log'!L:L,"*Personnel (section 1)*"),
COUNTIFS('QA Log'!D:D,A152,'QA Log'!M:M,"Data Verification",'QA Log'!L:L,"*Consumable (section 3)*"),
COUNTIFS('QA Log'!D:D,A152,'QA Log'!M:M,"Data Verification",'QA Log'!L:L,"*Equipments (section 4)*")
))</f>
        <v/>
      </c>
      <c r="AO152" s="102" t="str">
        <f>IF(A152="","",
SUM(
COUNTIFS('QA Log'!D:D,A152,'QA Log'!M:M,"Data Verification",'QA Log'!Z:Z,"Approved",'QA Log'!L:L,"*Personnel (section 1)*"),
COUNTIFS('QA Log'!D:D,A152,'QA Log'!M:M,"Data Verification",'QA Log'!Z:Z,"Approved",'QA Log'!L:L,"*Consumable (section 3)*"),
COUNTIFS('QA Log'!D:D,A152,'QA Log'!M:M,"Data Verification",'QA Log'!Z:Z,"Approved",'QA Log'!L:L,"*Equipments (section 4)*")
))</f>
        <v/>
      </c>
      <c r="AP152" s="105" t="str">
        <f>IF(A152&lt;&gt;"",COUNTIFS('QA Log'!D:D,A152,'QA Log'!M:M,"Data Verification",'QA Log'!L:L,"Personnel (section 1)",'QA Log'!Z:Z,"Approved"),"")</f>
        <v/>
      </c>
      <c r="AQ152" s="105" t="str">
        <f>IF(A152&lt;&gt;"",COUNTIFS('QA Log'!D:D,A152,'QA Log'!M:M,"Data Verification",'QA Log'!L:L,"Consumable (section 3)",'QA Log'!Z:Z,"Approved"),"")</f>
        <v/>
      </c>
      <c r="AR152" s="105" t="str">
        <f>IF(A152&lt;&gt;"",COUNTIFS('QA Log'!D:D,A152,'QA Log'!M:M,"Data Verification",'QA Log'!L:L,"Equipments (section 4)",'QA Log'!Z:Z,"Approved"),"")</f>
        <v/>
      </c>
      <c r="AS152" s="102" t="str">
        <f>IF(A152="","",
SUM(
COUNTIFS('QA Log'!D:D,A152,'QA Log'!M:M,"Data Verification",'QA Log'!Z:Z,"Rejected",'QA Log'!L:L,"*Personnel (section 1)*"),
COUNTIFS('QA Log'!D:D,A152,'QA Log'!M:M,"Data Verification",'QA Log'!Z:Z,"Rejected",'QA Log'!L:L,"*Consumable (section 3)*"),
COUNTIFS('QA Log'!D:D,A152,'QA Log'!M:M,"Data Verification",'QA Log'!Z:Z,"Rejected",'QA Log'!L:L,"*Equipments (section 4)*")
))</f>
        <v/>
      </c>
      <c r="AT152" s="102" t="str">
        <f t="shared" si="7"/>
        <v/>
      </c>
      <c r="AU152" s="103" t="str">
        <f t="shared" si="8"/>
        <v/>
      </c>
      <c r="AV152" s="102" t="str">
        <f>IF(A152="","",SUM(
COUNTIFS('QA Log'!D:D,A152,'QA Log'!M:M,"Vignette",'QA Log'!L:L,"*Vignette [1] Respiratory Infection: Pneumonia*"),
COUNTIFS('QA Log'!D:D,A152,'QA Log'!M:M,"Vignette",'QA Log'!L:L,"*Vignette [2]: Diarrhea with Cat B dehydration*"),
COUNTIFS('QA Log'!D:D,A152,'QA Log'!M:M,"Vignette",'QA Log'!L:L,"*Vignette [3] Growth Monitoring and Promotion*"),
COUNTIFS('QA Log'!D:D,A152,'QA Log'!M:M,"Vignette",'QA Log'!L:L,"*Vignette [4]: The management of presumptive TB patient*")
)
)</f>
        <v/>
      </c>
      <c r="AW152" s="102" t="str">
        <f>IF(
  A152="","",
  SUM(
    COUNTIFS('QA Log'!D:D,A152,'QA Log'!M:M,"Vignette",'QA Log'!Z:Z,"Approved",'QA Log'!L:L,"*Vignette [1] Respiratory Infection: Pneumonia*"),
    COUNTIFS('QA Log'!D:D,A152,'QA Log'!M:M,"Vignette",'QA Log'!Z:Z,"Approved",'QA Log'!L:L,"*Vignette [2]: Diarrhea with Cat B dehydration*"),
    COUNTIFS('QA Log'!D:D,A152,'QA Log'!M:M,"Vignette",'QA Log'!Z:Z,"Approved",'QA Log'!L:L,"*Vignette [3] Growth Monitoring and Promotion*"),
    COUNTIFS('QA Log'!D:D,A152,'QA Log'!M:M,"Vignette",'QA Log'!Z:Z,"Approved",'QA Log'!L:L,"*Vignette [4]: The management of presumptive TB patient*")
  )
)</f>
        <v/>
      </c>
      <c r="AX152" s="105" t="str">
        <f>IF(A152&lt;&gt;"",COUNTIFS('QA Log'!D:D,A152,'QA Log'!M:M,"Vignette",'QA Log'!L:L,"Vignette [1] Respiratory Infection: Pneumonia",'QA Log'!Z:Z,"Approved"),"")</f>
        <v/>
      </c>
      <c r="AY152" s="105" t="str">
        <f>IF(A152&lt;&gt;"",COUNTIFS('QA Log'!D:D,A152,'QA Log'!M:M,"Vignette",'QA Log'!L:L,"Vignette [2]: Diarrhea with Cat B dehydration",'QA Log'!Z:Z,"Approved"),"")</f>
        <v/>
      </c>
      <c r="AZ152" s="105" t="str">
        <f>IF(A152&lt;&gt;"",COUNTIFS('QA Log'!D:D,A152,'QA Log'!M:M,"Vignette",'QA Log'!L:L,"Vignette [3] Growth Monitoring and Promotion",'QA Log'!Z:Z,"Approved"),"")</f>
        <v/>
      </c>
      <c r="BA152" s="105" t="str">
        <f>IF(A152&lt;&gt;"",COUNTIFS('QA Log'!D:D,A152,'QA Log'!M:M,"Vignette",'QA Log'!L:L,"Vignette [4]: The management of presumptive TB patient",'QA Log'!Z:Z,"Approved"),"")</f>
        <v/>
      </c>
      <c r="BB152" s="102" t="str">
        <f>IF(A152="","",
  SUM(
    COUNTIFS('QA Log'!D:D,A152,'QA Log'!M:M,"Vignette",'QA Log'!Z:Z,"Rejected",'QA Log'!L:L,"*Vignette [1] Respiratory Infection: Pneumonia*"),
    COUNTIFS('QA Log'!D:D,A152,'QA Log'!M:M,"Vignette",'QA Log'!Z:Z,"Rejected",'QA Log'!L:L,"*Vignette [2]: Diarrhea with Cat B dehydration*"),
    COUNTIFS('QA Log'!D:D,A152,'QA Log'!M:M,"Vignette",'QA Log'!Z:Z,"Rejected",'QA Log'!L:L,"*Vignette [3] Growth Monitoring and Promotion*"),
    COUNTIFS('QA Log'!D:D,A152,'QA Log'!M:M,"Vignette",'QA Log'!Z:Z,"Rejected",'QA Log'!L:L,"*Vignette [4]: The management of presumptive TB patient*")
  )
)</f>
        <v/>
      </c>
      <c r="BC152" s="107" t="str">
        <f t="shared" si="9"/>
        <v/>
      </c>
      <c r="BD152" s="103" t="str">
        <f t="shared" si="10"/>
        <v/>
      </c>
      <c r="BE152" s="102" t="str">
        <f>IF(A152="","",SUM(
COUNTIFS('QA Log'!D:D,A152,'QA Log'!M:M,"Vignette",'QA Log'!L:L,"*Vignette [5] Labor*"),
COUNTIFS('QA Log'!D:D,A152,'QA Log'!M:M,"Vignette",'QA Log'!L:L,"*Vignette [6] PNC pre Discharge*"),
COUNTIFS('QA Log'!D:D,A152,'QA Log'!M:M,"Vignette",'QA Log'!L:L,"*Vignette [7] First ANC Visit*"),
COUNTIFS('QA Log'!D:D,A152,'QA Log'!M:M,"Vignette",'QA Log'!L:L,"*Vignette [8] Birth Spacing/ Family Planning :  FP Counselling*"),
COUNTIFS('QA Log'!D:D,A152,'QA Log'!M:M,"Vignette",'QA Log'!L:L,"*Vignette [9] Birth Spacing: Change FP method to Injectable*"),
COUNTIFS('QA Log'!D:D,A152,'QA Log'!M:M,"Vignette",'QA Log'!L:L,"*Vignette [10] Post Partum Haemorrhage - Atonic Uterus at Health Centre*"),
)
)</f>
        <v/>
      </c>
      <c r="BF152" s="102" t="str">
        <f>IF(A152="","",
  SUM(
    COUNTIFS('QA Log'!D:D,A152,'QA Log'!M:M,"Vignette",'QA Log'!Z:Z,"Approved",'QA Log'!L:L,"*Vignette [5] Labor*"),
    COUNTIFS('QA Log'!D:D,A152,'QA Log'!M:M,"Vignette",'QA Log'!Z:Z,"Approved",'QA Log'!L:L,"*Vignette [6] PNC pre Discharge*"),
    COUNTIFS('QA Log'!D:D,A152,'QA Log'!M:M,"Vignette",'QA Log'!Z:Z,"Approved",'QA Log'!L:L,"*Vignette [7] First ANC Visit*"),
    COUNTIFS('QA Log'!D:D,A152,'QA Log'!M:M,"Vignette",'QA Log'!Z:Z,"Approved",'QA Log'!L:L,"*Vignette [8] Birth Spacing/ Family Planning :  FP Counselling*"),
    COUNTIFS('QA Log'!D:D,A152,'QA Log'!M:M,"Vignette",'QA Log'!Z:Z,"Approved",'QA Log'!L:L,"*Vignette [9] Birth Spacing: Change FP method to Injectable*"),
    COUNTIFS('QA Log'!D:D,A152,'QA Log'!M:M,"Vignette",'QA Log'!Z:Z,"Approved",'QA Log'!L:L,"*Vignette [10] Post Partum Haemorrhage - Atonic Uterus at Health Centre*")
  )
)</f>
        <v/>
      </c>
      <c r="BG152" s="105" t="str">
        <f>IF(A152&lt;&gt;"",COUNTIFS('QA Log'!D:D,A152,'QA Log'!M:M,"Vignette",'QA Log'!L:L,"Vignette [5] Labor",'QA Log'!Z:Z,"Approved"),"")</f>
        <v/>
      </c>
      <c r="BH152" s="105" t="str">
        <f>IF(A152&lt;&gt;"",COUNTIFS('QA Log'!D:D,A152,'QA Log'!M:M,"Vignette",'QA Log'!L:L,"Vignette [6] PNC pre Discharge",'QA Log'!Z:Z,"Approved"),"")</f>
        <v/>
      </c>
      <c r="BI152" s="105" t="str">
        <f>IF(A152&lt;&gt;"",COUNTIFS('QA Log'!D:D,A152,'QA Log'!M:M,"Vignette",'QA Log'!L:L,"Vignette [7] First ANC Visit",'QA Log'!Z:Z,"Approved"),"")</f>
        <v/>
      </c>
      <c r="BJ152" s="105" t="str">
        <f>IF(A152&lt;&gt;"",COUNTIFS('QA Log'!D:D,A152,'QA Log'!M:M,"Vignette",'QA Log'!L:L,"Vignette [8] Birth Spacing/ Family Planning :  FP Counselling",'QA Log'!Z:Z,"Approved"),"")</f>
        <v/>
      </c>
      <c r="BK152" s="105" t="str">
        <f>IF(A152&lt;&gt;"",COUNTIFS('QA Log'!D:D,A152,'QA Log'!M:M,"Vignette",'QA Log'!L:L,"Vignette [9] Birth Spacing: Change FP method to Injectable",'QA Log'!Z:Z,"Approved"),"")</f>
        <v/>
      </c>
      <c r="BL152" s="105" t="str">
        <f>IF(A152&lt;&gt;"",COUNTIFS('QA Log'!D:D,A152,'QA Log'!M:M,"Vignette",'QA Log'!L:L,"Vignette [10] Post Partum Haemorrhage - Atonic Uterus at Health Centre",'QA Log'!Z:Z,"Approved"),"")</f>
        <v/>
      </c>
      <c r="BM152" s="102" t="str">
        <f>IF(A152="","",SUM(
    COUNTIFS('QA Log'!D:D,A152,'QA Log'!M:M,"Vignette",'QA Log'!Z:Z,"Rejected",'QA Log'!L:L,"*Vignette [5] Labor*"),
    COUNTIFS('QA Log'!D:D,A152,'QA Log'!M:M,"Vignette",'QA Log'!Z:Z,"Rejected",'QA Log'!L:L,"*Vignette [6] PNC pre Discharge*"),
    COUNTIFS('QA Log'!D:D,A152,'QA Log'!M:M,"Vignette",'QA Log'!Z:Z,"Rejected",'QA Log'!L:L,"*Vignette [7] First ANC Visit*"),
    COUNTIFS('QA Log'!D:D,A152,'QA Log'!M:M,"Vignette",'QA Log'!Z:Z,"Rejected",'QA Log'!L:L,"*Vignette [8] Birth Spacing/ Family Planning :  FP Counselling*"),
    COUNTIFS('QA Log'!D:D,A152,'QA Log'!M:M,"Vignette",'QA Log'!Z:Z,"Rejected",'QA Log'!L:L,"*Vignette [9] Birth Spacing: Change FP method to Injectable*"),
    COUNTIFS('QA Log'!D:D,A152,'QA Log'!M:M,"Vignette",'QA Log'!Z:Z,"Rejected",'QA Log'!L:L,"*Vignette [10] Post Partum Haemorrhage - Atonic Uterus at Health Centre*")
  )
)</f>
        <v/>
      </c>
      <c r="BN152" s="107" t="str">
        <f t="shared" si="11"/>
        <v/>
      </c>
      <c r="BO152" s="103" t="str">
        <f t="shared" si="12"/>
        <v/>
      </c>
      <c r="BP152" s="102" t="str">
        <f>IF(A152="","",SUM(
COUNTIFS('QA Log'!D:D,A152,'QA Log'!M:M,"Vignette",'QA Log'!L:L,"*Exit Interview 1*"),
COUNTIFS('QA Log'!D:D,A152,'QA Log'!M:M,"Vignette",'QA Log'!L:L,"*Exit Interview 2*"),
)
)</f>
        <v/>
      </c>
      <c r="BQ152" s="102" t="str">
        <f>IF(
  A152="","",
  SUM(
    COUNTIFS('QA Log'!D:D,A152,'QA Log'!M:M,"Vignette",'QA Log'!Z:Z,"Approved",'QA Log'!L:L,"*Exit Interview 1*"),
    COUNTIFS('QA Log'!D:D,A152,'QA Log'!M:M,"Vignette",'QA Log'!Z:Z,"Approved",'QA Log'!L:L,"*Exit Interview 2*")
  )
)</f>
        <v/>
      </c>
      <c r="BR152" s="105" t="str">
        <f>IF(A152&lt;&gt;"",COUNTIFS('QA Log'!D:D,A152,'QA Log'!M:M,"Vignette",'QA Log'!L:L,"Exit Interview 1",'QA Log'!Z:Z,"Approved"),"")</f>
        <v/>
      </c>
      <c r="BS152" s="105" t="str">
        <f>IF(A152&lt;&gt;"",COUNTIFS('QA Log'!D:D,A152,'QA Log'!M:M,"Vignette",'QA Log'!L:L,"Exit Interview 2",'QA Log'!Z:Z,"Approved"),"")</f>
        <v/>
      </c>
      <c r="BT152" s="102" t="str">
        <f>IF(
  A152="","",
  SUM(
    COUNTIFS('QA Log'!D:D,A152,'QA Log'!M:M,"Vignette",'QA Log'!Z:Z,"Rejected",'QA Log'!L:L,"*Exit Interview 1*"),
    COUNTIFS('QA Log'!D:D,A152,'QA Log'!M:M,"Vignette",'QA Log'!Z:Z,"Rejected",'QA Log'!L:L,"*Exit Interview 2*")
  )
)</f>
        <v/>
      </c>
      <c r="BU152" s="107" t="str">
        <f t="shared" si="13"/>
        <v/>
      </c>
      <c r="BV152" s="102" t="str">
        <f t="shared" si="14"/>
        <v/>
      </c>
      <c r="BW152" s="102" t="str">
        <f t="shared" si="15"/>
        <v/>
      </c>
      <c r="BX152" s="102" t="str">
        <f t="shared" si="16"/>
        <v/>
      </c>
      <c r="BY152" s="102" t="str">
        <f t="shared" si="17"/>
        <v/>
      </c>
      <c r="BZ152" s="107" t="str">
        <f t="shared" si="18"/>
        <v/>
      </c>
      <c r="CA152" s="108" t="str">
        <f t="shared" si="19"/>
        <v/>
      </c>
      <c r="CB152" s="108" t="str">
        <f t="shared" si="20"/>
        <v/>
      </c>
      <c r="CC152" s="109" t="str">
        <f t="shared" si="21"/>
        <v/>
      </c>
      <c r="CD152" s="108" t="str">
        <f t="shared" si="22"/>
        <v/>
      </c>
      <c r="CE152" s="108" t="str">
        <f t="shared" si="23"/>
        <v/>
      </c>
      <c r="CF152" s="109" t="str">
        <f t="shared" si="24"/>
        <v/>
      </c>
      <c r="CG152" s="110" t="str">
        <f t="shared" si="25"/>
        <v/>
      </c>
      <c r="CH152" s="111"/>
    </row>
    <row r="153" spans="1:86" ht="12.75">
      <c r="A153" s="101"/>
      <c r="B153" s="102" t="e">
        <f t="array" aca="1" ref="B153" ca="1">_xludf.XLOOKUP(A153,'QA Log'!D:D,'QA Log'!E:E,"")</f>
        <v>#NAME?</v>
      </c>
      <c r="C153" s="102" t="e">
        <f t="array" aca="1" ref="C153" ca="1">_xludf.XLOOKUP(A153,'QA Log'!D:D,'QA Log'!F:F,"")</f>
        <v>#NAME?</v>
      </c>
      <c r="D153" s="102" t="e">
        <f t="array" aca="1" ref="D153" ca="1">_xludf.XLOOKUP(A153,'QA Log'!D:D,'QA Log'!H:H,"")</f>
        <v>#NAME?</v>
      </c>
      <c r="E153" s="102" t="e">
        <f t="array" aca="1" ref="E153" ca="1">_xludf.XLOOKUP(A153,'QA Log'!D:D,'QA Log'!G:G,"")</f>
        <v>#NAME?</v>
      </c>
      <c r="F153" s="103"/>
      <c r="G153" s="104"/>
      <c r="H153" s="104"/>
      <c r="I153" s="103" t="str">
        <f t="shared" si="0"/>
        <v/>
      </c>
      <c r="J153" s="102" t="str">
        <f>IF(A153="","",SUM(
COUNTIFS('QA Log'!D:D,A153,'QA Log'!M:M,"QQC",'QA Log'!L:L,"*1. General Management*"),
COUNTIFS('QA Log'!D:D,A153,'QA Log'!M:M,"QQC",'QA Log'!L:L,"*3. Curative Consultation (OPD)*"),
COUNTIFS('QA Log'!D:D,A153,'QA Log'!M:M,"QQC",'QA Log'!L:L,"*5. Laboratory*"),
COUNTIFS('QA Log'!D:D,A153,'QA Log'!M:M,"QQC",'QA Log'!L:L,"*6. Essential Medicine Management*"),
COUNTIFS('QA Log'!D:D,A153,'QA Log'!M:M,"QQC",'QA Log'!L:L,"*7. Tracer Medicine*"),
COUNTIFS('QA Log'!D:D,A153,'QA Log'!M:M,"QQC",'QA Log'!L:L,"*11. Additional Questions*")))</f>
        <v/>
      </c>
      <c r="K153" s="102" t="str">
        <f>IF(A153="","",SUM(
COUNTIFS('QA Log'!D:D,A153,'QA Log'!M:M,"QQC",'QA Log'!Z:Z,"Approved",'QA Log'!L:L,"*1. General Management*"),
COUNTIFS('QA Log'!D:D,A153,'QA Log'!M:M,"QQC",'QA Log'!Z:Z,"Approved",'QA Log'!L:L,"*3. Curative Consultation (OPD)*"),
COUNTIFS('QA Log'!D:D,A153,'QA Log'!M:M,"QQC",'QA Log'!Z:Z,"Approved",'QA Log'!L:L,"*5. Laboratory*"),
COUNTIFS('QA Log'!D:D,A153,'QA Log'!M:M,"QQC",'QA Log'!Z:Z,"Approved",'QA Log'!L:L,"*6. Essential Medicine Management*"),
COUNTIFS('QA Log'!D:D,A153,'QA Log'!M:M,"QQC",'QA Log'!Z:Z,"Approved",'QA Log'!L:L,"*7. Tracer Medicine*"),
COUNTIFS('QA Log'!D:D,A153,'QA Log'!M:M,"QQC",'QA Log'!Z:Z,"Approved",'QA Log'!L:L,"*11. Additional Questions*")))</f>
        <v/>
      </c>
      <c r="L153" s="105" t="str">
        <f>IF(A153&lt;&gt;"",COUNTIFS('QA Log'!D:D,A153,'QA Log'!M:M,"QQC",'QA Log'!L:L,"1. General Management",'QA Log'!Z:Z,"Approved"),"")</f>
        <v/>
      </c>
      <c r="M153" s="105" t="str">
        <f>IF(A153&lt;&gt;"",COUNTIFS('QA Log'!D:D,A153,'QA Log'!M:M,"QQC",'QA Log'!L:L,"3. Curative Consultation (OPD)",'QA Log'!Z:Z,"Approved"),"")</f>
        <v/>
      </c>
      <c r="N153" s="105" t="str">
        <f>IF(A153&lt;&gt;"",COUNTIFS('QA Log'!D:D,A153,'QA Log'!M:M,"QQC",'QA Log'!L:L,"5. Laboratory",'QA Log'!Z:Z,"Approved"),"")</f>
        <v/>
      </c>
      <c r="O153" s="105" t="str">
        <f>IF(A153&lt;&gt;"",COUNTIFS('QA Log'!D:D,A153,'QA Log'!M:M,"QQC",'QA Log'!L:L,"6. Essential Medicine Management",'QA Log'!Z:Z,"Approved"),"")</f>
        <v/>
      </c>
      <c r="P153" s="105" t="str">
        <f>IF(A153&lt;&gt;"",COUNTIFS('QA Log'!D:D,A153,'QA Log'!M:M,"QQC",'QA Log'!L:L,"7. Tracer Medicine",'QA Log'!Z:Z,"Approved"),"")</f>
        <v/>
      </c>
      <c r="Q153" s="105" t="str">
        <f>IF(A153&lt;&gt;"",COUNTIFS('QA Log'!D:D,A153,'QA Log'!M:M,"QQC",'QA Log'!L:L,"11. Additional Questions",'QA Log'!Z:Z,"Approved"),"")</f>
        <v/>
      </c>
      <c r="R153" s="102" t="str">
        <f>IF(A153="","",SUM(
COUNTIFS('QA Log'!D:D,A153,'QA Log'!M:M,"QQC",'QA Log'!Z:Z,"Rejected",'QA Log'!L:L,"*8. Maternity*"),
COUNTIFS('QA Log'!D:D,A153,'QA Log'!M:M,"QQC",'QA Log'!Z:Z,"Rejected",'QA Log'!L:L,"*EPI*"),
COUNTIFS('QA Log'!D:D,A153,'QA Log'!M:M,"QQC",'QA Log'!Z:Z,"Rejected",'QA Log'!L:L,"*10. Antenatal Care (ANC)*"),
COUNTIFS('QA Log'!D:D,A153,'QA Log'!M:M,"QQC",'QA Log'!Z:Z,"Rejected",'QA Log'!L:L,"*2. Hygiene and Sterilization*"),
COUNTIFS('QA Log'!D:D,A153,'QA Log'!M:M,"QQC",'QA Log'!Z:Z,"Rejected",'QA Log'!L:L,"*Family Planning*")))</f>
        <v/>
      </c>
      <c r="S153" s="106" t="str">
        <f t="shared" si="1"/>
        <v/>
      </c>
      <c r="T153" s="102" t="str">
        <f t="shared" si="2"/>
        <v/>
      </c>
      <c r="U153" s="102" t="str">
        <f>IF(A153="","",
SUM(
COUNTIFS('QA Log'!D:D,A153,'QA Log'!M:M,"QQC",'QA Log'!L:L,"*8. Maternity*"),
COUNTIFS('QA Log'!D:D,A153,'QA Log'!M:M,"QQC",'QA Log'!L:L,"*9. EPI and Pre-school Consultation*"),
COUNTIFS('QA Log'!D:D,A153,'QA Log'!M:M,"QQC",'QA Log'!L:L,"*10. Antenatal Care (ANC)*"),
COUNTIFS('QA Log'!D:D,A153,'QA Log'!M:M,"QQC",'QA Log'!L:L,"*2. Hygiene and Sterilization*"),
COUNTIFS('QA Log'!D:D,A153,'QA Log'!M:M,"QQC",'QA Log'!L:L,"*4. Family Planning*")
))</f>
        <v/>
      </c>
      <c r="V153" s="102" t="str">
        <f>IF(A153="","",
SUM(
COUNTIFS('QA Log'!D:D,A153,'QA Log'!M:M,"QQC",'QA Log'!Z:Z,"Approved",'QA Log'!L:L,"*8. Maternity*"),
COUNTIFS('QA Log'!D:D,A153,'QA Log'!M:M,"QQC",'QA Log'!Z:Z,"Approved",'QA Log'!L:L,"*9. EPI and Pre-school Consultation*"),
COUNTIFS('QA Log'!D:D,A153,'QA Log'!M:M,"QQC",'QA Log'!Z:Z,"Approved",'QA Log'!L:L,"*10. Antenatal Care (ANC)*"),
COUNTIFS('QA Log'!D:D,A153,'QA Log'!M:M,"QQC",'QA Log'!Z:Z,"Approved",'QA Log'!L:L,"*2. Hygiene and Sterilization*"),
COUNTIFS('QA Log'!D:D,A153,'QA Log'!M:M,"QQC",'QA Log'!Z:Z,"Approved",'QA Log'!L:L,"*4. Family Planning*")
))</f>
        <v/>
      </c>
      <c r="W153" s="105" t="str">
        <f>IF(A153&lt;&gt;"",COUNTIFS('QA Log'!D:D,A153,'QA Log'!M:M,"QQC",'QA Log'!L:L,"8. Maternity",'QA Log'!Z:Z,"Approved"),"")</f>
        <v/>
      </c>
      <c r="X153" s="105" t="str">
        <f>IF(A153&lt;&gt;"",COUNTIFS('QA Log'!D:D,A153,'QA Log'!M:M,"QQC",'QA Log'!L:L,"9. EPI and Pre-school Consultation",'QA Log'!Z:Z,"Approved"),"")</f>
        <v/>
      </c>
      <c r="Y153" s="105" t="str">
        <f>IF(A153&lt;&gt;"",COUNTIFS('QA Log'!D:D,A153,'QA Log'!M:M,"QQC",'QA Log'!L:L,"10. Antenatal Care (ANC)",'QA Log'!Z:Z,"Approved"),"")</f>
        <v/>
      </c>
      <c r="Z153" s="105" t="str">
        <f>IF(A153&lt;&gt;"",COUNTIFS('QA Log'!D:D,A153,'QA Log'!M:M,"QQC",'QA Log'!L:L,"2. Hygiene and Sterilization",'QA Log'!Z:Z,"Approved"),"")</f>
        <v/>
      </c>
      <c r="AA153" s="105" t="str">
        <f>IF(A153&lt;&gt;"",COUNTIFS('QA Log'!D:D,A153,'QA Log'!M:M,"QQC",'QA Log'!L:L,"4. Family Planning",'QA Log'!Z:Z,"Approved"),"")</f>
        <v/>
      </c>
      <c r="AB153" s="102" t="str">
        <f>IF(A153="","",
SUM(
COUNTIFS('QA Log'!D:D,A153,'QA Log'!M:M,"QQC",'QA Log'!Z:Z,"Rejected",'QA Log'!L:L,"*8. Maternity*"),
COUNTIFS('QA Log'!D:D,A153,'QA Log'!M:M,"QQC",'QA Log'!Z:Z,"Rejected",'QA Log'!L:L,"*9. EPI and Pre-school Consultation*"),
COUNTIFS('QA Log'!D:D,A153,'QA Log'!M:M,"QQC",'QA Log'!Z:Z,"Rejected",'QA Log'!L:L,"*10. Antenatal Care (ANC)*"),
COUNTIFS('QA Log'!D:D,A153,'QA Log'!M:M,"QQC",'QA Log'!Z:Z,"Rejected",'QA Log'!L:L,"*2. Hygiene and Sterilization*"),
COUNTIFS('QA Log'!D:D,A153,'QA Log'!M:M,"QQC",'QA Log'!Z:Z,"Rejected",'QA Log'!L:L,"*4. Family Planning*")
))</f>
        <v/>
      </c>
      <c r="AC153" s="102" t="str">
        <f t="shared" si="3"/>
        <v/>
      </c>
      <c r="AD153" s="103" t="str">
        <f t="shared" si="4"/>
        <v/>
      </c>
      <c r="AE153" s="102" t="str">
        <f>IF(A153="","",
SUM(
COUNTIFS('QA Log'!D:D,A153,'QA Log'!M:M,"Data Verification",'QA Log'!L:L,"*Medicine (section 2)*"),
COUNTIFS('QA Log'!D:D,A153,'QA Log'!M:M,"Data Verification",'QA Log'!L:L,"*Lab Testing Availability*"),
COUNTIFS('QA Log'!D:D,A153,'QA Log'!M:M,"Data Verification",'QA Log'!L:L,"*Other than P4P (section 6)*"),
COUNTIFS('QA Log'!D:D,A153,'QA Log'!M:M,"Data Verification",'QA Log'!L:L,"*Hospital Governance*")
))</f>
        <v/>
      </c>
      <c r="AF153" s="102" t="str">
        <f>IF(A153="","",
SUM(
COUNTIFS('QA Log'!D:D,A153,'QA Log'!M:M,"Data Verification",'QA Log'!Z:Z,"Approved",'QA Log'!L:L,"*Medicine (section 2)*"),
COUNTIFS('QA Log'!D:D,A153,'QA Log'!M:M,"Data Verification",'QA Log'!Z:Z,"Approved",'QA Log'!L:L,"*Lab Testing Availability*"),
COUNTIFS('QA Log'!D:D,A153,'QA Log'!M:M,"Data Verification",'QA Log'!Z:Z,"Approved",'QA Log'!L:L,"*Other than P4P (section 6)*"),
COUNTIFS('QA Log'!D:D,A153,'QA Log'!M:M,"Data Verification",'QA Log'!Z:Z,"Approved",'QA Log'!L:L,"*Hospital Governance*")
))</f>
        <v/>
      </c>
      <c r="AG153" s="105" t="str">
        <f>IF(A153&lt;&gt;"",COUNTIFS('QA Log'!D:D,A153,'QA Log'!M:M,"Data Verification",'QA Log'!L:L,"Medicine (section 2)",'QA Log'!Z:Z,"Approved"),"")</f>
        <v/>
      </c>
      <c r="AH153" s="105" t="str">
        <f>IF(A153&lt;&gt;"",COUNTIFS('QA Log'!D:D,A153,'QA Log'!M:M,"Data Verification",'QA Log'!L:L,"Lab Testing Availability",'QA Log'!Z:Z,"Approved"),"")</f>
        <v/>
      </c>
      <c r="AI153" s="105" t="str">
        <f>IF(A153&lt;&gt;"",COUNTIFS('QA Log'!D:D,A153,'QA Log'!M:M,"Data Verification",'QA Log'!L:L,"Other than P4P (section 6)",'QA Log'!Z:Z,"Approved"),"")</f>
        <v/>
      </c>
      <c r="AJ153" s="105" t="str">
        <f>IF(A153&lt;&gt;"",COUNTIFS('QA Log'!D:D,A153,'QA Log'!M:M,"Data Verification",'QA Log'!L:L,"Hospital Governance",'QA Log'!Z:Z,"Approved"),"")</f>
        <v/>
      </c>
      <c r="AK153" s="102" t="str">
        <f>IF(A153="","",
SUM(
COUNTIFS('QA Log'!D:D,A153,'QA Log'!M:M,"Data Verification",'QA Log'!Z:Z,"Rejected",'QA Log'!L:L,"*Medicine (section 2)*"),
COUNTIFS('QA Log'!D:D,A153,'QA Log'!M:M,"Data Verification",'QA Log'!Z:Z,"Rejected",'QA Log'!L:L,"*Lab Testing Availability*"),
COUNTIFS('QA Log'!D:D,A153,'QA Log'!M:M,"Data Verification",'QA Log'!Z:Z,"Rejected",'QA Log'!L:L,"*Other than P4P (section 6)*"),
COUNTIFS('QA Log'!D:D,A153,'QA Log'!M:M,"Data Verification",'QA Log'!Z:Z,"Rejected",'QA Log'!L:L,"*Hospital Governance*")
))</f>
        <v/>
      </c>
      <c r="AL153" s="106" t="str">
        <f t="shared" si="5"/>
        <v/>
      </c>
      <c r="AM153" s="102" t="str">
        <f t="shared" si="6"/>
        <v/>
      </c>
      <c r="AN153" s="102" t="str">
        <f>IF(A153="","",
SUM(
COUNTIFS('QA Log'!D:D,A153,'QA Log'!M:M,"Data Verification",'QA Log'!L:L,"*Personnel (section 1)*"),
COUNTIFS('QA Log'!D:D,A153,'QA Log'!M:M,"Data Verification",'QA Log'!L:L,"*Consumable (section 3)*"),
COUNTIFS('QA Log'!D:D,A153,'QA Log'!M:M,"Data Verification",'QA Log'!L:L,"*Equipments (section 4)*")
))</f>
        <v/>
      </c>
      <c r="AO153" s="102" t="str">
        <f>IF(A153="","",
SUM(
COUNTIFS('QA Log'!D:D,A153,'QA Log'!M:M,"Data Verification",'QA Log'!Z:Z,"Approved",'QA Log'!L:L,"*Personnel (section 1)*"),
COUNTIFS('QA Log'!D:D,A153,'QA Log'!M:M,"Data Verification",'QA Log'!Z:Z,"Approved",'QA Log'!L:L,"*Consumable (section 3)*"),
COUNTIFS('QA Log'!D:D,A153,'QA Log'!M:M,"Data Verification",'QA Log'!Z:Z,"Approved",'QA Log'!L:L,"*Equipments (section 4)*")
))</f>
        <v/>
      </c>
      <c r="AP153" s="105" t="str">
        <f>IF(A153&lt;&gt;"",COUNTIFS('QA Log'!D:D,A153,'QA Log'!M:M,"Data Verification",'QA Log'!L:L,"Personnel (section 1)",'QA Log'!Z:Z,"Approved"),"")</f>
        <v/>
      </c>
      <c r="AQ153" s="105" t="str">
        <f>IF(A153&lt;&gt;"",COUNTIFS('QA Log'!D:D,A153,'QA Log'!M:M,"Data Verification",'QA Log'!L:L,"Consumable (section 3)",'QA Log'!Z:Z,"Approved"),"")</f>
        <v/>
      </c>
      <c r="AR153" s="105" t="str">
        <f>IF(A153&lt;&gt;"",COUNTIFS('QA Log'!D:D,A153,'QA Log'!M:M,"Data Verification",'QA Log'!L:L,"Equipments (section 4)",'QA Log'!Z:Z,"Approved"),"")</f>
        <v/>
      </c>
      <c r="AS153" s="102" t="str">
        <f>IF(A153="","",
SUM(
COUNTIFS('QA Log'!D:D,A153,'QA Log'!M:M,"Data Verification",'QA Log'!Z:Z,"Rejected",'QA Log'!L:L,"*Personnel (section 1)*"),
COUNTIFS('QA Log'!D:D,A153,'QA Log'!M:M,"Data Verification",'QA Log'!Z:Z,"Rejected",'QA Log'!L:L,"*Consumable (section 3)*"),
COUNTIFS('QA Log'!D:D,A153,'QA Log'!M:M,"Data Verification",'QA Log'!Z:Z,"Rejected",'QA Log'!L:L,"*Equipments (section 4)*")
))</f>
        <v/>
      </c>
      <c r="AT153" s="102" t="str">
        <f t="shared" si="7"/>
        <v/>
      </c>
      <c r="AU153" s="103" t="str">
        <f t="shared" si="8"/>
        <v/>
      </c>
      <c r="AV153" s="102" t="str">
        <f>IF(A153="","",SUM(
COUNTIFS('QA Log'!D:D,A153,'QA Log'!M:M,"Vignette",'QA Log'!L:L,"*Vignette [1] Respiratory Infection: Pneumonia*"),
COUNTIFS('QA Log'!D:D,A153,'QA Log'!M:M,"Vignette",'QA Log'!L:L,"*Vignette [2]: Diarrhea with Cat B dehydration*"),
COUNTIFS('QA Log'!D:D,A153,'QA Log'!M:M,"Vignette",'QA Log'!L:L,"*Vignette [3] Growth Monitoring and Promotion*"),
COUNTIFS('QA Log'!D:D,A153,'QA Log'!M:M,"Vignette",'QA Log'!L:L,"*Vignette [4]: The management of presumptive TB patient*")
)
)</f>
        <v/>
      </c>
      <c r="AW153" s="102" t="str">
        <f>IF(
  A153="","",
  SUM(
    COUNTIFS('QA Log'!D:D,A153,'QA Log'!M:M,"Vignette",'QA Log'!Z:Z,"Approved",'QA Log'!L:L,"*Vignette [1] Respiratory Infection: Pneumonia*"),
    COUNTIFS('QA Log'!D:D,A153,'QA Log'!M:M,"Vignette",'QA Log'!Z:Z,"Approved",'QA Log'!L:L,"*Vignette [2]: Diarrhea with Cat B dehydration*"),
    COUNTIFS('QA Log'!D:D,A153,'QA Log'!M:M,"Vignette",'QA Log'!Z:Z,"Approved",'QA Log'!L:L,"*Vignette [3] Growth Monitoring and Promotion*"),
    COUNTIFS('QA Log'!D:D,A153,'QA Log'!M:M,"Vignette",'QA Log'!Z:Z,"Approved",'QA Log'!L:L,"*Vignette [4]: The management of presumptive TB patient*")
  )
)</f>
        <v/>
      </c>
      <c r="AX153" s="105" t="str">
        <f>IF(A153&lt;&gt;"",COUNTIFS('QA Log'!D:D,A153,'QA Log'!M:M,"Vignette",'QA Log'!L:L,"Vignette [1] Respiratory Infection: Pneumonia",'QA Log'!Z:Z,"Approved"),"")</f>
        <v/>
      </c>
      <c r="AY153" s="105" t="str">
        <f>IF(A153&lt;&gt;"",COUNTIFS('QA Log'!D:D,A153,'QA Log'!M:M,"Vignette",'QA Log'!L:L,"Vignette [2]: Diarrhea with Cat B dehydration",'QA Log'!Z:Z,"Approved"),"")</f>
        <v/>
      </c>
      <c r="AZ153" s="105" t="str">
        <f>IF(A153&lt;&gt;"",COUNTIFS('QA Log'!D:D,A153,'QA Log'!M:M,"Vignette",'QA Log'!L:L,"Vignette [3] Growth Monitoring and Promotion",'QA Log'!Z:Z,"Approved"),"")</f>
        <v/>
      </c>
      <c r="BA153" s="105" t="str">
        <f>IF(A153&lt;&gt;"",COUNTIFS('QA Log'!D:D,A153,'QA Log'!M:M,"Vignette",'QA Log'!L:L,"Vignette [4]: The management of presumptive TB patient",'QA Log'!Z:Z,"Approved"),"")</f>
        <v/>
      </c>
      <c r="BB153" s="102" t="str">
        <f>IF(A153="","",
  SUM(
    COUNTIFS('QA Log'!D:D,A153,'QA Log'!M:M,"Vignette",'QA Log'!Z:Z,"Rejected",'QA Log'!L:L,"*Vignette [1] Respiratory Infection: Pneumonia*"),
    COUNTIFS('QA Log'!D:D,A153,'QA Log'!M:M,"Vignette",'QA Log'!Z:Z,"Rejected",'QA Log'!L:L,"*Vignette [2]: Diarrhea with Cat B dehydration*"),
    COUNTIFS('QA Log'!D:D,A153,'QA Log'!M:M,"Vignette",'QA Log'!Z:Z,"Rejected",'QA Log'!L:L,"*Vignette [3] Growth Monitoring and Promotion*"),
    COUNTIFS('QA Log'!D:D,A153,'QA Log'!M:M,"Vignette",'QA Log'!Z:Z,"Rejected",'QA Log'!L:L,"*Vignette [4]: The management of presumptive TB patient*")
  )
)</f>
        <v/>
      </c>
      <c r="BC153" s="107" t="str">
        <f t="shared" si="9"/>
        <v/>
      </c>
      <c r="BD153" s="103" t="str">
        <f t="shared" si="10"/>
        <v/>
      </c>
      <c r="BE153" s="102" t="str">
        <f>IF(A153="","",SUM(
COUNTIFS('QA Log'!D:D,A153,'QA Log'!M:M,"Vignette",'QA Log'!L:L,"*Vignette [5] Labor*"),
COUNTIFS('QA Log'!D:D,A153,'QA Log'!M:M,"Vignette",'QA Log'!L:L,"*Vignette [6] PNC pre Discharge*"),
COUNTIFS('QA Log'!D:D,A153,'QA Log'!M:M,"Vignette",'QA Log'!L:L,"*Vignette [7] First ANC Visit*"),
COUNTIFS('QA Log'!D:D,A153,'QA Log'!M:M,"Vignette",'QA Log'!L:L,"*Vignette [8] Birth Spacing/ Family Planning :  FP Counselling*"),
COUNTIFS('QA Log'!D:D,A153,'QA Log'!M:M,"Vignette",'QA Log'!L:L,"*Vignette [9] Birth Spacing: Change FP method to Injectable*"),
COUNTIFS('QA Log'!D:D,A153,'QA Log'!M:M,"Vignette",'QA Log'!L:L,"*Vignette [10] Post Partum Haemorrhage - Atonic Uterus at Health Centre*"),
)
)</f>
        <v/>
      </c>
      <c r="BF153" s="102" t="str">
        <f>IF(A153="","",
  SUM(
    COUNTIFS('QA Log'!D:D,A153,'QA Log'!M:M,"Vignette",'QA Log'!Z:Z,"Approved",'QA Log'!L:L,"*Vignette [5] Labor*"),
    COUNTIFS('QA Log'!D:D,A153,'QA Log'!M:M,"Vignette",'QA Log'!Z:Z,"Approved",'QA Log'!L:L,"*Vignette [6] PNC pre Discharge*"),
    COUNTIFS('QA Log'!D:D,A153,'QA Log'!M:M,"Vignette",'QA Log'!Z:Z,"Approved",'QA Log'!L:L,"*Vignette [7] First ANC Visit*"),
    COUNTIFS('QA Log'!D:D,A153,'QA Log'!M:M,"Vignette",'QA Log'!Z:Z,"Approved",'QA Log'!L:L,"*Vignette [8] Birth Spacing/ Family Planning :  FP Counselling*"),
    COUNTIFS('QA Log'!D:D,A153,'QA Log'!M:M,"Vignette",'QA Log'!Z:Z,"Approved",'QA Log'!L:L,"*Vignette [9] Birth Spacing: Change FP method to Injectable*"),
    COUNTIFS('QA Log'!D:D,A153,'QA Log'!M:M,"Vignette",'QA Log'!Z:Z,"Approved",'QA Log'!L:L,"*Vignette [10] Post Partum Haemorrhage - Atonic Uterus at Health Centre*")
  )
)</f>
        <v/>
      </c>
      <c r="BG153" s="105" t="str">
        <f>IF(A153&lt;&gt;"",COUNTIFS('QA Log'!D:D,A153,'QA Log'!M:M,"Vignette",'QA Log'!L:L,"Vignette [5] Labor",'QA Log'!Z:Z,"Approved"),"")</f>
        <v/>
      </c>
      <c r="BH153" s="105" t="str">
        <f>IF(A153&lt;&gt;"",COUNTIFS('QA Log'!D:D,A153,'QA Log'!M:M,"Vignette",'QA Log'!L:L,"Vignette [6] PNC pre Discharge",'QA Log'!Z:Z,"Approved"),"")</f>
        <v/>
      </c>
      <c r="BI153" s="105" t="str">
        <f>IF(A153&lt;&gt;"",COUNTIFS('QA Log'!D:D,A153,'QA Log'!M:M,"Vignette",'QA Log'!L:L,"Vignette [7] First ANC Visit",'QA Log'!Z:Z,"Approved"),"")</f>
        <v/>
      </c>
      <c r="BJ153" s="105" t="str">
        <f>IF(A153&lt;&gt;"",COUNTIFS('QA Log'!D:D,A153,'QA Log'!M:M,"Vignette",'QA Log'!L:L,"Vignette [8] Birth Spacing/ Family Planning :  FP Counselling",'QA Log'!Z:Z,"Approved"),"")</f>
        <v/>
      </c>
      <c r="BK153" s="105" t="str">
        <f>IF(A153&lt;&gt;"",COUNTIFS('QA Log'!D:D,A153,'QA Log'!M:M,"Vignette",'QA Log'!L:L,"Vignette [9] Birth Spacing: Change FP method to Injectable",'QA Log'!Z:Z,"Approved"),"")</f>
        <v/>
      </c>
      <c r="BL153" s="105" t="str">
        <f>IF(A153&lt;&gt;"",COUNTIFS('QA Log'!D:D,A153,'QA Log'!M:M,"Vignette",'QA Log'!L:L,"Vignette [10] Post Partum Haemorrhage - Atonic Uterus at Health Centre",'QA Log'!Z:Z,"Approved"),"")</f>
        <v/>
      </c>
      <c r="BM153" s="102" t="str">
        <f>IF(A153="","",SUM(
    COUNTIFS('QA Log'!D:D,A153,'QA Log'!M:M,"Vignette",'QA Log'!Z:Z,"Rejected",'QA Log'!L:L,"*Vignette [5] Labor*"),
    COUNTIFS('QA Log'!D:D,A153,'QA Log'!M:M,"Vignette",'QA Log'!Z:Z,"Rejected",'QA Log'!L:L,"*Vignette [6] PNC pre Discharge*"),
    COUNTIFS('QA Log'!D:D,A153,'QA Log'!M:M,"Vignette",'QA Log'!Z:Z,"Rejected",'QA Log'!L:L,"*Vignette [7] First ANC Visit*"),
    COUNTIFS('QA Log'!D:D,A153,'QA Log'!M:M,"Vignette",'QA Log'!Z:Z,"Rejected",'QA Log'!L:L,"*Vignette [8] Birth Spacing/ Family Planning :  FP Counselling*"),
    COUNTIFS('QA Log'!D:D,A153,'QA Log'!M:M,"Vignette",'QA Log'!Z:Z,"Rejected",'QA Log'!L:L,"*Vignette [9] Birth Spacing: Change FP method to Injectable*"),
    COUNTIFS('QA Log'!D:D,A153,'QA Log'!M:M,"Vignette",'QA Log'!Z:Z,"Rejected",'QA Log'!L:L,"*Vignette [10] Post Partum Haemorrhage - Atonic Uterus at Health Centre*")
  )
)</f>
        <v/>
      </c>
      <c r="BN153" s="107" t="str">
        <f t="shared" si="11"/>
        <v/>
      </c>
      <c r="BO153" s="103" t="str">
        <f t="shared" si="12"/>
        <v/>
      </c>
      <c r="BP153" s="102" t="str">
        <f>IF(A153="","",SUM(
COUNTIFS('QA Log'!D:D,A153,'QA Log'!M:M,"Vignette",'QA Log'!L:L,"*Exit Interview 1*"),
COUNTIFS('QA Log'!D:D,A153,'QA Log'!M:M,"Vignette",'QA Log'!L:L,"*Exit Interview 2*"),
)
)</f>
        <v/>
      </c>
      <c r="BQ153" s="102" t="str">
        <f>IF(
  A153="","",
  SUM(
    COUNTIFS('QA Log'!D:D,A153,'QA Log'!M:M,"Vignette",'QA Log'!Z:Z,"Approved",'QA Log'!L:L,"*Exit Interview 1*"),
    COUNTIFS('QA Log'!D:D,A153,'QA Log'!M:M,"Vignette",'QA Log'!Z:Z,"Approved",'QA Log'!L:L,"*Exit Interview 2*")
  )
)</f>
        <v/>
      </c>
      <c r="BR153" s="105" t="str">
        <f>IF(A153&lt;&gt;"",COUNTIFS('QA Log'!D:D,A153,'QA Log'!M:M,"Vignette",'QA Log'!L:L,"Exit Interview 1",'QA Log'!Z:Z,"Approved"),"")</f>
        <v/>
      </c>
      <c r="BS153" s="105" t="str">
        <f>IF(A153&lt;&gt;"",COUNTIFS('QA Log'!D:D,A153,'QA Log'!M:M,"Vignette",'QA Log'!L:L,"Exit Interview 2",'QA Log'!Z:Z,"Approved"),"")</f>
        <v/>
      </c>
      <c r="BT153" s="102" t="str">
        <f>IF(
  A153="","",
  SUM(
    COUNTIFS('QA Log'!D:D,A153,'QA Log'!M:M,"Vignette",'QA Log'!Z:Z,"Rejected",'QA Log'!L:L,"*Exit Interview 1*"),
    COUNTIFS('QA Log'!D:D,A153,'QA Log'!M:M,"Vignette",'QA Log'!Z:Z,"Rejected",'QA Log'!L:L,"*Exit Interview 2*")
  )
)</f>
        <v/>
      </c>
      <c r="BU153" s="107" t="str">
        <f t="shared" si="13"/>
        <v/>
      </c>
      <c r="BV153" s="102" t="str">
        <f t="shared" si="14"/>
        <v/>
      </c>
      <c r="BW153" s="102" t="str">
        <f t="shared" si="15"/>
        <v/>
      </c>
      <c r="BX153" s="102" t="str">
        <f t="shared" si="16"/>
        <v/>
      </c>
      <c r="BY153" s="102" t="str">
        <f t="shared" si="17"/>
        <v/>
      </c>
      <c r="BZ153" s="107" t="str">
        <f t="shared" si="18"/>
        <v/>
      </c>
      <c r="CA153" s="108" t="str">
        <f t="shared" si="19"/>
        <v/>
      </c>
      <c r="CB153" s="108" t="str">
        <f t="shared" si="20"/>
        <v/>
      </c>
      <c r="CC153" s="109" t="str">
        <f t="shared" si="21"/>
        <v/>
      </c>
      <c r="CD153" s="108" t="str">
        <f t="shared" si="22"/>
        <v/>
      </c>
      <c r="CE153" s="108" t="str">
        <f t="shared" si="23"/>
        <v/>
      </c>
      <c r="CF153" s="109" t="str">
        <f t="shared" si="24"/>
        <v/>
      </c>
      <c r="CG153" s="110" t="str">
        <f t="shared" si="25"/>
        <v/>
      </c>
      <c r="CH153" s="111"/>
    </row>
    <row r="154" spans="1:86" ht="12.75">
      <c r="A154" s="101"/>
      <c r="B154" s="102" t="e">
        <f t="array" aca="1" ref="B154" ca="1">_xludf.XLOOKUP(A154,'QA Log'!D:D,'QA Log'!E:E,"")</f>
        <v>#NAME?</v>
      </c>
      <c r="C154" s="102" t="e">
        <f t="array" aca="1" ref="C154" ca="1">_xludf.XLOOKUP(A154,'QA Log'!D:D,'QA Log'!F:F,"")</f>
        <v>#NAME?</v>
      </c>
      <c r="D154" s="102" t="e">
        <f t="array" aca="1" ref="D154" ca="1">_xludf.XLOOKUP(A154,'QA Log'!D:D,'QA Log'!H:H,"")</f>
        <v>#NAME?</v>
      </c>
      <c r="E154" s="102" t="e">
        <f t="array" aca="1" ref="E154" ca="1">_xludf.XLOOKUP(A154,'QA Log'!D:D,'QA Log'!G:G,"")</f>
        <v>#NAME?</v>
      </c>
      <c r="F154" s="103"/>
      <c r="G154" s="104"/>
      <c r="H154" s="104"/>
      <c r="I154" s="103" t="str">
        <f t="shared" si="0"/>
        <v/>
      </c>
      <c r="J154" s="102" t="str">
        <f>IF(A154="","",SUM(
COUNTIFS('QA Log'!D:D,A154,'QA Log'!M:M,"QQC",'QA Log'!L:L,"*1. General Management*"),
COUNTIFS('QA Log'!D:D,A154,'QA Log'!M:M,"QQC",'QA Log'!L:L,"*3. Curative Consultation (OPD)*"),
COUNTIFS('QA Log'!D:D,A154,'QA Log'!M:M,"QQC",'QA Log'!L:L,"*5. Laboratory*"),
COUNTIFS('QA Log'!D:D,A154,'QA Log'!M:M,"QQC",'QA Log'!L:L,"*6. Essential Medicine Management*"),
COUNTIFS('QA Log'!D:D,A154,'QA Log'!M:M,"QQC",'QA Log'!L:L,"*7. Tracer Medicine*"),
COUNTIFS('QA Log'!D:D,A154,'QA Log'!M:M,"QQC",'QA Log'!L:L,"*11. Additional Questions*")))</f>
        <v/>
      </c>
      <c r="K154" s="102" t="str">
        <f>IF(A154="","",SUM(
COUNTIFS('QA Log'!D:D,A154,'QA Log'!M:M,"QQC",'QA Log'!Z:Z,"Approved",'QA Log'!L:L,"*1. General Management*"),
COUNTIFS('QA Log'!D:D,A154,'QA Log'!M:M,"QQC",'QA Log'!Z:Z,"Approved",'QA Log'!L:L,"*3. Curative Consultation (OPD)*"),
COUNTIFS('QA Log'!D:D,A154,'QA Log'!M:M,"QQC",'QA Log'!Z:Z,"Approved",'QA Log'!L:L,"*5. Laboratory*"),
COUNTIFS('QA Log'!D:D,A154,'QA Log'!M:M,"QQC",'QA Log'!Z:Z,"Approved",'QA Log'!L:L,"*6. Essential Medicine Management*"),
COUNTIFS('QA Log'!D:D,A154,'QA Log'!M:M,"QQC",'QA Log'!Z:Z,"Approved",'QA Log'!L:L,"*7. Tracer Medicine*"),
COUNTIFS('QA Log'!D:D,A154,'QA Log'!M:M,"QQC",'QA Log'!Z:Z,"Approved",'QA Log'!L:L,"*11. Additional Questions*")))</f>
        <v/>
      </c>
      <c r="L154" s="105" t="str">
        <f>IF(A154&lt;&gt;"",COUNTIFS('QA Log'!D:D,A154,'QA Log'!M:M,"QQC",'QA Log'!L:L,"1. General Management",'QA Log'!Z:Z,"Approved"),"")</f>
        <v/>
      </c>
      <c r="M154" s="105" t="str">
        <f>IF(A154&lt;&gt;"",COUNTIFS('QA Log'!D:D,A154,'QA Log'!M:M,"QQC",'QA Log'!L:L,"3. Curative Consultation (OPD)",'QA Log'!Z:Z,"Approved"),"")</f>
        <v/>
      </c>
      <c r="N154" s="105" t="str">
        <f>IF(A154&lt;&gt;"",COUNTIFS('QA Log'!D:D,A154,'QA Log'!M:M,"QQC",'QA Log'!L:L,"5. Laboratory",'QA Log'!Z:Z,"Approved"),"")</f>
        <v/>
      </c>
      <c r="O154" s="105" t="str">
        <f>IF(A154&lt;&gt;"",COUNTIFS('QA Log'!D:D,A154,'QA Log'!M:M,"QQC",'QA Log'!L:L,"6. Essential Medicine Management",'QA Log'!Z:Z,"Approved"),"")</f>
        <v/>
      </c>
      <c r="P154" s="105" t="str">
        <f>IF(A154&lt;&gt;"",COUNTIFS('QA Log'!D:D,A154,'QA Log'!M:M,"QQC",'QA Log'!L:L,"7. Tracer Medicine",'QA Log'!Z:Z,"Approved"),"")</f>
        <v/>
      </c>
      <c r="Q154" s="105" t="str">
        <f>IF(A154&lt;&gt;"",COUNTIFS('QA Log'!D:D,A154,'QA Log'!M:M,"QQC",'QA Log'!L:L,"11. Additional Questions",'QA Log'!Z:Z,"Approved"),"")</f>
        <v/>
      </c>
      <c r="R154" s="102" t="str">
        <f>IF(A154="","",SUM(
COUNTIFS('QA Log'!D:D,A154,'QA Log'!M:M,"QQC",'QA Log'!Z:Z,"Rejected",'QA Log'!L:L,"*8. Maternity*"),
COUNTIFS('QA Log'!D:D,A154,'QA Log'!M:M,"QQC",'QA Log'!Z:Z,"Rejected",'QA Log'!L:L,"*EPI*"),
COUNTIFS('QA Log'!D:D,A154,'QA Log'!M:M,"QQC",'QA Log'!Z:Z,"Rejected",'QA Log'!L:L,"*10. Antenatal Care (ANC)*"),
COUNTIFS('QA Log'!D:D,A154,'QA Log'!M:M,"QQC",'QA Log'!Z:Z,"Rejected",'QA Log'!L:L,"*2. Hygiene and Sterilization*"),
COUNTIFS('QA Log'!D:D,A154,'QA Log'!M:M,"QQC",'QA Log'!Z:Z,"Rejected",'QA Log'!L:L,"*Family Planning*")))</f>
        <v/>
      </c>
      <c r="S154" s="106" t="str">
        <f t="shared" si="1"/>
        <v/>
      </c>
      <c r="T154" s="102" t="str">
        <f t="shared" si="2"/>
        <v/>
      </c>
      <c r="U154" s="102" t="str">
        <f>IF(A154="","",
SUM(
COUNTIFS('QA Log'!D:D,A154,'QA Log'!M:M,"QQC",'QA Log'!L:L,"*8. Maternity*"),
COUNTIFS('QA Log'!D:D,A154,'QA Log'!M:M,"QQC",'QA Log'!L:L,"*9. EPI and Pre-school Consultation*"),
COUNTIFS('QA Log'!D:D,A154,'QA Log'!M:M,"QQC",'QA Log'!L:L,"*10. Antenatal Care (ANC)*"),
COUNTIFS('QA Log'!D:D,A154,'QA Log'!M:M,"QQC",'QA Log'!L:L,"*2. Hygiene and Sterilization*"),
COUNTIFS('QA Log'!D:D,A154,'QA Log'!M:M,"QQC",'QA Log'!L:L,"*4. Family Planning*")
))</f>
        <v/>
      </c>
      <c r="V154" s="102" t="str">
        <f>IF(A154="","",
SUM(
COUNTIFS('QA Log'!D:D,A154,'QA Log'!M:M,"QQC",'QA Log'!Z:Z,"Approved",'QA Log'!L:L,"*8. Maternity*"),
COUNTIFS('QA Log'!D:D,A154,'QA Log'!M:M,"QQC",'QA Log'!Z:Z,"Approved",'QA Log'!L:L,"*9. EPI and Pre-school Consultation*"),
COUNTIFS('QA Log'!D:D,A154,'QA Log'!M:M,"QQC",'QA Log'!Z:Z,"Approved",'QA Log'!L:L,"*10. Antenatal Care (ANC)*"),
COUNTIFS('QA Log'!D:D,A154,'QA Log'!M:M,"QQC",'QA Log'!Z:Z,"Approved",'QA Log'!L:L,"*2. Hygiene and Sterilization*"),
COUNTIFS('QA Log'!D:D,A154,'QA Log'!M:M,"QQC",'QA Log'!Z:Z,"Approved",'QA Log'!L:L,"*4. Family Planning*")
))</f>
        <v/>
      </c>
      <c r="W154" s="105" t="str">
        <f>IF(A154&lt;&gt;"",COUNTIFS('QA Log'!D:D,A154,'QA Log'!M:M,"QQC",'QA Log'!L:L,"8. Maternity",'QA Log'!Z:Z,"Approved"),"")</f>
        <v/>
      </c>
      <c r="X154" s="105" t="str">
        <f>IF(A154&lt;&gt;"",COUNTIFS('QA Log'!D:D,A154,'QA Log'!M:M,"QQC",'QA Log'!L:L,"9. EPI and Pre-school Consultation",'QA Log'!Z:Z,"Approved"),"")</f>
        <v/>
      </c>
      <c r="Y154" s="105" t="str">
        <f>IF(A154&lt;&gt;"",COUNTIFS('QA Log'!D:D,A154,'QA Log'!M:M,"QQC",'QA Log'!L:L,"10. Antenatal Care (ANC)",'QA Log'!Z:Z,"Approved"),"")</f>
        <v/>
      </c>
      <c r="Z154" s="105" t="str">
        <f>IF(A154&lt;&gt;"",COUNTIFS('QA Log'!D:D,A154,'QA Log'!M:M,"QQC",'QA Log'!L:L,"2. Hygiene and Sterilization",'QA Log'!Z:Z,"Approved"),"")</f>
        <v/>
      </c>
      <c r="AA154" s="105" t="str">
        <f>IF(A154&lt;&gt;"",COUNTIFS('QA Log'!D:D,A154,'QA Log'!M:M,"QQC",'QA Log'!L:L,"4. Family Planning",'QA Log'!Z:Z,"Approved"),"")</f>
        <v/>
      </c>
      <c r="AB154" s="102" t="str">
        <f>IF(A154="","",
SUM(
COUNTIFS('QA Log'!D:D,A154,'QA Log'!M:M,"QQC",'QA Log'!Z:Z,"Rejected",'QA Log'!L:L,"*8. Maternity*"),
COUNTIFS('QA Log'!D:D,A154,'QA Log'!M:M,"QQC",'QA Log'!Z:Z,"Rejected",'QA Log'!L:L,"*9. EPI and Pre-school Consultation*"),
COUNTIFS('QA Log'!D:D,A154,'QA Log'!M:M,"QQC",'QA Log'!Z:Z,"Rejected",'QA Log'!L:L,"*10. Antenatal Care (ANC)*"),
COUNTIFS('QA Log'!D:D,A154,'QA Log'!M:M,"QQC",'QA Log'!Z:Z,"Rejected",'QA Log'!L:L,"*2. Hygiene and Sterilization*"),
COUNTIFS('QA Log'!D:D,A154,'QA Log'!M:M,"QQC",'QA Log'!Z:Z,"Rejected",'QA Log'!L:L,"*4. Family Planning*")
))</f>
        <v/>
      </c>
      <c r="AC154" s="102" t="str">
        <f t="shared" si="3"/>
        <v/>
      </c>
      <c r="AD154" s="103" t="str">
        <f t="shared" si="4"/>
        <v/>
      </c>
      <c r="AE154" s="102" t="str">
        <f>IF(A154="","",
SUM(
COUNTIFS('QA Log'!D:D,A154,'QA Log'!M:M,"Data Verification",'QA Log'!L:L,"*Medicine (section 2)*"),
COUNTIFS('QA Log'!D:D,A154,'QA Log'!M:M,"Data Verification",'QA Log'!L:L,"*Lab Testing Availability*"),
COUNTIFS('QA Log'!D:D,A154,'QA Log'!M:M,"Data Verification",'QA Log'!L:L,"*Other than P4P (section 6)*"),
COUNTIFS('QA Log'!D:D,A154,'QA Log'!M:M,"Data Verification",'QA Log'!L:L,"*Hospital Governance*")
))</f>
        <v/>
      </c>
      <c r="AF154" s="102" t="str">
        <f>IF(A154="","",
SUM(
COUNTIFS('QA Log'!D:D,A154,'QA Log'!M:M,"Data Verification",'QA Log'!Z:Z,"Approved",'QA Log'!L:L,"*Medicine (section 2)*"),
COUNTIFS('QA Log'!D:D,A154,'QA Log'!M:M,"Data Verification",'QA Log'!Z:Z,"Approved",'QA Log'!L:L,"*Lab Testing Availability*"),
COUNTIFS('QA Log'!D:D,A154,'QA Log'!M:M,"Data Verification",'QA Log'!Z:Z,"Approved",'QA Log'!L:L,"*Other than P4P (section 6)*"),
COUNTIFS('QA Log'!D:D,A154,'QA Log'!M:M,"Data Verification",'QA Log'!Z:Z,"Approved",'QA Log'!L:L,"*Hospital Governance*")
))</f>
        <v/>
      </c>
      <c r="AG154" s="105" t="str">
        <f>IF(A154&lt;&gt;"",COUNTIFS('QA Log'!D:D,A154,'QA Log'!M:M,"Data Verification",'QA Log'!L:L,"Medicine (section 2)",'QA Log'!Z:Z,"Approved"),"")</f>
        <v/>
      </c>
      <c r="AH154" s="105" t="str">
        <f>IF(A154&lt;&gt;"",COUNTIFS('QA Log'!D:D,A154,'QA Log'!M:M,"Data Verification",'QA Log'!L:L,"Lab Testing Availability",'QA Log'!Z:Z,"Approved"),"")</f>
        <v/>
      </c>
      <c r="AI154" s="105" t="str">
        <f>IF(A154&lt;&gt;"",COUNTIFS('QA Log'!D:D,A154,'QA Log'!M:M,"Data Verification",'QA Log'!L:L,"Other than P4P (section 6)",'QA Log'!Z:Z,"Approved"),"")</f>
        <v/>
      </c>
      <c r="AJ154" s="105" t="str">
        <f>IF(A154&lt;&gt;"",COUNTIFS('QA Log'!D:D,A154,'QA Log'!M:M,"Data Verification",'QA Log'!L:L,"Hospital Governance",'QA Log'!Z:Z,"Approved"),"")</f>
        <v/>
      </c>
      <c r="AK154" s="102" t="str">
        <f>IF(A154="","",
SUM(
COUNTIFS('QA Log'!D:D,A154,'QA Log'!M:M,"Data Verification",'QA Log'!Z:Z,"Rejected",'QA Log'!L:L,"*Medicine (section 2)*"),
COUNTIFS('QA Log'!D:D,A154,'QA Log'!M:M,"Data Verification",'QA Log'!Z:Z,"Rejected",'QA Log'!L:L,"*Lab Testing Availability*"),
COUNTIFS('QA Log'!D:D,A154,'QA Log'!M:M,"Data Verification",'QA Log'!Z:Z,"Rejected",'QA Log'!L:L,"*Other than P4P (section 6)*"),
COUNTIFS('QA Log'!D:D,A154,'QA Log'!M:M,"Data Verification",'QA Log'!Z:Z,"Rejected",'QA Log'!L:L,"*Hospital Governance*")
))</f>
        <v/>
      </c>
      <c r="AL154" s="106" t="str">
        <f t="shared" si="5"/>
        <v/>
      </c>
      <c r="AM154" s="102" t="str">
        <f t="shared" si="6"/>
        <v/>
      </c>
      <c r="AN154" s="102" t="str">
        <f>IF(A154="","",
SUM(
COUNTIFS('QA Log'!D:D,A154,'QA Log'!M:M,"Data Verification",'QA Log'!L:L,"*Personnel (section 1)*"),
COUNTIFS('QA Log'!D:D,A154,'QA Log'!M:M,"Data Verification",'QA Log'!L:L,"*Consumable (section 3)*"),
COUNTIFS('QA Log'!D:D,A154,'QA Log'!M:M,"Data Verification",'QA Log'!L:L,"*Equipments (section 4)*")
))</f>
        <v/>
      </c>
      <c r="AO154" s="102" t="str">
        <f>IF(A154="","",
SUM(
COUNTIFS('QA Log'!D:D,A154,'QA Log'!M:M,"Data Verification",'QA Log'!Z:Z,"Approved",'QA Log'!L:L,"*Personnel (section 1)*"),
COUNTIFS('QA Log'!D:D,A154,'QA Log'!M:M,"Data Verification",'QA Log'!Z:Z,"Approved",'QA Log'!L:L,"*Consumable (section 3)*"),
COUNTIFS('QA Log'!D:D,A154,'QA Log'!M:M,"Data Verification",'QA Log'!Z:Z,"Approved",'QA Log'!L:L,"*Equipments (section 4)*")
))</f>
        <v/>
      </c>
      <c r="AP154" s="105" t="str">
        <f>IF(A154&lt;&gt;"",COUNTIFS('QA Log'!D:D,A154,'QA Log'!M:M,"Data Verification",'QA Log'!L:L,"Personnel (section 1)",'QA Log'!Z:Z,"Approved"),"")</f>
        <v/>
      </c>
      <c r="AQ154" s="105" t="str">
        <f>IF(A154&lt;&gt;"",COUNTIFS('QA Log'!D:D,A154,'QA Log'!M:M,"Data Verification",'QA Log'!L:L,"Consumable (section 3)",'QA Log'!Z:Z,"Approved"),"")</f>
        <v/>
      </c>
      <c r="AR154" s="105" t="str">
        <f>IF(A154&lt;&gt;"",COUNTIFS('QA Log'!D:D,A154,'QA Log'!M:M,"Data Verification",'QA Log'!L:L,"Equipments (section 4)",'QA Log'!Z:Z,"Approved"),"")</f>
        <v/>
      </c>
      <c r="AS154" s="102" t="str">
        <f>IF(A154="","",
SUM(
COUNTIFS('QA Log'!D:D,A154,'QA Log'!M:M,"Data Verification",'QA Log'!Z:Z,"Rejected",'QA Log'!L:L,"*Personnel (section 1)*"),
COUNTIFS('QA Log'!D:D,A154,'QA Log'!M:M,"Data Verification",'QA Log'!Z:Z,"Rejected",'QA Log'!L:L,"*Consumable (section 3)*"),
COUNTIFS('QA Log'!D:D,A154,'QA Log'!M:M,"Data Verification",'QA Log'!Z:Z,"Rejected",'QA Log'!L:L,"*Equipments (section 4)*")
))</f>
        <v/>
      </c>
      <c r="AT154" s="102" t="str">
        <f t="shared" si="7"/>
        <v/>
      </c>
      <c r="AU154" s="103" t="str">
        <f t="shared" si="8"/>
        <v/>
      </c>
      <c r="AV154" s="102" t="str">
        <f>IF(A154="","",SUM(
COUNTIFS('QA Log'!D:D,A154,'QA Log'!M:M,"Vignette",'QA Log'!L:L,"*Vignette [1] Respiratory Infection: Pneumonia*"),
COUNTIFS('QA Log'!D:D,A154,'QA Log'!M:M,"Vignette",'QA Log'!L:L,"*Vignette [2]: Diarrhea with Cat B dehydration*"),
COUNTIFS('QA Log'!D:D,A154,'QA Log'!M:M,"Vignette",'QA Log'!L:L,"*Vignette [3] Growth Monitoring and Promotion*"),
COUNTIFS('QA Log'!D:D,A154,'QA Log'!M:M,"Vignette",'QA Log'!L:L,"*Vignette [4]: The management of presumptive TB patient*")
)
)</f>
        <v/>
      </c>
      <c r="AW154" s="102" t="str">
        <f>IF(
  A154="","",
  SUM(
    COUNTIFS('QA Log'!D:D,A154,'QA Log'!M:M,"Vignette",'QA Log'!Z:Z,"Approved",'QA Log'!L:L,"*Vignette [1] Respiratory Infection: Pneumonia*"),
    COUNTIFS('QA Log'!D:D,A154,'QA Log'!M:M,"Vignette",'QA Log'!Z:Z,"Approved",'QA Log'!L:L,"*Vignette [2]: Diarrhea with Cat B dehydration*"),
    COUNTIFS('QA Log'!D:D,A154,'QA Log'!M:M,"Vignette",'QA Log'!Z:Z,"Approved",'QA Log'!L:L,"*Vignette [3] Growth Monitoring and Promotion*"),
    COUNTIFS('QA Log'!D:D,A154,'QA Log'!M:M,"Vignette",'QA Log'!Z:Z,"Approved",'QA Log'!L:L,"*Vignette [4]: The management of presumptive TB patient*")
  )
)</f>
        <v/>
      </c>
      <c r="AX154" s="105" t="str">
        <f>IF(A154&lt;&gt;"",COUNTIFS('QA Log'!D:D,A154,'QA Log'!M:M,"Vignette",'QA Log'!L:L,"Vignette [1] Respiratory Infection: Pneumonia",'QA Log'!Z:Z,"Approved"),"")</f>
        <v/>
      </c>
      <c r="AY154" s="105" t="str">
        <f>IF(A154&lt;&gt;"",COUNTIFS('QA Log'!D:D,A154,'QA Log'!M:M,"Vignette",'QA Log'!L:L,"Vignette [2]: Diarrhea with Cat B dehydration",'QA Log'!Z:Z,"Approved"),"")</f>
        <v/>
      </c>
      <c r="AZ154" s="105" t="str">
        <f>IF(A154&lt;&gt;"",COUNTIFS('QA Log'!D:D,A154,'QA Log'!M:M,"Vignette",'QA Log'!L:L,"Vignette [3] Growth Monitoring and Promotion",'QA Log'!Z:Z,"Approved"),"")</f>
        <v/>
      </c>
      <c r="BA154" s="105" t="str">
        <f>IF(A154&lt;&gt;"",COUNTIFS('QA Log'!D:D,A154,'QA Log'!M:M,"Vignette",'QA Log'!L:L,"Vignette [4]: The management of presumptive TB patient",'QA Log'!Z:Z,"Approved"),"")</f>
        <v/>
      </c>
      <c r="BB154" s="102" t="str">
        <f>IF(A154="","",
  SUM(
    COUNTIFS('QA Log'!D:D,A154,'QA Log'!M:M,"Vignette",'QA Log'!Z:Z,"Rejected",'QA Log'!L:L,"*Vignette [1] Respiratory Infection: Pneumonia*"),
    COUNTIFS('QA Log'!D:D,A154,'QA Log'!M:M,"Vignette",'QA Log'!Z:Z,"Rejected",'QA Log'!L:L,"*Vignette [2]: Diarrhea with Cat B dehydration*"),
    COUNTIFS('QA Log'!D:D,A154,'QA Log'!M:M,"Vignette",'QA Log'!Z:Z,"Rejected",'QA Log'!L:L,"*Vignette [3] Growth Monitoring and Promotion*"),
    COUNTIFS('QA Log'!D:D,A154,'QA Log'!M:M,"Vignette",'QA Log'!Z:Z,"Rejected",'QA Log'!L:L,"*Vignette [4]: The management of presumptive TB patient*")
  )
)</f>
        <v/>
      </c>
      <c r="BC154" s="107" t="str">
        <f t="shared" si="9"/>
        <v/>
      </c>
      <c r="BD154" s="103" t="str">
        <f t="shared" si="10"/>
        <v/>
      </c>
      <c r="BE154" s="102" t="str">
        <f>IF(A154="","",SUM(
COUNTIFS('QA Log'!D:D,A154,'QA Log'!M:M,"Vignette",'QA Log'!L:L,"*Vignette [5] Labor*"),
COUNTIFS('QA Log'!D:D,A154,'QA Log'!M:M,"Vignette",'QA Log'!L:L,"*Vignette [6] PNC pre Discharge*"),
COUNTIFS('QA Log'!D:D,A154,'QA Log'!M:M,"Vignette",'QA Log'!L:L,"*Vignette [7] First ANC Visit*"),
COUNTIFS('QA Log'!D:D,A154,'QA Log'!M:M,"Vignette",'QA Log'!L:L,"*Vignette [8] Birth Spacing/ Family Planning :  FP Counselling*"),
COUNTIFS('QA Log'!D:D,A154,'QA Log'!M:M,"Vignette",'QA Log'!L:L,"*Vignette [9] Birth Spacing: Change FP method to Injectable*"),
COUNTIFS('QA Log'!D:D,A154,'QA Log'!M:M,"Vignette",'QA Log'!L:L,"*Vignette [10] Post Partum Haemorrhage - Atonic Uterus at Health Centre*"),
)
)</f>
        <v/>
      </c>
      <c r="BF154" s="102" t="str">
        <f>IF(A154="","",
  SUM(
    COUNTIFS('QA Log'!D:D,A154,'QA Log'!M:M,"Vignette",'QA Log'!Z:Z,"Approved",'QA Log'!L:L,"*Vignette [5] Labor*"),
    COUNTIFS('QA Log'!D:D,A154,'QA Log'!M:M,"Vignette",'QA Log'!Z:Z,"Approved",'QA Log'!L:L,"*Vignette [6] PNC pre Discharge*"),
    COUNTIFS('QA Log'!D:D,A154,'QA Log'!M:M,"Vignette",'QA Log'!Z:Z,"Approved",'QA Log'!L:L,"*Vignette [7] First ANC Visit*"),
    COUNTIFS('QA Log'!D:D,A154,'QA Log'!M:M,"Vignette",'QA Log'!Z:Z,"Approved",'QA Log'!L:L,"*Vignette [8] Birth Spacing/ Family Planning :  FP Counselling*"),
    COUNTIFS('QA Log'!D:D,A154,'QA Log'!M:M,"Vignette",'QA Log'!Z:Z,"Approved",'QA Log'!L:L,"*Vignette [9] Birth Spacing: Change FP method to Injectable*"),
    COUNTIFS('QA Log'!D:D,A154,'QA Log'!M:M,"Vignette",'QA Log'!Z:Z,"Approved",'QA Log'!L:L,"*Vignette [10] Post Partum Haemorrhage - Atonic Uterus at Health Centre*")
  )
)</f>
        <v/>
      </c>
      <c r="BG154" s="105" t="str">
        <f>IF(A154&lt;&gt;"",COUNTIFS('QA Log'!D:D,A154,'QA Log'!M:M,"Vignette",'QA Log'!L:L,"Vignette [5] Labor",'QA Log'!Z:Z,"Approved"),"")</f>
        <v/>
      </c>
      <c r="BH154" s="105" t="str">
        <f>IF(A154&lt;&gt;"",COUNTIFS('QA Log'!D:D,A154,'QA Log'!M:M,"Vignette",'QA Log'!L:L,"Vignette [6] PNC pre Discharge",'QA Log'!Z:Z,"Approved"),"")</f>
        <v/>
      </c>
      <c r="BI154" s="105" t="str">
        <f>IF(A154&lt;&gt;"",COUNTIFS('QA Log'!D:D,A154,'QA Log'!M:M,"Vignette",'QA Log'!L:L,"Vignette [7] First ANC Visit",'QA Log'!Z:Z,"Approved"),"")</f>
        <v/>
      </c>
      <c r="BJ154" s="105" t="str">
        <f>IF(A154&lt;&gt;"",COUNTIFS('QA Log'!D:D,A154,'QA Log'!M:M,"Vignette",'QA Log'!L:L,"Vignette [8] Birth Spacing/ Family Planning :  FP Counselling",'QA Log'!Z:Z,"Approved"),"")</f>
        <v/>
      </c>
      <c r="BK154" s="105" t="str">
        <f>IF(A154&lt;&gt;"",COUNTIFS('QA Log'!D:D,A154,'QA Log'!M:M,"Vignette",'QA Log'!L:L,"Vignette [9] Birth Spacing: Change FP method to Injectable",'QA Log'!Z:Z,"Approved"),"")</f>
        <v/>
      </c>
      <c r="BL154" s="105" t="str">
        <f>IF(A154&lt;&gt;"",COUNTIFS('QA Log'!D:D,A154,'QA Log'!M:M,"Vignette",'QA Log'!L:L,"Vignette [10] Post Partum Haemorrhage - Atonic Uterus at Health Centre",'QA Log'!Z:Z,"Approved"),"")</f>
        <v/>
      </c>
      <c r="BM154" s="102" t="str">
        <f>IF(A154="","",SUM(
    COUNTIFS('QA Log'!D:D,A154,'QA Log'!M:M,"Vignette",'QA Log'!Z:Z,"Rejected",'QA Log'!L:L,"*Vignette [5] Labor*"),
    COUNTIFS('QA Log'!D:D,A154,'QA Log'!M:M,"Vignette",'QA Log'!Z:Z,"Rejected",'QA Log'!L:L,"*Vignette [6] PNC pre Discharge*"),
    COUNTIFS('QA Log'!D:D,A154,'QA Log'!M:M,"Vignette",'QA Log'!Z:Z,"Rejected",'QA Log'!L:L,"*Vignette [7] First ANC Visit*"),
    COUNTIFS('QA Log'!D:D,A154,'QA Log'!M:M,"Vignette",'QA Log'!Z:Z,"Rejected",'QA Log'!L:L,"*Vignette [8] Birth Spacing/ Family Planning :  FP Counselling*"),
    COUNTIFS('QA Log'!D:D,A154,'QA Log'!M:M,"Vignette",'QA Log'!Z:Z,"Rejected",'QA Log'!L:L,"*Vignette [9] Birth Spacing: Change FP method to Injectable*"),
    COUNTIFS('QA Log'!D:D,A154,'QA Log'!M:M,"Vignette",'QA Log'!Z:Z,"Rejected",'QA Log'!L:L,"*Vignette [10] Post Partum Haemorrhage - Atonic Uterus at Health Centre*")
  )
)</f>
        <v/>
      </c>
      <c r="BN154" s="107" t="str">
        <f t="shared" si="11"/>
        <v/>
      </c>
      <c r="BO154" s="103" t="str">
        <f t="shared" si="12"/>
        <v/>
      </c>
      <c r="BP154" s="102" t="str">
        <f>IF(A154="","",SUM(
COUNTIFS('QA Log'!D:D,A154,'QA Log'!M:M,"Vignette",'QA Log'!L:L,"*Exit Interview 1*"),
COUNTIFS('QA Log'!D:D,A154,'QA Log'!M:M,"Vignette",'QA Log'!L:L,"*Exit Interview 2*"),
)
)</f>
        <v/>
      </c>
      <c r="BQ154" s="102" t="str">
        <f>IF(
  A154="","",
  SUM(
    COUNTIFS('QA Log'!D:D,A154,'QA Log'!M:M,"Vignette",'QA Log'!Z:Z,"Approved",'QA Log'!L:L,"*Exit Interview 1*"),
    COUNTIFS('QA Log'!D:D,A154,'QA Log'!M:M,"Vignette",'QA Log'!Z:Z,"Approved",'QA Log'!L:L,"*Exit Interview 2*")
  )
)</f>
        <v/>
      </c>
      <c r="BR154" s="105" t="str">
        <f>IF(A154&lt;&gt;"",COUNTIFS('QA Log'!D:D,A154,'QA Log'!M:M,"Vignette",'QA Log'!L:L,"Exit Interview 1",'QA Log'!Z:Z,"Approved"),"")</f>
        <v/>
      </c>
      <c r="BS154" s="105" t="str">
        <f>IF(A154&lt;&gt;"",COUNTIFS('QA Log'!D:D,A154,'QA Log'!M:M,"Vignette",'QA Log'!L:L,"Exit Interview 2",'QA Log'!Z:Z,"Approved"),"")</f>
        <v/>
      </c>
      <c r="BT154" s="102" t="str">
        <f>IF(
  A154="","",
  SUM(
    COUNTIFS('QA Log'!D:D,A154,'QA Log'!M:M,"Vignette",'QA Log'!Z:Z,"Rejected",'QA Log'!L:L,"*Exit Interview 1*"),
    COUNTIFS('QA Log'!D:D,A154,'QA Log'!M:M,"Vignette",'QA Log'!Z:Z,"Rejected",'QA Log'!L:L,"*Exit Interview 2*")
  )
)</f>
        <v/>
      </c>
      <c r="BU154" s="107" t="str">
        <f t="shared" si="13"/>
        <v/>
      </c>
      <c r="BV154" s="102" t="str">
        <f t="shared" si="14"/>
        <v/>
      </c>
      <c r="BW154" s="102" t="str">
        <f t="shared" si="15"/>
        <v/>
      </c>
      <c r="BX154" s="102" t="str">
        <f t="shared" si="16"/>
        <v/>
      </c>
      <c r="BY154" s="102" t="str">
        <f t="shared" si="17"/>
        <v/>
      </c>
      <c r="BZ154" s="107" t="str">
        <f t="shared" si="18"/>
        <v/>
      </c>
      <c r="CA154" s="108" t="str">
        <f t="shared" si="19"/>
        <v/>
      </c>
      <c r="CB154" s="108" t="str">
        <f t="shared" si="20"/>
        <v/>
      </c>
      <c r="CC154" s="109" t="str">
        <f t="shared" si="21"/>
        <v/>
      </c>
      <c r="CD154" s="108" t="str">
        <f t="shared" si="22"/>
        <v/>
      </c>
      <c r="CE154" s="108" t="str">
        <f t="shared" si="23"/>
        <v/>
      </c>
      <c r="CF154" s="109" t="str">
        <f t="shared" si="24"/>
        <v/>
      </c>
      <c r="CG154" s="110" t="str">
        <f t="shared" si="25"/>
        <v/>
      </c>
      <c r="CH154" s="111"/>
    </row>
    <row r="155" spans="1:86" ht="12.75">
      <c r="A155" s="101"/>
      <c r="B155" s="102" t="e">
        <f t="array" aca="1" ref="B155" ca="1">_xludf.XLOOKUP(A155,'QA Log'!D:D,'QA Log'!E:E,"")</f>
        <v>#NAME?</v>
      </c>
      <c r="C155" s="102" t="e">
        <f t="array" aca="1" ref="C155" ca="1">_xludf.XLOOKUP(A155,'QA Log'!D:D,'QA Log'!F:F,"")</f>
        <v>#NAME?</v>
      </c>
      <c r="D155" s="102" t="e">
        <f t="array" aca="1" ref="D155" ca="1">_xludf.XLOOKUP(A155,'QA Log'!D:D,'QA Log'!H:H,"")</f>
        <v>#NAME?</v>
      </c>
      <c r="E155" s="102" t="e">
        <f t="array" aca="1" ref="E155" ca="1">_xludf.XLOOKUP(A155,'QA Log'!D:D,'QA Log'!G:G,"")</f>
        <v>#NAME?</v>
      </c>
      <c r="F155" s="103"/>
      <c r="G155" s="104"/>
      <c r="H155" s="104"/>
      <c r="I155" s="103" t="str">
        <f t="shared" si="0"/>
        <v/>
      </c>
      <c r="J155" s="102" t="str">
        <f>IF(A155="","",SUM(
COUNTIFS('QA Log'!D:D,A155,'QA Log'!M:M,"QQC",'QA Log'!L:L,"*1. General Management*"),
COUNTIFS('QA Log'!D:D,A155,'QA Log'!M:M,"QQC",'QA Log'!L:L,"*3. Curative Consultation (OPD)*"),
COUNTIFS('QA Log'!D:D,A155,'QA Log'!M:M,"QQC",'QA Log'!L:L,"*5. Laboratory*"),
COUNTIFS('QA Log'!D:D,A155,'QA Log'!M:M,"QQC",'QA Log'!L:L,"*6. Essential Medicine Management*"),
COUNTIFS('QA Log'!D:D,A155,'QA Log'!M:M,"QQC",'QA Log'!L:L,"*7. Tracer Medicine*"),
COUNTIFS('QA Log'!D:D,A155,'QA Log'!M:M,"QQC",'QA Log'!L:L,"*11. Additional Questions*")))</f>
        <v/>
      </c>
      <c r="K155" s="102" t="str">
        <f>IF(A155="","",SUM(
COUNTIFS('QA Log'!D:D,A155,'QA Log'!M:M,"QQC",'QA Log'!Z:Z,"Approved",'QA Log'!L:L,"*1. General Management*"),
COUNTIFS('QA Log'!D:D,A155,'QA Log'!M:M,"QQC",'QA Log'!Z:Z,"Approved",'QA Log'!L:L,"*3. Curative Consultation (OPD)*"),
COUNTIFS('QA Log'!D:D,A155,'QA Log'!M:M,"QQC",'QA Log'!Z:Z,"Approved",'QA Log'!L:L,"*5. Laboratory*"),
COUNTIFS('QA Log'!D:D,A155,'QA Log'!M:M,"QQC",'QA Log'!Z:Z,"Approved",'QA Log'!L:L,"*6. Essential Medicine Management*"),
COUNTIFS('QA Log'!D:D,A155,'QA Log'!M:M,"QQC",'QA Log'!Z:Z,"Approved",'QA Log'!L:L,"*7. Tracer Medicine*"),
COUNTIFS('QA Log'!D:D,A155,'QA Log'!M:M,"QQC",'QA Log'!Z:Z,"Approved",'QA Log'!L:L,"*11. Additional Questions*")))</f>
        <v/>
      </c>
      <c r="L155" s="105" t="str">
        <f>IF(A155&lt;&gt;"",COUNTIFS('QA Log'!D:D,A155,'QA Log'!M:M,"QQC",'QA Log'!L:L,"1. General Management",'QA Log'!Z:Z,"Approved"),"")</f>
        <v/>
      </c>
      <c r="M155" s="105" t="str">
        <f>IF(A155&lt;&gt;"",COUNTIFS('QA Log'!D:D,A155,'QA Log'!M:M,"QQC",'QA Log'!L:L,"3. Curative Consultation (OPD)",'QA Log'!Z:Z,"Approved"),"")</f>
        <v/>
      </c>
      <c r="N155" s="105" t="str">
        <f>IF(A155&lt;&gt;"",COUNTIFS('QA Log'!D:D,A155,'QA Log'!M:M,"QQC",'QA Log'!L:L,"5. Laboratory",'QA Log'!Z:Z,"Approved"),"")</f>
        <v/>
      </c>
      <c r="O155" s="105" t="str">
        <f>IF(A155&lt;&gt;"",COUNTIFS('QA Log'!D:D,A155,'QA Log'!M:M,"QQC",'QA Log'!L:L,"6. Essential Medicine Management",'QA Log'!Z:Z,"Approved"),"")</f>
        <v/>
      </c>
      <c r="P155" s="105" t="str">
        <f>IF(A155&lt;&gt;"",COUNTIFS('QA Log'!D:D,A155,'QA Log'!M:M,"QQC",'QA Log'!L:L,"7. Tracer Medicine",'QA Log'!Z:Z,"Approved"),"")</f>
        <v/>
      </c>
      <c r="Q155" s="105" t="str">
        <f>IF(A155&lt;&gt;"",COUNTIFS('QA Log'!D:D,A155,'QA Log'!M:M,"QQC",'QA Log'!L:L,"11. Additional Questions",'QA Log'!Z:Z,"Approved"),"")</f>
        <v/>
      </c>
      <c r="R155" s="102" t="str">
        <f>IF(A155="","",SUM(
COUNTIFS('QA Log'!D:D,A155,'QA Log'!M:M,"QQC",'QA Log'!Z:Z,"Rejected",'QA Log'!L:L,"*8. Maternity*"),
COUNTIFS('QA Log'!D:D,A155,'QA Log'!M:M,"QQC",'QA Log'!Z:Z,"Rejected",'QA Log'!L:L,"*EPI*"),
COUNTIFS('QA Log'!D:D,A155,'QA Log'!M:M,"QQC",'QA Log'!Z:Z,"Rejected",'QA Log'!L:L,"*10. Antenatal Care (ANC)*"),
COUNTIFS('QA Log'!D:D,A155,'QA Log'!M:M,"QQC",'QA Log'!Z:Z,"Rejected",'QA Log'!L:L,"*2. Hygiene and Sterilization*"),
COUNTIFS('QA Log'!D:D,A155,'QA Log'!M:M,"QQC",'QA Log'!Z:Z,"Rejected",'QA Log'!L:L,"*Family Planning*")))</f>
        <v/>
      </c>
      <c r="S155" s="106" t="str">
        <f t="shared" si="1"/>
        <v/>
      </c>
      <c r="T155" s="102" t="str">
        <f t="shared" si="2"/>
        <v/>
      </c>
      <c r="U155" s="102" t="str">
        <f>IF(A155="","",
SUM(
COUNTIFS('QA Log'!D:D,A155,'QA Log'!M:M,"QQC",'QA Log'!L:L,"*8. Maternity*"),
COUNTIFS('QA Log'!D:D,A155,'QA Log'!M:M,"QQC",'QA Log'!L:L,"*9. EPI and Pre-school Consultation*"),
COUNTIFS('QA Log'!D:D,A155,'QA Log'!M:M,"QQC",'QA Log'!L:L,"*10. Antenatal Care (ANC)*"),
COUNTIFS('QA Log'!D:D,A155,'QA Log'!M:M,"QQC",'QA Log'!L:L,"*2. Hygiene and Sterilization*"),
COUNTIFS('QA Log'!D:D,A155,'QA Log'!M:M,"QQC",'QA Log'!L:L,"*4. Family Planning*")
))</f>
        <v/>
      </c>
      <c r="V155" s="102" t="str">
        <f>IF(A155="","",
SUM(
COUNTIFS('QA Log'!D:D,A155,'QA Log'!M:M,"QQC",'QA Log'!Z:Z,"Approved",'QA Log'!L:L,"*8. Maternity*"),
COUNTIFS('QA Log'!D:D,A155,'QA Log'!M:M,"QQC",'QA Log'!Z:Z,"Approved",'QA Log'!L:L,"*9. EPI and Pre-school Consultation*"),
COUNTIFS('QA Log'!D:D,A155,'QA Log'!M:M,"QQC",'QA Log'!Z:Z,"Approved",'QA Log'!L:L,"*10. Antenatal Care (ANC)*"),
COUNTIFS('QA Log'!D:D,A155,'QA Log'!M:M,"QQC",'QA Log'!Z:Z,"Approved",'QA Log'!L:L,"*2. Hygiene and Sterilization*"),
COUNTIFS('QA Log'!D:D,A155,'QA Log'!M:M,"QQC",'QA Log'!Z:Z,"Approved",'QA Log'!L:L,"*4. Family Planning*")
))</f>
        <v/>
      </c>
      <c r="W155" s="105" t="str">
        <f>IF(A155&lt;&gt;"",COUNTIFS('QA Log'!D:D,A155,'QA Log'!M:M,"QQC",'QA Log'!L:L,"8. Maternity",'QA Log'!Z:Z,"Approved"),"")</f>
        <v/>
      </c>
      <c r="X155" s="105" t="str">
        <f>IF(A155&lt;&gt;"",COUNTIFS('QA Log'!D:D,A155,'QA Log'!M:M,"QQC",'QA Log'!L:L,"9. EPI and Pre-school Consultation",'QA Log'!Z:Z,"Approved"),"")</f>
        <v/>
      </c>
      <c r="Y155" s="105" t="str">
        <f>IF(A155&lt;&gt;"",COUNTIFS('QA Log'!D:D,A155,'QA Log'!M:M,"QQC",'QA Log'!L:L,"10. Antenatal Care (ANC)",'QA Log'!Z:Z,"Approved"),"")</f>
        <v/>
      </c>
      <c r="Z155" s="105" t="str">
        <f>IF(A155&lt;&gt;"",COUNTIFS('QA Log'!D:D,A155,'QA Log'!M:M,"QQC",'QA Log'!L:L,"2. Hygiene and Sterilization",'QA Log'!Z:Z,"Approved"),"")</f>
        <v/>
      </c>
      <c r="AA155" s="105" t="str">
        <f>IF(A155&lt;&gt;"",COUNTIFS('QA Log'!D:D,A155,'QA Log'!M:M,"QQC",'QA Log'!L:L,"4. Family Planning",'QA Log'!Z:Z,"Approved"),"")</f>
        <v/>
      </c>
      <c r="AB155" s="102" t="str">
        <f>IF(A155="","",
SUM(
COUNTIFS('QA Log'!D:D,A155,'QA Log'!M:M,"QQC",'QA Log'!Z:Z,"Rejected",'QA Log'!L:L,"*8. Maternity*"),
COUNTIFS('QA Log'!D:D,A155,'QA Log'!M:M,"QQC",'QA Log'!Z:Z,"Rejected",'QA Log'!L:L,"*9. EPI and Pre-school Consultation*"),
COUNTIFS('QA Log'!D:D,A155,'QA Log'!M:M,"QQC",'QA Log'!Z:Z,"Rejected",'QA Log'!L:L,"*10. Antenatal Care (ANC)*"),
COUNTIFS('QA Log'!D:D,A155,'QA Log'!M:M,"QQC",'QA Log'!Z:Z,"Rejected",'QA Log'!L:L,"*2. Hygiene and Sterilization*"),
COUNTIFS('QA Log'!D:D,A155,'QA Log'!M:M,"QQC",'QA Log'!Z:Z,"Rejected",'QA Log'!L:L,"*4. Family Planning*")
))</f>
        <v/>
      </c>
      <c r="AC155" s="102" t="str">
        <f t="shared" si="3"/>
        <v/>
      </c>
      <c r="AD155" s="103" t="str">
        <f t="shared" si="4"/>
        <v/>
      </c>
      <c r="AE155" s="102" t="str">
        <f>IF(A155="","",
SUM(
COUNTIFS('QA Log'!D:D,A155,'QA Log'!M:M,"Data Verification",'QA Log'!L:L,"*Medicine (section 2)*"),
COUNTIFS('QA Log'!D:D,A155,'QA Log'!M:M,"Data Verification",'QA Log'!L:L,"*Lab Testing Availability*"),
COUNTIFS('QA Log'!D:D,A155,'QA Log'!M:M,"Data Verification",'QA Log'!L:L,"*Other than P4P (section 6)*"),
COUNTIFS('QA Log'!D:D,A155,'QA Log'!M:M,"Data Verification",'QA Log'!L:L,"*Hospital Governance*")
))</f>
        <v/>
      </c>
      <c r="AF155" s="102" t="str">
        <f>IF(A155="","",
SUM(
COUNTIFS('QA Log'!D:D,A155,'QA Log'!M:M,"Data Verification",'QA Log'!Z:Z,"Approved",'QA Log'!L:L,"*Medicine (section 2)*"),
COUNTIFS('QA Log'!D:D,A155,'QA Log'!M:M,"Data Verification",'QA Log'!Z:Z,"Approved",'QA Log'!L:L,"*Lab Testing Availability*"),
COUNTIFS('QA Log'!D:D,A155,'QA Log'!M:M,"Data Verification",'QA Log'!Z:Z,"Approved",'QA Log'!L:L,"*Other than P4P (section 6)*"),
COUNTIFS('QA Log'!D:D,A155,'QA Log'!M:M,"Data Verification",'QA Log'!Z:Z,"Approved",'QA Log'!L:L,"*Hospital Governance*")
))</f>
        <v/>
      </c>
      <c r="AG155" s="105" t="str">
        <f>IF(A155&lt;&gt;"",COUNTIFS('QA Log'!D:D,A155,'QA Log'!M:M,"Data Verification",'QA Log'!L:L,"Medicine (section 2)",'QA Log'!Z:Z,"Approved"),"")</f>
        <v/>
      </c>
      <c r="AH155" s="105" t="str">
        <f>IF(A155&lt;&gt;"",COUNTIFS('QA Log'!D:D,A155,'QA Log'!M:M,"Data Verification",'QA Log'!L:L,"Lab Testing Availability",'QA Log'!Z:Z,"Approved"),"")</f>
        <v/>
      </c>
      <c r="AI155" s="105" t="str">
        <f>IF(A155&lt;&gt;"",COUNTIFS('QA Log'!D:D,A155,'QA Log'!M:M,"Data Verification",'QA Log'!L:L,"Other than P4P (section 6)",'QA Log'!Z:Z,"Approved"),"")</f>
        <v/>
      </c>
      <c r="AJ155" s="105" t="str">
        <f>IF(A155&lt;&gt;"",COUNTIFS('QA Log'!D:D,A155,'QA Log'!M:M,"Data Verification",'QA Log'!L:L,"Hospital Governance",'QA Log'!Z:Z,"Approved"),"")</f>
        <v/>
      </c>
      <c r="AK155" s="102" t="str">
        <f>IF(A155="","",
SUM(
COUNTIFS('QA Log'!D:D,A155,'QA Log'!M:M,"Data Verification",'QA Log'!Z:Z,"Rejected",'QA Log'!L:L,"*Medicine (section 2)*"),
COUNTIFS('QA Log'!D:D,A155,'QA Log'!M:M,"Data Verification",'QA Log'!Z:Z,"Rejected",'QA Log'!L:L,"*Lab Testing Availability*"),
COUNTIFS('QA Log'!D:D,A155,'QA Log'!M:M,"Data Verification",'QA Log'!Z:Z,"Rejected",'QA Log'!L:L,"*Other than P4P (section 6)*"),
COUNTIFS('QA Log'!D:D,A155,'QA Log'!M:M,"Data Verification",'QA Log'!Z:Z,"Rejected",'QA Log'!L:L,"*Hospital Governance*")
))</f>
        <v/>
      </c>
      <c r="AL155" s="106" t="str">
        <f t="shared" si="5"/>
        <v/>
      </c>
      <c r="AM155" s="102" t="str">
        <f t="shared" si="6"/>
        <v/>
      </c>
      <c r="AN155" s="102" t="str">
        <f>IF(A155="","",
SUM(
COUNTIFS('QA Log'!D:D,A155,'QA Log'!M:M,"Data Verification",'QA Log'!L:L,"*Personnel (section 1)*"),
COUNTIFS('QA Log'!D:D,A155,'QA Log'!M:M,"Data Verification",'QA Log'!L:L,"*Consumable (section 3)*"),
COUNTIFS('QA Log'!D:D,A155,'QA Log'!M:M,"Data Verification",'QA Log'!L:L,"*Equipments (section 4)*")
))</f>
        <v/>
      </c>
      <c r="AO155" s="102" t="str">
        <f>IF(A155="","",
SUM(
COUNTIFS('QA Log'!D:D,A155,'QA Log'!M:M,"Data Verification",'QA Log'!Z:Z,"Approved",'QA Log'!L:L,"*Personnel (section 1)*"),
COUNTIFS('QA Log'!D:D,A155,'QA Log'!M:M,"Data Verification",'QA Log'!Z:Z,"Approved",'QA Log'!L:L,"*Consumable (section 3)*"),
COUNTIFS('QA Log'!D:D,A155,'QA Log'!M:M,"Data Verification",'QA Log'!Z:Z,"Approved",'QA Log'!L:L,"*Equipments (section 4)*")
))</f>
        <v/>
      </c>
      <c r="AP155" s="105" t="str">
        <f>IF(A155&lt;&gt;"",COUNTIFS('QA Log'!D:D,A155,'QA Log'!M:M,"Data Verification",'QA Log'!L:L,"Personnel (section 1)",'QA Log'!Z:Z,"Approved"),"")</f>
        <v/>
      </c>
      <c r="AQ155" s="105" t="str">
        <f>IF(A155&lt;&gt;"",COUNTIFS('QA Log'!D:D,A155,'QA Log'!M:M,"Data Verification",'QA Log'!L:L,"Consumable (section 3)",'QA Log'!Z:Z,"Approved"),"")</f>
        <v/>
      </c>
      <c r="AR155" s="105" t="str">
        <f>IF(A155&lt;&gt;"",COUNTIFS('QA Log'!D:D,A155,'QA Log'!M:M,"Data Verification",'QA Log'!L:L,"Equipments (section 4)",'QA Log'!Z:Z,"Approved"),"")</f>
        <v/>
      </c>
      <c r="AS155" s="102" t="str">
        <f>IF(A155="","",
SUM(
COUNTIFS('QA Log'!D:D,A155,'QA Log'!M:M,"Data Verification",'QA Log'!Z:Z,"Rejected",'QA Log'!L:L,"*Personnel (section 1)*"),
COUNTIFS('QA Log'!D:D,A155,'QA Log'!M:M,"Data Verification",'QA Log'!Z:Z,"Rejected",'QA Log'!L:L,"*Consumable (section 3)*"),
COUNTIFS('QA Log'!D:D,A155,'QA Log'!M:M,"Data Verification",'QA Log'!Z:Z,"Rejected",'QA Log'!L:L,"*Equipments (section 4)*")
))</f>
        <v/>
      </c>
      <c r="AT155" s="102" t="str">
        <f t="shared" si="7"/>
        <v/>
      </c>
      <c r="AU155" s="103" t="str">
        <f t="shared" si="8"/>
        <v/>
      </c>
      <c r="AV155" s="102" t="str">
        <f>IF(A155="","",SUM(
COUNTIFS('QA Log'!D:D,A155,'QA Log'!M:M,"Vignette",'QA Log'!L:L,"*Vignette [1] Respiratory Infection: Pneumonia*"),
COUNTIFS('QA Log'!D:D,A155,'QA Log'!M:M,"Vignette",'QA Log'!L:L,"*Vignette [2]: Diarrhea with Cat B dehydration*"),
COUNTIFS('QA Log'!D:D,A155,'QA Log'!M:M,"Vignette",'QA Log'!L:L,"*Vignette [3] Growth Monitoring and Promotion*"),
COUNTIFS('QA Log'!D:D,A155,'QA Log'!M:M,"Vignette",'QA Log'!L:L,"*Vignette [4]: The management of presumptive TB patient*")
)
)</f>
        <v/>
      </c>
      <c r="AW155" s="102" t="str">
        <f>IF(
  A155="","",
  SUM(
    COUNTIFS('QA Log'!D:D,A155,'QA Log'!M:M,"Vignette",'QA Log'!Z:Z,"Approved",'QA Log'!L:L,"*Vignette [1] Respiratory Infection: Pneumonia*"),
    COUNTIFS('QA Log'!D:D,A155,'QA Log'!M:M,"Vignette",'QA Log'!Z:Z,"Approved",'QA Log'!L:L,"*Vignette [2]: Diarrhea with Cat B dehydration*"),
    COUNTIFS('QA Log'!D:D,A155,'QA Log'!M:M,"Vignette",'QA Log'!Z:Z,"Approved",'QA Log'!L:L,"*Vignette [3] Growth Monitoring and Promotion*"),
    COUNTIFS('QA Log'!D:D,A155,'QA Log'!M:M,"Vignette",'QA Log'!Z:Z,"Approved",'QA Log'!L:L,"*Vignette [4]: The management of presumptive TB patient*")
  )
)</f>
        <v/>
      </c>
      <c r="AX155" s="105" t="str">
        <f>IF(A155&lt;&gt;"",COUNTIFS('QA Log'!D:D,A155,'QA Log'!M:M,"Vignette",'QA Log'!L:L,"Vignette [1] Respiratory Infection: Pneumonia",'QA Log'!Z:Z,"Approved"),"")</f>
        <v/>
      </c>
      <c r="AY155" s="105" t="str">
        <f>IF(A155&lt;&gt;"",COUNTIFS('QA Log'!D:D,A155,'QA Log'!M:M,"Vignette",'QA Log'!L:L,"Vignette [2]: Diarrhea with Cat B dehydration",'QA Log'!Z:Z,"Approved"),"")</f>
        <v/>
      </c>
      <c r="AZ155" s="105" t="str">
        <f>IF(A155&lt;&gt;"",COUNTIFS('QA Log'!D:D,A155,'QA Log'!M:M,"Vignette",'QA Log'!L:L,"Vignette [3] Growth Monitoring and Promotion",'QA Log'!Z:Z,"Approved"),"")</f>
        <v/>
      </c>
      <c r="BA155" s="105" t="str">
        <f>IF(A155&lt;&gt;"",COUNTIFS('QA Log'!D:D,A155,'QA Log'!M:M,"Vignette",'QA Log'!L:L,"Vignette [4]: The management of presumptive TB patient",'QA Log'!Z:Z,"Approved"),"")</f>
        <v/>
      </c>
      <c r="BB155" s="102" t="str">
        <f>IF(A155="","",
  SUM(
    COUNTIFS('QA Log'!D:D,A155,'QA Log'!M:M,"Vignette",'QA Log'!Z:Z,"Rejected",'QA Log'!L:L,"*Vignette [1] Respiratory Infection: Pneumonia*"),
    COUNTIFS('QA Log'!D:D,A155,'QA Log'!M:M,"Vignette",'QA Log'!Z:Z,"Rejected",'QA Log'!L:L,"*Vignette [2]: Diarrhea with Cat B dehydration*"),
    COUNTIFS('QA Log'!D:D,A155,'QA Log'!M:M,"Vignette",'QA Log'!Z:Z,"Rejected",'QA Log'!L:L,"*Vignette [3] Growth Monitoring and Promotion*"),
    COUNTIFS('QA Log'!D:D,A155,'QA Log'!M:M,"Vignette",'QA Log'!Z:Z,"Rejected",'QA Log'!L:L,"*Vignette [4]: The management of presumptive TB patient*")
  )
)</f>
        <v/>
      </c>
      <c r="BC155" s="107" t="str">
        <f t="shared" si="9"/>
        <v/>
      </c>
      <c r="BD155" s="103" t="str">
        <f t="shared" si="10"/>
        <v/>
      </c>
      <c r="BE155" s="102" t="str">
        <f>IF(A155="","",SUM(
COUNTIFS('QA Log'!D:D,A155,'QA Log'!M:M,"Vignette",'QA Log'!L:L,"*Vignette [5] Labor*"),
COUNTIFS('QA Log'!D:D,A155,'QA Log'!M:M,"Vignette",'QA Log'!L:L,"*Vignette [6] PNC pre Discharge*"),
COUNTIFS('QA Log'!D:D,A155,'QA Log'!M:M,"Vignette",'QA Log'!L:L,"*Vignette [7] First ANC Visit*"),
COUNTIFS('QA Log'!D:D,A155,'QA Log'!M:M,"Vignette",'QA Log'!L:L,"*Vignette [8] Birth Spacing/ Family Planning :  FP Counselling*"),
COUNTIFS('QA Log'!D:D,A155,'QA Log'!M:M,"Vignette",'QA Log'!L:L,"*Vignette [9] Birth Spacing: Change FP method to Injectable*"),
COUNTIFS('QA Log'!D:D,A155,'QA Log'!M:M,"Vignette",'QA Log'!L:L,"*Vignette [10] Post Partum Haemorrhage - Atonic Uterus at Health Centre*"),
)
)</f>
        <v/>
      </c>
      <c r="BF155" s="102" t="str">
        <f>IF(A155="","",
  SUM(
    COUNTIFS('QA Log'!D:D,A155,'QA Log'!M:M,"Vignette",'QA Log'!Z:Z,"Approved",'QA Log'!L:L,"*Vignette [5] Labor*"),
    COUNTIFS('QA Log'!D:D,A155,'QA Log'!M:M,"Vignette",'QA Log'!Z:Z,"Approved",'QA Log'!L:L,"*Vignette [6] PNC pre Discharge*"),
    COUNTIFS('QA Log'!D:D,A155,'QA Log'!M:M,"Vignette",'QA Log'!Z:Z,"Approved",'QA Log'!L:L,"*Vignette [7] First ANC Visit*"),
    COUNTIFS('QA Log'!D:D,A155,'QA Log'!M:M,"Vignette",'QA Log'!Z:Z,"Approved",'QA Log'!L:L,"*Vignette [8] Birth Spacing/ Family Planning :  FP Counselling*"),
    COUNTIFS('QA Log'!D:D,A155,'QA Log'!M:M,"Vignette",'QA Log'!Z:Z,"Approved",'QA Log'!L:L,"*Vignette [9] Birth Spacing: Change FP method to Injectable*"),
    COUNTIFS('QA Log'!D:D,A155,'QA Log'!M:M,"Vignette",'QA Log'!Z:Z,"Approved",'QA Log'!L:L,"*Vignette [10] Post Partum Haemorrhage - Atonic Uterus at Health Centre*")
  )
)</f>
        <v/>
      </c>
      <c r="BG155" s="105" t="str">
        <f>IF(A155&lt;&gt;"",COUNTIFS('QA Log'!D:D,A155,'QA Log'!M:M,"Vignette",'QA Log'!L:L,"Vignette [5] Labor",'QA Log'!Z:Z,"Approved"),"")</f>
        <v/>
      </c>
      <c r="BH155" s="105" t="str">
        <f>IF(A155&lt;&gt;"",COUNTIFS('QA Log'!D:D,A155,'QA Log'!M:M,"Vignette",'QA Log'!L:L,"Vignette [6] PNC pre Discharge",'QA Log'!Z:Z,"Approved"),"")</f>
        <v/>
      </c>
      <c r="BI155" s="105" t="str">
        <f>IF(A155&lt;&gt;"",COUNTIFS('QA Log'!D:D,A155,'QA Log'!M:M,"Vignette",'QA Log'!L:L,"Vignette [7] First ANC Visit",'QA Log'!Z:Z,"Approved"),"")</f>
        <v/>
      </c>
      <c r="BJ155" s="105" t="str">
        <f>IF(A155&lt;&gt;"",COUNTIFS('QA Log'!D:D,A155,'QA Log'!M:M,"Vignette",'QA Log'!L:L,"Vignette [8] Birth Spacing/ Family Planning :  FP Counselling",'QA Log'!Z:Z,"Approved"),"")</f>
        <v/>
      </c>
      <c r="BK155" s="105" t="str">
        <f>IF(A155&lt;&gt;"",COUNTIFS('QA Log'!D:D,A155,'QA Log'!M:M,"Vignette",'QA Log'!L:L,"Vignette [9] Birth Spacing: Change FP method to Injectable",'QA Log'!Z:Z,"Approved"),"")</f>
        <v/>
      </c>
      <c r="BL155" s="105" t="str">
        <f>IF(A155&lt;&gt;"",COUNTIFS('QA Log'!D:D,A155,'QA Log'!M:M,"Vignette",'QA Log'!L:L,"Vignette [10] Post Partum Haemorrhage - Atonic Uterus at Health Centre",'QA Log'!Z:Z,"Approved"),"")</f>
        <v/>
      </c>
      <c r="BM155" s="102" t="str">
        <f>IF(A155="","",SUM(
    COUNTIFS('QA Log'!D:D,A155,'QA Log'!M:M,"Vignette",'QA Log'!Z:Z,"Rejected",'QA Log'!L:L,"*Vignette [5] Labor*"),
    COUNTIFS('QA Log'!D:D,A155,'QA Log'!M:M,"Vignette",'QA Log'!Z:Z,"Rejected",'QA Log'!L:L,"*Vignette [6] PNC pre Discharge*"),
    COUNTIFS('QA Log'!D:D,A155,'QA Log'!M:M,"Vignette",'QA Log'!Z:Z,"Rejected",'QA Log'!L:L,"*Vignette [7] First ANC Visit*"),
    COUNTIFS('QA Log'!D:D,A155,'QA Log'!M:M,"Vignette",'QA Log'!Z:Z,"Rejected",'QA Log'!L:L,"*Vignette [8] Birth Spacing/ Family Planning :  FP Counselling*"),
    COUNTIFS('QA Log'!D:D,A155,'QA Log'!M:M,"Vignette",'QA Log'!Z:Z,"Rejected",'QA Log'!L:L,"*Vignette [9] Birth Spacing: Change FP method to Injectable*"),
    COUNTIFS('QA Log'!D:D,A155,'QA Log'!M:M,"Vignette",'QA Log'!Z:Z,"Rejected",'QA Log'!L:L,"*Vignette [10] Post Partum Haemorrhage - Atonic Uterus at Health Centre*")
  )
)</f>
        <v/>
      </c>
      <c r="BN155" s="107" t="str">
        <f t="shared" si="11"/>
        <v/>
      </c>
      <c r="BO155" s="103" t="str">
        <f t="shared" si="12"/>
        <v/>
      </c>
      <c r="BP155" s="102" t="str">
        <f>IF(A155="","",SUM(
COUNTIFS('QA Log'!D:D,A155,'QA Log'!M:M,"Vignette",'QA Log'!L:L,"*Exit Interview 1*"),
COUNTIFS('QA Log'!D:D,A155,'QA Log'!M:M,"Vignette",'QA Log'!L:L,"*Exit Interview 2*"),
)
)</f>
        <v/>
      </c>
      <c r="BQ155" s="102" t="str">
        <f>IF(
  A155="","",
  SUM(
    COUNTIFS('QA Log'!D:D,A155,'QA Log'!M:M,"Vignette",'QA Log'!Z:Z,"Approved",'QA Log'!L:L,"*Exit Interview 1*"),
    COUNTIFS('QA Log'!D:D,A155,'QA Log'!M:M,"Vignette",'QA Log'!Z:Z,"Approved",'QA Log'!L:L,"*Exit Interview 2*")
  )
)</f>
        <v/>
      </c>
      <c r="BR155" s="105" t="str">
        <f>IF(A155&lt;&gt;"",COUNTIFS('QA Log'!D:D,A155,'QA Log'!M:M,"Vignette",'QA Log'!L:L,"Exit Interview 1",'QA Log'!Z:Z,"Approved"),"")</f>
        <v/>
      </c>
      <c r="BS155" s="105" t="str">
        <f>IF(A155&lt;&gt;"",COUNTIFS('QA Log'!D:D,A155,'QA Log'!M:M,"Vignette",'QA Log'!L:L,"Exit Interview 2",'QA Log'!Z:Z,"Approved"),"")</f>
        <v/>
      </c>
      <c r="BT155" s="102" t="str">
        <f>IF(
  A155="","",
  SUM(
    COUNTIFS('QA Log'!D:D,A155,'QA Log'!M:M,"Vignette",'QA Log'!Z:Z,"Rejected",'QA Log'!L:L,"*Exit Interview 1*"),
    COUNTIFS('QA Log'!D:D,A155,'QA Log'!M:M,"Vignette",'QA Log'!Z:Z,"Rejected",'QA Log'!L:L,"*Exit Interview 2*")
  )
)</f>
        <v/>
      </c>
      <c r="BU155" s="107" t="str">
        <f t="shared" si="13"/>
        <v/>
      </c>
      <c r="BV155" s="102" t="str">
        <f t="shared" si="14"/>
        <v/>
      </c>
      <c r="BW155" s="102" t="str">
        <f t="shared" si="15"/>
        <v/>
      </c>
      <c r="BX155" s="102" t="str">
        <f t="shared" si="16"/>
        <v/>
      </c>
      <c r="BY155" s="102" t="str">
        <f t="shared" si="17"/>
        <v/>
      </c>
      <c r="BZ155" s="107" t="str">
        <f t="shared" si="18"/>
        <v/>
      </c>
      <c r="CA155" s="108" t="str">
        <f t="shared" si="19"/>
        <v/>
      </c>
      <c r="CB155" s="108" t="str">
        <f t="shared" si="20"/>
        <v/>
      </c>
      <c r="CC155" s="109" t="str">
        <f t="shared" si="21"/>
        <v/>
      </c>
      <c r="CD155" s="108" t="str">
        <f t="shared" si="22"/>
        <v/>
      </c>
      <c r="CE155" s="108" t="str">
        <f t="shared" si="23"/>
        <v/>
      </c>
      <c r="CF155" s="109" t="str">
        <f t="shared" si="24"/>
        <v/>
      </c>
      <c r="CG155" s="110" t="str">
        <f t="shared" si="25"/>
        <v/>
      </c>
      <c r="CH155" s="111"/>
    </row>
    <row r="156" spans="1:86" ht="12.75">
      <c r="A156" s="101"/>
      <c r="B156" s="102" t="e">
        <f t="array" aca="1" ref="B156" ca="1">_xludf.XLOOKUP(A156,'QA Log'!D:D,'QA Log'!E:E,"")</f>
        <v>#NAME?</v>
      </c>
      <c r="C156" s="102" t="e">
        <f t="array" aca="1" ref="C156" ca="1">_xludf.XLOOKUP(A156,'QA Log'!D:D,'QA Log'!F:F,"")</f>
        <v>#NAME?</v>
      </c>
      <c r="D156" s="102" t="e">
        <f t="array" aca="1" ref="D156" ca="1">_xludf.XLOOKUP(A156,'QA Log'!D:D,'QA Log'!H:H,"")</f>
        <v>#NAME?</v>
      </c>
      <c r="E156" s="102" t="e">
        <f t="array" aca="1" ref="E156" ca="1">_xludf.XLOOKUP(A156,'QA Log'!D:D,'QA Log'!G:G,"")</f>
        <v>#NAME?</v>
      </c>
      <c r="F156" s="103"/>
      <c r="G156" s="104"/>
      <c r="H156" s="104"/>
      <c r="I156" s="103" t="str">
        <f t="shared" si="0"/>
        <v/>
      </c>
      <c r="J156" s="102" t="str">
        <f>IF(A156="","",SUM(
COUNTIFS('QA Log'!D:D,A156,'QA Log'!M:M,"QQC",'QA Log'!L:L,"*1. General Management*"),
COUNTIFS('QA Log'!D:D,A156,'QA Log'!M:M,"QQC",'QA Log'!L:L,"*3. Curative Consultation (OPD)*"),
COUNTIFS('QA Log'!D:D,A156,'QA Log'!M:M,"QQC",'QA Log'!L:L,"*5. Laboratory*"),
COUNTIFS('QA Log'!D:D,A156,'QA Log'!M:M,"QQC",'QA Log'!L:L,"*6. Essential Medicine Management*"),
COUNTIFS('QA Log'!D:D,A156,'QA Log'!M:M,"QQC",'QA Log'!L:L,"*7. Tracer Medicine*"),
COUNTIFS('QA Log'!D:D,A156,'QA Log'!M:M,"QQC",'QA Log'!L:L,"*11. Additional Questions*")))</f>
        <v/>
      </c>
      <c r="K156" s="102" t="str">
        <f>IF(A156="","",SUM(
COUNTIFS('QA Log'!D:D,A156,'QA Log'!M:M,"QQC",'QA Log'!Z:Z,"Approved",'QA Log'!L:L,"*1. General Management*"),
COUNTIFS('QA Log'!D:D,A156,'QA Log'!M:M,"QQC",'QA Log'!Z:Z,"Approved",'QA Log'!L:L,"*3. Curative Consultation (OPD)*"),
COUNTIFS('QA Log'!D:D,A156,'QA Log'!M:M,"QQC",'QA Log'!Z:Z,"Approved",'QA Log'!L:L,"*5. Laboratory*"),
COUNTIFS('QA Log'!D:D,A156,'QA Log'!M:M,"QQC",'QA Log'!Z:Z,"Approved",'QA Log'!L:L,"*6. Essential Medicine Management*"),
COUNTIFS('QA Log'!D:D,A156,'QA Log'!M:M,"QQC",'QA Log'!Z:Z,"Approved",'QA Log'!L:L,"*7. Tracer Medicine*"),
COUNTIFS('QA Log'!D:D,A156,'QA Log'!M:M,"QQC",'QA Log'!Z:Z,"Approved",'QA Log'!L:L,"*11. Additional Questions*")))</f>
        <v/>
      </c>
      <c r="L156" s="105" t="str">
        <f>IF(A156&lt;&gt;"",COUNTIFS('QA Log'!D:D,A156,'QA Log'!M:M,"QQC",'QA Log'!L:L,"1. General Management",'QA Log'!Z:Z,"Approved"),"")</f>
        <v/>
      </c>
      <c r="M156" s="105" t="str">
        <f>IF(A156&lt;&gt;"",COUNTIFS('QA Log'!D:D,A156,'QA Log'!M:M,"QQC",'QA Log'!L:L,"3. Curative Consultation (OPD)",'QA Log'!Z:Z,"Approved"),"")</f>
        <v/>
      </c>
      <c r="N156" s="105" t="str">
        <f>IF(A156&lt;&gt;"",COUNTIFS('QA Log'!D:D,A156,'QA Log'!M:M,"QQC",'QA Log'!L:L,"5. Laboratory",'QA Log'!Z:Z,"Approved"),"")</f>
        <v/>
      </c>
      <c r="O156" s="105" t="str">
        <f>IF(A156&lt;&gt;"",COUNTIFS('QA Log'!D:D,A156,'QA Log'!M:M,"QQC",'QA Log'!L:L,"6. Essential Medicine Management",'QA Log'!Z:Z,"Approved"),"")</f>
        <v/>
      </c>
      <c r="P156" s="105" t="str">
        <f>IF(A156&lt;&gt;"",COUNTIFS('QA Log'!D:D,A156,'QA Log'!M:M,"QQC",'QA Log'!L:L,"7. Tracer Medicine",'QA Log'!Z:Z,"Approved"),"")</f>
        <v/>
      </c>
      <c r="Q156" s="105" t="str">
        <f>IF(A156&lt;&gt;"",COUNTIFS('QA Log'!D:D,A156,'QA Log'!M:M,"QQC",'QA Log'!L:L,"11. Additional Questions",'QA Log'!Z:Z,"Approved"),"")</f>
        <v/>
      </c>
      <c r="R156" s="102" t="str">
        <f>IF(A156="","",SUM(
COUNTIFS('QA Log'!D:D,A156,'QA Log'!M:M,"QQC",'QA Log'!Z:Z,"Rejected",'QA Log'!L:L,"*8. Maternity*"),
COUNTIFS('QA Log'!D:D,A156,'QA Log'!M:M,"QQC",'QA Log'!Z:Z,"Rejected",'QA Log'!L:L,"*EPI*"),
COUNTIFS('QA Log'!D:D,A156,'QA Log'!M:M,"QQC",'QA Log'!Z:Z,"Rejected",'QA Log'!L:L,"*10. Antenatal Care (ANC)*"),
COUNTIFS('QA Log'!D:D,A156,'QA Log'!M:M,"QQC",'QA Log'!Z:Z,"Rejected",'QA Log'!L:L,"*2. Hygiene and Sterilization*"),
COUNTIFS('QA Log'!D:D,A156,'QA Log'!M:M,"QQC",'QA Log'!Z:Z,"Rejected",'QA Log'!L:L,"*Family Planning*")))</f>
        <v/>
      </c>
      <c r="S156" s="106" t="str">
        <f t="shared" si="1"/>
        <v/>
      </c>
      <c r="T156" s="102" t="str">
        <f t="shared" si="2"/>
        <v/>
      </c>
      <c r="U156" s="102" t="str">
        <f>IF(A156="","",
SUM(
COUNTIFS('QA Log'!D:D,A156,'QA Log'!M:M,"QQC",'QA Log'!L:L,"*8. Maternity*"),
COUNTIFS('QA Log'!D:D,A156,'QA Log'!M:M,"QQC",'QA Log'!L:L,"*9. EPI and Pre-school Consultation*"),
COUNTIFS('QA Log'!D:D,A156,'QA Log'!M:M,"QQC",'QA Log'!L:L,"*10. Antenatal Care (ANC)*"),
COUNTIFS('QA Log'!D:D,A156,'QA Log'!M:M,"QQC",'QA Log'!L:L,"*2. Hygiene and Sterilization*"),
COUNTIFS('QA Log'!D:D,A156,'QA Log'!M:M,"QQC",'QA Log'!L:L,"*4. Family Planning*")
))</f>
        <v/>
      </c>
      <c r="V156" s="102" t="str">
        <f>IF(A156="","",
SUM(
COUNTIFS('QA Log'!D:D,A156,'QA Log'!M:M,"QQC",'QA Log'!Z:Z,"Approved",'QA Log'!L:L,"*8. Maternity*"),
COUNTIFS('QA Log'!D:D,A156,'QA Log'!M:M,"QQC",'QA Log'!Z:Z,"Approved",'QA Log'!L:L,"*9. EPI and Pre-school Consultation*"),
COUNTIFS('QA Log'!D:D,A156,'QA Log'!M:M,"QQC",'QA Log'!Z:Z,"Approved",'QA Log'!L:L,"*10. Antenatal Care (ANC)*"),
COUNTIFS('QA Log'!D:D,A156,'QA Log'!M:M,"QQC",'QA Log'!Z:Z,"Approved",'QA Log'!L:L,"*2. Hygiene and Sterilization*"),
COUNTIFS('QA Log'!D:D,A156,'QA Log'!M:M,"QQC",'QA Log'!Z:Z,"Approved",'QA Log'!L:L,"*4. Family Planning*")
))</f>
        <v/>
      </c>
      <c r="W156" s="105" t="str">
        <f>IF(A156&lt;&gt;"",COUNTIFS('QA Log'!D:D,A156,'QA Log'!M:M,"QQC",'QA Log'!L:L,"8. Maternity",'QA Log'!Z:Z,"Approved"),"")</f>
        <v/>
      </c>
      <c r="X156" s="105" t="str">
        <f>IF(A156&lt;&gt;"",COUNTIFS('QA Log'!D:D,A156,'QA Log'!M:M,"QQC",'QA Log'!L:L,"9. EPI and Pre-school Consultation",'QA Log'!Z:Z,"Approved"),"")</f>
        <v/>
      </c>
      <c r="Y156" s="105" t="str">
        <f>IF(A156&lt;&gt;"",COUNTIFS('QA Log'!D:D,A156,'QA Log'!M:M,"QQC",'QA Log'!L:L,"10. Antenatal Care (ANC)",'QA Log'!Z:Z,"Approved"),"")</f>
        <v/>
      </c>
      <c r="Z156" s="105" t="str">
        <f>IF(A156&lt;&gt;"",COUNTIFS('QA Log'!D:D,A156,'QA Log'!M:M,"QQC",'QA Log'!L:L,"2. Hygiene and Sterilization",'QA Log'!Z:Z,"Approved"),"")</f>
        <v/>
      </c>
      <c r="AA156" s="105" t="str">
        <f>IF(A156&lt;&gt;"",COUNTIFS('QA Log'!D:D,A156,'QA Log'!M:M,"QQC",'QA Log'!L:L,"4. Family Planning",'QA Log'!Z:Z,"Approved"),"")</f>
        <v/>
      </c>
      <c r="AB156" s="102" t="str">
        <f>IF(A156="","",
SUM(
COUNTIFS('QA Log'!D:D,A156,'QA Log'!M:M,"QQC",'QA Log'!Z:Z,"Rejected",'QA Log'!L:L,"*8. Maternity*"),
COUNTIFS('QA Log'!D:D,A156,'QA Log'!M:M,"QQC",'QA Log'!Z:Z,"Rejected",'QA Log'!L:L,"*9. EPI and Pre-school Consultation*"),
COUNTIFS('QA Log'!D:D,A156,'QA Log'!M:M,"QQC",'QA Log'!Z:Z,"Rejected",'QA Log'!L:L,"*10. Antenatal Care (ANC)*"),
COUNTIFS('QA Log'!D:D,A156,'QA Log'!M:M,"QQC",'QA Log'!Z:Z,"Rejected",'QA Log'!L:L,"*2. Hygiene and Sterilization*"),
COUNTIFS('QA Log'!D:D,A156,'QA Log'!M:M,"QQC",'QA Log'!Z:Z,"Rejected",'QA Log'!L:L,"*4. Family Planning*")
))</f>
        <v/>
      </c>
      <c r="AC156" s="102" t="str">
        <f t="shared" si="3"/>
        <v/>
      </c>
      <c r="AD156" s="103" t="str">
        <f t="shared" si="4"/>
        <v/>
      </c>
      <c r="AE156" s="102" t="str">
        <f>IF(A156="","",
SUM(
COUNTIFS('QA Log'!D:D,A156,'QA Log'!M:M,"Data Verification",'QA Log'!L:L,"*Medicine (section 2)*"),
COUNTIFS('QA Log'!D:D,A156,'QA Log'!M:M,"Data Verification",'QA Log'!L:L,"*Lab Testing Availability*"),
COUNTIFS('QA Log'!D:D,A156,'QA Log'!M:M,"Data Verification",'QA Log'!L:L,"*Other than P4P (section 6)*"),
COUNTIFS('QA Log'!D:D,A156,'QA Log'!M:M,"Data Verification",'QA Log'!L:L,"*Hospital Governance*")
))</f>
        <v/>
      </c>
      <c r="AF156" s="102" t="str">
        <f>IF(A156="","",
SUM(
COUNTIFS('QA Log'!D:D,A156,'QA Log'!M:M,"Data Verification",'QA Log'!Z:Z,"Approved",'QA Log'!L:L,"*Medicine (section 2)*"),
COUNTIFS('QA Log'!D:D,A156,'QA Log'!M:M,"Data Verification",'QA Log'!Z:Z,"Approved",'QA Log'!L:L,"*Lab Testing Availability*"),
COUNTIFS('QA Log'!D:D,A156,'QA Log'!M:M,"Data Verification",'QA Log'!Z:Z,"Approved",'QA Log'!L:L,"*Other than P4P (section 6)*"),
COUNTIFS('QA Log'!D:D,A156,'QA Log'!M:M,"Data Verification",'QA Log'!Z:Z,"Approved",'QA Log'!L:L,"*Hospital Governance*")
))</f>
        <v/>
      </c>
      <c r="AG156" s="105" t="str">
        <f>IF(A156&lt;&gt;"",COUNTIFS('QA Log'!D:D,A156,'QA Log'!M:M,"Data Verification",'QA Log'!L:L,"Medicine (section 2)",'QA Log'!Z:Z,"Approved"),"")</f>
        <v/>
      </c>
      <c r="AH156" s="105" t="str">
        <f>IF(A156&lt;&gt;"",COUNTIFS('QA Log'!D:D,A156,'QA Log'!M:M,"Data Verification",'QA Log'!L:L,"Lab Testing Availability",'QA Log'!Z:Z,"Approved"),"")</f>
        <v/>
      </c>
      <c r="AI156" s="105" t="str">
        <f>IF(A156&lt;&gt;"",COUNTIFS('QA Log'!D:D,A156,'QA Log'!M:M,"Data Verification",'QA Log'!L:L,"Other than P4P (section 6)",'QA Log'!Z:Z,"Approved"),"")</f>
        <v/>
      </c>
      <c r="AJ156" s="105" t="str">
        <f>IF(A156&lt;&gt;"",COUNTIFS('QA Log'!D:D,A156,'QA Log'!M:M,"Data Verification",'QA Log'!L:L,"Hospital Governance",'QA Log'!Z:Z,"Approved"),"")</f>
        <v/>
      </c>
      <c r="AK156" s="102" t="str">
        <f>IF(A156="","",
SUM(
COUNTIFS('QA Log'!D:D,A156,'QA Log'!M:M,"Data Verification",'QA Log'!Z:Z,"Rejected",'QA Log'!L:L,"*Medicine (section 2)*"),
COUNTIFS('QA Log'!D:D,A156,'QA Log'!M:M,"Data Verification",'QA Log'!Z:Z,"Rejected",'QA Log'!L:L,"*Lab Testing Availability*"),
COUNTIFS('QA Log'!D:D,A156,'QA Log'!M:M,"Data Verification",'QA Log'!Z:Z,"Rejected",'QA Log'!L:L,"*Other than P4P (section 6)*"),
COUNTIFS('QA Log'!D:D,A156,'QA Log'!M:M,"Data Verification",'QA Log'!Z:Z,"Rejected",'QA Log'!L:L,"*Hospital Governance*")
))</f>
        <v/>
      </c>
      <c r="AL156" s="106" t="str">
        <f t="shared" si="5"/>
        <v/>
      </c>
      <c r="AM156" s="102" t="str">
        <f t="shared" si="6"/>
        <v/>
      </c>
      <c r="AN156" s="102" t="str">
        <f>IF(A156="","",
SUM(
COUNTIFS('QA Log'!D:D,A156,'QA Log'!M:M,"Data Verification",'QA Log'!L:L,"*Personnel (section 1)*"),
COUNTIFS('QA Log'!D:D,A156,'QA Log'!M:M,"Data Verification",'QA Log'!L:L,"*Consumable (section 3)*"),
COUNTIFS('QA Log'!D:D,A156,'QA Log'!M:M,"Data Verification",'QA Log'!L:L,"*Equipments (section 4)*")
))</f>
        <v/>
      </c>
      <c r="AO156" s="102" t="str">
        <f>IF(A156="","",
SUM(
COUNTIFS('QA Log'!D:D,A156,'QA Log'!M:M,"Data Verification",'QA Log'!Z:Z,"Approved",'QA Log'!L:L,"*Personnel (section 1)*"),
COUNTIFS('QA Log'!D:D,A156,'QA Log'!M:M,"Data Verification",'QA Log'!Z:Z,"Approved",'QA Log'!L:L,"*Consumable (section 3)*"),
COUNTIFS('QA Log'!D:D,A156,'QA Log'!M:M,"Data Verification",'QA Log'!Z:Z,"Approved",'QA Log'!L:L,"*Equipments (section 4)*")
))</f>
        <v/>
      </c>
      <c r="AP156" s="105" t="str">
        <f>IF(A156&lt;&gt;"",COUNTIFS('QA Log'!D:D,A156,'QA Log'!M:M,"Data Verification",'QA Log'!L:L,"Personnel (section 1)",'QA Log'!Z:Z,"Approved"),"")</f>
        <v/>
      </c>
      <c r="AQ156" s="105" t="str">
        <f>IF(A156&lt;&gt;"",COUNTIFS('QA Log'!D:D,A156,'QA Log'!M:M,"Data Verification",'QA Log'!L:L,"Consumable (section 3)",'QA Log'!Z:Z,"Approved"),"")</f>
        <v/>
      </c>
      <c r="AR156" s="105" t="str">
        <f>IF(A156&lt;&gt;"",COUNTIFS('QA Log'!D:D,A156,'QA Log'!M:M,"Data Verification",'QA Log'!L:L,"Equipments (section 4)",'QA Log'!Z:Z,"Approved"),"")</f>
        <v/>
      </c>
      <c r="AS156" s="102" t="str">
        <f>IF(A156="","",
SUM(
COUNTIFS('QA Log'!D:D,A156,'QA Log'!M:M,"Data Verification",'QA Log'!Z:Z,"Rejected",'QA Log'!L:L,"*Personnel (section 1)*"),
COUNTIFS('QA Log'!D:D,A156,'QA Log'!M:M,"Data Verification",'QA Log'!Z:Z,"Rejected",'QA Log'!L:L,"*Consumable (section 3)*"),
COUNTIFS('QA Log'!D:D,A156,'QA Log'!M:M,"Data Verification",'QA Log'!Z:Z,"Rejected",'QA Log'!L:L,"*Equipments (section 4)*")
))</f>
        <v/>
      </c>
      <c r="AT156" s="102" t="str">
        <f t="shared" si="7"/>
        <v/>
      </c>
      <c r="AU156" s="103" t="str">
        <f t="shared" si="8"/>
        <v/>
      </c>
      <c r="AV156" s="102" t="str">
        <f>IF(A156="","",SUM(
COUNTIFS('QA Log'!D:D,A156,'QA Log'!M:M,"Vignette",'QA Log'!L:L,"*Vignette [1] Respiratory Infection: Pneumonia*"),
COUNTIFS('QA Log'!D:D,A156,'QA Log'!M:M,"Vignette",'QA Log'!L:L,"*Vignette [2]: Diarrhea with Cat B dehydration*"),
COUNTIFS('QA Log'!D:D,A156,'QA Log'!M:M,"Vignette",'QA Log'!L:L,"*Vignette [3] Growth Monitoring and Promotion*"),
COUNTIFS('QA Log'!D:D,A156,'QA Log'!M:M,"Vignette",'QA Log'!L:L,"*Vignette [4]: The management of presumptive TB patient*")
)
)</f>
        <v/>
      </c>
      <c r="AW156" s="102" t="str">
        <f>IF(
  A156="","",
  SUM(
    COUNTIFS('QA Log'!D:D,A156,'QA Log'!M:M,"Vignette",'QA Log'!Z:Z,"Approved",'QA Log'!L:L,"*Vignette [1] Respiratory Infection: Pneumonia*"),
    COUNTIFS('QA Log'!D:D,A156,'QA Log'!M:M,"Vignette",'QA Log'!Z:Z,"Approved",'QA Log'!L:L,"*Vignette [2]: Diarrhea with Cat B dehydration*"),
    COUNTIFS('QA Log'!D:D,A156,'QA Log'!M:M,"Vignette",'QA Log'!Z:Z,"Approved",'QA Log'!L:L,"*Vignette [3] Growth Monitoring and Promotion*"),
    COUNTIFS('QA Log'!D:D,A156,'QA Log'!M:M,"Vignette",'QA Log'!Z:Z,"Approved",'QA Log'!L:L,"*Vignette [4]: The management of presumptive TB patient*")
  )
)</f>
        <v/>
      </c>
      <c r="AX156" s="105" t="str">
        <f>IF(A156&lt;&gt;"",COUNTIFS('QA Log'!D:D,A156,'QA Log'!M:M,"Vignette",'QA Log'!L:L,"Vignette [1] Respiratory Infection: Pneumonia",'QA Log'!Z:Z,"Approved"),"")</f>
        <v/>
      </c>
      <c r="AY156" s="105" t="str">
        <f>IF(A156&lt;&gt;"",COUNTIFS('QA Log'!D:D,A156,'QA Log'!M:M,"Vignette",'QA Log'!L:L,"Vignette [2]: Diarrhea with Cat B dehydration",'QA Log'!Z:Z,"Approved"),"")</f>
        <v/>
      </c>
      <c r="AZ156" s="105" t="str">
        <f>IF(A156&lt;&gt;"",COUNTIFS('QA Log'!D:D,A156,'QA Log'!M:M,"Vignette",'QA Log'!L:L,"Vignette [3] Growth Monitoring and Promotion",'QA Log'!Z:Z,"Approved"),"")</f>
        <v/>
      </c>
      <c r="BA156" s="105" t="str">
        <f>IF(A156&lt;&gt;"",COUNTIFS('QA Log'!D:D,A156,'QA Log'!M:M,"Vignette",'QA Log'!L:L,"Vignette [4]: The management of presumptive TB patient",'QA Log'!Z:Z,"Approved"),"")</f>
        <v/>
      </c>
      <c r="BB156" s="102" t="str">
        <f>IF(A156="","",
  SUM(
    COUNTIFS('QA Log'!D:D,A156,'QA Log'!M:M,"Vignette",'QA Log'!Z:Z,"Rejected",'QA Log'!L:L,"*Vignette [1] Respiratory Infection: Pneumonia*"),
    COUNTIFS('QA Log'!D:D,A156,'QA Log'!M:M,"Vignette",'QA Log'!Z:Z,"Rejected",'QA Log'!L:L,"*Vignette [2]: Diarrhea with Cat B dehydration*"),
    COUNTIFS('QA Log'!D:D,A156,'QA Log'!M:M,"Vignette",'QA Log'!Z:Z,"Rejected",'QA Log'!L:L,"*Vignette [3] Growth Monitoring and Promotion*"),
    COUNTIFS('QA Log'!D:D,A156,'QA Log'!M:M,"Vignette",'QA Log'!Z:Z,"Rejected",'QA Log'!L:L,"*Vignette [4]: The management of presumptive TB patient*")
  )
)</f>
        <v/>
      </c>
      <c r="BC156" s="107" t="str">
        <f t="shared" si="9"/>
        <v/>
      </c>
      <c r="BD156" s="103" t="str">
        <f t="shared" si="10"/>
        <v/>
      </c>
      <c r="BE156" s="102" t="str">
        <f>IF(A156="","",SUM(
COUNTIFS('QA Log'!D:D,A156,'QA Log'!M:M,"Vignette",'QA Log'!L:L,"*Vignette [5] Labor*"),
COUNTIFS('QA Log'!D:D,A156,'QA Log'!M:M,"Vignette",'QA Log'!L:L,"*Vignette [6] PNC pre Discharge*"),
COUNTIFS('QA Log'!D:D,A156,'QA Log'!M:M,"Vignette",'QA Log'!L:L,"*Vignette [7] First ANC Visit*"),
COUNTIFS('QA Log'!D:D,A156,'QA Log'!M:M,"Vignette",'QA Log'!L:L,"*Vignette [8] Birth Spacing/ Family Planning :  FP Counselling*"),
COUNTIFS('QA Log'!D:D,A156,'QA Log'!M:M,"Vignette",'QA Log'!L:L,"*Vignette [9] Birth Spacing: Change FP method to Injectable*"),
COUNTIFS('QA Log'!D:D,A156,'QA Log'!M:M,"Vignette",'QA Log'!L:L,"*Vignette [10] Post Partum Haemorrhage - Atonic Uterus at Health Centre*"),
)
)</f>
        <v/>
      </c>
      <c r="BF156" s="102" t="str">
        <f>IF(A156="","",
  SUM(
    COUNTIFS('QA Log'!D:D,A156,'QA Log'!M:M,"Vignette",'QA Log'!Z:Z,"Approved",'QA Log'!L:L,"*Vignette [5] Labor*"),
    COUNTIFS('QA Log'!D:D,A156,'QA Log'!M:M,"Vignette",'QA Log'!Z:Z,"Approved",'QA Log'!L:L,"*Vignette [6] PNC pre Discharge*"),
    COUNTIFS('QA Log'!D:D,A156,'QA Log'!M:M,"Vignette",'QA Log'!Z:Z,"Approved",'QA Log'!L:L,"*Vignette [7] First ANC Visit*"),
    COUNTIFS('QA Log'!D:D,A156,'QA Log'!M:M,"Vignette",'QA Log'!Z:Z,"Approved",'QA Log'!L:L,"*Vignette [8] Birth Spacing/ Family Planning :  FP Counselling*"),
    COUNTIFS('QA Log'!D:D,A156,'QA Log'!M:M,"Vignette",'QA Log'!Z:Z,"Approved",'QA Log'!L:L,"*Vignette [9] Birth Spacing: Change FP method to Injectable*"),
    COUNTIFS('QA Log'!D:D,A156,'QA Log'!M:M,"Vignette",'QA Log'!Z:Z,"Approved",'QA Log'!L:L,"*Vignette [10] Post Partum Haemorrhage - Atonic Uterus at Health Centre*")
  )
)</f>
        <v/>
      </c>
      <c r="BG156" s="105" t="str">
        <f>IF(A156&lt;&gt;"",COUNTIFS('QA Log'!D:D,A156,'QA Log'!M:M,"Vignette",'QA Log'!L:L,"Vignette [5] Labor",'QA Log'!Z:Z,"Approved"),"")</f>
        <v/>
      </c>
      <c r="BH156" s="105" t="str">
        <f>IF(A156&lt;&gt;"",COUNTIFS('QA Log'!D:D,A156,'QA Log'!M:M,"Vignette",'QA Log'!L:L,"Vignette [6] PNC pre Discharge",'QA Log'!Z:Z,"Approved"),"")</f>
        <v/>
      </c>
      <c r="BI156" s="105" t="str">
        <f>IF(A156&lt;&gt;"",COUNTIFS('QA Log'!D:D,A156,'QA Log'!M:M,"Vignette",'QA Log'!L:L,"Vignette [7] First ANC Visit",'QA Log'!Z:Z,"Approved"),"")</f>
        <v/>
      </c>
      <c r="BJ156" s="105" t="str">
        <f>IF(A156&lt;&gt;"",COUNTIFS('QA Log'!D:D,A156,'QA Log'!M:M,"Vignette",'QA Log'!L:L,"Vignette [8] Birth Spacing/ Family Planning :  FP Counselling",'QA Log'!Z:Z,"Approved"),"")</f>
        <v/>
      </c>
      <c r="BK156" s="105" t="str">
        <f>IF(A156&lt;&gt;"",COUNTIFS('QA Log'!D:D,A156,'QA Log'!M:M,"Vignette",'QA Log'!L:L,"Vignette [9] Birth Spacing: Change FP method to Injectable",'QA Log'!Z:Z,"Approved"),"")</f>
        <v/>
      </c>
      <c r="BL156" s="105" t="str">
        <f>IF(A156&lt;&gt;"",COUNTIFS('QA Log'!D:D,A156,'QA Log'!M:M,"Vignette",'QA Log'!L:L,"Vignette [10] Post Partum Haemorrhage - Atonic Uterus at Health Centre",'QA Log'!Z:Z,"Approved"),"")</f>
        <v/>
      </c>
      <c r="BM156" s="102" t="str">
        <f>IF(A156="","",SUM(
    COUNTIFS('QA Log'!D:D,A156,'QA Log'!M:M,"Vignette",'QA Log'!Z:Z,"Rejected",'QA Log'!L:L,"*Vignette [5] Labor*"),
    COUNTIFS('QA Log'!D:D,A156,'QA Log'!M:M,"Vignette",'QA Log'!Z:Z,"Rejected",'QA Log'!L:L,"*Vignette [6] PNC pre Discharge*"),
    COUNTIFS('QA Log'!D:D,A156,'QA Log'!M:M,"Vignette",'QA Log'!Z:Z,"Rejected",'QA Log'!L:L,"*Vignette [7] First ANC Visit*"),
    COUNTIFS('QA Log'!D:D,A156,'QA Log'!M:M,"Vignette",'QA Log'!Z:Z,"Rejected",'QA Log'!L:L,"*Vignette [8] Birth Spacing/ Family Planning :  FP Counselling*"),
    COUNTIFS('QA Log'!D:D,A156,'QA Log'!M:M,"Vignette",'QA Log'!Z:Z,"Rejected",'QA Log'!L:L,"*Vignette [9] Birth Spacing: Change FP method to Injectable*"),
    COUNTIFS('QA Log'!D:D,A156,'QA Log'!M:M,"Vignette",'QA Log'!Z:Z,"Rejected",'QA Log'!L:L,"*Vignette [10] Post Partum Haemorrhage - Atonic Uterus at Health Centre*")
  )
)</f>
        <v/>
      </c>
      <c r="BN156" s="107" t="str">
        <f t="shared" si="11"/>
        <v/>
      </c>
      <c r="BO156" s="103" t="str">
        <f t="shared" si="12"/>
        <v/>
      </c>
      <c r="BP156" s="102" t="str">
        <f>IF(A156="","",SUM(
COUNTIFS('QA Log'!D:D,A156,'QA Log'!M:M,"Vignette",'QA Log'!L:L,"*Exit Interview 1*"),
COUNTIFS('QA Log'!D:D,A156,'QA Log'!M:M,"Vignette",'QA Log'!L:L,"*Exit Interview 2*"),
)
)</f>
        <v/>
      </c>
      <c r="BQ156" s="102" t="str">
        <f>IF(
  A156="","",
  SUM(
    COUNTIFS('QA Log'!D:D,A156,'QA Log'!M:M,"Vignette",'QA Log'!Z:Z,"Approved",'QA Log'!L:L,"*Exit Interview 1*"),
    COUNTIFS('QA Log'!D:D,A156,'QA Log'!M:M,"Vignette",'QA Log'!Z:Z,"Approved",'QA Log'!L:L,"*Exit Interview 2*")
  )
)</f>
        <v/>
      </c>
      <c r="BR156" s="105" t="str">
        <f>IF(A156&lt;&gt;"",COUNTIFS('QA Log'!D:D,A156,'QA Log'!M:M,"Vignette",'QA Log'!L:L,"Exit Interview 1",'QA Log'!Z:Z,"Approved"),"")</f>
        <v/>
      </c>
      <c r="BS156" s="105" t="str">
        <f>IF(A156&lt;&gt;"",COUNTIFS('QA Log'!D:D,A156,'QA Log'!M:M,"Vignette",'QA Log'!L:L,"Exit Interview 2",'QA Log'!Z:Z,"Approved"),"")</f>
        <v/>
      </c>
      <c r="BT156" s="102" t="str">
        <f>IF(
  A156="","",
  SUM(
    COUNTIFS('QA Log'!D:D,A156,'QA Log'!M:M,"Vignette",'QA Log'!Z:Z,"Rejected",'QA Log'!L:L,"*Exit Interview 1*"),
    COUNTIFS('QA Log'!D:D,A156,'QA Log'!M:M,"Vignette",'QA Log'!Z:Z,"Rejected",'QA Log'!L:L,"*Exit Interview 2*")
  )
)</f>
        <v/>
      </c>
      <c r="BU156" s="107" t="str">
        <f t="shared" si="13"/>
        <v/>
      </c>
      <c r="BV156" s="102" t="str">
        <f t="shared" si="14"/>
        <v/>
      </c>
      <c r="BW156" s="102" t="str">
        <f t="shared" si="15"/>
        <v/>
      </c>
      <c r="BX156" s="102" t="str">
        <f t="shared" si="16"/>
        <v/>
      </c>
      <c r="BY156" s="102" t="str">
        <f t="shared" si="17"/>
        <v/>
      </c>
      <c r="BZ156" s="107" t="str">
        <f t="shared" si="18"/>
        <v/>
      </c>
      <c r="CA156" s="108" t="str">
        <f t="shared" si="19"/>
        <v/>
      </c>
      <c r="CB156" s="108" t="str">
        <f t="shared" si="20"/>
        <v/>
      </c>
      <c r="CC156" s="109" t="str">
        <f t="shared" si="21"/>
        <v/>
      </c>
      <c r="CD156" s="108" t="str">
        <f t="shared" si="22"/>
        <v/>
      </c>
      <c r="CE156" s="108" t="str">
        <f t="shared" si="23"/>
        <v/>
      </c>
      <c r="CF156" s="109" t="str">
        <f t="shared" si="24"/>
        <v/>
      </c>
      <c r="CG156" s="110" t="str">
        <f t="shared" si="25"/>
        <v/>
      </c>
      <c r="CH156" s="111"/>
    </row>
    <row r="157" spans="1:86" ht="12.75">
      <c r="A157" s="101"/>
      <c r="B157" s="102" t="e">
        <f t="array" aca="1" ref="B157" ca="1">_xludf.XLOOKUP(A157,'QA Log'!D:D,'QA Log'!E:E,"")</f>
        <v>#NAME?</v>
      </c>
      <c r="C157" s="102" t="e">
        <f t="array" aca="1" ref="C157" ca="1">_xludf.XLOOKUP(A157,'QA Log'!D:D,'QA Log'!F:F,"")</f>
        <v>#NAME?</v>
      </c>
      <c r="D157" s="102" t="e">
        <f t="array" aca="1" ref="D157" ca="1">_xludf.XLOOKUP(A157,'QA Log'!D:D,'QA Log'!H:H,"")</f>
        <v>#NAME?</v>
      </c>
      <c r="E157" s="102" t="e">
        <f t="array" aca="1" ref="E157" ca="1">_xludf.XLOOKUP(A157,'QA Log'!D:D,'QA Log'!G:G,"")</f>
        <v>#NAME?</v>
      </c>
      <c r="F157" s="103"/>
      <c r="G157" s="104"/>
      <c r="H157" s="104"/>
      <c r="I157" s="103" t="str">
        <f t="shared" si="0"/>
        <v/>
      </c>
      <c r="J157" s="102" t="str">
        <f>IF(A157="","",SUM(
COUNTIFS('QA Log'!D:D,A157,'QA Log'!M:M,"QQC",'QA Log'!L:L,"*1. General Management*"),
COUNTIFS('QA Log'!D:D,A157,'QA Log'!M:M,"QQC",'QA Log'!L:L,"*3. Curative Consultation (OPD)*"),
COUNTIFS('QA Log'!D:D,A157,'QA Log'!M:M,"QQC",'QA Log'!L:L,"*5. Laboratory*"),
COUNTIFS('QA Log'!D:D,A157,'QA Log'!M:M,"QQC",'QA Log'!L:L,"*6. Essential Medicine Management*"),
COUNTIFS('QA Log'!D:D,A157,'QA Log'!M:M,"QQC",'QA Log'!L:L,"*7. Tracer Medicine*"),
COUNTIFS('QA Log'!D:D,A157,'QA Log'!M:M,"QQC",'QA Log'!L:L,"*11. Additional Questions*")))</f>
        <v/>
      </c>
      <c r="K157" s="102" t="str">
        <f>IF(A157="","",SUM(
COUNTIFS('QA Log'!D:D,A157,'QA Log'!M:M,"QQC",'QA Log'!Z:Z,"Approved",'QA Log'!L:L,"*1. General Management*"),
COUNTIFS('QA Log'!D:D,A157,'QA Log'!M:M,"QQC",'QA Log'!Z:Z,"Approved",'QA Log'!L:L,"*3. Curative Consultation (OPD)*"),
COUNTIFS('QA Log'!D:D,A157,'QA Log'!M:M,"QQC",'QA Log'!Z:Z,"Approved",'QA Log'!L:L,"*5. Laboratory*"),
COUNTIFS('QA Log'!D:D,A157,'QA Log'!M:M,"QQC",'QA Log'!Z:Z,"Approved",'QA Log'!L:L,"*6. Essential Medicine Management*"),
COUNTIFS('QA Log'!D:D,A157,'QA Log'!M:M,"QQC",'QA Log'!Z:Z,"Approved",'QA Log'!L:L,"*7. Tracer Medicine*"),
COUNTIFS('QA Log'!D:D,A157,'QA Log'!M:M,"QQC",'QA Log'!Z:Z,"Approved",'QA Log'!L:L,"*11. Additional Questions*")))</f>
        <v/>
      </c>
      <c r="L157" s="105" t="str">
        <f>IF(A157&lt;&gt;"",COUNTIFS('QA Log'!D:D,A157,'QA Log'!M:M,"QQC",'QA Log'!L:L,"1. General Management",'QA Log'!Z:Z,"Approved"),"")</f>
        <v/>
      </c>
      <c r="M157" s="105" t="str">
        <f>IF(A157&lt;&gt;"",COUNTIFS('QA Log'!D:D,A157,'QA Log'!M:M,"QQC",'QA Log'!L:L,"3. Curative Consultation (OPD)",'QA Log'!Z:Z,"Approved"),"")</f>
        <v/>
      </c>
      <c r="N157" s="105" t="str">
        <f>IF(A157&lt;&gt;"",COUNTIFS('QA Log'!D:D,A157,'QA Log'!M:M,"QQC",'QA Log'!L:L,"5. Laboratory",'QA Log'!Z:Z,"Approved"),"")</f>
        <v/>
      </c>
      <c r="O157" s="105" t="str">
        <f>IF(A157&lt;&gt;"",COUNTIFS('QA Log'!D:D,A157,'QA Log'!M:M,"QQC",'QA Log'!L:L,"6. Essential Medicine Management",'QA Log'!Z:Z,"Approved"),"")</f>
        <v/>
      </c>
      <c r="P157" s="105" t="str">
        <f>IF(A157&lt;&gt;"",COUNTIFS('QA Log'!D:D,A157,'QA Log'!M:M,"QQC",'QA Log'!L:L,"7. Tracer Medicine",'QA Log'!Z:Z,"Approved"),"")</f>
        <v/>
      </c>
      <c r="Q157" s="105" t="str">
        <f>IF(A157&lt;&gt;"",COUNTIFS('QA Log'!D:D,A157,'QA Log'!M:M,"QQC",'QA Log'!L:L,"11. Additional Questions",'QA Log'!Z:Z,"Approved"),"")</f>
        <v/>
      </c>
      <c r="R157" s="102" t="str">
        <f>IF(A157="","",SUM(
COUNTIFS('QA Log'!D:D,A157,'QA Log'!M:M,"QQC",'QA Log'!Z:Z,"Rejected",'QA Log'!L:L,"*8. Maternity*"),
COUNTIFS('QA Log'!D:D,A157,'QA Log'!M:M,"QQC",'QA Log'!Z:Z,"Rejected",'QA Log'!L:L,"*EPI*"),
COUNTIFS('QA Log'!D:D,A157,'QA Log'!M:M,"QQC",'QA Log'!Z:Z,"Rejected",'QA Log'!L:L,"*10. Antenatal Care (ANC)*"),
COUNTIFS('QA Log'!D:D,A157,'QA Log'!M:M,"QQC",'QA Log'!Z:Z,"Rejected",'QA Log'!L:L,"*2. Hygiene and Sterilization*"),
COUNTIFS('QA Log'!D:D,A157,'QA Log'!M:M,"QQC",'QA Log'!Z:Z,"Rejected",'QA Log'!L:L,"*Family Planning*")))</f>
        <v/>
      </c>
      <c r="S157" s="106" t="str">
        <f t="shared" si="1"/>
        <v/>
      </c>
      <c r="T157" s="102" t="str">
        <f t="shared" si="2"/>
        <v/>
      </c>
      <c r="U157" s="102" t="str">
        <f>IF(A157="","",
SUM(
COUNTIFS('QA Log'!D:D,A157,'QA Log'!M:M,"QQC",'QA Log'!L:L,"*8. Maternity*"),
COUNTIFS('QA Log'!D:D,A157,'QA Log'!M:M,"QQC",'QA Log'!L:L,"*9. EPI and Pre-school Consultation*"),
COUNTIFS('QA Log'!D:D,A157,'QA Log'!M:M,"QQC",'QA Log'!L:L,"*10. Antenatal Care (ANC)*"),
COUNTIFS('QA Log'!D:D,A157,'QA Log'!M:M,"QQC",'QA Log'!L:L,"*2. Hygiene and Sterilization*"),
COUNTIFS('QA Log'!D:D,A157,'QA Log'!M:M,"QQC",'QA Log'!L:L,"*4. Family Planning*")
))</f>
        <v/>
      </c>
      <c r="V157" s="102" t="str">
        <f>IF(A157="","",
SUM(
COUNTIFS('QA Log'!D:D,A157,'QA Log'!M:M,"QQC",'QA Log'!Z:Z,"Approved",'QA Log'!L:L,"*8. Maternity*"),
COUNTIFS('QA Log'!D:D,A157,'QA Log'!M:M,"QQC",'QA Log'!Z:Z,"Approved",'QA Log'!L:L,"*9. EPI and Pre-school Consultation*"),
COUNTIFS('QA Log'!D:D,A157,'QA Log'!M:M,"QQC",'QA Log'!Z:Z,"Approved",'QA Log'!L:L,"*10. Antenatal Care (ANC)*"),
COUNTIFS('QA Log'!D:D,A157,'QA Log'!M:M,"QQC",'QA Log'!Z:Z,"Approved",'QA Log'!L:L,"*2. Hygiene and Sterilization*"),
COUNTIFS('QA Log'!D:D,A157,'QA Log'!M:M,"QQC",'QA Log'!Z:Z,"Approved",'QA Log'!L:L,"*4. Family Planning*")
))</f>
        <v/>
      </c>
      <c r="W157" s="105" t="str">
        <f>IF(A157&lt;&gt;"",COUNTIFS('QA Log'!D:D,A157,'QA Log'!M:M,"QQC",'QA Log'!L:L,"8. Maternity",'QA Log'!Z:Z,"Approved"),"")</f>
        <v/>
      </c>
      <c r="X157" s="105" t="str">
        <f>IF(A157&lt;&gt;"",COUNTIFS('QA Log'!D:D,A157,'QA Log'!M:M,"QQC",'QA Log'!L:L,"9. EPI and Pre-school Consultation",'QA Log'!Z:Z,"Approved"),"")</f>
        <v/>
      </c>
      <c r="Y157" s="105" t="str">
        <f>IF(A157&lt;&gt;"",COUNTIFS('QA Log'!D:D,A157,'QA Log'!M:M,"QQC",'QA Log'!L:L,"10. Antenatal Care (ANC)",'QA Log'!Z:Z,"Approved"),"")</f>
        <v/>
      </c>
      <c r="Z157" s="105" t="str">
        <f>IF(A157&lt;&gt;"",COUNTIFS('QA Log'!D:D,A157,'QA Log'!M:M,"QQC",'QA Log'!L:L,"2. Hygiene and Sterilization",'QA Log'!Z:Z,"Approved"),"")</f>
        <v/>
      </c>
      <c r="AA157" s="105" t="str">
        <f>IF(A157&lt;&gt;"",COUNTIFS('QA Log'!D:D,A157,'QA Log'!M:M,"QQC",'QA Log'!L:L,"4. Family Planning",'QA Log'!Z:Z,"Approved"),"")</f>
        <v/>
      </c>
      <c r="AB157" s="102" t="str">
        <f>IF(A157="","",
SUM(
COUNTIFS('QA Log'!D:D,A157,'QA Log'!M:M,"QQC",'QA Log'!Z:Z,"Rejected",'QA Log'!L:L,"*8. Maternity*"),
COUNTIFS('QA Log'!D:D,A157,'QA Log'!M:M,"QQC",'QA Log'!Z:Z,"Rejected",'QA Log'!L:L,"*9. EPI and Pre-school Consultation*"),
COUNTIFS('QA Log'!D:D,A157,'QA Log'!M:M,"QQC",'QA Log'!Z:Z,"Rejected",'QA Log'!L:L,"*10. Antenatal Care (ANC)*"),
COUNTIFS('QA Log'!D:D,A157,'QA Log'!M:M,"QQC",'QA Log'!Z:Z,"Rejected",'QA Log'!L:L,"*2. Hygiene and Sterilization*"),
COUNTIFS('QA Log'!D:D,A157,'QA Log'!M:M,"QQC",'QA Log'!Z:Z,"Rejected",'QA Log'!L:L,"*4. Family Planning*")
))</f>
        <v/>
      </c>
      <c r="AC157" s="102" t="str">
        <f t="shared" si="3"/>
        <v/>
      </c>
      <c r="AD157" s="103" t="str">
        <f t="shared" si="4"/>
        <v/>
      </c>
      <c r="AE157" s="102" t="str">
        <f>IF(A157="","",
SUM(
COUNTIFS('QA Log'!D:D,A157,'QA Log'!M:M,"Data Verification",'QA Log'!L:L,"*Medicine (section 2)*"),
COUNTIFS('QA Log'!D:D,A157,'QA Log'!M:M,"Data Verification",'QA Log'!L:L,"*Lab Testing Availability*"),
COUNTIFS('QA Log'!D:D,A157,'QA Log'!M:M,"Data Verification",'QA Log'!L:L,"*Other than P4P (section 6)*"),
COUNTIFS('QA Log'!D:D,A157,'QA Log'!M:M,"Data Verification",'QA Log'!L:L,"*Hospital Governance*")
))</f>
        <v/>
      </c>
      <c r="AF157" s="102" t="str">
        <f>IF(A157="","",
SUM(
COUNTIFS('QA Log'!D:D,A157,'QA Log'!M:M,"Data Verification",'QA Log'!Z:Z,"Approved",'QA Log'!L:L,"*Medicine (section 2)*"),
COUNTIFS('QA Log'!D:D,A157,'QA Log'!M:M,"Data Verification",'QA Log'!Z:Z,"Approved",'QA Log'!L:L,"*Lab Testing Availability*"),
COUNTIFS('QA Log'!D:D,A157,'QA Log'!M:M,"Data Verification",'QA Log'!Z:Z,"Approved",'QA Log'!L:L,"*Other than P4P (section 6)*"),
COUNTIFS('QA Log'!D:D,A157,'QA Log'!M:M,"Data Verification",'QA Log'!Z:Z,"Approved",'QA Log'!L:L,"*Hospital Governance*")
))</f>
        <v/>
      </c>
      <c r="AG157" s="105" t="str">
        <f>IF(A157&lt;&gt;"",COUNTIFS('QA Log'!D:D,A157,'QA Log'!M:M,"Data Verification",'QA Log'!L:L,"Medicine (section 2)",'QA Log'!Z:Z,"Approved"),"")</f>
        <v/>
      </c>
      <c r="AH157" s="105" t="str">
        <f>IF(A157&lt;&gt;"",COUNTIFS('QA Log'!D:D,A157,'QA Log'!M:M,"Data Verification",'QA Log'!L:L,"Lab Testing Availability",'QA Log'!Z:Z,"Approved"),"")</f>
        <v/>
      </c>
      <c r="AI157" s="105" t="str">
        <f>IF(A157&lt;&gt;"",COUNTIFS('QA Log'!D:D,A157,'QA Log'!M:M,"Data Verification",'QA Log'!L:L,"Other than P4P (section 6)",'QA Log'!Z:Z,"Approved"),"")</f>
        <v/>
      </c>
      <c r="AJ157" s="105" t="str">
        <f>IF(A157&lt;&gt;"",COUNTIFS('QA Log'!D:D,A157,'QA Log'!M:M,"Data Verification",'QA Log'!L:L,"Hospital Governance",'QA Log'!Z:Z,"Approved"),"")</f>
        <v/>
      </c>
      <c r="AK157" s="102" t="str">
        <f>IF(A157="","",
SUM(
COUNTIFS('QA Log'!D:D,A157,'QA Log'!M:M,"Data Verification",'QA Log'!Z:Z,"Rejected",'QA Log'!L:L,"*Medicine (section 2)*"),
COUNTIFS('QA Log'!D:D,A157,'QA Log'!M:M,"Data Verification",'QA Log'!Z:Z,"Rejected",'QA Log'!L:L,"*Lab Testing Availability*"),
COUNTIFS('QA Log'!D:D,A157,'QA Log'!M:M,"Data Verification",'QA Log'!Z:Z,"Rejected",'QA Log'!L:L,"*Other than P4P (section 6)*"),
COUNTIFS('QA Log'!D:D,A157,'QA Log'!M:M,"Data Verification",'QA Log'!Z:Z,"Rejected",'QA Log'!L:L,"*Hospital Governance*")
))</f>
        <v/>
      </c>
      <c r="AL157" s="106" t="str">
        <f t="shared" si="5"/>
        <v/>
      </c>
      <c r="AM157" s="102" t="str">
        <f t="shared" si="6"/>
        <v/>
      </c>
      <c r="AN157" s="102" t="str">
        <f>IF(A157="","",
SUM(
COUNTIFS('QA Log'!D:D,A157,'QA Log'!M:M,"Data Verification",'QA Log'!L:L,"*Personnel (section 1)*"),
COUNTIFS('QA Log'!D:D,A157,'QA Log'!M:M,"Data Verification",'QA Log'!L:L,"*Consumable (section 3)*"),
COUNTIFS('QA Log'!D:D,A157,'QA Log'!M:M,"Data Verification",'QA Log'!L:L,"*Equipments (section 4)*")
))</f>
        <v/>
      </c>
      <c r="AO157" s="102" t="str">
        <f>IF(A157="","",
SUM(
COUNTIFS('QA Log'!D:D,A157,'QA Log'!M:M,"Data Verification",'QA Log'!Z:Z,"Approved",'QA Log'!L:L,"*Personnel (section 1)*"),
COUNTIFS('QA Log'!D:D,A157,'QA Log'!M:M,"Data Verification",'QA Log'!Z:Z,"Approved",'QA Log'!L:L,"*Consumable (section 3)*"),
COUNTIFS('QA Log'!D:D,A157,'QA Log'!M:M,"Data Verification",'QA Log'!Z:Z,"Approved",'QA Log'!L:L,"*Equipments (section 4)*")
))</f>
        <v/>
      </c>
      <c r="AP157" s="105" t="str">
        <f>IF(A157&lt;&gt;"",COUNTIFS('QA Log'!D:D,A157,'QA Log'!M:M,"Data Verification",'QA Log'!L:L,"Personnel (section 1)",'QA Log'!Z:Z,"Approved"),"")</f>
        <v/>
      </c>
      <c r="AQ157" s="105" t="str">
        <f>IF(A157&lt;&gt;"",COUNTIFS('QA Log'!D:D,A157,'QA Log'!M:M,"Data Verification",'QA Log'!L:L,"Consumable (section 3)",'QA Log'!Z:Z,"Approved"),"")</f>
        <v/>
      </c>
      <c r="AR157" s="105" t="str">
        <f>IF(A157&lt;&gt;"",COUNTIFS('QA Log'!D:D,A157,'QA Log'!M:M,"Data Verification",'QA Log'!L:L,"Equipments (section 4)",'QA Log'!Z:Z,"Approved"),"")</f>
        <v/>
      </c>
      <c r="AS157" s="102" t="str">
        <f>IF(A157="","",
SUM(
COUNTIFS('QA Log'!D:D,A157,'QA Log'!M:M,"Data Verification",'QA Log'!Z:Z,"Rejected",'QA Log'!L:L,"*Personnel (section 1)*"),
COUNTIFS('QA Log'!D:D,A157,'QA Log'!M:M,"Data Verification",'QA Log'!Z:Z,"Rejected",'QA Log'!L:L,"*Consumable (section 3)*"),
COUNTIFS('QA Log'!D:D,A157,'QA Log'!M:M,"Data Verification",'QA Log'!Z:Z,"Rejected",'QA Log'!L:L,"*Equipments (section 4)*")
))</f>
        <v/>
      </c>
      <c r="AT157" s="102" t="str">
        <f t="shared" si="7"/>
        <v/>
      </c>
      <c r="AU157" s="103" t="str">
        <f t="shared" si="8"/>
        <v/>
      </c>
      <c r="AV157" s="102" t="str">
        <f>IF(A157="","",SUM(
COUNTIFS('QA Log'!D:D,A157,'QA Log'!M:M,"Vignette",'QA Log'!L:L,"*Vignette [1] Respiratory Infection: Pneumonia*"),
COUNTIFS('QA Log'!D:D,A157,'QA Log'!M:M,"Vignette",'QA Log'!L:L,"*Vignette [2]: Diarrhea with Cat B dehydration*"),
COUNTIFS('QA Log'!D:D,A157,'QA Log'!M:M,"Vignette",'QA Log'!L:L,"*Vignette [3] Growth Monitoring and Promotion*"),
COUNTIFS('QA Log'!D:D,A157,'QA Log'!M:M,"Vignette",'QA Log'!L:L,"*Vignette [4]: The management of presumptive TB patient*")
)
)</f>
        <v/>
      </c>
      <c r="AW157" s="102" t="str">
        <f>IF(
  A157="","",
  SUM(
    COUNTIFS('QA Log'!D:D,A157,'QA Log'!M:M,"Vignette",'QA Log'!Z:Z,"Approved",'QA Log'!L:L,"*Vignette [1] Respiratory Infection: Pneumonia*"),
    COUNTIFS('QA Log'!D:D,A157,'QA Log'!M:M,"Vignette",'QA Log'!Z:Z,"Approved",'QA Log'!L:L,"*Vignette [2]: Diarrhea with Cat B dehydration*"),
    COUNTIFS('QA Log'!D:D,A157,'QA Log'!M:M,"Vignette",'QA Log'!Z:Z,"Approved",'QA Log'!L:L,"*Vignette [3] Growth Monitoring and Promotion*"),
    COUNTIFS('QA Log'!D:D,A157,'QA Log'!M:M,"Vignette",'QA Log'!Z:Z,"Approved",'QA Log'!L:L,"*Vignette [4]: The management of presumptive TB patient*")
  )
)</f>
        <v/>
      </c>
      <c r="AX157" s="105" t="str">
        <f>IF(A157&lt;&gt;"",COUNTIFS('QA Log'!D:D,A157,'QA Log'!M:M,"Vignette",'QA Log'!L:L,"Vignette [1] Respiratory Infection: Pneumonia",'QA Log'!Z:Z,"Approved"),"")</f>
        <v/>
      </c>
      <c r="AY157" s="105" t="str">
        <f>IF(A157&lt;&gt;"",COUNTIFS('QA Log'!D:D,A157,'QA Log'!M:M,"Vignette",'QA Log'!L:L,"Vignette [2]: Diarrhea with Cat B dehydration",'QA Log'!Z:Z,"Approved"),"")</f>
        <v/>
      </c>
      <c r="AZ157" s="105" t="str">
        <f>IF(A157&lt;&gt;"",COUNTIFS('QA Log'!D:D,A157,'QA Log'!M:M,"Vignette",'QA Log'!L:L,"Vignette [3] Growth Monitoring and Promotion",'QA Log'!Z:Z,"Approved"),"")</f>
        <v/>
      </c>
      <c r="BA157" s="105" t="str">
        <f>IF(A157&lt;&gt;"",COUNTIFS('QA Log'!D:D,A157,'QA Log'!M:M,"Vignette",'QA Log'!L:L,"Vignette [4]: The management of presumptive TB patient",'QA Log'!Z:Z,"Approved"),"")</f>
        <v/>
      </c>
      <c r="BB157" s="102" t="str">
        <f>IF(A157="","",
  SUM(
    COUNTIFS('QA Log'!D:D,A157,'QA Log'!M:M,"Vignette",'QA Log'!Z:Z,"Rejected",'QA Log'!L:L,"*Vignette [1] Respiratory Infection: Pneumonia*"),
    COUNTIFS('QA Log'!D:D,A157,'QA Log'!M:M,"Vignette",'QA Log'!Z:Z,"Rejected",'QA Log'!L:L,"*Vignette [2]: Diarrhea with Cat B dehydration*"),
    COUNTIFS('QA Log'!D:D,A157,'QA Log'!M:M,"Vignette",'QA Log'!Z:Z,"Rejected",'QA Log'!L:L,"*Vignette [3] Growth Monitoring and Promotion*"),
    COUNTIFS('QA Log'!D:D,A157,'QA Log'!M:M,"Vignette",'QA Log'!Z:Z,"Rejected",'QA Log'!L:L,"*Vignette [4]: The management of presumptive TB patient*")
  )
)</f>
        <v/>
      </c>
      <c r="BC157" s="107" t="str">
        <f t="shared" si="9"/>
        <v/>
      </c>
      <c r="BD157" s="103" t="str">
        <f t="shared" si="10"/>
        <v/>
      </c>
      <c r="BE157" s="102" t="str">
        <f>IF(A157="","",SUM(
COUNTIFS('QA Log'!D:D,A157,'QA Log'!M:M,"Vignette",'QA Log'!L:L,"*Vignette [5] Labor*"),
COUNTIFS('QA Log'!D:D,A157,'QA Log'!M:M,"Vignette",'QA Log'!L:L,"*Vignette [6] PNC pre Discharge*"),
COUNTIFS('QA Log'!D:D,A157,'QA Log'!M:M,"Vignette",'QA Log'!L:L,"*Vignette [7] First ANC Visit*"),
COUNTIFS('QA Log'!D:D,A157,'QA Log'!M:M,"Vignette",'QA Log'!L:L,"*Vignette [8] Birth Spacing/ Family Planning :  FP Counselling*"),
COUNTIFS('QA Log'!D:D,A157,'QA Log'!M:M,"Vignette",'QA Log'!L:L,"*Vignette [9] Birth Spacing: Change FP method to Injectable*"),
COUNTIFS('QA Log'!D:D,A157,'QA Log'!M:M,"Vignette",'QA Log'!L:L,"*Vignette [10] Post Partum Haemorrhage - Atonic Uterus at Health Centre*"),
)
)</f>
        <v/>
      </c>
      <c r="BF157" s="102" t="str">
        <f>IF(A157="","",
  SUM(
    COUNTIFS('QA Log'!D:D,A157,'QA Log'!M:M,"Vignette",'QA Log'!Z:Z,"Approved",'QA Log'!L:L,"*Vignette [5] Labor*"),
    COUNTIFS('QA Log'!D:D,A157,'QA Log'!M:M,"Vignette",'QA Log'!Z:Z,"Approved",'QA Log'!L:L,"*Vignette [6] PNC pre Discharge*"),
    COUNTIFS('QA Log'!D:D,A157,'QA Log'!M:M,"Vignette",'QA Log'!Z:Z,"Approved",'QA Log'!L:L,"*Vignette [7] First ANC Visit*"),
    COUNTIFS('QA Log'!D:D,A157,'QA Log'!M:M,"Vignette",'QA Log'!Z:Z,"Approved",'QA Log'!L:L,"*Vignette [8] Birth Spacing/ Family Planning :  FP Counselling*"),
    COUNTIFS('QA Log'!D:D,A157,'QA Log'!M:M,"Vignette",'QA Log'!Z:Z,"Approved",'QA Log'!L:L,"*Vignette [9] Birth Spacing: Change FP method to Injectable*"),
    COUNTIFS('QA Log'!D:D,A157,'QA Log'!M:M,"Vignette",'QA Log'!Z:Z,"Approved",'QA Log'!L:L,"*Vignette [10] Post Partum Haemorrhage - Atonic Uterus at Health Centre*")
  )
)</f>
        <v/>
      </c>
      <c r="BG157" s="105" t="str">
        <f>IF(A157&lt;&gt;"",COUNTIFS('QA Log'!D:D,A157,'QA Log'!M:M,"Vignette",'QA Log'!L:L,"Vignette [5] Labor",'QA Log'!Z:Z,"Approved"),"")</f>
        <v/>
      </c>
      <c r="BH157" s="105" t="str">
        <f>IF(A157&lt;&gt;"",COUNTIFS('QA Log'!D:D,A157,'QA Log'!M:M,"Vignette",'QA Log'!L:L,"Vignette [6] PNC pre Discharge",'QA Log'!Z:Z,"Approved"),"")</f>
        <v/>
      </c>
      <c r="BI157" s="105" t="str">
        <f>IF(A157&lt;&gt;"",COUNTIFS('QA Log'!D:D,A157,'QA Log'!M:M,"Vignette",'QA Log'!L:L,"Vignette [7] First ANC Visit",'QA Log'!Z:Z,"Approved"),"")</f>
        <v/>
      </c>
      <c r="BJ157" s="105" t="str">
        <f>IF(A157&lt;&gt;"",COUNTIFS('QA Log'!D:D,A157,'QA Log'!M:M,"Vignette",'QA Log'!L:L,"Vignette [8] Birth Spacing/ Family Planning :  FP Counselling",'QA Log'!Z:Z,"Approved"),"")</f>
        <v/>
      </c>
      <c r="BK157" s="105" t="str">
        <f>IF(A157&lt;&gt;"",COUNTIFS('QA Log'!D:D,A157,'QA Log'!M:M,"Vignette",'QA Log'!L:L,"Vignette [9] Birth Spacing: Change FP method to Injectable",'QA Log'!Z:Z,"Approved"),"")</f>
        <v/>
      </c>
      <c r="BL157" s="105" t="str">
        <f>IF(A157&lt;&gt;"",COUNTIFS('QA Log'!D:D,A157,'QA Log'!M:M,"Vignette",'QA Log'!L:L,"Vignette [10] Post Partum Haemorrhage - Atonic Uterus at Health Centre",'QA Log'!Z:Z,"Approved"),"")</f>
        <v/>
      </c>
      <c r="BM157" s="102" t="str">
        <f>IF(A157="","",SUM(
    COUNTIFS('QA Log'!D:D,A157,'QA Log'!M:M,"Vignette",'QA Log'!Z:Z,"Rejected",'QA Log'!L:L,"*Vignette [5] Labor*"),
    COUNTIFS('QA Log'!D:D,A157,'QA Log'!M:M,"Vignette",'QA Log'!Z:Z,"Rejected",'QA Log'!L:L,"*Vignette [6] PNC pre Discharge*"),
    COUNTIFS('QA Log'!D:D,A157,'QA Log'!M:M,"Vignette",'QA Log'!Z:Z,"Rejected",'QA Log'!L:L,"*Vignette [7] First ANC Visit*"),
    COUNTIFS('QA Log'!D:D,A157,'QA Log'!M:M,"Vignette",'QA Log'!Z:Z,"Rejected",'QA Log'!L:L,"*Vignette [8] Birth Spacing/ Family Planning :  FP Counselling*"),
    COUNTIFS('QA Log'!D:D,A157,'QA Log'!M:M,"Vignette",'QA Log'!Z:Z,"Rejected",'QA Log'!L:L,"*Vignette [9] Birth Spacing: Change FP method to Injectable*"),
    COUNTIFS('QA Log'!D:D,A157,'QA Log'!M:M,"Vignette",'QA Log'!Z:Z,"Rejected",'QA Log'!L:L,"*Vignette [10] Post Partum Haemorrhage - Atonic Uterus at Health Centre*")
  )
)</f>
        <v/>
      </c>
      <c r="BN157" s="107" t="str">
        <f t="shared" si="11"/>
        <v/>
      </c>
      <c r="BO157" s="103" t="str">
        <f t="shared" si="12"/>
        <v/>
      </c>
      <c r="BP157" s="102" t="str">
        <f>IF(A157="","",SUM(
COUNTIFS('QA Log'!D:D,A157,'QA Log'!M:M,"Vignette",'QA Log'!L:L,"*Exit Interview 1*"),
COUNTIFS('QA Log'!D:D,A157,'QA Log'!M:M,"Vignette",'QA Log'!L:L,"*Exit Interview 2*"),
)
)</f>
        <v/>
      </c>
      <c r="BQ157" s="102" t="str">
        <f>IF(
  A157="","",
  SUM(
    COUNTIFS('QA Log'!D:D,A157,'QA Log'!M:M,"Vignette",'QA Log'!Z:Z,"Approved",'QA Log'!L:L,"*Exit Interview 1*"),
    COUNTIFS('QA Log'!D:D,A157,'QA Log'!M:M,"Vignette",'QA Log'!Z:Z,"Approved",'QA Log'!L:L,"*Exit Interview 2*")
  )
)</f>
        <v/>
      </c>
      <c r="BR157" s="105" t="str">
        <f>IF(A157&lt;&gt;"",COUNTIFS('QA Log'!D:D,A157,'QA Log'!M:M,"Vignette",'QA Log'!L:L,"Exit Interview 1",'QA Log'!Z:Z,"Approved"),"")</f>
        <v/>
      </c>
      <c r="BS157" s="105" t="str">
        <f>IF(A157&lt;&gt;"",COUNTIFS('QA Log'!D:D,A157,'QA Log'!M:M,"Vignette",'QA Log'!L:L,"Exit Interview 2",'QA Log'!Z:Z,"Approved"),"")</f>
        <v/>
      </c>
      <c r="BT157" s="102" t="str">
        <f>IF(
  A157="","",
  SUM(
    COUNTIFS('QA Log'!D:D,A157,'QA Log'!M:M,"Vignette",'QA Log'!Z:Z,"Rejected",'QA Log'!L:L,"*Exit Interview 1*"),
    COUNTIFS('QA Log'!D:D,A157,'QA Log'!M:M,"Vignette",'QA Log'!Z:Z,"Rejected",'QA Log'!L:L,"*Exit Interview 2*")
  )
)</f>
        <v/>
      </c>
      <c r="BU157" s="107" t="str">
        <f t="shared" si="13"/>
        <v/>
      </c>
      <c r="BV157" s="102" t="str">
        <f t="shared" si="14"/>
        <v/>
      </c>
      <c r="BW157" s="102" t="str">
        <f t="shared" si="15"/>
        <v/>
      </c>
      <c r="BX157" s="102" t="str">
        <f t="shared" si="16"/>
        <v/>
      </c>
      <c r="BY157" s="102" t="str">
        <f t="shared" si="17"/>
        <v/>
      </c>
      <c r="BZ157" s="107" t="str">
        <f t="shared" si="18"/>
        <v/>
      </c>
      <c r="CA157" s="108" t="str">
        <f t="shared" si="19"/>
        <v/>
      </c>
      <c r="CB157" s="108" t="str">
        <f t="shared" si="20"/>
        <v/>
      </c>
      <c r="CC157" s="109" t="str">
        <f t="shared" si="21"/>
        <v/>
      </c>
      <c r="CD157" s="108" t="str">
        <f t="shared" si="22"/>
        <v/>
      </c>
      <c r="CE157" s="108" t="str">
        <f t="shared" si="23"/>
        <v/>
      </c>
      <c r="CF157" s="109" t="str">
        <f t="shared" si="24"/>
        <v/>
      </c>
      <c r="CG157" s="110" t="str">
        <f t="shared" si="25"/>
        <v/>
      </c>
      <c r="CH157" s="111"/>
    </row>
    <row r="158" spans="1:86" ht="12.75">
      <c r="A158" s="101"/>
      <c r="B158" s="102" t="e">
        <f t="array" aca="1" ref="B158" ca="1">_xludf.XLOOKUP(A158,'QA Log'!D:D,'QA Log'!E:E,"")</f>
        <v>#NAME?</v>
      </c>
      <c r="C158" s="102" t="e">
        <f t="array" aca="1" ref="C158" ca="1">_xludf.XLOOKUP(A158,'QA Log'!D:D,'QA Log'!F:F,"")</f>
        <v>#NAME?</v>
      </c>
      <c r="D158" s="102" t="e">
        <f t="array" aca="1" ref="D158" ca="1">_xludf.XLOOKUP(A158,'QA Log'!D:D,'QA Log'!H:H,"")</f>
        <v>#NAME?</v>
      </c>
      <c r="E158" s="102" t="e">
        <f t="array" aca="1" ref="E158" ca="1">_xludf.XLOOKUP(A158,'QA Log'!D:D,'QA Log'!G:G,"")</f>
        <v>#NAME?</v>
      </c>
      <c r="F158" s="103"/>
      <c r="G158" s="104"/>
      <c r="H158" s="104"/>
      <c r="I158" s="103" t="str">
        <f t="shared" si="0"/>
        <v/>
      </c>
      <c r="J158" s="102" t="str">
        <f>IF(A158="","",SUM(
COUNTIFS('QA Log'!D:D,A158,'QA Log'!M:M,"QQC",'QA Log'!L:L,"*1. General Management*"),
COUNTIFS('QA Log'!D:D,A158,'QA Log'!M:M,"QQC",'QA Log'!L:L,"*3. Curative Consultation (OPD)*"),
COUNTIFS('QA Log'!D:D,A158,'QA Log'!M:M,"QQC",'QA Log'!L:L,"*5. Laboratory*"),
COUNTIFS('QA Log'!D:D,A158,'QA Log'!M:M,"QQC",'QA Log'!L:L,"*6. Essential Medicine Management*"),
COUNTIFS('QA Log'!D:D,A158,'QA Log'!M:M,"QQC",'QA Log'!L:L,"*7. Tracer Medicine*"),
COUNTIFS('QA Log'!D:D,A158,'QA Log'!M:M,"QQC",'QA Log'!L:L,"*11. Additional Questions*")))</f>
        <v/>
      </c>
      <c r="K158" s="102" t="str">
        <f>IF(A158="","",SUM(
COUNTIFS('QA Log'!D:D,A158,'QA Log'!M:M,"QQC",'QA Log'!Z:Z,"Approved",'QA Log'!L:L,"*1. General Management*"),
COUNTIFS('QA Log'!D:D,A158,'QA Log'!M:M,"QQC",'QA Log'!Z:Z,"Approved",'QA Log'!L:L,"*3. Curative Consultation (OPD)*"),
COUNTIFS('QA Log'!D:D,A158,'QA Log'!M:M,"QQC",'QA Log'!Z:Z,"Approved",'QA Log'!L:L,"*5. Laboratory*"),
COUNTIFS('QA Log'!D:D,A158,'QA Log'!M:M,"QQC",'QA Log'!Z:Z,"Approved",'QA Log'!L:L,"*6. Essential Medicine Management*"),
COUNTIFS('QA Log'!D:D,A158,'QA Log'!M:M,"QQC",'QA Log'!Z:Z,"Approved",'QA Log'!L:L,"*7. Tracer Medicine*"),
COUNTIFS('QA Log'!D:D,A158,'QA Log'!M:M,"QQC",'QA Log'!Z:Z,"Approved",'QA Log'!L:L,"*11. Additional Questions*")))</f>
        <v/>
      </c>
      <c r="L158" s="105" t="str">
        <f>IF(A158&lt;&gt;"",COUNTIFS('QA Log'!D:D,A158,'QA Log'!M:M,"QQC",'QA Log'!L:L,"1. General Management",'QA Log'!Z:Z,"Approved"),"")</f>
        <v/>
      </c>
      <c r="M158" s="105" t="str">
        <f>IF(A158&lt;&gt;"",COUNTIFS('QA Log'!D:D,A158,'QA Log'!M:M,"QQC",'QA Log'!L:L,"3. Curative Consultation (OPD)",'QA Log'!Z:Z,"Approved"),"")</f>
        <v/>
      </c>
      <c r="N158" s="105" t="str">
        <f>IF(A158&lt;&gt;"",COUNTIFS('QA Log'!D:D,A158,'QA Log'!M:M,"QQC",'QA Log'!L:L,"5. Laboratory",'QA Log'!Z:Z,"Approved"),"")</f>
        <v/>
      </c>
      <c r="O158" s="105" t="str">
        <f>IF(A158&lt;&gt;"",COUNTIFS('QA Log'!D:D,A158,'QA Log'!M:M,"QQC",'QA Log'!L:L,"6. Essential Medicine Management",'QA Log'!Z:Z,"Approved"),"")</f>
        <v/>
      </c>
      <c r="P158" s="105" t="str">
        <f>IF(A158&lt;&gt;"",COUNTIFS('QA Log'!D:D,A158,'QA Log'!M:M,"QQC",'QA Log'!L:L,"7. Tracer Medicine",'QA Log'!Z:Z,"Approved"),"")</f>
        <v/>
      </c>
      <c r="Q158" s="105" t="str">
        <f>IF(A158&lt;&gt;"",COUNTIFS('QA Log'!D:D,A158,'QA Log'!M:M,"QQC",'QA Log'!L:L,"11. Additional Questions",'QA Log'!Z:Z,"Approved"),"")</f>
        <v/>
      </c>
      <c r="R158" s="102" t="str">
        <f>IF(A158="","",SUM(
COUNTIFS('QA Log'!D:D,A158,'QA Log'!M:M,"QQC",'QA Log'!Z:Z,"Rejected",'QA Log'!L:L,"*8. Maternity*"),
COUNTIFS('QA Log'!D:D,A158,'QA Log'!M:M,"QQC",'QA Log'!Z:Z,"Rejected",'QA Log'!L:L,"*EPI*"),
COUNTIFS('QA Log'!D:D,A158,'QA Log'!M:M,"QQC",'QA Log'!Z:Z,"Rejected",'QA Log'!L:L,"*10. Antenatal Care (ANC)*"),
COUNTIFS('QA Log'!D:D,A158,'QA Log'!M:M,"QQC",'QA Log'!Z:Z,"Rejected",'QA Log'!L:L,"*2. Hygiene and Sterilization*"),
COUNTIFS('QA Log'!D:D,A158,'QA Log'!M:M,"QQC",'QA Log'!Z:Z,"Rejected",'QA Log'!L:L,"*Family Planning*")))</f>
        <v/>
      </c>
      <c r="S158" s="106" t="str">
        <f t="shared" si="1"/>
        <v/>
      </c>
      <c r="T158" s="102" t="str">
        <f t="shared" si="2"/>
        <v/>
      </c>
      <c r="U158" s="102" t="str">
        <f>IF(A158="","",
SUM(
COUNTIFS('QA Log'!D:D,A158,'QA Log'!M:M,"QQC",'QA Log'!L:L,"*8. Maternity*"),
COUNTIFS('QA Log'!D:D,A158,'QA Log'!M:M,"QQC",'QA Log'!L:L,"*9. EPI and Pre-school Consultation*"),
COUNTIFS('QA Log'!D:D,A158,'QA Log'!M:M,"QQC",'QA Log'!L:L,"*10. Antenatal Care (ANC)*"),
COUNTIFS('QA Log'!D:D,A158,'QA Log'!M:M,"QQC",'QA Log'!L:L,"*2. Hygiene and Sterilization*"),
COUNTIFS('QA Log'!D:D,A158,'QA Log'!M:M,"QQC",'QA Log'!L:L,"*4. Family Planning*")
))</f>
        <v/>
      </c>
      <c r="V158" s="102" t="str">
        <f>IF(A158="","",
SUM(
COUNTIFS('QA Log'!D:D,A158,'QA Log'!M:M,"QQC",'QA Log'!Z:Z,"Approved",'QA Log'!L:L,"*8. Maternity*"),
COUNTIFS('QA Log'!D:D,A158,'QA Log'!M:M,"QQC",'QA Log'!Z:Z,"Approved",'QA Log'!L:L,"*9. EPI and Pre-school Consultation*"),
COUNTIFS('QA Log'!D:D,A158,'QA Log'!M:M,"QQC",'QA Log'!Z:Z,"Approved",'QA Log'!L:L,"*10. Antenatal Care (ANC)*"),
COUNTIFS('QA Log'!D:D,A158,'QA Log'!M:M,"QQC",'QA Log'!Z:Z,"Approved",'QA Log'!L:L,"*2. Hygiene and Sterilization*"),
COUNTIFS('QA Log'!D:D,A158,'QA Log'!M:M,"QQC",'QA Log'!Z:Z,"Approved",'QA Log'!L:L,"*4. Family Planning*")
))</f>
        <v/>
      </c>
      <c r="W158" s="105" t="str">
        <f>IF(A158&lt;&gt;"",COUNTIFS('QA Log'!D:D,A158,'QA Log'!M:M,"QQC",'QA Log'!L:L,"8. Maternity",'QA Log'!Z:Z,"Approved"),"")</f>
        <v/>
      </c>
      <c r="X158" s="105" t="str">
        <f>IF(A158&lt;&gt;"",COUNTIFS('QA Log'!D:D,A158,'QA Log'!M:M,"QQC",'QA Log'!L:L,"9. EPI and Pre-school Consultation",'QA Log'!Z:Z,"Approved"),"")</f>
        <v/>
      </c>
      <c r="Y158" s="105" t="str">
        <f>IF(A158&lt;&gt;"",COUNTIFS('QA Log'!D:D,A158,'QA Log'!M:M,"QQC",'QA Log'!L:L,"10. Antenatal Care (ANC)",'QA Log'!Z:Z,"Approved"),"")</f>
        <v/>
      </c>
      <c r="Z158" s="105" t="str">
        <f>IF(A158&lt;&gt;"",COUNTIFS('QA Log'!D:D,A158,'QA Log'!M:M,"QQC",'QA Log'!L:L,"2. Hygiene and Sterilization",'QA Log'!Z:Z,"Approved"),"")</f>
        <v/>
      </c>
      <c r="AA158" s="105" t="str">
        <f>IF(A158&lt;&gt;"",COUNTIFS('QA Log'!D:D,A158,'QA Log'!M:M,"QQC",'QA Log'!L:L,"4. Family Planning",'QA Log'!Z:Z,"Approved"),"")</f>
        <v/>
      </c>
      <c r="AB158" s="102" t="str">
        <f>IF(A158="","",
SUM(
COUNTIFS('QA Log'!D:D,A158,'QA Log'!M:M,"QQC",'QA Log'!Z:Z,"Rejected",'QA Log'!L:L,"*8. Maternity*"),
COUNTIFS('QA Log'!D:D,A158,'QA Log'!M:M,"QQC",'QA Log'!Z:Z,"Rejected",'QA Log'!L:L,"*9. EPI and Pre-school Consultation*"),
COUNTIFS('QA Log'!D:D,A158,'QA Log'!M:M,"QQC",'QA Log'!Z:Z,"Rejected",'QA Log'!L:L,"*10. Antenatal Care (ANC)*"),
COUNTIFS('QA Log'!D:D,A158,'QA Log'!M:M,"QQC",'QA Log'!Z:Z,"Rejected",'QA Log'!L:L,"*2. Hygiene and Sterilization*"),
COUNTIFS('QA Log'!D:D,A158,'QA Log'!M:M,"QQC",'QA Log'!Z:Z,"Rejected",'QA Log'!L:L,"*4. Family Planning*")
))</f>
        <v/>
      </c>
      <c r="AC158" s="102" t="str">
        <f t="shared" si="3"/>
        <v/>
      </c>
      <c r="AD158" s="103" t="str">
        <f t="shared" si="4"/>
        <v/>
      </c>
      <c r="AE158" s="102" t="str">
        <f>IF(A158="","",
SUM(
COUNTIFS('QA Log'!D:D,A158,'QA Log'!M:M,"Data Verification",'QA Log'!L:L,"*Medicine (section 2)*"),
COUNTIFS('QA Log'!D:D,A158,'QA Log'!M:M,"Data Verification",'QA Log'!L:L,"*Lab Testing Availability*"),
COUNTIFS('QA Log'!D:D,A158,'QA Log'!M:M,"Data Verification",'QA Log'!L:L,"*Other than P4P (section 6)*"),
COUNTIFS('QA Log'!D:D,A158,'QA Log'!M:M,"Data Verification",'QA Log'!L:L,"*Hospital Governance*")
))</f>
        <v/>
      </c>
      <c r="AF158" s="102" t="str">
        <f>IF(A158="","",
SUM(
COUNTIFS('QA Log'!D:D,A158,'QA Log'!M:M,"Data Verification",'QA Log'!Z:Z,"Approved",'QA Log'!L:L,"*Medicine (section 2)*"),
COUNTIFS('QA Log'!D:D,A158,'QA Log'!M:M,"Data Verification",'QA Log'!Z:Z,"Approved",'QA Log'!L:L,"*Lab Testing Availability*"),
COUNTIFS('QA Log'!D:D,A158,'QA Log'!M:M,"Data Verification",'QA Log'!Z:Z,"Approved",'QA Log'!L:L,"*Other than P4P (section 6)*"),
COUNTIFS('QA Log'!D:D,A158,'QA Log'!M:M,"Data Verification",'QA Log'!Z:Z,"Approved",'QA Log'!L:L,"*Hospital Governance*")
))</f>
        <v/>
      </c>
      <c r="AG158" s="105" t="str">
        <f>IF(A158&lt;&gt;"",COUNTIFS('QA Log'!D:D,A158,'QA Log'!M:M,"Data Verification",'QA Log'!L:L,"Medicine (section 2)",'QA Log'!Z:Z,"Approved"),"")</f>
        <v/>
      </c>
      <c r="AH158" s="105" t="str">
        <f>IF(A158&lt;&gt;"",COUNTIFS('QA Log'!D:D,A158,'QA Log'!M:M,"Data Verification",'QA Log'!L:L,"Lab Testing Availability",'QA Log'!Z:Z,"Approved"),"")</f>
        <v/>
      </c>
      <c r="AI158" s="105" t="str">
        <f>IF(A158&lt;&gt;"",COUNTIFS('QA Log'!D:D,A158,'QA Log'!M:M,"Data Verification",'QA Log'!L:L,"Other than P4P (section 6)",'QA Log'!Z:Z,"Approved"),"")</f>
        <v/>
      </c>
      <c r="AJ158" s="105" t="str">
        <f>IF(A158&lt;&gt;"",COUNTIFS('QA Log'!D:D,A158,'QA Log'!M:M,"Data Verification",'QA Log'!L:L,"Hospital Governance",'QA Log'!Z:Z,"Approved"),"")</f>
        <v/>
      </c>
      <c r="AK158" s="102" t="str">
        <f>IF(A158="","",
SUM(
COUNTIFS('QA Log'!D:D,A158,'QA Log'!M:M,"Data Verification",'QA Log'!Z:Z,"Rejected",'QA Log'!L:L,"*Medicine (section 2)*"),
COUNTIFS('QA Log'!D:D,A158,'QA Log'!M:M,"Data Verification",'QA Log'!Z:Z,"Rejected",'QA Log'!L:L,"*Lab Testing Availability*"),
COUNTIFS('QA Log'!D:D,A158,'QA Log'!M:M,"Data Verification",'QA Log'!Z:Z,"Rejected",'QA Log'!L:L,"*Other than P4P (section 6)*"),
COUNTIFS('QA Log'!D:D,A158,'QA Log'!M:M,"Data Verification",'QA Log'!Z:Z,"Rejected",'QA Log'!L:L,"*Hospital Governance*")
))</f>
        <v/>
      </c>
      <c r="AL158" s="106" t="str">
        <f t="shared" si="5"/>
        <v/>
      </c>
      <c r="AM158" s="102" t="str">
        <f t="shared" si="6"/>
        <v/>
      </c>
      <c r="AN158" s="102" t="str">
        <f>IF(A158="","",
SUM(
COUNTIFS('QA Log'!D:D,A158,'QA Log'!M:M,"Data Verification",'QA Log'!L:L,"*Personnel (section 1)*"),
COUNTIFS('QA Log'!D:D,A158,'QA Log'!M:M,"Data Verification",'QA Log'!L:L,"*Consumable (section 3)*"),
COUNTIFS('QA Log'!D:D,A158,'QA Log'!M:M,"Data Verification",'QA Log'!L:L,"*Equipments (section 4)*")
))</f>
        <v/>
      </c>
      <c r="AO158" s="102" t="str">
        <f>IF(A158="","",
SUM(
COUNTIFS('QA Log'!D:D,A158,'QA Log'!M:M,"Data Verification",'QA Log'!Z:Z,"Approved",'QA Log'!L:L,"*Personnel (section 1)*"),
COUNTIFS('QA Log'!D:D,A158,'QA Log'!M:M,"Data Verification",'QA Log'!Z:Z,"Approved",'QA Log'!L:L,"*Consumable (section 3)*"),
COUNTIFS('QA Log'!D:D,A158,'QA Log'!M:M,"Data Verification",'QA Log'!Z:Z,"Approved",'QA Log'!L:L,"*Equipments (section 4)*")
))</f>
        <v/>
      </c>
      <c r="AP158" s="105" t="str">
        <f>IF(A158&lt;&gt;"",COUNTIFS('QA Log'!D:D,A158,'QA Log'!M:M,"Data Verification",'QA Log'!L:L,"Personnel (section 1)",'QA Log'!Z:Z,"Approved"),"")</f>
        <v/>
      </c>
      <c r="AQ158" s="105" t="str">
        <f>IF(A158&lt;&gt;"",COUNTIFS('QA Log'!D:D,A158,'QA Log'!M:M,"Data Verification",'QA Log'!L:L,"Consumable (section 3)",'QA Log'!Z:Z,"Approved"),"")</f>
        <v/>
      </c>
      <c r="AR158" s="105" t="str">
        <f>IF(A158&lt;&gt;"",COUNTIFS('QA Log'!D:D,A158,'QA Log'!M:M,"Data Verification",'QA Log'!L:L,"Equipments (section 4)",'QA Log'!Z:Z,"Approved"),"")</f>
        <v/>
      </c>
      <c r="AS158" s="102" t="str">
        <f>IF(A158="","",
SUM(
COUNTIFS('QA Log'!D:D,A158,'QA Log'!M:M,"Data Verification",'QA Log'!Z:Z,"Rejected",'QA Log'!L:L,"*Personnel (section 1)*"),
COUNTIFS('QA Log'!D:D,A158,'QA Log'!M:M,"Data Verification",'QA Log'!Z:Z,"Rejected",'QA Log'!L:L,"*Consumable (section 3)*"),
COUNTIFS('QA Log'!D:D,A158,'QA Log'!M:M,"Data Verification",'QA Log'!Z:Z,"Rejected",'QA Log'!L:L,"*Equipments (section 4)*")
))</f>
        <v/>
      </c>
      <c r="AT158" s="102" t="str">
        <f t="shared" si="7"/>
        <v/>
      </c>
      <c r="AU158" s="103" t="str">
        <f t="shared" si="8"/>
        <v/>
      </c>
      <c r="AV158" s="102" t="str">
        <f>IF(A158="","",SUM(
COUNTIFS('QA Log'!D:D,A158,'QA Log'!M:M,"Vignette",'QA Log'!L:L,"*Vignette [1] Respiratory Infection: Pneumonia*"),
COUNTIFS('QA Log'!D:D,A158,'QA Log'!M:M,"Vignette",'QA Log'!L:L,"*Vignette [2]: Diarrhea with Cat B dehydration*"),
COUNTIFS('QA Log'!D:D,A158,'QA Log'!M:M,"Vignette",'QA Log'!L:L,"*Vignette [3] Growth Monitoring and Promotion*"),
COUNTIFS('QA Log'!D:D,A158,'QA Log'!M:M,"Vignette",'QA Log'!L:L,"*Vignette [4]: The management of presumptive TB patient*")
)
)</f>
        <v/>
      </c>
      <c r="AW158" s="102" t="str">
        <f>IF(
  A158="","",
  SUM(
    COUNTIFS('QA Log'!D:D,A158,'QA Log'!M:M,"Vignette",'QA Log'!Z:Z,"Approved",'QA Log'!L:L,"*Vignette [1] Respiratory Infection: Pneumonia*"),
    COUNTIFS('QA Log'!D:D,A158,'QA Log'!M:M,"Vignette",'QA Log'!Z:Z,"Approved",'QA Log'!L:L,"*Vignette [2]: Diarrhea with Cat B dehydration*"),
    COUNTIFS('QA Log'!D:D,A158,'QA Log'!M:M,"Vignette",'QA Log'!Z:Z,"Approved",'QA Log'!L:L,"*Vignette [3] Growth Monitoring and Promotion*"),
    COUNTIFS('QA Log'!D:D,A158,'QA Log'!M:M,"Vignette",'QA Log'!Z:Z,"Approved",'QA Log'!L:L,"*Vignette [4]: The management of presumptive TB patient*")
  )
)</f>
        <v/>
      </c>
      <c r="AX158" s="105" t="str">
        <f>IF(A158&lt;&gt;"",COUNTIFS('QA Log'!D:D,A158,'QA Log'!M:M,"Vignette",'QA Log'!L:L,"Vignette [1] Respiratory Infection: Pneumonia",'QA Log'!Z:Z,"Approved"),"")</f>
        <v/>
      </c>
      <c r="AY158" s="105" t="str">
        <f>IF(A158&lt;&gt;"",COUNTIFS('QA Log'!D:D,A158,'QA Log'!M:M,"Vignette",'QA Log'!L:L,"Vignette [2]: Diarrhea with Cat B dehydration",'QA Log'!Z:Z,"Approved"),"")</f>
        <v/>
      </c>
      <c r="AZ158" s="105" t="str">
        <f>IF(A158&lt;&gt;"",COUNTIFS('QA Log'!D:D,A158,'QA Log'!M:M,"Vignette",'QA Log'!L:L,"Vignette [3] Growth Monitoring and Promotion",'QA Log'!Z:Z,"Approved"),"")</f>
        <v/>
      </c>
      <c r="BA158" s="105" t="str">
        <f>IF(A158&lt;&gt;"",COUNTIFS('QA Log'!D:D,A158,'QA Log'!M:M,"Vignette",'QA Log'!L:L,"Vignette [4]: The management of presumptive TB patient",'QA Log'!Z:Z,"Approved"),"")</f>
        <v/>
      </c>
      <c r="BB158" s="102" t="str">
        <f>IF(A158="","",
  SUM(
    COUNTIFS('QA Log'!D:D,A158,'QA Log'!M:M,"Vignette",'QA Log'!Z:Z,"Rejected",'QA Log'!L:L,"*Vignette [1] Respiratory Infection: Pneumonia*"),
    COUNTIFS('QA Log'!D:D,A158,'QA Log'!M:M,"Vignette",'QA Log'!Z:Z,"Rejected",'QA Log'!L:L,"*Vignette [2]: Diarrhea with Cat B dehydration*"),
    COUNTIFS('QA Log'!D:D,A158,'QA Log'!M:M,"Vignette",'QA Log'!Z:Z,"Rejected",'QA Log'!L:L,"*Vignette [3] Growth Monitoring and Promotion*"),
    COUNTIFS('QA Log'!D:D,A158,'QA Log'!M:M,"Vignette",'QA Log'!Z:Z,"Rejected",'QA Log'!L:L,"*Vignette [4]: The management of presumptive TB patient*")
  )
)</f>
        <v/>
      </c>
      <c r="BC158" s="107" t="str">
        <f t="shared" si="9"/>
        <v/>
      </c>
      <c r="BD158" s="103" t="str">
        <f t="shared" si="10"/>
        <v/>
      </c>
      <c r="BE158" s="102" t="str">
        <f>IF(A158="","",SUM(
COUNTIFS('QA Log'!D:D,A158,'QA Log'!M:M,"Vignette",'QA Log'!L:L,"*Vignette [5] Labor*"),
COUNTIFS('QA Log'!D:D,A158,'QA Log'!M:M,"Vignette",'QA Log'!L:L,"*Vignette [6] PNC pre Discharge*"),
COUNTIFS('QA Log'!D:D,A158,'QA Log'!M:M,"Vignette",'QA Log'!L:L,"*Vignette [7] First ANC Visit*"),
COUNTIFS('QA Log'!D:D,A158,'QA Log'!M:M,"Vignette",'QA Log'!L:L,"*Vignette [8] Birth Spacing/ Family Planning :  FP Counselling*"),
COUNTIFS('QA Log'!D:D,A158,'QA Log'!M:M,"Vignette",'QA Log'!L:L,"*Vignette [9] Birth Spacing: Change FP method to Injectable*"),
COUNTIFS('QA Log'!D:D,A158,'QA Log'!M:M,"Vignette",'QA Log'!L:L,"*Vignette [10] Post Partum Haemorrhage - Atonic Uterus at Health Centre*"),
)
)</f>
        <v/>
      </c>
      <c r="BF158" s="102" t="str">
        <f>IF(A158="","",
  SUM(
    COUNTIFS('QA Log'!D:D,A158,'QA Log'!M:M,"Vignette",'QA Log'!Z:Z,"Approved",'QA Log'!L:L,"*Vignette [5] Labor*"),
    COUNTIFS('QA Log'!D:D,A158,'QA Log'!M:M,"Vignette",'QA Log'!Z:Z,"Approved",'QA Log'!L:L,"*Vignette [6] PNC pre Discharge*"),
    COUNTIFS('QA Log'!D:D,A158,'QA Log'!M:M,"Vignette",'QA Log'!Z:Z,"Approved",'QA Log'!L:L,"*Vignette [7] First ANC Visit*"),
    COUNTIFS('QA Log'!D:D,A158,'QA Log'!M:M,"Vignette",'QA Log'!Z:Z,"Approved",'QA Log'!L:L,"*Vignette [8] Birth Spacing/ Family Planning :  FP Counselling*"),
    COUNTIFS('QA Log'!D:D,A158,'QA Log'!M:M,"Vignette",'QA Log'!Z:Z,"Approved",'QA Log'!L:L,"*Vignette [9] Birth Spacing: Change FP method to Injectable*"),
    COUNTIFS('QA Log'!D:D,A158,'QA Log'!M:M,"Vignette",'QA Log'!Z:Z,"Approved",'QA Log'!L:L,"*Vignette [10] Post Partum Haemorrhage - Atonic Uterus at Health Centre*")
  )
)</f>
        <v/>
      </c>
      <c r="BG158" s="105" t="str">
        <f>IF(A158&lt;&gt;"",COUNTIFS('QA Log'!D:D,A158,'QA Log'!M:M,"Vignette",'QA Log'!L:L,"Vignette [5] Labor",'QA Log'!Z:Z,"Approved"),"")</f>
        <v/>
      </c>
      <c r="BH158" s="105" t="str">
        <f>IF(A158&lt;&gt;"",COUNTIFS('QA Log'!D:D,A158,'QA Log'!M:M,"Vignette",'QA Log'!L:L,"Vignette [6] PNC pre Discharge",'QA Log'!Z:Z,"Approved"),"")</f>
        <v/>
      </c>
      <c r="BI158" s="105" t="str">
        <f>IF(A158&lt;&gt;"",COUNTIFS('QA Log'!D:D,A158,'QA Log'!M:M,"Vignette",'QA Log'!L:L,"Vignette [7] First ANC Visit",'QA Log'!Z:Z,"Approved"),"")</f>
        <v/>
      </c>
      <c r="BJ158" s="105" t="str">
        <f>IF(A158&lt;&gt;"",COUNTIFS('QA Log'!D:D,A158,'QA Log'!M:M,"Vignette",'QA Log'!L:L,"Vignette [8] Birth Spacing/ Family Planning :  FP Counselling",'QA Log'!Z:Z,"Approved"),"")</f>
        <v/>
      </c>
      <c r="BK158" s="105" t="str">
        <f>IF(A158&lt;&gt;"",COUNTIFS('QA Log'!D:D,A158,'QA Log'!M:M,"Vignette",'QA Log'!L:L,"Vignette [9] Birth Spacing: Change FP method to Injectable",'QA Log'!Z:Z,"Approved"),"")</f>
        <v/>
      </c>
      <c r="BL158" s="105" t="str">
        <f>IF(A158&lt;&gt;"",COUNTIFS('QA Log'!D:D,A158,'QA Log'!M:M,"Vignette",'QA Log'!L:L,"Vignette [10] Post Partum Haemorrhage - Atonic Uterus at Health Centre",'QA Log'!Z:Z,"Approved"),"")</f>
        <v/>
      </c>
      <c r="BM158" s="102" t="str">
        <f>IF(A158="","",SUM(
    COUNTIFS('QA Log'!D:D,A158,'QA Log'!M:M,"Vignette",'QA Log'!Z:Z,"Rejected",'QA Log'!L:L,"*Vignette [5] Labor*"),
    COUNTIFS('QA Log'!D:D,A158,'QA Log'!M:M,"Vignette",'QA Log'!Z:Z,"Rejected",'QA Log'!L:L,"*Vignette [6] PNC pre Discharge*"),
    COUNTIFS('QA Log'!D:D,A158,'QA Log'!M:M,"Vignette",'QA Log'!Z:Z,"Rejected",'QA Log'!L:L,"*Vignette [7] First ANC Visit*"),
    COUNTIFS('QA Log'!D:D,A158,'QA Log'!M:M,"Vignette",'QA Log'!Z:Z,"Rejected",'QA Log'!L:L,"*Vignette [8] Birth Spacing/ Family Planning :  FP Counselling*"),
    COUNTIFS('QA Log'!D:D,A158,'QA Log'!M:M,"Vignette",'QA Log'!Z:Z,"Rejected",'QA Log'!L:L,"*Vignette [9] Birth Spacing: Change FP method to Injectable*"),
    COUNTIFS('QA Log'!D:D,A158,'QA Log'!M:M,"Vignette",'QA Log'!Z:Z,"Rejected",'QA Log'!L:L,"*Vignette [10] Post Partum Haemorrhage - Atonic Uterus at Health Centre*")
  )
)</f>
        <v/>
      </c>
      <c r="BN158" s="107" t="str">
        <f t="shared" si="11"/>
        <v/>
      </c>
      <c r="BO158" s="103" t="str">
        <f t="shared" si="12"/>
        <v/>
      </c>
      <c r="BP158" s="102" t="str">
        <f>IF(A158="","",SUM(
COUNTIFS('QA Log'!D:D,A158,'QA Log'!M:M,"Vignette",'QA Log'!L:L,"*Exit Interview 1*"),
COUNTIFS('QA Log'!D:D,A158,'QA Log'!M:M,"Vignette",'QA Log'!L:L,"*Exit Interview 2*"),
)
)</f>
        <v/>
      </c>
      <c r="BQ158" s="102" t="str">
        <f>IF(
  A158="","",
  SUM(
    COUNTIFS('QA Log'!D:D,A158,'QA Log'!M:M,"Vignette",'QA Log'!Z:Z,"Approved",'QA Log'!L:L,"*Exit Interview 1*"),
    COUNTIFS('QA Log'!D:D,A158,'QA Log'!M:M,"Vignette",'QA Log'!Z:Z,"Approved",'QA Log'!L:L,"*Exit Interview 2*")
  )
)</f>
        <v/>
      </c>
      <c r="BR158" s="105" t="str">
        <f>IF(A158&lt;&gt;"",COUNTIFS('QA Log'!D:D,A158,'QA Log'!M:M,"Vignette",'QA Log'!L:L,"Exit Interview 1",'QA Log'!Z:Z,"Approved"),"")</f>
        <v/>
      </c>
      <c r="BS158" s="105" t="str">
        <f>IF(A158&lt;&gt;"",COUNTIFS('QA Log'!D:D,A158,'QA Log'!M:M,"Vignette",'QA Log'!L:L,"Exit Interview 2",'QA Log'!Z:Z,"Approved"),"")</f>
        <v/>
      </c>
      <c r="BT158" s="102" t="str">
        <f>IF(
  A158="","",
  SUM(
    COUNTIFS('QA Log'!D:D,A158,'QA Log'!M:M,"Vignette",'QA Log'!Z:Z,"Rejected",'QA Log'!L:L,"*Exit Interview 1*"),
    COUNTIFS('QA Log'!D:D,A158,'QA Log'!M:M,"Vignette",'QA Log'!Z:Z,"Rejected",'QA Log'!L:L,"*Exit Interview 2*")
  )
)</f>
        <v/>
      </c>
      <c r="BU158" s="107" t="str">
        <f t="shared" si="13"/>
        <v/>
      </c>
      <c r="BV158" s="102" t="str">
        <f t="shared" si="14"/>
        <v/>
      </c>
      <c r="BW158" s="102" t="str">
        <f t="shared" si="15"/>
        <v/>
      </c>
      <c r="BX158" s="102" t="str">
        <f t="shared" si="16"/>
        <v/>
      </c>
      <c r="BY158" s="102" t="str">
        <f t="shared" si="17"/>
        <v/>
      </c>
      <c r="BZ158" s="107" t="str">
        <f t="shared" si="18"/>
        <v/>
      </c>
      <c r="CA158" s="108" t="str">
        <f t="shared" si="19"/>
        <v/>
      </c>
      <c r="CB158" s="108" t="str">
        <f t="shared" si="20"/>
        <v/>
      </c>
      <c r="CC158" s="109" t="str">
        <f t="shared" si="21"/>
        <v/>
      </c>
      <c r="CD158" s="108" t="str">
        <f t="shared" si="22"/>
        <v/>
      </c>
      <c r="CE158" s="108" t="str">
        <f t="shared" si="23"/>
        <v/>
      </c>
      <c r="CF158" s="109" t="str">
        <f t="shared" si="24"/>
        <v/>
      </c>
      <c r="CG158" s="110" t="str">
        <f t="shared" si="25"/>
        <v/>
      </c>
      <c r="CH158" s="111"/>
    </row>
    <row r="159" spans="1:86" ht="12.75">
      <c r="A159" s="101"/>
      <c r="B159" s="102" t="e">
        <f t="array" aca="1" ref="B159" ca="1">_xludf.XLOOKUP(A159,'QA Log'!D:D,'QA Log'!E:E,"")</f>
        <v>#NAME?</v>
      </c>
      <c r="C159" s="102" t="e">
        <f t="array" aca="1" ref="C159" ca="1">_xludf.XLOOKUP(A159,'QA Log'!D:D,'QA Log'!F:F,"")</f>
        <v>#NAME?</v>
      </c>
      <c r="D159" s="102" t="e">
        <f t="array" aca="1" ref="D159" ca="1">_xludf.XLOOKUP(A159,'QA Log'!D:D,'QA Log'!H:H,"")</f>
        <v>#NAME?</v>
      </c>
      <c r="E159" s="102" t="e">
        <f t="array" aca="1" ref="E159" ca="1">_xludf.XLOOKUP(A159,'QA Log'!D:D,'QA Log'!G:G,"")</f>
        <v>#NAME?</v>
      </c>
      <c r="F159" s="103"/>
      <c r="G159" s="104"/>
      <c r="H159" s="104"/>
      <c r="I159" s="103" t="str">
        <f t="shared" si="0"/>
        <v/>
      </c>
      <c r="J159" s="102" t="str">
        <f>IF(A159="","",SUM(
COUNTIFS('QA Log'!D:D,A159,'QA Log'!M:M,"QQC",'QA Log'!L:L,"*1. General Management*"),
COUNTIFS('QA Log'!D:D,A159,'QA Log'!M:M,"QQC",'QA Log'!L:L,"*3. Curative Consultation (OPD)*"),
COUNTIFS('QA Log'!D:D,A159,'QA Log'!M:M,"QQC",'QA Log'!L:L,"*5. Laboratory*"),
COUNTIFS('QA Log'!D:D,A159,'QA Log'!M:M,"QQC",'QA Log'!L:L,"*6. Essential Medicine Management*"),
COUNTIFS('QA Log'!D:D,A159,'QA Log'!M:M,"QQC",'QA Log'!L:L,"*7. Tracer Medicine*"),
COUNTIFS('QA Log'!D:D,A159,'QA Log'!M:M,"QQC",'QA Log'!L:L,"*11. Additional Questions*")))</f>
        <v/>
      </c>
      <c r="K159" s="102" t="str">
        <f>IF(A159="","",SUM(
COUNTIFS('QA Log'!D:D,A159,'QA Log'!M:M,"QQC",'QA Log'!Z:Z,"Approved",'QA Log'!L:L,"*1. General Management*"),
COUNTIFS('QA Log'!D:D,A159,'QA Log'!M:M,"QQC",'QA Log'!Z:Z,"Approved",'QA Log'!L:L,"*3. Curative Consultation (OPD)*"),
COUNTIFS('QA Log'!D:D,A159,'QA Log'!M:M,"QQC",'QA Log'!Z:Z,"Approved",'QA Log'!L:L,"*5. Laboratory*"),
COUNTIFS('QA Log'!D:D,A159,'QA Log'!M:M,"QQC",'QA Log'!Z:Z,"Approved",'QA Log'!L:L,"*6. Essential Medicine Management*"),
COUNTIFS('QA Log'!D:D,A159,'QA Log'!M:M,"QQC",'QA Log'!Z:Z,"Approved",'QA Log'!L:L,"*7. Tracer Medicine*"),
COUNTIFS('QA Log'!D:D,A159,'QA Log'!M:M,"QQC",'QA Log'!Z:Z,"Approved",'QA Log'!L:L,"*11. Additional Questions*")))</f>
        <v/>
      </c>
      <c r="L159" s="105" t="str">
        <f>IF(A159&lt;&gt;"",COUNTIFS('QA Log'!D:D,A159,'QA Log'!M:M,"QQC",'QA Log'!L:L,"1. General Management",'QA Log'!Z:Z,"Approved"),"")</f>
        <v/>
      </c>
      <c r="M159" s="105" t="str">
        <f>IF(A159&lt;&gt;"",COUNTIFS('QA Log'!D:D,A159,'QA Log'!M:M,"QQC",'QA Log'!L:L,"3. Curative Consultation (OPD)",'QA Log'!Z:Z,"Approved"),"")</f>
        <v/>
      </c>
      <c r="N159" s="105" t="str">
        <f>IF(A159&lt;&gt;"",COUNTIFS('QA Log'!D:D,A159,'QA Log'!M:M,"QQC",'QA Log'!L:L,"5. Laboratory",'QA Log'!Z:Z,"Approved"),"")</f>
        <v/>
      </c>
      <c r="O159" s="105" t="str">
        <f>IF(A159&lt;&gt;"",COUNTIFS('QA Log'!D:D,A159,'QA Log'!M:M,"QQC",'QA Log'!L:L,"6. Essential Medicine Management",'QA Log'!Z:Z,"Approved"),"")</f>
        <v/>
      </c>
      <c r="P159" s="105" t="str">
        <f>IF(A159&lt;&gt;"",COUNTIFS('QA Log'!D:D,A159,'QA Log'!M:M,"QQC",'QA Log'!L:L,"7. Tracer Medicine",'QA Log'!Z:Z,"Approved"),"")</f>
        <v/>
      </c>
      <c r="Q159" s="105" t="str">
        <f>IF(A159&lt;&gt;"",COUNTIFS('QA Log'!D:D,A159,'QA Log'!M:M,"QQC",'QA Log'!L:L,"11. Additional Questions",'QA Log'!Z:Z,"Approved"),"")</f>
        <v/>
      </c>
      <c r="R159" s="102" t="str">
        <f>IF(A159="","",SUM(
COUNTIFS('QA Log'!D:D,A159,'QA Log'!M:M,"QQC",'QA Log'!Z:Z,"Rejected",'QA Log'!L:L,"*8. Maternity*"),
COUNTIFS('QA Log'!D:D,A159,'QA Log'!M:M,"QQC",'QA Log'!Z:Z,"Rejected",'QA Log'!L:L,"*EPI*"),
COUNTIFS('QA Log'!D:D,A159,'QA Log'!M:M,"QQC",'QA Log'!Z:Z,"Rejected",'QA Log'!L:L,"*10. Antenatal Care (ANC)*"),
COUNTIFS('QA Log'!D:D,A159,'QA Log'!M:M,"QQC",'QA Log'!Z:Z,"Rejected",'QA Log'!L:L,"*2. Hygiene and Sterilization*"),
COUNTIFS('QA Log'!D:D,A159,'QA Log'!M:M,"QQC",'QA Log'!Z:Z,"Rejected",'QA Log'!L:L,"*Family Planning*")))</f>
        <v/>
      </c>
      <c r="S159" s="106" t="str">
        <f t="shared" si="1"/>
        <v/>
      </c>
      <c r="T159" s="102" t="str">
        <f t="shared" si="2"/>
        <v/>
      </c>
      <c r="U159" s="102" t="str">
        <f>IF(A159="","",
SUM(
COUNTIFS('QA Log'!D:D,A159,'QA Log'!M:M,"QQC",'QA Log'!L:L,"*8. Maternity*"),
COUNTIFS('QA Log'!D:D,A159,'QA Log'!M:M,"QQC",'QA Log'!L:L,"*9. EPI and Pre-school Consultation*"),
COUNTIFS('QA Log'!D:D,A159,'QA Log'!M:M,"QQC",'QA Log'!L:L,"*10. Antenatal Care (ANC)*"),
COUNTIFS('QA Log'!D:D,A159,'QA Log'!M:M,"QQC",'QA Log'!L:L,"*2. Hygiene and Sterilization*"),
COUNTIFS('QA Log'!D:D,A159,'QA Log'!M:M,"QQC",'QA Log'!L:L,"*4. Family Planning*")
))</f>
        <v/>
      </c>
      <c r="V159" s="102" t="str">
        <f>IF(A159="","",
SUM(
COUNTIFS('QA Log'!D:D,A159,'QA Log'!M:M,"QQC",'QA Log'!Z:Z,"Approved",'QA Log'!L:L,"*8. Maternity*"),
COUNTIFS('QA Log'!D:D,A159,'QA Log'!M:M,"QQC",'QA Log'!Z:Z,"Approved",'QA Log'!L:L,"*9. EPI and Pre-school Consultation*"),
COUNTIFS('QA Log'!D:D,A159,'QA Log'!M:M,"QQC",'QA Log'!Z:Z,"Approved",'QA Log'!L:L,"*10. Antenatal Care (ANC)*"),
COUNTIFS('QA Log'!D:D,A159,'QA Log'!M:M,"QQC",'QA Log'!Z:Z,"Approved",'QA Log'!L:L,"*2. Hygiene and Sterilization*"),
COUNTIFS('QA Log'!D:D,A159,'QA Log'!M:M,"QQC",'QA Log'!Z:Z,"Approved",'QA Log'!L:L,"*4. Family Planning*")
))</f>
        <v/>
      </c>
      <c r="W159" s="105" t="str">
        <f>IF(A159&lt;&gt;"",COUNTIFS('QA Log'!D:D,A159,'QA Log'!M:M,"QQC",'QA Log'!L:L,"8. Maternity",'QA Log'!Z:Z,"Approved"),"")</f>
        <v/>
      </c>
      <c r="X159" s="105" t="str">
        <f>IF(A159&lt;&gt;"",COUNTIFS('QA Log'!D:D,A159,'QA Log'!M:M,"QQC",'QA Log'!L:L,"9. EPI and Pre-school Consultation",'QA Log'!Z:Z,"Approved"),"")</f>
        <v/>
      </c>
      <c r="Y159" s="105" t="str">
        <f>IF(A159&lt;&gt;"",COUNTIFS('QA Log'!D:D,A159,'QA Log'!M:M,"QQC",'QA Log'!L:L,"10. Antenatal Care (ANC)",'QA Log'!Z:Z,"Approved"),"")</f>
        <v/>
      </c>
      <c r="Z159" s="105" t="str">
        <f>IF(A159&lt;&gt;"",COUNTIFS('QA Log'!D:D,A159,'QA Log'!M:M,"QQC",'QA Log'!L:L,"2. Hygiene and Sterilization",'QA Log'!Z:Z,"Approved"),"")</f>
        <v/>
      </c>
      <c r="AA159" s="105" t="str">
        <f>IF(A159&lt;&gt;"",COUNTIFS('QA Log'!D:D,A159,'QA Log'!M:M,"QQC",'QA Log'!L:L,"4. Family Planning",'QA Log'!Z:Z,"Approved"),"")</f>
        <v/>
      </c>
      <c r="AB159" s="102" t="str">
        <f>IF(A159="","",
SUM(
COUNTIFS('QA Log'!D:D,A159,'QA Log'!M:M,"QQC",'QA Log'!Z:Z,"Rejected",'QA Log'!L:L,"*8. Maternity*"),
COUNTIFS('QA Log'!D:D,A159,'QA Log'!M:M,"QQC",'QA Log'!Z:Z,"Rejected",'QA Log'!L:L,"*9. EPI and Pre-school Consultation*"),
COUNTIFS('QA Log'!D:D,A159,'QA Log'!M:M,"QQC",'QA Log'!Z:Z,"Rejected",'QA Log'!L:L,"*10. Antenatal Care (ANC)*"),
COUNTIFS('QA Log'!D:D,A159,'QA Log'!M:M,"QQC",'QA Log'!Z:Z,"Rejected",'QA Log'!L:L,"*2. Hygiene and Sterilization*"),
COUNTIFS('QA Log'!D:D,A159,'QA Log'!M:M,"QQC",'QA Log'!Z:Z,"Rejected",'QA Log'!L:L,"*4. Family Planning*")
))</f>
        <v/>
      </c>
      <c r="AC159" s="102" t="str">
        <f t="shared" si="3"/>
        <v/>
      </c>
      <c r="AD159" s="103" t="str">
        <f t="shared" si="4"/>
        <v/>
      </c>
      <c r="AE159" s="102" t="str">
        <f>IF(A159="","",
SUM(
COUNTIFS('QA Log'!D:D,A159,'QA Log'!M:M,"Data Verification",'QA Log'!L:L,"*Medicine (section 2)*"),
COUNTIFS('QA Log'!D:D,A159,'QA Log'!M:M,"Data Verification",'QA Log'!L:L,"*Lab Testing Availability*"),
COUNTIFS('QA Log'!D:D,A159,'QA Log'!M:M,"Data Verification",'QA Log'!L:L,"*Other than P4P (section 6)*"),
COUNTIFS('QA Log'!D:D,A159,'QA Log'!M:M,"Data Verification",'QA Log'!L:L,"*Hospital Governance*")
))</f>
        <v/>
      </c>
      <c r="AF159" s="102" t="str">
        <f>IF(A159="","",
SUM(
COUNTIFS('QA Log'!D:D,A159,'QA Log'!M:M,"Data Verification",'QA Log'!Z:Z,"Approved",'QA Log'!L:L,"*Medicine (section 2)*"),
COUNTIFS('QA Log'!D:D,A159,'QA Log'!M:M,"Data Verification",'QA Log'!Z:Z,"Approved",'QA Log'!L:L,"*Lab Testing Availability*"),
COUNTIFS('QA Log'!D:D,A159,'QA Log'!M:M,"Data Verification",'QA Log'!Z:Z,"Approved",'QA Log'!L:L,"*Other than P4P (section 6)*"),
COUNTIFS('QA Log'!D:D,A159,'QA Log'!M:M,"Data Verification",'QA Log'!Z:Z,"Approved",'QA Log'!L:L,"*Hospital Governance*")
))</f>
        <v/>
      </c>
      <c r="AG159" s="105" t="str">
        <f>IF(A159&lt;&gt;"",COUNTIFS('QA Log'!D:D,A159,'QA Log'!M:M,"Data Verification",'QA Log'!L:L,"Medicine (section 2)",'QA Log'!Z:Z,"Approved"),"")</f>
        <v/>
      </c>
      <c r="AH159" s="105" t="str">
        <f>IF(A159&lt;&gt;"",COUNTIFS('QA Log'!D:D,A159,'QA Log'!M:M,"Data Verification",'QA Log'!L:L,"Lab Testing Availability",'QA Log'!Z:Z,"Approved"),"")</f>
        <v/>
      </c>
      <c r="AI159" s="105" t="str">
        <f>IF(A159&lt;&gt;"",COUNTIFS('QA Log'!D:D,A159,'QA Log'!M:M,"Data Verification",'QA Log'!L:L,"Other than P4P (section 6)",'QA Log'!Z:Z,"Approved"),"")</f>
        <v/>
      </c>
      <c r="AJ159" s="105" t="str">
        <f>IF(A159&lt;&gt;"",COUNTIFS('QA Log'!D:D,A159,'QA Log'!M:M,"Data Verification",'QA Log'!L:L,"Hospital Governance",'QA Log'!Z:Z,"Approved"),"")</f>
        <v/>
      </c>
      <c r="AK159" s="102" t="str">
        <f>IF(A159="","",
SUM(
COUNTIFS('QA Log'!D:D,A159,'QA Log'!M:M,"Data Verification",'QA Log'!Z:Z,"Rejected",'QA Log'!L:L,"*Medicine (section 2)*"),
COUNTIFS('QA Log'!D:D,A159,'QA Log'!M:M,"Data Verification",'QA Log'!Z:Z,"Rejected",'QA Log'!L:L,"*Lab Testing Availability*"),
COUNTIFS('QA Log'!D:D,A159,'QA Log'!M:M,"Data Verification",'QA Log'!Z:Z,"Rejected",'QA Log'!L:L,"*Other than P4P (section 6)*"),
COUNTIFS('QA Log'!D:D,A159,'QA Log'!M:M,"Data Verification",'QA Log'!Z:Z,"Rejected",'QA Log'!L:L,"*Hospital Governance*")
))</f>
        <v/>
      </c>
      <c r="AL159" s="106" t="str">
        <f t="shared" si="5"/>
        <v/>
      </c>
      <c r="AM159" s="102" t="str">
        <f t="shared" si="6"/>
        <v/>
      </c>
      <c r="AN159" s="102" t="str">
        <f>IF(A159="","",
SUM(
COUNTIFS('QA Log'!D:D,A159,'QA Log'!M:M,"Data Verification",'QA Log'!L:L,"*Personnel (section 1)*"),
COUNTIFS('QA Log'!D:D,A159,'QA Log'!M:M,"Data Verification",'QA Log'!L:L,"*Consumable (section 3)*"),
COUNTIFS('QA Log'!D:D,A159,'QA Log'!M:M,"Data Verification",'QA Log'!L:L,"*Equipments (section 4)*")
))</f>
        <v/>
      </c>
      <c r="AO159" s="102" t="str">
        <f>IF(A159="","",
SUM(
COUNTIFS('QA Log'!D:D,A159,'QA Log'!M:M,"Data Verification",'QA Log'!Z:Z,"Approved",'QA Log'!L:L,"*Personnel (section 1)*"),
COUNTIFS('QA Log'!D:D,A159,'QA Log'!M:M,"Data Verification",'QA Log'!Z:Z,"Approved",'QA Log'!L:L,"*Consumable (section 3)*"),
COUNTIFS('QA Log'!D:D,A159,'QA Log'!M:M,"Data Verification",'QA Log'!Z:Z,"Approved",'QA Log'!L:L,"*Equipments (section 4)*")
))</f>
        <v/>
      </c>
      <c r="AP159" s="105" t="str">
        <f>IF(A159&lt;&gt;"",COUNTIFS('QA Log'!D:D,A159,'QA Log'!M:M,"Data Verification",'QA Log'!L:L,"Personnel (section 1)",'QA Log'!Z:Z,"Approved"),"")</f>
        <v/>
      </c>
      <c r="AQ159" s="105" t="str">
        <f>IF(A159&lt;&gt;"",COUNTIFS('QA Log'!D:D,A159,'QA Log'!M:M,"Data Verification",'QA Log'!L:L,"Consumable (section 3)",'QA Log'!Z:Z,"Approved"),"")</f>
        <v/>
      </c>
      <c r="AR159" s="105" t="str">
        <f>IF(A159&lt;&gt;"",COUNTIFS('QA Log'!D:D,A159,'QA Log'!M:M,"Data Verification",'QA Log'!L:L,"Equipments (section 4)",'QA Log'!Z:Z,"Approved"),"")</f>
        <v/>
      </c>
      <c r="AS159" s="102" t="str">
        <f>IF(A159="","",
SUM(
COUNTIFS('QA Log'!D:D,A159,'QA Log'!M:M,"Data Verification",'QA Log'!Z:Z,"Rejected",'QA Log'!L:L,"*Personnel (section 1)*"),
COUNTIFS('QA Log'!D:D,A159,'QA Log'!M:M,"Data Verification",'QA Log'!Z:Z,"Rejected",'QA Log'!L:L,"*Consumable (section 3)*"),
COUNTIFS('QA Log'!D:D,A159,'QA Log'!M:M,"Data Verification",'QA Log'!Z:Z,"Rejected",'QA Log'!L:L,"*Equipments (section 4)*")
))</f>
        <v/>
      </c>
      <c r="AT159" s="102" t="str">
        <f t="shared" si="7"/>
        <v/>
      </c>
      <c r="AU159" s="103" t="str">
        <f t="shared" si="8"/>
        <v/>
      </c>
      <c r="AV159" s="102" t="str">
        <f>IF(A159="","",SUM(
COUNTIFS('QA Log'!D:D,A159,'QA Log'!M:M,"Vignette",'QA Log'!L:L,"*Vignette [1] Respiratory Infection: Pneumonia*"),
COUNTIFS('QA Log'!D:D,A159,'QA Log'!M:M,"Vignette",'QA Log'!L:L,"*Vignette [2]: Diarrhea with Cat B dehydration*"),
COUNTIFS('QA Log'!D:D,A159,'QA Log'!M:M,"Vignette",'QA Log'!L:L,"*Vignette [3] Growth Monitoring and Promotion*"),
COUNTIFS('QA Log'!D:D,A159,'QA Log'!M:M,"Vignette",'QA Log'!L:L,"*Vignette [4]: The management of presumptive TB patient*")
)
)</f>
        <v/>
      </c>
      <c r="AW159" s="102" t="str">
        <f>IF(
  A159="","",
  SUM(
    COUNTIFS('QA Log'!D:D,A159,'QA Log'!M:M,"Vignette",'QA Log'!Z:Z,"Approved",'QA Log'!L:L,"*Vignette [1] Respiratory Infection: Pneumonia*"),
    COUNTIFS('QA Log'!D:D,A159,'QA Log'!M:M,"Vignette",'QA Log'!Z:Z,"Approved",'QA Log'!L:L,"*Vignette [2]: Diarrhea with Cat B dehydration*"),
    COUNTIFS('QA Log'!D:D,A159,'QA Log'!M:M,"Vignette",'QA Log'!Z:Z,"Approved",'QA Log'!L:L,"*Vignette [3] Growth Monitoring and Promotion*"),
    COUNTIFS('QA Log'!D:D,A159,'QA Log'!M:M,"Vignette",'QA Log'!Z:Z,"Approved",'QA Log'!L:L,"*Vignette [4]: The management of presumptive TB patient*")
  )
)</f>
        <v/>
      </c>
      <c r="AX159" s="105" t="str">
        <f>IF(A159&lt;&gt;"",COUNTIFS('QA Log'!D:D,A159,'QA Log'!M:M,"Vignette",'QA Log'!L:L,"Vignette [1] Respiratory Infection: Pneumonia",'QA Log'!Z:Z,"Approved"),"")</f>
        <v/>
      </c>
      <c r="AY159" s="105" t="str">
        <f>IF(A159&lt;&gt;"",COUNTIFS('QA Log'!D:D,A159,'QA Log'!M:M,"Vignette",'QA Log'!L:L,"Vignette [2]: Diarrhea with Cat B dehydration",'QA Log'!Z:Z,"Approved"),"")</f>
        <v/>
      </c>
      <c r="AZ159" s="105" t="str">
        <f>IF(A159&lt;&gt;"",COUNTIFS('QA Log'!D:D,A159,'QA Log'!M:M,"Vignette",'QA Log'!L:L,"Vignette [3] Growth Monitoring and Promotion",'QA Log'!Z:Z,"Approved"),"")</f>
        <v/>
      </c>
      <c r="BA159" s="105" t="str">
        <f>IF(A159&lt;&gt;"",COUNTIFS('QA Log'!D:D,A159,'QA Log'!M:M,"Vignette",'QA Log'!L:L,"Vignette [4]: The management of presumptive TB patient",'QA Log'!Z:Z,"Approved"),"")</f>
        <v/>
      </c>
      <c r="BB159" s="102" t="str">
        <f>IF(A159="","",
  SUM(
    COUNTIFS('QA Log'!D:D,A159,'QA Log'!M:M,"Vignette",'QA Log'!Z:Z,"Rejected",'QA Log'!L:L,"*Vignette [1] Respiratory Infection: Pneumonia*"),
    COUNTIFS('QA Log'!D:D,A159,'QA Log'!M:M,"Vignette",'QA Log'!Z:Z,"Rejected",'QA Log'!L:L,"*Vignette [2]: Diarrhea with Cat B dehydration*"),
    COUNTIFS('QA Log'!D:D,A159,'QA Log'!M:M,"Vignette",'QA Log'!Z:Z,"Rejected",'QA Log'!L:L,"*Vignette [3] Growth Monitoring and Promotion*"),
    COUNTIFS('QA Log'!D:D,A159,'QA Log'!M:M,"Vignette",'QA Log'!Z:Z,"Rejected",'QA Log'!L:L,"*Vignette [4]: The management of presumptive TB patient*")
  )
)</f>
        <v/>
      </c>
      <c r="BC159" s="107" t="str">
        <f t="shared" si="9"/>
        <v/>
      </c>
      <c r="BD159" s="103" t="str">
        <f t="shared" si="10"/>
        <v/>
      </c>
      <c r="BE159" s="102" t="str">
        <f>IF(A159="","",SUM(
COUNTIFS('QA Log'!D:D,A159,'QA Log'!M:M,"Vignette",'QA Log'!L:L,"*Vignette [5] Labor*"),
COUNTIFS('QA Log'!D:D,A159,'QA Log'!M:M,"Vignette",'QA Log'!L:L,"*Vignette [6] PNC pre Discharge*"),
COUNTIFS('QA Log'!D:D,A159,'QA Log'!M:M,"Vignette",'QA Log'!L:L,"*Vignette [7] First ANC Visit*"),
COUNTIFS('QA Log'!D:D,A159,'QA Log'!M:M,"Vignette",'QA Log'!L:L,"*Vignette [8] Birth Spacing/ Family Planning :  FP Counselling*"),
COUNTIFS('QA Log'!D:D,A159,'QA Log'!M:M,"Vignette",'QA Log'!L:L,"*Vignette [9] Birth Spacing: Change FP method to Injectable*"),
COUNTIFS('QA Log'!D:D,A159,'QA Log'!M:M,"Vignette",'QA Log'!L:L,"*Vignette [10] Post Partum Haemorrhage - Atonic Uterus at Health Centre*"),
)
)</f>
        <v/>
      </c>
      <c r="BF159" s="102" t="str">
        <f>IF(A159="","",
  SUM(
    COUNTIFS('QA Log'!D:D,A159,'QA Log'!M:M,"Vignette",'QA Log'!Z:Z,"Approved",'QA Log'!L:L,"*Vignette [5] Labor*"),
    COUNTIFS('QA Log'!D:D,A159,'QA Log'!M:M,"Vignette",'QA Log'!Z:Z,"Approved",'QA Log'!L:L,"*Vignette [6] PNC pre Discharge*"),
    COUNTIFS('QA Log'!D:D,A159,'QA Log'!M:M,"Vignette",'QA Log'!Z:Z,"Approved",'QA Log'!L:L,"*Vignette [7] First ANC Visit*"),
    COUNTIFS('QA Log'!D:D,A159,'QA Log'!M:M,"Vignette",'QA Log'!Z:Z,"Approved",'QA Log'!L:L,"*Vignette [8] Birth Spacing/ Family Planning :  FP Counselling*"),
    COUNTIFS('QA Log'!D:D,A159,'QA Log'!M:M,"Vignette",'QA Log'!Z:Z,"Approved",'QA Log'!L:L,"*Vignette [9] Birth Spacing: Change FP method to Injectable*"),
    COUNTIFS('QA Log'!D:D,A159,'QA Log'!M:M,"Vignette",'QA Log'!Z:Z,"Approved",'QA Log'!L:L,"*Vignette [10] Post Partum Haemorrhage - Atonic Uterus at Health Centre*")
  )
)</f>
        <v/>
      </c>
      <c r="BG159" s="105" t="str">
        <f>IF(A159&lt;&gt;"",COUNTIFS('QA Log'!D:D,A159,'QA Log'!M:M,"Vignette",'QA Log'!L:L,"Vignette [5] Labor",'QA Log'!Z:Z,"Approved"),"")</f>
        <v/>
      </c>
      <c r="BH159" s="105" t="str">
        <f>IF(A159&lt;&gt;"",COUNTIFS('QA Log'!D:D,A159,'QA Log'!M:M,"Vignette",'QA Log'!L:L,"Vignette [6] PNC pre Discharge",'QA Log'!Z:Z,"Approved"),"")</f>
        <v/>
      </c>
      <c r="BI159" s="105" t="str">
        <f>IF(A159&lt;&gt;"",COUNTIFS('QA Log'!D:D,A159,'QA Log'!M:M,"Vignette",'QA Log'!L:L,"Vignette [7] First ANC Visit",'QA Log'!Z:Z,"Approved"),"")</f>
        <v/>
      </c>
      <c r="BJ159" s="105" t="str">
        <f>IF(A159&lt;&gt;"",COUNTIFS('QA Log'!D:D,A159,'QA Log'!M:M,"Vignette",'QA Log'!L:L,"Vignette [8] Birth Spacing/ Family Planning :  FP Counselling",'QA Log'!Z:Z,"Approved"),"")</f>
        <v/>
      </c>
      <c r="BK159" s="105" t="str">
        <f>IF(A159&lt;&gt;"",COUNTIFS('QA Log'!D:D,A159,'QA Log'!M:M,"Vignette",'QA Log'!L:L,"Vignette [9] Birth Spacing: Change FP method to Injectable",'QA Log'!Z:Z,"Approved"),"")</f>
        <v/>
      </c>
      <c r="BL159" s="105" t="str">
        <f>IF(A159&lt;&gt;"",COUNTIFS('QA Log'!D:D,A159,'QA Log'!M:M,"Vignette",'QA Log'!L:L,"Vignette [10] Post Partum Haemorrhage - Atonic Uterus at Health Centre",'QA Log'!Z:Z,"Approved"),"")</f>
        <v/>
      </c>
      <c r="BM159" s="102" t="str">
        <f>IF(A159="","",SUM(
    COUNTIFS('QA Log'!D:D,A159,'QA Log'!M:M,"Vignette",'QA Log'!Z:Z,"Rejected",'QA Log'!L:L,"*Vignette [5] Labor*"),
    COUNTIFS('QA Log'!D:D,A159,'QA Log'!M:M,"Vignette",'QA Log'!Z:Z,"Rejected",'QA Log'!L:L,"*Vignette [6] PNC pre Discharge*"),
    COUNTIFS('QA Log'!D:D,A159,'QA Log'!M:M,"Vignette",'QA Log'!Z:Z,"Rejected",'QA Log'!L:L,"*Vignette [7] First ANC Visit*"),
    COUNTIFS('QA Log'!D:D,A159,'QA Log'!M:M,"Vignette",'QA Log'!Z:Z,"Rejected",'QA Log'!L:L,"*Vignette [8] Birth Spacing/ Family Planning :  FP Counselling*"),
    COUNTIFS('QA Log'!D:D,A159,'QA Log'!M:M,"Vignette",'QA Log'!Z:Z,"Rejected",'QA Log'!L:L,"*Vignette [9] Birth Spacing: Change FP method to Injectable*"),
    COUNTIFS('QA Log'!D:D,A159,'QA Log'!M:M,"Vignette",'QA Log'!Z:Z,"Rejected",'QA Log'!L:L,"*Vignette [10] Post Partum Haemorrhage - Atonic Uterus at Health Centre*")
  )
)</f>
        <v/>
      </c>
      <c r="BN159" s="107" t="str">
        <f t="shared" si="11"/>
        <v/>
      </c>
      <c r="BO159" s="103" t="str">
        <f t="shared" si="12"/>
        <v/>
      </c>
      <c r="BP159" s="102" t="str">
        <f>IF(A159="","",SUM(
COUNTIFS('QA Log'!D:D,A159,'QA Log'!M:M,"Vignette",'QA Log'!L:L,"*Exit Interview 1*"),
COUNTIFS('QA Log'!D:D,A159,'QA Log'!M:M,"Vignette",'QA Log'!L:L,"*Exit Interview 2*"),
)
)</f>
        <v/>
      </c>
      <c r="BQ159" s="102" t="str">
        <f>IF(
  A159="","",
  SUM(
    COUNTIFS('QA Log'!D:D,A159,'QA Log'!M:M,"Vignette",'QA Log'!Z:Z,"Approved",'QA Log'!L:L,"*Exit Interview 1*"),
    COUNTIFS('QA Log'!D:D,A159,'QA Log'!M:M,"Vignette",'QA Log'!Z:Z,"Approved",'QA Log'!L:L,"*Exit Interview 2*")
  )
)</f>
        <v/>
      </c>
      <c r="BR159" s="105" t="str">
        <f>IF(A159&lt;&gt;"",COUNTIFS('QA Log'!D:D,A159,'QA Log'!M:M,"Vignette",'QA Log'!L:L,"Exit Interview 1",'QA Log'!Z:Z,"Approved"),"")</f>
        <v/>
      </c>
      <c r="BS159" s="105" t="str">
        <f>IF(A159&lt;&gt;"",COUNTIFS('QA Log'!D:D,A159,'QA Log'!M:M,"Vignette",'QA Log'!L:L,"Exit Interview 2",'QA Log'!Z:Z,"Approved"),"")</f>
        <v/>
      </c>
      <c r="BT159" s="102" t="str">
        <f>IF(
  A159="","",
  SUM(
    COUNTIFS('QA Log'!D:D,A159,'QA Log'!M:M,"Vignette",'QA Log'!Z:Z,"Rejected",'QA Log'!L:L,"*Exit Interview 1*"),
    COUNTIFS('QA Log'!D:D,A159,'QA Log'!M:M,"Vignette",'QA Log'!Z:Z,"Rejected",'QA Log'!L:L,"*Exit Interview 2*")
  )
)</f>
        <v/>
      </c>
      <c r="BU159" s="107" t="str">
        <f t="shared" si="13"/>
        <v/>
      </c>
      <c r="BV159" s="102" t="str">
        <f t="shared" si="14"/>
        <v/>
      </c>
      <c r="BW159" s="102" t="str">
        <f t="shared" si="15"/>
        <v/>
      </c>
      <c r="BX159" s="102" t="str">
        <f t="shared" si="16"/>
        <v/>
      </c>
      <c r="BY159" s="102" t="str">
        <f t="shared" si="17"/>
        <v/>
      </c>
      <c r="BZ159" s="107" t="str">
        <f t="shared" si="18"/>
        <v/>
      </c>
      <c r="CA159" s="108" t="str">
        <f t="shared" si="19"/>
        <v/>
      </c>
      <c r="CB159" s="108" t="str">
        <f t="shared" si="20"/>
        <v/>
      </c>
      <c r="CC159" s="109" t="str">
        <f t="shared" si="21"/>
        <v/>
      </c>
      <c r="CD159" s="108" t="str">
        <f t="shared" si="22"/>
        <v/>
      </c>
      <c r="CE159" s="108" t="str">
        <f t="shared" si="23"/>
        <v/>
      </c>
      <c r="CF159" s="109" t="str">
        <f t="shared" si="24"/>
        <v/>
      </c>
      <c r="CG159" s="110" t="str">
        <f t="shared" si="25"/>
        <v/>
      </c>
      <c r="CH159" s="111"/>
    </row>
    <row r="160" spans="1:86" ht="12.75">
      <c r="A160" s="101"/>
      <c r="B160" s="102" t="e">
        <f t="array" aca="1" ref="B160" ca="1">_xludf.XLOOKUP(A160,'QA Log'!D:D,'QA Log'!E:E,"")</f>
        <v>#NAME?</v>
      </c>
      <c r="C160" s="102" t="e">
        <f t="array" aca="1" ref="C160" ca="1">_xludf.XLOOKUP(A160,'QA Log'!D:D,'QA Log'!F:F,"")</f>
        <v>#NAME?</v>
      </c>
      <c r="D160" s="102" t="e">
        <f t="array" aca="1" ref="D160" ca="1">_xludf.XLOOKUP(A160,'QA Log'!D:D,'QA Log'!H:H,"")</f>
        <v>#NAME?</v>
      </c>
      <c r="E160" s="102" t="e">
        <f t="array" aca="1" ref="E160" ca="1">_xludf.XLOOKUP(A160,'QA Log'!D:D,'QA Log'!G:G,"")</f>
        <v>#NAME?</v>
      </c>
      <c r="F160" s="103"/>
      <c r="G160" s="104"/>
      <c r="H160" s="104"/>
      <c r="I160" s="103" t="str">
        <f t="shared" si="0"/>
        <v/>
      </c>
      <c r="J160" s="102" t="str">
        <f>IF(A160="","",SUM(
COUNTIFS('QA Log'!D:D,A160,'QA Log'!M:M,"QQC",'QA Log'!L:L,"*1. General Management*"),
COUNTIFS('QA Log'!D:D,A160,'QA Log'!M:M,"QQC",'QA Log'!L:L,"*3. Curative Consultation (OPD)*"),
COUNTIFS('QA Log'!D:D,A160,'QA Log'!M:M,"QQC",'QA Log'!L:L,"*5. Laboratory*"),
COUNTIFS('QA Log'!D:D,A160,'QA Log'!M:M,"QQC",'QA Log'!L:L,"*6. Essential Medicine Management*"),
COUNTIFS('QA Log'!D:D,A160,'QA Log'!M:M,"QQC",'QA Log'!L:L,"*7. Tracer Medicine*"),
COUNTIFS('QA Log'!D:D,A160,'QA Log'!M:M,"QQC",'QA Log'!L:L,"*11. Additional Questions*")))</f>
        <v/>
      </c>
      <c r="K160" s="102" t="str">
        <f>IF(A160="","",SUM(
COUNTIFS('QA Log'!D:D,A160,'QA Log'!M:M,"QQC",'QA Log'!Z:Z,"Approved",'QA Log'!L:L,"*1. General Management*"),
COUNTIFS('QA Log'!D:D,A160,'QA Log'!M:M,"QQC",'QA Log'!Z:Z,"Approved",'QA Log'!L:L,"*3. Curative Consultation (OPD)*"),
COUNTIFS('QA Log'!D:D,A160,'QA Log'!M:M,"QQC",'QA Log'!Z:Z,"Approved",'QA Log'!L:L,"*5. Laboratory*"),
COUNTIFS('QA Log'!D:D,A160,'QA Log'!M:M,"QQC",'QA Log'!Z:Z,"Approved",'QA Log'!L:L,"*6. Essential Medicine Management*"),
COUNTIFS('QA Log'!D:D,A160,'QA Log'!M:M,"QQC",'QA Log'!Z:Z,"Approved",'QA Log'!L:L,"*7. Tracer Medicine*"),
COUNTIFS('QA Log'!D:D,A160,'QA Log'!M:M,"QQC",'QA Log'!Z:Z,"Approved",'QA Log'!L:L,"*11. Additional Questions*")))</f>
        <v/>
      </c>
      <c r="L160" s="105" t="str">
        <f>IF(A160&lt;&gt;"",COUNTIFS('QA Log'!D:D,A160,'QA Log'!M:M,"QQC",'QA Log'!L:L,"1. General Management",'QA Log'!Z:Z,"Approved"),"")</f>
        <v/>
      </c>
      <c r="M160" s="105" t="str">
        <f>IF(A160&lt;&gt;"",COUNTIFS('QA Log'!D:D,A160,'QA Log'!M:M,"QQC",'QA Log'!L:L,"3. Curative Consultation (OPD)",'QA Log'!Z:Z,"Approved"),"")</f>
        <v/>
      </c>
      <c r="N160" s="105" t="str">
        <f>IF(A160&lt;&gt;"",COUNTIFS('QA Log'!D:D,A160,'QA Log'!M:M,"QQC",'QA Log'!L:L,"5. Laboratory",'QA Log'!Z:Z,"Approved"),"")</f>
        <v/>
      </c>
      <c r="O160" s="105" t="str">
        <f>IF(A160&lt;&gt;"",COUNTIFS('QA Log'!D:D,A160,'QA Log'!M:M,"QQC",'QA Log'!L:L,"6. Essential Medicine Management",'QA Log'!Z:Z,"Approved"),"")</f>
        <v/>
      </c>
      <c r="P160" s="105" t="str">
        <f>IF(A160&lt;&gt;"",COUNTIFS('QA Log'!D:D,A160,'QA Log'!M:M,"QQC",'QA Log'!L:L,"7. Tracer Medicine",'QA Log'!Z:Z,"Approved"),"")</f>
        <v/>
      </c>
      <c r="Q160" s="105" t="str">
        <f>IF(A160&lt;&gt;"",COUNTIFS('QA Log'!D:D,A160,'QA Log'!M:M,"QQC",'QA Log'!L:L,"11. Additional Questions",'QA Log'!Z:Z,"Approved"),"")</f>
        <v/>
      </c>
      <c r="R160" s="102" t="str">
        <f>IF(A160="","",SUM(
COUNTIFS('QA Log'!D:D,A160,'QA Log'!M:M,"QQC",'QA Log'!Z:Z,"Rejected",'QA Log'!L:L,"*8. Maternity*"),
COUNTIFS('QA Log'!D:D,A160,'QA Log'!M:M,"QQC",'QA Log'!Z:Z,"Rejected",'QA Log'!L:L,"*EPI*"),
COUNTIFS('QA Log'!D:D,A160,'QA Log'!M:M,"QQC",'QA Log'!Z:Z,"Rejected",'QA Log'!L:L,"*10. Antenatal Care (ANC)*"),
COUNTIFS('QA Log'!D:D,A160,'QA Log'!M:M,"QQC",'QA Log'!Z:Z,"Rejected",'QA Log'!L:L,"*2. Hygiene and Sterilization*"),
COUNTIFS('QA Log'!D:D,A160,'QA Log'!M:M,"QQC",'QA Log'!Z:Z,"Rejected",'QA Log'!L:L,"*Family Planning*")))</f>
        <v/>
      </c>
      <c r="S160" s="106" t="str">
        <f t="shared" si="1"/>
        <v/>
      </c>
      <c r="T160" s="102" t="str">
        <f t="shared" si="2"/>
        <v/>
      </c>
      <c r="U160" s="102" t="str">
        <f>IF(A160="","",
SUM(
COUNTIFS('QA Log'!D:D,A160,'QA Log'!M:M,"QQC",'QA Log'!L:L,"*8. Maternity*"),
COUNTIFS('QA Log'!D:D,A160,'QA Log'!M:M,"QQC",'QA Log'!L:L,"*9. EPI and Pre-school Consultation*"),
COUNTIFS('QA Log'!D:D,A160,'QA Log'!M:M,"QQC",'QA Log'!L:L,"*10. Antenatal Care (ANC)*"),
COUNTIFS('QA Log'!D:D,A160,'QA Log'!M:M,"QQC",'QA Log'!L:L,"*2. Hygiene and Sterilization*"),
COUNTIFS('QA Log'!D:D,A160,'QA Log'!M:M,"QQC",'QA Log'!L:L,"*4. Family Planning*")
))</f>
        <v/>
      </c>
      <c r="V160" s="102" t="str">
        <f>IF(A160="","",
SUM(
COUNTIFS('QA Log'!D:D,A160,'QA Log'!M:M,"QQC",'QA Log'!Z:Z,"Approved",'QA Log'!L:L,"*8. Maternity*"),
COUNTIFS('QA Log'!D:D,A160,'QA Log'!M:M,"QQC",'QA Log'!Z:Z,"Approved",'QA Log'!L:L,"*9. EPI and Pre-school Consultation*"),
COUNTIFS('QA Log'!D:D,A160,'QA Log'!M:M,"QQC",'QA Log'!Z:Z,"Approved",'QA Log'!L:L,"*10. Antenatal Care (ANC)*"),
COUNTIFS('QA Log'!D:D,A160,'QA Log'!M:M,"QQC",'QA Log'!Z:Z,"Approved",'QA Log'!L:L,"*2. Hygiene and Sterilization*"),
COUNTIFS('QA Log'!D:D,A160,'QA Log'!M:M,"QQC",'QA Log'!Z:Z,"Approved",'QA Log'!L:L,"*4. Family Planning*")
))</f>
        <v/>
      </c>
      <c r="W160" s="105" t="str">
        <f>IF(A160&lt;&gt;"",COUNTIFS('QA Log'!D:D,A160,'QA Log'!M:M,"QQC",'QA Log'!L:L,"8. Maternity",'QA Log'!Z:Z,"Approved"),"")</f>
        <v/>
      </c>
      <c r="X160" s="105" t="str">
        <f>IF(A160&lt;&gt;"",COUNTIFS('QA Log'!D:D,A160,'QA Log'!M:M,"QQC",'QA Log'!L:L,"9. EPI and Pre-school Consultation",'QA Log'!Z:Z,"Approved"),"")</f>
        <v/>
      </c>
      <c r="Y160" s="105" t="str">
        <f>IF(A160&lt;&gt;"",COUNTIFS('QA Log'!D:D,A160,'QA Log'!M:M,"QQC",'QA Log'!L:L,"10. Antenatal Care (ANC)",'QA Log'!Z:Z,"Approved"),"")</f>
        <v/>
      </c>
      <c r="Z160" s="105" t="str">
        <f>IF(A160&lt;&gt;"",COUNTIFS('QA Log'!D:D,A160,'QA Log'!M:M,"QQC",'QA Log'!L:L,"2. Hygiene and Sterilization",'QA Log'!Z:Z,"Approved"),"")</f>
        <v/>
      </c>
      <c r="AA160" s="105" t="str">
        <f>IF(A160&lt;&gt;"",COUNTIFS('QA Log'!D:D,A160,'QA Log'!M:M,"QQC",'QA Log'!L:L,"4. Family Planning",'QA Log'!Z:Z,"Approved"),"")</f>
        <v/>
      </c>
      <c r="AB160" s="102" t="str">
        <f>IF(A160="","",
SUM(
COUNTIFS('QA Log'!D:D,A160,'QA Log'!M:M,"QQC",'QA Log'!Z:Z,"Rejected",'QA Log'!L:L,"*8. Maternity*"),
COUNTIFS('QA Log'!D:D,A160,'QA Log'!M:M,"QQC",'QA Log'!Z:Z,"Rejected",'QA Log'!L:L,"*9. EPI and Pre-school Consultation*"),
COUNTIFS('QA Log'!D:D,A160,'QA Log'!M:M,"QQC",'QA Log'!Z:Z,"Rejected",'QA Log'!L:L,"*10. Antenatal Care (ANC)*"),
COUNTIFS('QA Log'!D:D,A160,'QA Log'!M:M,"QQC",'QA Log'!Z:Z,"Rejected",'QA Log'!L:L,"*2. Hygiene and Sterilization*"),
COUNTIFS('QA Log'!D:D,A160,'QA Log'!M:M,"QQC",'QA Log'!Z:Z,"Rejected",'QA Log'!L:L,"*4. Family Planning*")
))</f>
        <v/>
      </c>
      <c r="AC160" s="102" t="str">
        <f t="shared" si="3"/>
        <v/>
      </c>
      <c r="AD160" s="103" t="str">
        <f t="shared" si="4"/>
        <v/>
      </c>
      <c r="AE160" s="102" t="str">
        <f>IF(A160="","",
SUM(
COUNTIFS('QA Log'!D:D,A160,'QA Log'!M:M,"Data Verification",'QA Log'!L:L,"*Medicine (section 2)*"),
COUNTIFS('QA Log'!D:D,A160,'QA Log'!M:M,"Data Verification",'QA Log'!L:L,"*Lab Testing Availability*"),
COUNTIFS('QA Log'!D:D,A160,'QA Log'!M:M,"Data Verification",'QA Log'!L:L,"*Other than P4P (section 6)*"),
COUNTIFS('QA Log'!D:D,A160,'QA Log'!M:M,"Data Verification",'QA Log'!L:L,"*Hospital Governance*")
))</f>
        <v/>
      </c>
      <c r="AF160" s="102" t="str">
        <f>IF(A160="","",
SUM(
COUNTIFS('QA Log'!D:D,A160,'QA Log'!M:M,"Data Verification",'QA Log'!Z:Z,"Approved",'QA Log'!L:L,"*Medicine (section 2)*"),
COUNTIFS('QA Log'!D:D,A160,'QA Log'!M:M,"Data Verification",'QA Log'!Z:Z,"Approved",'QA Log'!L:L,"*Lab Testing Availability*"),
COUNTIFS('QA Log'!D:D,A160,'QA Log'!M:M,"Data Verification",'QA Log'!Z:Z,"Approved",'QA Log'!L:L,"*Other than P4P (section 6)*"),
COUNTIFS('QA Log'!D:D,A160,'QA Log'!M:M,"Data Verification",'QA Log'!Z:Z,"Approved",'QA Log'!L:L,"*Hospital Governance*")
))</f>
        <v/>
      </c>
      <c r="AG160" s="105" t="str">
        <f>IF(A160&lt;&gt;"",COUNTIFS('QA Log'!D:D,A160,'QA Log'!M:M,"Data Verification",'QA Log'!L:L,"Medicine (section 2)",'QA Log'!Z:Z,"Approved"),"")</f>
        <v/>
      </c>
      <c r="AH160" s="105" t="str">
        <f>IF(A160&lt;&gt;"",COUNTIFS('QA Log'!D:D,A160,'QA Log'!M:M,"Data Verification",'QA Log'!L:L,"Lab Testing Availability",'QA Log'!Z:Z,"Approved"),"")</f>
        <v/>
      </c>
      <c r="AI160" s="105" t="str">
        <f>IF(A160&lt;&gt;"",COUNTIFS('QA Log'!D:D,A160,'QA Log'!M:M,"Data Verification",'QA Log'!L:L,"Other than P4P (section 6)",'QA Log'!Z:Z,"Approved"),"")</f>
        <v/>
      </c>
      <c r="AJ160" s="105" t="str">
        <f>IF(A160&lt;&gt;"",COUNTIFS('QA Log'!D:D,A160,'QA Log'!M:M,"Data Verification",'QA Log'!L:L,"Hospital Governance",'QA Log'!Z:Z,"Approved"),"")</f>
        <v/>
      </c>
      <c r="AK160" s="102" t="str">
        <f>IF(A160="","",
SUM(
COUNTIFS('QA Log'!D:D,A160,'QA Log'!M:M,"Data Verification",'QA Log'!Z:Z,"Rejected",'QA Log'!L:L,"*Medicine (section 2)*"),
COUNTIFS('QA Log'!D:D,A160,'QA Log'!M:M,"Data Verification",'QA Log'!Z:Z,"Rejected",'QA Log'!L:L,"*Lab Testing Availability*"),
COUNTIFS('QA Log'!D:D,A160,'QA Log'!M:M,"Data Verification",'QA Log'!Z:Z,"Rejected",'QA Log'!L:L,"*Other than P4P (section 6)*"),
COUNTIFS('QA Log'!D:D,A160,'QA Log'!M:M,"Data Verification",'QA Log'!Z:Z,"Rejected",'QA Log'!L:L,"*Hospital Governance*")
))</f>
        <v/>
      </c>
      <c r="AL160" s="106" t="str">
        <f t="shared" si="5"/>
        <v/>
      </c>
      <c r="AM160" s="102" t="str">
        <f t="shared" si="6"/>
        <v/>
      </c>
      <c r="AN160" s="102" t="str">
        <f>IF(A160="","",
SUM(
COUNTIFS('QA Log'!D:D,A160,'QA Log'!M:M,"Data Verification",'QA Log'!L:L,"*Personnel (section 1)*"),
COUNTIFS('QA Log'!D:D,A160,'QA Log'!M:M,"Data Verification",'QA Log'!L:L,"*Consumable (section 3)*"),
COUNTIFS('QA Log'!D:D,A160,'QA Log'!M:M,"Data Verification",'QA Log'!L:L,"*Equipments (section 4)*")
))</f>
        <v/>
      </c>
      <c r="AO160" s="102" t="str">
        <f>IF(A160="","",
SUM(
COUNTIFS('QA Log'!D:D,A160,'QA Log'!M:M,"Data Verification",'QA Log'!Z:Z,"Approved",'QA Log'!L:L,"*Personnel (section 1)*"),
COUNTIFS('QA Log'!D:D,A160,'QA Log'!M:M,"Data Verification",'QA Log'!Z:Z,"Approved",'QA Log'!L:L,"*Consumable (section 3)*"),
COUNTIFS('QA Log'!D:D,A160,'QA Log'!M:M,"Data Verification",'QA Log'!Z:Z,"Approved",'QA Log'!L:L,"*Equipments (section 4)*")
))</f>
        <v/>
      </c>
      <c r="AP160" s="105" t="str">
        <f>IF(A160&lt;&gt;"",COUNTIFS('QA Log'!D:D,A160,'QA Log'!M:M,"Data Verification",'QA Log'!L:L,"Personnel (section 1)",'QA Log'!Z:Z,"Approved"),"")</f>
        <v/>
      </c>
      <c r="AQ160" s="105" t="str">
        <f>IF(A160&lt;&gt;"",COUNTIFS('QA Log'!D:D,A160,'QA Log'!M:M,"Data Verification",'QA Log'!L:L,"Consumable (section 3)",'QA Log'!Z:Z,"Approved"),"")</f>
        <v/>
      </c>
      <c r="AR160" s="105" t="str">
        <f>IF(A160&lt;&gt;"",COUNTIFS('QA Log'!D:D,A160,'QA Log'!M:M,"Data Verification",'QA Log'!L:L,"Equipments (section 4)",'QA Log'!Z:Z,"Approved"),"")</f>
        <v/>
      </c>
      <c r="AS160" s="102" t="str">
        <f>IF(A160="","",
SUM(
COUNTIFS('QA Log'!D:D,A160,'QA Log'!M:M,"Data Verification",'QA Log'!Z:Z,"Rejected",'QA Log'!L:L,"*Personnel (section 1)*"),
COUNTIFS('QA Log'!D:D,A160,'QA Log'!M:M,"Data Verification",'QA Log'!Z:Z,"Rejected",'QA Log'!L:L,"*Consumable (section 3)*"),
COUNTIFS('QA Log'!D:D,A160,'QA Log'!M:M,"Data Verification",'QA Log'!Z:Z,"Rejected",'QA Log'!L:L,"*Equipments (section 4)*")
))</f>
        <v/>
      </c>
      <c r="AT160" s="102" t="str">
        <f t="shared" si="7"/>
        <v/>
      </c>
      <c r="AU160" s="103" t="str">
        <f t="shared" si="8"/>
        <v/>
      </c>
      <c r="AV160" s="102" t="str">
        <f>IF(A160="","",SUM(
COUNTIFS('QA Log'!D:D,A160,'QA Log'!M:M,"Vignette",'QA Log'!L:L,"*Vignette [1] Respiratory Infection: Pneumonia*"),
COUNTIFS('QA Log'!D:D,A160,'QA Log'!M:M,"Vignette",'QA Log'!L:L,"*Vignette [2]: Diarrhea with Cat B dehydration*"),
COUNTIFS('QA Log'!D:D,A160,'QA Log'!M:M,"Vignette",'QA Log'!L:L,"*Vignette [3] Growth Monitoring and Promotion*"),
COUNTIFS('QA Log'!D:D,A160,'QA Log'!M:M,"Vignette",'QA Log'!L:L,"*Vignette [4]: The management of presumptive TB patient*")
)
)</f>
        <v/>
      </c>
      <c r="AW160" s="102" t="str">
        <f>IF(
  A160="","",
  SUM(
    COUNTIFS('QA Log'!D:D,A160,'QA Log'!M:M,"Vignette",'QA Log'!Z:Z,"Approved",'QA Log'!L:L,"*Vignette [1] Respiratory Infection: Pneumonia*"),
    COUNTIFS('QA Log'!D:D,A160,'QA Log'!M:M,"Vignette",'QA Log'!Z:Z,"Approved",'QA Log'!L:L,"*Vignette [2]: Diarrhea with Cat B dehydration*"),
    COUNTIFS('QA Log'!D:D,A160,'QA Log'!M:M,"Vignette",'QA Log'!Z:Z,"Approved",'QA Log'!L:L,"*Vignette [3] Growth Monitoring and Promotion*"),
    COUNTIFS('QA Log'!D:D,A160,'QA Log'!M:M,"Vignette",'QA Log'!Z:Z,"Approved",'QA Log'!L:L,"*Vignette [4]: The management of presumptive TB patient*")
  )
)</f>
        <v/>
      </c>
      <c r="AX160" s="105" t="str">
        <f>IF(A160&lt;&gt;"",COUNTIFS('QA Log'!D:D,A160,'QA Log'!M:M,"Vignette",'QA Log'!L:L,"Vignette [1] Respiratory Infection: Pneumonia",'QA Log'!Z:Z,"Approved"),"")</f>
        <v/>
      </c>
      <c r="AY160" s="105" t="str">
        <f>IF(A160&lt;&gt;"",COUNTIFS('QA Log'!D:D,A160,'QA Log'!M:M,"Vignette",'QA Log'!L:L,"Vignette [2]: Diarrhea with Cat B dehydration",'QA Log'!Z:Z,"Approved"),"")</f>
        <v/>
      </c>
      <c r="AZ160" s="105" t="str">
        <f>IF(A160&lt;&gt;"",COUNTIFS('QA Log'!D:D,A160,'QA Log'!M:M,"Vignette",'QA Log'!L:L,"Vignette [3] Growth Monitoring and Promotion",'QA Log'!Z:Z,"Approved"),"")</f>
        <v/>
      </c>
      <c r="BA160" s="105" t="str">
        <f>IF(A160&lt;&gt;"",COUNTIFS('QA Log'!D:D,A160,'QA Log'!M:M,"Vignette",'QA Log'!L:L,"Vignette [4]: The management of presumptive TB patient",'QA Log'!Z:Z,"Approved"),"")</f>
        <v/>
      </c>
      <c r="BB160" s="102" t="str">
        <f>IF(A160="","",
  SUM(
    COUNTIFS('QA Log'!D:D,A160,'QA Log'!M:M,"Vignette",'QA Log'!Z:Z,"Rejected",'QA Log'!L:L,"*Vignette [1] Respiratory Infection: Pneumonia*"),
    COUNTIFS('QA Log'!D:D,A160,'QA Log'!M:M,"Vignette",'QA Log'!Z:Z,"Rejected",'QA Log'!L:L,"*Vignette [2]: Diarrhea with Cat B dehydration*"),
    COUNTIFS('QA Log'!D:D,A160,'QA Log'!M:M,"Vignette",'QA Log'!Z:Z,"Rejected",'QA Log'!L:L,"*Vignette [3] Growth Monitoring and Promotion*"),
    COUNTIFS('QA Log'!D:D,A160,'QA Log'!M:M,"Vignette",'QA Log'!Z:Z,"Rejected",'QA Log'!L:L,"*Vignette [4]: The management of presumptive TB patient*")
  )
)</f>
        <v/>
      </c>
      <c r="BC160" s="107" t="str">
        <f t="shared" si="9"/>
        <v/>
      </c>
      <c r="BD160" s="103" t="str">
        <f t="shared" si="10"/>
        <v/>
      </c>
      <c r="BE160" s="102" t="str">
        <f>IF(A160="","",SUM(
COUNTIFS('QA Log'!D:D,A160,'QA Log'!M:M,"Vignette",'QA Log'!L:L,"*Vignette [5] Labor*"),
COUNTIFS('QA Log'!D:D,A160,'QA Log'!M:M,"Vignette",'QA Log'!L:L,"*Vignette [6] PNC pre Discharge*"),
COUNTIFS('QA Log'!D:D,A160,'QA Log'!M:M,"Vignette",'QA Log'!L:L,"*Vignette [7] First ANC Visit*"),
COUNTIFS('QA Log'!D:D,A160,'QA Log'!M:M,"Vignette",'QA Log'!L:L,"*Vignette [8] Birth Spacing/ Family Planning :  FP Counselling*"),
COUNTIFS('QA Log'!D:D,A160,'QA Log'!M:M,"Vignette",'QA Log'!L:L,"*Vignette [9] Birth Spacing: Change FP method to Injectable*"),
COUNTIFS('QA Log'!D:D,A160,'QA Log'!M:M,"Vignette",'QA Log'!L:L,"*Vignette [10] Post Partum Haemorrhage - Atonic Uterus at Health Centre*"),
)
)</f>
        <v/>
      </c>
      <c r="BF160" s="102" t="str">
        <f>IF(A160="","",
  SUM(
    COUNTIFS('QA Log'!D:D,A160,'QA Log'!M:M,"Vignette",'QA Log'!Z:Z,"Approved",'QA Log'!L:L,"*Vignette [5] Labor*"),
    COUNTIFS('QA Log'!D:D,A160,'QA Log'!M:M,"Vignette",'QA Log'!Z:Z,"Approved",'QA Log'!L:L,"*Vignette [6] PNC pre Discharge*"),
    COUNTIFS('QA Log'!D:D,A160,'QA Log'!M:M,"Vignette",'QA Log'!Z:Z,"Approved",'QA Log'!L:L,"*Vignette [7] First ANC Visit*"),
    COUNTIFS('QA Log'!D:D,A160,'QA Log'!M:M,"Vignette",'QA Log'!Z:Z,"Approved",'QA Log'!L:L,"*Vignette [8] Birth Spacing/ Family Planning :  FP Counselling*"),
    COUNTIFS('QA Log'!D:D,A160,'QA Log'!M:M,"Vignette",'QA Log'!Z:Z,"Approved",'QA Log'!L:L,"*Vignette [9] Birth Spacing: Change FP method to Injectable*"),
    COUNTIFS('QA Log'!D:D,A160,'QA Log'!M:M,"Vignette",'QA Log'!Z:Z,"Approved",'QA Log'!L:L,"*Vignette [10] Post Partum Haemorrhage - Atonic Uterus at Health Centre*")
  )
)</f>
        <v/>
      </c>
      <c r="BG160" s="105" t="str">
        <f>IF(A160&lt;&gt;"",COUNTIFS('QA Log'!D:D,A160,'QA Log'!M:M,"Vignette",'QA Log'!L:L,"Vignette [5] Labor",'QA Log'!Z:Z,"Approved"),"")</f>
        <v/>
      </c>
      <c r="BH160" s="105" t="str">
        <f>IF(A160&lt;&gt;"",COUNTIFS('QA Log'!D:D,A160,'QA Log'!M:M,"Vignette",'QA Log'!L:L,"Vignette [6] PNC pre Discharge",'QA Log'!Z:Z,"Approved"),"")</f>
        <v/>
      </c>
      <c r="BI160" s="105" t="str">
        <f>IF(A160&lt;&gt;"",COUNTIFS('QA Log'!D:D,A160,'QA Log'!M:M,"Vignette",'QA Log'!L:L,"Vignette [7] First ANC Visit",'QA Log'!Z:Z,"Approved"),"")</f>
        <v/>
      </c>
      <c r="BJ160" s="105" t="str">
        <f>IF(A160&lt;&gt;"",COUNTIFS('QA Log'!D:D,A160,'QA Log'!M:M,"Vignette",'QA Log'!L:L,"Vignette [8] Birth Spacing/ Family Planning :  FP Counselling",'QA Log'!Z:Z,"Approved"),"")</f>
        <v/>
      </c>
      <c r="BK160" s="105" t="str">
        <f>IF(A160&lt;&gt;"",COUNTIFS('QA Log'!D:D,A160,'QA Log'!M:M,"Vignette",'QA Log'!L:L,"Vignette [9] Birth Spacing: Change FP method to Injectable",'QA Log'!Z:Z,"Approved"),"")</f>
        <v/>
      </c>
      <c r="BL160" s="105" t="str">
        <f>IF(A160&lt;&gt;"",COUNTIFS('QA Log'!D:D,A160,'QA Log'!M:M,"Vignette",'QA Log'!L:L,"Vignette [10] Post Partum Haemorrhage - Atonic Uterus at Health Centre",'QA Log'!Z:Z,"Approved"),"")</f>
        <v/>
      </c>
      <c r="BM160" s="102" t="str">
        <f>IF(A160="","",SUM(
    COUNTIFS('QA Log'!D:D,A160,'QA Log'!M:M,"Vignette",'QA Log'!Z:Z,"Rejected",'QA Log'!L:L,"*Vignette [5] Labor*"),
    COUNTIFS('QA Log'!D:D,A160,'QA Log'!M:M,"Vignette",'QA Log'!Z:Z,"Rejected",'QA Log'!L:L,"*Vignette [6] PNC pre Discharge*"),
    COUNTIFS('QA Log'!D:D,A160,'QA Log'!M:M,"Vignette",'QA Log'!Z:Z,"Rejected",'QA Log'!L:L,"*Vignette [7] First ANC Visit*"),
    COUNTIFS('QA Log'!D:D,A160,'QA Log'!M:M,"Vignette",'QA Log'!Z:Z,"Rejected",'QA Log'!L:L,"*Vignette [8] Birth Spacing/ Family Planning :  FP Counselling*"),
    COUNTIFS('QA Log'!D:D,A160,'QA Log'!M:M,"Vignette",'QA Log'!Z:Z,"Rejected",'QA Log'!L:L,"*Vignette [9] Birth Spacing: Change FP method to Injectable*"),
    COUNTIFS('QA Log'!D:D,A160,'QA Log'!M:M,"Vignette",'QA Log'!Z:Z,"Rejected",'QA Log'!L:L,"*Vignette [10] Post Partum Haemorrhage - Atonic Uterus at Health Centre*")
  )
)</f>
        <v/>
      </c>
      <c r="BN160" s="107" t="str">
        <f t="shared" si="11"/>
        <v/>
      </c>
      <c r="BO160" s="103" t="str">
        <f t="shared" si="12"/>
        <v/>
      </c>
      <c r="BP160" s="102" t="str">
        <f>IF(A160="","",SUM(
COUNTIFS('QA Log'!D:D,A160,'QA Log'!M:M,"Vignette",'QA Log'!L:L,"*Exit Interview 1*"),
COUNTIFS('QA Log'!D:D,A160,'QA Log'!M:M,"Vignette",'QA Log'!L:L,"*Exit Interview 2*"),
)
)</f>
        <v/>
      </c>
      <c r="BQ160" s="102" t="str">
        <f>IF(
  A160="","",
  SUM(
    COUNTIFS('QA Log'!D:D,A160,'QA Log'!M:M,"Vignette",'QA Log'!Z:Z,"Approved",'QA Log'!L:L,"*Exit Interview 1*"),
    COUNTIFS('QA Log'!D:D,A160,'QA Log'!M:M,"Vignette",'QA Log'!Z:Z,"Approved",'QA Log'!L:L,"*Exit Interview 2*")
  )
)</f>
        <v/>
      </c>
      <c r="BR160" s="105" t="str">
        <f>IF(A160&lt;&gt;"",COUNTIFS('QA Log'!D:D,A160,'QA Log'!M:M,"Vignette",'QA Log'!L:L,"Exit Interview 1",'QA Log'!Z:Z,"Approved"),"")</f>
        <v/>
      </c>
      <c r="BS160" s="105" t="str">
        <f>IF(A160&lt;&gt;"",COUNTIFS('QA Log'!D:D,A160,'QA Log'!M:M,"Vignette",'QA Log'!L:L,"Exit Interview 2",'QA Log'!Z:Z,"Approved"),"")</f>
        <v/>
      </c>
      <c r="BT160" s="102" t="str">
        <f>IF(
  A160="","",
  SUM(
    COUNTIFS('QA Log'!D:D,A160,'QA Log'!M:M,"Vignette",'QA Log'!Z:Z,"Rejected",'QA Log'!L:L,"*Exit Interview 1*"),
    COUNTIFS('QA Log'!D:D,A160,'QA Log'!M:M,"Vignette",'QA Log'!Z:Z,"Rejected",'QA Log'!L:L,"*Exit Interview 2*")
  )
)</f>
        <v/>
      </c>
      <c r="BU160" s="107" t="str">
        <f t="shared" si="13"/>
        <v/>
      </c>
      <c r="BV160" s="102" t="str">
        <f t="shared" si="14"/>
        <v/>
      </c>
      <c r="BW160" s="102" t="str">
        <f t="shared" si="15"/>
        <v/>
      </c>
      <c r="BX160" s="102" t="str">
        <f t="shared" si="16"/>
        <v/>
      </c>
      <c r="BY160" s="102" t="str">
        <f t="shared" si="17"/>
        <v/>
      </c>
      <c r="BZ160" s="107" t="str">
        <f t="shared" si="18"/>
        <v/>
      </c>
      <c r="CA160" s="108" t="str">
        <f t="shared" si="19"/>
        <v/>
      </c>
      <c r="CB160" s="108" t="str">
        <f t="shared" si="20"/>
        <v/>
      </c>
      <c r="CC160" s="109" t="str">
        <f t="shared" si="21"/>
        <v/>
      </c>
      <c r="CD160" s="108" t="str">
        <f t="shared" si="22"/>
        <v/>
      </c>
      <c r="CE160" s="108" t="str">
        <f t="shared" si="23"/>
        <v/>
      </c>
      <c r="CF160" s="109" t="str">
        <f t="shared" si="24"/>
        <v/>
      </c>
      <c r="CG160" s="110" t="str">
        <f t="shared" si="25"/>
        <v/>
      </c>
      <c r="CH160" s="111"/>
    </row>
    <row r="161" spans="1:86" ht="12.75">
      <c r="A161" s="101"/>
      <c r="B161" s="102" t="e">
        <f t="array" aca="1" ref="B161" ca="1">_xludf.XLOOKUP(A161,'QA Log'!D:D,'QA Log'!E:E,"")</f>
        <v>#NAME?</v>
      </c>
      <c r="C161" s="102" t="e">
        <f t="array" aca="1" ref="C161" ca="1">_xludf.XLOOKUP(A161,'QA Log'!D:D,'QA Log'!F:F,"")</f>
        <v>#NAME?</v>
      </c>
      <c r="D161" s="102" t="e">
        <f t="array" aca="1" ref="D161" ca="1">_xludf.XLOOKUP(A161,'QA Log'!D:D,'QA Log'!H:H,"")</f>
        <v>#NAME?</v>
      </c>
      <c r="E161" s="102" t="e">
        <f t="array" aca="1" ref="E161" ca="1">_xludf.XLOOKUP(A161,'QA Log'!D:D,'QA Log'!G:G,"")</f>
        <v>#NAME?</v>
      </c>
      <c r="F161" s="103"/>
      <c r="G161" s="104"/>
      <c r="H161" s="104"/>
      <c r="I161" s="103" t="str">
        <f t="shared" si="0"/>
        <v/>
      </c>
      <c r="J161" s="102" t="str">
        <f>IF(A161="","",SUM(
COUNTIFS('QA Log'!D:D,A161,'QA Log'!M:M,"QQC",'QA Log'!L:L,"*1. General Management*"),
COUNTIFS('QA Log'!D:D,A161,'QA Log'!M:M,"QQC",'QA Log'!L:L,"*3. Curative Consultation (OPD)*"),
COUNTIFS('QA Log'!D:D,A161,'QA Log'!M:M,"QQC",'QA Log'!L:L,"*5. Laboratory*"),
COUNTIFS('QA Log'!D:D,A161,'QA Log'!M:M,"QQC",'QA Log'!L:L,"*6. Essential Medicine Management*"),
COUNTIFS('QA Log'!D:D,A161,'QA Log'!M:M,"QQC",'QA Log'!L:L,"*7. Tracer Medicine*"),
COUNTIFS('QA Log'!D:D,A161,'QA Log'!M:M,"QQC",'QA Log'!L:L,"*11. Additional Questions*")))</f>
        <v/>
      </c>
      <c r="K161" s="102" t="str">
        <f>IF(A161="","",SUM(
COUNTIFS('QA Log'!D:D,A161,'QA Log'!M:M,"QQC",'QA Log'!Z:Z,"Approved",'QA Log'!L:L,"*1. General Management*"),
COUNTIFS('QA Log'!D:D,A161,'QA Log'!M:M,"QQC",'QA Log'!Z:Z,"Approved",'QA Log'!L:L,"*3. Curative Consultation (OPD)*"),
COUNTIFS('QA Log'!D:D,A161,'QA Log'!M:M,"QQC",'QA Log'!Z:Z,"Approved",'QA Log'!L:L,"*5. Laboratory*"),
COUNTIFS('QA Log'!D:D,A161,'QA Log'!M:M,"QQC",'QA Log'!Z:Z,"Approved",'QA Log'!L:L,"*6. Essential Medicine Management*"),
COUNTIFS('QA Log'!D:D,A161,'QA Log'!M:M,"QQC",'QA Log'!Z:Z,"Approved",'QA Log'!L:L,"*7. Tracer Medicine*"),
COUNTIFS('QA Log'!D:D,A161,'QA Log'!M:M,"QQC",'QA Log'!Z:Z,"Approved",'QA Log'!L:L,"*11. Additional Questions*")))</f>
        <v/>
      </c>
      <c r="L161" s="105" t="str">
        <f>IF(A161&lt;&gt;"",COUNTIFS('QA Log'!D:D,A161,'QA Log'!M:M,"QQC",'QA Log'!L:L,"1. General Management",'QA Log'!Z:Z,"Approved"),"")</f>
        <v/>
      </c>
      <c r="M161" s="105" t="str">
        <f>IF(A161&lt;&gt;"",COUNTIFS('QA Log'!D:D,A161,'QA Log'!M:M,"QQC",'QA Log'!L:L,"3. Curative Consultation (OPD)",'QA Log'!Z:Z,"Approved"),"")</f>
        <v/>
      </c>
      <c r="N161" s="105" t="str">
        <f>IF(A161&lt;&gt;"",COUNTIFS('QA Log'!D:D,A161,'QA Log'!M:M,"QQC",'QA Log'!L:L,"5. Laboratory",'QA Log'!Z:Z,"Approved"),"")</f>
        <v/>
      </c>
      <c r="O161" s="105" t="str">
        <f>IF(A161&lt;&gt;"",COUNTIFS('QA Log'!D:D,A161,'QA Log'!M:M,"QQC",'QA Log'!L:L,"6. Essential Medicine Management",'QA Log'!Z:Z,"Approved"),"")</f>
        <v/>
      </c>
      <c r="P161" s="105" t="str">
        <f>IF(A161&lt;&gt;"",COUNTIFS('QA Log'!D:D,A161,'QA Log'!M:M,"QQC",'QA Log'!L:L,"7. Tracer Medicine",'QA Log'!Z:Z,"Approved"),"")</f>
        <v/>
      </c>
      <c r="Q161" s="105" t="str">
        <f>IF(A161&lt;&gt;"",COUNTIFS('QA Log'!D:D,A161,'QA Log'!M:M,"QQC",'QA Log'!L:L,"11. Additional Questions",'QA Log'!Z:Z,"Approved"),"")</f>
        <v/>
      </c>
      <c r="R161" s="102" t="str">
        <f>IF(A161="","",SUM(
COUNTIFS('QA Log'!D:D,A161,'QA Log'!M:M,"QQC",'QA Log'!Z:Z,"Rejected",'QA Log'!L:L,"*8. Maternity*"),
COUNTIFS('QA Log'!D:D,A161,'QA Log'!M:M,"QQC",'QA Log'!Z:Z,"Rejected",'QA Log'!L:L,"*EPI*"),
COUNTIFS('QA Log'!D:D,A161,'QA Log'!M:M,"QQC",'QA Log'!Z:Z,"Rejected",'QA Log'!L:L,"*10. Antenatal Care (ANC)*"),
COUNTIFS('QA Log'!D:D,A161,'QA Log'!M:M,"QQC",'QA Log'!Z:Z,"Rejected",'QA Log'!L:L,"*2. Hygiene and Sterilization*"),
COUNTIFS('QA Log'!D:D,A161,'QA Log'!M:M,"QQC",'QA Log'!Z:Z,"Rejected",'QA Log'!L:L,"*Family Planning*")))</f>
        <v/>
      </c>
      <c r="S161" s="106" t="str">
        <f t="shared" si="1"/>
        <v/>
      </c>
      <c r="T161" s="102" t="str">
        <f t="shared" si="2"/>
        <v/>
      </c>
      <c r="U161" s="102" t="str">
        <f>IF(A161="","",
SUM(
COUNTIFS('QA Log'!D:D,A161,'QA Log'!M:M,"QQC",'QA Log'!L:L,"*8. Maternity*"),
COUNTIFS('QA Log'!D:D,A161,'QA Log'!M:M,"QQC",'QA Log'!L:L,"*9. EPI and Pre-school Consultation*"),
COUNTIFS('QA Log'!D:D,A161,'QA Log'!M:M,"QQC",'QA Log'!L:L,"*10. Antenatal Care (ANC)*"),
COUNTIFS('QA Log'!D:D,A161,'QA Log'!M:M,"QQC",'QA Log'!L:L,"*2. Hygiene and Sterilization*"),
COUNTIFS('QA Log'!D:D,A161,'QA Log'!M:M,"QQC",'QA Log'!L:L,"*4. Family Planning*")
))</f>
        <v/>
      </c>
      <c r="V161" s="102" t="str">
        <f>IF(A161="","",
SUM(
COUNTIFS('QA Log'!D:D,A161,'QA Log'!M:M,"QQC",'QA Log'!Z:Z,"Approved",'QA Log'!L:L,"*8. Maternity*"),
COUNTIFS('QA Log'!D:D,A161,'QA Log'!M:M,"QQC",'QA Log'!Z:Z,"Approved",'QA Log'!L:L,"*9. EPI and Pre-school Consultation*"),
COUNTIFS('QA Log'!D:D,A161,'QA Log'!M:M,"QQC",'QA Log'!Z:Z,"Approved",'QA Log'!L:L,"*10. Antenatal Care (ANC)*"),
COUNTIFS('QA Log'!D:D,A161,'QA Log'!M:M,"QQC",'QA Log'!Z:Z,"Approved",'QA Log'!L:L,"*2. Hygiene and Sterilization*"),
COUNTIFS('QA Log'!D:D,A161,'QA Log'!M:M,"QQC",'QA Log'!Z:Z,"Approved",'QA Log'!L:L,"*4. Family Planning*")
))</f>
        <v/>
      </c>
      <c r="W161" s="105" t="str">
        <f>IF(A161&lt;&gt;"",COUNTIFS('QA Log'!D:D,A161,'QA Log'!M:M,"QQC",'QA Log'!L:L,"8. Maternity",'QA Log'!Z:Z,"Approved"),"")</f>
        <v/>
      </c>
      <c r="X161" s="105" t="str">
        <f>IF(A161&lt;&gt;"",COUNTIFS('QA Log'!D:D,A161,'QA Log'!M:M,"QQC",'QA Log'!L:L,"9. EPI and Pre-school Consultation",'QA Log'!Z:Z,"Approved"),"")</f>
        <v/>
      </c>
      <c r="Y161" s="105" t="str">
        <f>IF(A161&lt;&gt;"",COUNTIFS('QA Log'!D:D,A161,'QA Log'!M:M,"QQC",'QA Log'!L:L,"10. Antenatal Care (ANC)",'QA Log'!Z:Z,"Approved"),"")</f>
        <v/>
      </c>
      <c r="Z161" s="105" t="str">
        <f>IF(A161&lt;&gt;"",COUNTIFS('QA Log'!D:D,A161,'QA Log'!M:M,"QQC",'QA Log'!L:L,"2. Hygiene and Sterilization",'QA Log'!Z:Z,"Approved"),"")</f>
        <v/>
      </c>
      <c r="AA161" s="105" t="str">
        <f>IF(A161&lt;&gt;"",COUNTIFS('QA Log'!D:D,A161,'QA Log'!M:M,"QQC",'QA Log'!L:L,"4. Family Planning",'QA Log'!Z:Z,"Approved"),"")</f>
        <v/>
      </c>
      <c r="AB161" s="102" t="str">
        <f>IF(A161="","",
SUM(
COUNTIFS('QA Log'!D:D,A161,'QA Log'!M:M,"QQC",'QA Log'!Z:Z,"Rejected",'QA Log'!L:L,"*8. Maternity*"),
COUNTIFS('QA Log'!D:D,A161,'QA Log'!M:M,"QQC",'QA Log'!Z:Z,"Rejected",'QA Log'!L:L,"*9. EPI and Pre-school Consultation*"),
COUNTIFS('QA Log'!D:D,A161,'QA Log'!M:M,"QQC",'QA Log'!Z:Z,"Rejected",'QA Log'!L:L,"*10. Antenatal Care (ANC)*"),
COUNTIFS('QA Log'!D:D,A161,'QA Log'!M:M,"QQC",'QA Log'!Z:Z,"Rejected",'QA Log'!L:L,"*2. Hygiene and Sterilization*"),
COUNTIFS('QA Log'!D:D,A161,'QA Log'!M:M,"QQC",'QA Log'!Z:Z,"Rejected",'QA Log'!L:L,"*4. Family Planning*")
))</f>
        <v/>
      </c>
      <c r="AC161" s="102" t="str">
        <f t="shared" si="3"/>
        <v/>
      </c>
      <c r="AD161" s="103" t="str">
        <f t="shared" si="4"/>
        <v/>
      </c>
      <c r="AE161" s="102" t="str">
        <f>IF(A161="","",
SUM(
COUNTIFS('QA Log'!D:D,A161,'QA Log'!M:M,"Data Verification",'QA Log'!L:L,"*Medicine (section 2)*"),
COUNTIFS('QA Log'!D:D,A161,'QA Log'!M:M,"Data Verification",'QA Log'!L:L,"*Lab Testing Availability*"),
COUNTIFS('QA Log'!D:D,A161,'QA Log'!M:M,"Data Verification",'QA Log'!L:L,"*Other than P4P (section 6)*"),
COUNTIFS('QA Log'!D:D,A161,'QA Log'!M:M,"Data Verification",'QA Log'!L:L,"*Hospital Governance*")
))</f>
        <v/>
      </c>
      <c r="AF161" s="102" t="str">
        <f>IF(A161="","",
SUM(
COUNTIFS('QA Log'!D:D,A161,'QA Log'!M:M,"Data Verification",'QA Log'!Z:Z,"Approved",'QA Log'!L:L,"*Medicine (section 2)*"),
COUNTIFS('QA Log'!D:D,A161,'QA Log'!M:M,"Data Verification",'QA Log'!Z:Z,"Approved",'QA Log'!L:L,"*Lab Testing Availability*"),
COUNTIFS('QA Log'!D:D,A161,'QA Log'!M:M,"Data Verification",'QA Log'!Z:Z,"Approved",'QA Log'!L:L,"*Other than P4P (section 6)*"),
COUNTIFS('QA Log'!D:D,A161,'QA Log'!M:M,"Data Verification",'QA Log'!Z:Z,"Approved",'QA Log'!L:L,"*Hospital Governance*")
))</f>
        <v/>
      </c>
      <c r="AG161" s="105" t="str">
        <f>IF(A161&lt;&gt;"",COUNTIFS('QA Log'!D:D,A161,'QA Log'!M:M,"Data Verification",'QA Log'!L:L,"Medicine (section 2)",'QA Log'!Z:Z,"Approved"),"")</f>
        <v/>
      </c>
      <c r="AH161" s="105" t="str">
        <f>IF(A161&lt;&gt;"",COUNTIFS('QA Log'!D:D,A161,'QA Log'!M:M,"Data Verification",'QA Log'!L:L,"Lab Testing Availability",'QA Log'!Z:Z,"Approved"),"")</f>
        <v/>
      </c>
      <c r="AI161" s="105" t="str">
        <f>IF(A161&lt;&gt;"",COUNTIFS('QA Log'!D:D,A161,'QA Log'!M:M,"Data Verification",'QA Log'!L:L,"Other than P4P (section 6)",'QA Log'!Z:Z,"Approved"),"")</f>
        <v/>
      </c>
      <c r="AJ161" s="105" t="str">
        <f>IF(A161&lt;&gt;"",COUNTIFS('QA Log'!D:D,A161,'QA Log'!M:M,"Data Verification",'QA Log'!L:L,"Hospital Governance",'QA Log'!Z:Z,"Approved"),"")</f>
        <v/>
      </c>
      <c r="AK161" s="102" t="str">
        <f>IF(A161="","",
SUM(
COUNTIFS('QA Log'!D:D,A161,'QA Log'!M:M,"Data Verification",'QA Log'!Z:Z,"Rejected",'QA Log'!L:L,"*Medicine (section 2)*"),
COUNTIFS('QA Log'!D:D,A161,'QA Log'!M:M,"Data Verification",'QA Log'!Z:Z,"Rejected",'QA Log'!L:L,"*Lab Testing Availability*"),
COUNTIFS('QA Log'!D:D,A161,'QA Log'!M:M,"Data Verification",'QA Log'!Z:Z,"Rejected",'QA Log'!L:L,"*Other than P4P (section 6)*"),
COUNTIFS('QA Log'!D:D,A161,'QA Log'!M:M,"Data Verification",'QA Log'!Z:Z,"Rejected",'QA Log'!L:L,"*Hospital Governance*")
))</f>
        <v/>
      </c>
      <c r="AL161" s="106" t="str">
        <f t="shared" si="5"/>
        <v/>
      </c>
      <c r="AM161" s="102" t="str">
        <f t="shared" si="6"/>
        <v/>
      </c>
      <c r="AN161" s="102" t="str">
        <f>IF(A161="","",
SUM(
COUNTIFS('QA Log'!D:D,A161,'QA Log'!M:M,"Data Verification",'QA Log'!L:L,"*Personnel (section 1)*"),
COUNTIFS('QA Log'!D:D,A161,'QA Log'!M:M,"Data Verification",'QA Log'!L:L,"*Consumable (section 3)*"),
COUNTIFS('QA Log'!D:D,A161,'QA Log'!M:M,"Data Verification",'QA Log'!L:L,"*Equipments (section 4)*")
))</f>
        <v/>
      </c>
      <c r="AO161" s="102" t="str">
        <f>IF(A161="","",
SUM(
COUNTIFS('QA Log'!D:D,A161,'QA Log'!M:M,"Data Verification",'QA Log'!Z:Z,"Approved",'QA Log'!L:L,"*Personnel (section 1)*"),
COUNTIFS('QA Log'!D:D,A161,'QA Log'!M:M,"Data Verification",'QA Log'!Z:Z,"Approved",'QA Log'!L:L,"*Consumable (section 3)*"),
COUNTIFS('QA Log'!D:D,A161,'QA Log'!M:M,"Data Verification",'QA Log'!Z:Z,"Approved",'QA Log'!L:L,"*Equipments (section 4)*")
))</f>
        <v/>
      </c>
      <c r="AP161" s="105" t="str">
        <f>IF(A161&lt;&gt;"",COUNTIFS('QA Log'!D:D,A161,'QA Log'!M:M,"Data Verification",'QA Log'!L:L,"Personnel (section 1)",'QA Log'!Z:Z,"Approved"),"")</f>
        <v/>
      </c>
      <c r="AQ161" s="105" t="str">
        <f>IF(A161&lt;&gt;"",COUNTIFS('QA Log'!D:D,A161,'QA Log'!M:M,"Data Verification",'QA Log'!L:L,"Consumable (section 3)",'QA Log'!Z:Z,"Approved"),"")</f>
        <v/>
      </c>
      <c r="AR161" s="105" t="str">
        <f>IF(A161&lt;&gt;"",COUNTIFS('QA Log'!D:D,A161,'QA Log'!M:M,"Data Verification",'QA Log'!L:L,"Equipments (section 4)",'QA Log'!Z:Z,"Approved"),"")</f>
        <v/>
      </c>
      <c r="AS161" s="102" t="str">
        <f>IF(A161="","",
SUM(
COUNTIFS('QA Log'!D:D,A161,'QA Log'!M:M,"Data Verification",'QA Log'!Z:Z,"Rejected",'QA Log'!L:L,"*Personnel (section 1)*"),
COUNTIFS('QA Log'!D:D,A161,'QA Log'!M:M,"Data Verification",'QA Log'!Z:Z,"Rejected",'QA Log'!L:L,"*Consumable (section 3)*"),
COUNTIFS('QA Log'!D:D,A161,'QA Log'!M:M,"Data Verification",'QA Log'!Z:Z,"Rejected",'QA Log'!L:L,"*Equipments (section 4)*")
))</f>
        <v/>
      </c>
      <c r="AT161" s="102" t="str">
        <f t="shared" si="7"/>
        <v/>
      </c>
      <c r="AU161" s="103" t="str">
        <f t="shared" si="8"/>
        <v/>
      </c>
      <c r="AV161" s="102" t="str">
        <f>IF(A161="","",SUM(
COUNTIFS('QA Log'!D:D,A161,'QA Log'!M:M,"Vignette",'QA Log'!L:L,"*Vignette [1] Respiratory Infection: Pneumonia*"),
COUNTIFS('QA Log'!D:D,A161,'QA Log'!M:M,"Vignette",'QA Log'!L:L,"*Vignette [2]: Diarrhea with Cat B dehydration*"),
COUNTIFS('QA Log'!D:D,A161,'QA Log'!M:M,"Vignette",'QA Log'!L:L,"*Vignette [3] Growth Monitoring and Promotion*"),
COUNTIFS('QA Log'!D:D,A161,'QA Log'!M:M,"Vignette",'QA Log'!L:L,"*Vignette [4]: The management of presumptive TB patient*")
)
)</f>
        <v/>
      </c>
      <c r="AW161" s="102" t="str">
        <f>IF(
  A161="","",
  SUM(
    COUNTIFS('QA Log'!D:D,A161,'QA Log'!M:M,"Vignette",'QA Log'!Z:Z,"Approved",'QA Log'!L:L,"*Vignette [1] Respiratory Infection: Pneumonia*"),
    COUNTIFS('QA Log'!D:D,A161,'QA Log'!M:M,"Vignette",'QA Log'!Z:Z,"Approved",'QA Log'!L:L,"*Vignette [2]: Diarrhea with Cat B dehydration*"),
    COUNTIFS('QA Log'!D:D,A161,'QA Log'!M:M,"Vignette",'QA Log'!Z:Z,"Approved",'QA Log'!L:L,"*Vignette [3] Growth Monitoring and Promotion*"),
    COUNTIFS('QA Log'!D:D,A161,'QA Log'!M:M,"Vignette",'QA Log'!Z:Z,"Approved",'QA Log'!L:L,"*Vignette [4]: The management of presumptive TB patient*")
  )
)</f>
        <v/>
      </c>
      <c r="AX161" s="105" t="str">
        <f>IF(A161&lt;&gt;"",COUNTIFS('QA Log'!D:D,A161,'QA Log'!M:M,"Vignette",'QA Log'!L:L,"Vignette [1] Respiratory Infection: Pneumonia",'QA Log'!Z:Z,"Approved"),"")</f>
        <v/>
      </c>
      <c r="AY161" s="105" t="str">
        <f>IF(A161&lt;&gt;"",COUNTIFS('QA Log'!D:D,A161,'QA Log'!M:M,"Vignette",'QA Log'!L:L,"Vignette [2]: Diarrhea with Cat B dehydration",'QA Log'!Z:Z,"Approved"),"")</f>
        <v/>
      </c>
      <c r="AZ161" s="105" t="str">
        <f>IF(A161&lt;&gt;"",COUNTIFS('QA Log'!D:D,A161,'QA Log'!M:M,"Vignette",'QA Log'!L:L,"Vignette [3] Growth Monitoring and Promotion",'QA Log'!Z:Z,"Approved"),"")</f>
        <v/>
      </c>
      <c r="BA161" s="105" t="str">
        <f>IF(A161&lt;&gt;"",COUNTIFS('QA Log'!D:D,A161,'QA Log'!M:M,"Vignette",'QA Log'!L:L,"Vignette [4]: The management of presumptive TB patient",'QA Log'!Z:Z,"Approved"),"")</f>
        <v/>
      </c>
      <c r="BB161" s="102" t="str">
        <f>IF(A161="","",
  SUM(
    COUNTIFS('QA Log'!D:D,A161,'QA Log'!M:M,"Vignette",'QA Log'!Z:Z,"Rejected",'QA Log'!L:L,"*Vignette [1] Respiratory Infection: Pneumonia*"),
    COUNTIFS('QA Log'!D:D,A161,'QA Log'!M:M,"Vignette",'QA Log'!Z:Z,"Rejected",'QA Log'!L:L,"*Vignette [2]: Diarrhea with Cat B dehydration*"),
    COUNTIFS('QA Log'!D:D,A161,'QA Log'!M:M,"Vignette",'QA Log'!Z:Z,"Rejected",'QA Log'!L:L,"*Vignette [3] Growth Monitoring and Promotion*"),
    COUNTIFS('QA Log'!D:D,A161,'QA Log'!M:M,"Vignette",'QA Log'!Z:Z,"Rejected",'QA Log'!L:L,"*Vignette [4]: The management of presumptive TB patient*")
  )
)</f>
        <v/>
      </c>
      <c r="BC161" s="107" t="str">
        <f t="shared" si="9"/>
        <v/>
      </c>
      <c r="BD161" s="103" t="str">
        <f t="shared" si="10"/>
        <v/>
      </c>
      <c r="BE161" s="102" t="str">
        <f>IF(A161="","",SUM(
COUNTIFS('QA Log'!D:D,A161,'QA Log'!M:M,"Vignette",'QA Log'!L:L,"*Vignette [5] Labor*"),
COUNTIFS('QA Log'!D:D,A161,'QA Log'!M:M,"Vignette",'QA Log'!L:L,"*Vignette [6] PNC pre Discharge*"),
COUNTIFS('QA Log'!D:D,A161,'QA Log'!M:M,"Vignette",'QA Log'!L:L,"*Vignette [7] First ANC Visit*"),
COUNTIFS('QA Log'!D:D,A161,'QA Log'!M:M,"Vignette",'QA Log'!L:L,"*Vignette [8] Birth Spacing/ Family Planning :  FP Counselling*"),
COUNTIFS('QA Log'!D:D,A161,'QA Log'!M:M,"Vignette",'QA Log'!L:L,"*Vignette [9] Birth Spacing: Change FP method to Injectable*"),
COUNTIFS('QA Log'!D:D,A161,'QA Log'!M:M,"Vignette",'QA Log'!L:L,"*Vignette [10] Post Partum Haemorrhage - Atonic Uterus at Health Centre*"),
)
)</f>
        <v/>
      </c>
      <c r="BF161" s="102" t="str">
        <f>IF(A161="","",
  SUM(
    COUNTIFS('QA Log'!D:D,A161,'QA Log'!M:M,"Vignette",'QA Log'!Z:Z,"Approved",'QA Log'!L:L,"*Vignette [5] Labor*"),
    COUNTIFS('QA Log'!D:D,A161,'QA Log'!M:M,"Vignette",'QA Log'!Z:Z,"Approved",'QA Log'!L:L,"*Vignette [6] PNC pre Discharge*"),
    COUNTIFS('QA Log'!D:D,A161,'QA Log'!M:M,"Vignette",'QA Log'!Z:Z,"Approved",'QA Log'!L:L,"*Vignette [7] First ANC Visit*"),
    COUNTIFS('QA Log'!D:D,A161,'QA Log'!M:M,"Vignette",'QA Log'!Z:Z,"Approved",'QA Log'!L:L,"*Vignette [8] Birth Spacing/ Family Planning :  FP Counselling*"),
    COUNTIFS('QA Log'!D:D,A161,'QA Log'!M:M,"Vignette",'QA Log'!Z:Z,"Approved",'QA Log'!L:L,"*Vignette [9] Birth Spacing: Change FP method to Injectable*"),
    COUNTIFS('QA Log'!D:D,A161,'QA Log'!M:M,"Vignette",'QA Log'!Z:Z,"Approved",'QA Log'!L:L,"*Vignette [10] Post Partum Haemorrhage - Atonic Uterus at Health Centre*")
  )
)</f>
        <v/>
      </c>
      <c r="BG161" s="105" t="str">
        <f>IF(A161&lt;&gt;"",COUNTIFS('QA Log'!D:D,A161,'QA Log'!M:M,"Vignette",'QA Log'!L:L,"Vignette [5] Labor",'QA Log'!Z:Z,"Approved"),"")</f>
        <v/>
      </c>
      <c r="BH161" s="105" t="str">
        <f>IF(A161&lt;&gt;"",COUNTIFS('QA Log'!D:D,A161,'QA Log'!M:M,"Vignette",'QA Log'!L:L,"Vignette [6] PNC pre Discharge",'QA Log'!Z:Z,"Approved"),"")</f>
        <v/>
      </c>
      <c r="BI161" s="105" t="str">
        <f>IF(A161&lt;&gt;"",COUNTIFS('QA Log'!D:D,A161,'QA Log'!M:M,"Vignette",'QA Log'!L:L,"Vignette [7] First ANC Visit",'QA Log'!Z:Z,"Approved"),"")</f>
        <v/>
      </c>
      <c r="BJ161" s="105" t="str">
        <f>IF(A161&lt;&gt;"",COUNTIFS('QA Log'!D:D,A161,'QA Log'!M:M,"Vignette",'QA Log'!L:L,"Vignette [8] Birth Spacing/ Family Planning :  FP Counselling",'QA Log'!Z:Z,"Approved"),"")</f>
        <v/>
      </c>
      <c r="BK161" s="105" t="str">
        <f>IF(A161&lt;&gt;"",COUNTIFS('QA Log'!D:D,A161,'QA Log'!M:M,"Vignette",'QA Log'!L:L,"Vignette [9] Birth Spacing: Change FP method to Injectable",'QA Log'!Z:Z,"Approved"),"")</f>
        <v/>
      </c>
      <c r="BL161" s="105" t="str">
        <f>IF(A161&lt;&gt;"",COUNTIFS('QA Log'!D:D,A161,'QA Log'!M:M,"Vignette",'QA Log'!L:L,"Vignette [10] Post Partum Haemorrhage - Atonic Uterus at Health Centre",'QA Log'!Z:Z,"Approved"),"")</f>
        <v/>
      </c>
      <c r="BM161" s="102" t="str">
        <f>IF(A161="","",SUM(
    COUNTIFS('QA Log'!D:D,A161,'QA Log'!M:M,"Vignette",'QA Log'!Z:Z,"Rejected",'QA Log'!L:L,"*Vignette [5] Labor*"),
    COUNTIFS('QA Log'!D:D,A161,'QA Log'!M:M,"Vignette",'QA Log'!Z:Z,"Rejected",'QA Log'!L:L,"*Vignette [6] PNC pre Discharge*"),
    COUNTIFS('QA Log'!D:D,A161,'QA Log'!M:M,"Vignette",'QA Log'!Z:Z,"Rejected",'QA Log'!L:L,"*Vignette [7] First ANC Visit*"),
    COUNTIFS('QA Log'!D:D,A161,'QA Log'!M:M,"Vignette",'QA Log'!Z:Z,"Rejected",'QA Log'!L:L,"*Vignette [8] Birth Spacing/ Family Planning :  FP Counselling*"),
    COUNTIFS('QA Log'!D:D,A161,'QA Log'!M:M,"Vignette",'QA Log'!Z:Z,"Rejected",'QA Log'!L:L,"*Vignette [9] Birth Spacing: Change FP method to Injectable*"),
    COUNTIFS('QA Log'!D:D,A161,'QA Log'!M:M,"Vignette",'QA Log'!Z:Z,"Rejected",'QA Log'!L:L,"*Vignette [10] Post Partum Haemorrhage - Atonic Uterus at Health Centre*")
  )
)</f>
        <v/>
      </c>
      <c r="BN161" s="107" t="str">
        <f t="shared" si="11"/>
        <v/>
      </c>
      <c r="BO161" s="103" t="str">
        <f t="shared" si="12"/>
        <v/>
      </c>
      <c r="BP161" s="102" t="str">
        <f>IF(A161="","",SUM(
COUNTIFS('QA Log'!D:D,A161,'QA Log'!M:M,"Vignette",'QA Log'!L:L,"*Exit Interview 1*"),
COUNTIFS('QA Log'!D:D,A161,'QA Log'!M:M,"Vignette",'QA Log'!L:L,"*Exit Interview 2*"),
)
)</f>
        <v/>
      </c>
      <c r="BQ161" s="102" t="str">
        <f>IF(
  A161="","",
  SUM(
    COUNTIFS('QA Log'!D:D,A161,'QA Log'!M:M,"Vignette",'QA Log'!Z:Z,"Approved",'QA Log'!L:L,"*Exit Interview 1*"),
    COUNTIFS('QA Log'!D:D,A161,'QA Log'!M:M,"Vignette",'QA Log'!Z:Z,"Approved",'QA Log'!L:L,"*Exit Interview 2*")
  )
)</f>
        <v/>
      </c>
      <c r="BR161" s="105" t="str">
        <f>IF(A161&lt;&gt;"",COUNTIFS('QA Log'!D:D,A161,'QA Log'!M:M,"Vignette",'QA Log'!L:L,"Exit Interview 1",'QA Log'!Z:Z,"Approved"),"")</f>
        <v/>
      </c>
      <c r="BS161" s="105" t="str">
        <f>IF(A161&lt;&gt;"",COUNTIFS('QA Log'!D:D,A161,'QA Log'!M:M,"Vignette",'QA Log'!L:L,"Exit Interview 2",'QA Log'!Z:Z,"Approved"),"")</f>
        <v/>
      </c>
      <c r="BT161" s="102" t="str">
        <f>IF(
  A161="","",
  SUM(
    COUNTIFS('QA Log'!D:D,A161,'QA Log'!M:M,"Vignette",'QA Log'!Z:Z,"Rejected",'QA Log'!L:L,"*Exit Interview 1*"),
    COUNTIFS('QA Log'!D:D,A161,'QA Log'!M:M,"Vignette",'QA Log'!Z:Z,"Rejected",'QA Log'!L:L,"*Exit Interview 2*")
  )
)</f>
        <v/>
      </c>
      <c r="BU161" s="107" t="str">
        <f t="shared" si="13"/>
        <v/>
      </c>
      <c r="BV161" s="102" t="str">
        <f t="shared" si="14"/>
        <v/>
      </c>
      <c r="BW161" s="102" t="str">
        <f t="shared" si="15"/>
        <v/>
      </c>
      <c r="BX161" s="102" t="str">
        <f t="shared" si="16"/>
        <v/>
      </c>
      <c r="BY161" s="102" t="str">
        <f t="shared" si="17"/>
        <v/>
      </c>
      <c r="BZ161" s="107" t="str">
        <f t="shared" si="18"/>
        <v/>
      </c>
      <c r="CA161" s="108" t="str">
        <f t="shared" si="19"/>
        <v/>
      </c>
      <c r="CB161" s="108" t="str">
        <f t="shared" si="20"/>
        <v/>
      </c>
      <c r="CC161" s="109" t="str">
        <f t="shared" si="21"/>
        <v/>
      </c>
      <c r="CD161" s="108" t="str">
        <f t="shared" si="22"/>
        <v/>
      </c>
      <c r="CE161" s="108" t="str">
        <f t="shared" si="23"/>
        <v/>
      </c>
      <c r="CF161" s="109" t="str">
        <f t="shared" si="24"/>
        <v/>
      </c>
      <c r="CG161" s="110" t="str">
        <f t="shared" si="25"/>
        <v/>
      </c>
      <c r="CH161" s="111"/>
    </row>
    <row r="162" spans="1:86" ht="12.75">
      <c r="A162" s="101"/>
      <c r="B162" s="102" t="e">
        <f t="array" aca="1" ref="B162" ca="1">_xludf.XLOOKUP(A162,'QA Log'!D:D,'QA Log'!E:E,"")</f>
        <v>#NAME?</v>
      </c>
      <c r="C162" s="102" t="e">
        <f t="array" aca="1" ref="C162" ca="1">_xludf.XLOOKUP(A162,'QA Log'!D:D,'QA Log'!F:F,"")</f>
        <v>#NAME?</v>
      </c>
      <c r="D162" s="102" t="e">
        <f t="array" aca="1" ref="D162" ca="1">_xludf.XLOOKUP(A162,'QA Log'!D:D,'QA Log'!H:H,"")</f>
        <v>#NAME?</v>
      </c>
      <c r="E162" s="102" t="e">
        <f t="array" aca="1" ref="E162" ca="1">_xludf.XLOOKUP(A162,'QA Log'!D:D,'QA Log'!G:G,"")</f>
        <v>#NAME?</v>
      </c>
      <c r="F162" s="103"/>
      <c r="G162" s="104"/>
      <c r="H162" s="104"/>
      <c r="I162" s="103" t="str">
        <f t="shared" si="0"/>
        <v/>
      </c>
      <c r="J162" s="102" t="str">
        <f>IF(A162="","",SUM(
COUNTIFS('QA Log'!D:D,A162,'QA Log'!M:M,"QQC",'QA Log'!L:L,"*1. General Management*"),
COUNTIFS('QA Log'!D:D,A162,'QA Log'!M:M,"QQC",'QA Log'!L:L,"*3. Curative Consultation (OPD)*"),
COUNTIFS('QA Log'!D:D,A162,'QA Log'!M:M,"QQC",'QA Log'!L:L,"*5. Laboratory*"),
COUNTIFS('QA Log'!D:D,A162,'QA Log'!M:M,"QQC",'QA Log'!L:L,"*6. Essential Medicine Management*"),
COUNTIFS('QA Log'!D:D,A162,'QA Log'!M:M,"QQC",'QA Log'!L:L,"*7. Tracer Medicine*"),
COUNTIFS('QA Log'!D:D,A162,'QA Log'!M:M,"QQC",'QA Log'!L:L,"*11. Additional Questions*")))</f>
        <v/>
      </c>
      <c r="K162" s="102" t="str">
        <f>IF(A162="","",SUM(
COUNTIFS('QA Log'!D:D,A162,'QA Log'!M:M,"QQC",'QA Log'!Z:Z,"Approved",'QA Log'!L:L,"*1. General Management*"),
COUNTIFS('QA Log'!D:D,A162,'QA Log'!M:M,"QQC",'QA Log'!Z:Z,"Approved",'QA Log'!L:L,"*3. Curative Consultation (OPD)*"),
COUNTIFS('QA Log'!D:D,A162,'QA Log'!M:M,"QQC",'QA Log'!Z:Z,"Approved",'QA Log'!L:L,"*5. Laboratory*"),
COUNTIFS('QA Log'!D:D,A162,'QA Log'!M:M,"QQC",'QA Log'!Z:Z,"Approved",'QA Log'!L:L,"*6. Essential Medicine Management*"),
COUNTIFS('QA Log'!D:D,A162,'QA Log'!M:M,"QQC",'QA Log'!Z:Z,"Approved",'QA Log'!L:L,"*7. Tracer Medicine*"),
COUNTIFS('QA Log'!D:D,A162,'QA Log'!M:M,"QQC",'QA Log'!Z:Z,"Approved",'QA Log'!L:L,"*11. Additional Questions*")))</f>
        <v/>
      </c>
      <c r="L162" s="105" t="str">
        <f>IF(A162&lt;&gt;"",COUNTIFS('QA Log'!D:D,A162,'QA Log'!M:M,"QQC",'QA Log'!L:L,"1. General Management",'QA Log'!Z:Z,"Approved"),"")</f>
        <v/>
      </c>
      <c r="M162" s="105" t="str">
        <f>IF(A162&lt;&gt;"",COUNTIFS('QA Log'!D:D,A162,'QA Log'!M:M,"QQC",'QA Log'!L:L,"3. Curative Consultation (OPD)",'QA Log'!Z:Z,"Approved"),"")</f>
        <v/>
      </c>
      <c r="N162" s="105" t="str">
        <f>IF(A162&lt;&gt;"",COUNTIFS('QA Log'!D:D,A162,'QA Log'!M:M,"QQC",'QA Log'!L:L,"5. Laboratory",'QA Log'!Z:Z,"Approved"),"")</f>
        <v/>
      </c>
      <c r="O162" s="105" t="str">
        <f>IF(A162&lt;&gt;"",COUNTIFS('QA Log'!D:D,A162,'QA Log'!M:M,"QQC",'QA Log'!L:L,"6. Essential Medicine Management",'QA Log'!Z:Z,"Approved"),"")</f>
        <v/>
      </c>
      <c r="P162" s="105" t="str">
        <f>IF(A162&lt;&gt;"",COUNTIFS('QA Log'!D:D,A162,'QA Log'!M:M,"QQC",'QA Log'!L:L,"7. Tracer Medicine",'QA Log'!Z:Z,"Approved"),"")</f>
        <v/>
      </c>
      <c r="Q162" s="105" t="str">
        <f>IF(A162&lt;&gt;"",COUNTIFS('QA Log'!D:D,A162,'QA Log'!M:M,"QQC",'QA Log'!L:L,"11. Additional Questions",'QA Log'!Z:Z,"Approved"),"")</f>
        <v/>
      </c>
      <c r="R162" s="102" t="str">
        <f>IF(A162="","",SUM(
COUNTIFS('QA Log'!D:D,A162,'QA Log'!M:M,"QQC",'QA Log'!Z:Z,"Rejected",'QA Log'!L:L,"*8. Maternity*"),
COUNTIFS('QA Log'!D:D,A162,'QA Log'!M:M,"QQC",'QA Log'!Z:Z,"Rejected",'QA Log'!L:L,"*EPI*"),
COUNTIFS('QA Log'!D:D,A162,'QA Log'!M:M,"QQC",'QA Log'!Z:Z,"Rejected",'QA Log'!L:L,"*10. Antenatal Care (ANC)*"),
COUNTIFS('QA Log'!D:D,A162,'QA Log'!M:M,"QQC",'QA Log'!Z:Z,"Rejected",'QA Log'!L:L,"*2. Hygiene and Sterilization*"),
COUNTIFS('QA Log'!D:D,A162,'QA Log'!M:M,"QQC",'QA Log'!Z:Z,"Rejected",'QA Log'!L:L,"*Family Planning*")))</f>
        <v/>
      </c>
      <c r="S162" s="106" t="str">
        <f t="shared" si="1"/>
        <v/>
      </c>
      <c r="T162" s="102" t="str">
        <f t="shared" si="2"/>
        <v/>
      </c>
      <c r="U162" s="102" t="str">
        <f>IF(A162="","",
SUM(
COUNTIFS('QA Log'!D:D,A162,'QA Log'!M:M,"QQC",'QA Log'!L:L,"*8. Maternity*"),
COUNTIFS('QA Log'!D:D,A162,'QA Log'!M:M,"QQC",'QA Log'!L:L,"*9. EPI and Pre-school Consultation*"),
COUNTIFS('QA Log'!D:D,A162,'QA Log'!M:M,"QQC",'QA Log'!L:L,"*10. Antenatal Care (ANC)*"),
COUNTIFS('QA Log'!D:D,A162,'QA Log'!M:M,"QQC",'QA Log'!L:L,"*2. Hygiene and Sterilization*"),
COUNTIFS('QA Log'!D:D,A162,'QA Log'!M:M,"QQC",'QA Log'!L:L,"*4. Family Planning*")
))</f>
        <v/>
      </c>
      <c r="V162" s="102" t="str">
        <f>IF(A162="","",
SUM(
COUNTIFS('QA Log'!D:D,A162,'QA Log'!M:M,"QQC",'QA Log'!Z:Z,"Approved",'QA Log'!L:L,"*8. Maternity*"),
COUNTIFS('QA Log'!D:D,A162,'QA Log'!M:M,"QQC",'QA Log'!Z:Z,"Approved",'QA Log'!L:L,"*9. EPI and Pre-school Consultation*"),
COUNTIFS('QA Log'!D:D,A162,'QA Log'!M:M,"QQC",'QA Log'!Z:Z,"Approved",'QA Log'!L:L,"*10. Antenatal Care (ANC)*"),
COUNTIFS('QA Log'!D:D,A162,'QA Log'!M:M,"QQC",'QA Log'!Z:Z,"Approved",'QA Log'!L:L,"*2. Hygiene and Sterilization*"),
COUNTIFS('QA Log'!D:D,A162,'QA Log'!M:M,"QQC",'QA Log'!Z:Z,"Approved",'QA Log'!L:L,"*4. Family Planning*")
))</f>
        <v/>
      </c>
      <c r="W162" s="105" t="str">
        <f>IF(A162&lt;&gt;"",COUNTIFS('QA Log'!D:D,A162,'QA Log'!M:M,"QQC",'QA Log'!L:L,"8. Maternity",'QA Log'!Z:Z,"Approved"),"")</f>
        <v/>
      </c>
      <c r="X162" s="105" t="str">
        <f>IF(A162&lt;&gt;"",COUNTIFS('QA Log'!D:D,A162,'QA Log'!M:M,"QQC",'QA Log'!L:L,"9. EPI and Pre-school Consultation",'QA Log'!Z:Z,"Approved"),"")</f>
        <v/>
      </c>
      <c r="Y162" s="105" t="str">
        <f>IF(A162&lt;&gt;"",COUNTIFS('QA Log'!D:D,A162,'QA Log'!M:M,"QQC",'QA Log'!L:L,"10. Antenatal Care (ANC)",'QA Log'!Z:Z,"Approved"),"")</f>
        <v/>
      </c>
      <c r="Z162" s="105" t="str">
        <f>IF(A162&lt;&gt;"",COUNTIFS('QA Log'!D:D,A162,'QA Log'!M:M,"QQC",'QA Log'!L:L,"2. Hygiene and Sterilization",'QA Log'!Z:Z,"Approved"),"")</f>
        <v/>
      </c>
      <c r="AA162" s="105" t="str">
        <f>IF(A162&lt;&gt;"",COUNTIFS('QA Log'!D:D,A162,'QA Log'!M:M,"QQC",'QA Log'!L:L,"4. Family Planning",'QA Log'!Z:Z,"Approved"),"")</f>
        <v/>
      </c>
      <c r="AB162" s="102" t="str">
        <f>IF(A162="","",
SUM(
COUNTIFS('QA Log'!D:D,A162,'QA Log'!M:M,"QQC",'QA Log'!Z:Z,"Rejected",'QA Log'!L:L,"*8. Maternity*"),
COUNTIFS('QA Log'!D:D,A162,'QA Log'!M:M,"QQC",'QA Log'!Z:Z,"Rejected",'QA Log'!L:L,"*9. EPI and Pre-school Consultation*"),
COUNTIFS('QA Log'!D:D,A162,'QA Log'!M:M,"QQC",'QA Log'!Z:Z,"Rejected",'QA Log'!L:L,"*10. Antenatal Care (ANC)*"),
COUNTIFS('QA Log'!D:D,A162,'QA Log'!M:M,"QQC",'QA Log'!Z:Z,"Rejected",'QA Log'!L:L,"*2. Hygiene and Sterilization*"),
COUNTIFS('QA Log'!D:D,A162,'QA Log'!M:M,"QQC",'QA Log'!Z:Z,"Rejected",'QA Log'!L:L,"*4. Family Planning*")
))</f>
        <v/>
      </c>
      <c r="AC162" s="102" t="str">
        <f t="shared" si="3"/>
        <v/>
      </c>
      <c r="AD162" s="103" t="str">
        <f t="shared" si="4"/>
        <v/>
      </c>
      <c r="AE162" s="102" t="str">
        <f>IF(A162="","",
SUM(
COUNTIFS('QA Log'!D:D,A162,'QA Log'!M:M,"Data Verification",'QA Log'!L:L,"*Medicine (section 2)*"),
COUNTIFS('QA Log'!D:D,A162,'QA Log'!M:M,"Data Verification",'QA Log'!L:L,"*Lab Testing Availability*"),
COUNTIFS('QA Log'!D:D,A162,'QA Log'!M:M,"Data Verification",'QA Log'!L:L,"*Other than P4P (section 6)*"),
COUNTIFS('QA Log'!D:D,A162,'QA Log'!M:M,"Data Verification",'QA Log'!L:L,"*Hospital Governance*")
))</f>
        <v/>
      </c>
      <c r="AF162" s="102" t="str">
        <f>IF(A162="","",
SUM(
COUNTIFS('QA Log'!D:D,A162,'QA Log'!M:M,"Data Verification",'QA Log'!Z:Z,"Approved",'QA Log'!L:L,"*Medicine (section 2)*"),
COUNTIFS('QA Log'!D:D,A162,'QA Log'!M:M,"Data Verification",'QA Log'!Z:Z,"Approved",'QA Log'!L:L,"*Lab Testing Availability*"),
COUNTIFS('QA Log'!D:D,A162,'QA Log'!M:M,"Data Verification",'QA Log'!Z:Z,"Approved",'QA Log'!L:L,"*Other than P4P (section 6)*"),
COUNTIFS('QA Log'!D:D,A162,'QA Log'!M:M,"Data Verification",'QA Log'!Z:Z,"Approved",'QA Log'!L:L,"*Hospital Governance*")
))</f>
        <v/>
      </c>
      <c r="AG162" s="105" t="str">
        <f>IF(A162&lt;&gt;"",COUNTIFS('QA Log'!D:D,A162,'QA Log'!M:M,"Data Verification",'QA Log'!L:L,"Medicine (section 2)",'QA Log'!Z:Z,"Approved"),"")</f>
        <v/>
      </c>
      <c r="AH162" s="105" t="str">
        <f>IF(A162&lt;&gt;"",COUNTIFS('QA Log'!D:D,A162,'QA Log'!M:M,"Data Verification",'QA Log'!L:L,"Lab Testing Availability",'QA Log'!Z:Z,"Approved"),"")</f>
        <v/>
      </c>
      <c r="AI162" s="105" t="str">
        <f>IF(A162&lt;&gt;"",COUNTIFS('QA Log'!D:D,A162,'QA Log'!M:M,"Data Verification",'QA Log'!L:L,"Other than P4P (section 6)",'QA Log'!Z:Z,"Approved"),"")</f>
        <v/>
      </c>
      <c r="AJ162" s="105" t="str">
        <f>IF(A162&lt;&gt;"",COUNTIFS('QA Log'!D:D,A162,'QA Log'!M:M,"Data Verification",'QA Log'!L:L,"Hospital Governance",'QA Log'!Z:Z,"Approved"),"")</f>
        <v/>
      </c>
      <c r="AK162" s="102" t="str">
        <f>IF(A162="","",
SUM(
COUNTIFS('QA Log'!D:D,A162,'QA Log'!M:M,"Data Verification",'QA Log'!Z:Z,"Rejected",'QA Log'!L:L,"*Medicine (section 2)*"),
COUNTIFS('QA Log'!D:D,A162,'QA Log'!M:M,"Data Verification",'QA Log'!Z:Z,"Rejected",'QA Log'!L:L,"*Lab Testing Availability*"),
COUNTIFS('QA Log'!D:D,A162,'QA Log'!M:M,"Data Verification",'QA Log'!Z:Z,"Rejected",'QA Log'!L:L,"*Other than P4P (section 6)*"),
COUNTIFS('QA Log'!D:D,A162,'QA Log'!M:M,"Data Verification",'QA Log'!Z:Z,"Rejected",'QA Log'!L:L,"*Hospital Governance*")
))</f>
        <v/>
      </c>
      <c r="AL162" s="106" t="str">
        <f t="shared" si="5"/>
        <v/>
      </c>
      <c r="AM162" s="102" t="str">
        <f t="shared" si="6"/>
        <v/>
      </c>
      <c r="AN162" s="102" t="str">
        <f>IF(A162="","",
SUM(
COUNTIFS('QA Log'!D:D,A162,'QA Log'!M:M,"Data Verification",'QA Log'!L:L,"*Personnel (section 1)*"),
COUNTIFS('QA Log'!D:D,A162,'QA Log'!M:M,"Data Verification",'QA Log'!L:L,"*Consumable (section 3)*"),
COUNTIFS('QA Log'!D:D,A162,'QA Log'!M:M,"Data Verification",'QA Log'!L:L,"*Equipments (section 4)*")
))</f>
        <v/>
      </c>
      <c r="AO162" s="102" t="str">
        <f>IF(A162="","",
SUM(
COUNTIFS('QA Log'!D:D,A162,'QA Log'!M:M,"Data Verification",'QA Log'!Z:Z,"Approved",'QA Log'!L:L,"*Personnel (section 1)*"),
COUNTIFS('QA Log'!D:D,A162,'QA Log'!M:M,"Data Verification",'QA Log'!Z:Z,"Approved",'QA Log'!L:L,"*Consumable (section 3)*"),
COUNTIFS('QA Log'!D:D,A162,'QA Log'!M:M,"Data Verification",'QA Log'!Z:Z,"Approved",'QA Log'!L:L,"*Equipments (section 4)*")
))</f>
        <v/>
      </c>
      <c r="AP162" s="105" t="str">
        <f>IF(A162&lt;&gt;"",COUNTIFS('QA Log'!D:D,A162,'QA Log'!M:M,"Data Verification",'QA Log'!L:L,"Personnel (section 1)",'QA Log'!Z:Z,"Approved"),"")</f>
        <v/>
      </c>
      <c r="AQ162" s="105" t="str">
        <f>IF(A162&lt;&gt;"",COUNTIFS('QA Log'!D:D,A162,'QA Log'!M:M,"Data Verification",'QA Log'!L:L,"Consumable (section 3)",'QA Log'!Z:Z,"Approved"),"")</f>
        <v/>
      </c>
      <c r="AR162" s="105" t="str">
        <f>IF(A162&lt;&gt;"",COUNTIFS('QA Log'!D:D,A162,'QA Log'!M:M,"Data Verification",'QA Log'!L:L,"Equipments (section 4)",'QA Log'!Z:Z,"Approved"),"")</f>
        <v/>
      </c>
      <c r="AS162" s="102" t="str">
        <f>IF(A162="","",
SUM(
COUNTIFS('QA Log'!D:D,A162,'QA Log'!M:M,"Data Verification",'QA Log'!Z:Z,"Rejected",'QA Log'!L:L,"*Personnel (section 1)*"),
COUNTIFS('QA Log'!D:D,A162,'QA Log'!M:M,"Data Verification",'QA Log'!Z:Z,"Rejected",'QA Log'!L:L,"*Consumable (section 3)*"),
COUNTIFS('QA Log'!D:D,A162,'QA Log'!M:M,"Data Verification",'QA Log'!Z:Z,"Rejected",'QA Log'!L:L,"*Equipments (section 4)*")
))</f>
        <v/>
      </c>
      <c r="AT162" s="102" t="str">
        <f t="shared" si="7"/>
        <v/>
      </c>
      <c r="AU162" s="103" t="str">
        <f t="shared" si="8"/>
        <v/>
      </c>
      <c r="AV162" s="102" t="str">
        <f>IF(A162="","",SUM(
COUNTIFS('QA Log'!D:D,A162,'QA Log'!M:M,"Vignette",'QA Log'!L:L,"*Vignette [1] Respiratory Infection: Pneumonia*"),
COUNTIFS('QA Log'!D:D,A162,'QA Log'!M:M,"Vignette",'QA Log'!L:L,"*Vignette [2]: Diarrhea with Cat B dehydration*"),
COUNTIFS('QA Log'!D:D,A162,'QA Log'!M:M,"Vignette",'QA Log'!L:L,"*Vignette [3] Growth Monitoring and Promotion*"),
COUNTIFS('QA Log'!D:D,A162,'QA Log'!M:M,"Vignette",'QA Log'!L:L,"*Vignette [4]: The management of presumptive TB patient*")
)
)</f>
        <v/>
      </c>
      <c r="AW162" s="102" t="str">
        <f>IF(
  A162="","",
  SUM(
    COUNTIFS('QA Log'!D:D,A162,'QA Log'!M:M,"Vignette",'QA Log'!Z:Z,"Approved",'QA Log'!L:L,"*Vignette [1] Respiratory Infection: Pneumonia*"),
    COUNTIFS('QA Log'!D:D,A162,'QA Log'!M:M,"Vignette",'QA Log'!Z:Z,"Approved",'QA Log'!L:L,"*Vignette [2]: Diarrhea with Cat B dehydration*"),
    COUNTIFS('QA Log'!D:D,A162,'QA Log'!M:M,"Vignette",'QA Log'!Z:Z,"Approved",'QA Log'!L:L,"*Vignette [3] Growth Monitoring and Promotion*"),
    COUNTIFS('QA Log'!D:D,A162,'QA Log'!M:M,"Vignette",'QA Log'!Z:Z,"Approved",'QA Log'!L:L,"*Vignette [4]: The management of presumptive TB patient*")
  )
)</f>
        <v/>
      </c>
      <c r="AX162" s="105" t="str">
        <f>IF(A162&lt;&gt;"",COUNTIFS('QA Log'!D:D,A162,'QA Log'!M:M,"Vignette",'QA Log'!L:L,"Vignette [1] Respiratory Infection: Pneumonia",'QA Log'!Z:Z,"Approved"),"")</f>
        <v/>
      </c>
      <c r="AY162" s="105" t="str">
        <f>IF(A162&lt;&gt;"",COUNTIFS('QA Log'!D:D,A162,'QA Log'!M:M,"Vignette",'QA Log'!L:L,"Vignette [2]: Diarrhea with Cat B dehydration",'QA Log'!Z:Z,"Approved"),"")</f>
        <v/>
      </c>
      <c r="AZ162" s="105" t="str">
        <f>IF(A162&lt;&gt;"",COUNTIFS('QA Log'!D:D,A162,'QA Log'!M:M,"Vignette",'QA Log'!L:L,"Vignette [3] Growth Monitoring and Promotion",'QA Log'!Z:Z,"Approved"),"")</f>
        <v/>
      </c>
      <c r="BA162" s="105" t="str">
        <f>IF(A162&lt;&gt;"",COUNTIFS('QA Log'!D:D,A162,'QA Log'!M:M,"Vignette",'QA Log'!L:L,"Vignette [4]: The management of presumptive TB patient",'QA Log'!Z:Z,"Approved"),"")</f>
        <v/>
      </c>
      <c r="BB162" s="102" t="str">
        <f>IF(A162="","",
  SUM(
    COUNTIFS('QA Log'!D:D,A162,'QA Log'!M:M,"Vignette",'QA Log'!Z:Z,"Rejected",'QA Log'!L:L,"*Vignette [1] Respiratory Infection: Pneumonia*"),
    COUNTIFS('QA Log'!D:D,A162,'QA Log'!M:M,"Vignette",'QA Log'!Z:Z,"Rejected",'QA Log'!L:L,"*Vignette [2]: Diarrhea with Cat B dehydration*"),
    COUNTIFS('QA Log'!D:D,A162,'QA Log'!M:M,"Vignette",'QA Log'!Z:Z,"Rejected",'QA Log'!L:L,"*Vignette [3] Growth Monitoring and Promotion*"),
    COUNTIFS('QA Log'!D:D,A162,'QA Log'!M:M,"Vignette",'QA Log'!Z:Z,"Rejected",'QA Log'!L:L,"*Vignette [4]: The management of presumptive TB patient*")
  )
)</f>
        <v/>
      </c>
      <c r="BC162" s="107" t="str">
        <f t="shared" si="9"/>
        <v/>
      </c>
      <c r="BD162" s="103" t="str">
        <f t="shared" si="10"/>
        <v/>
      </c>
      <c r="BE162" s="102" t="str">
        <f>IF(A162="","",SUM(
COUNTIFS('QA Log'!D:D,A162,'QA Log'!M:M,"Vignette",'QA Log'!L:L,"*Vignette [5] Labor*"),
COUNTIFS('QA Log'!D:D,A162,'QA Log'!M:M,"Vignette",'QA Log'!L:L,"*Vignette [6] PNC pre Discharge*"),
COUNTIFS('QA Log'!D:D,A162,'QA Log'!M:M,"Vignette",'QA Log'!L:L,"*Vignette [7] First ANC Visit*"),
COUNTIFS('QA Log'!D:D,A162,'QA Log'!M:M,"Vignette",'QA Log'!L:L,"*Vignette [8] Birth Spacing/ Family Planning :  FP Counselling*"),
COUNTIFS('QA Log'!D:D,A162,'QA Log'!M:M,"Vignette",'QA Log'!L:L,"*Vignette [9] Birth Spacing: Change FP method to Injectable*"),
COUNTIFS('QA Log'!D:D,A162,'QA Log'!M:M,"Vignette",'QA Log'!L:L,"*Vignette [10] Post Partum Haemorrhage - Atonic Uterus at Health Centre*"),
)
)</f>
        <v/>
      </c>
      <c r="BF162" s="102" t="str">
        <f>IF(A162="","",
  SUM(
    COUNTIFS('QA Log'!D:D,A162,'QA Log'!M:M,"Vignette",'QA Log'!Z:Z,"Approved",'QA Log'!L:L,"*Vignette [5] Labor*"),
    COUNTIFS('QA Log'!D:D,A162,'QA Log'!M:M,"Vignette",'QA Log'!Z:Z,"Approved",'QA Log'!L:L,"*Vignette [6] PNC pre Discharge*"),
    COUNTIFS('QA Log'!D:D,A162,'QA Log'!M:M,"Vignette",'QA Log'!Z:Z,"Approved",'QA Log'!L:L,"*Vignette [7] First ANC Visit*"),
    COUNTIFS('QA Log'!D:D,A162,'QA Log'!M:M,"Vignette",'QA Log'!Z:Z,"Approved",'QA Log'!L:L,"*Vignette [8] Birth Spacing/ Family Planning :  FP Counselling*"),
    COUNTIFS('QA Log'!D:D,A162,'QA Log'!M:M,"Vignette",'QA Log'!Z:Z,"Approved",'QA Log'!L:L,"*Vignette [9] Birth Spacing: Change FP method to Injectable*"),
    COUNTIFS('QA Log'!D:D,A162,'QA Log'!M:M,"Vignette",'QA Log'!Z:Z,"Approved",'QA Log'!L:L,"*Vignette [10] Post Partum Haemorrhage - Atonic Uterus at Health Centre*")
  )
)</f>
        <v/>
      </c>
      <c r="BG162" s="105" t="str">
        <f>IF(A162&lt;&gt;"",COUNTIFS('QA Log'!D:D,A162,'QA Log'!M:M,"Vignette",'QA Log'!L:L,"Vignette [5] Labor",'QA Log'!Z:Z,"Approved"),"")</f>
        <v/>
      </c>
      <c r="BH162" s="105" t="str">
        <f>IF(A162&lt;&gt;"",COUNTIFS('QA Log'!D:D,A162,'QA Log'!M:M,"Vignette",'QA Log'!L:L,"Vignette [6] PNC pre Discharge",'QA Log'!Z:Z,"Approved"),"")</f>
        <v/>
      </c>
      <c r="BI162" s="105" t="str">
        <f>IF(A162&lt;&gt;"",COUNTIFS('QA Log'!D:D,A162,'QA Log'!M:M,"Vignette",'QA Log'!L:L,"Vignette [7] First ANC Visit",'QA Log'!Z:Z,"Approved"),"")</f>
        <v/>
      </c>
      <c r="BJ162" s="105" t="str">
        <f>IF(A162&lt;&gt;"",COUNTIFS('QA Log'!D:D,A162,'QA Log'!M:M,"Vignette",'QA Log'!L:L,"Vignette [8] Birth Spacing/ Family Planning :  FP Counselling",'QA Log'!Z:Z,"Approved"),"")</f>
        <v/>
      </c>
      <c r="BK162" s="105" t="str">
        <f>IF(A162&lt;&gt;"",COUNTIFS('QA Log'!D:D,A162,'QA Log'!M:M,"Vignette",'QA Log'!L:L,"Vignette [9] Birth Spacing: Change FP method to Injectable",'QA Log'!Z:Z,"Approved"),"")</f>
        <v/>
      </c>
      <c r="BL162" s="105" t="str">
        <f>IF(A162&lt;&gt;"",COUNTIFS('QA Log'!D:D,A162,'QA Log'!M:M,"Vignette",'QA Log'!L:L,"Vignette [10] Post Partum Haemorrhage - Atonic Uterus at Health Centre",'QA Log'!Z:Z,"Approved"),"")</f>
        <v/>
      </c>
      <c r="BM162" s="102" t="str">
        <f>IF(A162="","",SUM(
    COUNTIFS('QA Log'!D:D,A162,'QA Log'!M:M,"Vignette",'QA Log'!Z:Z,"Rejected",'QA Log'!L:L,"*Vignette [5] Labor*"),
    COUNTIFS('QA Log'!D:D,A162,'QA Log'!M:M,"Vignette",'QA Log'!Z:Z,"Rejected",'QA Log'!L:L,"*Vignette [6] PNC pre Discharge*"),
    COUNTIFS('QA Log'!D:D,A162,'QA Log'!M:M,"Vignette",'QA Log'!Z:Z,"Rejected",'QA Log'!L:L,"*Vignette [7] First ANC Visit*"),
    COUNTIFS('QA Log'!D:D,A162,'QA Log'!M:M,"Vignette",'QA Log'!Z:Z,"Rejected",'QA Log'!L:L,"*Vignette [8] Birth Spacing/ Family Planning :  FP Counselling*"),
    COUNTIFS('QA Log'!D:D,A162,'QA Log'!M:M,"Vignette",'QA Log'!Z:Z,"Rejected",'QA Log'!L:L,"*Vignette [9] Birth Spacing: Change FP method to Injectable*"),
    COUNTIFS('QA Log'!D:D,A162,'QA Log'!M:M,"Vignette",'QA Log'!Z:Z,"Rejected",'QA Log'!L:L,"*Vignette [10] Post Partum Haemorrhage - Atonic Uterus at Health Centre*")
  )
)</f>
        <v/>
      </c>
      <c r="BN162" s="107" t="str">
        <f t="shared" si="11"/>
        <v/>
      </c>
      <c r="BO162" s="103" t="str">
        <f t="shared" si="12"/>
        <v/>
      </c>
      <c r="BP162" s="102" t="str">
        <f>IF(A162="","",SUM(
COUNTIFS('QA Log'!D:D,A162,'QA Log'!M:M,"Vignette",'QA Log'!L:L,"*Exit Interview 1*"),
COUNTIFS('QA Log'!D:D,A162,'QA Log'!M:M,"Vignette",'QA Log'!L:L,"*Exit Interview 2*"),
)
)</f>
        <v/>
      </c>
      <c r="BQ162" s="102" t="str">
        <f>IF(
  A162="","",
  SUM(
    COUNTIFS('QA Log'!D:D,A162,'QA Log'!M:M,"Vignette",'QA Log'!Z:Z,"Approved",'QA Log'!L:L,"*Exit Interview 1*"),
    COUNTIFS('QA Log'!D:D,A162,'QA Log'!M:M,"Vignette",'QA Log'!Z:Z,"Approved",'QA Log'!L:L,"*Exit Interview 2*")
  )
)</f>
        <v/>
      </c>
      <c r="BR162" s="105" t="str">
        <f>IF(A162&lt;&gt;"",COUNTIFS('QA Log'!D:D,A162,'QA Log'!M:M,"Vignette",'QA Log'!L:L,"Exit Interview 1",'QA Log'!Z:Z,"Approved"),"")</f>
        <v/>
      </c>
      <c r="BS162" s="105" t="str">
        <f>IF(A162&lt;&gt;"",COUNTIFS('QA Log'!D:D,A162,'QA Log'!M:M,"Vignette",'QA Log'!L:L,"Exit Interview 2",'QA Log'!Z:Z,"Approved"),"")</f>
        <v/>
      </c>
      <c r="BT162" s="102" t="str">
        <f>IF(
  A162="","",
  SUM(
    COUNTIFS('QA Log'!D:D,A162,'QA Log'!M:M,"Vignette",'QA Log'!Z:Z,"Rejected",'QA Log'!L:L,"*Exit Interview 1*"),
    COUNTIFS('QA Log'!D:D,A162,'QA Log'!M:M,"Vignette",'QA Log'!Z:Z,"Rejected",'QA Log'!L:L,"*Exit Interview 2*")
  )
)</f>
        <v/>
      </c>
      <c r="BU162" s="107" t="str">
        <f t="shared" si="13"/>
        <v/>
      </c>
      <c r="BV162" s="102" t="str">
        <f t="shared" si="14"/>
        <v/>
      </c>
      <c r="BW162" s="102" t="str">
        <f t="shared" si="15"/>
        <v/>
      </c>
      <c r="BX162" s="102" t="str">
        <f t="shared" si="16"/>
        <v/>
      </c>
      <c r="BY162" s="102" t="str">
        <f t="shared" si="17"/>
        <v/>
      </c>
      <c r="BZ162" s="107" t="str">
        <f t="shared" si="18"/>
        <v/>
      </c>
      <c r="CA162" s="108" t="str">
        <f t="shared" si="19"/>
        <v/>
      </c>
      <c r="CB162" s="108" t="str">
        <f t="shared" si="20"/>
        <v/>
      </c>
      <c r="CC162" s="109" t="str">
        <f t="shared" si="21"/>
        <v/>
      </c>
      <c r="CD162" s="108" t="str">
        <f t="shared" si="22"/>
        <v/>
      </c>
      <c r="CE162" s="108" t="str">
        <f t="shared" si="23"/>
        <v/>
      </c>
      <c r="CF162" s="109" t="str">
        <f t="shared" si="24"/>
        <v/>
      </c>
      <c r="CG162" s="110" t="str">
        <f t="shared" si="25"/>
        <v/>
      </c>
      <c r="CH162" s="111"/>
    </row>
    <row r="163" spans="1:86" ht="12.75">
      <c r="A163" s="101"/>
      <c r="B163" s="102" t="e">
        <f t="array" aca="1" ref="B163" ca="1">_xludf.XLOOKUP(A163,'QA Log'!D:D,'QA Log'!E:E,"")</f>
        <v>#NAME?</v>
      </c>
      <c r="C163" s="102" t="e">
        <f t="array" aca="1" ref="C163" ca="1">_xludf.XLOOKUP(A163,'QA Log'!D:D,'QA Log'!F:F,"")</f>
        <v>#NAME?</v>
      </c>
      <c r="D163" s="102" t="e">
        <f t="array" aca="1" ref="D163" ca="1">_xludf.XLOOKUP(A163,'QA Log'!D:D,'QA Log'!H:H,"")</f>
        <v>#NAME?</v>
      </c>
      <c r="E163" s="102" t="e">
        <f t="array" aca="1" ref="E163" ca="1">_xludf.XLOOKUP(A163,'QA Log'!D:D,'QA Log'!G:G,"")</f>
        <v>#NAME?</v>
      </c>
      <c r="F163" s="103"/>
      <c r="G163" s="104"/>
      <c r="H163" s="104"/>
      <c r="I163" s="103" t="str">
        <f t="shared" si="0"/>
        <v/>
      </c>
      <c r="J163" s="102" t="str">
        <f>IF(A163="","",SUM(
COUNTIFS('QA Log'!D:D,A163,'QA Log'!M:M,"QQC",'QA Log'!L:L,"*1. General Management*"),
COUNTIFS('QA Log'!D:D,A163,'QA Log'!M:M,"QQC",'QA Log'!L:L,"*3. Curative Consultation (OPD)*"),
COUNTIFS('QA Log'!D:D,A163,'QA Log'!M:M,"QQC",'QA Log'!L:L,"*5. Laboratory*"),
COUNTIFS('QA Log'!D:D,A163,'QA Log'!M:M,"QQC",'QA Log'!L:L,"*6. Essential Medicine Management*"),
COUNTIFS('QA Log'!D:D,A163,'QA Log'!M:M,"QQC",'QA Log'!L:L,"*7. Tracer Medicine*"),
COUNTIFS('QA Log'!D:D,A163,'QA Log'!M:M,"QQC",'QA Log'!L:L,"*11. Additional Questions*")))</f>
        <v/>
      </c>
      <c r="K163" s="102" t="str">
        <f>IF(A163="","",SUM(
COUNTIFS('QA Log'!D:D,A163,'QA Log'!M:M,"QQC",'QA Log'!Z:Z,"Approved",'QA Log'!L:L,"*1. General Management*"),
COUNTIFS('QA Log'!D:D,A163,'QA Log'!M:M,"QQC",'QA Log'!Z:Z,"Approved",'QA Log'!L:L,"*3. Curative Consultation (OPD)*"),
COUNTIFS('QA Log'!D:D,A163,'QA Log'!M:M,"QQC",'QA Log'!Z:Z,"Approved",'QA Log'!L:L,"*5. Laboratory*"),
COUNTIFS('QA Log'!D:D,A163,'QA Log'!M:M,"QQC",'QA Log'!Z:Z,"Approved",'QA Log'!L:L,"*6. Essential Medicine Management*"),
COUNTIFS('QA Log'!D:D,A163,'QA Log'!M:M,"QQC",'QA Log'!Z:Z,"Approved",'QA Log'!L:L,"*7. Tracer Medicine*"),
COUNTIFS('QA Log'!D:D,A163,'QA Log'!M:M,"QQC",'QA Log'!Z:Z,"Approved",'QA Log'!L:L,"*11. Additional Questions*")))</f>
        <v/>
      </c>
      <c r="L163" s="105" t="str">
        <f>IF(A163&lt;&gt;"",COUNTIFS('QA Log'!D:D,A163,'QA Log'!M:M,"QQC",'QA Log'!L:L,"1. General Management",'QA Log'!Z:Z,"Approved"),"")</f>
        <v/>
      </c>
      <c r="M163" s="105" t="str">
        <f>IF(A163&lt;&gt;"",COUNTIFS('QA Log'!D:D,A163,'QA Log'!M:M,"QQC",'QA Log'!L:L,"3. Curative Consultation (OPD)",'QA Log'!Z:Z,"Approved"),"")</f>
        <v/>
      </c>
      <c r="N163" s="105" t="str">
        <f>IF(A163&lt;&gt;"",COUNTIFS('QA Log'!D:D,A163,'QA Log'!M:M,"QQC",'QA Log'!L:L,"5. Laboratory",'QA Log'!Z:Z,"Approved"),"")</f>
        <v/>
      </c>
      <c r="O163" s="105" t="str">
        <f>IF(A163&lt;&gt;"",COUNTIFS('QA Log'!D:D,A163,'QA Log'!M:M,"QQC",'QA Log'!L:L,"6. Essential Medicine Management",'QA Log'!Z:Z,"Approved"),"")</f>
        <v/>
      </c>
      <c r="P163" s="105" t="str">
        <f>IF(A163&lt;&gt;"",COUNTIFS('QA Log'!D:D,A163,'QA Log'!M:M,"QQC",'QA Log'!L:L,"7. Tracer Medicine",'QA Log'!Z:Z,"Approved"),"")</f>
        <v/>
      </c>
      <c r="Q163" s="105" t="str">
        <f>IF(A163&lt;&gt;"",COUNTIFS('QA Log'!D:D,A163,'QA Log'!M:M,"QQC",'QA Log'!L:L,"11. Additional Questions",'QA Log'!Z:Z,"Approved"),"")</f>
        <v/>
      </c>
      <c r="R163" s="102" t="str">
        <f>IF(A163="","",SUM(
COUNTIFS('QA Log'!D:D,A163,'QA Log'!M:M,"QQC",'QA Log'!Z:Z,"Rejected",'QA Log'!L:L,"*8. Maternity*"),
COUNTIFS('QA Log'!D:D,A163,'QA Log'!M:M,"QQC",'QA Log'!Z:Z,"Rejected",'QA Log'!L:L,"*EPI*"),
COUNTIFS('QA Log'!D:D,A163,'QA Log'!M:M,"QQC",'QA Log'!Z:Z,"Rejected",'QA Log'!L:L,"*10. Antenatal Care (ANC)*"),
COUNTIFS('QA Log'!D:D,A163,'QA Log'!M:M,"QQC",'QA Log'!Z:Z,"Rejected",'QA Log'!L:L,"*2. Hygiene and Sterilization*"),
COUNTIFS('QA Log'!D:D,A163,'QA Log'!M:M,"QQC",'QA Log'!Z:Z,"Rejected",'QA Log'!L:L,"*Family Planning*")))</f>
        <v/>
      </c>
      <c r="S163" s="106" t="str">
        <f t="shared" si="1"/>
        <v/>
      </c>
      <c r="T163" s="102" t="str">
        <f t="shared" si="2"/>
        <v/>
      </c>
      <c r="U163" s="102" t="str">
        <f>IF(A163="","",
SUM(
COUNTIFS('QA Log'!D:D,A163,'QA Log'!M:M,"QQC",'QA Log'!L:L,"*8. Maternity*"),
COUNTIFS('QA Log'!D:D,A163,'QA Log'!M:M,"QQC",'QA Log'!L:L,"*9. EPI and Pre-school Consultation*"),
COUNTIFS('QA Log'!D:D,A163,'QA Log'!M:M,"QQC",'QA Log'!L:L,"*10. Antenatal Care (ANC)*"),
COUNTIFS('QA Log'!D:D,A163,'QA Log'!M:M,"QQC",'QA Log'!L:L,"*2. Hygiene and Sterilization*"),
COUNTIFS('QA Log'!D:D,A163,'QA Log'!M:M,"QQC",'QA Log'!L:L,"*4. Family Planning*")
))</f>
        <v/>
      </c>
      <c r="V163" s="102" t="str">
        <f>IF(A163="","",
SUM(
COUNTIFS('QA Log'!D:D,A163,'QA Log'!M:M,"QQC",'QA Log'!Z:Z,"Approved",'QA Log'!L:L,"*8. Maternity*"),
COUNTIFS('QA Log'!D:D,A163,'QA Log'!M:M,"QQC",'QA Log'!Z:Z,"Approved",'QA Log'!L:L,"*9. EPI and Pre-school Consultation*"),
COUNTIFS('QA Log'!D:D,A163,'QA Log'!M:M,"QQC",'QA Log'!Z:Z,"Approved",'QA Log'!L:L,"*10. Antenatal Care (ANC)*"),
COUNTIFS('QA Log'!D:D,A163,'QA Log'!M:M,"QQC",'QA Log'!Z:Z,"Approved",'QA Log'!L:L,"*2. Hygiene and Sterilization*"),
COUNTIFS('QA Log'!D:D,A163,'QA Log'!M:M,"QQC",'QA Log'!Z:Z,"Approved",'QA Log'!L:L,"*4. Family Planning*")
))</f>
        <v/>
      </c>
      <c r="W163" s="105" t="str">
        <f>IF(A163&lt;&gt;"",COUNTIFS('QA Log'!D:D,A163,'QA Log'!M:M,"QQC",'QA Log'!L:L,"8. Maternity",'QA Log'!Z:Z,"Approved"),"")</f>
        <v/>
      </c>
      <c r="X163" s="105" t="str">
        <f>IF(A163&lt;&gt;"",COUNTIFS('QA Log'!D:D,A163,'QA Log'!M:M,"QQC",'QA Log'!L:L,"9. EPI and Pre-school Consultation",'QA Log'!Z:Z,"Approved"),"")</f>
        <v/>
      </c>
      <c r="Y163" s="105" t="str">
        <f>IF(A163&lt;&gt;"",COUNTIFS('QA Log'!D:D,A163,'QA Log'!M:M,"QQC",'QA Log'!L:L,"10. Antenatal Care (ANC)",'QA Log'!Z:Z,"Approved"),"")</f>
        <v/>
      </c>
      <c r="Z163" s="105" t="str">
        <f>IF(A163&lt;&gt;"",COUNTIFS('QA Log'!D:D,A163,'QA Log'!M:M,"QQC",'QA Log'!L:L,"2. Hygiene and Sterilization",'QA Log'!Z:Z,"Approved"),"")</f>
        <v/>
      </c>
      <c r="AA163" s="105" t="str">
        <f>IF(A163&lt;&gt;"",COUNTIFS('QA Log'!D:D,A163,'QA Log'!M:M,"QQC",'QA Log'!L:L,"4. Family Planning",'QA Log'!Z:Z,"Approved"),"")</f>
        <v/>
      </c>
      <c r="AB163" s="102" t="str">
        <f>IF(A163="","",
SUM(
COUNTIFS('QA Log'!D:D,A163,'QA Log'!M:M,"QQC",'QA Log'!Z:Z,"Rejected",'QA Log'!L:L,"*8. Maternity*"),
COUNTIFS('QA Log'!D:D,A163,'QA Log'!M:M,"QQC",'QA Log'!Z:Z,"Rejected",'QA Log'!L:L,"*9. EPI and Pre-school Consultation*"),
COUNTIFS('QA Log'!D:D,A163,'QA Log'!M:M,"QQC",'QA Log'!Z:Z,"Rejected",'QA Log'!L:L,"*10. Antenatal Care (ANC)*"),
COUNTIFS('QA Log'!D:D,A163,'QA Log'!M:M,"QQC",'QA Log'!Z:Z,"Rejected",'QA Log'!L:L,"*2. Hygiene and Sterilization*"),
COUNTIFS('QA Log'!D:D,A163,'QA Log'!M:M,"QQC",'QA Log'!Z:Z,"Rejected",'QA Log'!L:L,"*4. Family Planning*")
))</f>
        <v/>
      </c>
      <c r="AC163" s="102" t="str">
        <f t="shared" si="3"/>
        <v/>
      </c>
      <c r="AD163" s="103" t="str">
        <f t="shared" si="4"/>
        <v/>
      </c>
      <c r="AE163" s="102" t="str">
        <f>IF(A163="","",
SUM(
COUNTIFS('QA Log'!D:D,A163,'QA Log'!M:M,"Data Verification",'QA Log'!L:L,"*Medicine (section 2)*"),
COUNTIFS('QA Log'!D:D,A163,'QA Log'!M:M,"Data Verification",'QA Log'!L:L,"*Lab Testing Availability*"),
COUNTIFS('QA Log'!D:D,A163,'QA Log'!M:M,"Data Verification",'QA Log'!L:L,"*Other than P4P (section 6)*"),
COUNTIFS('QA Log'!D:D,A163,'QA Log'!M:M,"Data Verification",'QA Log'!L:L,"*Hospital Governance*")
))</f>
        <v/>
      </c>
      <c r="AF163" s="102" t="str">
        <f>IF(A163="","",
SUM(
COUNTIFS('QA Log'!D:D,A163,'QA Log'!M:M,"Data Verification",'QA Log'!Z:Z,"Approved",'QA Log'!L:L,"*Medicine (section 2)*"),
COUNTIFS('QA Log'!D:D,A163,'QA Log'!M:M,"Data Verification",'QA Log'!Z:Z,"Approved",'QA Log'!L:L,"*Lab Testing Availability*"),
COUNTIFS('QA Log'!D:D,A163,'QA Log'!M:M,"Data Verification",'QA Log'!Z:Z,"Approved",'QA Log'!L:L,"*Other than P4P (section 6)*"),
COUNTIFS('QA Log'!D:D,A163,'QA Log'!M:M,"Data Verification",'QA Log'!Z:Z,"Approved",'QA Log'!L:L,"*Hospital Governance*")
))</f>
        <v/>
      </c>
      <c r="AG163" s="105" t="str">
        <f>IF(A163&lt;&gt;"",COUNTIFS('QA Log'!D:D,A163,'QA Log'!M:M,"Data Verification",'QA Log'!L:L,"Medicine (section 2)",'QA Log'!Z:Z,"Approved"),"")</f>
        <v/>
      </c>
      <c r="AH163" s="105" t="str">
        <f>IF(A163&lt;&gt;"",COUNTIFS('QA Log'!D:D,A163,'QA Log'!M:M,"Data Verification",'QA Log'!L:L,"Lab Testing Availability",'QA Log'!Z:Z,"Approved"),"")</f>
        <v/>
      </c>
      <c r="AI163" s="105" t="str">
        <f>IF(A163&lt;&gt;"",COUNTIFS('QA Log'!D:D,A163,'QA Log'!M:M,"Data Verification",'QA Log'!L:L,"Other than P4P (section 6)",'QA Log'!Z:Z,"Approved"),"")</f>
        <v/>
      </c>
      <c r="AJ163" s="105" t="str">
        <f>IF(A163&lt;&gt;"",COUNTIFS('QA Log'!D:D,A163,'QA Log'!M:M,"Data Verification",'QA Log'!L:L,"Hospital Governance",'QA Log'!Z:Z,"Approved"),"")</f>
        <v/>
      </c>
      <c r="AK163" s="102" t="str">
        <f>IF(A163="","",
SUM(
COUNTIFS('QA Log'!D:D,A163,'QA Log'!M:M,"Data Verification",'QA Log'!Z:Z,"Rejected",'QA Log'!L:L,"*Medicine (section 2)*"),
COUNTIFS('QA Log'!D:D,A163,'QA Log'!M:M,"Data Verification",'QA Log'!Z:Z,"Rejected",'QA Log'!L:L,"*Lab Testing Availability*"),
COUNTIFS('QA Log'!D:D,A163,'QA Log'!M:M,"Data Verification",'QA Log'!Z:Z,"Rejected",'QA Log'!L:L,"*Other than P4P (section 6)*"),
COUNTIFS('QA Log'!D:D,A163,'QA Log'!M:M,"Data Verification",'QA Log'!Z:Z,"Rejected",'QA Log'!L:L,"*Hospital Governance*")
))</f>
        <v/>
      </c>
      <c r="AL163" s="106" t="str">
        <f t="shared" si="5"/>
        <v/>
      </c>
      <c r="AM163" s="102" t="str">
        <f t="shared" si="6"/>
        <v/>
      </c>
      <c r="AN163" s="102" t="str">
        <f>IF(A163="","",
SUM(
COUNTIFS('QA Log'!D:D,A163,'QA Log'!M:M,"Data Verification",'QA Log'!L:L,"*Personnel (section 1)*"),
COUNTIFS('QA Log'!D:D,A163,'QA Log'!M:M,"Data Verification",'QA Log'!L:L,"*Consumable (section 3)*"),
COUNTIFS('QA Log'!D:D,A163,'QA Log'!M:M,"Data Verification",'QA Log'!L:L,"*Equipments (section 4)*")
))</f>
        <v/>
      </c>
      <c r="AO163" s="102" t="str">
        <f>IF(A163="","",
SUM(
COUNTIFS('QA Log'!D:D,A163,'QA Log'!M:M,"Data Verification",'QA Log'!Z:Z,"Approved",'QA Log'!L:L,"*Personnel (section 1)*"),
COUNTIFS('QA Log'!D:D,A163,'QA Log'!M:M,"Data Verification",'QA Log'!Z:Z,"Approved",'QA Log'!L:L,"*Consumable (section 3)*"),
COUNTIFS('QA Log'!D:D,A163,'QA Log'!M:M,"Data Verification",'QA Log'!Z:Z,"Approved",'QA Log'!L:L,"*Equipments (section 4)*")
))</f>
        <v/>
      </c>
      <c r="AP163" s="105" t="str">
        <f>IF(A163&lt;&gt;"",COUNTIFS('QA Log'!D:D,A163,'QA Log'!M:M,"Data Verification",'QA Log'!L:L,"Personnel (section 1)",'QA Log'!Z:Z,"Approved"),"")</f>
        <v/>
      </c>
      <c r="AQ163" s="105" t="str">
        <f>IF(A163&lt;&gt;"",COUNTIFS('QA Log'!D:D,A163,'QA Log'!M:M,"Data Verification",'QA Log'!L:L,"Consumable (section 3)",'QA Log'!Z:Z,"Approved"),"")</f>
        <v/>
      </c>
      <c r="AR163" s="105" t="str">
        <f>IF(A163&lt;&gt;"",COUNTIFS('QA Log'!D:D,A163,'QA Log'!M:M,"Data Verification",'QA Log'!L:L,"Equipments (section 4)",'QA Log'!Z:Z,"Approved"),"")</f>
        <v/>
      </c>
      <c r="AS163" s="102" t="str">
        <f>IF(A163="","",
SUM(
COUNTIFS('QA Log'!D:D,A163,'QA Log'!M:M,"Data Verification",'QA Log'!Z:Z,"Rejected",'QA Log'!L:L,"*Personnel (section 1)*"),
COUNTIFS('QA Log'!D:D,A163,'QA Log'!M:M,"Data Verification",'QA Log'!Z:Z,"Rejected",'QA Log'!L:L,"*Consumable (section 3)*"),
COUNTIFS('QA Log'!D:D,A163,'QA Log'!M:M,"Data Verification",'QA Log'!Z:Z,"Rejected",'QA Log'!L:L,"*Equipments (section 4)*")
))</f>
        <v/>
      </c>
      <c r="AT163" s="102" t="str">
        <f t="shared" si="7"/>
        <v/>
      </c>
      <c r="AU163" s="103" t="str">
        <f t="shared" si="8"/>
        <v/>
      </c>
      <c r="AV163" s="102" t="str">
        <f>IF(A163="","",SUM(
COUNTIFS('QA Log'!D:D,A163,'QA Log'!M:M,"Vignette",'QA Log'!L:L,"*Vignette [1] Respiratory Infection: Pneumonia*"),
COUNTIFS('QA Log'!D:D,A163,'QA Log'!M:M,"Vignette",'QA Log'!L:L,"*Vignette [2]: Diarrhea with Cat B dehydration*"),
COUNTIFS('QA Log'!D:D,A163,'QA Log'!M:M,"Vignette",'QA Log'!L:L,"*Vignette [3] Growth Monitoring and Promotion*"),
COUNTIFS('QA Log'!D:D,A163,'QA Log'!M:M,"Vignette",'QA Log'!L:L,"*Vignette [4]: The management of presumptive TB patient*")
)
)</f>
        <v/>
      </c>
      <c r="AW163" s="102" t="str">
        <f>IF(
  A163="","",
  SUM(
    COUNTIFS('QA Log'!D:D,A163,'QA Log'!M:M,"Vignette",'QA Log'!Z:Z,"Approved",'QA Log'!L:L,"*Vignette [1] Respiratory Infection: Pneumonia*"),
    COUNTIFS('QA Log'!D:D,A163,'QA Log'!M:M,"Vignette",'QA Log'!Z:Z,"Approved",'QA Log'!L:L,"*Vignette [2]: Diarrhea with Cat B dehydration*"),
    COUNTIFS('QA Log'!D:D,A163,'QA Log'!M:M,"Vignette",'QA Log'!Z:Z,"Approved",'QA Log'!L:L,"*Vignette [3] Growth Monitoring and Promotion*"),
    COUNTIFS('QA Log'!D:D,A163,'QA Log'!M:M,"Vignette",'QA Log'!Z:Z,"Approved",'QA Log'!L:L,"*Vignette [4]: The management of presumptive TB patient*")
  )
)</f>
        <v/>
      </c>
      <c r="AX163" s="105" t="str">
        <f>IF(A163&lt;&gt;"",COUNTIFS('QA Log'!D:D,A163,'QA Log'!M:M,"Vignette",'QA Log'!L:L,"Vignette [1] Respiratory Infection: Pneumonia",'QA Log'!Z:Z,"Approved"),"")</f>
        <v/>
      </c>
      <c r="AY163" s="105" t="str">
        <f>IF(A163&lt;&gt;"",COUNTIFS('QA Log'!D:D,A163,'QA Log'!M:M,"Vignette",'QA Log'!L:L,"Vignette [2]: Diarrhea with Cat B dehydration",'QA Log'!Z:Z,"Approved"),"")</f>
        <v/>
      </c>
      <c r="AZ163" s="105" t="str">
        <f>IF(A163&lt;&gt;"",COUNTIFS('QA Log'!D:D,A163,'QA Log'!M:M,"Vignette",'QA Log'!L:L,"Vignette [3] Growth Monitoring and Promotion",'QA Log'!Z:Z,"Approved"),"")</f>
        <v/>
      </c>
      <c r="BA163" s="105" t="str">
        <f>IF(A163&lt;&gt;"",COUNTIFS('QA Log'!D:D,A163,'QA Log'!M:M,"Vignette",'QA Log'!L:L,"Vignette [4]: The management of presumptive TB patient",'QA Log'!Z:Z,"Approved"),"")</f>
        <v/>
      </c>
      <c r="BB163" s="102" t="str">
        <f>IF(A163="","",
  SUM(
    COUNTIFS('QA Log'!D:D,A163,'QA Log'!M:M,"Vignette",'QA Log'!Z:Z,"Rejected",'QA Log'!L:L,"*Vignette [1] Respiratory Infection: Pneumonia*"),
    COUNTIFS('QA Log'!D:D,A163,'QA Log'!M:M,"Vignette",'QA Log'!Z:Z,"Rejected",'QA Log'!L:L,"*Vignette [2]: Diarrhea with Cat B dehydration*"),
    COUNTIFS('QA Log'!D:D,A163,'QA Log'!M:M,"Vignette",'QA Log'!Z:Z,"Rejected",'QA Log'!L:L,"*Vignette [3] Growth Monitoring and Promotion*"),
    COUNTIFS('QA Log'!D:D,A163,'QA Log'!M:M,"Vignette",'QA Log'!Z:Z,"Rejected",'QA Log'!L:L,"*Vignette [4]: The management of presumptive TB patient*")
  )
)</f>
        <v/>
      </c>
      <c r="BC163" s="107" t="str">
        <f t="shared" si="9"/>
        <v/>
      </c>
      <c r="BD163" s="103" t="str">
        <f t="shared" si="10"/>
        <v/>
      </c>
      <c r="BE163" s="102" t="str">
        <f>IF(A163="","",SUM(
COUNTIFS('QA Log'!D:D,A163,'QA Log'!M:M,"Vignette",'QA Log'!L:L,"*Vignette [5] Labor*"),
COUNTIFS('QA Log'!D:D,A163,'QA Log'!M:M,"Vignette",'QA Log'!L:L,"*Vignette [6] PNC pre Discharge*"),
COUNTIFS('QA Log'!D:D,A163,'QA Log'!M:M,"Vignette",'QA Log'!L:L,"*Vignette [7] First ANC Visit*"),
COUNTIFS('QA Log'!D:D,A163,'QA Log'!M:M,"Vignette",'QA Log'!L:L,"*Vignette [8] Birth Spacing/ Family Planning :  FP Counselling*"),
COUNTIFS('QA Log'!D:D,A163,'QA Log'!M:M,"Vignette",'QA Log'!L:L,"*Vignette [9] Birth Spacing: Change FP method to Injectable*"),
COUNTIFS('QA Log'!D:D,A163,'QA Log'!M:M,"Vignette",'QA Log'!L:L,"*Vignette [10] Post Partum Haemorrhage - Atonic Uterus at Health Centre*"),
)
)</f>
        <v/>
      </c>
      <c r="BF163" s="102" t="str">
        <f>IF(A163="","",
  SUM(
    COUNTIFS('QA Log'!D:D,A163,'QA Log'!M:M,"Vignette",'QA Log'!Z:Z,"Approved",'QA Log'!L:L,"*Vignette [5] Labor*"),
    COUNTIFS('QA Log'!D:D,A163,'QA Log'!M:M,"Vignette",'QA Log'!Z:Z,"Approved",'QA Log'!L:L,"*Vignette [6] PNC pre Discharge*"),
    COUNTIFS('QA Log'!D:D,A163,'QA Log'!M:M,"Vignette",'QA Log'!Z:Z,"Approved",'QA Log'!L:L,"*Vignette [7] First ANC Visit*"),
    COUNTIFS('QA Log'!D:D,A163,'QA Log'!M:M,"Vignette",'QA Log'!Z:Z,"Approved",'QA Log'!L:L,"*Vignette [8] Birth Spacing/ Family Planning :  FP Counselling*"),
    COUNTIFS('QA Log'!D:D,A163,'QA Log'!M:M,"Vignette",'QA Log'!Z:Z,"Approved",'QA Log'!L:L,"*Vignette [9] Birth Spacing: Change FP method to Injectable*"),
    COUNTIFS('QA Log'!D:D,A163,'QA Log'!M:M,"Vignette",'QA Log'!Z:Z,"Approved",'QA Log'!L:L,"*Vignette [10] Post Partum Haemorrhage - Atonic Uterus at Health Centre*")
  )
)</f>
        <v/>
      </c>
      <c r="BG163" s="105" t="str">
        <f>IF(A163&lt;&gt;"",COUNTIFS('QA Log'!D:D,A163,'QA Log'!M:M,"Vignette",'QA Log'!L:L,"Vignette [5] Labor",'QA Log'!Z:Z,"Approved"),"")</f>
        <v/>
      </c>
      <c r="BH163" s="105" t="str">
        <f>IF(A163&lt;&gt;"",COUNTIFS('QA Log'!D:D,A163,'QA Log'!M:M,"Vignette",'QA Log'!L:L,"Vignette [6] PNC pre Discharge",'QA Log'!Z:Z,"Approved"),"")</f>
        <v/>
      </c>
      <c r="BI163" s="105" t="str">
        <f>IF(A163&lt;&gt;"",COUNTIFS('QA Log'!D:D,A163,'QA Log'!M:M,"Vignette",'QA Log'!L:L,"Vignette [7] First ANC Visit",'QA Log'!Z:Z,"Approved"),"")</f>
        <v/>
      </c>
      <c r="BJ163" s="105" t="str">
        <f>IF(A163&lt;&gt;"",COUNTIFS('QA Log'!D:D,A163,'QA Log'!M:M,"Vignette",'QA Log'!L:L,"Vignette [8] Birth Spacing/ Family Planning :  FP Counselling",'QA Log'!Z:Z,"Approved"),"")</f>
        <v/>
      </c>
      <c r="BK163" s="105" t="str">
        <f>IF(A163&lt;&gt;"",COUNTIFS('QA Log'!D:D,A163,'QA Log'!M:M,"Vignette",'QA Log'!L:L,"Vignette [9] Birth Spacing: Change FP method to Injectable",'QA Log'!Z:Z,"Approved"),"")</f>
        <v/>
      </c>
      <c r="BL163" s="105" t="str">
        <f>IF(A163&lt;&gt;"",COUNTIFS('QA Log'!D:D,A163,'QA Log'!M:M,"Vignette",'QA Log'!L:L,"Vignette [10] Post Partum Haemorrhage - Atonic Uterus at Health Centre",'QA Log'!Z:Z,"Approved"),"")</f>
        <v/>
      </c>
      <c r="BM163" s="102" t="str">
        <f>IF(A163="","",SUM(
    COUNTIFS('QA Log'!D:D,A163,'QA Log'!M:M,"Vignette",'QA Log'!Z:Z,"Rejected",'QA Log'!L:L,"*Vignette [5] Labor*"),
    COUNTIFS('QA Log'!D:D,A163,'QA Log'!M:M,"Vignette",'QA Log'!Z:Z,"Rejected",'QA Log'!L:L,"*Vignette [6] PNC pre Discharge*"),
    COUNTIFS('QA Log'!D:D,A163,'QA Log'!M:M,"Vignette",'QA Log'!Z:Z,"Rejected",'QA Log'!L:L,"*Vignette [7] First ANC Visit*"),
    COUNTIFS('QA Log'!D:D,A163,'QA Log'!M:M,"Vignette",'QA Log'!Z:Z,"Rejected",'QA Log'!L:L,"*Vignette [8] Birth Spacing/ Family Planning :  FP Counselling*"),
    COUNTIFS('QA Log'!D:D,A163,'QA Log'!M:M,"Vignette",'QA Log'!Z:Z,"Rejected",'QA Log'!L:L,"*Vignette [9] Birth Spacing: Change FP method to Injectable*"),
    COUNTIFS('QA Log'!D:D,A163,'QA Log'!M:M,"Vignette",'QA Log'!Z:Z,"Rejected",'QA Log'!L:L,"*Vignette [10] Post Partum Haemorrhage - Atonic Uterus at Health Centre*")
  )
)</f>
        <v/>
      </c>
      <c r="BN163" s="107" t="str">
        <f t="shared" si="11"/>
        <v/>
      </c>
      <c r="BO163" s="103" t="str">
        <f t="shared" si="12"/>
        <v/>
      </c>
      <c r="BP163" s="102" t="str">
        <f>IF(A163="","",SUM(
COUNTIFS('QA Log'!D:D,A163,'QA Log'!M:M,"Vignette",'QA Log'!L:L,"*Exit Interview 1*"),
COUNTIFS('QA Log'!D:D,A163,'QA Log'!M:M,"Vignette",'QA Log'!L:L,"*Exit Interview 2*"),
)
)</f>
        <v/>
      </c>
      <c r="BQ163" s="102" t="str">
        <f>IF(
  A163="","",
  SUM(
    COUNTIFS('QA Log'!D:D,A163,'QA Log'!M:M,"Vignette",'QA Log'!Z:Z,"Approved",'QA Log'!L:L,"*Exit Interview 1*"),
    COUNTIFS('QA Log'!D:D,A163,'QA Log'!M:M,"Vignette",'QA Log'!Z:Z,"Approved",'QA Log'!L:L,"*Exit Interview 2*")
  )
)</f>
        <v/>
      </c>
      <c r="BR163" s="105" t="str">
        <f>IF(A163&lt;&gt;"",COUNTIFS('QA Log'!D:D,A163,'QA Log'!M:M,"Vignette",'QA Log'!L:L,"Exit Interview 1",'QA Log'!Z:Z,"Approved"),"")</f>
        <v/>
      </c>
      <c r="BS163" s="105" t="str">
        <f>IF(A163&lt;&gt;"",COUNTIFS('QA Log'!D:D,A163,'QA Log'!M:M,"Vignette",'QA Log'!L:L,"Exit Interview 2",'QA Log'!Z:Z,"Approved"),"")</f>
        <v/>
      </c>
      <c r="BT163" s="102" t="str">
        <f>IF(
  A163="","",
  SUM(
    COUNTIFS('QA Log'!D:D,A163,'QA Log'!M:M,"Vignette",'QA Log'!Z:Z,"Rejected",'QA Log'!L:L,"*Exit Interview 1*"),
    COUNTIFS('QA Log'!D:D,A163,'QA Log'!M:M,"Vignette",'QA Log'!Z:Z,"Rejected",'QA Log'!L:L,"*Exit Interview 2*")
  )
)</f>
        <v/>
      </c>
      <c r="BU163" s="107" t="str">
        <f t="shared" si="13"/>
        <v/>
      </c>
      <c r="BV163" s="102" t="str">
        <f t="shared" si="14"/>
        <v/>
      </c>
      <c r="BW163" s="102" t="str">
        <f t="shared" si="15"/>
        <v/>
      </c>
      <c r="BX163" s="102" t="str">
        <f t="shared" si="16"/>
        <v/>
      </c>
      <c r="BY163" s="102" t="str">
        <f t="shared" si="17"/>
        <v/>
      </c>
      <c r="BZ163" s="107" t="str">
        <f t="shared" si="18"/>
        <v/>
      </c>
      <c r="CA163" s="108" t="str">
        <f t="shared" si="19"/>
        <v/>
      </c>
      <c r="CB163" s="108" t="str">
        <f t="shared" si="20"/>
        <v/>
      </c>
      <c r="CC163" s="109" t="str">
        <f t="shared" si="21"/>
        <v/>
      </c>
      <c r="CD163" s="108" t="str">
        <f t="shared" si="22"/>
        <v/>
      </c>
      <c r="CE163" s="108" t="str">
        <f t="shared" si="23"/>
        <v/>
      </c>
      <c r="CF163" s="109" t="str">
        <f t="shared" si="24"/>
        <v/>
      </c>
      <c r="CG163" s="110" t="str">
        <f t="shared" si="25"/>
        <v/>
      </c>
      <c r="CH163" s="111"/>
    </row>
    <row r="164" spans="1:86" ht="12.75">
      <c r="A164" s="101"/>
      <c r="B164" s="102" t="e">
        <f t="array" aca="1" ref="B164" ca="1">_xludf.XLOOKUP(A164,'QA Log'!D:D,'QA Log'!E:E,"")</f>
        <v>#NAME?</v>
      </c>
      <c r="C164" s="102" t="e">
        <f t="array" aca="1" ref="C164" ca="1">_xludf.XLOOKUP(A164,'QA Log'!D:D,'QA Log'!F:F,"")</f>
        <v>#NAME?</v>
      </c>
      <c r="D164" s="102" t="e">
        <f t="array" aca="1" ref="D164" ca="1">_xludf.XLOOKUP(A164,'QA Log'!D:D,'QA Log'!H:H,"")</f>
        <v>#NAME?</v>
      </c>
      <c r="E164" s="102" t="e">
        <f t="array" aca="1" ref="E164" ca="1">_xludf.XLOOKUP(A164,'QA Log'!D:D,'QA Log'!G:G,"")</f>
        <v>#NAME?</v>
      </c>
      <c r="F164" s="103"/>
      <c r="G164" s="104"/>
      <c r="H164" s="104"/>
      <c r="I164" s="103" t="str">
        <f t="shared" si="0"/>
        <v/>
      </c>
      <c r="J164" s="102" t="str">
        <f>IF(A164="","",SUM(
COUNTIFS('QA Log'!D:D,A164,'QA Log'!M:M,"QQC",'QA Log'!L:L,"*1. General Management*"),
COUNTIFS('QA Log'!D:D,A164,'QA Log'!M:M,"QQC",'QA Log'!L:L,"*3. Curative Consultation (OPD)*"),
COUNTIFS('QA Log'!D:D,A164,'QA Log'!M:M,"QQC",'QA Log'!L:L,"*5. Laboratory*"),
COUNTIFS('QA Log'!D:D,A164,'QA Log'!M:M,"QQC",'QA Log'!L:L,"*6. Essential Medicine Management*"),
COUNTIFS('QA Log'!D:D,A164,'QA Log'!M:M,"QQC",'QA Log'!L:L,"*7. Tracer Medicine*"),
COUNTIFS('QA Log'!D:D,A164,'QA Log'!M:M,"QQC",'QA Log'!L:L,"*11. Additional Questions*")))</f>
        <v/>
      </c>
      <c r="K164" s="102" t="str">
        <f>IF(A164="","",SUM(
COUNTIFS('QA Log'!D:D,A164,'QA Log'!M:M,"QQC",'QA Log'!Z:Z,"Approved",'QA Log'!L:L,"*1. General Management*"),
COUNTIFS('QA Log'!D:D,A164,'QA Log'!M:M,"QQC",'QA Log'!Z:Z,"Approved",'QA Log'!L:L,"*3. Curative Consultation (OPD)*"),
COUNTIFS('QA Log'!D:D,A164,'QA Log'!M:M,"QQC",'QA Log'!Z:Z,"Approved",'QA Log'!L:L,"*5. Laboratory*"),
COUNTIFS('QA Log'!D:D,A164,'QA Log'!M:M,"QQC",'QA Log'!Z:Z,"Approved",'QA Log'!L:L,"*6. Essential Medicine Management*"),
COUNTIFS('QA Log'!D:D,A164,'QA Log'!M:M,"QQC",'QA Log'!Z:Z,"Approved",'QA Log'!L:L,"*7. Tracer Medicine*"),
COUNTIFS('QA Log'!D:D,A164,'QA Log'!M:M,"QQC",'QA Log'!Z:Z,"Approved",'QA Log'!L:L,"*11. Additional Questions*")))</f>
        <v/>
      </c>
      <c r="L164" s="105" t="str">
        <f>IF(A164&lt;&gt;"",COUNTIFS('QA Log'!D:D,A164,'QA Log'!M:M,"QQC",'QA Log'!L:L,"1. General Management",'QA Log'!Z:Z,"Approved"),"")</f>
        <v/>
      </c>
      <c r="M164" s="105" t="str">
        <f>IF(A164&lt;&gt;"",COUNTIFS('QA Log'!D:D,A164,'QA Log'!M:M,"QQC",'QA Log'!L:L,"3. Curative Consultation (OPD)",'QA Log'!Z:Z,"Approved"),"")</f>
        <v/>
      </c>
      <c r="N164" s="105" t="str">
        <f>IF(A164&lt;&gt;"",COUNTIFS('QA Log'!D:D,A164,'QA Log'!M:M,"QQC",'QA Log'!L:L,"5. Laboratory",'QA Log'!Z:Z,"Approved"),"")</f>
        <v/>
      </c>
      <c r="O164" s="105" t="str">
        <f>IF(A164&lt;&gt;"",COUNTIFS('QA Log'!D:D,A164,'QA Log'!M:M,"QQC",'QA Log'!L:L,"6. Essential Medicine Management",'QA Log'!Z:Z,"Approved"),"")</f>
        <v/>
      </c>
      <c r="P164" s="105" t="str">
        <f>IF(A164&lt;&gt;"",COUNTIFS('QA Log'!D:D,A164,'QA Log'!M:M,"QQC",'QA Log'!L:L,"7. Tracer Medicine",'QA Log'!Z:Z,"Approved"),"")</f>
        <v/>
      </c>
      <c r="Q164" s="105" t="str">
        <f>IF(A164&lt;&gt;"",COUNTIFS('QA Log'!D:D,A164,'QA Log'!M:M,"QQC",'QA Log'!L:L,"11. Additional Questions",'QA Log'!Z:Z,"Approved"),"")</f>
        <v/>
      </c>
      <c r="R164" s="102" t="str">
        <f>IF(A164="","",SUM(
COUNTIFS('QA Log'!D:D,A164,'QA Log'!M:M,"QQC",'QA Log'!Z:Z,"Rejected",'QA Log'!L:L,"*8. Maternity*"),
COUNTIFS('QA Log'!D:D,A164,'QA Log'!M:M,"QQC",'QA Log'!Z:Z,"Rejected",'QA Log'!L:L,"*EPI*"),
COUNTIFS('QA Log'!D:D,A164,'QA Log'!M:M,"QQC",'QA Log'!Z:Z,"Rejected",'QA Log'!L:L,"*10. Antenatal Care (ANC)*"),
COUNTIFS('QA Log'!D:D,A164,'QA Log'!M:M,"QQC",'QA Log'!Z:Z,"Rejected",'QA Log'!L:L,"*2. Hygiene and Sterilization*"),
COUNTIFS('QA Log'!D:D,A164,'QA Log'!M:M,"QQC",'QA Log'!Z:Z,"Rejected",'QA Log'!L:L,"*Family Planning*")))</f>
        <v/>
      </c>
      <c r="S164" s="106" t="str">
        <f t="shared" si="1"/>
        <v/>
      </c>
      <c r="T164" s="102" t="str">
        <f t="shared" si="2"/>
        <v/>
      </c>
      <c r="U164" s="102" t="str">
        <f>IF(A164="","",
SUM(
COUNTIFS('QA Log'!D:D,A164,'QA Log'!M:M,"QQC",'QA Log'!L:L,"*8. Maternity*"),
COUNTIFS('QA Log'!D:D,A164,'QA Log'!M:M,"QQC",'QA Log'!L:L,"*9. EPI and Pre-school Consultation*"),
COUNTIFS('QA Log'!D:D,A164,'QA Log'!M:M,"QQC",'QA Log'!L:L,"*10. Antenatal Care (ANC)*"),
COUNTIFS('QA Log'!D:D,A164,'QA Log'!M:M,"QQC",'QA Log'!L:L,"*2. Hygiene and Sterilization*"),
COUNTIFS('QA Log'!D:D,A164,'QA Log'!M:M,"QQC",'QA Log'!L:L,"*4. Family Planning*")
))</f>
        <v/>
      </c>
      <c r="V164" s="102" t="str">
        <f>IF(A164="","",
SUM(
COUNTIFS('QA Log'!D:D,A164,'QA Log'!M:M,"QQC",'QA Log'!Z:Z,"Approved",'QA Log'!L:L,"*8. Maternity*"),
COUNTIFS('QA Log'!D:D,A164,'QA Log'!M:M,"QQC",'QA Log'!Z:Z,"Approved",'QA Log'!L:L,"*9. EPI and Pre-school Consultation*"),
COUNTIFS('QA Log'!D:D,A164,'QA Log'!M:M,"QQC",'QA Log'!Z:Z,"Approved",'QA Log'!L:L,"*10. Antenatal Care (ANC)*"),
COUNTIFS('QA Log'!D:D,A164,'QA Log'!M:M,"QQC",'QA Log'!Z:Z,"Approved",'QA Log'!L:L,"*2. Hygiene and Sterilization*"),
COUNTIFS('QA Log'!D:D,A164,'QA Log'!M:M,"QQC",'QA Log'!Z:Z,"Approved",'QA Log'!L:L,"*4. Family Planning*")
))</f>
        <v/>
      </c>
      <c r="W164" s="105" t="str">
        <f>IF(A164&lt;&gt;"",COUNTIFS('QA Log'!D:D,A164,'QA Log'!M:M,"QQC",'QA Log'!L:L,"8. Maternity",'QA Log'!Z:Z,"Approved"),"")</f>
        <v/>
      </c>
      <c r="X164" s="105" t="str">
        <f>IF(A164&lt;&gt;"",COUNTIFS('QA Log'!D:D,A164,'QA Log'!M:M,"QQC",'QA Log'!L:L,"9. EPI and Pre-school Consultation",'QA Log'!Z:Z,"Approved"),"")</f>
        <v/>
      </c>
      <c r="Y164" s="105" t="str">
        <f>IF(A164&lt;&gt;"",COUNTIFS('QA Log'!D:D,A164,'QA Log'!M:M,"QQC",'QA Log'!L:L,"10. Antenatal Care (ANC)",'QA Log'!Z:Z,"Approved"),"")</f>
        <v/>
      </c>
      <c r="Z164" s="105" t="str">
        <f>IF(A164&lt;&gt;"",COUNTIFS('QA Log'!D:D,A164,'QA Log'!M:M,"QQC",'QA Log'!L:L,"2. Hygiene and Sterilization",'QA Log'!Z:Z,"Approved"),"")</f>
        <v/>
      </c>
      <c r="AA164" s="105" t="str">
        <f>IF(A164&lt;&gt;"",COUNTIFS('QA Log'!D:D,A164,'QA Log'!M:M,"QQC",'QA Log'!L:L,"4. Family Planning",'QA Log'!Z:Z,"Approved"),"")</f>
        <v/>
      </c>
      <c r="AB164" s="102" t="str">
        <f>IF(A164="","",
SUM(
COUNTIFS('QA Log'!D:D,A164,'QA Log'!M:M,"QQC",'QA Log'!Z:Z,"Rejected",'QA Log'!L:L,"*8. Maternity*"),
COUNTIFS('QA Log'!D:D,A164,'QA Log'!M:M,"QQC",'QA Log'!Z:Z,"Rejected",'QA Log'!L:L,"*9. EPI and Pre-school Consultation*"),
COUNTIFS('QA Log'!D:D,A164,'QA Log'!M:M,"QQC",'QA Log'!Z:Z,"Rejected",'QA Log'!L:L,"*10. Antenatal Care (ANC)*"),
COUNTIFS('QA Log'!D:D,A164,'QA Log'!M:M,"QQC",'QA Log'!Z:Z,"Rejected",'QA Log'!L:L,"*2. Hygiene and Sterilization*"),
COUNTIFS('QA Log'!D:D,A164,'QA Log'!M:M,"QQC",'QA Log'!Z:Z,"Rejected",'QA Log'!L:L,"*4. Family Planning*")
))</f>
        <v/>
      </c>
      <c r="AC164" s="102" t="str">
        <f t="shared" si="3"/>
        <v/>
      </c>
      <c r="AD164" s="103" t="str">
        <f t="shared" si="4"/>
        <v/>
      </c>
      <c r="AE164" s="102" t="str">
        <f>IF(A164="","",
SUM(
COUNTIFS('QA Log'!D:D,A164,'QA Log'!M:M,"Data Verification",'QA Log'!L:L,"*Medicine (section 2)*"),
COUNTIFS('QA Log'!D:D,A164,'QA Log'!M:M,"Data Verification",'QA Log'!L:L,"*Lab Testing Availability*"),
COUNTIFS('QA Log'!D:D,A164,'QA Log'!M:M,"Data Verification",'QA Log'!L:L,"*Other than P4P (section 6)*"),
COUNTIFS('QA Log'!D:D,A164,'QA Log'!M:M,"Data Verification",'QA Log'!L:L,"*Hospital Governance*")
))</f>
        <v/>
      </c>
      <c r="AF164" s="102" t="str">
        <f>IF(A164="","",
SUM(
COUNTIFS('QA Log'!D:D,A164,'QA Log'!M:M,"Data Verification",'QA Log'!Z:Z,"Approved",'QA Log'!L:L,"*Medicine (section 2)*"),
COUNTIFS('QA Log'!D:D,A164,'QA Log'!M:M,"Data Verification",'QA Log'!Z:Z,"Approved",'QA Log'!L:L,"*Lab Testing Availability*"),
COUNTIFS('QA Log'!D:D,A164,'QA Log'!M:M,"Data Verification",'QA Log'!Z:Z,"Approved",'QA Log'!L:L,"*Other than P4P (section 6)*"),
COUNTIFS('QA Log'!D:D,A164,'QA Log'!M:M,"Data Verification",'QA Log'!Z:Z,"Approved",'QA Log'!L:L,"*Hospital Governance*")
))</f>
        <v/>
      </c>
      <c r="AG164" s="105" t="str">
        <f>IF(A164&lt;&gt;"",COUNTIFS('QA Log'!D:D,A164,'QA Log'!M:M,"Data Verification",'QA Log'!L:L,"Medicine (section 2)",'QA Log'!Z:Z,"Approved"),"")</f>
        <v/>
      </c>
      <c r="AH164" s="105" t="str">
        <f>IF(A164&lt;&gt;"",COUNTIFS('QA Log'!D:D,A164,'QA Log'!M:M,"Data Verification",'QA Log'!L:L,"Lab Testing Availability",'QA Log'!Z:Z,"Approved"),"")</f>
        <v/>
      </c>
      <c r="AI164" s="105" t="str">
        <f>IF(A164&lt;&gt;"",COUNTIFS('QA Log'!D:D,A164,'QA Log'!M:M,"Data Verification",'QA Log'!L:L,"Other than P4P (section 6)",'QA Log'!Z:Z,"Approved"),"")</f>
        <v/>
      </c>
      <c r="AJ164" s="105" t="str">
        <f>IF(A164&lt;&gt;"",COUNTIFS('QA Log'!D:D,A164,'QA Log'!M:M,"Data Verification",'QA Log'!L:L,"Hospital Governance",'QA Log'!Z:Z,"Approved"),"")</f>
        <v/>
      </c>
      <c r="AK164" s="102" t="str">
        <f>IF(A164="","",
SUM(
COUNTIFS('QA Log'!D:D,A164,'QA Log'!M:M,"Data Verification",'QA Log'!Z:Z,"Rejected",'QA Log'!L:L,"*Medicine (section 2)*"),
COUNTIFS('QA Log'!D:D,A164,'QA Log'!M:M,"Data Verification",'QA Log'!Z:Z,"Rejected",'QA Log'!L:L,"*Lab Testing Availability*"),
COUNTIFS('QA Log'!D:D,A164,'QA Log'!M:M,"Data Verification",'QA Log'!Z:Z,"Rejected",'QA Log'!L:L,"*Other than P4P (section 6)*"),
COUNTIFS('QA Log'!D:D,A164,'QA Log'!M:M,"Data Verification",'QA Log'!Z:Z,"Rejected",'QA Log'!L:L,"*Hospital Governance*")
))</f>
        <v/>
      </c>
      <c r="AL164" s="106" t="str">
        <f t="shared" si="5"/>
        <v/>
      </c>
      <c r="AM164" s="102" t="str">
        <f t="shared" si="6"/>
        <v/>
      </c>
      <c r="AN164" s="102" t="str">
        <f>IF(A164="","",
SUM(
COUNTIFS('QA Log'!D:D,A164,'QA Log'!M:M,"Data Verification",'QA Log'!L:L,"*Personnel (section 1)*"),
COUNTIFS('QA Log'!D:D,A164,'QA Log'!M:M,"Data Verification",'QA Log'!L:L,"*Consumable (section 3)*"),
COUNTIFS('QA Log'!D:D,A164,'QA Log'!M:M,"Data Verification",'QA Log'!L:L,"*Equipments (section 4)*")
))</f>
        <v/>
      </c>
      <c r="AO164" s="102" t="str">
        <f>IF(A164="","",
SUM(
COUNTIFS('QA Log'!D:D,A164,'QA Log'!M:M,"Data Verification",'QA Log'!Z:Z,"Approved",'QA Log'!L:L,"*Personnel (section 1)*"),
COUNTIFS('QA Log'!D:D,A164,'QA Log'!M:M,"Data Verification",'QA Log'!Z:Z,"Approved",'QA Log'!L:L,"*Consumable (section 3)*"),
COUNTIFS('QA Log'!D:D,A164,'QA Log'!M:M,"Data Verification",'QA Log'!Z:Z,"Approved",'QA Log'!L:L,"*Equipments (section 4)*")
))</f>
        <v/>
      </c>
      <c r="AP164" s="105" t="str">
        <f>IF(A164&lt;&gt;"",COUNTIFS('QA Log'!D:D,A164,'QA Log'!M:M,"Data Verification",'QA Log'!L:L,"Personnel (section 1)",'QA Log'!Z:Z,"Approved"),"")</f>
        <v/>
      </c>
      <c r="AQ164" s="105" t="str">
        <f>IF(A164&lt;&gt;"",COUNTIFS('QA Log'!D:D,A164,'QA Log'!M:M,"Data Verification",'QA Log'!L:L,"Consumable (section 3)",'QA Log'!Z:Z,"Approved"),"")</f>
        <v/>
      </c>
      <c r="AR164" s="105" t="str">
        <f>IF(A164&lt;&gt;"",COUNTIFS('QA Log'!D:D,A164,'QA Log'!M:M,"Data Verification",'QA Log'!L:L,"Equipments (section 4)",'QA Log'!Z:Z,"Approved"),"")</f>
        <v/>
      </c>
      <c r="AS164" s="102" t="str">
        <f>IF(A164="","",
SUM(
COUNTIFS('QA Log'!D:D,A164,'QA Log'!M:M,"Data Verification",'QA Log'!Z:Z,"Rejected",'QA Log'!L:L,"*Personnel (section 1)*"),
COUNTIFS('QA Log'!D:D,A164,'QA Log'!M:M,"Data Verification",'QA Log'!Z:Z,"Rejected",'QA Log'!L:L,"*Consumable (section 3)*"),
COUNTIFS('QA Log'!D:D,A164,'QA Log'!M:M,"Data Verification",'QA Log'!Z:Z,"Rejected",'QA Log'!L:L,"*Equipments (section 4)*")
))</f>
        <v/>
      </c>
      <c r="AT164" s="102" t="str">
        <f t="shared" si="7"/>
        <v/>
      </c>
      <c r="AU164" s="103" t="str">
        <f t="shared" si="8"/>
        <v/>
      </c>
      <c r="AV164" s="102" t="str">
        <f>IF(A164="","",SUM(
COUNTIFS('QA Log'!D:D,A164,'QA Log'!M:M,"Vignette",'QA Log'!L:L,"*Vignette [1] Respiratory Infection: Pneumonia*"),
COUNTIFS('QA Log'!D:D,A164,'QA Log'!M:M,"Vignette",'QA Log'!L:L,"*Vignette [2]: Diarrhea with Cat B dehydration*"),
COUNTIFS('QA Log'!D:D,A164,'QA Log'!M:M,"Vignette",'QA Log'!L:L,"*Vignette [3] Growth Monitoring and Promotion*"),
COUNTIFS('QA Log'!D:D,A164,'QA Log'!M:M,"Vignette",'QA Log'!L:L,"*Vignette [4]: The management of presumptive TB patient*")
)
)</f>
        <v/>
      </c>
      <c r="AW164" s="102" t="str">
        <f>IF(
  A164="","",
  SUM(
    COUNTIFS('QA Log'!D:D,A164,'QA Log'!M:M,"Vignette",'QA Log'!Z:Z,"Approved",'QA Log'!L:L,"*Vignette [1] Respiratory Infection: Pneumonia*"),
    COUNTIFS('QA Log'!D:D,A164,'QA Log'!M:M,"Vignette",'QA Log'!Z:Z,"Approved",'QA Log'!L:L,"*Vignette [2]: Diarrhea with Cat B dehydration*"),
    COUNTIFS('QA Log'!D:D,A164,'QA Log'!M:M,"Vignette",'QA Log'!Z:Z,"Approved",'QA Log'!L:L,"*Vignette [3] Growth Monitoring and Promotion*"),
    COUNTIFS('QA Log'!D:D,A164,'QA Log'!M:M,"Vignette",'QA Log'!Z:Z,"Approved",'QA Log'!L:L,"*Vignette [4]: The management of presumptive TB patient*")
  )
)</f>
        <v/>
      </c>
      <c r="AX164" s="105" t="str">
        <f>IF(A164&lt;&gt;"",COUNTIFS('QA Log'!D:D,A164,'QA Log'!M:M,"Vignette",'QA Log'!L:L,"Vignette [1] Respiratory Infection: Pneumonia",'QA Log'!Z:Z,"Approved"),"")</f>
        <v/>
      </c>
      <c r="AY164" s="105" t="str">
        <f>IF(A164&lt;&gt;"",COUNTIFS('QA Log'!D:D,A164,'QA Log'!M:M,"Vignette",'QA Log'!L:L,"Vignette [2]: Diarrhea with Cat B dehydration",'QA Log'!Z:Z,"Approved"),"")</f>
        <v/>
      </c>
      <c r="AZ164" s="105" t="str">
        <f>IF(A164&lt;&gt;"",COUNTIFS('QA Log'!D:D,A164,'QA Log'!M:M,"Vignette",'QA Log'!L:L,"Vignette [3] Growth Monitoring and Promotion",'QA Log'!Z:Z,"Approved"),"")</f>
        <v/>
      </c>
      <c r="BA164" s="105" t="str">
        <f>IF(A164&lt;&gt;"",COUNTIFS('QA Log'!D:D,A164,'QA Log'!M:M,"Vignette",'QA Log'!L:L,"Vignette [4]: The management of presumptive TB patient",'QA Log'!Z:Z,"Approved"),"")</f>
        <v/>
      </c>
      <c r="BB164" s="102" t="str">
        <f>IF(A164="","",
  SUM(
    COUNTIFS('QA Log'!D:D,A164,'QA Log'!M:M,"Vignette",'QA Log'!Z:Z,"Rejected",'QA Log'!L:L,"*Vignette [1] Respiratory Infection: Pneumonia*"),
    COUNTIFS('QA Log'!D:D,A164,'QA Log'!M:M,"Vignette",'QA Log'!Z:Z,"Rejected",'QA Log'!L:L,"*Vignette [2]: Diarrhea with Cat B dehydration*"),
    COUNTIFS('QA Log'!D:D,A164,'QA Log'!M:M,"Vignette",'QA Log'!Z:Z,"Rejected",'QA Log'!L:L,"*Vignette [3] Growth Monitoring and Promotion*"),
    COUNTIFS('QA Log'!D:D,A164,'QA Log'!M:M,"Vignette",'QA Log'!Z:Z,"Rejected",'QA Log'!L:L,"*Vignette [4]: The management of presumptive TB patient*")
  )
)</f>
        <v/>
      </c>
      <c r="BC164" s="107" t="str">
        <f t="shared" si="9"/>
        <v/>
      </c>
      <c r="BD164" s="103" t="str">
        <f t="shared" si="10"/>
        <v/>
      </c>
      <c r="BE164" s="102" t="str">
        <f>IF(A164="","",SUM(
COUNTIFS('QA Log'!D:D,A164,'QA Log'!M:M,"Vignette",'QA Log'!L:L,"*Vignette [5] Labor*"),
COUNTIFS('QA Log'!D:D,A164,'QA Log'!M:M,"Vignette",'QA Log'!L:L,"*Vignette [6] PNC pre Discharge*"),
COUNTIFS('QA Log'!D:D,A164,'QA Log'!M:M,"Vignette",'QA Log'!L:L,"*Vignette [7] First ANC Visit*"),
COUNTIFS('QA Log'!D:D,A164,'QA Log'!M:M,"Vignette",'QA Log'!L:L,"*Vignette [8] Birth Spacing/ Family Planning :  FP Counselling*"),
COUNTIFS('QA Log'!D:D,A164,'QA Log'!M:M,"Vignette",'QA Log'!L:L,"*Vignette [9] Birth Spacing: Change FP method to Injectable*"),
COUNTIFS('QA Log'!D:D,A164,'QA Log'!M:M,"Vignette",'QA Log'!L:L,"*Vignette [10] Post Partum Haemorrhage - Atonic Uterus at Health Centre*"),
)
)</f>
        <v/>
      </c>
      <c r="BF164" s="102" t="str">
        <f>IF(A164="","",
  SUM(
    COUNTIFS('QA Log'!D:D,A164,'QA Log'!M:M,"Vignette",'QA Log'!Z:Z,"Approved",'QA Log'!L:L,"*Vignette [5] Labor*"),
    COUNTIFS('QA Log'!D:D,A164,'QA Log'!M:M,"Vignette",'QA Log'!Z:Z,"Approved",'QA Log'!L:L,"*Vignette [6] PNC pre Discharge*"),
    COUNTIFS('QA Log'!D:D,A164,'QA Log'!M:M,"Vignette",'QA Log'!Z:Z,"Approved",'QA Log'!L:L,"*Vignette [7] First ANC Visit*"),
    COUNTIFS('QA Log'!D:D,A164,'QA Log'!M:M,"Vignette",'QA Log'!Z:Z,"Approved",'QA Log'!L:L,"*Vignette [8] Birth Spacing/ Family Planning :  FP Counselling*"),
    COUNTIFS('QA Log'!D:D,A164,'QA Log'!M:M,"Vignette",'QA Log'!Z:Z,"Approved",'QA Log'!L:L,"*Vignette [9] Birth Spacing: Change FP method to Injectable*"),
    COUNTIFS('QA Log'!D:D,A164,'QA Log'!M:M,"Vignette",'QA Log'!Z:Z,"Approved",'QA Log'!L:L,"*Vignette [10] Post Partum Haemorrhage - Atonic Uterus at Health Centre*")
  )
)</f>
        <v/>
      </c>
      <c r="BG164" s="105" t="str">
        <f>IF(A164&lt;&gt;"",COUNTIFS('QA Log'!D:D,A164,'QA Log'!M:M,"Vignette",'QA Log'!L:L,"Vignette [5] Labor",'QA Log'!Z:Z,"Approved"),"")</f>
        <v/>
      </c>
      <c r="BH164" s="105" t="str">
        <f>IF(A164&lt;&gt;"",COUNTIFS('QA Log'!D:D,A164,'QA Log'!M:M,"Vignette",'QA Log'!L:L,"Vignette [6] PNC pre Discharge",'QA Log'!Z:Z,"Approved"),"")</f>
        <v/>
      </c>
      <c r="BI164" s="105" t="str">
        <f>IF(A164&lt;&gt;"",COUNTIFS('QA Log'!D:D,A164,'QA Log'!M:M,"Vignette",'QA Log'!L:L,"Vignette [7] First ANC Visit",'QA Log'!Z:Z,"Approved"),"")</f>
        <v/>
      </c>
      <c r="BJ164" s="105" t="str">
        <f>IF(A164&lt;&gt;"",COUNTIFS('QA Log'!D:D,A164,'QA Log'!M:M,"Vignette",'QA Log'!L:L,"Vignette [8] Birth Spacing/ Family Planning :  FP Counselling",'QA Log'!Z:Z,"Approved"),"")</f>
        <v/>
      </c>
      <c r="BK164" s="105" t="str">
        <f>IF(A164&lt;&gt;"",COUNTIFS('QA Log'!D:D,A164,'QA Log'!M:M,"Vignette",'QA Log'!L:L,"Vignette [9] Birth Spacing: Change FP method to Injectable",'QA Log'!Z:Z,"Approved"),"")</f>
        <v/>
      </c>
      <c r="BL164" s="105" t="str">
        <f>IF(A164&lt;&gt;"",COUNTIFS('QA Log'!D:D,A164,'QA Log'!M:M,"Vignette",'QA Log'!L:L,"Vignette [10] Post Partum Haemorrhage - Atonic Uterus at Health Centre",'QA Log'!Z:Z,"Approved"),"")</f>
        <v/>
      </c>
      <c r="BM164" s="102" t="str">
        <f>IF(A164="","",SUM(
    COUNTIFS('QA Log'!D:D,A164,'QA Log'!M:M,"Vignette",'QA Log'!Z:Z,"Rejected",'QA Log'!L:L,"*Vignette [5] Labor*"),
    COUNTIFS('QA Log'!D:D,A164,'QA Log'!M:M,"Vignette",'QA Log'!Z:Z,"Rejected",'QA Log'!L:L,"*Vignette [6] PNC pre Discharge*"),
    COUNTIFS('QA Log'!D:D,A164,'QA Log'!M:M,"Vignette",'QA Log'!Z:Z,"Rejected",'QA Log'!L:L,"*Vignette [7] First ANC Visit*"),
    COUNTIFS('QA Log'!D:D,A164,'QA Log'!M:M,"Vignette",'QA Log'!Z:Z,"Rejected",'QA Log'!L:L,"*Vignette [8] Birth Spacing/ Family Planning :  FP Counselling*"),
    COUNTIFS('QA Log'!D:D,A164,'QA Log'!M:M,"Vignette",'QA Log'!Z:Z,"Rejected",'QA Log'!L:L,"*Vignette [9] Birth Spacing: Change FP method to Injectable*"),
    COUNTIFS('QA Log'!D:D,A164,'QA Log'!M:M,"Vignette",'QA Log'!Z:Z,"Rejected",'QA Log'!L:L,"*Vignette [10] Post Partum Haemorrhage - Atonic Uterus at Health Centre*")
  )
)</f>
        <v/>
      </c>
      <c r="BN164" s="107" t="str">
        <f t="shared" si="11"/>
        <v/>
      </c>
      <c r="BO164" s="103" t="str">
        <f t="shared" si="12"/>
        <v/>
      </c>
      <c r="BP164" s="102" t="str">
        <f>IF(A164="","",SUM(
COUNTIFS('QA Log'!D:D,A164,'QA Log'!M:M,"Vignette",'QA Log'!L:L,"*Exit Interview 1*"),
COUNTIFS('QA Log'!D:D,A164,'QA Log'!M:M,"Vignette",'QA Log'!L:L,"*Exit Interview 2*"),
)
)</f>
        <v/>
      </c>
      <c r="BQ164" s="102" t="str">
        <f>IF(
  A164="","",
  SUM(
    COUNTIFS('QA Log'!D:D,A164,'QA Log'!M:M,"Vignette",'QA Log'!Z:Z,"Approved",'QA Log'!L:L,"*Exit Interview 1*"),
    COUNTIFS('QA Log'!D:D,A164,'QA Log'!M:M,"Vignette",'QA Log'!Z:Z,"Approved",'QA Log'!L:L,"*Exit Interview 2*")
  )
)</f>
        <v/>
      </c>
      <c r="BR164" s="105" t="str">
        <f>IF(A164&lt;&gt;"",COUNTIFS('QA Log'!D:D,A164,'QA Log'!M:M,"Vignette",'QA Log'!L:L,"Exit Interview 1",'QA Log'!Z:Z,"Approved"),"")</f>
        <v/>
      </c>
      <c r="BS164" s="105" t="str">
        <f>IF(A164&lt;&gt;"",COUNTIFS('QA Log'!D:D,A164,'QA Log'!M:M,"Vignette",'QA Log'!L:L,"Exit Interview 2",'QA Log'!Z:Z,"Approved"),"")</f>
        <v/>
      </c>
      <c r="BT164" s="102" t="str">
        <f>IF(
  A164="","",
  SUM(
    COUNTIFS('QA Log'!D:D,A164,'QA Log'!M:M,"Vignette",'QA Log'!Z:Z,"Rejected",'QA Log'!L:L,"*Exit Interview 1*"),
    COUNTIFS('QA Log'!D:D,A164,'QA Log'!M:M,"Vignette",'QA Log'!Z:Z,"Rejected",'QA Log'!L:L,"*Exit Interview 2*")
  )
)</f>
        <v/>
      </c>
      <c r="BU164" s="107" t="str">
        <f t="shared" si="13"/>
        <v/>
      </c>
      <c r="BV164" s="102" t="str">
        <f t="shared" si="14"/>
        <v/>
      </c>
      <c r="BW164" s="102" t="str">
        <f t="shared" si="15"/>
        <v/>
      </c>
      <c r="BX164" s="102" t="str">
        <f t="shared" si="16"/>
        <v/>
      </c>
      <c r="BY164" s="102" t="str">
        <f t="shared" si="17"/>
        <v/>
      </c>
      <c r="BZ164" s="107" t="str">
        <f t="shared" si="18"/>
        <v/>
      </c>
      <c r="CA164" s="108" t="str">
        <f t="shared" si="19"/>
        <v/>
      </c>
      <c r="CB164" s="108" t="str">
        <f t="shared" si="20"/>
        <v/>
      </c>
      <c r="CC164" s="109" t="str">
        <f t="shared" si="21"/>
        <v/>
      </c>
      <c r="CD164" s="108" t="str">
        <f t="shared" si="22"/>
        <v/>
      </c>
      <c r="CE164" s="108" t="str">
        <f t="shared" si="23"/>
        <v/>
      </c>
      <c r="CF164" s="109" t="str">
        <f t="shared" si="24"/>
        <v/>
      </c>
      <c r="CG164" s="110" t="str">
        <f t="shared" si="25"/>
        <v/>
      </c>
      <c r="CH164" s="111"/>
    </row>
    <row r="165" spans="1:86" ht="12.75">
      <c r="A165" s="101"/>
      <c r="B165" s="102" t="e">
        <f t="array" aca="1" ref="B165" ca="1">_xludf.XLOOKUP(A165,'QA Log'!D:D,'QA Log'!E:E,"")</f>
        <v>#NAME?</v>
      </c>
      <c r="C165" s="102" t="e">
        <f t="array" aca="1" ref="C165" ca="1">_xludf.XLOOKUP(A165,'QA Log'!D:D,'QA Log'!F:F,"")</f>
        <v>#NAME?</v>
      </c>
      <c r="D165" s="102" t="e">
        <f t="array" aca="1" ref="D165" ca="1">_xludf.XLOOKUP(A165,'QA Log'!D:D,'QA Log'!H:H,"")</f>
        <v>#NAME?</v>
      </c>
      <c r="E165" s="102" t="e">
        <f t="array" aca="1" ref="E165" ca="1">_xludf.XLOOKUP(A165,'QA Log'!D:D,'QA Log'!G:G,"")</f>
        <v>#NAME?</v>
      </c>
      <c r="F165" s="103"/>
      <c r="G165" s="104"/>
      <c r="H165" s="104"/>
      <c r="I165" s="103" t="str">
        <f t="shared" si="0"/>
        <v/>
      </c>
      <c r="J165" s="102" t="str">
        <f>IF(A165="","",SUM(
COUNTIFS('QA Log'!D:D,A165,'QA Log'!M:M,"QQC",'QA Log'!L:L,"*1. General Management*"),
COUNTIFS('QA Log'!D:D,A165,'QA Log'!M:M,"QQC",'QA Log'!L:L,"*3. Curative Consultation (OPD)*"),
COUNTIFS('QA Log'!D:D,A165,'QA Log'!M:M,"QQC",'QA Log'!L:L,"*5. Laboratory*"),
COUNTIFS('QA Log'!D:D,A165,'QA Log'!M:M,"QQC",'QA Log'!L:L,"*6. Essential Medicine Management*"),
COUNTIFS('QA Log'!D:D,A165,'QA Log'!M:M,"QQC",'QA Log'!L:L,"*7. Tracer Medicine*"),
COUNTIFS('QA Log'!D:D,A165,'QA Log'!M:M,"QQC",'QA Log'!L:L,"*11. Additional Questions*")))</f>
        <v/>
      </c>
      <c r="K165" s="102" t="str">
        <f>IF(A165="","",SUM(
COUNTIFS('QA Log'!D:D,A165,'QA Log'!M:M,"QQC",'QA Log'!Z:Z,"Approved",'QA Log'!L:L,"*1. General Management*"),
COUNTIFS('QA Log'!D:D,A165,'QA Log'!M:M,"QQC",'QA Log'!Z:Z,"Approved",'QA Log'!L:L,"*3. Curative Consultation (OPD)*"),
COUNTIFS('QA Log'!D:D,A165,'QA Log'!M:M,"QQC",'QA Log'!Z:Z,"Approved",'QA Log'!L:L,"*5. Laboratory*"),
COUNTIFS('QA Log'!D:D,A165,'QA Log'!M:M,"QQC",'QA Log'!Z:Z,"Approved",'QA Log'!L:L,"*6. Essential Medicine Management*"),
COUNTIFS('QA Log'!D:D,A165,'QA Log'!M:M,"QQC",'QA Log'!Z:Z,"Approved",'QA Log'!L:L,"*7. Tracer Medicine*"),
COUNTIFS('QA Log'!D:D,A165,'QA Log'!M:M,"QQC",'QA Log'!Z:Z,"Approved",'QA Log'!L:L,"*11. Additional Questions*")))</f>
        <v/>
      </c>
      <c r="L165" s="105" t="str">
        <f>IF(A165&lt;&gt;"",COUNTIFS('QA Log'!D:D,A165,'QA Log'!M:M,"QQC",'QA Log'!L:L,"1. General Management",'QA Log'!Z:Z,"Approved"),"")</f>
        <v/>
      </c>
      <c r="M165" s="105" t="str">
        <f>IF(A165&lt;&gt;"",COUNTIFS('QA Log'!D:D,A165,'QA Log'!M:M,"QQC",'QA Log'!L:L,"3. Curative Consultation (OPD)",'QA Log'!Z:Z,"Approved"),"")</f>
        <v/>
      </c>
      <c r="N165" s="105" t="str">
        <f>IF(A165&lt;&gt;"",COUNTIFS('QA Log'!D:D,A165,'QA Log'!M:M,"QQC",'QA Log'!L:L,"5. Laboratory",'QA Log'!Z:Z,"Approved"),"")</f>
        <v/>
      </c>
      <c r="O165" s="105" t="str">
        <f>IF(A165&lt;&gt;"",COUNTIFS('QA Log'!D:D,A165,'QA Log'!M:M,"QQC",'QA Log'!L:L,"6. Essential Medicine Management",'QA Log'!Z:Z,"Approved"),"")</f>
        <v/>
      </c>
      <c r="P165" s="105" t="str">
        <f>IF(A165&lt;&gt;"",COUNTIFS('QA Log'!D:D,A165,'QA Log'!M:M,"QQC",'QA Log'!L:L,"7. Tracer Medicine",'QA Log'!Z:Z,"Approved"),"")</f>
        <v/>
      </c>
      <c r="Q165" s="105" t="str">
        <f>IF(A165&lt;&gt;"",COUNTIFS('QA Log'!D:D,A165,'QA Log'!M:M,"QQC",'QA Log'!L:L,"11. Additional Questions",'QA Log'!Z:Z,"Approved"),"")</f>
        <v/>
      </c>
      <c r="R165" s="102" t="str">
        <f>IF(A165="","",SUM(
COUNTIFS('QA Log'!D:D,A165,'QA Log'!M:M,"QQC",'QA Log'!Z:Z,"Rejected",'QA Log'!L:L,"*8. Maternity*"),
COUNTIFS('QA Log'!D:D,A165,'QA Log'!M:M,"QQC",'QA Log'!Z:Z,"Rejected",'QA Log'!L:L,"*EPI*"),
COUNTIFS('QA Log'!D:D,A165,'QA Log'!M:M,"QQC",'QA Log'!Z:Z,"Rejected",'QA Log'!L:L,"*10. Antenatal Care (ANC)*"),
COUNTIFS('QA Log'!D:D,A165,'QA Log'!M:M,"QQC",'QA Log'!Z:Z,"Rejected",'QA Log'!L:L,"*2. Hygiene and Sterilization*"),
COUNTIFS('QA Log'!D:D,A165,'QA Log'!M:M,"QQC",'QA Log'!Z:Z,"Rejected",'QA Log'!L:L,"*Family Planning*")))</f>
        <v/>
      </c>
      <c r="S165" s="106" t="str">
        <f t="shared" si="1"/>
        <v/>
      </c>
      <c r="T165" s="102" t="str">
        <f t="shared" si="2"/>
        <v/>
      </c>
      <c r="U165" s="102" t="str">
        <f>IF(A165="","",
SUM(
COUNTIFS('QA Log'!D:D,A165,'QA Log'!M:M,"QQC",'QA Log'!L:L,"*8. Maternity*"),
COUNTIFS('QA Log'!D:D,A165,'QA Log'!M:M,"QQC",'QA Log'!L:L,"*9. EPI and Pre-school Consultation*"),
COUNTIFS('QA Log'!D:D,A165,'QA Log'!M:M,"QQC",'QA Log'!L:L,"*10. Antenatal Care (ANC)*"),
COUNTIFS('QA Log'!D:D,A165,'QA Log'!M:M,"QQC",'QA Log'!L:L,"*2. Hygiene and Sterilization*"),
COUNTIFS('QA Log'!D:D,A165,'QA Log'!M:M,"QQC",'QA Log'!L:L,"*4. Family Planning*")
))</f>
        <v/>
      </c>
      <c r="V165" s="102" t="str">
        <f>IF(A165="","",
SUM(
COUNTIFS('QA Log'!D:D,A165,'QA Log'!M:M,"QQC",'QA Log'!Z:Z,"Approved",'QA Log'!L:L,"*8. Maternity*"),
COUNTIFS('QA Log'!D:D,A165,'QA Log'!M:M,"QQC",'QA Log'!Z:Z,"Approved",'QA Log'!L:L,"*9. EPI and Pre-school Consultation*"),
COUNTIFS('QA Log'!D:D,A165,'QA Log'!M:M,"QQC",'QA Log'!Z:Z,"Approved",'QA Log'!L:L,"*10. Antenatal Care (ANC)*"),
COUNTIFS('QA Log'!D:D,A165,'QA Log'!M:M,"QQC",'QA Log'!Z:Z,"Approved",'QA Log'!L:L,"*2. Hygiene and Sterilization*"),
COUNTIFS('QA Log'!D:D,A165,'QA Log'!M:M,"QQC",'QA Log'!Z:Z,"Approved",'QA Log'!L:L,"*4. Family Planning*")
))</f>
        <v/>
      </c>
      <c r="W165" s="105" t="str">
        <f>IF(A165&lt;&gt;"",COUNTIFS('QA Log'!D:D,A165,'QA Log'!M:M,"QQC",'QA Log'!L:L,"8. Maternity",'QA Log'!Z:Z,"Approved"),"")</f>
        <v/>
      </c>
      <c r="X165" s="105" t="str">
        <f>IF(A165&lt;&gt;"",COUNTIFS('QA Log'!D:D,A165,'QA Log'!M:M,"QQC",'QA Log'!L:L,"9. EPI and Pre-school Consultation",'QA Log'!Z:Z,"Approved"),"")</f>
        <v/>
      </c>
      <c r="Y165" s="105" t="str">
        <f>IF(A165&lt;&gt;"",COUNTIFS('QA Log'!D:D,A165,'QA Log'!M:M,"QQC",'QA Log'!L:L,"10. Antenatal Care (ANC)",'QA Log'!Z:Z,"Approved"),"")</f>
        <v/>
      </c>
      <c r="Z165" s="105" t="str">
        <f>IF(A165&lt;&gt;"",COUNTIFS('QA Log'!D:D,A165,'QA Log'!M:M,"QQC",'QA Log'!L:L,"2. Hygiene and Sterilization",'QA Log'!Z:Z,"Approved"),"")</f>
        <v/>
      </c>
      <c r="AA165" s="105" t="str">
        <f>IF(A165&lt;&gt;"",COUNTIFS('QA Log'!D:D,A165,'QA Log'!M:M,"QQC",'QA Log'!L:L,"4. Family Planning",'QA Log'!Z:Z,"Approved"),"")</f>
        <v/>
      </c>
      <c r="AB165" s="102" t="str">
        <f>IF(A165="","",
SUM(
COUNTIFS('QA Log'!D:D,A165,'QA Log'!M:M,"QQC",'QA Log'!Z:Z,"Rejected",'QA Log'!L:L,"*8. Maternity*"),
COUNTIFS('QA Log'!D:D,A165,'QA Log'!M:M,"QQC",'QA Log'!Z:Z,"Rejected",'QA Log'!L:L,"*9. EPI and Pre-school Consultation*"),
COUNTIFS('QA Log'!D:D,A165,'QA Log'!M:M,"QQC",'QA Log'!Z:Z,"Rejected",'QA Log'!L:L,"*10. Antenatal Care (ANC)*"),
COUNTIFS('QA Log'!D:D,A165,'QA Log'!M:M,"QQC",'QA Log'!Z:Z,"Rejected",'QA Log'!L:L,"*2. Hygiene and Sterilization*"),
COUNTIFS('QA Log'!D:D,A165,'QA Log'!M:M,"QQC",'QA Log'!Z:Z,"Rejected",'QA Log'!L:L,"*4. Family Planning*")
))</f>
        <v/>
      </c>
      <c r="AC165" s="102" t="str">
        <f t="shared" si="3"/>
        <v/>
      </c>
      <c r="AD165" s="103" t="str">
        <f t="shared" si="4"/>
        <v/>
      </c>
      <c r="AE165" s="102" t="str">
        <f>IF(A165="","",
SUM(
COUNTIFS('QA Log'!D:D,A165,'QA Log'!M:M,"Data Verification",'QA Log'!L:L,"*Medicine (section 2)*"),
COUNTIFS('QA Log'!D:D,A165,'QA Log'!M:M,"Data Verification",'QA Log'!L:L,"*Lab Testing Availability*"),
COUNTIFS('QA Log'!D:D,A165,'QA Log'!M:M,"Data Verification",'QA Log'!L:L,"*Other than P4P (section 6)*"),
COUNTIFS('QA Log'!D:D,A165,'QA Log'!M:M,"Data Verification",'QA Log'!L:L,"*Hospital Governance*")
))</f>
        <v/>
      </c>
      <c r="AF165" s="102" t="str">
        <f>IF(A165="","",
SUM(
COUNTIFS('QA Log'!D:D,A165,'QA Log'!M:M,"Data Verification",'QA Log'!Z:Z,"Approved",'QA Log'!L:L,"*Medicine (section 2)*"),
COUNTIFS('QA Log'!D:D,A165,'QA Log'!M:M,"Data Verification",'QA Log'!Z:Z,"Approved",'QA Log'!L:L,"*Lab Testing Availability*"),
COUNTIFS('QA Log'!D:D,A165,'QA Log'!M:M,"Data Verification",'QA Log'!Z:Z,"Approved",'QA Log'!L:L,"*Other than P4P (section 6)*"),
COUNTIFS('QA Log'!D:D,A165,'QA Log'!M:M,"Data Verification",'QA Log'!Z:Z,"Approved",'QA Log'!L:L,"*Hospital Governance*")
))</f>
        <v/>
      </c>
      <c r="AG165" s="105" t="str">
        <f>IF(A165&lt;&gt;"",COUNTIFS('QA Log'!D:D,A165,'QA Log'!M:M,"Data Verification",'QA Log'!L:L,"Medicine (section 2)",'QA Log'!Z:Z,"Approved"),"")</f>
        <v/>
      </c>
      <c r="AH165" s="105" t="str">
        <f>IF(A165&lt;&gt;"",COUNTIFS('QA Log'!D:D,A165,'QA Log'!M:M,"Data Verification",'QA Log'!L:L,"Lab Testing Availability",'QA Log'!Z:Z,"Approved"),"")</f>
        <v/>
      </c>
      <c r="AI165" s="105" t="str">
        <f>IF(A165&lt;&gt;"",COUNTIFS('QA Log'!D:D,A165,'QA Log'!M:M,"Data Verification",'QA Log'!L:L,"Other than P4P (section 6)",'QA Log'!Z:Z,"Approved"),"")</f>
        <v/>
      </c>
      <c r="AJ165" s="105" t="str">
        <f>IF(A165&lt;&gt;"",COUNTIFS('QA Log'!D:D,A165,'QA Log'!M:M,"Data Verification",'QA Log'!L:L,"Hospital Governance",'QA Log'!Z:Z,"Approved"),"")</f>
        <v/>
      </c>
      <c r="AK165" s="102" t="str">
        <f>IF(A165="","",
SUM(
COUNTIFS('QA Log'!D:D,A165,'QA Log'!M:M,"Data Verification",'QA Log'!Z:Z,"Rejected",'QA Log'!L:L,"*Medicine (section 2)*"),
COUNTIFS('QA Log'!D:D,A165,'QA Log'!M:M,"Data Verification",'QA Log'!Z:Z,"Rejected",'QA Log'!L:L,"*Lab Testing Availability*"),
COUNTIFS('QA Log'!D:D,A165,'QA Log'!M:M,"Data Verification",'QA Log'!Z:Z,"Rejected",'QA Log'!L:L,"*Other than P4P (section 6)*"),
COUNTIFS('QA Log'!D:D,A165,'QA Log'!M:M,"Data Verification",'QA Log'!Z:Z,"Rejected",'QA Log'!L:L,"*Hospital Governance*")
))</f>
        <v/>
      </c>
      <c r="AL165" s="106" t="str">
        <f t="shared" si="5"/>
        <v/>
      </c>
      <c r="AM165" s="102" t="str">
        <f t="shared" si="6"/>
        <v/>
      </c>
      <c r="AN165" s="102" t="str">
        <f>IF(A165="","",
SUM(
COUNTIFS('QA Log'!D:D,A165,'QA Log'!M:M,"Data Verification",'QA Log'!L:L,"*Personnel (section 1)*"),
COUNTIFS('QA Log'!D:D,A165,'QA Log'!M:M,"Data Verification",'QA Log'!L:L,"*Consumable (section 3)*"),
COUNTIFS('QA Log'!D:D,A165,'QA Log'!M:M,"Data Verification",'QA Log'!L:L,"*Equipments (section 4)*")
))</f>
        <v/>
      </c>
      <c r="AO165" s="102" t="str">
        <f>IF(A165="","",
SUM(
COUNTIFS('QA Log'!D:D,A165,'QA Log'!M:M,"Data Verification",'QA Log'!Z:Z,"Approved",'QA Log'!L:L,"*Personnel (section 1)*"),
COUNTIFS('QA Log'!D:D,A165,'QA Log'!M:M,"Data Verification",'QA Log'!Z:Z,"Approved",'QA Log'!L:L,"*Consumable (section 3)*"),
COUNTIFS('QA Log'!D:D,A165,'QA Log'!M:M,"Data Verification",'QA Log'!Z:Z,"Approved",'QA Log'!L:L,"*Equipments (section 4)*")
))</f>
        <v/>
      </c>
      <c r="AP165" s="105" t="str">
        <f>IF(A165&lt;&gt;"",COUNTIFS('QA Log'!D:D,A165,'QA Log'!M:M,"Data Verification",'QA Log'!L:L,"Personnel (section 1)",'QA Log'!Z:Z,"Approved"),"")</f>
        <v/>
      </c>
      <c r="AQ165" s="105" t="str">
        <f>IF(A165&lt;&gt;"",COUNTIFS('QA Log'!D:D,A165,'QA Log'!M:M,"Data Verification",'QA Log'!L:L,"Consumable (section 3)",'QA Log'!Z:Z,"Approved"),"")</f>
        <v/>
      </c>
      <c r="AR165" s="105" t="str">
        <f>IF(A165&lt;&gt;"",COUNTIFS('QA Log'!D:D,A165,'QA Log'!M:M,"Data Verification",'QA Log'!L:L,"Equipments (section 4)",'QA Log'!Z:Z,"Approved"),"")</f>
        <v/>
      </c>
      <c r="AS165" s="102" t="str">
        <f>IF(A165="","",
SUM(
COUNTIFS('QA Log'!D:D,A165,'QA Log'!M:M,"Data Verification",'QA Log'!Z:Z,"Rejected",'QA Log'!L:L,"*Personnel (section 1)*"),
COUNTIFS('QA Log'!D:D,A165,'QA Log'!M:M,"Data Verification",'QA Log'!Z:Z,"Rejected",'QA Log'!L:L,"*Consumable (section 3)*"),
COUNTIFS('QA Log'!D:D,A165,'QA Log'!M:M,"Data Verification",'QA Log'!Z:Z,"Rejected",'QA Log'!L:L,"*Equipments (section 4)*")
))</f>
        <v/>
      </c>
      <c r="AT165" s="102" t="str">
        <f t="shared" si="7"/>
        <v/>
      </c>
      <c r="AU165" s="103" t="str">
        <f t="shared" si="8"/>
        <v/>
      </c>
      <c r="AV165" s="102" t="str">
        <f>IF(A165="","",SUM(
COUNTIFS('QA Log'!D:D,A165,'QA Log'!M:M,"Vignette",'QA Log'!L:L,"*Vignette [1] Respiratory Infection: Pneumonia*"),
COUNTIFS('QA Log'!D:D,A165,'QA Log'!M:M,"Vignette",'QA Log'!L:L,"*Vignette [2]: Diarrhea with Cat B dehydration*"),
COUNTIFS('QA Log'!D:D,A165,'QA Log'!M:M,"Vignette",'QA Log'!L:L,"*Vignette [3] Growth Monitoring and Promotion*"),
COUNTIFS('QA Log'!D:D,A165,'QA Log'!M:M,"Vignette",'QA Log'!L:L,"*Vignette [4]: The management of presumptive TB patient*")
)
)</f>
        <v/>
      </c>
      <c r="AW165" s="102" t="str">
        <f>IF(
  A165="","",
  SUM(
    COUNTIFS('QA Log'!D:D,A165,'QA Log'!M:M,"Vignette",'QA Log'!Z:Z,"Approved",'QA Log'!L:L,"*Vignette [1] Respiratory Infection: Pneumonia*"),
    COUNTIFS('QA Log'!D:D,A165,'QA Log'!M:M,"Vignette",'QA Log'!Z:Z,"Approved",'QA Log'!L:L,"*Vignette [2]: Diarrhea with Cat B dehydration*"),
    COUNTIFS('QA Log'!D:D,A165,'QA Log'!M:M,"Vignette",'QA Log'!Z:Z,"Approved",'QA Log'!L:L,"*Vignette [3] Growth Monitoring and Promotion*"),
    COUNTIFS('QA Log'!D:D,A165,'QA Log'!M:M,"Vignette",'QA Log'!Z:Z,"Approved",'QA Log'!L:L,"*Vignette [4]: The management of presumptive TB patient*")
  )
)</f>
        <v/>
      </c>
      <c r="AX165" s="105" t="str">
        <f>IF(A165&lt;&gt;"",COUNTIFS('QA Log'!D:D,A165,'QA Log'!M:M,"Vignette",'QA Log'!L:L,"Vignette [1] Respiratory Infection: Pneumonia",'QA Log'!Z:Z,"Approved"),"")</f>
        <v/>
      </c>
      <c r="AY165" s="105" t="str">
        <f>IF(A165&lt;&gt;"",COUNTIFS('QA Log'!D:D,A165,'QA Log'!M:M,"Vignette",'QA Log'!L:L,"Vignette [2]: Diarrhea with Cat B dehydration",'QA Log'!Z:Z,"Approved"),"")</f>
        <v/>
      </c>
      <c r="AZ165" s="105" t="str">
        <f>IF(A165&lt;&gt;"",COUNTIFS('QA Log'!D:D,A165,'QA Log'!M:M,"Vignette",'QA Log'!L:L,"Vignette [3] Growth Monitoring and Promotion",'QA Log'!Z:Z,"Approved"),"")</f>
        <v/>
      </c>
      <c r="BA165" s="105" t="str">
        <f>IF(A165&lt;&gt;"",COUNTIFS('QA Log'!D:D,A165,'QA Log'!M:M,"Vignette",'QA Log'!L:L,"Vignette [4]: The management of presumptive TB patient",'QA Log'!Z:Z,"Approved"),"")</f>
        <v/>
      </c>
      <c r="BB165" s="102" t="str">
        <f>IF(A165="","",
  SUM(
    COUNTIFS('QA Log'!D:D,A165,'QA Log'!M:M,"Vignette",'QA Log'!Z:Z,"Rejected",'QA Log'!L:L,"*Vignette [1] Respiratory Infection: Pneumonia*"),
    COUNTIFS('QA Log'!D:D,A165,'QA Log'!M:M,"Vignette",'QA Log'!Z:Z,"Rejected",'QA Log'!L:L,"*Vignette [2]: Diarrhea with Cat B dehydration*"),
    COUNTIFS('QA Log'!D:D,A165,'QA Log'!M:M,"Vignette",'QA Log'!Z:Z,"Rejected",'QA Log'!L:L,"*Vignette [3] Growth Monitoring and Promotion*"),
    COUNTIFS('QA Log'!D:D,A165,'QA Log'!M:M,"Vignette",'QA Log'!Z:Z,"Rejected",'QA Log'!L:L,"*Vignette [4]: The management of presumptive TB patient*")
  )
)</f>
        <v/>
      </c>
      <c r="BC165" s="107" t="str">
        <f t="shared" si="9"/>
        <v/>
      </c>
      <c r="BD165" s="103" t="str">
        <f t="shared" si="10"/>
        <v/>
      </c>
      <c r="BE165" s="102" t="str">
        <f>IF(A165="","",SUM(
COUNTIFS('QA Log'!D:D,A165,'QA Log'!M:M,"Vignette",'QA Log'!L:L,"*Vignette [5] Labor*"),
COUNTIFS('QA Log'!D:D,A165,'QA Log'!M:M,"Vignette",'QA Log'!L:L,"*Vignette [6] PNC pre Discharge*"),
COUNTIFS('QA Log'!D:D,A165,'QA Log'!M:M,"Vignette",'QA Log'!L:L,"*Vignette [7] First ANC Visit*"),
COUNTIFS('QA Log'!D:D,A165,'QA Log'!M:M,"Vignette",'QA Log'!L:L,"*Vignette [8] Birth Spacing/ Family Planning :  FP Counselling*"),
COUNTIFS('QA Log'!D:D,A165,'QA Log'!M:M,"Vignette",'QA Log'!L:L,"*Vignette [9] Birth Spacing: Change FP method to Injectable*"),
COUNTIFS('QA Log'!D:D,A165,'QA Log'!M:M,"Vignette",'QA Log'!L:L,"*Vignette [10] Post Partum Haemorrhage - Atonic Uterus at Health Centre*"),
)
)</f>
        <v/>
      </c>
      <c r="BF165" s="102" t="str">
        <f>IF(A165="","",
  SUM(
    COUNTIFS('QA Log'!D:D,A165,'QA Log'!M:M,"Vignette",'QA Log'!Z:Z,"Approved",'QA Log'!L:L,"*Vignette [5] Labor*"),
    COUNTIFS('QA Log'!D:D,A165,'QA Log'!M:M,"Vignette",'QA Log'!Z:Z,"Approved",'QA Log'!L:L,"*Vignette [6] PNC pre Discharge*"),
    COUNTIFS('QA Log'!D:D,A165,'QA Log'!M:M,"Vignette",'QA Log'!Z:Z,"Approved",'QA Log'!L:L,"*Vignette [7] First ANC Visit*"),
    COUNTIFS('QA Log'!D:D,A165,'QA Log'!M:M,"Vignette",'QA Log'!Z:Z,"Approved",'QA Log'!L:L,"*Vignette [8] Birth Spacing/ Family Planning :  FP Counselling*"),
    COUNTIFS('QA Log'!D:D,A165,'QA Log'!M:M,"Vignette",'QA Log'!Z:Z,"Approved",'QA Log'!L:L,"*Vignette [9] Birth Spacing: Change FP method to Injectable*"),
    COUNTIFS('QA Log'!D:D,A165,'QA Log'!M:M,"Vignette",'QA Log'!Z:Z,"Approved",'QA Log'!L:L,"*Vignette [10] Post Partum Haemorrhage - Atonic Uterus at Health Centre*")
  )
)</f>
        <v/>
      </c>
      <c r="BG165" s="105" t="str">
        <f>IF(A165&lt;&gt;"",COUNTIFS('QA Log'!D:D,A165,'QA Log'!M:M,"Vignette",'QA Log'!L:L,"Vignette [5] Labor",'QA Log'!Z:Z,"Approved"),"")</f>
        <v/>
      </c>
      <c r="BH165" s="105" t="str">
        <f>IF(A165&lt;&gt;"",COUNTIFS('QA Log'!D:D,A165,'QA Log'!M:M,"Vignette",'QA Log'!L:L,"Vignette [6] PNC pre Discharge",'QA Log'!Z:Z,"Approved"),"")</f>
        <v/>
      </c>
      <c r="BI165" s="105" t="str">
        <f>IF(A165&lt;&gt;"",COUNTIFS('QA Log'!D:D,A165,'QA Log'!M:M,"Vignette",'QA Log'!L:L,"Vignette [7] First ANC Visit",'QA Log'!Z:Z,"Approved"),"")</f>
        <v/>
      </c>
      <c r="BJ165" s="105" t="str">
        <f>IF(A165&lt;&gt;"",COUNTIFS('QA Log'!D:D,A165,'QA Log'!M:M,"Vignette",'QA Log'!L:L,"Vignette [8] Birth Spacing/ Family Planning :  FP Counselling",'QA Log'!Z:Z,"Approved"),"")</f>
        <v/>
      </c>
      <c r="BK165" s="105" t="str">
        <f>IF(A165&lt;&gt;"",COUNTIFS('QA Log'!D:D,A165,'QA Log'!M:M,"Vignette",'QA Log'!L:L,"Vignette [9] Birth Spacing: Change FP method to Injectable",'QA Log'!Z:Z,"Approved"),"")</f>
        <v/>
      </c>
      <c r="BL165" s="105" t="str">
        <f>IF(A165&lt;&gt;"",COUNTIFS('QA Log'!D:D,A165,'QA Log'!M:M,"Vignette",'QA Log'!L:L,"Vignette [10] Post Partum Haemorrhage - Atonic Uterus at Health Centre",'QA Log'!Z:Z,"Approved"),"")</f>
        <v/>
      </c>
      <c r="BM165" s="102" t="str">
        <f>IF(A165="","",SUM(
    COUNTIFS('QA Log'!D:D,A165,'QA Log'!M:M,"Vignette",'QA Log'!Z:Z,"Rejected",'QA Log'!L:L,"*Vignette [5] Labor*"),
    COUNTIFS('QA Log'!D:D,A165,'QA Log'!M:M,"Vignette",'QA Log'!Z:Z,"Rejected",'QA Log'!L:L,"*Vignette [6] PNC pre Discharge*"),
    COUNTIFS('QA Log'!D:D,A165,'QA Log'!M:M,"Vignette",'QA Log'!Z:Z,"Rejected",'QA Log'!L:L,"*Vignette [7] First ANC Visit*"),
    COUNTIFS('QA Log'!D:D,A165,'QA Log'!M:M,"Vignette",'QA Log'!Z:Z,"Rejected",'QA Log'!L:L,"*Vignette [8] Birth Spacing/ Family Planning :  FP Counselling*"),
    COUNTIFS('QA Log'!D:D,A165,'QA Log'!M:M,"Vignette",'QA Log'!Z:Z,"Rejected",'QA Log'!L:L,"*Vignette [9] Birth Spacing: Change FP method to Injectable*"),
    COUNTIFS('QA Log'!D:D,A165,'QA Log'!M:M,"Vignette",'QA Log'!Z:Z,"Rejected",'QA Log'!L:L,"*Vignette [10] Post Partum Haemorrhage - Atonic Uterus at Health Centre*")
  )
)</f>
        <v/>
      </c>
      <c r="BN165" s="107" t="str">
        <f t="shared" si="11"/>
        <v/>
      </c>
      <c r="BO165" s="103" t="str">
        <f t="shared" si="12"/>
        <v/>
      </c>
      <c r="BP165" s="102" t="str">
        <f>IF(A165="","",SUM(
COUNTIFS('QA Log'!D:D,A165,'QA Log'!M:M,"Vignette",'QA Log'!L:L,"*Exit Interview 1*"),
COUNTIFS('QA Log'!D:D,A165,'QA Log'!M:M,"Vignette",'QA Log'!L:L,"*Exit Interview 2*"),
)
)</f>
        <v/>
      </c>
      <c r="BQ165" s="102" t="str">
        <f>IF(
  A165="","",
  SUM(
    COUNTIFS('QA Log'!D:D,A165,'QA Log'!M:M,"Vignette",'QA Log'!Z:Z,"Approved",'QA Log'!L:L,"*Exit Interview 1*"),
    COUNTIFS('QA Log'!D:D,A165,'QA Log'!M:M,"Vignette",'QA Log'!Z:Z,"Approved",'QA Log'!L:L,"*Exit Interview 2*")
  )
)</f>
        <v/>
      </c>
      <c r="BR165" s="105" t="str">
        <f>IF(A165&lt;&gt;"",COUNTIFS('QA Log'!D:D,A165,'QA Log'!M:M,"Vignette",'QA Log'!L:L,"Exit Interview 1",'QA Log'!Z:Z,"Approved"),"")</f>
        <v/>
      </c>
      <c r="BS165" s="105" t="str">
        <f>IF(A165&lt;&gt;"",COUNTIFS('QA Log'!D:D,A165,'QA Log'!M:M,"Vignette",'QA Log'!L:L,"Exit Interview 2",'QA Log'!Z:Z,"Approved"),"")</f>
        <v/>
      </c>
      <c r="BT165" s="102" t="str">
        <f>IF(
  A165="","",
  SUM(
    COUNTIFS('QA Log'!D:D,A165,'QA Log'!M:M,"Vignette",'QA Log'!Z:Z,"Rejected",'QA Log'!L:L,"*Exit Interview 1*"),
    COUNTIFS('QA Log'!D:D,A165,'QA Log'!M:M,"Vignette",'QA Log'!Z:Z,"Rejected",'QA Log'!L:L,"*Exit Interview 2*")
  )
)</f>
        <v/>
      </c>
      <c r="BU165" s="107" t="str">
        <f t="shared" si="13"/>
        <v/>
      </c>
      <c r="BV165" s="102" t="str">
        <f t="shared" si="14"/>
        <v/>
      </c>
      <c r="BW165" s="102" t="str">
        <f t="shared" si="15"/>
        <v/>
      </c>
      <c r="BX165" s="102" t="str">
        <f t="shared" si="16"/>
        <v/>
      </c>
      <c r="BY165" s="102" t="str">
        <f t="shared" si="17"/>
        <v/>
      </c>
      <c r="BZ165" s="107" t="str">
        <f t="shared" si="18"/>
        <v/>
      </c>
      <c r="CA165" s="108" t="str">
        <f t="shared" si="19"/>
        <v/>
      </c>
      <c r="CB165" s="108" t="str">
        <f t="shared" si="20"/>
        <v/>
      </c>
      <c r="CC165" s="109" t="str">
        <f t="shared" si="21"/>
        <v/>
      </c>
      <c r="CD165" s="108" t="str">
        <f t="shared" si="22"/>
        <v/>
      </c>
      <c r="CE165" s="108" t="str">
        <f t="shared" si="23"/>
        <v/>
      </c>
      <c r="CF165" s="109" t="str">
        <f t="shared" si="24"/>
        <v/>
      </c>
      <c r="CG165" s="110" t="str">
        <f t="shared" si="25"/>
        <v/>
      </c>
      <c r="CH165" s="111"/>
    </row>
    <row r="166" spans="1:86" ht="12.75">
      <c r="A166" s="101"/>
      <c r="B166" s="102" t="e">
        <f t="array" aca="1" ref="B166" ca="1">_xludf.XLOOKUP(A166,'QA Log'!D:D,'QA Log'!E:E,"")</f>
        <v>#NAME?</v>
      </c>
      <c r="C166" s="102" t="e">
        <f t="array" aca="1" ref="C166" ca="1">_xludf.XLOOKUP(A166,'QA Log'!D:D,'QA Log'!F:F,"")</f>
        <v>#NAME?</v>
      </c>
      <c r="D166" s="102" t="e">
        <f t="array" aca="1" ref="D166" ca="1">_xludf.XLOOKUP(A166,'QA Log'!D:D,'QA Log'!H:H,"")</f>
        <v>#NAME?</v>
      </c>
      <c r="E166" s="102" t="e">
        <f t="array" aca="1" ref="E166" ca="1">_xludf.XLOOKUP(A166,'QA Log'!D:D,'QA Log'!G:G,"")</f>
        <v>#NAME?</v>
      </c>
      <c r="F166" s="103"/>
      <c r="G166" s="104"/>
      <c r="H166" s="104"/>
      <c r="I166" s="103" t="str">
        <f t="shared" si="0"/>
        <v/>
      </c>
      <c r="J166" s="102" t="str">
        <f>IF(A166="","",SUM(
COUNTIFS('QA Log'!D:D,A166,'QA Log'!M:M,"QQC",'QA Log'!L:L,"*1. General Management*"),
COUNTIFS('QA Log'!D:D,A166,'QA Log'!M:M,"QQC",'QA Log'!L:L,"*3. Curative Consultation (OPD)*"),
COUNTIFS('QA Log'!D:D,A166,'QA Log'!M:M,"QQC",'QA Log'!L:L,"*5. Laboratory*"),
COUNTIFS('QA Log'!D:D,A166,'QA Log'!M:M,"QQC",'QA Log'!L:L,"*6. Essential Medicine Management*"),
COUNTIFS('QA Log'!D:D,A166,'QA Log'!M:M,"QQC",'QA Log'!L:L,"*7. Tracer Medicine*"),
COUNTIFS('QA Log'!D:D,A166,'QA Log'!M:M,"QQC",'QA Log'!L:L,"*11. Additional Questions*")))</f>
        <v/>
      </c>
      <c r="K166" s="102" t="str">
        <f>IF(A166="","",SUM(
COUNTIFS('QA Log'!D:D,A166,'QA Log'!M:M,"QQC",'QA Log'!Z:Z,"Approved",'QA Log'!L:L,"*1. General Management*"),
COUNTIFS('QA Log'!D:D,A166,'QA Log'!M:M,"QQC",'QA Log'!Z:Z,"Approved",'QA Log'!L:L,"*3. Curative Consultation (OPD)*"),
COUNTIFS('QA Log'!D:D,A166,'QA Log'!M:M,"QQC",'QA Log'!Z:Z,"Approved",'QA Log'!L:L,"*5. Laboratory*"),
COUNTIFS('QA Log'!D:D,A166,'QA Log'!M:M,"QQC",'QA Log'!Z:Z,"Approved",'QA Log'!L:L,"*6. Essential Medicine Management*"),
COUNTIFS('QA Log'!D:D,A166,'QA Log'!M:M,"QQC",'QA Log'!Z:Z,"Approved",'QA Log'!L:L,"*7. Tracer Medicine*"),
COUNTIFS('QA Log'!D:D,A166,'QA Log'!M:M,"QQC",'QA Log'!Z:Z,"Approved",'QA Log'!L:L,"*11. Additional Questions*")))</f>
        <v/>
      </c>
      <c r="L166" s="105" t="str">
        <f>IF(A166&lt;&gt;"",COUNTIFS('QA Log'!D:D,A166,'QA Log'!M:M,"QQC",'QA Log'!L:L,"1. General Management",'QA Log'!Z:Z,"Approved"),"")</f>
        <v/>
      </c>
      <c r="M166" s="105" t="str">
        <f>IF(A166&lt;&gt;"",COUNTIFS('QA Log'!D:D,A166,'QA Log'!M:M,"QQC",'QA Log'!L:L,"3. Curative Consultation (OPD)",'QA Log'!Z:Z,"Approved"),"")</f>
        <v/>
      </c>
      <c r="N166" s="105" t="str">
        <f>IF(A166&lt;&gt;"",COUNTIFS('QA Log'!D:D,A166,'QA Log'!M:M,"QQC",'QA Log'!L:L,"5. Laboratory",'QA Log'!Z:Z,"Approved"),"")</f>
        <v/>
      </c>
      <c r="O166" s="105" t="str">
        <f>IF(A166&lt;&gt;"",COUNTIFS('QA Log'!D:D,A166,'QA Log'!M:M,"QQC",'QA Log'!L:L,"6. Essential Medicine Management",'QA Log'!Z:Z,"Approved"),"")</f>
        <v/>
      </c>
      <c r="P166" s="105" t="str">
        <f>IF(A166&lt;&gt;"",COUNTIFS('QA Log'!D:D,A166,'QA Log'!M:M,"QQC",'QA Log'!L:L,"7. Tracer Medicine",'QA Log'!Z:Z,"Approved"),"")</f>
        <v/>
      </c>
      <c r="Q166" s="105" t="str">
        <f>IF(A166&lt;&gt;"",COUNTIFS('QA Log'!D:D,A166,'QA Log'!M:M,"QQC",'QA Log'!L:L,"11. Additional Questions",'QA Log'!Z:Z,"Approved"),"")</f>
        <v/>
      </c>
      <c r="R166" s="102" t="str">
        <f>IF(A166="","",SUM(
COUNTIFS('QA Log'!D:D,A166,'QA Log'!M:M,"QQC",'QA Log'!Z:Z,"Rejected",'QA Log'!L:L,"*8. Maternity*"),
COUNTIFS('QA Log'!D:D,A166,'QA Log'!M:M,"QQC",'QA Log'!Z:Z,"Rejected",'QA Log'!L:L,"*EPI*"),
COUNTIFS('QA Log'!D:D,A166,'QA Log'!M:M,"QQC",'QA Log'!Z:Z,"Rejected",'QA Log'!L:L,"*10. Antenatal Care (ANC)*"),
COUNTIFS('QA Log'!D:D,A166,'QA Log'!M:M,"QQC",'QA Log'!Z:Z,"Rejected",'QA Log'!L:L,"*2. Hygiene and Sterilization*"),
COUNTIFS('QA Log'!D:D,A166,'QA Log'!M:M,"QQC",'QA Log'!Z:Z,"Rejected",'QA Log'!L:L,"*Family Planning*")))</f>
        <v/>
      </c>
      <c r="S166" s="106" t="str">
        <f t="shared" si="1"/>
        <v/>
      </c>
      <c r="T166" s="102" t="str">
        <f t="shared" si="2"/>
        <v/>
      </c>
      <c r="U166" s="102" t="str">
        <f>IF(A166="","",
SUM(
COUNTIFS('QA Log'!D:D,A166,'QA Log'!M:M,"QQC",'QA Log'!L:L,"*8. Maternity*"),
COUNTIFS('QA Log'!D:D,A166,'QA Log'!M:M,"QQC",'QA Log'!L:L,"*9. EPI and Pre-school Consultation*"),
COUNTIFS('QA Log'!D:D,A166,'QA Log'!M:M,"QQC",'QA Log'!L:L,"*10. Antenatal Care (ANC)*"),
COUNTIFS('QA Log'!D:D,A166,'QA Log'!M:M,"QQC",'QA Log'!L:L,"*2. Hygiene and Sterilization*"),
COUNTIFS('QA Log'!D:D,A166,'QA Log'!M:M,"QQC",'QA Log'!L:L,"*4. Family Planning*")
))</f>
        <v/>
      </c>
      <c r="V166" s="102" t="str">
        <f>IF(A166="","",
SUM(
COUNTIFS('QA Log'!D:D,A166,'QA Log'!M:M,"QQC",'QA Log'!Z:Z,"Approved",'QA Log'!L:L,"*8. Maternity*"),
COUNTIFS('QA Log'!D:D,A166,'QA Log'!M:M,"QQC",'QA Log'!Z:Z,"Approved",'QA Log'!L:L,"*9. EPI and Pre-school Consultation*"),
COUNTIFS('QA Log'!D:D,A166,'QA Log'!M:M,"QQC",'QA Log'!Z:Z,"Approved",'QA Log'!L:L,"*10. Antenatal Care (ANC)*"),
COUNTIFS('QA Log'!D:D,A166,'QA Log'!M:M,"QQC",'QA Log'!Z:Z,"Approved",'QA Log'!L:L,"*2. Hygiene and Sterilization*"),
COUNTIFS('QA Log'!D:D,A166,'QA Log'!M:M,"QQC",'QA Log'!Z:Z,"Approved",'QA Log'!L:L,"*4. Family Planning*")
))</f>
        <v/>
      </c>
      <c r="W166" s="105" t="str">
        <f>IF(A166&lt;&gt;"",COUNTIFS('QA Log'!D:D,A166,'QA Log'!M:M,"QQC",'QA Log'!L:L,"8. Maternity",'QA Log'!Z:Z,"Approved"),"")</f>
        <v/>
      </c>
      <c r="X166" s="105" t="str">
        <f>IF(A166&lt;&gt;"",COUNTIFS('QA Log'!D:D,A166,'QA Log'!M:M,"QQC",'QA Log'!L:L,"9. EPI and Pre-school Consultation",'QA Log'!Z:Z,"Approved"),"")</f>
        <v/>
      </c>
      <c r="Y166" s="105" t="str">
        <f>IF(A166&lt;&gt;"",COUNTIFS('QA Log'!D:D,A166,'QA Log'!M:M,"QQC",'QA Log'!L:L,"10. Antenatal Care (ANC)",'QA Log'!Z:Z,"Approved"),"")</f>
        <v/>
      </c>
      <c r="Z166" s="105" t="str">
        <f>IF(A166&lt;&gt;"",COUNTIFS('QA Log'!D:D,A166,'QA Log'!M:M,"QQC",'QA Log'!L:L,"2. Hygiene and Sterilization",'QA Log'!Z:Z,"Approved"),"")</f>
        <v/>
      </c>
      <c r="AA166" s="105" t="str">
        <f>IF(A166&lt;&gt;"",COUNTIFS('QA Log'!D:D,A166,'QA Log'!M:M,"QQC",'QA Log'!L:L,"4. Family Planning",'QA Log'!Z:Z,"Approved"),"")</f>
        <v/>
      </c>
      <c r="AB166" s="102" t="str">
        <f>IF(A166="","",
SUM(
COUNTIFS('QA Log'!D:D,A166,'QA Log'!M:M,"QQC",'QA Log'!Z:Z,"Rejected",'QA Log'!L:L,"*8. Maternity*"),
COUNTIFS('QA Log'!D:D,A166,'QA Log'!M:M,"QQC",'QA Log'!Z:Z,"Rejected",'QA Log'!L:L,"*9. EPI and Pre-school Consultation*"),
COUNTIFS('QA Log'!D:D,A166,'QA Log'!M:M,"QQC",'QA Log'!Z:Z,"Rejected",'QA Log'!L:L,"*10. Antenatal Care (ANC)*"),
COUNTIFS('QA Log'!D:D,A166,'QA Log'!M:M,"QQC",'QA Log'!Z:Z,"Rejected",'QA Log'!L:L,"*2. Hygiene and Sterilization*"),
COUNTIFS('QA Log'!D:D,A166,'QA Log'!M:M,"QQC",'QA Log'!Z:Z,"Rejected",'QA Log'!L:L,"*4. Family Planning*")
))</f>
        <v/>
      </c>
      <c r="AC166" s="102" t="str">
        <f t="shared" si="3"/>
        <v/>
      </c>
      <c r="AD166" s="103" t="str">
        <f t="shared" si="4"/>
        <v/>
      </c>
      <c r="AE166" s="102" t="str">
        <f>IF(A166="","",
SUM(
COUNTIFS('QA Log'!D:D,A166,'QA Log'!M:M,"Data Verification",'QA Log'!L:L,"*Medicine (section 2)*"),
COUNTIFS('QA Log'!D:D,A166,'QA Log'!M:M,"Data Verification",'QA Log'!L:L,"*Lab Testing Availability*"),
COUNTIFS('QA Log'!D:D,A166,'QA Log'!M:M,"Data Verification",'QA Log'!L:L,"*Other than P4P (section 6)*"),
COUNTIFS('QA Log'!D:D,A166,'QA Log'!M:M,"Data Verification",'QA Log'!L:L,"*Hospital Governance*")
))</f>
        <v/>
      </c>
      <c r="AF166" s="102" t="str">
        <f>IF(A166="","",
SUM(
COUNTIFS('QA Log'!D:D,A166,'QA Log'!M:M,"Data Verification",'QA Log'!Z:Z,"Approved",'QA Log'!L:L,"*Medicine (section 2)*"),
COUNTIFS('QA Log'!D:D,A166,'QA Log'!M:M,"Data Verification",'QA Log'!Z:Z,"Approved",'QA Log'!L:L,"*Lab Testing Availability*"),
COUNTIFS('QA Log'!D:D,A166,'QA Log'!M:M,"Data Verification",'QA Log'!Z:Z,"Approved",'QA Log'!L:L,"*Other than P4P (section 6)*"),
COUNTIFS('QA Log'!D:D,A166,'QA Log'!M:M,"Data Verification",'QA Log'!Z:Z,"Approved",'QA Log'!L:L,"*Hospital Governance*")
))</f>
        <v/>
      </c>
      <c r="AG166" s="105" t="str">
        <f>IF(A166&lt;&gt;"",COUNTIFS('QA Log'!D:D,A166,'QA Log'!M:M,"Data Verification",'QA Log'!L:L,"Medicine (section 2)",'QA Log'!Z:Z,"Approved"),"")</f>
        <v/>
      </c>
      <c r="AH166" s="105" t="str">
        <f>IF(A166&lt;&gt;"",COUNTIFS('QA Log'!D:D,A166,'QA Log'!M:M,"Data Verification",'QA Log'!L:L,"Lab Testing Availability",'QA Log'!Z:Z,"Approved"),"")</f>
        <v/>
      </c>
      <c r="AI166" s="105" t="str">
        <f>IF(A166&lt;&gt;"",COUNTIFS('QA Log'!D:D,A166,'QA Log'!M:M,"Data Verification",'QA Log'!L:L,"Other than P4P (section 6)",'QA Log'!Z:Z,"Approved"),"")</f>
        <v/>
      </c>
      <c r="AJ166" s="105" t="str">
        <f>IF(A166&lt;&gt;"",COUNTIFS('QA Log'!D:D,A166,'QA Log'!M:M,"Data Verification",'QA Log'!L:L,"Hospital Governance",'QA Log'!Z:Z,"Approved"),"")</f>
        <v/>
      </c>
      <c r="AK166" s="102" t="str">
        <f>IF(A166="","",
SUM(
COUNTIFS('QA Log'!D:D,A166,'QA Log'!M:M,"Data Verification",'QA Log'!Z:Z,"Rejected",'QA Log'!L:L,"*Medicine (section 2)*"),
COUNTIFS('QA Log'!D:D,A166,'QA Log'!M:M,"Data Verification",'QA Log'!Z:Z,"Rejected",'QA Log'!L:L,"*Lab Testing Availability*"),
COUNTIFS('QA Log'!D:D,A166,'QA Log'!M:M,"Data Verification",'QA Log'!Z:Z,"Rejected",'QA Log'!L:L,"*Other than P4P (section 6)*"),
COUNTIFS('QA Log'!D:D,A166,'QA Log'!M:M,"Data Verification",'QA Log'!Z:Z,"Rejected",'QA Log'!L:L,"*Hospital Governance*")
))</f>
        <v/>
      </c>
      <c r="AL166" s="106" t="str">
        <f t="shared" si="5"/>
        <v/>
      </c>
      <c r="AM166" s="102" t="str">
        <f t="shared" si="6"/>
        <v/>
      </c>
      <c r="AN166" s="102" t="str">
        <f>IF(A166="","",
SUM(
COUNTIFS('QA Log'!D:D,A166,'QA Log'!M:M,"Data Verification",'QA Log'!L:L,"*Personnel (section 1)*"),
COUNTIFS('QA Log'!D:D,A166,'QA Log'!M:M,"Data Verification",'QA Log'!L:L,"*Consumable (section 3)*"),
COUNTIFS('QA Log'!D:D,A166,'QA Log'!M:M,"Data Verification",'QA Log'!L:L,"*Equipments (section 4)*")
))</f>
        <v/>
      </c>
      <c r="AO166" s="102" t="str">
        <f>IF(A166="","",
SUM(
COUNTIFS('QA Log'!D:D,A166,'QA Log'!M:M,"Data Verification",'QA Log'!Z:Z,"Approved",'QA Log'!L:L,"*Personnel (section 1)*"),
COUNTIFS('QA Log'!D:D,A166,'QA Log'!M:M,"Data Verification",'QA Log'!Z:Z,"Approved",'QA Log'!L:L,"*Consumable (section 3)*"),
COUNTIFS('QA Log'!D:D,A166,'QA Log'!M:M,"Data Verification",'QA Log'!Z:Z,"Approved",'QA Log'!L:L,"*Equipments (section 4)*")
))</f>
        <v/>
      </c>
      <c r="AP166" s="105" t="str">
        <f>IF(A166&lt;&gt;"",COUNTIFS('QA Log'!D:D,A166,'QA Log'!M:M,"Data Verification",'QA Log'!L:L,"Personnel (section 1)",'QA Log'!Z:Z,"Approved"),"")</f>
        <v/>
      </c>
      <c r="AQ166" s="105" t="str">
        <f>IF(A166&lt;&gt;"",COUNTIFS('QA Log'!D:D,A166,'QA Log'!M:M,"Data Verification",'QA Log'!L:L,"Consumable (section 3)",'QA Log'!Z:Z,"Approved"),"")</f>
        <v/>
      </c>
      <c r="AR166" s="105" t="str">
        <f>IF(A166&lt;&gt;"",COUNTIFS('QA Log'!D:D,A166,'QA Log'!M:M,"Data Verification",'QA Log'!L:L,"Equipments (section 4)",'QA Log'!Z:Z,"Approved"),"")</f>
        <v/>
      </c>
      <c r="AS166" s="102" t="str">
        <f>IF(A166="","",
SUM(
COUNTIFS('QA Log'!D:D,A166,'QA Log'!M:M,"Data Verification",'QA Log'!Z:Z,"Rejected",'QA Log'!L:L,"*Personnel (section 1)*"),
COUNTIFS('QA Log'!D:D,A166,'QA Log'!M:M,"Data Verification",'QA Log'!Z:Z,"Rejected",'QA Log'!L:L,"*Consumable (section 3)*"),
COUNTIFS('QA Log'!D:D,A166,'QA Log'!M:M,"Data Verification",'QA Log'!Z:Z,"Rejected",'QA Log'!L:L,"*Equipments (section 4)*")
))</f>
        <v/>
      </c>
      <c r="AT166" s="102" t="str">
        <f t="shared" si="7"/>
        <v/>
      </c>
      <c r="AU166" s="103" t="str">
        <f t="shared" si="8"/>
        <v/>
      </c>
      <c r="AV166" s="102" t="str">
        <f>IF(A166="","",SUM(
COUNTIFS('QA Log'!D:D,A166,'QA Log'!M:M,"Vignette",'QA Log'!L:L,"*Vignette [1] Respiratory Infection: Pneumonia*"),
COUNTIFS('QA Log'!D:D,A166,'QA Log'!M:M,"Vignette",'QA Log'!L:L,"*Vignette [2]: Diarrhea with Cat B dehydration*"),
COUNTIFS('QA Log'!D:D,A166,'QA Log'!M:M,"Vignette",'QA Log'!L:L,"*Vignette [3] Growth Monitoring and Promotion*"),
COUNTIFS('QA Log'!D:D,A166,'QA Log'!M:M,"Vignette",'QA Log'!L:L,"*Vignette [4]: The management of presumptive TB patient*")
)
)</f>
        <v/>
      </c>
      <c r="AW166" s="102" t="str">
        <f>IF(
  A166="","",
  SUM(
    COUNTIFS('QA Log'!D:D,A166,'QA Log'!M:M,"Vignette",'QA Log'!Z:Z,"Approved",'QA Log'!L:L,"*Vignette [1] Respiratory Infection: Pneumonia*"),
    COUNTIFS('QA Log'!D:D,A166,'QA Log'!M:M,"Vignette",'QA Log'!Z:Z,"Approved",'QA Log'!L:L,"*Vignette [2]: Diarrhea with Cat B dehydration*"),
    COUNTIFS('QA Log'!D:D,A166,'QA Log'!M:M,"Vignette",'QA Log'!Z:Z,"Approved",'QA Log'!L:L,"*Vignette [3] Growth Monitoring and Promotion*"),
    COUNTIFS('QA Log'!D:D,A166,'QA Log'!M:M,"Vignette",'QA Log'!Z:Z,"Approved",'QA Log'!L:L,"*Vignette [4]: The management of presumptive TB patient*")
  )
)</f>
        <v/>
      </c>
      <c r="AX166" s="105" t="str">
        <f>IF(A166&lt;&gt;"",COUNTIFS('QA Log'!D:D,A166,'QA Log'!M:M,"Vignette",'QA Log'!L:L,"Vignette [1] Respiratory Infection: Pneumonia",'QA Log'!Z:Z,"Approved"),"")</f>
        <v/>
      </c>
      <c r="AY166" s="105" t="str">
        <f>IF(A166&lt;&gt;"",COUNTIFS('QA Log'!D:D,A166,'QA Log'!M:M,"Vignette",'QA Log'!L:L,"Vignette [2]: Diarrhea with Cat B dehydration",'QA Log'!Z:Z,"Approved"),"")</f>
        <v/>
      </c>
      <c r="AZ166" s="105" t="str">
        <f>IF(A166&lt;&gt;"",COUNTIFS('QA Log'!D:D,A166,'QA Log'!M:M,"Vignette",'QA Log'!L:L,"Vignette [3] Growth Monitoring and Promotion",'QA Log'!Z:Z,"Approved"),"")</f>
        <v/>
      </c>
      <c r="BA166" s="105" t="str">
        <f>IF(A166&lt;&gt;"",COUNTIFS('QA Log'!D:D,A166,'QA Log'!M:M,"Vignette",'QA Log'!L:L,"Vignette [4]: The management of presumptive TB patient",'QA Log'!Z:Z,"Approved"),"")</f>
        <v/>
      </c>
      <c r="BB166" s="102" t="str">
        <f>IF(A166="","",
  SUM(
    COUNTIFS('QA Log'!D:D,A166,'QA Log'!M:M,"Vignette",'QA Log'!Z:Z,"Rejected",'QA Log'!L:L,"*Vignette [1] Respiratory Infection: Pneumonia*"),
    COUNTIFS('QA Log'!D:D,A166,'QA Log'!M:M,"Vignette",'QA Log'!Z:Z,"Rejected",'QA Log'!L:L,"*Vignette [2]: Diarrhea with Cat B dehydration*"),
    COUNTIFS('QA Log'!D:D,A166,'QA Log'!M:M,"Vignette",'QA Log'!Z:Z,"Rejected",'QA Log'!L:L,"*Vignette [3] Growth Monitoring and Promotion*"),
    COUNTIFS('QA Log'!D:D,A166,'QA Log'!M:M,"Vignette",'QA Log'!Z:Z,"Rejected",'QA Log'!L:L,"*Vignette [4]: The management of presumptive TB patient*")
  )
)</f>
        <v/>
      </c>
      <c r="BC166" s="107" t="str">
        <f t="shared" si="9"/>
        <v/>
      </c>
      <c r="BD166" s="103" t="str">
        <f t="shared" si="10"/>
        <v/>
      </c>
      <c r="BE166" s="102" t="str">
        <f>IF(A166="","",SUM(
COUNTIFS('QA Log'!D:D,A166,'QA Log'!M:M,"Vignette",'QA Log'!L:L,"*Vignette [5] Labor*"),
COUNTIFS('QA Log'!D:D,A166,'QA Log'!M:M,"Vignette",'QA Log'!L:L,"*Vignette [6] PNC pre Discharge*"),
COUNTIFS('QA Log'!D:D,A166,'QA Log'!M:M,"Vignette",'QA Log'!L:L,"*Vignette [7] First ANC Visit*"),
COUNTIFS('QA Log'!D:D,A166,'QA Log'!M:M,"Vignette",'QA Log'!L:L,"*Vignette [8] Birth Spacing/ Family Planning :  FP Counselling*"),
COUNTIFS('QA Log'!D:D,A166,'QA Log'!M:M,"Vignette",'QA Log'!L:L,"*Vignette [9] Birth Spacing: Change FP method to Injectable*"),
COUNTIFS('QA Log'!D:D,A166,'QA Log'!M:M,"Vignette",'QA Log'!L:L,"*Vignette [10] Post Partum Haemorrhage - Atonic Uterus at Health Centre*"),
)
)</f>
        <v/>
      </c>
      <c r="BF166" s="102" t="str">
        <f>IF(A166="","",
  SUM(
    COUNTIFS('QA Log'!D:D,A166,'QA Log'!M:M,"Vignette",'QA Log'!Z:Z,"Approved",'QA Log'!L:L,"*Vignette [5] Labor*"),
    COUNTIFS('QA Log'!D:D,A166,'QA Log'!M:M,"Vignette",'QA Log'!Z:Z,"Approved",'QA Log'!L:L,"*Vignette [6] PNC pre Discharge*"),
    COUNTIFS('QA Log'!D:D,A166,'QA Log'!M:M,"Vignette",'QA Log'!Z:Z,"Approved",'QA Log'!L:L,"*Vignette [7] First ANC Visit*"),
    COUNTIFS('QA Log'!D:D,A166,'QA Log'!M:M,"Vignette",'QA Log'!Z:Z,"Approved",'QA Log'!L:L,"*Vignette [8] Birth Spacing/ Family Planning :  FP Counselling*"),
    COUNTIFS('QA Log'!D:D,A166,'QA Log'!M:M,"Vignette",'QA Log'!Z:Z,"Approved",'QA Log'!L:L,"*Vignette [9] Birth Spacing: Change FP method to Injectable*"),
    COUNTIFS('QA Log'!D:D,A166,'QA Log'!M:M,"Vignette",'QA Log'!Z:Z,"Approved",'QA Log'!L:L,"*Vignette [10] Post Partum Haemorrhage - Atonic Uterus at Health Centre*")
  )
)</f>
        <v/>
      </c>
      <c r="BG166" s="105" t="str">
        <f>IF(A166&lt;&gt;"",COUNTIFS('QA Log'!D:D,A166,'QA Log'!M:M,"Vignette",'QA Log'!L:L,"Vignette [5] Labor",'QA Log'!Z:Z,"Approved"),"")</f>
        <v/>
      </c>
      <c r="BH166" s="105" t="str">
        <f>IF(A166&lt;&gt;"",COUNTIFS('QA Log'!D:D,A166,'QA Log'!M:M,"Vignette",'QA Log'!L:L,"Vignette [6] PNC pre Discharge",'QA Log'!Z:Z,"Approved"),"")</f>
        <v/>
      </c>
      <c r="BI166" s="105" t="str">
        <f>IF(A166&lt;&gt;"",COUNTIFS('QA Log'!D:D,A166,'QA Log'!M:M,"Vignette",'QA Log'!L:L,"Vignette [7] First ANC Visit",'QA Log'!Z:Z,"Approved"),"")</f>
        <v/>
      </c>
      <c r="BJ166" s="105" t="str">
        <f>IF(A166&lt;&gt;"",COUNTIFS('QA Log'!D:D,A166,'QA Log'!M:M,"Vignette",'QA Log'!L:L,"Vignette [8] Birth Spacing/ Family Planning :  FP Counselling",'QA Log'!Z:Z,"Approved"),"")</f>
        <v/>
      </c>
      <c r="BK166" s="105" t="str">
        <f>IF(A166&lt;&gt;"",COUNTIFS('QA Log'!D:D,A166,'QA Log'!M:M,"Vignette",'QA Log'!L:L,"Vignette [9] Birth Spacing: Change FP method to Injectable",'QA Log'!Z:Z,"Approved"),"")</f>
        <v/>
      </c>
      <c r="BL166" s="105" t="str">
        <f>IF(A166&lt;&gt;"",COUNTIFS('QA Log'!D:D,A166,'QA Log'!M:M,"Vignette",'QA Log'!L:L,"Vignette [10] Post Partum Haemorrhage - Atonic Uterus at Health Centre",'QA Log'!Z:Z,"Approved"),"")</f>
        <v/>
      </c>
      <c r="BM166" s="102" t="str">
        <f>IF(A166="","",SUM(
    COUNTIFS('QA Log'!D:D,A166,'QA Log'!M:M,"Vignette",'QA Log'!Z:Z,"Rejected",'QA Log'!L:L,"*Vignette [5] Labor*"),
    COUNTIFS('QA Log'!D:D,A166,'QA Log'!M:M,"Vignette",'QA Log'!Z:Z,"Rejected",'QA Log'!L:L,"*Vignette [6] PNC pre Discharge*"),
    COUNTIFS('QA Log'!D:D,A166,'QA Log'!M:M,"Vignette",'QA Log'!Z:Z,"Rejected",'QA Log'!L:L,"*Vignette [7] First ANC Visit*"),
    COUNTIFS('QA Log'!D:D,A166,'QA Log'!M:M,"Vignette",'QA Log'!Z:Z,"Rejected",'QA Log'!L:L,"*Vignette [8] Birth Spacing/ Family Planning :  FP Counselling*"),
    COUNTIFS('QA Log'!D:D,A166,'QA Log'!M:M,"Vignette",'QA Log'!Z:Z,"Rejected",'QA Log'!L:L,"*Vignette [9] Birth Spacing: Change FP method to Injectable*"),
    COUNTIFS('QA Log'!D:D,A166,'QA Log'!M:M,"Vignette",'QA Log'!Z:Z,"Rejected",'QA Log'!L:L,"*Vignette [10] Post Partum Haemorrhage - Atonic Uterus at Health Centre*")
  )
)</f>
        <v/>
      </c>
      <c r="BN166" s="107" t="str">
        <f t="shared" si="11"/>
        <v/>
      </c>
      <c r="BO166" s="103" t="str">
        <f t="shared" si="12"/>
        <v/>
      </c>
      <c r="BP166" s="102" t="str">
        <f>IF(A166="","",SUM(
COUNTIFS('QA Log'!D:D,A166,'QA Log'!M:M,"Vignette",'QA Log'!L:L,"*Exit Interview 1*"),
COUNTIFS('QA Log'!D:D,A166,'QA Log'!M:M,"Vignette",'QA Log'!L:L,"*Exit Interview 2*"),
)
)</f>
        <v/>
      </c>
      <c r="BQ166" s="102" t="str">
        <f>IF(
  A166="","",
  SUM(
    COUNTIFS('QA Log'!D:D,A166,'QA Log'!M:M,"Vignette",'QA Log'!Z:Z,"Approved",'QA Log'!L:L,"*Exit Interview 1*"),
    COUNTIFS('QA Log'!D:D,A166,'QA Log'!M:M,"Vignette",'QA Log'!Z:Z,"Approved",'QA Log'!L:L,"*Exit Interview 2*")
  )
)</f>
        <v/>
      </c>
      <c r="BR166" s="105" t="str">
        <f>IF(A166&lt;&gt;"",COUNTIFS('QA Log'!D:D,A166,'QA Log'!M:M,"Vignette",'QA Log'!L:L,"Exit Interview 1",'QA Log'!Z:Z,"Approved"),"")</f>
        <v/>
      </c>
      <c r="BS166" s="105" t="str">
        <f>IF(A166&lt;&gt;"",COUNTIFS('QA Log'!D:D,A166,'QA Log'!M:M,"Vignette",'QA Log'!L:L,"Exit Interview 2",'QA Log'!Z:Z,"Approved"),"")</f>
        <v/>
      </c>
      <c r="BT166" s="102" t="str">
        <f>IF(
  A166="","",
  SUM(
    COUNTIFS('QA Log'!D:D,A166,'QA Log'!M:M,"Vignette",'QA Log'!Z:Z,"Rejected",'QA Log'!L:L,"*Exit Interview 1*"),
    COUNTIFS('QA Log'!D:D,A166,'QA Log'!M:M,"Vignette",'QA Log'!Z:Z,"Rejected",'QA Log'!L:L,"*Exit Interview 2*")
  )
)</f>
        <v/>
      </c>
      <c r="BU166" s="107" t="str">
        <f t="shared" si="13"/>
        <v/>
      </c>
      <c r="BV166" s="102" t="str">
        <f t="shared" si="14"/>
        <v/>
      </c>
      <c r="BW166" s="102" t="str">
        <f t="shared" si="15"/>
        <v/>
      </c>
      <c r="BX166" s="102" t="str">
        <f t="shared" si="16"/>
        <v/>
      </c>
      <c r="BY166" s="102" t="str">
        <f t="shared" si="17"/>
        <v/>
      </c>
      <c r="BZ166" s="107" t="str">
        <f t="shared" si="18"/>
        <v/>
      </c>
      <c r="CA166" s="108" t="str">
        <f t="shared" si="19"/>
        <v/>
      </c>
      <c r="CB166" s="108" t="str">
        <f t="shared" si="20"/>
        <v/>
      </c>
      <c r="CC166" s="109" t="str">
        <f t="shared" si="21"/>
        <v/>
      </c>
      <c r="CD166" s="108" t="str">
        <f t="shared" si="22"/>
        <v/>
      </c>
      <c r="CE166" s="108" t="str">
        <f t="shared" si="23"/>
        <v/>
      </c>
      <c r="CF166" s="109" t="str">
        <f t="shared" si="24"/>
        <v/>
      </c>
      <c r="CG166" s="110" t="str">
        <f t="shared" si="25"/>
        <v/>
      </c>
      <c r="CH166" s="111"/>
    </row>
    <row r="167" spans="1:86" ht="12.75">
      <c r="A167" s="101"/>
      <c r="B167" s="102" t="e">
        <f t="array" aca="1" ref="B167" ca="1">_xludf.XLOOKUP(A167,'QA Log'!D:D,'QA Log'!E:E,"")</f>
        <v>#NAME?</v>
      </c>
      <c r="C167" s="102" t="e">
        <f t="array" aca="1" ref="C167" ca="1">_xludf.XLOOKUP(A167,'QA Log'!D:D,'QA Log'!F:F,"")</f>
        <v>#NAME?</v>
      </c>
      <c r="D167" s="102" t="e">
        <f t="array" aca="1" ref="D167" ca="1">_xludf.XLOOKUP(A167,'QA Log'!D:D,'QA Log'!H:H,"")</f>
        <v>#NAME?</v>
      </c>
      <c r="E167" s="102" t="e">
        <f t="array" aca="1" ref="E167" ca="1">_xludf.XLOOKUP(A167,'QA Log'!D:D,'QA Log'!G:G,"")</f>
        <v>#NAME?</v>
      </c>
      <c r="F167" s="103"/>
      <c r="G167" s="104"/>
      <c r="H167" s="104"/>
      <c r="I167" s="103" t="str">
        <f t="shared" si="0"/>
        <v/>
      </c>
      <c r="J167" s="102" t="str">
        <f>IF(A167="","",SUM(
COUNTIFS('QA Log'!D:D,A167,'QA Log'!M:M,"QQC",'QA Log'!L:L,"*1. General Management*"),
COUNTIFS('QA Log'!D:D,A167,'QA Log'!M:M,"QQC",'QA Log'!L:L,"*3. Curative Consultation (OPD)*"),
COUNTIFS('QA Log'!D:D,A167,'QA Log'!M:M,"QQC",'QA Log'!L:L,"*5. Laboratory*"),
COUNTIFS('QA Log'!D:D,A167,'QA Log'!M:M,"QQC",'QA Log'!L:L,"*6. Essential Medicine Management*"),
COUNTIFS('QA Log'!D:D,A167,'QA Log'!M:M,"QQC",'QA Log'!L:L,"*7. Tracer Medicine*"),
COUNTIFS('QA Log'!D:D,A167,'QA Log'!M:M,"QQC",'QA Log'!L:L,"*11. Additional Questions*")))</f>
        <v/>
      </c>
      <c r="K167" s="102" t="str">
        <f>IF(A167="","",SUM(
COUNTIFS('QA Log'!D:D,A167,'QA Log'!M:M,"QQC",'QA Log'!Z:Z,"Approved",'QA Log'!L:L,"*1. General Management*"),
COUNTIFS('QA Log'!D:D,A167,'QA Log'!M:M,"QQC",'QA Log'!Z:Z,"Approved",'QA Log'!L:L,"*3. Curative Consultation (OPD)*"),
COUNTIFS('QA Log'!D:D,A167,'QA Log'!M:M,"QQC",'QA Log'!Z:Z,"Approved",'QA Log'!L:L,"*5. Laboratory*"),
COUNTIFS('QA Log'!D:D,A167,'QA Log'!M:M,"QQC",'QA Log'!Z:Z,"Approved",'QA Log'!L:L,"*6. Essential Medicine Management*"),
COUNTIFS('QA Log'!D:D,A167,'QA Log'!M:M,"QQC",'QA Log'!Z:Z,"Approved",'QA Log'!L:L,"*7. Tracer Medicine*"),
COUNTIFS('QA Log'!D:D,A167,'QA Log'!M:M,"QQC",'QA Log'!Z:Z,"Approved",'QA Log'!L:L,"*11. Additional Questions*")))</f>
        <v/>
      </c>
      <c r="L167" s="105" t="str">
        <f>IF(A167&lt;&gt;"",COUNTIFS('QA Log'!D:D,A167,'QA Log'!M:M,"QQC",'QA Log'!L:L,"1. General Management",'QA Log'!Z:Z,"Approved"),"")</f>
        <v/>
      </c>
      <c r="M167" s="105" t="str">
        <f>IF(A167&lt;&gt;"",COUNTIFS('QA Log'!D:D,A167,'QA Log'!M:M,"QQC",'QA Log'!L:L,"3. Curative Consultation (OPD)",'QA Log'!Z:Z,"Approved"),"")</f>
        <v/>
      </c>
      <c r="N167" s="105" t="str">
        <f>IF(A167&lt;&gt;"",COUNTIFS('QA Log'!D:D,A167,'QA Log'!M:M,"QQC",'QA Log'!L:L,"5. Laboratory",'QA Log'!Z:Z,"Approved"),"")</f>
        <v/>
      </c>
      <c r="O167" s="105" t="str">
        <f>IF(A167&lt;&gt;"",COUNTIFS('QA Log'!D:D,A167,'QA Log'!M:M,"QQC",'QA Log'!L:L,"6. Essential Medicine Management",'QA Log'!Z:Z,"Approved"),"")</f>
        <v/>
      </c>
      <c r="P167" s="105" t="str">
        <f>IF(A167&lt;&gt;"",COUNTIFS('QA Log'!D:D,A167,'QA Log'!M:M,"QQC",'QA Log'!L:L,"7. Tracer Medicine",'QA Log'!Z:Z,"Approved"),"")</f>
        <v/>
      </c>
      <c r="Q167" s="105" t="str">
        <f>IF(A167&lt;&gt;"",COUNTIFS('QA Log'!D:D,A167,'QA Log'!M:M,"QQC",'QA Log'!L:L,"11. Additional Questions",'QA Log'!Z:Z,"Approved"),"")</f>
        <v/>
      </c>
      <c r="R167" s="102" t="str">
        <f>IF(A167="","",SUM(
COUNTIFS('QA Log'!D:D,A167,'QA Log'!M:M,"QQC",'QA Log'!Z:Z,"Rejected",'QA Log'!L:L,"*8. Maternity*"),
COUNTIFS('QA Log'!D:D,A167,'QA Log'!M:M,"QQC",'QA Log'!Z:Z,"Rejected",'QA Log'!L:L,"*EPI*"),
COUNTIFS('QA Log'!D:D,A167,'QA Log'!M:M,"QQC",'QA Log'!Z:Z,"Rejected",'QA Log'!L:L,"*10. Antenatal Care (ANC)*"),
COUNTIFS('QA Log'!D:D,A167,'QA Log'!M:M,"QQC",'QA Log'!Z:Z,"Rejected",'QA Log'!L:L,"*2. Hygiene and Sterilization*"),
COUNTIFS('QA Log'!D:D,A167,'QA Log'!M:M,"QQC",'QA Log'!Z:Z,"Rejected",'QA Log'!L:L,"*Family Planning*")))</f>
        <v/>
      </c>
      <c r="S167" s="106" t="str">
        <f t="shared" si="1"/>
        <v/>
      </c>
      <c r="T167" s="102" t="str">
        <f t="shared" si="2"/>
        <v/>
      </c>
      <c r="U167" s="102" t="str">
        <f>IF(A167="","",
SUM(
COUNTIFS('QA Log'!D:D,A167,'QA Log'!M:M,"QQC",'QA Log'!L:L,"*8. Maternity*"),
COUNTIFS('QA Log'!D:D,A167,'QA Log'!M:M,"QQC",'QA Log'!L:L,"*9. EPI and Pre-school Consultation*"),
COUNTIFS('QA Log'!D:D,A167,'QA Log'!M:M,"QQC",'QA Log'!L:L,"*10. Antenatal Care (ANC)*"),
COUNTIFS('QA Log'!D:D,A167,'QA Log'!M:M,"QQC",'QA Log'!L:L,"*2. Hygiene and Sterilization*"),
COUNTIFS('QA Log'!D:D,A167,'QA Log'!M:M,"QQC",'QA Log'!L:L,"*4. Family Planning*")
))</f>
        <v/>
      </c>
      <c r="V167" s="102" t="str">
        <f>IF(A167="","",
SUM(
COUNTIFS('QA Log'!D:D,A167,'QA Log'!M:M,"QQC",'QA Log'!Z:Z,"Approved",'QA Log'!L:L,"*8. Maternity*"),
COUNTIFS('QA Log'!D:D,A167,'QA Log'!M:M,"QQC",'QA Log'!Z:Z,"Approved",'QA Log'!L:L,"*9. EPI and Pre-school Consultation*"),
COUNTIFS('QA Log'!D:D,A167,'QA Log'!M:M,"QQC",'QA Log'!Z:Z,"Approved",'QA Log'!L:L,"*10. Antenatal Care (ANC)*"),
COUNTIFS('QA Log'!D:D,A167,'QA Log'!M:M,"QQC",'QA Log'!Z:Z,"Approved",'QA Log'!L:L,"*2. Hygiene and Sterilization*"),
COUNTIFS('QA Log'!D:D,A167,'QA Log'!M:M,"QQC",'QA Log'!Z:Z,"Approved",'QA Log'!L:L,"*4. Family Planning*")
))</f>
        <v/>
      </c>
      <c r="W167" s="105" t="str">
        <f>IF(A167&lt;&gt;"",COUNTIFS('QA Log'!D:D,A167,'QA Log'!M:M,"QQC",'QA Log'!L:L,"8. Maternity",'QA Log'!Z:Z,"Approved"),"")</f>
        <v/>
      </c>
      <c r="X167" s="105" t="str">
        <f>IF(A167&lt;&gt;"",COUNTIFS('QA Log'!D:D,A167,'QA Log'!M:M,"QQC",'QA Log'!L:L,"9. EPI and Pre-school Consultation",'QA Log'!Z:Z,"Approved"),"")</f>
        <v/>
      </c>
      <c r="Y167" s="105" t="str">
        <f>IF(A167&lt;&gt;"",COUNTIFS('QA Log'!D:D,A167,'QA Log'!M:M,"QQC",'QA Log'!L:L,"10. Antenatal Care (ANC)",'QA Log'!Z:Z,"Approved"),"")</f>
        <v/>
      </c>
      <c r="Z167" s="105" t="str">
        <f>IF(A167&lt;&gt;"",COUNTIFS('QA Log'!D:D,A167,'QA Log'!M:M,"QQC",'QA Log'!L:L,"2. Hygiene and Sterilization",'QA Log'!Z:Z,"Approved"),"")</f>
        <v/>
      </c>
      <c r="AA167" s="105" t="str">
        <f>IF(A167&lt;&gt;"",COUNTIFS('QA Log'!D:D,A167,'QA Log'!M:M,"QQC",'QA Log'!L:L,"4. Family Planning",'QA Log'!Z:Z,"Approved"),"")</f>
        <v/>
      </c>
      <c r="AB167" s="102" t="str">
        <f>IF(A167="","",
SUM(
COUNTIFS('QA Log'!D:D,A167,'QA Log'!M:M,"QQC",'QA Log'!Z:Z,"Rejected",'QA Log'!L:L,"*8. Maternity*"),
COUNTIFS('QA Log'!D:D,A167,'QA Log'!M:M,"QQC",'QA Log'!Z:Z,"Rejected",'QA Log'!L:L,"*9. EPI and Pre-school Consultation*"),
COUNTIFS('QA Log'!D:D,A167,'QA Log'!M:M,"QQC",'QA Log'!Z:Z,"Rejected",'QA Log'!L:L,"*10. Antenatal Care (ANC)*"),
COUNTIFS('QA Log'!D:D,A167,'QA Log'!M:M,"QQC",'QA Log'!Z:Z,"Rejected",'QA Log'!L:L,"*2. Hygiene and Sterilization*"),
COUNTIFS('QA Log'!D:D,A167,'QA Log'!M:M,"QQC",'QA Log'!Z:Z,"Rejected",'QA Log'!L:L,"*4. Family Planning*")
))</f>
        <v/>
      </c>
      <c r="AC167" s="102" t="str">
        <f t="shared" si="3"/>
        <v/>
      </c>
      <c r="AD167" s="103" t="str">
        <f t="shared" si="4"/>
        <v/>
      </c>
      <c r="AE167" s="102" t="str">
        <f>IF(A167="","",
SUM(
COUNTIFS('QA Log'!D:D,A167,'QA Log'!M:M,"Data Verification",'QA Log'!L:L,"*Medicine (section 2)*"),
COUNTIFS('QA Log'!D:D,A167,'QA Log'!M:M,"Data Verification",'QA Log'!L:L,"*Lab Testing Availability*"),
COUNTIFS('QA Log'!D:D,A167,'QA Log'!M:M,"Data Verification",'QA Log'!L:L,"*Other than P4P (section 6)*"),
COUNTIFS('QA Log'!D:D,A167,'QA Log'!M:M,"Data Verification",'QA Log'!L:L,"*Hospital Governance*")
))</f>
        <v/>
      </c>
      <c r="AF167" s="102" t="str">
        <f>IF(A167="","",
SUM(
COUNTIFS('QA Log'!D:D,A167,'QA Log'!M:M,"Data Verification",'QA Log'!Z:Z,"Approved",'QA Log'!L:L,"*Medicine (section 2)*"),
COUNTIFS('QA Log'!D:D,A167,'QA Log'!M:M,"Data Verification",'QA Log'!Z:Z,"Approved",'QA Log'!L:L,"*Lab Testing Availability*"),
COUNTIFS('QA Log'!D:D,A167,'QA Log'!M:M,"Data Verification",'QA Log'!Z:Z,"Approved",'QA Log'!L:L,"*Other than P4P (section 6)*"),
COUNTIFS('QA Log'!D:D,A167,'QA Log'!M:M,"Data Verification",'QA Log'!Z:Z,"Approved",'QA Log'!L:L,"*Hospital Governance*")
))</f>
        <v/>
      </c>
      <c r="AG167" s="105" t="str">
        <f>IF(A167&lt;&gt;"",COUNTIFS('QA Log'!D:D,A167,'QA Log'!M:M,"Data Verification",'QA Log'!L:L,"Medicine (section 2)",'QA Log'!Z:Z,"Approved"),"")</f>
        <v/>
      </c>
      <c r="AH167" s="105" t="str">
        <f>IF(A167&lt;&gt;"",COUNTIFS('QA Log'!D:D,A167,'QA Log'!M:M,"Data Verification",'QA Log'!L:L,"Lab Testing Availability",'QA Log'!Z:Z,"Approved"),"")</f>
        <v/>
      </c>
      <c r="AI167" s="105" t="str">
        <f>IF(A167&lt;&gt;"",COUNTIFS('QA Log'!D:D,A167,'QA Log'!M:M,"Data Verification",'QA Log'!L:L,"Other than P4P (section 6)",'QA Log'!Z:Z,"Approved"),"")</f>
        <v/>
      </c>
      <c r="AJ167" s="105" t="str">
        <f>IF(A167&lt;&gt;"",COUNTIFS('QA Log'!D:D,A167,'QA Log'!M:M,"Data Verification",'QA Log'!L:L,"Hospital Governance",'QA Log'!Z:Z,"Approved"),"")</f>
        <v/>
      </c>
      <c r="AK167" s="102" t="str">
        <f>IF(A167="","",
SUM(
COUNTIFS('QA Log'!D:D,A167,'QA Log'!M:M,"Data Verification",'QA Log'!Z:Z,"Rejected",'QA Log'!L:L,"*Medicine (section 2)*"),
COUNTIFS('QA Log'!D:D,A167,'QA Log'!M:M,"Data Verification",'QA Log'!Z:Z,"Rejected",'QA Log'!L:L,"*Lab Testing Availability*"),
COUNTIFS('QA Log'!D:D,A167,'QA Log'!M:M,"Data Verification",'QA Log'!Z:Z,"Rejected",'QA Log'!L:L,"*Other than P4P (section 6)*"),
COUNTIFS('QA Log'!D:D,A167,'QA Log'!M:M,"Data Verification",'QA Log'!Z:Z,"Rejected",'QA Log'!L:L,"*Hospital Governance*")
))</f>
        <v/>
      </c>
      <c r="AL167" s="106" t="str">
        <f t="shared" si="5"/>
        <v/>
      </c>
      <c r="AM167" s="102" t="str">
        <f t="shared" si="6"/>
        <v/>
      </c>
      <c r="AN167" s="102" t="str">
        <f>IF(A167="","",
SUM(
COUNTIFS('QA Log'!D:D,A167,'QA Log'!M:M,"Data Verification",'QA Log'!L:L,"*Personnel (section 1)*"),
COUNTIFS('QA Log'!D:D,A167,'QA Log'!M:M,"Data Verification",'QA Log'!L:L,"*Consumable (section 3)*"),
COUNTIFS('QA Log'!D:D,A167,'QA Log'!M:M,"Data Verification",'QA Log'!L:L,"*Equipments (section 4)*")
))</f>
        <v/>
      </c>
      <c r="AO167" s="102" t="str">
        <f>IF(A167="","",
SUM(
COUNTIFS('QA Log'!D:D,A167,'QA Log'!M:M,"Data Verification",'QA Log'!Z:Z,"Approved",'QA Log'!L:L,"*Personnel (section 1)*"),
COUNTIFS('QA Log'!D:D,A167,'QA Log'!M:M,"Data Verification",'QA Log'!Z:Z,"Approved",'QA Log'!L:L,"*Consumable (section 3)*"),
COUNTIFS('QA Log'!D:D,A167,'QA Log'!M:M,"Data Verification",'QA Log'!Z:Z,"Approved",'QA Log'!L:L,"*Equipments (section 4)*")
))</f>
        <v/>
      </c>
      <c r="AP167" s="105" t="str">
        <f>IF(A167&lt;&gt;"",COUNTIFS('QA Log'!D:D,A167,'QA Log'!M:M,"Data Verification",'QA Log'!L:L,"Personnel (section 1)",'QA Log'!Z:Z,"Approved"),"")</f>
        <v/>
      </c>
      <c r="AQ167" s="105" t="str">
        <f>IF(A167&lt;&gt;"",COUNTIFS('QA Log'!D:D,A167,'QA Log'!M:M,"Data Verification",'QA Log'!L:L,"Consumable (section 3)",'QA Log'!Z:Z,"Approved"),"")</f>
        <v/>
      </c>
      <c r="AR167" s="105" t="str">
        <f>IF(A167&lt;&gt;"",COUNTIFS('QA Log'!D:D,A167,'QA Log'!M:M,"Data Verification",'QA Log'!L:L,"Equipments (section 4)",'QA Log'!Z:Z,"Approved"),"")</f>
        <v/>
      </c>
      <c r="AS167" s="102" t="str">
        <f>IF(A167="","",
SUM(
COUNTIFS('QA Log'!D:D,A167,'QA Log'!M:M,"Data Verification",'QA Log'!Z:Z,"Rejected",'QA Log'!L:L,"*Personnel (section 1)*"),
COUNTIFS('QA Log'!D:D,A167,'QA Log'!M:M,"Data Verification",'QA Log'!Z:Z,"Rejected",'QA Log'!L:L,"*Consumable (section 3)*"),
COUNTIFS('QA Log'!D:D,A167,'QA Log'!M:M,"Data Verification",'QA Log'!Z:Z,"Rejected",'QA Log'!L:L,"*Equipments (section 4)*")
))</f>
        <v/>
      </c>
      <c r="AT167" s="102" t="str">
        <f t="shared" si="7"/>
        <v/>
      </c>
      <c r="AU167" s="103" t="str">
        <f t="shared" si="8"/>
        <v/>
      </c>
      <c r="AV167" s="102" t="str">
        <f>IF(A167="","",SUM(
COUNTIFS('QA Log'!D:D,A167,'QA Log'!M:M,"Vignette",'QA Log'!L:L,"*Vignette [1] Respiratory Infection: Pneumonia*"),
COUNTIFS('QA Log'!D:D,A167,'QA Log'!M:M,"Vignette",'QA Log'!L:L,"*Vignette [2]: Diarrhea with Cat B dehydration*"),
COUNTIFS('QA Log'!D:D,A167,'QA Log'!M:M,"Vignette",'QA Log'!L:L,"*Vignette [3] Growth Monitoring and Promotion*"),
COUNTIFS('QA Log'!D:D,A167,'QA Log'!M:M,"Vignette",'QA Log'!L:L,"*Vignette [4]: The management of presumptive TB patient*")
)
)</f>
        <v/>
      </c>
      <c r="AW167" s="102" t="str">
        <f>IF(
  A167="","",
  SUM(
    COUNTIFS('QA Log'!D:D,A167,'QA Log'!M:M,"Vignette",'QA Log'!Z:Z,"Approved",'QA Log'!L:L,"*Vignette [1] Respiratory Infection: Pneumonia*"),
    COUNTIFS('QA Log'!D:D,A167,'QA Log'!M:M,"Vignette",'QA Log'!Z:Z,"Approved",'QA Log'!L:L,"*Vignette [2]: Diarrhea with Cat B dehydration*"),
    COUNTIFS('QA Log'!D:D,A167,'QA Log'!M:M,"Vignette",'QA Log'!Z:Z,"Approved",'QA Log'!L:L,"*Vignette [3] Growth Monitoring and Promotion*"),
    COUNTIFS('QA Log'!D:D,A167,'QA Log'!M:M,"Vignette",'QA Log'!Z:Z,"Approved",'QA Log'!L:L,"*Vignette [4]: The management of presumptive TB patient*")
  )
)</f>
        <v/>
      </c>
      <c r="AX167" s="105" t="str">
        <f>IF(A167&lt;&gt;"",COUNTIFS('QA Log'!D:D,A167,'QA Log'!M:M,"Vignette",'QA Log'!L:L,"Vignette [1] Respiratory Infection: Pneumonia",'QA Log'!Z:Z,"Approved"),"")</f>
        <v/>
      </c>
      <c r="AY167" s="105" t="str">
        <f>IF(A167&lt;&gt;"",COUNTIFS('QA Log'!D:D,A167,'QA Log'!M:M,"Vignette",'QA Log'!L:L,"Vignette [2]: Diarrhea with Cat B dehydration",'QA Log'!Z:Z,"Approved"),"")</f>
        <v/>
      </c>
      <c r="AZ167" s="105" t="str">
        <f>IF(A167&lt;&gt;"",COUNTIFS('QA Log'!D:D,A167,'QA Log'!M:M,"Vignette",'QA Log'!L:L,"Vignette [3] Growth Monitoring and Promotion",'QA Log'!Z:Z,"Approved"),"")</f>
        <v/>
      </c>
      <c r="BA167" s="105" t="str">
        <f>IF(A167&lt;&gt;"",COUNTIFS('QA Log'!D:D,A167,'QA Log'!M:M,"Vignette",'QA Log'!L:L,"Vignette [4]: The management of presumptive TB patient",'QA Log'!Z:Z,"Approved"),"")</f>
        <v/>
      </c>
      <c r="BB167" s="102" t="str">
        <f>IF(A167="","",
  SUM(
    COUNTIFS('QA Log'!D:D,A167,'QA Log'!M:M,"Vignette",'QA Log'!Z:Z,"Rejected",'QA Log'!L:L,"*Vignette [1] Respiratory Infection: Pneumonia*"),
    COUNTIFS('QA Log'!D:D,A167,'QA Log'!M:M,"Vignette",'QA Log'!Z:Z,"Rejected",'QA Log'!L:L,"*Vignette [2]: Diarrhea with Cat B dehydration*"),
    COUNTIFS('QA Log'!D:D,A167,'QA Log'!M:M,"Vignette",'QA Log'!Z:Z,"Rejected",'QA Log'!L:L,"*Vignette [3] Growth Monitoring and Promotion*"),
    COUNTIFS('QA Log'!D:D,A167,'QA Log'!M:M,"Vignette",'QA Log'!Z:Z,"Rejected",'QA Log'!L:L,"*Vignette [4]: The management of presumptive TB patient*")
  )
)</f>
        <v/>
      </c>
      <c r="BC167" s="107" t="str">
        <f t="shared" si="9"/>
        <v/>
      </c>
      <c r="BD167" s="103" t="str">
        <f t="shared" si="10"/>
        <v/>
      </c>
      <c r="BE167" s="102" t="str">
        <f>IF(A167="","",SUM(
COUNTIFS('QA Log'!D:D,A167,'QA Log'!M:M,"Vignette",'QA Log'!L:L,"*Vignette [5] Labor*"),
COUNTIFS('QA Log'!D:D,A167,'QA Log'!M:M,"Vignette",'QA Log'!L:L,"*Vignette [6] PNC pre Discharge*"),
COUNTIFS('QA Log'!D:D,A167,'QA Log'!M:M,"Vignette",'QA Log'!L:L,"*Vignette [7] First ANC Visit*"),
COUNTIFS('QA Log'!D:D,A167,'QA Log'!M:M,"Vignette",'QA Log'!L:L,"*Vignette [8] Birth Spacing/ Family Planning :  FP Counselling*"),
COUNTIFS('QA Log'!D:D,A167,'QA Log'!M:M,"Vignette",'QA Log'!L:L,"*Vignette [9] Birth Spacing: Change FP method to Injectable*"),
COUNTIFS('QA Log'!D:D,A167,'QA Log'!M:M,"Vignette",'QA Log'!L:L,"*Vignette [10] Post Partum Haemorrhage - Atonic Uterus at Health Centre*"),
)
)</f>
        <v/>
      </c>
      <c r="BF167" s="102" t="str">
        <f>IF(A167="","",
  SUM(
    COUNTIFS('QA Log'!D:D,A167,'QA Log'!M:M,"Vignette",'QA Log'!Z:Z,"Approved",'QA Log'!L:L,"*Vignette [5] Labor*"),
    COUNTIFS('QA Log'!D:D,A167,'QA Log'!M:M,"Vignette",'QA Log'!Z:Z,"Approved",'QA Log'!L:L,"*Vignette [6] PNC pre Discharge*"),
    COUNTIFS('QA Log'!D:D,A167,'QA Log'!M:M,"Vignette",'QA Log'!Z:Z,"Approved",'QA Log'!L:L,"*Vignette [7] First ANC Visit*"),
    COUNTIFS('QA Log'!D:D,A167,'QA Log'!M:M,"Vignette",'QA Log'!Z:Z,"Approved",'QA Log'!L:L,"*Vignette [8] Birth Spacing/ Family Planning :  FP Counselling*"),
    COUNTIFS('QA Log'!D:D,A167,'QA Log'!M:M,"Vignette",'QA Log'!Z:Z,"Approved",'QA Log'!L:L,"*Vignette [9] Birth Spacing: Change FP method to Injectable*"),
    COUNTIFS('QA Log'!D:D,A167,'QA Log'!M:M,"Vignette",'QA Log'!Z:Z,"Approved",'QA Log'!L:L,"*Vignette [10] Post Partum Haemorrhage - Atonic Uterus at Health Centre*")
  )
)</f>
        <v/>
      </c>
      <c r="BG167" s="105" t="str">
        <f>IF(A167&lt;&gt;"",COUNTIFS('QA Log'!D:D,A167,'QA Log'!M:M,"Vignette",'QA Log'!L:L,"Vignette [5] Labor",'QA Log'!Z:Z,"Approved"),"")</f>
        <v/>
      </c>
      <c r="BH167" s="105" t="str">
        <f>IF(A167&lt;&gt;"",COUNTIFS('QA Log'!D:D,A167,'QA Log'!M:M,"Vignette",'QA Log'!L:L,"Vignette [6] PNC pre Discharge",'QA Log'!Z:Z,"Approved"),"")</f>
        <v/>
      </c>
      <c r="BI167" s="105" t="str">
        <f>IF(A167&lt;&gt;"",COUNTIFS('QA Log'!D:D,A167,'QA Log'!M:M,"Vignette",'QA Log'!L:L,"Vignette [7] First ANC Visit",'QA Log'!Z:Z,"Approved"),"")</f>
        <v/>
      </c>
      <c r="BJ167" s="105" t="str">
        <f>IF(A167&lt;&gt;"",COUNTIFS('QA Log'!D:D,A167,'QA Log'!M:M,"Vignette",'QA Log'!L:L,"Vignette [8] Birth Spacing/ Family Planning :  FP Counselling",'QA Log'!Z:Z,"Approved"),"")</f>
        <v/>
      </c>
      <c r="BK167" s="105" t="str">
        <f>IF(A167&lt;&gt;"",COUNTIFS('QA Log'!D:D,A167,'QA Log'!M:M,"Vignette",'QA Log'!L:L,"Vignette [9] Birth Spacing: Change FP method to Injectable",'QA Log'!Z:Z,"Approved"),"")</f>
        <v/>
      </c>
      <c r="BL167" s="105" t="str">
        <f>IF(A167&lt;&gt;"",COUNTIFS('QA Log'!D:D,A167,'QA Log'!M:M,"Vignette",'QA Log'!L:L,"Vignette [10] Post Partum Haemorrhage - Atonic Uterus at Health Centre",'QA Log'!Z:Z,"Approved"),"")</f>
        <v/>
      </c>
      <c r="BM167" s="102" t="str">
        <f>IF(A167="","",SUM(
    COUNTIFS('QA Log'!D:D,A167,'QA Log'!M:M,"Vignette",'QA Log'!Z:Z,"Rejected",'QA Log'!L:L,"*Vignette [5] Labor*"),
    COUNTIFS('QA Log'!D:D,A167,'QA Log'!M:M,"Vignette",'QA Log'!Z:Z,"Rejected",'QA Log'!L:L,"*Vignette [6] PNC pre Discharge*"),
    COUNTIFS('QA Log'!D:D,A167,'QA Log'!M:M,"Vignette",'QA Log'!Z:Z,"Rejected",'QA Log'!L:L,"*Vignette [7] First ANC Visit*"),
    COUNTIFS('QA Log'!D:D,A167,'QA Log'!M:M,"Vignette",'QA Log'!Z:Z,"Rejected",'QA Log'!L:L,"*Vignette [8] Birth Spacing/ Family Planning :  FP Counselling*"),
    COUNTIFS('QA Log'!D:D,A167,'QA Log'!M:M,"Vignette",'QA Log'!Z:Z,"Rejected",'QA Log'!L:L,"*Vignette [9] Birth Spacing: Change FP method to Injectable*"),
    COUNTIFS('QA Log'!D:D,A167,'QA Log'!M:M,"Vignette",'QA Log'!Z:Z,"Rejected",'QA Log'!L:L,"*Vignette [10] Post Partum Haemorrhage - Atonic Uterus at Health Centre*")
  )
)</f>
        <v/>
      </c>
      <c r="BN167" s="107" t="str">
        <f t="shared" si="11"/>
        <v/>
      </c>
      <c r="BO167" s="103" t="str">
        <f t="shared" si="12"/>
        <v/>
      </c>
      <c r="BP167" s="102" t="str">
        <f>IF(A167="","",SUM(
COUNTIFS('QA Log'!D:D,A167,'QA Log'!M:M,"Vignette",'QA Log'!L:L,"*Exit Interview 1*"),
COUNTIFS('QA Log'!D:D,A167,'QA Log'!M:M,"Vignette",'QA Log'!L:L,"*Exit Interview 2*"),
)
)</f>
        <v/>
      </c>
      <c r="BQ167" s="102" t="str">
        <f>IF(
  A167="","",
  SUM(
    COUNTIFS('QA Log'!D:D,A167,'QA Log'!M:M,"Vignette",'QA Log'!Z:Z,"Approved",'QA Log'!L:L,"*Exit Interview 1*"),
    COUNTIFS('QA Log'!D:D,A167,'QA Log'!M:M,"Vignette",'QA Log'!Z:Z,"Approved",'QA Log'!L:L,"*Exit Interview 2*")
  )
)</f>
        <v/>
      </c>
      <c r="BR167" s="105" t="str">
        <f>IF(A167&lt;&gt;"",COUNTIFS('QA Log'!D:D,A167,'QA Log'!M:M,"Vignette",'QA Log'!L:L,"Exit Interview 1",'QA Log'!Z:Z,"Approved"),"")</f>
        <v/>
      </c>
      <c r="BS167" s="105" t="str">
        <f>IF(A167&lt;&gt;"",COUNTIFS('QA Log'!D:D,A167,'QA Log'!M:M,"Vignette",'QA Log'!L:L,"Exit Interview 2",'QA Log'!Z:Z,"Approved"),"")</f>
        <v/>
      </c>
      <c r="BT167" s="102" t="str">
        <f>IF(
  A167="","",
  SUM(
    COUNTIFS('QA Log'!D:D,A167,'QA Log'!M:M,"Vignette",'QA Log'!Z:Z,"Rejected",'QA Log'!L:L,"*Exit Interview 1*"),
    COUNTIFS('QA Log'!D:D,A167,'QA Log'!M:M,"Vignette",'QA Log'!Z:Z,"Rejected",'QA Log'!L:L,"*Exit Interview 2*")
  )
)</f>
        <v/>
      </c>
      <c r="BU167" s="107" t="str">
        <f t="shared" si="13"/>
        <v/>
      </c>
      <c r="BV167" s="102" t="str">
        <f t="shared" si="14"/>
        <v/>
      </c>
      <c r="BW167" s="102" t="str">
        <f t="shared" si="15"/>
        <v/>
      </c>
      <c r="BX167" s="102" t="str">
        <f t="shared" si="16"/>
        <v/>
      </c>
      <c r="BY167" s="102" t="str">
        <f t="shared" si="17"/>
        <v/>
      </c>
      <c r="BZ167" s="107" t="str">
        <f t="shared" si="18"/>
        <v/>
      </c>
      <c r="CA167" s="108" t="str">
        <f t="shared" si="19"/>
        <v/>
      </c>
      <c r="CB167" s="108" t="str">
        <f t="shared" si="20"/>
        <v/>
      </c>
      <c r="CC167" s="109" t="str">
        <f t="shared" si="21"/>
        <v/>
      </c>
      <c r="CD167" s="108" t="str">
        <f t="shared" si="22"/>
        <v/>
      </c>
      <c r="CE167" s="108" t="str">
        <f t="shared" si="23"/>
        <v/>
      </c>
      <c r="CF167" s="109" t="str">
        <f t="shared" si="24"/>
        <v/>
      </c>
      <c r="CG167" s="110" t="str">
        <f t="shared" si="25"/>
        <v/>
      </c>
      <c r="CH167" s="111"/>
    </row>
    <row r="168" spans="1:86" ht="12.75">
      <c r="A168" s="101"/>
      <c r="B168" s="102" t="e">
        <f t="array" aca="1" ref="B168" ca="1">_xludf.XLOOKUP(A168,'QA Log'!D:D,'QA Log'!E:E,"")</f>
        <v>#NAME?</v>
      </c>
      <c r="C168" s="102" t="e">
        <f t="array" aca="1" ref="C168" ca="1">_xludf.XLOOKUP(A168,'QA Log'!D:D,'QA Log'!F:F,"")</f>
        <v>#NAME?</v>
      </c>
      <c r="D168" s="102" t="e">
        <f t="array" aca="1" ref="D168" ca="1">_xludf.XLOOKUP(A168,'QA Log'!D:D,'QA Log'!H:H,"")</f>
        <v>#NAME?</v>
      </c>
      <c r="E168" s="102" t="e">
        <f t="array" aca="1" ref="E168" ca="1">_xludf.XLOOKUP(A168,'QA Log'!D:D,'QA Log'!G:G,"")</f>
        <v>#NAME?</v>
      </c>
      <c r="F168" s="103"/>
      <c r="G168" s="104"/>
      <c r="H168" s="104"/>
      <c r="I168" s="103" t="str">
        <f t="shared" si="0"/>
        <v/>
      </c>
      <c r="J168" s="102" t="str">
        <f>IF(A168="","",SUM(
COUNTIFS('QA Log'!D:D,A168,'QA Log'!M:M,"QQC",'QA Log'!L:L,"*1. General Management*"),
COUNTIFS('QA Log'!D:D,A168,'QA Log'!M:M,"QQC",'QA Log'!L:L,"*3. Curative Consultation (OPD)*"),
COUNTIFS('QA Log'!D:D,A168,'QA Log'!M:M,"QQC",'QA Log'!L:L,"*5. Laboratory*"),
COUNTIFS('QA Log'!D:D,A168,'QA Log'!M:M,"QQC",'QA Log'!L:L,"*6. Essential Medicine Management*"),
COUNTIFS('QA Log'!D:D,A168,'QA Log'!M:M,"QQC",'QA Log'!L:L,"*7. Tracer Medicine*"),
COUNTIFS('QA Log'!D:D,A168,'QA Log'!M:M,"QQC",'QA Log'!L:L,"*11. Additional Questions*")))</f>
        <v/>
      </c>
      <c r="K168" s="102" t="str">
        <f>IF(A168="","",SUM(
COUNTIFS('QA Log'!D:D,A168,'QA Log'!M:M,"QQC",'QA Log'!Z:Z,"Approved",'QA Log'!L:L,"*1. General Management*"),
COUNTIFS('QA Log'!D:D,A168,'QA Log'!M:M,"QQC",'QA Log'!Z:Z,"Approved",'QA Log'!L:L,"*3. Curative Consultation (OPD)*"),
COUNTIFS('QA Log'!D:D,A168,'QA Log'!M:M,"QQC",'QA Log'!Z:Z,"Approved",'QA Log'!L:L,"*5. Laboratory*"),
COUNTIFS('QA Log'!D:D,A168,'QA Log'!M:M,"QQC",'QA Log'!Z:Z,"Approved",'QA Log'!L:L,"*6. Essential Medicine Management*"),
COUNTIFS('QA Log'!D:D,A168,'QA Log'!M:M,"QQC",'QA Log'!Z:Z,"Approved",'QA Log'!L:L,"*7. Tracer Medicine*"),
COUNTIFS('QA Log'!D:D,A168,'QA Log'!M:M,"QQC",'QA Log'!Z:Z,"Approved",'QA Log'!L:L,"*11. Additional Questions*")))</f>
        <v/>
      </c>
      <c r="L168" s="105" t="str">
        <f>IF(A168&lt;&gt;"",COUNTIFS('QA Log'!D:D,A168,'QA Log'!M:M,"QQC",'QA Log'!L:L,"1. General Management",'QA Log'!Z:Z,"Approved"),"")</f>
        <v/>
      </c>
      <c r="M168" s="105" t="str">
        <f>IF(A168&lt;&gt;"",COUNTIFS('QA Log'!D:D,A168,'QA Log'!M:M,"QQC",'QA Log'!L:L,"3. Curative Consultation (OPD)",'QA Log'!Z:Z,"Approved"),"")</f>
        <v/>
      </c>
      <c r="N168" s="105" t="str">
        <f>IF(A168&lt;&gt;"",COUNTIFS('QA Log'!D:D,A168,'QA Log'!M:M,"QQC",'QA Log'!L:L,"5. Laboratory",'QA Log'!Z:Z,"Approved"),"")</f>
        <v/>
      </c>
      <c r="O168" s="105" t="str">
        <f>IF(A168&lt;&gt;"",COUNTIFS('QA Log'!D:D,A168,'QA Log'!M:M,"QQC",'QA Log'!L:L,"6. Essential Medicine Management",'QA Log'!Z:Z,"Approved"),"")</f>
        <v/>
      </c>
      <c r="P168" s="105" t="str">
        <f>IF(A168&lt;&gt;"",COUNTIFS('QA Log'!D:D,A168,'QA Log'!M:M,"QQC",'QA Log'!L:L,"7. Tracer Medicine",'QA Log'!Z:Z,"Approved"),"")</f>
        <v/>
      </c>
      <c r="Q168" s="105" t="str">
        <f>IF(A168&lt;&gt;"",COUNTIFS('QA Log'!D:D,A168,'QA Log'!M:M,"QQC",'QA Log'!L:L,"11. Additional Questions",'QA Log'!Z:Z,"Approved"),"")</f>
        <v/>
      </c>
      <c r="R168" s="102" t="str">
        <f>IF(A168="","",SUM(
COUNTIFS('QA Log'!D:D,A168,'QA Log'!M:M,"QQC",'QA Log'!Z:Z,"Rejected",'QA Log'!L:L,"*8. Maternity*"),
COUNTIFS('QA Log'!D:D,A168,'QA Log'!M:M,"QQC",'QA Log'!Z:Z,"Rejected",'QA Log'!L:L,"*EPI*"),
COUNTIFS('QA Log'!D:D,A168,'QA Log'!M:M,"QQC",'QA Log'!Z:Z,"Rejected",'QA Log'!L:L,"*10. Antenatal Care (ANC)*"),
COUNTIFS('QA Log'!D:D,A168,'QA Log'!M:M,"QQC",'QA Log'!Z:Z,"Rejected",'QA Log'!L:L,"*2. Hygiene and Sterilization*"),
COUNTIFS('QA Log'!D:D,A168,'QA Log'!M:M,"QQC",'QA Log'!Z:Z,"Rejected",'QA Log'!L:L,"*Family Planning*")))</f>
        <v/>
      </c>
      <c r="S168" s="106" t="str">
        <f t="shared" si="1"/>
        <v/>
      </c>
      <c r="T168" s="102" t="str">
        <f t="shared" si="2"/>
        <v/>
      </c>
      <c r="U168" s="102" t="str">
        <f>IF(A168="","",
SUM(
COUNTIFS('QA Log'!D:D,A168,'QA Log'!M:M,"QQC",'QA Log'!L:L,"*8. Maternity*"),
COUNTIFS('QA Log'!D:D,A168,'QA Log'!M:M,"QQC",'QA Log'!L:L,"*9. EPI and Pre-school Consultation*"),
COUNTIFS('QA Log'!D:D,A168,'QA Log'!M:M,"QQC",'QA Log'!L:L,"*10. Antenatal Care (ANC)*"),
COUNTIFS('QA Log'!D:D,A168,'QA Log'!M:M,"QQC",'QA Log'!L:L,"*2. Hygiene and Sterilization*"),
COUNTIFS('QA Log'!D:D,A168,'QA Log'!M:M,"QQC",'QA Log'!L:L,"*4. Family Planning*")
))</f>
        <v/>
      </c>
      <c r="V168" s="102" t="str">
        <f>IF(A168="","",
SUM(
COUNTIFS('QA Log'!D:D,A168,'QA Log'!M:M,"QQC",'QA Log'!Z:Z,"Approved",'QA Log'!L:L,"*8. Maternity*"),
COUNTIFS('QA Log'!D:D,A168,'QA Log'!M:M,"QQC",'QA Log'!Z:Z,"Approved",'QA Log'!L:L,"*9. EPI and Pre-school Consultation*"),
COUNTIFS('QA Log'!D:D,A168,'QA Log'!M:M,"QQC",'QA Log'!Z:Z,"Approved",'QA Log'!L:L,"*10. Antenatal Care (ANC)*"),
COUNTIFS('QA Log'!D:D,A168,'QA Log'!M:M,"QQC",'QA Log'!Z:Z,"Approved",'QA Log'!L:L,"*2. Hygiene and Sterilization*"),
COUNTIFS('QA Log'!D:D,A168,'QA Log'!M:M,"QQC",'QA Log'!Z:Z,"Approved",'QA Log'!L:L,"*4. Family Planning*")
))</f>
        <v/>
      </c>
      <c r="W168" s="105" t="str">
        <f>IF(A168&lt;&gt;"",COUNTIFS('QA Log'!D:D,A168,'QA Log'!M:M,"QQC",'QA Log'!L:L,"8. Maternity",'QA Log'!Z:Z,"Approved"),"")</f>
        <v/>
      </c>
      <c r="X168" s="105" t="str">
        <f>IF(A168&lt;&gt;"",COUNTIFS('QA Log'!D:D,A168,'QA Log'!M:M,"QQC",'QA Log'!L:L,"9. EPI and Pre-school Consultation",'QA Log'!Z:Z,"Approved"),"")</f>
        <v/>
      </c>
      <c r="Y168" s="105" t="str">
        <f>IF(A168&lt;&gt;"",COUNTIFS('QA Log'!D:D,A168,'QA Log'!M:M,"QQC",'QA Log'!L:L,"10. Antenatal Care (ANC)",'QA Log'!Z:Z,"Approved"),"")</f>
        <v/>
      </c>
      <c r="Z168" s="105" t="str">
        <f>IF(A168&lt;&gt;"",COUNTIFS('QA Log'!D:D,A168,'QA Log'!M:M,"QQC",'QA Log'!L:L,"2. Hygiene and Sterilization",'QA Log'!Z:Z,"Approved"),"")</f>
        <v/>
      </c>
      <c r="AA168" s="105" t="str">
        <f>IF(A168&lt;&gt;"",COUNTIFS('QA Log'!D:D,A168,'QA Log'!M:M,"QQC",'QA Log'!L:L,"4. Family Planning",'QA Log'!Z:Z,"Approved"),"")</f>
        <v/>
      </c>
      <c r="AB168" s="102" t="str">
        <f>IF(A168="","",
SUM(
COUNTIFS('QA Log'!D:D,A168,'QA Log'!M:M,"QQC",'QA Log'!Z:Z,"Rejected",'QA Log'!L:L,"*8. Maternity*"),
COUNTIFS('QA Log'!D:D,A168,'QA Log'!M:M,"QQC",'QA Log'!Z:Z,"Rejected",'QA Log'!L:L,"*9. EPI and Pre-school Consultation*"),
COUNTIFS('QA Log'!D:D,A168,'QA Log'!M:M,"QQC",'QA Log'!Z:Z,"Rejected",'QA Log'!L:L,"*10. Antenatal Care (ANC)*"),
COUNTIFS('QA Log'!D:D,A168,'QA Log'!M:M,"QQC",'QA Log'!Z:Z,"Rejected",'QA Log'!L:L,"*2. Hygiene and Sterilization*"),
COUNTIFS('QA Log'!D:D,A168,'QA Log'!M:M,"QQC",'QA Log'!Z:Z,"Rejected",'QA Log'!L:L,"*4. Family Planning*")
))</f>
        <v/>
      </c>
      <c r="AC168" s="102" t="str">
        <f t="shared" si="3"/>
        <v/>
      </c>
      <c r="AD168" s="103" t="str">
        <f t="shared" si="4"/>
        <v/>
      </c>
      <c r="AE168" s="102" t="str">
        <f>IF(A168="","",
SUM(
COUNTIFS('QA Log'!D:D,A168,'QA Log'!M:M,"Data Verification",'QA Log'!L:L,"*Medicine (section 2)*"),
COUNTIFS('QA Log'!D:D,A168,'QA Log'!M:M,"Data Verification",'QA Log'!L:L,"*Lab Testing Availability*"),
COUNTIFS('QA Log'!D:D,A168,'QA Log'!M:M,"Data Verification",'QA Log'!L:L,"*Other than P4P (section 6)*"),
COUNTIFS('QA Log'!D:D,A168,'QA Log'!M:M,"Data Verification",'QA Log'!L:L,"*Hospital Governance*")
))</f>
        <v/>
      </c>
      <c r="AF168" s="102" t="str">
        <f>IF(A168="","",
SUM(
COUNTIFS('QA Log'!D:D,A168,'QA Log'!M:M,"Data Verification",'QA Log'!Z:Z,"Approved",'QA Log'!L:L,"*Medicine (section 2)*"),
COUNTIFS('QA Log'!D:D,A168,'QA Log'!M:M,"Data Verification",'QA Log'!Z:Z,"Approved",'QA Log'!L:L,"*Lab Testing Availability*"),
COUNTIFS('QA Log'!D:D,A168,'QA Log'!M:M,"Data Verification",'QA Log'!Z:Z,"Approved",'QA Log'!L:L,"*Other than P4P (section 6)*"),
COUNTIFS('QA Log'!D:D,A168,'QA Log'!M:M,"Data Verification",'QA Log'!Z:Z,"Approved",'QA Log'!L:L,"*Hospital Governance*")
))</f>
        <v/>
      </c>
      <c r="AG168" s="105" t="str">
        <f>IF(A168&lt;&gt;"",COUNTIFS('QA Log'!D:D,A168,'QA Log'!M:M,"Data Verification",'QA Log'!L:L,"Medicine (section 2)",'QA Log'!Z:Z,"Approved"),"")</f>
        <v/>
      </c>
      <c r="AH168" s="105" t="str">
        <f>IF(A168&lt;&gt;"",COUNTIFS('QA Log'!D:D,A168,'QA Log'!M:M,"Data Verification",'QA Log'!L:L,"Lab Testing Availability",'QA Log'!Z:Z,"Approved"),"")</f>
        <v/>
      </c>
      <c r="AI168" s="105" t="str">
        <f>IF(A168&lt;&gt;"",COUNTIFS('QA Log'!D:D,A168,'QA Log'!M:M,"Data Verification",'QA Log'!L:L,"Other than P4P (section 6)",'QA Log'!Z:Z,"Approved"),"")</f>
        <v/>
      </c>
      <c r="AJ168" s="105" t="str">
        <f>IF(A168&lt;&gt;"",COUNTIFS('QA Log'!D:D,A168,'QA Log'!M:M,"Data Verification",'QA Log'!L:L,"Hospital Governance",'QA Log'!Z:Z,"Approved"),"")</f>
        <v/>
      </c>
      <c r="AK168" s="102" t="str">
        <f>IF(A168="","",
SUM(
COUNTIFS('QA Log'!D:D,A168,'QA Log'!M:M,"Data Verification",'QA Log'!Z:Z,"Rejected",'QA Log'!L:L,"*Medicine (section 2)*"),
COUNTIFS('QA Log'!D:D,A168,'QA Log'!M:M,"Data Verification",'QA Log'!Z:Z,"Rejected",'QA Log'!L:L,"*Lab Testing Availability*"),
COUNTIFS('QA Log'!D:D,A168,'QA Log'!M:M,"Data Verification",'QA Log'!Z:Z,"Rejected",'QA Log'!L:L,"*Other than P4P (section 6)*"),
COUNTIFS('QA Log'!D:D,A168,'QA Log'!M:M,"Data Verification",'QA Log'!Z:Z,"Rejected",'QA Log'!L:L,"*Hospital Governance*")
))</f>
        <v/>
      </c>
      <c r="AL168" s="106" t="str">
        <f t="shared" si="5"/>
        <v/>
      </c>
      <c r="AM168" s="102" t="str">
        <f t="shared" si="6"/>
        <v/>
      </c>
      <c r="AN168" s="102" t="str">
        <f>IF(A168="","",
SUM(
COUNTIFS('QA Log'!D:D,A168,'QA Log'!M:M,"Data Verification",'QA Log'!L:L,"*Personnel (section 1)*"),
COUNTIFS('QA Log'!D:D,A168,'QA Log'!M:M,"Data Verification",'QA Log'!L:L,"*Consumable (section 3)*"),
COUNTIFS('QA Log'!D:D,A168,'QA Log'!M:M,"Data Verification",'QA Log'!L:L,"*Equipments (section 4)*")
))</f>
        <v/>
      </c>
      <c r="AO168" s="102" t="str">
        <f>IF(A168="","",
SUM(
COUNTIFS('QA Log'!D:D,A168,'QA Log'!M:M,"Data Verification",'QA Log'!Z:Z,"Approved",'QA Log'!L:L,"*Personnel (section 1)*"),
COUNTIFS('QA Log'!D:D,A168,'QA Log'!M:M,"Data Verification",'QA Log'!Z:Z,"Approved",'QA Log'!L:L,"*Consumable (section 3)*"),
COUNTIFS('QA Log'!D:D,A168,'QA Log'!M:M,"Data Verification",'QA Log'!Z:Z,"Approved",'QA Log'!L:L,"*Equipments (section 4)*")
))</f>
        <v/>
      </c>
      <c r="AP168" s="105" t="str">
        <f>IF(A168&lt;&gt;"",COUNTIFS('QA Log'!D:D,A168,'QA Log'!M:M,"Data Verification",'QA Log'!L:L,"Personnel (section 1)",'QA Log'!Z:Z,"Approved"),"")</f>
        <v/>
      </c>
      <c r="AQ168" s="105" t="str">
        <f>IF(A168&lt;&gt;"",COUNTIFS('QA Log'!D:D,A168,'QA Log'!M:M,"Data Verification",'QA Log'!L:L,"Consumable (section 3)",'QA Log'!Z:Z,"Approved"),"")</f>
        <v/>
      </c>
      <c r="AR168" s="105" t="str">
        <f>IF(A168&lt;&gt;"",COUNTIFS('QA Log'!D:D,A168,'QA Log'!M:M,"Data Verification",'QA Log'!L:L,"Equipments (section 4)",'QA Log'!Z:Z,"Approved"),"")</f>
        <v/>
      </c>
      <c r="AS168" s="102" t="str">
        <f>IF(A168="","",
SUM(
COUNTIFS('QA Log'!D:D,A168,'QA Log'!M:M,"Data Verification",'QA Log'!Z:Z,"Rejected",'QA Log'!L:L,"*Personnel (section 1)*"),
COUNTIFS('QA Log'!D:D,A168,'QA Log'!M:M,"Data Verification",'QA Log'!Z:Z,"Rejected",'QA Log'!L:L,"*Consumable (section 3)*"),
COUNTIFS('QA Log'!D:D,A168,'QA Log'!M:M,"Data Verification",'QA Log'!Z:Z,"Rejected",'QA Log'!L:L,"*Equipments (section 4)*")
))</f>
        <v/>
      </c>
      <c r="AT168" s="102" t="str">
        <f t="shared" si="7"/>
        <v/>
      </c>
      <c r="AU168" s="103" t="str">
        <f t="shared" si="8"/>
        <v/>
      </c>
      <c r="AV168" s="102" t="str">
        <f>IF(A168="","",SUM(
COUNTIFS('QA Log'!D:D,A168,'QA Log'!M:M,"Vignette",'QA Log'!L:L,"*Vignette [1] Respiratory Infection: Pneumonia*"),
COUNTIFS('QA Log'!D:D,A168,'QA Log'!M:M,"Vignette",'QA Log'!L:L,"*Vignette [2]: Diarrhea with Cat B dehydration*"),
COUNTIFS('QA Log'!D:D,A168,'QA Log'!M:M,"Vignette",'QA Log'!L:L,"*Vignette [3] Growth Monitoring and Promotion*"),
COUNTIFS('QA Log'!D:D,A168,'QA Log'!M:M,"Vignette",'QA Log'!L:L,"*Vignette [4]: The management of presumptive TB patient*")
)
)</f>
        <v/>
      </c>
      <c r="AW168" s="102" t="str">
        <f>IF(
  A168="","",
  SUM(
    COUNTIFS('QA Log'!D:D,A168,'QA Log'!M:M,"Vignette",'QA Log'!Z:Z,"Approved",'QA Log'!L:L,"*Vignette [1] Respiratory Infection: Pneumonia*"),
    COUNTIFS('QA Log'!D:D,A168,'QA Log'!M:M,"Vignette",'QA Log'!Z:Z,"Approved",'QA Log'!L:L,"*Vignette [2]: Diarrhea with Cat B dehydration*"),
    COUNTIFS('QA Log'!D:D,A168,'QA Log'!M:M,"Vignette",'QA Log'!Z:Z,"Approved",'QA Log'!L:L,"*Vignette [3] Growth Monitoring and Promotion*"),
    COUNTIFS('QA Log'!D:D,A168,'QA Log'!M:M,"Vignette",'QA Log'!Z:Z,"Approved",'QA Log'!L:L,"*Vignette [4]: The management of presumptive TB patient*")
  )
)</f>
        <v/>
      </c>
      <c r="AX168" s="105" t="str">
        <f>IF(A168&lt;&gt;"",COUNTIFS('QA Log'!D:D,A168,'QA Log'!M:M,"Vignette",'QA Log'!L:L,"Vignette [1] Respiratory Infection: Pneumonia",'QA Log'!Z:Z,"Approved"),"")</f>
        <v/>
      </c>
      <c r="AY168" s="105" t="str">
        <f>IF(A168&lt;&gt;"",COUNTIFS('QA Log'!D:D,A168,'QA Log'!M:M,"Vignette",'QA Log'!L:L,"Vignette [2]: Diarrhea with Cat B dehydration",'QA Log'!Z:Z,"Approved"),"")</f>
        <v/>
      </c>
      <c r="AZ168" s="105" t="str">
        <f>IF(A168&lt;&gt;"",COUNTIFS('QA Log'!D:D,A168,'QA Log'!M:M,"Vignette",'QA Log'!L:L,"Vignette [3] Growth Monitoring and Promotion",'QA Log'!Z:Z,"Approved"),"")</f>
        <v/>
      </c>
      <c r="BA168" s="105" t="str">
        <f>IF(A168&lt;&gt;"",COUNTIFS('QA Log'!D:D,A168,'QA Log'!M:M,"Vignette",'QA Log'!L:L,"Vignette [4]: The management of presumptive TB patient",'QA Log'!Z:Z,"Approved"),"")</f>
        <v/>
      </c>
      <c r="BB168" s="102" t="str">
        <f>IF(A168="","",
  SUM(
    COUNTIFS('QA Log'!D:D,A168,'QA Log'!M:M,"Vignette",'QA Log'!Z:Z,"Rejected",'QA Log'!L:L,"*Vignette [1] Respiratory Infection: Pneumonia*"),
    COUNTIFS('QA Log'!D:D,A168,'QA Log'!M:M,"Vignette",'QA Log'!Z:Z,"Rejected",'QA Log'!L:L,"*Vignette [2]: Diarrhea with Cat B dehydration*"),
    COUNTIFS('QA Log'!D:D,A168,'QA Log'!M:M,"Vignette",'QA Log'!Z:Z,"Rejected",'QA Log'!L:L,"*Vignette [3] Growth Monitoring and Promotion*"),
    COUNTIFS('QA Log'!D:D,A168,'QA Log'!M:M,"Vignette",'QA Log'!Z:Z,"Rejected",'QA Log'!L:L,"*Vignette [4]: The management of presumptive TB patient*")
  )
)</f>
        <v/>
      </c>
      <c r="BC168" s="107" t="str">
        <f t="shared" si="9"/>
        <v/>
      </c>
      <c r="BD168" s="103" t="str">
        <f t="shared" si="10"/>
        <v/>
      </c>
      <c r="BE168" s="102" t="str">
        <f>IF(A168="","",SUM(
COUNTIFS('QA Log'!D:D,A168,'QA Log'!M:M,"Vignette",'QA Log'!L:L,"*Vignette [5] Labor*"),
COUNTIFS('QA Log'!D:D,A168,'QA Log'!M:M,"Vignette",'QA Log'!L:L,"*Vignette [6] PNC pre Discharge*"),
COUNTIFS('QA Log'!D:D,A168,'QA Log'!M:M,"Vignette",'QA Log'!L:L,"*Vignette [7] First ANC Visit*"),
COUNTIFS('QA Log'!D:D,A168,'QA Log'!M:M,"Vignette",'QA Log'!L:L,"*Vignette [8] Birth Spacing/ Family Planning :  FP Counselling*"),
COUNTIFS('QA Log'!D:D,A168,'QA Log'!M:M,"Vignette",'QA Log'!L:L,"*Vignette [9] Birth Spacing: Change FP method to Injectable*"),
COUNTIFS('QA Log'!D:D,A168,'QA Log'!M:M,"Vignette",'QA Log'!L:L,"*Vignette [10] Post Partum Haemorrhage - Atonic Uterus at Health Centre*"),
)
)</f>
        <v/>
      </c>
      <c r="BF168" s="102" t="str">
        <f>IF(A168="","",
  SUM(
    COUNTIFS('QA Log'!D:D,A168,'QA Log'!M:M,"Vignette",'QA Log'!Z:Z,"Approved",'QA Log'!L:L,"*Vignette [5] Labor*"),
    COUNTIFS('QA Log'!D:D,A168,'QA Log'!M:M,"Vignette",'QA Log'!Z:Z,"Approved",'QA Log'!L:L,"*Vignette [6] PNC pre Discharge*"),
    COUNTIFS('QA Log'!D:D,A168,'QA Log'!M:M,"Vignette",'QA Log'!Z:Z,"Approved",'QA Log'!L:L,"*Vignette [7] First ANC Visit*"),
    COUNTIFS('QA Log'!D:D,A168,'QA Log'!M:M,"Vignette",'QA Log'!Z:Z,"Approved",'QA Log'!L:L,"*Vignette [8] Birth Spacing/ Family Planning :  FP Counselling*"),
    COUNTIFS('QA Log'!D:D,A168,'QA Log'!M:M,"Vignette",'QA Log'!Z:Z,"Approved",'QA Log'!L:L,"*Vignette [9] Birth Spacing: Change FP method to Injectable*"),
    COUNTIFS('QA Log'!D:D,A168,'QA Log'!M:M,"Vignette",'QA Log'!Z:Z,"Approved",'QA Log'!L:L,"*Vignette [10] Post Partum Haemorrhage - Atonic Uterus at Health Centre*")
  )
)</f>
        <v/>
      </c>
      <c r="BG168" s="105" t="str">
        <f>IF(A168&lt;&gt;"",COUNTIFS('QA Log'!D:D,A168,'QA Log'!M:M,"Vignette",'QA Log'!L:L,"Vignette [5] Labor",'QA Log'!Z:Z,"Approved"),"")</f>
        <v/>
      </c>
      <c r="BH168" s="105" t="str">
        <f>IF(A168&lt;&gt;"",COUNTIFS('QA Log'!D:D,A168,'QA Log'!M:M,"Vignette",'QA Log'!L:L,"Vignette [6] PNC pre Discharge",'QA Log'!Z:Z,"Approved"),"")</f>
        <v/>
      </c>
      <c r="BI168" s="105" t="str">
        <f>IF(A168&lt;&gt;"",COUNTIFS('QA Log'!D:D,A168,'QA Log'!M:M,"Vignette",'QA Log'!L:L,"Vignette [7] First ANC Visit",'QA Log'!Z:Z,"Approved"),"")</f>
        <v/>
      </c>
      <c r="BJ168" s="105" t="str">
        <f>IF(A168&lt;&gt;"",COUNTIFS('QA Log'!D:D,A168,'QA Log'!M:M,"Vignette",'QA Log'!L:L,"Vignette [8] Birth Spacing/ Family Planning :  FP Counselling",'QA Log'!Z:Z,"Approved"),"")</f>
        <v/>
      </c>
      <c r="BK168" s="105" t="str">
        <f>IF(A168&lt;&gt;"",COUNTIFS('QA Log'!D:D,A168,'QA Log'!M:M,"Vignette",'QA Log'!L:L,"Vignette [9] Birth Spacing: Change FP method to Injectable",'QA Log'!Z:Z,"Approved"),"")</f>
        <v/>
      </c>
      <c r="BL168" s="105" t="str">
        <f>IF(A168&lt;&gt;"",COUNTIFS('QA Log'!D:D,A168,'QA Log'!M:M,"Vignette",'QA Log'!L:L,"Vignette [10] Post Partum Haemorrhage - Atonic Uterus at Health Centre",'QA Log'!Z:Z,"Approved"),"")</f>
        <v/>
      </c>
      <c r="BM168" s="102" t="str">
        <f>IF(A168="","",SUM(
    COUNTIFS('QA Log'!D:D,A168,'QA Log'!M:M,"Vignette",'QA Log'!Z:Z,"Rejected",'QA Log'!L:L,"*Vignette [5] Labor*"),
    COUNTIFS('QA Log'!D:D,A168,'QA Log'!M:M,"Vignette",'QA Log'!Z:Z,"Rejected",'QA Log'!L:L,"*Vignette [6] PNC pre Discharge*"),
    COUNTIFS('QA Log'!D:D,A168,'QA Log'!M:M,"Vignette",'QA Log'!Z:Z,"Rejected",'QA Log'!L:L,"*Vignette [7] First ANC Visit*"),
    COUNTIFS('QA Log'!D:D,A168,'QA Log'!M:M,"Vignette",'QA Log'!Z:Z,"Rejected",'QA Log'!L:L,"*Vignette [8] Birth Spacing/ Family Planning :  FP Counselling*"),
    COUNTIFS('QA Log'!D:D,A168,'QA Log'!M:M,"Vignette",'QA Log'!Z:Z,"Rejected",'QA Log'!L:L,"*Vignette [9] Birth Spacing: Change FP method to Injectable*"),
    COUNTIFS('QA Log'!D:D,A168,'QA Log'!M:M,"Vignette",'QA Log'!Z:Z,"Rejected",'QA Log'!L:L,"*Vignette [10] Post Partum Haemorrhage - Atonic Uterus at Health Centre*")
  )
)</f>
        <v/>
      </c>
      <c r="BN168" s="107" t="str">
        <f t="shared" si="11"/>
        <v/>
      </c>
      <c r="BO168" s="103" t="str">
        <f t="shared" si="12"/>
        <v/>
      </c>
      <c r="BP168" s="102" t="str">
        <f>IF(A168="","",SUM(
COUNTIFS('QA Log'!D:D,A168,'QA Log'!M:M,"Vignette",'QA Log'!L:L,"*Exit Interview 1*"),
COUNTIFS('QA Log'!D:D,A168,'QA Log'!M:M,"Vignette",'QA Log'!L:L,"*Exit Interview 2*"),
)
)</f>
        <v/>
      </c>
      <c r="BQ168" s="102" t="str">
        <f>IF(
  A168="","",
  SUM(
    COUNTIFS('QA Log'!D:D,A168,'QA Log'!M:M,"Vignette",'QA Log'!Z:Z,"Approved",'QA Log'!L:L,"*Exit Interview 1*"),
    COUNTIFS('QA Log'!D:D,A168,'QA Log'!M:M,"Vignette",'QA Log'!Z:Z,"Approved",'QA Log'!L:L,"*Exit Interview 2*")
  )
)</f>
        <v/>
      </c>
      <c r="BR168" s="105" t="str">
        <f>IF(A168&lt;&gt;"",COUNTIFS('QA Log'!D:D,A168,'QA Log'!M:M,"Vignette",'QA Log'!L:L,"Exit Interview 1",'QA Log'!Z:Z,"Approved"),"")</f>
        <v/>
      </c>
      <c r="BS168" s="105" t="str">
        <f>IF(A168&lt;&gt;"",COUNTIFS('QA Log'!D:D,A168,'QA Log'!M:M,"Vignette",'QA Log'!L:L,"Exit Interview 2",'QA Log'!Z:Z,"Approved"),"")</f>
        <v/>
      </c>
      <c r="BT168" s="102" t="str">
        <f>IF(
  A168="","",
  SUM(
    COUNTIFS('QA Log'!D:D,A168,'QA Log'!M:M,"Vignette",'QA Log'!Z:Z,"Rejected",'QA Log'!L:L,"*Exit Interview 1*"),
    COUNTIFS('QA Log'!D:D,A168,'QA Log'!M:M,"Vignette",'QA Log'!Z:Z,"Rejected",'QA Log'!L:L,"*Exit Interview 2*")
  )
)</f>
        <v/>
      </c>
      <c r="BU168" s="107" t="str">
        <f t="shared" si="13"/>
        <v/>
      </c>
      <c r="BV168" s="102" t="str">
        <f t="shared" si="14"/>
        <v/>
      </c>
      <c r="BW168" s="102" t="str">
        <f t="shared" si="15"/>
        <v/>
      </c>
      <c r="BX168" s="102" t="str">
        <f t="shared" si="16"/>
        <v/>
      </c>
      <c r="BY168" s="102" t="str">
        <f t="shared" si="17"/>
        <v/>
      </c>
      <c r="BZ168" s="107" t="str">
        <f t="shared" si="18"/>
        <v/>
      </c>
      <c r="CA168" s="108" t="str">
        <f t="shared" si="19"/>
        <v/>
      </c>
      <c r="CB168" s="108" t="str">
        <f t="shared" si="20"/>
        <v/>
      </c>
      <c r="CC168" s="109" t="str">
        <f t="shared" si="21"/>
        <v/>
      </c>
      <c r="CD168" s="108" t="str">
        <f t="shared" si="22"/>
        <v/>
      </c>
      <c r="CE168" s="108" t="str">
        <f t="shared" si="23"/>
        <v/>
      </c>
      <c r="CF168" s="109" t="str">
        <f t="shared" si="24"/>
        <v/>
      </c>
      <c r="CG168" s="110" t="str">
        <f t="shared" si="25"/>
        <v/>
      </c>
      <c r="CH168" s="111"/>
    </row>
    <row r="169" spans="1:86" ht="12.75">
      <c r="A169" s="101"/>
      <c r="B169" s="102" t="e">
        <f t="array" aca="1" ref="B169" ca="1">_xludf.XLOOKUP(A169,'QA Log'!D:D,'QA Log'!E:E,"")</f>
        <v>#NAME?</v>
      </c>
      <c r="C169" s="102" t="e">
        <f t="array" aca="1" ref="C169" ca="1">_xludf.XLOOKUP(A169,'QA Log'!D:D,'QA Log'!F:F,"")</f>
        <v>#NAME?</v>
      </c>
      <c r="D169" s="102" t="e">
        <f t="array" aca="1" ref="D169" ca="1">_xludf.XLOOKUP(A169,'QA Log'!D:D,'QA Log'!H:H,"")</f>
        <v>#NAME?</v>
      </c>
      <c r="E169" s="102" t="e">
        <f t="array" aca="1" ref="E169" ca="1">_xludf.XLOOKUP(A169,'QA Log'!D:D,'QA Log'!G:G,"")</f>
        <v>#NAME?</v>
      </c>
      <c r="F169" s="103"/>
      <c r="G169" s="104"/>
      <c r="H169" s="104"/>
      <c r="I169" s="103" t="str">
        <f t="shared" si="0"/>
        <v/>
      </c>
      <c r="J169" s="102" t="str">
        <f>IF(A169="","",SUM(
COUNTIFS('QA Log'!D:D,A169,'QA Log'!M:M,"QQC",'QA Log'!L:L,"*1. General Management*"),
COUNTIFS('QA Log'!D:D,A169,'QA Log'!M:M,"QQC",'QA Log'!L:L,"*3. Curative Consultation (OPD)*"),
COUNTIFS('QA Log'!D:D,A169,'QA Log'!M:M,"QQC",'QA Log'!L:L,"*5. Laboratory*"),
COUNTIFS('QA Log'!D:D,A169,'QA Log'!M:M,"QQC",'QA Log'!L:L,"*6. Essential Medicine Management*"),
COUNTIFS('QA Log'!D:D,A169,'QA Log'!M:M,"QQC",'QA Log'!L:L,"*7. Tracer Medicine*"),
COUNTIFS('QA Log'!D:D,A169,'QA Log'!M:M,"QQC",'QA Log'!L:L,"*11. Additional Questions*")))</f>
        <v/>
      </c>
      <c r="K169" s="102" t="str">
        <f>IF(A169="","",SUM(
COUNTIFS('QA Log'!D:D,A169,'QA Log'!M:M,"QQC",'QA Log'!Z:Z,"Approved",'QA Log'!L:L,"*1. General Management*"),
COUNTIFS('QA Log'!D:D,A169,'QA Log'!M:M,"QQC",'QA Log'!Z:Z,"Approved",'QA Log'!L:L,"*3. Curative Consultation (OPD)*"),
COUNTIFS('QA Log'!D:D,A169,'QA Log'!M:M,"QQC",'QA Log'!Z:Z,"Approved",'QA Log'!L:L,"*5. Laboratory*"),
COUNTIFS('QA Log'!D:D,A169,'QA Log'!M:M,"QQC",'QA Log'!Z:Z,"Approved",'QA Log'!L:L,"*6. Essential Medicine Management*"),
COUNTIFS('QA Log'!D:D,A169,'QA Log'!M:M,"QQC",'QA Log'!Z:Z,"Approved",'QA Log'!L:L,"*7. Tracer Medicine*"),
COUNTIFS('QA Log'!D:D,A169,'QA Log'!M:M,"QQC",'QA Log'!Z:Z,"Approved",'QA Log'!L:L,"*11. Additional Questions*")))</f>
        <v/>
      </c>
      <c r="L169" s="105" t="str">
        <f>IF(A169&lt;&gt;"",COUNTIFS('QA Log'!D:D,A169,'QA Log'!M:M,"QQC",'QA Log'!L:L,"1. General Management",'QA Log'!Z:Z,"Approved"),"")</f>
        <v/>
      </c>
      <c r="M169" s="105" t="str">
        <f>IF(A169&lt;&gt;"",COUNTIFS('QA Log'!D:D,A169,'QA Log'!M:M,"QQC",'QA Log'!L:L,"3. Curative Consultation (OPD)",'QA Log'!Z:Z,"Approved"),"")</f>
        <v/>
      </c>
      <c r="N169" s="105" t="str">
        <f>IF(A169&lt;&gt;"",COUNTIFS('QA Log'!D:D,A169,'QA Log'!M:M,"QQC",'QA Log'!L:L,"5. Laboratory",'QA Log'!Z:Z,"Approved"),"")</f>
        <v/>
      </c>
      <c r="O169" s="105" t="str">
        <f>IF(A169&lt;&gt;"",COUNTIFS('QA Log'!D:D,A169,'QA Log'!M:M,"QQC",'QA Log'!L:L,"6. Essential Medicine Management",'QA Log'!Z:Z,"Approved"),"")</f>
        <v/>
      </c>
      <c r="P169" s="105" t="str">
        <f>IF(A169&lt;&gt;"",COUNTIFS('QA Log'!D:D,A169,'QA Log'!M:M,"QQC",'QA Log'!L:L,"7. Tracer Medicine",'QA Log'!Z:Z,"Approved"),"")</f>
        <v/>
      </c>
      <c r="Q169" s="105" t="str">
        <f>IF(A169&lt;&gt;"",COUNTIFS('QA Log'!D:D,A169,'QA Log'!M:M,"QQC",'QA Log'!L:L,"11. Additional Questions",'QA Log'!Z:Z,"Approved"),"")</f>
        <v/>
      </c>
      <c r="R169" s="102" t="str">
        <f>IF(A169="","",SUM(
COUNTIFS('QA Log'!D:D,A169,'QA Log'!M:M,"QQC",'QA Log'!Z:Z,"Rejected",'QA Log'!L:L,"*8. Maternity*"),
COUNTIFS('QA Log'!D:D,A169,'QA Log'!M:M,"QQC",'QA Log'!Z:Z,"Rejected",'QA Log'!L:L,"*EPI*"),
COUNTIFS('QA Log'!D:D,A169,'QA Log'!M:M,"QQC",'QA Log'!Z:Z,"Rejected",'QA Log'!L:L,"*10. Antenatal Care (ANC)*"),
COUNTIFS('QA Log'!D:D,A169,'QA Log'!M:M,"QQC",'QA Log'!Z:Z,"Rejected",'QA Log'!L:L,"*2. Hygiene and Sterilization*"),
COUNTIFS('QA Log'!D:D,A169,'QA Log'!M:M,"QQC",'QA Log'!Z:Z,"Rejected",'QA Log'!L:L,"*Family Planning*")))</f>
        <v/>
      </c>
      <c r="S169" s="106" t="str">
        <f t="shared" si="1"/>
        <v/>
      </c>
      <c r="T169" s="102" t="str">
        <f t="shared" si="2"/>
        <v/>
      </c>
      <c r="U169" s="102" t="str">
        <f>IF(A169="","",
SUM(
COUNTIFS('QA Log'!D:D,A169,'QA Log'!M:M,"QQC",'QA Log'!L:L,"*8. Maternity*"),
COUNTIFS('QA Log'!D:D,A169,'QA Log'!M:M,"QQC",'QA Log'!L:L,"*9. EPI and Pre-school Consultation*"),
COUNTIFS('QA Log'!D:D,A169,'QA Log'!M:M,"QQC",'QA Log'!L:L,"*10. Antenatal Care (ANC)*"),
COUNTIFS('QA Log'!D:D,A169,'QA Log'!M:M,"QQC",'QA Log'!L:L,"*2. Hygiene and Sterilization*"),
COUNTIFS('QA Log'!D:D,A169,'QA Log'!M:M,"QQC",'QA Log'!L:L,"*4. Family Planning*")
))</f>
        <v/>
      </c>
      <c r="V169" s="102" t="str">
        <f>IF(A169="","",
SUM(
COUNTIFS('QA Log'!D:D,A169,'QA Log'!M:M,"QQC",'QA Log'!Z:Z,"Approved",'QA Log'!L:L,"*8. Maternity*"),
COUNTIFS('QA Log'!D:D,A169,'QA Log'!M:M,"QQC",'QA Log'!Z:Z,"Approved",'QA Log'!L:L,"*9. EPI and Pre-school Consultation*"),
COUNTIFS('QA Log'!D:D,A169,'QA Log'!M:M,"QQC",'QA Log'!Z:Z,"Approved",'QA Log'!L:L,"*10. Antenatal Care (ANC)*"),
COUNTIFS('QA Log'!D:D,A169,'QA Log'!M:M,"QQC",'QA Log'!Z:Z,"Approved",'QA Log'!L:L,"*2. Hygiene and Sterilization*"),
COUNTIFS('QA Log'!D:D,A169,'QA Log'!M:M,"QQC",'QA Log'!Z:Z,"Approved",'QA Log'!L:L,"*4. Family Planning*")
))</f>
        <v/>
      </c>
      <c r="W169" s="105" t="str">
        <f>IF(A169&lt;&gt;"",COUNTIFS('QA Log'!D:D,A169,'QA Log'!M:M,"QQC",'QA Log'!L:L,"8. Maternity",'QA Log'!Z:Z,"Approved"),"")</f>
        <v/>
      </c>
      <c r="X169" s="105" t="str">
        <f>IF(A169&lt;&gt;"",COUNTIFS('QA Log'!D:D,A169,'QA Log'!M:M,"QQC",'QA Log'!L:L,"9. EPI and Pre-school Consultation",'QA Log'!Z:Z,"Approved"),"")</f>
        <v/>
      </c>
      <c r="Y169" s="105" t="str">
        <f>IF(A169&lt;&gt;"",COUNTIFS('QA Log'!D:D,A169,'QA Log'!M:M,"QQC",'QA Log'!L:L,"10. Antenatal Care (ANC)",'QA Log'!Z:Z,"Approved"),"")</f>
        <v/>
      </c>
      <c r="Z169" s="105" t="str">
        <f>IF(A169&lt;&gt;"",COUNTIFS('QA Log'!D:D,A169,'QA Log'!M:M,"QQC",'QA Log'!L:L,"2. Hygiene and Sterilization",'QA Log'!Z:Z,"Approved"),"")</f>
        <v/>
      </c>
      <c r="AA169" s="105" t="str">
        <f>IF(A169&lt;&gt;"",COUNTIFS('QA Log'!D:D,A169,'QA Log'!M:M,"QQC",'QA Log'!L:L,"4. Family Planning",'QA Log'!Z:Z,"Approved"),"")</f>
        <v/>
      </c>
      <c r="AB169" s="102" t="str">
        <f>IF(A169="","",
SUM(
COUNTIFS('QA Log'!D:D,A169,'QA Log'!M:M,"QQC",'QA Log'!Z:Z,"Rejected",'QA Log'!L:L,"*8. Maternity*"),
COUNTIFS('QA Log'!D:D,A169,'QA Log'!M:M,"QQC",'QA Log'!Z:Z,"Rejected",'QA Log'!L:L,"*9. EPI and Pre-school Consultation*"),
COUNTIFS('QA Log'!D:D,A169,'QA Log'!M:M,"QQC",'QA Log'!Z:Z,"Rejected",'QA Log'!L:L,"*10. Antenatal Care (ANC)*"),
COUNTIFS('QA Log'!D:D,A169,'QA Log'!M:M,"QQC",'QA Log'!Z:Z,"Rejected",'QA Log'!L:L,"*2. Hygiene and Sterilization*"),
COUNTIFS('QA Log'!D:D,A169,'QA Log'!M:M,"QQC",'QA Log'!Z:Z,"Rejected",'QA Log'!L:L,"*4. Family Planning*")
))</f>
        <v/>
      </c>
      <c r="AC169" s="102" t="str">
        <f t="shared" si="3"/>
        <v/>
      </c>
      <c r="AD169" s="103" t="str">
        <f t="shared" si="4"/>
        <v/>
      </c>
      <c r="AE169" s="102" t="str">
        <f>IF(A169="","",
SUM(
COUNTIFS('QA Log'!D:D,A169,'QA Log'!M:M,"Data Verification",'QA Log'!L:L,"*Medicine (section 2)*"),
COUNTIFS('QA Log'!D:D,A169,'QA Log'!M:M,"Data Verification",'QA Log'!L:L,"*Lab Testing Availability*"),
COUNTIFS('QA Log'!D:D,A169,'QA Log'!M:M,"Data Verification",'QA Log'!L:L,"*Other than P4P (section 6)*"),
COUNTIFS('QA Log'!D:D,A169,'QA Log'!M:M,"Data Verification",'QA Log'!L:L,"*Hospital Governance*")
))</f>
        <v/>
      </c>
      <c r="AF169" s="102" t="str">
        <f>IF(A169="","",
SUM(
COUNTIFS('QA Log'!D:D,A169,'QA Log'!M:M,"Data Verification",'QA Log'!Z:Z,"Approved",'QA Log'!L:L,"*Medicine (section 2)*"),
COUNTIFS('QA Log'!D:D,A169,'QA Log'!M:M,"Data Verification",'QA Log'!Z:Z,"Approved",'QA Log'!L:L,"*Lab Testing Availability*"),
COUNTIFS('QA Log'!D:D,A169,'QA Log'!M:M,"Data Verification",'QA Log'!Z:Z,"Approved",'QA Log'!L:L,"*Other than P4P (section 6)*"),
COUNTIFS('QA Log'!D:D,A169,'QA Log'!M:M,"Data Verification",'QA Log'!Z:Z,"Approved",'QA Log'!L:L,"*Hospital Governance*")
))</f>
        <v/>
      </c>
      <c r="AG169" s="105" t="str">
        <f>IF(A169&lt;&gt;"",COUNTIFS('QA Log'!D:D,A169,'QA Log'!M:M,"Data Verification",'QA Log'!L:L,"Medicine (section 2)",'QA Log'!Z:Z,"Approved"),"")</f>
        <v/>
      </c>
      <c r="AH169" s="105" t="str">
        <f>IF(A169&lt;&gt;"",COUNTIFS('QA Log'!D:D,A169,'QA Log'!M:M,"Data Verification",'QA Log'!L:L,"Lab Testing Availability",'QA Log'!Z:Z,"Approved"),"")</f>
        <v/>
      </c>
      <c r="AI169" s="105" t="str">
        <f>IF(A169&lt;&gt;"",COUNTIFS('QA Log'!D:D,A169,'QA Log'!M:M,"Data Verification",'QA Log'!L:L,"Other than P4P (section 6)",'QA Log'!Z:Z,"Approved"),"")</f>
        <v/>
      </c>
      <c r="AJ169" s="105" t="str">
        <f>IF(A169&lt;&gt;"",COUNTIFS('QA Log'!D:D,A169,'QA Log'!M:M,"Data Verification",'QA Log'!L:L,"Hospital Governance",'QA Log'!Z:Z,"Approved"),"")</f>
        <v/>
      </c>
      <c r="AK169" s="102" t="str">
        <f>IF(A169="","",
SUM(
COUNTIFS('QA Log'!D:D,A169,'QA Log'!M:M,"Data Verification",'QA Log'!Z:Z,"Rejected",'QA Log'!L:L,"*Medicine (section 2)*"),
COUNTIFS('QA Log'!D:D,A169,'QA Log'!M:M,"Data Verification",'QA Log'!Z:Z,"Rejected",'QA Log'!L:L,"*Lab Testing Availability*"),
COUNTIFS('QA Log'!D:D,A169,'QA Log'!M:M,"Data Verification",'QA Log'!Z:Z,"Rejected",'QA Log'!L:L,"*Other than P4P (section 6)*"),
COUNTIFS('QA Log'!D:D,A169,'QA Log'!M:M,"Data Verification",'QA Log'!Z:Z,"Rejected",'QA Log'!L:L,"*Hospital Governance*")
))</f>
        <v/>
      </c>
      <c r="AL169" s="106" t="str">
        <f t="shared" si="5"/>
        <v/>
      </c>
      <c r="AM169" s="102" t="str">
        <f t="shared" si="6"/>
        <v/>
      </c>
      <c r="AN169" s="102" t="str">
        <f>IF(A169="","",
SUM(
COUNTIFS('QA Log'!D:D,A169,'QA Log'!M:M,"Data Verification",'QA Log'!L:L,"*Personnel (section 1)*"),
COUNTIFS('QA Log'!D:D,A169,'QA Log'!M:M,"Data Verification",'QA Log'!L:L,"*Consumable (section 3)*"),
COUNTIFS('QA Log'!D:D,A169,'QA Log'!M:M,"Data Verification",'QA Log'!L:L,"*Equipments (section 4)*")
))</f>
        <v/>
      </c>
      <c r="AO169" s="102" t="str">
        <f>IF(A169="","",
SUM(
COUNTIFS('QA Log'!D:D,A169,'QA Log'!M:M,"Data Verification",'QA Log'!Z:Z,"Approved",'QA Log'!L:L,"*Personnel (section 1)*"),
COUNTIFS('QA Log'!D:D,A169,'QA Log'!M:M,"Data Verification",'QA Log'!Z:Z,"Approved",'QA Log'!L:L,"*Consumable (section 3)*"),
COUNTIFS('QA Log'!D:D,A169,'QA Log'!M:M,"Data Verification",'QA Log'!Z:Z,"Approved",'QA Log'!L:L,"*Equipments (section 4)*")
))</f>
        <v/>
      </c>
      <c r="AP169" s="105" t="str">
        <f>IF(A169&lt;&gt;"",COUNTIFS('QA Log'!D:D,A169,'QA Log'!M:M,"Data Verification",'QA Log'!L:L,"Personnel (section 1)",'QA Log'!Z:Z,"Approved"),"")</f>
        <v/>
      </c>
      <c r="AQ169" s="105" t="str">
        <f>IF(A169&lt;&gt;"",COUNTIFS('QA Log'!D:D,A169,'QA Log'!M:M,"Data Verification",'QA Log'!L:L,"Consumable (section 3)",'QA Log'!Z:Z,"Approved"),"")</f>
        <v/>
      </c>
      <c r="AR169" s="105" t="str">
        <f>IF(A169&lt;&gt;"",COUNTIFS('QA Log'!D:D,A169,'QA Log'!M:M,"Data Verification",'QA Log'!L:L,"Equipments (section 4)",'QA Log'!Z:Z,"Approved"),"")</f>
        <v/>
      </c>
      <c r="AS169" s="102" t="str">
        <f>IF(A169="","",
SUM(
COUNTIFS('QA Log'!D:D,A169,'QA Log'!M:M,"Data Verification",'QA Log'!Z:Z,"Rejected",'QA Log'!L:L,"*Personnel (section 1)*"),
COUNTIFS('QA Log'!D:D,A169,'QA Log'!M:M,"Data Verification",'QA Log'!Z:Z,"Rejected",'QA Log'!L:L,"*Consumable (section 3)*"),
COUNTIFS('QA Log'!D:D,A169,'QA Log'!M:M,"Data Verification",'QA Log'!Z:Z,"Rejected",'QA Log'!L:L,"*Equipments (section 4)*")
))</f>
        <v/>
      </c>
      <c r="AT169" s="102" t="str">
        <f t="shared" si="7"/>
        <v/>
      </c>
      <c r="AU169" s="103" t="str">
        <f t="shared" si="8"/>
        <v/>
      </c>
      <c r="AV169" s="102" t="str">
        <f>IF(A169="","",SUM(
COUNTIFS('QA Log'!D:D,A169,'QA Log'!M:M,"Vignette",'QA Log'!L:L,"*Vignette [1] Respiratory Infection: Pneumonia*"),
COUNTIFS('QA Log'!D:D,A169,'QA Log'!M:M,"Vignette",'QA Log'!L:L,"*Vignette [2]: Diarrhea with Cat B dehydration*"),
COUNTIFS('QA Log'!D:D,A169,'QA Log'!M:M,"Vignette",'QA Log'!L:L,"*Vignette [3] Growth Monitoring and Promotion*"),
COUNTIFS('QA Log'!D:D,A169,'QA Log'!M:M,"Vignette",'QA Log'!L:L,"*Vignette [4]: The management of presumptive TB patient*")
)
)</f>
        <v/>
      </c>
      <c r="AW169" s="102" t="str">
        <f>IF(
  A169="","",
  SUM(
    COUNTIFS('QA Log'!D:D,A169,'QA Log'!M:M,"Vignette",'QA Log'!Z:Z,"Approved",'QA Log'!L:L,"*Vignette [1] Respiratory Infection: Pneumonia*"),
    COUNTIFS('QA Log'!D:D,A169,'QA Log'!M:M,"Vignette",'QA Log'!Z:Z,"Approved",'QA Log'!L:L,"*Vignette [2]: Diarrhea with Cat B dehydration*"),
    COUNTIFS('QA Log'!D:D,A169,'QA Log'!M:M,"Vignette",'QA Log'!Z:Z,"Approved",'QA Log'!L:L,"*Vignette [3] Growth Monitoring and Promotion*"),
    COUNTIFS('QA Log'!D:D,A169,'QA Log'!M:M,"Vignette",'QA Log'!Z:Z,"Approved",'QA Log'!L:L,"*Vignette [4]: The management of presumptive TB patient*")
  )
)</f>
        <v/>
      </c>
      <c r="AX169" s="105" t="str">
        <f>IF(A169&lt;&gt;"",COUNTIFS('QA Log'!D:D,A169,'QA Log'!M:M,"Vignette",'QA Log'!L:L,"Vignette [1] Respiratory Infection: Pneumonia",'QA Log'!Z:Z,"Approved"),"")</f>
        <v/>
      </c>
      <c r="AY169" s="105" t="str">
        <f>IF(A169&lt;&gt;"",COUNTIFS('QA Log'!D:D,A169,'QA Log'!M:M,"Vignette",'QA Log'!L:L,"Vignette [2]: Diarrhea with Cat B dehydration",'QA Log'!Z:Z,"Approved"),"")</f>
        <v/>
      </c>
      <c r="AZ169" s="105" t="str">
        <f>IF(A169&lt;&gt;"",COUNTIFS('QA Log'!D:D,A169,'QA Log'!M:M,"Vignette",'QA Log'!L:L,"Vignette [3] Growth Monitoring and Promotion",'QA Log'!Z:Z,"Approved"),"")</f>
        <v/>
      </c>
      <c r="BA169" s="105" t="str">
        <f>IF(A169&lt;&gt;"",COUNTIFS('QA Log'!D:D,A169,'QA Log'!M:M,"Vignette",'QA Log'!L:L,"Vignette [4]: The management of presumptive TB patient",'QA Log'!Z:Z,"Approved"),"")</f>
        <v/>
      </c>
      <c r="BB169" s="102" t="str">
        <f>IF(A169="","",
  SUM(
    COUNTIFS('QA Log'!D:D,A169,'QA Log'!M:M,"Vignette",'QA Log'!Z:Z,"Rejected",'QA Log'!L:L,"*Vignette [1] Respiratory Infection: Pneumonia*"),
    COUNTIFS('QA Log'!D:D,A169,'QA Log'!M:M,"Vignette",'QA Log'!Z:Z,"Rejected",'QA Log'!L:L,"*Vignette [2]: Diarrhea with Cat B dehydration*"),
    COUNTIFS('QA Log'!D:D,A169,'QA Log'!M:M,"Vignette",'QA Log'!Z:Z,"Rejected",'QA Log'!L:L,"*Vignette [3] Growth Monitoring and Promotion*"),
    COUNTIFS('QA Log'!D:D,A169,'QA Log'!M:M,"Vignette",'QA Log'!Z:Z,"Rejected",'QA Log'!L:L,"*Vignette [4]: The management of presumptive TB patient*")
  )
)</f>
        <v/>
      </c>
      <c r="BC169" s="107" t="str">
        <f t="shared" si="9"/>
        <v/>
      </c>
      <c r="BD169" s="103" t="str">
        <f t="shared" si="10"/>
        <v/>
      </c>
      <c r="BE169" s="102" t="str">
        <f>IF(A169="","",SUM(
COUNTIFS('QA Log'!D:D,A169,'QA Log'!M:M,"Vignette",'QA Log'!L:L,"*Vignette [5] Labor*"),
COUNTIFS('QA Log'!D:D,A169,'QA Log'!M:M,"Vignette",'QA Log'!L:L,"*Vignette [6] PNC pre Discharge*"),
COUNTIFS('QA Log'!D:D,A169,'QA Log'!M:M,"Vignette",'QA Log'!L:L,"*Vignette [7] First ANC Visit*"),
COUNTIFS('QA Log'!D:D,A169,'QA Log'!M:M,"Vignette",'QA Log'!L:L,"*Vignette [8] Birth Spacing/ Family Planning :  FP Counselling*"),
COUNTIFS('QA Log'!D:D,A169,'QA Log'!M:M,"Vignette",'QA Log'!L:L,"*Vignette [9] Birth Spacing: Change FP method to Injectable*"),
COUNTIFS('QA Log'!D:D,A169,'QA Log'!M:M,"Vignette",'QA Log'!L:L,"*Vignette [10] Post Partum Haemorrhage - Atonic Uterus at Health Centre*"),
)
)</f>
        <v/>
      </c>
      <c r="BF169" s="102" t="str">
        <f>IF(A169="","",
  SUM(
    COUNTIFS('QA Log'!D:D,A169,'QA Log'!M:M,"Vignette",'QA Log'!Z:Z,"Approved",'QA Log'!L:L,"*Vignette [5] Labor*"),
    COUNTIFS('QA Log'!D:D,A169,'QA Log'!M:M,"Vignette",'QA Log'!Z:Z,"Approved",'QA Log'!L:L,"*Vignette [6] PNC pre Discharge*"),
    COUNTIFS('QA Log'!D:D,A169,'QA Log'!M:M,"Vignette",'QA Log'!Z:Z,"Approved",'QA Log'!L:L,"*Vignette [7] First ANC Visit*"),
    COUNTIFS('QA Log'!D:D,A169,'QA Log'!M:M,"Vignette",'QA Log'!Z:Z,"Approved",'QA Log'!L:L,"*Vignette [8] Birth Spacing/ Family Planning :  FP Counselling*"),
    COUNTIFS('QA Log'!D:D,A169,'QA Log'!M:M,"Vignette",'QA Log'!Z:Z,"Approved",'QA Log'!L:L,"*Vignette [9] Birth Spacing: Change FP method to Injectable*"),
    COUNTIFS('QA Log'!D:D,A169,'QA Log'!M:M,"Vignette",'QA Log'!Z:Z,"Approved",'QA Log'!L:L,"*Vignette [10] Post Partum Haemorrhage - Atonic Uterus at Health Centre*")
  )
)</f>
        <v/>
      </c>
      <c r="BG169" s="105" t="str">
        <f>IF(A169&lt;&gt;"",COUNTIFS('QA Log'!D:D,A169,'QA Log'!M:M,"Vignette",'QA Log'!L:L,"Vignette [5] Labor",'QA Log'!Z:Z,"Approved"),"")</f>
        <v/>
      </c>
      <c r="BH169" s="105" t="str">
        <f>IF(A169&lt;&gt;"",COUNTIFS('QA Log'!D:D,A169,'QA Log'!M:M,"Vignette",'QA Log'!L:L,"Vignette [6] PNC pre Discharge",'QA Log'!Z:Z,"Approved"),"")</f>
        <v/>
      </c>
      <c r="BI169" s="105" t="str">
        <f>IF(A169&lt;&gt;"",COUNTIFS('QA Log'!D:D,A169,'QA Log'!M:M,"Vignette",'QA Log'!L:L,"Vignette [7] First ANC Visit",'QA Log'!Z:Z,"Approved"),"")</f>
        <v/>
      </c>
      <c r="BJ169" s="105" t="str">
        <f>IF(A169&lt;&gt;"",COUNTIFS('QA Log'!D:D,A169,'QA Log'!M:M,"Vignette",'QA Log'!L:L,"Vignette [8] Birth Spacing/ Family Planning :  FP Counselling",'QA Log'!Z:Z,"Approved"),"")</f>
        <v/>
      </c>
      <c r="BK169" s="105" t="str">
        <f>IF(A169&lt;&gt;"",COUNTIFS('QA Log'!D:D,A169,'QA Log'!M:M,"Vignette",'QA Log'!L:L,"Vignette [9] Birth Spacing: Change FP method to Injectable",'QA Log'!Z:Z,"Approved"),"")</f>
        <v/>
      </c>
      <c r="BL169" s="105" t="str">
        <f>IF(A169&lt;&gt;"",COUNTIFS('QA Log'!D:D,A169,'QA Log'!M:M,"Vignette",'QA Log'!L:L,"Vignette [10] Post Partum Haemorrhage - Atonic Uterus at Health Centre",'QA Log'!Z:Z,"Approved"),"")</f>
        <v/>
      </c>
      <c r="BM169" s="102" t="str">
        <f>IF(A169="","",SUM(
    COUNTIFS('QA Log'!D:D,A169,'QA Log'!M:M,"Vignette",'QA Log'!Z:Z,"Rejected",'QA Log'!L:L,"*Vignette [5] Labor*"),
    COUNTIFS('QA Log'!D:D,A169,'QA Log'!M:M,"Vignette",'QA Log'!Z:Z,"Rejected",'QA Log'!L:L,"*Vignette [6] PNC pre Discharge*"),
    COUNTIFS('QA Log'!D:D,A169,'QA Log'!M:M,"Vignette",'QA Log'!Z:Z,"Rejected",'QA Log'!L:L,"*Vignette [7] First ANC Visit*"),
    COUNTIFS('QA Log'!D:D,A169,'QA Log'!M:M,"Vignette",'QA Log'!Z:Z,"Rejected",'QA Log'!L:L,"*Vignette [8] Birth Spacing/ Family Planning :  FP Counselling*"),
    COUNTIFS('QA Log'!D:D,A169,'QA Log'!M:M,"Vignette",'QA Log'!Z:Z,"Rejected",'QA Log'!L:L,"*Vignette [9] Birth Spacing: Change FP method to Injectable*"),
    COUNTIFS('QA Log'!D:D,A169,'QA Log'!M:M,"Vignette",'QA Log'!Z:Z,"Rejected",'QA Log'!L:L,"*Vignette [10] Post Partum Haemorrhage - Atonic Uterus at Health Centre*")
  )
)</f>
        <v/>
      </c>
      <c r="BN169" s="107" t="str">
        <f t="shared" si="11"/>
        <v/>
      </c>
      <c r="BO169" s="103" t="str">
        <f t="shared" si="12"/>
        <v/>
      </c>
      <c r="BP169" s="102" t="str">
        <f>IF(A169="","",SUM(
COUNTIFS('QA Log'!D:D,A169,'QA Log'!M:M,"Vignette",'QA Log'!L:L,"*Exit Interview 1*"),
COUNTIFS('QA Log'!D:D,A169,'QA Log'!M:M,"Vignette",'QA Log'!L:L,"*Exit Interview 2*"),
)
)</f>
        <v/>
      </c>
      <c r="BQ169" s="102" t="str">
        <f>IF(
  A169="","",
  SUM(
    COUNTIFS('QA Log'!D:D,A169,'QA Log'!M:M,"Vignette",'QA Log'!Z:Z,"Approved",'QA Log'!L:L,"*Exit Interview 1*"),
    COUNTIFS('QA Log'!D:D,A169,'QA Log'!M:M,"Vignette",'QA Log'!Z:Z,"Approved",'QA Log'!L:L,"*Exit Interview 2*")
  )
)</f>
        <v/>
      </c>
      <c r="BR169" s="105" t="str">
        <f>IF(A169&lt;&gt;"",COUNTIFS('QA Log'!D:D,A169,'QA Log'!M:M,"Vignette",'QA Log'!L:L,"Exit Interview 1",'QA Log'!Z:Z,"Approved"),"")</f>
        <v/>
      </c>
      <c r="BS169" s="105" t="str">
        <f>IF(A169&lt;&gt;"",COUNTIFS('QA Log'!D:D,A169,'QA Log'!M:M,"Vignette",'QA Log'!L:L,"Exit Interview 2",'QA Log'!Z:Z,"Approved"),"")</f>
        <v/>
      </c>
      <c r="BT169" s="102" t="str">
        <f>IF(
  A169="","",
  SUM(
    COUNTIFS('QA Log'!D:D,A169,'QA Log'!M:M,"Vignette",'QA Log'!Z:Z,"Rejected",'QA Log'!L:L,"*Exit Interview 1*"),
    COUNTIFS('QA Log'!D:D,A169,'QA Log'!M:M,"Vignette",'QA Log'!Z:Z,"Rejected",'QA Log'!L:L,"*Exit Interview 2*")
  )
)</f>
        <v/>
      </c>
      <c r="BU169" s="107" t="str">
        <f t="shared" si="13"/>
        <v/>
      </c>
      <c r="BV169" s="102" t="str">
        <f t="shared" si="14"/>
        <v/>
      </c>
      <c r="BW169" s="102" t="str">
        <f t="shared" si="15"/>
        <v/>
      </c>
      <c r="BX169" s="102" t="str">
        <f t="shared" si="16"/>
        <v/>
      </c>
      <c r="BY169" s="102" t="str">
        <f t="shared" si="17"/>
        <v/>
      </c>
      <c r="BZ169" s="107" t="str">
        <f t="shared" si="18"/>
        <v/>
      </c>
      <c r="CA169" s="108" t="str">
        <f t="shared" si="19"/>
        <v/>
      </c>
      <c r="CB169" s="108" t="str">
        <f t="shared" si="20"/>
        <v/>
      </c>
      <c r="CC169" s="109" t="str">
        <f t="shared" si="21"/>
        <v/>
      </c>
      <c r="CD169" s="108" t="str">
        <f t="shared" si="22"/>
        <v/>
      </c>
      <c r="CE169" s="108" t="str">
        <f t="shared" si="23"/>
        <v/>
      </c>
      <c r="CF169" s="109" t="str">
        <f t="shared" si="24"/>
        <v/>
      </c>
      <c r="CG169" s="110" t="str">
        <f t="shared" si="25"/>
        <v/>
      </c>
      <c r="CH169" s="111"/>
    </row>
    <row r="170" spans="1:86" ht="12.75">
      <c r="A170" s="101"/>
      <c r="B170" s="102" t="e">
        <f t="array" aca="1" ref="B170" ca="1">_xludf.XLOOKUP(A170,'QA Log'!D:D,'QA Log'!E:E,"")</f>
        <v>#NAME?</v>
      </c>
      <c r="C170" s="102" t="e">
        <f t="array" aca="1" ref="C170" ca="1">_xludf.XLOOKUP(A170,'QA Log'!D:D,'QA Log'!F:F,"")</f>
        <v>#NAME?</v>
      </c>
      <c r="D170" s="102" t="e">
        <f t="array" aca="1" ref="D170" ca="1">_xludf.XLOOKUP(A170,'QA Log'!D:D,'QA Log'!H:H,"")</f>
        <v>#NAME?</v>
      </c>
      <c r="E170" s="102" t="e">
        <f t="array" aca="1" ref="E170" ca="1">_xludf.XLOOKUP(A170,'QA Log'!D:D,'QA Log'!G:G,"")</f>
        <v>#NAME?</v>
      </c>
      <c r="F170" s="103"/>
      <c r="G170" s="104"/>
      <c r="H170" s="104"/>
      <c r="I170" s="103" t="str">
        <f t="shared" si="0"/>
        <v/>
      </c>
      <c r="J170" s="102" t="str">
        <f>IF(A170="","",SUM(
COUNTIFS('QA Log'!D:D,A170,'QA Log'!M:M,"QQC",'QA Log'!L:L,"*1. General Management*"),
COUNTIFS('QA Log'!D:D,A170,'QA Log'!M:M,"QQC",'QA Log'!L:L,"*3. Curative Consultation (OPD)*"),
COUNTIFS('QA Log'!D:D,A170,'QA Log'!M:M,"QQC",'QA Log'!L:L,"*5. Laboratory*"),
COUNTIFS('QA Log'!D:D,A170,'QA Log'!M:M,"QQC",'QA Log'!L:L,"*6. Essential Medicine Management*"),
COUNTIFS('QA Log'!D:D,A170,'QA Log'!M:M,"QQC",'QA Log'!L:L,"*7. Tracer Medicine*"),
COUNTIFS('QA Log'!D:D,A170,'QA Log'!M:M,"QQC",'QA Log'!L:L,"*11. Additional Questions*")))</f>
        <v/>
      </c>
      <c r="K170" s="102" t="str">
        <f>IF(A170="","",SUM(
COUNTIFS('QA Log'!D:D,A170,'QA Log'!M:M,"QQC",'QA Log'!Z:Z,"Approved",'QA Log'!L:L,"*1. General Management*"),
COUNTIFS('QA Log'!D:D,A170,'QA Log'!M:M,"QQC",'QA Log'!Z:Z,"Approved",'QA Log'!L:L,"*3. Curative Consultation (OPD)*"),
COUNTIFS('QA Log'!D:D,A170,'QA Log'!M:M,"QQC",'QA Log'!Z:Z,"Approved",'QA Log'!L:L,"*5. Laboratory*"),
COUNTIFS('QA Log'!D:D,A170,'QA Log'!M:M,"QQC",'QA Log'!Z:Z,"Approved",'QA Log'!L:L,"*6. Essential Medicine Management*"),
COUNTIFS('QA Log'!D:D,A170,'QA Log'!M:M,"QQC",'QA Log'!Z:Z,"Approved",'QA Log'!L:L,"*7. Tracer Medicine*"),
COUNTIFS('QA Log'!D:D,A170,'QA Log'!M:M,"QQC",'QA Log'!Z:Z,"Approved",'QA Log'!L:L,"*11. Additional Questions*")))</f>
        <v/>
      </c>
      <c r="L170" s="105" t="str">
        <f>IF(A170&lt;&gt;"",COUNTIFS('QA Log'!D:D,A170,'QA Log'!M:M,"QQC",'QA Log'!L:L,"1. General Management",'QA Log'!Z:Z,"Approved"),"")</f>
        <v/>
      </c>
      <c r="M170" s="105" t="str">
        <f>IF(A170&lt;&gt;"",COUNTIFS('QA Log'!D:D,A170,'QA Log'!M:M,"QQC",'QA Log'!L:L,"3. Curative Consultation (OPD)",'QA Log'!Z:Z,"Approved"),"")</f>
        <v/>
      </c>
      <c r="N170" s="105" t="str">
        <f>IF(A170&lt;&gt;"",COUNTIFS('QA Log'!D:D,A170,'QA Log'!M:M,"QQC",'QA Log'!L:L,"5. Laboratory",'QA Log'!Z:Z,"Approved"),"")</f>
        <v/>
      </c>
      <c r="O170" s="105" t="str">
        <f>IF(A170&lt;&gt;"",COUNTIFS('QA Log'!D:D,A170,'QA Log'!M:M,"QQC",'QA Log'!L:L,"6. Essential Medicine Management",'QA Log'!Z:Z,"Approved"),"")</f>
        <v/>
      </c>
      <c r="P170" s="105" t="str">
        <f>IF(A170&lt;&gt;"",COUNTIFS('QA Log'!D:D,A170,'QA Log'!M:M,"QQC",'QA Log'!L:L,"7. Tracer Medicine",'QA Log'!Z:Z,"Approved"),"")</f>
        <v/>
      </c>
      <c r="Q170" s="105" t="str">
        <f>IF(A170&lt;&gt;"",COUNTIFS('QA Log'!D:D,A170,'QA Log'!M:M,"QQC",'QA Log'!L:L,"11. Additional Questions",'QA Log'!Z:Z,"Approved"),"")</f>
        <v/>
      </c>
      <c r="R170" s="102" t="str">
        <f>IF(A170="","",SUM(
COUNTIFS('QA Log'!D:D,A170,'QA Log'!M:M,"QQC",'QA Log'!Z:Z,"Rejected",'QA Log'!L:L,"*8. Maternity*"),
COUNTIFS('QA Log'!D:D,A170,'QA Log'!M:M,"QQC",'QA Log'!Z:Z,"Rejected",'QA Log'!L:L,"*EPI*"),
COUNTIFS('QA Log'!D:D,A170,'QA Log'!M:M,"QQC",'QA Log'!Z:Z,"Rejected",'QA Log'!L:L,"*10. Antenatal Care (ANC)*"),
COUNTIFS('QA Log'!D:D,A170,'QA Log'!M:M,"QQC",'QA Log'!Z:Z,"Rejected",'QA Log'!L:L,"*2. Hygiene and Sterilization*"),
COUNTIFS('QA Log'!D:D,A170,'QA Log'!M:M,"QQC",'QA Log'!Z:Z,"Rejected",'QA Log'!L:L,"*Family Planning*")))</f>
        <v/>
      </c>
      <c r="S170" s="106" t="str">
        <f t="shared" si="1"/>
        <v/>
      </c>
      <c r="T170" s="102" t="str">
        <f t="shared" si="2"/>
        <v/>
      </c>
      <c r="U170" s="102" t="str">
        <f>IF(A170="","",
SUM(
COUNTIFS('QA Log'!D:D,A170,'QA Log'!M:M,"QQC",'QA Log'!L:L,"*8. Maternity*"),
COUNTIFS('QA Log'!D:D,A170,'QA Log'!M:M,"QQC",'QA Log'!L:L,"*9. EPI and Pre-school Consultation*"),
COUNTIFS('QA Log'!D:D,A170,'QA Log'!M:M,"QQC",'QA Log'!L:L,"*10. Antenatal Care (ANC)*"),
COUNTIFS('QA Log'!D:D,A170,'QA Log'!M:M,"QQC",'QA Log'!L:L,"*2. Hygiene and Sterilization*"),
COUNTIFS('QA Log'!D:D,A170,'QA Log'!M:M,"QQC",'QA Log'!L:L,"*4. Family Planning*")
))</f>
        <v/>
      </c>
      <c r="V170" s="102" t="str">
        <f>IF(A170="","",
SUM(
COUNTIFS('QA Log'!D:D,A170,'QA Log'!M:M,"QQC",'QA Log'!Z:Z,"Approved",'QA Log'!L:L,"*8. Maternity*"),
COUNTIFS('QA Log'!D:D,A170,'QA Log'!M:M,"QQC",'QA Log'!Z:Z,"Approved",'QA Log'!L:L,"*9. EPI and Pre-school Consultation*"),
COUNTIFS('QA Log'!D:D,A170,'QA Log'!M:M,"QQC",'QA Log'!Z:Z,"Approved",'QA Log'!L:L,"*10. Antenatal Care (ANC)*"),
COUNTIFS('QA Log'!D:D,A170,'QA Log'!M:M,"QQC",'QA Log'!Z:Z,"Approved",'QA Log'!L:L,"*2. Hygiene and Sterilization*"),
COUNTIFS('QA Log'!D:D,A170,'QA Log'!M:M,"QQC",'QA Log'!Z:Z,"Approved",'QA Log'!L:L,"*4. Family Planning*")
))</f>
        <v/>
      </c>
      <c r="W170" s="105" t="str">
        <f>IF(A170&lt;&gt;"",COUNTIFS('QA Log'!D:D,A170,'QA Log'!M:M,"QQC",'QA Log'!L:L,"8. Maternity",'QA Log'!Z:Z,"Approved"),"")</f>
        <v/>
      </c>
      <c r="X170" s="105" t="str">
        <f>IF(A170&lt;&gt;"",COUNTIFS('QA Log'!D:D,A170,'QA Log'!M:M,"QQC",'QA Log'!L:L,"9. EPI and Pre-school Consultation",'QA Log'!Z:Z,"Approved"),"")</f>
        <v/>
      </c>
      <c r="Y170" s="105" t="str">
        <f>IF(A170&lt;&gt;"",COUNTIFS('QA Log'!D:D,A170,'QA Log'!M:M,"QQC",'QA Log'!L:L,"10. Antenatal Care (ANC)",'QA Log'!Z:Z,"Approved"),"")</f>
        <v/>
      </c>
      <c r="Z170" s="105" t="str">
        <f>IF(A170&lt;&gt;"",COUNTIFS('QA Log'!D:D,A170,'QA Log'!M:M,"QQC",'QA Log'!L:L,"2. Hygiene and Sterilization",'QA Log'!Z:Z,"Approved"),"")</f>
        <v/>
      </c>
      <c r="AA170" s="105" t="str">
        <f>IF(A170&lt;&gt;"",COUNTIFS('QA Log'!D:D,A170,'QA Log'!M:M,"QQC",'QA Log'!L:L,"4. Family Planning",'QA Log'!Z:Z,"Approved"),"")</f>
        <v/>
      </c>
      <c r="AB170" s="102" t="str">
        <f>IF(A170="","",
SUM(
COUNTIFS('QA Log'!D:D,A170,'QA Log'!M:M,"QQC",'QA Log'!Z:Z,"Rejected",'QA Log'!L:L,"*8. Maternity*"),
COUNTIFS('QA Log'!D:D,A170,'QA Log'!M:M,"QQC",'QA Log'!Z:Z,"Rejected",'QA Log'!L:L,"*9. EPI and Pre-school Consultation*"),
COUNTIFS('QA Log'!D:D,A170,'QA Log'!M:M,"QQC",'QA Log'!Z:Z,"Rejected",'QA Log'!L:L,"*10. Antenatal Care (ANC)*"),
COUNTIFS('QA Log'!D:D,A170,'QA Log'!M:M,"QQC",'QA Log'!Z:Z,"Rejected",'QA Log'!L:L,"*2. Hygiene and Sterilization*"),
COUNTIFS('QA Log'!D:D,A170,'QA Log'!M:M,"QQC",'QA Log'!Z:Z,"Rejected",'QA Log'!L:L,"*4. Family Planning*")
))</f>
        <v/>
      </c>
      <c r="AC170" s="102" t="str">
        <f t="shared" si="3"/>
        <v/>
      </c>
      <c r="AD170" s="103" t="str">
        <f t="shared" si="4"/>
        <v/>
      </c>
      <c r="AE170" s="102" t="str">
        <f>IF(A170="","",
SUM(
COUNTIFS('QA Log'!D:D,A170,'QA Log'!M:M,"Data Verification",'QA Log'!L:L,"*Medicine (section 2)*"),
COUNTIFS('QA Log'!D:D,A170,'QA Log'!M:M,"Data Verification",'QA Log'!L:L,"*Lab Testing Availability*"),
COUNTIFS('QA Log'!D:D,A170,'QA Log'!M:M,"Data Verification",'QA Log'!L:L,"*Other than P4P (section 6)*"),
COUNTIFS('QA Log'!D:D,A170,'QA Log'!M:M,"Data Verification",'QA Log'!L:L,"*Hospital Governance*")
))</f>
        <v/>
      </c>
      <c r="AF170" s="102" t="str">
        <f>IF(A170="","",
SUM(
COUNTIFS('QA Log'!D:D,A170,'QA Log'!M:M,"Data Verification",'QA Log'!Z:Z,"Approved",'QA Log'!L:L,"*Medicine (section 2)*"),
COUNTIFS('QA Log'!D:D,A170,'QA Log'!M:M,"Data Verification",'QA Log'!Z:Z,"Approved",'QA Log'!L:L,"*Lab Testing Availability*"),
COUNTIFS('QA Log'!D:D,A170,'QA Log'!M:M,"Data Verification",'QA Log'!Z:Z,"Approved",'QA Log'!L:L,"*Other than P4P (section 6)*"),
COUNTIFS('QA Log'!D:D,A170,'QA Log'!M:M,"Data Verification",'QA Log'!Z:Z,"Approved",'QA Log'!L:L,"*Hospital Governance*")
))</f>
        <v/>
      </c>
      <c r="AG170" s="105" t="str">
        <f>IF(A170&lt;&gt;"",COUNTIFS('QA Log'!D:D,A170,'QA Log'!M:M,"Data Verification",'QA Log'!L:L,"Medicine (section 2)",'QA Log'!Z:Z,"Approved"),"")</f>
        <v/>
      </c>
      <c r="AH170" s="105" t="str">
        <f>IF(A170&lt;&gt;"",COUNTIFS('QA Log'!D:D,A170,'QA Log'!M:M,"Data Verification",'QA Log'!L:L,"Lab Testing Availability",'QA Log'!Z:Z,"Approved"),"")</f>
        <v/>
      </c>
      <c r="AI170" s="105" t="str">
        <f>IF(A170&lt;&gt;"",COUNTIFS('QA Log'!D:D,A170,'QA Log'!M:M,"Data Verification",'QA Log'!L:L,"Other than P4P (section 6)",'QA Log'!Z:Z,"Approved"),"")</f>
        <v/>
      </c>
      <c r="AJ170" s="105" t="str">
        <f>IF(A170&lt;&gt;"",COUNTIFS('QA Log'!D:D,A170,'QA Log'!M:M,"Data Verification",'QA Log'!L:L,"Hospital Governance",'QA Log'!Z:Z,"Approved"),"")</f>
        <v/>
      </c>
      <c r="AK170" s="102" t="str">
        <f>IF(A170="","",
SUM(
COUNTIFS('QA Log'!D:D,A170,'QA Log'!M:M,"Data Verification",'QA Log'!Z:Z,"Rejected",'QA Log'!L:L,"*Medicine (section 2)*"),
COUNTIFS('QA Log'!D:D,A170,'QA Log'!M:M,"Data Verification",'QA Log'!Z:Z,"Rejected",'QA Log'!L:L,"*Lab Testing Availability*"),
COUNTIFS('QA Log'!D:D,A170,'QA Log'!M:M,"Data Verification",'QA Log'!Z:Z,"Rejected",'QA Log'!L:L,"*Other than P4P (section 6)*"),
COUNTIFS('QA Log'!D:D,A170,'QA Log'!M:M,"Data Verification",'QA Log'!Z:Z,"Rejected",'QA Log'!L:L,"*Hospital Governance*")
))</f>
        <v/>
      </c>
      <c r="AL170" s="106" t="str">
        <f t="shared" si="5"/>
        <v/>
      </c>
      <c r="AM170" s="102" t="str">
        <f t="shared" si="6"/>
        <v/>
      </c>
      <c r="AN170" s="102" t="str">
        <f>IF(A170="","",
SUM(
COUNTIFS('QA Log'!D:D,A170,'QA Log'!M:M,"Data Verification",'QA Log'!L:L,"*Personnel (section 1)*"),
COUNTIFS('QA Log'!D:D,A170,'QA Log'!M:M,"Data Verification",'QA Log'!L:L,"*Consumable (section 3)*"),
COUNTIFS('QA Log'!D:D,A170,'QA Log'!M:M,"Data Verification",'QA Log'!L:L,"*Equipments (section 4)*")
))</f>
        <v/>
      </c>
      <c r="AO170" s="102" t="str">
        <f>IF(A170="","",
SUM(
COUNTIFS('QA Log'!D:D,A170,'QA Log'!M:M,"Data Verification",'QA Log'!Z:Z,"Approved",'QA Log'!L:L,"*Personnel (section 1)*"),
COUNTIFS('QA Log'!D:D,A170,'QA Log'!M:M,"Data Verification",'QA Log'!Z:Z,"Approved",'QA Log'!L:L,"*Consumable (section 3)*"),
COUNTIFS('QA Log'!D:D,A170,'QA Log'!M:M,"Data Verification",'QA Log'!Z:Z,"Approved",'QA Log'!L:L,"*Equipments (section 4)*")
))</f>
        <v/>
      </c>
      <c r="AP170" s="105" t="str">
        <f>IF(A170&lt;&gt;"",COUNTIFS('QA Log'!D:D,A170,'QA Log'!M:M,"Data Verification",'QA Log'!L:L,"Personnel (section 1)",'QA Log'!Z:Z,"Approved"),"")</f>
        <v/>
      </c>
      <c r="AQ170" s="105" t="str">
        <f>IF(A170&lt;&gt;"",COUNTIFS('QA Log'!D:D,A170,'QA Log'!M:M,"Data Verification",'QA Log'!L:L,"Consumable (section 3)",'QA Log'!Z:Z,"Approved"),"")</f>
        <v/>
      </c>
      <c r="AR170" s="105" t="str">
        <f>IF(A170&lt;&gt;"",COUNTIFS('QA Log'!D:D,A170,'QA Log'!M:M,"Data Verification",'QA Log'!L:L,"Equipments (section 4)",'QA Log'!Z:Z,"Approved"),"")</f>
        <v/>
      </c>
      <c r="AS170" s="102" t="str">
        <f>IF(A170="","",
SUM(
COUNTIFS('QA Log'!D:D,A170,'QA Log'!M:M,"Data Verification",'QA Log'!Z:Z,"Rejected",'QA Log'!L:L,"*Personnel (section 1)*"),
COUNTIFS('QA Log'!D:D,A170,'QA Log'!M:M,"Data Verification",'QA Log'!Z:Z,"Rejected",'QA Log'!L:L,"*Consumable (section 3)*"),
COUNTIFS('QA Log'!D:D,A170,'QA Log'!M:M,"Data Verification",'QA Log'!Z:Z,"Rejected",'QA Log'!L:L,"*Equipments (section 4)*")
))</f>
        <v/>
      </c>
      <c r="AT170" s="102" t="str">
        <f t="shared" si="7"/>
        <v/>
      </c>
      <c r="AU170" s="103" t="str">
        <f t="shared" si="8"/>
        <v/>
      </c>
      <c r="AV170" s="102" t="str">
        <f>IF(A170="","",SUM(
COUNTIFS('QA Log'!D:D,A170,'QA Log'!M:M,"Vignette",'QA Log'!L:L,"*Vignette [1] Respiratory Infection: Pneumonia*"),
COUNTIFS('QA Log'!D:D,A170,'QA Log'!M:M,"Vignette",'QA Log'!L:L,"*Vignette [2]: Diarrhea with Cat B dehydration*"),
COUNTIFS('QA Log'!D:D,A170,'QA Log'!M:M,"Vignette",'QA Log'!L:L,"*Vignette [3] Growth Monitoring and Promotion*"),
COUNTIFS('QA Log'!D:D,A170,'QA Log'!M:M,"Vignette",'QA Log'!L:L,"*Vignette [4]: The management of presumptive TB patient*")
)
)</f>
        <v/>
      </c>
      <c r="AW170" s="102" t="str">
        <f>IF(
  A170="","",
  SUM(
    COUNTIFS('QA Log'!D:D,A170,'QA Log'!M:M,"Vignette",'QA Log'!Z:Z,"Approved",'QA Log'!L:L,"*Vignette [1] Respiratory Infection: Pneumonia*"),
    COUNTIFS('QA Log'!D:D,A170,'QA Log'!M:M,"Vignette",'QA Log'!Z:Z,"Approved",'QA Log'!L:L,"*Vignette [2]: Diarrhea with Cat B dehydration*"),
    COUNTIFS('QA Log'!D:D,A170,'QA Log'!M:M,"Vignette",'QA Log'!Z:Z,"Approved",'QA Log'!L:L,"*Vignette [3] Growth Monitoring and Promotion*"),
    COUNTIFS('QA Log'!D:D,A170,'QA Log'!M:M,"Vignette",'QA Log'!Z:Z,"Approved",'QA Log'!L:L,"*Vignette [4]: The management of presumptive TB patient*")
  )
)</f>
        <v/>
      </c>
      <c r="AX170" s="105" t="str">
        <f>IF(A170&lt;&gt;"",COUNTIFS('QA Log'!D:D,A170,'QA Log'!M:M,"Vignette",'QA Log'!L:L,"Vignette [1] Respiratory Infection: Pneumonia",'QA Log'!Z:Z,"Approved"),"")</f>
        <v/>
      </c>
      <c r="AY170" s="105" t="str">
        <f>IF(A170&lt;&gt;"",COUNTIFS('QA Log'!D:D,A170,'QA Log'!M:M,"Vignette",'QA Log'!L:L,"Vignette [2]: Diarrhea with Cat B dehydration",'QA Log'!Z:Z,"Approved"),"")</f>
        <v/>
      </c>
      <c r="AZ170" s="105" t="str">
        <f>IF(A170&lt;&gt;"",COUNTIFS('QA Log'!D:D,A170,'QA Log'!M:M,"Vignette",'QA Log'!L:L,"Vignette [3] Growth Monitoring and Promotion",'QA Log'!Z:Z,"Approved"),"")</f>
        <v/>
      </c>
      <c r="BA170" s="105" t="str">
        <f>IF(A170&lt;&gt;"",COUNTIFS('QA Log'!D:D,A170,'QA Log'!M:M,"Vignette",'QA Log'!L:L,"Vignette [4]: The management of presumptive TB patient",'QA Log'!Z:Z,"Approved"),"")</f>
        <v/>
      </c>
      <c r="BB170" s="102" t="str">
        <f>IF(A170="","",
  SUM(
    COUNTIFS('QA Log'!D:D,A170,'QA Log'!M:M,"Vignette",'QA Log'!Z:Z,"Rejected",'QA Log'!L:L,"*Vignette [1] Respiratory Infection: Pneumonia*"),
    COUNTIFS('QA Log'!D:D,A170,'QA Log'!M:M,"Vignette",'QA Log'!Z:Z,"Rejected",'QA Log'!L:L,"*Vignette [2]: Diarrhea with Cat B dehydration*"),
    COUNTIFS('QA Log'!D:D,A170,'QA Log'!M:M,"Vignette",'QA Log'!Z:Z,"Rejected",'QA Log'!L:L,"*Vignette [3] Growth Monitoring and Promotion*"),
    COUNTIFS('QA Log'!D:D,A170,'QA Log'!M:M,"Vignette",'QA Log'!Z:Z,"Rejected",'QA Log'!L:L,"*Vignette [4]: The management of presumptive TB patient*")
  )
)</f>
        <v/>
      </c>
      <c r="BC170" s="107" t="str">
        <f t="shared" si="9"/>
        <v/>
      </c>
      <c r="BD170" s="103" t="str">
        <f t="shared" si="10"/>
        <v/>
      </c>
      <c r="BE170" s="102" t="str">
        <f>IF(A170="","",SUM(
COUNTIFS('QA Log'!D:D,A170,'QA Log'!M:M,"Vignette",'QA Log'!L:L,"*Vignette [5] Labor*"),
COUNTIFS('QA Log'!D:D,A170,'QA Log'!M:M,"Vignette",'QA Log'!L:L,"*Vignette [6] PNC pre Discharge*"),
COUNTIFS('QA Log'!D:D,A170,'QA Log'!M:M,"Vignette",'QA Log'!L:L,"*Vignette [7] First ANC Visit*"),
COUNTIFS('QA Log'!D:D,A170,'QA Log'!M:M,"Vignette",'QA Log'!L:L,"*Vignette [8] Birth Spacing/ Family Planning :  FP Counselling*"),
COUNTIFS('QA Log'!D:D,A170,'QA Log'!M:M,"Vignette",'QA Log'!L:L,"*Vignette [9] Birth Spacing: Change FP method to Injectable*"),
COUNTIFS('QA Log'!D:D,A170,'QA Log'!M:M,"Vignette",'QA Log'!L:L,"*Vignette [10] Post Partum Haemorrhage - Atonic Uterus at Health Centre*"),
)
)</f>
        <v/>
      </c>
      <c r="BF170" s="102" t="str">
        <f>IF(A170="","",
  SUM(
    COUNTIFS('QA Log'!D:D,A170,'QA Log'!M:M,"Vignette",'QA Log'!Z:Z,"Approved",'QA Log'!L:L,"*Vignette [5] Labor*"),
    COUNTIFS('QA Log'!D:D,A170,'QA Log'!M:M,"Vignette",'QA Log'!Z:Z,"Approved",'QA Log'!L:L,"*Vignette [6] PNC pre Discharge*"),
    COUNTIFS('QA Log'!D:D,A170,'QA Log'!M:M,"Vignette",'QA Log'!Z:Z,"Approved",'QA Log'!L:L,"*Vignette [7] First ANC Visit*"),
    COUNTIFS('QA Log'!D:D,A170,'QA Log'!M:M,"Vignette",'QA Log'!Z:Z,"Approved",'QA Log'!L:L,"*Vignette [8] Birth Spacing/ Family Planning :  FP Counselling*"),
    COUNTIFS('QA Log'!D:D,A170,'QA Log'!M:M,"Vignette",'QA Log'!Z:Z,"Approved",'QA Log'!L:L,"*Vignette [9] Birth Spacing: Change FP method to Injectable*"),
    COUNTIFS('QA Log'!D:D,A170,'QA Log'!M:M,"Vignette",'QA Log'!Z:Z,"Approved",'QA Log'!L:L,"*Vignette [10] Post Partum Haemorrhage - Atonic Uterus at Health Centre*")
  )
)</f>
        <v/>
      </c>
      <c r="BG170" s="105" t="str">
        <f>IF(A170&lt;&gt;"",COUNTIFS('QA Log'!D:D,A170,'QA Log'!M:M,"Vignette",'QA Log'!L:L,"Vignette [5] Labor",'QA Log'!Z:Z,"Approved"),"")</f>
        <v/>
      </c>
      <c r="BH170" s="105" t="str">
        <f>IF(A170&lt;&gt;"",COUNTIFS('QA Log'!D:D,A170,'QA Log'!M:M,"Vignette",'QA Log'!L:L,"Vignette [6] PNC pre Discharge",'QA Log'!Z:Z,"Approved"),"")</f>
        <v/>
      </c>
      <c r="BI170" s="105" t="str">
        <f>IF(A170&lt;&gt;"",COUNTIFS('QA Log'!D:D,A170,'QA Log'!M:M,"Vignette",'QA Log'!L:L,"Vignette [7] First ANC Visit",'QA Log'!Z:Z,"Approved"),"")</f>
        <v/>
      </c>
      <c r="BJ170" s="105" t="str">
        <f>IF(A170&lt;&gt;"",COUNTIFS('QA Log'!D:D,A170,'QA Log'!M:M,"Vignette",'QA Log'!L:L,"Vignette [8] Birth Spacing/ Family Planning :  FP Counselling",'QA Log'!Z:Z,"Approved"),"")</f>
        <v/>
      </c>
      <c r="BK170" s="105" t="str">
        <f>IF(A170&lt;&gt;"",COUNTIFS('QA Log'!D:D,A170,'QA Log'!M:M,"Vignette",'QA Log'!L:L,"Vignette [9] Birth Spacing: Change FP method to Injectable",'QA Log'!Z:Z,"Approved"),"")</f>
        <v/>
      </c>
      <c r="BL170" s="105" t="str">
        <f>IF(A170&lt;&gt;"",COUNTIFS('QA Log'!D:D,A170,'QA Log'!M:M,"Vignette",'QA Log'!L:L,"Vignette [10] Post Partum Haemorrhage - Atonic Uterus at Health Centre",'QA Log'!Z:Z,"Approved"),"")</f>
        <v/>
      </c>
      <c r="BM170" s="102" t="str">
        <f>IF(A170="","",SUM(
    COUNTIFS('QA Log'!D:D,A170,'QA Log'!M:M,"Vignette",'QA Log'!Z:Z,"Rejected",'QA Log'!L:L,"*Vignette [5] Labor*"),
    COUNTIFS('QA Log'!D:D,A170,'QA Log'!M:M,"Vignette",'QA Log'!Z:Z,"Rejected",'QA Log'!L:L,"*Vignette [6] PNC pre Discharge*"),
    COUNTIFS('QA Log'!D:D,A170,'QA Log'!M:M,"Vignette",'QA Log'!Z:Z,"Rejected",'QA Log'!L:L,"*Vignette [7] First ANC Visit*"),
    COUNTIFS('QA Log'!D:D,A170,'QA Log'!M:M,"Vignette",'QA Log'!Z:Z,"Rejected",'QA Log'!L:L,"*Vignette [8] Birth Spacing/ Family Planning :  FP Counselling*"),
    COUNTIFS('QA Log'!D:D,A170,'QA Log'!M:M,"Vignette",'QA Log'!Z:Z,"Rejected",'QA Log'!L:L,"*Vignette [9] Birth Spacing: Change FP method to Injectable*"),
    COUNTIFS('QA Log'!D:D,A170,'QA Log'!M:M,"Vignette",'QA Log'!Z:Z,"Rejected",'QA Log'!L:L,"*Vignette [10] Post Partum Haemorrhage - Atonic Uterus at Health Centre*")
  )
)</f>
        <v/>
      </c>
      <c r="BN170" s="107" t="str">
        <f t="shared" si="11"/>
        <v/>
      </c>
      <c r="BO170" s="103" t="str">
        <f t="shared" si="12"/>
        <v/>
      </c>
      <c r="BP170" s="102" t="str">
        <f>IF(A170="","",SUM(
COUNTIFS('QA Log'!D:D,A170,'QA Log'!M:M,"Vignette",'QA Log'!L:L,"*Exit Interview 1*"),
COUNTIFS('QA Log'!D:D,A170,'QA Log'!M:M,"Vignette",'QA Log'!L:L,"*Exit Interview 2*"),
)
)</f>
        <v/>
      </c>
      <c r="BQ170" s="102" t="str">
        <f>IF(
  A170="","",
  SUM(
    COUNTIFS('QA Log'!D:D,A170,'QA Log'!M:M,"Vignette",'QA Log'!Z:Z,"Approved",'QA Log'!L:L,"*Exit Interview 1*"),
    COUNTIFS('QA Log'!D:D,A170,'QA Log'!M:M,"Vignette",'QA Log'!Z:Z,"Approved",'QA Log'!L:L,"*Exit Interview 2*")
  )
)</f>
        <v/>
      </c>
      <c r="BR170" s="105" t="str">
        <f>IF(A170&lt;&gt;"",COUNTIFS('QA Log'!D:D,A170,'QA Log'!M:M,"Vignette",'QA Log'!L:L,"Exit Interview 1",'QA Log'!Z:Z,"Approved"),"")</f>
        <v/>
      </c>
      <c r="BS170" s="105" t="str">
        <f>IF(A170&lt;&gt;"",COUNTIFS('QA Log'!D:D,A170,'QA Log'!M:M,"Vignette",'QA Log'!L:L,"Exit Interview 2",'QA Log'!Z:Z,"Approved"),"")</f>
        <v/>
      </c>
      <c r="BT170" s="102" t="str">
        <f>IF(
  A170="","",
  SUM(
    COUNTIFS('QA Log'!D:D,A170,'QA Log'!M:M,"Vignette",'QA Log'!Z:Z,"Rejected",'QA Log'!L:L,"*Exit Interview 1*"),
    COUNTIFS('QA Log'!D:D,A170,'QA Log'!M:M,"Vignette",'QA Log'!Z:Z,"Rejected",'QA Log'!L:L,"*Exit Interview 2*")
  )
)</f>
        <v/>
      </c>
      <c r="BU170" s="107" t="str">
        <f t="shared" si="13"/>
        <v/>
      </c>
      <c r="BV170" s="102" t="str">
        <f t="shared" si="14"/>
        <v/>
      </c>
      <c r="BW170" s="102" t="str">
        <f t="shared" si="15"/>
        <v/>
      </c>
      <c r="BX170" s="102" t="str">
        <f t="shared" si="16"/>
        <v/>
      </c>
      <c r="BY170" s="102" t="str">
        <f t="shared" si="17"/>
        <v/>
      </c>
      <c r="BZ170" s="107" t="str">
        <f t="shared" si="18"/>
        <v/>
      </c>
      <c r="CA170" s="108" t="str">
        <f t="shared" si="19"/>
        <v/>
      </c>
      <c r="CB170" s="108" t="str">
        <f t="shared" si="20"/>
        <v/>
      </c>
      <c r="CC170" s="109" t="str">
        <f t="shared" si="21"/>
        <v/>
      </c>
      <c r="CD170" s="108" t="str">
        <f t="shared" si="22"/>
        <v/>
      </c>
      <c r="CE170" s="108" t="str">
        <f t="shared" si="23"/>
        <v/>
      </c>
      <c r="CF170" s="109" t="str">
        <f t="shared" si="24"/>
        <v/>
      </c>
      <c r="CG170" s="110" t="str">
        <f t="shared" si="25"/>
        <v/>
      </c>
      <c r="CH170" s="111"/>
    </row>
    <row r="171" spans="1:86" ht="12.75">
      <c r="A171" s="101"/>
      <c r="B171" s="102" t="e">
        <f t="array" aca="1" ref="B171" ca="1">_xludf.XLOOKUP(A171,'QA Log'!D:D,'QA Log'!E:E,"")</f>
        <v>#NAME?</v>
      </c>
      <c r="C171" s="102" t="e">
        <f t="array" aca="1" ref="C171" ca="1">_xludf.XLOOKUP(A171,'QA Log'!D:D,'QA Log'!F:F,"")</f>
        <v>#NAME?</v>
      </c>
      <c r="D171" s="102" t="e">
        <f t="array" aca="1" ref="D171" ca="1">_xludf.XLOOKUP(A171,'QA Log'!D:D,'QA Log'!H:H,"")</f>
        <v>#NAME?</v>
      </c>
      <c r="E171" s="102" t="e">
        <f t="array" aca="1" ref="E171" ca="1">_xludf.XLOOKUP(A171,'QA Log'!D:D,'QA Log'!G:G,"")</f>
        <v>#NAME?</v>
      </c>
      <c r="F171" s="103"/>
      <c r="G171" s="104"/>
      <c r="H171" s="104"/>
      <c r="I171" s="103" t="str">
        <f t="shared" si="0"/>
        <v/>
      </c>
      <c r="J171" s="102" t="str">
        <f>IF(A171="","",SUM(
COUNTIFS('QA Log'!D:D,A171,'QA Log'!M:M,"QQC",'QA Log'!L:L,"*1. General Management*"),
COUNTIFS('QA Log'!D:D,A171,'QA Log'!M:M,"QQC",'QA Log'!L:L,"*3. Curative Consultation (OPD)*"),
COUNTIFS('QA Log'!D:D,A171,'QA Log'!M:M,"QQC",'QA Log'!L:L,"*5. Laboratory*"),
COUNTIFS('QA Log'!D:D,A171,'QA Log'!M:M,"QQC",'QA Log'!L:L,"*6. Essential Medicine Management*"),
COUNTIFS('QA Log'!D:D,A171,'QA Log'!M:M,"QQC",'QA Log'!L:L,"*7. Tracer Medicine*"),
COUNTIFS('QA Log'!D:D,A171,'QA Log'!M:M,"QQC",'QA Log'!L:L,"*11. Additional Questions*")))</f>
        <v/>
      </c>
      <c r="K171" s="102" t="str">
        <f>IF(A171="","",SUM(
COUNTIFS('QA Log'!D:D,A171,'QA Log'!M:M,"QQC",'QA Log'!Z:Z,"Approved",'QA Log'!L:L,"*1. General Management*"),
COUNTIFS('QA Log'!D:D,A171,'QA Log'!M:M,"QQC",'QA Log'!Z:Z,"Approved",'QA Log'!L:L,"*3. Curative Consultation (OPD)*"),
COUNTIFS('QA Log'!D:D,A171,'QA Log'!M:M,"QQC",'QA Log'!Z:Z,"Approved",'QA Log'!L:L,"*5. Laboratory*"),
COUNTIFS('QA Log'!D:D,A171,'QA Log'!M:M,"QQC",'QA Log'!Z:Z,"Approved",'QA Log'!L:L,"*6. Essential Medicine Management*"),
COUNTIFS('QA Log'!D:D,A171,'QA Log'!M:M,"QQC",'QA Log'!Z:Z,"Approved",'QA Log'!L:L,"*7. Tracer Medicine*"),
COUNTIFS('QA Log'!D:D,A171,'QA Log'!M:M,"QQC",'QA Log'!Z:Z,"Approved",'QA Log'!L:L,"*11. Additional Questions*")))</f>
        <v/>
      </c>
      <c r="L171" s="105" t="str">
        <f>IF(A171&lt;&gt;"",COUNTIFS('QA Log'!D:D,A171,'QA Log'!M:M,"QQC",'QA Log'!L:L,"1. General Management",'QA Log'!Z:Z,"Approved"),"")</f>
        <v/>
      </c>
      <c r="M171" s="105" t="str">
        <f>IF(A171&lt;&gt;"",COUNTIFS('QA Log'!D:D,A171,'QA Log'!M:M,"QQC",'QA Log'!L:L,"3. Curative Consultation (OPD)",'QA Log'!Z:Z,"Approved"),"")</f>
        <v/>
      </c>
      <c r="N171" s="105" t="str">
        <f>IF(A171&lt;&gt;"",COUNTIFS('QA Log'!D:D,A171,'QA Log'!M:M,"QQC",'QA Log'!L:L,"5. Laboratory",'QA Log'!Z:Z,"Approved"),"")</f>
        <v/>
      </c>
      <c r="O171" s="105" t="str">
        <f>IF(A171&lt;&gt;"",COUNTIFS('QA Log'!D:D,A171,'QA Log'!M:M,"QQC",'QA Log'!L:L,"6. Essential Medicine Management",'QA Log'!Z:Z,"Approved"),"")</f>
        <v/>
      </c>
      <c r="P171" s="105" t="str">
        <f>IF(A171&lt;&gt;"",COUNTIFS('QA Log'!D:D,A171,'QA Log'!M:M,"QQC",'QA Log'!L:L,"7. Tracer Medicine",'QA Log'!Z:Z,"Approved"),"")</f>
        <v/>
      </c>
      <c r="Q171" s="105" t="str">
        <f>IF(A171&lt;&gt;"",COUNTIFS('QA Log'!D:D,A171,'QA Log'!M:M,"QQC",'QA Log'!L:L,"11. Additional Questions",'QA Log'!Z:Z,"Approved"),"")</f>
        <v/>
      </c>
      <c r="R171" s="102" t="str">
        <f>IF(A171="","",SUM(
COUNTIFS('QA Log'!D:D,A171,'QA Log'!M:M,"QQC",'QA Log'!Z:Z,"Rejected",'QA Log'!L:L,"*8. Maternity*"),
COUNTIFS('QA Log'!D:D,A171,'QA Log'!M:M,"QQC",'QA Log'!Z:Z,"Rejected",'QA Log'!L:L,"*EPI*"),
COUNTIFS('QA Log'!D:D,A171,'QA Log'!M:M,"QQC",'QA Log'!Z:Z,"Rejected",'QA Log'!L:L,"*10. Antenatal Care (ANC)*"),
COUNTIFS('QA Log'!D:D,A171,'QA Log'!M:M,"QQC",'QA Log'!Z:Z,"Rejected",'QA Log'!L:L,"*2. Hygiene and Sterilization*"),
COUNTIFS('QA Log'!D:D,A171,'QA Log'!M:M,"QQC",'QA Log'!Z:Z,"Rejected",'QA Log'!L:L,"*Family Planning*")))</f>
        <v/>
      </c>
      <c r="S171" s="106" t="str">
        <f t="shared" si="1"/>
        <v/>
      </c>
      <c r="T171" s="102" t="str">
        <f t="shared" si="2"/>
        <v/>
      </c>
      <c r="U171" s="102" t="str">
        <f>IF(A171="","",
SUM(
COUNTIFS('QA Log'!D:D,A171,'QA Log'!M:M,"QQC",'QA Log'!L:L,"*8. Maternity*"),
COUNTIFS('QA Log'!D:D,A171,'QA Log'!M:M,"QQC",'QA Log'!L:L,"*9. EPI and Pre-school Consultation*"),
COUNTIFS('QA Log'!D:D,A171,'QA Log'!M:M,"QQC",'QA Log'!L:L,"*10. Antenatal Care (ANC)*"),
COUNTIFS('QA Log'!D:D,A171,'QA Log'!M:M,"QQC",'QA Log'!L:L,"*2. Hygiene and Sterilization*"),
COUNTIFS('QA Log'!D:D,A171,'QA Log'!M:M,"QQC",'QA Log'!L:L,"*4. Family Planning*")
))</f>
        <v/>
      </c>
      <c r="V171" s="102" t="str">
        <f>IF(A171="","",
SUM(
COUNTIFS('QA Log'!D:D,A171,'QA Log'!M:M,"QQC",'QA Log'!Z:Z,"Approved",'QA Log'!L:L,"*8. Maternity*"),
COUNTIFS('QA Log'!D:D,A171,'QA Log'!M:M,"QQC",'QA Log'!Z:Z,"Approved",'QA Log'!L:L,"*9. EPI and Pre-school Consultation*"),
COUNTIFS('QA Log'!D:D,A171,'QA Log'!M:M,"QQC",'QA Log'!Z:Z,"Approved",'QA Log'!L:L,"*10. Antenatal Care (ANC)*"),
COUNTIFS('QA Log'!D:D,A171,'QA Log'!M:M,"QQC",'QA Log'!Z:Z,"Approved",'QA Log'!L:L,"*2. Hygiene and Sterilization*"),
COUNTIFS('QA Log'!D:D,A171,'QA Log'!M:M,"QQC",'QA Log'!Z:Z,"Approved",'QA Log'!L:L,"*4. Family Planning*")
))</f>
        <v/>
      </c>
      <c r="W171" s="105" t="str">
        <f>IF(A171&lt;&gt;"",COUNTIFS('QA Log'!D:D,A171,'QA Log'!M:M,"QQC",'QA Log'!L:L,"8. Maternity",'QA Log'!Z:Z,"Approved"),"")</f>
        <v/>
      </c>
      <c r="X171" s="105" t="str">
        <f>IF(A171&lt;&gt;"",COUNTIFS('QA Log'!D:D,A171,'QA Log'!M:M,"QQC",'QA Log'!L:L,"9. EPI and Pre-school Consultation",'QA Log'!Z:Z,"Approved"),"")</f>
        <v/>
      </c>
      <c r="Y171" s="105" t="str">
        <f>IF(A171&lt;&gt;"",COUNTIFS('QA Log'!D:D,A171,'QA Log'!M:M,"QQC",'QA Log'!L:L,"10. Antenatal Care (ANC)",'QA Log'!Z:Z,"Approved"),"")</f>
        <v/>
      </c>
      <c r="Z171" s="105" t="str">
        <f>IF(A171&lt;&gt;"",COUNTIFS('QA Log'!D:D,A171,'QA Log'!M:M,"QQC",'QA Log'!L:L,"2. Hygiene and Sterilization",'QA Log'!Z:Z,"Approved"),"")</f>
        <v/>
      </c>
      <c r="AA171" s="105" t="str">
        <f>IF(A171&lt;&gt;"",COUNTIFS('QA Log'!D:D,A171,'QA Log'!M:M,"QQC",'QA Log'!L:L,"4. Family Planning",'QA Log'!Z:Z,"Approved"),"")</f>
        <v/>
      </c>
      <c r="AB171" s="102" t="str">
        <f>IF(A171="","",
SUM(
COUNTIFS('QA Log'!D:D,A171,'QA Log'!M:M,"QQC",'QA Log'!Z:Z,"Rejected",'QA Log'!L:L,"*8. Maternity*"),
COUNTIFS('QA Log'!D:D,A171,'QA Log'!M:M,"QQC",'QA Log'!Z:Z,"Rejected",'QA Log'!L:L,"*9. EPI and Pre-school Consultation*"),
COUNTIFS('QA Log'!D:D,A171,'QA Log'!M:M,"QQC",'QA Log'!Z:Z,"Rejected",'QA Log'!L:L,"*10. Antenatal Care (ANC)*"),
COUNTIFS('QA Log'!D:D,A171,'QA Log'!M:M,"QQC",'QA Log'!Z:Z,"Rejected",'QA Log'!L:L,"*2. Hygiene and Sterilization*"),
COUNTIFS('QA Log'!D:D,A171,'QA Log'!M:M,"QQC",'QA Log'!Z:Z,"Rejected",'QA Log'!L:L,"*4. Family Planning*")
))</f>
        <v/>
      </c>
      <c r="AC171" s="102" t="str">
        <f t="shared" si="3"/>
        <v/>
      </c>
      <c r="AD171" s="103" t="str">
        <f t="shared" si="4"/>
        <v/>
      </c>
      <c r="AE171" s="102" t="str">
        <f>IF(A171="","",
SUM(
COUNTIFS('QA Log'!D:D,A171,'QA Log'!M:M,"Data Verification",'QA Log'!L:L,"*Medicine (section 2)*"),
COUNTIFS('QA Log'!D:D,A171,'QA Log'!M:M,"Data Verification",'QA Log'!L:L,"*Lab Testing Availability*"),
COUNTIFS('QA Log'!D:D,A171,'QA Log'!M:M,"Data Verification",'QA Log'!L:L,"*Other than P4P (section 6)*"),
COUNTIFS('QA Log'!D:D,A171,'QA Log'!M:M,"Data Verification",'QA Log'!L:L,"*Hospital Governance*")
))</f>
        <v/>
      </c>
      <c r="AF171" s="102" t="str">
        <f>IF(A171="","",
SUM(
COUNTIFS('QA Log'!D:D,A171,'QA Log'!M:M,"Data Verification",'QA Log'!Z:Z,"Approved",'QA Log'!L:L,"*Medicine (section 2)*"),
COUNTIFS('QA Log'!D:D,A171,'QA Log'!M:M,"Data Verification",'QA Log'!Z:Z,"Approved",'QA Log'!L:L,"*Lab Testing Availability*"),
COUNTIFS('QA Log'!D:D,A171,'QA Log'!M:M,"Data Verification",'QA Log'!Z:Z,"Approved",'QA Log'!L:L,"*Other than P4P (section 6)*"),
COUNTIFS('QA Log'!D:D,A171,'QA Log'!M:M,"Data Verification",'QA Log'!Z:Z,"Approved",'QA Log'!L:L,"*Hospital Governance*")
))</f>
        <v/>
      </c>
      <c r="AG171" s="105" t="str">
        <f>IF(A171&lt;&gt;"",COUNTIFS('QA Log'!D:D,A171,'QA Log'!M:M,"Data Verification",'QA Log'!L:L,"Medicine (section 2)",'QA Log'!Z:Z,"Approved"),"")</f>
        <v/>
      </c>
      <c r="AH171" s="105" t="str">
        <f>IF(A171&lt;&gt;"",COUNTIFS('QA Log'!D:D,A171,'QA Log'!M:M,"Data Verification",'QA Log'!L:L,"Lab Testing Availability",'QA Log'!Z:Z,"Approved"),"")</f>
        <v/>
      </c>
      <c r="AI171" s="105" t="str">
        <f>IF(A171&lt;&gt;"",COUNTIFS('QA Log'!D:D,A171,'QA Log'!M:M,"Data Verification",'QA Log'!L:L,"Other than P4P (section 6)",'QA Log'!Z:Z,"Approved"),"")</f>
        <v/>
      </c>
      <c r="AJ171" s="105" t="str">
        <f>IF(A171&lt;&gt;"",COUNTIFS('QA Log'!D:D,A171,'QA Log'!M:M,"Data Verification",'QA Log'!L:L,"Hospital Governance",'QA Log'!Z:Z,"Approved"),"")</f>
        <v/>
      </c>
      <c r="AK171" s="102" t="str">
        <f>IF(A171="","",
SUM(
COUNTIFS('QA Log'!D:D,A171,'QA Log'!M:M,"Data Verification",'QA Log'!Z:Z,"Rejected",'QA Log'!L:L,"*Medicine (section 2)*"),
COUNTIFS('QA Log'!D:D,A171,'QA Log'!M:M,"Data Verification",'QA Log'!Z:Z,"Rejected",'QA Log'!L:L,"*Lab Testing Availability*"),
COUNTIFS('QA Log'!D:D,A171,'QA Log'!M:M,"Data Verification",'QA Log'!Z:Z,"Rejected",'QA Log'!L:L,"*Other than P4P (section 6)*"),
COUNTIFS('QA Log'!D:D,A171,'QA Log'!M:M,"Data Verification",'QA Log'!Z:Z,"Rejected",'QA Log'!L:L,"*Hospital Governance*")
))</f>
        <v/>
      </c>
      <c r="AL171" s="106" t="str">
        <f t="shared" si="5"/>
        <v/>
      </c>
      <c r="AM171" s="102" t="str">
        <f t="shared" si="6"/>
        <v/>
      </c>
      <c r="AN171" s="102" t="str">
        <f>IF(A171="","",
SUM(
COUNTIFS('QA Log'!D:D,A171,'QA Log'!M:M,"Data Verification",'QA Log'!L:L,"*Personnel (section 1)*"),
COUNTIFS('QA Log'!D:D,A171,'QA Log'!M:M,"Data Verification",'QA Log'!L:L,"*Consumable (section 3)*"),
COUNTIFS('QA Log'!D:D,A171,'QA Log'!M:M,"Data Verification",'QA Log'!L:L,"*Equipments (section 4)*")
))</f>
        <v/>
      </c>
      <c r="AO171" s="102" t="str">
        <f>IF(A171="","",
SUM(
COUNTIFS('QA Log'!D:D,A171,'QA Log'!M:M,"Data Verification",'QA Log'!Z:Z,"Approved",'QA Log'!L:L,"*Personnel (section 1)*"),
COUNTIFS('QA Log'!D:D,A171,'QA Log'!M:M,"Data Verification",'QA Log'!Z:Z,"Approved",'QA Log'!L:L,"*Consumable (section 3)*"),
COUNTIFS('QA Log'!D:D,A171,'QA Log'!M:M,"Data Verification",'QA Log'!Z:Z,"Approved",'QA Log'!L:L,"*Equipments (section 4)*")
))</f>
        <v/>
      </c>
      <c r="AP171" s="105" t="str">
        <f>IF(A171&lt;&gt;"",COUNTIFS('QA Log'!D:D,A171,'QA Log'!M:M,"Data Verification",'QA Log'!L:L,"Personnel (section 1)",'QA Log'!Z:Z,"Approved"),"")</f>
        <v/>
      </c>
      <c r="AQ171" s="105" t="str">
        <f>IF(A171&lt;&gt;"",COUNTIFS('QA Log'!D:D,A171,'QA Log'!M:M,"Data Verification",'QA Log'!L:L,"Consumable (section 3)",'QA Log'!Z:Z,"Approved"),"")</f>
        <v/>
      </c>
      <c r="AR171" s="105" t="str">
        <f>IF(A171&lt;&gt;"",COUNTIFS('QA Log'!D:D,A171,'QA Log'!M:M,"Data Verification",'QA Log'!L:L,"Equipments (section 4)",'QA Log'!Z:Z,"Approved"),"")</f>
        <v/>
      </c>
      <c r="AS171" s="102" t="str">
        <f>IF(A171="","",
SUM(
COUNTIFS('QA Log'!D:D,A171,'QA Log'!M:M,"Data Verification",'QA Log'!Z:Z,"Rejected",'QA Log'!L:L,"*Personnel (section 1)*"),
COUNTIFS('QA Log'!D:D,A171,'QA Log'!M:M,"Data Verification",'QA Log'!Z:Z,"Rejected",'QA Log'!L:L,"*Consumable (section 3)*"),
COUNTIFS('QA Log'!D:D,A171,'QA Log'!M:M,"Data Verification",'QA Log'!Z:Z,"Rejected",'QA Log'!L:L,"*Equipments (section 4)*")
))</f>
        <v/>
      </c>
      <c r="AT171" s="102" t="str">
        <f t="shared" si="7"/>
        <v/>
      </c>
      <c r="AU171" s="103" t="str">
        <f t="shared" si="8"/>
        <v/>
      </c>
      <c r="AV171" s="102" t="str">
        <f>IF(A171="","",SUM(
COUNTIFS('QA Log'!D:D,A171,'QA Log'!M:M,"Vignette",'QA Log'!L:L,"*Vignette [1] Respiratory Infection: Pneumonia*"),
COUNTIFS('QA Log'!D:D,A171,'QA Log'!M:M,"Vignette",'QA Log'!L:L,"*Vignette [2]: Diarrhea with Cat B dehydration*"),
COUNTIFS('QA Log'!D:D,A171,'QA Log'!M:M,"Vignette",'QA Log'!L:L,"*Vignette [3] Growth Monitoring and Promotion*"),
COUNTIFS('QA Log'!D:D,A171,'QA Log'!M:M,"Vignette",'QA Log'!L:L,"*Vignette [4]: The management of presumptive TB patient*")
)
)</f>
        <v/>
      </c>
      <c r="AW171" s="102" t="str">
        <f>IF(
  A171="","",
  SUM(
    COUNTIFS('QA Log'!D:D,A171,'QA Log'!M:M,"Vignette",'QA Log'!Z:Z,"Approved",'QA Log'!L:L,"*Vignette [1] Respiratory Infection: Pneumonia*"),
    COUNTIFS('QA Log'!D:D,A171,'QA Log'!M:M,"Vignette",'QA Log'!Z:Z,"Approved",'QA Log'!L:L,"*Vignette [2]: Diarrhea with Cat B dehydration*"),
    COUNTIFS('QA Log'!D:D,A171,'QA Log'!M:M,"Vignette",'QA Log'!Z:Z,"Approved",'QA Log'!L:L,"*Vignette [3] Growth Monitoring and Promotion*"),
    COUNTIFS('QA Log'!D:D,A171,'QA Log'!M:M,"Vignette",'QA Log'!Z:Z,"Approved",'QA Log'!L:L,"*Vignette [4]: The management of presumptive TB patient*")
  )
)</f>
        <v/>
      </c>
      <c r="AX171" s="105" t="str">
        <f>IF(A171&lt;&gt;"",COUNTIFS('QA Log'!D:D,A171,'QA Log'!M:M,"Vignette",'QA Log'!L:L,"Vignette [1] Respiratory Infection: Pneumonia",'QA Log'!Z:Z,"Approved"),"")</f>
        <v/>
      </c>
      <c r="AY171" s="105" t="str">
        <f>IF(A171&lt;&gt;"",COUNTIFS('QA Log'!D:D,A171,'QA Log'!M:M,"Vignette",'QA Log'!L:L,"Vignette [2]: Diarrhea with Cat B dehydration",'QA Log'!Z:Z,"Approved"),"")</f>
        <v/>
      </c>
      <c r="AZ171" s="105" t="str">
        <f>IF(A171&lt;&gt;"",COUNTIFS('QA Log'!D:D,A171,'QA Log'!M:M,"Vignette",'QA Log'!L:L,"Vignette [3] Growth Monitoring and Promotion",'QA Log'!Z:Z,"Approved"),"")</f>
        <v/>
      </c>
      <c r="BA171" s="105" t="str">
        <f>IF(A171&lt;&gt;"",COUNTIFS('QA Log'!D:D,A171,'QA Log'!M:M,"Vignette",'QA Log'!L:L,"Vignette [4]: The management of presumptive TB patient",'QA Log'!Z:Z,"Approved"),"")</f>
        <v/>
      </c>
      <c r="BB171" s="102" t="str">
        <f>IF(A171="","",
  SUM(
    COUNTIFS('QA Log'!D:D,A171,'QA Log'!M:M,"Vignette",'QA Log'!Z:Z,"Rejected",'QA Log'!L:L,"*Vignette [1] Respiratory Infection: Pneumonia*"),
    COUNTIFS('QA Log'!D:D,A171,'QA Log'!M:M,"Vignette",'QA Log'!Z:Z,"Rejected",'QA Log'!L:L,"*Vignette [2]: Diarrhea with Cat B dehydration*"),
    COUNTIFS('QA Log'!D:D,A171,'QA Log'!M:M,"Vignette",'QA Log'!Z:Z,"Rejected",'QA Log'!L:L,"*Vignette [3] Growth Monitoring and Promotion*"),
    COUNTIFS('QA Log'!D:D,A171,'QA Log'!M:M,"Vignette",'QA Log'!Z:Z,"Rejected",'QA Log'!L:L,"*Vignette [4]: The management of presumptive TB patient*")
  )
)</f>
        <v/>
      </c>
      <c r="BC171" s="107" t="str">
        <f t="shared" si="9"/>
        <v/>
      </c>
      <c r="BD171" s="103" t="str">
        <f t="shared" si="10"/>
        <v/>
      </c>
      <c r="BE171" s="102" t="str">
        <f>IF(A171="","",SUM(
COUNTIFS('QA Log'!D:D,A171,'QA Log'!M:M,"Vignette",'QA Log'!L:L,"*Vignette [5] Labor*"),
COUNTIFS('QA Log'!D:D,A171,'QA Log'!M:M,"Vignette",'QA Log'!L:L,"*Vignette [6] PNC pre Discharge*"),
COUNTIFS('QA Log'!D:D,A171,'QA Log'!M:M,"Vignette",'QA Log'!L:L,"*Vignette [7] First ANC Visit*"),
COUNTIFS('QA Log'!D:D,A171,'QA Log'!M:M,"Vignette",'QA Log'!L:L,"*Vignette [8] Birth Spacing/ Family Planning :  FP Counselling*"),
COUNTIFS('QA Log'!D:D,A171,'QA Log'!M:M,"Vignette",'QA Log'!L:L,"*Vignette [9] Birth Spacing: Change FP method to Injectable*"),
COUNTIFS('QA Log'!D:D,A171,'QA Log'!M:M,"Vignette",'QA Log'!L:L,"*Vignette [10] Post Partum Haemorrhage - Atonic Uterus at Health Centre*"),
)
)</f>
        <v/>
      </c>
      <c r="BF171" s="102" t="str">
        <f>IF(A171="","",
  SUM(
    COUNTIFS('QA Log'!D:D,A171,'QA Log'!M:M,"Vignette",'QA Log'!Z:Z,"Approved",'QA Log'!L:L,"*Vignette [5] Labor*"),
    COUNTIFS('QA Log'!D:D,A171,'QA Log'!M:M,"Vignette",'QA Log'!Z:Z,"Approved",'QA Log'!L:L,"*Vignette [6] PNC pre Discharge*"),
    COUNTIFS('QA Log'!D:D,A171,'QA Log'!M:M,"Vignette",'QA Log'!Z:Z,"Approved",'QA Log'!L:L,"*Vignette [7] First ANC Visit*"),
    COUNTIFS('QA Log'!D:D,A171,'QA Log'!M:M,"Vignette",'QA Log'!Z:Z,"Approved",'QA Log'!L:L,"*Vignette [8] Birth Spacing/ Family Planning :  FP Counselling*"),
    COUNTIFS('QA Log'!D:D,A171,'QA Log'!M:M,"Vignette",'QA Log'!Z:Z,"Approved",'QA Log'!L:L,"*Vignette [9] Birth Spacing: Change FP method to Injectable*"),
    COUNTIFS('QA Log'!D:D,A171,'QA Log'!M:M,"Vignette",'QA Log'!Z:Z,"Approved",'QA Log'!L:L,"*Vignette [10] Post Partum Haemorrhage - Atonic Uterus at Health Centre*")
  )
)</f>
        <v/>
      </c>
      <c r="BG171" s="105" t="str">
        <f>IF(A171&lt;&gt;"",COUNTIFS('QA Log'!D:D,A171,'QA Log'!M:M,"Vignette",'QA Log'!L:L,"Vignette [5] Labor",'QA Log'!Z:Z,"Approved"),"")</f>
        <v/>
      </c>
      <c r="BH171" s="105" t="str">
        <f>IF(A171&lt;&gt;"",COUNTIFS('QA Log'!D:D,A171,'QA Log'!M:M,"Vignette",'QA Log'!L:L,"Vignette [6] PNC pre Discharge",'QA Log'!Z:Z,"Approved"),"")</f>
        <v/>
      </c>
      <c r="BI171" s="105" t="str">
        <f>IF(A171&lt;&gt;"",COUNTIFS('QA Log'!D:D,A171,'QA Log'!M:M,"Vignette",'QA Log'!L:L,"Vignette [7] First ANC Visit",'QA Log'!Z:Z,"Approved"),"")</f>
        <v/>
      </c>
      <c r="BJ171" s="105" t="str">
        <f>IF(A171&lt;&gt;"",COUNTIFS('QA Log'!D:D,A171,'QA Log'!M:M,"Vignette",'QA Log'!L:L,"Vignette [8] Birth Spacing/ Family Planning :  FP Counselling",'QA Log'!Z:Z,"Approved"),"")</f>
        <v/>
      </c>
      <c r="BK171" s="105" t="str">
        <f>IF(A171&lt;&gt;"",COUNTIFS('QA Log'!D:D,A171,'QA Log'!M:M,"Vignette",'QA Log'!L:L,"Vignette [9] Birth Spacing: Change FP method to Injectable",'QA Log'!Z:Z,"Approved"),"")</f>
        <v/>
      </c>
      <c r="BL171" s="105" t="str">
        <f>IF(A171&lt;&gt;"",COUNTIFS('QA Log'!D:D,A171,'QA Log'!M:M,"Vignette",'QA Log'!L:L,"Vignette [10] Post Partum Haemorrhage - Atonic Uterus at Health Centre",'QA Log'!Z:Z,"Approved"),"")</f>
        <v/>
      </c>
      <c r="BM171" s="102" t="str">
        <f>IF(A171="","",SUM(
    COUNTIFS('QA Log'!D:D,A171,'QA Log'!M:M,"Vignette",'QA Log'!Z:Z,"Rejected",'QA Log'!L:L,"*Vignette [5] Labor*"),
    COUNTIFS('QA Log'!D:D,A171,'QA Log'!M:M,"Vignette",'QA Log'!Z:Z,"Rejected",'QA Log'!L:L,"*Vignette [6] PNC pre Discharge*"),
    COUNTIFS('QA Log'!D:D,A171,'QA Log'!M:M,"Vignette",'QA Log'!Z:Z,"Rejected",'QA Log'!L:L,"*Vignette [7] First ANC Visit*"),
    COUNTIFS('QA Log'!D:D,A171,'QA Log'!M:M,"Vignette",'QA Log'!Z:Z,"Rejected",'QA Log'!L:L,"*Vignette [8] Birth Spacing/ Family Planning :  FP Counselling*"),
    COUNTIFS('QA Log'!D:D,A171,'QA Log'!M:M,"Vignette",'QA Log'!Z:Z,"Rejected",'QA Log'!L:L,"*Vignette [9] Birth Spacing: Change FP method to Injectable*"),
    COUNTIFS('QA Log'!D:D,A171,'QA Log'!M:M,"Vignette",'QA Log'!Z:Z,"Rejected",'QA Log'!L:L,"*Vignette [10] Post Partum Haemorrhage - Atonic Uterus at Health Centre*")
  )
)</f>
        <v/>
      </c>
      <c r="BN171" s="107" t="str">
        <f t="shared" si="11"/>
        <v/>
      </c>
      <c r="BO171" s="103" t="str">
        <f t="shared" si="12"/>
        <v/>
      </c>
      <c r="BP171" s="102" t="str">
        <f>IF(A171="","",SUM(
COUNTIFS('QA Log'!D:D,A171,'QA Log'!M:M,"Vignette",'QA Log'!L:L,"*Exit Interview 1*"),
COUNTIFS('QA Log'!D:D,A171,'QA Log'!M:M,"Vignette",'QA Log'!L:L,"*Exit Interview 2*"),
)
)</f>
        <v/>
      </c>
      <c r="BQ171" s="102" t="str">
        <f>IF(
  A171="","",
  SUM(
    COUNTIFS('QA Log'!D:D,A171,'QA Log'!M:M,"Vignette",'QA Log'!Z:Z,"Approved",'QA Log'!L:L,"*Exit Interview 1*"),
    COUNTIFS('QA Log'!D:D,A171,'QA Log'!M:M,"Vignette",'QA Log'!Z:Z,"Approved",'QA Log'!L:L,"*Exit Interview 2*")
  )
)</f>
        <v/>
      </c>
      <c r="BR171" s="105" t="str">
        <f>IF(A171&lt;&gt;"",COUNTIFS('QA Log'!D:D,A171,'QA Log'!M:M,"Vignette",'QA Log'!L:L,"Exit Interview 1",'QA Log'!Z:Z,"Approved"),"")</f>
        <v/>
      </c>
      <c r="BS171" s="105" t="str">
        <f>IF(A171&lt;&gt;"",COUNTIFS('QA Log'!D:D,A171,'QA Log'!M:M,"Vignette",'QA Log'!L:L,"Exit Interview 2",'QA Log'!Z:Z,"Approved"),"")</f>
        <v/>
      </c>
      <c r="BT171" s="102" t="str">
        <f>IF(
  A171="","",
  SUM(
    COUNTIFS('QA Log'!D:D,A171,'QA Log'!M:M,"Vignette",'QA Log'!Z:Z,"Rejected",'QA Log'!L:L,"*Exit Interview 1*"),
    COUNTIFS('QA Log'!D:D,A171,'QA Log'!M:M,"Vignette",'QA Log'!Z:Z,"Rejected",'QA Log'!L:L,"*Exit Interview 2*")
  )
)</f>
        <v/>
      </c>
      <c r="BU171" s="107" t="str">
        <f t="shared" si="13"/>
        <v/>
      </c>
      <c r="BV171" s="102" t="str">
        <f t="shared" si="14"/>
        <v/>
      </c>
      <c r="BW171" s="102" t="str">
        <f t="shared" si="15"/>
        <v/>
      </c>
      <c r="BX171" s="102" t="str">
        <f t="shared" si="16"/>
        <v/>
      </c>
      <c r="BY171" s="102" t="str">
        <f t="shared" si="17"/>
        <v/>
      </c>
      <c r="BZ171" s="107" t="str">
        <f t="shared" si="18"/>
        <v/>
      </c>
      <c r="CA171" s="108" t="str">
        <f t="shared" si="19"/>
        <v/>
      </c>
      <c r="CB171" s="108" t="str">
        <f t="shared" si="20"/>
        <v/>
      </c>
      <c r="CC171" s="109" t="str">
        <f t="shared" si="21"/>
        <v/>
      </c>
      <c r="CD171" s="108" t="str">
        <f t="shared" si="22"/>
        <v/>
      </c>
      <c r="CE171" s="108" t="str">
        <f t="shared" si="23"/>
        <v/>
      </c>
      <c r="CF171" s="109" t="str">
        <f t="shared" si="24"/>
        <v/>
      </c>
      <c r="CG171" s="110" t="str">
        <f t="shared" si="25"/>
        <v/>
      </c>
      <c r="CH171" s="111"/>
    </row>
    <row r="172" spans="1:86" ht="12.75">
      <c r="A172" s="101"/>
      <c r="B172" s="102" t="e">
        <f t="array" aca="1" ref="B172" ca="1">_xludf.XLOOKUP(A172,'QA Log'!D:D,'QA Log'!E:E,"")</f>
        <v>#NAME?</v>
      </c>
      <c r="C172" s="102" t="e">
        <f t="array" aca="1" ref="C172" ca="1">_xludf.XLOOKUP(A172,'QA Log'!D:D,'QA Log'!F:F,"")</f>
        <v>#NAME?</v>
      </c>
      <c r="D172" s="102" t="e">
        <f t="array" aca="1" ref="D172" ca="1">_xludf.XLOOKUP(A172,'QA Log'!D:D,'QA Log'!H:H,"")</f>
        <v>#NAME?</v>
      </c>
      <c r="E172" s="102" t="e">
        <f t="array" aca="1" ref="E172" ca="1">_xludf.XLOOKUP(A172,'QA Log'!D:D,'QA Log'!G:G,"")</f>
        <v>#NAME?</v>
      </c>
      <c r="F172" s="103"/>
      <c r="G172" s="104"/>
      <c r="H172" s="104"/>
      <c r="I172" s="103" t="str">
        <f t="shared" si="0"/>
        <v/>
      </c>
      <c r="J172" s="102" t="str">
        <f>IF(A172="","",SUM(
COUNTIFS('QA Log'!D:D,A172,'QA Log'!M:M,"QQC",'QA Log'!L:L,"*1. General Management*"),
COUNTIFS('QA Log'!D:D,A172,'QA Log'!M:M,"QQC",'QA Log'!L:L,"*3. Curative Consultation (OPD)*"),
COUNTIFS('QA Log'!D:D,A172,'QA Log'!M:M,"QQC",'QA Log'!L:L,"*5. Laboratory*"),
COUNTIFS('QA Log'!D:D,A172,'QA Log'!M:M,"QQC",'QA Log'!L:L,"*6. Essential Medicine Management*"),
COUNTIFS('QA Log'!D:D,A172,'QA Log'!M:M,"QQC",'QA Log'!L:L,"*7. Tracer Medicine*"),
COUNTIFS('QA Log'!D:D,A172,'QA Log'!M:M,"QQC",'QA Log'!L:L,"*11. Additional Questions*")))</f>
        <v/>
      </c>
      <c r="K172" s="102" t="str">
        <f>IF(A172="","",SUM(
COUNTIFS('QA Log'!D:D,A172,'QA Log'!M:M,"QQC",'QA Log'!Z:Z,"Approved",'QA Log'!L:L,"*1. General Management*"),
COUNTIFS('QA Log'!D:D,A172,'QA Log'!M:M,"QQC",'QA Log'!Z:Z,"Approved",'QA Log'!L:L,"*3. Curative Consultation (OPD)*"),
COUNTIFS('QA Log'!D:D,A172,'QA Log'!M:M,"QQC",'QA Log'!Z:Z,"Approved",'QA Log'!L:L,"*5. Laboratory*"),
COUNTIFS('QA Log'!D:D,A172,'QA Log'!M:M,"QQC",'QA Log'!Z:Z,"Approved",'QA Log'!L:L,"*6. Essential Medicine Management*"),
COUNTIFS('QA Log'!D:D,A172,'QA Log'!M:M,"QQC",'QA Log'!Z:Z,"Approved",'QA Log'!L:L,"*7. Tracer Medicine*"),
COUNTIFS('QA Log'!D:D,A172,'QA Log'!M:M,"QQC",'QA Log'!Z:Z,"Approved",'QA Log'!L:L,"*11. Additional Questions*")))</f>
        <v/>
      </c>
      <c r="L172" s="105" t="str">
        <f>IF(A172&lt;&gt;"",COUNTIFS('QA Log'!D:D,A172,'QA Log'!M:M,"QQC",'QA Log'!L:L,"1. General Management",'QA Log'!Z:Z,"Approved"),"")</f>
        <v/>
      </c>
      <c r="M172" s="105" t="str">
        <f>IF(A172&lt;&gt;"",COUNTIFS('QA Log'!D:D,A172,'QA Log'!M:M,"QQC",'QA Log'!L:L,"3. Curative Consultation (OPD)",'QA Log'!Z:Z,"Approved"),"")</f>
        <v/>
      </c>
      <c r="N172" s="105" t="str">
        <f>IF(A172&lt;&gt;"",COUNTIFS('QA Log'!D:D,A172,'QA Log'!M:M,"QQC",'QA Log'!L:L,"5. Laboratory",'QA Log'!Z:Z,"Approved"),"")</f>
        <v/>
      </c>
      <c r="O172" s="105" t="str">
        <f>IF(A172&lt;&gt;"",COUNTIFS('QA Log'!D:D,A172,'QA Log'!M:M,"QQC",'QA Log'!L:L,"6. Essential Medicine Management",'QA Log'!Z:Z,"Approved"),"")</f>
        <v/>
      </c>
      <c r="P172" s="105" t="str">
        <f>IF(A172&lt;&gt;"",COUNTIFS('QA Log'!D:D,A172,'QA Log'!M:M,"QQC",'QA Log'!L:L,"7. Tracer Medicine",'QA Log'!Z:Z,"Approved"),"")</f>
        <v/>
      </c>
      <c r="Q172" s="105" t="str">
        <f>IF(A172&lt;&gt;"",COUNTIFS('QA Log'!D:D,A172,'QA Log'!M:M,"QQC",'QA Log'!L:L,"11. Additional Questions",'QA Log'!Z:Z,"Approved"),"")</f>
        <v/>
      </c>
      <c r="R172" s="102" t="str">
        <f>IF(A172="","",SUM(
COUNTIFS('QA Log'!D:D,A172,'QA Log'!M:M,"QQC",'QA Log'!Z:Z,"Rejected",'QA Log'!L:L,"*8. Maternity*"),
COUNTIFS('QA Log'!D:D,A172,'QA Log'!M:M,"QQC",'QA Log'!Z:Z,"Rejected",'QA Log'!L:L,"*EPI*"),
COUNTIFS('QA Log'!D:D,A172,'QA Log'!M:M,"QQC",'QA Log'!Z:Z,"Rejected",'QA Log'!L:L,"*10. Antenatal Care (ANC)*"),
COUNTIFS('QA Log'!D:D,A172,'QA Log'!M:M,"QQC",'QA Log'!Z:Z,"Rejected",'QA Log'!L:L,"*2. Hygiene and Sterilization*"),
COUNTIFS('QA Log'!D:D,A172,'QA Log'!M:M,"QQC",'QA Log'!Z:Z,"Rejected",'QA Log'!L:L,"*Family Planning*")))</f>
        <v/>
      </c>
      <c r="S172" s="106" t="str">
        <f t="shared" si="1"/>
        <v/>
      </c>
      <c r="T172" s="102" t="str">
        <f t="shared" si="2"/>
        <v/>
      </c>
      <c r="U172" s="102" t="str">
        <f>IF(A172="","",
SUM(
COUNTIFS('QA Log'!D:D,A172,'QA Log'!M:M,"QQC",'QA Log'!L:L,"*8. Maternity*"),
COUNTIFS('QA Log'!D:D,A172,'QA Log'!M:M,"QQC",'QA Log'!L:L,"*9. EPI and Pre-school Consultation*"),
COUNTIFS('QA Log'!D:D,A172,'QA Log'!M:M,"QQC",'QA Log'!L:L,"*10. Antenatal Care (ANC)*"),
COUNTIFS('QA Log'!D:D,A172,'QA Log'!M:M,"QQC",'QA Log'!L:L,"*2. Hygiene and Sterilization*"),
COUNTIFS('QA Log'!D:D,A172,'QA Log'!M:M,"QQC",'QA Log'!L:L,"*4. Family Planning*")
))</f>
        <v/>
      </c>
      <c r="V172" s="102" t="str">
        <f>IF(A172="","",
SUM(
COUNTIFS('QA Log'!D:D,A172,'QA Log'!M:M,"QQC",'QA Log'!Z:Z,"Approved",'QA Log'!L:L,"*8. Maternity*"),
COUNTIFS('QA Log'!D:D,A172,'QA Log'!M:M,"QQC",'QA Log'!Z:Z,"Approved",'QA Log'!L:L,"*9. EPI and Pre-school Consultation*"),
COUNTIFS('QA Log'!D:D,A172,'QA Log'!M:M,"QQC",'QA Log'!Z:Z,"Approved",'QA Log'!L:L,"*10. Antenatal Care (ANC)*"),
COUNTIFS('QA Log'!D:D,A172,'QA Log'!M:M,"QQC",'QA Log'!Z:Z,"Approved",'QA Log'!L:L,"*2. Hygiene and Sterilization*"),
COUNTIFS('QA Log'!D:D,A172,'QA Log'!M:M,"QQC",'QA Log'!Z:Z,"Approved",'QA Log'!L:L,"*4. Family Planning*")
))</f>
        <v/>
      </c>
      <c r="W172" s="105" t="str">
        <f>IF(A172&lt;&gt;"",COUNTIFS('QA Log'!D:D,A172,'QA Log'!M:M,"QQC",'QA Log'!L:L,"8. Maternity",'QA Log'!Z:Z,"Approved"),"")</f>
        <v/>
      </c>
      <c r="X172" s="105" t="str">
        <f>IF(A172&lt;&gt;"",COUNTIFS('QA Log'!D:D,A172,'QA Log'!M:M,"QQC",'QA Log'!L:L,"9. EPI and Pre-school Consultation",'QA Log'!Z:Z,"Approved"),"")</f>
        <v/>
      </c>
      <c r="Y172" s="105" t="str">
        <f>IF(A172&lt;&gt;"",COUNTIFS('QA Log'!D:D,A172,'QA Log'!M:M,"QQC",'QA Log'!L:L,"10. Antenatal Care (ANC)",'QA Log'!Z:Z,"Approved"),"")</f>
        <v/>
      </c>
      <c r="Z172" s="105" t="str">
        <f>IF(A172&lt;&gt;"",COUNTIFS('QA Log'!D:D,A172,'QA Log'!M:M,"QQC",'QA Log'!L:L,"2. Hygiene and Sterilization",'QA Log'!Z:Z,"Approved"),"")</f>
        <v/>
      </c>
      <c r="AA172" s="105" t="str">
        <f>IF(A172&lt;&gt;"",COUNTIFS('QA Log'!D:D,A172,'QA Log'!M:M,"QQC",'QA Log'!L:L,"4. Family Planning",'QA Log'!Z:Z,"Approved"),"")</f>
        <v/>
      </c>
      <c r="AB172" s="102" t="str">
        <f>IF(A172="","",
SUM(
COUNTIFS('QA Log'!D:D,A172,'QA Log'!M:M,"QQC",'QA Log'!Z:Z,"Rejected",'QA Log'!L:L,"*8. Maternity*"),
COUNTIFS('QA Log'!D:D,A172,'QA Log'!M:M,"QQC",'QA Log'!Z:Z,"Rejected",'QA Log'!L:L,"*9. EPI and Pre-school Consultation*"),
COUNTIFS('QA Log'!D:D,A172,'QA Log'!M:M,"QQC",'QA Log'!Z:Z,"Rejected",'QA Log'!L:L,"*10. Antenatal Care (ANC)*"),
COUNTIFS('QA Log'!D:D,A172,'QA Log'!M:M,"QQC",'QA Log'!Z:Z,"Rejected",'QA Log'!L:L,"*2. Hygiene and Sterilization*"),
COUNTIFS('QA Log'!D:D,A172,'QA Log'!M:M,"QQC",'QA Log'!Z:Z,"Rejected",'QA Log'!L:L,"*4. Family Planning*")
))</f>
        <v/>
      </c>
      <c r="AC172" s="102" t="str">
        <f t="shared" si="3"/>
        <v/>
      </c>
      <c r="AD172" s="103" t="str">
        <f t="shared" si="4"/>
        <v/>
      </c>
      <c r="AE172" s="102" t="str">
        <f>IF(A172="","",
SUM(
COUNTIFS('QA Log'!D:D,A172,'QA Log'!M:M,"Data Verification",'QA Log'!L:L,"*Medicine (section 2)*"),
COUNTIFS('QA Log'!D:D,A172,'QA Log'!M:M,"Data Verification",'QA Log'!L:L,"*Lab Testing Availability*"),
COUNTIFS('QA Log'!D:D,A172,'QA Log'!M:M,"Data Verification",'QA Log'!L:L,"*Other than P4P (section 6)*"),
COUNTIFS('QA Log'!D:D,A172,'QA Log'!M:M,"Data Verification",'QA Log'!L:L,"*Hospital Governance*")
))</f>
        <v/>
      </c>
      <c r="AF172" s="102" t="str">
        <f>IF(A172="","",
SUM(
COUNTIFS('QA Log'!D:D,A172,'QA Log'!M:M,"Data Verification",'QA Log'!Z:Z,"Approved",'QA Log'!L:L,"*Medicine (section 2)*"),
COUNTIFS('QA Log'!D:D,A172,'QA Log'!M:M,"Data Verification",'QA Log'!Z:Z,"Approved",'QA Log'!L:L,"*Lab Testing Availability*"),
COUNTIFS('QA Log'!D:D,A172,'QA Log'!M:M,"Data Verification",'QA Log'!Z:Z,"Approved",'QA Log'!L:L,"*Other than P4P (section 6)*"),
COUNTIFS('QA Log'!D:D,A172,'QA Log'!M:M,"Data Verification",'QA Log'!Z:Z,"Approved",'QA Log'!L:L,"*Hospital Governance*")
))</f>
        <v/>
      </c>
      <c r="AG172" s="105" t="str">
        <f>IF(A172&lt;&gt;"",COUNTIFS('QA Log'!D:D,A172,'QA Log'!M:M,"Data Verification",'QA Log'!L:L,"Medicine (section 2)",'QA Log'!Z:Z,"Approved"),"")</f>
        <v/>
      </c>
      <c r="AH172" s="105" t="str">
        <f>IF(A172&lt;&gt;"",COUNTIFS('QA Log'!D:D,A172,'QA Log'!M:M,"Data Verification",'QA Log'!L:L,"Lab Testing Availability",'QA Log'!Z:Z,"Approved"),"")</f>
        <v/>
      </c>
      <c r="AI172" s="105" t="str">
        <f>IF(A172&lt;&gt;"",COUNTIFS('QA Log'!D:D,A172,'QA Log'!M:M,"Data Verification",'QA Log'!L:L,"Other than P4P (section 6)",'QA Log'!Z:Z,"Approved"),"")</f>
        <v/>
      </c>
      <c r="AJ172" s="105" t="str">
        <f>IF(A172&lt;&gt;"",COUNTIFS('QA Log'!D:D,A172,'QA Log'!M:M,"Data Verification",'QA Log'!L:L,"Hospital Governance",'QA Log'!Z:Z,"Approved"),"")</f>
        <v/>
      </c>
      <c r="AK172" s="102" t="str">
        <f>IF(A172="","",
SUM(
COUNTIFS('QA Log'!D:D,A172,'QA Log'!M:M,"Data Verification",'QA Log'!Z:Z,"Rejected",'QA Log'!L:L,"*Medicine (section 2)*"),
COUNTIFS('QA Log'!D:D,A172,'QA Log'!M:M,"Data Verification",'QA Log'!Z:Z,"Rejected",'QA Log'!L:L,"*Lab Testing Availability*"),
COUNTIFS('QA Log'!D:D,A172,'QA Log'!M:M,"Data Verification",'QA Log'!Z:Z,"Rejected",'QA Log'!L:L,"*Other than P4P (section 6)*"),
COUNTIFS('QA Log'!D:D,A172,'QA Log'!M:M,"Data Verification",'QA Log'!Z:Z,"Rejected",'QA Log'!L:L,"*Hospital Governance*")
))</f>
        <v/>
      </c>
      <c r="AL172" s="106" t="str">
        <f t="shared" si="5"/>
        <v/>
      </c>
      <c r="AM172" s="102" t="str">
        <f t="shared" si="6"/>
        <v/>
      </c>
      <c r="AN172" s="102" t="str">
        <f>IF(A172="","",
SUM(
COUNTIFS('QA Log'!D:D,A172,'QA Log'!M:M,"Data Verification",'QA Log'!L:L,"*Personnel (section 1)*"),
COUNTIFS('QA Log'!D:D,A172,'QA Log'!M:M,"Data Verification",'QA Log'!L:L,"*Consumable (section 3)*"),
COUNTIFS('QA Log'!D:D,A172,'QA Log'!M:M,"Data Verification",'QA Log'!L:L,"*Equipments (section 4)*")
))</f>
        <v/>
      </c>
      <c r="AO172" s="102" t="str">
        <f>IF(A172="","",
SUM(
COUNTIFS('QA Log'!D:D,A172,'QA Log'!M:M,"Data Verification",'QA Log'!Z:Z,"Approved",'QA Log'!L:L,"*Personnel (section 1)*"),
COUNTIFS('QA Log'!D:D,A172,'QA Log'!M:M,"Data Verification",'QA Log'!Z:Z,"Approved",'QA Log'!L:L,"*Consumable (section 3)*"),
COUNTIFS('QA Log'!D:D,A172,'QA Log'!M:M,"Data Verification",'QA Log'!Z:Z,"Approved",'QA Log'!L:L,"*Equipments (section 4)*")
))</f>
        <v/>
      </c>
      <c r="AP172" s="105" t="str">
        <f>IF(A172&lt;&gt;"",COUNTIFS('QA Log'!D:D,A172,'QA Log'!M:M,"Data Verification",'QA Log'!L:L,"Personnel (section 1)",'QA Log'!Z:Z,"Approved"),"")</f>
        <v/>
      </c>
      <c r="AQ172" s="105" t="str">
        <f>IF(A172&lt;&gt;"",COUNTIFS('QA Log'!D:D,A172,'QA Log'!M:M,"Data Verification",'QA Log'!L:L,"Consumable (section 3)",'QA Log'!Z:Z,"Approved"),"")</f>
        <v/>
      </c>
      <c r="AR172" s="105" t="str">
        <f>IF(A172&lt;&gt;"",COUNTIFS('QA Log'!D:D,A172,'QA Log'!M:M,"Data Verification",'QA Log'!L:L,"Equipments (section 4)",'QA Log'!Z:Z,"Approved"),"")</f>
        <v/>
      </c>
      <c r="AS172" s="102" t="str">
        <f>IF(A172="","",
SUM(
COUNTIFS('QA Log'!D:D,A172,'QA Log'!M:M,"Data Verification",'QA Log'!Z:Z,"Rejected",'QA Log'!L:L,"*Personnel (section 1)*"),
COUNTIFS('QA Log'!D:D,A172,'QA Log'!M:M,"Data Verification",'QA Log'!Z:Z,"Rejected",'QA Log'!L:L,"*Consumable (section 3)*"),
COUNTIFS('QA Log'!D:D,A172,'QA Log'!M:M,"Data Verification",'QA Log'!Z:Z,"Rejected",'QA Log'!L:L,"*Equipments (section 4)*")
))</f>
        <v/>
      </c>
      <c r="AT172" s="102" t="str">
        <f t="shared" si="7"/>
        <v/>
      </c>
      <c r="AU172" s="103" t="str">
        <f t="shared" si="8"/>
        <v/>
      </c>
      <c r="AV172" s="102" t="str">
        <f>IF(A172="","",SUM(
COUNTIFS('QA Log'!D:D,A172,'QA Log'!M:M,"Vignette",'QA Log'!L:L,"*Vignette [1] Respiratory Infection: Pneumonia*"),
COUNTIFS('QA Log'!D:D,A172,'QA Log'!M:M,"Vignette",'QA Log'!L:L,"*Vignette [2]: Diarrhea with Cat B dehydration*"),
COUNTIFS('QA Log'!D:D,A172,'QA Log'!M:M,"Vignette",'QA Log'!L:L,"*Vignette [3] Growth Monitoring and Promotion*"),
COUNTIFS('QA Log'!D:D,A172,'QA Log'!M:M,"Vignette",'QA Log'!L:L,"*Vignette [4]: The management of presumptive TB patient*")
)
)</f>
        <v/>
      </c>
      <c r="AW172" s="102" t="str">
        <f>IF(
  A172="","",
  SUM(
    COUNTIFS('QA Log'!D:D,A172,'QA Log'!M:M,"Vignette",'QA Log'!Z:Z,"Approved",'QA Log'!L:L,"*Vignette [1] Respiratory Infection: Pneumonia*"),
    COUNTIFS('QA Log'!D:D,A172,'QA Log'!M:M,"Vignette",'QA Log'!Z:Z,"Approved",'QA Log'!L:L,"*Vignette [2]: Diarrhea with Cat B dehydration*"),
    COUNTIFS('QA Log'!D:D,A172,'QA Log'!M:M,"Vignette",'QA Log'!Z:Z,"Approved",'QA Log'!L:L,"*Vignette [3] Growth Monitoring and Promotion*"),
    COUNTIFS('QA Log'!D:D,A172,'QA Log'!M:M,"Vignette",'QA Log'!Z:Z,"Approved",'QA Log'!L:L,"*Vignette [4]: The management of presumptive TB patient*")
  )
)</f>
        <v/>
      </c>
      <c r="AX172" s="105" t="str">
        <f>IF(A172&lt;&gt;"",COUNTIFS('QA Log'!D:D,A172,'QA Log'!M:M,"Vignette",'QA Log'!L:L,"Vignette [1] Respiratory Infection: Pneumonia",'QA Log'!Z:Z,"Approved"),"")</f>
        <v/>
      </c>
      <c r="AY172" s="105" t="str">
        <f>IF(A172&lt;&gt;"",COUNTIFS('QA Log'!D:D,A172,'QA Log'!M:M,"Vignette",'QA Log'!L:L,"Vignette [2]: Diarrhea with Cat B dehydration",'QA Log'!Z:Z,"Approved"),"")</f>
        <v/>
      </c>
      <c r="AZ172" s="105" t="str">
        <f>IF(A172&lt;&gt;"",COUNTIFS('QA Log'!D:D,A172,'QA Log'!M:M,"Vignette",'QA Log'!L:L,"Vignette [3] Growth Monitoring and Promotion",'QA Log'!Z:Z,"Approved"),"")</f>
        <v/>
      </c>
      <c r="BA172" s="105" t="str">
        <f>IF(A172&lt;&gt;"",COUNTIFS('QA Log'!D:D,A172,'QA Log'!M:M,"Vignette",'QA Log'!L:L,"Vignette [4]: The management of presumptive TB patient",'QA Log'!Z:Z,"Approved"),"")</f>
        <v/>
      </c>
      <c r="BB172" s="102" t="str">
        <f>IF(A172="","",
  SUM(
    COUNTIFS('QA Log'!D:D,A172,'QA Log'!M:M,"Vignette",'QA Log'!Z:Z,"Rejected",'QA Log'!L:L,"*Vignette [1] Respiratory Infection: Pneumonia*"),
    COUNTIFS('QA Log'!D:D,A172,'QA Log'!M:M,"Vignette",'QA Log'!Z:Z,"Rejected",'QA Log'!L:L,"*Vignette [2]: Diarrhea with Cat B dehydration*"),
    COUNTIFS('QA Log'!D:D,A172,'QA Log'!M:M,"Vignette",'QA Log'!Z:Z,"Rejected",'QA Log'!L:L,"*Vignette [3] Growth Monitoring and Promotion*"),
    COUNTIFS('QA Log'!D:D,A172,'QA Log'!M:M,"Vignette",'QA Log'!Z:Z,"Rejected",'QA Log'!L:L,"*Vignette [4]: The management of presumptive TB patient*")
  )
)</f>
        <v/>
      </c>
      <c r="BC172" s="107" t="str">
        <f t="shared" si="9"/>
        <v/>
      </c>
      <c r="BD172" s="103" t="str">
        <f t="shared" si="10"/>
        <v/>
      </c>
      <c r="BE172" s="102" t="str">
        <f>IF(A172="","",SUM(
COUNTIFS('QA Log'!D:D,A172,'QA Log'!M:M,"Vignette",'QA Log'!L:L,"*Vignette [5] Labor*"),
COUNTIFS('QA Log'!D:D,A172,'QA Log'!M:M,"Vignette",'QA Log'!L:L,"*Vignette [6] PNC pre Discharge*"),
COUNTIFS('QA Log'!D:D,A172,'QA Log'!M:M,"Vignette",'QA Log'!L:L,"*Vignette [7] First ANC Visit*"),
COUNTIFS('QA Log'!D:D,A172,'QA Log'!M:M,"Vignette",'QA Log'!L:L,"*Vignette [8] Birth Spacing/ Family Planning :  FP Counselling*"),
COUNTIFS('QA Log'!D:D,A172,'QA Log'!M:M,"Vignette",'QA Log'!L:L,"*Vignette [9] Birth Spacing: Change FP method to Injectable*"),
COUNTIFS('QA Log'!D:D,A172,'QA Log'!M:M,"Vignette",'QA Log'!L:L,"*Vignette [10] Post Partum Haemorrhage - Atonic Uterus at Health Centre*"),
)
)</f>
        <v/>
      </c>
      <c r="BF172" s="102" t="str">
        <f>IF(A172="","",
  SUM(
    COUNTIFS('QA Log'!D:D,A172,'QA Log'!M:M,"Vignette",'QA Log'!Z:Z,"Approved",'QA Log'!L:L,"*Vignette [5] Labor*"),
    COUNTIFS('QA Log'!D:D,A172,'QA Log'!M:M,"Vignette",'QA Log'!Z:Z,"Approved",'QA Log'!L:L,"*Vignette [6] PNC pre Discharge*"),
    COUNTIFS('QA Log'!D:D,A172,'QA Log'!M:M,"Vignette",'QA Log'!Z:Z,"Approved",'QA Log'!L:L,"*Vignette [7] First ANC Visit*"),
    COUNTIFS('QA Log'!D:D,A172,'QA Log'!M:M,"Vignette",'QA Log'!Z:Z,"Approved",'QA Log'!L:L,"*Vignette [8] Birth Spacing/ Family Planning :  FP Counselling*"),
    COUNTIFS('QA Log'!D:D,A172,'QA Log'!M:M,"Vignette",'QA Log'!Z:Z,"Approved",'QA Log'!L:L,"*Vignette [9] Birth Spacing: Change FP method to Injectable*"),
    COUNTIFS('QA Log'!D:D,A172,'QA Log'!M:M,"Vignette",'QA Log'!Z:Z,"Approved",'QA Log'!L:L,"*Vignette [10] Post Partum Haemorrhage - Atonic Uterus at Health Centre*")
  )
)</f>
        <v/>
      </c>
      <c r="BG172" s="105" t="str">
        <f>IF(A172&lt;&gt;"",COUNTIFS('QA Log'!D:D,A172,'QA Log'!M:M,"Vignette",'QA Log'!L:L,"Vignette [5] Labor",'QA Log'!Z:Z,"Approved"),"")</f>
        <v/>
      </c>
      <c r="BH172" s="105" t="str">
        <f>IF(A172&lt;&gt;"",COUNTIFS('QA Log'!D:D,A172,'QA Log'!M:M,"Vignette",'QA Log'!L:L,"Vignette [6] PNC pre Discharge",'QA Log'!Z:Z,"Approved"),"")</f>
        <v/>
      </c>
      <c r="BI172" s="105" t="str">
        <f>IF(A172&lt;&gt;"",COUNTIFS('QA Log'!D:D,A172,'QA Log'!M:M,"Vignette",'QA Log'!L:L,"Vignette [7] First ANC Visit",'QA Log'!Z:Z,"Approved"),"")</f>
        <v/>
      </c>
      <c r="BJ172" s="105" t="str">
        <f>IF(A172&lt;&gt;"",COUNTIFS('QA Log'!D:D,A172,'QA Log'!M:M,"Vignette",'QA Log'!L:L,"Vignette [8] Birth Spacing/ Family Planning :  FP Counselling",'QA Log'!Z:Z,"Approved"),"")</f>
        <v/>
      </c>
      <c r="BK172" s="105" t="str">
        <f>IF(A172&lt;&gt;"",COUNTIFS('QA Log'!D:D,A172,'QA Log'!M:M,"Vignette",'QA Log'!L:L,"Vignette [9] Birth Spacing: Change FP method to Injectable",'QA Log'!Z:Z,"Approved"),"")</f>
        <v/>
      </c>
      <c r="BL172" s="105" t="str">
        <f>IF(A172&lt;&gt;"",COUNTIFS('QA Log'!D:D,A172,'QA Log'!M:M,"Vignette",'QA Log'!L:L,"Vignette [10] Post Partum Haemorrhage - Atonic Uterus at Health Centre",'QA Log'!Z:Z,"Approved"),"")</f>
        <v/>
      </c>
      <c r="BM172" s="102" t="str">
        <f>IF(A172="","",SUM(
    COUNTIFS('QA Log'!D:D,A172,'QA Log'!M:M,"Vignette",'QA Log'!Z:Z,"Rejected",'QA Log'!L:L,"*Vignette [5] Labor*"),
    COUNTIFS('QA Log'!D:D,A172,'QA Log'!M:M,"Vignette",'QA Log'!Z:Z,"Rejected",'QA Log'!L:L,"*Vignette [6] PNC pre Discharge*"),
    COUNTIFS('QA Log'!D:D,A172,'QA Log'!M:M,"Vignette",'QA Log'!Z:Z,"Rejected",'QA Log'!L:L,"*Vignette [7] First ANC Visit*"),
    COUNTIFS('QA Log'!D:D,A172,'QA Log'!M:M,"Vignette",'QA Log'!Z:Z,"Rejected",'QA Log'!L:L,"*Vignette [8] Birth Spacing/ Family Planning :  FP Counselling*"),
    COUNTIFS('QA Log'!D:D,A172,'QA Log'!M:M,"Vignette",'QA Log'!Z:Z,"Rejected",'QA Log'!L:L,"*Vignette [9] Birth Spacing: Change FP method to Injectable*"),
    COUNTIFS('QA Log'!D:D,A172,'QA Log'!M:M,"Vignette",'QA Log'!Z:Z,"Rejected",'QA Log'!L:L,"*Vignette [10] Post Partum Haemorrhage - Atonic Uterus at Health Centre*")
  )
)</f>
        <v/>
      </c>
      <c r="BN172" s="107" t="str">
        <f t="shared" si="11"/>
        <v/>
      </c>
      <c r="BO172" s="103" t="str">
        <f t="shared" si="12"/>
        <v/>
      </c>
      <c r="BP172" s="102" t="str">
        <f>IF(A172="","",SUM(
COUNTIFS('QA Log'!D:D,A172,'QA Log'!M:M,"Vignette",'QA Log'!L:L,"*Exit Interview 1*"),
COUNTIFS('QA Log'!D:D,A172,'QA Log'!M:M,"Vignette",'QA Log'!L:L,"*Exit Interview 2*"),
)
)</f>
        <v/>
      </c>
      <c r="BQ172" s="102" t="str">
        <f>IF(
  A172="","",
  SUM(
    COUNTIFS('QA Log'!D:D,A172,'QA Log'!M:M,"Vignette",'QA Log'!Z:Z,"Approved",'QA Log'!L:L,"*Exit Interview 1*"),
    COUNTIFS('QA Log'!D:D,A172,'QA Log'!M:M,"Vignette",'QA Log'!Z:Z,"Approved",'QA Log'!L:L,"*Exit Interview 2*")
  )
)</f>
        <v/>
      </c>
      <c r="BR172" s="105" t="str">
        <f>IF(A172&lt;&gt;"",COUNTIFS('QA Log'!D:D,A172,'QA Log'!M:M,"Vignette",'QA Log'!L:L,"Exit Interview 1",'QA Log'!Z:Z,"Approved"),"")</f>
        <v/>
      </c>
      <c r="BS172" s="105" t="str">
        <f>IF(A172&lt;&gt;"",COUNTIFS('QA Log'!D:D,A172,'QA Log'!M:M,"Vignette",'QA Log'!L:L,"Exit Interview 2",'QA Log'!Z:Z,"Approved"),"")</f>
        <v/>
      </c>
      <c r="BT172" s="102" t="str">
        <f>IF(
  A172="","",
  SUM(
    COUNTIFS('QA Log'!D:D,A172,'QA Log'!M:M,"Vignette",'QA Log'!Z:Z,"Rejected",'QA Log'!L:L,"*Exit Interview 1*"),
    COUNTIFS('QA Log'!D:D,A172,'QA Log'!M:M,"Vignette",'QA Log'!Z:Z,"Rejected",'QA Log'!L:L,"*Exit Interview 2*")
  )
)</f>
        <v/>
      </c>
      <c r="BU172" s="107" t="str">
        <f t="shared" si="13"/>
        <v/>
      </c>
      <c r="BV172" s="102" t="str">
        <f t="shared" si="14"/>
        <v/>
      </c>
      <c r="BW172" s="102" t="str">
        <f t="shared" si="15"/>
        <v/>
      </c>
      <c r="BX172" s="102" t="str">
        <f t="shared" si="16"/>
        <v/>
      </c>
      <c r="BY172" s="102" t="str">
        <f t="shared" si="17"/>
        <v/>
      </c>
      <c r="BZ172" s="107" t="str">
        <f t="shared" si="18"/>
        <v/>
      </c>
      <c r="CA172" s="108" t="str">
        <f t="shared" si="19"/>
        <v/>
      </c>
      <c r="CB172" s="108" t="str">
        <f t="shared" si="20"/>
        <v/>
      </c>
      <c r="CC172" s="109" t="str">
        <f t="shared" si="21"/>
        <v/>
      </c>
      <c r="CD172" s="108" t="str">
        <f t="shared" si="22"/>
        <v/>
      </c>
      <c r="CE172" s="108" t="str">
        <f t="shared" si="23"/>
        <v/>
      </c>
      <c r="CF172" s="109" t="str">
        <f t="shared" si="24"/>
        <v/>
      </c>
      <c r="CG172" s="110" t="str">
        <f t="shared" si="25"/>
        <v/>
      </c>
      <c r="CH172" s="111"/>
    </row>
    <row r="173" spans="1:86" ht="12.75">
      <c r="A173" s="101"/>
      <c r="B173" s="102" t="e">
        <f t="array" aca="1" ref="B173" ca="1">_xludf.XLOOKUP(A173,'QA Log'!D:D,'QA Log'!E:E,"")</f>
        <v>#NAME?</v>
      </c>
      <c r="C173" s="102" t="e">
        <f t="array" aca="1" ref="C173" ca="1">_xludf.XLOOKUP(A173,'QA Log'!D:D,'QA Log'!F:F,"")</f>
        <v>#NAME?</v>
      </c>
      <c r="D173" s="102" t="e">
        <f t="array" aca="1" ref="D173" ca="1">_xludf.XLOOKUP(A173,'QA Log'!D:D,'QA Log'!H:H,"")</f>
        <v>#NAME?</v>
      </c>
      <c r="E173" s="102" t="e">
        <f t="array" aca="1" ref="E173" ca="1">_xludf.XLOOKUP(A173,'QA Log'!D:D,'QA Log'!G:G,"")</f>
        <v>#NAME?</v>
      </c>
      <c r="F173" s="103"/>
      <c r="G173" s="104"/>
      <c r="H173" s="104"/>
      <c r="I173" s="103" t="str">
        <f t="shared" si="0"/>
        <v/>
      </c>
      <c r="J173" s="102" t="str">
        <f>IF(A173="","",SUM(
COUNTIFS('QA Log'!D:D,A173,'QA Log'!M:M,"QQC",'QA Log'!L:L,"*1. General Management*"),
COUNTIFS('QA Log'!D:D,A173,'QA Log'!M:M,"QQC",'QA Log'!L:L,"*3. Curative Consultation (OPD)*"),
COUNTIFS('QA Log'!D:D,A173,'QA Log'!M:M,"QQC",'QA Log'!L:L,"*5. Laboratory*"),
COUNTIFS('QA Log'!D:D,A173,'QA Log'!M:M,"QQC",'QA Log'!L:L,"*6. Essential Medicine Management*"),
COUNTIFS('QA Log'!D:D,A173,'QA Log'!M:M,"QQC",'QA Log'!L:L,"*7. Tracer Medicine*"),
COUNTIFS('QA Log'!D:D,A173,'QA Log'!M:M,"QQC",'QA Log'!L:L,"*11. Additional Questions*")))</f>
        <v/>
      </c>
      <c r="K173" s="102" t="str">
        <f>IF(A173="","",SUM(
COUNTIFS('QA Log'!D:D,A173,'QA Log'!M:M,"QQC",'QA Log'!Z:Z,"Approved",'QA Log'!L:L,"*1. General Management*"),
COUNTIFS('QA Log'!D:D,A173,'QA Log'!M:M,"QQC",'QA Log'!Z:Z,"Approved",'QA Log'!L:L,"*3. Curative Consultation (OPD)*"),
COUNTIFS('QA Log'!D:D,A173,'QA Log'!M:M,"QQC",'QA Log'!Z:Z,"Approved",'QA Log'!L:L,"*5. Laboratory*"),
COUNTIFS('QA Log'!D:D,A173,'QA Log'!M:M,"QQC",'QA Log'!Z:Z,"Approved",'QA Log'!L:L,"*6. Essential Medicine Management*"),
COUNTIFS('QA Log'!D:D,A173,'QA Log'!M:M,"QQC",'QA Log'!Z:Z,"Approved",'QA Log'!L:L,"*7. Tracer Medicine*"),
COUNTIFS('QA Log'!D:D,A173,'QA Log'!M:M,"QQC",'QA Log'!Z:Z,"Approved",'QA Log'!L:L,"*11. Additional Questions*")))</f>
        <v/>
      </c>
      <c r="L173" s="105" t="str">
        <f>IF(A173&lt;&gt;"",COUNTIFS('QA Log'!D:D,A173,'QA Log'!M:M,"QQC",'QA Log'!L:L,"1. General Management",'QA Log'!Z:Z,"Approved"),"")</f>
        <v/>
      </c>
      <c r="M173" s="105" t="str">
        <f>IF(A173&lt;&gt;"",COUNTIFS('QA Log'!D:D,A173,'QA Log'!M:M,"QQC",'QA Log'!L:L,"3. Curative Consultation (OPD)",'QA Log'!Z:Z,"Approved"),"")</f>
        <v/>
      </c>
      <c r="N173" s="105" t="str">
        <f>IF(A173&lt;&gt;"",COUNTIFS('QA Log'!D:D,A173,'QA Log'!M:M,"QQC",'QA Log'!L:L,"5. Laboratory",'QA Log'!Z:Z,"Approved"),"")</f>
        <v/>
      </c>
      <c r="O173" s="105" t="str">
        <f>IF(A173&lt;&gt;"",COUNTIFS('QA Log'!D:D,A173,'QA Log'!M:M,"QQC",'QA Log'!L:L,"6. Essential Medicine Management",'QA Log'!Z:Z,"Approved"),"")</f>
        <v/>
      </c>
      <c r="P173" s="105" t="str">
        <f>IF(A173&lt;&gt;"",COUNTIFS('QA Log'!D:D,A173,'QA Log'!M:M,"QQC",'QA Log'!L:L,"7. Tracer Medicine",'QA Log'!Z:Z,"Approved"),"")</f>
        <v/>
      </c>
      <c r="Q173" s="105" t="str">
        <f>IF(A173&lt;&gt;"",COUNTIFS('QA Log'!D:D,A173,'QA Log'!M:M,"QQC",'QA Log'!L:L,"11. Additional Questions",'QA Log'!Z:Z,"Approved"),"")</f>
        <v/>
      </c>
      <c r="R173" s="102" t="str">
        <f>IF(A173="","",SUM(
COUNTIFS('QA Log'!D:D,A173,'QA Log'!M:M,"QQC",'QA Log'!Z:Z,"Rejected",'QA Log'!L:L,"*8. Maternity*"),
COUNTIFS('QA Log'!D:D,A173,'QA Log'!M:M,"QQC",'QA Log'!Z:Z,"Rejected",'QA Log'!L:L,"*EPI*"),
COUNTIFS('QA Log'!D:D,A173,'QA Log'!M:M,"QQC",'QA Log'!Z:Z,"Rejected",'QA Log'!L:L,"*10. Antenatal Care (ANC)*"),
COUNTIFS('QA Log'!D:D,A173,'QA Log'!M:M,"QQC",'QA Log'!Z:Z,"Rejected",'QA Log'!L:L,"*2. Hygiene and Sterilization*"),
COUNTIFS('QA Log'!D:D,A173,'QA Log'!M:M,"QQC",'QA Log'!Z:Z,"Rejected",'QA Log'!L:L,"*Family Planning*")))</f>
        <v/>
      </c>
      <c r="S173" s="106" t="str">
        <f t="shared" si="1"/>
        <v/>
      </c>
      <c r="T173" s="102" t="str">
        <f t="shared" si="2"/>
        <v/>
      </c>
      <c r="U173" s="102" t="str">
        <f>IF(A173="","",
SUM(
COUNTIFS('QA Log'!D:D,A173,'QA Log'!M:M,"QQC",'QA Log'!L:L,"*8. Maternity*"),
COUNTIFS('QA Log'!D:D,A173,'QA Log'!M:M,"QQC",'QA Log'!L:L,"*9. EPI and Pre-school Consultation*"),
COUNTIFS('QA Log'!D:D,A173,'QA Log'!M:M,"QQC",'QA Log'!L:L,"*10. Antenatal Care (ANC)*"),
COUNTIFS('QA Log'!D:D,A173,'QA Log'!M:M,"QQC",'QA Log'!L:L,"*2. Hygiene and Sterilization*"),
COUNTIFS('QA Log'!D:D,A173,'QA Log'!M:M,"QQC",'QA Log'!L:L,"*4. Family Planning*")
))</f>
        <v/>
      </c>
      <c r="V173" s="102" t="str">
        <f>IF(A173="","",
SUM(
COUNTIFS('QA Log'!D:D,A173,'QA Log'!M:M,"QQC",'QA Log'!Z:Z,"Approved",'QA Log'!L:L,"*8. Maternity*"),
COUNTIFS('QA Log'!D:D,A173,'QA Log'!M:M,"QQC",'QA Log'!Z:Z,"Approved",'QA Log'!L:L,"*9. EPI and Pre-school Consultation*"),
COUNTIFS('QA Log'!D:D,A173,'QA Log'!M:M,"QQC",'QA Log'!Z:Z,"Approved",'QA Log'!L:L,"*10. Antenatal Care (ANC)*"),
COUNTIFS('QA Log'!D:D,A173,'QA Log'!M:M,"QQC",'QA Log'!Z:Z,"Approved",'QA Log'!L:L,"*2. Hygiene and Sterilization*"),
COUNTIFS('QA Log'!D:D,A173,'QA Log'!M:M,"QQC",'QA Log'!Z:Z,"Approved",'QA Log'!L:L,"*4. Family Planning*")
))</f>
        <v/>
      </c>
      <c r="W173" s="105" t="str">
        <f>IF(A173&lt;&gt;"",COUNTIFS('QA Log'!D:D,A173,'QA Log'!M:M,"QQC",'QA Log'!L:L,"8. Maternity",'QA Log'!Z:Z,"Approved"),"")</f>
        <v/>
      </c>
      <c r="X173" s="105" t="str">
        <f>IF(A173&lt;&gt;"",COUNTIFS('QA Log'!D:D,A173,'QA Log'!M:M,"QQC",'QA Log'!L:L,"9. EPI and Pre-school Consultation",'QA Log'!Z:Z,"Approved"),"")</f>
        <v/>
      </c>
      <c r="Y173" s="105" t="str">
        <f>IF(A173&lt;&gt;"",COUNTIFS('QA Log'!D:D,A173,'QA Log'!M:M,"QQC",'QA Log'!L:L,"10. Antenatal Care (ANC)",'QA Log'!Z:Z,"Approved"),"")</f>
        <v/>
      </c>
      <c r="Z173" s="105" t="str">
        <f>IF(A173&lt;&gt;"",COUNTIFS('QA Log'!D:D,A173,'QA Log'!M:M,"QQC",'QA Log'!L:L,"2. Hygiene and Sterilization",'QA Log'!Z:Z,"Approved"),"")</f>
        <v/>
      </c>
      <c r="AA173" s="105" t="str">
        <f>IF(A173&lt;&gt;"",COUNTIFS('QA Log'!D:D,A173,'QA Log'!M:M,"QQC",'QA Log'!L:L,"4. Family Planning",'QA Log'!Z:Z,"Approved"),"")</f>
        <v/>
      </c>
      <c r="AB173" s="102" t="str">
        <f>IF(A173="","",
SUM(
COUNTIFS('QA Log'!D:D,A173,'QA Log'!M:M,"QQC",'QA Log'!Z:Z,"Rejected",'QA Log'!L:L,"*8. Maternity*"),
COUNTIFS('QA Log'!D:D,A173,'QA Log'!M:M,"QQC",'QA Log'!Z:Z,"Rejected",'QA Log'!L:L,"*9. EPI and Pre-school Consultation*"),
COUNTIFS('QA Log'!D:D,A173,'QA Log'!M:M,"QQC",'QA Log'!Z:Z,"Rejected",'QA Log'!L:L,"*10. Antenatal Care (ANC)*"),
COUNTIFS('QA Log'!D:D,A173,'QA Log'!M:M,"QQC",'QA Log'!Z:Z,"Rejected",'QA Log'!L:L,"*2. Hygiene and Sterilization*"),
COUNTIFS('QA Log'!D:D,A173,'QA Log'!M:M,"QQC",'QA Log'!Z:Z,"Rejected",'QA Log'!L:L,"*4. Family Planning*")
))</f>
        <v/>
      </c>
      <c r="AC173" s="102" t="str">
        <f t="shared" si="3"/>
        <v/>
      </c>
      <c r="AD173" s="103" t="str">
        <f t="shared" si="4"/>
        <v/>
      </c>
      <c r="AE173" s="102" t="str">
        <f>IF(A173="","",
SUM(
COUNTIFS('QA Log'!D:D,A173,'QA Log'!M:M,"Data Verification",'QA Log'!L:L,"*Medicine (section 2)*"),
COUNTIFS('QA Log'!D:D,A173,'QA Log'!M:M,"Data Verification",'QA Log'!L:L,"*Lab Testing Availability*"),
COUNTIFS('QA Log'!D:D,A173,'QA Log'!M:M,"Data Verification",'QA Log'!L:L,"*Other than P4P (section 6)*"),
COUNTIFS('QA Log'!D:D,A173,'QA Log'!M:M,"Data Verification",'QA Log'!L:L,"*Hospital Governance*")
))</f>
        <v/>
      </c>
      <c r="AF173" s="102" t="str">
        <f>IF(A173="","",
SUM(
COUNTIFS('QA Log'!D:D,A173,'QA Log'!M:M,"Data Verification",'QA Log'!Z:Z,"Approved",'QA Log'!L:L,"*Medicine (section 2)*"),
COUNTIFS('QA Log'!D:D,A173,'QA Log'!M:M,"Data Verification",'QA Log'!Z:Z,"Approved",'QA Log'!L:L,"*Lab Testing Availability*"),
COUNTIFS('QA Log'!D:D,A173,'QA Log'!M:M,"Data Verification",'QA Log'!Z:Z,"Approved",'QA Log'!L:L,"*Other than P4P (section 6)*"),
COUNTIFS('QA Log'!D:D,A173,'QA Log'!M:M,"Data Verification",'QA Log'!Z:Z,"Approved",'QA Log'!L:L,"*Hospital Governance*")
))</f>
        <v/>
      </c>
      <c r="AG173" s="105" t="str">
        <f>IF(A173&lt;&gt;"",COUNTIFS('QA Log'!D:D,A173,'QA Log'!M:M,"Data Verification",'QA Log'!L:L,"Medicine (section 2)",'QA Log'!Z:Z,"Approved"),"")</f>
        <v/>
      </c>
      <c r="AH173" s="105" t="str">
        <f>IF(A173&lt;&gt;"",COUNTIFS('QA Log'!D:D,A173,'QA Log'!M:M,"Data Verification",'QA Log'!L:L,"Lab Testing Availability",'QA Log'!Z:Z,"Approved"),"")</f>
        <v/>
      </c>
      <c r="AI173" s="105" t="str">
        <f>IF(A173&lt;&gt;"",COUNTIFS('QA Log'!D:D,A173,'QA Log'!M:M,"Data Verification",'QA Log'!L:L,"Other than P4P (section 6)",'QA Log'!Z:Z,"Approved"),"")</f>
        <v/>
      </c>
      <c r="AJ173" s="105" t="str">
        <f>IF(A173&lt;&gt;"",COUNTIFS('QA Log'!D:D,A173,'QA Log'!M:M,"Data Verification",'QA Log'!L:L,"Hospital Governance",'QA Log'!Z:Z,"Approved"),"")</f>
        <v/>
      </c>
      <c r="AK173" s="102" t="str">
        <f>IF(A173="","",
SUM(
COUNTIFS('QA Log'!D:D,A173,'QA Log'!M:M,"Data Verification",'QA Log'!Z:Z,"Rejected",'QA Log'!L:L,"*Medicine (section 2)*"),
COUNTIFS('QA Log'!D:D,A173,'QA Log'!M:M,"Data Verification",'QA Log'!Z:Z,"Rejected",'QA Log'!L:L,"*Lab Testing Availability*"),
COUNTIFS('QA Log'!D:D,A173,'QA Log'!M:M,"Data Verification",'QA Log'!Z:Z,"Rejected",'QA Log'!L:L,"*Other than P4P (section 6)*"),
COUNTIFS('QA Log'!D:D,A173,'QA Log'!M:M,"Data Verification",'QA Log'!Z:Z,"Rejected",'QA Log'!L:L,"*Hospital Governance*")
))</f>
        <v/>
      </c>
      <c r="AL173" s="106" t="str">
        <f t="shared" si="5"/>
        <v/>
      </c>
      <c r="AM173" s="102" t="str">
        <f t="shared" si="6"/>
        <v/>
      </c>
      <c r="AN173" s="102" t="str">
        <f>IF(A173="","",
SUM(
COUNTIFS('QA Log'!D:D,A173,'QA Log'!M:M,"Data Verification",'QA Log'!L:L,"*Personnel (section 1)*"),
COUNTIFS('QA Log'!D:D,A173,'QA Log'!M:M,"Data Verification",'QA Log'!L:L,"*Consumable (section 3)*"),
COUNTIFS('QA Log'!D:D,A173,'QA Log'!M:M,"Data Verification",'QA Log'!L:L,"*Equipments (section 4)*")
))</f>
        <v/>
      </c>
      <c r="AO173" s="102" t="str">
        <f>IF(A173="","",
SUM(
COUNTIFS('QA Log'!D:D,A173,'QA Log'!M:M,"Data Verification",'QA Log'!Z:Z,"Approved",'QA Log'!L:L,"*Personnel (section 1)*"),
COUNTIFS('QA Log'!D:D,A173,'QA Log'!M:M,"Data Verification",'QA Log'!Z:Z,"Approved",'QA Log'!L:L,"*Consumable (section 3)*"),
COUNTIFS('QA Log'!D:D,A173,'QA Log'!M:M,"Data Verification",'QA Log'!Z:Z,"Approved",'QA Log'!L:L,"*Equipments (section 4)*")
))</f>
        <v/>
      </c>
      <c r="AP173" s="105" t="str">
        <f>IF(A173&lt;&gt;"",COUNTIFS('QA Log'!D:D,A173,'QA Log'!M:M,"Data Verification",'QA Log'!L:L,"Personnel (section 1)",'QA Log'!Z:Z,"Approved"),"")</f>
        <v/>
      </c>
      <c r="AQ173" s="105" t="str">
        <f>IF(A173&lt;&gt;"",COUNTIFS('QA Log'!D:D,A173,'QA Log'!M:M,"Data Verification",'QA Log'!L:L,"Consumable (section 3)",'QA Log'!Z:Z,"Approved"),"")</f>
        <v/>
      </c>
      <c r="AR173" s="105" t="str">
        <f>IF(A173&lt;&gt;"",COUNTIFS('QA Log'!D:D,A173,'QA Log'!M:M,"Data Verification",'QA Log'!L:L,"Equipments (section 4)",'QA Log'!Z:Z,"Approved"),"")</f>
        <v/>
      </c>
      <c r="AS173" s="102" t="str">
        <f>IF(A173="","",
SUM(
COUNTIFS('QA Log'!D:D,A173,'QA Log'!M:M,"Data Verification",'QA Log'!Z:Z,"Rejected",'QA Log'!L:L,"*Personnel (section 1)*"),
COUNTIFS('QA Log'!D:D,A173,'QA Log'!M:M,"Data Verification",'QA Log'!Z:Z,"Rejected",'QA Log'!L:L,"*Consumable (section 3)*"),
COUNTIFS('QA Log'!D:D,A173,'QA Log'!M:M,"Data Verification",'QA Log'!Z:Z,"Rejected",'QA Log'!L:L,"*Equipments (section 4)*")
))</f>
        <v/>
      </c>
      <c r="AT173" s="102" t="str">
        <f t="shared" si="7"/>
        <v/>
      </c>
      <c r="AU173" s="103" t="str">
        <f t="shared" si="8"/>
        <v/>
      </c>
      <c r="AV173" s="102" t="str">
        <f>IF(A173="","",SUM(
COUNTIFS('QA Log'!D:D,A173,'QA Log'!M:M,"Vignette",'QA Log'!L:L,"*Vignette [1] Respiratory Infection: Pneumonia*"),
COUNTIFS('QA Log'!D:D,A173,'QA Log'!M:M,"Vignette",'QA Log'!L:L,"*Vignette [2]: Diarrhea with Cat B dehydration*"),
COUNTIFS('QA Log'!D:D,A173,'QA Log'!M:M,"Vignette",'QA Log'!L:L,"*Vignette [3] Growth Monitoring and Promotion*"),
COUNTIFS('QA Log'!D:D,A173,'QA Log'!M:M,"Vignette",'QA Log'!L:L,"*Vignette [4]: The management of presumptive TB patient*")
)
)</f>
        <v/>
      </c>
      <c r="AW173" s="102" t="str">
        <f>IF(
  A173="","",
  SUM(
    COUNTIFS('QA Log'!D:D,A173,'QA Log'!M:M,"Vignette",'QA Log'!Z:Z,"Approved",'QA Log'!L:L,"*Vignette [1] Respiratory Infection: Pneumonia*"),
    COUNTIFS('QA Log'!D:D,A173,'QA Log'!M:M,"Vignette",'QA Log'!Z:Z,"Approved",'QA Log'!L:L,"*Vignette [2]: Diarrhea with Cat B dehydration*"),
    COUNTIFS('QA Log'!D:D,A173,'QA Log'!M:M,"Vignette",'QA Log'!Z:Z,"Approved",'QA Log'!L:L,"*Vignette [3] Growth Monitoring and Promotion*"),
    COUNTIFS('QA Log'!D:D,A173,'QA Log'!M:M,"Vignette",'QA Log'!Z:Z,"Approved",'QA Log'!L:L,"*Vignette [4]: The management of presumptive TB patient*")
  )
)</f>
        <v/>
      </c>
      <c r="AX173" s="105" t="str">
        <f>IF(A173&lt;&gt;"",COUNTIFS('QA Log'!D:D,A173,'QA Log'!M:M,"Vignette",'QA Log'!L:L,"Vignette [1] Respiratory Infection: Pneumonia",'QA Log'!Z:Z,"Approved"),"")</f>
        <v/>
      </c>
      <c r="AY173" s="105" t="str">
        <f>IF(A173&lt;&gt;"",COUNTIFS('QA Log'!D:D,A173,'QA Log'!M:M,"Vignette",'QA Log'!L:L,"Vignette [2]: Diarrhea with Cat B dehydration",'QA Log'!Z:Z,"Approved"),"")</f>
        <v/>
      </c>
      <c r="AZ173" s="105" t="str">
        <f>IF(A173&lt;&gt;"",COUNTIFS('QA Log'!D:D,A173,'QA Log'!M:M,"Vignette",'QA Log'!L:L,"Vignette [3] Growth Monitoring and Promotion",'QA Log'!Z:Z,"Approved"),"")</f>
        <v/>
      </c>
      <c r="BA173" s="105" t="str">
        <f>IF(A173&lt;&gt;"",COUNTIFS('QA Log'!D:D,A173,'QA Log'!M:M,"Vignette",'QA Log'!L:L,"Vignette [4]: The management of presumptive TB patient",'QA Log'!Z:Z,"Approved"),"")</f>
        <v/>
      </c>
      <c r="BB173" s="102" t="str">
        <f>IF(A173="","",
  SUM(
    COUNTIFS('QA Log'!D:D,A173,'QA Log'!M:M,"Vignette",'QA Log'!Z:Z,"Rejected",'QA Log'!L:L,"*Vignette [1] Respiratory Infection: Pneumonia*"),
    COUNTIFS('QA Log'!D:D,A173,'QA Log'!M:M,"Vignette",'QA Log'!Z:Z,"Rejected",'QA Log'!L:L,"*Vignette [2]: Diarrhea with Cat B dehydration*"),
    COUNTIFS('QA Log'!D:D,A173,'QA Log'!M:M,"Vignette",'QA Log'!Z:Z,"Rejected",'QA Log'!L:L,"*Vignette [3] Growth Monitoring and Promotion*"),
    COUNTIFS('QA Log'!D:D,A173,'QA Log'!M:M,"Vignette",'QA Log'!Z:Z,"Rejected",'QA Log'!L:L,"*Vignette [4]: The management of presumptive TB patient*")
  )
)</f>
        <v/>
      </c>
      <c r="BC173" s="107" t="str">
        <f t="shared" si="9"/>
        <v/>
      </c>
      <c r="BD173" s="103" t="str">
        <f t="shared" si="10"/>
        <v/>
      </c>
      <c r="BE173" s="102" t="str">
        <f>IF(A173="","",SUM(
COUNTIFS('QA Log'!D:D,A173,'QA Log'!M:M,"Vignette",'QA Log'!L:L,"*Vignette [5] Labor*"),
COUNTIFS('QA Log'!D:D,A173,'QA Log'!M:M,"Vignette",'QA Log'!L:L,"*Vignette [6] PNC pre Discharge*"),
COUNTIFS('QA Log'!D:D,A173,'QA Log'!M:M,"Vignette",'QA Log'!L:L,"*Vignette [7] First ANC Visit*"),
COUNTIFS('QA Log'!D:D,A173,'QA Log'!M:M,"Vignette",'QA Log'!L:L,"*Vignette [8] Birth Spacing/ Family Planning :  FP Counselling*"),
COUNTIFS('QA Log'!D:D,A173,'QA Log'!M:M,"Vignette",'QA Log'!L:L,"*Vignette [9] Birth Spacing: Change FP method to Injectable*"),
COUNTIFS('QA Log'!D:D,A173,'QA Log'!M:M,"Vignette",'QA Log'!L:L,"*Vignette [10] Post Partum Haemorrhage - Atonic Uterus at Health Centre*"),
)
)</f>
        <v/>
      </c>
      <c r="BF173" s="102" t="str">
        <f>IF(A173="","",
  SUM(
    COUNTIFS('QA Log'!D:D,A173,'QA Log'!M:M,"Vignette",'QA Log'!Z:Z,"Approved",'QA Log'!L:L,"*Vignette [5] Labor*"),
    COUNTIFS('QA Log'!D:D,A173,'QA Log'!M:M,"Vignette",'QA Log'!Z:Z,"Approved",'QA Log'!L:L,"*Vignette [6] PNC pre Discharge*"),
    COUNTIFS('QA Log'!D:D,A173,'QA Log'!M:M,"Vignette",'QA Log'!Z:Z,"Approved",'QA Log'!L:L,"*Vignette [7] First ANC Visit*"),
    COUNTIFS('QA Log'!D:D,A173,'QA Log'!M:M,"Vignette",'QA Log'!Z:Z,"Approved",'QA Log'!L:L,"*Vignette [8] Birth Spacing/ Family Planning :  FP Counselling*"),
    COUNTIFS('QA Log'!D:D,A173,'QA Log'!M:M,"Vignette",'QA Log'!Z:Z,"Approved",'QA Log'!L:L,"*Vignette [9] Birth Spacing: Change FP method to Injectable*"),
    COUNTIFS('QA Log'!D:D,A173,'QA Log'!M:M,"Vignette",'QA Log'!Z:Z,"Approved",'QA Log'!L:L,"*Vignette [10] Post Partum Haemorrhage - Atonic Uterus at Health Centre*")
  )
)</f>
        <v/>
      </c>
      <c r="BG173" s="105" t="str">
        <f>IF(A173&lt;&gt;"",COUNTIFS('QA Log'!D:D,A173,'QA Log'!M:M,"Vignette",'QA Log'!L:L,"Vignette [5] Labor",'QA Log'!Z:Z,"Approved"),"")</f>
        <v/>
      </c>
      <c r="BH173" s="105" t="str">
        <f>IF(A173&lt;&gt;"",COUNTIFS('QA Log'!D:D,A173,'QA Log'!M:M,"Vignette",'QA Log'!L:L,"Vignette [6] PNC pre Discharge",'QA Log'!Z:Z,"Approved"),"")</f>
        <v/>
      </c>
      <c r="BI173" s="105" t="str">
        <f>IF(A173&lt;&gt;"",COUNTIFS('QA Log'!D:D,A173,'QA Log'!M:M,"Vignette",'QA Log'!L:L,"Vignette [7] First ANC Visit",'QA Log'!Z:Z,"Approved"),"")</f>
        <v/>
      </c>
      <c r="BJ173" s="105" t="str">
        <f>IF(A173&lt;&gt;"",COUNTIFS('QA Log'!D:D,A173,'QA Log'!M:M,"Vignette",'QA Log'!L:L,"Vignette [8] Birth Spacing/ Family Planning :  FP Counselling",'QA Log'!Z:Z,"Approved"),"")</f>
        <v/>
      </c>
      <c r="BK173" s="105" t="str">
        <f>IF(A173&lt;&gt;"",COUNTIFS('QA Log'!D:D,A173,'QA Log'!M:M,"Vignette",'QA Log'!L:L,"Vignette [9] Birth Spacing: Change FP method to Injectable",'QA Log'!Z:Z,"Approved"),"")</f>
        <v/>
      </c>
      <c r="BL173" s="105" t="str">
        <f>IF(A173&lt;&gt;"",COUNTIFS('QA Log'!D:D,A173,'QA Log'!M:M,"Vignette",'QA Log'!L:L,"Vignette [10] Post Partum Haemorrhage - Atonic Uterus at Health Centre",'QA Log'!Z:Z,"Approved"),"")</f>
        <v/>
      </c>
      <c r="BM173" s="102" t="str">
        <f>IF(A173="","",SUM(
    COUNTIFS('QA Log'!D:D,A173,'QA Log'!M:M,"Vignette",'QA Log'!Z:Z,"Rejected",'QA Log'!L:L,"*Vignette [5] Labor*"),
    COUNTIFS('QA Log'!D:D,A173,'QA Log'!M:M,"Vignette",'QA Log'!Z:Z,"Rejected",'QA Log'!L:L,"*Vignette [6] PNC pre Discharge*"),
    COUNTIFS('QA Log'!D:D,A173,'QA Log'!M:M,"Vignette",'QA Log'!Z:Z,"Rejected",'QA Log'!L:L,"*Vignette [7] First ANC Visit*"),
    COUNTIFS('QA Log'!D:D,A173,'QA Log'!M:M,"Vignette",'QA Log'!Z:Z,"Rejected",'QA Log'!L:L,"*Vignette [8] Birth Spacing/ Family Planning :  FP Counselling*"),
    COUNTIFS('QA Log'!D:D,A173,'QA Log'!M:M,"Vignette",'QA Log'!Z:Z,"Rejected",'QA Log'!L:L,"*Vignette [9] Birth Spacing: Change FP method to Injectable*"),
    COUNTIFS('QA Log'!D:D,A173,'QA Log'!M:M,"Vignette",'QA Log'!Z:Z,"Rejected",'QA Log'!L:L,"*Vignette [10] Post Partum Haemorrhage - Atonic Uterus at Health Centre*")
  )
)</f>
        <v/>
      </c>
      <c r="BN173" s="107" t="str">
        <f t="shared" si="11"/>
        <v/>
      </c>
      <c r="BO173" s="103" t="str">
        <f t="shared" si="12"/>
        <v/>
      </c>
      <c r="BP173" s="102" t="str">
        <f>IF(A173="","",SUM(
COUNTIFS('QA Log'!D:D,A173,'QA Log'!M:M,"Vignette",'QA Log'!L:L,"*Exit Interview 1*"),
COUNTIFS('QA Log'!D:D,A173,'QA Log'!M:M,"Vignette",'QA Log'!L:L,"*Exit Interview 2*"),
)
)</f>
        <v/>
      </c>
      <c r="BQ173" s="102" t="str">
        <f>IF(
  A173="","",
  SUM(
    COUNTIFS('QA Log'!D:D,A173,'QA Log'!M:M,"Vignette",'QA Log'!Z:Z,"Approved",'QA Log'!L:L,"*Exit Interview 1*"),
    COUNTIFS('QA Log'!D:D,A173,'QA Log'!M:M,"Vignette",'QA Log'!Z:Z,"Approved",'QA Log'!L:L,"*Exit Interview 2*")
  )
)</f>
        <v/>
      </c>
      <c r="BR173" s="105" t="str">
        <f>IF(A173&lt;&gt;"",COUNTIFS('QA Log'!D:D,A173,'QA Log'!M:M,"Vignette",'QA Log'!L:L,"Exit Interview 1",'QA Log'!Z:Z,"Approved"),"")</f>
        <v/>
      </c>
      <c r="BS173" s="105" t="str">
        <f>IF(A173&lt;&gt;"",COUNTIFS('QA Log'!D:D,A173,'QA Log'!M:M,"Vignette",'QA Log'!L:L,"Exit Interview 2",'QA Log'!Z:Z,"Approved"),"")</f>
        <v/>
      </c>
      <c r="BT173" s="102" t="str">
        <f>IF(
  A173="","",
  SUM(
    COUNTIFS('QA Log'!D:D,A173,'QA Log'!M:M,"Vignette",'QA Log'!Z:Z,"Rejected",'QA Log'!L:L,"*Exit Interview 1*"),
    COUNTIFS('QA Log'!D:D,A173,'QA Log'!M:M,"Vignette",'QA Log'!Z:Z,"Rejected",'QA Log'!L:L,"*Exit Interview 2*")
  )
)</f>
        <v/>
      </c>
      <c r="BU173" s="107" t="str">
        <f t="shared" si="13"/>
        <v/>
      </c>
      <c r="BV173" s="102" t="str">
        <f t="shared" si="14"/>
        <v/>
      </c>
      <c r="BW173" s="102" t="str">
        <f t="shared" si="15"/>
        <v/>
      </c>
      <c r="BX173" s="102" t="str">
        <f t="shared" si="16"/>
        <v/>
      </c>
      <c r="BY173" s="102" t="str">
        <f t="shared" si="17"/>
        <v/>
      </c>
      <c r="BZ173" s="107" t="str">
        <f t="shared" si="18"/>
        <v/>
      </c>
      <c r="CA173" s="108" t="str">
        <f t="shared" si="19"/>
        <v/>
      </c>
      <c r="CB173" s="108" t="str">
        <f t="shared" si="20"/>
        <v/>
      </c>
      <c r="CC173" s="109" t="str">
        <f t="shared" si="21"/>
        <v/>
      </c>
      <c r="CD173" s="108" t="str">
        <f t="shared" si="22"/>
        <v/>
      </c>
      <c r="CE173" s="108" t="str">
        <f t="shared" si="23"/>
        <v/>
      </c>
      <c r="CF173" s="109" t="str">
        <f t="shared" si="24"/>
        <v/>
      </c>
      <c r="CG173" s="110" t="str">
        <f t="shared" si="25"/>
        <v/>
      </c>
      <c r="CH173" s="111"/>
    </row>
    <row r="174" spans="1:86" ht="12.75">
      <c r="A174" s="101"/>
      <c r="B174" s="102" t="e">
        <f t="array" aca="1" ref="B174" ca="1">_xludf.XLOOKUP(A174,'QA Log'!D:D,'QA Log'!E:E,"")</f>
        <v>#NAME?</v>
      </c>
      <c r="C174" s="102" t="e">
        <f t="array" aca="1" ref="C174" ca="1">_xludf.XLOOKUP(A174,'QA Log'!D:D,'QA Log'!F:F,"")</f>
        <v>#NAME?</v>
      </c>
      <c r="D174" s="102" t="e">
        <f t="array" aca="1" ref="D174" ca="1">_xludf.XLOOKUP(A174,'QA Log'!D:D,'QA Log'!H:H,"")</f>
        <v>#NAME?</v>
      </c>
      <c r="E174" s="102" t="e">
        <f t="array" aca="1" ref="E174" ca="1">_xludf.XLOOKUP(A174,'QA Log'!D:D,'QA Log'!G:G,"")</f>
        <v>#NAME?</v>
      </c>
      <c r="F174" s="103"/>
      <c r="G174" s="104"/>
      <c r="H174" s="104"/>
      <c r="I174" s="103" t="str">
        <f t="shared" si="0"/>
        <v/>
      </c>
      <c r="J174" s="102" t="str">
        <f>IF(A174="","",SUM(
COUNTIFS('QA Log'!D:D,A174,'QA Log'!M:M,"QQC",'QA Log'!L:L,"*1. General Management*"),
COUNTIFS('QA Log'!D:D,A174,'QA Log'!M:M,"QQC",'QA Log'!L:L,"*3. Curative Consultation (OPD)*"),
COUNTIFS('QA Log'!D:D,A174,'QA Log'!M:M,"QQC",'QA Log'!L:L,"*5. Laboratory*"),
COUNTIFS('QA Log'!D:D,A174,'QA Log'!M:M,"QQC",'QA Log'!L:L,"*6. Essential Medicine Management*"),
COUNTIFS('QA Log'!D:D,A174,'QA Log'!M:M,"QQC",'QA Log'!L:L,"*7. Tracer Medicine*"),
COUNTIFS('QA Log'!D:D,A174,'QA Log'!M:M,"QQC",'QA Log'!L:L,"*11. Additional Questions*")))</f>
        <v/>
      </c>
      <c r="K174" s="102" t="str">
        <f>IF(A174="","",SUM(
COUNTIFS('QA Log'!D:D,A174,'QA Log'!M:M,"QQC",'QA Log'!Z:Z,"Approved",'QA Log'!L:L,"*1. General Management*"),
COUNTIFS('QA Log'!D:D,A174,'QA Log'!M:M,"QQC",'QA Log'!Z:Z,"Approved",'QA Log'!L:L,"*3. Curative Consultation (OPD)*"),
COUNTIFS('QA Log'!D:D,A174,'QA Log'!M:M,"QQC",'QA Log'!Z:Z,"Approved",'QA Log'!L:L,"*5. Laboratory*"),
COUNTIFS('QA Log'!D:D,A174,'QA Log'!M:M,"QQC",'QA Log'!Z:Z,"Approved",'QA Log'!L:L,"*6. Essential Medicine Management*"),
COUNTIFS('QA Log'!D:D,A174,'QA Log'!M:M,"QQC",'QA Log'!Z:Z,"Approved",'QA Log'!L:L,"*7. Tracer Medicine*"),
COUNTIFS('QA Log'!D:D,A174,'QA Log'!M:M,"QQC",'QA Log'!Z:Z,"Approved",'QA Log'!L:L,"*11. Additional Questions*")))</f>
        <v/>
      </c>
      <c r="L174" s="105" t="str">
        <f>IF(A174&lt;&gt;"",COUNTIFS('QA Log'!D:D,A174,'QA Log'!M:M,"QQC",'QA Log'!L:L,"1. General Management",'QA Log'!Z:Z,"Approved"),"")</f>
        <v/>
      </c>
      <c r="M174" s="105" t="str">
        <f>IF(A174&lt;&gt;"",COUNTIFS('QA Log'!D:D,A174,'QA Log'!M:M,"QQC",'QA Log'!L:L,"3. Curative Consultation (OPD)",'QA Log'!Z:Z,"Approved"),"")</f>
        <v/>
      </c>
      <c r="N174" s="105" t="str">
        <f>IF(A174&lt;&gt;"",COUNTIFS('QA Log'!D:D,A174,'QA Log'!M:M,"QQC",'QA Log'!L:L,"5. Laboratory",'QA Log'!Z:Z,"Approved"),"")</f>
        <v/>
      </c>
      <c r="O174" s="105" t="str">
        <f>IF(A174&lt;&gt;"",COUNTIFS('QA Log'!D:D,A174,'QA Log'!M:M,"QQC",'QA Log'!L:L,"6. Essential Medicine Management",'QA Log'!Z:Z,"Approved"),"")</f>
        <v/>
      </c>
      <c r="P174" s="105" t="str">
        <f>IF(A174&lt;&gt;"",COUNTIFS('QA Log'!D:D,A174,'QA Log'!M:M,"QQC",'QA Log'!L:L,"7. Tracer Medicine",'QA Log'!Z:Z,"Approved"),"")</f>
        <v/>
      </c>
      <c r="Q174" s="105" t="str">
        <f>IF(A174&lt;&gt;"",COUNTIFS('QA Log'!D:D,A174,'QA Log'!M:M,"QQC",'QA Log'!L:L,"11. Additional Questions",'QA Log'!Z:Z,"Approved"),"")</f>
        <v/>
      </c>
      <c r="R174" s="102" t="str">
        <f>IF(A174="","",SUM(
COUNTIFS('QA Log'!D:D,A174,'QA Log'!M:M,"QQC",'QA Log'!Z:Z,"Rejected",'QA Log'!L:L,"*8. Maternity*"),
COUNTIFS('QA Log'!D:D,A174,'QA Log'!M:M,"QQC",'QA Log'!Z:Z,"Rejected",'QA Log'!L:L,"*EPI*"),
COUNTIFS('QA Log'!D:D,A174,'QA Log'!M:M,"QQC",'QA Log'!Z:Z,"Rejected",'QA Log'!L:L,"*10. Antenatal Care (ANC)*"),
COUNTIFS('QA Log'!D:D,A174,'QA Log'!M:M,"QQC",'QA Log'!Z:Z,"Rejected",'QA Log'!L:L,"*2. Hygiene and Sterilization*"),
COUNTIFS('QA Log'!D:D,A174,'QA Log'!M:M,"QQC",'QA Log'!Z:Z,"Rejected",'QA Log'!L:L,"*Family Planning*")))</f>
        <v/>
      </c>
      <c r="S174" s="106" t="str">
        <f t="shared" si="1"/>
        <v/>
      </c>
      <c r="T174" s="102" t="str">
        <f t="shared" si="2"/>
        <v/>
      </c>
      <c r="U174" s="102" t="str">
        <f>IF(A174="","",
SUM(
COUNTIFS('QA Log'!D:D,A174,'QA Log'!M:M,"QQC",'QA Log'!L:L,"*8. Maternity*"),
COUNTIFS('QA Log'!D:D,A174,'QA Log'!M:M,"QQC",'QA Log'!L:L,"*9. EPI and Pre-school Consultation*"),
COUNTIFS('QA Log'!D:D,A174,'QA Log'!M:M,"QQC",'QA Log'!L:L,"*10. Antenatal Care (ANC)*"),
COUNTIFS('QA Log'!D:D,A174,'QA Log'!M:M,"QQC",'QA Log'!L:L,"*2. Hygiene and Sterilization*"),
COUNTIFS('QA Log'!D:D,A174,'QA Log'!M:M,"QQC",'QA Log'!L:L,"*4. Family Planning*")
))</f>
        <v/>
      </c>
      <c r="V174" s="102" t="str">
        <f>IF(A174="","",
SUM(
COUNTIFS('QA Log'!D:D,A174,'QA Log'!M:M,"QQC",'QA Log'!Z:Z,"Approved",'QA Log'!L:L,"*8. Maternity*"),
COUNTIFS('QA Log'!D:D,A174,'QA Log'!M:M,"QQC",'QA Log'!Z:Z,"Approved",'QA Log'!L:L,"*9. EPI and Pre-school Consultation*"),
COUNTIFS('QA Log'!D:D,A174,'QA Log'!M:M,"QQC",'QA Log'!Z:Z,"Approved",'QA Log'!L:L,"*10. Antenatal Care (ANC)*"),
COUNTIFS('QA Log'!D:D,A174,'QA Log'!M:M,"QQC",'QA Log'!Z:Z,"Approved",'QA Log'!L:L,"*2. Hygiene and Sterilization*"),
COUNTIFS('QA Log'!D:D,A174,'QA Log'!M:M,"QQC",'QA Log'!Z:Z,"Approved",'QA Log'!L:L,"*4. Family Planning*")
))</f>
        <v/>
      </c>
      <c r="W174" s="105" t="str">
        <f>IF(A174&lt;&gt;"",COUNTIFS('QA Log'!D:D,A174,'QA Log'!M:M,"QQC",'QA Log'!L:L,"8. Maternity",'QA Log'!Z:Z,"Approved"),"")</f>
        <v/>
      </c>
      <c r="X174" s="105" t="str">
        <f>IF(A174&lt;&gt;"",COUNTIFS('QA Log'!D:D,A174,'QA Log'!M:M,"QQC",'QA Log'!L:L,"9. EPI and Pre-school Consultation",'QA Log'!Z:Z,"Approved"),"")</f>
        <v/>
      </c>
      <c r="Y174" s="105" t="str">
        <f>IF(A174&lt;&gt;"",COUNTIFS('QA Log'!D:D,A174,'QA Log'!M:M,"QQC",'QA Log'!L:L,"10. Antenatal Care (ANC)",'QA Log'!Z:Z,"Approved"),"")</f>
        <v/>
      </c>
      <c r="Z174" s="105" t="str">
        <f>IF(A174&lt;&gt;"",COUNTIFS('QA Log'!D:D,A174,'QA Log'!M:M,"QQC",'QA Log'!L:L,"2. Hygiene and Sterilization",'QA Log'!Z:Z,"Approved"),"")</f>
        <v/>
      </c>
      <c r="AA174" s="105" t="str">
        <f>IF(A174&lt;&gt;"",COUNTIFS('QA Log'!D:D,A174,'QA Log'!M:M,"QQC",'QA Log'!L:L,"4. Family Planning",'QA Log'!Z:Z,"Approved"),"")</f>
        <v/>
      </c>
      <c r="AB174" s="102" t="str">
        <f>IF(A174="","",
SUM(
COUNTIFS('QA Log'!D:D,A174,'QA Log'!M:M,"QQC",'QA Log'!Z:Z,"Rejected",'QA Log'!L:L,"*8. Maternity*"),
COUNTIFS('QA Log'!D:D,A174,'QA Log'!M:M,"QQC",'QA Log'!Z:Z,"Rejected",'QA Log'!L:L,"*9. EPI and Pre-school Consultation*"),
COUNTIFS('QA Log'!D:D,A174,'QA Log'!M:M,"QQC",'QA Log'!Z:Z,"Rejected",'QA Log'!L:L,"*10. Antenatal Care (ANC)*"),
COUNTIFS('QA Log'!D:D,A174,'QA Log'!M:M,"QQC",'QA Log'!Z:Z,"Rejected",'QA Log'!L:L,"*2. Hygiene and Sterilization*"),
COUNTIFS('QA Log'!D:D,A174,'QA Log'!M:M,"QQC",'QA Log'!Z:Z,"Rejected",'QA Log'!L:L,"*4. Family Planning*")
))</f>
        <v/>
      </c>
      <c r="AC174" s="102" t="str">
        <f t="shared" si="3"/>
        <v/>
      </c>
      <c r="AD174" s="103" t="str">
        <f t="shared" si="4"/>
        <v/>
      </c>
      <c r="AE174" s="102" t="str">
        <f>IF(A174="","",
SUM(
COUNTIFS('QA Log'!D:D,A174,'QA Log'!M:M,"Data Verification",'QA Log'!L:L,"*Medicine (section 2)*"),
COUNTIFS('QA Log'!D:D,A174,'QA Log'!M:M,"Data Verification",'QA Log'!L:L,"*Lab Testing Availability*"),
COUNTIFS('QA Log'!D:D,A174,'QA Log'!M:M,"Data Verification",'QA Log'!L:L,"*Other than P4P (section 6)*"),
COUNTIFS('QA Log'!D:D,A174,'QA Log'!M:M,"Data Verification",'QA Log'!L:L,"*Hospital Governance*")
))</f>
        <v/>
      </c>
      <c r="AF174" s="102" t="str">
        <f>IF(A174="","",
SUM(
COUNTIFS('QA Log'!D:D,A174,'QA Log'!M:M,"Data Verification",'QA Log'!Z:Z,"Approved",'QA Log'!L:L,"*Medicine (section 2)*"),
COUNTIFS('QA Log'!D:D,A174,'QA Log'!M:M,"Data Verification",'QA Log'!Z:Z,"Approved",'QA Log'!L:L,"*Lab Testing Availability*"),
COUNTIFS('QA Log'!D:D,A174,'QA Log'!M:M,"Data Verification",'QA Log'!Z:Z,"Approved",'QA Log'!L:L,"*Other than P4P (section 6)*"),
COUNTIFS('QA Log'!D:D,A174,'QA Log'!M:M,"Data Verification",'QA Log'!Z:Z,"Approved",'QA Log'!L:L,"*Hospital Governance*")
))</f>
        <v/>
      </c>
      <c r="AG174" s="105" t="str">
        <f>IF(A174&lt;&gt;"",COUNTIFS('QA Log'!D:D,A174,'QA Log'!M:M,"Data Verification",'QA Log'!L:L,"Medicine (section 2)",'QA Log'!Z:Z,"Approved"),"")</f>
        <v/>
      </c>
      <c r="AH174" s="105" t="str">
        <f>IF(A174&lt;&gt;"",COUNTIFS('QA Log'!D:D,A174,'QA Log'!M:M,"Data Verification",'QA Log'!L:L,"Lab Testing Availability",'QA Log'!Z:Z,"Approved"),"")</f>
        <v/>
      </c>
      <c r="AI174" s="105" t="str">
        <f>IF(A174&lt;&gt;"",COUNTIFS('QA Log'!D:D,A174,'QA Log'!M:M,"Data Verification",'QA Log'!L:L,"Other than P4P (section 6)",'QA Log'!Z:Z,"Approved"),"")</f>
        <v/>
      </c>
      <c r="AJ174" s="105" t="str">
        <f>IF(A174&lt;&gt;"",COUNTIFS('QA Log'!D:D,A174,'QA Log'!M:M,"Data Verification",'QA Log'!L:L,"Hospital Governance",'QA Log'!Z:Z,"Approved"),"")</f>
        <v/>
      </c>
      <c r="AK174" s="102" t="str">
        <f>IF(A174="","",
SUM(
COUNTIFS('QA Log'!D:D,A174,'QA Log'!M:M,"Data Verification",'QA Log'!Z:Z,"Rejected",'QA Log'!L:L,"*Medicine (section 2)*"),
COUNTIFS('QA Log'!D:D,A174,'QA Log'!M:M,"Data Verification",'QA Log'!Z:Z,"Rejected",'QA Log'!L:L,"*Lab Testing Availability*"),
COUNTIFS('QA Log'!D:D,A174,'QA Log'!M:M,"Data Verification",'QA Log'!Z:Z,"Rejected",'QA Log'!L:L,"*Other than P4P (section 6)*"),
COUNTIFS('QA Log'!D:D,A174,'QA Log'!M:M,"Data Verification",'QA Log'!Z:Z,"Rejected",'QA Log'!L:L,"*Hospital Governance*")
))</f>
        <v/>
      </c>
      <c r="AL174" s="106" t="str">
        <f t="shared" si="5"/>
        <v/>
      </c>
      <c r="AM174" s="102" t="str">
        <f t="shared" si="6"/>
        <v/>
      </c>
      <c r="AN174" s="102" t="str">
        <f>IF(A174="","",
SUM(
COUNTIFS('QA Log'!D:D,A174,'QA Log'!M:M,"Data Verification",'QA Log'!L:L,"*Personnel (section 1)*"),
COUNTIFS('QA Log'!D:D,A174,'QA Log'!M:M,"Data Verification",'QA Log'!L:L,"*Consumable (section 3)*"),
COUNTIFS('QA Log'!D:D,A174,'QA Log'!M:M,"Data Verification",'QA Log'!L:L,"*Equipments (section 4)*")
))</f>
        <v/>
      </c>
      <c r="AO174" s="102" t="str">
        <f>IF(A174="","",
SUM(
COUNTIFS('QA Log'!D:D,A174,'QA Log'!M:M,"Data Verification",'QA Log'!Z:Z,"Approved",'QA Log'!L:L,"*Personnel (section 1)*"),
COUNTIFS('QA Log'!D:D,A174,'QA Log'!M:M,"Data Verification",'QA Log'!Z:Z,"Approved",'QA Log'!L:L,"*Consumable (section 3)*"),
COUNTIFS('QA Log'!D:D,A174,'QA Log'!M:M,"Data Verification",'QA Log'!Z:Z,"Approved",'QA Log'!L:L,"*Equipments (section 4)*")
))</f>
        <v/>
      </c>
      <c r="AP174" s="105" t="str">
        <f>IF(A174&lt;&gt;"",COUNTIFS('QA Log'!D:D,A174,'QA Log'!M:M,"Data Verification",'QA Log'!L:L,"Personnel (section 1)",'QA Log'!Z:Z,"Approved"),"")</f>
        <v/>
      </c>
      <c r="AQ174" s="105" t="str">
        <f>IF(A174&lt;&gt;"",COUNTIFS('QA Log'!D:D,A174,'QA Log'!M:M,"Data Verification",'QA Log'!L:L,"Consumable (section 3)",'QA Log'!Z:Z,"Approved"),"")</f>
        <v/>
      </c>
      <c r="AR174" s="105" t="str">
        <f>IF(A174&lt;&gt;"",COUNTIFS('QA Log'!D:D,A174,'QA Log'!M:M,"Data Verification",'QA Log'!L:L,"Equipments (section 4)",'QA Log'!Z:Z,"Approved"),"")</f>
        <v/>
      </c>
      <c r="AS174" s="102" t="str">
        <f>IF(A174="","",
SUM(
COUNTIFS('QA Log'!D:D,A174,'QA Log'!M:M,"Data Verification",'QA Log'!Z:Z,"Rejected",'QA Log'!L:L,"*Personnel (section 1)*"),
COUNTIFS('QA Log'!D:D,A174,'QA Log'!M:M,"Data Verification",'QA Log'!Z:Z,"Rejected",'QA Log'!L:L,"*Consumable (section 3)*"),
COUNTIFS('QA Log'!D:D,A174,'QA Log'!M:M,"Data Verification",'QA Log'!Z:Z,"Rejected",'QA Log'!L:L,"*Equipments (section 4)*")
))</f>
        <v/>
      </c>
      <c r="AT174" s="102" t="str">
        <f t="shared" si="7"/>
        <v/>
      </c>
      <c r="AU174" s="103" t="str">
        <f t="shared" si="8"/>
        <v/>
      </c>
      <c r="AV174" s="102" t="str">
        <f>IF(A174="","",SUM(
COUNTIFS('QA Log'!D:D,A174,'QA Log'!M:M,"Vignette",'QA Log'!L:L,"*Vignette [1] Respiratory Infection: Pneumonia*"),
COUNTIFS('QA Log'!D:D,A174,'QA Log'!M:M,"Vignette",'QA Log'!L:L,"*Vignette [2]: Diarrhea with Cat B dehydration*"),
COUNTIFS('QA Log'!D:D,A174,'QA Log'!M:M,"Vignette",'QA Log'!L:L,"*Vignette [3] Growth Monitoring and Promotion*"),
COUNTIFS('QA Log'!D:D,A174,'QA Log'!M:M,"Vignette",'QA Log'!L:L,"*Vignette [4]: The management of presumptive TB patient*")
)
)</f>
        <v/>
      </c>
      <c r="AW174" s="102" t="str">
        <f>IF(
  A174="","",
  SUM(
    COUNTIFS('QA Log'!D:D,A174,'QA Log'!M:M,"Vignette",'QA Log'!Z:Z,"Approved",'QA Log'!L:L,"*Vignette [1] Respiratory Infection: Pneumonia*"),
    COUNTIFS('QA Log'!D:D,A174,'QA Log'!M:M,"Vignette",'QA Log'!Z:Z,"Approved",'QA Log'!L:L,"*Vignette [2]: Diarrhea with Cat B dehydration*"),
    COUNTIFS('QA Log'!D:D,A174,'QA Log'!M:M,"Vignette",'QA Log'!Z:Z,"Approved",'QA Log'!L:L,"*Vignette [3] Growth Monitoring and Promotion*"),
    COUNTIFS('QA Log'!D:D,A174,'QA Log'!M:M,"Vignette",'QA Log'!Z:Z,"Approved",'QA Log'!L:L,"*Vignette [4]: The management of presumptive TB patient*")
  )
)</f>
        <v/>
      </c>
      <c r="AX174" s="105" t="str">
        <f>IF(A174&lt;&gt;"",COUNTIFS('QA Log'!D:D,A174,'QA Log'!M:M,"Vignette",'QA Log'!L:L,"Vignette [1] Respiratory Infection: Pneumonia",'QA Log'!Z:Z,"Approved"),"")</f>
        <v/>
      </c>
      <c r="AY174" s="105" t="str">
        <f>IF(A174&lt;&gt;"",COUNTIFS('QA Log'!D:D,A174,'QA Log'!M:M,"Vignette",'QA Log'!L:L,"Vignette [2]: Diarrhea with Cat B dehydration",'QA Log'!Z:Z,"Approved"),"")</f>
        <v/>
      </c>
      <c r="AZ174" s="105" t="str">
        <f>IF(A174&lt;&gt;"",COUNTIFS('QA Log'!D:D,A174,'QA Log'!M:M,"Vignette",'QA Log'!L:L,"Vignette [3] Growth Monitoring and Promotion",'QA Log'!Z:Z,"Approved"),"")</f>
        <v/>
      </c>
      <c r="BA174" s="105" t="str">
        <f>IF(A174&lt;&gt;"",COUNTIFS('QA Log'!D:D,A174,'QA Log'!M:M,"Vignette",'QA Log'!L:L,"Vignette [4]: The management of presumptive TB patient",'QA Log'!Z:Z,"Approved"),"")</f>
        <v/>
      </c>
      <c r="BB174" s="102" t="str">
        <f>IF(A174="","",
  SUM(
    COUNTIFS('QA Log'!D:D,A174,'QA Log'!M:M,"Vignette",'QA Log'!Z:Z,"Rejected",'QA Log'!L:L,"*Vignette [1] Respiratory Infection: Pneumonia*"),
    COUNTIFS('QA Log'!D:D,A174,'QA Log'!M:M,"Vignette",'QA Log'!Z:Z,"Rejected",'QA Log'!L:L,"*Vignette [2]: Diarrhea with Cat B dehydration*"),
    COUNTIFS('QA Log'!D:D,A174,'QA Log'!M:M,"Vignette",'QA Log'!Z:Z,"Rejected",'QA Log'!L:L,"*Vignette [3] Growth Monitoring and Promotion*"),
    COUNTIFS('QA Log'!D:D,A174,'QA Log'!M:M,"Vignette",'QA Log'!Z:Z,"Rejected",'QA Log'!L:L,"*Vignette [4]: The management of presumptive TB patient*")
  )
)</f>
        <v/>
      </c>
      <c r="BC174" s="107" t="str">
        <f t="shared" si="9"/>
        <v/>
      </c>
      <c r="BD174" s="103" t="str">
        <f t="shared" si="10"/>
        <v/>
      </c>
      <c r="BE174" s="102" t="str">
        <f>IF(A174="","",SUM(
COUNTIFS('QA Log'!D:D,A174,'QA Log'!M:M,"Vignette",'QA Log'!L:L,"*Vignette [5] Labor*"),
COUNTIFS('QA Log'!D:D,A174,'QA Log'!M:M,"Vignette",'QA Log'!L:L,"*Vignette [6] PNC pre Discharge*"),
COUNTIFS('QA Log'!D:D,A174,'QA Log'!M:M,"Vignette",'QA Log'!L:L,"*Vignette [7] First ANC Visit*"),
COUNTIFS('QA Log'!D:D,A174,'QA Log'!M:M,"Vignette",'QA Log'!L:L,"*Vignette [8] Birth Spacing/ Family Planning :  FP Counselling*"),
COUNTIFS('QA Log'!D:D,A174,'QA Log'!M:M,"Vignette",'QA Log'!L:L,"*Vignette [9] Birth Spacing: Change FP method to Injectable*"),
COUNTIFS('QA Log'!D:D,A174,'QA Log'!M:M,"Vignette",'QA Log'!L:L,"*Vignette [10] Post Partum Haemorrhage - Atonic Uterus at Health Centre*"),
)
)</f>
        <v/>
      </c>
      <c r="BF174" s="102" t="str">
        <f>IF(A174="","",
  SUM(
    COUNTIFS('QA Log'!D:D,A174,'QA Log'!M:M,"Vignette",'QA Log'!Z:Z,"Approved",'QA Log'!L:L,"*Vignette [5] Labor*"),
    COUNTIFS('QA Log'!D:D,A174,'QA Log'!M:M,"Vignette",'QA Log'!Z:Z,"Approved",'QA Log'!L:L,"*Vignette [6] PNC pre Discharge*"),
    COUNTIFS('QA Log'!D:D,A174,'QA Log'!M:M,"Vignette",'QA Log'!Z:Z,"Approved",'QA Log'!L:L,"*Vignette [7] First ANC Visit*"),
    COUNTIFS('QA Log'!D:D,A174,'QA Log'!M:M,"Vignette",'QA Log'!Z:Z,"Approved",'QA Log'!L:L,"*Vignette [8] Birth Spacing/ Family Planning :  FP Counselling*"),
    COUNTIFS('QA Log'!D:D,A174,'QA Log'!M:M,"Vignette",'QA Log'!Z:Z,"Approved",'QA Log'!L:L,"*Vignette [9] Birth Spacing: Change FP method to Injectable*"),
    COUNTIFS('QA Log'!D:D,A174,'QA Log'!M:M,"Vignette",'QA Log'!Z:Z,"Approved",'QA Log'!L:L,"*Vignette [10] Post Partum Haemorrhage - Atonic Uterus at Health Centre*")
  )
)</f>
        <v/>
      </c>
      <c r="BG174" s="105" t="str">
        <f>IF(A174&lt;&gt;"",COUNTIFS('QA Log'!D:D,A174,'QA Log'!M:M,"Vignette",'QA Log'!L:L,"Vignette [5] Labor",'QA Log'!Z:Z,"Approved"),"")</f>
        <v/>
      </c>
      <c r="BH174" s="105" t="str">
        <f>IF(A174&lt;&gt;"",COUNTIFS('QA Log'!D:D,A174,'QA Log'!M:M,"Vignette",'QA Log'!L:L,"Vignette [6] PNC pre Discharge",'QA Log'!Z:Z,"Approved"),"")</f>
        <v/>
      </c>
      <c r="BI174" s="105" t="str">
        <f>IF(A174&lt;&gt;"",COUNTIFS('QA Log'!D:D,A174,'QA Log'!M:M,"Vignette",'QA Log'!L:L,"Vignette [7] First ANC Visit",'QA Log'!Z:Z,"Approved"),"")</f>
        <v/>
      </c>
      <c r="BJ174" s="105" t="str">
        <f>IF(A174&lt;&gt;"",COUNTIFS('QA Log'!D:D,A174,'QA Log'!M:M,"Vignette",'QA Log'!L:L,"Vignette [8] Birth Spacing/ Family Planning :  FP Counselling",'QA Log'!Z:Z,"Approved"),"")</f>
        <v/>
      </c>
      <c r="BK174" s="105" t="str">
        <f>IF(A174&lt;&gt;"",COUNTIFS('QA Log'!D:D,A174,'QA Log'!M:M,"Vignette",'QA Log'!L:L,"Vignette [9] Birth Spacing: Change FP method to Injectable",'QA Log'!Z:Z,"Approved"),"")</f>
        <v/>
      </c>
      <c r="BL174" s="105" t="str">
        <f>IF(A174&lt;&gt;"",COUNTIFS('QA Log'!D:D,A174,'QA Log'!M:M,"Vignette",'QA Log'!L:L,"Vignette [10] Post Partum Haemorrhage - Atonic Uterus at Health Centre",'QA Log'!Z:Z,"Approved"),"")</f>
        <v/>
      </c>
      <c r="BM174" s="102" t="str">
        <f>IF(A174="","",SUM(
    COUNTIFS('QA Log'!D:D,A174,'QA Log'!M:M,"Vignette",'QA Log'!Z:Z,"Rejected",'QA Log'!L:L,"*Vignette [5] Labor*"),
    COUNTIFS('QA Log'!D:D,A174,'QA Log'!M:M,"Vignette",'QA Log'!Z:Z,"Rejected",'QA Log'!L:L,"*Vignette [6] PNC pre Discharge*"),
    COUNTIFS('QA Log'!D:D,A174,'QA Log'!M:M,"Vignette",'QA Log'!Z:Z,"Rejected",'QA Log'!L:L,"*Vignette [7] First ANC Visit*"),
    COUNTIFS('QA Log'!D:D,A174,'QA Log'!M:M,"Vignette",'QA Log'!Z:Z,"Rejected",'QA Log'!L:L,"*Vignette [8] Birth Spacing/ Family Planning :  FP Counselling*"),
    COUNTIFS('QA Log'!D:D,A174,'QA Log'!M:M,"Vignette",'QA Log'!Z:Z,"Rejected",'QA Log'!L:L,"*Vignette [9] Birth Spacing: Change FP method to Injectable*"),
    COUNTIFS('QA Log'!D:D,A174,'QA Log'!M:M,"Vignette",'QA Log'!Z:Z,"Rejected",'QA Log'!L:L,"*Vignette [10] Post Partum Haemorrhage - Atonic Uterus at Health Centre*")
  )
)</f>
        <v/>
      </c>
      <c r="BN174" s="107" t="str">
        <f t="shared" si="11"/>
        <v/>
      </c>
      <c r="BO174" s="103" t="str">
        <f t="shared" si="12"/>
        <v/>
      </c>
      <c r="BP174" s="102" t="str">
        <f>IF(A174="","",SUM(
COUNTIFS('QA Log'!D:D,A174,'QA Log'!M:M,"Vignette",'QA Log'!L:L,"*Exit Interview 1*"),
COUNTIFS('QA Log'!D:D,A174,'QA Log'!M:M,"Vignette",'QA Log'!L:L,"*Exit Interview 2*"),
)
)</f>
        <v/>
      </c>
      <c r="BQ174" s="102" t="str">
        <f>IF(
  A174="","",
  SUM(
    COUNTIFS('QA Log'!D:D,A174,'QA Log'!M:M,"Vignette",'QA Log'!Z:Z,"Approved",'QA Log'!L:L,"*Exit Interview 1*"),
    COUNTIFS('QA Log'!D:D,A174,'QA Log'!M:M,"Vignette",'QA Log'!Z:Z,"Approved",'QA Log'!L:L,"*Exit Interview 2*")
  )
)</f>
        <v/>
      </c>
      <c r="BR174" s="105" t="str">
        <f>IF(A174&lt;&gt;"",COUNTIFS('QA Log'!D:D,A174,'QA Log'!M:M,"Vignette",'QA Log'!L:L,"Exit Interview 1",'QA Log'!Z:Z,"Approved"),"")</f>
        <v/>
      </c>
      <c r="BS174" s="105" t="str">
        <f>IF(A174&lt;&gt;"",COUNTIFS('QA Log'!D:D,A174,'QA Log'!M:M,"Vignette",'QA Log'!L:L,"Exit Interview 2",'QA Log'!Z:Z,"Approved"),"")</f>
        <v/>
      </c>
      <c r="BT174" s="102" t="str">
        <f>IF(
  A174="","",
  SUM(
    COUNTIFS('QA Log'!D:D,A174,'QA Log'!M:M,"Vignette",'QA Log'!Z:Z,"Rejected",'QA Log'!L:L,"*Exit Interview 1*"),
    COUNTIFS('QA Log'!D:D,A174,'QA Log'!M:M,"Vignette",'QA Log'!Z:Z,"Rejected",'QA Log'!L:L,"*Exit Interview 2*")
  )
)</f>
        <v/>
      </c>
      <c r="BU174" s="107" t="str">
        <f t="shared" si="13"/>
        <v/>
      </c>
      <c r="BV174" s="102" t="str">
        <f t="shared" si="14"/>
        <v/>
      </c>
      <c r="BW174" s="102" t="str">
        <f t="shared" si="15"/>
        <v/>
      </c>
      <c r="BX174" s="102" t="str">
        <f t="shared" si="16"/>
        <v/>
      </c>
      <c r="BY174" s="102" t="str">
        <f t="shared" si="17"/>
        <v/>
      </c>
      <c r="BZ174" s="107" t="str">
        <f t="shared" si="18"/>
        <v/>
      </c>
      <c r="CA174" s="108" t="str">
        <f t="shared" si="19"/>
        <v/>
      </c>
      <c r="CB174" s="108" t="str">
        <f t="shared" si="20"/>
        <v/>
      </c>
      <c r="CC174" s="109" t="str">
        <f t="shared" si="21"/>
        <v/>
      </c>
      <c r="CD174" s="108" t="str">
        <f t="shared" si="22"/>
        <v/>
      </c>
      <c r="CE174" s="108" t="str">
        <f t="shared" si="23"/>
        <v/>
      </c>
      <c r="CF174" s="109" t="str">
        <f t="shared" si="24"/>
        <v/>
      </c>
      <c r="CG174" s="110" t="str">
        <f t="shared" si="25"/>
        <v/>
      </c>
      <c r="CH174" s="111"/>
    </row>
    <row r="175" spans="1:86" ht="12.75">
      <c r="A175" s="101"/>
      <c r="B175" s="102" t="e">
        <f t="array" aca="1" ref="B175" ca="1">_xludf.XLOOKUP(A175,'QA Log'!D:D,'QA Log'!E:E,"")</f>
        <v>#NAME?</v>
      </c>
      <c r="C175" s="102" t="e">
        <f t="array" aca="1" ref="C175" ca="1">_xludf.XLOOKUP(A175,'QA Log'!D:D,'QA Log'!F:F,"")</f>
        <v>#NAME?</v>
      </c>
      <c r="D175" s="102" t="e">
        <f t="array" aca="1" ref="D175" ca="1">_xludf.XLOOKUP(A175,'QA Log'!D:D,'QA Log'!H:H,"")</f>
        <v>#NAME?</v>
      </c>
      <c r="E175" s="102" t="e">
        <f t="array" aca="1" ref="E175" ca="1">_xludf.XLOOKUP(A175,'QA Log'!D:D,'QA Log'!G:G,"")</f>
        <v>#NAME?</v>
      </c>
      <c r="F175" s="103"/>
      <c r="G175" s="104"/>
      <c r="H175" s="104"/>
      <c r="I175" s="103" t="str">
        <f t="shared" si="0"/>
        <v/>
      </c>
      <c r="J175" s="102" t="str">
        <f>IF(A175="","",SUM(
COUNTIFS('QA Log'!D:D,A175,'QA Log'!M:M,"QQC",'QA Log'!L:L,"*1. General Management*"),
COUNTIFS('QA Log'!D:D,A175,'QA Log'!M:M,"QQC",'QA Log'!L:L,"*3. Curative Consultation (OPD)*"),
COUNTIFS('QA Log'!D:D,A175,'QA Log'!M:M,"QQC",'QA Log'!L:L,"*5. Laboratory*"),
COUNTIFS('QA Log'!D:D,A175,'QA Log'!M:M,"QQC",'QA Log'!L:L,"*6. Essential Medicine Management*"),
COUNTIFS('QA Log'!D:D,A175,'QA Log'!M:M,"QQC",'QA Log'!L:L,"*7. Tracer Medicine*"),
COUNTIFS('QA Log'!D:D,A175,'QA Log'!M:M,"QQC",'QA Log'!L:L,"*11. Additional Questions*")))</f>
        <v/>
      </c>
      <c r="K175" s="102" t="str">
        <f>IF(A175="","",SUM(
COUNTIFS('QA Log'!D:D,A175,'QA Log'!M:M,"QQC",'QA Log'!Z:Z,"Approved",'QA Log'!L:L,"*1. General Management*"),
COUNTIFS('QA Log'!D:D,A175,'QA Log'!M:M,"QQC",'QA Log'!Z:Z,"Approved",'QA Log'!L:L,"*3. Curative Consultation (OPD)*"),
COUNTIFS('QA Log'!D:D,A175,'QA Log'!M:M,"QQC",'QA Log'!Z:Z,"Approved",'QA Log'!L:L,"*5. Laboratory*"),
COUNTIFS('QA Log'!D:D,A175,'QA Log'!M:M,"QQC",'QA Log'!Z:Z,"Approved",'QA Log'!L:L,"*6. Essential Medicine Management*"),
COUNTIFS('QA Log'!D:D,A175,'QA Log'!M:M,"QQC",'QA Log'!Z:Z,"Approved",'QA Log'!L:L,"*7. Tracer Medicine*"),
COUNTIFS('QA Log'!D:D,A175,'QA Log'!M:M,"QQC",'QA Log'!Z:Z,"Approved",'QA Log'!L:L,"*11. Additional Questions*")))</f>
        <v/>
      </c>
      <c r="L175" s="105" t="str">
        <f>IF(A175&lt;&gt;"",COUNTIFS('QA Log'!D:D,A175,'QA Log'!M:M,"QQC",'QA Log'!L:L,"1. General Management",'QA Log'!Z:Z,"Approved"),"")</f>
        <v/>
      </c>
      <c r="M175" s="105" t="str">
        <f>IF(A175&lt;&gt;"",COUNTIFS('QA Log'!D:D,A175,'QA Log'!M:M,"QQC",'QA Log'!L:L,"3. Curative Consultation (OPD)",'QA Log'!Z:Z,"Approved"),"")</f>
        <v/>
      </c>
      <c r="N175" s="105" t="str">
        <f>IF(A175&lt;&gt;"",COUNTIFS('QA Log'!D:D,A175,'QA Log'!M:M,"QQC",'QA Log'!L:L,"5. Laboratory",'QA Log'!Z:Z,"Approved"),"")</f>
        <v/>
      </c>
      <c r="O175" s="105" t="str">
        <f>IF(A175&lt;&gt;"",COUNTIFS('QA Log'!D:D,A175,'QA Log'!M:M,"QQC",'QA Log'!L:L,"6. Essential Medicine Management",'QA Log'!Z:Z,"Approved"),"")</f>
        <v/>
      </c>
      <c r="P175" s="105" t="str">
        <f>IF(A175&lt;&gt;"",COUNTIFS('QA Log'!D:D,A175,'QA Log'!M:M,"QQC",'QA Log'!L:L,"7. Tracer Medicine",'QA Log'!Z:Z,"Approved"),"")</f>
        <v/>
      </c>
      <c r="Q175" s="105" t="str">
        <f>IF(A175&lt;&gt;"",COUNTIFS('QA Log'!D:D,A175,'QA Log'!M:M,"QQC",'QA Log'!L:L,"11. Additional Questions",'QA Log'!Z:Z,"Approved"),"")</f>
        <v/>
      </c>
      <c r="R175" s="102" t="str">
        <f>IF(A175="","",SUM(
COUNTIFS('QA Log'!D:D,A175,'QA Log'!M:M,"QQC",'QA Log'!Z:Z,"Rejected",'QA Log'!L:L,"*8. Maternity*"),
COUNTIFS('QA Log'!D:D,A175,'QA Log'!M:M,"QQC",'QA Log'!Z:Z,"Rejected",'QA Log'!L:L,"*EPI*"),
COUNTIFS('QA Log'!D:D,A175,'QA Log'!M:M,"QQC",'QA Log'!Z:Z,"Rejected",'QA Log'!L:L,"*10. Antenatal Care (ANC)*"),
COUNTIFS('QA Log'!D:D,A175,'QA Log'!M:M,"QQC",'QA Log'!Z:Z,"Rejected",'QA Log'!L:L,"*2. Hygiene and Sterilization*"),
COUNTIFS('QA Log'!D:D,A175,'QA Log'!M:M,"QQC",'QA Log'!Z:Z,"Rejected",'QA Log'!L:L,"*Family Planning*")))</f>
        <v/>
      </c>
      <c r="S175" s="106" t="str">
        <f t="shared" si="1"/>
        <v/>
      </c>
      <c r="T175" s="102" t="str">
        <f t="shared" si="2"/>
        <v/>
      </c>
      <c r="U175" s="102" t="str">
        <f>IF(A175="","",
SUM(
COUNTIFS('QA Log'!D:D,A175,'QA Log'!M:M,"QQC",'QA Log'!L:L,"*8. Maternity*"),
COUNTIFS('QA Log'!D:D,A175,'QA Log'!M:M,"QQC",'QA Log'!L:L,"*9. EPI and Pre-school Consultation*"),
COUNTIFS('QA Log'!D:D,A175,'QA Log'!M:M,"QQC",'QA Log'!L:L,"*10. Antenatal Care (ANC)*"),
COUNTIFS('QA Log'!D:D,A175,'QA Log'!M:M,"QQC",'QA Log'!L:L,"*2. Hygiene and Sterilization*"),
COUNTIFS('QA Log'!D:D,A175,'QA Log'!M:M,"QQC",'QA Log'!L:L,"*4. Family Planning*")
))</f>
        <v/>
      </c>
      <c r="V175" s="102" t="str">
        <f>IF(A175="","",
SUM(
COUNTIFS('QA Log'!D:D,A175,'QA Log'!M:M,"QQC",'QA Log'!Z:Z,"Approved",'QA Log'!L:L,"*8. Maternity*"),
COUNTIFS('QA Log'!D:D,A175,'QA Log'!M:M,"QQC",'QA Log'!Z:Z,"Approved",'QA Log'!L:L,"*9. EPI and Pre-school Consultation*"),
COUNTIFS('QA Log'!D:D,A175,'QA Log'!M:M,"QQC",'QA Log'!Z:Z,"Approved",'QA Log'!L:L,"*10. Antenatal Care (ANC)*"),
COUNTIFS('QA Log'!D:D,A175,'QA Log'!M:M,"QQC",'QA Log'!Z:Z,"Approved",'QA Log'!L:L,"*2. Hygiene and Sterilization*"),
COUNTIFS('QA Log'!D:D,A175,'QA Log'!M:M,"QQC",'QA Log'!Z:Z,"Approved",'QA Log'!L:L,"*4. Family Planning*")
))</f>
        <v/>
      </c>
      <c r="W175" s="105" t="str">
        <f>IF(A175&lt;&gt;"",COUNTIFS('QA Log'!D:D,A175,'QA Log'!M:M,"QQC",'QA Log'!L:L,"8. Maternity",'QA Log'!Z:Z,"Approved"),"")</f>
        <v/>
      </c>
      <c r="X175" s="105" t="str">
        <f>IF(A175&lt;&gt;"",COUNTIFS('QA Log'!D:D,A175,'QA Log'!M:M,"QQC",'QA Log'!L:L,"9. EPI and Pre-school Consultation",'QA Log'!Z:Z,"Approved"),"")</f>
        <v/>
      </c>
      <c r="Y175" s="105" t="str">
        <f>IF(A175&lt;&gt;"",COUNTIFS('QA Log'!D:D,A175,'QA Log'!M:M,"QQC",'QA Log'!L:L,"10. Antenatal Care (ANC)",'QA Log'!Z:Z,"Approved"),"")</f>
        <v/>
      </c>
      <c r="Z175" s="105" t="str">
        <f>IF(A175&lt;&gt;"",COUNTIFS('QA Log'!D:D,A175,'QA Log'!M:M,"QQC",'QA Log'!L:L,"2. Hygiene and Sterilization",'QA Log'!Z:Z,"Approved"),"")</f>
        <v/>
      </c>
      <c r="AA175" s="105" t="str">
        <f>IF(A175&lt;&gt;"",COUNTIFS('QA Log'!D:D,A175,'QA Log'!M:M,"QQC",'QA Log'!L:L,"4. Family Planning",'QA Log'!Z:Z,"Approved"),"")</f>
        <v/>
      </c>
      <c r="AB175" s="102" t="str">
        <f>IF(A175="","",
SUM(
COUNTIFS('QA Log'!D:D,A175,'QA Log'!M:M,"QQC",'QA Log'!Z:Z,"Rejected",'QA Log'!L:L,"*8. Maternity*"),
COUNTIFS('QA Log'!D:D,A175,'QA Log'!M:M,"QQC",'QA Log'!Z:Z,"Rejected",'QA Log'!L:L,"*9. EPI and Pre-school Consultation*"),
COUNTIFS('QA Log'!D:D,A175,'QA Log'!M:M,"QQC",'QA Log'!Z:Z,"Rejected",'QA Log'!L:L,"*10. Antenatal Care (ANC)*"),
COUNTIFS('QA Log'!D:D,A175,'QA Log'!M:M,"QQC",'QA Log'!Z:Z,"Rejected",'QA Log'!L:L,"*2. Hygiene and Sterilization*"),
COUNTIFS('QA Log'!D:D,A175,'QA Log'!M:M,"QQC",'QA Log'!Z:Z,"Rejected",'QA Log'!L:L,"*4. Family Planning*")
))</f>
        <v/>
      </c>
      <c r="AC175" s="102" t="str">
        <f t="shared" si="3"/>
        <v/>
      </c>
      <c r="AD175" s="103" t="str">
        <f t="shared" si="4"/>
        <v/>
      </c>
      <c r="AE175" s="102" t="str">
        <f>IF(A175="","",
SUM(
COUNTIFS('QA Log'!D:D,A175,'QA Log'!M:M,"Data Verification",'QA Log'!L:L,"*Medicine (section 2)*"),
COUNTIFS('QA Log'!D:D,A175,'QA Log'!M:M,"Data Verification",'QA Log'!L:L,"*Lab Testing Availability*"),
COUNTIFS('QA Log'!D:D,A175,'QA Log'!M:M,"Data Verification",'QA Log'!L:L,"*Other than P4P (section 6)*"),
COUNTIFS('QA Log'!D:D,A175,'QA Log'!M:M,"Data Verification",'QA Log'!L:L,"*Hospital Governance*")
))</f>
        <v/>
      </c>
      <c r="AF175" s="102" t="str">
        <f>IF(A175="","",
SUM(
COUNTIFS('QA Log'!D:D,A175,'QA Log'!M:M,"Data Verification",'QA Log'!Z:Z,"Approved",'QA Log'!L:L,"*Medicine (section 2)*"),
COUNTIFS('QA Log'!D:D,A175,'QA Log'!M:M,"Data Verification",'QA Log'!Z:Z,"Approved",'QA Log'!L:L,"*Lab Testing Availability*"),
COUNTIFS('QA Log'!D:D,A175,'QA Log'!M:M,"Data Verification",'QA Log'!Z:Z,"Approved",'QA Log'!L:L,"*Other than P4P (section 6)*"),
COUNTIFS('QA Log'!D:D,A175,'QA Log'!M:M,"Data Verification",'QA Log'!Z:Z,"Approved",'QA Log'!L:L,"*Hospital Governance*")
))</f>
        <v/>
      </c>
      <c r="AG175" s="105" t="str">
        <f>IF(A175&lt;&gt;"",COUNTIFS('QA Log'!D:D,A175,'QA Log'!M:M,"Data Verification",'QA Log'!L:L,"Medicine (section 2)",'QA Log'!Z:Z,"Approved"),"")</f>
        <v/>
      </c>
      <c r="AH175" s="105" t="str">
        <f>IF(A175&lt;&gt;"",COUNTIFS('QA Log'!D:D,A175,'QA Log'!M:M,"Data Verification",'QA Log'!L:L,"Lab Testing Availability",'QA Log'!Z:Z,"Approved"),"")</f>
        <v/>
      </c>
      <c r="AI175" s="105" t="str">
        <f>IF(A175&lt;&gt;"",COUNTIFS('QA Log'!D:D,A175,'QA Log'!M:M,"Data Verification",'QA Log'!L:L,"Other than P4P (section 6)",'QA Log'!Z:Z,"Approved"),"")</f>
        <v/>
      </c>
      <c r="AJ175" s="105" t="str">
        <f>IF(A175&lt;&gt;"",COUNTIFS('QA Log'!D:D,A175,'QA Log'!M:M,"Data Verification",'QA Log'!L:L,"Hospital Governance",'QA Log'!Z:Z,"Approved"),"")</f>
        <v/>
      </c>
      <c r="AK175" s="102" t="str">
        <f>IF(A175="","",
SUM(
COUNTIFS('QA Log'!D:D,A175,'QA Log'!M:M,"Data Verification",'QA Log'!Z:Z,"Rejected",'QA Log'!L:L,"*Medicine (section 2)*"),
COUNTIFS('QA Log'!D:D,A175,'QA Log'!M:M,"Data Verification",'QA Log'!Z:Z,"Rejected",'QA Log'!L:L,"*Lab Testing Availability*"),
COUNTIFS('QA Log'!D:D,A175,'QA Log'!M:M,"Data Verification",'QA Log'!Z:Z,"Rejected",'QA Log'!L:L,"*Other than P4P (section 6)*"),
COUNTIFS('QA Log'!D:D,A175,'QA Log'!M:M,"Data Verification",'QA Log'!Z:Z,"Rejected",'QA Log'!L:L,"*Hospital Governance*")
))</f>
        <v/>
      </c>
      <c r="AL175" s="106" t="str">
        <f t="shared" si="5"/>
        <v/>
      </c>
      <c r="AM175" s="102" t="str">
        <f t="shared" si="6"/>
        <v/>
      </c>
      <c r="AN175" s="102" t="str">
        <f>IF(A175="","",
SUM(
COUNTIFS('QA Log'!D:D,A175,'QA Log'!M:M,"Data Verification",'QA Log'!L:L,"*Personnel (section 1)*"),
COUNTIFS('QA Log'!D:D,A175,'QA Log'!M:M,"Data Verification",'QA Log'!L:L,"*Consumable (section 3)*"),
COUNTIFS('QA Log'!D:D,A175,'QA Log'!M:M,"Data Verification",'QA Log'!L:L,"*Equipments (section 4)*")
))</f>
        <v/>
      </c>
      <c r="AO175" s="102" t="str">
        <f>IF(A175="","",
SUM(
COUNTIFS('QA Log'!D:D,A175,'QA Log'!M:M,"Data Verification",'QA Log'!Z:Z,"Approved",'QA Log'!L:L,"*Personnel (section 1)*"),
COUNTIFS('QA Log'!D:D,A175,'QA Log'!M:M,"Data Verification",'QA Log'!Z:Z,"Approved",'QA Log'!L:L,"*Consumable (section 3)*"),
COUNTIFS('QA Log'!D:D,A175,'QA Log'!M:M,"Data Verification",'QA Log'!Z:Z,"Approved",'QA Log'!L:L,"*Equipments (section 4)*")
))</f>
        <v/>
      </c>
      <c r="AP175" s="105" t="str">
        <f>IF(A175&lt;&gt;"",COUNTIFS('QA Log'!D:D,A175,'QA Log'!M:M,"Data Verification",'QA Log'!L:L,"Personnel (section 1)",'QA Log'!Z:Z,"Approved"),"")</f>
        <v/>
      </c>
      <c r="AQ175" s="105" t="str">
        <f>IF(A175&lt;&gt;"",COUNTIFS('QA Log'!D:D,A175,'QA Log'!M:M,"Data Verification",'QA Log'!L:L,"Consumable (section 3)",'QA Log'!Z:Z,"Approved"),"")</f>
        <v/>
      </c>
      <c r="AR175" s="105" t="str">
        <f>IF(A175&lt;&gt;"",COUNTIFS('QA Log'!D:D,A175,'QA Log'!M:M,"Data Verification",'QA Log'!L:L,"Equipments (section 4)",'QA Log'!Z:Z,"Approved"),"")</f>
        <v/>
      </c>
      <c r="AS175" s="102" t="str">
        <f>IF(A175="","",
SUM(
COUNTIFS('QA Log'!D:D,A175,'QA Log'!M:M,"Data Verification",'QA Log'!Z:Z,"Rejected",'QA Log'!L:L,"*Personnel (section 1)*"),
COUNTIFS('QA Log'!D:D,A175,'QA Log'!M:M,"Data Verification",'QA Log'!Z:Z,"Rejected",'QA Log'!L:L,"*Consumable (section 3)*"),
COUNTIFS('QA Log'!D:D,A175,'QA Log'!M:M,"Data Verification",'QA Log'!Z:Z,"Rejected",'QA Log'!L:L,"*Equipments (section 4)*")
))</f>
        <v/>
      </c>
      <c r="AT175" s="102" t="str">
        <f t="shared" si="7"/>
        <v/>
      </c>
      <c r="AU175" s="103" t="str">
        <f t="shared" si="8"/>
        <v/>
      </c>
      <c r="AV175" s="102" t="str">
        <f>IF(A175="","",SUM(
COUNTIFS('QA Log'!D:D,A175,'QA Log'!M:M,"Vignette",'QA Log'!L:L,"*Vignette [1] Respiratory Infection: Pneumonia*"),
COUNTIFS('QA Log'!D:D,A175,'QA Log'!M:M,"Vignette",'QA Log'!L:L,"*Vignette [2]: Diarrhea with Cat B dehydration*"),
COUNTIFS('QA Log'!D:D,A175,'QA Log'!M:M,"Vignette",'QA Log'!L:L,"*Vignette [3] Growth Monitoring and Promotion*"),
COUNTIFS('QA Log'!D:D,A175,'QA Log'!M:M,"Vignette",'QA Log'!L:L,"*Vignette [4]: The management of presumptive TB patient*")
)
)</f>
        <v/>
      </c>
      <c r="AW175" s="102" t="str">
        <f>IF(
  A175="","",
  SUM(
    COUNTIFS('QA Log'!D:D,A175,'QA Log'!M:M,"Vignette",'QA Log'!Z:Z,"Approved",'QA Log'!L:L,"*Vignette [1] Respiratory Infection: Pneumonia*"),
    COUNTIFS('QA Log'!D:D,A175,'QA Log'!M:M,"Vignette",'QA Log'!Z:Z,"Approved",'QA Log'!L:L,"*Vignette [2]: Diarrhea with Cat B dehydration*"),
    COUNTIFS('QA Log'!D:D,A175,'QA Log'!M:M,"Vignette",'QA Log'!Z:Z,"Approved",'QA Log'!L:L,"*Vignette [3] Growth Monitoring and Promotion*"),
    COUNTIFS('QA Log'!D:D,A175,'QA Log'!M:M,"Vignette",'QA Log'!Z:Z,"Approved",'QA Log'!L:L,"*Vignette [4]: The management of presumptive TB patient*")
  )
)</f>
        <v/>
      </c>
      <c r="AX175" s="105" t="str">
        <f>IF(A175&lt;&gt;"",COUNTIFS('QA Log'!D:D,A175,'QA Log'!M:M,"Vignette",'QA Log'!L:L,"Vignette [1] Respiratory Infection: Pneumonia",'QA Log'!Z:Z,"Approved"),"")</f>
        <v/>
      </c>
      <c r="AY175" s="105" t="str">
        <f>IF(A175&lt;&gt;"",COUNTIFS('QA Log'!D:D,A175,'QA Log'!M:M,"Vignette",'QA Log'!L:L,"Vignette [2]: Diarrhea with Cat B dehydration",'QA Log'!Z:Z,"Approved"),"")</f>
        <v/>
      </c>
      <c r="AZ175" s="105" t="str">
        <f>IF(A175&lt;&gt;"",COUNTIFS('QA Log'!D:D,A175,'QA Log'!M:M,"Vignette",'QA Log'!L:L,"Vignette [3] Growth Monitoring and Promotion",'QA Log'!Z:Z,"Approved"),"")</f>
        <v/>
      </c>
      <c r="BA175" s="105" t="str">
        <f>IF(A175&lt;&gt;"",COUNTIFS('QA Log'!D:D,A175,'QA Log'!M:M,"Vignette",'QA Log'!L:L,"Vignette [4]: The management of presumptive TB patient",'QA Log'!Z:Z,"Approved"),"")</f>
        <v/>
      </c>
      <c r="BB175" s="102" t="str">
        <f>IF(A175="","",
  SUM(
    COUNTIFS('QA Log'!D:D,A175,'QA Log'!M:M,"Vignette",'QA Log'!Z:Z,"Rejected",'QA Log'!L:L,"*Vignette [1] Respiratory Infection: Pneumonia*"),
    COUNTIFS('QA Log'!D:D,A175,'QA Log'!M:M,"Vignette",'QA Log'!Z:Z,"Rejected",'QA Log'!L:L,"*Vignette [2]: Diarrhea with Cat B dehydration*"),
    COUNTIFS('QA Log'!D:D,A175,'QA Log'!M:M,"Vignette",'QA Log'!Z:Z,"Rejected",'QA Log'!L:L,"*Vignette [3] Growth Monitoring and Promotion*"),
    COUNTIFS('QA Log'!D:D,A175,'QA Log'!M:M,"Vignette",'QA Log'!Z:Z,"Rejected",'QA Log'!L:L,"*Vignette [4]: The management of presumptive TB patient*")
  )
)</f>
        <v/>
      </c>
      <c r="BC175" s="107" t="str">
        <f t="shared" si="9"/>
        <v/>
      </c>
      <c r="BD175" s="103" t="str">
        <f t="shared" si="10"/>
        <v/>
      </c>
      <c r="BE175" s="102" t="str">
        <f>IF(A175="","",SUM(
COUNTIFS('QA Log'!D:D,A175,'QA Log'!M:M,"Vignette",'QA Log'!L:L,"*Vignette [5] Labor*"),
COUNTIFS('QA Log'!D:D,A175,'QA Log'!M:M,"Vignette",'QA Log'!L:L,"*Vignette [6] PNC pre Discharge*"),
COUNTIFS('QA Log'!D:D,A175,'QA Log'!M:M,"Vignette",'QA Log'!L:L,"*Vignette [7] First ANC Visit*"),
COUNTIFS('QA Log'!D:D,A175,'QA Log'!M:M,"Vignette",'QA Log'!L:L,"*Vignette [8] Birth Spacing/ Family Planning :  FP Counselling*"),
COUNTIFS('QA Log'!D:D,A175,'QA Log'!M:M,"Vignette",'QA Log'!L:L,"*Vignette [9] Birth Spacing: Change FP method to Injectable*"),
COUNTIFS('QA Log'!D:D,A175,'QA Log'!M:M,"Vignette",'QA Log'!L:L,"*Vignette [10] Post Partum Haemorrhage - Atonic Uterus at Health Centre*"),
)
)</f>
        <v/>
      </c>
      <c r="BF175" s="102" t="str">
        <f>IF(A175="","",
  SUM(
    COUNTIFS('QA Log'!D:D,A175,'QA Log'!M:M,"Vignette",'QA Log'!Z:Z,"Approved",'QA Log'!L:L,"*Vignette [5] Labor*"),
    COUNTIFS('QA Log'!D:D,A175,'QA Log'!M:M,"Vignette",'QA Log'!Z:Z,"Approved",'QA Log'!L:L,"*Vignette [6] PNC pre Discharge*"),
    COUNTIFS('QA Log'!D:D,A175,'QA Log'!M:M,"Vignette",'QA Log'!Z:Z,"Approved",'QA Log'!L:L,"*Vignette [7] First ANC Visit*"),
    COUNTIFS('QA Log'!D:D,A175,'QA Log'!M:M,"Vignette",'QA Log'!Z:Z,"Approved",'QA Log'!L:L,"*Vignette [8] Birth Spacing/ Family Planning :  FP Counselling*"),
    COUNTIFS('QA Log'!D:D,A175,'QA Log'!M:M,"Vignette",'QA Log'!Z:Z,"Approved",'QA Log'!L:L,"*Vignette [9] Birth Spacing: Change FP method to Injectable*"),
    COUNTIFS('QA Log'!D:D,A175,'QA Log'!M:M,"Vignette",'QA Log'!Z:Z,"Approved",'QA Log'!L:L,"*Vignette [10] Post Partum Haemorrhage - Atonic Uterus at Health Centre*")
  )
)</f>
        <v/>
      </c>
      <c r="BG175" s="105" t="str">
        <f>IF(A175&lt;&gt;"",COUNTIFS('QA Log'!D:D,A175,'QA Log'!M:M,"Vignette",'QA Log'!L:L,"Vignette [5] Labor",'QA Log'!Z:Z,"Approved"),"")</f>
        <v/>
      </c>
      <c r="BH175" s="105" t="str">
        <f>IF(A175&lt;&gt;"",COUNTIFS('QA Log'!D:D,A175,'QA Log'!M:M,"Vignette",'QA Log'!L:L,"Vignette [6] PNC pre Discharge",'QA Log'!Z:Z,"Approved"),"")</f>
        <v/>
      </c>
      <c r="BI175" s="105" t="str">
        <f>IF(A175&lt;&gt;"",COUNTIFS('QA Log'!D:D,A175,'QA Log'!M:M,"Vignette",'QA Log'!L:L,"Vignette [7] First ANC Visit",'QA Log'!Z:Z,"Approved"),"")</f>
        <v/>
      </c>
      <c r="BJ175" s="105" t="str">
        <f>IF(A175&lt;&gt;"",COUNTIFS('QA Log'!D:D,A175,'QA Log'!M:M,"Vignette",'QA Log'!L:L,"Vignette [8] Birth Spacing/ Family Planning :  FP Counselling",'QA Log'!Z:Z,"Approved"),"")</f>
        <v/>
      </c>
      <c r="BK175" s="105" t="str">
        <f>IF(A175&lt;&gt;"",COUNTIFS('QA Log'!D:D,A175,'QA Log'!M:M,"Vignette",'QA Log'!L:L,"Vignette [9] Birth Spacing: Change FP method to Injectable",'QA Log'!Z:Z,"Approved"),"")</f>
        <v/>
      </c>
      <c r="BL175" s="105" t="str">
        <f>IF(A175&lt;&gt;"",COUNTIFS('QA Log'!D:D,A175,'QA Log'!M:M,"Vignette",'QA Log'!L:L,"Vignette [10] Post Partum Haemorrhage - Atonic Uterus at Health Centre",'QA Log'!Z:Z,"Approved"),"")</f>
        <v/>
      </c>
      <c r="BM175" s="102" t="str">
        <f>IF(A175="","",SUM(
    COUNTIFS('QA Log'!D:D,A175,'QA Log'!M:M,"Vignette",'QA Log'!Z:Z,"Rejected",'QA Log'!L:L,"*Vignette [5] Labor*"),
    COUNTIFS('QA Log'!D:D,A175,'QA Log'!M:M,"Vignette",'QA Log'!Z:Z,"Rejected",'QA Log'!L:L,"*Vignette [6] PNC pre Discharge*"),
    COUNTIFS('QA Log'!D:D,A175,'QA Log'!M:M,"Vignette",'QA Log'!Z:Z,"Rejected",'QA Log'!L:L,"*Vignette [7] First ANC Visit*"),
    COUNTIFS('QA Log'!D:D,A175,'QA Log'!M:M,"Vignette",'QA Log'!Z:Z,"Rejected",'QA Log'!L:L,"*Vignette [8] Birth Spacing/ Family Planning :  FP Counselling*"),
    COUNTIFS('QA Log'!D:D,A175,'QA Log'!M:M,"Vignette",'QA Log'!Z:Z,"Rejected",'QA Log'!L:L,"*Vignette [9] Birth Spacing: Change FP method to Injectable*"),
    COUNTIFS('QA Log'!D:D,A175,'QA Log'!M:M,"Vignette",'QA Log'!Z:Z,"Rejected",'QA Log'!L:L,"*Vignette [10] Post Partum Haemorrhage - Atonic Uterus at Health Centre*")
  )
)</f>
        <v/>
      </c>
      <c r="BN175" s="107" t="str">
        <f t="shared" si="11"/>
        <v/>
      </c>
      <c r="BO175" s="103" t="str">
        <f t="shared" si="12"/>
        <v/>
      </c>
      <c r="BP175" s="102" t="str">
        <f>IF(A175="","",SUM(
COUNTIFS('QA Log'!D:D,A175,'QA Log'!M:M,"Vignette",'QA Log'!L:L,"*Exit Interview 1*"),
COUNTIFS('QA Log'!D:D,A175,'QA Log'!M:M,"Vignette",'QA Log'!L:L,"*Exit Interview 2*"),
)
)</f>
        <v/>
      </c>
      <c r="BQ175" s="102" t="str">
        <f>IF(
  A175="","",
  SUM(
    COUNTIFS('QA Log'!D:D,A175,'QA Log'!M:M,"Vignette",'QA Log'!Z:Z,"Approved",'QA Log'!L:L,"*Exit Interview 1*"),
    COUNTIFS('QA Log'!D:D,A175,'QA Log'!M:M,"Vignette",'QA Log'!Z:Z,"Approved",'QA Log'!L:L,"*Exit Interview 2*")
  )
)</f>
        <v/>
      </c>
      <c r="BR175" s="105" t="str">
        <f>IF(A175&lt;&gt;"",COUNTIFS('QA Log'!D:D,A175,'QA Log'!M:M,"Vignette",'QA Log'!L:L,"Exit Interview 1",'QA Log'!Z:Z,"Approved"),"")</f>
        <v/>
      </c>
      <c r="BS175" s="105" t="str">
        <f>IF(A175&lt;&gt;"",COUNTIFS('QA Log'!D:D,A175,'QA Log'!M:M,"Vignette",'QA Log'!L:L,"Exit Interview 2",'QA Log'!Z:Z,"Approved"),"")</f>
        <v/>
      </c>
      <c r="BT175" s="102" t="str">
        <f>IF(
  A175="","",
  SUM(
    COUNTIFS('QA Log'!D:D,A175,'QA Log'!M:M,"Vignette",'QA Log'!Z:Z,"Rejected",'QA Log'!L:L,"*Exit Interview 1*"),
    COUNTIFS('QA Log'!D:D,A175,'QA Log'!M:M,"Vignette",'QA Log'!Z:Z,"Rejected",'QA Log'!L:L,"*Exit Interview 2*")
  )
)</f>
        <v/>
      </c>
      <c r="BU175" s="107" t="str">
        <f t="shared" si="13"/>
        <v/>
      </c>
      <c r="BV175" s="102" t="str">
        <f t="shared" si="14"/>
        <v/>
      </c>
      <c r="BW175" s="102" t="str">
        <f t="shared" si="15"/>
        <v/>
      </c>
      <c r="BX175" s="102" t="str">
        <f t="shared" si="16"/>
        <v/>
      </c>
      <c r="BY175" s="102" t="str">
        <f t="shared" si="17"/>
        <v/>
      </c>
      <c r="BZ175" s="107" t="str">
        <f t="shared" si="18"/>
        <v/>
      </c>
      <c r="CA175" s="108" t="str">
        <f t="shared" si="19"/>
        <v/>
      </c>
      <c r="CB175" s="108" t="str">
        <f t="shared" si="20"/>
        <v/>
      </c>
      <c r="CC175" s="109" t="str">
        <f t="shared" si="21"/>
        <v/>
      </c>
      <c r="CD175" s="108" t="str">
        <f t="shared" si="22"/>
        <v/>
      </c>
      <c r="CE175" s="108" t="str">
        <f t="shared" si="23"/>
        <v/>
      </c>
      <c r="CF175" s="109" t="str">
        <f t="shared" si="24"/>
        <v/>
      </c>
      <c r="CG175" s="110" t="str">
        <f t="shared" si="25"/>
        <v/>
      </c>
      <c r="CH175" s="111"/>
    </row>
    <row r="176" spans="1:86" ht="12.75">
      <c r="A176" s="101"/>
      <c r="B176" s="102" t="e">
        <f t="array" aca="1" ref="B176" ca="1">_xludf.XLOOKUP(A176,'QA Log'!D:D,'QA Log'!E:E,"")</f>
        <v>#NAME?</v>
      </c>
      <c r="C176" s="102" t="e">
        <f t="array" aca="1" ref="C176" ca="1">_xludf.XLOOKUP(A176,'QA Log'!D:D,'QA Log'!F:F,"")</f>
        <v>#NAME?</v>
      </c>
      <c r="D176" s="102" t="e">
        <f t="array" aca="1" ref="D176" ca="1">_xludf.XLOOKUP(A176,'QA Log'!D:D,'QA Log'!H:H,"")</f>
        <v>#NAME?</v>
      </c>
      <c r="E176" s="102" t="e">
        <f t="array" aca="1" ref="E176" ca="1">_xludf.XLOOKUP(A176,'QA Log'!D:D,'QA Log'!G:G,"")</f>
        <v>#NAME?</v>
      </c>
      <c r="F176" s="103"/>
      <c r="G176" s="104"/>
      <c r="H176" s="104"/>
      <c r="I176" s="103" t="str">
        <f t="shared" si="0"/>
        <v/>
      </c>
      <c r="J176" s="102" t="str">
        <f>IF(A176="","",SUM(
COUNTIFS('QA Log'!D:D,A176,'QA Log'!M:M,"QQC",'QA Log'!L:L,"*1. General Management*"),
COUNTIFS('QA Log'!D:D,A176,'QA Log'!M:M,"QQC",'QA Log'!L:L,"*3. Curative Consultation (OPD)*"),
COUNTIFS('QA Log'!D:D,A176,'QA Log'!M:M,"QQC",'QA Log'!L:L,"*5. Laboratory*"),
COUNTIFS('QA Log'!D:D,A176,'QA Log'!M:M,"QQC",'QA Log'!L:L,"*6. Essential Medicine Management*"),
COUNTIFS('QA Log'!D:D,A176,'QA Log'!M:M,"QQC",'QA Log'!L:L,"*7. Tracer Medicine*"),
COUNTIFS('QA Log'!D:D,A176,'QA Log'!M:M,"QQC",'QA Log'!L:L,"*11. Additional Questions*")))</f>
        <v/>
      </c>
      <c r="K176" s="102" t="str">
        <f>IF(A176="","",SUM(
COUNTIFS('QA Log'!D:D,A176,'QA Log'!M:M,"QQC",'QA Log'!Z:Z,"Approved",'QA Log'!L:L,"*1. General Management*"),
COUNTIFS('QA Log'!D:D,A176,'QA Log'!M:M,"QQC",'QA Log'!Z:Z,"Approved",'QA Log'!L:L,"*3. Curative Consultation (OPD)*"),
COUNTIFS('QA Log'!D:D,A176,'QA Log'!M:M,"QQC",'QA Log'!Z:Z,"Approved",'QA Log'!L:L,"*5. Laboratory*"),
COUNTIFS('QA Log'!D:D,A176,'QA Log'!M:M,"QQC",'QA Log'!Z:Z,"Approved",'QA Log'!L:L,"*6. Essential Medicine Management*"),
COUNTIFS('QA Log'!D:D,A176,'QA Log'!M:M,"QQC",'QA Log'!Z:Z,"Approved",'QA Log'!L:L,"*7. Tracer Medicine*"),
COUNTIFS('QA Log'!D:D,A176,'QA Log'!M:M,"QQC",'QA Log'!Z:Z,"Approved",'QA Log'!L:L,"*11. Additional Questions*")))</f>
        <v/>
      </c>
      <c r="L176" s="105" t="str">
        <f>IF(A176&lt;&gt;"",COUNTIFS('QA Log'!D:D,A176,'QA Log'!M:M,"QQC",'QA Log'!L:L,"1. General Management",'QA Log'!Z:Z,"Approved"),"")</f>
        <v/>
      </c>
      <c r="M176" s="105" t="str">
        <f>IF(A176&lt;&gt;"",COUNTIFS('QA Log'!D:D,A176,'QA Log'!M:M,"QQC",'QA Log'!L:L,"3. Curative Consultation (OPD)",'QA Log'!Z:Z,"Approved"),"")</f>
        <v/>
      </c>
      <c r="N176" s="105" t="str">
        <f>IF(A176&lt;&gt;"",COUNTIFS('QA Log'!D:D,A176,'QA Log'!M:M,"QQC",'QA Log'!L:L,"5. Laboratory",'QA Log'!Z:Z,"Approved"),"")</f>
        <v/>
      </c>
      <c r="O176" s="105" t="str">
        <f>IF(A176&lt;&gt;"",COUNTIFS('QA Log'!D:D,A176,'QA Log'!M:M,"QQC",'QA Log'!L:L,"6. Essential Medicine Management",'QA Log'!Z:Z,"Approved"),"")</f>
        <v/>
      </c>
      <c r="P176" s="105" t="str">
        <f>IF(A176&lt;&gt;"",COUNTIFS('QA Log'!D:D,A176,'QA Log'!M:M,"QQC",'QA Log'!L:L,"7. Tracer Medicine",'QA Log'!Z:Z,"Approved"),"")</f>
        <v/>
      </c>
      <c r="Q176" s="105" t="str">
        <f>IF(A176&lt;&gt;"",COUNTIFS('QA Log'!D:D,A176,'QA Log'!M:M,"QQC",'QA Log'!L:L,"11. Additional Questions",'QA Log'!Z:Z,"Approved"),"")</f>
        <v/>
      </c>
      <c r="R176" s="102" t="str">
        <f>IF(A176="","",SUM(
COUNTIFS('QA Log'!D:D,A176,'QA Log'!M:M,"QQC",'QA Log'!Z:Z,"Rejected",'QA Log'!L:L,"*8. Maternity*"),
COUNTIFS('QA Log'!D:D,A176,'QA Log'!M:M,"QQC",'QA Log'!Z:Z,"Rejected",'QA Log'!L:L,"*EPI*"),
COUNTIFS('QA Log'!D:D,A176,'QA Log'!M:M,"QQC",'QA Log'!Z:Z,"Rejected",'QA Log'!L:L,"*10. Antenatal Care (ANC)*"),
COUNTIFS('QA Log'!D:D,A176,'QA Log'!M:M,"QQC",'QA Log'!Z:Z,"Rejected",'QA Log'!L:L,"*2. Hygiene and Sterilization*"),
COUNTIFS('QA Log'!D:D,A176,'QA Log'!M:M,"QQC",'QA Log'!Z:Z,"Rejected",'QA Log'!L:L,"*Family Planning*")))</f>
        <v/>
      </c>
      <c r="S176" s="106" t="str">
        <f t="shared" si="1"/>
        <v/>
      </c>
      <c r="T176" s="102" t="str">
        <f t="shared" si="2"/>
        <v/>
      </c>
      <c r="U176" s="102" t="str">
        <f>IF(A176="","",
SUM(
COUNTIFS('QA Log'!D:D,A176,'QA Log'!M:M,"QQC",'QA Log'!L:L,"*8. Maternity*"),
COUNTIFS('QA Log'!D:D,A176,'QA Log'!M:M,"QQC",'QA Log'!L:L,"*9. EPI and Pre-school Consultation*"),
COUNTIFS('QA Log'!D:D,A176,'QA Log'!M:M,"QQC",'QA Log'!L:L,"*10. Antenatal Care (ANC)*"),
COUNTIFS('QA Log'!D:D,A176,'QA Log'!M:M,"QQC",'QA Log'!L:L,"*2. Hygiene and Sterilization*"),
COUNTIFS('QA Log'!D:D,A176,'QA Log'!M:M,"QQC",'QA Log'!L:L,"*4. Family Planning*")
))</f>
        <v/>
      </c>
      <c r="V176" s="102" t="str">
        <f>IF(A176="","",
SUM(
COUNTIFS('QA Log'!D:D,A176,'QA Log'!M:M,"QQC",'QA Log'!Z:Z,"Approved",'QA Log'!L:L,"*8. Maternity*"),
COUNTIFS('QA Log'!D:D,A176,'QA Log'!M:M,"QQC",'QA Log'!Z:Z,"Approved",'QA Log'!L:L,"*9. EPI and Pre-school Consultation*"),
COUNTIFS('QA Log'!D:D,A176,'QA Log'!M:M,"QQC",'QA Log'!Z:Z,"Approved",'QA Log'!L:L,"*10. Antenatal Care (ANC)*"),
COUNTIFS('QA Log'!D:D,A176,'QA Log'!M:M,"QQC",'QA Log'!Z:Z,"Approved",'QA Log'!L:L,"*2. Hygiene and Sterilization*"),
COUNTIFS('QA Log'!D:D,A176,'QA Log'!M:M,"QQC",'QA Log'!Z:Z,"Approved",'QA Log'!L:L,"*4. Family Planning*")
))</f>
        <v/>
      </c>
      <c r="W176" s="105" t="str">
        <f>IF(A176&lt;&gt;"",COUNTIFS('QA Log'!D:D,A176,'QA Log'!M:M,"QQC",'QA Log'!L:L,"8. Maternity",'QA Log'!Z:Z,"Approved"),"")</f>
        <v/>
      </c>
      <c r="X176" s="105" t="str">
        <f>IF(A176&lt;&gt;"",COUNTIFS('QA Log'!D:D,A176,'QA Log'!M:M,"QQC",'QA Log'!L:L,"9. EPI and Pre-school Consultation",'QA Log'!Z:Z,"Approved"),"")</f>
        <v/>
      </c>
      <c r="Y176" s="105" t="str">
        <f>IF(A176&lt;&gt;"",COUNTIFS('QA Log'!D:D,A176,'QA Log'!M:M,"QQC",'QA Log'!L:L,"10. Antenatal Care (ANC)",'QA Log'!Z:Z,"Approved"),"")</f>
        <v/>
      </c>
      <c r="Z176" s="105" t="str">
        <f>IF(A176&lt;&gt;"",COUNTIFS('QA Log'!D:D,A176,'QA Log'!M:M,"QQC",'QA Log'!L:L,"2. Hygiene and Sterilization",'QA Log'!Z:Z,"Approved"),"")</f>
        <v/>
      </c>
      <c r="AA176" s="105" t="str">
        <f>IF(A176&lt;&gt;"",COUNTIFS('QA Log'!D:D,A176,'QA Log'!M:M,"QQC",'QA Log'!L:L,"4. Family Planning",'QA Log'!Z:Z,"Approved"),"")</f>
        <v/>
      </c>
      <c r="AB176" s="102" t="str">
        <f>IF(A176="","",
SUM(
COUNTIFS('QA Log'!D:D,A176,'QA Log'!M:M,"QQC",'QA Log'!Z:Z,"Rejected",'QA Log'!L:L,"*8. Maternity*"),
COUNTIFS('QA Log'!D:D,A176,'QA Log'!M:M,"QQC",'QA Log'!Z:Z,"Rejected",'QA Log'!L:L,"*9. EPI and Pre-school Consultation*"),
COUNTIFS('QA Log'!D:D,A176,'QA Log'!M:M,"QQC",'QA Log'!Z:Z,"Rejected",'QA Log'!L:L,"*10. Antenatal Care (ANC)*"),
COUNTIFS('QA Log'!D:D,A176,'QA Log'!M:M,"QQC",'QA Log'!Z:Z,"Rejected",'QA Log'!L:L,"*2. Hygiene and Sterilization*"),
COUNTIFS('QA Log'!D:D,A176,'QA Log'!M:M,"QQC",'QA Log'!Z:Z,"Rejected",'QA Log'!L:L,"*4. Family Planning*")
))</f>
        <v/>
      </c>
      <c r="AC176" s="102" t="str">
        <f t="shared" si="3"/>
        <v/>
      </c>
      <c r="AD176" s="103" t="str">
        <f t="shared" si="4"/>
        <v/>
      </c>
      <c r="AE176" s="102" t="str">
        <f>IF(A176="","",
SUM(
COUNTIFS('QA Log'!D:D,A176,'QA Log'!M:M,"Data Verification",'QA Log'!L:L,"*Medicine (section 2)*"),
COUNTIFS('QA Log'!D:D,A176,'QA Log'!M:M,"Data Verification",'QA Log'!L:L,"*Lab Testing Availability*"),
COUNTIFS('QA Log'!D:D,A176,'QA Log'!M:M,"Data Verification",'QA Log'!L:L,"*Other than P4P (section 6)*"),
COUNTIFS('QA Log'!D:D,A176,'QA Log'!M:M,"Data Verification",'QA Log'!L:L,"*Hospital Governance*")
))</f>
        <v/>
      </c>
      <c r="AF176" s="102" t="str">
        <f>IF(A176="","",
SUM(
COUNTIFS('QA Log'!D:D,A176,'QA Log'!M:M,"Data Verification",'QA Log'!Z:Z,"Approved",'QA Log'!L:L,"*Medicine (section 2)*"),
COUNTIFS('QA Log'!D:D,A176,'QA Log'!M:M,"Data Verification",'QA Log'!Z:Z,"Approved",'QA Log'!L:L,"*Lab Testing Availability*"),
COUNTIFS('QA Log'!D:D,A176,'QA Log'!M:M,"Data Verification",'QA Log'!Z:Z,"Approved",'QA Log'!L:L,"*Other than P4P (section 6)*"),
COUNTIFS('QA Log'!D:D,A176,'QA Log'!M:M,"Data Verification",'QA Log'!Z:Z,"Approved",'QA Log'!L:L,"*Hospital Governance*")
))</f>
        <v/>
      </c>
      <c r="AG176" s="105" t="str">
        <f>IF(A176&lt;&gt;"",COUNTIFS('QA Log'!D:D,A176,'QA Log'!M:M,"Data Verification",'QA Log'!L:L,"Medicine (section 2)",'QA Log'!Z:Z,"Approved"),"")</f>
        <v/>
      </c>
      <c r="AH176" s="105" t="str">
        <f>IF(A176&lt;&gt;"",COUNTIFS('QA Log'!D:D,A176,'QA Log'!M:M,"Data Verification",'QA Log'!L:L,"Lab Testing Availability",'QA Log'!Z:Z,"Approved"),"")</f>
        <v/>
      </c>
      <c r="AI176" s="105" t="str">
        <f>IF(A176&lt;&gt;"",COUNTIFS('QA Log'!D:D,A176,'QA Log'!M:M,"Data Verification",'QA Log'!L:L,"Other than P4P (section 6)",'QA Log'!Z:Z,"Approved"),"")</f>
        <v/>
      </c>
      <c r="AJ176" s="105" t="str">
        <f>IF(A176&lt;&gt;"",COUNTIFS('QA Log'!D:D,A176,'QA Log'!M:M,"Data Verification",'QA Log'!L:L,"Hospital Governance",'QA Log'!Z:Z,"Approved"),"")</f>
        <v/>
      </c>
      <c r="AK176" s="102" t="str">
        <f>IF(A176="","",
SUM(
COUNTIFS('QA Log'!D:D,A176,'QA Log'!M:M,"Data Verification",'QA Log'!Z:Z,"Rejected",'QA Log'!L:L,"*Medicine (section 2)*"),
COUNTIFS('QA Log'!D:D,A176,'QA Log'!M:M,"Data Verification",'QA Log'!Z:Z,"Rejected",'QA Log'!L:L,"*Lab Testing Availability*"),
COUNTIFS('QA Log'!D:D,A176,'QA Log'!M:M,"Data Verification",'QA Log'!Z:Z,"Rejected",'QA Log'!L:L,"*Other than P4P (section 6)*"),
COUNTIFS('QA Log'!D:D,A176,'QA Log'!M:M,"Data Verification",'QA Log'!Z:Z,"Rejected",'QA Log'!L:L,"*Hospital Governance*")
))</f>
        <v/>
      </c>
      <c r="AL176" s="106" t="str">
        <f t="shared" si="5"/>
        <v/>
      </c>
      <c r="AM176" s="102" t="str">
        <f t="shared" si="6"/>
        <v/>
      </c>
      <c r="AN176" s="102" t="str">
        <f>IF(A176="","",
SUM(
COUNTIFS('QA Log'!D:D,A176,'QA Log'!M:M,"Data Verification",'QA Log'!L:L,"*Personnel (section 1)*"),
COUNTIFS('QA Log'!D:D,A176,'QA Log'!M:M,"Data Verification",'QA Log'!L:L,"*Consumable (section 3)*"),
COUNTIFS('QA Log'!D:D,A176,'QA Log'!M:M,"Data Verification",'QA Log'!L:L,"*Equipments (section 4)*")
))</f>
        <v/>
      </c>
      <c r="AO176" s="102" t="str">
        <f>IF(A176="","",
SUM(
COUNTIFS('QA Log'!D:D,A176,'QA Log'!M:M,"Data Verification",'QA Log'!Z:Z,"Approved",'QA Log'!L:L,"*Personnel (section 1)*"),
COUNTIFS('QA Log'!D:D,A176,'QA Log'!M:M,"Data Verification",'QA Log'!Z:Z,"Approved",'QA Log'!L:L,"*Consumable (section 3)*"),
COUNTIFS('QA Log'!D:D,A176,'QA Log'!M:M,"Data Verification",'QA Log'!Z:Z,"Approved",'QA Log'!L:L,"*Equipments (section 4)*")
))</f>
        <v/>
      </c>
      <c r="AP176" s="105" t="str">
        <f>IF(A176&lt;&gt;"",COUNTIFS('QA Log'!D:D,A176,'QA Log'!M:M,"Data Verification",'QA Log'!L:L,"Personnel (section 1)",'QA Log'!Z:Z,"Approved"),"")</f>
        <v/>
      </c>
      <c r="AQ176" s="105" t="str">
        <f>IF(A176&lt;&gt;"",COUNTIFS('QA Log'!D:D,A176,'QA Log'!M:M,"Data Verification",'QA Log'!L:L,"Consumable (section 3)",'QA Log'!Z:Z,"Approved"),"")</f>
        <v/>
      </c>
      <c r="AR176" s="105" t="str">
        <f>IF(A176&lt;&gt;"",COUNTIFS('QA Log'!D:D,A176,'QA Log'!M:M,"Data Verification",'QA Log'!L:L,"Equipments (section 4)",'QA Log'!Z:Z,"Approved"),"")</f>
        <v/>
      </c>
      <c r="AS176" s="102" t="str">
        <f>IF(A176="","",
SUM(
COUNTIFS('QA Log'!D:D,A176,'QA Log'!M:M,"Data Verification",'QA Log'!Z:Z,"Rejected",'QA Log'!L:L,"*Personnel (section 1)*"),
COUNTIFS('QA Log'!D:D,A176,'QA Log'!M:M,"Data Verification",'QA Log'!Z:Z,"Rejected",'QA Log'!L:L,"*Consumable (section 3)*"),
COUNTIFS('QA Log'!D:D,A176,'QA Log'!M:M,"Data Verification",'QA Log'!Z:Z,"Rejected",'QA Log'!L:L,"*Equipments (section 4)*")
))</f>
        <v/>
      </c>
      <c r="AT176" s="102" t="str">
        <f t="shared" si="7"/>
        <v/>
      </c>
      <c r="AU176" s="103" t="str">
        <f t="shared" si="8"/>
        <v/>
      </c>
      <c r="AV176" s="102" t="str">
        <f>IF(A176="","",SUM(
COUNTIFS('QA Log'!D:D,A176,'QA Log'!M:M,"Vignette",'QA Log'!L:L,"*Vignette [1] Respiratory Infection: Pneumonia*"),
COUNTIFS('QA Log'!D:D,A176,'QA Log'!M:M,"Vignette",'QA Log'!L:L,"*Vignette [2]: Diarrhea with Cat B dehydration*"),
COUNTIFS('QA Log'!D:D,A176,'QA Log'!M:M,"Vignette",'QA Log'!L:L,"*Vignette [3] Growth Monitoring and Promotion*"),
COUNTIFS('QA Log'!D:D,A176,'QA Log'!M:M,"Vignette",'QA Log'!L:L,"*Vignette [4]: The management of presumptive TB patient*")
)
)</f>
        <v/>
      </c>
      <c r="AW176" s="102" t="str">
        <f>IF(
  A176="","",
  SUM(
    COUNTIFS('QA Log'!D:D,A176,'QA Log'!M:M,"Vignette",'QA Log'!Z:Z,"Approved",'QA Log'!L:L,"*Vignette [1] Respiratory Infection: Pneumonia*"),
    COUNTIFS('QA Log'!D:D,A176,'QA Log'!M:M,"Vignette",'QA Log'!Z:Z,"Approved",'QA Log'!L:L,"*Vignette [2]: Diarrhea with Cat B dehydration*"),
    COUNTIFS('QA Log'!D:D,A176,'QA Log'!M:M,"Vignette",'QA Log'!Z:Z,"Approved",'QA Log'!L:L,"*Vignette [3] Growth Monitoring and Promotion*"),
    COUNTIFS('QA Log'!D:D,A176,'QA Log'!M:M,"Vignette",'QA Log'!Z:Z,"Approved",'QA Log'!L:L,"*Vignette [4]: The management of presumptive TB patient*")
  )
)</f>
        <v/>
      </c>
      <c r="AX176" s="105" t="str">
        <f>IF(A176&lt;&gt;"",COUNTIFS('QA Log'!D:D,A176,'QA Log'!M:M,"Vignette",'QA Log'!L:L,"Vignette [1] Respiratory Infection: Pneumonia",'QA Log'!Z:Z,"Approved"),"")</f>
        <v/>
      </c>
      <c r="AY176" s="105" t="str">
        <f>IF(A176&lt;&gt;"",COUNTIFS('QA Log'!D:D,A176,'QA Log'!M:M,"Vignette",'QA Log'!L:L,"Vignette [2]: Diarrhea with Cat B dehydration",'QA Log'!Z:Z,"Approved"),"")</f>
        <v/>
      </c>
      <c r="AZ176" s="105" t="str">
        <f>IF(A176&lt;&gt;"",COUNTIFS('QA Log'!D:D,A176,'QA Log'!M:M,"Vignette",'QA Log'!L:L,"Vignette [3] Growth Monitoring and Promotion",'QA Log'!Z:Z,"Approved"),"")</f>
        <v/>
      </c>
      <c r="BA176" s="105" t="str">
        <f>IF(A176&lt;&gt;"",COUNTIFS('QA Log'!D:D,A176,'QA Log'!M:M,"Vignette",'QA Log'!L:L,"Vignette [4]: The management of presumptive TB patient",'QA Log'!Z:Z,"Approved"),"")</f>
        <v/>
      </c>
      <c r="BB176" s="102" t="str">
        <f>IF(A176="","",
  SUM(
    COUNTIFS('QA Log'!D:D,A176,'QA Log'!M:M,"Vignette",'QA Log'!Z:Z,"Rejected",'QA Log'!L:L,"*Vignette [1] Respiratory Infection: Pneumonia*"),
    COUNTIFS('QA Log'!D:D,A176,'QA Log'!M:M,"Vignette",'QA Log'!Z:Z,"Rejected",'QA Log'!L:L,"*Vignette [2]: Diarrhea with Cat B dehydration*"),
    COUNTIFS('QA Log'!D:D,A176,'QA Log'!M:M,"Vignette",'QA Log'!Z:Z,"Rejected",'QA Log'!L:L,"*Vignette [3] Growth Monitoring and Promotion*"),
    COUNTIFS('QA Log'!D:D,A176,'QA Log'!M:M,"Vignette",'QA Log'!Z:Z,"Rejected",'QA Log'!L:L,"*Vignette [4]: The management of presumptive TB patient*")
  )
)</f>
        <v/>
      </c>
      <c r="BC176" s="107" t="str">
        <f t="shared" si="9"/>
        <v/>
      </c>
      <c r="BD176" s="103" t="str">
        <f t="shared" si="10"/>
        <v/>
      </c>
      <c r="BE176" s="102" t="str">
        <f>IF(A176="","",SUM(
COUNTIFS('QA Log'!D:D,A176,'QA Log'!M:M,"Vignette",'QA Log'!L:L,"*Vignette [5] Labor*"),
COUNTIFS('QA Log'!D:D,A176,'QA Log'!M:M,"Vignette",'QA Log'!L:L,"*Vignette [6] PNC pre Discharge*"),
COUNTIFS('QA Log'!D:D,A176,'QA Log'!M:M,"Vignette",'QA Log'!L:L,"*Vignette [7] First ANC Visit*"),
COUNTIFS('QA Log'!D:D,A176,'QA Log'!M:M,"Vignette",'QA Log'!L:L,"*Vignette [8] Birth Spacing/ Family Planning :  FP Counselling*"),
COUNTIFS('QA Log'!D:D,A176,'QA Log'!M:M,"Vignette",'QA Log'!L:L,"*Vignette [9] Birth Spacing: Change FP method to Injectable*"),
COUNTIFS('QA Log'!D:D,A176,'QA Log'!M:M,"Vignette",'QA Log'!L:L,"*Vignette [10] Post Partum Haemorrhage - Atonic Uterus at Health Centre*"),
)
)</f>
        <v/>
      </c>
      <c r="BF176" s="102" t="str">
        <f>IF(A176="","",
  SUM(
    COUNTIFS('QA Log'!D:D,A176,'QA Log'!M:M,"Vignette",'QA Log'!Z:Z,"Approved",'QA Log'!L:L,"*Vignette [5] Labor*"),
    COUNTIFS('QA Log'!D:D,A176,'QA Log'!M:M,"Vignette",'QA Log'!Z:Z,"Approved",'QA Log'!L:L,"*Vignette [6] PNC pre Discharge*"),
    COUNTIFS('QA Log'!D:D,A176,'QA Log'!M:M,"Vignette",'QA Log'!Z:Z,"Approved",'QA Log'!L:L,"*Vignette [7] First ANC Visit*"),
    COUNTIFS('QA Log'!D:D,A176,'QA Log'!M:M,"Vignette",'QA Log'!Z:Z,"Approved",'QA Log'!L:L,"*Vignette [8] Birth Spacing/ Family Planning :  FP Counselling*"),
    COUNTIFS('QA Log'!D:D,A176,'QA Log'!M:M,"Vignette",'QA Log'!Z:Z,"Approved",'QA Log'!L:L,"*Vignette [9] Birth Spacing: Change FP method to Injectable*"),
    COUNTIFS('QA Log'!D:D,A176,'QA Log'!M:M,"Vignette",'QA Log'!Z:Z,"Approved",'QA Log'!L:L,"*Vignette [10] Post Partum Haemorrhage - Atonic Uterus at Health Centre*")
  )
)</f>
        <v/>
      </c>
      <c r="BG176" s="105" t="str">
        <f>IF(A176&lt;&gt;"",COUNTIFS('QA Log'!D:D,A176,'QA Log'!M:M,"Vignette",'QA Log'!L:L,"Vignette [5] Labor",'QA Log'!Z:Z,"Approved"),"")</f>
        <v/>
      </c>
      <c r="BH176" s="105" t="str">
        <f>IF(A176&lt;&gt;"",COUNTIFS('QA Log'!D:D,A176,'QA Log'!M:M,"Vignette",'QA Log'!L:L,"Vignette [6] PNC pre Discharge",'QA Log'!Z:Z,"Approved"),"")</f>
        <v/>
      </c>
      <c r="BI176" s="105" t="str">
        <f>IF(A176&lt;&gt;"",COUNTIFS('QA Log'!D:D,A176,'QA Log'!M:M,"Vignette",'QA Log'!L:L,"Vignette [7] First ANC Visit",'QA Log'!Z:Z,"Approved"),"")</f>
        <v/>
      </c>
      <c r="BJ176" s="105" t="str">
        <f>IF(A176&lt;&gt;"",COUNTIFS('QA Log'!D:D,A176,'QA Log'!M:M,"Vignette",'QA Log'!L:L,"Vignette [8] Birth Spacing/ Family Planning :  FP Counselling",'QA Log'!Z:Z,"Approved"),"")</f>
        <v/>
      </c>
      <c r="BK176" s="105" t="str">
        <f>IF(A176&lt;&gt;"",COUNTIFS('QA Log'!D:D,A176,'QA Log'!M:M,"Vignette",'QA Log'!L:L,"Vignette [9] Birth Spacing: Change FP method to Injectable",'QA Log'!Z:Z,"Approved"),"")</f>
        <v/>
      </c>
      <c r="BL176" s="105" t="str">
        <f>IF(A176&lt;&gt;"",COUNTIFS('QA Log'!D:D,A176,'QA Log'!M:M,"Vignette",'QA Log'!L:L,"Vignette [10] Post Partum Haemorrhage - Atonic Uterus at Health Centre",'QA Log'!Z:Z,"Approved"),"")</f>
        <v/>
      </c>
      <c r="BM176" s="102" t="str">
        <f>IF(A176="","",SUM(
    COUNTIFS('QA Log'!D:D,A176,'QA Log'!M:M,"Vignette",'QA Log'!Z:Z,"Rejected",'QA Log'!L:L,"*Vignette [5] Labor*"),
    COUNTIFS('QA Log'!D:D,A176,'QA Log'!M:M,"Vignette",'QA Log'!Z:Z,"Rejected",'QA Log'!L:L,"*Vignette [6] PNC pre Discharge*"),
    COUNTIFS('QA Log'!D:D,A176,'QA Log'!M:M,"Vignette",'QA Log'!Z:Z,"Rejected",'QA Log'!L:L,"*Vignette [7] First ANC Visit*"),
    COUNTIFS('QA Log'!D:D,A176,'QA Log'!M:M,"Vignette",'QA Log'!Z:Z,"Rejected",'QA Log'!L:L,"*Vignette [8] Birth Spacing/ Family Planning :  FP Counselling*"),
    COUNTIFS('QA Log'!D:D,A176,'QA Log'!M:M,"Vignette",'QA Log'!Z:Z,"Rejected",'QA Log'!L:L,"*Vignette [9] Birth Spacing: Change FP method to Injectable*"),
    COUNTIFS('QA Log'!D:D,A176,'QA Log'!M:M,"Vignette",'QA Log'!Z:Z,"Rejected",'QA Log'!L:L,"*Vignette [10] Post Partum Haemorrhage - Atonic Uterus at Health Centre*")
  )
)</f>
        <v/>
      </c>
      <c r="BN176" s="107" t="str">
        <f t="shared" si="11"/>
        <v/>
      </c>
      <c r="BO176" s="103" t="str">
        <f t="shared" si="12"/>
        <v/>
      </c>
      <c r="BP176" s="102" t="str">
        <f>IF(A176="","",SUM(
COUNTIFS('QA Log'!D:D,A176,'QA Log'!M:M,"Vignette",'QA Log'!L:L,"*Exit Interview 1*"),
COUNTIFS('QA Log'!D:D,A176,'QA Log'!M:M,"Vignette",'QA Log'!L:L,"*Exit Interview 2*"),
)
)</f>
        <v/>
      </c>
      <c r="BQ176" s="102" t="str">
        <f>IF(
  A176="","",
  SUM(
    COUNTIFS('QA Log'!D:D,A176,'QA Log'!M:M,"Vignette",'QA Log'!Z:Z,"Approved",'QA Log'!L:L,"*Exit Interview 1*"),
    COUNTIFS('QA Log'!D:D,A176,'QA Log'!M:M,"Vignette",'QA Log'!Z:Z,"Approved",'QA Log'!L:L,"*Exit Interview 2*")
  )
)</f>
        <v/>
      </c>
      <c r="BR176" s="105" t="str">
        <f>IF(A176&lt;&gt;"",COUNTIFS('QA Log'!D:D,A176,'QA Log'!M:M,"Vignette",'QA Log'!L:L,"Exit Interview 1",'QA Log'!Z:Z,"Approved"),"")</f>
        <v/>
      </c>
      <c r="BS176" s="105" t="str">
        <f>IF(A176&lt;&gt;"",COUNTIFS('QA Log'!D:D,A176,'QA Log'!M:M,"Vignette",'QA Log'!L:L,"Exit Interview 2",'QA Log'!Z:Z,"Approved"),"")</f>
        <v/>
      </c>
      <c r="BT176" s="102" t="str">
        <f>IF(
  A176="","",
  SUM(
    COUNTIFS('QA Log'!D:D,A176,'QA Log'!M:M,"Vignette",'QA Log'!Z:Z,"Rejected",'QA Log'!L:L,"*Exit Interview 1*"),
    COUNTIFS('QA Log'!D:D,A176,'QA Log'!M:M,"Vignette",'QA Log'!Z:Z,"Rejected",'QA Log'!L:L,"*Exit Interview 2*")
  )
)</f>
        <v/>
      </c>
      <c r="BU176" s="107" t="str">
        <f t="shared" si="13"/>
        <v/>
      </c>
      <c r="BV176" s="102" t="str">
        <f t="shared" si="14"/>
        <v/>
      </c>
      <c r="BW176" s="102" t="str">
        <f t="shared" si="15"/>
        <v/>
      </c>
      <c r="BX176" s="102" t="str">
        <f t="shared" si="16"/>
        <v/>
      </c>
      <c r="BY176" s="102" t="str">
        <f t="shared" si="17"/>
        <v/>
      </c>
      <c r="BZ176" s="107" t="str">
        <f t="shared" si="18"/>
        <v/>
      </c>
      <c r="CA176" s="108" t="str">
        <f t="shared" si="19"/>
        <v/>
      </c>
      <c r="CB176" s="108" t="str">
        <f t="shared" si="20"/>
        <v/>
      </c>
      <c r="CC176" s="109" t="str">
        <f t="shared" si="21"/>
        <v/>
      </c>
      <c r="CD176" s="108" t="str">
        <f t="shared" si="22"/>
        <v/>
      </c>
      <c r="CE176" s="108" t="str">
        <f t="shared" si="23"/>
        <v/>
      </c>
      <c r="CF176" s="109" t="str">
        <f t="shared" si="24"/>
        <v/>
      </c>
      <c r="CG176" s="110" t="str">
        <f t="shared" si="25"/>
        <v/>
      </c>
      <c r="CH176" s="111"/>
    </row>
    <row r="177" spans="1:86" ht="12.75">
      <c r="A177" s="101"/>
      <c r="B177" s="102" t="e">
        <f t="array" aca="1" ref="B177" ca="1">_xludf.XLOOKUP(A177,'QA Log'!D:D,'QA Log'!E:E,"")</f>
        <v>#NAME?</v>
      </c>
      <c r="C177" s="102" t="e">
        <f t="array" aca="1" ref="C177" ca="1">_xludf.XLOOKUP(A177,'QA Log'!D:D,'QA Log'!F:F,"")</f>
        <v>#NAME?</v>
      </c>
      <c r="D177" s="102" t="e">
        <f t="array" aca="1" ref="D177" ca="1">_xludf.XLOOKUP(A177,'QA Log'!D:D,'QA Log'!H:H,"")</f>
        <v>#NAME?</v>
      </c>
      <c r="E177" s="102" t="e">
        <f t="array" aca="1" ref="E177" ca="1">_xludf.XLOOKUP(A177,'QA Log'!D:D,'QA Log'!G:G,"")</f>
        <v>#NAME?</v>
      </c>
      <c r="F177" s="103"/>
      <c r="G177" s="104"/>
      <c r="H177" s="104"/>
      <c r="I177" s="103" t="str">
        <f t="shared" si="0"/>
        <v/>
      </c>
      <c r="J177" s="102" t="str">
        <f>IF(A177="","",SUM(
COUNTIFS('QA Log'!D:D,A177,'QA Log'!M:M,"QQC",'QA Log'!L:L,"*1. General Management*"),
COUNTIFS('QA Log'!D:D,A177,'QA Log'!M:M,"QQC",'QA Log'!L:L,"*3. Curative Consultation (OPD)*"),
COUNTIFS('QA Log'!D:D,A177,'QA Log'!M:M,"QQC",'QA Log'!L:L,"*5. Laboratory*"),
COUNTIFS('QA Log'!D:D,A177,'QA Log'!M:M,"QQC",'QA Log'!L:L,"*6. Essential Medicine Management*"),
COUNTIFS('QA Log'!D:D,A177,'QA Log'!M:M,"QQC",'QA Log'!L:L,"*7. Tracer Medicine*"),
COUNTIFS('QA Log'!D:D,A177,'QA Log'!M:M,"QQC",'QA Log'!L:L,"*11. Additional Questions*")))</f>
        <v/>
      </c>
      <c r="K177" s="102" t="str">
        <f>IF(A177="","",SUM(
COUNTIFS('QA Log'!D:D,A177,'QA Log'!M:M,"QQC",'QA Log'!Z:Z,"Approved",'QA Log'!L:L,"*1. General Management*"),
COUNTIFS('QA Log'!D:D,A177,'QA Log'!M:M,"QQC",'QA Log'!Z:Z,"Approved",'QA Log'!L:L,"*3. Curative Consultation (OPD)*"),
COUNTIFS('QA Log'!D:D,A177,'QA Log'!M:M,"QQC",'QA Log'!Z:Z,"Approved",'QA Log'!L:L,"*5. Laboratory*"),
COUNTIFS('QA Log'!D:D,A177,'QA Log'!M:M,"QQC",'QA Log'!Z:Z,"Approved",'QA Log'!L:L,"*6. Essential Medicine Management*"),
COUNTIFS('QA Log'!D:D,A177,'QA Log'!M:M,"QQC",'QA Log'!Z:Z,"Approved",'QA Log'!L:L,"*7. Tracer Medicine*"),
COUNTIFS('QA Log'!D:D,A177,'QA Log'!M:M,"QQC",'QA Log'!Z:Z,"Approved",'QA Log'!L:L,"*11. Additional Questions*")))</f>
        <v/>
      </c>
      <c r="L177" s="105" t="str">
        <f>IF(A177&lt;&gt;"",COUNTIFS('QA Log'!D:D,A177,'QA Log'!M:M,"QQC",'QA Log'!L:L,"1. General Management",'QA Log'!Z:Z,"Approved"),"")</f>
        <v/>
      </c>
      <c r="M177" s="105" t="str">
        <f>IF(A177&lt;&gt;"",COUNTIFS('QA Log'!D:D,A177,'QA Log'!M:M,"QQC",'QA Log'!L:L,"3. Curative Consultation (OPD)",'QA Log'!Z:Z,"Approved"),"")</f>
        <v/>
      </c>
      <c r="N177" s="105" t="str">
        <f>IF(A177&lt;&gt;"",COUNTIFS('QA Log'!D:D,A177,'QA Log'!M:M,"QQC",'QA Log'!L:L,"5. Laboratory",'QA Log'!Z:Z,"Approved"),"")</f>
        <v/>
      </c>
      <c r="O177" s="105" t="str">
        <f>IF(A177&lt;&gt;"",COUNTIFS('QA Log'!D:D,A177,'QA Log'!M:M,"QQC",'QA Log'!L:L,"6. Essential Medicine Management",'QA Log'!Z:Z,"Approved"),"")</f>
        <v/>
      </c>
      <c r="P177" s="105" t="str">
        <f>IF(A177&lt;&gt;"",COUNTIFS('QA Log'!D:D,A177,'QA Log'!M:M,"QQC",'QA Log'!L:L,"7. Tracer Medicine",'QA Log'!Z:Z,"Approved"),"")</f>
        <v/>
      </c>
      <c r="Q177" s="105" t="str">
        <f>IF(A177&lt;&gt;"",COUNTIFS('QA Log'!D:D,A177,'QA Log'!M:M,"QQC",'QA Log'!L:L,"11. Additional Questions",'QA Log'!Z:Z,"Approved"),"")</f>
        <v/>
      </c>
      <c r="R177" s="102" t="str">
        <f>IF(A177="","",SUM(
COUNTIFS('QA Log'!D:D,A177,'QA Log'!M:M,"QQC",'QA Log'!Z:Z,"Rejected",'QA Log'!L:L,"*8. Maternity*"),
COUNTIFS('QA Log'!D:D,A177,'QA Log'!M:M,"QQC",'QA Log'!Z:Z,"Rejected",'QA Log'!L:L,"*EPI*"),
COUNTIFS('QA Log'!D:D,A177,'QA Log'!M:M,"QQC",'QA Log'!Z:Z,"Rejected",'QA Log'!L:L,"*10. Antenatal Care (ANC)*"),
COUNTIFS('QA Log'!D:D,A177,'QA Log'!M:M,"QQC",'QA Log'!Z:Z,"Rejected",'QA Log'!L:L,"*2. Hygiene and Sterilization*"),
COUNTIFS('QA Log'!D:D,A177,'QA Log'!M:M,"QQC",'QA Log'!Z:Z,"Rejected",'QA Log'!L:L,"*Family Planning*")))</f>
        <v/>
      </c>
      <c r="S177" s="106" t="str">
        <f t="shared" si="1"/>
        <v/>
      </c>
      <c r="T177" s="102" t="str">
        <f t="shared" si="2"/>
        <v/>
      </c>
      <c r="U177" s="102" t="str">
        <f>IF(A177="","",
SUM(
COUNTIFS('QA Log'!D:D,A177,'QA Log'!M:M,"QQC",'QA Log'!L:L,"*8. Maternity*"),
COUNTIFS('QA Log'!D:D,A177,'QA Log'!M:M,"QQC",'QA Log'!L:L,"*9. EPI and Pre-school Consultation*"),
COUNTIFS('QA Log'!D:D,A177,'QA Log'!M:M,"QQC",'QA Log'!L:L,"*10. Antenatal Care (ANC)*"),
COUNTIFS('QA Log'!D:D,A177,'QA Log'!M:M,"QQC",'QA Log'!L:L,"*2. Hygiene and Sterilization*"),
COUNTIFS('QA Log'!D:D,A177,'QA Log'!M:M,"QQC",'QA Log'!L:L,"*4. Family Planning*")
))</f>
        <v/>
      </c>
      <c r="V177" s="102" t="str">
        <f>IF(A177="","",
SUM(
COUNTIFS('QA Log'!D:D,A177,'QA Log'!M:M,"QQC",'QA Log'!Z:Z,"Approved",'QA Log'!L:L,"*8. Maternity*"),
COUNTIFS('QA Log'!D:D,A177,'QA Log'!M:M,"QQC",'QA Log'!Z:Z,"Approved",'QA Log'!L:L,"*9. EPI and Pre-school Consultation*"),
COUNTIFS('QA Log'!D:D,A177,'QA Log'!M:M,"QQC",'QA Log'!Z:Z,"Approved",'QA Log'!L:L,"*10. Antenatal Care (ANC)*"),
COUNTIFS('QA Log'!D:D,A177,'QA Log'!M:M,"QQC",'QA Log'!Z:Z,"Approved",'QA Log'!L:L,"*2. Hygiene and Sterilization*"),
COUNTIFS('QA Log'!D:D,A177,'QA Log'!M:M,"QQC",'QA Log'!Z:Z,"Approved",'QA Log'!L:L,"*4. Family Planning*")
))</f>
        <v/>
      </c>
      <c r="W177" s="105" t="str">
        <f>IF(A177&lt;&gt;"",COUNTIFS('QA Log'!D:D,A177,'QA Log'!M:M,"QQC",'QA Log'!L:L,"8. Maternity",'QA Log'!Z:Z,"Approved"),"")</f>
        <v/>
      </c>
      <c r="X177" s="105" t="str">
        <f>IF(A177&lt;&gt;"",COUNTIFS('QA Log'!D:D,A177,'QA Log'!M:M,"QQC",'QA Log'!L:L,"9. EPI and Pre-school Consultation",'QA Log'!Z:Z,"Approved"),"")</f>
        <v/>
      </c>
      <c r="Y177" s="105" t="str">
        <f>IF(A177&lt;&gt;"",COUNTIFS('QA Log'!D:D,A177,'QA Log'!M:M,"QQC",'QA Log'!L:L,"10. Antenatal Care (ANC)",'QA Log'!Z:Z,"Approved"),"")</f>
        <v/>
      </c>
      <c r="Z177" s="105" t="str">
        <f>IF(A177&lt;&gt;"",COUNTIFS('QA Log'!D:D,A177,'QA Log'!M:M,"QQC",'QA Log'!L:L,"2. Hygiene and Sterilization",'QA Log'!Z:Z,"Approved"),"")</f>
        <v/>
      </c>
      <c r="AA177" s="105" t="str">
        <f>IF(A177&lt;&gt;"",COUNTIFS('QA Log'!D:D,A177,'QA Log'!M:M,"QQC",'QA Log'!L:L,"4. Family Planning",'QA Log'!Z:Z,"Approved"),"")</f>
        <v/>
      </c>
      <c r="AB177" s="102" t="str">
        <f>IF(A177="","",
SUM(
COUNTIFS('QA Log'!D:D,A177,'QA Log'!M:M,"QQC",'QA Log'!Z:Z,"Rejected",'QA Log'!L:L,"*8. Maternity*"),
COUNTIFS('QA Log'!D:D,A177,'QA Log'!M:M,"QQC",'QA Log'!Z:Z,"Rejected",'QA Log'!L:L,"*9. EPI and Pre-school Consultation*"),
COUNTIFS('QA Log'!D:D,A177,'QA Log'!M:M,"QQC",'QA Log'!Z:Z,"Rejected",'QA Log'!L:L,"*10. Antenatal Care (ANC)*"),
COUNTIFS('QA Log'!D:D,A177,'QA Log'!M:M,"QQC",'QA Log'!Z:Z,"Rejected",'QA Log'!L:L,"*2. Hygiene and Sterilization*"),
COUNTIFS('QA Log'!D:D,A177,'QA Log'!M:M,"QQC",'QA Log'!Z:Z,"Rejected",'QA Log'!L:L,"*4. Family Planning*")
))</f>
        <v/>
      </c>
      <c r="AC177" s="102" t="str">
        <f t="shared" si="3"/>
        <v/>
      </c>
      <c r="AD177" s="103" t="str">
        <f t="shared" si="4"/>
        <v/>
      </c>
      <c r="AE177" s="102" t="str">
        <f>IF(A177="","",
SUM(
COUNTIFS('QA Log'!D:D,A177,'QA Log'!M:M,"Data Verification",'QA Log'!L:L,"*Medicine (section 2)*"),
COUNTIFS('QA Log'!D:D,A177,'QA Log'!M:M,"Data Verification",'QA Log'!L:L,"*Lab Testing Availability*"),
COUNTIFS('QA Log'!D:D,A177,'QA Log'!M:M,"Data Verification",'QA Log'!L:L,"*Other than P4P (section 6)*"),
COUNTIFS('QA Log'!D:D,A177,'QA Log'!M:M,"Data Verification",'QA Log'!L:L,"*Hospital Governance*")
))</f>
        <v/>
      </c>
      <c r="AF177" s="102" t="str">
        <f>IF(A177="","",
SUM(
COUNTIFS('QA Log'!D:D,A177,'QA Log'!M:M,"Data Verification",'QA Log'!Z:Z,"Approved",'QA Log'!L:L,"*Medicine (section 2)*"),
COUNTIFS('QA Log'!D:D,A177,'QA Log'!M:M,"Data Verification",'QA Log'!Z:Z,"Approved",'QA Log'!L:L,"*Lab Testing Availability*"),
COUNTIFS('QA Log'!D:D,A177,'QA Log'!M:M,"Data Verification",'QA Log'!Z:Z,"Approved",'QA Log'!L:L,"*Other than P4P (section 6)*"),
COUNTIFS('QA Log'!D:D,A177,'QA Log'!M:M,"Data Verification",'QA Log'!Z:Z,"Approved",'QA Log'!L:L,"*Hospital Governance*")
))</f>
        <v/>
      </c>
      <c r="AG177" s="105" t="str">
        <f>IF(A177&lt;&gt;"",COUNTIFS('QA Log'!D:D,A177,'QA Log'!M:M,"Data Verification",'QA Log'!L:L,"Medicine (section 2)",'QA Log'!Z:Z,"Approved"),"")</f>
        <v/>
      </c>
      <c r="AH177" s="105" t="str">
        <f>IF(A177&lt;&gt;"",COUNTIFS('QA Log'!D:D,A177,'QA Log'!M:M,"Data Verification",'QA Log'!L:L,"Lab Testing Availability",'QA Log'!Z:Z,"Approved"),"")</f>
        <v/>
      </c>
      <c r="AI177" s="105" t="str">
        <f>IF(A177&lt;&gt;"",COUNTIFS('QA Log'!D:D,A177,'QA Log'!M:M,"Data Verification",'QA Log'!L:L,"Other than P4P (section 6)",'QA Log'!Z:Z,"Approved"),"")</f>
        <v/>
      </c>
      <c r="AJ177" s="105" t="str">
        <f>IF(A177&lt;&gt;"",COUNTIFS('QA Log'!D:D,A177,'QA Log'!M:M,"Data Verification",'QA Log'!L:L,"Hospital Governance",'QA Log'!Z:Z,"Approved"),"")</f>
        <v/>
      </c>
      <c r="AK177" s="102" t="str">
        <f>IF(A177="","",
SUM(
COUNTIFS('QA Log'!D:D,A177,'QA Log'!M:M,"Data Verification",'QA Log'!Z:Z,"Rejected",'QA Log'!L:L,"*Medicine (section 2)*"),
COUNTIFS('QA Log'!D:D,A177,'QA Log'!M:M,"Data Verification",'QA Log'!Z:Z,"Rejected",'QA Log'!L:L,"*Lab Testing Availability*"),
COUNTIFS('QA Log'!D:D,A177,'QA Log'!M:M,"Data Verification",'QA Log'!Z:Z,"Rejected",'QA Log'!L:L,"*Other than P4P (section 6)*"),
COUNTIFS('QA Log'!D:D,A177,'QA Log'!M:M,"Data Verification",'QA Log'!Z:Z,"Rejected",'QA Log'!L:L,"*Hospital Governance*")
))</f>
        <v/>
      </c>
      <c r="AL177" s="106" t="str">
        <f t="shared" si="5"/>
        <v/>
      </c>
      <c r="AM177" s="102" t="str">
        <f t="shared" si="6"/>
        <v/>
      </c>
      <c r="AN177" s="102" t="str">
        <f>IF(A177="","",
SUM(
COUNTIFS('QA Log'!D:D,A177,'QA Log'!M:M,"Data Verification",'QA Log'!L:L,"*Personnel (section 1)*"),
COUNTIFS('QA Log'!D:D,A177,'QA Log'!M:M,"Data Verification",'QA Log'!L:L,"*Consumable (section 3)*"),
COUNTIFS('QA Log'!D:D,A177,'QA Log'!M:M,"Data Verification",'QA Log'!L:L,"*Equipments (section 4)*")
))</f>
        <v/>
      </c>
      <c r="AO177" s="102" t="str">
        <f>IF(A177="","",
SUM(
COUNTIFS('QA Log'!D:D,A177,'QA Log'!M:M,"Data Verification",'QA Log'!Z:Z,"Approved",'QA Log'!L:L,"*Personnel (section 1)*"),
COUNTIFS('QA Log'!D:D,A177,'QA Log'!M:M,"Data Verification",'QA Log'!Z:Z,"Approved",'QA Log'!L:L,"*Consumable (section 3)*"),
COUNTIFS('QA Log'!D:D,A177,'QA Log'!M:M,"Data Verification",'QA Log'!Z:Z,"Approved",'QA Log'!L:L,"*Equipments (section 4)*")
))</f>
        <v/>
      </c>
      <c r="AP177" s="105" t="str">
        <f>IF(A177&lt;&gt;"",COUNTIFS('QA Log'!D:D,A177,'QA Log'!M:M,"Data Verification",'QA Log'!L:L,"Personnel (section 1)",'QA Log'!Z:Z,"Approved"),"")</f>
        <v/>
      </c>
      <c r="AQ177" s="105" t="str">
        <f>IF(A177&lt;&gt;"",COUNTIFS('QA Log'!D:D,A177,'QA Log'!M:M,"Data Verification",'QA Log'!L:L,"Consumable (section 3)",'QA Log'!Z:Z,"Approved"),"")</f>
        <v/>
      </c>
      <c r="AR177" s="105" t="str">
        <f>IF(A177&lt;&gt;"",COUNTIFS('QA Log'!D:D,A177,'QA Log'!M:M,"Data Verification",'QA Log'!L:L,"Equipments (section 4)",'QA Log'!Z:Z,"Approved"),"")</f>
        <v/>
      </c>
      <c r="AS177" s="102" t="str">
        <f>IF(A177="","",
SUM(
COUNTIFS('QA Log'!D:D,A177,'QA Log'!M:M,"Data Verification",'QA Log'!Z:Z,"Rejected",'QA Log'!L:L,"*Personnel (section 1)*"),
COUNTIFS('QA Log'!D:D,A177,'QA Log'!M:M,"Data Verification",'QA Log'!Z:Z,"Rejected",'QA Log'!L:L,"*Consumable (section 3)*"),
COUNTIFS('QA Log'!D:D,A177,'QA Log'!M:M,"Data Verification",'QA Log'!Z:Z,"Rejected",'QA Log'!L:L,"*Equipments (section 4)*")
))</f>
        <v/>
      </c>
      <c r="AT177" s="102" t="str">
        <f t="shared" si="7"/>
        <v/>
      </c>
      <c r="AU177" s="103" t="str">
        <f t="shared" si="8"/>
        <v/>
      </c>
      <c r="AV177" s="102" t="str">
        <f>IF(A177="","",SUM(
COUNTIFS('QA Log'!D:D,A177,'QA Log'!M:M,"Vignette",'QA Log'!L:L,"*Vignette [1] Respiratory Infection: Pneumonia*"),
COUNTIFS('QA Log'!D:D,A177,'QA Log'!M:M,"Vignette",'QA Log'!L:L,"*Vignette [2]: Diarrhea with Cat B dehydration*"),
COUNTIFS('QA Log'!D:D,A177,'QA Log'!M:M,"Vignette",'QA Log'!L:L,"*Vignette [3] Growth Monitoring and Promotion*"),
COUNTIFS('QA Log'!D:D,A177,'QA Log'!M:M,"Vignette",'QA Log'!L:L,"*Vignette [4]: The management of presumptive TB patient*")
)
)</f>
        <v/>
      </c>
      <c r="AW177" s="102" t="str">
        <f>IF(
  A177="","",
  SUM(
    COUNTIFS('QA Log'!D:D,A177,'QA Log'!M:M,"Vignette",'QA Log'!Z:Z,"Approved",'QA Log'!L:L,"*Vignette [1] Respiratory Infection: Pneumonia*"),
    COUNTIFS('QA Log'!D:D,A177,'QA Log'!M:M,"Vignette",'QA Log'!Z:Z,"Approved",'QA Log'!L:L,"*Vignette [2]: Diarrhea with Cat B dehydration*"),
    COUNTIFS('QA Log'!D:D,A177,'QA Log'!M:M,"Vignette",'QA Log'!Z:Z,"Approved",'QA Log'!L:L,"*Vignette [3] Growth Monitoring and Promotion*"),
    COUNTIFS('QA Log'!D:D,A177,'QA Log'!M:M,"Vignette",'QA Log'!Z:Z,"Approved",'QA Log'!L:L,"*Vignette [4]: The management of presumptive TB patient*")
  )
)</f>
        <v/>
      </c>
      <c r="AX177" s="105" t="str">
        <f>IF(A177&lt;&gt;"",COUNTIFS('QA Log'!D:D,A177,'QA Log'!M:M,"Vignette",'QA Log'!L:L,"Vignette [1] Respiratory Infection: Pneumonia",'QA Log'!Z:Z,"Approved"),"")</f>
        <v/>
      </c>
      <c r="AY177" s="105" t="str">
        <f>IF(A177&lt;&gt;"",COUNTIFS('QA Log'!D:D,A177,'QA Log'!M:M,"Vignette",'QA Log'!L:L,"Vignette [2]: Diarrhea with Cat B dehydration",'QA Log'!Z:Z,"Approved"),"")</f>
        <v/>
      </c>
      <c r="AZ177" s="105" t="str">
        <f>IF(A177&lt;&gt;"",COUNTIFS('QA Log'!D:D,A177,'QA Log'!M:M,"Vignette",'QA Log'!L:L,"Vignette [3] Growth Monitoring and Promotion",'QA Log'!Z:Z,"Approved"),"")</f>
        <v/>
      </c>
      <c r="BA177" s="105" t="str">
        <f>IF(A177&lt;&gt;"",COUNTIFS('QA Log'!D:D,A177,'QA Log'!M:M,"Vignette",'QA Log'!L:L,"Vignette [4]: The management of presumptive TB patient",'QA Log'!Z:Z,"Approved"),"")</f>
        <v/>
      </c>
      <c r="BB177" s="102" t="str">
        <f>IF(A177="","",
  SUM(
    COUNTIFS('QA Log'!D:D,A177,'QA Log'!M:M,"Vignette",'QA Log'!Z:Z,"Rejected",'QA Log'!L:L,"*Vignette [1] Respiratory Infection: Pneumonia*"),
    COUNTIFS('QA Log'!D:D,A177,'QA Log'!M:M,"Vignette",'QA Log'!Z:Z,"Rejected",'QA Log'!L:L,"*Vignette [2]: Diarrhea with Cat B dehydration*"),
    COUNTIFS('QA Log'!D:D,A177,'QA Log'!M:M,"Vignette",'QA Log'!Z:Z,"Rejected",'QA Log'!L:L,"*Vignette [3] Growth Monitoring and Promotion*"),
    COUNTIFS('QA Log'!D:D,A177,'QA Log'!M:M,"Vignette",'QA Log'!Z:Z,"Rejected",'QA Log'!L:L,"*Vignette [4]: The management of presumptive TB patient*")
  )
)</f>
        <v/>
      </c>
      <c r="BC177" s="107" t="str">
        <f t="shared" si="9"/>
        <v/>
      </c>
      <c r="BD177" s="103" t="str">
        <f t="shared" si="10"/>
        <v/>
      </c>
      <c r="BE177" s="102" t="str">
        <f>IF(A177="","",SUM(
COUNTIFS('QA Log'!D:D,A177,'QA Log'!M:M,"Vignette",'QA Log'!L:L,"*Vignette [5] Labor*"),
COUNTIFS('QA Log'!D:D,A177,'QA Log'!M:M,"Vignette",'QA Log'!L:L,"*Vignette [6] PNC pre Discharge*"),
COUNTIFS('QA Log'!D:D,A177,'QA Log'!M:M,"Vignette",'QA Log'!L:L,"*Vignette [7] First ANC Visit*"),
COUNTIFS('QA Log'!D:D,A177,'QA Log'!M:M,"Vignette",'QA Log'!L:L,"*Vignette [8] Birth Spacing/ Family Planning :  FP Counselling*"),
COUNTIFS('QA Log'!D:D,A177,'QA Log'!M:M,"Vignette",'QA Log'!L:L,"*Vignette [9] Birth Spacing: Change FP method to Injectable*"),
COUNTIFS('QA Log'!D:D,A177,'QA Log'!M:M,"Vignette",'QA Log'!L:L,"*Vignette [10] Post Partum Haemorrhage - Atonic Uterus at Health Centre*"),
)
)</f>
        <v/>
      </c>
      <c r="BF177" s="102" t="str">
        <f>IF(A177="","",
  SUM(
    COUNTIFS('QA Log'!D:D,A177,'QA Log'!M:M,"Vignette",'QA Log'!Z:Z,"Approved",'QA Log'!L:L,"*Vignette [5] Labor*"),
    COUNTIFS('QA Log'!D:D,A177,'QA Log'!M:M,"Vignette",'QA Log'!Z:Z,"Approved",'QA Log'!L:L,"*Vignette [6] PNC pre Discharge*"),
    COUNTIFS('QA Log'!D:D,A177,'QA Log'!M:M,"Vignette",'QA Log'!Z:Z,"Approved",'QA Log'!L:L,"*Vignette [7] First ANC Visit*"),
    COUNTIFS('QA Log'!D:D,A177,'QA Log'!M:M,"Vignette",'QA Log'!Z:Z,"Approved",'QA Log'!L:L,"*Vignette [8] Birth Spacing/ Family Planning :  FP Counselling*"),
    COUNTIFS('QA Log'!D:D,A177,'QA Log'!M:M,"Vignette",'QA Log'!Z:Z,"Approved",'QA Log'!L:L,"*Vignette [9] Birth Spacing: Change FP method to Injectable*"),
    COUNTIFS('QA Log'!D:D,A177,'QA Log'!M:M,"Vignette",'QA Log'!Z:Z,"Approved",'QA Log'!L:L,"*Vignette [10] Post Partum Haemorrhage - Atonic Uterus at Health Centre*")
  )
)</f>
        <v/>
      </c>
      <c r="BG177" s="105" t="str">
        <f>IF(A177&lt;&gt;"",COUNTIFS('QA Log'!D:D,A177,'QA Log'!M:M,"Vignette",'QA Log'!L:L,"Vignette [5] Labor",'QA Log'!Z:Z,"Approved"),"")</f>
        <v/>
      </c>
      <c r="BH177" s="105" t="str">
        <f>IF(A177&lt;&gt;"",COUNTIFS('QA Log'!D:D,A177,'QA Log'!M:M,"Vignette",'QA Log'!L:L,"Vignette [6] PNC pre Discharge",'QA Log'!Z:Z,"Approved"),"")</f>
        <v/>
      </c>
      <c r="BI177" s="105" t="str">
        <f>IF(A177&lt;&gt;"",COUNTIFS('QA Log'!D:D,A177,'QA Log'!M:M,"Vignette",'QA Log'!L:L,"Vignette [7] First ANC Visit",'QA Log'!Z:Z,"Approved"),"")</f>
        <v/>
      </c>
      <c r="BJ177" s="105" t="str">
        <f>IF(A177&lt;&gt;"",COUNTIFS('QA Log'!D:D,A177,'QA Log'!M:M,"Vignette",'QA Log'!L:L,"Vignette [8] Birth Spacing/ Family Planning :  FP Counselling",'QA Log'!Z:Z,"Approved"),"")</f>
        <v/>
      </c>
      <c r="BK177" s="105" t="str">
        <f>IF(A177&lt;&gt;"",COUNTIFS('QA Log'!D:D,A177,'QA Log'!M:M,"Vignette",'QA Log'!L:L,"Vignette [9] Birth Spacing: Change FP method to Injectable",'QA Log'!Z:Z,"Approved"),"")</f>
        <v/>
      </c>
      <c r="BL177" s="105" t="str">
        <f>IF(A177&lt;&gt;"",COUNTIFS('QA Log'!D:D,A177,'QA Log'!M:M,"Vignette",'QA Log'!L:L,"Vignette [10] Post Partum Haemorrhage - Atonic Uterus at Health Centre",'QA Log'!Z:Z,"Approved"),"")</f>
        <v/>
      </c>
      <c r="BM177" s="102" t="str">
        <f>IF(A177="","",SUM(
    COUNTIFS('QA Log'!D:D,A177,'QA Log'!M:M,"Vignette",'QA Log'!Z:Z,"Rejected",'QA Log'!L:L,"*Vignette [5] Labor*"),
    COUNTIFS('QA Log'!D:D,A177,'QA Log'!M:M,"Vignette",'QA Log'!Z:Z,"Rejected",'QA Log'!L:L,"*Vignette [6] PNC pre Discharge*"),
    COUNTIFS('QA Log'!D:D,A177,'QA Log'!M:M,"Vignette",'QA Log'!Z:Z,"Rejected",'QA Log'!L:L,"*Vignette [7] First ANC Visit*"),
    COUNTIFS('QA Log'!D:D,A177,'QA Log'!M:M,"Vignette",'QA Log'!Z:Z,"Rejected",'QA Log'!L:L,"*Vignette [8] Birth Spacing/ Family Planning :  FP Counselling*"),
    COUNTIFS('QA Log'!D:D,A177,'QA Log'!M:M,"Vignette",'QA Log'!Z:Z,"Rejected",'QA Log'!L:L,"*Vignette [9] Birth Spacing: Change FP method to Injectable*"),
    COUNTIFS('QA Log'!D:D,A177,'QA Log'!M:M,"Vignette",'QA Log'!Z:Z,"Rejected",'QA Log'!L:L,"*Vignette [10] Post Partum Haemorrhage - Atonic Uterus at Health Centre*")
  )
)</f>
        <v/>
      </c>
      <c r="BN177" s="107" t="str">
        <f t="shared" si="11"/>
        <v/>
      </c>
      <c r="BO177" s="103" t="str">
        <f t="shared" si="12"/>
        <v/>
      </c>
      <c r="BP177" s="102" t="str">
        <f>IF(A177="","",SUM(
COUNTIFS('QA Log'!D:D,A177,'QA Log'!M:M,"Vignette",'QA Log'!L:L,"*Exit Interview 1*"),
COUNTIFS('QA Log'!D:D,A177,'QA Log'!M:M,"Vignette",'QA Log'!L:L,"*Exit Interview 2*"),
)
)</f>
        <v/>
      </c>
      <c r="BQ177" s="102" t="str">
        <f>IF(
  A177="","",
  SUM(
    COUNTIFS('QA Log'!D:D,A177,'QA Log'!M:M,"Vignette",'QA Log'!Z:Z,"Approved",'QA Log'!L:L,"*Exit Interview 1*"),
    COUNTIFS('QA Log'!D:D,A177,'QA Log'!M:M,"Vignette",'QA Log'!Z:Z,"Approved",'QA Log'!L:L,"*Exit Interview 2*")
  )
)</f>
        <v/>
      </c>
      <c r="BR177" s="105" t="str">
        <f>IF(A177&lt;&gt;"",COUNTIFS('QA Log'!D:D,A177,'QA Log'!M:M,"Vignette",'QA Log'!L:L,"Exit Interview 1",'QA Log'!Z:Z,"Approved"),"")</f>
        <v/>
      </c>
      <c r="BS177" s="105" t="str">
        <f>IF(A177&lt;&gt;"",COUNTIFS('QA Log'!D:D,A177,'QA Log'!M:M,"Vignette",'QA Log'!L:L,"Exit Interview 2",'QA Log'!Z:Z,"Approved"),"")</f>
        <v/>
      </c>
      <c r="BT177" s="102" t="str">
        <f>IF(
  A177="","",
  SUM(
    COUNTIFS('QA Log'!D:D,A177,'QA Log'!M:M,"Vignette",'QA Log'!Z:Z,"Rejected",'QA Log'!L:L,"*Exit Interview 1*"),
    COUNTIFS('QA Log'!D:D,A177,'QA Log'!M:M,"Vignette",'QA Log'!Z:Z,"Rejected",'QA Log'!L:L,"*Exit Interview 2*")
  )
)</f>
        <v/>
      </c>
      <c r="BU177" s="107" t="str">
        <f t="shared" si="13"/>
        <v/>
      </c>
      <c r="BV177" s="102" t="str">
        <f t="shared" si="14"/>
        <v/>
      </c>
      <c r="BW177" s="102" t="str">
        <f t="shared" si="15"/>
        <v/>
      </c>
      <c r="BX177" s="102" t="str">
        <f t="shared" si="16"/>
        <v/>
      </c>
      <c r="BY177" s="102" t="str">
        <f t="shared" si="17"/>
        <v/>
      </c>
      <c r="BZ177" s="107" t="str">
        <f t="shared" si="18"/>
        <v/>
      </c>
      <c r="CA177" s="108" t="str">
        <f t="shared" si="19"/>
        <v/>
      </c>
      <c r="CB177" s="108" t="str">
        <f t="shared" si="20"/>
        <v/>
      </c>
      <c r="CC177" s="109" t="str">
        <f t="shared" si="21"/>
        <v/>
      </c>
      <c r="CD177" s="108" t="str">
        <f t="shared" si="22"/>
        <v/>
      </c>
      <c r="CE177" s="108" t="str">
        <f t="shared" si="23"/>
        <v/>
      </c>
      <c r="CF177" s="109" t="str">
        <f t="shared" si="24"/>
        <v/>
      </c>
      <c r="CG177" s="110" t="str">
        <f t="shared" si="25"/>
        <v/>
      </c>
      <c r="CH177" s="111"/>
    </row>
    <row r="178" spans="1:86" ht="12.75">
      <c r="A178" s="101"/>
      <c r="B178" s="102" t="e">
        <f t="array" aca="1" ref="B178" ca="1">_xludf.XLOOKUP(A178,'QA Log'!D:D,'QA Log'!E:E,"")</f>
        <v>#NAME?</v>
      </c>
      <c r="C178" s="102" t="e">
        <f t="array" aca="1" ref="C178" ca="1">_xludf.XLOOKUP(A178,'QA Log'!D:D,'QA Log'!F:F,"")</f>
        <v>#NAME?</v>
      </c>
      <c r="D178" s="102" t="e">
        <f t="array" aca="1" ref="D178" ca="1">_xludf.XLOOKUP(A178,'QA Log'!D:D,'QA Log'!H:H,"")</f>
        <v>#NAME?</v>
      </c>
      <c r="E178" s="102" t="e">
        <f t="array" aca="1" ref="E178" ca="1">_xludf.XLOOKUP(A178,'QA Log'!D:D,'QA Log'!G:G,"")</f>
        <v>#NAME?</v>
      </c>
      <c r="F178" s="103"/>
      <c r="G178" s="104"/>
      <c r="H178" s="104"/>
      <c r="I178" s="103" t="str">
        <f t="shared" si="0"/>
        <v/>
      </c>
      <c r="J178" s="102" t="str">
        <f>IF(A178="","",SUM(
COUNTIFS('QA Log'!D:D,A178,'QA Log'!M:M,"QQC",'QA Log'!L:L,"*1. General Management*"),
COUNTIFS('QA Log'!D:D,A178,'QA Log'!M:M,"QQC",'QA Log'!L:L,"*3. Curative Consultation (OPD)*"),
COUNTIFS('QA Log'!D:D,A178,'QA Log'!M:M,"QQC",'QA Log'!L:L,"*5. Laboratory*"),
COUNTIFS('QA Log'!D:D,A178,'QA Log'!M:M,"QQC",'QA Log'!L:L,"*6. Essential Medicine Management*"),
COUNTIFS('QA Log'!D:D,A178,'QA Log'!M:M,"QQC",'QA Log'!L:L,"*7. Tracer Medicine*"),
COUNTIFS('QA Log'!D:D,A178,'QA Log'!M:M,"QQC",'QA Log'!L:L,"*11. Additional Questions*")))</f>
        <v/>
      </c>
      <c r="K178" s="102" t="str">
        <f>IF(A178="","",SUM(
COUNTIFS('QA Log'!D:D,A178,'QA Log'!M:M,"QQC",'QA Log'!Z:Z,"Approved",'QA Log'!L:L,"*1. General Management*"),
COUNTIFS('QA Log'!D:D,A178,'QA Log'!M:M,"QQC",'QA Log'!Z:Z,"Approved",'QA Log'!L:L,"*3. Curative Consultation (OPD)*"),
COUNTIFS('QA Log'!D:D,A178,'QA Log'!M:M,"QQC",'QA Log'!Z:Z,"Approved",'QA Log'!L:L,"*5. Laboratory*"),
COUNTIFS('QA Log'!D:D,A178,'QA Log'!M:M,"QQC",'QA Log'!Z:Z,"Approved",'QA Log'!L:L,"*6. Essential Medicine Management*"),
COUNTIFS('QA Log'!D:D,A178,'QA Log'!M:M,"QQC",'QA Log'!Z:Z,"Approved",'QA Log'!L:L,"*7. Tracer Medicine*"),
COUNTIFS('QA Log'!D:D,A178,'QA Log'!M:M,"QQC",'QA Log'!Z:Z,"Approved",'QA Log'!L:L,"*11. Additional Questions*")))</f>
        <v/>
      </c>
      <c r="L178" s="105" t="str">
        <f>IF(A178&lt;&gt;"",COUNTIFS('QA Log'!D:D,A178,'QA Log'!M:M,"QQC",'QA Log'!L:L,"1. General Management",'QA Log'!Z:Z,"Approved"),"")</f>
        <v/>
      </c>
      <c r="M178" s="105" t="str">
        <f>IF(A178&lt;&gt;"",COUNTIFS('QA Log'!D:D,A178,'QA Log'!M:M,"QQC",'QA Log'!L:L,"3. Curative Consultation (OPD)",'QA Log'!Z:Z,"Approved"),"")</f>
        <v/>
      </c>
      <c r="N178" s="105" t="str">
        <f>IF(A178&lt;&gt;"",COUNTIFS('QA Log'!D:D,A178,'QA Log'!M:M,"QQC",'QA Log'!L:L,"5. Laboratory",'QA Log'!Z:Z,"Approved"),"")</f>
        <v/>
      </c>
      <c r="O178" s="105" t="str">
        <f>IF(A178&lt;&gt;"",COUNTIFS('QA Log'!D:D,A178,'QA Log'!M:M,"QQC",'QA Log'!L:L,"6. Essential Medicine Management",'QA Log'!Z:Z,"Approved"),"")</f>
        <v/>
      </c>
      <c r="P178" s="105" t="str">
        <f>IF(A178&lt;&gt;"",COUNTIFS('QA Log'!D:D,A178,'QA Log'!M:M,"QQC",'QA Log'!L:L,"7. Tracer Medicine",'QA Log'!Z:Z,"Approved"),"")</f>
        <v/>
      </c>
      <c r="Q178" s="105" t="str">
        <f>IF(A178&lt;&gt;"",COUNTIFS('QA Log'!D:D,A178,'QA Log'!M:M,"QQC",'QA Log'!L:L,"11. Additional Questions",'QA Log'!Z:Z,"Approved"),"")</f>
        <v/>
      </c>
      <c r="R178" s="102" t="str">
        <f>IF(A178="","",SUM(
COUNTIFS('QA Log'!D:D,A178,'QA Log'!M:M,"QQC",'QA Log'!Z:Z,"Rejected",'QA Log'!L:L,"*8. Maternity*"),
COUNTIFS('QA Log'!D:D,A178,'QA Log'!M:M,"QQC",'QA Log'!Z:Z,"Rejected",'QA Log'!L:L,"*EPI*"),
COUNTIFS('QA Log'!D:D,A178,'QA Log'!M:M,"QQC",'QA Log'!Z:Z,"Rejected",'QA Log'!L:L,"*10. Antenatal Care (ANC)*"),
COUNTIFS('QA Log'!D:D,A178,'QA Log'!M:M,"QQC",'QA Log'!Z:Z,"Rejected",'QA Log'!L:L,"*2. Hygiene and Sterilization*"),
COUNTIFS('QA Log'!D:D,A178,'QA Log'!M:M,"QQC",'QA Log'!Z:Z,"Rejected",'QA Log'!L:L,"*Family Planning*")))</f>
        <v/>
      </c>
      <c r="S178" s="106" t="str">
        <f t="shared" si="1"/>
        <v/>
      </c>
      <c r="T178" s="102" t="str">
        <f t="shared" si="2"/>
        <v/>
      </c>
      <c r="U178" s="102" t="str">
        <f>IF(A178="","",
SUM(
COUNTIFS('QA Log'!D:D,A178,'QA Log'!M:M,"QQC",'QA Log'!L:L,"*8. Maternity*"),
COUNTIFS('QA Log'!D:D,A178,'QA Log'!M:M,"QQC",'QA Log'!L:L,"*9. EPI and Pre-school Consultation*"),
COUNTIFS('QA Log'!D:D,A178,'QA Log'!M:M,"QQC",'QA Log'!L:L,"*10. Antenatal Care (ANC)*"),
COUNTIFS('QA Log'!D:D,A178,'QA Log'!M:M,"QQC",'QA Log'!L:L,"*2. Hygiene and Sterilization*"),
COUNTIFS('QA Log'!D:D,A178,'QA Log'!M:M,"QQC",'QA Log'!L:L,"*4. Family Planning*")
))</f>
        <v/>
      </c>
      <c r="V178" s="102" t="str">
        <f>IF(A178="","",
SUM(
COUNTIFS('QA Log'!D:D,A178,'QA Log'!M:M,"QQC",'QA Log'!Z:Z,"Approved",'QA Log'!L:L,"*8. Maternity*"),
COUNTIFS('QA Log'!D:D,A178,'QA Log'!M:M,"QQC",'QA Log'!Z:Z,"Approved",'QA Log'!L:L,"*9. EPI and Pre-school Consultation*"),
COUNTIFS('QA Log'!D:D,A178,'QA Log'!M:M,"QQC",'QA Log'!Z:Z,"Approved",'QA Log'!L:L,"*10. Antenatal Care (ANC)*"),
COUNTIFS('QA Log'!D:D,A178,'QA Log'!M:M,"QQC",'QA Log'!Z:Z,"Approved",'QA Log'!L:L,"*2. Hygiene and Sterilization*"),
COUNTIFS('QA Log'!D:D,A178,'QA Log'!M:M,"QQC",'QA Log'!Z:Z,"Approved",'QA Log'!L:L,"*4. Family Planning*")
))</f>
        <v/>
      </c>
      <c r="W178" s="105" t="str">
        <f>IF(A178&lt;&gt;"",COUNTIFS('QA Log'!D:D,A178,'QA Log'!M:M,"QQC",'QA Log'!L:L,"8. Maternity",'QA Log'!Z:Z,"Approved"),"")</f>
        <v/>
      </c>
      <c r="X178" s="105" t="str">
        <f>IF(A178&lt;&gt;"",COUNTIFS('QA Log'!D:D,A178,'QA Log'!M:M,"QQC",'QA Log'!L:L,"9. EPI and Pre-school Consultation",'QA Log'!Z:Z,"Approved"),"")</f>
        <v/>
      </c>
      <c r="Y178" s="105" t="str">
        <f>IF(A178&lt;&gt;"",COUNTIFS('QA Log'!D:D,A178,'QA Log'!M:M,"QQC",'QA Log'!L:L,"10. Antenatal Care (ANC)",'QA Log'!Z:Z,"Approved"),"")</f>
        <v/>
      </c>
      <c r="Z178" s="105" t="str">
        <f>IF(A178&lt;&gt;"",COUNTIFS('QA Log'!D:D,A178,'QA Log'!M:M,"QQC",'QA Log'!L:L,"2. Hygiene and Sterilization",'QA Log'!Z:Z,"Approved"),"")</f>
        <v/>
      </c>
      <c r="AA178" s="105" t="str">
        <f>IF(A178&lt;&gt;"",COUNTIFS('QA Log'!D:D,A178,'QA Log'!M:M,"QQC",'QA Log'!L:L,"4. Family Planning",'QA Log'!Z:Z,"Approved"),"")</f>
        <v/>
      </c>
      <c r="AB178" s="102" t="str">
        <f>IF(A178="","",
SUM(
COUNTIFS('QA Log'!D:D,A178,'QA Log'!M:M,"QQC",'QA Log'!Z:Z,"Rejected",'QA Log'!L:L,"*8. Maternity*"),
COUNTIFS('QA Log'!D:D,A178,'QA Log'!M:M,"QQC",'QA Log'!Z:Z,"Rejected",'QA Log'!L:L,"*9. EPI and Pre-school Consultation*"),
COUNTIFS('QA Log'!D:D,A178,'QA Log'!M:M,"QQC",'QA Log'!Z:Z,"Rejected",'QA Log'!L:L,"*10. Antenatal Care (ANC)*"),
COUNTIFS('QA Log'!D:D,A178,'QA Log'!M:M,"QQC",'QA Log'!Z:Z,"Rejected",'QA Log'!L:L,"*2. Hygiene and Sterilization*"),
COUNTIFS('QA Log'!D:D,A178,'QA Log'!M:M,"QQC",'QA Log'!Z:Z,"Rejected",'QA Log'!L:L,"*4. Family Planning*")
))</f>
        <v/>
      </c>
      <c r="AC178" s="102" t="str">
        <f t="shared" si="3"/>
        <v/>
      </c>
      <c r="AD178" s="103" t="str">
        <f t="shared" si="4"/>
        <v/>
      </c>
      <c r="AE178" s="102" t="str">
        <f>IF(A178="","",
SUM(
COUNTIFS('QA Log'!D:D,A178,'QA Log'!M:M,"Data Verification",'QA Log'!L:L,"*Medicine (section 2)*"),
COUNTIFS('QA Log'!D:D,A178,'QA Log'!M:M,"Data Verification",'QA Log'!L:L,"*Lab Testing Availability*"),
COUNTIFS('QA Log'!D:D,A178,'QA Log'!M:M,"Data Verification",'QA Log'!L:L,"*Other than P4P (section 6)*"),
COUNTIFS('QA Log'!D:D,A178,'QA Log'!M:M,"Data Verification",'QA Log'!L:L,"*Hospital Governance*")
))</f>
        <v/>
      </c>
      <c r="AF178" s="102" t="str">
        <f>IF(A178="","",
SUM(
COUNTIFS('QA Log'!D:D,A178,'QA Log'!M:M,"Data Verification",'QA Log'!Z:Z,"Approved",'QA Log'!L:L,"*Medicine (section 2)*"),
COUNTIFS('QA Log'!D:D,A178,'QA Log'!M:M,"Data Verification",'QA Log'!Z:Z,"Approved",'QA Log'!L:L,"*Lab Testing Availability*"),
COUNTIFS('QA Log'!D:D,A178,'QA Log'!M:M,"Data Verification",'QA Log'!Z:Z,"Approved",'QA Log'!L:L,"*Other than P4P (section 6)*"),
COUNTIFS('QA Log'!D:D,A178,'QA Log'!M:M,"Data Verification",'QA Log'!Z:Z,"Approved",'QA Log'!L:L,"*Hospital Governance*")
))</f>
        <v/>
      </c>
      <c r="AG178" s="105" t="str">
        <f>IF(A178&lt;&gt;"",COUNTIFS('QA Log'!D:D,A178,'QA Log'!M:M,"Data Verification",'QA Log'!L:L,"Medicine (section 2)",'QA Log'!Z:Z,"Approved"),"")</f>
        <v/>
      </c>
      <c r="AH178" s="105" t="str">
        <f>IF(A178&lt;&gt;"",COUNTIFS('QA Log'!D:D,A178,'QA Log'!M:M,"Data Verification",'QA Log'!L:L,"Lab Testing Availability",'QA Log'!Z:Z,"Approved"),"")</f>
        <v/>
      </c>
      <c r="AI178" s="105" t="str">
        <f>IF(A178&lt;&gt;"",COUNTIFS('QA Log'!D:D,A178,'QA Log'!M:M,"Data Verification",'QA Log'!L:L,"Other than P4P (section 6)",'QA Log'!Z:Z,"Approved"),"")</f>
        <v/>
      </c>
      <c r="AJ178" s="105" t="str">
        <f>IF(A178&lt;&gt;"",COUNTIFS('QA Log'!D:D,A178,'QA Log'!M:M,"Data Verification",'QA Log'!L:L,"Hospital Governance",'QA Log'!Z:Z,"Approved"),"")</f>
        <v/>
      </c>
      <c r="AK178" s="102" t="str">
        <f>IF(A178="","",
SUM(
COUNTIFS('QA Log'!D:D,A178,'QA Log'!M:M,"Data Verification",'QA Log'!Z:Z,"Rejected",'QA Log'!L:L,"*Medicine (section 2)*"),
COUNTIFS('QA Log'!D:D,A178,'QA Log'!M:M,"Data Verification",'QA Log'!Z:Z,"Rejected",'QA Log'!L:L,"*Lab Testing Availability*"),
COUNTIFS('QA Log'!D:D,A178,'QA Log'!M:M,"Data Verification",'QA Log'!Z:Z,"Rejected",'QA Log'!L:L,"*Other than P4P (section 6)*"),
COUNTIFS('QA Log'!D:D,A178,'QA Log'!M:M,"Data Verification",'QA Log'!Z:Z,"Rejected",'QA Log'!L:L,"*Hospital Governance*")
))</f>
        <v/>
      </c>
      <c r="AL178" s="106" t="str">
        <f t="shared" si="5"/>
        <v/>
      </c>
      <c r="AM178" s="102" t="str">
        <f t="shared" si="6"/>
        <v/>
      </c>
      <c r="AN178" s="102" t="str">
        <f>IF(A178="","",
SUM(
COUNTIFS('QA Log'!D:D,A178,'QA Log'!M:M,"Data Verification",'QA Log'!L:L,"*Personnel (section 1)*"),
COUNTIFS('QA Log'!D:D,A178,'QA Log'!M:M,"Data Verification",'QA Log'!L:L,"*Consumable (section 3)*"),
COUNTIFS('QA Log'!D:D,A178,'QA Log'!M:M,"Data Verification",'QA Log'!L:L,"*Equipments (section 4)*")
))</f>
        <v/>
      </c>
      <c r="AO178" s="102" t="str">
        <f>IF(A178="","",
SUM(
COUNTIFS('QA Log'!D:D,A178,'QA Log'!M:M,"Data Verification",'QA Log'!Z:Z,"Approved",'QA Log'!L:L,"*Personnel (section 1)*"),
COUNTIFS('QA Log'!D:D,A178,'QA Log'!M:M,"Data Verification",'QA Log'!Z:Z,"Approved",'QA Log'!L:L,"*Consumable (section 3)*"),
COUNTIFS('QA Log'!D:D,A178,'QA Log'!M:M,"Data Verification",'QA Log'!Z:Z,"Approved",'QA Log'!L:L,"*Equipments (section 4)*")
))</f>
        <v/>
      </c>
      <c r="AP178" s="105" t="str">
        <f>IF(A178&lt;&gt;"",COUNTIFS('QA Log'!D:D,A178,'QA Log'!M:M,"Data Verification",'QA Log'!L:L,"Personnel (section 1)",'QA Log'!Z:Z,"Approved"),"")</f>
        <v/>
      </c>
      <c r="AQ178" s="105" t="str">
        <f>IF(A178&lt;&gt;"",COUNTIFS('QA Log'!D:D,A178,'QA Log'!M:M,"Data Verification",'QA Log'!L:L,"Consumable (section 3)",'QA Log'!Z:Z,"Approved"),"")</f>
        <v/>
      </c>
      <c r="AR178" s="105" t="str">
        <f>IF(A178&lt;&gt;"",COUNTIFS('QA Log'!D:D,A178,'QA Log'!M:M,"Data Verification",'QA Log'!L:L,"Equipments (section 4)",'QA Log'!Z:Z,"Approved"),"")</f>
        <v/>
      </c>
      <c r="AS178" s="102" t="str">
        <f>IF(A178="","",
SUM(
COUNTIFS('QA Log'!D:D,A178,'QA Log'!M:M,"Data Verification",'QA Log'!Z:Z,"Rejected",'QA Log'!L:L,"*Personnel (section 1)*"),
COUNTIFS('QA Log'!D:D,A178,'QA Log'!M:M,"Data Verification",'QA Log'!Z:Z,"Rejected",'QA Log'!L:L,"*Consumable (section 3)*"),
COUNTIFS('QA Log'!D:D,A178,'QA Log'!M:M,"Data Verification",'QA Log'!Z:Z,"Rejected",'QA Log'!L:L,"*Equipments (section 4)*")
))</f>
        <v/>
      </c>
      <c r="AT178" s="102" t="str">
        <f t="shared" si="7"/>
        <v/>
      </c>
      <c r="AU178" s="103" t="str">
        <f t="shared" si="8"/>
        <v/>
      </c>
      <c r="AV178" s="102" t="str">
        <f>IF(A178="","",SUM(
COUNTIFS('QA Log'!D:D,A178,'QA Log'!M:M,"Vignette",'QA Log'!L:L,"*Vignette [1] Respiratory Infection: Pneumonia*"),
COUNTIFS('QA Log'!D:D,A178,'QA Log'!M:M,"Vignette",'QA Log'!L:L,"*Vignette [2]: Diarrhea with Cat B dehydration*"),
COUNTIFS('QA Log'!D:D,A178,'QA Log'!M:M,"Vignette",'QA Log'!L:L,"*Vignette [3] Growth Monitoring and Promotion*"),
COUNTIFS('QA Log'!D:D,A178,'QA Log'!M:M,"Vignette",'QA Log'!L:L,"*Vignette [4]: The management of presumptive TB patient*")
)
)</f>
        <v/>
      </c>
      <c r="AW178" s="102" t="str">
        <f>IF(
  A178="","",
  SUM(
    COUNTIFS('QA Log'!D:D,A178,'QA Log'!M:M,"Vignette",'QA Log'!Z:Z,"Approved",'QA Log'!L:L,"*Vignette [1] Respiratory Infection: Pneumonia*"),
    COUNTIFS('QA Log'!D:D,A178,'QA Log'!M:M,"Vignette",'QA Log'!Z:Z,"Approved",'QA Log'!L:L,"*Vignette [2]: Diarrhea with Cat B dehydration*"),
    COUNTIFS('QA Log'!D:D,A178,'QA Log'!M:M,"Vignette",'QA Log'!Z:Z,"Approved",'QA Log'!L:L,"*Vignette [3] Growth Monitoring and Promotion*"),
    COUNTIFS('QA Log'!D:D,A178,'QA Log'!M:M,"Vignette",'QA Log'!Z:Z,"Approved",'QA Log'!L:L,"*Vignette [4]: The management of presumptive TB patient*")
  )
)</f>
        <v/>
      </c>
      <c r="AX178" s="105" t="str">
        <f>IF(A178&lt;&gt;"",COUNTIFS('QA Log'!D:D,A178,'QA Log'!M:M,"Vignette",'QA Log'!L:L,"Vignette [1] Respiratory Infection: Pneumonia",'QA Log'!Z:Z,"Approved"),"")</f>
        <v/>
      </c>
      <c r="AY178" s="105" t="str">
        <f>IF(A178&lt;&gt;"",COUNTIFS('QA Log'!D:D,A178,'QA Log'!M:M,"Vignette",'QA Log'!L:L,"Vignette [2]: Diarrhea with Cat B dehydration",'QA Log'!Z:Z,"Approved"),"")</f>
        <v/>
      </c>
      <c r="AZ178" s="105" t="str">
        <f>IF(A178&lt;&gt;"",COUNTIFS('QA Log'!D:D,A178,'QA Log'!M:M,"Vignette",'QA Log'!L:L,"Vignette [3] Growth Monitoring and Promotion",'QA Log'!Z:Z,"Approved"),"")</f>
        <v/>
      </c>
      <c r="BA178" s="105" t="str">
        <f>IF(A178&lt;&gt;"",COUNTIFS('QA Log'!D:D,A178,'QA Log'!M:M,"Vignette",'QA Log'!L:L,"Vignette [4]: The management of presumptive TB patient",'QA Log'!Z:Z,"Approved"),"")</f>
        <v/>
      </c>
      <c r="BB178" s="102" t="str">
        <f>IF(A178="","",
  SUM(
    COUNTIFS('QA Log'!D:D,A178,'QA Log'!M:M,"Vignette",'QA Log'!Z:Z,"Rejected",'QA Log'!L:L,"*Vignette [1] Respiratory Infection: Pneumonia*"),
    COUNTIFS('QA Log'!D:D,A178,'QA Log'!M:M,"Vignette",'QA Log'!Z:Z,"Rejected",'QA Log'!L:L,"*Vignette [2]: Diarrhea with Cat B dehydration*"),
    COUNTIFS('QA Log'!D:D,A178,'QA Log'!M:M,"Vignette",'QA Log'!Z:Z,"Rejected",'QA Log'!L:L,"*Vignette [3] Growth Monitoring and Promotion*"),
    COUNTIFS('QA Log'!D:D,A178,'QA Log'!M:M,"Vignette",'QA Log'!Z:Z,"Rejected",'QA Log'!L:L,"*Vignette [4]: The management of presumptive TB patient*")
  )
)</f>
        <v/>
      </c>
      <c r="BC178" s="107" t="str">
        <f t="shared" si="9"/>
        <v/>
      </c>
      <c r="BD178" s="103" t="str">
        <f t="shared" si="10"/>
        <v/>
      </c>
      <c r="BE178" s="102" t="str">
        <f>IF(A178="","",SUM(
COUNTIFS('QA Log'!D:D,A178,'QA Log'!M:M,"Vignette",'QA Log'!L:L,"*Vignette [5] Labor*"),
COUNTIFS('QA Log'!D:D,A178,'QA Log'!M:M,"Vignette",'QA Log'!L:L,"*Vignette [6] PNC pre Discharge*"),
COUNTIFS('QA Log'!D:D,A178,'QA Log'!M:M,"Vignette",'QA Log'!L:L,"*Vignette [7] First ANC Visit*"),
COUNTIFS('QA Log'!D:D,A178,'QA Log'!M:M,"Vignette",'QA Log'!L:L,"*Vignette [8] Birth Spacing/ Family Planning :  FP Counselling*"),
COUNTIFS('QA Log'!D:D,A178,'QA Log'!M:M,"Vignette",'QA Log'!L:L,"*Vignette [9] Birth Spacing: Change FP method to Injectable*"),
COUNTIFS('QA Log'!D:D,A178,'QA Log'!M:M,"Vignette",'QA Log'!L:L,"*Vignette [10] Post Partum Haemorrhage - Atonic Uterus at Health Centre*"),
)
)</f>
        <v/>
      </c>
      <c r="BF178" s="102" t="str">
        <f>IF(A178="","",
  SUM(
    COUNTIFS('QA Log'!D:D,A178,'QA Log'!M:M,"Vignette",'QA Log'!Z:Z,"Approved",'QA Log'!L:L,"*Vignette [5] Labor*"),
    COUNTIFS('QA Log'!D:D,A178,'QA Log'!M:M,"Vignette",'QA Log'!Z:Z,"Approved",'QA Log'!L:L,"*Vignette [6] PNC pre Discharge*"),
    COUNTIFS('QA Log'!D:D,A178,'QA Log'!M:M,"Vignette",'QA Log'!Z:Z,"Approved",'QA Log'!L:L,"*Vignette [7] First ANC Visit*"),
    COUNTIFS('QA Log'!D:D,A178,'QA Log'!M:M,"Vignette",'QA Log'!Z:Z,"Approved",'QA Log'!L:L,"*Vignette [8] Birth Spacing/ Family Planning :  FP Counselling*"),
    COUNTIFS('QA Log'!D:D,A178,'QA Log'!M:M,"Vignette",'QA Log'!Z:Z,"Approved",'QA Log'!L:L,"*Vignette [9] Birth Spacing: Change FP method to Injectable*"),
    COUNTIFS('QA Log'!D:D,A178,'QA Log'!M:M,"Vignette",'QA Log'!Z:Z,"Approved",'QA Log'!L:L,"*Vignette [10] Post Partum Haemorrhage - Atonic Uterus at Health Centre*")
  )
)</f>
        <v/>
      </c>
      <c r="BG178" s="105" t="str">
        <f>IF(A178&lt;&gt;"",COUNTIFS('QA Log'!D:D,A178,'QA Log'!M:M,"Vignette",'QA Log'!L:L,"Vignette [5] Labor",'QA Log'!Z:Z,"Approved"),"")</f>
        <v/>
      </c>
      <c r="BH178" s="105" t="str">
        <f>IF(A178&lt;&gt;"",COUNTIFS('QA Log'!D:D,A178,'QA Log'!M:M,"Vignette",'QA Log'!L:L,"Vignette [6] PNC pre Discharge",'QA Log'!Z:Z,"Approved"),"")</f>
        <v/>
      </c>
      <c r="BI178" s="105" t="str">
        <f>IF(A178&lt;&gt;"",COUNTIFS('QA Log'!D:D,A178,'QA Log'!M:M,"Vignette",'QA Log'!L:L,"Vignette [7] First ANC Visit",'QA Log'!Z:Z,"Approved"),"")</f>
        <v/>
      </c>
      <c r="BJ178" s="105" t="str">
        <f>IF(A178&lt;&gt;"",COUNTIFS('QA Log'!D:D,A178,'QA Log'!M:M,"Vignette",'QA Log'!L:L,"Vignette [8] Birth Spacing/ Family Planning :  FP Counselling",'QA Log'!Z:Z,"Approved"),"")</f>
        <v/>
      </c>
      <c r="BK178" s="105" t="str">
        <f>IF(A178&lt;&gt;"",COUNTIFS('QA Log'!D:D,A178,'QA Log'!M:M,"Vignette",'QA Log'!L:L,"Vignette [9] Birth Spacing: Change FP method to Injectable",'QA Log'!Z:Z,"Approved"),"")</f>
        <v/>
      </c>
      <c r="BL178" s="105" t="str">
        <f>IF(A178&lt;&gt;"",COUNTIFS('QA Log'!D:D,A178,'QA Log'!M:M,"Vignette",'QA Log'!L:L,"Vignette [10] Post Partum Haemorrhage - Atonic Uterus at Health Centre",'QA Log'!Z:Z,"Approved"),"")</f>
        <v/>
      </c>
      <c r="BM178" s="102" t="str">
        <f>IF(A178="","",SUM(
    COUNTIFS('QA Log'!D:D,A178,'QA Log'!M:M,"Vignette",'QA Log'!Z:Z,"Rejected",'QA Log'!L:L,"*Vignette [5] Labor*"),
    COUNTIFS('QA Log'!D:D,A178,'QA Log'!M:M,"Vignette",'QA Log'!Z:Z,"Rejected",'QA Log'!L:L,"*Vignette [6] PNC pre Discharge*"),
    COUNTIFS('QA Log'!D:D,A178,'QA Log'!M:M,"Vignette",'QA Log'!Z:Z,"Rejected",'QA Log'!L:L,"*Vignette [7] First ANC Visit*"),
    COUNTIFS('QA Log'!D:D,A178,'QA Log'!M:M,"Vignette",'QA Log'!Z:Z,"Rejected",'QA Log'!L:L,"*Vignette [8] Birth Spacing/ Family Planning :  FP Counselling*"),
    COUNTIFS('QA Log'!D:D,A178,'QA Log'!M:M,"Vignette",'QA Log'!Z:Z,"Rejected",'QA Log'!L:L,"*Vignette [9] Birth Spacing: Change FP method to Injectable*"),
    COUNTIFS('QA Log'!D:D,A178,'QA Log'!M:M,"Vignette",'QA Log'!Z:Z,"Rejected",'QA Log'!L:L,"*Vignette [10] Post Partum Haemorrhage - Atonic Uterus at Health Centre*")
  )
)</f>
        <v/>
      </c>
      <c r="BN178" s="107" t="str">
        <f t="shared" si="11"/>
        <v/>
      </c>
      <c r="BO178" s="103" t="str">
        <f t="shared" si="12"/>
        <v/>
      </c>
      <c r="BP178" s="102" t="str">
        <f>IF(A178="","",SUM(
COUNTIFS('QA Log'!D:D,A178,'QA Log'!M:M,"Vignette",'QA Log'!L:L,"*Exit Interview 1*"),
COUNTIFS('QA Log'!D:D,A178,'QA Log'!M:M,"Vignette",'QA Log'!L:L,"*Exit Interview 2*"),
)
)</f>
        <v/>
      </c>
      <c r="BQ178" s="102" t="str">
        <f>IF(
  A178="","",
  SUM(
    COUNTIFS('QA Log'!D:D,A178,'QA Log'!M:M,"Vignette",'QA Log'!Z:Z,"Approved",'QA Log'!L:L,"*Exit Interview 1*"),
    COUNTIFS('QA Log'!D:D,A178,'QA Log'!M:M,"Vignette",'QA Log'!Z:Z,"Approved",'QA Log'!L:L,"*Exit Interview 2*")
  )
)</f>
        <v/>
      </c>
      <c r="BR178" s="105" t="str">
        <f>IF(A178&lt;&gt;"",COUNTIFS('QA Log'!D:D,A178,'QA Log'!M:M,"Vignette",'QA Log'!L:L,"Exit Interview 1",'QA Log'!Z:Z,"Approved"),"")</f>
        <v/>
      </c>
      <c r="BS178" s="105" t="str">
        <f>IF(A178&lt;&gt;"",COUNTIFS('QA Log'!D:D,A178,'QA Log'!M:M,"Vignette",'QA Log'!L:L,"Exit Interview 2",'QA Log'!Z:Z,"Approved"),"")</f>
        <v/>
      </c>
      <c r="BT178" s="102" t="str">
        <f>IF(
  A178="","",
  SUM(
    COUNTIFS('QA Log'!D:D,A178,'QA Log'!M:M,"Vignette",'QA Log'!Z:Z,"Rejected",'QA Log'!L:L,"*Exit Interview 1*"),
    COUNTIFS('QA Log'!D:D,A178,'QA Log'!M:M,"Vignette",'QA Log'!Z:Z,"Rejected",'QA Log'!L:L,"*Exit Interview 2*")
  )
)</f>
        <v/>
      </c>
      <c r="BU178" s="107" t="str">
        <f t="shared" si="13"/>
        <v/>
      </c>
      <c r="BV178" s="102" t="str">
        <f t="shared" si="14"/>
        <v/>
      </c>
      <c r="BW178" s="102" t="str">
        <f t="shared" si="15"/>
        <v/>
      </c>
      <c r="BX178" s="102" t="str">
        <f t="shared" si="16"/>
        <v/>
      </c>
      <c r="BY178" s="102" t="str">
        <f t="shared" si="17"/>
        <v/>
      </c>
      <c r="BZ178" s="107" t="str">
        <f t="shared" si="18"/>
        <v/>
      </c>
      <c r="CA178" s="108" t="str">
        <f t="shared" si="19"/>
        <v/>
      </c>
      <c r="CB178" s="108" t="str">
        <f t="shared" si="20"/>
        <v/>
      </c>
      <c r="CC178" s="109" t="str">
        <f t="shared" si="21"/>
        <v/>
      </c>
      <c r="CD178" s="108" t="str">
        <f t="shared" si="22"/>
        <v/>
      </c>
      <c r="CE178" s="108" t="str">
        <f t="shared" si="23"/>
        <v/>
      </c>
      <c r="CF178" s="109" t="str">
        <f t="shared" si="24"/>
        <v/>
      </c>
      <c r="CG178" s="110" t="str">
        <f t="shared" si="25"/>
        <v/>
      </c>
      <c r="CH178" s="111"/>
    </row>
    <row r="179" spans="1:86" ht="12.75">
      <c r="A179" s="101"/>
      <c r="B179" s="102" t="e">
        <f t="array" aca="1" ref="B179" ca="1">_xludf.XLOOKUP(A179,'QA Log'!D:D,'QA Log'!E:E,"")</f>
        <v>#NAME?</v>
      </c>
      <c r="C179" s="102" t="e">
        <f t="array" aca="1" ref="C179" ca="1">_xludf.XLOOKUP(A179,'QA Log'!D:D,'QA Log'!F:F,"")</f>
        <v>#NAME?</v>
      </c>
      <c r="D179" s="102" t="e">
        <f t="array" aca="1" ref="D179" ca="1">_xludf.XLOOKUP(A179,'QA Log'!D:D,'QA Log'!H:H,"")</f>
        <v>#NAME?</v>
      </c>
      <c r="E179" s="102" t="e">
        <f t="array" aca="1" ref="E179" ca="1">_xludf.XLOOKUP(A179,'QA Log'!D:D,'QA Log'!G:G,"")</f>
        <v>#NAME?</v>
      </c>
      <c r="F179" s="103"/>
      <c r="G179" s="104"/>
      <c r="H179" s="104"/>
      <c r="I179" s="103" t="str">
        <f t="shared" si="0"/>
        <v/>
      </c>
      <c r="J179" s="102" t="str">
        <f>IF(A179="","",SUM(
COUNTIFS('QA Log'!D:D,A179,'QA Log'!M:M,"QQC",'QA Log'!L:L,"*1. General Management*"),
COUNTIFS('QA Log'!D:D,A179,'QA Log'!M:M,"QQC",'QA Log'!L:L,"*3. Curative Consultation (OPD)*"),
COUNTIFS('QA Log'!D:D,A179,'QA Log'!M:M,"QQC",'QA Log'!L:L,"*5. Laboratory*"),
COUNTIFS('QA Log'!D:D,A179,'QA Log'!M:M,"QQC",'QA Log'!L:L,"*6. Essential Medicine Management*"),
COUNTIFS('QA Log'!D:D,A179,'QA Log'!M:M,"QQC",'QA Log'!L:L,"*7. Tracer Medicine*"),
COUNTIFS('QA Log'!D:D,A179,'QA Log'!M:M,"QQC",'QA Log'!L:L,"*11. Additional Questions*")))</f>
        <v/>
      </c>
      <c r="K179" s="102" t="str">
        <f>IF(A179="","",SUM(
COUNTIFS('QA Log'!D:D,A179,'QA Log'!M:M,"QQC",'QA Log'!Z:Z,"Approved",'QA Log'!L:L,"*1. General Management*"),
COUNTIFS('QA Log'!D:D,A179,'QA Log'!M:M,"QQC",'QA Log'!Z:Z,"Approved",'QA Log'!L:L,"*3. Curative Consultation (OPD)*"),
COUNTIFS('QA Log'!D:D,A179,'QA Log'!M:M,"QQC",'QA Log'!Z:Z,"Approved",'QA Log'!L:L,"*5. Laboratory*"),
COUNTIFS('QA Log'!D:D,A179,'QA Log'!M:M,"QQC",'QA Log'!Z:Z,"Approved",'QA Log'!L:L,"*6. Essential Medicine Management*"),
COUNTIFS('QA Log'!D:D,A179,'QA Log'!M:M,"QQC",'QA Log'!Z:Z,"Approved",'QA Log'!L:L,"*7. Tracer Medicine*"),
COUNTIFS('QA Log'!D:D,A179,'QA Log'!M:M,"QQC",'QA Log'!Z:Z,"Approved",'QA Log'!L:L,"*11. Additional Questions*")))</f>
        <v/>
      </c>
      <c r="L179" s="105" t="str">
        <f>IF(A179&lt;&gt;"",COUNTIFS('QA Log'!D:D,A179,'QA Log'!M:M,"QQC",'QA Log'!L:L,"1. General Management",'QA Log'!Z:Z,"Approved"),"")</f>
        <v/>
      </c>
      <c r="M179" s="105" t="str">
        <f>IF(A179&lt;&gt;"",COUNTIFS('QA Log'!D:D,A179,'QA Log'!M:M,"QQC",'QA Log'!L:L,"3. Curative Consultation (OPD)",'QA Log'!Z:Z,"Approved"),"")</f>
        <v/>
      </c>
      <c r="N179" s="105" t="str">
        <f>IF(A179&lt;&gt;"",COUNTIFS('QA Log'!D:D,A179,'QA Log'!M:M,"QQC",'QA Log'!L:L,"5. Laboratory",'QA Log'!Z:Z,"Approved"),"")</f>
        <v/>
      </c>
      <c r="O179" s="105" t="str">
        <f>IF(A179&lt;&gt;"",COUNTIFS('QA Log'!D:D,A179,'QA Log'!M:M,"QQC",'QA Log'!L:L,"6. Essential Medicine Management",'QA Log'!Z:Z,"Approved"),"")</f>
        <v/>
      </c>
      <c r="P179" s="105" t="str">
        <f>IF(A179&lt;&gt;"",COUNTIFS('QA Log'!D:D,A179,'QA Log'!M:M,"QQC",'QA Log'!L:L,"7. Tracer Medicine",'QA Log'!Z:Z,"Approved"),"")</f>
        <v/>
      </c>
      <c r="Q179" s="105" t="str">
        <f>IF(A179&lt;&gt;"",COUNTIFS('QA Log'!D:D,A179,'QA Log'!M:M,"QQC",'QA Log'!L:L,"11. Additional Questions",'QA Log'!Z:Z,"Approved"),"")</f>
        <v/>
      </c>
      <c r="R179" s="102" t="str">
        <f>IF(A179="","",SUM(
COUNTIFS('QA Log'!D:D,A179,'QA Log'!M:M,"QQC",'QA Log'!Z:Z,"Rejected",'QA Log'!L:L,"*8. Maternity*"),
COUNTIFS('QA Log'!D:D,A179,'QA Log'!M:M,"QQC",'QA Log'!Z:Z,"Rejected",'QA Log'!L:L,"*EPI*"),
COUNTIFS('QA Log'!D:D,A179,'QA Log'!M:M,"QQC",'QA Log'!Z:Z,"Rejected",'QA Log'!L:L,"*10. Antenatal Care (ANC)*"),
COUNTIFS('QA Log'!D:D,A179,'QA Log'!M:M,"QQC",'QA Log'!Z:Z,"Rejected",'QA Log'!L:L,"*2. Hygiene and Sterilization*"),
COUNTIFS('QA Log'!D:D,A179,'QA Log'!M:M,"QQC",'QA Log'!Z:Z,"Rejected",'QA Log'!L:L,"*Family Planning*")))</f>
        <v/>
      </c>
      <c r="S179" s="106" t="str">
        <f t="shared" si="1"/>
        <v/>
      </c>
      <c r="T179" s="102" t="str">
        <f t="shared" si="2"/>
        <v/>
      </c>
      <c r="U179" s="102" t="str">
        <f>IF(A179="","",
SUM(
COUNTIFS('QA Log'!D:D,A179,'QA Log'!M:M,"QQC",'QA Log'!L:L,"*8. Maternity*"),
COUNTIFS('QA Log'!D:D,A179,'QA Log'!M:M,"QQC",'QA Log'!L:L,"*9. EPI and Pre-school Consultation*"),
COUNTIFS('QA Log'!D:D,A179,'QA Log'!M:M,"QQC",'QA Log'!L:L,"*10. Antenatal Care (ANC)*"),
COUNTIFS('QA Log'!D:D,A179,'QA Log'!M:M,"QQC",'QA Log'!L:L,"*2. Hygiene and Sterilization*"),
COUNTIFS('QA Log'!D:D,A179,'QA Log'!M:M,"QQC",'QA Log'!L:L,"*4. Family Planning*")
))</f>
        <v/>
      </c>
      <c r="V179" s="102" t="str">
        <f>IF(A179="","",
SUM(
COUNTIFS('QA Log'!D:D,A179,'QA Log'!M:M,"QQC",'QA Log'!Z:Z,"Approved",'QA Log'!L:L,"*8. Maternity*"),
COUNTIFS('QA Log'!D:D,A179,'QA Log'!M:M,"QQC",'QA Log'!Z:Z,"Approved",'QA Log'!L:L,"*9. EPI and Pre-school Consultation*"),
COUNTIFS('QA Log'!D:D,A179,'QA Log'!M:M,"QQC",'QA Log'!Z:Z,"Approved",'QA Log'!L:L,"*10. Antenatal Care (ANC)*"),
COUNTIFS('QA Log'!D:D,A179,'QA Log'!M:M,"QQC",'QA Log'!Z:Z,"Approved",'QA Log'!L:L,"*2. Hygiene and Sterilization*"),
COUNTIFS('QA Log'!D:D,A179,'QA Log'!M:M,"QQC",'QA Log'!Z:Z,"Approved",'QA Log'!L:L,"*4. Family Planning*")
))</f>
        <v/>
      </c>
      <c r="W179" s="105" t="str">
        <f>IF(A179&lt;&gt;"",COUNTIFS('QA Log'!D:D,A179,'QA Log'!M:M,"QQC",'QA Log'!L:L,"8. Maternity",'QA Log'!Z:Z,"Approved"),"")</f>
        <v/>
      </c>
      <c r="X179" s="105" t="str">
        <f>IF(A179&lt;&gt;"",COUNTIFS('QA Log'!D:D,A179,'QA Log'!M:M,"QQC",'QA Log'!L:L,"9. EPI and Pre-school Consultation",'QA Log'!Z:Z,"Approved"),"")</f>
        <v/>
      </c>
      <c r="Y179" s="105" t="str">
        <f>IF(A179&lt;&gt;"",COUNTIFS('QA Log'!D:D,A179,'QA Log'!M:M,"QQC",'QA Log'!L:L,"10. Antenatal Care (ANC)",'QA Log'!Z:Z,"Approved"),"")</f>
        <v/>
      </c>
      <c r="Z179" s="105" t="str">
        <f>IF(A179&lt;&gt;"",COUNTIFS('QA Log'!D:D,A179,'QA Log'!M:M,"QQC",'QA Log'!L:L,"2. Hygiene and Sterilization",'QA Log'!Z:Z,"Approved"),"")</f>
        <v/>
      </c>
      <c r="AA179" s="105" t="str">
        <f>IF(A179&lt;&gt;"",COUNTIFS('QA Log'!D:D,A179,'QA Log'!M:M,"QQC",'QA Log'!L:L,"4. Family Planning",'QA Log'!Z:Z,"Approved"),"")</f>
        <v/>
      </c>
      <c r="AB179" s="102" t="str">
        <f>IF(A179="","",
SUM(
COUNTIFS('QA Log'!D:D,A179,'QA Log'!M:M,"QQC",'QA Log'!Z:Z,"Rejected",'QA Log'!L:L,"*8. Maternity*"),
COUNTIFS('QA Log'!D:D,A179,'QA Log'!M:M,"QQC",'QA Log'!Z:Z,"Rejected",'QA Log'!L:L,"*9. EPI and Pre-school Consultation*"),
COUNTIFS('QA Log'!D:D,A179,'QA Log'!M:M,"QQC",'QA Log'!Z:Z,"Rejected",'QA Log'!L:L,"*10. Antenatal Care (ANC)*"),
COUNTIFS('QA Log'!D:D,A179,'QA Log'!M:M,"QQC",'QA Log'!Z:Z,"Rejected",'QA Log'!L:L,"*2. Hygiene and Sterilization*"),
COUNTIFS('QA Log'!D:D,A179,'QA Log'!M:M,"QQC",'QA Log'!Z:Z,"Rejected",'QA Log'!L:L,"*4. Family Planning*")
))</f>
        <v/>
      </c>
      <c r="AC179" s="102" t="str">
        <f t="shared" si="3"/>
        <v/>
      </c>
      <c r="AD179" s="103" t="str">
        <f t="shared" si="4"/>
        <v/>
      </c>
      <c r="AE179" s="102" t="str">
        <f>IF(A179="","",
SUM(
COUNTIFS('QA Log'!D:D,A179,'QA Log'!M:M,"Data Verification",'QA Log'!L:L,"*Medicine (section 2)*"),
COUNTIFS('QA Log'!D:D,A179,'QA Log'!M:M,"Data Verification",'QA Log'!L:L,"*Lab Testing Availability*"),
COUNTIFS('QA Log'!D:D,A179,'QA Log'!M:M,"Data Verification",'QA Log'!L:L,"*Other than P4P (section 6)*"),
COUNTIFS('QA Log'!D:D,A179,'QA Log'!M:M,"Data Verification",'QA Log'!L:L,"*Hospital Governance*")
))</f>
        <v/>
      </c>
      <c r="AF179" s="102" t="str">
        <f>IF(A179="","",
SUM(
COUNTIFS('QA Log'!D:D,A179,'QA Log'!M:M,"Data Verification",'QA Log'!Z:Z,"Approved",'QA Log'!L:L,"*Medicine (section 2)*"),
COUNTIFS('QA Log'!D:D,A179,'QA Log'!M:M,"Data Verification",'QA Log'!Z:Z,"Approved",'QA Log'!L:L,"*Lab Testing Availability*"),
COUNTIFS('QA Log'!D:D,A179,'QA Log'!M:M,"Data Verification",'QA Log'!Z:Z,"Approved",'QA Log'!L:L,"*Other than P4P (section 6)*"),
COUNTIFS('QA Log'!D:D,A179,'QA Log'!M:M,"Data Verification",'QA Log'!Z:Z,"Approved",'QA Log'!L:L,"*Hospital Governance*")
))</f>
        <v/>
      </c>
      <c r="AG179" s="105" t="str">
        <f>IF(A179&lt;&gt;"",COUNTIFS('QA Log'!D:D,A179,'QA Log'!M:M,"Data Verification",'QA Log'!L:L,"Medicine (section 2)",'QA Log'!Z:Z,"Approved"),"")</f>
        <v/>
      </c>
      <c r="AH179" s="105" t="str">
        <f>IF(A179&lt;&gt;"",COUNTIFS('QA Log'!D:D,A179,'QA Log'!M:M,"Data Verification",'QA Log'!L:L,"Lab Testing Availability",'QA Log'!Z:Z,"Approved"),"")</f>
        <v/>
      </c>
      <c r="AI179" s="105" t="str">
        <f>IF(A179&lt;&gt;"",COUNTIFS('QA Log'!D:D,A179,'QA Log'!M:M,"Data Verification",'QA Log'!L:L,"Other than P4P (section 6)",'QA Log'!Z:Z,"Approved"),"")</f>
        <v/>
      </c>
      <c r="AJ179" s="105" t="str">
        <f>IF(A179&lt;&gt;"",COUNTIFS('QA Log'!D:D,A179,'QA Log'!M:M,"Data Verification",'QA Log'!L:L,"Hospital Governance",'QA Log'!Z:Z,"Approved"),"")</f>
        <v/>
      </c>
      <c r="AK179" s="102" t="str">
        <f>IF(A179="","",
SUM(
COUNTIFS('QA Log'!D:D,A179,'QA Log'!M:M,"Data Verification",'QA Log'!Z:Z,"Rejected",'QA Log'!L:L,"*Medicine (section 2)*"),
COUNTIFS('QA Log'!D:D,A179,'QA Log'!M:M,"Data Verification",'QA Log'!Z:Z,"Rejected",'QA Log'!L:L,"*Lab Testing Availability*"),
COUNTIFS('QA Log'!D:D,A179,'QA Log'!M:M,"Data Verification",'QA Log'!Z:Z,"Rejected",'QA Log'!L:L,"*Other than P4P (section 6)*"),
COUNTIFS('QA Log'!D:D,A179,'QA Log'!M:M,"Data Verification",'QA Log'!Z:Z,"Rejected",'QA Log'!L:L,"*Hospital Governance*")
))</f>
        <v/>
      </c>
      <c r="AL179" s="106" t="str">
        <f t="shared" si="5"/>
        <v/>
      </c>
      <c r="AM179" s="102" t="str">
        <f t="shared" si="6"/>
        <v/>
      </c>
      <c r="AN179" s="102" t="str">
        <f>IF(A179="","",
SUM(
COUNTIFS('QA Log'!D:D,A179,'QA Log'!M:M,"Data Verification",'QA Log'!L:L,"*Personnel (section 1)*"),
COUNTIFS('QA Log'!D:D,A179,'QA Log'!M:M,"Data Verification",'QA Log'!L:L,"*Consumable (section 3)*"),
COUNTIFS('QA Log'!D:D,A179,'QA Log'!M:M,"Data Verification",'QA Log'!L:L,"*Equipments (section 4)*")
))</f>
        <v/>
      </c>
      <c r="AO179" s="102" t="str">
        <f>IF(A179="","",
SUM(
COUNTIFS('QA Log'!D:D,A179,'QA Log'!M:M,"Data Verification",'QA Log'!Z:Z,"Approved",'QA Log'!L:L,"*Personnel (section 1)*"),
COUNTIFS('QA Log'!D:D,A179,'QA Log'!M:M,"Data Verification",'QA Log'!Z:Z,"Approved",'QA Log'!L:L,"*Consumable (section 3)*"),
COUNTIFS('QA Log'!D:D,A179,'QA Log'!M:M,"Data Verification",'QA Log'!Z:Z,"Approved",'QA Log'!L:L,"*Equipments (section 4)*")
))</f>
        <v/>
      </c>
      <c r="AP179" s="105" t="str">
        <f>IF(A179&lt;&gt;"",COUNTIFS('QA Log'!D:D,A179,'QA Log'!M:M,"Data Verification",'QA Log'!L:L,"Personnel (section 1)",'QA Log'!Z:Z,"Approved"),"")</f>
        <v/>
      </c>
      <c r="AQ179" s="105" t="str">
        <f>IF(A179&lt;&gt;"",COUNTIFS('QA Log'!D:D,A179,'QA Log'!M:M,"Data Verification",'QA Log'!L:L,"Consumable (section 3)",'QA Log'!Z:Z,"Approved"),"")</f>
        <v/>
      </c>
      <c r="AR179" s="105" t="str">
        <f>IF(A179&lt;&gt;"",COUNTIFS('QA Log'!D:D,A179,'QA Log'!M:M,"Data Verification",'QA Log'!L:L,"Equipments (section 4)",'QA Log'!Z:Z,"Approved"),"")</f>
        <v/>
      </c>
      <c r="AS179" s="102" t="str">
        <f>IF(A179="","",
SUM(
COUNTIFS('QA Log'!D:D,A179,'QA Log'!M:M,"Data Verification",'QA Log'!Z:Z,"Rejected",'QA Log'!L:L,"*Personnel (section 1)*"),
COUNTIFS('QA Log'!D:D,A179,'QA Log'!M:M,"Data Verification",'QA Log'!Z:Z,"Rejected",'QA Log'!L:L,"*Consumable (section 3)*"),
COUNTIFS('QA Log'!D:D,A179,'QA Log'!M:M,"Data Verification",'QA Log'!Z:Z,"Rejected",'QA Log'!L:L,"*Equipments (section 4)*")
))</f>
        <v/>
      </c>
      <c r="AT179" s="102" t="str">
        <f t="shared" si="7"/>
        <v/>
      </c>
      <c r="AU179" s="103" t="str">
        <f t="shared" si="8"/>
        <v/>
      </c>
      <c r="AV179" s="102" t="str">
        <f>IF(A179="","",SUM(
COUNTIFS('QA Log'!D:D,A179,'QA Log'!M:M,"Vignette",'QA Log'!L:L,"*Vignette [1] Respiratory Infection: Pneumonia*"),
COUNTIFS('QA Log'!D:D,A179,'QA Log'!M:M,"Vignette",'QA Log'!L:L,"*Vignette [2]: Diarrhea with Cat B dehydration*"),
COUNTIFS('QA Log'!D:D,A179,'QA Log'!M:M,"Vignette",'QA Log'!L:L,"*Vignette [3] Growth Monitoring and Promotion*"),
COUNTIFS('QA Log'!D:D,A179,'QA Log'!M:M,"Vignette",'QA Log'!L:L,"*Vignette [4]: The management of presumptive TB patient*")
)
)</f>
        <v/>
      </c>
      <c r="AW179" s="102" t="str">
        <f>IF(
  A179="","",
  SUM(
    COUNTIFS('QA Log'!D:D,A179,'QA Log'!M:M,"Vignette",'QA Log'!Z:Z,"Approved",'QA Log'!L:L,"*Vignette [1] Respiratory Infection: Pneumonia*"),
    COUNTIFS('QA Log'!D:D,A179,'QA Log'!M:M,"Vignette",'QA Log'!Z:Z,"Approved",'QA Log'!L:L,"*Vignette [2]: Diarrhea with Cat B dehydration*"),
    COUNTIFS('QA Log'!D:D,A179,'QA Log'!M:M,"Vignette",'QA Log'!Z:Z,"Approved",'QA Log'!L:L,"*Vignette [3] Growth Monitoring and Promotion*"),
    COUNTIFS('QA Log'!D:D,A179,'QA Log'!M:M,"Vignette",'QA Log'!Z:Z,"Approved",'QA Log'!L:L,"*Vignette [4]: The management of presumptive TB patient*")
  )
)</f>
        <v/>
      </c>
      <c r="AX179" s="105" t="str">
        <f>IF(A179&lt;&gt;"",COUNTIFS('QA Log'!D:D,A179,'QA Log'!M:M,"Vignette",'QA Log'!L:L,"Vignette [1] Respiratory Infection: Pneumonia",'QA Log'!Z:Z,"Approved"),"")</f>
        <v/>
      </c>
      <c r="AY179" s="105" t="str">
        <f>IF(A179&lt;&gt;"",COUNTIFS('QA Log'!D:D,A179,'QA Log'!M:M,"Vignette",'QA Log'!L:L,"Vignette [2]: Diarrhea with Cat B dehydration",'QA Log'!Z:Z,"Approved"),"")</f>
        <v/>
      </c>
      <c r="AZ179" s="105" t="str">
        <f>IF(A179&lt;&gt;"",COUNTIFS('QA Log'!D:D,A179,'QA Log'!M:M,"Vignette",'QA Log'!L:L,"Vignette [3] Growth Monitoring and Promotion",'QA Log'!Z:Z,"Approved"),"")</f>
        <v/>
      </c>
      <c r="BA179" s="105" t="str">
        <f>IF(A179&lt;&gt;"",COUNTIFS('QA Log'!D:D,A179,'QA Log'!M:M,"Vignette",'QA Log'!L:L,"Vignette [4]: The management of presumptive TB patient",'QA Log'!Z:Z,"Approved"),"")</f>
        <v/>
      </c>
      <c r="BB179" s="102" t="str">
        <f>IF(A179="","",
  SUM(
    COUNTIFS('QA Log'!D:D,A179,'QA Log'!M:M,"Vignette",'QA Log'!Z:Z,"Rejected",'QA Log'!L:L,"*Vignette [1] Respiratory Infection: Pneumonia*"),
    COUNTIFS('QA Log'!D:D,A179,'QA Log'!M:M,"Vignette",'QA Log'!Z:Z,"Rejected",'QA Log'!L:L,"*Vignette [2]: Diarrhea with Cat B dehydration*"),
    COUNTIFS('QA Log'!D:D,A179,'QA Log'!M:M,"Vignette",'QA Log'!Z:Z,"Rejected",'QA Log'!L:L,"*Vignette [3] Growth Monitoring and Promotion*"),
    COUNTIFS('QA Log'!D:D,A179,'QA Log'!M:M,"Vignette",'QA Log'!Z:Z,"Rejected",'QA Log'!L:L,"*Vignette [4]: The management of presumptive TB patient*")
  )
)</f>
        <v/>
      </c>
      <c r="BC179" s="107" t="str">
        <f t="shared" si="9"/>
        <v/>
      </c>
      <c r="BD179" s="103" t="str">
        <f t="shared" si="10"/>
        <v/>
      </c>
      <c r="BE179" s="102" t="str">
        <f>IF(A179="","",SUM(
COUNTIFS('QA Log'!D:D,A179,'QA Log'!M:M,"Vignette",'QA Log'!L:L,"*Vignette [5] Labor*"),
COUNTIFS('QA Log'!D:D,A179,'QA Log'!M:M,"Vignette",'QA Log'!L:L,"*Vignette [6] PNC pre Discharge*"),
COUNTIFS('QA Log'!D:D,A179,'QA Log'!M:M,"Vignette",'QA Log'!L:L,"*Vignette [7] First ANC Visit*"),
COUNTIFS('QA Log'!D:D,A179,'QA Log'!M:M,"Vignette",'QA Log'!L:L,"*Vignette [8] Birth Spacing/ Family Planning :  FP Counselling*"),
COUNTIFS('QA Log'!D:D,A179,'QA Log'!M:M,"Vignette",'QA Log'!L:L,"*Vignette [9] Birth Spacing: Change FP method to Injectable*"),
COUNTIFS('QA Log'!D:D,A179,'QA Log'!M:M,"Vignette",'QA Log'!L:L,"*Vignette [10] Post Partum Haemorrhage - Atonic Uterus at Health Centre*"),
)
)</f>
        <v/>
      </c>
      <c r="BF179" s="102" t="str">
        <f>IF(A179="","",
  SUM(
    COUNTIFS('QA Log'!D:D,A179,'QA Log'!M:M,"Vignette",'QA Log'!Z:Z,"Approved",'QA Log'!L:L,"*Vignette [5] Labor*"),
    COUNTIFS('QA Log'!D:D,A179,'QA Log'!M:M,"Vignette",'QA Log'!Z:Z,"Approved",'QA Log'!L:L,"*Vignette [6] PNC pre Discharge*"),
    COUNTIFS('QA Log'!D:D,A179,'QA Log'!M:M,"Vignette",'QA Log'!Z:Z,"Approved",'QA Log'!L:L,"*Vignette [7] First ANC Visit*"),
    COUNTIFS('QA Log'!D:D,A179,'QA Log'!M:M,"Vignette",'QA Log'!Z:Z,"Approved",'QA Log'!L:L,"*Vignette [8] Birth Spacing/ Family Planning :  FP Counselling*"),
    COUNTIFS('QA Log'!D:D,A179,'QA Log'!M:M,"Vignette",'QA Log'!Z:Z,"Approved",'QA Log'!L:L,"*Vignette [9] Birth Spacing: Change FP method to Injectable*"),
    COUNTIFS('QA Log'!D:D,A179,'QA Log'!M:M,"Vignette",'QA Log'!Z:Z,"Approved",'QA Log'!L:L,"*Vignette [10] Post Partum Haemorrhage - Atonic Uterus at Health Centre*")
  )
)</f>
        <v/>
      </c>
      <c r="BG179" s="105" t="str">
        <f>IF(A179&lt;&gt;"",COUNTIFS('QA Log'!D:D,A179,'QA Log'!M:M,"Vignette",'QA Log'!L:L,"Vignette [5] Labor",'QA Log'!Z:Z,"Approved"),"")</f>
        <v/>
      </c>
      <c r="BH179" s="105" t="str">
        <f>IF(A179&lt;&gt;"",COUNTIFS('QA Log'!D:D,A179,'QA Log'!M:M,"Vignette",'QA Log'!L:L,"Vignette [6] PNC pre Discharge",'QA Log'!Z:Z,"Approved"),"")</f>
        <v/>
      </c>
      <c r="BI179" s="105" t="str">
        <f>IF(A179&lt;&gt;"",COUNTIFS('QA Log'!D:D,A179,'QA Log'!M:M,"Vignette",'QA Log'!L:L,"Vignette [7] First ANC Visit",'QA Log'!Z:Z,"Approved"),"")</f>
        <v/>
      </c>
      <c r="BJ179" s="105" t="str">
        <f>IF(A179&lt;&gt;"",COUNTIFS('QA Log'!D:D,A179,'QA Log'!M:M,"Vignette",'QA Log'!L:L,"Vignette [8] Birth Spacing/ Family Planning :  FP Counselling",'QA Log'!Z:Z,"Approved"),"")</f>
        <v/>
      </c>
      <c r="BK179" s="105" t="str">
        <f>IF(A179&lt;&gt;"",COUNTIFS('QA Log'!D:D,A179,'QA Log'!M:M,"Vignette",'QA Log'!L:L,"Vignette [9] Birth Spacing: Change FP method to Injectable",'QA Log'!Z:Z,"Approved"),"")</f>
        <v/>
      </c>
      <c r="BL179" s="105" t="str">
        <f>IF(A179&lt;&gt;"",COUNTIFS('QA Log'!D:D,A179,'QA Log'!M:M,"Vignette",'QA Log'!L:L,"Vignette [10] Post Partum Haemorrhage - Atonic Uterus at Health Centre",'QA Log'!Z:Z,"Approved"),"")</f>
        <v/>
      </c>
      <c r="BM179" s="102" t="str">
        <f>IF(A179="","",SUM(
    COUNTIFS('QA Log'!D:D,A179,'QA Log'!M:M,"Vignette",'QA Log'!Z:Z,"Rejected",'QA Log'!L:L,"*Vignette [5] Labor*"),
    COUNTIFS('QA Log'!D:D,A179,'QA Log'!M:M,"Vignette",'QA Log'!Z:Z,"Rejected",'QA Log'!L:L,"*Vignette [6] PNC pre Discharge*"),
    COUNTIFS('QA Log'!D:D,A179,'QA Log'!M:M,"Vignette",'QA Log'!Z:Z,"Rejected",'QA Log'!L:L,"*Vignette [7] First ANC Visit*"),
    COUNTIFS('QA Log'!D:D,A179,'QA Log'!M:M,"Vignette",'QA Log'!Z:Z,"Rejected",'QA Log'!L:L,"*Vignette [8] Birth Spacing/ Family Planning :  FP Counselling*"),
    COUNTIFS('QA Log'!D:D,A179,'QA Log'!M:M,"Vignette",'QA Log'!Z:Z,"Rejected",'QA Log'!L:L,"*Vignette [9] Birth Spacing: Change FP method to Injectable*"),
    COUNTIFS('QA Log'!D:D,A179,'QA Log'!M:M,"Vignette",'QA Log'!Z:Z,"Rejected",'QA Log'!L:L,"*Vignette [10] Post Partum Haemorrhage - Atonic Uterus at Health Centre*")
  )
)</f>
        <v/>
      </c>
      <c r="BN179" s="107" t="str">
        <f t="shared" si="11"/>
        <v/>
      </c>
      <c r="BO179" s="103" t="str">
        <f t="shared" si="12"/>
        <v/>
      </c>
      <c r="BP179" s="102" t="str">
        <f>IF(A179="","",SUM(
COUNTIFS('QA Log'!D:D,A179,'QA Log'!M:M,"Vignette",'QA Log'!L:L,"*Exit Interview 1*"),
COUNTIFS('QA Log'!D:D,A179,'QA Log'!M:M,"Vignette",'QA Log'!L:L,"*Exit Interview 2*"),
)
)</f>
        <v/>
      </c>
      <c r="BQ179" s="102" t="str">
        <f>IF(
  A179="","",
  SUM(
    COUNTIFS('QA Log'!D:D,A179,'QA Log'!M:M,"Vignette",'QA Log'!Z:Z,"Approved",'QA Log'!L:L,"*Exit Interview 1*"),
    COUNTIFS('QA Log'!D:D,A179,'QA Log'!M:M,"Vignette",'QA Log'!Z:Z,"Approved",'QA Log'!L:L,"*Exit Interview 2*")
  )
)</f>
        <v/>
      </c>
      <c r="BR179" s="105" t="str">
        <f>IF(A179&lt;&gt;"",COUNTIFS('QA Log'!D:D,A179,'QA Log'!M:M,"Vignette",'QA Log'!L:L,"Exit Interview 1",'QA Log'!Z:Z,"Approved"),"")</f>
        <v/>
      </c>
      <c r="BS179" s="105" t="str">
        <f>IF(A179&lt;&gt;"",COUNTIFS('QA Log'!D:D,A179,'QA Log'!M:M,"Vignette",'QA Log'!L:L,"Exit Interview 2",'QA Log'!Z:Z,"Approved"),"")</f>
        <v/>
      </c>
      <c r="BT179" s="102" t="str">
        <f>IF(
  A179="","",
  SUM(
    COUNTIFS('QA Log'!D:D,A179,'QA Log'!M:M,"Vignette",'QA Log'!Z:Z,"Rejected",'QA Log'!L:L,"*Exit Interview 1*"),
    COUNTIFS('QA Log'!D:D,A179,'QA Log'!M:M,"Vignette",'QA Log'!Z:Z,"Rejected",'QA Log'!L:L,"*Exit Interview 2*")
  )
)</f>
        <v/>
      </c>
      <c r="BU179" s="107" t="str">
        <f t="shared" si="13"/>
        <v/>
      </c>
      <c r="BV179" s="102" t="str">
        <f t="shared" si="14"/>
        <v/>
      </c>
      <c r="BW179" s="102" t="str">
        <f t="shared" si="15"/>
        <v/>
      </c>
      <c r="BX179" s="102" t="str">
        <f t="shared" si="16"/>
        <v/>
      </c>
      <c r="BY179" s="102" t="str">
        <f t="shared" si="17"/>
        <v/>
      </c>
      <c r="BZ179" s="107" t="str">
        <f t="shared" si="18"/>
        <v/>
      </c>
      <c r="CA179" s="108" t="str">
        <f t="shared" si="19"/>
        <v/>
      </c>
      <c r="CB179" s="108" t="str">
        <f t="shared" si="20"/>
        <v/>
      </c>
      <c r="CC179" s="109" t="str">
        <f t="shared" si="21"/>
        <v/>
      </c>
      <c r="CD179" s="108" t="str">
        <f t="shared" si="22"/>
        <v/>
      </c>
      <c r="CE179" s="108" t="str">
        <f t="shared" si="23"/>
        <v/>
      </c>
      <c r="CF179" s="109" t="str">
        <f t="shared" si="24"/>
        <v/>
      </c>
      <c r="CG179" s="110" t="str">
        <f t="shared" si="25"/>
        <v/>
      </c>
      <c r="CH179" s="111"/>
    </row>
    <row r="180" spans="1:86" ht="12.75">
      <c r="A180" s="101"/>
      <c r="B180" s="102" t="e">
        <f t="array" aca="1" ref="B180" ca="1">_xludf.XLOOKUP(A180,'QA Log'!D:D,'QA Log'!E:E,"")</f>
        <v>#NAME?</v>
      </c>
      <c r="C180" s="102" t="e">
        <f t="array" aca="1" ref="C180" ca="1">_xludf.XLOOKUP(A180,'QA Log'!D:D,'QA Log'!F:F,"")</f>
        <v>#NAME?</v>
      </c>
      <c r="D180" s="102" t="e">
        <f t="array" aca="1" ref="D180" ca="1">_xludf.XLOOKUP(A180,'QA Log'!D:D,'QA Log'!H:H,"")</f>
        <v>#NAME?</v>
      </c>
      <c r="E180" s="102" t="e">
        <f t="array" aca="1" ref="E180" ca="1">_xludf.XLOOKUP(A180,'QA Log'!D:D,'QA Log'!G:G,"")</f>
        <v>#NAME?</v>
      </c>
      <c r="F180" s="103"/>
      <c r="G180" s="104"/>
      <c r="H180" s="104"/>
      <c r="I180" s="103" t="str">
        <f t="shared" si="0"/>
        <v/>
      </c>
      <c r="J180" s="102" t="str">
        <f>IF(A180="","",SUM(
COUNTIFS('QA Log'!D:D,A180,'QA Log'!M:M,"QQC",'QA Log'!L:L,"*1. General Management*"),
COUNTIFS('QA Log'!D:D,A180,'QA Log'!M:M,"QQC",'QA Log'!L:L,"*3. Curative Consultation (OPD)*"),
COUNTIFS('QA Log'!D:D,A180,'QA Log'!M:M,"QQC",'QA Log'!L:L,"*5. Laboratory*"),
COUNTIFS('QA Log'!D:D,A180,'QA Log'!M:M,"QQC",'QA Log'!L:L,"*6. Essential Medicine Management*"),
COUNTIFS('QA Log'!D:D,A180,'QA Log'!M:M,"QQC",'QA Log'!L:L,"*7. Tracer Medicine*"),
COUNTIFS('QA Log'!D:D,A180,'QA Log'!M:M,"QQC",'QA Log'!L:L,"*11. Additional Questions*")))</f>
        <v/>
      </c>
      <c r="K180" s="102" t="str">
        <f>IF(A180="","",SUM(
COUNTIFS('QA Log'!D:D,A180,'QA Log'!M:M,"QQC",'QA Log'!Z:Z,"Approved",'QA Log'!L:L,"*1. General Management*"),
COUNTIFS('QA Log'!D:D,A180,'QA Log'!M:M,"QQC",'QA Log'!Z:Z,"Approved",'QA Log'!L:L,"*3. Curative Consultation (OPD)*"),
COUNTIFS('QA Log'!D:D,A180,'QA Log'!M:M,"QQC",'QA Log'!Z:Z,"Approved",'QA Log'!L:L,"*5. Laboratory*"),
COUNTIFS('QA Log'!D:D,A180,'QA Log'!M:M,"QQC",'QA Log'!Z:Z,"Approved",'QA Log'!L:L,"*6. Essential Medicine Management*"),
COUNTIFS('QA Log'!D:D,A180,'QA Log'!M:M,"QQC",'QA Log'!Z:Z,"Approved",'QA Log'!L:L,"*7. Tracer Medicine*"),
COUNTIFS('QA Log'!D:D,A180,'QA Log'!M:M,"QQC",'QA Log'!Z:Z,"Approved",'QA Log'!L:L,"*11. Additional Questions*")))</f>
        <v/>
      </c>
      <c r="L180" s="105" t="str">
        <f>IF(A180&lt;&gt;"",COUNTIFS('QA Log'!D:D,A180,'QA Log'!M:M,"QQC",'QA Log'!L:L,"1. General Management",'QA Log'!Z:Z,"Approved"),"")</f>
        <v/>
      </c>
      <c r="M180" s="105" t="str">
        <f>IF(A180&lt;&gt;"",COUNTIFS('QA Log'!D:D,A180,'QA Log'!M:M,"QQC",'QA Log'!L:L,"3. Curative Consultation (OPD)",'QA Log'!Z:Z,"Approved"),"")</f>
        <v/>
      </c>
      <c r="N180" s="105" t="str">
        <f>IF(A180&lt;&gt;"",COUNTIFS('QA Log'!D:D,A180,'QA Log'!M:M,"QQC",'QA Log'!L:L,"5. Laboratory",'QA Log'!Z:Z,"Approved"),"")</f>
        <v/>
      </c>
      <c r="O180" s="105" t="str">
        <f>IF(A180&lt;&gt;"",COUNTIFS('QA Log'!D:D,A180,'QA Log'!M:M,"QQC",'QA Log'!L:L,"6. Essential Medicine Management",'QA Log'!Z:Z,"Approved"),"")</f>
        <v/>
      </c>
      <c r="P180" s="105" t="str">
        <f>IF(A180&lt;&gt;"",COUNTIFS('QA Log'!D:D,A180,'QA Log'!M:M,"QQC",'QA Log'!L:L,"7. Tracer Medicine",'QA Log'!Z:Z,"Approved"),"")</f>
        <v/>
      </c>
      <c r="Q180" s="105" t="str">
        <f>IF(A180&lt;&gt;"",COUNTIFS('QA Log'!D:D,A180,'QA Log'!M:M,"QQC",'QA Log'!L:L,"11. Additional Questions",'QA Log'!Z:Z,"Approved"),"")</f>
        <v/>
      </c>
      <c r="R180" s="102" t="str">
        <f>IF(A180="","",SUM(
COUNTIFS('QA Log'!D:D,A180,'QA Log'!M:M,"QQC",'QA Log'!Z:Z,"Rejected",'QA Log'!L:L,"*8. Maternity*"),
COUNTIFS('QA Log'!D:D,A180,'QA Log'!M:M,"QQC",'QA Log'!Z:Z,"Rejected",'QA Log'!L:L,"*EPI*"),
COUNTIFS('QA Log'!D:D,A180,'QA Log'!M:M,"QQC",'QA Log'!Z:Z,"Rejected",'QA Log'!L:L,"*10. Antenatal Care (ANC)*"),
COUNTIFS('QA Log'!D:D,A180,'QA Log'!M:M,"QQC",'QA Log'!Z:Z,"Rejected",'QA Log'!L:L,"*2. Hygiene and Sterilization*"),
COUNTIFS('QA Log'!D:D,A180,'QA Log'!M:M,"QQC",'QA Log'!Z:Z,"Rejected",'QA Log'!L:L,"*Family Planning*")))</f>
        <v/>
      </c>
      <c r="S180" s="106" t="str">
        <f t="shared" si="1"/>
        <v/>
      </c>
      <c r="T180" s="102" t="str">
        <f t="shared" si="2"/>
        <v/>
      </c>
      <c r="U180" s="102" t="str">
        <f>IF(A180="","",
SUM(
COUNTIFS('QA Log'!D:D,A180,'QA Log'!M:M,"QQC",'QA Log'!L:L,"*8. Maternity*"),
COUNTIFS('QA Log'!D:D,A180,'QA Log'!M:M,"QQC",'QA Log'!L:L,"*9. EPI and Pre-school Consultation*"),
COUNTIFS('QA Log'!D:D,A180,'QA Log'!M:M,"QQC",'QA Log'!L:L,"*10. Antenatal Care (ANC)*"),
COUNTIFS('QA Log'!D:D,A180,'QA Log'!M:M,"QQC",'QA Log'!L:L,"*2. Hygiene and Sterilization*"),
COUNTIFS('QA Log'!D:D,A180,'QA Log'!M:M,"QQC",'QA Log'!L:L,"*4. Family Planning*")
))</f>
        <v/>
      </c>
      <c r="V180" s="102" t="str">
        <f>IF(A180="","",
SUM(
COUNTIFS('QA Log'!D:D,A180,'QA Log'!M:M,"QQC",'QA Log'!Z:Z,"Approved",'QA Log'!L:L,"*8. Maternity*"),
COUNTIFS('QA Log'!D:D,A180,'QA Log'!M:M,"QQC",'QA Log'!Z:Z,"Approved",'QA Log'!L:L,"*9. EPI and Pre-school Consultation*"),
COUNTIFS('QA Log'!D:D,A180,'QA Log'!M:M,"QQC",'QA Log'!Z:Z,"Approved",'QA Log'!L:L,"*10. Antenatal Care (ANC)*"),
COUNTIFS('QA Log'!D:D,A180,'QA Log'!M:M,"QQC",'QA Log'!Z:Z,"Approved",'QA Log'!L:L,"*2. Hygiene and Sterilization*"),
COUNTIFS('QA Log'!D:D,A180,'QA Log'!M:M,"QQC",'QA Log'!Z:Z,"Approved",'QA Log'!L:L,"*4. Family Planning*")
))</f>
        <v/>
      </c>
      <c r="W180" s="105" t="str">
        <f>IF(A180&lt;&gt;"",COUNTIFS('QA Log'!D:D,A180,'QA Log'!M:M,"QQC",'QA Log'!L:L,"8. Maternity",'QA Log'!Z:Z,"Approved"),"")</f>
        <v/>
      </c>
      <c r="X180" s="105" t="str">
        <f>IF(A180&lt;&gt;"",COUNTIFS('QA Log'!D:D,A180,'QA Log'!M:M,"QQC",'QA Log'!L:L,"9. EPI and Pre-school Consultation",'QA Log'!Z:Z,"Approved"),"")</f>
        <v/>
      </c>
      <c r="Y180" s="105" t="str">
        <f>IF(A180&lt;&gt;"",COUNTIFS('QA Log'!D:D,A180,'QA Log'!M:M,"QQC",'QA Log'!L:L,"10. Antenatal Care (ANC)",'QA Log'!Z:Z,"Approved"),"")</f>
        <v/>
      </c>
      <c r="Z180" s="105" t="str">
        <f>IF(A180&lt;&gt;"",COUNTIFS('QA Log'!D:D,A180,'QA Log'!M:M,"QQC",'QA Log'!L:L,"2. Hygiene and Sterilization",'QA Log'!Z:Z,"Approved"),"")</f>
        <v/>
      </c>
      <c r="AA180" s="105" t="str">
        <f>IF(A180&lt;&gt;"",COUNTIFS('QA Log'!D:D,A180,'QA Log'!M:M,"QQC",'QA Log'!L:L,"4. Family Planning",'QA Log'!Z:Z,"Approved"),"")</f>
        <v/>
      </c>
      <c r="AB180" s="102" t="str">
        <f>IF(A180="","",
SUM(
COUNTIFS('QA Log'!D:D,A180,'QA Log'!M:M,"QQC",'QA Log'!Z:Z,"Rejected",'QA Log'!L:L,"*8. Maternity*"),
COUNTIFS('QA Log'!D:D,A180,'QA Log'!M:M,"QQC",'QA Log'!Z:Z,"Rejected",'QA Log'!L:L,"*9. EPI and Pre-school Consultation*"),
COUNTIFS('QA Log'!D:D,A180,'QA Log'!M:M,"QQC",'QA Log'!Z:Z,"Rejected",'QA Log'!L:L,"*10. Antenatal Care (ANC)*"),
COUNTIFS('QA Log'!D:D,A180,'QA Log'!M:M,"QQC",'QA Log'!Z:Z,"Rejected",'QA Log'!L:L,"*2. Hygiene and Sterilization*"),
COUNTIFS('QA Log'!D:D,A180,'QA Log'!M:M,"QQC",'QA Log'!Z:Z,"Rejected",'QA Log'!L:L,"*4. Family Planning*")
))</f>
        <v/>
      </c>
      <c r="AC180" s="102" t="str">
        <f t="shared" si="3"/>
        <v/>
      </c>
      <c r="AD180" s="103" t="str">
        <f t="shared" si="4"/>
        <v/>
      </c>
      <c r="AE180" s="102" t="str">
        <f>IF(A180="","",
SUM(
COUNTIFS('QA Log'!D:D,A180,'QA Log'!M:M,"Data Verification",'QA Log'!L:L,"*Medicine (section 2)*"),
COUNTIFS('QA Log'!D:D,A180,'QA Log'!M:M,"Data Verification",'QA Log'!L:L,"*Lab Testing Availability*"),
COUNTIFS('QA Log'!D:D,A180,'QA Log'!M:M,"Data Verification",'QA Log'!L:L,"*Other than P4P (section 6)*"),
COUNTIFS('QA Log'!D:D,A180,'QA Log'!M:M,"Data Verification",'QA Log'!L:L,"*Hospital Governance*")
))</f>
        <v/>
      </c>
      <c r="AF180" s="102" t="str">
        <f>IF(A180="","",
SUM(
COUNTIFS('QA Log'!D:D,A180,'QA Log'!M:M,"Data Verification",'QA Log'!Z:Z,"Approved",'QA Log'!L:L,"*Medicine (section 2)*"),
COUNTIFS('QA Log'!D:D,A180,'QA Log'!M:M,"Data Verification",'QA Log'!Z:Z,"Approved",'QA Log'!L:L,"*Lab Testing Availability*"),
COUNTIFS('QA Log'!D:D,A180,'QA Log'!M:M,"Data Verification",'QA Log'!Z:Z,"Approved",'QA Log'!L:L,"*Other than P4P (section 6)*"),
COUNTIFS('QA Log'!D:D,A180,'QA Log'!M:M,"Data Verification",'QA Log'!Z:Z,"Approved",'QA Log'!L:L,"*Hospital Governance*")
))</f>
        <v/>
      </c>
      <c r="AG180" s="105" t="str">
        <f>IF(A180&lt;&gt;"",COUNTIFS('QA Log'!D:D,A180,'QA Log'!M:M,"Data Verification",'QA Log'!L:L,"Medicine (section 2)",'QA Log'!Z:Z,"Approved"),"")</f>
        <v/>
      </c>
      <c r="AH180" s="105" t="str">
        <f>IF(A180&lt;&gt;"",COUNTIFS('QA Log'!D:D,A180,'QA Log'!M:M,"Data Verification",'QA Log'!L:L,"Lab Testing Availability",'QA Log'!Z:Z,"Approved"),"")</f>
        <v/>
      </c>
      <c r="AI180" s="105" t="str">
        <f>IF(A180&lt;&gt;"",COUNTIFS('QA Log'!D:D,A180,'QA Log'!M:M,"Data Verification",'QA Log'!L:L,"Other than P4P (section 6)",'QA Log'!Z:Z,"Approved"),"")</f>
        <v/>
      </c>
      <c r="AJ180" s="105" t="str">
        <f>IF(A180&lt;&gt;"",COUNTIFS('QA Log'!D:D,A180,'QA Log'!M:M,"Data Verification",'QA Log'!L:L,"Hospital Governance",'QA Log'!Z:Z,"Approved"),"")</f>
        <v/>
      </c>
      <c r="AK180" s="102" t="str">
        <f>IF(A180="","",
SUM(
COUNTIFS('QA Log'!D:D,A180,'QA Log'!M:M,"Data Verification",'QA Log'!Z:Z,"Rejected",'QA Log'!L:L,"*Medicine (section 2)*"),
COUNTIFS('QA Log'!D:D,A180,'QA Log'!M:M,"Data Verification",'QA Log'!Z:Z,"Rejected",'QA Log'!L:L,"*Lab Testing Availability*"),
COUNTIFS('QA Log'!D:D,A180,'QA Log'!M:M,"Data Verification",'QA Log'!Z:Z,"Rejected",'QA Log'!L:L,"*Other than P4P (section 6)*"),
COUNTIFS('QA Log'!D:D,A180,'QA Log'!M:M,"Data Verification",'QA Log'!Z:Z,"Rejected",'QA Log'!L:L,"*Hospital Governance*")
))</f>
        <v/>
      </c>
      <c r="AL180" s="106" t="str">
        <f t="shared" si="5"/>
        <v/>
      </c>
      <c r="AM180" s="102" t="str">
        <f t="shared" si="6"/>
        <v/>
      </c>
      <c r="AN180" s="102" t="str">
        <f>IF(A180="","",
SUM(
COUNTIFS('QA Log'!D:D,A180,'QA Log'!M:M,"Data Verification",'QA Log'!L:L,"*Personnel (section 1)*"),
COUNTIFS('QA Log'!D:D,A180,'QA Log'!M:M,"Data Verification",'QA Log'!L:L,"*Consumable (section 3)*"),
COUNTIFS('QA Log'!D:D,A180,'QA Log'!M:M,"Data Verification",'QA Log'!L:L,"*Equipments (section 4)*")
))</f>
        <v/>
      </c>
      <c r="AO180" s="102" t="str">
        <f>IF(A180="","",
SUM(
COUNTIFS('QA Log'!D:D,A180,'QA Log'!M:M,"Data Verification",'QA Log'!Z:Z,"Approved",'QA Log'!L:L,"*Personnel (section 1)*"),
COUNTIFS('QA Log'!D:D,A180,'QA Log'!M:M,"Data Verification",'QA Log'!Z:Z,"Approved",'QA Log'!L:L,"*Consumable (section 3)*"),
COUNTIFS('QA Log'!D:D,A180,'QA Log'!M:M,"Data Verification",'QA Log'!Z:Z,"Approved",'QA Log'!L:L,"*Equipments (section 4)*")
))</f>
        <v/>
      </c>
      <c r="AP180" s="105" t="str">
        <f>IF(A180&lt;&gt;"",COUNTIFS('QA Log'!D:D,A180,'QA Log'!M:M,"Data Verification",'QA Log'!L:L,"Personnel (section 1)",'QA Log'!Z:Z,"Approved"),"")</f>
        <v/>
      </c>
      <c r="AQ180" s="105" t="str">
        <f>IF(A180&lt;&gt;"",COUNTIFS('QA Log'!D:D,A180,'QA Log'!M:M,"Data Verification",'QA Log'!L:L,"Consumable (section 3)",'QA Log'!Z:Z,"Approved"),"")</f>
        <v/>
      </c>
      <c r="AR180" s="105" t="str">
        <f>IF(A180&lt;&gt;"",COUNTIFS('QA Log'!D:D,A180,'QA Log'!M:M,"Data Verification",'QA Log'!L:L,"Equipments (section 4)",'QA Log'!Z:Z,"Approved"),"")</f>
        <v/>
      </c>
      <c r="AS180" s="102" t="str">
        <f>IF(A180="","",
SUM(
COUNTIFS('QA Log'!D:D,A180,'QA Log'!M:M,"Data Verification",'QA Log'!Z:Z,"Rejected",'QA Log'!L:L,"*Personnel (section 1)*"),
COUNTIFS('QA Log'!D:D,A180,'QA Log'!M:M,"Data Verification",'QA Log'!Z:Z,"Rejected",'QA Log'!L:L,"*Consumable (section 3)*"),
COUNTIFS('QA Log'!D:D,A180,'QA Log'!M:M,"Data Verification",'QA Log'!Z:Z,"Rejected",'QA Log'!L:L,"*Equipments (section 4)*")
))</f>
        <v/>
      </c>
      <c r="AT180" s="102" t="str">
        <f t="shared" si="7"/>
        <v/>
      </c>
      <c r="AU180" s="103" t="str">
        <f t="shared" si="8"/>
        <v/>
      </c>
      <c r="AV180" s="102" t="str">
        <f>IF(A180="","",SUM(
COUNTIFS('QA Log'!D:D,A180,'QA Log'!M:M,"Vignette",'QA Log'!L:L,"*Vignette [1] Respiratory Infection: Pneumonia*"),
COUNTIFS('QA Log'!D:D,A180,'QA Log'!M:M,"Vignette",'QA Log'!L:L,"*Vignette [2]: Diarrhea with Cat B dehydration*"),
COUNTIFS('QA Log'!D:D,A180,'QA Log'!M:M,"Vignette",'QA Log'!L:L,"*Vignette [3] Growth Monitoring and Promotion*"),
COUNTIFS('QA Log'!D:D,A180,'QA Log'!M:M,"Vignette",'QA Log'!L:L,"*Vignette [4]: The management of presumptive TB patient*")
)
)</f>
        <v/>
      </c>
      <c r="AW180" s="102" t="str">
        <f>IF(
  A180="","",
  SUM(
    COUNTIFS('QA Log'!D:D,A180,'QA Log'!M:M,"Vignette",'QA Log'!Z:Z,"Approved",'QA Log'!L:L,"*Vignette [1] Respiratory Infection: Pneumonia*"),
    COUNTIFS('QA Log'!D:D,A180,'QA Log'!M:M,"Vignette",'QA Log'!Z:Z,"Approved",'QA Log'!L:L,"*Vignette [2]: Diarrhea with Cat B dehydration*"),
    COUNTIFS('QA Log'!D:D,A180,'QA Log'!M:M,"Vignette",'QA Log'!Z:Z,"Approved",'QA Log'!L:L,"*Vignette [3] Growth Monitoring and Promotion*"),
    COUNTIFS('QA Log'!D:D,A180,'QA Log'!M:M,"Vignette",'QA Log'!Z:Z,"Approved",'QA Log'!L:L,"*Vignette [4]: The management of presumptive TB patient*")
  )
)</f>
        <v/>
      </c>
      <c r="AX180" s="105" t="str">
        <f>IF(A180&lt;&gt;"",COUNTIFS('QA Log'!D:D,A180,'QA Log'!M:M,"Vignette",'QA Log'!L:L,"Vignette [1] Respiratory Infection: Pneumonia",'QA Log'!Z:Z,"Approved"),"")</f>
        <v/>
      </c>
      <c r="AY180" s="105" t="str">
        <f>IF(A180&lt;&gt;"",COUNTIFS('QA Log'!D:D,A180,'QA Log'!M:M,"Vignette",'QA Log'!L:L,"Vignette [2]: Diarrhea with Cat B dehydration",'QA Log'!Z:Z,"Approved"),"")</f>
        <v/>
      </c>
      <c r="AZ180" s="105" t="str">
        <f>IF(A180&lt;&gt;"",COUNTIFS('QA Log'!D:D,A180,'QA Log'!M:M,"Vignette",'QA Log'!L:L,"Vignette [3] Growth Monitoring and Promotion",'QA Log'!Z:Z,"Approved"),"")</f>
        <v/>
      </c>
      <c r="BA180" s="105" t="str">
        <f>IF(A180&lt;&gt;"",COUNTIFS('QA Log'!D:D,A180,'QA Log'!M:M,"Vignette",'QA Log'!L:L,"Vignette [4]: The management of presumptive TB patient",'QA Log'!Z:Z,"Approved"),"")</f>
        <v/>
      </c>
      <c r="BB180" s="102" t="str">
        <f>IF(A180="","",
  SUM(
    COUNTIFS('QA Log'!D:D,A180,'QA Log'!M:M,"Vignette",'QA Log'!Z:Z,"Rejected",'QA Log'!L:L,"*Vignette [1] Respiratory Infection: Pneumonia*"),
    COUNTIFS('QA Log'!D:D,A180,'QA Log'!M:M,"Vignette",'QA Log'!Z:Z,"Rejected",'QA Log'!L:L,"*Vignette [2]: Diarrhea with Cat B dehydration*"),
    COUNTIFS('QA Log'!D:D,A180,'QA Log'!M:M,"Vignette",'QA Log'!Z:Z,"Rejected",'QA Log'!L:L,"*Vignette [3] Growth Monitoring and Promotion*"),
    COUNTIFS('QA Log'!D:D,A180,'QA Log'!M:M,"Vignette",'QA Log'!Z:Z,"Rejected",'QA Log'!L:L,"*Vignette [4]: The management of presumptive TB patient*")
  )
)</f>
        <v/>
      </c>
      <c r="BC180" s="107" t="str">
        <f t="shared" si="9"/>
        <v/>
      </c>
      <c r="BD180" s="103" t="str">
        <f t="shared" si="10"/>
        <v/>
      </c>
      <c r="BE180" s="102" t="str">
        <f>IF(A180="","",SUM(
COUNTIFS('QA Log'!D:D,A180,'QA Log'!M:M,"Vignette",'QA Log'!L:L,"*Vignette [5] Labor*"),
COUNTIFS('QA Log'!D:D,A180,'QA Log'!M:M,"Vignette",'QA Log'!L:L,"*Vignette [6] PNC pre Discharge*"),
COUNTIFS('QA Log'!D:D,A180,'QA Log'!M:M,"Vignette",'QA Log'!L:L,"*Vignette [7] First ANC Visit*"),
COUNTIFS('QA Log'!D:D,A180,'QA Log'!M:M,"Vignette",'QA Log'!L:L,"*Vignette [8] Birth Spacing/ Family Planning :  FP Counselling*"),
COUNTIFS('QA Log'!D:D,A180,'QA Log'!M:M,"Vignette",'QA Log'!L:L,"*Vignette [9] Birth Spacing: Change FP method to Injectable*"),
COUNTIFS('QA Log'!D:D,A180,'QA Log'!M:M,"Vignette",'QA Log'!L:L,"*Vignette [10] Post Partum Haemorrhage - Atonic Uterus at Health Centre*"),
)
)</f>
        <v/>
      </c>
      <c r="BF180" s="102" t="str">
        <f>IF(A180="","",
  SUM(
    COUNTIFS('QA Log'!D:D,A180,'QA Log'!M:M,"Vignette",'QA Log'!Z:Z,"Approved",'QA Log'!L:L,"*Vignette [5] Labor*"),
    COUNTIFS('QA Log'!D:D,A180,'QA Log'!M:M,"Vignette",'QA Log'!Z:Z,"Approved",'QA Log'!L:L,"*Vignette [6] PNC pre Discharge*"),
    COUNTIFS('QA Log'!D:D,A180,'QA Log'!M:M,"Vignette",'QA Log'!Z:Z,"Approved",'QA Log'!L:L,"*Vignette [7] First ANC Visit*"),
    COUNTIFS('QA Log'!D:D,A180,'QA Log'!M:M,"Vignette",'QA Log'!Z:Z,"Approved",'QA Log'!L:L,"*Vignette [8] Birth Spacing/ Family Planning :  FP Counselling*"),
    COUNTIFS('QA Log'!D:D,A180,'QA Log'!M:M,"Vignette",'QA Log'!Z:Z,"Approved",'QA Log'!L:L,"*Vignette [9] Birth Spacing: Change FP method to Injectable*"),
    COUNTIFS('QA Log'!D:D,A180,'QA Log'!M:M,"Vignette",'QA Log'!Z:Z,"Approved",'QA Log'!L:L,"*Vignette [10] Post Partum Haemorrhage - Atonic Uterus at Health Centre*")
  )
)</f>
        <v/>
      </c>
      <c r="BG180" s="105" t="str">
        <f>IF(A180&lt;&gt;"",COUNTIFS('QA Log'!D:D,A180,'QA Log'!M:M,"Vignette",'QA Log'!L:L,"Vignette [5] Labor",'QA Log'!Z:Z,"Approved"),"")</f>
        <v/>
      </c>
      <c r="BH180" s="105" t="str">
        <f>IF(A180&lt;&gt;"",COUNTIFS('QA Log'!D:D,A180,'QA Log'!M:M,"Vignette",'QA Log'!L:L,"Vignette [6] PNC pre Discharge",'QA Log'!Z:Z,"Approved"),"")</f>
        <v/>
      </c>
      <c r="BI180" s="105" t="str">
        <f>IF(A180&lt;&gt;"",COUNTIFS('QA Log'!D:D,A180,'QA Log'!M:M,"Vignette",'QA Log'!L:L,"Vignette [7] First ANC Visit",'QA Log'!Z:Z,"Approved"),"")</f>
        <v/>
      </c>
      <c r="BJ180" s="105" t="str">
        <f>IF(A180&lt;&gt;"",COUNTIFS('QA Log'!D:D,A180,'QA Log'!M:M,"Vignette",'QA Log'!L:L,"Vignette [8] Birth Spacing/ Family Planning :  FP Counselling",'QA Log'!Z:Z,"Approved"),"")</f>
        <v/>
      </c>
      <c r="BK180" s="105" t="str">
        <f>IF(A180&lt;&gt;"",COUNTIFS('QA Log'!D:D,A180,'QA Log'!M:M,"Vignette",'QA Log'!L:L,"Vignette [9] Birth Spacing: Change FP method to Injectable",'QA Log'!Z:Z,"Approved"),"")</f>
        <v/>
      </c>
      <c r="BL180" s="105" t="str">
        <f>IF(A180&lt;&gt;"",COUNTIFS('QA Log'!D:D,A180,'QA Log'!M:M,"Vignette",'QA Log'!L:L,"Vignette [10] Post Partum Haemorrhage - Atonic Uterus at Health Centre",'QA Log'!Z:Z,"Approved"),"")</f>
        <v/>
      </c>
      <c r="BM180" s="102" t="str">
        <f>IF(A180="","",SUM(
    COUNTIFS('QA Log'!D:D,A180,'QA Log'!M:M,"Vignette",'QA Log'!Z:Z,"Rejected",'QA Log'!L:L,"*Vignette [5] Labor*"),
    COUNTIFS('QA Log'!D:D,A180,'QA Log'!M:M,"Vignette",'QA Log'!Z:Z,"Rejected",'QA Log'!L:L,"*Vignette [6] PNC pre Discharge*"),
    COUNTIFS('QA Log'!D:D,A180,'QA Log'!M:M,"Vignette",'QA Log'!Z:Z,"Rejected",'QA Log'!L:L,"*Vignette [7] First ANC Visit*"),
    COUNTIFS('QA Log'!D:D,A180,'QA Log'!M:M,"Vignette",'QA Log'!Z:Z,"Rejected",'QA Log'!L:L,"*Vignette [8] Birth Spacing/ Family Planning :  FP Counselling*"),
    COUNTIFS('QA Log'!D:D,A180,'QA Log'!M:M,"Vignette",'QA Log'!Z:Z,"Rejected",'QA Log'!L:L,"*Vignette [9] Birth Spacing: Change FP method to Injectable*"),
    COUNTIFS('QA Log'!D:D,A180,'QA Log'!M:M,"Vignette",'QA Log'!Z:Z,"Rejected",'QA Log'!L:L,"*Vignette [10] Post Partum Haemorrhage - Atonic Uterus at Health Centre*")
  )
)</f>
        <v/>
      </c>
      <c r="BN180" s="107" t="str">
        <f t="shared" si="11"/>
        <v/>
      </c>
      <c r="BO180" s="103" t="str">
        <f t="shared" si="12"/>
        <v/>
      </c>
      <c r="BP180" s="102" t="str">
        <f>IF(A180="","",SUM(
COUNTIFS('QA Log'!D:D,A180,'QA Log'!M:M,"Vignette",'QA Log'!L:L,"*Exit Interview 1*"),
COUNTIFS('QA Log'!D:D,A180,'QA Log'!M:M,"Vignette",'QA Log'!L:L,"*Exit Interview 2*"),
)
)</f>
        <v/>
      </c>
      <c r="BQ180" s="102" t="str">
        <f>IF(
  A180="","",
  SUM(
    COUNTIFS('QA Log'!D:D,A180,'QA Log'!M:M,"Vignette",'QA Log'!Z:Z,"Approved",'QA Log'!L:L,"*Exit Interview 1*"),
    COUNTIFS('QA Log'!D:D,A180,'QA Log'!M:M,"Vignette",'QA Log'!Z:Z,"Approved",'QA Log'!L:L,"*Exit Interview 2*")
  )
)</f>
        <v/>
      </c>
      <c r="BR180" s="105" t="str">
        <f>IF(A180&lt;&gt;"",COUNTIFS('QA Log'!D:D,A180,'QA Log'!M:M,"Vignette",'QA Log'!L:L,"Exit Interview 1",'QA Log'!Z:Z,"Approved"),"")</f>
        <v/>
      </c>
      <c r="BS180" s="105" t="str">
        <f>IF(A180&lt;&gt;"",COUNTIFS('QA Log'!D:D,A180,'QA Log'!M:M,"Vignette",'QA Log'!L:L,"Exit Interview 2",'QA Log'!Z:Z,"Approved"),"")</f>
        <v/>
      </c>
      <c r="BT180" s="102" t="str">
        <f>IF(
  A180="","",
  SUM(
    COUNTIFS('QA Log'!D:D,A180,'QA Log'!M:M,"Vignette",'QA Log'!Z:Z,"Rejected",'QA Log'!L:L,"*Exit Interview 1*"),
    COUNTIFS('QA Log'!D:D,A180,'QA Log'!M:M,"Vignette",'QA Log'!Z:Z,"Rejected",'QA Log'!L:L,"*Exit Interview 2*")
  )
)</f>
        <v/>
      </c>
      <c r="BU180" s="107" t="str">
        <f t="shared" si="13"/>
        <v/>
      </c>
      <c r="BV180" s="102" t="str">
        <f t="shared" si="14"/>
        <v/>
      </c>
      <c r="BW180" s="102" t="str">
        <f t="shared" si="15"/>
        <v/>
      </c>
      <c r="BX180" s="102" t="str">
        <f t="shared" si="16"/>
        <v/>
      </c>
      <c r="BY180" s="102" t="str">
        <f t="shared" si="17"/>
        <v/>
      </c>
      <c r="BZ180" s="107" t="str">
        <f t="shared" si="18"/>
        <v/>
      </c>
      <c r="CA180" s="108" t="str">
        <f t="shared" si="19"/>
        <v/>
      </c>
      <c r="CB180" s="108" t="str">
        <f t="shared" si="20"/>
        <v/>
      </c>
      <c r="CC180" s="109" t="str">
        <f t="shared" si="21"/>
        <v/>
      </c>
      <c r="CD180" s="108" t="str">
        <f t="shared" si="22"/>
        <v/>
      </c>
      <c r="CE180" s="108" t="str">
        <f t="shared" si="23"/>
        <v/>
      </c>
      <c r="CF180" s="109" t="str">
        <f t="shared" si="24"/>
        <v/>
      </c>
      <c r="CG180" s="110" t="str">
        <f t="shared" si="25"/>
        <v/>
      </c>
      <c r="CH180" s="111"/>
    </row>
    <row r="181" spans="1:86" ht="12.75">
      <c r="A181" s="101"/>
      <c r="B181" s="102" t="e">
        <f t="array" aca="1" ref="B181" ca="1">_xludf.XLOOKUP(A181,'QA Log'!D:D,'QA Log'!E:E,"")</f>
        <v>#NAME?</v>
      </c>
      <c r="C181" s="102" t="e">
        <f t="array" aca="1" ref="C181" ca="1">_xludf.XLOOKUP(A181,'QA Log'!D:D,'QA Log'!F:F,"")</f>
        <v>#NAME?</v>
      </c>
      <c r="D181" s="102" t="e">
        <f t="array" aca="1" ref="D181" ca="1">_xludf.XLOOKUP(A181,'QA Log'!D:D,'QA Log'!H:H,"")</f>
        <v>#NAME?</v>
      </c>
      <c r="E181" s="102" t="e">
        <f t="array" aca="1" ref="E181" ca="1">_xludf.XLOOKUP(A181,'QA Log'!D:D,'QA Log'!G:G,"")</f>
        <v>#NAME?</v>
      </c>
      <c r="F181" s="103"/>
      <c r="G181" s="104"/>
      <c r="H181" s="104"/>
      <c r="I181" s="103" t="str">
        <f t="shared" si="0"/>
        <v/>
      </c>
      <c r="J181" s="102" t="str">
        <f>IF(A181="","",SUM(
COUNTIFS('QA Log'!D:D,A181,'QA Log'!M:M,"QQC",'QA Log'!L:L,"*1. General Management*"),
COUNTIFS('QA Log'!D:D,A181,'QA Log'!M:M,"QQC",'QA Log'!L:L,"*3. Curative Consultation (OPD)*"),
COUNTIFS('QA Log'!D:D,A181,'QA Log'!M:M,"QQC",'QA Log'!L:L,"*5. Laboratory*"),
COUNTIFS('QA Log'!D:D,A181,'QA Log'!M:M,"QQC",'QA Log'!L:L,"*6. Essential Medicine Management*"),
COUNTIFS('QA Log'!D:D,A181,'QA Log'!M:M,"QQC",'QA Log'!L:L,"*7. Tracer Medicine*"),
COUNTIFS('QA Log'!D:D,A181,'QA Log'!M:M,"QQC",'QA Log'!L:L,"*11. Additional Questions*")))</f>
        <v/>
      </c>
      <c r="K181" s="102" t="str">
        <f>IF(A181="","",SUM(
COUNTIFS('QA Log'!D:D,A181,'QA Log'!M:M,"QQC",'QA Log'!Z:Z,"Approved",'QA Log'!L:L,"*1. General Management*"),
COUNTIFS('QA Log'!D:D,A181,'QA Log'!M:M,"QQC",'QA Log'!Z:Z,"Approved",'QA Log'!L:L,"*3. Curative Consultation (OPD)*"),
COUNTIFS('QA Log'!D:D,A181,'QA Log'!M:M,"QQC",'QA Log'!Z:Z,"Approved",'QA Log'!L:L,"*5. Laboratory*"),
COUNTIFS('QA Log'!D:D,A181,'QA Log'!M:M,"QQC",'QA Log'!Z:Z,"Approved",'QA Log'!L:L,"*6. Essential Medicine Management*"),
COUNTIFS('QA Log'!D:D,A181,'QA Log'!M:M,"QQC",'QA Log'!Z:Z,"Approved",'QA Log'!L:L,"*7. Tracer Medicine*"),
COUNTIFS('QA Log'!D:D,A181,'QA Log'!M:M,"QQC",'QA Log'!Z:Z,"Approved",'QA Log'!L:L,"*11. Additional Questions*")))</f>
        <v/>
      </c>
      <c r="L181" s="105" t="str">
        <f>IF(A181&lt;&gt;"",COUNTIFS('QA Log'!D:D,A181,'QA Log'!M:M,"QQC",'QA Log'!L:L,"1. General Management",'QA Log'!Z:Z,"Approved"),"")</f>
        <v/>
      </c>
      <c r="M181" s="105" t="str">
        <f>IF(A181&lt;&gt;"",COUNTIFS('QA Log'!D:D,A181,'QA Log'!M:M,"QQC",'QA Log'!L:L,"3. Curative Consultation (OPD)",'QA Log'!Z:Z,"Approved"),"")</f>
        <v/>
      </c>
      <c r="N181" s="105" t="str">
        <f>IF(A181&lt;&gt;"",COUNTIFS('QA Log'!D:D,A181,'QA Log'!M:M,"QQC",'QA Log'!L:L,"5. Laboratory",'QA Log'!Z:Z,"Approved"),"")</f>
        <v/>
      </c>
      <c r="O181" s="105" t="str">
        <f>IF(A181&lt;&gt;"",COUNTIFS('QA Log'!D:D,A181,'QA Log'!M:M,"QQC",'QA Log'!L:L,"6. Essential Medicine Management",'QA Log'!Z:Z,"Approved"),"")</f>
        <v/>
      </c>
      <c r="P181" s="105" t="str">
        <f>IF(A181&lt;&gt;"",COUNTIFS('QA Log'!D:D,A181,'QA Log'!M:M,"QQC",'QA Log'!L:L,"7. Tracer Medicine",'QA Log'!Z:Z,"Approved"),"")</f>
        <v/>
      </c>
      <c r="Q181" s="105" t="str">
        <f>IF(A181&lt;&gt;"",COUNTIFS('QA Log'!D:D,A181,'QA Log'!M:M,"QQC",'QA Log'!L:L,"11. Additional Questions",'QA Log'!Z:Z,"Approved"),"")</f>
        <v/>
      </c>
      <c r="R181" s="102" t="str">
        <f>IF(A181="","",SUM(
COUNTIFS('QA Log'!D:D,A181,'QA Log'!M:M,"QQC",'QA Log'!Z:Z,"Rejected",'QA Log'!L:L,"*8. Maternity*"),
COUNTIFS('QA Log'!D:D,A181,'QA Log'!M:M,"QQC",'QA Log'!Z:Z,"Rejected",'QA Log'!L:L,"*EPI*"),
COUNTIFS('QA Log'!D:D,A181,'QA Log'!M:M,"QQC",'QA Log'!Z:Z,"Rejected",'QA Log'!L:L,"*10. Antenatal Care (ANC)*"),
COUNTIFS('QA Log'!D:D,A181,'QA Log'!M:M,"QQC",'QA Log'!Z:Z,"Rejected",'QA Log'!L:L,"*2. Hygiene and Sterilization*"),
COUNTIFS('QA Log'!D:D,A181,'QA Log'!M:M,"QQC",'QA Log'!Z:Z,"Rejected",'QA Log'!L:L,"*Family Planning*")))</f>
        <v/>
      </c>
      <c r="S181" s="106" t="str">
        <f t="shared" si="1"/>
        <v/>
      </c>
      <c r="T181" s="102" t="str">
        <f t="shared" si="2"/>
        <v/>
      </c>
      <c r="U181" s="102" t="str">
        <f>IF(A181="","",
SUM(
COUNTIFS('QA Log'!D:D,A181,'QA Log'!M:M,"QQC",'QA Log'!L:L,"*8. Maternity*"),
COUNTIFS('QA Log'!D:D,A181,'QA Log'!M:M,"QQC",'QA Log'!L:L,"*9. EPI and Pre-school Consultation*"),
COUNTIFS('QA Log'!D:D,A181,'QA Log'!M:M,"QQC",'QA Log'!L:L,"*10. Antenatal Care (ANC)*"),
COUNTIFS('QA Log'!D:D,A181,'QA Log'!M:M,"QQC",'QA Log'!L:L,"*2. Hygiene and Sterilization*"),
COUNTIFS('QA Log'!D:D,A181,'QA Log'!M:M,"QQC",'QA Log'!L:L,"*4. Family Planning*")
))</f>
        <v/>
      </c>
      <c r="V181" s="102" t="str">
        <f>IF(A181="","",
SUM(
COUNTIFS('QA Log'!D:D,A181,'QA Log'!M:M,"QQC",'QA Log'!Z:Z,"Approved",'QA Log'!L:L,"*8. Maternity*"),
COUNTIFS('QA Log'!D:D,A181,'QA Log'!M:M,"QQC",'QA Log'!Z:Z,"Approved",'QA Log'!L:L,"*9. EPI and Pre-school Consultation*"),
COUNTIFS('QA Log'!D:D,A181,'QA Log'!M:M,"QQC",'QA Log'!Z:Z,"Approved",'QA Log'!L:L,"*10. Antenatal Care (ANC)*"),
COUNTIFS('QA Log'!D:D,A181,'QA Log'!M:M,"QQC",'QA Log'!Z:Z,"Approved",'QA Log'!L:L,"*2. Hygiene and Sterilization*"),
COUNTIFS('QA Log'!D:D,A181,'QA Log'!M:M,"QQC",'QA Log'!Z:Z,"Approved",'QA Log'!L:L,"*4. Family Planning*")
))</f>
        <v/>
      </c>
      <c r="W181" s="105" t="str">
        <f>IF(A181&lt;&gt;"",COUNTIFS('QA Log'!D:D,A181,'QA Log'!M:M,"QQC",'QA Log'!L:L,"8. Maternity",'QA Log'!Z:Z,"Approved"),"")</f>
        <v/>
      </c>
      <c r="X181" s="105" t="str">
        <f>IF(A181&lt;&gt;"",COUNTIFS('QA Log'!D:D,A181,'QA Log'!M:M,"QQC",'QA Log'!L:L,"9. EPI and Pre-school Consultation",'QA Log'!Z:Z,"Approved"),"")</f>
        <v/>
      </c>
      <c r="Y181" s="105" t="str">
        <f>IF(A181&lt;&gt;"",COUNTIFS('QA Log'!D:D,A181,'QA Log'!M:M,"QQC",'QA Log'!L:L,"10. Antenatal Care (ANC)",'QA Log'!Z:Z,"Approved"),"")</f>
        <v/>
      </c>
      <c r="Z181" s="105" t="str">
        <f>IF(A181&lt;&gt;"",COUNTIFS('QA Log'!D:D,A181,'QA Log'!M:M,"QQC",'QA Log'!L:L,"2. Hygiene and Sterilization",'QA Log'!Z:Z,"Approved"),"")</f>
        <v/>
      </c>
      <c r="AA181" s="105" t="str">
        <f>IF(A181&lt;&gt;"",COUNTIFS('QA Log'!D:D,A181,'QA Log'!M:M,"QQC",'QA Log'!L:L,"4. Family Planning",'QA Log'!Z:Z,"Approved"),"")</f>
        <v/>
      </c>
      <c r="AB181" s="102" t="str">
        <f>IF(A181="","",
SUM(
COUNTIFS('QA Log'!D:D,A181,'QA Log'!M:M,"QQC",'QA Log'!Z:Z,"Rejected",'QA Log'!L:L,"*8. Maternity*"),
COUNTIFS('QA Log'!D:D,A181,'QA Log'!M:M,"QQC",'QA Log'!Z:Z,"Rejected",'QA Log'!L:L,"*9. EPI and Pre-school Consultation*"),
COUNTIFS('QA Log'!D:D,A181,'QA Log'!M:M,"QQC",'QA Log'!Z:Z,"Rejected",'QA Log'!L:L,"*10. Antenatal Care (ANC)*"),
COUNTIFS('QA Log'!D:D,A181,'QA Log'!M:M,"QQC",'QA Log'!Z:Z,"Rejected",'QA Log'!L:L,"*2. Hygiene and Sterilization*"),
COUNTIFS('QA Log'!D:D,A181,'QA Log'!M:M,"QQC",'QA Log'!Z:Z,"Rejected",'QA Log'!L:L,"*4. Family Planning*")
))</f>
        <v/>
      </c>
      <c r="AC181" s="102" t="str">
        <f t="shared" si="3"/>
        <v/>
      </c>
      <c r="AD181" s="103" t="str">
        <f t="shared" si="4"/>
        <v/>
      </c>
      <c r="AE181" s="102" t="str">
        <f>IF(A181="","",
SUM(
COUNTIFS('QA Log'!D:D,A181,'QA Log'!M:M,"Data Verification",'QA Log'!L:L,"*Medicine (section 2)*"),
COUNTIFS('QA Log'!D:D,A181,'QA Log'!M:M,"Data Verification",'QA Log'!L:L,"*Lab Testing Availability*"),
COUNTIFS('QA Log'!D:D,A181,'QA Log'!M:M,"Data Verification",'QA Log'!L:L,"*Other than P4P (section 6)*"),
COUNTIFS('QA Log'!D:D,A181,'QA Log'!M:M,"Data Verification",'QA Log'!L:L,"*Hospital Governance*")
))</f>
        <v/>
      </c>
      <c r="AF181" s="102" t="str">
        <f>IF(A181="","",
SUM(
COUNTIFS('QA Log'!D:D,A181,'QA Log'!M:M,"Data Verification",'QA Log'!Z:Z,"Approved",'QA Log'!L:L,"*Medicine (section 2)*"),
COUNTIFS('QA Log'!D:D,A181,'QA Log'!M:M,"Data Verification",'QA Log'!Z:Z,"Approved",'QA Log'!L:L,"*Lab Testing Availability*"),
COUNTIFS('QA Log'!D:D,A181,'QA Log'!M:M,"Data Verification",'QA Log'!Z:Z,"Approved",'QA Log'!L:L,"*Other than P4P (section 6)*"),
COUNTIFS('QA Log'!D:D,A181,'QA Log'!M:M,"Data Verification",'QA Log'!Z:Z,"Approved",'QA Log'!L:L,"*Hospital Governance*")
))</f>
        <v/>
      </c>
      <c r="AG181" s="105" t="str">
        <f>IF(A181&lt;&gt;"",COUNTIFS('QA Log'!D:D,A181,'QA Log'!M:M,"Data Verification",'QA Log'!L:L,"Medicine (section 2)",'QA Log'!Z:Z,"Approved"),"")</f>
        <v/>
      </c>
      <c r="AH181" s="105" t="str">
        <f>IF(A181&lt;&gt;"",COUNTIFS('QA Log'!D:D,A181,'QA Log'!M:M,"Data Verification",'QA Log'!L:L,"Lab Testing Availability",'QA Log'!Z:Z,"Approved"),"")</f>
        <v/>
      </c>
      <c r="AI181" s="105" t="str">
        <f>IF(A181&lt;&gt;"",COUNTIFS('QA Log'!D:D,A181,'QA Log'!M:M,"Data Verification",'QA Log'!L:L,"Other than P4P (section 6)",'QA Log'!Z:Z,"Approved"),"")</f>
        <v/>
      </c>
      <c r="AJ181" s="105" t="str">
        <f>IF(A181&lt;&gt;"",COUNTIFS('QA Log'!D:D,A181,'QA Log'!M:M,"Data Verification",'QA Log'!L:L,"Hospital Governance",'QA Log'!Z:Z,"Approved"),"")</f>
        <v/>
      </c>
      <c r="AK181" s="102" t="str">
        <f>IF(A181="","",
SUM(
COUNTIFS('QA Log'!D:D,A181,'QA Log'!M:M,"Data Verification",'QA Log'!Z:Z,"Rejected",'QA Log'!L:L,"*Medicine (section 2)*"),
COUNTIFS('QA Log'!D:D,A181,'QA Log'!M:M,"Data Verification",'QA Log'!Z:Z,"Rejected",'QA Log'!L:L,"*Lab Testing Availability*"),
COUNTIFS('QA Log'!D:D,A181,'QA Log'!M:M,"Data Verification",'QA Log'!Z:Z,"Rejected",'QA Log'!L:L,"*Other than P4P (section 6)*"),
COUNTIFS('QA Log'!D:D,A181,'QA Log'!M:M,"Data Verification",'QA Log'!Z:Z,"Rejected",'QA Log'!L:L,"*Hospital Governance*")
))</f>
        <v/>
      </c>
      <c r="AL181" s="106" t="str">
        <f t="shared" si="5"/>
        <v/>
      </c>
      <c r="AM181" s="102" t="str">
        <f t="shared" si="6"/>
        <v/>
      </c>
      <c r="AN181" s="102" t="str">
        <f>IF(A181="","",
SUM(
COUNTIFS('QA Log'!D:D,A181,'QA Log'!M:M,"Data Verification",'QA Log'!L:L,"*Personnel (section 1)*"),
COUNTIFS('QA Log'!D:D,A181,'QA Log'!M:M,"Data Verification",'QA Log'!L:L,"*Consumable (section 3)*"),
COUNTIFS('QA Log'!D:D,A181,'QA Log'!M:M,"Data Verification",'QA Log'!L:L,"*Equipments (section 4)*")
))</f>
        <v/>
      </c>
      <c r="AO181" s="102" t="str">
        <f>IF(A181="","",
SUM(
COUNTIFS('QA Log'!D:D,A181,'QA Log'!M:M,"Data Verification",'QA Log'!Z:Z,"Approved",'QA Log'!L:L,"*Personnel (section 1)*"),
COUNTIFS('QA Log'!D:D,A181,'QA Log'!M:M,"Data Verification",'QA Log'!Z:Z,"Approved",'QA Log'!L:L,"*Consumable (section 3)*"),
COUNTIFS('QA Log'!D:D,A181,'QA Log'!M:M,"Data Verification",'QA Log'!Z:Z,"Approved",'QA Log'!L:L,"*Equipments (section 4)*")
))</f>
        <v/>
      </c>
      <c r="AP181" s="105" t="str">
        <f>IF(A181&lt;&gt;"",COUNTIFS('QA Log'!D:D,A181,'QA Log'!M:M,"Data Verification",'QA Log'!L:L,"Personnel (section 1)",'QA Log'!Z:Z,"Approved"),"")</f>
        <v/>
      </c>
      <c r="AQ181" s="105" t="str">
        <f>IF(A181&lt;&gt;"",COUNTIFS('QA Log'!D:D,A181,'QA Log'!M:M,"Data Verification",'QA Log'!L:L,"Consumable (section 3)",'QA Log'!Z:Z,"Approved"),"")</f>
        <v/>
      </c>
      <c r="AR181" s="105" t="str">
        <f>IF(A181&lt;&gt;"",COUNTIFS('QA Log'!D:D,A181,'QA Log'!M:M,"Data Verification",'QA Log'!L:L,"Equipments (section 4)",'QA Log'!Z:Z,"Approved"),"")</f>
        <v/>
      </c>
      <c r="AS181" s="102" t="str">
        <f>IF(A181="","",
SUM(
COUNTIFS('QA Log'!D:D,A181,'QA Log'!M:M,"Data Verification",'QA Log'!Z:Z,"Rejected",'QA Log'!L:L,"*Personnel (section 1)*"),
COUNTIFS('QA Log'!D:D,A181,'QA Log'!M:M,"Data Verification",'QA Log'!Z:Z,"Rejected",'QA Log'!L:L,"*Consumable (section 3)*"),
COUNTIFS('QA Log'!D:D,A181,'QA Log'!M:M,"Data Verification",'QA Log'!Z:Z,"Rejected",'QA Log'!L:L,"*Equipments (section 4)*")
))</f>
        <v/>
      </c>
      <c r="AT181" s="102" t="str">
        <f t="shared" si="7"/>
        <v/>
      </c>
      <c r="AU181" s="103" t="str">
        <f t="shared" si="8"/>
        <v/>
      </c>
      <c r="AV181" s="102" t="str">
        <f>IF(A181="","",SUM(
COUNTIFS('QA Log'!D:D,A181,'QA Log'!M:M,"Vignette",'QA Log'!L:L,"*Vignette [1] Respiratory Infection: Pneumonia*"),
COUNTIFS('QA Log'!D:D,A181,'QA Log'!M:M,"Vignette",'QA Log'!L:L,"*Vignette [2]: Diarrhea with Cat B dehydration*"),
COUNTIFS('QA Log'!D:D,A181,'QA Log'!M:M,"Vignette",'QA Log'!L:L,"*Vignette [3] Growth Monitoring and Promotion*"),
COUNTIFS('QA Log'!D:D,A181,'QA Log'!M:M,"Vignette",'QA Log'!L:L,"*Vignette [4]: The management of presumptive TB patient*")
)
)</f>
        <v/>
      </c>
      <c r="AW181" s="102" t="str">
        <f>IF(
  A181="","",
  SUM(
    COUNTIFS('QA Log'!D:D,A181,'QA Log'!M:M,"Vignette",'QA Log'!Z:Z,"Approved",'QA Log'!L:L,"*Vignette [1] Respiratory Infection: Pneumonia*"),
    COUNTIFS('QA Log'!D:D,A181,'QA Log'!M:M,"Vignette",'QA Log'!Z:Z,"Approved",'QA Log'!L:L,"*Vignette [2]: Diarrhea with Cat B dehydration*"),
    COUNTIFS('QA Log'!D:D,A181,'QA Log'!M:M,"Vignette",'QA Log'!Z:Z,"Approved",'QA Log'!L:L,"*Vignette [3] Growth Monitoring and Promotion*"),
    COUNTIFS('QA Log'!D:D,A181,'QA Log'!M:M,"Vignette",'QA Log'!Z:Z,"Approved",'QA Log'!L:L,"*Vignette [4]: The management of presumptive TB patient*")
  )
)</f>
        <v/>
      </c>
      <c r="AX181" s="105" t="str">
        <f>IF(A181&lt;&gt;"",COUNTIFS('QA Log'!D:D,A181,'QA Log'!M:M,"Vignette",'QA Log'!L:L,"Vignette [1] Respiratory Infection: Pneumonia",'QA Log'!Z:Z,"Approved"),"")</f>
        <v/>
      </c>
      <c r="AY181" s="105" t="str">
        <f>IF(A181&lt;&gt;"",COUNTIFS('QA Log'!D:D,A181,'QA Log'!M:M,"Vignette",'QA Log'!L:L,"Vignette [2]: Diarrhea with Cat B dehydration",'QA Log'!Z:Z,"Approved"),"")</f>
        <v/>
      </c>
      <c r="AZ181" s="105" t="str">
        <f>IF(A181&lt;&gt;"",COUNTIFS('QA Log'!D:D,A181,'QA Log'!M:M,"Vignette",'QA Log'!L:L,"Vignette [3] Growth Monitoring and Promotion",'QA Log'!Z:Z,"Approved"),"")</f>
        <v/>
      </c>
      <c r="BA181" s="105" t="str">
        <f>IF(A181&lt;&gt;"",COUNTIFS('QA Log'!D:D,A181,'QA Log'!M:M,"Vignette",'QA Log'!L:L,"Vignette [4]: The management of presumptive TB patient",'QA Log'!Z:Z,"Approved"),"")</f>
        <v/>
      </c>
      <c r="BB181" s="102" t="str">
        <f>IF(A181="","",
  SUM(
    COUNTIFS('QA Log'!D:D,A181,'QA Log'!M:M,"Vignette",'QA Log'!Z:Z,"Rejected",'QA Log'!L:L,"*Vignette [1] Respiratory Infection: Pneumonia*"),
    COUNTIFS('QA Log'!D:D,A181,'QA Log'!M:M,"Vignette",'QA Log'!Z:Z,"Rejected",'QA Log'!L:L,"*Vignette [2]: Diarrhea with Cat B dehydration*"),
    COUNTIFS('QA Log'!D:D,A181,'QA Log'!M:M,"Vignette",'QA Log'!Z:Z,"Rejected",'QA Log'!L:L,"*Vignette [3] Growth Monitoring and Promotion*"),
    COUNTIFS('QA Log'!D:D,A181,'QA Log'!M:M,"Vignette",'QA Log'!Z:Z,"Rejected",'QA Log'!L:L,"*Vignette [4]: The management of presumptive TB patient*")
  )
)</f>
        <v/>
      </c>
      <c r="BC181" s="107" t="str">
        <f t="shared" si="9"/>
        <v/>
      </c>
      <c r="BD181" s="103" t="str">
        <f t="shared" si="10"/>
        <v/>
      </c>
      <c r="BE181" s="102" t="str">
        <f>IF(A181="","",SUM(
COUNTIFS('QA Log'!D:D,A181,'QA Log'!M:M,"Vignette",'QA Log'!L:L,"*Vignette [5] Labor*"),
COUNTIFS('QA Log'!D:D,A181,'QA Log'!M:M,"Vignette",'QA Log'!L:L,"*Vignette [6] PNC pre Discharge*"),
COUNTIFS('QA Log'!D:D,A181,'QA Log'!M:M,"Vignette",'QA Log'!L:L,"*Vignette [7] First ANC Visit*"),
COUNTIFS('QA Log'!D:D,A181,'QA Log'!M:M,"Vignette",'QA Log'!L:L,"*Vignette [8] Birth Spacing/ Family Planning :  FP Counselling*"),
COUNTIFS('QA Log'!D:D,A181,'QA Log'!M:M,"Vignette",'QA Log'!L:L,"*Vignette [9] Birth Spacing: Change FP method to Injectable*"),
COUNTIFS('QA Log'!D:D,A181,'QA Log'!M:M,"Vignette",'QA Log'!L:L,"*Vignette [10] Post Partum Haemorrhage - Atonic Uterus at Health Centre*"),
)
)</f>
        <v/>
      </c>
      <c r="BF181" s="102" t="str">
        <f>IF(A181="","",
  SUM(
    COUNTIFS('QA Log'!D:D,A181,'QA Log'!M:M,"Vignette",'QA Log'!Z:Z,"Approved",'QA Log'!L:L,"*Vignette [5] Labor*"),
    COUNTIFS('QA Log'!D:D,A181,'QA Log'!M:M,"Vignette",'QA Log'!Z:Z,"Approved",'QA Log'!L:L,"*Vignette [6] PNC pre Discharge*"),
    COUNTIFS('QA Log'!D:D,A181,'QA Log'!M:M,"Vignette",'QA Log'!Z:Z,"Approved",'QA Log'!L:L,"*Vignette [7] First ANC Visit*"),
    COUNTIFS('QA Log'!D:D,A181,'QA Log'!M:M,"Vignette",'QA Log'!Z:Z,"Approved",'QA Log'!L:L,"*Vignette [8] Birth Spacing/ Family Planning :  FP Counselling*"),
    COUNTIFS('QA Log'!D:D,A181,'QA Log'!M:M,"Vignette",'QA Log'!Z:Z,"Approved",'QA Log'!L:L,"*Vignette [9] Birth Spacing: Change FP method to Injectable*"),
    COUNTIFS('QA Log'!D:D,A181,'QA Log'!M:M,"Vignette",'QA Log'!Z:Z,"Approved",'QA Log'!L:L,"*Vignette [10] Post Partum Haemorrhage - Atonic Uterus at Health Centre*")
  )
)</f>
        <v/>
      </c>
      <c r="BG181" s="105" t="str">
        <f>IF(A181&lt;&gt;"",COUNTIFS('QA Log'!D:D,A181,'QA Log'!M:M,"Vignette",'QA Log'!L:L,"Vignette [5] Labor",'QA Log'!Z:Z,"Approved"),"")</f>
        <v/>
      </c>
      <c r="BH181" s="105" t="str">
        <f>IF(A181&lt;&gt;"",COUNTIFS('QA Log'!D:D,A181,'QA Log'!M:M,"Vignette",'QA Log'!L:L,"Vignette [6] PNC pre Discharge",'QA Log'!Z:Z,"Approved"),"")</f>
        <v/>
      </c>
      <c r="BI181" s="105" t="str">
        <f>IF(A181&lt;&gt;"",COUNTIFS('QA Log'!D:D,A181,'QA Log'!M:M,"Vignette",'QA Log'!L:L,"Vignette [7] First ANC Visit",'QA Log'!Z:Z,"Approved"),"")</f>
        <v/>
      </c>
      <c r="BJ181" s="105" t="str">
        <f>IF(A181&lt;&gt;"",COUNTIFS('QA Log'!D:D,A181,'QA Log'!M:M,"Vignette",'QA Log'!L:L,"Vignette [8] Birth Spacing/ Family Planning :  FP Counselling",'QA Log'!Z:Z,"Approved"),"")</f>
        <v/>
      </c>
      <c r="BK181" s="105" t="str">
        <f>IF(A181&lt;&gt;"",COUNTIFS('QA Log'!D:D,A181,'QA Log'!M:M,"Vignette",'QA Log'!L:L,"Vignette [9] Birth Spacing: Change FP method to Injectable",'QA Log'!Z:Z,"Approved"),"")</f>
        <v/>
      </c>
      <c r="BL181" s="105" t="str">
        <f>IF(A181&lt;&gt;"",COUNTIFS('QA Log'!D:D,A181,'QA Log'!M:M,"Vignette",'QA Log'!L:L,"Vignette [10] Post Partum Haemorrhage - Atonic Uterus at Health Centre",'QA Log'!Z:Z,"Approved"),"")</f>
        <v/>
      </c>
      <c r="BM181" s="102" t="str">
        <f>IF(A181="","",SUM(
    COUNTIFS('QA Log'!D:D,A181,'QA Log'!M:M,"Vignette",'QA Log'!Z:Z,"Rejected",'QA Log'!L:L,"*Vignette [5] Labor*"),
    COUNTIFS('QA Log'!D:D,A181,'QA Log'!M:M,"Vignette",'QA Log'!Z:Z,"Rejected",'QA Log'!L:L,"*Vignette [6] PNC pre Discharge*"),
    COUNTIFS('QA Log'!D:D,A181,'QA Log'!M:M,"Vignette",'QA Log'!Z:Z,"Rejected",'QA Log'!L:L,"*Vignette [7] First ANC Visit*"),
    COUNTIFS('QA Log'!D:D,A181,'QA Log'!M:M,"Vignette",'QA Log'!Z:Z,"Rejected",'QA Log'!L:L,"*Vignette [8] Birth Spacing/ Family Planning :  FP Counselling*"),
    COUNTIFS('QA Log'!D:D,A181,'QA Log'!M:M,"Vignette",'QA Log'!Z:Z,"Rejected",'QA Log'!L:L,"*Vignette [9] Birth Spacing: Change FP method to Injectable*"),
    COUNTIFS('QA Log'!D:D,A181,'QA Log'!M:M,"Vignette",'QA Log'!Z:Z,"Rejected",'QA Log'!L:L,"*Vignette [10] Post Partum Haemorrhage - Atonic Uterus at Health Centre*")
  )
)</f>
        <v/>
      </c>
      <c r="BN181" s="107" t="str">
        <f t="shared" si="11"/>
        <v/>
      </c>
      <c r="BO181" s="103" t="str">
        <f t="shared" si="12"/>
        <v/>
      </c>
      <c r="BP181" s="102" t="str">
        <f>IF(A181="","",SUM(
COUNTIFS('QA Log'!D:D,A181,'QA Log'!M:M,"Vignette",'QA Log'!L:L,"*Exit Interview 1*"),
COUNTIFS('QA Log'!D:D,A181,'QA Log'!M:M,"Vignette",'QA Log'!L:L,"*Exit Interview 2*"),
)
)</f>
        <v/>
      </c>
      <c r="BQ181" s="102" t="str">
        <f>IF(
  A181="","",
  SUM(
    COUNTIFS('QA Log'!D:D,A181,'QA Log'!M:M,"Vignette",'QA Log'!Z:Z,"Approved",'QA Log'!L:L,"*Exit Interview 1*"),
    COUNTIFS('QA Log'!D:D,A181,'QA Log'!M:M,"Vignette",'QA Log'!Z:Z,"Approved",'QA Log'!L:L,"*Exit Interview 2*")
  )
)</f>
        <v/>
      </c>
      <c r="BR181" s="105" t="str">
        <f>IF(A181&lt;&gt;"",COUNTIFS('QA Log'!D:D,A181,'QA Log'!M:M,"Vignette",'QA Log'!L:L,"Exit Interview 1",'QA Log'!Z:Z,"Approved"),"")</f>
        <v/>
      </c>
      <c r="BS181" s="105" t="str">
        <f>IF(A181&lt;&gt;"",COUNTIFS('QA Log'!D:D,A181,'QA Log'!M:M,"Vignette",'QA Log'!L:L,"Exit Interview 2",'QA Log'!Z:Z,"Approved"),"")</f>
        <v/>
      </c>
      <c r="BT181" s="102" t="str">
        <f>IF(
  A181="","",
  SUM(
    COUNTIFS('QA Log'!D:D,A181,'QA Log'!M:M,"Vignette",'QA Log'!Z:Z,"Rejected",'QA Log'!L:L,"*Exit Interview 1*"),
    COUNTIFS('QA Log'!D:D,A181,'QA Log'!M:M,"Vignette",'QA Log'!Z:Z,"Rejected",'QA Log'!L:L,"*Exit Interview 2*")
  )
)</f>
        <v/>
      </c>
      <c r="BU181" s="107" t="str">
        <f t="shared" si="13"/>
        <v/>
      </c>
      <c r="BV181" s="102" t="str">
        <f t="shared" si="14"/>
        <v/>
      </c>
      <c r="BW181" s="102" t="str">
        <f t="shared" si="15"/>
        <v/>
      </c>
      <c r="BX181" s="102" t="str">
        <f t="shared" si="16"/>
        <v/>
      </c>
      <c r="BY181" s="102" t="str">
        <f t="shared" si="17"/>
        <v/>
      </c>
      <c r="BZ181" s="107" t="str">
        <f t="shared" si="18"/>
        <v/>
      </c>
      <c r="CA181" s="108" t="str">
        <f t="shared" si="19"/>
        <v/>
      </c>
      <c r="CB181" s="108" t="str">
        <f t="shared" si="20"/>
        <v/>
      </c>
      <c r="CC181" s="109" t="str">
        <f t="shared" si="21"/>
        <v/>
      </c>
      <c r="CD181" s="108" t="str">
        <f t="shared" si="22"/>
        <v/>
      </c>
      <c r="CE181" s="108" t="str">
        <f t="shared" si="23"/>
        <v/>
      </c>
      <c r="CF181" s="109" t="str">
        <f t="shared" si="24"/>
        <v/>
      </c>
      <c r="CG181" s="110" t="str">
        <f t="shared" si="25"/>
        <v/>
      </c>
      <c r="CH181" s="111"/>
    </row>
    <row r="182" spans="1:86" ht="12.75">
      <c r="A182" s="101"/>
      <c r="B182" s="102" t="e">
        <f t="array" aca="1" ref="B182" ca="1">_xludf.XLOOKUP(A182,'QA Log'!D:D,'QA Log'!E:E,"")</f>
        <v>#NAME?</v>
      </c>
      <c r="C182" s="102" t="e">
        <f t="array" aca="1" ref="C182" ca="1">_xludf.XLOOKUP(A182,'QA Log'!D:D,'QA Log'!F:F,"")</f>
        <v>#NAME?</v>
      </c>
      <c r="D182" s="102" t="e">
        <f t="array" aca="1" ref="D182" ca="1">_xludf.XLOOKUP(A182,'QA Log'!D:D,'QA Log'!H:H,"")</f>
        <v>#NAME?</v>
      </c>
      <c r="E182" s="102" t="e">
        <f t="array" aca="1" ref="E182" ca="1">_xludf.XLOOKUP(A182,'QA Log'!D:D,'QA Log'!G:G,"")</f>
        <v>#NAME?</v>
      </c>
      <c r="F182" s="103"/>
      <c r="G182" s="104"/>
      <c r="H182" s="104"/>
      <c r="I182" s="103" t="str">
        <f t="shared" si="0"/>
        <v/>
      </c>
      <c r="J182" s="102" t="str">
        <f>IF(A182="","",SUM(
COUNTIFS('QA Log'!D:D,A182,'QA Log'!M:M,"QQC",'QA Log'!L:L,"*1. General Management*"),
COUNTIFS('QA Log'!D:D,A182,'QA Log'!M:M,"QQC",'QA Log'!L:L,"*3. Curative Consultation (OPD)*"),
COUNTIFS('QA Log'!D:D,A182,'QA Log'!M:M,"QQC",'QA Log'!L:L,"*5. Laboratory*"),
COUNTIFS('QA Log'!D:D,A182,'QA Log'!M:M,"QQC",'QA Log'!L:L,"*6. Essential Medicine Management*"),
COUNTIFS('QA Log'!D:D,A182,'QA Log'!M:M,"QQC",'QA Log'!L:L,"*7. Tracer Medicine*"),
COUNTIFS('QA Log'!D:D,A182,'QA Log'!M:M,"QQC",'QA Log'!L:L,"*11. Additional Questions*")))</f>
        <v/>
      </c>
      <c r="K182" s="102" t="str">
        <f>IF(A182="","",SUM(
COUNTIFS('QA Log'!D:D,A182,'QA Log'!M:M,"QQC",'QA Log'!Z:Z,"Approved",'QA Log'!L:L,"*1. General Management*"),
COUNTIFS('QA Log'!D:D,A182,'QA Log'!M:M,"QQC",'QA Log'!Z:Z,"Approved",'QA Log'!L:L,"*3. Curative Consultation (OPD)*"),
COUNTIFS('QA Log'!D:D,A182,'QA Log'!M:M,"QQC",'QA Log'!Z:Z,"Approved",'QA Log'!L:L,"*5. Laboratory*"),
COUNTIFS('QA Log'!D:D,A182,'QA Log'!M:M,"QQC",'QA Log'!Z:Z,"Approved",'QA Log'!L:L,"*6. Essential Medicine Management*"),
COUNTIFS('QA Log'!D:D,A182,'QA Log'!M:M,"QQC",'QA Log'!Z:Z,"Approved",'QA Log'!L:L,"*7. Tracer Medicine*"),
COUNTIFS('QA Log'!D:D,A182,'QA Log'!M:M,"QQC",'QA Log'!Z:Z,"Approved",'QA Log'!L:L,"*11. Additional Questions*")))</f>
        <v/>
      </c>
      <c r="L182" s="105" t="str">
        <f>IF(A182&lt;&gt;"",COUNTIFS('QA Log'!D:D,A182,'QA Log'!M:M,"QQC",'QA Log'!L:L,"1. General Management",'QA Log'!Z:Z,"Approved"),"")</f>
        <v/>
      </c>
      <c r="M182" s="105" t="str">
        <f>IF(A182&lt;&gt;"",COUNTIFS('QA Log'!D:D,A182,'QA Log'!M:M,"QQC",'QA Log'!L:L,"3. Curative Consultation (OPD)",'QA Log'!Z:Z,"Approved"),"")</f>
        <v/>
      </c>
      <c r="N182" s="105" t="str">
        <f>IF(A182&lt;&gt;"",COUNTIFS('QA Log'!D:D,A182,'QA Log'!M:M,"QQC",'QA Log'!L:L,"5. Laboratory",'QA Log'!Z:Z,"Approved"),"")</f>
        <v/>
      </c>
      <c r="O182" s="105" t="str">
        <f>IF(A182&lt;&gt;"",COUNTIFS('QA Log'!D:D,A182,'QA Log'!M:M,"QQC",'QA Log'!L:L,"6. Essential Medicine Management",'QA Log'!Z:Z,"Approved"),"")</f>
        <v/>
      </c>
      <c r="P182" s="105" t="str">
        <f>IF(A182&lt;&gt;"",COUNTIFS('QA Log'!D:D,A182,'QA Log'!M:M,"QQC",'QA Log'!L:L,"7. Tracer Medicine",'QA Log'!Z:Z,"Approved"),"")</f>
        <v/>
      </c>
      <c r="Q182" s="105" t="str">
        <f>IF(A182&lt;&gt;"",COUNTIFS('QA Log'!D:D,A182,'QA Log'!M:M,"QQC",'QA Log'!L:L,"11. Additional Questions",'QA Log'!Z:Z,"Approved"),"")</f>
        <v/>
      </c>
      <c r="R182" s="102" t="str">
        <f>IF(A182="","",SUM(
COUNTIFS('QA Log'!D:D,A182,'QA Log'!M:M,"QQC",'QA Log'!Z:Z,"Rejected",'QA Log'!L:L,"*8. Maternity*"),
COUNTIFS('QA Log'!D:D,A182,'QA Log'!M:M,"QQC",'QA Log'!Z:Z,"Rejected",'QA Log'!L:L,"*EPI*"),
COUNTIFS('QA Log'!D:D,A182,'QA Log'!M:M,"QQC",'QA Log'!Z:Z,"Rejected",'QA Log'!L:L,"*10. Antenatal Care (ANC)*"),
COUNTIFS('QA Log'!D:D,A182,'QA Log'!M:M,"QQC",'QA Log'!Z:Z,"Rejected",'QA Log'!L:L,"*2. Hygiene and Sterilization*"),
COUNTIFS('QA Log'!D:D,A182,'QA Log'!M:M,"QQC",'QA Log'!Z:Z,"Rejected",'QA Log'!L:L,"*Family Planning*")))</f>
        <v/>
      </c>
      <c r="S182" s="106" t="str">
        <f t="shared" si="1"/>
        <v/>
      </c>
      <c r="T182" s="102" t="str">
        <f t="shared" si="2"/>
        <v/>
      </c>
      <c r="U182" s="102" t="str">
        <f>IF(A182="","",
SUM(
COUNTIFS('QA Log'!D:D,A182,'QA Log'!M:M,"QQC",'QA Log'!L:L,"*8. Maternity*"),
COUNTIFS('QA Log'!D:D,A182,'QA Log'!M:M,"QQC",'QA Log'!L:L,"*9. EPI and Pre-school Consultation*"),
COUNTIFS('QA Log'!D:D,A182,'QA Log'!M:M,"QQC",'QA Log'!L:L,"*10. Antenatal Care (ANC)*"),
COUNTIFS('QA Log'!D:D,A182,'QA Log'!M:M,"QQC",'QA Log'!L:L,"*2. Hygiene and Sterilization*"),
COUNTIFS('QA Log'!D:D,A182,'QA Log'!M:M,"QQC",'QA Log'!L:L,"*4. Family Planning*")
))</f>
        <v/>
      </c>
      <c r="V182" s="102" t="str">
        <f>IF(A182="","",
SUM(
COUNTIFS('QA Log'!D:D,A182,'QA Log'!M:M,"QQC",'QA Log'!Z:Z,"Approved",'QA Log'!L:L,"*8. Maternity*"),
COUNTIFS('QA Log'!D:D,A182,'QA Log'!M:M,"QQC",'QA Log'!Z:Z,"Approved",'QA Log'!L:L,"*9. EPI and Pre-school Consultation*"),
COUNTIFS('QA Log'!D:D,A182,'QA Log'!M:M,"QQC",'QA Log'!Z:Z,"Approved",'QA Log'!L:L,"*10. Antenatal Care (ANC)*"),
COUNTIFS('QA Log'!D:D,A182,'QA Log'!M:M,"QQC",'QA Log'!Z:Z,"Approved",'QA Log'!L:L,"*2. Hygiene and Sterilization*"),
COUNTIFS('QA Log'!D:D,A182,'QA Log'!M:M,"QQC",'QA Log'!Z:Z,"Approved",'QA Log'!L:L,"*4. Family Planning*")
))</f>
        <v/>
      </c>
      <c r="W182" s="105" t="str">
        <f>IF(A182&lt;&gt;"",COUNTIFS('QA Log'!D:D,A182,'QA Log'!M:M,"QQC",'QA Log'!L:L,"8. Maternity",'QA Log'!Z:Z,"Approved"),"")</f>
        <v/>
      </c>
      <c r="X182" s="105" t="str">
        <f>IF(A182&lt;&gt;"",COUNTIFS('QA Log'!D:D,A182,'QA Log'!M:M,"QQC",'QA Log'!L:L,"9. EPI and Pre-school Consultation",'QA Log'!Z:Z,"Approved"),"")</f>
        <v/>
      </c>
      <c r="Y182" s="105" t="str">
        <f>IF(A182&lt;&gt;"",COUNTIFS('QA Log'!D:D,A182,'QA Log'!M:M,"QQC",'QA Log'!L:L,"10. Antenatal Care (ANC)",'QA Log'!Z:Z,"Approved"),"")</f>
        <v/>
      </c>
      <c r="Z182" s="105" t="str">
        <f>IF(A182&lt;&gt;"",COUNTIFS('QA Log'!D:D,A182,'QA Log'!M:M,"QQC",'QA Log'!L:L,"2. Hygiene and Sterilization",'QA Log'!Z:Z,"Approved"),"")</f>
        <v/>
      </c>
      <c r="AA182" s="105" t="str">
        <f>IF(A182&lt;&gt;"",COUNTIFS('QA Log'!D:D,A182,'QA Log'!M:M,"QQC",'QA Log'!L:L,"4. Family Planning",'QA Log'!Z:Z,"Approved"),"")</f>
        <v/>
      </c>
      <c r="AB182" s="102" t="str">
        <f>IF(A182="","",
SUM(
COUNTIFS('QA Log'!D:D,A182,'QA Log'!M:M,"QQC",'QA Log'!Z:Z,"Rejected",'QA Log'!L:L,"*8. Maternity*"),
COUNTIFS('QA Log'!D:D,A182,'QA Log'!M:M,"QQC",'QA Log'!Z:Z,"Rejected",'QA Log'!L:L,"*9. EPI and Pre-school Consultation*"),
COUNTIFS('QA Log'!D:D,A182,'QA Log'!M:M,"QQC",'QA Log'!Z:Z,"Rejected",'QA Log'!L:L,"*10. Antenatal Care (ANC)*"),
COUNTIFS('QA Log'!D:D,A182,'QA Log'!M:M,"QQC",'QA Log'!Z:Z,"Rejected",'QA Log'!L:L,"*2. Hygiene and Sterilization*"),
COUNTIFS('QA Log'!D:D,A182,'QA Log'!M:M,"QQC",'QA Log'!Z:Z,"Rejected",'QA Log'!L:L,"*4. Family Planning*")
))</f>
        <v/>
      </c>
      <c r="AC182" s="102" t="str">
        <f t="shared" si="3"/>
        <v/>
      </c>
      <c r="AD182" s="103" t="str">
        <f t="shared" si="4"/>
        <v/>
      </c>
      <c r="AE182" s="102" t="str">
        <f>IF(A182="","",
SUM(
COUNTIFS('QA Log'!D:D,A182,'QA Log'!M:M,"Data Verification",'QA Log'!L:L,"*Medicine (section 2)*"),
COUNTIFS('QA Log'!D:D,A182,'QA Log'!M:M,"Data Verification",'QA Log'!L:L,"*Lab Testing Availability*"),
COUNTIFS('QA Log'!D:D,A182,'QA Log'!M:M,"Data Verification",'QA Log'!L:L,"*Other than P4P (section 6)*"),
COUNTIFS('QA Log'!D:D,A182,'QA Log'!M:M,"Data Verification",'QA Log'!L:L,"*Hospital Governance*")
))</f>
        <v/>
      </c>
      <c r="AF182" s="102" t="str">
        <f>IF(A182="","",
SUM(
COUNTIFS('QA Log'!D:D,A182,'QA Log'!M:M,"Data Verification",'QA Log'!Z:Z,"Approved",'QA Log'!L:L,"*Medicine (section 2)*"),
COUNTIFS('QA Log'!D:D,A182,'QA Log'!M:M,"Data Verification",'QA Log'!Z:Z,"Approved",'QA Log'!L:L,"*Lab Testing Availability*"),
COUNTIFS('QA Log'!D:D,A182,'QA Log'!M:M,"Data Verification",'QA Log'!Z:Z,"Approved",'QA Log'!L:L,"*Other than P4P (section 6)*"),
COUNTIFS('QA Log'!D:D,A182,'QA Log'!M:M,"Data Verification",'QA Log'!Z:Z,"Approved",'QA Log'!L:L,"*Hospital Governance*")
))</f>
        <v/>
      </c>
      <c r="AG182" s="105" t="str">
        <f>IF(A182&lt;&gt;"",COUNTIFS('QA Log'!D:D,A182,'QA Log'!M:M,"Data Verification",'QA Log'!L:L,"Medicine (section 2)",'QA Log'!Z:Z,"Approved"),"")</f>
        <v/>
      </c>
      <c r="AH182" s="105" t="str">
        <f>IF(A182&lt;&gt;"",COUNTIFS('QA Log'!D:D,A182,'QA Log'!M:M,"Data Verification",'QA Log'!L:L,"Lab Testing Availability",'QA Log'!Z:Z,"Approved"),"")</f>
        <v/>
      </c>
      <c r="AI182" s="105" t="str">
        <f>IF(A182&lt;&gt;"",COUNTIFS('QA Log'!D:D,A182,'QA Log'!M:M,"Data Verification",'QA Log'!L:L,"Other than P4P (section 6)",'QA Log'!Z:Z,"Approved"),"")</f>
        <v/>
      </c>
      <c r="AJ182" s="105" t="str">
        <f>IF(A182&lt;&gt;"",COUNTIFS('QA Log'!D:D,A182,'QA Log'!M:M,"Data Verification",'QA Log'!L:L,"Hospital Governance",'QA Log'!Z:Z,"Approved"),"")</f>
        <v/>
      </c>
      <c r="AK182" s="102" t="str">
        <f>IF(A182="","",
SUM(
COUNTIFS('QA Log'!D:D,A182,'QA Log'!M:M,"Data Verification",'QA Log'!Z:Z,"Rejected",'QA Log'!L:L,"*Medicine (section 2)*"),
COUNTIFS('QA Log'!D:D,A182,'QA Log'!M:M,"Data Verification",'QA Log'!Z:Z,"Rejected",'QA Log'!L:L,"*Lab Testing Availability*"),
COUNTIFS('QA Log'!D:D,A182,'QA Log'!M:M,"Data Verification",'QA Log'!Z:Z,"Rejected",'QA Log'!L:L,"*Other than P4P (section 6)*"),
COUNTIFS('QA Log'!D:D,A182,'QA Log'!M:M,"Data Verification",'QA Log'!Z:Z,"Rejected",'QA Log'!L:L,"*Hospital Governance*")
))</f>
        <v/>
      </c>
      <c r="AL182" s="106" t="str">
        <f t="shared" si="5"/>
        <v/>
      </c>
      <c r="AM182" s="102" t="str">
        <f t="shared" si="6"/>
        <v/>
      </c>
      <c r="AN182" s="102" t="str">
        <f>IF(A182="","",
SUM(
COUNTIFS('QA Log'!D:D,A182,'QA Log'!M:M,"Data Verification",'QA Log'!L:L,"*Personnel (section 1)*"),
COUNTIFS('QA Log'!D:D,A182,'QA Log'!M:M,"Data Verification",'QA Log'!L:L,"*Consumable (section 3)*"),
COUNTIFS('QA Log'!D:D,A182,'QA Log'!M:M,"Data Verification",'QA Log'!L:L,"*Equipments (section 4)*")
))</f>
        <v/>
      </c>
      <c r="AO182" s="102" t="str">
        <f>IF(A182="","",
SUM(
COUNTIFS('QA Log'!D:D,A182,'QA Log'!M:M,"Data Verification",'QA Log'!Z:Z,"Approved",'QA Log'!L:L,"*Personnel (section 1)*"),
COUNTIFS('QA Log'!D:D,A182,'QA Log'!M:M,"Data Verification",'QA Log'!Z:Z,"Approved",'QA Log'!L:L,"*Consumable (section 3)*"),
COUNTIFS('QA Log'!D:D,A182,'QA Log'!M:M,"Data Verification",'QA Log'!Z:Z,"Approved",'QA Log'!L:L,"*Equipments (section 4)*")
))</f>
        <v/>
      </c>
      <c r="AP182" s="105" t="str">
        <f>IF(A182&lt;&gt;"",COUNTIFS('QA Log'!D:D,A182,'QA Log'!M:M,"Data Verification",'QA Log'!L:L,"Personnel (section 1)",'QA Log'!Z:Z,"Approved"),"")</f>
        <v/>
      </c>
      <c r="AQ182" s="105" t="str">
        <f>IF(A182&lt;&gt;"",COUNTIFS('QA Log'!D:D,A182,'QA Log'!M:M,"Data Verification",'QA Log'!L:L,"Consumable (section 3)",'QA Log'!Z:Z,"Approved"),"")</f>
        <v/>
      </c>
      <c r="AR182" s="105" t="str">
        <f>IF(A182&lt;&gt;"",COUNTIFS('QA Log'!D:D,A182,'QA Log'!M:M,"Data Verification",'QA Log'!L:L,"Equipments (section 4)",'QA Log'!Z:Z,"Approved"),"")</f>
        <v/>
      </c>
      <c r="AS182" s="102" t="str">
        <f>IF(A182="","",
SUM(
COUNTIFS('QA Log'!D:D,A182,'QA Log'!M:M,"Data Verification",'QA Log'!Z:Z,"Rejected",'QA Log'!L:L,"*Personnel (section 1)*"),
COUNTIFS('QA Log'!D:D,A182,'QA Log'!M:M,"Data Verification",'QA Log'!Z:Z,"Rejected",'QA Log'!L:L,"*Consumable (section 3)*"),
COUNTIFS('QA Log'!D:D,A182,'QA Log'!M:M,"Data Verification",'QA Log'!Z:Z,"Rejected",'QA Log'!L:L,"*Equipments (section 4)*")
))</f>
        <v/>
      </c>
      <c r="AT182" s="102" t="str">
        <f t="shared" si="7"/>
        <v/>
      </c>
      <c r="AU182" s="103" t="str">
        <f t="shared" si="8"/>
        <v/>
      </c>
      <c r="AV182" s="102" t="str">
        <f>IF(A182="","",SUM(
COUNTIFS('QA Log'!D:D,A182,'QA Log'!M:M,"Vignette",'QA Log'!L:L,"*Vignette [1] Respiratory Infection: Pneumonia*"),
COUNTIFS('QA Log'!D:D,A182,'QA Log'!M:M,"Vignette",'QA Log'!L:L,"*Vignette [2]: Diarrhea with Cat B dehydration*"),
COUNTIFS('QA Log'!D:D,A182,'QA Log'!M:M,"Vignette",'QA Log'!L:L,"*Vignette [3] Growth Monitoring and Promotion*"),
COUNTIFS('QA Log'!D:D,A182,'QA Log'!M:M,"Vignette",'QA Log'!L:L,"*Vignette [4]: The management of presumptive TB patient*")
)
)</f>
        <v/>
      </c>
      <c r="AW182" s="102" t="str">
        <f>IF(
  A182="","",
  SUM(
    COUNTIFS('QA Log'!D:D,A182,'QA Log'!M:M,"Vignette",'QA Log'!Z:Z,"Approved",'QA Log'!L:L,"*Vignette [1] Respiratory Infection: Pneumonia*"),
    COUNTIFS('QA Log'!D:D,A182,'QA Log'!M:M,"Vignette",'QA Log'!Z:Z,"Approved",'QA Log'!L:L,"*Vignette [2]: Diarrhea with Cat B dehydration*"),
    COUNTIFS('QA Log'!D:D,A182,'QA Log'!M:M,"Vignette",'QA Log'!Z:Z,"Approved",'QA Log'!L:L,"*Vignette [3] Growth Monitoring and Promotion*"),
    COUNTIFS('QA Log'!D:D,A182,'QA Log'!M:M,"Vignette",'QA Log'!Z:Z,"Approved",'QA Log'!L:L,"*Vignette [4]: The management of presumptive TB patient*")
  )
)</f>
        <v/>
      </c>
      <c r="AX182" s="105" t="str">
        <f>IF(A182&lt;&gt;"",COUNTIFS('QA Log'!D:D,A182,'QA Log'!M:M,"Vignette",'QA Log'!L:L,"Vignette [1] Respiratory Infection: Pneumonia",'QA Log'!Z:Z,"Approved"),"")</f>
        <v/>
      </c>
      <c r="AY182" s="105" t="str">
        <f>IF(A182&lt;&gt;"",COUNTIFS('QA Log'!D:D,A182,'QA Log'!M:M,"Vignette",'QA Log'!L:L,"Vignette [2]: Diarrhea with Cat B dehydration",'QA Log'!Z:Z,"Approved"),"")</f>
        <v/>
      </c>
      <c r="AZ182" s="105" t="str">
        <f>IF(A182&lt;&gt;"",COUNTIFS('QA Log'!D:D,A182,'QA Log'!M:M,"Vignette",'QA Log'!L:L,"Vignette [3] Growth Monitoring and Promotion",'QA Log'!Z:Z,"Approved"),"")</f>
        <v/>
      </c>
      <c r="BA182" s="105" t="str">
        <f>IF(A182&lt;&gt;"",COUNTIFS('QA Log'!D:D,A182,'QA Log'!M:M,"Vignette",'QA Log'!L:L,"Vignette [4]: The management of presumptive TB patient",'QA Log'!Z:Z,"Approved"),"")</f>
        <v/>
      </c>
      <c r="BB182" s="102" t="str">
        <f>IF(A182="","",
  SUM(
    COUNTIFS('QA Log'!D:D,A182,'QA Log'!M:M,"Vignette",'QA Log'!Z:Z,"Rejected",'QA Log'!L:L,"*Vignette [1] Respiratory Infection: Pneumonia*"),
    COUNTIFS('QA Log'!D:D,A182,'QA Log'!M:M,"Vignette",'QA Log'!Z:Z,"Rejected",'QA Log'!L:L,"*Vignette [2]: Diarrhea with Cat B dehydration*"),
    COUNTIFS('QA Log'!D:D,A182,'QA Log'!M:M,"Vignette",'QA Log'!Z:Z,"Rejected",'QA Log'!L:L,"*Vignette [3] Growth Monitoring and Promotion*"),
    COUNTIFS('QA Log'!D:D,A182,'QA Log'!M:M,"Vignette",'QA Log'!Z:Z,"Rejected",'QA Log'!L:L,"*Vignette [4]: The management of presumptive TB patient*")
  )
)</f>
        <v/>
      </c>
      <c r="BC182" s="107" t="str">
        <f t="shared" si="9"/>
        <v/>
      </c>
      <c r="BD182" s="103" t="str">
        <f t="shared" si="10"/>
        <v/>
      </c>
      <c r="BE182" s="102" t="str">
        <f>IF(A182="","",SUM(
COUNTIFS('QA Log'!D:D,A182,'QA Log'!M:M,"Vignette",'QA Log'!L:L,"*Vignette [5] Labor*"),
COUNTIFS('QA Log'!D:D,A182,'QA Log'!M:M,"Vignette",'QA Log'!L:L,"*Vignette [6] PNC pre Discharge*"),
COUNTIFS('QA Log'!D:D,A182,'QA Log'!M:M,"Vignette",'QA Log'!L:L,"*Vignette [7] First ANC Visit*"),
COUNTIFS('QA Log'!D:D,A182,'QA Log'!M:M,"Vignette",'QA Log'!L:L,"*Vignette [8] Birth Spacing/ Family Planning :  FP Counselling*"),
COUNTIFS('QA Log'!D:D,A182,'QA Log'!M:M,"Vignette",'QA Log'!L:L,"*Vignette [9] Birth Spacing: Change FP method to Injectable*"),
COUNTIFS('QA Log'!D:D,A182,'QA Log'!M:M,"Vignette",'QA Log'!L:L,"*Vignette [10] Post Partum Haemorrhage - Atonic Uterus at Health Centre*"),
)
)</f>
        <v/>
      </c>
      <c r="BF182" s="102" t="str">
        <f>IF(A182="","",
  SUM(
    COUNTIFS('QA Log'!D:D,A182,'QA Log'!M:M,"Vignette",'QA Log'!Z:Z,"Approved",'QA Log'!L:L,"*Vignette [5] Labor*"),
    COUNTIFS('QA Log'!D:D,A182,'QA Log'!M:M,"Vignette",'QA Log'!Z:Z,"Approved",'QA Log'!L:L,"*Vignette [6] PNC pre Discharge*"),
    COUNTIFS('QA Log'!D:D,A182,'QA Log'!M:M,"Vignette",'QA Log'!Z:Z,"Approved",'QA Log'!L:L,"*Vignette [7] First ANC Visit*"),
    COUNTIFS('QA Log'!D:D,A182,'QA Log'!M:M,"Vignette",'QA Log'!Z:Z,"Approved",'QA Log'!L:L,"*Vignette [8] Birth Spacing/ Family Planning :  FP Counselling*"),
    COUNTIFS('QA Log'!D:D,A182,'QA Log'!M:M,"Vignette",'QA Log'!Z:Z,"Approved",'QA Log'!L:L,"*Vignette [9] Birth Spacing: Change FP method to Injectable*"),
    COUNTIFS('QA Log'!D:D,A182,'QA Log'!M:M,"Vignette",'QA Log'!Z:Z,"Approved",'QA Log'!L:L,"*Vignette [10] Post Partum Haemorrhage - Atonic Uterus at Health Centre*")
  )
)</f>
        <v/>
      </c>
      <c r="BG182" s="105" t="str">
        <f>IF(A182&lt;&gt;"",COUNTIFS('QA Log'!D:D,A182,'QA Log'!M:M,"Vignette",'QA Log'!L:L,"Vignette [5] Labor",'QA Log'!Z:Z,"Approved"),"")</f>
        <v/>
      </c>
      <c r="BH182" s="105" t="str">
        <f>IF(A182&lt;&gt;"",COUNTIFS('QA Log'!D:D,A182,'QA Log'!M:M,"Vignette",'QA Log'!L:L,"Vignette [6] PNC pre Discharge",'QA Log'!Z:Z,"Approved"),"")</f>
        <v/>
      </c>
      <c r="BI182" s="105" t="str">
        <f>IF(A182&lt;&gt;"",COUNTIFS('QA Log'!D:D,A182,'QA Log'!M:M,"Vignette",'QA Log'!L:L,"Vignette [7] First ANC Visit",'QA Log'!Z:Z,"Approved"),"")</f>
        <v/>
      </c>
      <c r="BJ182" s="105" t="str">
        <f>IF(A182&lt;&gt;"",COUNTIFS('QA Log'!D:D,A182,'QA Log'!M:M,"Vignette",'QA Log'!L:L,"Vignette [8] Birth Spacing/ Family Planning :  FP Counselling",'QA Log'!Z:Z,"Approved"),"")</f>
        <v/>
      </c>
      <c r="BK182" s="105" t="str">
        <f>IF(A182&lt;&gt;"",COUNTIFS('QA Log'!D:D,A182,'QA Log'!M:M,"Vignette",'QA Log'!L:L,"Vignette [9] Birth Spacing: Change FP method to Injectable",'QA Log'!Z:Z,"Approved"),"")</f>
        <v/>
      </c>
      <c r="BL182" s="105" t="str">
        <f>IF(A182&lt;&gt;"",COUNTIFS('QA Log'!D:D,A182,'QA Log'!M:M,"Vignette",'QA Log'!L:L,"Vignette [10] Post Partum Haemorrhage - Atonic Uterus at Health Centre",'QA Log'!Z:Z,"Approved"),"")</f>
        <v/>
      </c>
      <c r="BM182" s="102" t="str">
        <f>IF(A182="","",SUM(
    COUNTIFS('QA Log'!D:D,A182,'QA Log'!M:M,"Vignette",'QA Log'!Z:Z,"Rejected",'QA Log'!L:L,"*Vignette [5] Labor*"),
    COUNTIFS('QA Log'!D:D,A182,'QA Log'!M:M,"Vignette",'QA Log'!Z:Z,"Rejected",'QA Log'!L:L,"*Vignette [6] PNC pre Discharge*"),
    COUNTIFS('QA Log'!D:D,A182,'QA Log'!M:M,"Vignette",'QA Log'!Z:Z,"Rejected",'QA Log'!L:L,"*Vignette [7] First ANC Visit*"),
    COUNTIFS('QA Log'!D:D,A182,'QA Log'!M:M,"Vignette",'QA Log'!Z:Z,"Rejected",'QA Log'!L:L,"*Vignette [8] Birth Spacing/ Family Planning :  FP Counselling*"),
    COUNTIFS('QA Log'!D:D,A182,'QA Log'!M:M,"Vignette",'QA Log'!Z:Z,"Rejected",'QA Log'!L:L,"*Vignette [9] Birth Spacing: Change FP method to Injectable*"),
    COUNTIFS('QA Log'!D:D,A182,'QA Log'!M:M,"Vignette",'QA Log'!Z:Z,"Rejected",'QA Log'!L:L,"*Vignette [10] Post Partum Haemorrhage - Atonic Uterus at Health Centre*")
  )
)</f>
        <v/>
      </c>
      <c r="BN182" s="107" t="str">
        <f t="shared" si="11"/>
        <v/>
      </c>
      <c r="BO182" s="103" t="str">
        <f t="shared" si="12"/>
        <v/>
      </c>
      <c r="BP182" s="102" t="str">
        <f>IF(A182="","",SUM(
COUNTIFS('QA Log'!D:D,A182,'QA Log'!M:M,"Vignette",'QA Log'!L:L,"*Exit Interview 1*"),
COUNTIFS('QA Log'!D:D,A182,'QA Log'!M:M,"Vignette",'QA Log'!L:L,"*Exit Interview 2*"),
)
)</f>
        <v/>
      </c>
      <c r="BQ182" s="102" t="str">
        <f>IF(
  A182="","",
  SUM(
    COUNTIFS('QA Log'!D:D,A182,'QA Log'!M:M,"Vignette",'QA Log'!Z:Z,"Approved",'QA Log'!L:L,"*Exit Interview 1*"),
    COUNTIFS('QA Log'!D:D,A182,'QA Log'!M:M,"Vignette",'QA Log'!Z:Z,"Approved",'QA Log'!L:L,"*Exit Interview 2*")
  )
)</f>
        <v/>
      </c>
      <c r="BR182" s="105" t="str">
        <f>IF(A182&lt;&gt;"",COUNTIFS('QA Log'!D:D,A182,'QA Log'!M:M,"Vignette",'QA Log'!L:L,"Exit Interview 1",'QA Log'!Z:Z,"Approved"),"")</f>
        <v/>
      </c>
      <c r="BS182" s="105" t="str">
        <f>IF(A182&lt;&gt;"",COUNTIFS('QA Log'!D:D,A182,'QA Log'!M:M,"Vignette",'QA Log'!L:L,"Exit Interview 2",'QA Log'!Z:Z,"Approved"),"")</f>
        <v/>
      </c>
      <c r="BT182" s="102" t="str">
        <f>IF(
  A182="","",
  SUM(
    COUNTIFS('QA Log'!D:D,A182,'QA Log'!M:M,"Vignette",'QA Log'!Z:Z,"Rejected",'QA Log'!L:L,"*Exit Interview 1*"),
    COUNTIFS('QA Log'!D:D,A182,'QA Log'!M:M,"Vignette",'QA Log'!Z:Z,"Rejected",'QA Log'!L:L,"*Exit Interview 2*")
  )
)</f>
        <v/>
      </c>
      <c r="BU182" s="107" t="str">
        <f t="shared" si="13"/>
        <v/>
      </c>
      <c r="BV182" s="102" t="str">
        <f t="shared" si="14"/>
        <v/>
      </c>
      <c r="BW182" s="102" t="str">
        <f t="shared" si="15"/>
        <v/>
      </c>
      <c r="BX182" s="102" t="str">
        <f t="shared" si="16"/>
        <v/>
      </c>
      <c r="BY182" s="102" t="str">
        <f t="shared" si="17"/>
        <v/>
      </c>
      <c r="BZ182" s="107" t="str">
        <f t="shared" si="18"/>
        <v/>
      </c>
      <c r="CA182" s="108" t="str">
        <f t="shared" si="19"/>
        <v/>
      </c>
      <c r="CB182" s="108" t="str">
        <f t="shared" si="20"/>
        <v/>
      </c>
      <c r="CC182" s="109" t="str">
        <f t="shared" si="21"/>
        <v/>
      </c>
      <c r="CD182" s="108" t="str">
        <f t="shared" si="22"/>
        <v/>
      </c>
      <c r="CE182" s="108" t="str">
        <f t="shared" si="23"/>
        <v/>
      </c>
      <c r="CF182" s="109" t="str">
        <f t="shared" si="24"/>
        <v/>
      </c>
      <c r="CG182" s="110" t="str">
        <f t="shared" si="25"/>
        <v/>
      </c>
      <c r="CH182" s="111"/>
    </row>
    <row r="183" spans="1:86" ht="12.75">
      <c r="A183" s="101"/>
      <c r="B183" s="102" t="e">
        <f t="array" aca="1" ref="B183" ca="1">_xludf.XLOOKUP(A183,'QA Log'!D:D,'QA Log'!E:E,"")</f>
        <v>#NAME?</v>
      </c>
      <c r="C183" s="102" t="e">
        <f t="array" aca="1" ref="C183" ca="1">_xludf.XLOOKUP(A183,'QA Log'!D:D,'QA Log'!F:F,"")</f>
        <v>#NAME?</v>
      </c>
      <c r="D183" s="102" t="e">
        <f t="array" aca="1" ref="D183" ca="1">_xludf.XLOOKUP(A183,'QA Log'!D:D,'QA Log'!H:H,"")</f>
        <v>#NAME?</v>
      </c>
      <c r="E183" s="102" t="e">
        <f t="array" aca="1" ref="E183" ca="1">_xludf.XLOOKUP(A183,'QA Log'!D:D,'QA Log'!G:G,"")</f>
        <v>#NAME?</v>
      </c>
      <c r="F183" s="103"/>
      <c r="G183" s="104"/>
      <c r="H183" s="104"/>
      <c r="I183" s="103" t="str">
        <f t="shared" si="0"/>
        <v/>
      </c>
      <c r="J183" s="102" t="str">
        <f>IF(A183="","",SUM(
COUNTIFS('QA Log'!D:D,A183,'QA Log'!M:M,"QQC",'QA Log'!L:L,"*1. General Management*"),
COUNTIFS('QA Log'!D:D,A183,'QA Log'!M:M,"QQC",'QA Log'!L:L,"*3. Curative Consultation (OPD)*"),
COUNTIFS('QA Log'!D:D,A183,'QA Log'!M:M,"QQC",'QA Log'!L:L,"*5. Laboratory*"),
COUNTIFS('QA Log'!D:D,A183,'QA Log'!M:M,"QQC",'QA Log'!L:L,"*6. Essential Medicine Management*"),
COUNTIFS('QA Log'!D:D,A183,'QA Log'!M:M,"QQC",'QA Log'!L:L,"*7. Tracer Medicine*"),
COUNTIFS('QA Log'!D:D,A183,'QA Log'!M:M,"QQC",'QA Log'!L:L,"*11. Additional Questions*")))</f>
        <v/>
      </c>
      <c r="K183" s="102" t="str">
        <f>IF(A183="","",SUM(
COUNTIFS('QA Log'!D:D,A183,'QA Log'!M:M,"QQC",'QA Log'!Z:Z,"Approved",'QA Log'!L:L,"*1. General Management*"),
COUNTIFS('QA Log'!D:D,A183,'QA Log'!M:M,"QQC",'QA Log'!Z:Z,"Approved",'QA Log'!L:L,"*3. Curative Consultation (OPD)*"),
COUNTIFS('QA Log'!D:D,A183,'QA Log'!M:M,"QQC",'QA Log'!Z:Z,"Approved",'QA Log'!L:L,"*5. Laboratory*"),
COUNTIFS('QA Log'!D:D,A183,'QA Log'!M:M,"QQC",'QA Log'!Z:Z,"Approved",'QA Log'!L:L,"*6. Essential Medicine Management*"),
COUNTIFS('QA Log'!D:D,A183,'QA Log'!M:M,"QQC",'QA Log'!Z:Z,"Approved",'QA Log'!L:L,"*7. Tracer Medicine*"),
COUNTIFS('QA Log'!D:D,A183,'QA Log'!M:M,"QQC",'QA Log'!Z:Z,"Approved",'QA Log'!L:L,"*11. Additional Questions*")))</f>
        <v/>
      </c>
      <c r="L183" s="105" t="str">
        <f>IF(A183&lt;&gt;"",COUNTIFS('QA Log'!D:D,A183,'QA Log'!M:M,"QQC",'QA Log'!L:L,"1. General Management",'QA Log'!Z:Z,"Approved"),"")</f>
        <v/>
      </c>
      <c r="M183" s="105" t="str">
        <f>IF(A183&lt;&gt;"",COUNTIFS('QA Log'!D:D,A183,'QA Log'!M:M,"QQC",'QA Log'!L:L,"3. Curative Consultation (OPD)",'QA Log'!Z:Z,"Approved"),"")</f>
        <v/>
      </c>
      <c r="N183" s="105" t="str">
        <f>IF(A183&lt;&gt;"",COUNTIFS('QA Log'!D:D,A183,'QA Log'!M:M,"QQC",'QA Log'!L:L,"5. Laboratory",'QA Log'!Z:Z,"Approved"),"")</f>
        <v/>
      </c>
      <c r="O183" s="105" t="str">
        <f>IF(A183&lt;&gt;"",COUNTIFS('QA Log'!D:D,A183,'QA Log'!M:M,"QQC",'QA Log'!L:L,"6. Essential Medicine Management",'QA Log'!Z:Z,"Approved"),"")</f>
        <v/>
      </c>
      <c r="P183" s="105" t="str">
        <f>IF(A183&lt;&gt;"",COUNTIFS('QA Log'!D:D,A183,'QA Log'!M:M,"QQC",'QA Log'!L:L,"7. Tracer Medicine",'QA Log'!Z:Z,"Approved"),"")</f>
        <v/>
      </c>
      <c r="Q183" s="105" t="str">
        <f>IF(A183&lt;&gt;"",COUNTIFS('QA Log'!D:D,A183,'QA Log'!M:M,"QQC",'QA Log'!L:L,"11. Additional Questions",'QA Log'!Z:Z,"Approved"),"")</f>
        <v/>
      </c>
      <c r="R183" s="102" t="str">
        <f>IF(A183="","",SUM(
COUNTIFS('QA Log'!D:D,A183,'QA Log'!M:M,"QQC",'QA Log'!Z:Z,"Rejected",'QA Log'!L:L,"*8. Maternity*"),
COUNTIFS('QA Log'!D:D,A183,'QA Log'!M:M,"QQC",'QA Log'!Z:Z,"Rejected",'QA Log'!L:L,"*EPI*"),
COUNTIFS('QA Log'!D:D,A183,'QA Log'!M:M,"QQC",'QA Log'!Z:Z,"Rejected",'QA Log'!L:L,"*10. Antenatal Care (ANC)*"),
COUNTIFS('QA Log'!D:D,A183,'QA Log'!M:M,"QQC",'QA Log'!Z:Z,"Rejected",'QA Log'!L:L,"*2. Hygiene and Sterilization*"),
COUNTIFS('QA Log'!D:D,A183,'QA Log'!M:M,"QQC",'QA Log'!Z:Z,"Rejected",'QA Log'!L:L,"*Family Planning*")))</f>
        <v/>
      </c>
      <c r="S183" s="106" t="str">
        <f t="shared" si="1"/>
        <v/>
      </c>
      <c r="T183" s="102" t="str">
        <f t="shared" si="2"/>
        <v/>
      </c>
      <c r="U183" s="102" t="str">
        <f>IF(A183="","",
SUM(
COUNTIFS('QA Log'!D:D,A183,'QA Log'!M:M,"QQC",'QA Log'!L:L,"*8. Maternity*"),
COUNTIFS('QA Log'!D:D,A183,'QA Log'!M:M,"QQC",'QA Log'!L:L,"*9. EPI and Pre-school Consultation*"),
COUNTIFS('QA Log'!D:D,A183,'QA Log'!M:M,"QQC",'QA Log'!L:L,"*10. Antenatal Care (ANC)*"),
COUNTIFS('QA Log'!D:D,A183,'QA Log'!M:M,"QQC",'QA Log'!L:L,"*2. Hygiene and Sterilization*"),
COUNTIFS('QA Log'!D:D,A183,'QA Log'!M:M,"QQC",'QA Log'!L:L,"*4. Family Planning*")
))</f>
        <v/>
      </c>
      <c r="V183" s="102" t="str">
        <f>IF(A183="","",
SUM(
COUNTIFS('QA Log'!D:D,A183,'QA Log'!M:M,"QQC",'QA Log'!Z:Z,"Approved",'QA Log'!L:L,"*8. Maternity*"),
COUNTIFS('QA Log'!D:D,A183,'QA Log'!M:M,"QQC",'QA Log'!Z:Z,"Approved",'QA Log'!L:L,"*9. EPI and Pre-school Consultation*"),
COUNTIFS('QA Log'!D:D,A183,'QA Log'!M:M,"QQC",'QA Log'!Z:Z,"Approved",'QA Log'!L:L,"*10. Antenatal Care (ANC)*"),
COUNTIFS('QA Log'!D:D,A183,'QA Log'!M:M,"QQC",'QA Log'!Z:Z,"Approved",'QA Log'!L:L,"*2. Hygiene and Sterilization*"),
COUNTIFS('QA Log'!D:D,A183,'QA Log'!M:M,"QQC",'QA Log'!Z:Z,"Approved",'QA Log'!L:L,"*4. Family Planning*")
))</f>
        <v/>
      </c>
      <c r="W183" s="105" t="str">
        <f>IF(A183&lt;&gt;"",COUNTIFS('QA Log'!D:D,A183,'QA Log'!M:M,"QQC",'QA Log'!L:L,"8. Maternity",'QA Log'!Z:Z,"Approved"),"")</f>
        <v/>
      </c>
      <c r="X183" s="105" t="str">
        <f>IF(A183&lt;&gt;"",COUNTIFS('QA Log'!D:D,A183,'QA Log'!M:M,"QQC",'QA Log'!L:L,"9. EPI and Pre-school Consultation",'QA Log'!Z:Z,"Approved"),"")</f>
        <v/>
      </c>
      <c r="Y183" s="105" t="str">
        <f>IF(A183&lt;&gt;"",COUNTIFS('QA Log'!D:D,A183,'QA Log'!M:M,"QQC",'QA Log'!L:L,"10. Antenatal Care (ANC)",'QA Log'!Z:Z,"Approved"),"")</f>
        <v/>
      </c>
      <c r="Z183" s="105" t="str">
        <f>IF(A183&lt;&gt;"",COUNTIFS('QA Log'!D:D,A183,'QA Log'!M:M,"QQC",'QA Log'!L:L,"2. Hygiene and Sterilization",'QA Log'!Z:Z,"Approved"),"")</f>
        <v/>
      </c>
      <c r="AA183" s="105" t="str">
        <f>IF(A183&lt;&gt;"",COUNTIFS('QA Log'!D:D,A183,'QA Log'!M:M,"QQC",'QA Log'!L:L,"4. Family Planning",'QA Log'!Z:Z,"Approved"),"")</f>
        <v/>
      </c>
      <c r="AB183" s="102" t="str">
        <f>IF(A183="","",
SUM(
COUNTIFS('QA Log'!D:D,A183,'QA Log'!M:M,"QQC",'QA Log'!Z:Z,"Rejected",'QA Log'!L:L,"*8. Maternity*"),
COUNTIFS('QA Log'!D:D,A183,'QA Log'!M:M,"QQC",'QA Log'!Z:Z,"Rejected",'QA Log'!L:L,"*9. EPI and Pre-school Consultation*"),
COUNTIFS('QA Log'!D:D,A183,'QA Log'!M:M,"QQC",'QA Log'!Z:Z,"Rejected",'QA Log'!L:L,"*10. Antenatal Care (ANC)*"),
COUNTIFS('QA Log'!D:D,A183,'QA Log'!M:M,"QQC",'QA Log'!Z:Z,"Rejected",'QA Log'!L:L,"*2. Hygiene and Sterilization*"),
COUNTIFS('QA Log'!D:D,A183,'QA Log'!M:M,"QQC",'QA Log'!Z:Z,"Rejected",'QA Log'!L:L,"*4. Family Planning*")
))</f>
        <v/>
      </c>
      <c r="AC183" s="102" t="str">
        <f t="shared" si="3"/>
        <v/>
      </c>
      <c r="AD183" s="103" t="str">
        <f t="shared" si="4"/>
        <v/>
      </c>
      <c r="AE183" s="102" t="str">
        <f>IF(A183="","",
SUM(
COUNTIFS('QA Log'!D:D,A183,'QA Log'!M:M,"Data Verification",'QA Log'!L:L,"*Medicine (section 2)*"),
COUNTIFS('QA Log'!D:D,A183,'QA Log'!M:M,"Data Verification",'QA Log'!L:L,"*Lab Testing Availability*"),
COUNTIFS('QA Log'!D:D,A183,'QA Log'!M:M,"Data Verification",'QA Log'!L:L,"*Other than P4P (section 6)*"),
COUNTIFS('QA Log'!D:D,A183,'QA Log'!M:M,"Data Verification",'QA Log'!L:L,"*Hospital Governance*")
))</f>
        <v/>
      </c>
      <c r="AF183" s="102" t="str">
        <f>IF(A183="","",
SUM(
COUNTIFS('QA Log'!D:D,A183,'QA Log'!M:M,"Data Verification",'QA Log'!Z:Z,"Approved",'QA Log'!L:L,"*Medicine (section 2)*"),
COUNTIFS('QA Log'!D:D,A183,'QA Log'!M:M,"Data Verification",'QA Log'!Z:Z,"Approved",'QA Log'!L:L,"*Lab Testing Availability*"),
COUNTIFS('QA Log'!D:D,A183,'QA Log'!M:M,"Data Verification",'QA Log'!Z:Z,"Approved",'QA Log'!L:L,"*Other than P4P (section 6)*"),
COUNTIFS('QA Log'!D:D,A183,'QA Log'!M:M,"Data Verification",'QA Log'!Z:Z,"Approved",'QA Log'!L:L,"*Hospital Governance*")
))</f>
        <v/>
      </c>
      <c r="AG183" s="105" t="str">
        <f>IF(A183&lt;&gt;"",COUNTIFS('QA Log'!D:D,A183,'QA Log'!M:M,"Data Verification",'QA Log'!L:L,"Medicine (section 2)",'QA Log'!Z:Z,"Approved"),"")</f>
        <v/>
      </c>
      <c r="AH183" s="105" t="str">
        <f>IF(A183&lt;&gt;"",COUNTIFS('QA Log'!D:D,A183,'QA Log'!M:M,"Data Verification",'QA Log'!L:L,"Lab Testing Availability",'QA Log'!Z:Z,"Approved"),"")</f>
        <v/>
      </c>
      <c r="AI183" s="105" t="str">
        <f>IF(A183&lt;&gt;"",COUNTIFS('QA Log'!D:D,A183,'QA Log'!M:M,"Data Verification",'QA Log'!L:L,"Other than P4P (section 6)",'QA Log'!Z:Z,"Approved"),"")</f>
        <v/>
      </c>
      <c r="AJ183" s="105" t="str">
        <f>IF(A183&lt;&gt;"",COUNTIFS('QA Log'!D:D,A183,'QA Log'!M:M,"Data Verification",'QA Log'!L:L,"Hospital Governance",'QA Log'!Z:Z,"Approved"),"")</f>
        <v/>
      </c>
      <c r="AK183" s="102" t="str">
        <f>IF(A183="","",
SUM(
COUNTIFS('QA Log'!D:D,A183,'QA Log'!M:M,"Data Verification",'QA Log'!Z:Z,"Rejected",'QA Log'!L:L,"*Medicine (section 2)*"),
COUNTIFS('QA Log'!D:D,A183,'QA Log'!M:M,"Data Verification",'QA Log'!Z:Z,"Rejected",'QA Log'!L:L,"*Lab Testing Availability*"),
COUNTIFS('QA Log'!D:D,A183,'QA Log'!M:M,"Data Verification",'QA Log'!Z:Z,"Rejected",'QA Log'!L:L,"*Other than P4P (section 6)*"),
COUNTIFS('QA Log'!D:D,A183,'QA Log'!M:M,"Data Verification",'QA Log'!Z:Z,"Rejected",'QA Log'!L:L,"*Hospital Governance*")
))</f>
        <v/>
      </c>
      <c r="AL183" s="106" t="str">
        <f t="shared" si="5"/>
        <v/>
      </c>
      <c r="AM183" s="102" t="str">
        <f t="shared" si="6"/>
        <v/>
      </c>
      <c r="AN183" s="102" t="str">
        <f>IF(A183="","",
SUM(
COUNTIFS('QA Log'!D:D,A183,'QA Log'!M:M,"Data Verification",'QA Log'!L:L,"*Personnel (section 1)*"),
COUNTIFS('QA Log'!D:D,A183,'QA Log'!M:M,"Data Verification",'QA Log'!L:L,"*Consumable (section 3)*"),
COUNTIFS('QA Log'!D:D,A183,'QA Log'!M:M,"Data Verification",'QA Log'!L:L,"*Equipments (section 4)*")
))</f>
        <v/>
      </c>
      <c r="AO183" s="102" t="str">
        <f>IF(A183="","",
SUM(
COUNTIFS('QA Log'!D:D,A183,'QA Log'!M:M,"Data Verification",'QA Log'!Z:Z,"Approved",'QA Log'!L:L,"*Personnel (section 1)*"),
COUNTIFS('QA Log'!D:D,A183,'QA Log'!M:M,"Data Verification",'QA Log'!Z:Z,"Approved",'QA Log'!L:L,"*Consumable (section 3)*"),
COUNTIFS('QA Log'!D:D,A183,'QA Log'!M:M,"Data Verification",'QA Log'!Z:Z,"Approved",'QA Log'!L:L,"*Equipments (section 4)*")
))</f>
        <v/>
      </c>
      <c r="AP183" s="105" t="str">
        <f>IF(A183&lt;&gt;"",COUNTIFS('QA Log'!D:D,A183,'QA Log'!M:M,"Data Verification",'QA Log'!L:L,"Personnel (section 1)",'QA Log'!Z:Z,"Approved"),"")</f>
        <v/>
      </c>
      <c r="AQ183" s="105" t="str">
        <f>IF(A183&lt;&gt;"",COUNTIFS('QA Log'!D:D,A183,'QA Log'!M:M,"Data Verification",'QA Log'!L:L,"Consumable (section 3)",'QA Log'!Z:Z,"Approved"),"")</f>
        <v/>
      </c>
      <c r="AR183" s="105" t="str">
        <f>IF(A183&lt;&gt;"",COUNTIFS('QA Log'!D:D,A183,'QA Log'!M:M,"Data Verification",'QA Log'!L:L,"Equipments (section 4)",'QA Log'!Z:Z,"Approved"),"")</f>
        <v/>
      </c>
      <c r="AS183" s="102" t="str">
        <f>IF(A183="","",
SUM(
COUNTIFS('QA Log'!D:D,A183,'QA Log'!M:M,"Data Verification",'QA Log'!Z:Z,"Rejected",'QA Log'!L:L,"*Personnel (section 1)*"),
COUNTIFS('QA Log'!D:D,A183,'QA Log'!M:M,"Data Verification",'QA Log'!Z:Z,"Rejected",'QA Log'!L:L,"*Consumable (section 3)*"),
COUNTIFS('QA Log'!D:D,A183,'QA Log'!M:M,"Data Verification",'QA Log'!Z:Z,"Rejected",'QA Log'!L:L,"*Equipments (section 4)*")
))</f>
        <v/>
      </c>
      <c r="AT183" s="102" t="str">
        <f t="shared" si="7"/>
        <v/>
      </c>
      <c r="AU183" s="103" t="str">
        <f t="shared" si="8"/>
        <v/>
      </c>
      <c r="AV183" s="102" t="str">
        <f>IF(A183="","",SUM(
COUNTIFS('QA Log'!D:D,A183,'QA Log'!M:M,"Vignette",'QA Log'!L:L,"*Vignette [1] Respiratory Infection: Pneumonia*"),
COUNTIFS('QA Log'!D:D,A183,'QA Log'!M:M,"Vignette",'QA Log'!L:L,"*Vignette [2]: Diarrhea with Cat B dehydration*"),
COUNTIFS('QA Log'!D:D,A183,'QA Log'!M:M,"Vignette",'QA Log'!L:L,"*Vignette [3] Growth Monitoring and Promotion*"),
COUNTIFS('QA Log'!D:D,A183,'QA Log'!M:M,"Vignette",'QA Log'!L:L,"*Vignette [4]: The management of presumptive TB patient*")
)
)</f>
        <v/>
      </c>
      <c r="AW183" s="102" t="str">
        <f>IF(
  A183="","",
  SUM(
    COUNTIFS('QA Log'!D:D,A183,'QA Log'!M:M,"Vignette",'QA Log'!Z:Z,"Approved",'QA Log'!L:L,"*Vignette [1] Respiratory Infection: Pneumonia*"),
    COUNTIFS('QA Log'!D:D,A183,'QA Log'!M:M,"Vignette",'QA Log'!Z:Z,"Approved",'QA Log'!L:L,"*Vignette [2]: Diarrhea with Cat B dehydration*"),
    COUNTIFS('QA Log'!D:D,A183,'QA Log'!M:M,"Vignette",'QA Log'!Z:Z,"Approved",'QA Log'!L:L,"*Vignette [3] Growth Monitoring and Promotion*"),
    COUNTIFS('QA Log'!D:D,A183,'QA Log'!M:M,"Vignette",'QA Log'!Z:Z,"Approved",'QA Log'!L:L,"*Vignette [4]: The management of presumptive TB patient*")
  )
)</f>
        <v/>
      </c>
      <c r="AX183" s="105" t="str">
        <f>IF(A183&lt;&gt;"",COUNTIFS('QA Log'!D:D,A183,'QA Log'!M:M,"Vignette",'QA Log'!L:L,"Vignette [1] Respiratory Infection: Pneumonia",'QA Log'!Z:Z,"Approved"),"")</f>
        <v/>
      </c>
      <c r="AY183" s="105" t="str">
        <f>IF(A183&lt;&gt;"",COUNTIFS('QA Log'!D:D,A183,'QA Log'!M:M,"Vignette",'QA Log'!L:L,"Vignette [2]: Diarrhea with Cat B dehydration",'QA Log'!Z:Z,"Approved"),"")</f>
        <v/>
      </c>
      <c r="AZ183" s="105" t="str">
        <f>IF(A183&lt;&gt;"",COUNTIFS('QA Log'!D:D,A183,'QA Log'!M:M,"Vignette",'QA Log'!L:L,"Vignette [3] Growth Monitoring and Promotion",'QA Log'!Z:Z,"Approved"),"")</f>
        <v/>
      </c>
      <c r="BA183" s="105" t="str">
        <f>IF(A183&lt;&gt;"",COUNTIFS('QA Log'!D:D,A183,'QA Log'!M:M,"Vignette",'QA Log'!L:L,"Vignette [4]: The management of presumptive TB patient",'QA Log'!Z:Z,"Approved"),"")</f>
        <v/>
      </c>
      <c r="BB183" s="102" t="str">
        <f>IF(A183="","",
  SUM(
    COUNTIFS('QA Log'!D:D,A183,'QA Log'!M:M,"Vignette",'QA Log'!Z:Z,"Rejected",'QA Log'!L:L,"*Vignette [1] Respiratory Infection: Pneumonia*"),
    COUNTIFS('QA Log'!D:D,A183,'QA Log'!M:M,"Vignette",'QA Log'!Z:Z,"Rejected",'QA Log'!L:L,"*Vignette [2]: Diarrhea with Cat B dehydration*"),
    COUNTIFS('QA Log'!D:D,A183,'QA Log'!M:M,"Vignette",'QA Log'!Z:Z,"Rejected",'QA Log'!L:L,"*Vignette [3] Growth Monitoring and Promotion*"),
    COUNTIFS('QA Log'!D:D,A183,'QA Log'!M:M,"Vignette",'QA Log'!Z:Z,"Rejected",'QA Log'!L:L,"*Vignette [4]: The management of presumptive TB patient*")
  )
)</f>
        <v/>
      </c>
      <c r="BC183" s="107" t="str">
        <f t="shared" si="9"/>
        <v/>
      </c>
      <c r="BD183" s="103" t="str">
        <f t="shared" si="10"/>
        <v/>
      </c>
      <c r="BE183" s="102" t="str">
        <f>IF(A183="","",SUM(
COUNTIFS('QA Log'!D:D,A183,'QA Log'!M:M,"Vignette",'QA Log'!L:L,"*Vignette [5] Labor*"),
COUNTIFS('QA Log'!D:D,A183,'QA Log'!M:M,"Vignette",'QA Log'!L:L,"*Vignette [6] PNC pre Discharge*"),
COUNTIFS('QA Log'!D:D,A183,'QA Log'!M:M,"Vignette",'QA Log'!L:L,"*Vignette [7] First ANC Visit*"),
COUNTIFS('QA Log'!D:D,A183,'QA Log'!M:M,"Vignette",'QA Log'!L:L,"*Vignette [8] Birth Spacing/ Family Planning :  FP Counselling*"),
COUNTIFS('QA Log'!D:D,A183,'QA Log'!M:M,"Vignette",'QA Log'!L:L,"*Vignette [9] Birth Spacing: Change FP method to Injectable*"),
COUNTIFS('QA Log'!D:D,A183,'QA Log'!M:M,"Vignette",'QA Log'!L:L,"*Vignette [10] Post Partum Haemorrhage - Atonic Uterus at Health Centre*"),
)
)</f>
        <v/>
      </c>
      <c r="BF183" s="102" t="str">
        <f>IF(A183="","",
  SUM(
    COUNTIFS('QA Log'!D:D,A183,'QA Log'!M:M,"Vignette",'QA Log'!Z:Z,"Approved",'QA Log'!L:L,"*Vignette [5] Labor*"),
    COUNTIFS('QA Log'!D:D,A183,'QA Log'!M:M,"Vignette",'QA Log'!Z:Z,"Approved",'QA Log'!L:L,"*Vignette [6] PNC pre Discharge*"),
    COUNTIFS('QA Log'!D:D,A183,'QA Log'!M:M,"Vignette",'QA Log'!Z:Z,"Approved",'QA Log'!L:L,"*Vignette [7] First ANC Visit*"),
    COUNTIFS('QA Log'!D:D,A183,'QA Log'!M:M,"Vignette",'QA Log'!Z:Z,"Approved",'QA Log'!L:L,"*Vignette [8] Birth Spacing/ Family Planning :  FP Counselling*"),
    COUNTIFS('QA Log'!D:D,A183,'QA Log'!M:M,"Vignette",'QA Log'!Z:Z,"Approved",'QA Log'!L:L,"*Vignette [9] Birth Spacing: Change FP method to Injectable*"),
    COUNTIFS('QA Log'!D:D,A183,'QA Log'!M:M,"Vignette",'QA Log'!Z:Z,"Approved",'QA Log'!L:L,"*Vignette [10] Post Partum Haemorrhage - Atonic Uterus at Health Centre*")
  )
)</f>
        <v/>
      </c>
      <c r="BG183" s="105" t="str">
        <f>IF(A183&lt;&gt;"",COUNTIFS('QA Log'!D:D,A183,'QA Log'!M:M,"Vignette",'QA Log'!L:L,"Vignette [5] Labor",'QA Log'!Z:Z,"Approved"),"")</f>
        <v/>
      </c>
      <c r="BH183" s="105" t="str">
        <f>IF(A183&lt;&gt;"",COUNTIFS('QA Log'!D:D,A183,'QA Log'!M:M,"Vignette",'QA Log'!L:L,"Vignette [6] PNC pre Discharge",'QA Log'!Z:Z,"Approved"),"")</f>
        <v/>
      </c>
      <c r="BI183" s="105" t="str">
        <f>IF(A183&lt;&gt;"",COUNTIFS('QA Log'!D:D,A183,'QA Log'!M:M,"Vignette",'QA Log'!L:L,"Vignette [7] First ANC Visit",'QA Log'!Z:Z,"Approved"),"")</f>
        <v/>
      </c>
      <c r="BJ183" s="105" t="str">
        <f>IF(A183&lt;&gt;"",COUNTIFS('QA Log'!D:D,A183,'QA Log'!M:M,"Vignette",'QA Log'!L:L,"Vignette [8] Birth Spacing/ Family Planning :  FP Counselling",'QA Log'!Z:Z,"Approved"),"")</f>
        <v/>
      </c>
      <c r="BK183" s="105" t="str">
        <f>IF(A183&lt;&gt;"",COUNTIFS('QA Log'!D:D,A183,'QA Log'!M:M,"Vignette",'QA Log'!L:L,"Vignette [9] Birth Spacing: Change FP method to Injectable",'QA Log'!Z:Z,"Approved"),"")</f>
        <v/>
      </c>
      <c r="BL183" s="105" t="str">
        <f>IF(A183&lt;&gt;"",COUNTIFS('QA Log'!D:D,A183,'QA Log'!M:M,"Vignette",'QA Log'!L:L,"Vignette [10] Post Partum Haemorrhage - Atonic Uterus at Health Centre",'QA Log'!Z:Z,"Approved"),"")</f>
        <v/>
      </c>
      <c r="BM183" s="102" t="str">
        <f>IF(A183="","",SUM(
    COUNTIFS('QA Log'!D:D,A183,'QA Log'!M:M,"Vignette",'QA Log'!Z:Z,"Rejected",'QA Log'!L:L,"*Vignette [5] Labor*"),
    COUNTIFS('QA Log'!D:D,A183,'QA Log'!M:M,"Vignette",'QA Log'!Z:Z,"Rejected",'QA Log'!L:L,"*Vignette [6] PNC pre Discharge*"),
    COUNTIFS('QA Log'!D:D,A183,'QA Log'!M:M,"Vignette",'QA Log'!Z:Z,"Rejected",'QA Log'!L:L,"*Vignette [7] First ANC Visit*"),
    COUNTIFS('QA Log'!D:D,A183,'QA Log'!M:M,"Vignette",'QA Log'!Z:Z,"Rejected",'QA Log'!L:L,"*Vignette [8] Birth Spacing/ Family Planning :  FP Counselling*"),
    COUNTIFS('QA Log'!D:D,A183,'QA Log'!M:M,"Vignette",'QA Log'!Z:Z,"Rejected",'QA Log'!L:L,"*Vignette [9] Birth Spacing: Change FP method to Injectable*"),
    COUNTIFS('QA Log'!D:D,A183,'QA Log'!M:M,"Vignette",'QA Log'!Z:Z,"Rejected",'QA Log'!L:L,"*Vignette [10] Post Partum Haemorrhage - Atonic Uterus at Health Centre*")
  )
)</f>
        <v/>
      </c>
      <c r="BN183" s="107" t="str">
        <f t="shared" si="11"/>
        <v/>
      </c>
      <c r="BO183" s="103" t="str">
        <f t="shared" si="12"/>
        <v/>
      </c>
      <c r="BP183" s="102" t="str">
        <f>IF(A183="","",SUM(
COUNTIFS('QA Log'!D:D,A183,'QA Log'!M:M,"Vignette",'QA Log'!L:L,"*Exit Interview 1*"),
COUNTIFS('QA Log'!D:D,A183,'QA Log'!M:M,"Vignette",'QA Log'!L:L,"*Exit Interview 2*"),
)
)</f>
        <v/>
      </c>
      <c r="BQ183" s="102" t="str">
        <f>IF(
  A183="","",
  SUM(
    COUNTIFS('QA Log'!D:D,A183,'QA Log'!M:M,"Vignette",'QA Log'!Z:Z,"Approved",'QA Log'!L:L,"*Exit Interview 1*"),
    COUNTIFS('QA Log'!D:D,A183,'QA Log'!M:M,"Vignette",'QA Log'!Z:Z,"Approved",'QA Log'!L:L,"*Exit Interview 2*")
  )
)</f>
        <v/>
      </c>
      <c r="BR183" s="105" t="str">
        <f>IF(A183&lt;&gt;"",COUNTIFS('QA Log'!D:D,A183,'QA Log'!M:M,"Vignette",'QA Log'!L:L,"Exit Interview 1",'QA Log'!Z:Z,"Approved"),"")</f>
        <v/>
      </c>
      <c r="BS183" s="105" t="str">
        <f>IF(A183&lt;&gt;"",COUNTIFS('QA Log'!D:D,A183,'QA Log'!M:M,"Vignette",'QA Log'!L:L,"Exit Interview 2",'QA Log'!Z:Z,"Approved"),"")</f>
        <v/>
      </c>
      <c r="BT183" s="102" t="str">
        <f>IF(
  A183="","",
  SUM(
    COUNTIFS('QA Log'!D:D,A183,'QA Log'!M:M,"Vignette",'QA Log'!Z:Z,"Rejected",'QA Log'!L:L,"*Exit Interview 1*"),
    COUNTIFS('QA Log'!D:D,A183,'QA Log'!M:M,"Vignette",'QA Log'!Z:Z,"Rejected",'QA Log'!L:L,"*Exit Interview 2*")
  )
)</f>
        <v/>
      </c>
      <c r="BU183" s="107" t="str">
        <f t="shared" si="13"/>
        <v/>
      </c>
      <c r="BV183" s="102" t="str">
        <f t="shared" si="14"/>
        <v/>
      </c>
      <c r="BW183" s="102" t="str">
        <f t="shared" si="15"/>
        <v/>
      </c>
      <c r="BX183" s="102" t="str">
        <f t="shared" si="16"/>
        <v/>
      </c>
      <c r="BY183" s="102" t="str">
        <f t="shared" si="17"/>
        <v/>
      </c>
      <c r="BZ183" s="107" t="str">
        <f t="shared" si="18"/>
        <v/>
      </c>
      <c r="CA183" s="108" t="str">
        <f t="shared" si="19"/>
        <v/>
      </c>
      <c r="CB183" s="108" t="str">
        <f t="shared" si="20"/>
        <v/>
      </c>
      <c r="CC183" s="109" t="str">
        <f t="shared" si="21"/>
        <v/>
      </c>
      <c r="CD183" s="108" t="str">
        <f t="shared" si="22"/>
        <v/>
      </c>
      <c r="CE183" s="108" t="str">
        <f t="shared" si="23"/>
        <v/>
      </c>
      <c r="CF183" s="109" t="str">
        <f t="shared" si="24"/>
        <v/>
      </c>
      <c r="CG183" s="110" t="str">
        <f t="shared" si="25"/>
        <v/>
      </c>
      <c r="CH183" s="111"/>
    </row>
    <row r="184" spans="1:86" ht="12.75">
      <c r="A184" s="101"/>
      <c r="B184" s="102" t="e">
        <f t="array" aca="1" ref="B184" ca="1">_xludf.XLOOKUP(A184,'QA Log'!D:D,'QA Log'!E:E,"")</f>
        <v>#NAME?</v>
      </c>
      <c r="C184" s="102" t="e">
        <f t="array" aca="1" ref="C184" ca="1">_xludf.XLOOKUP(A184,'QA Log'!D:D,'QA Log'!F:F,"")</f>
        <v>#NAME?</v>
      </c>
      <c r="D184" s="102" t="e">
        <f t="array" aca="1" ref="D184" ca="1">_xludf.XLOOKUP(A184,'QA Log'!D:D,'QA Log'!H:H,"")</f>
        <v>#NAME?</v>
      </c>
      <c r="E184" s="102" t="e">
        <f t="array" aca="1" ref="E184" ca="1">_xludf.XLOOKUP(A184,'QA Log'!D:D,'QA Log'!G:G,"")</f>
        <v>#NAME?</v>
      </c>
      <c r="F184" s="103"/>
      <c r="G184" s="104"/>
      <c r="H184" s="104"/>
      <c r="I184" s="103" t="str">
        <f t="shared" si="0"/>
        <v/>
      </c>
      <c r="J184" s="102" t="str">
        <f>IF(A184="","",SUM(
COUNTIFS('QA Log'!D:D,A184,'QA Log'!M:M,"QQC",'QA Log'!L:L,"*1. General Management*"),
COUNTIFS('QA Log'!D:D,A184,'QA Log'!M:M,"QQC",'QA Log'!L:L,"*3. Curative Consultation (OPD)*"),
COUNTIFS('QA Log'!D:D,A184,'QA Log'!M:M,"QQC",'QA Log'!L:L,"*5. Laboratory*"),
COUNTIFS('QA Log'!D:D,A184,'QA Log'!M:M,"QQC",'QA Log'!L:L,"*6. Essential Medicine Management*"),
COUNTIFS('QA Log'!D:D,A184,'QA Log'!M:M,"QQC",'QA Log'!L:L,"*7. Tracer Medicine*"),
COUNTIFS('QA Log'!D:D,A184,'QA Log'!M:M,"QQC",'QA Log'!L:L,"*11. Additional Questions*")))</f>
        <v/>
      </c>
      <c r="K184" s="102" t="str">
        <f>IF(A184="","",SUM(
COUNTIFS('QA Log'!D:D,A184,'QA Log'!M:M,"QQC",'QA Log'!Z:Z,"Approved",'QA Log'!L:L,"*1. General Management*"),
COUNTIFS('QA Log'!D:D,A184,'QA Log'!M:M,"QQC",'QA Log'!Z:Z,"Approved",'QA Log'!L:L,"*3. Curative Consultation (OPD)*"),
COUNTIFS('QA Log'!D:D,A184,'QA Log'!M:M,"QQC",'QA Log'!Z:Z,"Approved",'QA Log'!L:L,"*5. Laboratory*"),
COUNTIFS('QA Log'!D:D,A184,'QA Log'!M:M,"QQC",'QA Log'!Z:Z,"Approved",'QA Log'!L:L,"*6. Essential Medicine Management*"),
COUNTIFS('QA Log'!D:D,A184,'QA Log'!M:M,"QQC",'QA Log'!Z:Z,"Approved",'QA Log'!L:L,"*7. Tracer Medicine*"),
COUNTIFS('QA Log'!D:D,A184,'QA Log'!M:M,"QQC",'QA Log'!Z:Z,"Approved",'QA Log'!L:L,"*11. Additional Questions*")))</f>
        <v/>
      </c>
      <c r="L184" s="105" t="str">
        <f>IF(A184&lt;&gt;"",COUNTIFS('QA Log'!D:D,A184,'QA Log'!M:M,"QQC",'QA Log'!L:L,"1. General Management",'QA Log'!Z:Z,"Approved"),"")</f>
        <v/>
      </c>
      <c r="M184" s="105" t="str">
        <f>IF(A184&lt;&gt;"",COUNTIFS('QA Log'!D:D,A184,'QA Log'!M:M,"QQC",'QA Log'!L:L,"3. Curative Consultation (OPD)",'QA Log'!Z:Z,"Approved"),"")</f>
        <v/>
      </c>
      <c r="N184" s="105" t="str">
        <f>IF(A184&lt;&gt;"",COUNTIFS('QA Log'!D:D,A184,'QA Log'!M:M,"QQC",'QA Log'!L:L,"5. Laboratory",'QA Log'!Z:Z,"Approved"),"")</f>
        <v/>
      </c>
      <c r="O184" s="105" t="str">
        <f>IF(A184&lt;&gt;"",COUNTIFS('QA Log'!D:D,A184,'QA Log'!M:M,"QQC",'QA Log'!L:L,"6. Essential Medicine Management",'QA Log'!Z:Z,"Approved"),"")</f>
        <v/>
      </c>
      <c r="P184" s="105" t="str">
        <f>IF(A184&lt;&gt;"",COUNTIFS('QA Log'!D:D,A184,'QA Log'!M:M,"QQC",'QA Log'!L:L,"7. Tracer Medicine",'QA Log'!Z:Z,"Approved"),"")</f>
        <v/>
      </c>
      <c r="Q184" s="105" t="str">
        <f>IF(A184&lt;&gt;"",COUNTIFS('QA Log'!D:D,A184,'QA Log'!M:M,"QQC",'QA Log'!L:L,"11. Additional Questions",'QA Log'!Z:Z,"Approved"),"")</f>
        <v/>
      </c>
      <c r="R184" s="102" t="str">
        <f>IF(A184="","",SUM(
COUNTIFS('QA Log'!D:D,A184,'QA Log'!M:M,"QQC",'QA Log'!Z:Z,"Rejected",'QA Log'!L:L,"*8. Maternity*"),
COUNTIFS('QA Log'!D:D,A184,'QA Log'!M:M,"QQC",'QA Log'!Z:Z,"Rejected",'QA Log'!L:L,"*EPI*"),
COUNTIFS('QA Log'!D:D,A184,'QA Log'!M:M,"QQC",'QA Log'!Z:Z,"Rejected",'QA Log'!L:L,"*10. Antenatal Care (ANC)*"),
COUNTIFS('QA Log'!D:D,A184,'QA Log'!M:M,"QQC",'QA Log'!Z:Z,"Rejected",'QA Log'!L:L,"*2. Hygiene and Sterilization*"),
COUNTIFS('QA Log'!D:D,A184,'QA Log'!M:M,"QQC",'QA Log'!Z:Z,"Rejected",'QA Log'!L:L,"*Family Planning*")))</f>
        <v/>
      </c>
      <c r="S184" s="106" t="str">
        <f t="shared" si="1"/>
        <v/>
      </c>
      <c r="T184" s="102" t="str">
        <f t="shared" si="2"/>
        <v/>
      </c>
      <c r="U184" s="102" t="str">
        <f>IF(A184="","",
SUM(
COUNTIFS('QA Log'!D:D,A184,'QA Log'!M:M,"QQC",'QA Log'!L:L,"*8. Maternity*"),
COUNTIFS('QA Log'!D:D,A184,'QA Log'!M:M,"QQC",'QA Log'!L:L,"*9. EPI and Pre-school Consultation*"),
COUNTIFS('QA Log'!D:D,A184,'QA Log'!M:M,"QQC",'QA Log'!L:L,"*10. Antenatal Care (ANC)*"),
COUNTIFS('QA Log'!D:D,A184,'QA Log'!M:M,"QQC",'QA Log'!L:L,"*2. Hygiene and Sterilization*"),
COUNTIFS('QA Log'!D:D,A184,'QA Log'!M:M,"QQC",'QA Log'!L:L,"*4. Family Planning*")
))</f>
        <v/>
      </c>
      <c r="V184" s="102" t="str">
        <f>IF(A184="","",
SUM(
COUNTIFS('QA Log'!D:D,A184,'QA Log'!M:M,"QQC",'QA Log'!Z:Z,"Approved",'QA Log'!L:L,"*8. Maternity*"),
COUNTIFS('QA Log'!D:D,A184,'QA Log'!M:M,"QQC",'QA Log'!Z:Z,"Approved",'QA Log'!L:L,"*9. EPI and Pre-school Consultation*"),
COUNTIFS('QA Log'!D:D,A184,'QA Log'!M:M,"QQC",'QA Log'!Z:Z,"Approved",'QA Log'!L:L,"*10. Antenatal Care (ANC)*"),
COUNTIFS('QA Log'!D:D,A184,'QA Log'!M:M,"QQC",'QA Log'!Z:Z,"Approved",'QA Log'!L:L,"*2. Hygiene and Sterilization*"),
COUNTIFS('QA Log'!D:D,A184,'QA Log'!M:M,"QQC",'QA Log'!Z:Z,"Approved",'QA Log'!L:L,"*4. Family Planning*")
))</f>
        <v/>
      </c>
      <c r="W184" s="105" t="str">
        <f>IF(A184&lt;&gt;"",COUNTIFS('QA Log'!D:D,A184,'QA Log'!M:M,"QQC",'QA Log'!L:L,"8. Maternity",'QA Log'!Z:Z,"Approved"),"")</f>
        <v/>
      </c>
      <c r="X184" s="105" t="str">
        <f>IF(A184&lt;&gt;"",COUNTIFS('QA Log'!D:D,A184,'QA Log'!M:M,"QQC",'QA Log'!L:L,"9. EPI and Pre-school Consultation",'QA Log'!Z:Z,"Approved"),"")</f>
        <v/>
      </c>
      <c r="Y184" s="105" t="str">
        <f>IF(A184&lt;&gt;"",COUNTIFS('QA Log'!D:D,A184,'QA Log'!M:M,"QQC",'QA Log'!L:L,"10. Antenatal Care (ANC)",'QA Log'!Z:Z,"Approved"),"")</f>
        <v/>
      </c>
      <c r="Z184" s="105" t="str">
        <f>IF(A184&lt;&gt;"",COUNTIFS('QA Log'!D:D,A184,'QA Log'!M:M,"QQC",'QA Log'!L:L,"2. Hygiene and Sterilization",'QA Log'!Z:Z,"Approved"),"")</f>
        <v/>
      </c>
      <c r="AA184" s="105" t="str">
        <f>IF(A184&lt;&gt;"",COUNTIFS('QA Log'!D:D,A184,'QA Log'!M:M,"QQC",'QA Log'!L:L,"4. Family Planning",'QA Log'!Z:Z,"Approved"),"")</f>
        <v/>
      </c>
      <c r="AB184" s="102" t="str">
        <f>IF(A184="","",
SUM(
COUNTIFS('QA Log'!D:D,A184,'QA Log'!M:M,"QQC",'QA Log'!Z:Z,"Rejected",'QA Log'!L:L,"*8. Maternity*"),
COUNTIFS('QA Log'!D:D,A184,'QA Log'!M:M,"QQC",'QA Log'!Z:Z,"Rejected",'QA Log'!L:L,"*9. EPI and Pre-school Consultation*"),
COUNTIFS('QA Log'!D:D,A184,'QA Log'!M:M,"QQC",'QA Log'!Z:Z,"Rejected",'QA Log'!L:L,"*10. Antenatal Care (ANC)*"),
COUNTIFS('QA Log'!D:D,A184,'QA Log'!M:M,"QQC",'QA Log'!Z:Z,"Rejected",'QA Log'!L:L,"*2. Hygiene and Sterilization*"),
COUNTIFS('QA Log'!D:D,A184,'QA Log'!M:M,"QQC",'QA Log'!Z:Z,"Rejected",'QA Log'!L:L,"*4. Family Planning*")
))</f>
        <v/>
      </c>
      <c r="AC184" s="102" t="str">
        <f t="shared" si="3"/>
        <v/>
      </c>
      <c r="AD184" s="103" t="str">
        <f t="shared" si="4"/>
        <v/>
      </c>
      <c r="AE184" s="102" t="str">
        <f>IF(A184="","",
SUM(
COUNTIFS('QA Log'!D:D,A184,'QA Log'!M:M,"Data Verification",'QA Log'!L:L,"*Medicine (section 2)*"),
COUNTIFS('QA Log'!D:D,A184,'QA Log'!M:M,"Data Verification",'QA Log'!L:L,"*Lab Testing Availability*"),
COUNTIFS('QA Log'!D:D,A184,'QA Log'!M:M,"Data Verification",'QA Log'!L:L,"*Other than P4P (section 6)*"),
COUNTIFS('QA Log'!D:D,A184,'QA Log'!M:M,"Data Verification",'QA Log'!L:L,"*Hospital Governance*")
))</f>
        <v/>
      </c>
      <c r="AF184" s="102" t="str">
        <f>IF(A184="","",
SUM(
COUNTIFS('QA Log'!D:D,A184,'QA Log'!M:M,"Data Verification",'QA Log'!Z:Z,"Approved",'QA Log'!L:L,"*Medicine (section 2)*"),
COUNTIFS('QA Log'!D:D,A184,'QA Log'!M:M,"Data Verification",'QA Log'!Z:Z,"Approved",'QA Log'!L:L,"*Lab Testing Availability*"),
COUNTIFS('QA Log'!D:D,A184,'QA Log'!M:M,"Data Verification",'QA Log'!Z:Z,"Approved",'QA Log'!L:L,"*Other than P4P (section 6)*"),
COUNTIFS('QA Log'!D:D,A184,'QA Log'!M:M,"Data Verification",'QA Log'!Z:Z,"Approved",'QA Log'!L:L,"*Hospital Governance*")
))</f>
        <v/>
      </c>
      <c r="AG184" s="105" t="str">
        <f>IF(A184&lt;&gt;"",COUNTIFS('QA Log'!D:D,A184,'QA Log'!M:M,"Data Verification",'QA Log'!L:L,"Medicine (section 2)",'QA Log'!Z:Z,"Approved"),"")</f>
        <v/>
      </c>
      <c r="AH184" s="105" t="str">
        <f>IF(A184&lt;&gt;"",COUNTIFS('QA Log'!D:D,A184,'QA Log'!M:M,"Data Verification",'QA Log'!L:L,"Lab Testing Availability",'QA Log'!Z:Z,"Approved"),"")</f>
        <v/>
      </c>
      <c r="AI184" s="105" t="str">
        <f>IF(A184&lt;&gt;"",COUNTIFS('QA Log'!D:D,A184,'QA Log'!M:M,"Data Verification",'QA Log'!L:L,"Other than P4P (section 6)",'QA Log'!Z:Z,"Approved"),"")</f>
        <v/>
      </c>
      <c r="AJ184" s="105" t="str">
        <f>IF(A184&lt;&gt;"",COUNTIFS('QA Log'!D:D,A184,'QA Log'!M:M,"Data Verification",'QA Log'!L:L,"Hospital Governance",'QA Log'!Z:Z,"Approved"),"")</f>
        <v/>
      </c>
      <c r="AK184" s="102" t="str">
        <f>IF(A184="","",
SUM(
COUNTIFS('QA Log'!D:D,A184,'QA Log'!M:M,"Data Verification",'QA Log'!Z:Z,"Rejected",'QA Log'!L:L,"*Medicine (section 2)*"),
COUNTIFS('QA Log'!D:D,A184,'QA Log'!M:M,"Data Verification",'QA Log'!Z:Z,"Rejected",'QA Log'!L:L,"*Lab Testing Availability*"),
COUNTIFS('QA Log'!D:D,A184,'QA Log'!M:M,"Data Verification",'QA Log'!Z:Z,"Rejected",'QA Log'!L:L,"*Other than P4P (section 6)*"),
COUNTIFS('QA Log'!D:D,A184,'QA Log'!M:M,"Data Verification",'QA Log'!Z:Z,"Rejected",'QA Log'!L:L,"*Hospital Governance*")
))</f>
        <v/>
      </c>
      <c r="AL184" s="106" t="str">
        <f t="shared" si="5"/>
        <v/>
      </c>
      <c r="AM184" s="102" t="str">
        <f t="shared" si="6"/>
        <v/>
      </c>
      <c r="AN184" s="102" t="str">
        <f>IF(A184="","",
SUM(
COUNTIFS('QA Log'!D:D,A184,'QA Log'!M:M,"Data Verification",'QA Log'!L:L,"*Personnel (section 1)*"),
COUNTIFS('QA Log'!D:D,A184,'QA Log'!M:M,"Data Verification",'QA Log'!L:L,"*Consumable (section 3)*"),
COUNTIFS('QA Log'!D:D,A184,'QA Log'!M:M,"Data Verification",'QA Log'!L:L,"*Equipments (section 4)*")
))</f>
        <v/>
      </c>
      <c r="AO184" s="102" t="str">
        <f>IF(A184="","",
SUM(
COUNTIFS('QA Log'!D:D,A184,'QA Log'!M:M,"Data Verification",'QA Log'!Z:Z,"Approved",'QA Log'!L:L,"*Personnel (section 1)*"),
COUNTIFS('QA Log'!D:D,A184,'QA Log'!M:M,"Data Verification",'QA Log'!Z:Z,"Approved",'QA Log'!L:L,"*Consumable (section 3)*"),
COUNTIFS('QA Log'!D:D,A184,'QA Log'!M:M,"Data Verification",'QA Log'!Z:Z,"Approved",'QA Log'!L:L,"*Equipments (section 4)*")
))</f>
        <v/>
      </c>
      <c r="AP184" s="105" t="str">
        <f>IF(A184&lt;&gt;"",COUNTIFS('QA Log'!D:D,A184,'QA Log'!M:M,"Data Verification",'QA Log'!L:L,"Personnel (section 1)",'QA Log'!Z:Z,"Approved"),"")</f>
        <v/>
      </c>
      <c r="AQ184" s="105" t="str">
        <f>IF(A184&lt;&gt;"",COUNTIFS('QA Log'!D:D,A184,'QA Log'!M:M,"Data Verification",'QA Log'!L:L,"Consumable (section 3)",'QA Log'!Z:Z,"Approved"),"")</f>
        <v/>
      </c>
      <c r="AR184" s="105" t="str">
        <f>IF(A184&lt;&gt;"",COUNTIFS('QA Log'!D:D,A184,'QA Log'!M:M,"Data Verification",'QA Log'!L:L,"Equipments (section 4)",'QA Log'!Z:Z,"Approved"),"")</f>
        <v/>
      </c>
      <c r="AS184" s="102" t="str">
        <f>IF(A184="","",
SUM(
COUNTIFS('QA Log'!D:D,A184,'QA Log'!M:M,"Data Verification",'QA Log'!Z:Z,"Rejected",'QA Log'!L:L,"*Personnel (section 1)*"),
COUNTIFS('QA Log'!D:D,A184,'QA Log'!M:M,"Data Verification",'QA Log'!Z:Z,"Rejected",'QA Log'!L:L,"*Consumable (section 3)*"),
COUNTIFS('QA Log'!D:D,A184,'QA Log'!M:M,"Data Verification",'QA Log'!Z:Z,"Rejected",'QA Log'!L:L,"*Equipments (section 4)*")
))</f>
        <v/>
      </c>
      <c r="AT184" s="102" t="str">
        <f t="shared" si="7"/>
        <v/>
      </c>
      <c r="AU184" s="103" t="str">
        <f t="shared" si="8"/>
        <v/>
      </c>
      <c r="AV184" s="102" t="str">
        <f>IF(A184="","",SUM(
COUNTIFS('QA Log'!D:D,A184,'QA Log'!M:M,"Vignette",'QA Log'!L:L,"*Vignette [1] Respiratory Infection: Pneumonia*"),
COUNTIFS('QA Log'!D:D,A184,'QA Log'!M:M,"Vignette",'QA Log'!L:L,"*Vignette [2]: Diarrhea with Cat B dehydration*"),
COUNTIFS('QA Log'!D:D,A184,'QA Log'!M:M,"Vignette",'QA Log'!L:L,"*Vignette [3] Growth Monitoring and Promotion*"),
COUNTIFS('QA Log'!D:D,A184,'QA Log'!M:M,"Vignette",'QA Log'!L:L,"*Vignette [4]: The management of presumptive TB patient*")
)
)</f>
        <v/>
      </c>
      <c r="AW184" s="102" t="str">
        <f>IF(
  A184="","",
  SUM(
    COUNTIFS('QA Log'!D:D,A184,'QA Log'!M:M,"Vignette",'QA Log'!Z:Z,"Approved",'QA Log'!L:L,"*Vignette [1] Respiratory Infection: Pneumonia*"),
    COUNTIFS('QA Log'!D:D,A184,'QA Log'!M:M,"Vignette",'QA Log'!Z:Z,"Approved",'QA Log'!L:L,"*Vignette [2]: Diarrhea with Cat B dehydration*"),
    COUNTIFS('QA Log'!D:D,A184,'QA Log'!M:M,"Vignette",'QA Log'!Z:Z,"Approved",'QA Log'!L:L,"*Vignette [3] Growth Monitoring and Promotion*"),
    COUNTIFS('QA Log'!D:D,A184,'QA Log'!M:M,"Vignette",'QA Log'!Z:Z,"Approved",'QA Log'!L:L,"*Vignette [4]: The management of presumptive TB patient*")
  )
)</f>
        <v/>
      </c>
      <c r="AX184" s="105" t="str">
        <f>IF(A184&lt;&gt;"",COUNTIFS('QA Log'!D:D,A184,'QA Log'!M:M,"Vignette",'QA Log'!L:L,"Vignette [1] Respiratory Infection: Pneumonia",'QA Log'!Z:Z,"Approved"),"")</f>
        <v/>
      </c>
      <c r="AY184" s="105" t="str">
        <f>IF(A184&lt;&gt;"",COUNTIFS('QA Log'!D:D,A184,'QA Log'!M:M,"Vignette",'QA Log'!L:L,"Vignette [2]: Diarrhea with Cat B dehydration",'QA Log'!Z:Z,"Approved"),"")</f>
        <v/>
      </c>
      <c r="AZ184" s="105" t="str">
        <f>IF(A184&lt;&gt;"",COUNTIFS('QA Log'!D:D,A184,'QA Log'!M:M,"Vignette",'QA Log'!L:L,"Vignette [3] Growth Monitoring and Promotion",'QA Log'!Z:Z,"Approved"),"")</f>
        <v/>
      </c>
      <c r="BA184" s="105" t="str">
        <f>IF(A184&lt;&gt;"",COUNTIFS('QA Log'!D:D,A184,'QA Log'!M:M,"Vignette",'QA Log'!L:L,"Vignette [4]: The management of presumptive TB patient",'QA Log'!Z:Z,"Approved"),"")</f>
        <v/>
      </c>
      <c r="BB184" s="102" t="str">
        <f>IF(A184="","",
  SUM(
    COUNTIFS('QA Log'!D:D,A184,'QA Log'!M:M,"Vignette",'QA Log'!Z:Z,"Rejected",'QA Log'!L:L,"*Vignette [1] Respiratory Infection: Pneumonia*"),
    COUNTIFS('QA Log'!D:D,A184,'QA Log'!M:M,"Vignette",'QA Log'!Z:Z,"Rejected",'QA Log'!L:L,"*Vignette [2]: Diarrhea with Cat B dehydration*"),
    COUNTIFS('QA Log'!D:D,A184,'QA Log'!M:M,"Vignette",'QA Log'!Z:Z,"Rejected",'QA Log'!L:L,"*Vignette [3] Growth Monitoring and Promotion*"),
    COUNTIFS('QA Log'!D:D,A184,'QA Log'!M:M,"Vignette",'QA Log'!Z:Z,"Rejected",'QA Log'!L:L,"*Vignette [4]: The management of presumptive TB patient*")
  )
)</f>
        <v/>
      </c>
      <c r="BC184" s="107" t="str">
        <f t="shared" si="9"/>
        <v/>
      </c>
      <c r="BD184" s="103" t="str">
        <f t="shared" si="10"/>
        <v/>
      </c>
      <c r="BE184" s="102" t="str">
        <f>IF(A184="","",SUM(
COUNTIFS('QA Log'!D:D,A184,'QA Log'!M:M,"Vignette",'QA Log'!L:L,"*Vignette [5] Labor*"),
COUNTIFS('QA Log'!D:D,A184,'QA Log'!M:M,"Vignette",'QA Log'!L:L,"*Vignette [6] PNC pre Discharge*"),
COUNTIFS('QA Log'!D:D,A184,'QA Log'!M:M,"Vignette",'QA Log'!L:L,"*Vignette [7] First ANC Visit*"),
COUNTIFS('QA Log'!D:D,A184,'QA Log'!M:M,"Vignette",'QA Log'!L:L,"*Vignette [8] Birth Spacing/ Family Planning :  FP Counselling*"),
COUNTIFS('QA Log'!D:D,A184,'QA Log'!M:M,"Vignette",'QA Log'!L:L,"*Vignette [9] Birth Spacing: Change FP method to Injectable*"),
COUNTIFS('QA Log'!D:D,A184,'QA Log'!M:M,"Vignette",'QA Log'!L:L,"*Vignette [10] Post Partum Haemorrhage - Atonic Uterus at Health Centre*"),
)
)</f>
        <v/>
      </c>
      <c r="BF184" s="102" t="str">
        <f>IF(A184="","",
  SUM(
    COUNTIFS('QA Log'!D:D,A184,'QA Log'!M:M,"Vignette",'QA Log'!Z:Z,"Approved",'QA Log'!L:L,"*Vignette [5] Labor*"),
    COUNTIFS('QA Log'!D:D,A184,'QA Log'!M:M,"Vignette",'QA Log'!Z:Z,"Approved",'QA Log'!L:L,"*Vignette [6] PNC pre Discharge*"),
    COUNTIFS('QA Log'!D:D,A184,'QA Log'!M:M,"Vignette",'QA Log'!Z:Z,"Approved",'QA Log'!L:L,"*Vignette [7] First ANC Visit*"),
    COUNTIFS('QA Log'!D:D,A184,'QA Log'!M:M,"Vignette",'QA Log'!Z:Z,"Approved",'QA Log'!L:L,"*Vignette [8] Birth Spacing/ Family Planning :  FP Counselling*"),
    COUNTIFS('QA Log'!D:D,A184,'QA Log'!M:M,"Vignette",'QA Log'!Z:Z,"Approved",'QA Log'!L:L,"*Vignette [9] Birth Spacing: Change FP method to Injectable*"),
    COUNTIFS('QA Log'!D:D,A184,'QA Log'!M:M,"Vignette",'QA Log'!Z:Z,"Approved",'QA Log'!L:L,"*Vignette [10] Post Partum Haemorrhage - Atonic Uterus at Health Centre*")
  )
)</f>
        <v/>
      </c>
      <c r="BG184" s="105" t="str">
        <f>IF(A184&lt;&gt;"",COUNTIFS('QA Log'!D:D,A184,'QA Log'!M:M,"Vignette",'QA Log'!L:L,"Vignette [5] Labor",'QA Log'!Z:Z,"Approved"),"")</f>
        <v/>
      </c>
      <c r="BH184" s="105" t="str">
        <f>IF(A184&lt;&gt;"",COUNTIFS('QA Log'!D:D,A184,'QA Log'!M:M,"Vignette",'QA Log'!L:L,"Vignette [6] PNC pre Discharge",'QA Log'!Z:Z,"Approved"),"")</f>
        <v/>
      </c>
      <c r="BI184" s="105" t="str">
        <f>IF(A184&lt;&gt;"",COUNTIFS('QA Log'!D:D,A184,'QA Log'!M:M,"Vignette",'QA Log'!L:L,"Vignette [7] First ANC Visit",'QA Log'!Z:Z,"Approved"),"")</f>
        <v/>
      </c>
      <c r="BJ184" s="105" t="str">
        <f>IF(A184&lt;&gt;"",COUNTIFS('QA Log'!D:D,A184,'QA Log'!M:M,"Vignette",'QA Log'!L:L,"Vignette [8] Birth Spacing/ Family Planning :  FP Counselling",'QA Log'!Z:Z,"Approved"),"")</f>
        <v/>
      </c>
      <c r="BK184" s="105" t="str">
        <f>IF(A184&lt;&gt;"",COUNTIFS('QA Log'!D:D,A184,'QA Log'!M:M,"Vignette",'QA Log'!L:L,"Vignette [9] Birth Spacing: Change FP method to Injectable",'QA Log'!Z:Z,"Approved"),"")</f>
        <v/>
      </c>
      <c r="BL184" s="105" t="str">
        <f>IF(A184&lt;&gt;"",COUNTIFS('QA Log'!D:D,A184,'QA Log'!M:M,"Vignette",'QA Log'!L:L,"Vignette [10] Post Partum Haemorrhage - Atonic Uterus at Health Centre",'QA Log'!Z:Z,"Approved"),"")</f>
        <v/>
      </c>
      <c r="BM184" s="102" t="str">
        <f>IF(A184="","",SUM(
    COUNTIFS('QA Log'!D:D,A184,'QA Log'!M:M,"Vignette",'QA Log'!Z:Z,"Rejected",'QA Log'!L:L,"*Vignette [5] Labor*"),
    COUNTIFS('QA Log'!D:D,A184,'QA Log'!M:M,"Vignette",'QA Log'!Z:Z,"Rejected",'QA Log'!L:L,"*Vignette [6] PNC pre Discharge*"),
    COUNTIFS('QA Log'!D:D,A184,'QA Log'!M:M,"Vignette",'QA Log'!Z:Z,"Rejected",'QA Log'!L:L,"*Vignette [7] First ANC Visit*"),
    COUNTIFS('QA Log'!D:D,A184,'QA Log'!M:M,"Vignette",'QA Log'!Z:Z,"Rejected",'QA Log'!L:L,"*Vignette [8] Birth Spacing/ Family Planning :  FP Counselling*"),
    COUNTIFS('QA Log'!D:D,A184,'QA Log'!M:M,"Vignette",'QA Log'!Z:Z,"Rejected",'QA Log'!L:L,"*Vignette [9] Birth Spacing: Change FP method to Injectable*"),
    COUNTIFS('QA Log'!D:D,A184,'QA Log'!M:M,"Vignette",'QA Log'!Z:Z,"Rejected",'QA Log'!L:L,"*Vignette [10] Post Partum Haemorrhage - Atonic Uterus at Health Centre*")
  )
)</f>
        <v/>
      </c>
      <c r="BN184" s="107" t="str">
        <f t="shared" si="11"/>
        <v/>
      </c>
      <c r="BO184" s="103" t="str">
        <f t="shared" si="12"/>
        <v/>
      </c>
      <c r="BP184" s="102" t="str">
        <f>IF(A184="","",SUM(
COUNTIFS('QA Log'!D:D,A184,'QA Log'!M:M,"Vignette",'QA Log'!L:L,"*Exit Interview 1*"),
COUNTIFS('QA Log'!D:D,A184,'QA Log'!M:M,"Vignette",'QA Log'!L:L,"*Exit Interview 2*"),
)
)</f>
        <v/>
      </c>
      <c r="BQ184" s="102" t="str">
        <f>IF(
  A184="","",
  SUM(
    COUNTIFS('QA Log'!D:D,A184,'QA Log'!M:M,"Vignette",'QA Log'!Z:Z,"Approved",'QA Log'!L:L,"*Exit Interview 1*"),
    COUNTIFS('QA Log'!D:D,A184,'QA Log'!M:M,"Vignette",'QA Log'!Z:Z,"Approved",'QA Log'!L:L,"*Exit Interview 2*")
  )
)</f>
        <v/>
      </c>
      <c r="BR184" s="105" t="str">
        <f>IF(A184&lt;&gt;"",COUNTIFS('QA Log'!D:D,A184,'QA Log'!M:M,"Vignette",'QA Log'!L:L,"Exit Interview 1",'QA Log'!Z:Z,"Approved"),"")</f>
        <v/>
      </c>
      <c r="BS184" s="105" t="str">
        <f>IF(A184&lt;&gt;"",COUNTIFS('QA Log'!D:D,A184,'QA Log'!M:M,"Vignette",'QA Log'!L:L,"Exit Interview 2",'QA Log'!Z:Z,"Approved"),"")</f>
        <v/>
      </c>
      <c r="BT184" s="102" t="str">
        <f>IF(
  A184="","",
  SUM(
    COUNTIFS('QA Log'!D:D,A184,'QA Log'!M:M,"Vignette",'QA Log'!Z:Z,"Rejected",'QA Log'!L:L,"*Exit Interview 1*"),
    COUNTIFS('QA Log'!D:D,A184,'QA Log'!M:M,"Vignette",'QA Log'!Z:Z,"Rejected",'QA Log'!L:L,"*Exit Interview 2*")
  )
)</f>
        <v/>
      </c>
      <c r="BU184" s="107" t="str">
        <f t="shared" si="13"/>
        <v/>
      </c>
      <c r="BV184" s="102" t="str">
        <f t="shared" si="14"/>
        <v/>
      </c>
      <c r="BW184" s="102" t="str">
        <f t="shared" si="15"/>
        <v/>
      </c>
      <c r="BX184" s="102" t="str">
        <f t="shared" si="16"/>
        <v/>
      </c>
      <c r="BY184" s="102" t="str">
        <f t="shared" si="17"/>
        <v/>
      </c>
      <c r="BZ184" s="107" t="str">
        <f t="shared" si="18"/>
        <v/>
      </c>
      <c r="CA184" s="108" t="str">
        <f t="shared" si="19"/>
        <v/>
      </c>
      <c r="CB184" s="108" t="str">
        <f t="shared" si="20"/>
        <v/>
      </c>
      <c r="CC184" s="109" t="str">
        <f t="shared" si="21"/>
        <v/>
      </c>
      <c r="CD184" s="108" t="str">
        <f t="shared" si="22"/>
        <v/>
      </c>
      <c r="CE184" s="108" t="str">
        <f t="shared" si="23"/>
        <v/>
      </c>
      <c r="CF184" s="109" t="str">
        <f t="shared" si="24"/>
        <v/>
      </c>
      <c r="CG184" s="110" t="str">
        <f t="shared" si="25"/>
        <v/>
      </c>
      <c r="CH184" s="111"/>
    </row>
    <row r="185" spans="1:86" ht="12.75">
      <c r="A185" s="101"/>
      <c r="B185" s="102" t="e">
        <f t="array" aca="1" ref="B185" ca="1">_xludf.XLOOKUP(A185,'QA Log'!D:D,'QA Log'!E:E,"")</f>
        <v>#NAME?</v>
      </c>
      <c r="C185" s="102" t="e">
        <f t="array" aca="1" ref="C185" ca="1">_xludf.XLOOKUP(A185,'QA Log'!D:D,'QA Log'!F:F,"")</f>
        <v>#NAME?</v>
      </c>
      <c r="D185" s="102" t="e">
        <f t="array" aca="1" ref="D185" ca="1">_xludf.XLOOKUP(A185,'QA Log'!D:D,'QA Log'!H:H,"")</f>
        <v>#NAME?</v>
      </c>
      <c r="E185" s="102" t="e">
        <f t="array" aca="1" ref="E185" ca="1">_xludf.XLOOKUP(A185,'QA Log'!D:D,'QA Log'!G:G,"")</f>
        <v>#NAME?</v>
      </c>
      <c r="F185" s="103"/>
      <c r="G185" s="104"/>
      <c r="H185" s="104"/>
      <c r="I185" s="103" t="str">
        <f t="shared" si="0"/>
        <v/>
      </c>
      <c r="J185" s="102" t="str">
        <f>IF(A185="","",SUM(
COUNTIFS('QA Log'!D:D,A185,'QA Log'!M:M,"QQC",'QA Log'!L:L,"*1. General Management*"),
COUNTIFS('QA Log'!D:D,A185,'QA Log'!M:M,"QQC",'QA Log'!L:L,"*3. Curative Consultation (OPD)*"),
COUNTIFS('QA Log'!D:D,A185,'QA Log'!M:M,"QQC",'QA Log'!L:L,"*5. Laboratory*"),
COUNTIFS('QA Log'!D:D,A185,'QA Log'!M:M,"QQC",'QA Log'!L:L,"*6. Essential Medicine Management*"),
COUNTIFS('QA Log'!D:D,A185,'QA Log'!M:M,"QQC",'QA Log'!L:L,"*7. Tracer Medicine*"),
COUNTIFS('QA Log'!D:D,A185,'QA Log'!M:M,"QQC",'QA Log'!L:L,"*11. Additional Questions*")))</f>
        <v/>
      </c>
      <c r="K185" s="102" t="str">
        <f>IF(A185="","",SUM(
COUNTIFS('QA Log'!D:D,A185,'QA Log'!M:M,"QQC",'QA Log'!Z:Z,"Approved",'QA Log'!L:L,"*1. General Management*"),
COUNTIFS('QA Log'!D:D,A185,'QA Log'!M:M,"QQC",'QA Log'!Z:Z,"Approved",'QA Log'!L:L,"*3. Curative Consultation (OPD)*"),
COUNTIFS('QA Log'!D:D,A185,'QA Log'!M:M,"QQC",'QA Log'!Z:Z,"Approved",'QA Log'!L:L,"*5. Laboratory*"),
COUNTIFS('QA Log'!D:D,A185,'QA Log'!M:M,"QQC",'QA Log'!Z:Z,"Approved",'QA Log'!L:L,"*6. Essential Medicine Management*"),
COUNTIFS('QA Log'!D:D,A185,'QA Log'!M:M,"QQC",'QA Log'!Z:Z,"Approved",'QA Log'!L:L,"*7. Tracer Medicine*"),
COUNTIFS('QA Log'!D:D,A185,'QA Log'!M:M,"QQC",'QA Log'!Z:Z,"Approved",'QA Log'!L:L,"*11. Additional Questions*")))</f>
        <v/>
      </c>
      <c r="L185" s="105" t="str">
        <f>IF(A185&lt;&gt;"",COUNTIFS('QA Log'!D:D,A185,'QA Log'!M:M,"QQC",'QA Log'!L:L,"1. General Management",'QA Log'!Z:Z,"Approved"),"")</f>
        <v/>
      </c>
      <c r="M185" s="105" t="str">
        <f>IF(A185&lt;&gt;"",COUNTIFS('QA Log'!D:D,A185,'QA Log'!M:M,"QQC",'QA Log'!L:L,"3. Curative Consultation (OPD)",'QA Log'!Z:Z,"Approved"),"")</f>
        <v/>
      </c>
      <c r="N185" s="105" t="str">
        <f>IF(A185&lt;&gt;"",COUNTIFS('QA Log'!D:D,A185,'QA Log'!M:M,"QQC",'QA Log'!L:L,"5. Laboratory",'QA Log'!Z:Z,"Approved"),"")</f>
        <v/>
      </c>
      <c r="O185" s="105" t="str">
        <f>IF(A185&lt;&gt;"",COUNTIFS('QA Log'!D:D,A185,'QA Log'!M:M,"QQC",'QA Log'!L:L,"6. Essential Medicine Management",'QA Log'!Z:Z,"Approved"),"")</f>
        <v/>
      </c>
      <c r="P185" s="105" t="str">
        <f>IF(A185&lt;&gt;"",COUNTIFS('QA Log'!D:D,A185,'QA Log'!M:M,"QQC",'QA Log'!L:L,"7. Tracer Medicine",'QA Log'!Z:Z,"Approved"),"")</f>
        <v/>
      </c>
      <c r="Q185" s="105" t="str">
        <f>IF(A185&lt;&gt;"",COUNTIFS('QA Log'!D:D,A185,'QA Log'!M:M,"QQC",'QA Log'!L:L,"11. Additional Questions",'QA Log'!Z:Z,"Approved"),"")</f>
        <v/>
      </c>
      <c r="R185" s="102" t="str">
        <f>IF(A185="","",SUM(
COUNTIFS('QA Log'!D:D,A185,'QA Log'!M:M,"QQC",'QA Log'!Z:Z,"Rejected",'QA Log'!L:L,"*8. Maternity*"),
COUNTIFS('QA Log'!D:D,A185,'QA Log'!M:M,"QQC",'QA Log'!Z:Z,"Rejected",'QA Log'!L:L,"*EPI*"),
COUNTIFS('QA Log'!D:D,A185,'QA Log'!M:M,"QQC",'QA Log'!Z:Z,"Rejected",'QA Log'!L:L,"*10. Antenatal Care (ANC)*"),
COUNTIFS('QA Log'!D:D,A185,'QA Log'!M:M,"QQC",'QA Log'!Z:Z,"Rejected",'QA Log'!L:L,"*2. Hygiene and Sterilization*"),
COUNTIFS('QA Log'!D:D,A185,'QA Log'!M:M,"QQC",'QA Log'!Z:Z,"Rejected",'QA Log'!L:L,"*Family Planning*")))</f>
        <v/>
      </c>
      <c r="S185" s="106" t="str">
        <f t="shared" si="1"/>
        <v/>
      </c>
      <c r="T185" s="102" t="str">
        <f t="shared" si="2"/>
        <v/>
      </c>
      <c r="U185" s="102" t="str">
        <f>IF(A185="","",
SUM(
COUNTIFS('QA Log'!D:D,A185,'QA Log'!M:M,"QQC",'QA Log'!L:L,"*8. Maternity*"),
COUNTIFS('QA Log'!D:D,A185,'QA Log'!M:M,"QQC",'QA Log'!L:L,"*9. EPI and Pre-school Consultation*"),
COUNTIFS('QA Log'!D:D,A185,'QA Log'!M:M,"QQC",'QA Log'!L:L,"*10. Antenatal Care (ANC)*"),
COUNTIFS('QA Log'!D:D,A185,'QA Log'!M:M,"QQC",'QA Log'!L:L,"*2. Hygiene and Sterilization*"),
COUNTIFS('QA Log'!D:D,A185,'QA Log'!M:M,"QQC",'QA Log'!L:L,"*4. Family Planning*")
))</f>
        <v/>
      </c>
      <c r="V185" s="102" t="str">
        <f>IF(A185="","",
SUM(
COUNTIFS('QA Log'!D:D,A185,'QA Log'!M:M,"QQC",'QA Log'!Z:Z,"Approved",'QA Log'!L:L,"*8. Maternity*"),
COUNTIFS('QA Log'!D:D,A185,'QA Log'!M:M,"QQC",'QA Log'!Z:Z,"Approved",'QA Log'!L:L,"*9. EPI and Pre-school Consultation*"),
COUNTIFS('QA Log'!D:D,A185,'QA Log'!M:M,"QQC",'QA Log'!Z:Z,"Approved",'QA Log'!L:L,"*10. Antenatal Care (ANC)*"),
COUNTIFS('QA Log'!D:D,A185,'QA Log'!M:M,"QQC",'QA Log'!Z:Z,"Approved",'QA Log'!L:L,"*2. Hygiene and Sterilization*"),
COUNTIFS('QA Log'!D:D,A185,'QA Log'!M:M,"QQC",'QA Log'!Z:Z,"Approved",'QA Log'!L:L,"*4. Family Planning*")
))</f>
        <v/>
      </c>
      <c r="W185" s="105" t="str">
        <f>IF(A185&lt;&gt;"",COUNTIFS('QA Log'!D:D,A185,'QA Log'!M:M,"QQC",'QA Log'!L:L,"8. Maternity",'QA Log'!Z:Z,"Approved"),"")</f>
        <v/>
      </c>
      <c r="X185" s="105" t="str">
        <f>IF(A185&lt;&gt;"",COUNTIFS('QA Log'!D:D,A185,'QA Log'!M:M,"QQC",'QA Log'!L:L,"9. EPI and Pre-school Consultation",'QA Log'!Z:Z,"Approved"),"")</f>
        <v/>
      </c>
      <c r="Y185" s="105" t="str">
        <f>IF(A185&lt;&gt;"",COUNTIFS('QA Log'!D:D,A185,'QA Log'!M:M,"QQC",'QA Log'!L:L,"10. Antenatal Care (ANC)",'QA Log'!Z:Z,"Approved"),"")</f>
        <v/>
      </c>
      <c r="Z185" s="105" t="str">
        <f>IF(A185&lt;&gt;"",COUNTIFS('QA Log'!D:D,A185,'QA Log'!M:M,"QQC",'QA Log'!L:L,"2. Hygiene and Sterilization",'QA Log'!Z:Z,"Approved"),"")</f>
        <v/>
      </c>
      <c r="AA185" s="105" t="str">
        <f>IF(A185&lt;&gt;"",COUNTIFS('QA Log'!D:D,A185,'QA Log'!M:M,"QQC",'QA Log'!L:L,"4. Family Planning",'QA Log'!Z:Z,"Approved"),"")</f>
        <v/>
      </c>
      <c r="AB185" s="102" t="str">
        <f>IF(A185="","",
SUM(
COUNTIFS('QA Log'!D:D,A185,'QA Log'!M:M,"QQC",'QA Log'!Z:Z,"Rejected",'QA Log'!L:L,"*8. Maternity*"),
COUNTIFS('QA Log'!D:D,A185,'QA Log'!M:M,"QQC",'QA Log'!Z:Z,"Rejected",'QA Log'!L:L,"*9. EPI and Pre-school Consultation*"),
COUNTIFS('QA Log'!D:D,A185,'QA Log'!M:M,"QQC",'QA Log'!Z:Z,"Rejected",'QA Log'!L:L,"*10. Antenatal Care (ANC)*"),
COUNTIFS('QA Log'!D:D,A185,'QA Log'!M:M,"QQC",'QA Log'!Z:Z,"Rejected",'QA Log'!L:L,"*2. Hygiene and Sterilization*"),
COUNTIFS('QA Log'!D:D,A185,'QA Log'!M:M,"QQC",'QA Log'!Z:Z,"Rejected",'QA Log'!L:L,"*4. Family Planning*")
))</f>
        <v/>
      </c>
      <c r="AC185" s="102" t="str">
        <f t="shared" si="3"/>
        <v/>
      </c>
      <c r="AD185" s="103" t="str">
        <f t="shared" si="4"/>
        <v/>
      </c>
      <c r="AE185" s="102" t="str">
        <f>IF(A185="","",
SUM(
COUNTIFS('QA Log'!D:D,A185,'QA Log'!M:M,"Data Verification",'QA Log'!L:L,"*Medicine (section 2)*"),
COUNTIFS('QA Log'!D:D,A185,'QA Log'!M:M,"Data Verification",'QA Log'!L:L,"*Lab Testing Availability*"),
COUNTIFS('QA Log'!D:D,A185,'QA Log'!M:M,"Data Verification",'QA Log'!L:L,"*Other than P4P (section 6)*"),
COUNTIFS('QA Log'!D:D,A185,'QA Log'!M:M,"Data Verification",'QA Log'!L:L,"*Hospital Governance*")
))</f>
        <v/>
      </c>
      <c r="AF185" s="102" t="str">
        <f>IF(A185="","",
SUM(
COUNTIFS('QA Log'!D:D,A185,'QA Log'!M:M,"Data Verification",'QA Log'!Z:Z,"Approved",'QA Log'!L:L,"*Medicine (section 2)*"),
COUNTIFS('QA Log'!D:D,A185,'QA Log'!M:M,"Data Verification",'QA Log'!Z:Z,"Approved",'QA Log'!L:L,"*Lab Testing Availability*"),
COUNTIFS('QA Log'!D:D,A185,'QA Log'!M:M,"Data Verification",'QA Log'!Z:Z,"Approved",'QA Log'!L:L,"*Other than P4P (section 6)*"),
COUNTIFS('QA Log'!D:D,A185,'QA Log'!M:M,"Data Verification",'QA Log'!Z:Z,"Approved",'QA Log'!L:L,"*Hospital Governance*")
))</f>
        <v/>
      </c>
      <c r="AG185" s="105" t="str">
        <f>IF(A185&lt;&gt;"",COUNTIFS('QA Log'!D:D,A185,'QA Log'!M:M,"Data Verification",'QA Log'!L:L,"Medicine (section 2)",'QA Log'!Z:Z,"Approved"),"")</f>
        <v/>
      </c>
      <c r="AH185" s="105" t="str">
        <f>IF(A185&lt;&gt;"",COUNTIFS('QA Log'!D:D,A185,'QA Log'!M:M,"Data Verification",'QA Log'!L:L,"Lab Testing Availability",'QA Log'!Z:Z,"Approved"),"")</f>
        <v/>
      </c>
      <c r="AI185" s="105" t="str">
        <f>IF(A185&lt;&gt;"",COUNTIFS('QA Log'!D:D,A185,'QA Log'!M:M,"Data Verification",'QA Log'!L:L,"Other than P4P (section 6)",'QA Log'!Z:Z,"Approved"),"")</f>
        <v/>
      </c>
      <c r="AJ185" s="105" t="str">
        <f>IF(A185&lt;&gt;"",COUNTIFS('QA Log'!D:D,A185,'QA Log'!M:M,"Data Verification",'QA Log'!L:L,"Hospital Governance",'QA Log'!Z:Z,"Approved"),"")</f>
        <v/>
      </c>
      <c r="AK185" s="102" t="str">
        <f>IF(A185="","",
SUM(
COUNTIFS('QA Log'!D:D,A185,'QA Log'!M:M,"Data Verification",'QA Log'!Z:Z,"Rejected",'QA Log'!L:L,"*Medicine (section 2)*"),
COUNTIFS('QA Log'!D:D,A185,'QA Log'!M:M,"Data Verification",'QA Log'!Z:Z,"Rejected",'QA Log'!L:L,"*Lab Testing Availability*"),
COUNTIFS('QA Log'!D:D,A185,'QA Log'!M:M,"Data Verification",'QA Log'!Z:Z,"Rejected",'QA Log'!L:L,"*Other than P4P (section 6)*"),
COUNTIFS('QA Log'!D:D,A185,'QA Log'!M:M,"Data Verification",'QA Log'!Z:Z,"Rejected",'QA Log'!L:L,"*Hospital Governance*")
))</f>
        <v/>
      </c>
      <c r="AL185" s="106" t="str">
        <f t="shared" si="5"/>
        <v/>
      </c>
      <c r="AM185" s="102" t="str">
        <f t="shared" si="6"/>
        <v/>
      </c>
      <c r="AN185" s="102" t="str">
        <f>IF(A185="","",
SUM(
COUNTIFS('QA Log'!D:D,A185,'QA Log'!M:M,"Data Verification",'QA Log'!L:L,"*Personnel (section 1)*"),
COUNTIFS('QA Log'!D:D,A185,'QA Log'!M:M,"Data Verification",'QA Log'!L:L,"*Consumable (section 3)*"),
COUNTIFS('QA Log'!D:D,A185,'QA Log'!M:M,"Data Verification",'QA Log'!L:L,"*Equipments (section 4)*")
))</f>
        <v/>
      </c>
      <c r="AO185" s="102" t="str">
        <f>IF(A185="","",
SUM(
COUNTIFS('QA Log'!D:D,A185,'QA Log'!M:M,"Data Verification",'QA Log'!Z:Z,"Approved",'QA Log'!L:L,"*Personnel (section 1)*"),
COUNTIFS('QA Log'!D:D,A185,'QA Log'!M:M,"Data Verification",'QA Log'!Z:Z,"Approved",'QA Log'!L:L,"*Consumable (section 3)*"),
COUNTIFS('QA Log'!D:D,A185,'QA Log'!M:M,"Data Verification",'QA Log'!Z:Z,"Approved",'QA Log'!L:L,"*Equipments (section 4)*")
))</f>
        <v/>
      </c>
      <c r="AP185" s="105" t="str">
        <f>IF(A185&lt;&gt;"",COUNTIFS('QA Log'!D:D,A185,'QA Log'!M:M,"Data Verification",'QA Log'!L:L,"Personnel (section 1)",'QA Log'!Z:Z,"Approved"),"")</f>
        <v/>
      </c>
      <c r="AQ185" s="105" t="str">
        <f>IF(A185&lt;&gt;"",COUNTIFS('QA Log'!D:D,A185,'QA Log'!M:M,"Data Verification",'QA Log'!L:L,"Consumable (section 3)",'QA Log'!Z:Z,"Approved"),"")</f>
        <v/>
      </c>
      <c r="AR185" s="105" t="str">
        <f>IF(A185&lt;&gt;"",COUNTIFS('QA Log'!D:D,A185,'QA Log'!M:M,"Data Verification",'QA Log'!L:L,"Equipments (section 4)",'QA Log'!Z:Z,"Approved"),"")</f>
        <v/>
      </c>
      <c r="AS185" s="102" t="str">
        <f>IF(A185="","",
SUM(
COUNTIFS('QA Log'!D:D,A185,'QA Log'!M:M,"Data Verification",'QA Log'!Z:Z,"Rejected",'QA Log'!L:L,"*Personnel (section 1)*"),
COUNTIFS('QA Log'!D:D,A185,'QA Log'!M:M,"Data Verification",'QA Log'!Z:Z,"Rejected",'QA Log'!L:L,"*Consumable (section 3)*"),
COUNTIFS('QA Log'!D:D,A185,'QA Log'!M:M,"Data Verification",'QA Log'!Z:Z,"Rejected",'QA Log'!L:L,"*Equipments (section 4)*")
))</f>
        <v/>
      </c>
      <c r="AT185" s="102" t="str">
        <f t="shared" si="7"/>
        <v/>
      </c>
      <c r="AU185" s="103" t="str">
        <f t="shared" si="8"/>
        <v/>
      </c>
      <c r="AV185" s="102" t="str">
        <f>IF(A185="","",SUM(
COUNTIFS('QA Log'!D:D,A185,'QA Log'!M:M,"Vignette",'QA Log'!L:L,"*Vignette [1] Respiratory Infection: Pneumonia*"),
COUNTIFS('QA Log'!D:D,A185,'QA Log'!M:M,"Vignette",'QA Log'!L:L,"*Vignette [2]: Diarrhea with Cat B dehydration*"),
COUNTIFS('QA Log'!D:D,A185,'QA Log'!M:M,"Vignette",'QA Log'!L:L,"*Vignette [3] Growth Monitoring and Promotion*"),
COUNTIFS('QA Log'!D:D,A185,'QA Log'!M:M,"Vignette",'QA Log'!L:L,"*Vignette [4]: The management of presumptive TB patient*")
)
)</f>
        <v/>
      </c>
      <c r="AW185" s="102" t="str">
        <f>IF(
  A185="","",
  SUM(
    COUNTIFS('QA Log'!D:D,A185,'QA Log'!M:M,"Vignette",'QA Log'!Z:Z,"Approved",'QA Log'!L:L,"*Vignette [1] Respiratory Infection: Pneumonia*"),
    COUNTIFS('QA Log'!D:D,A185,'QA Log'!M:M,"Vignette",'QA Log'!Z:Z,"Approved",'QA Log'!L:L,"*Vignette [2]: Diarrhea with Cat B dehydration*"),
    COUNTIFS('QA Log'!D:D,A185,'QA Log'!M:M,"Vignette",'QA Log'!Z:Z,"Approved",'QA Log'!L:L,"*Vignette [3] Growth Monitoring and Promotion*"),
    COUNTIFS('QA Log'!D:D,A185,'QA Log'!M:M,"Vignette",'QA Log'!Z:Z,"Approved",'QA Log'!L:L,"*Vignette [4]: The management of presumptive TB patient*")
  )
)</f>
        <v/>
      </c>
      <c r="AX185" s="105" t="str">
        <f>IF(A185&lt;&gt;"",COUNTIFS('QA Log'!D:D,A185,'QA Log'!M:M,"Vignette",'QA Log'!L:L,"Vignette [1] Respiratory Infection: Pneumonia",'QA Log'!Z:Z,"Approved"),"")</f>
        <v/>
      </c>
      <c r="AY185" s="105" t="str">
        <f>IF(A185&lt;&gt;"",COUNTIFS('QA Log'!D:D,A185,'QA Log'!M:M,"Vignette",'QA Log'!L:L,"Vignette [2]: Diarrhea with Cat B dehydration",'QA Log'!Z:Z,"Approved"),"")</f>
        <v/>
      </c>
      <c r="AZ185" s="105" t="str">
        <f>IF(A185&lt;&gt;"",COUNTIFS('QA Log'!D:D,A185,'QA Log'!M:M,"Vignette",'QA Log'!L:L,"Vignette [3] Growth Monitoring and Promotion",'QA Log'!Z:Z,"Approved"),"")</f>
        <v/>
      </c>
      <c r="BA185" s="105" t="str">
        <f>IF(A185&lt;&gt;"",COUNTIFS('QA Log'!D:D,A185,'QA Log'!M:M,"Vignette",'QA Log'!L:L,"Vignette [4]: The management of presumptive TB patient",'QA Log'!Z:Z,"Approved"),"")</f>
        <v/>
      </c>
      <c r="BB185" s="102" t="str">
        <f>IF(A185="","",
  SUM(
    COUNTIFS('QA Log'!D:D,A185,'QA Log'!M:M,"Vignette",'QA Log'!Z:Z,"Rejected",'QA Log'!L:L,"*Vignette [1] Respiratory Infection: Pneumonia*"),
    COUNTIFS('QA Log'!D:D,A185,'QA Log'!M:M,"Vignette",'QA Log'!Z:Z,"Rejected",'QA Log'!L:L,"*Vignette [2]: Diarrhea with Cat B dehydration*"),
    COUNTIFS('QA Log'!D:D,A185,'QA Log'!M:M,"Vignette",'QA Log'!Z:Z,"Rejected",'QA Log'!L:L,"*Vignette [3] Growth Monitoring and Promotion*"),
    COUNTIFS('QA Log'!D:D,A185,'QA Log'!M:M,"Vignette",'QA Log'!Z:Z,"Rejected",'QA Log'!L:L,"*Vignette [4]: The management of presumptive TB patient*")
  )
)</f>
        <v/>
      </c>
      <c r="BC185" s="107" t="str">
        <f t="shared" si="9"/>
        <v/>
      </c>
      <c r="BD185" s="103" t="str">
        <f t="shared" si="10"/>
        <v/>
      </c>
      <c r="BE185" s="102" t="str">
        <f>IF(A185="","",SUM(
COUNTIFS('QA Log'!D:D,A185,'QA Log'!M:M,"Vignette",'QA Log'!L:L,"*Vignette [5] Labor*"),
COUNTIFS('QA Log'!D:D,A185,'QA Log'!M:M,"Vignette",'QA Log'!L:L,"*Vignette [6] PNC pre Discharge*"),
COUNTIFS('QA Log'!D:D,A185,'QA Log'!M:M,"Vignette",'QA Log'!L:L,"*Vignette [7] First ANC Visit*"),
COUNTIFS('QA Log'!D:D,A185,'QA Log'!M:M,"Vignette",'QA Log'!L:L,"*Vignette [8] Birth Spacing/ Family Planning :  FP Counselling*"),
COUNTIFS('QA Log'!D:D,A185,'QA Log'!M:M,"Vignette",'QA Log'!L:L,"*Vignette [9] Birth Spacing: Change FP method to Injectable*"),
COUNTIFS('QA Log'!D:D,A185,'QA Log'!M:M,"Vignette",'QA Log'!L:L,"*Vignette [10] Post Partum Haemorrhage - Atonic Uterus at Health Centre*"),
)
)</f>
        <v/>
      </c>
      <c r="BF185" s="102" t="str">
        <f>IF(A185="","",
  SUM(
    COUNTIFS('QA Log'!D:D,A185,'QA Log'!M:M,"Vignette",'QA Log'!Z:Z,"Approved",'QA Log'!L:L,"*Vignette [5] Labor*"),
    COUNTIFS('QA Log'!D:D,A185,'QA Log'!M:M,"Vignette",'QA Log'!Z:Z,"Approved",'QA Log'!L:L,"*Vignette [6] PNC pre Discharge*"),
    COUNTIFS('QA Log'!D:D,A185,'QA Log'!M:M,"Vignette",'QA Log'!Z:Z,"Approved",'QA Log'!L:L,"*Vignette [7] First ANC Visit*"),
    COUNTIFS('QA Log'!D:D,A185,'QA Log'!M:M,"Vignette",'QA Log'!Z:Z,"Approved",'QA Log'!L:L,"*Vignette [8] Birth Spacing/ Family Planning :  FP Counselling*"),
    COUNTIFS('QA Log'!D:D,A185,'QA Log'!M:M,"Vignette",'QA Log'!Z:Z,"Approved",'QA Log'!L:L,"*Vignette [9] Birth Spacing: Change FP method to Injectable*"),
    COUNTIFS('QA Log'!D:D,A185,'QA Log'!M:M,"Vignette",'QA Log'!Z:Z,"Approved",'QA Log'!L:L,"*Vignette [10] Post Partum Haemorrhage - Atonic Uterus at Health Centre*")
  )
)</f>
        <v/>
      </c>
      <c r="BG185" s="105" t="str">
        <f>IF(A185&lt;&gt;"",COUNTIFS('QA Log'!D:D,A185,'QA Log'!M:M,"Vignette",'QA Log'!L:L,"Vignette [5] Labor",'QA Log'!Z:Z,"Approved"),"")</f>
        <v/>
      </c>
      <c r="BH185" s="105" t="str">
        <f>IF(A185&lt;&gt;"",COUNTIFS('QA Log'!D:D,A185,'QA Log'!M:M,"Vignette",'QA Log'!L:L,"Vignette [6] PNC pre Discharge",'QA Log'!Z:Z,"Approved"),"")</f>
        <v/>
      </c>
      <c r="BI185" s="105" t="str">
        <f>IF(A185&lt;&gt;"",COUNTIFS('QA Log'!D:D,A185,'QA Log'!M:M,"Vignette",'QA Log'!L:L,"Vignette [7] First ANC Visit",'QA Log'!Z:Z,"Approved"),"")</f>
        <v/>
      </c>
      <c r="BJ185" s="105" t="str">
        <f>IF(A185&lt;&gt;"",COUNTIFS('QA Log'!D:D,A185,'QA Log'!M:M,"Vignette",'QA Log'!L:L,"Vignette [8] Birth Spacing/ Family Planning :  FP Counselling",'QA Log'!Z:Z,"Approved"),"")</f>
        <v/>
      </c>
      <c r="BK185" s="105" t="str">
        <f>IF(A185&lt;&gt;"",COUNTIFS('QA Log'!D:D,A185,'QA Log'!M:M,"Vignette",'QA Log'!L:L,"Vignette [9] Birth Spacing: Change FP method to Injectable",'QA Log'!Z:Z,"Approved"),"")</f>
        <v/>
      </c>
      <c r="BL185" s="105" t="str">
        <f>IF(A185&lt;&gt;"",COUNTIFS('QA Log'!D:D,A185,'QA Log'!M:M,"Vignette",'QA Log'!L:L,"Vignette [10] Post Partum Haemorrhage - Atonic Uterus at Health Centre",'QA Log'!Z:Z,"Approved"),"")</f>
        <v/>
      </c>
      <c r="BM185" s="102" t="str">
        <f>IF(A185="","",SUM(
    COUNTIFS('QA Log'!D:D,A185,'QA Log'!M:M,"Vignette",'QA Log'!Z:Z,"Rejected",'QA Log'!L:L,"*Vignette [5] Labor*"),
    COUNTIFS('QA Log'!D:D,A185,'QA Log'!M:M,"Vignette",'QA Log'!Z:Z,"Rejected",'QA Log'!L:L,"*Vignette [6] PNC pre Discharge*"),
    COUNTIFS('QA Log'!D:D,A185,'QA Log'!M:M,"Vignette",'QA Log'!Z:Z,"Rejected",'QA Log'!L:L,"*Vignette [7] First ANC Visit*"),
    COUNTIFS('QA Log'!D:D,A185,'QA Log'!M:M,"Vignette",'QA Log'!Z:Z,"Rejected",'QA Log'!L:L,"*Vignette [8] Birth Spacing/ Family Planning :  FP Counselling*"),
    COUNTIFS('QA Log'!D:D,A185,'QA Log'!M:M,"Vignette",'QA Log'!Z:Z,"Rejected",'QA Log'!L:L,"*Vignette [9] Birth Spacing: Change FP method to Injectable*"),
    COUNTIFS('QA Log'!D:D,A185,'QA Log'!M:M,"Vignette",'QA Log'!Z:Z,"Rejected",'QA Log'!L:L,"*Vignette [10] Post Partum Haemorrhage - Atonic Uterus at Health Centre*")
  )
)</f>
        <v/>
      </c>
      <c r="BN185" s="107" t="str">
        <f t="shared" si="11"/>
        <v/>
      </c>
      <c r="BO185" s="103" t="str">
        <f t="shared" si="12"/>
        <v/>
      </c>
      <c r="BP185" s="102" t="str">
        <f>IF(A185="","",SUM(
COUNTIFS('QA Log'!D:D,A185,'QA Log'!M:M,"Vignette",'QA Log'!L:L,"*Exit Interview 1*"),
COUNTIFS('QA Log'!D:D,A185,'QA Log'!M:M,"Vignette",'QA Log'!L:L,"*Exit Interview 2*"),
)
)</f>
        <v/>
      </c>
      <c r="BQ185" s="102" t="str">
        <f>IF(
  A185="","",
  SUM(
    COUNTIFS('QA Log'!D:D,A185,'QA Log'!M:M,"Vignette",'QA Log'!Z:Z,"Approved",'QA Log'!L:L,"*Exit Interview 1*"),
    COUNTIFS('QA Log'!D:D,A185,'QA Log'!M:M,"Vignette",'QA Log'!Z:Z,"Approved",'QA Log'!L:L,"*Exit Interview 2*")
  )
)</f>
        <v/>
      </c>
      <c r="BR185" s="105" t="str">
        <f>IF(A185&lt;&gt;"",COUNTIFS('QA Log'!D:D,A185,'QA Log'!M:M,"Vignette",'QA Log'!L:L,"Exit Interview 1",'QA Log'!Z:Z,"Approved"),"")</f>
        <v/>
      </c>
      <c r="BS185" s="105" t="str">
        <f>IF(A185&lt;&gt;"",COUNTIFS('QA Log'!D:D,A185,'QA Log'!M:M,"Vignette",'QA Log'!L:L,"Exit Interview 2",'QA Log'!Z:Z,"Approved"),"")</f>
        <v/>
      </c>
      <c r="BT185" s="102" t="str">
        <f>IF(
  A185="","",
  SUM(
    COUNTIFS('QA Log'!D:D,A185,'QA Log'!M:M,"Vignette",'QA Log'!Z:Z,"Rejected",'QA Log'!L:L,"*Exit Interview 1*"),
    COUNTIFS('QA Log'!D:D,A185,'QA Log'!M:M,"Vignette",'QA Log'!Z:Z,"Rejected",'QA Log'!L:L,"*Exit Interview 2*")
  )
)</f>
        <v/>
      </c>
      <c r="BU185" s="107" t="str">
        <f t="shared" si="13"/>
        <v/>
      </c>
      <c r="BV185" s="102" t="str">
        <f t="shared" si="14"/>
        <v/>
      </c>
      <c r="BW185" s="102" t="str">
        <f t="shared" si="15"/>
        <v/>
      </c>
      <c r="BX185" s="102" t="str">
        <f t="shared" si="16"/>
        <v/>
      </c>
      <c r="BY185" s="102" t="str">
        <f t="shared" si="17"/>
        <v/>
      </c>
      <c r="BZ185" s="107" t="str">
        <f t="shared" si="18"/>
        <v/>
      </c>
      <c r="CA185" s="108" t="str">
        <f t="shared" si="19"/>
        <v/>
      </c>
      <c r="CB185" s="108" t="str">
        <f t="shared" si="20"/>
        <v/>
      </c>
      <c r="CC185" s="109" t="str">
        <f t="shared" si="21"/>
        <v/>
      </c>
      <c r="CD185" s="108" t="str">
        <f t="shared" si="22"/>
        <v/>
      </c>
      <c r="CE185" s="108" t="str">
        <f t="shared" si="23"/>
        <v/>
      </c>
      <c r="CF185" s="109" t="str">
        <f t="shared" si="24"/>
        <v/>
      </c>
      <c r="CG185" s="110" t="str">
        <f t="shared" si="25"/>
        <v/>
      </c>
      <c r="CH185" s="111"/>
    </row>
    <row r="186" spans="1:86" ht="12.75">
      <c r="A186" s="101"/>
      <c r="B186" s="102" t="e">
        <f t="array" aca="1" ref="B186" ca="1">_xludf.XLOOKUP(A186,'QA Log'!D:D,'QA Log'!E:E,"")</f>
        <v>#NAME?</v>
      </c>
      <c r="C186" s="102" t="e">
        <f t="array" aca="1" ref="C186" ca="1">_xludf.XLOOKUP(A186,'QA Log'!D:D,'QA Log'!F:F,"")</f>
        <v>#NAME?</v>
      </c>
      <c r="D186" s="102" t="e">
        <f t="array" aca="1" ref="D186" ca="1">_xludf.XLOOKUP(A186,'QA Log'!D:D,'QA Log'!H:H,"")</f>
        <v>#NAME?</v>
      </c>
      <c r="E186" s="102" t="e">
        <f t="array" aca="1" ref="E186" ca="1">_xludf.XLOOKUP(A186,'QA Log'!D:D,'QA Log'!G:G,"")</f>
        <v>#NAME?</v>
      </c>
      <c r="F186" s="103"/>
      <c r="G186" s="104"/>
      <c r="H186" s="104"/>
      <c r="I186" s="103" t="str">
        <f t="shared" si="0"/>
        <v/>
      </c>
      <c r="J186" s="102" t="str">
        <f>IF(A186="","",SUM(
COUNTIFS('QA Log'!D:D,A186,'QA Log'!M:M,"QQC",'QA Log'!L:L,"*1. General Management*"),
COUNTIFS('QA Log'!D:D,A186,'QA Log'!M:M,"QQC",'QA Log'!L:L,"*3. Curative Consultation (OPD)*"),
COUNTIFS('QA Log'!D:D,A186,'QA Log'!M:M,"QQC",'QA Log'!L:L,"*5. Laboratory*"),
COUNTIFS('QA Log'!D:D,A186,'QA Log'!M:M,"QQC",'QA Log'!L:L,"*6. Essential Medicine Management*"),
COUNTIFS('QA Log'!D:D,A186,'QA Log'!M:M,"QQC",'QA Log'!L:L,"*7. Tracer Medicine*"),
COUNTIFS('QA Log'!D:D,A186,'QA Log'!M:M,"QQC",'QA Log'!L:L,"*11. Additional Questions*")))</f>
        <v/>
      </c>
      <c r="K186" s="102" t="str">
        <f>IF(A186="","",SUM(
COUNTIFS('QA Log'!D:D,A186,'QA Log'!M:M,"QQC",'QA Log'!Z:Z,"Approved",'QA Log'!L:L,"*1. General Management*"),
COUNTIFS('QA Log'!D:D,A186,'QA Log'!M:M,"QQC",'QA Log'!Z:Z,"Approved",'QA Log'!L:L,"*3. Curative Consultation (OPD)*"),
COUNTIFS('QA Log'!D:D,A186,'QA Log'!M:M,"QQC",'QA Log'!Z:Z,"Approved",'QA Log'!L:L,"*5. Laboratory*"),
COUNTIFS('QA Log'!D:D,A186,'QA Log'!M:M,"QQC",'QA Log'!Z:Z,"Approved",'QA Log'!L:L,"*6. Essential Medicine Management*"),
COUNTIFS('QA Log'!D:D,A186,'QA Log'!M:M,"QQC",'QA Log'!Z:Z,"Approved",'QA Log'!L:L,"*7. Tracer Medicine*"),
COUNTIFS('QA Log'!D:D,A186,'QA Log'!M:M,"QQC",'QA Log'!Z:Z,"Approved",'QA Log'!L:L,"*11. Additional Questions*")))</f>
        <v/>
      </c>
      <c r="L186" s="105" t="str">
        <f>IF(A186&lt;&gt;"",COUNTIFS('QA Log'!D:D,A186,'QA Log'!M:M,"QQC",'QA Log'!L:L,"1. General Management",'QA Log'!Z:Z,"Approved"),"")</f>
        <v/>
      </c>
      <c r="M186" s="105" t="str">
        <f>IF(A186&lt;&gt;"",COUNTIFS('QA Log'!D:D,A186,'QA Log'!M:M,"QQC",'QA Log'!L:L,"3. Curative Consultation (OPD)",'QA Log'!Z:Z,"Approved"),"")</f>
        <v/>
      </c>
      <c r="N186" s="105" t="str">
        <f>IF(A186&lt;&gt;"",COUNTIFS('QA Log'!D:D,A186,'QA Log'!M:M,"QQC",'QA Log'!L:L,"5. Laboratory",'QA Log'!Z:Z,"Approved"),"")</f>
        <v/>
      </c>
      <c r="O186" s="105" t="str">
        <f>IF(A186&lt;&gt;"",COUNTIFS('QA Log'!D:D,A186,'QA Log'!M:M,"QQC",'QA Log'!L:L,"6. Essential Medicine Management",'QA Log'!Z:Z,"Approved"),"")</f>
        <v/>
      </c>
      <c r="P186" s="105" t="str">
        <f>IF(A186&lt;&gt;"",COUNTIFS('QA Log'!D:D,A186,'QA Log'!M:M,"QQC",'QA Log'!L:L,"7. Tracer Medicine",'QA Log'!Z:Z,"Approved"),"")</f>
        <v/>
      </c>
      <c r="Q186" s="105" t="str">
        <f>IF(A186&lt;&gt;"",COUNTIFS('QA Log'!D:D,A186,'QA Log'!M:M,"QQC",'QA Log'!L:L,"11. Additional Questions",'QA Log'!Z:Z,"Approved"),"")</f>
        <v/>
      </c>
      <c r="R186" s="102" t="str">
        <f>IF(A186="","",SUM(
COUNTIFS('QA Log'!D:D,A186,'QA Log'!M:M,"QQC",'QA Log'!Z:Z,"Rejected",'QA Log'!L:L,"*8. Maternity*"),
COUNTIFS('QA Log'!D:D,A186,'QA Log'!M:M,"QQC",'QA Log'!Z:Z,"Rejected",'QA Log'!L:L,"*EPI*"),
COUNTIFS('QA Log'!D:D,A186,'QA Log'!M:M,"QQC",'QA Log'!Z:Z,"Rejected",'QA Log'!L:L,"*10. Antenatal Care (ANC)*"),
COUNTIFS('QA Log'!D:D,A186,'QA Log'!M:M,"QQC",'QA Log'!Z:Z,"Rejected",'QA Log'!L:L,"*2. Hygiene and Sterilization*"),
COUNTIFS('QA Log'!D:D,A186,'QA Log'!M:M,"QQC",'QA Log'!Z:Z,"Rejected",'QA Log'!L:L,"*Family Planning*")))</f>
        <v/>
      </c>
      <c r="S186" s="106" t="str">
        <f t="shared" si="1"/>
        <v/>
      </c>
      <c r="T186" s="102" t="str">
        <f t="shared" si="2"/>
        <v/>
      </c>
      <c r="U186" s="102" t="str">
        <f>IF(A186="","",
SUM(
COUNTIFS('QA Log'!D:D,A186,'QA Log'!M:M,"QQC",'QA Log'!L:L,"*8. Maternity*"),
COUNTIFS('QA Log'!D:D,A186,'QA Log'!M:M,"QQC",'QA Log'!L:L,"*9. EPI and Pre-school Consultation*"),
COUNTIFS('QA Log'!D:D,A186,'QA Log'!M:M,"QQC",'QA Log'!L:L,"*10. Antenatal Care (ANC)*"),
COUNTIFS('QA Log'!D:D,A186,'QA Log'!M:M,"QQC",'QA Log'!L:L,"*2. Hygiene and Sterilization*"),
COUNTIFS('QA Log'!D:D,A186,'QA Log'!M:M,"QQC",'QA Log'!L:L,"*4. Family Planning*")
))</f>
        <v/>
      </c>
      <c r="V186" s="102" t="str">
        <f>IF(A186="","",
SUM(
COUNTIFS('QA Log'!D:D,A186,'QA Log'!M:M,"QQC",'QA Log'!Z:Z,"Approved",'QA Log'!L:L,"*8. Maternity*"),
COUNTIFS('QA Log'!D:D,A186,'QA Log'!M:M,"QQC",'QA Log'!Z:Z,"Approved",'QA Log'!L:L,"*9. EPI and Pre-school Consultation*"),
COUNTIFS('QA Log'!D:D,A186,'QA Log'!M:M,"QQC",'QA Log'!Z:Z,"Approved",'QA Log'!L:L,"*10. Antenatal Care (ANC)*"),
COUNTIFS('QA Log'!D:D,A186,'QA Log'!M:M,"QQC",'QA Log'!Z:Z,"Approved",'QA Log'!L:L,"*2. Hygiene and Sterilization*"),
COUNTIFS('QA Log'!D:D,A186,'QA Log'!M:M,"QQC",'QA Log'!Z:Z,"Approved",'QA Log'!L:L,"*4. Family Planning*")
))</f>
        <v/>
      </c>
      <c r="W186" s="105" t="str">
        <f>IF(A186&lt;&gt;"",COUNTIFS('QA Log'!D:D,A186,'QA Log'!M:M,"QQC",'QA Log'!L:L,"8. Maternity",'QA Log'!Z:Z,"Approved"),"")</f>
        <v/>
      </c>
      <c r="X186" s="105" t="str">
        <f>IF(A186&lt;&gt;"",COUNTIFS('QA Log'!D:D,A186,'QA Log'!M:M,"QQC",'QA Log'!L:L,"9. EPI and Pre-school Consultation",'QA Log'!Z:Z,"Approved"),"")</f>
        <v/>
      </c>
      <c r="Y186" s="105" t="str">
        <f>IF(A186&lt;&gt;"",COUNTIFS('QA Log'!D:D,A186,'QA Log'!M:M,"QQC",'QA Log'!L:L,"10. Antenatal Care (ANC)",'QA Log'!Z:Z,"Approved"),"")</f>
        <v/>
      </c>
      <c r="Z186" s="105" t="str">
        <f>IF(A186&lt;&gt;"",COUNTIFS('QA Log'!D:D,A186,'QA Log'!M:M,"QQC",'QA Log'!L:L,"2. Hygiene and Sterilization",'QA Log'!Z:Z,"Approved"),"")</f>
        <v/>
      </c>
      <c r="AA186" s="105" t="str">
        <f>IF(A186&lt;&gt;"",COUNTIFS('QA Log'!D:D,A186,'QA Log'!M:M,"QQC",'QA Log'!L:L,"4. Family Planning",'QA Log'!Z:Z,"Approved"),"")</f>
        <v/>
      </c>
      <c r="AB186" s="102" t="str">
        <f>IF(A186="","",
SUM(
COUNTIFS('QA Log'!D:D,A186,'QA Log'!M:M,"QQC",'QA Log'!Z:Z,"Rejected",'QA Log'!L:L,"*8. Maternity*"),
COUNTIFS('QA Log'!D:D,A186,'QA Log'!M:M,"QQC",'QA Log'!Z:Z,"Rejected",'QA Log'!L:L,"*9. EPI and Pre-school Consultation*"),
COUNTIFS('QA Log'!D:D,A186,'QA Log'!M:M,"QQC",'QA Log'!Z:Z,"Rejected",'QA Log'!L:L,"*10. Antenatal Care (ANC)*"),
COUNTIFS('QA Log'!D:D,A186,'QA Log'!M:M,"QQC",'QA Log'!Z:Z,"Rejected",'QA Log'!L:L,"*2. Hygiene and Sterilization*"),
COUNTIFS('QA Log'!D:D,A186,'QA Log'!M:M,"QQC",'QA Log'!Z:Z,"Rejected",'QA Log'!L:L,"*4. Family Planning*")
))</f>
        <v/>
      </c>
      <c r="AC186" s="102" t="str">
        <f t="shared" si="3"/>
        <v/>
      </c>
      <c r="AD186" s="103" t="str">
        <f t="shared" si="4"/>
        <v/>
      </c>
      <c r="AE186" s="102" t="str">
        <f>IF(A186="","",
SUM(
COUNTIFS('QA Log'!D:D,A186,'QA Log'!M:M,"Data Verification",'QA Log'!L:L,"*Medicine (section 2)*"),
COUNTIFS('QA Log'!D:D,A186,'QA Log'!M:M,"Data Verification",'QA Log'!L:L,"*Lab Testing Availability*"),
COUNTIFS('QA Log'!D:D,A186,'QA Log'!M:M,"Data Verification",'QA Log'!L:L,"*Other than P4P (section 6)*"),
COUNTIFS('QA Log'!D:D,A186,'QA Log'!M:M,"Data Verification",'QA Log'!L:L,"*Hospital Governance*")
))</f>
        <v/>
      </c>
      <c r="AF186" s="102" t="str">
        <f>IF(A186="","",
SUM(
COUNTIFS('QA Log'!D:D,A186,'QA Log'!M:M,"Data Verification",'QA Log'!Z:Z,"Approved",'QA Log'!L:L,"*Medicine (section 2)*"),
COUNTIFS('QA Log'!D:D,A186,'QA Log'!M:M,"Data Verification",'QA Log'!Z:Z,"Approved",'QA Log'!L:L,"*Lab Testing Availability*"),
COUNTIFS('QA Log'!D:D,A186,'QA Log'!M:M,"Data Verification",'QA Log'!Z:Z,"Approved",'QA Log'!L:L,"*Other than P4P (section 6)*"),
COUNTIFS('QA Log'!D:D,A186,'QA Log'!M:M,"Data Verification",'QA Log'!Z:Z,"Approved",'QA Log'!L:L,"*Hospital Governance*")
))</f>
        <v/>
      </c>
      <c r="AG186" s="105" t="str">
        <f>IF(A186&lt;&gt;"",COUNTIFS('QA Log'!D:D,A186,'QA Log'!M:M,"Data Verification",'QA Log'!L:L,"Medicine (section 2)",'QA Log'!Z:Z,"Approved"),"")</f>
        <v/>
      </c>
      <c r="AH186" s="105" t="str">
        <f>IF(A186&lt;&gt;"",COUNTIFS('QA Log'!D:D,A186,'QA Log'!M:M,"Data Verification",'QA Log'!L:L,"Lab Testing Availability",'QA Log'!Z:Z,"Approved"),"")</f>
        <v/>
      </c>
      <c r="AI186" s="105" t="str">
        <f>IF(A186&lt;&gt;"",COUNTIFS('QA Log'!D:D,A186,'QA Log'!M:M,"Data Verification",'QA Log'!L:L,"Other than P4P (section 6)",'QA Log'!Z:Z,"Approved"),"")</f>
        <v/>
      </c>
      <c r="AJ186" s="105" t="str">
        <f>IF(A186&lt;&gt;"",COUNTIFS('QA Log'!D:D,A186,'QA Log'!M:M,"Data Verification",'QA Log'!L:L,"Hospital Governance",'QA Log'!Z:Z,"Approved"),"")</f>
        <v/>
      </c>
      <c r="AK186" s="102" t="str">
        <f>IF(A186="","",
SUM(
COUNTIFS('QA Log'!D:D,A186,'QA Log'!M:M,"Data Verification",'QA Log'!Z:Z,"Rejected",'QA Log'!L:L,"*Medicine (section 2)*"),
COUNTIFS('QA Log'!D:D,A186,'QA Log'!M:M,"Data Verification",'QA Log'!Z:Z,"Rejected",'QA Log'!L:L,"*Lab Testing Availability*"),
COUNTIFS('QA Log'!D:D,A186,'QA Log'!M:M,"Data Verification",'QA Log'!Z:Z,"Rejected",'QA Log'!L:L,"*Other than P4P (section 6)*"),
COUNTIFS('QA Log'!D:D,A186,'QA Log'!M:M,"Data Verification",'QA Log'!Z:Z,"Rejected",'QA Log'!L:L,"*Hospital Governance*")
))</f>
        <v/>
      </c>
      <c r="AL186" s="106" t="str">
        <f t="shared" si="5"/>
        <v/>
      </c>
      <c r="AM186" s="102" t="str">
        <f t="shared" si="6"/>
        <v/>
      </c>
      <c r="AN186" s="102" t="str">
        <f>IF(A186="","",
SUM(
COUNTIFS('QA Log'!D:D,A186,'QA Log'!M:M,"Data Verification",'QA Log'!L:L,"*Personnel (section 1)*"),
COUNTIFS('QA Log'!D:D,A186,'QA Log'!M:M,"Data Verification",'QA Log'!L:L,"*Consumable (section 3)*"),
COUNTIFS('QA Log'!D:D,A186,'QA Log'!M:M,"Data Verification",'QA Log'!L:L,"*Equipments (section 4)*")
))</f>
        <v/>
      </c>
      <c r="AO186" s="102" t="str">
        <f>IF(A186="","",
SUM(
COUNTIFS('QA Log'!D:D,A186,'QA Log'!M:M,"Data Verification",'QA Log'!Z:Z,"Approved",'QA Log'!L:L,"*Personnel (section 1)*"),
COUNTIFS('QA Log'!D:D,A186,'QA Log'!M:M,"Data Verification",'QA Log'!Z:Z,"Approved",'QA Log'!L:L,"*Consumable (section 3)*"),
COUNTIFS('QA Log'!D:D,A186,'QA Log'!M:M,"Data Verification",'QA Log'!Z:Z,"Approved",'QA Log'!L:L,"*Equipments (section 4)*")
))</f>
        <v/>
      </c>
      <c r="AP186" s="105" t="str">
        <f>IF(A186&lt;&gt;"",COUNTIFS('QA Log'!D:D,A186,'QA Log'!M:M,"Data Verification",'QA Log'!L:L,"Personnel (section 1)",'QA Log'!Z:Z,"Approved"),"")</f>
        <v/>
      </c>
      <c r="AQ186" s="105" t="str">
        <f>IF(A186&lt;&gt;"",COUNTIFS('QA Log'!D:D,A186,'QA Log'!M:M,"Data Verification",'QA Log'!L:L,"Consumable (section 3)",'QA Log'!Z:Z,"Approved"),"")</f>
        <v/>
      </c>
      <c r="AR186" s="105" t="str">
        <f>IF(A186&lt;&gt;"",COUNTIFS('QA Log'!D:D,A186,'QA Log'!M:M,"Data Verification",'QA Log'!L:L,"Equipments (section 4)",'QA Log'!Z:Z,"Approved"),"")</f>
        <v/>
      </c>
      <c r="AS186" s="102" t="str">
        <f>IF(A186="","",
SUM(
COUNTIFS('QA Log'!D:D,A186,'QA Log'!M:M,"Data Verification",'QA Log'!Z:Z,"Rejected",'QA Log'!L:L,"*Personnel (section 1)*"),
COUNTIFS('QA Log'!D:D,A186,'QA Log'!M:M,"Data Verification",'QA Log'!Z:Z,"Rejected",'QA Log'!L:L,"*Consumable (section 3)*"),
COUNTIFS('QA Log'!D:D,A186,'QA Log'!M:M,"Data Verification",'QA Log'!Z:Z,"Rejected",'QA Log'!L:L,"*Equipments (section 4)*")
))</f>
        <v/>
      </c>
      <c r="AT186" s="102" t="str">
        <f t="shared" si="7"/>
        <v/>
      </c>
      <c r="AU186" s="103" t="str">
        <f t="shared" si="8"/>
        <v/>
      </c>
      <c r="AV186" s="102" t="str">
        <f>IF(A186="","",SUM(
COUNTIFS('QA Log'!D:D,A186,'QA Log'!M:M,"Vignette",'QA Log'!L:L,"*Vignette [1] Respiratory Infection: Pneumonia*"),
COUNTIFS('QA Log'!D:D,A186,'QA Log'!M:M,"Vignette",'QA Log'!L:L,"*Vignette [2]: Diarrhea with Cat B dehydration*"),
COUNTIFS('QA Log'!D:D,A186,'QA Log'!M:M,"Vignette",'QA Log'!L:L,"*Vignette [3] Growth Monitoring and Promotion*"),
COUNTIFS('QA Log'!D:D,A186,'QA Log'!M:M,"Vignette",'QA Log'!L:L,"*Vignette [4]: The management of presumptive TB patient*")
)
)</f>
        <v/>
      </c>
      <c r="AW186" s="102" t="str">
        <f>IF(
  A186="","",
  SUM(
    COUNTIFS('QA Log'!D:D,A186,'QA Log'!M:M,"Vignette",'QA Log'!Z:Z,"Approved",'QA Log'!L:L,"*Vignette [1] Respiratory Infection: Pneumonia*"),
    COUNTIFS('QA Log'!D:D,A186,'QA Log'!M:M,"Vignette",'QA Log'!Z:Z,"Approved",'QA Log'!L:L,"*Vignette [2]: Diarrhea with Cat B dehydration*"),
    COUNTIFS('QA Log'!D:D,A186,'QA Log'!M:M,"Vignette",'QA Log'!Z:Z,"Approved",'QA Log'!L:L,"*Vignette [3] Growth Monitoring and Promotion*"),
    COUNTIFS('QA Log'!D:D,A186,'QA Log'!M:M,"Vignette",'QA Log'!Z:Z,"Approved",'QA Log'!L:L,"*Vignette [4]: The management of presumptive TB patient*")
  )
)</f>
        <v/>
      </c>
      <c r="AX186" s="105" t="str">
        <f>IF(A186&lt;&gt;"",COUNTIFS('QA Log'!D:D,A186,'QA Log'!M:M,"Vignette",'QA Log'!L:L,"Vignette [1] Respiratory Infection: Pneumonia",'QA Log'!Z:Z,"Approved"),"")</f>
        <v/>
      </c>
      <c r="AY186" s="105" t="str">
        <f>IF(A186&lt;&gt;"",COUNTIFS('QA Log'!D:D,A186,'QA Log'!M:M,"Vignette",'QA Log'!L:L,"Vignette [2]: Diarrhea with Cat B dehydration",'QA Log'!Z:Z,"Approved"),"")</f>
        <v/>
      </c>
      <c r="AZ186" s="105" t="str">
        <f>IF(A186&lt;&gt;"",COUNTIFS('QA Log'!D:D,A186,'QA Log'!M:M,"Vignette",'QA Log'!L:L,"Vignette [3] Growth Monitoring and Promotion",'QA Log'!Z:Z,"Approved"),"")</f>
        <v/>
      </c>
      <c r="BA186" s="105" t="str">
        <f>IF(A186&lt;&gt;"",COUNTIFS('QA Log'!D:D,A186,'QA Log'!M:M,"Vignette",'QA Log'!L:L,"Vignette [4]: The management of presumptive TB patient",'QA Log'!Z:Z,"Approved"),"")</f>
        <v/>
      </c>
      <c r="BB186" s="102" t="str">
        <f>IF(A186="","",
  SUM(
    COUNTIFS('QA Log'!D:D,A186,'QA Log'!M:M,"Vignette",'QA Log'!Z:Z,"Rejected",'QA Log'!L:L,"*Vignette [1] Respiratory Infection: Pneumonia*"),
    COUNTIFS('QA Log'!D:D,A186,'QA Log'!M:M,"Vignette",'QA Log'!Z:Z,"Rejected",'QA Log'!L:L,"*Vignette [2]: Diarrhea with Cat B dehydration*"),
    COUNTIFS('QA Log'!D:D,A186,'QA Log'!M:M,"Vignette",'QA Log'!Z:Z,"Rejected",'QA Log'!L:L,"*Vignette [3] Growth Monitoring and Promotion*"),
    COUNTIFS('QA Log'!D:D,A186,'QA Log'!M:M,"Vignette",'QA Log'!Z:Z,"Rejected",'QA Log'!L:L,"*Vignette [4]: The management of presumptive TB patient*")
  )
)</f>
        <v/>
      </c>
      <c r="BC186" s="107" t="str">
        <f t="shared" si="9"/>
        <v/>
      </c>
      <c r="BD186" s="103" t="str">
        <f t="shared" si="10"/>
        <v/>
      </c>
      <c r="BE186" s="102" t="str">
        <f>IF(A186="","",SUM(
COUNTIFS('QA Log'!D:D,A186,'QA Log'!M:M,"Vignette",'QA Log'!L:L,"*Vignette [5] Labor*"),
COUNTIFS('QA Log'!D:D,A186,'QA Log'!M:M,"Vignette",'QA Log'!L:L,"*Vignette [6] PNC pre Discharge*"),
COUNTIFS('QA Log'!D:D,A186,'QA Log'!M:M,"Vignette",'QA Log'!L:L,"*Vignette [7] First ANC Visit*"),
COUNTIFS('QA Log'!D:D,A186,'QA Log'!M:M,"Vignette",'QA Log'!L:L,"*Vignette [8] Birth Spacing/ Family Planning :  FP Counselling*"),
COUNTIFS('QA Log'!D:D,A186,'QA Log'!M:M,"Vignette",'QA Log'!L:L,"*Vignette [9] Birth Spacing: Change FP method to Injectable*"),
COUNTIFS('QA Log'!D:D,A186,'QA Log'!M:M,"Vignette",'QA Log'!L:L,"*Vignette [10] Post Partum Haemorrhage - Atonic Uterus at Health Centre*"),
)
)</f>
        <v/>
      </c>
      <c r="BF186" s="102" t="str">
        <f>IF(A186="","",
  SUM(
    COUNTIFS('QA Log'!D:D,A186,'QA Log'!M:M,"Vignette",'QA Log'!Z:Z,"Approved",'QA Log'!L:L,"*Vignette [5] Labor*"),
    COUNTIFS('QA Log'!D:D,A186,'QA Log'!M:M,"Vignette",'QA Log'!Z:Z,"Approved",'QA Log'!L:L,"*Vignette [6] PNC pre Discharge*"),
    COUNTIFS('QA Log'!D:D,A186,'QA Log'!M:M,"Vignette",'QA Log'!Z:Z,"Approved",'QA Log'!L:L,"*Vignette [7] First ANC Visit*"),
    COUNTIFS('QA Log'!D:D,A186,'QA Log'!M:M,"Vignette",'QA Log'!Z:Z,"Approved",'QA Log'!L:L,"*Vignette [8] Birth Spacing/ Family Planning :  FP Counselling*"),
    COUNTIFS('QA Log'!D:D,A186,'QA Log'!M:M,"Vignette",'QA Log'!Z:Z,"Approved",'QA Log'!L:L,"*Vignette [9] Birth Spacing: Change FP method to Injectable*"),
    COUNTIFS('QA Log'!D:D,A186,'QA Log'!M:M,"Vignette",'QA Log'!Z:Z,"Approved",'QA Log'!L:L,"*Vignette [10] Post Partum Haemorrhage - Atonic Uterus at Health Centre*")
  )
)</f>
        <v/>
      </c>
      <c r="BG186" s="105" t="str">
        <f>IF(A186&lt;&gt;"",COUNTIFS('QA Log'!D:D,A186,'QA Log'!M:M,"Vignette",'QA Log'!L:L,"Vignette [5] Labor",'QA Log'!Z:Z,"Approved"),"")</f>
        <v/>
      </c>
      <c r="BH186" s="105" t="str">
        <f>IF(A186&lt;&gt;"",COUNTIFS('QA Log'!D:D,A186,'QA Log'!M:M,"Vignette",'QA Log'!L:L,"Vignette [6] PNC pre Discharge",'QA Log'!Z:Z,"Approved"),"")</f>
        <v/>
      </c>
      <c r="BI186" s="105" t="str">
        <f>IF(A186&lt;&gt;"",COUNTIFS('QA Log'!D:D,A186,'QA Log'!M:M,"Vignette",'QA Log'!L:L,"Vignette [7] First ANC Visit",'QA Log'!Z:Z,"Approved"),"")</f>
        <v/>
      </c>
      <c r="BJ186" s="105" t="str">
        <f>IF(A186&lt;&gt;"",COUNTIFS('QA Log'!D:D,A186,'QA Log'!M:M,"Vignette",'QA Log'!L:L,"Vignette [8] Birth Spacing/ Family Planning :  FP Counselling",'QA Log'!Z:Z,"Approved"),"")</f>
        <v/>
      </c>
      <c r="BK186" s="105" t="str">
        <f>IF(A186&lt;&gt;"",COUNTIFS('QA Log'!D:D,A186,'QA Log'!M:M,"Vignette",'QA Log'!L:L,"Vignette [9] Birth Spacing: Change FP method to Injectable",'QA Log'!Z:Z,"Approved"),"")</f>
        <v/>
      </c>
      <c r="BL186" s="105" t="str">
        <f>IF(A186&lt;&gt;"",COUNTIFS('QA Log'!D:D,A186,'QA Log'!M:M,"Vignette",'QA Log'!L:L,"Vignette [10] Post Partum Haemorrhage - Atonic Uterus at Health Centre",'QA Log'!Z:Z,"Approved"),"")</f>
        <v/>
      </c>
      <c r="BM186" s="102" t="str">
        <f>IF(A186="","",SUM(
    COUNTIFS('QA Log'!D:D,A186,'QA Log'!M:M,"Vignette",'QA Log'!Z:Z,"Rejected",'QA Log'!L:L,"*Vignette [5] Labor*"),
    COUNTIFS('QA Log'!D:D,A186,'QA Log'!M:M,"Vignette",'QA Log'!Z:Z,"Rejected",'QA Log'!L:L,"*Vignette [6] PNC pre Discharge*"),
    COUNTIFS('QA Log'!D:D,A186,'QA Log'!M:M,"Vignette",'QA Log'!Z:Z,"Rejected",'QA Log'!L:L,"*Vignette [7] First ANC Visit*"),
    COUNTIFS('QA Log'!D:D,A186,'QA Log'!M:M,"Vignette",'QA Log'!Z:Z,"Rejected",'QA Log'!L:L,"*Vignette [8] Birth Spacing/ Family Planning :  FP Counselling*"),
    COUNTIFS('QA Log'!D:D,A186,'QA Log'!M:M,"Vignette",'QA Log'!Z:Z,"Rejected",'QA Log'!L:L,"*Vignette [9] Birth Spacing: Change FP method to Injectable*"),
    COUNTIFS('QA Log'!D:D,A186,'QA Log'!M:M,"Vignette",'QA Log'!Z:Z,"Rejected",'QA Log'!L:L,"*Vignette [10] Post Partum Haemorrhage - Atonic Uterus at Health Centre*")
  )
)</f>
        <v/>
      </c>
      <c r="BN186" s="107" t="str">
        <f t="shared" si="11"/>
        <v/>
      </c>
      <c r="BO186" s="103" t="str">
        <f t="shared" si="12"/>
        <v/>
      </c>
      <c r="BP186" s="102" t="str">
        <f>IF(A186="","",SUM(
COUNTIFS('QA Log'!D:D,A186,'QA Log'!M:M,"Vignette",'QA Log'!L:L,"*Exit Interview 1*"),
COUNTIFS('QA Log'!D:D,A186,'QA Log'!M:M,"Vignette",'QA Log'!L:L,"*Exit Interview 2*"),
)
)</f>
        <v/>
      </c>
      <c r="BQ186" s="102" t="str">
        <f>IF(
  A186="","",
  SUM(
    COUNTIFS('QA Log'!D:D,A186,'QA Log'!M:M,"Vignette",'QA Log'!Z:Z,"Approved",'QA Log'!L:L,"*Exit Interview 1*"),
    COUNTIFS('QA Log'!D:D,A186,'QA Log'!M:M,"Vignette",'QA Log'!Z:Z,"Approved",'QA Log'!L:L,"*Exit Interview 2*")
  )
)</f>
        <v/>
      </c>
      <c r="BR186" s="105" t="str">
        <f>IF(A186&lt;&gt;"",COUNTIFS('QA Log'!D:D,A186,'QA Log'!M:M,"Vignette",'QA Log'!L:L,"Exit Interview 1",'QA Log'!Z:Z,"Approved"),"")</f>
        <v/>
      </c>
      <c r="BS186" s="105" t="str">
        <f>IF(A186&lt;&gt;"",COUNTIFS('QA Log'!D:D,A186,'QA Log'!M:M,"Vignette",'QA Log'!L:L,"Exit Interview 2",'QA Log'!Z:Z,"Approved"),"")</f>
        <v/>
      </c>
      <c r="BT186" s="102" t="str">
        <f>IF(
  A186="","",
  SUM(
    COUNTIFS('QA Log'!D:D,A186,'QA Log'!M:M,"Vignette",'QA Log'!Z:Z,"Rejected",'QA Log'!L:L,"*Exit Interview 1*"),
    COUNTIFS('QA Log'!D:D,A186,'QA Log'!M:M,"Vignette",'QA Log'!Z:Z,"Rejected",'QA Log'!L:L,"*Exit Interview 2*")
  )
)</f>
        <v/>
      </c>
      <c r="BU186" s="107" t="str">
        <f t="shared" si="13"/>
        <v/>
      </c>
      <c r="BV186" s="102" t="str">
        <f t="shared" si="14"/>
        <v/>
      </c>
      <c r="BW186" s="102" t="str">
        <f t="shared" si="15"/>
        <v/>
      </c>
      <c r="BX186" s="102" t="str">
        <f t="shared" si="16"/>
        <v/>
      </c>
      <c r="BY186" s="102" t="str">
        <f t="shared" si="17"/>
        <v/>
      </c>
      <c r="BZ186" s="107" t="str">
        <f t="shared" si="18"/>
        <v/>
      </c>
      <c r="CA186" s="108" t="str">
        <f t="shared" si="19"/>
        <v/>
      </c>
      <c r="CB186" s="108" t="str">
        <f t="shared" si="20"/>
        <v/>
      </c>
      <c r="CC186" s="109" t="str">
        <f t="shared" si="21"/>
        <v/>
      </c>
      <c r="CD186" s="108" t="str">
        <f t="shared" si="22"/>
        <v/>
      </c>
      <c r="CE186" s="108" t="str">
        <f t="shared" si="23"/>
        <v/>
      </c>
      <c r="CF186" s="109" t="str">
        <f t="shared" si="24"/>
        <v/>
      </c>
      <c r="CG186" s="110" t="str">
        <f t="shared" si="25"/>
        <v/>
      </c>
      <c r="CH186" s="111"/>
    </row>
    <row r="187" spans="1:86" ht="12.75">
      <c r="A187" s="101"/>
      <c r="B187" s="102" t="e">
        <f t="array" aca="1" ref="B187" ca="1">_xludf.XLOOKUP(A187,'QA Log'!D:D,'QA Log'!E:E,"")</f>
        <v>#NAME?</v>
      </c>
      <c r="C187" s="102" t="e">
        <f t="array" aca="1" ref="C187" ca="1">_xludf.XLOOKUP(A187,'QA Log'!D:D,'QA Log'!F:F,"")</f>
        <v>#NAME?</v>
      </c>
      <c r="D187" s="102" t="e">
        <f t="array" aca="1" ref="D187" ca="1">_xludf.XLOOKUP(A187,'QA Log'!D:D,'QA Log'!H:H,"")</f>
        <v>#NAME?</v>
      </c>
      <c r="E187" s="102" t="e">
        <f t="array" aca="1" ref="E187" ca="1">_xludf.XLOOKUP(A187,'QA Log'!D:D,'QA Log'!G:G,"")</f>
        <v>#NAME?</v>
      </c>
      <c r="F187" s="103"/>
      <c r="G187" s="104"/>
      <c r="H187" s="104"/>
      <c r="I187" s="103" t="str">
        <f t="shared" si="0"/>
        <v/>
      </c>
      <c r="J187" s="102" t="str">
        <f>IF(A187="","",SUM(
COUNTIFS('QA Log'!D:D,A187,'QA Log'!M:M,"QQC",'QA Log'!L:L,"*1. General Management*"),
COUNTIFS('QA Log'!D:D,A187,'QA Log'!M:M,"QQC",'QA Log'!L:L,"*3. Curative Consultation (OPD)*"),
COUNTIFS('QA Log'!D:D,A187,'QA Log'!M:M,"QQC",'QA Log'!L:L,"*5. Laboratory*"),
COUNTIFS('QA Log'!D:D,A187,'QA Log'!M:M,"QQC",'QA Log'!L:L,"*6. Essential Medicine Management*"),
COUNTIFS('QA Log'!D:D,A187,'QA Log'!M:M,"QQC",'QA Log'!L:L,"*7. Tracer Medicine*"),
COUNTIFS('QA Log'!D:D,A187,'QA Log'!M:M,"QQC",'QA Log'!L:L,"*11. Additional Questions*")))</f>
        <v/>
      </c>
      <c r="K187" s="102" t="str">
        <f>IF(A187="","",SUM(
COUNTIFS('QA Log'!D:D,A187,'QA Log'!M:M,"QQC",'QA Log'!Z:Z,"Approved",'QA Log'!L:L,"*1. General Management*"),
COUNTIFS('QA Log'!D:D,A187,'QA Log'!M:M,"QQC",'QA Log'!Z:Z,"Approved",'QA Log'!L:L,"*3. Curative Consultation (OPD)*"),
COUNTIFS('QA Log'!D:D,A187,'QA Log'!M:M,"QQC",'QA Log'!Z:Z,"Approved",'QA Log'!L:L,"*5. Laboratory*"),
COUNTIFS('QA Log'!D:D,A187,'QA Log'!M:M,"QQC",'QA Log'!Z:Z,"Approved",'QA Log'!L:L,"*6. Essential Medicine Management*"),
COUNTIFS('QA Log'!D:D,A187,'QA Log'!M:M,"QQC",'QA Log'!Z:Z,"Approved",'QA Log'!L:L,"*7. Tracer Medicine*"),
COUNTIFS('QA Log'!D:D,A187,'QA Log'!M:M,"QQC",'QA Log'!Z:Z,"Approved",'QA Log'!L:L,"*11. Additional Questions*")))</f>
        <v/>
      </c>
      <c r="L187" s="105" t="str">
        <f>IF(A187&lt;&gt;"",COUNTIFS('QA Log'!D:D,A187,'QA Log'!M:M,"QQC",'QA Log'!L:L,"1. General Management",'QA Log'!Z:Z,"Approved"),"")</f>
        <v/>
      </c>
      <c r="M187" s="105" t="str">
        <f>IF(A187&lt;&gt;"",COUNTIFS('QA Log'!D:D,A187,'QA Log'!M:M,"QQC",'QA Log'!L:L,"3. Curative Consultation (OPD)",'QA Log'!Z:Z,"Approved"),"")</f>
        <v/>
      </c>
      <c r="N187" s="105" t="str">
        <f>IF(A187&lt;&gt;"",COUNTIFS('QA Log'!D:D,A187,'QA Log'!M:M,"QQC",'QA Log'!L:L,"5. Laboratory",'QA Log'!Z:Z,"Approved"),"")</f>
        <v/>
      </c>
      <c r="O187" s="105" t="str">
        <f>IF(A187&lt;&gt;"",COUNTIFS('QA Log'!D:D,A187,'QA Log'!M:M,"QQC",'QA Log'!L:L,"6. Essential Medicine Management",'QA Log'!Z:Z,"Approved"),"")</f>
        <v/>
      </c>
      <c r="P187" s="105" t="str">
        <f>IF(A187&lt;&gt;"",COUNTIFS('QA Log'!D:D,A187,'QA Log'!M:M,"QQC",'QA Log'!L:L,"7. Tracer Medicine",'QA Log'!Z:Z,"Approved"),"")</f>
        <v/>
      </c>
      <c r="Q187" s="105" t="str">
        <f>IF(A187&lt;&gt;"",COUNTIFS('QA Log'!D:D,A187,'QA Log'!M:M,"QQC",'QA Log'!L:L,"11. Additional Questions",'QA Log'!Z:Z,"Approved"),"")</f>
        <v/>
      </c>
      <c r="R187" s="102" t="str">
        <f>IF(A187="","",SUM(
COUNTIFS('QA Log'!D:D,A187,'QA Log'!M:M,"QQC",'QA Log'!Z:Z,"Rejected",'QA Log'!L:L,"*8. Maternity*"),
COUNTIFS('QA Log'!D:D,A187,'QA Log'!M:M,"QQC",'QA Log'!Z:Z,"Rejected",'QA Log'!L:L,"*EPI*"),
COUNTIFS('QA Log'!D:D,A187,'QA Log'!M:M,"QQC",'QA Log'!Z:Z,"Rejected",'QA Log'!L:L,"*10. Antenatal Care (ANC)*"),
COUNTIFS('QA Log'!D:D,A187,'QA Log'!M:M,"QQC",'QA Log'!Z:Z,"Rejected",'QA Log'!L:L,"*2. Hygiene and Sterilization*"),
COUNTIFS('QA Log'!D:D,A187,'QA Log'!M:M,"QQC",'QA Log'!Z:Z,"Rejected",'QA Log'!L:L,"*Family Planning*")))</f>
        <v/>
      </c>
      <c r="S187" s="106" t="str">
        <f t="shared" si="1"/>
        <v/>
      </c>
      <c r="T187" s="102" t="str">
        <f t="shared" si="2"/>
        <v/>
      </c>
      <c r="U187" s="102" t="str">
        <f>IF(A187="","",
SUM(
COUNTIFS('QA Log'!D:D,A187,'QA Log'!M:M,"QQC",'QA Log'!L:L,"*8. Maternity*"),
COUNTIFS('QA Log'!D:D,A187,'QA Log'!M:M,"QQC",'QA Log'!L:L,"*9. EPI and Pre-school Consultation*"),
COUNTIFS('QA Log'!D:D,A187,'QA Log'!M:M,"QQC",'QA Log'!L:L,"*10. Antenatal Care (ANC)*"),
COUNTIFS('QA Log'!D:D,A187,'QA Log'!M:M,"QQC",'QA Log'!L:L,"*2. Hygiene and Sterilization*"),
COUNTIFS('QA Log'!D:D,A187,'QA Log'!M:M,"QQC",'QA Log'!L:L,"*4. Family Planning*")
))</f>
        <v/>
      </c>
      <c r="V187" s="102" t="str">
        <f>IF(A187="","",
SUM(
COUNTIFS('QA Log'!D:D,A187,'QA Log'!M:M,"QQC",'QA Log'!Z:Z,"Approved",'QA Log'!L:L,"*8. Maternity*"),
COUNTIFS('QA Log'!D:D,A187,'QA Log'!M:M,"QQC",'QA Log'!Z:Z,"Approved",'QA Log'!L:L,"*9. EPI and Pre-school Consultation*"),
COUNTIFS('QA Log'!D:D,A187,'QA Log'!M:M,"QQC",'QA Log'!Z:Z,"Approved",'QA Log'!L:L,"*10. Antenatal Care (ANC)*"),
COUNTIFS('QA Log'!D:D,A187,'QA Log'!M:M,"QQC",'QA Log'!Z:Z,"Approved",'QA Log'!L:L,"*2. Hygiene and Sterilization*"),
COUNTIFS('QA Log'!D:D,A187,'QA Log'!M:M,"QQC",'QA Log'!Z:Z,"Approved",'QA Log'!L:L,"*4. Family Planning*")
))</f>
        <v/>
      </c>
      <c r="W187" s="105" t="str">
        <f>IF(A187&lt;&gt;"",COUNTIFS('QA Log'!D:D,A187,'QA Log'!M:M,"QQC",'QA Log'!L:L,"8. Maternity",'QA Log'!Z:Z,"Approved"),"")</f>
        <v/>
      </c>
      <c r="X187" s="105" t="str">
        <f>IF(A187&lt;&gt;"",COUNTIFS('QA Log'!D:D,A187,'QA Log'!M:M,"QQC",'QA Log'!L:L,"9. EPI and Pre-school Consultation",'QA Log'!Z:Z,"Approved"),"")</f>
        <v/>
      </c>
      <c r="Y187" s="105" t="str">
        <f>IF(A187&lt;&gt;"",COUNTIFS('QA Log'!D:D,A187,'QA Log'!M:M,"QQC",'QA Log'!L:L,"10. Antenatal Care (ANC)",'QA Log'!Z:Z,"Approved"),"")</f>
        <v/>
      </c>
      <c r="Z187" s="105" t="str">
        <f>IF(A187&lt;&gt;"",COUNTIFS('QA Log'!D:D,A187,'QA Log'!M:M,"QQC",'QA Log'!L:L,"2. Hygiene and Sterilization",'QA Log'!Z:Z,"Approved"),"")</f>
        <v/>
      </c>
      <c r="AA187" s="105" t="str">
        <f>IF(A187&lt;&gt;"",COUNTIFS('QA Log'!D:D,A187,'QA Log'!M:M,"QQC",'QA Log'!L:L,"4. Family Planning",'QA Log'!Z:Z,"Approved"),"")</f>
        <v/>
      </c>
      <c r="AB187" s="102" t="str">
        <f>IF(A187="","",
SUM(
COUNTIFS('QA Log'!D:D,A187,'QA Log'!M:M,"QQC",'QA Log'!Z:Z,"Rejected",'QA Log'!L:L,"*8. Maternity*"),
COUNTIFS('QA Log'!D:D,A187,'QA Log'!M:M,"QQC",'QA Log'!Z:Z,"Rejected",'QA Log'!L:L,"*9. EPI and Pre-school Consultation*"),
COUNTIFS('QA Log'!D:D,A187,'QA Log'!M:M,"QQC",'QA Log'!Z:Z,"Rejected",'QA Log'!L:L,"*10. Antenatal Care (ANC)*"),
COUNTIFS('QA Log'!D:D,A187,'QA Log'!M:M,"QQC",'QA Log'!Z:Z,"Rejected",'QA Log'!L:L,"*2. Hygiene and Sterilization*"),
COUNTIFS('QA Log'!D:D,A187,'QA Log'!M:M,"QQC",'QA Log'!Z:Z,"Rejected",'QA Log'!L:L,"*4. Family Planning*")
))</f>
        <v/>
      </c>
      <c r="AC187" s="102" t="str">
        <f t="shared" si="3"/>
        <v/>
      </c>
      <c r="AD187" s="103" t="str">
        <f t="shared" si="4"/>
        <v/>
      </c>
      <c r="AE187" s="102" t="str">
        <f>IF(A187="","",
SUM(
COUNTIFS('QA Log'!D:D,A187,'QA Log'!M:M,"Data Verification",'QA Log'!L:L,"*Medicine (section 2)*"),
COUNTIFS('QA Log'!D:D,A187,'QA Log'!M:M,"Data Verification",'QA Log'!L:L,"*Lab Testing Availability*"),
COUNTIFS('QA Log'!D:D,A187,'QA Log'!M:M,"Data Verification",'QA Log'!L:L,"*Other than P4P (section 6)*"),
COUNTIFS('QA Log'!D:D,A187,'QA Log'!M:M,"Data Verification",'QA Log'!L:L,"*Hospital Governance*")
))</f>
        <v/>
      </c>
      <c r="AF187" s="102" t="str">
        <f>IF(A187="","",
SUM(
COUNTIFS('QA Log'!D:D,A187,'QA Log'!M:M,"Data Verification",'QA Log'!Z:Z,"Approved",'QA Log'!L:L,"*Medicine (section 2)*"),
COUNTIFS('QA Log'!D:D,A187,'QA Log'!M:M,"Data Verification",'QA Log'!Z:Z,"Approved",'QA Log'!L:L,"*Lab Testing Availability*"),
COUNTIFS('QA Log'!D:D,A187,'QA Log'!M:M,"Data Verification",'QA Log'!Z:Z,"Approved",'QA Log'!L:L,"*Other than P4P (section 6)*"),
COUNTIFS('QA Log'!D:D,A187,'QA Log'!M:M,"Data Verification",'QA Log'!Z:Z,"Approved",'QA Log'!L:L,"*Hospital Governance*")
))</f>
        <v/>
      </c>
      <c r="AG187" s="105" t="str">
        <f>IF(A187&lt;&gt;"",COUNTIFS('QA Log'!D:D,A187,'QA Log'!M:M,"Data Verification",'QA Log'!L:L,"Medicine (section 2)",'QA Log'!Z:Z,"Approved"),"")</f>
        <v/>
      </c>
      <c r="AH187" s="105" t="str">
        <f>IF(A187&lt;&gt;"",COUNTIFS('QA Log'!D:D,A187,'QA Log'!M:M,"Data Verification",'QA Log'!L:L,"Lab Testing Availability",'QA Log'!Z:Z,"Approved"),"")</f>
        <v/>
      </c>
      <c r="AI187" s="105" t="str">
        <f>IF(A187&lt;&gt;"",COUNTIFS('QA Log'!D:D,A187,'QA Log'!M:M,"Data Verification",'QA Log'!L:L,"Other than P4P (section 6)",'QA Log'!Z:Z,"Approved"),"")</f>
        <v/>
      </c>
      <c r="AJ187" s="105" t="str">
        <f>IF(A187&lt;&gt;"",COUNTIFS('QA Log'!D:D,A187,'QA Log'!M:M,"Data Verification",'QA Log'!L:L,"Hospital Governance",'QA Log'!Z:Z,"Approved"),"")</f>
        <v/>
      </c>
      <c r="AK187" s="102" t="str">
        <f>IF(A187="","",
SUM(
COUNTIFS('QA Log'!D:D,A187,'QA Log'!M:M,"Data Verification",'QA Log'!Z:Z,"Rejected",'QA Log'!L:L,"*Medicine (section 2)*"),
COUNTIFS('QA Log'!D:D,A187,'QA Log'!M:M,"Data Verification",'QA Log'!Z:Z,"Rejected",'QA Log'!L:L,"*Lab Testing Availability*"),
COUNTIFS('QA Log'!D:D,A187,'QA Log'!M:M,"Data Verification",'QA Log'!Z:Z,"Rejected",'QA Log'!L:L,"*Other than P4P (section 6)*"),
COUNTIFS('QA Log'!D:D,A187,'QA Log'!M:M,"Data Verification",'QA Log'!Z:Z,"Rejected",'QA Log'!L:L,"*Hospital Governance*")
))</f>
        <v/>
      </c>
      <c r="AL187" s="106" t="str">
        <f t="shared" si="5"/>
        <v/>
      </c>
      <c r="AM187" s="102" t="str">
        <f t="shared" si="6"/>
        <v/>
      </c>
      <c r="AN187" s="102" t="str">
        <f>IF(A187="","",
SUM(
COUNTIFS('QA Log'!D:D,A187,'QA Log'!M:M,"Data Verification",'QA Log'!L:L,"*Personnel (section 1)*"),
COUNTIFS('QA Log'!D:D,A187,'QA Log'!M:M,"Data Verification",'QA Log'!L:L,"*Consumable (section 3)*"),
COUNTIFS('QA Log'!D:D,A187,'QA Log'!M:M,"Data Verification",'QA Log'!L:L,"*Equipments (section 4)*")
))</f>
        <v/>
      </c>
      <c r="AO187" s="102" t="str">
        <f>IF(A187="","",
SUM(
COUNTIFS('QA Log'!D:D,A187,'QA Log'!M:M,"Data Verification",'QA Log'!Z:Z,"Approved",'QA Log'!L:L,"*Personnel (section 1)*"),
COUNTIFS('QA Log'!D:D,A187,'QA Log'!M:M,"Data Verification",'QA Log'!Z:Z,"Approved",'QA Log'!L:L,"*Consumable (section 3)*"),
COUNTIFS('QA Log'!D:D,A187,'QA Log'!M:M,"Data Verification",'QA Log'!Z:Z,"Approved",'QA Log'!L:L,"*Equipments (section 4)*")
))</f>
        <v/>
      </c>
      <c r="AP187" s="105" t="str">
        <f>IF(A187&lt;&gt;"",COUNTIFS('QA Log'!D:D,A187,'QA Log'!M:M,"Data Verification",'QA Log'!L:L,"Personnel (section 1)",'QA Log'!Z:Z,"Approved"),"")</f>
        <v/>
      </c>
      <c r="AQ187" s="105" t="str">
        <f>IF(A187&lt;&gt;"",COUNTIFS('QA Log'!D:D,A187,'QA Log'!M:M,"Data Verification",'QA Log'!L:L,"Consumable (section 3)",'QA Log'!Z:Z,"Approved"),"")</f>
        <v/>
      </c>
      <c r="AR187" s="105" t="str">
        <f>IF(A187&lt;&gt;"",COUNTIFS('QA Log'!D:D,A187,'QA Log'!M:M,"Data Verification",'QA Log'!L:L,"Equipments (section 4)",'QA Log'!Z:Z,"Approved"),"")</f>
        <v/>
      </c>
      <c r="AS187" s="102" t="str">
        <f>IF(A187="","",
SUM(
COUNTIFS('QA Log'!D:D,A187,'QA Log'!M:M,"Data Verification",'QA Log'!Z:Z,"Rejected",'QA Log'!L:L,"*Personnel (section 1)*"),
COUNTIFS('QA Log'!D:D,A187,'QA Log'!M:M,"Data Verification",'QA Log'!Z:Z,"Rejected",'QA Log'!L:L,"*Consumable (section 3)*"),
COUNTIFS('QA Log'!D:D,A187,'QA Log'!M:M,"Data Verification",'QA Log'!Z:Z,"Rejected",'QA Log'!L:L,"*Equipments (section 4)*")
))</f>
        <v/>
      </c>
      <c r="AT187" s="102" t="str">
        <f t="shared" si="7"/>
        <v/>
      </c>
      <c r="AU187" s="103" t="str">
        <f t="shared" si="8"/>
        <v/>
      </c>
      <c r="AV187" s="102" t="str">
        <f>IF(A187="","",SUM(
COUNTIFS('QA Log'!D:D,A187,'QA Log'!M:M,"Vignette",'QA Log'!L:L,"*Vignette [1] Respiratory Infection: Pneumonia*"),
COUNTIFS('QA Log'!D:D,A187,'QA Log'!M:M,"Vignette",'QA Log'!L:L,"*Vignette [2]: Diarrhea with Cat B dehydration*"),
COUNTIFS('QA Log'!D:D,A187,'QA Log'!M:M,"Vignette",'QA Log'!L:L,"*Vignette [3] Growth Monitoring and Promotion*"),
COUNTIFS('QA Log'!D:D,A187,'QA Log'!M:M,"Vignette",'QA Log'!L:L,"*Vignette [4]: The management of presumptive TB patient*")
)
)</f>
        <v/>
      </c>
      <c r="AW187" s="102" t="str">
        <f>IF(
  A187="","",
  SUM(
    COUNTIFS('QA Log'!D:D,A187,'QA Log'!M:M,"Vignette",'QA Log'!Z:Z,"Approved",'QA Log'!L:L,"*Vignette [1] Respiratory Infection: Pneumonia*"),
    COUNTIFS('QA Log'!D:D,A187,'QA Log'!M:M,"Vignette",'QA Log'!Z:Z,"Approved",'QA Log'!L:L,"*Vignette [2]: Diarrhea with Cat B dehydration*"),
    COUNTIFS('QA Log'!D:D,A187,'QA Log'!M:M,"Vignette",'QA Log'!Z:Z,"Approved",'QA Log'!L:L,"*Vignette [3] Growth Monitoring and Promotion*"),
    COUNTIFS('QA Log'!D:D,A187,'QA Log'!M:M,"Vignette",'QA Log'!Z:Z,"Approved",'QA Log'!L:L,"*Vignette [4]: The management of presumptive TB patient*")
  )
)</f>
        <v/>
      </c>
      <c r="AX187" s="105" t="str">
        <f>IF(A187&lt;&gt;"",COUNTIFS('QA Log'!D:D,A187,'QA Log'!M:M,"Vignette",'QA Log'!L:L,"Vignette [1] Respiratory Infection: Pneumonia",'QA Log'!Z:Z,"Approved"),"")</f>
        <v/>
      </c>
      <c r="AY187" s="105" t="str">
        <f>IF(A187&lt;&gt;"",COUNTIFS('QA Log'!D:D,A187,'QA Log'!M:M,"Vignette",'QA Log'!L:L,"Vignette [2]: Diarrhea with Cat B dehydration",'QA Log'!Z:Z,"Approved"),"")</f>
        <v/>
      </c>
      <c r="AZ187" s="105" t="str">
        <f>IF(A187&lt;&gt;"",COUNTIFS('QA Log'!D:D,A187,'QA Log'!M:M,"Vignette",'QA Log'!L:L,"Vignette [3] Growth Monitoring and Promotion",'QA Log'!Z:Z,"Approved"),"")</f>
        <v/>
      </c>
      <c r="BA187" s="105" t="str">
        <f>IF(A187&lt;&gt;"",COUNTIFS('QA Log'!D:D,A187,'QA Log'!M:M,"Vignette",'QA Log'!L:L,"Vignette [4]: The management of presumptive TB patient",'QA Log'!Z:Z,"Approved"),"")</f>
        <v/>
      </c>
      <c r="BB187" s="102" t="str">
        <f>IF(A187="","",
  SUM(
    COUNTIFS('QA Log'!D:D,A187,'QA Log'!M:M,"Vignette",'QA Log'!Z:Z,"Rejected",'QA Log'!L:L,"*Vignette [1] Respiratory Infection: Pneumonia*"),
    COUNTIFS('QA Log'!D:D,A187,'QA Log'!M:M,"Vignette",'QA Log'!Z:Z,"Rejected",'QA Log'!L:L,"*Vignette [2]: Diarrhea with Cat B dehydration*"),
    COUNTIFS('QA Log'!D:D,A187,'QA Log'!M:M,"Vignette",'QA Log'!Z:Z,"Rejected",'QA Log'!L:L,"*Vignette [3] Growth Monitoring and Promotion*"),
    COUNTIFS('QA Log'!D:D,A187,'QA Log'!M:M,"Vignette",'QA Log'!Z:Z,"Rejected",'QA Log'!L:L,"*Vignette [4]: The management of presumptive TB patient*")
  )
)</f>
        <v/>
      </c>
      <c r="BC187" s="107" t="str">
        <f t="shared" si="9"/>
        <v/>
      </c>
      <c r="BD187" s="103" t="str">
        <f t="shared" si="10"/>
        <v/>
      </c>
      <c r="BE187" s="102" t="str">
        <f>IF(A187="","",SUM(
COUNTIFS('QA Log'!D:D,A187,'QA Log'!M:M,"Vignette",'QA Log'!L:L,"*Vignette [5] Labor*"),
COUNTIFS('QA Log'!D:D,A187,'QA Log'!M:M,"Vignette",'QA Log'!L:L,"*Vignette [6] PNC pre Discharge*"),
COUNTIFS('QA Log'!D:D,A187,'QA Log'!M:M,"Vignette",'QA Log'!L:L,"*Vignette [7] First ANC Visit*"),
COUNTIFS('QA Log'!D:D,A187,'QA Log'!M:M,"Vignette",'QA Log'!L:L,"*Vignette [8] Birth Spacing/ Family Planning :  FP Counselling*"),
COUNTIFS('QA Log'!D:D,A187,'QA Log'!M:M,"Vignette",'QA Log'!L:L,"*Vignette [9] Birth Spacing: Change FP method to Injectable*"),
COUNTIFS('QA Log'!D:D,A187,'QA Log'!M:M,"Vignette",'QA Log'!L:L,"*Vignette [10] Post Partum Haemorrhage - Atonic Uterus at Health Centre*"),
)
)</f>
        <v/>
      </c>
      <c r="BF187" s="102" t="str">
        <f>IF(A187="","",
  SUM(
    COUNTIFS('QA Log'!D:D,A187,'QA Log'!M:M,"Vignette",'QA Log'!Z:Z,"Approved",'QA Log'!L:L,"*Vignette [5] Labor*"),
    COUNTIFS('QA Log'!D:D,A187,'QA Log'!M:M,"Vignette",'QA Log'!Z:Z,"Approved",'QA Log'!L:L,"*Vignette [6] PNC pre Discharge*"),
    COUNTIFS('QA Log'!D:D,A187,'QA Log'!M:M,"Vignette",'QA Log'!Z:Z,"Approved",'QA Log'!L:L,"*Vignette [7] First ANC Visit*"),
    COUNTIFS('QA Log'!D:D,A187,'QA Log'!M:M,"Vignette",'QA Log'!Z:Z,"Approved",'QA Log'!L:L,"*Vignette [8] Birth Spacing/ Family Planning :  FP Counselling*"),
    COUNTIFS('QA Log'!D:D,A187,'QA Log'!M:M,"Vignette",'QA Log'!Z:Z,"Approved",'QA Log'!L:L,"*Vignette [9] Birth Spacing: Change FP method to Injectable*"),
    COUNTIFS('QA Log'!D:D,A187,'QA Log'!M:M,"Vignette",'QA Log'!Z:Z,"Approved",'QA Log'!L:L,"*Vignette [10] Post Partum Haemorrhage - Atonic Uterus at Health Centre*")
  )
)</f>
        <v/>
      </c>
      <c r="BG187" s="105" t="str">
        <f>IF(A187&lt;&gt;"",COUNTIFS('QA Log'!D:D,A187,'QA Log'!M:M,"Vignette",'QA Log'!L:L,"Vignette [5] Labor",'QA Log'!Z:Z,"Approved"),"")</f>
        <v/>
      </c>
      <c r="BH187" s="105" t="str">
        <f>IF(A187&lt;&gt;"",COUNTIFS('QA Log'!D:D,A187,'QA Log'!M:M,"Vignette",'QA Log'!L:L,"Vignette [6] PNC pre Discharge",'QA Log'!Z:Z,"Approved"),"")</f>
        <v/>
      </c>
      <c r="BI187" s="105" t="str">
        <f>IF(A187&lt;&gt;"",COUNTIFS('QA Log'!D:D,A187,'QA Log'!M:M,"Vignette",'QA Log'!L:L,"Vignette [7] First ANC Visit",'QA Log'!Z:Z,"Approved"),"")</f>
        <v/>
      </c>
      <c r="BJ187" s="105" t="str">
        <f>IF(A187&lt;&gt;"",COUNTIFS('QA Log'!D:D,A187,'QA Log'!M:M,"Vignette",'QA Log'!L:L,"Vignette [8] Birth Spacing/ Family Planning :  FP Counselling",'QA Log'!Z:Z,"Approved"),"")</f>
        <v/>
      </c>
      <c r="BK187" s="105" t="str">
        <f>IF(A187&lt;&gt;"",COUNTIFS('QA Log'!D:D,A187,'QA Log'!M:M,"Vignette",'QA Log'!L:L,"Vignette [9] Birth Spacing: Change FP method to Injectable",'QA Log'!Z:Z,"Approved"),"")</f>
        <v/>
      </c>
      <c r="BL187" s="105" t="str">
        <f>IF(A187&lt;&gt;"",COUNTIFS('QA Log'!D:D,A187,'QA Log'!M:M,"Vignette",'QA Log'!L:L,"Vignette [10] Post Partum Haemorrhage - Atonic Uterus at Health Centre",'QA Log'!Z:Z,"Approved"),"")</f>
        <v/>
      </c>
      <c r="BM187" s="102" t="str">
        <f>IF(A187="","",SUM(
    COUNTIFS('QA Log'!D:D,A187,'QA Log'!M:M,"Vignette",'QA Log'!Z:Z,"Rejected",'QA Log'!L:L,"*Vignette [5] Labor*"),
    COUNTIFS('QA Log'!D:D,A187,'QA Log'!M:M,"Vignette",'QA Log'!Z:Z,"Rejected",'QA Log'!L:L,"*Vignette [6] PNC pre Discharge*"),
    COUNTIFS('QA Log'!D:D,A187,'QA Log'!M:M,"Vignette",'QA Log'!Z:Z,"Rejected",'QA Log'!L:L,"*Vignette [7] First ANC Visit*"),
    COUNTIFS('QA Log'!D:D,A187,'QA Log'!M:M,"Vignette",'QA Log'!Z:Z,"Rejected",'QA Log'!L:L,"*Vignette [8] Birth Spacing/ Family Planning :  FP Counselling*"),
    COUNTIFS('QA Log'!D:D,A187,'QA Log'!M:M,"Vignette",'QA Log'!Z:Z,"Rejected",'QA Log'!L:L,"*Vignette [9] Birth Spacing: Change FP method to Injectable*"),
    COUNTIFS('QA Log'!D:D,A187,'QA Log'!M:M,"Vignette",'QA Log'!Z:Z,"Rejected",'QA Log'!L:L,"*Vignette [10] Post Partum Haemorrhage - Atonic Uterus at Health Centre*")
  )
)</f>
        <v/>
      </c>
      <c r="BN187" s="107" t="str">
        <f t="shared" si="11"/>
        <v/>
      </c>
      <c r="BO187" s="103" t="str">
        <f t="shared" si="12"/>
        <v/>
      </c>
      <c r="BP187" s="102" t="str">
        <f>IF(A187="","",SUM(
COUNTIFS('QA Log'!D:D,A187,'QA Log'!M:M,"Vignette",'QA Log'!L:L,"*Exit Interview 1*"),
COUNTIFS('QA Log'!D:D,A187,'QA Log'!M:M,"Vignette",'QA Log'!L:L,"*Exit Interview 2*"),
)
)</f>
        <v/>
      </c>
      <c r="BQ187" s="102" t="str">
        <f>IF(
  A187="","",
  SUM(
    COUNTIFS('QA Log'!D:D,A187,'QA Log'!M:M,"Vignette",'QA Log'!Z:Z,"Approved",'QA Log'!L:L,"*Exit Interview 1*"),
    COUNTIFS('QA Log'!D:D,A187,'QA Log'!M:M,"Vignette",'QA Log'!Z:Z,"Approved",'QA Log'!L:L,"*Exit Interview 2*")
  )
)</f>
        <v/>
      </c>
      <c r="BR187" s="105" t="str">
        <f>IF(A187&lt;&gt;"",COUNTIFS('QA Log'!D:D,A187,'QA Log'!M:M,"Vignette",'QA Log'!L:L,"Exit Interview 1",'QA Log'!Z:Z,"Approved"),"")</f>
        <v/>
      </c>
      <c r="BS187" s="105" t="str">
        <f>IF(A187&lt;&gt;"",COUNTIFS('QA Log'!D:D,A187,'QA Log'!M:M,"Vignette",'QA Log'!L:L,"Exit Interview 2",'QA Log'!Z:Z,"Approved"),"")</f>
        <v/>
      </c>
      <c r="BT187" s="102" t="str">
        <f>IF(
  A187="","",
  SUM(
    COUNTIFS('QA Log'!D:D,A187,'QA Log'!M:M,"Vignette",'QA Log'!Z:Z,"Rejected",'QA Log'!L:L,"*Exit Interview 1*"),
    COUNTIFS('QA Log'!D:D,A187,'QA Log'!M:M,"Vignette",'QA Log'!Z:Z,"Rejected",'QA Log'!L:L,"*Exit Interview 2*")
  )
)</f>
        <v/>
      </c>
      <c r="BU187" s="107" t="str">
        <f t="shared" si="13"/>
        <v/>
      </c>
      <c r="BV187" s="102" t="str">
        <f t="shared" si="14"/>
        <v/>
      </c>
      <c r="BW187" s="102" t="str">
        <f t="shared" si="15"/>
        <v/>
      </c>
      <c r="BX187" s="102" t="str">
        <f t="shared" si="16"/>
        <v/>
      </c>
      <c r="BY187" s="102" t="str">
        <f t="shared" si="17"/>
        <v/>
      </c>
      <c r="BZ187" s="107" t="str">
        <f t="shared" si="18"/>
        <v/>
      </c>
      <c r="CA187" s="108" t="str">
        <f t="shared" si="19"/>
        <v/>
      </c>
      <c r="CB187" s="108" t="str">
        <f t="shared" si="20"/>
        <v/>
      </c>
      <c r="CC187" s="109" t="str">
        <f t="shared" si="21"/>
        <v/>
      </c>
      <c r="CD187" s="108" t="str">
        <f t="shared" si="22"/>
        <v/>
      </c>
      <c r="CE187" s="108" t="str">
        <f t="shared" si="23"/>
        <v/>
      </c>
      <c r="CF187" s="109" t="str">
        <f t="shared" si="24"/>
        <v/>
      </c>
      <c r="CG187" s="110" t="str">
        <f t="shared" si="25"/>
        <v/>
      </c>
      <c r="CH187" s="111"/>
    </row>
    <row r="188" spans="1:86" ht="12.75">
      <c r="A188" s="101"/>
      <c r="B188" s="102" t="e">
        <f t="array" aca="1" ref="B188" ca="1">_xludf.XLOOKUP(A188,'QA Log'!D:D,'QA Log'!E:E,"")</f>
        <v>#NAME?</v>
      </c>
      <c r="C188" s="102" t="e">
        <f t="array" aca="1" ref="C188" ca="1">_xludf.XLOOKUP(A188,'QA Log'!D:D,'QA Log'!F:F,"")</f>
        <v>#NAME?</v>
      </c>
      <c r="D188" s="102" t="e">
        <f t="array" aca="1" ref="D188" ca="1">_xludf.XLOOKUP(A188,'QA Log'!D:D,'QA Log'!H:H,"")</f>
        <v>#NAME?</v>
      </c>
      <c r="E188" s="102" t="e">
        <f t="array" aca="1" ref="E188" ca="1">_xludf.XLOOKUP(A188,'QA Log'!D:D,'QA Log'!G:G,"")</f>
        <v>#NAME?</v>
      </c>
      <c r="F188" s="103"/>
      <c r="G188" s="104"/>
      <c r="H188" s="104"/>
      <c r="I188" s="103" t="str">
        <f t="shared" si="0"/>
        <v/>
      </c>
      <c r="J188" s="102" t="str">
        <f>IF(A188="","",SUM(
COUNTIFS('QA Log'!D:D,A188,'QA Log'!M:M,"QQC",'QA Log'!L:L,"*1. General Management*"),
COUNTIFS('QA Log'!D:D,A188,'QA Log'!M:M,"QQC",'QA Log'!L:L,"*3. Curative Consultation (OPD)*"),
COUNTIFS('QA Log'!D:D,A188,'QA Log'!M:M,"QQC",'QA Log'!L:L,"*5. Laboratory*"),
COUNTIFS('QA Log'!D:D,A188,'QA Log'!M:M,"QQC",'QA Log'!L:L,"*6. Essential Medicine Management*"),
COUNTIFS('QA Log'!D:D,A188,'QA Log'!M:M,"QQC",'QA Log'!L:L,"*7. Tracer Medicine*"),
COUNTIFS('QA Log'!D:D,A188,'QA Log'!M:M,"QQC",'QA Log'!L:L,"*11. Additional Questions*")))</f>
        <v/>
      </c>
      <c r="K188" s="102" t="str">
        <f>IF(A188="","",SUM(
COUNTIFS('QA Log'!D:D,A188,'QA Log'!M:M,"QQC",'QA Log'!Z:Z,"Approved",'QA Log'!L:L,"*1. General Management*"),
COUNTIFS('QA Log'!D:D,A188,'QA Log'!M:M,"QQC",'QA Log'!Z:Z,"Approved",'QA Log'!L:L,"*3. Curative Consultation (OPD)*"),
COUNTIFS('QA Log'!D:D,A188,'QA Log'!M:M,"QQC",'QA Log'!Z:Z,"Approved",'QA Log'!L:L,"*5. Laboratory*"),
COUNTIFS('QA Log'!D:D,A188,'QA Log'!M:M,"QQC",'QA Log'!Z:Z,"Approved",'QA Log'!L:L,"*6. Essential Medicine Management*"),
COUNTIFS('QA Log'!D:D,A188,'QA Log'!M:M,"QQC",'QA Log'!Z:Z,"Approved",'QA Log'!L:L,"*7. Tracer Medicine*"),
COUNTIFS('QA Log'!D:D,A188,'QA Log'!M:M,"QQC",'QA Log'!Z:Z,"Approved",'QA Log'!L:L,"*11. Additional Questions*")))</f>
        <v/>
      </c>
      <c r="L188" s="105" t="str">
        <f>IF(A188&lt;&gt;"",COUNTIFS('QA Log'!D:D,A188,'QA Log'!M:M,"QQC",'QA Log'!L:L,"1. General Management",'QA Log'!Z:Z,"Approved"),"")</f>
        <v/>
      </c>
      <c r="M188" s="105" t="str">
        <f>IF(A188&lt;&gt;"",COUNTIFS('QA Log'!D:D,A188,'QA Log'!M:M,"QQC",'QA Log'!L:L,"3. Curative Consultation (OPD)",'QA Log'!Z:Z,"Approved"),"")</f>
        <v/>
      </c>
      <c r="N188" s="105" t="str">
        <f>IF(A188&lt;&gt;"",COUNTIFS('QA Log'!D:D,A188,'QA Log'!M:M,"QQC",'QA Log'!L:L,"5. Laboratory",'QA Log'!Z:Z,"Approved"),"")</f>
        <v/>
      </c>
      <c r="O188" s="105" t="str">
        <f>IF(A188&lt;&gt;"",COUNTIFS('QA Log'!D:D,A188,'QA Log'!M:M,"QQC",'QA Log'!L:L,"6. Essential Medicine Management",'QA Log'!Z:Z,"Approved"),"")</f>
        <v/>
      </c>
      <c r="P188" s="105" t="str">
        <f>IF(A188&lt;&gt;"",COUNTIFS('QA Log'!D:D,A188,'QA Log'!M:M,"QQC",'QA Log'!L:L,"7. Tracer Medicine",'QA Log'!Z:Z,"Approved"),"")</f>
        <v/>
      </c>
      <c r="Q188" s="105" t="str">
        <f>IF(A188&lt;&gt;"",COUNTIFS('QA Log'!D:D,A188,'QA Log'!M:M,"QQC",'QA Log'!L:L,"11. Additional Questions",'QA Log'!Z:Z,"Approved"),"")</f>
        <v/>
      </c>
      <c r="R188" s="102" t="str">
        <f>IF(A188="","",SUM(
COUNTIFS('QA Log'!D:D,A188,'QA Log'!M:M,"QQC",'QA Log'!Z:Z,"Rejected",'QA Log'!L:L,"*8. Maternity*"),
COUNTIFS('QA Log'!D:D,A188,'QA Log'!M:M,"QQC",'QA Log'!Z:Z,"Rejected",'QA Log'!L:L,"*EPI*"),
COUNTIFS('QA Log'!D:D,A188,'QA Log'!M:M,"QQC",'QA Log'!Z:Z,"Rejected",'QA Log'!L:L,"*10. Antenatal Care (ANC)*"),
COUNTIFS('QA Log'!D:D,A188,'QA Log'!M:M,"QQC",'QA Log'!Z:Z,"Rejected",'QA Log'!L:L,"*2. Hygiene and Sterilization*"),
COUNTIFS('QA Log'!D:D,A188,'QA Log'!M:M,"QQC",'QA Log'!Z:Z,"Rejected",'QA Log'!L:L,"*Family Planning*")))</f>
        <v/>
      </c>
      <c r="S188" s="106" t="str">
        <f t="shared" si="1"/>
        <v/>
      </c>
      <c r="T188" s="102" t="str">
        <f t="shared" si="2"/>
        <v/>
      </c>
      <c r="U188" s="102" t="str">
        <f>IF(A188="","",
SUM(
COUNTIFS('QA Log'!D:D,A188,'QA Log'!M:M,"QQC",'QA Log'!L:L,"*8. Maternity*"),
COUNTIFS('QA Log'!D:D,A188,'QA Log'!M:M,"QQC",'QA Log'!L:L,"*9. EPI and Pre-school Consultation*"),
COUNTIFS('QA Log'!D:D,A188,'QA Log'!M:M,"QQC",'QA Log'!L:L,"*10. Antenatal Care (ANC)*"),
COUNTIFS('QA Log'!D:D,A188,'QA Log'!M:M,"QQC",'QA Log'!L:L,"*2. Hygiene and Sterilization*"),
COUNTIFS('QA Log'!D:D,A188,'QA Log'!M:M,"QQC",'QA Log'!L:L,"*4. Family Planning*")
))</f>
        <v/>
      </c>
      <c r="V188" s="102" t="str">
        <f>IF(A188="","",
SUM(
COUNTIFS('QA Log'!D:D,A188,'QA Log'!M:M,"QQC",'QA Log'!Z:Z,"Approved",'QA Log'!L:L,"*8. Maternity*"),
COUNTIFS('QA Log'!D:D,A188,'QA Log'!M:M,"QQC",'QA Log'!Z:Z,"Approved",'QA Log'!L:L,"*9. EPI and Pre-school Consultation*"),
COUNTIFS('QA Log'!D:D,A188,'QA Log'!M:M,"QQC",'QA Log'!Z:Z,"Approved",'QA Log'!L:L,"*10. Antenatal Care (ANC)*"),
COUNTIFS('QA Log'!D:D,A188,'QA Log'!M:M,"QQC",'QA Log'!Z:Z,"Approved",'QA Log'!L:L,"*2. Hygiene and Sterilization*"),
COUNTIFS('QA Log'!D:D,A188,'QA Log'!M:M,"QQC",'QA Log'!Z:Z,"Approved",'QA Log'!L:L,"*4. Family Planning*")
))</f>
        <v/>
      </c>
      <c r="W188" s="105" t="str">
        <f>IF(A188&lt;&gt;"",COUNTIFS('QA Log'!D:D,A188,'QA Log'!M:M,"QQC",'QA Log'!L:L,"8. Maternity",'QA Log'!Z:Z,"Approved"),"")</f>
        <v/>
      </c>
      <c r="X188" s="105" t="str">
        <f>IF(A188&lt;&gt;"",COUNTIFS('QA Log'!D:D,A188,'QA Log'!M:M,"QQC",'QA Log'!L:L,"9. EPI and Pre-school Consultation",'QA Log'!Z:Z,"Approved"),"")</f>
        <v/>
      </c>
      <c r="Y188" s="105" t="str">
        <f>IF(A188&lt;&gt;"",COUNTIFS('QA Log'!D:D,A188,'QA Log'!M:M,"QQC",'QA Log'!L:L,"10. Antenatal Care (ANC)",'QA Log'!Z:Z,"Approved"),"")</f>
        <v/>
      </c>
      <c r="Z188" s="105" t="str">
        <f>IF(A188&lt;&gt;"",COUNTIFS('QA Log'!D:D,A188,'QA Log'!M:M,"QQC",'QA Log'!L:L,"2. Hygiene and Sterilization",'QA Log'!Z:Z,"Approved"),"")</f>
        <v/>
      </c>
      <c r="AA188" s="105" t="str">
        <f>IF(A188&lt;&gt;"",COUNTIFS('QA Log'!D:D,A188,'QA Log'!M:M,"QQC",'QA Log'!L:L,"4. Family Planning",'QA Log'!Z:Z,"Approved"),"")</f>
        <v/>
      </c>
      <c r="AB188" s="102" t="str">
        <f>IF(A188="","",
SUM(
COUNTIFS('QA Log'!D:D,A188,'QA Log'!M:M,"QQC",'QA Log'!Z:Z,"Rejected",'QA Log'!L:L,"*8. Maternity*"),
COUNTIFS('QA Log'!D:D,A188,'QA Log'!M:M,"QQC",'QA Log'!Z:Z,"Rejected",'QA Log'!L:L,"*9. EPI and Pre-school Consultation*"),
COUNTIFS('QA Log'!D:D,A188,'QA Log'!M:M,"QQC",'QA Log'!Z:Z,"Rejected",'QA Log'!L:L,"*10. Antenatal Care (ANC)*"),
COUNTIFS('QA Log'!D:D,A188,'QA Log'!M:M,"QQC",'QA Log'!Z:Z,"Rejected",'QA Log'!L:L,"*2. Hygiene and Sterilization*"),
COUNTIFS('QA Log'!D:D,A188,'QA Log'!M:M,"QQC",'QA Log'!Z:Z,"Rejected",'QA Log'!L:L,"*4. Family Planning*")
))</f>
        <v/>
      </c>
      <c r="AC188" s="102" t="str">
        <f t="shared" si="3"/>
        <v/>
      </c>
      <c r="AD188" s="103" t="str">
        <f t="shared" si="4"/>
        <v/>
      </c>
      <c r="AE188" s="102" t="str">
        <f>IF(A188="","",
SUM(
COUNTIFS('QA Log'!D:D,A188,'QA Log'!M:M,"Data Verification",'QA Log'!L:L,"*Medicine (section 2)*"),
COUNTIFS('QA Log'!D:D,A188,'QA Log'!M:M,"Data Verification",'QA Log'!L:L,"*Lab Testing Availability*"),
COUNTIFS('QA Log'!D:D,A188,'QA Log'!M:M,"Data Verification",'QA Log'!L:L,"*Other than P4P (section 6)*"),
COUNTIFS('QA Log'!D:D,A188,'QA Log'!M:M,"Data Verification",'QA Log'!L:L,"*Hospital Governance*")
))</f>
        <v/>
      </c>
      <c r="AF188" s="102" t="str">
        <f>IF(A188="","",
SUM(
COUNTIFS('QA Log'!D:D,A188,'QA Log'!M:M,"Data Verification",'QA Log'!Z:Z,"Approved",'QA Log'!L:L,"*Medicine (section 2)*"),
COUNTIFS('QA Log'!D:D,A188,'QA Log'!M:M,"Data Verification",'QA Log'!Z:Z,"Approved",'QA Log'!L:L,"*Lab Testing Availability*"),
COUNTIFS('QA Log'!D:D,A188,'QA Log'!M:M,"Data Verification",'QA Log'!Z:Z,"Approved",'QA Log'!L:L,"*Other than P4P (section 6)*"),
COUNTIFS('QA Log'!D:D,A188,'QA Log'!M:M,"Data Verification",'QA Log'!Z:Z,"Approved",'QA Log'!L:L,"*Hospital Governance*")
))</f>
        <v/>
      </c>
      <c r="AG188" s="105" t="str">
        <f>IF(A188&lt;&gt;"",COUNTIFS('QA Log'!D:D,A188,'QA Log'!M:M,"Data Verification",'QA Log'!L:L,"Medicine (section 2)",'QA Log'!Z:Z,"Approved"),"")</f>
        <v/>
      </c>
      <c r="AH188" s="105" t="str">
        <f>IF(A188&lt;&gt;"",COUNTIFS('QA Log'!D:D,A188,'QA Log'!M:M,"Data Verification",'QA Log'!L:L,"Lab Testing Availability",'QA Log'!Z:Z,"Approved"),"")</f>
        <v/>
      </c>
      <c r="AI188" s="105" t="str">
        <f>IF(A188&lt;&gt;"",COUNTIFS('QA Log'!D:D,A188,'QA Log'!M:M,"Data Verification",'QA Log'!L:L,"Other than P4P (section 6)",'QA Log'!Z:Z,"Approved"),"")</f>
        <v/>
      </c>
      <c r="AJ188" s="105" t="str">
        <f>IF(A188&lt;&gt;"",COUNTIFS('QA Log'!D:D,A188,'QA Log'!M:M,"Data Verification",'QA Log'!L:L,"Hospital Governance",'QA Log'!Z:Z,"Approved"),"")</f>
        <v/>
      </c>
      <c r="AK188" s="102" t="str">
        <f>IF(A188="","",
SUM(
COUNTIFS('QA Log'!D:D,A188,'QA Log'!M:M,"Data Verification",'QA Log'!Z:Z,"Rejected",'QA Log'!L:L,"*Medicine (section 2)*"),
COUNTIFS('QA Log'!D:D,A188,'QA Log'!M:M,"Data Verification",'QA Log'!Z:Z,"Rejected",'QA Log'!L:L,"*Lab Testing Availability*"),
COUNTIFS('QA Log'!D:D,A188,'QA Log'!M:M,"Data Verification",'QA Log'!Z:Z,"Rejected",'QA Log'!L:L,"*Other than P4P (section 6)*"),
COUNTIFS('QA Log'!D:D,A188,'QA Log'!M:M,"Data Verification",'QA Log'!Z:Z,"Rejected",'QA Log'!L:L,"*Hospital Governance*")
))</f>
        <v/>
      </c>
      <c r="AL188" s="106" t="str">
        <f t="shared" si="5"/>
        <v/>
      </c>
      <c r="AM188" s="102" t="str">
        <f t="shared" si="6"/>
        <v/>
      </c>
      <c r="AN188" s="102" t="str">
        <f>IF(A188="","",
SUM(
COUNTIFS('QA Log'!D:D,A188,'QA Log'!M:M,"Data Verification",'QA Log'!L:L,"*Personnel (section 1)*"),
COUNTIFS('QA Log'!D:D,A188,'QA Log'!M:M,"Data Verification",'QA Log'!L:L,"*Consumable (section 3)*"),
COUNTIFS('QA Log'!D:D,A188,'QA Log'!M:M,"Data Verification",'QA Log'!L:L,"*Equipments (section 4)*")
))</f>
        <v/>
      </c>
      <c r="AO188" s="102" t="str">
        <f>IF(A188="","",
SUM(
COUNTIFS('QA Log'!D:D,A188,'QA Log'!M:M,"Data Verification",'QA Log'!Z:Z,"Approved",'QA Log'!L:L,"*Personnel (section 1)*"),
COUNTIFS('QA Log'!D:D,A188,'QA Log'!M:M,"Data Verification",'QA Log'!Z:Z,"Approved",'QA Log'!L:L,"*Consumable (section 3)*"),
COUNTIFS('QA Log'!D:D,A188,'QA Log'!M:M,"Data Verification",'QA Log'!Z:Z,"Approved",'QA Log'!L:L,"*Equipments (section 4)*")
))</f>
        <v/>
      </c>
      <c r="AP188" s="105" t="str">
        <f>IF(A188&lt;&gt;"",COUNTIFS('QA Log'!D:D,A188,'QA Log'!M:M,"Data Verification",'QA Log'!L:L,"Personnel (section 1)",'QA Log'!Z:Z,"Approved"),"")</f>
        <v/>
      </c>
      <c r="AQ188" s="105" t="str">
        <f>IF(A188&lt;&gt;"",COUNTIFS('QA Log'!D:D,A188,'QA Log'!M:M,"Data Verification",'QA Log'!L:L,"Consumable (section 3)",'QA Log'!Z:Z,"Approved"),"")</f>
        <v/>
      </c>
      <c r="AR188" s="105" t="str">
        <f>IF(A188&lt;&gt;"",COUNTIFS('QA Log'!D:D,A188,'QA Log'!M:M,"Data Verification",'QA Log'!L:L,"Equipments (section 4)",'QA Log'!Z:Z,"Approved"),"")</f>
        <v/>
      </c>
      <c r="AS188" s="102" t="str">
        <f>IF(A188="","",
SUM(
COUNTIFS('QA Log'!D:D,A188,'QA Log'!M:M,"Data Verification",'QA Log'!Z:Z,"Rejected",'QA Log'!L:L,"*Personnel (section 1)*"),
COUNTIFS('QA Log'!D:D,A188,'QA Log'!M:M,"Data Verification",'QA Log'!Z:Z,"Rejected",'QA Log'!L:L,"*Consumable (section 3)*"),
COUNTIFS('QA Log'!D:D,A188,'QA Log'!M:M,"Data Verification",'QA Log'!Z:Z,"Rejected",'QA Log'!L:L,"*Equipments (section 4)*")
))</f>
        <v/>
      </c>
      <c r="AT188" s="102" t="str">
        <f t="shared" si="7"/>
        <v/>
      </c>
      <c r="AU188" s="103" t="str">
        <f t="shared" si="8"/>
        <v/>
      </c>
      <c r="AV188" s="102" t="str">
        <f>IF(A188="","",SUM(
COUNTIFS('QA Log'!D:D,A188,'QA Log'!M:M,"Vignette",'QA Log'!L:L,"*Vignette [1] Respiratory Infection: Pneumonia*"),
COUNTIFS('QA Log'!D:D,A188,'QA Log'!M:M,"Vignette",'QA Log'!L:L,"*Vignette [2]: Diarrhea with Cat B dehydration*"),
COUNTIFS('QA Log'!D:D,A188,'QA Log'!M:M,"Vignette",'QA Log'!L:L,"*Vignette [3] Growth Monitoring and Promotion*"),
COUNTIFS('QA Log'!D:D,A188,'QA Log'!M:M,"Vignette",'QA Log'!L:L,"*Vignette [4]: The management of presumptive TB patient*")
)
)</f>
        <v/>
      </c>
      <c r="AW188" s="102" t="str">
        <f>IF(
  A188="","",
  SUM(
    COUNTIFS('QA Log'!D:D,A188,'QA Log'!M:M,"Vignette",'QA Log'!Z:Z,"Approved",'QA Log'!L:L,"*Vignette [1] Respiratory Infection: Pneumonia*"),
    COUNTIFS('QA Log'!D:D,A188,'QA Log'!M:M,"Vignette",'QA Log'!Z:Z,"Approved",'QA Log'!L:L,"*Vignette [2]: Diarrhea with Cat B dehydration*"),
    COUNTIFS('QA Log'!D:D,A188,'QA Log'!M:M,"Vignette",'QA Log'!Z:Z,"Approved",'QA Log'!L:L,"*Vignette [3] Growth Monitoring and Promotion*"),
    COUNTIFS('QA Log'!D:D,A188,'QA Log'!M:M,"Vignette",'QA Log'!Z:Z,"Approved",'QA Log'!L:L,"*Vignette [4]: The management of presumptive TB patient*")
  )
)</f>
        <v/>
      </c>
      <c r="AX188" s="105" t="str">
        <f>IF(A188&lt;&gt;"",COUNTIFS('QA Log'!D:D,A188,'QA Log'!M:M,"Vignette",'QA Log'!L:L,"Vignette [1] Respiratory Infection: Pneumonia",'QA Log'!Z:Z,"Approved"),"")</f>
        <v/>
      </c>
      <c r="AY188" s="105" t="str">
        <f>IF(A188&lt;&gt;"",COUNTIFS('QA Log'!D:D,A188,'QA Log'!M:M,"Vignette",'QA Log'!L:L,"Vignette [2]: Diarrhea with Cat B dehydration",'QA Log'!Z:Z,"Approved"),"")</f>
        <v/>
      </c>
      <c r="AZ188" s="105" t="str">
        <f>IF(A188&lt;&gt;"",COUNTIFS('QA Log'!D:D,A188,'QA Log'!M:M,"Vignette",'QA Log'!L:L,"Vignette [3] Growth Monitoring and Promotion",'QA Log'!Z:Z,"Approved"),"")</f>
        <v/>
      </c>
      <c r="BA188" s="105" t="str">
        <f>IF(A188&lt;&gt;"",COUNTIFS('QA Log'!D:D,A188,'QA Log'!M:M,"Vignette",'QA Log'!L:L,"Vignette [4]: The management of presumptive TB patient",'QA Log'!Z:Z,"Approved"),"")</f>
        <v/>
      </c>
      <c r="BB188" s="102" t="str">
        <f>IF(A188="","",
  SUM(
    COUNTIFS('QA Log'!D:D,A188,'QA Log'!M:M,"Vignette",'QA Log'!Z:Z,"Rejected",'QA Log'!L:L,"*Vignette [1] Respiratory Infection: Pneumonia*"),
    COUNTIFS('QA Log'!D:D,A188,'QA Log'!M:M,"Vignette",'QA Log'!Z:Z,"Rejected",'QA Log'!L:L,"*Vignette [2]: Diarrhea with Cat B dehydration*"),
    COUNTIFS('QA Log'!D:D,A188,'QA Log'!M:M,"Vignette",'QA Log'!Z:Z,"Rejected",'QA Log'!L:L,"*Vignette [3] Growth Monitoring and Promotion*"),
    COUNTIFS('QA Log'!D:D,A188,'QA Log'!M:M,"Vignette",'QA Log'!Z:Z,"Rejected",'QA Log'!L:L,"*Vignette [4]: The management of presumptive TB patient*")
  )
)</f>
        <v/>
      </c>
      <c r="BC188" s="107" t="str">
        <f t="shared" si="9"/>
        <v/>
      </c>
      <c r="BD188" s="103" t="str">
        <f t="shared" si="10"/>
        <v/>
      </c>
      <c r="BE188" s="102" t="str">
        <f>IF(A188="","",SUM(
COUNTIFS('QA Log'!D:D,A188,'QA Log'!M:M,"Vignette",'QA Log'!L:L,"*Vignette [5] Labor*"),
COUNTIFS('QA Log'!D:D,A188,'QA Log'!M:M,"Vignette",'QA Log'!L:L,"*Vignette [6] PNC pre Discharge*"),
COUNTIFS('QA Log'!D:D,A188,'QA Log'!M:M,"Vignette",'QA Log'!L:L,"*Vignette [7] First ANC Visit*"),
COUNTIFS('QA Log'!D:D,A188,'QA Log'!M:M,"Vignette",'QA Log'!L:L,"*Vignette [8] Birth Spacing/ Family Planning :  FP Counselling*"),
COUNTIFS('QA Log'!D:D,A188,'QA Log'!M:M,"Vignette",'QA Log'!L:L,"*Vignette [9] Birth Spacing: Change FP method to Injectable*"),
COUNTIFS('QA Log'!D:D,A188,'QA Log'!M:M,"Vignette",'QA Log'!L:L,"*Vignette [10] Post Partum Haemorrhage - Atonic Uterus at Health Centre*"),
)
)</f>
        <v/>
      </c>
      <c r="BF188" s="102" t="str">
        <f>IF(A188="","",
  SUM(
    COUNTIFS('QA Log'!D:D,A188,'QA Log'!M:M,"Vignette",'QA Log'!Z:Z,"Approved",'QA Log'!L:L,"*Vignette [5] Labor*"),
    COUNTIFS('QA Log'!D:D,A188,'QA Log'!M:M,"Vignette",'QA Log'!Z:Z,"Approved",'QA Log'!L:L,"*Vignette [6] PNC pre Discharge*"),
    COUNTIFS('QA Log'!D:D,A188,'QA Log'!M:M,"Vignette",'QA Log'!Z:Z,"Approved",'QA Log'!L:L,"*Vignette [7] First ANC Visit*"),
    COUNTIFS('QA Log'!D:D,A188,'QA Log'!M:M,"Vignette",'QA Log'!Z:Z,"Approved",'QA Log'!L:L,"*Vignette [8] Birth Spacing/ Family Planning :  FP Counselling*"),
    COUNTIFS('QA Log'!D:D,A188,'QA Log'!M:M,"Vignette",'QA Log'!Z:Z,"Approved",'QA Log'!L:L,"*Vignette [9] Birth Spacing: Change FP method to Injectable*"),
    COUNTIFS('QA Log'!D:D,A188,'QA Log'!M:M,"Vignette",'QA Log'!Z:Z,"Approved",'QA Log'!L:L,"*Vignette [10] Post Partum Haemorrhage - Atonic Uterus at Health Centre*")
  )
)</f>
        <v/>
      </c>
      <c r="BG188" s="105" t="str">
        <f>IF(A188&lt;&gt;"",COUNTIFS('QA Log'!D:D,A188,'QA Log'!M:M,"Vignette",'QA Log'!L:L,"Vignette [5] Labor",'QA Log'!Z:Z,"Approved"),"")</f>
        <v/>
      </c>
      <c r="BH188" s="105" t="str">
        <f>IF(A188&lt;&gt;"",COUNTIFS('QA Log'!D:D,A188,'QA Log'!M:M,"Vignette",'QA Log'!L:L,"Vignette [6] PNC pre Discharge",'QA Log'!Z:Z,"Approved"),"")</f>
        <v/>
      </c>
      <c r="BI188" s="105" t="str">
        <f>IF(A188&lt;&gt;"",COUNTIFS('QA Log'!D:D,A188,'QA Log'!M:M,"Vignette",'QA Log'!L:L,"Vignette [7] First ANC Visit",'QA Log'!Z:Z,"Approved"),"")</f>
        <v/>
      </c>
      <c r="BJ188" s="105" t="str">
        <f>IF(A188&lt;&gt;"",COUNTIFS('QA Log'!D:D,A188,'QA Log'!M:M,"Vignette",'QA Log'!L:L,"Vignette [8] Birth Spacing/ Family Planning :  FP Counselling",'QA Log'!Z:Z,"Approved"),"")</f>
        <v/>
      </c>
      <c r="BK188" s="105" t="str">
        <f>IF(A188&lt;&gt;"",COUNTIFS('QA Log'!D:D,A188,'QA Log'!M:M,"Vignette",'QA Log'!L:L,"Vignette [9] Birth Spacing: Change FP method to Injectable",'QA Log'!Z:Z,"Approved"),"")</f>
        <v/>
      </c>
      <c r="BL188" s="105" t="str">
        <f>IF(A188&lt;&gt;"",COUNTIFS('QA Log'!D:D,A188,'QA Log'!M:M,"Vignette",'QA Log'!L:L,"Vignette [10] Post Partum Haemorrhage - Atonic Uterus at Health Centre",'QA Log'!Z:Z,"Approved"),"")</f>
        <v/>
      </c>
      <c r="BM188" s="102" t="str">
        <f>IF(A188="","",SUM(
    COUNTIFS('QA Log'!D:D,A188,'QA Log'!M:M,"Vignette",'QA Log'!Z:Z,"Rejected",'QA Log'!L:L,"*Vignette [5] Labor*"),
    COUNTIFS('QA Log'!D:D,A188,'QA Log'!M:M,"Vignette",'QA Log'!Z:Z,"Rejected",'QA Log'!L:L,"*Vignette [6] PNC pre Discharge*"),
    COUNTIFS('QA Log'!D:D,A188,'QA Log'!M:M,"Vignette",'QA Log'!Z:Z,"Rejected",'QA Log'!L:L,"*Vignette [7] First ANC Visit*"),
    COUNTIFS('QA Log'!D:D,A188,'QA Log'!M:M,"Vignette",'QA Log'!Z:Z,"Rejected",'QA Log'!L:L,"*Vignette [8] Birth Spacing/ Family Planning :  FP Counselling*"),
    COUNTIFS('QA Log'!D:D,A188,'QA Log'!M:M,"Vignette",'QA Log'!Z:Z,"Rejected",'QA Log'!L:L,"*Vignette [9] Birth Spacing: Change FP method to Injectable*"),
    COUNTIFS('QA Log'!D:D,A188,'QA Log'!M:M,"Vignette",'QA Log'!Z:Z,"Rejected",'QA Log'!L:L,"*Vignette [10] Post Partum Haemorrhage - Atonic Uterus at Health Centre*")
  )
)</f>
        <v/>
      </c>
      <c r="BN188" s="107" t="str">
        <f t="shared" si="11"/>
        <v/>
      </c>
      <c r="BO188" s="103" t="str">
        <f t="shared" si="12"/>
        <v/>
      </c>
      <c r="BP188" s="102" t="str">
        <f>IF(A188="","",SUM(
COUNTIFS('QA Log'!D:D,A188,'QA Log'!M:M,"Vignette",'QA Log'!L:L,"*Exit Interview 1*"),
COUNTIFS('QA Log'!D:D,A188,'QA Log'!M:M,"Vignette",'QA Log'!L:L,"*Exit Interview 2*"),
)
)</f>
        <v/>
      </c>
      <c r="BQ188" s="102" t="str">
        <f>IF(
  A188="","",
  SUM(
    COUNTIFS('QA Log'!D:D,A188,'QA Log'!M:M,"Vignette",'QA Log'!Z:Z,"Approved",'QA Log'!L:L,"*Exit Interview 1*"),
    COUNTIFS('QA Log'!D:D,A188,'QA Log'!M:M,"Vignette",'QA Log'!Z:Z,"Approved",'QA Log'!L:L,"*Exit Interview 2*")
  )
)</f>
        <v/>
      </c>
      <c r="BR188" s="105" t="str">
        <f>IF(A188&lt;&gt;"",COUNTIFS('QA Log'!D:D,A188,'QA Log'!M:M,"Vignette",'QA Log'!L:L,"Exit Interview 1",'QA Log'!Z:Z,"Approved"),"")</f>
        <v/>
      </c>
      <c r="BS188" s="105" t="str">
        <f>IF(A188&lt;&gt;"",COUNTIFS('QA Log'!D:D,A188,'QA Log'!M:M,"Vignette",'QA Log'!L:L,"Exit Interview 2",'QA Log'!Z:Z,"Approved"),"")</f>
        <v/>
      </c>
      <c r="BT188" s="102" t="str">
        <f>IF(
  A188="","",
  SUM(
    COUNTIFS('QA Log'!D:D,A188,'QA Log'!M:M,"Vignette",'QA Log'!Z:Z,"Rejected",'QA Log'!L:L,"*Exit Interview 1*"),
    COUNTIFS('QA Log'!D:D,A188,'QA Log'!M:M,"Vignette",'QA Log'!Z:Z,"Rejected",'QA Log'!L:L,"*Exit Interview 2*")
  )
)</f>
        <v/>
      </c>
      <c r="BU188" s="107" t="str">
        <f t="shared" si="13"/>
        <v/>
      </c>
      <c r="BV188" s="102" t="str">
        <f t="shared" si="14"/>
        <v/>
      </c>
      <c r="BW188" s="102" t="str">
        <f t="shared" si="15"/>
        <v/>
      </c>
      <c r="BX188" s="102" t="str">
        <f t="shared" si="16"/>
        <v/>
      </c>
      <c r="BY188" s="102" t="str">
        <f t="shared" si="17"/>
        <v/>
      </c>
      <c r="BZ188" s="107" t="str">
        <f t="shared" si="18"/>
        <v/>
      </c>
      <c r="CA188" s="108" t="str">
        <f t="shared" si="19"/>
        <v/>
      </c>
      <c r="CB188" s="108" t="str">
        <f t="shared" si="20"/>
        <v/>
      </c>
      <c r="CC188" s="109" t="str">
        <f t="shared" si="21"/>
        <v/>
      </c>
      <c r="CD188" s="108" t="str">
        <f t="shared" si="22"/>
        <v/>
      </c>
      <c r="CE188" s="108" t="str">
        <f t="shared" si="23"/>
        <v/>
      </c>
      <c r="CF188" s="109" t="str">
        <f t="shared" si="24"/>
        <v/>
      </c>
      <c r="CG188" s="110" t="str">
        <f t="shared" si="25"/>
        <v/>
      </c>
      <c r="CH188" s="111"/>
    </row>
    <row r="189" spans="1:86" ht="12.75">
      <c r="A189" s="101"/>
      <c r="B189" s="102" t="e">
        <f t="array" aca="1" ref="B189" ca="1">_xludf.XLOOKUP(A189,'QA Log'!D:D,'QA Log'!E:E,"")</f>
        <v>#NAME?</v>
      </c>
      <c r="C189" s="102" t="e">
        <f t="array" aca="1" ref="C189" ca="1">_xludf.XLOOKUP(A189,'QA Log'!D:D,'QA Log'!F:F,"")</f>
        <v>#NAME?</v>
      </c>
      <c r="D189" s="102" t="e">
        <f t="array" aca="1" ref="D189" ca="1">_xludf.XLOOKUP(A189,'QA Log'!D:D,'QA Log'!H:H,"")</f>
        <v>#NAME?</v>
      </c>
      <c r="E189" s="102" t="e">
        <f t="array" aca="1" ref="E189" ca="1">_xludf.XLOOKUP(A189,'QA Log'!D:D,'QA Log'!G:G,"")</f>
        <v>#NAME?</v>
      </c>
      <c r="F189" s="103"/>
      <c r="G189" s="104"/>
      <c r="H189" s="104"/>
      <c r="I189" s="103" t="str">
        <f t="shared" si="0"/>
        <v/>
      </c>
      <c r="J189" s="102" t="str">
        <f>IF(A189="","",SUM(
COUNTIFS('QA Log'!D:D,A189,'QA Log'!M:M,"QQC",'QA Log'!L:L,"*1. General Management*"),
COUNTIFS('QA Log'!D:D,A189,'QA Log'!M:M,"QQC",'QA Log'!L:L,"*3. Curative Consultation (OPD)*"),
COUNTIFS('QA Log'!D:D,A189,'QA Log'!M:M,"QQC",'QA Log'!L:L,"*5. Laboratory*"),
COUNTIFS('QA Log'!D:D,A189,'QA Log'!M:M,"QQC",'QA Log'!L:L,"*6. Essential Medicine Management*"),
COUNTIFS('QA Log'!D:D,A189,'QA Log'!M:M,"QQC",'QA Log'!L:L,"*7. Tracer Medicine*"),
COUNTIFS('QA Log'!D:D,A189,'QA Log'!M:M,"QQC",'QA Log'!L:L,"*11. Additional Questions*")))</f>
        <v/>
      </c>
      <c r="K189" s="102" t="str">
        <f>IF(A189="","",SUM(
COUNTIFS('QA Log'!D:D,A189,'QA Log'!M:M,"QQC",'QA Log'!Z:Z,"Approved",'QA Log'!L:L,"*1. General Management*"),
COUNTIFS('QA Log'!D:D,A189,'QA Log'!M:M,"QQC",'QA Log'!Z:Z,"Approved",'QA Log'!L:L,"*3. Curative Consultation (OPD)*"),
COUNTIFS('QA Log'!D:D,A189,'QA Log'!M:M,"QQC",'QA Log'!Z:Z,"Approved",'QA Log'!L:L,"*5. Laboratory*"),
COUNTIFS('QA Log'!D:D,A189,'QA Log'!M:M,"QQC",'QA Log'!Z:Z,"Approved",'QA Log'!L:L,"*6. Essential Medicine Management*"),
COUNTIFS('QA Log'!D:D,A189,'QA Log'!M:M,"QQC",'QA Log'!Z:Z,"Approved",'QA Log'!L:L,"*7. Tracer Medicine*"),
COUNTIFS('QA Log'!D:D,A189,'QA Log'!M:M,"QQC",'QA Log'!Z:Z,"Approved",'QA Log'!L:L,"*11. Additional Questions*")))</f>
        <v/>
      </c>
      <c r="L189" s="105" t="str">
        <f>IF(A189&lt;&gt;"",COUNTIFS('QA Log'!D:D,A189,'QA Log'!M:M,"QQC",'QA Log'!L:L,"1. General Management",'QA Log'!Z:Z,"Approved"),"")</f>
        <v/>
      </c>
      <c r="M189" s="105" t="str">
        <f>IF(A189&lt;&gt;"",COUNTIFS('QA Log'!D:D,A189,'QA Log'!M:M,"QQC",'QA Log'!L:L,"3. Curative Consultation (OPD)",'QA Log'!Z:Z,"Approved"),"")</f>
        <v/>
      </c>
      <c r="N189" s="105" t="str">
        <f>IF(A189&lt;&gt;"",COUNTIFS('QA Log'!D:D,A189,'QA Log'!M:M,"QQC",'QA Log'!L:L,"5. Laboratory",'QA Log'!Z:Z,"Approved"),"")</f>
        <v/>
      </c>
      <c r="O189" s="105" t="str">
        <f>IF(A189&lt;&gt;"",COUNTIFS('QA Log'!D:D,A189,'QA Log'!M:M,"QQC",'QA Log'!L:L,"6. Essential Medicine Management",'QA Log'!Z:Z,"Approved"),"")</f>
        <v/>
      </c>
      <c r="P189" s="105" t="str">
        <f>IF(A189&lt;&gt;"",COUNTIFS('QA Log'!D:D,A189,'QA Log'!M:M,"QQC",'QA Log'!L:L,"7. Tracer Medicine",'QA Log'!Z:Z,"Approved"),"")</f>
        <v/>
      </c>
      <c r="Q189" s="105" t="str">
        <f>IF(A189&lt;&gt;"",COUNTIFS('QA Log'!D:D,A189,'QA Log'!M:M,"QQC",'QA Log'!L:L,"11. Additional Questions",'QA Log'!Z:Z,"Approved"),"")</f>
        <v/>
      </c>
      <c r="R189" s="102" t="str">
        <f>IF(A189="","",SUM(
COUNTIFS('QA Log'!D:D,A189,'QA Log'!M:M,"QQC",'QA Log'!Z:Z,"Rejected",'QA Log'!L:L,"*8. Maternity*"),
COUNTIFS('QA Log'!D:D,A189,'QA Log'!M:M,"QQC",'QA Log'!Z:Z,"Rejected",'QA Log'!L:L,"*EPI*"),
COUNTIFS('QA Log'!D:D,A189,'QA Log'!M:M,"QQC",'QA Log'!Z:Z,"Rejected",'QA Log'!L:L,"*10. Antenatal Care (ANC)*"),
COUNTIFS('QA Log'!D:D,A189,'QA Log'!M:M,"QQC",'QA Log'!Z:Z,"Rejected",'QA Log'!L:L,"*2. Hygiene and Sterilization*"),
COUNTIFS('QA Log'!D:D,A189,'QA Log'!M:M,"QQC",'QA Log'!Z:Z,"Rejected",'QA Log'!L:L,"*Family Planning*")))</f>
        <v/>
      </c>
      <c r="S189" s="106" t="str">
        <f t="shared" si="1"/>
        <v/>
      </c>
      <c r="T189" s="102" t="str">
        <f t="shared" si="2"/>
        <v/>
      </c>
      <c r="U189" s="102" t="str">
        <f>IF(A189="","",
SUM(
COUNTIFS('QA Log'!D:D,A189,'QA Log'!M:M,"QQC",'QA Log'!L:L,"*8. Maternity*"),
COUNTIFS('QA Log'!D:D,A189,'QA Log'!M:M,"QQC",'QA Log'!L:L,"*9. EPI and Pre-school Consultation*"),
COUNTIFS('QA Log'!D:D,A189,'QA Log'!M:M,"QQC",'QA Log'!L:L,"*10. Antenatal Care (ANC)*"),
COUNTIFS('QA Log'!D:D,A189,'QA Log'!M:M,"QQC",'QA Log'!L:L,"*2. Hygiene and Sterilization*"),
COUNTIFS('QA Log'!D:D,A189,'QA Log'!M:M,"QQC",'QA Log'!L:L,"*4. Family Planning*")
))</f>
        <v/>
      </c>
      <c r="V189" s="102" t="str">
        <f>IF(A189="","",
SUM(
COUNTIFS('QA Log'!D:D,A189,'QA Log'!M:M,"QQC",'QA Log'!Z:Z,"Approved",'QA Log'!L:L,"*8. Maternity*"),
COUNTIFS('QA Log'!D:D,A189,'QA Log'!M:M,"QQC",'QA Log'!Z:Z,"Approved",'QA Log'!L:L,"*9. EPI and Pre-school Consultation*"),
COUNTIFS('QA Log'!D:D,A189,'QA Log'!M:M,"QQC",'QA Log'!Z:Z,"Approved",'QA Log'!L:L,"*10. Antenatal Care (ANC)*"),
COUNTIFS('QA Log'!D:D,A189,'QA Log'!M:M,"QQC",'QA Log'!Z:Z,"Approved",'QA Log'!L:L,"*2. Hygiene and Sterilization*"),
COUNTIFS('QA Log'!D:D,A189,'QA Log'!M:M,"QQC",'QA Log'!Z:Z,"Approved",'QA Log'!L:L,"*4. Family Planning*")
))</f>
        <v/>
      </c>
      <c r="W189" s="105" t="str">
        <f>IF(A189&lt;&gt;"",COUNTIFS('QA Log'!D:D,A189,'QA Log'!M:M,"QQC",'QA Log'!L:L,"8. Maternity",'QA Log'!Z:Z,"Approved"),"")</f>
        <v/>
      </c>
      <c r="X189" s="105" t="str">
        <f>IF(A189&lt;&gt;"",COUNTIFS('QA Log'!D:D,A189,'QA Log'!M:M,"QQC",'QA Log'!L:L,"9. EPI and Pre-school Consultation",'QA Log'!Z:Z,"Approved"),"")</f>
        <v/>
      </c>
      <c r="Y189" s="105" t="str">
        <f>IF(A189&lt;&gt;"",COUNTIFS('QA Log'!D:D,A189,'QA Log'!M:M,"QQC",'QA Log'!L:L,"10. Antenatal Care (ANC)",'QA Log'!Z:Z,"Approved"),"")</f>
        <v/>
      </c>
      <c r="Z189" s="105" t="str">
        <f>IF(A189&lt;&gt;"",COUNTIFS('QA Log'!D:D,A189,'QA Log'!M:M,"QQC",'QA Log'!L:L,"2. Hygiene and Sterilization",'QA Log'!Z:Z,"Approved"),"")</f>
        <v/>
      </c>
      <c r="AA189" s="105" t="str">
        <f>IF(A189&lt;&gt;"",COUNTIFS('QA Log'!D:D,A189,'QA Log'!M:M,"QQC",'QA Log'!L:L,"4. Family Planning",'QA Log'!Z:Z,"Approved"),"")</f>
        <v/>
      </c>
      <c r="AB189" s="102" t="str">
        <f>IF(A189="","",
SUM(
COUNTIFS('QA Log'!D:D,A189,'QA Log'!M:M,"QQC",'QA Log'!Z:Z,"Rejected",'QA Log'!L:L,"*8. Maternity*"),
COUNTIFS('QA Log'!D:D,A189,'QA Log'!M:M,"QQC",'QA Log'!Z:Z,"Rejected",'QA Log'!L:L,"*9. EPI and Pre-school Consultation*"),
COUNTIFS('QA Log'!D:D,A189,'QA Log'!M:M,"QQC",'QA Log'!Z:Z,"Rejected",'QA Log'!L:L,"*10. Antenatal Care (ANC)*"),
COUNTIFS('QA Log'!D:D,A189,'QA Log'!M:M,"QQC",'QA Log'!Z:Z,"Rejected",'QA Log'!L:L,"*2. Hygiene and Sterilization*"),
COUNTIFS('QA Log'!D:D,A189,'QA Log'!M:M,"QQC",'QA Log'!Z:Z,"Rejected",'QA Log'!L:L,"*4. Family Planning*")
))</f>
        <v/>
      </c>
      <c r="AC189" s="102" t="str">
        <f t="shared" si="3"/>
        <v/>
      </c>
      <c r="AD189" s="103" t="str">
        <f t="shared" si="4"/>
        <v/>
      </c>
      <c r="AE189" s="102" t="str">
        <f>IF(A189="","",
SUM(
COUNTIFS('QA Log'!D:D,A189,'QA Log'!M:M,"Data Verification",'QA Log'!L:L,"*Medicine (section 2)*"),
COUNTIFS('QA Log'!D:D,A189,'QA Log'!M:M,"Data Verification",'QA Log'!L:L,"*Lab Testing Availability*"),
COUNTIFS('QA Log'!D:D,A189,'QA Log'!M:M,"Data Verification",'QA Log'!L:L,"*Other than P4P (section 6)*"),
COUNTIFS('QA Log'!D:D,A189,'QA Log'!M:M,"Data Verification",'QA Log'!L:L,"*Hospital Governance*")
))</f>
        <v/>
      </c>
      <c r="AF189" s="102" t="str">
        <f>IF(A189="","",
SUM(
COUNTIFS('QA Log'!D:D,A189,'QA Log'!M:M,"Data Verification",'QA Log'!Z:Z,"Approved",'QA Log'!L:L,"*Medicine (section 2)*"),
COUNTIFS('QA Log'!D:D,A189,'QA Log'!M:M,"Data Verification",'QA Log'!Z:Z,"Approved",'QA Log'!L:L,"*Lab Testing Availability*"),
COUNTIFS('QA Log'!D:D,A189,'QA Log'!M:M,"Data Verification",'QA Log'!Z:Z,"Approved",'QA Log'!L:L,"*Other than P4P (section 6)*"),
COUNTIFS('QA Log'!D:D,A189,'QA Log'!M:M,"Data Verification",'QA Log'!Z:Z,"Approved",'QA Log'!L:L,"*Hospital Governance*")
))</f>
        <v/>
      </c>
      <c r="AG189" s="105" t="str">
        <f>IF(A189&lt;&gt;"",COUNTIFS('QA Log'!D:D,A189,'QA Log'!M:M,"Data Verification",'QA Log'!L:L,"Medicine (section 2)",'QA Log'!Z:Z,"Approved"),"")</f>
        <v/>
      </c>
      <c r="AH189" s="105" t="str">
        <f>IF(A189&lt;&gt;"",COUNTIFS('QA Log'!D:D,A189,'QA Log'!M:M,"Data Verification",'QA Log'!L:L,"Lab Testing Availability",'QA Log'!Z:Z,"Approved"),"")</f>
        <v/>
      </c>
      <c r="AI189" s="105" t="str">
        <f>IF(A189&lt;&gt;"",COUNTIFS('QA Log'!D:D,A189,'QA Log'!M:M,"Data Verification",'QA Log'!L:L,"Other than P4P (section 6)",'QA Log'!Z:Z,"Approved"),"")</f>
        <v/>
      </c>
      <c r="AJ189" s="105" t="str">
        <f>IF(A189&lt;&gt;"",COUNTIFS('QA Log'!D:D,A189,'QA Log'!M:M,"Data Verification",'QA Log'!L:L,"Hospital Governance",'QA Log'!Z:Z,"Approved"),"")</f>
        <v/>
      </c>
      <c r="AK189" s="102" t="str">
        <f>IF(A189="","",
SUM(
COUNTIFS('QA Log'!D:D,A189,'QA Log'!M:M,"Data Verification",'QA Log'!Z:Z,"Rejected",'QA Log'!L:L,"*Medicine (section 2)*"),
COUNTIFS('QA Log'!D:D,A189,'QA Log'!M:M,"Data Verification",'QA Log'!Z:Z,"Rejected",'QA Log'!L:L,"*Lab Testing Availability*"),
COUNTIFS('QA Log'!D:D,A189,'QA Log'!M:M,"Data Verification",'QA Log'!Z:Z,"Rejected",'QA Log'!L:L,"*Other than P4P (section 6)*"),
COUNTIFS('QA Log'!D:D,A189,'QA Log'!M:M,"Data Verification",'QA Log'!Z:Z,"Rejected",'QA Log'!L:L,"*Hospital Governance*")
))</f>
        <v/>
      </c>
      <c r="AL189" s="106" t="str">
        <f t="shared" si="5"/>
        <v/>
      </c>
      <c r="AM189" s="102" t="str">
        <f t="shared" si="6"/>
        <v/>
      </c>
      <c r="AN189" s="102" t="str">
        <f>IF(A189="","",
SUM(
COUNTIFS('QA Log'!D:D,A189,'QA Log'!M:M,"Data Verification",'QA Log'!L:L,"*Personnel (section 1)*"),
COUNTIFS('QA Log'!D:D,A189,'QA Log'!M:M,"Data Verification",'QA Log'!L:L,"*Consumable (section 3)*"),
COUNTIFS('QA Log'!D:D,A189,'QA Log'!M:M,"Data Verification",'QA Log'!L:L,"*Equipments (section 4)*")
))</f>
        <v/>
      </c>
      <c r="AO189" s="102" t="str">
        <f>IF(A189="","",
SUM(
COUNTIFS('QA Log'!D:D,A189,'QA Log'!M:M,"Data Verification",'QA Log'!Z:Z,"Approved",'QA Log'!L:L,"*Personnel (section 1)*"),
COUNTIFS('QA Log'!D:D,A189,'QA Log'!M:M,"Data Verification",'QA Log'!Z:Z,"Approved",'QA Log'!L:L,"*Consumable (section 3)*"),
COUNTIFS('QA Log'!D:D,A189,'QA Log'!M:M,"Data Verification",'QA Log'!Z:Z,"Approved",'QA Log'!L:L,"*Equipments (section 4)*")
))</f>
        <v/>
      </c>
      <c r="AP189" s="105" t="str">
        <f>IF(A189&lt;&gt;"",COUNTIFS('QA Log'!D:D,A189,'QA Log'!M:M,"Data Verification",'QA Log'!L:L,"Personnel (section 1)",'QA Log'!Z:Z,"Approved"),"")</f>
        <v/>
      </c>
      <c r="AQ189" s="105" t="str">
        <f>IF(A189&lt;&gt;"",COUNTIFS('QA Log'!D:D,A189,'QA Log'!M:M,"Data Verification",'QA Log'!L:L,"Consumable (section 3)",'QA Log'!Z:Z,"Approved"),"")</f>
        <v/>
      </c>
      <c r="AR189" s="105" t="str">
        <f>IF(A189&lt;&gt;"",COUNTIFS('QA Log'!D:D,A189,'QA Log'!M:M,"Data Verification",'QA Log'!L:L,"Equipments (section 4)",'QA Log'!Z:Z,"Approved"),"")</f>
        <v/>
      </c>
      <c r="AS189" s="102" t="str">
        <f>IF(A189="","",
SUM(
COUNTIFS('QA Log'!D:D,A189,'QA Log'!M:M,"Data Verification",'QA Log'!Z:Z,"Rejected",'QA Log'!L:L,"*Personnel (section 1)*"),
COUNTIFS('QA Log'!D:D,A189,'QA Log'!M:M,"Data Verification",'QA Log'!Z:Z,"Rejected",'QA Log'!L:L,"*Consumable (section 3)*"),
COUNTIFS('QA Log'!D:D,A189,'QA Log'!M:M,"Data Verification",'QA Log'!Z:Z,"Rejected",'QA Log'!L:L,"*Equipments (section 4)*")
))</f>
        <v/>
      </c>
      <c r="AT189" s="102" t="str">
        <f t="shared" si="7"/>
        <v/>
      </c>
      <c r="AU189" s="103" t="str">
        <f t="shared" si="8"/>
        <v/>
      </c>
      <c r="AV189" s="102" t="str">
        <f>IF(A189="","",SUM(
COUNTIFS('QA Log'!D:D,A189,'QA Log'!M:M,"Vignette",'QA Log'!L:L,"*Vignette [1] Respiratory Infection: Pneumonia*"),
COUNTIFS('QA Log'!D:D,A189,'QA Log'!M:M,"Vignette",'QA Log'!L:L,"*Vignette [2]: Diarrhea with Cat B dehydration*"),
COUNTIFS('QA Log'!D:D,A189,'QA Log'!M:M,"Vignette",'QA Log'!L:L,"*Vignette [3] Growth Monitoring and Promotion*"),
COUNTIFS('QA Log'!D:D,A189,'QA Log'!M:M,"Vignette",'QA Log'!L:L,"*Vignette [4]: The management of presumptive TB patient*")
)
)</f>
        <v/>
      </c>
      <c r="AW189" s="102" t="str">
        <f>IF(
  A189="","",
  SUM(
    COUNTIFS('QA Log'!D:D,A189,'QA Log'!M:M,"Vignette",'QA Log'!Z:Z,"Approved",'QA Log'!L:L,"*Vignette [1] Respiratory Infection: Pneumonia*"),
    COUNTIFS('QA Log'!D:D,A189,'QA Log'!M:M,"Vignette",'QA Log'!Z:Z,"Approved",'QA Log'!L:L,"*Vignette [2]: Diarrhea with Cat B dehydration*"),
    COUNTIFS('QA Log'!D:D,A189,'QA Log'!M:M,"Vignette",'QA Log'!Z:Z,"Approved",'QA Log'!L:L,"*Vignette [3] Growth Monitoring and Promotion*"),
    COUNTIFS('QA Log'!D:D,A189,'QA Log'!M:M,"Vignette",'QA Log'!Z:Z,"Approved",'QA Log'!L:L,"*Vignette [4]: The management of presumptive TB patient*")
  )
)</f>
        <v/>
      </c>
      <c r="AX189" s="105" t="str">
        <f>IF(A189&lt;&gt;"",COUNTIFS('QA Log'!D:D,A189,'QA Log'!M:M,"Vignette",'QA Log'!L:L,"Vignette [1] Respiratory Infection: Pneumonia",'QA Log'!Z:Z,"Approved"),"")</f>
        <v/>
      </c>
      <c r="AY189" s="105" t="str">
        <f>IF(A189&lt;&gt;"",COUNTIFS('QA Log'!D:D,A189,'QA Log'!M:M,"Vignette",'QA Log'!L:L,"Vignette [2]: Diarrhea with Cat B dehydration",'QA Log'!Z:Z,"Approved"),"")</f>
        <v/>
      </c>
      <c r="AZ189" s="105" t="str">
        <f>IF(A189&lt;&gt;"",COUNTIFS('QA Log'!D:D,A189,'QA Log'!M:M,"Vignette",'QA Log'!L:L,"Vignette [3] Growth Monitoring and Promotion",'QA Log'!Z:Z,"Approved"),"")</f>
        <v/>
      </c>
      <c r="BA189" s="105" t="str">
        <f>IF(A189&lt;&gt;"",COUNTIFS('QA Log'!D:D,A189,'QA Log'!M:M,"Vignette",'QA Log'!L:L,"Vignette [4]: The management of presumptive TB patient",'QA Log'!Z:Z,"Approved"),"")</f>
        <v/>
      </c>
      <c r="BB189" s="102" t="str">
        <f>IF(A189="","",
  SUM(
    COUNTIFS('QA Log'!D:D,A189,'QA Log'!M:M,"Vignette",'QA Log'!Z:Z,"Rejected",'QA Log'!L:L,"*Vignette [1] Respiratory Infection: Pneumonia*"),
    COUNTIFS('QA Log'!D:D,A189,'QA Log'!M:M,"Vignette",'QA Log'!Z:Z,"Rejected",'QA Log'!L:L,"*Vignette [2]: Diarrhea with Cat B dehydration*"),
    COUNTIFS('QA Log'!D:D,A189,'QA Log'!M:M,"Vignette",'QA Log'!Z:Z,"Rejected",'QA Log'!L:L,"*Vignette [3] Growth Monitoring and Promotion*"),
    COUNTIFS('QA Log'!D:D,A189,'QA Log'!M:M,"Vignette",'QA Log'!Z:Z,"Rejected",'QA Log'!L:L,"*Vignette [4]: The management of presumptive TB patient*")
  )
)</f>
        <v/>
      </c>
      <c r="BC189" s="107" t="str">
        <f t="shared" si="9"/>
        <v/>
      </c>
      <c r="BD189" s="103" t="str">
        <f t="shared" si="10"/>
        <v/>
      </c>
      <c r="BE189" s="102" t="str">
        <f>IF(A189="","",SUM(
COUNTIFS('QA Log'!D:D,A189,'QA Log'!M:M,"Vignette",'QA Log'!L:L,"*Vignette [5] Labor*"),
COUNTIFS('QA Log'!D:D,A189,'QA Log'!M:M,"Vignette",'QA Log'!L:L,"*Vignette [6] PNC pre Discharge*"),
COUNTIFS('QA Log'!D:D,A189,'QA Log'!M:M,"Vignette",'QA Log'!L:L,"*Vignette [7] First ANC Visit*"),
COUNTIFS('QA Log'!D:D,A189,'QA Log'!M:M,"Vignette",'QA Log'!L:L,"*Vignette [8] Birth Spacing/ Family Planning :  FP Counselling*"),
COUNTIFS('QA Log'!D:D,A189,'QA Log'!M:M,"Vignette",'QA Log'!L:L,"*Vignette [9] Birth Spacing: Change FP method to Injectable*"),
COUNTIFS('QA Log'!D:D,A189,'QA Log'!M:M,"Vignette",'QA Log'!L:L,"*Vignette [10] Post Partum Haemorrhage - Atonic Uterus at Health Centre*"),
)
)</f>
        <v/>
      </c>
      <c r="BF189" s="102" t="str">
        <f>IF(A189="","",
  SUM(
    COUNTIFS('QA Log'!D:D,A189,'QA Log'!M:M,"Vignette",'QA Log'!Z:Z,"Approved",'QA Log'!L:L,"*Vignette [5] Labor*"),
    COUNTIFS('QA Log'!D:D,A189,'QA Log'!M:M,"Vignette",'QA Log'!Z:Z,"Approved",'QA Log'!L:L,"*Vignette [6] PNC pre Discharge*"),
    COUNTIFS('QA Log'!D:D,A189,'QA Log'!M:M,"Vignette",'QA Log'!Z:Z,"Approved",'QA Log'!L:L,"*Vignette [7] First ANC Visit*"),
    COUNTIFS('QA Log'!D:D,A189,'QA Log'!M:M,"Vignette",'QA Log'!Z:Z,"Approved",'QA Log'!L:L,"*Vignette [8] Birth Spacing/ Family Planning :  FP Counselling*"),
    COUNTIFS('QA Log'!D:D,A189,'QA Log'!M:M,"Vignette",'QA Log'!Z:Z,"Approved",'QA Log'!L:L,"*Vignette [9] Birth Spacing: Change FP method to Injectable*"),
    COUNTIFS('QA Log'!D:D,A189,'QA Log'!M:M,"Vignette",'QA Log'!Z:Z,"Approved",'QA Log'!L:L,"*Vignette [10] Post Partum Haemorrhage - Atonic Uterus at Health Centre*")
  )
)</f>
        <v/>
      </c>
      <c r="BG189" s="105" t="str">
        <f>IF(A189&lt;&gt;"",COUNTIFS('QA Log'!D:D,A189,'QA Log'!M:M,"Vignette",'QA Log'!L:L,"Vignette [5] Labor",'QA Log'!Z:Z,"Approved"),"")</f>
        <v/>
      </c>
      <c r="BH189" s="105" t="str">
        <f>IF(A189&lt;&gt;"",COUNTIFS('QA Log'!D:D,A189,'QA Log'!M:M,"Vignette",'QA Log'!L:L,"Vignette [6] PNC pre Discharge",'QA Log'!Z:Z,"Approved"),"")</f>
        <v/>
      </c>
      <c r="BI189" s="105" t="str">
        <f>IF(A189&lt;&gt;"",COUNTIFS('QA Log'!D:D,A189,'QA Log'!M:M,"Vignette",'QA Log'!L:L,"Vignette [7] First ANC Visit",'QA Log'!Z:Z,"Approved"),"")</f>
        <v/>
      </c>
      <c r="BJ189" s="105" t="str">
        <f>IF(A189&lt;&gt;"",COUNTIFS('QA Log'!D:D,A189,'QA Log'!M:M,"Vignette",'QA Log'!L:L,"Vignette [8] Birth Spacing/ Family Planning :  FP Counselling",'QA Log'!Z:Z,"Approved"),"")</f>
        <v/>
      </c>
      <c r="BK189" s="105" t="str">
        <f>IF(A189&lt;&gt;"",COUNTIFS('QA Log'!D:D,A189,'QA Log'!M:M,"Vignette",'QA Log'!L:L,"Vignette [9] Birth Spacing: Change FP method to Injectable",'QA Log'!Z:Z,"Approved"),"")</f>
        <v/>
      </c>
      <c r="BL189" s="105" t="str">
        <f>IF(A189&lt;&gt;"",COUNTIFS('QA Log'!D:D,A189,'QA Log'!M:M,"Vignette",'QA Log'!L:L,"Vignette [10] Post Partum Haemorrhage - Atonic Uterus at Health Centre",'QA Log'!Z:Z,"Approved"),"")</f>
        <v/>
      </c>
      <c r="BM189" s="102" t="str">
        <f>IF(A189="","",SUM(
    COUNTIFS('QA Log'!D:D,A189,'QA Log'!M:M,"Vignette",'QA Log'!Z:Z,"Rejected",'QA Log'!L:L,"*Vignette [5] Labor*"),
    COUNTIFS('QA Log'!D:D,A189,'QA Log'!M:M,"Vignette",'QA Log'!Z:Z,"Rejected",'QA Log'!L:L,"*Vignette [6] PNC pre Discharge*"),
    COUNTIFS('QA Log'!D:D,A189,'QA Log'!M:M,"Vignette",'QA Log'!Z:Z,"Rejected",'QA Log'!L:L,"*Vignette [7] First ANC Visit*"),
    COUNTIFS('QA Log'!D:D,A189,'QA Log'!M:M,"Vignette",'QA Log'!Z:Z,"Rejected",'QA Log'!L:L,"*Vignette [8] Birth Spacing/ Family Planning :  FP Counselling*"),
    COUNTIFS('QA Log'!D:D,A189,'QA Log'!M:M,"Vignette",'QA Log'!Z:Z,"Rejected",'QA Log'!L:L,"*Vignette [9] Birth Spacing: Change FP method to Injectable*"),
    COUNTIFS('QA Log'!D:D,A189,'QA Log'!M:M,"Vignette",'QA Log'!Z:Z,"Rejected",'QA Log'!L:L,"*Vignette [10] Post Partum Haemorrhage - Atonic Uterus at Health Centre*")
  )
)</f>
        <v/>
      </c>
      <c r="BN189" s="107" t="str">
        <f t="shared" si="11"/>
        <v/>
      </c>
      <c r="BO189" s="103" t="str">
        <f t="shared" si="12"/>
        <v/>
      </c>
      <c r="BP189" s="102" t="str">
        <f>IF(A189="","",SUM(
COUNTIFS('QA Log'!D:D,A189,'QA Log'!M:M,"Vignette",'QA Log'!L:L,"*Exit Interview 1*"),
COUNTIFS('QA Log'!D:D,A189,'QA Log'!M:M,"Vignette",'QA Log'!L:L,"*Exit Interview 2*"),
)
)</f>
        <v/>
      </c>
      <c r="BQ189" s="102" t="str">
        <f>IF(
  A189="","",
  SUM(
    COUNTIFS('QA Log'!D:D,A189,'QA Log'!M:M,"Vignette",'QA Log'!Z:Z,"Approved",'QA Log'!L:L,"*Exit Interview 1*"),
    COUNTIFS('QA Log'!D:D,A189,'QA Log'!M:M,"Vignette",'QA Log'!Z:Z,"Approved",'QA Log'!L:L,"*Exit Interview 2*")
  )
)</f>
        <v/>
      </c>
      <c r="BR189" s="105" t="str">
        <f>IF(A189&lt;&gt;"",COUNTIFS('QA Log'!D:D,A189,'QA Log'!M:M,"Vignette",'QA Log'!L:L,"Exit Interview 1",'QA Log'!Z:Z,"Approved"),"")</f>
        <v/>
      </c>
      <c r="BS189" s="105" t="str">
        <f>IF(A189&lt;&gt;"",COUNTIFS('QA Log'!D:D,A189,'QA Log'!M:M,"Vignette",'QA Log'!L:L,"Exit Interview 2",'QA Log'!Z:Z,"Approved"),"")</f>
        <v/>
      </c>
      <c r="BT189" s="102" t="str">
        <f>IF(
  A189="","",
  SUM(
    COUNTIFS('QA Log'!D:D,A189,'QA Log'!M:M,"Vignette",'QA Log'!Z:Z,"Rejected",'QA Log'!L:L,"*Exit Interview 1*"),
    COUNTIFS('QA Log'!D:D,A189,'QA Log'!M:M,"Vignette",'QA Log'!Z:Z,"Rejected",'QA Log'!L:L,"*Exit Interview 2*")
  )
)</f>
        <v/>
      </c>
      <c r="BU189" s="107" t="str">
        <f t="shared" si="13"/>
        <v/>
      </c>
      <c r="BV189" s="102" t="str">
        <f t="shared" si="14"/>
        <v/>
      </c>
      <c r="BW189" s="102" t="str">
        <f t="shared" si="15"/>
        <v/>
      </c>
      <c r="BX189" s="102" t="str">
        <f t="shared" si="16"/>
        <v/>
      </c>
      <c r="BY189" s="102" t="str">
        <f t="shared" si="17"/>
        <v/>
      </c>
      <c r="BZ189" s="107" t="str">
        <f t="shared" si="18"/>
        <v/>
      </c>
      <c r="CA189" s="108" t="str">
        <f t="shared" si="19"/>
        <v/>
      </c>
      <c r="CB189" s="108" t="str">
        <f t="shared" si="20"/>
        <v/>
      </c>
      <c r="CC189" s="109" t="str">
        <f t="shared" si="21"/>
        <v/>
      </c>
      <c r="CD189" s="108" t="str">
        <f t="shared" si="22"/>
        <v/>
      </c>
      <c r="CE189" s="108" t="str">
        <f t="shared" si="23"/>
        <v/>
      </c>
      <c r="CF189" s="109" t="str">
        <f t="shared" si="24"/>
        <v/>
      </c>
      <c r="CG189" s="110" t="str">
        <f t="shared" si="25"/>
        <v/>
      </c>
      <c r="CH189" s="111"/>
    </row>
    <row r="190" spans="1:86" ht="12.75">
      <c r="A190" s="101"/>
      <c r="B190" s="102" t="e">
        <f t="array" aca="1" ref="B190" ca="1">_xludf.XLOOKUP(A190,'QA Log'!D:D,'QA Log'!E:E,"")</f>
        <v>#NAME?</v>
      </c>
      <c r="C190" s="102" t="e">
        <f t="array" aca="1" ref="C190" ca="1">_xludf.XLOOKUP(A190,'QA Log'!D:D,'QA Log'!F:F,"")</f>
        <v>#NAME?</v>
      </c>
      <c r="D190" s="102" t="e">
        <f t="array" aca="1" ref="D190" ca="1">_xludf.XLOOKUP(A190,'QA Log'!D:D,'QA Log'!H:H,"")</f>
        <v>#NAME?</v>
      </c>
      <c r="E190" s="102" t="e">
        <f t="array" aca="1" ref="E190" ca="1">_xludf.XLOOKUP(A190,'QA Log'!D:D,'QA Log'!G:G,"")</f>
        <v>#NAME?</v>
      </c>
      <c r="F190" s="103"/>
      <c r="G190" s="104"/>
      <c r="H190" s="104"/>
      <c r="I190" s="103" t="str">
        <f t="shared" si="0"/>
        <v/>
      </c>
      <c r="J190" s="102" t="str">
        <f>IF(A190="","",SUM(
COUNTIFS('QA Log'!D:D,A190,'QA Log'!M:M,"QQC",'QA Log'!L:L,"*1. General Management*"),
COUNTIFS('QA Log'!D:D,A190,'QA Log'!M:M,"QQC",'QA Log'!L:L,"*3. Curative Consultation (OPD)*"),
COUNTIFS('QA Log'!D:D,A190,'QA Log'!M:M,"QQC",'QA Log'!L:L,"*5. Laboratory*"),
COUNTIFS('QA Log'!D:D,A190,'QA Log'!M:M,"QQC",'QA Log'!L:L,"*6. Essential Medicine Management*"),
COUNTIFS('QA Log'!D:D,A190,'QA Log'!M:M,"QQC",'QA Log'!L:L,"*7. Tracer Medicine*"),
COUNTIFS('QA Log'!D:D,A190,'QA Log'!M:M,"QQC",'QA Log'!L:L,"*11. Additional Questions*")))</f>
        <v/>
      </c>
      <c r="K190" s="102" t="str">
        <f>IF(A190="","",SUM(
COUNTIFS('QA Log'!D:D,A190,'QA Log'!M:M,"QQC",'QA Log'!Z:Z,"Approved",'QA Log'!L:L,"*1. General Management*"),
COUNTIFS('QA Log'!D:D,A190,'QA Log'!M:M,"QQC",'QA Log'!Z:Z,"Approved",'QA Log'!L:L,"*3. Curative Consultation (OPD)*"),
COUNTIFS('QA Log'!D:D,A190,'QA Log'!M:M,"QQC",'QA Log'!Z:Z,"Approved",'QA Log'!L:L,"*5. Laboratory*"),
COUNTIFS('QA Log'!D:D,A190,'QA Log'!M:M,"QQC",'QA Log'!Z:Z,"Approved",'QA Log'!L:L,"*6. Essential Medicine Management*"),
COUNTIFS('QA Log'!D:D,A190,'QA Log'!M:M,"QQC",'QA Log'!Z:Z,"Approved",'QA Log'!L:L,"*7. Tracer Medicine*"),
COUNTIFS('QA Log'!D:D,A190,'QA Log'!M:M,"QQC",'QA Log'!Z:Z,"Approved",'QA Log'!L:L,"*11. Additional Questions*")))</f>
        <v/>
      </c>
      <c r="L190" s="105" t="str">
        <f>IF(A190&lt;&gt;"",COUNTIFS('QA Log'!D:D,A190,'QA Log'!M:M,"QQC",'QA Log'!L:L,"1. General Management",'QA Log'!Z:Z,"Approved"),"")</f>
        <v/>
      </c>
      <c r="M190" s="105" t="str">
        <f>IF(A190&lt;&gt;"",COUNTIFS('QA Log'!D:D,A190,'QA Log'!M:M,"QQC",'QA Log'!L:L,"3. Curative Consultation (OPD)",'QA Log'!Z:Z,"Approved"),"")</f>
        <v/>
      </c>
      <c r="N190" s="105" t="str">
        <f>IF(A190&lt;&gt;"",COUNTIFS('QA Log'!D:D,A190,'QA Log'!M:M,"QQC",'QA Log'!L:L,"5. Laboratory",'QA Log'!Z:Z,"Approved"),"")</f>
        <v/>
      </c>
      <c r="O190" s="105" t="str">
        <f>IF(A190&lt;&gt;"",COUNTIFS('QA Log'!D:D,A190,'QA Log'!M:M,"QQC",'QA Log'!L:L,"6. Essential Medicine Management",'QA Log'!Z:Z,"Approved"),"")</f>
        <v/>
      </c>
      <c r="P190" s="105" t="str">
        <f>IF(A190&lt;&gt;"",COUNTIFS('QA Log'!D:D,A190,'QA Log'!M:M,"QQC",'QA Log'!L:L,"7. Tracer Medicine",'QA Log'!Z:Z,"Approved"),"")</f>
        <v/>
      </c>
      <c r="Q190" s="105" t="str">
        <f>IF(A190&lt;&gt;"",COUNTIFS('QA Log'!D:D,A190,'QA Log'!M:M,"QQC",'QA Log'!L:L,"11. Additional Questions",'QA Log'!Z:Z,"Approved"),"")</f>
        <v/>
      </c>
      <c r="R190" s="102" t="str">
        <f>IF(A190="","",SUM(
COUNTIFS('QA Log'!D:D,A190,'QA Log'!M:M,"QQC",'QA Log'!Z:Z,"Rejected",'QA Log'!L:L,"*8. Maternity*"),
COUNTIFS('QA Log'!D:D,A190,'QA Log'!M:M,"QQC",'QA Log'!Z:Z,"Rejected",'QA Log'!L:L,"*EPI*"),
COUNTIFS('QA Log'!D:D,A190,'QA Log'!M:M,"QQC",'QA Log'!Z:Z,"Rejected",'QA Log'!L:L,"*10. Antenatal Care (ANC)*"),
COUNTIFS('QA Log'!D:D,A190,'QA Log'!M:M,"QQC",'QA Log'!Z:Z,"Rejected",'QA Log'!L:L,"*2. Hygiene and Sterilization*"),
COUNTIFS('QA Log'!D:D,A190,'QA Log'!M:M,"QQC",'QA Log'!Z:Z,"Rejected",'QA Log'!L:L,"*Family Planning*")))</f>
        <v/>
      </c>
      <c r="S190" s="106" t="str">
        <f t="shared" si="1"/>
        <v/>
      </c>
      <c r="T190" s="102" t="str">
        <f t="shared" si="2"/>
        <v/>
      </c>
      <c r="U190" s="102" t="str">
        <f>IF(A190="","",
SUM(
COUNTIFS('QA Log'!D:D,A190,'QA Log'!M:M,"QQC",'QA Log'!L:L,"*8. Maternity*"),
COUNTIFS('QA Log'!D:D,A190,'QA Log'!M:M,"QQC",'QA Log'!L:L,"*9. EPI and Pre-school Consultation*"),
COUNTIFS('QA Log'!D:D,A190,'QA Log'!M:M,"QQC",'QA Log'!L:L,"*10. Antenatal Care (ANC)*"),
COUNTIFS('QA Log'!D:D,A190,'QA Log'!M:M,"QQC",'QA Log'!L:L,"*2. Hygiene and Sterilization*"),
COUNTIFS('QA Log'!D:D,A190,'QA Log'!M:M,"QQC",'QA Log'!L:L,"*4. Family Planning*")
))</f>
        <v/>
      </c>
      <c r="V190" s="102" t="str">
        <f>IF(A190="","",
SUM(
COUNTIFS('QA Log'!D:D,A190,'QA Log'!M:M,"QQC",'QA Log'!Z:Z,"Approved",'QA Log'!L:L,"*8. Maternity*"),
COUNTIFS('QA Log'!D:D,A190,'QA Log'!M:M,"QQC",'QA Log'!Z:Z,"Approved",'QA Log'!L:L,"*9. EPI and Pre-school Consultation*"),
COUNTIFS('QA Log'!D:D,A190,'QA Log'!M:M,"QQC",'QA Log'!Z:Z,"Approved",'QA Log'!L:L,"*10. Antenatal Care (ANC)*"),
COUNTIFS('QA Log'!D:D,A190,'QA Log'!M:M,"QQC",'QA Log'!Z:Z,"Approved",'QA Log'!L:L,"*2. Hygiene and Sterilization*"),
COUNTIFS('QA Log'!D:D,A190,'QA Log'!M:M,"QQC",'QA Log'!Z:Z,"Approved",'QA Log'!L:L,"*4. Family Planning*")
))</f>
        <v/>
      </c>
      <c r="W190" s="105" t="str">
        <f>IF(A190&lt;&gt;"",COUNTIFS('QA Log'!D:D,A190,'QA Log'!M:M,"QQC",'QA Log'!L:L,"8. Maternity",'QA Log'!Z:Z,"Approved"),"")</f>
        <v/>
      </c>
      <c r="X190" s="105" t="str">
        <f>IF(A190&lt;&gt;"",COUNTIFS('QA Log'!D:D,A190,'QA Log'!M:M,"QQC",'QA Log'!L:L,"9. EPI and Pre-school Consultation",'QA Log'!Z:Z,"Approved"),"")</f>
        <v/>
      </c>
      <c r="Y190" s="105" t="str">
        <f>IF(A190&lt;&gt;"",COUNTIFS('QA Log'!D:D,A190,'QA Log'!M:M,"QQC",'QA Log'!L:L,"10. Antenatal Care (ANC)",'QA Log'!Z:Z,"Approved"),"")</f>
        <v/>
      </c>
      <c r="Z190" s="105" t="str">
        <f>IF(A190&lt;&gt;"",COUNTIFS('QA Log'!D:D,A190,'QA Log'!M:M,"QQC",'QA Log'!L:L,"2. Hygiene and Sterilization",'QA Log'!Z:Z,"Approved"),"")</f>
        <v/>
      </c>
      <c r="AA190" s="105" t="str">
        <f>IF(A190&lt;&gt;"",COUNTIFS('QA Log'!D:D,A190,'QA Log'!M:M,"QQC",'QA Log'!L:L,"4. Family Planning",'QA Log'!Z:Z,"Approved"),"")</f>
        <v/>
      </c>
      <c r="AB190" s="102" t="str">
        <f>IF(A190="","",
SUM(
COUNTIFS('QA Log'!D:D,A190,'QA Log'!M:M,"QQC",'QA Log'!Z:Z,"Rejected",'QA Log'!L:L,"*8. Maternity*"),
COUNTIFS('QA Log'!D:D,A190,'QA Log'!M:M,"QQC",'QA Log'!Z:Z,"Rejected",'QA Log'!L:L,"*9. EPI and Pre-school Consultation*"),
COUNTIFS('QA Log'!D:D,A190,'QA Log'!M:M,"QQC",'QA Log'!Z:Z,"Rejected",'QA Log'!L:L,"*10. Antenatal Care (ANC)*"),
COUNTIFS('QA Log'!D:D,A190,'QA Log'!M:M,"QQC",'QA Log'!Z:Z,"Rejected",'QA Log'!L:L,"*2. Hygiene and Sterilization*"),
COUNTIFS('QA Log'!D:D,A190,'QA Log'!M:M,"QQC",'QA Log'!Z:Z,"Rejected",'QA Log'!L:L,"*4. Family Planning*")
))</f>
        <v/>
      </c>
      <c r="AC190" s="102" t="str">
        <f t="shared" si="3"/>
        <v/>
      </c>
      <c r="AD190" s="103" t="str">
        <f t="shared" si="4"/>
        <v/>
      </c>
      <c r="AE190" s="102" t="str">
        <f>IF(A190="","",
SUM(
COUNTIFS('QA Log'!D:D,A190,'QA Log'!M:M,"Data Verification",'QA Log'!L:L,"*Medicine (section 2)*"),
COUNTIFS('QA Log'!D:D,A190,'QA Log'!M:M,"Data Verification",'QA Log'!L:L,"*Lab Testing Availability*"),
COUNTIFS('QA Log'!D:D,A190,'QA Log'!M:M,"Data Verification",'QA Log'!L:L,"*Other than P4P (section 6)*"),
COUNTIFS('QA Log'!D:D,A190,'QA Log'!M:M,"Data Verification",'QA Log'!L:L,"*Hospital Governance*")
))</f>
        <v/>
      </c>
      <c r="AF190" s="102" t="str">
        <f>IF(A190="","",
SUM(
COUNTIFS('QA Log'!D:D,A190,'QA Log'!M:M,"Data Verification",'QA Log'!Z:Z,"Approved",'QA Log'!L:L,"*Medicine (section 2)*"),
COUNTIFS('QA Log'!D:D,A190,'QA Log'!M:M,"Data Verification",'QA Log'!Z:Z,"Approved",'QA Log'!L:L,"*Lab Testing Availability*"),
COUNTIFS('QA Log'!D:D,A190,'QA Log'!M:M,"Data Verification",'QA Log'!Z:Z,"Approved",'QA Log'!L:L,"*Other than P4P (section 6)*"),
COUNTIFS('QA Log'!D:D,A190,'QA Log'!M:M,"Data Verification",'QA Log'!Z:Z,"Approved",'QA Log'!L:L,"*Hospital Governance*")
))</f>
        <v/>
      </c>
      <c r="AG190" s="105" t="str">
        <f>IF(A190&lt;&gt;"",COUNTIFS('QA Log'!D:D,A190,'QA Log'!M:M,"Data Verification",'QA Log'!L:L,"Medicine (section 2)",'QA Log'!Z:Z,"Approved"),"")</f>
        <v/>
      </c>
      <c r="AH190" s="105" t="str">
        <f>IF(A190&lt;&gt;"",COUNTIFS('QA Log'!D:D,A190,'QA Log'!M:M,"Data Verification",'QA Log'!L:L,"Lab Testing Availability",'QA Log'!Z:Z,"Approved"),"")</f>
        <v/>
      </c>
      <c r="AI190" s="105" t="str">
        <f>IF(A190&lt;&gt;"",COUNTIFS('QA Log'!D:D,A190,'QA Log'!M:M,"Data Verification",'QA Log'!L:L,"Other than P4P (section 6)",'QA Log'!Z:Z,"Approved"),"")</f>
        <v/>
      </c>
      <c r="AJ190" s="105" t="str">
        <f>IF(A190&lt;&gt;"",COUNTIFS('QA Log'!D:D,A190,'QA Log'!M:M,"Data Verification",'QA Log'!L:L,"Hospital Governance",'QA Log'!Z:Z,"Approved"),"")</f>
        <v/>
      </c>
      <c r="AK190" s="102" t="str">
        <f>IF(A190="","",
SUM(
COUNTIFS('QA Log'!D:D,A190,'QA Log'!M:M,"Data Verification",'QA Log'!Z:Z,"Rejected",'QA Log'!L:L,"*Medicine (section 2)*"),
COUNTIFS('QA Log'!D:D,A190,'QA Log'!M:M,"Data Verification",'QA Log'!Z:Z,"Rejected",'QA Log'!L:L,"*Lab Testing Availability*"),
COUNTIFS('QA Log'!D:D,A190,'QA Log'!M:M,"Data Verification",'QA Log'!Z:Z,"Rejected",'QA Log'!L:L,"*Other than P4P (section 6)*"),
COUNTIFS('QA Log'!D:D,A190,'QA Log'!M:M,"Data Verification",'QA Log'!Z:Z,"Rejected",'QA Log'!L:L,"*Hospital Governance*")
))</f>
        <v/>
      </c>
      <c r="AL190" s="106" t="str">
        <f t="shared" si="5"/>
        <v/>
      </c>
      <c r="AM190" s="102" t="str">
        <f t="shared" si="6"/>
        <v/>
      </c>
      <c r="AN190" s="102" t="str">
        <f>IF(A190="","",
SUM(
COUNTIFS('QA Log'!D:D,A190,'QA Log'!M:M,"Data Verification",'QA Log'!L:L,"*Personnel (section 1)*"),
COUNTIFS('QA Log'!D:D,A190,'QA Log'!M:M,"Data Verification",'QA Log'!L:L,"*Consumable (section 3)*"),
COUNTIFS('QA Log'!D:D,A190,'QA Log'!M:M,"Data Verification",'QA Log'!L:L,"*Equipments (section 4)*")
))</f>
        <v/>
      </c>
      <c r="AO190" s="102" t="str">
        <f>IF(A190="","",
SUM(
COUNTIFS('QA Log'!D:D,A190,'QA Log'!M:M,"Data Verification",'QA Log'!Z:Z,"Approved",'QA Log'!L:L,"*Personnel (section 1)*"),
COUNTIFS('QA Log'!D:D,A190,'QA Log'!M:M,"Data Verification",'QA Log'!Z:Z,"Approved",'QA Log'!L:L,"*Consumable (section 3)*"),
COUNTIFS('QA Log'!D:D,A190,'QA Log'!M:M,"Data Verification",'QA Log'!Z:Z,"Approved",'QA Log'!L:L,"*Equipments (section 4)*")
))</f>
        <v/>
      </c>
      <c r="AP190" s="105" t="str">
        <f>IF(A190&lt;&gt;"",COUNTIFS('QA Log'!D:D,A190,'QA Log'!M:M,"Data Verification",'QA Log'!L:L,"Personnel (section 1)",'QA Log'!Z:Z,"Approved"),"")</f>
        <v/>
      </c>
      <c r="AQ190" s="105" t="str">
        <f>IF(A190&lt;&gt;"",COUNTIFS('QA Log'!D:D,A190,'QA Log'!M:M,"Data Verification",'QA Log'!L:L,"Consumable (section 3)",'QA Log'!Z:Z,"Approved"),"")</f>
        <v/>
      </c>
      <c r="AR190" s="105" t="str">
        <f>IF(A190&lt;&gt;"",COUNTIFS('QA Log'!D:D,A190,'QA Log'!M:M,"Data Verification",'QA Log'!L:L,"Equipments (section 4)",'QA Log'!Z:Z,"Approved"),"")</f>
        <v/>
      </c>
      <c r="AS190" s="102" t="str">
        <f>IF(A190="","",
SUM(
COUNTIFS('QA Log'!D:D,A190,'QA Log'!M:M,"Data Verification",'QA Log'!Z:Z,"Rejected",'QA Log'!L:L,"*Personnel (section 1)*"),
COUNTIFS('QA Log'!D:D,A190,'QA Log'!M:M,"Data Verification",'QA Log'!Z:Z,"Rejected",'QA Log'!L:L,"*Consumable (section 3)*"),
COUNTIFS('QA Log'!D:D,A190,'QA Log'!M:M,"Data Verification",'QA Log'!Z:Z,"Rejected",'QA Log'!L:L,"*Equipments (section 4)*")
))</f>
        <v/>
      </c>
      <c r="AT190" s="102" t="str">
        <f t="shared" si="7"/>
        <v/>
      </c>
      <c r="AU190" s="103" t="str">
        <f t="shared" si="8"/>
        <v/>
      </c>
      <c r="AV190" s="102" t="str">
        <f>IF(A190="","",SUM(
COUNTIFS('QA Log'!D:D,A190,'QA Log'!M:M,"Vignette",'QA Log'!L:L,"*Vignette [1] Respiratory Infection: Pneumonia*"),
COUNTIFS('QA Log'!D:D,A190,'QA Log'!M:M,"Vignette",'QA Log'!L:L,"*Vignette [2]: Diarrhea with Cat B dehydration*"),
COUNTIFS('QA Log'!D:D,A190,'QA Log'!M:M,"Vignette",'QA Log'!L:L,"*Vignette [3] Growth Monitoring and Promotion*"),
COUNTIFS('QA Log'!D:D,A190,'QA Log'!M:M,"Vignette",'QA Log'!L:L,"*Vignette [4]: The management of presumptive TB patient*")
)
)</f>
        <v/>
      </c>
      <c r="AW190" s="102" t="str">
        <f>IF(
  A190="","",
  SUM(
    COUNTIFS('QA Log'!D:D,A190,'QA Log'!M:M,"Vignette",'QA Log'!Z:Z,"Approved",'QA Log'!L:L,"*Vignette [1] Respiratory Infection: Pneumonia*"),
    COUNTIFS('QA Log'!D:D,A190,'QA Log'!M:M,"Vignette",'QA Log'!Z:Z,"Approved",'QA Log'!L:L,"*Vignette [2]: Diarrhea with Cat B dehydration*"),
    COUNTIFS('QA Log'!D:D,A190,'QA Log'!M:M,"Vignette",'QA Log'!Z:Z,"Approved",'QA Log'!L:L,"*Vignette [3] Growth Monitoring and Promotion*"),
    COUNTIFS('QA Log'!D:D,A190,'QA Log'!M:M,"Vignette",'QA Log'!Z:Z,"Approved",'QA Log'!L:L,"*Vignette [4]: The management of presumptive TB patient*")
  )
)</f>
        <v/>
      </c>
      <c r="AX190" s="105" t="str">
        <f>IF(A190&lt;&gt;"",COUNTIFS('QA Log'!D:D,A190,'QA Log'!M:M,"Vignette",'QA Log'!L:L,"Vignette [1] Respiratory Infection: Pneumonia",'QA Log'!Z:Z,"Approved"),"")</f>
        <v/>
      </c>
      <c r="AY190" s="105" t="str">
        <f>IF(A190&lt;&gt;"",COUNTIFS('QA Log'!D:D,A190,'QA Log'!M:M,"Vignette",'QA Log'!L:L,"Vignette [2]: Diarrhea with Cat B dehydration",'QA Log'!Z:Z,"Approved"),"")</f>
        <v/>
      </c>
      <c r="AZ190" s="105" t="str">
        <f>IF(A190&lt;&gt;"",COUNTIFS('QA Log'!D:D,A190,'QA Log'!M:M,"Vignette",'QA Log'!L:L,"Vignette [3] Growth Monitoring and Promotion",'QA Log'!Z:Z,"Approved"),"")</f>
        <v/>
      </c>
      <c r="BA190" s="105" t="str">
        <f>IF(A190&lt;&gt;"",COUNTIFS('QA Log'!D:D,A190,'QA Log'!M:M,"Vignette",'QA Log'!L:L,"Vignette [4]: The management of presumptive TB patient",'QA Log'!Z:Z,"Approved"),"")</f>
        <v/>
      </c>
      <c r="BB190" s="102" t="str">
        <f>IF(A190="","",
  SUM(
    COUNTIFS('QA Log'!D:D,A190,'QA Log'!M:M,"Vignette",'QA Log'!Z:Z,"Rejected",'QA Log'!L:L,"*Vignette [1] Respiratory Infection: Pneumonia*"),
    COUNTIFS('QA Log'!D:D,A190,'QA Log'!M:M,"Vignette",'QA Log'!Z:Z,"Rejected",'QA Log'!L:L,"*Vignette [2]: Diarrhea with Cat B dehydration*"),
    COUNTIFS('QA Log'!D:D,A190,'QA Log'!M:M,"Vignette",'QA Log'!Z:Z,"Rejected",'QA Log'!L:L,"*Vignette [3] Growth Monitoring and Promotion*"),
    COUNTIFS('QA Log'!D:D,A190,'QA Log'!M:M,"Vignette",'QA Log'!Z:Z,"Rejected",'QA Log'!L:L,"*Vignette [4]: The management of presumptive TB patient*")
  )
)</f>
        <v/>
      </c>
      <c r="BC190" s="107" t="str">
        <f t="shared" si="9"/>
        <v/>
      </c>
      <c r="BD190" s="103" t="str">
        <f t="shared" si="10"/>
        <v/>
      </c>
      <c r="BE190" s="102" t="str">
        <f>IF(A190="","",SUM(
COUNTIFS('QA Log'!D:D,A190,'QA Log'!M:M,"Vignette",'QA Log'!L:L,"*Vignette [5] Labor*"),
COUNTIFS('QA Log'!D:D,A190,'QA Log'!M:M,"Vignette",'QA Log'!L:L,"*Vignette [6] PNC pre Discharge*"),
COUNTIFS('QA Log'!D:D,A190,'QA Log'!M:M,"Vignette",'QA Log'!L:L,"*Vignette [7] First ANC Visit*"),
COUNTIFS('QA Log'!D:D,A190,'QA Log'!M:M,"Vignette",'QA Log'!L:L,"*Vignette [8] Birth Spacing/ Family Planning :  FP Counselling*"),
COUNTIFS('QA Log'!D:D,A190,'QA Log'!M:M,"Vignette",'QA Log'!L:L,"*Vignette [9] Birth Spacing: Change FP method to Injectable*"),
COUNTIFS('QA Log'!D:D,A190,'QA Log'!M:M,"Vignette",'QA Log'!L:L,"*Vignette [10] Post Partum Haemorrhage - Atonic Uterus at Health Centre*"),
)
)</f>
        <v/>
      </c>
      <c r="BF190" s="102" t="str">
        <f>IF(A190="","",
  SUM(
    COUNTIFS('QA Log'!D:D,A190,'QA Log'!M:M,"Vignette",'QA Log'!Z:Z,"Approved",'QA Log'!L:L,"*Vignette [5] Labor*"),
    COUNTIFS('QA Log'!D:D,A190,'QA Log'!M:M,"Vignette",'QA Log'!Z:Z,"Approved",'QA Log'!L:L,"*Vignette [6] PNC pre Discharge*"),
    COUNTIFS('QA Log'!D:D,A190,'QA Log'!M:M,"Vignette",'QA Log'!Z:Z,"Approved",'QA Log'!L:L,"*Vignette [7] First ANC Visit*"),
    COUNTIFS('QA Log'!D:D,A190,'QA Log'!M:M,"Vignette",'QA Log'!Z:Z,"Approved",'QA Log'!L:L,"*Vignette [8] Birth Spacing/ Family Planning :  FP Counselling*"),
    COUNTIFS('QA Log'!D:D,A190,'QA Log'!M:M,"Vignette",'QA Log'!Z:Z,"Approved",'QA Log'!L:L,"*Vignette [9] Birth Spacing: Change FP method to Injectable*"),
    COUNTIFS('QA Log'!D:D,A190,'QA Log'!M:M,"Vignette",'QA Log'!Z:Z,"Approved",'QA Log'!L:L,"*Vignette [10] Post Partum Haemorrhage - Atonic Uterus at Health Centre*")
  )
)</f>
        <v/>
      </c>
      <c r="BG190" s="105" t="str">
        <f>IF(A190&lt;&gt;"",COUNTIFS('QA Log'!D:D,A190,'QA Log'!M:M,"Vignette",'QA Log'!L:L,"Vignette [5] Labor",'QA Log'!Z:Z,"Approved"),"")</f>
        <v/>
      </c>
      <c r="BH190" s="105" t="str">
        <f>IF(A190&lt;&gt;"",COUNTIFS('QA Log'!D:D,A190,'QA Log'!M:M,"Vignette",'QA Log'!L:L,"Vignette [6] PNC pre Discharge",'QA Log'!Z:Z,"Approved"),"")</f>
        <v/>
      </c>
      <c r="BI190" s="105" t="str">
        <f>IF(A190&lt;&gt;"",COUNTIFS('QA Log'!D:D,A190,'QA Log'!M:M,"Vignette",'QA Log'!L:L,"Vignette [7] First ANC Visit",'QA Log'!Z:Z,"Approved"),"")</f>
        <v/>
      </c>
      <c r="BJ190" s="105" t="str">
        <f>IF(A190&lt;&gt;"",COUNTIFS('QA Log'!D:D,A190,'QA Log'!M:M,"Vignette",'QA Log'!L:L,"Vignette [8] Birth Spacing/ Family Planning :  FP Counselling",'QA Log'!Z:Z,"Approved"),"")</f>
        <v/>
      </c>
      <c r="BK190" s="105" t="str">
        <f>IF(A190&lt;&gt;"",COUNTIFS('QA Log'!D:D,A190,'QA Log'!M:M,"Vignette",'QA Log'!L:L,"Vignette [9] Birth Spacing: Change FP method to Injectable",'QA Log'!Z:Z,"Approved"),"")</f>
        <v/>
      </c>
      <c r="BL190" s="105" t="str">
        <f>IF(A190&lt;&gt;"",COUNTIFS('QA Log'!D:D,A190,'QA Log'!M:M,"Vignette",'QA Log'!L:L,"Vignette [10] Post Partum Haemorrhage - Atonic Uterus at Health Centre",'QA Log'!Z:Z,"Approved"),"")</f>
        <v/>
      </c>
      <c r="BM190" s="102" t="str">
        <f>IF(A190="","",SUM(
    COUNTIFS('QA Log'!D:D,A190,'QA Log'!M:M,"Vignette",'QA Log'!Z:Z,"Rejected",'QA Log'!L:L,"*Vignette [5] Labor*"),
    COUNTIFS('QA Log'!D:D,A190,'QA Log'!M:M,"Vignette",'QA Log'!Z:Z,"Rejected",'QA Log'!L:L,"*Vignette [6] PNC pre Discharge*"),
    COUNTIFS('QA Log'!D:D,A190,'QA Log'!M:M,"Vignette",'QA Log'!Z:Z,"Rejected",'QA Log'!L:L,"*Vignette [7] First ANC Visit*"),
    COUNTIFS('QA Log'!D:D,A190,'QA Log'!M:M,"Vignette",'QA Log'!Z:Z,"Rejected",'QA Log'!L:L,"*Vignette [8] Birth Spacing/ Family Planning :  FP Counselling*"),
    COUNTIFS('QA Log'!D:D,A190,'QA Log'!M:M,"Vignette",'QA Log'!Z:Z,"Rejected",'QA Log'!L:L,"*Vignette [9] Birth Spacing: Change FP method to Injectable*"),
    COUNTIFS('QA Log'!D:D,A190,'QA Log'!M:M,"Vignette",'QA Log'!Z:Z,"Rejected",'QA Log'!L:L,"*Vignette [10] Post Partum Haemorrhage - Atonic Uterus at Health Centre*")
  )
)</f>
        <v/>
      </c>
      <c r="BN190" s="107" t="str">
        <f t="shared" si="11"/>
        <v/>
      </c>
      <c r="BO190" s="103" t="str">
        <f t="shared" si="12"/>
        <v/>
      </c>
      <c r="BP190" s="102" t="str">
        <f>IF(A190="","",SUM(
COUNTIFS('QA Log'!D:D,A190,'QA Log'!M:M,"Vignette",'QA Log'!L:L,"*Exit Interview 1*"),
COUNTIFS('QA Log'!D:D,A190,'QA Log'!M:M,"Vignette",'QA Log'!L:L,"*Exit Interview 2*"),
)
)</f>
        <v/>
      </c>
      <c r="BQ190" s="102" t="str">
        <f>IF(
  A190="","",
  SUM(
    COUNTIFS('QA Log'!D:D,A190,'QA Log'!M:M,"Vignette",'QA Log'!Z:Z,"Approved",'QA Log'!L:L,"*Exit Interview 1*"),
    COUNTIFS('QA Log'!D:D,A190,'QA Log'!M:M,"Vignette",'QA Log'!Z:Z,"Approved",'QA Log'!L:L,"*Exit Interview 2*")
  )
)</f>
        <v/>
      </c>
      <c r="BR190" s="105" t="str">
        <f>IF(A190&lt;&gt;"",COUNTIFS('QA Log'!D:D,A190,'QA Log'!M:M,"Vignette",'QA Log'!L:L,"Exit Interview 1",'QA Log'!Z:Z,"Approved"),"")</f>
        <v/>
      </c>
      <c r="BS190" s="105" t="str">
        <f>IF(A190&lt;&gt;"",COUNTIFS('QA Log'!D:D,A190,'QA Log'!M:M,"Vignette",'QA Log'!L:L,"Exit Interview 2",'QA Log'!Z:Z,"Approved"),"")</f>
        <v/>
      </c>
      <c r="BT190" s="102" t="str">
        <f>IF(
  A190="","",
  SUM(
    COUNTIFS('QA Log'!D:D,A190,'QA Log'!M:M,"Vignette",'QA Log'!Z:Z,"Rejected",'QA Log'!L:L,"*Exit Interview 1*"),
    COUNTIFS('QA Log'!D:D,A190,'QA Log'!M:M,"Vignette",'QA Log'!Z:Z,"Rejected",'QA Log'!L:L,"*Exit Interview 2*")
  )
)</f>
        <v/>
      </c>
      <c r="BU190" s="107" t="str">
        <f t="shared" si="13"/>
        <v/>
      </c>
      <c r="BV190" s="102" t="str">
        <f t="shared" si="14"/>
        <v/>
      </c>
      <c r="BW190" s="102" t="str">
        <f t="shared" si="15"/>
        <v/>
      </c>
      <c r="BX190" s="102" t="str">
        <f t="shared" si="16"/>
        <v/>
      </c>
      <c r="BY190" s="102" t="str">
        <f t="shared" si="17"/>
        <v/>
      </c>
      <c r="BZ190" s="107" t="str">
        <f t="shared" si="18"/>
        <v/>
      </c>
      <c r="CA190" s="108" t="str">
        <f t="shared" si="19"/>
        <v/>
      </c>
      <c r="CB190" s="108" t="str">
        <f t="shared" si="20"/>
        <v/>
      </c>
      <c r="CC190" s="109" t="str">
        <f t="shared" si="21"/>
        <v/>
      </c>
      <c r="CD190" s="108" t="str">
        <f t="shared" si="22"/>
        <v/>
      </c>
      <c r="CE190" s="108" t="str">
        <f t="shared" si="23"/>
        <v/>
      </c>
      <c r="CF190" s="109" t="str">
        <f t="shared" si="24"/>
        <v/>
      </c>
      <c r="CG190" s="110" t="str">
        <f t="shared" si="25"/>
        <v/>
      </c>
      <c r="CH190" s="111"/>
    </row>
    <row r="191" spans="1:86" ht="12.75">
      <c r="A191" s="101"/>
      <c r="B191" s="102" t="e">
        <f t="array" aca="1" ref="B191" ca="1">_xludf.XLOOKUP(A191,'QA Log'!D:D,'QA Log'!E:E,"")</f>
        <v>#NAME?</v>
      </c>
      <c r="C191" s="102" t="e">
        <f t="array" aca="1" ref="C191" ca="1">_xludf.XLOOKUP(A191,'QA Log'!D:D,'QA Log'!F:F,"")</f>
        <v>#NAME?</v>
      </c>
      <c r="D191" s="102" t="e">
        <f t="array" aca="1" ref="D191" ca="1">_xludf.XLOOKUP(A191,'QA Log'!D:D,'QA Log'!H:H,"")</f>
        <v>#NAME?</v>
      </c>
      <c r="E191" s="102" t="e">
        <f t="array" aca="1" ref="E191" ca="1">_xludf.XLOOKUP(A191,'QA Log'!D:D,'QA Log'!G:G,"")</f>
        <v>#NAME?</v>
      </c>
      <c r="F191" s="103"/>
      <c r="G191" s="104"/>
      <c r="H191" s="104"/>
      <c r="I191" s="103" t="str">
        <f t="shared" si="0"/>
        <v/>
      </c>
      <c r="J191" s="102" t="str">
        <f>IF(A191="","",SUM(
COUNTIFS('QA Log'!D:D,A191,'QA Log'!M:M,"QQC",'QA Log'!L:L,"*1. General Management*"),
COUNTIFS('QA Log'!D:D,A191,'QA Log'!M:M,"QQC",'QA Log'!L:L,"*3. Curative Consultation (OPD)*"),
COUNTIFS('QA Log'!D:D,A191,'QA Log'!M:M,"QQC",'QA Log'!L:L,"*5. Laboratory*"),
COUNTIFS('QA Log'!D:D,A191,'QA Log'!M:M,"QQC",'QA Log'!L:L,"*6. Essential Medicine Management*"),
COUNTIFS('QA Log'!D:D,A191,'QA Log'!M:M,"QQC",'QA Log'!L:L,"*7. Tracer Medicine*"),
COUNTIFS('QA Log'!D:D,A191,'QA Log'!M:M,"QQC",'QA Log'!L:L,"*11. Additional Questions*")))</f>
        <v/>
      </c>
      <c r="K191" s="102" t="str">
        <f>IF(A191="","",SUM(
COUNTIFS('QA Log'!D:D,A191,'QA Log'!M:M,"QQC",'QA Log'!Z:Z,"Approved",'QA Log'!L:L,"*1. General Management*"),
COUNTIFS('QA Log'!D:D,A191,'QA Log'!M:M,"QQC",'QA Log'!Z:Z,"Approved",'QA Log'!L:L,"*3. Curative Consultation (OPD)*"),
COUNTIFS('QA Log'!D:D,A191,'QA Log'!M:M,"QQC",'QA Log'!Z:Z,"Approved",'QA Log'!L:L,"*5. Laboratory*"),
COUNTIFS('QA Log'!D:D,A191,'QA Log'!M:M,"QQC",'QA Log'!Z:Z,"Approved",'QA Log'!L:L,"*6. Essential Medicine Management*"),
COUNTIFS('QA Log'!D:D,A191,'QA Log'!M:M,"QQC",'QA Log'!Z:Z,"Approved",'QA Log'!L:L,"*7. Tracer Medicine*"),
COUNTIFS('QA Log'!D:D,A191,'QA Log'!M:M,"QQC",'QA Log'!Z:Z,"Approved",'QA Log'!L:L,"*11. Additional Questions*")))</f>
        <v/>
      </c>
      <c r="L191" s="105" t="str">
        <f>IF(A191&lt;&gt;"",COUNTIFS('QA Log'!D:D,A191,'QA Log'!M:M,"QQC",'QA Log'!L:L,"1. General Management",'QA Log'!Z:Z,"Approved"),"")</f>
        <v/>
      </c>
      <c r="M191" s="105" t="str">
        <f>IF(A191&lt;&gt;"",COUNTIFS('QA Log'!D:D,A191,'QA Log'!M:M,"QQC",'QA Log'!L:L,"3. Curative Consultation (OPD)",'QA Log'!Z:Z,"Approved"),"")</f>
        <v/>
      </c>
      <c r="N191" s="105" t="str">
        <f>IF(A191&lt;&gt;"",COUNTIFS('QA Log'!D:D,A191,'QA Log'!M:M,"QQC",'QA Log'!L:L,"5. Laboratory",'QA Log'!Z:Z,"Approved"),"")</f>
        <v/>
      </c>
      <c r="O191" s="105" t="str">
        <f>IF(A191&lt;&gt;"",COUNTIFS('QA Log'!D:D,A191,'QA Log'!M:M,"QQC",'QA Log'!L:L,"6. Essential Medicine Management",'QA Log'!Z:Z,"Approved"),"")</f>
        <v/>
      </c>
      <c r="P191" s="105" t="str">
        <f>IF(A191&lt;&gt;"",COUNTIFS('QA Log'!D:D,A191,'QA Log'!M:M,"QQC",'QA Log'!L:L,"7. Tracer Medicine",'QA Log'!Z:Z,"Approved"),"")</f>
        <v/>
      </c>
      <c r="Q191" s="105" t="str">
        <f>IF(A191&lt;&gt;"",COUNTIFS('QA Log'!D:D,A191,'QA Log'!M:M,"QQC",'QA Log'!L:L,"11. Additional Questions",'QA Log'!Z:Z,"Approved"),"")</f>
        <v/>
      </c>
      <c r="R191" s="102" t="str">
        <f>IF(A191="","",SUM(
COUNTIFS('QA Log'!D:D,A191,'QA Log'!M:M,"QQC",'QA Log'!Z:Z,"Rejected",'QA Log'!L:L,"*8. Maternity*"),
COUNTIFS('QA Log'!D:D,A191,'QA Log'!M:M,"QQC",'QA Log'!Z:Z,"Rejected",'QA Log'!L:L,"*EPI*"),
COUNTIFS('QA Log'!D:D,A191,'QA Log'!M:M,"QQC",'QA Log'!Z:Z,"Rejected",'QA Log'!L:L,"*10. Antenatal Care (ANC)*"),
COUNTIFS('QA Log'!D:D,A191,'QA Log'!M:M,"QQC",'QA Log'!Z:Z,"Rejected",'QA Log'!L:L,"*2. Hygiene and Sterilization*"),
COUNTIFS('QA Log'!D:D,A191,'QA Log'!M:M,"QQC",'QA Log'!Z:Z,"Rejected",'QA Log'!L:L,"*Family Planning*")))</f>
        <v/>
      </c>
      <c r="S191" s="106" t="str">
        <f t="shared" si="1"/>
        <v/>
      </c>
      <c r="T191" s="102" t="str">
        <f t="shared" si="2"/>
        <v/>
      </c>
      <c r="U191" s="102" t="str">
        <f>IF(A191="","",
SUM(
COUNTIFS('QA Log'!D:D,A191,'QA Log'!M:M,"QQC",'QA Log'!L:L,"*8. Maternity*"),
COUNTIFS('QA Log'!D:D,A191,'QA Log'!M:M,"QQC",'QA Log'!L:L,"*9. EPI and Pre-school Consultation*"),
COUNTIFS('QA Log'!D:D,A191,'QA Log'!M:M,"QQC",'QA Log'!L:L,"*10. Antenatal Care (ANC)*"),
COUNTIFS('QA Log'!D:D,A191,'QA Log'!M:M,"QQC",'QA Log'!L:L,"*2. Hygiene and Sterilization*"),
COUNTIFS('QA Log'!D:D,A191,'QA Log'!M:M,"QQC",'QA Log'!L:L,"*4. Family Planning*")
))</f>
        <v/>
      </c>
      <c r="V191" s="102" t="str">
        <f>IF(A191="","",
SUM(
COUNTIFS('QA Log'!D:D,A191,'QA Log'!M:M,"QQC",'QA Log'!Z:Z,"Approved",'QA Log'!L:L,"*8. Maternity*"),
COUNTIFS('QA Log'!D:D,A191,'QA Log'!M:M,"QQC",'QA Log'!Z:Z,"Approved",'QA Log'!L:L,"*9. EPI and Pre-school Consultation*"),
COUNTIFS('QA Log'!D:D,A191,'QA Log'!M:M,"QQC",'QA Log'!Z:Z,"Approved",'QA Log'!L:L,"*10. Antenatal Care (ANC)*"),
COUNTIFS('QA Log'!D:D,A191,'QA Log'!M:M,"QQC",'QA Log'!Z:Z,"Approved",'QA Log'!L:L,"*2. Hygiene and Sterilization*"),
COUNTIFS('QA Log'!D:D,A191,'QA Log'!M:M,"QQC",'QA Log'!Z:Z,"Approved",'QA Log'!L:L,"*4. Family Planning*")
))</f>
        <v/>
      </c>
      <c r="W191" s="105" t="str">
        <f>IF(A191&lt;&gt;"",COUNTIFS('QA Log'!D:D,A191,'QA Log'!M:M,"QQC",'QA Log'!L:L,"8. Maternity",'QA Log'!Z:Z,"Approved"),"")</f>
        <v/>
      </c>
      <c r="X191" s="105" t="str">
        <f>IF(A191&lt;&gt;"",COUNTIFS('QA Log'!D:D,A191,'QA Log'!M:M,"QQC",'QA Log'!L:L,"9. EPI and Pre-school Consultation",'QA Log'!Z:Z,"Approved"),"")</f>
        <v/>
      </c>
      <c r="Y191" s="105" t="str">
        <f>IF(A191&lt;&gt;"",COUNTIFS('QA Log'!D:D,A191,'QA Log'!M:M,"QQC",'QA Log'!L:L,"10. Antenatal Care (ANC)",'QA Log'!Z:Z,"Approved"),"")</f>
        <v/>
      </c>
      <c r="Z191" s="105" t="str">
        <f>IF(A191&lt;&gt;"",COUNTIFS('QA Log'!D:D,A191,'QA Log'!M:M,"QQC",'QA Log'!L:L,"2. Hygiene and Sterilization",'QA Log'!Z:Z,"Approved"),"")</f>
        <v/>
      </c>
      <c r="AA191" s="105" t="str">
        <f>IF(A191&lt;&gt;"",COUNTIFS('QA Log'!D:D,A191,'QA Log'!M:M,"QQC",'QA Log'!L:L,"4. Family Planning",'QA Log'!Z:Z,"Approved"),"")</f>
        <v/>
      </c>
      <c r="AB191" s="102" t="str">
        <f>IF(A191="","",
SUM(
COUNTIFS('QA Log'!D:D,A191,'QA Log'!M:M,"QQC",'QA Log'!Z:Z,"Rejected",'QA Log'!L:L,"*8. Maternity*"),
COUNTIFS('QA Log'!D:D,A191,'QA Log'!M:M,"QQC",'QA Log'!Z:Z,"Rejected",'QA Log'!L:L,"*9. EPI and Pre-school Consultation*"),
COUNTIFS('QA Log'!D:D,A191,'QA Log'!M:M,"QQC",'QA Log'!Z:Z,"Rejected",'QA Log'!L:L,"*10. Antenatal Care (ANC)*"),
COUNTIFS('QA Log'!D:D,A191,'QA Log'!M:M,"QQC",'QA Log'!Z:Z,"Rejected",'QA Log'!L:L,"*2. Hygiene and Sterilization*"),
COUNTIFS('QA Log'!D:D,A191,'QA Log'!M:M,"QQC",'QA Log'!Z:Z,"Rejected",'QA Log'!L:L,"*4. Family Planning*")
))</f>
        <v/>
      </c>
      <c r="AC191" s="102" t="str">
        <f t="shared" si="3"/>
        <v/>
      </c>
      <c r="AD191" s="103" t="str">
        <f t="shared" si="4"/>
        <v/>
      </c>
      <c r="AE191" s="102" t="str">
        <f>IF(A191="","",
SUM(
COUNTIFS('QA Log'!D:D,A191,'QA Log'!M:M,"Data Verification",'QA Log'!L:L,"*Medicine (section 2)*"),
COUNTIFS('QA Log'!D:D,A191,'QA Log'!M:M,"Data Verification",'QA Log'!L:L,"*Lab Testing Availability*"),
COUNTIFS('QA Log'!D:D,A191,'QA Log'!M:M,"Data Verification",'QA Log'!L:L,"*Other than P4P (section 6)*"),
COUNTIFS('QA Log'!D:D,A191,'QA Log'!M:M,"Data Verification",'QA Log'!L:L,"*Hospital Governance*")
))</f>
        <v/>
      </c>
      <c r="AF191" s="102" t="str">
        <f>IF(A191="","",
SUM(
COUNTIFS('QA Log'!D:D,A191,'QA Log'!M:M,"Data Verification",'QA Log'!Z:Z,"Approved",'QA Log'!L:L,"*Medicine (section 2)*"),
COUNTIFS('QA Log'!D:D,A191,'QA Log'!M:M,"Data Verification",'QA Log'!Z:Z,"Approved",'QA Log'!L:L,"*Lab Testing Availability*"),
COUNTIFS('QA Log'!D:D,A191,'QA Log'!M:M,"Data Verification",'QA Log'!Z:Z,"Approved",'QA Log'!L:L,"*Other than P4P (section 6)*"),
COUNTIFS('QA Log'!D:D,A191,'QA Log'!M:M,"Data Verification",'QA Log'!Z:Z,"Approved",'QA Log'!L:L,"*Hospital Governance*")
))</f>
        <v/>
      </c>
      <c r="AG191" s="105" t="str">
        <f>IF(A191&lt;&gt;"",COUNTIFS('QA Log'!D:D,A191,'QA Log'!M:M,"Data Verification",'QA Log'!L:L,"Medicine (section 2)",'QA Log'!Z:Z,"Approved"),"")</f>
        <v/>
      </c>
      <c r="AH191" s="105" t="str">
        <f>IF(A191&lt;&gt;"",COUNTIFS('QA Log'!D:D,A191,'QA Log'!M:M,"Data Verification",'QA Log'!L:L,"Lab Testing Availability",'QA Log'!Z:Z,"Approved"),"")</f>
        <v/>
      </c>
      <c r="AI191" s="105" t="str">
        <f>IF(A191&lt;&gt;"",COUNTIFS('QA Log'!D:D,A191,'QA Log'!M:M,"Data Verification",'QA Log'!L:L,"Other than P4P (section 6)",'QA Log'!Z:Z,"Approved"),"")</f>
        <v/>
      </c>
      <c r="AJ191" s="105" t="str">
        <f>IF(A191&lt;&gt;"",COUNTIFS('QA Log'!D:D,A191,'QA Log'!M:M,"Data Verification",'QA Log'!L:L,"Hospital Governance",'QA Log'!Z:Z,"Approved"),"")</f>
        <v/>
      </c>
      <c r="AK191" s="102" t="str">
        <f>IF(A191="","",
SUM(
COUNTIFS('QA Log'!D:D,A191,'QA Log'!M:M,"Data Verification",'QA Log'!Z:Z,"Rejected",'QA Log'!L:L,"*Medicine (section 2)*"),
COUNTIFS('QA Log'!D:D,A191,'QA Log'!M:M,"Data Verification",'QA Log'!Z:Z,"Rejected",'QA Log'!L:L,"*Lab Testing Availability*"),
COUNTIFS('QA Log'!D:D,A191,'QA Log'!M:M,"Data Verification",'QA Log'!Z:Z,"Rejected",'QA Log'!L:L,"*Other than P4P (section 6)*"),
COUNTIFS('QA Log'!D:D,A191,'QA Log'!M:M,"Data Verification",'QA Log'!Z:Z,"Rejected",'QA Log'!L:L,"*Hospital Governance*")
))</f>
        <v/>
      </c>
      <c r="AL191" s="106" t="str">
        <f t="shared" si="5"/>
        <v/>
      </c>
      <c r="AM191" s="102" t="str">
        <f t="shared" si="6"/>
        <v/>
      </c>
      <c r="AN191" s="102" t="str">
        <f>IF(A191="","",
SUM(
COUNTIFS('QA Log'!D:D,A191,'QA Log'!M:M,"Data Verification",'QA Log'!L:L,"*Personnel (section 1)*"),
COUNTIFS('QA Log'!D:D,A191,'QA Log'!M:M,"Data Verification",'QA Log'!L:L,"*Consumable (section 3)*"),
COUNTIFS('QA Log'!D:D,A191,'QA Log'!M:M,"Data Verification",'QA Log'!L:L,"*Equipments (section 4)*")
))</f>
        <v/>
      </c>
      <c r="AO191" s="102" t="str">
        <f>IF(A191="","",
SUM(
COUNTIFS('QA Log'!D:D,A191,'QA Log'!M:M,"Data Verification",'QA Log'!Z:Z,"Approved",'QA Log'!L:L,"*Personnel (section 1)*"),
COUNTIFS('QA Log'!D:D,A191,'QA Log'!M:M,"Data Verification",'QA Log'!Z:Z,"Approved",'QA Log'!L:L,"*Consumable (section 3)*"),
COUNTIFS('QA Log'!D:D,A191,'QA Log'!M:M,"Data Verification",'QA Log'!Z:Z,"Approved",'QA Log'!L:L,"*Equipments (section 4)*")
))</f>
        <v/>
      </c>
      <c r="AP191" s="105" t="str">
        <f>IF(A191&lt;&gt;"",COUNTIFS('QA Log'!D:D,A191,'QA Log'!M:M,"Data Verification",'QA Log'!L:L,"Personnel (section 1)",'QA Log'!Z:Z,"Approved"),"")</f>
        <v/>
      </c>
      <c r="AQ191" s="105" t="str">
        <f>IF(A191&lt;&gt;"",COUNTIFS('QA Log'!D:D,A191,'QA Log'!M:M,"Data Verification",'QA Log'!L:L,"Consumable (section 3)",'QA Log'!Z:Z,"Approved"),"")</f>
        <v/>
      </c>
      <c r="AR191" s="105" t="str">
        <f>IF(A191&lt;&gt;"",COUNTIFS('QA Log'!D:D,A191,'QA Log'!M:M,"Data Verification",'QA Log'!L:L,"Equipments (section 4)",'QA Log'!Z:Z,"Approved"),"")</f>
        <v/>
      </c>
      <c r="AS191" s="102" t="str">
        <f>IF(A191="","",
SUM(
COUNTIFS('QA Log'!D:D,A191,'QA Log'!M:M,"Data Verification",'QA Log'!Z:Z,"Rejected",'QA Log'!L:L,"*Personnel (section 1)*"),
COUNTIFS('QA Log'!D:D,A191,'QA Log'!M:M,"Data Verification",'QA Log'!Z:Z,"Rejected",'QA Log'!L:L,"*Consumable (section 3)*"),
COUNTIFS('QA Log'!D:D,A191,'QA Log'!M:M,"Data Verification",'QA Log'!Z:Z,"Rejected",'QA Log'!L:L,"*Equipments (section 4)*")
))</f>
        <v/>
      </c>
      <c r="AT191" s="102" t="str">
        <f t="shared" si="7"/>
        <v/>
      </c>
      <c r="AU191" s="103" t="str">
        <f t="shared" si="8"/>
        <v/>
      </c>
      <c r="AV191" s="102" t="str">
        <f>IF(A191="","",SUM(
COUNTIFS('QA Log'!D:D,A191,'QA Log'!M:M,"Vignette",'QA Log'!L:L,"*Vignette [1] Respiratory Infection: Pneumonia*"),
COUNTIFS('QA Log'!D:D,A191,'QA Log'!M:M,"Vignette",'QA Log'!L:L,"*Vignette [2]: Diarrhea with Cat B dehydration*"),
COUNTIFS('QA Log'!D:D,A191,'QA Log'!M:M,"Vignette",'QA Log'!L:L,"*Vignette [3] Growth Monitoring and Promotion*"),
COUNTIFS('QA Log'!D:D,A191,'QA Log'!M:M,"Vignette",'QA Log'!L:L,"*Vignette [4]: The management of presumptive TB patient*")
)
)</f>
        <v/>
      </c>
      <c r="AW191" s="102" t="str">
        <f>IF(
  A191="","",
  SUM(
    COUNTIFS('QA Log'!D:D,A191,'QA Log'!M:M,"Vignette",'QA Log'!Z:Z,"Approved",'QA Log'!L:L,"*Vignette [1] Respiratory Infection: Pneumonia*"),
    COUNTIFS('QA Log'!D:D,A191,'QA Log'!M:M,"Vignette",'QA Log'!Z:Z,"Approved",'QA Log'!L:L,"*Vignette [2]: Diarrhea with Cat B dehydration*"),
    COUNTIFS('QA Log'!D:D,A191,'QA Log'!M:M,"Vignette",'QA Log'!Z:Z,"Approved",'QA Log'!L:L,"*Vignette [3] Growth Monitoring and Promotion*"),
    COUNTIFS('QA Log'!D:D,A191,'QA Log'!M:M,"Vignette",'QA Log'!Z:Z,"Approved",'QA Log'!L:L,"*Vignette [4]: The management of presumptive TB patient*")
  )
)</f>
        <v/>
      </c>
      <c r="AX191" s="105" t="str">
        <f>IF(A191&lt;&gt;"",COUNTIFS('QA Log'!D:D,A191,'QA Log'!M:M,"Vignette",'QA Log'!L:L,"Vignette [1] Respiratory Infection: Pneumonia",'QA Log'!Z:Z,"Approved"),"")</f>
        <v/>
      </c>
      <c r="AY191" s="105" t="str">
        <f>IF(A191&lt;&gt;"",COUNTIFS('QA Log'!D:D,A191,'QA Log'!M:M,"Vignette",'QA Log'!L:L,"Vignette [2]: Diarrhea with Cat B dehydration",'QA Log'!Z:Z,"Approved"),"")</f>
        <v/>
      </c>
      <c r="AZ191" s="105" t="str">
        <f>IF(A191&lt;&gt;"",COUNTIFS('QA Log'!D:D,A191,'QA Log'!M:M,"Vignette",'QA Log'!L:L,"Vignette [3] Growth Monitoring and Promotion",'QA Log'!Z:Z,"Approved"),"")</f>
        <v/>
      </c>
      <c r="BA191" s="105" t="str">
        <f>IF(A191&lt;&gt;"",COUNTIFS('QA Log'!D:D,A191,'QA Log'!M:M,"Vignette",'QA Log'!L:L,"Vignette [4]: The management of presumptive TB patient",'QA Log'!Z:Z,"Approved"),"")</f>
        <v/>
      </c>
      <c r="BB191" s="102" t="str">
        <f>IF(A191="","",
  SUM(
    COUNTIFS('QA Log'!D:D,A191,'QA Log'!M:M,"Vignette",'QA Log'!Z:Z,"Rejected",'QA Log'!L:L,"*Vignette [1] Respiratory Infection: Pneumonia*"),
    COUNTIFS('QA Log'!D:D,A191,'QA Log'!M:M,"Vignette",'QA Log'!Z:Z,"Rejected",'QA Log'!L:L,"*Vignette [2]: Diarrhea with Cat B dehydration*"),
    COUNTIFS('QA Log'!D:D,A191,'QA Log'!M:M,"Vignette",'QA Log'!Z:Z,"Rejected",'QA Log'!L:L,"*Vignette [3] Growth Monitoring and Promotion*"),
    COUNTIFS('QA Log'!D:D,A191,'QA Log'!M:M,"Vignette",'QA Log'!Z:Z,"Rejected",'QA Log'!L:L,"*Vignette [4]: The management of presumptive TB patient*")
  )
)</f>
        <v/>
      </c>
      <c r="BC191" s="107" t="str">
        <f t="shared" si="9"/>
        <v/>
      </c>
      <c r="BD191" s="103" t="str">
        <f t="shared" si="10"/>
        <v/>
      </c>
      <c r="BE191" s="102" t="str">
        <f>IF(A191="","",SUM(
COUNTIFS('QA Log'!D:D,A191,'QA Log'!M:M,"Vignette",'QA Log'!L:L,"*Vignette [5] Labor*"),
COUNTIFS('QA Log'!D:D,A191,'QA Log'!M:M,"Vignette",'QA Log'!L:L,"*Vignette [6] PNC pre Discharge*"),
COUNTIFS('QA Log'!D:D,A191,'QA Log'!M:M,"Vignette",'QA Log'!L:L,"*Vignette [7] First ANC Visit*"),
COUNTIFS('QA Log'!D:D,A191,'QA Log'!M:M,"Vignette",'QA Log'!L:L,"*Vignette [8] Birth Spacing/ Family Planning :  FP Counselling*"),
COUNTIFS('QA Log'!D:D,A191,'QA Log'!M:M,"Vignette",'QA Log'!L:L,"*Vignette [9] Birth Spacing: Change FP method to Injectable*"),
COUNTIFS('QA Log'!D:D,A191,'QA Log'!M:M,"Vignette",'QA Log'!L:L,"*Vignette [10] Post Partum Haemorrhage - Atonic Uterus at Health Centre*"),
)
)</f>
        <v/>
      </c>
      <c r="BF191" s="102" t="str">
        <f>IF(A191="","",
  SUM(
    COUNTIFS('QA Log'!D:D,A191,'QA Log'!M:M,"Vignette",'QA Log'!Z:Z,"Approved",'QA Log'!L:L,"*Vignette [5] Labor*"),
    COUNTIFS('QA Log'!D:D,A191,'QA Log'!M:M,"Vignette",'QA Log'!Z:Z,"Approved",'QA Log'!L:L,"*Vignette [6] PNC pre Discharge*"),
    COUNTIFS('QA Log'!D:D,A191,'QA Log'!M:M,"Vignette",'QA Log'!Z:Z,"Approved",'QA Log'!L:L,"*Vignette [7] First ANC Visit*"),
    COUNTIFS('QA Log'!D:D,A191,'QA Log'!M:M,"Vignette",'QA Log'!Z:Z,"Approved",'QA Log'!L:L,"*Vignette [8] Birth Spacing/ Family Planning :  FP Counselling*"),
    COUNTIFS('QA Log'!D:D,A191,'QA Log'!M:M,"Vignette",'QA Log'!Z:Z,"Approved",'QA Log'!L:L,"*Vignette [9] Birth Spacing: Change FP method to Injectable*"),
    COUNTIFS('QA Log'!D:D,A191,'QA Log'!M:M,"Vignette",'QA Log'!Z:Z,"Approved",'QA Log'!L:L,"*Vignette [10] Post Partum Haemorrhage - Atonic Uterus at Health Centre*")
  )
)</f>
        <v/>
      </c>
      <c r="BG191" s="105" t="str">
        <f>IF(A191&lt;&gt;"",COUNTIFS('QA Log'!D:D,A191,'QA Log'!M:M,"Vignette",'QA Log'!L:L,"Vignette [5] Labor",'QA Log'!Z:Z,"Approved"),"")</f>
        <v/>
      </c>
      <c r="BH191" s="105" t="str">
        <f>IF(A191&lt;&gt;"",COUNTIFS('QA Log'!D:D,A191,'QA Log'!M:M,"Vignette",'QA Log'!L:L,"Vignette [6] PNC pre Discharge",'QA Log'!Z:Z,"Approved"),"")</f>
        <v/>
      </c>
      <c r="BI191" s="105" t="str">
        <f>IF(A191&lt;&gt;"",COUNTIFS('QA Log'!D:D,A191,'QA Log'!M:M,"Vignette",'QA Log'!L:L,"Vignette [7] First ANC Visit",'QA Log'!Z:Z,"Approved"),"")</f>
        <v/>
      </c>
      <c r="BJ191" s="105" t="str">
        <f>IF(A191&lt;&gt;"",COUNTIFS('QA Log'!D:D,A191,'QA Log'!M:M,"Vignette",'QA Log'!L:L,"Vignette [8] Birth Spacing/ Family Planning :  FP Counselling",'QA Log'!Z:Z,"Approved"),"")</f>
        <v/>
      </c>
      <c r="BK191" s="105" t="str">
        <f>IF(A191&lt;&gt;"",COUNTIFS('QA Log'!D:D,A191,'QA Log'!M:M,"Vignette",'QA Log'!L:L,"Vignette [9] Birth Spacing: Change FP method to Injectable",'QA Log'!Z:Z,"Approved"),"")</f>
        <v/>
      </c>
      <c r="BL191" s="105" t="str">
        <f>IF(A191&lt;&gt;"",COUNTIFS('QA Log'!D:D,A191,'QA Log'!M:M,"Vignette",'QA Log'!L:L,"Vignette [10] Post Partum Haemorrhage - Atonic Uterus at Health Centre",'QA Log'!Z:Z,"Approved"),"")</f>
        <v/>
      </c>
      <c r="BM191" s="102" t="str">
        <f>IF(A191="","",SUM(
    COUNTIFS('QA Log'!D:D,A191,'QA Log'!M:M,"Vignette",'QA Log'!Z:Z,"Rejected",'QA Log'!L:L,"*Vignette [5] Labor*"),
    COUNTIFS('QA Log'!D:D,A191,'QA Log'!M:M,"Vignette",'QA Log'!Z:Z,"Rejected",'QA Log'!L:L,"*Vignette [6] PNC pre Discharge*"),
    COUNTIFS('QA Log'!D:D,A191,'QA Log'!M:M,"Vignette",'QA Log'!Z:Z,"Rejected",'QA Log'!L:L,"*Vignette [7] First ANC Visit*"),
    COUNTIFS('QA Log'!D:D,A191,'QA Log'!M:M,"Vignette",'QA Log'!Z:Z,"Rejected",'QA Log'!L:L,"*Vignette [8] Birth Spacing/ Family Planning :  FP Counselling*"),
    COUNTIFS('QA Log'!D:D,A191,'QA Log'!M:M,"Vignette",'QA Log'!Z:Z,"Rejected",'QA Log'!L:L,"*Vignette [9] Birth Spacing: Change FP method to Injectable*"),
    COUNTIFS('QA Log'!D:D,A191,'QA Log'!M:M,"Vignette",'QA Log'!Z:Z,"Rejected",'QA Log'!L:L,"*Vignette [10] Post Partum Haemorrhage - Atonic Uterus at Health Centre*")
  )
)</f>
        <v/>
      </c>
      <c r="BN191" s="107" t="str">
        <f t="shared" si="11"/>
        <v/>
      </c>
      <c r="BO191" s="103" t="str">
        <f t="shared" si="12"/>
        <v/>
      </c>
      <c r="BP191" s="102" t="str">
        <f>IF(A191="","",SUM(
COUNTIFS('QA Log'!D:D,A191,'QA Log'!M:M,"Vignette",'QA Log'!L:L,"*Exit Interview 1*"),
COUNTIFS('QA Log'!D:D,A191,'QA Log'!M:M,"Vignette",'QA Log'!L:L,"*Exit Interview 2*"),
)
)</f>
        <v/>
      </c>
      <c r="BQ191" s="102" t="str">
        <f>IF(
  A191="","",
  SUM(
    COUNTIFS('QA Log'!D:D,A191,'QA Log'!M:M,"Vignette",'QA Log'!Z:Z,"Approved",'QA Log'!L:L,"*Exit Interview 1*"),
    COUNTIFS('QA Log'!D:D,A191,'QA Log'!M:M,"Vignette",'QA Log'!Z:Z,"Approved",'QA Log'!L:L,"*Exit Interview 2*")
  )
)</f>
        <v/>
      </c>
      <c r="BR191" s="105" t="str">
        <f>IF(A191&lt;&gt;"",COUNTIFS('QA Log'!D:D,A191,'QA Log'!M:M,"Vignette",'QA Log'!L:L,"Exit Interview 1",'QA Log'!Z:Z,"Approved"),"")</f>
        <v/>
      </c>
      <c r="BS191" s="105" t="str">
        <f>IF(A191&lt;&gt;"",COUNTIFS('QA Log'!D:D,A191,'QA Log'!M:M,"Vignette",'QA Log'!L:L,"Exit Interview 2",'QA Log'!Z:Z,"Approved"),"")</f>
        <v/>
      </c>
      <c r="BT191" s="102" t="str">
        <f>IF(
  A191="","",
  SUM(
    COUNTIFS('QA Log'!D:D,A191,'QA Log'!M:M,"Vignette",'QA Log'!Z:Z,"Rejected",'QA Log'!L:L,"*Exit Interview 1*"),
    COUNTIFS('QA Log'!D:D,A191,'QA Log'!M:M,"Vignette",'QA Log'!Z:Z,"Rejected",'QA Log'!L:L,"*Exit Interview 2*")
  )
)</f>
        <v/>
      </c>
      <c r="BU191" s="107" t="str">
        <f t="shared" si="13"/>
        <v/>
      </c>
      <c r="BV191" s="102" t="str">
        <f t="shared" si="14"/>
        <v/>
      </c>
      <c r="BW191" s="102" t="str">
        <f t="shared" si="15"/>
        <v/>
      </c>
      <c r="BX191" s="102" t="str">
        <f t="shared" si="16"/>
        <v/>
      </c>
      <c r="BY191" s="102" t="str">
        <f t="shared" si="17"/>
        <v/>
      </c>
      <c r="BZ191" s="107" t="str">
        <f t="shared" si="18"/>
        <v/>
      </c>
      <c r="CA191" s="108" t="str">
        <f t="shared" si="19"/>
        <v/>
      </c>
      <c r="CB191" s="108" t="str">
        <f t="shared" si="20"/>
        <v/>
      </c>
      <c r="CC191" s="109" t="str">
        <f t="shared" si="21"/>
        <v/>
      </c>
      <c r="CD191" s="108" t="str">
        <f t="shared" si="22"/>
        <v/>
      </c>
      <c r="CE191" s="108" t="str">
        <f t="shared" si="23"/>
        <v/>
      </c>
      <c r="CF191" s="109" t="str">
        <f t="shared" si="24"/>
        <v/>
      </c>
      <c r="CG191" s="110" t="str">
        <f t="shared" si="25"/>
        <v/>
      </c>
      <c r="CH191" s="111"/>
    </row>
    <row r="192" spans="1:86" ht="12.75">
      <c r="A192" s="101"/>
      <c r="B192" s="102" t="e">
        <f t="array" aca="1" ref="B192" ca="1">_xludf.XLOOKUP(A192,'QA Log'!D:D,'QA Log'!E:E,"")</f>
        <v>#NAME?</v>
      </c>
      <c r="C192" s="102" t="e">
        <f t="array" aca="1" ref="C192" ca="1">_xludf.XLOOKUP(A192,'QA Log'!D:D,'QA Log'!F:F,"")</f>
        <v>#NAME?</v>
      </c>
      <c r="D192" s="102" t="e">
        <f t="array" aca="1" ref="D192" ca="1">_xludf.XLOOKUP(A192,'QA Log'!D:D,'QA Log'!H:H,"")</f>
        <v>#NAME?</v>
      </c>
      <c r="E192" s="102" t="e">
        <f t="array" aca="1" ref="E192" ca="1">_xludf.XLOOKUP(A192,'QA Log'!D:D,'QA Log'!G:G,"")</f>
        <v>#NAME?</v>
      </c>
      <c r="F192" s="103"/>
      <c r="G192" s="104"/>
      <c r="H192" s="104"/>
      <c r="I192" s="103" t="str">
        <f t="shared" si="0"/>
        <v/>
      </c>
      <c r="J192" s="102" t="str">
        <f>IF(A192="","",SUM(
COUNTIFS('QA Log'!D:D,A192,'QA Log'!M:M,"QQC",'QA Log'!L:L,"*1. General Management*"),
COUNTIFS('QA Log'!D:D,A192,'QA Log'!M:M,"QQC",'QA Log'!L:L,"*3. Curative Consultation (OPD)*"),
COUNTIFS('QA Log'!D:D,A192,'QA Log'!M:M,"QQC",'QA Log'!L:L,"*5. Laboratory*"),
COUNTIFS('QA Log'!D:D,A192,'QA Log'!M:M,"QQC",'QA Log'!L:L,"*6. Essential Medicine Management*"),
COUNTIFS('QA Log'!D:D,A192,'QA Log'!M:M,"QQC",'QA Log'!L:L,"*7. Tracer Medicine*"),
COUNTIFS('QA Log'!D:D,A192,'QA Log'!M:M,"QQC",'QA Log'!L:L,"*11. Additional Questions*")))</f>
        <v/>
      </c>
      <c r="K192" s="102" t="str">
        <f>IF(A192="","",SUM(
COUNTIFS('QA Log'!D:D,A192,'QA Log'!M:M,"QQC",'QA Log'!Z:Z,"Approved",'QA Log'!L:L,"*1. General Management*"),
COUNTIFS('QA Log'!D:D,A192,'QA Log'!M:M,"QQC",'QA Log'!Z:Z,"Approved",'QA Log'!L:L,"*3. Curative Consultation (OPD)*"),
COUNTIFS('QA Log'!D:D,A192,'QA Log'!M:M,"QQC",'QA Log'!Z:Z,"Approved",'QA Log'!L:L,"*5. Laboratory*"),
COUNTIFS('QA Log'!D:D,A192,'QA Log'!M:M,"QQC",'QA Log'!Z:Z,"Approved",'QA Log'!L:L,"*6. Essential Medicine Management*"),
COUNTIFS('QA Log'!D:D,A192,'QA Log'!M:M,"QQC",'QA Log'!Z:Z,"Approved",'QA Log'!L:L,"*7. Tracer Medicine*"),
COUNTIFS('QA Log'!D:D,A192,'QA Log'!M:M,"QQC",'QA Log'!Z:Z,"Approved",'QA Log'!L:L,"*11. Additional Questions*")))</f>
        <v/>
      </c>
      <c r="L192" s="105" t="str">
        <f>IF(A192&lt;&gt;"",COUNTIFS('QA Log'!D:D,A192,'QA Log'!M:M,"QQC",'QA Log'!L:L,"1. General Management",'QA Log'!Z:Z,"Approved"),"")</f>
        <v/>
      </c>
      <c r="M192" s="105" t="str">
        <f>IF(A192&lt;&gt;"",COUNTIFS('QA Log'!D:D,A192,'QA Log'!M:M,"QQC",'QA Log'!L:L,"3. Curative Consultation (OPD)",'QA Log'!Z:Z,"Approved"),"")</f>
        <v/>
      </c>
      <c r="N192" s="105" t="str">
        <f>IF(A192&lt;&gt;"",COUNTIFS('QA Log'!D:D,A192,'QA Log'!M:M,"QQC",'QA Log'!L:L,"5. Laboratory",'QA Log'!Z:Z,"Approved"),"")</f>
        <v/>
      </c>
      <c r="O192" s="105" t="str">
        <f>IF(A192&lt;&gt;"",COUNTIFS('QA Log'!D:D,A192,'QA Log'!M:M,"QQC",'QA Log'!L:L,"6. Essential Medicine Management",'QA Log'!Z:Z,"Approved"),"")</f>
        <v/>
      </c>
      <c r="P192" s="105" t="str">
        <f>IF(A192&lt;&gt;"",COUNTIFS('QA Log'!D:D,A192,'QA Log'!M:M,"QQC",'QA Log'!L:L,"7. Tracer Medicine",'QA Log'!Z:Z,"Approved"),"")</f>
        <v/>
      </c>
      <c r="Q192" s="105" t="str">
        <f>IF(A192&lt;&gt;"",COUNTIFS('QA Log'!D:D,A192,'QA Log'!M:M,"QQC",'QA Log'!L:L,"11. Additional Questions",'QA Log'!Z:Z,"Approved"),"")</f>
        <v/>
      </c>
      <c r="R192" s="102" t="str">
        <f>IF(A192="","",SUM(
COUNTIFS('QA Log'!D:D,A192,'QA Log'!M:M,"QQC",'QA Log'!Z:Z,"Rejected",'QA Log'!L:L,"*8. Maternity*"),
COUNTIFS('QA Log'!D:D,A192,'QA Log'!M:M,"QQC",'QA Log'!Z:Z,"Rejected",'QA Log'!L:L,"*EPI*"),
COUNTIFS('QA Log'!D:D,A192,'QA Log'!M:M,"QQC",'QA Log'!Z:Z,"Rejected",'QA Log'!L:L,"*10. Antenatal Care (ANC)*"),
COUNTIFS('QA Log'!D:D,A192,'QA Log'!M:M,"QQC",'QA Log'!Z:Z,"Rejected",'QA Log'!L:L,"*2. Hygiene and Sterilization*"),
COUNTIFS('QA Log'!D:D,A192,'QA Log'!M:M,"QQC",'QA Log'!Z:Z,"Rejected",'QA Log'!L:L,"*Family Planning*")))</f>
        <v/>
      </c>
      <c r="S192" s="106" t="str">
        <f t="shared" si="1"/>
        <v/>
      </c>
      <c r="T192" s="102" t="str">
        <f t="shared" si="2"/>
        <v/>
      </c>
      <c r="U192" s="102" t="str">
        <f>IF(A192="","",
SUM(
COUNTIFS('QA Log'!D:D,A192,'QA Log'!M:M,"QQC",'QA Log'!L:L,"*8. Maternity*"),
COUNTIFS('QA Log'!D:D,A192,'QA Log'!M:M,"QQC",'QA Log'!L:L,"*9. EPI and Pre-school Consultation*"),
COUNTIFS('QA Log'!D:D,A192,'QA Log'!M:M,"QQC",'QA Log'!L:L,"*10. Antenatal Care (ANC)*"),
COUNTIFS('QA Log'!D:D,A192,'QA Log'!M:M,"QQC",'QA Log'!L:L,"*2. Hygiene and Sterilization*"),
COUNTIFS('QA Log'!D:D,A192,'QA Log'!M:M,"QQC",'QA Log'!L:L,"*4. Family Planning*")
))</f>
        <v/>
      </c>
      <c r="V192" s="102" t="str">
        <f>IF(A192="","",
SUM(
COUNTIFS('QA Log'!D:D,A192,'QA Log'!M:M,"QQC",'QA Log'!Z:Z,"Approved",'QA Log'!L:L,"*8. Maternity*"),
COUNTIFS('QA Log'!D:D,A192,'QA Log'!M:M,"QQC",'QA Log'!Z:Z,"Approved",'QA Log'!L:L,"*9. EPI and Pre-school Consultation*"),
COUNTIFS('QA Log'!D:D,A192,'QA Log'!M:M,"QQC",'QA Log'!Z:Z,"Approved",'QA Log'!L:L,"*10. Antenatal Care (ANC)*"),
COUNTIFS('QA Log'!D:D,A192,'QA Log'!M:M,"QQC",'QA Log'!Z:Z,"Approved",'QA Log'!L:L,"*2. Hygiene and Sterilization*"),
COUNTIFS('QA Log'!D:D,A192,'QA Log'!M:M,"QQC",'QA Log'!Z:Z,"Approved",'QA Log'!L:L,"*4. Family Planning*")
))</f>
        <v/>
      </c>
      <c r="W192" s="105" t="str">
        <f>IF(A192&lt;&gt;"",COUNTIFS('QA Log'!D:D,A192,'QA Log'!M:M,"QQC",'QA Log'!L:L,"8. Maternity",'QA Log'!Z:Z,"Approved"),"")</f>
        <v/>
      </c>
      <c r="X192" s="105" t="str">
        <f>IF(A192&lt;&gt;"",COUNTIFS('QA Log'!D:D,A192,'QA Log'!M:M,"QQC",'QA Log'!L:L,"9. EPI and Pre-school Consultation",'QA Log'!Z:Z,"Approved"),"")</f>
        <v/>
      </c>
      <c r="Y192" s="105" t="str">
        <f>IF(A192&lt;&gt;"",COUNTIFS('QA Log'!D:D,A192,'QA Log'!M:M,"QQC",'QA Log'!L:L,"10. Antenatal Care (ANC)",'QA Log'!Z:Z,"Approved"),"")</f>
        <v/>
      </c>
      <c r="Z192" s="105" t="str">
        <f>IF(A192&lt;&gt;"",COUNTIFS('QA Log'!D:D,A192,'QA Log'!M:M,"QQC",'QA Log'!L:L,"2. Hygiene and Sterilization",'QA Log'!Z:Z,"Approved"),"")</f>
        <v/>
      </c>
      <c r="AA192" s="105" t="str">
        <f>IF(A192&lt;&gt;"",COUNTIFS('QA Log'!D:D,A192,'QA Log'!M:M,"QQC",'QA Log'!L:L,"4. Family Planning",'QA Log'!Z:Z,"Approved"),"")</f>
        <v/>
      </c>
      <c r="AB192" s="102" t="str">
        <f>IF(A192="","",
SUM(
COUNTIFS('QA Log'!D:D,A192,'QA Log'!M:M,"QQC",'QA Log'!Z:Z,"Rejected",'QA Log'!L:L,"*8. Maternity*"),
COUNTIFS('QA Log'!D:D,A192,'QA Log'!M:M,"QQC",'QA Log'!Z:Z,"Rejected",'QA Log'!L:L,"*9. EPI and Pre-school Consultation*"),
COUNTIFS('QA Log'!D:D,A192,'QA Log'!M:M,"QQC",'QA Log'!Z:Z,"Rejected",'QA Log'!L:L,"*10. Antenatal Care (ANC)*"),
COUNTIFS('QA Log'!D:D,A192,'QA Log'!M:M,"QQC",'QA Log'!Z:Z,"Rejected",'QA Log'!L:L,"*2. Hygiene and Sterilization*"),
COUNTIFS('QA Log'!D:D,A192,'QA Log'!M:M,"QQC",'QA Log'!Z:Z,"Rejected",'QA Log'!L:L,"*4. Family Planning*")
))</f>
        <v/>
      </c>
      <c r="AC192" s="102" t="str">
        <f t="shared" si="3"/>
        <v/>
      </c>
      <c r="AD192" s="103" t="str">
        <f t="shared" si="4"/>
        <v/>
      </c>
      <c r="AE192" s="102" t="str">
        <f>IF(A192="","",
SUM(
COUNTIFS('QA Log'!D:D,A192,'QA Log'!M:M,"Data Verification",'QA Log'!L:L,"*Medicine (section 2)*"),
COUNTIFS('QA Log'!D:D,A192,'QA Log'!M:M,"Data Verification",'QA Log'!L:L,"*Lab Testing Availability*"),
COUNTIFS('QA Log'!D:D,A192,'QA Log'!M:M,"Data Verification",'QA Log'!L:L,"*Other than P4P (section 6)*"),
COUNTIFS('QA Log'!D:D,A192,'QA Log'!M:M,"Data Verification",'QA Log'!L:L,"*Hospital Governance*")
))</f>
        <v/>
      </c>
      <c r="AF192" s="102" t="str">
        <f>IF(A192="","",
SUM(
COUNTIFS('QA Log'!D:D,A192,'QA Log'!M:M,"Data Verification",'QA Log'!Z:Z,"Approved",'QA Log'!L:L,"*Medicine (section 2)*"),
COUNTIFS('QA Log'!D:D,A192,'QA Log'!M:M,"Data Verification",'QA Log'!Z:Z,"Approved",'QA Log'!L:L,"*Lab Testing Availability*"),
COUNTIFS('QA Log'!D:D,A192,'QA Log'!M:M,"Data Verification",'QA Log'!Z:Z,"Approved",'QA Log'!L:L,"*Other than P4P (section 6)*"),
COUNTIFS('QA Log'!D:D,A192,'QA Log'!M:M,"Data Verification",'QA Log'!Z:Z,"Approved",'QA Log'!L:L,"*Hospital Governance*")
))</f>
        <v/>
      </c>
      <c r="AG192" s="105" t="str">
        <f>IF(A192&lt;&gt;"",COUNTIFS('QA Log'!D:D,A192,'QA Log'!M:M,"Data Verification",'QA Log'!L:L,"Medicine (section 2)",'QA Log'!Z:Z,"Approved"),"")</f>
        <v/>
      </c>
      <c r="AH192" s="105" t="str">
        <f>IF(A192&lt;&gt;"",COUNTIFS('QA Log'!D:D,A192,'QA Log'!M:M,"Data Verification",'QA Log'!L:L,"Lab Testing Availability",'QA Log'!Z:Z,"Approved"),"")</f>
        <v/>
      </c>
      <c r="AI192" s="105" t="str">
        <f>IF(A192&lt;&gt;"",COUNTIFS('QA Log'!D:D,A192,'QA Log'!M:M,"Data Verification",'QA Log'!L:L,"Other than P4P (section 6)",'QA Log'!Z:Z,"Approved"),"")</f>
        <v/>
      </c>
      <c r="AJ192" s="105" t="str">
        <f>IF(A192&lt;&gt;"",COUNTIFS('QA Log'!D:D,A192,'QA Log'!M:M,"Data Verification",'QA Log'!L:L,"Hospital Governance",'QA Log'!Z:Z,"Approved"),"")</f>
        <v/>
      </c>
      <c r="AK192" s="102" t="str">
        <f>IF(A192="","",
SUM(
COUNTIFS('QA Log'!D:D,A192,'QA Log'!M:M,"Data Verification",'QA Log'!Z:Z,"Rejected",'QA Log'!L:L,"*Medicine (section 2)*"),
COUNTIFS('QA Log'!D:D,A192,'QA Log'!M:M,"Data Verification",'QA Log'!Z:Z,"Rejected",'QA Log'!L:L,"*Lab Testing Availability*"),
COUNTIFS('QA Log'!D:D,A192,'QA Log'!M:M,"Data Verification",'QA Log'!Z:Z,"Rejected",'QA Log'!L:L,"*Other than P4P (section 6)*"),
COUNTIFS('QA Log'!D:D,A192,'QA Log'!M:M,"Data Verification",'QA Log'!Z:Z,"Rejected",'QA Log'!L:L,"*Hospital Governance*")
))</f>
        <v/>
      </c>
      <c r="AL192" s="106" t="str">
        <f t="shared" si="5"/>
        <v/>
      </c>
      <c r="AM192" s="102" t="str">
        <f t="shared" si="6"/>
        <v/>
      </c>
      <c r="AN192" s="102" t="str">
        <f>IF(A192="","",
SUM(
COUNTIFS('QA Log'!D:D,A192,'QA Log'!M:M,"Data Verification",'QA Log'!L:L,"*Personnel (section 1)*"),
COUNTIFS('QA Log'!D:D,A192,'QA Log'!M:M,"Data Verification",'QA Log'!L:L,"*Consumable (section 3)*"),
COUNTIFS('QA Log'!D:D,A192,'QA Log'!M:M,"Data Verification",'QA Log'!L:L,"*Equipments (section 4)*")
))</f>
        <v/>
      </c>
      <c r="AO192" s="102" t="str">
        <f>IF(A192="","",
SUM(
COUNTIFS('QA Log'!D:D,A192,'QA Log'!M:M,"Data Verification",'QA Log'!Z:Z,"Approved",'QA Log'!L:L,"*Personnel (section 1)*"),
COUNTIFS('QA Log'!D:D,A192,'QA Log'!M:M,"Data Verification",'QA Log'!Z:Z,"Approved",'QA Log'!L:L,"*Consumable (section 3)*"),
COUNTIFS('QA Log'!D:D,A192,'QA Log'!M:M,"Data Verification",'QA Log'!Z:Z,"Approved",'QA Log'!L:L,"*Equipments (section 4)*")
))</f>
        <v/>
      </c>
      <c r="AP192" s="105" t="str">
        <f>IF(A192&lt;&gt;"",COUNTIFS('QA Log'!D:D,A192,'QA Log'!M:M,"Data Verification",'QA Log'!L:L,"Personnel (section 1)",'QA Log'!Z:Z,"Approved"),"")</f>
        <v/>
      </c>
      <c r="AQ192" s="105" t="str">
        <f>IF(A192&lt;&gt;"",COUNTIFS('QA Log'!D:D,A192,'QA Log'!M:M,"Data Verification",'QA Log'!L:L,"Consumable (section 3)",'QA Log'!Z:Z,"Approved"),"")</f>
        <v/>
      </c>
      <c r="AR192" s="105" t="str">
        <f>IF(A192&lt;&gt;"",COUNTIFS('QA Log'!D:D,A192,'QA Log'!M:M,"Data Verification",'QA Log'!L:L,"Equipments (section 4)",'QA Log'!Z:Z,"Approved"),"")</f>
        <v/>
      </c>
      <c r="AS192" s="102" t="str">
        <f>IF(A192="","",
SUM(
COUNTIFS('QA Log'!D:D,A192,'QA Log'!M:M,"Data Verification",'QA Log'!Z:Z,"Rejected",'QA Log'!L:L,"*Personnel (section 1)*"),
COUNTIFS('QA Log'!D:D,A192,'QA Log'!M:M,"Data Verification",'QA Log'!Z:Z,"Rejected",'QA Log'!L:L,"*Consumable (section 3)*"),
COUNTIFS('QA Log'!D:D,A192,'QA Log'!M:M,"Data Verification",'QA Log'!Z:Z,"Rejected",'QA Log'!L:L,"*Equipments (section 4)*")
))</f>
        <v/>
      </c>
      <c r="AT192" s="102" t="str">
        <f t="shared" si="7"/>
        <v/>
      </c>
      <c r="AU192" s="103" t="str">
        <f t="shared" si="8"/>
        <v/>
      </c>
      <c r="AV192" s="102" t="str">
        <f>IF(A192="","",SUM(
COUNTIFS('QA Log'!D:D,A192,'QA Log'!M:M,"Vignette",'QA Log'!L:L,"*Vignette [1] Respiratory Infection: Pneumonia*"),
COUNTIFS('QA Log'!D:D,A192,'QA Log'!M:M,"Vignette",'QA Log'!L:L,"*Vignette [2]: Diarrhea with Cat B dehydration*"),
COUNTIFS('QA Log'!D:D,A192,'QA Log'!M:M,"Vignette",'QA Log'!L:L,"*Vignette [3] Growth Monitoring and Promotion*"),
COUNTIFS('QA Log'!D:D,A192,'QA Log'!M:M,"Vignette",'QA Log'!L:L,"*Vignette [4]: The management of presumptive TB patient*")
)
)</f>
        <v/>
      </c>
      <c r="AW192" s="102" t="str">
        <f>IF(
  A192="","",
  SUM(
    COUNTIFS('QA Log'!D:D,A192,'QA Log'!M:M,"Vignette",'QA Log'!Z:Z,"Approved",'QA Log'!L:L,"*Vignette [1] Respiratory Infection: Pneumonia*"),
    COUNTIFS('QA Log'!D:D,A192,'QA Log'!M:M,"Vignette",'QA Log'!Z:Z,"Approved",'QA Log'!L:L,"*Vignette [2]: Diarrhea with Cat B dehydration*"),
    COUNTIFS('QA Log'!D:D,A192,'QA Log'!M:M,"Vignette",'QA Log'!Z:Z,"Approved",'QA Log'!L:L,"*Vignette [3] Growth Monitoring and Promotion*"),
    COUNTIFS('QA Log'!D:D,A192,'QA Log'!M:M,"Vignette",'QA Log'!Z:Z,"Approved",'QA Log'!L:L,"*Vignette [4]: The management of presumptive TB patient*")
  )
)</f>
        <v/>
      </c>
      <c r="AX192" s="105" t="str">
        <f>IF(A192&lt;&gt;"",COUNTIFS('QA Log'!D:D,A192,'QA Log'!M:M,"Vignette",'QA Log'!L:L,"Vignette [1] Respiratory Infection: Pneumonia",'QA Log'!Z:Z,"Approved"),"")</f>
        <v/>
      </c>
      <c r="AY192" s="105" t="str">
        <f>IF(A192&lt;&gt;"",COUNTIFS('QA Log'!D:D,A192,'QA Log'!M:M,"Vignette",'QA Log'!L:L,"Vignette [2]: Diarrhea with Cat B dehydration",'QA Log'!Z:Z,"Approved"),"")</f>
        <v/>
      </c>
      <c r="AZ192" s="105" t="str">
        <f>IF(A192&lt;&gt;"",COUNTIFS('QA Log'!D:D,A192,'QA Log'!M:M,"Vignette",'QA Log'!L:L,"Vignette [3] Growth Monitoring and Promotion",'QA Log'!Z:Z,"Approved"),"")</f>
        <v/>
      </c>
      <c r="BA192" s="105" t="str">
        <f>IF(A192&lt;&gt;"",COUNTIFS('QA Log'!D:D,A192,'QA Log'!M:M,"Vignette",'QA Log'!L:L,"Vignette [4]: The management of presumptive TB patient",'QA Log'!Z:Z,"Approved"),"")</f>
        <v/>
      </c>
      <c r="BB192" s="102" t="str">
        <f>IF(A192="","",
  SUM(
    COUNTIFS('QA Log'!D:D,A192,'QA Log'!M:M,"Vignette",'QA Log'!Z:Z,"Rejected",'QA Log'!L:L,"*Vignette [1] Respiratory Infection: Pneumonia*"),
    COUNTIFS('QA Log'!D:D,A192,'QA Log'!M:M,"Vignette",'QA Log'!Z:Z,"Rejected",'QA Log'!L:L,"*Vignette [2]: Diarrhea with Cat B dehydration*"),
    COUNTIFS('QA Log'!D:D,A192,'QA Log'!M:M,"Vignette",'QA Log'!Z:Z,"Rejected",'QA Log'!L:L,"*Vignette [3] Growth Monitoring and Promotion*"),
    COUNTIFS('QA Log'!D:D,A192,'QA Log'!M:M,"Vignette",'QA Log'!Z:Z,"Rejected",'QA Log'!L:L,"*Vignette [4]: The management of presumptive TB patient*")
  )
)</f>
        <v/>
      </c>
      <c r="BC192" s="107" t="str">
        <f t="shared" si="9"/>
        <v/>
      </c>
      <c r="BD192" s="103" t="str">
        <f t="shared" si="10"/>
        <v/>
      </c>
      <c r="BE192" s="102" t="str">
        <f>IF(A192="","",SUM(
COUNTIFS('QA Log'!D:D,A192,'QA Log'!M:M,"Vignette",'QA Log'!L:L,"*Vignette [5] Labor*"),
COUNTIFS('QA Log'!D:D,A192,'QA Log'!M:M,"Vignette",'QA Log'!L:L,"*Vignette [6] PNC pre Discharge*"),
COUNTIFS('QA Log'!D:D,A192,'QA Log'!M:M,"Vignette",'QA Log'!L:L,"*Vignette [7] First ANC Visit*"),
COUNTIFS('QA Log'!D:D,A192,'QA Log'!M:M,"Vignette",'QA Log'!L:L,"*Vignette [8] Birth Spacing/ Family Planning :  FP Counselling*"),
COUNTIFS('QA Log'!D:D,A192,'QA Log'!M:M,"Vignette",'QA Log'!L:L,"*Vignette [9] Birth Spacing: Change FP method to Injectable*"),
COUNTIFS('QA Log'!D:D,A192,'QA Log'!M:M,"Vignette",'QA Log'!L:L,"*Vignette [10] Post Partum Haemorrhage - Atonic Uterus at Health Centre*"),
)
)</f>
        <v/>
      </c>
      <c r="BF192" s="102" t="str">
        <f>IF(A192="","",
  SUM(
    COUNTIFS('QA Log'!D:D,A192,'QA Log'!M:M,"Vignette",'QA Log'!Z:Z,"Approved",'QA Log'!L:L,"*Vignette [5] Labor*"),
    COUNTIFS('QA Log'!D:D,A192,'QA Log'!M:M,"Vignette",'QA Log'!Z:Z,"Approved",'QA Log'!L:L,"*Vignette [6] PNC pre Discharge*"),
    COUNTIFS('QA Log'!D:D,A192,'QA Log'!M:M,"Vignette",'QA Log'!Z:Z,"Approved",'QA Log'!L:L,"*Vignette [7] First ANC Visit*"),
    COUNTIFS('QA Log'!D:D,A192,'QA Log'!M:M,"Vignette",'QA Log'!Z:Z,"Approved",'QA Log'!L:L,"*Vignette [8] Birth Spacing/ Family Planning :  FP Counselling*"),
    COUNTIFS('QA Log'!D:D,A192,'QA Log'!M:M,"Vignette",'QA Log'!Z:Z,"Approved",'QA Log'!L:L,"*Vignette [9] Birth Spacing: Change FP method to Injectable*"),
    COUNTIFS('QA Log'!D:D,A192,'QA Log'!M:M,"Vignette",'QA Log'!Z:Z,"Approved",'QA Log'!L:L,"*Vignette [10] Post Partum Haemorrhage - Atonic Uterus at Health Centre*")
  )
)</f>
        <v/>
      </c>
      <c r="BG192" s="105" t="str">
        <f>IF(A192&lt;&gt;"",COUNTIFS('QA Log'!D:D,A192,'QA Log'!M:M,"Vignette",'QA Log'!L:L,"Vignette [5] Labor",'QA Log'!Z:Z,"Approved"),"")</f>
        <v/>
      </c>
      <c r="BH192" s="105" t="str">
        <f>IF(A192&lt;&gt;"",COUNTIFS('QA Log'!D:D,A192,'QA Log'!M:M,"Vignette",'QA Log'!L:L,"Vignette [6] PNC pre Discharge",'QA Log'!Z:Z,"Approved"),"")</f>
        <v/>
      </c>
      <c r="BI192" s="105" t="str">
        <f>IF(A192&lt;&gt;"",COUNTIFS('QA Log'!D:D,A192,'QA Log'!M:M,"Vignette",'QA Log'!L:L,"Vignette [7] First ANC Visit",'QA Log'!Z:Z,"Approved"),"")</f>
        <v/>
      </c>
      <c r="BJ192" s="105" t="str">
        <f>IF(A192&lt;&gt;"",COUNTIFS('QA Log'!D:D,A192,'QA Log'!M:M,"Vignette",'QA Log'!L:L,"Vignette [8] Birth Spacing/ Family Planning :  FP Counselling",'QA Log'!Z:Z,"Approved"),"")</f>
        <v/>
      </c>
      <c r="BK192" s="105" t="str">
        <f>IF(A192&lt;&gt;"",COUNTIFS('QA Log'!D:D,A192,'QA Log'!M:M,"Vignette",'QA Log'!L:L,"Vignette [9] Birth Spacing: Change FP method to Injectable",'QA Log'!Z:Z,"Approved"),"")</f>
        <v/>
      </c>
      <c r="BL192" s="105" t="str">
        <f>IF(A192&lt;&gt;"",COUNTIFS('QA Log'!D:D,A192,'QA Log'!M:M,"Vignette",'QA Log'!L:L,"Vignette [10] Post Partum Haemorrhage - Atonic Uterus at Health Centre",'QA Log'!Z:Z,"Approved"),"")</f>
        <v/>
      </c>
      <c r="BM192" s="102" t="str">
        <f>IF(A192="","",SUM(
    COUNTIFS('QA Log'!D:D,A192,'QA Log'!M:M,"Vignette",'QA Log'!Z:Z,"Rejected",'QA Log'!L:L,"*Vignette [5] Labor*"),
    COUNTIFS('QA Log'!D:D,A192,'QA Log'!M:M,"Vignette",'QA Log'!Z:Z,"Rejected",'QA Log'!L:L,"*Vignette [6] PNC pre Discharge*"),
    COUNTIFS('QA Log'!D:D,A192,'QA Log'!M:M,"Vignette",'QA Log'!Z:Z,"Rejected",'QA Log'!L:L,"*Vignette [7] First ANC Visit*"),
    COUNTIFS('QA Log'!D:D,A192,'QA Log'!M:M,"Vignette",'QA Log'!Z:Z,"Rejected",'QA Log'!L:L,"*Vignette [8] Birth Spacing/ Family Planning :  FP Counselling*"),
    COUNTIFS('QA Log'!D:D,A192,'QA Log'!M:M,"Vignette",'QA Log'!Z:Z,"Rejected",'QA Log'!L:L,"*Vignette [9] Birth Spacing: Change FP method to Injectable*"),
    COUNTIFS('QA Log'!D:D,A192,'QA Log'!M:M,"Vignette",'QA Log'!Z:Z,"Rejected",'QA Log'!L:L,"*Vignette [10] Post Partum Haemorrhage - Atonic Uterus at Health Centre*")
  )
)</f>
        <v/>
      </c>
      <c r="BN192" s="107" t="str">
        <f t="shared" si="11"/>
        <v/>
      </c>
      <c r="BO192" s="103" t="str">
        <f t="shared" si="12"/>
        <v/>
      </c>
      <c r="BP192" s="102" t="str">
        <f>IF(A192="","",SUM(
COUNTIFS('QA Log'!D:D,A192,'QA Log'!M:M,"Vignette",'QA Log'!L:L,"*Exit Interview 1*"),
COUNTIFS('QA Log'!D:D,A192,'QA Log'!M:M,"Vignette",'QA Log'!L:L,"*Exit Interview 2*"),
)
)</f>
        <v/>
      </c>
      <c r="BQ192" s="102" t="str">
        <f>IF(
  A192="","",
  SUM(
    COUNTIFS('QA Log'!D:D,A192,'QA Log'!M:M,"Vignette",'QA Log'!Z:Z,"Approved",'QA Log'!L:L,"*Exit Interview 1*"),
    COUNTIFS('QA Log'!D:D,A192,'QA Log'!M:M,"Vignette",'QA Log'!Z:Z,"Approved",'QA Log'!L:L,"*Exit Interview 2*")
  )
)</f>
        <v/>
      </c>
      <c r="BR192" s="105" t="str">
        <f>IF(A192&lt;&gt;"",COUNTIFS('QA Log'!D:D,A192,'QA Log'!M:M,"Vignette",'QA Log'!L:L,"Exit Interview 1",'QA Log'!Z:Z,"Approved"),"")</f>
        <v/>
      </c>
      <c r="BS192" s="105" t="str">
        <f>IF(A192&lt;&gt;"",COUNTIFS('QA Log'!D:D,A192,'QA Log'!M:M,"Vignette",'QA Log'!L:L,"Exit Interview 2",'QA Log'!Z:Z,"Approved"),"")</f>
        <v/>
      </c>
      <c r="BT192" s="102" t="str">
        <f>IF(
  A192="","",
  SUM(
    COUNTIFS('QA Log'!D:D,A192,'QA Log'!M:M,"Vignette",'QA Log'!Z:Z,"Rejected",'QA Log'!L:L,"*Exit Interview 1*"),
    COUNTIFS('QA Log'!D:D,A192,'QA Log'!M:M,"Vignette",'QA Log'!Z:Z,"Rejected",'QA Log'!L:L,"*Exit Interview 2*")
  )
)</f>
        <v/>
      </c>
      <c r="BU192" s="107" t="str">
        <f t="shared" si="13"/>
        <v/>
      </c>
      <c r="BV192" s="102" t="str">
        <f t="shared" si="14"/>
        <v/>
      </c>
      <c r="BW192" s="102" t="str">
        <f t="shared" si="15"/>
        <v/>
      </c>
      <c r="BX192" s="102" t="str">
        <f t="shared" si="16"/>
        <v/>
      </c>
      <c r="BY192" s="102" t="str">
        <f t="shared" si="17"/>
        <v/>
      </c>
      <c r="BZ192" s="107" t="str">
        <f t="shared" si="18"/>
        <v/>
      </c>
      <c r="CA192" s="108" t="str">
        <f t="shared" si="19"/>
        <v/>
      </c>
      <c r="CB192" s="108" t="str">
        <f t="shared" si="20"/>
        <v/>
      </c>
      <c r="CC192" s="109" t="str">
        <f t="shared" si="21"/>
        <v/>
      </c>
      <c r="CD192" s="108" t="str">
        <f t="shared" si="22"/>
        <v/>
      </c>
      <c r="CE192" s="108" t="str">
        <f t="shared" si="23"/>
        <v/>
      </c>
      <c r="CF192" s="109" t="str">
        <f t="shared" si="24"/>
        <v/>
      </c>
      <c r="CG192" s="110" t="str">
        <f t="shared" si="25"/>
        <v/>
      </c>
      <c r="CH192" s="111"/>
    </row>
    <row r="193" spans="1:86" ht="12.75">
      <c r="A193" s="101"/>
      <c r="B193" s="102" t="e">
        <f t="array" aca="1" ref="B193" ca="1">_xludf.XLOOKUP(A193,'QA Log'!D:D,'QA Log'!E:E,"")</f>
        <v>#NAME?</v>
      </c>
      <c r="C193" s="102" t="e">
        <f t="array" aca="1" ref="C193" ca="1">_xludf.XLOOKUP(A193,'QA Log'!D:D,'QA Log'!F:F,"")</f>
        <v>#NAME?</v>
      </c>
      <c r="D193" s="102" t="e">
        <f t="array" aca="1" ref="D193" ca="1">_xludf.XLOOKUP(A193,'QA Log'!D:D,'QA Log'!H:H,"")</f>
        <v>#NAME?</v>
      </c>
      <c r="E193" s="102" t="e">
        <f t="array" aca="1" ref="E193" ca="1">_xludf.XLOOKUP(A193,'QA Log'!D:D,'QA Log'!G:G,"")</f>
        <v>#NAME?</v>
      </c>
      <c r="F193" s="103"/>
      <c r="G193" s="104"/>
      <c r="H193" s="104"/>
      <c r="I193" s="103" t="str">
        <f t="shared" si="0"/>
        <v/>
      </c>
      <c r="J193" s="102" t="str">
        <f>IF(A193="","",SUM(
COUNTIFS('QA Log'!D:D,A193,'QA Log'!M:M,"QQC",'QA Log'!L:L,"*1. General Management*"),
COUNTIFS('QA Log'!D:D,A193,'QA Log'!M:M,"QQC",'QA Log'!L:L,"*3. Curative Consultation (OPD)*"),
COUNTIFS('QA Log'!D:D,A193,'QA Log'!M:M,"QQC",'QA Log'!L:L,"*5. Laboratory*"),
COUNTIFS('QA Log'!D:D,A193,'QA Log'!M:M,"QQC",'QA Log'!L:L,"*6. Essential Medicine Management*"),
COUNTIFS('QA Log'!D:D,A193,'QA Log'!M:M,"QQC",'QA Log'!L:L,"*7. Tracer Medicine*"),
COUNTIFS('QA Log'!D:D,A193,'QA Log'!M:M,"QQC",'QA Log'!L:L,"*11. Additional Questions*")))</f>
        <v/>
      </c>
      <c r="K193" s="102" t="str">
        <f>IF(A193="","",SUM(
COUNTIFS('QA Log'!D:D,A193,'QA Log'!M:M,"QQC",'QA Log'!Z:Z,"Approved",'QA Log'!L:L,"*1. General Management*"),
COUNTIFS('QA Log'!D:D,A193,'QA Log'!M:M,"QQC",'QA Log'!Z:Z,"Approved",'QA Log'!L:L,"*3. Curative Consultation (OPD)*"),
COUNTIFS('QA Log'!D:D,A193,'QA Log'!M:M,"QQC",'QA Log'!Z:Z,"Approved",'QA Log'!L:L,"*5. Laboratory*"),
COUNTIFS('QA Log'!D:D,A193,'QA Log'!M:M,"QQC",'QA Log'!Z:Z,"Approved",'QA Log'!L:L,"*6. Essential Medicine Management*"),
COUNTIFS('QA Log'!D:D,A193,'QA Log'!M:M,"QQC",'QA Log'!Z:Z,"Approved",'QA Log'!L:L,"*7. Tracer Medicine*"),
COUNTIFS('QA Log'!D:D,A193,'QA Log'!M:M,"QQC",'QA Log'!Z:Z,"Approved",'QA Log'!L:L,"*11. Additional Questions*")))</f>
        <v/>
      </c>
      <c r="L193" s="105" t="str">
        <f>IF(A193&lt;&gt;"",COUNTIFS('QA Log'!D:D,A193,'QA Log'!M:M,"QQC",'QA Log'!L:L,"1. General Management",'QA Log'!Z:Z,"Approved"),"")</f>
        <v/>
      </c>
      <c r="M193" s="105" t="str">
        <f>IF(A193&lt;&gt;"",COUNTIFS('QA Log'!D:D,A193,'QA Log'!M:M,"QQC",'QA Log'!L:L,"3. Curative Consultation (OPD)",'QA Log'!Z:Z,"Approved"),"")</f>
        <v/>
      </c>
      <c r="N193" s="105" t="str">
        <f>IF(A193&lt;&gt;"",COUNTIFS('QA Log'!D:D,A193,'QA Log'!M:M,"QQC",'QA Log'!L:L,"5. Laboratory",'QA Log'!Z:Z,"Approved"),"")</f>
        <v/>
      </c>
      <c r="O193" s="105" t="str">
        <f>IF(A193&lt;&gt;"",COUNTIFS('QA Log'!D:D,A193,'QA Log'!M:M,"QQC",'QA Log'!L:L,"6. Essential Medicine Management",'QA Log'!Z:Z,"Approved"),"")</f>
        <v/>
      </c>
      <c r="P193" s="105" t="str">
        <f>IF(A193&lt;&gt;"",COUNTIFS('QA Log'!D:D,A193,'QA Log'!M:M,"QQC",'QA Log'!L:L,"7. Tracer Medicine",'QA Log'!Z:Z,"Approved"),"")</f>
        <v/>
      </c>
      <c r="Q193" s="105" t="str">
        <f>IF(A193&lt;&gt;"",COUNTIFS('QA Log'!D:D,A193,'QA Log'!M:M,"QQC",'QA Log'!L:L,"11. Additional Questions",'QA Log'!Z:Z,"Approved"),"")</f>
        <v/>
      </c>
      <c r="R193" s="102" t="str">
        <f>IF(A193="","",SUM(
COUNTIFS('QA Log'!D:D,A193,'QA Log'!M:M,"QQC",'QA Log'!Z:Z,"Rejected",'QA Log'!L:L,"*8. Maternity*"),
COUNTIFS('QA Log'!D:D,A193,'QA Log'!M:M,"QQC",'QA Log'!Z:Z,"Rejected",'QA Log'!L:L,"*EPI*"),
COUNTIFS('QA Log'!D:D,A193,'QA Log'!M:M,"QQC",'QA Log'!Z:Z,"Rejected",'QA Log'!L:L,"*10. Antenatal Care (ANC)*"),
COUNTIFS('QA Log'!D:D,A193,'QA Log'!M:M,"QQC",'QA Log'!Z:Z,"Rejected",'QA Log'!L:L,"*2. Hygiene and Sterilization*"),
COUNTIFS('QA Log'!D:D,A193,'QA Log'!M:M,"QQC",'QA Log'!Z:Z,"Rejected",'QA Log'!L:L,"*Family Planning*")))</f>
        <v/>
      </c>
      <c r="S193" s="106" t="str">
        <f t="shared" si="1"/>
        <v/>
      </c>
      <c r="T193" s="102" t="str">
        <f t="shared" si="2"/>
        <v/>
      </c>
      <c r="U193" s="102" t="str">
        <f>IF(A193="","",
SUM(
COUNTIFS('QA Log'!D:D,A193,'QA Log'!M:M,"QQC",'QA Log'!L:L,"*8. Maternity*"),
COUNTIFS('QA Log'!D:D,A193,'QA Log'!M:M,"QQC",'QA Log'!L:L,"*9. EPI and Pre-school Consultation*"),
COUNTIFS('QA Log'!D:D,A193,'QA Log'!M:M,"QQC",'QA Log'!L:L,"*10. Antenatal Care (ANC)*"),
COUNTIFS('QA Log'!D:D,A193,'QA Log'!M:M,"QQC",'QA Log'!L:L,"*2. Hygiene and Sterilization*"),
COUNTIFS('QA Log'!D:D,A193,'QA Log'!M:M,"QQC",'QA Log'!L:L,"*4. Family Planning*")
))</f>
        <v/>
      </c>
      <c r="V193" s="102" t="str">
        <f>IF(A193="","",
SUM(
COUNTIFS('QA Log'!D:D,A193,'QA Log'!M:M,"QQC",'QA Log'!Z:Z,"Approved",'QA Log'!L:L,"*8. Maternity*"),
COUNTIFS('QA Log'!D:D,A193,'QA Log'!M:M,"QQC",'QA Log'!Z:Z,"Approved",'QA Log'!L:L,"*9. EPI and Pre-school Consultation*"),
COUNTIFS('QA Log'!D:D,A193,'QA Log'!M:M,"QQC",'QA Log'!Z:Z,"Approved",'QA Log'!L:L,"*10. Antenatal Care (ANC)*"),
COUNTIFS('QA Log'!D:D,A193,'QA Log'!M:M,"QQC",'QA Log'!Z:Z,"Approved",'QA Log'!L:L,"*2. Hygiene and Sterilization*"),
COUNTIFS('QA Log'!D:D,A193,'QA Log'!M:M,"QQC",'QA Log'!Z:Z,"Approved",'QA Log'!L:L,"*4. Family Planning*")
))</f>
        <v/>
      </c>
      <c r="W193" s="105" t="str">
        <f>IF(A193&lt;&gt;"",COUNTIFS('QA Log'!D:D,A193,'QA Log'!M:M,"QQC",'QA Log'!L:L,"8. Maternity",'QA Log'!Z:Z,"Approved"),"")</f>
        <v/>
      </c>
      <c r="X193" s="105" t="str">
        <f>IF(A193&lt;&gt;"",COUNTIFS('QA Log'!D:D,A193,'QA Log'!M:M,"QQC",'QA Log'!L:L,"9. EPI and Pre-school Consultation",'QA Log'!Z:Z,"Approved"),"")</f>
        <v/>
      </c>
      <c r="Y193" s="105" t="str">
        <f>IF(A193&lt;&gt;"",COUNTIFS('QA Log'!D:D,A193,'QA Log'!M:M,"QQC",'QA Log'!L:L,"10. Antenatal Care (ANC)",'QA Log'!Z:Z,"Approved"),"")</f>
        <v/>
      </c>
      <c r="Z193" s="105" t="str">
        <f>IF(A193&lt;&gt;"",COUNTIFS('QA Log'!D:D,A193,'QA Log'!M:M,"QQC",'QA Log'!L:L,"2. Hygiene and Sterilization",'QA Log'!Z:Z,"Approved"),"")</f>
        <v/>
      </c>
      <c r="AA193" s="105" t="str">
        <f>IF(A193&lt;&gt;"",COUNTIFS('QA Log'!D:D,A193,'QA Log'!M:M,"QQC",'QA Log'!L:L,"4. Family Planning",'QA Log'!Z:Z,"Approved"),"")</f>
        <v/>
      </c>
      <c r="AB193" s="102" t="str">
        <f>IF(A193="","",
SUM(
COUNTIFS('QA Log'!D:D,A193,'QA Log'!M:M,"QQC",'QA Log'!Z:Z,"Rejected",'QA Log'!L:L,"*8. Maternity*"),
COUNTIFS('QA Log'!D:D,A193,'QA Log'!M:M,"QQC",'QA Log'!Z:Z,"Rejected",'QA Log'!L:L,"*9. EPI and Pre-school Consultation*"),
COUNTIFS('QA Log'!D:D,A193,'QA Log'!M:M,"QQC",'QA Log'!Z:Z,"Rejected",'QA Log'!L:L,"*10. Antenatal Care (ANC)*"),
COUNTIFS('QA Log'!D:D,A193,'QA Log'!M:M,"QQC",'QA Log'!Z:Z,"Rejected",'QA Log'!L:L,"*2. Hygiene and Sterilization*"),
COUNTIFS('QA Log'!D:D,A193,'QA Log'!M:M,"QQC",'QA Log'!Z:Z,"Rejected",'QA Log'!L:L,"*4. Family Planning*")
))</f>
        <v/>
      </c>
      <c r="AC193" s="102" t="str">
        <f t="shared" si="3"/>
        <v/>
      </c>
      <c r="AD193" s="103" t="str">
        <f t="shared" si="4"/>
        <v/>
      </c>
      <c r="AE193" s="102" t="str">
        <f>IF(A193="","",
SUM(
COUNTIFS('QA Log'!D:D,A193,'QA Log'!M:M,"Data Verification",'QA Log'!L:L,"*Medicine (section 2)*"),
COUNTIFS('QA Log'!D:D,A193,'QA Log'!M:M,"Data Verification",'QA Log'!L:L,"*Lab Testing Availability*"),
COUNTIFS('QA Log'!D:D,A193,'QA Log'!M:M,"Data Verification",'QA Log'!L:L,"*Other than P4P (section 6)*"),
COUNTIFS('QA Log'!D:D,A193,'QA Log'!M:M,"Data Verification",'QA Log'!L:L,"*Hospital Governance*")
))</f>
        <v/>
      </c>
      <c r="AF193" s="102" t="str">
        <f>IF(A193="","",
SUM(
COUNTIFS('QA Log'!D:D,A193,'QA Log'!M:M,"Data Verification",'QA Log'!Z:Z,"Approved",'QA Log'!L:L,"*Medicine (section 2)*"),
COUNTIFS('QA Log'!D:D,A193,'QA Log'!M:M,"Data Verification",'QA Log'!Z:Z,"Approved",'QA Log'!L:L,"*Lab Testing Availability*"),
COUNTIFS('QA Log'!D:D,A193,'QA Log'!M:M,"Data Verification",'QA Log'!Z:Z,"Approved",'QA Log'!L:L,"*Other than P4P (section 6)*"),
COUNTIFS('QA Log'!D:D,A193,'QA Log'!M:M,"Data Verification",'QA Log'!Z:Z,"Approved",'QA Log'!L:L,"*Hospital Governance*")
))</f>
        <v/>
      </c>
      <c r="AG193" s="105" t="str">
        <f>IF(A193&lt;&gt;"",COUNTIFS('QA Log'!D:D,A193,'QA Log'!M:M,"Data Verification",'QA Log'!L:L,"Medicine (section 2)",'QA Log'!Z:Z,"Approved"),"")</f>
        <v/>
      </c>
      <c r="AH193" s="105" t="str">
        <f>IF(A193&lt;&gt;"",COUNTIFS('QA Log'!D:D,A193,'QA Log'!M:M,"Data Verification",'QA Log'!L:L,"Lab Testing Availability",'QA Log'!Z:Z,"Approved"),"")</f>
        <v/>
      </c>
      <c r="AI193" s="105" t="str">
        <f>IF(A193&lt;&gt;"",COUNTIFS('QA Log'!D:D,A193,'QA Log'!M:M,"Data Verification",'QA Log'!L:L,"Other than P4P (section 6)",'QA Log'!Z:Z,"Approved"),"")</f>
        <v/>
      </c>
      <c r="AJ193" s="105" t="str">
        <f>IF(A193&lt;&gt;"",COUNTIFS('QA Log'!D:D,A193,'QA Log'!M:M,"Data Verification",'QA Log'!L:L,"Hospital Governance",'QA Log'!Z:Z,"Approved"),"")</f>
        <v/>
      </c>
      <c r="AK193" s="102" t="str">
        <f>IF(A193="","",
SUM(
COUNTIFS('QA Log'!D:D,A193,'QA Log'!M:M,"Data Verification",'QA Log'!Z:Z,"Rejected",'QA Log'!L:L,"*Medicine (section 2)*"),
COUNTIFS('QA Log'!D:D,A193,'QA Log'!M:M,"Data Verification",'QA Log'!Z:Z,"Rejected",'QA Log'!L:L,"*Lab Testing Availability*"),
COUNTIFS('QA Log'!D:D,A193,'QA Log'!M:M,"Data Verification",'QA Log'!Z:Z,"Rejected",'QA Log'!L:L,"*Other than P4P (section 6)*"),
COUNTIFS('QA Log'!D:D,A193,'QA Log'!M:M,"Data Verification",'QA Log'!Z:Z,"Rejected",'QA Log'!L:L,"*Hospital Governance*")
))</f>
        <v/>
      </c>
      <c r="AL193" s="106" t="str">
        <f t="shared" si="5"/>
        <v/>
      </c>
      <c r="AM193" s="102" t="str">
        <f t="shared" si="6"/>
        <v/>
      </c>
      <c r="AN193" s="102" t="str">
        <f>IF(A193="","",
SUM(
COUNTIFS('QA Log'!D:D,A193,'QA Log'!M:M,"Data Verification",'QA Log'!L:L,"*Personnel (section 1)*"),
COUNTIFS('QA Log'!D:D,A193,'QA Log'!M:M,"Data Verification",'QA Log'!L:L,"*Consumable (section 3)*"),
COUNTIFS('QA Log'!D:D,A193,'QA Log'!M:M,"Data Verification",'QA Log'!L:L,"*Equipments (section 4)*")
))</f>
        <v/>
      </c>
      <c r="AO193" s="102" t="str">
        <f>IF(A193="","",
SUM(
COUNTIFS('QA Log'!D:D,A193,'QA Log'!M:M,"Data Verification",'QA Log'!Z:Z,"Approved",'QA Log'!L:L,"*Personnel (section 1)*"),
COUNTIFS('QA Log'!D:D,A193,'QA Log'!M:M,"Data Verification",'QA Log'!Z:Z,"Approved",'QA Log'!L:L,"*Consumable (section 3)*"),
COUNTIFS('QA Log'!D:D,A193,'QA Log'!M:M,"Data Verification",'QA Log'!Z:Z,"Approved",'QA Log'!L:L,"*Equipments (section 4)*")
))</f>
        <v/>
      </c>
      <c r="AP193" s="105" t="str">
        <f>IF(A193&lt;&gt;"",COUNTIFS('QA Log'!D:D,A193,'QA Log'!M:M,"Data Verification",'QA Log'!L:L,"Personnel (section 1)",'QA Log'!Z:Z,"Approved"),"")</f>
        <v/>
      </c>
      <c r="AQ193" s="105" t="str">
        <f>IF(A193&lt;&gt;"",COUNTIFS('QA Log'!D:D,A193,'QA Log'!M:M,"Data Verification",'QA Log'!L:L,"Consumable (section 3)",'QA Log'!Z:Z,"Approved"),"")</f>
        <v/>
      </c>
      <c r="AR193" s="105" t="str">
        <f>IF(A193&lt;&gt;"",COUNTIFS('QA Log'!D:D,A193,'QA Log'!M:M,"Data Verification",'QA Log'!L:L,"Equipments (section 4)",'QA Log'!Z:Z,"Approved"),"")</f>
        <v/>
      </c>
      <c r="AS193" s="102" t="str">
        <f>IF(A193="","",
SUM(
COUNTIFS('QA Log'!D:D,A193,'QA Log'!M:M,"Data Verification",'QA Log'!Z:Z,"Rejected",'QA Log'!L:L,"*Personnel (section 1)*"),
COUNTIFS('QA Log'!D:D,A193,'QA Log'!M:M,"Data Verification",'QA Log'!Z:Z,"Rejected",'QA Log'!L:L,"*Consumable (section 3)*"),
COUNTIFS('QA Log'!D:D,A193,'QA Log'!M:M,"Data Verification",'QA Log'!Z:Z,"Rejected",'QA Log'!L:L,"*Equipments (section 4)*")
))</f>
        <v/>
      </c>
      <c r="AT193" s="102" t="str">
        <f t="shared" si="7"/>
        <v/>
      </c>
      <c r="AU193" s="103" t="str">
        <f t="shared" si="8"/>
        <v/>
      </c>
      <c r="AV193" s="102" t="str">
        <f>IF(A193="","",SUM(
COUNTIFS('QA Log'!D:D,A193,'QA Log'!M:M,"Vignette",'QA Log'!L:L,"*Vignette [1] Respiratory Infection: Pneumonia*"),
COUNTIFS('QA Log'!D:D,A193,'QA Log'!M:M,"Vignette",'QA Log'!L:L,"*Vignette [2]: Diarrhea with Cat B dehydration*"),
COUNTIFS('QA Log'!D:D,A193,'QA Log'!M:M,"Vignette",'QA Log'!L:L,"*Vignette [3] Growth Monitoring and Promotion*"),
COUNTIFS('QA Log'!D:D,A193,'QA Log'!M:M,"Vignette",'QA Log'!L:L,"*Vignette [4]: The management of presumptive TB patient*")
)
)</f>
        <v/>
      </c>
      <c r="AW193" s="102" t="str">
        <f>IF(
  A193="","",
  SUM(
    COUNTIFS('QA Log'!D:D,A193,'QA Log'!M:M,"Vignette",'QA Log'!Z:Z,"Approved",'QA Log'!L:L,"*Vignette [1] Respiratory Infection: Pneumonia*"),
    COUNTIFS('QA Log'!D:D,A193,'QA Log'!M:M,"Vignette",'QA Log'!Z:Z,"Approved",'QA Log'!L:L,"*Vignette [2]: Diarrhea with Cat B dehydration*"),
    COUNTIFS('QA Log'!D:D,A193,'QA Log'!M:M,"Vignette",'QA Log'!Z:Z,"Approved",'QA Log'!L:L,"*Vignette [3] Growth Monitoring and Promotion*"),
    COUNTIFS('QA Log'!D:D,A193,'QA Log'!M:M,"Vignette",'QA Log'!Z:Z,"Approved",'QA Log'!L:L,"*Vignette [4]: The management of presumptive TB patient*")
  )
)</f>
        <v/>
      </c>
      <c r="AX193" s="105" t="str">
        <f>IF(A193&lt;&gt;"",COUNTIFS('QA Log'!D:D,A193,'QA Log'!M:M,"Vignette",'QA Log'!L:L,"Vignette [1] Respiratory Infection: Pneumonia",'QA Log'!Z:Z,"Approved"),"")</f>
        <v/>
      </c>
      <c r="AY193" s="105" t="str">
        <f>IF(A193&lt;&gt;"",COUNTIFS('QA Log'!D:D,A193,'QA Log'!M:M,"Vignette",'QA Log'!L:L,"Vignette [2]: Diarrhea with Cat B dehydration",'QA Log'!Z:Z,"Approved"),"")</f>
        <v/>
      </c>
      <c r="AZ193" s="105" t="str">
        <f>IF(A193&lt;&gt;"",COUNTIFS('QA Log'!D:D,A193,'QA Log'!M:M,"Vignette",'QA Log'!L:L,"Vignette [3] Growth Monitoring and Promotion",'QA Log'!Z:Z,"Approved"),"")</f>
        <v/>
      </c>
      <c r="BA193" s="105" t="str">
        <f>IF(A193&lt;&gt;"",COUNTIFS('QA Log'!D:D,A193,'QA Log'!M:M,"Vignette",'QA Log'!L:L,"Vignette [4]: The management of presumptive TB patient",'QA Log'!Z:Z,"Approved"),"")</f>
        <v/>
      </c>
      <c r="BB193" s="102" t="str">
        <f>IF(A193="","",
  SUM(
    COUNTIFS('QA Log'!D:D,A193,'QA Log'!M:M,"Vignette",'QA Log'!Z:Z,"Rejected",'QA Log'!L:L,"*Vignette [1] Respiratory Infection: Pneumonia*"),
    COUNTIFS('QA Log'!D:D,A193,'QA Log'!M:M,"Vignette",'QA Log'!Z:Z,"Rejected",'QA Log'!L:L,"*Vignette [2]: Diarrhea with Cat B dehydration*"),
    COUNTIFS('QA Log'!D:D,A193,'QA Log'!M:M,"Vignette",'QA Log'!Z:Z,"Rejected",'QA Log'!L:L,"*Vignette [3] Growth Monitoring and Promotion*"),
    COUNTIFS('QA Log'!D:D,A193,'QA Log'!M:M,"Vignette",'QA Log'!Z:Z,"Rejected",'QA Log'!L:L,"*Vignette [4]: The management of presumptive TB patient*")
  )
)</f>
        <v/>
      </c>
      <c r="BC193" s="107" t="str">
        <f t="shared" si="9"/>
        <v/>
      </c>
      <c r="BD193" s="103" t="str">
        <f t="shared" si="10"/>
        <v/>
      </c>
      <c r="BE193" s="102" t="str">
        <f>IF(A193="","",SUM(
COUNTIFS('QA Log'!D:D,A193,'QA Log'!M:M,"Vignette",'QA Log'!L:L,"*Vignette [5] Labor*"),
COUNTIFS('QA Log'!D:D,A193,'QA Log'!M:M,"Vignette",'QA Log'!L:L,"*Vignette [6] PNC pre Discharge*"),
COUNTIFS('QA Log'!D:D,A193,'QA Log'!M:M,"Vignette",'QA Log'!L:L,"*Vignette [7] First ANC Visit*"),
COUNTIFS('QA Log'!D:D,A193,'QA Log'!M:M,"Vignette",'QA Log'!L:L,"*Vignette [8] Birth Spacing/ Family Planning :  FP Counselling*"),
COUNTIFS('QA Log'!D:D,A193,'QA Log'!M:M,"Vignette",'QA Log'!L:L,"*Vignette [9] Birth Spacing: Change FP method to Injectable*"),
COUNTIFS('QA Log'!D:D,A193,'QA Log'!M:M,"Vignette",'QA Log'!L:L,"*Vignette [10] Post Partum Haemorrhage - Atonic Uterus at Health Centre*"),
)
)</f>
        <v/>
      </c>
      <c r="BF193" s="102" t="str">
        <f>IF(A193="","",
  SUM(
    COUNTIFS('QA Log'!D:D,A193,'QA Log'!M:M,"Vignette",'QA Log'!Z:Z,"Approved",'QA Log'!L:L,"*Vignette [5] Labor*"),
    COUNTIFS('QA Log'!D:D,A193,'QA Log'!M:M,"Vignette",'QA Log'!Z:Z,"Approved",'QA Log'!L:L,"*Vignette [6] PNC pre Discharge*"),
    COUNTIFS('QA Log'!D:D,A193,'QA Log'!M:M,"Vignette",'QA Log'!Z:Z,"Approved",'QA Log'!L:L,"*Vignette [7] First ANC Visit*"),
    COUNTIFS('QA Log'!D:D,A193,'QA Log'!M:M,"Vignette",'QA Log'!Z:Z,"Approved",'QA Log'!L:L,"*Vignette [8] Birth Spacing/ Family Planning :  FP Counselling*"),
    COUNTIFS('QA Log'!D:D,A193,'QA Log'!M:M,"Vignette",'QA Log'!Z:Z,"Approved",'QA Log'!L:L,"*Vignette [9] Birth Spacing: Change FP method to Injectable*"),
    COUNTIFS('QA Log'!D:D,A193,'QA Log'!M:M,"Vignette",'QA Log'!Z:Z,"Approved",'QA Log'!L:L,"*Vignette [10] Post Partum Haemorrhage - Atonic Uterus at Health Centre*")
  )
)</f>
        <v/>
      </c>
      <c r="BG193" s="105" t="str">
        <f>IF(A193&lt;&gt;"",COUNTIFS('QA Log'!D:D,A193,'QA Log'!M:M,"Vignette",'QA Log'!L:L,"Vignette [5] Labor",'QA Log'!Z:Z,"Approved"),"")</f>
        <v/>
      </c>
      <c r="BH193" s="105" t="str">
        <f>IF(A193&lt;&gt;"",COUNTIFS('QA Log'!D:D,A193,'QA Log'!M:M,"Vignette",'QA Log'!L:L,"Vignette [6] PNC pre Discharge",'QA Log'!Z:Z,"Approved"),"")</f>
        <v/>
      </c>
      <c r="BI193" s="105" t="str">
        <f>IF(A193&lt;&gt;"",COUNTIFS('QA Log'!D:D,A193,'QA Log'!M:M,"Vignette",'QA Log'!L:L,"Vignette [7] First ANC Visit",'QA Log'!Z:Z,"Approved"),"")</f>
        <v/>
      </c>
      <c r="BJ193" s="105" t="str">
        <f>IF(A193&lt;&gt;"",COUNTIFS('QA Log'!D:D,A193,'QA Log'!M:M,"Vignette",'QA Log'!L:L,"Vignette [8] Birth Spacing/ Family Planning :  FP Counselling",'QA Log'!Z:Z,"Approved"),"")</f>
        <v/>
      </c>
      <c r="BK193" s="105" t="str">
        <f>IF(A193&lt;&gt;"",COUNTIFS('QA Log'!D:D,A193,'QA Log'!M:M,"Vignette",'QA Log'!L:L,"Vignette [9] Birth Spacing: Change FP method to Injectable",'QA Log'!Z:Z,"Approved"),"")</f>
        <v/>
      </c>
      <c r="BL193" s="105" t="str">
        <f>IF(A193&lt;&gt;"",COUNTIFS('QA Log'!D:D,A193,'QA Log'!M:M,"Vignette",'QA Log'!L:L,"Vignette [10] Post Partum Haemorrhage - Atonic Uterus at Health Centre",'QA Log'!Z:Z,"Approved"),"")</f>
        <v/>
      </c>
      <c r="BM193" s="102" t="str">
        <f>IF(A193="","",SUM(
    COUNTIFS('QA Log'!D:D,A193,'QA Log'!M:M,"Vignette",'QA Log'!Z:Z,"Rejected",'QA Log'!L:L,"*Vignette [5] Labor*"),
    COUNTIFS('QA Log'!D:D,A193,'QA Log'!M:M,"Vignette",'QA Log'!Z:Z,"Rejected",'QA Log'!L:L,"*Vignette [6] PNC pre Discharge*"),
    COUNTIFS('QA Log'!D:D,A193,'QA Log'!M:M,"Vignette",'QA Log'!Z:Z,"Rejected",'QA Log'!L:L,"*Vignette [7] First ANC Visit*"),
    COUNTIFS('QA Log'!D:D,A193,'QA Log'!M:M,"Vignette",'QA Log'!Z:Z,"Rejected",'QA Log'!L:L,"*Vignette [8] Birth Spacing/ Family Planning :  FP Counselling*"),
    COUNTIFS('QA Log'!D:D,A193,'QA Log'!M:M,"Vignette",'QA Log'!Z:Z,"Rejected",'QA Log'!L:L,"*Vignette [9] Birth Spacing: Change FP method to Injectable*"),
    COUNTIFS('QA Log'!D:D,A193,'QA Log'!M:M,"Vignette",'QA Log'!Z:Z,"Rejected",'QA Log'!L:L,"*Vignette [10] Post Partum Haemorrhage - Atonic Uterus at Health Centre*")
  )
)</f>
        <v/>
      </c>
      <c r="BN193" s="107" t="str">
        <f t="shared" si="11"/>
        <v/>
      </c>
      <c r="BO193" s="103" t="str">
        <f t="shared" si="12"/>
        <v/>
      </c>
      <c r="BP193" s="102" t="str">
        <f>IF(A193="","",SUM(
COUNTIFS('QA Log'!D:D,A193,'QA Log'!M:M,"Vignette",'QA Log'!L:L,"*Exit Interview 1*"),
COUNTIFS('QA Log'!D:D,A193,'QA Log'!M:M,"Vignette",'QA Log'!L:L,"*Exit Interview 2*"),
)
)</f>
        <v/>
      </c>
      <c r="BQ193" s="102" t="str">
        <f>IF(
  A193="","",
  SUM(
    COUNTIFS('QA Log'!D:D,A193,'QA Log'!M:M,"Vignette",'QA Log'!Z:Z,"Approved",'QA Log'!L:L,"*Exit Interview 1*"),
    COUNTIFS('QA Log'!D:D,A193,'QA Log'!M:M,"Vignette",'QA Log'!Z:Z,"Approved",'QA Log'!L:L,"*Exit Interview 2*")
  )
)</f>
        <v/>
      </c>
      <c r="BR193" s="105" t="str">
        <f>IF(A193&lt;&gt;"",COUNTIFS('QA Log'!D:D,A193,'QA Log'!M:M,"Vignette",'QA Log'!L:L,"Exit Interview 1",'QA Log'!Z:Z,"Approved"),"")</f>
        <v/>
      </c>
      <c r="BS193" s="105" t="str">
        <f>IF(A193&lt;&gt;"",COUNTIFS('QA Log'!D:D,A193,'QA Log'!M:M,"Vignette",'QA Log'!L:L,"Exit Interview 2",'QA Log'!Z:Z,"Approved"),"")</f>
        <v/>
      </c>
      <c r="BT193" s="102" t="str">
        <f>IF(
  A193="","",
  SUM(
    COUNTIFS('QA Log'!D:D,A193,'QA Log'!M:M,"Vignette",'QA Log'!Z:Z,"Rejected",'QA Log'!L:L,"*Exit Interview 1*"),
    COUNTIFS('QA Log'!D:D,A193,'QA Log'!M:M,"Vignette",'QA Log'!Z:Z,"Rejected",'QA Log'!L:L,"*Exit Interview 2*")
  )
)</f>
        <v/>
      </c>
      <c r="BU193" s="107" t="str">
        <f t="shared" si="13"/>
        <v/>
      </c>
      <c r="BV193" s="102" t="str">
        <f t="shared" si="14"/>
        <v/>
      </c>
      <c r="BW193" s="102" t="str">
        <f t="shared" si="15"/>
        <v/>
      </c>
      <c r="BX193" s="102" t="str">
        <f t="shared" si="16"/>
        <v/>
      </c>
      <c r="BY193" s="102" t="str">
        <f t="shared" si="17"/>
        <v/>
      </c>
      <c r="BZ193" s="107" t="str">
        <f t="shared" si="18"/>
        <v/>
      </c>
      <c r="CA193" s="108" t="str">
        <f t="shared" si="19"/>
        <v/>
      </c>
      <c r="CB193" s="108" t="str">
        <f t="shared" si="20"/>
        <v/>
      </c>
      <c r="CC193" s="109" t="str">
        <f t="shared" si="21"/>
        <v/>
      </c>
      <c r="CD193" s="108" t="str">
        <f t="shared" si="22"/>
        <v/>
      </c>
      <c r="CE193" s="108" t="str">
        <f t="shared" si="23"/>
        <v/>
      </c>
      <c r="CF193" s="109" t="str">
        <f t="shared" si="24"/>
        <v/>
      </c>
      <c r="CG193" s="110" t="str">
        <f t="shared" si="25"/>
        <v/>
      </c>
      <c r="CH193" s="111"/>
    </row>
    <row r="194" spans="1:86" ht="12.75">
      <c r="A194" s="101"/>
      <c r="B194" s="102" t="e">
        <f t="array" aca="1" ref="B194" ca="1">_xludf.XLOOKUP(A194,'QA Log'!D:D,'QA Log'!E:E,"")</f>
        <v>#NAME?</v>
      </c>
      <c r="C194" s="102" t="e">
        <f t="array" aca="1" ref="C194" ca="1">_xludf.XLOOKUP(A194,'QA Log'!D:D,'QA Log'!F:F,"")</f>
        <v>#NAME?</v>
      </c>
      <c r="D194" s="102" t="e">
        <f t="array" aca="1" ref="D194" ca="1">_xludf.XLOOKUP(A194,'QA Log'!D:D,'QA Log'!H:H,"")</f>
        <v>#NAME?</v>
      </c>
      <c r="E194" s="102" t="e">
        <f t="array" aca="1" ref="E194" ca="1">_xludf.XLOOKUP(A194,'QA Log'!D:D,'QA Log'!G:G,"")</f>
        <v>#NAME?</v>
      </c>
      <c r="F194" s="103"/>
      <c r="G194" s="104"/>
      <c r="H194" s="104"/>
      <c r="I194" s="103" t="str">
        <f t="shared" si="0"/>
        <v/>
      </c>
      <c r="J194" s="102" t="str">
        <f>IF(A194="","",SUM(
COUNTIFS('QA Log'!D:D,A194,'QA Log'!M:M,"QQC",'QA Log'!L:L,"*1. General Management*"),
COUNTIFS('QA Log'!D:D,A194,'QA Log'!M:M,"QQC",'QA Log'!L:L,"*3. Curative Consultation (OPD)*"),
COUNTIFS('QA Log'!D:D,A194,'QA Log'!M:M,"QQC",'QA Log'!L:L,"*5. Laboratory*"),
COUNTIFS('QA Log'!D:D,A194,'QA Log'!M:M,"QQC",'QA Log'!L:L,"*6. Essential Medicine Management*"),
COUNTIFS('QA Log'!D:D,A194,'QA Log'!M:M,"QQC",'QA Log'!L:L,"*7. Tracer Medicine*"),
COUNTIFS('QA Log'!D:D,A194,'QA Log'!M:M,"QQC",'QA Log'!L:L,"*11. Additional Questions*")))</f>
        <v/>
      </c>
      <c r="K194" s="102" t="str">
        <f>IF(A194="","",SUM(
COUNTIFS('QA Log'!D:D,A194,'QA Log'!M:M,"QQC",'QA Log'!Z:Z,"Approved",'QA Log'!L:L,"*1. General Management*"),
COUNTIFS('QA Log'!D:D,A194,'QA Log'!M:M,"QQC",'QA Log'!Z:Z,"Approved",'QA Log'!L:L,"*3. Curative Consultation (OPD)*"),
COUNTIFS('QA Log'!D:D,A194,'QA Log'!M:M,"QQC",'QA Log'!Z:Z,"Approved",'QA Log'!L:L,"*5. Laboratory*"),
COUNTIFS('QA Log'!D:D,A194,'QA Log'!M:M,"QQC",'QA Log'!Z:Z,"Approved",'QA Log'!L:L,"*6. Essential Medicine Management*"),
COUNTIFS('QA Log'!D:D,A194,'QA Log'!M:M,"QQC",'QA Log'!Z:Z,"Approved",'QA Log'!L:L,"*7. Tracer Medicine*"),
COUNTIFS('QA Log'!D:D,A194,'QA Log'!M:M,"QQC",'QA Log'!Z:Z,"Approved",'QA Log'!L:L,"*11. Additional Questions*")))</f>
        <v/>
      </c>
      <c r="L194" s="105" t="str">
        <f>IF(A194&lt;&gt;"",COUNTIFS('QA Log'!D:D,A194,'QA Log'!M:M,"QQC",'QA Log'!L:L,"1. General Management",'QA Log'!Z:Z,"Approved"),"")</f>
        <v/>
      </c>
      <c r="M194" s="105" t="str">
        <f>IF(A194&lt;&gt;"",COUNTIFS('QA Log'!D:D,A194,'QA Log'!M:M,"QQC",'QA Log'!L:L,"3. Curative Consultation (OPD)",'QA Log'!Z:Z,"Approved"),"")</f>
        <v/>
      </c>
      <c r="N194" s="105" t="str">
        <f>IF(A194&lt;&gt;"",COUNTIFS('QA Log'!D:D,A194,'QA Log'!M:M,"QQC",'QA Log'!L:L,"5. Laboratory",'QA Log'!Z:Z,"Approved"),"")</f>
        <v/>
      </c>
      <c r="O194" s="105" t="str">
        <f>IF(A194&lt;&gt;"",COUNTIFS('QA Log'!D:D,A194,'QA Log'!M:M,"QQC",'QA Log'!L:L,"6. Essential Medicine Management",'QA Log'!Z:Z,"Approved"),"")</f>
        <v/>
      </c>
      <c r="P194" s="105" t="str">
        <f>IF(A194&lt;&gt;"",COUNTIFS('QA Log'!D:D,A194,'QA Log'!M:M,"QQC",'QA Log'!L:L,"7. Tracer Medicine",'QA Log'!Z:Z,"Approved"),"")</f>
        <v/>
      </c>
      <c r="Q194" s="105" t="str">
        <f>IF(A194&lt;&gt;"",COUNTIFS('QA Log'!D:D,A194,'QA Log'!M:M,"QQC",'QA Log'!L:L,"11. Additional Questions",'QA Log'!Z:Z,"Approved"),"")</f>
        <v/>
      </c>
      <c r="R194" s="102" t="str">
        <f>IF(A194="","",SUM(
COUNTIFS('QA Log'!D:D,A194,'QA Log'!M:M,"QQC",'QA Log'!Z:Z,"Rejected",'QA Log'!L:L,"*8. Maternity*"),
COUNTIFS('QA Log'!D:D,A194,'QA Log'!M:M,"QQC",'QA Log'!Z:Z,"Rejected",'QA Log'!L:L,"*EPI*"),
COUNTIFS('QA Log'!D:D,A194,'QA Log'!M:M,"QQC",'QA Log'!Z:Z,"Rejected",'QA Log'!L:L,"*10. Antenatal Care (ANC)*"),
COUNTIFS('QA Log'!D:D,A194,'QA Log'!M:M,"QQC",'QA Log'!Z:Z,"Rejected",'QA Log'!L:L,"*2. Hygiene and Sterilization*"),
COUNTIFS('QA Log'!D:D,A194,'QA Log'!M:M,"QQC",'QA Log'!Z:Z,"Rejected",'QA Log'!L:L,"*Family Planning*")))</f>
        <v/>
      </c>
      <c r="S194" s="106" t="str">
        <f t="shared" si="1"/>
        <v/>
      </c>
      <c r="T194" s="102" t="str">
        <f t="shared" si="2"/>
        <v/>
      </c>
      <c r="U194" s="102" t="str">
        <f>IF(A194="","",
SUM(
COUNTIFS('QA Log'!D:D,A194,'QA Log'!M:M,"QQC",'QA Log'!L:L,"*8. Maternity*"),
COUNTIFS('QA Log'!D:D,A194,'QA Log'!M:M,"QQC",'QA Log'!L:L,"*9. EPI and Pre-school Consultation*"),
COUNTIFS('QA Log'!D:D,A194,'QA Log'!M:M,"QQC",'QA Log'!L:L,"*10. Antenatal Care (ANC)*"),
COUNTIFS('QA Log'!D:D,A194,'QA Log'!M:M,"QQC",'QA Log'!L:L,"*2. Hygiene and Sterilization*"),
COUNTIFS('QA Log'!D:D,A194,'QA Log'!M:M,"QQC",'QA Log'!L:L,"*4. Family Planning*")
))</f>
        <v/>
      </c>
      <c r="V194" s="102" t="str">
        <f>IF(A194="","",
SUM(
COUNTIFS('QA Log'!D:D,A194,'QA Log'!M:M,"QQC",'QA Log'!Z:Z,"Approved",'QA Log'!L:L,"*8. Maternity*"),
COUNTIFS('QA Log'!D:D,A194,'QA Log'!M:M,"QQC",'QA Log'!Z:Z,"Approved",'QA Log'!L:L,"*9. EPI and Pre-school Consultation*"),
COUNTIFS('QA Log'!D:D,A194,'QA Log'!M:M,"QQC",'QA Log'!Z:Z,"Approved",'QA Log'!L:L,"*10. Antenatal Care (ANC)*"),
COUNTIFS('QA Log'!D:D,A194,'QA Log'!M:M,"QQC",'QA Log'!Z:Z,"Approved",'QA Log'!L:L,"*2. Hygiene and Sterilization*"),
COUNTIFS('QA Log'!D:D,A194,'QA Log'!M:M,"QQC",'QA Log'!Z:Z,"Approved",'QA Log'!L:L,"*4. Family Planning*")
))</f>
        <v/>
      </c>
      <c r="W194" s="105" t="str">
        <f>IF(A194&lt;&gt;"",COUNTIFS('QA Log'!D:D,A194,'QA Log'!M:M,"QQC",'QA Log'!L:L,"8. Maternity",'QA Log'!Z:Z,"Approved"),"")</f>
        <v/>
      </c>
      <c r="X194" s="105" t="str">
        <f>IF(A194&lt;&gt;"",COUNTIFS('QA Log'!D:D,A194,'QA Log'!M:M,"QQC",'QA Log'!L:L,"9. EPI and Pre-school Consultation",'QA Log'!Z:Z,"Approved"),"")</f>
        <v/>
      </c>
      <c r="Y194" s="105" t="str">
        <f>IF(A194&lt;&gt;"",COUNTIFS('QA Log'!D:D,A194,'QA Log'!M:M,"QQC",'QA Log'!L:L,"10. Antenatal Care (ANC)",'QA Log'!Z:Z,"Approved"),"")</f>
        <v/>
      </c>
      <c r="Z194" s="105" t="str">
        <f>IF(A194&lt;&gt;"",COUNTIFS('QA Log'!D:D,A194,'QA Log'!M:M,"QQC",'QA Log'!L:L,"2. Hygiene and Sterilization",'QA Log'!Z:Z,"Approved"),"")</f>
        <v/>
      </c>
      <c r="AA194" s="105" t="str">
        <f>IF(A194&lt;&gt;"",COUNTIFS('QA Log'!D:D,A194,'QA Log'!M:M,"QQC",'QA Log'!L:L,"4. Family Planning",'QA Log'!Z:Z,"Approved"),"")</f>
        <v/>
      </c>
      <c r="AB194" s="102" t="str">
        <f>IF(A194="","",
SUM(
COUNTIFS('QA Log'!D:D,A194,'QA Log'!M:M,"QQC",'QA Log'!Z:Z,"Rejected",'QA Log'!L:L,"*8. Maternity*"),
COUNTIFS('QA Log'!D:D,A194,'QA Log'!M:M,"QQC",'QA Log'!Z:Z,"Rejected",'QA Log'!L:L,"*9. EPI and Pre-school Consultation*"),
COUNTIFS('QA Log'!D:D,A194,'QA Log'!M:M,"QQC",'QA Log'!Z:Z,"Rejected",'QA Log'!L:L,"*10. Antenatal Care (ANC)*"),
COUNTIFS('QA Log'!D:D,A194,'QA Log'!M:M,"QQC",'QA Log'!Z:Z,"Rejected",'QA Log'!L:L,"*2. Hygiene and Sterilization*"),
COUNTIFS('QA Log'!D:D,A194,'QA Log'!M:M,"QQC",'QA Log'!Z:Z,"Rejected",'QA Log'!L:L,"*4. Family Planning*")
))</f>
        <v/>
      </c>
      <c r="AC194" s="102" t="str">
        <f t="shared" si="3"/>
        <v/>
      </c>
      <c r="AD194" s="103" t="str">
        <f t="shared" si="4"/>
        <v/>
      </c>
      <c r="AE194" s="102" t="str">
        <f>IF(A194="","",
SUM(
COUNTIFS('QA Log'!D:D,A194,'QA Log'!M:M,"Data Verification",'QA Log'!L:L,"*Medicine (section 2)*"),
COUNTIFS('QA Log'!D:D,A194,'QA Log'!M:M,"Data Verification",'QA Log'!L:L,"*Lab Testing Availability*"),
COUNTIFS('QA Log'!D:D,A194,'QA Log'!M:M,"Data Verification",'QA Log'!L:L,"*Other than P4P (section 6)*"),
COUNTIFS('QA Log'!D:D,A194,'QA Log'!M:M,"Data Verification",'QA Log'!L:L,"*Hospital Governance*")
))</f>
        <v/>
      </c>
      <c r="AF194" s="102" t="str">
        <f>IF(A194="","",
SUM(
COUNTIFS('QA Log'!D:D,A194,'QA Log'!M:M,"Data Verification",'QA Log'!Z:Z,"Approved",'QA Log'!L:L,"*Medicine (section 2)*"),
COUNTIFS('QA Log'!D:D,A194,'QA Log'!M:M,"Data Verification",'QA Log'!Z:Z,"Approved",'QA Log'!L:L,"*Lab Testing Availability*"),
COUNTIFS('QA Log'!D:D,A194,'QA Log'!M:M,"Data Verification",'QA Log'!Z:Z,"Approved",'QA Log'!L:L,"*Other than P4P (section 6)*"),
COUNTIFS('QA Log'!D:D,A194,'QA Log'!M:M,"Data Verification",'QA Log'!Z:Z,"Approved",'QA Log'!L:L,"*Hospital Governance*")
))</f>
        <v/>
      </c>
      <c r="AG194" s="105" t="str">
        <f>IF(A194&lt;&gt;"",COUNTIFS('QA Log'!D:D,A194,'QA Log'!M:M,"Data Verification",'QA Log'!L:L,"Medicine (section 2)",'QA Log'!Z:Z,"Approved"),"")</f>
        <v/>
      </c>
      <c r="AH194" s="105" t="str">
        <f>IF(A194&lt;&gt;"",COUNTIFS('QA Log'!D:D,A194,'QA Log'!M:M,"Data Verification",'QA Log'!L:L,"Lab Testing Availability",'QA Log'!Z:Z,"Approved"),"")</f>
        <v/>
      </c>
      <c r="AI194" s="105" t="str">
        <f>IF(A194&lt;&gt;"",COUNTIFS('QA Log'!D:D,A194,'QA Log'!M:M,"Data Verification",'QA Log'!L:L,"Other than P4P (section 6)",'QA Log'!Z:Z,"Approved"),"")</f>
        <v/>
      </c>
      <c r="AJ194" s="105" t="str">
        <f>IF(A194&lt;&gt;"",COUNTIFS('QA Log'!D:D,A194,'QA Log'!M:M,"Data Verification",'QA Log'!L:L,"Hospital Governance",'QA Log'!Z:Z,"Approved"),"")</f>
        <v/>
      </c>
      <c r="AK194" s="102" t="str">
        <f>IF(A194="","",
SUM(
COUNTIFS('QA Log'!D:D,A194,'QA Log'!M:M,"Data Verification",'QA Log'!Z:Z,"Rejected",'QA Log'!L:L,"*Medicine (section 2)*"),
COUNTIFS('QA Log'!D:D,A194,'QA Log'!M:M,"Data Verification",'QA Log'!Z:Z,"Rejected",'QA Log'!L:L,"*Lab Testing Availability*"),
COUNTIFS('QA Log'!D:D,A194,'QA Log'!M:M,"Data Verification",'QA Log'!Z:Z,"Rejected",'QA Log'!L:L,"*Other than P4P (section 6)*"),
COUNTIFS('QA Log'!D:D,A194,'QA Log'!M:M,"Data Verification",'QA Log'!Z:Z,"Rejected",'QA Log'!L:L,"*Hospital Governance*")
))</f>
        <v/>
      </c>
      <c r="AL194" s="106" t="str">
        <f t="shared" si="5"/>
        <v/>
      </c>
      <c r="AM194" s="102" t="str">
        <f t="shared" si="6"/>
        <v/>
      </c>
      <c r="AN194" s="102" t="str">
        <f>IF(A194="","",
SUM(
COUNTIFS('QA Log'!D:D,A194,'QA Log'!M:M,"Data Verification",'QA Log'!L:L,"*Personnel (section 1)*"),
COUNTIFS('QA Log'!D:D,A194,'QA Log'!M:M,"Data Verification",'QA Log'!L:L,"*Consumable (section 3)*"),
COUNTIFS('QA Log'!D:D,A194,'QA Log'!M:M,"Data Verification",'QA Log'!L:L,"*Equipments (section 4)*")
))</f>
        <v/>
      </c>
      <c r="AO194" s="102" t="str">
        <f>IF(A194="","",
SUM(
COUNTIFS('QA Log'!D:D,A194,'QA Log'!M:M,"Data Verification",'QA Log'!Z:Z,"Approved",'QA Log'!L:L,"*Personnel (section 1)*"),
COUNTIFS('QA Log'!D:D,A194,'QA Log'!M:M,"Data Verification",'QA Log'!Z:Z,"Approved",'QA Log'!L:L,"*Consumable (section 3)*"),
COUNTIFS('QA Log'!D:D,A194,'QA Log'!M:M,"Data Verification",'QA Log'!Z:Z,"Approved",'QA Log'!L:L,"*Equipments (section 4)*")
))</f>
        <v/>
      </c>
      <c r="AP194" s="105" t="str">
        <f>IF(A194&lt;&gt;"",COUNTIFS('QA Log'!D:D,A194,'QA Log'!M:M,"Data Verification",'QA Log'!L:L,"Personnel (section 1)",'QA Log'!Z:Z,"Approved"),"")</f>
        <v/>
      </c>
      <c r="AQ194" s="105" t="str">
        <f>IF(A194&lt;&gt;"",COUNTIFS('QA Log'!D:D,A194,'QA Log'!M:M,"Data Verification",'QA Log'!L:L,"Consumable (section 3)",'QA Log'!Z:Z,"Approved"),"")</f>
        <v/>
      </c>
      <c r="AR194" s="105" t="str">
        <f>IF(A194&lt;&gt;"",COUNTIFS('QA Log'!D:D,A194,'QA Log'!M:M,"Data Verification",'QA Log'!L:L,"Equipments (section 4)",'QA Log'!Z:Z,"Approved"),"")</f>
        <v/>
      </c>
      <c r="AS194" s="102" t="str">
        <f>IF(A194="","",
SUM(
COUNTIFS('QA Log'!D:D,A194,'QA Log'!M:M,"Data Verification",'QA Log'!Z:Z,"Rejected",'QA Log'!L:L,"*Personnel (section 1)*"),
COUNTIFS('QA Log'!D:D,A194,'QA Log'!M:M,"Data Verification",'QA Log'!Z:Z,"Rejected",'QA Log'!L:L,"*Consumable (section 3)*"),
COUNTIFS('QA Log'!D:D,A194,'QA Log'!M:M,"Data Verification",'QA Log'!Z:Z,"Rejected",'QA Log'!L:L,"*Equipments (section 4)*")
))</f>
        <v/>
      </c>
      <c r="AT194" s="102" t="str">
        <f t="shared" si="7"/>
        <v/>
      </c>
      <c r="AU194" s="103" t="str">
        <f t="shared" si="8"/>
        <v/>
      </c>
      <c r="AV194" s="102" t="str">
        <f>IF(A194="","",SUM(
COUNTIFS('QA Log'!D:D,A194,'QA Log'!M:M,"Vignette",'QA Log'!L:L,"*Vignette [1] Respiratory Infection: Pneumonia*"),
COUNTIFS('QA Log'!D:D,A194,'QA Log'!M:M,"Vignette",'QA Log'!L:L,"*Vignette [2]: Diarrhea with Cat B dehydration*"),
COUNTIFS('QA Log'!D:D,A194,'QA Log'!M:M,"Vignette",'QA Log'!L:L,"*Vignette [3] Growth Monitoring and Promotion*"),
COUNTIFS('QA Log'!D:D,A194,'QA Log'!M:M,"Vignette",'QA Log'!L:L,"*Vignette [4]: The management of presumptive TB patient*")
)
)</f>
        <v/>
      </c>
      <c r="AW194" s="102" t="str">
        <f>IF(
  A194="","",
  SUM(
    COUNTIFS('QA Log'!D:D,A194,'QA Log'!M:M,"Vignette",'QA Log'!Z:Z,"Approved",'QA Log'!L:L,"*Vignette [1] Respiratory Infection: Pneumonia*"),
    COUNTIFS('QA Log'!D:D,A194,'QA Log'!M:M,"Vignette",'QA Log'!Z:Z,"Approved",'QA Log'!L:L,"*Vignette [2]: Diarrhea with Cat B dehydration*"),
    COUNTIFS('QA Log'!D:D,A194,'QA Log'!M:M,"Vignette",'QA Log'!Z:Z,"Approved",'QA Log'!L:L,"*Vignette [3] Growth Monitoring and Promotion*"),
    COUNTIFS('QA Log'!D:D,A194,'QA Log'!M:M,"Vignette",'QA Log'!Z:Z,"Approved",'QA Log'!L:L,"*Vignette [4]: The management of presumptive TB patient*")
  )
)</f>
        <v/>
      </c>
      <c r="AX194" s="105" t="str">
        <f>IF(A194&lt;&gt;"",COUNTIFS('QA Log'!D:D,A194,'QA Log'!M:M,"Vignette",'QA Log'!L:L,"Vignette [1] Respiratory Infection: Pneumonia",'QA Log'!Z:Z,"Approved"),"")</f>
        <v/>
      </c>
      <c r="AY194" s="105" t="str">
        <f>IF(A194&lt;&gt;"",COUNTIFS('QA Log'!D:D,A194,'QA Log'!M:M,"Vignette",'QA Log'!L:L,"Vignette [2]: Diarrhea with Cat B dehydration",'QA Log'!Z:Z,"Approved"),"")</f>
        <v/>
      </c>
      <c r="AZ194" s="105" t="str">
        <f>IF(A194&lt;&gt;"",COUNTIFS('QA Log'!D:D,A194,'QA Log'!M:M,"Vignette",'QA Log'!L:L,"Vignette [3] Growth Monitoring and Promotion",'QA Log'!Z:Z,"Approved"),"")</f>
        <v/>
      </c>
      <c r="BA194" s="105" t="str">
        <f>IF(A194&lt;&gt;"",COUNTIFS('QA Log'!D:D,A194,'QA Log'!M:M,"Vignette",'QA Log'!L:L,"Vignette [4]: The management of presumptive TB patient",'QA Log'!Z:Z,"Approved"),"")</f>
        <v/>
      </c>
      <c r="BB194" s="102" t="str">
        <f>IF(A194="","",
  SUM(
    COUNTIFS('QA Log'!D:D,A194,'QA Log'!M:M,"Vignette",'QA Log'!Z:Z,"Rejected",'QA Log'!L:L,"*Vignette [1] Respiratory Infection: Pneumonia*"),
    COUNTIFS('QA Log'!D:D,A194,'QA Log'!M:M,"Vignette",'QA Log'!Z:Z,"Rejected",'QA Log'!L:L,"*Vignette [2]: Diarrhea with Cat B dehydration*"),
    COUNTIFS('QA Log'!D:D,A194,'QA Log'!M:M,"Vignette",'QA Log'!Z:Z,"Rejected",'QA Log'!L:L,"*Vignette [3] Growth Monitoring and Promotion*"),
    COUNTIFS('QA Log'!D:D,A194,'QA Log'!M:M,"Vignette",'QA Log'!Z:Z,"Rejected",'QA Log'!L:L,"*Vignette [4]: The management of presumptive TB patient*")
  )
)</f>
        <v/>
      </c>
      <c r="BC194" s="107" t="str">
        <f t="shared" si="9"/>
        <v/>
      </c>
      <c r="BD194" s="103" t="str">
        <f t="shared" si="10"/>
        <v/>
      </c>
      <c r="BE194" s="102" t="str">
        <f>IF(A194="","",SUM(
COUNTIFS('QA Log'!D:D,A194,'QA Log'!M:M,"Vignette",'QA Log'!L:L,"*Vignette [5] Labor*"),
COUNTIFS('QA Log'!D:D,A194,'QA Log'!M:M,"Vignette",'QA Log'!L:L,"*Vignette [6] PNC pre Discharge*"),
COUNTIFS('QA Log'!D:D,A194,'QA Log'!M:M,"Vignette",'QA Log'!L:L,"*Vignette [7] First ANC Visit*"),
COUNTIFS('QA Log'!D:D,A194,'QA Log'!M:M,"Vignette",'QA Log'!L:L,"*Vignette [8] Birth Spacing/ Family Planning :  FP Counselling*"),
COUNTIFS('QA Log'!D:D,A194,'QA Log'!M:M,"Vignette",'QA Log'!L:L,"*Vignette [9] Birth Spacing: Change FP method to Injectable*"),
COUNTIFS('QA Log'!D:D,A194,'QA Log'!M:M,"Vignette",'QA Log'!L:L,"*Vignette [10] Post Partum Haemorrhage - Atonic Uterus at Health Centre*"),
)
)</f>
        <v/>
      </c>
      <c r="BF194" s="102" t="str">
        <f>IF(A194="","",
  SUM(
    COUNTIFS('QA Log'!D:D,A194,'QA Log'!M:M,"Vignette",'QA Log'!Z:Z,"Approved",'QA Log'!L:L,"*Vignette [5] Labor*"),
    COUNTIFS('QA Log'!D:D,A194,'QA Log'!M:M,"Vignette",'QA Log'!Z:Z,"Approved",'QA Log'!L:L,"*Vignette [6] PNC pre Discharge*"),
    COUNTIFS('QA Log'!D:D,A194,'QA Log'!M:M,"Vignette",'QA Log'!Z:Z,"Approved",'QA Log'!L:L,"*Vignette [7] First ANC Visit*"),
    COUNTIFS('QA Log'!D:D,A194,'QA Log'!M:M,"Vignette",'QA Log'!Z:Z,"Approved",'QA Log'!L:L,"*Vignette [8] Birth Spacing/ Family Planning :  FP Counselling*"),
    COUNTIFS('QA Log'!D:D,A194,'QA Log'!M:M,"Vignette",'QA Log'!Z:Z,"Approved",'QA Log'!L:L,"*Vignette [9] Birth Spacing: Change FP method to Injectable*"),
    COUNTIFS('QA Log'!D:D,A194,'QA Log'!M:M,"Vignette",'QA Log'!Z:Z,"Approved",'QA Log'!L:L,"*Vignette [10] Post Partum Haemorrhage - Atonic Uterus at Health Centre*")
  )
)</f>
        <v/>
      </c>
      <c r="BG194" s="105" t="str">
        <f>IF(A194&lt;&gt;"",COUNTIFS('QA Log'!D:D,A194,'QA Log'!M:M,"Vignette",'QA Log'!L:L,"Vignette [5] Labor",'QA Log'!Z:Z,"Approved"),"")</f>
        <v/>
      </c>
      <c r="BH194" s="105" t="str">
        <f>IF(A194&lt;&gt;"",COUNTIFS('QA Log'!D:D,A194,'QA Log'!M:M,"Vignette",'QA Log'!L:L,"Vignette [6] PNC pre Discharge",'QA Log'!Z:Z,"Approved"),"")</f>
        <v/>
      </c>
      <c r="BI194" s="105" t="str">
        <f>IF(A194&lt;&gt;"",COUNTIFS('QA Log'!D:D,A194,'QA Log'!M:M,"Vignette",'QA Log'!L:L,"Vignette [7] First ANC Visit",'QA Log'!Z:Z,"Approved"),"")</f>
        <v/>
      </c>
      <c r="BJ194" s="105" t="str">
        <f>IF(A194&lt;&gt;"",COUNTIFS('QA Log'!D:D,A194,'QA Log'!M:M,"Vignette",'QA Log'!L:L,"Vignette [8] Birth Spacing/ Family Planning :  FP Counselling",'QA Log'!Z:Z,"Approved"),"")</f>
        <v/>
      </c>
      <c r="BK194" s="105" t="str">
        <f>IF(A194&lt;&gt;"",COUNTIFS('QA Log'!D:D,A194,'QA Log'!M:M,"Vignette",'QA Log'!L:L,"Vignette [9] Birth Spacing: Change FP method to Injectable",'QA Log'!Z:Z,"Approved"),"")</f>
        <v/>
      </c>
      <c r="BL194" s="105" t="str">
        <f>IF(A194&lt;&gt;"",COUNTIFS('QA Log'!D:D,A194,'QA Log'!M:M,"Vignette",'QA Log'!L:L,"Vignette [10] Post Partum Haemorrhage - Atonic Uterus at Health Centre",'QA Log'!Z:Z,"Approved"),"")</f>
        <v/>
      </c>
      <c r="BM194" s="102" t="str">
        <f>IF(A194="","",SUM(
    COUNTIFS('QA Log'!D:D,A194,'QA Log'!M:M,"Vignette",'QA Log'!Z:Z,"Rejected",'QA Log'!L:L,"*Vignette [5] Labor*"),
    COUNTIFS('QA Log'!D:D,A194,'QA Log'!M:M,"Vignette",'QA Log'!Z:Z,"Rejected",'QA Log'!L:L,"*Vignette [6] PNC pre Discharge*"),
    COUNTIFS('QA Log'!D:D,A194,'QA Log'!M:M,"Vignette",'QA Log'!Z:Z,"Rejected",'QA Log'!L:L,"*Vignette [7] First ANC Visit*"),
    COUNTIFS('QA Log'!D:D,A194,'QA Log'!M:M,"Vignette",'QA Log'!Z:Z,"Rejected",'QA Log'!L:L,"*Vignette [8] Birth Spacing/ Family Planning :  FP Counselling*"),
    COUNTIFS('QA Log'!D:D,A194,'QA Log'!M:M,"Vignette",'QA Log'!Z:Z,"Rejected",'QA Log'!L:L,"*Vignette [9] Birth Spacing: Change FP method to Injectable*"),
    COUNTIFS('QA Log'!D:D,A194,'QA Log'!M:M,"Vignette",'QA Log'!Z:Z,"Rejected",'QA Log'!L:L,"*Vignette [10] Post Partum Haemorrhage - Atonic Uterus at Health Centre*")
  )
)</f>
        <v/>
      </c>
      <c r="BN194" s="107" t="str">
        <f t="shared" si="11"/>
        <v/>
      </c>
      <c r="BO194" s="103" t="str">
        <f t="shared" si="12"/>
        <v/>
      </c>
      <c r="BP194" s="102" t="str">
        <f>IF(A194="","",SUM(
COUNTIFS('QA Log'!D:D,A194,'QA Log'!M:M,"Vignette",'QA Log'!L:L,"*Exit Interview 1*"),
COUNTIFS('QA Log'!D:D,A194,'QA Log'!M:M,"Vignette",'QA Log'!L:L,"*Exit Interview 2*"),
)
)</f>
        <v/>
      </c>
      <c r="BQ194" s="102" t="str">
        <f>IF(
  A194="","",
  SUM(
    COUNTIFS('QA Log'!D:D,A194,'QA Log'!M:M,"Vignette",'QA Log'!Z:Z,"Approved",'QA Log'!L:L,"*Exit Interview 1*"),
    COUNTIFS('QA Log'!D:D,A194,'QA Log'!M:M,"Vignette",'QA Log'!Z:Z,"Approved",'QA Log'!L:L,"*Exit Interview 2*")
  )
)</f>
        <v/>
      </c>
      <c r="BR194" s="105" t="str">
        <f>IF(A194&lt;&gt;"",COUNTIFS('QA Log'!D:D,A194,'QA Log'!M:M,"Vignette",'QA Log'!L:L,"Exit Interview 1",'QA Log'!Z:Z,"Approved"),"")</f>
        <v/>
      </c>
      <c r="BS194" s="105" t="str">
        <f>IF(A194&lt;&gt;"",COUNTIFS('QA Log'!D:D,A194,'QA Log'!M:M,"Vignette",'QA Log'!L:L,"Exit Interview 2",'QA Log'!Z:Z,"Approved"),"")</f>
        <v/>
      </c>
      <c r="BT194" s="102" t="str">
        <f>IF(
  A194="","",
  SUM(
    COUNTIFS('QA Log'!D:D,A194,'QA Log'!M:M,"Vignette",'QA Log'!Z:Z,"Rejected",'QA Log'!L:L,"*Exit Interview 1*"),
    COUNTIFS('QA Log'!D:D,A194,'QA Log'!M:M,"Vignette",'QA Log'!Z:Z,"Rejected",'QA Log'!L:L,"*Exit Interview 2*")
  )
)</f>
        <v/>
      </c>
      <c r="BU194" s="107" t="str">
        <f t="shared" si="13"/>
        <v/>
      </c>
      <c r="BV194" s="102" t="str">
        <f t="shared" si="14"/>
        <v/>
      </c>
      <c r="BW194" s="102" t="str">
        <f t="shared" si="15"/>
        <v/>
      </c>
      <c r="BX194" s="102" t="str">
        <f t="shared" si="16"/>
        <v/>
      </c>
      <c r="BY194" s="102" t="str">
        <f t="shared" si="17"/>
        <v/>
      </c>
      <c r="BZ194" s="107" t="str">
        <f t="shared" si="18"/>
        <v/>
      </c>
      <c r="CA194" s="108" t="str">
        <f t="shared" si="19"/>
        <v/>
      </c>
      <c r="CB194" s="108" t="str">
        <f t="shared" si="20"/>
        <v/>
      </c>
      <c r="CC194" s="109" t="str">
        <f t="shared" si="21"/>
        <v/>
      </c>
      <c r="CD194" s="108" t="str">
        <f t="shared" si="22"/>
        <v/>
      </c>
      <c r="CE194" s="108" t="str">
        <f t="shared" si="23"/>
        <v/>
      </c>
      <c r="CF194" s="109" t="str">
        <f t="shared" si="24"/>
        <v/>
      </c>
      <c r="CG194" s="110" t="str">
        <f t="shared" si="25"/>
        <v/>
      </c>
      <c r="CH194" s="111"/>
    </row>
    <row r="195" spans="1:86" ht="12.75">
      <c r="A195" s="101"/>
      <c r="B195" s="102" t="e">
        <f t="array" aca="1" ref="B195" ca="1">_xludf.XLOOKUP(A195,'QA Log'!D:D,'QA Log'!E:E,"")</f>
        <v>#NAME?</v>
      </c>
      <c r="C195" s="102" t="e">
        <f t="array" aca="1" ref="C195" ca="1">_xludf.XLOOKUP(A195,'QA Log'!D:D,'QA Log'!F:F,"")</f>
        <v>#NAME?</v>
      </c>
      <c r="D195" s="102" t="e">
        <f t="array" aca="1" ref="D195" ca="1">_xludf.XLOOKUP(A195,'QA Log'!D:D,'QA Log'!H:H,"")</f>
        <v>#NAME?</v>
      </c>
      <c r="E195" s="102" t="e">
        <f t="array" aca="1" ref="E195" ca="1">_xludf.XLOOKUP(A195,'QA Log'!D:D,'QA Log'!G:G,"")</f>
        <v>#NAME?</v>
      </c>
      <c r="F195" s="103"/>
      <c r="G195" s="104"/>
      <c r="H195" s="104"/>
      <c r="I195" s="103" t="str">
        <f t="shared" si="0"/>
        <v/>
      </c>
      <c r="J195" s="102" t="str">
        <f>IF(A195="","",SUM(
COUNTIFS('QA Log'!D:D,A195,'QA Log'!M:M,"QQC",'QA Log'!L:L,"*1. General Management*"),
COUNTIFS('QA Log'!D:D,A195,'QA Log'!M:M,"QQC",'QA Log'!L:L,"*3. Curative Consultation (OPD)*"),
COUNTIFS('QA Log'!D:D,A195,'QA Log'!M:M,"QQC",'QA Log'!L:L,"*5. Laboratory*"),
COUNTIFS('QA Log'!D:D,A195,'QA Log'!M:M,"QQC",'QA Log'!L:L,"*6. Essential Medicine Management*"),
COUNTIFS('QA Log'!D:D,A195,'QA Log'!M:M,"QQC",'QA Log'!L:L,"*7. Tracer Medicine*"),
COUNTIFS('QA Log'!D:D,A195,'QA Log'!M:M,"QQC",'QA Log'!L:L,"*11. Additional Questions*")))</f>
        <v/>
      </c>
      <c r="K195" s="102" t="str">
        <f>IF(A195="","",SUM(
COUNTIFS('QA Log'!D:D,A195,'QA Log'!M:M,"QQC",'QA Log'!Z:Z,"Approved",'QA Log'!L:L,"*1. General Management*"),
COUNTIFS('QA Log'!D:D,A195,'QA Log'!M:M,"QQC",'QA Log'!Z:Z,"Approved",'QA Log'!L:L,"*3. Curative Consultation (OPD)*"),
COUNTIFS('QA Log'!D:D,A195,'QA Log'!M:M,"QQC",'QA Log'!Z:Z,"Approved",'QA Log'!L:L,"*5. Laboratory*"),
COUNTIFS('QA Log'!D:D,A195,'QA Log'!M:M,"QQC",'QA Log'!Z:Z,"Approved",'QA Log'!L:L,"*6. Essential Medicine Management*"),
COUNTIFS('QA Log'!D:D,A195,'QA Log'!M:M,"QQC",'QA Log'!Z:Z,"Approved",'QA Log'!L:L,"*7. Tracer Medicine*"),
COUNTIFS('QA Log'!D:D,A195,'QA Log'!M:M,"QQC",'QA Log'!Z:Z,"Approved",'QA Log'!L:L,"*11. Additional Questions*")))</f>
        <v/>
      </c>
      <c r="L195" s="105" t="str">
        <f>IF(A195&lt;&gt;"",COUNTIFS('QA Log'!D:D,A195,'QA Log'!M:M,"QQC",'QA Log'!L:L,"1. General Management",'QA Log'!Z:Z,"Approved"),"")</f>
        <v/>
      </c>
      <c r="M195" s="105" t="str">
        <f>IF(A195&lt;&gt;"",COUNTIFS('QA Log'!D:D,A195,'QA Log'!M:M,"QQC",'QA Log'!L:L,"3. Curative Consultation (OPD)",'QA Log'!Z:Z,"Approved"),"")</f>
        <v/>
      </c>
      <c r="N195" s="105" t="str">
        <f>IF(A195&lt;&gt;"",COUNTIFS('QA Log'!D:D,A195,'QA Log'!M:M,"QQC",'QA Log'!L:L,"5. Laboratory",'QA Log'!Z:Z,"Approved"),"")</f>
        <v/>
      </c>
      <c r="O195" s="105" t="str">
        <f>IF(A195&lt;&gt;"",COUNTIFS('QA Log'!D:D,A195,'QA Log'!M:M,"QQC",'QA Log'!L:L,"6. Essential Medicine Management",'QA Log'!Z:Z,"Approved"),"")</f>
        <v/>
      </c>
      <c r="P195" s="105" t="str">
        <f>IF(A195&lt;&gt;"",COUNTIFS('QA Log'!D:D,A195,'QA Log'!M:M,"QQC",'QA Log'!L:L,"7. Tracer Medicine",'QA Log'!Z:Z,"Approved"),"")</f>
        <v/>
      </c>
      <c r="Q195" s="105" t="str">
        <f>IF(A195&lt;&gt;"",COUNTIFS('QA Log'!D:D,A195,'QA Log'!M:M,"QQC",'QA Log'!L:L,"11. Additional Questions",'QA Log'!Z:Z,"Approved"),"")</f>
        <v/>
      </c>
      <c r="R195" s="102" t="str">
        <f>IF(A195="","",SUM(
COUNTIFS('QA Log'!D:D,A195,'QA Log'!M:M,"QQC",'QA Log'!Z:Z,"Rejected",'QA Log'!L:L,"*8. Maternity*"),
COUNTIFS('QA Log'!D:D,A195,'QA Log'!M:M,"QQC",'QA Log'!Z:Z,"Rejected",'QA Log'!L:L,"*EPI*"),
COUNTIFS('QA Log'!D:D,A195,'QA Log'!M:M,"QQC",'QA Log'!Z:Z,"Rejected",'QA Log'!L:L,"*10. Antenatal Care (ANC)*"),
COUNTIFS('QA Log'!D:D,A195,'QA Log'!M:M,"QQC",'QA Log'!Z:Z,"Rejected",'QA Log'!L:L,"*2. Hygiene and Sterilization*"),
COUNTIFS('QA Log'!D:D,A195,'QA Log'!M:M,"QQC",'QA Log'!Z:Z,"Rejected",'QA Log'!L:L,"*Family Planning*")))</f>
        <v/>
      </c>
      <c r="S195" s="106" t="str">
        <f t="shared" si="1"/>
        <v/>
      </c>
      <c r="T195" s="102" t="str">
        <f t="shared" si="2"/>
        <v/>
      </c>
      <c r="U195" s="102" t="str">
        <f>IF(A195="","",
SUM(
COUNTIFS('QA Log'!D:D,A195,'QA Log'!M:M,"QQC",'QA Log'!L:L,"*8. Maternity*"),
COUNTIFS('QA Log'!D:D,A195,'QA Log'!M:M,"QQC",'QA Log'!L:L,"*9. EPI and Pre-school Consultation*"),
COUNTIFS('QA Log'!D:D,A195,'QA Log'!M:M,"QQC",'QA Log'!L:L,"*10. Antenatal Care (ANC)*"),
COUNTIFS('QA Log'!D:D,A195,'QA Log'!M:M,"QQC",'QA Log'!L:L,"*2. Hygiene and Sterilization*"),
COUNTIFS('QA Log'!D:D,A195,'QA Log'!M:M,"QQC",'QA Log'!L:L,"*4. Family Planning*")
))</f>
        <v/>
      </c>
      <c r="V195" s="102" t="str">
        <f>IF(A195="","",
SUM(
COUNTIFS('QA Log'!D:D,A195,'QA Log'!M:M,"QQC",'QA Log'!Z:Z,"Approved",'QA Log'!L:L,"*8. Maternity*"),
COUNTIFS('QA Log'!D:D,A195,'QA Log'!M:M,"QQC",'QA Log'!Z:Z,"Approved",'QA Log'!L:L,"*9. EPI and Pre-school Consultation*"),
COUNTIFS('QA Log'!D:D,A195,'QA Log'!M:M,"QQC",'QA Log'!Z:Z,"Approved",'QA Log'!L:L,"*10. Antenatal Care (ANC)*"),
COUNTIFS('QA Log'!D:D,A195,'QA Log'!M:M,"QQC",'QA Log'!Z:Z,"Approved",'QA Log'!L:L,"*2. Hygiene and Sterilization*"),
COUNTIFS('QA Log'!D:D,A195,'QA Log'!M:M,"QQC",'QA Log'!Z:Z,"Approved",'QA Log'!L:L,"*4. Family Planning*")
))</f>
        <v/>
      </c>
      <c r="W195" s="105" t="str">
        <f>IF(A195&lt;&gt;"",COUNTIFS('QA Log'!D:D,A195,'QA Log'!M:M,"QQC",'QA Log'!L:L,"8. Maternity",'QA Log'!Z:Z,"Approved"),"")</f>
        <v/>
      </c>
      <c r="X195" s="105" t="str">
        <f>IF(A195&lt;&gt;"",COUNTIFS('QA Log'!D:D,A195,'QA Log'!M:M,"QQC",'QA Log'!L:L,"9. EPI and Pre-school Consultation",'QA Log'!Z:Z,"Approved"),"")</f>
        <v/>
      </c>
      <c r="Y195" s="105" t="str">
        <f>IF(A195&lt;&gt;"",COUNTIFS('QA Log'!D:D,A195,'QA Log'!M:M,"QQC",'QA Log'!L:L,"10. Antenatal Care (ANC)",'QA Log'!Z:Z,"Approved"),"")</f>
        <v/>
      </c>
      <c r="Z195" s="105" t="str">
        <f>IF(A195&lt;&gt;"",COUNTIFS('QA Log'!D:D,A195,'QA Log'!M:M,"QQC",'QA Log'!L:L,"2. Hygiene and Sterilization",'QA Log'!Z:Z,"Approved"),"")</f>
        <v/>
      </c>
      <c r="AA195" s="105" t="str">
        <f>IF(A195&lt;&gt;"",COUNTIFS('QA Log'!D:D,A195,'QA Log'!M:M,"QQC",'QA Log'!L:L,"4. Family Planning",'QA Log'!Z:Z,"Approved"),"")</f>
        <v/>
      </c>
      <c r="AB195" s="102" t="str">
        <f>IF(A195="","",
SUM(
COUNTIFS('QA Log'!D:D,A195,'QA Log'!M:M,"QQC",'QA Log'!Z:Z,"Rejected",'QA Log'!L:L,"*8. Maternity*"),
COUNTIFS('QA Log'!D:D,A195,'QA Log'!M:M,"QQC",'QA Log'!Z:Z,"Rejected",'QA Log'!L:L,"*9. EPI and Pre-school Consultation*"),
COUNTIFS('QA Log'!D:D,A195,'QA Log'!M:M,"QQC",'QA Log'!Z:Z,"Rejected",'QA Log'!L:L,"*10. Antenatal Care (ANC)*"),
COUNTIFS('QA Log'!D:D,A195,'QA Log'!M:M,"QQC",'QA Log'!Z:Z,"Rejected",'QA Log'!L:L,"*2. Hygiene and Sterilization*"),
COUNTIFS('QA Log'!D:D,A195,'QA Log'!M:M,"QQC",'QA Log'!Z:Z,"Rejected",'QA Log'!L:L,"*4. Family Planning*")
))</f>
        <v/>
      </c>
      <c r="AC195" s="102" t="str">
        <f t="shared" si="3"/>
        <v/>
      </c>
      <c r="AD195" s="103" t="str">
        <f t="shared" si="4"/>
        <v/>
      </c>
      <c r="AE195" s="102" t="str">
        <f>IF(A195="","",
SUM(
COUNTIFS('QA Log'!D:D,A195,'QA Log'!M:M,"Data Verification",'QA Log'!L:L,"*Medicine (section 2)*"),
COUNTIFS('QA Log'!D:D,A195,'QA Log'!M:M,"Data Verification",'QA Log'!L:L,"*Lab Testing Availability*"),
COUNTIFS('QA Log'!D:D,A195,'QA Log'!M:M,"Data Verification",'QA Log'!L:L,"*Other than P4P (section 6)*"),
COUNTIFS('QA Log'!D:D,A195,'QA Log'!M:M,"Data Verification",'QA Log'!L:L,"*Hospital Governance*")
))</f>
        <v/>
      </c>
      <c r="AF195" s="102" t="str">
        <f>IF(A195="","",
SUM(
COUNTIFS('QA Log'!D:D,A195,'QA Log'!M:M,"Data Verification",'QA Log'!Z:Z,"Approved",'QA Log'!L:L,"*Medicine (section 2)*"),
COUNTIFS('QA Log'!D:D,A195,'QA Log'!M:M,"Data Verification",'QA Log'!Z:Z,"Approved",'QA Log'!L:L,"*Lab Testing Availability*"),
COUNTIFS('QA Log'!D:D,A195,'QA Log'!M:M,"Data Verification",'QA Log'!Z:Z,"Approved",'QA Log'!L:L,"*Other than P4P (section 6)*"),
COUNTIFS('QA Log'!D:D,A195,'QA Log'!M:M,"Data Verification",'QA Log'!Z:Z,"Approved",'QA Log'!L:L,"*Hospital Governance*")
))</f>
        <v/>
      </c>
      <c r="AG195" s="105" t="str">
        <f>IF(A195&lt;&gt;"",COUNTIFS('QA Log'!D:D,A195,'QA Log'!M:M,"Data Verification",'QA Log'!L:L,"Medicine (section 2)",'QA Log'!Z:Z,"Approved"),"")</f>
        <v/>
      </c>
      <c r="AH195" s="105" t="str">
        <f>IF(A195&lt;&gt;"",COUNTIFS('QA Log'!D:D,A195,'QA Log'!M:M,"Data Verification",'QA Log'!L:L,"Lab Testing Availability",'QA Log'!Z:Z,"Approved"),"")</f>
        <v/>
      </c>
      <c r="AI195" s="105" t="str">
        <f>IF(A195&lt;&gt;"",COUNTIFS('QA Log'!D:D,A195,'QA Log'!M:M,"Data Verification",'QA Log'!L:L,"Other than P4P (section 6)",'QA Log'!Z:Z,"Approved"),"")</f>
        <v/>
      </c>
      <c r="AJ195" s="105" t="str">
        <f>IF(A195&lt;&gt;"",COUNTIFS('QA Log'!D:D,A195,'QA Log'!M:M,"Data Verification",'QA Log'!L:L,"Hospital Governance",'QA Log'!Z:Z,"Approved"),"")</f>
        <v/>
      </c>
      <c r="AK195" s="102" t="str">
        <f>IF(A195="","",
SUM(
COUNTIFS('QA Log'!D:D,A195,'QA Log'!M:M,"Data Verification",'QA Log'!Z:Z,"Rejected",'QA Log'!L:L,"*Medicine (section 2)*"),
COUNTIFS('QA Log'!D:D,A195,'QA Log'!M:M,"Data Verification",'QA Log'!Z:Z,"Rejected",'QA Log'!L:L,"*Lab Testing Availability*"),
COUNTIFS('QA Log'!D:D,A195,'QA Log'!M:M,"Data Verification",'QA Log'!Z:Z,"Rejected",'QA Log'!L:L,"*Other than P4P (section 6)*"),
COUNTIFS('QA Log'!D:D,A195,'QA Log'!M:M,"Data Verification",'QA Log'!Z:Z,"Rejected",'QA Log'!L:L,"*Hospital Governance*")
))</f>
        <v/>
      </c>
      <c r="AL195" s="106" t="str">
        <f t="shared" si="5"/>
        <v/>
      </c>
      <c r="AM195" s="102" t="str">
        <f t="shared" si="6"/>
        <v/>
      </c>
      <c r="AN195" s="102" t="str">
        <f>IF(A195="","",
SUM(
COUNTIFS('QA Log'!D:D,A195,'QA Log'!M:M,"Data Verification",'QA Log'!L:L,"*Personnel (section 1)*"),
COUNTIFS('QA Log'!D:D,A195,'QA Log'!M:M,"Data Verification",'QA Log'!L:L,"*Consumable (section 3)*"),
COUNTIFS('QA Log'!D:D,A195,'QA Log'!M:M,"Data Verification",'QA Log'!L:L,"*Equipments (section 4)*")
))</f>
        <v/>
      </c>
      <c r="AO195" s="102" t="str">
        <f>IF(A195="","",
SUM(
COUNTIFS('QA Log'!D:D,A195,'QA Log'!M:M,"Data Verification",'QA Log'!Z:Z,"Approved",'QA Log'!L:L,"*Personnel (section 1)*"),
COUNTIFS('QA Log'!D:D,A195,'QA Log'!M:M,"Data Verification",'QA Log'!Z:Z,"Approved",'QA Log'!L:L,"*Consumable (section 3)*"),
COUNTIFS('QA Log'!D:D,A195,'QA Log'!M:M,"Data Verification",'QA Log'!Z:Z,"Approved",'QA Log'!L:L,"*Equipments (section 4)*")
))</f>
        <v/>
      </c>
      <c r="AP195" s="105" t="str">
        <f>IF(A195&lt;&gt;"",COUNTIFS('QA Log'!D:D,A195,'QA Log'!M:M,"Data Verification",'QA Log'!L:L,"Personnel (section 1)",'QA Log'!Z:Z,"Approved"),"")</f>
        <v/>
      </c>
      <c r="AQ195" s="105" t="str">
        <f>IF(A195&lt;&gt;"",COUNTIFS('QA Log'!D:D,A195,'QA Log'!M:M,"Data Verification",'QA Log'!L:L,"Consumable (section 3)",'QA Log'!Z:Z,"Approved"),"")</f>
        <v/>
      </c>
      <c r="AR195" s="105" t="str">
        <f>IF(A195&lt;&gt;"",COUNTIFS('QA Log'!D:D,A195,'QA Log'!M:M,"Data Verification",'QA Log'!L:L,"Equipments (section 4)",'QA Log'!Z:Z,"Approved"),"")</f>
        <v/>
      </c>
      <c r="AS195" s="102" t="str">
        <f>IF(A195="","",
SUM(
COUNTIFS('QA Log'!D:D,A195,'QA Log'!M:M,"Data Verification",'QA Log'!Z:Z,"Rejected",'QA Log'!L:L,"*Personnel (section 1)*"),
COUNTIFS('QA Log'!D:D,A195,'QA Log'!M:M,"Data Verification",'QA Log'!Z:Z,"Rejected",'QA Log'!L:L,"*Consumable (section 3)*"),
COUNTIFS('QA Log'!D:D,A195,'QA Log'!M:M,"Data Verification",'QA Log'!Z:Z,"Rejected",'QA Log'!L:L,"*Equipments (section 4)*")
))</f>
        <v/>
      </c>
      <c r="AT195" s="102" t="str">
        <f t="shared" si="7"/>
        <v/>
      </c>
      <c r="AU195" s="103" t="str">
        <f t="shared" si="8"/>
        <v/>
      </c>
      <c r="AV195" s="102" t="str">
        <f>IF(A195="","",SUM(
COUNTIFS('QA Log'!D:D,A195,'QA Log'!M:M,"Vignette",'QA Log'!L:L,"*Vignette [1] Respiratory Infection: Pneumonia*"),
COUNTIFS('QA Log'!D:D,A195,'QA Log'!M:M,"Vignette",'QA Log'!L:L,"*Vignette [2]: Diarrhea with Cat B dehydration*"),
COUNTIFS('QA Log'!D:D,A195,'QA Log'!M:M,"Vignette",'QA Log'!L:L,"*Vignette [3] Growth Monitoring and Promotion*"),
COUNTIFS('QA Log'!D:D,A195,'QA Log'!M:M,"Vignette",'QA Log'!L:L,"*Vignette [4]: The management of presumptive TB patient*")
)
)</f>
        <v/>
      </c>
      <c r="AW195" s="102" t="str">
        <f>IF(
  A195="","",
  SUM(
    COUNTIFS('QA Log'!D:D,A195,'QA Log'!M:M,"Vignette",'QA Log'!Z:Z,"Approved",'QA Log'!L:L,"*Vignette [1] Respiratory Infection: Pneumonia*"),
    COUNTIFS('QA Log'!D:D,A195,'QA Log'!M:M,"Vignette",'QA Log'!Z:Z,"Approved",'QA Log'!L:L,"*Vignette [2]: Diarrhea with Cat B dehydration*"),
    COUNTIFS('QA Log'!D:D,A195,'QA Log'!M:M,"Vignette",'QA Log'!Z:Z,"Approved",'QA Log'!L:L,"*Vignette [3] Growth Monitoring and Promotion*"),
    COUNTIFS('QA Log'!D:D,A195,'QA Log'!M:M,"Vignette",'QA Log'!Z:Z,"Approved",'QA Log'!L:L,"*Vignette [4]: The management of presumptive TB patient*")
  )
)</f>
        <v/>
      </c>
      <c r="AX195" s="105" t="str">
        <f>IF(A195&lt;&gt;"",COUNTIFS('QA Log'!D:D,A195,'QA Log'!M:M,"Vignette",'QA Log'!L:L,"Vignette [1] Respiratory Infection: Pneumonia",'QA Log'!Z:Z,"Approved"),"")</f>
        <v/>
      </c>
      <c r="AY195" s="105" t="str">
        <f>IF(A195&lt;&gt;"",COUNTIFS('QA Log'!D:D,A195,'QA Log'!M:M,"Vignette",'QA Log'!L:L,"Vignette [2]: Diarrhea with Cat B dehydration",'QA Log'!Z:Z,"Approved"),"")</f>
        <v/>
      </c>
      <c r="AZ195" s="105" t="str">
        <f>IF(A195&lt;&gt;"",COUNTIFS('QA Log'!D:D,A195,'QA Log'!M:M,"Vignette",'QA Log'!L:L,"Vignette [3] Growth Monitoring and Promotion",'QA Log'!Z:Z,"Approved"),"")</f>
        <v/>
      </c>
      <c r="BA195" s="105" t="str">
        <f>IF(A195&lt;&gt;"",COUNTIFS('QA Log'!D:D,A195,'QA Log'!M:M,"Vignette",'QA Log'!L:L,"Vignette [4]: The management of presumptive TB patient",'QA Log'!Z:Z,"Approved"),"")</f>
        <v/>
      </c>
      <c r="BB195" s="102" t="str">
        <f>IF(A195="","",
  SUM(
    COUNTIFS('QA Log'!D:D,A195,'QA Log'!M:M,"Vignette",'QA Log'!Z:Z,"Rejected",'QA Log'!L:L,"*Vignette [1] Respiratory Infection: Pneumonia*"),
    COUNTIFS('QA Log'!D:D,A195,'QA Log'!M:M,"Vignette",'QA Log'!Z:Z,"Rejected",'QA Log'!L:L,"*Vignette [2]: Diarrhea with Cat B dehydration*"),
    COUNTIFS('QA Log'!D:D,A195,'QA Log'!M:M,"Vignette",'QA Log'!Z:Z,"Rejected",'QA Log'!L:L,"*Vignette [3] Growth Monitoring and Promotion*"),
    COUNTIFS('QA Log'!D:D,A195,'QA Log'!M:M,"Vignette",'QA Log'!Z:Z,"Rejected",'QA Log'!L:L,"*Vignette [4]: The management of presumptive TB patient*")
  )
)</f>
        <v/>
      </c>
      <c r="BC195" s="107" t="str">
        <f t="shared" si="9"/>
        <v/>
      </c>
      <c r="BD195" s="103" t="str">
        <f t="shared" si="10"/>
        <v/>
      </c>
      <c r="BE195" s="102" t="str">
        <f>IF(A195="","",SUM(
COUNTIFS('QA Log'!D:D,A195,'QA Log'!M:M,"Vignette",'QA Log'!L:L,"*Vignette [5] Labor*"),
COUNTIFS('QA Log'!D:D,A195,'QA Log'!M:M,"Vignette",'QA Log'!L:L,"*Vignette [6] PNC pre Discharge*"),
COUNTIFS('QA Log'!D:D,A195,'QA Log'!M:M,"Vignette",'QA Log'!L:L,"*Vignette [7] First ANC Visit*"),
COUNTIFS('QA Log'!D:D,A195,'QA Log'!M:M,"Vignette",'QA Log'!L:L,"*Vignette [8] Birth Spacing/ Family Planning :  FP Counselling*"),
COUNTIFS('QA Log'!D:D,A195,'QA Log'!M:M,"Vignette",'QA Log'!L:L,"*Vignette [9] Birth Spacing: Change FP method to Injectable*"),
COUNTIFS('QA Log'!D:D,A195,'QA Log'!M:M,"Vignette",'QA Log'!L:L,"*Vignette [10] Post Partum Haemorrhage - Atonic Uterus at Health Centre*"),
)
)</f>
        <v/>
      </c>
      <c r="BF195" s="102" t="str">
        <f>IF(A195="","",
  SUM(
    COUNTIFS('QA Log'!D:D,A195,'QA Log'!M:M,"Vignette",'QA Log'!Z:Z,"Approved",'QA Log'!L:L,"*Vignette [5] Labor*"),
    COUNTIFS('QA Log'!D:D,A195,'QA Log'!M:M,"Vignette",'QA Log'!Z:Z,"Approved",'QA Log'!L:L,"*Vignette [6] PNC pre Discharge*"),
    COUNTIFS('QA Log'!D:D,A195,'QA Log'!M:M,"Vignette",'QA Log'!Z:Z,"Approved",'QA Log'!L:L,"*Vignette [7] First ANC Visit*"),
    COUNTIFS('QA Log'!D:D,A195,'QA Log'!M:M,"Vignette",'QA Log'!Z:Z,"Approved",'QA Log'!L:L,"*Vignette [8] Birth Spacing/ Family Planning :  FP Counselling*"),
    COUNTIFS('QA Log'!D:D,A195,'QA Log'!M:M,"Vignette",'QA Log'!Z:Z,"Approved",'QA Log'!L:L,"*Vignette [9] Birth Spacing: Change FP method to Injectable*"),
    COUNTIFS('QA Log'!D:D,A195,'QA Log'!M:M,"Vignette",'QA Log'!Z:Z,"Approved",'QA Log'!L:L,"*Vignette [10] Post Partum Haemorrhage - Atonic Uterus at Health Centre*")
  )
)</f>
        <v/>
      </c>
      <c r="BG195" s="105" t="str">
        <f>IF(A195&lt;&gt;"",COUNTIFS('QA Log'!D:D,A195,'QA Log'!M:M,"Vignette",'QA Log'!L:L,"Vignette [5] Labor",'QA Log'!Z:Z,"Approved"),"")</f>
        <v/>
      </c>
      <c r="BH195" s="105" t="str">
        <f>IF(A195&lt;&gt;"",COUNTIFS('QA Log'!D:D,A195,'QA Log'!M:M,"Vignette",'QA Log'!L:L,"Vignette [6] PNC pre Discharge",'QA Log'!Z:Z,"Approved"),"")</f>
        <v/>
      </c>
      <c r="BI195" s="105" t="str">
        <f>IF(A195&lt;&gt;"",COUNTIFS('QA Log'!D:D,A195,'QA Log'!M:M,"Vignette",'QA Log'!L:L,"Vignette [7] First ANC Visit",'QA Log'!Z:Z,"Approved"),"")</f>
        <v/>
      </c>
      <c r="BJ195" s="105" t="str">
        <f>IF(A195&lt;&gt;"",COUNTIFS('QA Log'!D:D,A195,'QA Log'!M:M,"Vignette",'QA Log'!L:L,"Vignette [8] Birth Spacing/ Family Planning :  FP Counselling",'QA Log'!Z:Z,"Approved"),"")</f>
        <v/>
      </c>
      <c r="BK195" s="105" t="str">
        <f>IF(A195&lt;&gt;"",COUNTIFS('QA Log'!D:D,A195,'QA Log'!M:M,"Vignette",'QA Log'!L:L,"Vignette [9] Birth Spacing: Change FP method to Injectable",'QA Log'!Z:Z,"Approved"),"")</f>
        <v/>
      </c>
      <c r="BL195" s="105" t="str">
        <f>IF(A195&lt;&gt;"",COUNTIFS('QA Log'!D:D,A195,'QA Log'!M:M,"Vignette",'QA Log'!L:L,"Vignette [10] Post Partum Haemorrhage - Atonic Uterus at Health Centre",'QA Log'!Z:Z,"Approved"),"")</f>
        <v/>
      </c>
      <c r="BM195" s="102" t="str">
        <f>IF(A195="","",SUM(
    COUNTIFS('QA Log'!D:D,A195,'QA Log'!M:M,"Vignette",'QA Log'!Z:Z,"Rejected",'QA Log'!L:L,"*Vignette [5] Labor*"),
    COUNTIFS('QA Log'!D:D,A195,'QA Log'!M:M,"Vignette",'QA Log'!Z:Z,"Rejected",'QA Log'!L:L,"*Vignette [6] PNC pre Discharge*"),
    COUNTIFS('QA Log'!D:D,A195,'QA Log'!M:M,"Vignette",'QA Log'!Z:Z,"Rejected",'QA Log'!L:L,"*Vignette [7] First ANC Visit*"),
    COUNTIFS('QA Log'!D:D,A195,'QA Log'!M:M,"Vignette",'QA Log'!Z:Z,"Rejected",'QA Log'!L:L,"*Vignette [8] Birth Spacing/ Family Planning :  FP Counselling*"),
    COUNTIFS('QA Log'!D:D,A195,'QA Log'!M:M,"Vignette",'QA Log'!Z:Z,"Rejected",'QA Log'!L:L,"*Vignette [9] Birth Spacing: Change FP method to Injectable*"),
    COUNTIFS('QA Log'!D:D,A195,'QA Log'!M:M,"Vignette",'QA Log'!Z:Z,"Rejected",'QA Log'!L:L,"*Vignette [10] Post Partum Haemorrhage - Atonic Uterus at Health Centre*")
  )
)</f>
        <v/>
      </c>
      <c r="BN195" s="107" t="str">
        <f t="shared" si="11"/>
        <v/>
      </c>
      <c r="BO195" s="103" t="str">
        <f t="shared" si="12"/>
        <v/>
      </c>
      <c r="BP195" s="102" t="str">
        <f>IF(A195="","",SUM(
COUNTIFS('QA Log'!D:D,A195,'QA Log'!M:M,"Vignette",'QA Log'!L:L,"*Exit Interview 1*"),
COUNTIFS('QA Log'!D:D,A195,'QA Log'!M:M,"Vignette",'QA Log'!L:L,"*Exit Interview 2*"),
)
)</f>
        <v/>
      </c>
      <c r="BQ195" s="102" t="str">
        <f>IF(
  A195="","",
  SUM(
    COUNTIFS('QA Log'!D:D,A195,'QA Log'!M:M,"Vignette",'QA Log'!Z:Z,"Approved",'QA Log'!L:L,"*Exit Interview 1*"),
    COUNTIFS('QA Log'!D:D,A195,'QA Log'!M:M,"Vignette",'QA Log'!Z:Z,"Approved",'QA Log'!L:L,"*Exit Interview 2*")
  )
)</f>
        <v/>
      </c>
      <c r="BR195" s="105" t="str">
        <f>IF(A195&lt;&gt;"",COUNTIFS('QA Log'!D:D,A195,'QA Log'!M:M,"Vignette",'QA Log'!L:L,"Exit Interview 1",'QA Log'!Z:Z,"Approved"),"")</f>
        <v/>
      </c>
      <c r="BS195" s="105" t="str">
        <f>IF(A195&lt;&gt;"",COUNTIFS('QA Log'!D:D,A195,'QA Log'!M:M,"Vignette",'QA Log'!L:L,"Exit Interview 2",'QA Log'!Z:Z,"Approved"),"")</f>
        <v/>
      </c>
      <c r="BT195" s="102" t="str">
        <f>IF(
  A195="","",
  SUM(
    COUNTIFS('QA Log'!D:D,A195,'QA Log'!M:M,"Vignette",'QA Log'!Z:Z,"Rejected",'QA Log'!L:L,"*Exit Interview 1*"),
    COUNTIFS('QA Log'!D:D,A195,'QA Log'!M:M,"Vignette",'QA Log'!Z:Z,"Rejected",'QA Log'!L:L,"*Exit Interview 2*")
  )
)</f>
        <v/>
      </c>
      <c r="BU195" s="107" t="str">
        <f t="shared" si="13"/>
        <v/>
      </c>
      <c r="BV195" s="102" t="str">
        <f t="shared" si="14"/>
        <v/>
      </c>
      <c r="BW195" s="102" t="str">
        <f t="shared" si="15"/>
        <v/>
      </c>
      <c r="BX195" s="102" t="str">
        <f t="shared" si="16"/>
        <v/>
      </c>
      <c r="BY195" s="102" t="str">
        <f t="shared" si="17"/>
        <v/>
      </c>
      <c r="BZ195" s="107" t="str">
        <f t="shared" si="18"/>
        <v/>
      </c>
      <c r="CA195" s="108" t="str">
        <f t="shared" si="19"/>
        <v/>
      </c>
      <c r="CB195" s="108" t="str">
        <f t="shared" si="20"/>
        <v/>
      </c>
      <c r="CC195" s="109" t="str">
        <f t="shared" si="21"/>
        <v/>
      </c>
      <c r="CD195" s="108" t="str">
        <f t="shared" si="22"/>
        <v/>
      </c>
      <c r="CE195" s="108" t="str">
        <f t="shared" si="23"/>
        <v/>
      </c>
      <c r="CF195" s="109" t="str">
        <f t="shared" si="24"/>
        <v/>
      </c>
      <c r="CG195" s="110" t="str">
        <f t="shared" si="25"/>
        <v/>
      </c>
      <c r="CH195" s="111"/>
    </row>
    <row r="196" spans="1:86" ht="12.75">
      <c r="A196" s="101"/>
      <c r="B196" s="102" t="e">
        <f t="array" aca="1" ref="B196" ca="1">_xludf.XLOOKUP(A196,'QA Log'!D:D,'QA Log'!E:E,"")</f>
        <v>#NAME?</v>
      </c>
      <c r="C196" s="102" t="e">
        <f t="array" aca="1" ref="C196" ca="1">_xludf.XLOOKUP(A196,'QA Log'!D:D,'QA Log'!F:F,"")</f>
        <v>#NAME?</v>
      </c>
      <c r="D196" s="102" t="e">
        <f t="array" aca="1" ref="D196" ca="1">_xludf.XLOOKUP(A196,'QA Log'!D:D,'QA Log'!H:H,"")</f>
        <v>#NAME?</v>
      </c>
      <c r="E196" s="102" t="e">
        <f t="array" aca="1" ref="E196" ca="1">_xludf.XLOOKUP(A196,'QA Log'!D:D,'QA Log'!G:G,"")</f>
        <v>#NAME?</v>
      </c>
      <c r="F196" s="103"/>
      <c r="G196" s="104"/>
      <c r="H196" s="104"/>
      <c r="I196" s="103" t="str">
        <f t="shared" si="0"/>
        <v/>
      </c>
      <c r="J196" s="102" t="str">
        <f>IF(A196="","",SUM(
COUNTIFS('QA Log'!D:D,A196,'QA Log'!M:M,"QQC",'QA Log'!L:L,"*1. General Management*"),
COUNTIFS('QA Log'!D:D,A196,'QA Log'!M:M,"QQC",'QA Log'!L:L,"*3. Curative Consultation (OPD)*"),
COUNTIFS('QA Log'!D:D,A196,'QA Log'!M:M,"QQC",'QA Log'!L:L,"*5. Laboratory*"),
COUNTIFS('QA Log'!D:D,A196,'QA Log'!M:M,"QQC",'QA Log'!L:L,"*6. Essential Medicine Management*"),
COUNTIFS('QA Log'!D:D,A196,'QA Log'!M:M,"QQC",'QA Log'!L:L,"*7. Tracer Medicine*"),
COUNTIFS('QA Log'!D:D,A196,'QA Log'!M:M,"QQC",'QA Log'!L:L,"*11. Additional Questions*")))</f>
        <v/>
      </c>
      <c r="K196" s="102" t="str">
        <f>IF(A196="","",SUM(
COUNTIFS('QA Log'!D:D,A196,'QA Log'!M:M,"QQC",'QA Log'!Z:Z,"Approved",'QA Log'!L:L,"*1. General Management*"),
COUNTIFS('QA Log'!D:D,A196,'QA Log'!M:M,"QQC",'QA Log'!Z:Z,"Approved",'QA Log'!L:L,"*3. Curative Consultation (OPD)*"),
COUNTIFS('QA Log'!D:D,A196,'QA Log'!M:M,"QQC",'QA Log'!Z:Z,"Approved",'QA Log'!L:L,"*5. Laboratory*"),
COUNTIFS('QA Log'!D:D,A196,'QA Log'!M:M,"QQC",'QA Log'!Z:Z,"Approved",'QA Log'!L:L,"*6. Essential Medicine Management*"),
COUNTIFS('QA Log'!D:D,A196,'QA Log'!M:M,"QQC",'QA Log'!Z:Z,"Approved",'QA Log'!L:L,"*7. Tracer Medicine*"),
COUNTIFS('QA Log'!D:D,A196,'QA Log'!M:M,"QQC",'QA Log'!Z:Z,"Approved",'QA Log'!L:L,"*11. Additional Questions*")))</f>
        <v/>
      </c>
      <c r="L196" s="105" t="str">
        <f>IF(A196&lt;&gt;"",COUNTIFS('QA Log'!D:D,A196,'QA Log'!M:M,"QQC",'QA Log'!L:L,"1. General Management",'QA Log'!Z:Z,"Approved"),"")</f>
        <v/>
      </c>
      <c r="M196" s="105" t="str">
        <f>IF(A196&lt;&gt;"",COUNTIFS('QA Log'!D:D,A196,'QA Log'!M:M,"QQC",'QA Log'!L:L,"3. Curative Consultation (OPD)",'QA Log'!Z:Z,"Approved"),"")</f>
        <v/>
      </c>
      <c r="N196" s="105" t="str">
        <f>IF(A196&lt;&gt;"",COUNTIFS('QA Log'!D:D,A196,'QA Log'!M:M,"QQC",'QA Log'!L:L,"5. Laboratory",'QA Log'!Z:Z,"Approved"),"")</f>
        <v/>
      </c>
      <c r="O196" s="105" t="str">
        <f>IF(A196&lt;&gt;"",COUNTIFS('QA Log'!D:D,A196,'QA Log'!M:M,"QQC",'QA Log'!L:L,"6. Essential Medicine Management",'QA Log'!Z:Z,"Approved"),"")</f>
        <v/>
      </c>
      <c r="P196" s="105" t="str">
        <f>IF(A196&lt;&gt;"",COUNTIFS('QA Log'!D:D,A196,'QA Log'!M:M,"QQC",'QA Log'!L:L,"7. Tracer Medicine",'QA Log'!Z:Z,"Approved"),"")</f>
        <v/>
      </c>
      <c r="Q196" s="105" t="str">
        <f>IF(A196&lt;&gt;"",COUNTIFS('QA Log'!D:D,A196,'QA Log'!M:M,"QQC",'QA Log'!L:L,"11. Additional Questions",'QA Log'!Z:Z,"Approved"),"")</f>
        <v/>
      </c>
      <c r="R196" s="102" t="str">
        <f>IF(A196="","",SUM(
COUNTIFS('QA Log'!D:D,A196,'QA Log'!M:M,"QQC",'QA Log'!Z:Z,"Rejected",'QA Log'!L:L,"*8. Maternity*"),
COUNTIFS('QA Log'!D:D,A196,'QA Log'!M:M,"QQC",'QA Log'!Z:Z,"Rejected",'QA Log'!L:L,"*EPI*"),
COUNTIFS('QA Log'!D:D,A196,'QA Log'!M:M,"QQC",'QA Log'!Z:Z,"Rejected",'QA Log'!L:L,"*10. Antenatal Care (ANC)*"),
COUNTIFS('QA Log'!D:D,A196,'QA Log'!M:M,"QQC",'QA Log'!Z:Z,"Rejected",'QA Log'!L:L,"*2. Hygiene and Sterilization*"),
COUNTIFS('QA Log'!D:D,A196,'QA Log'!M:M,"QQC",'QA Log'!Z:Z,"Rejected",'QA Log'!L:L,"*Family Planning*")))</f>
        <v/>
      </c>
      <c r="S196" s="106" t="str">
        <f t="shared" si="1"/>
        <v/>
      </c>
      <c r="T196" s="102" t="str">
        <f t="shared" si="2"/>
        <v/>
      </c>
      <c r="U196" s="102" t="str">
        <f>IF(A196="","",
SUM(
COUNTIFS('QA Log'!D:D,A196,'QA Log'!M:M,"QQC",'QA Log'!L:L,"*8. Maternity*"),
COUNTIFS('QA Log'!D:D,A196,'QA Log'!M:M,"QQC",'QA Log'!L:L,"*9. EPI and Pre-school Consultation*"),
COUNTIFS('QA Log'!D:D,A196,'QA Log'!M:M,"QQC",'QA Log'!L:L,"*10. Antenatal Care (ANC)*"),
COUNTIFS('QA Log'!D:D,A196,'QA Log'!M:M,"QQC",'QA Log'!L:L,"*2. Hygiene and Sterilization*"),
COUNTIFS('QA Log'!D:D,A196,'QA Log'!M:M,"QQC",'QA Log'!L:L,"*4. Family Planning*")
))</f>
        <v/>
      </c>
      <c r="V196" s="102" t="str">
        <f>IF(A196="","",
SUM(
COUNTIFS('QA Log'!D:D,A196,'QA Log'!M:M,"QQC",'QA Log'!Z:Z,"Approved",'QA Log'!L:L,"*8. Maternity*"),
COUNTIFS('QA Log'!D:D,A196,'QA Log'!M:M,"QQC",'QA Log'!Z:Z,"Approved",'QA Log'!L:L,"*9. EPI and Pre-school Consultation*"),
COUNTIFS('QA Log'!D:D,A196,'QA Log'!M:M,"QQC",'QA Log'!Z:Z,"Approved",'QA Log'!L:L,"*10. Antenatal Care (ANC)*"),
COUNTIFS('QA Log'!D:D,A196,'QA Log'!M:M,"QQC",'QA Log'!Z:Z,"Approved",'QA Log'!L:L,"*2. Hygiene and Sterilization*"),
COUNTIFS('QA Log'!D:D,A196,'QA Log'!M:M,"QQC",'QA Log'!Z:Z,"Approved",'QA Log'!L:L,"*4. Family Planning*")
))</f>
        <v/>
      </c>
      <c r="W196" s="105" t="str">
        <f>IF(A196&lt;&gt;"",COUNTIFS('QA Log'!D:D,A196,'QA Log'!M:M,"QQC",'QA Log'!L:L,"8. Maternity",'QA Log'!Z:Z,"Approved"),"")</f>
        <v/>
      </c>
      <c r="X196" s="105" t="str">
        <f>IF(A196&lt;&gt;"",COUNTIFS('QA Log'!D:D,A196,'QA Log'!M:M,"QQC",'QA Log'!L:L,"9. EPI and Pre-school Consultation",'QA Log'!Z:Z,"Approved"),"")</f>
        <v/>
      </c>
      <c r="Y196" s="105" t="str">
        <f>IF(A196&lt;&gt;"",COUNTIFS('QA Log'!D:D,A196,'QA Log'!M:M,"QQC",'QA Log'!L:L,"10. Antenatal Care (ANC)",'QA Log'!Z:Z,"Approved"),"")</f>
        <v/>
      </c>
      <c r="Z196" s="105" t="str">
        <f>IF(A196&lt;&gt;"",COUNTIFS('QA Log'!D:D,A196,'QA Log'!M:M,"QQC",'QA Log'!L:L,"2. Hygiene and Sterilization",'QA Log'!Z:Z,"Approved"),"")</f>
        <v/>
      </c>
      <c r="AA196" s="105" t="str">
        <f>IF(A196&lt;&gt;"",COUNTIFS('QA Log'!D:D,A196,'QA Log'!M:M,"QQC",'QA Log'!L:L,"4. Family Planning",'QA Log'!Z:Z,"Approved"),"")</f>
        <v/>
      </c>
      <c r="AB196" s="102" t="str">
        <f>IF(A196="","",
SUM(
COUNTIFS('QA Log'!D:D,A196,'QA Log'!M:M,"QQC",'QA Log'!Z:Z,"Rejected",'QA Log'!L:L,"*8. Maternity*"),
COUNTIFS('QA Log'!D:D,A196,'QA Log'!M:M,"QQC",'QA Log'!Z:Z,"Rejected",'QA Log'!L:L,"*9. EPI and Pre-school Consultation*"),
COUNTIFS('QA Log'!D:D,A196,'QA Log'!M:M,"QQC",'QA Log'!Z:Z,"Rejected",'QA Log'!L:L,"*10. Antenatal Care (ANC)*"),
COUNTIFS('QA Log'!D:D,A196,'QA Log'!M:M,"QQC",'QA Log'!Z:Z,"Rejected",'QA Log'!L:L,"*2. Hygiene and Sterilization*"),
COUNTIFS('QA Log'!D:D,A196,'QA Log'!M:M,"QQC",'QA Log'!Z:Z,"Rejected",'QA Log'!L:L,"*4. Family Planning*")
))</f>
        <v/>
      </c>
      <c r="AC196" s="102" t="str">
        <f t="shared" si="3"/>
        <v/>
      </c>
      <c r="AD196" s="103" t="str">
        <f t="shared" si="4"/>
        <v/>
      </c>
      <c r="AE196" s="102" t="str">
        <f>IF(A196="","",
SUM(
COUNTIFS('QA Log'!D:D,A196,'QA Log'!M:M,"Data Verification",'QA Log'!L:L,"*Medicine (section 2)*"),
COUNTIFS('QA Log'!D:D,A196,'QA Log'!M:M,"Data Verification",'QA Log'!L:L,"*Lab Testing Availability*"),
COUNTIFS('QA Log'!D:D,A196,'QA Log'!M:M,"Data Verification",'QA Log'!L:L,"*Other than P4P (section 6)*"),
COUNTIFS('QA Log'!D:D,A196,'QA Log'!M:M,"Data Verification",'QA Log'!L:L,"*Hospital Governance*")
))</f>
        <v/>
      </c>
      <c r="AF196" s="102" t="str">
        <f>IF(A196="","",
SUM(
COUNTIFS('QA Log'!D:D,A196,'QA Log'!M:M,"Data Verification",'QA Log'!Z:Z,"Approved",'QA Log'!L:L,"*Medicine (section 2)*"),
COUNTIFS('QA Log'!D:D,A196,'QA Log'!M:M,"Data Verification",'QA Log'!Z:Z,"Approved",'QA Log'!L:L,"*Lab Testing Availability*"),
COUNTIFS('QA Log'!D:D,A196,'QA Log'!M:M,"Data Verification",'QA Log'!Z:Z,"Approved",'QA Log'!L:L,"*Other than P4P (section 6)*"),
COUNTIFS('QA Log'!D:D,A196,'QA Log'!M:M,"Data Verification",'QA Log'!Z:Z,"Approved",'QA Log'!L:L,"*Hospital Governance*")
))</f>
        <v/>
      </c>
      <c r="AG196" s="105" t="str">
        <f>IF(A196&lt;&gt;"",COUNTIFS('QA Log'!D:D,A196,'QA Log'!M:M,"Data Verification",'QA Log'!L:L,"Medicine (section 2)",'QA Log'!Z:Z,"Approved"),"")</f>
        <v/>
      </c>
      <c r="AH196" s="105" t="str">
        <f>IF(A196&lt;&gt;"",COUNTIFS('QA Log'!D:D,A196,'QA Log'!M:M,"Data Verification",'QA Log'!L:L,"Lab Testing Availability",'QA Log'!Z:Z,"Approved"),"")</f>
        <v/>
      </c>
      <c r="AI196" s="105" t="str">
        <f>IF(A196&lt;&gt;"",COUNTIFS('QA Log'!D:D,A196,'QA Log'!M:M,"Data Verification",'QA Log'!L:L,"Other than P4P (section 6)",'QA Log'!Z:Z,"Approved"),"")</f>
        <v/>
      </c>
      <c r="AJ196" s="105" t="str">
        <f>IF(A196&lt;&gt;"",COUNTIFS('QA Log'!D:D,A196,'QA Log'!M:M,"Data Verification",'QA Log'!L:L,"Hospital Governance",'QA Log'!Z:Z,"Approved"),"")</f>
        <v/>
      </c>
      <c r="AK196" s="102" t="str">
        <f>IF(A196="","",
SUM(
COUNTIFS('QA Log'!D:D,A196,'QA Log'!M:M,"Data Verification",'QA Log'!Z:Z,"Rejected",'QA Log'!L:L,"*Medicine (section 2)*"),
COUNTIFS('QA Log'!D:D,A196,'QA Log'!M:M,"Data Verification",'QA Log'!Z:Z,"Rejected",'QA Log'!L:L,"*Lab Testing Availability*"),
COUNTIFS('QA Log'!D:D,A196,'QA Log'!M:M,"Data Verification",'QA Log'!Z:Z,"Rejected",'QA Log'!L:L,"*Other than P4P (section 6)*"),
COUNTIFS('QA Log'!D:D,A196,'QA Log'!M:M,"Data Verification",'QA Log'!Z:Z,"Rejected",'QA Log'!L:L,"*Hospital Governance*")
))</f>
        <v/>
      </c>
      <c r="AL196" s="106" t="str">
        <f t="shared" si="5"/>
        <v/>
      </c>
      <c r="AM196" s="102" t="str">
        <f t="shared" si="6"/>
        <v/>
      </c>
      <c r="AN196" s="102" t="str">
        <f>IF(A196="","",
SUM(
COUNTIFS('QA Log'!D:D,A196,'QA Log'!M:M,"Data Verification",'QA Log'!L:L,"*Personnel (section 1)*"),
COUNTIFS('QA Log'!D:D,A196,'QA Log'!M:M,"Data Verification",'QA Log'!L:L,"*Consumable (section 3)*"),
COUNTIFS('QA Log'!D:D,A196,'QA Log'!M:M,"Data Verification",'QA Log'!L:L,"*Equipments (section 4)*")
))</f>
        <v/>
      </c>
      <c r="AO196" s="102" t="str">
        <f>IF(A196="","",
SUM(
COUNTIFS('QA Log'!D:D,A196,'QA Log'!M:M,"Data Verification",'QA Log'!Z:Z,"Approved",'QA Log'!L:L,"*Personnel (section 1)*"),
COUNTIFS('QA Log'!D:D,A196,'QA Log'!M:M,"Data Verification",'QA Log'!Z:Z,"Approved",'QA Log'!L:L,"*Consumable (section 3)*"),
COUNTIFS('QA Log'!D:D,A196,'QA Log'!M:M,"Data Verification",'QA Log'!Z:Z,"Approved",'QA Log'!L:L,"*Equipments (section 4)*")
))</f>
        <v/>
      </c>
      <c r="AP196" s="105" t="str">
        <f>IF(A196&lt;&gt;"",COUNTIFS('QA Log'!D:D,A196,'QA Log'!M:M,"Data Verification",'QA Log'!L:L,"Personnel (section 1)",'QA Log'!Z:Z,"Approved"),"")</f>
        <v/>
      </c>
      <c r="AQ196" s="105" t="str">
        <f>IF(A196&lt;&gt;"",COUNTIFS('QA Log'!D:D,A196,'QA Log'!M:M,"Data Verification",'QA Log'!L:L,"Consumable (section 3)",'QA Log'!Z:Z,"Approved"),"")</f>
        <v/>
      </c>
      <c r="AR196" s="105" t="str">
        <f>IF(A196&lt;&gt;"",COUNTIFS('QA Log'!D:D,A196,'QA Log'!M:M,"Data Verification",'QA Log'!L:L,"Equipments (section 4)",'QA Log'!Z:Z,"Approved"),"")</f>
        <v/>
      </c>
      <c r="AS196" s="102" t="str">
        <f>IF(A196="","",
SUM(
COUNTIFS('QA Log'!D:D,A196,'QA Log'!M:M,"Data Verification",'QA Log'!Z:Z,"Rejected",'QA Log'!L:L,"*Personnel (section 1)*"),
COUNTIFS('QA Log'!D:D,A196,'QA Log'!M:M,"Data Verification",'QA Log'!Z:Z,"Rejected",'QA Log'!L:L,"*Consumable (section 3)*"),
COUNTIFS('QA Log'!D:D,A196,'QA Log'!M:M,"Data Verification",'QA Log'!Z:Z,"Rejected",'QA Log'!L:L,"*Equipments (section 4)*")
))</f>
        <v/>
      </c>
      <c r="AT196" s="102" t="str">
        <f t="shared" si="7"/>
        <v/>
      </c>
      <c r="AU196" s="103" t="str">
        <f t="shared" si="8"/>
        <v/>
      </c>
      <c r="AV196" s="102" t="str">
        <f>IF(A196="","",SUM(
COUNTIFS('QA Log'!D:D,A196,'QA Log'!M:M,"Vignette",'QA Log'!L:L,"*Vignette [1] Respiratory Infection: Pneumonia*"),
COUNTIFS('QA Log'!D:D,A196,'QA Log'!M:M,"Vignette",'QA Log'!L:L,"*Vignette [2]: Diarrhea with Cat B dehydration*"),
COUNTIFS('QA Log'!D:D,A196,'QA Log'!M:M,"Vignette",'QA Log'!L:L,"*Vignette [3] Growth Monitoring and Promotion*"),
COUNTIFS('QA Log'!D:D,A196,'QA Log'!M:M,"Vignette",'QA Log'!L:L,"*Vignette [4]: The management of presumptive TB patient*")
)
)</f>
        <v/>
      </c>
      <c r="AW196" s="102" t="str">
        <f>IF(
  A196="","",
  SUM(
    COUNTIFS('QA Log'!D:D,A196,'QA Log'!M:M,"Vignette",'QA Log'!Z:Z,"Approved",'QA Log'!L:L,"*Vignette [1] Respiratory Infection: Pneumonia*"),
    COUNTIFS('QA Log'!D:D,A196,'QA Log'!M:M,"Vignette",'QA Log'!Z:Z,"Approved",'QA Log'!L:L,"*Vignette [2]: Diarrhea with Cat B dehydration*"),
    COUNTIFS('QA Log'!D:D,A196,'QA Log'!M:M,"Vignette",'QA Log'!Z:Z,"Approved",'QA Log'!L:L,"*Vignette [3] Growth Monitoring and Promotion*"),
    COUNTIFS('QA Log'!D:D,A196,'QA Log'!M:M,"Vignette",'QA Log'!Z:Z,"Approved",'QA Log'!L:L,"*Vignette [4]: The management of presumptive TB patient*")
  )
)</f>
        <v/>
      </c>
      <c r="AX196" s="105" t="str">
        <f>IF(A196&lt;&gt;"",COUNTIFS('QA Log'!D:D,A196,'QA Log'!M:M,"Vignette",'QA Log'!L:L,"Vignette [1] Respiratory Infection: Pneumonia",'QA Log'!Z:Z,"Approved"),"")</f>
        <v/>
      </c>
      <c r="AY196" s="105" t="str">
        <f>IF(A196&lt;&gt;"",COUNTIFS('QA Log'!D:D,A196,'QA Log'!M:M,"Vignette",'QA Log'!L:L,"Vignette [2]: Diarrhea with Cat B dehydration",'QA Log'!Z:Z,"Approved"),"")</f>
        <v/>
      </c>
      <c r="AZ196" s="105" t="str">
        <f>IF(A196&lt;&gt;"",COUNTIFS('QA Log'!D:D,A196,'QA Log'!M:M,"Vignette",'QA Log'!L:L,"Vignette [3] Growth Monitoring and Promotion",'QA Log'!Z:Z,"Approved"),"")</f>
        <v/>
      </c>
      <c r="BA196" s="105" t="str">
        <f>IF(A196&lt;&gt;"",COUNTIFS('QA Log'!D:D,A196,'QA Log'!M:M,"Vignette",'QA Log'!L:L,"Vignette [4]: The management of presumptive TB patient",'QA Log'!Z:Z,"Approved"),"")</f>
        <v/>
      </c>
      <c r="BB196" s="102" t="str">
        <f>IF(A196="","",
  SUM(
    COUNTIFS('QA Log'!D:D,A196,'QA Log'!M:M,"Vignette",'QA Log'!Z:Z,"Rejected",'QA Log'!L:L,"*Vignette [1] Respiratory Infection: Pneumonia*"),
    COUNTIFS('QA Log'!D:D,A196,'QA Log'!M:M,"Vignette",'QA Log'!Z:Z,"Rejected",'QA Log'!L:L,"*Vignette [2]: Diarrhea with Cat B dehydration*"),
    COUNTIFS('QA Log'!D:D,A196,'QA Log'!M:M,"Vignette",'QA Log'!Z:Z,"Rejected",'QA Log'!L:L,"*Vignette [3] Growth Monitoring and Promotion*"),
    COUNTIFS('QA Log'!D:D,A196,'QA Log'!M:M,"Vignette",'QA Log'!Z:Z,"Rejected",'QA Log'!L:L,"*Vignette [4]: The management of presumptive TB patient*")
  )
)</f>
        <v/>
      </c>
      <c r="BC196" s="107" t="str">
        <f t="shared" si="9"/>
        <v/>
      </c>
      <c r="BD196" s="103" t="str">
        <f t="shared" si="10"/>
        <v/>
      </c>
      <c r="BE196" s="102" t="str">
        <f>IF(A196="","",SUM(
COUNTIFS('QA Log'!D:D,A196,'QA Log'!M:M,"Vignette",'QA Log'!L:L,"*Vignette [5] Labor*"),
COUNTIFS('QA Log'!D:D,A196,'QA Log'!M:M,"Vignette",'QA Log'!L:L,"*Vignette [6] PNC pre Discharge*"),
COUNTIFS('QA Log'!D:D,A196,'QA Log'!M:M,"Vignette",'QA Log'!L:L,"*Vignette [7] First ANC Visit*"),
COUNTIFS('QA Log'!D:D,A196,'QA Log'!M:M,"Vignette",'QA Log'!L:L,"*Vignette [8] Birth Spacing/ Family Planning :  FP Counselling*"),
COUNTIFS('QA Log'!D:D,A196,'QA Log'!M:M,"Vignette",'QA Log'!L:L,"*Vignette [9] Birth Spacing: Change FP method to Injectable*"),
COUNTIFS('QA Log'!D:D,A196,'QA Log'!M:M,"Vignette",'QA Log'!L:L,"*Vignette [10] Post Partum Haemorrhage - Atonic Uterus at Health Centre*"),
)
)</f>
        <v/>
      </c>
      <c r="BF196" s="102" t="str">
        <f>IF(A196="","",
  SUM(
    COUNTIFS('QA Log'!D:D,A196,'QA Log'!M:M,"Vignette",'QA Log'!Z:Z,"Approved",'QA Log'!L:L,"*Vignette [5] Labor*"),
    COUNTIFS('QA Log'!D:D,A196,'QA Log'!M:M,"Vignette",'QA Log'!Z:Z,"Approved",'QA Log'!L:L,"*Vignette [6] PNC pre Discharge*"),
    COUNTIFS('QA Log'!D:D,A196,'QA Log'!M:M,"Vignette",'QA Log'!Z:Z,"Approved",'QA Log'!L:L,"*Vignette [7] First ANC Visit*"),
    COUNTIFS('QA Log'!D:D,A196,'QA Log'!M:M,"Vignette",'QA Log'!Z:Z,"Approved",'QA Log'!L:L,"*Vignette [8] Birth Spacing/ Family Planning :  FP Counselling*"),
    COUNTIFS('QA Log'!D:D,A196,'QA Log'!M:M,"Vignette",'QA Log'!Z:Z,"Approved",'QA Log'!L:L,"*Vignette [9] Birth Spacing: Change FP method to Injectable*"),
    COUNTIFS('QA Log'!D:D,A196,'QA Log'!M:M,"Vignette",'QA Log'!Z:Z,"Approved",'QA Log'!L:L,"*Vignette [10] Post Partum Haemorrhage - Atonic Uterus at Health Centre*")
  )
)</f>
        <v/>
      </c>
      <c r="BG196" s="105" t="str">
        <f>IF(A196&lt;&gt;"",COUNTIFS('QA Log'!D:D,A196,'QA Log'!M:M,"Vignette",'QA Log'!L:L,"Vignette [5] Labor",'QA Log'!Z:Z,"Approved"),"")</f>
        <v/>
      </c>
      <c r="BH196" s="105" t="str">
        <f>IF(A196&lt;&gt;"",COUNTIFS('QA Log'!D:D,A196,'QA Log'!M:M,"Vignette",'QA Log'!L:L,"Vignette [6] PNC pre Discharge",'QA Log'!Z:Z,"Approved"),"")</f>
        <v/>
      </c>
      <c r="BI196" s="105" t="str">
        <f>IF(A196&lt;&gt;"",COUNTIFS('QA Log'!D:D,A196,'QA Log'!M:M,"Vignette",'QA Log'!L:L,"Vignette [7] First ANC Visit",'QA Log'!Z:Z,"Approved"),"")</f>
        <v/>
      </c>
      <c r="BJ196" s="105" t="str">
        <f>IF(A196&lt;&gt;"",COUNTIFS('QA Log'!D:D,A196,'QA Log'!M:M,"Vignette",'QA Log'!L:L,"Vignette [8] Birth Spacing/ Family Planning :  FP Counselling",'QA Log'!Z:Z,"Approved"),"")</f>
        <v/>
      </c>
      <c r="BK196" s="105" t="str">
        <f>IF(A196&lt;&gt;"",COUNTIFS('QA Log'!D:D,A196,'QA Log'!M:M,"Vignette",'QA Log'!L:L,"Vignette [9] Birth Spacing: Change FP method to Injectable",'QA Log'!Z:Z,"Approved"),"")</f>
        <v/>
      </c>
      <c r="BL196" s="105" t="str">
        <f>IF(A196&lt;&gt;"",COUNTIFS('QA Log'!D:D,A196,'QA Log'!M:M,"Vignette",'QA Log'!L:L,"Vignette [10] Post Partum Haemorrhage - Atonic Uterus at Health Centre",'QA Log'!Z:Z,"Approved"),"")</f>
        <v/>
      </c>
      <c r="BM196" s="102" t="str">
        <f>IF(A196="","",SUM(
    COUNTIFS('QA Log'!D:D,A196,'QA Log'!M:M,"Vignette",'QA Log'!Z:Z,"Rejected",'QA Log'!L:L,"*Vignette [5] Labor*"),
    COUNTIFS('QA Log'!D:D,A196,'QA Log'!M:M,"Vignette",'QA Log'!Z:Z,"Rejected",'QA Log'!L:L,"*Vignette [6] PNC pre Discharge*"),
    COUNTIFS('QA Log'!D:D,A196,'QA Log'!M:M,"Vignette",'QA Log'!Z:Z,"Rejected",'QA Log'!L:L,"*Vignette [7] First ANC Visit*"),
    COUNTIFS('QA Log'!D:D,A196,'QA Log'!M:M,"Vignette",'QA Log'!Z:Z,"Rejected",'QA Log'!L:L,"*Vignette [8] Birth Spacing/ Family Planning :  FP Counselling*"),
    COUNTIFS('QA Log'!D:D,A196,'QA Log'!M:M,"Vignette",'QA Log'!Z:Z,"Rejected",'QA Log'!L:L,"*Vignette [9] Birth Spacing: Change FP method to Injectable*"),
    COUNTIFS('QA Log'!D:D,A196,'QA Log'!M:M,"Vignette",'QA Log'!Z:Z,"Rejected",'QA Log'!L:L,"*Vignette [10] Post Partum Haemorrhage - Atonic Uterus at Health Centre*")
  )
)</f>
        <v/>
      </c>
      <c r="BN196" s="107" t="str">
        <f t="shared" si="11"/>
        <v/>
      </c>
      <c r="BO196" s="103" t="str">
        <f t="shared" si="12"/>
        <v/>
      </c>
      <c r="BP196" s="102" t="str">
        <f>IF(A196="","",SUM(
COUNTIFS('QA Log'!D:D,A196,'QA Log'!M:M,"Vignette",'QA Log'!L:L,"*Exit Interview 1*"),
COUNTIFS('QA Log'!D:D,A196,'QA Log'!M:M,"Vignette",'QA Log'!L:L,"*Exit Interview 2*"),
)
)</f>
        <v/>
      </c>
      <c r="BQ196" s="102" t="str">
        <f>IF(
  A196="","",
  SUM(
    COUNTIFS('QA Log'!D:D,A196,'QA Log'!M:M,"Vignette",'QA Log'!Z:Z,"Approved",'QA Log'!L:L,"*Exit Interview 1*"),
    COUNTIFS('QA Log'!D:D,A196,'QA Log'!M:M,"Vignette",'QA Log'!Z:Z,"Approved",'QA Log'!L:L,"*Exit Interview 2*")
  )
)</f>
        <v/>
      </c>
      <c r="BR196" s="105" t="str">
        <f>IF(A196&lt;&gt;"",COUNTIFS('QA Log'!D:D,A196,'QA Log'!M:M,"Vignette",'QA Log'!L:L,"Exit Interview 1",'QA Log'!Z:Z,"Approved"),"")</f>
        <v/>
      </c>
      <c r="BS196" s="105" t="str">
        <f>IF(A196&lt;&gt;"",COUNTIFS('QA Log'!D:D,A196,'QA Log'!M:M,"Vignette",'QA Log'!L:L,"Exit Interview 2",'QA Log'!Z:Z,"Approved"),"")</f>
        <v/>
      </c>
      <c r="BT196" s="102" t="str">
        <f>IF(
  A196="","",
  SUM(
    COUNTIFS('QA Log'!D:D,A196,'QA Log'!M:M,"Vignette",'QA Log'!Z:Z,"Rejected",'QA Log'!L:L,"*Exit Interview 1*"),
    COUNTIFS('QA Log'!D:D,A196,'QA Log'!M:M,"Vignette",'QA Log'!Z:Z,"Rejected",'QA Log'!L:L,"*Exit Interview 2*")
  )
)</f>
        <v/>
      </c>
      <c r="BU196" s="107" t="str">
        <f t="shared" si="13"/>
        <v/>
      </c>
      <c r="BV196" s="102" t="str">
        <f t="shared" si="14"/>
        <v/>
      </c>
      <c r="BW196" s="102" t="str">
        <f t="shared" si="15"/>
        <v/>
      </c>
      <c r="BX196" s="102" t="str">
        <f t="shared" si="16"/>
        <v/>
      </c>
      <c r="BY196" s="102" t="str">
        <f t="shared" si="17"/>
        <v/>
      </c>
      <c r="BZ196" s="107" t="str">
        <f t="shared" si="18"/>
        <v/>
      </c>
      <c r="CA196" s="108" t="str">
        <f t="shared" si="19"/>
        <v/>
      </c>
      <c r="CB196" s="108" t="str">
        <f t="shared" si="20"/>
        <v/>
      </c>
      <c r="CC196" s="109" t="str">
        <f t="shared" si="21"/>
        <v/>
      </c>
      <c r="CD196" s="108" t="str">
        <f t="shared" si="22"/>
        <v/>
      </c>
      <c r="CE196" s="108" t="str">
        <f t="shared" si="23"/>
        <v/>
      </c>
      <c r="CF196" s="109" t="str">
        <f t="shared" si="24"/>
        <v/>
      </c>
      <c r="CG196" s="110" t="str">
        <f t="shared" si="25"/>
        <v/>
      </c>
      <c r="CH196" s="111"/>
    </row>
    <row r="197" spans="1:86" ht="12.75">
      <c r="A197" s="101"/>
      <c r="B197" s="102" t="e">
        <f t="array" aca="1" ref="B197" ca="1">_xludf.XLOOKUP(A197,'QA Log'!D:D,'QA Log'!E:E,"")</f>
        <v>#NAME?</v>
      </c>
      <c r="C197" s="102" t="e">
        <f t="array" aca="1" ref="C197" ca="1">_xludf.XLOOKUP(A197,'QA Log'!D:D,'QA Log'!F:F,"")</f>
        <v>#NAME?</v>
      </c>
      <c r="D197" s="102" t="e">
        <f t="array" aca="1" ref="D197" ca="1">_xludf.XLOOKUP(A197,'QA Log'!D:D,'QA Log'!H:H,"")</f>
        <v>#NAME?</v>
      </c>
      <c r="E197" s="102" t="e">
        <f t="array" aca="1" ref="E197" ca="1">_xludf.XLOOKUP(A197,'QA Log'!D:D,'QA Log'!G:G,"")</f>
        <v>#NAME?</v>
      </c>
      <c r="F197" s="103"/>
      <c r="G197" s="104"/>
      <c r="H197" s="104"/>
      <c r="I197" s="103" t="str">
        <f t="shared" si="0"/>
        <v/>
      </c>
      <c r="J197" s="102" t="str">
        <f>IF(A197="","",SUM(
COUNTIFS('QA Log'!D:D,A197,'QA Log'!M:M,"QQC",'QA Log'!L:L,"*1. General Management*"),
COUNTIFS('QA Log'!D:D,A197,'QA Log'!M:M,"QQC",'QA Log'!L:L,"*3. Curative Consultation (OPD)*"),
COUNTIFS('QA Log'!D:D,A197,'QA Log'!M:M,"QQC",'QA Log'!L:L,"*5. Laboratory*"),
COUNTIFS('QA Log'!D:D,A197,'QA Log'!M:M,"QQC",'QA Log'!L:L,"*6. Essential Medicine Management*"),
COUNTIFS('QA Log'!D:D,A197,'QA Log'!M:M,"QQC",'QA Log'!L:L,"*7. Tracer Medicine*"),
COUNTIFS('QA Log'!D:D,A197,'QA Log'!M:M,"QQC",'QA Log'!L:L,"*11. Additional Questions*")))</f>
        <v/>
      </c>
      <c r="K197" s="102" t="str">
        <f>IF(A197="","",SUM(
COUNTIFS('QA Log'!D:D,A197,'QA Log'!M:M,"QQC",'QA Log'!Z:Z,"Approved",'QA Log'!L:L,"*1. General Management*"),
COUNTIFS('QA Log'!D:D,A197,'QA Log'!M:M,"QQC",'QA Log'!Z:Z,"Approved",'QA Log'!L:L,"*3. Curative Consultation (OPD)*"),
COUNTIFS('QA Log'!D:D,A197,'QA Log'!M:M,"QQC",'QA Log'!Z:Z,"Approved",'QA Log'!L:L,"*5. Laboratory*"),
COUNTIFS('QA Log'!D:D,A197,'QA Log'!M:M,"QQC",'QA Log'!Z:Z,"Approved",'QA Log'!L:L,"*6. Essential Medicine Management*"),
COUNTIFS('QA Log'!D:D,A197,'QA Log'!M:M,"QQC",'QA Log'!Z:Z,"Approved",'QA Log'!L:L,"*7. Tracer Medicine*"),
COUNTIFS('QA Log'!D:D,A197,'QA Log'!M:M,"QQC",'QA Log'!Z:Z,"Approved",'QA Log'!L:L,"*11. Additional Questions*")))</f>
        <v/>
      </c>
      <c r="L197" s="105" t="str">
        <f>IF(A197&lt;&gt;"",COUNTIFS('QA Log'!D:D,A197,'QA Log'!M:M,"QQC",'QA Log'!L:L,"1. General Management",'QA Log'!Z:Z,"Approved"),"")</f>
        <v/>
      </c>
      <c r="M197" s="105" t="str">
        <f>IF(A197&lt;&gt;"",COUNTIFS('QA Log'!D:D,A197,'QA Log'!M:M,"QQC",'QA Log'!L:L,"3. Curative Consultation (OPD)",'QA Log'!Z:Z,"Approved"),"")</f>
        <v/>
      </c>
      <c r="N197" s="105" t="str">
        <f>IF(A197&lt;&gt;"",COUNTIFS('QA Log'!D:D,A197,'QA Log'!M:M,"QQC",'QA Log'!L:L,"5. Laboratory",'QA Log'!Z:Z,"Approved"),"")</f>
        <v/>
      </c>
      <c r="O197" s="105" t="str">
        <f>IF(A197&lt;&gt;"",COUNTIFS('QA Log'!D:D,A197,'QA Log'!M:M,"QQC",'QA Log'!L:L,"6. Essential Medicine Management",'QA Log'!Z:Z,"Approved"),"")</f>
        <v/>
      </c>
      <c r="P197" s="105" t="str">
        <f>IF(A197&lt;&gt;"",COUNTIFS('QA Log'!D:D,A197,'QA Log'!M:M,"QQC",'QA Log'!L:L,"7. Tracer Medicine",'QA Log'!Z:Z,"Approved"),"")</f>
        <v/>
      </c>
      <c r="Q197" s="105" t="str">
        <f>IF(A197&lt;&gt;"",COUNTIFS('QA Log'!D:D,A197,'QA Log'!M:M,"QQC",'QA Log'!L:L,"11. Additional Questions",'QA Log'!Z:Z,"Approved"),"")</f>
        <v/>
      </c>
      <c r="R197" s="102" t="str">
        <f>IF(A197="","",SUM(
COUNTIFS('QA Log'!D:D,A197,'QA Log'!M:M,"QQC",'QA Log'!Z:Z,"Rejected",'QA Log'!L:L,"*8. Maternity*"),
COUNTIFS('QA Log'!D:D,A197,'QA Log'!M:M,"QQC",'QA Log'!Z:Z,"Rejected",'QA Log'!L:L,"*EPI*"),
COUNTIFS('QA Log'!D:D,A197,'QA Log'!M:M,"QQC",'QA Log'!Z:Z,"Rejected",'QA Log'!L:L,"*10. Antenatal Care (ANC)*"),
COUNTIFS('QA Log'!D:D,A197,'QA Log'!M:M,"QQC",'QA Log'!Z:Z,"Rejected",'QA Log'!L:L,"*2. Hygiene and Sterilization*"),
COUNTIFS('QA Log'!D:D,A197,'QA Log'!M:M,"QQC",'QA Log'!Z:Z,"Rejected",'QA Log'!L:L,"*Family Planning*")))</f>
        <v/>
      </c>
      <c r="S197" s="106" t="str">
        <f t="shared" si="1"/>
        <v/>
      </c>
      <c r="T197" s="102" t="str">
        <f t="shared" si="2"/>
        <v/>
      </c>
      <c r="U197" s="102" t="str">
        <f>IF(A197="","",
SUM(
COUNTIFS('QA Log'!D:D,A197,'QA Log'!M:M,"QQC",'QA Log'!L:L,"*8. Maternity*"),
COUNTIFS('QA Log'!D:D,A197,'QA Log'!M:M,"QQC",'QA Log'!L:L,"*9. EPI and Pre-school Consultation*"),
COUNTIFS('QA Log'!D:D,A197,'QA Log'!M:M,"QQC",'QA Log'!L:L,"*10. Antenatal Care (ANC)*"),
COUNTIFS('QA Log'!D:D,A197,'QA Log'!M:M,"QQC",'QA Log'!L:L,"*2. Hygiene and Sterilization*"),
COUNTIFS('QA Log'!D:D,A197,'QA Log'!M:M,"QQC",'QA Log'!L:L,"*4. Family Planning*")
))</f>
        <v/>
      </c>
      <c r="V197" s="102" t="str">
        <f>IF(A197="","",
SUM(
COUNTIFS('QA Log'!D:D,A197,'QA Log'!M:M,"QQC",'QA Log'!Z:Z,"Approved",'QA Log'!L:L,"*8. Maternity*"),
COUNTIFS('QA Log'!D:D,A197,'QA Log'!M:M,"QQC",'QA Log'!Z:Z,"Approved",'QA Log'!L:L,"*9. EPI and Pre-school Consultation*"),
COUNTIFS('QA Log'!D:D,A197,'QA Log'!M:M,"QQC",'QA Log'!Z:Z,"Approved",'QA Log'!L:L,"*10. Antenatal Care (ANC)*"),
COUNTIFS('QA Log'!D:D,A197,'QA Log'!M:M,"QQC",'QA Log'!Z:Z,"Approved",'QA Log'!L:L,"*2. Hygiene and Sterilization*"),
COUNTIFS('QA Log'!D:D,A197,'QA Log'!M:M,"QQC",'QA Log'!Z:Z,"Approved",'QA Log'!L:L,"*4. Family Planning*")
))</f>
        <v/>
      </c>
      <c r="W197" s="105" t="str">
        <f>IF(A197&lt;&gt;"",COUNTIFS('QA Log'!D:D,A197,'QA Log'!M:M,"QQC",'QA Log'!L:L,"8. Maternity",'QA Log'!Z:Z,"Approved"),"")</f>
        <v/>
      </c>
      <c r="X197" s="105" t="str">
        <f>IF(A197&lt;&gt;"",COUNTIFS('QA Log'!D:D,A197,'QA Log'!M:M,"QQC",'QA Log'!L:L,"9. EPI and Pre-school Consultation",'QA Log'!Z:Z,"Approved"),"")</f>
        <v/>
      </c>
      <c r="Y197" s="105" t="str">
        <f>IF(A197&lt;&gt;"",COUNTIFS('QA Log'!D:D,A197,'QA Log'!M:M,"QQC",'QA Log'!L:L,"10. Antenatal Care (ANC)",'QA Log'!Z:Z,"Approved"),"")</f>
        <v/>
      </c>
      <c r="Z197" s="105" t="str">
        <f>IF(A197&lt;&gt;"",COUNTIFS('QA Log'!D:D,A197,'QA Log'!M:M,"QQC",'QA Log'!L:L,"2. Hygiene and Sterilization",'QA Log'!Z:Z,"Approved"),"")</f>
        <v/>
      </c>
      <c r="AA197" s="105" t="str">
        <f>IF(A197&lt;&gt;"",COUNTIFS('QA Log'!D:D,A197,'QA Log'!M:M,"QQC",'QA Log'!L:L,"4. Family Planning",'QA Log'!Z:Z,"Approved"),"")</f>
        <v/>
      </c>
      <c r="AB197" s="102" t="str">
        <f>IF(A197="","",
SUM(
COUNTIFS('QA Log'!D:D,A197,'QA Log'!M:M,"QQC",'QA Log'!Z:Z,"Rejected",'QA Log'!L:L,"*8. Maternity*"),
COUNTIFS('QA Log'!D:D,A197,'QA Log'!M:M,"QQC",'QA Log'!Z:Z,"Rejected",'QA Log'!L:L,"*9. EPI and Pre-school Consultation*"),
COUNTIFS('QA Log'!D:D,A197,'QA Log'!M:M,"QQC",'QA Log'!Z:Z,"Rejected",'QA Log'!L:L,"*10. Antenatal Care (ANC)*"),
COUNTIFS('QA Log'!D:D,A197,'QA Log'!M:M,"QQC",'QA Log'!Z:Z,"Rejected",'QA Log'!L:L,"*2. Hygiene and Sterilization*"),
COUNTIFS('QA Log'!D:D,A197,'QA Log'!M:M,"QQC",'QA Log'!Z:Z,"Rejected",'QA Log'!L:L,"*4. Family Planning*")
))</f>
        <v/>
      </c>
      <c r="AC197" s="102" t="str">
        <f t="shared" si="3"/>
        <v/>
      </c>
      <c r="AD197" s="103" t="str">
        <f t="shared" si="4"/>
        <v/>
      </c>
      <c r="AE197" s="102" t="str">
        <f>IF(A197="","",
SUM(
COUNTIFS('QA Log'!D:D,A197,'QA Log'!M:M,"Data Verification",'QA Log'!L:L,"*Medicine (section 2)*"),
COUNTIFS('QA Log'!D:D,A197,'QA Log'!M:M,"Data Verification",'QA Log'!L:L,"*Lab Testing Availability*"),
COUNTIFS('QA Log'!D:D,A197,'QA Log'!M:M,"Data Verification",'QA Log'!L:L,"*Other than P4P (section 6)*"),
COUNTIFS('QA Log'!D:D,A197,'QA Log'!M:M,"Data Verification",'QA Log'!L:L,"*Hospital Governance*")
))</f>
        <v/>
      </c>
      <c r="AF197" s="102" t="str">
        <f>IF(A197="","",
SUM(
COUNTIFS('QA Log'!D:D,A197,'QA Log'!M:M,"Data Verification",'QA Log'!Z:Z,"Approved",'QA Log'!L:L,"*Medicine (section 2)*"),
COUNTIFS('QA Log'!D:D,A197,'QA Log'!M:M,"Data Verification",'QA Log'!Z:Z,"Approved",'QA Log'!L:L,"*Lab Testing Availability*"),
COUNTIFS('QA Log'!D:D,A197,'QA Log'!M:M,"Data Verification",'QA Log'!Z:Z,"Approved",'QA Log'!L:L,"*Other than P4P (section 6)*"),
COUNTIFS('QA Log'!D:D,A197,'QA Log'!M:M,"Data Verification",'QA Log'!Z:Z,"Approved",'QA Log'!L:L,"*Hospital Governance*")
))</f>
        <v/>
      </c>
      <c r="AG197" s="105" t="str">
        <f>IF(A197&lt;&gt;"",COUNTIFS('QA Log'!D:D,A197,'QA Log'!M:M,"Data Verification",'QA Log'!L:L,"Medicine (section 2)",'QA Log'!Z:Z,"Approved"),"")</f>
        <v/>
      </c>
      <c r="AH197" s="105" t="str">
        <f>IF(A197&lt;&gt;"",COUNTIFS('QA Log'!D:D,A197,'QA Log'!M:M,"Data Verification",'QA Log'!L:L,"Lab Testing Availability",'QA Log'!Z:Z,"Approved"),"")</f>
        <v/>
      </c>
      <c r="AI197" s="105" t="str">
        <f>IF(A197&lt;&gt;"",COUNTIFS('QA Log'!D:D,A197,'QA Log'!M:M,"Data Verification",'QA Log'!L:L,"Other than P4P (section 6)",'QA Log'!Z:Z,"Approved"),"")</f>
        <v/>
      </c>
      <c r="AJ197" s="105" t="str">
        <f>IF(A197&lt;&gt;"",COUNTIFS('QA Log'!D:D,A197,'QA Log'!M:M,"Data Verification",'QA Log'!L:L,"Hospital Governance",'QA Log'!Z:Z,"Approved"),"")</f>
        <v/>
      </c>
      <c r="AK197" s="102" t="str">
        <f>IF(A197="","",
SUM(
COUNTIFS('QA Log'!D:D,A197,'QA Log'!M:M,"Data Verification",'QA Log'!Z:Z,"Rejected",'QA Log'!L:L,"*Medicine (section 2)*"),
COUNTIFS('QA Log'!D:D,A197,'QA Log'!M:M,"Data Verification",'QA Log'!Z:Z,"Rejected",'QA Log'!L:L,"*Lab Testing Availability*"),
COUNTIFS('QA Log'!D:D,A197,'QA Log'!M:M,"Data Verification",'QA Log'!Z:Z,"Rejected",'QA Log'!L:L,"*Other than P4P (section 6)*"),
COUNTIFS('QA Log'!D:D,A197,'QA Log'!M:M,"Data Verification",'QA Log'!Z:Z,"Rejected",'QA Log'!L:L,"*Hospital Governance*")
))</f>
        <v/>
      </c>
      <c r="AL197" s="106" t="str">
        <f t="shared" si="5"/>
        <v/>
      </c>
      <c r="AM197" s="102" t="str">
        <f t="shared" si="6"/>
        <v/>
      </c>
      <c r="AN197" s="102" t="str">
        <f>IF(A197="","",
SUM(
COUNTIFS('QA Log'!D:D,A197,'QA Log'!M:M,"Data Verification",'QA Log'!L:L,"*Personnel (section 1)*"),
COUNTIFS('QA Log'!D:D,A197,'QA Log'!M:M,"Data Verification",'QA Log'!L:L,"*Consumable (section 3)*"),
COUNTIFS('QA Log'!D:D,A197,'QA Log'!M:M,"Data Verification",'QA Log'!L:L,"*Equipments (section 4)*")
))</f>
        <v/>
      </c>
      <c r="AO197" s="102" t="str">
        <f>IF(A197="","",
SUM(
COUNTIFS('QA Log'!D:D,A197,'QA Log'!M:M,"Data Verification",'QA Log'!Z:Z,"Approved",'QA Log'!L:L,"*Personnel (section 1)*"),
COUNTIFS('QA Log'!D:D,A197,'QA Log'!M:M,"Data Verification",'QA Log'!Z:Z,"Approved",'QA Log'!L:L,"*Consumable (section 3)*"),
COUNTIFS('QA Log'!D:D,A197,'QA Log'!M:M,"Data Verification",'QA Log'!Z:Z,"Approved",'QA Log'!L:L,"*Equipments (section 4)*")
))</f>
        <v/>
      </c>
      <c r="AP197" s="105" t="str">
        <f>IF(A197&lt;&gt;"",COUNTIFS('QA Log'!D:D,A197,'QA Log'!M:M,"Data Verification",'QA Log'!L:L,"Personnel (section 1)",'QA Log'!Z:Z,"Approved"),"")</f>
        <v/>
      </c>
      <c r="AQ197" s="105" t="str">
        <f>IF(A197&lt;&gt;"",COUNTIFS('QA Log'!D:D,A197,'QA Log'!M:M,"Data Verification",'QA Log'!L:L,"Consumable (section 3)",'QA Log'!Z:Z,"Approved"),"")</f>
        <v/>
      </c>
      <c r="AR197" s="105" t="str">
        <f>IF(A197&lt;&gt;"",COUNTIFS('QA Log'!D:D,A197,'QA Log'!M:M,"Data Verification",'QA Log'!L:L,"Equipments (section 4)",'QA Log'!Z:Z,"Approved"),"")</f>
        <v/>
      </c>
      <c r="AS197" s="102" t="str">
        <f>IF(A197="","",
SUM(
COUNTIFS('QA Log'!D:D,A197,'QA Log'!M:M,"Data Verification",'QA Log'!Z:Z,"Rejected",'QA Log'!L:L,"*Personnel (section 1)*"),
COUNTIFS('QA Log'!D:D,A197,'QA Log'!M:M,"Data Verification",'QA Log'!Z:Z,"Rejected",'QA Log'!L:L,"*Consumable (section 3)*"),
COUNTIFS('QA Log'!D:D,A197,'QA Log'!M:M,"Data Verification",'QA Log'!Z:Z,"Rejected",'QA Log'!L:L,"*Equipments (section 4)*")
))</f>
        <v/>
      </c>
      <c r="AT197" s="102" t="str">
        <f t="shared" si="7"/>
        <v/>
      </c>
      <c r="AU197" s="103" t="str">
        <f t="shared" si="8"/>
        <v/>
      </c>
      <c r="AV197" s="102" t="str">
        <f>IF(A197="","",SUM(
COUNTIFS('QA Log'!D:D,A197,'QA Log'!M:M,"Vignette",'QA Log'!L:L,"*Vignette [1] Respiratory Infection: Pneumonia*"),
COUNTIFS('QA Log'!D:D,A197,'QA Log'!M:M,"Vignette",'QA Log'!L:L,"*Vignette [2]: Diarrhea with Cat B dehydration*"),
COUNTIFS('QA Log'!D:D,A197,'QA Log'!M:M,"Vignette",'QA Log'!L:L,"*Vignette [3] Growth Monitoring and Promotion*"),
COUNTIFS('QA Log'!D:D,A197,'QA Log'!M:M,"Vignette",'QA Log'!L:L,"*Vignette [4]: The management of presumptive TB patient*")
)
)</f>
        <v/>
      </c>
      <c r="AW197" s="102" t="str">
        <f>IF(
  A197="","",
  SUM(
    COUNTIFS('QA Log'!D:D,A197,'QA Log'!M:M,"Vignette",'QA Log'!Z:Z,"Approved",'QA Log'!L:L,"*Vignette [1] Respiratory Infection: Pneumonia*"),
    COUNTIFS('QA Log'!D:D,A197,'QA Log'!M:M,"Vignette",'QA Log'!Z:Z,"Approved",'QA Log'!L:L,"*Vignette [2]: Diarrhea with Cat B dehydration*"),
    COUNTIFS('QA Log'!D:D,A197,'QA Log'!M:M,"Vignette",'QA Log'!Z:Z,"Approved",'QA Log'!L:L,"*Vignette [3] Growth Monitoring and Promotion*"),
    COUNTIFS('QA Log'!D:D,A197,'QA Log'!M:M,"Vignette",'QA Log'!Z:Z,"Approved",'QA Log'!L:L,"*Vignette [4]: The management of presumptive TB patient*")
  )
)</f>
        <v/>
      </c>
      <c r="AX197" s="105" t="str">
        <f>IF(A197&lt;&gt;"",COUNTIFS('QA Log'!D:D,A197,'QA Log'!M:M,"Vignette",'QA Log'!L:L,"Vignette [1] Respiratory Infection: Pneumonia",'QA Log'!Z:Z,"Approved"),"")</f>
        <v/>
      </c>
      <c r="AY197" s="105" t="str">
        <f>IF(A197&lt;&gt;"",COUNTIFS('QA Log'!D:D,A197,'QA Log'!M:M,"Vignette",'QA Log'!L:L,"Vignette [2]: Diarrhea with Cat B dehydration",'QA Log'!Z:Z,"Approved"),"")</f>
        <v/>
      </c>
      <c r="AZ197" s="105" t="str">
        <f>IF(A197&lt;&gt;"",COUNTIFS('QA Log'!D:D,A197,'QA Log'!M:M,"Vignette",'QA Log'!L:L,"Vignette [3] Growth Monitoring and Promotion",'QA Log'!Z:Z,"Approved"),"")</f>
        <v/>
      </c>
      <c r="BA197" s="105" t="str">
        <f>IF(A197&lt;&gt;"",COUNTIFS('QA Log'!D:D,A197,'QA Log'!M:M,"Vignette",'QA Log'!L:L,"Vignette [4]: The management of presumptive TB patient",'QA Log'!Z:Z,"Approved"),"")</f>
        <v/>
      </c>
      <c r="BB197" s="102" t="str">
        <f>IF(A197="","",
  SUM(
    COUNTIFS('QA Log'!D:D,A197,'QA Log'!M:M,"Vignette",'QA Log'!Z:Z,"Rejected",'QA Log'!L:L,"*Vignette [1] Respiratory Infection: Pneumonia*"),
    COUNTIFS('QA Log'!D:D,A197,'QA Log'!M:M,"Vignette",'QA Log'!Z:Z,"Rejected",'QA Log'!L:L,"*Vignette [2]: Diarrhea with Cat B dehydration*"),
    COUNTIFS('QA Log'!D:D,A197,'QA Log'!M:M,"Vignette",'QA Log'!Z:Z,"Rejected",'QA Log'!L:L,"*Vignette [3] Growth Monitoring and Promotion*"),
    COUNTIFS('QA Log'!D:D,A197,'QA Log'!M:M,"Vignette",'QA Log'!Z:Z,"Rejected",'QA Log'!L:L,"*Vignette [4]: The management of presumptive TB patient*")
  )
)</f>
        <v/>
      </c>
      <c r="BC197" s="107" t="str">
        <f t="shared" si="9"/>
        <v/>
      </c>
      <c r="BD197" s="103" t="str">
        <f t="shared" si="10"/>
        <v/>
      </c>
      <c r="BE197" s="102" t="str">
        <f>IF(A197="","",SUM(
COUNTIFS('QA Log'!D:D,A197,'QA Log'!M:M,"Vignette",'QA Log'!L:L,"*Vignette [5] Labor*"),
COUNTIFS('QA Log'!D:D,A197,'QA Log'!M:M,"Vignette",'QA Log'!L:L,"*Vignette [6] PNC pre Discharge*"),
COUNTIFS('QA Log'!D:D,A197,'QA Log'!M:M,"Vignette",'QA Log'!L:L,"*Vignette [7] First ANC Visit*"),
COUNTIFS('QA Log'!D:D,A197,'QA Log'!M:M,"Vignette",'QA Log'!L:L,"*Vignette [8] Birth Spacing/ Family Planning :  FP Counselling*"),
COUNTIFS('QA Log'!D:D,A197,'QA Log'!M:M,"Vignette",'QA Log'!L:L,"*Vignette [9] Birth Spacing: Change FP method to Injectable*"),
COUNTIFS('QA Log'!D:D,A197,'QA Log'!M:M,"Vignette",'QA Log'!L:L,"*Vignette [10] Post Partum Haemorrhage - Atonic Uterus at Health Centre*"),
)
)</f>
        <v/>
      </c>
      <c r="BF197" s="102" t="str">
        <f>IF(A197="","",
  SUM(
    COUNTIFS('QA Log'!D:D,A197,'QA Log'!M:M,"Vignette",'QA Log'!Z:Z,"Approved",'QA Log'!L:L,"*Vignette [5] Labor*"),
    COUNTIFS('QA Log'!D:D,A197,'QA Log'!M:M,"Vignette",'QA Log'!Z:Z,"Approved",'QA Log'!L:L,"*Vignette [6] PNC pre Discharge*"),
    COUNTIFS('QA Log'!D:D,A197,'QA Log'!M:M,"Vignette",'QA Log'!Z:Z,"Approved",'QA Log'!L:L,"*Vignette [7] First ANC Visit*"),
    COUNTIFS('QA Log'!D:D,A197,'QA Log'!M:M,"Vignette",'QA Log'!Z:Z,"Approved",'QA Log'!L:L,"*Vignette [8] Birth Spacing/ Family Planning :  FP Counselling*"),
    COUNTIFS('QA Log'!D:D,A197,'QA Log'!M:M,"Vignette",'QA Log'!Z:Z,"Approved",'QA Log'!L:L,"*Vignette [9] Birth Spacing: Change FP method to Injectable*"),
    COUNTIFS('QA Log'!D:D,A197,'QA Log'!M:M,"Vignette",'QA Log'!Z:Z,"Approved",'QA Log'!L:L,"*Vignette [10] Post Partum Haemorrhage - Atonic Uterus at Health Centre*")
  )
)</f>
        <v/>
      </c>
      <c r="BG197" s="105" t="str">
        <f>IF(A197&lt;&gt;"",COUNTIFS('QA Log'!D:D,A197,'QA Log'!M:M,"Vignette",'QA Log'!L:L,"Vignette [5] Labor",'QA Log'!Z:Z,"Approved"),"")</f>
        <v/>
      </c>
      <c r="BH197" s="105" t="str">
        <f>IF(A197&lt;&gt;"",COUNTIFS('QA Log'!D:D,A197,'QA Log'!M:M,"Vignette",'QA Log'!L:L,"Vignette [6] PNC pre Discharge",'QA Log'!Z:Z,"Approved"),"")</f>
        <v/>
      </c>
      <c r="BI197" s="105" t="str">
        <f>IF(A197&lt;&gt;"",COUNTIFS('QA Log'!D:D,A197,'QA Log'!M:M,"Vignette",'QA Log'!L:L,"Vignette [7] First ANC Visit",'QA Log'!Z:Z,"Approved"),"")</f>
        <v/>
      </c>
      <c r="BJ197" s="105" t="str">
        <f>IF(A197&lt;&gt;"",COUNTIFS('QA Log'!D:D,A197,'QA Log'!M:M,"Vignette",'QA Log'!L:L,"Vignette [8] Birth Spacing/ Family Planning :  FP Counselling",'QA Log'!Z:Z,"Approved"),"")</f>
        <v/>
      </c>
      <c r="BK197" s="105" t="str">
        <f>IF(A197&lt;&gt;"",COUNTIFS('QA Log'!D:D,A197,'QA Log'!M:M,"Vignette",'QA Log'!L:L,"Vignette [9] Birth Spacing: Change FP method to Injectable",'QA Log'!Z:Z,"Approved"),"")</f>
        <v/>
      </c>
      <c r="BL197" s="105" t="str">
        <f>IF(A197&lt;&gt;"",COUNTIFS('QA Log'!D:D,A197,'QA Log'!M:M,"Vignette",'QA Log'!L:L,"Vignette [10] Post Partum Haemorrhage - Atonic Uterus at Health Centre",'QA Log'!Z:Z,"Approved"),"")</f>
        <v/>
      </c>
      <c r="BM197" s="102" t="str">
        <f>IF(A197="","",SUM(
    COUNTIFS('QA Log'!D:D,A197,'QA Log'!M:M,"Vignette",'QA Log'!Z:Z,"Rejected",'QA Log'!L:L,"*Vignette [5] Labor*"),
    COUNTIFS('QA Log'!D:D,A197,'QA Log'!M:M,"Vignette",'QA Log'!Z:Z,"Rejected",'QA Log'!L:L,"*Vignette [6] PNC pre Discharge*"),
    COUNTIFS('QA Log'!D:D,A197,'QA Log'!M:M,"Vignette",'QA Log'!Z:Z,"Rejected",'QA Log'!L:L,"*Vignette [7] First ANC Visit*"),
    COUNTIFS('QA Log'!D:D,A197,'QA Log'!M:M,"Vignette",'QA Log'!Z:Z,"Rejected",'QA Log'!L:L,"*Vignette [8] Birth Spacing/ Family Planning :  FP Counselling*"),
    COUNTIFS('QA Log'!D:D,A197,'QA Log'!M:M,"Vignette",'QA Log'!Z:Z,"Rejected",'QA Log'!L:L,"*Vignette [9] Birth Spacing: Change FP method to Injectable*"),
    COUNTIFS('QA Log'!D:D,A197,'QA Log'!M:M,"Vignette",'QA Log'!Z:Z,"Rejected",'QA Log'!L:L,"*Vignette [10] Post Partum Haemorrhage - Atonic Uterus at Health Centre*")
  )
)</f>
        <v/>
      </c>
      <c r="BN197" s="107" t="str">
        <f t="shared" si="11"/>
        <v/>
      </c>
      <c r="BO197" s="103" t="str">
        <f t="shared" si="12"/>
        <v/>
      </c>
      <c r="BP197" s="102" t="str">
        <f>IF(A197="","",SUM(
COUNTIFS('QA Log'!D:D,A197,'QA Log'!M:M,"Vignette",'QA Log'!L:L,"*Exit Interview 1*"),
COUNTIFS('QA Log'!D:D,A197,'QA Log'!M:M,"Vignette",'QA Log'!L:L,"*Exit Interview 2*"),
)
)</f>
        <v/>
      </c>
      <c r="BQ197" s="102" t="str">
        <f>IF(
  A197="","",
  SUM(
    COUNTIFS('QA Log'!D:D,A197,'QA Log'!M:M,"Vignette",'QA Log'!Z:Z,"Approved",'QA Log'!L:L,"*Exit Interview 1*"),
    COUNTIFS('QA Log'!D:D,A197,'QA Log'!M:M,"Vignette",'QA Log'!Z:Z,"Approved",'QA Log'!L:L,"*Exit Interview 2*")
  )
)</f>
        <v/>
      </c>
      <c r="BR197" s="105" t="str">
        <f>IF(A197&lt;&gt;"",COUNTIFS('QA Log'!D:D,A197,'QA Log'!M:M,"Vignette",'QA Log'!L:L,"Exit Interview 1",'QA Log'!Z:Z,"Approved"),"")</f>
        <v/>
      </c>
      <c r="BS197" s="105" t="str">
        <f>IF(A197&lt;&gt;"",COUNTIFS('QA Log'!D:D,A197,'QA Log'!M:M,"Vignette",'QA Log'!L:L,"Exit Interview 2",'QA Log'!Z:Z,"Approved"),"")</f>
        <v/>
      </c>
      <c r="BT197" s="102" t="str">
        <f>IF(
  A197="","",
  SUM(
    COUNTIFS('QA Log'!D:D,A197,'QA Log'!M:M,"Vignette",'QA Log'!Z:Z,"Rejected",'QA Log'!L:L,"*Exit Interview 1*"),
    COUNTIFS('QA Log'!D:D,A197,'QA Log'!M:M,"Vignette",'QA Log'!Z:Z,"Rejected",'QA Log'!L:L,"*Exit Interview 2*")
  )
)</f>
        <v/>
      </c>
      <c r="BU197" s="107" t="str">
        <f t="shared" si="13"/>
        <v/>
      </c>
      <c r="BV197" s="102" t="str">
        <f t="shared" si="14"/>
        <v/>
      </c>
      <c r="BW197" s="102" t="str">
        <f t="shared" si="15"/>
        <v/>
      </c>
      <c r="BX197" s="102" t="str">
        <f t="shared" si="16"/>
        <v/>
      </c>
      <c r="BY197" s="102" t="str">
        <f t="shared" si="17"/>
        <v/>
      </c>
      <c r="BZ197" s="107" t="str">
        <f t="shared" si="18"/>
        <v/>
      </c>
      <c r="CA197" s="108" t="str">
        <f t="shared" si="19"/>
        <v/>
      </c>
      <c r="CB197" s="108" t="str">
        <f t="shared" si="20"/>
        <v/>
      </c>
      <c r="CC197" s="109" t="str">
        <f t="shared" si="21"/>
        <v/>
      </c>
      <c r="CD197" s="108" t="str">
        <f t="shared" si="22"/>
        <v/>
      </c>
      <c r="CE197" s="108" t="str">
        <f t="shared" si="23"/>
        <v/>
      </c>
      <c r="CF197" s="109" t="str">
        <f t="shared" si="24"/>
        <v/>
      </c>
      <c r="CG197" s="110" t="str">
        <f t="shared" si="25"/>
        <v/>
      </c>
      <c r="CH197" s="111"/>
    </row>
    <row r="198" spans="1:86" ht="12.75">
      <c r="A198" s="101"/>
      <c r="B198" s="102" t="e">
        <f t="array" aca="1" ref="B198" ca="1">_xludf.XLOOKUP(A198,'QA Log'!D:D,'QA Log'!E:E,"")</f>
        <v>#NAME?</v>
      </c>
      <c r="C198" s="102" t="e">
        <f t="array" aca="1" ref="C198" ca="1">_xludf.XLOOKUP(A198,'QA Log'!D:D,'QA Log'!F:F,"")</f>
        <v>#NAME?</v>
      </c>
      <c r="D198" s="102" t="e">
        <f t="array" aca="1" ref="D198" ca="1">_xludf.XLOOKUP(A198,'QA Log'!D:D,'QA Log'!H:H,"")</f>
        <v>#NAME?</v>
      </c>
      <c r="E198" s="102" t="e">
        <f t="array" aca="1" ref="E198" ca="1">_xludf.XLOOKUP(A198,'QA Log'!D:D,'QA Log'!G:G,"")</f>
        <v>#NAME?</v>
      </c>
      <c r="F198" s="103"/>
      <c r="G198" s="104"/>
      <c r="H198" s="104"/>
      <c r="I198" s="103" t="str">
        <f t="shared" si="0"/>
        <v/>
      </c>
      <c r="J198" s="102" t="str">
        <f>IF(A198="","",SUM(
COUNTIFS('QA Log'!D:D,A198,'QA Log'!M:M,"QQC",'QA Log'!L:L,"*1. General Management*"),
COUNTIFS('QA Log'!D:D,A198,'QA Log'!M:M,"QQC",'QA Log'!L:L,"*3. Curative Consultation (OPD)*"),
COUNTIFS('QA Log'!D:D,A198,'QA Log'!M:M,"QQC",'QA Log'!L:L,"*5. Laboratory*"),
COUNTIFS('QA Log'!D:D,A198,'QA Log'!M:M,"QQC",'QA Log'!L:L,"*6. Essential Medicine Management*"),
COUNTIFS('QA Log'!D:D,A198,'QA Log'!M:M,"QQC",'QA Log'!L:L,"*7. Tracer Medicine*"),
COUNTIFS('QA Log'!D:D,A198,'QA Log'!M:M,"QQC",'QA Log'!L:L,"*11. Additional Questions*")))</f>
        <v/>
      </c>
      <c r="K198" s="102" t="str">
        <f>IF(A198="","",SUM(
COUNTIFS('QA Log'!D:D,A198,'QA Log'!M:M,"QQC",'QA Log'!Z:Z,"Approved",'QA Log'!L:L,"*1. General Management*"),
COUNTIFS('QA Log'!D:D,A198,'QA Log'!M:M,"QQC",'QA Log'!Z:Z,"Approved",'QA Log'!L:L,"*3. Curative Consultation (OPD)*"),
COUNTIFS('QA Log'!D:D,A198,'QA Log'!M:M,"QQC",'QA Log'!Z:Z,"Approved",'QA Log'!L:L,"*5. Laboratory*"),
COUNTIFS('QA Log'!D:D,A198,'QA Log'!M:M,"QQC",'QA Log'!Z:Z,"Approved",'QA Log'!L:L,"*6. Essential Medicine Management*"),
COUNTIFS('QA Log'!D:D,A198,'QA Log'!M:M,"QQC",'QA Log'!Z:Z,"Approved",'QA Log'!L:L,"*7. Tracer Medicine*"),
COUNTIFS('QA Log'!D:D,A198,'QA Log'!M:M,"QQC",'QA Log'!Z:Z,"Approved",'QA Log'!L:L,"*11. Additional Questions*")))</f>
        <v/>
      </c>
      <c r="L198" s="105" t="str">
        <f>IF(A198&lt;&gt;"",COUNTIFS('QA Log'!D:D,A198,'QA Log'!M:M,"QQC",'QA Log'!L:L,"1. General Management",'QA Log'!Z:Z,"Approved"),"")</f>
        <v/>
      </c>
      <c r="M198" s="105" t="str">
        <f>IF(A198&lt;&gt;"",COUNTIFS('QA Log'!D:D,A198,'QA Log'!M:M,"QQC",'QA Log'!L:L,"3. Curative Consultation (OPD)",'QA Log'!Z:Z,"Approved"),"")</f>
        <v/>
      </c>
      <c r="N198" s="105" t="str">
        <f>IF(A198&lt;&gt;"",COUNTIFS('QA Log'!D:D,A198,'QA Log'!M:M,"QQC",'QA Log'!L:L,"5. Laboratory",'QA Log'!Z:Z,"Approved"),"")</f>
        <v/>
      </c>
      <c r="O198" s="105" t="str">
        <f>IF(A198&lt;&gt;"",COUNTIFS('QA Log'!D:D,A198,'QA Log'!M:M,"QQC",'QA Log'!L:L,"6. Essential Medicine Management",'QA Log'!Z:Z,"Approved"),"")</f>
        <v/>
      </c>
      <c r="P198" s="105" t="str">
        <f>IF(A198&lt;&gt;"",COUNTIFS('QA Log'!D:D,A198,'QA Log'!M:M,"QQC",'QA Log'!L:L,"7. Tracer Medicine",'QA Log'!Z:Z,"Approved"),"")</f>
        <v/>
      </c>
      <c r="Q198" s="105" t="str">
        <f>IF(A198&lt;&gt;"",COUNTIFS('QA Log'!D:D,A198,'QA Log'!M:M,"QQC",'QA Log'!L:L,"11. Additional Questions",'QA Log'!Z:Z,"Approved"),"")</f>
        <v/>
      </c>
      <c r="R198" s="102" t="str">
        <f>IF(A198="","",SUM(
COUNTIFS('QA Log'!D:D,A198,'QA Log'!M:M,"QQC",'QA Log'!Z:Z,"Rejected",'QA Log'!L:L,"*8. Maternity*"),
COUNTIFS('QA Log'!D:D,A198,'QA Log'!M:M,"QQC",'QA Log'!Z:Z,"Rejected",'QA Log'!L:L,"*EPI*"),
COUNTIFS('QA Log'!D:D,A198,'QA Log'!M:M,"QQC",'QA Log'!Z:Z,"Rejected",'QA Log'!L:L,"*10. Antenatal Care (ANC)*"),
COUNTIFS('QA Log'!D:D,A198,'QA Log'!M:M,"QQC",'QA Log'!Z:Z,"Rejected",'QA Log'!L:L,"*2. Hygiene and Sterilization*"),
COUNTIFS('QA Log'!D:D,A198,'QA Log'!M:M,"QQC",'QA Log'!Z:Z,"Rejected",'QA Log'!L:L,"*Family Planning*")))</f>
        <v/>
      </c>
      <c r="S198" s="106" t="str">
        <f t="shared" si="1"/>
        <v/>
      </c>
      <c r="T198" s="102" t="str">
        <f t="shared" si="2"/>
        <v/>
      </c>
      <c r="U198" s="102" t="str">
        <f>IF(A198="","",
SUM(
COUNTIFS('QA Log'!D:D,A198,'QA Log'!M:M,"QQC",'QA Log'!L:L,"*8. Maternity*"),
COUNTIFS('QA Log'!D:D,A198,'QA Log'!M:M,"QQC",'QA Log'!L:L,"*9. EPI and Pre-school Consultation*"),
COUNTIFS('QA Log'!D:D,A198,'QA Log'!M:M,"QQC",'QA Log'!L:L,"*10. Antenatal Care (ANC)*"),
COUNTIFS('QA Log'!D:D,A198,'QA Log'!M:M,"QQC",'QA Log'!L:L,"*2. Hygiene and Sterilization*"),
COUNTIFS('QA Log'!D:D,A198,'QA Log'!M:M,"QQC",'QA Log'!L:L,"*4. Family Planning*")
))</f>
        <v/>
      </c>
      <c r="V198" s="102" t="str">
        <f>IF(A198="","",
SUM(
COUNTIFS('QA Log'!D:D,A198,'QA Log'!M:M,"QQC",'QA Log'!Z:Z,"Approved",'QA Log'!L:L,"*8. Maternity*"),
COUNTIFS('QA Log'!D:D,A198,'QA Log'!M:M,"QQC",'QA Log'!Z:Z,"Approved",'QA Log'!L:L,"*9. EPI and Pre-school Consultation*"),
COUNTIFS('QA Log'!D:D,A198,'QA Log'!M:M,"QQC",'QA Log'!Z:Z,"Approved",'QA Log'!L:L,"*10. Antenatal Care (ANC)*"),
COUNTIFS('QA Log'!D:D,A198,'QA Log'!M:M,"QQC",'QA Log'!Z:Z,"Approved",'QA Log'!L:L,"*2. Hygiene and Sterilization*"),
COUNTIFS('QA Log'!D:D,A198,'QA Log'!M:M,"QQC",'QA Log'!Z:Z,"Approved",'QA Log'!L:L,"*4. Family Planning*")
))</f>
        <v/>
      </c>
      <c r="W198" s="105" t="str">
        <f>IF(A198&lt;&gt;"",COUNTIFS('QA Log'!D:D,A198,'QA Log'!M:M,"QQC",'QA Log'!L:L,"8. Maternity",'QA Log'!Z:Z,"Approved"),"")</f>
        <v/>
      </c>
      <c r="X198" s="105" t="str">
        <f>IF(A198&lt;&gt;"",COUNTIFS('QA Log'!D:D,A198,'QA Log'!M:M,"QQC",'QA Log'!L:L,"9. EPI and Pre-school Consultation",'QA Log'!Z:Z,"Approved"),"")</f>
        <v/>
      </c>
      <c r="Y198" s="105" t="str">
        <f>IF(A198&lt;&gt;"",COUNTIFS('QA Log'!D:D,A198,'QA Log'!M:M,"QQC",'QA Log'!L:L,"10. Antenatal Care (ANC)",'QA Log'!Z:Z,"Approved"),"")</f>
        <v/>
      </c>
      <c r="Z198" s="105" t="str">
        <f>IF(A198&lt;&gt;"",COUNTIFS('QA Log'!D:D,A198,'QA Log'!M:M,"QQC",'QA Log'!L:L,"2. Hygiene and Sterilization",'QA Log'!Z:Z,"Approved"),"")</f>
        <v/>
      </c>
      <c r="AA198" s="105" t="str">
        <f>IF(A198&lt;&gt;"",COUNTIFS('QA Log'!D:D,A198,'QA Log'!M:M,"QQC",'QA Log'!L:L,"4. Family Planning",'QA Log'!Z:Z,"Approved"),"")</f>
        <v/>
      </c>
      <c r="AB198" s="102" t="str">
        <f>IF(A198="","",
SUM(
COUNTIFS('QA Log'!D:D,A198,'QA Log'!M:M,"QQC",'QA Log'!Z:Z,"Rejected",'QA Log'!L:L,"*8. Maternity*"),
COUNTIFS('QA Log'!D:D,A198,'QA Log'!M:M,"QQC",'QA Log'!Z:Z,"Rejected",'QA Log'!L:L,"*9. EPI and Pre-school Consultation*"),
COUNTIFS('QA Log'!D:D,A198,'QA Log'!M:M,"QQC",'QA Log'!Z:Z,"Rejected",'QA Log'!L:L,"*10. Antenatal Care (ANC)*"),
COUNTIFS('QA Log'!D:D,A198,'QA Log'!M:M,"QQC",'QA Log'!Z:Z,"Rejected",'QA Log'!L:L,"*2. Hygiene and Sterilization*"),
COUNTIFS('QA Log'!D:D,A198,'QA Log'!M:M,"QQC",'QA Log'!Z:Z,"Rejected",'QA Log'!L:L,"*4. Family Planning*")
))</f>
        <v/>
      </c>
      <c r="AC198" s="102" t="str">
        <f t="shared" si="3"/>
        <v/>
      </c>
      <c r="AD198" s="103" t="str">
        <f t="shared" si="4"/>
        <v/>
      </c>
      <c r="AE198" s="102" t="str">
        <f>IF(A198="","",
SUM(
COUNTIFS('QA Log'!D:D,A198,'QA Log'!M:M,"Data Verification",'QA Log'!L:L,"*Medicine (section 2)*"),
COUNTIFS('QA Log'!D:D,A198,'QA Log'!M:M,"Data Verification",'QA Log'!L:L,"*Lab Testing Availability*"),
COUNTIFS('QA Log'!D:D,A198,'QA Log'!M:M,"Data Verification",'QA Log'!L:L,"*Other than P4P (section 6)*"),
COUNTIFS('QA Log'!D:D,A198,'QA Log'!M:M,"Data Verification",'QA Log'!L:L,"*Hospital Governance*")
))</f>
        <v/>
      </c>
      <c r="AF198" s="102" t="str">
        <f>IF(A198="","",
SUM(
COUNTIFS('QA Log'!D:D,A198,'QA Log'!M:M,"Data Verification",'QA Log'!Z:Z,"Approved",'QA Log'!L:L,"*Medicine (section 2)*"),
COUNTIFS('QA Log'!D:D,A198,'QA Log'!M:M,"Data Verification",'QA Log'!Z:Z,"Approved",'QA Log'!L:L,"*Lab Testing Availability*"),
COUNTIFS('QA Log'!D:D,A198,'QA Log'!M:M,"Data Verification",'QA Log'!Z:Z,"Approved",'QA Log'!L:L,"*Other than P4P (section 6)*"),
COUNTIFS('QA Log'!D:D,A198,'QA Log'!M:M,"Data Verification",'QA Log'!Z:Z,"Approved",'QA Log'!L:L,"*Hospital Governance*")
))</f>
        <v/>
      </c>
      <c r="AG198" s="105" t="str">
        <f>IF(A198&lt;&gt;"",COUNTIFS('QA Log'!D:D,A198,'QA Log'!M:M,"Data Verification",'QA Log'!L:L,"Medicine (section 2)",'QA Log'!Z:Z,"Approved"),"")</f>
        <v/>
      </c>
      <c r="AH198" s="105" t="str">
        <f>IF(A198&lt;&gt;"",COUNTIFS('QA Log'!D:D,A198,'QA Log'!M:M,"Data Verification",'QA Log'!L:L,"Lab Testing Availability",'QA Log'!Z:Z,"Approved"),"")</f>
        <v/>
      </c>
      <c r="AI198" s="105" t="str">
        <f>IF(A198&lt;&gt;"",COUNTIFS('QA Log'!D:D,A198,'QA Log'!M:M,"Data Verification",'QA Log'!L:L,"Other than P4P (section 6)",'QA Log'!Z:Z,"Approved"),"")</f>
        <v/>
      </c>
      <c r="AJ198" s="105" t="str">
        <f>IF(A198&lt;&gt;"",COUNTIFS('QA Log'!D:D,A198,'QA Log'!M:M,"Data Verification",'QA Log'!L:L,"Hospital Governance",'QA Log'!Z:Z,"Approved"),"")</f>
        <v/>
      </c>
      <c r="AK198" s="102" t="str">
        <f>IF(A198="","",
SUM(
COUNTIFS('QA Log'!D:D,A198,'QA Log'!M:M,"Data Verification",'QA Log'!Z:Z,"Rejected",'QA Log'!L:L,"*Medicine (section 2)*"),
COUNTIFS('QA Log'!D:D,A198,'QA Log'!M:M,"Data Verification",'QA Log'!Z:Z,"Rejected",'QA Log'!L:L,"*Lab Testing Availability*"),
COUNTIFS('QA Log'!D:D,A198,'QA Log'!M:M,"Data Verification",'QA Log'!Z:Z,"Rejected",'QA Log'!L:L,"*Other than P4P (section 6)*"),
COUNTIFS('QA Log'!D:D,A198,'QA Log'!M:M,"Data Verification",'QA Log'!Z:Z,"Rejected",'QA Log'!L:L,"*Hospital Governance*")
))</f>
        <v/>
      </c>
      <c r="AL198" s="106" t="str">
        <f t="shared" si="5"/>
        <v/>
      </c>
      <c r="AM198" s="102" t="str">
        <f t="shared" si="6"/>
        <v/>
      </c>
      <c r="AN198" s="102" t="str">
        <f>IF(A198="","",
SUM(
COUNTIFS('QA Log'!D:D,A198,'QA Log'!M:M,"Data Verification",'QA Log'!L:L,"*Personnel (section 1)*"),
COUNTIFS('QA Log'!D:D,A198,'QA Log'!M:M,"Data Verification",'QA Log'!L:L,"*Consumable (section 3)*"),
COUNTIFS('QA Log'!D:D,A198,'QA Log'!M:M,"Data Verification",'QA Log'!L:L,"*Equipments (section 4)*")
))</f>
        <v/>
      </c>
      <c r="AO198" s="102" t="str">
        <f>IF(A198="","",
SUM(
COUNTIFS('QA Log'!D:D,A198,'QA Log'!M:M,"Data Verification",'QA Log'!Z:Z,"Approved",'QA Log'!L:L,"*Personnel (section 1)*"),
COUNTIFS('QA Log'!D:D,A198,'QA Log'!M:M,"Data Verification",'QA Log'!Z:Z,"Approved",'QA Log'!L:L,"*Consumable (section 3)*"),
COUNTIFS('QA Log'!D:D,A198,'QA Log'!M:M,"Data Verification",'QA Log'!Z:Z,"Approved",'QA Log'!L:L,"*Equipments (section 4)*")
))</f>
        <v/>
      </c>
      <c r="AP198" s="105" t="str">
        <f>IF(A198&lt;&gt;"",COUNTIFS('QA Log'!D:D,A198,'QA Log'!M:M,"Data Verification",'QA Log'!L:L,"Personnel (section 1)",'QA Log'!Z:Z,"Approved"),"")</f>
        <v/>
      </c>
      <c r="AQ198" s="105" t="str">
        <f>IF(A198&lt;&gt;"",COUNTIFS('QA Log'!D:D,A198,'QA Log'!M:M,"Data Verification",'QA Log'!L:L,"Consumable (section 3)",'QA Log'!Z:Z,"Approved"),"")</f>
        <v/>
      </c>
      <c r="AR198" s="105" t="str">
        <f>IF(A198&lt;&gt;"",COUNTIFS('QA Log'!D:D,A198,'QA Log'!M:M,"Data Verification",'QA Log'!L:L,"Equipments (section 4)",'QA Log'!Z:Z,"Approved"),"")</f>
        <v/>
      </c>
      <c r="AS198" s="102" t="str">
        <f>IF(A198="","",
SUM(
COUNTIFS('QA Log'!D:D,A198,'QA Log'!M:M,"Data Verification",'QA Log'!Z:Z,"Rejected",'QA Log'!L:L,"*Personnel (section 1)*"),
COUNTIFS('QA Log'!D:D,A198,'QA Log'!M:M,"Data Verification",'QA Log'!Z:Z,"Rejected",'QA Log'!L:L,"*Consumable (section 3)*"),
COUNTIFS('QA Log'!D:D,A198,'QA Log'!M:M,"Data Verification",'QA Log'!Z:Z,"Rejected",'QA Log'!L:L,"*Equipments (section 4)*")
))</f>
        <v/>
      </c>
      <c r="AT198" s="102" t="str">
        <f t="shared" si="7"/>
        <v/>
      </c>
      <c r="AU198" s="103" t="str">
        <f t="shared" si="8"/>
        <v/>
      </c>
      <c r="AV198" s="102" t="str">
        <f>IF(A198="","",SUM(
COUNTIFS('QA Log'!D:D,A198,'QA Log'!M:M,"Vignette",'QA Log'!L:L,"*Vignette [1] Respiratory Infection: Pneumonia*"),
COUNTIFS('QA Log'!D:D,A198,'QA Log'!M:M,"Vignette",'QA Log'!L:L,"*Vignette [2]: Diarrhea with Cat B dehydration*"),
COUNTIFS('QA Log'!D:D,A198,'QA Log'!M:M,"Vignette",'QA Log'!L:L,"*Vignette [3] Growth Monitoring and Promotion*"),
COUNTIFS('QA Log'!D:D,A198,'QA Log'!M:M,"Vignette",'QA Log'!L:L,"*Vignette [4]: The management of presumptive TB patient*")
)
)</f>
        <v/>
      </c>
      <c r="AW198" s="102" t="str">
        <f>IF(
  A198="","",
  SUM(
    COUNTIFS('QA Log'!D:D,A198,'QA Log'!M:M,"Vignette",'QA Log'!Z:Z,"Approved",'QA Log'!L:L,"*Vignette [1] Respiratory Infection: Pneumonia*"),
    COUNTIFS('QA Log'!D:D,A198,'QA Log'!M:M,"Vignette",'QA Log'!Z:Z,"Approved",'QA Log'!L:L,"*Vignette [2]: Diarrhea with Cat B dehydration*"),
    COUNTIFS('QA Log'!D:D,A198,'QA Log'!M:M,"Vignette",'QA Log'!Z:Z,"Approved",'QA Log'!L:L,"*Vignette [3] Growth Monitoring and Promotion*"),
    COUNTIFS('QA Log'!D:D,A198,'QA Log'!M:M,"Vignette",'QA Log'!Z:Z,"Approved",'QA Log'!L:L,"*Vignette [4]: The management of presumptive TB patient*")
  )
)</f>
        <v/>
      </c>
      <c r="AX198" s="105" t="str">
        <f>IF(A198&lt;&gt;"",COUNTIFS('QA Log'!D:D,A198,'QA Log'!M:M,"Vignette",'QA Log'!L:L,"Vignette [1] Respiratory Infection: Pneumonia",'QA Log'!Z:Z,"Approved"),"")</f>
        <v/>
      </c>
      <c r="AY198" s="105" t="str">
        <f>IF(A198&lt;&gt;"",COUNTIFS('QA Log'!D:D,A198,'QA Log'!M:M,"Vignette",'QA Log'!L:L,"Vignette [2]: Diarrhea with Cat B dehydration",'QA Log'!Z:Z,"Approved"),"")</f>
        <v/>
      </c>
      <c r="AZ198" s="105" t="str">
        <f>IF(A198&lt;&gt;"",COUNTIFS('QA Log'!D:D,A198,'QA Log'!M:M,"Vignette",'QA Log'!L:L,"Vignette [3] Growth Monitoring and Promotion",'QA Log'!Z:Z,"Approved"),"")</f>
        <v/>
      </c>
      <c r="BA198" s="105" t="str">
        <f>IF(A198&lt;&gt;"",COUNTIFS('QA Log'!D:D,A198,'QA Log'!M:M,"Vignette",'QA Log'!L:L,"Vignette [4]: The management of presumptive TB patient",'QA Log'!Z:Z,"Approved"),"")</f>
        <v/>
      </c>
      <c r="BB198" s="102" t="str">
        <f>IF(A198="","",
  SUM(
    COUNTIFS('QA Log'!D:D,A198,'QA Log'!M:M,"Vignette",'QA Log'!Z:Z,"Rejected",'QA Log'!L:L,"*Vignette [1] Respiratory Infection: Pneumonia*"),
    COUNTIFS('QA Log'!D:D,A198,'QA Log'!M:M,"Vignette",'QA Log'!Z:Z,"Rejected",'QA Log'!L:L,"*Vignette [2]: Diarrhea with Cat B dehydration*"),
    COUNTIFS('QA Log'!D:D,A198,'QA Log'!M:M,"Vignette",'QA Log'!Z:Z,"Rejected",'QA Log'!L:L,"*Vignette [3] Growth Monitoring and Promotion*"),
    COUNTIFS('QA Log'!D:D,A198,'QA Log'!M:M,"Vignette",'QA Log'!Z:Z,"Rejected",'QA Log'!L:L,"*Vignette [4]: The management of presumptive TB patient*")
  )
)</f>
        <v/>
      </c>
      <c r="BC198" s="107" t="str">
        <f t="shared" si="9"/>
        <v/>
      </c>
      <c r="BD198" s="103" t="str">
        <f t="shared" si="10"/>
        <v/>
      </c>
      <c r="BE198" s="102" t="str">
        <f>IF(A198="","",SUM(
COUNTIFS('QA Log'!D:D,A198,'QA Log'!M:M,"Vignette",'QA Log'!L:L,"*Vignette [5] Labor*"),
COUNTIFS('QA Log'!D:D,A198,'QA Log'!M:M,"Vignette",'QA Log'!L:L,"*Vignette [6] PNC pre Discharge*"),
COUNTIFS('QA Log'!D:D,A198,'QA Log'!M:M,"Vignette",'QA Log'!L:L,"*Vignette [7] First ANC Visit*"),
COUNTIFS('QA Log'!D:D,A198,'QA Log'!M:M,"Vignette",'QA Log'!L:L,"*Vignette [8] Birth Spacing/ Family Planning :  FP Counselling*"),
COUNTIFS('QA Log'!D:D,A198,'QA Log'!M:M,"Vignette",'QA Log'!L:L,"*Vignette [9] Birth Spacing: Change FP method to Injectable*"),
COUNTIFS('QA Log'!D:D,A198,'QA Log'!M:M,"Vignette",'QA Log'!L:L,"*Vignette [10] Post Partum Haemorrhage - Atonic Uterus at Health Centre*"),
)
)</f>
        <v/>
      </c>
      <c r="BF198" s="102" t="str">
        <f>IF(A198="","",
  SUM(
    COUNTIFS('QA Log'!D:D,A198,'QA Log'!M:M,"Vignette",'QA Log'!Z:Z,"Approved",'QA Log'!L:L,"*Vignette [5] Labor*"),
    COUNTIFS('QA Log'!D:D,A198,'QA Log'!M:M,"Vignette",'QA Log'!Z:Z,"Approved",'QA Log'!L:L,"*Vignette [6] PNC pre Discharge*"),
    COUNTIFS('QA Log'!D:D,A198,'QA Log'!M:M,"Vignette",'QA Log'!Z:Z,"Approved",'QA Log'!L:L,"*Vignette [7] First ANC Visit*"),
    COUNTIFS('QA Log'!D:D,A198,'QA Log'!M:M,"Vignette",'QA Log'!Z:Z,"Approved",'QA Log'!L:L,"*Vignette [8] Birth Spacing/ Family Planning :  FP Counselling*"),
    COUNTIFS('QA Log'!D:D,A198,'QA Log'!M:M,"Vignette",'QA Log'!Z:Z,"Approved",'QA Log'!L:L,"*Vignette [9] Birth Spacing: Change FP method to Injectable*"),
    COUNTIFS('QA Log'!D:D,A198,'QA Log'!M:M,"Vignette",'QA Log'!Z:Z,"Approved",'QA Log'!L:L,"*Vignette [10] Post Partum Haemorrhage - Atonic Uterus at Health Centre*")
  )
)</f>
        <v/>
      </c>
      <c r="BG198" s="105" t="str">
        <f>IF(A198&lt;&gt;"",COUNTIFS('QA Log'!D:D,A198,'QA Log'!M:M,"Vignette",'QA Log'!L:L,"Vignette [5] Labor",'QA Log'!Z:Z,"Approved"),"")</f>
        <v/>
      </c>
      <c r="BH198" s="105" t="str">
        <f>IF(A198&lt;&gt;"",COUNTIFS('QA Log'!D:D,A198,'QA Log'!M:M,"Vignette",'QA Log'!L:L,"Vignette [6] PNC pre Discharge",'QA Log'!Z:Z,"Approved"),"")</f>
        <v/>
      </c>
      <c r="BI198" s="105" t="str">
        <f>IF(A198&lt;&gt;"",COUNTIFS('QA Log'!D:D,A198,'QA Log'!M:M,"Vignette",'QA Log'!L:L,"Vignette [7] First ANC Visit",'QA Log'!Z:Z,"Approved"),"")</f>
        <v/>
      </c>
      <c r="BJ198" s="105" t="str">
        <f>IF(A198&lt;&gt;"",COUNTIFS('QA Log'!D:D,A198,'QA Log'!M:M,"Vignette",'QA Log'!L:L,"Vignette [8] Birth Spacing/ Family Planning :  FP Counselling",'QA Log'!Z:Z,"Approved"),"")</f>
        <v/>
      </c>
      <c r="BK198" s="105" t="str">
        <f>IF(A198&lt;&gt;"",COUNTIFS('QA Log'!D:D,A198,'QA Log'!M:M,"Vignette",'QA Log'!L:L,"Vignette [9] Birth Spacing: Change FP method to Injectable",'QA Log'!Z:Z,"Approved"),"")</f>
        <v/>
      </c>
      <c r="BL198" s="105" t="str">
        <f>IF(A198&lt;&gt;"",COUNTIFS('QA Log'!D:D,A198,'QA Log'!M:M,"Vignette",'QA Log'!L:L,"Vignette [10] Post Partum Haemorrhage - Atonic Uterus at Health Centre",'QA Log'!Z:Z,"Approved"),"")</f>
        <v/>
      </c>
      <c r="BM198" s="102" t="str">
        <f>IF(A198="","",SUM(
    COUNTIFS('QA Log'!D:D,A198,'QA Log'!M:M,"Vignette",'QA Log'!Z:Z,"Rejected",'QA Log'!L:L,"*Vignette [5] Labor*"),
    COUNTIFS('QA Log'!D:D,A198,'QA Log'!M:M,"Vignette",'QA Log'!Z:Z,"Rejected",'QA Log'!L:L,"*Vignette [6] PNC pre Discharge*"),
    COUNTIFS('QA Log'!D:D,A198,'QA Log'!M:M,"Vignette",'QA Log'!Z:Z,"Rejected",'QA Log'!L:L,"*Vignette [7] First ANC Visit*"),
    COUNTIFS('QA Log'!D:D,A198,'QA Log'!M:M,"Vignette",'QA Log'!Z:Z,"Rejected",'QA Log'!L:L,"*Vignette [8] Birth Spacing/ Family Planning :  FP Counselling*"),
    COUNTIFS('QA Log'!D:D,A198,'QA Log'!M:M,"Vignette",'QA Log'!Z:Z,"Rejected",'QA Log'!L:L,"*Vignette [9] Birth Spacing: Change FP method to Injectable*"),
    COUNTIFS('QA Log'!D:D,A198,'QA Log'!M:M,"Vignette",'QA Log'!Z:Z,"Rejected",'QA Log'!L:L,"*Vignette [10] Post Partum Haemorrhage - Atonic Uterus at Health Centre*")
  )
)</f>
        <v/>
      </c>
      <c r="BN198" s="107" t="str">
        <f t="shared" si="11"/>
        <v/>
      </c>
      <c r="BO198" s="103" t="str">
        <f t="shared" si="12"/>
        <v/>
      </c>
      <c r="BP198" s="102" t="str">
        <f>IF(A198="","",SUM(
COUNTIFS('QA Log'!D:D,A198,'QA Log'!M:M,"Vignette",'QA Log'!L:L,"*Exit Interview 1*"),
COUNTIFS('QA Log'!D:D,A198,'QA Log'!M:M,"Vignette",'QA Log'!L:L,"*Exit Interview 2*"),
)
)</f>
        <v/>
      </c>
      <c r="BQ198" s="102" t="str">
        <f>IF(
  A198="","",
  SUM(
    COUNTIFS('QA Log'!D:D,A198,'QA Log'!M:M,"Vignette",'QA Log'!Z:Z,"Approved",'QA Log'!L:L,"*Exit Interview 1*"),
    COUNTIFS('QA Log'!D:D,A198,'QA Log'!M:M,"Vignette",'QA Log'!Z:Z,"Approved",'QA Log'!L:L,"*Exit Interview 2*")
  )
)</f>
        <v/>
      </c>
      <c r="BR198" s="105" t="str">
        <f>IF(A198&lt;&gt;"",COUNTIFS('QA Log'!D:D,A198,'QA Log'!M:M,"Vignette",'QA Log'!L:L,"Exit Interview 1",'QA Log'!Z:Z,"Approved"),"")</f>
        <v/>
      </c>
      <c r="BS198" s="105" t="str">
        <f>IF(A198&lt;&gt;"",COUNTIFS('QA Log'!D:D,A198,'QA Log'!M:M,"Vignette",'QA Log'!L:L,"Exit Interview 2",'QA Log'!Z:Z,"Approved"),"")</f>
        <v/>
      </c>
      <c r="BT198" s="102" t="str">
        <f>IF(
  A198="","",
  SUM(
    COUNTIFS('QA Log'!D:D,A198,'QA Log'!M:M,"Vignette",'QA Log'!Z:Z,"Rejected",'QA Log'!L:L,"*Exit Interview 1*"),
    COUNTIFS('QA Log'!D:D,A198,'QA Log'!M:M,"Vignette",'QA Log'!Z:Z,"Rejected",'QA Log'!L:L,"*Exit Interview 2*")
  )
)</f>
        <v/>
      </c>
      <c r="BU198" s="107" t="str">
        <f t="shared" si="13"/>
        <v/>
      </c>
      <c r="BV198" s="102" t="str">
        <f t="shared" si="14"/>
        <v/>
      </c>
      <c r="BW198" s="102" t="str">
        <f t="shared" si="15"/>
        <v/>
      </c>
      <c r="BX198" s="102" t="str">
        <f t="shared" si="16"/>
        <v/>
      </c>
      <c r="BY198" s="102" t="str">
        <f t="shared" si="17"/>
        <v/>
      </c>
      <c r="BZ198" s="107" t="str">
        <f t="shared" si="18"/>
        <v/>
      </c>
      <c r="CA198" s="108" t="str">
        <f t="shared" si="19"/>
        <v/>
      </c>
      <c r="CB198" s="108" t="str">
        <f t="shared" si="20"/>
        <v/>
      </c>
      <c r="CC198" s="109" t="str">
        <f t="shared" si="21"/>
        <v/>
      </c>
      <c r="CD198" s="108" t="str">
        <f t="shared" si="22"/>
        <v/>
      </c>
      <c r="CE198" s="108" t="str">
        <f t="shared" si="23"/>
        <v/>
      </c>
      <c r="CF198" s="109" t="str">
        <f t="shared" si="24"/>
        <v/>
      </c>
      <c r="CG198" s="110" t="str">
        <f t="shared" si="25"/>
        <v/>
      </c>
      <c r="CH198" s="111"/>
    </row>
    <row r="199" spans="1:86" ht="12.75">
      <c r="A199" s="101"/>
      <c r="B199" s="102" t="e">
        <f t="array" aca="1" ref="B199" ca="1">_xludf.XLOOKUP(A199,'QA Log'!D:D,'QA Log'!E:E,"")</f>
        <v>#NAME?</v>
      </c>
      <c r="C199" s="102" t="e">
        <f t="array" aca="1" ref="C199" ca="1">_xludf.XLOOKUP(A199,'QA Log'!D:D,'QA Log'!F:F,"")</f>
        <v>#NAME?</v>
      </c>
      <c r="D199" s="102" t="e">
        <f t="array" aca="1" ref="D199" ca="1">_xludf.XLOOKUP(A199,'QA Log'!D:D,'QA Log'!H:H,"")</f>
        <v>#NAME?</v>
      </c>
      <c r="E199" s="102" t="e">
        <f t="array" aca="1" ref="E199" ca="1">_xludf.XLOOKUP(A199,'QA Log'!D:D,'QA Log'!G:G,"")</f>
        <v>#NAME?</v>
      </c>
      <c r="F199" s="103"/>
      <c r="G199" s="104"/>
      <c r="H199" s="104"/>
      <c r="I199" s="103" t="str">
        <f t="shared" si="0"/>
        <v/>
      </c>
      <c r="J199" s="102" t="str">
        <f>IF(A199="","",SUM(
COUNTIFS('QA Log'!D:D,A199,'QA Log'!M:M,"QQC",'QA Log'!L:L,"*1. General Management*"),
COUNTIFS('QA Log'!D:D,A199,'QA Log'!M:M,"QQC",'QA Log'!L:L,"*3. Curative Consultation (OPD)*"),
COUNTIFS('QA Log'!D:D,A199,'QA Log'!M:M,"QQC",'QA Log'!L:L,"*5. Laboratory*"),
COUNTIFS('QA Log'!D:D,A199,'QA Log'!M:M,"QQC",'QA Log'!L:L,"*6. Essential Medicine Management*"),
COUNTIFS('QA Log'!D:D,A199,'QA Log'!M:M,"QQC",'QA Log'!L:L,"*7. Tracer Medicine*"),
COUNTIFS('QA Log'!D:D,A199,'QA Log'!M:M,"QQC",'QA Log'!L:L,"*11. Additional Questions*")))</f>
        <v/>
      </c>
      <c r="K199" s="102" t="str">
        <f>IF(A199="","",SUM(
COUNTIFS('QA Log'!D:D,A199,'QA Log'!M:M,"QQC",'QA Log'!Z:Z,"Approved",'QA Log'!L:L,"*1. General Management*"),
COUNTIFS('QA Log'!D:D,A199,'QA Log'!M:M,"QQC",'QA Log'!Z:Z,"Approved",'QA Log'!L:L,"*3. Curative Consultation (OPD)*"),
COUNTIFS('QA Log'!D:D,A199,'QA Log'!M:M,"QQC",'QA Log'!Z:Z,"Approved",'QA Log'!L:L,"*5. Laboratory*"),
COUNTIFS('QA Log'!D:D,A199,'QA Log'!M:M,"QQC",'QA Log'!Z:Z,"Approved",'QA Log'!L:L,"*6. Essential Medicine Management*"),
COUNTIFS('QA Log'!D:D,A199,'QA Log'!M:M,"QQC",'QA Log'!Z:Z,"Approved",'QA Log'!L:L,"*7. Tracer Medicine*"),
COUNTIFS('QA Log'!D:D,A199,'QA Log'!M:M,"QQC",'QA Log'!Z:Z,"Approved",'QA Log'!L:L,"*11. Additional Questions*")))</f>
        <v/>
      </c>
      <c r="L199" s="105" t="str">
        <f>IF(A199&lt;&gt;"",COUNTIFS('QA Log'!D:D,A199,'QA Log'!M:M,"QQC",'QA Log'!L:L,"1. General Management",'QA Log'!Z:Z,"Approved"),"")</f>
        <v/>
      </c>
      <c r="M199" s="105" t="str">
        <f>IF(A199&lt;&gt;"",COUNTIFS('QA Log'!D:D,A199,'QA Log'!M:M,"QQC",'QA Log'!L:L,"3. Curative Consultation (OPD)",'QA Log'!Z:Z,"Approved"),"")</f>
        <v/>
      </c>
      <c r="N199" s="105" t="str">
        <f>IF(A199&lt;&gt;"",COUNTIFS('QA Log'!D:D,A199,'QA Log'!M:M,"QQC",'QA Log'!L:L,"5. Laboratory",'QA Log'!Z:Z,"Approved"),"")</f>
        <v/>
      </c>
      <c r="O199" s="105" t="str">
        <f>IF(A199&lt;&gt;"",COUNTIFS('QA Log'!D:D,A199,'QA Log'!M:M,"QQC",'QA Log'!L:L,"6. Essential Medicine Management",'QA Log'!Z:Z,"Approved"),"")</f>
        <v/>
      </c>
      <c r="P199" s="105" t="str">
        <f>IF(A199&lt;&gt;"",COUNTIFS('QA Log'!D:D,A199,'QA Log'!M:M,"QQC",'QA Log'!L:L,"7. Tracer Medicine",'QA Log'!Z:Z,"Approved"),"")</f>
        <v/>
      </c>
      <c r="Q199" s="105" t="str">
        <f>IF(A199&lt;&gt;"",COUNTIFS('QA Log'!D:D,A199,'QA Log'!M:M,"QQC",'QA Log'!L:L,"11. Additional Questions",'QA Log'!Z:Z,"Approved"),"")</f>
        <v/>
      </c>
      <c r="R199" s="102" t="str">
        <f>IF(A199="","",SUM(
COUNTIFS('QA Log'!D:D,A199,'QA Log'!M:M,"QQC",'QA Log'!Z:Z,"Rejected",'QA Log'!L:L,"*8. Maternity*"),
COUNTIFS('QA Log'!D:D,A199,'QA Log'!M:M,"QQC",'QA Log'!Z:Z,"Rejected",'QA Log'!L:L,"*EPI*"),
COUNTIFS('QA Log'!D:D,A199,'QA Log'!M:M,"QQC",'QA Log'!Z:Z,"Rejected",'QA Log'!L:L,"*10. Antenatal Care (ANC)*"),
COUNTIFS('QA Log'!D:D,A199,'QA Log'!M:M,"QQC",'QA Log'!Z:Z,"Rejected",'QA Log'!L:L,"*2. Hygiene and Sterilization*"),
COUNTIFS('QA Log'!D:D,A199,'QA Log'!M:M,"QQC",'QA Log'!Z:Z,"Rejected",'QA Log'!L:L,"*Family Planning*")))</f>
        <v/>
      </c>
      <c r="S199" s="106" t="str">
        <f t="shared" si="1"/>
        <v/>
      </c>
      <c r="T199" s="102" t="str">
        <f t="shared" si="2"/>
        <v/>
      </c>
      <c r="U199" s="102" t="str">
        <f>IF(A199="","",
SUM(
COUNTIFS('QA Log'!D:D,A199,'QA Log'!M:M,"QQC",'QA Log'!L:L,"*8. Maternity*"),
COUNTIFS('QA Log'!D:D,A199,'QA Log'!M:M,"QQC",'QA Log'!L:L,"*9. EPI and Pre-school Consultation*"),
COUNTIFS('QA Log'!D:D,A199,'QA Log'!M:M,"QQC",'QA Log'!L:L,"*10. Antenatal Care (ANC)*"),
COUNTIFS('QA Log'!D:D,A199,'QA Log'!M:M,"QQC",'QA Log'!L:L,"*2. Hygiene and Sterilization*"),
COUNTIFS('QA Log'!D:D,A199,'QA Log'!M:M,"QQC",'QA Log'!L:L,"*4. Family Planning*")
))</f>
        <v/>
      </c>
      <c r="V199" s="102" t="str">
        <f>IF(A199="","",
SUM(
COUNTIFS('QA Log'!D:D,A199,'QA Log'!M:M,"QQC",'QA Log'!Z:Z,"Approved",'QA Log'!L:L,"*8. Maternity*"),
COUNTIFS('QA Log'!D:D,A199,'QA Log'!M:M,"QQC",'QA Log'!Z:Z,"Approved",'QA Log'!L:L,"*9. EPI and Pre-school Consultation*"),
COUNTIFS('QA Log'!D:D,A199,'QA Log'!M:M,"QQC",'QA Log'!Z:Z,"Approved",'QA Log'!L:L,"*10. Antenatal Care (ANC)*"),
COUNTIFS('QA Log'!D:D,A199,'QA Log'!M:M,"QQC",'QA Log'!Z:Z,"Approved",'QA Log'!L:L,"*2. Hygiene and Sterilization*"),
COUNTIFS('QA Log'!D:D,A199,'QA Log'!M:M,"QQC",'QA Log'!Z:Z,"Approved",'QA Log'!L:L,"*4. Family Planning*")
))</f>
        <v/>
      </c>
      <c r="W199" s="105" t="str">
        <f>IF(A199&lt;&gt;"",COUNTIFS('QA Log'!D:D,A199,'QA Log'!M:M,"QQC",'QA Log'!L:L,"8. Maternity",'QA Log'!Z:Z,"Approved"),"")</f>
        <v/>
      </c>
      <c r="X199" s="105" t="str">
        <f>IF(A199&lt;&gt;"",COUNTIFS('QA Log'!D:D,A199,'QA Log'!M:M,"QQC",'QA Log'!L:L,"9. EPI and Pre-school Consultation",'QA Log'!Z:Z,"Approved"),"")</f>
        <v/>
      </c>
      <c r="Y199" s="105" t="str">
        <f>IF(A199&lt;&gt;"",COUNTIFS('QA Log'!D:D,A199,'QA Log'!M:M,"QQC",'QA Log'!L:L,"10. Antenatal Care (ANC)",'QA Log'!Z:Z,"Approved"),"")</f>
        <v/>
      </c>
      <c r="Z199" s="105" t="str">
        <f>IF(A199&lt;&gt;"",COUNTIFS('QA Log'!D:D,A199,'QA Log'!M:M,"QQC",'QA Log'!L:L,"2. Hygiene and Sterilization",'QA Log'!Z:Z,"Approved"),"")</f>
        <v/>
      </c>
      <c r="AA199" s="105" t="str">
        <f>IF(A199&lt;&gt;"",COUNTIFS('QA Log'!D:D,A199,'QA Log'!M:M,"QQC",'QA Log'!L:L,"4. Family Planning",'QA Log'!Z:Z,"Approved"),"")</f>
        <v/>
      </c>
      <c r="AB199" s="102" t="str">
        <f>IF(A199="","",
SUM(
COUNTIFS('QA Log'!D:D,A199,'QA Log'!M:M,"QQC",'QA Log'!Z:Z,"Rejected",'QA Log'!L:L,"*8. Maternity*"),
COUNTIFS('QA Log'!D:D,A199,'QA Log'!M:M,"QQC",'QA Log'!Z:Z,"Rejected",'QA Log'!L:L,"*9. EPI and Pre-school Consultation*"),
COUNTIFS('QA Log'!D:D,A199,'QA Log'!M:M,"QQC",'QA Log'!Z:Z,"Rejected",'QA Log'!L:L,"*10. Antenatal Care (ANC)*"),
COUNTIFS('QA Log'!D:D,A199,'QA Log'!M:M,"QQC",'QA Log'!Z:Z,"Rejected",'QA Log'!L:L,"*2. Hygiene and Sterilization*"),
COUNTIFS('QA Log'!D:D,A199,'QA Log'!M:M,"QQC",'QA Log'!Z:Z,"Rejected",'QA Log'!L:L,"*4. Family Planning*")
))</f>
        <v/>
      </c>
      <c r="AC199" s="102" t="str">
        <f t="shared" si="3"/>
        <v/>
      </c>
      <c r="AD199" s="103" t="str">
        <f t="shared" si="4"/>
        <v/>
      </c>
      <c r="AE199" s="102" t="str">
        <f>IF(A199="","",
SUM(
COUNTIFS('QA Log'!D:D,A199,'QA Log'!M:M,"Data Verification",'QA Log'!L:L,"*Medicine (section 2)*"),
COUNTIFS('QA Log'!D:D,A199,'QA Log'!M:M,"Data Verification",'QA Log'!L:L,"*Lab Testing Availability*"),
COUNTIFS('QA Log'!D:D,A199,'QA Log'!M:M,"Data Verification",'QA Log'!L:L,"*Other than P4P (section 6)*"),
COUNTIFS('QA Log'!D:D,A199,'QA Log'!M:M,"Data Verification",'QA Log'!L:L,"*Hospital Governance*")
))</f>
        <v/>
      </c>
      <c r="AF199" s="102" t="str">
        <f>IF(A199="","",
SUM(
COUNTIFS('QA Log'!D:D,A199,'QA Log'!M:M,"Data Verification",'QA Log'!Z:Z,"Approved",'QA Log'!L:L,"*Medicine (section 2)*"),
COUNTIFS('QA Log'!D:D,A199,'QA Log'!M:M,"Data Verification",'QA Log'!Z:Z,"Approved",'QA Log'!L:L,"*Lab Testing Availability*"),
COUNTIFS('QA Log'!D:D,A199,'QA Log'!M:M,"Data Verification",'QA Log'!Z:Z,"Approved",'QA Log'!L:L,"*Other than P4P (section 6)*"),
COUNTIFS('QA Log'!D:D,A199,'QA Log'!M:M,"Data Verification",'QA Log'!Z:Z,"Approved",'QA Log'!L:L,"*Hospital Governance*")
))</f>
        <v/>
      </c>
      <c r="AG199" s="105" t="str">
        <f>IF(A199&lt;&gt;"",COUNTIFS('QA Log'!D:D,A199,'QA Log'!M:M,"Data Verification",'QA Log'!L:L,"Medicine (section 2)",'QA Log'!Z:Z,"Approved"),"")</f>
        <v/>
      </c>
      <c r="AH199" s="105" t="str">
        <f>IF(A199&lt;&gt;"",COUNTIFS('QA Log'!D:D,A199,'QA Log'!M:M,"Data Verification",'QA Log'!L:L,"Lab Testing Availability",'QA Log'!Z:Z,"Approved"),"")</f>
        <v/>
      </c>
      <c r="AI199" s="105" t="str">
        <f>IF(A199&lt;&gt;"",COUNTIFS('QA Log'!D:D,A199,'QA Log'!M:M,"Data Verification",'QA Log'!L:L,"Other than P4P (section 6)",'QA Log'!Z:Z,"Approved"),"")</f>
        <v/>
      </c>
      <c r="AJ199" s="105" t="str">
        <f>IF(A199&lt;&gt;"",COUNTIFS('QA Log'!D:D,A199,'QA Log'!M:M,"Data Verification",'QA Log'!L:L,"Hospital Governance",'QA Log'!Z:Z,"Approved"),"")</f>
        <v/>
      </c>
      <c r="AK199" s="102" t="str">
        <f>IF(A199="","",
SUM(
COUNTIFS('QA Log'!D:D,A199,'QA Log'!M:M,"Data Verification",'QA Log'!Z:Z,"Rejected",'QA Log'!L:L,"*Medicine (section 2)*"),
COUNTIFS('QA Log'!D:D,A199,'QA Log'!M:M,"Data Verification",'QA Log'!Z:Z,"Rejected",'QA Log'!L:L,"*Lab Testing Availability*"),
COUNTIFS('QA Log'!D:D,A199,'QA Log'!M:M,"Data Verification",'QA Log'!Z:Z,"Rejected",'QA Log'!L:L,"*Other than P4P (section 6)*"),
COUNTIFS('QA Log'!D:D,A199,'QA Log'!M:M,"Data Verification",'QA Log'!Z:Z,"Rejected",'QA Log'!L:L,"*Hospital Governance*")
))</f>
        <v/>
      </c>
      <c r="AL199" s="106" t="str">
        <f t="shared" si="5"/>
        <v/>
      </c>
      <c r="AM199" s="102" t="str">
        <f t="shared" si="6"/>
        <v/>
      </c>
      <c r="AN199" s="102" t="str">
        <f>IF(A199="","",
SUM(
COUNTIFS('QA Log'!D:D,A199,'QA Log'!M:M,"Data Verification",'QA Log'!L:L,"*Personnel (section 1)*"),
COUNTIFS('QA Log'!D:D,A199,'QA Log'!M:M,"Data Verification",'QA Log'!L:L,"*Consumable (section 3)*"),
COUNTIFS('QA Log'!D:D,A199,'QA Log'!M:M,"Data Verification",'QA Log'!L:L,"*Equipments (section 4)*")
))</f>
        <v/>
      </c>
      <c r="AO199" s="102" t="str">
        <f>IF(A199="","",
SUM(
COUNTIFS('QA Log'!D:D,A199,'QA Log'!M:M,"Data Verification",'QA Log'!Z:Z,"Approved",'QA Log'!L:L,"*Personnel (section 1)*"),
COUNTIFS('QA Log'!D:D,A199,'QA Log'!M:M,"Data Verification",'QA Log'!Z:Z,"Approved",'QA Log'!L:L,"*Consumable (section 3)*"),
COUNTIFS('QA Log'!D:D,A199,'QA Log'!M:M,"Data Verification",'QA Log'!Z:Z,"Approved",'QA Log'!L:L,"*Equipments (section 4)*")
))</f>
        <v/>
      </c>
      <c r="AP199" s="105" t="str">
        <f>IF(A199&lt;&gt;"",COUNTIFS('QA Log'!D:D,A199,'QA Log'!M:M,"Data Verification",'QA Log'!L:L,"Personnel (section 1)",'QA Log'!Z:Z,"Approved"),"")</f>
        <v/>
      </c>
      <c r="AQ199" s="105" t="str">
        <f>IF(A199&lt;&gt;"",COUNTIFS('QA Log'!D:D,A199,'QA Log'!M:M,"Data Verification",'QA Log'!L:L,"Consumable (section 3)",'QA Log'!Z:Z,"Approved"),"")</f>
        <v/>
      </c>
      <c r="AR199" s="105" t="str">
        <f>IF(A199&lt;&gt;"",COUNTIFS('QA Log'!D:D,A199,'QA Log'!M:M,"Data Verification",'QA Log'!L:L,"Equipments (section 4)",'QA Log'!Z:Z,"Approved"),"")</f>
        <v/>
      </c>
      <c r="AS199" s="102" t="str">
        <f>IF(A199="","",
SUM(
COUNTIFS('QA Log'!D:D,A199,'QA Log'!M:M,"Data Verification",'QA Log'!Z:Z,"Rejected",'QA Log'!L:L,"*Personnel (section 1)*"),
COUNTIFS('QA Log'!D:D,A199,'QA Log'!M:M,"Data Verification",'QA Log'!Z:Z,"Rejected",'QA Log'!L:L,"*Consumable (section 3)*"),
COUNTIFS('QA Log'!D:D,A199,'QA Log'!M:M,"Data Verification",'QA Log'!Z:Z,"Rejected",'QA Log'!L:L,"*Equipments (section 4)*")
))</f>
        <v/>
      </c>
      <c r="AT199" s="102" t="str">
        <f t="shared" si="7"/>
        <v/>
      </c>
      <c r="AU199" s="103" t="str">
        <f t="shared" si="8"/>
        <v/>
      </c>
      <c r="AV199" s="102" t="str">
        <f>IF(A199="","",SUM(
COUNTIFS('QA Log'!D:D,A199,'QA Log'!M:M,"Vignette",'QA Log'!L:L,"*Vignette [1] Respiratory Infection: Pneumonia*"),
COUNTIFS('QA Log'!D:D,A199,'QA Log'!M:M,"Vignette",'QA Log'!L:L,"*Vignette [2]: Diarrhea with Cat B dehydration*"),
COUNTIFS('QA Log'!D:D,A199,'QA Log'!M:M,"Vignette",'QA Log'!L:L,"*Vignette [3] Growth Monitoring and Promotion*"),
COUNTIFS('QA Log'!D:D,A199,'QA Log'!M:M,"Vignette",'QA Log'!L:L,"*Vignette [4]: The management of presumptive TB patient*")
)
)</f>
        <v/>
      </c>
      <c r="AW199" s="102" t="str">
        <f>IF(
  A199="","",
  SUM(
    COUNTIFS('QA Log'!D:D,A199,'QA Log'!M:M,"Vignette",'QA Log'!Z:Z,"Approved",'QA Log'!L:L,"*Vignette [1] Respiratory Infection: Pneumonia*"),
    COUNTIFS('QA Log'!D:D,A199,'QA Log'!M:M,"Vignette",'QA Log'!Z:Z,"Approved",'QA Log'!L:L,"*Vignette [2]: Diarrhea with Cat B dehydration*"),
    COUNTIFS('QA Log'!D:D,A199,'QA Log'!M:M,"Vignette",'QA Log'!Z:Z,"Approved",'QA Log'!L:L,"*Vignette [3] Growth Monitoring and Promotion*"),
    COUNTIFS('QA Log'!D:D,A199,'QA Log'!M:M,"Vignette",'QA Log'!Z:Z,"Approved",'QA Log'!L:L,"*Vignette [4]: The management of presumptive TB patient*")
  )
)</f>
        <v/>
      </c>
      <c r="AX199" s="105" t="str">
        <f>IF(A199&lt;&gt;"",COUNTIFS('QA Log'!D:D,A199,'QA Log'!M:M,"Vignette",'QA Log'!L:L,"Vignette [1] Respiratory Infection: Pneumonia",'QA Log'!Z:Z,"Approved"),"")</f>
        <v/>
      </c>
      <c r="AY199" s="105" t="str">
        <f>IF(A199&lt;&gt;"",COUNTIFS('QA Log'!D:D,A199,'QA Log'!M:M,"Vignette",'QA Log'!L:L,"Vignette [2]: Diarrhea with Cat B dehydration",'QA Log'!Z:Z,"Approved"),"")</f>
        <v/>
      </c>
      <c r="AZ199" s="105" t="str">
        <f>IF(A199&lt;&gt;"",COUNTIFS('QA Log'!D:D,A199,'QA Log'!M:M,"Vignette",'QA Log'!L:L,"Vignette [3] Growth Monitoring and Promotion",'QA Log'!Z:Z,"Approved"),"")</f>
        <v/>
      </c>
      <c r="BA199" s="105" t="str">
        <f>IF(A199&lt;&gt;"",COUNTIFS('QA Log'!D:D,A199,'QA Log'!M:M,"Vignette",'QA Log'!L:L,"Vignette [4]: The management of presumptive TB patient",'QA Log'!Z:Z,"Approved"),"")</f>
        <v/>
      </c>
      <c r="BB199" s="102" t="str">
        <f>IF(A199="","",
  SUM(
    COUNTIFS('QA Log'!D:D,A199,'QA Log'!M:M,"Vignette",'QA Log'!Z:Z,"Rejected",'QA Log'!L:L,"*Vignette [1] Respiratory Infection: Pneumonia*"),
    COUNTIFS('QA Log'!D:D,A199,'QA Log'!M:M,"Vignette",'QA Log'!Z:Z,"Rejected",'QA Log'!L:L,"*Vignette [2]: Diarrhea with Cat B dehydration*"),
    COUNTIFS('QA Log'!D:D,A199,'QA Log'!M:M,"Vignette",'QA Log'!Z:Z,"Rejected",'QA Log'!L:L,"*Vignette [3] Growth Monitoring and Promotion*"),
    COUNTIFS('QA Log'!D:D,A199,'QA Log'!M:M,"Vignette",'QA Log'!Z:Z,"Rejected",'QA Log'!L:L,"*Vignette [4]: The management of presumptive TB patient*")
  )
)</f>
        <v/>
      </c>
      <c r="BC199" s="107" t="str">
        <f t="shared" si="9"/>
        <v/>
      </c>
      <c r="BD199" s="103" t="str">
        <f t="shared" si="10"/>
        <v/>
      </c>
      <c r="BE199" s="102" t="str">
        <f>IF(A199="","",SUM(
COUNTIFS('QA Log'!D:D,A199,'QA Log'!M:M,"Vignette",'QA Log'!L:L,"*Vignette [5] Labor*"),
COUNTIFS('QA Log'!D:D,A199,'QA Log'!M:M,"Vignette",'QA Log'!L:L,"*Vignette [6] PNC pre Discharge*"),
COUNTIFS('QA Log'!D:D,A199,'QA Log'!M:M,"Vignette",'QA Log'!L:L,"*Vignette [7] First ANC Visit*"),
COUNTIFS('QA Log'!D:D,A199,'QA Log'!M:M,"Vignette",'QA Log'!L:L,"*Vignette [8] Birth Spacing/ Family Planning :  FP Counselling*"),
COUNTIFS('QA Log'!D:D,A199,'QA Log'!M:M,"Vignette",'QA Log'!L:L,"*Vignette [9] Birth Spacing: Change FP method to Injectable*"),
COUNTIFS('QA Log'!D:D,A199,'QA Log'!M:M,"Vignette",'QA Log'!L:L,"*Vignette [10] Post Partum Haemorrhage - Atonic Uterus at Health Centre*"),
)
)</f>
        <v/>
      </c>
      <c r="BF199" s="102" t="str">
        <f>IF(A199="","",
  SUM(
    COUNTIFS('QA Log'!D:D,A199,'QA Log'!M:M,"Vignette",'QA Log'!Z:Z,"Approved",'QA Log'!L:L,"*Vignette [5] Labor*"),
    COUNTIFS('QA Log'!D:D,A199,'QA Log'!M:M,"Vignette",'QA Log'!Z:Z,"Approved",'QA Log'!L:L,"*Vignette [6] PNC pre Discharge*"),
    COUNTIFS('QA Log'!D:D,A199,'QA Log'!M:M,"Vignette",'QA Log'!Z:Z,"Approved",'QA Log'!L:L,"*Vignette [7] First ANC Visit*"),
    COUNTIFS('QA Log'!D:D,A199,'QA Log'!M:M,"Vignette",'QA Log'!Z:Z,"Approved",'QA Log'!L:L,"*Vignette [8] Birth Spacing/ Family Planning :  FP Counselling*"),
    COUNTIFS('QA Log'!D:D,A199,'QA Log'!M:M,"Vignette",'QA Log'!Z:Z,"Approved",'QA Log'!L:L,"*Vignette [9] Birth Spacing: Change FP method to Injectable*"),
    COUNTIFS('QA Log'!D:D,A199,'QA Log'!M:M,"Vignette",'QA Log'!Z:Z,"Approved",'QA Log'!L:L,"*Vignette [10] Post Partum Haemorrhage - Atonic Uterus at Health Centre*")
  )
)</f>
        <v/>
      </c>
      <c r="BG199" s="105" t="str">
        <f>IF(A199&lt;&gt;"",COUNTIFS('QA Log'!D:D,A199,'QA Log'!M:M,"Vignette",'QA Log'!L:L,"Vignette [5] Labor",'QA Log'!Z:Z,"Approved"),"")</f>
        <v/>
      </c>
      <c r="BH199" s="105" t="str">
        <f>IF(A199&lt;&gt;"",COUNTIFS('QA Log'!D:D,A199,'QA Log'!M:M,"Vignette",'QA Log'!L:L,"Vignette [6] PNC pre Discharge",'QA Log'!Z:Z,"Approved"),"")</f>
        <v/>
      </c>
      <c r="BI199" s="105" t="str">
        <f>IF(A199&lt;&gt;"",COUNTIFS('QA Log'!D:D,A199,'QA Log'!M:M,"Vignette",'QA Log'!L:L,"Vignette [7] First ANC Visit",'QA Log'!Z:Z,"Approved"),"")</f>
        <v/>
      </c>
      <c r="BJ199" s="105" t="str">
        <f>IF(A199&lt;&gt;"",COUNTIFS('QA Log'!D:D,A199,'QA Log'!M:M,"Vignette",'QA Log'!L:L,"Vignette [8] Birth Spacing/ Family Planning :  FP Counselling",'QA Log'!Z:Z,"Approved"),"")</f>
        <v/>
      </c>
      <c r="BK199" s="105" t="str">
        <f>IF(A199&lt;&gt;"",COUNTIFS('QA Log'!D:D,A199,'QA Log'!M:M,"Vignette",'QA Log'!L:L,"Vignette [9] Birth Spacing: Change FP method to Injectable",'QA Log'!Z:Z,"Approved"),"")</f>
        <v/>
      </c>
      <c r="BL199" s="105" t="str">
        <f>IF(A199&lt;&gt;"",COUNTIFS('QA Log'!D:D,A199,'QA Log'!M:M,"Vignette",'QA Log'!L:L,"Vignette [10] Post Partum Haemorrhage - Atonic Uterus at Health Centre",'QA Log'!Z:Z,"Approved"),"")</f>
        <v/>
      </c>
      <c r="BM199" s="102" t="str">
        <f>IF(A199="","",SUM(
    COUNTIFS('QA Log'!D:D,A199,'QA Log'!M:M,"Vignette",'QA Log'!Z:Z,"Rejected",'QA Log'!L:L,"*Vignette [5] Labor*"),
    COUNTIFS('QA Log'!D:D,A199,'QA Log'!M:M,"Vignette",'QA Log'!Z:Z,"Rejected",'QA Log'!L:L,"*Vignette [6] PNC pre Discharge*"),
    COUNTIFS('QA Log'!D:D,A199,'QA Log'!M:M,"Vignette",'QA Log'!Z:Z,"Rejected",'QA Log'!L:L,"*Vignette [7] First ANC Visit*"),
    COUNTIFS('QA Log'!D:D,A199,'QA Log'!M:M,"Vignette",'QA Log'!Z:Z,"Rejected",'QA Log'!L:L,"*Vignette [8] Birth Spacing/ Family Planning :  FP Counselling*"),
    COUNTIFS('QA Log'!D:D,A199,'QA Log'!M:M,"Vignette",'QA Log'!Z:Z,"Rejected",'QA Log'!L:L,"*Vignette [9] Birth Spacing: Change FP method to Injectable*"),
    COUNTIFS('QA Log'!D:D,A199,'QA Log'!M:M,"Vignette",'QA Log'!Z:Z,"Rejected",'QA Log'!L:L,"*Vignette [10] Post Partum Haemorrhage - Atonic Uterus at Health Centre*")
  )
)</f>
        <v/>
      </c>
      <c r="BN199" s="107" t="str">
        <f t="shared" si="11"/>
        <v/>
      </c>
      <c r="BO199" s="103" t="str">
        <f t="shared" si="12"/>
        <v/>
      </c>
      <c r="BP199" s="102" t="str">
        <f>IF(A199="","",SUM(
COUNTIFS('QA Log'!D:D,A199,'QA Log'!M:M,"Vignette",'QA Log'!L:L,"*Exit Interview 1*"),
COUNTIFS('QA Log'!D:D,A199,'QA Log'!M:M,"Vignette",'QA Log'!L:L,"*Exit Interview 2*"),
)
)</f>
        <v/>
      </c>
      <c r="BQ199" s="102" t="str">
        <f>IF(
  A199="","",
  SUM(
    COUNTIFS('QA Log'!D:D,A199,'QA Log'!M:M,"Vignette",'QA Log'!Z:Z,"Approved",'QA Log'!L:L,"*Exit Interview 1*"),
    COUNTIFS('QA Log'!D:D,A199,'QA Log'!M:M,"Vignette",'QA Log'!Z:Z,"Approved",'QA Log'!L:L,"*Exit Interview 2*")
  )
)</f>
        <v/>
      </c>
      <c r="BR199" s="105" t="str">
        <f>IF(A199&lt;&gt;"",COUNTIFS('QA Log'!D:D,A199,'QA Log'!M:M,"Vignette",'QA Log'!L:L,"Exit Interview 1",'QA Log'!Z:Z,"Approved"),"")</f>
        <v/>
      </c>
      <c r="BS199" s="105" t="str">
        <f>IF(A199&lt;&gt;"",COUNTIFS('QA Log'!D:D,A199,'QA Log'!M:M,"Vignette",'QA Log'!L:L,"Exit Interview 2",'QA Log'!Z:Z,"Approved"),"")</f>
        <v/>
      </c>
      <c r="BT199" s="102" t="str">
        <f>IF(
  A199="","",
  SUM(
    COUNTIFS('QA Log'!D:D,A199,'QA Log'!M:M,"Vignette",'QA Log'!Z:Z,"Rejected",'QA Log'!L:L,"*Exit Interview 1*"),
    COUNTIFS('QA Log'!D:D,A199,'QA Log'!M:M,"Vignette",'QA Log'!Z:Z,"Rejected",'QA Log'!L:L,"*Exit Interview 2*")
  )
)</f>
        <v/>
      </c>
      <c r="BU199" s="107" t="str">
        <f t="shared" si="13"/>
        <v/>
      </c>
      <c r="BV199" s="102" t="str">
        <f t="shared" si="14"/>
        <v/>
      </c>
      <c r="BW199" s="102" t="str">
        <f t="shared" si="15"/>
        <v/>
      </c>
      <c r="BX199" s="102" t="str">
        <f t="shared" si="16"/>
        <v/>
      </c>
      <c r="BY199" s="102" t="str">
        <f t="shared" si="17"/>
        <v/>
      </c>
      <c r="BZ199" s="107" t="str">
        <f t="shared" si="18"/>
        <v/>
      </c>
      <c r="CA199" s="108" t="str">
        <f t="shared" si="19"/>
        <v/>
      </c>
      <c r="CB199" s="108" t="str">
        <f t="shared" si="20"/>
        <v/>
      </c>
      <c r="CC199" s="109" t="str">
        <f t="shared" si="21"/>
        <v/>
      </c>
      <c r="CD199" s="108" t="str">
        <f t="shared" si="22"/>
        <v/>
      </c>
      <c r="CE199" s="108" t="str">
        <f t="shared" si="23"/>
        <v/>
      </c>
      <c r="CF199" s="109" t="str">
        <f t="shared" si="24"/>
        <v/>
      </c>
      <c r="CG199" s="110" t="str">
        <f t="shared" si="25"/>
        <v/>
      </c>
      <c r="CH199" s="111"/>
    </row>
    <row r="200" spans="1:86" ht="12.75">
      <c r="A200" s="101"/>
      <c r="B200" s="102" t="e">
        <f t="array" aca="1" ref="B200" ca="1">_xludf.XLOOKUP(A200,'QA Log'!D:D,'QA Log'!E:E,"")</f>
        <v>#NAME?</v>
      </c>
      <c r="C200" s="102" t="e">
        <f t="array" aca="1" ref="C200" ca="1">_xludf.XLOOKUP(A200,'QA Log'!D:D,'QA Log'!F:F,"")</f>
        <v>#NAME?</v>
      </c>
      <c r="D200" s="102" t="e">
        <f t="array" aca="1" ref="D200" ca="1">_xludf.XLOOKUP(A200,'QA Log'!D:D,'QA Log'!H:H,"")</f>
        <v>#NAME?</v>
      </c>
      <c r="E200" s="102" t="e">
        <f t="array" aca="1" ref="E200" ca="1">_xludf.XLOOKUP(A200,'QA Log'!D:D,'QA Log'!G:G,"")</f>
        <v>#NAME?</v>
      </c>
      <c r="F200" s="103"/>
      <c r="G200" s="104"/>
      <c r="H200" s="104"/>
      <c r="I200" s="103" t="str">
        <f t="shared" si="0"/>
        <v/>
      </c>
      <c r="J200" s="102" t="str">
        <f>IF(A200="","",SUM(
COUNTIFS('QA Log'!D:D,A200,'QA Log'!M:M,"QQC",'QA Log'!L:L,"*1. General Management*"),
COUNTIFS('QA Log'!D:D,A200,'QA Log'!M:M,"QQC",'QA Log'!L:L,"*3. Curative Consultation (OPD)*"),
COUNTIFS('QA Log'!D:D,A200,'QA Log'!M:M,"QQC",'QA Log'!L:L,"*5. Laboratory*"),
COUNTIFS('QA Log'!D:D,A200,'QA Log'!M:M,"QQC",'QA Log'!L:L,"*6. Essential Medicine Management*"),
COUNTIFS('QA Log'!D:D,A200,'QA Log'!M:M,"QQC",'QA Log'!L:L,"*7. Tracer Medicine*"),
COUNTIFS('QA Log'!D:D,A200,'QA Log'!M:M,"QQC",'QA Log'!L:L,"*11. Additional Questions*")))</f>
        <v/>
      </c>
      <c r="K200" s="102" t="str">
        <f>IF(A200="","",SUM(
COUNTIFS('QA Log'!D:D,A200,'QA Log'!M:M,"QQC",'QA Log'!Z:Z,"Approved",'QA Log'!L:L,"*1. General Management*"),
COUNTIFS('QA Log'!D:D,A200,'QA Log'!M:M,"QQC",'QA Log'!Z:Z,"Approved",'QA Log'!L:L,"*3. Curative Consultation (OPD)*"),
COUNTIFS('QA Log'!D:D,A200,'QA Log'!M:M,"QQC",'QA Log'!Z:Z,"Approved",'QA Log'!L:L,"*5. Laboratory*"),
COUNTIFS('QA Log'!D:D,A200,'QA Log'!M:M,"QQC",'QA Log'!Z:Z,"Approved",'QA Log'!L:L,"*6. Essential Medicine Management*"),
COUNTIFS('QA Log'!D:D,A200,'QA Log'!M:M,"QQC",'QA Log'!Z:Z,"Approved",'QA Log'!L:L,"*7. Tracer Medicine*"),
COUNTIFS('QA Log'!D:D,A200,'QA Log'!M:M,"QQC",'QA Log'!Z:Z,"Approved",'QA Log'!L:L,"*11. Additional Questions*")))</f>
        <v/>
      </c>
      <c r="L200" s="105" t="str">
        <f>IF(A200&lt;&gt;"",COUNTIFS('QA Log'!D:D,A200,'QA Log'!M:M,"QQC",'QA Log'!L:L,"1. General Management",'QA Log'!Z:Z,"Approved"),"")</f>
        <v/>
      </c>
      <c r="M200" s="105" t="str">
        <f>IF(A200&lt;&gt;"",COUNTIFS('QA Log'!D:D,A200,'QA Log'!M:M,"QQC",'QA Log'!L:L,"3. Curative Consultation (OPD)",'QA Log'!Z:Z,"Approved"),"")</f>
        <v/>
      </c>
      <c r="N200" s="105" t="str">
        <f>IF(A200&lt;&gt;"",COUNTIFS('QA Log'!D:D,A200,'QA Log'!M:M,"QQC",'QA Log'!L:L,"5. Laboratory",'QA Log'!Z:Z,"Approved"),"")</f>
        <v/>
      </c>
      <c r="O200" s="105" t="str">
        <f>IF(A200&lt;&gt;"",COUNTIFS('QA Log'!D:D,A200,'QA Log'!M:M,"QQC",'QA Log'!L:L,"6. Essential Medicine Management",'QA Log'!Z:Z,"Approved"),"")</f>
        <v/>
      </c>
      <c r="P200" s="105" t="str">
        <f>IF(A200&lt;&gt;"",COUNTIFS('QA Log'!D:D,A200,'QA Log'!M:M,"QQC",'QA Log'!L:L,"7. Tracer Medicine",'QA Log'!Z:Z,"Approved"),"")</f>
        <v/>
      </c>
      <c r="Q200" s="105" t="str">
        <f>IF(A200&lt;&gt;"",COUNTIFS('QA Log'!D:D,A200,'QA Log'!M:M,"QQC",'QA Log'!L:L,"11. Additional Questions",'QA Log'!Z:Z,"Approved"),"")</f>
        <v/>
      </c>
      <c r="R200" s="102" t="str">
        <f>IF(A200="","",SUM(
COUNTIFS('QA Log'!D:D,A200,'QA Log'!M:M,"QQC",'QA Log'!Z:Z,"Rejected",'QA Log'!L:L,"*8. Maternity*"),
COUNTIFS('QA Log'!D:D,A200,'QA Log'!M:M,"QQC",'QA Log'!Z:Z,"Rejected",'QA Log'!L:L,"*EPI*"),
COUNTIFS('QA Log'!D:D,A200,'QA Log'!M:M,"QQC",'QA Log'!Z:Z,"Rejected",'QA Log'!L:L,"*10. Antenatal Care (ANC)*"),
COUNTIFS('QA Log'!D:D,A200,'QA Log'!M:M,"QQC",'QA Log'!Z:Z,"Rejected",'QA Log'!L:L,"*2. Hygiene and Sterilization*"),
COUNTIFS('QA Log'!D:D,A200,'QA Log'!M:M,"QQC",'QA Log'!Z:Z,"Rejected",'QA Log'!L:L,"*Family Planning*")))</f>
        <v/>
      </c>
      <c r="S200" s="106" t="str">
        <f t="shared" si="1"/>
        <v/>
      </c>
      <c r="T200" s="102" t="str">
        <f t="shared" si="2"/>
        <v/>
      </c>
      <c r="U200" s="102" t="str">
        <f>IF(A200="","",
SUM(
COUNTIFS('QA Log'!D:D,A200,'QA Log'!M:M,"QQC",'QA Log'!L:L,"*8. Maternity*"),
COUNTIFS('QA Log'!D:D,A200,'QA Log'!M:M,"QQC",'QA Log'!L:L,"*9. EPI and Pre-school Consultation*"),
COUNTIFS('QA Log'!D:D,A200,'QA Log'!M:M,"QQC",'QA Log'!L:L,"*10. Antenatal Care (ANC)*"),
COUNTIFS('QA Log'!D:D,A200,'QA Log'!M:M,"QQC",'QA Log'!L:L,"*2. Hygiene and Sterilization*"),
COUNTIFS('QA Log'!D:D,A200,'QA Log'!M:M,"QQC",'QA Log'!L:L,"*4. Family Planning*")
))</f>
        <v/>
      </c>
      <c r="V200" s="102" t="str">
        <f>IF(A200="","",
SUM(
COUNTIFS('QA Log'!D:D,A200,'QA Log'!M:M,"QQC",'QA Log'!Z:Z,"Approved",'QA Log'!L:L,"*8. Maternity*"),
COUNTIFS('QA Log'!D:D,A200,'QA Log'!M:M,"QQC",'QA Log'!Z:Z,"Approved",'QA Log'!L:L,"*9. EPI and Pre-school Consultation*"),
COUNTIFS('QA Log'!D:D,A200,'QA Log'!M:M,"QQC",'QA Log'!Z:Z,"Approved",'QA Log'!L:L,"*10. Antenatal Care (ANC)*"),
COUNTIFS('QA Log'!D:D,A200,'QA Log'!M:M,"QQC",'QA Log'!Z:Z,"Approved",'QA Log'!L:L,"*2. Hygiene and Sterilization*"),
COUNTIFS('QA Log'!D:D,A200,'QA Log'!M:M,"QQC",'QA Log'!Z:Z,"Approved",'QA Log'!L:L,"*4. Family Planning*")
))</f>
        <v/>
      </c>
      <c r="W200" s="105" t="str">
        <f>IF(A200&lt;&gt;"",COUNTIFS('QA Log'!D:D,A200,'QA Log'!M:M,"QQC",'QA Log'!L:L,"8. Maternity",'QA Log'!Z:Z,"Approved"),"")</f>
        <v/>
      </c>
      <c r="X200" s="105" t="str">
        <f>IF(A200&lt;&gt;"",COUNTIFS('QA Log'!D:D,A200,'QA Log'!M:M,"QQC",'QA Log'!L:L,"9. EPI and Pre-school Consultation",'QA Log'!Z:Z,"Approved"),"")</f>
        <v/>
      </c>
      <c r="Y200" s="105" t="str">
        <f>IF(A200&lt;&gt;"",COUNTIFS('QA Log'!D:D,A200,'QA Log'!M:M,"QQC",'QA Log'!L:L,"10. Antenatal Care (ANC)",'QA Log'!Z:Z,"Approved"),"")</f>
        <v/>
      </c>
      <c r="Z200" s="105" t="str">
        <f>IF(A200&lt;&gt;"",COUNTIFS('QA Log'!D:D,A200,'QA Log'!M:M,"QQC",'QA Log'!L:L,"2. Hygiene and Sterilization",'QA Log'!Z:Z,"Approved"),"")</f>
        <v/>
      </c>
      <c r="AA200" s="105" t="str">
        <f>IF(A200&lt;&gt;"",COUNTIFS('QA Log'!D:D,A200,'QA Log'!M:M,"QQC",'QA Log'!L:L,"4. Family Planning",'QA Log'!Z:Z,"Approved"),"")</f>
        <v/>
      </c>
      <c r="AB200" s="102" t="str">
        <f>IF(A200="","",
SUM(
COUNTIFS('QA Log'!D:D,A200,'QA Log'!M:M,"QQC",'QA Log'!Z:Z,"Rejected",'QA Log'!L:L,"*8. Maternity*"),
COUNTIFS('QA Log'!D:D,A200,'QA Log'!M:M,"QQC",'QA Log'!Z:Z,"Rejected",'QA Log'!L:L,"*9. EPI and Pre-school Consultation*"),
COUNTIFS('QA Log'!D:D,A200,'QA Log'!M:M,"QQC",'QA Log'!Z:Z,"Rejected",'QA Log'!L:L,"*10. Antenatal Care (ANC)*"),
COUNTIFS('QA Log'!D:D,A200,'QA Log'!M:M,"QQC",'QA Log'!Z:Z,"Rejected",'QA Log'!L:L,"*2. Hygiene and Sterilization*"),
COUNTIFS('QA Log'!D:D,A200,'QA Log'!M:M,"QQC",'QA Log'!Z:Z,"Rejected",'QA Log'!L:L,"*4. Family Planning*")
))</f>
        <v/>
      </c>
      <c r="AC200" s="102" t="str">
        <f t="shared" si="3"/>
        <v/>
      </c>
      <c r="AD200" s="103" t="str">
        <f t="shared" si="4"/>
        <v/>
      </c>
      <c r="AE200" s="102" t="str">
        <f>IF(A200="","",
SUM(
COUNTIFS('QA Log'!D:D,A200,'QA Log'!M:M,"Data Verification",'QA Log'!L:L,"*Medicine (section 2)*"),
COUNTIFS('QA Log'!D:D,A200,'QA Log'!M:M,"Data Verification",'QA Log'!L:L,"*Lab Testing Availability*"),
COUNTIFS('QA Log'!D:D,A200,'QA Log'!M:M,"Data Verification",'QA Log'!L:L,"*Other than P4P (section 6)*"),
COUNTIFS('QA Log'!D:D,A200,'QA Log'!M:M,"Data Verification",'QA Log'!L:L,"*Hospital Governance*")
))</f>
        <v/>
      </c>
      <c r="AF200" s="102" t="str">
        <f>IF(A200="","",
SUM(
COUNTIFS('QA Log'!D:D,A200,'QA Log'!M:M,"Data Verification",'QA Log'!Z:Z,"Approved",'QA Log'!L:L,"*Medicine (section 2)*"),
COUNTIFS('QA Log'!D:D,A200,'QA Log'!M:M,"Data Verification",'QA Log'!Z:Z,"Approved",'QA Log'!L:L,"*Lab Testing Availability*"),
COUNTIFS('QA Log'!D:D,A200,'QA Log'!M:M,"Data Verification",'QA Log'!Z:Z,"Approved",'QA Log'!L:L,"*Other than P4P (section 6)*"),
COUNTIFS('QA Log'!D:D,A200,'QA Log'!M:M,"Data Verification",'QA Log'!Z:Z,"Approved",'QA Log'!L:L,"*Hospital Governance*")
))</f>
        <v/>
      </c>
      <c r="AG200" s="105" t="str">
        <f>IF(A200&lt;&gt;"",COUNTIFS('QA Log'!D:D,A200,'QA Log'!M:M,"Data Verification",'QA Log'!L:L,"Medicine (section 2)",'QA Log'!Z:Z,"Approved"),"")</f>
        <v/>
      </c>
      <c r="AH200" s="105" t="str">
        <f>IF(A200&lt;&gt;"",COUNTIFS('QA Log'!D:D,A200,'QA Log'!M:M,"Data Verification",'QA Log'!L:L,"Lab Testing Availability",'QA Log'!Z:Z,"Approved"),"")</f>
        <v/>
      </c>
      <c r="AI200" s="105" t="str">
        <f>IF(A200&lt;&gt;"",COUNTIFS('QA Log'!D:D,A200,'QA Log'!M:M,"Data Verification",'QA Log'!L:L,"Other than P4P (section 6)",'QA Log'!Z:Z,"Approved"),"")</f>
        <v/>
      </c>
      <c r="AJ200" s="105" t="str">
        <f>IF(A200&lt;&gt;"",COUNTIFS('QA Log'!D:D,A200,'QA Log'!M:M,"Data Verification",'QA Log'!L:L,"Hospital Governance",'QA Log'!Z:Z,"Approved"),"")</f>
        <v/>
      </c>
      <c r="AK200" s="102" t="str">
        <f>IF(A200="","",
SUM(
COUNTIFS('QA Log'!D:D,A200,'QA Log'!M:M,"Data Verification",'QA Log'!Z:Z,"Rejected",'QA Log'!L:L,"*Medicine (section 2)*"),
COUNTIFS('QA Log'!D:D,A200,'QA Log'!M:M,"Data Verification",'QA Log'!Z:Z,"Rejected",'QA Log'!L:L,"*Lab Testing Availability*"),
COUNTIFS('QA Log'!D:D,A200,'QA Log'!M:M,"Data Verification",'QA Log'!Z:Z,"Rejected",'QA Log'!L:L,"*Other than P4P (section 6)*"),
COUNTIFS('QA Log'!D:D,A200,'QA Log'!M:M,"Data Verification",'QA Log'!Z:Z,"Rejected",'QA Log'!L:L,"*Hospital Governance*")
))</f>
        <v/>
      </c>
      <c r="AL200" s="106" t="str">
        <f t="shared" si="5"/>
        <v/>
      </c>
      <c r="AM200" s="102" t="str">
        <f t="shared" si="6"/>
        <v/>
      </c>
      <c r="AN200" s="102" t="str">
        <f>IF(A200="","",
SUM(
COUNTIFS('QA Log'!D:D,A200,'QA Log'!M:M,"Data Verification",'QA Log'!L:L,"*Personnel (section 1)*"),
COUNTIFS('QA Log'!D:D,A200,'QA Log'!M:M,"Data Verification",'QA Log'!L:L,"*Consumable (section 3)*"),
COUNTIFS('QA Log'!D:D,A200,'QA Log'!M:M,"Data Verification",'QA Log'!L:L,"*Equipments (section 4)*")
))</f>
        <v/>
      </c>
      <c r="AO200" s="102" t="str">
        <f>IF(A200="","",
SUM(
COUNTIFS('QA Log'!D:D,A200,'QA Log'!M:M,"Data Verification",'QA Log'!Z:Z,"Approved",'QA Log'!L:L,"*Personnel (section 1)*"),
COUNTIFS('QA Log'!D:D,A200,'QA Log'!M:M,"Data Verification",'QA Log'!Z:Z,"Approved",'QA Log'!L:L,"*Consumable (section 3)*"),
COUNTIFS('QA Log'!D:D,A200,'QA Log'!M:M,"Data Verification",'QA Log'!Z:Z,"Approved",'QA Log'!L:L,"*Equipments (section 4)*")
))</f>
        <v/>
      </c>
      <c r="AP200" s="105" t="str">
        <f>IF(A200&lt;&gt;"",COUNTIFS('QA Log'!D:D,A200,'QA Log'!M:M,"Data Verification",'QA Log'!L:L,"Personnel (section 1)",'QA Log'!Z:Z,"Approved"),"")</f>
        <v/>
      </c>
      <c r="AQ200" s="105" t="str">
        <f>IF(A200&lt;&gt;"",COUNTIFS('QA Log'!D:D,A200,'QA Log'!M:M,"Data Verification",'QA Log'!L:L,"Consumable (section 3)",'QA Log'!Z:Z,"Approved"),"")</f>
        <v/>
      </c>
      <c r="AR200" s="105" t="str">
        <f>IF(A200&lt;&gt;"",COUNTIFS('QA Log'!D:D,A200,'QA Log'!M:M,"Data Verification",'QA Log'!L:L,"Equipments (section 4)",'QA Log'!Z:Z,"Approved"),"")</f>
        <v/>
      </c>
      <c r="AS200" s="102" t="str">
        <f>IF(A200="","",
SUM(
COUNTIFS('QA Log'!D:D,A200,'QA Log'!M:M,"Data Verification",'QA Log'!Z:Z,"Rejected",'QA Log'!L:L,"*Personnel (section 1)*"),
COUNTIFS('QA Log'!D:D,A200,'QA Log'!M:M,"Data Verification",'QA Log'!Z:Z,"Rejected",'QA Log'!L:L,"*Consumable (section 3)*"),
COUNTIFS('QA Log'!D:D,A200,'QA Log'!M:M,"Data Verification",'QA Log'!Z:Z,"Rejected",'QA Log'!L:L,"*Equipments (section 4)*")
))</f>
        <v/>
      </c>
      <c r="AT200" s="102" t="str">
        <f t="shared" si="7"/>
        <v/>
      </c>
      <c r="AU200" s="103" t="str">
        <f t="shared" si="8"/>
        <v/>
      </c>
      <c r="AV200" s="102" t="str">
        <f>IF(A200="","",SUM(
COUNTIFS('QA Log'!D:D,A200,'QA Log'!M:M,"Vignette",'QA Log'!L:L,"*Vignette [1] Respiratory Infection: Pneumonia*"),
COUNTIFS('QA Log'!D:D,A200,'QA Log'!M:M,"Vignette",'QA Log'!L:L,"*Vignette [2]: Diarrhea with Cat B dehydration*"),
COUNTIFS('QA Log'!D:D,A200,'QA Log'!M:M,"Vignette",'QA Log'!L:L,"*Vignette [3] Growth Monitoring and Promotion*"),
COUNTIFS('QA Log'!D:D,A200,'QA Log'!M:M,"Vignette",'QA Log'!L:L,"*Vignette [4]: The management of presumptive TB patient*")
)
)</f>
        <v/>
      </c>
      <c r="AW200" s="102" t="str">
        <f>IF(
  A200="","",
  SUM(
    COUNTIFS('QA Log'!D:D,A200,'QA Log'!M:M,"Vignette",'QA Log'!Z:Z,"Approved",'QA Log'!L:L,"*Vignette [1] Respiratory Infection: Pneumonia*"),
    COUNTIFS('QA Log'!D:D,A200,'QA Log'!M:M,"Vignette",'QA Log'!Z:Z,"Approved",'QA Log'!L:L,"*Vignette [2]: Diarrhea with Cat B dehydration*"),
    COUNTIFS('QA Log'!D:D,A200,'QA Log'!M:M,"Vignette",'QA Log'!Z:Z,"Approved",'QA Log'!L:L,"*Vignette [3] Growth Monitoring and Promotion*"),
    COUNTIFS('QA Log'!D:D,A200,'QA Log'!M:M,"Vignette",'QA Log'!Z:Z,"Approved",'QA Log'!L:L,"*Vignette [4]: The management of presumptive TB patient*")
  )
)</f>
        <v/>
      </c>
      <c r="AX200" s="105" t="str">
        <f>IF(A200&lt;&gt;"",COUNTIFS('QA Log'!D:D,A200,'QA Log'!M:M,"Vignette",'QA Log'!L:L,"Vignette [1] Respiratory Infection: Pneumonia",'QA Log'!Z:Z,"Approved"),"")</f>
        <v/>
      </c>
      <c r="AY200" s="105" t="str">
        <f>IF(A200&lt;&gt;"",COUNTIFS('QA Log'!D:D,A200,'QA Log'!M:M,"Vignette",'QA Log'!L:L,"Vignette [2]: Diarrhea with Cat B dehydration",'QA Log'!Z:Z,"Approved"),"")</f>
        <v/>
      </c>
      <c r="AZ200" s="105" t="str">
        <f>IF(A200&lt;&gt;"",COUNTIFS('QA Log'!D:D,A200,'QA Log'!M:M,"Vignette",'QA Log'!L:L,"Vignette [3] Growth Monitoring and Promotion",'QA Log'!Z:Z,"Approved"),"")</f>
        <v/>
      </c>
      <c r="BA200" s="105" t="str">
        <f>IF(A200&lt;&gt;"",COUNTIFS('QA Log'!D:D,A200,'QA Log'!M:M,"Vignette",'QA Log'!L:L,"Vignette [4]: The management of presumptive TB patient",'QA Log'!Z:Z,"Approved"),"")</f>
        <v/>
      </c>
      <c r="BB200" s="102" t="str">
        <f>IF(A200="","",
  SUM(
    COUNTIFS('QA Log'!D:D,A200,'QA Log'!M:M,"Vignette",'QA Log'!Z:Z,"Rejected",'QA Log'!L:L,"*Vignette [1] Respiratory Infection: Pneumonia*"),
    COUNTIFS('QA Log'!D:D,A200,'QA Log'!M:M,"Vignette",'QA Log'!Z:Z,"Rejected",'QA Log'!L:L,"*Vignette [2]: Diarrhea with Cat B dehydration*"),
    COUNTIFS('QA Log'!D:D,A200,'QA Log'!M:M,"Vignette",'QA Log'!Z:Z,"Rejected",'QA Log'!L:L,"*Vignette [3] Growth Monitoring and Promotion*"),
    COUNTIFS('QA Log'!D:D,A200,'QA Log'!M:M,"Vignette",'QA Log'!Z:Z,"Rejected",'QA Log'!L:L,"*Vignette [4]: The management of presumptive TB patient*")
  )
)</f>
        <v/>
      </c>
      <c r="BC200" s="107" t="str">
        <f t="shared" si="9"/>
        <v/>
      </c>
      <c r="BD200" s="103" t="str">
        <f t="shared" si="10"/>
        <v/>
      </c>
      <c r="BE200" s="102" t="str">
        <f>IF(A200="","",SUM(
COUNTIFS('QA Log'!D:D,A200,'QA Log'!M:M,"Vignette",'QA Log'!L:L,"*Vignette [5] Labor*"),
COUNTIFS('QA Log'!D:D,A200,'QA Log'!M:M,"Vignette",'QA Log'!L:L,"*Vignette [6] PNC pre Discharge*"),
COUNTIFS('QA Log'!D:D,A200,'QA Log'!M:M,"Vignette",'QA Log'!L:L,"*Vignette [7] First ANC Visit*"),
COUNTIFS('QA Log'!D:D,A200,'QA Log'!M:M,"Vignette",'QA Log'!L:L,"*Vignette [8] Birth Spacing/ Family Planning :  FP Counselling*"),
COUNTIFS('QA Log'!D:D,A200,'QA Log'!M:M,"Vignette",'QA Log'!L:L,"*Vignette [9] Birth Spacing: Change FP method to Injectable*"),
COUNTIFS('QA Log'!D:D,A200,'QA Log'!M:M,"Vignette",'QA Log'!L:L,"*Vignette [10] Post Partum Haemorrhage - Atonic Uterus at Health Centre*"),
)
)</f>
        <v/>
      </c>
      <c r="BF200" s="102" t="str">
        <f>IF(A200="","",
  SUM(
    COUNTIFS('QA Log'!D:D,A200,'QA Log'!M:M,"Vignette",'QA Log'!Z:Z,"Approved",'QA Log'!L:L,"*Vignette [5] Labor*"),
    COUNTIFS('QA Log'!D:D,A200,'QA Log'!M:M,"Vignette",'QA Log'!Z:Z,"Approved",'QA Log'!L:L,"*Vignette [6] PNC pre Discharge*"),
    COUNTIFS('QA Log'!D:D,A200,'QA Log'!M:M,"Vignette",'QA Log'!Z:Z,"Approved",'QA Log'!L:L,"*Vignette [7] First ANC Visit*"),
    COUNTIFS('QA Log'!D:D,A200,'QA Log'!M:M,"Vignette",'QA Log'!Z:Z,"Approved",'QA Log'!L:L,"*Vignette [8] Birth Spacing/ Family Planning :  FP Counselling*"),
    COUNTIFS('QA Log'!D:D,A200,'QA Log'!M:M,"Vignette",'QA Log'!Z:Z,"Approved",'QA Log'!L:L,"*Vignette [9] Birth Spacing: Change FP method to Injectable*"),
    COUNTIFS('QA Log'!D:D,A200,'QA Log'!M:M,"Vignette",'QA Log'!Z:Z,"Approved",'QA Log'!L:L,"*Vignette [10] Post Partum Haemorrhage - Atonic Uterus at Health Centre*")
  )
)</f>
        <v/>
      </c>
      <c r="BG200" s="105" t="str">
        <f>IF(A200&lt;&gt;"",COUNTIFS('QA Log'!D:D,A200,'QA Log'!M:M,"Vignette",'QA Log'!L:L,"Vignette [5] Labor",'QA Log'!Z:Z,"Approved"),"")</f>
        <v/>
      </c>
      <c r="BH200" s="105" t="str">
        <f>IF(A200&lt;&gt;"",COUNTIFS('QA Log'!D:D,A200,'QA Log'!M:M,"Vignette",'QA Log'!L:L,"Vignette [6] PNC pre Discharge",'QA Log'!Z:Z,"Approved"),"")</f>
        <v/>
      </c>
      <c r="BI200" s="105" t="str">
        <f>IF(A200&lt;&gt;"",COUNTIFS('QA Log'!D:D,A200,'QA Log'!M:M,"Vignette",'QA Log'!L:L,"Vignette [7] First ANC Visit",'QA Log'!Z:Z,"Approved"),"")</f>
        <v/>
      </c>
      <c r="BJ200" s="105" t="str">
        <f>IF(A200&lt;&gt;"",COUNTIFS('QA Log'!D:D,A200,'QA Log'!M:M,"Vignette",'QA Log'!L:L,"Vignette [8] Birth Spacing/ Family Planning :  FP Counselling",'QA Log'!Z:Z,"Approved"),"")</f>
        <v/>
      </c>
      <c r="BK200" s="105" t="str">
        <f>IF(A200&lt;&gt;"",COUNTIFS('QA Log'!D:D,A200,'QA Log'!M:M,"Vignette",'QA Log'!L:L,"Vignette [9] Birth Spacing: Change FP method to Injectable",'QA Log'!Z:Z,"Approved"),"")</f>
        <v/>
      </c>
      <c r="BL200" s="105" t="str">
        <f>IF(A200&lt;&gt;"",COUNTIFS('QA Log'!D:D,A200,'QA Log'!M:M,"Vignette",'QA Log'!L:L,"Vignette [10] Post Partum Haemorrhage - Atonic Uterus at Health Centre",'QA Log'!Z:Z,"Approved"),"")</f>
        <v/>
      </c>
      <c r="BM200" s="102" t="str">
        <f>IF(A200="","",SUM(
    COUNTIFS('QA Log'!D:D,A200,'QA Log'!M:M,"Vignette",'QA Log'!Z:Z,"Rejected",'QA Log'!L:L,"*Vignette [5] Labor*"),
    COUNTIFS('QA Log'!D:D,A200,'QA Log'!M:M,"Vignette",'QA Log'!Z:Z,"Rejected",'QA Log'!L:L,"*Vignette [6] PNC pre Discharge*"),
    COUNTIFS('QA Log'!D:D,A200,'QA Log'!M:M,"Vignette",'QA Log'!Z:Z,"Rejected",'QA Log'!L:L,"*Vignette [7] First ANC Visit*"),
    COUNTIFS('QA Log'!D:D,A200,'QA Log'!M:M,"Vignette",'QA Log'!Z:Z,"Rejected",'QA Log'!L:L,"*Vignette [8] Birth Spacing/ Family Planning :  FP Counselling*"),
    COUNTIFS('QA Log'!D:D,A200,'QA Log'!M:M,"Vignette",'QA Log'!Z:Z,"Rejected",'QA Log'!L:L,"*Vignette [9] Birth Spacing: Change FP method to Injectable*"),
    COUNTIFS('QA Log'!D:D,A200,'QA Log'!M:M,"Vignette",'QA Log'!Z:Z,"Rejected",'QA Log'!L:L,"*Vignette [10] Post Partum Haemorrhage - Atonic Uterus at Health Centre*")
  )
)</f>
        <v/>
      </c>
      <c r="BN200" s="107" t="str">
        <f t="shared" si="11"/>
        <v/>
      </c>
      <c r="BO200" s="103" t="str">
        <f t="shared" si="12"/>
        <v/>
      </c>
      <c r="BP200" s="102" t="str">
        <f>IF(A200="","",SUM(
COUNTIFS('QA Log'!D:D,A200,'QA Log'!M:M,"Vignette",'QA Log'!L:L,"*Exit Interview 1*"),
COUNTIFS('QA Log'!D:D,A200,'QA Log'!M:M,"Vignette",'QA Log'!L:L,"*Exit Interview 2*"),
)
)</f>
        <v/>
      </c>
      <c r="BQ200" s="102" t="str">
        <f>IF(
  A200="","",
  SUM(
    COUNTIFS('QA Log'!D:D,A200,'QA Log'!M:M,"Vignette",'QA Log'!Z:Z,"Approved",'QA Log'!L:L,"*Exit Interview 1*"),
    COUNTIFS('QA Log'!D:D,A200,'QA Log'!M:M,"Vignette",'QA Log'!Z:Z,"Approved",'QA Log'!L:L,"*Exit Interview 2*")
  )
)</f>
        <v/>
      </c>
      <c r="BR200" s="105" t="str">
        <f>IF(A200&lt;&gt;"",COUNTIFS('QA Log'!D:D,A200,'QA Log'!M:M,"Vignette",'QA Log'!L:L,"Exit Interview 1",'QA Log'!Z:Z,"Approved"),"")</f>
        <v/>
      </c>
      <c r="BS200" s="105" t="str">
        <f>IF(A200&lt;&gt;"",COUNTIFS('QA Log'!D:D,A200,'QA Log'!M:M,"Vignette",'QA Log'!L:L,"Exit Interview 2",'QA Log'!Z:Z,"Approved"),"")</f>
        <v/>
      </c>
      <c r="BT200" s="102" t="str">
        <f>IF(
  A200="","",
  SUM(
    COUNTIFS('QA Log'!D:D,A200,'QA Log'!M:M,"Vignette",'QA Log'!Z:Z,"Rejected",'QA Log'!L:L,"*Exit Interview 1*"),
    COUNTIFS('QA Log'!D:D,A200,'QA Log'!M:M,"Vignette",'QA Log'!Z:Z,"Rejected",'QA Log'!L:L,"*Exit Interview 2*")
  )
)</f>
        <v/>
      </c>
      <c r="BU200" s="107" t="str">
        <f t="shared" si="13"/>
        <v/>
      </c>
      <c r="BV200" s="102" t="str">
        <f t="shared" si="14"/>
        <v/>
      </c>
      <c r="BW200" s="102" t="str">
        <f t="shared" si="15"/>
        <v/>
      </c>
      <c r="BX200" s="102" t="str">
        <f t="shared" si="16"/>
        <v/>
      </c>
      <c r="BY200" s="102" t="str">
        <f t="shared" si="17"/>
        <v/>
      </c>
      <c r="BZ200" s="107" t="str">
        <f t="shared" si="18"/>
        <v/>
      </c>
      <c r="CA200" s="108" t="str">
        <f t="shared" si="19"/>
        <v/>
      </c>
      <c r="CB200" s="108" t="str">
        <f t="shared" si="20"/>
        <v/>
      </c>
      <c r="CC200" s="109" t="str">
        <f t="shared" si="21"/>
        <v/>
      </c>
      <c r="CD200" s="108" t="str">
        <f t="shared" si="22"/>
        <v/>
      </c>
      <c r="CE200" s="108" t="str">
        <f t="shared" si="23"/>
        <v/>
      </c>
      <c r="CF200" s="109" t="str">
        <f t="shared" si="24"/>
        <v/>
      </c>
      <c r="CG200" s="110" t="str">
        <f t="shared" si="25"/>
        <v/>
      </c>
      <c r="CH200" s="111"/>
    </row>
    <row r="201" spans="1:86" ht="12.75">
      <c r="A201" s="101"/>
      <c r="B201" s="102" t="e">
        <f t="array" aca="1" ref="B201" ca="1">_xludf.XLOOKUP(A201,'QA Log'!D:D,'QA Log'!E:E,"")</f>
        <v>#NAME?</v>
      </c>
      <c r="C201" s="102" t="e">
        <f t="array" aca="1" ref="C201" ca="1">_xludf.XLOOKUP(A201,'QA Log'!D:D,'QA Log'!F:F,"")</f>
        <v>#NAME?</v>
      </c>
      <c r="D201" s="102" t="e">
        <f t="array" aca="1" ref="D201" ca="1">_xludf.XLOOKUP(A201,'QA Log'!D:D,'QA Log'!H:H,"")</f>
        <v>#NAME?</v>
      </c>
      <c r="E201" s="102" t="e">
        <f t="array" aca="1" ref="E201" ca="1">_xludf.XLOOKUP(A201,'QA Log'!D:D,'QA Log'!G:G,"")</f>
        <v>#NAME?</v>
      </c>
      <c r="F201" s="103"/>
      <c r="G201" s="104"/>
      <c r="H201" s="104"/>
      <c r="I201" s="103" t="str">
        <f t="shared" si="0"/>
        <v/>
      </c>
      <c r="J201" s="102" t="str">
        <f>IF(A201="","",SUM(
COUNTIFS('QA Log'!D:D,A201,'QA Log'!M:M,"QQC",'QA Log'!L:L,"*1. General Management*"),
COUNTIFS('QA Log'!D:D,A201,'QA Log'!M:M,"QQC",'QA Log'!L:L,"*3. Curative Consultation (OPD)*"),
COUNTIFS('QA Log'!D:D,A201,'QA Log'!M:M,"QQC",'QA Log'!L:L,"*5. Laboratory*"),
COUNTIFS('QA Log'!D:D,A201,'QA Log'!M:M,"QQC",'QA Log'!L:L,"*6. Essential Medicine Management*"),
COUNTIFS('QA Log'!D:D,A201,'QA Log'!M:M,"QQC",'QA Log'!L:L,"*7. Tracer Medicine*"),
COUNTIFS('QA Log'!D:D,A201,'QA Log'!M:M,"QQC",'QA Log'!L:L,"*11. Additional Questions*")))</f>
        <v/>
      </c>
      <c r="K201" s="102" t="str">
        <f>IF(A201="","",SUM(
COUNTIFS('QA Log'!D:D,A201,'QA Log'!M:M,"QQC",'QA Log'!Z:Z,"Approved",'QA Log'!L:L,"*1. General Management*"),
COUNTIFS('QA Log'!D:D,A201,'QA Log'!M:M,"QQC",'QA Log'!Z:Z,"Approved",'QA Log'!L:L,"*3. Curative Consultation (OPD)*"),
COUNTIFS('QA Log'!D:D,A201,'QA Log'!M:M,"QQC",'QA Log'!Z:Z,"Approved",'QA Log'!L:L,"*5. Laboratory*"),
COUNTIFS('QA Log'!D:D,A201,'QA Log'!M:M,"QQC",'QA Log'!Z:Z,"Approved",'QA Log'!L:L,"*6. Essential Medicine Management*"),
COUNTIFS('QA Log'!D:D,A201,'QA Log'!M:M,"QQC",'QA Log'!Z:Z,"Approved",'QA Log'!L:L,"*7. Tracer Medicine*"),
COUNTIFS('QA Log'!D:D,A201,'QA Log'!M:M,"QQC",'QA Log'!Z:Z,"Approved",'QA Log'!L:L,"*11. Additional Questions*")))</f>
        <v/>
      </c>
      <c r="L201" s="105" t="str">
        <f>IF(A201&lt;&gt;"",COUNTIFS('QA Log'!D:D,A201,'QA Log'!M:M,"QQC",'QA Log'!L:L,"1. General Management",'QA Log'!Z:Z,"Approved"),"")</f>
        <v/>
      </c>
      <c r="M201" s="105" t="str">
        <f>IF(A201&lt;&gt;"",COUNTIFS('QA Log'!D:D,A201,'QA Log'!M:M,"QQC",'QA Log'!L:L,"3. Curative Consultation (OPD)",'QA Log'!Z:Z,"Approved"),"")</f>
        <v/>
      </c>
      <c r="N201" s="105" t="str">
        <f>IF(A201&lt;&gt;"",COUNTIFS('QA Log'!D:D,A201,'QA Log'!M:M,"QQC",'QA Log'!L:L,"5. Laboratory",'QA Log'!Z:Z,"Approved"),"")</f>
        <v/>
      </c>
      <c r="O201" s="105" t="str">
        <f>IF(A201&lt;&gt;"",COUNTIFS('QA Log'!D:D,A201,'QA Log'!M:M,"QQC",'QA Log'!L:L,"6. Essential Medicine Management",'QA Log'!Z:Z,"Approved"),"")</f>
        <v/>
      </c>
      <c r="P201" s="105" t="str">
        <f>IF(A201&lt;&gt;"",COUNTIFS('QA Log'!D:D,A201,'QA Log'!M:M,"QQC",'QA Log'!L:L,"7. Tracer Medicine",'QA Log'!Z:Z,"Approved"),"")</f>
        <v/>
      </c>
      <c r="Q201" s="105" t="str">
        <f>IF(A201&lt;&gt;"",COUNTIFS('QA Log'!D:D,A201,'QA Log'!M:M,"QQC",'QA Log'!L:L,"11. Additional Questions",'QA Log'!Z:Z,"Approved"),"")</f>
        <v/>
      </c>
      <c r="R201" s="102" t="str">
        <f>IF(A201="","",SUM(
COUNTIFS('QA Log'!D:D,A201,'QA Log'!M:M,"QQC",'QA Log'!Z:Z,"Rejected",'QA Log'!L:L,"*8. Maternity*"),
COUNTIFS('QA Log'!D:D,A201,'QA Log'!M:M,"QQC",'QA Log'!Z:Z,"Rejected",'QA Log'!L:L,"*EPI*"),
COUNTIFS('QA Log'!D:D,A201,'QA Log'!M:M,"QQC",'QA Log'!Z:Z,"Rejected",'QA Log'!L:L,"*10. Antenatal Care (ANC)*"),
COUNTIFS('QA Log'!D:D,A201,'QA Log'!M:M,"QQC",'QA Log'!Z:Z,"Rejected",'QA Log'!L:L,"*2. Hygiene and Sterilization*"),
COUNTIFS('QA Log'!D:D,A201,'QA Log'!M:M,"QQC",'QA Log'!Z:Z,"Rejected",'QA Log'!L:L,"*Family Planning*")))</f>
        <v/>
      </c>
      <c r="S201" s="106" t="str">
        <f t="shared" si="1"/>
        <v/>
      </c>
      <c r="T201" s="102" t="str">
        <f t="shared" si="2"/>
        <v/>
      </c>
      <c r="U201" s="102" t="str">
        <f>IF(A201="","",
SUM(
COUNTIFS('QA Log'!D:D,A201,'QA Log'!M:M,"QQC",'QA Log'!L:L,"*8. Maternity*"),
COUNTIFS('QA Log'!D:D,A201,'QA Log'!M:M,"QQC",'QA Log'!L:L,"*9. EPI and Pre-school Consultation*"),
COUNTIFS('QA Log'!D:D,A201,'QA Log'!M:M,"QQC",'QA Log'!L:L,"*10. Antenatal Care (ANC)*"),
COUNTIFS('QA Log'!D:D,A201,'QA Log'!M:M,"QQC",'QA Log'!L:L,"*2. Hygiene and Sterilization*"),
COUNTIFS('QA Log'!D:D,A201,'QA Log'!M:M,"QQC",'QA Log'!L:L,"*4. Family Planning*")
))</f>
        <v/>
      </c>
      <c r="V201" s="102" t="str">
        <f>IF(A201="","",
SUM(
COUNTIFS('QA Log'!D:D,A201,'QA Log'!M:M,"QQC",'QA Log'!Z:Z,"Approved",'QA Log'!L:L,"*8. Maternity*"),
COUNTIFS('QA Log'!D:D,A201,'QA Log'!M:M,"QQC",'QA Log'!Z:Z,"Approved",'QA Log'!L:L,"*9. EPI and Pre-school Consultation*"),
COUNTIFS('QA Log'!D:D,A201,'QA Log'!M:M,"QQC",'QA Log'!Z:Z,"Approved",'QA Log'!L:L,"*10. Antenatal Care (ANC)*"),
COUNTIFS('QA Log'!D:D,A201,'QA Log'!M:M,"QQC",'QA Log'!Z:Z,"Approved",'QA Log'!L:L,"*2. Hygiene and Sterilization*"),
COUNTIFS('QA Log'!D:D,A201,'QA Log'!M:M,"QQC",'QA Log'!Z:Z,"Approved",'QA Log'!L:L,"*4. Family Planning*")
))</f>
        <v/>
      </c>
      <c r="W201" s="105" t="str">
        <f>IF(A201&lt;&gt;"",COUNTIFS('QA Log'!D:D,A201,'QA Log'!M:M,"QQC",'QA Log'!L:L,"8. Maternity",'QA Log'!Z:Z,"Approved"),"")</f>
        <v/>
      </c>
      <c r="X201" s="105" t="str">
        <f>IF(A201&lt;&gt;"",COUNTIFS('QA Log'!D:D,A201,'QA Log'!M:M,"QQC",'QA Log'!L:L,"9. EPI and Pre-school Consultation",'QA Log'!Z:Z,"Approved"),"")</f>
        <v/>
      </c>
      <c r="Y201" s="105" t="str">
        <f>IF(A201&lt;&gt;"",COUNTIFS('QA Log'!D:D,A201,'QA Log'!M:M,"QQC",'QA Log'!L:L,"10. Antenatal Care (ANC)",'QA Log'!Z:Z,"Approved"),"")</f>
        <v/>
      </c>
      <c r="Z201" s="105" t="str">
        <f>IF(A201&lt;&gt;"",COUNTIFS('QA Log'!D:D,A201,'QA Log'!M:M,"QQC",'QA Log'!L:L,"2. Hygiene and Sterilization",'QA Log'!Z:Z,"Approved"),"")</f>
        <v/>
      </c>
      <c r="AA201" s="105" t="str">
        <f>IF(A201&lt;&gt;"",COUNTIFS('QA Log'!D:D,A201,'QA Log'!M:M,"QQC",'QA Log'!L:L,"4. Family Planning",'QA Log'!Z:Z,"Approved"),"")</f>
        <v/>
      </c>
      <c r="AB201" s="102" t="str">
        <f>IF(A201="","",
SUM(
COUNTIFS('QA Log'!D:D,A201,'QA Log'!M:M,"QQC",'QA Log'!Z:Z,"Rejected",'QA Log'!L:L,"*8. Maternity*"),
COUNTIFS('QA Log'!D:D,A201,'QA Log'!M:M,"QQC",'QA Log'!Z:Z,"Rejected",'QA Log'!L:L,"*9. EPI and Pre-school Consultation*"),
COUNTIFS('QA Log'!D:D,A201,'QA Log'!M:M,"QQC",'QA Log'!Z:Z,"Rejected",'QA Log'!L:L,"*10. Antenatal Care (ANC)*"),
COUNTIFS('QA Log'!D:D,A201,'QA Log'!M:M,"QQC",'QA Log'!Z:Z,"Rejected",'QA Log'!L:L,"*2. Hygiene and Sterilization*"),
COUNTIFS('QA Log'!D:D,A201,'QA Log'!M:M,"QQC",'QA Log'!Z:Z,"Rejected",'QA Log'!L:L,"*4. Family Planning*")
))</f>
        <v/>
      </c>
      <c r="AC201" s="102" t="str">
        <f t="shared" si="3"/>
        <v/>
      </c>
      <c r="AD201" s="103" t="str">
        <f t="shared" si="4"/>
        <v/>
      </c>
      <c r="AE201" s="102" t="str">
        <f>IF(A201="","",
SUM(
COUNTIFS('QA Log'!D:D,A201,'QA Log'!M:M,"Data Verification",'QA Log'!L:L,"*Medicine (section 2)*"),
COUNTIFS('QA Log'!D:D,A201,'QA Log'!M:M,"Data Verification",'QA Log'!L:L,"*Lab Testing Availability*"),
COUNTIFS('QA Log'!D:D,A201,'QA Log'!M:M,"Data Verification",'QA Log'!L:L,"*Other than P4P (section 6)*"),
COUNTIFS('QA Log'!D:D,A201,'QA Log'!M:M,"Data Verification",'QA Log'!L:L,"*Hospital Governance*")
))</f>
        <v/>
      </c>
      <c r="AF201" s="102" t="str">
        <f>IF(A201="","",
SUM(
COUNTIFS('QA Log'!D:D,A201,'QA Log'!M:M,"Data Verification",'QA Log'!Z:Z,"Approved",'QA Log'!L:L,"*Medicine (section 2)*"),
COUNTIFS('QA Log'!D:D,A201,'QA Log'!M:M,"Data Verification",'QA Log'!Z:Z,"Approved",'QA Log'!L:L,"*Lab Testing Availability*"),
COUNTIFS('QA Log'!D:D,A201,'QA Log'!M:M,"Data Verification",'QA Log'!Z:Z,"Approved",'QA Log'!L:L,"*Other than P4P (section 6)*"),
COUNTIFS('QA Log'!D:D,A201,'QA Log'!M:M,"Data Verification",'QA Log'!Z:Z,"Approved",'QA Log'!L:L,"*Hospital Governance*")
))</f>
        <v/>
      </c>
      <c r="AG201" s="105" t="str">
        <f>IF(A201&lt;&gt;"",COUNTIFS('QA Log'!D:D,A201,'QA Log'!M:M,"Data Verification",'QA Log'!L:L,"Medicine (section 2)",'QA Log'!Z:Z,"Approved"),"")</f>
        <v/>
      </c>
      <c r="AH201" s="105" t="str">
        <f>IF(A201&lt;&gt;"",COUNTIFS('QA Log'!D:D,A201,'QA Log'!M:M,"Data Verification",'QA Log'!L:L,"Lab Testing Availability",'QA Log'!Z:Z,"Approved"),"")</f>
        <v/>
      </c>
      <c r="AI201" s="105" t="str">
        <f>IF(A201&lt;&gt;"",COUNTIFS('QA Log'!D:D,A201,'QA Log'!M:M,"Data Verification",'QA Log'!L:L,"Other than P4P (section 6)",'QA Log'!Z:Z,"Approved"),"")</f>
        <v/>
      </c>
      <c r="AJ201" s="105" t="str">
        <f>IF(A201&lt;&gt;"",COUNTIFS('QA Log'!D:D,A201,'QA Log'!M:M,"Data Verification",'QA Log'!L:L,"Hospital Governance",'QA Log'!Z:Z,"Approved"),"")</f>
        <v/>
      </c>
      <c r="AK201" s="102" t="str">
        <f>IF(A201="","",
SUM(
COUNTIFS('QA Log'!D:D,A201,'QA Log'!M:M,"Data Verification",'QA Log'!Z:Z,"Rejected",'QA Log'!L:L,"*Medicine (section 2)*"),
COUNTIFS('QA Log'!D:D,A201,'QA Log'!M:M,"Data Verification",'QA Log'!Z:Z,"Rejected",'QA Log'!L:L,"*Lab Testing Availability*"),
COUNTIFS('QA Log'!D:D,A201,'QA Log'!M:M,"Data Verification",'QA Log'!Z:Z,"Rejected",'QA Log'!L:L,"*Other than P4P (section 6)*"),
COUNTIFS('QA Log'!D:D,A201,'QA Log'!M:M,"Data Verification",'QA Log'!Z:Z,"Rejected",'QA Log'!L:L,"*Hospital Governance*")
))</f>
        <v/>
      </c>
      <c r="AL201" s="106" t="str">
        <f t="shared" si="5"/>
        <v/>
      </c>
      <c r="AM201" s="102" t="str">
        <f t="shared" si="6"/>
        <v/>
      </c>
      <c r="AN201" s="102" t="str">
        <f>IF(A201="","",
SUM(
COUNTIFS('QA Log'!D:D,A201,'QA Log'!M:M,"Data Verification",'QA Log'!L:L,"*Personnel (section 1)*"),
COUNTIFS('QA Log'!D:D,A201,'QA Log'!M:M,"Data Verification",'QA Log'!L:L,"*Consumable (section 3)*"),
COUNTIFS('QA Log'!D:D,A201,'QA Log'!M:M,"Data Verification",'QA Log'!L:L,"*Equipments (section 4)*")
))</f>
        <v/>
      </c>
      <c r="AO201" s="102" t="str">
        <f>IF(A201="","",
SUM(
COUNTIFS('QA Log'!D:D,A201,'QA Log'!M:M,"Data Verification",'QA Log'!Z:Z,"Approved",'QA Log'!L:L,"*Personnel (section 1)*"),
COUNTIFS('QA Log'!D:D,A201,'QA Log'!M:M,"Data Verification",'QA Log'!Z:Z,"Approved",'QA Log'!L:L,"*Consumable (section 3)*"),
COUNTIFS('QA Log'!D:D,A201,'QA Log'!M:M,"Data Verification",'QA Log'!Z:Z,"Approved",'QA Log'!L:L,"*Equipments (section 4)*")
))</f>
        <v/>
      </c>
      <c r="AP201" s="105" t="str">
        <f>IF(A201&lt;&gt;"",COUNTIFS('QA Log'!D:D,A201,'QA Log'!M:M,"Data Verification",'QA Log'!L:L,"Personnel (section 1)",'QA Log'!Z:Z,"Approved"),"")</f>
        <v/>
      </c>
      <c r="AQ201" s="105" t="str">
        <f>IF(A201&lt;&gt;"",COUNTIFS('QA Log'!D:D,A201,'QA Log'!M:M,"Data Verification",'QA Log'!L:L,"Consumable (section 3)",'QA Log'!Z:Z,"Approved"),"")</f>
        <v/>
      </c>
      <c r="AR201" s="105" t="str">
        <f>IF(A201&lt;&gt;"",COUNTIFS('QA Log'!D:D,A201,'QA Log'!M:M,"Data Verification",'QA Log'!L:L,"Equipments (section 4)",'QA Log'!Z:Z,"Approved"),"")</f>
        <v/>
      </c>
      <c r="AS201" s="102" t="str">
        <f>IF(A201="","",
SUM(
COUNTIFS('QA Log'!D:D,A201,'QA Log'!M:M,"Data Verification",'QA Log'!Z:Z,"Rejected",'QA Log'!L:L,"*Personnel (section 1)*"),
COUNTIFS('QA Log'!D:D,A201,'QA Log'!M:M,"Data Verification",'QA Log'!Z:Z,"Rejected",'QA Log'!L:L,"*Consumable (section 3)*"),
COUNTIFS('QA Log'!D:D,A201,'QA Log'!M:M,"Data Verification",'QA Log'!Z:Z,"Rejected",'QA Log'!L:L,"*Equipments (section 4)*")
))</f>
        <v/>
      </c>
      <c r="AT201" s="102" t="str">
        <f t="shared" si="7"/>
        <v/>
      </c>
      <c r="AU201" s="103" t="str">
        <f t="shared" si="8"/>
        <v/>
      </c>
      <c r="AV201" s="102" t="str">
        <f>IF(A201="","",SUM(
COUNTIFS('QA Log'!D:D,A201,'QA Log'!M:M,"Vignette",'QA Log'!L:L,"*Vignette [1] Respiratory Infection: Pneumonia*"),
COUNTIFS('QA Log'!D:D,A201,'QA Log'!M:M,"Vignette",'QA Log'!L:L,"*Vignette [2]: Diarrhea with Cat B dehydration*"),
COUNTIFS('QA Log'!D:D,A201,'QA Log'!M:M,"Vignette",'QA Log'!L:L,"*Vignette [3] Growth Monitoring and Promotion*"),
COUNTIFS('QA Log'!D:D,A201,'QA Log'!M:M,"Vignette",'QA Log'!L:L,"*Vignette [4]: The management of presumptive TB patient*")
)
)</f>
        <v/>
      </c>
      <c r="AW201" s="102" t="str">
        <f>IF(
  A201="","",
  SUM(
    COUNTIFS('QA Log'!D:D,A201,'QA Log'!M:M,"Vignette",'QA Log'!Z:Z,"Approved",'QA Log'!L:L,"*Vignette [1] Respiratory Infection: Pneumonia*"),
    COUNTIFS('QA Log'!D:D,A201,'QA Log'!M:M,"Vignette",'QA Log'!Z:Z,"Approved",'QA Log'!L:L,"*Vignette [2]: Diarrhea with Cat B dehydration*"),
    COUNTIFS('QA Log'!D:D,A201,'QA Log'!M:M,"Vignette",'QA Log'!Z:Z,"Approved",'QA Log'!L:L,"*Vignette [3] Growth Monitoring and Promotion*"),
    COUNTIFS('QA Log'!D:D,A201,'QA Log'!M:M,"Vignette",'QA Log'!Z:Z,"Approved",'QA Log'!L:L,"*Vignette [4]: The management of presumptive TB patient*")
  )
)</f>
        <v/>
      </c>
      <c r="AX201" s="105" t="str">
        <f>IF(A201&lt;&gt;"",COUNTIFS('QA Log'!D:D,A201,'QA Log'!M:M,"Vignette",'QA Log'!L:L,"Vignette [1] Respiratory Infection: Pneumonia",'QA Log'!Z:Z,"Approved"),"")</f>
        <v/>
      </c>
      <c r="AY201" s="105" t="str">
        <f>IF(A201&lt;&gt;"",COUNTIFS('QA Log'!D:D,A201,'QA Log'!M:M,"Vignette",'QA Log'!L:L,"Vignette [2]: Diarrhea with Cat B dehydration",'QA Log'!Z:Z,"Approved"),"")</f>
        <v/>
      </c>
      <c r="AZ201" s="105" t="str">
        <f>IF(A201&lt;&gt;"",COUNTIFS('QA Log'!D:D,A201,'QA Log'!M:M,"Vignette",'QA Log'!L:L,"Vignette [3] Growth Monitoring and Promotion",'QA Log'!Z:Z,"Approved"),"")</f>
        <v/>
      </c>
      <c r="BA201" s="105" t="str">
        <f>IF(A201&lt;&gt;"",COUNTIFS('QA Log'!D:D,A201,'QA Log'!M:M,"Vignette",'QA Log'!L:L,"Vignette [4]: The management of presumptive TB patient",'QA Log'!Z:Z,"Approved"),"")</f>
        <v/>
      </c>
      <c r="BB201" s="102" t="str">
        <f>IF(A201="","",
  SUM(
    COUNTIFS('QA Log'!D:D,A201,'QA Log'!M:M,"Vignette",'QA Log'!Z:Z,"Rejected",'QA Log'!L:L,"*Vignette [1] Respiratory Infection: Pneumonia*"),
    COUNTIFS('QA Log'!D:D,A201,'QA Log'!M:M,"Vignette",'QA Log'!Z:Z,"Rejected",'QA Log'!L:L,"*Vignette [2]: Diarrhea with Cat B dehydration*"),
    COUNTIFS('QA Log'!D:D,A201,'QA Log'!M:M,"Vignette",'QA Log'!Z:Z,"Rejected",'QA Log'!L:L,"*Vignette [3] Growth Monitoring and Promotion*"),
    COUNTIFS('QA Log'!D:D,A201,'QA Log'!M:M,"Vignette",'QA Log'!Z:Z,"Rejected",'QA Log'!L:L,"*Vignette [4]: The management of presumptive TB patient*")
  )
)</f>
        <v/>
      </c>
      <c r="BC201" s="107" t="str">
        <f t="shared" si="9"/>
        <v/>
      </c>
      <c r="BD201" s="103" t="str">
        <f t="shared" si="10"/>
        <v/>
      </c>
      <c r="BE201" s="102" t="str">
        <f>IF(A201="","",SUM(
COUNTIFS('QA Log'!D:D,A201,'QA Log'!M:M,"Vignette",'QA Log'!L:L,"*Vignette [5] Labor*"),
COUNTIFS('QA Log'!D:D,A201,'QA Log'!M:M,"Vignette",'QA Log'!L:L,"*Vignette [6] PNC pre Discharge*"),
COUNTIFS('QA Log'!D:D,A201,'QA Log'!M:M,"Vignette",'QA Log'!L:L,"*Vignette [7] First ANC Visit*"),
COUNTIFS('QA Log'!D:D,A201,'QA Log'!M:M,"Vignette",'QA Log'!L:L,"*Vignette [8] Birth Spacing/ Family Planning :  FP Counselling*"),
COUNTIFS('QA Log'!D:D,A201,'QA Log'!M:M,"Vignette",'QA Log'!L:L,"*Vignette [9] Birth Spacing: Change FP method to Injectable*"),
COUNTIFS('QA Log'!D:D,A201,'QA Log'!M:M,"Vignette",'QA Log'!L:L,"*Vignette [10] Post Partum Haemorrhage - Atonic Uterus at Health Centre*"),
)
)</f>
        <v/>
      </c>
      <c r="BF201" s="102" t="str">
        <f>IF(A201="","",
  SUM(
    COUNTIFS('QA Log'!D:D,A201,'QA Log'!M:M,"Vignette",'QA Log'!Z:Z,"Approved",'QA Log'!L:L,"*Vignette [5] Labor*"),
    COUNTIFS('QA Log'!D:D,A201,'QA Log'!M:M,"Vignette",'QA Log'!Z:Z,"Approved",'QA Log'!L:L,"*Vignette [6] PNC pre Discharge*"),
    COUNTIFS('QA Log'!D:D,A201,'QA Log'!M:M,"Vignette",'QA Log'!Z:Z,"Approved",'QA Log'!L:L,"*Vignette [7] First ANC Visit*"),
    COUNTIFS('QA Log'!D:D,A201,'QA Log'!M:M,"Vignette",'QA Log'!Z:Z,"Approved",'QA Log'!L:L,"*Vignette [8] Birth Spacing/ Family Planning :  FP Counselling*"),
    COUNTIFS('QA Log'!D:D,A201,'QA Log'!M:M,"Vignette",'QA Log'!Z:Z,"Approved",'QA Log'!L:L,"*Vignette [9] Birth Spacing: Change FP method to Injectable*"),
    COUNTIFS('QA Log'!D:D,A201,'QA Log'!M:M,"Vignette",'QA Log'!Z:Z,"Approved",'QA Log'!L:L,"*Vignette [10] Post Partum Haemorrhage - Atonic Uterus at Health Centre*")
  )
)</f>
        <v/>
      </c>
      <c r="BG201" s="105" t="str">
        <f>IF(A201&lt;&gt;"",COUNTIFS('QA Log'!D:D,A201,'QA Log'!M:M,"Vignette",'QA Log'!L:L,"Vignette [5] Labor",'QA Log'!Z:Z,"Approved"),"")</f>
        <v/>
      </c>
      <c r="BH201" s="105" t="str">
        <f>IF(A201&lt;&gt;"",COUNTIFS('QA Log'!D:D,A201,'QA Log'!M:M,"Vignette",'QA Log'!L:L,"Vignette [6] PNC pre Discharge",'QA Log'!Z:Z,"Approved"),"")</f>
        <v/>
      </c>
      <c r="BI201" s="105" t="str">
        <f>IF(A201&lt;&gt;"",COUNTIFS('QA Log'!D:D,A201,'QA Log'!M:M,"Vignette",'QA Log'!L:L,"Vignette [7] First ANC Visit",'QA Log'!Z:Z,"Approved"),"")</f>
        <v/>
      </c>
      <c r="BJ201" s="105" t="str">
        <f>IF(A201&lt;&gt;"",COUNTIFS('QA Log'!D:D,A201,'QA Log'!M:M,"Vignette",'QA Log'!L:L,"Vignette [8] Birth Spacing/ Family Planning :  FP Counselling",'QA Log'!Z:Z,"Approved"),"")</f>
        <v/>
      </c>
      <c r="BK201" s="105" t="str">
        <f>IF(A201&lt;&gt;"",COUNTIFS('QA Log'!D:D,A201,'QA Log'!M:M,"Vignette",'QA Log'!L:L,"Vignette [9] Birth Spacing: Change FP method to Injectable",'QA Log'!Z:Z,"Approved"),"")</f>
        <v/>
      </c>
      <c r="BL201" s="105" t="str">
        <f>IF(A201&lt;&gt;"",COUNTIFS('QA Log'!D:D,A201,'QA Log'!M:M,"Vignette",'QA Log'!L:L,"Vignette [10] Post Partum Haemorrhage - Atonic Uterus at Health Centre",'QA Log'!Z:Z,"Approved"),"")</f>
        <v/>
      </c>
      <c r="BM201" s="102" t="str">
        <f>IF(A201="","",SUM(
    COUNTIFS('QA Log'!D:D,A201,'QA Log'!M:M,"Vignette",'QA Log'!Z:Z,"Rejected",'QA Log'!L:L,"*Vignette [5] Labor*"),
    COUNTIFS('QA Log'!D:D,A201,'QA Log'!M:M,"Vignette",'QA Log'!Z:Z,"Rejected",'QA Log'!L:L,"*Vignette [6] PNC pre Discharge*"),
    COUNTIFS('QA Log'!D:D,A201,'QA Log'!M:M,"Vignette",'QA Log'!Z:Z,"Rejected",'QA Log'!L:L,"*Vignette [7] First ANC Visit*"),
    COUNTIFS('QA Log'!D:D,A201,'QA Log'!M:M,"Vignette",'QA Log'!Z:Z,"Rejected",'QA Log'!L:L,"*Vignette [8] Birth Spacing/ Family Planning :  FP Counselling*"),
    COUNTIFS('QA Log'!D:D,A201,'QA Log'!M:M,"Vignette",'QA Log'!Z:Z,"Rejected",'QA Log'!L:L,"*Vignette [9] Birth Spacing: Change FP method to Injectable*"),
    COUNTIFS('QA Log'!D:D,A201,'QA Log'!M:M,"Vignette",'QA Log'!Z:Z,"Rejected",'QA Log'!L:L,"*Vignette [10] Post Partum Haemorrhage - Atonic Uterus at Health Centre*")
  )
)</f>
        <v/>
      </c>
      <c r="BN201" s="107" t="str">
        <f t="shared" si="11"/>
        <v/>
      </c>
      <c r="BO201" s="103" t="str">
        <f t="shared" si="12"/>
        <v/>
      </c>
      <c r="BP201" s="102" t="str">
        <f>IF(A201="","",SUM(
COUNTIFS('QA Log'!D:D,A201,'QA Log'!M:M,"Vignette",'QA Log'!L:L,"*Exit Interview 1*"),
COUNTIFS('QA Log'!D:D,A201,'QA Log'!M:M,"Vignette",'QA Log'!L:L,"*Exit Interview 2*"),
)
)</f>
        <v/>
      </c>
      <c r="BQ201" s="102" t="str">
        <f>IF(
  A201="","",
  SUM(
    COUNTIFS('QA Log'!D:D,A201,'QA Log'!M:M,"Vignette",'QA Log'!Z:Z,"Approved",'QA Log'!L:L,"*Exit Interview 1*"),
    COUNTIFS('QA Log'!D:D,A201,'QA Log'!M:M,"Vignette",'QA Log'!Z:Z,"Approved",'QA Log'!L:L,"*Exit Interview 2*")
  )
)</f>
        <v/>
      </c>
      <c r="BR201" s="105" t="str">
        <f>IF(A201&lt;&gt;"",COUNTIFS('QA Log'!D:D,A201,'QA Log'!M:M,"Vignette",'QA Log'!L:L,"Exit Interview 1",'QA Log'!Z:Z,"Approved"),"")</f>
        <v/>
      </c>
      <c r="BS201" s="105" t="str">
        <f>IF(A201&lt;&gt;"",COUNTIFS('QA Log'!D:D,A201,'QA Log'!M:M,"Vignette",'QA Log'!L:L,"Exit Interview 2",'QA Log'!Z:Z,"Approved"),"")</f>
        <v/>
      </c>
      <c r="BT201" s="102" t="str">
        <f>IF(
  A201="","",
  SUM(
    COUNTIFS('QA Log'!D:D,A201,'QA Log'!M:M,"Vignette",'QA Log'!Z:Z,"Rejected",'QA Log'!L:L,"*Exit Interview 1*"),
    COUNTIFS('QA Log'!D:D,A201,'QA Log'!M:M,"Vignette",'QA Log'!Z:Z,"Rejected",'QA Log'!L:L,"*Exit Interview 2*")
  )
)</f>
        <v/>
      </c>
      <c r="BU201" s="107" t="str">
        <f t="shared" si="13"/>
        <v/>
      </c>
      <c r="BV201" s="102" t="str">
        <f t="shared" si="14"/>
        <v/>
      </c>
      <c r="BW201" s="102" t="str">
        <f t="shared" si="15"/>
        <v/>
      </c>
      <c r="BX201" s="102" t="str">
        <f t="shared" si="16"/>
        <v/>
      </c>
      <c r="BY201" s="102" t="str">
        <f t="shared" si="17"/>
        <v/>
      </c>
      <c r="BZ201" s="107" t="str">
        <f t="shared" si="18"/>
        <v/>
      </c>
      <c r="CA201" s="108" t="str">
        <f t="shared" si="19"/>
        <v/>
      </c>
      <c r="CB201" s="108" t="str">
        <f t="shared" si="20"/>
        <v/>
      </c>
      <c r="CC201" s="109" t="str">
        <f t="shared" si="21"/>
        <v/>
      </c>
      <c r="CD201" s="108" t="str">
        <f t="shared" si="22"/>
        <v/>
      </c>
      <c r="CE201" s="108" t="str">
        <f t="shared" si="23"/>
        <v/>
      </c>
      <c r="CF201" s="109" t="str">
        <f t="shared" si="24"/>
        <v/>
      </c>
      <c r="CG201" s="110" t="str">
        <f t="shared" si="25"/>
        <v/>
      </c>
      <c r="CH201" s="111"/>
    </row>
    <row r="202" spans="1:86" ht="12.75">
      <c r="A202" s="101"/>
      <c r="B202" s="102" t="e">
        <f t="array" aca="1" ref="B202" ca="1">_xludf.XLOOKUP(A202,'QA Log'!D:D,'QA Log'!E:E,"")</f>
        <v>#NAME?</v>
      </c>
      <c r="C202" s="102" t="e">
        <f t="array" aca="1" ref="C202" ca="1">_xludf.XLOOKUP(A202,'QA Log'!D:D,'QA Log'!F:F,"")</f>
        <v>#NAME?</v>
      </c>
      <c r="D202" s="102" t="e">
        <f t="array" aca="1" ref="D202" ca="1">_xludf.XLOOKUP(A202,'QA Log'!D:D,'QA Log'!H:H,"")</f>
        <v>#NAME?</v>
      </c>
      <c r="E202" s="102" t="e">
        <f t="array" aca="1" ref="E202" ca="1">_xludf.XLOOKUP(A202,'QA Log'!D:D,'QA Log'!G:G,"")</f>
        <v>#NAME?</v>
      </c>
      <c r="F202" s="103"/>
      <c r="G202" s="104"/>
      <c r="H202" s="104"/>
      <c r="I202" s="103" t="str">
        <f t="shared" si="0"/>
        <v/>
      </c>
      <c r="J202" s="102" t="str">
        <f>IF(A202="","",SUM(
COUNTIFS('QA Log'!D:D,A202,'QA Log'!M:M,"QQC",'QA Log'!L:L,"*1. General Management*"),
COUNTIFS('QA Log'!D:D,A202,'QA Log'!M:M,"QQC",'QA Log'!L:L,"*3. Curative Consultation (OPD)*"),
COUNTIFS('QA Log'!D:D,A202,'QA Log'!M:M,"QQC",'QA Log'!L:L,"*5. Laboratory*"),
COUNTIFS('QA Log'!D:D,A202,'QA Log'!M:M,"QQC",'QA Log'!L:L,"*6. Essential Medicine Management*"),
COUNTIFS('QA Log'!D:D,A202,'QA Log'!M:M,"QQC",'QA Log'!L:L,"*7. Tracer Medicine*"),
COUNTIFS('QA Log'!D:D,A202,'QA Log'!M:M,"QQC",'QA Log'!L:L,"*11. Additional Questions*")))</f>
        <v/>
      </c>
      <c r="K202" s="102" t="str">
        <f>IF(A202="","",SUM(
COUNTIFS('QA Log'!D:D,A202,'QA Log'!M:M,"QQC",'QA Log'!Z:Z,"Approved",'QA Log'!L:L,"*1. General Management*"),
COUNTIFS('QA Log'!D:D,A202,'QA Log'!M:M,"QQC",'QA Log'!Z:Z,"Approved",'QA Log'!L:L,"*3. Curative Consultation (OPD)*"),
COUNTIFS('QA Log'!D:D,A202,'QA Log'!M:M,"QQC",'QA Log'!Z:Z,"Approved",'QA Log'!L:L,"*5. Laboratory*"),
COUNTIFS('QA Log'!D:D,A202,'QA Log'!M:M,"QQC",'QA Log'!Z:Z,"Approved",'QA Log'!L:L,"*6. Essential Medicine Management*"),
COUNTIFS('QA Log'!D:D,A202,'QA Log'!M:M,"QQC",'QA Log'!Z:Z,"Approved",'QA Log'!L:L,"*7. Tracer Medicine*"),
COUNTIFS('QA Log'!D:D,A202,'QA Log'!M:M,"QQC",'QA Log'!Z:Z,"Approved",'QA Log'!L:L,"*11. Additional Questions*")))</f>
        <v/>
      </c>
      <c r="L202" s="105" t="str">
        <f>IF(A202&lt;&gt;"",COUNTIFS('QA Log'!D:D,A202,'QA Log'!M:M,"QQC",'QA Log'!L:L,"1. General Management",'QA Log'!Z:Z,"Approved"),"")</f>
        <v/>
      </c>
      <c r="M202" s="105" t="str">
        <f>IF(A202&lt;&gt;"",COUNTIFS('QA Log'!D:D,A202,'QA Log'!M:M,"QQC",'QA Log'!L:L,"3. Curative Consultation (OPD)",'QA Log'!Z:Z,"Approved"),"")</f>
        <v/>
      </c>
      <c r="N202" s="105" t="str">
        <f>IF(A202&lt;&gt;"",COUNTIFS('QA Log'!D:D,A202,'QA Log'!M:M,"QQC",'QA Log'!L:L,"5. Laboratory",'QA Log'!Z:Z,"Approved"),"")</f>
        <v/>
      </c>
      <c r="O202" s="105" t="str">
        <f>IF(A202&lt;&gt;"",COUNTIFS('QA Log'!D:D,A202,'QA Log'!M:M,"QQC",'QA Log'!L:L,"6. Essential Medicine Management",'QA Log'!Z:Z,"Approved"),"")</f>
        <v/>
      </c>
      <c r="P202" s="105" t="str">
        <f>IF(A202&lt;&gt;"",COUNTIFS('QA Log'!D:D,A202,'QA Log'!M:M,"QQC",'QA Log'!L:L,"7. Tracer Medicine",'QA Log'!Z:Z,"Approved"),"")</f>
        <v/>
      </c>
      <c r="Q202" s="105" t="str">
        <f>IF(A202&lt;&gt;"",COUNTIFS('QA Log'!D:D,A202,'QA Log'!M:M,"QQC",'QA Log'!L:L,"11. Additional Questions",'QA Log'!Z:Z,"Approved"),"")</f>
        <v/>
      </c>
      <c r="R202" s="102" t="str">
        <f>IF(A202="","",SUM(
COUNTIFS('QA Log'!D:D,A202,'QA Log'!M:M,"QQC",'QA Log'!Z:Z,"Rejected",'QA Log'!L:L,"*8. Maternity*"),
COUNTIFS('QA Log'!D:D,A202,'QA Log'!M:M,"QQC",'QA Log'!Z:Z,"Rejected",'QA Log'!L:L,"*EPI*"),
COUNTIFS('QA Log'!D:D,A202,'QA Log'!M:M,"QQC",'QA Log'!Z:Z,"Rejected",'QA Log'!L:L,"*10. Antenatal Care (ANC)*"),
COUNTIFS('QA Log'!D:D,A202,'QA Log'!M:M,"QQC",'QA Log'!Z:Z,"Rejected",'QA Log'!L:L,"*2. Hygiene and Sterilization*"),
COUNTIFS('QA Log'!D:D,A202,'QA Log'!M:M,"QQC",'QA Log'!Z:Z,"Rejected",'QA Log'!L:L,"*Family Planning*")))</f>
        <v/>
      </c>
      <c r="S202" s="106" t="str">
        <f t="shared" si="1"/>
        <v/>
      </c>
      <c r="T202" s="102" t="str">
        <f t="shared" si="2"/>
        <v/>
      </c>
      <c r="U202" s="102" t="str">
        <f>IF(A202="","",
SUM(
COUNTIFS('QA Log'!D:D,A202,'QA Log'!M:M,"QQC",'QA Log'!L:L,"*8. Maternity*"),
COUNTIFS('QA Log'!D:D,A202,'QA Log'!M:M,"QQC",'QA Log'!L:L,"*9. EPI and Pre-school Consultation*"),
COUNTIFS('QA Log'!D:D,A202,'QA Log'!M:M,"QQC",'QA Log'!L:L,"*10. Antenatal Care (ANC)*"),
COUNTIFS('QA Log'!D:D,A202,'QA Log'!M:M,"QQC",'QA Log'!L:L,"*2. Hygiene and Sterilization*"),
COUNTIFS('QA Log'!D:D,A202,'QA Log'!M:M,"QQC",'QA Log'!L:L,"*4. Family Planning*")
))</f>
        <v/>
      </c>
      <c r="V202" s="102" t="str">
        <f>IF(A202="","",
SUM(
COUNTIFS('QA Log'!D:D,A202,'QA Log'!M:M,"QQC",'QA Log'!Z:Z,"Approved",'QA Log'!L:L,"*8. Maternity*"),
COUNTIFS('QA Log'!D:D,A202,'QA Log'!M:M,"QQC",'QA Log'!Z:Z,"Approved",'QA Log'!L:L,"*9. EPI and Pre-school Consultation*"),
COUNTIFS('QA Log'!D:D,A202,'QA Log'!M:M,"QQC",'QA Log'!Z:Z,"Approved",'QA Log'!L:L,"*10. Antenatal Care (ANC)*"),
COUNTIFS('QA Log'!D:D,A202,'QA Log'!M:M,"QQC",'QA Log'!Z:Z,"Approved",'QA Log'!L:L,"*2. Hygiene and Sterilization*"),
COUNTIFS('QA Log'!D:D,A202,'QA Log'!M:M,"QQC",'QA Log'!Z:Z,"Approved",'QA Log'!L:L,"*4. Family Planning*")
))</f>
        <v/>
      </c>
      <c r="W202" s="105" t="str">
        <f>IF(A202&lt;&gt;"",COUNTIFS('QA Log'!D:D,A202,'QA Log'!M:M,"QQC",'QA Log'!L:L,"8. Maternity",'QA Log'!Z:Z,"Approved"),"")</f>
        <v/>
      </c>
      <c r="X202" s="105" t="str">
        <f>IF(A202&lt;&gt;"",COUNTIFS('QA Log'!D:D,A202,'QA Log'!M:M,"QQC",'QA Log'!L:L,"9. EPI and Pre-school Consultation",'QA Log'!Z:Z,"Approved"),"")</f>
        <v/>
      </c>
      <c r="Y202" s="105" t="str">
        <f>IF(A202&lt;&gt;"",COUNTIFS('QA Log'!D:D,A202,'QA Log'!M:M,"QQC",'QA Log'!L:L,"10. Antenatal Care (ANC)",'QA Log'!Z:Z,"Approved"),"")</f>
        <v/>
      </c>
      <c r="Z202" s="105" t="str">
        <f>IF(A202&lt;&gt;"",COUNTIFS('QA Log'!D:D,A202,'QA Log'!M:M,"QQC",'QA Log'!L:L,"2. Hygiene and Sterilization",'QA Log'!Z:Z,"Approved"),"")</f>
        <v/>
      </c>
      <c r="AA202" s="105" t="str">
        <f>IF(A202&lt;&gt;"",COUNTIFS('QA Log'!D:D,A202,'QA Log'!M:M,"QQC",'QA Log'!L:L,"4. Family Planning",'QA Log'!Z:Z,"Approved"),"")</f>
        <v/>
      </c>
      <c r="AB202" s="102" t="str">
        <f>IF(A202="","",
SUM(
COUNTIFS('QA Log'!D:D,A202,'QA Log'!M:M,"QQC",'QA Log'!Z:Z,"Rejected",'QA Log'!L:L,"*8. Maternity*"),
COUNTIFS('QA Log'!D:D,A202,'QA Log'!M:M,"QQC",'QA Log'!Z:Z,"Rejected",'QA Log'!L:L,"*9. EPI and Pre-school Consultation*"),
COUNTIFS('QA Log'!D:D,A202,'QA Log'!M:M,"QQC",'QA Log'!Z:Z,"Rejected",'QA Log'!L:L,"*10. Antenatal Care (ANC)*"),
COUNTIFS('QA Log'!D:D,A202,'QA Log'!M:M,"QQC",'QA Log'!Z:Z,"Rejected",'QA Log'!L:L,"*2. Hygiene and Sterilization*"),
COUNTIFS('QA Log'!D:D,A202,'QA Log'!M:M,"QQC",'QA Log'!Z:Z,"Rejected",'QA Log'!L:L,"*4. Family Planning*")
))</f>
        <v/>
      </c>
      <c r="AC202" s="102" t="str">
        <f t="shared" si="3"/>
        <v/>
      </c>
      <c r="AD202" s="103" t="str">
        <f t="shared" si="4"/>
        <v/>
      </c>
      <c r="AE202" s="102" t="str">
        <f>IF(A202="","",
SUM(
COUNTIFS('QA Log'!D:D,A202,'QA Log'!M:M,"Data Verification",'QA Log'!L:L,"*Medicine (section 2)*"),
COUNTIFS('QA Log'!D:D,A202,'QA Log'!M:M,"Data Verification",'QA Log'!L:L,"*Lab Testing Availability*"),
COUNTIFS('QA Log'!D:D,A202,'QA Log'!M:M,"Data Verification",'QA Log'!L:L,"*Other than P4P (section 6)*"),
COUNTIFS('QA Log'!D:D,A202,'QA Log'!M:M,"Data Verification",'QA Log'!L:L,"*Hospital Governance*")
))</f>
        <v/>
      </c>
      <c r="AF202" s="102" t="str">
        <f>IF(A202="","",
SUM(
COUNTIFS('QA Log'!D:D,A202,'QA Log'!M:M,"Data Verification",'QA Log'!Z:Z,"Approved",'QA Log'!L:L,"*Medicine (section 2)*"),
COUNTIFS('QA Log'!D:D,A202,'QA Log'!M:M,"Data Verification",'QA Log'!Z:Z,"Approved",'QA Log'!L:L,"*Lab Testing Availability*"),
COUNTIFS('QA Log'!D:D,A202,'QA Log'!M:M,"Data Verification",'QA Log'!Z:Z,"Approved",'QA Log'!L:L,"*Other than P4P (section 6)*"),
COUNTIFS('QA Log'!D:D,A202,'QA Log'!M:M,"Data Verification",'QA Log'!Z:Z,"Approved",'QA Log'!L:L,"*Hospital Governance*")
))</f>
        <v/>
      </c>
      <c r="AG202" s="105" t="str">
        <f>IF(A202&lt;&gt;"",COUNTIFS('QA Log'!D:D,A202,'QA Log'!M:M,"Data Verification",'QA Log'!L:L,"Medicine (section 2)",'QA Log'!Z:Z,"Approved"),"")</f>
        <v/>
      </c>
      <c r="AH202" s="105" t="str">
        <f>IF(A202&lt;&gt;"",COUNTIFS('QA Log'!D:D,A202,'QA Log'!M:M,"Data Verification",'QA Log'!L:L,"Lab Testing Availability",'QA Log'!Z:Z,"Approved"),"")</f>
        <v/>
      </c>
      <c r="AI202" s="105" t="str">
        <f>IF(A202&lt;&gt;"",COUNTIFS('QA Log'!D:D,A202,'QA Log'!M:M,"Data Verification",'QA Log'!L:L,"Other than P4P (section 6)",'QA Log'!Z:Z,"Approved"),"")</f>
        <v/>
      </c>
      <c r="AJ202" s="105" t="str">
        <f>IF(A202&lt;&gt;"",COUNTIFS('QA Log'!D:D,A202,'QA Log'!M:M,"Data Verification",'QA Log'!L:L,"Hospital Governance",'QA Log'!Z:Z,"Approved"),"")</f>
        <v/>
      </c>
      <c r="AK202" s="102" t="str">
        <f>IF(A202="","",
SUM(
COUNTIFS('QA Log'!D:D,A202,'QA Log'!M:M,"Data Verification",'QA Log'!Z:Z,"Rejected",'QA Log'!L:L,"*Medicine (section 2)*"),
COUNTIFS('QA Log'!D:D,A202,'QA Log'!M:M,"Data Verification",'QA Log'!Z:Z,"Rejected",'QA Log'!L:L,"*Lab Testing Availability*"),
COUNTIFS('QA Log'!D:D,A202,'QA Log'!M:M,"Data Verification",'QA Log'!Z:Z,"Rejected",'QA Log'!L:L,"*Other than P4P (section 6)*"),
COUNTIFS('QA Log'!D:D,A202,'QA Log'!M:M,"Data Verification",'QA Log'!Z:Z,"Rejected",'QA Log'!L:L,"*Hospital Governance*")
))</f>
        <v/>
      </c>
      <c r="AL202" s="106" t="str">
        <f t="shared" si="5"/>
        <v/>
      </c>
      <c r="AM202" s="102" t="str">
        <f t="shared" si="6"/>
        <v/>
      </c>
      <c r="AN202" s="102" t="str">
        <f>IF(A202="","",
SUM(
COUNTIFS('QA Log'!D:D,A202,'QA Log'!M:M,"Data Verification",'QA Log'!L:L,"*Personnel (section 1)*"),
COUNTIFS('QA Log'!D:D,A202,'QA Log'!M:M,"Data Verification",'QA Log'!L:L,"*Consumable (section 3)*"),
COUNTIFS('QA Log'!D:D,A202,'QA Log'!M:M,"Data Verification",'QA Log'!L:L,"*Equipments (section 4)*")
))</f>
        <v/>
      </c>
      <c r="AO202" s="102" t="str">
        <f>IF(A202="","",
SUM(
COUNTIFS('QA Log'!D:D,A202,'QA Log'!M:M,"Data Verification",'QA Log'!Z:Z,"Approved",'QA Log'!L:L,"*Personnel (section 1)*"),
COUNTIFS('QA Log'!D:D,A202,'QA Log'!M:M,"Data Verification",'QA Log'!Z:Z,"Approved",'QA Log'!L:L,"*Consumable (section 3)*"),
COUNTIFS('QA Log'!D:D,A202,'QA Log'!M:M,"Data Verification",'QA Log'!Z:Z,"Approved",'QA Log'!L:L,"*Equipments (section 4)*")
))</f>
        <v/>
      </c>
      <c r="AP202" s="105" t="str">
        <f>IF(A202&lt;&gt;"",COUNTIFS('QA Log'!D:D,A202,'QA Log'!M:M,"Data Verification",'QA Log'!L:L,"Personnel (section 1)",'QA Log'!Z:Z,"Approved"),"")</f>
        <v/>
      </c>
      <c r="AQ202" s="105" t="str">
        <f>IF(A202&lt;&gt;"",COUNTIFS('QA Log'!D:D,A202,'QA Log'!M:M,"Data Verification",'QA Log'!L:L,"Consumable (section 3)",'QA Log'!Z:Z,"Approved"),"")</f>
        <v/>
      </c>
      <c r="AR202" s="105" t="str">
        <f>IF(A202&lt;&gt;"",COUNTIFS('QA Log'!D:D,A202,'QA Log'!M:M,"Data Verification",'QA Log'!L:L,"Equipments (section 4)",'QA Log'!Z:Z,"Approved"),"")</f>
        <v/>
      </c>
      <c r="AS202" s="102" t="str">
        <f>IF(A202="","",
SUM(
COUNTIFS('QA Log'!D:D,A202,'QA Log'!M:M,"Data Verification",'QA Log'!Z:Z,"Rejected",'QA Log'!L:L,"*Personnel (section 1)*"),
COUNTIFS('QA Log'!D:D,A202,'QA Log'!M:M,"Data Verification",'QA Log'!Z:Z,"Rejected",'QA Log'!L:L,"*Consumable (section 3)*"),
COUNTIFS('QA Log'!D:D,A202,'QA Log'!M:M,"Data Verification",'QA Log'!Z:Z,"Rejected",'QA Log'!L:L,"*Equipments (section 4)*")
))</f>
        <v/>
      </c>
      <c r="AT202" s="102" t="str">
        <f t="shared" si="7"/>
        <v/>
      </c>
      <c r="AU202" s="103" t="str">
        <f t="shared" si="8"/>
        <v/>
      </c>
      <c r="AV202" s="102" t="str">
        <f>IF(A202="","",SUM(
COUNTIFS('QA Log'!D:D,A202,'QA Log'!M:M,"Vignette",'QA Log'!L:L,"*Vignette [1] Respiratory Infection: Pneumonia*"),
COUNTIFS('QA Log'!D:D,A202,'QA Log'!M:M,"Vignette",'QA Log'!L:L,"*Vignette [2]: Diarrhea with Cat B dehydration*"),
COUNTIFS('QA Log'!D:D,A202,'QA Log'!M:M,"Vignette",'QA Log'!L:L,"*Vignette [3] Growth Monitoring and Promotion*"),
COUNTIFS('QA Log'!D:D,A202,'QA Log'!M:M,"Vignette",'QA Log'!L:L,"*Vignette [4]: The management of presumptive TB patient*")
)
)</f>
        <v/>
      </c>
      <c r="AW202" s="102" t="str">
        <f>IF(
  A202="","",
  SUM(
    COUNTIFS('QA Log'!D:D,A202,'QA Log'!M:M,"Vignette",'QA Log'!Z:Z,"Approved",'QA Log'!L:L,"*Vignette [1] Respiratory Infection: Pneumonia*"),
    COUNTIFS('QA Log'!D:D,A202,'QA Log'!M:M,"Vignette",'QA Log'!Z:Z,"Approved",'QA Log'!L:L,"*Vignette [2]: Diarrhea with Cat B dehydration*"),
    COUNTIFS('QA Log'!D:D,A202,'QA Log'!M:M,"Vignette",'QA Log'!Z:Z,"Approved",'QA Log'!L:L,"*Vignette [3] Growth Monitoring and Promotion*"),
    COUNTIFS('QA Log'!D:D,A202,'QA Log'!M:M,"Vignette",'QA Log'!Z:Z,"Approved",'QA Log'!L:L,"*Vignette [4]: The management of presumptive TB patient*")
  )
)</f>
        <v/>
      </c>
      <c r="AX202" s="105" t="str">
        <f>IF(A202&lt;&gt;"",COUNTIFS('QA Log'!D:D,A202,'QA Log'!M:M,"Vignette",'QA Log'!L:L,"Vignette [1] Respiratory Infection: Pneumonia",'QA Log'!Z:Z,"Approved"),"")</f>
        <v/>
      </c>
      <c r="AY202" s="105" t="str">
        <f>IF(A202&lt;&gt;"",COUNTIFS('QA Log'!D:D,A202,'QA Log'!M:M,"Vignette",'QA Log'!L:L,"Vignette [2]: Diarrhea with Cat B dehydration",'QA Log'!Z:Z,"Approved"),"")</f>
        <v/>
      </c>
      <c r="AZ202" s="105" t="str">
        <f>IF(A202&lt;&gt;"",COUNTIFS('QA Log'!D:D,A202,'QA Log'!M:M,"Vignette",'QA Log'!L:L,"Vignette [3] Growth Monitoring and Promotion",'QA Log'!Z:Z,"Approved"),"")</f>
        <v/>
      </c>
      <c r="BA202" s="105" t="str">
        <f>IF(A202&lt;&gt;"",COUNTIFS('QA Log'!D:D,A202,'QA Log'!M:M,"Vignette",'QA Log'!L:L,"Vignette [4]: The management of presumptive TB patient",'QA Log'!Z:Z,"Approved"),"")</f>
        <v/>
      </c>
      <c r="BB202" s="102" t="str">
        <f>IF(A202="","",
  SUM(
    COUNTIFS('QA Log'!D:D,A202,'QA Log'!M:M,"Vignette",'QA Log'!Z:Z,"Rejected",'QA Log'!L:L,"*Vignette [1] Respiratory Infection: Pneumonia*"),
    COUNTIFS('QA Log'!D:D,A202,'QA Log'!M:M,"Vignette",'QA Log'!Z:Z,"Rejected",'QA Log'!L:L,"*Vignette [2]: Diarrhea with Cat B dehydration*"),
    COUNTIFS('QA Log'!D:D,A202,'QA Log'!M:M,"Vignette",'QA Log'!Z:Z,"Rejected",'QA Log'!L:L,"*Vignette [3] Growth Monitoring and Promotion*"),
    COUNTIFS('QA Log'!D:D,A202,'QA Log'!M:M,"Vignette",'QA Log'!Z:Z,"Rejected",'QA Log'!L:L,"*Vignette [4]: The management of presumptive TB patient*")
  )
)</f>
        <v/>
      </c>
      <c r="BC202" s="107" t="str">
        <f t="shared" si="9"/>
        <v/>
      </c>
      <c r="BD202" s="103" t="str">
        <f t="shared" si="10"/>
        <v/>
      </c>
      <c r="BE202" s="102" t="str">
        <f>IF(A202="","",SUM(
COUNTIFS('QA Log'!D:D,A202,'QA Log'!M:M,"Vignette",'QA Log'!L:L,"*Vignette [5] Labor*"),
COUNTIFS('QA Log'!D:D,A202,'QA Log'!M:M,"Vignette",'QA Log'!L:L,"*Vignette [6] PNC pre Discharge*"),
COUNTIFS('QA Log'!D:D,A202,'QA Log'!M:M,"Vignette",'QA Log'!L:L,"*Vignette [7] First ANC Visit*"),
COUNTIFS('QA Log'!D:D,A202,'QA Log'!M:M,"Vignette",'QA Log'!L:L,"*Vignette [8] Birth Spacing/ Family Planning :  FP Counselling*"),
COUNTIFS('QA Log'!D:D,A202,'QA Log'!M:M,"Vignette",'QA Log'!L:L,"*Vignette [9] Birth Spacing: Change FP method to Injectable*"),
COUNTIFS('QA Log'!D:D,A202,'QA Log'!M:M,"Vignette",'QA Log'!L:L,"*Vignette [10] Post Partum Haemorrhage - Atonic Uterus at Health Centre*"),
)
)</f>
        <v/>
      </c>
      <c r="BF202" s="102" t="str">
        <f>IF(A202="","",
  SUM(
    COUNTIFS('QA Log'!D:D,A202,'QA Log'!M:M,"Vignette",'QA Log'!Z:Z,"Approved",'QA Log'!L:L,"*Vignette [5] Labor*"),
    COUNTIFS('QA Log'!D:D,A202,'QA Log'!M:M,"Vignette",'QA Log'!Z:Z,"Approved",'QA Log'!L:L,"*Vignette [6] PNC pre Discharge*"),
    COUNTIFS('QA Log'!D:D,A202,'QA Log'!M:M,"Vignette",'QA Log'!Z:Z,"Approved",'QA Log'!L:L,"*Vignette [7] First ANC Visit*"),
    COUNTIFS('QA Log'!D:D,A202,'QA Log'!M:M,"Vignette",'QA Log'!Z:Z,"Approved",'QA Log'!L:L,"*Vignette [8] Birth Spacing/ Family Planning :  FP Counselling*"),
    COUNTIFS('QA Log'!D:D,A202,'QA Log'!M:M,"Vignette",'QA Log'!Z:Z,"Approved",'QA Log'!L:L,"*Vignette [9] Birth Spacing: Change FP method to Injectable*"),
    COUNTIFS('QA Log'!D:D,A202,'QA Log'!M:M,"Vignette",'QA Log'!Z:Z,"Approved",'QA Log'!L:L,"*Vignette [10] Post Partum Haemorrhage - Atonic Uterus at Health Centre*")
  )
)</f>
        <v/>
      </c>
      <c r="BG202" s="105" t="str">
        <f>IF(A202&lt;&gt;"",COUNTIFS('QA Log'!D:D,A202,'QA Log'!M:M,"Vignette",'QA Log'!L:L,"Vignette [5] Labor",'QA Log'!Z:Z,"Approved"),"")</f>
        <v/>
      </c>
      <c r="BH202" s="105" t="str">
        <f>IF(A202&lt;&gt;"",COUNTIFS('QA Log'!D:D,A202,'QA Log'!M:M,"Vignette",'QA Log'!L:L,"Vignette [6] PNC pre Discharge",'QA Log'!Z:Z,"Approved"),"")</f>
        <v/>
      </c>
      <c r="BI202" s="105" t="str">
        <f>IF(A202&lt;&gt;"",COUNTIFS('QA Log'!D:D,A202,'QA Log'!M:M,"Vignette",'QA Log'!L:L,"Vignette [7] First ANC Visit",'QA Log'!Z:Z,"Approved"),"")</f>
        <v/>
      </c>
      <c r="BJ202" s="105" t="str">
        <f>IF(A202&lt;&gt;"",COUNTIFS('QA Log'!D:D,A202,'QA Log'!M:M,"Vignette",'QA Log'!L:L,"Vignette [8] Birth Spacing/ Family Planning :  FP Counselling",'QA Log'!Z:Z,"Approved"),"")</f>
        <v/>
      </c>
      <c r="BK202" s="105" t="str">
        <f>IF(A202&lt;&gt;"",COUNTIFS('QA Log'!D:D,A202,'QA Log'!M:M,"Vignette",'QA Log'!L:L,"Vignette [9] Birth Spacing: Change FP method to Injectable",'QA Log'!Z:Z,"Approved"),"")</f>
        <v/>
      </c>
      <c r="BL202" s="105" t="str">
        <f>IF(A202&lt;&gt;"",COUNTIFS('QA Log'!D:D,A202,'QA Log'!M:M,"Vignette",'QA Log'!L:L,"Vignette [10] Post Partum Haemorrhage - Atonic Uterus at Health Centre",'QA Log'!Z:Z,"Approved"),"")</f>
        <v/>
      </c>
      <c r="BM202" s="102" t="str">
        <f>IF(A202="","",SUM(
    COUNTIFS('QA Log'!D:D,A202,'QA Log'!M:M,"Vignette",'QA Log'!Z:Z,"Rejected",'QA Log'!L:L,"*Vignette [5] Labor*"),
    COUNTIFS('QA Log'!D:D,A202,'QA Log'!M:M,"Vignette",'QA Log'!Z:Z,"Rejected",'QA Log'!L:L,"*Vignette [6] PNC pre Discharge*"),
    COUNTIFS('QA Log'!D:D,A202,'QA Log'!M:M,"Vignette",'QA Log'!Z:Z,"Rejected",'QA Log'!L:L,"*Vignette [7] First ANC Visit*"),
    COUNTIFS('QA Log'!D:D,A202,'QA Log'!M:M,"Vignette",'QA Log'!Z:Z,"Rejected",'QA Log'!L:L,"*Vignette [8] Birth Spacing/ Family Planning :  FP Counselling*"),
    COUNTIFS('QA Log'!D:D,A202,'QA Log'!M:M,"Vignette",'QA Log'!Z:Z,"Rejected",'QA Log'!L:L,"*Vignette [9] Birth Spacing: Change FP method to Injectable*"),
    COUNTIFS('QA Log'!D:D,A202,'QA Log'!M:M,"Vignette",'QA Log'!Z:Z,"Rejected",'QA Log'!L:L,"*Vignette [10] Post Partum Haemorrhage - Atonic Uterus at Health Centre*")
  )
)</f>
        <v/>
      </c>
      <c r="BN202" s="107" t="str">
        <f t="shared" si="11"/>
        <v/>
      </c>
      <c r="BO202" s="103" t="str">
        <f t="shared" si="12"/>
        <v/>
      </c>
      <c r="BP202" s="102" t="str">
        <f>IF(A202="","",SUM(
COUNTIFS('QA Log'!D:D,A202,'QA Log'!M:M,"Vignette",'QA Log'!L:L,"*Exit Interview 1*"),
COUNTIFS('QA Log'!D:D,A202,'QA Log'!M:M,"Vignette",'QA Log'!L:L,"*Exit Interview 2*"),
)
)</f>
        <v/>
      </c>
      <c r="BQ202" s="102" t="str">
        <f>IF(
  A202="","",
  SUM(
    COUNTIFS('QA Log'!D:D,A202,'QA Log'!M:M,"Vignette",'QA Log'!Z:Z,"Approved",'QA Log'!L:L,"*Exit Interview 1*"),
    COUNTIFS('QA Log'!D:D,A202,'QA Log'!M:M,"Vignette",'QA Log'!Z:Z,"Approved",'QA Log'!L:L,"*Exit Interview 2*")
  )
)</f>
        <v/>
      </c>
      <c r="BR202" s="105" t="str">
        <f>IF(A202&lt;&gt;"",COUNTIFS('QA Log'!D:D,A202,'QA Log'!M:M,"Vignette",'QA Log'!L:L,"Exit Interview 1",'QA Log'!Z:Z,"Approved"),"")</f>
        <v/>
      </c>
      <c r="BS202" s="105" t="str">
        <f>IF(A202&lt;&gt;"",COUNTIFS('QA Log'!D:D,A202,'QA Log'!M:M,"Vignette",'QA Log'!L:L,"Exit Interview 2",'QA Log'!Z:Z,"Approved"),"")</f>
        <v/>
      </c>
      <c r="BT202" s="102" t="str">
        <f>IF(
  A202="","",
  SUM(
    COUNTIFS('QA Log'!D:D,A202,'QA Log'!M:M,"Vignette",'QA Log'!Z:Z,"Rejected",'QA Log'!L:L,"*Exit Interview 1*"),
    COUNTIFS('QA Log'!D:D,A202,'QA Log'!M:M,"Vignette",'QA Log'!Z:Z,"Rejected",'QA Log'!L:L,"*Exit Interview 2*")
  )
)</f>
        <v/>
      </c>
      <c r="BU202" s="107" t="str">
        <f t="shared" si="13"/>
        <v/>
      </c>
      <c r="BV202" s="102" t="str">
        <f t="shared" si="14"/>
        <v/>
      </c>
      <c r="BW202" s="102" t="str">
        <f t="shared" si="15"/>
        <v/>
      </c>
      <c r="BX202" s="102" t="str">
        <f t="shared" si="16"/>
        <v/>
      </c>
      <c r="BY202" s="102" t="str">
        <f t="shared" si="17"/>
        <v/>
      </c>
      <c r="BZ202" s="107" t="str">
        <f t="shared" si="18"/>
        <v/>
      </c>
      <c r="CA202" s="108" t="str">
        <f t="shared" si="19"/>
        <v/>
      </c>
      <c r="CB202" s="108" t="str">
        <f t="shared" si="20"/>
        <v/>
      </c>
      <c r="CC202" s="109" t="str">
        <f t="shared" si="21"/>
        <v/>
      </c>
      <c r="CD202" s="108" t="str">
        <f t="shared" si="22"/>
        <v/>
      </c>
      <c r="CE202" s="108" t="str">
        <f t="shared" si="23"/>
        <v/>
      </c>
      <c r="CF202" s="109" t="str">
        <f t="shared" si="24"/>
        <v/>
      </c>
      <c r="CG202" s="110" t="str">
        <f t="shared" si="25"/>
        <v/>
      </c>
      <c r="CH202" s="111"/>
    </row>
    <row r="203" spans="1:86" ht="12.75">
      <c r="A203" s="101"/>
      <c r="B203" s="102" t="e">
        <f t="array" aca="1" ref="B203" ca="1">_xludf.XLOOKUP(A203,'QA Log'!D:D,'QA Log'!E:E,"")</f>
        <v>#NAME?</v>
      </c>
      <c r="C203" s="102" t="e">
        <f t="array" aca="1" ref="C203" ca="1">_xludf.XLOOKUP(A203,'QA Log'!D:D,'QA Log'!F:F,"")</f>
        <v>#NAME?</v>
      </c>
      <c r="D203" s="102" t="e">
        <f t="array" aca="1" ref="D203" ca="1">_xludf.XLOOKUP(A203,'QA Log'!D:D,'QA Log'!H:H,"")</f>
        <v>#NAME?</v>
      </c>
      <c r="E203" s="102" t="e">
        <f t="array" aca="1" ref="E203" ca="1">_xludf.XLOOKUP(A203,'QA Log'!D:D,'QA Log'!G:G,"")</f>
        <v>#NAME?</v>
      </c>
      <c r="F203" s="103"/>
      <c r="G203" s="104"/>
      <c r="H203" s="104"/>
      <c r="I203" s="103" t="str">
        <f t="shared" si="0"/>
        <v/>
      </c>
      <c r="J203" s="102" t="str">
        <f>IF(A203="","",SUM(
COUNTIFS('QA Log'!D:D,A203,'QA Log'!M:M,"QQC",'QA Log'!L:L,"*1. General Management*"),
COUNTIFS('QA Log'!D:D,A203,'QA Log'!M:M,"QQC",'QA Log'!L:L,"*3. Curative Consultation (OPD)*"),
COUNTIFS('QA Log'!D:D,A203,'QA Log'!M:M,"QQC",'QA Log'!L:L,"*5. Laboratory*"),
COUNTIFS('QA Log'!D:D,A203,'QA Log'!M:M,"QQC",'QA Log'!L:L,"*6. Essential Medicine Management*"),
COUNTIFS('QA Log'!D:D,A203,'QA Log'!M:M,"QQC",'QA Log'!L:L,"*7. Tracer Medicine*"),
COUNTIFS('QA Log'!D:D,A203,'QA Log'!M:M,"QQC",'QA Log'!L:L,"*11. Additional Questions*")))</f>
        <v/>
      </c>
      <c r="K203" s="102" t="str">
        <f>IF(A203="","",SUM(
COUNTIFS('QA Log'!D:D,A203,'QA Log'!M:M,"QQC",'QA Log'!Z:Z,"Approved",'QA Log'!L:L,"*1. General Management*"),
COUNTIFS('QA Log'!D:D,A203,'QA Log'!M:M,"QQC",'QA Log'!Z:Z,"Approved",'QA Log'!L:L,"*3. Curative Consultation (OPD)*"),
COUNTIFS('QA Log'!D:D,A203,'QA Log'!M:M,"QQC",'QA Log'!Z:Z,"Approved",'QA Log'!L:L,"*5. Laboratory*"),
COUNTIFS('QA Log'!D:D,A203,'QA Log'!M:M,"QQC",'QA Log'!Z:Z,"Approved",'QA Log'!L:L,"*6. Essential Medicine Management*"),
COUNTIFS('QA Log'!D:D,A203,'QA Log'!M:M,"QQC",'QA Log'!Z:Z,"Approved",'QA Log'!L:L,"*7. Tracer Medicine*"),
COUNTIFS('QA Log'!D:D,A203,'QA Log'!M:M,"QQC",'QA Log'!Z:Z,"Approved",'QA Log'!L:L,"*11. Additional Questions*")))</f>
        <v/>
      </c>
      <c r="L203" s="105" t="str">
        <f>IF(A203&lt;&gt;"",COUNTIFS('QA Log'!D:D,A203,'QA Log'!M:M,"QQC",'QA Log'!L:L,"1. General Management",'QA Log'!Z:Z,"Approved"),"")</f>
        <v/>
      </c>
      <c r="M203" s="105" t="str">
        <f>IF(A203&lt;&gt;"",COUNTIFS('QA Log'!D:D,A203,'QA Log'!M:M,"QQC",'QA Log'!L:L,"3. Curative Consultation (OPD)",'QA Log'!Z:Z,"Approved"),"")</f>
        <v/>
      </c>
      <c r="N203" s="105" t="str">
        <f>IF(A203&lt;&gt;"",COUNTIFS('QA Log'!D:D,A203,'QA Log'!M:M,"QQC",'QA Log'!L:L,"5. Laboratory",'QA Log'!Z:Z,"Approved"),"")</f>
        <v/>
      </c>
      <c r="O203" s="105" t="str">
        <f>IF(A203&lt;&gt;"",COUNTIFS('QA Log'!D:D,A203,'QA Log'!M:M,"QQC",'QA Log'!L:L,"6. Essential Medicine Management",'QA Log'!Z:Z,"Approved"),"")</f>
        <v/>
      </c>
      <c r="P203" s="105" t="str">
        <f>IF(A203&lt;&gt;"",COUNTIFS('QA Log'!D:D,A203,'QA Log'!M:M,"QQC",'QA Log'!L:L,"7. Tracer Medicine",'QA Log'!Z:Z,"Approved"),"")</f>
        <v/>
      </c>
      <c r="Q203" s="105" t="str">
        <f>IF(A203&lt;&gt;"",COUNTIFS('QA Log'!D:D,A203,'QA Log'!M:M,"QQC",'QA Log'!L:L,"11. Additional Questions",'QA Log'!Z:Z,"Approved"),"")</f>
        <v/>
      </c>
      <c r="R203" s="102" t="str">
        <f>IF(A203="","",SUM(
COUNTIFS('QA Log'!D:D,A203,'QA Log'!M:M,"QQC",'QA Log'!Z:Z,"Rejected",'QA Log'!L:L,"*8. Maternity*"),
COUNTIFS('QA Log'!D:D,A203,'QA Log'!M:M,"QQC",'QA Log'!Z:Z,"Rejected",'QA Log'!L:L,"*EPI*"),
COUNTIFS('QA Log'!D:D,A203,'QA Log'!M:M,"QQC",'QA Log'!Z:Z,"Rejected",'QA Log'!L:L,"*10. Antenatal Care (ANC)*"),
COUNTIFS('QA Log'!D:D,A203,'QA Log'!M:M,"QQC",'QA Log'!Z:Z,"Rejected",'QA Log'!L:L,"*2. Hygiene and Sterilization*"),
COUNTIFS('QA Log'!D:D,A203,'QA Log'!M:M,"QQC",'QA Log'!Z:Z,"Rejected",'QA Log'!L:L,"*Family Planning*")))</f>
        <v/>
      </c>
      <c r="S203" s="106" t="str">
        <f t="shared" si="1"/>
        <v/>
      </c>
      <c r="T203" s="102" t="str">
        <f t="shared" si="2"/>
        <v/>
      </c>
      <c r="U203" s="102" t="str">
        <f>IF(A203="","",
SUM(
COUNTIFS('QA Log'!D:D,A203,'QA Log'!M:M,"QQC",'QA Log'!L:L,"*8. Maternity*"),
COUNTIFS('QA Log'!D:D,A203,'QA Log'!M:M,"QQC",'QA Log'!L:L,"*9. EPI and Pre-school Consultation*"),
COUNTIFS('QA Log'!D:D,A203,'QA Log'!M:M,"QQC",'QA Log'!L:L,"*10. Antenatal Care (ANC)*"),
COUNTIFS('QA Log'!D:D,A203,'QA Log'!M:M,"QQC",'QA Log'!L:L,"*2. Hygiene and Sterilization*"),
COUNTIFS('QA Log'!D:D,A203,'QA Log'!M:M,"QQC",'QA Log'!L:L,"*4. Family Planning*")
))</f>
        <v/>
      </c>
      <c r="V203" s="102" t="str">
        <f>IF(A203="","",
SUM(
COUNTIFS('QA Log'!D:D,A203,'QA Log'!M:M,"QQC",'QA Log'!Z:Z,"Approved",'QA Log'!L:L,"*8. Maternity*"),
COUNTIFS('QA Log'!D:D,A203,'QA Log'!M:M,"QQC",'QA Log'!Z:Z,"Approved",'QA Log'!L:L,"*9. EPI and Pre-school Consultation*"),
COUNTIFS('QA Log'!D:D,A203,'QA Log'!M:M,"QQC",'QA Log'!Z:Z,"Approved",'QA Log'!L:L,"*10. Antenatal Care (ANC)*"),
COUNTIFS('QA Log'!D:D,A203,'QA Log'!M:M,"QQC",'QA Log'!Z:Z,"Approved",'QA Log'!L:L,"*2. Hygiene and Sterilization*"),
COUNTIFS('QA Log'!D:D,A203,'QA Log'!M:M,"QQC",'QA Log'!Z:Z,"Approved",'QA Log'!L:L,"*4. Family Planning*")
))</f>
        <v/>
      </c>
      <c r="W203" s="105" t="str">
        <f>IF(A203&lt;&gt;"",COUNTIFS('QA Log'!D:D,A203,'QA Log'!M:M,"QQC",'QA Log'!L:L,"8. Maternity",'QA Log'!Z:Z,"Approved"),"")</f>
        <v/>
      </c>
      <c r="X203" s="105" t="str">
        <f>IF(A203&lt;&gt;"",COUNTIFS('QA Log'!D:D,A203,'QA Log'!M:M,"QQC",'QA Log'!L:L,"9. EPI and Pre-school Consultation",'QA Log'!Z:Z,"Approved"),"")</f>
        <v/>
      </c>
      <c r="Y203" s="105" t="str">
        <f>IF(A203&lt;&gt;"",COUNTIFS('QA Log'!D:D,A203,'QA Log'!M:M,"QQC",'QA Log'!L:L,"10. Antenatal Care (ANC)",'QA Log'!Z:Z,"Approved"),"")</f>
        <v/>
      </c>
      <c r="Z203" s="105" t="str">
        <f>IF(A203&lt;&gt;"",COUNTIFS('QA Log'!D:D,A203,'QA Log'!M:M,"QQC",'QA Log'!L:L,"2. Hygiene and Sterilization",'QA Log'!Z:Z,"Approved"),"")</f>
        <v/>
      </c>
      <c r="AA203" s="105" t="str">
        <f>IF(A203&lt;&gt;"",COUNTIFS('QA Log'!D:D,A203,'QA Log'!M:M,"QQC",'QA Log'!L:L,"4. Family Planning",'QA Log'!Z:Z,"Approved"),"")</f>
        <v/>
      </c>
      <c r="AB203" s="102" t="str">
        <f>IF(A203="","",
SUM(
COUNTIFS('QA Log'!D:D,A203,'QA Log'!M:M,"QQC",'QA Log'!Z:Z,"Rejected",'QA Log'!L:L,"*8. Maternity*"),
COUNTIFS('QA Log'!D:D,A203,'QA Log'!M:M,"QQC",'QA Log'!Z:Z,"Rejected",'QA Log'!L:L,"*9. EPI and Pre-school Consultation*"),
COUNTIFS('QA Log'!D:D,A203,'QA Log'!M:M,"QQC",'QA Log'!Z:Z,"Rejected",'QA Log'!L:L,"*10. Antenatal Care (ANC)*"),
COUNTIFS('QA Log'!D:D,A203,'QA Log'!M:M,"QQC",'QA Log'!Z:Z,"Rejected",'QA Log'!L:L,"*2. Hygiene and Sterilization*"),
COUNTIFS('QA Log'!D:D,A203,'QA Log'!M:M,"QQC",'QA Log'!Z:Z,"Rejected",'QA Log'!L:L,"*4. Family Planning*")
))</f>
        <v/>
      </c>
      <c r="AC203" s="102" t="str">
        <f t="shared" si="3"/>
        <v/>
      </c>
      <c r="AD203" s="103" t="str">
        <f t="shared" si="4"/>
        <v/>
      </c>
      <c r="AE203" s="102" t="str">
        <f>IF(A203="","",
SUM(
COUNTIFS('QA Log'!D:D,A203,'QA Log'!M:M,"Data Verification",'QA Log'!L:L,"*Medicine (section 2)*"),
COUNTIFS('QA Log'!D:D,A203,'QA Log'!M:M,"Data Verification",'QA Log'!L:L,"*Lab Testing Availability*"),
COUNTIFS('QA Log'!D:D,A203,'QA Log'!M:M,"Data Verification",'QA Log'!L:L,"*Other than P4P (section 6)*"),
COUNTIFS('QA Log'!D:D,A203,'QA Log'!M:M,"Data Verification",'QA Log'!L:L,"*Hospital Governance*")
))</f>
        <v/>
      </c>
      <c r="AF203" s="102" t="str">
        <f>IF(A203="","",
SUM(
COUNTIFS('QA Log'!D:D,A203,'QA Log'!M:M,"Data Verification",'QA Log'!Z:Z,"Approved",'QA Log'!L:L,"*Medicine (section 2)*"),
COUNTIFS('QA Log'!D:D,A203,'QA Log'!M:M,"Data Verification",'QA Log'!Z:Z,"Approved",'QA Log'!L:L,"*Lab Testing Availability*"),
COUNTIFS('QA Log'!D:D,A203,'QA Log'!M:M,"Data Verification",'QA Log'!Z:Z,"Approved",'QA Log'!L:L,"*Other than P4P (section 6)*"),
COUNTIFS('QA Log'!D:D,A203,'QA Log'!M:M,"Data Verification",'QA Log'!Z:Z,"Approved",'QA Log'!L:L,"*Hospital Governance*")
))</f>
        <v/>
      </c>
      <c r="AG203" s="105" t="str">
        <f>IF(A203&lt;&gt;"",COUNTIFS('QA Log'!D:D,A203,'QA Log'!M:M,"Data Verification",'QA Log'!L:L,"Medicine (section 2)",'QA Log'!Z:Z,"Approved"),"")</f>
        <v/>
      </c>
      <c r="AH203" s="105" t="str">
        <f>IF(A203&lt;&gt;"",COUNTIFS('QA Log'!D:D,A203,'QA Log'!M:M,"Data Verification",'QA Log'!L:L,"Lab Testing Availability",'QA Log'!Z:Z,"Approved"),"")</f>
        <v/>
      </c>
      <c r="AI203" s="105" t="str">
        <f>IF(A203&lt;&gt;"",COUNTIFS('QA Log'!D:D,A203,'QA Log'!M:M,"Data Verification",'QA Log'!L:L,"Other than P4P (section 6)",'QA Log'!Z:Z,"Approved"),"")</f>
        <v/>
      </c>
      <c r="AJ203" s="105" t="str">
        <f>IF(A203&lt;&gt;"",COUNTIFS('QA Log'!D:D,A203,'QA Log'!M:M,"Data Verification",'QA Log'!L:L,"Hospital Governance",'QA Log'!Z:Z,"Approved"),"")</f>
        <v/>
      </c>
      <c r="AK203" s="102" t="str">
        <f>IF(A203="","",
SUM(
COUNTIFS('QA Log'!D:D,A203,'QA Log'!M:M,"Data Verification",'QA Log'!Z:Z,"Rejected",'QA Log'!L:L,"*Medicine (section 2)*"),
COUNTIFS('QA Log'!D:D,A203,'QA Log'!M:M,"Data Verification",'QA Log'!Z:Z,"Rejected",'QA Log'!L:L,"*Lab Testing Availability*"),
COUNTIFS('QA Log'!D:D,A203,'QA Log'!M:M,"Data Verification",'QA Log'!Z:Z,"Rejected",'QA Log'!L:L,"*Other than P4P (section 6)*"),
COUNTIFS('QA Log'!D:D,A203,'QA Log'!M:M,"Data Verification",'QA Log'!Z:Z,"Rejected",'QA Log'!L:L,"*Hospital Governance*")
))</f>
        <v/>
      </c>
      <c r="AL203" s="106" t="str">
        <f t="shared" si="5"/>
        <v/>
      </c>
      <c r="AM203" s="102" t="str">
        <f t="shared" si="6"/>
        <v/>
      </c>
      <c r="AN203" s="102" t="str">
        <f>IF(A203="","",
SUM(
COUNTIFS('QA Log'!D:D,A203,'QA Log'!M:M,"Data Verification",'QA Log'!L:L,"*Personnel (section 1)*"),
COUNTIFS('QA Log'!D:D,A203,'QA Log'!M:M,"Data Verification",'QA Log'!L:L,"*Consumable (section 3)*"),
COUNTIFS('QA Log'!D:D,A203,'QA Log'!M:M,"Data Verification",'QA Log'!L:L,"*Equipments (section 4)*")
))</f>
        <v/>
      </c>
      <c r="AO203" s="102" t="str">
        <f>IF(A203="","",
SUM(
COUNTIFS('QA Log'!D:D,A203,'QA Log'!M:M,"Data Verification",'QA Log'!Z:Z,"Approved",'QA Log'!L:L,"*Personnel (section 1)*"),
COUNTIFS('QA Log'!D:D,A203,'QA Log'!M:M,"Data Verification",'QA Log'!Z:Z,"Approved",'QA Log'!L:L,"*Consumable (section 3)*"),
COUNTIFS('QA Log'!D:D,A203,'QA Log'!M:M,"Data Verification",'QA Log'!Z:Z,"Approved",'QA Log'!L:L,"*Equipments (section 4)*")
))</f>
        <v/>
      </c>
      <c r="AP203" s="105" t="str">
        <f>IF(A203&lt;&gt;"",COUNTIFS('QA Log'!D:D,A203,'QA Log'!M:M,"Data Verification",'QA Log'!L:L,"Personnel (section 1)",'QA Log'!Z:Z,"Approved"),"")</f>
        <v/>
      </c>
      <c r="AQ203" s="105" t="str">
        <f>IF(A203&lt;&gt;"",COUNTIFS('QA Log'!D:D,A203,'QA Log'!M:M,"Data Verification",'QA Log'!L:L,"Consumable (section 3)",'QA Log'!Z:Z,"Approved"),"")</f>
        <v/>
      </c>
      <c r="AR203" s="105" t="str">
        <f>IF(A203&lt;&gt;"",COUNTIFS('QA Log'!D:D,A203,'QA Log'!M:M,"Data Verification",'QA Log'!L:L,"Equipments (section 4)",'QA Log'!Z:Z,"Approved"),"")</f>
        <v/>
      </c>
      <c r="AS203" s="102" t="str">
        <f>IF(A203="","",
SUM(
COUNTIFS('QA Log'!D:D,A203,'QA Log'!M:M,"Data Verification",'QA Log'!Z:Z,"Rejected",'QA Log'!L:L,"*Personnel (section 1)*"),
COUNTIFS('QA Log'!D:D,A203,'QA Log'!M:M,"Data Verification",'QA Log'!Z:Z,"Rejected",'QA Log'!L:L,"*Consumable (section 3)*"),
COUNTIFS('QA Log'!D:D,A203,'QA Log'!M:M,"Data Verification",'QA Log'!Z:Z,"Rejected",'QA Log'!L:L,"*Equipments (section 4)*")
))</f>
        <v/>
      </c>
      <c r="AT203" s="102" t="str">
        <f t="shared" si="7"/>
        <v/>
      </c>
      <c r="AU203" s="103" t="str">
        <f t="shared" si="8"/>
        <v/>
      </c>
      <c r="AV203" s="102" t="str">
        <f>IF(A203="","",SUM(
COUNTIFS('QA Log'!D:D,A203,'QA Log'!M:M,"Vignette",'QA Log'!L:L,"*Vignette [1] Respiratory Infection: Pneumonia*"),
COUNTIFS('QA Log'!D:D,A203,'QA Log'!M:M,"Vignette",'QA Log'!L:L,"*Vignette [2]: Diarrhea with Cat B dehydration*"),
COUNTIFS('QA Log'!D:D,A203,'QA Log'!M:M,"Vignette",'QA Log'!L:L,"*Vignette [3] Growth Monitoring and Promotion*"),
COUNTIFS('QA Log'!D:D,A203,'QA Log'!M:M,"Vignette",'QA Log'!L:L,"*Vignette [4]: The management of presumptive TB patient*")
)
)</f>
        <v/>
      </c>
      <c r="AW203" s="102" t="str">
        <f>IF(
  A203="","",
  SUM(
    COUNTIFS('QA Log'!D:D,A203,'QA Log'!M:M,"Vignette",'QA Log'!Z:Z,"Approved",'QA Log'!L:L,"*Vignette [1] Respiratory Infection: Pneumonia*"),
    COUNTIFS('QA Log'!D:D,A203,'QA Log'!M:M,"Vignette",'QA Log'!Z:Z,"Approved",'QA Log'!L:L,"*Vignette [2]: Diarrhea with Cat B dehydration*"),
    COUNTIFS('QA Log'!D:D,A203,'QA Log'!M:M,"Vignette",'QA Log'!Z:Z,"Approved",'QA Log'!L:L,"*Vignette [3] Growth Monitoring and Promotion*"),
    COUNTIFS('QA Log'!D:D,A203,'QA Log'!M:M,"Vignette",'QA Log'!Z:Z,"Approved",'QA Log'!L:L,"*Vignette [4]: The management of presumptive TB patient*")
  )
)</f>
        <v/>
      </c>
      <c r="AX203" s="105" t="str">
        <f>IF(A203&lt;&gt;"",COUNTIFS('QA Log'!D:D,A203,'QA Log'!M:M,"Vignette",'QA Log'!L:L,"Vignette [1] Respiratory Infection: Pneumonia",'QA Log'!Z:Z,"Approved"),"")</f>
        <v/>
      </c>
      <c r="AY203" s="105" t="str">
        <f>IF(A203&lt;&gt;"",COUNTIFS('QA Log'!D:D,A203,'QA Log'!M:M,"Vignette",'QA Log'!L:L,"Vignette [2]: Diarrhea with Cat B dehydration",'QA Log'!Z:Z,"Approved"),"")</f>
        <v/>
      </c>
      <c r="AZ203" s="105" t="str">
        <f>IF(A203&lt;&gt;"",COUNTIFS('QA Log'!D:D,A203,'QA Log'!M:M,"Vignette",'QA Log'!L:L,"Vignette [3] Growth Monitoring and Promotion",'QA Log'!Z:Z,"Approved"),"")</f>
        <v/>
      </c>
      <c r="BA203" s="105" t="str">
        <f>IF(A203&lt;&gt;"",COUNTIFS('QA Log'!D:D,A203,'QA Log'!M:M,"Vignette",'QA Log'!L:L,"Vignette [4]: The management of presumptive TB patient",'QA Log'!Z:Z,"Approved"),"")</f>
        <v/>
      </c>
      <c r="BB203" s="102" t="str">
        <f>IF(A203="","",
  SUM(
    COUNTIFS('QA Log'!D:D,A203,'QA Log'!M:M,"Vignette",'QA Log'!Z:Z,"Rejected",'QA Log'!L:L,"*Vignette [1] Respiratory Infection: Pneumonia*"),
    COUNTIFS('QA Log'!D:D,A203,'QA Log'!M:M,"Vignette",'QA Log'!Z:Z,"Rejected",'QA Log'!L:L,"*Vignette [2]: Diarrhea with Cat B dehydration*"),
    COUNTIFS('QA Log'!D:D,A203,'QA Log'!M:M,"Vignette",'QA Log'!Z:Z,"Rejected",'QA Log'!L:L,"*Vignette [3] Growth Monitoring and Promotion*"),
    COUNTIFS('QA Log'!D:D,A203,'QA Log'!M:M,"Vignette",'QA Log'!Z:Z,"Rejected",'QA Log'!L:L,"*Vignette [4]: The management of presumptive TB patient*")
  )
)</f>
        <v/>
      </c>
      <c r="BC203" s="107" t="str">
        <f t="shared" si="9"/>
        <v/>
      </c>
      <c r="BD203" s="103" t="str">
        <f t="shared" si="10"/>
        <v/>
      </c>
      <c r="BE203" s="102" t="str">
        <f>IF(A203="","",SUM(
COUNTIFS('QA Log'!D:D,A203,'QA Log'!M:M,"Vignette",'QA Log'!L:L,"*Vignette [5] Labor*"),
COUNTIFS('QA Log'!D:D,A203,'QA Log'!M:M,"Vignette",'QA Log'!L:L,"*Vignette [6] PNC pre Discharge*"),
COUNTIFS('QA Log'!D:D,A203,'QA Log'!M:M,"Vignette",'QA Log'!L:L,"*Vignette [7] First ANC Visit*"),
COUNTIFS('QA Log'!D:D,A203,'QA Log'!M:M,"Vignette",'QA Log'!L:L,"*Vignette [8] Birth Spacing/ Family Planning :  FP Counselling*"),
COUNTIFS('QA Log'!D:D,A203,'QA Log'!M:M,"Vignette",'QA Log'!L:L,"*Vignette [9] Birth Spacing: Change FP method to Injectable*"),
COUNTIFS('QA Log'!D:D,A203,'QA Log'!M:M,"Vignette",'QA Log'!L:L,"*Vignette [10] Post Partum Haemorrhage - Atonic Uterus at Health Centre*"),
)
)</f>
        <v/>
      </c>
      <c r="BF203" s="102" t="str">
        <f>IF(A203="","",
  SUM(
    COUNTIFS('QA Log'!D:D,A203,'QA Log'!M:M,"Vignette",'QA Log'!Z:Z,"Approved",'QA Log'!L:L,"*Vignette [5] Labor*"),
    COUNTIFS('QA Log'!D:D,A203,'QA Log'!M:M,"Vignette",'QA Log'!Z:Z,"Approved",'QA Log'!L:L,"*Vignette [6] PNC pre Discharge*"),
    COUNTIFS('QA Log'!D:D,A203,'QA Log'!M:M,"Vignette",'QA Log'!Z:Z,"Approved",'QA Log'!L:L,"*Vignette [7] First ANC Visit*"),
    COUNTIFS('QA Log'!D:D,A203,'QA Log'!M:M,"Vignette",'QA Log'!Z:Z,"Approved",'QA Log'!L:L,"*Vignette [8] Birth Spacing/ Family Planning :  FP Counselling*"),
    COUNTIFS('QA Log'!D:D,A203,'QA Log'!M:M,"Vignette",'QA Log'!Z:Z,"Approved",'QA Log'!L:L,"*Vignette [9] Birth Spacing: Change FP method to Injectable*"),
    COUNTIFS('QA Log'!D:D,A203,'QA Log'!M:M,"Vignette",'QA Log'!Z:Z,"Approved",'QA Log'!L:L,"*Vignette [10] Post Partum Haemorrhage - Atonic Uterus at Health Centre*")
  )
)</f>
        <v/>
      </c>
      <c r="BG203" s="105" t="str">
        <f>IF(A203&lt;&gt;"",COUNTIFS('QA Log'!D:D,A203,'QA Log'!M:M,"Vignette",'QA Log'!L:L,"Vignette [5] Labor",'QA Log'!Z:Z,"Approved"),"")</f>
        <v/>
      </c>
      <c r="BH203" s="105" t="str">
        <f>IF(A203&lt;&gt;"",COUNTIFS('QA Log'!D:D,A203,'QA Log'!M:M,"Vignette",'QA Log'!L:L,"Vignette [6] PNC pre Discharge",'QA Log'!Z:Z,"Approved"),"")</f>
        <v/>
      </c>
      <c r="BI203" s="105" t="str">
        <f>IF(A203&lt;&gt;"",COUNTIFS('QA Log'!D:D,A203,'QA Log'!M:M,"Vignette",'QA Log'!L:L,"Vignette [7] First ANC Visit",'QA Log'!Z:Z,"Approved"),"")</f>
        <v/>
      </c>
      <c r="BJ203" s="105" t="str">
        <f>IF(A203&lt;&gt;"",COUNTIFS('QA Log'!D:D,A203,'QA Log'!M:M,"Vignette",'QA Log'!L:L,"Vignette [8] Birth Spacing/ Family Planning :  FP Counselling",'QA Log'!Z:Z,"Approved"),"")</f>
        <v/>
      </c>
      <c r="BK203" s="105" t="str">
        <f>IF(A203&lt;&gt;"",COUNTIFS('QA Log'!D:D,A203,'QA Log'!M:M,"Vignette",'QA Log'!L:L,"Vignette [9] Birth Spacing: Change FP method to Injectable",'QA Log'!Z:Z,"Approved"),"")</f>
        <v/>
      </c>
      <c r="BL203" s="105" t="str">
        <f>IF(A203&lt;&gt;"",COUNTIFS('QA Log'!D:D,A203,'QA Log'!M:M,"Vignette",'QA Log'!L:L,"Vignette [10] Post Partum Haemorrhage - Atonic Uterus at Health Centre",'QA Log'!Z:Z,"Approved"),"")</f>
        <v/>
      </c>
      <c r="BM203" s="102" t="str">
        <f>IF(A203="","",SUM(
    COUNTIFS('QA Log'!D:D,A203,'QA Log'!M:M,"Vignette",'QA Log'!Z:Z,"Rejected",'QA Log'!L:L,"*Vignette [5] Labor*"),
    COUNTIFS('QA Log'!D:D,A203,'QA Log'!M:M,"Vignette",'QA Log'!Z:Z,"Rejected",'QA Log'!L:L,"*Vignette [6] PNC pre Discharge*"),
    COUNTIFS('QA Log'!D:D,A203,'QA Log'!M:M,"Vignette",'QA Log'!Z:Z,"Rejected",'QA Log'!L:L,"*Vignette [7] First ANC Visit*"),
    COUNTIFS('QA Log'!D:D,A203,'QA Log'!M:M,"Vignette",'QA Log'!Z:Z,"Rejected",'QA Log'!L:L,"*Vignette [8] Birth Spacing/ Family Planning :  FP Counselling*"),
    COUNTIFS('QA Log'!D:D,A203,'QA Log'!M:M,"Vignette",'QA Log'!Z:Z,"Rejected",'QA Log'!L:L,"*Vignette [9] Birth Spacing: Change FP method to Injectable*"),
    COUNTIFS('QA Log'!D:D,A203,'QA Log'!M:M,"Vignette",'QA Log'!Z:Z,"Rejected",'QA Log'!L:L,"*Vignette [10] Post Partum Haemorrhage - Atonic Uterus at Health Centre*")
  )
)</f>
        <v/>
      </c>
      <c r="BN203" s="107" t="str">
        <f t="shared" si="11"/>
        <v/>
      </c>
      <c r="BO203" s="103" t="str">
        <f t="shared" si="12"/>
        <v/>
      </c>
      <c r="BP203" s="102" t="str">
        <f>IF(A203="","",SUM(
COUNTIFS('QA Log'!D:D,A203,'QA Log'!M:M,"Vignette",'QA Log'!L:L,"*Exit Interview 1*"),
COUNTIFS('QA Log'!D:D,A203,'QA Log'!M:M,"Vignette",'QA Log'!L:L,"*Exit Interview 2*"),
)
)</f>
        <v/>
      </c>
      <c r="BQ203" s="102" t="str">
        <f>IF(
  A203="","",
  SUM(
    COUNTIFS('QA Log'!D:D,A203,'QA Log'!M:M,"Vignette",'QA Log'!Z:Z,"Approved",'QA Log'!L:L,"*Exit Interview 1*"),
    COUNTIFS('QA Log'!D:D,A203,'QA Log'!M:M,"Vignette",'QA Log'!Z:Z,"Approved",'QA Log'!L:L,"*Exit Interview 2*")
  )
)</f>
        <v/>
      </c>
      <c r="BR203" s="105" t="str">
        <f>IF(A203&lt;&gt;"",COUNTIFS('QA Log'!D:D,A203,'QA Log'!M:M,"Vignette",'QA Log'!L:L,"Exit Interview 1",'QA Log'!Z:Z,"Approved"),"")</f>
        <v/>
      </c>
      <c r="BS203" s="105" t="str">
        <f>IF(A203&lt;&gt;"",COUNTIFS('QA Log'!D:D,A203,'QA Log'!M:M,"Vignette",'QA Log'!L:L,"Exit Interview 2",'QA Log'!Z:Z,"Approved"),"")</f>
        <v/>
      </c>
      <c r="BT203" s="102" t="str">
        <f>IF(
  A203="","",
  SUM(
    COUNTIFS('QA Log'!D:D,A203,'QA Log'!M:M,"Vignette",'QA Log'!Z:Z,"Rejected",'QA Log'!L:L,"*Exit Interview 1*"),
    COUNTIFS('QA Log'!D:D,A203,'QA Log'!M:M,"Vignette",'QA Log'!Z:Z,"Rejected",'QA Log'!L:L,"*Exit Interview 2*")
  )
)</f>
        <v/>
      </c>
      <c r="BU203" s="107" t="str">
        <f t="shared" si="13"/>
        <v/>
      </c>
      <c r="BV203" s="102" t="str">
        <f t="shared" si="14"/>
        <v/>
      </c>
      <c r="BW203" s="102" t="str">
        <f t="shared" si="15"/>
        <v/>
      </c>
      <c r="BX203" s="102" t="str">
        <f t="shared" si="16"/>
        <v/>
      </c>
      <c r="BY203" s="102" t="str">
        <f t="shared" si="17"/>
        <v/>
      </c>
      <c r="BZ203" s="107" t="str">
        <f t="shared" si="18"/>
        <v/>
      </c>
      <c r="CA203" s="108" t="str">
        <f t="shared" si="19"/>
        <v/>
      </c>
      <c r="CB203" s="108" t="str">
        <f t="shared" si="20"/>
        <v/>
      </c>
      <c r="CC203" s="109" t="str">
        <f t="shared" si="21"/>
        <v/>
      </c>
      <c r="CD203" s="108" t="str">
        <f t="shared" si="22"/>
        <v/>
      </c>
      <c r="CE203" s="108" t="str">
        <f t="shared" si="23"/>
        <v/>
      </c>
      <c r="CF203" s="109" t="str">
        <f t="shared" si="24"/>
        <v/>
      </c>
      <c r="CG203" s="110" t="str">
        <f t="shared" si="25"/>
        <v/>
      </c>
      <c r="CH203" s="111"/>
    </row>
    <row r="204" spans="1:86" ht="12.75">
      <c r="A204" s="101"/>
      <c r="B204" s="102" t="e">
        <f t="array" aca="1" ref="B204" ca="1">_xludf.XLOOKUP(A204,'QA Log'!D:D,'QA Log'!E:E,"")</f>
        <v>#NAME?</v>
      </c>
      <c r="C204" s="102" t="e">
        <f t="array" aca="1" ref="C204" ca="1">_xludf.XLOOKUP(A204,'QA Log'!D:D,'QA Log'!F:F,"")</f>
        <v>#NAME?</v>
      </c>
      <c r="D204" s="102" t="e">
        <f t="array" aca="1" ref="D204" ca="1">_xludf.XLOOKUP(A204,'QA Log'!D:D,'QA Log'!H:H,"")</f>
        <v>#NAME?</v>
      </c>
      <c r="E204" s="102" t="e">
        <f t="array" aca="1" ref="E204" ca="1">_xludf.XLOOKUP(A204,'QA Log'!D:D,'QA Log'!G:G,"")</f>
        <v>#NAME?</v>
      </c>
      <c r="F204" s="103"/>
      <c r="G204" s="104"/>
      <c r="H204" s="104"/>
      <c r="I204" s="103" t="str">
        <f t="shared" si="0"/>
        <v/>
      </c>
      <c r="J204" s="102" t="str">
        <f>IF(A204="","",SUM(
COUNTIFS('QA Log'!D:D,A204,'QA Log'!M:M,"QQC",'QA Log'!L:L,"*1. General Management*"),
COUNTIFS('QA Log'!D:D,A204,'QA Log'!M:M,"QQC",'QA Log'!L:L,"*3. Curative Consultation (OPD)*"),
COUNTIFS('QA Log'!D:D,A204,'QA Log'!M:M,"QQC",'QA Log'!L:L,"*5. Laboratory*"),
COUNTIFS('QA Log'!D:D,A204,'QA Log'!M:M,"QQC",'QA Log'!L:L,"*6. Essential Medicine Management*"),
COUNTIFS('QA Log'!D:D,A204,'QA Log'!M:M,"QQC",'QA Log'!L:L,"*7. Tracer Medicine*"),
COUNTIFS('QA Log'!D:D,A204,'QA Log'!M:M,"QQC",'QA Log'!L:L,"*11. Additional Questions*")))</f>
        <v/>
      </c>
      <c r="K204" s="102" t="str">
        <f>IF(A204="","",SUM(
COUNTIFS('QA Log'!D:D,A204,'QA Log'!M:M,"QQC",'QA Log'!Z:Z,"Approved",'QA Log'!L:L,"*1. General Management*"),
COUNTIFS('QA Log'!D:D,A204,'QA Log'!M:M,"QQC",'QA Log'!Z:Z,"Approved",'QA Log'!L:L,"*3. Curative Consultation (OPD)*"),
COUNTIFS('QA Log'!D:D,A204,'QA Log'!M:M,"QQC",'QA Log'!Z:Z,"Approved",'QA Log'!L:L,"*5. Laboratory*"),
COUNTIFS('QA Log'!D:D,A204,'QA Log'!M:M,"QQC",'QA Log'!Z:Z,"Approved",'QA Log'!L:L,"*6. Essential Medicine Management*"),
COUNTIFS('QA Log'!D:D,A204,'QA Log'!M:M,"QQC",'QA Log'!Z:Z,"Approved",'QA Log'!L:L,"*7. Tracer Medicine*"),
COUNTIFS('QA Log'!D:D,A204,'QA Log'!M:M,"QQC",'QA Log'!Z:Z,"Approved",'QA Log'!L:L,"*11. Additional Questions*")))</f>
        <v/>
      </c>
      <c r="L204" s="105" t="str">
        <f>IF(A204&lt;&gt;"",COUNTIFS('QA Log'!D:D,A204,'QA Log'!M:M,"QQC",'QA Log'!L:L,"1. General Management",'QA Log'!Z:Z,"Approved"),"")</f>
        <v/>
      </c>
      <c r="M204" s="105" t="str">
        <f>IF(A204&lt;&gt;"",COUNTIFS('QA Log'!D:D,A204,'QA Log'!M:M,"QQC",'QA Log'!L:L,"3. Curative Consultation (OPD)",'QA Log'!Z:Z,"Approved"),"")</f>
        <v/>
      </c>
      <c r="N204" s="105" t="str">
        <f>IF(A204&lt;&gt;"",COUNTIFS('QA Log'!D:D,A204,'QA Log'!M:M,"QQC",'QA Log'!L:L,"5. Laboratory",'QA Log'!Z:Z,"Approved"),"")</f>
        <v/>
      </c>
      <c r="O204" s="105" t="str">
        <f>IF(A204&lt;&gt;"",COUNTIFS('QA Log'!D:D,A204,'QA Log'!M:M,"QQC",'QA Log'!L:L,"6. Essential Medicine Management",'QA Log'!Z:Z,"Approved"),"")</f>
        <v/>
      </c>
      <c r="P204" s="105" t="str">
        <f>IF(A204&lt;&gt;"",COUNTIFS('QA Log'!D:D,A204,'QA Log'!M:M,"QQC",'QA Log'!L:L,"7. Tracer Medicine",'QA Log'!Z:Z,"Approved"),"")</f>
        <v/>
      </c>
      <c r="Q204" s="105" t="str">
        <f>IF(A204&lt;&gt;"",COUNTIFS('QA Log'!D:D,A204,'QA Log'!M:M,"QQC",'QA Log'!L:L,"11. Additional Questions",'QA Log'!Z:Z,"Approved"),"")</f>
        <v/>
      </c>
      <c r="R204" s="102" t="str">
        <f>IF(A204="","",SUM(
COUNTIFS('QA Log'!D:D,A204,'QA Log'!M:M,"QQC",'QA Log'!Z:Z,"Rejected",'QA Log'!L:L,"*8. Maternity*"),
COUNTIFS('QA Log'!D:D,A204,'QA Log'!M:M,"QQC",'QA Log'!Z:Z,"Rejected",'QA Log'!L:L,"*EPI*"),
COUNTIFS('QA Log'!D:D,A204,'QA Log'!M:M,"QQC",'QA Log'!Z:Z,"Rejected",'QA Log'!L:L,"*10. Antenatal Care (ANC)*"),
COUNTIFS('QA Log'!D:D,A204,'QA Log'!M:M,"QQC",'QA Log'!Z:Z,"Rejected",'QA Log'!L:L,"*2. Hygiene and Sterilization*"),
COUNTIFS('QA Log'!D:D,A204,'QA Log'!M:M,"QQC",'QA Log'!Z:Z,"Rejected",'QA Log'!L:L,"*Family Planning*")))</f>
        <v/>
      </c>
      <c r="S204" s="106" t="str">
        <f t="shared" si="1"/>
        <v/>
      </c>
      <c r="T204" s="102" t="str">
        <f t="shared" si="2"/>
        <v/>
      </c>
      <c r="U204" s="102" t="str">
        <f>IF(A204="","",
SUM(
COUNTIFS('QA Log'!D:D,A204,'QA Log'!M:M,"QQC",'QA Log'!L:L,"*8. Maternity*"),
COUNTIFS('QA Log'!D:D,A204,'QA Log'!M:M,"QQC",'QA Log'!L:L,"*9. EPI and Pre-school Consultation*"),
COUNTIFS('QA Log'!D:D,A204,'QA Log'!M:M,"QQC",'QA Log'!L:L,"*10. Antenatal Care (ANC)*"),
COUNTIFS('QA Log'!D:D,A204,'QA Log'!M:M,"QQC",'QA Log'!L:L,"*2. Hygiene and Sterilization*"),
COUNTIFS('QA Log'!D:D,A204,'QA Log'!M:M,"QQC",'QA Log'!L:L,"*4. Family Planning*")
))</f>
        <v/>
      </c>
      <c r="V204" s="102" t="str">
        <f>IF(A204="","",
SUM(
COUNTIFS('QA Log'!D:D,A204,'QA Log'!M:M,"QQC",'QA Log'!Z:Z,"Approved",'QA Log'!L:L,"*8. Maternity*"),
COUNTIFS('QA Log'!D:D,A204,'QA Log'!M:M,"QQC",'QA Log'!Z:Z,"Approved",'QA Log'!L:L,"*9. EPI and Pre-school Consultation*"),
COUNTIFS('QA Log'!D:D,A204,'QA Log'!M:M,"QQC",'QA Log'!Z:Z,"Approved",'QA Log'!L:L,"*10. Antenatal Care (ANC)*"),
COUNTIFS('QA Log'!D:D,A204,'QA Log'!M:M,"QQC",'QA Log'!Z:Z,"Approved",'QA Log'!L:L,"*2. Hygiene and Sterilization*"),
COUNTIFS('QA Log'!D:D,A204,'QA Log'!M:M,"QQC",'QA Log'!Z:Z,"Approved",'QA Log'!L:L,"*4. Family Planning*")
))</f>
        <v/>
      </c>
      <c r="W204" s="105" t="str">
        <f>IF(A204&lt;&gt;"",COUNTIFS('QA Log'!D:D,A204,'QA Log'!M:M,"QQC",'QA Log'!L:L,"8. Maternity",'QA Log'!Z:Z,"Approved"),"")</f>
        <v/>
      </c>
      <c r="X204" s="105" t="str">
        <f>IF(A204&lt;&gt;"",COUNTIFS('QA Log'!D:D,A204,'QA Log'!M:M,"QQC",'QA Log'!L:L,"9. EPI and Pre-school Consultation",'QA Log'!Z:Z,"Approved"),"")</f>
        <v/>
      </c>
      <c r="Y204" s="105" t="str">
        <f>IF(A204&lt;&gt;"",COUNTIFS('QA Log'!D:D,A204,'QA Log'!M:M,"QQC",'QA Log'!L:L,"10. Antenatal Care (ANC)",'QA Log'!Z:Z,"Approved"),"")</f>
        <v/>
      </c>
      <c r="Z204" s="105" t="str">
        <f>IF(A204&lt;&gt;"",COUNTIFS('QA Log'!D:D,A204,'QA Log'!M:M,"QQC",'QA Log'!L:L,"2. Hygiene and Sterilization",'QA Log'!Z:Z,"Approved"),"")</f>
        <v/>
      </c>
      <c r="AA204" s="105" t="str">
        <f>IF(A204&lt;&gt;"",COUNTIFS('QA Log'!D:D,A204,'QA Log'!M:M,"QQC",'QA Log'!L:L,"4. Family Planning",'QA Log'!Z:Z,"Approved"),"")</f>
        <v/>
      </c>
      <c r="AB204" s="102" t="str">
        <f>IF(A204="","",
SUM(
COUNTIFS('QA Log'!D:D,A204,'QA Log'!M:M,"QQC",'QA Log'!Z:Z,"Rejected",'QA Log'!L:L,"*8. Maternity*"),
COUNTIFS('QA Log'!D:D,A204,'QA Log'!M:M,"QQC",'QA Log'!Z:Z,"Rejected",'QA Log'!L:L,"*9. EPI and Pre-school Consultation*"),
COUNTIFS('QA Log'!D:D,A204,'QA Log'!M:M,"QQC",'QA Log'!Z:Z,"Rejected",'QA Log'!L:L,"*10. Antenatal Care (ANC)*"),
COUNTIFS('QA Log'!D:D,A204,'QA Log'!M:M,"QQC",'QA Log'!Z:Z,"Rejected",'QA Log'!L:L,"*2. Hygiene and Sterilization*"),
COUNTIFS('QA Log'!D:D,A204,'QA Log'!M:M,"QQC",'QA Log'!Z:Z,"Rejected",'QA Log'!L:L,"*4. Family Planning*")
))</f>
        <v/>
      </c>
      <c r="AC204" s="102" t="str">
        <f t="shared" si="3"/>
        <v/>
      </c>
      <c r="AD204" s="103" t="str">
        <f t="shared" si="4"/>
        <v/>
      </c>
      <c r="AE204" s="102" t="str">
        <f>IF(A204="","",
SUM(
COUNTIFS('QA Log'!D:D,A204,'QA Log'!M:M,"Data Verification",'QA Log'!L:L,"*Medicine (section 2)*"),
COUNTIFS('QA Log'!D:D,A204,'QA Log'!M:M,"Data Verification",'QA Log'!L:L,"*Lab Testing Availability*"),
COUNTIFS('QA Log'!D:D,A204,'QA Log'!M:M,"Data Verification",'QA Log'!L:L,"*Other than P4P (section 6)*"),
COUNTIFS('QA Log'!D:D,A204,'QA Log'!M:M,"Data Verification",'QA Log'!L:L,"*Hospital Governance*")
))</f>
        <v/>
      </c>
      <c r="AF204" s="102" t="str">
        <f>IF(A204="","",
SUM(
COUNTIFS('QA Log'!D:D,A204,'QA Log'!M:M,"Data Verification",'QA Log'!Z:Z,"Approved",'QA Log'!L:L,"*Medicine (section 2)*"),
COUNTIFS('QA Log'!D:D,A204,'QA Log'!M:M,"Data Verification",'QA Log'!Z:Z,"Approved",'QA Log'!L:L,"*Lab Testing Availability*"),
COUNTIFS('QA Log'!D:D,A204,'QA Log'!M:M,"Data Verification",'QA Log'!Z:Z,"Approved",'QA Log'!L:L,"*Other than P4P (section 6)*"),
COUNTIFS('QA Log'!D:D,A204,'QA Log'!M:M,"Data Verification",'QA Log'!Z:Z,"Approved",'QA Log'!L:L,"*Hospital Governance*")
))</f>
        <v/>
      </c>
      <c r="AG204" s="105" t="str">
        <f>IF(A204&lt;&gt;"",COUNTIFS('QA Log'!D:D,A204,'QA Log'!M:M,"Data Verification",'QA Log'!L:L,"Medicine (section 2)",'QA Log'!Z:Z,"Approved"),"")</f>
        <v/>
      </c>
      <c r="AH204" s="105" t="str">
        <f>IF(A204&lt;&gt;"",COUNTIFS('QA Log'!D:D,A204,'QA Log'!M:M,"Data Verification",'QA Log'!L:L,"Lab Testing Availability",'QA Log'!Z:Z,"Approved"),"")</f>
        <v/>
      </c>
      <c r="AI204" s="105" t="str">
        <f>IF(A204&lt;&gt;"",COUNTIFS('QA Log'!D:D,A204,'QA Log'!M:M,"Data Verification",'QA Log'!L:L,"Other than P4P (section 6)",'QA Log'!Z:Z,"Approved"),"")</f>
        <v/>
      </c>
      <c r="AJ204" s="105" t="str">
        <f>IF(A204&lt;&gt;"",COUNTIFS('QA Log'!D:D,A204,'QA Log'!M:M,"Data Verification",'QA Log'!L:L,"Hospital Governance",'QA Log'!Z:Z,"Approved"),"")</f>
        <v/>
      </c>
      <c r="AK204" s="102" t="str">
        <f>IF(A204="","",
SUM(
COUNTIFS('QA Log'!D:D,A204,'QA Log'!M:M,"Data Verification",'QA Log'!Z:Z,"Rejected",'QA Log'!L:L,"*Medicine (section 2)*"),
COUNTIFS('QA Log'!D:D,A204,'QA Log'!M:M,"Data Verification",'QA Log'!Z:Z,"Rejected",'QA Log'!L:L,"*Lab Testing Availability*"),
COUNTIFS('QA Log'!D:D,A204,'QA Log'!M:M,"Data Verification",'QA Log'!Z:Z,"Rejected",'QA Log'!L:L,"*Other than P4P (section 6)*"),
COUNTIFS('QA Log'!D:D,A204,'QA Log'!M:M,"Data Verification",'QA Log'!Z:Z,"Rejected",'QA Log'!L:L,"*Hospital Governance*")
))</f>
        <v/>
      </c>
      <c r="AL204" s="106" t="str">
        <f t="shared" si="5"/>
        <v/>
      </c>
      <c r="AM204" s="102" t="str">
        <f t="shared" si="6"/>
        <v/>
      </c>
      <c r="AN204" s="102" t="str">
        <f>IF(A204="","",
SUM(
COUNTIFS('QA Log'!D:D,A204,'QA Log'!M:M,"Data Verification",'QA Log'!L:L,"*Personnel (section 1)*"),
COUNTIFS('QA Log'!D:D,A204,'QA Log'!M:M,"Data Verification",'QA Log'!L:L,"*Consumable (section 3)*"),
COUNTIFS('QA Log'!D:D,A204,'QA Log'!M:M,"Data Verification",'QA Log'!L:L,"*Equipments (section 4)*")
))</f>
        <v/>
      </c>
      <c r="AO204" s="102" t="str">
        <f>IF(A204="","",
SUM(
COUNTIFS('QA Log'!D:D,A204,'QA Log'!M:M,"Data Verification",'QA Log'!Z:Z,"Approved",'QA Log'!L:L,"*Personnel (section 1)*"),
COUNTIFS('QA Log'!D:D,A204,'QA Log'!M:M,"Data Verification",'QA Log'!Z:Z,"Approved",'QA Log'!L:L,"*Consumable (section 3)*"),
COUNTIFS('QA Log'!D:D,A204,'QA Log'!M:M,"Data Verification",'QA Log'!Z:Z,"Approved",'QA Log'!L:L,"*Equipments (section 4)*")
))</f>
        <v/>
      </c>
      <c r="AP204" s="105" t="str">
        <f>IF(A204&lt;&gt;"",COUNTIFS('QA Log'!D:D,A204,'QA Log'!M:M,"Data Verification",'QA Log'!L:L,"Personnel (section 1)",'QA Log'!Z:Z,"Approved"),"")</f>
        <v/>
      </c>
      <c r="AQ204" s="105" t="str">
        <f>IF(A204&lt;&gt;"",COUNTIFS('QA Log'!D:D,A204,'QA Log'!M:M,"Data Verification",'QA Log'!L:L,"Consumable (section 3)",'QA Log'!Z:Z,"Approved"),"")</f>
        <v/>
      </c>
      <c r="AR204" s="105" t="str">
        <f>IF(A204&lt;&gt;"",COUNTIFS('QA Log'!D:D,A204,'QA Log'!M:M,"Data Verification",'QA Log'!L:L,"Equipments (section 4)",'QA Log'!Z:Z,"Approved"),"")</f>
        <v/>
      </c>
      <c r="AS204" s="102" t="str">
        <f>IF(A204="","",
SUM(
COUNTIFS('QA Log'!D:D,A204,'QA Log'!M:M,"Data Verification",'QA Log'!Z:Z,"Rejected",'QA Log'!L:L,"*Personnel (section 1)*"),
COUNTIFS('QA Log'!D:D,A204,'QA Log'!M:M,"Data Verification",'QA Log'!Z:Z,"Rejected",'QA Log'!L:L,"*Consumable (section 3)*"),
COUNTIFS('QA Log'!D:D,A204,'QA Log'!M:M,"Data Verification",'QA Log'!Z:Z,"Rejected",'QA Log'!L:L,"*Equipments (section 4)*")
))</f>
        <v/>
      </c>
      <c r="AT204" s="102" t="str">
        <f t="shared" si="7"/>
        <v/>
      </c>
      <c r="AU204" s="103" t="str">
        <f t="shared" si="8"/>
        <v/>
      </c>
      <c r="AV204" s="102" t="str">
        <f>IF(A204="","",SUM(
COUNTIFS('QA Log'!D:D,A204,'QA Log'!M:M,"Vignette",'QA Log'!L:L,"*Vignette [1] Respiratory Infection: Pneumonia*"),
COUNTIFS('QA Log'!D:D,A204,'QA Log'!M:M,"Vignette",'QA Log'!L:L,"*Vignette [2]: Diarrhea with Cat B dehydration*"),
COUNTIFS('QA Log'!D:D,A204,'QA Log'!M:M,"Vignette",'QA Log'!L:L,"*Vignette [3] Growth Monitoring and Promotion*"),
COUNTIFS('QA Log'!D:D,A204,'QA Log'!M:M,"Vignette",'QA Log'!L:L,"*Vignette [4]: The management of presumptive TB patient*")
)
)</f>
        <v/>
      </c>
      <c r="AW204" s="102" t="str">
        <f>IF(
  A204="","",
  SUM(
    COUNTIFS('QA Log'!D:D,A204,'QA Log'!M:M,"Vignette",'QA Log'!Z:Z,"Approved",'QA Log'!L:L,"*Vignette [1] Respiratory Infection: Pneumonia*"),
    COUNTIFS('QA Log'!D:D,A204,'QA Log'!M:M,"Vignette",'QA Log'!Z:Z,"Approved",'QA Log'!L:L,"*Vignette [2]: Diarrhea with Cat B dehydration*"),
    COUNTIFS('QA Log'!D:D,A204,'QA Log'!M:M,"Vignette",'QA Log'!Z:Z,"Approved",'QA Log'!L:L,"*Vignette [3] Growth Monitoring and Promotion*"),
    COUNTIFS('QA Log'!D:D,A204,'QA Log'!M:M,"Vignette",'QA Log'!Z:Z,"Approved",'QA Log'!L:L,"*Vignette [4]: The management of presumptive TB patient*")
  )
)</f>
        <v/>
      </c>
      <c r="AX204" s="105" t="str">
        <f>IF(A204&lt;&gt;"",COUNTIFS('QA Log'!D:D,A204,'QA Log'!M:M,"Vignette",'QA Log'!L:L,"Vignette [1] Respiratory Infection: Pneumonia",'QA Log'!Z:Z,"Approved"),"")</f>
        <v/>
      </c>
      <c r="AY204" s="105" t="str">
        <f>IF(A204&lt;&gt;"",COUNTIFS('QA Log'!D:D,A204,'QA Log'!M:M,"Vignette",'QA Log'!L:L,"Vignette [2]: Diarrhea with Cat B dehydration",'QA Log'!Z:Z,"Approved"),"")</f>
        <v/>
      </c>
      <c r="AZ204" s="105" t="str">
        <f>IF(A204&lt;&gt;"",COUNTIFS('QA Log'!D:D,A204,'QA Log'!M:M,"Vignette",'QA Log'!L:L,"Vignette [3] Growth Monitoring and Promotion",'QA Log'!Z:Z,"Approved"),"")</f>
        <v/>
      </c>
      <c r="BA204" s="105" t="str">
        <f>IF(A204&lt;&gt;"",COUNTIFS('QA Log'!D:D,A204,'QA Log'!M:M,"Vignette",'QA Log'!L:L,"Vignette [4]: The management of presumptive TB patient",'QA Log'!Z:Z,"Approved"),"")</f>
        <v/>
      </c>
      <c r="BB204" s="102" t="str">
        <f>IF(A204="","",
  SUM(
    COUNTIFS('QA Log'!D:D,A204,'QA Log'!M:M,"Vignette",'QA Log'!Z:Z,"Rejected",'QA Log'!L:L,"*Vignette [1] Respiratory Infection: Pneumonia*"),
    COUNTIFS('QA Log'!D:D,A204,'QA Log'!M:M,"Vignette",'QA Log'!Z:Z,"Rejected",'QA Log'!L:L,"*Vignette [2]: Diarrhea with Cat B dehydration*"),
    COUNTIFS('QA Log'!D:D,A204,'QA Log'!M:M,"Vignette",'QA Log'!Z:Z,"Rejected",'QA Log'!L:L,"*Vignette [3] Growth Monitoring and Promotion*"),
    COUNTIFS('QA Log'!D:D,A204,'QA Log'!M:M,"Vignette",'QA Log'!Z:Z,"Rejected",'QA Log'!L:L,"*Vignette [4]: The management of presumptive TB patient*")
  )
)</f>
        <v/>
      </c>
      <c r="BC204" s="107" t="str">
        <f t="shared" si="9"/>
        <v/>
      </c>
      <c r="BD204" s="103" t="str">
        <f t="shared" si="10"/>
        <v/>
      </c>
      <c r="BE204" s="102" t="str">
        <f>IF(A204="","",SUM(
COUNTIFS('QA Log'!D:D,A204,'QA Log'!M:M,"Vignette",'QA Log'!L:L,"*Vignette [5] Labor*"),
COUNTIFS('QA Log'!D:D,A204,'QA Log'!M:M,"Vignette",'QA Log'!L:L,"*Vignette [6] PNC pre Discharge*"),
COUNTIFS('QA Log'!D:D,A204,'QA Log'!M:M,"Vignette",'QA Log'!L:L,"*Vignette [7] First ANC Visit*"),
COUNTIFS('QA Log'!D:D,A204,'QA Log'!M:M,"Vignette",'QA Log'!L:L,"*Vignette [8] Birth Spacing/ Family Planning :  FP Counselling*"),
COUNTIFS('QA Log'!D:D,A204,'QA Log'!M:M,"Vignette",'QA Log'!L:L,"*Vignette [9] Birth Spacing: Change FP method to Injectable*"),
COUNTIFS('QA Log'!D:D,A204,'QA Log'!M:M,"Vignette",'QA Log'!L:L,"*Vignette [10] Post Partum Haemorrhage - Atonic Uterus at Health Centre*"),
)
)</f>
        <v/>
      </c>
      <c r="BF204" s="102" t="str">
        <f>IF(A204="","",
  SUM(
    COUNTIFS('QA Log'!D:D,A204,'QA Log'!M:M,"Vignette",'QA Log'!Z:Z,"Approved",'QA Log'!L:L,"*Vignette [5] Labor*"),
    COUNTIFS('QA Log'!D:D,A204,'QA Log'!M:M,"Vignette",'QA Log'!Z:Z,"Approved",'QA Log'!L:L,"*Vignette [6] PNC pre Discharge*"),
    COUNTIFS('QA Log'!D:D,A204,'QA Log'!M:M,"Vignette",'QA Log'!Z:Z,"Approved",'QA Log'!L:L,"*Vignette [7] First ANC Visit*"),
    COUNTIFS('QA Log'!D:D,A204,'QA Log'!M:M,"Vignette",'QA Log'!Z:Z,"Approved",'QA Log'!L:L,"*Vignette [8] Birth Spacing/ Family Planning :  FP Counselling*"),
    COUNTIFS('QA Log'!D:D,A204,'QA Log'!M:M,"Vignette",'QA Log'!Z:Z,"Approved",'QA Log'!L:L,"*Vignette [9] Birth Spacing: Change FP method to Injectable*"),
    COUNTIFS('QA Log'!D:D,A204,'QA Log'!M:M,"Vignette",'QA Log'!Z:Z,"Approved",'QA Log'!L:L,"*Vignette [10] Post Partum Haemorrhage - Atonic Uterus at Health Centre*")
  )
)</f>
        <v/>
      </c>
      <c r="BG204" s="105" t="str">
        <f>IF(A204&lt;&gt;"",COUNTIFS('QA Log'!D:D,A204,'QA Log'!M:M,"Vignette",'QA Log'!L:L,"Vignette [5] Labor",'QA Log'!Z:Z,"Approved"),"")</f>
        <v/>
      </c>
      <c r="BH204" s="105" t="str">
        <f>IF(A204&lt;&gt;"",COUNTIFS('QA Log'!D:D,A204,'QA Log'!M:M,"Vignette",'QA Log'!L:L,"Vignette [6] PNC pre Discharge",'QA Log'!Z:Z,"Approved"),"")</f>
        <v/>
      </c>
      <c r="BI204" s="105" t="str">
        <f>IF(A204&lt;&gt;"",COUNTIFS('QA Log'!D:D,A204,'QA Log'!M:M,"Vignette",'QA Log'!L:L,"Vignette [7] First ANC Visit",'QA Log'!Z:Z,"Approved"),"")</f>
        <v/>
      </c>
      <c r="BJ204" s="105" t="str">
        <f>IF(A204&lt;&gt;"",COUNTIFS('QA Log'!D:D,A204,'QA Log'!M:M,"Vignette",'QA Log'!L:L,"Vignette [8] Birth Spacing/ Family Planning :  FP Counselling",'QA Log'!Z:Z,"Approved"),"")</f>
        <v/>
      </c>
      <c r="BK204" s="105" t="str">
        <f>IF(A204&lt;&gt;"",COUNTIFS('QA Log'!D:D,A204,'QA Log'!M:M,"Vignette",'QA Log'!L:L,"Vignette [9] Birth Spacing: Change FP method to Injectable",'QA Log'!Z:Z,"Approved"),"")</f>
        <v/>
      </c>
      <c r="BL204" s="105" t="str">
        <f>IF(A204&lt;&gt;"",COUNTIFS('QA Log'!D:D,A204,'QA Log'!M:M,"Vignette",'QA Log'!L:L,"Vignette [10] Post Partum Haemorrhage - Atonic Uterus at Health Centre",'QA Log'!Z:Z,"Approved"),"")</f>
        <v/>
      </c>
      <c r="BM204" s="102" t="str">
        <f>IF(A204="","",SUM(
    COUNTIFS('QA Log'!D:D,A204,'QA Log'!M:M,"Vignette",'QA Log'!Z:Z,"Rejected",'QA Log'!L:L,"*Vignette [5] Labor*"),
    COUNTIFS('QA Log'!D:D,A204,'QA Log'!M:M,"Vignette",'QA Log'!Z:Z,"Rejected",'QA Log'!L:L,"*Vignette [6] PNC pre Discharge*"),
    COUNTIFS('QA Log'!D:D,A204,'QA Log'!M:M,"Vignette",'QA Log'!Z:Z,"Rejected",'QA Log'!L:L,"*Vignette [7] First ANC Visit*"),
    COUNTIFS('QA Log'!D:D,A204,'QA Log'!M:M,"Vignette",'QA Log'!Z:Z,"Rejected",'QA Log'!L:L,"*Vignette [8] Birth Spacing/ Family Planning :  FP Counselling*"),
    COUNTIFS('QA Log'!D:D,A204,'QA Log'!M:M,"Vignette",'QA Log'!Z:Z,"Rejected",'QA Log'!L:L,"*Vignette [9] Birth Spacing: Change FP method to Injectable*"),
    COUNTIFS('QA Log'!D:D,A204,'QA Log'!M:M,"Vignette",'QA Log'!Z:Z,"Rejected",'QA Log'!L:L,"*Vignette [10] Post Partum Haemorrhage - Atonic Uterus at Health Centre*")
  )
)</f>
        <v/>
      </c>
      <c r="BN204" s="107" t="str">
        <f t="shared" si="11"/>
        <v/>
      </c>
      <c r="BO204" s="103" t="str">
        <f t="shared" si="12"/>
        <v/>
      </c>
      <c r="BP204" s="102" t="str">
        <f>IF(A204="","",SUM(
COUNTIFS('QA Log'!D:D,A204,'QA Log'!M:M,"Vignette",'QA Log'!L:L,"*Exit Interview 1*"),
COUNTIFS('QA Log'!D:D,A204,'QA Log'!M:M,"Vignette",'QA Log'!L:L,"*Exit Interview 2*"),
)
)</f>
        <v/>
      </c>
      <c r="BQ204" s="102" t="str">
        <f>IF(
  A204="","",
  SUM(
    COUNTIFS('QA Log'!D:D,A204,'QA Log'!M:M,"Vignette",'QA Log'!Z:Z,"Approved",'QA Log'!L:L,"*Exit Interview 1*"),
    COUNTIFS('QA Log'!D:D,A204,'QA Log'!M:M,"Vignette",'QA Log'!Z:Z,"Approved",'QA Log'!L:L,"*Exit Interview 2*")
  )
)</f>
        <v/>
      </c>
      <c r="BR204" s="105" t="str">
        <f>IF(A204&lt;&gt;"",COUNTIFS('QA Log'!D:D,A204,'QA Log'!M:M,"Vignette",'QA Log'!L:L,"Exit Interview 1",'QA Log'!Z:Z,"Approved"),"")</f>
        <v/>
      </c>
      <c r="BS204" s="105" t="str">
        <f>IF(A204&lt;&gt;"",COUNTIFS('QA Log'!D:D,A204,'QA Log'!M:M,"Vignette",'QA Log'!L:L,"Exit Interview 2",'QA Log'!Z:Z,"Approved"),"")</f>
        <v/>
      </c>
      <c r="BT204" s="102" t="str">
        <f>IF(
  A204="","",
  SUM(
    COUNTIFS('QA Log'!D:D,A204,'QA Log'!M:M,"Vignette",'QA Log'!Z:Z,"Rejected",'QA Log'!L:L,"*Exit Interview 1*"),
    COUNTIFS('QA Log'!D:D,A204,'QA Log'!M:M,"Vignette",'QA Log'!Z:Z,"Rejected",'QA Log'!L:L,"*Exit Interview 2*")
  )
)</f>
        <v/>
      </c>
      <c r="BU204" s="107" t="str">
        <f t="shared" si="13"/>
        <v/>
      </c>
      <c r="BV204" s="102" t="str">
        <f t="shared" si="14"/>
        <v/>
      </c>
      <c r="BW204" s="102" t="str">
        <f t="shared" si="15"/>
        <v/>
      </c>
      <c r="BX204" s="102" t="str">
        <f t="shared" si="16"/>
        <v/>
      </c>
      <c r="BY204" s="102" t="str">
        <f t="shared" si="17"/>
        <v/>
      </c>
      <c r="BZ204" s="107" t="str">
        <f t="shared" si="18"/>
        <v/>
      </c>
      <c r="CA204" s="108" t="str">
        <f t="shared" si="19"/>
        <v/>
      </c>
      <c r="CB204" s="108" t="str">
        <f t="shared" si="20"/>
        <v/>
      </c>
      <c r="CC204" s="109" t="str">
        <f t="shared" si="21"/>
        <v/>
      </c>
      <c r="CD204" s="108" t="str">
        <f t="shared" si="22"/>
        <v/>
      </c>
      <c r="CE204" s="108" t="str">
        <f t="shared" si="23"/>
        <v/>
      </c>
      <c r="CF204" s="109" t="str">
        <f t="shared" si="24"/>
        <v/>
      </c>
      <c r="CG204" s="110" t="str">
        <f t="shared" si="25"/>
        <v/>
      </c>
      <c r="CH204" s="111"/>
    </row>
    <row r="205" spans="1:86" ht="12.75">
      <c r="A205" s="101"/>
      <c r="B205" s="102" t="e">
        <f t="array" aca="1" ref="B205" ca="1">_xludf.XLOOKUP(A205,'QA Log'!D:D,'QA Log'!E:E,"")</f>
        <v>#NAME?</v>
      </c>
      <c r="C205" s="102" t="e">
        <f t="array" aca="1" ref="C205" ca="1">_xludf.XLOOKUP(A205,'QA Log'!D:D,'QA Log'!F:F,"")</f>
        <v>#NAME?</v>
      </c>
      <c r="D205" s="102" t="e">
        <f t="array" aca="1" ref="D205" ca="1">_xludf.XLOOKUP(A205,'QA Log'!D:D,'QA Log'!H:H,"")</f>
        <v>#NAME?</v>
      </c>
      <c r="E205" s="102" t="e">
        <f t="array" aca="1" ref="E205" ca="1">_xludf.XLOOKUP(A205,'QA Log'!D:D,'QA Log'!G:G,"")</f>
        <v>#NAME?</v>
      </c>
      <c r="F205" s="103"/>
      <c r="G205" s="104"/>
      <c r="H205" s="104"/>
      <c r="I205" s="103" t="str">
        <f t="shared" si="0"/>
        <v/>
      </c>
      <c r="J205" s="102" t="str">
        <f>IF(A205="","",SUM(
COUNTIFS('QA Log'!D:D,A205,'QA Log'!M:M,"QQC",'QA Log'!L:L,"*1. General Management*"),
COUNTIFS('QA Log'!D:D,A205,'QA Log'!M:M,"QQC",'QA Log'!L:L,"*3. Curative Consultation (OPD)*"),
COUNTIFS('QA Log'!D:D,A205,'QA Log'!M:M,"QQC",'QA Log'!L:L,"*5. Laboratory*"),
COUNTIFS('QA Log'!D:D,A205,'QA Log'!M:M,"QQC",'QA Log'!L:L,"*6. Essential Medicine Management*"),
COUNTIFS('QA Log'!D:D,A205,'QA Log'!M:M,"QQC",'QA Log'!L:L,"*7. Tracer Medicine*"),
COUNTIFS('QA Log'!D:D,A205,'QA Log'!M:M,"QQC",'QA Log'!L:L,"*11. Additional Questions*")))</f>
        <v/>
      </c>
      <c r="K205" s="102" t="str">
        <f>IF(A205="","",SUM(
COUNTIFS('QA Log'!D:D,A205,'QA Log'!M:M,"QQC",'QA Log'!Z:Z,"Approved",'QA Log'!L:L,"*1. General Management*"),
COUNTIFS('QA Log'!D:D,A205,'QA Log'!M:M,"QQC",'QA Log'!Z:Z,"Approved",'QA Log'!L:L,"*3. Curative Consultation (OPD)*"),
COUNTIFS('QA Log'!D:D,A205,'QA Log'!M:M,"QQC",'QA Log'!Z:Z,"Approved",'QA Log'!L:L,"*5. Laboratory*"),
COUNTIFS('QA Log'!D:D,A205,'QA Log'!M:M,"QQC",'QA Log'!Z:Z,"Approved",'QA Log'!L:L,"*6. Essential Medicine Management*"),
COUNTIFS('QA Log'!D:D,A205,'QA Log'!M:M,"QQC",'QA Log'!Z:Z,"Approved",'QA Log'!L:L,"*7. Tracer Medicine*"),
COUNTIFS('QA Log'!D:D,A205,'QA Log'!M:M,"QQC",'QA Log'!Z:Z,"Approved",'QA Log'!L:L,"*11. Additional Questions*")))</f>
        <v/>
      </c>
      <c r="L205" s="105" t="str">
        <f>IF(A205&lt;&gt;"",COUNTIFS('QA Log'!D:D,A205,'QA Log'!M:M,"QQC",'QA Log'!L:L,"1. General Management",'QA Log'!Z:Z,"Approved"),"")</f>
        <v/>
      </c>
      <c r="M205" s="105" t="str">
        <f>IF(A205&lt;&gt;"",COUNTIFS('QA Log'!D:D,A205,'QA Log'!M:M,"QQC",'QA Log'!L:L,"3. Curative Consultation (OPD)",'QA Log'!Z:Z,"Approved"),"")</f>
        <v/>
      </c>
      <c r="N205" s="105" t="str">
        <f>IF(A205&lt;&gt;"",COUNTIFS('QA Log'!D:D,A205,'QA Log'!M:M,"QQC",'QA Log'!L:L,"5. Laboratory",'QA Log'!Z:Z,"Approved"),"")</f>
        <v/>
      </c>
      <c r="O205" s="105" t="str">
        <f>IF(A205&lt;&gt;"",COUNTIFS('QA Log'!D:D,A205,'QA Log'!M:M,"QQC",'QA Log'!L:L,"6. Essential Medicine Management",'QA Log'!Z:Z,"Approved"),"")</f>
        <v/>
      </c>
      <c r="P205" s="105" t="str">
        <f>IF(A205&lt;&gt;"",COUNTIFS('QA Log'!D:D,A205,'QA Log'!M:M,"QQC",'QA Log'!L:L,"7. Tracer Medicine",'QA Log'!Z:Z,"Approved"),"")</f>
        <v/>
      </c>
      <c r="Q205" s="105" t="str">
        <f>IF(A205&lt;&gt;"",COUNTIFS('QA Log'!D:D,A205,'QA Log'!M:M,"QQC",'QA Log'!L:L,"11. Additional Questions",'QA Log'!Z:Z,"Approved"),"")</f>
        <v/>
      </c>
      <c r="R205" s="102" t="str">
        <f>IF(A205="","",SUM(
COUNTIFS('QA Log'!D:D,A205,'QA Log'!M:M,"QQC",'QA Log'!Z:Z,"Rejected",'QA Log'!L:L,"*8. Maternity*"),
COUNTIFS('QA Log'!D:D,A205,'QA Log'!M:M,"QQC",'QA Log'!Z:Z,"Rejected",'QA Log'!L:L,"*EPI*"),
COUNTIFS('QA Log'!D:D,A205,'QA Log'!M:M,"QQC",'QA Log'!Z:Z,"Rejected",'QA Log'!L:L,"*10. Antenatal Care (ANC)*"),
COUNTIFS('QA Log'!D:D,A205,'QA Log'!M:M,"QQC",'QA Log'!Z:Z,"Rejected",'QA Log'!L:L,"*2. Hygiene and Sterilization*"),
COUNTIFS('QA Log'!D:D,A205,'QA Log'!M:M,"QQC",'QA Log'!Z:Z,"Rejected",'QA Log'!L:L,"*Family Planning*")))</f>
        <v/>
      </c>
      <c r="S205" s="106" t="str">
        <f t="shared" si="1"/>
        <v/>
      </c>
      <c r="T205" s="102" t="str">
        <f t="shared" si="2"/>
        <v/>
      </c>
      <c r="U205" s="102" t="str">
        <f>IF(A205="","",
SUM(
COUNTIFS('QA Log'!D:D,A205,'QA Log'!M:M,"QQC",'QA Log'!L:L,"*8. Maternity*"),
COUNTIFS('QA Log'!D:D,A205,'QA Log'!M:M,"QQC",'QA Log'!L:L,"*9. EPI and Pre-school Consultation*"),
COUNTIFS('QA Log'!D:D,A205,'QA Log'!M:M,"QQC",'QA Log'!L:L,"*10. Antenatal Care (ANC)*"),
COUNTIFS('QA Log'!D:D,A205,'QA Log'!M:M,"QQC",'QA Log'!L:L,"*2. Hygiene and Sterilization*"),
COUNTIFS('QA Log'!D:D,A205,'QA Log'!M:M,"QQC",'QA Log'!L:L,"*4. Family Planning*")
))</f>
        <v/>
      </c>
      <c r="V205" s="102" t="str">
        <f>IF(A205="","",
SUM(
COUNTIFS('QA Log'!D:D,A205,'QA Log'!M:M,"QQC",'QA Log'!Z:Z,"Approved",'QA Log'!L:L,"*8. Maternity*"),
COUNTIFS('QA Log'!D:D,A205,'QA Log'!M:M,"QQC",'QA Log'!Z:Z,"Approved",'QA Log'!L:L,"*9. EPI and Pre-school Consultation*"),
COUNTIFS('QA Log'!D:D,A205,'QA Log'!M:M,"QQC",'QA Log'!Z:Z,"Approved",'QA Log'!L:L,"*10. Antenatal Care (ANC)*"),
COUNTIFS('QA Log'!D:D,A205,'QA Log'!M:M,"QQC",'QA Log'!Z:Z,"Approved",'QA Log'!L:L,"*2. Hygiene and Sterilization*"),
COUNTIFS('QA Log'!D:D,A205,'QA Log'!M:M,"QQC",'QA Log'!Z:Z,"Approved",'QA Log'!L:L,"*4. Family Planning*")
))</f>
        <v/>
      </c>
      <c r="W205" s="105" t="str">
        <f>IF(A205&lt;&gt;"",COUNTIFS('QA Log'!D:D,A205,'QA Log'!M:M,"QQC",'QA Log'!L:L,"8. Maternity",'QA Log'!Z:Z,"Approved"),"")</f>
        <v/>
      </c>
      <c r="X205" s="105" t="str">
        <f>IF(A205&lt;&gt;"",COUNTIFS('QA Log'!D:D,A205,'QA Log'!M:M,"QQC",'QA Log'!L:L,"9. EPI and Pre-school Consultation",'QA Log'!Z:Z,"Approved"),"")</f>
        <v/>
      </c>
      <c r="Y205" s="105" t="str">
        <f>IF(A205&lt;&gt;"",COUNTIFS('QA Log'!D:D,A205,'QA Log'!M:M,"QQC",'QA Log'!L:L,"10. Antenatal Care (ANC)",'QA Log'!Z:Z,"Approved"),"")</f>
        <v/>
      </c>
      <c r="Z205" s="105" t="str">
        <f>IF(A205&lt;&gt;"",COUNTIFS('QA Log'!D:D,A205,'QA Log'!M:M,"QQC",'QA Log'!L:L,"2. Hygiene and Sterilization",'QA Log'!Z:Z,"Approved"),"")</f>
        <v/>
      </c>
      <c r="AA205" s="105" t="str">
        <f>IF(A205&lt;&gt;"",COUNTIFS('QA Log'!D:D,A205,'QA Log'!M:M,"QQC",'QA Log'!L:L,"4. Family Planning",'QA Log'!Z:Z,"Approved"),"")</f>
        <v/>
      </c>
      <c r="AB205" s="102" t="str">
        <f>IF(A205="","",
SUM(
COUNTIFS('QA Log'!D:D,A205,'QA Log'!M:M,"QQC",'QA Log'!Z:Z,"Rejected",'QA Log'!L:L,"*8. Maternity*"),
COUNTIFS('QA Log'!D:D,A205,'QA Log'!M:M,"QQC",'QA Log'!Z:Z,"Rejected",'QA Log'!L:L,"*9. EPI and Pre-school Consultation*"),
COUNTIFS('QA Log'!D:D,A205,'QA Log'!M:M,"QQC",'QA Log'!Z:Z,"Rejected",'QA Log'!L:L,"*10. Antenatal Care (ANC)*"),
COUNTIFS('QA Log'!D:D,A205,'QA Log'!M:M,"QQC",'QA Log'!Z:Z,"Rejected",'QA Log'!L:L,"*2. Hygiene and Sterilization*"),
COUNTIFS('QA Log'!D:D,A205,'QA Log'!M:M,"QQC",'QA Log'!Z:Z,"Rejected",'QA Log'!L:L,"*4. Family Planning*")
))</f>
        <v/>
      </c>
      <c r="AC205" s="102" t="str">
        <f t="shared" si="3"/>
        <v/>
      </c>
      <c r="AD205" s="103" t="str">
        <f t="shared" si="4"/>
        <v/>
      </c>
      <c r="AE205" s="102" t="str">
        <f>IF(A205="","",
SUM(
COUNTIFS('QA Log'!D:D,A205,'QA Log'!M:M,"Data Verification",'QA Log'!L:L,"*Medicine (section 2)*"),
COUNTIFS('QA Log'!D:D,A205,'QA Log'!M:M,"Data Verification",'QA Log'!L:L,"*Lab Testing Availability*"),
COUNTIFS('QA Log'!D:D,A205,'QA Log'!M:M,"Data Verification",'QA Log'!L:L,"*Other than P4P (section 6)*"),
COUNTIFS('QA Log'!D:D,A205,'QA Log'!M:M,"Data Verification",'QA Log'!L:L,"*Hospital Governance*")
))</f>
        <v/>
      </c>
      <c r="AF205" s="102" t="str">
        <f>IF(A205="","",
SUM(
COUNTIFS('QA Log'!D:D,A205,'QA Log'!M:M,"Data Verification",'QA Log'!Z:Z,"Approved",'QA Log'!L:L,"*Medicine (section 2)*"),
COUNTIFS('QA Log'!D:D,A205,'QA Log'!M:M,"Data Verification",'QA Log'!Z:Z,"Approved",'QA Log'!L:L,"*Lab Testing Availability*"),
COUNTIFS('QA Log'!D:D,A205,'QA Log'!M:M,"Data Verification",'QA Log'!Z:Z,"Approved",'QA Log'!L:L,"*Other than P4P (section 6)*"),
COUNTIFS('QA Log'!D:D,A205,'QA Log'!M:M,"Data Verification",'QA Log'!Z:Z,"Approved",'QA Log'!L:L,"*Hospital Governance*")
))</f>
        <v/>
      </c>
      <c r="AG205" s="105" t="str">
        <f>IF(A205&lt;&gt;"",COUNTIFS('QA Log'!D:D,A205,'QA Log'!M:M,"Data Verification",'QA Log'!L:L,"Medicine (section 2)",'QA Log'!Z:Z,"Approved"),"")</f>
        <v/>
      </c>
      <c r="AH205" s="105" t="str">
        <f>IF(A205&lt;&gt;"",COUNTIFS('QA Log'!D:D,A205,'QA Log'!M:M,"Data Verification",'QA Log'!L:L,"Lab Testing Availability",'QA Log'!Z:Z,"Approved"),"")</f>
        <v/>
      </c>
      <c r="AI205" s="105" t="str">
        <f>IF(A205&lt;&gt;"",COUNTIFS('QA Log'!D:D,A205,'QA Log'!M:M,"Data Verification",'QA Log'!L:L,"Other than P4P (section 6)",'QA Log'!Z:Z,"Approved"),"")</f>
        <v/>
      </c>
      <c r="AJ205" s="105" t="str">
        <f>IF(A205&lt;&gt;"",COUNTIFS('QA Log'!D:D,A205,'QA Log'!M:M,"Data Verification",'QA Log'!L:L,"Hospital Governance",'QA Log'!Z:Z,"Approved"),"")</f>
        <v/>
      </c>
      <c r="AK205" s="102" t="str">
        <f>IF(A205="","",
SUM(
COUNTIFS('QA Log'!D:D,A205,'QA Log'!M:M,"Data Verification",'QA Log'!Z:Z,"Rejected",'QA Log'!L:L,"*Medicine (section 2)*"),
COUNTIFS('QA Log'!D:D,A205,'QA Log'!M:M,"Data Verification",'QA Log'!Z:Z,"Rejected",'QA Log'!L:L,"*Lab Testing Availability*"),
COUNTIFS('QA Log'!D:D,A205,'QA Log'!M:M,"Data Verification",'QA Log'!Z:Z,"Rejected",'QA Log'!L:L,"*Other than P4P (section 6)*"),
COUNTIFS('QA Log'!D:D,A205,'QA Log'!M:M,"Data Verification",'QA Log'!Z:Z,"Rejected",'QA Log'!L:L,"*Hospital Governance*")
))</f>
        <v/>
      </c>
      <c r="AL205" s="106" t="str">
        <f t="shared" si="5"/>
        <v/>
      </c>
      <c r="AM205" s="102" t="str">
        <f t="shared" si="6"/>
        <v/>
      </c>
      <c r="AN205" s="102" t="str">
        <f>IF(A205="","",
SUM(
COUNTIFS('QA Log'!D:D,A205,'QA Log'!M:M,"Data Verification",'QA Log'!L:L,"*Personnel (section 1)*"),
COUNTIFS('QA Log'!D:D,A205,'QA Log'!M:M,"Data Verification",'QA Log'!L:L,"*Consumable (section 3)*"),
COUNTIFS('QA Log'!D:D,A205,'QA Log'!M:M,"Data Verification",'QA Log'!L:L,"*Equipments (section 4)*")
))</f>
        <v/>
      </c>
      <c r="AO205" s="102" t="str">
        <f>IF(A205="","",
SUM(
COUNTIFS('QA Log'!D:D,A205,'QA Log'!M:M,"Data Verification",'QA Log'!Z:Z,"Approved",'QA Log'!L:L,"*Personnel (section 1)*"),
COUNTIFS('QA Log'!D:D,A205,'QA Log'!M:M,"Data Verification",'QA Log'!Z:Z,"Approved",'QA Log'!L:L,"*Consumable (section 3)*"),
COUNTIFS('QA Log'!D:D,A205,'QA Log'!M:M,"Data Verification",'QA Log'!Z:Z,"Approved",'QA Log'!L:L,"*Equipments (section 4)*")
))</f>
        <v/>
      </c>
      <c r="AP205" s="105" t="str">
        <f>IF(A205&lt;&gt;"",COUNTIFS('QA Log'!D:D,A205,'QA Log'!M:M,"Data Verification",'QA Log'!L:L,"Personnel (section 1)",'QA Log'!Z:Z,"Approved"),"")</f>
        <v/>
      </c>
      <c r="AQ205" s="105" t="str">
        <f>IF(A205&lt;&gt;"",COUNTIFS('QA Log'!D:D,A205,'QA Log'!M:M,"Data Verification",'QA Log'!L:L,"Consumable (section 3)",'QA Log'!Z:Z,"Approved"),"")</f>
        <v/>
      </c>
      <c r="AR205" s="105" t="str">
        <f>IF(A205&lt;&gt;"",COUNTIFS('QA Log'!D:D,A205,'QA Log'!M:M,"Data Verification",'QA Log'!L:L,"Equipments (section 4)",'QA Log'!Z:Z,"Approved"),"")</f>
        <v/>
      </c>
      <c r="AS205" s="102" t="str">
        <f>IF(A205="","",
SUM(
COUNTIFS('QA Log'!D:D,A205,'QA Log'!M:M,"Data Verification",'QA Log'!Z:Z,"Rejected",'QA Log'!L:L,"*Personnel (section 1)*"),
COUNTIFS('QA Log'!D:D,A205,'QA Log'!M:M,"Data Verification",'QA Log'!Z:Z,"Rejected",'QA Log'!L:L,"*Consumable (section 3)*"),
COUNTIFS('QA Log'!D:D,A205,'QA Log'!M:M,"Data Verification",'QA Log'!Z:Z,"Rejected",'QA Log'!L:L,"*Equipments (section 4)*")
))</f>
        <v/>
      </c>
      <c r="AT205" s="102" t="str">
        <f t="shared" si="7"/>
        <v/>
      </c>
      <c r="AU205" s="103" t="str">
        <f t="shared" si="8"/>
        <v/>
      </c>
      <c r="AV205" s="102" t="str">
        <f>IF(A205="","",SUM(
COUNTIFS('QA Log'!D:D,A205,'QA Log'!M:M,"Vignette",'QA Log'!L:L,"*Vignette [1] Respiratory Infection: Pneumonia*"),
COUNTIFS('QA Log'!D:D,A205,'QA Log'!M:M,"Vignette",'QA Log'!L:L,"*Vignette [2]: Diarrhea with Cat B dehydration*"),
COUNTIFS('QA Log'!D:D,A205,'QA Log'!M:M,"Vignette",'QA Log'!L:L,"*Vignette [3] Growth Monitoring and Promotion*"),
COUNTIFS('QA Log'!D:D,A205,'QA Log'!M:M,"Vignette",'QA Log'!L:L,"*Vignette [4]: The management of presumptive TB patient*")
)
)</f>
        <v/>
      </c>
      <c r="AW205" s="102" t="str">
        <f>IF(
  A205="","",
  SUM(
    COUNTIFS('QA Log'!D:D,A205,'QA Log'!M:M,"Vignette",'QA Log'!Z:Z,"Approved",'QA Log'!L:L,"*Vignette [1] Respiratory Infection: Pneumonia*"),
    COUNTIFS('QA Log'!D:D,A205,'QA Log'!M:M,"Vignette",'QA Log'!Z:Z,"Approved",'QA Log'!L:L,"*Vignette [2]: Diarrhea with Cat B dehydration*"),
    COUNTIFS('QA Log'!D:D,A205,'QA Log'!M:M,"Vignette",'QA Log'!Z:Z,"Approved",'QA Log'!L:L,"*Vignette [3] Growth Monitoring and Promotion*"),
    COUNTIFS('QA Log'!D:D,A205,'QA Log'!M:M,"Vignette",'QA Log'!Z:Z,"Approved",'QA Log'!L:L,"*Vignette [4]: The management of presumptive TB patient*")
  )
)</f>
        <v/>
      </c>
      <c r="AX205" s="105" t="str">
        <f>IF(A205&lt;&gt;"",COUNTIFS('QA Log'!D:D,A205,'QA Log'!M:M,"Vignette",'QA Log'!L:L,"Vignette [1] Respiratory Infection: Pneumonia",'QA Log'!Z:Z,"Approved"),"")</f>
        <v/>
      </c>
      <c r="AY205" s="105" t="str">
        <f>IF(A205&lt;&gt;"",COUNTIFS('QA Log'!D:D,A205,'QA Log'!M:M,"Vignette",'QA Log'!L:L,"Vignette [2]: Diarrhea with Cat B dehydration",'QA Log'!Z:Z,"Approved"),"")</f>
        <v/>
      </c>
      <c r="AZ205" s="105" t="str">
        <f>IF(A205&lt;&gt;"",COUNTIFS('QA Log'!D:D,A205,'QA Log'!M:M,"Vignette",'QA Log'!L:L,"Vignette [3] Growth Monitoring and Promotion",'QA Log'!Z:Z,"Approved"),"")</f>
        <v/>
      </c>
      <c r="BA205" s="105" t="str">
        <f>IF(A205&lt;&gt;"",COUNTIFS('QA Log'!D:D,A205,'QA Log'!M:M,"Vignette",'QA Log'!L:L,"Vignette [4]: The management of presumptive TB patient",'QA Log'!Z:Z,"Approved"),"")</f>
        <v/>
      </c>
      <c r="BB205" s="102" t="str">
        <f>IF(A205="","",
  SUM(
    COUNTIFS('QA Log'!D:D,A205,'QA Log'!M:M,"Vignette",'QA Log'!Z:Z,"Rejected",'QA Log'!L:L,"*Vignette [1] Respiratory Infection: Pneumonia*"),
    COUNTIFS('QA Log'!D:D,A205,'QA Log'!M:M,"Vignette",'QA Log'!Z:Z,"Rejected",'QA Log'!L:L,"*Vignette [2]: Diarrhea with Cat B dehydration*"),
    COUNTIFS('QA Log'!D:D,A205,'QA Log'!M:M,"Vignette",'QA Log'!Z:Z,"Rejected",'QA Log'!L:L,"*Vignette [3] Growth Monitoring and Promotion*"),
    COUNTIFS('QA Log'!D:D,A205,'QA Log'!M:M,"Vignette",'QA Log'!Z:Z,"Rejected",'QA Log'!L:L,"*Vignette [4]: The management of presumptive TB patient*")
  )
)</f>
        <v/>
      </c>
      <c r="BC205" s="107" t="str">
        <f t="shared" si="9"/>
        <v/>
      </c>
      <c r="BD205" s="103" t="str">
        <f t="shared" si="10"/>
        <v/>
      </c>
      <c r="BE205" s="102" t="str">
        <f>IF(A205="","",SUM(
COUNTIFS('QA Log'!D:D,A205,'QA Log'!M:M,"Vignette",'QA Log'!L:L,"*Vignette [5] Labor*"),
COUNTIFS('QA Log'!D:D,A205,'QA Log'!M:M,"Vignette",'QA Log'!L:L,"*Vignette [6] PNC pre Discharge*"),
COUNTIFS('QA Log'!D:D,A205,'QA Log'!M:M,"Vignette",'QA Log'!L:L,"*Vignette [7] First ANC Visit*"),
COUNTIFS('QA Log'!D:D,A205,'QA Log'!M:M,"Vignette",'QA Log'!L:L,"*Vignette [8] Birth Spacing/ Family Planning :  FP Counselling*"),
COUNTIFS('QA Log'!D:D,A205,'QA Log'!M:M,"Vignette",'QA Log'!L:L,"*Vignette [9] Birth Spacing: Change FP method to Injectable*"),
COUNTIFS('QA Log'!D:D,A205,'QA Log'!M:M,"Vignette",'QA Log'!L:L,"*Vignette [10] Post Partum Haemorrhage - Atonic Uterus at Health Centre*"),
)
)</f>
        <v/>
      </c>
      <c r="BF205" s="102" t="str">
        <f>IF(A205="","",
  SUM(
    COUNTIFS('QA Log'!D:D,A205,'QA Log'!M:M,"Vignette",'QA Log'!Z:Z,"Approved",'QA Log'!L:L,"*Vignette [5] Labor*"),
    COUNTIFS('QA Log'!D:D,A205,'QA Log'!M:M,"Vignette",'QA Log'!Z:Z,"Approved",'QA Log'!L:L,"*Vignette [6] PNC pre Discharge*"),
    COUNTIFS('QA Log'!D:D,A205,'QA Log'!M:M,"Vignette",'QA Log'!Z:Z,"Approved",'QA Log'!L:L,"*Vignette [7] First ANC Visit*"),
    COUNTIFS('QA Log'!D:D,A205,'QA Log'!M:M,"Vignette",'QA Log'!Z:Z,"Approved",'QA Log'!L:L,"*Vignette [8] Birth Spacing/ Family Planning :  FP Counselling*"),
    COUNTIFS('QA Log'!D:D,A205,'QA Log'!M:M,"Vignette",'QA Log'!Z:Z,"Approved",'QA Log'!L:L,"*Vignette [9] Birth Spacing: Change FP method to Injectable*"),
    COUNTIFS('QA Log'!D:D,A205,'QA Log'!M:M,"Vignette",'QA Log'!Z:Z,"Approved",'QA Log'!L:L,"*Vignette [10] Post Partum Haemorrhage - Atonic Uterus at Health Centre*")
  )
)</f>
        <v/>
      </c>
      <c r="BG205" s="105" t="str">
        <f>IF(A205&lt;&gt;"",COUNTIFS('QA Log'!D:D,A205,'QA Log'!M:M,"Vignette",'QA Log'!L:L,"Vignette [5] Labor",'QA Log'!Z:Z,"Approved"),"")</f>
        <v/>
      </c>
      <c r="BH205" s="105" t="str">
        <f>IF(A205&lt;&gt;"",COUNTIFS('QA Log'!D:D,A205,'QA Log'!M:M,"Vignette",'QA Log'!L:L,"Vignette [6] PNC pre Discharge",'QA Log'!Z:Z,"Approved"),"")</f>
        <v/>
      </c>
      <c r="BI205" s="105" t="str">
        <f>IF(A205&lt;&gt;"",COUNTIFS('QA Log'!D:D,A205,'QA Log'!M:M,"Vignette",'QA Log'!L:L,"Vignette [7] First ANC Visit",'QA Log'!Z:Z,"Approved"),"")</f>
        <v/>
      </c>
      <c r="BJ205" s="105" t="str">
        <f>IF(A205&lt;&gt;"",COUNTIFS('QA Log'!D:D,A205,'QA Log'!M:M,"Vignette",'QA Log'!L:L,"Vignette [8] Birth Spacing/ Family Planning :  FP Counselling",'QA Log'!Z:Z,"Approved"),"")</f>
        <v/>
      </c>
      <c r="BK205" s="105" t="str">
        <f>IF(A205&lt;&gt;"",COUNTIFS('QA Log'!D:D,A205,'QA Log'!M:M,"Vignette",'QA Log'!L:L,"Vignette [9] Birth Spacing: Change FP method to Injectable",'QA Log'!Z:Z,"Approved"),"")</f>
        <v/>
      </c>
      <c r="BL205" s="105" t="str">
        <f>IF(A205&lt;&gt;"",COUNTIFS('QA Log'!D:D,A205,'QA Log'!M:M,"Vignette",'QA Log'!L:L,"Vignette [10] Post Partum Haemorrhage - Atonic Uterus at Health Centre",'QA Log'!Z:Z,"Approved"),"")</f>
        <v/>
      </c>
      <c r="BM205" s="102" t="str">
        <f>IF(A205="","",SUM(
    COUNTIFS('QA Log'!D:D,A205,'QA Log'!M:M,"Vignette",'QA Log'!Z:Z,"Rejected",'QA Log'!L:L,"*Vignette [5] Labor*"),
    COUNTIFS('QA Log'!D:D,A205,'QA Log'!M:M,"Vignette",'QA Log'!Z:Z,"Rejected",'QA Log'!L:L,"*Vignette [6] PNC pre Discharge*"),
    COUNTIFS('QA Log'!D:D,A205,'QA Log'!M:M,"Vignette",'QA Log'!Z:Z,"Rejected",'QA Log'!L:L,"*Vignette [7] First ANC Visit*"),
    COUNTIFS('QA Log'!D:D,A205,'QA Log'!M:M,"Vignette",'QA Log'!Z:Z,"Rejected",'QA Log'!L:L,"*Vignette [8] Birth Spacing/ Family Planning :  FP Counselling*"),
    COUNTIFS('QA Log'!D:D,A205,'QA Log'!M:M,"Vignette",'QA Log'!Z:Z,"Rejected",'QA Log'!L:L,"*Vignette [9] Birth Spacing: Change FP method to Injectable*"),
    COUNTIFS('QA Log'!D:D,A205,'QA Log'!M:M,"Vignette",'QA Log'!Z:Z,"Rejected",'QA Log'!L:L,"*Vignette [10] Post Partum Haemorrhage - Atonic Uterus at Health Centre*")
  )
)</f>
        <v/>
      </c>
      <c r="BN205" s="107" t="str">
        <f t="shared" si="11"/>
        <v/>
      </c>
      <c r="BO205" s="103" t="str">
        <f t="shared" si="12"/>
        <v/>
      </c>
      <c r="BP205" s="102" t="str">
        <f>IF(A205="","",SUM(
COUNTIFS('QA Log'!D:D,A205,'QA Log'!M:M,"Vignette",'QA Log'!L:L,"*Exit Interview 1*"),
COUNTIFS('QA Log'!D:D,A205,'QA Log'!M:M,"Vignette",'QA Log'!L:L,"*Exit Interview 2*"),
)
)</f>
        <v/>
      </c>
      <c r="BQ205" s="102" t="str">
        <f>IF(
  A205="","",
  SUM(
    COUNTIFS('QA Log'!D:D,A205,'QA Log'!M:M,"Vignette",'QA Log'!Z:Z,"Approved",'QA Log'!L:L,"*Exit Interview 1*"),
    COUNTIFS('QA Log'!D:D,A205,'QA Log'!M:M,"Vignette",'QA Log'!Z:Z,"Approved",'QA Log'!L:L,"*Exit Interview 2*")
  )
)</f>
        <v/>
      </c>
      <c r="BR205" s="105" t="str">
        <f>IF(A205&lt;&gt;"",COUNTIFS('QA Log'!D:D,A205,'QA Log'!M:M,"Vignette",'QA Log'!L:L,"Exit Interview 1",'QA Log'!Z:Z,"Approved"),"")</f>
        <v/>
      </c>
      <c r="BS205" s="105" t="str">
        <f>IF(A205&lt;&gt;"",COUNTIFS('QA Log'!D:D,A205,'QA Log'!M:M,"Vignette",'QA Log'!L:L,"Exit Interview 2",'QA Log'!Z:Z,"Approved"),"")</f>
        <v/>
      </c>
      <c r="BT205" s="102" t="str">
        <f>IF(
  A205="","",
  SUM(
    COUNTIFS('QA Log'!D:D,A205,'QA Log'!M:M,"Vignette",'QA Log'!Z:Z,"Rejected",'QA Log'!L:L,"*Exit Interview 1*"),
    COUNTIFS('QA Log'!D:D,A205,'QA Log'!M:M,"Vignette",'QA Log'!Z:Z,"Rejected",'QA Log'!L:L,"*Exit Interview 2*")
  )
)</f>
        <v/>
      </c>
      <c r="BU205" s="107" t="str">
        <f t="shared" si="13"/>
        <v/>
      </c>
      <c r="BV205" s="102" t="str">
        <f t="shared" si="14"/>
        <v/>
      </c>
      <c r="BW205" s="102" t="str">
        <f t="shared" si="15"/>
        <v/>
      </c>
      <c r="BX205" s="102" t="str">
        <f t="shared" si="16"/>
        <v/>
      </c>
      <c r="BY205" s="102" t="str">
        <f t="shared" si="17"/>
        <v/>
      </c>
      <c r="BZ205" s="107" t="str">
        <f t="shared" si="18"/>
        <v/>
      </c>
      <c r="CA205" s="108" t="str">
        <f t="shared" si="19"/>
        <v/>
      </c>
      <c r="CB205" s="108" t="str">
        <f t="shared" si="20"/>
        <v/>
      </c>
      <c r="CC205" s="109" t="str">
        <f t="shared" si="21"/>
        <v/>
      </c>
      <c r="CD205" s="108" t="str">
        <f t="shared" si="22"/>
        <v/>
      </c>
      <c r="CE205" s="108" t="str">
        <f t="shared" si="23"/>
        <v/>
      </c>
      <c r="CF205" s="109" t="str">
        <f t="shared" si="24"/>
        <v/>
      </c>
      <c r="CG205" s="110" t="str">
        <f t="shared" si="25"/>
        <v/>
      </c>
      <c r="CH205" s="111"/>
    </row>
    <row r="206" spans="1:86" ht="12.75">
      <c r="A206" s="101"/>
      <c r="B206" s="102" t="e">
        <f t="array" aca="1" ref="B206" ca="1">_xludf.XLOOKUP(A206,'QA Log'!D:D,'QA Log'!E:E,"")</f>
        <v>#NAME?</v>
      </c>
      <c r="C206" s="102" t="e">
        <f t="array" aca="1" ref="C206" ca="1">_xludf.XLOOKUP(A206,'QA Log'!D:D,'QA Log'!F:F,"")</f>
        <v>#NAME?</v>
      </c>
      <c r="D206" s="102" t="e">
        <f t="array" aca="1" ref="D206" ca="1">_xludf.XLOOKUP(A206,'QA Log'!D:D,'QA Log'!H:H,"")</f>
        <v>#NAME?</v>
      </c>
      <c r="E206" s="102" t="e">
        <f t="array" aca="1" ref="E206" ca="1">_xludf.XLOOKUP(A206,'QA Log'!D:D,'QA Log'!G:G,"")</f>
        <v>#NAME?</v>
      </c>
      <c r="F206" s="103"/>
      <c r="G206" s="104"/>
      <c r="H206" s="104"/>
      <c r="I206" s="103" t="str">
        <f t="shared" si="0"/>
        <v/>
      </c>
      <c r="J206" s="102" t="str">
        <f>IF(A206="","",SUM(
COUNTIFS('QA Log'!D:D,A206,'QA Log'!M:M,"QQC",'QA Log'!L:L,"*1. General Management*"),
COUNTIFS('QA Log'!D:D,A206,'QA Log'!M:M,"QQC",'QA Log'!L:L,"*3. Curative Consultation (OPD)*"),
COUNTIFS('QA Log'!D:D,A206,'QA Log'!M:M,"QQC",'QA Log'!L:L,"*5. Laboratory*"),
COUNTIFS('QA Log'!D:D,A206,'QA Log'!M:M,"QQC",'QA Log'!L:L,"*6. Essential Medicine Management*"),
COUNTIFS('QA Log'!D:D,A206,'QA Log'!M:M,"QQC",'QA Log'!L:L,"*7. Tracer Medicine*"),
COUNTIFS('QA Log'!D:D,A206,'QA Log'!M:M,"QQC",'QA Log'!L:L,"*11. Additional Questions*")))</f>
        <v/>
      </c>
      <c r="K206" s="102" t="str">
        <f>IF(A206="","",SUM(
COUNTIFS('QA Log'!D:D,A206,'QA Log'!M:M,"QQC",'QA Log'!Z:Z,"Approved",'QA Log'!L:L,"*1. General Management*"),
COUNTIFS('QA Log'!D:D,A206,'QA Log'!M:M,"QQC",'QA Log'!Z:Z,"Approved",'QA Log'!L:L,"*3. Curative Consultation (OPD)*"),
COUNTIFS('QA Log'!D:D,A206,'QA Log'!M:M,"QQC",'QA Log'!Z:Z,"Approved",'QA Log'!L:L,"*5. Laboratory*"),
COUNTIFS('QA Log'!D:D,A206,'QA Log'!M:M,"QQC",'QA Log'!Z:Z,"Approved",'QA Log'!L:L,"*6. Essential Medicine Management*"),
COUNTIFS('QA Log'!D:D,A206,'QA Log'!M:M,"QQC",'QA Log'!Z:Z,"Approved",'QA Log'!L:L,"*7. Tracer Medicine*"),
COUNTIFS('QA Log'!D:D,A206,'QA Log'!M:M,"QQC",'QA Log'!Z:Z,"Approved",'QA Log'!L:L,"*11. Additional Questions*")))</f>
        <v/>
      </c>
      <c r="L206" s="105" t="str">
        <f>IF(A206&lt;&gt;"",COUNTIFS('QA Log'!D:D,A206,'QA Log'!M:M,"QQC",'QA Log'!L:L,"1. General Management",'QA Log'!Z:Z,"Approved"),"")</f>
        <v/>
      </c>
      <c r="M206" s="105" t="str">
        <f>IF(A206&lt;&gt;"",COUNTIFS('QA Log'!D:D,A206,'QA Log'!M:M,"QQC",'QA Log'!L:L,"3. Curative Consultation (OPD)",'QA Log'!Z:Z,"Approved"),"")</f>
        <v/>
      </c>
      <c r="N206" s="105" t="str">
        <f>IF(A206&lt;&gt;"",COUNTIFS('QA Log'!D:D,A206,'QA Log'!M:M,"QQC",'QA Log'!L:L,"5. Laboratory",'QA Log'!Z:Z,"Approved"),"")</f>
        <v/>
      </c>
      <c r="O206" s="105" t="str">
        <f>IF(A206&lt;&gt;"",COUNTIFS('QA Log'!D:D,A206,'QA Log'!M:M,"QQC",'QA Log'!L:L,"6. Essential Medicine Management",'QA Log'!Z:Z,"Approved"),"")</f>
        <v/>
      </c>
      <c r="P206" s="105" t="str">
        <f>IF(A206&lt;&gt;"",COUNTIFS('QA Log'!D:D,A206,'QA Log'!M:M,"QQC",'QA Log'!L:L,"7. Tracer Medicine",'QA Log'!Z:Z,"Approved"),"")</f>
        <v/>
      </c>
      <c r="Q206" s="105" t="str">
        <f>IF(A206&lt;&gt;"",COUNTIFS('QA Log'!D:D,A206,'QA Log'!M:M,"QQC",'QA Log'!L:L,"11. Additional Questions",'QA Log'!Z:Z,"Approved"),"")</f>
        <v/>
      </c>
      <c r="R206" s="102" t="str">
        <f>IF(A206="","",SUM(
COUNTIFS('QA Log'!D:D,A206,'QA Log'!M:M,"QQC",'QA Log'!Z:Z,"Rejected",'QA Log'!L:L,"*8. Maternity*"),
COUNTIFS('QA Log'!D:D,A206,'QA Log'!M:M,"QQC",'QA Log'!Z:Z,"Rejected",'QA Log'!L:L,"*EPI*"),
COUNTIFS('QA Log'!D:D,A206,'QA Log'!M:M,"QQC",'QA Log'!Z:Z,"Rejected",'QA Log'!L:L,"*10. Antenatal Care (ANC)*"),
COUNTIFS('QA Log'!D:D,A206,'QA Log'!M:M,"QQC",'QA Log'!Z:Z,"Rejected",'QA Log'!L:L,"*2. Hygiene and Sterilization*"),
COUNTIFS('QA Log'!D:D,A206,'QA Log'!M:M,"QQC",'QA Log'!Z:Z,"Rejected",'QA Log'!L:L,"*Family Planning*")))</f>
        <v/>
      </c>
      <c r="S206" s="106" t="str">
        <f t="shared" si="1"/>
        <v/>
      </c>
      <c r="T206" s="102" t="str">
        <f t="shared" si="2"/>
        <v/>
      </c>
      <c r="U206" s="102" t="str">
        <f>IF(A206="","",
SUM(
COUNTIFS('QA Log'!D:D,A206,'QA Log'!M:M,"QQC",'QA Log'!L:L,"*8. Maternity*"),
COUNTIFS('QA Log'!D:D,A206,'QA Log'!M:M,"QQC",'QA Log'!L:L,"*9. EPI and Pre-school Consultation*"),
COUNTIFS('QA Log'!D:D,A206,'QA Log'!M:M,"QQC",'QA Log'!L:L,"*10. Antenatal Care (ANC)*"),
COUNTIFS('QA Log'!D:D,A206,'QA Log'!M:M,"QQC",'QA Log'!L:L,"*2. Hygiene and Sterilization*"),
COUNTIFS('QA Log'!D:D,A206,'QA Log'!M:M,"QQC",'QA Log'!L:L,"*4. Family Planning*")
))</f>
        <v/>
      </c>
      <c r="V206" s="102" t="str">
        <f>IF(A206="","",
SUM(
COUNTIFS('QA Log'!D:D,A206,'QA Log'!M:M,"QQC",'QA Log'!Z:Z,"Approved",'QA Log'!L:L,"*8. Maternity*"),
COUNTIFS('QA Log'!D:D,A206,'QA Log'!M:M,"QQC",'QA Log'!Z:Z,"Approved",'QA Log'!L:L,"*9. EPI and Pre-school Consultation*"),
COUNTIFS('QA Log'!D:D,A206,'QA Log'!M:M,"QQC",'QA Log'!Z:Z,"Approved",'QA Log'!L:L,"*10. Antenatal Care (ANC)*"),
COUNTIFS('QA Log'!D:D,A206,'QA Log'!M:M,"QQC",'QA Log'!Z:Z,"Approved",'QA Log'!L:L,"*2. Hygiene and Sterilization*"),
COUNTIFS('QA Log'!D:D,A206,'QA Log'!M:M,"QQC",'QA Log'!Z:Z,"Approved",'QA Log'!L:L,"*4. Family Planning*")
))</f>
        <v/>
      </c>
      <c r="W206" s="105" t="str">
        <f>IF(A206&lt;&gt;"",COUNTIFS('QA Log'!D:D,A206,'QA Log'!M:M,"QQC",'QA Log'!L:L,"8. Maternity",'QA Log'!Z:Z,"Approved"),"")</f>
        <v/>
      </c>
      <c r="X206" s="105" t="str">
        <f>IF(A206&lt;&gt;"",COUNTIFS('QA Log'!D:D,A206,'QA Log'!M:M,"QQC",'QA Log'!L:L,"9. EPI and Pre-school Consultation",'QA Log'!Z:Z,"Approved"),"")</f>
        <v/>
      </c>
      <c r="Y206" s="105" t="str">
        <f>IF(A206&lt;&gt;"",COUNTIFS('QA Log'!D:D,A206,'QA Log'!M:M,"QQC",'QA Log'!L:L,"10. Antenatal Care (ANC)",'QA Log'!Z:Z,"Approved"),"")</f>
        <v/>
      </c>
      <c r="Z206" s="105" t="str">
        <f>IF(A206&lt;&gt;"",COUNTIFS('QA Log'!D:D,A206,'QA Log'!M:M,"QQC",'QA Log'!L:L,"2. Hygiene and Sterilization",'QA Log'!Z:Z,"Approved"),"")</f>
        <v/>
      </c>
      <c r="AA206" s="105" t="str">
        <f>IF(A206&lt;&gt;"",COUNTIFS('QA Log'!D:D,A206,'QA Log'!M:M,"QQC",'QA Log'!L:L,"4. Family Planning",'QA Log'!Z:Z,"Approved"),"")</f>
        <v/>
      </c>
      <c r="AB206" s="102" t="str">
        <f>IF(A206="","",
SUM(
COUNTIFS('QA Log'!D:D,A206,'QA Log'!M:M,"QQC",'QA Log'!Z:Z,"Rejected",'QA Log'!L:L,"*8. Maternity*"),
COUNTIFS('QA Log'!D:D,A206,'QA Log'!M:M,"QQC",'QA Log'!Z:Z,"Rejected",'QA Log'!L:L,"*9. EPI and Pre-school Consultation*"),
COUNTIFS('QA Log'!D:D,A206,'QA Log'!M:M,"QQC",'QA Log'!Z:Z,"Rejected",'QA Log'!L:L,"*10. Antenatal Care (ANC)*"),
COUNTIFS('QA Log'!D:D,A206,'QA Log'!M:M,"QQC",'QA Log'!Z:Z,"Rejected",'QA Log'!L:L,"*2. Hygiene and Sterilization*"),
COUNTIFS('QA Log'!D:D,A206,'QA Log'!M:M,"QQC",'QA Log'!Z:Z,"Rejected",'QA Log'!L:L,"*4. Family Planning*")
))</f>
        <v/>
      </c>
      <c r="AC206" s="102" t="str">
        <f t="shared" si="3"/>
        <v/>
      </c>
      <c r="AD206" s="103" t="str">
        <f t="shared" si="4"/>
        <v/>
      </c>
      <c r="AE206" s="102" t="str">
        <f>IF(A206="","",
SUM(
COUNTIFS('QA Log'!D:D,A206,'QA Log'!M:M,"Data Verification",'QA Log'!L:L,"*Medicine (section 2)*"),
COUNTIFS('QA Log'!D:D,A206,'QA Log'!M:M,"Data Verification",'QA Log'!L:L,"*Lab Testing Availability*"),
COUNTIFS('QA Log'!D:D,A206,'QA Log'!M:M,"Data Verification",'QA Log'!L:L,"*Other than P4P (section 6)*"),
COUNTIFS('QA Log'!D:D,A206,'QA Log'!M:M,"Data Verification",'QA Log'!L:L,"*Hospital Governance*")
))</f>
        <v/>
      </c>
      <c r="AF206" s="102" t="str">
        <f>IF(A206="","",
SUM(
COUNTIFS('QA Log'!D:D,A206,'QA Log'!M:M,"Data Verification",'QA Log'!Z:Z,"Approved",'QA Log'!L:L,"*Medicine (section 2)*"),
COUNTIFS('QA Log'!D:D,A206,'QA Log'!M:M,"Data Verification",'QA Log'!Z:Z,"Approved",'QA Log'!L:L,"*Lab Testing Availability*"),
COUNTIFS('QA Log'!D:D,A206,'QA Log'!M:M,"Data Verification",'QA Log'!Z:Z,"Approved",'QA Log'!L:L,"*Other than P4P (section 6)*"),
COUNTIFS('QA Log'!D:D,A206,'QA Log'!M:M,"Data Verification",'QA Log'!Z:Z,"Approved",'QA Log'!L:L,"*Hospital Governance*")
))</f>
        <v/>
      </c>
      <c r="AG206" s="105" t="str">
        <f>IF(A206&lt;&gt;"",COUNTIFS('QA Log'!D:D,A206,'QA Log'!M:M,"Data Verification",'QA Log'!L:L,"Medicine (section 2)",'QA Log'!Z:Z,"Approved"),"")</f>
        <v/>
      </c>
      <c r="AH206" s="105" t="str">
        <f>IF(A206&lt;&gt;"",COUNTIFS('QA Log'!D:D,A206,'QA Log'!M:M,"Data Verification",'QA Log'!L:L,"Lab Testing Availability",'QA Log'!Z:Z,"Approved"),"")</f>
        <v/>
      </c>
      <c r="AI206" s="105" t="str">
        <f>IF(A206&lt;&gt;"",COUNTIFS('QA Log'!D:D,A206,'QA Log'!M:M,"Data Verification",'QA Log'!L:L,"Other than P4P (section 6)",'QA Log'!Z:Z,"Approved"),"")</f>
        <v/>
      </c>
      <c r="AJ206" s="105" t="str">
        <f>IF(A206&lt;&gt;"",COUNTIFS('QA Log'!D:D,A206,'QA Log'!M:M,"Data Verification",'QA Log'!L:L,"Hospital Governance",'QA Log'!Z:Z,"Approved"),"")</f>
        <v/>
      </c>
      <c r="AK206" s="102" t="str">
        <f>IF(A206="","",
SUM(
COUNTIFS('QA Log'!D:D,A206,'QA Log'!M:M,"Data Verification",'QA Log'!Z:Z,"Rejected",'QA Log'!L:L,"*Medicine (section 2)*"),
COUNTIFS('QA Log'!D:D,A206,'QA Log'!M:M,"Data Verification",'QA Log'!Z:Z,"Rejected",'QA Log'!L:L,"*Lab Testing Availability*"),
COUNTIFS('QA Log'!D:D,A206,'QA Log'!M:M,"Data Verification",'QA Log'!Z:Z,"Rejected",'QA Log'!L:L,"*Other than P4P (section 6)*"),
COUNTIFS('QA Log'!D:D,A206,'QA Log'!M:M,"Data Verification",'QA Log'!Z:Z,"Rejected",'QA Log'!L:L,"*Hospital Governance*")
))</f>
        <v/>
      </c>
      <c r="AL206" s="106" t="str">
        <f t="shared" si="5"/>
        <v/>
      </c>
      <c r="AM206" s="102" t="str">
        <f t="shared" si="6"/>
        <v/>
      </c>
      <c r="AN206" s="102" t="str">
        <f>IF(A206="","",
SUM(
COUNTIFS('QA Log'!D:D,A206,'QA Log'!M:M,"Data Verification",'QA Log'!L:L,"*Personnel (section 1)*"),
COUNTIFS('QA Log'!D:D,A206,'QA Log'!M:M,"Data Verification",'QA Log'!L:L,"*Consumable (section 3)*"),
COUNTIFS('QA Log'!D:D,A206,'QA Log'!M:M,"Data Verification",'QA Log'!L:L,"*Equipments (section 4)*")
))</f>
        <v/>
      </c>
      <c r="AO206" s="102" t="str">
        <f>IF(A206="","",
SUM(
COUNTIFS('QA Log'!D:D,A206,'QA Log'!M:M,"Data Verification",'QA Log'!Z:Z,"Approved",'QA Log'!L:L,"*Personnel (section 1)*"),
COUNTIFS('QA Log'!D:D,A206,'QA Log'!M:M,"Data Verification",'QA Log'!Z:Z,"Approved",'QA Log'!L:L,"*Consumable (section 3)*"),
COUNTIFS('QA Log'!D:D,A206,'QA Log'!M:M,"Data Verification",'QA Log'!Z:Z,"Approved",'QA Log'!L:L,"*Equipments (section 4)*")
))</f>
        <v/>
      </c>
      <c r="AP206" s="105" t="str">
        <f>IF(A206&lt;&gt;"",COUNTIFS('QA Log'!D:D,A206,'QA Log'!M:M,"Data Verification",'QA Log'!L:L,"Personnel (section 1)",'QA Log'!Z:Z,"Approved"),"")</f>
        <v/>
      </c>
      <c r="AQ206" s="105" t="str">
        <f>IF(A206&lt;&gt;"",COUNTIFS('QA Log'!D:D,A206,'QA Log'!M:M,"Data Verification",'QA Log'!L:L,"Consumable (section 3)",'QA Log'!Z:Z,"Approved"),"")</f>
        <v/>
      </c>
      <c r="AR206" s="105" t="str">
        <f>IF(A206&lt;&gt;"",COUNTIFS('QA Log'!D:D,A206,'QA Log'!M:M,"Data Verification",'QA Log'!L:L,"Equipments (section 4)",'QA Log'!Z:Z,"Approved"),"")</f>
        <v/>
      </c>
      <c r="AS206" s="102" t="str">
        <f>IF(A206="","",
SUM(
COUNTIFS('QA Log'!D:D,A206,'QA Log'!M:M,"Data Verification",'QA Log'!Z:Z,"Rejected",'QA Log'!L:L,"*Personnel (section 1)*"),
COUNTIFS('QA Log'!D:D,A206,'QA Log'!M:M,"Data Verification",'QA Log'!Z:Z,"Rejected",'QA Log'!L:L,"*Consumable (section 3)*"),
COUNTIFS('QA Log'!D:D,A206,'QA Log'!M:M,"Data Verification",'QA Log'!Z:Z,"Rejected",'QA Log'!L:L,"*Equipments (section 4)*")
))</f>
        <v/>
      </c>
      <c r="AT206" s="102" t="str">
        <f t="shared" si="7"/>
        <v/>
      </c>
      <c r="AU206" s="103" t="str">
        <f t="shared" si="8"/>
        <v/>
      </c>
      <c r="AV206" s="102" t="str">
        <f>IF(A206="","",SUM(
COUNTIFS('QA Log'!D:D,A206,'QA Log'!M:M,"Vignette",'QA Log'!L:L,"*Vignette [1] Respiratory Infection: Pneumonia*"),
COUNTIFS('QA Log'!D:D,A206,'QA Log'!M:M,"Vignette",'QA Log'!L:L,"*Vignette [2]: Diarrhea with Cat B dehydration*"),
COUNTIFS('QA Log'!D:D,A206,'QA Log'!M:M,"Vignette",'QA Log'!L:L,"*Vignette [3] Growth Monitoring and Promotion*"),
COUNTIFS('QA Log'!D:D,A206,'QA Log'!M:M,"Vignette",'QA Log'!L:L,"*Vignette [4]: The management of presumptive TB patient*")
)
)</f>
        <v/>
      </c>
      <c r="AW206" s="102" t="str">
        <f>IF(
  A206="","",
  SUM(
    COUNTIFS('QA Log'!D:D,A206,'QA Log'!M:M,"Vignette",'QA Log'!Z:Z,"Approved",'QA Log'!L:L,"*Vignette [1] Respiratory Infection: Pneumonia*"),
    COUNTIFS('QA Log'!D:D,A206,'QA Log'!M:M,"Vignette",'QA Log'!Z:Z,"Approved",'QA Log'!L:L,"*Vignette [2]: Diarrhea with Cat B dehydration*"),
    COUNTIFS('QA Log'!D:D,A206,'QA Log'!M:M,"Vignette",'QA Log'!Z:Z,"Approved",'QA Log'!L:L,"*Vignette [3] Growth Monitoring and Promotion*"),
    COUNTIFS('QA Log'!D:D,A206,'QA Log'!M:M,"Vignette",'QA Log'!Z:Z,"Approved",'QA Log'!L:L,"*Vignette [4]: The management of presumptive TB patient*")
  )
)</f>
        <v/>
      </c>
      <c r="AX206" s="105" t="str">
        <f>IF(A206&lt;&gt;"",COUNTIFS('QA Log'!D:D,A206,'QA Log'!M:M,"Vignette",'QA Log'!L:L,"Vignette [1] Respiratory Infection: Pneumonia",'QA Log'!Z:Z,"Approved"),"")</f>
        <v/>
      </c>
      <c r="AY206" s="105" t="str">
        <f>IF(A206&lt;&gt;"",COUNTIFS('QA Log'!D:D,A206,'QA Log'!M:M,"Vignette",'QA Log'!L:L,"Vignette [2]: Diarrhea with Cat B dehydration",'QA Log'!Z:Z,"Approved"),"")</f>
        <v/>
      </c>
      <c r="AZ206" s="105" t="str">
        <f>IF(A206&lt;&gt;"",COUNTIFS('QA Log'!D:D,A206,'QA Log'!M:M,"Vignette",'QA Log'!L:L,"Vignette [3] Growth Monitoring and Promotion",'QA Log'!Z:Z,"Approved"),"")</f>
        <v/>
      </c>
      <c r="BA206" s="105" t="str">
        <f>IF(A206&lt;&gt;"",COUNTIFS('QA Log'!D:D,A206,'QA Log'!M:M,"Vignette",'QA Log'!L:L,"Vignette [4]: The management of presumptive TB patient",'QA Log'!Z:Z,"Approved"),"")</f>
        <v/>
      </c>
      <c r="BB206" s="102" t="str">
        <f>IF(A206="","",
  SUM(
    COUNTIFS('QA Log'!D:D,A206,'QA Log'!M:M,"Vignette",'QA Log'!Z:Z,"Rejected",'QA Log'!L:L,"*Vignette [1] Respiratory Infection: Pneumonia*"),
    COUNTIFS('QA Log'!D:D,A206,'QA Log'!M:M,"Vignette",'QA Log'!Z:Z,"Rejected",'QA Log'!L:L,"*Vignette [2]: Diarrhea with Cat B dehydration*"),
    COUNTIFS('QA Log'!D:D,A206,'QA Log'!M:M,"Vignette",'QA Log'!Z:Z,"Rejected",'QA Log'!L:L,"*Vignette [3] Growth Monitoring and Promotion*"),
    COUNTIFS('QA Log'!D:D,A206,'QA Log'!M:M,"Vignette",'QA Log'!Z:Z,"Rejected",'QA Log'!L:L,"*Vignette [4]: The management of presumptive TB patient*")
  )
)</f>
        <v/>
      </c>
      <c r="BC206" s="107" t="str">
        <f t="shared" si="9"/>
        <v/>
      </c>
      <c r="BD206" s="103" t="str">
        <f t="shared" si="10"/>
        <v/>
      </c>
      <c r="BE206" s="102" t="str">
        <f>IF(A206="","",SUM(
COUNTIFS('QA Log'!D:D,A206,'QA Log'!M:M,"Vignette",'QA Log'!L:L,"*Vignette [5] Labor*"),
COUNTIFS('QA Log'!D:D,A206,'QA Log'!M:M,"Vignette",'QA Log'!L:L,"*Vignette [6] PNC pre Discharge*"),
COUNTIFS('QA Log'!D:D,A206,'QA Log'!M:M,"Vignette",'QA Log'!L:L,"*Vignette [7] First ANC Visit*"),
COUNTIFS('QA Log'!D:D,A206,'QA Log'!M:M,"Vignette",'QA Log'!L:L,"*Vignette [8] Birth Spacing/ Family Planning :  FP Counselling*"),
COUNTIFS('QA Log'!D:D,A206,'QA Log'!M:M,"Vignette",'QA Log'!L:L,"*Vignette [9] Birth Spacing: Change FP method to Injectable*"),
COUNTIFS('QA Log'!D:D,A206,'QA Log'!M:M,"Vignette",'QA Log'!L:L,"*Vignette [10] Post Partum Haemorrhage - Atonic Uterus at Health Centre*"),
)
)</f>
        <v/>
      </c>
      <c r="BF206" s="102" t="str">
        <f>IF(A206="","",
  SUM(
    COUNTIFS('QA Log'!D:D,A206,'QA Log'!M:M,"Vignette",'QA Log'!Z:Z,"Approved",'QA Log'!L:L,"*Vignette [5] Labor*"),
    COUNTIFS('QA Log'!D:D,A206,'QA Log'!M:M,"Vignette",'QA Log'!Z:Z,"Approved",'QA Log'!L:L,"*Vignette [6] PNC pre Discharge*"),
    COUNTIFS('QA Log'!D:D,A206,'QA Log'!M:M,"Vignette",'QA Log'!Z:Z,"Approved",'QA Log'!L:L,"*Vignette [7] First ANC Visit*"),
    COUNTIFS('QA Log'!D:D,A206,'QA Log'!M:M,"Vignette",'QA Log'!Z:Z,"Approved",'QA Log'!L:L,"*Vignette [8] Birth Spacing/ Family Planning :  FP Counselling*"),
    COUNTIFS('QA Log'!D:D,A206,'QA Log'!M:M,"Vignette",'QA Log'!Z:Z,"Approved",'QA Log'!L:L,"*Vignette [9] Birth Spacing: Change FP method to Injectable*"),
    COUNTIFS('QA Log'!D:D,A206,'QA Log'!M:M,"Vignette",'QA Log'!Z:Z,"Approved",'QA Log'!L:L,"*Vignette [10] Post Partum Haemorrhage - Atonic Uterus at Health Centre*")
  )
)</f>
        <v/>
      </c>
      <c r="BG206" s="105" t="str">
        <f>IF(A206&lt;&gt;"",COUNTIFS('QA Log'!D:D,A206,'QA Log'!M:M,"Vignette",'QA Log'!L:L,"Vignette [5] Labor",'QA Log'!Z:Z,"Approved"),"")</f>
        <v/>
      </c>
      <c r="BH206" s="105" t="str">
        <f>IF(A206&lt;&gt;"",COUNTIFS('QA Log'!D:D,A206,'QA Log'!M:M,"Vignette",'QA Log'!L:L,"Vignette [6] PNC pre Discharge",'QA Log'!Z:Z,"Approved"),"")</f>
        <v/>
      </c>
      <c r="BI206" s="105" t="str">
        <f>IF(A206&lt;&gt;"",COUNTIFS('QA Log'!D:D,A206,'QA Log'!M:M,"Vignette",'QA Log'!L:L,"Vignette [7] First ANC Visit",'QA Log'!Z:Z,"Approved"),"")</f>
        <v/>
      </c>
      <c r="BJ206" s="105" t="str">
        <f>IF(A206&lt;&gt;"",COUNTIFS('QA Log'!D:D,A206,'QA Log'!M:M,"Vignette",'QA Log'!L:L,"Vignette [8] Birth Spacing/ Family Planning :  FP Counselling",'QA Log'!Z:Z,"Approved"),"")</f>
        <v/>
      </c>
      <c r="BK206" s="105" t="str">
        <f>IF(A206&lt;&gt;"",COUNTIFS('QA Log'!D:D,A206,'QA Log'!M:M,"Vignette",'QA Log'!L:L,"Vignette [9] Birth Spacing: Change FP method to Injectable",'QA Log'!Z:Z,"Approved"),"")</f>
        <v/>
      </c>
      <c r="BL206" s="105" t="str">
        <f>IF(A206&lt;&gt;"",COUNTIFS('QA Log'!D:D,A206,'QA Log'!M:M,"Vignette",'QA Log'!L:L,"Vignette [10] Post Partum Haemorrhage - Atonic Uterus at Health Centre",'QA Log'!Z:Z,"Approved"),"")</f>
        <v/>
      </c>
      <c r="BM206" s="102" t="str">
        <f>IF(A206="","",SUM(
    COUNTIFS('QA Log'!D:D,A206,'QA Log'!M:M,"Vignette",'QA Log'!Z:Z,"Rejected",'QA Log'!L:L,"*Vignette [5] Labor*"),
    COUNTIFS('QA Log'!D:D,A206,'QA Log'!M:M,"Vignette",'QA Log'!Z:Z,"Rejected",'QA Log'!L:L,"*Vignette [6] PNC pre Discharge*"),
    COUNTIFS('QA Log'!D:D,A206,'QA Log'!M:M,"Vignette",'QA Log'!Z:Z,"Rejected",'QA Log'!L:L,"*Vignette [7] First ANC Visit*"),
    COUNTIFS('QA Log'!D:D,A206,'QA Log'!M:M,"Vignette",'QA Log'!Z:Z,"Rejected",'QA Log'!L:L,"*Vignette [8] Birth Spacing/ Family Planning :  FP Counselling*"),
    COUNTIFS('QA Log'!D:D,A206,'QA Log'!M:M,"Vignette",'QA Log'!Z:Z,"Rejected",'QA Log'!L:L,"*Vignette [9] Birth Spacing: Change FP method to Injectable*"),
    COUNTIFS('QA Log'!D:D,A206,'QA Log'!M:M,"Vignette",'QA Log'!Z:Z,"Rejected",'QA Log'!L:L,"*Vignette [10] Post Partum Haemorrhage - Atonic Uterus at Health Centre*")
  )
)</f>
        <v/>
      </c>
      <c r="BN206" s="107" t="str">
        <f t="shared" si="11"/>
        <v/>
      </c>
      <c r="BO206" s="103" t="str">
        <f t="shared" si="12"/>
        <v/>
      </c>
      <c r="BP206" s="102" t="str">
        <f>IF(A206="","",SUM(
COUNTIFS('QA Log'!D:D,A206,'QA Log'!M:M,"Vignette",'QA Log'!L:L,"*Exit Interview 1*"),
COUNTIFS('QA Log'!D:D,A206,'QA Log'!M:M,"Vignette",'QA Log'!L:L,"*Exit Interview 2*"),
)
)</f>
        <v/>
      </c>
      <c r="BQ206" s="102" t="str">
        <f>IF(
  A206="","",
  SUM(
    COUNTIFS('QA Log'!D:D,A206,'QA Log'!M:M,"Vignette",'QA Log'!Z:Z,"Approved",'QA Log'!L:L,"*Exit Interview 1*"),
    COUNTIFS('QA Log'!D:D,A206,'QA Log'!M:M,"Vignette",'QA Log'!Z:Z,"Approved",'QA Log'!L:L,"*Exit Interview 2*")
  )
)</f>
        <v/>
      </c>
      <c r="BR206" s="105" t="str">
        <f>IF(A206&lt;&gt;"",COUNTIFS('QA Log'!D:D,A206,'QA Log'!M:M,"Vignette",'QA Log'!L:L,"Exit Interview 1",'QA Log'!Z:Z,"Approved"),"")</f>
        <v/>
      </c>
      <c r="BS206" s="105" t="str">
        <f>IF(A206&lt;&gt;"",COUNTIFS('QA Log'!D:D,A206,'QA Log'!M:M,"Vignette",'QA Log'!L:L,"Exit Interview 2",'QA Log'!Z:Z,"Approved"),"")</f>
        <v/>
      </c>
      <c r="BT206" s="102" t="str">
        <f>IF(
  A206="","",
  SUM(
    COUNTIFS('QA Log'!D:D,A206,'QA Log'!M:M,"Vignette",'QA Log'!Z:Z,"Rejected",'QA Log'!L:L,"*Exit Interview 1*"),
    COUNTIFS('QA Log'!D:D,A206,'QA Log'!M:M,"Vignette",'QA Log'!Z:Z,"Rejected",'QA Log'!L:L,"*Exit Interview 2*")
  )
)</f>
        <v/>
      </c>
      <c r="BU206" s="107" t="str">
        <f t="shared" si="13"/>
        <v/>
      </c>
      <c r="BV206" s="102" t="str">
        <f t="shared" si="14"/>
        <v/>
      </c>
      <c r="BW206" s="102" t="str">
        <f t="shared" si="15"/>
        <v/>
      </c>
      <c r="BX206" s="102" t="str">
        <f t="shared" si="16"/>
        <v/>
      </c>
      <c r="BY206" s="102" t="str">
        <f t="shared" si="17"/>
        <v/>
      </c>
      <c r="BZ206" s="107" t="str">
        <f t="shared" si="18"/>
        <v/>
      </c>
      <c r="CA206" s="108" t="str">
        <f t="shared" si="19"/>
        <v/>
      </c>
      <c r="CB206" s="108" t="str">
        <f t="shared" si="20"/>
        <v/>
      </c>
      <c r="CC206" s="109" t="str">
        <f t="shared" si="21"/>
        <v/>
      </c>
      <c r="CD206" s="108" t="str">
        <f t="shared" si="22"/>
        <v/>
      </c>
      <c r="CE206" s="108" t="str">
        <f t="shared" si="23"/>
        <v/>
      </c>
      <c r="CF206" s="109" t="str">
        <f t="shared" si="24"/>
        <v/>
      </c>
      <c r="CG206" s="110" t="str">
        <f t="shared" si="25"/>
        <v/>
      </c>
      <c r="CH206" s="111"/>
    </row>
    <row r="207" spans="1:86" ht="12.75">
      <c r="A207" s="101"/>
      <c r="B207" s="102" t="e">
        <f t="array" aca="1" ref="B207" ca="1">_xludf.XLOOKUP(A207,'QA Log'!D:D,'QA Log'!E:E,"")</f>
        <v>#NAME?</v>
      </c>
      <c r="C207" s="102" t="e">
        <f t="array" aca="1" ref="C207" ca="1">_xludf.XLOOKUP(A207,'QA Log'!D:D,'QA Log'!F:F,"")</f>
        <v>#NAME?</v>
      </c>
      <c r="D207" s="102" t="e">
        <f t="array" aca="1" ref="D207" ca="1">_xludf.XLOOKUP(A207,'QA Log'!D:D,'QA Log'!H:H,"")</f>
        <v>#NAME?</v>
      </c>
      <c r="E207" s="102" t="e">
        <f t="array" aca="1" ref="E207" ca="1">_xludf.XLOOKUP(A207,'QA Log'!D:D,'QA Log'!G:G,"")</f>
        <v>#NAME?</v>
      </c>
      <c r="F207" s="103"/>
      <c r="G207" s="104"/>
      <c r="H207" s="104"/>
      <c r="I207" s="103" t="str">
        <f t="shared" si="0"/>
        <v/>
      </c>
      <c r="J207" s="102" t="str">
        <f>IF(A207="","",SUM(
COUNTIFS('QA Log'!D:D,A207,'QA Log'!M:M,"QQC",'QA Log'!L:L,"*1. General Management*"),
COUNTIFS('QA Log'!D:D,A207,'QA Log'!M:M,"QQC",'QA Log'!L:L,"*3. Curative Consultation (OPD)*"),
COUNTIFS('QA Log'!D:D,A207,'QA Log'!M:M,"QQC",'QA Log'!L:L,"*5. Laboratory*"),
COUNTIFS('QA Log'!D:D,A207,'QA Log'!M:M,"QQC",'QA Log'!L:L,"*6. Essential Medicine Management*"),
COUNTIFS('QA Log'!D:D,A207,'QA Log'!M:M,"QQC",'QA Log'!L:L,"*7. Tracer Medicine*"),
COUNTIFS('QA Log'!D:D,A207,'QA Log'!M:M,"QQC",'QA Log'!L:L,"*11. Additional Questions*")))</f>
        <v/>
      </c>
      <c r="K207" s="102" t="str">
        <f>IF(A207="","",SUM(
COUNTIFS('QA Log'!D:D,A207,'QA Log'!M:M,"QQC",'QA Log'!Z:Z,"Approved",'QA Log'!L:L,"*1. General Management*"),
COUNTIFS('QA Log'!D:D,A207,'QA Log'!M:M,"QQC",'QA Log'!Z:Z,"Approved",'QA Log'!L:L,"*3. Curative Consultation (OPD)*"),
COUNTIFS('QA Log'!D:D,A207,'QA Log'!M:M,"QQC",'QA Log'!Z:Z,"Approved",'QA Log'!L:L,"*5. Laboratory*"),
COUNTIFS('QA Log'!D:D,A207,'QA Log'!M:M,"QQC",'QA Log'!Z:Z,"Approved",'QA Log'!L:L,"*6. Essential Medicine Management*"),
COUNTIFS('QA Log'!D:D,A207,'QA Log'!M:M,"QQC",'QA Log'!Z:Z,"Approved",'QA Log'!L:L,"*7. Tracer Medicine*"),
COUNTIFS('QA Log'!D:D,A207,'QA Log'!M:M,"QQC",'QA Log'!Z:Z,"Approved",'QA Log'!L:L,"*11. Additional Questions*")))</f>
        <v/>
      </c>
      <c r="L207" s="105" t="str">
        <f>IF(A207&lt;&gt;"",COUNTIFS('QA Log'!D:D,A207,'QA Log'!M:M,"QQC",'QA Log'!L:L,"1. General Management",'QA Log'!Z:Z,"Approved"),"")</f>
        <v/>
      </c>
      <c r="M207" s="105" t="str">
        <f>IF(A207&lt;&gt;"",COUNTIFS('QA Log'!D:D,A207,'QA Log'!M:M,"QQC",'QA Log'!L:L,"3. Curative Consultation (OPD)",'QA Log'!Z:Z,"Approved"),"")</f>
        <v/>
      </c>
      <c r="N207" s="105" t="str">
        <f>IF(A207&lt;&gt;"",COUNTIFS('QA Log'!D:D,A207,'QA Log'!M:M,"QQC",'QA Log'!L:L,"5. Laboratory",'QA Log'!Z:Z,"Approved"),"")</f>
        <v/>
      </c>
      <c r="O207" s="105" t="str">
        <f>IF(A207&lt;&gt;"",COUNTIFS('QA Log'!D:D,A207,'QA Log'!M:M,"QQC",'QA Log'!L:L,"6. Essential Medicine Management",'QA Log'!Z:Z,"Approved"),"")</f>
        <v/>
      </c>
      <c r="P207" s="105" t="str">
        <f>IF(A207&lt;&gt;"",COUNTIFS('QA Log'!D:D,A207,'QA Log'!M:M,"QQC",'QA Log'!L:L,"7. Tracer Medicine",'QA Log'!Z:Z,"Approved"),"")</f>
        <v/>
      </c>
      <c r="Q207" s="105" t="str">
        <f>IF(A207&lt;&gt;"",COUNTIFS('QA Log'!D:D,A207,'QA Log'!M:M,"QQC",'QA Log'!L:L,"11. Additional Questions",'QA Log'!Z:Z,"Approved"),"")</f>
        <v/>
      </c>
      <c r="R207" s="102" t="str">
        <f>IF(A207="","",SUM(
COUNTIFS('QA Log'!D:D,A207,'QA Log'!M:M,"QQC",'QA Log'!Z:Z,"Rejected",'QA Log'!L:L,"*8. Maternity*"),
COUNTIFS('QA Log'!D:D,A207,'QA Log'!M:M,"QQC",'QA Log'!Z:Z,"Rejected",'QA Log'!L:L,"*EPI*"),
COUNTIFS('QA Log'!D:D,A207,'QA Log'!M:M,"QQC",'QA Log'!Z:Z,"Rejected",'QA Log'!L:L,"*10. Antenatal Care (ANC)*"),
COUNTIFS('QA Log'!D:D,A207,'QA Log'!M:M,"QQC",'QA Log'!Z:Z,"Rejected",'QA Log'!L:L,"*2. Hygiene and Sterilization*"),
COUNTIFS('QA Log'!D:D,A207,'QA Log'!M:M,"QQC",'QA Log'!Z:Z,"Rejected",'QA Log'!L:L,"*Family Planning*")))</f>
        <v/>
      </c>
      <c r="S207" s="106" t="str">
        <f t="shared" si="1"/>
        <v/>
      </c>
      <c r="T207" s="102" t="str">
        <f t="shared" si="2"/>
        <v/>
      </c>
      <c r="U207" s="102" t="str">
        <f>IF(A207="","",
SUM(
COUNTIFS('QA Log'!D:D,A207,'QA Log'!M:M,"QQC",'QA Log'!L:L,"*8. Maternity*"),
COUNTIFS('QA Log'!D:D,A207,'QA Log'!M:M,"QQC",'QA Log'!L:L,"*9. EPI and Pre-school Consultation*"),
COUNTIFS('QA Log'!D:D,A207,'QA Log'!M:M,"QQC",'QA Log'!L:L,"*10. Antenatal Care (ANC)*"),
COUNTIFS('QA Log'!D:D,A207,'QA Log'!M:M,"QQC",'QA Log'!L:L,"*2. Hygiene and Sterilization*"),
COUNTIFS('QA Log'!D:D,A207,'QA Log'!M:M,"QQC",'QA Log'!L:L,"*4. Family Planning*")
))</f>
        <v/>
      </c>
      <c r="V207" s="102" t="str">
        <f>IF(A207="","",
SUM(
COUNTIFS('QA Log'!D:D,A207,'QA Log'!M:M,"QQC",'QA Log'!Z:Z,"Approved",'QA Log'!L:L,"*8. Maternity*"),
COUNTIFS('QA Log'!D:D,A207,'QA Log'!M:M,"QQC",'QA Log'!Z:Z,"Approved",'QA Log'!L:L,"*9. EPI and Pre-school Consultation*"),
COUNTIFS('QA Log'!D:D,A207,'QA Log'!M:M,"QQC",'QA Log'!Z:Z,"Approved",'QA Log'!L:L,"*10. Antenatal Care (ANC)*"),
COUNTIFS('QA Log'!D:D,A207,'QA Log'!M:M,"QQC",'QA Log'!Z:Z,"Approved",'QA Log'!L:L,"*2. Hygiene and Sterilization*"),
COUNTIFS('QA Log'!D:D,A207,'QA Log'!M:M,"QQC",'QA Log'!Z:Z,"Approved",'QA Log'!L:L,"*4. Family Planning*")
))</f>
        <v/>
      </c>
      <c r="W207" s="105" t="str">
        <f>IF(A207&lt;&gt;"",COUNTIFS('QA Log'!D:D,A207,'QA Log'!M:M,"QQC",'QA Log'!L:L,"8. Maternity",'QA Log'!Z:Z,"Approved"),"")</f>
        <v/>
      </c>
      <c r="X207" s="105" t="str">
        <f>IF(A207&lt;&gt;"",COUNTIFS('QA Log'!D:D,A207,'QA Log'!M:M,"QQC",'QA Log'!L:L,"9. EPI and Pre-school Consultation",'QA Log'!Z:Z,"Approved"),"")</f>
        <v/>
      </c>
      <c r="Y207" s="105" t="str">
        <f>IF(A207&lt;&gt;"",COUNTIFS('QA Log'!D:D,A207,'QA Log'!M:M,"QQC",'QA Log'!L:L,"10. Antenatal Care (ANC)",'QA Log'!Z:Z,"Approved"),"")</f>
        <v/>
      </c>
      <c r="Z207" s="105" t="str">
        <f>IF(A207&lt;&gt;"",COUNTIFS('QA Log'!D:D,A207,'QA Log'!M:M,"QQC",'QA Log'!L:L,"2. Hygiene and Sterilization",'QA Log'!Z:Z,"Approved"),"")</f>
        <v/>
      </c>
      <c r="AA207" s="105" t="str">
        <f>IF(A207&lt;&gt;"",COUNTIFS('QA Log'!D:D,A207,'QA Log'!M:M,"QQC",'QA Log'!L:L,"4. Family Planning",'QA Log'!Z:Z,"Approved"),"")</f>
        <v/>
      </c>
      <c r="AB207" s="102" t="str">
        <f>IF(A207="","",
SUM(
COUNTIFS('QA Log'!D:D,A207,'QA Log'!M:M,"QQC",'QA Log'!Z:Z,"Rejected",'QA Log'!L:L,"*8. Maternity*"),
COUNTIFS('QA Log'!D:D,A207,'QA Log'!M:M,"QQC",'QA Log'!Z:Z,"Rejected",'QA Log'!L:L,"*9. EPI and Pre-school Consultation*"),
COUNTIFS('QA Log'!D:D,A207,'QA Log'!M:M,"QQC",'QA Log'!Z:Z,"Rejected",'QA Log'!L:L,"*10. Antenatal Care (ANC)*"),
COUNTIFS('QA Log'!D:D,A207,'QA Log'!M:M,"QQC",'QA Log'!Z:Z,"Rejected",'QA Log'!L:L,"*2. Hygiene and Sterilization*"),
COUNTIFS('QA Log'!D:D,A207,'QA Log'!M:M,"QQC",'QA Log'!Z:Z,"Rejected",'QA Log'!L:L,"*4. Family Planning*")
))</f>
        <v/>
      </c>
      <c r="AC207" s="102" t="str">
        <f t="shared" si="3"/>
        <v/>
      </c>
      <c r="AD207" s="103" t="str">
        <f t="shared" si="4"/>
        <v/>
      </c>
      <c r="AE207" s="102" t="str">
        <f>IF(A207="","",
SUM(
COUNTIFS('QA Log'!D:D,A207,'QA Log'!M:M,"Data Verification",'QA Log'!L:L,"*Medicine (section 2)*"),
COUNTIFS('QA Log'!D:D,A207,'QA Log'!M:M,"Data Verification",'QA Log'!L:L,"*Lab Testing Availability*"),
COUNTIFS('QA Log'!D:D,A207,'QA Log'!M:M,"Data Verification",'QA Log'!L:L,"*Other than P4P (section 6)*"),
COUNTIFS('QA Log'!D:D,A207,'QA Log'!M:M,"Data Verification",'QA Log'!L:L,"*Hospital Governance*")
))</f>
        <v/>
      </c>
      <c r="AF207" s="102" t="str">
        <f>IF(A207="","",
SUM(
COUNTIFS('QA Log'!D:D,A207,'QA Log'!M:M,"Data Verification",'QA Log'!Z:Z,"Approved",'QA Log'!L:L,"*Medicine (section 2)*"),
COUNTIFS('QA Log'!D:D,A207,'QA Log'!M:M,"Data Verification",'QA Log'!Z:Z,"Approved",'QA Log'!L:L,"*Lab Testing Availability*"),
COUNTIFS('QA Log'!D:D,A207,'QA Log'!M:M,"Data Verification",'QA Log'!Z:Z,"Approved",'QA Log'!L:L,"*Other than P4P (section 6)*"),
COUNTIFS('QA Log'!D:D,A207,'QA Log'!M:M,"Data Verification",'QA Log'!Z:Z,"Approved",'QA Log'!L:L,"*Hospital Governance*")
))</f>
        <v/>
      </c>
      <c r="AG207" s="105" t="str">
        <f>IF(A207&lt;&gt;"",COUNTIFS('QA Log'!D:D,A207,'QA Log'!M:M,"Data Verification",'QA Log'!L:L,"Medicine (section 2)",'QA Log'!Z:Z,"Approved"),"")</f>
        <v/>
      </c>
      <c r="AH207" s="105" t="str">
        <f>IF(A207&lt;&gt;"",COUNTIFS('QA Log'!D:D,A207,'QA Log'!M:M,"Data Verification",'QA Log'!L:L,"Lab Testing Availability",'QA Log'!Z:Z,"Approved"),"")</f>
        <v/>
      </c>
      <c r="AI207" s="105" t="str">
        <f>IF(A207&lt;&gt;"",COUNTIFS('QA Log'!D:D,A207,'QA Log'!M:M,"Data Verification",'QA Log'!L:L,"Other than P4P (section 6)",'QA Log'!Z:Z,"Approved"),"")</f>
        <v/>
      </c>
      <c r="AJ207" s="105" t="str">
        <f>IF(A207&lt;&gt;"",COUNTIFS('QA Log'!D:D,A207,'QA Log'!M:M,"Data Verification",'QA Log'!L:L,"Hospital Governance",'QA Log'!Z:Z,"Approved"),"")</f>
        <v/>
      </c>
      <c r="AK207" s="102" t="str">
        <f>IF(A207="","",
SUM(
COUNTIFS('QA Log'!D:D,A207,'QA Log'!M:M,"Data Verification",'QA Log'!Z:Z,"Rejected",'QA Log'!L:L,"*Medicine (section 2)*"),
COUNTIFS('QA Log'!D:D,A207,'QA Log'!M:M,"Data Verification",'QA Log'!Z:Z,"Rejected",'QA Log'!L:L,"*Lab Testing Availability*"),
COUNTIFS('QA Log'!D:D,A207,'QA Log'!M:M,"Data Verification",'QA Log'!Z:Z,"Rejected",'QA Log'!L:L,"*Other than P4P (section 6)*"),
COUNTIFS('QA Log'!D:D,A207,'QA Log'!M:M,"Data Verification",'QA Log'!Z:Z,"Rejected",'QA Log'!L:L,"*Hospital Governance*")
))</f>
        <v/>
      </c>
      <c r="AL207" s="106" t="str">
        <f t="shared" si="5"/>
        <v/>
      </c>
      <c r="AM207" s="102" t="str">
        <f t="shared" si="6"/>
        <v/>
      </c>
      <c r="AN207" s="102" t="str">
        <f>IF(A207="","",
SUM(
COUNTIFS('QA Log'!D:D,A207,'QA Log'!M:M,"Data Verification",'QA Log'!L:L,"*Personnel (section 1)*"),
COUNTIFS('QA Log'!D:D,A207,'QA Log'!M:M,"Data Verification",'QA Log'!L:L,"*Consumable (section 3)*"),
COUNTIFS('QA Log'!D:D,A207,'QA Log'!M:M,"Data Verification",'QA Log'!L:L,"*Equipments (section 4)*")
))</f>
        <v/>
      </c>
      <c r="AO207" s="102" t="str">
        <f>IF(A207="","",
SUM(
COUNTIFS('QA Log'!D:D,A207,'QA Log'!M:M,"Data Verification",'QA Log'!Z:Z,"Approved",'QA Log'!L:L,"*Personnel (section 1)*"),
COUNTIFS('QA Log'!D:D,A207,'QA Log'!M:M,"Data Verification",'QA Log'!Z:Z,"Approved",'QA Log'!L:L,"*Consumable (section 3)*"),
COUNTIFS('QA Log'!D:D,A207,'QA Log'!M:M,"Data Verification",'QA Log'!Z:Z,"Approved",'QA Log'!L:L,"*Equipments (section 4)*")
))</f>
        <v/>
      </c>
      <c r="AP207" s="105" t="str">
        <f>IF(A207&lt;&gt;"",COUNTIFS('QA Log'!D:D,A207,'QA Log'!M:M,"Data Verification",'QA Log'!L:L,"Personnel (section 1)",'QA Log'!Z:Z,"Approved"),"")</f>
        <v/>
      </c>
      <c r="AQ207" s="105" t="str">
        <f>IF(A207&lt;&gt;"",COUNTIFS('QA Log'!D:D,A207,'QA Log'!M:M,"Data Verification",'QA Log'!L:L,"Consumable (section 3)",'QA Log'!Z:Z,"Approved"),"")</f>
        <v/>
      </c>
      <c r="AR207" s="105" t="str">
        <f>IF(A207&lt;&gt;"",COUNTIFS('QA Log'!D:D,A207,'QA Log'!M:M,"Data Verification",'QA Log'!L:L,"Equipments (section 4)",'QA Log'!Z:Z,"Approved"),"")</f>
        <v/>
      </c>
      <c r="AS207" s="102" t="str">
        <f>IF(A207="","",
SUM(
COUNTIFS('QA Log'!D:D,A207,'QA Log'!M:M,"Data Verification",'QA Log'!Z:Z,"Rejected",'QA Log'!L:L,"*Personnel (section 1)*"),
COUNTIFS('QA Log'!D:D,A207,'QA Log'!M:M,"Data Verification",'QA Log'!Z:Z,"Rejected",'QA Log'!L:L,"*Consumable (section 3)*"),
COUNTIFS('QA Log'!D:D,A207,'QA Log'!M:M,"Data Verification",'QA Log'!Z:Z,"Rejected",'QA Log'!L:L,"*Equipments (section 4)*")
))</f>
        <v/>
      </c>
      <c r="AT207" s="102" t="str">
        <f t="shared" si="7"/>
        <v/>
      </c>
      <c r="AU207" s="103" t="str">
        <f t="shared" si="8"/>
        <v/>
      </c>
      <c r="AV207" s="102" t="str">
        <f>IF(A207="","",SUM(
COUNTIFS('QA Log'!D:D,A207,'QA Log'!M:M,"Vignette",'QA Log'!L:L,"*Vignette [1] Respiratory Infection: Pneumonia*"),
COUNTIFS('QA Log'!D:D,A207,'QA Log'!M:M,"Vignette",'QA Log'!L:L,"*Vignette [2]: Diarrhea with Cat B dehydration*"),
COUNTIFS('QA Log'!D:D,A207,'QA Log'!M:M,"Vignette",'QA Log'!L:L,"*Vignette [3] Growth Monitoring and Promotion*"),
COUNTIFS('QA Log'!D:D,A207,'QA Log'!M:M,"Vignette",'QA Log'!L:L,"*Vignette [4]: The management of presumptive TB patient*")
)
)</f>
        <v/>
      </c>
      <c r="AW207" s="102" t="str">
        <f>IF(
  A207="","",
  SUM(
    COUNTIFS('QA Log'!D:D,A207,'QA Log'!M:M,"Vignette",'QA Log'!Z:Z,"Approved",'QA Log'!L:L,"*Vignette [1] Respiratory Infection: Pneumonia*"),
    COUNTIFS('QA Log'!D:D,A207,'QA Log'!M:M,"Vignette",'QA Log'!Z:Z,"Approved",'QA Log'!L:L,"*Vignette [2]: Diarrhea with Cat B dehydration*"),
    COUNTIFS('QA Log'!D:D,A207,'QA Log'!M:M,"Vignette",'QA Log'!Z:Z,"Approved",'QA Log'!L:L,"*Vignette [3] Growth Monitoring and Promotion*"),
    COUNTIFS('QA Log'!D:D,A207,'QA Log'!M:M,"Vignette",'QA Log'!Z:Z,"Approved",'QA Log'!L:L,"*Vignette [4]: The management of presumptive TB patient*")
  )
)</f>
        <v/>
      </c>
      <c r="AX207" s="105" t="str">
        <f>IF(A207&lt;&gt;"",COUNTIFS('QA Log'!D:D,A207,'QA Log'!M:M,"Vignette",'QA Log'!L:L,"Vignette [1] Respiratory Infection: Pneumonia",'QA Log'!Z:Z,"Approved"),"")</f>
        <v/>
      </c>
      <c r="AY207" s="105" t="str">
        <f>IF(A207&lt;&gt;"",COUNTIFS('QA Log'!D:D,A207,'QA Log'!M:M,"Vignette",'QA Log'!L:L,"Vignette [2]: Diarrhea with Cat B dehydration",'QA Log'!Z:Z,"Approved"),"")</f>
        <v/>
      </c>
      <c r="AZ207" s="105" t="str">
        <f>IF(A207&lt;&gt;"",COUNTIFS('QA Log'!D:D,A207,'QA Log'!M:M,"Vignette",'QA Log'!L:L,"Vignette [3] Growth Monitoring and Promotion",'QA Log'!Z:Z,"Approved"),"")</f>
        <v/>
      </c>
      <c r="BA207" s="105" t="str">
        <f>IF(A207&lt;&gt;"",COUNTIFS('QA Log'!D:D,A207,'QA Log'!M:M,"Vignette",'QA Log'!L:L,"Vignette [4]: The management of presumptive TB patient",'QA Log'!Z:Z,"Approved"),"")</f>
        <v/>
      </c>
      <c r="BB207" s="102" t="str">
        <f>IF(A207="","",
  SUM(
    COUNTIFS('QA Log'!D:D,A207,'QA Log'!M:M,"Vignette",'QA Log'!Z:Z,"Rejected",'QA Log'!L:L,"*Vignette [1] Respiratory Infection: Pneumonia*"),
    COUNTIFS('QA Log'!D:D,A207,'QA Log'!M:M,"Vignette",'QA Log'!Z:Z,"Rejected",'QA Log'!L:L,"*Vignette [2]: Diarrhea with Cat B dehydration*"),
    COUNTIFS('QA Log'!D:D,A207,'QA Log'!M:M,"Vignette",'QA Log'!Z:Z,"Rejected",'QA Log'!L:L,"*Vignette [3] Growth Monitoring and Promotion*"),
    COUNTIFS('QA Log'!D:D,A207,'QA Log'!M:M,"Vignette",'QA Log'!Z:Z,"Rejected",'QA Log'!L:L,"*Vignette [4]: The management of presumptive TB patient*")
  )
)</f>
        <v/>
      </c>
      <c r="BC207" s="107" t="str">
        <f t="shared" si="9"/>
        <v/>
      </c>
      <c r="BD207" s="103" t="str">
        <f t="shared" si="10"/>
        <v/>
      </c>
      <c r="BE207" s="102" t="str">
        <f>IF(A207="","",SUM(
COUNTIFS('QA Log'!D:D,A207,'QA Log'!M:M,"Vignette",'QA Log'!L:L,"*Vignette [5] Labor*"),
COUNTIFS('QA Log'!D:D,A207,'QA Log'!M:M,"Vignette",'QA Log'!L:L,"*Vignette [6] PNC pre Discharge*"),
COUNTIFS('QA Log'!D:D,A207,'QA Log'!M:M,"Vignette",'QA Log'!L:L,"*Vignette [7] First ANC Visit*"),
COUNTIFS('QA Log'!D:D,A207,'QA Log'!M:M,"Vignette",'QA Log'!L:L,"*Vignette [8] Birth Spacing/ Family Planning :  FP Counselling*"),
COUNTIFS('QA Log'!D:D,A207,'QA Log'!M:M,"Vignette",'QA Log'!L:L,"*Vignette [9] Birth Spacing: Change FP method to Injectable*"),
COUNTIFS('QA Log'!D:D,A207,'QA Log'!M:M,"Vignette",'QA Log'!L:L,"*Vignette [10] Post Partum Haemorrhage - Atonic Uterus at Health Centre*"),
)
)</f>
        <v/>
      </c>
      <c r="BF207" s="102" t="str">
        <f>IF(A207="","",
  SUM(
    COUNTIFS('QA Log'!D:D,A207,'QA Log'!M:M,"Vignette",'QA Log'!Z:Z,"Approved",'QA Log'!L:L,"*Vignette [5] Labor*"),
    COUNTIFS('QA Log'!D:D,A207,'QA Log'!M:M,"Vignette",'QA Log'!Z:Z,"Approved",'QA Log'!L:L,"*Vignette [6] PNC pre Discharge*"),
    COUNTIFS('QA Log'!D:D,A207,'QA Log'!M:M,"Vignette",'QA Log'!Z:Z,"Approved",'QA Log'!L:L,"*Vignette [7] First ANC Visit*"),
    COUNTIFS('QA Log'!D:D,A207,'QA Log'!M:M,"Vignette",'QA Log'!Z:Z,"Approved",'QA Log'!L:L,"*Vignette [8] Birth Spacing/ Family Planning :  FP Counselling*"),
    COUNTIFS('QA Log'!D:D,A207,'QA Log'!M:M,"Vignette",'QA Log'!Z:Z,"Approved",'QA Log'!L:L,"*Vignette [9] Birth Spacing: Change FP method to Injectable*"),
    COUNTIFS('QA Log'!D:D,A207,'QA Log'!M:M,"Vignette",'QA Log'!Z:Z,"Approved",'QA Log'!L:L,"*Vignette [10] Post Partum Haemorrhage - Atonic Uterus at Health Centre*")
  )
)</f>
        <v/>
      </c>
      <c r="BG207" s="105" t="str">
        <f>IF(A207&lt;&gt;"",COUNTIFS('QA Log'!D:D,A207,'QA Log'!M:M,"Vignette",'QA Log'!L:L,"Vignette [5] Labor",'QA Log'!Z:Z,"Approved"),"")</f>
        <v/>
      </c>
      <c r="BH207" s="105" t="str">
        <f>IF(A207&lt;&gt;"",COUNTIFS('QA Log'!D:D,A207,'QA Log'!M:M,"Vignette",'QA Log'!L:L,"Vignette [6] PNC pre Discharge",'QA Log'!Z:Z,"Approved"),"")</f>
        <v/>
      </c>
      <c r="BI207" s="105" t="str">
        <f>IF(A207&lt;&gt;"",COUNTIFS('QA Log'!D:D,A207,'QA Log'!M:M,"Vignette",'QA Log'!L:L,"Vignette [7] First ANC Visit",'QA Log'!Z:Z,"Approved"),"")</f>
        <v/>
      </c>
      <c r="BJ207" s="105" t="str">
        <f>IF(A207&lt;&gt;"",COUNTIFS('QA Log'!D:D,A207,'QA Log'!M:M,"Vignette",'QA Log'!L:L,"Vignette [8] Birth Spacing/ Family Planning :  FP Counselling",'QA Log'!Z:Z,"Approved"),"")</f>
        <v/>
      </c>
      <c r="BK207" s="105" t="str">
        <f>IF(A207&lt;&gt;"",COUNTIFS('QA Log'!D:D,A207,'QA Log'!M:M,"Vignette",'QA Log'!L:L,"Vignette [9] Birth Spacing: Change FP method to Injectable",'QA Log'!Z:Z,"Approved"),"")</f>
        <v/>
      </c>
      <c r="BL207" s="105" t="str">
        <f>IF(A207&lt;&gt;"",COUNTIFS('QA Log'!D:D,A207,'QA Log'!M:M,"Vignette",'QA Log'!L:L,"Vignette [10] Post Partum Haemorrhage - Atonic Uterus at Health Centre",'QA Log'!Z:Z,"Approved"),"")</f>
        <v/>
      </c>
      <c r="BM207" s="102" t="str">
        <f>IF(A207="","",SUM(
    COUNTIFS('QA Log'!D:D,A207,'QA Log'!M:M,"Vignette",'QA Log'!Z:Z,"Rejected",'QA Log'!L:L,"*Vignette [5] Labor*"),
    COUNTIFS('QA Log'!D:D,A207,'QA Log'!M:M,"Vignette",'QA Log'!Z:Z,"Rejected",'QA Log'!L:L,"*Vignette [6] PNC pre Discharge*"),
    COUNTIFS('QA Log'!D:D,A207,'QA Log'!M:M,"Vignette",'QA Log'!Z:Z,"Rejected",'QA Log'!L:L,"*Vignette [7] First ANC Visit*"),
    COUNTIFS('QA Log'!D:D,A207,'QA Log'!M:M,"Vignette",'QA Log'!Z:Z,"Rejected",'QA Log'!L:L,"*Vignette [8] Birth Spacing/ Family Planning :  FP Counselling*"),
    COUNTIFS('QA Log'!D:D,A207,'QA Log'!M:M,"Vignette",'QA Log'!Z:Z,"Rejected",'QA Log'!L:L,"*Vignette [9] Birth Spacing: Change FP method to Injectable*"),
    COUNTIFS('QA Log'!D:D,A207,'QA Log'!M:M,"Vignette",'QA Log'!Z:Z,"Rejected",'QA Log'!L:L,"*Vignette [10] Post Partum Haemorrhage - Atonic Uterus at Health Centre*")
  )
)</f>
        <v/>
      </c>
      <c r="BN207" s="107" t="str">
        <f t="shared" si="11"/>
        <v/>
      </c>
      <c r="BO207" s="103" t="str">
        <f t="shared" si="12"/>
        <v/>
      </c>
      <c r="BP207" s="102" t="str">
        <f>IF(A207="","",SUM(
COUNTIFS('QA Log'!D:D,A207,'QA Log'!M:M,"Vignette",'QA Log'!L:L,"*Exit Interview 1*"),
COUNTIFS('QA Log'!D:D,A207,'QA Log'!M:M,"Vignette",'QA Log'!L:L,"*Exit Interview 2*"),
)
)</f>
        <v/>
      </c>
      <c r="BQ207" s="102" t="str">
        <f>IF(
  A207="","",
  SUM(
    COUNTIFS('QA Log'!D:D,A207,'QA Log'!M:M,"Vignette",'QA Log'!Z:Z,"Approved",'QA Log'!L:L,"*Exit Interview 1*"),
    COUNTIFS('QA Log'!D:D,A207,'QA Log'!M:M,"Vignette",'QA Log'!Z:Z,"Approved",'QA Log'!L:L,"*Exit Interview 2*")
  )
)</f>
        <v/>
      </c>
      <c r="BR207" s="105" t="str">
        <f>IF(A207&lt;&gt;"",COUNTIFS('QA Log'!D:D,A207,'QA Log'!M:M,"Vignette",'QA Log'!L:L,"Exit Interview 1",'QA Log'!Z:Z,"Approved"),"")</f>
        <v/>
      </c>
      <c r="BS207" s="105" t="str">
        <f>IF(A207&lt;&gt;"",COUNTIFS('QA Log'!D:D,A207,'QA Log'!M:M,"Vignette",'QA Log'!L:L,"Exit Interview 2",'QA Log'!Z:Z,"Approved"),"")</f>
        <v/>
      </c>
      <c r="BT207" s="102" t="str">
        <f>IF(
  A207="","",
  SUM(
    COUNTIFS('QA Log'!D:D,A207,'QA Log'!M:M,"Vignette",'QA Log'!Z:Z,"Rejected",'QA Log'!L:L,"*Exit Interview 1*"),
    COUNTIFS('QA Log'!D:D,A207,'QA Log'!M:M,"Vignette",'QA Log'!Z:Z,"Rejected",'QA Log'!L:L,"*Exit Interview 2*")
  )
)</f>
        <v/>
      </c>
      <c r="BU207" s="107" t="str">
        <f t="shared" si="13"/>
        <v/>
      </c>
      <c r="BV207" s="102" t="str">
        <f t="shared" si="14"/>
        <v/>
      </c>
      <c r="BW207" s="102" t="str">
        <f t="shared" si="15"/>
        <v/>
      </c>
      <c r="BX207" s="102" t="str">
        <f t="shared" si="16"/>
        <v/>
      </c>
      <c r="BY207" s="102" t="str">
        <f t="shared" si="17"/>
        <v/>
      </c>
      <c r="BZ207" s="107" t="str">
        <f t="shared" si="18"/>
        <v/>
      </c>
      <c r="CA207" s="108" t="str">
        <f t="shared" si="19"/>
        <v/>
      </c>
      <c r="CB207" s="108" t="str">
        <f t="shared" si="20"/>
        <v/>
      </c>
      <c r="CC207" s="109" t="str">
        <f t="shared" si="21"/>
        <v/>
      </c>
      <c r="CD207" s="108" t="str">
        <f t="shared" si="22"/>
        <v/>
      </c>
      <c r="CE207" s="108" t="str">
        <f t="shared" si="23"/>
        <v/>
      </c>
      <c r="CF207" s="109" t="str">
        <f t="shared" si="24"/>
        <v/>
      </c>
      <c r="CG207" s="110" t="str">
        <f t="shared" si="25"/>
        <v/>
      </c>
      <c r="CH207" s="111"/>
    </row>
    <row r="208" spans="1:86" ht="12.75">
      <c r="A208" s="101"/>
      <c r="B208" s="102" t="e">
        <f t="array" aca="1" ref="B208" ca="1">_xludf.XLOOKUP(A208,'QA Log'!D:D,'QA Log'!E:E,"")</f>
        <v>#NAME?</v>
      </c>
      <c r="C208" s="102" t="e">
        <f t="array" aca="1" ref="C208" ca="1">_xludf.XLOOKUP(A208,'QA Log'!D:D,'QA Log'!F:F,"")</f>
        <v>#NAME?</v>
      </c>
      <c r="D208" s="102" t="e">
        <f t="array" aca="1" ref="D208" ca="1">_xludf.XLOOKUP(A208,'QA Log'!D:D,'QA Log'!H:H,"")</f>
        <v>#NAME?</v>
      </c>
      <c r="E208" s="102" t="e">
        <f t="array" aca="1" ref="E208" ca="1">_xludf.XLOOKUP(A208,'QA Log'!D:D,'QA Log'!G:G,"")</f>
        <v>#NAME?</v>
      </c>
      <c r="F208" s="103"/>
      <c r="G208" s="104"/>
      <c r="H208" s="104"/>
      <c r="I208" s="103" t="str">
        <f t="shared" si="0"/>
        <v/>
      </c>
      <c r="J208" s="102" t="str">
        <f>IF(A208="","",SUM(
COUNTIFS('QA Log'!D:D,A208,'QA Log'!M:M,"QQC",'QA Log'!L:L,"*1. General Management*"),
COUNTIFS('QA Log'!D:D,A208,'QA Log'!M:M,"QQC",'QA Log'!L:L,"*3. Curative Consultation (OPD)*"),
COUNTIFS('QA Log'!D:D,A208,'QA Log'!M:M,"QQC",'QA Log'!L:L,"*5. Laboratory*"),
COUNTIFS('QA Log'!D:D,A208,'QA Log'!M:M,"QQC",'QA Log'!L:L,"*6. Essential Medicine Management*"),
COUNTIFS('QA Log'!D:D,A208,'QA Log'!M:M,"QQC",'QA Log'!L:L,"*7. Tracer Medicine*"),
COUNTIFS('QA Log'!D:D,A208,'QA Log'!M:M,"QQC",'QA Log'!L:L,"*11. Additional Questions*")))</f>
        <v/>
      </c>
      <c r="K208" s="102" t="str">
        <f>IF(A208="","",SUM(
COUNTIFS('QA Log'!D:D,A208,'QA Log'!M:M,"QQC",'QA Log'!Z:Z,"Approved",'QA Log'!L:L,"*1. General Management*"),
COUNTIFS('QA Log'!D:D,A208,'QA Log'!M:M,"QQC",'QA Log'!Z:Z,"Approved",'QA Log'!L:L,"*3. Curative Consultation (OPD)*"),
COUNTIFS('QA Log'!D:D,A208,'QA Log'!M:M,"QQC",'QA Log'!Z:Z,"Approved",'QA Log'!L:L,"*5. Laboratory*"),
COUNTIFS('QA Log'!D:D,A208,'QA Log'!M:M,"QQC",'QA Log'!Z:Z,"Approved",'QA Log'!L:L,"*6. Essential Medicine Management*"),
COUNTIFS('QA Log'!D:D,A208,'QA Log'!M:M,"QQC",'QA Log'!Z:Z,"Approved",'QA Log'!L:L,"*7. Tracer Medicine*"),
COUNTIFS('QA Log'!D:D,A208,'QA Log'!M:M,"QQC",'QA Log'!Z:Z,"Approved",'QA Log'!L:L,"*11. Additional Questions*")))</f>
        <v/>
      </c>
      <c r="L208" s="105" t="str">
        <f>IF(A208&lt;&gt;"",COUNTIFS('QA Log'!D:D,A208,'QA Log'!M:M,"QQC",'QA Log'!L:L,"1. General Management",'QA Log'!Z:Z,"Approved"),"")</f>
        <v/>
      </c>
      <c r="M208" s="105" t="str">
        <f>IF(A208&lt;&gt;"",COUNTIFS('QA Log'!D:D,A208,'QA Log'!M:M,"QQC",'QA Log'!L:L,"3. Curative Consultation (OPD)",'QA Log'!Z:Z,"Approved"),"")</f>
        <v/>
      </c>
      <c r="N208" s="105" t="str">
        <f>IF(A208&lt;&gt;"",COUNTIFS('QA Log'!D:D,A208,'QA Log'!M:M,"QQC",'QA Log'!L:L,"5. Laboratory",'QA Log'!Z:Z,"Approved"),"")</f>
        <v/>
      </c>
      <c r="O208" s="105" t="str">
        <f>IF(A208&lt;&gt;"",COUNTIFS('QA Log'!D:D,A208,'QA Log'!M:M,"QQC",'QA Log'!L:L,"6. Essential Medicine Management",'QA Log'!Z:Z,"Approved"),"")</f>
        <v/>
      </c>
      <c r="P208" s="105" t="str">
        <f>IF(A208&lt;&gt;"",COUNTIFS('QA Log'!D:D,A208,'QA Log'!M:M,"QQC",'QA Log'!L:L,"7. Tracer Medicine",'QA Log'!Z:Z,"Approved"),"")</f>
        <v/>
      </c>
      <c r="Q208" s="105" t="str">
        <f>IF(A208&lt;&gt;"",COUNTIFS('QA Log'!D:D,A208,'QA Log'!M:M,"QQC",'QA Log'!L:L,"11. Additional Questions",'QA Log'!Z:Z,"Approved"),"")</f>
        <v/>
      </c>
      <c r="R208" s="102" t="str">
        <f>IF(A208="","",SUM(
COUNTIFS('QA Log'!D:D,A208,'QA Log'!M:M,"QQC",'QA Log'!Z:Z,"Rejected",'QA Log'!L:L,"*8. Maternity*"),
COUNTIFS('QA Log'!D:D,A208,'QA Log'!M:M,"QQC",'QA Log'!Z:Z,"Rejected",'QA Log'!L:L,"*EPI*"),
COUNTIFS('QA Log'!D:D,A208,'QA Log'!M:M,"QQC",'QA Log'!Z:Z,"Rejected",'QA Log'!L:L,"*10. Antenatal Care (ANC)*"),
COUNTIFS('QA Log'!D:D,A208,'QA Log'!M:M,"QQC",'QA Log'!Z:Z,"Rejected",'QA Log'!L:L,"*2. Hygiene and Sterilization*"),
COUNTIFS('QA Log'!D:D,A208,'QA Log'!M:M,"QQC",'QA Log'!Z:Z,"Rejected",'QA Log'!L:L,"*Family Planning*")))</f>
        <v/>
      </c>
      <c r="S208" s="106" t="str">
        <f t="shared" si="1"/>
        <v/>
      </c>
      <c r="T208" s="102" t="str">
        <f t="shared" si="2"/>
        <v/>
      </c>
      <c r="U208" s="102" t="str">
        <f>IF(A208="","",
SUM(
COUNTIFS('QA Log'!D:D,A208,'QA Log'!M:M,"QQC",'QA Log'!L:L,"*8. Maternity*"),
COUNTIFS('QA Log'!D:D,A208,'QA Log'!M:M,"QQC",'QA Log'!L:L,"*9. EPI and Pre-school Consultation*"),
COUNTIFS('QA Log'!D:D,A208,'QA Log'!M:M,"QQC",'QA Log'!L:L,"*10. Antenatal Care (ANC)*"),
COUNTIFS('QA Log'!D:D,A208,'QA Log'!M:M,"QQC",'QA Log'!L:L,"*2. Hygiene and Sterilization*"),
COUNTIFS('QA Log'!D:D,A208,'QA Log'!M:M,"QQC",'QA Log'!L:L,"*4. Family Planning*")
))</f>
        <v/>
      </c>
      <c r="V208" s="102" t="str">
        <f>IF(A208="","",
SUM(
COUNTIFS('QA Log'!D:D,A208,'QA Log'!M:M,"QQC",'QA Log'!Z:Z,"Approved",'QA Log'!L:L,"*8. Maternity*"),
COUNTIFS('QA Log'!D:D,A208,'QA Log'!M:M,"QQC",'QA Log'!Z:Z,"Approved",'QA Log'!L:L,"*9. EPI and Pre-school Consultation*"),
COUNTIFS('QA Log'!D:D,A208,'QA Log'!M:M,"QQC",'QA Log'!Z:Z,"Approved",'QA Log'!L:L,"*10. Antenatal Care (ANC)*"),
COUNTIFS('QA Log'!D:D,A208,'QA Log'!M:M,"QQC",'QA Log'!Z:Z,"Approved",'QA Log'!L:L,"*2. Hygiene and Sterilization*"),
COUNTIFS('QA Log'!D:D,A208,'QA Log'!M:M,"QQC",'QA Log'!Z:Z,"Approved",'QA Log'!L:L,"*4. Family Planning*")
))</f>
        <v/>
      </c>
      <c r="W208" s="105" t="str">
        <f>IF(A208&lt;&gt;"",COUNTIFS('QA Log'!D:D,A208,'QA Log'!M:M,"QQC",'QA Log'!L:L,"8. Maternity",'QA Log'!Z:Z,"Approved"),"")</f>
        <v/>
      </c>
      <c r="X208" s="105" t="str">
        <f>IF(A208&lt;&gt;"",COUNTIFS('QA Log'!D:D,A208,'QA Log'!M:M,"QQC",'QA Log'!L:L,"9. EPI and Pre-school Consultation",'QA Log'!Z:Z,"Approved"),"")</f>
        <v/>
      </c>
      <c r="Y208" s="105" t="str">
        <f>IF(A208&lt;&gt;"",COUNTIFS('QA Log'!D:D,A208,'QA Log'!M:M,"QQC",'QA Log'!L:L,"10. Antenatal Care (ANC)",'QA Log'!Z:Z,"Approved"),"")</f>
        <v/>
      </c>
      <c r="Z208" s="105" t="str">
        <f>IF(A208&lt;&gt;"",COUNTIFS('QA Log'!D:D,A208,'QA Log'!M:M,"QQC",'QA Log'!L:L,"2. Hygiene and Sterilization",'QA Log'!Z:Z,"Approved"),"")</f>
        <v/>
      </c>
      <c r="AA208" s="105" t="str">
        <f>IF(A208&lt;&gt;"",COUNTIFS('QA Log'!D:D,A208,'QA Log'!M:M,"QQC",'QA Log'!L:L,"4. Family Planning",'QA Log'!Z:Z,"Approved"),"")</f>
        <v/>
      </c>
      <c r="AB208" s="102" t="str">
        <f>IF(A208="","",
SUM(
COUNTIFS('QA Log'!D:D,A208,'QA Log'!M:M,"QQC",'QA Log'!Z:Z,"Rejected",'QA Log'!L:L,"*8. Maternity*"),
COUNTIFS('QA Log'!D:D,A208,'QA Log'!M:M,"QQC",'QA Log'!Z:Z,"Rejected",'QA Log'!L:L,"*9. EPI and Pre-school Consultation*"),
COUNTIFS('QA Log'!D:D,A208,'QA Log'!M:M,"QQC",'QA Log'!Z:Z,"Rejected",'QA Log'!L:L,"*10. Antenatal Care (ANC)*"),
COUNTIFS('QA Log'!D:D,A208,'QA Log'!M:M,"QQC",'QA Log'!Z:Z,"Rejected",'QA Log'!L:L,"*2. Hygiene and Sterilization*"),
COUNTIFS('QA Log'!D:D,A208,'QA Log'!M:M,"QQC",'QA Log'!Z:Z,"Rejected",'QA Log'!L:L,"*4. Family Planning*")
))</f>
        <v/>
      </c>
      <c r="AC208" s="102" t="str">
        <f t="shared" si="3"/>
        <v/>
      </c>
      <c r="AD208" s="103" t="str">
        <f t="shared" si="4"/>
        <v/>
      </c>
      <c r="AE208" s="102" t="str">
        <f>IF(A208="","",
SUM(
COUNTIFS('QA Log'!D:D,A208,'QA Log'!M:M,"Data Verification",'QA Log'!L:L,"*Medicine (section 2)*"),
COUNTIFS('QA Log'!D:D,A208,'QA Log'!M:M,"Data Verification",'QA Log'!L:L,"*Lab Testing Availability*"),
COUNTIFS('QA Log'!D:D,A208,'QA Log'!M:M,"Data Verification",'QA Log'!L:L,"*Other than P4P (section 6)*"),
COUNTIFS('QA Log'!D:D,A208,'QA Log'!M:M,"Data Verification",'QA Log'!L:L,"*Hospital Governance*")
))</f>
        <v/>
      </c>
      <c r="AF208" s="102" t="str">
        <f>IF(A208="","",
SUM(
COUNTIFS('QA Log'!D:D,A208,'QA Log'!M:M,"Data Verification",'QA Log'!Z:Z,"Approved",'QA Log'!L:L,"*Medicine (section 2)*"),
COUNTIFS('QA Log'!D:D,A208,'QA Log'!M:M,"Data Verification",'QA Log'!Z:Z,"Approved",'QA Log'!L:L,"*Lab Testing Availability*"),
COUNTIFS('QA Log'!D:D,A208,'QA Log'!M:M,"Data Verification",'QA Log'!Z:Z,"Approved",'QA Log'!L:L,"*Other than P4P (section 6)*"),
COUNTIFS('QA Log'!D:D,A208,'QA Log'!M:M,"Data Verification",'QA Log'!Z:Z,"Approved",'QA Log'!L:L,"*Hospital Governance*")
))</f>
        <v/>
      </c>
      <c r="AG208" s="105" t="str">
        <f>IF(A208&lt;&gt;"",COUNTIFS('QA Log'!D:D,A208,'QA Log'!M:M,"Data Verification",'QA Log'!L:L,"Medicine (section 2)",'QA Log'!Z:Z,"Approved"),"")</f>
        <v/>
      </c>
      <c r="AH208" s="105" t="str">
        <f>IF(A208&lt;&gt;"",COUNTIFS('QA Log'!D:D,A208,'QA Log'!M:M,"Data Verification",'QA Log'!L:L,"Lab Testing Availability",'QA Log'!Z:Z,"Approved"),"")</f>
        <v/>
      </c>
      <c r="AI208" s="105" t="str">
        <f>IF(A208&lt;&gt;"",COUNTIFS('QA Log'!D:D,A208,'QA Log'!M:M,"Data Verification",'QA Log'!L:L,"Other than P4P (section 6)",'QA Log'!Z:Z,"Approved"),"")</f>
        <v/>
      </c>
      <c r="AJ208" s="105" t="str">
        <f>IF(A208&lt;&gt;"",COUNTIFS('QA Log'!D:D,A208,'QA Log'!M:M,"Data Verification",'QA Log'!L:L,"Hospital Governance",'QA Log'!Z:Z,"Approved"),"")</f>
        <v/>
      </c>
      <c r="AK208" s="102" t="str">
        <f>IF(A208="","",
SUM(
COUNTIFS('QA Log'!D:D,A208,'QA Log'!M:M,"Data Verification",'QA Log'!Z:Z,"Rejected",'QA Log'!L:L,"*Medicine (section 2)*"),
COUNTIFS('QA Log'!D:D,A208,'QA Log'!M:M,"Data Verification",'QA Log'!Z:Z,"Rejected",'QA Log'!L:L,"*Lab Testing Availability*"),
COUNTIFS('QA Log'!D:D,A208,'QA Log'!M:M,"Data Verification",'QA Log'!Z:Z,"Rejected",'QA Log'!L:L,"*Other than P4P (section 6)*"),
COUNTIFS('QA Log'!D:D,A208,'QA Log'!M:M,"Data Verification",'QA Log'!Z:Z,"Rejected",'QA Log'!L:L,"*Hospital Governance*")
))</f>
        <v/>
      </c>
      <c r="AL208" s="106" t="str">
        <f t="shared" si="5"/>
        <v/>
      </c>
      <c r="AM208" s="102" t="str">
        <f t="shared" si="6"/>
        <v/>
      </c>
      <c r="AN208" s="102" t="str">
        <f>IF(A208="","",
SUM(
COUNTIFS('QA Log'!D:D,A208,'QA Log'!M:M,"Data Verification",'QA Log'!L:L,"*Personnel (section 1)*"),
COUNTIFS('QA Log'!D:D,A208,'QA Log'!M:M,"Data Verification",'QA Log'!L:L,"*Consumable (section 3)*"),
COUNTIFS('QA Log'!D:D,A208,'QA Log'!M:M,"Data Verification",'QA Log'!L:L,"*Equipments (section 4)*")
))</f>
        <v/>
      </c>
      <c r="AO208" s="102" t="str">
        <f>IF(A208="","",
SUM(
COUNTIFS('QA Log'!D:D,A208,'QA Log'!M:M,"Data Verification",'QA Log'!Z:Z,"Approved",'QA Log'!L:L,"*Personnel (section 1)*"),
COUNTIFS('QA Log'!D:D,A208,'QA Log'!M:M,"Data Verification",'QA Log'!Z:Z,"Approved",'QA Log'!L:L,"*Consumable (section 3)*"),
COUNTIFS('QA Log'!D:D,A208,'QA Log'!M:M,"Data Verification",'QA Log'!Z:Z,"Approved",'QA Log'!L:L,"*Equipments (section 4)*")
))</f>
        <v/>
      </c>
      <c r="AP208" s="105" t="str">
        <f>IF(A208&lt;&gt;"",COUNTIFS('QA Log'!D:D,A208,'QA Log'!M:M,"Data Verification",'QA Log'!L:L,"Personnel (section 1)",'QA Log'!Z:Z,"Approved"),"")</f>
        <v/>
      </c>
      <c r="AQ208" s="105" t="str">
        <f>IF(A208&lt;&gt;"",COUNTIFS('QA Log'!D:D,A208,'QA Log'!M:M,"Data Verification",'QA Log'!L:L,"Consumable (section 3)",'QA Log'!Z:Z,"Approved"),"")</f>
        <v/>
      </c>
      <c r="AR208" s="105" t="str">
        <f>IF(A208&lt;&gt;"",COUNTIFS('QA Log'!D:D,A208,'QA Log'!M:M,"Data Verification",'QA Log'!L:L,"Equipments (section 4)",'QA Log'!Z:Z,"Approved"),"")</f>
        <v/>
      </c>
      <c r="AS208" s="102" t="str">
        <f>IF(A208="","",
SUM(
COUNTIFS('QA Log'!D:D,A208,'QA Log'!M:M,"Data Verification",'QA Log'!Z:Z,"Rejected",'QA Log'!L:L,"*Personnel (section 1)*"),
COUNTIFS('QA Log'!D:D,A208,'QA Log'!M:M,"Data Verification",'QA Log'!Z:Z,"Rejected",'QA Log'!L:L,"*Consumable (section 3)*"),
COUNTIFS('QA Log'!D:D,A208,'QA Log'!M:M,"Data Verification",'QA Log'!Z:Z,"Rejected",'QA Log'!L:L,"*Equipments (section 4)*")
))</f>
        <v/>
      </c>
      <c r="AT208" s="102" t="str">
        <f t="shared" si="7"/>
        <v/>
      </c>
      <c r="AU208" s="103" t="str">
        <f t="shared" si="8"/>
        <v/>
      </c>
      <c r="AV208" s="102" t="str">
        <f>IF(A208="","",SUM(
COUNTIFS('QA Log'!D:D,A208,'QA Log'!M:M,"Vignette",'QA Log'!L:L,"*Vignette [1] Respiratory Infection: Pneumonia*"),
COUNTIFS('QA Log'!D:D,A208,'QA Log'!M:M,"Vignette",'QA Log'!L:L,"*Vignette [2]: Diarrhea with Cat B dehydration*"),
COUNTIFS('QA Log'!D:D,A208,'QA Log'!M:M,"Vignette",'QA Log'!L:L,"*Vignette [3] Growth Monitoring and Promotion*"),
COUNTIFS('QA Log'!D:D,A208,'QA Log'!M:M,"Vignette",'QA Log'!L:L,"*Vignette [4]: The management of presumptive TB patient*")
)
)</f>
        <v/>
      </c>
      <c r="AW208" s="102" t="str">
        <f>IF(
  A208="","",
  SUM(
    COUNTIFS('QA Log'!D:D,A208,'QA Log'!M:M,"Vignette",'QA Log'!Z:Z,"Approved",'QA Log'!L:L,"*Vignette [1] Respiratory Infection: Pneumonia*"),
    COUNTIFS('QA Log'!D:D,A208,'QA Log'!M:M,"Vignette",'QA Log'!Z:Z,"Approved",'QA Log'!L:L,"*Vignette [2]: Diarrhea with Cat B dehydration*"),
    COUNTIFS('QA Log'!D:D,A208,'QA Log'!M:M,"Vignette",'QA Log'!Z:Z,"Approved",'QA Log'!L:L,"*Vignette [3] Growth Monitoring and Promotion*"),
    COUNTIFS('QA Log'!D:D,A208,'QA Log'!M:M,"Vignette",'QA Log'!Z:Z,"Approved",'QA Log'!L:L,"*Vignette [4]: The management of presumptive TB patient*")
  )
)</f>
        <v/>
      </c>
      <c r="AX208" s="105" t="str">
        <f>IF(A208&lt;&gt;"",COUNTIFS('QA Log'!D:D,A208,'QA Log'!M:M,"Vignette",'QA Log'!L:L,"Vignette [1] Respiratory Infection: Pneumonia",'QA Log'!Z:Z,"Approved"),"")</f>
        <v/>
      </c>
      <c r="AY208" s="105" t="str">
        <f>IF(A208&lt;&gt;"",COUNTIFS('QA Log'!D:D,A208,'QA Log'!M:M,"Vignette",'QA Log'!L:L,"Vignette [2]: Diarrhea with Cat B dehydration",'QA Log'!Z:Z,"Approved"),"")</f>
        <v/>
      </c>
      <c r="AZ208" s="105" t="str">
        <f>IF(A208&lt;&gt;"",COUNTIFS('QA Log'!D:D,A208,'QA Log'!M:M,"Vignette",'QA Log'!L:L,"Vignette [3] Growth Monitoring and Promotion",'QA Log'!Z:Z,"Approved"),"")</f>
        <v/>
      </c>
      <c r="BA208" s="105" t="str">
        <f>IF(A208&lt;&gt;"",COUNTIFS('QA Log'!D:D,A208,'QA Log'!M:M,"Vignette",'QA Log'!L:L,"Vignette [4]: The management of presumptive TB patient",'QA Log'!Z:Z,"Approved"),"")</f>
        <v/>
      </c>
      <c r="BB208" s="102" t="str">
        <f>IF(A208="","",
  SUM(
    COUNTIFS('QA Log'!D:D,A208,'QA Log'!M:M,"Vignette",'QA Log'!Z:Z,"Rejected",'QA Log'!L:L,"*Vignette [1] Respiratory Infection: Pneumonia*"),
    COUNTIFS('QA Log'!D:D,A208,'QA Log'!M:M,"Vignette",'QA Log'!Z:Z,"Rejected",'QA Log'!L:L,"*Vignette [2]: Diarrhea with Cat B dehydration*"),
    COUNTIFS('QA Log'!D:D,A208,'QA Log'!M:M,"Vignette",'QA Log'!Z:Z,"Rejected",'QA Log'!L:L,"*Vignette [3] Growth Monitoring and Promotion*"),
    COUNTIFS('QA Log'!D:D,A208,'QA Log'!M:M,"Vignette",'QA Log'!Z:Z,"Rejected",'QA Log'!L:L,"*Vignette [4]: The management of presumptive TB patient*")
  )
)</f>
        <v/>
      </c>
      <c r="BC208" s="107" t="str">
        <f t="shared" si="9"/>
        <v/>
      </c>
      <c r="BD208" s="103" t="str">
        <f t="shared" si="10"/>
        <v/>
      </c>
      <c r="BE208" s="102" t="str">
        <f>IF(A208="","",SUM(
COUNTIFS('QA Log'!D:D,A208,'QA Log'!M:M,"Vignette",'QA Log'!L:L,"*Vignette [5] Labor*"),
COUNTIFS('QA Log'!D:D,A208,'QA Log'!M:M,"Vignette",'QA Log'!L:L,"*Vignette [6] PNC pre Discharge*"),
COUNTIFS('QA Log'!D:D,A208,'QA Log'!M:M,"Vignette",'QA Log'!L:L,"*Vignette [7] First ANC Visit*"),
COUNTIFS('QA Log'!D:D,A208,'QA Log'!M:M,"Vignette",'QA Log'!L:L,"*Vignette [8] Birth Spacing/ Family Planning :  FP Counselling*"),
COUNTIFS('QA Log'!D:D,A208,'QA Log'!M:M,"Vignette",'QA Log'!L:L,"*Vignette [9] Birth Spacing: Change FP method to Injectable*"),
COUNTIFS('QA Log'!D:D,A208,'QA Log'!M:M,"Vignette",'QA Log'!L:L,"*Vignette [10] Post Partum Haemorrhage - Atonic Uterus at Health Centre*"),
)
)</f>
        <v/>
      </c>
      <c r="BF208" s="102" t="str">
        <f>IF(A208="","",
  SUM(
    COUNTIFS('QA Log'!D:D,A208,'QA Log'!M:M,"Vignette",'QA Log'!Z:Z,"Approved",'QA Log'!L:L,"*Vignette [5] Labor*"),
    COUNTIFS('QA Log'!D:D,A208,'QA Log'!M:M,"Vignette",'QA Log'!Z:Z,"Approved",'QA Log'!L:L,"*Vignette [6] PNC pre Discharge*"),
    COUNTIFS('QA Log'!D:D,A208,'QA Log'!M:M,"Vignette",'QA Log'!Z:Z,"Approved",'QA Log'!L:L,"*Vignette [7] First ANC Visit*"),
    COUNTIFS('QA Log'!D:D,A208,'QA Log'!M:M,"Vignette",'QA Log'!Z:Z,"Approved",'QA Log'!L:L,"*Vignette [8] Birth Spacing/ Family Planning :  FP Counselling*"),
    COUNTIFS('QA Log'!D:D,A208,'QA Log'!M:M,"Vignette",'QA Log'!Z:Z,"Approved",'QA Log'!L:L,"*Vignette [9] Birth Spacing: Change FP method to Injectable*"),
    COUNTIFS('QA Log'!D:D,A208,'QA Log'!M:M,"Vignette",'QA Log'!Z:Z,"Approved",'QA Log'!L:L,"*Vignette [10] Post Partum Haemorrhage - Atonic Uterus at Health Centre*")
  )
)</f>
        <v/>
      </c>
      <c r="BG208" s="105" t="str">
        <f>IF(A208&lt;&gt;"",COUNTIFS('QA Log'!D:D,A208,'QA Log'!M:M,"Vignette",'QA Log'!L:L,"Vignette [5] Labor",'QA Log'!Z:Z,"Approved"),"")</f>
        <v/>
      </c>
      <c r="BH208" s="105" t="str">
        <f>IF(A208&lt;&gt;"",COUNTIFS('QA Log'!D:D,A208,'QA Log'!M:M,"Vignette",'QA Log'!L:L,"Vignette [6] PNC pre Discharge",'QA Log'!Z:Z,"Approved"),"")</f>
        <v/>
      </c>
      <c r="BI208" s="105" t="str">
        <f>IF(A208&lt;&gt;"",COUNTIFS('QA Log'!D:D,A208,'QA Log'!M:M,"Vignette",'QA Log'!L:L,"Vignette [7] First ANC Visit",'QA Log'!Z:Z,"Approved"),"")</f>
        <v/>
      </c>
      <c r="BJ208" s="105" t="str">
        <f>IF(A208&lt;&gt;"",COUNTIFS('QA Log'!D:D,A208,'QA Log'!M:M,"Vignette",'QA Log'!L:L,"Vignette [8] Birth Spacing/ Family Planning :  FP Counselling",'QA Log'!Z:Z,"Approved"),"")</f>
        <v/>
      </c>
      <c r="BK208" s="105" t="str">
        <f>IF(A208&lt;&gt;"",COUNTIFS('QA Log'!D:D,A208,'QA Log'!M:M,"Vignette",'QA Log'!L:L,"Vignette [9] Birth Spacing: Change FP method to Injectable",'QA Log'!Z:Z,"Approved"),"")</f>
        <v/>
      </c>
      <c r="BL208" s="105" t="str">
        <f>IF(A208&lt;&gt;"",COUNTIFS('QA Log'!D:D,A208,'QA Log'!M:M,"Vignette",'QA Log'!L:L,"Vignette [10] Post Partum Haemorrhage - Atonic Uterus at Health Centre",'QA Log'!Z:Z,"Approved"),"")</f>
        <v/>
      </c>
      <c r="BM208" s="102" t="str">
        <f>IF(A208="","",SUM(
    COUNTIFS('QA Log'!D:D,A208,'QA Log'!M:M,"Vignette",'QA Log'!Z:Z,"Rejected",'QA Log'!L:L,"*Vignette [5] Labor*"),
    COUNTIFS('QA Log'!D:D,A208,'QA Log'!M:M,"Vignette",'QA Log'!Z:Z,"Rejected",'QA Log'!L:L,"*Vignette [6] PNC pre Discharge*"),
    COUNTIFS('QA Log'!D:D,A208,'QA Log'!M:M,"Vignette",'QA Log'!Z:Z,"Rejected",'QA Log'!L:L,"*Vignette [7] First ANC Visit*"),
    COUNTIFS('QA Log'!D:D,A208,'QA Log'!M:M,"Vignette",'QA Log'!Z:Z,"Rejected",'QA Log'!L:L,"*Vignette [8] Birth Spacing/ Family Planning :  FP Counselling*"),
    COUNTIFS('QA Log'!D:D,A208,'QA Log'!M:M,"Vignette",'QA Log'!Z:Z,"Rejected",'QA Log'!L:L,"*Vignette [9] Birth Spacing: Change FP method to Injectable*"),
    COUNTIFS('QA Log'!D:D,A208,'QA Log'!M:M,"Vignette",'QA Log'!Z:Z,"Rejected",'QA Log'!L:L,"*Vignette [10] Post Partum Haemorrhage - Atonic Uterus at Health Centre*")
  )
)</f>
        <v/>
      </c>
      <c r="BN208" s="107" t="str">
        <f t="shared" si="11"/>
        <v/>
      </c>
      <c r="BO208" s="103" t="str">
        <f t="shared" si="12"/>
        <v/>
      </c>
      <c r="BP208" s="102" t="str">
        <f>IF(A208="","",SUM(
COUNTIFS('QA Log'!D:D,A208,'QA Log'!M:M,"Vignette",'QA Log'!L:L,"*Exit Interview 1*"),
COUNTIFS('QA Log'!D:D,A208,'QA Log'!M:M,"Vignette",'QA Log'!L:L,"*Exit Interview 2*"),
)
)</f>
        <v/>
      </c>
      <c r="BQ208" s="102" t="str">
        <f>IF(
  A208="","",
  SUM(
    COUNTIFS('QA Log'!D:D,A208,'QA Log'!M:M,"Vignette",'QA Log'!Z:Z,"Approved",'QA Log'!L:L,"*Exit Interview 1*"),
    COUNTIFS('QA Log'!D:D,A208,'QA Log'!M:M,"Vignette",'QA Log'!Z:Z,"Approved",'QA Log'!L:L,"*Exit Interview 2*")
  )
)</f>
        <v/>
      </c>
      <c r="BR208" s="105" t="str">
        <f>IF(A208&lt;&gt;"",COUNTIFS('QA Log'!D:D,A208,'QA Log'!M:M,"Vignette",'QA Log'!L:L,"Exit Interview 1",'QA Log'!Z:Z,"Approved"),"")</f>
        <v/>
      </c>
      <c r="BS208" s="105" t="str">
        <f>IF(A208&lt;&gt;"",COUNTIFS('QA Log'!D:D,A208,'QA Log'!M:M,"Vignette",'QA Log'!L:L,"Exit Interview 2",'QA Log'!Z:Z,"Approved"),"")</f>
        <v/>
      </c>
      <c r="BT208" s="102" t="str">
        <f>IF(
  A208="","",
  SUM(
    COUNTIFS('QA Log'!D:D,A208,'QA Log'!M:M,"Vignette",'QA Log'!Z:Z,"Rejected",'QA Log'!L:L,"*Exit Interview 1*"),
    COUNTIFS('QA Log'!D:D,A208,'QA Log'!M:M,"Vignette",'QA Log'!Z:Z,"Rejected",'QA Log'!L:L,"*Exit Interview 2*")
  )
)</f>
        <v/>
      </c>
      <c r="BU208" s="107" t="str">
        <f t="shared" si="13"/>
        <v/>
      </c>
      <c r="BV208" s="102" t="str">
        <f t="shared" si="14"/>
        <v/>
      </c>
      <c r="BW208" s="102" t="str">
        <f t="shared" si="15"/>
        <v/>
      </c>
      <c r="BX208" s="102" t="str">
        <f t="shared" si="16"/>
        <v/>
      </c>
      <c r="BY208" s="102" t="str">
        <f t="shared" si="17"/>
        <v/>
      </c>
      <c r="BZ208" s="107" t="str">
        <f t="shared" si="18"/>
        <v/>
      </c>
      <c r="CA208" s="108" t="str">
        <f t="shared" si="19"/>
        <v/>
      </c>
      <c r="CB208" s="108" t="str">
        <f t="shared" si="20"/>
        <v/>
      </c>
      <c r="CC208" s="109" t="str">
        <f t="shared" si="21"/>
        <v/>
      </c>
      <c r="CD208" s="108" t="str">
        <f t="shared" si="22"/>
        <v/>
      </c>
      <c r="CE208" s="108" t="str">
        <f t="shared" si="23"/>
        <v/>
      </c>
      <c r="CF208" s="109" t="str">
        <f t="shared" si="24"/>
        <v/>
      </c>
      <c r="CG208" s="110" t="str">
        <f t="shared" si="25"/>
        <v/>
      </c>
      <c r="CH208" s="111"/>
    </row>
    <row r="209" spans="1:86" ht="12.75">
      <c r="A209" s="101"/>
      <c r="B209" s="102" t="e">
        <f t="array" aca="1" ref="B209" ca="1">_xludf.XLOOKUP(A209,'QA Log'!D:D,'QA Log'!E:E,"")</f>
        <v>#NAME?</v>
      </c>
      <c r="C209" s="102" t="e">
        <f t="array" aca="1" ref="C209" ca="1">_xludf.XLOOKUP(A209,'QA Log'!D:D,'QA Log'!F:F,"")</f>
        <v>#NAME?</v>
      </c>
      <c r="D209" s="102" t="e">
        <f t="array" aca="1" ref="D209" ca="1">_xludf.XLOOKUP(A209,'QA Log'!D:D,'QA Log'!H:H,"")</f>
        <v>#NAME?</v>
      </c>
      <c r="E209" s="102" t="e">
        <f t="array" aca="1" ref="E209" ca="1">_xludf.XLOOKUP(A209,'QA Log'!D:D,'QA Log'!G:G,"")</f>
        <v>#NAME?</v>
      </c>
      <c r="F209" s="103"/>
      <c r="G209" s="104"/>
      <c r="H209" s="104"/>
      <c r="I209" s="103" t="str">
        <f t="shared" si="0"/>
        <v/>
      </c>
      <c r="J209" s="102" t="str">
        <f>IF(A209="","",SUM(
COUNTIFS('QA Log'!D:D,A209,'QA Log'!M:M,"QQC",'QA Log'!L:L,"*1. General Management*"),
COUNTIFS('QA Log'!D:D,A209,'QA Log'!M:M,"QQC",'QA Log'!L:L,"*3. Curative Consultation (OPD)*"),
COUNTIFS('QA Log'!D:D,A209,'QA Log'!M:M,"QQC",'QA Log'!L:L,"*5. Laboratory*"),
COUNTIFS('QA Log'!D:D,A209,'QA Log'!M:M,"QQC",'QA Log'!L:L,"*6. Essential Medicine Management*"),
COUNTIFS('QA Log'!D:D,A209,'QA Log'!M:M,"QQC",'QA Log'!L:L,"*7. Tracer Medicine*"),
COUNTIFS('QA Log'!D:D,A209,'QA Log'!M:M,"QQC",'QA Log'!L:L,"*11. Additional Questions*")))</f>
        <v/>
      </c>
      <c r="K209" s="102" t="str">
        <f>IF(A209="","",SUM(
COUNTIFS('QA Log'!D:D,A209,'QA Log'!M:M,"QQC",'QA Log'!Z:Z,"Approved",'QA Log'!L:L,"*1. General Management*"),
COUNTIFS('QA Log'!D:D,A209,'QA Log'!M:M,"QQC",'QA Log'!Z:Z,"Approved",'QA Log'!L:L,"*3. Curative Consultation (OPD)*"),
COUNTIFS('QA Log'!D:D,A209,'QA Log'!M:M,"QQC",'QA Log'!Z:Z,"Approved",'QA Log'!L:L,"*5. Laboratory*"),
COUNTIFS('QA Log'!D:D,A209,'QA Log'!M:M,"QQC",'QA Log'!Z:Z,"Approved",'QA Log'!L:L,"*6. Essential Medicine Management*"),
COUNTIFS('QA Log'!D:D,A209,'QA Log'!M:M,"QQC",'QA Log'!Z:Z,"Approved",'QA Log'!L:L,"*7. Tracer Medicine*"),
COUNTIFS('QA Log'!D:D,A209,'QA Log'!M:M,"QQC",'QA Log'!Z:Z,"Approved",'QA Log'!L:L,"*11. Additional Questions*")))</f>
        <v/>
      </c>
      <c r="L209" s="105" t="str">
        <f>IF(A209&lt;&gt;"",COUNTIFS('QA Log'!D:D,A209,'QA Log'!M:M,"QQC",'QA Log'!L:L,"1. General Management",'QA Log'!Z:Z,"Approved"),"")</f>
        <v/>
      </c>
      <c r="M209" s="105" t="str">
        <f>IF(A209&lt;&gt;"",COUNTIFS('QA Log'!D:D,A209,'QA Log'!M:M,"QQC",'QA Log'!L:L,"3. Curative Consultation (OPD)",'QA Log'!Z:Z,"Approved"),"")</f>
        <v/>
      </c>
      <c r="N209" s="105" t="str">
        <f>IF(A209&lt;&gt;"",COUNTIFS('QA Log'!D:D,A209,'QA Log'!M:M,"QQC",'QA Log'!L:L,"5. Laboratory",'QA Log'!Z:Z,"Approved"),"")</f>
        <v/>
      </c>
      <c r="O209" s="105" t="str">
        <f>IF(A209&lt;&gt;"",COUNTIFS('QA Log'!D:D,A209,'QA Log'!M:M,"QQC",'QA Log'!L:L,"6. Essential Medicine Management",'QA Log'!Z:Z,"Approved"),"")</f>
        <v/>
      </c>
      <c r="P209" s="105" t="str">
        <f>IF(A209&lt;&gt;"",COUNTIFS('QA Log'!D:D,A209,'QA Log'!M:M,"QQC",'QA Log'!L:L,"7. Tracer Medicine",'QA Log'!Z:Z,"Approved"),"")</f>
        <v/>
      </c>
      <c r="Q209" s="105" t="str">
        <f>IF(A209&lt;&gt;"",COUNTIFS('QA Log'!D:D,A209,'QA Log'!M:M,"QQC",'QA Log'!L:L,"11. Additional Questions",'QA Log'!Z:Z,"Approved"),"")</f>
        <v/>
      </c>
      <c r="R209" s="102" t="str">
        <f>IF(A209="","",SUM(
COUNTIFS('QA Log'!D:D,A209,'QA Log'!M:M,"QQC",'QA Log'!Z:Z,"Rejected",'QA Log'!L:L,"*8. Maternity*"),
COUNTIFS('QA Log'!D:D,A209,'QA Log'!M:M,"QQC",'QA Log'!Z:Z,"Rejected",'QA Log'!L:L,"*EPI*"),
COUNTIFS('QA Log'!D:D,A209,'QA Log'!M:M,"QQC",'QA Log'!Z:Z,"Rejected",'QA Log'!L:L,"*10. Antenatal Care (ANC)*"),
COUNTIFS('QA Log'!D:D,A209,'QA Log'!M:M,"QQC",'QA Log'!Z:Z,"Rejected",'QA Log'!L:L,"*2. Hygiene and Sterilization*"),
COUNTIFS('QA Log'!D:D,A209,'QA Log'!M:M,"QQC",'QA Log'!Z:Z,"Rejected",'QA Log'!L:L,"*Family Planning*")))</f>
        <v/>
      </c>
      <c r="S209" s="106" t="str">
        <f t="shared" si="1"/>
        <v/>
      </c>
      <c r="T209" s="102" t="str">
        <f t="shared" si="2"/>
        <v/>
      </c>
      <c r="U209" s="102" t="str">
        <f>IF(A209="","",
SUM(
COUNTIFS('QA Log'!D:D,A209,'QA Log'!M:M,"QQC",'QA Log'!L:L,"*8. Maternity*"),
COUNTIFS('QA Log'!D:D,A209,'QA Log'!M:M,"QQC",'QA Log'!L:L,"*9. EPI and Pre-school Consultation*"),
COUNTIFS('QA Log'!D:D,A209,'QA Log'!M:M,"QQC",'QA Log'!L:L,"*10. Antenatal Care (ANC)*"),
COUNTIFS('QA Log'!D:D,A209,'QA Log'!M:M,"QQC",'QA Log'!L:L,"*2. Hygiene and Sterilization*"),
COUNTIFS('QA Log'!D:D,A209,'QA Log'!M:M,"QQC",'QA Log'!L:L,"*4. Family Planning*")
))</f>
        <v/>
      </c>
      <c r="V209" s="102" t="str">
        <f>IF(A209="","",
SUM(
COUNTIFS('QA Log'!D:D,A209,'QA Log'!M:M,"QQC",'QA Log'!Z:Z,"Approved",'QA Log'!L:L,"*8. Maternity*"),
COUNTIFS('QA Log'!D:D,A209,'QA Log'!M:M,"QQC",'QA Log'!Z:Z,"Approved",'QA Log'!L:L,"*9. EPI and Pre-school Consultation*"),
COUNTIFS('QA Log'!D:D,A209,'QA Log'!M:M,"QQC",'QA Log'!Z:Z,"Approved",'QA Log'!L:L,"*10. Antenatal Care (ANC)*"),
COUNTIFS('QA Log'!D:D,A209,'QA Log'!M:M,"QQC",'QA Log'!Z:Z,"Approved",'QA Log'!L:L,"*2. Hygiene and Sterilization*"),
COUNTIFS('QA Log'!D:D,A209,'QA Log'!M:M,"QQC",'QA Log'!Z:Z,"Approved",'QA Log'!L:L,"*4. Family Planning*")
))</f>
        <v/>
      </c>
      <c r="W209" s="105" t="str">
        <f>IF(A209&lt;&gt;"",COUNTIFS('QA Log'!D:D,A209,'QA Log'!M:M,"QQC",'QA Log'!L:L,"8. Maternity",'QA Log'!Z:Z,"Approved"),"")</f>
        <v/>
      </c>
      <c r="X209" s="105" t="str">
        <f>IF(A209&lt;&gt;"",COUNTIFS('QA Log'!D:D,A209,'QA Log'!M:M,"QQC",'QA Log'!L:L,"9. EPI and Pre-school Consultation",'QA Log'!Z:Z,"Approved"),"")</f>
        <v/>
      </c>
      <c r="Y209" s="105" t="str">
        <f>IF(A209&lt;&gt;"",COUNTIFS('QA Log'!D:D,A209,'QA Log'!M:M,"QQC",'QA Log'!L:L,"10. Antenatal Care (ANC)",'QA Log'!Z:Z,"Approved"),"")</f>
        <v/>
      </c>
      <c r="Z209" s="105" t="str">
        <f>IF(A209&lt;&gt;"",COUNTIFS('QA Log'!D:D,A209,'QA Log'!M:M,"QQC",'QA Log'!L:L,"2. Hygiene and Sterilization",'QA Log'!Z:Z,"Approved"),"")</f>
        <v/>
      </c>
      <c r="AA209" s="105" t="str">
        <f>IF(A209&lt;&gt;"",COUNTIFS('QA Log'!D:D,A209,'QA Log'!M:M,"QQC",'QA Log'!L:L,"4. Family Planning",'QA Log'!Z:Z,"Approved"),"")</f>
        <v/>
      </c>
      <c r="AB209" s="102" t="str">
        <f>IF(A209="","",
SUM(
COUNTIFS('QA Log'!D:D,A209,'QA Log'!M:M,"QQC",'QA Log'!Z:Z,"Rejected",'QA Log'!L:L,"*8. Maternity*"),
COUNTIFS('QA Log'!D:D,A209,'QA Log'!M:M,"QQC",'QA Log'!Z:Z,"Rejected",'QA Log'!L:L,"*9. EPI and Pre-school Consultation*"),
COUNTIFS('QA Log'!D:D,A209,'QA Log'!M:M,"QQC",'QA Log'!Z:Z,"Rejected",'QA Log'!L:L,"*10. Antenatal Care (ANC)*"),
COUNTIFS('QA Log'!D:D,A209,'QA Log'!M:M,"QQC",'QA Log'!Z:Z,"Rejected",'QA Log'!L:L,"*2. Hygiene and Sterilization*"),
COUNTIFS('QA Log'!D:D,A209,'QA Log'!M:M,"QQC",'QA Log'!Z:Z,"Rejected",'QA Log'!L:L,"*4. Family Planning*")
))</f>
        <v/>
      </c>
      <c r="AC209" s="102" t="str">
        <f t="shared" si="3"/>
        <v/>
      </c>
      <c r="AD209" s="103" t="str">
        <f t="shared" si="4"/>
        <v/>
      </c>
      <c r="AE209" s="102" t="str">
        <f>IF(A209="","",
SUM(
COUNTIFS('QA Log'!D:D,A209,'QA Log'!M:M,"Data Verification",'QA Log'!L:L,"*Medicine (section 2)*"),
COUNTIFS('QA Log'!D:D,A209,'QA Log'!M:M,"Data Verification",'QA Log'!L:L,"*Lab Testing Availability*"),
COUNTIFS('QA Log'!D:D,A209,'QA Log'!M:M,"Data Verification",'QA Log'!L:L,"*Other than P4P (section 6)*"),
COUNTIFS('QA Log'!D:D,A209,'QA Log'!M:M,"Data Verification",'QA Log'!L:L,"*Hospital Governance*")
))</f>
        <v/>
      </c>
      <c r="AF209" s="102" t="str">
        <f>IF(A209="","",
SUM(
COUNTIFS('QA Log'!D:D,A209,'QA Log'!M:M,"Data Verification",'QA Log'!Z:Z,"Approved",'QA Log'!L:L,"*Medicine (section 2)*"),
COUNTIFS('QA Log'!D:D,A209,'QA Log'!M:M,"Data Verification",'QA Log'!Z:Z,"Approved",'QA Log'!L:L,"*Lab Testing Availability*"),
COUNTIFS('QA Log'!D:D,A209,'QA Log'!M:M,"Data Verification",'QA Log'!Z:Z,"Approved",'QA Log'!L:L,"*Other than P4P (section 6)*"),
COUNTIFS('QA Log'!D:D,A209,'QA Log'!M:M,"Data Verification",'QA Log'!Z:Z,"Approved",'QA Log'!L:L,"*Hospital Governance*")
))</f>
        <v/>
      </c>
      <c r="AG209" s="105" t="str">
        <f>IF(A209&lt;&gt;"",COUNTIFS('QA Log'!D:D,A209,'QA Log'!M:M,"Data Verification",'QA Log'!L:L,"Medicine (section 2)",'QA Log'!Z:Z,"Approved"),"")</f>
        <v/>
      </c>
      <c r="AH209" s="105" t="str">
        <f>IF(A209&lt;&gt;"",COUNTIFS('QA Log'!D:D,A209,'QA Log'!M:M,"Data Verification",'QA Log'!L:L,"Lab Testing Availability",'QA Log'!Z:Z,"Approved"),"")</f>
        <v/>
      </c>
      <c r="AI209" s="105" t="str">
        <f>IF(A209&lt;&gt;"",COUNTIFS('QA Log'!D:D,A209,'QA Log'!M:M,"Data Verification",'QA Log'!L:L,"Other than P4P (section 6)",'QA Log'!Z:Z,"Approved"),"")</f>
        <v/>
      </c>
      <c r="AJ209" s="105" t="str">
        <f>IF(A209&lt;&gt;"",COUNTIFS('QA Log'!D:D,A209,'QA Log'!M:M,"Data Verification",'QA Log'!L:L,"Hospital Governance",'QA Log'!Z:Z,"Approved"),"")</f>
        <v/>
      </c>
      <c r="AK209" s="102" t="str">
        <f>IF(A209="","",
SUM(
COUNTIFS('QA Log'!D:D,A209,'QA Log'!M:M,"Data Verification",'QA Log'!Z:Z,"Rejected",'QA Log'!L:L,"*Medicine (section 2)*"),
COUNTIFS('QA Log'!D:D,A209,'QA Log'!M:M,"Data Verification",'QA Log'!Z:Z,"Rejected",'QA Log'!L:L,"*Lab Testing Availability*"),
COUNTIFS('QA Log'!D:D,A209,'QA Log'!M:M,"Data Verification",'QA Log'!Z:Z,"Rejected",'QA Log'!L:L,"*Other than P4P (section 6)*"),
COUNTIFS('QA Log'!D:D,A209,'QA Log'!M:M,"Data Verification",'QA Log'!Z:Z,"Rejected",'QA Log'!L:L,"*Hospital Governance*")
))</f>
        <v/>
      </c>
      <c r="AL209" s="106" t="str">
        <f t="shared" si="5"/>
        <v/>
      </c>
      <c r="AM209" s="102" t="str">
        <f t="shared" si="6"/>
        <v/>
      </c>
      <c r="AN209" s="102" t="str">
        <f>IF(A209="","",
SUM(
COUNTIFS('QA Log'!D:D,A209,'QA Log'!M:M,"Data Verification",'QA Log'!L:L,"*Personnel (section 1)*"),
COUNTIFS('QA Log'!D:D,A209,'QA Log'!M:M,"Data Verification",'QA Log'!L:L,"*Consumable (section 3)*"),
COUNTIFS('QA Log'!D:D,A209,'QA Log'!M:M,"Data Verification",'QA Log'!L:L,"*Equipments (section 4)*")
))</f>
        <v/>
      </c>
      <c r="AO209" s="102" t="str">
        <f>IF(A209="","",
SUM(
COUNTIFS('QA Log'!D:D,A209,'QA Log'!M:M,"Data Verification",'QA Log'!Z:Z,"Approved",'QA Log'!L:L,"*Personnel (section 1)*"),
COUNTIFS('QA Log'!D:D,A209,'QA Log'!M:M,"Data Verification",'QA Log'!Z:Z,"Approved",'QA Log'!L:L,"*Consumable (section 3)*"),
COUNTIFS('QA Log'!D:D,A209,'QA Log'!M:M,"Data Verification",'QA Log'!Z:Z,"Approved",'QA Log'!L:L,"*Equipments (section 4)*")
))</f>
        <v/>
      </c>
      <c r="AP209" s="105" t="str">
        <f>IF(A209&lt;&gt;"",COUNTIFS('QA Log'!D:D,A209,'QA Log'!M:M,"Data Verification",'QA Log'!L:L,"Personnel (section 1)",'QA Log'!Z:Z,"Approved"),"")</f>
        <v/>
      </c>
      <c r="AQ209" s="105" t="str">
        <f>IF(A209&lt;&gt;"",COUNTIFS('QA Log'!D:D,A209,'QA Log'!M:M,"Data Verification",'QA Log'!L:L,"Consumable (section 3)",'QA Log'!Z:Z,"Approved"),"")</f>
        <v/>
      </c>
      <c r="AR209" s="105" t="str">
        <f>IF(A209&lt;&gt;"",COUNTIFS('QA Log'!D:D,A209,'QA Log'!M:M,"Data Verification",'QA Log'!L:L,"Equipments (section 4)",'QA Log'!Z:Z,"Approved"),"")</f>
        <v/>
      </c>
      <c r="AS209" s="102" t="str">
        <f>IF(A209="","",
SUM(
COUNTIFS('QA Log'!D:D,A209,'QA Log'!M:M,"Data Verification",'QA Log'!Z:Z,"Rejected",'QA Log'!L:L,"*Personnel (section 1)*"),
COUNTIFS('QA Log'!D:D,A209,'QA Log'!M:M,"Data Verification",'QA Log'!Z:Z,"Rejected",'QA Log'!L:L,"*Consumable (section 3)*"),
COUNTIFS('QA Log'!D:D,A209,'QA Log'!M:M,"Data Verification",'QA Log'!Z:Z,"Rejected",'QA Log'!L:L,"*Equipments (section 4)*")
))</f>
        <v/>
      </c>
      <c r="AT209" s="102" t="str">
        <f t="shared" si="7"/>
        <v/>
      </c>
      <c r="AU209" s="103" t="str">
        <f t="shared" si="8"/>
        <v/>
      </c>
      <c r="AV209" s="102" t="str">
        <f>IF(A209="","",SUM(
COUNTIFS('QA Log'!D:D,A209,'QA Log'!M:M,"Vignette",'QA Log'!L:L,"*Vignette [1] Respiratory Infection: Pneumonia*"),
COUNTIFS('QA Log'!D:D,A209,'QA Log'!M:M,"Vignette",'QA Log'!L:L,"*Vignette [2]: Diarrhea with Cat B dehydration*"),
COUNTIFS('QA Log'!D:D,A209,'QA Log'!M:M,"Vignette",'QA Log'!L:L,"*Vignette [3] Growth Monitoring and Promotion*"),
COUNTIFS('QA Log'!D:D,A209,'QA Log'!M:M,"Vignette",'QA Log'!L:L,"*Vignette [4]: The management of presumptive TB patient*")
)
)</f>
        <v/>
      </c>
      <c r="AW209" s="102" t="str">
        <f>IF(
  A209="","",
  SUM(
    COUNTIFS('QA Log'!D:D,A209,'QA Log'!M:M,"Vignette",'QA Log'!Z:Z,"Approved",'QA Log'!L:L,"*Vignette [1] Respiratory Infection: Pneumonia*"),
    COUNTIFS('QA Log'!D:D,A209,'QA Log'!M:M,"Vignette",'QA Log'!Z:Z,"Approved",'QA Log'!L:L,"*Vignette [2]: Diarrhea with Cat B dehydration*"),
    COUNTIFS('QA Log'!D:D,A209,'QA Log'!M:M,"Vignette",'QA Log'!Z:Z,"Approved",'QA Log'!L:L,"*Vignette [3] Growth Monitoring and Promotion*"),
    COUNTIFS('QA Log'!D:D,A209,'QA Log'!M:M,"Vignette",'QA Log'!Z:Z,"Approved",'QA Log'!L:L,"*Vignette [4]: The management of presumptive TB patient*")
  )
)</f>
        <v/>
      </c>
      <c r="AX209" s="105" t="str">
        <f>IF(A209&lt;&gt;"",COUNTIFS('QA Log'!D:D,A209,'QA Log'!M:M,"Vignette",'QA Log'!L:L,"Vignette [1] Respiratory Infection: Pneumonia",'QA Log'!Z:Z,"Approved"),"")</f>
        <v/>
      </c>
      <c r="AY209" s="105" t="str">
        <f>IF(A209&lt;&gt;"",COUNTIFS('QA Log'!D:D,A209,'QA Log'!M:M,"Vignette",'QA Log'!L:L,"Vignette [2]: Diarrhea with Cat B dehydration",'QA Log'!Z:Z,"Approved"),"")</f>
        <v/>
      </c>
      <c r="AZ209" s="105" t="str">
        <f>IF(A209&lt;&gt;"",COUNTIFS('QA Log'!D:D,A209,'QA Log'!M:M,"Vignette",'QA Log'!L:L,"Vignette [3] Growth Monitoring and Promotion",'QA Log'!Z:Z,"Approved"),"")</f>
        <v/>
      </c>
      <c r="BA209" s="105" t="str">
        <f>IF(A209&lt;&gt;"",COUNTIFS('QA Log'!D:D,A209,'QA Log'!M:M,"Vignette",'QA Log'!L:L,"Vignette [4]: The management of presumptive TB patient",'QA Log'!Z:Z,"Approved"),"")</f>
        <v/>
      </c>
      <c r="BB209" s="102" t="str">
        <f>IF(A209="","",
  SUM(
    COUNTIFS('QA Log'!D:D,A209,'QA Log'!M:M,"Vignette",'QA Log'!Z:Z,"Rejected",'QA Log'!L:L,"*Vignette [1] Respiratory Infection: Pneumonia*"),
    COUNTIFS('QA Log'!D:D,A209,'QA Log'!M:M,"Vignette",'QA Log'!Z:Z,"Rejected",'QA Log'!L:L,"*Vignette [2]: Diarrhea with Cat B dehydration*"),
    COUNTIFS('QA Log'!D:D,A209,'QA Log'!M:M,"Vignette",'QA Log'!Z:Z,"Rejected",'QA Log'!L:L,"*Vignette [3] Growth Monitoring and Promotion*"),
    COUNTIFS('QA Log'!D:D,A209,'QA Log'!M:M,"Vignette",'QA Log'!Z:Z,"Rejected",'QA Log'!L:L,"*Vignette [4]: The management of presumptive TB patient*")
  )
)</f>
        <v/>
      </c>
      <c r="BC209" s="107" t="str">
        <f t="shared" si="9"/>
        <v/>
      </c>
      <c r="BD209" s="103" t="str">
        <f t="shared" si="10"/>
        <v/>
      </c>
      <c r="BE209" s="102" t="str">
        <f>IF(A209="","",SUM(
COUNTIFS('QA Log'!D:D,A209,'QA Log'!M:M,"Vignette",'QA Log'!L:L,"*Vignette [5] Labor*"),
COUNTIFS('QA Log'!D:D,A209,'QA Log'!M:M,"Vignette",'QA Log'!L:L,"*Vignette [6] PNC pre Discharge*"),
COUNTIFS('QA Log'!D:D,A209,'QA Log'!M:M,"Vignette",'QA Log'!L:L,"*Vignette [7] First ANC Visit*"),
COUNTIFS('QA Log'!D:D,A209,'QA Log'!M:M,"Vignette",'QA Log'!L:L,"*Vignette [8] Birth Spacing/ Family Planning :  FP Counselling*"),
COUNTIFS('QA Log'!D:D,A209,'QA Log'!M:M,"Vignette",'QA Log'!L:L,"*Vignette [9] Birth Spacing: Change FP method to Injectable*"),
COUNTIFS('QA Log'!D:D,A209,'QA Log'!M:M,"Vignette",'QA Log'!L:L,"*Vignette [10] Post Partum Haemorrhage - Atonic Uterus at Health Centre*"),
)
)</f>
        <v/>
      </c>
      <c r="BF209" s="102" t="str">
        <f>IF(A209="","",
  SUM(
    COUNTIFS('QA Log'!D:D,A209,'QA Log'!M:M,"Vignette",'QA Log'!Z:Z,"Approved",'QA Log'!L:L,"*Vignette [5] Labor*"),
    COUNTIFS('QA Log'!D:D,A209,'QA Log'!M:M,"Vignette",'QA Log'!Z:Z,"Approved",'QA Log'!L:L,"*Vignette [6] PNC pre Discharge*"),
    COUNTIFS('QA Log'!D:D,A209,'QA Log'!M:M,"Vignette",'QA Log'!Z:Z,"Approved",'QA Log'!L:L,"*Vignette [7] First ANC Visit*"),
    COUNTIFS('QA Log'!D:D,A209,'QA Log'!M:M,"Vignette",'QA Log'!Z:Z,"Approved",'QA Log'!L:L,"*Vignette [8] Birth Spacing/ Family Planning :  FP Counselling*"),
    COUNTIFS('QA Log'!D:D,A209,'QA Log'!M:M,"Vignette",'QA Log'!Z:Z,"Approved",'QA Log'!L:L,"*Vignette [9] Birth Spacing: Change FP method to Injectable*"),
    COUNTIFS('QA Log'!D:D,A209,'QA Log'!M:M,"Vignette",'QA Log'!Z:Z,"Approved",'QA Log'!L:L,"*Vignette [10] Post Partum Haemorrhage - Atonic Uterus at Health Centre*")
  )
)</f>
        <v/>
      </c>
      <c r="BG209" s="105" t="str">
        <f>IF(A209&lt;&gt;"",COUNTIFS('QA Log'!D:D,A209,'QA Log'!M:M,"Vignette",'QA Log'!L:L,"Vignette [5] Labor",'QA Log'!Z:Z,"Approved"),"")</f>
        <v/>
      </c>
      <c r="BH209" s="105" t="str">
        <f>IF(A209&lt;&gt;"",COUNTIFS('QA Log'!D:D,A209,'QA Log'!M:M,"Vignette",'QA Log'!L:L,"Vignette [6] PNC pre Discharge",'QA Log'!Z:Z,"Approved"),"")</f>
        <v/>
      </c>
      <c r="BI209" s="105" t="str">
        <f>IF(A209&lt;&gt;"",COUNTIFS('QA Log'!D:D,A209,'QA Log'!M:M,"Vignette",'QA Log'!L:L,"Vignette [7] First ANC Visit",'QA Log'!Z:Z,"Approved"),"")</f>
        <v/>
      </c>
      <c r="BJ209" s="105" t="str">
        <f>IF(A209&lt;&gt;"",COUNTIFS('QA Log'!D:D,A209,'QA Log'!M:M,"Vignette",'QA Log'!L:L,"Vignette [8] Birth Spacing/ Family Planning :  FP Counselling",'QA Log'!Z:Z,"Approved"),"")</f>
        <v/>
      </c>
      <c r="BK209" s="105" t="str">
        <f>IF(A209&lt;&gt;"",COUNTIFS('QA Log'!D:D,A209,'QA Log'!M:M,"Vignette",'QA Log'!L:L,"Vignette [9] Birth Spacing: Change FP method to Injectable",'QA Log'!Z:Z,"Approved"),"")</f>
        <v/>
      </c>
      <c r="BL209" s="105" t="str">
        <f>IF(A209&lt;&gt;"",COUNTIFS('QA Log'!D:D,A209,'QA Log'!M:M,"Vignette",'QA Log'!L:L,"Vignette [10] Post Partum Haemorrhage - Atonic Uterus at Health Centre",'QA Log'!Z:Z,"Approved"),"")</f>
        <v/>
      </c>
      <c r="BM209" s="102" t="str">
        <f>IF(A209="","",SUM(
    COUNTIFS('QA Log'!D:D,A209,'QA Log'!M:M,"Vignette",'QA Log'!Z:Z,"Rejected",'QA Log'!L:L,"*Vignette [5] Labor*"),
    COUNTIFS('QA Log'!D:D,A209,'QA Log'!M:M,"Vignette",'QA Log'!Z:Z,"Rejected",'QA Log'!L:L,"*Vignette [6] PNC pre Discharge*"),
    COUNTIFS('QA Log'!D:D,A209,'QA Log'!M:M,"Vignette",'QA Log'!Z:Z,"Rejected",'QA Log'!L:L,"*Vignette [7] First ANC Visit*"),
    COUNTIFS('QA Log'!D:D,A209,'QA Log'!M:M,"Vignette",'QA Log'!Z:Z,"Rejected",'QA Log'!L:L,"*Vignette [8] Birth Spacing/ Family Planning :  FP Counselling*"),
    COUNTIFS('QA Log'!D:D,A209,'QA Log'!M:M,"Vignette",'QA Log'!Z:Z,"Rejected",'QA Log'!L:L,"*Vignette [9] Birth Spacing: Change FP method to Injectable*"),
    COUNTIFS('QA Log'!D:D,A209,'QA Log'!M:M,"Vignette",'QA Log'!Z:Z,"Rejected",'QA Log'!L:L,"*Vignette [10] Post Partum Haemorrhage - Atonic Uterus at Health Centre*")
  )
)</f>
        <v/>
      </c>
      <c r="BN209" s="107" t="str">
        <f t="shared" si="11"/>
        <v/>
      </c>
      <c r="BO209" s="103" t="str">
        <f t="shared" si="12"/>
        <v/>
      </c>
      <c r="BP209" s="102" t="str">
        <f>IF(A209="","",SUM(
COUNTIFS('QA Log'!D:D,A209,'QA Log'!M:M,"Vignette",'QA Log'!L:L,"*Exit Interview 1*"),
COUNTIFS('QA Log'!D:D,A209,'QA Log'!M:M,"Vignette",'QA Log'!L:L,"*Exit Interview 2*"),
)
)</f>
        <v/>
      </c>
      <c r="BQ209" s="102" t="str">
        <f>IF(
  A209="","",
  SUM(
    COUNTIFS('QA Log'!D:D,A209,'QA Log'!M:M,"Vignette",'QA Log'!Z:Z,"Approved",'QA Log'!L:L,"*Exit Interview 1*"),
    COUNTIFS('QA Log'!D:D,A209,'QA Log'!M:M,"Vignette",'QA Log'!Z:Z,"Approved",'QA Log'!L:L,"*Exit Interview 2*")
  )
)</f>
        <v/>
      </c>
      <c r="BR209" s="105" t="str">
        <f>IF(A209&lt;&gt;"",COUNTIFS('QA Log'!D:D,A209,'QA Log'!M:M,"Vignette",'QA Log'!L:L,"Exit Interview 1",'QA Log'!Z:Z,"Approved"),"")</f>
        <v/>
      </c>
      <c r="BS209" s="105" t="str">
        <f>IF(A209&lt;&gt;"",COUNTIFS('QA Log'!D:D,A209,'QA Log'!M:M,"Vignette",'QA Log'!L:L,"Exit Interview 2",'QA Log'!Z:Z,"Approved"),"")</f>
        <v/>
      </c>
      <c r="BT209" s="102" t="str">
        <f>IF(
  A209="","",
  SUM(
    COUNTIFS('QA Log'!D:D,A209,'QA Log'!M:M,"Vignette",'QA Log'!Z:Z,"Rejected",'QA Log'!L:L,"*Exit Interview 1*"),
    COUNTIFS('QA Log'!D:D,A209,'QA Log'!M:M,"Vignette",'QA Log'!Z:Z,"Rejected",'QA Log'!L:L,"*Exit Interview 2*")
  )
)</f>
        <v/>
      </c>
      <c r="BU209" s="107" t="str">
        <f t="shared" si="13"/>
        <v/>
      </c>
      <c r="BV209" s="102" t="str">
        <f t="shared" si="14"/>
        <v/>
      </c>
      <c r="BW209" s="102" t="str">
        <f t="shared" si="15"/>
        <v/>
      </c>
      <c r="BX209" s="102" t="str">
        <f t="shared" si="16"/>
        <v/>
      </c>
      <c r="BY209" s="102" t="str">
        <f t="shared" si="17"/>
        <v/>
      </c>
      <c r="BZ209" s="107" t="str">
        <f t="shared" si="18"/>
        <v/>
      </c>
      <c r="CA209" s="108" t="str">
        <f t="shared" si="19"/>
        <v/>
      </c>
      <c r="CB209" s="108" t="str">
        <f t="shared" si="20"/>
        <v/>
      </c>
      <c r="CC209" s="109" t="str">
        <f t="shared" si="21"/>
        <v/>
      </c>
      <c r="CD209" s="108" t="str">
        <f t="shared" si="22"/>
        <v/>
      </c>
      <c r="CE209" s="108" t="str">
        <f t="shared" si="23"/>
        <v/>
      </c>
      <c r="CF209" s="109" t="str">
        <f t="shared" si="24"/>
        <v/>
      </c>
      <c r="CG209" s="110" t="str">
        <f t="shared" si="25"/>
        <v/>
      </c>
      <c r="CH209" s="111"/>
    </row>
    <row r="210" spans="1:86" ht="12.75">
      <c r="A210" s="101"/>
      <c r="B210" s="102" t="e">
        <f t="array" aca="1" ref="B210" ca="1">_xludf.XLOOKUP(A210,'QA Log'!D:D,'QA Log'!E:E,"")</f>
        <v>#NAME?</v>
      </c>
      <c r="C210" s="102" t="e">
        <f t="array" aca="1" ref="C210" ca="1">_xludf.XLOOKUP(A210,'QA Log'!D:D,'QA Log'!F:F,"")</f>
        <v>#NAME?</v>
      </c>
      <c r="D210" s="102" t="e">
        <f t="array" aca="1" ref="D210" ca="1">_xludf.XLOOKUP(A210,'QA Log'!D:D,'QA Log'!H:H,"")</f>
        <v>#NAME?</v>
      </c>
      <c r="E210" s="102" t="e">
        <f t="array" aca="1" ref="E210" ca="1">_xludf.XLOOKUP(A210,'QA Log'!D:D,'QA Log'!G:G,"")</f>
        <v>#NAME?</v>
      </c>
      <c r="F210" s="103"/>
      <c r="G210" s="104"/>
      <c r="H210" s="104"/>
      <c r="I210" s="103" t="str">
        <f t="shared" si="0"/>
        <v/>
      </c>
      <c r="J210" s="102" t="str">
        <f>IF(A210="","",SUM(
COUNTIFS('QA Log'!D:D,A210,'QA Log'!M:M,"QQC",'QA Log'!L:L,"*1. General Management*"),
COUNTIFS('QA Log'!D:D,A210,'QA Log'!M:M,"QQC",'QA Log'!L:L,"*3. Curative Consultation (OPD)*"),
COUNTIFS('QA Log'!D:D,A210,'QA Log'!M:M,"QQC",'QA Log'!L:L,"*5. Laboratory*"),
COUNTIFS('QA Log'!D:D,A210,'QA Log'!M:M,"QQC",'QA Log'!L:L,"*6. Essential Medicine Management*"),
COUNTIFS('QA Log'!D:D,A210,'QA Log'!M:M,"QQC",'QA Log'!L:L,"*7. Tracer Medicine*"),
COUNTIFS('QA Log'!D:D,A210,'QA Log'!M:M,"QQC",'QA Log'!L:L,"*11. Additional Questions*")))</f>
        <v/>
      </c>
      <c r="K210" s="102" t="str">
        <f>IF(A210="","",SUM(
COUNTIFS('QA Log'!D:D,A210,'QA Log'!M:M,"QQC",'QA Log'!Z:Z,"Approved",'QA Log'!L:L,"*1. General Management*"),
COUNTIFS('QA Log'!D:D,A210,'QA Log'!M:M,"QQC",'QA Log'!Z:Z,"Approved",'QA Log'!L:L,"*3. Curative Consultation (OPD)*"),
COUNTIFS('QA Log'!D:D,A210,'QA Log'!M:M,"QQC",'QA Log'!Z:Z,"Approved",'QA Log'!L:L,"*5. Laboratory*"),
COUNTIFS('QA Log'!D:D,A210,'QA Log'!M:M,"QQC",'QA Log'!Z:Z,"Approved",'QA Log'!L:L,"*6. Essential Medicine Management*"),
COUNTIFS('QA Log'!D:D,A210,'QA Log'!M:M,"QQC",'QA Log'!Z:Z,"Approved",'QA Log'!L:L,"*7. Tracer Medicine*"),
COUNTIFS('QA Log'!D:D,A210,'QA Log'!M:M,"QQC",'QA Log'!Z:Z,"Approved",'QA Log'!L:L,"*11. Additional Questions*")))</f>
        <v/>
      </c>
      <c r="L210" s="105" t="str">
        <f>IF(A210&lt;&gt;"",COUNTIFS('QA Log'!D:D,A210,'QA Log'!M:M,"QQC",'QA Log'!L:L,"1. General Management",'QA Log'!Z:Z,"Approved"),"")</f>
        <v/>
      </c>
      <c r="M210" s="105" t="str">
        <f>IF(A210&lt;&gt;"",COUNTIFS('QA Log'!D:D,A210,'QA Log'!M:M,"QQC",'QA Log'!L:L,"3. Curative Consultation (OPD)",'QA Log'!Z:Z,"Approved"),"")</f>
        <v/>
      </c>
      <c r="N210" s="105" t="str">
        <f>IF(A210&lt;&gt;"",COUNTIFS('QA Log'!D:D,A210,'QA Log'!M:M,"QQC",'QA Log'!L:L,"5. Laboratory",'QA Log'!Z:Z,"Approved"),"")</f>
        <v/>
      </c>
      <c r="O210" s="105" t="str">
        <f>IF(A210&lt;&gt;"",COUNTIFS('QA Log'!D:D,A210,'QA Log'!M:M,"QQC",'QA Log'!L:L,"6. Essential Medicine Management",'QA Log'!Z:Z,"Approved"),"")</f>
        <v/>
      </c>
      <c r="P210" s="105" t="str">
        <f>IF(A210&lt;&gt;"",COUNTIFS('QA Log'!D:D,A210,'QA Log'!M:M,"QQC",'QA Log'!L:L,"7. Tracer Medicine",'QA Log'!Z:Z,"Approved"),"")</f>
        <v/>
      </c>
      <c r="Q210" s="105" t="str">
        <f>IF(A210&lt;&gt;"",COUNTIFS('QA Log'!D:D,A210,'QA Log'!M:M,"QQC",'QA Log'!L:L,"11. Additional Questions",'QA Log'!Z:Z,"Approved"),"")</f>
        <v/>
      </c>
      <c r="R210" s="102" t="str">
        <f>IF(A210="","",SUM(
COUNTIFS('QA Log'!D:D,A210,'QA Log'!M:M,"QQC",'QA Log'!Z:Z,"Rejected",'QA Log'!L:L,"*8. Maternity*"),
COUNTIFS('QA Log'!D:D,A210,'QA Log'!M:M,"QQC",'QA Log'!Z:Z,"Rejected",'QA Log'!L:L,"*EPI*"),
COUNTIFS('QA Log'!D:D,A210,'QA Log'!M:M,"QQC",'QA Log'!Z:Z,"Rejected",'QA Log'!L:L,"*10. Antenatal Care (ANC)*"),
COUNTIFS('QA Log'!D:D,A210,'QA Log'!M:M,"QQC",'QA Log'!Z:Z,"Rejected",'QA Log'!L:L,"*2. Hygiene and Sterilization*"),
COUNTIFS('QA Log'!D:D,A210,'QA Log'!M:M,"QQC",'QA Log'!Z:Z,"Rejected",'QA Log'!L:L,"*Family Planning*")))</f>
        <v/>
      </c>
      <c r="S210" s="106" t="str">
        <f t="shared" si="1"/>
        <v/>
      </c>
      <c r="T210" s="102" t="str">
        <f t="shared" si="2"/>
        <v/>
      </c>
      <c r="U210" s="102" t="str">
        <f>IF(A210="","",
SUM(
COUNTIFS('QA Log'!D:D,A210,'QA Log'!M:M,"QQC",'QA Log'!L:L,"*8. Maternity*"),
COUNTIFS('QA Log'!D:D,A210,'QA Log'!M:M,"QQC",'QA Log'!L:L,"*9. EPI and Pre-school Consultation*"),
COUNTIFS('QA Log'!D:D,A210,'QA Log'!M:M,"QQC",'QA Log'!L:L,"*10. Antenatal Care (ANC)*"),
COUNTIFS('QA Log'!D:D,A210,'QA Log'!M:M,"QQC",'QA Log'!L:L,"*2. Hygiene and Sterilization*"),
COUNTIFS('QA Log'!D:D,A210,'QA Log'!M:M,"QQC",'QA Log'!L:L,"*4. Family Planning*")
))</f>
        <v/>
      </c>
      <c r="V210" s="102" t="str">
        <f>IF(A210="","",
SUM(
COUNTIFS('QA Log'!D:D,A210,'QA Log'!M:M,"QQC",'QA Log'!Z:Z,"Approved",'QA Log'!L:L,"*8. Maternity*"),
COUNTIFS('QA Log'!D:D,A210,'QA Log'!M:M,"QQC",'QA Log'!Z:Z,"Approved",'QA Log'!L:L,"*9. EPI and Pre-school Consultation*"),
COUNTIFS('QA Log'!D:D,A210,'QA Log'!M:M,"QQC",'QA Log'!Z:Z,"Approved",'QA Log'!L:L,"*10. Antenatal Care (ANC)*"),
COUNTIFS('QA Log'!D:D,A210,'QA Log'!M:M,"QQC",'QA Log'!Z:Z,"Approved",'QA Log'!L:L,"*2. Hygiene and Sterilization*"),
COUNTIFS('QA Log'!D:D,A210,'QA Log'!M:M,"QQC",'QA Log'!Z:Z,"Approved",'QA Log'!L:L,"*4. Family Planning*")
))</f>
        <v/>
      </c>
      <c r="W210" s="105" t="str">
        <f>IF(A210&lt;&gt;"",COUNTIFS('QA Log'!D:D,A210,'QA Log'!M:M,"QQC",'QA Log'!L:L,"8. Maternity",'QA Log'!Z:Z,"Approved"),"")</f>
        <v/>
      </c>
      <c r="X210" s="105" t="str">
        <f>IF(A210&lt;&gt;"",COUNTIFS('QA Log'!D:D,A210,'QA Log'!M:M,"QQC",'QA Log'!L:L,"9. EPI and Pre-school Consultation",'QA Log'!Z:Z,"Approved"),"")</f>
        <v/>
      </c>
      <c r="Y210" s="105" t="str">
        <f>IF(A210&lt;&gt;"",COUNTIFS('QA Log'!D:D,A210,'QA Log'!M:M,"QQC",'QA Log'!L:L,"10. Antenatal Care (ANC)",'QA Log'!Z:Z,"Approved"),"")</f>
        <v/>
      </c>
      <c r="Z210" s="105" t="str">
        <f>IF(A210&lt;&gt;"",COUNTIFS('QA Log'!D:D,A210,'QA Log'!M:M,"QQC",'QA Log'!L:L,"2. Hygiene and Sterilization",'QA Log'!Z:Z,"Approved"),"")</f>
        <v/>
      </c>
      <c r="AA210" s="105" t="str">
        <f>IF(A210&lt;&gt;"",COUNTIFS('QA Log'!D:D,A210,'QA Log'!M:M,"QQC",'QA Log'!L:L,"4. Family Planning",'QA Log'!Z:Z,"Approved"),"")</f>
        <v/>
      </c>
      <c r="AB210" s="102" t="str">
        <f>IF(A210="","",
SUM(
COUNTIFS('QA Log'!D:D,A210,'QA Log'!M:M,"QQC",'QA Log'!Z:Z,"Rejected",'QA Log'!L:L,"*8. Maternity*"),
COUNTIFS('QA Log'!D:D,A210,'QA Log'!M:M,"QQC",'QA Log'!Z:Z,"Rejected",'QA Log'!L:L,"*9. EPI and Pre-school Consultation*"),
COUNTIFS('QA Log'!D:D,A210,'QA Log'!M:M,"QQC",'QA Log'!Z:Z,"Rejected",'QA Log'!L:L,"*10. Antenatal Care (ANC)*"),
COUNTIFS('QA Log'!D:D,A210,'QA Log'!M:M,"QQC",'QA Log'!Z:Z,"Rejected",'QA Log'!L:L,"*2. Hygiene and Sterilization*"),
COUNTIFS('QA Log'!D:D,A210,'QA Log'!M:M,"QQC",'QA Log'!Z:Z,"Rejected",'QA Log'!L:L,"*4. Family Planning*")
))</f>
        <v/>
      </c>
      <c r="AC210" s="102" t="str">
        <f t="shared" si="3"/>
        <v/>
      </c>
      <c r="AD210" s="103" t="str">
        <f t="shared" si="4"/>
        <v/>
      </c>
      <c r="AE210" s="102" t="str">
        <f>IF(A210="","",
SUM(
COUNTIFS('QA Log'!D:D,A210,'QA Log'!M:M,"Data Verification",'QA Log'!L:L,"*Medicine (section 2)*"),
COUNTIFS('QA Log'!D:D,A210,'QA Log'!M:M,"Data Verification",'QA Log'!L:L,"*Lab Testing Availability*"),
COUNTIFS('QA Log'!D:D,A210,'QA Log'!M:M,"Data Verification",'QA Log'!L:L,"*Other than P4P (section 6)*"),
COUNTIFS('QA Log'!D:D,A210,'QA Log'!M:M,"Data Verification",'QA Log'!L:L,"*Hospital Governance*")
))</f>
        <v/>
      </c>
      <c r="AF210" s="102" t="str">
        <f>IF(A210="","",
SUM(
COUNTIFS('QA Log'!D:D,A210,'QA Log'!M:M,"Data Verification",'QA Log'!Z:Z,"Approved",'QA Log'!L:L,"*Medicine (section 2)*"),
COUNTIFS('QA Log'!D:D,A210,'QA Log'!M:M,"Data Verification",'QA Log'!Z:Z,"Approved",'QA Log'!L:L,"*Lab Testing Availability*"),
COUNTIFS('QA Log'!D:D,A210,'QA Log'!M:M,"Data Verification",'QA Log'!Z:Z,"Approved",'QA Log'!L:L,"*Other than P4P (section 6)*"),
COUNTIFS('QA Log'!D:D,A210,'QA Log'!M:M,"Data Verification",'QA Log'!Z:Z,"Approved",'QA Log'!L:L,"*Hospital Governance*")
))</f>
        <v/>
      </c>
      <c r="AG210" s="105" t="str">
        <f>IF(A210&lt;&gt;"",COUNTIFS('QA Log'!D:D,A210,'QA Log'!M:M,"Data Verification",'QA Log'!L:L,"Medicine (section 2)",'QA Log'!Z:Z,"Approved"),"")</f>
        <v/>
      </c>
      <c r="AH210" s="105" t="str">
        <f>IF(A210&lt;&gt;"",COUNTIFS('QA Log'!D:D,A210,'QA Log'!M:M,"Data Verification",'QA Log'!L:L,"Lab Testing Availability",'QA Log'!Z:Z,"Approved"),"")</f>
        <v/>
      </c>
      <c r="AI210" s="105" t="str">
        <f>IF(A210&lt;&gt;"",COUNTIFS('QA Log'!D:D,A210,'QA Log'!M:M,"Data Verification",'QA Log'!L:L,"Other than P4P (section 6)",'QA Log'!Z:Z,"Approved"),"")</f>
        <v/>
      </c>
      <c r="AJ210" s="105" t="str">
        <f>IF(A210&lt;&gt;"",COUNTIFS('QA Log'!D:D,A210,'QA Log'!M:M,"Data Verification",'QA Log'!L:L,"Hospital Governance",'QA Log'!Z:Z,"Approved"),"")</f>
        <v/>
      </c>
      <c r="AK210" s="102" t="str">
        <f>IF(A210="","",
SUM(
COUNTIFS('QA Log'!D:D,A210,'QA Log'!M:M,"Data Verification",'QA Log'!Z:Z,"Rejected",'QA Log'!L:L,"*Medicine (section 2)*"),
COUNTIFS('QA Log'!D:D,A210,'QA Log'!M:M,"Data Verification",'QA Log'!Z:Z,"Rejected",'QA Log'!L:L,"*Lab Testing Availability*"),
COUNTIFS('QA Log'!D:D,A210,'QA Log'!M:M,"Data Verification",'QA Log'!Z:Z,"Rejected",'QA Log'!L:L,"*Other than P4P (section 6)*"),
COUNTIFS('QA Log'!D:D,A210,'QA Log'!M:M,"Data Verification",'QA Log'!Z:Z,"Rejected",'QA Log'!L:L,"*Hospital Governance*")
))</f>
        <v/>
      </c>
      <c r="AL210" s="106" t="str">
        <f t="shared" si="5"/>
        <v/>
      </c>
      <c r="AM210" s="102" t="str">
        <f t="shared" si="6"/>
        <v/>
      </c>
      <c r="AN210" s="102" t="str">
        <f>IF(A210="","",
SUM(
COUNTIFS('QA Log'!D:D,A210,'QA Log'!M:M,"Data Verification",'QA Log'!L:L,"*Personnel (section 1)*"),
COUNTIFS('QA Log'!D:D,A210,'QA Log'!M:M,"Data Verification",'QA Log'!L:L,"*Consumable (section 3)*"),
COUNTIFS('QA Log'!D:D,A210,'QA Log'!M:M,"Data Verification",'QA Log'!L:L,"*Equipments (section 4)*")
))</f>
        <v/>
      </c>
      <c r="AO210" s="102" t="str">
        <f>IF(A210="","",
SUM(
COUNTIFS('QA Log'!D:D,A210,'QA Log'!M:M,"Data Verification",'QA Log'!Z:Z,"Approved",'QA Log'!L:L,"*Personnel (section 1)*"),
COUNTIFS('QA Log'!D:D,A210,'QA Log'!M:M,"Data Verification",'QA Log'!Z:Z,"Approved",'QA Log'!L:L,"*Consumable (section 3)*"),
COUNTIFS('QA Log'!D:D,A210,'QA Log'!M:M,"Data Verification",'QA Log'!Z:Z,"Approved",'QA Log'!L:L,"*Equipments (section 4)*")
))</f>
        <v/>
      </c>
      <c r="AP210" s="105" t="str">
        <f>IF(A210&lt;&gt;"",COUNTIFS('QA Log'!D:D,A210,'QA Log'!M:M,"Data Verification",'QA Log'!L:L,"Personnel (section 1)",'QA Log'!Z:Z,"Approved"),"")</f>
        <v/>
      </c>
      <c r="AQ210" s="105" t="str">
        <f>IF(A210&lt;&gt;"",COUNTIFS('QA Log'!D:D,A210,'QA Log'!M:M,"Data Verification",'QA Log'!L:L,"Consumable (section 3)",'QA Log'!Z:Z,"Approved"),"")</f>
        <v/>
      </c>
      <c r="AR210" s="105" t="str">
        <f>IF(A210&lt;&gt;"",COUNTIFS('QA Log'!D:D,A210,'QA Log'!M:M,"Data Verification",'QA Log'!L:L,"Equipments (section 4)",'QA Log'!Z:Z,"Approved"),"")</f>
        <v/>
      </c>
      <c r="AS210" s="102" t="str">
        <f>IF(A210="","",
SUM(
COUNTIFS('QA Log'!D:D,A210,'QA Log'!M:M,"Data Verification",'QA Log'!Z:Z,"Rejected",'QA Log'!L:L,"*Personnel (section 1)*"),
COUNTIFS('QA Log'!D:D,A210,'QA Log'!M:M,"Data Verification",'QA Log'!Z:Z,"Rejected",'QA Log'!L:L,"*Consumable (section 3)*"),
COUNTIFS('QA Log'!D:D,A210,'QA Log'!M:M,"Data Verification",'QA Log'!Z:Z,"Rejected",'QA Log'!L:L,"*Equipments (section 4)*")
))</f>
        <v/>
      </c>
      <c r="AT210" s="102" t="str">
        <f t="shared" si="7"/>
        <v/>
      </c>
      <c r="AU210" s="103" t="str">
        <f t="shared" si="8"/>
        <v/>
      </c>
      <c r="AV210" s="102" t="str">
        <f>IF(A210="","",SUM(
COUNTIFS('QA Log'!D:D,A210,'QA Log'!M:M,"Vignette",'QA Log'!L:L,"*Vignette [1] Respiratory Infection: Pneumonia*"),
COUNTIFS('QA Log'!D:D,A210,'QA Log'!M:M,"Vignette",'QA Log'!L:L,"*Vignette [2]: Diarrhea with Cat B dehydration*"),
COUNTIFS('QA Log'!D:D,A210,'QA Log'!M:M,"Vignette",'QA Log'!L:L,"*Vignette [3] Growth Monitoring and Promotion*"),
COUNTIFS('QA Log'!D:D,A210,'QA Log'!M:M,"Vignette",'QA Log'!L:L,"*Vignette [4]: The management of presumptive TB patient*")
)
)</f>
        <v/>
      </c>
      <c r="AW210" s="102" t="str">
        <f>IF(
  A210="","",
  SUM(
    COUNTIFS('QA Log'!D:D,A210,'QA Log'!M:M,"Vignette",'QA Log'!Z:Z,"Approved",'QA Log'!L:L,"*Vignette [1] Respiratory Infection: Pneumonia*"),
    COUNTIFS('QA Log'!D:D,A210,'QA Log'!M:M,"Vignette",'QA Log'!Z:Z,"Approved",'QA Log'!L:L,"*Vignette [2]: Diarrhea with Cat B dehydration*"),
    COUNTIFS('QA Log'!D:D,A210,'QA Log'!M:M,"Vignette",'QA Log'!Z:Z,"Approved",'QA Log'!L:L,"*Vignette [3] Growth Monitoring and Promotion*"),
    COUNTIFS('QA Log'!D:D,A210,'QA Log'!M:M,"Vignette",'QA Log'!Z:Z,"Approved",'QA Log'!L:L,"*Vignette [4]: The management of presumptive TB patient*")
  )
)</f>
        <v/>
      </c>
      <c r="AX210" s="105" t="str">
        <f>IF(A210&lt;&gt;"",COUNTIFS('QA Log'!D:D,A210,'QA Log'!M:M,"Vignette",'QA Log'!L:L,"Vignette [1] Respiratory Infection: Pneumonia",'QA Log'!Z:Z,"Approved"),"")</f>
        <v/>
      </c>
      <c r="AY210" s="105" t="str">
        <f>IF(A210&lt;&gt;"",COUNTIFS('QA Log'!D:D,A210,'QA Log'!M:M,"Vignette",'QA Log'!L:L,"Vignette [2]: Diarrhea with Cat B dehydration",'QA Log'!Z:Z,"Approved"),"")</f>
        <v/>
      </c>
      <c r="AZ210" s="105" t="str">
        <f>IF(A210&lt;&gt;"",COUNTIFS('QA Log'!D:D,A210,'QA Log'!M:M,"Vignette",'QA Log'!L:L,"Vignette [3] Growth Monitoring and Promotion",'QA Log'!Z:Z,"Approved"),"")</f>
        <v/>
      </c>
      <c r="BA210" s="105" t="str">
        <f>IF(A210&lt;&gt;"",COUNTIFS('QA Log'!D:D,A210,'QA Log'!M:M,"Vignette",'QA Log'!L:L,"Vignette [4]: The management of presumptive TB patient",'QA Log'!Z:Z,"Approved"),"")</f>
        <v/>
      </c>
      <c r="BB210" s="102" t="str">
        <f>IF(A210="","",
  SUM(
    COUNTIFS('QA Log'!D:D,A210,'QA Log'!M:M,"Vignette",'QA Log'!Z:Z,"Rejected",'QA Log'!L:L,"*Vignette [1] Respiratory Infection: Pneumonia*"),
    COUNTIFS('QA Log'!D:D,A210,'QA Log'!M:M,"Vignette",'QA Log'!Z:Z,"Rejected",'QA Log'!L:L,"*Vignette [2]: Diarrhea with Cat B dehydration*"),
    COUNTIFS('QA Log'!D:D,A210,'QA Log'!M:M,"Vignette",'QA Log'!Z:Z,"Rejected",'QA Log'!L:L,"*Vignette [3] Growth Monitoring and Promotion*"),
    COUNTIFS('QA Log'!D:D,A210,'QA Log'!M:M,"Vignette",'QA Log'!Z:Z,"Rejected",'QA Log'!L:L,"*Vignette [4]: The management of presumptive TB patient*")
  )
)</f>
        <v/>
      </c>
      <c r="BC210" s="107" t="str">
        <f t="shared" si="9"/>
        <v/>
      </c>
      <c r="BD210" s="103" t="str">
        <f t="shared" si="10"/>
        <v/>
      </c>
      <c r="BE210" s="102" t="str">
        <f>IF(A210="","",SUM(
COUNTIFS('QA Log'!D:D,A210,'QA Log'!M:M,"Vignette",'QA Log'!L:L,"*Vignette [5] Labor*"),
COUNTIFS('QA Log'!D:D,A210,'QA Log'!M:M,"Vignette",'QA Log'!L:L,"*Vignette [6] PNC pre Discharge*"),
COUNTIFS('QA Log'!D:D,A210,'QA Log'!M:M,"Vignette",'QA Log'!L:L,"*Vignette [7] First ANC Visit*"),
COUNTIFS('QA Log'!D:D,A210,'QA Log'!M:M,"Vignette",'QA Log'!L:L,"*Vignette [8] Birth Spacing/ Family Planning :  FP Counselling*"),
COUNTIFS('QA Log'!D:D,A210,'QA Log'!M:M,"Vignette",'QA Log'!L:L,"*Vignette [9] Birth Spacing: Change FP method to Injectable*"),
COUNTIFS('QA Log'!D:D,A210,'QA Log'!M:M,"Vignette",'QA Log'!L:L,"*Vignette [10] Post Partum Haemorrhage - Atonic Uterus at Health Centre*"),
)
)</f>
        <v/>
      </c>
      <c r="BF210" s="102" t="str">
        <f>IF(A210="","",
  SUM(
    COUNTIFS('QA Log'!D:D,A210,'QA Log'!M:M,"Vignette",'QA Log'!Z:Z,"Approved",'QA Log'!L:L,"*Vignette [5] Labor*"),
    COUNTIFS('QA Log'!D:D,A210,'QA Log'!M:M,"Vignette",'QA Log'!Z:Z,"Approved",'QA Log'!L:L,"*Vignette [6] PNC pre Discharge*"),
    COUNTIFS('QA Log'!D:D,A210,'QA Log'!M:M,"Vignette",'QA Log'!Z:Z,"Approved",'QA Log'!L:L,"*Vignette [7] First ANC Visit*"),
    COUNTIFS('QA Log'!D:D,A210,'QA Log'!M:M,"Vignette",'QA Log'!Z:Z,"Approved",'QA Log'!L:L,"*Vignette [8] Birth Spacing/ Family Planning :  FP Counselling*"),
    COUNTIFS('QA Log'!D:D,A210,'QA Log'!M:M,"Vignette",'QA Log'!Z:Z,"Approved",'QA Log'!L:L,"*Vignette [9] Birth Spacing: Change FP method to Injectable*"),
    COUNTIFS('QA Log'!D:D,A210,'QA Log'!M:M,"Vignette",'QA Log'!Z:Z,"Approved",'QA Log'!L:L,"*Vignette [10] Post Partum Haemorrhage - Atonic Uterus at Health Centre*")
  )
)</f>
        <v/>
      </c>
      <c r="BG210" s="105" t="str">
        <f>IF(A210&lt;&gt;"",COUNTIFS('QA Log'!D:D,A210,'QA Log'!M:M,"Vignette",'QA Log'!L:L,"Vignette [5] Labor",'QA Log'!Z:Z,"Approved"),"")</f>
        <v/>
      </c>
      <c r="BH210" s="105" t="str">
        <f>IF(A210&lt;&gt;"",COUNTIFS('QA Log'!D:D,A210,'QA Log'!M:M,"Vignette",'QA Log'!L:L,"Vignette [6] PNC pre Discharge",'QA Log'!Z:Z,"Approved"),"")</f>
        <v/>
      </c>
      <c r="BI210" s="105" t="str">
        <f>IF(A210&lt;&gt;"",COUNTIFS('QA Log'!D:D,A210,'QA Log'!M:M,"Vignette",'QA Log'!L:L,"Vignette [7] First ANC Visit",'QA Log'!Z:Z,"Approved"),"")</f>
        <v/>
      </c>
      <c r="BJ210" s="105" t="str">
        <f>IF(A210&lt;&gt;"",COUNTIFS('QA Log'!D:D,A210,'QA Log'!M:M,"Vignette",'QA Log'!L:L,"Vignette [8] Birth Spacing/ Family Planning :  FP Counselling",'QA Log'!Z:Z,"Approved"),"")</f>
        <v/>
      </c>
      <c r="BK210" s="105" t="str">
        <f>IF(A210&lt;&gt;"",COUNTIFS('QA Log'!D:D,A210,'QA Log'!M:M,"Vignette",'QA Log'!L:L,"Vignette [9] Birth Spacing: Change FP method to Injectable",'QA Log'!Z:Z,"Approved"),"")</f>
        <v/>
      </c>
      <c r="BL210" s="105" t="str">
        <f>IF(A210&lt;&gt;"",COUNTIFS('QA Log'!D:D,A210,'QA Log'!M:M,"Vignette",'QA Log'!L:L,"Vignette [10] Post Partum Haemorrhage - Atonic Uterus at Health Centre",'QA Log'!Z:Z,"Approved"),"")</f>
        <v/>
      </c>
      <c r="BM210" s="102" t="str">
        <f>IF(A210="","",SUM(
    COUNTIFS('QA Log'!D:D,A210,'QA Log'!M:M,"Vignette",'QA Log'!Z:Z,"Rejected",'QA Log'!L:L,"*Vignette [5] Labor*"),
    COUNTIFS('QA Log'!D:D,A210,'QA Log'!M:M,"Vignette",'QA Log'!Z:Z,"Rejected",'QA Log'!L:L,"*Vignette [6] PNC pre Discharge*"),
    COUNTIFS('QA Log'!D:D,A210,'QA Log'!M:M,"Vignette",'QA Log'!Z:Z,"Rejected",'QA Log'!L:L,"*Vignette [7] First ANC Visit*"),
    COUNTIFS('QA Log'!D:D,A210,'QA Log'!M:M,"Vignette",'QA Log'!Z:Z,"Rejected",'QA Log'!L:L,"*Vignette [8] Birth Spacing/ Family Planning :  FP Counselling*"),
    COUNTIFS('QA Log'!D:D,A210,'QA Log'!M:M,"Vignette",'QA Log'!Z:Z,"Rejected",'QA Log'!L:L,"*Vignette [9] Birth Spacing: Change FP method to Injectable*"),
    COUNTIFS('QA Log'!D:D,A210,'QA Log'!M:M,"Vignette",'QA Log'!Z:Z,"Rejected",'QA Log'!L:L,"*Vignette [10] Post Partum Haemorrhage - Atonic Uterus at Health Centre*")
  )
)</f>
        <v/>
      </c>
      <c r="BN210" s="107" t="str">
        <f t="shared" si="11"/>
        <v/>
      </c>
      <c r="BO210" s="103" t="str">
        <f t="shared" si="12"/>
        <v/>
      </c>
      <c r="BP210" s="102" t="str">
        <f>IF(A210="","",SUM(
COUNTIFS('QA Log'!D:D,A210,'QA Log'!M:M,"Vignette",'QA Log'!L:L,"*Exit Interview 1*"),
COUNTIFS('QA Log'!D:D,A210,'QA Log'!M:M,"Vignette",'QA Log'!L:L,"*Exit Interview 2*"),
)
)</f>
        <v/>
      </c>
      <c r="BQ210" s="102" t="str">
        <f>IF(
  A210="","",
  SUM(
    COUNTIFS('QA Log'!D:D,A210,'QA Log'!M:M,"Vignette",'QA Log'!Z:Z,"Approved",'QA Log'!L:L,"*Exit Interview 1*"),
    COUNTIFS('QA Log'!D:D,A210,'QA Log'!M:M,"Vignette",'QA Log'!Z:Z,"Approved",'QA Log'!L:L,"*Exit Interview 2*")
  )
)</f>
        <v/>
      </c>
      <c r="BR210" s="105" t="str">
        <f>IF(A210&lt;&gt;"",COUNTIFS('QA Log'!D:D,A210,'QA Log'!M:M,"Vignette",'QA Log'!L:L,"Exit Interview 1",'QA Log'!Z:Z,"Approved"),"")</f>
        <v/>
      </c>
      <c r="BS210" s="105" t="str">
        <f>IF(A210&lt;&gt;"",COUNTIFS('QA Log'!D:D,A210,'QA Log'!M:M,"Vignette",'QA Log'!L:L,"Exit Interview 2",'QA Log'!Z:Z,"Approved"),"")</f>
        <v/>
      </c>
      <c r="BT210" s="102" t="str">
        <f>IF(
  A210="","",
  SUM(
    COUNTIFS('QA Log'!D:D,A210,'QA Log'!M:M,"Vignette",'QA Log'!Z:Z,"Rejected",'QA Log'!L:L,"*Exit Interview 1*"),
    COUNTIFS('QA Log'!D:D,A210,'QA Log'!M:M,"Vignette",'QA Log'!Z:Z,"Rejected",'QA Log'!L:L,"*Exit Interview 2*")
  )
)</f>
        <v/>
      </c>
      <c r="BU210" s="107" t="str">
        <f t="shared" si="13"/>
        <v/>
      </c>
      <c r="BV210" s="102" t="str">
        <f t="shared" si="14"/>
        <v/>
      </c>
      <c r="BW210" s="102" t="str">
        <f t="shared" si="15"/>
        <v/>
      </c>
      <c r="BX210" s="102" t="str">
        <f t="shared" si="16"/>
        <v/>
      </c>
      <c r="BY210" s="102" t="str">
        <f t="shared" si="17"/>
        <v/>
      </c>
      <c r="BZ210" s="107" t="str">
        <f t="shared" si="18"/>
        <v/>
      </c>
      <c r="CA210" s="108" t="str">
        <f t="shared" si="19"/>
        <v/>
      </c>
      <c r="CB210" s="108" t="str">
        <f t="shared" si="20"/>
        <v/>
      </c>
      <c r="CC210" s="109" t="str">
        <f t="shared" si="21"/>
        <v/>
      </c>
      <c r="CD210" s="108" t="str">
        <f t="shared" si="22"/>
        <v/>
      </c>
      <c r="CE210" s="108" t="str">
        <f t="shared" si="23"/>
        <v/>
      </c>
      <c r="CF210" s="109" t="str">
        <f t="shared" si="24"/>
        <v/>
      </c>
      <c r="CG210" s="110" t="str">
        <f t="shared" si="25"/>
        <v/>
      </c>
      <c r="CH210" s="111"/>
    </row>
    <row r="211" spans="1:86" ht="12.75">
      <c r="A211" s="101"/>
      <c r="B211" s="102" t="e">
        <f t="array" aca="1" ref="B211" ca="1">_xludf.XLOOKUP(A211,'QA Log'!D:D,'QA Log'!E:E,"")</f>
        <v>#NAME?</v>
      </c>
      <c r="C211" s="102" t="e">
        <f t="array" aca="1" ref="C211" ca="1">_xludf.XLOOKUP(A211,'QA Log'!D:D,'QA Log'!F:F,"")</f>
        <v>#NAME?</v>
      </c>
      <c r="D211" s="102" t="e">
        <f t="array" aca="1" ref="D211" ca="1">_xludf.XLOOKUP(A211,'QA Log'!D:D,'QA Log'!H:H,"")</f>
        <v>#NAME?</v>
      </c>
      <c r="E211" s="102" t="e">
        <f t="array" aca="1" ref="E211" ca="1">_xludf.XLOOKUP(A211,'QA Log'!D:D,'QA Log'!G:G,"")</f>
        <v>#NAME?</v>
      </c>
      <c r="F211" s="103"/>
      <c r="G211" s="104"/>
      <c r="H211" s="104"/>
      <c r="I211" s="103" t="str">
        <f t="shared" si="0"/>
        <v/>
      </c>
      <c r="J211" s="102" t="str">
        <f>IF(A211="","",SUM(
COUNTIFS('QA Log'!D:D,A211,'QA Log'!M:M,"QQC",'QA Log'!L:L,"*1. General Management*"),
COUNTIFS('QA Log'!D:D,A211,'QA Log'!M:M,"QQC",'QA Log'!L:L,"*3. Curative Consultation (OPD)*"),
COUNTIFS('QA Log'!D:D,A211,'QA Log'!M:M,"QQC",'QA Log'!L:L,"*5. Laboratory*"),
COUNTIFS('QA Log'!D:D,A211,'QA Log'!M:M,"QQC",'QA Log'!L:L,"*6. Essential Medicine Management*"),
COUNTIFS('QA Log'!D:D,A211,'QA Log'!M:M,"QQC",'QA Log'!L:L,"*7. Tracer Medicine*"),
COUNTIFS('QA Log'!D:D,A211,'QA Log'!M:M,"QQC",'QA Log'!L:L,"*11. Additional Questions*")))</f>
        <v/>
      </c>
      <c r="K211" s="102" t="str">
        <f>IF(A211="","",SUM(
COUNTIFS('QA Log'!D:D,A211,'QA Log'!M:M,"QQC",'QA Log'!Z:Z,"Approved",'QA Log'!L:L,"*1. General Management*"),
COUNTIFS('QA Log'!D:D,A211,'QA Log'!M:M,"QQC",'QA Log'!Z:Z,"Approved",'QA Log'!L:L,"*3. Curative Consultation (OPD)*"),
COUNTIFS('QA Log'!D:D,A211,'QA Log'!M:M,"QQC",'QA Log'!Z:Z,"Approved",'QA Log'!L:L,"*5. Laboratory*"),
COUNTIFS('QA Log'!D:D,A211,'QA Log'!M:M,"QQC",'QA Log'!Z:Z,"Approved",'QA Log'!L:L,"*6. Essential Medicine Management*"),
COUNTIFS('QA Log'!D:D,A211,'QA Log'!M:M,"QQC",'QA Log'!Z:Z,"Approved",'QA Log'!L:L,"*7. Tracer Medicine*"),
COUNTIFS('QA Log'!D:D,A211,'QA Log'!M:M,"QQC",'QA Log'!Z:Z,"Approved",'QA Log'!L:L,"*11. Additional Questions*")))</f>
        <v/>
      </c>
      <c r="L211" s="105" t="str">
        <f>IF(A211&lt;&gt;"",COUNTIFS('QA Log'!D:D,A211,'QA Log'!M:M,"QQC",'QA Log'!L:L,"1. General Management",'QA Log'!Z:Z,"Approved"),"")</f>
        <v/>
      </c>
      <c r="M211" s="105" t="str">
        <f>IF(A211&lt;&gt;"",COUNTIFS('QA Log'!D:D,A211,'QA Log'!M:M,"QQC",'QA Log'!L:L,"3. Curative Consultation (OPD)",'QA Log'!Z:Z,"Approved"),"")</f>
        <v/>
      </c>
      <c r="N211" s="105" t="str">
        <f>IF(A211&lt;&gt;"",COUNTIFS('QA Log'!D:D,A211,'QA Log'!M:M,"QQC",'QA Log'!L:L,"5. Laboratory",'QA Log'!Z:Z,"Approved"),"")</f>
        <v/>
      </c>
      <c r="O211" s="105" t="str">
        <f>IF(A211&lt;&gt;"",COUNTIFS('QA Log'!D:D,A211,'QA Log'!M:M,"QQC",'QA Log'!L:L,"6. Essential Medicine Management",'QA Log'!Z:Z,"Approved"),"")</f>
        <v/>
      </c>
      <c r="P211" s="105" t="str">
        <f>IF(A211&lt;&gt;"",COUNTIFS('QA Log'!D:D,A211,'QA Log'!M:M,"QQC",'QA Log'!L:L,"7. Tracer Medicine",'QA Log'!Z:Z,"Approved"),"")</f>
        <v/>
      </c>
      <c r="Q211" s="105" t="str">
        <f>IF(A211&lt;&gt;"",COUNTIFS('QA Log'!D:D,A211,'QA Log'!M:M,"QQC",'QA Log'!L:L,"11. Additional Questions",'QA Log'!Z:Z,"Approved"),"")</f>
        <v/>
      </c>
      <c r="R211" s="102" t="str">
        <f>IF(A211="","",SUM(
COUNTIFS('QA Log'!D:D,A211,'QA Log'!M:M,"QQC",'QA Log'!Z:Z,"Rejected",'QA Log'!L:L,"*8. Maternity*"),
COUNTIFS('QA Log'!D:D,A211,'QA Log'!M:M,"QQC",'QA Log'!Z:Z,"Rejected",'QA Log'!L:L,"*EPI*"),
COUNTIFS('QA Log'!D:D,A211,'QA Log'!M:M,"QQC",'QA Log'!Z:Z,"Rejected",'QA Log'!L:L,"*10. Antenatal Care (ANC)*"),
COUNTIFS('QA Log'!D:D,A211,'QA Log'!M:M,"QQC",'QA Log'!Z:Z,"Rejected",'QA Log'!L:L,"*2. Hygiene and Sterilization*"),
COUNTIFS('QA Log'!D:D,A211,'QA Log'!M:M,"QQC",'QA Log'!Z:Z,"Rejected",'QA Log'!L:L,"*Family Planning*")))</f>
        <v/>
      </c>
      <c r="S211" s="106" t="str">
        <f t="shared" si="1"/>
        <v/>
      </c>
      <c r="T211" s="102" t="str">
        <f t="shared" si="2"/>
        <v/>
      </c>
      <c r="U211" s="102" t="str">
        <f>IF(A211="","",
SUM(
COUNTIFS('QA Log'!D:D,A211,'QA Log'!M:M,"QQC",'QA Log'!L:L,"*8. Maternity*"),
COUNTIFS('QA Log'!D:D,A211,'QA Log'!M:M,"QQC",'QA Log'!L:L,"*9. EPI and Pre-school Consultation*"),
COUNTIFS('QA Log'!D:D,A211,'QA Log'!M:M,"QQC",'QA Log'!L:L,"*10. Antenatal Care (ANC)*"),
COUNTIFS('QA Log'!D:D,A211,'QA Log'!M:M,"QQC",'QA Log'!L:L,"*2. Hygiene and Sterilization*"),
COUNTIFS('QA Log'!D:D,A211,'QA Log'!M:M,"QQC",'QA Log'!L:L,"*4. Family Planning*")
))</f>
        <v/>
      </c>
      <c r="V211" s="102" t="str">
        <f>IF(A211="","",
SUM(
COUNTIFS('QA Log'!D:D,A211,'QA Log'!M:M,"QQC",'QA Log'!Z:Z,"Approved",'QA Log'!L:L,"*8. Maternity*"),
COUNTIFS('QA Log'!D:D,A211,'QA Log'!M:M,"QQC",'QA Log'!Z:Z,"Approved",'QA Log'!L:L,"*9. EPI and Pre-school Consultation*"),
COUNTIFS('QA Log'!D:D,A211,'QA Log'!M:M,"QQC",'QA Log'!Z:Z,"Approved",'QA Log'!L:L,"*10. Antenatal Care (ANC)*"),
COUNTIFS('QA Log'!D:D,A211,'QA Log'!M:M,"QQC",'QA Log'!Z:Z,"Approved",'QA Log'!L:L,"*2. Hygiene and Sterilization*"),
COUNTIFS('QA Log'!D:D,A211,'QA Log'!M:M,"QQC",'QA Log'!Z:Z,"Approved",'QA Log'!L:L,"*4. Family Planning*")
))</f>
        <v/>
      </c>
      <c r="W211" s="105" t="str">
        <f>IF(A211&lt;&gt;"",COUNTIFS('QA Log'!D:D,A211,'QA Log'!M:M,"QQC",'QA Log'!L:L,"8. Maternity",'QA Log'!Z:Z,"Approved"),"")</f>
        <v/>
      </c>
      <c r="X211" s="105" t="str">
        <f>IF(A211&lt;&gt;"",COUNTIFS('QA Log'!D:D,A211,'QA Log'!M:M,"QQC",'QA Log'!L:L,"9. EPI and Pre-school Consultation",'QA Log'!Z:Z,"Approved"),"")</f>
        <v/>
      </c>
      <c r="Y211" s="105" t="str">
        <f>IF(A211&lt;&gt;"",COUNTIFS('QA Log'!D:D,A211,'QA Log'!M:M,"QQC",'QA Log'!L:L,"10. Antenatal Care (ANC)",'QA Log'!Z:Z,"Approved"),"")</f>
        <v/>
      </c>
      <c r="Z211" s="105" t="str">
        <f>IF(A211&lt;&gt;"",COUNTIFS('QA Log'!D:D,A211,'QA Log'!M:M,"QQC",'QA Log'!L:L,"2. Hygiene and Sterilization",'QA Log'!Z:Z,"Approved"),"")</f>
        <v/>
      </c>
      <c r="AA211" s="105" t="str">
        <f>IF(A211&lt;&gt;"",COUNTIFS('QA Log'!D:D,A211,'QA Log'!M:M,"QQC",'QA Log'!L:L,"4. Family Planning",'QA Log'!Z:Z,"Approved"),"")</f>
        <v/>
      </c>
      <c r="AB211" s="102" t="str">
        <f>IF(A211="","",
SUM(
COUNTIFS('QA Log'!D:D,A211,'QA Log'!M:M,"QQC",'QA Log'!Z:Z,"Rejected",'QA Log'!L:L,"*8. Maternity*"),
COUNTIFS('QA Log'!D:D,A211,'QA Log'!M:M,"QQC",'QA Log'!Z:Z,"Rejected",'QA Log'!L:L,"*9. EPI and Pre-school Consultation*"),
COUNTIFS('QA Log'!D:D,A211,'QA Log'!M:M,"QQC",'QA Log'!Z:Z,"Rejected",'QA Log'!L:L,"*10. Antenatal Care (ANC)*"),
COUNTIFS('QA Log'!D:D,A211,'QA Log'!M:M,"QQC",'QA Log'!Z:Z,"Rejected",'QA Log'!L:L,"*2. Hygiene and Sterilization*"),
COUNTIFS('QA Log'!D:D,A211,'QA Log'!M:M,"QQC",'QA Log'!Z:Z,"Rejected",'QA Log'!L:L,"*4. Family Planning*")
))</f>
        <v/>
      </c>
      <c r="AC211" s="102" t="str">
        <f t="shared" si="3"/>
        <v/>
      </c>
      <c r="AD211" s="103" t="str">
        <f t="shared" si="4"/>
        <v/>
      </c>
      <c r="AE211" s="102" t="str">
        <f>IF(A211="","",
SUM(
COUNTIFS('QA Log'!D:D,A211,'QA Log'!M:M,"Data Verification",'QA Log'!L:L,"*Medicine (section 2)*"),
COUNTIFS('QA Log'!D:D,A211,'QA Log'!M:M,"Data Verification",'QA Log'!L:L,"*Lab Testing Availability*"),
COUNTIFS('QA Log'!D:D,A211,'QA Log'!M:M,"Data Verification",'QA Log'!L:L,"*Other than P4P (section 6)*"),
COUNTIFS('QA Log'!D:D,A211,'QA Log'!M:M,"Data Verification",'QA Log'!L:L,"*Hospital Governance*")
))</f>
        <v/>
      </c>
      <c r="AF211" s="102" t="str">
        <f>IF(A211="","",
SUM(
COUNTIFS('QA Log'!D:D,A211,'QA Log'!M:M,"Data Verification",'QA Log'!Z:Z,"Approved",'QA Log'!L:L,"*Medicine (section 2)*"),
COUNTIFS('QA Log'!D:D,A211,'QA Log'!M:M,"Data Verification",'QA Log'!Z:Z,"Approved",'QA Log'!L:L,"*Lab Testing Availability*"),
COUNTIFS('QA Log'!D:D,A211,'QA Log'!M:M,"Data Verification",'QA Log'!Z:Z,"Approved",'QA Log'!L:L,"*Other than P4P (section 6)*"),
COUNTIFS('QA Log'!D:D,A211,'QA Log'!M:M,"Data Verification",'QA Log'!Z:Z,"Approved",'QA Log'!L:L,"*Hospital Governance*")
))</f>
        <v/>
      </c>
      <c r="AG211" s="105" t="str">
        <f>IF(A211&lt;&gt;"",COUNTIFS('QA Log'!D:D,A211,'QA Log'!M:M,"Data Verification",'QA Log'!L:L,"Medicine (section 2)",'QA Log'!Z:Z,"Approved"),"")</f>
        <v/>
      </c>
      <c r="AH211" s="105" t="str">
        <f>IF(A211&lt;&gt;"",COUNTIFS('QA Log'!D:D,A211,'QA Log'!M:M,"Data Verification",'QA Log'!L:L,"Lab Testing Availability",'QA Log'!Z:Z,"Approved"),"")</f>
        <v/>
      </c>
      <c r="AI211" s="105" t="str">
        <f>IF(A211&lt;&gt;"",COUNTIFS('QA Log'!D:D,A211,'QA Log'!M:M,"Data Verification",'QA Log'!L:L,"Other than P4P (section 6)",'QA Log'!Z:Z,"Approved"),"")</f>
        <v/>
      </c>
      <c r="AJ211" s="105" t="str">
        <f>IF(A211&lt;&gt;"",COUNTIFS('QA Log'!D:D,A211,'QA Log'!M:M,"Data Verification",'QA Log'!L:L,"Hospital Governance",'QA Log'!Z:Z,"Approved"),"")</f>
        <v/>
      </c>
      <c r="AK211" s="102" t="str">
        <f>IF(A211="","",
SUM(
COUNTIFS('QA Log'!D:D,A211,'QA Log'!M:M,"Data Verification",'QA Log'!Z:Z,"Rejected",'QA Log'!L:L,"*Medicine (section 2)*"),
COUNTIFS('QA Log'!D:D,A211,'QA Log'!M:M,"Data Verification",'QA Log'!Z:Z,"Rejected",'QA Log'!L:L,"*Lab Testing Availability*"),
COUNTIFS('QA Log'!D:D,A211,'QA Log'!M:M,"Data Verification",'QA Log'!Z:Z,"Rejected",'QA Log'!L:L,"*Other than P4P (section 6)*"),
COUNTIFS('QA Log'!D:D,A211,'QA Log'!M:M,"Data Verification",'QA Log'!Z:Z,"Rejected",'QA Log'!L:L,"*Hospital Governance*")
))</f>
        <v/>
      </c>
      <c r="AL211" s="106" t="str">
        <f t="shared" si="5"/>
        <v/>
      </c>
      <c r="AM211" s="102" t="str">
        <f t="shared" si="6"/>
        <v/>
      </c>
      <c r="AN211" s="102" t="str">
        <f>IF(A211="","",
SUM(
COUNTIFS('QA Log'!D:D,A211,'QA Log'!M:M,"Data Verification",'QA Log'!L:L,"*Personnel (section 1)*"),
COUNTIFS('QA Log'!D:D,A211,'QA Log'!M:M,"Data Verification",'QA Log'!L:L,"*Consumable (section 3)*"),
COUNTIFS('QA Log'!D:D,A211,'QA Log'!M:M,"Data Verification",'QA Log'!L:L,"*Equipments (section 4)*")
))</f>
        <v/>
      </c>
      <c r="AO211" s="102" t="str">
        <f>IF(A211="","",
SUM(
COUNTIFS('QA Log'!D:D,A211,'QA Log'!M:M,"Data Verification",'QA Log'!Z:Z,"Approved",'QA Log'!L:L,"*Personnel (section 1)*"),
COUNTIFS('QA Log'!D:D,A211,'QA Log'!M:M,"Data Verification",'QA Log'!Z:Z,"Approved",'QA Log'!L:L,"*Consumable (section 3)*"),
COUNTIFS('QA Log'!D:D,A211,'QA Log'!M:M,"Data Verification",'QA Log'!Z:Z,"Approved",'QA Log'!L:L,"*Equipments (section 4)*")
))</f>
        <v/>
      </c>
      <c r="AP211" s="105" t="str">
        <f>IF(A211&lt;&gt;"",COUNTIFS('QA Log'!D:D,A211,'QA Log'!M:M,"Data Verification",'QA Log'!L:L,"Personnel (section 1)",'QA Log'!Z:Z,"Approved"),"")</f>
        <v/>
      </c>
      <c r="AQ211" s="105" t="str">
        <f>IF(A211&lt;&gt;"",COUNTIFS('QA Log'!D:D,A211,'QA Log'!M:M,"Data Verification",'QA Log'!L:L,"Consumable (section 3)",'QA Log'!Z:Z,"Approved"),"")</f>
        <v/>
      </c>
      <c r="AR211" s="105" t="str">
        <f>IF(A211&lt;&gt;"",COUNTIFS('QA Log'!D:D,A211,'QA Log'!M:M,"Data Verification",'QA Log'!L:L,"Equipments (section 4)",'QA Log'!Z:Z,"Approved"),"")</f>
        <v/>
      </c>
      <c r="AS211" s="102" t="str">
        <f>IF(A211="","",
SUM(
COUNTIFS('QA Log'!D:D,A211,'QA Log'!M:M,"Data Verification",'QA Log'!Z:Z,"Rejected",'QA Log'!L:L,"*Personnel (section 1)*"),
COUNTIFS('QA Log'!D:D,A211,'QA Log'!M:M,"Data Verification",'QA Log'!Z:Z,"Rejected",'QA Log'!L:L,"*Consumable (section 3)*"),
COUNTIFS('QA Log'!D:D,A211,'QA Log'!M:M,"Data Verification",'QA Log'!Z:Z,"Rejected",'QA Log'!L:L,"*Equipments (section 4)*")
))</f>
        <v/>
      </c>
      <c r="AT211" s="102" t="str">
        <f t="shared" si="7"/>
        <v/>
      </c>
      <c r="AU211" s="103" t="str">
        <f t="shared" si="8"/>
        <v/>
      </c>
      <c r="AV211" s="102" t="str">
        <f>IF(A211="","",SUM(
COUNTIFS('QA Log'!D:D,A211,'QA Log'!M:M,"Vignette",'QA Log'!L:L,"*Vignette [1] Respiratory Infection: Pneumonia*"),
COUNTIFS('QA Log'!D:D,A211,'QA Log'!M:M,"Vignette",'QA Log'!L:L,"*Vignette [2]: Diarrhea with Cat B dehydration*"),
COUNTIFS('QA Log'!D:D,A211,'QA Log'!M:M,"Vignette",'QA Log'!L:L,"*Vignette [3] Growth Monitoring and Promotion*"),
COUNTIFS('QA Log'!D:D,A211,'QA Log'!M:M,"Vignette",'QA Log'!L:L,"*Vignette [4]: The management of presumptive TB patient*")
)
)</f>
        <v/>
      </c>
      <c r="AW211" s="102" t="str">
        <f>IF(
  A211="","",
  SUM(
    COUNTIFS('QA Log'!D:D,A211,'QA Log'!M:M,"Vignette",'QA Log'!Z:Z,"Approved",'QA Log'!L:L,"*Vignette [1] Respiratory Infection: Pneumonia*"),
    COUNTIFS('QA Log'!D:D,A211,'QA Log'!M:M,"Vignette",'QA Log'!Z:Z,"Approved",'QA Log'!L:L,"*Vignette [2]: Diarrhea with Cat B dehydration*"),
    COUNTIFS('QA Log'!D:D,A211,'QA Log'!M:M,"Vignette",'QA Log'!Z:Z,"Approved",'QA Log'!L:L,"*Vignette [3] Growth Monitoring and Promotion*"),
    COUNTIFS('QA Log'!D:D,A211,'QA Log'!M:M,"Vignette",'QA Log'!Z:Z,"Approved",'QA Log'!L:L,"*Vignette [4]: The management of presumptive TB patient*")
  )
)</f>
        <v/>
      </c>
      <c r="AX211" s="105" t="str">
        <f>IF(A211&lt;&gt;"",COUNTIFS('QA Log'!D:D,A211,'QA Log'!M:M,"Vignette",'QA Log'!L:L,"Vignette [1] Respiratory Infection: Pneumonia",'QA Log'!Z:Z,"Approved"),"")</f>
        <v/>
      </c>
      <c r="AY211" s="105" t="str">
        <f>IF(A211&lt;&gt;"",COUNTIFS('QA Log'!D:D,A211,'QA Log'!M:M,"Vignette",'QA Log'!L:L,"Vignette [2]: Diarrhea with Cat B dehydration",'QA Log'!Z:Z,"Approved"),"")</f>
        <v/>
      </c>
      <c r="AZ211" s="105" t="str">
        <f>IF(A211&lt;&gt;"",COUNTIFS('QA Log'!D:D,A211,'QA Log'!M:M,"Vignette",'QA Log'!L:L,"Vignette [3] Growth Monitoring and Promotion",'QA Log'!Z:Z,"Approved"),"")</f>
        <v/>
      </c>
      <c r="BA211" s="105" t="str">
        <f>IF(A211&lt;&gt;"",COUNTIFS('QA Log'!D:D,A211,'QA Log'!M:M,"Vignette",'QA Log'!L:L,"Vignette [4]: The management of presumptive TB patient",'QA Log'!Z:Z,"Approved"),"")</f>
        <v/>
      </c>
      <c r="BB211" s="102" t="str">
        <f>IF(A211="","",
  SUM(
    COUNTIFS('QA Log'!D:D,A211,'QA Log'!M:M,"Vignette",'QA Log'!Z:Z,"Rejected",'QA Log'!L:L,"*Vignette [1] Respiratory Infection: Pneumonia*"),
    COUNTIFS('QA Log'!D:D,A211,'QA Log'!M:M,"Vignette",'QA Log'!Z:Z,"Rejected",'QA Log'!L:L,"*Vignette [2]: Diarrhea with Cat B dehydration*"),
    COUNTIFS('QA Log'!D:D,A211,'QA Log'!M:M,"Vignette",'QA Log'!Z:Z,"Rejected",'QA Log'!L:L,"*Vignette [3] Growth Monitoring and Promotion*"),
    COUNTIFS('QA Log'!D:D,A211,'QA Log'!M:M,"Vignette",'QA Log'!Z:Z,"Rejected",'QA Log'!L:L,"*Vignette [4]: The management of presumptive TB patient*")
  )
)</f>
        <v/>
      </c>
      <c r="BC211" s="107" t="str">
        <f t="shared" si="9"/>
        <v/>
      </c>
      <c r="BD211" s="103" t="str">
        <f t="shared" si="10"/>
        <v/>
      </c>
      <c r="BE211" s="102" t="str">
        <f>IF(A211="","",SUM(
COUNTIFS('QA Log'!D:D,A211,'QA Log'!M:M,"Vignette",'QA Log'!L:L,"*Vignette [5] Labor*"),
COUNTIFS('QA Log'!D:D,A211,'QA Log'!M:M,"Vignette",'QA Log'!L:L,"*Vignette [6] PNC pre Discharge*"),
COUNTIFS('QA Log'!D:D,A211,'QA Log'!M:M,"Vignette",'QA Log'!L:L,"*Vignette [7] First ANC Visit*"),
COUNTIFS('QA Log'!D:D,A211,'QA Log'!M:M,"Vignette",'QA Log'!L:L,"*Vignette [8] Birth Spacing/ Family Planning :  FP Counselling*"),
COUNTIFS('QA Log'!D:D,A211,'QA Log'!M:M,"Vignette",'QA Log'!L:L,"*Vignette [9] Birth Spacing: Change FP method to Injectable*"),
COUNTIFS('QA Log'!D:D,A211,'QA Log'!M:M,"Vignette",'QA Log'!L:L,"*Vignette [10] Post Partum Haemorrhage - Atonic Uterus at Health Centre*"),
)
)</f>
        <v/>
      </c>
      <c r="BF211" s="102" t="str">
        <f>IF(A211="","",
  SUM(
    COUNTIFS('QA Log'!D:D,A211,'QA Log'!M:M,"Vignette",'QA Log'!Z:Z,"Approved",'QA Log'!L:L,"*Vignette [5] Labor*"),
    COUNTIFS('QA Log'!D:D,A211,'QA Log'!M:M,"Vignette",'QA Log'!Z:Z,"Approved",'QA Log'!L:L,"*Vignette [6] PNC pre Discharge*"),
    COUNTIFS('QA Log'!D:D,A211,'QA Log'!M:M,"Vignette",'QA Log'!Z:Z,"Approved",'QA Log'!L:L,"*Vignette [7] First ANC Visit*"),
    COUNTIFS('QA Log'!D:D,A211,'QA Log'!M:M,"Vignette",'QA Log'!Z:Z,"Approved",'QA Log'!L:L,"*Vignette [8] Birth Spacing/ Family Planning :  FP Counselling*"),
    COUNTIFS('QA Log'!D:D,A211,'QA Log'!M:M,"Vignette",'QA Log'!Z:Z,"Approved",'QA Log'!L:L,"*Vignette [9] Birth Spacing: Change FP method to Injectable*"),
    COUNTIFS('QA Log'!D:D,A211,'QA Log'!M:M,"Vignette",'QA Log'!Z:Z,"Approved",'QA Log'!L:L,"*Vignette [10] Post Partum Haemorrhage - Atonic Uterus at Health Centre*")
  )
)</f>
        <v/>
      </c>
      <c r="BG211" s="105" t="str">
        <f>IF(A211&lt;&gt;"",COUNTIFS('QA Log'!D:D,A211,'QA Log'!M:M,"Vignette",'QA Log'!L:L,"Vignette [5] Labor",'QA Log'!Z:Z,"Approved"),"")</f>
        <v/>
      </c>
      <c r="BH211" s="105" t="str">
        <f>IF(A211&lt;&gt;"",COUNTIFS('QA Log'!D:D,A211,'QA Log'!M:M,"Vignette",'QA Log'!L:L,"Vignette [6] PNC pre Discharge",'QA Log'!Z:Z,"Approved"),"")</f>
        <v/>
      </c>
      <c r="BI211" s="105" t="str">
        <f>IF(A211&lt;&gt;"",COUNTIFS('QA Log'!D:D,A211,'QA Log'!M:M,"Vignette",'QA Log'!L:L,"Vignette [7] First ANC Visit",'QA Log'!Z:Z,"Approved"),"")</f>
        <v/>
      </c>
      <c r="BJ211" s="105" t="str">
        <f>IF(A211&lt;&gt;"",COUNTIFS('QA Log'!D:D,A211,'QA Log'!M:M,"Vignette",'QA Log'!L:L,"Vignette [8] Birth Spacing/ Family Planning :  FP Counselling",'QA Log'!Z:Z,"Approved"),"")</f>
        <v/>
      </c>
      <c r="BK211" s="105" t="str">
        <f>IF(A211&lt;&gt;"",COUNTIFS('QA Log'!D:D,A211,'QA Log'!M:M,"Vignette",'QA Log'!L:L,"Vignette [9] Birth Spacing: Change FP method to Injectable",'QA Log'!Z:Z,"Approved"),"")</f>
        <v/>
      </c>
      <c r="BL211" s="105" t="str">
        <f>IF(A211&lt;&gt;"",COUNTIFS('QA Log'!D:D,A211,'QA Log'!M:M,"Vignette",'QA Log'!L:L,"Vignette [10] Post Partum Haemorrhage - Atonic Uterus at Health Centre",'QA Log'!Z:Z,"Approved"),"")</f>
        <v/>
      </c>
      <c r="BM211" s="102" t="str">
        <f>IF(A211="","",SUM(
    COUNTIFS('QA Log'!D:D,A211,'QA Log'!M:M,"Vignette",'QA Log'!Z:Z,"Rejected",'QA Log'!L:L,"*Vignette [5] Labor*"),
    COUNTIFS('QA Log'!D:D,A211,'QA Log'!M:M,"Vignette",'QA Log'!Z:Z,"Rejected",'QA Log'!L:L,"*Vignette [6] PNC pre Discharge*"),
    COUNTIFS('QA Log'!D:D,A211,'QA Log'!M:M,"Vignette",'QA Log'!Z:Z,"Rejected",'QA Log'!L:L,"*Vignette [7] First ANC Visit*"),
    COUNTIFS('QA Log'!D:D,A211,'QA Log'!M:M,"Vignette",'QA Log'!Z:Z,"Rejected",'QA Log'!L:L,"*Vignette [8] Birth Spacing/ Family Planning :  FP Counselling*"),
    COUNTIFS('QA Log'!D:D,A211,'QA Log'!M:M,"Vignette",'QA Log'!Z:Z,"Rejected",'QA Log'!L:L,"*Vignette [9] Birth Spacing: Change FP method to Injectable*"),
    COUNTIFS('QA Log'!D:D,A211,'QA Log'!M:M,"Vignette",'QA Log'!Z:Z,"Rejected",'QA Log'!L:L,"*Vignette [10] Post Partum Haemorrhage - Atonic Uterus at Health Centre*")
  )
)</f>
        <v/>
      </c>
      <c r="BN211" s="107" t="str">
        <f t="shared" si="11"/>
        <v/>
      </c>
      <c r="BO211" s="103" t="str">
        <f t="shared" si="12"/>
        <v/>
      </c>
      <c r="BP211" s="102" t="str">
        <f>IF(A211="","",SUM(
COUNTIFS('QA Log'!D:D,A211,'QA Log'!M:M,"Vignette",'QA Log'!L:L,"*Exit Interview 1*"),
COUNTIFS('QA Log'!D:D,A211,'QA Log'!M:M,"Vignette",'QA Log'!L:L,"*Exit Interview 2*"),
)
)</f>
        <v/>
      </c>
      <c r="BQ211" s="102" t="str">
        <f>IF(
  A211="","",
  SUM(
    COUNTIFS('QA Log'!D:D,A211,'QA Log'!M:M,"Vignette",'QA Log'!Z:Z,"Approved",'QA Log'!L:L,"*Exit Interview 1*"),
    COUNTIFS('QA Log'!D:D,A211,'QA Log'!M:M,"Vignette",'QA Log'!Z:Z,"Approved",'QA Log'!L:L,"*Exit Interview 2*")
  )
)</f>
        <v/>
      </c>
      <c r="BR211" s="105" t="str">
        <f>IF(A211&lt;&gt;"",COUNTIFS('QA Log'!D:D,A211,'QA Log'!M:M,"Vignette",'QA Log'!L:L,"Exit Interview 1",'QA Log'!Z:Z,"Approved"),"")</f>
        <v/>
      </c>
      <c r="BS211" s="105" t="str">
        <f>IF(A211&lt;&gt;"",COUNTIFS('QA Log'!D:D,A211,'QA Log'!M:M,"Vignette",'QA Log'!L:L,"Exit Interview 2",'QA Log'!Z:Z,"Approved"),"")</f>
        <v/>
      </c>
      <c r="BT211" s="102" t="str">
        <f>IF(
  A211="","",
  SUM(
    COUNTIFS('QA Log'!D:D,A211,'QA Log'!M:M,"Vignette",'QA Log'!Z:Z,"Rejected",'QA Log'!L:L,"*Exit Interview 1*"),
    COUNTIFS('QA Log'!D:D,A211,'QA Log'!M:M,"Vignette",'QA Log'!Z:Z,"Rejected",'QA Log'!L:L,"*Exit Interview 2*")
  )
)</f>
        <v/>
      </c>
      <c r="BU211" s="107" t="str">
        <f t="shared" si="13"/>
        <v/>
      </c>
      <c r="BV211" s="102" t="str">
        <f t="shared" si="14"/>
        <v/>
      </c>
      <c r="BW211" s="102" t="str">
        <f t="shared" si="15"/>
        <v/>
      </c>
      <c r="BX211" s="102" t="str">
        <f t="shared" si="16"/>
        <v/>
      </c>
      <c r="BY211" s="102" t="str">
        <f t="shared" si="17"/>
        <v/>
      </c>
      <c r="BZ211" s="107" t="str">
        <f t="shared" si="18"/>
        <v/>
      </c>
      <c r="CA211" s="108" t="str">
        <f t="shared" si="19"/>
        <v/>
      </c>
      <c r="CB211" s="108" t="str">
        <f t="shared" si="20"/>
        <v/>
      </c>
      <c r="CC211" s="109" t="str">
        <f t="shared" si="21"/>
        <v/>
      </c>
      <c r="CD211" s="108" t="str">
        <f t="shared" si="22"/>
        <v/>
      </c>
      <c r="CE211" s="108" t="str">
        <f t="shared" si="23"/>
        <v/>
      </c>
      <c r="CF211" s="109" t="str">
        <f t="shared" si="24"/>
        <v/>
      </c>
      <c r="CG211" s="110" t="str">
        <f t="shared" si="25"/>
        <v/>
      </c>
      <c r="CH211" s="111"/>
    </row>
    <row r="212" spans="1:86" ht="12.75">
      <c r="A212" s="101"/>
      <c r="B212" s="102" t="e">
        <f t="array" aca="1" ref="B212" ca="1">_xludf.XLOOKUP(A212,'QA Log'!D:D,'QA Log'!E:E,"")</f>
        <v>#NAME?</v>
      </c>
      <c r="C212" s="102" t="e">
        <f t="array" aca="1" ref="C212" ca="1">_xludf.XLOOKUP(A212,'QA Log'!D:D,'QA Log'!F:F,"")</f>
        <v>#NAME?</v>
      </c>
      <c r="D212" s="102" t="e">
        <f t="array" aca="1" ref="D212" ca="1">_xludf.XLOOKUP(A212,'QA Log'!D:D,'QA Log'!H:H,"")</f>
        <v>#NAME?</v>
      </c>
      <c r="E212" s="102" t="e">
        <f t="array" aca="1" ref="E212" ca="1">_xludf.XLOOKUP(A212,'QA Log'!D:D,'QA Log'!G:G,"")</f>
        <v>#NAME?</v>
      </c>
      <c r="F212" s="103"/>
      <c r="G212" s="104"/>
      <c r="H212" s="104"/>
      <c r="I212" s="103" t="str">
        <f t="shared" si="0"/>
        <v/>
      </c>
      <c r="J212" s="102" t="str">
        <f>IF(A212="","",SUM(
COUNTIFS('QA Log'!D:D,A212,'QA Log'!M:M,"QQC",'QA Log'!L:L,"*1. General Management*"),
COUNTIFS('QA Log'!D:D,A212,'QA Log'!M:M,"QQC",'QA Log'!L:L,"*3. Curative Consultation (OPD)*"),
COUNTIFS('QA Log'!D:D,A212,'QA Log'!M:M,"QQC",'QA Log'!L:L,"*5. Laboratory*"),
COUNTIFS('QA Log'!D:D,A212,'QA Log'!M:M,"QQC",'QA Log'!L:L,"*6. Essential Medicine Management*"),
COUNTIFS('QA Log'!D:D,A212,'QA Log'!M:M,"QQC",'QA Log'!L:L,"*7. Tracer Medicine*"),
COUNTIFS('QA Log'!D:D,A212,'QA Log'!M:M,"QQC",'QA Log'!L:L,"*11. Additional Questions*")))</f>
        <v/>
      </c>
      <c r="K212" s="102" t="str">
        <f>IF(A212="","",SUM(
COUNTIFS('QA Log'!D:D,A212,'QA Log'!M:M,"QQC",'QA Log'!Z:Z,"Approved",'QA Log'!L:L,"*1. General Management*"),
COUNTIFS('QA Log'!D:D,A212,'QA Log'!M:M,"QQC",'QA Log'!Z:Z,"Approved",'QA Log'!L:L,"*3. Curative Consultation (OPD)*"),
COUNTIFS('QA Log'!D:D,A212,'QA Log'!M:M,"QQC",'QA Log'!Z:Z,"Approved",'QA Log'!L:L,"*5. Laboratory*"),
COUNTIFS('QA Log'!D:D,A212,'QA Log'!M:M,"QQC",'QA Log'!Z:Z,"Approved",'QA Log'!L:L,"*6. Essential Medicine Management*"),
COUNTIFS('QA Log'!D:D,A212,'QA Log'!M:M,"QQC",'QA Log'!Z:Z,"Approved",'QA Log'!L:L,"*7. Tracer Medicine*"),
COUNTIFS('QA Log'!D:D,A212,'QA Log'!M:M,"QQC",'QA Log'!Z:Z,"Approved",'QA Log'!L:L,"*11. Additional Questions*")))</f>
        <v/>
      </c>
      <c r="L212" s="105" t="str">
        <f>IF(A212&lt;&gt;"",COUNTIFS('QA Log'!D:D,A212,'QA Log'!M:M,"QQC",'QA Log'!L:L,"1. General Management",'QA Log'!Z:Z,"Approved"),"")</f>
        <v/>
      </c>
      <c r="M212" s="105" t="str">
        <f>IF(A212&lt;&gt;"",COUNTIFS('QA Log'!D:D,A212,'QA Log'!M:M,"QQC",'QA Log'!L:L,"3. Curative Consultation (OPD)",'QA Log'!Z:Z,"Approved"),"")</f>
        <v/>
      </c>
      <c r="N212" s="105" t="str">
        <f>IF(A212&lt;&gt;"",COUNTIFS('QA Log'!D:D,A212,'QA Log'!M:M,"QQC",'QA Log'!L:L,"5. Laboratory",'QA Log'!Z:Z,"Approved"),"")</f>
        <v/>
      </c>
      <c r="O212" s="105" t="str">
        <f>IF(A212&lt;&gt;"",COUNTIFS('QA Log'!D:D,A212,'QA Log'!M:M,"QQC",'QA Log'!L:L,"6. Essential Medicine Management",'QA Log'!Z:Z,"Approved"),"")</f>
        <v/>
      </c>
      <c r="P212" s="105" t="str">
        <f>IF(A212&lt;&gt;"",COUNTIFS('QA Log'!D:D,A212,'QA Log'!M:M,"QQC",'QA Log'!L:L,"7. Tracer Medicine",'QA Log'!Z:Z,"Approved"),"")</f>
        <v/>
      </c>
      <c r="Q212" s="105" t="str">
        <f>IF(A212&lt;&gt;"",COUNTIFS('QA Log'!D:D,A212,'QA Log'!M:M,"QQC",'QA Log'!L:L,"11. Additional Questions",'QA Log'!Z:Z,"Approved"),"")</f>
        <v/>
      </c>
      <c r="R212" s="102" t="str">
        <f>IF(A212="","",SUM(
COUNTIFS('QA Log'!D:D,A212,'QA Log'!M:M,"QQC",'QA Log'!Z:Z,"Rejected",'QA Log'!L:L,"*8. Maternity*"),
COUNTIFS('QA Log'!D:D,A212,'QA Log'!M:M,"QQC",'QA Log'!Z:Z,"Rejected",'QA Log'!L:L,"*EPI*"),
COUNTIFS('QA Log'!D:D,A212,'QA Log'!M:M,"QQC",'QA Log'!Z:Z,"Rejected",'QA Log'!L:L,"*10. Antenatal Care (ANC)*"),
COUNTIFS('QA Log'!D:D,A212,'QA Log'!M:M,"QQC",'QA Log'!Z:Z,"Rejected",'QA Log'!L:L,"*2. Hygiene and Sterilization*"),
COUNTIFS('QA Log'!D:D,A212,'QA Log'!M:M,"QQC",'QA Log'!Z:Z,"Rejected",'QA Log'!L:L,"*Family Planning*")))</f>
        <v/>
      </c>
      <c r="S212" s="106" t="str">
        <f t="shared" si="1"/>
        <v/>
      </c>
      <c r="T212" s="102" t="str">
        <f t="shared" si="2"/>
        <v/>
      </c>
      <c r="U212" s="102" t="str">
        <f>IF(A212="","",
SUM(
COUNTIFS('QA Log'!D:D,A212,'QA Log'!M:M,"QQC",'QA Log'!L:L,"*8. Maternity*"),
COUNTIFS('QA Log'!D:D,A212,'QA Log'!M:M,"QQC",'QA Log'!L:L,"*9. EPI and Pre-school Consultation*"),
COUNTIFS('QA Log'!D:D,A212,'QA Log'!M:M,"QQC",'QA Log'!L:L,"*10. Antenatal Care (ANC)*"),
COUNTIFS('QA Log'!D:D,A212,'QA Log'!M:M,"QQC",'QA Log'!L:L,"*2. Hygiene and Sterilization*"),
COUNTIFS('QA Log'!D:D,A212,'QA Log'!M:M,"QQC",'QA Log'!L:L,"*4. Family Planning*")
))</f>
        <v/>
      </c>
      <c r="V212" s="102" t="str">
        <f>IF(A212="","",
SUM(
COUNTIFS('QA Log'!D:D,A212,'QA Log'!M:M,"QQC",'QA Log'!Z:Z,"Approved",'QA Log'!L:L,"*8. Maternity*"),
COUNTIFS('QA Log'!D:D,A212,'QA Log'!M:M,"QQC",'QA Log'!Z:Z,"Approved",'QA Log'!L:L,"*9. EPI and Pre-school Consultation*"),
COUNTIFS('QA Log'!D:D,A212,'QA Log'!M:M,"QQC",'QA Log'!Z:Z,"Approved",'QA Log'!L:L,"*10. Antenatal Care (ANC)*"),
COUNTIFS('QA Log'!D:D,A212,'QA Log'!M:M,"QQC",'QA Log'!Z:Z,"Approved",'QA Log'!L:L,"*2. Hygiene and Sterilization*"),
COUNTIFS('QA Log'!D:D,A212,'QA Log'!M:M,"QQC",'QA Log'!Z:Z,"Approved",'QA Log'!L:L,"*4. Family Planning*")
))</f>
        <v/>
      </c>
      <c r="W212" s="105" t="str">
        <f>IF(A212&lt;&gt;"",COUNTIFS('QA Log'!D:D,A212,'QA Log'!M:M,"QQC",'QA Log'!L:L,"8. Maternity",'QA Log'!Z:Z,"Approved"),"")</f>
        <v/>
      </c>
      <c r="X212" s="105" t="str">
        <f>IF(A212&lt;&gt;"",COUNTIFS('QA Log'!D:D,A212,'QA Log'!M:M,"QQC",'QA Log'!L:L,"9. EPI and Pre-school Consultation",'QA Log'!Z:Z,"Approved"),"")</f>
        <v/>
      </c>
      <c r="Y212" s="105" t="str">
        <f>IF(A212&lt;&gt;"",COUNTIFS('QA Log'!D:D,A212,'QA Log'!M:M,"QQC",'QA Log'!L:L,"10. Antenatal Care (ANC)",'QA Log'!Z:Z,"Approved"),"")</f>
        <v/>
      </c>
      <c r="Z212" s="105" t="str">
        <f>IF(A212&lt;&gt;"",COUNTIFS('QA Log'!D:D,A212,'QA Log'!M:M,"QQC",'QA Log'!L:L,"2. Hygiene and Sterilization",'QA Log'!Z:Z,"Approved"),"")</f>
        <v/>
      </c>
      <c r="AA212" s="105" t="str">
        <f>IF(A212&lt;&gt;"",COUNTIFS('QA Log'!D:D,A212,'QA Log'!M:M,"QQC",'QA Log'!L:L,"4. Family Planning",'QA Log'!Z:Z,"Approved"),"")</f>
        <v/>
      </c>
      <c r="AB212" s="102" t="str">
        <f>IF(A212="","",
SUM(
COUNTIFS('QA Log'!D:D,A212,'QA Log'!M:M,"QQC",'QA Log'!Z:Z,"Rejected",'QA Log'!L:L,"*8. Maternity*"),
COUNTIFS('QA Log'!D:D,A212,'QA Log'!M:M,"QQC",'QA Log'!Z:Z,"Rejected",'QA Log'!L:L,"*9. EPI and Pre-school Consultation*"),
COUNTIFS('QA Log'!D:D,A212,'QA Log'!M:M,"QQC",'QA Log'!Z:Z,"Rejected",'QA Log'!L:L,"*10. Antenatal Care (ANC)*"),
COUNTIFS('QA Log'!D:D,A212,'QA Log'!M:M,"QQC",'QA Log'!Z:Z,"Rejected",'QA Log'!L:L,"*2. Hygiene and Sterilization*"),
COUNTIFS('QA Log'!D:D,A212,'QA Log'!M:M,"QQC",'QA Log'!Z:Z,"Rejected",'QA Log'!L:L,"*4. Family Planning*")
))</f>
        <v/>
      </c>
      <c r="AC212" s="102" t="str">
        <f t="shared" si="3"/>
        <v/>
      </c>
      <c r="AD212" s="103" t="str">
        <f t="shared" si="4"/>
        <v/>
      </c>
      <c r="AE212" s="102" t="str">
        <f>IF(A212="","",
SUM(
COUNTIFS('QA Log'!D:D,A212,'QA Log'!M:M,"Data Verification",'QA Log'!L:L,"*Medicine (section 2)*"),
COUNTIFS('QA Log'!D:D,A212,'QA Log'!M:M,"Data Verification",'QA Log'!L:L,"*Lab Testing Availability*"),
COUNTIFS('QA Log'!D:D,A212,'QA Log'!M:M,"Data Verification",'QA Log'!L:L,"*Other than P4P (section 6)*"),
COUNTIFS('QA Log'!D:D,A212,'QA Log'!M:M,"Data Verification",'QA Log'!L:L,"*Hospital Governance*")
))</f>
        <v/>
      </c>
      <c r="AF212" s="102" t="str">
        <f>IF(A212="","",
SUM(
COUNTIFS('QA Log'!D:D,A212,'QA Log'!M:M,"Data Verification",'QA Log'!Z:Z,"Approved",'QA Log'!L:L,"*Medicine (section 2)*"),
COUNTIFS('QA Log'!D:D,A212,'QA Log'!M:M,"Data Verification",'QA Log'!Z:Z,"Approved",'QA Log'!L:L,"*Lab Testing Availability*"),
COUNTIFS('QA Log'!D:D,A212,'QA Log'!M:M,"Data Verification",'QA Log'!Z:Z,"Approved",'QA Log'!L:L,"*Other than P4P (section 6)*"),
COUNTIFS('QA Log'!D:D,A212,'QA Log'!M:M,"Data Verification",'QA Log'!Z:Z,"Approved",'QA Log'!L:L,"*Hospital Governance*")
))</f>
        <v/>
      </c>
      <c r="AG212" s="105" t="str">
        <f>IF(A212&lt;&gt;"",COUNTIFS('QA Log'!D:D,A212,'QA Log'!M:M,"Data Verification",'QA Log'!L:L,"Medicine (section 2)",'QA Log'!Z:Z,"Approved"),"")</f>
        <v/>
      </c>
      <c r="AH212" s="105" t="str">
        <f>IF(A212&lt;&gt;"",COUNTIFS('QA Log'!D:D,A212,'QA Log'!M:M,"Data Verification",'QA Log'!L:L,"Lab Testing Availability",'QA Log'!Z:Z,"Approved"),"")</f>
        <v/>
      </c>
      <c r="AI212" s="105" t="str">
        <f>IF(A212&lt;&gt;"",COUNTIFS('QA Log'!D:D,A212,'QA Log'!M:M,"Data Verification",'QA Log'!L:L,"Other than P4P (section 6)",'QA Log'!Z:Z,"Approved"),"")</f>
        <v/>
      </c>
      <c r="AJ212" s="105" t="str">
        <f>IF(A212&lt;&gt;"",COUNTIFS('QA Log'!D:D,A212,'QA Log'!M:M,"Data Verification",'QA Log'!L:L,"Hospital Governance",'QA Log'!Z:Z,"Approved"),"")</f>
        <v/>
      </c>
      <c r="AK212" s="102" t="str">
        <f>IF(A212="","",
SUM(
COUNTIFS('QA Log'!D:D,A212,'QA Log'!M:M,"Data Verification",'QA Log'!Z:Z,"Rejected",'QA Log'!L:L,"*Medicine (section 2)*"),
COUNTIFS('QA Log'!D:D,A212,'QA Log'!M:M,"Data Verification",'QA Log'!Z:Z,"Rejected",'QA Log'!L:L,"*Lab Testing Availability*"),
COUNTIFS('QA Log'!D:D,A212,'QA Log'!M:M,"Data Verification",'QA Log'!Z:Z,"Rejected",'QA Log'!L:L,"*Other than P4P (section 6)*"),
COUNTIFS('QA Log'!D:D,A212,'QA Log'!M:M,"Data Verification",'QA Log'!Z:Z,"Rejected",'QA Log'!L:L,"*Hospital Governance*")
))</f>
        <v/>
      </c>
      <c r="AL212" s="106" t="str">
        <f t="shared" si="5"/>
        <v/>
      </c>
      <c r="AM212" s="102" t="str">
        <f t="shared" si="6"/>
        <v/>
      </c>
      <c r="AN212" s="102" t="str">
        <f>IF(A212="","",
SUM(
COUNTIFS('QA Log'!D:D,A212,'QA Log'!M:M,"Data Verification",'QA Log'!L:L,"*Personnel (section 1)*"),
COUNTIFS('QA Log'!D:D,A212,'QA Log'!M:M,"Data Verification",'QA Log'!L:L,"*Consumable (section 3)*"),
COUNTIFS('QA Log'!D:D,A212,'QA Log'!M:M,"Data Verification",'QA Log'!L:L,"*Equipments (section 4)*")
))</f>
        <v/>
      </c>
      <c r="AO212" s="102" t="str">
        <f>IF(A212="","",
SUM(
COUNTIFS('QA Log'!D:D,A212,'QA Log'!M:M,"Data Verification",'QA Log'!Z:Z,"Approved",'QA Log'!L:L,"*Personnel (section 1)*"),
COUNTIFS('QA Log'!D:D,A212,'QA Log'!M:M,"Data Verification",'QA Log'!Z:Z,"Approved",'QA Log'!L:L,"*Consumable (section 3)*"),
COUNTIFS('QA Log'!D:D,A212,'QA Log'!M:M,"Data Verification",'QA Log'!Z:Z,"Approved",'QA Log'!L:L,"*Equipments (section 4)*")
))</f>
        <v/>
      </c>
      <c r="AP212" s="105" t="str">
        <f>IF(A212&lt;&gt;"",COUNTIFS('QA Log'!D:D,A212,'QA Log'!M:M,"Data Verification",'QA Log'!L:L,"Personnel (section 1)",'QA Log'!Z:Z,"Approved"),"")</f>
        <v/>
      </c>
      <c r="AQ212" s="105" t="str">
        <f>IF(A212&lt;&gt;"",COUNTIFS('QA Log'!D:D,A212,'QA Log'!M:M,"Data Verification",'QA Log'!L:L,"Consumable (section 3)",'QA Log'!Z:Z,"Approved"),"")</f>
        <v/>
      </c>
      <c r="AR212" s="105" t="str">
        <f>IF(A212&lt;&gt;"",COUNTIFS('QA Log'!D:D,A212,'QA Log'!M:M,"Data Verification",'QA Log'!L:L,"Equipments (section 4)",'QA Log'!Z:Z,"Approved"),"")</f>
        <v/>
      </c>
      <c r="AS212" s="102" t="str">
        <f>IF(A212="","",
SUM(
COUNTIFS('QA Log'!D:D,A212,'QA Log'!M:M,"Data Verification",'QA Log'!Z:Z,"Rejected",'QA Log'!L:L,"*Personnel (section 1)*"),
COUNTIFS('QA Log'!D:D,A212,'QA Log'!M:M,"Data Verification",'QA Log'!Z:Z,"Rejected",'QA Log'!L:L,"*Consumable (section 3)*"),
COUNTIFS('QA Log'!D:D,A212,'QA Log'!M:M,"Data Verification",'QA Log'!Z:Z,"Rejected",'QA Log'!L:L,"*Equipments (section 4)*")
))</f>
        <v/>
      </c>
      <c r="AT212" s="102" t="str">
        <f t="shared" si="7"/>
        <v/>
      </c>
      <c r="AU212" s="103" t="str">
        <f t="shared" si="8"/>
        <v/>
      </c>
      <c r="AV212" s="102" t="str">
        <f>IF(A212="","",SUM(
COUNTIFS('QA Log'!D:D,A212,'QA Log'!M:M,"Vignette",'QA Log'!L:L,"*Vignette [1] Respiratory Infection: Pneumonia*"),
COUNTIFS('QA Log'!D:D,A212,'QA Log'!M:M,"Vignette",'QA Log'!L:L,"*Vignette [2]: Diarrhea with Cat B dehydration*"),
COUNTIFS('QA Log'!D:D,A212,'QA Log'!M:M,"Vignette",'QA Log'!L:L,"*Vignette [3] Growth Monitoring and Promotion*"),
COUNTIFS('QA Log'!D:D,A212,'QA Log'!M:M,"Vignette",'QA Log'!L:L,"*Vignette [4]: The management of presumptive TB patient*")
)
)</f>
        <v/>
      </c>
      <c r="AW212" s="102" t="str">
        <f>IF(
  A212="","",
  SUM(
    COUNTIFS('QA Log'!D:D,A212,'QA Log'!M:M,"Vignette",'QA Log'!Z:Z,"Approved",'QA Log'!L:L,"*Vignette [1] Respiratory Infection: Pneumonia*"),
    COUNTIFS('QA Log'!D:D,A212,'QA Log'!M:M,"Vignette",'QA Log'!Z:Z,"Approved",'QA Log'!L:L,"*Vignette [2]: Diarrhea with Cat B dehydration*"),
    COUNTIFS('QA Log'!D:D,A212,'QA Log'!M:M,"Vignette",'QA Log'!Z:Z,"Approved",'QA Log'!L:L,"*Vignette [3] Growth Monitoring and Promotion*"),
    COUNTIFS('QA Log'!D:D,A212,'QA Log'!M:M,"Vignette",'QA Log'!Z:Z,"Approved",'QA Log'!L:L,"*Vignette [4]: The management of presumptive TB patient*")
  )
)</f>
        <v/>
      </c>
      <c r="AX212" s="105" t="str">
        <f>IF(A212&lt;&gt;"",COUNTIFS('QA Log'!D:D,A212,'QA Log'!M:M,"Vignette",'QA Log'!L:L,"Vignette [1] Respiratory Infection: Pneumonia",'QA Log'!Z:Z,"Approved"),"")</f>
        <v/>
      </c>
      <c r="AY212" s="105" t="str">
        <f>IF(A212&lt;&gt;"",COUNTIFS('QA Log'!D:D,A212,'QA Log'!M:M,"Vignette",'QA Log'!L:L,"Vignette [2]: Diarrhea with Cat B dehydration",'QA Log'!Z:Z,"Approved"),"")</f>
        <v/>
      </c>
      <c r="AZ212" s="105" t="str">
        <f>IF(A212&lt;&gt;"",COUNTIFS('QA Log'!D:D,A212,'QA Log'!M:M,"Vignette",'QA Log'!L:L,"Vignette [3] Growth Monitoring and Promotion",'QA Log'!Z:Z,"Approved"),"")</f>
        <v/>
      </c>
      <c r="BA212" s="105" t="str">
        <f>IF(A212&lt;&gt;"",COUNTIFS('QA Log'!D:D,A212,'QA Log'!M:M,"Vignette",'QA Log'!L:L,"Vignette [4]: The management of presumptive TB patient",'QA Log'!Z:Z,"Approved"),"")</f>
        <v/>
      </c>
      <c r="BB212" s="102" t="str">
        <f>IF(A212="","",
  SUM(
    COUNTIFS('QA Log'!D:D,A212,'QA Log'!M:M,"Vignette",'QA Log'!Z:Z,"Rejected",'QA Log'!L:L,"*Vignette [1] Respiratory Infection: Pneumonia*"),
    COUNTIFS('QA Log'!D:D,A212,'QA Log'!M:M,"Vignette",'QA Log'!Z:Z,"Rejected",'QA Log'!L:L,"*Vignette [2]: Diarrhea with Cat B dehydration*"),
    COUNTIFS('QA Log'!D:D,A212,'QA Log'!M:M,"Vignette",'QA Log'!Z:Z,"Rejected",'QA Log'!L:L,"*Vignette [3] Growth Monitoring and Promotion*"),
    COUNTIFS('QA Log'!D:D,A212,'QA Log'!M:M,"Vignette",'QA Log'!Z:Z,"Rejected",'QA Log'!L:L,"*Vignette [4]: The management of presumptive TB patient*")
  )
)</f>
        <v/>
      </c>
      <c r="BC212" s="107" t="str">
        <f t="shared" si="9"/>
        <v/>
      </c>
      <c r="BD212" s="103" t="str">
        <f t="shared" si="10"/>
        <v/>
      </c>
      <c r="BE212" s="102" t="str">
        <f>IF(A212="","",SUM(
COUNTIFS('QA Log'!D:D,A212,'QA Log'!M:M,"Vignette",'QA Log'!L:L,"*Vignette [5] Labor*"),
COUNTIFS('QA Log'!D:D,A212,'QA Log'!M:M,"Vignette",'QA Log'!L:L,"*Vignette [6] PNC pre Discharge*"),
COUNTIFS('QA Log'!D:D,A212,'QA Log'!M:M,"Vignette",'QA Log'!L:L,"*Vignette [7] First ANC Visit*"),
COUNTIFS('QA Log'!D:D,A212,'QA Log'!M:M,"Vignette",'QA Log'!L:L,"*Vignette [8] Birth Spacing/ Family Planning :  FP Counselling*"),
COUNTIFS('QA Log'!D:D,A212,'QA Log'!M:M,"Vignette",'QA Log'!L:L,"*Vignette [9] Birth Spacing: Change FP method to Injectable*"),
COUNTIFS('QA Log'!D:D,A212,'QA Log'!M:M,"Vignette",'QA Log'!L:L,"*Vignette [10] Post Partum Haemorrhage - Atonic Uterus at Health Centre*"),
)
)</f>
        <v/>
      </c>
      <c r="BF212" s="102" t="str">
        <f>IF(A212="","",
  SUM(
    COUNTIFS('QA Log'!D:D,A212,'QA Log'!M:M,"Vignette",'QA Log'!Z:Z,"Approved",'QA Log'!L:L,"*Vignette [5] Labor*"),
    COUNTIFS('QA Log'!D:D,A212,'QA Log'!M:M,"Vignette",'QA Log'!Z:Z,"Approved",'QA Log'!L:L,"*Vignette [6] PNC pre Discharge*"),
    COUNTIFS('QA Log'!D:D,A212,'QA Log'!M:M,"Vignette",'QA Log'!Z:Z,"Approved",'QA Log'!L:L,"*Vignette [7] First ANC Visit*"),
    COUNTIFS('QA Log'!D:D,A212,'QA Log'!M:M,"Vignette",'QA Log'!Z:Z,"Approved",'QA Log'!L:L,"*Vignette [8] Birth Spacing/ Family Planning :  FP Counselling*"),
    COUNTIFS('QA Log'!D:D,A212,'QA Log'!M:M,"Vignette",'QA Log'!Z:Z,"Approved",'QA Log'!L:L,"*Vignette [9] Birth Spacing: Change FP method to Injectable*"),
    COUNTIFS('QA Log'!D:D,A212,'QA Log'!M:M,"Vignette",'QA Log'!Z:Z,"Approved",'QA Log'!L:L,"*Vignette [10] Post Partum Haemorrhage - Atonic Uterus at Health Centre*")
  )
)</f>
        <v/>
      </c>
      <c r="BG212" s="105" t="str">
        <f>IF(A212&lt;&gt;"",COUNTIFS('QA Log'!D:D,A212,'QA Log'!M:M,"Vignette",'QA Log'!L:L,"Vignette [5] Labor",'QA Log'!Z:Z,"Approved"),"")</f>
        <v/>
      </c>
      <c r="BH212" s="105" t="str">
        <f>IF(A212&lt;&gt;"",COUNTIFS('QA Log'!D:D,A212,'QA Log'!M:M,"Vignette",'QA Log'!L:L,"Vignette [6] PNC pre Discharge",'QA Log'!Z:Z,"Approved"),"")</f>
        <v/>
      </c>
      <c r="BI212" s="105" t="str">
        <f>IF(A212&lt;&gt;"",COUNTIFS('QA Log'!D:D,A212,'QA Log'!M:M,"Vignette",'QA Log'!L:L,"Vignette [7] First ANC Visit",'QA Log'!Z:Z,"Approved"),"")</f>
        <v/>
      </c>
      <c r="BJ212" s="105" t="str">
        <f>IF(A212&lt;&gt;"",COUNTIFS('QA Log'!D:D,A212,'QA Log'!M:M,"Vignette",'QA Log'!L:L,"Vignette [8] Birth Spacing/ Family Planning :  FP Counselling",'QA Log'!Z:Z,"Approved"),"")</f>
        <v/>
      </c>
      <c r="BK212" s="105" t="str">
        <f>IF(A212&lt;&gt;"",COUNTIFS('QA Log'!D:D,A212,'QA Log'!M:M,"Vignette",'QA Log'!L:L,"Vignette [9] Birth Spacing: Change FP method to Injectable",'QA Log'!Z:Z,"Approved"),"")</f>
        <v/>
      </c>
      <c r="BL212" s="105" t="str">
        <f>IF(A212&lt;&gt;"",COUNTIFS('QA Log'!D:D,A212,'QA Log'!M:M,"Vignette",'QA Log'!L:L,"Vignette [10] Post Partum Haemorrhage - Atonic Uterus at Health Centre",'QA Log'!Z:Z,"Approved"),"")</f>
        <v/>
      </c>
      <c r="BM212" s="102" t="str">
        <f>IF(A212="","",SUM(
    COUNTIFS('QA Log'!D:D,A212,'QA Log'!M:M,"Vignette",'QA Log'!Z:Z,"Rejected",'QA Log'!L:L,"*Vignette [5] Labor*"),
    COUNTIFS('QA Log'!D:D,A212,'QA Log'!M:M,"Vignette",'QA Log'!Z:Z,"Rejected",'QA Log'!L:L,"*Vignette [6] PNC pre Discharge*"),
    COUNTIFS('QA Log'!D:D,A212,'QA Log'!M:M,"Vignette",'QA Log'!Z:Z,"Rejected",'QA Log'!L:L,"*Vignette [7] First ANC Visit*"),
    COUNTIFS('QA Log'!D:D,A212,'QA Log'!M:M,"Vignette",'QA Log'!Z:Z,"Rejected",'QA Log'!L:L,"*Vignette [8] Birth Spacing/ Family Planning :  FP Counselling*"),
    COUNTIFS('QA Log'!D:D,A212,'QA Log'!M:M,"Vignette",'QA Log'!Z:Z,"Rejected",'QA Log'!L:L,"*Vignette [9] Birth Spacing: Change FP method to Injectable*"),
    COUNTIFS('QA Log'!D:D,A212,'QA Log'!M:M,"Vignette",'QA Log'!Z:Z,"Rejected",'QA Log'!L:L,"*Vignette [10] Post Partum Haemorrhage - Atonic Uterus at Health Centre*")
  )
)</f>
        <v/>
      </c>
      <c r="BN212" s="107" t="str">
        <f t="shared" si="11"/>
        <v/>
      </c>
      <c r="BO212" s="103" t="str">
        <f t="shared" si="12"/>
        <v/>
      </c>
      <c r="BP212" s="102" t="str">
        <f>IF(A212="","",SUM(
COUNTIFS('QA Log'!D:D,A212,'QA Log'!M:M,"Vignette",'QA Log'!L:L,"*Exit Interview 1*"),
COUNTIFS('QA Log'!D:D,A212,'QA Log'!M:M,"Vignette",'QA Log'!L:L,"*Exit Interview 2*"),
)
)</f>
        <v/>
      </c>
      <c r="BQ212" s="102" t="str">
        <f>IF(
  A212="","",
  SUM(
    COUNTIFS('QA Log'!D:D,A212,'QA Log'!M:M,"Vignette",'QA Log'!Z:Z,"Approved",'QA Log'!L:L,"*Exit Interview 1*"),
    COUNTIFS('QA Log'!D:D,A212,'QA Log'!M:M,"Vignette",'QA Log'!Z:Z,"Approved",'QA Log'!L:L,"*Exit Interview 2*")
  )
)</f>
        <v/>
      </c>
      <c r="BR212" s="105" t="str">
        <f>IF(A212&lt;&gt;"",COUNTIFS('QA Log'!D:D,A212,'QA Log'!M:M,"Vignette",'QA Log'!L:L,"Exit Interview 1",'QA Log'!Z:Z,"Approved"),"")</f>
        <v/>
      </c>
      <c r="BS212" s="105" t="str">
        <f>IF(A212&lt;&gt;"",COUNTIFS('QA Log'!D:D,A212,'QA Log'!M:M,"Vignette",'QA Log'!L:L,"Exit Interview 2",'QA Log'!Z:Z,"Approved"),"")</f>
        <v/>
      </c>
      <c r="BT212" s="102" t="str">
        <f>IF(
  A212="","",
  SUM(
    COUNTIFS('QA Log'!D:D,A212,'QA Log'!M:M,"Vignette",'QA Log'!Z:Z,"Rejected",'QA Log'!L:L,"*Exit Interview 1*"),
    COUNTIFS('QA Log'!D:D,A212,'QA Log'!M:M,"Vignette",'QA Log'!Z:Z,"Rejected",'QA Log'!L:L,"*Exit Interview 2*")
  )
)</f>
        <v/>
      </c>
      <c r="BU212" s="107" t="str">
        <f t="shared" si="13"/>
        <v/>
      </c>
      <c r="BV212" s="102" t="str">
        <f t="shared" si="14"/>
        <v/>
      </c>
      <c r="BW212" s="102" t="str">
        <f t="shared" si="15"/>
        <v/>
      </c>
      <c r="BX212" s="102" t="str">
        <f t="shared" si="16"/>
        <v/>
      </c>
      <c r="BY212" s="102" t="str">
        <f t="shared" si="17"/>
        <v/>
      </c>
      <c r="BZ212" s="107" t="str">
        <f t="shared" si="18"/>
        <v/>
      </c>
      <c r="CA212" s="108" t="str">
        <f t="shared" si="19"/>
        <v/>
      </c>
      <c r="CB212" s="108" t="str">
        <f t="shared" si="20"/>
        <v/>
      </c>
      <c r="CC212" s="109" t="str">
        <f t="shared" si="21"/>
        <v/>
      </c>
      <c r="CD212" s="108" t="str">
        <f t="shared" si="22"/>
        <v/>
      </c>
      <c r="CE212" s="108" t="str">
        <f t="shared" si="23"/>
        <v/>
      </c>
      <c r="CF212" s="109" t="str">
        <f t="shared" si="24"/>
        <v/>
      </c>
      <c r="CG212" s="110" t="str">
        <f t="shared" si="25"/>
        <v/>
      </c>
      <c r="CH212" s="111"/>
    </row>
    <row r="213" spans="1:86" ht="12.75">
      <c r="A213" s="101"/>
      <c r="B213" s="102" t="e">
        <f t="array" aca="1" ref="B213" ca="1">_xludf.XLOOKUP(A213,'QA Log'!D:D,'QA Log'!E:E,"")</f>
        <v>#NAME?</v>
      </c>
      <c r="C213" s="102" t="e">
        <f t="array" aca="1" ref="C213" ca="1">_xludf.XLOOKUP(A213,'QA Log'!D:D,'QA Log'!F:F,"")</f>
        <v>#NAME?</v>
      </c>
      <c r="D213" s="102" t="e">
        <f t="array" aca="1" ref="D213" ca="1">_xludf.XLOOKUP(A213,'QA Log'!D:D,'QA Log'!H:H,"")</f>
        <v>#NAME?</v>
      </c>
      <c r="E213" s="102" t="e">
        <f t="array" aca="1" ref="E213" ca="1">_xludf.XLOOKUP(A213,'QA Log'!D:D,'QA Log'!G:G,"")</f>
        <v>#NAME?</v>
      </c>
      <c r="F213" s="103"/>
      <c r="G213" s="104"/>
      <c r="H213" s="104"/>
      <c r="I213" s="103" t="str">
        <f t="shared" si="0"/>
        <v/>
      </c>
      <c r="J213" s="102" t="str">
        <f>IF(A213="","",SUM(
COUNTIFS('QA Log'!D:D,A213,'QA Log'!M:M,"QQC",'QA Log'!L:L,"*1. General Management*"),
COUNTIFS('QA Log'!D:D,A213,'QA Log'!M:M,"QQC",'QA Log'!L:L,"*3. Curative Consultation (OPD)*"),
COUNTIFS('QA Log'!D:D,A213,'QA Log'!M:M,"QQC",'QA Log'!L:L,"*5. Laboratory*"),
COUNTIFS('QA Log'!D:D,A213,'QA Log'!M:M,"QQC",'QA Log'!L:L,"*6. Essential Medicine Management*"),
COUNTIFS('QA Log'!D:D,A213,'QA Log'!M:M,"QQC",'QA Log'!L:L,"*7. Tracer Medicine*"),
COUNTIFS('QA Log'!D:D,A213,'QA Log'!M:M,"QQC",'QA Log'!L:L,"*11. Additional Questions*")))</f>
        <v/>
      </c>
      <c r="K213" s="102" t="str">
        <f>IF(A213="","",SUM(
COUNTIFS('QA Log'!D:D,A213,'QA Log'!M:M,"QQC",'QA Log'!Z:Z,"Approved",'QA Log'!L:L,"*1. General Management*"),
COUNTIFS('QA Log'!D:D,A213,'QA Log'!M:M,"QQC",'QA Log'!Z:Z,"Approved",'QA Log'!L:L,"*3. Curative Consultation (OPD)*"),
COUNTIFS('QA Log'!D:D,A213,'QA Log'!M:M,"QQC",'QA Log'!Z:Z,"Approved",'QA Log'!L:L,"*5. Laboratory*"),
COUNTIFS('QA Log'!D:D,A213,'QA Log'!M:M,"QQC",'QA Log'!Z:Z,"Approved",'QA Log'!L:L,"*6. Essential Medicine Management*"),
COUNTIFS('QA Log'!D:D,A213,'QA Log'!M:M,"QQC",'QA Log'!Z:Z,"Approved",'QA Log'!L:L,"*7. Tracer Medicine*"),
COUNTIFS('QA Log'!D:D,A213,'QA Log'!M:M,"QQC",'QA Log'!Z:Z,"Approved",'QA Log'!L:L,"*11. Additional Questions*")))</f>
        <v/>
      </c>
      <c r="L213" s="105" t="str">
        <f>IF(A213&lt;&gt;"",COUNTIFS('QA Log'!D:D,A213,'QA Log'!M:M,"QQC",'QA Log'!L:L,"1. General Management",'QA Log'!Z:Z,"Approved"),"")</f>
        <v/>
      </c>
      <c r="M213" s="105" t="str">
        <f>IF(A213&lt;&gt;"",COUNTIFS('QA Log'!D:D,A213,'QA Log'!M:M,"QQC",'QA Log'!L:L,"3. Curative Consultation (OPD)",'QA Log'!Z:Z,"Approved"),"")</f>
        <v/>
      </c>
      <c r="N213" s="105" t="str">
        <f>IF(A213&lt;&gt;"",COUNTIFS('QA Log'!D:D,A213,'QA Log'!M:M,"QQC",'QA Log'!L:L,"5. Laboratory",'QA Log'!Z:Z,"Approved"),"")</f>
        <v/>
      </c>
      <c r="O213" s="105" t="str">
        <f>IF(A213&lt;&gt;"",COUNTIFS('QA Log'!D:D,A213,'QA Log'!M:M,"QQC",'QA Log'!L:L,"6. Essential Medicine Management",'QA Log'!Z:Z,"Approved"),"")</f>
        <v/>
      </c>
      <c r="P213" s="105" t="str">
        <f>IF(A213&lt;&gt;"",COUNTIFS('QA Log'!D:D,A213,'QA Log'!M:M,"QQC",'QA Log'!L:L,"7. Tracer Medicine",'QA Log'!Z:Z,"Approved"),"")</f>
        <v/>
      </c>
      <c r="Q213" s="105" t="str">
        <f>IF(A213&lt;&gt;"",COUNTIFS('QA Log'!D:D,A213,'QA Log'!M:M,"QQC",'QA Log'!L:L,"11. Additional Questions",'QA Log'!Z:Z,"Approved"),"")</f>
        <v/>
      </c>
      <c r="R213" s="102" t="str">
        <f>IF(A213="","",SUM(
COUNTIFS('QA Log'!D:D,A213,'QA Log'!M:M,"QQC",'QA Log'!Z:Z,"Rejected",'QA Log'!L:L,"*8. Maternity*"),
COUNTIFS('QA Log'!D:D,A213,'QA Log'!M:M,"QQC",'QA Log'!Z:Z,"Rejected",'QA Log'!L:L,"*EPI*"),
COUNTIFS('QA Log'!D:D,A213,'QA Log'!M:M,"QQC",'QA Log'!Z:Z,"Rejected",'QA Log'!L:L,"*10. Antenatal Care (ANC)*"),
COUNTIFS('QA Log'!D:D,A213,'QA Log'!M:M,"QQC",'QA Log'!Z:Z,"Rejected",'QA Log'!L:L,"*2. Hygiene and Sterilization*"),
COUNTIFS('QA Log'!D:D,A213,'QA Log'!M:M,"QQC",'QA Log'!Z:Z,"Rejected",'QA Log'!L:L,"*Family Planning*")))</f>
        <v/>
      </c>
      <c r="S213" s="106" t="str">
        <f t="shared" si="1"/>
        <v/>
      </c>
      <c r="T213" s="102" t="str">
        <f t="shared" si="2"/>
        <v/>
      </c>
      <c r="U213" s="102" t="str">
        <f>IF(A213="","",
SUM(
COUNTIFS('QA Log'!D:D,A213,'QA Log'!M:M,"QQC",'QA Log'!L:L,"*8. Maternity*"),
COUNTIFS('QA Log'!D:D,A213,'QA Log'!M:M,"QQC",'QA Log'!L:L,"*9. EPI and Pre-school Consultation*"),
COUNTIFS('QA Log'!D:D,A213,'QA Log'!M:M,"QQC",'QA Log'!L:L,"*10. Antenatal Care (ANC)*"),
COUNTIFS('QA Log'!D:D,A213,'QA Log'!M:M,"QQC",'QA Log'!L:L,"*2. Hygiene and Sterilization*"),
COUNTIFS('QA Log'!D:D,A213,'QA Log'!M:M,"QQC",'QA Log'!L:L,"*4. Family Planning*")
))</f>
        <v/>
      </c>
      <c r="V213" s="102" t="str">
        <f>IF(A213="","",
SUM(
COUNTIFS('QA Log'!D:D,A213,'QA Log'!M:M,"QQC",'QA Log'!Z:Z,"Approved",'QA Log'!L:L,"*8. Maternity*"),
COUNTIFS('QA Log'!D:D,A213,'QA Log'!M:M,"QQC",'QA Log'!Z:Z,"Approved",'QA Log'!L:L,"*9. EPI and Pre-school Consultation*"),
COUNTIFS('QA Log'!D:D,A213,'QA Log'!M:M,"QQC",'QA Log'!Z:Z,"Approved",'QA Log'!L:L,"*10. Antenatal Care (ANC)*"),
COUNTIFS('QA Log'!D:D,A213,'QA Log'!M:M,"QQC",'QA Log'!Z:Z,"Approved",'QA Log'!L:L,"*2. Hygiene and Sterilization*"),
COUNTIFS('QA Log'!D:D,A213,'QA Log'!M:M,"QQC",'QA Log'!Z:Z,"Approved",'QA Log'!L:L,"*4. Family Planning*")
))</f>
        <v/>
      </c>
      <c r="W213" s="105" t="str">
        <f>IF(A213&lt;&gt;"",COUNTIFS('QA Log'!D:D,A213,'QA Log'!M:M,"QQC",'QA Log'!L:L,"8. Maternity",'QA Log'!Z:Z,"Approved"),"")</f>
        <v/>
      </c>
      <c r="X213" s="105" t="str">
        <f>IF(A213&lt;&gt;"",COUNTIFS('QA Log'!D:D,A213,'QA Log'!M:M,"QQC",'QA Log'!L:L,"9. EPI and Pre-school Consultation",'QA Log'!Z:Z,"Approved"),"")</f>
        <v/>
      </c>
      <c r="Y213" s="105" t="str">
        <f>IF(A213&lt;&gt;"",COUNTIFS('QA Log'!D:D,A213,'QA Log'!M:M,"QQC",'QA Log'!L:L,"10. Antenatal Care (ANC)",'QA Log'!Z:Z,"Approved"),"")</f>
        <v/>
      </c>
      <c r="Z213" s="105" t="str">
        <f>IF(A213&lt;&gt;"",COUNTIFS('QA Log'!D:D,A213,'QA Log'!M:M,"QQC",'QA Log'!L:L,"2. Hygiene and Sterilization",'QA Log'!Z:Z,"Approved"),"")</f>
        <v/>
      </c>
      <c r="AA213" s="105" t="str">
        <f>IF(A213&lt;&gt;"",COUNTIFS('QA Log'!D:D,A213,'QA Log'!M:M,"QQC",'QA Log'!L:L,"4. Family Planning",'QA Log'!Z:Z,"Approved"),"")</f>
        <v/>
      </c>
      <c r="AB213" s="102" t="str">
        <f>IF(A213="","",
SUM(
COUNTIFS('QA Log'!D:D,A213,'QA Log'!M:M,"QQC",'QA Log'!Z:Z,"Rejected",'QA Log'!L:L,"*8. Maternity*"),
COUNTIFS('QA Log'!D:D,A213,'QA Log'!M:M,"QQC",'QA Log'!Z:Z,"Rejected",'QA Log'!L:L,"*9. EPI and Pre-school Consultation*"),
COUNTIFS('QA Log'!D:D,A213,'QA Log'!M:M,"QQC",'QA Log'!Z:Z,"Rejected",'QA Log'!L:L,"*10. Antenatal Care (ANC)*"),
COUNTIFS('QA Log'!D:D,A213,'QA Log'!M:M,"QQC",'QA Log'!Z:Z,"Rejected",'QA Log'!L:L,"*2. Hygiene and Sterilization*"),
COUNTIFS('QA Log'!D:D,A213,'QA Log'!M:M,"QQC",'QA Log'!Z:Z,"Rejected",'QA Log'!L:L,"*4. Family Planning*")
))</f>
        <v/>
      </c>
      <c r="AC213" s="102" t="str">
        <f t="shared" si="3"/>
        <v/>
      </c>
      <c r="AD213" s="103" t="str">
        <f t="shared" si="4"/>
        <v/>
      </c>
      <c r="AE213" s="102" t="str">
        <f>IF(A213="","",
SUM(
COUNTIFS('QA Log'!D:D,A213,'QA Log'!M:M,"Data Verification",'QA Log'!L:L,"*Medicine (section 2)*"),
COUNTIFS('QA Log'!D:D,A213,'QA Log'!M:M,"Data Verification",'QA Log'!L:L,"*Lab Testing Availability*"),
COUNTIFS('QA Log'!D:D,A213,'QA Log'!M:M,"Data Verification",'QA Log'!L:L,"*Other than P4P (section 6)*"),
COUNTIFS('QA Log'!D:D,A213,'QA Log'!M:M,"Data Verification",'QA Log'!L:L,"*Hospital Governance*")
))</f>
        <v/>
      </c>
      <c r="AF213" s="102" t="str">
        <f>IF(A213="","",
SUM(
COUNTIFS('QA Log'!D:D,A213,'QA Log'!M:M,"Data Verification",'QA Log'!Z:Z,"Approved",'QA Log'!L:L,"*Medicine (section 2)*"),
COUNTIFS('QA Log'!D:D,A213,'QA Log'!M:M,"Data Verification",'QA Log'!Z:Z,"Approved",'QA Log'!L:L,"*Lab Testing Availability*"),
COUNTIFS('QA Log'!D:D,A213,'QA Log'!M:M,"Data Verification",'QA Log'!Z:Z,"Approved",'QA Log'!L:L,"*Other than P4P (section 6)*"),
COUNTIFS('QA Log'!D:D,A213,'QA Log'!M:M,"Data Verification",'QA Log'!Z:Z,"Approved",'QA Log'!L:L,"*Hospital Governance*")
))</f>
        <v/>
      </c>
      <c r="AG213" s="105" t="str">
        <f>IF(A213&lt;&gt;"",COUNTIFS('QA Log'!D:D,A213,'QA Log'!M:M,"Data Verification",'QA Log'!L:L,"Medicine (section 2)",'QA Log'!Z:Z,"Approved"),"")</f>
        <v/>
      </c>
      <c r="AH213" s="105" t="str">
        <f>IF(A213&lt;&gt;"",COUNTIFS('QA Log'!D:D,A213,'QA Log'!M:M,"Data Verification",'QA Log'!L:L,"Lab Testing Availability",'QA Log'!Z:Z,"Approved"),"")</f>
        <v/>
      </c>
      <c r="AI213" s="105" t="str">
        <f>IF(A213&lt;&gt;"",COUNTIFS('QA Log'!D:D,A213,'QA Log'!M:M,"Data Verification",'QA Log'!L:L,"Other than P4P (section 6)",'QA Log'!Z:Z,"Approved"),"")</f>
        <v/>
      </c>
      <c r="AJ213" s="105" t="str">
        <f>IF(A213&lt;&gt;"",COUNTIFS('QA Log'!D:D,A213,'QA Log'!M:M,"Data Verification",'QA Log'!L:L,"Hospital Governance",'QA Log'!Z:Z,"Approved"),"")</f>
        <v/>
      </c>
      <c r="AK213" s="102" t="str">
        <f>IF(A213="","",
SUM(
COUNTIFS('QA Log'!D:D,A213,'QA Log'!M:M,"Data Verification",'QA Log'!Z:Z,"Rejected",'QA Log'!L:L,"*Medicine (section 2)*"),
COUNTIFS('QA Log'!D:D,A213,'QA Log'!M:M,"Data Verification",'QA Log'!Z:Z,"Rejected",'QA Log'!L:L,"*Lab Testing Availability*"),
COUNTIFS('QA Log'!D:D,A213,'QA Log'!M:M,"Data Verification",'QA Log'!Z:Z,"Rejected",'QA Log'!L:L,"*Other than P4P (section 6)*"),
COUNTIFS('QA Log'!D:D,A213,'QA Log'!M:M,"Data Verification",'QA Log'!Z:Z,"Rejected",'QA Log'!L:L,"*Hospital Governance*")
))</f>
        <v/>
      </c>
      <c r="AL213" s="106" t="str">
        <f t="shared" si="5"/>
        <v/>
      </c>
      <c r="AM213" s="102" t="str">
        <f t="shared" si="6"/>
        <v/>
      </c>
      <c r="AN213" s="102" t="str">
        <f>IF(A213="","",
SUM(
COUNTIFS('QA Log'!D:D,A213,'QA Log'!M:M,"Data Verification",'QA Log'!L:L,"*Personnel (section 1)*"),
COUNTIFS('QA Log'!D:D,A213,'QA Log'!M:M,"Data Verification",'QA Log'!L:L,"*Consumable (section 3)*"),
COUNTIFS('QA Log'!D:D,A213,'QA Log'!M:M,"Data Verification",'QA Log'!L:L,"*Equipments (section 4)*")
))</f>
        <v/>
      </c>
      <c r="AO213" s="102" t="str">
        <f>IF(A213="","",
SUM(
COUNTIFS('QA Log'!D:D,A213,'QA Log'!M:M,"Data Verification",'QA Log'!Z:Z,"Approved",'QA Log'!L:L,"*Personnel (section 1)*"),
COUNTIFS('QA Log'!D:D,A213,'QA Log'!M:M,"Data Verification",'QA Log'!Z:Z,"Approved",'QA Log'!L:L,"*Consumable (section 3)*"),
COUNTIFS('QA Log'!D:D,A213,'QA Log'!M:M,"Data Verification",'QA Log'!Z:Z,"Approved",'QA Log'!L:L,"*Equipments (section 4)*")
))</f>
        <v/>
      </c>
      <c r="AP213" s="105" t="str">
        <f>IF(A213&lt;&gt;"",COUNTIFS('QA Log'!D:D,A213,'QA Log'!M:M,"Data Verification",'QA Log'!L:L,"Personnel (section 1)",'QA Log'!Z:Z,"Approved"),"")</f>
        <v/>
      </c>
      <c r="AQ213" s="105" t="str">
        <f>IF(A213&lt;&gt;"",COUNTIFS('QA Log'!D:D,A213,'QA Log'!M:M,"Data Verification",'QA Log'!L:L,"Consumable (section 3)",'QA Log'!Z:Z,"Approved"),"")</f>
        <v/>
      </c>
      <c r="AR213" s="105" t="str">
        <f>IF(A213&lt;&gt;"",COUNTIFS('QA Log'!D:D,A213,'QA Log'!M:M,"Data Verification",'QA Log'!L:L,"Equipments (section 4)",'QA Log'!Z:Z,"Approved"),"")</f>
        <v/>
      </c>
      <c r="AS213" s="102" t="str">
        <f>IF(A213="","",
SUM(
COUNTIFS('QA Log'!D:D,A213,'QA Log'!M:M,"Data Verification",'QA Log'!Z:Z,"Rejected",'QA Log'!L:L,"*Personnel (section 1)*"),
COUNTIFS('QA Log'!D:D,A213,'QA Log'!M:M,"Data Verification",'QA Log'!Z:Z,"Rejected",'QA Log'!L:L,"*Consumable (section 3)*"),
COUNTIFS('QA Log'!D:D,A213,'QA Log'!M:M,"Data Verification",'QA Log'!Z:Z,"Rejected",'QA Log'!L:L,"*Equipments (section 4)*")
))</f>
        <v/>
      </c>
      <c r="AT213" s="102" t="str">
        <f t="shared" si="7"/>
        <v/>
      </c>
      <c r="AU213" s="103" t="str">
        <f t="shared" si="8"/>
        <v/>
      </c>
      <c r="AV213" s="102" t="str">
        <f>IF(A213="","",SUM(
COUNTIFS('QA Log'!D:D,A213,'QA Log'!M:M,"Vignette",'QA Log'!L:L,"*Vignette [1] Respiratory Infection: Pneumonia*"),
COUNTIFS('QA Log'!D:D,A213,'QA Log'!M:M,"Vignette",'QA Log'!L:L,"*Vignette [2]: Diarrhea with Cat B dehydration*"),
COUNTIFS('QA Log'!D:D,A213,'QA Log'!M:M,"Vignette",'QA Log'!L:L,"*Vignette [3] Growth Monitoring and Promotion*"),
COUNTIFS('QA Log'!D:D,A213,'QA Log'!M:M,"Vignette",'QA Log'!L:L,"*Vignette [4]: The management of presumptive TB patient*")
)
)</f>
        <v/>
      </c>
      <c r="AW213" s="102" t="str">
        <f>IF(
  A213="","",
  SUM(
    COUNTIFS('QA Log'!D:D,A213,'QA Log'!M:M,"Vignette",'QA Log'!Z:Z,"Approved",'QA Log'!L:L,"*Vignette [1] Respiratory Infection: Pneumonia*"),
    COUNTIFS('QA Log'!D:D,A213,'QA Log'!M:M,"Vignette",'QA Log'!Z:Z,"Approved",'QA Log'!L:L,"*Vignette [2]: Diarrhea with Cat B dehydration*"),
    COUNTIFS('QA Log'!D:D,A213,'QA Log'!M:M,"Vignette",'QA Log'!Z:Z,"Approved",'QA Log'!L:L,"*Vignette [3] Growth Monitoring and Promotion*"),
    COUNTIFS('QA Log'!D:D,A213,'QA Log'!M:M,"Vignette",'QA Log'!Z:Z,"Approved",'QA Log'!L:L,"*Vignette [4]: The management of presumptive TB patient*")
  )
)</f>
        <v/>
      </c>
      <c r="AX213" s="105" t="str">
        <f>IF(A213&lt;&gt;"",COUNTIFS('QA Log'!D:D,A213,'QA Log'!M:M,"Vignette",'QA Log'!L:L,"Vignette [1] Respiratory Infection: Pneumonia",'QA Log'!Z:Z,"Approved"),"")</f>
        <v/>
      </c>
      <c r="AY213" s="105" t="str">
        <f>IF(A213&lt;&gt;"",COUNTIFS('QA Log'!D:D,A213,'QA Log'!M:M,"Vignette",'QA Log'!L:L,"Vignette [2]: Diarrhea with Cat B dehydration",'QA Log'!Z:Z,"Approved"),"")</f>
        <v/>
      </c>
      <c r="AZ213" s="105" t="str">
        <f>IF(A213&lt;&gt;"",COUNTIFS('QA Log'!D:D,A213,'QA Log'!M:M,"Vignette",'QA Log'!L:L,"Vignette [3] Growth Monitoring and Promotion",'QA Log'!Z:Z,"Approved"),"")</f>
        <v/>
      </c>
      <c r="BA213" s="105" t="str">
        <f>IF(A213&lt;&gt;"",COUNTIFS('QA Log'!D:D,A213,'QA Log'!M:M,"Vignette",'QA Log'!L:L,"Vignette [4]: The management of presumptive TB patient",'QA Log'!Z:Z,"Approved"),"")</f>
        <v/>
      </c>
      <c r="BB213" s="102" t="str">
        <f>IF(A213="","",
  SUM(
    COUNTIFS('QA Log'!D:D,A213,'QA Log'!M:M,"Vignette",'QA Log'!Z:Z,"Rejected",'QA Log'!L:L,"*Vignette [1] Respiratory Infection: Pneumonia*"),
    COUNTIFS('QA Log'!D:D,A213,'QA Log'!M:M,"Vignette",'QA Log'!Z:Z,"Rejected",'QA Log'!L:L,"*Vignette [2]: Diarrhea with Cat B dehydration*"),
    COUNTIFS('QA Log'!D:D,A213,'QA Log'!M:M,"Vignette",'QA Log'!Z:Z,"Rejected",'QA Log'!L:L,"*Vignette [3] Growth Monitoring and Promotion*"),
    COUNTIFS('QA Log'!D:D,A213,'QA Log'!M:M,"Vignette",'QA Log'!Z:Z,"Rejected",'QA Log'!L:L,"*Vignette [4]: The management of presumptive TB patient*")
  )
)</f>
        <v/>
      </c>
      <c r="BC213" s="107" t="str">
        <f t="shared" si="9"/>
        <v/>
      </c>
      <c r="BD213" s="103" t="str">
        <f t="shared" si="10"/>
        <v/>
      </c>
      <c r="BE213" s="102" t="str">
        <f>IF(A213="","",SUM(
COUNTIFS('QA Log'!D:D,A213,'QA Log'!M:M,"Vignette",'QA Log'!L:L,"*Vignette [5] Labor*"),
COUNTIFS('QA Log'!D:D,A213,'QA Log'!M:M,"Vignette",'QA Log'!L:L,"*Vignette [6] PNC pre Discharge*"),
COUNTIFS('QA Log'!D:D,A213,'QA Log'!M:M,"Vignette",'QA Log'!L:L,"*Vignette [7] First ANC Visit*"),
COUNTIFS('QA Log'!D:D,A213,'QA Log'!M:M,"Vignette",'QA Log'!L:L,"*Vignette [8] Birth Spacing/ Family Planning :  FP Counselling*"),
COUNTIFS('QA Log'!D:D,A213,'QA Log'!M:M,"Vignette",'QA Log'!L:L,"*Vignette [9] Birth Spacing: Change FP method to Injectable*"),
COUNTIFS('QA Log'!D:D,A213,'QA Log'!M:M,"Vignette",'QA Log'!L:L,"*Vignette [10] Post Partum Haemorrhage - Atonic Uterus at Health Centre*"),
)
)</f>
        <v/>
      </c>
      <c r="BF213" s="102" t="str">
        <f>IF(A213="","",
  SUM(
    COUNTIFS('QA Log'!D:D,A213,'QA Log'!M:M,"Vignette",'QA Log'!Z:Z,"Approved",'QA Log'!L:L,"*Vignette [5] Labor*"),
    COUNTIFS('QA Log'!D:D,A213,'QA Log'!M:M,"Vignette",'QA Log'!Z:Z,"Approved",'QA Log'!L:L,"*Vignette [6] PNC pre Discharge*"),
    COUNTIFS('QA Log'!D:D,A213,'QA Log'!M:M,"Vignette",'QA Log'!Z:Z,"Approved",'QA Log'!L:L,"*Vignette [7] First ANC Visit*"),
    COUNTIFS('QA Log'!D:D,A213,'QA Log'!M:M,"Vignette",'QA Log'!Z:Z,"Approved",'QA Log'!L:L,"*Vignette [8] Birth Spacing/ Family Planning :  FP Counselling*"),
    COUNTIFS('QA Log'!D:D,A213,'QA Log'!M:M,"Vignette",'QA Log'!Z:Z,"Approved",'QA Log'!L:L,"*Vignette [9] Birth Spacing: Change FP method to Injectable*"),
    COUNTIFS('QA Log'!D:D,A213,'QA Log'!M:M,"Vignette",'QA Log'!Z:Z,"Approved",'QA Log'!L:L,"*Vignette [10] Post Partum Haemorrhage - Atonic Uterus at Health Centre*")
  )
)</f>
        <v/>
      </c>
      <c r="BG213" s="105" t="str">
        <f>IF(A213&lt;&gt;"",COUNTIFS('QA Log'!D:D,A213,'QA Log'!M:M,"Vignette",'QA Log'!L:L,"Vignette [5] Labor",'QA Log'!Z:Z,"Approved"),"")</f>
        <v/>
      </c>
      <c r="BH213" s="105" t="str">
        <f>IF(A213&lt;&gt;"",COUNTIFS('QA Log'!D:D,A213,'QA Log'!M:M,"Vignette",'QA Log'!L:L,"Vignette [6] PNC pre Discharge",'QA Log'!Z:Z,"Approved"),"")</f>
        <v/>
      </c>
      <c r="BI213" s="105" t="str">
        <f>IF(A213&lt;&gt;"",COUNTIFS('QA Log'!D:D,A213,'QA Log'!M:M,"Vignette",'QA Log'!L:L,"Vignette [7] First ANC Visit",'QA Log'!Z:Z,"Approved"),"")</f>
        <v/>
      </c>
      <c r="BJ213" s="105" t="str">
        <f>IF(A213&lt;&gt;"",COUNTIFS('QA Log'!D:D,A213,'QA Log'!M:M,"Vignette",'QA Log'!L:L,"Vignette [8] Birth Spacing/ Family Planning :  FP Counselling",'QA Log'!Z:Z,"Approved"),"")</f>
        <v/>
      </c>
      <c r="BK213" s="105" t="str">
        <f>IF(A213&lt;&gt;"",COUNTIFS('QA Log'!D:D,A213,'QA Log'!M:M,"Vignette",'QA Log'!L:L,"Vignette [9] Birth Spacing: Change FP method to Injectable",'QA Log'!Z:Z,"Approved"),"")</f>
        <v/>
      </c>
      <c r="BL213" s="105" t="str">
        <f>IF(A213&lt;&gt;"",COUNTIFS('QA Log'!D:D,A213,'QA Log'!M:M,"Vignette",'QA Log'!L:L,"Vignette [10] Post Partum Haemorrhage - Atonic Uterus at Health Centre",'QA Log'!Z:Z,"Approved"),"")</f>
        <v/>
      </c>
      <c r="BM213" s="102" t="str">
        <f>IF(A213="","",SUM(
    COUNTIFS('QA Log'!D:D,A213,'QA Log'!M:M,"Vignette",'QA Log'!Z:Z,"Rejected",'QA Log'!L:L,"*Vignette [5] Labor*"),
    COUNTIFS('QA Log'!D:D,A213,'QA Log'!M:M,"Vignette",'QA Log'!Z:Z,"Rejected",'QA Log'!L:L,"*Vignette [6] PNC pre Discharge*"),
    COUNTIFS('QA Log'!D:D,A213,'QA Log'!M:M,"Vignette",'QA Log'!Z:Z,"Rejected",'QA Log'!L:L,"*Vignette [7] First ANC Visit*"),
    COUNTIFS('QA Log'!D:D,A213,'QA Log'!M:M,"Vignette",'QA Log'!Z:Z,"Rejected",'QA Log'!L:L,"*Vignette [8] Birth Spacing/ Family Planning :  FP Counselling*"),
    COUNTIFS('QA Log'!D:D,A213,'QA Log'!M:M,"Vignette",'QA Log'!Z:Z,"Rejected",'QA Log'!L:L,"*Vignette [9] Birth Spacing: Change FP method to Injectable*"),
    COUNTIFS('QA Log'!D:D,A213,'QA Log'!M:M,"Vignette",'QA Log'!Z:Z,"Rejected",'QA Log'!L:L,"*Vignette [10] Post Partum Haemorrhage - Atonic Uterus at Health Centre*")
  )
)</f>
        <v/>
      </c>
      <c r="BN213" s="107" t="str">
        <f t="shared" si="11"/>
        <v/>
      </c>
      <c r="BO213" s="103" t="str">
        <f t="shared" si="12"/>
        <v/>
      </c>
      <c r="BP213" s="102" t="str">
        <f>IF(A213="","",SUM(
COUNTIFS('QA Log'!D:D,A213,'QA Log'!M:M,"Vignette",'QA Log'!L:L,"*Exit Interview 1*"),
COUNTIFS('QA Log'!D:D,A213,'QA Log'!M:M,"Vignette",'QA Log'!L:L,"*Exit Interview 2*"),
)
)</f>
        <v/>
      </c>
      <c r="BQ213" s="102" t="str">
        <f>IF(
  A213="","",
  SUM(
    COUNTIFS('QA Log'!D:D,A213,'QA Log'!M:M,"Vignette",'QA Log'!Z:Z,"Approved",'QA Log'!L:L,"*Exit Interview 1*"),
    COUNTIFS('QA Log'!D:D,A213,'QA Log'!M:M,"Vignette",'QA Log'!Z:Z,"Approved",'QA Log'!L:L,"*Exit Interview 2*")
  )
)</f>
        <v/>
      </c>
      <c r="BR213" s="105" t="str">
        <f>IF(A213&lt;&gt;"",COUNTIFS('QA Log'!D:D,A213,'QA Log'!M:M,"Vignette",'QA Log'!L:L,"Exit Interview 1",'QA Log'!Z:Z,"Approved"),"")</f>
        <v/>
      </c>
      <c r="BS213" s="105" t="str">
        <f>IF(A213&lt;&gt;"",COUNTIFS('QA Log'!D:D,A213,'QA Log'!M:M,"Vignette",'QA Log'!L:L,"Exit Interview 2",'QA Log'!Z:Z,"Approved"),"")</f>
        <v/>
      </c>
      <c r="BT213" s="102" t="str">
        <f>IF(
  A213="","",
  SUM(
    COUNTIFS('QA Log'!D:D,A213,'QA Log'!M:M,"Vignette",'QA Log'!Z:Z,"Rejected",'QA Log'!L:L,"*Exit Interview 1*"),
    COUNTIFS('QA Log'!D:D,A213,'QA Log'!M:M,"Vignette",'QA Log'!Z:Z,"Rejected",'QA Log'!L:L,"*Exit Interview 2*")
  )
)</f>
        <v/>
      </c>
      <c r="BU213" s="107" t="str">
        <f t="shared" si="13"/>
        <v/>
      </c>
      <c r="BV213" s="102" t="str">
        <f t="shared" si="14"/>
        <v/>
      </c>
      <c r="BW213" s="102" t="str">
        <f t="shared" si="15"/>
        <v/>
      </c>
      <c r="BX213" s="102" t="str">
        <f t="shared" si="16"/>
        <v/>
      </c>
      <c r="BY213" s="102" t="str">
        <f t="shared" si="17"/>
        <v/>
      </c>
      <c r="BZ213" s="107" t="str">
        <f t="shared" si="18"/>
        <v/>
      </c>
      <c r="CA213" s="108" t="str">
        <f t="shared" si="19"/>
        <v/>
      </c>
      <c r="CB213" s="108" t="str">
        <f t="shared" si="20"/>
        <v/>
      </c>
      <c r="CC213" s="109" t="str">
        <f t="shared" si="21"/>
        <v/>
      </c>
      <c r="CD213" s="108" t="str">
        <f t="shared" si="22"/>
        <v/>
      </c>
      <c r="CE213" s="108" t="str">
        <f t="shared" si="23"/>
        <v/>
      </c>
      <c r="CF213" s="109" t="str">
        <f t="shared" si="24"/>
        <v/>
      </c>
      <c r="CG213" s="110" t="str">
        <f t="shared" si="25"/>
        <v/>
      </c>
      <c r="CH213" s="111"/>
    </row>
    <row r="214" spans="1:86" ht="12.75">
      <c r="A214" s="101"/>
      <c r="B214" s="102" t="e">
        <f t="array" aca="1" ref="B214" ca="1">_xludf.XLOOKUP(A214,'QA Log'!D:D,'QA Log'!E:E,"")</f>
        <v>#NAME?</v>
      </c>
      <c r="C214" s="102" t="e">
        <f t="array" aca="1" ref="C214" ca="1">_xludf.XLOOKUP(A214,'QA Log'!D:D,'QA Log'!F:F,"")</f>
        <v>#NAME?</v>
      </c>
      <c r="D214" s="102" t="e">
        <f t="array" aca="1" ref="D214" ca="1">_xludf.XLOOKUP(A214,'QA Log'!D:D,'QA Log'!H:H,"")</f>
        <v>#NAME?</v>
      </c>
      <c r="E214" s="102" t="e">
        <f t="array" aca="1" ref="E214" ca="1">_xludf.XLOOKUP(A214,'QA Log'!D:D,'QA Log'!G:G,"")</f>
        <v>#NAME?</v>
      </c>
      <c r="F214" s="103"/>
      <c r="G214" s="104"/>
      <c r="H214" s="104"/>
      <c r="I214" s="103" t="str">
        <f t="shared" si="0"/>
        <v/>
      </c>
      <c r="J214" s="102" t="str">
        <f>IF(A214="","",SUM(
COUNTIFS('QA Log'!D:D,A214,'QA Log'!M:M,"QQC",'QA Log'!L:L,"*1. General Management*"),
COUNTIFS('QA Log'!D:D,A214,'QA Log'!M:M,"QQC",'QA Log'!L:L,"*3. Curative Consultation (OPD)*"),
COUNTIFS('QA Log'!D:D,A214,'QA Log'!M:M,"QQC",'QA Log'!L:L,"*5. Laboratory*"),
COUNTIFS('QA Log'!D:D,A214,'QA Log'!M:M,"QQC",'QA Log'!L:L,"*6. Essential Medicine Management*"),
COUNTIFS('QA Log'!D:D,A214,'QA Log'!M:M,"QQC",'QA Log'!L:L,"*7. Tracer Medicine*"),
COUNTIFS('QA Log'!D:D,A214,'QA Log'!M:M,"QQC",'QA Log'!L:L,"*11. Additional Questions*")))</f>
        <v/>
      </c>
      <c r="K214" s="102" t="str">
        <f>IF(A214="","",SUM(
COUNTIFS('QA Log'!D:D,A214,'QA Log'!M:M,"QQC",'QA Log'!Z:Z,"Approved",'QA Log'!L:L,"*1. General Management*"),
COUNTIFS('QA Log'!D:D,A214,'QA Log'!M:M,"QQC",'QA Log'!Z:Z,"Approved",'QA Log'!L:L,"*3. Curative Consultation (OPD)*"),
COUNTIFS('QA Log'!D:D,A214,'QA Log'!M:M,"QQC",'QA Log'!Z:Z,"Approved",'QA Log'!L:L,"*5. Laboratory*"),
COUNTIFS('QA Log'!D:D,A214,'QA Log'!M:M,"QQC",'QA Log'!Z:Z,"Approved",'QA Log'!L:L,"*6. Essential Medicine Management*"),
COUNTIFS('QA Log'!D:D,A214,'QA Log'!M:M,"QQC",'QA Log'!Z:Z,"Approved",'QA Log'!L:L,"*7. Tracer Medicine*"),
COUNTIFS('QA Log'!D:D,A214,'QA Log'!M:M,"QQC",'QA Log'!Z:Z,"Approved",'QA Log'!L:L,"*11. Additional Questions*")))</f>
        <v/>
      </c>
      <c r="L214" s="105" t="str">
        <f>IF(A214&lt;&gt;"",COUNTIFS('QA Log'!D:D,A214,'QA Log'!M:M,"QQC",'QA Log'!L:L,"1. General Management",'QA Log'!Z:Z,"Approved"),"")</f>
        <v/>
      </c>
      <c r="M214" s="105" t="str">
        <f>IF(A214&lt;&gt;"",COUNTIFS('QA Log'!D:D,A214,'QA Log'!M:M,"QQC",'QA Log'!L:L,"3. Curative Consultation (OPD)",'QA Log'!Z:Z,"Approved"),"")</f>
        <v/>
      </c>
      <c r="N214" s="105" t="str">
        <f>IF(A214&lt;&gt;"",COUNTIFS('QA Log'!D:D,A214,'QA Log'!M:M,"QQC",'QA Log'!L:L,"5. Laboratory",'QA Log'!Z:Z,"Approved"),"")</f>
        <v/>
      </c>
      <c r="O214" s="105" t="str">
        <f>IF(A214&lt;&gt;"",COUNTIFS('QA Log'!D:D,A214,'QA Log'!M:M,"QQC",'QA Log'!L:L,"6. Essential Medicine Management",'QA Log'!Z:Z,"Approved"),"")</f>
        <v/>
      </c>
      <c r="P214" s="105" t="str">
        <f>IF(A214&lt;&gt;"",COUNTIFS('QA Log'!D:D,A214,'QA Log'!M:M,"QQC",'QA Log'!L:L,"7. Tracer Medicine",'QA Log'!Z:Z,"Approved"),"")</f>
        <v/>
      </c>
      <c r="Q214" s="105" t="str">
        <f>IF(A214&lt;&gt;"",COUNTIFS('QA Log'!D:D,A214,'QA Log'!M:M,"QQC",'QA Log'!L:L,"11. Additional Questions",'QA Log'!Z:Z,"Approved"),"")</f>
        <v/>
      </c>
      <c r="R214" s="102" t="str">
        <f>IF(A214="","",SUM(
COUNTIFS('QA Log'!D:D,A214,'QA Log'!M:M,"QQC",'QA Log'!Z:Z,"Rejected",'QA Log'!L:L,"*8. Maternity*"),
COUNTIFS('QA Log'!D:D,A214,'QA Log'!M:M,"QQC",'QA Log'!Z:Z,"Rejected",'QA Log'!L:L,"*EPI*"),
COUNTIFS('QA Log'!D:D,A214,'QA Log'!M:M,"QQC",'QA Log'!Z:Z,"Rejected",'QA Log'!L:L,"*10. Antenatal Care (ANC)*"),
COUNTIFS('QA Log'!D:D,A214,'QA Log'!M:M,"QQC",'QA Log'!Z:Z,"Rejected",'QA Log'!L:L,"*2. Hygiene and Sterilization*"),
COUNTIFS('QA Log'!D:D,A214,'QA Log'!M:M,"QQC",'QA Log'!Z:Z,"Rejected",'QA Log'!L:L,"*Family Planning*")))</f>
        <v/>
      </c>
      <c r="S214" s="106" t="str">
        <f t="shared" si="1"/>
        <v/>
      </c>
      <c r="T214" s="102" t="str">
        <f t="shared" si="2"/>
        <v/>
      </c>
      <c r="U214" s="102" t="str">
        <f>IF(A214="","",
SUM(
COUNTIFS('QA Log'!D:D,A214,'QA Log'!M:M,"QQC",'QA Log'!L:L,"*8. Maternity*"),
COUNTIFS('QA Log'!D:D,A214,'QA Log'!M:M,"QQC",'QA Log'!L:L,"*9. EPI and Pre-school Consultation*"),
COUNTIFS('QA Log'!D:D,A214,'QA Log'!M:M,"QQC",'QA Log'!L:L,"*10. Antenatal Care (ANC)*"),
COUNTIFS('QA Log'!D:D,A214,'QA Log'!M:M,"QQC",'QA Log'!L:L,"*2. Hygiene and Sterilization*"),
COUNTIFS('QA Log'!D:D,A214,'QA Log'!M:M,"QQC",'QA Log'!L:L,"*4. Family Planning*")
))</f>
        <v/>
      </c>
      <c r="V214" s="102" t="str">
        <f>IF(A214="","",
SUM(
COUNTIFS('QA Log'!D:D,A214,'QA Log'!M:M,"QQC",'QA Log'!Z:Z,"Approved",'QA Log'!L:L,"*8. Maternity*"),
COUNTIFS('QA Log'!D:D,A214,'QA Log'!M:M,"QQC",'QA Log'!Z:Z,"Approved",'QA Log'!L:L,"*9. EPI and Pre-school Consultation*"),
COUNTIFS('QA Log'!D:D,A214,'QA Log'!M:M,"QQC",'QA Log'!Z:Z,"Approved",'QA Log'!L:L,"*10. Antenatal Care (ANC)*"),
COUNTIFS('QA Log'!D:D,A214,'QA Log'!M:M,"QQC",'QA Log'!Z:Z,"Approved",'QA Log'!L:L,"*2. Hygiene and Sterilization*"),
COUNTIFS('QA Log'!D:D,A214,'QA Log'!M:M,"QQC",'QA Log'!Z:Z,"Approved",'QA Log'!L:L,"*4. Family Planning*")
))</f>
        <v/>
      </c>
      <c r="W214" s="105" t="str">
        <f>IF(A214&lt;&gt;"",COUNTIFS('QA Log'!D:D,A214,'QA Log'!M:M,"QQC",'QA Log'!L:L,"8. Maternity",'QA Log'!Z:Z,"Approved"),"")</f>
        <v/>
      </c>
      <c r="X214" s="105" t="str">
        <f>IF(A214&lt;&gt;"",COUNTIFS('QA Log'!D:D,A214,'QA Log'!M:M,"QQC",'QA Log'!L:L,"9. EPI and Pre-school Consultation",'QA Log'!Z:Z,"Approved"),"")</f>
        <v/>
      </c>
      <c r="Y214" s="105" t="str">
        <f>IF(A214&lt;&gt;"",COUNTIFS('QA Log'!D:D,A214,'QA Log'!M:M,"QQC",'QA Log'!L:L,"10. Antenatal Care (ANC)",'QA Log'!Z:Z,"Approved"),"")</f>
        <v/>
      </c>
      <c r="Z214" s="105" t="str">
        <f>IF(A214&lt;&gt;"",COUNTIFS('QA Log'!D:D,A214,'QA Log'!M:M,"QQC",'QA Log'!L:L,"2. Hygiene and Sterilization",'QA Log'!Z:Z,"Approved"),"")</f>
        <v/>
      </c>
      <c r="AA214" s="105" t="str">
        <f>IF(A214&lt;&gt;"",COUNTIFS('QA Log'!D:D,A214,'QA Log'!M:M,"QQC",'QA Log'!L:L,"4. Family Planning",'QA Log'!Z:Z,"Approved"),"")</f>
        <v/>
      </c>
      <c r="AB214" s="102" t="str">
        <f>IF(A214="","",
SUM(
COUNTIFS('QA Log'!D:D,A214,'QA Log'!M:M,"QQC",'QA Log'!Z:Z,"Rejected",'QA Log'!L:L,"*8. Maternity*"),
COUNTIFS('QA Log'!D:D,A214,'QA Log'!M:M,"QQC",'QA Log'!Z:Z,"Rejected",'QA Log'!L:L,"*9. EPI and Pre-school Consultation*"),
COUNTIFS('QA Log'!D:D,A214,'QA Log'!M:M,"QQC",'QA Log'!Z:Z,"Rejected",'QA Log'!L:L,"*10. Antenatal Care (ANC)*"),
COUNTIFS('QA Log'!D:D,A214,'QA Log'!M:M,"QQC",'QA Log'!Z:Z,"Rejected",'QA Log'!L:L,"*2. Hygiene and Sterilization*"),
COUNTIFS('QA Log'!D:D,A214,'QA Log'!M:M,"QQC",'QA Log'!Z:Z,"Rejected",'QA Log'!L:L,"*4. Family Planning*")
))</f>
        <v/>
      </c>
      <c r="AC214" s="102" t="str">
        <f t="shared" si="3"/>
        <v/>
      </c>
      <c r="AD214" s="103" t="str">
        <f t="shared" si="4"/>
        <v/>
      </c>
      <c r="AE214" s="102" t="str">
        <f>IF(A214="","",
SUM(
COUNTIFS('QA Log'!D:D,A214,'QA Log'!M:M,"Data Verification",'QA Log'!L:L,"*Medicine (section 2)*"),
COUNTIFS('QA Log'!D:D,A214,'QA Log'!M:M,"Data Verification",'QA Log'!L:L,"*Lab Testing Availability*"),
COUNTIFS('QA Log'!D:D,A214,'QA Log'!M:M,"Data Verification",'QA Log'!L:L,"*Other than P4P (section 6)*"),
COUNTIFS('QA Log'!D:D,A214,'QA Log'!M:M,"Data Verification",'QA Log'!L:L,"*Hospital Governance*")
))</f>
        <v/>
      </c>
      <c r="AF214" s="102" t="str">
        <f>IF(A214="","",
SUM(
COUNTIFS('QA Log'!D:D,A214,'QA Log'!M:M,"Data Verification",'QA Log'!Z:Z,"Approved",'QA Log'!L:L,"*Medicine (section 2)*"),
COUNTIFS('QA Log'!D:D,A214,'QA Log'!M:M,"Data Verification",'QA Log'!Z:Z,"Approved",'QA Log'!L:L,"*Lab Testing Availability*"),
COUNTIFS('QA Log'!D:D,A214,'QA Log'!M:M,"Data Verification",'QA Log'!Z:Z,"Approved",'QA Log'!L:L,"*Other than P4P (section 6)*"),
COUNTIFS('QA Log'!D:D,A214,'QA Log'!M:M,"Data Verification",'QA Log'!Z:Z,"Approved",'QA Log'!L:L,"*Hospital Governance*")
))</f>
        <v/>
      </c>
      <c r="AG214" s="105" t="str">
        <f>IF(A214&lt;&gt;"",COUNTIFS('QA Log'!D:D,A214,'QA Log'!M:M,"Data Verification",'QA Log'!L:L,"Medicine (section 2)",'QA Log'!Z:Z,"Approved"),"")</f>
        <v/>
      </c>
      <c r="AH214" s="105" t="str">
        <f>IF(A214&lt;&gt;"",COUNTIFS('QA Log'!D:D,A214,'QA Log'!M:M,"Data Verification",'QA Log'!L:L,"Lab Testing Availability",'QA Log'!Z:Z,"Approved"),"")</f>
        <v/>
      </c>
      <c r="AI214" s="105" t="str">
        <f>IF(A214&lt;&gt;"",COUNTIFS('QA Log'!D:D,A214,'QA Log'!M:M,"Data Verification",'QA Log'!L:L,"Other than P4P (section 6)",'QA Log'!Z:Z,"Approved"),"")</f>
        <v/>
      </c>
      <c r="AJ214" s="105" t="str">
        <f>IF(A214&lt;&gt;"",COUNTIFS('QA Log'!D:D,A214,'QA Log'!M:M,"Data Verification",'QA Log'!L:L,"Hospital Governance",'QA Log'!Z:Z,"Approved"),"")</f>
        <v/>
      </c>
      <c r="AK214" s="102" t="str">
        <f>IF(A214="","",
SUM(
COUNTIFS('QA Log'!D:D,A214,'QA Log'!M:M,"Data Verification",'QA Log'!Z:Z,"Rejected",'QA Log'!L:L,"*Medicine (section 2)*"),
COUNTIFS('QA Log'!D:D,A214,'QA Log'!M:M,"Data Verification",'QA Log'!Z:Z,"Rejected",'QA Log'!L:L,"*Lab Testing Availability*"),
COUNTIFS('QA Log'!D:D,A214,'QA Log'!M:M,"Data Verification",'QA Log'!Z:Z,"Rejected",'QA Log'!L:L,"*Other than P4P (section 6)*"),
COUNTIFS('QA Log'!D:D,A214,'QA Log'!M:M,"Data Verification",'QA Log'!Z:Z,"Rejected",'QA Log'!L:L,"*Hospital Governance*")
))</f>
        <v/>
      </c>
      <c r="AL214" s="106" t="str">
        <f t="shared" si="5"/>
        <v/>
      </c>
      <c r="AM214" s="102" t="str">
        <f t="shared" si="6"/>
        <v/>
      </c>
      <c r="AN214" s="102" t="str">
        <f>IF(A214="","",
SUM(
COUNTIFS('QA Log'!D:D,A214,'QA Log'!M:M,"Data Verification",'QA Log'!L:L,"*Personnel (section 1)*"),
COUNTIFS('QA Log'!D:D,A214,'QA Log'!M:M,"Data Verification",'QA Log'!L:L,"*Consumable (section 3)*"),
COUNTIFS('QA Log'!D:D,A214,'QA Log'!M:M,"Data Verification",'QA Log'!L:L,"*Equipments (section 4)*")
))</f>
        <v/>
      </c>
      <c r="AO214" s="102" t="str">
        <f>IF(A214="","",
SUM(
COUNTIFS('QA Log'!D:D,A214,'QA Log'!M:M,"Data Verification",'QA Log'!Z:Z,"Approved",'QA Log'!L:L,"*Personnel (section 1)*"),
COUNTIFS('QA Log'!D:D,A214,'QA Log'!M:M,"Data Verification",'QA Log'!Z:Z,"Approved",'QA Log'!L:L,"*Consumable (section 3)*"),
COUNTIFS('QA Log'!D:D,A214,'QA Log'!M:M,"Data Verification",'QA Log'!Z:Z,"Approved",'QA Log'!L:L,"*Equipments (section 4)*")
))</f>
        <v/>
      </c>
      <c r="AP214" s="105" t="str">
        <f>IF(A214&lt;&gt;"",COUNTIFS('QA Log'!D:D,A214,'QA Log'!M:M,"Data Verification",'QA Log'!L:L,"Personnel (section 1)",'QA Log'!Z:Z,"Approved"),"")</f>
        <v/>
      </c>
      <c r="AQ214" s="105" t="str">
        <f>IF(A214&lt;&gt;"",COUNTIFS('QA Log'!D:D,A214,'QA Log'!M:M,"Data Verification",'QA Log'!L:L,"Consumable (section 3)",'QA Log'!Z:Z,"Approved"),"")</f>
        <v/>
      </c>
      <c r="AR214" s="105" t="str">
        <f>IF(A214&lt;&gt;"",COUNTIFS('QA Log'!D:D,A214,'QA Log'!M:M,"Data Verification",'QA Log'!L:L,"Equipments (section 4)",'QA Log'!Z:Z,"Approved"),"")</f>
        <v/>
      </c>
      <c r="AS214" s="102" t="str">
        <f>IF(A214="","",
SUM(
COUNTIFS('QA Log'!D:D,A214,'QA Log'!M:M,"Data Verification",'QA Log'!Z:Z,"Rejected",'QA Log'!L:L,"*Personnel (section 1)*"),
COUNTIFS('QA Log'!D:D,A214,'QA Log'!M:M,"Data Verification",'QA Log'!Z:Z,"Rejected",'QA Log'!L:L,"*Consumable (section 3)*"),
COUNTIFS('QA Log'!D:D,A214,'QA Log'!M:M,"Data Verification",'QA Log'!Z:Z,"Rejected",'QA Log'!L:L,"*Equipments (section 4)*")
))</f>
        <v/>
      </c>
      <c r="AT214" s="102" t="str">
        <f t="shared" si="7"/>
        <v/>
      </c>
      <c r="AU214" s="103" t="str">
        <f t="shared" si="8"/>
        <v/>
      </c>
      <c r="AV214" s="102" t="str">
        <f>IF(A214="","",SUM(
COUNTIFS('QA Log'!D:D,A214,'QA Log'!M:M,"Vignette",'QA Log'!L:L,"*Vignette [1] Respiratory Infection: Pneumonia*"),
COUNTIFS('QA Log'!D:D,A214,'QA Log'!M:M,"Vignette",'QA Log'!L:L,"*Vignette [2]: Diarrhea with Cat B dehydration*"),
COUNTIFS('QA Log'!D:D,A214,'QA Log'!M:M,"Vignette",'QA Log'!L:L,"*Vignette [3] Growth Monitoring and Promotion*"),
COUNTIFS('QA Log'!D:D,A214,'QA Log'!M:M,"Vignette",'QA Log'!L:L,"*Vignette [4]: The management of presumptive TB patient*")
)
)</f>
        <v/>
      </c>
      <c r="AW214" s="102" t="str">
        <f>IF(
  A214="","",
  SUM(
    COUNTIFS('QA Log'!D:D,A214,'QA Log'!M:M,"Vignette",'QA Log'!Z:Z,"Approved",'QA Log'!L:L,"*Vignette [1] Respiratory Infection: Pneumonia*"),
    COUNTIFS('QA Log'!D:D,A214,'QA Log'!M:M,"Vignette",'QA Log'!Z:Z,"Approved",'QA Log'!L:L,"*Vignette [2]: Diarrhea with Cat B dehydration*"),
    COUNTIFS('QA Log'!D:D,A214,'QA Log'!M:M,"Vignette",'QA Log'!Z:Z,"Approved",'QA Log'!L:L,"*Vignette [3] Growth Monitoring and Promotion*"),
    COUNTIFS('QA Log'!D:D,A214,'QA Log'!M:M,"Vignette",'QA Log'!Z:Z,"Approved",'QA Log'!L:L,"*Vignette [4]: The management of presumptive TB patient*")
  )
)</f>
        <v/>
      </c>
      <c r="AX214" s="105" t="str">
        <f>IF(A214&lt;&gt;"",COUNTIFS('QA Log'!D:D,A214,'QA Log'!M:M,"Vignette",'QA Log'!L:L,"Vignette [1] Respiratory Infection: Pneumonia",'QA Log'!Z:Z,"Approved"),"")</f>
        <v/>
      </c>
      <c r="AY214" s="105" t="str">
        <f>IF(A214&lt;&gt;"",COUNTIFS('QA Log'!D:D,A214,'QA Log'!M:M,"Vignette",'QA Log'!L:L,"Vignette [2]: Diarrhea with Cat B dehydration",'QA Log'!Z:Z,"Approved"),"")</f>
        <v/>
      </c>
      <c r="AZ214" s="105" t="str">
        <f>IF(A214&lt;&gt;"",COUNTIFS('QA Log'!D:D,A214,'QA Log'!M:M,"Vignette",'QA Log'!L:L,"Vignette [3] Growth Monitoring and Promotion",'QA Log'!Z:Z,"Approved"),"")</f>
        <v/>
      </c>
      <c r="BA214" s="105" t="str">
        <f>IF(A214&lt;&gt;"",COUNTIFS('QA Log'!D:D,A214,'QA Log'!M:M,"Vignette",'QA Log'!L:L,"Vignette [4]: The management of presumptive TB patient",'QA Log'!Z:Z,"Approved"),"")</f>
        <v/>
      </c>
      <c r="BB214" s="102" t="str">
        <f>IF(A214="","",
  SUM(
    COUNTIFS('QA Log'!D:D,A214,'QA Log'!M:M,"Vignette",'QA Log'!Z:Z,"Rejected",'QA Log'!L:L,"*Vignette [1] Respiratory Infection: Pneumonia*"),
    COUNTIFS('QA Log'!D:D,A214,'QA Log'!M:M,"Vignette",'QA Log'!Z:Z,"Rejected",'QA Log'!L:L,"*Vignette [2]: Diarrhea with Cat B dehydration*"),
    COUNTIFS('QA Log'!D:D,A214,'QA Log'!M:M,"Vignette",'QA Log'!Z:Z,"Rejected",'QA Log'!L:L,"*Vignette [3] Growth Monitoring and Promotion*"),
    COUNTIFS('QA Log'!D:D,A214,'QA Log'!M:M,"Vignette",'QA Log'!Z:Z,"Rejected",'QA Log'!L:L,"*Vignette [4]: The management of presumptive TB patient*")
  )
)</f>
        <v/>
      </c>
      <c r="BC214" s="107" t="str">
        <f t="shared" si="9"/>
        <v/>
      </c>
      <c r="BD214" s="103" t="str">
        <f t="shared" si="10"/>
        <v/>
      </c>
      <c r="BE214" s="102" t="str">
        <f>IF(A214="","",SUM(
COUNTIFS('QA Log'!D:D,A214,'QA Log'!M:M,"Vignette",'QA Log'!L:L,"*Vignette [5] Labor*"),
COUNTIFS('QA Log'!D:D,A214,'QA Log'!M:M,"Vignette",'QA Log'!L:L,"*Vignette [6] PNC pre Discharge*"),
COUNTIFS('QA Log'!D:D,A214,'QA Log'!M:M,"Vignette",'QA Log'!L:L,"*Vignette [7] First ANC Visit*"),
COUNTIFS('QA Log'!D:D,A214,'QA Log'!M:M,"Vignette",'QA Log'!L:L,"*Vignette [8] Birth Spacing/ Family Planning :  FP Counselling*"),
COUNTIFS('QA Log'!D:D,A214,'QA Log'!M:M,"Vignette",'QA Log'!L:L,"*Vignette [9] Birth Spacing: Change FP method to Injectable*"),
COUNTIFS('QA Log'!D:D,A214,'QA Log'!M:M,"Vignette",'QA Log'!L:L,"*Vignette [10] Post Partum Haemorrhage - Atonic Uterus at Health Centre*"),
)
)</f>
        <v/>
      </c>
      <c r="BF214" s="102" t="str">
        <f>IF(A214="","",
  SUM(
    COUNTIFS('QA Log'!D:D,A214,'QA Log'!M:M,"Vignette",'QA Log'!Z:Z,"Approved",'QA Log'!L:L,"*Vignette [5] Labor*"),
    COUNTIFS('QA Log'!D:D,A214,'QA Log'!M:M,"Vignette",'QA Log'!Z:Z,"Approved",'QA Log'!L:L,"*Vignette [6] PNC pre Discharge*"),
    COUNTIFS('QA Log'!D:D,A214,'QA Log'!M:M,"Vignette",'QA Log'!Z:Z,"Approved",'QA Log'!L:L,"*Vignette [7] First ANC Visit*"),
    COUNTIFS('QA Log'!D:D,A214,'QA Log'!M:M,"Vignette",'QA Log'!Z:Z,"Approved",'QA Log'!L:L,"*Vignette [8] Birth Spacing/ Family Planning :  FP Counselling*"),
    COUNTIFS('QA Log'!D:D,A214,'QA Log'!M:M,"Vignette",'QA Log'!Z:Z,"Approved",'QA Log'!L:L,"*Vignette [9] Birth Spacing: Change FP method to Injectable*"),
    COUNTIFS('QA Log'!D:D,A214,'QA Log'!M:M,"Vignette",'QA Log'!Z:Z,"Approved",'QA Log'!L:L,"*Vignette [10] Post Partum Haemorrhage - Atonic Uterus at Health Centre*")
  )
)</f>
        <v/>
      </c>
      <c r="BG214" s="105" t="str">
        <f>IF(A214&lt;&gt;"",COUNTIFS('QA Log'!D:D,A214,'QA Log'!M:M,"Vignette",'QA Log'!L:L,"Vignette [5] Labor",'QA Log'!Z:Z,"Approved"),"")</f>
        <v/>
      </c>
      <c r="BH214" s="105" t="str">
        <f>IF(A214&lt;&gt;"",COUNTIFS('QA Log'!D:D,A214,'QA Log'!M:M,"Vignette",'QA Log'!L:L,"Vignette [6] PNC pre Discharge",'QA Log'!Z:Z,"Approved"),"")</f>
        <v/>
      </c>
      <c r="BI214" s="105" t="str">
        <f>IF(A214&lt;&gt;"",COUNTIFS('QA Log'!D:D,A214,'QA Log'!M:M,"Vignette",'QA Log'!L:L,"Vignette [7] First ANC Visit",'QA Log'!Z:Z,"Approved"),"")</f>
        <v/>
      </c>
      <c r="BJ214" s="105" t="str">
        <f>IF(A214&lt;&gt;"",COUNTIFS('QA Log'!D:D,A214,'QA Log'!M:M,"Vignette",'QA Log'!L:L,"Vignette [8] Birth Spacing/ Family Planning :  FP Counselling",'QA Log'!Z:Z,"Approved"),"")</f>
        <v/>
      </c>
      <c r="BK214" s="105" t="str">
        <f>IF(A214&lt;&gt;"",COUNTIFS('QA Log'!D:D,A214,'QA Log'!M:M,"Vignette",'QA Log'!L:L,"Vignette [9] Birth Spacing: Change FP method to Injectable",'QA Log'!Z:Z,"Approved"),"")</f>
        <v/>
      </c>
      <c r="BL214" s="105" t="str">
        <f>IF(A214&lt;&gt;"",COUNTIFS('QA Log'!D:D,A214,'QA Log'!M:M,"Vignette",'QA Log'!L:L,"Vignette [10] Post Partum Haemorrhage - Atonic Uterus at Health Centre",'QA Log'!Z:Z,"Approved"),"")</f>
        <v/>
      </c>
      <c r="BM214" s="102" t="str">
        <f>IF(A214="","",SUM(
    COUNTIFS('QA Log'!D:D,A214,'QA Log'!M:M,"Vignette",'QA Log'!Z:Z,"Rejected",'QA Log'!L:L,"*Vignette [5] Labor*"),
    COUNTIFS('QA Log'!D:D,A214,'QA Log'!M:M,"Vignette",'QA Log'!Z:Z,"Rejected",'QA Log'!L:L,"*Vignette [6] PNC pre Discharge*"),
    COUNTIFS('QA Log'!D:D,A214,'QA Log'!M:M,"Vignette",'QA Log'!Z:Z,"Rejected",'QA Log'!L:L,"*Vignette [7] First ANC Visit*"),
    COUNTIFS('QA Log'!D:D,A214,'QA Log'!M:M,"Vignette",'QA Log'!Z:Z,"Rejected",'QA Log'!L:L,"*Vignette [8] Birth Spacing/ Family Planning :  FP Counselling*"),
    COUNTIFS('QA Log'!D:D,A214,'QA Log'!M:M,"Vignette",'QA Log'!Z:Z,"Rejected",'QA Log'!L:L,"*Vignette [9] Birth Spacing: Change FP method to Injectable*"),
    COUNTIFS('QA Log'!D:D,A214,'QA Log'!M:M,"Vignette",'QA Log'!Z:Z,"Rejected",'QA Log'!L:L,"*Vignette [10] Post Partum Haemorrhage - Atonic Uterus at Health Centre*")
  )
)</f>
        <v/>
      </c>
      <c r="BN214" s="107" t="str">
        <f t="shared" si="11"/>
        <v/>
      </c>
      <c r="BO214" s="103" t="str">
        <f t="shared" si="12"/>
        <v/>
      </c>
      <c r="BP214" s="102" t="str">
        <f>IF(A214="","",SUM(
COUNTIFS('QA Log'!D:D,A214,'QA Log'!M:M,"Vignette",'QA Log'!L:L,"*Exit Interview 1*"),
COUNTIFS('QA Log'!D:D,A214,'QA Log'!M:M,"Vignette",'QA Log'!L:L,"*Exit Interview 2*"),
)
)</f>
        <v/>
      </c>
      <c r="BQ214" s="102" t="str">
        <f>IF(
  A214="","",
  SUM(
    COUNTIFS('QA Log'!D:D,A214,'QA Log'!M:M,"Vignette",'QA Log'!Z:Z,"Approved",'QA Log'!L:L,"*Exit Interview 1*"),
    COUNTIFS('QA Log'!D:D,A214,'QA Log'!M:M,"Vignette",'QA Log'!Z:Z,"Approved",'QA Log'!L:L,"*Exit Interview 2*")
  )
)</f>
        <v/>
      </c>
      <c r="BR214" s="105" t="str">
        <f>IF(A214&lt;&gt;"",COUNTIFS('QA Log'!D:D,A214,'QA Log'!M:M,"Vignette",'QA Log'!L:L,"Exit Interview 1",'QA Log'!Z:Z,"Approved"),"")</f>
        <v/>
      </c>
      <c r="BS214" s="105" t="str">
        <f>IF(A214&lt;&gt;"",COUNTIFS('QA Log'!D:D,A214,'QA Log'!M:M,"Vignette",'QA Log'!L:L,"Exit Interview 2",'QA Log'!Z:Z,"Approved"),"")</f>
        <v/>
      </c>
      <c r="BT214" s="102" t="str">
        <f>IF(
  A214="","",
  SUM(
    COUNTIFS('QA Log'!D:D,A214,'QA Log'!M:M,"Vignette",'QA Log'!Z:Z,"Rejected",'QA Log'!L:L,"*Exit Interview 1*"),
    COUNTIFS('QA Log'!D:D,A214,'QA Log'!M:M,"Vignette",'QA Log'!Z:Z,"Rejected",'QA Log'!L:L,"*Exit Interview 2*")
  )
)</f>
        <v/>
      </c>
      <c r="BU214" s="107" t="str">
        <f t="shared" si="13"/>
        <v/>
      </c>
      <c r="BV214" s="102" t="str">
        <f t="shared" si="14"/>
        <v/>
      </c>
      <c r="BW214" s="102" t="str">
        <f t="shared" si="15"/>
        <v/>
      </c>
      <c r="BX214" s="102" t="str">
        <f t="shared" si="16"/>
        <v/>
      </c>
      <c r="BY214" s="102" t="str">
        <f t="shared" si="17"/>
        <v/>
      </c>
      <c r="BZ214" s="107" t="str">
        <f t="shared" si="18"/>
        <v/>
      </c>
      <c r="CA214" s="108" t="str">
        <f t="shared" si="19"/>
        <v/>
      </c>
      <c r="CB214" s="108" t="str">
        <f t="shared" si="20"/>
        <v/>
      </c>
      <c r="CC214" s="109" t="str">
        <f t="shared" si="21"/>
        <v/>
      </c>
      <c r="CD214" s="108" t="str">
        <f t="shared" si="22"/>
        <v/>
      </c>
      <c r="CE214" s="108" t="str">
        <f t="shared" si="23"/>
        <v/>
      </c>
      <c r="CF214" s="109" t="str">
        <f t="shared" si="24"/>
        <v/>
      </c>
      <c r="CG214" s="110" t="str">
        <f t="shared" si="25"/>
        <v/>
      </c>
      <c r="CH214" s="111"/>
    </row>
    <row r="215" spans="1:86" ht="12.75">
      <c r="A215" s="101"/>
      <c r="B215" s="102" t="e">
        <f t="array" aca="1" ref="B215" ca="1">_xludf.XLOOKUP(A215,'QA Log'!D:D,'QA Log'!E:E,"")</f>
        <v>#NAME?</v>
      </c>
      <c r="C215" s="102" t="e">
        <f t="array" aca="1" ref="C215" ca="1">_xludf.XLOOKUP(A215,'QA Log'!D:D,'QA Log'!F:F,"")</f>
        <v>#NAME?</v>
      </c>
      <c r="D215" s="102" t="e">
        <f t="array" aca="1" ref="D215" ca="1">_xludf.XLOOKUP(A215,'QA Log'!D:D,'QA Log'!H:H,"")</f>
        <v>#NAME?</v>
      </c>
      <c r="E215" s="102" t="e">
        <f t="array" aca="1" ref="E215" ca="1">_xludf.XLOOKUP(A215,'QA Log'!D:D,'QA Log'!G:G,"")</f>
        <v>#NAME?</v>
      </c>
      <c r="F215" s="103"/>
      <c r="G215" s="104"/>
      <c r="H215" s="104"/>
      <c r="I215" s="103" t="str">
        <f t="shared" si="0"/>
        <v/>
      </c>
      <c r="J215" s="102" t="str">
        <f>IF(A215="","",SUM(
COUNTIFS('QA Log'!D:D,A215,'QA Log'!M:M,"QQC",'QA Log'!L:L,"*1. General Management*"),
COUNTIFS('QA Log'!D:D,A215,'QA Log'!M:M,"QQC",'QA Log'!L:L,"*3. Curative Consultation (OPD)*"),
COUNTIFS('QA Log'!D:D,A215,'QA Log'!M:M,"QQC",'QA Log'!L:L,"*5. Laboratory*"),
COUNTIFS('QA Log'!D:D,A215,'QA Log'!M:M,"QQC",'QA Log'!L:L,"*6. Essential Medicine Management*"),
COUNTIFS('QA Log'!D:D,A215,'QA Log'!M:M,"QQC",'QA Log'!L:L,"*7. Tracer Medicine*"),
COUNTIFS('QA Log'!D:D,A215,'QA Log'!M:M,"QQC",'QA Log'!L:L,"*11. Additional Questions*")))</f>
        <v/>
      </c>
      <c r="K215" s="102" t="str">
        <f>IF(A215="","",SUM(
COUNTIFS('QA Log'!D:D,A215,'QA Log'!M:M,"QQC",'QA Log'!Z:Z,"Approved",'QA Log'!L:L,"*1. General Management*"),
COUNTIFS('QA Log'!D:D,A215,'QA Log'!M:M,"QQC",'QA Log'!Z:Z,"Approved",'QA Log'!L:L,"*3. Curative Consultation (OPD)*"),
COUNTIFS('QA Log'!D:D,A215,'QA Log'!M:M,"QQC",'QA Log'!Z:Z,"Approved",'QA Log'!L:L,"*5. Laboratory*"),
COUNTIFS('QA Log'!D:D,A215,'QA Log'!M:M,"QQC",'QA Log'!Z:Z,"Approved",'QA Log'!L:L,"*6. Essential Medicine Management*"),
COUNTIFS('QA Log'!D:D,A215,'QA Log'!M:M,"QQC",'QA Log'!Z:Z,"Approved",'QA Log'!L:L,"*7. Tracer Medicine*"),
COUNTIFS('QA Log'!D:D,A215,'QA Log'!M:M,"QQC",'QA Log'!Z:Z,"Approved",'QA Log'!L:L,"*11. Additional Questions*")))</f>
        <v/>
      </c>
      <c r="L215" s="105" t="str">
        <f>IF(A215&lt;&gt;"",COUNTIFS('QA Log'!D:D,A215,'QA Log'!M:M,"QQC",'QA Log'!L:L,"1. General Management",'QA Log'!Z:Z,"Approved"),"")</f>
        <v/>
      </c>
      <c r="M215" s="105" t="str">
        <f>IF(A215&lt;&gt;"",COUNTIFS('QA Log'!D:D,A215,'QA Log'!M:M,"QQC",'QA Log'!L:L,"3. Curative Consultation (OPD)",'QA Log'!Z:Z,"Approved"),"")</f>
        <v/>
      </c>
      <c r="N215" s="105" t="str">
        <f>IF(A215&lt;&gt;"",COUNTIFS('QA Log'!D:D,A215,'QA Log'!M:M,"QQC",'QA Log'!L:L,"5. Laboratory",'QA Log'!Z:Z,"Approved"),"")</f>
        <v/>
      </c>
      <c r="O215" s="105" t="str">
        <f>IF(A215&lt;&gt;"",COUNTIFS('QA Log'!D:D,A215,'QA Log'!M:M,"QQC",'QA Log'!L:L,"6. Essential Medicine Management",'QA Log'!Z:Z,"Approved"),"")</f>
        <v/>
      </c>
      <c r="P215" s="105" t="str">
        <f>IF(A215&lt;&gt;"",COUNTIFS('QA Log'!D:D,A215,'QA Log'!M:M,"QQC",'QA Log'!L:L,"7. Tracer Medicine",'QA Log'!Z:Z,"Approved"),"")</f>
        <v/>
      </c>
      <c r="Q215" s="105" t="str">
        <f>IF(A215&lt;&gt;"",COUNTIFS('QA Log'!D:D,A215,'QA Log'!M:M,"QQC",'QA Log'!L:L,"11. Additional Questions",'QA Log'!Z:Z,"Approved"),"")</f>
        <v/>
      </c>
      <c r="R215" s="102" t="str">
        <f>IF(A215="","",SUM(
COUNTIFS('QA Log'!D:D,A215,'QA Log'!M:M,"QQC",'QA Log'!Z:Z,"Rejected",'QA Log'!L:L,"*8. Maternity*"),
COUNTIFS('QA Log'!D:D,A215,'QA Log'!M:M,"QQC",'QA Log'!Z:Z,"Rejected",'QA Log'!L:L,"*EPI*"),
COUNTIFS('QA Log'!D:D,A215,'QA Log'!M:M,"QQC",'QA Log'!Z:Z,"Rejected",'QA Log'!L:L,"*10. Antenatal Care (ANC)*"),
COUNTIFS('QA Log'!D:D,A215,'QA Log'!M:M,"QQC",'QA Log'!Z:Z,"Rejected",'QA Log'!L:L,"*2. Hygiene and Sterilization*"),
COUNTIFS('QA Log'!D:D,A215,'QA Log'!M:M,"QQC",'QA Log'!Z:Z,"Rejected",'QA Log'!L:L,"*Family Planning*")))</f>
        <v/>
      </c>
      <c r="S215" s="106" t="str">
        <f t="shared" si="1"/>
        <v/>
      </c>
      <c r="T215" s="102" t="str">
        <f t="shared" si="2"/>
        <v/>
      </c>
      <c r="U215" s="102" t="str">
        <f>IF(A215="","",
SUM(
COUNTIFS('QA Log'!D:D,A215,'QA Log'!M:M,"QQC",'QA Log'!L:L,"*8. Maternity*"),
COUNTIFS('QA Log'!D:D,A215,'QA Log'!M:M,"QQC",'QA Log'!L:L,"*9. EPI and Pre-school Consultation*"),
COUNTIFS('QA Log'!D:D,A215,'QA Log'!M:M,"QQC",'QA Log'!L:L,"*10. Antenatal Care (ANC)*"),
COUNTIFS('QA Log'!D:D,A215,'QA Log'!M:M,"QQC",'QA Log'!L:L,"*2. Hygiene and Sterilization*"),
COUNTIFS('QA Log'!D:D,A215,'QA Log'!M:M,"QQC",'QA Log'!L:L,"*4. Family Planning*")
))</f>
        <v/>
      </c>
      <c r="V215" s="102" t="str">
        <f>IF(A215="","",
SUM(
COUNTIFS('QA Log'!D:D,A215,'QA Log'!M:M,"QQC",'QA Log'!Z:Z,"Approved",'QA Log'!L:L,"*8. Maternity*"),
COUNTIFS('QA Log'!D:D,A215,'QA Log'!M:M,"QQC",'QA Log'!Z:Z,"Approved",'QA Log'!L:L,"*9. EPI and Pre-school Consultation*"),
COUNTIFS('QA Log'!D:D,A215,'QA Log'!M:M,"QQC",'QA Log'!Z:Z,"Approved",'QA Log'!L:L,"*10. Antenatal Care (ANC)*"),
COUNTIFS('QA Log'!D:D,A215,'QA Log'!M:M,"QQC",'QA Log'!Z:Z,"Approved",'QA Log'!L:L,"*2. Hygiene and Sterilization*"),
COUNTIFS('QA Log'!D:D,A215,'QA Log'!M:M,"QQC",'QA Log'!Z:Z,"Approved",'QA Log'!L:L,"*4. Family Planning*")
))</f>
        <v/>
      </c>
      <c r="W215" s="105" t="str">
        <f>IF(A215&lt;&gt;"",COUNTIFS('QA Log'!D:D,A215,'QA Log'!M:M,"QQC",'QA Log'!L:L,"8. Maternity",'QA Log'!Z:Z,"Approved"),"")</f>
        <v/>
      </c>
      <c r="X215" s="105" t="str">
        <f>IF(A215&lt;&gt;"",COUNTIFS('QA Log'!D:D,A215,'QA Log'!M:M,"QQC",'QA Log'!L:L,"9. EPI and Pre-school Consultation",'QA Log'!Z:Z,"Approved"),"")</f>
        <v/>
      </c>
      <c r="Y215" s="105" t="str">
        <f>IF(A215&lt;&gt;"",COUNTIFS('QA Log'!D:D,A215,'QA Log'!M:M,"QQC",'QA Log'!L:L,"10. Antenatal Care (ANC)",'QA Log'!Z:Z,"Approved"),"")</f>
        <v/>
      </c>
      <c r="Z215" s="105" t="str">
        <f>IF(A215&lt;&gt;"",COUNTIFS('QA Log'!D:D,A215,'QA Log'!M:M,"QQC",'QA Log'!L:L,"2. Hygiene and Sterilization",'QA Log'!Z:Z,"Approved"),"")</f>
        <v/>
      </c>
      <c r="AA215" s="105" t="str">
        <f>IF(A215&lt;&gt;"",COUNTIFS('QA Log'!D:D,A215,'QA Log'!M:M,"QQC",'QA Log'!L:L,"4. Family Planning",'QA Log'!Z:Z,"Approved"),"")</f>
        <v/>
      </c>
      <c r="AB215" s="102" t="str">
        <f>IF(A215="","",
SUM(
COUNTIFS('QA Log'!D:D,A215,'QA Log'!M:M,"QQC",'QA Log'!Z:Z,"Rejected",'QA Log'!L:L,"*8. Maternity*"),
COUNTIFS('QA Log'!D:D,A215,'QA Log'!M:M,"QQC",'QA Log'!Z:Z,"Rejected",'QA Log'!L:L,"*9. EPI and Pre-school Consultation*"),
COUNTIFS('QA Log'!D:D,A215,'QA Log'!M:M,"QQC",'QA Log'!Z:Z,"Rejected",'QA Log'!L:L,"*10. Antenatal Care (ANC)*"),
COUNTIFS('QA Log'!D:D,A215,'QA Log'!M:M,"QQC",'QA Log'!Z:Z,"Rejected",'QA Log'!L:L,"*2. Hygiene and Sterilization*"),
COUNTIFS('QA Log'!D:D,A215,'QA Log'!M:M,"QQC",'QA Log'!Z:Z,"Rejected",'QA Log'!L:L,"*4. Family Planning*")
))</f>
        <v/>
      </c>
      <c r="AC215" s="102" t="str">
        <f t="shared" si="3"/>
        <v/>
      </c>
      <c r="AD215" s="103" t="str">
        <f t="shared" si="4"/>
        <v/>
      </c>
      <c r="AE215" s="102" t="str">
        <f>IF(A215="","",
SUM(
COUNTIFS('QA Log'!D:D,A215,'QA Log'!M:M,"Data Verification",'QA Log'!L:L,"*Medicine (section 2)*"),
COUNTIFS('QA Log'!D:D,A215,'QA Log'!M:M,"Data Verification",'QA Log'!L:L,"*Lab Testing Availability*"),
COUNTIFS('QA Log'!D:D,A215,'QA Log'!M:M,"Data Verification",'QA Log'!L:L,"*Other than P4P (section 6)*"),
COUNTIFS('QA Log'!D:D,A215,'QA Log'!M:M,"Data Verification",'QA Log'!L:L,"*Hospital Governance*")
))</f>
        <v/>
      </c>
      <c r="AF215" s="102" t="str">
        <f>IF(A215="","",
SUM(
COUNTIFS('QA Log'!D:D,A215,'QA Log'!M:M,"Data Verification",'QA Log'!Z:Z,"Approved",'QA Log'!L:L,"*Medicine (section 2)*"),
COUNTIFS('QA Log'!D:D,A215,'QA Log'!M:M,"Data Verification",'QA Log'!Z:Z,"Approved",'QA Log'!L:L,"*Lab Testing Availability*"),
COUNTIFS('QA Log'!D:D,A215,'QA Log'!M:M,"Data Verification",'QA Log'!Z:Z,"Approved",'QA Log'!L:L,"*Other than P4P (section 6)*"),
COUNTIFS('QA Log'!D:D,A215,'QA Log'!M:M,"Data Verification",'QA Log'!Z:Z,"Approved",'QA Log'!L:L,"*Hospital Governance*")
))</f>
        <v/>
      </c>
      <c r="AG215" s="105" t="str">
        <f>IF(A215&lt;&gt;"",COUNTIFS('QA Log'!D:D,A215,'QA Log'!M:M,"Data Verification",'QA Log'!L:L,"Medicine (section 2)",'QA Log'!Z:Z,"Approved"),"")</f>
        <v/>
      </c>
      <c r="AH215" s="105" t="str">
        <f>IF(A215&lt;&gt;"",COUNTIFS('QA Log'!D:D,A215,'QA Log'!M:M,"Data Verification",'QA Log'!L:L,"Lab Testing Availability",'QA Log'!Z:Z,"Approved"),"")</f>
        <v/>
      </c>
      <c r="AI215" s="105" t="str">
        <f>IF(A215&lt;&gt;"",COUNTIFS('QA Log'!D:D,A215,'QA Log'!M:M,"Data Verification",'QA Log'!L:L,"Other than P4P (section 6)",'QA Log'!Z:Z,"Approved"),"")</f>
        <v/>
      </c>
      <c r="AJ215" s="105" t="str">
        <f>IF(A215&lt;&gt;"",COUNTIFS('QA Log'!D:D,A215,'QA Log'!M:M,"Data Verification",'QA Log'!L:L,"Hospital Governance",'QA Log'!Z:Z,"Approved"),"")</f>
        <v/>
      </c>
      <c r="AK215" s="102" t="str">
        <f>IF(A215="","",
SUM(
COUNTIFS('QA Log'!D:D,A215,'QA Log'!M:M,"Data Verification",'QA Log'!Z:Z,"Rejected",'QA Log'!L:L,"*Medicine (section 2)*"),
COUNTIFS('QA Log'!D:D,A215,'QA Log'!M:M,"Data Verification",'QA Log'!Z:Z,"Rejected",'QA Log'!L:L,"*Lab Testing Availability*"),
COUNTIFS('QA Log'!D:D,A215,'QA Log'!M:M,"Data Verification",'QA Log'!Z:Z,"Rejected",'QA Log'!L:L,"*Other than P4P (section 6)*"),
COUNTIFS('QA Log'!D:D,A215,'QA Log'!M:M,"Data Verification",'QA Log'!Z:Z,"Rejected",'QA Log'!L:L,"*Hospital Governance*")
))</f>
        <v/>
      </c>
      <c r="AL215" s="106" t="str">
        <f t="shared" si="5"/>
        <v/>
      </c>
      <c r="AM215" s="102" t="str">
        <f t="shared" si="6"/>
        <v/>
      </c>
      <c r="AN215" s="102" t="str">
        <f>IF(A215="","",
SUM(
COUNTIFS('QA Log'!D:D,A215,'QA Log'!M:M,"Data Verification",'QA Log'!L:L,"*Personnel (section 1)*"),
COUNTIFS('QA Log'!D:D,A215,'QA Log'!M:M,"Data Verification",'QA Log'!L:L,"*Consumable (section 3)*"),
COUNTIFS('QA Log'!D:D,A215,'QA Log'!M:M,"Data Verification",'QA Log'!L:L,"*Equipments (section 4)*")
))</f>
        <v/>
      </c>
      <c r="AO215" s="102" t="str">
        <f>IF(A215="","",
SUM(
COUNTIFS('QA Log'!D:D,A215,'QA Log'!M:M,"Data Verification",'QA Log'!Z:Z,"Approved",'QA Log'!L:L,"*Personnel (section 1)*"),
COUNTIFS('QA Log'!D:D,A215,'QA Log'!M:M,"Data Verification",'QA Log'!Z:Z,"Approved",'QA Log'!L:L,"*Consumable (section 3)*"),
COUNTIFS('QA Log'!D:D,A215,'QA Log'!M:M,"Data Verification",'QA Log'!Z:Z,"Approved",'QA Log'!L:L,"*Equipments (section 4)*")
))</f>
        <v/>
      </c>
      <c r="AP215" s="105" t="str">
        <f>IF(A215&lt;&gt;"",COUNTIFS('QA Log'!D:D,A215,'QA Log'!M:M,"Data Verification",'QA Log'!L:L,"Personnel (section 1)",'QA Log'!Z:Z,"Approved"),"")</f>
        <v/>
      </c>
      <c r="AQ215" s="105" t="str">
        <f>IF(A215&lt;&gt;"",COUNTIFS('QA Log'!D:D,A215,'QA Log'!M:M,"Data Verification",'QA Log'!L:L,"Consumable (section 3)",'QA Log'!Z:Z,"Approved"),"")</f>
        <v/>
      </c>
      <c r="AR215" s="105" t="str">
        <f>IF(A215&lt;&gt;"",COUNTIFS('QA Log'!D:D,A215,'QA Log'!M:M,"Data Verification",'QA Log'!L:L,"Equipments (section 4)",'QA Log'!Z:Z,"Approved"),"")</f>
        <v/>
      </c>
      <c r="AS215" s="102" t="str">
        <f>IF(A215="","",
SUM(
COUNTIFS('QA Log'!D:D,A215,'QA Log'!M:M,"Data Verification",'QA Log'!Z:Z,"Rejected",'QA Log'!L:L,"*Personnel (section 1)*"),
COUNTIFS('QA Log'!D:D,A215,'QA Log'!M:M,"Data Verification",'QA Log'!Z:Z,"Rejected",'QA Log'!L:L,"*Consumable (section 3)*"),
COUNTIFS('QA Log'!D:D,A215,'QA Log'!M:M,"Data Verification",'QA Log'!Z:Z,"Rejected",'QA Log'!L:L,"*Equipments (section 4)*")
))</f>
        <v/>
      </c>
      <c r="AT215" s="102" t="str">
        <f t="shared" si="7"/>
        <v/>
      </c>
      <c r="AU215" s="103" t="str">
        <f t="shared" si="8"/>
        <v/>
      </c>
      <c r="AV215" s="102" t="str">
        <f>IF(A215="","",SUM(
COUNTIFS('QA Log'!D:D,A215,'QA Log'!M:M,"Vignette",'QA Log'!L:L,"*Vignette [1] Respiratory Infection: Pneumonia*"),
COUNTIFS('QA Log'!D:D,A215,'QA Log'!M:M,"Vignette",'QA Log'!L:L,"*Vignette [2]: Diarrhea with Cat B dehydration*"),
COUNTIFS('QA Log'!D:D,A215,'QA Log'!M:M,"Vignette",'QA Log'!L:L,"*Vignette [3] Growth Monitoring and Promotion*"),
COUNTIFS('QA Log'!D:D,A215,'QA Log'!M:M,"Vignette",'QA Log'!L:L,"*Vignette [4]: The management of presumptive TB patient*")
)
)</f>
        <v/>
      </c>
      <c r="AW215" s="102" t="str">
        <f>IF(
  A215="","",
  SUM(
    COUNTIFS('QA Log'!D:D,A215,'QA Log'!M:M,"Vignette",'QA Log'!Z:Z,"Approved",'QA Log'!L:L,"*Vignette [1] Respiratory Infection: Pneumonia*"),
    COUNTIFS('QA Log'!D:D,A215,'QA Log'!M:M,"Vignette",'QA Log'!Z:Z,"Approved",'QA Log'!L:L,"*Vignette [2]: Diarrhea with Cat B dehydration*"),
    COUNTIFS('QA Log'!D:D,A215,'QA Log'!M:M,"Vignette",'QA Log'!Z:Z,"Approved",'QA Log'!L:L,"*Vignette [3] Growth Monitoring and Promotion*"),
    COUNTIFS('QA Log'!D:D,A215,'QA Log'!M:M,"Vignette",'QA Log'!Z:Z,"Approved",'QA Log'!L:L,"*Vignette [4]: The management of presumptive TB patient*")
  )
)</f>
        <v/>
      </c>
      <c r="AX215" s="105" t="str">
        <f>IF(A215&lt;&gt;"",COUNTIFS('QA Log'!D:D,A215,'QA Log'!M:M,"Vignette",'QA Log'!L:L,"Vignette [1] Respiratory Infection: Pneumonia",'QA Log'!Z:Z,"Approved"),"")</f>
        <v/>
      </c>
      <c r="AY215" s="105" t="str">
        <f>IF(A215&lt;&gt;"",COUNTIFS('QA Log'!D:D,A215,'QA Log'!M:M,"Vignette",'QA Log'!L:L,"Vignette [2]: Diarrhea with Cat B dehydration",'QA Log'!Z:Z,"Approved"),"")</f>
        <v/>
      </c>
      <c r="AZ215" s="105" t="str">
        <f>IF(A215&lt;&gt;"",COUNTIFS('QA Log'!D:D,A215,'QA Log'!M:M,"Vignette",'QA Log'!L:L,"Vignette [3] Growth Monitoring and Promotion",'QA Log'!Z:Z,"Approved"),"")</f>
        <v/>
      </c>
      <c r="BA215" s="105" t="str">
        <f>IF(A215&lt;&gt;"",COUNTIFS('QA Log'!D:D,A215,'QA Log'!M:M,"Vignette",'QA Log'!L:L,"Vignette [4]: The management of presumptive TB patient",'QA Log'!Z:Z,"Approved"),"")</f>
        <v/>
      </c>
      <c r="BB215" s="102" t="str">
        <f>IF(A215="","",
  SUM(
    COUNTIFS('QA Log'!D:D,A215,'QA Log'!M:M,"Vignette",'QA Log'!Z:Z,"Rejected",'QA Log'!L:L,"*Vignette [1] Respiratory Infection: Pneumonia*"),
    COUNTIFS('QA Log'!D:D,A215,'QA Log'!M:M,"Vignette",'QA Log'!Z:Z,"Rejected",'QA Log'!L:L,"*Vignette [2]: Diarrhea with Cat B dehydration*"),
    COUNTIFS('QA Log'!D:D,A215,'QA Log'!M:M,"Vignette",'QA Log'!Z:Z,"Rejected",'QA Log'!L:L,"*Vignette [3] Growth Monitoring and Promotion*"),
    COUNTIFS('QA Log'!D:D,A215,'QA Log'!M:M,"Vignette",'QA Log'!Z:Z,"Rejected",'QA Log'!L:L,"*Vignette [4]: The management of presumptive TB patient*")
  )
)</f>
        <v/>
      </c>
      <c r="BC215" s="107" t="str">
        <f t="shared" si="9"/>
        <v/>
      </c>
      <c r="BD215" s="103" t="str">
        <f t="shared" si="10"/>
        <v/>
      </c>
      <c r="BE215" s="102" t="str">
        <f>IF(A215="","",SUM(
COUNTIFS('QA Log'!D:D,A215,'QA Log'!M:M,"Vignette",'QA Log'!L:L,"*Vignette [5] Labor*"),
COUNTIFS('QA Log'!D:D,A215,'QA Log'!M:M,"Vignette",'QA Log'!L:L,"*Vignette [6] PNC pre Discharge*"),
COUNTIFS('QA Log'!D:D,A215,'QA Log'!M:M,"Vignette",'QA Log'!L:L,"*Vignette [7] First ANC Visit*"),
COUNTIFS('QA Log'!D:D,A215,'QA Log'!M:M,"Vignette",'QA Log'!L:L,"*Vignette [8] Birth Spacing/ Family Planning :  FP Counselling*"),
COUNTIFS('QA Log'!D:D,A215,'QA Log'!M:M,"Vignette",'QA Log'!L:L,"*Vignette [9] Birth Spacing: Change FP method to Injectable*"),
COUNTIFS('QA Log'!D:D,A215,'QA Log'!M:M,"Vignette",'QA Log'!L:L,"*Vignette [10] Post Partum Haemorrhage - Atonic Uterus at Health Centre*"),
)
)</f>
        <v/>
      </c>
      <c r="BF215" s="102" t="str">
        <f>IF(A215="","",
  SUM(
    COUNTIFS('QA Log'!D:D,A215,'QA Log'!M:M,"Vignette",'QA Log'!Z:Z,"Approved",'QA Log'!L:L,"*Vignette [5] Labor*"),
    COUNTIFS('QA Log'!D:D,A215,'QA Log'!M:M,"Vignette",'QA Log'!Z:Z,"Approved",'QA Log'!L:L,"*Vignette [6] PNC pre Discharge*"),
    COUNTIFS('QA Log'!D:D,A215,'QA Log'!M:M,"Vignette",'QA Log'!Z:Z,"Approved",'QA Log'!L:L,"*Vignette [7] First ANC Visit*"),
    COUNTIFS('QA Log'!D:D,A215,'QA Log'!M:M,"Vignette",'QA Log'!Z:Z,"Approved",'QA Log'!L:L,"*Vignette [8] Birth Spacing/ Family Planning :  FP Counselling*"),
    COUNTIFS('QA Log'!D:D,A215,'QA Log'!M:M,"Vignette",'QA Log'!Z:Z,"Approved",'QA Log'!L:L,"*Vignette [9] Birth Spacing: Change FP method to Injectable*"),
    COUNTIFS('QA Log'!D:D,A215,'QA Log'!M:M,"Vignette",'QA Log'!Z:Z,"Approved",'QA Log'!L:L,"*Vignette [10] Post Partum Haemorrhage - Atonic Uterus at Health Centre*")
  )
)</f>
        <v/>
      </c>
      <c r="BG215" s="105" t="str">
        <f>IF(A215&lt;&gt;"",COUNTIFS('QA Log'!D:D,A215,'QA Log'!M:M,"Vignette",'QA Log'!L:L,"Vignette [5] Labor",'QA Log'!Z:Z,"Approved"),"")</f>
        <v/>
      </c>
      <c r="BH215" s="105" t="str">
        <f>IF(A215&lt;&gt;"",COUNTIFS('QA Log'!D:D,A215,'QA Log'!M:M,"Vignette",'QA Log'!L:L,"Vignette [6] PNC pre Discharge",'QA Log'!Z:Z,"Approved"),"")</f>
        <v/>
      </c>
      <c r="BI215" s="105" t="str">
        <f>IF(A215&lt;&gt;"",COUNTIFS('QA Log'!D:D,A215,'QA Log'!M:M,"Vignette",'QA Log'!L:L,"Vignette [7] First ANC Visit",'QA Log'!Z:Z,"Approved"),"")</f>
        <v/>
      </c>
      <c r="BJ215" s="105" t="str">
        <f>IF(A215&lt;&gt;"",COUNTIFS('QA Log'!D:D,A215,'QA Log'!M:M,"Vignette",'QA Log'!L:L,"Vignette [8] Birth Spacing/ Family Planning :  FP Counselling",'QA Log'!Z:Z,"Approved"),"")</f>
        <v/>
      </c>
      <c r="BK215" s="105" t="str">
        <f>IF(A215&lt;&gt;"",COUNTIFS('QA Log'!D:D,A215,'QA Log'!M:M,"Vignette",'QA Log'!L:L,"Vignette [9] Birth Spacing: Change FP method to Injectable",'QA Log'!Z:Z,"Approved"),"")</f>
        <v/>
      </c>
      <c r="BL215" s="105" t="str">
        <f>IF(A215&lt;&gt;"",COUNTIFS('QA Log'!D:D,A215,'QA Log'!M:M,"Vignette",'QA Log'!L:L,"Vignette [10] Post Partum Haemorrhage - Atonic Uterus at Health Centre",'QA Log'!Z:Z,"Approved"),"")</f>
        <v/>
      </c>
      <c r="BM215" s="102" t="str">
        <f>IF(A215="","",SUM(
    COUNTIFS('QA Log'!D:D,A215,'QA Log'!M:M,"Vignette",'QA Log'!Z:Z,"Rejected",'QA Log'!L:L,"*Vignette [5] Labor*"),
    COUNTIFS('QA Log'!D:D,A215,'QA Log'!M:M,"Vignette",'QA Log'!Z:Z,"Rejected",'QA Log'!L:L,"*Vignette [6] PNC pre Discharge*"),
    COUNTIFS('QA Log'!D:D,A215,'QA Log'!M:M,"Vignette",'QA Log'!Z:Z,"Rejected",'QA Log'!L:L,"*Vignette [7] First ANC Visit*"),
    COUNTIFS('QA Log'!D:D,A215,'QA Log'!M:M,"Vignette",'QA Log'!Z:Z,"Rejected",'QA Log'!L:L,"*Vignette [8] Birth Spacing/ Family Planning :  FP Counselling*"),
    COUNTIFS('QA Log'!D:D,A215,'QA Log'!M:M,"Vignette",'QA Log'!Z:Z,"Rejected",'QA Log'!L:L,"*Vignette [9] Birth Spacing: Change FP method to Injectable*"),
    COUNTIFS('QA Log'!D:D,A215,'QA Log'!M:M,"Vignette",'QA Log'!Z:Z,"Rejected",'QA Log'!L:L,"*Vignette [10] Post Partum Haemorrhage - Atonic Uterus at Health Centre*")
  )
)</f>
        <v/>
      </c>
      <c r="BN215" s="107" t="str">
        <f t="shared" si="11"/>
        <v/>
      </c>
      <c r="BO215" s="103" t="str">
        <f t="shared" si="12"/>
        <v/>
      </c>
      <c r="BP215" s="102" t="str">
        <f>IF(A215="","",SUM(
COUNTIFS('QA Log'!D:D,A215,'QA Log'!M:M,"Vignette",'QA Log'!L:L,"*Exit Interview 1*"),
COUNTIFS('QA Log'!D:D,A215,'QA Log'!M:M,"Vignette",'QA Log'!L:L,"*Exit Interview 2*"),
)
)</f>
        <v/>
      </c>
      <c r="BQ215" s="102" t="str">
        <f>IF(
  A215="","",
  SUM(
    COUNTIFS('QA Log'!D:D,A215,'QA Log'!M:M,"Vignette",'QA Log'!Z:Z,"Approved",'QA Log'!L:L,"*Exit Interview 1*"),
    COUNTIFS('QA Log'!D:D,A215,'QA Log'!M:M,"Vignette",'QA Log'!Z:Z,"Approved",'QA Log'!L:L,"*Exit Interview 2*")
  )
)</f>
        <v/>
      </c>
      <c r="BR215" s="105" t="str">
        <f>IF(A215&lt;&gt;"",COUNTIFS('QA Log'!D:D,A215,'QA Log'!M:M,"Vignette",'QA Log'!L:L,"Exit Interview 1",'QA Log'!Z:Z,"Approved"),"")</f>
        <v/>
      </c>
      <c r="BS215" s="105" t="str">
        <f>IF(A215&lt;&gt;"",COUNTIFS('QA Log'!D:D,A215,'QA Log'!M:M,"Vignette",'QA Log'!L:L,"Exit Interview 2",'QA Log'!Z:Z,"Approved"),"")</f>
        <v/>
      </c>
      <c r="BT215" s="102" t="str">
        <f>IF(
  A215="","",
  SUM(
    COUNTIFS('QA Log'!D:D,A215,'QA Log'!M:M,"Vignette",'QA Log'!Z:Z,"Rejected",'QA Log'!L:L,"*Exit Interview 1*"),
    COUNTIFS('QA Log'!D:D,A215,'QA Log'!M:M,"Vignette",'QA Log'!Z:Z,"Rejected",'QA Log'!L:L,"*Exit Interview 2*")
  )
)</f>
        <v/>
      </c>
      <c r="BU215" s="107" t="str">
        <f t="shared" si="13"/>
        <v/>
      </c>
      <c r="BV215" s="102" t="str">
        <f t="shared" si="14"/>
        <v/>
      </c>
      <c r="BW215" s="102" t="str">
        <f t="shared" si="15"/>
        <v/>
      </c>
      <c r="BX215" s="102" t="str">
        <f t="shared" si="16"/>
        <v/>
      </c>
      <c r="BY215" s="102" t="str">
        <f t="shared" si="17"/>
        <v/>
      </c>
      <c r="BZ215" s="107" t="str">
        <f t="shared" si="18"/>
        <v/>
      </c>
      <c r="CA215" s="108" t="str">
        <f t="shared" si="19"/>
        <v/>
      </c>
      <c r="CB215" s="108" t="str">
        <f t="shared" si="20"/>
        <v/>
      </c>
      <c r="CC215" s="109" t="str">
        <f t="shared" si="21"/>
        <v/>
      </c>
      <c r="CD215" s="108" t="str">
        <f t="shared" si="22"/>
        <v/>
      </c>
      <c r="CE215" s="108" t="str">
        <f t="shared" si="23"/>
        <v/>
      </c>
      <c r="CF215" s="109" t="str">
        <f t="shared" si="24"/>
        <v/>
      </c>
      <c r="CG215" s="110" t="str">
        <f t="shared" si="25"/>
        <v/>
      </c>
      <c r="CH215" s="111"/>
    </row>
    <row r="216" spans="1:86" ht="12.75">
      <c r="A216" s="101"/>
      <c r="B216" s="102" t="e">
        <f t="array" aca="1" ref="B216" ca="1">_xludf.XLOOKUP(A216,'QA Log'!D:D,'QA Log'!E:E,"")</f>
        <v>#NAME?</v>
      </c>
      <c r="C216" s="102" t="e">
        <f t="array" aca="1" ref="C216" ca="1">_xludf.XLOOKUP(A216,'QA Log'!D:D,'QA Log'!F:F,"")</f>
        <v>#NAME?</v>
      </c>
      <c r="D216" s="102" t="e">
        <f t="array" aca="1" ref="D216" ca="1">_xludf.XLOOKUP(A216,'QA Log'!D:D,'QA Log'!H:H,"")</f>
        <v>#NAME?</v>
      </c>
      <c r="E216" s="102" t="e">
        <f t="array" aca="1" ref="E216" ca="1">_xludf.XLOOKUP(A216,'QA Log'!D:D,'QA Log'!G:G,"")</f>
        <v>#NAME?</v>
      </c>
      <c r="F216" s="103"/>
      <c r="G216" s="104"/>
      <c r="H216" s="104"/>
      <c r="I216" s="103" t="str">
        <f t="shared" si="0"/>
        <v/>
      </c>
      <c r="J216" s="102" t="str">
        <f>IF(A216="","",SUM(
COUNTIFS('QA Log'!D:D,A216,'QA Log'!M:M,"QQC",'QA Log'!L:L,"*1. General Management*"),
COUNTIFS('QA Log'!D:D,A216,'QA Log'!M:M,"QQC",'QA Log'!L:L,"*3. Curative Consultation (OPD)*"),
COUNTIFS('QA Log'!D:D,A216,'QA Log'!M:M,"QQC",'QA Log'!L:L,"*5. Laboratory*"),
COUNTIFS('QA Log'!D:D,A216,'QA Log'!M:M,"QQC",'QA Log'!L:L,"*6. Essential Medicine Management*"),
COUNTIFS('QA Log'!D:D,A216,'QA Log'!M:M,"QQC",'QA Log'!L:L,"*7. Tracer Medicine*"),
COUNTIFS('QA Log'!D:D,A216,'QA Log'!M:M,"QQC",'QA Log'!L:L,"*11. Additional Questions*")))</f>
        <v/>
      </c>
      <c r="K216" s="102" t="str">
        <f>IF(A216="","",SUM(
COUNTIFS('QA Log'!D:D,A216,'QA Log'!M:M,"QQC",'QA Log'!Z:Z,"Approved",'QA Log'!L:L,"*1. General Management*"),
COUNTIFS('QA Log'!D:D,A216,'QA Log'!M:M,"QQC",'QA Log'!Z:Z,"Approved",'QA Log'!L:L,"*3. Curative Consultation (OPD)*"),
COUNTIFS('QA Log'!D:D,A216,'QA Log'!M:M,"QQC",'QA Log'!Z:Z,"Approved",'QA Log'!L:L,"*5. Laboratory*"),
COUNTIFS('QA Log'!D:D,A216,'QA Log'!M:M,"QQC",'QA Log'!Z:Z,"Approved",'QA Log'!L:L,"*6. Essential Medicine Management*"),
COUNTIFS('QA Log'!D:D,A216,'QA Log'!M:M,"QQC",'QA Log'!Z:Z,"Approved",'QA Log'!L:L,"*7. Tracer Medicine*"),
COUNTIFS('QA Log'!D:D,A216,'QA Log'!M:M,"QQC",'QA Log'!Z:Z,"Approved",'QA Log'!L:L,"*11. Additional Questions*")))</f>
        <v/>
      </c>
      <c r="L216" s="105" t="str">
        <f>IF(A216&lt;&gt;"",COUNTIFS('QA Log'!D:D,A216,'QA Log'!M:M,"QQC",'QA Log'!L:L,"1. General Management",'QA Log'!Z:Z,"Approved"),"")</f>
        <v/>
      </c>
      <c r="M216" s="105" t="str">
        <f>IF(A216&lt;&gt;"",COUNTIFS('QA Log'!D:D,A216,'QA Log'!M:M,"QQC",'QA Log'!L:L,"3. Curative Consultation (OPD)",'QA Log'!Z:Z,"Approved"),"")</f>
        <v/>
      </c>
      <c r="N216" s="105" t="str">
        <f>IF(A216&lt;&gt;"",COUNTIFS('QA Log'!D:D,A216,'QA Log'!M:M,"QQC",'QA Log'!L:L,"5. Laboratory",'QA Log'!Z:Z,"Approved"),"")</f>
        <v/>
      </c>
      <c r="O216" s="105" t="str">
        <f>IF(A216&lt;&gt;"",COUNTIFS('QA Log'!D:D,A216,'QA Log'!M:M,"QQC",'QA Log'!L:L,"6. Essential Medicine Management",'QA Log'!Z:Z,"Approved"),"")</f>
        <v/>
      </c>
      <c r="P216" s="105" t="str">
        <f>IF(A216&lt;&gt;"",COUNTIFS('QA Log'!D:D,A216,'QA Log'!M:M,"QQC",'QA Log'!L:L,"7. Tracer Medicine",'QA Log'!Z:Z,"Approved"),"")</f>
        <v/>
      </c>
      <c r="Q216" s="105" t="str">
        <f>IF(A216&lt;&gt;"",COUNTIFS('QA Log'!D:D,A216,'QA Log'!M:M,"QQC",'QA Log'!L:L,"11. Additional Questions",'QA Log'!Z:Z,"Approved"),"")</f>
        <v/>
      </c>
      <c r="R216" s="102" t="str">
        <f>IF(A216="","",SUM(
COUNTIFS('QA Log'!D:D,A216,'QA Log'!M:M,"QQC",'QA Log'!Z:Z,"Rejected",'QA Log'!L:L,"*8. Maternity*"),
COUNTIFS('QA Log'!D:D,A216,'QA Log'!M:M,"QQC",'QA Log'!Z:Z,"Rejected",'QA Log'!L:L,"*EPI*"),
COUNTIFS('QA Log'!D:D,A216,'QA Log'!M:M,"QQC",'QA Log'!Z:Z,"Rejected",'QA Log'!L:L,"*10. Antenatal Care (ANC)*"),
COUNTIFS('QA Log'!D:D,A216,'QA Log'!M:M,"QQC",'QA Log'!Z:Z,"Rejected",'QA Log'!L:L,"*2. Hygiene and Sterilization*"),
COUNTIFS('QA Log'!D:D,A216,'QA Log'!M:M,"QQC",'QA Log'!Z:Z,"Rejected",'QA Log'!L:L,"*Family Planning*")))</f>
        <v/>
      </c>
      <c r="S216" s="106" t="str">
        <f t="shared" si="1"/>
        <v/>
      </c>
      <c r="T216" s="102" t="str">
        <f t="shared" si="2"/>
        <v/>
      </c>
      <c r="U216" s="102" t="str">
        <f>IF(A216="","",
SUM(
COUNTIFS('QA Log'!D:D,A216,'QA Log'!M:M,"QQC",'QA Log'!L:L,"*8. Maternity*"),
COUNTIFS('QA Log'!D:D,A216,'QA Log'!M:M,"QQC",'QA Log'!L:L,"*9. EPI and Pre-school Consultation*"),
COUNTIFS('QA Log'!D:D,A216,'QA Log'!M:M,"QQC",'QA Log'!L:L,"*10. Antenatal Care (ANC)*"),
COUNTIFS('QA Log'!D:D,A216,'QA Log'!M:M,"QQC",'QA Log'!L:L,"*2. Hygiene and Sterilization*"),
COUNTIFS('QA Log'!D:D,A216,'QA Log'!M:M,"QQC",'QA Log'!L:L,"*4. Family Planning*")
))</f>
        <v/>
      </c>
      <c r="V216" s="102" t="str">
        <f>IF(A216="","",
SUM(
COUNTIFS('QA Log'!D:D,A216,'QA Log'!M:M,"QQC",'QA Log'!Z:Z,"Approved",'QA Log'!L:L,"*8. Maternity*"),
COUNTIFS('QA Log'!D:D,A216,'QA Log'!M:M,"QQC",'QA Log'!Z:Z,"Approved",'QA Log'!L:L,"*9. EPI and Pre-school Consultation*"),
COUNTIFS('QA Log'!D:D,A216,'QA Log'!M:M,"QQC",'QA Log'!Z:Z,"Approved",'QA Log'!L:L,"*10. Antenatal Care (ANC)*"),
COUNTIFS('QA Log'!D:D,A216,'QA Log'!M:M,"QQC",'QA Log'!Z:Z,"Approved",'QA Log'!L:L,"*2. Hygiene and Sterilization*"),
COUNTIFS('QA Log'!D:D,A216,'QA Log'!M:M,"QQC",'QA Log'!Z:Z,"Approved",'QA Log'!L:L,"*4. Family Planning*")
))</f>
        <v/>
      </c>
      <c r="W216" s="105" t="str">
        <f>IF(A216&lt;&gt;"",COUNTIFS('QA Log'!D:D,A216,'QA Log'!M:M,"QQC",'QA Log'!L:L,"8. Maternity",'QA Log'!Z:Z,"Approved"),"")</f>
        <v/>
      </c>
      <c r="X216" s="105" t="str">
        <f>IF(A216&lt;&gt;"",COUNTIFS('QA Log'!D:D,A216,'QA Log'!M:M,"QQC",'QA Log'!L:L,"9. EPI and Pre-school Consultation",'QA Log'!Z:Z,"Approved"),"")</f>
        <v/>
      </c>
      <c r="Y216" s="105" t="str">
        <f>IF(A216&lt;&gt;"",COUNTIFS('QA Log'!D:D,A216,'QA Log'!M:M,"QQC",'QA Log'!L:L,"10. Antenatal Care (ANC)",'QA Log'!Z:Z,"Approved"),"")</f>
        <v/>
      </c>
      <c r="Z216" s="105" t="str">
        <f>IF(A216&lt;&gt;"",COUNTIFS('QA Log'!D:D,A216,'QA Log'!M:M,"QQC",'QA Log'!L:L,"2. Hygiene and Sterilization",'QA Log'!Z:Z,"Approved"),"")</f>
        <v/>
      </c>
      <c r="AA216" s="105" t="str">
        <f>IF(A216&lt;&gt;"",COUNTIFS('QA Log'!D:D,A216,'QA Log'!M:M,"QQC",'QA Log'!L:L,"4. Family Planning",'QA Log'!Z:Z,"Approved"),"")</f>
        <v/>
      </c>
      <c r="AB216" s="102" t="str">
        <f>IF(A216="","",
SUM(
COUNTIFS('QA Log'!D:D,A216,'QA Log'!M:M,"QQC",'QA Log'!Z:Z,"Rejected",'QA Log'!L:L,"*8. Maternity*"),
COUNTIFS('QA Log'!D:D,A216,'QA Log'!M:M,"QQC",'QA Log'!Z:Z,"Rejected",'QA Log'!L:L,"*9. EPI and Pre-school Consultation*"),
COUNTIFS('QA Log'!D:D,A216,'QA Log'!M:M,"QQC",'QA Log'!Z:Z,"Rejected",'QA Log'!L:L,"*10. Antenatal Care (ANC)*"),
COUNTIFS('QA Log'!D:D,A216,'QA Log'!M:M,"QQC",'QA Log'!Z:Z,"Rejected",'QA Log'!L:L,"*2. Hygiene and Sterilization*"),
COUNTIFS('QA Log'!D:D,A216,'QA Log'!M:M,"QQC",'QA Log'!Z:Z,"Rejected",'QA Log'!L:L,"*4. Family Planning*")
))</f>
        <v/>
      </c>
      <c r="AC216" s="102" t="str">
        <f t="shared" si="3"/>
        <v/>
      </c>
      <c r="AD216" s="103" t="str">
        <f t="shared" si="4"/>
        <v/>
      </c>
      <c r="AE216" s="102" t="str">
        <f>IF(A216="","",
SUM(
COUNTIFS('QA Log'!D:D,A216,'QA Log'!M:M,"Data Verification",'QA Log'!L:L,"*Medicine (section 2)*"),
COUNTIFS('QA Log'!D:D,A216,'QA Log'!M:M,"Data Verification",'QA Log'!L:L,"*Lab Testing Availability*"),
COUNTIFS('QA Log'!D:D,A216,'QA Log'!M:M,"Data Verification",'QA Log'!L:L,"*Other than P4P (section 6)*"),
COUNTIFS('QA Log'!D:D,A216,'QA Log'!M:M,"Data Verification",'QA Log'!L:L,"*Hospital Governance*")
))</f>
        <v/>
      </c>
      <c r="AF216" s="102" t="str">
        <f>IF(A216="","",
SUM(
COUNTIFS('QA Log'!D:D,A216,'QA Log'!M:M,"Data Verification",'QA Log'!Z:Z,"Approved",'QA Log'!L:L,"*Medicine (section 2)*"),
COUNTIFS('QA Log'!D:D,A216,'QA Log'!M:M,"Data Verification",'QA Log'!Z:Z,"Approved",'QA Log'!L:L,"*Lab Testing Availability*"),
COUNTIFS('QA Log'!D:D,A216,'QA Log'!M:M,"Data Verification",'QA Log'!Z:Z,"Approved",'QA Log'!L:L,"*Other than P4P (section 6)*"),
COUNTIFS('QA Log'!D:D,A216,'QA Log'!M:M,"Data Verification",'QA Log'!Z:Z,"Approved",'QA Log'!L:L,"*Hospital Governance*")
))</f>
        <v/>
      </c>
      <c r="AG216" s="105" t="str">
        <f>IF(A216&lt;&gt;"",COUNTIFS('QA Log'!D:D,A216,'QA Log'!M:M,"Data Verification",'QA Log'!L:L,"Medicine (section 2)",'QA Log'!Z:Z,"Approved"),"")</f>
        <v/>
      </c>
      <c r="AH216" s="105" t="str">
        <f>IF(A216&lt;&gt;"",COUNTIFS('QA Log'!D:D,A216,'QA Log'!M:M,"Data Verification",'QA Log'!L:L,"Lab Testing Availability",'QA Log'!Z:Z,"Approved"),"")</f>
        <v/>
      </c>
      <c r="AI216" s="105" t="str">
        <f>IF(A216&lt;&gt;"",COUNTIFS('QA Log'!D:D,A216,'QA Log'!M:M,"Data Verification",'QA Log'!L:L,"Other than P4P (section 6)",'QA Log'!Z:Z,"Approved"),"")</f>
        <v/>
      </c>
      <c r="AJ216" s="105" t="str">
        <f>IF(A216&lt;&gt;"",COUNTIFS('QA Log'!D:D,A216,'QA Log'!M:M,"Data Verification",'QA Log'!L:L,"Hospital Governance",'QA Log'!Z:Z,"Approved"),"")</f>
        <v/>
      </c>
      <c r="AK216" s="102" t="str">
        <f>IF(A216="","",
SUM(
COUNTIFS('QA Log'!D:D,A216,'QA Log'!M:M,"Data Verification",'QA Log'!Z:Z,"Rejected",'QA Log'!L:L,"*Medicine (section 2)*"),
COUNTIFS('QA Log'!D:D,A216,'QA Log'!M:M,"Data Verification",'QA Log'!Z:Z,"Rejected",'QA Log'!L:L,"*Lab Testing Availability*"),
COUNTIFS('QA Log'!D:D,A216,'QA Log'!M:M,"Data Verification",'QA Log'!Z:Z,"Rejected",'QA Log'!L:L,"*Other than P4P (section 6)*"),
COUNTIFS('QA Log'!D:D,A216,'QA Log'!M:M,"Data Verification",'QA Log'!Z:Z,"Rejected",'QA Log'!L:L,"*Hospital Governance*")
))</f>
        <v/>
      </c>
      <c r="AL216" s="106" t="str">
        <f t="shared" si="5"/>
        <v/>
      </c>
      <c r="AM216" s="102" t="str">
        <f t="shared" si="6"/>
        <v/>
      </c>
      <c r="AN216" s="102" t="str">
        <f>IF(A216="","",
SUM(
COUNTIFS('QA Log'!D:D,A216,'QA Log'!M:M,"Data Verification",'QA Log'!L:L,"*Personnel (section 1)*"),
COUNTIFS('QA Log'!D:D,A216,'QA Log'!M:M,"Data Verification",'QA Log'!L:L,"*Consumable (section 3)*"),
COUNTIFS('QA Log'!D:D,A216,'QA Log'!M:M,"Data Verification",'QA Log'!L:L,"*Equipments (section 4)*")
))</f>
        <v/>
      </c>
      <c r="AO216" s="102" t="str">
        <f>IF(A216="","",
SUM(
COUNTIFS('QA Log'!D:D,A216,'QA Log'!M:M,"Data Verification",'QA Log'!Z:Z,"Approved",'QA Log'!L:L,"*Personnel (section 1)*"),
COUNTIFS('QA Log'!D:D,A216,'QA Log'!M:M,"Data Verification",'QA Log'!Z:Z,"Approved",'QA Log'!L:L,"*Consumable (section 3)*"),
COUNTIFS('QA Log'!D:D,A216,'QA Log'!M:M,"Data Verification",'QA Log'!Z:Z,"Approved",'QA Log'!L:L,"*Equipments (section 4)*")
))</f>
        <v/>
      </c>
      <c r="AP216" s="105" t="str">
        <f>IF(A216&lt;&gt;"",COUNTIFS('QA Log'!D:D,A216,'QA Log'!M:M,"Data Verification",'QA Log'!L:L,"Personnel (section 1)",'QA Log'!Z:Z,"Approved"),"")</f>
        <v/>
      </c>
      <c r="AQ216" s="105" t="str">
        <f>IF(A216&lt;&gt;"",COUNTIFS('QA Log'!D:D,A216,'QA Log'!M:M,"Data Verification",'QA Log'!L:L,"Consumable (section 3)",'QA Log'!Z:Z,"Approved"),"")</f>
        <v/>
      </c>
      <c r="AR216" s="105" t="str">
        <f>IF(A216&lt;&gt;"",COUNTIFS('QA Log'!D:D,A216,'QA Log'!M:M,"Data Verification",'QA Log'!L:L,"Equipments (section 4)",'QA Log'!Z:Z,"Approved"),"")</f>
        <v/>
      </c>
      <c r="AS216" s="102" t="str">
        <f>IF(A216="","",
SUM(
COUNTIFS('QA Log'!D:D,A216,'QA Log'!M:M,"Data Verification",'QA Log'!Z:Z,"Rejected",'QA Log'!L:L,"*Personnel (section 1)*"),
COUNTIFS('QA Log'!D:D,A216,'QA Log'!M:M,"Data Verification",'QA Log'!Z:Z,"Rejected",'QA Log'!L:L,"*Consumable (section 3)*"),
COUNTIFS('QA Log'!D:D,A216,'QA Log'!M:M,"Data Verification",'QA Log'!Z:Z,"Rejected",'QA Log'!L:L,"*Equipments (section 4)*")
))</f>
        <v/>
      </c>
      <c r="AT216" s="102" t="str">
        <f t="shared" si="7"/>
        <v/>
      </c>
      <c r="AU216" s="103" t="str">
        <f t="shared" si="8"/>
        <v/>
      </c>
      <c r="AV216" s="102" t="str">
        <f>IF(A216="","",SUM(
COUNTIFS('QA Log'!D:D,A216,'QA Log'!M:M,"Vignette",'QA Log'!L:L,"*Vignette [1] Respiratory Infection: Pneumonia*"),
COUNTIFS('QA Log'!D:D,A216,'QA Log'!M:M,"Vignette",'QA Log'!L:L,"*Vignette [2]: Diarrhea with Cat B dehydration*"),
COUNTIFS('QA Log'!D:D,A216,'QA Log'!M:M,"Vignette",'QA Log'!L:L,"*Vignette [3] Growth Monitoring and Promotion*"),
COUNTIFS('QA Log'!D:D,A216,'QA Log'!M:M,"Vignette",'QA Log'!L:L,"*Vignette [4]: The management of presumptive TB patient*")
)
)</f>
        <v/>
      </c>
      <c r="AW216" s="102" t="str">
        <f>IF(
  A216="","",
  SUM(
    COUNTIFS('QA Log'!D:D,A216,'QA Log'!M:M,"Vignette",'QA Log'!Z:Z,"Approved",'QA Log'!L:L,"*Vignette [1] Respiratory Infection: Pneumonia*"),
    COUNTIFS('QA Log'!D:D,A216,'QA Log'!M:M,"Vignette",'QA Log'!Z:Z,"Approved",'QA Log'!L:L,"*Vignette [2]: Diarrhea with Cat B dehydration*"),
    COUNTIFS('QA Log'!D:D,A216,'QA Log'!M:M,"Vignette",'QA Log'!Z:Z,"Approved",'QA Log'!L:L,"*Vignette [3] Growth Monitoring and Promotion*"),
    COUNTIFS('QA Log'!D:D,A216,'QA Log'!M:M,"Vignette",'QA Log'!Z:Z,"Approved",'QA Log'!L:L,"*Vignette [4]: The management of presumptive TB patient*")
  )
)</f>
        <v/>
      </c>
      <c r="AX216" s="105" t="str">
        <f>IF(A216&lt;&gt;"",COUNTIFS('QA Log'!D:D,A216,'QA Log'!M:M,"Vignette",'QA Log'!L:L,"Vignette [1] Respiratory Infection: Pneumonia",'QA Log'!Z:Z,"Approved"),"")</f>
        <v/>
      </c>
      <c r="AY216" s="105" t="str">
        <f>IF(A216&lt;&gt;"",COUNTIFS('QA Log'!D:D,A216,'QA Log'!M:M,"Vignette",'QA Log'!L:L,"Vignette [2]: Diarrhea with Cat B dehydration",'QA Log'!Z:Z,"Approved"),"")</f>
        <v/>
      </c>
      <c r="AZ216" s="105" t="str">
        <f>IF(A216&lt;&gt;"",COUNTIFS('QA Log'!D:D,A216,'QA Log'!M:M,"Vignette",'QA Log'!L:L,"Vignette [3] Growth Monitoring and Promotion",'QA Log'!Z:Z,"Approved"),"")</f>
        <v/>
      </c>
      <c r="BA216" s="105" t="str">
        <f>IF(A216&lt;&gt;"",COUNTIFS('QA Log'!D:D,A216,'QA Log'!M:M,"Vignette",'QA Log'!L:L,"Vignette [4]: The management of presumptive TB patient",'QA Log'!Z:Z,"Approved"),"")</f>
        <v/>
      </c>
      <c r="BB216" s="102" t="str">
        <f>IF(A216="","",
  SUM(
    COUNTIFS('QA Log'!D:D,A216,'QA Log'!M:M,"Vignette",'QA Log'!Z:Z,"Rejected",'QA Log'!L:L,"*Vignette [1] Respiratory Infection: Pneumonia*"),
    COUNTIFS('QA Log'!D:D,A216,'QA Log'!M:M,"Vignette",'QA Log'!Z:Z,"Rejected",'QA Log'!L:L,"*Vignette [2]: Diarrhea with Cat B dehydration*"),
    COUNTIFS('QA Log'!D:D,A216,'QA Log'!M:M,"Vignette",'QA Log'!Z:Z,"Rejected",'QA Log'!L:L,"*Vignette [3] Growth Monitoring and Promotion*"),
    COUNTIFS('QA Log'!D:D,A216,'QA Log'!M:M,"Vignette",'QA Log'!Z:Z,"Rejected",'QA Log'!L:L,"*Vignette [4]: The management of presumptive TB patient*")
  )
)</f>
        <v/>
      </c>
      <c r="BC216" s="107" t="str">
        <f t="shared" si="9"/>
        <v/>
      </c>
      <c r="BD216" s="103" t="str">
        <f t="shared" si="10"/>
        <v/>
      </c>
      <c r="BE216" s="102" t="str">
        <f>IF(A216="","",SUM(
COUNTIFS('QA Log'!D:D,A216,'QA Log'!M:M,"Vignette",'QA Log'!L:L,"*Vignette [5] Labor*"),
COUNTIFS('QA Log'!D:D,A216,'QA Log'!M:M,"Vignette",'QA Log'!L:L,"*Vignette [6] PNC pre Discharge*"),
COUNTIFS('QA Log'!D:D,A216,'QA Log'!M:M,"Vignette",'QA Log'!L:L,"*Vignette [7] First ANC Visit*"),
COUNTIFS('QA Log'!D:D,A216,'QA Log'!M:M,"Vignette",'QA Log'!L:L,"*Vignette [8] Birth Spacing/ Family Planning :  FP Counselling*"),
COUNTIFS('QA Log'!D:D,A216,'QA Log'!M:M,"Vignette",'QA Log'!L:L,"*Vignette [9] Birth Spacing: Change FP method to Injectable*"),
COUNTIFS('QA Log'!D:D,A216,'QA Log'!M:M,"Vignette",'QA Log'!L:L,"*Vignette [10] Post Partum Haemorrhage - Atonic Uterus at Health Centre*"),
)
)</f>
        <v/>
      </c>
      <c r="BF216" s="102" t="str">
        <f>IF(A216="","",
  SUM(
    COUNTIFS('QA Log'!D:D,A216,'QA Log'!M:M,"Vignette",'QA Log'!Z:Z,"Approved",'QA Log'!L:L,"*Vignette [5] Labor*"),
    COUNTIFS('QA Log'!D:D,A216,'QA Log'!M:M,"Vignette",'QA Log'!Z:Z,"Approved",'QA Log'!L:L,"*Vignette [6] PNC pre Discharge*"),
    COUNTIFS('QA Log'!D:D,A216,'QA Log'!M:M,"Vignette",'QA Log'!Z:Z,"Approved",'QA Log'!L:L,"*Vignette [7] First ANC Visit*"),
    COUNTIFS('QA Log'!D:D,A216,'QA Log'!M:M,"Vignette",'QA Log'!Z:Z,"Approved",'QA Log'!L:L,"*Vignette [8] Birth Spacing/ Family Planning :  FP Counselling*"),
    COUNTIFS('QA Log'!D:D,A216,'QA Log'!M:M,"Vignette",'QA Log'!Z:Z,"Approved",'QA Log'!L:L,"*Vignette [9] Birth Spacing: Change FP method to Injectable*"),
    COUNTIFS('QA Log'!D:D,A216,'QA Log'!M:M,"Vignette",'QA Log'!Z:Z,"Approved",'QA Log'!L:L,"*Vignette [10] Post Partum Haemorrhage - Atonic Uterus at Health Centre*")
  )
)</f>
        <v/>
      </c>
      <c r="BG216" s="105" t="str">
        <f>IF(A216&lt;&gt;"",COUNTIFS('QA Log'!D:D,A216,'QA Log'!M:M,"Vignette",'QA Log'!L:L,"Vignette [5] Labor",'QA Log'!Z:Z,"Approved"),"")</f>
        <v/>
      </c>
      <c r="BH216" s="105" t="str">
        <f>IF(A216&lt;&gt;"",COUNTIFS('QA Log'!D:D,A216,'QA Log'!M:M,"Vignette",'QA Log'!L:L,"Vignette [6] PNC pre Discharge",'QA Log'!Z:Z,"Approved"),"")</f>
        <v/>
      </c>
      <c r="BI216" s="105" t="str">
        <f>IF(A216&lt;&gt;"",COUNTIFS('QA Log'!D:D,A216,'QA Log'!M:M,"Vignette",'QA Log'!L:L,"Vignette [7] First ANC Visit",'QA Log'!Z:Z,"Approved"),"")</f>
        <v/>
      </c>
      <c r="BJ216" s="105" t="str">
        <f>IF(A216&lt;&gt;"",COUNTIFS('QA Log'!D:D,A216,'QA Log'!M:M,"Vignette",'QA Log'!L:L,"Vignette [8] Birth Spacing/ Family Planning :  FP Counselling",'QA Log'!Z:Z,"Approved"),"")</f>
        <v/>
      </c>
      <c r="BK216" s="105" t="str">
        <f>IF(A216&lt;&gt;"",COUNTIFS('QA Log'!D:D,A216,'QA Log'!M:M,"Vignette",'QA Log'!L:L,"Vignette [9] Birth Spacing: Change FP method to Injectable",'QA Log'!Z:Z,"Approved"),"")</f>
        <v/>
      </c>
      <c r="BL216" s="105" t="str">
        <f>IF(A216&lt;&gt;"",COUNTIFS('QA Log'!D:D,A216,'QA Log'!M:M,"Vignette",'QA Log'!L:L,"Vignette [10] Post Partum Haemorrhage - Atonic Uterus at Health Centre",'QA Log'!Z:Z,"Approved"),"")</f>
        <v/>
      </c>
      <c r="BM216" s="102" t="str">
        <f>IF(A216="","",SUM(
    COUNTIFS('QA Log'!D:D,A216,'QA Log'!M:M,"Vignette",'QA Log'!Z:Z,"Rejected",'QA Log'!L:L,"*Vignette [5] Labor*"),
    COUNTIFS('QA Log'!D:D,A216,'QA Log'!M:M,"Vignette",'QA Log'!Z:Z,"Rejected",'QA Log'!L:L,"*Vignette [6] PNC pre Discharge*"),
    COUNTIFS('QA Log'!D:D,A216,'QA Log'!M:M,"Vignette",'QA Log'!Z:Z,"Rejected",'QA Log'!L:L,"*Vignette [7] First ANC Visit*"),
    COUNTIFS('QA Log'!D:D,A216,'QA Log'!M:M,"Vignette",'QA Log'!Z:Z,"Rejected",'QA Log'!L:L,"*Vignette [8] Birth Spacing/ Family Planning :  FP Counselling*"),
    COUNTIFS('QA Log'!D:D,A216,'QA Log'!M:M,"Vignette",'QA Log'!Z:Z,"Rejected",'QA Log'!L:L,"*Vignette [9] Birth Spacing: Change FP method to Injectable*"),
    COUNTIFS('QA Log'!D:D,A216,'QA Log'!M:M,"Vignette",'QA Log'!Z:Z,"Rejected",'QA Log'!L:L,"*Vignette [10] Post Partum Haemorrhage - Atonic Uterus at Health Centre*")
  )
)</f>
        <v/>
      </c>
      <c r="BN216" s="107" t="str">
        <f t="shared" si="11"/>
        <v/>
      </c>
      <c r="BO216" s="103" t="str">
        <f t="shared" si="12"/>
        <v/>
      </c>
      <c r="BP216" s="102" t="str">
        <f>IF(A216="","",SUM(
COUNTIFS('QA Log'!D:D,A216,'QA Log'!M:M,"Vignette",'QA Log'!L:L,"*Exit Interview 1*"),
COUNTIFS('QA Log'!D:D,A216,'QA Log'!M:M,"Vignette",'QA Log'!L:L,"*Exit Interview 2*"),
)
)</f>
        <v/>
      </c>
      <c r="BQ216" s="102" t="str">
        <f>IF(
  A216="","",
  SUM(
    COUNTIFS('QA Log'!D:D,A216,'QA Log'!M:M,"Vignette",'QA Log'!Z:Z,"Approved",'QA Log'!L:L,"*Exit Interview 1*"),
    COUNTIFS('QA Log'!D:D,A216,'QA Log'!M:M,"Vignette",'QA Log'!Z:Z,"Approved",'QA Log'!L:L,"*Exit Interview 2*")
  )
)</f>
        <v/>
      </c>
      <c r="BR216" s="105" t="str">
        <f>IF(A216&lt;&gt;"",COUNTIFS('QA Log'!D:D,A216,'QA Log'!M:M,"Vignette",'QA Log'!L:L,"Exit Interview 1",'QA Log'!Z:Z,"Approved"),"")</f>
        <v/>
      </c>
      <c r="BS216" s="105" t="str">
        <f>IF(A216&lt;&gt;"",COUNTIFS('QA Log'!D:D,A216,'QA Log'!M:M,"Vignette",'QA Log'!L:L,"Exit Interview 2",'QA Log'!Z:Z,"Approved"),"")</f>
        <v/>
      </c>
      <c r="BT216" s="102" t="str">
        <f>IF(
  A216="","",
  SUM(
    COUNTIFS('QA Log'!D:D,A216,'QA Log'!M:M,"Vignette",'QA Log'!Z:Z,"Rejected",'QA Log'!L:L,"*Exit Interview 1*"),
    COUNTIFS('QA Log'!D:D,A216,'QA Log'!M:M,"Vignette",'QA Log'!Z:Z,"Rejected",'QA Log'!L:L,"*Exit Interview 2*")
  )
)</f>
        <v/>
      </c>
      <c r="BU216" s="107" t="str">
        <f t="shared" si="13"/>
        <v/>
      </c>
      <c r="BV216" s="102" t="str">
        <f t="shared" si="14"/>
        <v/>
      </c>
      <c r="BW216" s="102" t="str">
        <f t="shared" si="15"/>
        <v/>
      </c>
      <c r="BX216" s="102" t="str">
        <f t="shared" si="16"/>
        <v/>
      </c>
      <c r="BY216" s="102" t="str">
        <f t="shared" si="17"/>
        <v/>
      </c>
      <c r="BZ216" s="107" t="str">
        <f t="shared" si="18"/>
        <v/>
      </c>
      <c r="CA216" s="108" t="str">
        <f t="shared" si="19"/>
        <v/>
      </c>
      <c r="CB216" s="108" t="str">
        <f t="shared" si="20"/>
        <v/>
      </c>
      <c r="CC216" s="109" t="str">
        <f t="shared" si="21"/>
        <v/>
      </c>
      <c r="CD216" s="108" t="str">
        <f t="shared" si="22"/>
        <v/>
      </c>
      <c r="CE216" s="108" t="str">
        <f t="shared" si="23"/>
        <v/>
      </c>
      <c r="CF216" s="109" t="str">
        <f t="shared" si="24"/>
        <v/>
      </c>
      <c r="CG216" s="110" t="str">
        <f t="shared" si="25"/>
        <v/>
      </c>
      <c r="CH216" s="111"/>
    </row>
    <row r="217" spans="1:86" ht="12.75">
      <c r="A217" s="101"/>
      <c r="B217" s="102" t="e">
        <f t="array" aca="1" ref="B217" ca="1">_xludf.XLOOKUP(A217,'QA Log'!D:D,'QA Log'!E:E,"")</f>
        <v>#NAME?</v>
      </c>
      <c r="C217" s="102" t="e">
        <f t="array" aca="1" ref="C217" ca="1">_xludf.XLOOKUP(A217,'QA Log'!D:D,'QA Log'!F:F,"")</f>
        <v>#NAME?</v>
      </c>
      <c r="D217" s="102" t="e">
        <f t="array" aca="1" ref="D217" ca="1">_xludf.XLOOKUP(A217,'QA Log'!D:D,'QA Log'!H:H,"")</f>
        <v>#NAME?</v>
      </c>
      <c r="E217" s="102" t="e">
        <f t="array" aca="1" ref="E217" ca="1">_xludf.XLOOKUP(A217,'QA Log'!D:D,'QA Log'!G:G,"")</f>
        <v>#NAME?</v>
      </c>
      <c r="F217" s="103"/>
      <c r="G217" s="104"/>
      <c r="H217" s="104"/>
      <c r="I217" s="103" t="str">
        <f t="shared" si="0"/>
        <v/>
      </c>
      <c r="J217" s="102" t="str">
        <f>IF(A217="","",SUM(
COUNTIFS('QA Log'!D:D,A217,'QA Log'!M:M,"QQC",'QA Log'!L:L,"*1. General Management*"),
COUNTIFS('QA Log'!D:D,A217,'QA Log'!M:M,"QQC",'QA Log'!L:L,"*3. Curative Consultation (OPD)*"),
COUNTIFS('QA Log'!D:D,A217,'QA Log'!M:M,"QQC",'QA Log'!L:L,"*5. Laboratory*"),
COUNTIFS('QA Log'!D:D,A217,'QA Log'!M:M,"QQC",'QA Log'!L:L,"*6. Essential Medicine Management*"),
COUNTIFS('QA Log'!D:D,A217,'QA Log'!M:M,"QQC",'QA Log'!L:L,"*7. Tracer Medicine*"),
COUNTIFS('QA Log'!D:D,A217,'QA Log'!M:M,"QQC",'QA Log'!L:L,"*11. Additional Questions*")))</f>
        <v/>
      </c>
      <c r="K217" s="102" t="str">
        <f>IF(A217="","",SUM(
COUNTIFS('QA Log'!D:D,A217,'QA Log'!M:M,"QQC",'QA Log'!Z:Z,"Approved",'QA Log'!L:L,"*1. General Management*"),
COUNTIFS('QA Log'!D:D,A217,'QA Log'!M:M,"QQC",'QA Log'!Z:Z,"Approved",'QA Log'!L:L,"*3. Curative Consultation (OPD)*"),
COUNTIFS('QA Log'!D:D,A217,'QA Log'!M:M,"QQC",'QA Log'!Z:Z,"Approved",'QA Log'!L:L,"*5. Laboratory*"),
COUNTIFS('QA Log'!D:D,A217,'QA Log'!M:M,"QQC",'QA Log'!Z:Z,"Approved",'QA Log'!L:L,"*6. Essential Medicine Management*"),
COUNTIFS('QA Log'!D:D,A217,'QA Log'!M:M,"QQC",'QA Log'!Z:Z,"Approved",'QA Log'!L:L,"*7. Tracer Medicine*"),
COUNTIFS('QA Log'!D:D,A217,'QA Log'!M:M,"QQC",'QA Log'!Z:Z,"Approved",'QA Log'!L:L,"*11. Additional Questions*")))</f>
        <v/>
      </c>
      <c r="L217" s="105" t="str">
        <f>IF(A217&lt;&gt;"",COUNTIFS('QA Log'!D:D,A217,'QA Log'!M:M,"QQC",'QA Log'!L:L,"1. General Management",'QA Log'!Z:Z,"Approved"),"")</f>
        <v/>
      </c>
      <c r="M217" s="105" t="str">
        <f>IF(A217&lt;&gt;"",COUNTIFS('QA Log'!D:D,A217,'QA Log'!M:M,"QQC",'QA Log'!L:L,"3. Curative Consultation (OPD)",'QA Log'!Z:Z,"Approved"),"")</f>
        <v/>
      </c>
      <c r="N217" s="105" t="str">
        <f>IF(A217&lt;&gt;"",COUNTIFS('QA Log'!D:D,A217,'QA Log'!M:M,"QQC",'QA Log'!L:L,"5. Laboratory",'QA Log'!Z:Z,"Approved"),"")</f>
        <v/>
      </c>
      <c r="O217" s="105" t="str">
        <f>IF(A217&lt;&gt;"",COUNTIFS('QA Log'!D:D,A217,'QA Log'!M:M,"QQC",'QA Log'!L:L,"6. Essential Medicine Management",'QA Log'!Z:Z,"Approved"),"")</f>
        <v/>
      </c>
      <c r="P217" s="105" t="str">
        <f>IF(A217&lt;&gt;"",COUNTIFS('QA Log'!D:D,A217,'QA Log'!M:M,"QQC",'QA Log'!L:L,"7. Tracer Medicine",'QA Log'!Z:Z,"Approved"),"")</f>
        <v/>
      </c>
      <c r="Q217" s="105" t="str">
        <f>IF(A217&lt;&gt;"",COUNTIFS('QA Log'!D:D,A217,'QA Log'!M:M,"QQC",'QA Log'!L:L,"11. Additional Questions",'QA Log'!Z:Z,"Approved"),"")</f>
        <v/>
      </c>
      <c r="R217" s="102" t="str">
        <f>IF(A217="","",SUM(
COUNTIFS('QA Log'!D:D,A217,'QA Log'!M:M,"QQC",'QA Log'!Z:Z,"Rejected",'QA Log'!L:L,"*8. Maternity*"),
COUNTIFS('QA Log'!D:D,A217,'QA Log'!M:M,"QQC",'QA Log'!Z:Z,"Rejected",'QA Log'!L:L,"*EPI*"),
COUNTIFS('QA Log'!D:D,A217,'QA Log'!M:M,"QQC",'QA Log'!Z:Z,"Rejected",'QA Log'!L:L,"*10. Antenatal Care (ANC)*"),
COUNTIFS('QA Log'!D:D,A217,'QA Log'!M:M,"QQC",'QA Log'!Z:Z,"Rejected",'QA Log'!L:L,"*2. Hygiene and Sterilization*"),
COUNTIFS('QA Log'!D:D,A217,'QA Log'!M:M,"QQC",'QA Log'!Z:Z,"Rejected",'QA Log'!L:L,"*Family Planning*")))</f>
        <v/>
      </c>
      <c r="S217" s="106" t="str">
        <f t="shared" si="1"/>
        <v/>
      </c>
      <c r="T217" s="102" t="str">
        <f t="shared" si="2"/>
        <v/>
      </c>
      <c r="U217" s="102" t="str">
        <f>IF(A217="","",
SUM(
COUNTIFS('QA Log'!D:D,A217,'QA Log'!M:M,"QQC",'QA Log'!L:L,"*8. Maternity*"),
COUNTIFS('QA Log'!D:D,A217,'QA Log'!M:M,"QQC",'QA Log'!L:L,"*9. EPI and Pre-school Consultation*"),
COUNTIFS('QA Log'!D:D,A217,'QA Log'!M:M,"QQC",'QA Log'!L:L,"*10. Antenatal Care (ANC)*"),
COUNTIFS('QA Log'!D:D,A217,'QA Log'!M:M,"QQC",'QA Log'!L:L,"*2. Hygiene and Sterilization*"),
COUNTIFS('QA Log'!D:D,A217,'QA Log'!M:M,"QQC",'QA Log'!L:L,"*4. Family Planning*")
))</f>
        <v/>
      </c>
      <c r="V217" s="102" t="str">
        <f>IF(A217="","",
SUM(
COUNTIFS('QA Log'!D:D,A217,'QA Log'!M:M,"QQC",'QA Log'!Z:Z,"Approved",'QA Log'!L:L,"*8. Maternity*"),
COUNTIFS('QA Log'!D:D,A217,'QA Log'!M:M,"QQC",'QA Log'!Z:Z,"Approved",'QA Log'!L:L,"*9. EPI and Pre-school Consultation*"),
COUNTIFS('QA Log'!D:D,A217,'QA Log'!M:M,"QQC",'QA Log'!Z:Z,"Approved",'QA Log'!L:L,"*10. Antenatal Care (ANC)*"),
COUNTIFS('QA Log'!D:D,A217,'QA Log'!M:M,"QQC",'QA Log'!Z:Z,"Approved",'QA Log'!L:L,"*2. Hygiene and Sterilization*"),
COUNTIFS('QA Log'!D:D,A217,'QA Log'!M:M,"QQC",'QA Log'!Z:Z,"Approved",'QA Log'!L:L,"*4. Family Planning*")
))</f>
        <v/>
      </c>
      <c r="W217" s="105" t="str">
        <f>IF(A217&lt;&gt;"",COUNTIFS('QA Log'!D:D,A217,'QA Log'!M:M,"QQC",'QA Log'!L:L,"8. Maternity",'QA Log'!Z:Z,"Approved"),"")</f>
        <v/>
      </c>
      <c r="X217" s="105" t="str">
        <f>IF(A217&lt;&gt;"",COUNTIFS('QA Log'!D:D,A217,'QA Log'!M:M,"QQC",'QA Log'!L:L,"9. EPI and Pre-school Consultation",'QA Log'!Z:Z,"Approved"),"")</f>
        <v/>
      </c>
      <c r="Y217" s="105" t="str">
        <f>IF(A217&lt;&gt;"",COUNTIFS('QA Log'!D:D,A217,'QA Log'!M:M,"QQC",'QA Log'!L:L,"10. Antenatal Care (ANC)",'QA Log'!Z:Z,"Approved"),"")</f>
        <v/>
      </c>
      <c r="Z217" s="105" t="str">
        <f>IF(A217&lt;&gt;"",COUNTIFS('QA Log'!D:D,A217,'QA Log'!M:M,"QQC",'QA Log'!L:L,"2. Hygiene and Sterilization",'QA Log'!Z:Z,"Approved"),"")</f>
        <v/>
      </c>
      <c r="AA217" s="105" t="str">
        <f>IF(A217&lt;&gt;"",COUNTIFS('QA Log'!D:D,A217,'QA Log'!M:M,"QQC",'QA Log'!L:L,"4. Family Planning",'QA Log'!Z:Z,"Approved"),"")</f>
        <v/>
      </c>
      <c r="AB217" s="102" t="str">
        <f>IF(A217="","",
SUM(
COUNTIFS('QA Log'!D:D,A217,'QA Log'!M:M,"QQC",'QA Log'!Z:Z,"Rejected",'QA Log'!L:L,"*8. Maternity*"),
COUNTIFS('QA Log'!D:D,A217,'QA Log'!M:M,"QQC",'QA Log'!Z:Z,"Rejected",'QA Log'!L:L,"*9. EPI and Pre-school Consultation*"),
COUNTIFS('QA Log'!D:D,A217,'QA Log'!M:M,"QQC",'QA Log'!Z:Z,"Rejected",'QA Log'!L:L,"*10. Antenatal Care (ANC)*"),
COUNTIFS('QA Log'!D:D,A217,'QA Log'!M:M,"QQC",'QA Log'!Z:Z,"Rejected",'QA Log'!L:L,"*2. Hygiene and Sterilization*"),
COUNTIFS('QA Log'!D:D,A217,'QA Log'!M:M,"QQC",'QA Log'!Z:Z,"Rejected",'QA Log'!L:L,"*4. Family Planning*")
))</f>
        <v/>
      </c>
      <c r="AC217" s="102" t="str">
        <f t="shared" si="3"/>
        <v/>
      </c>
      <c r="AD217" s="103" t="str">
        <f t="shared" si="4"/>
        <v/>
      </c>
      <c r="AE217" s="102" t="str">
        <f>IF(A217="","",
SUM(
COUNTIFS('QA Log'!D:D,A217,'QA Log'!M:M,"Data Verification",'QA Log'!L:L,"*Medicine (section 2)*"),
COUNTIFS('QA Log'!D:D,A217,'QA Log'!M:M,"Data Verification",'QA Log'!L:L,"*Lab Testing Availability*"),
COUNTIFS('QA Log'!D:D,A217,'QA Log'!M:M,"Data Verification",'QA Log'!L:L,"*Other than P4P (section 6)*"),
COUNTIFS('QA Log'!D:D,A217,'QA Log'!M:M,"Data Verification",'QA Log'!L:L,"*Hospital Governance*")
))</f>
        <v/>
      </c>
      <c r="AF217" s="102" t="str">
        <f>IF(A217="","",
SUM(
COUNTIFS('QA Log'!D:D,A217,'QA Log'!M:M,"Data Verification",'QA Log'!Z:Z,"Approved",'QA Log'!L:L,"*Medicine (section 2)*"),
COUNTIFS('QA Log'!D:D,A217,'QA Log'!M:M,"Data Verification",'QA Log'!Z:Z,"Approved",'QA Log'!L:L,"*Lab Testing Availability*"),
COUNTIFS('QA Log'!D:D,A217,'QA Log'!M:M,"Data Verification",'QA Log'!Z:Z,"Approved",'QA Log'!L:L,"*Other than P4P (section 6)*"),
COUNTIFS('QA Log'!D:D,A217,'QA Log'!M:M,"Data Verification",'QA Log'!Z:Z,"Approved",'QA Log'!L:L,"*Hospital Governance*")
))</f>
        <v/>
      </c>
      <c r="AG217" s="105" t="str">
        <f>IF(A217&lt;&gt;"",COUNTIFS('QA Log'!D:D,A217,'QA Log'!M:M,"Data Verification",'QA Log'!L:L,"Medicine (section 2)",'QA Log'!Z:Z,"Approved"),"")</f>
        <v/>
      </c>
      <c r="AH217" s="105" t="str">
        <f>IF(A217&lt;&gt;"",COUNTIFS('QA Log'!D:D,A217,'QA Log'!M:M,"Data Verification",'QA Log'!L:L,"Lab Testing Availability",'QA Log'!Z:Z,"Approved"),"")</f>
        <v/>
      </c>
      <c r="AI217" s="105" t="str">
        <f>IF(A217&lt;&gt;"",COUNTIFS('QA Log'!D:D,A217,'QA Log'!M:M,"Data Verification",'QA Log'!L:L,"Other than P4P (section 6)",'QA Log'!Z:Z,"Approved"),"")</f>
        <v/>
      </c>
      <c r="AJ217" s="105" t="str">
        <f>IF(A217&lt;&gt;"",COUNTIFS('QA Log'!D:D,A217,'QA Log'!M:M,"Data Verification",'QA Log'!L:L,"Hospital Governance",'QA Log'!Z:Z,"Approved"),"")</f>
        <v/>
      </c>
      <c r="AK217" s="102" t="str">
        <f>IF(A217="","",
SUM(
COUNTIFS('QA Log'!D:D,A217,'QA Log'!M:M,"Data Verification",'QA Log'!Z:Z,"Rejected",'QA Log'!L:L,"*Medicine (section 2)*"),
COUNTIFS('QA Log'!D:D,A217,'QA Log'!M:M,"Data Verification",'QA Log'!Z:Z,"Rejected",'QA Log'!L:L,"*Lab Testing Availability*"),
COUNTIFS('QA Log'!D:D,A217,'QA Log'!M:M,"Data Verification",'QA Log'!Z:Z,"Rejected",'QA Log'!L:L,"*Other than P4P (section 6)*"),
COUNTIFS('QA Log'!D:D,A217,'QA Log'!M:M,"Data Verification",'QA Log'!Z:Z,"Rejected",'QA Log'!L:L,"*Hospital Governance*")
))</f>
        <v/>
      </c>
      <c r="AL217" s="106" t="str">
        <f t="shared" si="5"/>
        <v/>
      </c>
      <c r="AM217" s="102" t="str">
        <f t="shared" si="6"/>
        <v/>
      </c>
      <c r="AN217" s="102" t="str">
        <f>IF(A217="","",
SUM(
COUNTIFS('QA Log'!D:D,A217,'QA Log'!M:M,"Data Verification",'QA Log'!L:L,"*Personnel (section 1)*"),
COUNTIFS('QA Log'!D:D,A217,'QA Log'!M:M,"Data Verification",'QA Log'!L:L,"*Consumable (section 3)*"),
COUNTIFS('QA Log'!D:D,A217,'QA Log'!M:M,"Data Verification",'QA Log'!L:L,"*Equipments (section 4)*")
))</f>
        <v/>
      </c>
      <c r="AO217" s="102" t="str">
        <f>IF(A217="","",
SUM(
COUNTIFS('QA Log'!D:D,A217,'QA Log'!M:M,"Data Verification",'QA Log'!Z:Z,"Approved",'QA Log'!L:L,"*Personnel (section 1)*"),
COUNTIFS('QA Log'!D:D,A217,'QA Log'!M:M,"Data Verification",'QA Log'!Z:Z,"Approved",'QA Log'!L:L,"*Consumable (section 3)*"),
COUNTIFS('QA Log'!D:D,A217,'QA Log'!M:M,"Data Verification",'QA Log'!Z:Z,"Approved",'QA Log'!L:L,"*Equipments (section 4)*")
))</f>
        <v/>
      </c>
      <c r="AP217" s="105" t="str">
        <f>IF(A217&lt;&gt;"",COUNTIFS('QA Log'!D:D,A217,'QA Log'!M:M,"Data Verification",'QA Log'!L:L,"Personnel (section 1)",'QA Log'!Z:Z,"Approved"),"")</f>
        <v/>
      </c>
      <c r="AQ217" s="105" t="str">
        <f>IF(A217&lt;&gt;"",COUNTIFS('QA Log'!D:D,A217,'QA Log'!M:M,"Data Verification",'QA Log'!L:L,"Consumable (section 3)",'QA Log'!Z:Z,"Approved"),"")</f>
        <v/>
      </c>
      <c r="AR217" s="105" t="str">
        <f>IF(A217&lt;&gt;"",COUNTIFS('QA Log'!D:D,A217,'QA Log'!M:M,"Data Verification",'QA Log'!L:L,"Equipments (section 4)",'QA Log'!Z:Z,"Approved"),"")</f>
        <v/>
      </c>
      <c r="AS217" s="102" t="str">
        <f>IF(A217="","",
SUM(
COUNTIFS('QA Log'!D:D,A217,'QA Log'!M:M,"Data Verification",'QA Log'!Z:Z,"Rejected",'QA Log'!L:L,"*Personnel (section 1)*"),
COUNTIFS('QA Log'!D:D,A217,'QA Log'!M:M,"Data Verification",'QA Log'!Z:Z,"Rejected",'QA Log'!L:L,"*Consumable (section 3)*"),
COUNTIFS('QA Log'!D:D,A217,'QA Log'!M:M,"Data Verification",'QA Log'!Z:Z,"Rejected",'QA Log'!L:L,"*Equipments (section 4)*")
))</f>
        <v/>
      </c>
      <c r="AT217" s="102" t="str">
        <f t="shared" si="7"/>
        <v/>
      </c>
      <c r="AU217" s="103" t="str">
        <f t="shared" si="8"/>
        <v/>
      </c>
      <c r="AV217" s="102" t="str">
        <f>IF(A217="","",SUM(
COUNTIFS('QA Log'!D:D,A217,'QA Log'!M:M,"Vignette",'QA Log'!L:L,"*Vignette [1] Respiratory Infection: Pneumonia*"),
COUNTIFS('QA Log'!D:D,A217,'QA Log'!M:M,"Vignette",'QA Log'!L:L,"*Vignette [2]: Diarrhea with Cat B dehydration*"),
COUNTIFS('QA Log'!D:D,A217,'QA Log'!M:M,"Vignette",'QA Log'!L:L,"*Vignette [3] Growth Monitoring and Promotion*"),
COUNTIFS('QA Log'!D:D,A217,'QA Log'!M:M,"Vignette",'QA Log'!L:L,"*Vignette [4]: The management of presumptive TB patient*")
)
)</f>
        <v/>
      </c>
      <c r="AW217" s="102" t="str">
        <f>IF(
  A217="","",
  SUM(
    COUNTIFS('QA Log'!D:D,A217,'QA Log'!M:M,"Vignette",'QA Log'!Z:Z,"Approved",'QA Log'!L:L,"*Vignette [1] Respiratory Infection: Pneumonia*"),
    COUNTIFS('QA Log'!D:D,A217,'QA Log'!M:M,"Vignette",'QA Log'!Z:Z,"Approved",'QA Log'!L:L,"*Vignette [2]: Diarrhea with Cat B dehydration*"),
    COUNTIFS('QA Log'!D:D,A217,'QA Log'!M:M,"Vignette",'QA Log'!Z:Z,"Approved",'QA Log'!L:L,"*Vignette [3] Growth Monitoring and Promotion*"),
    COUNTIFS('QA Log'!D:D,A217,'QA Log'!M:M,"Vignette",'QA Log'!Z:Z,"Approved",'QA Log'!L:L,"*Vignette [4]: The management of presumptive TB patient*")
  )
)</f>
        <v/>
      </c>
      <c r="AX217" s="105" t="str">
        <f>IF(A217&lt;&gt;"",COUNTIFS('QA Log'!D:D,A217,'QA Log'!M:M,"Vignette",'QA Log'!L:L,"Vignette [1] Respiratory Infection: Pneumonia",'QA Log'!Z:Z,"Approved"),"")</f>
        <v/>
      </c>
      <c r="AY217" s="105" t="str">
        <f>IF(A217&lt;&gt;"",COUNTIFS('QA Log'!D:D,A217,'QA Log'!M:M,"Vignette",'QA Log'!L:L,"Vignette [2]: Diarrhea with Cat B dehydration",'QA Log'!Z:Z,"Approved"),"")</f>
        <v/>
      </c>
      <c r="AZ217" s="105" t="str">
        <f>IF(A217&lt;&gt;"",COUNTIFS('QA Log'!D:D,A217,'QA Log'!M:M,"Vignette",'QA Log'!L:L,"Vignette [3] Growth Monitoring and Promotion",'QA Log'!Z:Z,"Approved"),"")</f>
        <v/>
      </c>
      <c r="BA217" s="105" t="str">
        <f>IF(A217&lt;&gt;"",COUNTIFS('QA Log'!D:D,A217,'QA Log'!M:M,"Vignette",'QA Log'!L:L,"Vignette [4]: The management of presumptive TB patient",'QA Log'!Z:Z,"Approved"),"")</f>
        <v/>
      </c>
      <c r="BB217" s="102" t="str">
        <f>IF(A217="","",
  SUM(
    COUNTIFS('QA Log'!D:D,A217,'QA Log'!M:M,"Vignette",'QA Log'!Z:Z,"Rejected",'QA Log'!L:L,"*Vignette [1] Respiratory Infection: Pneumonia*"),
    COUNTIFS('QA Log'!D:D,A217,'QA Log'!M:M,"Vignette",'QA Log'!Z:Z,"Rejected",'QA Log'!L:L,"*Vignette [2]: Diarrhea with Cat B dehydration*"),
    COUNTIFS('QA Log'!D:D,A217,'QA Log'!M:M,"Vignette",'QA Log'!Z:Z,"Rejected",'QA Log'!L:L,"*Vignette [3] Growth Monitoring and Promotion*"),
    COUNTIFS('QA Log'!D:D,A217,'QA Log'!M:M,"Vignette",'QA Log'!Z:Z,"Rejected",'QA Log'!L:L,"*Vignette [4]: The management of presumptive TB patient*")
  )
)</f>
        <v/>
      </c>
      <c r="BC217" s="107" t="str">
        <f t="shared" si="9"/>
        <v/>
      </c>
      <c r="BD217" s="103" t="str">
        <f t="shared" si="10"/>
        <v/>
      </c>
      <c r="BE217" s="102" t="str">
        <f>IF(A217="","",SUM(
COUNTIFS('QA Log'!D:D,A217,'QA Log'!M:M,"Vignette",'QA Log'!L:L,"*Vignette [5] Labor*"),
COUNTIFS('QA Log'!D:D,A217,'QA Log'!M:M,"Vignette",'QA Log'!L:L,"*Vignette [6] PNC pre Discharge*"),
COUNTIFS('QA Log'!D:D,A217,'QA Log'!M:M,"Vignette",'QA Log'!L:L,"*Vignette [7] First ANC Visit*"),
COUNTIFS('QA Log'!D:D,A217,'QA Log'!M:M,"Vignette",'QA Log'!L:L,"*Vignette [8] Birth Spacing/ Family Planning :  FP Counselling*"),
COUNTIFS('QA Log'!D:D,A217,'QA Log'!M:M,"Vignette",'QA Log'!L:L,"*Vignette [9] Birth Spacing: Change FP method to Injectable*"),
COUNTIFS('QA Log'!D:D,A217,'QA Log'!M:M,"Vignette",'QA Log'!L:L,"*Vignette [10] Post Partum Haemorrhage - Atonic Uterus at Health Centre*"),
)
)</f>
        <v/>
      </c>
      <c r="BF217" s="102" t="str">
        <f>IF(A217="","",
  SUM(
    COUNTIFS('QA Log'!D:D,A217,'QA Log'!M:M,"Vignette",'QA Log'!Z:Z,"Approved",'QA Log'!L:L,"*Vignette [5] Labor*"),
    COUNTIFS('QA Log'!D:D,A217,'QA Log'!M:M,"Vignette",'QA Log'!Z:Z,"Approved",'QA Log'!L:L,"*Vignette [6] PNC pre Discharge*"),
    COUNTIFS('QA Log'!D:D,A217,'QA Log'!M:M,"Vignette",'QA Log'!Z:Z,"Approved",'QA Log'!L:L,"*Vignette [7] First ANC Visit*"),
    COUNTIFS('QA Log'!D:D,A217,'QA Log'!M:M,"Vignette",'QA Log'!Z:Z,"Approved",'QA Log'!L:L,"*Vignette [8] Birth Spacing/ Family Planning :  FP Counselling*"),
    COUNTIFS('QA Log'!D:D,A217,'QA Log'!M:M,"Vignette",'QA Log'!Z:Z,"Approved",'QA Log'!L:L,"*Vignette [9] Birth Spacing: Change FP method to Injectable*"),
    COUNTIFS('QA Log'!D:D,A217,'QA Log'!M:M,"Vignette",'QA Log'!Z:Z,"Approved",'QA Log'!L:L,"*Vignette [10] Post Partum Haemorrhage - Atonic Uterus at Health Centre*")
  )
)</f>
        <v/>
      </c>
      <c r="BG217" s="105" t="str">
        <f>IF(A217&lt;&gt;"",COUNTIFS('QA Log'!D:D,A217,'QA Log'!M:M,"Vignette",'QA Log'!L:L,"Vignette [5] Labor",'QA Log'!Z:Z,"Approved"),"")</f>
        <v/>
      </c>
      <c r="BH217" s="105" t="str">
        <f>IF(A217&lt;&gt;"",COUNTIFS('QA Log'!D:D,A217,'QA Log'!M:M,"Vignette",'QA Log'!L:L,"Vignette [6] PNC pre Discharge",'QA Log'!Z:Z,"Approved"),"")</f>
        <v/>
      </c>
      <c r="BI217" s="105" t="str">
        <f>IF(A217&lt;&gt;"",COUNTIFS('QA Log'!D:D,A217,'QA Log'!M:M,"Vignette",'QA Log'!L:L,"Vignette [7] First ANC Visit",'QA Log'!Z:Z,"Approved"),"")</f>
        <v/>
      </c>
      <c r="BJ217" s="105" t="str">
        <f>IF(A217&lt;&gt;"",COUNTIFS('QA Log'!D:D,A217,'QA Log'!M:M,"Vignette",'QA Log'!L:L,"Vignette [8] Birth Spacing/ Family Planning :  FP Counselling",'QA Log'!Z:Z,"Approved"),"")</f>
        <v/>
      </c>
      <c r="BK217" s="105" t="str">
        <f>IF(A217&lt;&gt;"",COUNTIFS('QA Log'!D:D,A217,'QA Log'!M:M,"Vignette",'QA Log'!L:L,"Vignette [9] Birth Spacing: Change FP method to Injectable",'QA Log'!Z:Z,"Approved"),"")</f>
        <v/>
      </c>
      <c r="BL217" s="105" t="str">
        <f>IF(A217&lt;&gt;"",COUNTIFS('QA Log'!D:D,A217,'QA Log'!M:M,"Vignette",'QA Log'!L:L,"Vignette [10] Post Partum Haemorrhage - Atonic Uterus at Health Centre",'QA Log'!Z:Z,"Approved"),"")</f>
        <v/>
      </c>
      <c r="BM217" s="102" t="str">
        <f>IF(A217="","",SUM(
    COUNTIFS('QA Log'!D:D,A217,'QA Log'!M:M,"Vignette",'QA Log'!Z:Z,"Rejected",'QA Log'!L:L,"*Vignette [5] Labor*"),
    COUNTIFS('QA Log'!D:D,A217,'QA Log'!M:M,"Vignette",'QA Log'!Z:Z,"Rejected",'QA Log'!L:L,"*Vignette [6] PNC pre Discharge*"),
    COUNTIFS('QA Log'!D:D,A217,'QA Log'!M:M,"Vignette",'QA Log'!Z:Z,"Rejected",'QA Log'!L:L,"*Vignette [7] First ANC Visit*"),
    COUNTIFS('QA Log'!D:D,A217,'QA Log'!M:M,"Vignette",'QA Log'!Z:Z,"Rejected",'QA Log'!L:L,"*Vignette [8] Birth Spacing/ Family Planning :  FP Counselling*"),
    COUNTIFS('QA Log'!D:D,A217,'QA Log'!M:M,"Vignette",'QA Log'!Z:Z,"Rejected",'QA Log'!L:L,"*Vignette [9] Birth Spacing: Change FP method to Injectable*"),
    COUNTIFS('QA Log'!D:D,A217,'QA Log'!M:M,"Vignette",'QA Log'!Z:Z,"Rejected",'QA Log'!L:L,"*Vignette [10] Post Partum Haemorrhage - Atonic Uterus at Health Centre*")
  )
)</f>
        <v/>
      </c>
      <c r="BN217" s="107" t="str">
        <f t="shared" si="11"/>
        <v/>
      </c>
      <c r="BO217" s="103" t="str">
        <f t="shared" si="12"/>
        <v/>
      </c>
      <c r="BP217" s="102" t="str">
        <f>IF(A217="","",SUM(
COUNTIFS('QA Log'!D:D,A217,'QA Log'!M:M,"Vignette",'QA Log'!L:L,"*Exit Interview 1*"),
COUNTIFS('QA Log'!D:D,A217,'QA Log'!M:M,"Vignette",'QA Log'!L:L,"*Exit Interview 2*"),
)
)</f>
        <v/>
      </c>
      <c r="BQ217" s="102" t="str">
        <f>IF(
  A217="","",
  SUM(
    COUNTIFS('QA Log'!D:D,A217,'QA Log'!M:M,"Vignette",'QA Log'!Z:Z,"Approved",'QA Log'!L:L,"*Exit Interview 1*"),
    COUNTIFS('QA Log'!D:D,A217,'QA Log'!M:M,"Vignette",'QA Log'!Z:Z,"Approved",'QA Log'!L:L,"*Exit Interview 2*")
  )
)</f>
        <v/>
      </c>
      <c r="BR217" s="105" t="str">
        <f>IF(A217&lt;&gt;"",COUNTIFS('QA Log'!D:D,A217,'QA Log'!M:M,"Vignette",'QA Log'!L:L,"Exit Interview 1",'QA Log'!Z:Z,"Approved"),"")</f>
        <v/>
      </c>
      <c r="BS217" s="105" t="str">
        <f>IF(A217&lt;&gt;"",COUNTIFS('QA Log'!D:D,A217,'QA Log'!M:M,"Vignette",'QA Log'!L:L,"Exit Interview 2",'QA Log'!Z:Z,"Approved"),"")</f>
        <v/>
      </c>
      <c r="BT217" s="102" t="str">
        <f>IF(
  A217="","",
  SUM(
    COUNTIFS('QA Log'!D:D,A217,'QA Log'!M:M,"Vignette",'QA Log'!Z:Z,"Rejected",'QA Log'!L:L,"*Exit Interview 1*"),
    COUNTIFS('QA Log'!D:D,A217,'QA Log'!M:M,"Vignette",'QA Log'!Z:Z,"Rejected",'QA Log'!L:L,"*Exit Interview 2*")
  )
)</f>
        <v/>
      </c>
      <c r="BU217" s="107" t="str">
        <f t="shared" si="13"/>
        <v/>
      </c>
      <c r="BV217" s="102" t="str">
        <f t="shared" si="14"/>
        <v/>
      </c>
      <c r="BW217" s="102" t="str">
        <f t="shared" si="15"/>
        <v/>
      </c>
      <c r="BX217" s="102" t="str">
        <f t="shared" si="16"/>
        <v/>
      </c>
      <c r="BY217" s="102" t="str">
        <f t="shared" si="17"/>
        <v/>
      </c>
      <c r="BZ217" s="107" t="str">
        <f t="shared" si="18"/>
        <v/>
      </c>
      <c r="CA217" s="108" t="str">
        <f t="shared" si="19"/>
        <v/>
      </c>
      <c r="CB217" s="108" t="str">
        <f t="shared" si="20"/>
        <v/>
      </c>
      <c r="CC217" s="109" t="str">
        <f t="shared" si="21"/>
        <v/>
      </c>
      <c r="CD217" s="108" t="str">
        <f t="shared" si="22"/>
        <v/>
      </c>
      <c r="CE217" s="108" t="str">
        <f t="shared" si="23"/>
        <v/>
      </c>
      <c r="CF217" s="109" t="str">
        <f t="shared" si="24"/>
        <v/>
      </c>
      <c r="CG217" s="110" t="str">
        <f t="shared" si="25"/>
        <v/>
      </c>
      <c r="CH217" s="111"/>
    </row>
    <row r="218" spans="1:86" ht="12.75">
      <c r="A218" s="101"/>
      <c r="B218" s="102" t="e">
        <f t="array" aca="1" ref="B218" ca="1">_xludf.XLOOKUP(A218,'QA Log'!D:D,'QA Log'!E:E,"")</f>
        <v>#NAME?</v>
      </c>
      <c r="C218" s="102" t="e">
        <f t="array" aca="1" ref="C218" ca="1">_xludf.XLOOKUP(A218,'QA Log'!D:D,'QA Log'!F:F,"")</f>
        <v>#NAME?</v>
      </c>
      <c r="D218" s="102" t="e">
        <f t="array" aca="1" ref="D218" ca="1">_xludf.XLOOKUP(A218,'QA Log'!D:D,'QA Log'!H:H,"")</f>
        <v>#NAME?</v>
      </c>
      <c r="E218" s="102" t="e">
        <f t="array" aca="1" ref="E218" ca="1">_xludf.XLOOKUP(A218,'QA Log'!D:D,'QA Log'!G:G,"")</f>
        <v>#NAME?</v>
      </c>
      <c r="F218" s="103"/>
      <c r="G218" s="104"/>
      <c r="H218" s="104"/>
      <c r="I218" s="103" t="str">
        <f t="shared" si="0"/>
        <v/>
      </c>
      <c r="J218" s="102" t="str">
        <f>IF(A218="","",SUM(
COUNTIFS('QA Log'!D:D,A218,'QA Log'!M:M,"QQC",'QA Log'!L:L,"*1. General Management*"),
COUNTIFS('QA Log'!D:D,A218,'QA Log'!M:M,"QQC",'QA Log'!L:L,"*3. Curative Consultation (OPD)*"),
COUNTIFS('QA Log'!D:D,A218,'QA Log'!M:M,"QQC",'QA Log'!L:L,"*5. Laboratory*"),
COUNTIFS('QA Log'!D:D,A218,'QA Log'!M:M,"QQC",'QA Log'!L:L,"*6. Essential Medicine Management*"),
COUNTIFS('QA Log'!D:D,A218,'QA Log'!M:M,"QQC",'QA Log'!L:L,"*7. Tracer Medicine*"),
COUNTIFS('QA Log'!D:D,A218,'QA Log'!M:M,"QQC",'QA Log'!L:L,"*11. Additional Questions*")))</f>
        <v/>
      </c>
      <c r="K218" s="102" t="str">
        <f>IF(A218="","",SUM(
COUNTIFS('QA Log'!D:D,A218,'QA Log'!M:M,"QQC",'QA Log'!Z:Z,"Approved",'QA Log'!L:L,"*1. General Management*"),
COUNTIFS('QA Log'!D:D,A218,'QA Log'!M:M,"QQC",'QA Log'!Z:Z,"Approved",'QA Log'!L:L,"*3. Curative Consultation (OPD)*"),
COUNTIFS('QA Log'!D:D,A218,'QA Log'!M:M,"QQC",'QA Log'!Z:Z,"Approved",'QA Log'!L:L,"*5. Laboratory*"),
COUNTIFS('QA Log'!D:D,A218,'QA Log'!M:M,"QQC",'QA Log'!Z:Z,"Approved",'QA Log'!L:L,"*6. Essential Medicine Management*"),
COUNTIFS('QA Log'!D:D,A218,'QA Log'!M:M,"QQC",'QA Log'!Z:Z,"Approved",'QA Log'!L:L,"*7. Tracer Medicine*"),
COUNTIFS('QA Log'!D:D,A218,'QA Log'!M:M,"QQC",'QA Log'!Z:Z,"Approved",'QA Log'!L:L,"*11. Additional Questions*")))</f>
        <v/>
      </c>
      <c r="L218" s="105" t="str">
        <f>IF(A218&lt;&gt;"",COUNTIFS('QA Log'!D:D,A218,'QA Log'!M:M,"QQC",'QA Log'!L:L,"1. General Management",'QA Log'!Z:Z,"Approved"),"")</f>
        <v/>
      </c>
      <c r="M218" s="105" t="str">
        <f>IF(A218&lt;&gt;"",COUNTIFS('QA Log'!D:D,A218,'QA Log'!M:M,"QQC",'QA Log'!L:L,"3. Curative Consultation (OPD)",'QA Log'!Z:Z,"Approved"),"")</f>
        <v/>
      </c>
      <c r="N218" s="105" t="str">
        <f>IF(A218&lt;&gt;"",COUNTIFS('QA Log'!D:D,A218,'QA Log'!M:M,"QQC",'QA Log'!L:L,"5. Laboratory",'QA Log'!Z:Z,"Approved"),"")</f>
        <v/>
      </c>
      <c r="O218" s="105" t="str">
        <f>IF(A218&lt;&gt;"",COUNTIFS('QA Log'!D:D,A218,'QA Log'!M:M,"QQC",'QA Log'!L:L,"6. Essential Medicine Management",'QA Log'!Z:Z,"Approved"),"")</f>
        <v/>
      </c>
      <c r="P218" s="105" t="str">
        <f>IF(A218&lt;&gt;"",COUNTIFS('QA Log'!D:D,A218,'QA Log'!M:M,"QQC",'QA Log'!L:L,"7. Tracer Medicine",'QA Log'!Z:Z,"Approved"),"")</f>
        <v/>
      </c>
      <c r="Q218" s="105" t="str">
        <f>IF(A218&lt;&gt;"",COUNTIFS('QA Log'!D:D,A218,'QA Log'!M:M,"QQC",'QA Log'!L:L,"11. Additional Questions",'QA Log'!Z:Z,"Approved"),"")</f>
        <v/>
      </c>
      <c r="R218" s="102" t="str">
        <f>IF(A218="","",SUM(
COUNTIFS('QA Log'!D:D,A218,'QA Log'!M:M,"QQC",'QA Log'!Z:Z,"Rejected",'QA Log'!L:L,"*8. Maternity*"),
COUNTIFS('QA Log'!D:D,A218,'QA Log'!M:M,"QQC",'QA Log'!Z:Z,"Rejected",'QA Log'!L:L,"*EPI*"),
COUNTIFS('QA Log'!D:D,A218,'QA Log'!M:M,"QQC",'QA Log'!Z:Z,"Rejected",'QA Log'!L:L,"*10. Antenatal Care (ANC)*"),
COUNTIFS('QA Log'!D:D,A218,'QA Log'!M:M,"QQC",'QA Log'!Z:Z,"Rejected",'QA Log'!L:L,"*2. Hygiene and Sterilization*"),
COUNTIFS('QA Log'!D:D,A218,'QA Log'!M:M,"QQC",'QA Log'!Z:Z,"Rejected",'QA Log'!L:L,"*Family Planning*")))</f>
        <v/>
      </c>
      <c r="S218" s="106" t="str">
        <f t="shared" si="1"/>
        <v/>
      </c>
      <c r="T218" s="102" t="str">
        <f t="shared" si="2"/>
        <v/>
      </c>
      <c r="U218" s="102" t="str">
        <f>IF(A218="","",
SUM(
COUNTIFS('QA Log'!D:D,A218,'QA Log'!M:M,"QQC",'QA Log'!L:L,"*8. Maternity*"),
COUNTIFS('QA Log'!D:D,A218,'QA Log'!M:M,"QQC",'QA Log'!L:L,"*9. EPI and Pre-school Consultation*"),
COUNTIFS('QA Log'!D:D,A218,'QA Log'!M:M,"QQC",'QA Log'!L:L,"*10. Antenatal Care (ANC)*"),
COUNTIFS('QA Log'!D:D,A218,'QA Log'!M:M,"QQC",'QA Log'!L:L,"*2. Hygiene and Sterilization*"),
COUNTIFS('QA Log'!D:D,A218,'QA Log'!M:M,"QQC",'QA Log'!L:L,"*4. Family Planning*")
))</f>
        <v/>
      </c>
      <c r="V218" s="102" t="str">
        <f>IF(A218="","",
SUM(
COUNTIFS('QA Log'!D:D,A218,'QA Log'!M:M,"QQC",'QA Log'!Z:Z,"Approved",'QA Log'!L:L,"*8. Maternity*"),
COUNTIFS('QA Log'!D:D,A218,'QA Log'!M:M,"QQC",'QA Log'!Z:Z,"Approved",'QA Log'!L:L,"*9. EPI and Pre-school Consultation*"),
COUNTIFS('QA Log'!D:D,A218,'QA Log'!M:M,"QQC",'QA Log'!Z:Z,"Approved",'QA Log'!L:L,"*10. Antenatal Care (ANC)*"),
COUNTIFS('QA Log'!D:D,A218,'QA Log'!M:M,"QQC",'QA Log'!Z:Z,"Approved",'QA Log'!L:L,"*2. Hygiene and Sterilization*"),
COUNTIFS('QA Log'!D:D,A218,'QA Log'!M:M,"QQC",'QA Log'!Z:Z,"Approved",'QA Log'!L:L,"*4. Family Planning*")
))</f>
        <v/>
      </c>
      <c r="W218" s="105" t="str">
        <f>IF(A218&lt;&gt;"",COUNTIFS('QA Log'!D:D,A218,'QA Log'!M:M,"QQC",'QA Log'!L:L,"8. Maternity",'QA Log'!Z:Z,"Approved"),"")</f>
        <v/>
      </c>
      <c r="X218" s="105" t="str">
        <f>IF(A218&lt;&gt;"",COUNTIFS('QA Log'!D:D,A218,'QA Log'!M:M,"QQC",'QA Log'!L:L,"9. EPI and Pre-school Consultation",'QA Log'!Z:Z,"Approved"),"")</f>
        <v/>
      </c>
      <c r="Y218" s="105" t="str">
        <f>IF(A218&lt;&gt;"",COUNTIFS('QA Log'!D:D,A218,'QA Log'!M:M,"QQC",'QA Log'!L:L,"10. Antenatal Care (ANC)",'QA Log'!Z:Z,"Approved"),"")</f>
        <v/>
      </c>
      <c r="Z218" s="105" t="str">
        <f>IF(A218&lt;&gt;"",COUNTIFS('QA Log'!D:D,A218,'QA Log'!M:M,"QQC",'QA Log'!L:L,"2. Hygiene and Sterilization",'QA Log'!Z:Z,"Approved"),"")</f>
        <v/>
      </c>
      <c r="AA218" s="105" t="str">
        <f>IF(A218&lt;&gt;"",COUNTIFS('QA Log'!D:D,A218,'QA Log'!M:M,"QQC",'QA Log'!L:L,"4. Family Planning",'QA Log'!Z:Z,"Approved"),"")</f>
        <v/>
      </c>
      <c r="AB218" s="102" t="str">
        <f>IF(A218="","",
SUM(
COUNTIFS('QA Log'!D:D,A218,'QA Log'!M:M,"QQC",'QA Log'!Z:Z,"Rejected",'QA Log'!L:L,"*8. Maternity*"),
COUNTIFS('QA Log'!D:D,A218,'QA Log'!M:M,"QQC",'QA Log'!Z:Z,"Rejected",'QA Log'!L:L,"*9. EPI and Pre-school Consultation*"),
COUNTIFS('QA Log'!D:D,A218,'QA Log'!M:M,"QQC",'QA Log'!Z:Z,"Rejected",'QA Log'!L:L,"*10. Antenatal Care (ANC)*"),
COUNTIFS('QA Log'!D:D,A218,'QA Log'!M:M,"QQC",'QA Log'!Z:Z,"Rejected",'QA Log'!L:L,"*2. Hygiene and Sterilization*"),
COUNTIFS('QA Log'!D:D,A218,'QA Log'!M:M,"QQC",'QA Log'!Z:Z,"Rejected",'QA Log'!L:L,"*4. Family Planning*")
))</f>
        <v/>
      </c>
      <c r="AC218" s="102" t="str">
        <f t="shared" si="3"/>
        <v/>
      </c>
      <c r="AD218" s="103" t="str">
        <f t="shared" si="4"/>
        <v/>
      </c>
      <c r="AE218" s="102" t="str">
        <f>IF(A218="","",
SUM(
COUNTIFS('QA Log'!D:D,A218,'QA Log'!M:M,"Data Verification",'QA Log'!L:L,"*Medicine (section 2)*"),
COUNTIFS('QA Log'!D:D,A218,'QA Log'!M:M,"Data Verification",'QA Log'!L:L,"*Lab Testing Availability*"),
COUNTIFS('QA Log'!D:D,A218,'QA Log'!M:M,"Data Verification",'QA Log'!L:L,"*Other than P4P (section 6)*"),
COUNTIFS('QA Log'!D:D,A218,'QA Log'!M:M,"Data Verification",'QA Log'!L:L,"*Hospital Governance*")
))</f>
        <v/>
      </c>
      <c r="AF218" s="102" t="str">
        <f>IF(A218="","",
SUM(
COUNTIFS('QA Log'!D:D,A218,'QA Log'!M:M,"Data Verification",'QA Log'!Z:Z,"Approved",'QA Log'!L:L,"*Medicine (section 2)*"),
COUNTIFS('QA Log'!D:D,A218,'QA Log'!M:M,"Data Verification",'QA Log'!Z:Z,"Approved",'QA Log'!L:L,"*Lab Testing Availability*"),
COUNTIFS('QA Log'!D:D,A218,'QA Log'!M:M,"Data Verification",'QA Log'!Z:Z,"Approved",'QA Log'!L:L,"*Other than P4P (section 6)*"),
COUNTIFS('QA Log'!D:D,A218,'QA Log'!M:M,"Data Verification",'QA Log'!Z:Z,"Approved",'QA Log'!L:L,"*Hospital Governance*")
))</f>
        <v/>
      </c>
      <c r="AG218" s="105" t="str">
        <f>IF(A218&lt;&gt;"",COUNTIFS('QA Log'!D:D,A218,'QA Log'!M:M,"Data Verification",'QA Log'!L:L,"Medicine (section 2)",'QA Log'!Z:Z,"Approved"),"")</f>
        <v/>
      </c>
      <c r="AH218" s="105" t="str">
        <f>IF(A218&lt;&gt;"",COUNTIFS('QA Log'!D:D,A218,'QA Log'!M:M,"Data Verification",'QA Log'!L:L,"Lab Testing Availability",'QA Log'!Z:Z,"Approved"),"")</f>
        <v/>
      </c>
      <c r="AI218" s="105" t="str">
        <f>IF(A218&lt;&gt;"",COUNTIFS('QA Log'!D:D,A218,'QA Log'!M:M,"Data Verification",'QA Log'!L:L,"Other than P4P (section 6)",'QA Log'!Z:Z,"Approved"),"")</f>
        <v/>
      </c>
      <c r="AJ218" s="105" t="str">
        <f>IF(A218&lt;&gt;"",COUNTIFS('QA Log'!D:D,A218,'QA Log'!M:M,"Data Verification",'QA Log'!L:L,"Hospital Governance",'QA Log'!Z:Z,"Approved"),"")</f>
        <v/>
      </c>
      <c r="AK218" s="102" t="str">
        <f>IF(A218="","",
SUM(
COUNTIFS('QA Log'!D:D,A218,'QA Log'!M:M,"Data Verification",'QA Log'!Z:Z,"Rejected",'QA Log'!L:L,"*Medicine (section 2)*"),
COUNTIFS('QA Log'!D:D,A218,'QA Log'!M:M,"Data Verification",'QA Log'!Z:Z,"Rejected",'QA Log'!L:L,"*Lab Testing Availability*"),
COUNTIFS('QA Log'!D:D,A218,'QA Log'!M:M,"Data Verification",'QA Log'!Z:Z,"Rejected",'QA Log'!L:L,"*Other than P4P (section 6)*"),
COUNTIFS('QA Log'!D:D,A218,'QA Log'!M:M,"Data Verification",'QA Log'!Z:Z,"Rejected",'QA Log'!L:L,"*Hospital Governance*")
))</f>
        <v/>
      </c>
      <c r="AL218" s="106" t="str">
        <f t="shared" si="5"/>
        <v/>
      </c>
      <c r="AM218" s="102" t="str">
        <f t="shared" si="6"/>
        <v/>
      </c>
      <c r="AN218" s="102" t="str">
        <f>IF(A218="","",
SUM(
COUNTIFS('QA Log'!D:D,A218,'QA Log'!M:M,"Data Verification",'QA Log'!L:L,"*Personnel (section 1)*"),
COUNTIFS('QA Log'!D:D,A218,'QA Log'!M:M,"Data Verification",'QA Log'!L:L,"*Consumable (section 3)*"),
COUNTIFS('QA Log'!D:D,A218,'QA Log'!M:M,"Data Verification",'QA Log'!L:L,"*Equipments (section 4)*")
))</f>
        <v/>
      </c>
      <c r="AO218" s="102" t="str">
        <f>IF(A218="","",
SUM(
COUNTIFS('QA Log'!D:D,A218,'QA Log'!M:M,"Data Verification",'QA Log'!Z:Z,"Approved",'QA Log'!L:L,"*Personnel (section 1)*"),
COUNTIFS('QA Log'!D:D,A218,'QA Log'!M:M,"Data Verification",'QA Log'!Z:Z,"Approved",'QA Log'!L:L,"*Consumable (section 3)*"),
COUNTIFS('QA Log'!D:D,A218,'QA Log'!M:M,"Data Verification",'QA Log'!Z:Z,"Approved",'QA Log'!L:L,"*Equipments (section 4)*")
))</f>
        <v/>
      </c>
      <c r="AP218" s="105" t="str">
        <f>IF(A218&lt;&gt;"",COUNTIFS('QA Log'!D:D,A218,'QA Log'!M:M,"Data Verification",'QA Log'!L:L,"Personnel (section 1)",'QA Log'!Z:Z,"Approved"),"")</f>
        <v/>
      </c>
      <c r="AQ218" s="105" t="str">
        <f>IF(A218&lt;&gt;"",COUNTIFS('QA Log'!D:D,A218,'QA Log'!M:M,"Data Verification",'QA Log'!L:L,"Consumable (section 3)",'QA Log'!Z:Z,"Approved"),"")</f>
        <v/>
      </c>
      <c r="AR218" s="105" t="str">
        <f>IF(A218&lt;&gt;"",COUNTIFS('QA Log'!D:D,A218,'QA Log'!M:M,"Data Verification",'QA Log'!L:L,"Equipments (section 4)",'QA Log'!Z:Z,"Approved"),"")</f>
        <v/>
      </c>
      <c r="AS218" s="102" t="str">
        <f>IF(A218="","",
SUM(
COUNTIFS('QA Log'!D:D,A218,'QA Log'!M:M,"Data Verification",'QA Log'!Z:Z,"Rejected",'QA Log'!L:L,"*Personnel (section 1)*"),
COUNTIFS('QA Log'!D:D,A218,'QA Log'!M:M,"Data Verification",'QA Log'!Z:Z,"Rejected",'QA Log'!L:L,"*Consumable (section 3)*"),
COUNTIFS('QA Log'!D:D,A218,'QA Log'!M:M,"Data Verification",'QA Log'!Z:Z,"Rejected",'QA Log'!L:L,"*Equipments (section 4)*")
))</f>
        <v/>
      </c>
      <c r="AT218" s="102" t="str">
        <f t="shared" si="7"/>
        <v/>
      </c>
      <c r="AU218" s="103" t="str">
        <f t="shared" si="8"/>
        <v/>
      </c>
      <c r="AV218" s="102" t="str">
        <f>IF(A218="","",SUM(
COUNTIFS('QA Log'!D:D,A218,'QA Log'!M:M,"Vignette",'QA Log'!L:L,"*Vignette [1] Respiratory Infection: Pneumonia*"),
COUNTIFS('QA Log'!D:D,A218,'QA Log'!M:M,"Vignette",'QA Log'!L:L,"*Vignette [2]: Diarrhea with Cat B dehydration*"),
COUNTIFS('QA Log'!D:D,A218,'QA Log'!M:M,"Vignette",'QA Log'!L:L,"*Vignette [3] Growth Monitoring and Promotion*"),
COUNTIFS('QA Log'!D:D,A218,'QA Log'!M:M,"Vignette",'QA Log'!L:L,"*Vignette [4]: The management of presumptive TB patient*")
)
)</f>
        <v/>
      </c>
      <c r="AW218" s="102" t="str">
        <f>IF(
  A218="","",
  SUM(
    COUNTIFS('QA Log'!D:D,A218,'QA Log'!M:M,"Vignette",'QA Log'!Z:Z,"Approved",'QA Log'!L:L,"*Vignette [1] Respiratory Infection: Pneumonia*"),
    COUNTIFS('QA Log'!D:D,A218,'QA Log'!M:M,"Vignette",'QA Log'!Z:Z,"Approved",'QA Log'!L:L,"*Vignette [2]: Diarrhea with Cat B dehydration*"),
    COUNTIFS('QA Log'!D:D,A218,'QA Log'!M:M,"Vignette",'QA Log'!Z:Z,"Approved",'QA Log'!L:L,"*Vignette [3] Growth Monitoring and Promotion*"),
    COUNTIFS('QA Log'!D:D,A218,'QA Log'!M:M,"Vignette",'QA Log'!Z:Z,"Approved",'QA Log'!L:L,"*Vignette [4]: The management of presumptive TB patient*")
  )
)</f>
        <v/>
      </c>
      <c r="AX218" s="105" t="str">
        <f>IF(A218&lt;&gt;"",COUNTIFS('QA Log'!D:D,A218,'QA Log'!M:M,"Vignette",'QA Log'!L:L,"Vignette [1] Respiratory Infection: Pneumonia",'QA Log'!Z:Z,"Approved"),"")</f>
        <v/>
      </c>
      <c r="AY218" s="105" t="str">
        <f>IF(A218&lt;&gt;"",COUNTIFS('QA Log'!D:D,A218,'QA Log'!M:M,"Vignette",'QA Log'!L:L,"Vignette [2]: Diarrhea with Cat B dehydration",'QA Log'!Z:Z,"Approved"),"")</f>
        <v/>
      </c>
      <c r="AZ218" s="105" t="str">
        <f>IF(A218&lt;&gt;"",COUNTIFS('QA Log'!D:D,A218,'QA Log'!M:M,"Vignette",'QA Log'!L:L,"Vignette [3] Growth Monitoring and Promotion",'QA Log'!Z:Z,"Approved"),"")</f>
        <v/>
      </c>
      <c r="BA218" s="105" t="str">
        <f>IF(A218&lt;&gt;"",COUNTIFS('QA Log'!D:D,A218,'QA Log'!M:M,"Vignette",'QA Log'!L:L,"Vignette [4]: The management of presumptive TB patient",'QA Log'!Z:Z,"Approved"),"")</f>
        <v/>
      </c>
      <c r="BB218" s="102" t="str">
        <f>IF(A218="","",
  SUM(
    COUNTIFS('QA Log'!D:D,A218,'QA Log'!M:M,"Vignette",'QA Log'!Z:Z,"Rejected",'QA Log'!L:L,"*Vignette [1] Respiratory Infection: Pneumonia*"),
    COUNTIFS('QA Log'!D:D,A218,'QA Log'!M:M,"Vignette",'QA Log'!Z:Z,"Rejected",'QA Log'!L:L,"*Vignette [2]: Diarrhea with Cat B dehydration*"),
    COUNTIFS('QA Log'!D:D,A218,'QA Log'!M:M,"Vignette",'QA Log'!Z:Z,"Rejected",'QA Log'!L:L,"*Vignette [3] Growth Monitoring and Promotion*"),
    COUNTIFS('QA Log'!D:D,A218,'QA Log'!M:M,"Vignette",'QA Log'!Z:Z,"Rejected",'QA Log'!L:L,"*Vignette [4]: The management of presumptive TB patient*")
  )
)</f>
        <v/>
      </c>
      <c r="BC218" s="107" t="str">
        <f t="shared" si="9"/>
        <v/>
      </c>
      <c r="BD218" s="103" t="str">
        <f t="shared" si="10"/>
        <v/>
      </c>
      <c r="BE218" s="102" t="str">
        <f>IF(A218="","",SUM(
COUNTIFS('QA Log'!D:D,A218,'QA Log'!M:M,"Vignette",'QA Log'!L:L,"*Vignette [5] Labor*"),
COUNTIFS('QA Log'!D:D,A218,'QA Log'!M:M,"Vignette",'QA Log'!L:L,"*Vignette [6] PNC pre Discharge*"),
COUNTIFS('QA Log'!D:D,A218,'QA Log'!M:M,"Vignette",'QA Log'!L:L,"*Vignette [7] First ANC Visit*"),
COUNTIFS('QA Log'!D:D,A218,'QA Log'!M:M,"Vignette",'QA Log'!L:L,"*Vignette [8] Birth Spacing/ Family Planning :  FP Counselling*"),
COUNTIFS('QA Log'!D:D,A218,'QA Log'!M:M,"Vignette",'QA Log'!L:L,"*Vignette [9] Birth Spacing: Change FP method to Injectable*"),
COUNTIFS('QA Log'!D:D,A218,'QA Log'!M:M,"Vignette",'QA Log'!L:L,"*Vignette [10] Post Partum Haemorrhage - Atonic Uterus at Health Centre*"),
)
)</f>
        <v/>
      </c>
      <c r="BF218" s="102" t="str">
        <f>IF(A218="","",
  SUM(
    COUNTIFS('QA Log'!D:D,A218,'QA Log'!M:M,"Vignette",'QA Log'!Z:Z,"Approved",'QA Log'!L:L,"*Vignette [5] Labor*"),
    COUNTIFS('QA Log'!D:D,A218,'QA Log'!M:M,"Vignette",'QA Log'!Z:Z,"Approved",'QA Log'!L:L,"*Vignette [6] PNC pre Discharge*"),
    COUNTIFS('QA Log'!D:D,A218,'QA Log'!M:M,"Vignette",'QA Log'!Z:Z,"Approved",'QA Log'!L:L,"*Vignette [7] First ANC Visit*"),
    COUNTIFS('QA Log'!D:D,A218,'QA Log'!M:M,"Vignette",'QA Log'!Z:Z,"Approved",'QA Log'!L:L,"*Vignette [8] Birth Spacing/ Family Planning :  FP Counselling*"),
    COUNTIFS('QA Log'!D:D,A218,'QA Log'!M:M,"Vignette",'QA Log'!Z:Z,"Approved",'QA Log'!L:L,"*Vignette [9] Birth Spacing: Change FP method to Injectable*"),
    COUNTIFS('QA Log'!D:D,A218,'QA Log'!M:M,"Vignette",'QA Log'!Z:Z,"Approved",'QA Log'!L:L,"*Vignette [10] Post Partum Haemorrhage - Atonic Uterus at Health Centre*")
  )
)</f>
        <v/>
      </c>
      <c r="BG218" s="105" t="str">
        <f>IF(A218&lt;&gt;"",COUNTIFS('QA Log'!D:D,A218,'QA Log'!M:M,"Vignette",'QA Log'!L:L,"Vignette [5] Labor",'QA Log'!Z:Z,"Approved"),"")</f>
        <v/>
      </c>
      <c r="BH218" s="105" t="str">
        <f>IF(A218&lt;&gt;"",COUNTIFS('QA Log'!D:D,A218,'QA Log'!M:M,"Vignette",'QA Log'!L:L,"Vignette [6] PNC pre Discharge",'QA Log'!Z:Z,"Approved"),"")</f>
        <v/>
      </c>
      <c r="BI218" s="105" t="str">
        <f>IF(A218&lt;&gt;"",COUNTIFS('QA Log'!D:D,A218,'QA Log'!M:M,"Vignette",'QA Log'!L:L,"Vignette [7] First ANC Visit",'QA Log'!Z:Z,"Approved"),"")</f>
        <v/>
      </c>
      <c r="BJ218" s="105" t="str">
        <f>IF(A218&lt;&gt;"",COUNTIFS('QA Log'!D:D,A218,'QA Log'!M:M,"Vignette",'QA Log'!L:L,"Vignette [8] Birth Spacing/ Family Planning :  FP Counselling",'QA Log'!Z:Z,"Approved"),"")</f>
        <v/>
      </c>
      <c r="BK218" s="105" t="str">
        <f>IF(A218&lt;&gt;"",COUNTIFS('QA Log'!D:D,A218,'QA Log'!M:M,"Vignette",'QA Log'!L:L,"Vignette [9] Birth Spacing: Change FP method to Injectable",'QA Log'!Z:Z,"Approved"),"")</f>
        <v/>
      </c>
      <c r="BL218" s="105" t="str">
        <f>IF(A218&lt;&gt;"",COUNTIFS('QA Log'!D:D,A218,'QA Log'!M:M,"Vignette",'QA Log'!L:L,"Vignette [10] Post Partum Haemorrhage - Atonic Uterus at Health Centre",'QA Log'!Z:Z,"Approved"),"")</f>
        <v/>
      </c>
      <c r="BM218" s="102" t="str">
        <f>IF(A218="","",SUM(
    COUNTIFS('QA Log'!D:D,A218,'QA Log'!M:M,"Vignette",'QA Log'!Z:Z,"Rejected",'QA Log'!L:L,"*Vignette [5] Labor*"),
    COUNTIFS('QA Log'!D:D,A218,'QA Log'!M:M,"Vignette",'QA Log'!Z:Z,"Rejected",'QA Log'!L:L,"*Vignette [6] PNC pre Discharge*"),
    COUNTIFS('QA Log'!D:D,A218,'QA Log'!M:M,"Vignette",'QA Log'!Z:Z,"Rejected",'QA Log'!L:L,"*Vignette [7] First ANC Visit*"),
    COUNTIFS('QA Log'!D:D,A218,'QA Log'!M:M,"Vignette",'QA Log'!Z:Z,"Rejected",'QA Log'!L:L,"*Vignette [8] Birth Spacing/ Family Planning :  FP Counselling*"),
    COUNTIFS('QA Log'!D:D,A218,'QA Log'!M:M,"Vignette",'QA Log'!Z:Z,"Rejected",'QA Log'!L:L,"*Vignette [9] Birth Spacing: Change FP method to Injectable*"),
    COUNTIFS('QA Log'!D:D,A218,'QA Log'!M:M,"Vignette",'QA Log'!Z:Z,"Rejected",'QA Log'!L:L,"*Vignette [10] Post Partum Haemorrhage - Atonic Uterus at Health Centre*")
  )
)</f>
        <v/>
      </c>
      <c r="BN218" s="107" t="str">
        <f t="shared" si="11"/>
        <v/>
      </c>
      <c r="BO218" s="103" t="str">
        <f t="shared" si="12"/>
        <v/>
      </c>
      <c r="BP218" s="102" t="str">
        <f>IF(A218="","",SUM(
COUNTIFS('QA Log'!D:D,A218,'QA Log'!M:M,"Vignette",'QA Log'!L:L,"*Exit Interview 1*"),
COUNTIFS('QA Log'!D:D,A218,'QA Log'!M:M,"Vignette",'QA Log'!L:L,"*Exit Interview 2*"),
)
)</f>
        <v/>
      </c>
      <c r="BQ218" s="102" t="str">
        <f>IF(
  A218="","",
  SUM(
    COUNTIFS('QA Log'!D:D,A218,'QA Log'!M:M,"Vignette",'QA Log'!Z:Z,"Approved",'QA Log'!L:L,"*Exit Interview 1*"),
    COUNTIFS('QA Log'!D:D,A218,'QA Log'!M:M,"Vignette",'QA Log'!Z:Z,"Approved",'QA Log'!L:L,"*Exit Interview 2*")
  )
)</f>
        <v/>
      </c>
      <c r="BR218" s="105" t="str">
        <f>IF(A218&lt;&gt;"",COUNTIFS('QA Log'!D:D,A218,'QA Log'!M:M,"Vignette",'QA Log'!L:L,"Exit Interview 1",'QA Log'!Z:Z,"Approved"),"")</f>
        <v/>
      </c>
      <c r="BS218" s="105" t="str">
        <f>IF(A218&lt;&gt;"",COUNTIFS('QA Log'!D:D,A218,'QA Log'!M:M,"Vignette",'QA Log'!L:L,"Exit Interview 2",'QA Log'!Z:Z,"Approved"),"")</f>
        <v/>
      </c>
      <c r="BT218" s="102" t="str">
        <f>IF(
  A218="","",
  SUM(
    COUNTIFS('QA Log'!D:D,A218,'QA Log'!M:M,"Vignette",'QA Log'!Z:Z,"Rejected",'QA Log'!L:L,"*Exit Interview 1*"),
    COUNTIFS('QA Log'!D:D,A218,'QA Log'!M:M,"Vignette",'QA Log'!Z:Z,"Rejected",'QA Log'!L:L,"*Exit Interview 2*")
  )
)</f>
        <v/>
      </c>
      <c r="BU218" s="107" t="str">
        <f t="shared" si="13"/>
        <v/>
      </c>
      <c r="BV218" s="102" t="str">
        <f t="shared" si="14"/>
        <v/>
      </c>
      <c r="BW218" s="102" t="str">
        <f t="shared" si="15"/>
        <v/>
      </c>
      <c r="BX218" s="102" t="str">
        <f t="shared" si="16"/>
        <v/>
      </c>
      <c r="BY218" s="102" t="str">
        <f t="shared" si="17"/>
        <v/>
      </c>
      <c r="BZ218" s="107" t="str">
        <f t="shared" si="18"/>
        <v/>
      </c>
      <c r="CA218" s="108" t="str">
        <f t="shared" si="19"/>
        <v/>
      </c>
      <c r="CB218" s="108" t="str">
        <f t="shared" si="20"/>
        <v/>
      </c>
      <c r="CC218" s="109" t="str">
        <f t="shared" si="21"/>
        <v/>
      </c>
      <c r="CD218" s="108" t="str">
        <f t="shared" si="22"/>
        <v/>
      </c>
      <c r="CE218" s="108" t="str">
        <f t="shared" si="23"/>
        <v/>
      </c>
      <c r="CF218" s="109" t="str">
        <f t="shared" si="24"/>
        <v/>
      </c>
      <c r="CG218" s="110" t="str">
        <f t="shared" si="25"/>
        <v/>
      </c>
      <c r="CH218" s="111"/>
    </row>
    <row r="219" spans="1:86" ht="12.75">
      <c r="A219" s="101"/>
      <c r="B219" s="102" t="e">
        <f t="array" aca="1" ref="B219" ca="1">_xludf.XLOOKUP(A219,'QA Log'!D:D,'QA Log'!E:E,"")</f>
        <v>#NAME?</v>
      </c>
      <c r="C219" s="102" t="e">
        <f t="array" aca="1" ref="C219" ca="1">_xludf.XLOOKUP(A219,'QA Log'!D:D,'QA Log'!F:F,"")</f>
        <v>#NAME?</v>
      </c>
      <c r="D219" s="102" t="e">
        <f t="array" aca="1" ref="D219" ca="1">_xludf.XLOOKUP(A219,'QA Log'!D:D,'QA Log'!H:H,"")</f>
        <v>#NAME?</v>
      </c>
      <c r="E219" s="102" t="e">
        <f t="array" aca="1" ref="E219" ca="1">_xludf.XLOOKUP(A219,'QA Log'!D:D,'QA Log'!G:G,"")</f>
        <v>#NAME?</v>
      </c>
      <c r="F219" s="103"/>
      <c r="G219" s="104"/>
      <c r="H219" s="104"/>
      <c r="I219" s="103" t="str">
        <f t="shared" si="0"/>
        <v/>
      </c>
      <c r="J219" s="102" t="str">
        <f>IF(A219="","",SUM(
COUNTIFS('QA Log'!D:D,A219,'QA Log'!M:M,"QQC",'QA Log'!L:L,"*1. General Management*"),
COUNTIFS('QA Log'!D:D,A219,'QA Log'!M:M,"QQC",'QA Log'!L:L,"*3. Curative Consultation (OPD)*"),
COUNTIFS('QA Log'!D:D,A219,'QA Log'!M:M,"QQC",'QA Log'!L:L,"*5. Laboratory*"),
COUNTIFS('QA Log'!D:D,A219,'QA Log'!M:M,"QQC",'QA Log'!L:L,"*6. Essential Medicine Management*"),
COUNTIFS('QA Log'!D:D,A219,'QA Log'!M:M,"QQC",'QA Log'!L:L,"*7. Tracer Medicine*"),
COUNTIFS('QA Log'!D:D,A219,'QA Log'!M:M,"QQC",'QA Log'!L:L,"*11. Additional Questions*")))</f>
        <v/>
      </c>
      <c r="K219" s="102" t="str">
        <f>IF(A219="","",SUM(
COUNTIFS('QA Log'!D:D,A219,'QA Log'!M:M,"QQC",'QA Log'!Z:Z,"Approved",'QA Log'!L:L,"*1. General Management*"),
COUNTIFS('QA Log'!D:D,A219,'QA Log'!M:M,"QQC",'QA Log'!Z:Z,"Approved",'QA Log'!L:L,"*3. Curative Consultation (OPD)*"),
COUNTIFS('QA Log'!D:D,A219,'QA Log'!M:M,"QQC",'QA Log'!Z:Z,"Approved",'QA Log'!L:L,"*5. Laboratory*"),
COUNTIFS('QA Log'!D:D,A219,'QA Log'!M:M,"QQC",'QA Log'!Z:Z,"Approved",'QA Log'!L:L,"*6. Essential Medicine Management*"),
COUNTIFS('QA Log'!D:D,A219,'QA Log'!M:M,"QQC",'QA Log'!Z:Z,"Approved",'QA Log'!L:L,"*7. Tracer Medicine*"),
COUNTIFS('QA Log'!D:D,A219,'QA Log'!M:M,"QQC",'QA Log'!Z:Z,"Approved",'QA Log'!L:L,"*11. Additional Questions*")))</f>
        <v/>
      </c>
      <c r="L219" s="105" t="str">
        <f>IF(A219&lt;&gt;"",COUNTIFS('QA Log'!D:D,A219,'QA Log'!M:M,"QQC",'QA Log'!L:L,"1. General Management",'QA Log'!Z:Z,"Approved"),"")</f>
        <v/>
      </c>
      <c r="M219" s="105" t="str">
        <f>IF(A219&lt;&gt;"",COUNTIFS('QA Log'!D:D,A219,'QA Log'!M:M,"QQC",'QA Log'!L:L,"3. Curative Consultation (OPD)",'QA Log'!Z:Z,"Approved"),"")</f>
        <v/>
      </c>
      <c r="N219" s="105" t="str">
        <f>IF(A219&lt;&gt;"",COUNTIFS('QA Log'!D:D,A219,'QA Log'!M:M,"QQC",'QA Log'!L:L,"5. Laboratory",'QA Log'!Z:Z,"Approved"),"")</f>
        <v/>
      </c>
      <c r="O219" s="105" t="str">
        <f>IF(A219&lt;&gt;"",COUNTIFS('QA Log'!D:D,A219,'QA Log'!M:M,"QQC",'QA Log'!L:L,"6. Essential Medicine Management",'QA Log'!Z:Z,"Approved"),"")</f>
        <v/>
      </c>
      <c r="P219" s="105" t="str">
        <f>IF(A219&lt;&gt;"",COUNTIFS('QA Log'!D:D,A219,'QA Log'!M:M,"QQC",'QA Log'!L:L,"7. Tracer Medicine",'QA Log'!Z:Z,"Approved"),"")</f>
        <v/>
      </c>
      <c r="Q219" s="105" t="str">
        <f>IF(A219&lt;&gt;"",COUNTIFS('QA Log'!D:D,A219,'QA Log'!M:M,"QQC",'QA Log'!L:L,"11. Additional Questions",'QA Log'!Z:Z,"Approved"),"")</f>
        <v/>
      </c>
      <c r="R219" s="102" t="str">
        <f>IF(A219="","",SUM(
COUNTIFS('QA Log'!D:D,A219,'QA Log'!M:M,"QQC",'QA Log'!Z:Z,"Rejected",'QA Log'!L:L,"*8. Maternity*"),
COUNTIFS('QA Log'!D:D,A219,'QA Log'!M:M,"QQC",'QA Log'!Z:Z,"Rejected",'QA Log'!L:L,"*EPI*"),
COUNTIFS('QA Log'!D:D,A219,'QA Log'!M:M,"QQC",'QA Log'!Z:Z,"Rejected",'QA Log'!L:L,"*10. Antenatal Care (ANC)*"),
COUNTIFS('QA Log'!D:D,A219,'QA Log'!M:M,"QQC",'QA Log'!Z:Z,"Rejected",'QA Log'!L:L,"*2. Hygiene and Sterilization*"),
COUNTIFS('QA Log'!D:D,A219,'QA Log'!M:M,"QQC",'QA Log'!Z:Z,"Rejected",'QA Log'!L:L,"*Family Planning*")))</f>
        <v/>
      </c>
      <c r="S219" s="106" t="str">
        <f t="shared" si="1"/>
        <v/>
      </c>
      <c r="T219" s="102" t="str">
        <f t="shared" si="2"/>
        <v/>
      </c>
      <c r="U219" s="102" t="str">
        <f>IF(A219="","",
SUM(
COUNTIFS('QA Log'!D:D,A219,'QA Log'!M:M,"QQC",'QA Log'!L:L,"*8. Maternity*"),
COUNTIFS('QA Log'!D:D,A219,'QA Log'!M:M,"QQC",'QA Log'!L:L,"*9. EPI and Pre-school Consultation*"),
COUNTIFS('QA Log'!D:D,A219,'QA Log'!M:M,"QQC",'QA Log'!L:L,"*10. Antenatal Care (ANC)*"),
COUNTIFS('QA Log'!D:D,A219,'QA Log'!M:M,"QQC",'QA Log'!L:L,"*2. Hygiene and Sterilization*"),
COUNTIFS('QA Log'!D:D,A219,'QA Log'!M:M,"QQC",'QA Log'!L:L,"*4. Family Planning*")
))</f>
        <v/>
      </c>
      <c r="V219" s="102" t="str">
        <f>IF(A219="","",
SUM(
COUNTIFS('QA Log'!D:D,A219,'QA Log'!M:M,"QQC",'QA Log'!Z:Z,"Approved",'QA Log'!L:L,"*8. Maternity*"),
COUNTIFS('QA Log'!D:D,A219,'QA Log'!M:M,"QQC",'QA Log'!Z:Z,"Approved",'QA Log'!L:L,"*9. EPI and Pre-school Consultation*"),
COUNTIFS('QA Log'!D:D,A219,'QA Log'!M:M,"QQC",'QA Log'!Z:Z,"Approved",'QA Log'!L:L,"*10. Antenatal Care (ANC)*"),
COUNTIFS('QA Log'!D:D,A219,'QA Log'!M:M,"QQC",'QA Log'!Z:Z,"Approved",'QA Log'!L:L,"*2. Hygiene and Sterilization*"),
COUNTIFS('QA Log'!D:D,A219,'QA Log'!M:M,"QQC",'QA Log'!Z:Z,"Approved",'QA Log'!L:L,"*4. Family Planning*")
))</f>
        <v/>
      </c>
      <c r="W219" s="105" t="str">
        <f>IF(A219&lt;&gt;"",COUNTIFS('QA Log'!D:D,A219,'QA Log'!M:M,"QQC",'QA Log'!L:L,"8. Maternity",'QA Log'!Z:Z,"Approved"),"")</f>
        <v/>
      </c>
      <c r="X219" s="105" t="str">
        <f>IF(A219&lt;&gt;"",COUNTIFS('QA Log'!D:D,A219,'QA Log'!M:M,"QQC",'QA Log'!L:L,"9. EPI and Pre-school Consultation",'QA Log'!Z:Z,"Approved"),"")</f>
        <v/>
      </c>
      <c r="Y219" s="105" t="str">
        <f>IF(A219&lt;&gt;"",COUNTIFS('QA Log'!D:D,A219,'QA Log'!M:M,"QQC",'QA Log'!L:L,"10. Antenatal Care (ANC)",'QA Log'!Z:Z,"Approved"),"")</f>
        <v/>
      </c>
      <c r="Z219" s="105" t="str">
        <f>IF(A219&lt;&gt;"",COUNTIFS('QA Log'!D:D,A219,'QA Log'!M:M,"QQC",'QA Log'!L:L,"2. Hygiene and Sterilization",'QA Log'!Z:Z,"Approved"),"")</f>
        <v/>
      </c>
      <c r="AA219" s="105" t="str">
        <f>IF(A219&lt;&gt;"",COUNTIFS('QA Log'!D:D,A219,'QA Log'!M:M,"QQC",'QA Log'!L:L,"4. Family Planning",'QA Log'!Z:Z,"Approved"),"")</f>
        <v/>
      </c>
      <c r="AB219" s="102" t="str">
        <f>IF(A219="","",
SUM(
COUNTIFS('QA Log'!D:D,A219,'QA Log'!M:M,"QQC",'QA Log'!Z:Z,"Rejected",'QA Log'!L:L,"*8. Maternity*"),
COUNTIFS('QA Log'!D:D,A219,'QA Log'!M:M,"QQC",'QA Log'!Z:Z,"Rejected",'QA Log'!L:L,"*9. EPI and Pre-school Consultation*"),
COUNTIFS('QA Log'!D:D,A219,'QA Log'!M:M,"QQC",'QA Log'!Z:Z,"Rejected",'QA Log'!L:L,"*10. Antenatal Care (ANC)*"),
COUNTIFS('QA Log'!D:D,A219,'QA Log'!M:M,"QQC",'QA Log'!Z:Z,"Rejected",'QA Log'!L:L,"*2. Hygiene and Sterilization*"),
COUNTIFS('QA Log'!D:D,A219,'QA Log'!M:M,"QQC",'QA Log'!Z:Z,"Rejected",'QA Log'!L:L,"*4. Family Planning*")
))</f>
        <v/>
      </c>
      <c r="AC219" s="102" t="str">
        <f t="shared" si="3"/>
        <v/>
      </c>
      <c r="AD219" s="103" t="str">
        <f t="shared" si="4"/>
        <v/>
      </c>
      <c r="AE219" s="102" t="str">
        <f>IF(A219="","",
SUM(
COUNTIFS('QA Log'!D:D,A219,'QA Log'!M:M,"Data Verification",'QA Log'!L:L,"*Medicine (section 2)*"),
COUNTIFS('QA Log'!D:D,A219,'QA Log'!M:M,"Data Verification",'QA Log'!L:L,"*Lab Testing Availability*"),
COUNTIFS('QA Log'!D:D,A219,'QA Log'!M:M,"Data Verification",'QA Log'!L:L,"*Other than P4P (section 6)*"),
COUNTIFS('QA Log'!D:D,A219,'QA Log'!M:M,"Data Verification",'QA Log'!L:L,"*Hospital Governance*")
))</f>
        <v/>
      </c>
      <c r="AF219" s="102" t="str">
        <f>IF(A219="","",
SUM(
COUNTIFS('QA Log'!D:D,A219,'QA Log'!M:M,"Data Verification",'QA Log'!Z:Z,"Approved",'QA Log'!L:L,"*Medicine (section 2)*"),
COUNTIFS('QA Log'!D:D,A219,'QA Log'!M:M,"Data Verification",'QA Log'!Z:Z,"Approved",'QA Log'!L:L,"*Lab Testing Availability*"),
COUNTIFS('QA Log'!D:D,A219,'QA Log'!M:M,"Data Verification",'QA Log'!Z:Z,"Approved",'QA Log'!L:L,"*Other than P4P (section 6)*"),
COUNTIFS('QA Log'!D:D,A219,'QA Log'!M:M,"Data Verification",'QA Log'!Z:Z,"Approved",'QA Log'!L:L,"*Hospital Governance*")
))</f>
        <v/>
      </c>
      <c r="AG219" s="105" t="str">
        <f>IF(A219&lt;&gt;"",COUNTIFS('QA Log'!D:D,A219,'QA Log'!M:M,"Data Verification",'QA Log'!L:L,"Medicine (section 2)",'QA Log'!Z:Z,"Approved"),"")</f>
        <v/>
      </c>
      <c r="AH219" s="105" t="str">
        <f>IF(A219&lt;&gt;"",COUNTIFS('QA Log'!D:D,A219,'QA Log'!M:M,"Data Verification",'QA Log'!L:L,"Lab Testing Availability",'QA Log'!Z:Z,"Approved"),"")</f>
        <v/>
      </c>
      <c r="AI219" s="105" t="str">
        <f>IF(A219&lt;&gt;"",COUNTIFS('QA Log'!D:D,A219,'QA Log'!M:M,"Data Verification",'QA Log'!L:L,"Other than P4P (section 6)",'QA Log'!Z:Z,"Approved"),"")</f>
        <v/>
      </c>
      <c r="AJ219" s="105" t="str">
        <f>IF(A219&lt;&gt;"",COUNTIFS('QA Log'!D:D,A219,'QA Log'!M:M,"Data Verification",'QA Log'!L:L,"Hospital Governance",'QA Log'!Z:Z,"Approved"),"")</f>
        <v/>
      </c>
      <c r="AK219" s="102" t="str">
        <f>IF(A219="","",
SUM(
COUNTIFS('QA Log'!D:D,A219,'QA Log'!M:M,"Data Verification",'QA Log'!Z:Z,"Rejected",'QA Log'!L:L,"*Medicine (section 2)*"),
COUNTIFS('QA Log'!D:D,A219,'QA Log'!M:M,"Data Verification",'QA Log'!Z:Z,"Rejected",'QA Log'!L:L,"*Lab Testing Availability*"),
COUNTIFS('QA Log'!D:D,A219,'QA Log'!M:M,"Data Verification",'QA Log'!Z:Z,"Rejected",'QA Log'!L:L,"*Other than P4P (section 6)*"),
COUNTIFS('QA Log'!D:D,A219,'QA Log'!M:M,"Data Verification",'QA Log'!Z:Z,"Rejected",'QA Log'!L:L,"*Hospital Governance*")
))</f>
        <v/>
      </c>
      <c r="AL219" s="106" t="str">
        <f t="shared" si="5"/>
        <v/>
      </c>
      <c r="AM219" s="102" t="str">
        <f t="shared" si="6"/>
        <v/>
      </c>
      <c r="AN219" s="102" t="str">
        <f>IF(A219="","",
SUM(
COUNTIFS('QA Log'!D:D,A219,'QA Log'!M:M,"Data Verification",'QA Log'!L:L,"*Personnel (section 1)*"),
COUNTIFS('QA Log'!D:D,A219,'QA Log'!M:M,"Data Verification",'QA Log'!L:L,"*Consumable (section 3)*"),
COUNTIFS('QA Log'!D:D,A219,'QA Log'!M:M,"Data Verification",'QA Log'!L:L,"*Equipments (section 4)*")
))</f>
        <v/>
      </c>
      <c r="AO219" s="102" t="str">
        <f>IF(A219="","",
SUM(
COUNTIFS('QA Log'!D:D,A219,'QA Log'!M:M,"Data Verification",'QA Log'!Z:Z,"Approved",'QA Log'!L:L,"*Personnel (section 1)*"),
COUNTIFS('QA Log'!D:D,A219,'QA Log'!M:M,"Data Verification",'QA Log'!Z:Z,"Approved",'QA Log'!L:L,"*Consumable (section 3)*"),
COUNTIFS('QA Log'!D:D,A219,'QA Log'!M:M,"Data Verification",'QA Log'!Z:Z,"Approved",'QA Log'!L:L,"*Equipments (section 4)*")
))</f>
        <v/>
      </c>
      <c r="AP219" s="105" t="str">
        <f>IF(A219&lt;&gt;"",COUNTIFS('QA Log'!D:D,A219,'QA Log'!M:M,"Data Verification",'QA Log'!L:L,"Personnel (section 1)",'QA Log'!Z:Z,"Approved"),"")</f>
        <v/>
      </c>
      <c r="AQ219" s="105" t="str">
        <f>IF(A219&lt;&gt;"",COUNTIFS('QA Log'!D:D,A219,'QA Log'!M:M,"Data Verification",'QA Log'!L:L,"Consumable (section 3)",'QA Log'!Z:Z,"Approved"),"")</f>
        <v/>
      </c>
      <c r="AR219" s="105" t="str">
        <f>IF(A219&lt;&gt;"",COUNTIFS('QA Log'!D:D,A219,'QA Log'!M:M,"Data Verification",'QA Log'!L:L,"Equipments (section 4)",'QA Log'!Z:Z,"Approved"),"")</f>
        <v/>
      </c>
      <c r="AS219" s="102" t="str">
        <f>IF(A219="","",
SUM(
COUNTIFS('QA Log'!D:D,A219,'QA Log'!M:M,"Data Verification",'QA Log'!Z:Z,"Rejected",'QA Log'!L:L,"*Personnel (section 1)*"),
COUNTIFS('QA Log'!D:D,A219,'QA Log'!M:M,"Data Verification",'QA Log'!Z:Z,"Rejected",'QA Log'!L:L,"*Consumable (section 3)*"),
COUNTIFS('QA Log'!D:D,A219,'QA Log'!M:M,"Data Verification",'QA Log'!Z:Z,"Rejected",'QA Log'!L:L,"*Equipments (section 4)*")
))</f>
        <v/>
      </c>
      <c r="AT219" s="102" t="str">
        <f t="shared" si="7"/>
        <v/>
      </c>
      <c r="AU219" s="103" t="str">
        <f t="shared" si="8"/>
        <v/>
      </c>
      <c r="AV219" s="102" t="str">
        <f>IF(A219="","",SUM(
COUNTIFS('QA Log'!D:D,A219,'QA Log'!M:M,"Vignette",'QA Log'!L:L,"*Vignette [1] Respiratory Infection: Pneumonia*"),
COUNTIFS('QA Log'!D:D,A219,'QA Log'!M:M,"Vignette",'QA Log'!L:L,"*Vignette [2]: Diarrhea with Cat B dehydration*"),
COUNTIFS('QA Log'!D:D,A219,'QA Log'!M:M,"Vignette",'QA Log'!L:L,"*Vignette [3] Growth Monitoring and Promotion*"),
COUNTIFS('QA Log'!D:D,A219,'QA Log'!M:M,"Vignette",'QA Log'!L:L,"*Vignette [4]: The management of presumptive TB patient*")
)
)</f>
        <v/>
      </c>
      <c r="AW219" s="102" t="str">
        <f>IF(
  A219="","",
  SUM(
    COUNTIFS('QA Log'!D:D,A219,'QA Log'!M:M,"Vignette",'QA Log'!Z:Z,"Approved",'QA Log'!L:L,"*Vignette [1] Respiratory Infection: Pneumonia*"),
    COUNTIFS('QA Log'!D:D,A219,'QA Log'!M:M,"Vignette",'QA Log'!Z:Z,"Approved",'QA Log'!L:L,"*Vignette [2]: Diarrhea with Cat B dehydration*"),
    COUNTIFS('QA Log'!D:D,A219,'QA Log'!M:M,"Vignette",'QA Log'!Z:Z,"Approved",'QA Log'!L:L,"*Vignette [3] Growth Monitoring and Promotion*"),
    COUNTIFS('QA Log'!D:D,A219,'QA Log'!M:M,"Vignette",'QA Log'!Z:Z,"Approved",'QA Log'!L:L,"*Vignette [4]: The management of presumptive TB patient*")
  )
)</f>
        <v/>
      </c>
      <c r="AX219" s="105" t="str">
        <f>IF(A219&lt;&gt;"",COUNTIFS('QA Log'!D:D,A219,'QA Log'!M:M,"Vignette",'QA Log'!L:L,"Vignette [1] Respiratory Infection: Pneumonia",'QA Log'!Z:Z,"Approved"),"")</f>
        <v/>
      </c>
      <c r="AY219" s="105" t="str">
        <f>IF(A219&lt;&gt;"",COUNTIFS('QA Log'!D:D,A219,'QA Log'!M:M,"Vignette",'QA Log'!L:L,"Vignette [2]: Diarrhea with Cat B dehydration",'QA Log'!Z:Z,"Approved"),"")</f>
        <v/>
      </c>
      <c r="AZ219" s="105" t="str">
        <f>IF(A219&lt;&gt;"",COUNTIFS('QA Log'!D:D,A219,'QA Log'!M:M,"Vignette",'QA Log'!L:L,"Vignette [3] Growth Monitoring and Promotion",'QA Log'!Z:Z,"Approved"),"")</f>
        <v/>
      </c>
      <c r="BA219" s="105" t="str">
        <f>IF(A219&lt;&gt;"",COUNTIFS('QA Log'!D:D,A219,'QA Log'!M:M,"Vignette",'QA Log'!L:L,"Vignette [4]: The management of presumptive TB patient",'QA Log'!Z:Z,"Approved"),"")</f>
        <v/>
      </c>
      <c r="BB219" s="102" t="str">
        <f>IF(A219="","",
  SUM(
    COUNTIFS('QA Log'!D:D,A219,'QA Log'!M:M,"Vignette",'QA Log'!Z:Z,"Rejected",'QA Log'!L:L,"*Vignette [1] Respiratory Infection: Pneumonia*"),
    COUNTIFS('QA Log'!D:D,A219,'QA Log'!M:M,"Vignette",'QA Log'!Z:Z,"Rejected",'QA Log'!L:L,"*Vignette [2]: Diarrhea with Cat B dehydration*"),
    COUNTIFS('QA Log'!D:D,A219,'QA Log'!M:M,"Vignette",'QA Log'!Z:Z,"Rejected",'QA Log'!L:L,"*Vignette [3] Growth Monitoring and Promotion*"),
    COUNTIFS('QA Log'!D:D,A219,'QA Log'!M:M,"Vignette",'QA Log'!Z:Z,"Rejected",'QA Log'!L:L,"*Vignette [4]: The management of presumptive TB patient*")
  )
)</f>
        <v/>
      </c>
      <c r="BC219" s="107" t="str">
        <f t="shared" si="9"/>
        <v/>
      </c>
      <c r="BD219" s="103" t="str">
        <f t="shared" si="10"/>
        <v/>
      </c>
      <c r="BE219" s="102" t="str">
        <f>IF(A219="","",SUM(
COUNTIFS('QA Log'!D:D,A219,'QA Log'!M:M,"Vignette",'QA Log'!L:L,"*Vignette [5] Labor*"),
COUNTIFS('QA Log'!D:D,A219,'QA Log'!M:M,"Vignette",'QA Log'!L:L,"*Vignette [6] PNC pre Discharge*"),
COUNTIFS('QA Log'!D:D,A219,'QA Log'!M:M,"Vignette",'QA Log'!L:L,"*Vignette [7] First ANC Visit*"),
COUNTIFS('QA Log'!D:D,A219,'QA Log'!M:M,"Vignette",'QA Log'!L:L,"*Vignette [8] Birth Spacing/ Family Planning :  FP Counselling*"),
COUNTIFS('QA Log'!D:D,A219,'QA Log'!M:M,"Vignette",'QA Log'!L:L,"*Vignette [9] Birth Spacing: Change FP method to Injectable*"),
COUNTIFS('QA Log'!D:D,A219,'QA Log'!M:M,"Vignette",'QA Log'!L:L,"*Vignette [10] Post Partum Haemorrhage - Atonic Uterus at Health Centre*"),
)
)</f>
        <v/>
      </c>
      <c r="BF219" s="102" t="str">
        <f>IF(A219="","",
  SUM(
    COUNTIFS('QA Log'!D:D,A219,'QA Log'!M:M,"Vignette",'QA Log'!Z:Z,"Approved",'QA Log'!L:L,"*Vignette [5] Labor*"),
    COUNTIFS('QA Log'!D:D,A219,'QA Log'!M:M,"Vignette",'QA Log'!Z:Z,"Approved",'QA Log'!L:L,"*Vignette [6] PNC pre Discharge*"),
    COUNTIFS('QA Log'!D:D,A219,'QA Log'!M:M,"Vignette",'QA Log'!Z:Z,"Approved",'QA Log'!L:L,"*Vignette [7] First ANC Visit*"),
    COUNTIFS('QA Log'!D:D,A219,'QA Log'!M:M,"Vignette",'QA Log'!Z:Z,"Approved",'QA Log'!L:L,"*Vignette [8] Birth Spacing/ Family Planning :  FP Counselling*"),
    COUNTIFS('QA Log'!D:D,A219,'QA Log'!M:M,"Vignette",'QA Log'!Z:Z,"Approved",'QA Log'!L:L,"*Vignette [9] Birth Spacing: Change FP method to Injectable*"),
    COUNTIFS('QA Log'!D:D,A219,'QA Log'!M:M,"Vignette",'QA Log'!Z:Z,"Approved",'QA Log'!L:L,"*Vignette [10] Post Partum Haemorrhage - Atonic Uterus at Health Centre*")
  )
)</f>
        <v/>
      </c>
      <c r="BG219" s="105" t="str">
        <f>IF(A219&lt;&gt;"",COUNTIFS('QA Log'!D:D,A219,'QA Log'!M:M,"Vignette",'QA Log'!L:L,"Vignette [5] Labor",'QA Log'!Z:Z,"Approved"),"")</f>
        <v/>
      </c>
      <c r="BH219" s="105" t="str">
        <f>IF(A219&lt;&gt;"",COUNTIFS('QA Log'!D:D,A219,'QA Log'!M:M,"Vignette",'QA Log'!L:L,"Vignette [6] PNC pre Discharge",'QA Log'!Z:Z,"Approved"),"")</f>
        <v/>
      </c>
      <c r="BI219" s="105" t="str">
        <f>IF(A219&lt;&gt;"",COUNTIFS('QA Log'!D:D,A219,'QA Log'!M:M,"Vignette",'QA Log'!L:L,"Vignette [7] First ANC Visit",'QA Log'!Z:Z,"Approved"),"")</f>
        <v/>
      </c>
      <c r="BJ219" s="105" t="str">
        <f>IF(A219&lt;&gt;"",COUNTIFS('QA Log'!D:D,A219,'QA Log'!M:M,"Vignette",'QA Log'!L:L,"Vignette [8] Birth Spacing/ Family Planning :  FP Counselling",'QA Log'!Z:Z,"Approved"),"")</f>
        <v/>
      </c>
      <c r="BK219" s="105" t="str">
        <f>IF(A219&lt;&gt;"",COUNTIFS('QA Log'!D:D,A219,'QA Log'!M:M,"Vignette",'QA Log'!L:L,"Vignette [9] Birth Spacing: Change FP method to Injectable",'QA Log'!Z:Z,"Approved"),"")</f>
        <v/>
      </c>
      <c r="BL219" s="105" t="str">
        <f>IF(A219&lt;&gt;"",COUNTIFS('QA Log'!D:D,A219,'QA Log'!M:M,"Vignette",'QA Log'!L:L,"Vignette [10] Post Partum Haemorrhage - Atonic Uterus at Health Centre",'QA Log'!Z:Z,"Approved"),"")</f>
        <v/>
      </c>
      <c r="BM219" s="102" t="str">
        <f>IF(A219="","",SUM(
    COUNTIFS('QA Log'!D:D,A219,'QA Log'!M:M,"Vignette",'QA Log'!Z:Z,"Rejected",'QA Log'!L:L,"*Vignette [5] Labor*"),
    COUNTIFS('QA Log'!D:D,A219,'QA Log'!M:M,"Vignette",'QA Log'!Z:Z,"Rejected",'QA Log'!L:L,"*Vignette [6] PNC pre Discharge*"),
    COUNTIFS('QA Log'!D:D,A219,'QA Log'!M:M,"Vignette",'QA Log'!Z:Z,"Rejected",'QA Log'!L:L,"*Vignette [7] First ANC Visit*"),
    COUNTIFS('QA Log'!D:D,A219,'QA Log'!M:M,"Vignette",'QA Log'!Z:Z,"Rejected",'QA Log'!L:L,"*Vignette [8] Birth Spacing/ Family Planning :  FP Counselling*"),
    COUNTIFS('QA Log'!D:D,A219,'QA Log'!M:M,"Vignette",'QA Log'!Z:Z,"Rejected",'QA Log'!L:L,"*Vignette [9] Birth Spacing: Change FP method to Injectable*"),
    COUNTIFS('QA Log'!D:D,A219,'QA Log'!M:M,"Vignette",'QA Log'!Z:Z,"Rejected",'QA Log'!L:L,"*Vignette [10] Post Partum Haemorrhage - Atonic Uterus at Health Centre*")
  )
)</f>
        <v/>
      </c>
      <c r="BN219" s="107" t="str">
        <f t="shared" si="11"/>
        <v/>
      </c>
      <c r="BO219" s="103" t="str">
        <f t="shared" si="12"/>
        <v/>
      </c>
      <c r="BP219" s="102" t="str">
        <f>IF(A219="","",SUM(
COUNTIFS('QA Log'!D:D,A219,'QA Log'!M:M,"Vignette",'QA Log'!L:L,"*Exit Interview 1*"),
COUNTIFS('QA Log'!D:D,A219,'QA Log'!M:M,"Vignette",'QA Log'!L:L,"*Exit Interview 2*"),
)
)</f>
        <v/>
      </c>
      <c r="BQ219" s="102" t="str">
        <f>IF(
  A219="","",
  SUM(
    COUNTIFS('QA Log'!D:D,A219,'QA Log'!M:M,"Vignette",'QA Log'!Z:Z,"Approved",'QA Log'!L:L,"*Exit Interview 1*"),
    COUNTIFS('QA Log'!D:D,A219,'QA Log'!M:M,"Vignette",'QA Log'!Z:Z,"Approved",'QA Log'!L:L,"*Exit Interview 2*")
  )
)</f>
        <v/>
      </c>
      <c r="BR219" s="105" t="str">
        <f>IF(A219&lt;&gt;"",COUNTIFS('QA Log'!D:D,A219,'QA Log'!M:M,"Vignette",'QA Log'!L:L,"Exit Interview 1",'QA Log'!Z:Z,"Approved"),"")</f>
        <v/>
      </c>
      <c r="BS219" s="105" t="str">
        <f>IF(A219&lt;&gt;"",COUNTIFS('QA Log'!D:D,A219,'QA Log'!M:M,"Vignette",'QA Log'!L:L,"Exit Interview 2",'QA Log'!Z:Z,"Approved"),"")</f>
        <v/>
      </c>
      <c r="BT219" s="102" t="str">
        <f>IF(
  A219="","",
  SUM(
    COUNTIFS('QA Log'!D:D,A219,'QA Log'!M:M,"Vignette",'QA Log'!Z:Z,"Rejected",'QA Log'!L:L,"*Exit Interview 1*"),
    COUNTIFS('QA Log'!D:D,A219,'QA Log'!M:M,"Vignette",'QA Log'!Z:Z,"Rejected",'QA Log'!L:L,"*Exit Interview 2*")
  )
)</f>
        <v/>
      </c>
      <c r="BU219" s="107" t="str">
        <f t="shared" si="13"/>
        <v/>
      </c>
      <c r="BV219" s="102" t="str">
        <f t="shared" si="14"/>
        <v/>
      </c>
      <c r="BW219" s="102" t="str">
        <f t="shared" si="15"/>
        <v/>
      </c>
      <c r="BX219" s="102" t="str">
        <f t="shared" si="16"/>
        <v/>
      </c>
      <c r="BY219" s="102" t="str">
        <f t="shared" si="17"/>
        <v/>
      </c>
      <c r="BZ219" s="107" t="str">
        <f t="shared" si="18"/>
        <v/>
      </c>
      <c r="CA219" s="108" t="str">
        <f t="shared" si="19"/>
        <v/>
      </c>
      <c r="CB219" s="108" t="str">
        <f t="shared" si="20"/>
        <v/>
      </c>
      <c r="CC219" s="109" t="str">
        <f t="shared" si="21"/>
        <v/>
      </c>
      <c r="CD219" s="108" t="str">
        <f t="shared" si="22"/>
        <v/>
      </c>
      <c r="CE219" s="108" t="str">
        <f t="shared" si="23"/>
        <v/>
      </c>
      <c r="CF219" s="109" t="str">
        <f t="shared" si="24"/>
        <v/>
      </c>
      <c r="CG219" s="110" t="str">
        <f t="shared" si="25"/>
        <v/>
      </c>
      <c r="CH219" s="111"/>
    </row>
    <row r="220" spans="1:86" ht="12.75">
      <c r="A220" s="101"/>
      <c r="B220" s="102" t="e">
        <f t="array" aca="1" ref="B220" ca="1">_xludf.XLOOKUP(A220,'QA Log'!D:D,'QA Log'!E:E,"")</f>
        <v>#NAME?</v>
      </c>
      <c r="C220" s="102" t="e">
        <f t="array" aca="1" ref="C220" ca="1">_xludf.XLOOKUP(A220,'QA Log'!D:D,'QA Log'!F:F,"")</f>
        <v>#NAME?</v>
      </c>
      <c r="D220" s="102" t="e">
        <f t="array" aca="1" ref="D220" ca="1">_xludf.XLOOKUP(A220,'QA Log'!D:D,'QA Log'!H:H,"")</f>
        <v>#NAME?</v>
      </c>
      <c r="E220" s="102" t="e">
        <f t="array" aca="1" ref="E220" ca="1">_xludf.XLOOKUP(A220,'QA Log'!D:D,'QA Log'!G:G,"")</f>
        <v>#NAME?</v>
      </c>
      <c r="F220" s="103"/>
      <c r="G220" s="104"/>
      <c r="H220" s="104"/>
      <c r="I220" s="103" t="str">
        <f t="shared" si="0"/>
        <v/>
      </c>
      <c r="J220" s="102" t="str">
        <f>IF(A220="","",SUM(
COUNTIFS('QA Log'!D:D,A220,'QA Log'!M:M,"QQC",'QA Log'!L:L,"*1. General Management*"),
COUNTIFS('QA Log'!D:D,A220,'QA Log'!M:M,"QQC",'QA Log'!L:L,"*3. Curative Consultation (OPD)*"),
COUNTIFS('QA Log'!D:D,A220,'QA Log'!M:M,"QQC",'QA Log'!L:L,"*5. Laboratory*"),
COUNTIFS('QA Log'!D:D,A220,'QA Log'!M:M,"QQC",'QA Log'!L:L,"*6. Essential Medicine Management*"),
COUNTIFS('QA Log'!D:D,A220,'QA Log'!M:M,"QQC",'QA Log'!L:L,"*7. Tracer Medicine*"),
COUNTIFS('QA Log'!D:D,A220,'QA Log'!M:M,"QQC",'QA Log'!L:L,"*11. Additional Questions*")))</f>
        <v/>
      </c>
      <c r="K220" s="102" t="str">
        <f>IF(A220="","",SUM(
COUNTIFS('QA Log'!D:D,A220,'QA Log'!M:M,"QQC",'QA Log'!Z:Z,"Approved",'QA Log'!L:L,"*1. General Management*"),
COUNTIFS('QA Log'!D:D,A220,'QA Log'!M:M,"QQC",'QA Log'!Z:Z,"Approved",'QA Log'!L:L,"*3. Curative Consultation (OPD)*"),
COUNTIFS('QA Log'!D:D,A220,'QA Log'!M:M,"QQC",'QA Log'!Z:Z,"Approved",'QA Log'!L:L,"*5. Laboratory*"),
COUNTIFS('QA Log'!D:D,A220,'QA Log'!M:M,"QQC",'QA Log'!Z:Z,"Approved",'QA Log'!L:L,"*6. Essential Medicine Management*"),
COUNTIFS('QA Log'!D:D,A220,'QA Log'!M:M,"QQC",'QA Log'!Z:Z,"Approved",'QA Log'!L:L,"*7. Tracer Medicine*"),
COUNTIFS('QA Log'!D:D,A220,'QA Log'!M:M,"QQC",'QA Log'!Z:Z,"Approved",'QA Log'!L:L,"*11. Additional Questions*")))</f>
        <v/>
      </c>
      <c r="L220" s="105" t="str">
        <f>IF(A220&lt;&gt;"",COUNTIFS('QA Log'!D:D,A220,'QA Log'!M:M,"QQC",'QA Log'!L:L,"1. General Management",'QA Log'!Z:Z,"Approved"),"")</f>
        <v/>
      </c>
      <c r="M220" s="105" t="str">
        <f>IF(A220&lt;&gt;"",COUNTIFS('QA Log'!D:D,A220,'QA Log'!M:M,"QQC",'QA Log'!L:L,"3. Curative Consultation (OPD)",'QA Log'!Z:Z,"Approved"),"")</f>
        <v/>
      </c>
      <c r="N220" s="105" t="str">
        <f>IF(A220&lt;&gt;"",COUNTIFS('QA Log'!D:D,A220,'QA Log'!M:M,"QQC",'QA Log'!L:L,"5. Laboratory",'QA Log'!Z:Z,"Approved"),"")</f>
        <v/>
      </c>
      <c r="O220" s="105" t="str">
        <f>IF(A220&lt;&gt;"",COUNTIFS('QA Log'!D:D,A220,'QA Log'!M:M,"QQC",'QA Log'!L:L,"6. Essential Medicine Management",'QA Log'!Z:Z,"Approved"),"")</f>
        <v/>
      </c>
      <c r="P220" s="105" t="str">
        <f>IF(A220&lt;&gt;"",COUNTIFS('QA Log'!D:D,A220,'QA Log'!M:M,"QQC",'QA Log'!L:L,"7. Tracer Medicine",'QA Log'!Z:Z,"Approved"),"")</f>
        <v/>
      </c>
      <c r="Q220" s="105" t="str">
        <f>IF(A220&lt;&gt;"",COUNTIFS('QA Log'!D:D,A220,'QA Log'!M:M,"QQC",'QA Log'!L:L,"11. Additional Questions",'QA Log'!Z:Z,"Approved"),"")</f>
        <v/>
      </c>
      <c r="R220" s="102" t="str">
        <f>IF(A220="","",SUM(
COUNTIFS('QA Log'!D:D,A220,'QA Log'!M:M,"QQC",'QA Log'!Z:Z,"Rejected",'QA Log'!L:L,"*8. Maternity*"),
COUNTIFS('QA Log'!D:D,A220,'QA Log'!M:M,"QQC",'QA Log'!Z:Z,"Rejected",'QA Log'!L:L,"*EPI*"),
COUNTIFS('QA Log'!D:D,A220,'QA Log'!M:M,"QQC",'QA Log'!Z:Z,"Rejected",'QA Log'!L:L,"*10. Antenatal Care (ANC)*"),
COUNTIFS('QA Log'!D:D,A220,'QA Log'!M:M,"QQC",'QA Log'!Z:Z,"Rejected",'QA Log'!L:L,"*2. Hygiene and Sterilization*"),
COUNTIFS('QA Log'!D:D,A220,'QA Log'!M:M,"QQC",'QA Log'!Z:Z,"Rejected",'QA Log'!L:L,"*Family Planning*")))</f>
        <v/>
      </c>
      <c r="S220" s="106" t="str">
        <f t="shared" si="1"/>
        <v/>
      </c>
      <c r="T220" s="102" t="str">
        <f t="shared" si="2"/>
        <v/>
      </c>
      <c r="U220" s="102" t="str">
        <f>IF(A220="","",
SUM(
COUNTIFS('QA Log'!D:D,A220,'QA Log'!M:M,"QQC",'QA Log'!L:L,"*8. Maternity*"),
COUNTIFS('QA Log'!D:D,A220,'QA Log'!M:M,"QQC",'QA Log'!L:L,"*9. EPI and Pre-school Consultation*"),
COUNTIFS('QA Log'!D:D,A220,'QA Log'!M:M,"QQC",'QA Log'!L:L,"*10. Antenatal Care (ANC)*"),
COUNTIFS('QA Log'!D:D,A220,'QA Log'!M:M,"QQC",'QA Log'!L:L,"*2. Hygiene and Sterilization*"),
COUNTIFS('QA Log'!D:D,A220,'QA Log'!M:M,"QQC",'QA Log'!L:L,"*4. Family Planning*")
))</f>
        <v/>
      </c>
      <c r="V220" s="102" t="str">
        <f>IF(A220="","",
SUM(
COUNTIFS('QA Log'!D:D,A220,'QA Log'!M:M,"QQC",'QA Log'!Z:Z,"Approved",'QA Log'!L:L,"*8. Maternity*"),
COUNTIFS('QA Log'!D:D,A220,'QA Log'!M:M,"QQC",'QA Log'!Z:Z,"Approved",'QA Log'!L:L,"*9. EPI and Pre-school Consultation*"),
COUNTIFS('QA Log'!D:D,A220,'QA Log'!M:M,"QQC",'QA Log'!Z:Z,"Approved",'QA Log'!L:L,"*10. Antenatal Care (ANC)*"),
COUNTIFS('QA Log'!D:D,A220,'QA Log'!M:M,"QQC",'QA Log'!Z:Z,"Approved",'QA Log'!L:L,"*2. Hygiene and Sterilization*"),
COUNTIFS('QA Log'!D:D,A220,'QA Log'!M:M,"QQC",'QA Log'!Z:Z,"Approved",'QA Log'!L:L,"*4. Family Planning*")
))</f>
        <v/>
      </c>
      <c r="W220" s="105" t="str">
        <f>IF(A220&lt;&gt;"",COUNTIFS('QA Log'!D:D,A220,'QA Log'!M:M,"QQC",'QA Log'!L:L,"8. Maternity",'QA Log'!Z:Z,"Approved"),"")</f>
        <v/>
      </c>
      <c r="X220" s="105" t="str">
        <f>IF(A220&lt;&gt;"",COUNTIFS('QA Log'!D:D,A220,'QA Log'!M:M,"QQC",'QA Log'!L:L,"9. EPI and Pre-school Consultation",'QA Log'!Z:Z,"Approved"),"")</f>
        <v/>
      </c>
      <c r="Y220" s="105" t="str">
        <f>IF(A220&lt;&gt;"",COUNTIFS('QA Log'!D:D,A220,'QA Log'!M:M,"QQC",'QA Log'!L:L,"10. Antenatal Care (ANC)",'QA Log'!Z:Z,"Approved"),"")</f>
        <v/>
      </c>
      <c r="Z220" s="105" t="str">
        <f>IF(A220&lt;&gt;"",COUNTIFS('QA Log'!D:D,A220,'QA Log'!M:M,"QQC",'QA Log'!L:L,"2. Hygiene and Sterilization",'QA Log'!Z:Z,"Approved"),"")</f>
        <v/>
      </c>
      <c r="AA220" s="105" t="str">
        <f>IF(A220&lt;&gt;"",COUNTIFS('QA Log'!D:D,A220,'QA Log'!M:M,"QQC",'QA Log'!L:L,"4. Family Planning",'QA Log'!Z:Z,"Approved"),"")</f>
        <v/>
      </c>
      <c r="AB220" s="102" t="str">
        <f>IF(A220="","",
SUM(
COUNTIFS('QA Log'!D:D,A220,'QA Log'!M:M,"QQC",'QA Log'!Z:Z,"Rejected",'QA Log'!L:L,"*8. Maternity*"),
COUNTIFS('QA Log'!D:D,A220,'QA Log'!M:M,"QQC",'QA Log'!Z:Z,"Rejected",'QA Log'!L:L,"*9. EPI and Pre-school Consultation*"),
COUNTIFS('QA Log'!D:D,A220,'QA Log'!M:M,"QQC",'QA Log'!Z:Z,"Rejected",'QA Log'!L:L,"*10. Antenatal Care (ANC)*"),
COUNTIFS('QA Log'!D:D,A220,'QA Log'!M:M,"QQC",'QA Log'!Z:Z,"Rejected",'QA Log'!L:L,"*2. Hygiene and Sterilization*"),
COUNTIFS('QA Log'!D:D,A220,'QA Log'!M:M,"QQC",'QA Log'!Z:Z,"Rejected",'QA Log'!L:L,"*4. Family Planning*")
))</f>
        <v/>
      </c>
      <c r="AC220" s="102" t="str">
        <f t="shared" si="3"/>
        <v/>
      </c>
      <c r="AD220" s="103" t="str">
        <f t="shared" si="4"/>
        <v/>
      </c>
      <c r="AE220" s="102" t="str">
        <f>IF(A220="","",
SUM(
COUNTIFS('QA Log'!D:D,A220,'QA Log'!M:M,"Data Verification",'QA Log'!L:L,"*Medicine (section 2)*"),
COUNTIFS('QA Log'!D:D,A220,'QA Log'!M:M,"Data Verification",'QA Log'!L:L,"*Lab Testing Availability*"),
COUNTIFS('QA Log'!D:D,A220,'QA Log'!M:M,"Data Verification",'QA Log'!L:L,"*Other than P4P (section 6)*"),
COUNTIFS('QA Log'!D:D,A220,'QA Log'!M:M,"Data Verification",'QA Log'!L:L,"*Hospital Governance*")
))</f>
        <v/>
      </c>
      <c r="AF220" s="102" t="str">
        <f>IF(A220="","",
SUM(
COUNTIFS('QA Log'!D:D,A220,'QA Log'!M:M,"Data Verification",'QA Log'!Z:Z,"Approved",'QA Log'!L:L,"*Medicine (section 2)*"),
COUNTIFS('QA Log'!D:D,A220,'QA Log'!M:M,"Data Verification",'QA Log'!Z:Z,"Approved",'QA Log'!L:L,"*Lab Testing Availability*"),
COUNTIFS('QA Log'!D:D,A220,'QA Log'!M:M,"Data Verification",'QA Log'!Z:Z,"Approved",'QA Log'!L:L,"*Other than P4P (section 6)*"),
COUNTIFS('QA Log'!D:D,A220,'QA Log'!M:M,"Data Verification",'QA Log'!Z:Z,"Approved",'QA Log'!L:L,"*Hospital Governance*")
))</f>
        <v/>
      </c>
      <c r="AG220" s="105" t="str">
        <f>IF(A220&lt;&gt;"",COUNTIFS('QA Log'!D:D,A220,'QA Log'!M:M,"Data Verification",'QA Log'!L:L,"Medicine (section 2)",'QA Log'!Z:Z,"Approved"),"")</f>
        <v/>
      </c>
      <c r="AH220" s="105" t="str">
        <f>IF(A220&lt;&gt;"",COUNTIFS('QA Log'!D:D,A220,'QA Log'!M:M,"Data Verification",'QA Log'!L:L,"Lab Testing Availability",'QA Log'!Z:Z,"Approved"),"")</f>
        <v/>
      </c>
      <c r="AI220" s="105" t="str">
        <f>IF(A220&lt;&gt;"",COUNTIFS('QA Log'!D:D,A220,'QA Log'!M:M,"Data Verification",'QA Log'!L:L,"Other than P4P (section 6)",'QA Log'!Z:Z,"Approved"),"")</f>
        <v/>
      </c>
      <c r="AJ220" s="105" t="str">
        <f>IF(A220&lt;&gt;"",COUNTIFS('QA Log'!D:D,A220,'QA Log'!M:M,"Data Verification",'QA Log'!L:L,"Hospital Governance",'QA Log'!Z:Z,"Approved"),"")</f>
        <v/>
      </c>
      <c r="AK220" s="102" t="str">
        <f>IF(A220="","",
SUM(
COUNTIFS('QA Log'!D:D,A220,'QA Log'!M:M,"Data Verification",'QA Log'!Z:Z,"Rejected",'QA Log'!L:L,"*Medicine (section 2)*"),
COUNTIFS('QA Log'!D:D,A220,'QA Log'!M:M,"Data Verification",'QA Log'!Z:Z,"Rejected",'QA Log'!L:L,"*Lab Testing Availability*"),
COUNTIFS('QA Log'!D:D,A220,'QA Log'!M:M,"Data Verification",'QA Log'!Z:Z,"Rejected",'QA Log'!L:L,"*Other than P4P (section 6)*"),
COUNTIFS('QA Log'!D:D,A220,'QA Log'!M:M,"Data Verification",'QA Log'!Z:Z,"Rejected",'QA Log'!L:L,"*Hospital Governance*")
))</f>
        <v/>
      </c>
      <c r="AL220" s="106" t="str">
        <f t="shared" si="5"/>
        <v/>
      </c>
      <c r="AM220" s="102" t="str">
        <f t="shared" si="6"/>
        <v/>
      </c>
      <c r="AN220" s="102" t="str">
        <f>IF(A220="","",
SUM(
COUNTIFS('QA Log'!D:D,A220,'QA Log'!M:M,"Data Verification",'QA Log'!L:L,"*Personnel (section 1)*"),
COUNTIFS('QA Log'!D:D,A220,'QA Log'!M:M,"Data Verification",'QA Log'!L:L,"*Consumable (section 3)*"),
COUNTIFS('QA Log'!D:D,A220,'QA Log'!M:M,"Data Verification",'QA Log'!L:L,"*Equipments (section 4)*")
))</f>
        <v/>
      </c>
      <c r="AO220" s="102" t="str">
        <f>IF(A220="","",
SUM(
COUNTIFS('QA Log'!D:D,A220,'QA Log'!M:M,"Data Verification",'QA Log'!Z:Z,"Approved",'QA Log'!L:L,"*Personnel (section 1)*"),
COUNTIFS('QA Log'!D:D,A220,'QA Log'!M:M,"Data Verification",'QA Log'!Z:Z,"Approved",'QA Log'!L:L,"*Consumable (section 3)*"),
COUNTIFS('QA Log'!D:D,A220,'QA Log'!M:M,"Data Verification",'QA Log'!Z:Z,"Approved",'QA Log'!L:L,"*Equipments (section 4)*")
))</f>
        <v/>
      </c>
      <c r="AP220" s="105" t="str">
        <f>IF(A220&lt;&gt;"",COUNTIFS('QA Log'!D:D,A220,'QA Log'!M:M,"Data Verification",'QA Log'!L:L,"Personnel (section 1)",'QA Log'!Z:Z,"Approved"),"")</f>
        <v/>
      </c>
      <c r="AQ220" s="105" t="str">
        <f>IF(A220&lt;&gt;"",COUNTIFS('QA Log'!D:D,A220,'QA Log'!M:M,"Data Verification",'QA Log'!L:L,"Consumable (section 3)",'QA Log'!Z:Z,"Approved"),"")</f>
        <v/>
      </c>
      <c r="AR220" s="105" t="str">
        <f>IF(A220&lt;&gt;"",COUNTIFS('QA Log'!D:D,A220,'QA Log'!M:M,"Data Verification",'QA Log'!L:L,"Equipments (section 4)",'QA Log'!Z:Z,"Approved"),"")</f>
        <v/>
      </c>
      <c r="AS220" s="102" t="str">
        <f>IF(A220="","",
SUM(
COUNTIFS('QA Log'!D:D,A220,'QA Log'!M:M,"Data Verification",'QA Log'!Z:Z,"Rejected",'QA Log'!L:L,"*Personnel (section 1)*"),
COUNTIFS('QA Log'!D:D,A220,'QA Log'!M:M,"Data Verification",'QA Log'!Z:Z,"Rejected",'QA Log'!L:L,"*Consumable (section 3)*"),
COUNTIFS('QA Log'!D:D,A220,'QA Log'!M:M,"Data Verification",'QA Log'!Z:Z,"Rejected",'QA Log'!L:L,"*Equipments (section 4)*")
))</f>
        <v/>
      </c>
      <c r="AT220" s="102" t="str">
        <f t="shared" si="7"/>
        <v/>
      </c>
      <c r="AU220" s="103" t="str">
        <f t="shared" si="8"/>
        <v/>
      </c>
      <c r="AV220" s="102" t="str">
        <f>IF(A220="","",SUM(
COUNTIFS('QA Log'!D:D,A220,'QA Log'!M:M,"Vignette",'QA Log'!L:L,"*Vignette [1] Respiratory Infection: Pneumonia*"),
COUNTIFS('QA Log'!D:D,A220,'QA Log'!M:M,"Vignette",'QA Log'!L:L,"*Vignette [2]: Diarrhea with Cat B dehydration*"),
COUNTIFS('QA Log'!D:D,A220,'QA Log'!M:M,"Vignette",'QA Log'!L:L,"*Vignette [3] Growth Monitoring and Promotion*"),
COUNTIFS('QA Log'!D:D,A220,'QA Log'!M:M,"Vignette",'QA Log'!L:L,"*Vignette [4]: The management of presumptive TB patient*")
)
)</f>
        <v/>
      </c>
      <c r="AW220" s="102" t="str">
        <f>IF(
  A220="","",
  SUM(
    COUNTIFS('QA Log'!D:D,A220,'QA Log'!M:M,"Vignette",'QA Log'!Z:Z,"Approved",'QA Log'!L:L,"*Vignette [1] Respiratory Infection: Pneumonia*"),
    COUNTIFS('QA Log'!D:D,A220,'QA Log'!M:M,"Vignette",'QA Log'!Z:Z,"Approved",'QA Log'!L:L,"*Vignette [2]: Diarrhea with Cat B dehydration*"),
    COUNTIFS('QA Log'!D:D,A220,'QA Log'!M:M,"Vignette",'QA Log'!Z:Z,"Approved",'QA Log'!L:L,"*Vignette [3] Growth Monitoring and Promotion*"),
    COUNTIFS('QA Log'!D:D,A220,'QA Log'!M:M,"Vignette",'QA Log'!Z:Z,"Approved",'QA Log'!L:L,"*Vignette [4]: The management of presumptive TB patient*")
  )
)</f>
        <v/>
      </c>
      <c r="AX220" s="105" t="str">
        <f>IF(A220&lt;&gt;"",COUNTIFS('QA Log'!D:D,A220,'QA Log'!M:M,"Vignette",'QA Log'!L:L,"Vignette [1] Respiratory Infection: Pneumonia",'QA Log'!Z:Z,"Approved"),"")</f>
        <v/>
      </c>
      <c r="AY220" s="105" t="str">
        <f>IF(A220&lt;&gt;"",COUNTIFS('QA Log'!D:D,A220,'QA Log'!M:M,"Vignette",'QA Log'!L:L,"Vignette [2]: Diarrhea with Cat B dehydration",'QA Log'!Z:Z,"Approved"),"")</f>
        <v/>
      </c>
      <c r="AZ220" s="105" t="str">
        <f>IF(A220&lt;&gt;"",COUNTIFS('QA Log'!D:D,A220,'QA Log'!M:M,"Vignette",'QA Log'!L:L,"Vignette [3] Growth Monitoring and Promotion",'QA Log'!Z:Z,"Approved"),"")</f>
        <v/>
      </c>
      <c r="BA220" s="105" t="str">
        <f>IF(A220&lt;&gt;"",COUNTIFS('QA Log'!D:D,A220,'QA Log'!M:M,"Vignette",'QA Log'!L:L,"Vignette [4]: The management of presumptive TB patient",'QA Log'!Z:Z,"Approved"),"")</f>
        <v/>
      </c>
      <c r="BB220" s="102" t="str">
        <f>IF(A220="","",
  SUM(
    COUNTIFS('QA Log'!D:D,A220,'QA Log'!M:M,"Vignette",'QA Log'!Z:Z,"Rejected",'QA Log'!L:L,"*Vignette [1] Respiratory Infection: Pneumonia*"),
    COUNTIFS('QA Log'!D:D,A220,'QA Log'!M:M,"Vignette",'QA Log'!Z:Z,"Rejected",'QA Log'!L:L,"*Vignette [2]: Diarrhea with Cat B dehydration*"),
    COUNTIFS('QA Log'!D:D,A220,'QA Log'!M:M,"Vignette",'QA Log'!Z:Z,"Rejected",'QA Log'!L:L,"*Vignette [3] Growth Monitoring and Promotion*"),
    COUNTIFS('QA Log'!D:D,A220,'QA Log'!M:M,"Vignette",'QA Log'!Z:Z,"Rejected",'QA Log'!L:L,"*Vignette [4]: The management of presumptive TB patient*")
  )
)</f>
        <v/>
      </c>
      <c r="BC220" s="107" t="str">
        <f t="shared" si="9"/>
        <v/>
      </c>
      <c r="BD220" s="103" t="str">
        <f t="shared" si="10"/>
        <v/>
      </c>
      <c r="BE220" s="102" t="str">
        <f>IF(A220="","",SUM(
COUNTIFS('QA Log'!D:D,A220,'QA Log'!M:M,"Vignette",'QA Log'!L:L,"*Vignette [5] Labor*"),
COUNTIFS('QA Log'!D:D,A220,'QA Log'!M:M,"Vignette",'QA Log'!L:L,"*Vignette [6] PNC pre Discharge*"),
COUNTIFS('QA Log'!D:D,A220,'QA Log'!M:M,"Vignette",'QA Log'!L:L,"*Vignette [7] First ANC Visit*"),
COUNTIFS('QA Log'!D:D,A220,'QA Log'!M:M,"Vignette",'QA Log'!L:L,"*Vignette [8] Birth Spacing/ Family Planning :  FP Counselling*"),
COUNTIFS('QA Log'!D:D,A220,'QA Log'!M:M,"Vignette",'QA Log'!L:L,"*Vignette [9] Birth Spacing: Change FP method to Injectable*"),
COUNTIFS('QA Log'!D:D,A220,'QA Log'!M:M,"Vignette",'QA Log'!L:L,"*Vignette [10] Post Partum Haemorrhage - Atonic Uterus at Health Centre*"),
)
)</f>
        <v/>
      </c>
      <c r="BF220" s="102" t="str">
        <f>IF(A220="","",
  SUM(
    COUNTIFS('QA Log'!D:D,A220,'QA Log'!M:M,"Vignette",'QA Log'!Z:Z,"Approved",'QA Log'!L:L,"*Vignette [5] Labor*"),
    COUNTIFS('QA Log'!D:D,A220,'QA Log'!M:M,"Vignette",'QA Log'!Z:Z,"Approved",'QA Log'!L:L,"*Vignette [6] PNC pre Discharge*"),
    COUNTIFS('QA Log'!D:D,A220,'QA Log'!M:M,"Vignette",'QA Log'!Z:Z,"Approved",'QA Log'!L:L,"*Vignette [7] First ANC Visit*"),
    COUNTIFS('QA Log'!D:D,A220,'QA Log'!M:M,"Vignette",'QA Log'!Z:Z,"Approved",'QA Log'!L:L,"*Vignette [8] Birth Spacing/ Family Planning :  FP Counselling*"),
    COUNTIFS('QA Log'!D:D,A220,'QA Log'!M:M,"Vignette",'QA Log'!Z:Z,"Approved",'QA Log'!L:L,"*Vignette [9] Birth Spacing: Change FP method to Injectable*"),
    COUNTIFS('QA Log'!D:D,A220,'QA Log'!M:M,"Vignette",'QA Log'!Z:Z,"Approved",'QA Log'!L:L,"*Vignette [10] Post Partum Haemorrhage - Atonic Uterus at Health Centre*")
  )
)</f>
        <v/>
      </c>
      <c r="BG220" s="105" t="str">
        <f>IF(A220&lt;&gt;"",COUNTIFS('QA Log'!D:D,A220,'QA Log'!M:M,"Vignette",'QA Log'!L:L,"Vignette [5] Labor",'QA Log'!Z:Z,"Approved"),"")</f>
        <v/>
      </c>
      <c r="BH220" s="105" t="str">
        <f>IF(A220&lt;&gt;"",COUNTIFS('QA Log'!D:D,A220,'QA Log'!M:M,"Vignette",'QA Log'!L:L,"Vignette [6] PNC pre Discharge",'QA Log'!Z:Z,"Approved"),"")</f>
        <v/>
      </c>
      <c r="BI220" s="105" t="str">
        <f>IF(A220&lt;&gt;"",COUNTIFS('QA Log'!D:D,A220,'QA Log'!M:M,"Vignette",'QA Log'!L:L,"Vignette [7] First ANC Visit",'QA Log'!Z:Z,"Approved"),"")</f>
        <v/>
      </c>
      <c r="BJ220" s="105" t="str">
        <f>IF(A220&lt;&gt;"",COUNTIFS('QA Log'!D:D,A220,'QA Log'!M:M,"Vignette",'QA Log'!L:L,"Vignette [8] Birth Spacing/ Family Planning :  FP Counselling",'QA Log'!Z:Z,"Approved"),"")</f>
        <v/>
      </c>
      <c r="BK220" s="105" t="str">
        <f>IF(A220&lt;&gt;"",COUNTIFS('QA Log'!D:D,A220,'QA Log'!M:M,"Vignette",'QA Log'!L:L,"Vignette [9] Birth Spacing: Change FP method to Injectable",'QA Log'!Z:Z,"Approved"),"")</f>
        <v/>
      </c>
      <c r="BL220" s="105" t="str">
        <f>IF(A220&lt;&gt;"",COUNTIFS('QA Log'!D:D,A220,'QA Log'!M:M,"Vignette",'QA Log'!L:L,"Vignette [10] Post Partum Haemorrhage - Atonic Uterus at Health Centre",'QA Log'!Z:Z,"Approved"),"")</f>
        <v/>
      </c>
      <c r="BM220" s="102" t="str">
        <f>IF(A220="","",SUM(
    COUNTIFS('QA Log'!D:D,A220,'QA Log'!M:M,"Vignette",'QA Log'!Z:Z,"Rejected",'QA Log'!L:L,"*Vignette [5] Labor*"),
    COUNTIFS('QA Log'!D:D,A220,'QA Log'!M:M,"Vignette",'QA Log'!Z:Z,"Rejected",'QA Log'!L:L,"*Vignette [6] PNC pre Discharge*"),
    COUNTIFS('QA Log'!D:D,A220,'QA Log'!M:M,"Vignette",'QA Log'!Z:Z,"Rejected",'QA Log'!L:L,"*Vignette [7] First ANC Visit*"),
    COUNTIFS('QA Log'!D:D,A220,'QA Log'!M:M,"Vignette",'QA Log'!Z:Z,"Rejected",'QA Log'!L:L,"*Vignette [8] Birth Spacing/ Family Planning :  FP Counselling*"),
    COUNTIFS('QA Log'!D:D,A220,'QA Log'!M:M,"Vignette",'QA Log'!Z:Z,"Rejected",'QA Log'!L:L,"*Vignette [9] Birth Spacing: Change FP method to Injectable*"),
    COUNTIFS('QA Log'!D:D,A220,'QA Log'!M:M,"Vignette",'QA Log'!Z:Z,"Rejected",'QA Log'!L:L,"*Vignette [10] Post Partum Haemorrhage - Atonic Uterus at Health Centre*")
  )
)</f>
        <v/>
      </c>
      <c r="BN220" s="107" t="str">
        <f t="shared" si="11"/>
        <v/>
      </c>
      <c r="BO220" s="103" t="str">
        <f t="shared" si="12"/>
        <v/>
      </c>
      <c r="BP220" s="102" t="str">
        <f>IF(A220="","",SUM(
COUNTIFS('QA Log'!D:D,A220,'QA Log'!M:M,"Vignette",'QA Log'!L:L,"*Exit Interview 1*"),
COUNTIFS('QA Log'!D:D,A220,'QA Log'!M:M,"Vignette",'QA Log'!L:L,"*Exit Interview 2*"),
)
)</f>
        <v/>
      </c>
      <c r="BQ220" s="102" t="str">
        <f>IF(
  A220="","",
  SUM(
    COUNTIFS('QA Log'!D:D,A220,'QA Log'!M:M,"Vignette",'QA Log'!Z:Z,"Approved",'QA Log'!L:L,"*Exit Interview 1*"),
    COUNTIFS('QA Log'!D:D,A220,'QA Log'!M:M,"Vignette",'QA Log'!Z:Z,"Approved",'QA Log'!L:L,"*Exit Interview 2*")
  )
)</f>
        <v/>
      </c>
      <c r="BR220" s="105" t="str">
        <f>IF(A220&lt;&gt;"",COUNTIFS('QA Log'!D:D,A220,'QA Log'!M:M,"Vignette",'QA Log'!L:L,"Exit Interview 1",'QA Log'!Z:Z,"Approved"),"")</f>
        <v/>
      </c>
      <c r="BS220" s="105" t="str">
        <f>IF(A220&lt;&gt;"",COUNTIFS('QA Log'!D:D,A220,'QA Log'!M:M,"Vignette",'QA Log'!L:L,"Exit Interview 2",'QA Log'!Z:Z,"Approved"),"")</f>
        <v/>
      </c>
      <c r="BT220" s="102" t="str">
        <f>IF(
  A220="","",
  SUM(
    COUNTIFS('QA Log'!D:D,A220,'QA Log'!M:M,"Vignette",'QA Log'!Z:Z,"Rejected",'QA Log'!L:L,"*Exit Interview 1*"),
    COUNTIFS('QA Log'!D:D,A220,'QA Log'!M:M,"Vignette",'QA Log'!Z:Z,"Rejected",'QA Log'!L:L,"*Exit Interview 2*")
  )
)</f>
        <v/>
      </c>
      <c r="BU220" s="107" t="str">
        <f t="shared" si="13"/>
        <v/>
      </c>
      <c r="BV220" s="102" t="str">
        <f t="shared" si="14"/>
        <v/>
      </c>
      <c r="BW220" s="102" t="str">
        <f t="shared" si="15"/>
        <v/>
      </c>
      <c r="BX220" s="102" t="str">
        <f t="shared" si="16"/>
        <v/>
      </c>
      <c r="BY220" s="102" t="str">
        <f t="shared" si="17"/>
        <v/>
      </c>
      <c r="BZ220" s="107" t="str">
        <f t="shared" si="18"/>
        <v/>
      </c>
      <c r="CA220" s="108" t="str">
        <f t="shared" si="19"/>
        <v/>
      </c>
      <c r="CB220" s="108" t="str">
        <f t="shared" si="20"/>
        <v/>
      </c>
      <c r="CC220" s="109" t="str">
        <f t="shared" si="21"/>
        <v/>
      </c>
      <c r="CD220" s="108" t="str">
        <f t="shared" si="22"/>
        <v/>
      </c>
      <c r="CE220" s="108" t="str">
        <f t="shared" si="23"/>
        <v/>
      </c>
      <c r="CF220" s="109" t="str">
        <f t="shared" si="24"/>
        <v/>
      </c>
      <c r="CG220" s="110" t="str">
        <f t="shared" si="25"/>
        <v/>
      </c>
      <c r="CH220" s="111"/>
    </row>
    <row r="221" spans="1:86" ht="12.75">
      <c r="A221" s="101"/>
      <c r="B221" s="102" t="e">
        <f t="array" aca="1" ref="B221" ca="1">_xludf.XLOOKUP(A221,'QA Log'!D:D,'QA Log'!E:E,"")</f>
        <v>#NAME?</v>
      </c>
      <c r="C221" s="102" t="e">
        <f t="array" aca="1" ref="C221" ca="1">_xludf.XLOOKUP(A221,'QA Log'!D:D,'QA Log'!F:F,"")</f>
        <v>#NAME?</v>
      </c>
      <c r="D221" s="102" t="e">
        <f t="array" aca="1" ref="D221" ca="1">_xludf.XLOOKUP(A221,'QA Log'!D:D,'QA Log'!H:H,"")</f>
        <v>#NAME?</v>
      </c>
      <c r="E221" s="102" t="e">
        <f t="array" aca="1" ref="E221" ca="1">_xludf.XLOOKUP(A221,'QA Log'!D:D,'QA Log'!G:G,"")</f>
        <v>#NAME?</v>
      </c>
      <c r="F221" s="103"/>
      <c r="G221" s="104"/>
      <c r="H221" s="104"/>
      <c r="I221" s="103" t="str">
        <f t="shared" si="0"/>
        <v/>
      </c>
      <c r="J221" s="102" t="str">
        <f>IF(A221="","",SUM(
COUNTIFS('QA Log'!D:D,A221,'QA Log'!M:M,"QQC",'QA Log'!L:L,"*1. General Management*"),
COUNTIFS('QA Log'!D:D,A221,'QA Log'!M:M,"QQC",'QA Log'!L:L,"*3. Curative Consultation (OPD)*"),
COUNTIFS('QA Log'!D:D,A221,'QA Log'!M:M,"QQC",'QA Log'!L:L,"*5. Laboratory*"),
COUNTIFS('QA Log'!D:D,A221,'QA Log'!M:M,"QQC",'QA Log'!L:L,"*6. Essential Medicine Management*"),
COUNTIFS('QA Log'!D:D,A221,'QA Log'!M:M,"QQC",'QA Log'!L:L,"*7. Tracer Medicine*"),
COUNTIFS('QA Log'!D:D,A221,'QA Log'!M:M,"QQC",'QA Log'!L:L,"*11. Additional Questions*")))</f>
        <v/>
      </c>
      <c r="K221" s="102" t="str">
        <f>IF(A221="","",SUM(
COUNTIFS('QA Log'!D:D,A221,'QA Log'!M:M,"QQC",'QA Log'!Z:Z,"Approved",'QA Log'!L:L,"*1. General Management*"),
COUNTIFS('QA Log'!D:D,A221,'QA Log'!M:M,"QQC",'QA Log'!Z:Z,"Approved",'QA Log'!L:L,"*3. Curative Consultation (OPD)*"),
COUNTIFS('QA Log'!D:D,A221,'QA Log'!M:M,"QQC",'QA Log'!Z:Z,"Approved",'QA Log'!L:L,"*5. Laboratory*"),
COUNTIFS('QA Log'!D:D,A221,'QA Log'!M:M,"QQC",'QA Log'!Z:Z,"Approved",'QA Log'!L:L,"*6. Essential Medicine Management*"),
COUNTIFS('QA Log'!D:D,A221,'QA Log'!M:M,"QQC",'QA Log'!Z:Z,"Approved",'QA Log'!L:L,"*7. Tracer Medicine*"),
COUNTIFS('QA Log'!D:D,A221,'QA Log'!M:M,"QQC",'QA Log'!Z:Z,"Approved",'QA Log'!L:L,"*11. Additional Questions*")))</f>
        <v/>
      </c>
      <c r="L221" s="105" t="str">
        <f>IF(A221&lt;&gt;"",COUNTIFS('QA Log'!D:D,A221,'QA Log'!M:M,"QQC",'QA Log'!L:L,"1. General Management",'QA Log'!Z:Z,"Approved"),"")</f>
        <v/>
      </c>
      <c r="M221" s="105" t="str">
        <f>IF(A221&lt;&gt;"",COUNTIFS('QA Log'!D:D,A221,'QA Log'!M:M,"QQC",'QA Log'!L:L,"3. Curative Consultation (OPD)",'QA Log'!Z:Z,"Approved"),"")</f>
        <v/>
      </c>
      <c r="N221" s="105" t="str">
        <f>IF(A221&lt;&gt;"",COUNTIFS('QA Log'!D:D,A221,'QA Log'!M:M,"QQC",'QA Log'!L:L,"5. Laboratory",'QA Log'!Z:Z,"Approved"),"")</f>
        <v/>
      </c>
      <c r="O221" s="105" t="str">
        <f>IF(A221&lt;&gt;"",COUNTIFS('QA Log'!D:D,A221,'QA Log'!M:M,"QQC",'QA Log'!L:L,"6. Essential Medicine Management",'QA Log'!Z:Z,"Approved"),"")</f>
        <v/>
      </c>
      <c r="P221" s="105" t="str">
        <f>IF(A221&lt;&gt;"",COUNTIFS('QA Log'!D:D,A221,'QA Log'!M:M,"QQC",'QA Log'!L:L,"7. Tracer Medicine",'QA Log'!Z:Z,"Approved"),"")</f>
        <v/>
      </c>
      <c r="Q221" s="105" t="str">
        <f>IF(A221&lt;&gt;"",COUNTIFS('QA Log'!D:D,A221,'QA Log'!M:M,"QQC",'QA Log'!L:L,"11. Additional Questions",'QA Log'!Z:Z,"Approved"),"")</f>
        <v/>
      </c>
      <c r="R221" s="102" t="str">
        <f>IF(A221="","",SUM(
COUNTIFS('QA Log'!D:D,A221,'QA Log'!M:M,"QQC",'QA Log'!Z:Z,"Rejected",'QA Log'!L:L,"*8. Maternity*"),
COUNTIFS('QA Log'!D:D,A221,'QA Log'!M:M,"QQC",'QA Log'!Z:Z,"Rejected",'QA Log'!L:L,"*EPI*"),
COUNTIFS('QA Log'!D:D,A221,'QA Log'!M:M,"QQC",'QA Log'!Z:Z,"Rejected",'QA Log'!L:L,"*10. Antenatal Care (ANC)*"),
COUNTIFS('QA Log'!D:D,A221,'QA Log'!M:M,"QQC",'QA Log'!Z:Z,"Rejected",'QA Log'!L:L,"*2. Hygiene and Sterilization*"),
COUNTIFS('QA Log'!D:D,A221,'QA Log'!M:M,"QQC",'QA Log'!Z:Z,"Rejected",'QA Log'!L:L,"*Family Planning*")))</f>
        <v/>
      </c>
      <c r="S221" s="106" t="str">
        <f t="shared" si="1"/>
        <v/>
      </c>
      <c r="T221" s="102" t="str">
        <f t="shared" si="2"/>
        <v/>
      </c>
      <c r="U221" s="102" t="str">
        <f>IF(A221="","",
SUM(
COUNTIFS('QA Log'!D:D,A221,'QA Log'!M:M,"QQC",'QA Log'!L:L,"*8. Maternity*"),
COUNTIFS('QA Log'!D:D,A221,'QA Log'!M:M,"QQC",'QA Log'!L:L,"*9. EPI and Pre-school Consultation*"),
COUNTIFS('QA Log'!D:D,A221,'QA Log'!M:M,"QQC",'QA Log'!L:L,"*10. Antenatal Care (ANC)*"),
COUNTIFS('QA Log'!D:D,A221,'QA Log'!M:M,"QQC",'QA Log'!L:L,"*2. Hygiene and Sterilization*"),
COUNTIFS('QA Log'!D:D,A221,'QA Log'!M:M,"QQC",'QA Log'!L:L,"*4. Family Planning*")
))</f>
        <v/>
      </c>
      <c r="V221" s="102" t="str">
        <f>IF(A221="","",
SUM(
COUNTIFS('QA Log'!D:D,A221,'QA Log'!M:M,"QQC",'QA Log'!Z:Z,"Approved",'QA Log'!L:L,"*8. Maternity*"),
COUNTIFS('QA Log'!D:D,A221,'QA Log'!M:M,"QQC",'QA Log'!Z:Z,"Approved",'QA Log'!L:L,"*9. EPI and Pre-school Consultation*"),
COUNTIFS('QA Log'!D:D,A221,'QA Log'!M:M,"QQC",'QA Log'!Z:Z,"Approved",'QA Log'!L:L,"*10. Antenatal Care (ANC)*"),
COUNTIFS('QA Log'!D:D,A221,'QA Log'!M:M,"QQC",'QA Log'!Z:Z,"Approved",'QA Log'!L:L,"*2. Hygiene and Sterilization*"),
COUNTIFS('QA Log'!D:D,A221,'QA Log'!M:M,"QQC",'QA Log'!Z:Z,"Approved",'QA Log'!L:L,"*4. Family Planning*")
))</f>
        <v/>
      </c>
      <c r="W221" s="105" t="str">
        <f>IF(A221&lt;&gt;"",COUNTIFS('QA Log'!D:D,A221,'QA Log'!M:M,"QQC",'QA Log'!L:L,"8. Maternity",'QA Log'!Z:Z,"Approved"),"")</f>
        <v/>
      </c>
      <c r="X221" s="105" t="str">
        <f>IF(A221&lt;&gt;"",COUNTIFS('QA Log'!D:D,A221,'QA Log'!M:M,"QQC",'QA Log'!L:L,"9. EPI and Pre-school Consultation",'QA Log'!Z:Z,"Approved"),"")</f>
        <v/>
      </c>
      <c r="Y221" s="105" t="str">
        <f>IF(A221&lt;&gt;"",COUNTIFS('QA Log'!D:D,A221,'QA Log'!M:M,"QQC",'QA Log'!L:L,"10. Antenatal Care (ANC)",'QA Log'!Z:Z,"Approved"),"")</f>
        <v/>
      </c>
      <c r="Z221" s="105" t="str">
        <f>IF(A221&lt;&gt;"",COUNTIFS('QA Log'!D:D,A221,'QA Log'!M:M,"QQC",'QA Log'!L:L,"2. Hygiene and Sterilization",'QA Log'!Z:Z,"Approved"),"")</f>
        <v/>
      </c>
      <c r="AA221" s="105" t="str">
        <f>IF(A221&lt;&gt;"",COUNTIFS('QA Log'!D:D,A221,'QA Log'!M:M,"QQC",'QA Log'!L:L,"4. Family Planning",'QA Log'!Z:Z,"Approved"),"")</f>
        <v/>
      </c>
      <c r="AB221" s="102" t="str">
        <f>IF(A221="","",
SUM(
COUNTIFS('QA Log'!D:D,A221,'QA Log'!M:M,"QQC",'QA Log'!Z:Z,"Rejected",'QA Log'!L:L,"*8. Maternity*"),
COUNTIFS('QA Log'!D:D,A221,'QA Log'!M:M,"QQC",'QA Log'!Z:Z,"Rejected",'QA Log'!L:L,"*9. EPI and Pre-school Consultation*"),
COUNTIFS('QA Log'!D:D,A221,'QA Log'!M:M,"QQC",'QA Log'!Z:Z,"Rejected",'QA Log'!L:L,"*10. Antenatal Care (ANC)*"),
COUNTIFS('QA Log'!D:D,A221,'QA Log'!M:M,"QQC",'QA Log'!Z:Z,"Rejected",'QA Log'!L:L,"*2. Hygiene and Sterilization*"),
COUNTIFS('QA Log'!D:D,A221,'QA Log'!M:M,"QQC",'QA Log'!Z:Z,"Rejected",'QA Log'!L:L,"*4. Family Planning*")
))</f>
        <v/>
      </c>
      <c r="AC221" s="102" t="str">
        <f t="shared" si="3"/>
        <v/>
      </c>
      <c r="AD221" s="103" t="str">
        <f t="shared" si="4"/>
        <v/>
      </c>
      <c r="AE221" s="102" t="str">
        <f>IF(A221="","",
SUM(
COUNTIFS('QA Log'!D:D,A221,'QA Log'!M:M,"Data Verification",'QA Log'!L:L,"*Medicine (section 2)*"),
COUNTIFS('QA Log'!D:D,A221,'QA Log'!M:M,"Data Verification",'QA Log'!L:L,"*Lab Testing Availability*"),
COUNTIFS('QA Log'!D:D,A221,'QA Log'!M:M,"Data Verification",'QA Log'!L:L,"*Other than P4P (section 6)*"),
COUNTIFS('QA Log'!D:D,A221,'QA Log'!M:M,"Data Verification",'QA Log'!L:L,"*Hospital Governance*")
))</f>
        <v/>
      </c>
      <c r="AF221" s="102" t="str">
        <f>IF(A221="","",
SUM(
COUNTIFS('QA Log'!D:D,A221,'QA Log'!M:M,"Data Verification",'QA Log'!Z:Z,"Approved",'QA Log'!L:L,"*Medicine (section 2)*"),
COUNTIFS('QA Log'!D:D,A221,'QA Log'!M:M,"Data Verification",'QA Log'!Z:Z,"Approved",'QA Log'!L:L,"*Lab Testing Availability*"),
COUNTIFS('QA Log'!D:D,A221,'QA Log'!M:M,"Data Verification",'QA Log'!Z:Z,"Approved",'QA Log'!L:L,"*Other than P4P (section 6)*"),
COUNTIFS('QA Log'!D:D,A221,'QA Log'!M:M,"Data Verification",'QA Log'!Z:Z,"Approved",'QA Log'!L:L,"*Hospital Governance*")
))</f>
        <v/>
      </c>
      <c r="AG221" s="105" t="str">
        <f>IF(A221&lt;&gt;"",COUNTIFS('QA Log'!D:D,A221,'QA Log'!M:M,"Data Verification",'QA Log'!L:L,"Medicine (section 2)",'QA Log'!Z:Z,"Approved"),"")</f>
        <v/>
      </c>
      <c r="AH221" s="105" t="str">
        <f>IF(A221&lt;&gt;"",COUNTIFS('QA Log'!D:D,A221,'QA Log'!M:M,"Data Verification",'QA Log'!L:L,"Lab Testing Availability",'QA Log'!Z:Z,"Approved"),"")</f>
        <v/>
      </c>
      <c r="AI221" s="105" t="str">
        <f>IF(A221&lt;&gt;"",COUNTIFS('QA Log'!D:D,A221,'QA Log'!M:M,"Data Verification",'QA Log'!L:L,"Other than P4P (section 6)",'QA Log'!Z:Z,"Approved"),"")</f>
        <v/>
      </c>
      <c r="AJ221" s="105" t="str">
        <f>IF(A221&lt;&gt;"",COUNTIFS('QA Log'!D:D,A221,'QA Log'!M:M,"Data Verification",'QA Log'!L:L,"Hospital Governance",'QA Log'!Z:Z,"Approved"),"")</f>
        <v/>
      </c>
      <c r="AK221" s="102" t="str">
        <f>IF(A221="","",
SUM(
COUNTIFS('QA Log'!D:D,A221,'QA Log'!M:M,"Data Verification",'QA Log'!Z:Z,"Rejected",'QA Log'!L:L,"*Medicine (section 2)*"),
COUNTIFS('QA Log'!D:D,A221,'QA Log'!M:M,"Data Verification",'QA Log'!Z:Z,"Rejected",'QA Log'!L:L,"*Lab Testing Availability*"),
COUNTIFS('QA Log'!D:D,A221,'QA Log'!M:M,"Data Verification",'QA Log'!Z:Z,"Rejected",'QA Log'!L:L,"*Other than P4P (section 6)*"),
COUNTIFS('QA Log'!D:D,A221,'QA Log'!M:M,"Data Verification",'QA Log'!Z:Z,"Rejected",'QA Log'!L:L,"*Hospital Governance*")
))</f>
        <v/>
      </c>
      <c r="AL221" s="106" t="str">
        <f t="shared" si="5"/>
        <v/>
      </c>
      <c r="AM221" s="102" t="str">
        <f t="shared" si="6"/>
        <v/>
      </c>
      <c r="AN221" s="102" t="str">
        <f>IF(A221="","",
SUM(
COUNTIFS('QA Log'!D:D,A221,'QA Log'!M:M,"Data Verification",'QA Log'!L:L,"*Personnel (section 1)*"),
COUNTIFS('QA Log'!D:D,A221,'QA Log'!M:M,"Data Verification",'QA Log'!L:L,"*Consumable (section 3)*"),
COUNTIFS('QA Log'!D:D,A221,'QA Log'!M:M,"Data Verification",'QA Log'!L:L,"*Equipments (section 4)*")
))</f>
        <v/>
      </c>
      <c r="AO221" s="102" t="str">
        <f>IF(A221="","",
SUM(
COUNTIFS('QA Log'!D:D,A221,'QA Log'!M:M,"Data Verification",'QA Log'!Z:Z,"Approved",'QA Log'!L:L,"*Personnel (section 1)*"),
COUNTIFS('QA Log'!D:D,A221,'QA Log'!M:M,"Data Verification",'QA Log'!Z:Z,"Approved",'QA Log'!L:L,"*Consumable (section 3)*"),
COUNTIFS('QA Log'!D:D,A221,'QA Log'!M:M,"Data Verification",'QA Log'!Z:Z,"Approved",'QA Log'!L:L,"*Equipments (section 4)*")
))</f>
        <v/>
      </c>
      <c r="AP221" s="105" t="str">
        <f>IF(A221&lt;&gt;"",COUNTIFS('QA Log'!D:D,A221,'QA Log'!M:M,"Data Verification",'QA Log'!L:L,"Personnel (section 1)",'QA Log'!Z:Z,"Approved"),"")</f>
        <v/>
      </c>
      <c r="AQ221" s="105" t="str">
        <f>IF(A221&lt;&gt;"",COUNTIFS('QA Log'!D:D,A221,'QA Log'!M:M,"Data Verification",'QA Log'!L:L,"Consumable (section 3)",'QA Log'!Z:Z,"Approved"),"")</f>
        <v/>
      </c>
      <c r="AR221" s="105" t="str">
        <f>IF(A221&lt;&gt;"",COUNTIFS('QA Log'!D:D,A221,'QA Log'!M:M,"Data Verification",'QA Log'!L:L,"Equipments (section 4)",'QA Log'!Z:Z,"Approved"),"")</f>
        <v/>
      </c>
      <c r="AS221" s="102" t="str">
        <f>IF(A221="","",
SUM(
COUNTIFS('QA Log'!D:D,A221,'QA Log'!M:M,"Data Verification",'QA Log'!Z:Z,"Rejected",'QA Log'!L:L,"*Personnel (section 1)*"),
COUNTIFS('QA Log'!D:D,A221,'QA Log'!M:M,"Data Verification",'QA Log'!Z:Z,"Rejected",'QA Log'!L:L,"*Consumable (section 3)*"),
COUNTIFS('QA Log'!D:D,A221,'QA Log'!M:M,"Data Verification",'QA Log'!Z:Z,"Rejected",'QA Log'!L:L,"*Equipments (section 4)*")
))</f>
        <v/>
      </c>
      <c r="AT221" s="102" t="str">
        <f t="shared" si="7"/>
        <v/>
      </c>
      <c r="AU221" s="103" t="str">
        <f t="shared" si="8"/>
        <v/>
      </c>
      <c r="AV221" s="102" t="str">
        <f>IF(A221="","",SUM(
COUNTIFS('QA Log'!D:D,A221,'QA Log'!M:M,"Vignette",'QA Log'!L:L,"*Vignette [1] Respiratory Infection: Pneumonia*"),
COUNTIFS('QA Log'!D:D,A221,'QA Log'!M:M,"Vignette",'QA Log'!L:L,"*Vignette [2]: Diarrhea with Cat B dehydration*"),
COUNTIFS('QA Log'!D:D,A221,'QA Log'!M:M,"Vignette",'QA Log'!L:L,"*Vignette [3] Growth Monitoring and Promotion*"),
COUNTIFS('QA Log'!D:D,A221,'QA Log'!M:M,"Vignette",'QA Log'!L:L,"*Vignette [4]: The management of presumptive TB patient*")
)
)</f>
        <v/>
      </c>
      <c r="AW221" s="102" t="str">
        <f>IF(
  A221="","",
  SUM(
    COUNTIFS('QA Log'!D:D,A221,'QA Log'!M:M,"Vignette",'QA Log'!Z:Z,"Approved",'QA Log'!L:L,"*Vignette [1] Respiratory Infection: Pneumonia*"),
    COUNTIFS('QA Log'!D:D,A221,'QA Log'!M:M,"Vignette",'QA Log'!Z:Z,"Approved",'QA Log'!L:L,"*Vignette [2]: Diarrhea with Cat B dehydration*"),
    COUNTIFS('QA Log'!D:D,A221,'QA Log'!M:M,"Vignette",'QA Log'!Z:Z,"Approved",'QA Log'!L:L,"*Vignette [3] Growth Monitoring and Promotion*"),
    COUNTIFS('QA Log'!D:D,A221,'QA Log'!M:M,"Vignette",'QA Log'!Z:Z,"Approved",'QA Log'!L:L,"*Vignette [4]: The management of presumptive TB patient*")
  )
)</f>
        <v/>
      </c>
      <c r="AX221" s="105" t="str">
        <f>IF(A221&lt;&gt;"",COUNTIFS('QA Log'!D:D,A221,'QA Log'!M:M,"Vignette",'QA Log'!L:L,"Vignette [1] Respiratory Infection: Pneumonia",'QA Log'!Z:Z,"Approved"),"")</f>
        <v/>
      </c>
      <c r="AY221" s="105" t="str">
        <f>IF(A221&lt;&gt;"",COUNTIFS('QA Log'!D:D,A221,'QA Log'!M:M,"Vignette",'QA Log'!L:L,"Vignette [2]: Diarrhea with Cat B dehydration",'QA Log'!Z:Z,"Approved"),"")</f>
        <v/>
      </c>
      <c r="AZ221" s="105" t="str">
        <f>IF(A221&lt;&gt;"",COUNTIFS('QA Log'!D:D,A221,'QA Log'!M:M,"Vignette",'QA Log'!L:L,"Vignette [3] Growth Monitoring and Promotion",'QA Log'!Z:Z,"Approved"),"")</f>
        <v/>
      </c>
      <c r="BA221" s="105" t="str">
        <f>IF(A221&lt;&gt;"",COUNTIFS('QA Log'!D:D,A221,'QA Log'!M:M,"Vignette",'QA Log'!L:L,"Vignette [4]: The management of presumptive TB patient",'QA Log'!Z:Z,"Approved"),"")</f>
        <v/>
      </c>
      <c r="BB221" s="102" t="str">
        <f>IF(A221="","",
  SUM(
    COUNTIFS('QA Log'!D:D,A221,'QA Log'!M:M,"Vignette",'QA Log'!Z:Z,"Rejected",'QA Log'!L:L,"*Vignette [1] Respiratory Infection: Pneumonia*"),
    COUNTIFS('QA Log'!D:D,A221,'QA Log'!M:M,"Vignette",'QA Log'!Z:Z,"Rejected",'QA Log'!L:L,"*Vignette [2]: Diarrhea with Cat B dehydration*"),
    COUNTIFS('QA Log'!D:D,A221,'QA Log'!M:M,"Vignette",'QA Log'!Z:Z,"Rejected",'QA Log'!L:L,"*Vignette [3] Growth Monitoring and Promotion*"),
    COUNTIFS('QA Log'!D:D,A221,'QA Log'!M:M,"Vignette",'QA Log'!Z:Z,"Rejected",'QA Log'!L:L,"*Vignette [4]: The management of presumptive TB patient*")
  )
)</f>
        <v/>
      </c>
      <c r="BC221" s="107" t="str">
        <f t="shared" si="9"/>
        <v/>
      </c>
      <c r="BD221" s="103" t="str">
        <f t="shared" si="10"/>
        <v/>
      </c>
      <c r="BE221" s="102" t="str">
        <f>IF(A221="","",SUM(
COUNTIFS('QA Log'!D:D,A221,'QA Log'!M:M,"Vignette",'QA Log'!L:L,"*Vignette [5] Labor*"),
COUNTIFS('QA Log'!D:D,A221,'QA Log'!M:M,"Vignette",'QA Log'!L:L,"*Vignette [6] PNC pre Discharge*"),
COUNTIFS('QA Log'!D:D,A221,'QA Log'!M:M,"Vignette",'QA Log'!L:L,"*Vignette [7] First ANC Visit*"),
COUNTIFS('QA Log'!D:D,A221,'QA Log'!M:M,"Vignette",'QA Log'!L:L,"*Vignette [8] Birth Spacing/ Family Planning :  FP Counselling*"),
COUNTIFS('QA Log'!D:D,A221,'QA Log'!M:M,"Vignette",'QA Log'!L:L,"*Vignette [9] Birth Spacing: Change FP method to Injectable*"),
COUNTIFS('QA Log'!D:D,A221,'QA Log'!M:M,"Vignette",'QA Log'!L:L,"*Vignette [10] Post Partum Haemorrhage - Atonic Uterus at Health Centre*"),
)
)</f>
        <v/>
      </c>
      <c r="BF221" s="102" t="str">
        <f>IF(A221="","",
  SUM(
    COUNTIFS('QA Log'!D:D,A221,'QA Log'!M:M,"Vignette",'QA Log'!Z:Z,"Approved",'QA Log'!L:L,"*Vignette [5] Labor*"),
    COUNTIFS('QA Log'!D:D,A221,'QA Log'!M:M,"Vignette",'QA Log'!Z:Z,"Approved",'QA Log'!L:L,"*Vignette [6] PNC pre Discharge*"),
    COUNTIFS('QA Log'!D:D,A221,'QA Log'!M:M,"Vignette",'QA Log'!Z:Z,"Approved",'QA Log'!L:L,"*Vignette [7] First ANC Visit*"),
    COUNTIFS('QA Log'!D:D,A221,'QA Log'!M:M,"Vignette",'QA Log'!Z:Z,"Approved",'QA Log'!L:L,"*Vignette [8] Birth Spacing/ Family Planning :  FP Counselling*"),
    COUNTIFS('QA Log'!D:D,A221,'QA Log'!M:M,"Vignette",'QA Log'!Z:Z,"Approved",'QA Log'!L:L,"*Vignette [9] Birth Spacing: Change FP method to Injectable*"),
    COUNTIFS('QA Log'!D:D,A221,'QA Log'!M:M,"Vignette",'QA Log'!Z:Z,"Approved",'QA Log'!L:L,"*Vignette [10] Post Partum Haemorrhage - Atonic Uterus at Health Centre*")
  )
)</f>
        <v/>
      </c>
      <c r="BG221" s="105" t="str">
        <f>IF(A221&lt;&gt;"",COUNTIFS('QA Log'!D:D,A221,'QA Log'!M:M,"Vignette",'QA Log'!L:L,"Vignette [5] Labor",'QA Log'!Z:Z,"Approved"),"")</f>
        <v/>
      </c>
      <c r="BH221" s="105" t="str">
        <f>IF(A221&lt;&gt;"",COUNTIFS('QA Log'!D:D,A221,'QA Log'!M:M,"Vignette",'QA Log'!L:L,"Vignette [6] PNC pre Discharge",'QA Log'!Z:Z,"Approved"),"")</f>
        <v/>
      </c>
      <c r="BI221" s="105" t="str">
        <f>IF(A221&lt;&gt;"",COUNTIFS('QA Log'!D:D,A221,'QA Log'!M:M,"Vignette",'QA Log'!L:L,"Vignette [7] First ANC Visit",'QA Log'!Z:Z,"Approved"),"")</f>
        <v/>
      </c>
      <c r="BJ221" s="105" t="str">
        <f>IF(A221&lt;&gt;"",COUNTIFS('QA Log'!D:D,A221,'QA Log'!M:M,"Vignette",'QA Log'!L:L,"Vignette [8] Birth Spacing/ Family Planning :  FP Counselling",'QA Log'!Z:Z,"Approved"),"")</f>
        <v/>
      </c>
      <c r="BK221" s="105" t="str">
        <f>IF(A221&lt;&gt;"",COUNTIFS('QA Log'!D:D,A221,'QA Log'!M:M,"Vignette",'QA Log'!L:L,"Vignette [9] Birth Spacing: Change FP method to Injectable",'QA Log'!Z:Z,"Approved"),"")</f>
        <v/>
      </c>
      <c r="BL221" s="105" t="str">
        <f>IF(A221&lt;&gt;"",COUNTIFS('QA Log'!D:D,A221,'QA Log'!M:M,"Vignette",'QA Log'!L:L,"Vignette [10] Post Partum Haemorrhage - Atonic Uterus at Health Centre",'QA Log'!Z:Z,"Approved"),"")</f>
        <v/>
      </c>
      <c r="BM221" s="102" t="str">
        <f>IF(A221="","",SUM(
    COUNTIFS('QA Log'!D:D,A221,'QA Log'!M:M,"Vignette",'QA Log'!Z:Z,"Rejected",'QA Log'!L:L,"*Vignette [5] Labor*"),
    COUNTIFS('QA Log'!D:D,A221,'QA Log'!M:M,"Vignette",'QA Log'!Z:Z,"Rejected",'QA Log'!L:L,"*Vignette [6] PNC pre Discharge*"),
    COUNTIFS('QA Log'!D:D,A221,'QA Log'!M:M,"Vignette",'QA Log'!Z:Z,"Rejected",'QA Log'!L:L,"*Vignette [7] First ANC Visit*"),
    COUNTIFS('QA Log'!D:D,A221,'QA Log'!M:M,"Vignette",'QA Log'!Z:Z,"Rejected",'QA Log'!L:L,"*Vignette [8] Birth Spacing/ Family Planning :  FP Counselling*"),
    COUNTIFS('QA Log'!D:D,A221,'QA Log'!M:M,"Vignette",'QA Log'!Z:Z,"Rejected",'QA Log'!L:L,"*Vignette [9] Birth Spacing: Change FP method to Injectable*"),
    COUNTIFS('QA Log'!D:D,A221,'QA Log'!M:M,"Vignette",'QA Log'!Z:Z,"Rejected",'QA Log'!L:L,"*Vignette [10] Post Partum Haemorrhage - Atonic Uterus at Health Centre*")
  )
)</f>
        <v/>
      </c>
      <c r="BN221" s="107" t="str">
        <f t="shared" si="11"/>
        <v/>
      </c>
      <c r="BO221" s="103" t="str">
        <f t="shared" si="12"/>
        <v/>
      </c>
      <c r="BP221" s="102" t="str">
        <f>IF(A221="","",SUM(
COUNTIFS('QA Log'!D:D,A221,'QA Log'!M:M,"Vignette",'QA Log'!L:L,"*Exit Interview 1*"),
COUNTIFS('QA Log'!D:D,A221,'QA Log'!M:M,"Vignette",'QA Log'!L:L,"*Exit Interview 2*"),
)
)</f>
        <v/>
      </c>
      <c r="BQ221" s="102" t="str">
        <f>IF(
  A221="","",
  SUM(
    COUNTIFS('QA Log'!D:D,A221,'QA Log'!M:M,"Vignette",'QA Log'!Z:Z,"Approved",'QA Log'!L:L,"*Exit Interview 1*"),
    COUNTIFS('QA Log'!D:D,A221,'QA Log'!M:M,"Vignette",'QA Log'!Z:Z,"Approved",'QA Log'!L:L,"*Exit Interview 2*")
  )
)</f>
        <v/>
      </c>
      <c r="BR221" s="105" t="str">
        <f>IF(A221&lt;&gt;"",COUNTIFS('QA Log'!D:D,A221,'QA Log'!M:M,"Vignette",'QA Log'!L:L,"Exit Interview 1",'QA Log'!Z:Z,"Approved"),"")</f>
        <v/>
      </c>
      <c r="BS221" s="105" t="str">
        <f>IF(A221&lt;&gt;"",COUNTIFS('QA Log'!D:D,A221,'QA Log'!M:M,"Vignette",'QA Log'!L:L,"Exit Interview 2",'QA Log'!Z:Z,"Approved"),"")</f>
        <v/>
      </c>
      <c r="BT221" s="102" t="str">
        <f>IF(
  A221="","",
  SUM(
    COUNTIFS('QA Log'!D:D,A221,'QA Log'!M:M,"Vignette",'QA Log'!Z:Z,"Rejected",'QA Log'!L:L,"*Exit Interview 1*"),
    COUNTIFS('QA Log'!D:D,A221,'QA Log'!M:M,"Vignette",'QA Log'!Z:Z,"Rejected",'QA Log'!L:L,"*Exit Interview 2*")
  )
)</f>
        <v/>
      </c>
      <c r="BU221" s="107" t="str">
        <f t="shared" si="13"/>
        <v/>
      </c>
      <c r="BV221" s="102" t="str">
        <f t="shared" si="14"/>
        <v/>
      </c>
      <c r="BW221" s="102" t="str">
        <f t="shared" si="15"/>
        <v/>
      </c>
      <c r="BX221" s="102" t="str">
        <f t="shared" si="16"/>
        <v/>
      </c>
      <c r="BY221" s="102" t="str">
        <f t="shared" si="17"/>
        <v/>
      </c>
      <c r="BZ221" s="107" t="str">
        <f t="shared" si="18"/>
        <v/>
      </c>
      <c r="CA221" s="108" t="str">
        <f t="shared" si="19"/>
        <v/>
      </c>
      <c r="CB221" s="108" t="str">
        <f t="shared" si="20"/>
        <v/>
      </c>
      <c r="CC221" s="109" t="str">
        <f t="shared" si="21"/>
        <v/>
      </c>
      <c r="CD221" s="108" t="str">
        <f t="shared" si="22"/>
        <v/>
      </c>
      <c r="CE221" s="108" t="str">
        <f t="shared" si="23"/>
        <v/>
      </c>
      <c r="CF221" s="109" t="str">
        <f t="shared" si="24"/>
        <v/>
      </c>
      <c r="CG221" s="110" t="str">
        <f t="shared" si="25"/>
        <v/>
      </c>
      <c r="CH221" s="111"/>
    </row>
    <row r="222" spans="1:86" ht="12.75">
      <c r="A222" s="101"/>
      <c r="B222" s="102" t="e">
        <f t="array" aca="1" ref="B222" ca="1">_xludf.XLOOKUP(A222,'QA Log'!D:D,'QA Log'!E:E,"")</f>
        <v>#NAME?</v>
      </c>
      <c r="C222" s="102" t="e">
        <f t="array" aca="1" ref="C222" ca="1">_xludf.XLOOKUP(A222,'QA Log'!D:D,'QA Log'!F:F,"")</f>
        <v>#NAME?</v>
      </c>
      <c r="D222" s="102" t="e">
        <f t="array" aca="1" ref="D222" ca="1">_xludf.XLOOKUP(A222,'QA Log'!D:D,'QA Log'!H:H,"")</f>
        <v>#NAME?</v>
      </c>
      <c r="E222" s="102" t="e">
        <f t="array" aca="1" ref="E222" ca="1">_xludf.XLOOKUP(A222,'QA Log'!D:D,'QA Log'!G:G,"")</f>
        <v>#NAME?</v>
      </c>
      <c r="F222" s="103"/>
      <c r="G222" s="104"/>
      <c r="H222" s="104"/>
      <c r="I222" s="103" t="str">
        <f t="shared" si="0"/>
        <v/>
      </c>
      <c r="J222" s="102" t="str">
        <f>IF(A222="","",SUM(
COUNTIFS('QA Log'!D:D,A222,'QA Log'!M:M,"QQC",'QA Log'!L:L,"*1. General Management*"),
COUNTIFS('QA Log'!D:D,A222,'QA Log'!M:M,"QQC",'QA Log'!L:L,"*3. Curative Consultation (OPD)*"),
COUNTIFS('QA Log'!D:D,A222,'QA Log'!M:M,"QQC",'QA Log'!L:L,"*5. Laboratory*"),
COUNTIFS('QA Log'!D:D,A222,'QA Log'!M:M,"QQC",'QA Log'!L:L,"*6. Essential Medicine Management*"),
COUNTIFS('QA Log'!D:D,A222,'QA Log'!M:M,"QQC",'QA Log'!L:L,"*7. Tracer Medicine*"),
COUNTIFS('QA Log'!D:D,A222,'QA Log'!M:M,"QQC",'QA Log'!L:L,"*11. Additional Questions*")))</f>
        <v/>
      </c>
      <c r="K222" s="102" t="str">
        <f>IF(A222="","",SUM(
COUNTIFS('QA Log'!D:D,A222,'QA Log'!M:M,"QQC",'QA Log'!Z:Z,"Approved",'QA Log'!L:L,"*1. General Management*"),
COUNTIFS('QA Log'!D:D,A222,'QA Log'!M:M,"QQC",'QA Log'!Z:Z,"Approved",'QA Log'!L:L,"*3. Curative Consultation (OPD)*"),
COUNTIFS('QA Log'!D:D,A222,'QA Log'!M:M,"QQC",'QA Log'!Z:Z,"Approved",'QA Log'!L:L,"*5. Laboratory*"),
COUNTIFS('QA Log'!D:D,A222,'QA Log'!M:M,"QQC",'QA Log'!Z:Z,"Approved",'QA Log'!L:L,"*6. Essential Medicine Management*"),
COUNTIFS('QA Log'!D:D,A222,'QA Log'!M:M,"QQC",'QA Log'!Z:Z,"Approved",'QA Log'!L:L,"*7. Tracer Medicine*"),
COUNTIFS('QA Log'!D:D,A222,'QA Log'!M:M,"QQC",'QA Log'!Z:Z,"Approved",'QA Log'!L:L,"*11. Additional Questions*")))</f>
        <v/>
      </c>
      <c r="L222" s="105" t="str">
        <f>IF(A222&lt;&gt;"",COUNTIFS('QA Log'!D:D,A222,'QA Log'!M:M,"QQC",'QA Log'!L:L,"1. General Management",'QA Log'!Z:Z,"Approved"),"")</f>
        <v/>
      </c>
      <c r="M222" s="105" t="str">
        <f>IF(A222&lt;&gt;"",COUNTIFS('QA Log'!D:D,A222,'QA Log'!M:M,"QQC",'QA Log'!L:L,"3. Curative Consultation (OPD)",'QA Log'!Z:Z,"Approved"),"")</f>
        <v/>
      </c>
      <c r="N222" s="105" t="str">
        <f>IF(A222&lt;&gt;"",COUNTIFS('QA Log'!D:D,A222,'QA Log'!M:M,"QQC",'QA Log'!L:L,"5. Laboratory",'QA Log'!Z:Z,"Approved"),"")</f>
        <v/>
      </c>
      <c r="O222" s="105" t="str">
        <f>IF(A222&lt;&gt;"",COUNTIFS('QA Log'!D:D,A222,'QA Log'!M:M,"QQC",'QA Log'!L:L,"6. Essential Medicine Management",'QA Log'!Z:Z,"Approved"),"")</f>
        <v/>
      </c>
      <c r="P222" s="105" t="str">
        <f>IF(A222&lt;&gt;"",COUNTIFS('QA Log'!D:D,A222,'QA Log'!M:M,"QQC",'QA Log'!L:L,"7. Tracer Medicine",'QA Log'!Z:Z,"Approved"),"")</f>
        <v/>
      </c>
      <c r="Q222" s="105" t="str">
        <f>IF(A222&lt;&gt;"",COUNTIFS('QA Log'!D:D,A222,'QA Log'!M:M,"QQC",'QA Log'!L:L,"11. Additional Questions",'QA Log'!Z:Z,"Approved"),"")</f>
        <v/>
      </c>
      <c r="R222" s="102" t="str">
        <f>IF(A222="","",SUM(
COUNTIFS('QA Log'!D:D,A222,'QA Log'!M:M,"QQC",'QA Log'!Z:Z,"Rejected",'QA Log'!L:L,"*8. Maternity*"),
COUNTIFS('QA Log'!D:D,A222,'QA Log'!M:M,"QQC",'QA Log'!Z:Z,"Rejected",'QA Log'!L:L,"*EPI*"),
COUNTIFS('QA Log'!D:D,A222,'QA Log'!M:M,"QQC",'QA Log'!Z:Z,"Rejected",'QA Log'!L:L,"*10. Antenatal Care (ANC)*"),
COUNTIFS('QA Log'!D:D,A222,'QA Log'!M:M,"QQC",'QA Log'!Z:Z,"Rejected",'QA Log'!L:L,"*2. Hygiene and Sterilization*"),
COUNTIFS('QA Log'!D:D,A222,'QA Log'!M:M,"QQC",'QA Log'!Z:Z,"Rejected",'QA Log'!L:L,"*Family Planning*")))</f>
        <v/>
      </c>
      <c r="S222" s="106" t="str">
        <f t="shared" si="1"/>
        <v/>
      </c>
      <c r="T222" s="102" t="str">
        <f t="shared" si="2"/>
        <v/>
      </c>
      <c r="U222" s="102" t="str">
        <f>IF(A222="","",
SUM(
COUNTIFS('QA Log'!D:D,A222,'QA Log'!M:M,"QQC",'QA Log'!L:L,"*8. Maternity*"),
COUNTIFS('QA Log'!D:D,A222,'QA Log'!M:M,"QQC",'QA Log'!L:L,"*9. EPI and Pre-school Consultation*"),
COUNTIFS('QA Log'!D:D,A222,'QA Log'!M:M,"QQC",'QA Log'!L:L,"*10. Antenatal Care (ANC)*"),
COUNTIFS('QA Log'!D:D,A222,'QA Log'!M:M,"QQC",'QA Log'!L:L,"*2. Hygiene and Sterilization*"),
COUNTIFS('QA Log'!D:D,A222,'QA Log'!M:M,"QQC",'QA Log'!L:L,"*4. Family Planning*")
))</f>
        <v/>
      </c>
      <c r="V222" s="102" t="str">
        <f>IF(A222="","",
SUM(
COUNTIFS('QA Log'!D:D,A222,'QA Log'!M:M,"QQC",'QA Log'!Z:Z,"Approved",'QA Log'!L:L,"*8. Maternity*"),
COUNTIFS('QA Log'!D:D,A222,'QA Log'!M:M,"QQC",'QA Log'!Z:Z,"Approved",'QA Log'!L:L,"*9. EPI and Pre-school Consultation*"),
COUNTIFS('QA Log'!D:D,A222,'QA Log'!M:M,"QQC",'QA Log'!Z:Z,"Approved",'QA Log'!L:L,"*10. Antenatal Care (ANC)*"),
COUNTIFS('QA Log'!D:D,A222,'QA Log'!M:M,"QQC",'QA Log'!Z:Z,"Approved",'QA Log'!L:L,"*2. Hygiene and Sterilization*"),
COUNTIFS('QA Log'!D:D,A222,'QA Log'!M:M,"QQC",'QA Log'!Z:Z,"Approved",'QA Log'!L:L,"*4. Family Planning*")
))</f>
        <v/>
      </c>
      <c r="W222" s="105" t="str">
        <f>IF(A222&lt;&gt;"",COUNTIFS('QA Log'!D:D,A222,'QA Log'!M:M,"QQC",'QA Log'!L:L,"8. Maternity",'QA Log'!Z:Z,"Approved"),"")</f>
        <v/>
      </c>
      <c r="X222" s="105" t="str">
        <f>IF(A222&lt;&gt;"",COUNTIFS('QA Log'!D:D,A222,'QA Log'!M:M,"QQC",'QA Log'!L:L,"9. EPI and Pre-school Consultation",'QA Log'!Z:Z,"Approved"),"")</f>
        <v/>
      </c>
      <c r="Y222" s="105" t="str">
        <f>IF(A222&lt;&gt;"",COUNTIFS('QA Log'!D:D,A222,'QA Log'!M:M,"QQC",'QA Log'!L:L,"10. Antenatal Care (ANC)",'QA Log'!Z:Z,"Approved"),"")</f>
        <v/>
      </c>
      <c r="Z222" s="105" t="str">
        <f>IF(A222&lt;&gt;"",COUNTIFS('QA Log'!D:D,A222,'QA Log'!M:M,"QQC",'QA Log'!L:L,"2. Hygiene and Sterilization",'QA Log'!Z:Z,"Approved"),"")</f>
        <v/>
      </c>
      <c r="AA222" s="105" t="str">
        <f>IF(A222&lt;&gt;"",COUNTIFS('QA Log'!D:D,A222,'QA Log'!M:M,"QQC",'QA Log'!L:L,"4. Family Planning",'QA Log'!Z:Z,"Approved"),"")</f>
        <v/>
      </c>
      <c r="AB222" s="102" t="str">
        <f>IF(A222="","",
SUM(
COUNTIFS('QA Log'!D:D,A222,'QA Log'!M:M,"QQC",'QA Log'!Z:Z,"Rejected",'QA Log'!L:L,"*8. Maternity*"),
COUNTIFS('QA Log'!D:D,A222,'QA Log'!M:M,"QQC",'QA Log'!Z:Z,"Rejected",'QA Log'!L:L,"*9. EPI and Pre-school Consultation*"),
COUNTIFS('QA Log'!D:D,A222,'QA Log'!M:M,"QQC",'QA Log'!Z:Z,"Rejected",'QA Log'!L:L,"*10. Antenatal Care (ANC)*"),
COUNTIFS('QA Log'!D:D,A222,'QA Log'!M:M,"QQC",'QA Log'!Z:Z,"Rejected",'QA Log'!L:L,"*2. Hygiene and Sterilization*"),
COUNTIFS('QA Log'!D:D,A222,'QA Log'!M:M,"QQC",'QA Log'!Z:Z,"Rejected",'QA Log'!L:L,"*4. Family Planning*")
))</f>
        <v/>
      </c>
      <c r="AC222" s="102" t="str">
        <f t="shared" si="3"/>
        <v/>
      </c>
      <c r="AD222" s="103" t="str">
        <f t="shared" si="4"/>
        <v/>
      </c>
      <c r="AE222" s="102" t="str">
        <f>IF(A222="","",
SUM(
COUNTIFS('QA Log'!D:D,A222,'QA Log'!M:M,"Data Verification",'QA Log'!L:L,"*Medicine (section 2)*"),
COUNTIFS('QA Log'!D:D,A222,'QA Log'!M:M,"Data Verification",'QA Log'!L:L,"*Lab Testing Availability*"),
COUNTIFS('QA Log'!D:D,A222,'QA Log'!M:M,"Data Verification",'QA Log'!L:L,"*Other than P4P (section 6)*"),
COUNTIFS('QA Log'!D:D,A222,'QA Log'!M:M,"Data Verification",'QA Log'!L:L,"*Hospital Governance*")
))</f>
        <v/>
      </c>
      <c r="AF222" s="102" t="str">
        <f>IF(A222="","",
SUM(
COUNTIFS('QA Log'!D:D,A222,'QA Log'!M:M,"Data Verification",'QA Log'!Z:Z,"Approved",'QA Log'!L:L,"*Medicine (section 2)*"),
COUNTIFS('QA Log'!D:D,A222,'QA Log'!M:M,"Data Verification",'QA Log'!Z:Z,"Approved",'QA Log'!L:L,"*Lab Testing Availability*"),
COUNTIFS('QA Log'!D:D,A222,'QA Log'!M:M,"Data Verification",'QA Log'!Z:Z,"Approved",'QA Log'!L:L,"*Other than P4P (section 6)*"),
COUNTIFS('QA Log'!D:D,A222,'QA Log'!M:M,"Data Verification",'QA Log'!Z:Z,"Approved",'QA Log'!L:L,"*Hospital Governance*")
))</f>
        <v/>
      </c>
      <c r="AG222" s="105" t="str">
        <f>IF(A222&lt;&gt;"",COUNTIFS('QA Log'!D:D,A222,'QA Log'!M:M,"Data Verification",'QA Log'!L:L,"Medicine (section 2)",'QA Log'!Z:Z,"Approved"),"")</f>
        <v/>
      </c>
      <c r="AH222" s="105" t="str">
        <f>IF(A222&lt;&gt;"",COUNTIFS('QA Log'!D:D,A222,'QA Log'!M:M,"Data Verification",'QA Log'!L:L,"Lab Testing Availability",'QA Log'!Z:Z,"Approved"),"")</f>
        <v/>
      </c>
      <c r="AI222" s="105" t="str">
        <f>IF(A222&lt;&gt;"",COUNTIFS('QA Log'!D:D,A222,'QA Log'!M:M,"Data Verification",'QA Log'!L:L,"Other than P4P (section 6)",'QA Log'!Z:Z,"Approved"),"")</f>
        <v/>
      </c>
      <c r="AJ222" s="105" t="str">
        <f>IF(A222&lt;&gt;"",COUNTIFS('QA Log'!D:D,A222,'QA Log'!M:M,"Data Verification",'QA Log'!L:L,"Hospital Governance",'QA Log'!Z:Z,"Approved"),"")</f>
        <v/>
      </c>
      <c r="AK222" s="102" t="str">
        <f>IF(A222="","",
SUM(
COUNTIFS('QA Log'!D:D,A222,'QA Log'!M:M,"Data Verification",'QA Log'!Z:Z,"Rejected",'QA Log'!L:L,"*Medicine (section 2)*"),
COUNTIFS('QA Log'!D:D,A222,'QA Log'!M:M,"Data Verification",'QA Log'!Z:Z,"Rejected",'QA Log'!L:L,"*Lab Testing Availability*"),
COUNTIFS('QA Log'!D:D,A222,'QA Log'!M:M,"Data Verification",'QA Log'!Z:Z,"Rejected",'QA Log'!L:L,"*Other than P4P (section 6)*"),
COUNTIFS('QA Log'!D:D,A222,'QA Log'!M:M,"Data Verification",'QA Log'!Z:Z,"Rejected",'QA Log'!L:L,"*Hospital Governance*")
))</f>
        <v/>
      </c>
      <c r="AL222" s="106" t="str">
        <f t="shared" si="5"/>
        <v/>
      </c>
      <c r="AM222" s="102" t="str">
        <f t="shared" si="6"/>
        <v/>
      </c>
      <c r="AN222" s="102" t="str">
        <f>IF(A222="","",
SUM(
COUNTIFS('QA Log'!D:D,A222,'QA Log'!M:M,"Data Verification",'QA Log'!L:L,"*Personnel (section 1)*"),
COUNTIFS('QA Log'!D:D,A222,'QA Log'!M:M,"Data Verification",'QA Log'!L:L,"*Consumable (section 3)*"),
COUNTIFS('QA Log'!D:D,A222,'QA Log'!M:M,"Data Verification",'QA Log'!L:L,"*Equipments (section 4)*")
))</f>
        <v/>
      </c>
      <c r="AO222" s="102" t="str">
        <f>IF(A222="","",
SUM(
COUNTIFS('QA Log'!D:D,A222,'QA Log'!M:M,"Data Verification",'QA Log'!Z:Z,"Approved",'QA Log'!L:L,"*Personnel (section 1)*"),
COUNTIFS('QA Log'!D:D,A222,'QA Log'!M:M,"Data Verification",'QA Log'!Z:Z,"Approved",'QA Log'!L:L,"*Consumable (section 3)*"),
COUNTIFS('QA Log'!D:D,A222,'QA Log'!M:M,"Data Verification",'QA Log'!Z:Z,"Approved",'QA Log'!L:L,"*Equipments (section 4)*")
))</f>
        <v/>
      </c>
      <c r="AP222" s="105" t="str">
        <f>IF(A222&lt;&gt;"",COUNTIFS('QA Log'!D:D,A222,'QA Log'!M:M,"Data Verification",'QA Log'!L:L,"Personnel (section 1)",'QA Log'!Z:Z,"Approved"),"")</f>
        <v/>
      </c>
      <c r="AQ222" s="105" t="str">
        <f>IF(A222&lt;&gt;"",COUNTIFS('QA Log'!D:D,A222,'QA Log'!M:M,"Data Verification",'QA Log'!L:L,"Consumable (section 3)",'QA Log'!Z:Z,"Approved"),"")</f>
        <v/>
      </c>
      <c r="AR222" s="105" t="str">
        <f>IF(A222&lt;&gt;"",COUNTIFS('QA Log'!D:D,A222,'QA Log'!M:M,"Data Verification",'QA Log'!L:L,"Equipments (section 4)",'QA Log'!Z:Z,"Approved"),"")</f>
        <v/>
      </c>
      <c r="AS222" s="102" t="str">
        <f>IF(A222="","",
SUM(
COUNTIFS('QA Log'!D:D,A222,'QA Log'!M:M,"Data Verification",'QA Log'!Z:Z,"Rejected",'QA Log'!L:L,"*Personnel (section 1)*"),
COUNTIFS('QA Log'!D:D,A222,'QA Log'!M:M,"Data Verification",'QA Log'!Z:Z,"Rejected",'QA Log'!L:L,"*Consumable (section 3)*"),
COUNTIFS('QA Log'!D:D,A222,'QA Log'!M:M,"Data Verification",'QA Log'!Z:Z,"Rejected",'QA Log'!L:L,"*Equipments (section 4)*")
))</f>
        <v/>
      </c>
      <c r="AT222" s="102" t="str">
        <f t="shared" si="7"/>
        <v/>
      </c>
      <c r="AU222" s="103" t="str">
        <f t="shared" si="8"/>
        <v/>
      </c>
      <c r="AV222" s="102" t="str">
        <f>IF(A222="","",SUM(
COUNTIFS('QA Log'!D:D,A222,'QA Log'!M:M,"Vignette",'QA Log'!L:L,"*Vignette [1] Respiratory Infection: Pneumonia*"),
COUNTIFS('QA Log'!D:D,A222,'QA Log'!M:M,"Vignette",'QA Log'!L:L,"*Vignette [2]: Diarrhea with Cat B dehydration*"),
COUNTIFS('QA Log'!D:D,A222,'QA Log'!M:M,"Vignette",'QA Log'!L:L,"*Vignette [3] Growth Monitoring and Promotion*"),
COUNTIFS('QA Log'!D:D,A222,'QA Log'!M:M,"Vignette",'QA Log'!L:L,"*Vignette [4]: The management of presumptive TB patient*")
)
)</f>
        <v/>
      </c>
      <c r="AW222" s="102" t="str">
        <f>IF(
  A222="","",
  SUM(
    COUNTIFS('QA Log'!D:D,A222,'QA Log'!M:M,"Vignette",'QA Log'!Z:Z,"Approved",'QA Log'!L:L,"*Vignette [1] Respiratory Infection: Pneumonia*"),
    COUNTIFS('QA Log'!D:D,A222,'QA Log'!M:M,"Vignette",'QA Log'!Z:Z,"Approved",'QA Log'!L:L,"*Vignette [2]: Diarrhea with Cat B dehydration*"),
    COUNTIFS('QA Log'!D:D,A222,'QA Log'!M:M,"Vignette",'QA Log'!Z:Z,"Approved",'QA Log'!L:L,"*Vignette [3] Growth Monitoring and Promotion*"),
    COUNTIFS('QA Log'!D:D,A222,'QA Log'!M:M,"Vignette",'QA Log'!Z:Z,"Approved",'QA Log'!L:L,"*Vignette [4]: The management of presumptive TB patient*")
  )
)</f>
        <v/>
      </c>
      <c r="AX222" s="105" t="str">
        <f>IF(A222&lt;&gt;"",COUNTIFS('QA Log'!D:D,A222,'QA Log'!M:M,"Vignette",'QA Log'!L:L,"Vignette [1] Respiratory Infection: Pneumonia",'QA Log'!Z:Z,"Approved"),"")</f>
        <v/>
      </c>
      <c r="AY222" s="105" t="str">
        <f>IF(A222&lt;&gt;"",COUNTIFS('QA Log'!D:D,A222,'QA Log'!M:M,"Vignette",'QA Log'!L:L,"Vignette [2]: Diarrhea with Cat B dehydration",'QA Log'!Z:Z,"Approved"),"")</f>
        <v/>
      </c>
      <c r="AZ222" s="105" t="str">
        <f>IF(A222&lt;&gt;"",COUNTIFS('QA Log'!D:D,A222,'QA Log'!M:M,"Vignette",'QA Log'!L:L,"Vignette [3] Growth Monitoring and Promotion",'QA Log'!Z:Z,"Approved"),"")</f>
        <v/>
      </c>
      <c r="BA222" s="105" t="str">
        <f>IF(A222&lt;&gt;"",COUNTIFS('QA Log'!D:D,A222,'QA Log'!M:M,"Vignette",'QA Log'!L:L,"Vignette [4]: The management of presumptive TB patient",'QA Log'!Z:Z,"Approved"),"")</f>
        <v/>
      </c>
      <c r="BB222" s="102" t="str">
        <f>IF(A222="","",
  SUM(
    COUNTIFS('QA Log'!D:D,A222,'QA Log'!M:M,"Vignette",'QA Log'!Z:Z,"Rejected",'QA Log'!L:L,"*Vignette [1] Respiratory Infection: Pneumonia*"),
    COUNTIFS('QA Log'!D:D,A222,'QA Log'!M:M,"Vignette",'QA Log'!Z:Z,"Rejected",'QA Log'!L:L,"*Vignette [2]: Diarrhea with Cat B dehydration*"),
    COUNTIFS('QA Log'!D:D,A222,'QA Log'!M:M,"Vignette",'QA Log'!Z:Z,"Rejected",'QA Log'!L:L,"*Vignette [3] Growth Monitoring and Promotion*"),
    COUNTIFS('QA Log'!D:D,A222,'QA Log'!M:M,"Vignette",'QA Log'!Z:Z,"Rejected",'QA Log'!L:L,"*Vignette [4]: The management of presumptive TB patient*")
  )
)</f>
        <v/>
      </c>
      <c r="BC222" s="107" t="str">
        <f t="shared" si="9"/>
        <v/>
      </c>
      <c r="BD222" s="103" t="str">
        <f t="shared" si="10"/>
        <v/>
      </c>
      <c r="BE222" s="102" t="str">
        <f>IF(A222="","",SUM(
COUNTIFS('QA Log'!D:D,A222,'QA Log'!M:M,"Vignette",'QA Log'!L:L,"*Vignette [5] Labor*"),
COUNTIFS('QA Log'!D:D,A222,'QA Log'!M:M,"Vignette",'QA Log'!L:L,"*Vignette [6] PNC pre Discharge*"),
COUNTIFS('QA Log'!D:D,A222,'QA Log'!M:M,"Vignette",'QA Log'!L:L,"*Vignette [7] First ANC Visit*"),
COUNTIFS('QA Log'!D:D,A222,'QA Log'!M:M,"Vignette",'QA Log'!L:L,"*Vignette [8] Birth Spacing/ Family Planning :  FP Counselling*"),
COUNTIFS('QA Log'!D:D,A222,'QA Log'!M:M,"Vignette",'QA Log'!L:L,"*Vignette [9] Birth Spacing: Change FP method to Injectable*"),
COUNTIFS('QA Log'!D:D,A222,'QA Log'!M:M,"Vignette",'QA Log'!L:L,"*Vignette [10] Post Partum Haemorrhage - Atonic Uterus at Health Centre*"),
)
)</f>
        <v/>
      </c>
      <c r="BF222" s="102" t="str">
        <f>IF(A222="","",
  SUM(
    COUNTIFS('QA Log'!D:D,A222,'QA Log'!M:M,"Vignette",'QA Log'!Z:Z,"Approved",'QA Log'!L:L,"*Vignette [5] Labor*"),
    COUNTIFS('QA Log'!D:D,A222,'QA Log'!M:M,"Vignette",'QA Log'!Z:Z,"Approved",'QA Log'!L:L,"*Vignette [6] PNC pre Discharge*"),
    COUNTIFS('QA Log'!D:D,A222,'QA Log'!M:M,"Vignette",'QA Log'!Z:Z,"Approved",'QA Log'!L:L,"*Vignette [7] First ANC Visit*"),
    COUNTIFS('QA Log'!D:D,A222,'QA Log'!M:M,"Vignette",'QA Log'!Z:Z,"Approved",'QA Log'!L:L,"*Vignette [8] Birth Spacing/ Family Planning :  FP Counselling*"),
    COUNTIFS('QA Log'!D:D,A222,'QA Log'!M:M,"Vignette",'QA Log'!Z:Z,"Approved",'QA Log'!L:L,"*Vignette [9] Birth Spacing: Change FP method to Injectable*"),
    COUNTIFS('QA Log'!D:D,A222,'QA Log'!M:M,"Vignette",'QA Log'!Z:Z,"Approved",'QA Log'!L:L,"*Vignette [10] Post Partum Haemorrhage - Atonic Uterus at Health Centre*")
  )
)</f>
        <v/>
      </c>
      <c r="BG222" s="105" t="str">
        <f>IF(A222&lt;&gt;"",COUNTIFS('QA Log'!D:D,A222,'QA Log'!M:M,"Vignette",'QA Log'!L:L,"Vignette [5] Labor",'QA Log'!Z:Z,"Approved"),"")</f>
        <v/>
      </c>
      <c r="BH222" s="105" t="str">
        <f>IF(A222&lt;&gt;"",COUNTIFS('QA Log'!D:D,A222,'QA Log'!M:M,"Vignette",'QA Log'!L:L,"Vignette [6] PNC pre Discharge",'QA Log'!Z:Z,"Approved"),"")</f>
        <v/>
      </c>
      <c r="BI222" s="105" t="str">
        <f>IF(A222&lt;&gt;"",COUNTIFS('QA Log'!D:D,A222,'QA Log'!M:M,"Vignette",'QA Log'!L:L,"Vignette [7] First ANC Visit",'QA Log'!Z:Z,"Approved"),"")</f>
        <v/>
      </c>
      <c r="BJ222" s="105" t="str">
        <f>IF(A222&lt;&gt;"",COUNTIFS('QA Log'!D:D,A222,'QA Log'!M:M,"Vignette",'QA Log'!L:L,"Vignette [8] Birth Spacing/ Family Planning :  FP Counselling",'QA Log'!Z:Z,"Approved"),"")</f>
        <v/>
      </c>
      <c r="BK222" s="105" t="str">
        <f>IF(A222&lt;&gt;"",COUNTIFS('QA Log'!D:D,A222,'QA Log'!M:M,"Vignette",'QA Log'!L:L,"Vignette [9] Birth Spacing: Change FP method to Injectable",'QA Log'!Z:Z,"Approved"),"")</f>
        <v/>
      </c>
      <c r="BL222" s="105" t="str">
        <f>IF(A222&lt;&gt;"",COUNTIFS('QA Log'!D:D,A222,'QA Log'!M:M,"Vignette",'QA Log'!L:L,"Vignette [10] Post Partum Haemorrhage - Atonic Uterus at Health Centre",'QA Log'!Z:Z,"Approved"),"")</f>
        <v/>
      </c>
      <c r="BM222" s="102" t="str">
        <f>IF(A222="","",SUM(
    COUNTIFS('QA Log'!D:D,A222,'QA Log'!M:M,"Vignette",'QA Log'!Z:Z,"Rejected",'QA Log'!L:L,"*Vignette [5] Labor*"),
    COUNTIFS('QA Log'!D:D,A222,'QA Log'!M:M,"Vignette",'QA Log'!Z:Z,"Rejected",'QA Log'!L:L,"*Vignette [6] PNC pre Discharge*"),
    COUNTIFS('QA Log'!D:D,A222,'QA Log'!M:M,"Vignette",'QA Log'!Z:Z,"Rejected",'QA Log'!L:L,"*Vignette [7] First ANC Visit*"),
    COUNTIFS('QA Log'!D:D,A222,'QA Log'!M:M,"Vignette",'QA Log'!Z:Z,"Rejected",'QA Log'!L:L,"*Vignette [8] Birth Spacing/ Family Planning :  FP Counselling*"),
    COUNTIFS('QA Log'!D:D,A222,'QA Log'!M:M,"Vignette",'QA Log'!Z:Z,"Rejected",'QA Log'!L:L,"*Vignette [9] Birth Spacing: Change FP method to Injectable*"),
    COUNTIFS('QA Log'!D:D,A222,'QA Log'!M:M,"Vignette",'QA Log'!Z:Z,"Rejected",'QA Log'!L:L,"*Vignette [10] Post Partum Haemorrhage - Atonic Uterus at Health Centre*")
  )
)</f>
        <v/>
      </c>
      <c r="BN222" s="107" t="str">
        <f t="shared" si="11"/>
        <v/>
      </c>
      <c r="BO222" s="103" t="str">
        <f t="shared" si="12"/>
        <v/>
      </c>
      <c r="BP222" s="102" t="str">
        <f>IF(A222="","",SUM(
COUNTIFS('QA Log'!D:D,A222,'QA Log'!M:M,"Vignette",'QA Log'!L:L,"*Exit Interview 1*"),
COUNTIFS('QA Log'!D:D,A222,'QA Log'!M:M,"Vignette",'QA Log'!L:L,"*Exit Interview 2*"),
)
)</f>
        <v/>
      </c>
      <c r="BQ222" s="102" t="str">
        <f>IF(
  A222="","",
  SUM(
    COUNTIFS('QA Log'!D:D,A222,'QA Log'!M:M,"Vignette",'QA Log'!Z:Z,"Approved",'QA Log'!L:L,"*Exit Interview 1*"),
    COUNTIFS('QA Log'!D:D,A222,'QA Log'!M:M,"Vignette",'QA Log'!Z:Z,"Approved",'QA Log'!L:L,"*Exit Interview 2*")
  )
)</f>
        <v/>
      </c>
      <c r="BR222" s="105" t="str">
        <f>IF(A222&lt;&gt;"",COUNTIFS('QA Log'!D:D,A222,'QA Log'!M:M,"Vignette",'QA Log'!L:L,"Exit Interview 1",'QA Log'!Z:Z,"Approved"),"")</f>
        <v/>
      </c>
      <c r="BS222" s="105" t="str">
        <f>IF(A222&lt;&gt;"",COUNTIFS('QA Log'!D:D,A222,'QA Log'!M:M,"Vignette",'QA Log'!L:L,"Exit Interview 2",'QA Log'!Z:Z,"Approved"),"")</f>
        <v/>
      </c>
      <c r="BT222" s="102" t="str">
        <f>IF(
  A222="","",
  SUM(
    COUNTIFS('QA Log'!D:D,A222,'QA Log'!M:M,"Vignette",'QA Log'!Z:Z,"Rejected",'QA Log'!L:L,"*Exit Interview 1*"),
    COUNTIFS('QA Log'!D:D,A222,'QA Log'!M:M,"Vignette",'QA Log'!Z:Z,"Rejected",'QA Log'!L:L,"*Exit Interview 2*")
  )
)</f>
        <v/>
      </c>
      <c r="BU222" s="107" t="str">
        <f t="shared" si="13"/>
        <v/>
      </c>
      <c r="BV222" s="102" t="str">
        <f t="shared" si="14"/>
        <v/>
      </c>
      <c r="BW222" s="102" t="str">
        <f t="shared" si="15"/>
        <v/>
      </c>
      <c r="BX222" s="102" t="str">
        <f t="shared" si="16"/>
        <v/>
      </c>
      <c r="BY222" s="102" t="str">
        <f t="shared" si="17"/>
        <v/>
      </c>
      <c r="BZ222" s="107" t="str">
        <f t="shared" si="18"/>
        <v/>
      </c>
      <c r="CA222" s="108" t="str">
        <f t="shared" si="19"/>
        <v/>
      </c>
      <c r="CB222" s="108" t="str">
        <f t="shared" si="20"/>
        <v/>
      </c>
      <c r="CC222" s="109" t="str">
        <f t="shared" si="21"/>
        <v/>
      </c>
      <c r="CD222" s="108" t="str">
        <f t="shared" si="22"/>
        <v/>
      </c>
      <c r="CE222" s="108" t="str">
        <f t="shared" si="23"/>
        <v/>
      </c>
      <c r="CF222" s="109" t="str">
        <f t="shared" si="24"/>
        <v/>
      </c>
      <c r="CG222" s="110" t="str">
        <f t="shared" si="25"/>
        <v/>
      </c>
      <c r="CH222" s="111"/>
    </row>
    <row r="223" spans="1:86" ht="12.75">
      <c r="A223" s="101"/>
      <c r="B223" s="102" t="e">
        <f t="array" aca="1" ref="B223" ca="1">_xludf.XLOOKUP(A223,'QA Log'!D:D,'QA Log'!E:E,"")</f>
        <v>#NAME?</v>
      </c>
      <c r="C223" s="102" t="e">
        <f t="array" aca="1" ref="C223" ca="1">_xludf.XLOOKUP(A223,'QA Log'!D:D,'QA Log'!F:F,"")</f>
        <v>#NAME?</v>
      </c>
      <c r="D223" s="102" t="e">
        <f t="array" aca="1" ref="D223" ca="1">_xludf.XLOOKUP(A223,'QA Log'!D:D,'QA Log'!H:H,"")</f>
        <v>#NAME?</v>
      </c>
      <c r="E223" s="102" t="e">
        <f t="array" aca="1" ref="E223" ca="1">_xludf.XLOOKUP(A223,'QA Log'!D:D,'QA Log'!G:G,"")</f>
        <v>#NAME?</v>
      </c>
      <c r="F223" s="103"/>
      <c r="G223" s="104"/>
      <c r="H223" s="104"/>
      <c r="I223" s="103" t="str">
        <f t="shared" si="0"/>
        <v/>
      </c>
      <c r="J223" s="102" t="str">
        <f>IF(A223="","",SUM(
COUNTIFS('QA Log'!D:D,A223,'QA Log'!M:M,"QQC",'QA Log'!L:L,"*1. General Management*"),
COUNTIFS('QA Log'!D:D,A223,'QA Log'!M:M,"QQC",'QA Log'!L:L,"*3. Curative Consultation (OPD)*"),
COUNTIFS('QA Log'!D:D,A223,'QA Log'!M:M,"QQC",'QA Log'!L:L,"*5. Laboratory*"),
COUNTIFS('QA Log'!D:D,A223,'QA Log'!M:M,"QQC",'QA Log'!L:L,"*6. Essential Medicine Management*"),
COUNTIFS('QA Log'!D:D,A223,'QA Log'!M:M,"QQC",'QA Log'!L:L,"*7. Tracer Medicine*"),
COUNTIFS('QA Log'!D:D,A223,'QA Log'!M:M,"QQC",'QA Log'!L:L,"*11. Additional Questions*")))</f>
        <v/>
      </c>
      <c r="K223" s="102" t="str">
        <f>IF(A223="","",SUM(
COUNTIFS('QA Log'!D:D,A223,'QA Log'!M:M,"QQC",'QA Log'!Z:Z,"Approved",'QA Log'!L:L,"*1. General Management*"),
COUNTIFS('QA Log'!D:D,A223,'QA Log'!M:M,"QQC",'QA Log'!Z:Z,"Approved",'QA Log'!L:L,"*3. Curative Consultation (OPD)*"),
COUNTIFS('QA Log'!D:D,A223,'QA Log'!M:M,"QQC",'QA Log'!Z:Z,"Approved",'QA Log'!L:L,"*5. Laboratory*"),
COUNTIFS('QA Log'!D:D,A223,'QA Log'!M:M,"QQC",'QA Log'!Z:Z,"Approved",'QA Log'!L:L,"*6. Essential Medicine Management*"),
COUNTIFS('QA Log'!D:D,A223,'QA Log'!M:M,"QQC",'QA Log'!Z:Z,"Approved",'QA Log'!L:L,"*7. Tracer Medicine*"),
COUNTIFS('QA Log'!D:D,A223,'QA Log'!M:M,"QQC",'QA Log'!Z:Z,"Approved",'QA Log'!L:L,"*11. Additional Questions*")))</f>
        <v/>
      </c>
      <c r="L223" s="105" t="str">
        <f>IF(A223&lt;&gt;"",COUNTIFS('QA Log'!D:D,A223,'QA Log'!M:M,"QQC",'QA Log'!L:L,"1. General Management",'QA Log'!Z:Z,"Approved"),"")</f>
        <v/>
      </c>
      <c r="M223" s="105" t="str">
        <f>IF(A223&lt;&gt;"",COUNTIFS('QA Log'!D:D,A223,'QA Log'!M:M,"QQC",'QA Log'!L:L,"3. Curative Consultation (OPD)",'QA Log'!Z:Z,"Approved"),"")</f>
        <v/>
      </c>
      <c r="N223" s="105" t="str">
        <f>IF(A223&lt;&gt;"",COUNTIFS('QA Log'!D:D,A223,'QA Log'!M:M,"QQC",'QA Log'!L:L,"5. Laboratory",'QA Log'!Z:Z,"Approved"),"")</f>
        <v/>
      </c>
      <c r="O223" s="105" t="str">
        <f>IF(A223&lt;&gt;"",COUNTIFS('QA Log'!D:D,A223,'QA Log'!M:M,"QQC",'QA Log'!L:L,"6. Essential Medicine Management",'QA Log'!Z:Z,"Approved"),"")</f>
        <v/>
      </c>
      <c r="P223" s="105" t="str">
        <f>IF(A223&lt;&gt;"",COUNTIFS('QA Log'!D:D,A223,'QA Log'!M:M,"QQC",'QA Log'!L:L,"7. Tracer Medicine",'QA Log'!Z:Z,"Approved"),"")</f>
        <v/>
      </c>
      <c r="Q223" s="105" t="str">
        <f>IF(A223&lt;&gt;"",COUNTIFS('QA Log'!D:D,A223,'QA Log'!M:M,"QQC",'QA Log'!L:L,"11. Additional Questions",'QA Log'!Z:Z,"Approved"),"")</f>
        <v/>
      </c>
      <c r="R223" s="102" t="str">
        <f>IF(A223="","",SUM(
COUNTIFS('QA Log'!D:D,A223,'QA Log'!M:M,"QQC",'QA Log'!Z:Z,"Rejected",'QA Log'!L:L,"*8. Maternity*"),
COUNTIFS('QA Log'!D:D,A223,'QA Log'!M:M,"QQC",'QA Log'!Z:Z,"Rejected",'QA Log'!L:L,"*EPI*"),
COUNTIFS('QA Log'!D:D,A223,'QA Log'!M:M,"QQC",'QA Log'!Z:Z,"Rejected",'QA Log'!L:L,"*10. Antenatal Care (ANC)*"),
COUNTIFS('QA Log'!D:D,A223,'QA Log'!M:M,"QQC",'QA Log'!Z:Z,"Rejected",'QA Log'!L:L,"*2. Hygiene and Sterilization*"),
COUNTIFS('QA Log'!D:D,A223,'QA Log'!M:M,"QQC",'QA Log'!Z:Z,"Rejected",'QA Log'!L:L,"*Family Planning*")))</f>
        <v/>
      </c>
      <c r="S223" s="106" t="str">
        <f t="shared" si="1"/>
        <v/>
      </c>
      <c r="T223" s="102" t="str">
        <f t="shared" si="2"/>
        <v/>
      </c>
      <c r="U223" s="102" t="str">
        <f>IF(A223="","",
SUM(
COUNTIFS('QA Log'!D:D,A223,'QA Log'!M:M,"QQC",'QA Log'!L:L,"*8. Maternity*"),
COUNTIFS('QA Log'!D:D,A223,'QA Log'!M:M,"QQC",'QA Log'!L:L,"*9. EPI and Pre-school Consultation*"),
COUNTIFS('QA Log'!D:D,A223,'QA Log'!M:M,"QQC",'QA Log'!L:L,"*10. Antenatal Care (ANC)*"),
COUNTIFS('QA Log'!D:D,A223,'QA Log'!M:M,"QQC",'QA Log'!L:L,"*2. Hygiene and Sterilization*"),
COUNTIFS('QA Log'!D:D,A223,'QA Log'!M:M,"QQC",'QA Log'!L:L,"*4. Family Planning*")
))</f>
        <v/>
      </c>
      <c r="V223" s="102" t="str">
        <f>IF(A223="","",
SUM(
COUNTIFS('QA Log'!D:D,A223,'QA Log'!M:M,"QQC",'QA Log'!Z:Z,"Approved",'QA Log'!L:L,"*8. Maternity*"),
COUNTIFS('QA Log'!D:D,A223,'QA Log'!M:M,"QQC",'QA Log'!Z:Z,"Approved",'QA Log'!L:L,"*9. EPI and Pre-school Consultation*"),
COUNTIFS('QA Log'!D:D,A223,'QA Log'!M:M,"QQC",'QA Log'!Z:Z,"Approved",'QA Log'!L:L,"*10. Antenatal Care (ANC)*"),
COUNTIFS('QA Log'!D:D,A223,'QA Log'!M:M,"QQC",'QA Log'!Z:Z,"Approved",'QA Log'!L:L,"*2. Hygiene and Sterilization*"),
COUNTIFS('QA Log'!D:D,A223,'QA Log'!M:M,"QQC",'QA Log'!Z:Z,"Approved",'QA Log'!L:L,"*4. Family Planning*")
))</f>
        <v/>
      </c>
      <c r="W223" s="105" t="str">
        <f>IF(A223&lt;&gt;"",COUNTIFS('QA Log'!D:D,A223,'QA Log'!M:M,"QQC",'QA Log'!L:L,"8. Maternity",'QA Log'!Z:Z,"Approved"),"")</f>
        <v/>
      </c>
      <c r="X223" s="105" t="str">
        <f>IF(A223&lt;&gt;"",COUNTIFS('QA Log'!D:D,A223,'QA Log'!M:M,"QQC",'QA Log'!L:L,"9. EPI and Pre-school Consultation",'QA Log'!Z:Z,"Approved"),"")</f>
        <v/>
      </c>
      <c r="Y223" s="105" t="str">
        <f>IF(A223&lt;&gt;"",COUNTIFS('QA Log'!D:D,A223,'QA Log'!M:M,"QQC",'QA Log'!L:L,"10. Antenatal Care (ANC)",'QA Log'!Z:Z,"Approved"),"")</f>
        <v/>
      </c>
      <c r="Z223" s="105" t="str">
        <f>IF(A223&lt;&gt;"",COUNTIFS('QA Log'!D:D,A223,'QA Log'!M:M,"QQC",'QA Log'!L:L,"2. Hygiene and Sterilization",'QA Log'!Z:Z,"Approved"),"")</f>
        <v/>
      </c>
      <c r="AA223" s="105" t="str">
        <f>IF(A223&lt;&gt;"",COUNTIFS('QA Log'!D:D,A223,'QA Log'!M:M,"QQC",'QA Log'!L:L,"4. Family Planning",'QA Log'!Z:Z,"Approved"),"")</f>
        <v/>
      </c>
      <c r="AB223" s="102" t="str">
        <f>IF(A223="","",
SUM(
COUNTIFS('QA Log'!D:D,A223,'QA Log'!M:M,"QQC",'QA Log'!Z:Z,"Rejected",'QA Log'!L:L,"*8. Maternity*"),
COUNTIFS('QA Log'!D:D,A223,'QA Log'!M:M,"QQC",'QA Log'!Z:Z,"Rejected",'QA Log'!L:L,"*9. EPI and Pre-school Consultation*"),
COUNTIFS('QA Log'!D:D,A223,'QA Log'!M:M,"QQC",'QA Log'!Z:Z,"Rejected",'QA Log'!L:L,"*10. Antenatal Care (ANC)*"),
COUNTIFS('QA Log'!D:D,A223,'QA Log'!M:M,"QQC",'QA Log'!Z:Z,"Rejected",'QA Log'!L:L,"*2. Hygiene and Sterilization*"),
COUNTIFS('QA Log'!D:D,A223,'QA Log'!M:M,"QQC",'QA Log'!Z:Z,"Rejected",'QA Log'!L:L,"*4. Family Planning*")
))</f>
        <v/>
      </c>
      <c r="AC223" s="102" t="str">
        <f t="shared" si="3"/>
        <v/>
      </c>
      <c r="AD223" s="103" t="str">
        <f t="shared" si="4"/>
        <v/>
      </c>
      <c r="AE223" s="102" t="str">
        <f>IF(A223="","",
SUM(
COUNTIFS('QA Log'!D:D,A223,'QA Log'!M:M,"Data Verification",'QA Log'!L:L,"*Medicine (section 2)*"),
COUNTIFS('QA Log'!D:D,A223,'QA Log'!M:M,"Data Verification",'QA Log'!L:L,"*Lab Testing Availability*"),
COUNTIFS('QA Log'!D:D,A223,'QA Log'!M:M,"Data Verification",'QA Log'!L:L,"*Other than P4P (section 6)*"),
COUNTIFS('QA Log'!D:D,A223,'QA Log'!M:M,"Data Verification",'QA Log'!L:L,"*Hospital Governance*")
))</f>
        <v/>
      </c>
      <c r="AF223" s="102" t="str">
        <f>IF(A223="","",
SUM(
COUNTIFS('QA Log'!D:D,A223,'QA Log'!M:M,"Data Verification",'QA Log'!Z:Z,"Approved",'QA Log'!L:L,"*Medicine (section 2)*"),
COUNTIFS('QA Log'!D:D,A223,'QA Log'!M:M,"Data Verification",'QA Log'!Z:Z,"Approved",'QA Log'!L:L,"*Lab Testing Availability*"),
COUNTIFS('QA Log'!D:D,A223,'QA Log'!M:M,"Data Verification",'QA Log'!Z:Z,"Approved",'QA Log'!L:L,"*Other than P4P (section 6)*"),
COUNTIFS('QA Log'!D:D,A223,'QA Log'!M:M,"Data Verification",'QA Log'!Z:Z,"Approved",'QA Log'!L:L,"*Hospital Governance*")
))</f>
        <v/>
      </c>
      <c r="AG223" s="105" t="str">
        <f>IF(A223&lt;&gt;"",COUNTIFS('QA Log'!D:D,A223,'QA Log'!M:M,"Data Verification",'QA Log'!L:L,"Medicine (section 2)",'QA Log'!Z:Z,"Approved"),"")</f>
        <v/>
      </c>
      <c r="AH223" s="105" t="str">
        <f>IF(A223&lt;&gt;"",COUNTIFS('QA Log'!D:D,A223,'QA Log'!M:M,"Data Verification",'QA Log'!L:L,"Lab Testing Availability",'QA Log'!Z:Z,"Approved"),"")</f>
        <v/>
      </c>
      <c r="AI223" s="105" t="str">
        <f>IF(A223&lt;&gt;"",COUNTIFS('QA Log'!D:D,A223,'QA Log'!M:M,"Data Verification",'QA Log'!L:L,"Other than P4P (section 6)",'QA Log'!Z:Z,"Approved"),"")</f>
        <v/>
      </c>
      <c r="AJ223" s="105" t="str">
        <f>IF(A223&lt;&gt;"",COUNTIFS('QA Log'!D:D,A223,'QA Log'!M:M,"Data Verification",'QA Log'!L:L,"Hospital Governance",'QA Log'!Z:Z,"Approved"),"")</f>
        <v/>
      </c>
      <c r="AK223" s="102" t="str">
        <f>IF(A223="","",
SUM(
COUNTIFS('QA Log'!D:D,A223,'QA Log'!M:M,"Data Verification",'QA Log'!Z:Z,"Rejected",'QA Log'!L:L,"*Medicine (section 2)*"),
COUNTIFS('QA Log'!D:D,A223,'QA Log'!M:M,"Data Verification",'QA Log'!Z:Z,"Rejected",'QA Log'!L:L,"*Lab Testing Availability*"),
COUNTIFS('QA Log'!D:D,A223,'QA Log'!M:M,"Data Verification",'QA Log'!Z:Z,"Rejected",'QA Log'!L:L,"*Other than P4P (section 6)*"),
COUNTIFS('QA Log'!D:D,A223,'QA Log'!M:M,"Data Verification",'QA Log'!Z:Z,"Rejected",'QA Log'!L:L,"*Hospital Governance*")
))</f>
        <v/>
      </c>
      <c r="AL223" s="106" t="str">
        <f t="shared" si="5"/>
        <v/>
      </c>
      <c r="AM223" s="102" t="str">
        <f t="shared" si="6"/>
        <v/>
      </c>
      <c r="AN223" s="102" t="str">
        <f>IF(A223="","",
SUM(
COUNTIFS('QA Log'!D:D,A223,'QA Log'!M:M,"Data Verification",'QA Log'!L:L,"*Personnel (section 1)*"),
COUNTIFS('QA Log'!D:D,A223,'QA Log'!M:M,"Data Verification",'QA Log'!L:L,"*Consumable (section 3)*"),
COUNTIFS('QA Log'!D:D,A223,'QA Log'!M:M,"Data Verification",'QA Log'!L:L,"*Equipments (section 4)*")
))</f>
        <v/>
      </c>
      <c r="AO223" s="102" t="str">
        <f>IF(A223="","",
SUM(
COUNTIFS('QA Log'!D:D,A223,'QA Log'!M:M,"Data Verification",'QA Log'!Z:Z,"Approved",'QA Log'!L:L,"*Personnel (section 1)*"),
COUNTIFS('QA Log'!D:D,A223,'QA Log'!M:M,"Data Verification",'QA Log'!Z:Z,"Approved",'QA Log'!L:L,"*Consumable (section 3)*"),
COUNTIFS('QA Log'!D:D,A223,'QA Log'!M:M,"Data Verification",'QA Log'!Z:Z,"Approved",'QA Log'!L:L,"*Equipments (section 4)*")
))</f>
        <v/>
      </c>
      <c r="AP223" s="105" t="str">
        <f>IF(A223&lt;&gt;"",COUNTIFS('QA Log'!D:D,A223,'QA Log'!M:M,"Data Verification",'QA Log'!L:L,"Personnel (section 1)",'QA Log'!Z:Z,"Approved"),"")</f>
        <v/>
      </c>
      <c r="AQ223" s="105" t="str">
        <f>IF(A223&lt;&gt;"",COUNTIFS('QA Log'!D:D,A223,'QA Log'!M:M,"Data Verification",'QA Log'!L:L,"Consumable (section 3)",'QA Log'!Z:Z,"Approved"),"")</f>
        <v/>
      </c>
      <c r="AR223" s="105" t="str">
        <f>IF(A223&lt;&gt;"",COUNTIFS('QA Log'!D:D,A223,'QA Log'!M:M,"Data Verification",'QA Log'!L:L,"Equipments (section 4)",'QA Log'!Z:Z,"Approved"),"")</f>
        <v/>
      </c>
      <c r="AS223" s="102" t="str">
        <f>IF(A223="","",
SUM(
COUNTIFS('QA Log'!D:D,A223,'QA Log'!M:M,"Data Verification",'QA Log'!Z:Z,"Rejected",'QA Log'!L:L,"*Personnel (section 1)*"),
COUNTIFS('QA Log'!D:D,A223,'QA Log'!M:M,"Data Verification",'QA Log'!Z:Z,"Rejected",'QA Log'!L:L,"*Consumable (section 3)*"),
COUNTIFS('QA Log'!D:D,A223,'QA Log'!M:M,"Data Verification",'QA Log'!Z:Z,"Rejected",'QA Log'!L:L,"*Equipments (section 4)*")
))</f>
        <v/>
      </c>
      <c r="AT223" s="102" t="str">
        <f t="shared" si="7"/>
        <v/>
      </c>
      <c r="AU223" s="103" t="str">
        <f t="shared" si="8"/>
        <v/>
      </c>
      <c r="AV223" s="102" t="str">
        <f>IF(A223="","",SUM(
COUNTIFS('QA Log'!D:D,A223,'QA Log'!M:M,"Vignette",'QA Log'!L:L,"*Vignette [1] Respiratory Infection: Pneumonia*"),
COUNTIFS('QA Log'!D:D,A223,'QA Log'!M:M,"Vignette",'QA Log'!L:L,"*Vignette [2]: Diarrhea with Cat B dehydration*"),
COUNTIFS('QA Log'!D:D,A223,'QA Log'!M:M,"Vignette",'QA Log'!L:L,"*Vignette [3] Growth Monitoring and Promotion*"),
COUNTIFS('QA Log'!D:D,A223,'QA Log'!M:M,"Vignette",'QA Log'!L:L,"*Vignette [4]: The management of presumptive TB patient*")
)
)</f>
        <v/>
      </c>
      <c r="AW223" s="102" t="str">
        <f>IF(
  A223="","",
  SUM(
    COUNTIFS('QA Log'!D:D,A223,'QA Log'!M:M,"Vignette",'QA Log'!Z:Z,"Approved",'QA Log'!L:L,"*Vignette [1] Respiratory Infection: Pneumonia*"),
    COUNTIFS('QA Log'!D:D,A223,'QA Log'!M:M,"Vignette",'QA Log'!Z:Z,"Approved",'QA Log'!L:L,"*Vignette [2]: Diarrhea with Cat B dehydration*"),
    COUNTIFS('QA Log'!D:D,A223,'QA Log'!M:M,"Vignette",'QA Log'!Z:Z,"Approved",'QA Log'!L:L,"*Vignette [3] Growth Monitoring and Promotion*"),
    COUNTIFS('QA Log'!D:D,A223,'QA Log'!M:M,"Vignette",'QA Log'!Z:Z,"Approved",'QA Log'!L:L,"*Vignette [4]: The management of presumptive TB patient*")
  )
)</f>
        <v/>
      </c>
      <c r="AX223" s="105" t="str">
        <f>IF(A223&lt;&gt;"",COUNTIFS('QA Log'!D:D,A223,'QA Log'!M:M,"Vignette",'QA Log'!L:L,"Vignette [1] Respiratory Infection: Pneumonia",'QA Log'!Z:Z,"Approved"),"")</f>
        <v/>
      </c>
      <c r="AY223" s="105" t="str">
        <f>IF(A223&lt;&gt;"",COUNTIFS('QA Log'!D:D,A223,'QA Log'!M:M,"Vignette",'QA Log'!L:L,"Vignette [2]: Diarrhea with Cat B dehydration",'QA Log'!Z:Z,"Approved"),"")</f>
        <v/>
      </c>
      <c r="AZ223" s="105" t="str">
        <f>IF(A223&lt;&gt;"",COUNTIFS('QA Log'!D:D,A223,'QA Log'!M:M,"Vignette",'QA Log'!L:L,"Vignette [3] Growth Monitoring and Promotion",'QA Log'!Z:Z,"Approved"),"")</f>
        <v/>
      </c>
      <c r="BA223" s="105" t="str">
        <f>IF(A223&lt;&gt;"",COUNTIFS('QA Log'!D:D,A223,'QA Log'!M:M,"Vignette",'QA Log'!L:L,"Vignette [4]: The management of presumptive TB patient",'QA Log'!Z:Z,"Approved"),"")</f>
        <v/>
      </c>
      <c r="BB223" s="102" t="str">
        <f>IF(A223="","",
  SUM(
    COUNTIFS('QA Log'!D:D,A223,'QA Log'!M:M,"Vignette",'QA Log'!Z:Z,"Rejected",'QA Log'!L:L,"*Vignette [1] Respiratory Infection: Pneumonia*"),
    COUNTIFS('QA Log'!D:D,A223,'QA Log'!M:M,"Vignette",'QA Log'!Z:Z,"Rejected",'QA Log'!L:L,"*Vignette [2]: Diarrhea with Cat B dehydration*"),
    COUNTIFS('QA Log'!D:D,A223,'QA Log'!M:M,"Vignette",'QA Log'!Z:Z,"Rejected",'QA Log'!L:L,"*Vignette [3] Growth Monitoring and Promotion*"),
    COUNTIFS('QA Log'!D:D,A223,'QA Log'!M:M,"Vignette",'QA Log'!Z:Z,"Rejected",'QA Log'!L:L,"*Vignette [4]: The management of presumptive TB patient*")
  )
)</f>
        <v/>
      </c>
      <c r="BC223" s="107" t="str">
        <f t="shared" si="9"/>
        <v/>
      </c>
      <c r="BD223" s="103" t="str">
        <f t="shared" si="10"/>
        <v/>
      </c>
      <c r="BE223" s="102" t="str">
        <f>IF(A223="","",SUM(
COUNTIFS('QA Log'!D:D,A223,'QA Log'!M:M,"Vignette",'QA Log'!L:L,"*Vignette [5] Labor*"),
COUNTIFS('QA Log'!D:D,A223,'QA Log'!M:M,"Vignette",'QA Log'!L:L,"*Vignette [6] PNC pre Discharge*"),
COUNTIFS('QA Log'!D:D,A223,'QA Log'!M:M,"Vignette",'QA Log'!L:L,"*Vignette [7] First ANC Visit*"),
COUNTIFS('QA Log'!D:D,A223,'QA Log'!M:M,"Vignette",'QA Log'!L:L,"*Vignette [8] Birth Spacing/ Family Planning :  FP Counselling*"),
COUNTIFS('QA Log'!D:D,A223,'QA Log'!M:M,"Vignette",'QA Log'!L:L,"*Vignette [9] Birth Spacing: Change FP method to Injectable*"),
COUNTIFS('QA Log'!D:D,A223,'QA Log'!M:M,"Vignette",'QA Log'!L:L,"*Vignette [10] Post Partum Haemorrhage - Atonic Uterus at Health Centre*"),
)
)</f>
        <v/>
      </c>
      <c r="BF223" s="102" t="str">
        <f>IF(A223="","",
  SUM(
    COUNTIFS('QA Log'!D:D,A223,'QA Log'!M:M,"Vignette",'QA Log'!Z:Z,"Approved",'QA Log'!L:L,"*Vignette [5] Labor*"),
    COUNTIFS('QA Log'!D:D,A223,'QA Log'!M:M,"Vignette",'QA Log'!Z:Z,"Approved",'QA Log'!L:L,"*Vignette [6] PNC pre Discharge*"),
    COUNTIFS('QA Log'!D:D,A223,'QA Log'!M:M,"Vignette",'QA Log'!Z:Z,"Approved",'QA Log'!L:L,"*Vignette [7] First ANC Visit*"),
    COUNTIFS('QA Log'!D:D,A223,'QA Log'!M:M,"Vignette",'QA Log'!Z:Z,"Approved",'QA Log'!L:L,"*Vignette [8] Birth Spacing/ Family Planning :  FP Counselling*"),
    COUNTIFS('QA Log'!D:D,A223,'QA Log'!M:M,"Vignette",'QA Log'!Z:Z,"Approved",'QA Log'!L:L,"*Vignette [9] Birth Spacing: Change FP method to Injectable*"),
    COUNTIFS('QA Log'!D:D,A223,'QA Log'!M:M,"Vignette",'QA Log'!Z:Z,"Approved",'QA Log'!L:L,"*Vignette [10] Post Partum Haemorrhage - Atonic Uterus at Health Centre*")
  )
)</f>
        <v/>
      </c>
      <c r="BG223" s="105" t="str">
        <f>IF(A223&lt;&gt;"",COUNTIFS('QA Log'!D:D,A223,'QA Log'!M:M,"Vignette",'QA Log'!L:L,"Vignette [5] Labor",'QA Log'!Z:Z,"Approved"),"")</f>
        <v/>
      </c>
      <c r="BH223" s="105" t="str">
        <f>IF(A223&lt;&gt;"",COUNTIFS('QA Log'!D:D,A223,'QA Log'!M:M,"Vignette",'QA Log'!L:L,"Vignette [6] PNC pre Discharge",'QA Log'!Z:Z,"Approved"),"")</f>
        <v/>
      </c>
      <c r="BI223" s="105" t="str">
        <f>IF(A223&lt;&gt;"",COUNTIFS('QA Log'!D:D,A223,'QA Log'!M:M,"Vignette",'QA Log'!L:L,"Vignette [7] First ANC Visit",'QA Log'!Z:Z,"Approved"),"")</f>
        <v/>
      </c>
      <c r="BJ223" s="105" t="str">
        <f>IF(A223&lt;&gt;"",COUNTIFS('QA Log'!D:D,A223,'QA Log'!M:M,"Vignette",'QA Log'!L:L,"Vignette [8] Birth Spacing/ Family Planning :  FP Counselling",'QA Log'!Z:Z,"Approved"),"")</f>
        <v/>
      </c>
      <c r="BK223" s="105" t="str">
        <f>IF(A223&lt;&gt;"",COUNTIFS('QA Log'!D:D,A223,'QA Log'!M:M,"Vignette",'QA Log'!L:L,"Vignette [9] Birth Spacing: Change FP method to Injectable",'QA Log'!Z:Z,"Approved"),"")</f>
        <v/>
      </c>
      <c r="BL223" s="105" t="str">
        <f>IF(A223&lt;&gt;"",COUNTIFS('QA Log'!D:D,A223,'QA Log'!M:M,"Vignette",'QA Log'!L:L,"Vignette [10] Post Partum Haemorrhage - Atonic Uterus at Health Centre",'QA Log'!Z:Z,"Approved"),"")</f>
        <v/>
      </c>
      <c r="BM223" s="102" t="str">
        <f>IF(A223="","",SUM(
    COUNTIFS('QA Log'!D:D,A223,'QA Log'!M:M,"Vignette",'QA Log'!Z:Z,"Rejected",'QA Log'!L:L,"*Vignette [5] Labor*"),
    COUNTIFS('QA Log'!D:D,A223,'QA Log'!M:M,"Vignette",'QA Log'!Z:Z,"Rejected",'QA Log'!L:L,"*Vignette [6] PNC pre Discharge*"),
    COUNTIFS('QA Log'!D:D,A223,'QA Log'!M:M,"Vignette",'QA Log'!Z:Z,"Rejected",'QA Log'!L:L,"*Vignette [7] First ANC Visit*"),
    COUNTIFS('QA Log'!D:D,A223,'QA Log'!M:M,"Vignette",'QA Log'!Z:Z,"Rejected",'QA Log'!L:L,"*Vignette [8] Birth Spacing/ Family Planning :  FP Counselling*"),
    COUNTIFS('QA Log'!D:D,A223,'QA Log'!M:M,"Vignette",'QA Log'!Z:Z,"Rejected",'QA Log'!L:L,"*Vignette [9] Birth Spacing: Change FP method to Injectable*"),
    COUNTIFS('QA Log'!D:D,A223,'QA Log'!M:M,"Vignette",'QA Log'!Z:Z,"Rejected",'QA Log'!L:L,"*Vignette [10] Post Partum Haemorrhage - Atonic Uterus at Health Centre*")
  )
)</f>
        <v/>
      </c>
      <c r="BN223" s="107" t="str">
        <f t="shared" si="11"/>
        <v/>
      </c>
      <c r="BO223" s="103" t="str">
        <f t="shared" si="12"/>
        <v/>
      </c>
      <c r="BP223" s="102" t="str">
        <f>IF(A223="","",SUM(
COUNTIFS('QA Log'!D:D,A223,'QA Log'!M:M,"Vignette",'QA Log'!L:L,"*Exit Interview 1*"),
COUNTIFS('QA Log'!D:D,A223,'QA Log'!M:M,"Vignette",'QA Log'!L:L,"*Exit Interview 2*"),
)
)</f>
        <v/>
      </c>
      <c r="BQ223" s="102" t="str">
        <f>IF(
  A223="","",
  SUM(
    COUNTIFS('QA Log'!D:D,A223,'QA Log'!M:M,"Vignette",'QA Log'!Z:Z,"Approved",'QA Log'!L:L,"*Exit Interview 1*"),
    COUNTIFS('QA Log'!D:D,A223,'QA Log'!M:M,"Vignette",'QA Log'!Z:Z,"Approved",'QA Log'!L:L,"*Exit Interview 2*")
  )
)</f>
        <v/>
      </c>
      <c r="BR223" s="105" t="str">
        <f>IF(A223&lt;&gt;"",COUNTIFS('QA Log'!D:D,A223,'QA Log'!M:M,"Vignette",'QA Log'!L:L,"Exit Interview 1",'QA Log'!Z:Z,"Approved"),"")</f>
        <v/>
      </c>
      <c r="BS223" s="105" t="str">
        <f>IF(A223&lt;&gt;"",COUNTIFS('QA Log'!D:D,A223,'QA Log'!M:M,"Vignette",'QA Log'!L:L,"Exit Interview 2",'QA Log'!Z:Z,"Approved"),"")</f>
        <v/>
      </c>
      <c r="BT223" s="102" t="str">
        <f>IF(
  A223="","",
  SUM(
    COUNTIFS('QA Log'!D:D,A223,'QA Log'!M:M,"Vignette",'QA Log'!Z:Z,"Rejected",'QA Log'!L:L,"*Exit Interview 1*"),
    COUNTIFS('QA Log'!D:D,A223,'QA Log'!M:M,"Vignette",'QA Log'!Z:Z,"Rejected",'QA Log'!L:L,"*Exit Interview 2*")
  )
)</f>
        <v/>
      </c>
      <c r="BU223" s="107" t="str">
        <f t="shared" si="13"/>
        <v/>
      </c>
      <c r="BV223" s="102" t="str">
        <f t="shared" si="14"/>
        <v/>
      </c>
      <c r="BW223" s="102" t="str">
        <f t="shared" si="15"/>
        <v/>
      </c>
      <c r="BX223" s="102" t="str">
        <f t="shared" si="16"/>
        <v/>
      </c>
      <c r="BY223" s="102" t="str">
        <f t="shared" si="17"/>
        <v/>
      </c>
      <c r="BZ223" s="107" t="str">
        <f t="shared" si="18"/>
        <v/>
      </c>
      <c r="CA223" s="108" t="str">
        <f t="shared" si="19"/>
        <v/>
      </c>
      <c r="CB223" s="108" t="str">
        <f t="shared" si="20"/>
        <v/>
      </c>
      <c r="CC223" s="109" t="str">
        <f t="shared" si="21"/>
        <v/>
      </c>
      <c r="CD223" s="108" t="str">
        <f t="shared" si="22"/>
        <v/>
      </c>
      <c r="CE223" s="108" t="str">
        <f t="shared" si="23"/>
        <v/>
      </c>
      <c r="CF223" s="109" t="str">
        <f t="shared" si="24"/>
        <v/>
      </c>
      <c r="CG223" s="110" t="str">
        <f t="shared" si="25"/>
        <v/>
      </c>
      <c r="CH223" s="111"/>
    </row>
    <row r="224" spans="1:86" ht="12.75">
      <c r="A224" s="101"/>
      <c r="B224" s="102" t="e">
        <f t="array" aca="1" ref="B224" ca="1">_xludf.XLOOKUP(A224,'QA Log'!D:D,'QA Log'!E:E,"")</f>
        <v>#NAME?</v>
      </c>
      <c r="C224" s="102" t="e">
        <f t="array" aca="1" ref="C224" ca="1">_xludf.XLOOKUP(A224,'QA Log'!D:D,'QA Log'!F:F,"")</f>
        <v>#NAME?</v>
      </c>
      <c r="D224" s="102" t="e">
        <f t="array" aca="1" ref="D224" ca="1">_xludf.XLOOKUP(A224,'QA Log'!D:D,'QA Log'!H:H,"")</f>
        <v>#NAME?</v>
      </c>
      <c r="E224" s="102" t="e">
        <f t="array" aca="1" ref="E224" ca="1">_xludf.XLOOKUP(A224,'QA Log'!D:D,'QA Log'!G:G,"")</f>
        <v>#NAME?</v>
      </c>
      <c r="F224" s="103"/>
      <c r="G224" s="104"/>
      <c r="H224" s="104"/>
      <c r="I224" s="103" t="str">
        <f t="shared" si="0"/>
        <v/>
      </c>
      <c r="J224" s="102" t="str">
        <f>IF(A224="","",SUM(
COUNTIFS('QA Log'!D:D,A224,'QA Log'!M:M,"QQC",'QA Log'!L:L,"*1. General Management*"),
COUNTIFS('QA Log'!D:D,A224,'QA Log'!M:M,"QQC",'QA Log'!L:L,"*3. Curative Consultation (OPD)*"),
COUNTIFS('QA Log'!D:D,A224,'QA Log'!M:M,"QQC",'QA Log'!L:L,"*5. Laboratory*"),
COUNTIFS('QA Log'!D:D,A224,'QA Log'!M:M,"QQC",'QA Log'!L:L,"*6. Essential Medicine Management*"),
COUNTIFS('QA Log'!D:D,A224,'QA Log'!M:M,"QQC",'QA Log'!L:L,"*7. Tracer Medicine*"),
COUNTIFS('QA Log'!D:D,A224,'QA Log'!M:M,"QQC",'QA Log'!L:L,"*11. Additional Questions*")))</f>
        <v/>
      </c>
      <c r="K224" s="102" t="str">
        <f>IF(A224="","",SUM(
COUNTIFS('QA Log'!D:D,A224,'QA Log'!M:M,"QQC",'QA Log'!Z:Z,"Approved",'QA Log'!L:L,"*1. General Management*"),
COUNTIFS('QA Log'!D:D,A224,'QA Log'!M:M,"QQC",'QA Log'!Z:Z,"Approved",'QA Log'!L:L,"*3. Curative Consultation (OPD)*"),
COUNTIFS('QA Log'!D:D,A224,'QA Log'!M:M,"QQC",'QA Log'!Z:Z,"Approved",'QA Log'!L:L,"*5. Laboratory*"),
COUNTIFS('QA Log'!D:D,A224,'QA Log'!M:M,"QQC",'QA Log'!Z:Z,"Approved",'QA Log'!L:L,"*6. Essential Medicine Management*"),
COUNTIFS('QA Log'!D:D,A224,'QA Log'!M:M,"QQC",'QA Log'!Z:Z,"Approved",'QA Log'!L:L,"*7. Tracer Medicine*"),
COUNTIFS('QA Log'!D:D,A224,'QA Log'!M:M,"QQC",'QA Log'!Z:Z,"Approved",'QA Log'!L:L,"*11. Additional Questions*")))</f>
        <v/>
      </c>
      <c r="L224" s="105" t="str">
        <f>IF(A224&lt;&gt;"",COUNTIFS('QA Log'!D:D,A224,'QA Log'!M:M,"QQC",'QA Log'!L:L,"1. General Management",'QA Log'!Z:Z,"Approved"),"")</f>
        <v/>
      </c>
      <c r="M224" s="105" t="str">
        <f>IF(A224&lt;&gt;"",COUNTIFS('QA Log'!D:D,A224,'QA Log'!M:M,"QQC",'QA Log'!L:L,"3. Curative Consultation (OPD)",'QA Log'!Z:Z,"Approved"),"")</f>
        <v/>
      </c>
      <c r="N224" s="105" t="str">
        <f>IF(A224&lt;&gt;"",COUNTIFS('QA Log'!D:D,A224,'QA Log'!M:M,"QQC",'QA Log'!L:L,"5. Laboratory",'QA Log'!Z:Z,"Approved"),"")</f>
        <v/>
      </c>
      <c r="O224" s="105" t="str">
        <f>IF(A224&lt;&gt;"",COUNTIFS('QA Log'!D:D,A224,'QA Log'!M:M,"QQC",'QA Log'!L:L,"6. Essential Medicine Management",'QA Log'!Z:Z,"Approved"),"")</f>
        <v/>
      </c>
      <c r="P224" s="105" t="str">
        <f>IF(A224&lt;&gt;"",COUNTIFS('QA Log'!D:D,A224,'QA Log'!M:M,"QQC",'QA Log'!L:L,"7. Tracer Medicine",'QA Log'!Z:Z,"Approved"),"")</f>
        <v/>
      </c>
      <c r="Q224" s="105" t="str">
        <f>IF(A224&lt;&gt;"",COUNTIFS('QA Log'!D:D,A224,'QA Log'!M:M,"QQC",'QA Log'!L:L,"11. Additional Questions",'QA Log'!Z:Z,"Approved"),"")</f>
        <v/>
      </c>
      <c r="R224" s="102" t="str">
        <f>IF(A224="","",SUM(
COUNTIFS('QA Log'!D:D,A224,'QA Log'!M:M,"QQC",'QA Log'!Z:Z,"Rejected",'QA Log'!L:L,"*8. Maternity*"),
COUNTIFS('QA Log'!D:D,A224,'QA Log'!M:M,"QQC",'QA Log'!Z:Z,"Rejected",'QA Log'!L:L,"*EPI*"),
COUNTIFS('QA Log'!D:D,A224,'QA Log'!M:M,"QQC",'QA Log'!Z:Z,"Rejected",'QA Log'!L:L,"*10. Antenatal Care (ANC)*"),
COUNTIFS('QA Log'!D:D,A224,'QA Log'!M:M,"QQC",'QA Log'!Z:Z,"Rejected",'QA Log'!L:L,"*2. Hygiene and Sterilization*"),
COUNTIFS('QA Log'!D:D,A224,'QA Log'!M:M,"QQC",'QA Log'!Z:Z,"Rejected",'QA Log'!L:L,"*Family Planning*")))</f>
        <v/>
      </c>
      <c r="S224" s="106" t="str">
        <f t="shared" si="1"/>
        <v/>
      </c>
      <c r="T224" s="102" t="str">
        <f t="shared" si="2"/>
        <v/>
      </c>
      <c r="U224" s="102" t="str">
        <f>IF(A224="","",
SUM(
COUNTIFS('QA Log'!D:D,A224,'QA Log'!M:M,"QQC",'QA Log'!L:L,"*8. Maternity*"),
COUNTIFS('QA Log'!D:D,A224,'QA Log'!M:M,"QQC",'QA Log'!L:L,"*9. EPI and Pre-school Consultation*"),
COUNTIFS('QA Log'!D:D,A224,'QA Log'!M:M,"QQC",'QA Log'!L:L,"*10. Antenatal Care (ANC)*"),
COUNTIFS('QA Log'!D:D,A224,'QA Log'!M:M,"QQC",'QA Log'!L:L,"*2. Hygiene and Sterilization*"),
COUNTIFS('QA Log'!D:D,A224,'QA Log'!M:M,"QQC",'QA Log'!L:L,"*4. Family Planning*")
))</f>
        <v/>
      </c>
      <c r="V224" s="102" t="str">
        <f>IF(A224="","",
SUM(
COUNTIFS('QA Log'!D:D,A224,'QA Log'!M:M,"QQC",'QA Log'!Z:Z,"Approved",'QA Log'!L:L,"*8. Maternity*"),
COUNTIFS('QA Log'!D:D,A224,'QA Log'!M:M,"QQC",'QA Log'!Z:Z,"Approved",'QA Log'!L:L,"*9. EPI and Pre-school Consultation*"),
COUNTIFS('QA Log'!D:D,A224,'QA Log'!M:M,"QQC",'QA Log'!Z:Z,"Approved",'QA Log'!L:L,"*10. Antenatal Care (ANC)*"),
COUNTIFS('QA Log'!D:D,A224,'QA Log'!M:M,"QQC",'QA Log'!Z:Z,"Approved",'QA Log'!L:L,"*2. Hygiene and Sterilization*"),
COUNTIFS('QA Log'!D:D,A224,'QA Log'!M:M,"QQC",'QA Log'!Z:Z,"Approved",'QA Log'!L:L,"*4. Family Planning*")
))</f>
        <v/>
      </c>
      <c r="W224" s="105" t="str">
        <f>IF(A224&lt;&gt;"",COUNTIFS('QA Log'!D:D,A224,'QA Log'!M:M,"QQC",'QA Log'!L:L,"8. Maternity",'QA Log'!Z:Z,"Approved"),"")</f>
        <v/>
      </c>
      <c r="X224" s="105" t="str">
        <f>IF(A224&lt;&gt;"",COUNTIFS('QA Log'!D:D,A224,'QA Log'!M:M,"QQC",'QA Log'!L:L,"9. EPI and Pre-school Consultation",'QA Log'!Z:Z,"Approved"),"")</f>
        <v/>
      </c>
      <c r="Y224" s="105" t="str">
        <f>IF(A224&lt;&gt;"",COUNTIFS('QA Log'!D:D,A224,'QA Log'!M:M,"QQC",'QA Log'!L:L,"10. Antenatal Care (ANC)",'QA Log'!Z:Z,"Approved"),"")</f>
        <v/>
      </c>
      <c r="Z224" s="105" t="str">
        <f>IF(A224&lt;&gt;"",COUNTIFS('QA Log'!D:D,A224,'QA Log'!M:M,"QQC",'QA Log'!L:L,"2. Hygiene and Sterilization",'QA Log'!Z:Z,"Approved"),"")</f>
        <v/>
      </c>
      <c r="AA224" s="105" t="str">
        <f>IF(A224&lt;&gt;"",COUNTIFS('QA Log'!D:D,A224,'QA Log'!M:M,"QQC",'QA Log'!L:L,"4. Family Planning",'QA Log'!Z:Z,"Approved"),"")</f>
        <v/>
      </c>
      <c r="AB224" s="102" t="str">
        <f>IF(A224="","",
SUM(
COUNTIFS('QA Log'!D:D,A224,'QA Log'!M:M,"QQC",'QA Log'!Z:Z,"Rejected",'QA Log'!L:L,"*8. Maternity*"),
COUNTIFS('QA Log'!D:D,A224,'QA Log'!M:M,"QQC",'QA Log'!Z:Z,"Rejected",'QA Log'!L:L,"*9. EPI and Pre-school Consultation*"),
COUNTIFS('QA Log'!D:D,A224,'QA Log'!M:M,"QQC",'QA Log'!Z:Z,"Rejected",'QA Log'!L:L,"*10. Antenatal Care (ANC)*"),
COUNTIFS('QA Log'!D:D,A224,'QA Log'!M:M,"QQC",'QA Log'!Z:Z,"Rejected",'QA Log'!L:L,"*2. Hygiene and Sterilization*"),
COUNTIFS('QA Log'!D:D,A224,'QA Log'!M:M,"QQC",'QA Log'!Z:Z,"Rejected",'QA Log'!L:L,"*4. Family Planning*")
))</f>
        <v/>
      </c>
      <c r="AC224" s="102" t="str">
        <f t="shared" si="3"/>
        <v/>
      </c>
      <c r="AD224" s="103" t="str">
        <f t="shared" si="4"/>
        <v/>
      </c>
      <c r="AE224" s="102" t="str">
        <f>IF(A224="","",
SUM(
COUNTIFS('QA Log'!D:D,A224,'QA Log'!M:M,"Data Verification",'QA Log'!L:L,"*Medicine (section 2)*"),
COUNTIFS('QA Log'!D:D,A224,'QA Log'!M:M,"Data Verification",'QA Log'!L:L,"*Lab Testing Availability*"),
COUNTIFS('QA Log'!D:D,A224,'QA Log'!M:M,"Data Verification",'QA Log'!L:L,"*Other than P4P (section 6)*"),
COUNTIFS('QA Log'!D:D,A224,'QA Log'!M:M,"Data Verification",'QA Log'!L:L,"*Hospital Governance*")
))</f>
        <v/>
      </c>
      <c r="AF224" s="102" t="str">
        <f>IF(A224="","",
SUM(
COUNTIFS('QA Log'!D:D,A224,'QA Log'!M:M,"Data Verification",'QA Log'!Z:Z,"Approved",'QA Log'!L:L,"*Medicine (section 2)*"),
COUNTIFS('QA Log'!D:D,A224,'QA Log'!M:M,"Data Verification",'QA Log'!Z:Z,"Approved",'QA Log'!L:L,"*Lab Testing Availability*"),
COUNTIFS('QA Log'!D:D,A224,'QA Log'!M:M,"Data Verification",'QA Log'!Z:Z,"Approved",'QA Log'!L:L,"*Other than P4P (section 6)*"),
COUNTIFS('QA Log'!D:D,A224,'QA Log'!M:M,"Data Verification",'QA Log'!Z:Z,"Approved",'QA Log'!L:L,"*Hospital Governance*")
))</f>
        <v/>
      </c>
      <c r="AG224" s="105" t="str">
        <f>IF(A224&lt;&gt;"",COUNTIFS('QA Log'!D:D,A224,'QA Log'!M:M,"Data Verification",'QA Log'!L:L,"Medicine (section 2)",'QA Log'!Z:Z,"Approved"),"")</f>
        <v/>
      </c>
      <c r="AH224" s="105" t="str">
        <f>IF(A224&lt;&gt;"",COUNTIFS('QA Log'!D:D,A224,'QA Log'!M:M,"Data Verification",'QA Log'!L:L,"Lab Testing Availability",'QA Log'!Z:Z,"Approved"),"")</f>
        <v/>
      </c>
      <c r="AI224" s="105" t="str">
        <f>IF(A224&lt;&gt;"",COUNTIFS('QA Log'!D:D,A224,'QA Log'!M:M,"Data Verification",'QA Log'!L:L,"Other than P4P (section 6)",'QA Log'!Z:Z,"Approved"),"")</f>
        <v/>
      </c>
      <c r="AJ224" s="105" t="str">
        <f>IF(A224&lt;&gt;"",COUNTIFS('QA Log'!D:D,A224,'QA Log'!M:M,"Data Verification",'QA Log'!L:L,"Hospital Governance",'QA Log'!Z:Z,"Approved"),"")</f>
        <v/>
      </c>
      <c r="AK224" s="102" t="str">
        <f>IF(A224="","",
SUM(
COUNTIFS('QA Log'!D:D,A224,'QA Log'!M:M,"Data Verification",'QA Log'!Z:Z,"Rejected",'QA Log'!L:L,"*Medicine (section 2)*"),
COUNTIFS('QA Log'!D:D,A224,'QA Log'!M:M,"Data Verification",'QA Log'!Z:Z,"Rejected",'QA Log'!L:L,"*Lab Testing Availability*"),
COUNTIFS('QA Log'!D:D,A224,'QA Log'!M:M,"Data Verification",'QA Log'!Z:Z,"Rejected",'QA Log'!L:L,"*Other than P4P (section 6)*"),
COUNTIFS('QA Log'!D:D,A224,'QA Log'!M:M,"Data Verification",'QA Log'!Z:Z,"Rejected",'QA Log'!L:L,"*Hospital Governance*")
))</f>
        <v/>
      </c>
      <c r="AL224" s="106" t="str">
        <f t="shared" si="5"/>
        <v/>
      </c>
      <c r="AM224" s="102" t="str">
        <f t="shared" si="6"/>
        <v/>
      </c>
      <c r="AN224" s="102" t="str">
        <f>IF(A224="","",
SUM(
COUNTIFS('QA Log'!D:D,A224,'QA Log'!M:M,"Data Verification",'QA Log'!L:L,"*Personnel (section 1)*"),
COUNTIFS('QA Log'!D:D,A224,'QA Log'!M:M,"Data Verification",'QA Log'!L:L,"*Consumable (section 3)*"),
COUNTIFS('QA Log'!D:D,A224,'QA Log'!M:M,"Data Verification",'QA Log'!L:L,"*Equipments (section 4)*")
))</f>
        <v/>
      </c>
      <c r="AO224" s="102" t="str">
        <f>IF(A224="","",
SUM(
COUNTIFS('QA Log'!D:D,A224,'QA Log'!M:M,"Data Verification",'QA Log'!Z:Z,"Approved",'QA Log'!L:L,"*Personnel (section 1)*"),
COUNTIFS('QA Log'!D:D,A224,'QA Log'!M:M,"Data Verification",'QA Log'!Z:Z,"Approved",'QA Log'!L:L,"*Consumable (section 3)*"),
COUNTIFS('QA Log'!D:D,A224,'QA Log'!M:M,"Data Verification",'QA Log'!Z:Z,"Approved",'QA Log'!L:L,"*Equipments (section 4)*")
))</f>
        <v/>
      </c>
      <c r="AP224" s="105" t="str">
        <f>IF(A224&lt;&gt;"",COUNTIFS('QA Log'!D:D,A224,'QA Log'!M:M,"Data Verification",'QA Log'!L:L,"Personnel (section 1)",'QA Log'!Z:Z,"Approved"),"")</f>
        <v/>
      </c>
      <c r="AQ224" s="105" t="str">
        <f>IF(A224&lt;&gt;"",COUNTIFS('QA Log'!D:D,A224,'QA Log'!M:M,"Data Verification",'QA Log'!L:L,"Consumable (section 3)",'QA Log'!Z:Z,"Approved"),"")</f>
        <v/>
      </c>
      <c r="AR224" s="105" t="str">
        <f>IF(A224&lt;&gt;"",COUNTIFS('QA Log'!D:D,A224,'QA Log'!M:M,"Data Verification",'QA Log'!L:L,"Equipments (section 4)",'QA Log'!Z:Z,"Approved"),"")</f>
        <v/>
      </c>
      <c r="AS224" s="102" t="str">
        <f>IF(A224="","",
SUM(
COUNTIFS('QA Log'!D:D,A224,'QA Log'!M:M,"Data Verification",'QA Log'!Z:Z,"Rejected",'QA Log'!L:L,"*Personnel (section 1)*"),
COUNTIFS('QA Log'!D:D,A224,'QA Log'!M:M,"Data Verification",'QA Log'!Z:Z,"Rejected",'QA Log'!L:L,"*Consumable (section 3)*"),
COUNTIFS('QA Log'!D:D,A224,'QA Log'!M:M,"Data Verification",'QA Log'!Z:Z,"Rejected",'QA Log'!L:L,"*Equipments (section 4)*")
))</f>
        <v/>
      </c>
      <c r="AT224" s="102" t="str">
        <f t="shared" si="7"/>
        <v/>
      </c>
      <c r="AU224" s="103" t="str">
        <f t="shared" si="8"/>
        <v/>
      </c>
      <c r="AV224" s="102" t="str">
        <f>IF(A224="","",SUM(
COUNTIFS('QA Log'!D:D,A224,'QA Log'!M:M,"Vignette",'QA Log'!L:L,"*Vignette [1] Respiratory Infection: Pneumonia*"),
COUNTIFS('QA Log'!D:D,A224,'QA Log'!M:M,"Vignette",'QA Log'!L:L,"*Vignette [2]: Diarrhea with Cat B dehydration*"),
COUNTIFS('QA Log'!D:D,A224,'QA Log'!M:M,"Vignette",'QA Log'!L:L,"*Vignette [3] Growth Monitoring and Promotion*"),
COUNTIFS('QA Log'!D:D,A224,'QA Log'!M:M,"Vignette",'QA Log'!L:L,"*Vignette [4]: The management of presumptive TB patient*")
)
)</f>
        <v/>
      </c>
      <c r="AW224" s="102" t="str">
        <f>IF(
  A224="","",
  SUM(
    COUNTIFS('QA Log'!D:D,A224,'QA Log'!M:M,"Vignette",'QA Log'!Z:Z,"Approved",'QA Log'!L:L,"*Vignette [1] Respiratory Infection: Pneumonia*"),
    COUNTIFS('QA Log'!D:D,A224,'QA Log'!M:M,"Vignette",'QA Log'!Z:Z,"Approved",'QA Log'!L:L,"*Vignette [2]: Diarrhea with Cat B dehydration*"),
    COUNTIFS('QA Log'!D:D,A224,'QA Log'!M:M,"Vignette",'QA Log'!Z:Z,"Approved",'QA Log'!L:L,"*Vignette [3] Growth Monitoring and Promotion*"),
    COUNTIFS('QA Log'!D:D,A224,'QA Log'!M:M,"Vignette",'QA Log'!Z:Z,"Approved",'QA Log'!L:L,"*Vignette [4]: The management of presumptive TB patient*")
  )
)</f>
        <v/>
      </c>
      <c r="AX224" s="105" t="str">
        <f>IF(A224&lt;&gt;"",COUNTIFS('QA Log'!D:D,A224,'QA Log'!M:M,"Vignette",'QA Log'!L:L,"Vignette [1] Respiratory Infection: Pneumonia",'QA Log'!Z:Z,"Approved"),"")</f>
        <v/>
      </c>
      <c r="AY224" s="105" t="str">
        <f>IF(A224&lt;&gt;"",COUNTIFS('QA Log'!D:D,A224,'QA Log'!M:M,"Vignette",'QA Log'!L:L,"Vignette [2]: Diarrhea with Cat B dehydration",'QA Log'!Z:Z,"Approved"),"")</f>
        <v/>
      </c>
      <c r="AZ224" s="105" t="str">
        <f>IF(A224&lt;&gt;"",COUNTIFS('QA Log'!D:D,A224,'QA Log'!M:M,"Vignette",'QA Log'!L:L,"Vignette [3] Growth Monitoring and Promotion",'QA Log'!Z:Z,"Approved"),"")</f>
        <v/>
      </c>
      <c r="BA224" s="105" t="str">
        <f>IF(A224&lt;&gt;"",COUNTIFS('QA Log'!D:D,A224,'QA Log'!M:M,"Vignette",'QA Log'!L:L,"Vignette [4]: The management of presumptive TB patient",'QA Log'!Z:Z,"Approved"),"")</f>
        <v/>
      </c>
      <c r="BB224" s="102" t="str">
        <f>IF(A224="","",
  SUM(
    COUNTIFS('QA Log'!D:D,A224,'QA Log'!M:M,"Vignette",'QA Log'!Z:Z,"Rejected",'QA Log'!L:L,"*Vignette [1] Respiratory Infection: Pneumonia*"),
    COUNTIFS('QA Log'!D:D,A224,'QA Log'!M:M,"Vignette",'QA Log'!Z:Z,"Rejected",'QA Log'!L:L,"*Vignette [2]: Diarrhea with Cat B dehydration*"),
    COUNTIFS('QA Log'!D:D,A224,'QA Log'!M:M,"Vignette",'QA Log'!Z:Z,"Rejected",'QA Log'!L:L,"*Vignette [3] Growth Monitoring and Promotion*"),
    COUNTIFS('QA Log'!D:D,A224,'QA Log'!M:M,"Vignette",'QA Log'!Z:Z,"Rejected",'QA Log'!L:L,"*Vignette [4]: The management of presumptive TB patient*")
  )
)</f>
        <v/>
      </c>
      <c r="BC224" s="107" t="str">
        <f t="shared" si="9"/>
        <v/>
      </c>
      <c r="BD224" s="103" t="str">
        <f t="shared" si="10"/>
        <v/>
      </c>
      <c r="BE224" s="102" t="str">
        <f>IF(A224="","",SUM(
COUNTIFS('QA Log'!D:D,A224,'QA Log'!M:M,"Vignette",'QA Log'!L:L,"*Vignette [5] Labor*"),
COUNTIFS('QA Log'!D:D,A224,'QA Log'!M:M,"Vignette",'QA Log'!L:L,"*Vignette [6] PNC pre Discharge*"),
COUNTIFS('QA Log'!D:D,A224,'QA Log'!M:M,"Vignette",'QA Log'!L:L,"*Vignette [7] First ANC Visit*"),
COUNTIFS('QA Log'!D:D,A224,'QA Log'!M:M,"Vignette",'QA Log'!L:L,"*Vignette [8] Birth Spacing/ Family Planning :  FP Counselling*"),
COUNTIFS('QA Log'!D:D,A224,'QA Log'!M:M,"Vignette",'QA Log'!L:L,"*Vignette [9] Birth Spacing: Change FP method to Injectable*"),
COUNTIFS('QA Log'!D:D,A224,'QA Log'!M:M,"Vignette",'QA Log'!L:L,"*Vignette [10] Post Partum Haemorrhage - Atonic Uterus at Health Centre*"),
)
)</f>
        <v/>
      </c>
      <c r="BF224" s="102" t="str">
        <f>IF(A224="","",
  SUM(
    COUNTIFS('QA Log'!D:D,A224,'QA Log'!M:M,"Vignette",'QA Log'!Z:Z,"Approved",'QA Log'!L:L,"*Vignette [5] Labor*"),
    COUNTIFS('QA Log'!D:D,A224,'QA Log'!M:M,"Vignette",'QA Log'!Z:Z,"Approved",'QA Log'!L:L,"*Vignette [6] PNC pre Discharge*"),
    COUNTIFS('QA Log'!D:D,A224,'QA Log'!M:M,"Vignette",'QA Log'!Z:Z,"Approved",'QA Log'!L:L,"*Vignette [7] First ANC Visit*"),
    COUNTIFS('QA Log'!D:D,A224,'QA Log'!M:M,"Vignette",'QA Log'!Z:Z,"Approved",'QA Log'!L:L,"*Vignette [8] Birth Spacing/ Family Planning :  FP Counselling*"),
    COUNTIFS('QA Log'!D:D,A224,'QA Log'!M:M,"Vignette",'QA Log'!Z:Z,"Approved",'QA Log'!L:L,"*Vignette [9] Birth Spacing: Change FP method to Injectable*"),
    COUNTIFS('QA Log'!D:D,A224,'QA Log'!M:M,"Vignette",'QA Log'!Z:Z,"Approved",'QA Log'!L:L,"*Vignette [10] Post Partum Haemorrhage - Atonic Uterus at Health Centre*")
  )
)</f>
        <v/>
      </c>
      <c r="BG224" s="105" t="str">
        <f>IF(A224&lt;&gt;"",COUNTIFS('QA Log'!D:D,A224,'QA Log'!M:M,"Vignette",'QA Log'!L:L,"Vignette [5] Labor",'QA Log'!Z:Z,"Approved"),"")</f>
        <v/>
      </c>
      <c r="BH224" s="105" t="str">
        <f>IF(A224&lt;&gt;"",COUNTIFS('QA Log'!D:D,A224,'QA Log'!M:M,"Vignette",'QA Log'!L:L,"Vignette [6] PNC pre Discharge",'QA Log'!Z:Z,"Approved"),"")</f>
        <v/>
      </c>
      <c r="BI224" s="105" t="str">
        <f>IF(A224&lt;&gt;"",COUNTIFS('QA Log'!D:D,A224,'QA Log'!M:M,"Vignette",'QA Log'!L:L,"Vignette [7] First ANC Visit",'QA Log'!Z:Z,"Approved"),"")</f>
        <v/>
      </c>
      <c r="BJ224" s="105" t="str">
        <f>IF(A224&lt;&gt;"",COUNTIFS('QA Log'!D:D,A224,'QA Log'!M:M,"Vignette",'QA Log'!L:L,"Vignette [8] Birth Spacing/ Family Planning :  FP Counselling",'QA Log'!Z:Z,"Approved"),"")</f>
        <v/>
      </c>
      <c r="BK224" s="105" t="str">
        <f>IF(A224&lt;&gt;"",COUNTIFS('QA Log'!D:D,A224,'QA Log'!M:M,"Vignette",'QA Log'!L:L,"Vignette [9] Birth Spacing: Change FP method to Injectable",'QA Log'!Z:Z,"Approved"),"")</f>
        <v/>
      </c>
      <c r="BL224" s="105" t="str">
        <f>IF(A224&lt;&gt;"",COUNTIFS('QA Log'!D:D,A224,'QA Log'!M:M,"Vignette",'QA Log'!L:L,"Vignette [10] Post Partum Haemorrhage - Atonic Uterus at Health Centre",'QA Log'!Z:Z,"Approved"),"")</f>
        <v/>
      </c>
      <c r="BM224" s="102" t="str">
        <f>IF(A224="","",SUM(
    COUNTIFS('QA Log'!D:D,A224,'QA Log'!M:M,"Vignette",'QA Log'!Z:Z,"Rejected",'QA Log'!L:L,"*Vignette [5] Labor*"),
    COUNTIFS('QA Log'!D:D,A224,'QA Log'!M:M,"Vignette",'QA Log'!Z:Z,"Rejected",'QA Log'!L:L,"*Vignette [6] PNC pre Discharge*"),
    COUNTIFS('QA Log'!D:D,A224,'QA Log'!M:M,"Vignette",'QA Log'!Z:Z,"Rejected",'QA Log'!L:L,"*Vignette [7] First ANC Visit*"),
    COUNTIFS('QA Log'!D:D,A224,'QA Log'!M:M,"Vignette",'QA Log'!Z:Z,"Rejected",'QA Log'!L:L,"*Vignette [8] Birth Spacing/ Family Planning :  FP Counselling*"),
    COUNTIFS('QA Log'!D:D,A224,'QA Log'!M:M,"Vignette",'QA Log'!Z:Z,"Rejected",'QA Log'!L:L,"*Vignette [9] Birth Spacing: Change FP method to Injectable*"),
    COUNTIFS('QA Log'!D:D,A224,'QA Log'!M:M,"Vignette",'QA Log'!Z:Z,"Rejected",'QA Log'!L:L,"*Vignette [10] Post Partum Haemorrhage - Atonic Uterus at Health Centre*")
  )
)</f>
        <v/>
      </c>
      <c r="BN224" s="107" t="str">
        <f t="shared" si="11"/>
        <v/>
      </c>
      <c r="BO224" s="103" t="str">
        <f t="shared" si="12"/>
        <v/>
      </c>
      <c r="BP224" s="102" t="str">
        <f>IF(A224="","",SUM(
COUNTIFS('QA Log'!D:D,A224,'QA Log'!M:M,"Vignette",'QA Log'!L:L,"*Exit Interview 1*"),
COUNTIFS('QA Log'!D:D,A224,'QA Log'!M:M,"Vignette",'QA Log'!L:L,"*Exit Interview 2*"),
)
)</f>
        <v/>
      </c>
      <c r="BQ224" s="102" t="str">
        <f>IF(
  A224="","",
  SUM(
    COUNTIFS('QA Log'!D:D,A224,'QA Log'!M:M,"Vignette",'QA Log'!Z:Z,"Approved",'QA Log'!L:L,"*Exit Interview 1*"),
    COUNTIFS('QA Log'!D:D,A224,'QA Log'!M:M,"Vignette",'QA Log'!Z:Z,"Approved",'QA Log'!L:L,"*Exit Interview 2*")
  )
)</f>
        <v/>
      </c>
      <c r="BR224" s="105" t="str">
        <f>IF(A224&lt;&gt;"",COUNTIFS('QA Log'!D:D,A224,'QA Log'!M:M,"Vignette",'QA Log'!L:L,"Exit Interview 1",'QA Log'!Z:Z,"Approved"),"")</f>
        <v/>
      </c>
      <c r="BS224" s="105" t="str">
        <f>IF(A224&lt;&gt;"",COUNTIFS('QA Log'!D:D,A224,'QA Log'!M:M,"Vignette",'QA Log'!L:L,"Exit Interview 2",'QA Log'!Z:Z,"Approved"),"")</f>
        <v/>
      </c>
      <c r="BT224" s="102" t="str">
        <f>IF(
  A224="","",
  SUM(
    COUNTIFS('QA Log'!D:D,A224,'QA Log'!M:M,"Vignette",'QA Log'!Z:Z,"Rejected",'QA Log'!L:L,"*Exit Interview 1*"),
    COUNTIFS('QA Log'!D:D,A224,'QA Log'!M:M,"Vignette",'QA Log'!Z:Z,"Rejected",'QA Log'!L:L,"*Exit Interview 2*")
  )
)</f>
        <v/>
      </c>
      <c r="BU224" s="107" t="str">
        <f t="shared" si="13"/>
        <v/>
      </c>
      <c r="BV224" s="102" t="str">
        <f t="shared" si="14"/>
        <v/>
      </c>
      <c r="BW224" s="102" t="str">
        <f t="shared" si="15"/>
        <v/>
      </c>
      <c r="BX224" s="102" t="str">
        <f t="shared" si="16"/>
        <v/>
      </c>
      <c r="BY224" s="102" t="str">
        <f t="shared" si="17"/>
        <v/>
      </c>
      <c r="BZ224" s="107" t="str">
        <f t="shared" si="18"/>
        <v/>
      </c>
      <c r="CA224" s="108" t="str">
        <f t="shared" si="19"/>
        <v/>
      </c>
      <c r="CB224" s="108" t="str">
        <f t="shared" si="20"/>
        <v/>
      </c>
      <c r="CC224" s="109" t="str">
        <f t="shared" si="21"/>
        <v/>
      </c>
      <c r="CD224" s="108" t="str">
        <f t="shared" si="22"/>
        <v/>
      </c>
      <c r="CE224" s="108" t="str">
        <f t="shared" si="23"/>
        <v/>
      </c>
      <c r="CF224" s="109" t="str">
        <f t="shared" si="24"/>
        <v/>
      </c>
      <c r="CG224" s="110" t="str">
        <f t="shared" si="25"/>
        <v/>
      </c>
      <c r="CH224" s="111"/>
    </row>
    <row r="225" spans="1:86" ht="12.75">
      <c r="A225" s="101"/>
      <c r="B225" s="102" t="e">
        <f t="array" aca="1" ref="B225" ca="1">_xludf.XLOOKUP(A225,'QA Log'!D:D,'QA Log'!E:E,"")</f>
        <v>#NAME?</v>
      </c>
      <c r="C225" s="102" t="e">
        <f t="array" aca="1" ref="C225" ca="1">_xludf.XLOOKUP(A225,'QA Log'!D:D,'QA Log'!F:F,"")</f>
        <v>#NAME?</v>
      </c>
      <c r="D225" s="102" t="e">
        <f t="array" aca="1" ref="D225" ca="1">_xludf.XLOOKUP(A225,'QA Log'!D:D,'QA Log'!H:H,"")</f>
        <v>#NAME?</v>
      </c>
      <c r="E225" s="102" t="e">
        <f t="array" aca="1" ref="E225" ca="1">_xludf.XLOOKUP(A225,'QA Log'!D:D,'QA Log'!G:G,"")</f>
        <v>#NAME?</v>
      </c>
      <c r="F225" s="103"/>
      <c r="G225" s="104"/>
      <c r="H225" s="104"/>
      <c r="I225" s="103" t="str">
        <f t="shared" si="0"/>
        <v/>
      </c>
      <c r="J225" s="102" t="str">
        <f>IF(A225="","",SUM(
COUNTIFS('QA Log'!D:D,A225,'QA Log'!M:M,"QQC",'QA Log'!L:L,"*1. General Management*"),
COUNTIFS('QA Log'!D:D,A225,'QA Log'!M:M,"QQC",'QA Log'!L:L,"*3. Curative Consultation (OPD)*"),
COUNTIFS('QA Log'!D:D,A225,'QA Log'!M:M,"QQC",'QA Log'!L:L,"*5. Laboratory*"),
COUNTIFS('QA Log'!D:D,A225,'QA Log'!M:M,"QQC",'QA Log'!L:L,"*6. Essential Medicine Management*"),
COUNTIFS('QA Log'!D:D,A225,'QA Log'!M:M,"QQC",'QA Log'!L:L,"*7. Tracer Medicine*"),
COUNTIFS('QA Log'!D:D,A225,'QA Log'!M:M,"QQC",'QA Log'!L:L,"*11. Additional Questions*")))</f>
        <v/>
      </c>
      <c r="K225" s="102" t="str">
        <f>IF(A225="","",SUM(
COUNTIFS('QA Log'!D:D,A225,'QA Log'!M:M,"QQC",'QA Log'!Z:Z,"Approved",'QA Log'!L:L,"*1. General Management*"),
COUNTIFS('QA Log'!D:D,A225,'QA Log'!M:M,"QQC",'QA Log'!Z:Z,"Approved",'QA Log'!L:L,"*3. Curative Consultation (OPD)*"),
COUNTIFS('QA Log'!D:D,A225,'QA Log'!M:M,"QQC",'QA Log'!Z:Z,"Approved",'QA Log'!L:L,"*5. Laboratory*"),
COUNTIFS('QA Log'!D:D,A225,'QA Log'!M:M,"QQC",'QA Log'!Z:Z,"Approved",'QA Log'!L:L,"*6. Essential Medicine Management*"),
COUNTIFS('QA Log'!D:D,A225,'QA Log'!M:M,"QQC",'QA Log'!Z:Z,"Approved",'QA Log'!L:L,"*7. Tracer Medicine*"),
COUNTIFS('QA Log'!D:D,A225,'QA Log'!M:M,"QQC",'QA Log'!Z:Z,"Approved",'QA Log'!L:L,"*11. Additional Questions*")))</f>
        <v/>
      </c>
      <c r="L225" s="105" t="str">
        <f>IF(A225&lt;&gt;"",COUNTIFS('QA Log'!D:D,A225,'QA Log'!M:M,"QQC",'QA Log'!L:L,"1. General Management",'QA Log'!Z:Z,"Approved"),"")</f>
        <v/>
      </c>
      <c r="M225" s="105" t="str">
        <f>IF(A225&lt;&gt;"",COUNTIFS('QA Log'!D:D,A225,'QA Log'!M:M,"QQC",'QA Log'!L:L,"3. Curative Consultation (OPD)",'QA Log'!Z:Z,"Approved"),"")</f>
        <v/>
      </c>
      <c r="N225" s="105" t="str">
        <f>IF(A225&lt;&gt;"",COUNTIFS('QA Log'!D:D,A225,'QA Log'!M:M,"QQC",'QA Log'!L:L,"5. Laboratory",'QA Log'!Z:Z,"Approved"),"")</f>
        <v/>
      </c>
      <c r="O225" s="105" t="str">
        <f>IF(A225&lt;&gt;"",COUNTIFS('QA Log'!D:D,A225,'QA Log'!M:M,"QQC",'QA Log'!L:L,"6. Essential Medicine Management",'QA Log'!Z:Z,"Approved"),"")</f>
        <v/>
      </c>
      <c r="P225" s="105" t="str">
        <f>IF(A225&lt;&gt;"",COUNTIFS('QA Log'!D:D,A225,'QA Log'!M:M,"QQC",'QA Log'!L:L,"7. Tracer Medicine",'QA Log'!Z:Z,"Approved"),"")</f>
        <v/>
      </c>
      <c r="Q225" s="105" t="str">
        <f>IF(A225&lt;&gt;"",COUNTIFS('QA Log'!D:D,A225,'QA Log'!M:M,"QQC",'QA Log'!L:L,"11. Additional Questions",'QA Log'!Z:Z,"Approved"),"")</f>
        <v/>
      </c>
      <c r="R225" s="102" t="str">
        <f>IF(A225="","",SUM(
COUNTIFS('QA Log'!D:D,A225,'QA Log'!M:M,"QQC",'QA Log'!Z:Z,"Rejected",'QA Log'!L:L,"*8. Maternity*"),
COUNTIFS('QA Log'!D:D,A225,'QA Log'!M:M,"QQC",'QA Log'!Z:Z,"Rejected",'QA Log'!L:L,"*EPI*"),
COUNTIFS('QA Log'!D:D,A225,'QA Log'!M:M,"QQC",'QA Log'!Z:Z,"Rejected",'QA Log'!L:L,"*10. Antenatal Care (ANC)*"),
COUNTIFS('QA Log'!D:D,A225,'QA Log'!M:M,"QQC",'QA Log'!Z:Z,"Rejected",'QA Log'!L:L,"*2. Hygiene and Sterilization*"),
COUNTIFS('QA Log'!D:D,A225,'QA Log'!M:M,"QQC",'QA Log'!Z:Z,"Rejected",'QA Log'!L:L,"*Family Planning*")))</f>
        <v/>
      </c>
      <c r="S225" s="106" t="str">
        <f t="shared" si="1"/>
        <v/>
      </c>
      <c r="T225" s="102" t="str">
        <f t="shared" si="2"/>
        <v/>
      </c>
      <c r="U225" s="102" t="str">
        <f>IF(A225="","",
SUM(
COUNTIFS('QA Log'!D:D,A225,'QA Log'!M:M,"QQC",'QA Log'!L:L,"*8. Maternity*"),
COUNTIFS('QA Log'!D:D,A225,'QA Log'!M:M,"QQC",'QA Log'!L:L,"*9. EPI and Pre-school Consultation*"),
COUNTIFS('QA Log'!D:D,A225,'QA Log'!M:M,"QQC",'QA Log'!L:L,"*10. Antenatal Care (ANC)*"),
COUNTIFS('QA Log'!D:D,A225,'QA Log'!M:M,"QQC",'QA Log'!L:L,"*2. Hygiene and Sterilization*"),
COUNTIFS('QA Log'!D:D,A225,'QA Log'!M:M,"QQC",'QA Log'!L:L,"*4. Family Planning*")
))</f>
        <v/>
      </c>
      <c r="V225" s="102" t="str">
        <f>IF(A225="","",
SUM(
COUNTIFS('QA Log'!D:D,A225,'QA Log'!M:M,"QQC",'QA Log'!Z:Z,"Approved",'QA Log'!L:L,"*8. Maternity*"),
COUNTIFS('QA Log'!D:D,A225,'QA Log'!M:M,"QQC",'QA Log'!Z:Z,"Approved",'QA Log'!L:L,"*9. EPI and Pre-school Consultation*"),
COUNTIFS('QA Log'!D:D,A225,'QA Log'!M:M,"QQC",'QA Log'!Z:Z,"Approved",'QA Log'!L:L,"*10. Antenatal Care (ANC)*"),
COUNTIFS('QA Log'!D:D,A225,'QA Log'!M:M,"QQC",'QA Log'!Z:Z,"Approved",'QA Log'!L:L,"*2. Hygiene and Sterilization*"),
COUNTIFS('QA Log'!D:D,A225,'QA Log'!M:M,"QQC",'QA Log'!Z:Z,"Approved",'QA Log'!L:L,"*4. Family Planning*")
))</f>
        <v/>
      </c>
      <c r="W225" s="105" t="str">
        <f>IF(A225&lt;&gt;"",COUNTIFS('QA Log'!D:D,A225,'QA Log'!M:M,"QQC",'QA Log'!L:L,"8. Maternity",'QA Log'!Z:Z,"Approved"),"")</f>
        <v/>
      </c>
      <c r="X225" s="105" t="str">
        <f>IF(A225&lt;&gt;"",COUNTIFS('QA Log'!D:D,A225,'QA Log'!M:M,"QQC",'QA Log'!L:L,"9. EPI and Pre-school Consultation",'QA Log'!Z:Z,"Approved"),"")</f>
        <v/>
      </c>
      <c r="Y225" s="105" t="str">
        <f>IF(A225&lt;&gt;"",COUNTIFS('QA Log'!D:D,A225,'QA Log'!M:M,"QQC",'QA Log'!L:L,"10. Antenatal Care (ANC)",'QA Log'!Z:Z,"Approved"),"")</f>
        <v/>
      </c>
      <c r="Z225" s="105" t="str">
        <f>IF(A225&lt;&gt;"",COUNTIFS('QA Log'!D:D,A225,'QA Log'!M:M,"QQC",'QA Log'!L:L,"2. Hygiene and Sterilization",'QA Log'!Z:Z,"Approved"),"")</f>
        <v/>
      </c>
      <c r="AA225" s="105" t="str">
        <f>IF(A225&lt;&gt;"",COUNTIFS('QA Log'!D:D,A225,'QA Log'!M:M,"QQC",'QA Log'!L:L,"4. Family Planning",'QA Log'!Z:Z,"Approved"),"")</f>
        <v/>
      </c>
      <c r="AB225" s="102" t="str">
        <f>IF(A225="","",
SUM(
COUNTIFS('QA Log'!D:D,A225,'QA Log'!M:M,"QQC",'QA Log'!Z:Z,"Rejected",'QA Log'!L:L,"*8. Maternity*"),
COUNTIFS('QA Log'!D:D,A225,'QA Log'!M:M,"QQC",'QA Log'!Z:Z,"Rejected",'QA Log'!L:L,"*9. EPI and Pre-school Consultation*"),
COUNTIFS('QA Log'!D:D,A225,'QA Log'!M:M,"QQC",'QA Log'!Z:Z,"Rejected",'QA Log'!L:L,"*10. Antenatal Care (ANC)*"),
COUNTIFS('QA Log'!D:D,A225,'QA Log'!M:M,"QQC",'QA Log'!Z:Z,"Rejected",'QA Log'!L:L,"*2. Hygiene and Sterilization*"),
COUNTIFS('QA Log'!D:D,A225,'QA Log'!M:M,"QQC",'QA Log'!Z:Z,"Rejected",'QA Log'!L:L,"*4. Family Planning*")
))</f>
        <v/>
      </c>
      <c r="AC225" s="102" t="str">
        <f t="shared" si="3"/>
        <v/>
      </c>
      <c r="AD225" s="103" t="str">
        <f t="shared" si="4"/>
        <v/>
      </c>
      <c r="AE225" s="102" t="str">
        <f>IF(A225="","",
SUM(
COUNTIFS('QA Log'!D:D,A225,'QA Log'!M:M,"Data Verification",'QA Log'!L:L,"*Medicine (section 2)*"),
COUNTIFS('QA Log'!D:D,A225,'QA Log'!M:M,"Data Verification",'QA Log'!L:L,"*Lab Testing Availability*"),
COUNTIFS('QA Log'!D:D,A225,'QA Log'!M:M,"Data Verification",'QA Log'!L:L,"*Other than P4P (section 6)*"),
COUNTIFS('QA Log'!D:D,A225,'QA Log'!M:M,"Data Verification",'QA Log'!L:L,"*Hospital Governance*")
))</f>
        <v/>
      </c>
      <c r="AF225" s="102" t="str">
        <f>IF(A225="","",
SUM(
COUNTIFS('QA Log'!D:D,A225,'QA Log'!M:M,"Data Verification",'QA Log'!Z:Z,"Approved",'QA Log'!L:L,"*Medicine (section 2)*"),
COUNTIFS('QA Log'!D:D,A225,'QA Log'!M:M,"Data Verification",'QA Log'!Z:Z,"Approved",'QA Log'!L:L,"*Lab Testing Availability*"),
COUNTIFS('QA Log'!D:D,A225,'QA Log'!M:M,"Data Verification",'QA Log'!Z:Z,"Approved",'QA Log'!L:L,"*Other than P4P (section 6)*"),
COUNTIFS('QA Log'!D:D,A225,'QA Log'!M:M,"Data Verification",'QA Log'!Z:Z,"Approved",'QA Log'!L:L,"*Hospital Governance*")
))</f>
        <v/>
      </c>
      <c r="AG225" s="105" t="str">
        <f>IF(A225&lt;&gt;"",COUNTIFS('QA Log'!D:D,A225,'QA Log'!M:M,"Data Verification",'QA Log'!L:L,"Medicine (section 2)",'QA Log'!Z:Z,"Approved"),"")</f>
        <v/>
      </c>
      <c r="AH225" s="105" t="str">
        <f>IF(A225&lt;&gt;"",COUNTIFS('QA Log'!D:D,A225,'QA Log'!M:M,"Data Verification",'QA Log'!L:L,"Lab Testing Availability",'QA Log'!Z:Z,"Approved"),"")</f>
        <v/>
      </c>
      <c r="AI225" s="105" t="str">
        <f>IF(A225&lt;&gt;"",COUNTIFS('QA Log'!D:D,A225,'QA Log'!M:M,"Data Verification",'QA Log'!L:L,"Other than P4P (section 6)",'QA Log'!Z:Z,"Approved"),"")</f>
        <v/>
      </c>
      <c r="AJ225" s="105" t="str">
        <f>IF(A225&lt;&gt;"",COUNTIFS('QA Log'!D:D,A225,'QA Log'!M:M,"Data Verification",'QA Log'!L:L,"Hospital Governance",'QA Log'!Z:Z,"Approved"),"")</f>
        <v/>
      </c>
      <c r="AK225" s="102" t="str">
        <f>IF(A225="","",
SUM(
COUNTIFS('QA Log'!D:D,A225,'QA Log'!M:M,"Data Verification",'QA Log'!Z:Z,"Rejected",'QA Log'!L:L,"*Medicine (section 2)*"),
COUNTIFS('QA Log'!D:D,A225,'QA Log'!M:M,"Data Verification",'QA Log'!Z:Z,"Rejected",'QA Log'!L:L,"*Lab Testing Availability*"),
COUNTIFS('QA Log'!D:D,A225,'QA Log'!M:M,"Data Verification",'QA Log'!Z:Z,"Rejected",'QA Log'!L:L,"*Other than P4P (section 6)*"),
COUNTIFS('QA Log'!D:D,A225,'QA Log'!M:M,"Data Verification",'QA Log'!Z:Z,"Rejected",'QA Log'!L:L,"*Hospital Governance*")
))</f>
        <v/>
      </c>
      <c r="AL225" s="106" t="str">
        <f t="shared" si="5"/>
        <v/>
      </c>
      <c r="AM225" s="102" t="str">
        <f t="shared" si="6"/>
        <v/>
      </c>
      <c r="AN225" s="102" t="str">
        <f>IF(A225="","",
SUM(
COUNTIFS('QA Log'!D:D,A225,'QA Log'!M:M,"Data Verification",'QA Log'!L:L,"*Personnel (section 1)*"),
COUNTIFS('QA Log'!D:D,A225,'QA Log'!M:M,"Data Verification",'QA Log'!L:L,"*Consumable (section 3)*"),
COUNTIFS('QA Log'!D:D,A225,'QA Log'!M:M,"Data Verification",'QA Log'!L:L,"*Equipments (section 4)*")
))</f>
        <v/>
      </c>
      <c r="AO225" s="102" t="str">
        <f>IF(A225="","",
SUM(
COUNTIFS('QA Log'!D:D,A225,'QA Log'!M:M,"Data Verification",'QA Log'!Z:Z,"Approved",'QA Log'!L:L,"*Personnel (section 1)*"),
COUNTIFS('QA Log'!D:D,A225,'QA Log'!M:M,"Data Verification",'QA Log'!Z:Z,"Approved",'QA Log'!L:L,"*Consumable (section 3)*"),
COUNTIFS('QA Log'!D:D,A225,'QA Log'!M:M,"Data Verification",'QA Log'!Z:Z,"Approved",'QA Log'!L:L,"*Equipments (section 4)*")
))</f>
        <v/>
      </c>
      <c r="AP225" s="105" t="str">
        <f>IF(A225&lt;&gt;"",COUNTIFS('QA Log'!D:D,A225,'QA Log'!M:M,"Data Verification",'QA Log'!L:L,"Personnel (section 1)",'QA Log'!Z:Z,"Approved"),"")</f>
        <v/>
      </c>
      <c r="AQ225" s="105" t="str">
        <f>IF(A225&lt;&gt;"",COUNTIFS('QA Log'!D:D,A225,'QA Log'!M:M,"Data Verification",'QA Log'!L:L,"Consumable (section 3)",'QA Log'!Z:Z,"Approved"),"")</f>
        <v/>
      </c>
      <c r="AR225" s="105" t="str">
        <f>IF(A225&lt;&gt;"",COUNTIFS('QA Log'!D:D,A225,'QA Log'!M:M,"Data Verification",'QA Log'!L:L,"Equipments (section 4)",'QA Log'!Z:Z,"Approved"),"")</f>
        <v/>
      </c>
      <c r="AS225" s="102" t="str">
        <f>IF(A225="","",
SUM(
COUNTIFS('QA Log'!D:D,A225,'QA Log'!M:M,"Data Verification",'QA Log'!Z:Z,"Rejected",'QA Log'!L:L,"*Personnel (section 1)*"),
COUNTIFS('QA Log'!D:D,A225,'QA Log'!M:M,"Data Verification",'QA Log'!Z:Z,"Rejected",'QA Log'!L:L,"*Consumable (section 3)*"),
COUNTIFS('QA Log'!D:D,A225,'QA Log'!M:M,"Data Verification",'QA Log'!Z:Z,"Rejected",'QA Log'!L:L,"*Equipments (section 4)*")
))</f>
        <v/>
      </c>
      <c r="AT225" s="102" t="str">
        <f t="shared" si="7"/>
        <v/>
      </c>
      <c r="AU225" s="103" t="str">
        <f t="shared" si="8"/>
        <v/>
      </c>
      <c r="AV225" s="102" t="str">
        <f>IF(A225="","",SUM(
COUNTIFS('QA Log'!D:D,A225,'QA Log'!M:M,"Vignette",'QA Log'!L:L,"*Vignette [1] Respiratory Infection: Pneumonia*"),
COUNTIFS('QA Log'!D:D,A225,'QA Log'!M:M,"Vignette",'QA Log'!L:L,"*Vignette [2]: Diarrhea with Cat B dehydration*"),
COUNTIFS('QA Log'!D:D,A225,'QA Log'!M:M,"Vignette",'QA Log'!L:L,"*Vignette [3] Growth Monitoring and Promotion*"),
COUNTIFS('QA Log'!D:D,A225,'QA Log'!M:M,"Vignette",'QA Log'!L:L,"*Vignette [4]: The management of presumptive TB patient*")
)
)</f>
        <v/>
      </c>
      <c r="AW225" s="102" t="str">
        <f>IF(
  A225="","",
  SUM(
    COUNTIFS('QA Log'!D:D,A225,'QA Log'!M:M,"Vignette",'QA Log'!Z:Z,"Approved",'QA Log'!L:L,"*Vignette [1] Respiratory Infection: Pneumonia*"),
    COUNTIFS('QA Log'!D:D,A225,'QA Log'!M:M,"Vignette",'QA Log'!Z:Z,"Approved",'QA Log'!L:L,"*Vignette [2]: Diarrhea with Cat B dehydration*"),
    COUNTIFS('QA Log'!D:D,A225,'QA Log'!M:M,"Vignette",'QA Log'!Z:Z,"Approved",'QA Log'!L:L,"*Vignette [3] Growth Monitoring and Promotion*"),
    COUNTIFS('QA Log'!D:D,A225,'QA Log'!M:M,"Vignette",'QA Log'!Z:Z,"Approved",'QA Log'!L:L,"*Vignette [4]: The management of presumptive TB patient*")
  )
)</f>
        <v/>
      </c>
      <c r="AX225" s="105" t="str">
        <f>IF(A225&lt;&gt;"",COUNTIFS('QA Log'!D:D,A225,'QA Log'!M:M,"Vignette",'QA Log'!L:L,"Vignette [1] Respiratory Infection: Pneumonia",'QA Log'!Z:Z,"Approved"),"")</f>
        <v/>
      </c>
      <c r="AY225" s="105" t="str">
        <f>IF(A225&lt;&gt;"",COUNTIFS('QA Log'!D:D,A225,'QA Log'!M:M,"Vignette",'QA Log'!L:L,"Vignette [2]: Diarrhea with Cat B dehydration",'QA Log'!Z:Z,"Approved"),"")</f>
        <v/>
      </c>
      <c r="AZ225" s="105" t="str">
        <f>IF(A225&lt;&gt;"",COUNTIFS('QA Log'!D:D,A225,'QA Log'!M:M,"Vignette",'QA Log'!L:L,"Vignette [3] Growth Monitoring and Promotion",'QA Log'!Z:Z,"Approved"),"")</f>
        <v/>
      </c>
      <c r="BA225" s="105" t="str">
        <f>IF(A225&lt;&gt;"",COUNTIFS('QA Log'!D:D,A225,'QA Log'!M:M,"Vignette",'QA Log'!L:L,"Vignette [4]: The management of presumptive TB patient",'QA Log'!Z:Z,"Approved"),"")</f>
        <v/>
      </c>
      <c r="BB225" s="102" t="str">
        <f>IF(A225="","",
  SUM(
    COUNTIFS('QA Log'!D:D,A225,'QA Log'!M:M,"Vignette",'QA Log'!Z:Z,"Rejected",'QA Log'!L:L,"*Vignette [1] Respiratory Infection: Pneumonia*"),
    COUNTIFS('QA Log'!D:D,A225,'QA Log'!M:M,"Vignette",'QA Log'!Z:Z,"Rejected",'QA Log'!L:L,"*Vignette [2]: Diarrhea with Cat B dehydration*"),
    COUNTIFS('QA Log'!D:D,A225,'QA Log'!M:M,"Vignette",'QA Log'!Z:Z,"Rejected",'QA Log'!L:L,"*Vignette [3] Growth Monitoring and Promotion*"),
    COUNTIFS('QA Log'!D:D,A225,'QA Log'!M:M,"Vignette",'QA Log'!Z:Z,"Rejected",'QA Log'!L:L,"*Vignette [4]: The management of presumptive TB patient*")
  )
)</f>
        <v/>
      </c>
      <c r="BC225" s="107" t="str">
        <f t="shared" si="9"/>
        <v/>
      </c>
      <c r="BD225" s="103" t="str">
        <f t="shared" si="10"/>
        <v/>
      </c>
      <c r="BE225" s="102" t="str">
        <f>IF(A225="","",SUM(
COUNTIFS('QA Log'!D:D,A225,'QA Log'!M:M,"Vignette",'QA Log'!L:L,"*Vignette [5] Labor*"),
COUNTIFS('QA Log'!D:D,A225,'QA Log'!M:M,"Vignette",'QA Log'!L:L,"*Vignette [6] PNC pre Discharge*"),
COUNTIFS('QA Log'!D:D,A225,'QA Log'!M:M,"Vignette",'QA Log'!L:L,"*Vignette [7] First ANC Visit*"),
COUNTIFS('QA Log'!D:D,A225,'QA Log'!M:M,"Vignette",'QA Log'!L:L,"*Vignette [8] Birth Spacing/ Family Planning :  FP Counselling*"),
COUNTIFS('QA Log'!D:D,A225,'QA Log'!M:M,"Vignette",'QA Log'!L:L,"*Vignette [9] Birth Spacing: Change FP method to Injectable*"),
COUNTIFS('QA Log'!D:D,A225,'QA Log'!M:M,"Vignette",'QA Log'!L:L,"*Vignette [10] Post Partum Haemorrhage - Atonic Uterus at Health Centre*"),
)
)</f>
        <v/>
      </c>
      <c r="BF225" s="102" t="str">
        <f>IF(A225="","",
  SUM(
    COUNTIFS('QA Log'!D:D,A225,'QA Log'!M:M,"Vignette",'QA Log'!Z:Z,"Approved",'QA Log'!L:L,"*Vignette [5] Labor*"),
    COUNTIFS('QA Log'!D:D,A225,'QA Log'!M:M,"Vignette",'QA Log'!Z:Z,"Approved",'QA Log'!L:L,"*Vignette [6] PNC pre Discharge*"),
    COUNTIFS('QA Log'!D:D,A225,'QA Log'!M:M,"Vignette",'QA Log'!Z:Z,"Approved",'QA Log'!L:L,"*Vignette [7] First ANC Visit*"),
    COUNTIFS('QA Log'!D:D,A225,'QA Log'!M:M,"Vignette",'QA Log'!Z:Z,"Approved",'QA Log'!L:L,"*Vignette [8] Birth Spacing/ Family Planning :  FP Counselling*"),
    COUNTIFS('QA Log'!D:D,A225,'QA Log'!M:M,"Vignette",'QA Log'!Z:Z,"Approved",'QA Log'!L:L,"*Vignette [9] Birth Spacing: Change FP method to Injectable*"),
    COUNTIFS('QA Log'!D:D,A225,'QA Log'!M:M,"Vignette",'QA Log'!Z:Z,"Approved",'QA Log'!L:L,"*Vignette [10] Post Partum Haemorrhage - Atonic Uterus at Health Centre*")
  )
)</f>
        <v/>
      </c>
      <c r="BG225" s="105" t="str">
        <f>IF(A225&lt;&gt;"",COUNTIFS('QA Log'!D:D,A225,'QA Log'!M:M,"Vignette",'QA Log'!L:L,"Vignette [5] Labor",'QA Log'!Z:Z,"Approved"),"")</f>
        <v/>
      </c>
      <c r="BH225" s="105" t="str">
        <f>IF(A225&lt;&gt;"",COUNTIFS('QA Log'!D:D,A225,'QA Log'!M:M,"Vignette",'QA Log'!L:L,"Vignette [6] PNC pre Discharge",'QA Log'!Z:Z,"Approved"),"")</f>
        <v/>
      </c>
      <c r="BI225" s="105" t="str">
        <f>IF(A225&lt;&gt;"",COUNTIFS('QA Log'!D:D,A225,'QA Log'!M:M,"Vignette",'QA Log'!L:L,"Vignette [7] First ANC Visit",'QA Log'!Z:Z,"Approved"),"")</f>
        <v/>
      </c>
      <c r="BJ225" s="105" t="str">
        <f>IF(A225&lt;&gt;"",COUNTIFS('QA Log'!D:D,A225,'QA Log'!M:M,"Vignette",'QA Log'!L:L,"Vignette [8] Birth Spacing/ Family Planning :  FP Counselling",'QA Log'!Z:Z,"Approved"),"")</f>
        <v/>
      </c>
      <c r="BK225" s="105" t="str">
        <f>IF(A225&lt;&gt;"",COUNTIFS('QA Log'!D:D,A225,'QA Log'!M:M,"Vignette",'QA Log'!L:L,"Vignette [9] Birth Spacing: Change FP method to Injectable",'QA Log'!Z:Z,"Approved"),"")</f>
        <v/>
      </c>
      <c r="BL225" s="105" t="str">
        <f>IF(A225&lt;&gt;"",COUNTIFS('QA Log'!D:D,A225,'QA Log'!M:M,"Vignette",'QA Log'!L:L,"Vignette [10] Post Partum Haemorrhage - Atonic Uterus at Health Centre",'QA Log'!Z:Z,"Approved"),"")</f>
        <v/>
      </c>
      <c r="BM225" s="102" t="str">
        <f>IF(A225="","",SUM(
    COUNTIFS('QA Log'!D:D,A225,'QA Log'!M:M,"Vignette",'QA Log'!Z:Z,"Rejected",'QA Log'!L:L,"*Vignette [5] Labor*"),
    COUNTIFS('QA Log'!D:D,A225,'QA Log'!M:M,"Vignette",'QA Log'!Z:Z,"Rejected",'QA Log'!L:L,"*Vignette [6] PNC pre Discharge*"),
    COUNTIFS('QA Log'!D:D,A225,'QA Log'!M:M,"Vignette",'QA Log'!Z:Z,"Rejected",'QA Log'!L:L,"*Vignette [7] First ANC Visit*"),
    COUNTIFS('QA Log'!D:D,A225,'QA Log'!M:M,"Vignette",'QA Log'!Z:Z,"Rejected",'QA Log'!L:L,"*Vignette [8] Birth Spacing/ Family Planning :  FP Counselling*"),
    COUNTIFS('QA Log'!D:D,A225,'QA Log'!M:M,"Vignette",'QA Log'!Z:Z,"Rejected",'QA Log'!L:L,"*Vignette [9] Birth Spacing: Change FP method to Injectable*"),
    COUNTIFS('QA Log'!D:D,A225,'QA Log'!M:M,"Vignette",'QA Log'!Z:Z,"Rejected",'QA Log'!L:L,"*Vignette [10] Post Partum Haemorrhage - Atonic Uterus at Health Centre*")
  )
)</f>
        <v/>
      </c>
      <c r="BN225" s="107" t="str">
        <f t="shared" si="11"/>
        <v/>
      </c>
      <c r="BO225" s="103" t="str">
        <f t="shared" si="12"/>
        <v/>
      </c>
      <c r="BP225" s="102" t="str">
        <f>IF(A225="","",SUM(
COUNTIFS('QA Log'!D:D,A225,'QA Log'!M:M,"Vignette",'QA Log'!L:L,"*Exit Interview 1*"),
COUNTIFS('QA Log'!D:D,A225,'QA Log'!M:M,"Vignette",'QA Log'!L:L,"*Exit Interview 2*"),
)
)</f>
        <v/>
      </c>
      <c r="BQ225" s="102" t="str">
        <f>IF(
  A225="","",
  SUM(
    COUNTIFS('QA Log'!D:D,A225,'QA Log'!M:M,"Vignette",'QA Log'!Z:Z,"Approved",'QA Log'!L:L,"*Exit Interview 1*"),
    COUNTIFS('QA Log'!D:D,A225,'QA Log'!M:M,"Vignette",'QA Log'!Z:Z,"Approved",'QA Log'!L:L,"*Exit Interview 2*")
  )
)</f>
        <v/>
      </c>
      <c r="BR225" s="105" t="str">
        <f>IF(A225&lt;&gt;"",COUNTIFS('QA Log'!D:D,A225,'QA Log'!M:M,"Vignette",'QA Log'!L:L,"Exit Interview 1",'QA Log'!Z:Z,"Approved"),"")</f>
        <v/>
      </c>
      <c r="BS225" s="105" t="str">
        <f>IF(A225&lt;&gt;"",COUNTIFS('QA Log'!D:D,A225,'QA Log'!M:M,"Vignette",'QA Log'!L:L,"Exit Interview 2",'QA Log'!Z:Z,"Approved"),"")</f>
        <v/>
      </c>
      <c r="BT225" s="102" t="str">
        <f>IF(
  A225="","",
  SUM(
    COUNTIFS('QA Log'!D:D,A225,'QA Log'!M:M,"Vignette",'QA Log'!Z:Z,"Rejected",'QA Log'!L:L,"*Exit Interview 1*"),
    COUNTIFS('QA Log'!D:D,A225,'QA Log'!M:M,"Vignette",'QA Log'!Z:Z,"Rejected",'QA Log'!L:L,"*Exit Interview 2*")
  )
)</f>
        <v/>
      </c>
      <c r="BU225" s="107" t="str">
        <f t="shared" si="13"/>
        <v/>
      </c>
      <c r="BV225" s="102" t="str">
        <f t="shared" si="14"/>
        <v/>
      </c>
      <c r="BW225" s="102" t="str">
        <f t="shared" si="15"/>
        <v/>
      </c>
      <c r="BX225" s="102" t="str">
        <f t="shared" si="16"/>
        <v/>
      </c>
      <c r="BY225" s="102" t="str">
        <f t="shared" si="17"/>
        <v/>
      </c>
      <c r="BZ225" s="107" t="str">
        <f t="shared" si="18"/>
        <v/>
      </c>
      <c r="CA225" s="108" t="str">
        <f t="shared" si="19"/>
        <v/>
      </c>
      <c r="CB225" s="108" t="str">
        <f t="shared" si="20"/>
        <v/>
      </c>
      <c r="CC225" s="109" t="str">
        <f t="shared" si="21"/>
        <v/>
      </c>
      <c r="CD225" s="108" t="str">
        <f t="shared" si="22"/>
        <v/>
      </c>
      <c r="CE225" s="108" t="str">
        <f t="shared" si="23"/>
        <v/>
      </c>
      <c r="CF225" s="109" t="str">
        <f t="shared" si="24"/>
        <v/>
      </c>
      <c r="CG225" s="110" t="str">
        <f t="shared" si="25"/>
        <v/>
      </c>
      <c r="CH225" s="111"/>
    </row>
    <row r="226" spans="1:86" ht="12.75">
      <c r="A226" s="101"/>
      <c r="B226" s="102" t="e">
        <f t="array" aca="1" ref="B226" ca="1">_xludf.XLOOKUP(A226,'QA Log'!D:D,'QA Log'!E:E,"")</f>
        <v>#NAME?</v>
      </c>
      <c r="C226" s="102" t="e">
        <f t="array" aca="1" ref="C226" ca="1">_xludf.XLOOKUP(A226,'QA Log'!D:D,'QA Log'!F:F,"")</f>
        <v>#NAME?</v>
      </c>
      <c r="D226" s="102" t="e">
        <f t="array" aca="1" ref="D226" ca="1">_xludf.XLOOKUP(A226,'QA Log'!D:D,'QA Log'!H:H,"")</f>
        <v>#NAME?</v>
      </c>
      <c r="E226" s="102" t="e">
        <f t="array" aca="1" ref="E226" ca="1">_xludf.XLOOKUP(A226,'QA Log'!D:D,'QA Log'!G:G,"")</f>
        <v>#NAME?</v>
      </c>
      <c r="F226" s="103"/>
      <c r="G226" s="104"/>
      <c r="H226" s="104"/>
      <c r="I226" s="103" t="str">
        <f t="shared" si="0"/>
        <v/>
      </c>
      <c r="J226" s="102" t="str">
        <f>IF(A226="","",SUM(
COUNTIFS('QA Log'!D:D,A226,'QA Log'!M:M,"QQC",'QA Log'!L:L,"*1. General Management*"),
COUNTIFS('QA Log'!D:D,A226,'QA Log'!M:M,"QQC",'QA Log'!L:L,"*3. Curative Consultation (OPD)*"),
COUNTIFS('QA Log'!D:D,A226,'QA Log'!M:M,"QQC",'QA Log'!L:L,"*5. Laboratory*"),
COUNTIFS('QA Log'!D:D,A226,'QA Log'!M:M,"QQC",'QA Log'!L:L,"*6. Essential Medicine Management*"),
COUNTIFS('QA Log'!D:D,A226,'QA Log'!M:M,"QQC",'QA Log'!L:L,"*7. Tracer Medicine*"),
COUNTIFS('QA Log'!D:D,A226,'QA Log'!M:M,"QQC",'QA Log'!L:L,"*11. Additional Questions*")))</f>
        <v/>
      </c>
      <c r="K226" s="102" t="str">
        <f>IF(A226="","",SUM(
COUNTIFS('QA Log'!D:D,A226,'QA Log'!M:M,"QQC",'QA Log'!Z:Z,"Approved",'QA Log'!L:L,"*1. General Management*"),
COUNTIFS('QA Log'!D:D,A226,'QA Log'!M:M,"QQC",'QA Log'!Z:Z,"Approved",'QA Log'!L:L,"*3. Curative Consultation (OPD)*"),
COUNTIFS('QA Log'!D:D,A226,'QA Log'!M:M,"QQC",'QA Log'!Z:Z,"Approved",'QA Log'!L:L,"*5. Laboratory*"),
COUNTIFS('QA Log'!D:D,A226,'QA Log'!M:M,"QQC",'QA Log'!Z:Z,"Approved",'QA Log'!L:L,"*6. Essential Medicine Management*"),
COUNTIFS('QA Log'!D:D,A226,'QA Log'!M:M,"QQC",'QA Log'!Z:Z,"Approved",'QA Log'!L:L,"*7. Tracer Medicine*"),
COUNTIFS('QA Log'!D:D,A226,'QA Log'!M:M,"QQC",'QA Log'!Z:Z,"Approved",'QA Log'!L:L,"*11. Additional Questions*")))</f>
        <v/>
      </c>
      <c r="L226" s="105" t="str">
        <f>IF(A226&lt;&gt;"",COUNTIFS('QA Log'!D:D,A226,'QA Log'!M:M,"QQC",'QA Log'!L:L,"1. General Management",'QA Log'!Z:Z,"Approved"),"")</f>
        <v/>
      </c>
      <c r="M226" s="105" t="str">
        <f>IF(A226&lt;&gt;"",COUNTIFS('QA Log'!D:D,A226,'QA Log'!M:M,"QQC",'QA Log'!L:L,"3. Curative Consultation (OPD)",'QA Log'!Z:Z,"Approved"),"")</f>
        <v/>
      </c>
      <c r="N226" s="105" t="str">
        <f>IF(A226&lt;&gt;"",COUNTIFS('QA Log'!D:D,A226,'QA Log'!M:M,"QQC",'QA Log'!L:L,"5. Laboratory",'QA Log'!Z:Z,"Approved"),"")</f>
        <v/>
      </c>
      <c r="O226" s="105" t="str">
        <f>IF(A226&lt;&gt;"",COUNTIFS('QA Log'!D:D,A226,'QA Log'!M:M,"QQC",'QA Log'!L:L,"6. Essential Medicine Management",'QA Log'!Z:Z,"Approved"),"")</f>
        <v/>
      </c>
      <c r="P226" s="105" t="str">
        <f>IF(A226&lt;&gt;"",COUNTIFS('QA Log'!D:D,A226,'QA Log'!M:M,"QQC",'QA Log'!L:L,"7. Tracer Medicine",'QA Log'!Z:Z,"Approved"),"")</f>
        <v/>
      </c>
      <c r="Q226" s="105" t="str">
        <f>IF(A226&lt;&gt;"",COUNTIFS('QA Log'!D:D,A226,'QA Log'!M:M,"QQC",'QA Log'!L:L,"11. Additional Questions",'QA Log'!Z:Z,"Approved"),"")</f>
        <v/>
      </c>
      <c r="R226" s="102" t="str">
        <f>IF(A226="","",SUM(
COUNTIFS('QA Log'!D:D,A226,'QA Log'!M:M,"QQC",'QA Log'!Z:Z,"Rejected",'QA Log'!L:L,"*8. Maternity*"),
COUNTIFS('QA Log'!D:D,A226,'QA Log'!M:M,"QQC",'QA Log'!Z:Z,"Rejected",'QA Log'!L:L,"*EPI*"),
COUNTIFS('QA Log'!D:D,A226,'QA Log'!M:M,"QQC",'QA Log'!Z:Z,"Rejected",'QA Log'!L:L,"*10. Antenatal Care (ANC)*"),
COUNTIFS('QA Log'!D:D,A226,'QA Log'!M:M,"QQC",'QA Log'!Z:Z,"Rejected",'QA Log'!L:L,"*2. Hygiene and Sterilization*"),
COUNTIFS('QA Log'!D:D,A226,'QA Log'!M:M,"QQC",'QA Log'!Z:Z,"Rejected",'QA Log'!L:L,"*Family Planning*")))</f>
        <v/>
      </c>
      <c r="S226" s="106" t="str">
        <f t="shared" si="1"/>
        <v/>
      </c>
      <c r="T226" s="102" t="str">
        <f t="shared" si="2"/>
        <v/>
      </c>
      <c r="U226" s="102" t="str">
        <f>IF(A226="","",
SUM(
COUNTIFS('QA Log'!D:D,A226,'QA Log'!M:M,"QQC",'QA Log'!L:L,"*8. Maternity*"),
COUNTIFS('QA Log'!D:D,A226,'QA Log'!M:M,"QQC",'QA Log'!L:L,"*9. EPI and Pre-school Consultation*"),
COUNTIFS('QA Log'!D:D,A226,'QA Log'!M:M,"QQC",'QA Log'!L:L,"*10. Antenatal Care (ANC)*"),
COUNTIFS('QA Log'!D:D,A226,'QA Log'!M:M,"QQC",'QA Log'!L:L,"*2. Hygiene and Sterilization*"),
COUNTIFS('QA Log'!D:D,A226,'QA Log'!M:M,"QQC",'QA Log'!L:L,"*4. Family Planning*")
))</f>
        <v/>
      </c>
      <c r="V226" s="102" t="str">
        <f>IF(A226="","",
SUM(
COUNTIFS('QA Log'!D:D,A226,'QA Log'!M:M,"QQC",'QA Log'!Z:Z,"Approved",'QA Log'!L:L,"*8. Maternity*"),
COUNTIFS('QA Log'!D:D,A226,'QA Log'!M:M,"QQC",'QA Log'!Z:Z,"Approved",'QA Log'!L:L,"*9. EPI and Pre-school Consultation*"),
COUNTIFS('QA Log'!D:D,A226,'QA Log'!M:M,"QQC",'QA Log'!Z:Z,"Approved",'QA Log'!L:L,"*10. Antenatal Care (ANC)*"),
COUNTIFS('QA Log'!D:D,A226,'QA Log'!M:M,"QQC",'QA Log'!Z:Z,"Approved",'QA Log'!L:L,"*2. Hygiene and Sterilization*"),
COUNTIFS('QA Log'!D:D,A226,'QA Log'!M:M,"QQC",'QA Log'!Z:Z,"Approved",'QA Log'!L:L,"*4. Family Planning*")
))</f>
        <v/>
      </c>
      <c r="W226" s="105" t="str">
        <f>IF(A226&lt;&gt;"",COUNTIFS('QA Log'!D:D,A226,'QA Log'!M:M,"QQC",'QA Log'!L:L,"8. Maternity",'QA Log'!Z:Z,"Approved"),"")</f>
        <v/>
      </c>
      <c r="X226" s="105" t="str">
        <f>IF(A226&lt;&gt;"",COUNTIFS('QA Log'!D:D,A226,'QA Log'!M:M,"QQC",'QA Log'!L:L,"9. EPI and Pre-school Consultation",'QA Log'!Z:Z,"Approved"),"")</f>
        <v/>
      </c>
      <c r="Y226" s="105" t="str">
        <f>IF(A226&lt;&gt;"",COUNTIFS('QA Log'!D:D,A226,'QA Log'!M:M,"QQC",'QA Log'!L:L,"10. Antenatal Care (ANC)",'QA Log'!Z:Z,"Approved"),"")</f>
        <v/>
      </c>
      <c r="Z226" s="105" t="str">
        <f>IF(A226&lt;&gt;"",COUNTIFS('QA Log'!D:D,A226,'QA Log'!M:M,"QQC",'QA Log'!L:L,"2. Hygiene and Sterilization",'QA Log'!Z:Z,"Approved"),"")</f>
        <v/>
      </c>
      <c r="AA226" s="105" t="str">
        <f>IF(A226&lt;&gt;"",COUNTIFS('QA Log'!D:D,A226,'QA Log'!M:M,"QQC",'QA Log'!L:L,"4. Family Planning",'QA Log'!Z:Z,"Approved"),"")</f>
        <v/>
      </c>
      <c r="AB226" s="102" t="str">
        <f>IF(A226="","",
SUM(
COUNTIFS('QA Log'!D:D,A226,'QA Log'!M:M,"QQC",'QA Log'!Z:Z,"Rejected",'QA Log'!L:L,"*8. Maternity*"),
COUNTIFS('QA Log'!D:D,A226,'QA Log'!M:M,"QQC",'QA Log'!Z:Z,"Rejected",'QA Log'!L:L,"*9. EPI and Pre-school Consultation*"),
COUNTIFS('QA Log'!D:D,A226,'QA Log'!M:M,"QQC",'QA Log'!Z:Z,"Rejected",'QA Log'!L:L,"*10. Antenatal Care (ANC)*"),
COUNTIFS('QA Log'!D:D,A226,'QA Log'!M:M,"QQC",'QA Log'!Z:Z,"Rejected",'QA Log'!L:L,"*2. Hygiene and Sterilization*"),
COUNTIFS('QA Log'!D:D,A226,'QA Log'!M:M,"QQC",'QA Log'!Z:Z,"Rejected",'QA Log'!L:L,"*4. Family Planning*")
))</f>
        <v/>
      </c>
      <c r="AC226" s="102" t="str">
        <f t="shared" si="3"/>
        <v/>
      </c>
      <c r="AD226" s="103" t="str">
        <f t="shared" si="4"/>
        <v/>
      </c>
      <c r="AE226" s="102" t="str">
        <f>IF(A226="","",
SUM(
COUNTIFS('QA Log'!D:D,A226,'QA Log'!M:M,"Data Verification",'QA Log'!L:L,"*Medicine (section 2)*"),
COUNTIFS('QA Log'!D:D,A226,'QA Log'!M:M,"Data Verification",'QA Log'!L:L,"*Lab Testing Availability*"),
COUNTIFS('QA Log'!D:D,A226,'QA Log'!M:M,"Data Verification",'QA Log'!L:L,"*Other than P4P (section 6)*"),
COUNTIFS('QA Log'!D:D,A226,'QA Log'!M:M,"Data Verification",'QA Log'!L:L,"*Hospital Governance*")
))</f>
        <v/>
      </c>
      <c r="AF226" s="102" t="str">
        <f>IF(A226="","",
SUM(
COUNTIFS('QA Log'!D:D,A226,'QA Log'!M:M,"Data Verification",'QA Log'!Z:Z,"Approved",'QA Log'!L:L,"*Medicine (section 2)*"),
COUNTIFS('QA Log'!D:D,A226,'QA Log'!M:M,"Data Verification",'QA Log'!Z:Z,"Approved",'QA Log'!L:L,"*Lab Testing Availability*"),
COUNTIFS('QA Log'!D:D,A226,'QA Log'!M:M,"Data Verification",'QA Log'!Z:Z,"Approved",'QA Log'!L:L,"*Other than P4P (section 6)*"),
COUNTIFS('QA Log'!D:D,A226,'QA Log'!M:M,"Data Verification",'QA Log'!Z:Z,"Approved",'QA Log'!L:L,"*Hospital Governance*")
))</f>
        <v/>
      </c>
      <c r="AG226" s="105" t="str">
        <f>IF(A226&lt;&gt;"",COUNTIFS('QA Log'!D:D,A226,'QA Log'!M:M,"Data Verification",'QA Log'!L:L,"Medicine (section 2)",'QA Log'!Z:Z,"Approved"),"")</f>
        <v/>
      </c>
      <c r="AH226" s="105" t="str">
        <f>IF(A226&lt;&gt;"",COUNTIFS('QA Log'!D:D,A226,'QA Log'!M:M,"Data Verification",'QA Log'!L:L,"Lab Testing Availability",'QA Log'!Z:Z,"Approved"),"")</f>
        <v/>
      </c>
      <c r="AI226" s="105" t="str">
        <f>IF(A226&lt;&gt;"",COUNTIFS('QA Log'!D:D,A226,'QA Log'!M:M,"Data Verification",'QA Log'!L:L,"Other than P4P (section 6)",'QA Log'!Z:Z,"Approved"),"")</f>
        <v/>
      </c>
      <c r="AJ226" s="105" t="str">
        <f>IF(A226&lt;&gt;"",COUNTIFS('QA Log'!D:D,A226,'QA Log'!M:M,"Data Verification",'QA Log'!L:L,"Hospital Governance",'QA Log'!Z:Z,"Approved"),"")</f>
        <v/>
      </c>
      <c r="AK226" s="102" t="str">
        <f>IF(A226="","",
SUM(
COUNTIFS('QA Log'!D:D,A226,'QA Log'!M:M,"Data Verification",'QA Log'!Z:Z,"Rejected",'QA Log'!L:L,"*Medicine (section 2)*"),
COUNTIFS('QA Log'!D:D,A226,'QA Log'!M:M,"Data Verification",'QA Log'!Z:Z,"Rejected",'QA Log'!L:L,"*Lab Testing Availability*"),
COUNTIFS('QA Log'!D:D,A226,'QA Log'!M:M,"Data Verification",'QA Log'!Z:Z,"Rejected",'QA Log'!L:L,"*Other than P4P (section 6)*"),
COUNTIFS('QA Log'!D:D,A226,'QA Log'!M:M,"Data Verification",'QA Log'!Z:Z,"Rejected",'QA Log'!L:L,"*Hospital Governance*")
))</f>
        <v/>
      </c>
      <c r="AL226" s="106" t="str">
        <f t="shared" si="5"/>
        <v/>
      </c>
      <c r="AM226" s="102" t="str">
        <f t="shared" si="6"/>
        <v/>
      </c>
      <c r="AN226" s="102" t="str">
        <f>IF(A226="","",
SUM(
COUNTIFS('QA Log'!D:D,A226,'QA Log'!M:M,"Data Verification",'QA Log'!L:L,"*Personnel (section 1)*"),
COUNTIFS('QA Log'!D:D,A226,'QA Log'!M:M,"Data Verification",'QA Log'!L:L,"*Consumable (section 3)*"),
COUNTIFS('QA Log'!D:D,A226,'QA Log'!M:M,"Data Verification",'QA Log'!L:L,"*Equipments (section 4)*")
))</f>
        <v/>
      </c>
      <c r="AO226" s="102" t="str">
        <f>IF(A226="","",
SUM(
COUNTIFS('QA Log'!D:D,A226,'QA Log'!M:M,"Data Verification",'QA Log'!Z:Z,"Approved",'QA Log'!L:L,"*Personnel (section 1)*"),
COUNTIFS('QA Log'!D:D,A226,'QA Log'!M:M,"Data Verification",'QA Log'!Z:Z,"Approved",'QA Log'!L:L,"*Consumable (section 3)*"),
COUNTIFS('QA Log'!D:D,A226,'QA Log'!M:M,"Data Verification",'QA Log'!Z:Z,"Approved",'QA Log'!L:L,"*Equipments (section 4)*")
))</f>
        <v/>
      </c>
      <c r="AP226" s="105" t="str">
        <f>IF(A226&lt;&gt;"",COUNTIFS('QA Log'!D:D,A226,'QA Log'!M:M,"Data Verification",'QA Log'!L:L,"Personnel (section 1)",'QA Log'!Z:Z,"Approved"),"")</f>
        <v/>
      </c>
      <c r="AQ226" s="105" t="str">
        <f>IF(A226&lt;&gt;"",COUNTIFS('QA Log'!D:D,A226,'QA Log'!M:M,"Data Verification",'QA Log'!L:L,"Consumable (section 3)",'QA Log'!Z:Z,"Approved"),"")</f>
        <v/>
      </c>
      <c r="AR226" s="105" t="str">
        <f>IF(A226&lt;&gt;"",COUNTIFS('QA Log'!D:D,A226,'QA Log'!M:M,"Data Verification",'QA Log'!L:L,"Equipments (section 4)",'QA Log'!Z:Z,"Approved"),"")</f>
        <v/>
      </c>
      <c r="AS226" s="102" t="str">
        <f>IF(A226="","",
SUM(
COUNTIFS('QA Log'!D:D,A226,'QA Log'!M:M,"Data Verification",'QA Log'!Z:Z,"Rejected",'QA Log'!L:L,"*Personnel (section 1)*"),
COUNTIFS('QA Log'!D:D,A226,'QA Log'!M:M,"Data Verification",'QA Log'!Z:Z,"Rejected",'QA Log'!L:L,"*Consumable (section 3)*"),
COUNTIFS('QA Log'!D:D,A226,'QA Log'!M:M,"Data Verification",'QA Log'!Z:Z,"Rejected",'QA Log'!L:L,"*Equipments (section 4)*")
))</f>
        <v/>
      </c>
      <c r="AT226" s="102" t="str">
        <f t="shared" si="7"/>
        <v/>
      </c>
      <c r="AU226" s="103" t="str">
        <f t="shared" si="8"/>
        <v/>
      </c>
      <c r="AV226" s="102" t="str">
        <f>IF(A226="","",SUM(
COUNTIFS('QA Log'!D:D,A226,'QA Log'!M:M,"Vignette",'QA Log'!L:L,"*Vignette [1] Respiratory Infection: Pneumonia*"),
COUNTIFS('QA Log'!D:D,A226,'QA Log'!M:M,"Vignette",'QA Log'!L:L,"*Vignette [2]: Diarrhea with Cat B dehydration*"),
COUNTIFS('QA Log'!D:D,A226,'QA Log'!M:M,"Vignette",'QA Log'!L:L,"*Vignette [3] Growth Monitoring and Promotion*"),
COUNTIFS('QA Log'!D:D,A226,'QA Log'!M:M,"Vignette",'QA Log'!L:L,"*Vignette [4]: The management of presumptive TB patient*")
)
)</f>
        <v/>
      </c>
      <c r="AW226" s="102" t="str">
        <f>IF(
  A226="","",
  SUM(
    COUNTIFS('QA Log'!D:D,A226,'QA Log'!M:M,"Vignette",'QA Log'!Z:Z,"Approved",'QA Log'!L:L,"*Vignette [1] Respiratory Infection: Pneumonia*"),
    COUNTIFS('QA Log'!D:D,A226,'QA Log'!M:M,"Vignette",'QA Log'!Z:Z,"Approved",'QA Log'!L:L,"*Vignette [2]: Diarrhea with Cat B dehydration*"),
    COUNTIFS('QA Log'!D:D,A226,'QA Log'!M:M,"Vignette",'QA Log'!Z:Z,"Approved",'QA Log'!L:L,"*Vignette [3] Growth Monitoring and Promotion*"),
    COUNTIFS('QA Log'!D:D,A226,'QA Log'!M:M,"Vignette",'QA Log'!Z:Z,"Approved",'QA Log'!L:L,"*Vignette [4]: The management of presumptive TB patient*")
  )
)</f>
        <v/>
      </c>
      <c r="AX226" s="105" t="str">
        <f>IF(A226&lt;&gt;"",COUNTIFS('QA Log'!D:D,A226,'QA Log'!M:M,"Vignette",'QA Log'!L:L,"Vignette [1] Respiratory Infection: Pneumonia",'QA Log'!Z:Z,"Approved"),"")</f>
        <v/>
      </c>
      <c r="AY226" s="105" t="str">
        <f>IF(A226&lt;&gt;"",COUNTIFS('QA Log'!D:D,A226,'QA Log'!M:M,"Vignette",'QA Log'!L:L,"Vignette [2]: Diarrhea with Cat B dehydration",'QA Log'!Z:Z,"Approved"),"")</f>
        <v/>
      </c>
      <c r="AZ226" s="105" t="str">
        <f>IF(A226&lt;&gt;"",COUNTIFS('QA Log'!D:D,A226,'QA Log'!M:M,"Vignette",'QA Log'!L:L,"Vignette [3] Growth Monitoring and Promotion",'QA Log'!Z:Z,"Approved"),"")</f>
        <v/>
      </c>
      <c r="BA226" s="105" t="str">
        <f>IF(A226&lt;&gt;"",COUNTIFS('QA Log'!D:D,A226,'QA Log'!M:M,"Vignette",'QA Log'!L:L,"Vignette [4]: The management of presumptive TB patient",'QA Log'!Z:Z,"Approved"),"")</f>
        <v/>
      </c>
      <c r="BB226" s="102" t="str">
        <f>IF(A226="","",
  SUM(
    COUNTIFS('QA Log'!D:D,A226,'QA Log'!M:M,"Vignette",'QA Log'!Z:Z,"Rejected",'QA Log'!L:L,"*Vignette [1] Respiratory Infection: Pneumonia*"),
    COUNTIFS('QA Log'!D:D,A226,'QA Log'!M:M,"Vignette",'QA Log'!Z:Z,"Rejected",'QA Log'!L:L,"*Vignette [2]: Diarrhea with Cat B dehydration*"),
    COUNTIFS('QA Log'!D:D,A226,'QA Log'!M:M,"Vignette",'QA Log'!Z:Z,"Rejected",'QA Log'!L:L,"*Vignette [3] Growth Monitoring and Promotion*"),
    COUNTIFS('QA Log'!D:D,A226,'QA Log'!M:M,"Vignette",'QA Log'!Z:Z,"Rejected",'QA Log'!L:L,"*Vignette [4]: The management of presumptive TB patient*")
  )
)</f>
        <v/>
      </c>
      <c r="BC226" s="107" t="str">
        <f t="shared" si="9"/>
        <v/>
      </c>
      <c r="BD226" s="103" t="str">
        <f t="shared" si="10"/>
        <v/>
      </c>
      <c r="BE226" s="102" t="str">
        <f>IF(A226="","",SUM(
COUNTIFS('QA Log'!D:D,A226,'QA Log'!M:M,"Vignette",'QA Log'!L:L,"*Vignette [5] Labor*"),
COUNTIFS('QA Log'!D:D,A226,'QA Log'!M:M,"Vignette",'QA Log'!L:L,"*Vignette [6] PNC pre Discharge*"),
COUNTIFS('QA Log'!D:D,A226,'QA Log'!M:M,"Vignette",'QA Log'!L:L,"*Vignette [7] First ANC Visit*"),
COUNTIFS('QA Log'!D:D,A226,'QA Log'!M:M,"Vignette",'QA Log'!L:L,"*Vignette [8] Birth Spacing/ Family Planning :  FP Counselling*"),
COUNTIFS('QA Log'!D:D,A226,'QA Log'!M:M,"Vignette",'QA Log'!L:L,"*Vignette [9] Birth Spacing: Change FP method to Injectable*"),
COUNTIFS('QA Log'!D:D,A226,'QA Log'!M:M,"Vignette",'QA Log'!L:L,"*Vignette [10] Post Partum Haemorrhage - Atonic Uterus at Health Centre*"),
)
)</f>
        <v/>
      </c>
      <c r="BF226" s="102" t="str">
        <f>IF(A226="","",
  SUM(
    COUNTIFS('QA Log'!D:D,A226,'QA Log'!M:M,"Vignette",'QA Log'!Z:Z,"Approved",'QA Log'!L:L,"*Vignette [5] Labor*"),
    COUNTIFS('QA Log'!D:D,A226,'QA Log'!M:M,"Vignette",'QA Log'!Z:Z,"Approved",'QA Log'!L:L,"*Vignette [6] PNC pre Discharge*"),
    COUNTIFS('QA Log'!D:D,A226,'QA Log'!M:M,"Vignette",'QA Log'!Z:Z,"Approved",'QA Log'!L:L,"*Vignette [7] First ANC Visit*"),
    COUNTIFS('QA Log'!D:D,A226,'QA Log'!M:M,"Vignette",'QA Log'!Z:Z,"Approved",'QA Log'!L:L,"*Vignette [8] Birth Spacing/ Family Planning :  FP Counselling*"),
    COUNTIFS('QA Log'!D:D,A226,'QA Log'!M:M,"Vignette",'QA Log'!Z:Z,"Approved",'QA Log'!L:L,"*Vignette [9] Birth Spacing: Change FP method to Injectable*"),
    COUNTIFS('QA Log'!D:D,A226,'QA Log'!M:M,"Vignette",'QA Log'!Z:Z,"Approved",'QA Log'!L:L,"*Vignette [10] Post Partum Haemorrhage - Atonic Uterus at Health Centre*")
  )
)</f>
        <v/>
      </c>
      <c r="BG226" s="105" t="str">
        <f>IF(A226&lt;&gt;"",COUNTIFS('QA Log'!D:D,A226,'QA Log'!M:M,"Vignette",'QA Log'!L:L,"Vignette [5] Labor",'QA Log'!Z:Z,"Approved"),"")</f>
        <v/>
      </c>
      <c r="BH226" s="105" t="str">
        <f>IF(A226&lt;&gt;"",COUNTIFS('QA Log'!D:D,A226,'QA Log'!M:M,"Vignette",'QA Log'!L:L,"Vignette [6] PNC pre Discharge",'QA Log'!Z:Z,"Approved"),"")</f>
        <v/>
      </c>
      <c r="BI226" s="105" t="str">
        <f>IF(A226&lt;&gt;"",COUNTIFS('QA Log'!D:D,A226,'QA Log'!M:M,"Vignette",'QA Log'!L:L,"Vignette [7] First ANC Visit",'QA Log'!Z:Z,"Approved"),"")</f>
        <v/>
      </c>
      <c r="BJ226" s="105" t="str">
        <f>IF(A226&lt;&gt;"",COUNTIFS('QA Log'!D:D,A226,'QA Log'!M:M,"Vignette",'QA Log'!L:L,"Vignette [8] Birth Spacing/ Family Planning :  FP Counselling",'QA Log'!Z:Z,"Approved"),"")</f>
        <v/>
      </c>
      <c r="BK226" s="105" t="str">
        <f>IF(A226&lt;&gt;"",COUNTIFS('QA Log'!D:D,A226,'QA Log'!M:M,"Vignette",'QA Log'!L:L,"Vignette [9] Birth Spacing: Change FP method to Injectable",'QA Log'!Z:Z,"Approved"),"")</f>
        <v/>
      </c>
      <c r="BL226" s="105" t="str">
        <f>IF(A226&lt;&gt;"",COUNTIFS('QA Log'!D:D,A226,'QA Log'!M:M,"Vignette",'QA Log'!L:L,"Vignette [10] Post Partum Haemorrhage - Atonic Uterus at Health Centre",'QA Log'!Z:Z,"Approved"),"")</f>
        <v/>
      </c>
      <c r="BM226" s="102" t="str">
        <f>IF(A226="","",SUM(
    COUNTIFS('QA Log'!D:D,A226,'QA Log'!M:M,"Vignette",'QA Log'!Z:Z,"Rejected",'QA Log'!L:L,"*Vignette [5] Labor*"),
    COUNTIFS('QA Log'!D:D,A226,'QA Log'!M:M,"Vignette",'QA Log'!Z:Z,"Rejected",'QA Log'!L:L,"*Vignette [6] PNC pre Discharge*"),
    COUNTIFS('QA Log'!D:D,A226,'QA Log'!M:M,"Vignette",'QA Log'!Z:Z,"Rejected",'QA Log'!L:L,"*Vignette [7] First ANC Visit*"),
    COUNTIFS('QA Log'!D:D,A226,'QA Log'!M:M,"Vignette",'QA Log'!Z:Z,"Rejected",'QA Log'!L:L,"*Vignette [8] Birth Spacing/ Family Planning :  FP Counselling*"),
    COUNTIFS('QA Log'!D:D,A226,'QA Log'!M:M,"Vignette",'QA Log'!Z:Z,"Rejected",'QA Log'!L:L,"*Vignette [9] Birth Spacing: Change FP method to Injectable*"),
    COUNTIFS('QA Log'!D:D,A226,'QA Log'!M:M,"Vignette",'QA Log'!Z:Z,"Rejected",'QA Log'!L:L,"*Vignette [10] Post Partum Haemorrhage - Atonic Uterus at Health Centre*")
  )
)</f>
        <v/>
      </c>
      <c r="BN226" s="107" t="str">
        <f t="shared" si="11"/>
        <v/>
      </c>
      <c r="BO226" s="103" t="str">
        <f t="shared" si="12"/>
        <v/>
      </c>
      <c r="BP226" s="102" t="str">
        <f>IF(A226="","",SUM(
COUNTIFS('QA Log'!D:D,A226,'QA Log'!M:M,"Vignette",'QA Log'!L:L,"*Exit Interview 1*"),
COUNTIFS('QA Log'!D:D,A226,'QA Log'!M:M,"Vignette",'QA Log'!L:L,"*Exit Interview 2*"),
)
)</f>
        <v/>
      </c>
      <c r="BQ226" s="102" t="str">
        <f>IF(
  A226="","",
  SUM(
    COUNTIFS('QA Log'!D:D,A226,'QA Log'!M:M,"Vignette",'QA Log'!Z:Z,"Approved",'QA Log'!L:L,"*Exit Interview 1*"),
    COUNTIFS('QA Log'!D:D,A226,'QA Log'!M:M,"Vignette",'QA Log'!Z:Z,"Approved",'QA Log'!L:L,"*Exit Interview 2*")
  )
)</f>
        <v/>
      </c>
      <c r="BR226" s="105" t="str">
        <f>IF(A226&lt;&gt;"",COUNTIFS('QA Log'!D:D,A226,'QA Log'!M:M,"Vignette",'QA Log'!L:L,"Exit Interview 1",'QA Log'!Z:Z,"Approved"),"")</f>
        <v/>
      </c>
      <c r="BS226" s="105" t="str">
        <f>IF(A226&lt;&gt;"",COUNTIFS('QA Log'!D:D,A226,'QA Log'!M:M,"Vignette",'QA Log'!L:L,"Exit Interview 2",'QA Log'!Z:Z,"Approved"),"")</f>
        <v/>
      </c>
      <c r="BT226" s="102" t="str">
        <f>IF(
  A226="","",
  SUM(
    COUNTIFS('QA Log'!D:D,A226,'QA Log'!M:M,"Vignette",'QA Log'!Z:Z,"Rejected",'QA Log'!L:L,"*Exit Interview 1*"),
    COUNTIFS('QA Log'!D:D,A226,'QA Log'!M:M,"Vignette",'QA Log'!Z:Z,"Rejected",'QA Log'!L:L,"*Exit Interview 2*")
  )
)</f>
        <v/>
      </c>
      <c r="BU226" s="107" t="str">
        <f t="shared" si="13"/>
        <v/>
      </c>
      <c r="BV226" s="102" t="str">
        <f t="shared" si="14"/>
        <v/>
      </c>
      <c r="BW226" s="102" t="str">
        <f t="shared" si="15"/>
        <v/>
      </c>
      <c r="BX226" s="102" t="str">
        <f t="shared" si="16"/>
        <v/>
      </c>
      <c r="BY226" s="102" t="str">
        <f t="shared" si="17"/>
        <v/>
      </c>
      <c r="BZ226" s="107" t="str">
        <f t="shared" si="18"/>
        <v/>
      </c>
      <c r="CA226" s="108" t="str">
        <f t="shared" si="19"/>
        <v/>
      </c>
      <c r="CB226" s="108" t="str">
        <f t="shared" si="20"/>
        <v/>
      </c>
      <c r="CC226" s="109" t="str">
        <f t="shared" si="21"/>
        <v/>
      </c>
      <c r="CD226" s="108" t="str">
        <f t="shared" si="22"/>
        <v/>
      </c>
      <c r="CE226" s="108" t="str">
        <f t="shared" si="23"/>
        <v/>
      </c>
      <c r="CF226" s="109" t="str">
        <f t="shared" si="24"/>
        <v/>
      </c>
      <c r="CG226" s="110" t="str">
        <f t="shared" si="25"/>
        <v/>
      </c>
      <c r="CH226" s="111"/>
    </row>
    <row r="227" spans="1:86" ht="12.75">
      <c r="A227" s="101"/>
      <c r="B227" s="102" t="e">
        <f t="array" aca="1" ref="B227" ca="1">_xludf.XLOOKUP(A227,'QA Log'!D:D,'QA Log'!E:E,"")</f>
        <v>#NAME?</v>
      </c>
      <c r="C227" s="102" t="e">
        <f t="array" aca="1" ref="C227" ca="1">_xludf.XLOOKUP(A227,'QA Log'!D:D,'QA Log'!F:F,"")</f>
        <v>#NAME?</v>
      </c>
      <c r="D227" s="102" t="e">
        <f t="array" aca="1" ref="D227" ca="1">_xludf.XLOOKUP(A227,'QA Log'!D:D,'QA Log'!H:H,"")</f>
        <v>#NAME?</v>
      </c>
      <c r="E227" s="102" t="e">
        <f t="array" aca="1" ref="E227" ca="1">_xludf.XLOOKUP(A227,'QA Log'!D:D,'QA Log'!G:G,"")</f>
        <v>#NAME?</v>
      </c>
      <c r="F227" s="103"/>
      <c r="G227" s="104"/>
      <c r="H227" s="104"/>
      <c r="I227" s="103" t="str">
        <f t="shared" si="0"/>
        <v/>
      </c>
      <c r="J227" s="102" t="str">
        <f>IF(A227="","",SUM(
COUNTIFS('QA Log'!D:D,A227,'QA Log'!M:M,"QQC",'QA Log'!L:L,"*1. General Management*"),
COUNTIFS('QA Log'!D:D,A227,'QA Log'!M:M,"QQC",'QA Log'!L:L,"*3. Curative Consultation (OPD)*"),
COUNTIFS('QA Log'!D:D,A227,'QA Log'!M:M,"QQC",'QA Log'!L:L,"*5. Laboratory*"),
COUNTIFS('QA Log'!D:D,A227,'QA Log'!M:M,"QQC",'QA Log'!L:L,"*6. Essential Medicine Management*"),
COUNTIFS('QA Log'!D:D,A227,'QA Log'!M:M,"QQC",'QA Log'!L:L,"*7. Tracer Medicine*"),
COUNTIFS('QA Log'!D:D,A227,'QA Log'!M:M,"QQC",'QA Log'!L:L,"*11. Additional Questions*")))</f>
        <v/>
      </c>
      <c r="K227" s="102" t="str">
        <f>IF(A227="","",SUM(
COUNTIFS('QA Log'!D:D,A227,'QA Log'!M:M,"QQC",'QA Log'!Z:Z,"Approved",'QA Log'!L:L,"*1. General Management*"),
COUNTIFS('QA Log'!D:D,A227,'QA Log'!M:M,"QQC",'QA Log'!Z:Z,"Approved",'QA Log'!L:L,"*3. Curative Consultation (OPD)*"),
COUNTIFS('QA Log'!D:D,A227,'QA Log'!M:M,"QQC",'QA Log'!Z:Z,"Approved",'QA Log'!L:L,"*5. Laboratory*"),
COUNTIFS('QA Log'!D:D,A227,'QA Log'!M:M,"QQC",'QA Log'!Z:Z,"Approved",'QA Log'!L:L,"*6. Essential Medicine Management*"),
COUNTIFS('QA Log'!D:D,A227,'QA Log'!M:M,"QQC",'QA Log'!Z:Z,"Approved",'QA Log'!L:L,"*7. Tracer Medicine*"),
COUNTIFS('QA Log'!D:D,A227,'QA Log'!M:M,"QQC",'QA Log'!Z:Z,"Approved",'QA Log'!L:L,"*11. Additional Questions*")))</f>
        <v/>
      </c>
      <c r="L227" s="105" t="str">
        <f>IF(A227&lt;&gt;"",COUNTIFS('QA Log'!D:D,A227,'QA Log'!M:M,"QQC",'QA Log'!L:L,"1. General Management",'QA Log'!Z:Z,"Approved"),"")</f>
        <v/>
      </c>
      <c r="M227" s="105" t="str">
        <f>IF(A227&lt;&gt;"",COUNTIFS('QA Log'!D:D,A227,'QA Log'!M:M,"QQC",'QA Log'!L:L,"3. Curative Consultation (OPD)",'QA Log'!Z:Z,"Approved"),"")</f>
        <v/>
      </c>
      <c r="N227" s="105" t="str">
        <f>IF(A227&lt;&gt;"",COUNTIFS('QA Log'!D:D,A227,'QA Log'!M:M,"QQC",'QA Log'!L:L,"5. Laboratory",'QA Log'!Z:Z,"Approved"),"")</f>
        <v/>
      </c>
      <c r="O227" s="105" t="str">
        <f>IF(A227&lt;&gt;"",COUNTIFS('QA Log'!D:D,A227,'QA Log'!M:M,"QQC",'QA Log'!L:L,"6. Essential Medicine Management",'QA Log'!Z:Z,"Approved"),"")</f>
        <v/>
      </c>
      <c r="P227" s="105" t="str">
        <f>IF(A227&lt;&gt;"",COUNTIFS('QA Log'!D:D,A227,'QA Log'!M:M,"QQC",'QA Log'!L:L,"7. Tracer Medicine",'QA Log'!Z:Z,"Approved"),"")</f>
        <v/>
      </c>
      <c r="Q227" s="105" t="str">
        <f>IF(A227&lt;&gt;"",COUNTIFS('QA Log'!D:D,A227,'QA Log'!M:M,"QQC",'QA Log'!L:L,"11. Additional Questions",'QA Log'!Z:Z,"Approved"),"")</f>
        <v/>
      </c>
      <c r="R227" s="102" t="str">
        <f>IF(A227="","",SUM(
COUNTIFS('QA Log'!D:D,A227,'QA Log'!M:M,"QQC",'QA Log'!Z:Z,"Rejected",'QA Log'!L:L,"*8. Maternity*"),
COUNTIFS('QA Log'!D:D,A227,'QA Log'!M:M,"QQC",'QA Log'!Z:Z,"Rejected",'QA Log'!L:L,"*EPI*"),
COUNTIFS('QA Log'!D:D,A227,'QA Log'!M:M,"QQC",'QA Log'!Z:Z,"Rejected",'QA Log'!L:L,"*10. Antenatal Care (ANC)*"),
COUNTIFS('QA Log'!D:D,A227,'QA Log'!M:M,"QQC",'QA Log'!Z:Z,"Rejected",'QA Log'!L:L,"*2. Hygiene and Sterilization*"),
COUNTIFS('QA Log'!D:D,A227,'QA Log'!M:M,"QQC",'QA Log'!Z:Z,"Rejected",'QA Log'!L:L,"*Family Planning*")))</f>
        <v/>
      </c>
      <c r="S227" s="106" t="str">
        <f t="shared" si="1"/>
        <v/>
      </c>
      <c r="T227" s="102" t="str">
        <f t="shared" si="2"/>
        <v/>
      </c>
      <c r="U227" s="102" t="str">
        <f>IF(A227="","",
SUM(
COUNTIFS('QA Log'!D:D,A227,'QA Log'!M:M,"QQC",'QA Log'!L:L,"*8. Maternity*"),
COUNTIFS('QA Log'!D:D,A227,'QA Log'!M:M,"QQC",'QA Log'!L:L,"*9. EPI and Pre-school Consultation*"),
COUNTIFS('QA Log'!D:D,A227,'QA Log'!M:M,"QQC",'QA Log'!L:L,"*10. Antenatal Care (ANC)*"),
COUNTIFS('QA Log'!D:D,A227,'QA Log'!M:M,"QQC",'QA Log'!L:L,"*2. Hygiene and Sterilization*"),
COUNTIFS('QA Log'!D:D,A227,'QA Log'!M:M,"QQC",'QA Log'!L:L,"*4. Family Planning*")
))</f>
        <v/>
      </c>
      <c r="V227" s="102" t="str">
        <f>IF(A227="","",
SUM(
COUNTIFS('QA Log'!D:D,A227,'QA Log'!M:M,"QQC",'QA Log'!Z:Z,"Approved",'QA Log'!L:L,"*8. Maternity*"),
COUNTIFS('QA Log'!D:D,A227,'QA Log'!M:M,"QQC",'QA Log'!Z:Z,"Approved",'QA Log'!L:L,"*9. EPI and Pre-school Consultation*"),
COUNTIFS('QA Log'!D:D,A227,'QA Log'!M:M,"QQC",'QA Log'!Z:Z,"Approved",'QA Log'!L:L,"*10. Antenatal Care (ANC)*"),
COUNTIFS('QA Log'!D:D,A227,'QA Log'!M:M,"QQC",'QA Log'!Z:Z,"Approved",'QA Log'!L:L,"*2. Hygiene and Sterilization*"),
COUNTIFS('QA Log'!D:D,A227,'QA Log'!M:M,"QQC",'QA Log'!Z:Z,"Approved",'QA Log'!L:L,"*4. Family Planning*")
))</f>
        <v/>
      </c>
      <c r="W227" s="105" t="str">
        <f>IF(A227&lt;&gt;"",COUNTIFS('QA Log'!D:D,A227,'QA Log'!M:M,"QQC",'QA Log'!L:L,"8. Maternity",'QA Log'!Z:Z,"Approved"),"")</f>
        <v/>
      </c>
      <c r="X227" s="105" t="str">
        <f>IF(A227&lt;&gt;"",COUNTIFS('QA Log'!D:D,A227,'QA Log'!M:M,"QQC",'QA Log'!L:L,"9. EPI and Pre-school Consultation",'QA Log'!Z:Z,"Approved"),"")</f>
        <v/>
      </c>
      <c r="Y227" s="105" t="str">
        <f>IF(A227&lt;&gt;"",COUNTIFS('QA Log'!D:D,A227,'QA Log'!M:M,"QQC",'QA Log'!L:L,"10. Antenatal Care (ANC)",'QA Log'!Z:Z,"Approved"),"")</f>
        <v/>
      </c>
      <c r="Z227" s="105" t="str">
        <f>IF(A227&lt;&gt;"",COUNTIFS('QA Log'!D:D,A227,'QA Log'!M:M,"QQC",'QA Log'!L:L,"2. Hygiene and Sterilization",'QA Log'!Z:Z,"Approved"),"")</f>
        <v/>
      </c>
      <c r="AA227" s="105" t="str">
        <f>IF(A227&lt;&gt;"",COUNTIFS('QA Log'!D:D,A227,'QA Log'!M:M,"QQC",'QA Log'!L:L,"4. Family Planning",'QA Log'!Z:Z,"Approved"),"")</f>
        <v/>
      </c>
      <c r="AB227" s="102" t="str">
        <f>IF(A227="","",
SUM(
COUNTIFS('QA Log'!D:D,A227,'QA Log'!M:M,"QQC",'QA Log'!Z:Z,"Rejected",'QA Log'!L:L,"*8. Maternity*"),
COUNTIFS('QA Log'!D:D,A227,'QA Log'!M:M,"QQC",'QA Log'!Z:Z,"Rejected",'QA Log'!L:L,"*9. EPI and Pre-school Consultation*"),
COUNTIFS('QA Log'!D:D,A227,'QA Log'!M:M,"QQC",'QA Log'!Z:Z,"Rejected",'QA Log'!L:L,"*10. Antenatal Care (ANC)*"),
COUNTIFS('QA Log'!D:D,A227,'QA Log'!M:M,"QQC",'QA Log'!Z:Z,"Rejected",'QA Log'!L:L,"*2. Hygiene and Sterilization*"),
COUNTIFS('QA Log'!D:D,A227,'QA Log'!M:M,"QQC",'QA Log'!Z:Z,"Rejected",'QA Log'!L:L,"*4. Family Planning*")
))</f>
        <v/>
      </c>
      <c r="AC227" s="102" t="str">
        <f t="shared" si="3"/>
        <v/>
      </c>
      <c r="AD227" s="103" t="str">
        <f t="shared" si="4"/>
        <v/>
      </c>
      <c r="AE227" s="102" t="str">
        <f>IF(A227="","",
SUM(
COUNTIFS('QA Log'!D:D,A227,'QA Log'!M:M,"Data Verification",'QA Log'!L:L,"*Medicine (section 2)*"),
COUNTIFS('QA Log'!D:D,A227,'QA Log'!M:M,"Data Verification",'QA Log'!L:L,"*Lab Testing Availability*"),
COUNTIFS('QA Log'!D:D,A227,'QA Log'!M:M,"Data Verification",'QA Log'!L:L,"*Other than P4P (section 6)*"),
COUNTIFS('QA Log'!D:D,A227,'QA Log'!M:M,"Data Verification",'QA Log'!L:L,"*Hospital Governance*")
))</f>
        <v/>
      </c>
      <c r="AF227" s="102" t="str">
        <f>IF(A227="","",
SUM(
COUNTIFS('QA Log'!D:D,A227,'QA Log'!M:M,"Data Verification",'QA Log'!Z:Z,"Approved",'QA Log'!L:L,"*Medicine (section 2)*"),
COUNTIFS('QA Log'!D:D,A227,'QA Log'!M:M,"Data Verification",'QA Log'!Z:Z,"Approved",'QA Log'!L:L,"*Lab Testing Availability*"),
COUNTIFS('QA Log'!D:D,A227,'QA Log'!M:M,"Data Verification",'QA Log'!Z:Z,"Approved",'QA Log'!L:L,"*Other than P4P (section 6)*"),
COUNTIFS('QA Log'!D:D,A227,'QA Log'!M:M,"Data Verification",'QA Log'!Z:Z,"Approved",'QA Log'!L:L,"*Hospital Governance*")
))</f>
        <v/>
      </c>
      <c r="AG227" s="105" t="str">
        <f>IF(A227&lt;&gt;"",COUNTIFS('QA Log'!D:D,A227,'QA Log'!M:M,"Data Verification",'QA Log'!L:L,"Medicine (section 2)",'QA Log'!Z:Z,"Approved"),"")</f>
        <v/>
      </c>
      <c r="AH227" s="105" t="str">
        <f>IF(A227&lt;&gt;"",COUNTIFS('QA Log'!D:D,A227,'QA Log'!M:M,"Data Verification",'QA Log'!L:L,"Lab Testing Availability",'QA Log'!Z:Z,"Approved"),"")</f>
        <v/>
      </c>
      <c r="AI227" s="105" t="str">
        <f>IF(A227&lt;&gt;"",COUNTIFS('QA Log'!D:D,A227,'QA Log'!M:M,"Data Verification",'QA Log'!L:L,"Other than P4P (section 6)",'QA Log'!Z:Z,"Approved"),"")</f>
        <v/>
      </c>
      <c r="AJ227" s="105" t="str">
        <f>IF(A227&lt;&gt;"",COUNTIFS('QA Log'!D:D,A227,'QA Log'!M:M,"Data Verification",'QA Log'!L:L,"Hospital Governance",'QA Log'!Z:Z,"Approved"),"")</f>
        <v/>
      </c>
      <c r="AK227" s="102" t="str">
        <f>IF(A227="","",
SUM(
COUNTIFS('QA Log'!D:D,A227,'QA Log'!M:M,"Data Verification",'QA Log'!Z:Z,"Rejected",'QA Log'!L:L,"*Medicine (section 2)*"),
COUNTIFS('QA Log'!D:D,A227,'QA Log'!M:M,"Data Verification",'QA Log'!Z:Z,"Rejected",'QA Log'!L:L,"*Lab Testing Availability*"),
COUNTIFS('QA Log'!D:D,A227,'QA Log'!M:M,"Data Verification",'QA Log'!Z:Z,"Rejected",'QA Log'!L:L,"*Other than P4P (section 6)*"),
COUNTIFS('QA Log'!D:D,A227,'QA Log'!M:M,"Data Verification",'QA Log'!Z:Z,"Rejected",'QA Log'!L:L,"*Hospital Governance*")
))</f>
        <v/>
      </c>
      <c r="AL227" s="106" t="str">
        <f t="shared" si="5"/>
        <v/>
      </c>
      <c r="AM227" s="102" t="str">
        <f t="shared" si="6"/>
        <v/>
      </c>
      <c r="AN227" s="102" t="str">
        <f>IF(A227="","",
SUM(
COUNTIFS('QA Log'!D:D,A227,'QA Log'!M:M,"Data Verification",'QA Log'!L:L,"*Personnel (section 1)*"),
COUNTIFS('QA Log'!D:D,A227,'QA Log'!M:M,"Data Verification",'QA Log'!L:L,"*Consumable (section 3)*"),
COUNTIFS('QA Log'!D:D,A227,'QA Log'!M:M,"Data Verification",'QA Log'!L:L,"*Equipments (section 4)*")
))</f>
        <v/>
      </c>
      <c r="AO227" s="102" t="str">
        <f>IF(A227="","",
SUM(
COUNTIFS('QA Log'!D:D,A227,'QA Log'!M:M,"Data Verification",'QA Log'!Z:Z,"Approved",'QA Log'!L:L,"*Personnel (section 1)*"),
COUNTIFS('QA Log'!D:D,A227,'QA Log'!M:M,"Data Verification",'QA Log'!Z:Z,"Approved",'QA Log'!L:L,"*Consumable (section 3)*"),
COUNTIFS('QA Log'!D:D,A227,'QA Log'!M:M,"Data Verification",'QA Log'!Z:Z,"Approved",'QA Log'!L:L,"*Equipments (section 4)*")
))</f>
        <v/>
      </c>
      <c r="AP227" s="105" t="str">
        <f>IF(A227&lt;&gt;"",COUNTIFS('QA Log'!D:D,A227,'QA Log'!M:M,"Data Verification",'QA Log'!L:L,"Personnel (section 1)",'QA Log'!Z:Z,"Approved"),"")</f>
        <v/>
      </c>
      <c r="AQ227" s="105" t="str">
        <f>IF(A227&lt;&gt;"",COUNTIFS('QA Log'!D:D,A227,'QA Log'!M:M,"Data Verification",'QA Log'!L:L,"Consumable (section 3)",'QA Log'!Z:Z,"Approved"),"")</f>
        <v/>
      </c>
      <c r="AR227" s="105" t="str">
        <f>IF(A227&lt;&gt;"",COUNTIFS('QA Log'!D:D,A227,'QA Log'!M:M,"Data Verification",'QA Log'!L:L,"Equipments (section 4)",'QA Log'!Z:Z,"Approved"),"")</f>
        <v/>
      </c>
      <c r="AS227" s="102" t="str">
        <f>IF(A227="","",
SUM(
COUNTIFS('QA Log'!D:D,A227,'QA Log'!M:M,"Data Verification",'QA Log'!Z:Z,"Rejected",'QA Log'!L:L,"*Personnel (section 1)*"),
COUNTIFS('QA Log'!D:D,A227,'QA Log'!M:M,"Data Verification",'QA Log'!Z:Z,"Rejected",'QA Log'!L:L,"*Consumable (section 3)*"),
COUNTIFS('QA Log'!D:D,A227,'QA Log'!M:M,"Data Verification",'QA Log'!Z:Z,"Rejected",'QA Log'!L:L,"*Equipments (section 4)*")
))</f>
        <v/>
      </c>
      <c r="AT227" s="102" t="str">
        <f t="shared" si="7"/>
        <v/>
      </c>
      <c r="AU227" s="103" t="str">
        <f t="shared" si="8"/>
        <v/>
      </c>
      <c r="AV227" s="102" t="str">
        <f>IF(A227="","",SUM(
COUNTIFS('QA Log'!D:D,A227,'QA Log'!M:M,"Vignette",'QA Log'!L:L,"*Vignette [1] Respiratory Infection: Pneumonia*"),
COUNTIFS('QA Log'!D:D,A227,'QA Log'!M:M,"Vignette",'QA Log'!L:L,"*Vignette [2]: Diarrhea with Cat B dehydration*"),
COUNTIFS('QA Log'!D:D,A227,'QA Log'!M:M,"Vignette",'QA Log'!L:L,"*Vignette [3] Growth Monitoring and Promotion*"),
COUNTIFS('QA Log'!D:D,A227,'QA Log'!M:M,"Vignette",'QA Log'!L:L,"*Vignette [4]: The management of presumptive TB patient*")
)
)</f>
        <v/>
      </c>
      <c r="AW227" s="102" t="str">
        <f>IF(
  A227="","",
  SUM(
    COUNTIFS('QA Log'!D:D,A227,'QA Log'!M:M,"Vignette",'QA Log'!Z:Z,"Approved",'QA Log'!L:L,"*Vignette [1] Respiratory Infection: Pneumonia*"),
    COUNTIFS('QA Log'!D:D,A227,'QA Log'!M:M,"Vignette",'QA Log'!Z:Z,"Approved",'QA Log'!L:L,"*Vignette [2]: Diarrhea with Cat B dehydration*"),
    COUNTIFS('QA Log'!D:D,A227,'QA Log'!M:M,"Vignette",'QA Log'!Z:Z,"Approved",'QA Log'!L:L,"*Vignette [3] Growth Monitoring and Promotion*"),
    COUNTIFS('QA Log'!D:D,A227,'QA Log'!M:M,"Vignette",'QA Log'!Z:Z,"Approved",'QA Log'!L:L,"*Vignette [4]: The management of presumptive TB patient*")
  )
)</f>
        <v/>
      </c>
      <c r="AX227" s="105" t="str">
        <f>IF(A227&lt;&gt;"",COUNTIFS('QA Log'!D:D,A227,'QA Log'!M:M,"Vignette",'QA Log'!L:L,"Vignette [1] Respiratory Infection: Pneumonia",'QA Log'!Z:Z,"Approved"),"")</f>
        <v/>
      </c>
      <c r="AY227" s="105" t="str">
        <f>IF(A227&lt;&gt;"",COUNTIFS('QA Log'!D:D,A227,'QA Log'!M:M,"Vignette",'QA Log'!L:L,"Vignette [2]: Diarrhea with Cat B dehydration",'QA Log'!Z:Z,"Approved"),"")</f>
        <v/>
      </c>
      <c r="AZ227" s="105" t="str">
        <f>IF(A227&lt;&gt;"",COUNTIFS('QA Log'!D:D,A227,'QA Log'!M:M,"Vignette",'QA Log'!L:L,"Vignette [3] Growth Monitoring and Promotion",'QA Log'!Z:Z,"Approved"),"")</f>
        <v/>
      </c>
      <c r="BA227" s="105" t="str">
        <f>IF(A227&lt;&gt;"",COUNTIFS('QA Log'!D:D,A227,'QA Log'!M:M,"Vignette",'QA Log'!L:L,"Vignette [4]: The management of presumptive TB patient",'QA Log'!Z:Z,"Approved"),"")</f>
        <v/>
      </c>
      <c r="BB227" s="102" t="str">
        <f>IF(A227="","",
  SUM(
    COUNTIFS('QA Log'!D:D,A227,'QA Log'!M:M,"Vignette",'QA Log'!Z:Z,"Rejected",'QA Log'!L:L,"*Vignette [1] Respiratory Infection: Pneumonia*"),
    COUNTIFS('QA Log'!D:D,A227,'QA Log'!M:M,"Vignette",'QA Log'!Z:Z,"Rejected",'QA Log'!L:L,"*Vignette [2]: Diarrhea with Cat B dehydration*"),
    COUNTIFS('QA Log'!D:D,A227,'QA Log'!M:M,"Vignette",'QA Log'!Z:Z,"Rejected",'QA Log'!L:L,"*Vignette [3] Growth Monitoring and Promotion*"),
    COUNTIFS('QA Log'!D:D,A227,'QA Log'!M:M,"Vignette",'QA Log'!Z:Z,"Rejected",'QA Log'!L:L,"*Vignette [4]: The management of presumptive TB patient*")
  )
)</f>
        <v/>
      </c>
      <c r="BC227" s="107" t="str">
        <f t="shared" si="9"/>
        <v/>
      </c>
      <c r="BD227" s="103" t="str">
        <f t="shared" si="10"/>
        <v/>
      </c>
      <c r="BE227" s="102" t="str">
        <f>IF(A227="","",SUM(
COUNTIFS('QA Log'!D:D,A227,'QA Log'!M:M,"Vignette",'QA Log'!L:L,"*Vignette [5] Labor*"),
COUNTIFS('QA Log'!D:D,A227,'QA Log'!M:M,"Vignette",'QA Log'!L:L,"*Vignette [6] PNC pre Discharge*"),
COUNTIFS('QA Log'!D:D,A227,'QA Log'!M:M,"Vignette",'QA Log'!L:L,"*Vignette [7] First ANC Visit*"),
COUNTIFS('QA Log'!D:D,A227,'QA Log'!M:M,"Vignette",'QA Log'!L:L,"*Vignette [8] Birth Spacing/ Family Planning :  FP Counselling*"),
COUNTIFS('QA Log'!D:D,A227,'QA Log'!M:M,"Vignette",'QA Log'!L:L,"*Vignette [9] Birth Spacing: Change FP method to Injectable*"),
COUNTIFS('QA Log'!D:D,A227,'QA Log'!M:M,"Vignette",'QA Log'!L:L,"*Vignette [10] Post Partum Haemorrhage - Atonic Uterus at Health Centre*"),
)
)</f>
        <v/>
      </c>
      <c r="BF227" s="102" t="str">
        <f>IF(A227="","",
  SUM(
    COUNTIFS('QA Log'!D:D,A227,'QA Log'!M:M,"Vignette",'QA Log'!Z:Z,"Approved",'QA Log'!L:L,"*Vignette [5] Labor*"),
    COUNTIFS('QA Log'!D:D,A227,'QA Log'!M:M,"Vignette",'QA Log'!Z:Z,"Approved",'QA Log'!L:L,"*Vignette [6] PNC pre Discharge*"),
    COUNTIFS('QA Log'!D:D,A227,'QA Log'!M:M,"Vignette",'QA Log'!Z:Z,"Approved",'QA Log'!L:L,"*Vignette [7] First ANC Visit*"),
    COUNTIFS('QA Log'!D:D,A227,'QA Log'!M:M,"Vignette",'QA Log'!Z:Z,"Approved",'QA Log'!L:L,"*Vignette [8] Birth Spacing/ Family Planning :  FP Counselling*"),
    COUNTIFS('QA Log'!D:D,A227,'QA Log'!M:M,"Vignette",'QA Log'!Z:Z,"Approved",'QA Log'!L:L,"*Vignette [9] Birth Spacing: Change FP method to Injectable*"),
    COUNTIFS('QA Log'!D:D,A227,'QA Log'!M:M,"Vignette",'QA Log'!Z:Z,"Approved",'QA Log'!L:L,"*Vignette [10] Post Partum Haemorrhage - Atonic Uterus at Health Centre*")
  )
)</f>
        <v/>
      </c>
      <c r="BG227" s="105" t="str">
        <f>IF(A227&lt;&gt;"",COUNTIFS('QA Log'!D:D,A227,'QA Log'!M:M,"Vignette",'QA Log'!L:L,"Vignette [5] Labor",'QA Log'!Z:Z,"Approved"),"")</f>
        <v/>
      </c>
      <c r="BH227" s="105" t="str">
        <f>IF(A227&lt;&gt;"",COUNTIFS('QA Log'!D:D,A227,'QA Log'!M:M,"Vignette",'QA Log'!L:L,"Vignette [6] PNC pre Discharge",'QA Log'!Z:Z,"Approved"),"")</f>
        <v/>
      </c>
      <c r="BI227" s="105" t="str">
        <f>IF(A227&lt;&gt;"",COUNTIFS('QA Log'!D:D,A227,'QA Log'!M:M,"Vignette",'QA Log'!L:L,"Vignette [7] First ANC Visit",'QA Log'!Z:Z,"Approved"),"")</f>
        <v/>
      </c>
      <c r="BJ227" s="105" t="str">
        <f>IF(A227&lt;&gt;"",COUNTIFS('QA Log'!D:D,A227,'QA Log'!M:M,"Vignette",'QA Log'!L:L,"Vignette [8] Birth Spacing/ Family Planning :  FP Counselling",'QA Log'!Z:Z,"Approved"),"")</f>
        <v/>
      </c>
      <c r="BK227" s="105" t="str">
        <f>IF(A227&lt;&gt;"",COUNTIFS('QA Log'!D:D,A227,'QA Log'!M:M,"Vignette",'QA Log'!L:L,"Vignette [9] Birth Spacing: Change FP method to Injectable",'QA Log'!Z:Z,"Approved"),"")</f>
        <v/>
      </c>
      <c r="BL227" s="105" t="str">
        <f>IF(A227&lt;&gt;"",COUNTIFS('QA Log'!D:D,A227,'QA Log'!M:M,"Vignette",'QA Log'!L:L,"Vignette [10] Post Partum Haemorrhage - Atonic Uterus at Health Centre",'QA Log'!Z:Z,"Approved"),"")</f>
        <v/>
      </c>
      <c r="BM227" s="102" t="str">
        <f>IF(A227="","",SUM(
    COUNTIFS('QA Log'!D:D,A227,'QA Log'!M:M,"Vignette",'QA Log'!Z:Z,"Rejected",'QA Log'!L:L,"*Vignette [5] Labor*"),
    COUNTIFS('QA Log'!D:D,A227,'QA Log'!M:M,"Vignette",'QA Log'!Z:Z,"Rejected",'QA Log'!L:L,"*Vignette [6] PNC pre Discharge*"),
    COUNTIFS('QA Log'!D:D,A227,'QA Log'!M:M,"Vignette",'QA Log'!Z:Z,"Rejected",'QA Log'!L:L,"*Vignette [7] First ANC Visit*"),
    COUNTIFS('QA Log'!D:D,A227,'QA Log'!M:M,"Vignette",'QA Log'!Z:Z,"Rejected",'QA Log'!L:L,"*Vignette [8] Birth Spacing/ Family Planning :  FP Counselling*"),
    COUNTIFS('QA Log'!D:D,A227,'QA Log'!M:M,"Vignette",'QA Log'!Z:Z,"Rejected",'QA Log'!L:L,"*Vignette [9] Birth Spacing: Change FP method to Injectable*"),
    COUNTIFS('QA Log'!D:D,A227,'QA Log'!M:M,"Vignette",'QA Log'!Z:Z,"Rejected",'QA Log'!L:L,"*Vignette [10] Post Partum Haemorrhage - Atonic Uterus at Health Centre*")
  )
)</f>
        <v/>
      </c>
      <c r="BN227" s="107" t="str">
        <f t="shared" si="11"/>
        <v/>
      </c>
      <c r="BO227" s="103" t="str">
        <f t="shared" si="12"/>
        <v/>
      </c>
      <c r="BP227" s="102" t="str">
        <f>IF(A227="","",SUM(
COUNTIFS('QA Log'!D:D,A227,'QA Log'!M:M,"Vignette",'QA Log'!L:L,"*Exit Interview 1*"),
COUNTIFS('QA Log'!D:D,A227,'QA Log'!M:M,"Vignette",'QA Log'!L:L,"*Exit Interview 2*"),
)
)</f>
        <v/>
      </c>
      <c r="BQ227" s="102" t="str">
        <f>IF(
  A227="","",
  SUM(
    COUNTIFS('QA Log'!D:D,A227,'QA Log'!M:M,"Vignette",'QA Log'!Z:Z,"Approved",'QA Log'!L:L,"*Exit Interview 1*"),
    COUNTIFS('QA Log'!D:D,A227,'QA Log'!M:M,"Vignette",'QA Log'!Z:Z,"Approved",'QA Log'!L:L,"*Exit Interview 2*")
  )
)</f>
        <v/>
      </c>
      <c r="BR227" s="105" t="str">
        <f>IF(A227&lt;&gt;"",COUNTIFS('QA Log'!D:D,A227,'QA Log'!M:M,"Vignette",'QA Log'!L:L,"Exit Interview 1",'QA Log'!Z:Z,"Approved"),"")</f>
        <v/>
      </c>
      <c r="BS227" s="105" t="str">
        <f>IF(A227&lt;&gt;"",COUNTIFS('QA Log'!D:D,A227,'QA Log'!M:M,"Vignette",'QA Log'!L:L,"Exit Interview 2",'QA Log'!Z:Z,"Approved"),"")</f>
        <v/>
      </c>
      <c r="BT227" s="102" t="str">
        <f>IF(
  A227="","",
  SUM(
    COUNTIFS('QA Log'!D:D,A227,'QA Log'!M:M,"Vignette",'QA Log'!Z:Z,"Rejected",'QA Log'!L:L,"*Exit Interview 1*"),
    COUNTIFS('QA Log'!D:D,A227,'QA Log'!M:M,"Vignette",'QA Log'!Z:Z,"Rejected",'QA Log'!L:L,"*Exit Interview 2*")
  )
)</f>
        <v/>
      </c>
      <c r="BU227" s="107" t="str">
        <f t="shared" si="13"/>
        <v/>
      </c>
      <c r="BV227" s="102" t="str">
        <f t="shared" si="14"/>
        <v/>
      </c>
      <c r="BW227" s="102" t="str">
        <f t="shared" si="15"/>
        <v/>
      </c>
      <c r="BX227" s="102" t="str">
        <f t="shared" si="16"/>
        <v/>
      </c>
      <c r="BY227" s="102" t="str">
        <f t="shared" si="17"/>
        <v/>
      </c>
      <c r="BZ227" s="107" t="str">
        <f t="shared" si="18"/>
        <v/>
      </c>
      <c r="CA227" s="108" t="str">
        <f t="shared" si="19"/>
        <v/>
      </c>
      <c r="CB227" s="108" t="str">
        <f t="shared" si="20"/>
        <v/>
      </c>
      <c r="CC227" s="109" t="str">
        <f t="shared" si="21"/>
        <v/>
      </c>
      <c r="CD227" s="108" t="str">
        <f t="shared" si="22"/>
        <v/>
      </c>
      <c r="CE227" s="108" t="str">
        <f t="shared" si="23"/>
        <v/>
      </c>
      <c r="CF227" s="109" t="str">
        <f t="shared" si="24"/>
        <v/>
      </c>
      <c r="CG227" s="110" t="str">
        <f t="shared" si="25"/>
        <v/>
      </c>
      <c r="CH227" s="111"/>
    </row>
    <row r="228" spans="1:86" ht="12.75">
      <c r="A228" s="101"/>
      <c r="B228" s="102" t="e">
        <f t="array" aca="1" ref="B228" ca="1">_xludf.XLOOKUP(A228,'QA Log'!D:D,'QA Log'!E:E,"")</f>
        <v>#NAME?</v>
      </c>
      <c r="C228" s="102" t="e">
        <f t="array" aca="1" ref="C228" ca="1">_xludf.XLOOKUP(A228,'QA Log'!D:D,'QA Log'!F:F,"")</f>
        <v>#NAME?</v>
      </c>
      <c r="D228" s="102" t="e">
        <f t="array" aca="1" ref="D228" ca="1">_xludf.XLOOKUP(A228,'QA Log'!D:D,'QA Log'!H:H,"")</f>
        <v>#NAME?</v>
      </c>
      <c r="E228" s="102" t="e">
        <f t="array" aca="1" ref="E228" ca="1">_xludf.XLOOKUP(A228,'QA Log'!D:D,'QA Log'!G:G,"")</f>
        <v>#NAME?</v>
      </c>
      <c r="F228" s="103"/>
      <c r="G228" s="104"/>
      <c r="H228" s="104"/>
      <c r="I228" s="103" t="str">
        <f t="shared" si="0"/>
        <v/>
      </c>
      <c r="J228" s="102" t="str">
        <f>IF(A228="","",SUM(
COUNTIFS('QA Log'!D:D,A228,'QA Log'!M:M,"QQC",'QA Log'!L:L,"*1. General Management*"),
COUNTIFS('QA Log'!D:D,A228,'QA Log'!M:M,"QQC",'QA Log'!L:L,"*3. Curative Consultation (OPD)*"),
COUNTIFS('QA Log'!D:D,A228,'QA Log'!M:M,"QQC",'QA Log'!L:L,"*5. Laboratory*"),
COUNTIFS('QA Log'!D:D,A228,'QA Log'!M:M,"QQC",'QA Log'!L:L,"*6. Essential Medicine Management*"),
COUNTIFS('QA Log'!D:D,A228,'QA Log'!M:M,"QQC",'QA Log'!L:L,"*7. Tracer Medicine*"),
COUNTIFS('QA Log'!D:D,A228,'QA Log'!M:M,"QQC",'QA Log'!L:L,"*11. Additional Questions*")))</f>
        <v/>
      </c>
      <c r="K228" s="102" t="str">
        <f>IF(A228="","",SUM(
COUNTIFS('QA Log'!D:D,A228,'QA Log'!M:M,"QQC",'QA Log'!Z:Z,"Approved",'QA Log'!L:L,"*1. General Management*"),
COUNTIFS('QA Log'!D:D,A228,'QA Log'!M:M,"QQC",'QA Log'!Z:Z,"Approved",'QA Log'!L:L,"*3. Curative Consultation (OPD)*"),
COUNTIFS('QA Log'!D:D,A228,'QA Log'!M:M,"QQC",'QA Log'!Z:Z,"Approved",'QA Log'!L:L,"*5. Laboratory*"),
COUNTIFS('QA Log'!D:D,A228,'QA Log'!M:M,"QQC",'QA Log'!Z:Z,"Approved",'QA Log'!L:L,"*6. Essential Medicine Management*"),
COUNTIFS('QA Log'!D:D,A228,'QA Log'!M:M,"QQC",'QA Log'!Z:Z,"Approved",'QA Log'!L:L,"*7. Tracer Medicine*"),
COUNTIFS('QA Log'!D:D,A228,'QA Log'!M:M,"QQC",'QA Log'!Z:Z,"Approved",'QA Log'!L:L,"*11. Additional Questions*")))</f>
        <v/>
      </c>
      <c r="L228" s="105" t="str">
        <f>IF(A228&lt;&gt;"",COUNTIFS('QA Log'!D:D,A228,'QA Log'!M:M,"QQC",'QA Log'!L:L,"1. General Management",'QA Log'!Z:Z,"Approved"),"")</f>
        <v/>
      </c>
      <c r="M228" s="105" t="str">
        <f>IF(A228&lt;&gt;"",COUNTIFS('QA Log'!D:D,A228,'QA Log'!M:M,"QQC",'QA Log'!L:L,"3. Curative Consultation (OPD)",'QA Log'!Z:Z,"Approved"),"")</f>
        <v/>
      </c>
      <c r="N228" s="105" t="str">
        <f>IF(A228&lt;&gt;"",COUNTIFS('QA Log'!D:D,A228,'QA Log'!M:M,"QQC",'QA Log'!L:L,"5. Laboratory",'QA Log'!Z:Z,"Approved"),"")</f>
        <v/>
      </c>
      <c r="O228" s="105" t="str">
        <f>IF(A228&lt;&gt;"",COUNTIFS('QA Log'!D:D,A228,'QA Log'!M:M,"QQC",'QA Log'!L:L,"6. Essential Medicine Management",'QA Log'!Z:Z,"Approved"),"")</f>
        <v/>
      </c>
      <c r="P228" s="105" t="str">
        <f>IF(A228&lt;&gt;"",COUNTIFS('QA Log'!D:D,A228,'QA Log'!M:M,"QQC",'QA Log'!L:L,"7. Tracer Medicine",'QA Log'!Z:Z,"Approved"),"")</f>
        <v/>
      </c>
      <c r="Q228" s="105" t="str">
        <f>IF(A228&lt;&gt;"",COUNTIFS('QA Log'!D:D,A228,'QA Log'!M:M,"QQC",'QA Log'!L:L,"11. Additional Questions",'QA Log'!Z:Z,"Approved"),"")</f>
        <v/>
      </c>
      <c r="R228" s="102" t="str">
        <f>IF(A228="","",SUM(
COUNTIFS('QA Log'!D:D,A228,'QA Log'!M:M,"QQC",'QA Log'!Z:Z,"Rejected",'QA Log'!L:L,"*8. Maternity*"),
COUNTIFS('QA Log'!D:D,A228,'QA Log'!M:M,"QQC",'QA Log'!Z:Z,"Rejected",'QA Log'!L:L,"*EPI*"),
COUNTIFS('QA Log'!D:D,A228,'QA Log'!M:M,"QQC",'QA Log'!Z:Z,"Rejected",'QA Log'!L:L,"*10. Antenatal Care (ANC)*"),
COUNTIFS('QA Log'!D:D,A228,'QA Log'!M:M,"QQC",'QA Log'!Z:Z,"Rejected",'QA Log'!L:L,"*2. Hygiene and Sterilization*"),
COUNTIFS('QA Log'!D:D,A228,'QA Log'!M:M,"QQC",'QA Log'!Z:Z,"Rejected",'QA Log'!L:L,"*Family Planning*")))</f>
        <v/>
      </c>
      <c r="S228" s="106" t="str">
        <f t="shared" si="1"/>
        <v/>
      </c>
      <c r="T228" s="102" t="str">
        <f t="shared" si="2"/>
        <v/>
      </c>
      <c r="U228" s="102" t="str">
        <f>IF(A228="","",
SUM(
COUNTIFS('QA Log'!D:D,A228,'QA Log'!M:M,"QQC",'QA Log'!L:L,"*8. Maternity*"),
COUNTIFS('QA Log'!D:D,A228,'QA Log'!M:M,"QQC",'QA Log'!L:L,"*9. EPI and Pre-school Consultation*"),
COUNTIFS('QA Log'!D:D,A228,'QA Log'!M:M,"QQC",'QA Log'!L:L,"*10. Antenatal Care (ANC)*"),
COUNTIFS('QA Log'!D:D,A228,'QA Log'!M:M,"QQC",'QA Log'!L:L,"*2. Hygiene and Sterilization*"),
COUNTIFS('QA Log'!D:D,A228,'QA Log'!M:M,"QQC",'QA Log'!L:L,"*4. Family Planning*")
))</f>
        <v/>
      </c>
      <c r="V228" s="102" t="str">
        <f>IF(A228="","",
SUM(
COUNTIFS('QA Log'!D:D,A228,'QA Log'!M:M,"QQC",'QA Log'!Z:Z,"Approved",'QA Log'!L:L,"*8. Maternity*"),
COUNTIFS('QA Log'!D:D,A228,'QA Log'!M:M,"QQC",'QA Log'!Z:Z,"Approved",'QA Log'!L:L,"*9. EPI and Pre-school Consultation*"),
COUNTIFS('QA Log'!D:D,A228,'QA Log'!M:M,"QQC",'QA Log'!Z:Z,"Approved",'QA Log'!L:L,"*10. Antenatal Care (ANC)*"),
COUNTIFS('QA Log'!D:D,A228,'QA Log'!M:M,"QQC",'QA Log'!Z:Z,"Approved",'QA Log'!L:L,"*2. Hygiene and Sterilization*"),
COUNTIFS('QA Log'!D:D,A228,'QA Log'!M:M,"QQC",'QA Log'!Z:Z,"Approved",'QA Log'!L:L,"*4. Family Planning*")
))</f>
        <v/>
      </c>
      <c r="W228" s="105" t="str">
        <f>IF(A228&lt;&gt;"",COUNTIFS('QA Log'!D:D,A228,'QA Log'!M:M,"QQC",'QA Log'!L:L,"8. Maternity",'QA Log'!Z:Z,"Approved"),"")</f>
        <v/>
      </c>
      <c r="X228" s="105" t="str">
        <f>IF(A228&lt;&gt;"",COUNTIFS('QA Log'!D:D,A228,'QA Log'!M:M,"QQC",'QA Log'!L:L,"9. EPI and Pre-school Consultation",'QA Log'!Z:Z,"Approved"),"")</f>
        <v/>
      </c>
      <c r="Y228" s="105" t="str">
        <f>IF(A228&lt;&gt;"",COUNTIFS('QA Log'!D:D,A228,'QA Log'!M:M,"QQC",'QA Log'!L:L,"10. Antenatal Care (ANC)",'QA Log'!Z:Z,"Approved"),"")</f>
        <v/>
      </c>
      <c r="Z228" s="105" t="str">
        <f>IF(A228&lt;&gt;"",COUNTIFS('QA Log'!D:D,A228,'QA Log'!M:M,"QQC",'QA Log'!L:L,"2. Hygiene and Sterilization",'QA Log'!Z:Z,"Approved"),"")</f>
        <v/>
      </c>
      <c r="AA228" s="105" t="str">
        <f>IF(A228&lt;&gt;"",COUNTIFS('QA Log'!D:D,A228,'QA Log'!M:M,"QQC",'QA Log'!L:L,"4. Family Planning",'QA Log'!Z:Z,"Approved"),"")</f>
        <v/>
      </c>
      <c r="AB228" s="102" t="str">
        <f>IF(A228="","",
SUM(
COUNTIFS('QA Log'!D:D,A228,'QA Log'!M:M,"QQC",'QA Log'!Z:Z,"Rejected",'QA Log'!L:L,"*8. Maternity*"),
COUNTIFS('QA Log'!D:D,A228,'QA Log'!M:M,"QQC",'QA Log'!Z:Z,"Rejected",'QA Log'!L:L,"*9. EPI and Pre-school Consultation*"),
COUNTIFS('QA Log'!D:D,A228,'QA Log'!M:M,"QQC",'QA Log'!Z:Z,"Rejected",'QA Log'!L:L,"*10. Antenatal Care (ANC)*"),
COUNTIFS('QA Log'!D:D,A228,'QA Log'!M:M,"QQC",'QA Log'!Z:Z,"Rejected",'QA Log'!L:L,"*2. Hygiene and Sterilization*"),
COUNTIFS('QA Log'!D:D,A228,'QA Log'!M:M,"QQC",'QA Log'!Z:Z,"Rejected",'QA Log'!L:L,"*4. Family Planning*")
))</f>
        <v/>
      </c>
      <c r="AC228" s="102" t="str">
        <f t="shared" si="3"/>
        <v/>
      </c>
      <c r="AD228" s="103" t="str">
        <f t="shared" si="4"/>
        <v/>
      </c>
      <c r="AE228" s="102" t="str">
        <f>IF(A228="","",
SUM(
COUNTIFS('QA Log'!D:D,A228,'QA Log'!M:M,"Data Verification",'QA Log'!L:L,"*Medicine (section 2)*"),
COUNTIFS('QA Log'!D:D,A228,'QA Log'!M:M,"Data Verification",'QA Log'!L:L,"*Lab Testing Availability*"),
COUNTIFS('QA Log'!D:D,A228,'QA Log'!M:M,"Data Verification",'QA Log'!L:L,"*Other than P4P (section 6)*"),
COUNTIFS('QA Log'!D:D,A228,'QA Log'!M:M,"Data Verification",'QA Log'!L:L,"*Hospital Governance*")
))</f>
        <v/>
      </c>
      <c r="AF228" s="102" t="str">
        <f>IF(A228="","",
SUM(
COUNTIFS('QA Log'!D:D,A228,'QA Log'!M:M,"Data Verification",'QA Log'!Z:Z,"Approved",'QA Log'!L:L,"*Medicine (section 2)*"),
COUNTIFS('QA Log'!D:D,A228,'QA Log'!M:M,"Data Verification",'QA Log'!Z:Z,"Approved",'QA Log'!L:L,"*Lab Testing Availability*"),
COUNTIFS('QA Log'!D:D,A228,'QA Log'!M:M,"Data Verification",'QA Log'!Z:Z,"Approved",'QA Log'!L:L,"*Other than P4P (section 6)*"),
COUNTIFS('QA Log'!D:D,A228,'QA Log'!M:M,"Data Verification",'QA Log'!Z:Z,"Approved",'QA Log'!L:L,"*Hospital Governance*")
))</f>
        <v/>
      </c>
      <c r="AG228" s="105" t="str">
        <f>IF(A228&lt;&gt;"",COUNTIFS('QA Log'!D:D,A228,'QA Log'!M:M,"Data Verification",'QA Log'!L:L,"Medicine (section 2)",'QA Log'!Z:Z,"Approved"),"")</f>
        <v/>
      </c>
      <c r="AH228" s="105" t="str">
        <f>IF(A228&lt;&gt;"",COUNTIFS('QA Log'!D:D,A228,'QA Log'!M:M,"Data Verification",'QA Log'!L:L,"Lab Testing Availability",'QA Log'!Z:Z,"Approved"),"")</f>
        <v/>
      </c>
      <c r="AI228" s="105" t="str">
        <f>IF(A228&lt;&gt;"",COUNTIFS('QA Log'!D:D,A228,'QA Log'!M:M,"Data Verification",'QA Log'!L:L,"Other than P4P (section 6)",'QA Log'!Z:Z,"Approved"),"")</f>
        <v/>
      </c>
      <c r="AJ228" s="105" t="str">
        <f>IF(A228&lt;&gt;"",COUNTIFS('QA Log'!D:D,A228,'QA Log'!M:M,"Data Verification",'QA Log'!L:L,"Hospital Governance",'QA Log'!Z:Z,"Approved"),"")</f>
        <v/>
      </c>
      <c r="AK228" s="102" t="str">
        <f>IF(A228="","",
SUM(
COUNTIFS('QA Log'!D:D,A228,'QA Log'!M:M,"Data Verification",'QA Log'!Z:Z,"Rejected",'QA Log'!L:L,"*Medicine (section 2)*"),
COUNTIFS('QA Log'!D:D,A228,'QA Log'!M:M,"Data Verification",'QA Log'!Z:Z,"Rejected",'QA Log'!L:L,"*Lab Testing Availability*"),
COUNTIFS('QA Log'!D:D,A228,'QA Log'!M:M,"Data Verification",'QA Log'!Z:Z,"Rejected",'QA Log'!L:L,"*Other than P4P (section 6)*"),
COUNTIFS('QA Log'!D:D,A228,'QA Log'!M:M,"Data Verification",'QA Log'!Z:Z,"Rejected",'QA Log'!L:L,"*Hospital Governance*")
))</f>
        <v/>
      </c>
      <c r="AL228" s="106" t="str">
        <f t="shared" si="5"/>
        <v/>
      </c>
      <c r="AM228" s="102" t="str">
        <f t="shared" si="6"/>
        <v/>
      </c>
      <c r="AN228" s="102" t="str">
        <f>IF(A228="","",
SUM(
COUNTIFS('QA Log'!D:D,A228,'QA Log'!M:M,"Data Verification",'QA Log'!L:L,"*Personnel (section 1)*"),
COUNTIFS('QA Log'!D:D,A228,'QA Log'!M:M,"Data Verification",'QA Log'!L:L,"*Consumable (section 3)*"),
COUNTIFS('QA Log'!D:D,A228,'QA Log'!M:M,"Data Verification",'QA Log'!L:L,"*Equipments (section 4)*")
))</f>
        <v/>
      </c>
      <c r="AO228" s="102" t="str">
        <f>IF(A228="","",
SUM(
COUNTIFS('QA Log'!D:D,A228,'QA Log'!M:M,"Data Verification",'QA Log'!Z:Z,"Approved",'QA Log'!L:L,"*Personnel (section 1)*"),
COUNTIFS('QA Log'!D:D,A228,'QA Log'!M:M,"Data Verification",'QA Log'!Z:Z,"Approved",'QA Log'!L:L,"*Consumable (section 3)*"),
COUNTIFS('QA Log'!D:D,A228,'QA Log'!M:M,"Data Verification",'QA Log'!Z:Z,"Approved",'QA Log'!L:L,"*Equipments (section 4)*")
))</f>
        <v/>
      </c>
      <c r="AP228" s="105" t="str">
        <f>IF(A228&lt;&gt;"",COUNTIFS('QA Log'!D:D,A228,'QA Log'!M:M,"Data Verification",'QA Log'!L:L,"Personnel (section 1)",'QA Log'!Z:Z,"Approved"),"")</f>
        <v/>
      </c>
      <c r="AQ228" s="105" t="str">
        <f>IF(A228&lt;&gt;"",COUNTIFS('QA Log'!D:D,A228,'QA Log'!M:M,"Data Verification",'QA Log'!L:L,"Consumable (section 3)",'QA Log'!Z:Z,"Approved"),"")</f>
        <v/>
      </c>
      <c r="AR228" s="105" t="str">
        <f>IF(A228&lt;&gt;"",COUNTIFS('QA Log'!D:D,A228,'QA Log'!M:M,"Data Verification",'QA Log'!L:L,"Equipments (section 4)",'QA Log'!Z:Z,"Approved"),"")</f>
        <v/>
      </c>
      <c r="AS228" s="102" t="str">
        <f>IF(A228="","",
SUM(
COUNTIFS('QA Log'!D:D,A228,'QA Log'!M:M,"Data Verification",'QA Log'!Z:Z,"Rejected",'QA Log'!L:L,"*Personnel (section 1)*"),
COUNTIFS('QA Log'!D:D,A228,'QA Log'!M:M,"Data Verification",'QA Log'!Z:Z,"Rejected",'QA Log'!L:L,"*Consumable (section 3)*"),
COUNTIFS('QA Log'!D:D,A228,'QA Log'!M:M,"Data Verification",'QA Log'!Z:Z,"Rejected",'QA Log'!L:L,"*Equipments (section 4)*")
))</f>
        <v/>
      </c>
      <c r="AT228" s="102" t="str">
        <f t="shared" si="7"/>
        <v/>
      </c>
      <c r="AU228" s="103" t="str">
        <f t="shared" si="8"/>
        <v/>
      </c>
      <c r="AV228" s="102" t="str">
        <f>IF(A228="","",SUM(
COUNTIFS('QA Log'!D:D,A228,'QA Log'!M:M,"Vignette",'QA Log'!L:L,"*Vignette [1] Respiratory Infection: Pneumonia*"),
COUNTIFS('QA Log'!D:D,A228,'QA Log'!M:M,"Vignette",'QA Log'!L:L,"*Vignette [2]: Diarrhea with Cat B dehydration*"),
COUNTIFS('QA Log'!D:D,A228,'QA Log'!M:M,"Vignette",'QA Log'!L:L,"*Vignette [3] Growth Monitoring and Promotion*"),
COUNTIFS('QA Log'!D:D,A228,'QA Log'!M:M,"Vignette",'QA Log'!L:L,"*Vignette [4]: The management of presumptive TB patient*")
)
)</f>
        <v/>
      </c>
      <c r="AW228" s="102" t="str">
        <f>IF(
  A228="","",
  SUM(
    COUNTIFS('QA Log'!D:D,A228,'QA Log'!M:M,"Vignette",'QA Log'!Z:Z,"Approved",'QA Log'!L:L,"*Vignette [1] Respiratory Infection: Pneumonia*"),
    COUNTIFS('QA Log'!D:D,A228,'QA Log'!M:M,"Vignette",'QA Log'!Z:Z,"Approved",'QA Log'!L:L,"*Vignette [2]: Diarrhea with Cat B dehydration*"),
    COUNTIFS('QA Log'!D:D,A228,'QA Log'!M:M,"Vignette",'QA Log'!Z:Z,"Approved",'QA Log'!L:L,"*Vignette [3] Growth Monitoring and Promotion*"),
    COUNTIFS('QA Log'!D:D,A228,'QA Log'!M:M,"Vignette",'QA Log'!Z:Z,"Approved",'QA Log'!L:L,"*Vignette [4]: The management of presumptive TB patient*")
  )
)</f>
        <v/>
      </c>
      <c r="AX228" s="105" t="str">
        <f>IF(A228&lt;&gt;"",COUNTIFS('QA Log'!D:D,A228,'QA Log'!M:M,"Vignette",'QA Log'!L:L,"Vignette [1] Respiratory Infection: Pneumonia",'QA Log'!Z:Z,"Approved"),"")</f>
        <v/>
      </c>
      <c r="AY228" s="105" t="str">
        <f>IF(A228&lt;&gt;"",COUNTIFS('QA Log'!D:D,A228,'QA Log'!M:M,"Vignette",'QA Log'!L:L,"Vignette [2]: Diarrhea with Cat B dehydration",'QA Log'!Z:Z,"Approved"),"")</f>
        <v/>
      </c>
      <c r="AZ228" s="105" t="str">
        <f>IF(A228&lt;&gt;"",COUNTIFS('QA Log'!D:D,A228,'QA Log'!M:M,"Vignette",'QA Log'!L:L,"Vignette [3] Growth Monitoring and Promotion",'QA Log'!Z:Z,"Approved"),"")</f>
        <v/>
      </c>
      <c r="BA228" s="105" t="str">
        <f>IF(A228&lt;&gt;"",COUNTIFS('QA Log'!D:D,A228,'QA Log'!M:M,"Vignette",'QA Log'!L:L,"Vignette [4]: The management of presumptive TB patient",'QA Log'!Z:Z,"Approved"),"")</f>
        <v/>
      </c>
      <c r="BB228" s="102" t="str">
        <f>IF(A228="","",
  SUM(
    COUNTIFS('QA Log'!D:D,A228,'QA Log'!M:M,"Vignette",'QA Log'!Z:Z,"Rejected",'QA Log'!L:L,"*Vignette [1] Respiratory Infection: Pneumonia*"),
    COUNTIFS('QA Log'!D:D,A228,'QA Log'!M:M,"Vignette",'QA Log'!Z:Z,"Rejected",'QA Log'!L:L,"*Vignette [2]: Diarrhea with Cat B dehydration*"),
    COUNTIFS('QA Log'!D:D,A228,'QA Log'!M:M,"Vignette",'QA Log'!Z:Z,"Rejected",'QA Log'!L:L,"*Vignette [3] Growth Monitoring and Promotion*"),
    COUNTIFS('QA Log'!D:D,A228,'QA Log'!M:M,"Vignette",'QA Log'!Z:Z,"Rejected",'QA Log'!L:L,"*Vignette [4]: The management of presumptive TB patient*")
  )
)</f>
        <v/>
      </c>
      <c r="BC228" s="107" t="str">
        <f t="shared" si="9"/>
        <v/>
      </c>
      <c r="BD228" s="103" t="str">
        <f t="shared" si="10"/>
        <v/>
      </c>
      <c r="BE228" s="102" t="str">
        <f>IF(A228="","",SUM(
COUNTIFS('QA Log'!D:D,A228,'QA Log'!M:M,"Vignette",'QA Log'!L:L,"*Vignette [5] Labor*"),
COUNTIFS('QA Log'!D:D,A228,'QA Log'!M:M,"Vignette",'QA Log'!L:L,"*Vignette [6] PNC pre Discharge*"),
COUNTIFS('QA Log'!D:D,A228,'QA Log'!M:M,"Vignette",'QA Log'!L:L,"*Vignette [7] First ANC Visit*"),
COUNTIFS('QA Log'!D:D,A228,'QA Log'!M:M,"Vignette",'QA Log'!L:L,"*Vignette [8] Birth Spacing/ Family Planning :  FP Counselling*"),
COUNTIFS('QA Log'!D:D,A228,'QA Log'!M:M,"Vignette",'QA Log'!L:L,"*Vignette [9] Birth Spacing: Change FP method to Injectable*"),
COUNTIFS('QA Log'!D:D,A228,'QA Log'!M:M,"Vignette",'QA Log'!L:L,"*Vignette [10] Post Partum Haemorrhage - Atonic Uterus at Health Centre*"),
)
)</f>
        <v/>
      </c>
      <c r="BF228" s="102" t="str">
        <f>IF(A228="","",
  SUM(
    COUNTIFS('QA Log'!D:D,A228,'QA Log'!M:M,"Vignette",'QA Log'!Z:Z,"Approved",'QA Log'!L:L,"*Vignette [5] Labor*"),
    COUNTIFS('QA Log'!D:D,A228,'QA Log'!M:M,"Vignette",'QA Log'!Z:Z,"Approved",'QA Log'!L:L,"*Vignette [6] PNC pre Discharge*"),
    COUNTIFS('QA Log'!D:D,A228,'QA Log'!M:M,"Vignette",'QA Log'!Z:Z,"Approved",'QA Log'!L:L,"*Vignette [7] First ANC Visit*"),
    COUNTIFS('QA Log'!D:D,A228,'QA Log'!M:M,"Vignette",'QA Log'!Z:Z,"Approved",'QA Log'!L:L,"*Vignette [8] Birth Spacing/ Family Planning :  FP Counselling*"),
    COUNTIFS('QA Log'!D:D,A228,'QA Log'!M:M,"Vignette",'QA Log'!Z:Z,"Approved",'QA Log'!L:L,"*Vignette [9] Birth Spacing: Change FP method to Injectable*"),
    COUNTIFS('QA Log'!D:D,A228,'QA Log'!M:M,"Vignette",'QA Log'!Z:Z,"Approved",'QA Log'!L:L,"*Vignette [10] Post Partum Haemorrhage - Atonic Uterus at Health Centre*")
  )
)</f>
        <v/>
      </c>
      <c r="BG228" s="105" t="str">
        <f>IF(A228&lt;&gt;"",COUNTIFS('QA Log'!D:D,A228,'QA Log'!M:M,"Vignette",'QA Log'!L:L,"Vignette [5] Labor",'QA Log'!Z:Z,"Approved"),"")</f>
        <v/>
      </c>
      <c r="BH228" s="105" t="str">
        <f>IF(A228&lt;&gt;"",COUNTIFS('QA Log'!D:D,A228,'QA Log'!M:M,"Vignette",'QA Log'!L:L,"Vignette [6] PNC pre Discharge",'QA Log'!Z:Z,"Approved"),"")</f>
        <v/>
      </c>
      <c r="BI228" s="105" t="str">
        <f>IF(A228&lt;&gt;"",COUNTIFS('QA Log'!D:D,A228,'QA Log'!M:M,"Vignette",'QA Log'!L:L,"Vignette [7] First ANC Visit",'QA Log'!Z:Z,"Approved"),"")</f>
        <v/>
      </c>
      <c r="BJ228" s="105" t="str">
        <f>IF(A228&lt;&gt;"",COUNTIFS('QA Log'!D:D,A228,'QA Log'!M:M,"Vignette",'QA Log'!L:L,"Vignette [8] Birth Spacing/ Family Planning :  FP Counselling",'QA Log'!Z:Z,"Approved"),"")</f>
        <v/>
      </c>
      <c r="BK228" s="105" t="str">
        <f>IF(A228&lt;&gt;"",COUNTIFS('QA Log'!D:D,A228,'QA Log'!M:M,"Vignette",'QA Log'!L:L,"Vignette [9] Birth Spacing: Change FP method to Injectable",'QA Log'!Z:Z,"Approved"),"")</f>
        <v/>
      </c>
      <c r="BL228" s="105" t="str">
        <f>IF(A228&lt;&gt;"",COUNTIFS('QA Log'!D:D,A228,'QA Log'!M:M,"Vignette",'QA Log'!L:L,"Vignette [10] Post Partum Haemorrhage - Atonic Uterus at Health Centre",'QA Log'!Z:Z,"Approved"),"")</f>
        <v/>
      </c>
      <c r="BM228" s="102" t="str">
        <f>IF(A228="","",SUM(
    COUNTIFS('QA Log'!D:D,A228,'QA Log'!M:M,"Vignette",'QA Log'!Z:Z,"Rejected",'QA Log'!L:L,"*Vignette [5] Labor*"),
    COUNTIFS('QA Log'!D:D,A228,'QA Log'!M:M,"Vignette",'QA Log'!Z:Z,"Rejected",'QA Log'!L:L,"*Vignette [6] PNC pre Discharge*"),
    COUNTIFS('QA Log'!D:D,A228,'QA Log'!M:M,"Vignette",'QA Log'!Z:Z,"Rejected",'QA Log'!L:L,"*Vignette [7] First ANC Visit*"),
    COUNTIFS('QA Log'!D:D,A228,'QA Log'!M:M,"Vignette",'QA Log'!Z:Z,"Rejected",'QA Log'!L:L,"*Vignette [8] Birth Spacing/ Family Planning :  FP Counselling*"),
    COUNTIFS('QA Log'!D:D,A228,'QA Log'!M:M,"Vignette",'QA Log'!Z:Z,"Rejected",'QA Log'!L:L,"*Vignette [9] Birth Spacing: Change FP method to Injectable*"),
    COUNTIFS('QA Log'!D:D,A228,'QA Log'!M:M,"Vignette",'QA Log'!Z:Z,"Rejected",'QA Log'!L:L,"*Vignette [10] Post Partum Haemorrhage - Atonic Uterus at Health Centre*")
  )
)</f>
        <v/>
      </c>
      <c r="BN228" s="107" t="str">
        <f t="shared" si="11"/>
        <v/>
      </c>
      <c r="BO228" s="103" t="str">
        <f t="shared" si="12"/>
        <v/>
      </c>
      <c r="BP228" s="102" t="str">
        <f>IF(A228="","",SUM(
COUNTIFS('QA Log'!D:D,A228,'QA Log'!M:M,"Vignette",'QA Log'!L:L,"*Exit Interview 1*"),
COUNTIFS('QA Log'!D:D,A228,'QA Log'!M:M,"Vignette",'QA Log'!L:L,"*Exit Interview 2*"),
)
)</f>
        <v/>
      </c>
      <c r="BQ228" s="102" t="str">
        <f>IF(
  A228="","",
  SUM(
    COUNTIFS('QA Log'!D:D,A228,'QA Log'!M:M,"Vignette",'QA Log'!Z:Z,"Approved",'QA Log'!L:L,"*Exit Interview 1*"),
    COUNTIFS('QA Log'!D:D,A228,'QA Log'!M:M,"Vignette",'QA Log'!Z:Z,"Approved",'QA Log'!L:L,"*Exit Interview 2*")
  )
)</f>
        <v/>
      </c>
      <c r="BR228" s="105" t="str">
        <f>IF(A228&lt;&gt;"",COUNTIFS('QA Log'!D:D,A228,'QA Log'!M:M,"Vignette",'QA Log'!L:L,"Exit Interview 1",'QA Log'!Z:Z,"Approved"),"")</f>
        <v/>
      </c>
      <c r="BS228" s="105" t="str">
        <f>IF(A228&lt;&gt;"",COUNTIFS('QA Log'!D:D,A228,'QA Log'!M:M,"Vignette",'QA Log'!L:L,"Exit Interview 2",'QA Log'!Z:Z,"Approved"),"")</f>
        <v/>
      </c>
      <c r="BT228" s="102" t="str">
        <f>IF(
  A228="","",
  SUM(
    COUNTIFS('QA Log'!D:D,A228,'QA Log'!M:M,"Vignette",'QA Log'!Z:Z,"Rejected",'QA Log'!L:L,"*Exit Interview 1*"),
    COUNTIFS('QA Log'!D:D,A228,'QA Log'!M:M,"Vignette",'QA Log'!Z:Z,"Rejected",'QA Log'!L:L,"*Exit Interview 2*")
  )
)</f>
        <v/>
      </c>
      <c r="BU228" s="107" t="str">
        <f t="shared" si="13"/>
        <v/>
      </c>
      <c r="BV228" s="102" t="str">
        <f t="shared" si="14"/>
        <v/>
      </c>
      <c r="BW228" s="102" t="str">
        <f t="shared" si="15"/>
        <v/>
      </c>
      <c r="BX228" s="102" t="str">
        <f t="shared" si="16"/>
        <v/>
      </c>
      <c r="BY228" s="102" t="str">
        <f t="shared" si="17"/>
        <v/>
      </c>
      <c r="BZ228" s="107" t="str">
        <f t="shared" si="18"/>
        <v/>
      </c>
      <c r="CA228" s="108" t="str">
        <f t="shared" si="19"/>
        <v/>
      </c>
      <c r="CB228" s="108" t="str">
        <f t="shared" si="20"/>
        <v/>
      </c>
      <c r="CC228" s="109" t="str">
        <f t="shared" si="21"/>
        <v/>
      </c>
      <c r="CD228" s="108" t="str">
        <f t="shared" si="22"/>
        <v/>
      </c>
      <c r="CE228" s="108" t="str">
        <f t="shared" si="23"/>
        <v/>
      </c>
      <c r="CF228" s="109" t="str">
        <f t="shared" si="24"/>
        <v/>
      </c>
      <c r="CG228" s="110" t="str">
        <f t="shared" si="25"/>
        <v/>
      </c>
      <c r="CH228" s="111"/>
    </row>
    <row r="229" spans="1:86" ht="12.75">
      <c r="A229" s="101"/>
      <c r="B229" s="102" t="e">
        <f t="array" aca="1" ref="B229" ca="1">_xludf.XLOOKUP(A229,'QA Log'!D:D,'QA Log'!E:E,"")</f>
        <v>#NAME?</v>
      </c>
      <c r="C229" s="102" t="e">
        <f t="array" aca="1" ref="C229" ca="1">_xludf.XLOOKUP(A229,'QA Log'!D:D,'QA Log'!F:F,"")</f>
        <v>#NAME?</v>
      </c>
      <c r="D229" s="102" t="e">
        <f t="array" aca="1" ref="D229" ca="1">_xludf.XLOOKUP(A229,'QA Log'!D:D,'QA Log'!H:H,"")</f>
        <v>#NAME?</v>
      </c>
      <c r="E229" s="102" t="e">
        <f t="array" aca="1" ref="E229" ca="1">_xludf.XLOOKUP(A229,'QA Log'!D:D,'QA Log'!G:G,"")</f>
        <v>#NAME?</v>
      </c>
      <c r="F229" s="103"/>
      <c r="G229" s="104"/>
      <c r="H229" s="104"/>
      <c r="I229" s="103" t="str">
        <f t="shared" si="0"/>
        <v/>
      </c>
      <c r="J229" s="102" t="str">
        <f>IF(A229="","",SUM(
COUNTIFS('QA Log'!D:D,A229,'QA Log'!M:M,"QQC",'QA Log'!L:L,"*1. General Management*"),
COUNTIFS('QA Log'!D:D,A229,'QA Log'!M:M,"QQC",'QA Log'!L:L,"*3. Curative Consultation (OPD)*"),
COUNTIFS('QA Log'!D:D,A229,'QA Log'!M:M,"QQC",'QA Log'!L:L,"*5. Laboratory*"),
COUNTIFS('QA Log'!D:D,A229,'QA Log'!M:M,"QQC",'QA Log'!L:L,"*6. Essential Medicine Management*"),
COUNTIFS('QA Log'!D:D,A229,'QA Log'!M:M,"QQC",'QA Log'!L:L,"*7. Tracer Medicine*"),
COUNTIFS('QA Log'!D:D,A229,'QA Log'!M:M,"QQC",'QA Log'!L:L,"*11. Additional Questions*")))</f>
        <v/>
      </c>
      <c r="K229" s="102" t="str">
        <f>IF(A229="","",SUM(
COUNTIFS('QA Log'!D:D,A229,'QA Log'!M:M,"QQC",'QA Log'!Z:Z,"Approved",'QA Log'!L:L,"*1. General Management*"),
COUNTIFS('QA Log'!D:D,A229,'QA Log'!M:M,"QQC",'QA Log'!Z:Z,"Approved",'QA Log'!L:L,"*3. Curative Consultation (OPD)*"),
COUNTIFS('QA Log'!D:D,A229,'QA Log'!M:M,"QQC",'QA Log'!Z:Z,"Approved",'QA Log'!L:L,"*5. Laboratory*"),
COUNTIFS('QA Log'!D:D,A229,'QA Log'!M:M,"QQC",'QA Log'!Z:Z,"Approved",'QA Log'!L:L,"*6. Essential Medicine Management*"),
COUNTIFS('QA Log'!D:D,A229,'QA Log'!M:M,"QQC",'QA Log'!Z:Z,"Approved",'QA Log'!L:L,"*7. Tracer Medicine*"),
COUNTIFS('QA Log'!D:D,A229,'QA Log'!M:M,"QQC",'QA Log'!Z:Z,"Approved",'QA Log'!L:L,"*11. Additional Questions*")))</f>
        <v/>
      </c>
      <c r="L229" s="105" t="str">
        <f>IF(A229&lt;&gt;"",COUNTIFS('QA Log'!D:D,A229,'QA Log'!M:M,"QQC",'QA Log'!L:L,"1. General Management",'QA Log'!Z:Z,"Approved"),"")</f>
        <v/>
      </c>
      <c r="M229" s="105" t="str">
        <f>IF(A229&lt;&gt;"",COUNTIFS('QA Log'!D:D,A229,'QA Log'!M:M,"QQC",'QA Log'!L:L,"3. Curative Consultation (OPD)",'QA Log'!Z:Z,"Approved"),"")</f>
        <v/>
      </c>
      <c r="N229" s="105" t="str">
        <f>IF(A229&lt;&gt;"",COUNTIFS('QA Log'!D:D,A229,'QA Log'!M:M,"QQC",'QA Log'!L:L,"5. Laboratory",'QA Log'!Z:Z,"Approved"),"")</f>
        <v/>
      </c>
      <c r="O229" s="105" t="str">
        <f>IF(A229&lt;&gt;"",COUNTIFS('QA Log'!D:D,A229,'QA Log'!M:M,"QQC",'QA Log'!L:L,"6. Essential Medicine Management",'QA Log'!Z:Z,"Approved"),"")</f>
        <v/>
      </c>
      <c r="P229" s="105" t="str">
        <f>IF(A229&lt;&gt;"",COUNTIFS('QA Log'!D:D,A229,'QA Log'!M:M,"QQC",'QA Log'!L:L,"7. Tracer Medicine",'QA Log'!Z:Z,"Approved"),"")</f>
        <v/>
      </c>
      <c r="Q229" s="105" t="str">
        <f>IF(A229&lt;&gt;"",COUNTIFS('QA Log'!D:D,A229,'QA Log'!M:M,"QQC",'QA Log'!L:L,"11. Additional Questions",'QA Log'!Z:Z,"Approved"),"")</f>
        <v/>
      </c>
      <c r="R229" s="102" t="str">
        <f>IF(A229="","",SUM(
COUNTIFS('QA Log'!D:D,A229,'QA Log'!M:M,"QQC",'QA Log'!Z:Z,"Rejected",'QA Log'!L:L,"*8. Maternity*"),
COUNTIFS('QA Log'!D:D,A229,'QA Log'!M:M,"QQC",'QA Log'!Z:Z,"Rejected",'QA Log'!L:L,"*EPI*"),
COUNTIFS('QA Log'!D:D,A229,'QA Log'!M:M,"QQC",'QA Log'!Z:Z,"Rejected",'QA Log'!L:L,"*10. Antenatal Care (ANC)*"),
COUNTIFS('QA Log'!D:D,A229,'QA Log'!M:M,"QQC",'QA Log'!Z:Z,"Rejected",'QA Log'!L:L,"*2. Hygiene and Sterilization*"),
COUNTIFS('QA Log'!D:D,A229,'QA Log'!M:M,"QQC",'QA Log'!Z:Z,"Rejected",'QA Log'!L:L,"*Family Planning*")))</f>
        <v/>
      </c>
      <c r="S229" s="106" t="str">
        <f t="shared" si="1"/>
        <v/>
      </c>
      <c r="T229" s="102" t="str">
        <f t="shared" si="2"/>
        <v/>
      </c>
      <c r="U229" s="102" t="str">
        <f>IF(A229="","",
SUM(
COUNTIFS('QA Log'!D:D,A229,'QA Log'!M:M,"QQC",'QA Log'!L:L,"*8. Maternity*"),
COUNTIFS('QA Log'!D:D,A229,'QA Log'!M:M,"QQC",'QA Log'!L:L,"*9. EPI and Pre-school Consultation*"),
COUNTIFS('QA Log'!D:D,A229,'QA Log'!M:M,"QQC",'QA Log'!L:L,"*10. Antenatal Care (ANC)*"),
COUNTIFS('QA Log'!D:D,A229,'QA Log'!M:M,"QQC",'QA Log'!L:L,"*2. Hygiene and Sterilization*"),
COUNTIFS('QA Log'!D:D,A229,'QA Log'!M:M,"QQC",'QA Log'!L:L,"*4. Family Planning*")
))</f>
        <v/>
      </c>
      <c r="V229" s="102" t="str">
        <f>IF(A229="","",
SUM(
COUNTIFS('QA Log'!D:D,A229,'QA Log'!M:M,"QQC",'QA Log'!Z:Z,"Approved",'QA Log'!L:L,"*8. Maternity*"),
COUNTIFS('QA Log'!D:D,A229,'QA Log'!M:M,"QQC",'QA Log'!Z:Z,"Approved",'QA Log'!L:L,"*9. EPI and Pre-school Consultation*"),
COUNTIFS('QA Log'!D:D,A229,'QA Log'!M:M,"QQC",'QA Log'!Z:Z,"Approved",'QA Log'!L:L,"*10. Antenatal Care (ANC)*"),
COUNTIFS('QA Log'!D:D,A229,'QA Log'!M:M,"QQC",'QA Log'!Z:Z,"Approved",'QA Log'!L:L,"*2. Hygiene and Sterilization*"),
COUNTIFS('QA Log'!D:D,A229,'QA Log'!M:M,"QQC",'QA Log'!Z:Z,"Approved",'QA Log'!L:L,"*4. Family Planning*")
))</f>
        <v/>
      </c>
      <c r="W229" s="105" t="str">
        <f>IF(A229&lt;&gt;"",COUNTIFS('QA Log'!D:D,A229,'QA Log'!M:M,"QQC",'QA Log'!L:L,"8. Maternity",'QA Log'!Z:Z,"Approved"),"")</f>
        <v/>
      </c>
      <c r="X229" s="105" t="str">
        <f>IF(A229&lt;&gt;"",COUNTIFS('QA Log'!D:D,A229,'QA Log'!M:M,"QQC",'QA Log'!L:L,"9. EPI and Pre-school Consultation",'QA Log'!Z:Z,"Approved"),"")</f>
        <v/>
      </c>
      <c r="Y229" s="105" t="str">
        <f>IF(A229&lt;&gt;"",COUNTIFS('QA Log'!D:D,A229,'QA Log'!M:M,"QQC",'QA Log'!L:L,"10. Antenatal Care (ANC)",'QA Log'!Z:Z,"Approved"),"")</f>
        <v/>
      </c>
      <c r="Z229" s="105" t="str">
        <f>IF(A229&lt;&gt;"",COUNTIFS('QA Log'!D:D,A229,'QA Log'!M:M,"QQC",'QA Log'!L:L,"2. Hygiene and Sterilization",'QA Log'!Z:Z,"Approved"),"")</f>
        <v/>
      </c>
      <c r="AA229" s="105" t="str">
        <f>IF(A229&lt;&gt;"",COUNTIFS('QA Log'!D:D,A229,'QA Log'!M:M,"QQC",'QA Log'!L:L,"4. Family Planning",'QA Log'!Z:Z,"Approved"),"")</f>
        <v/>
      </c>
      <c r="AB229" s="102" t="str">
        <f>IF(A229="","",
SUM(
COUNTIFS('QA Log'!D:D,A229,'QA Log'!M:M,"QQC",'QA Log'!Z:Z,"Rejected",'QA Log'!L:L,"*8. Maternity*"),
COUNTIFS('QA Log'!D:D,A229,'QA Log'!M:M,"QQC",'QA Log'!Z:Z,"Rejected",'QA Log'!L:L,"*9. EPI and Pre-school Consultation*"),
COUNTIFS('QA Log'!D:D,A229,'QA Log'!M:M,"QQC",'QA Log'!Z:Z,"Rejected",'QA Log'!L:L,"*10. Antenatal Care (ANC)*"),
COUNTIFS('QA Log'!D:D,A229,'QA Log'!M:M,"QQC",'QA Log'!Z:Z,"Rejected",'QA Log'!L:L,"*2. Hygiene and Sterilization*"),
COUNTIFS('QA Log'!D:D,A229,'QA Log'!M:M,"QQC",'QA Log'!Z:Z,"Rejected",'QA Log'!L:L,"*4. Family Planning*")
))</f>
        <v/>
      </c>
      <c r="AC229" s="102" t="str">
        <f t="shared" si="3"/>
        <v/>
      </c>
      <c r="AD229" s="103" t="str">
        <f t="shared" si="4"/>
        <v/>
      </c>
      <c r="AE229" s="102" t="str">
        <f>IF(A229="","",
SUM(
COUNTIFS('QA Log'!D:D,A229,'QA Log'!M:M,"Data Verification",'QA Log'!L:L,"*Medicine (section 2)*"),
COUNTIFS('QA Log'!D:D,A229,'QA Log'!M:M,"Data Verification",'QA Log'!L:L,"*Lab Testing Availability*"),
COUNTIFS('QA Log'!D:D,A229,'QA Log'!M:M,"Data Verification",'QA Log'!L:L,"*Other than P4P (section 6)*"),
COUNTIFS('QA Log'!D:D,A229,'QA Log'!M:M,"Data Verification",'QA Log'!L:L,"*Hospital Governance*")
))</f>
        <v/>
      </c>
      <c r="AF229" s="102" t="str">
        <f>IF(A229="","",
SUM(
COUNTIFS('QA Log'!D:D,A229,'QA Log'!M:M,"Data Verification",'QA Log'!Z:Z,"Approved",'QA Log'!L:L,"*Medicine (section 2)*"),
COUNTIFS('QA Log'!D:D,A229,'QA Log'!M:M,"Data Verification",'QA Log'!Z:Z,"Approved",'QA Log'!L:L,"*Lab Testing Availability*"),
COUNTIFS('QA Log'!D:D,A229,'QA Log'!M:M,"Data Verification",'QA Log'!Z:Z,"Approved",'QA Log'!L:L,"*Other than P4P (section 6)*"),
COUNTIFS('QA Log'!D:D,A229,'QA Log'!M:M,"Data Verification",'QA Log'!Z:Z,"Approved",'QA Log'!L:L,"*Hospital Governance*")
))</f>
        <v/>
      </c>
      <c r="AG229" s="105" t="str">
        <f>IF(A229&lt;&gt;"",COUNTIFS('QA Log'!D:D,A229,'QA Log'!M:M,"Data Verification",'QA Log'!L:L,"Medicine (section 2)",'QA Log'!Z:Z,"Approved"),"")</f>
        <v/>
      </c>
      <c r="AH229" s="105" t="str">
        <f>IF(A229&lt;&gt;"",COUNTIFS('QA Log'!D:D,A229,'QA Log'!M:M,"Data Verification",'QA Log'!L:L,"Lab Testing Availability",'QA Log'!Z:Z,"Approved"),"")</f>
        <v/>
      </c>
      <c r="AI229" s="105" t="str">
        <f>IF(A229&lt;&gt;"",COUNTIFS('QA Log'!D:D,A229,'QA Log'!M:M,"Data Verification",'QA Log'!L:L,"Other than P4P (section 6)",'QA Log'!Z:Z,"Approved"),"")</f>
        <v/>
      </c>
      <c r="AJ229" s="105" t="str">
        <f>IF(A229&lt;&gt;"",COUNTIFS('QA Log'!D:D,A229,'QA Log'!M:M,"Data Verification",'QA Log'!L:L,"Hospital Governance",'QA Log'!Z:Z,"Approved"),"")</f>
        <v/>
      </c>
      <c r="AK229" s="102" t="str">
        <f>IF(A229="","",
SUM(
COUNTIFS('QA Log'!D:D,A229,'QA Log'!M:M,"Data Verification",'QA Log'!Z:Z,"Rejected",'QA Log'!L:L,"*Medicine (section 2)*"),
COUNTIFS('QA Log'!D:D,A229,'QA Log'!M:M,"Data Verification",'QA Log'!Z:Z,"Rejected",'QA Log'!L:L,"*Lab Testing Availability*"),
COUNTIFS('QA Log'!D:D,A229,'QA Log'!M:M,"Data Verification",'QA Log'!Z:Z,"Rejected",'QA Log'!L:L,"*Other than P4P (section 6)*"),
COUNTIFS('QA Log'!D:D,A229,'QA Log'!M:M,"Data Verification",'QA Log'!Z:Z,"Rejected",'QA Log'!L:L,"*Hospital Governance*")
))</f>
        <v/>
      </c>
      <c r="AL229" s="106" t="str">
        <f t="shared" si="5"/>
        <v/>
      </c>
      <c r="AM229" s="102" t="str">
        <f t="shared" si="6"/>
        <v/>
      </c>
      <c r="AN229" s="102" t="str">
        <f>IF(A229="","",
SUM(
COUNTIFS('QA Log'!D:D,A229,'QA Log'!M:M,"Data Verification",'QA Log'!L:L,"*Personnel (section 1)*"),
COUNTIFS('QA Log'!D:D,A229,'QA Log'!M:M,"Data Verification",'QA Log'!L:L,"*Consumable (section 3)*"),
COUNTIFS('QA Log'!D:D,A229,'QA Log'!M:M,"Data Verification",'QA Log'!L:L,"*Equipments (section 4)*")
))</f>
        <v/>
      </c>
      <c r="AO229" s="102" t="str">
        <f>IF(A229="","",
SUM(
COUNTIFS('QA Log'!D:D,A229,'QA Log'!M:M,"Data Verification",'QA Log'!Z:Z,"Approved",'QA Log'!L:L,"*Personnel (section 1)*"),
COUNTIFS('QA Log'!D:D,A229,'QA Log'!M:M,"Data Verification",'QA Log'!Z:Z,"Approved",'QA Log'!L:L,"*Consumable (section 3)*"),
COUNTIFS('QA Log'!D:D,A229,'QA Log'!M:M,"Data Verification",'QA Log'!Z:Z,"Approved",'QA Log'!L:L,"*Equipments (section 4)*")
))</f>
        <v/>
      </c>
      <c r="AP229" s="105" t="str">
        <f>IF(A229&lt;&gt;"",COUNTIFS('QA Log'!D:D,A229,'QA Log'!M:M,"Data Verification",'QA Log'!L:L,"Personnel (section 1)",'QA Log'!Z:Z,"Approved"),"")</f>
        <v/>
      </c>
      <c r="AQ229" s="105" t="str">
        <f>IF(A229&lt;&gt;"",COUNTIFS('QA Log'!D:D,A229,'QA Log'!M:M,"Data Verification",'QA Log'!L:L,"Consumable (section 3)",'QA Log'!Z:Z,"Approved"),"")</f>
        <v/>
      </c>
      <c r="AR229" s="105" t="str">
        <f>IF(A229&lt;&gt;"",COUNTIFS('QA Log'!D:D,A229,'QA Log'!M:M,"Data Verification",'QA Log'!L:L,"Equipments (section 4)",'QA Log'!Z:Z,"Approved"),"")</f>
        <v/>
      </c>
      <c r="AS229" s="102" t="str">
        <f>IF(A229="","",
SUM(
COUNTIFS('QA Log'!D:D,A229,'QA Log'!M:M,"Data Verification",'QA Log'!Z:Z,"Rejected",'QA Log'!L:L,"*Personnel (section 1)*"),
COUNTIFS('QA Log'!D:D,A229,'QA Log'!M:M,"Data Verification",'QA Log'!Z:Z,"Rejected",'QA Log'!L:L,"*Consumable (section 3)*"),
COUNTIFS('QA Log'!D:D,A229,'QA Log'!M:M,"Data Verification",'QA Log'!Z:Z,"Rejected",'QA Log'!L:L,"*Equipments (section 4)*")
))</f>
        <v/>
      </c>
      <c r="AT229" s="102" t="str">
        <f t="shared" si="7"/>
        <v/>
      </c>
      <c r="AU229" s="103" t="str">
        <f t="shared" si="8"/>
        <v/>
      </c>
      <c r="AV229" s="102" t="str">
        <f>IF(A229="","",SUM(
COUNTIFS('QA Log'!D:D,A229,'QA Log'!M:M,"Vignette",'QA Log'!L:L,"*Vignette [1] Respiratory Infection: Pneumonia*"),
COUNTIFS('QA Log'!D:D,A229,'QA Log'!M:M,"Vignette",'QA Log'!L:L,"*Vignette [2]: Diarrhea with Cat B dehydration*"),
COUNTIFS('QA Log'!D:D,A229,'QA Log'!M:M,"Vignette",'QA Log'!L:L,"*Vignette [3] Growth Monitoring and Promotion*"),
COUNTIFS('QA Log'!D:D,A229,'QA Log'!M:M,"Vignette",'QA Log'!L:L,"*Vignette [4]: The management of presumptive TB patient*")
)
)</f>
        <v/>
      </c>
      <c r="AW229" s="102" t="str">
        <f>IF(
  A229="","",
  SUM(
    COUNTIFS('QA Log'!D:D,A229,'QA Log'!M:M,"Vignette",'QA Log'!Z:Z,"Approved",'QA Log'!L:L,"*Vignette [1] Respiratory Infection: Pneumonia*"),
    COUNTIFS('QA Log'!D:D,A229,'QA Log'!M:M,"Vignette",'QA Log'!Z:Z,"Approved",'QA Log'!L:L,"*Vignette [2]: Diarrhea with Cat B dehydration*"),
    COUNTIFS('QA Log'!D:D,A229,'QA Log'!M:M,"Vignette",'QA Log'!Z:Z,"Approved",'QA Log'!L:L,"*Vignette [3] Growth Monitoring and Promotion*"),
    COUNTIFS('QA Log'!D:D,A229,'QA Log'!M:M,"Vignette",'QA Log'!Z:Z,"Approved",'QA Log'!L:L,"*Vignette [4]: The management of presumptive TB patient*")
  )
)</f>
        <v/>
      </c>
      <c r="AX229" s="105" t="str">
        <f>IF(A229&lt;&gt;"",COUNTIFS('QA Log'!D:D,A229,'QA Log'!M:M,"Vignette",'QA Log'!L:L,"Vignette [1] Respiratory Infection: Pneumonia",'QA Log'!Z:Z,"Approved"),"")</f>
        <v/>
      </c>
      <c r="AY229" s="105" t="str">
        <f>IF(A229&lt;&gt;"",COUNTIFS('QA Log'!D:D,A229,'QA Log'!M:M,"Vignette",'QA Log'!L:L,"Vignette [2]: Diarrhea with Cat B dehydration",'QA Log'!Z:Z,"Approved"),"")</f>
        <v/>
      </c>
      <c r="AZ229" s="105" t="str">
        <f>IF(A229&lt;&gt;"",COUNTIFS('QA Log'!D:D,A229,'QA Log'!M:M,"Vignette",'QA Log'!L:L,"Vignette [3] Growth Monitoring and Promotion",'QA Log'!Z:Z,"Approved"),"")</f>
        <v/>
      </c>
      <c r="BA229" s="105" t="str">
        <f>IF(A229&lt;&gt;"",COUNTIFS('QA Log'!D:D,A229,'QA Log'!M:M,"Vignette",'QA Log'!L:L,"Vignette [4]: The management of presumptive TB patient",'QA Log'!Z:Z,"Approved"),"")</f>
        <v/>
      </c>
      <c r="BB229" s="102" t="str">
        <f>IF(A229="","",
  SUM(
    COUNTIFS('QA Log'!D:D,A229,'QA Log'!M:M,"Vignette",'QA Log'!Z:Z,"Rejected",'QA Log'!L:L,"*Vignette [1] Respiratory Infection: Pneumonia*"),
    COUNTIFS('QA Log'!D:D,A229,'QA Log'!M:M,"Vignette",'QA Log'!Z:Z,"Rejected",'QA Log'!L:L,"*Vignette [2]: Diarrhea with Cat B dehydration*"),
    COUNTIFS('QA Log'!D:D,A229,'QA Log'!M:M,"Vignette",'QA Log'!Z:Z,"Rejected",'QA Log'!L:L,"*Vignette [3] Growth Monitoring and Promotion*"),
    COUNTIFS('QA Log'!D:D,A229,'QA Log'!M:M,"Vignette",'QA Log'!Z:Z,"Rejected",'QA Log'!L:L,"*Vignette [4]: The management of presumptive TB patient*")
  )
)</f>
        <v/>
      </c>
      <c r="BC229" s="107" t="str">
        <f t="shared" si="9"/>
        <v/>
      </c>
      <c r="BD229" s="103" t="str">
        <f t="shared" si="10"/>
        <v/>
      </c>
      <c r="BE229" s="102" t="str">
        <f>IF(A229="","",SUM(
COUNTIFS('QA Log'!D:D,A229,'QA Log'!M:M,"Vignette",'QA Log'!L:L,"*Vignette [5] Labor*"),
COUNTIFS('QA Log'!D:D,A229,'QA Log'!M:M,"Vignette",'QA Log'!L:L,"*Vignette [6] PNC pre Discharge*"),
COUNTIFS('QA Log'!D:D,A229,'QA Log'!M:M,"Vignette",'QA Log'!L:L,"*Vignette [7] First ANC Visit*"),
COUNTIFS('QA Log'!D:D,A229,'QA Log'!M:M,"Vignette",'QA Log'!L:L,"*Vignette [8] Birth Spacing/ Family Planning :  FP Counselling*"),
COUNTIFS('QA Log'!D:D,A229,'QA Log'!M:M,"Vignette",'QA Log'!L:L,"*Vignette [9] Birth Spacing: Change FP method to Injectable*"),
COUNTIFS('QA Log'!D:D,A229,'QA Log'!M:M,"Vignette",'QA Log'!L:L,"*Vignette [10] Post Partum Haemorrhage - Atonic Uterus at Health Centre*"),
)
)</f>
        <v/>
      </c>
      <c r="BF229" s="102" t="str">
        <f>IF(A229="","",
  SUM(
    COUNTIFS('QA Log'!D:D,A229,'QA Log'!M:M,"Vignette",'QA Log'!Z:Z,"Approved",'QA Log'!L:L,"*Vignette [5] Labor*"),
    COUNTIFS('QA Log'!D:D,A229,'QA Log'!M:M,"Vignette",'QA Log'!Z:Z,"Approved",'QA Log'!L:L,"*Vignette [6] PNC pre Discharge*"),
    COUNTIFS('QA Log'!D:D,A229,'QA Log'!M:M,"Vignette",'QA Log'!Z:Z,"Approved",'QA Log'!L:L,"*Vignette [7] First ANC Visit*"),
    COUNTIFS('QA Log'!D:D,A229,'QA Log'!M:M,"Vignette",'QA Log'!Z:Z,"Approved",'QA Log'!L:L,"*Vignette [8] Birth Spacing/ Family Planning :  FP Counselling*"),
    COUNTIFS('QA Log'!D:D,A229,'QA Log'!M:M,"Vignette",'QA Log'!Z:Z,"Approved",'QA Log'!L:L,"*Vignette [9] Birth Spacing: Change FP method to Injectable*"),
    COUNTIFS('QA Log'!D:D,A229,'QA Log'!M:M,"Vignette",'QA Log'!Z:Z,"Approved",'QA Log'!L:L,"*Vignette [10] Post Partum Haemorrhage - Atonic Uterus at Health Centre*")
  )
)</f>
        <v/>
      </c>
      <c r="BG229" s="105" t="str">
        <f>IF(A229&lt;&gt;"",COUNTIFS('QA Log'!D:D,A229,'QA Log'!M:M,"Vignette",'QA Log'!L:L,"Vignette [5] Labor",'QA Log'!Z:Z,"Approved"),"")</f>
        <v/>
      </c>
      <c r="BH229" s="105" t="str">
        <f>IF(A229&lt;&gt;"",COUNTIFS('QA Log'!D:D,A229,'QA Log'!M:M,"Vignette",'QA Log'!L:L,"Vignette [6] PNC pre Discharge",'QA Log'!Z:Z,"Approved"),"")</f>
        <v/>
      </c>
      <c r="BI229" s="105" t="str">
        <f>IF(A229&lt;&gt;"",COUNTIFS('QA Log'!D:D,A229,'QA Log'!M:M,"Vignette",'QA Log'!L:L,"Vignette [7] First ANC Visit",'QA Log'!Z:Z,"Approved"),"")</f>
        <v/>
      </c>
      <c r="BJ229" s="105" t="str">
        <f>IF(A229&lt;&gt;"",COUNTIFS('QA Log'!D:D,A229,'QA Log'!M:M,"Vignette",'QA Log'!L:L,"Vignette [8] Birth Spacing/ Family Planning :  FP Counselling",'QA Log'!Z:Z,"Approved"),"")</f>
        <v/>
      </c>
      <c r="BK229" s="105" t="str">
        <f>IF(A229&lt;&gt;"",COUNTIFS('QA Log'!D:D,A229,'QA Log'!M:M,"Vignette",'QA Log'!L:L,"Vignette [9] Birth Spacing: Change FP method to Injectable",'QA Log'!Z:Z,"Approved"),"")</f>
        <v/>
      </c>
      <c r="BL229" s="105" t="str">
        <f>IF(A229&lt;&gt;"",COUNTIFS('QA Log'!D:D,A229,'QA Log'!M:M,"Vignette",'QA Log'!L:L,"Vignette [10] Post Partum Haemorrhage - Atonic Uterus at Health Centre",'QA Log'!Z:Z,"Approved"),"")</f>
        <v/>
      </c>
      <c r="BM229" s="102" t="str">
        <f>IF(A229="","",SUM(
    COUNTIFS('QA Log'!D:D,A229,'QA Log'!M:M,"Vignette",'QA Log'!Z:Z,"Rejected",'QA Log'!L:L,"*Vignette [5] Labor*"),
    COUNTIFS('QA Log'!D:D,A229,'QA Log'!M:M,"Vignette",'QA Log'!Z:Z,"Rejected",'QA Log'!L:L,"*Vignette [6] PNC pre Discharge*"),
    COUNTIFS('QA Log'!D:D,A229,'QA Log'!M:M,"Vignette",'QA Log'!Z:Z,"Rejected",'QA Log'!L:L,"*Vignette [7] First ANC Visit*"),
    COUNTIFS('QA Log'!D:D,A229,'QA Log'!M:M,"Vignette",'QA Log'!Z:Z,"Rejected",'QA Log'!L:L,"*Vignette [8] Birth Spacing/ Family Planning :  FP Counselling*"),
    COUNTIFS('QA Log'!D:D,A229,'QA Log'!M:M,"Vignette",'QA Log'!Z:Z,"Rejected",'QA Log'!L:L,"*Vignette [9] Birth Spacing: Change FP method to Injectable*"),
    COUNTIFS('QA Log'!D:D,A229,'QA Log'!M:M,"Vignette",'QA Log'!Z:Z,"Rejected",'QA Log'!L:L,"*Vignette [10] Post Partum Haemorrhage - Atonic Uterus at Health Centre*")
  )
)</f>
        <v/>
      </c>
      <c r="BN229" s="107" t="str">
        <f t="shared" si="11"/>
        <v/>
      </c>
      <c r="BO229" s="103" t="str">
        <f t="shared" si="12"/>
        <v/>
      </c>
      <c r="BP229" s="102" t="str">
        <f>IF(A229="","",SUM(
COUNTIFS('QA Log'!D:D,A229,'QA Log'!M:M,"Vignette",'QA Log'!L:L,"*Exit Interview 1*"),
COUNTIFS('QA Log'!D:D,A229,'QA Log'!M:M,"Vignette",'QA Log'!L:L,"*Exit Interview 2*"),
)
)</f>
        <v/>
      </c>
      <c r="BQ229" s="102" t="str">
        <f>IF(
  A229="","",
  SUM(
    COUNTIFS('QA Log'!D:D,A229,'QA Log'!M:M,"Vignette",'QA Log'!Z:Z,"Approved",'QA Log'!L:L,"*Exit Interview 1*"),
    COUNTIFS('QA Log'!D:D,A229,'QA Log'!M:M,"Vignette",'QA Log'!Z:Z,"Approved",'QA Log'!L:L,"*Exit Interview 2*")
  )
)</f>
        <v/>
      </c>
      <c r="BR229" s="105" t="str">
        <f>IF(A229&lt;&gt;"",COUNTIFS('QA Log'!D:D,A229,'QA Log'!M:M,"Vignette",'QA Log'!L:L,"Exit Interview 1",'QA Log'!Z:Z,"Approved"),"")</f>
        <v/>
      </c>
      <c r="BS229" s="105" t="str">
        <f>IF(A229&lt;&gt;"",COUNTIFS('QA Log'!D:D,A229,'QA Log'!M:M,"Vignette",'QA Log'!L:L,"Exit Interview 2",'QA Log'!Z:Z,"Approved"),"")</f>
        <v/>
      </c>
      <c r="BT229" s="102" t="str">
        <f>IF(
  A229="","",
  SUM(
    COUNTIFS('QA Log'!D:D,A229,'QA Log'!M:M,"Vignette",'QA Log'!Z:Z,"Rejected",'QA Log'!L:L,"*Exit Interview 1*"),
    COUNTIFS('QA Log'!D:D,A229,'QA Log'!M:M,"Vignette",'QA Log'!Z:Z,"Rejected",'QA Log'!L:L,"*Exit Interview 2*")
  )
)</f>
        <v/>
      </c>
      <c r="BU229" s="107" t="str">
        <f t="shared" si="13"/>
        <v/>
      </c>
      <c r="BV229" s="102" t="str">
        <f t="shared" si="14"/>
        <v/>
      </c>
      <c r="BW229" s="102" t="str">
        <f t="shared" si="15"/>
        <v/>
      </c>
      <c r="BX229" s="102" t="str">
        <f t="shared" si="16"/>
        <v/>
      </c>
      <c r="BY229" s="102" t="str">
        <f t="shared" si="17"/>
        <v/>
      </c>
      <c r="BZ229" s="107" t="str">
        <f t="shared" si="18"/>
        <v/>
      </c>
      <c r="CA229" s="108" t="str">
        <f t="shared" si="19"/>
        <v/>
      </c>
      <c r="CB229" s="108" t="str">
        <f t="shared" si="20"/>
        <v/>
      </c>
      <c r="CC229" s="109" t="str">
        <f t="shared" si="21"/>
        <v/>
      </c>
      <c r="CD229" s="108" t="str">
        <f t="shared" si="22"/>
        <v/>
      </c>
      <c r="CE229" s="108" t="str">
        <f t="shared" si="23"/>
        <v/>
      </c>
      <c r="CF229" s="109" t="str">
        <f t="shared" si="24"/>
        <v/>
      </c>
      <c r="CG229" s="110" t="str">
        <f t="shared" si="25"/>
        <v/>
      </c>
      <c r="CH229" s="111"/>
    </row>
    <row r="230" spans="1:86" ht="12.75">
      <c r="A230" s="101"/>
      <c r="B230" s="102" t="e">
        <f t="array" aca="1" ref="B230" ca="1">_xludf.XLOOKUP(A230,'QA Log'!D:D,'QA Log'!E:E,"")</f>
        <v>#NAME?</v>
      </c>
      <c r="C230" s="102" t="e">
        <f t="array" aca="1" ref="C230" ca="1">_xludf.XLOOKUP(A230,'QA Log'!D:D,'QA Log'!F:F,"")</f>
        <v>#NAME?</v>
      </c>
      <c r="D230" s="102" t="e">
        <f t="array" aca="1" ref="D230" ca="1">_xludf.XLOOKUP(A230,'QA Log'!D:D,'QA Log'!H:H,"")</f>
        <v>#NAME?</v>
      </c>
      <c r="E230" s="102" t="e">
        <f t="array" aca="1" ref="E230" ca="1">_xludf.XLOOKUP(A230,'QA Log'!D:D,'QA Log'!G:G,"")</f>
        <v>#NAME?</v>
      </c>
      <c r="F230" s="103"/>
      <c r="G230" s="104"/>
      <c r="H230" s="104"/>
      <c r="I230" s="103" t="str">
        <f t="shared" si="0"/>
        <v/>
      </c>
      <c r="J230" s="102" t="str">
        <f>IF(A230="","",SUM(
COUNTIFS('QA Log'!D:D,A230,'QA Log'!M:M,"QQC",'QA Log'!L:L,"*1. General Management*"),
COUNTIFS('QA Log'!D:D,A230,'QA Log'!M:M,"QQC",'QA Log'!L:L,"*3. Curative Consultation (OPD)*"),
COUNTIFS('QA Log'!D:D,A230,'QA Log'!M:M,"QQC",'QA Log'!L:L,"*5. Laboratory*"),
COUNTIFS('QA Log'!D:D,A230,'QA Log'!M:M,"QQC",'QA Log'!L:L,"*6. Essential Medicine Management*"),
COUNTIFS('QA Log'!D:D,A230,'QA Log'!M:M,"QQC",'QA Log'!L:L,"*7. Tracer Medicine*"),
COUNTIFS('QA Log'!D:D,A230,'QA Log'!M:M,"QQC",'QA Log'!L:L,"*11. Additional Questions*")))</f>
        <v/>
      </c>
      <c r="K230" s="102" t="str">
        <f>IF(A230="","",SUM(
COUNTIFS('QA Log'!D:D,A230,'QA Log'!M:M,"QQC",'QA Log'!Z:Z,"Approved",'QA Log'!L:L,"*1. General Management*"),
COUNTIFS('QA Log'!D:D,A230,'QA Log'!M:M,"QQC",'QA Log'!Z:Z,"Approved",'QA Log'!L:L,"*3. Curative Consultation (OPD)*"),
COUNTIFS('QA Log'!D:D,A230,'QA Log'!M:M,"QQC",'QA Log'!Z:Z,"Approved",'QA Log'!L:L,"*5. Laboratory*"),
COUNTIFS('QA Log'!D:D,A230,'QA Log'!M:M,"QQC",'QA Log'!Z:Z,"Approved",'QA Log'!L:L,"*6. Essential Medicine Management*"),
COUNTIFS('QA Log'!D:D,A230,'QA Log'!M:M,"QQC",'QA Log'!Z:Z,"Approved",'QA Log'!L:L,"*7. Tracer Medicine*"),
COUNTIFS('QA Log'!D:D,A230,'QA Log'!M:M,"QQC",'QA Log'!Z:Z,"Approved",'QA Log'!L:L,"*11. Additional Questions*")))</f>
        <v/>
      </c>
      <c r="L230" s="105" t="str">
        <f>IF(A230&lt;&gt;"",COUNTIFS('QA Log'!D:D,A230,'QA Log'!M:M,"QQC",'QA Log'!L:L,"1. General Management",'QA Log'!Z:Z,"Approved"),"")</f>
        <v/>
      </c>
      <c r="M230" s="105" t="str">
        <f>IF(A230&lt;&gt;"",COUNTIFS('QA Log'!D:D,A230,'QA Log'!M:M,"QQC",'QA Log'!L:L,"3. Curative Consultation (OPD)",'QA Log'!Z:Z,"Approved"),"")</f>
        <v/>
      </c>
      <c r="N230" s="105" t="str">
        <f>IF(A230&lt;&gt;"",COUNTIFS('QA Log'!D:D,A230,'QA Log'!M:M,"QQC",'QA Log'!L:L,"5. Laboratory",'QA Log'!Z:Z,"Approved"),"")</f>
        <v/>
      </c>
      <c r="O230" s="105" t="str">
        <f>IF(A230&lt;&gt;"",COUNTIFS('QA Log'!D:D,A230,'QA Log'!M:M,"QQC",'QA Log'!L:L,"6. Essential Medicine Management",'QA Log'!Z:Z,"Approved"),"")</f>
        <v/>
      </c>
      <c r="P230" s="105" t="str">
        <f>IF(A230&lt;&gt;"",COUNTIFS('QA Log'!D:D,A230,'QA Log'!M:M,"QQC",'QA Log'!L:L,"7. Tracer Medicine",'QA Log'!Z:Z,"Approved"),"")</f>
        <v/>
      </c>
      <c r="Q230" s="105" t="str">
        <f>IF(A230&lt;&gt;"",COUNTIFS('QA Log'!D:D,A230,'QA Log'!M:M,"QQC",'QA Log'!L:L,"11. Additional Questions",'QA Log'!Z:Z,"Approved"),"")</f>
        <v/>
      </c>
      <c r="R230" s="102" t="str">
        <f>IF(A230="","",SUM(
COUNTIFS('QA Log'!D:D,A230,'QA Log'!M:M,"QQC",'QA Log'!Z:Z,"Rejected",'QA Log'!L:L,"*8. Maternity*"),
COUNTIFS('QA Log'!D:D,A230,'QA Log'!M:M,"QQC",'QA Log'!Z:Z,"Rejected",'QA Log'!L:L,"*EPI*"),
COUNTIFS('QA Log'!D:D,A230,'QA Log'!M:M,"QQC",'QA Log'!Z:Z,"Rejected",'QA Log'!L:L,"*10. Antenatal Care (ANC)*"),
COUNTIFS('QA Log'!D:D,A230,'QA Log'!M:M,"QQC",'QA Log'!Z:Z,"Rejected",'QA Log'!L:L,"*2. Hygiene and Sterilization*"),
COUNTIFS('QA Log'!D:D,A230,'QA Log'!M:M,"QQC",'QA Log'!Z:Z,"Rejected",'QA Log'!L:L,"*Family Planning*")))</f>
        <v/>
      </c>
      <c r="S230" s="106" t="str">
        <f t="shared" si="1"/>
        <v/>
      </c>
      <c r="T230" s="102" t="str">
        <f t="shared" si="2"/>
        <v/>
      </c>
      <c r="U230" s="102" t="str">
        <f>IF(A230="","",
SUM(
COUNTIFS('QA Log'!D:D,A230,'QA Log'!M:M,"QQC",'QA Log'!L:L,"*8. Maternity*"),
COUNTIFS('QA Log'!D:D,A230,'QA Log'!M:M,"QQC",'QA Log'!L:L,"*9. EPI and Pre-school Consultation*"),
COUNTIFS('QA Log'!D:D,A230,'QA Log'!M:M,"QQC",'QA Log'!L:L,"*10. Antenatal Care (ANC)*"),
COUNTIFS('QA Log'!D:D,A230,'QA Log'!M:M,"QQC",'QA Log'!L:L,"*2. Hygiene and Sterilization*"),
COUNTIFS('QA Log'!D:D,A230,'QA Log'!M:M,"QQC",'QA Log'!L:L,"*4. Family Planning*")
))</f>
        <v/>
      </c>
      <c r="V230" s="102" t="str">
        <f>IF(A230="","",
SUM(
COUNTIFS('QA Log'!D:D,A230,'QA Log'!M:M,"QQC",'QA Log'!Z:Z,"Approved",'QA Log'!L:L,"*8. Maternity*"),
COUNTIFS('QA Log'!D:D,A230,'QA Log'!M:M,"QQC",'QA Log'!Z:Z,"Approved",'QA Log'!L:L,"*9. EPI and Pre-school Consultation*"),
COUNTIFS('QA Log'!D:D,A230,'QA Log'!M:M,"QQC",'QA Log'!Z:Z,"Approved",'QA Log'!L:L,"*10. Antenatal Care (ANC)*"),
COUNTIFS('QA Log'!D:D,A230,'QA Log'!M:M,"QQC",'QA Log'!Z:Z,"Approved",'QA Log'!L:L,"*2. Hygiene and Sterilization*"),
COUNTIFS('QA Log'!D:D,A230,'QA Log'!M:M,"QQC",'QA Log'!Z:Z,"Approved",'QA Log'!L:L,"*4. Family Planning*")
))</f>
        <v/>
      </c>
      <c r="W230" s="105" t="str">
        <f>IF(A230&lt;&gt;"",COUNTIFS('QA Log'!D:D,A230,'QA Log'!M:M,"QQC",'QA Log'!L:L,"8. Maternity",'QA Log'!Z:Z,"Approved"),"")</f>
        <v/>
      </c>
      <c r="X230" s="105" t="str">
        <f>IF(A230&lt;&gt;"",COUNTIFS('QA Log'!D:D,A230,'QA Log'!M:M,"QQC",'QA Log'!L:L,"9. EPI and Pre-school Consultation",'QA Log'!Z:Z,"Approved"),"")</f>
        <v/>
      </c>
      <c r="Y230" s="105" t="str">
        <f>IF(A230&lt;&gt;"",COUNTIFS('QA Log'!D:D,A230,'QA Log'!M:M,"QQC",'QA Log'!L:L,"10. Antenatal Care (ANC)",'QA Log'!Z:Z,"Approved"),"")</f>
        <v/>
      </c>
      <c r="Z230" s="105" t="str">
        <f>IF(A230&lt;&gt;"",COUNTIFS('QA Log'!D:D,A230,'QA Log'!M:M,"QQC",'QA Log'!L:L,"2. Hygiene and Sterilization",'QA Log'!Z:Z,"Approved"),"")</f>
        <v/>
      </c>
      <c r="AA230" s="105" t="str">
        <f>IF(A230&lt;&gt;"",COUNTIFS('QA Log'!D:D,A230,'QA Log'!M:M,"QQC",'QA Log'!L:L,"4. Family Planning",'QA Log'!Z:Z,"Approved"),"")</f>
        <v/>
      </c>
      <c r="AB230" s="102" t="str">
        <f>IF(A230="","",
SUM(
COUNTIFS('QA Log'!D:D,A230,'QA Log'!M:M,"QQC",'QA Log'!Z:Z,"Rejected",'QA Log'!L:L,"*8. Maternity*"),
COUNTIFS('QA Log'!D:D,A230,'QA Log'!M:M,"QQC",'QA Log'!Z:Z,"Rejected",'QA Log'!L:L,"*9. EPI and Pre-school Consultation*"),
COUNTIFS('QA Log'!D:D,A230,'QA Log'!M:M,"QQC",'QA Log'!Z:Z,"Rejected",'QA Log'!L:L,"*10. Antenatal Care (ANC)*"),
COUNTIFS('QA Log'!D:D,A230,'QA Log'!M:M,"QQC",'QA Log'!Z:Z,"Rejected",'QA Log'!L:L,"*2. Hygiene and Sterilization*"),
COUNTIFS('QA Log'!D:D,A230,'QA Log'!M:M,"QQC",'QA Log'!Z:Z,"Rejected",'QA Log'!L:L,"*4. Family Planning*")
))</f>
        <v/>
      </c>
      <c r="AC230" s="102" t="str">
        <f t="shared" si="3"/>
        <v/>
      </c>
      <c r="AD230" s="103" t="str">
        <f t="shared" si="4"/>
        <v/>
      </c>
      <c r="AE230" s="102" t="str">
        <f>IF(A230="","",
SUM(
COUNTIFS('QA Log'!D:D,A230,'QA Log'!M:M,"Data Verification",'QA Log'!L:L,"*Medicine (section 2)*"),
COUNTIFS('QA Log'!D:D,A230,'QA Log'!M:M,"Data Verification",'QA Log'!L:L,"*Lab Testing Availability*"),
COUNTIFS('QA Log'!D:D,A230,'QA Log'!M:M,"Data Verification",'QA Log'!L:L,"*Other than P4P (section 6)*"),
COUNTIFS('QA Log'!D:D,A230,'QA Log'!M:M,"Data Verification",'QA Log'!L:L,"*Hospital Governance*")
))</f>
        <v/>
      </c>
      <c r="AF230" s="102" t="str">
        <f>IF(A230="","",
SUM(
COUNTIFS('QA Log'!D:D,A230,'QA Log'!M:M,"Data Verification",'QA Log'!Z:Z,"Approved",'QA Log'!L:L,"*Medicine (section 2)*"),
COUNTIFS('QA Log'!D:D,A230,'QA Log'!M:M,"Data Verification",'QA Log'!Z:Z,"Approved",'QA Log'!L:L,"*Lab Testing Availability*"),
COUNTIFS('QA Log'!D:D,A230,'QA Log'!M:M,"Data Verification",'QA Log'!Z:Z,"Approved",'QA Log'!L:L,"*Other than P4P (section 6)*"),
COUNTIFS('QA Log'!D:D,A230,'QA Log'!M:M,"Data Verification",'QA Log'!Z:Z,"Approved",'QA Log'!L:L,"*Hospital Governance*")
))</f>
        <v/>
      </c>
      <c r="AG230" s="105" t="str">
        <f>IF(A230&lt;&gt;"",COUNTIFS('QA Log'!D:D,A230,'QA Log'!M:M,"Data Verification",'QA Log'!L:L,"Medicine (section 2)",'QA Log'!Z:Z,"Approved"),"")</f>
        <v/>
      </c>
      <c r="AH230" s="105" t="str">
        <f>IF(A230&lt;&gt;"",COUNTIFS('QA Log'!D:D,A230,'QA Log'!M:M,"Data Verification",'QA Log'!L:L,"Lab Testing Availability",'QA Log'!Z:Z,"Approved"),"")</f>
        <v/>
      </c>
      <c r="AI230" s="105" t="str">
        <f>IF(A230&lt;&gt;"",COUNTIFS('QA Log'!D:D,A230,'QA Log'!M:M,"Data Verification",'QA Log'!L:L,"Other than P4P (section 6)",'QA Log'!Z:Z,"Approved"),"")</f>
        <v/>
      </c>
      <c r="AJ230" s="105" t="str">
        <f>IF(A230&lt;&gt;"",COUNTIFS('QA Log'!D:D,A230,'QA Log'!M:M,"Data Verification",'QA Log'!L:L,"Hospital Governance",'QA Log'!Z:Z,"Approved"),"")</f>
        <v/>
      </c>
      <c r="AK230" s="102" t="str">
        <f>IF(A230="","",
SUM(
COUNTIFS('QA Log'!D:D,A230,'QA Log'!M:M,"Data Verification",'QA Log'!Z:Z,"Rejected",'QA Log'!L:L,"*Medicine (section 2)*"),
COUNTIFS('QA Log'!D:D,A230,'QA Log'!M:M,"Data Verification",'QA Log'!Z:Z,"Rejected",'QA Log'!L:L,"*Lab Testing Availability*"),
COUNTIFS('QA Log'!D:D,A230,'QA Log'!M:M,"Data Verification",'QA Log'!Z:Z,"Rejected",'QA Log'!L:L,"*Other than P4P (section 6)*"),
COUNTIFS('QA Log'!D:D,A230,'QA Log'!M:M,"Data Verification",'QA Log'!Z:Z,"Rejected",'QA Log'!L:L,"*Hospital Governance*")
))</f>
        <v/>
      </c>
      <c r="AL230" s="106" t="str">
        <f t="shared" si="5"/>
        <v/>
      </c>
      <c r="AM230" s="102" t="str">
        <f t="shared" si="6"/>
        <v/>
      </c>
      <c r="AN230" s="102" t="str">
        <f>IF(A230="","",
SUM(
COUNTIFS('QA Log'!D:D,A230,'QA Log'!M:M,"Data Verification",'QA Log'!L:L,"*Personnel (section 1)*"),
COUNTIFS('QA Log'!D:D,A230,'QA Log'!M:M,"Data Verification",'QA Log'!L:L,"*Consumable (section 3)*"),
COUNTIFS('QA Log'!D:D,A230,'QA Log'!M:M,"Data Verification",'QA Log'!L:L,"*Equipments (section 4)*")
))</f>
        <v/>
      </c>
      <c r="AO230" s="102" t="str">
        <f>IF(A230="","",
SUM(
COUNTIFS('QA Log'!D:D,A230,'QA Log'!M:M,"Data Verification",'QA Log'!Z:Z,"Approved",'QA Log'!L:L,"*Personnel (section 1)*"),
COUNTIFS('QA Log'!D:D,A230,'QA Log'!M:M,"Data Verification",'QA Log'!Z:Z,"Approved",'QA Log'!L:L,"*Consumable (section 3)*"),
COUNTIFS('QA Log'!D:D,A230,'QA Log'!M:M,"Data Verification",'QA Log'!Z:Z,"Approved",'QA Log'!L:L,"*Equipments (section 4)*")
))</f>
        <v/>
      </c>
      <c r="AP230" s="105" t="str">
        <f>IF(A230&lt;&gt;"",COUNTIFS('QA Log'!D:D,A230,'QA Log'!M:M,"Data Verification",'QA Log'!L:L,"Personnel (section 1)",'QA Log'!Z:Z,"Approved"),"")</f>
        <v/>
      </c>
      <c r="AQ230" s="105" t="str">
        <f>IF(A230&lt;&gt;"",COUNTIFS('QA Log'!D:D,A230,'QA Log'!M:M,"Data Verification",'QA Log'!L:L,"Consumable (section 3)",'QA Log'!Z:Z,"Approved"),"")</f>
        <v/>
      </c>
      <c r="AR230" s="105" t="str">
        <f>IF(A230&lt;&gt;"",COUNTIFS('QA Log'!D:D,A230,'QA Log'!M:M,"Data Verification",'QA Log'!L:L,"Equipments (section 4)",'QA Log'!Z:Z,"Approved"),"")</f>
        <v/>
      </c>
      <c r="AS230" s="102" t="str">
        <f>IF(A230="","",
SUM(
COUNTIFS('QA Log'!D:D,A230,'QA Log'!M:M,"Data Verification",'QA Log'!Z:Z,"Rejected",'QA Log'!L:L,"*Personnel (section 1)*"),
COUNTIFS('QA Log'!D:D,A230,'QA Log'!M:M,"Data Verification",'QA Log'!Z:Z,"Rejected",'QA Log'!L:L,"*Consumable (section 3)*"),
COUNTIFS('QA Log'!D:D,A230,'QA Log'!M:M,"Data Verification",'QA Log'!Z:Z,"Rejected",'QA Log'!L:L,"*Equipments (section 4)*")
))</f>
        <v/>
      </c>
      <c r="AT230" s="102" t="str">
        <f t="shared" si="7"/>
        <v/>
      </c>
      <c r="AU230" s="103" t="str">
        <f t="shared" si="8"/>
        <v/>
      </c>
      <c r="AV230" s="102" t="str">
        <f>IF(A230="","",SUM(
COUNTIFS('QA Log'!D:D,A230,'QA Log'!M:M,"Vignette",'QA Log'!L:L,"*Vignette [1] Respiratory Infection: Pneumonia*"),
COUNTIFS('QA Log'!D:D,A230,'QA Log'!M:M,"Vignette",'QA Log'!L:L,"*Vignette [2]: Diarrhea with Cat B dehydration*"),
COUNTIFS('QA Log'!D:D,A230,'QA Log'!M:M,"Vignette",'QA Log'!L:L,"*Vignette [3] Growth Monitoring and Promotion*"),
COUNTIFS('QA Log'!D:D,A230,'QA Log'!M:M,"Vignette",'QA Log'!L:L,"*Vignette [4]: The management of presumptive TB patient*")
)
)</f>
        <v/>
      </c>
      <c r="AW230" s="102" t="str">
        <f>IF(
  A230="","",
  SUM(
    COUNTIFS('QA Log'!D:D,A230,'QA Log'!M:M,"Vignette",'QA Log'!Z:Z,"Approved",'QA Log'!L:L,"*Vignette [1] Respiratory Infection: Pneumonia*"),
    COUNTIFS('QA Log'!D:D,A230,'QA Log'!M:M,"Vignette",'QA Log'!Z:Z,"Approved",'QA Log'!L:L,"*Vignette [2]: Diarrhea with Cat B dehydration*"),
    COUNTIFS('QA Log'!D:D,A230,'QA Log'!M:M,"Vignette",'QA Log'!Z:Z,"Approved",'QA Log'!L:L,"*Vignette [3] Growth Monitoring and Promotion*"),
    COUNTIFS('QA Log'!D:D,A230,'QA Log'!M:M,"Vignette",'QA Log'!Z:Z,"Approved",'QA Log'!L:L,"*Vignette [4]: The management of presumptive TB patient*")
  )
)</f>
        <v/>
      </c>
      <c r="AX230" s="105" t="str">
        <f>IF(A230&lt;&gt;"",COUNTIFS('QA Log'!D:D,A230,'QA Log'!M:M,"Vignette",'QA Log'!L:L,"Vignette [1] Respiratory Infection: Pneumonia",'QA Log'!Z:Z,"Approved"),"")</f>
        <v/>
      </c>
      <c r="AY230" s="105" t="str">
        <f>IF(A230&lt;&gt;"",COUNTIFS('QA Log'!D:D,A230,'QA Log'!M:M,"Vignette",'QA Log'!L:L,"Vignette [2]: Diarrhea with Cat B dehydration",'QA Log'!Z:Z,"Approved"),"")</f>
        <v/>
      </c>
      <c r="AZ230" s="105" t="str">
        <f>IF(A230&lt;&gt;"",COUNTIFS('QA Log'!D:D,A230,'QA Log'!M:M,"Vignette",'QA Log'!L:L,"Vignette [3] Growth Monitoring and Promotion",'QA Log'!Z:Z,"Approved"),"")</f>
        <v/>
      </c>
      <c r="BA230" s="105" t="str">
        <f>IF(A230&lt;&gt;"",COUNTIFS('QA Log'!D:D,A230,'QA Log'!M:M,"Vignette",'QA Log'!L:L,"Vignette [4]: The management of presumptive TB patient",'QA Log'!Z:Z,"Approved"),"")</f>
        <v/>
      </c>
      <c r="BB230" s="102" t="str">
        <f>IF(A230="","",
  SUM(
    COUNTIFS('QA Log'!D:D,A230,'QA Log'!M:M,"Vignette",'QA Log'!Z:Z,"Rejected",'QA Log'!L:L,"*Vignette [1] Respiratory Infection: Pneumonia*"),
    COUNTIFS('QA Log'!D:D,A230,'QA Log'!M:M,"Vignette",'QA Log'!Z:Z,"Rejected",'QA Log'!L:L,"*Vignette [2]: Diarrhea with Cat B dehydration*"),
    COUNTIFS('QA Log'!D:D,A230,'QA Log'!M:M,"Vignette",'QA Log'!Z:Z,"Rejected",'QA Log'!L:L,"*Vignette [3] Growth Monitoring and Promotion*"),
    COUNTIFS('QA Log'!D:D,A230,'QA Log'!M:M,"Vignette",'QA Log'!Z:Z,"Rejected",'QA Log'!L:L,"*Vignette [4]: The management of presumptive TB patient*")
  )
)</f>
        <v/>
      </c>
      <c r="BC230" s="107" t="str">
        <f t="shared" si="9"/>
        <v/>
      </c>
      <c r="BD230" s="103" t="str">
        <f t="shared" si="10"/>
        <v/>
      </c>
      <c r="BE230" s="102" t="str">
        <f>IF(A230="","",SUM(
COUNTIFS('QA Log'!D:D,A230,'QA Log'!M:M,"Vignette",'QA Log'!L:L,"*Vignette [5] Labor*"),
COUNTIFS('QA Log'!D:D,A230,'QA Log'!M:M,"Vignette",'QA Log'!L:L,"*Vignette [6] PNC pre Discharge*"),
COUNTIFS('QA Log'!D:D,A230,'QA Log'!M:M,"Vignette",'QA Log'!L:L,"*Vignette [7] First ANC Visit*"),
COUNTIFS('QA Log'!D:D,A230,'QA Log'!M:M,"Vignette",'QA Log'!L:L,"*Vignette [8] Birth Spacing/ Family Planning :  FP Counselling*"),
COUNTIFS('QA Log'!D:D,A230,'QA Log'!M:M,"Vignette",'QA Log'!L:L,"*Vignette [9] Birth Spacing: Change FP method to Injectable*"),
COUNTIFS('QA Log'!D:D,A230,'QA Log'!M:M,"Vignette",'QA Log'!L:L,"*Vignette [10] Post Partum Haemorrhage - Atonic Uterus at Health Centre*"),
)
)</f>
        <v/>
      </c>
      <c r="BF230" s="102" t="str">
        <f>IF(A230="","",
  SUM(
    COUNTIFS('QA Log'!D:D,A230,'QA Log'!M:M,"Vignette",'QA Log'!Z:Z,"Approved",'QA Log'!L:L,"*Vignette [5] Labor*"),
    COUNTIFS('QA Log'!D:D,A230,'QA Log'!M:M,"Vignette",'QA Log'!Z:Z,"Approved",'QA Log'!L:L,"*Vignette [6] PNC pre Discharge*"),
    COUNTIFS('QA Log'!D:D,A230,'QA Log'!M:M,"Vignette",'QA Log'!Z:Z,"Approved",'QA Log'!L:L,"*Vignette [7] First ANC Visit*"),
    COUNTIFS('QA Log'!D:D,A230,'QA Log'!M:M,"Vignette",'QA Log'!Z:Z,"Approved",'QA Log'!L:L,"*Vignette [8] Birth Spacing/ Family Planning :  FP Counselling*"),
    COUNTIFS('QA Log'!D:D,A230,'QA Log'!M:M,"Vignette",'QA Log'!Z:Z,"Approved",'QA Log'!L:L,"*Vignette [9] Birth Spacing: Change FP method to Injectable*"),
    COUNTIFS('QA Log'!D:D,A230,'QA Log'!M:M,"Vignette",'QA Log'!Z:Z,"Approved",'QA Log'!L:L,"*Vignette [10] Post Partum Haemorrhage - Atonic Uterus at Health Centre*")
  )
)</f>
        <v/>
      </c>
      <c r="BG230" s="105" t="str">
        <f>IF(A230&lt;&gt;"",COUNTIFS('QA Log'!D:D,A230,'QA Log'!M:M,"Vignette",'QA Log'!L:L,"Vignette [5] Labor",'QA Log'!Z:Z,"Approved"),"")</f>
        <v/>
      </c>
      <c r="BH230" s="105" t="str">
        <f>IF(A230&lt;&gt;"",COUNTIFS('QA Log'!D:D,A230,'QA Log'!M:M,"Vignette",'QA Log'!L:L,"Vignette [6] PNC pre Discharge",'QA Log'!Z:Z,"Approved"),"")</f>
        <v/>
      </c>
      <c r="BI230" s="105" t="str">
        <f>IF(A230&lt;&gt;"",COUNTIFS('QA Log'!D:D,A230,'QA Log'!M:M,"Vignette",'QA Log'!L:L,"Vignette [7] First ANC Visit",'QA Log'!Z:Z,"Approved"),"")</f>
        <v/>
      </c>
      <c r="BJ230" s="105" t="str">
        <f>IF(A230&lt;&gt;"",COUNTIFS('QA Log'!D:D,A230,'QA Log'!M:M,"Vignette",'QA Log'!L:L,"Vignette [8] Birth Spacing/ Family Planning :  FP Counselling",'QA Log'!Z:Z,"Approved"),"")</f>
        <v/>
      </c>
      <c r="BK230" s="105" t="str">
        <f>IF(A230&lt;&gt;"",COUNTIFS('QA Log'!D:D,A230,'QA Log'!M:M,"Vignette",'QA Log'!L:L,"Vignette [9] Birth Spacing: Change FP method to Injectable",'QA Log'!Z:Z,"Approved"),"")</f>
        <v/>
      </c>
      <c r="BL230" s="105" t="str">
        <f>IF(A230&lt;&gt;"",COUNTIFS('QA Log'!D:D,A230,'QA Log'!M:M,"Vignette",'QA Log'!L:L,"Vignette [10] Post Partum Haemorrhage - Atonic Uterus at Health Centre",'QA Log'!Z:Z,"Approved"),"")</f>
        <v/>
      </c>
      <c r="BM230" s="102" t="str">
        <f>IF(A230="","",SUM(
    COUNTIFS('QA Log'!D:D,A230,'QA Log'!M:M,"Vignette",'QA Log'!Z:Z,"Rejected",'QA Log'!L:L,"*Vignette [5] Labor*"),
    COUNTIFS('QA Log'!D:D,A230,'QA Log'!M:M,"Vignette",'QA Log'!Z:Z,"Rejected",'QA Log'!L:L,"*Vignette [6] PNC pre Discharge*"),
    COUNTIFS('QA Log'!D:D,A230,'QA Log'!M:M,"Vignette",'QA Log'!Z:Z,"Rejected",'QA Log'!L:L,"*Vignette [7] First ANC Visit*"),
    COUNTIFS('QA Log'!D:D,A230,'QA Log'!M:M,"Vignette",'QA Log'!Z:Z,"Rejected",'QA Log'!L:L,"*Vignette [8] Birth Spacing/ Family Planning :  FP Counselling*"),
    COUNTIFS('QA Log'!D:D,A230,'QA Log'!M:M,"Vignette",'QA Log'!Z:Z,"Rejected",'QA Log'!L:L,"*Vignette [9] Birth Spacing: Change FP method to Injectable*"),
    COUNTIFS('QA Log'!D:D,A230,'QA Log'!M:M,"Vignette",'QA Log'!Z:Z,"Rejected",'QA Log'!L:L,"*Vignette [10] Post Partum Haemorrhage - Atonic Uterus at Health Centre*")
  )
)</f>
        <v/>
      </c>
      <c r="BN230" s="107" t="str">
        <f t="shared" si="11"/>
        <v/>
      </c>
      <c r="BO230" s="103" t="str">
        <f t="shared" si="12"/>
        <v/>
      </c>
      <c r="BP230" s="102" t="str">
        <f>IF(A230="","",SUM(
COUNTIFS('QA Log'!D:D,A230,'QA Log'!M:M,"Vignette",'QA Log'!L:L,"*Exit Interview 1*"),
COUNTIFS('QA Log'!D:D,A230,'QA Log'!M:M,"Vignette",'QA Log'!L:L,"*Exit Interview 2*"),
)
)</f>
        <v/>
      </c>
      <c r="BQ230" s="102" t="str">
        <f>IF(
  A230="","",
  SUM(
    COUNTIFS('QA Log'!D:D,A230,'QA Log'!M:M,"Vignette",'QA Log'!Z:Z,"Approved",'QA Log'!L:L,"*Exit Interview 1*"),
    COUNTIFS('QA Log'!D:D,A230,'QA Log'!M:M,"Vignette",'QA Log'!Z:Z,"Approved",'QA Log'!L:L,"*Exit Interview 2*")
  )
)</f>
        <v/>
      </c>
      <c r="BR230" s="105" t="str">
        <f>IF(A230&lt;&gt;"",COUNTIFS('QA Log'!D:D,A230,'QA Log'!M:M,"Vignette",'QA Log'!L:L,"Exit Interview 1",'QA Log'!Z:Z,"Approved"),"")</f>
        <v/>
      </c>
      <c r="BS230" s="105" t="str">
        <f>IF(A230&lt;&gt;"",COUNTIFS('QA Log'!D:D,A230,'QA Log'!M:M,"Vignette",'QA Log'!L:L,"Exit Interview 2",'QA Log'!Z:Z,"Approved"),"")</f>
        <v/>
      </c>
      <c r="BT230" s="102" t="str">
        <f>IF(
  A230="","",
  SUM(
    COUNTIFS('QA Log'!D:D,A230,'QA Log'!M:M,"Vignette",'QA Log'!Z:Z,"Rejected",'QA Log'!L:L,"*Exit Interview 1*"),
    COUNTIFS('QA Log'!D:D,A230,'QA Log'!M:M,"Vignette",'QA Log'!Z:Z,"Rejected",'QA Log'!L:L,"*Exit Interview 2*")
  )
)</f>
        <v/>
      </c>
      <c r="BU230" s="107" t="str">
        <f t="shared" si="13"/>
        <v/>
      </c>
      <c r="BV230" s="102" t="str">
        <f t="shared" si="14"/>
        <v/>
      </c>
      <c r="BW230" s="102" t="str">
        <f t="shared" si="15"/>
        <v/>
      </c>
      <c r="BX230" s="102" t="str">
        <f t="shared" si="16"/>
        <v/>
      </c>
      <c r="BY230" s="102" t="str">
        <f t="shared" si="17"/>
        <v/>
      </c>
      <c r="BZ230" s="107" t="str">
        <f t="shared" si="18"/>
        <v/>
      </c>
      <c r="CA230" s="108" t="str">
        <f t="shared" si="19"/>
        <v/>
      </c>
      <c r="CB230" s="108" t="str">
        <f t="shared" si="20"/>
        <v/>
      </c>
      <c r="CC230" s="109" t="str">
        <f t="shared" si="21"/>
        <v/>
      </c>
      <c r="CD230" s="108" t="str">
        <f t="shared" si="22"/>
        <v/>
      </c>
      <c r="CE230" s="108" t="str">
        <f t="shared" si="23"/>
        <v/>
      </c>
      <c r="CF230" s="109" t="str">
        <f t="shared" si="24"/>
        <v/>
      </c>
      <c r="CG230" s="110" t="str">
        <f t="shared" si="25"/>
        <v/>
      </c>
      <c r="CH230" s="111"/>
    </row>
    <row r="231" spans="1:86" ht="12.75">
      <c r="A231" s="101"/>
      <c r="B231" s="102" t="e">
        <f t="array" aca="1" ref="B231" ca="1">_xludf.XLOOKUP(A231,'QA Log'!D:D,'QA Log'!E:E,"")</f>
        <v>#NAME?</v>
      </c>
      <c r="C231" s="102" t="e">
        <f t="array" aca="1" ref="C231" ca="1">_xludf.XLOOKUP(A231,'QA Log'!D:D,'QA Log'!F:F,"")</f>
        <v>#NAME?</v>
      </c>
      <c r="D231" s="102" t="e">
        <f t="array" aca="1" ref="D231" ca="1">_xludf.XLOOKUP(A231,'QA Log'!D:D,'QA Log'!H:H,"")</f>
        <v>#NAME?</v>
      </c>
      <c r="E231" s="102" t="e">
        <f t="array" aca="1" ref="E231" ca="1">_xludf.XLOOKUP(A231,'QA Log'!D:D,'QA Log'!G:G,"")</f>
        <v>#NAME?</v>
      </c>
      <c r="F231" s="103"/>
      <c r="G231" s="104"/>
      <c r="H231" s="104"/>
      <c r="I231" s="103" t="str">
        <f t="shared" si="0"/>
        <v/>
      </c>
      <c r="J231" s="102" t="str">
        <f>IF(A231="","",SUM(
COUNTIFS('QA Log'!D:D,A231,'QA Log'!M:M,"QQC",'QA Log'!L:L,"*1. General Management*"),
COUNTIFS('QA Log'!D:D,A231,'QA Log'!M:M,"QQC",'QA Log'!L:L,"*3. Curative Consultation (OPD)*"),
COUNTIFS('QA Log'!D:D,A231,'QA Log'!M:M,"QQC",'QA Log'!L:L,"*5. Laboratory*"),
COUNTIFS('QA Log'!D:D,A231,'QA Log'!M:M,"QQC",'QA Log'!L:L,"*6. Essential Medicine Management*"),
COUNTIFS('QA Log'!D:D,A231,'QA Log'!M:M,"QQC",'QA Log'!L:L,"*7. Tracer Medicine*"),
COUNTIFS('QA Log'!D:D,A231,'QA Log'!M:M,"QQC",'QA Log'!L:L,"*11. Additional Questions*")))</f>
        <v/>
      </c>
      <c r="K231" s="102" t="str">
        <f>IF(A231="","",SUM(
COUNTIFS('QA Log'!D:D,A231,'QA Log'!M:M,"QQC",'QA Log'!Z:Z,"Approved",'QA Log'!L:L,"*1. General Management*"),
COUNTIFS('QA Log'!D:D,A231,'QA Log'!M:M,"QQC",'QA Log'!Z:Z,"Approved",'QA Log'!L:L,"*3. Curative Consultation (OPD)*"),
COUNTIFS('QA Log'!D:D,A231,'QA Log'!M:M,"QQC",'QA Log'!Z:Z,"Approved",'QA Log'!L:L,"*5. Laboratory*"),
COUNTIFS('QA Log'!D:D,A231,'QA Log'!M:M,"QQC",'QA Log'!Z:Z,"Approved",'QA Log'!L:L,"*6. Essential Medicine Management*"),
COUNTIFS('QA Log'!D:D,A231,'QA Log'!M:M,"QQC",'QA Log'!Z:Z,"Approved",'QA Log'!L:L,"*7. Tracer Medicine*"),
COUNTIFS('QA Log'!D:D,A231,'QA Log'!M:M,"QQC",'QA Log'!Z:Z,"Approved",'QA Log'!L:L,"*11. Additional Questions*")))</f>
        <v/>
      </c>
      <c r="L231" s="105" t="str">
        <f>IF(A231&lt;&gt;"",COUNTIFS('QA Log'!D:D,A231,'QA Log'!M:M,"QQC",'QA Log'!L:L,"1. General Management",'QA Log'!Z:Z,"Approved"),"")</f>
        <v/>
      </c>
      <c r="M231" s="105" t="str">
        <f>IF(A231&lt;&gt;"",COUNTIFS('QA Log'!D:D,A231,'QA Log'!M:M,"QQC",'QA Log'!L:L,"3. Curative Consultation (OPD)",'QA Log'!Z:Z,"Approved"),"")</f>
        <v/>
      </c>
      <c r="N231" s="105" t="str">
        <f>IF(A231&lt;&gt;"",COUNTIFS('QA Log'!D:D,A231,'QA Log'!M:M,"QQC",'QA Log'!L:L,"5. Laboratory",'QA Log'!Z:Z,"Approved"),"")</f>
        <v/>
      </c>
      <c r="O231" s="105" t="str">
        <f>IF(A231&lt;&gt;"",COUNTIFS('QA Log'!D:D,A231,'QA Log'!M:M,"QQC",'QA Log'!L:L,"6. Essential Medicine Management",'QA Log'!Z:Z,"Approved"),"")</f>
        <v/>
      </c>
      <c r="P231" s="105" t="str">
        <f>IF(A231&lt;&gt;"",COUNTIFS('QA Log'!D:D,A231,'QA Log'!M:M,"QQC",'QA Log'!L:L,"7. Tracer Medicine",'QA Log'!Z:Z,"Approved"),"")</f>
        <v/>
      </c>
      <c r="Q231" s="105" t="str">
        <f>IF(A231&lt;&gt;"",COUNTIFS('QA Log'!D:D,A231,'QA Log'!M:M,"QQC",'QA Log'!L:L,"11. Additional Questions",'QA Log'!Z:Z,"Approved"),"")</f>
        <v/>
      </c>
      <c r="R231" s="102" t="str">
        <f>IF(A231="","",SUM(
COUNTIFS('QA Log'!D:D,A231,'QA Log'!M:M,"QQC",'QA Log'!Z:Z,"Rejected",'QA Log'!L:L,"*8. Maternity*"),
COUNTIFS('QA Log'!D:D,A231,'QA Log'!M:M,"QQC",'QA Log'!Z:Z,"Rejected",'QA Log'!L:L,"*EPI*"),
COUNTIFS('QA Log'!D:D,A231,'QA Log'!M:M,"QQC",'QA Log'!Z:Z,"Rejected",'QA Log'!L:L,"*10. Antenatal Care (ANC)*"),
COUNTIFS('QA Log'!D:D,A231,'QA Log'!M:M,"QQC",'QA Log'!Z:Z,"Rejected",'QA Log'!L:L,"*2. Hygiene and Sterilization*"),
COUNTIFS('QA Log'!D:D,A231,'QA Log'!M:M,"QQC",'QA Log'!Z:Z,"Rejected",'QA Log'!L:L,"*Family Planning*")))</f>
        <v/>
      </c>
      <c r="S231" s="106" t="str">
        <f t="shared" si="1"/>
        <v/>
      </c>
      <c r="T231" s="102" t="str">
        <f t="shared" si="2"/>
        <v/>
      </c>
      <c r="U231" s="102" t="str">
        <f>IF(A231="","",
SUM(
COUNTIFS('QA Log'!D:D,A231,'QA Log'!M:M,"QQC",'QA Log'!L:L,"*8. Maternity*"),
COUNTIFS('QA Log'!D:D,A231,'QA Log'!M:M,"QQC",'QA Log'!L:L,"*9. EPI and Pre-school Consultation*"),
COUNTIFS('QA Log'!D:D,A231,'QA Log'!M:M,"QQC",'QA Log'!L:L,"*10. Antenatal Care (ANC)*"),
COUNTIFS('QA Log'!D:D,A231,'QA Log'!M:M,"QQC",'QA Log'!L:L,"*2. Hygiene and Sterilization*"),
COUNTIFS('QA Log'!D:D,A231,'QA Log'!M:M,"QQC",'QA Log'!L:L,"*4. Family Planning*")
))</f>
        <v/>
      </c>
      <c r="V231" s="102" t="str">
        <f>IF(A231="","",
SUM(
COUNTIFS('QA Log'!D:D,A231,'QA Log'!M:M,"QQC",'QA Log'!Z:Z,"Approved",'QA Log'!L:L,"*8. Maternity*"),
COUNTIFS('QA Log'!D:D,A231,'QA Log'!M:M,"QQC",'QA Log'!Z:Z,"Approved",'QA Log'!L:L,"*9. EPI and Pre-school Consultation*"),
COUNTIFS('QA Log'!D:D,A231,'QA Log'!M:M,"QQC",'QA Log'!Z:Z,"Approved",'QA Log'!L:L,"*10. Antenatal Care (ANC)*"),
COUNTIFS('QA Log'!D:D,A231,'QA Log'!M:M,"QQC",'QA Log'!Z:Z,"Approved",'QA Log'!L:L,"*2. Hygiene and Sterilization*"),
COUNTIFS('QA Log'!D:D,A231,'QA Log'!M:M,"QQC",'QA Log'!Z:Z,"Approved",'QA Log'!L:L,"*4. Family Planning*")
))</f>
        <v/>
      </c>
      <c r="W231" s="105" t="str">
        <f>IF(A231&lt;&gt;"",COUNTIFS('QA Log'!D:D,A231,'QA Log'!M:M,"QQC",'QA Log'!L:L,"8. Maternity",'QA Log'!Z:Z,"Approved"),"")</f>
        <v/>
      </c>
      <c r="X231" s="105" t="str">
        <f>IF(A231&lt;&gt;"",COUNTIFS('QA Log'!D:D,A231,'QA Log'!M:M,"QQC",'QA Log'!L:L,"9. EPI and Pre-school Consultation",'QA Log'!Z:Z,"Approved"),"")</f>
        <v/>
      </c>
      <c r="Y231" s="105" t="str">
        <f>IF(A231&lt;&gt;"",COUNTIFS('QA Log'!D:D,A231,'QA Log'!M:M,"QQC",'QA Log'!L:L,"10. Antenatal Care (ANC)",'QA Log'!Z:Z,"Approved"),"")</f>
        <v/>
      </c>
      <c r="Z231" s="105" t="str">
        <f>IF(A231&lt;&gt;"",COUNTIFS('QA Log'!D:D,A231,'QA Log'!M:M,"QQC",'QA Log'!L:L,"2. Hygiene and Sterilization",'QA Log'!Z:Z,"Approved"),"")</f>
        <v/>
      </c>
      <c r="AA231" s="105" t="str">
        <f>IF(A231&lt;&gt;"",COUNTIFS('QA Log'!D:D,A231,'QA Log'!M:M,"QQC",'QA Log'!L:L,"4. Family Planning",'QA Log'!Z:Z,"Approved"),"")</f>
        <v/>
      </c>
      <c r="AB231" s="102" t="str">
        <f>IF(A231="","",
SUM(
COUNTIFS('QA Log'!D:D,A231,'QA Log'!M:M,"QQC",'QA Log'!Z:Z,"Rejected",'QA Log'!L:L,"*8. Maternity*"),
COUNTIFS('QA Log'!D:D,A231,'QA Log'!M:M,"QQC",'QA Log'!Z:Z,"Rejected",'QA Log'!L:L,"*9. EPI and Pre-school Consultation*"),
COUNTIFS('QA Log'!D:D,A231,'QA Log'!M:M,"QQC",'QA Log'!Z:Z,"Rejected",'QA Log'!L:L,"*10. Antenatal Care (ANC)*"),
COUNTIFS('QA Log'!D:D,A231,'QA Log'!M:M,"QQC",'QA Log'!Z:Z,"Rejected",'QA Log'!L:L,"*2. Hygiene and Sterilization*"),
COUNTIFS('QA Log'!D:D,A231,'QA Log'!M:M,"QQC",'QA Log'!Z:Z,"Rejected",'QA Log'!L:L,"*4. Family Planning*")
))</f>
        <v/>
      </c>
      <c r="AC231" s="102" t="str">
        <f t="shared" si="3"/>
        <v/>
      </c>
      <c r="AD231" s="103" t="str">
        <f t="shared" si="4"/>
        <v/>
      </c>
      <c r="AE231" s="102" t="str">
        <f>IF(A231="","",
SUM(
COUNTIFS('QA Log'!D:D,A231,'QA Log'!M:M,"Data Verification",'QA Log'!L:L,"*Medicine (section 2)*"),
COUNTIFS('QA Log'!D:D,A231,'QA Log'!M:M,"Data Verification",'QA Log'!L:L,"*Lab Testing Availability*"),
COUNTIFS('QA Log'!D:D,A231,'QA Log'!M:M,"Data Verification",'QA Log'!L:L,"*Other than P4P (section 6)*"),
COUNTIFS('QA Log'!D:D,A231,'QA Log'!M:M,"Data Verification",'QA Log'!L:L,"*Hospital Governance*")
))</f>
        <v/>
      </c>
      <c r="AF231" s="102" t="str">
        <f>IF(A231="","",
SUM(
COUNTIFS('QA Log'!D:D,A231,'QA Log'!M:M,"Data Verification",'QA Log'!Z:Z,"Approved",'QA Log'!L:L,"*Medicine (section 2)*"),
COUNTIFS('QA Log'!D:D,A231,'QA Log'!M:M,"Data Verification",'QA Log'!Z:Z,"Approved",'QA Log'!L:L,"*Lab Testing Availability*"),
COUNTIFS('QA Log'!D:D,A231,'QA Log'!M:M,"Data Verification",'QA Log'!Z:Z,"Approved",'QA Log'!L:L,"*Other than P4P (section 6)*"),
COUNTIFS('QA Log'!D:D,A231,'QA Log'!M:M,"Data Verification",'QA Log'!Z:Z,"Approved",'QA Log'!L:L,"*Hospital Governance*")
))</f>
        <v/>
      </c>
      <c r="AG231" s="105" t="str">
        <f>IF(A231&lt;&gt;"",COUNTIFS('QA Log'!D:D,A231,'QA Log'!M:M,"Data Verification",'QA Log'!L:L,"Medicine (section 2)",'QA Log'!Z:Z,"Approved"),"")</f>
        <v/>
      </c>
      <c r="AH231" s="105" t="str">
        <f>IF(A231&lt;&gt;"",COUNTIFS('QA Log'!D:D,A231,'QA Log'!M:M,"Data Verification",'QA Log'!L:L,"Lab Testing Availability",'QA Log'!Z:Z,"Approved"),"")</f>
        <v/>
      </c>
      <c r="AI231" s="105" t="str">
        <f>IF(A231&lt;&gt;"",COUNTIFS('QA Log'!D:D,A231,'QA Log'!M:M,"Data Verification",'QA Log'!L:L,"Other than P4P (section 6)",'QA Log'!Z:Z,"Approved"),"")</f>
        <v/>
      </c>
      <c r="AJ231" s="105" t="str">
        <f>IF(A231&lt;&gt;"",COUNTIFS('QA Log'!D:D,A231,'QA Log'!M:M,"Data Verification",'QA Log'!L:L,"Hospital Governance",'QA Log'!Z:Z,"Approved"),"")</f>
        <v/>
      </c>
      <c r="AK231" s="102" t="str">
        <f>IF(A231="","",
SUM(
COUNTIFS('QA Log'!D:D,A231,'QA Log'!M:M,"Data Verification",'QA Log'!Z:Z,"Rejected",'QA Log'!L:L,"*Medicine (section 2)*"),
COUNTIFS('QA Log'!D:D,A231,'QA Log'!M:M,"Data Verification",'QA Log'!Z:Z,"Rejected",'QA Log'!L:L,"*Lab Testing Availability*"),
COUNTIFS('QA Log'!D:D,A231,'QA Log'!M:M,"Data Verification",'QA Log'!Z:Z,"Rejected",'QA Log'!L:L,"*Other than P4P (section 6)*"),
COUNTIFS('QA Log'!D:D,A231,'QA Log'!M:M,"Data Verification",'QA Log'!Z:Z,"Rejected",'QA Log'!L:L,"*Hospital Governance*")
))</f>
        <v/>
      </c>
      <c r="AL231" s="106" t="str">
        <f t="shared" si="5"/>
        <v/>
      </c>
      <c r="AM231" s="102" t="str">
        <f t="shared" si="6"/>
        <v/>
      </c>
      <c r="AN231" s="102" t="str">
        <f>IF(A231="","",
SUM(
COUNTIFS('QA Log'!D:D,A231,'QA Log'!M:M,"Data Verification",'QA Log'!L:L,"*Personnel (section 1)*"),
COUNTIFS('QA Log'!D:D,A231,'QA Log'!M:M,"Data Verification",'QA Log'!L:L,"*Consumable (section 3)*"),
COUNTIFS('QA Log'!D:D,A231,'QA Log'!M:M,"Data Verification",'QA Log'!L:L,"*Equipments (section 4)*")
))</f>
        <v/>
      </c>
      <c r="AO231" s="102" t="str">
        <f>IF(A231="","",
SUM(
COUNTIFS('QA Log'!D:D,A231,'QA Log'!M:M,"Data Verification",'QA Log'!Z:Z,"Approved",'QA Log'!L:L,"*Personnel (section 1)*"),
COUNTIFS('QA Log'!D:D,A231,'QA Log'!M:M,"Data Verification",'QA Log'!Z:Z,"Approved",'QA Log'!L:L,"*Consumable (section 3)*"),
COUNTIFS('QA Log'!D:D,A231,'QA Log'!M:M,"Data Verification",'QA Log'!Z:Z,"Approved",'QA Log'!L:L,"*Equipments (section 4)*")
))</f>
        <v/>
      </c>
      <c r="AP231" s="105" t="str">
        <f>IF(A231&lt;&gt;"",COUNTIFS('QA Log'!D:D,A231,'QA Log'!M:M,"Data Verification",'QA Log'!L:L,"Personnel (section 1)",'QA Log'!Z:Z,"Approved"),"")</f>
        <v/>
      </c>
      <c r="AQ231" s="105" t="str">
        <f>IF(A231&lt;&gt;"",COUNTIFS('QA Log'!D:D,A231,'QA Log'!M:M,"Data Verification",'QA Log'!L:L,"Consumable (section 3)",'QA Log'!Z:Z,"Approved"),"")</f>
        <v/>
      </c>
      <c r="AR231" s="105" t="str">
        <f>IF(A231&lt;&gt;"",COUNTIFS('QA Log'!D:D,A231,'QA Log'!M:M,"Data Verification",'QA Log'!L:L,"Equipments (section 4)",'QA Log'!Z:Z,"Approved"),"")</f>
        <v/>
      </c>
      <c r="AS231" s="102" t="str">
        <f>IF(A231="","",
SUM(
COUNTIFS('QA Log'!D:D,A231,'QA Log'!M:M,"Data Verification",'QA Log'!Z:Z,"Rejected",'QA Log'!L:L,"*Personnel (section 1)*"),
COUNTIFS('QA Log'!D:D,A231,'QA Log'!M:M,"Data Verification",'QA Log'!Z:Z,"Rejected",'QA Log'!L:L,"*Consumable (section 3)*"),
COUNTIFS('QA Log'!D:D,A231,'QA Log'!M:M,"Data Verification",'QA Log'!Z:Z,"Rejected",'QA Log'!L:L,"*Equipments (section 4)*")
))</f>
        <v/>
      </c>
      <c r="AT231" s="102" t="str">
        <f t="shared" si="7"/>
        <v/>
      </c>
      <c r="AU231" s="103" t="str">
        <f t="shared" si="8"/>
        <v/>
      </c>
      <c r="AV231" s="102" t="str">
        <f>IF(A231="","",SUM(
COUNTIFS('QA Log'!D:D,A231,'QA Log'!M:M,"Vignette",'QA Log'!L:L,"*Vignette [1] Respiratory Infection: Pneumonia*"),
COUNTIFS('QA Log'!D:D,A231,'QA Log'!M:M,"Vignette",'QA Log'!L:L,"*Vignette [2]: Diarrhea with Cat B dehydration*"),
COUNTIFS('QA Log'!D:D,A231,'QA Log'!M:M,"Vignette",'QA Log'!L:L,"*Vignette [3] Growth Monitoring and Promotion*"),
COUNTIFS('QA Log'!D:D,A231,'QA Log'!M:M,"Vignette",'QA Log'!L:L,"*Vignette [4]: The management of presumptive TB patient*")
)
)</f>
        <v/>
      </c>
      <c r="AW231" s="102" t="str">
        <f>IF(
  A231="","",
  SUM(
    COUNTIFS('QA Log'!D:D,A231,'QA Log'!M:M,"Vignette",'QA Log'!Z:Z,"Approved",'QA Log'!L:L,"*Vignette [1] Respiratory Infection: Pneumonia*"),
    COUNTIFS('QA Log'!D:D,A231,'QA Log'!M:M,"Vignette",'QA Log'!Z:Z,"Approved",'QA Log'!L:L,"*Vignette [2]: Diarrhea with Cat B dehydration*"),
    COUNTIFS('QA Log'!D:D,A231,'QA Log'!M:M,"Vignette",'QA Log'!Z:Z,"Approved",'QA Log'!L:L,"*Vignette [3] Growth Monitoring and Promotion*"),
    COUNTIFS('QA Log'!D:D,A231,'QA Log'!M:M,"Vignette",'QA Log'!Z:Z,"Approved",'QA Log'!L:L,"*Vignette [4]: The management of presumptive TB patient*")
  )
)</f>
        <v/>
      </c>
      <c r="AX231" s="105" t="str">
        <f>IF(A231&lt;&gt;"",COUNTIFS('QA Log'!D:D,A231,'QA Log'!M:M,"Vignette",'QA Log'!L:L,"Vignette [1] Respiratory Infection: Pneumonia",'QA Log'!Z:Z,"Approved"),"")</f>
        <v/>
      </c>
      <c r="AY231" s="105" t="str">
        <f>IF(A231&lt;&gt;"",COUNTIFS('QA Log'!D:D,A231,'QA Log'!M:M,"Vignette",'QA Log'!L:L,"Vignette [2]: Diarrhea with Cat B dehydration",'QA Log'!Z:Z,"Approved"),"")</f>
        <v/>
      </c>
      <c r="AZ231" s="105" t="str">
        <f>IF(A231&lt;&gt;"",COUNTIFS('QA Log'!D:D,A231,'QA Log'!M:M,"Vignette",'QA Log'!L:L,"Vignette [3] Growth Monitoring and Promotion",'QA Log'!Z:Z,"Approved"),"")</f>
        <v/>
      </c>
      <c r="BA231" s="105" t="str">
        <f>IF(A231&lt;&gt;"",COUNTIFS('QA Log'!D:D,A231,'QA Log'!M:M,"Vignette",'QA Log'!L:L,"Vignette [4]: The management of presumptive TB patient",'QA Log'!Z:Z,"Approved"),"")</f>
        <v/>
      </c>
      <c r="BB231" s="102" t="str">
        <f>IF(A231="","",
  SUM(
    COUNTIFS('QA Log'!D:D,A231,'QA Log'!M:M,"Vignette",'QA Log'!Z:Z,"Rejected",'QA Log'!L:L,"*Vignette [1] Respiratory Infection: Pneumonia*"),
    COUNTIFS('QA Log'!D:D,A231,'QA Log'!M:M,"Vignette",'QA Log'!Z:Z,"Rejected",'QA Log'!L:L,"*Vignette [2]: Diarrhea with Cat B dehydration*"),
    COUNTIFS('QA Log'!D:D,A231,'QA Log'!M:M,"Vignette",'QA Log'!Z:Z,"Rejected",'QA Log'!L:L,"*Vignette [3] Growth Monitoring and Promotion*"),
    COUNTIFS('QA Log'!D:D,A231,'QA Log'!M:M,"Vignette",'QA Log'!Z:Z,"Rejected",'QA Log'!L:L,"*Vignette [4]: The management of presumptive TB patient*")
  )
)</f>
        <v/>
      </c>
      <c r="BC231" s="107" t="str">
        <f t="shared" si="9"/>
        <v/>
      </c>
      <c r="BD231" s="103" t="str">
        <f t="shared" si="10"/>
        <v/>
      </c>
      <c r="BE231" s="102" t="str">
        <f>IF(A231="","",SUM(
COUNTIFS('QA Log'!D:D,A231,'QA Log'!M:M,"Vignette",'QA Log'!L:L,"*Vignette [5] Labor*"),
COUNTIFS('QA Log'!D:D,A231,'QA Log'!M:M,"Vignette",'QA Log'!L:L,"*Vignette [6] PNC pre Discharge*"),
COUNTIFS('QA Log'!D:D,A231,'QA Log'!M:M,"Vignette",'QA Log'!L:L,"*Vignette [7] First ANC Visit*"),
COUNTIFS('QA Log'!D:D,A231,'QA Log'!M:M,"Vignette",'QA Log'!L:L,"*Vignette [8] Birth Spacing/ Family Planning :  FP Counselling*"),
COUNTIFS('QA Log'!D:D,A231,'QA Log'!M:M,"Vignette",'QA Log'!L:L,"*Vignette [9] Birth Spacing: Change FP method to Injectable*"),
COUNTIFS('QA Log'!D:D,A231,'QA Log'!M:M,"Vignette",'QA Log'!L:L,"*Vignette [10] Post Partum Haemorrhage - Atonic Uterus at Health Centre*"),
)
)</f>
        <v/>
      </c>
      <c r="BF231" s="102" t="str">
        <f>IF(A231="","",
  SUM(
    COUNTIFS('QA Log'!D:D,A231,'QA Log'!M:M,"Vignette",'QA Log'!Z:Z,"Approved",'QA Log'!L:L,"*Vignette [5] Labor*"),
    COUNTIFS('QA Log'!D:D,A231,'QA Log'!M:M,"Vignette",'QA Log'!Z:Z,"Approved",'QA Log'!L:L,"*Vignette [6] PNC pre Discharge*"),
    COUNTIFS('QA Log'!D:D,A231,'QA Log'!M:M,"Vignette",'QA Log'!Z:Z,"Approved",'QA Log'!L:L,"*Vignette [7] First ANC Visit*"),
    COUNTIFS('QA Log'!D:D,A231,'QA Log'!M:M,"Vignette",'QA Log'!Z:Z,"Approved",'QA Log'!L:L,"*Vignette [8] Birth Spacing/ Family Planning :  FP Counselling*"),
    COUNTIFS('QA Log'!D:D,A231,'QA Log'!M:M,"Vignette",'QA Log'!Z:Z,"Approved",'QA Log'!L:L,"*Vignette [9] Birth Spacing: Change FP method to Injectable*"),
    COUNTIFS('QA Log'!D:D,A231,'QA Log'!M:M,"Vignette",'QA Log'!Z:Z,"Approved",'QA Log'!L:L,"*Vignette [10] Post Partum Haemorrhage - Atonic Uterus at Health Centre*")
  )
)</f>
        <v/>
      </c>
      <c r="BG231" s="105" t="str">
        <f>IF(A231&lt;&gt;"",COUNTIFS('QA Log'!D:D,A231,'QA Log'!M:M,"Vignette",'QA Log'!L:L,"Vignette [5] Labor",'QA Log'!Z:Z,"Approved"),"")</f>
        <v/>
      </c>
      <c r="BH231" s="105" t="str">
        <f>IF(A231&lt;&gt;"",COUNTIFS('QA Log'!D:D,A231,'QA Log'!M:M,"Vignette",'QA Log'!L:L,"Vignette [6] PNC pre Discharge",'QA Log'!Z:Z,"Approved"),"")</f>
        <v/>
      </c>
      <c r="BI231" s="105" t="str">
        <f>IF(A231&lt;&gt;"",COUNTIFS('QA Log'!D:D,A231,'QA Log'!M:M,"Vignette",'QA Log'!L:L,"Vignette [7] First ANC Visit",'QA Log'!Z:Z,"Approved"),"")</f>
        <v/>
      </c>
      <c r="BJ231" s="105" t="str">
        <f>IF(A231&lt;&gt;"",COUNTIFS('QA Log'!D:D,A231,'QA Log'!M:M,"Vignette",'QA Log'!L:L,"Vignette [8] Birth Spacing/ Family Planning :  FP Counselling",'QA Log'!Z:Z,"Approved"),"")</f>
        <v/>
      </c>
      <c r="BK231" s="105" t="str">
        <f>IF(A231&lt;&gt;"",COUNTIFS('QA Log'!D:D,A231,'QA Log'!M:M,"Vignette",'QA Log'!L:L,"Vignette [9] Birth Spacing: Change FP method to Injectable",'QA Log'!Z:Z,"Approved"),"")</f>
        <v/>
      </c>
      <c r="BL231" s="105" t="str">
        <f>IF(A231&lt;&gt;"",COUNTIFS('QA Log'!D:D,A231,'QA Log'!M:M,"Vignette",'QA Log'!L:L,"Vignette [10] Post Partum Haemorrhage - Atonic Uterus at Health Centre",'QA Log'!Z:Z,"Approved"),"")</f>
        <v/>
      </c>
      <c r="BM231" s="102" t="str">
        <f>IF(A231="","",SUM(
    COUNTIFS('QA Log'!D:D,A231,'QA Log'!M:M,"Vignette",'QA Log'!Z:Z,"Rejected",'QA Log'!L:L,"*Vignette [5] Labor*"),
    COUNTIFS('QA Log'!D:D,A231,'QA Log'!M:M,"Vignette",'QA Log'!Z:Z,"Rejected",'QA Log'!L:L,"*Vignette [6] PNC pre Discharge*"),
    COUNTIFS('QA Log'!D:D,A231,'QA Log'!M:M,"Vignette",'QA Log'!Z:Z,"Rejected",'QA Log'!L:L,"*Vignette [7] First ANC Visit*"),
    COUNTIFS('QA Log'!D:D,A231,'QA Log'!M:M,"Vignette",'QA Log'!Z:Z,"Rejected",'QA Log'!L:L,"*Vignette [8] Birth Spacing/ Family Planning :  FP Counselling*"),
    COUNTIFS('QA Log'!D:D,A231,'QA Log'!M:M,"Vignette",'QA Log'!Z:Z,"Rejected",'QA Log'!L:L,"*Vignette [9] Birth Spacing: Change FP method to Injectable*"),
    COUNTIFS('QA Log'!D:D,A231,'QA Log'!M:M,"Vignette",'QA Log'!Z:Z,"Rejected",'QA Log'!L:L,"*Vignette [10] Post Partum Haemorrhage - Atonic Uterus at Health Centre*")
  )
)</f>
        <v/>
      </c>
      <c r="BN231" s="107" t="str">
        <f t="shared" si="11"/>
        <v/>
      </c>
      <c r="BO231" s="103" t="str">
        <f t="shared" si="12"/>
        <v/>
      </c>
      <c r="BP231" s="102" t="str">
        <f>IF(A231="","",SUM(
COUNTIFS('QA Log'!D:D,A231,'QA Log'!M:M,"Vignette",'QA Log'!L:L,"*Exit Interview 1*"),
COUNTIFS('QA Log'!D:D,A231,'QA Log'!M:M,"Vignette",'QA Log'!L:L,"*Exit Interview 2*"),
)
)</f>
        <v/>
      </c>
      <c r="BQ231" s="102" t="str">
        <f>IF(
  A231="","",
  SUM(
    COUNTIFS('QA Log'!D:D,A231,'QA Log'!M:M,"Vignette",'QA Log'!Z:Z,"Approved",'QA Log'!L:L,"*Exit Interview 1*"),
    COUNTIFS('QA Log'!D:D,A231,'QA Log'!M:M,"Vignette",'QA Log'!Z:Z,"Approved",'QA Log'!L:L,"*Exit Interview 2*")
  )
)</f>
        <v/>
      </c>
      <c r="BR231" s="105" t="str">
        <f>IF(A231&lt;&gt;"",COUNTIFS('QA Log'!D:D,A231,'QA Log'!M:M,"Vignette",'QA Log'!L:L,"Exit Interview 1",'QA Log'!Z:Z,"Approved"),"")</f>
        <v/>
      </c>
      <c r="BS231" s="105" t="str">
        <f>IF(A231&lt;&gt;"",COUNTIFS('QA Log'!D:D,A231,'QA Log'!M:M,"Vignette",'QA Log'!L:L,"Exit Interview 2",'QA Log'!Z:Z,"Approved"),"")</f>
        <v/>
      </c>
      <c r="BT231" s="102" t="str">
        <f>IF(
  A231="","",
  SUM(
    COUNTIFS('QA Log'!D:D,A231,'QA Log'!M:M,"Vignette",'QA Log'!Z:Z,"Rejected",'QA Log'!L:L,"*Exit Interview 1*"),
    COUNTIFS('QA Log'!D:D,A231,'QA Log'!M:M,"Vignette",'QA Log'!Z:Z,"Rejected",'QA Log'!L:L,"*Exit Interview 2*")
  )
)</f>
        <v/>
      </c>
      <c r="BU231" s="107" t="str">
        <f t="shared" si="13"/>
        <v/>
      </c>
      <c r="BV231" s="102" t="str">
        <f t="shared" si="14"/>
        <v/>
      </c>
      <c r="BW231" s="102" t="str">
        <f t="shared" si="15"/>
        <v/>
      </c>
      <c r="BX231" s="102" t="str">
        <f t="shared" si="16"/>
        <v/>
      </c>
      <c r="BY231" s="102" t="str">
        <f t="shared" si="17"/>
        <v/>
      </c>
      <c r="BZ231" s="107" t="str">
        <f t="shared" si="18"/>
        <v/>
      </c>
      <c r="CA231" s="108" t="str">
        <f t="shared" si="19"/>
        <v/>
      </c>
      <c r="CB231" s="108" t="str">
        <f t="shared" si="20"/>
        <v/>
      </c>
      <c r="CC231" s="109" t="str">
        <f t="shared" si="21"/>
        <v/>
      </c>
      <c r="CD231" s="108" t="str">
        <f t="shared" si="22"/>
        <v/>
      </c>
      <c r="CE231" s="108" t="str">
        <f t="shared" si="23"/>
        <v/>
      </c>
      <c r="CF231" s="109" t="str">
        <f t="shared" si="24"/>
        <v/>
      </c>
      <c r="CG231" s="110" t="str">
        <f t="shared" si="25"/>
        <v/>
      </c>
      <c r="CH231" s="111"/>
    </row>
    <row r="232" spans="1:86" ht="12.75">
      <c r="A232" s="101"/>
      <c r="B232" s="102" t="e">
        <f t="array" aca="1" ref="B232" ca="1">_xludf.XLOOKUP(A232,'QA Log'!D:D,'QA Log'!E:E,"")</f>
        <v>#NAME?</v>
      </c>
      <c r="C232" s="102" t="e">
        <f t="array" aca="1" ref="C232" ca="1">_xludf.XLOOKUP(A232,'QA Log'!D:D,'QA Log'!F:F,"")</f>
        <v>#NAME?</v>
      </c>
      <c r="D232" s="102" t="e">
        <f t="array" aca="1" ref="D232" ca="1">_xludf.XLOOKUP(A232,'QA Log'!D:D,'QA Log'!H:H,"")</f>
        <v>#NAME?</v>
      </c>
      <c r="E232" s="102" t="e">
        <f t="array" aca="1" ref="E232" ca="1">_xludf.XLOOKUP(A232,'QA Log'!D:D,'QA Log'!G:G,"")</f>
        <v>#NAME?</v>
      </c>
      <c r="F232" s="103"/>
      <c r="G232" s="104"/>
      <c r="H232" s="104"/>
      <c r="I232" s="103" t="str">
        <f t="shared" si="0"/>
        <v/>
      </c>
      <c r="J232" s="102" t="str">
        <f>IF(A232="","",SUM(
COUNTIFS('QA Log'!D:D,A232,'QA Log'!M:M,"QQC",'QA Log'!L:L,"*1. General Management*"),
COUNTIFS('QA Log'!D:D,A232,'QA Log'!M:M,"QQC",'QA Log'!L:L,"*3. Curative Consultation (OPD)*"),
COUNTIFS('QA Log'!D:D,A232,'QA Log'!M:M,"QQC",'QA Log'!L:L,"*5. Laboratory*"),
COUNTIFS('QA Log'!D:D,A232,'QA Log'!M:M,"QQC",'QA Log'!L:L,"*6. Essential Medicine Management*"),
COUNTIFS('QA Log'!D:D,A232,'QA Log'!M:M,"QQC",'QA Log'!L:L,"*7. Tracer Medicine*"),
COUNTIFS('QA Log'!D:D,A232,'QA Log'!M:M,"QQC",'QA Log'!L:L,"*11. Additional Questions*")))</f>
        <v/>
      </c>
      <c r="K232" s="102" t="str">
        <f>IF(A232="","",SUM(
COUNTIFS('QA Log'!D:D,A232,'QA Log'!M:M,"QQC",'QA Log'!Z:Z,"Approved",'QA Log'!L:L,"*1. General Management*"),
COUNTIFS('QA Log'!D:D,A232,'QA Log'!M:M,"QQC",'QA Log'!Z:Z,"Approved",'QA Log'!L:L,"*3. Curative Consultation (OPD)*"),
COUNTIFS('QA Log'!D:D,A232,'QA Log'!M:M,"QQC",'QA Log'!Z:Z,"Approved",'QA Log'!L:L,"*5. Laboratory*"),
COUNTIFS('QA Log'!D:D,A232,'QA Log'!M:M,"QQC",'QA Log'!Z:Z,"Approved",'QA Log'!L:L,"*6. Essential Medicine Management*"),
COUNTIFS('QA Log'!D:D,A232,'QA Log'!M:M,"QQC",'QA Log'!Z:Z,"Approved",'QA Log'!L:L,"*7. Tracer Medicine*"),
COUNTIFS('QA Log'!D:D,A232,'QA Log'!M:M,"QQC",'QA Log'!Z:Z,"Approved",'QA Log'!L:L,"*11. Additional Questions*")))</f>
        <v/>
      </c>
      <c r="L232" s="105" t="str">
        <f>IF(A232&lt;&gt;"",COUNTIFS('QA Log'!D:D,A232,'QA Log'!M:M,"QQC",'QA Log'!L:L,"1. General Management",'QA Log'!Z:Z,"Approved"),"")</f>
        <v/>
      </c>
      <c r="M232" s="105" t="str">
        <f>IF(A232&lt;&gt;"",COUNTIFS('QA Log'!D:D,A232,'QA Log'!M:M,"QQC",'QA Log'!L:L,"3. Curative Consultation (OPD)",'QA Log'!Z:Z,"Approved"),"")</f>
        <v/>
      </c>
      <c r="N232" s="105" t="str">
        <f>IF(A232&lt;&gt;"",COUNTIFS('QA Log'!D:D,A232,'QA Log'!M:M,"QQC",'QA Log'!L:L,"5. Laboratory",'QA Log'!Z:Z,"Approved"),"")</f>
        <v/>
      </c>
      <c r="O232" s="105" t="str">
        <f>IF(A232&lt;&gt;"",COUNTIFS('QA Log'!D:D,A232,'QA Log'!M:M,"QQC",'QA Log'!L:L,"6. Essential Medicine Management",'QA Log'!Z:Z,"Approved"),"")</f>
        <v/>
      </c>
      <c r="P232" s="105" t="str">
        <f>IF(A232&lt;&gt;"",COUNTIFS('QA Log'!D:D,A232,'QA Log'!M:M,"QQC",'QA Log'!L:L,"7. Tracer Medicine",'QA Log'!Z:Z,"Approved"),"")</f>
        <v/>
      </c>
      <c r="Q232" s="105" t="str">
        <f>IF(A232&lt;&gt;"",COUNTIFS('QA Log'!D:D,A232,'QA Log'!M:M,"QQC",'QA Log'!L:L,"11. Additional Questions",'QA Log'!Z:Z,"Approved"),"")</f>
        <v/>
      </c>
      <c r="R232" s="102" t="str">
        <f>IF(A232="","",SUM(
COUNTIFS('QA Log'!D:D,A232,'QA Log'!M:M,"QQC",'QA Log'!Z:Z,"Rejected",'QA Log'!L:L,"*8. Maternity*"),
COUNTIFS('QA Log'!D:D,A232,'QA Log'!M:M,"QQC",'QA Log'!Z:Z,"Rejected",'QA Log'!L:L,"*EPI*"),
COUNTIFS('QA Log'!D:D,A232,'QA Log'!M:M,"QQC",'QA Log'!Z:Z,"Rejected",'QA Log'!L:L,"*10. Antenatal Care (ANC)*"),
COUNTIFS('QA Log'!D:D,A232,'QA Log'!M:M,"QQC",'QA Log'!Z:Z,"Rejected",'QA Log'!L:L,"*2. Hygiene and Sterilization*"),
COUNTIFS('QA Log'!D:D,A232,'QA Log'!M:M,"QQC",'QA Log'!Z:Z,"Rejected",'QA Log'!L:L,"*Family Planning*")))</f>
        <v/>
      </c>
      <c r="S232" s="106" t="str">
        <f t="shared" si="1"/>
        <v/>
      </c>
      <c r="T232" s="102" t="str">
        <f t="shared" si="2"/>
        <v/>
      </c>
      <c r="U232" s="102" t="str">
        <f>IF(A232="","",
SUM(
COUNTIFS('QA Log'!D:D,A232,'QA Log'!M:M,"QQC",'QA Log'!L:L,"*8. Maternity*"),
COUNTIFS('QA Log'!D:D,A232,'QA Log'!M:M,"QQC",'QA Log'!L:L,"*9. EPI and Pre-school Consultation*"),
COUNTIFS('QA Log'!D:D,A232,'QA Log'!M:M,"QQC",'QA Log'!L:L,"*10. Antenatal Care (ANC)*"),
COUNTIFS('QA Log'!D:D,A232,'QA Log'!M:M,"QQC",'QA Log'!L:L,"*2. Hygiene and Sterilization*"),
COUNTIFS('QA Log'!D:D,A232,'QA Log'!M:M,"QQC",'QA Log'!L:L,"*4. Family Planning*")
))</f>
        <v/>
      </c>
      <c r="V232" s="102" t="str">
        <f>IF(A232="","",
SUM(
COUNTIFS('QA Log'!D:D,A232,'QA Log'!M:M,"QQC",'QA Log'!Z:Z,"Approved",'QA Log'!L:L,"*8. Maternity*"),
COUNTIFS('QA Log'!D:D,A232,'QA Log'!M:M,"QQC",'QA Log'!Z:Z,"Approved",'QA Log'!L:L,"*9. EPI and Pre-school Consultation*"),
COUNTIFS('QA Log'!D:D,A232,'QA Log'!M:M,"QQC",'QA Log'!Z:Z,"Approved",'QA Log'!L:L,"*10. Antenatal Care (ANC)*"),
COUNTIFS('QA Log'!D:D,A232,'QA Log'!M:M,"QQC",'QA Log'!Z:Z,"Approved",'QA Log'!L:L,"*2. Hygiene and Sterilization*"),
COUNTIFS('QA Log'!D:D,A232,'QA Log'!M:M,"QQC",'QA Log'!Z:Z,"Approved",'QA Log'!L:L,"*4. Family Planning*")
))</f>
        <v/>
      </c>
      <c r="W232" s="105" t="str">
        <f>IF(A232&lt;&gt;"",COUNTIFS('QA Log'!D:D,A232,'QA Log'!M:M,"QQC",'QA Log'!L:L,"8. Maternity",'QA Log'!Z:Z,"Approved"),"")</f>
        <v/>
      </c>
      <c r="X232" s="105" t="str">
        <f>IF(A232&lt;&gt;"",COUNTIFS('QA Log'!D:D,A232,'QA Log'!M:M,"QQC",'QA Log'!L:L,"9. EPI and Pre-school Consultation",'QA Log'!Z:Z,"Approved"),"")</f>
        <v/>
      </c>
      <c r="Y232" s="105" t="str">
        <f>IF(A232&lt;&gt;"",COUNTIFS('QA Log'!D:D,A232,'QA Log'!M:M,"QQC",'QA Log'!L:L,"10. Antenatal Care (ANC)",'QA Log'!Z:Z,"Approved"),"")</f>
        <v/>
      </c>
      <c r="Z232" s="105" t="str">
        <f>IF(A232&lt;&gt;"",COUNTIFS('QA Log'!D:D,A232,'QA Log'!M:M,"QQC",'QA Log'!L:L,"2. Hygiene and Sterilization",'QA Log'!Z:Z,"Approved"),"")</f>
        <v/>
      </c>
      <c r="AA232" s="105" t="str">
        <f>IF(A232&lt;&gt;"",COUNTIFS('QA Log'!D:D,A232,'QA Log'!M:M,"QQC",'QA Log'!L:L,"4. Family Planning",'QA Log'!Z:Z,"Approved"),"")</f>
        <v/>
      </c>
      <c r="AB232" s="102" t="str">
        <f>IF(A232="","",
SUM(
COUNTIFS('QA Log'!D:D,A232,'QA Log'!M:M,"QQC",'QA Log'!Z:Z,"Rejected",'QA Log'!L:L,"*8. Maternity*"),
COUNTIFS('QA Log'!D:D,A232,'QA Log'!M:M,"QQC",'QA Log'!Z:Z,"Rejected",'QA Log'!L:L,"*9. EPI and Pre-school Consultation*"),
COUNTIFS('QA Log'!D:D,A232,'QA Log'!M:M,"QQC",'QA Log'!Z:Z,"Rejected",'QA Log'!L:L,"*10. Antenatal Care (ANC)*"),
COUNTIFS('QA Log'!D:D,A232,'QA Log'!M:M,"QQC",'QA Log'!Z:Z,"Rejected",'QA Log'!L:L,"*2. Hygiene and Sterilization*"),
COUNTIFS('QA Log'!D:D,A232,'QA Log'!M:M,"QQC",'QA Log'!Z:Z,"Rejected",'QA Log'!L:L,"*4. Family Planning*")
))</f>
        <v/>
      </c>
      <c r="AC232" s="102" t="str">
        <f t="shared" si="3"/>
        <v/>
      </c>
      <c r="AD232" s="103" t="str">
        <f t="shared" si="4"/>
        <v/>
      </c>
      <c r="AE232" s="102" t="str">
        <f>IF(A232="","",
SUM(
COUNTIFS('QA Log'!D:D,A232,'QA Log'!M:M,"Data Verification",'QA Log'!L:L,"*Medicine (section 2)*"),
COUNTIFS('QA Log'!D:D,A232,'QA Log'!M:M,"Data Verification",'QA Log'!L:L,"*Lab Testing Availability*"),
COUNTIFS('QA Log'!D:D,A232,'QA Log'!M:M,"Data Verification",'QA Log'!L:L,"*Other than P4P (section 6)*"),
COUNTIFS('QA Log'!D:D,A232,'QA Log'!M:M,"Data Verification",'QA Log'!L:L,"*Hospital Governance*")
))</f>
        <v/>
      </c>
      <c r="AF232" s="102" t="str">
        <f>IF(A232="","",
SUM(
COUNTIFS('QA Log'!D:D,A232,'QA Log'!M:M,"Data Verification",'QA Log'!Z:Z,"Approved",'QA Log'!L:L,"*Medicine (section 2)*"),
COUNTIFS('QA Log'!D:D,A232,'QA Log'!M:M,"Data Verification",'QA Log'!Z:Z,"Approved",'QA Log'!L:L,"*Lab Testing Availability*"),
COUNTIFS('QA Log'!D:D,A232,'QA Log'!M:M,"Data Verification",'QA Log'!Z:Z,"Approved",'QA Log'!L:L,"*Other than P4P (section 6)*"),
COUNTIFS('QA Log'!D:D,A232,'QA Log'!M:M,"Data Verification",'QA Log'!Z:Z,"Approved",'QA Log'!L:L,"*Hospital Governance*")
))</f>
        <v/>
      </c>
      <c r="AG232" s="105" t="str">
        <f>IF(A232&lt;&gt;"",COUNTIFS('QA Log'!D:D,A232,'QA Log'!M:M,"Data Verification",'QA Log'!L:L,"Medicine (section 2)",'QA Log'!Z:Z,"Approved"),"")</f>
        <v/>
      </c>
      <c r="AH232" s="105" t="str">
        <f>IF(A232&lt;&gt;"",COUNTIFS('QA Log'!D:D,A232,'QA Log'!M:M,"Data Verification",'QA Log'!L:L,"Lab Testing Availability",'QA Log'!Z:Z,"Approved"),"")</f>
        <v/>
      </c>
      <c r="AI232" s="105" t="str">
        <f>IF(A232&lt;&gt;"",COUNTIFS('QA Log'!D:D,A232,'QA Log'!M:M,"Data Verification",'QA Log'!L:L,"Other than P4P (section 6)",'QA Log'!Z:Z,"Approved"),"")</f>
        <v/>
      </c>
      <c r="AJ232" s="105" t="str">
        <f>IF(A232&lt;&gt;"",COUNTIFS('QA Log'!D:D,A232,'QA Log'!M:M,"Data Verification",'QA Log'!L:L,"Hospital Governance",'QA Log'!Z:Z,"Approved"),"")</f>
        <v/>
      </c>
      <c r="AK232" s="102" t="str">
        <f>IF(A232="","",
SUM(
COUNTIFS('QA Log'!D:D,A232,'QA Log'!M:M,"Data Verification",'QA Log'!Z:Z,"Rejected",'QA Log'!L:L,"*Medicine (section 2)*"),
COUNTIFS('QA Log'!D:D,A232,'QA Log'!M:M,"Data Verification",'QA Log'!Z:Z,"Rejected",'QA Log'!L:L,"*Lab Testing Availability*"),
COUNTIFS('QA Log'!D:D,A232,'QA Log'!M:M,"Data Verification",'QA Log'!Z:Z,"Rejected",'QA Log'!L:L,"*Other than P4P (section 6)*"),
COUNTIFS('QA Log'!D:D,A232,'QA Log'!M:M,"Data Verification",'QA Log'!Z:Z,"Rejected",'QA Log'!L:L,"*Hospital Governance*")
))</f>
        <v/>
      </c>
      <c r="AL232" s="106" t="str">
        <f t="shared" si="5"/>
        <v/>
      </c>
      <c r="AM232" s="102" t="str">
        <f t="shared" si="6"/>
        <v/>
      </c>
      <c r="AN232" s="102" t="str">
        <f>IF(A232="","",
SUM(
COUNTIFS('QA Log'!D:D,A232,'QA Log'!M:M,"Data Verification",'QA Log'!L:L,"*Personnel (section 1)*"),
COUNTIFS('QA Log'!D:D,A232,'QA Log'!M:M,"Data Verification",'QA Log'!L:L,"*Consumable (section 3)*"),
COUNTIFS('QA Log'!D:D,A232,'QA Log'!M:M,"Data Verification",'QA Log'!L:L,"*Equipments (section 4)*")
))</f>
        <v/>
      </c>
      <c r="AO232" s="102" t="str">
        <f>IF(A232="","",
SUM(
COUNTIFS('QA Log'!D:D,A232,'QA Log'!M:M,"Data Verification",'QA Log'!Z:Z,"Approved",'QA Log'!L:L,"*Personnel (section 1)*"),
COUNTIFS('QA Log'!D:D,A232,'QA Log'!M:M,"Data Verification",'QA Log'!Z:Z,"Approved",'QA Log'!L:L,"*Consumable (section 3)*"),
COUNTIFS('QA Log'!D:D,A232,'QA Log'!M:M,"Data Verification",'QA Log'!Z:Z,"Approved",'QA Log'!L:L,"*Equipments (section 4)*")
))</f>
        <v/>
      </c>
      <c r="AP232" s="105" t="str">
        <f>IF(A232&lt;&gt;"",COUNTIFS('QA Log'!D:D,A232,'QA Log'!M:M,"Data Verification",'QA Log'!L:L,"Personnel (section 1)",'QA Log'!Z:Z,"Approved"),"")</f>
        <v/>
      </c>
      <c r="AQ232" s="105" t="str">
        <f>IF(A232&lt;&gt;"",COUNTIFS('QA Log'!D:D,A232,'QA Log'!M:M,"Data Verification",'QA Log'!L:L,"Consumable (section 3)",'QA Log'!Z:Z,"Approved"),"")</f>
        <v/>
      </c>
      <c r="AR232" s="105" t="str">
        <f>IF(A232&lt;&gt;"",COUNTIFS('QA Log'!D:D,A232,'QA Log'!M:M,"Data Verification",'QA Log'!L:L,"Equipments (section 4)",'QA Log'!Z:Z,"Approved"),"")</f>
        <v/>
      </c>
      <c r="AS232" s="102" t="str">
        <f>IF(A232="","",
SUM(
COUNTIFS('QA Log'!D:D,A232,'QA Log'!M:M,"Data Verification",'QA Log'!Z:Z,"Rejected",'QA Log'!L:L,"*Personnel (section 1)*"),
COUNTIFS('QA Log'!D:D,A232,'QA Log'!M:M,"Data Verification",'QA Log'!Z:Z,"Rejected",'QA Log'!L:L,"*Consumable (section 3)*"),
COUNTIFS('QA Log'!D:D,A232,'QA Log'!M:M,"Data Verification",'QA Log'!Z:Z,"Rejected",'QA Log'!L:L,"*Equipments (section 4)*")
))</f>
        <v/>
      </c>
      <c r="AT232" s="102" t="str">
        <f t="shared" si="7"/>
        <v/>
      </c>
      <c r="AU232" s="103" t="str">
        <f t="shared" si="8"/>
        <v/>
      </c>
      <c r="AV232" s="102" t="str">
        <f>IF(A232="","",SUM(
COUNTIFS('QA Log'!D:D,A232,'QA Log'!M:M,"Vignette",'QA Log'!L:L,"*Vignette [1] Respiratory Infection: Pneumonia*"),
COUNTIFS('QA Log'!D:D,A232,'QA Log'!M:M,"Vignette",'QA Log'!L:L,"*Vignette [2]: Diarrhea with Cat B dehydration*"),
COUNTIFS('QA Log'!D:D,A232,'QA Log'!M:M,"Vignette",'QA Log'!L:L,"*Vignette [3] Growth Monitoring and Promotion*"),
COUNTIFS('QA Log'!D:D,A232,'QA Log'!M:M,"Vignette",'QA Log'!L:L,"*Vignette [4]: The management of presumptive TB patient*")
)
)</f>
        <v/>
      </c>
      <c r="AW232" s="102" t="str">
        <f>IF(
  A232="","",
  SUM(
    COUNTIFS('QA Log'!D:D,A232,'QA Log'!M:M,"Vignette",'QA Log'!Z:Z,"Approved",'QA Log'!L:L,"*Vignette [1] Respiratory Infection: Pneumonia*"),
    COUNTIFS('QA Log'!D:D,A232,'QA Log'!M:M,"Vignette",'QA Log'!Z:Z,"Approved",'QA Log'!L:L,"*Vignette [2]: Diarrhea with Cat B dehydration*"),
    COUNTIFS('QA Log'!D:D,A232,'QA Log'!M:M,"Vignette",'QA Log'!Z:Z,"Approved",'QA Log'!L:L,"*Vignette [3] Growth Monitoring and Promotion*"),
    COUNTIFS('QA Log'!D:D,A232,'QA Log'!M:M,"Vignette",'QA Log'!Z:Z,"Approved",'QA Log'!L:L,"*Vignette [4]: The management of presumptive TB patient*")
  )
)</f>
        <v/>
      </c>
      <c r="AX232" s="105" t="str">
        <f>IF(A232&lt;&gt;"",COUNTIFS('QA Log'!D:D,A232,'QA Log'!M:M,"Vignette",'QA Log'!L:L,"Vignette [1] Respiratory Infection: Pneumonia",'QA Log'!Z:Z,"Approved"),"")</f>
        <v/>
      </c>
      <c r="AY232" s="105" t="str">
        <f>IF(A232&lt;&gt;"",COUNTIFS('QA Log'!D:D,A232,'QA Log'!M:M,"Vignette",'QA Log'!L:L,"Vignette [2]: Diarrhea with Cat B dehydration",'QA Log'!Z:Z,"Approved"),"")</f>
        <v/>
      </c>
      <c r="AZ232" s="105" t="str">
        <f>IF(A232&lt;&gt;"",COUNTIFS('QA Log'!D:D,A232,'QA Log'!M:M,"Vignette",'QA Log'!L:L,"Vignette [3] Growth Monitoring and Promotion",'QA Log'!Z:Z,"Approved"),"")</f>
        <v/>
      </c>
      <c r="BA232" s="105" t="str">
        <f>IF(A232&lt;&gt;"",COUNTIFS('QA Log'!D:D,A232,'QA Log'!M:M,"Vignette",'QA Log'!L:L,"Vignette [4]: The management of presumptive TB patient",'QA Log'!Z:Z,"Approved"),"")</f>
        <v/>
      </c>
      <c r="BB232" s="102" t="str">
        <f>IF(A232="","",
  SUM(
    COUNTIFS('QA Log'!D:D,A232,'QA Log'!M:M,"Vignette",'QA Log'!Z:Z,"Rejected",'QA Log'!L:L,"*Vignette [1] Respiratory Infection: Pneumonia*"),
    COUNTIFS('QA Log'!D:D,A232,'QA Log'!M:M,"Vignette",'QA Log'!Z:Z,"Rejected",'QA Log'!L:L,"*Vignette [2]: Diarrhea with Cat B dehydration*"),
    COUNTIFS('QA Log'!D:D,A232,'QA Log'!M:M,"Vignette",'QA Log'!Z:Z,"Rejected",'QA Log'!L:L,"*Vignette [3] Growth Monitoring and Promotion*"),
    COUNTIFS('QA Log'!D:D,A232,'QA Log'!M:M,"Vignette",'QA Log'!Z:Z,"Rejected",'QA Log'!L:L,"*Vignette [4]: The management of presumptive TB patient*")
  )
)</f>
        <v/>
      </c>
      <c r="BC232" s="107" t="str">
        <f t="shared" si="9"/>
        <v/>
      </c>
      <c r="BD232" s="103" t="str">
        <f t="shared" si="10"/>
        <v/>
      </c>
      <c r="BE232" s="102" t="str">
        <f>IF(A232="","",SUM(
COUNTIFS('QA Log'!D:D,A232,'QA Log'!M:M,"Vignette",'QA Log'!L:L,"*Vignette [5] Labor*"),
COUNTIFS('QA Log'!D:D,A232,'QA Log'!M:M,"Vignette",'QA Log'!L:L,"*Vignette [6] PNC pre Discharge*"),
COUNTIFS('QA Log'!D:D,A232,'QA Log'!M:M,"Vignette",'QA Log'!L:L,"*Vignette [7] First ANC Visit*"),
COUNTIFS('QA Log'!D:D,A232,'QA Log'!M:M,"Vignette",'QA Log'!L:L,"*Vignette [8] Birth Spacing/ Family Planning :  FP Counselling*"),
COUNTIFS('QA Log'!D:D,A232,'QA Log'!M:M,"Vignette",'QA Log'!L:L,"*Vignette [9] Birth Spacing: Change FP method to Injectable*"),
COUNTIFS('QA Log'!D:D,A232,'QA Log'!M:M,"Vignette",'QA Log'!L:L,"*Vignette [10] Post Partum Haemorrhage - Atonic Uterus at Health Centre*"),
)
)</f>
        <v/>
      </c>
      <c r="BF232" s="102" t="str">
        <f>IF(A232="","",
  SUM(
    COUNTIFS('QA Log'!D:D,A232,'QA Log'!M:M,"Vignette",'QA Log'!Z:Z,"Approved",'QA Log'!L:L,"*Vignette [5] Labor*"),
    COUNTIFS('QA Log'!D:D,A232,'QA Log'!M:M,"Vignette",'QA Log'!Z:Z,"Approved",'QA Log'!L:L,"*Vignette [6] PNC pre Discharge*"),
    COUNTIFS('QA Log'!D:D,A232,'QA Log'!M:M,"Vignette",'QA Log'!Z:Z,"Approved",'QA Log'!L:L,"*Vignette [7] First ANC Visit*"),
    COUNTIFS('QA Log'!D:D,A232,'QA Log'!M:M,"Vignette",'QA Log'!Z:Z,"Approved",'QA Log'!L:L,"*Vignette [8] Birth Spacing/ Family Planning :  FP Counselling*"),
    COUNTIFS('QA Log'!D:D,A232,'QA Log'!M:M,"Vignette",'QA Log'!Z:Z,"Approved",'QA Log'!L:L,"*Vignette [9] Birth Spacing: Change FP method to Injectable*"),
    COUNTIFS('QA Log'!D:D,A232,'QA Log'!M:M,"Vignette",'QA Log'!Z:Z,"Approved",'QA Log'!L:L,"*Vignette [10] Post Partum Haemorrhage - Atonic Uterus at Health Centre*")
  )
)</f>
        <v/>
      </c>
      <c r="BG232" s="105" t="str">
        <f>IF(A232&lt;&gt;"",COUNTIFS('QA Log'!D:D,A232,'QA Log'!M:M,"Vignette",'QA Log'!L:L,"Vignette [5] Labor",'QA Log'!Z:Z,"Approved"),"")</f>
        <v/>
      </c>
      <c r="BH232" s="105" t="str">
        <f>IF(A232&lt;&gt;"",COUNTIFS('QA Log'!D:D,A232,'QA Log'!M:M,"Vignette",'QA Log'!L:L,"Vignette [6] PNC pre Discharge",'QA Log'!Z:Z,"Approved"),"")</f>
        <v/>
      </c>
      <c r="BI232" s="105" t="str">
        <f>IF(A232&lt;&gt;"",COUNTIFS('QA Log'!D:D,A232,'QA Log'!M:M,"Vignette",'QA Log'!L:L,"Vignette [7] First ANC Visit",'QA Log'!Z:Z,"Approved"),"")</f>
        <v/>
      </c>
      <c r="BJ232" s="105" t="str">
        <f>IF(A232&lt;&gt;"",COUNTIFS('QA Log'!D:D,A232,'QA Log'!M:M,"Vignette",'QA Log'!L:L,"Vignette [8] Birth Spacing/ Family Planning :  FP Counselling",'QA Log'!Z:Z,"Approved"),"")</f>
        <v/>
      </c>
      <c r="BK232" s="105" t="str">
        <f>IF(A232&lt;&gt;"",COUNTIFS('QA Log'!D:D,A232,'QA Log'!M:M,"Vignette",'QA Log'!L:L,"Vignette [9] Birth Spacing: Change FP method to Injectable",'QA Log'!Z:Z,"Approved"),"")</f>
        <v/>
      </c>
      <c r="BL232" s="105" t="str">
        <f>IF(A232&lt;&gt;"",COUNTIFS('QA Log'!D:D,A232,'QA Log'!M:M,"Vignette",'QA Log'!L:L,"Vignette [10] Post Partum Haemorrhage - Atonic Uterus at Health Centre",'QA Log'!Z:Z,"Approved"),"")</f>
        <v/>
      </c>
      <c r="BM232" s="102" t="str">
        <f>IF(A232="","",SUM(
    COUNTIFS('QA Log'!D:D,A232,'QA Log'!M:M,"Vignette",'QA Log'!Z:Z,"Rejected",'QA Log'!L:L,"*Vignette [5] Labor*"),
    COUNTIFS('QA Log'!D:D,A232,'QA Log'!M:M,"Vignette",'QA Log'!Z:Z,"Rejected",'QA Log'!L:L,"*Vignette [6] PNC pre Discharge*"),
    COUNTIFS('QA Log'!D:D,A232,'QA Log'!M:M,"Vignette",'QA Log'!Z:Z,"Rejected",'QA Log'!L:L,"*Vignette [7] First ANC Visit*"),
    COUNTIFS('QA Log'!D:D,A232,'QA Log'!M:M,"Vignette",'QA Log'!Z:Z,"Rejected",'QA Log'!L:L,"*Vignette [8] Birth Spacing/ Family Planning :  FP Counselling*"),
    COUNTIFS('QA Log'!D:D,A232,'QA Log'!M:M,"Vignette",'QA Log'!Z:Z,"Rejected",'QA Log'!L:L,"*Vignette [9] Birth Spacing: Change FP method to Injectable*"),
    COUNTIFS('QA Log'!D:D,A232,'QA Log'!M:M,"Vignette",'QA Log'!Z:Z,"Rejected",'QA Log'!L:L,"*Vignette [10] Post Partum Haemorrhage - Atonic Uterus at Health Centre*")
  )
)</f>
        <v/>
      </c>
      <c r="BN232" s="107" t="str">
        <f t="shared" si="11"/>
        <v/>
      </c>
      <c r="BO232" s="103" t="str">
        <f t="shared" si="12"/>
        <v/>
      </c>
      <c r="BP232" s="102" t="str">
        <f>IF(A232="","",SUM(
COUNTIFS('QA Log'!D:D,A232,'QA Log'!M:M,"Vignette",'QA Log'!L:L,"*Exit Interview 1*"),
COUNTIFS('QA Log'!D:D,A232,'QA Log'!M:M,"Vignette",'QA Log'!L:L,"*Exit Interview 2*"),
)
)</f>
        <v/>
      </c>
      <c r="BQ232" s="102" t="str">
        <f>IF(
  A232="","",
  SUM(
    COUNTIFS('QA Log'!D:D,A232,'QA Log'!M:M,"Vignette",'QA Log'!Z:Z,"Approved",'QA Log'!L:L,"*Exit Interview 1*"),
    COUNTIFS('QA Log'!D:D,A232,'QA Log'!M:M,"Vignette",'QA Log'!Z:Z,"Approved",'QA Log'!L:L,"*Exit Interview 2*")
  )
)</f>
        <v/>
      </c>
      <c r="BR232" s="105" t="str">
        <f>IF(A232&lt;&gt;"",COUNTIFS('QA Log'!D:D,A232,'QA Log'!M:M,"Vignette",'QA Log'!L:L,"Exit Interview 1",'QA Log'!Z:Z,"Approved"),"")</f>
        <v/>
      </c>
      <c r="BS232" s="105" t="str">
        <f>IF(A232&lt;&gt;"",COUNTIFS('QA Log'!D:D,A232,'QA Log'!M:M,"Vignette",'QA Log'!L:L,"Exit Interview 2",'QA Log'!Z:Z,"Approved"),"")</f>
        <v/>
      </c>
      <c r="BT232" s="102" t="str">
        <f>IF(
  A232="","",
  SUM(
    COUNTIFS('QA Log'!D:D,A232,'QA Log'!M:M,"Vignette",'QA Log'!Z:Z,"Rejected",'QA Log'!L:L,"*Exit Interview 1*"),
    COUNTIFS('QA Log'!D:D,A232,'QA Log'!M:M,"Vignette",'QA Log'!Z:Z,"Rejected",'QA Log'!L:L,"*Exit Interview 2*")
  )
)</f>
        <v/>
      </c>
      <c r="BU232" s="107" t="str">
        <f t="shared" si="13"/>
        <v/>
      </c>
      <c r="BV232" s="102" t="str">
        <f t="shared" si="14"/>
        <v/>
      </c>
      <c r="BW232" s="102" t="str">
        <f t="shared" si="15"/>
        <v/>
      </c>
      <c r="BX232" s="102" t="str">
        <f t="shared" si="16"/>
        <v/>
      </c>
      <c r="BY232" s="102" t="str">
        <f t="shared" si="17"/>
        <v/>
      </c>
      <c r="BZ232" s="107" t="str">
        <f t="shared" si="18"/>
        <v/>
      </c>
      <c r="CA232" s="108" t="str">
        <f t="shared" si="19"/>
        <v/>
      </c>
      <c r="CB232" s="108" t="str">
        <f t="shared" si="20"/>
        <v/>
      </c>
      <c r="CC232" s="109" t="str">
        <f t="shared" si="21"/>
        <v/>
      </c>
      <c r="CD232" s="108" t="str">
        <f t="shared" si="22"/>
        <v/>
      </c>
      <c r="CE232" s="108" t="str">
        <f t="shared" si="23"/>
        <v/>
      </c>
      <c r="CF232" s="109" t="str">
        <f t="shared" si="24"/>
        <v/>
      </c>
      <c r="CG232" s="110" t="str">
        <f t="shared" si="25"/>
        <v/>
      </c>
      <c r="CH232" s="111"/>
    </row>
    <row r="233" spans="1:86" ht="12.75">
      <c r="A233" s="101"/>
      <c r="B233" s="102" t="e">
        <f t="array" aca="1" ref="B233" ca="1">_xludf.XLOOKUP(A233,'QA Log'!D:D,'QA Log'!E:E,"")</f>
        <v>#NAME?</v>
      </c>
      <c r="C233" s="102" t="e">
        <f t="array" aca="1" ref="C233" ca="1">_xludf.XLOOKUP(A233,'QA Log'!D:D,'QA Log'!F:F,"")</f>
        <v>#NAME?</v>
      </c>
      <c r="D233" s="102" t="e">
        <f t="array" aca="1" ref="D233" ca="1">_xludf.XLOOKUP(A233,'QA Log'!D:D,'QA Log'!H:H,"")</f>
        <v>#NAME?</v>
      </c>
      <c r="E233" s="102" t="e">
        <f t="array" aca="1" ref="E233" ca="1">_xludf.XLOOKUP(A233,'QA Log'!D:D,'QA Log'!G:G,"")</f>
        <v>#NAME?</v>
      </c>
      <c r="F233" s="103"/>
      <c r="G233" s="104"/>
      <c r="H233" s="104"/>
      <c r="I233" s="103" t="str">
        <f t="shared" si="0"/>
        <v/>
      </c>
      <c r="J233" s="102" t="str">
        <f>IF(A233="","",SUM(
COUNTIFS('QA Log'!D:D,A233,'QA Log'!M:M,"QQC",'QA Log'!L:L,"*1. General Management*"),
COUNTIFS('QA Log'!D:D,A233,'QA Log'!M:M,"QQC",'QA Log'!L:L,"*3. Curative Consultation (OPD)*"),
COUNTIFS('QA Log'!D:D,A233,'QA Log'!M:M,"QQC",'QA Log'!L:L,"*5. Laboratory*"),
COUNTIFS('QA Log'!D:D,A233,'QA Log'!M:M,"QQC",'QA Log'!L:L,"*6. Essential Medicine Management*"),
COUNTIFS('QA Log'!D:D,A233,'QA Log'!M:M,"QQC",'QA Log'!L:L,"*7. Tracer Medicine*"),
COUNTIFS('QA Log'!D:D,A233,'QA Log'!M:M,"QQC",'QA Log'!L:L,"*11. Additional Questions*")))</f>
        <v/>
      </c>
      <c r="K233" s="102" t="str">
        <f>IF(A233="","",SUM(
COUNTIFS('QA Log'!D:D,A233,'QA Log'!M:M,"QQC",'QA Log'!Z:Z,"Approved",'QA Log'!L:L,"*1. General Management*"),
COUNTIFS('QA Log'!D:D,A233,'QA Log'!M:M,"QQC",'QA Log'!Z:Z,"Approved",'QA Log'!L:L,"*3. Curative Consultation (OPD)*"),
COUNTIFS('QA Log'!D:D,A233,'QA Log'!M:M,"QQC",'QA Log'!Z:Z,"Approved",'QA Log'!L:L,"*5. Laboratory*"),
COUNTIFS('QA Log'!D:D,A233,'QA Log'!M:M,"QQC",'QA Log'!Z:Z,"Approved",'QA Log'!L:L,"*6. Essential Medicine Management*"),
COUNTIFS('QA Log'!D:D,A233,'QA Log'!M:M,"QQC",'QA Log'!Z:Z,"Approved",'QA Log'!L:L,"*7. Tracer Medicine*"),
COUNTIFS('QA Log'!D:D,A233,'QA Log'!M:M,"QQC",'QA Log'!Z:Z,"Approved",'QA Log'!L:L,"*11. Additional Questions*")))</f>
        <v/>
      </c>
      <c r="L233" s="105" t="str">
        <f>IF(A233&lt;&gt;"",COUNTIFS('QA Log'!D:D,A233,'QA Log'!M:M,"QQC",'QA Log'!L:L,"1. General Management",'QA Log'!Z:Z,"Approved"),"")</f>
        <v/>
      </c>
      <c r="M233" s="105" t="str">
        <f>IF(A233&lt;&gt;"",COUNTIFS('QA Log'!D:D,A233,'QA Log'!M:M,"QQC",'QA Log'!L:L,"3. Curative Consultation (OPD)",'QA Log'!Z:Z,"Approved"),"")</f>
        <v/>
      </c>
      <c r="N233" s="105" t="str">
        <f>IF(A233&lt;&gt;"",COUNTIFS('QA Log'!D:D,A233,'QA Log'!M:M,"QQC",'QA Log'!L:L,"5. Laboratory",'QA Log'!Z:Z,"Approved"),"")</f>
        <v/>
      </c>
      <c r="O233" s="105" t="str">
        <f>IF(A233&lt;&gt;"",COUNTIFS('QA Log'!D:D,A233,'QA Log'!M:M,"QQC",'QA Log'!L:L,"6. Essential Medicine Management",'QA Log'!Z:Z,"Approved"),"")</f>
        <v/>
      </c>
      <c r="P233" s="105" t="str">
        <f>IF(A233&lt;&gt;"",COUNTIFS('QA Log'!D:D,A233,'QA Log'!M:M,"QQC",'QA Log'!L:L,"7. Tracer Medicine",'QA Log'!Z:Z,"Approved"),"")</f>
        <v/>
      </c>
      <c r="Q233" s="105" t="str">
        <f>IF(A233&lt;&gt;"",COUNTIFS('QA Log'!D:D,A233,'QA Log'!M:M,"QQC",'QA Log'!L:L,"11. Additional Questions",'QA Log'!Z:Z,"Approved"),"")</f>
        <v/>
      </c>
      <c r="R233" s="102" t="str">
        <f>IF(A233="","",SUM(
COUNTIFS('QA Log'!D:D,A233,'QA Log'!M:M,"QQC",'QA Log'!Z:Z,"Rejected",'QA Log'!L:L,"*8. Maternity*"),
COUNTIFS('QA Log'!D:D,A233,'QA Log'!M:M,"QQC",'QA Log'!Z:Z,"Rejected",'QA Log'!L:L,"*EPI*"),
COUNTIFS('QA Log'!D:D,A233,'QA Log'!M:M,"QQC",'QA Log'!Z:Z,"Rejected",'QA Log'!L:L,"*10. Antenatal Care (ANC)*"),
COUNTIFS('QA Log'!D:D,A233,'QA Log'!M:M,"QQC",'QA Log'!Z:Z,"Rejected",'QA Log'!L:L,"*2. Hygiene and Sterilization*"),
COUNTIFS('QA Log'!D:D,A233,'QA Log'!M:M,"QQC",'QA Log'!Z:Z,"Rejected",'QA Log'!L:L,"*Family Planning*")))</f>
        <v/>
      </c>
      <c r="S233" s="106" t="str">
        <f t="shared" si="1"/>
        <v/>
      </c>
      <c r="T233" s="102" t="str">
        <f t="shared" si="2"/>
        <v/>
      </c>
      <c r="U233" s="102" t="str">
        <f>IF(A233="","",
SUM(
COUNTIFS('QA Log'!D:D,A233,'QA Log'!M:M,"QQC",'QA Log'!L:L,"*8. Maternity*"),
COUNTIFS('QA Log'!D:D,A233,'QA Log'!M:M,"QQC",'QA Log'!L:L,"*9. EPI and Pre-school Consultation*"),
COUNTIFS('QA Log'!D:D,A233,'QA Log'!M:M,"QQC",'QA Log'!L:L,"*10. Antenatal Care (ANC)*"),
COUNTIFS('QA Log'!D:D,A233,'QA Log'!M:M,"QQC",'QA Log'!L:L,"*2. Hygiene and Sterilization*"),
COUNTIFS('QA Log'!D:D,A233,'QA Log'!M:M,"QQC",'QA Log'!L:L,"*4. Family Planning*")
))</f>
        <v/>
      </c>
      <c r="V233" s="102" t="str">
        <f>IF(A233="","",
SUM(
COUNTIFS('QA Log'!D:D,A233,'QA Log'!M:M,"QQC",'QA Log'!Z:Z,"Approved",'QA Log'!L:L,"*8. Maternity*"),
COUNTIFS('QA Log'!D:D,A233,'QA Log'!M:M,"QQC",'QA Log'!Z:Z,"Approved",'QA Log'!L:L,"*9. EPI and Pre-school Consultation*"),
COUNTIFS('QA Log'!D:D,A233,'QA Log'!M:M,"QQC",'QA Log'!Z:Z,"Approved",'QA Log'!L:L,"*10. Antenatal Care (ANC)*"),
COUNTIFS('QA Log'!D:D,A233,'QA Log'!M:M,"QQC",'QA Log'!Z:Z,"Approved",'QA Log'!L:L,"*2. Hygiene and Sterilization*"),
COUNTIFS('QA Log'!D:D,A233,'QA Log'!M:M,"QQC",'QA Log'!Z:Z,"Approved",'QA Log'!L:L,"*4. Family Planning*")
))</f>
        <v/>
      </c>
      <c r="W233" s="105" t="str">
        <f>IF(A233&lt;&gt;"",COUNTIFS('QA Log'!D:D,A233,'QA Log'!M:M,"QQC",'QA Log'!L:L,"8. Maternity",'QA Log'!Z:Z,"Approved"),"")</f>
        <v/>
      </c>
      <c r="X233" s="105" t="str">
        <f>IF(A233&lt;&gt;"",COUNTIFS('QA Log'!D:D,A233,'QA Log'!M:M,"QQC",'QA Log'!L:L,"9. EPI and Pre-school Consultation",'QA Log'!Z:Z,"Approved"),"")</f>
        <v/>
      </c>
      <c r="Y233" s="105" t="str">
        <f>IF(A233&lt;&gt;"",COUNTIFS('QA Log'!D:D,A233,'QA Log'!M:M,"QQC",'QA Log'!L:L,"10. Antenatal Care (ANC)",'QA Log'!Z:Z,"Approved"),"")</f>
        <v/>
      </c>
      <c r="Z233" s="105" t="str">
        <f>IF(A233&lt;&gt;"",COUNTIFS('QA Log'!D:D,A233,'QA Log'!M:M,"QQC",'QA Log'!L:L,"2. Hygiene and Sterilization",'QA Log'!Z:Z,"Approved"),"")</f>
        <v/>
      </c>
      <c r="AA233" s="105" t="str">
        <f>IF(A233&lt;&gt;"",COUNTIFS('QA Log'!D:D,A233,'QA Log'!M:M,"QQC",'QA Log'!L:L,"4. Family Planning",'QA Log'!Z:Z,"Approved"),"")</f>
        <v/>
      </c>
      <c r="AB233" s="102" t="str">
        <f>IF(A233="","",
SUM(
COUNTIFS('QA Log'!D:D,A233,'QA Log'!M:M,"QQC",'QA Log'!Z:Z,"Rejected",'QA Log'!L:L,"*8. Maternity*"),
COUNTIFS('QA Log'!D:D,A233,'QA Log'!M:M,"QQC",'QA Log'!Z:Z,"Rejected",'QA Log'!L:L,"*9. EPI and Pre-school Consultation*"),
COUNTIFS('QA Log'!D:D,A233,'QA Log'!M:M,"QQC",'QA Log'!Z:Z,"Rejected",'QA Log'!L:L,"*10. Antenatal Care (ANC)*"),
COUNTIFS('QA Log'!D:D,A233,'QA Log'!M:M,"QQC",'QA Log'!Z:Z,"Rejected",'QA Log'!L:L,"*2. Hygiene and Sterilization*"),
COUNTIFS('QA Log'!D:D,A233,'QA Log'!M:M,"QQC",'QA Log'!Z:Z,"Rejected",'QA Log'!L:L,"*4. Family Planning*")
))</f>
        <v/>
      </c>
      <c r="AC233" s="102" t="str">
        <f t="shared" si="3"/>
        <v/>
      </c>
      <c r="AD233" s="103" t="str">
        <f t="shared" si="4"/>
        <v/>
      </c>
      <c r="AE233" s="102" t="str">
        <f>IF(A233="","",
SUM(
COUNTIFS('QA Log'!D:D,A233,'QA Log'!M:M,"Data Verification",'QA Log'!L:L,"*Medicine (section 2)*"),
COUNTIFS('QA Log'!D:D,A233,'QA Log'!M:M,"Data Verification",'QA Log'!L:L,"*Lab Testing Availability*"),
COUNTIFS('QA Log'!D:D,A233,'QA Log'!M:M,"Data Verification",'QA Log'!L:L,"*Other than P4P (section 6)*"),
COUNTIFS('QA Log'!D:D,A233,'QA Log'!M:M,"Data Verification",'QA Log'!L:L,"*Hospital Governance*")
))</f>
        <v/>
      </c>
      <c r="AF233" s="102" t="str">
        <f>IF(A233="","",
SUM(
COUNTIFS('QA Log'!D:D,A233,'QA Log'!M:M,"Data Verification",'QA Log'!Z:Z,"Approved",'QA Log'!L:L,"*Medicine (section 2)*"),
COUNTIFS('QA Log'!D:D,A233,'QA Log'!M:M,"Data Verification",'QA Log'!Z:Z,"Approved",'QA Log'!L:L,"*Lab Testing Availability*"),
COUNTIFS('QA Log'!D:D,A233,'QA Log'!M:M,"Data Verification",'QA Log'!Z:Z,"Approved",'QA Log'!L:L,"*Other than P4P (section 6)*"),
COUNTIFS('QA Log'!D:D,A233,'QA Log'!M:M,"Data Verification",'QA Log'!Z:Z,"Approved",'QA Log'!L:L,"*Hospital Governance*")
))</f>
        <v/>
      </c>
      <c r="AG233" s="105" t="str">
        <f>IF(A233&lt;&gt;"",COUNTIFS('QA Log'!D:D,A233,'QA Log'!M:M,"Data Verification",'QA Log'!L:L,"Medicine (section 2)",'QA Log'!Z:Z,"Approved"),"")</f>
        <v/>
      </c>
      <c r="AH233" s="105" t="str">
        <f>IF(A233&lt;&gt;"",COUNTIFS('QA Log'!D:D,A233,'QA Log'!M:M,"Data Verification",'QA Log'!L:L,"Lab Testing Availability",'QA Log'!Z:Z,"Approved"),"")</f>
        <v/>
      </c>
      <c r="AI233" s="105" t="str">
        <f>IF(A233&lt;&gt;"",COUNTIFS('QA Log'!D:D,A233,'QA Log'!M:M,"Data Verification",'QA Log'!L:L,"Other than P4P (section 6)",'QA Log'!Z:Z,"Approved"),"")</f>
        <v/>
      </c>
      <c r="AJ233" s="105" t="str">
        <f>IF(A233&lt;&gt;"",COUNTIFS('QA Log'!D:D,A233,'QA Log'!M:M,"Data Verification",'QA Log'!L:L,"Hospital Governance",'QA Log'!Z:Z,"Approved"),"")</f>
        <v/>
      </c>
      <c r="AK233" s="102" t="str">
        <f>IF(A233="","",
SUM(
COUNTIFS('QA Log'!D:D,A233,'QA Log'!M:M,"Data Verification",'QA Log'!Z:Z,"Rejected",'QA Log'!L:L,"*Medicine (section 2)*"),
COUNTIFS('QA Log'!D:D,A233,'QA Log'!M:M,"Data Verification",'QA Log'!Z:Z,"Rejected",'QA Log'!L:L,"*Lab Testing Availability*"),
COUNTIFS('QA Log'!D:D,A233,'QA Log'!M:M,"Data Verification",'QA Log'!Z:Z,"Rejected",'QA Log'!L:L,"*Other than P4P (section 6)*"),
COUNTIFS('QA Log'!D:D,A233,'QA Log'!M:M,"Data Verification",'QA Log'!Z:Z,"Rejected",'QA Log'!L:L,"*Hospital Governance*")
))</f>
        <v/>
      </c>
      <c r="AL233" s="106" t="str">
        <f t="shared" si="5"/>
        <v/>
      </c>
      <c r="AM233" s="102" t="str">
        <f t="shared" si="6"/>
        <v/>
      </c>
      <c r="AN233" s="102" t="str">
        <f>IF(A233="","",
SUM(
COUNTIFS('QA Log'!D:D,A233,'QA Log'!M:M,"Data Verification",'QA Log'!L:L,"*Personnel (section 1)*"),
COUNTIFS('QA Log'!D:D,A233,'QA Log'!M:M,"Data Verification",'QA Log'!L:L,"*Consumable (section 3)*"),
COUNTIFS('QA Log'!D:D,A233,'QA Log'!M:M,"Data Verification",'QA Log'!L:L,"*Equipments (section 4)*")
))</f>
        <v/>
      </c>
      <c r="AO233" s="102" t="str">
        <f>IF(A233="","",
SUM(
COUNTIFS('QA Log'!D:D,A233,'QA Log'!M:M,"Data Verification",'QA Log'!Z:Z,"Approved",'QA Log'!L:L,"*Personnel (section 1)*"),
COUNTIFS('QA Log'!D:D,A233,'QA Log'!M:M,"Data Verification",'QA Log'!Z:Z,"Approved",'QA Log'!L:L,"*Consumable (section 3)*"),
COUNTIFS('QA Log'!D:D,A233,'QA Log'!M:M,"Data Verification",'QA Log'!Z:Z,"Approved",'QA Log'!L:L,"*Equipments (section 4)*")
))</f>
        <v/>
      </c>
      <c r="AP233" s="105" t="str">
        <f>IF(A233&lt;&gt;"",COUNTIFS('QA Log'!D:D,A233,'QA Log'!M:M,"Data Verification",'QA Log'!L:L,"Personnel (section 1)",'QA Log'!Z:Z,"Approved"),"")</f>
        <v/>
      </c>
      <c r="AQ233" s="105" t="str">
        <f>IF(A233&lt;&gt;"",COUNTIFS('QA Log'!D:D,A233,'QA Log'!M:M,"Data Verification",'QA Log'!L:L,"Consumable (section 3)",'QA Log'!Z:Z,"Approved"),"")</f>
        <v/>
      </c>
      <c r="AR233" s="105" t="str">
        <f>IF(A233&lt;&gt;"",COUNTIFS('QA Log'!D:D,A233,'QA Log'!M:M,"Data Verification",'QA Log'!L:L,"Equipments (section 4)",'QA Log'!Z:Z,"Approved"),"")</f>
        <v/>
      </c>
      <c r="AS233" s="102" t="str">
        <f>IF(A233="","",
SUM(
COUNTIFS('QA Log'!D:D,A233,'QA Log'!M:M,"Data Verification",'QA Log'!Z:Z,"Rejected",'QA Log'!L:L,"*Personnel (section 1)*"),
COUNTIFS('QA Log'!D:D,A233,'QA Log'!M:M,"Data Verification",'QA Log'!Z:Z,"Rejected",'QA Log'!L:L,"*Consumable (section 3)*"),
COUNTIFS('QA Log'!D:D,A233,'QA Log'!M:M,"Data Verification",'QA Log'!Z:Z,"Rejected",'QA Log'!L:L,"*Equipments (section 4)*")
))</f>
        <v/>
      </c>
      <c r="AT233" s="102" t="str">
        <f t="shared" si="7"/>
        <v/>
      </c>
      <c r="AU233" s="103" t="str">
        <f t="shared" si="8"/>
        <v/>
      </c>
      <c r="AV233" s="102" t="str">
        <f>IF(A233="","",SUM(
COUNTIFS('QA Log'!D:D,A233,'QA Log'!M:M,"Vignette",'QA Log'!L:L,"*Vignette [1] Respiratory Infection: Pneumonia*"),
COUNTIFS('QA Log'!D:D,A233,'QA Log'!M:M,"Vignette",'QA Log'!L:L,"*Vignette [2]: Diarrhea with Cat B dehydration*"),
COUNTIFS('QA Log'!D:D,A233,'QA Log'!M:M,"Vignette",'QA Log'!L:L,"*Vignette [3] Growth Monitoring and Promotion*"),
COUNTIFS('QA Log'!D:D,A233,'QA Log'!M:M,"Vignette",'QA Log'!L:L,"*Vignette [4]: The management of presumptive TB patient*")
)
)</f>
        <v/>
      </c>
      <c r="AW233" s="102" t="str">
        <f>IF(
  A233="","",
  SUM(
    COUNTIFS('QA Log'!D:D,A233,'QA Log'!M:M,"Vignette",'QA Log'!Z:Z,"Approved",'QA Log'!L:L,"*Vignette [1] Respiratory Infection: Pneumonia*"),
    COUNTIFS('QA Log'!D:D,A233,'QA Log'!M:M,"Vignette",'QA Log'!Z:Z,"Approved",'QA Log'!L:L,"*Vignette [2]: Diarrhea with Cat B dehydration*"),
    COUNTIFS('QA Log'!D:D,A233,'QA Log'!M:M,"Vignette",'QA Log'!Z:Z,"Approved",'QA Log'!L:L,"*Vignette [3] Growth Monitoring and Promotion*"),
    COUNTIFS('QA Log'!D:D,A233,'QA Log'!M:M,"Vignette",'QA Log'!Z:Z,"Approved",'QA Log'!L:L,"*Vignette [4]: The management of presumptive TB patient*")
  )
)</f>
        <v/>
      </c>
      <c r="AX233" s="105" t="str">
        <f>IF(A233&lt;&gt;"",COUNTIFS('QA Log'!D:D,A233,'QA Log'!M:M,"Vignette",'QA Log'!L:L,"Vignette [1] Respiratory Infection: Pneumonia",'QA Log'!Z:Z,"Approved"),"")</f>
        <v/>
      </c>
      <c r="AY233" s="105" t="str">
        <f>IF(A233&lt;&gt;"",COUNTIFS('QA Log'!D:D,A233,'QA Log'!M:M,"Vignette",'QA Log'!L:L,"Vignette [2]: Diarrhea with Cat B dehydration",'QA Log'!Z:Z,"Approved"),"")</f>
        <v/>
      </c>
      <c r="AZ233" s="105" t="str">
        <f>IF(A233&lt;&gt;"",COUNTIFS('QA Log'!D:D,A233,'QA Log'!M:M,"Vignette",'QA Log'!L:L,"Vignette [3] Growth Monitoring and Promotion",'QA Log'!Z:Z,"Approved"),"")</f>
        <v/>
      </c>
      <c r="BA233" s="105" t="str">
        <f>IF(A233&lt;&gt;"",COUNTIFS('QA Log'!D:D,A233,'QA Log'!M:M,"Vignette",'QA Log'!L:L,"Vignette [4]: The management of presumptive TB patient",'QA Log'!Z:Z,"Approved"),"")</f>
        <v/>
      </c>
      <c r="BB233" s="102" t="str">
        <f>IF(A233="","",
  SUM(
    COUNTIFS('QA Log'!D:D,A233,'QA Log'!M:M,"Vignette",'QA Log'!Z:Z,"Rejected",'QA Log'!L:L,"*Vignette [1] Respiratory Infection: Pneumonia*"),
    COUNTIFS('QA Log'!D:D,A233,'QA Log'!M:M,"Vignette",'QA Log'!Z:Z,"Rejected",'QA Log'!L:L,"*Vignette [2]: Diarrhea with Cat B dehydration*"),
    COUNTIFS('QA Log'!D:D,A233,'QA Log'!M:M,"Vignette",'QA Log'!Z:Z,"Rejected",'QA Log'!L:L,"*Vignette [3] Growth Monitoring and Promotion*"),
    COUNTIFS('QA Log'!D:D,A233,'QA Log'!M:M,"Vignette",'QA Log'!Z:Z,"Rejected",'QA Log'!L:L,"*Vignette [4]: The management of presumptive TB patient*")
  )
)</f>
        <v/>
      </c>
      <c r="BC233" s="107" t="str">
        <f t="shared" si="9"/>
        <v/>
      </c>
      <c r="BD233" s="103" t="str">
        <f t="shared" si="10"/>
        <v/>
      </c>
      <c r="BE233" s="102" t="str">
        <f>IF(A233="","",SUM(
COUNTIFS('QA Log'!D:D,A233,'QA Log'!M:M,"Vignette",'QA Log'!L:L,"*Vignette [5] Labor*"),
COUNTIFS('QA Log'!D:D,A233,'QA Log'!M:M,"Vignette",'QA Log'!L:L,"*Vignette [6] PNC pre Discharge*"),
COUNTIFS('QA Log'!D:D,A233,'QA Log'!M:M,"Vignette",'QA Log'!L:L,"*Vignette [7] First ANC Visit*"),
COUNTIFS('QA Log'!D:D,A233,'QA Log'!M:M,"Vignette",'QA Log'!L:L,"*Vignette [8] Birth Spacing/ Family Planning :  FP Counselling*"),
COUNTIFS('QA Log'!D:D,A233,'QA Log'!M:M,"Vignette",'QA Log'!L:L,"*Vignette [9] Birth Spacing: Change FP method to Injectable*"),
COUNTIFS('QA Log'!D:D,A233,'QA Log'!M:M,"Vignette",'QA Log'!L:L,"*Vignette [10] Post Partum Haemorrhage - Atonic Uterus at Health Centre*"),
)
)</f>
        <v/>
      </c>
      <c r="BF233" s="102" t="str">
        <f>IF(A233="","",
  SUM(
    COUNTIFS('QA Log'!D:D,A233,'QA Log'!M:M,"Vignette",'QA Log'!Z:Z,"Approved",'QA Log'!L:L,"*Vignette [5] Labor*"),
    COUNTIFS('QA Log'!D:D,A233,'QA Log'!M:M,"Vignette",'QA Log'!Z:Z,"Approved",'QA Log'!L:L,"*Vignette [6] PNC pre Discharge*"),
    COUNTIFS('QA Log'!D:D,A233,'QA Log'!M:M,"Vignette",'QA Log'!Z:Z,"Approved",'QA Log'!L:L,"*Vignette [7] First ANC Visit*"),
    COUNTIFS('QA Log'!D:D,A233,'QA Log'!M:M,"Vignette",'QA Log'!Z:Z,"Approved",'QA Log'!L:L,"*Vignette [8] Birth Spacing/ Family Planning :  FP Counselling*"),
    COUNTIFS('QA Log'!D:D,A233,'QA Log'!M:M,"Vignette",'QA Log'!Z:Z,"Approved",'QA Log'!L:L,"*Vignette [9] Birth Spacing: Change FP method to Injectable*"),
    COUNTIFS('QA Log'!D:D,A233,'QA Log'!M:M,"Vignette",'QA Log'!Z:Z,"Approved",'QA Log'!L:L,"*Vignette [10] Post Partum Haemorrhage - Atonic Uterus at Health Centre*")
  )
)</f>
        <v/>
      </c>
      <c r="BG233" s="105" t="str">
        <f>IF(A233&lt;&gt;"",COUNTIFS('QA Log'!D:D,A233,'QA Log'!M:M,"Vignette",'QA Log'!L:L,"Vignette [5] Labor",'QA Log'!Z:Z,"Approved"),"")</f>
        <v/>
      </c>
      <c r="BH233" s="105" t="str">
        <f>IF(A233&lt;&gt;"",COUNTIFS('QA Log'!D:D,A233,'QA Log'!M:M,"Vignette",'QA Log'!L:L,"Vignette [6] PNC pre Discharge",'QA Log'!Z:Z,"Approved"),"")</f>
        <v/>
      </c>
      <c r="BI233" s="105" t="str">
        <f>IF(A233&lt;&gt;"",COUNTIFS('QA Log'!D:D,A233,'QA Log'!M:M,"Vignette",'QA Log'!L:L,"Vignette [7] First ANC Visit",'QA Log'!Z:Z,"Approved"),"")</f>
        <v/>
      </c>
      <c r="BJ233" s="105" t="str">
        <f>IF(A233&lt;&gt;"",COUNTIFS('QA Log'!D:D,A233,'QA Log'!M:M,"Vignette",'QA Log'!L:L,"Vignette [8] Birth Spacing/ Family Planning :  FP Counselling",'QA Log'!Z:Z,"Approved"),"")</f>
        <v/>
      </c>
      <c r="BK233" s="105" t="str">
        <f>IF(A233&lt;&gt;"",COUNTIFS('QA Log'!D:D,A233,'QA Log'!M:M,"Vignette",'QA Log'!L:L,"Vignette [9] Birth Spacing: Change FP method to Injectable",'QA Log'!Z:Z,"Approved"),"")</f>
        <v/>
      </c>
      <c r="BL233" s="105" t="str">
        <f>IF(A233&lt;&gt;"",COUNTIFS('QA Log'!D:D,A233,'QA Log'!M:M,"Vignette",'QA Log'!L:L,"Vignette [10] Post Partum Haemorrhage - Atonic Uterus at Health Centre",'QA Log'!Z:Z,"Approved"),"")</f>
        <v/>
      </c>
      <c r="BM233" s="102" t="str">
        <f>IF(A233="","",SUM(
    COUNTIFS('QA Log'!D:D,A233,'QA Log'!M:M,"Vignette",'QA Log'!Z:Z,"Rejected",'QA Log'!L:L,"*Vignette [5] Labor*"),
    COUNTIFS('QA Log'!D:D,A233,'QA Log'!M:M,"Vignette",'QA Log'!Z:Z,"Rejected",'QA Log'!L:L,"*Vignette [6] PNC pre Discharge*"),
    COUNTIFS('QA Log'!D:D,A233,'QA Log'!M:M,"Vignette",'QA Log'!Z:Z,"Rejected",'QA Log'!L:L,"*Vignette [7] First ANC Visit*"),
    COUNTIFS('QA Log'!D:D,A233,'QA Log'!M:M,"Vignette",'QA Log'!Z:Z,"Rejected",'QA Log'!L:L,"*Vignette [8] Birth Spacing/ Family Planning :  FP Counselling*"),
    COUNTIFS('QA Log'!D:D,A233,'QA Log'!M:M,"Vignette",'QA Log'!Z:Z,"Rejected",'QA Log'!L:L,"*Vignette [9] Birth Spacing: Change FP method to Injectable*"),
    COUNTIFS('QA Log'!D:D,A233,'QA Log'!M:M,"Vignette",'QA Log'!Z:Z,"Rejected",'QA Log'!L:L,"*Vignette [10] Post Partum Haemorrhage - Atonic Uterus at Health Centre*")
  )
)</f>
        <v/>
      </c>
      <c r="BN233" s="107" t="str">
        <f t="shared" si="11"/>
        <v/>
      </c>
      <c r="BO233" s="103" t="str">
        <f t="shared" si="12"/>
        <v/>
      </c>
      <c r="BP233" s="102" t="str">
        <f>IF(A233="","",SUM(
COUNTIFS('QA Log'!D:D,A233,'QA Log'!M:M,"Vignette",'QA Log'!L:L,"*Exit Interview 1*"),
COUNTIFS('QA Log'!D:D,A233,'QA Log'!M:M,"Vignette",'QA Log'!L:L,"*Exit Interview 2*"),
)
)</f>
        <v/>
      </c>
      <c r="BQ233" s="102" t="str">
        <f>IF(
  A233="","",
  SUM(
    COUNTIFS('QA Log'!D:D,A233,'QA Log'!M:M,"Vignette",'QA Log'!Z:Z,"Approved",'QA Log'!L:L,"*Exit Interview 1*"),
    COUNTIFS('QA Log'!D:D,A233,'QA Log'!M:M,"Vignette",'QA Log'!Z:Z,"Approved",'QA Log'!L:L,"*Exit Interview 2*")
  )
)</f>
        <v/>
      </c>
      <c r="BR233" s="105" t="str">
        <f>IF(A233&lt;&gt;"",COUNTIFS('QA Log'!D:D,A233,'QA Log'!M:M,"Vignette",'QA Log'!L:L,"Exit Interview 1",'QA Log'!Z:Z,"Approved"),"")</f>
        <v/>
      </c>
      <c r="BS233" s="105" t="str">
        <f>IF(A233&lt;&gt;"",COUNTIFS('QA Log'!D:D,A233,'QA Log'!M:M,"Vignette",'QA Log'!L:L,"Exit Interview 2",'QA Log'!Z:Z,"Approved"),"")</f>
        <v/>
      </c>
      <c r="BT233" s="102" t="str">
        <f>IF(
  A233="","",
  SUM(
    COUNTIFS('QA Log'!D:D,A233,'QA Log'!M:M,"Vignette",'QA Log'!Z:Z,"Rejected",'QA Log'!L:L,"*Exit Interview 1*"),
    COUNTIFS('QA Log'!D:D,A233,'QA Log'!M:M,"Vignette",'QA Log'!Z:Z,"Rejected",'QA Log'!L:L,"*Exit Interview 2*")
  )
)</f>
        <v/>
      </c>
      <c r="BU233" s="107" t="str">
        <f t="shared" si="13"/>
        <v/>
      </c>
      <c r="BV233" s="102" t="str">
        <f t="shared" si="14"/>
        <v/>
      </c>
      <c r="BW233" s="102" t="str">
        <f t="shared" si="15"/>
        <v/>
      </c>
      <c r="BX233" s="102" t="str">
        <f t="shared" si="16"/>
        <v/>
      </c>
      <c r="BY233" s="102" t="str">
        <f t="shared" si="17"/>
        <v/>
      </c>
      <c r="BZ233" s="107" t="str">
        <f t="shared" si="18"/>
        <v/>
      </c>
      <c r="CA233" s="108" t="str">
        <f t="shared" si="19"/>
        <v/>
      </c>
      <c r="CB233" s="108" t="str">
        <f t="shared" si="20"/>
        <v/>
      </c>
      <c r="CC233" s="109" t="str">
        <f t="shared" si="21"/>
        <v/>
      </c>
      <c r="CD233" s="108" t="str">
        <f t="shared" si="22"/>
        <v/>
      </c>
      <c r="CE233" s="108" t="str">
        <f t="shared" si="23"/>
        <v/>
      </c>
      <c r="CF233" s="109" t="str">
        <f t="shared" si="24"/>
        <v/>
      </c>
      <c r="CG233" s="110" t="str">
        <f t="shared" si="25"/>
        <v/>
      </c>
      <c r="CH233" s="111"/>
    </row>
    <row r="234" spans="1:86" ht="12.75">
      <c r="A234" s="101"/>
      <c r="B234" s="102" t="e">
        <f t="array" aca="1" ref="B234" ca="1">_xludf.XLOOKUP(A234,'QA Log'!D:D,'QA Log'!E:E,"")</f>
        <v>#NAME?</v>
      </c>
      <c r="C234" s="102" t="e">
        <f t="array" aca="1" ref="C234" ca="1">_xludf.XLOOKUP(A234,'QA Log'!D:D,'QA Log'!F:F,"")</f>
        <v>#NAME?</v>
      </c>
      <c r="D234" s="102" t="e">
        <f t="array" aca="1" ref="D234" ca="1">_xludf.XLOOKUP(A234,'QA Log'!D:D,'QA Log'!H:H,"")</f>
        <v>#NAME?</v>
      </c>
      <c r="E234" s="102" t="e">
        <f t="array" aca="1" ref="E234" ca="1">_xludf.XLOOKUP(A234,'QA Log'!D:D,'QA Log'!G:G,"")</f>
        <v>#NAME?</v>
      </c>
      <c r="F234" s="103"/>
      <c r="G234" s="104"/>
      <c r="H234" s="104"/>
      <c r="I234" s="103" t="str">
        <f t="shared" si="0"/>
        <v/>
      </c>
      <c r="J234" s="102" t="str">
        <f>IF(A234="","",SUM(
COUNTIFS('QA Log'!D:D,A234,'QA Log'!M:M,"QQC",'QA Log'!L:L,"*1. General Management*"),
COUNTIFS('QA Log'!D:D,A234,'QA Log'!M:M,"QQC",'QA Log'!L:L,"*3. Curative Consultation (OPD)*"),
COUNTIFS('QA Log'!D:D,A234,'QA Log'!M:M,"QQC",'QA Log'!L:L,"*5. Laboratory*"),
COUNTIFS('QA Log'!D:D,A234,'QA Log'!M:M,"QQC",'QA Log'!L:L,"*6. Essential Medicine Management*"),
COUNTIFS('QA Log'!D:D,A234,'QA Log'!M:M,"QQC",'QA Log'!L:L,"*7. Tracer Medicine*"),
COUNTIFS('QA Log'!D:D,A234,'QA Log'!M:M,"QQC",'QA Log'!L:L,"*11. Additional Questions*")))</f>
        <v/>
      </c>
      <c r="K234" s="102" t="str">
        <f>IF(A234="","",SUM(
COUNTIFS('QA Log'!D:D,A234,'QA Log'!M:M,"QQC",'QA Log'!Z:Z,"Approved",'QA Log'!L:L,"*1. General Management*"),
COUNTIFS('QA Log'!D:D,A234,'QA Log'!M:M,"QQC",'QA Log'!Z:Z,"Approved",'QA Log'!L:L,"*3. Curative Consultation (OPD)*"),
COUNTIFS('QA Log'!D:D,A234,'QA Log'!M:M,"QQC",'QA Log'!Z:Z,"Approved",'QA Log'!L:L,"*5. Laboratory*"),
COUNTIFS('QA Log'!D:D,A234,'QA Log'!M:M,"QQC",'QA Log'!Z:Z,"Approved",'QA Log'!L:L,"*6. Essential Medicine Management*"),
COUNTIFS('QA Log'!D:D,A234,'QA Log'!M:M,"QQC",'QA Log'!Z:Z,"Approved",'QA Log'!L:L,"*7. Tracer Medicine*"),
COUNTIFS('QA Log'!D:D,A234,'QA Log'!M:M,"QQC",'QA Log'!Z:Z,"Approved",'QA Log'!L:L,"*11. Additional Questions*")))</f>
        <v/>
      </c>
      <c r="L234" s="105" t="str">
        <f>IF(A234&lt;&gt;"",COUNTIFS('QA Log'!D:D,A234,'QA Log'!M:M,"QQC",'QA Log'!L:L,"1. General Management",'QA Log'!Z:Z,"Approved"),"")</f>
        <v/>
      </c>
      <c r="M234" s="105" t="str">
        <f>IF(A234&lt;&gt;"",COUNTIFS('QA Log'!D:D,A234,'QA Log'!M:M,"QQC",'QA Log'!L:L,"3. Curative Consultation (OPD)",'QA Log'!Z:Z,"Approved"),"")</f>
        <v/>
      </c>
      <c r="N234" s="105" t="str">
        <f>IF(A234&lt;&gt;"",COUNTIFS('QA Log'!D:D,A234,'QA Log'!M:M,"QQC",'QA Log'!L:L,"5. Laboratory",'QA Log'!Z:Z,"Approved"),"")</f>
        <v/>
      </c>
      <c r="O234" s="105" t="str">
        <f>IF(A234&lt;&gt;"",COUNTIFS('QA Log'!D:D,A234,'QA Log'!M:M,"QQC",'QA Log'!L:L,"6. Essential Medicine Management",'QA Log'!Z:Z,"Approved"),"")</f>
        <v/>
      </c>
      <c r="P234" s="105" t="str">
        <f>IF(A234&lt;&gt;"",COUNTIFS('QA Log'!D:D,A234,'QA Log'!M:M,"QQC",'QA Log'!L:L,"7. Tracer Medicine",'QA Log'!Z:Z,"Approved"),"")</f>
        <v/>
      </c>
      <c r="Q234" s="105" t="str">
        <f>IF(A234&lt;&gt;"",COUNTIFS('QA Log'!D:D,A234,'QA Log'!M:M,"QQC",'QA Log'!L:L,"11. Additional Questions",'QA Log'!Z:Z,"Approved"),"")</f>
        <v/>
      </c>
      <c r="R234" s="102" t="str">
        <f>IF(A234="","",SUM(
COUNTIFS('QA Log'!D:D,A234,'QA Log'!M:M,"QQC",'QA Log'!Z:Z,"Rejected",'QA Log'!L:L,"*8. Maternity*"),
COUNTIFS('QA Log'!D:D,A234,'QA Log'!M:M,"QQC",'QA Log'!Z:Z,"Rejected",'QA Log'!L:L,"*EPI*"),
COUNTIFS('QA Log'!D:D,A234,'QA Log'!M:M,"QQC",'QA Log'!Z:Z,"Rejected",'QA Log'!L:L,"*10. Antenatal Care (ANC)*"),
COUNTIFS('QA Log'!D:D,A234,'QA Log'!M:M,"QQC",'QA Log'!Z:Z,"Rejected",'QA Log'!L:L,"*2. Hygiene and Sterilization*"),
COUNTIFS('QA Log'!D:D,A234,'QA Log'!M:M,"QQC",'QA Log'!Z:Z,"Rejected",'QA Log'!L:L,"*Family Planning*")))</f>
        <v/>
      </c>
      <c r="S234" s="106" t="str">
        <f t="shared" si="1"/>
        <v/>
      </c>
      <c r="T234" s="102" t="str">
        <f t="shared" si="2"/>
        <v/>
      </c>
      <c r="U234" s="102" t="str">
        <f>IF(A234="","",
SUM(
COUNTIFS('QA Log'!D:D,A234,'QA Log'!M:M,"QQC",'QA Log'!L:L,"*8. Maternity*"),
COUNTIFS('QA Log'!D:D,A234,'QA Log'!M:M,"QQC",'QA Log'!L:L,"*9. EPI and Pre-school Consultation*"),
COUNTIFS('QA Log'!D:D,A234,'QA Log'!M:M,"QQC",'QA Log'!L:L,"*10. Antenatal Care (ANC)*"),
COUNTIFS('QA Log'!D:D,A234,'QA Log'!M:M,"QQC",'QA Log'!L:L,"*2. Hygiene and Sterilization*"),
COUNTIFS('QA Log'!D:D,A234,'QA Log'!M:M,"QQC",'QA Log'!L:L,"*4. Family Planning*")
))</f>
        <v/>
      </c>
      <c r="V234" s="102" t="str">
        <f>IF(A234="","",
SUM(
COUNTIFS('QA Log'!D:D,A234,'QA Log'!M:M,"QQC",'QA Log'!Z:Z,"Approved",'QA Log'!L:L,"*8. Maternity*"),
COUNTIFS('QA Log'!D:D,A234,'QA Log'!M:M,"QQC",'QA Log'!Z:Z,"Approved",'QA Log'!L:L,"*9. EPI and Pre-school Consultation*"),
COUNTIFS('QA Log'!D:D,A234,'QA Log'!M:M,"QQC",'QA Log'!Z:Z,"Approved",'QA Log'!L:L,"*10. Antenatal Care (ANC)*"),
COUNTIFS('QA Log'!D:D,A234,'QA Log'!M:M,"QQC",'QA Log'!Z:Z,"Approved",'QA Log'!L:L,"*2. Hygiene and Sterilization*"),
COUNTIFS('QA Log'!D:D,A234,'QA Log'!M:M,"QQC",'QA Log'!Z:Z,"Approved",'QA Log'!L:L,"*4. Family Planning*")
))</f>
        <v/>
      </c>
      <c r="W234" s="105" t="str">
        <f>IF(A234&lt;&gt;"",COUNTIFS('QA Log'!D:D,A234,'QA Log'!M:M,"QQC",'QA Log'!L:L,"8. Maternity",'QA Log'!Z:Z,"Approved"),"")</f>
        <v/>
      </c>
      <c r="X234" s="105" t="str">
        <f>IF(A234&lt;&gt;"",COUNTIFS('QA Log'!D:D,A234,'QA Log'!M:M,"QQC",'QA Log'!L:L,"9. EPI and Pre-school Consultation",'QA Log'!Z:Z,"Approved"),"")</f>
        <v/>
      </c>
      <c r="Y234" s="105" t="str">
        <f>IF(A234&lt;&gt;"",COUNTIFS('QA Log'!D:D,A234,'QA Log'!M:M,"QQC",'QA Log'!L:L,"10. Antenatal Care (ANC)",'QA Log'!Z:Z,"Approved"),"")</f>
        <v/>
      </c>
      <c r="Z234" s="105" t="str">
        <f>IF(A234&lt;&gt;"",COUNTIFS('QA Log'!D:D,A234,'QA Log'!M:M,"QQC",'QA Log'!L:L,"2. Hygiene and Sterilization",'QA Log'!Z:Z,"Approved"),"")</f>
        <v/>
      </c>
      <c r="AA234" s="105" t="str">
        <f>IF(A234&lt;&gt;"",COUNTIFS('QA Log'!D:D,A234,'QA Log'!M:M,"QQC",'QA Log'!L:L,"4. Family Planning",'QA Log'!Z:Z,"Approved"),"")</f>
        <v/>
      </c>
      <c r="AB234" s="102" t="str">
        <f>IF(A234="","",
SUM(
COUNTIFS('QA Log'!D:D,A234,'QA Log'!M:M,"QQC",'QA Log'!Z:Z,"Rejected",'QA Log'!L:L,"*8. Maternity*"),
COUNTIFS('QA Log'!D:D,A234,'QA Log'!M:M,"QQC",'QA Log'!Z:Z,"Rejected",'QA Log'!L:L,"*9. EPI and Pre-school Consultation*"),
COUNTIFS('QA Log'!D:D,A234,'QA Log'!M:M,"QQC",'QA Log'!Z:Z,"Rejected",'QA Log'!L:L,"*10. Antenatal Care (ANC)*"),
COUNTIFS('QA Log'!D:D,A234,'QA Log'!M:M,"QQC",'QA Log'!Z:Z,"Rejected",'QA Log'!L:L,"*2. Hygiene and Sterilization*"),
COUNTIFS('QA Log'!D:D,A234,'QA Log'!M:M,"QQC",'QA Log'!Z:Z,"Rejected",'QA Log'!L:L,"*4. Family Planning*")
))</f>
        <v/>
      </c>
      <c r="AC234" s="102" t="str">
        <f t="shared" si="3"/>
        <v/>
      </c>
      <c r="AD234" s="103" t="str">
        <f t="shared" si="4"/>
        <v/>
      </c>
      <c r="AE234" s="102" t="str">
        <f>IF(A234="","",
SUM(
COUNTIFS('QA Log'!D:D,A234,'QA Log'!M:M,"Data Verification",'QA Log'!L:L,"*Medicine (section 2)*"),
COUNTIFS('QA Log'!D:D,A234,'QA Log'!M:M,"Data Verification",'QA Log'!L:L,"*Lab Testing Availability*"),
COUNTIFS('QA Log'!D:D,A234,'QA Log'!M:M,"Data Verification",'QA Log'!L:L,"*Other than P4P (section 6)*"),
COUNTIFS('QA Log'!D:D,A234,'QA Log'!M:M,"Data Verification",'QA Log'!L:L,"*Hospital Governance*")
))</f>
        <v/>
      </c>
      <c r="AF234" s="102" t="str">
        <f>IF(A234="","",
SUM(
COUNTIFS('QA Log'!D:D,A234,'QA Log'!M:M,"Data Verification",'QA Log'!Z:Z,"Approved",'QA Log'!L:L,"*Medicine (section 2)*"),
COUNTIFS('QA Log'!D:D,A234,'QA Log'!M:M,"Data Verification",'QA Log'!Z:Z,"Approved",'QA Log'!L:L,"*Lab Testing Availability*"),
COUNTIFS('QA Log'!D:D,A234,'QA Log'!M:M,"Data Verification",'QA Log'!Z:Z,"Approved",'QA Log'!L:L,"*Other than P4P (section 6)*"),
COUNTIFS('QA Log'!D:D,A234,'QA Log'!M:M,"Data Verification",'QA Log'!Z:Z,"Approved",'QA Log'!L:L,"*Hospital Governance*")
))</f>
        <v/>
      </c>
      <c r="AG234" s="105" t="str">
        <f>IF(A234&lt;&gt;"",COUNTIFS('QA Log'!D:D,A234,'QA Log'!M:M,"Data Verification",'QA Log'!L:L,"Medicine (section 2)",'QA Log'!Z:Z,"Approved"),"")</f>
        <v/>
      </c>
      <c r="AH234" s="105" t="str">
        <f>IF(A234&lt;&gt;"",COUNTIFS('QA Log'!D:D,A234,'QA Log'!M:M,"Data Verification",'QA Log'!L:L,"Lab Testing Availability",'QA Log'!Z:Z,"Approved"),"")</f>
        <v/>
      </c>
      <c r="AI234" s="105" t="str">
        <f>IF(A234&lt;&gt;"",COUNTIFS('QA Log'!D:D,A234,'QA Log'!M:M,"Data Verification",'QA Log'!L:L,"Other than P4P (section 6)",'QA Log'!Z:Z,"Approved"),"")</f>
        <v/>
      </c>
      <c r="AJ234" s="105" t="str">
        <f>IF(A234&lt;&gt;"",COUNTIFS('QA Log'!D:D,A234,'QA Log'!M:M,"Data Verification",'QA Log'!L:L,"Hospital Governance",'QA Log'!Z:Z,"Approved"),"")</f>
        <v/>
      </c>
      <c r="AK234" s="102" t="str">
        <f>IF(A234="","",
SUM(
COUNTIFS('QA Log'!D:D,A234,'QA Log'!M:M,"Data Verification",'QA Log'!Z:Z,"Rejected",'QA Log'!L:L,"*Medicine (section 2)*"),
COUNTIFS('QA Log'!D:D,A234,'QA Log'!M:M,"Data Verification",'QA Log'!Z:Z,"Rejected",'QA Log'!L:L,"*Lab Testing Availability*"),
COUNTIFS('QA Log'!D:D,A234,'QA Log'!M:M,"Data Verification",'QA Log'!Z:Z,"Rejected",'QA Log'!L:L,"*Other than P4P (section 6)*"),
COUNTIFS('QA Log'!D:D,A234,'QA Log'!M:M,"Data Verification",'QA Log'!Z:Z,"Rejected",'QA Log'!L:L,"*Hospital Governance*")
))</f>
        <v/>
      </c>
      <c r="AL234" s="106" t="str">
        <f t="shared" si="5"/>
        <v/>
      </c>
      <c r="AM234" s="102" t="str">
        <f t="shared" si="6"/>
        <v/>
      </c>
      <c r="AN234" s="102" t="str">
        <f>IF(A234="","",
SUM(
COUNTIFS('QA Log'!D:D,A234,'QA Log'!M:M,"Data Verification",'QA Log'!L:L,"*Personnel (section 1)*"),
COUNTIFS('QA Log'!D:D,A234,'QA Log'!M:M,"Data Verification",'QA Log'!L:L,"*Consumable (section 3)*"),
COUNTIFS('QA Log'!D:D,A234,'QA Log'!M:M,"Data Verification",'QA Log'!L:L,"*Equipments (section 4)*")
))</f>
        <v/>
      </c>
      <c r="AO234" s="102" t="str">
        <f>IF(A234="","",
SUM(
COUNTIFS('QA Log'!D:D,A234,'QA Log'!M:M,"Data Verification",'QA Log'!Z:Z,"Approved",'QA Log'!L:L,"*Personnel (section 1)*"),
COUNTIFS('QA Log'!D:D,A234,'QA Log'!M:M,"Data Verification",'QA Log'!Z:Z,"Approved",'QA Log'!L:L,"*Consumable (section 3)*"),
COUNTIFS('QA Log'!D:D,A234,'QA Log'!M:M,"Data Verification",'QA Log'!Z:Z,"Approved",'QA Log'!L:L,"*Equipments (section 4)*")
))</f>
        <v/>
      </c>
      <c r="AP234" s="105" t="str">
        <f>IF(A234&lt;&gt;"",COUNTIFS('QA Log'!D:D,A234,'QA Log'!M:M,"Data Verification",'QA Log'!L:L,"Personnel (section 1)",'QA Log'!Z:Z,"Approved"),"")</f>
        <v/>
      </c>
      <c r="AQ234" s="105" t="str">
        <f>IF(A234&lt;&gt;"",COUNTIFS('QA Log'!D:D,A234,'QA Log'!M:M,"Data Verification",'QA Log'!L:L,"Consumable (section 3)",'QA Log'!Z:Z,"Approved"),"")</f>
        <v/>
      </c>
      <c r="AR234" s="105" t="str">
        <f>IF(A234&lt;&gt;"",COUNTIFS('QA Log'!D:D,A234,'QA Log'!M:M,"Data Verification",'QA Log'!L:L,"Equipments (section 4)",'QA Log'!Z:Z,"Approved"),"")</f>
        <v/>
      </c>
      <c r="AS234" s="102" t="str">
        <f>IF(A234="","",
SUM(
COUNTIFS('QA Log'!D:D,A234,'QA Log'!M:M,"Data Verification",'QA Log'!Z:Z,"Rejected",'QA Log'!L:L,"*Personnel (section 1)*"),
COUNTIFS('QA Log'!D:D,A234,'QA Log'!M:M,"Data Verification",'QA Log'!Z:Z,"Rejected",'QA Log'!L:L,"*Consumable (section 3)*"),
COUNTIFS('QA Log'!D:D,A234,'QA Log'!M:M,"Data Verification",'QA Log'!Z:Z,"Rejected",'QA Log'!L:L,"*Equipments (section 4)*")
))</f>
        <v/>
      </c>
      <c r="AT234" s="102" t="str">
        <f t="shared" si="7"/>
        <v/>
      </c>
      <c r="AU234" s="103" t="str">
        <f t="shared" si="8"/>
        <v/>
      </c>
      <c r="AV234" s="102" t="str">
        <f>IF(A234="","",SUM(
COUNTIFS('QA Log'!D:D,A234,'QA Log'!M:M,"Vignette",'QA Log'!L:L,"*Vignette [1] Respiratory Infection: Pneumonia*"),
COUNTIFS('QA Log'!D:D,A234,'QA Log'!M:M,"Vignette",'QA Log'!L:L,"*Vignette [2]: Diarrhea with Cat B dehydration*"),
COUNTIFS('QA Log'!D:D,A234,'QA Log'!M:M,"Vignette",'QA Log'!L:L,"*Vignette [3] Growth Monitoring and Promotion*"),
COUNTIFS('QA Log'!D:D,A234,'QA Log'!M:M,"Vignette",'QA Log'!L:L,"*Vignette [4]: The management of presumptive TB patient*")
)
)</f>
        <v/>
      </c>
      <c r="AW234" s="102" t="str">
        <f>IF(
  A234="","",
  SUM(
    COUNTIFS('QA Log'!D:D,A234,'QA Log'!M:M,"Vignette",'QA Log'!Z:Z,"Approved",'QA Log'!L:L,"*Vignette [1] Respiratory Infection: Pneumonia*"),
    COUNTIFS('QA Log'!D:D,A234,'QA Log'!M:M,"Vignette",'QA Log'!Z:Z,"Approved",'QA Log'!L:L,"*Vignette [2]: Diarrhea with Cat B dehydration*"),
    COUNTIFS('QA Log'!D:D,A234,'QA Log'!M:M,"Vignette",'QA Log'!Z:Z,"Approved",'QA Log'!L:L,"*Vignette [3] Growth Monitoring and Promotion*"),
    COUNTIFS('QA Log'!D:D,A234,'QA Log'!M:M,"Vignette",'QA Log'!Z:Z,"Approved",'QA Log'!L:L,"*Vignette [4]: The management of presumptive TB patient*")
  )
)</f>
        <v/>
      </c>
      <c r="AX234" s="105" t="str">
        <f>IF(A234&lt;&gt;"",COUNTIFS('QA Log'!D:D,A234,'QA Log'!M:M,"Vignette",'QA Log'!L:L,"Vignette [1] Respiratory Infection: Pneumonia",'QA Log'!Z:Z,"Approved"),"")</f>
        <v/>
      </c>
      <c r="AY234" s="105" t="str">
        <f>IF(A234&lt;&gt;"",COUNTIFS('QA Log'!D:D,A234,'QA Log'!M:M,"Vignette",'QA Log'!L:L,"Vignette [2]: Diarrhea with Cat B dehydration",'QA Log'!Z:Z,"Approved"),"")</f>
        <v/>
      </c>
      <c r="AZ234" s="105" t="str">
        <f>IF(A234&lt;&gt;"",COUNTIFS('QA Log'!D:D,A234,'QA Log'!M:M,"Vignette",'QA Log'!L:L,"Vignette [3] Growth Monitoring and Promotion",'QA Log'!Z:Z,"Approved"),"")</f>
        <v/>
      </c>
      <c r="BA234" s="105" t="str">
        <f>IF(A234&lt;&gt;"",COUNTIFS('QA Log'!D:D,A234,'QA Log'!M:M,"Vignette",'QA Log'!L:L,"Vignette [4]: The management of presumptive TB patient",'QA Log'!Z:Z,"Approved"),"")</f>
        <v/>
      </c>
      <c r="BB234" s="102" t="str">
        <f>IF(A234="","",
  SUM(
    COUNTIFS('QA Log'!D:D,A234,'QA Log'!M:M,"Vignette",'QA Log'!Z:Z,"Rejected",'QA Log'!L:L,"*Vignette [1] Respiratory Infection: Pneumonia*"),
    COUNTIFS('QA Log'!D:D,A234,'QA Log'!M:M,"Vignette",'QA Log'!Z:Z,"Rejected",'QA Log'!L:L,"*Vignette [2]: Diarrhea with Cat B dehydration*"),
    COUNTIFS('QA Log'!D:D,A234,'QA Log'!M:M,"Vignette",'QA Log'!Z:Z,"Rejected",'QA Log'!L:L,"*Vignette [3] Growth Monitoring and Promotion*"),
    COUNTIFS('QA Log'!D:D,A234,'QA Log'!M:M,"Vignette",'QA Log'!Z:Z,"Rejected",'QA Log'!L:L,"*Vignette [4]: The management of presumptive TB patient*")
  )
)</f>
        <v/>
      </c>
      <c r="BC234" s="107" t="str">
        <f t="shared" si="9"/>
        <v/>
      </c>
      <c r="BD234" s="103" t="str">
        <f t="shared" si="10"/>
        <v/>
      </c>
      <c r="BE234" s="102" t="str">
        <f>IF(A234="","",SUM(
COUNTIFS('QA Log'!D:D,A234,'QA Log'!M:M,"Vignette",'QA Log'!L:L,"*Vignette [5] Labor*"),
COUNTIFS('QA Log'!D:D,A234,'QA Log'!M:M,"Vignette",'QA Log'!L:L,"*Vignette [6] PNC pre Discharge*"),
COUNTIFS('QA Log'!D:D,A234,'QA Log'!M:M,"Vignette",'QA Log'!L:L,"*Vignette [7] First ANC Visit*"),
COUNTIFS('QA Log'!D:D,A234,'QA Log'!M:M,"Vignette",'QA Log'!L:L,"*Vignette [8] Birth Spacing/ Family Planning :  FP Counselling*"),
COUNTIFS('QA Log'!D:D,A234,'QA Log'!M:M,"Vignette",'QA Log'!L:L,"*Vignette [9] Birth Spacing: Change FP method to Injectable*"),
COUNTIFS('QA Log'!D:D,A234,'QA Log'!M:M,"Vignette",'QA Log'!L:L,"*Vignette [10] Post Partum Haemorrhage - Atonic Uterus at Health Centre*"),
)
)</f>
        <v/>
      </c>
      <c r="BF234" s="102" t="str">
        <f>IF(A234="","",
  SUM(
    COUNTIFS('QA Log'!D:D,A234,'QA Log'!M:M,"Vignette",'QA Log'!Z:Z,"Approved",'QA Log'!L:L,"*Vignette [5] Labor*"),
    COUNTIFS('QA Log'!D:D,A234,'QA Log'!M:M,"Vignette",'QA Log'!Z:Z,"Approved",'QA Log'!L:L,"*Vignette [6] PNC pre Discharge*"),
    COUNTIFS('QA Log'!D:D,A234,'QA Log'!M:M,"Vignette",'QA Log'!Z:Z,"Approved",'QA Log'!L:L,"*Vignette [7] First ANC Visit*"),
    COUNTIFS('QA Log'!D:D,A234,'QA Log'!M:M,"Vignette",'QA Log'!Z:Z,"Approved",'QA Log'!L:L,"*Vignette [8] Birth Spacing/ Family Planning :  FP Counselling*"),
    COUNTIFS('QA Log'!D:D,A234,'QA Log'!M:M,"Vignette",'QA Log'!Z:Z,"Approved",'QA Log'!L:L,"*Vignette [9] Birth Spacing: Change FP method to Injectable*"),
    COUNTIFS('QA Log'!D:D,A234,'QA Log'!M:M,"Vignette",'QA Log'!Z:Z,"Approved",'QA Log'!L:L,"*Vignette [10] Post Partum Haemorrhage - Atonic Uterus at Health Centre*")
  )
)</f>
        <v/>
      </c>
      <c r="BG234" s="105" t="str">
        <f>IF(A234&lt;&gt;"",COUNTIFS('QA Log'!D:D,A234,'QA Log'!M:M,"Vignette",'QA Log'!L:L,"Vignette [5] Labor",'QA Log'!Z:Z,"Approved"),"")</f>
        <v/>
      </c>
      <c r="BH234" s="105" t="str">
        <f>IF(A234&lt;&gt;"",COUNTIFS('QA Log'!D:D,A234,'QA Log'!M:M,"Vignette",'QA Log'!L:L,"Vignette [6] PNC pre Discharge",'QA Log'!Z:Z,"Approved"),"")</f>
        <v/>
      </c>
      <c r="BI234" s="105" t="str">
        <f>IF(A234&lt;&gt;"",COUNTIFS('QA Log'!D:D,A234,'QA Log'!M:M,"Vignette",'QA Log'!L:L,"Vignette [7] First ANC Visit",'QA Log'!Z:Z,"Approved"),"")</f>
        <v/>
      </c>
      <c r="BJ234" s="105" t="str">
        <f>IF(A234&lt;&gt;"",COUNTIFS('QA Log'!D:D,A234,'QA Log'!M:M,"Vignette",'QA Log'!L:L,"Vignette [8] Birth Spacing/ Family Planning :  FP Counselling",'QA Log'!Z:Z,"Approved"),"")</f>
        <v/>
      </c>
      <c r="BK234" s="105" t="str">
        <f>IF(A234&lt;&gt;"",COUNTIFS('QA Log'!D:D,A234,'QA Log'!M:M,"Vignette",'QA Log'!L:L,"Vignette [9] Birth Spacing: Change FP method to Injectable",'QA Log'!Z:Z,"Approved"),"")</f>
        <v/>
      </c>
      <c r="BL234" s="105" t="str">
        <f>IF(A234&lt;&gt;"",COUNTIFS('QA Log'!D:D,A234,'QA Log'!M:M,"Vignette",'QA Log'!L:L,"Vignette [10] Post Partum Haemorrhage - Atonic Uterus at Health Centre",'QA Log'!Z:Z,"Approved"),"")</f>
        <v/>
      </c>
      <c r="BM234" s="102" t="str">
        <f>IF(A234="","",SUM(
    COUNTIFS('QA Log'!D:D,A234,'QA Log'!M:M,"Vignette",'QA Log'!Z:Z,"Rejected",'QA Log'!L:L,"*Vignette [5] Labor*"),
    COUNTIFS('QA Log'!D:D,A234,'QA Log'!M:M,"Vignette",'QA Log'!Z:Z,"Rejected",'QA Log'!L:L,"*Vignette [6] PNC pre Discharge*"),
    COUNTIFS('QA Log'!D:D,A234,'QA Log'!M:M,"Vignette",'QA Log'!Z:Z,"Rejected",'QA Log'!L:L,"*Vignette [7] First ANC Visit*"),
    COUNTIFS('QA Log'!D:D,A234,'QA Log'!M:M,"Vignette",'QA Log'!Z:Z,"Rejected",'QA Log'!L:L,"*Vignette [8] Birth Spacing/ Family Planning :  FP Counselling*"),
    COUNTIFS('QA Log'!D:D,A234,'QA Log'!M:M,"Vignette",'QA Log'!Z:Z,"Rejected",'QA Log'!L:L,"*Vignette [9] Birth Spacing: Change FP method to Injectable*"),
    COUNTIFS('QA Log'!D:D,A234,'QA Log'!M:M,"Vignette",'QA Log'!Z:Z,"Rejected",'QA Log'!L:L,"*Vignette [10] Post Partum Haemorrhage - Atonic Uterus at Health Centre*")
  )
)</f>
        <v/>
      </c>
      <c r="BN234" s="107" t="str">
        <f t="shared" si="11"/>
        <v/>
      </c>
      <c r="BO234" s="103" t="str">
        <f t="shared" si="12"/>
        <v/>
      </c>
      <c r="BP234" s="102" t="str">
        <f>IF(A234="","",SUM(
COUNTIFS('QA Log'!D:D,A234,'QA Log'!M:M,"Vignette",'QA Log'!L:L,"*Exit Interview 1*"),
COUNTIFS('QA Log'!D:D,A234,'QA Log'!M:M,"Vignette",'QA Log'!L:L,"*Exit Interview 2*"),
)
)</f>
        <v/>
      </c>
      <c r="BQ234" s="102" t="str">
        <f>IF(
  A234="","",
  SUM(
    COUNTIFS('QA Log'!D:D,A234,'QA Log'!M:M,"Vignette",'QA Log'!Z:Z,"Approved",'QA Log'!L:L,"*Exit Interview 1*"),
    COUNTIFS('QA Log'!D:D,A234,'QA Log'!M:M,"Vignette",'QA Log'!Z:Z,"Approved",'QA Log'!L:L,"*Exit Interview 2*")
  )
)</f>
        <v/>
      </c>
      <c r="BR234" s="105" t="str">
        <f>IF(A234&lt;&gt;"",COUNTIFS('QA Log'!D:D,A234,'QA Log'!M:M,"Vignette",'QA Log'!L:L,"Exit Interview 1",'QA Log'!Z:Z,"Approved"),"")</f>
        <v/>
      </c>
      <c r="BS234" s="105" t="str">
        <f>IF(A234&lt;&gt;"",COUNTIFS('QA Log'!D:D,A234,'QA Log'!M:M,"Vignette",'QA Log'!L:L,"Exit Interview 2",'QA Log'!Z:Z,"Approved"),"")</f>
        <v/>
      </c>
      <c r="BT234" s="102" t="str">
        <f>IF(
  A234="","",
  SUM(
    COUNTIFS('QA Log'!D:D,A234,'QA Log'!M:M,"Vignette",'QA Log'!Z:Z,"Rejected",'QA Log'!L:L,"*Exit Interview 1*"),
    COUNTIFS('QA Log'!D:D,A234,'QA Log'!M:M,"Vignette",'QA Log'!Z:Z,"Rejected",'QA Log'!L:L,"*Exit Interview 2*")
  )
)</f>
        <v/>
      </c>
      <c r="BU234" s="107" t="str">
        <f t="shared" si="13"/>
        <v/>
      </c>
      <c r="BV234" s="102" t="str">
        <f t="shared" si="14"/>
        <v/>
      </c>
      <c r="BW234" s="102" t="str">
        <f t="shared" si="15"/>
        <v/>
      </c>
      <c r="BX234" s="102" t="str">
        <f t="shared" si="16"/>
        <v/>
      </c>
      <c r="BY234" s="102" t="str">
        <f t="shared" si="17"/>
        <v/>
      </c>
      <c r="BZ234" s="107" t="str">
        <f t="shared" si="18"/>
        <v/>
      </c>
      <c r="CA234" s="108" t="str">
        <f t="shared" si="19"/>
        <v/>
      </c>
      <c r="CB234" s="108" t="str">
        <f t="shared" si="20"/>
        <v/>
      </c>
      <c r="CC234" s="109" t="str">
        <f t="shared" si="21"/>
        <v/>
      </c>
      <c r="CD234" s="108" t="str">
        <f t="shared" si="22"/>
        <v/>
      </c>
      <c r="CE234" s="108" t="str">
        <f t="shared" si="23"/>
        <v/>
      </c>
      <c r="CF234" s="109" t="str">
        <f t="shared" si="24"/>
        <v/>
      </c>
      <c r="CG234" s="110" t="str">
        <f t="shared" si="25"/>
        <v/>
      </c>
      <c r="CH234" s="111"/>
    </row>
    <row r="235" spans="1:86" ht="12.75">
      <c r="A235" s="101"/>
      <c r="B235" s="102" t="e">
        <f t="array" aca="1" ref="B235" ca="1">_xludf.XLOOKUP(A235,'QA Log'!D:D,'QA Log'!E:E,"")</f>
        <v>#NAME?</v>
      </c>
      <c r="C235" s="102" t="e">
        <f t="array" aca="1" ref="C235" ca="1">_xludf.XLOOKUP(A235,'QA Log'!D:D,'QA Log'!F:F,"")</f>
        <v>#NAME?</v>
      </c>
      <c r="D235" s="102" t="e">
        <f t="array" aca="1" ref="D235" ca="1">_xludf.XLOOKUP(A235,'QA Log'!D:D,'QA Log'!H:H,"")</f>
        <v>#NAME?</v>
      </c>
      <c r="E235" s="102" t="e">
        <f t="array" aca="1" ref="E235" ca="1">_xludf.XLOOKUP(A235,'QA Log'!D:D,'QA Log'!G:G,"")</f>
        <v>#NAME?</v>
      </c>
      <c r="F235" s="103"/>
      <c r="G235" s="104"/>
      <c r="H235" s="104"/>
      <c r="I235" s="103" t="str">
        <f t="shared" si="0"/>
        <v/>
      </c>
      <c r="J235" s="102" t="str">
        <f>IF(A235="","",SUM(
COUNTIFS('QA Log'!D:D,A235,'QA Log'!M:M,"QQC",'QA Log'!L:L,"*1. General Management*"),
COUNTIFS('QA Log'!D:D,A235,'QA Log'!M:M,"QQC",'QA Log'!L:L,"*3. Curative Consultation (OPD)*"),
COUNTIFS('QA Log'!D:D,A235,'QA Log'!M:M,"QQC",'QA Log'!L:L,"*5. Laboratory*"),
COUNTIFS('QA Log'!D:D,A235,'QA Log'!M:M,"QQC",'QA Log'!L:L,"*6. Essential Medicine Management*"),
COUNTIFS('QA Log'!D:D,A235,'QA Log'!M:M,"QQC",'QA Log'!L:L,"*7. Tracer Medicine*"),
COUNTIFS('QA Log'!D:D,A235,'QA Log'!M:M,"QQC",'QA Log'!L:L,"*11. Additional Questions*")))</f>
        <v/>
      </c>
      <c r="K235" s="102" t="str">
        <f>IF(A235="","",SUM(
COUNTIFS('QA Log'!D:D,A235,'QA Log'!M:M,"QQC",'QA Log'!Z:Z,"Approved",'QA Log'!L:L,"*1. General Management*"),
COUNTIFS('QA Log'!D:D,A235,'QA Log'!M:M,"QQC",'QA Log'!Z:Z,"Approved",'QA Log'!L:L,"*3. Curative Consultation (OPD)*"),
COUNTIFS('QA Log'!D:D,A235,'QA Log'!M:M,"QQC",'QA Log'!Z:Z,"Approved",'QA Log'!L:L,"*5. Laboratory*"),
COUNTIFS('QA Log'!D:D,A235,'QA Log'!M:M,"QQC",'QA Log'!Z:Z,"Approved",'QA Log'!L:L,"*6. Essential Medicine Management*"),
COUNTIFS('QA Log'!D:D,A235,'QA Log'!M:M,"QQC",'QA Log'!Z:Z,"Approved",'QA Log'!L:L,"*7. Tracer Medicine*"),
COUNTIFS('QA Log'!D:D,A235,'QA Log'!M:M,"QQC",'QA Log'!Z:Z,"Approved",'QA Log'!L:L,"*11. Additional Questions*")))</f>
        <v/>
      </c>
      <c r="L235" s="105" t="str">
        <f>IF(A235&lt;&gt;"",COUNTIFS('QA Log'!D:D,A235,'QA Log'!M:M,"QQC",'QA Log'!L:L,"1. General Management",'QA Log'!Z:Z,"Approved"),"")</f>
        <v/>
      </c>
      <c r="M235" s="105" t="str">
        <f>IF(A235&lt;&gt;"",COUNTIFS('QA Log'!D:D,A235,'QA Log'!M:M,"QQC",'QA Log'!L:L,"3. Curative Consultation (OPD)",'QA Log'!Z:Z,"Approved"),"")</f>
        <v/>
      </c>
      <c r="N235" s="105" t="str">
        <f>IF(A235&lt;&gt;"",COUNTIFS('QA Log'!D:D,A235,'QA Log'!M:M,"QQC",'QA Log'!L:L,"5. Laboratory",'QA Log'!Z:Z,"Approved"),"")</f>
        <v/>
      </c>
      <c r="O235" s="105" t="str">
        <f>IF(A235&lt;&gt;"",COUNTIFS('QA Log'!D:D,A235,'QA Log'!M:M,"QQC",'QA Log'!L:L,"6. Essential Medicine Management",'QA Log'!Z:Z,"Approved"),"")</f>
        <v/>
      </c>
      <c r="P235" s="105" t="str">
        <f>IF(A235&lt;&gt;"",COUNTIFS('QA Log'!D:D,A235,'QA Log'!M:M,"QQC",'QA Log'!L:L,"7. Tracer Medicine",'QA Log'!Z:Z,"Approved"),"")</f>
        <v/>
      </c>
      <c r="Q235" s="105" t="str">
        <f>IF(A235&lt;&gt;"",COUNTIFS('QA Log'!D:D,A235,'QA Log'!M:M,"QQC",'QA Log'!L:L,"11. Additional Questions",'QA Log'!Z:Z,"Approved"),"")</f>
        <v/>
      </c>
      <c r="R235" s="102" t="str">
        <f>IF(A235="","",SUM(
COUNTIFS('QA Log'!D:D,A235,'QA Log'!M:M,"QQC",'QA Log'!Z:Z,"Rejected",'QA Log'!L:L,"*8. Maternity*"),
COUNTIFS('QA Log'!D:D,A235,'QA Log'!M:M,"QQC",'QA Log'!Z:Z,"Rejected",'QA Log'!L:L,"*EPI*"),
COUNTIFS('QA Log'!D:D,A235,'QA Log'!M:M,"QQC",'QA Log'!Z:Z,"Rejected",'QA Log'!L:L,"*10. Antenatal Care (ANC)*"),
COUNTIFS('QA Log'!D:D,A235,'QA Log'!M:M,"QQC",'QA Log'!Z:Z,"Rejected",'QA Log'!L:L,"*2. Hygiene and Sterilization*"),
COUNTIFS('QA Log'!D:D,A235,'QA Log'!M:M,"QQC",'QA Log'!Z:Z,"Rejected",'QA Log'!L:L,"*Family Planning*")))</f>
        <v/>
      </c>
      <c r="S235" s="106" t="str">
        <f t="shared" si="1"/>
        <v/>
      </c>
      <c r="T235" s="102" t="str">
        <f t="shared" si="2"/>
        <v/>
      </c>
      <c r="U235" s="102" t="str">
        <f>IF(A235="","",
SUM(
COUNTIFS('QA Log'!D:D,A235,'QA Log'!M:M,"QQC",'QA Log'!L:L,"*8. Maternity*"),
COUNTIFS('QA Log'!D:D,A235,'QA Log'!M:M,"QQC",'QA Log'!L:L,"*9. EPI and Pre-school Consultation*"),
COUNTIFS('QA Log'!D:D,A235,'QA Log'!M:M,"QQC",'QA Log'!L:L,"*10. Antenatal Care (ANC)*"),
COUNTIFS('QA Log'!D:D,A235,'QA Log'!M:M,"QQC",'QA Log'!L:L,"*2. Hygiene and Sterilization*"),
COUNTIFS('QA Log'!D:D,A235,'QA Log'!M:M,"QQC",'QA Log'!L:L,"*4. Family Planning*")
))</f>
        <v/>
      </c>
      <c r="V235" s="102" t="str">
        <f>IF(A235="","",
SUM(
COUNTIFS('QA Log'!D:D,A235,'QA Log'!M:M,"QQC",'QA Log'!Z:Z,"Approved",'QA Log'!L:L,"*8. Maternity*"),
COUNTIFS('QA Log'!D:D,A235,'QA Log'!M:M,"QQC",'QA Log'!Z:Z,"Approved",'QA Log'!L:L,"*9. EPI and Pre-school Consultation*"),
COUNTIFS('QA Log'!D:D,A235,'QA Log'!M:M,"QQC",'QA Log'!Z:Z,"Approved",'QA Log'!L:L,"*10. Antenatal Care (ANC)*"),
COUNTIFS('QA Log'!D:D,A235,'QA Log'!M:M,"QQC",'QA Log'!Z:Z,"Approved",'QA Log'!L:L,"*2. Hygiene and Sterilization*"),
COUNTIFS('QA Log'!D:D,A235,'QA Log'!M:M,"QQC",'QA Log'!Z:Z,"Approved",'QA Log'!L:L,"*4. Family Planning*")
))</f>
        <v/>
      </c>
      <c r="W235" s="105" t="str">
        <f>IF(A235&lt;&gt;"",COUNTIFS('QA Log'!D:D,A235,'QA Log'!M:M,"QQC",'QA Log'!L:L,"8. Maternity",'QA Log'!Z:Z,"Approved"),"")</f>
        <v/>
      </c>
      <c r="X235" s="105" t="str">
        <f>IF(A235&lt;&gt;"",COUNTIFS('QA Log'!D:D,A235,'QA Log'!M:M,"QQC",'QA Log'!L:L,"9. EPI and Pre-school Consultation",'QA Log'!Z:Z,"Approved"),"")</f>
        <v/>
      </c>
      <c r="Y235" s="105" t="str">
        <f>IF(A235&lt;&gt;"",COUNTIFS('QA Log'!D:D,A235,'QA Log'!M:M,"QQC",'QA Log'!L:L,"10. Antenatal Care (ANC)",'QA Log'!Z:Z,"Approved"),"")</f>
        <v/>
      </c>
      <c r="Z235" s="105" t="str">
        <f>IF(A235&lt;&gt;"",COUNTIFS('QA Log'!D:D,A235,'QA Log'!M:M,"QQC",'QA Log'!L:L,"2. Hygiene and Sterilization",'QA Log'!Z:Z,"Approved"),"")</f>
        <v/>
      </c>
      <c r="AA235" s="105" t="str">
        <f>IF(A235&lt;&gt;"",COUNTIFS('QA Log'!D:D,A235,'QA Log'!M:M,"QQC",'QA Log'!L:L,"4. Family Planning",'QA Log'!Z:Z,"Approved"),"")</f>
        <v/>
      </c>
      <c r="AB235" s="102" t="str">
        <f>IF(A235="","",
SUM(
COUNTIFS('QA Log'!D:D,A235,'QA Log'!M:M,"QQC",'QA Log'!Z:Z,"Rejected",'QA Log'!L:L,"*8. Maternity*"),
COUNTIFS('QA Log'!D:D,A235,'QA Log'!M:M,"QQC",'QA Log'!Z:Z,"Rejected",'QA Log'!L:L,"*9. EPI and Pre-school Consultation*"),
COUNTIFS('QA Log'!D:D,A235,'QA Log'!M:M,"QQC",'QA Log'!Z:Z,"Rejected",'QA Log'!L:L,"*10. Antenatal Care (ANC)*"),
COUNTIFS('QA Log'!D:D,A235,'QA Log'!M:M,"QQC",'QA Log'!Z:Z,"Rejected",'QA Log'!L:L,"*2. Hygiene and Sterilization*"),
COUNTIFS('QA Log'!D:D,A235,'QA Log'!M:M,"QQC",'QA Log'!Z:Z,"Rejected",'QA Log'!L:L,"*4. Family Planning*")
))</f>
        <v/>
      </c>
      <c r="AC235" s="102" t="str">
        <f t="shared" si="3"/>
        <v/>
      </c>
      <c r="AD235" s="103" t="str">
        <f t="shared" si="4"/>
        <v/>
      </c>
      <c r="AE235" s="102" t="str">
        <f>IF(A235="","",
SUM(
COUNTIFS('QA Log'!D:D,A235,'QA Log'!M:M,"Data Verification",'QA Log'!L:L,"*Medicine (section 2)*"),
COUNTIFS('QA Log'!D:D,A235,'QA Log'!M:M,"Data Verification",'QA Log'!L:L,"*Lab Testing Availability*"),
COUNTIFS('QA Log'!D:D,A235,'QA Log'!M:M,"Data Verification",'QA Log'!L:L,"*Other than P4P (section 6)*"),
COUNTIFS('QA Log'!D:D,A235,'QA Log'!M:M,"Data Verification",'QA Log'!L:L,"*Hospital Governance*")
))</f>
        <v/>
      </c>
      <c r="AF235" s="102" t="str">
        <f>IF(A235="","",
SUM(
COUNTIFS('QA Log'!D:D,A235,'QA Log'!M:M,"Data Verification",'QA Log'!Z:Z,"Approved",'QA Log'!L:L,"*Medicine (section 2)*"),
COUNTIFS('QA Log'!D:D,A235,'QA Log'!M:M,"Data Verification",'QA Log'!Z:Z,"Approved",'QA Log'!L:L,"*Lab Testing Availability*"),
COUNTIFS('QA Log'!D:D,A235,'QA Log'!M:M,"Data Verification",'QA Log'!Z:Z,"Approved",'QA Log'!L:L,"*Other than P4P (section 6)*"),
COUNTIFS('QA Log'!D:D,A235,'QA Log'!M:M,"Data Verification",'QA Log'!Z:Z,"Approved",'QA Log'!L:L,"*Hospital Governance*")
))</f>
        <v/>
      </c>
      <c r="AG235" s="105" t="str">
        <f>IF(A235&lt;&gt;"",COUNTIFS('QA Log'!D:D,A235,'QA Log'!M:M,"Data Verification",'QA Log'!L:L,"Medicine (section 2)",'QA Log'!Z:Z,"Approved"),"")</f>
        <v/>
      </c>
      <c r="AH235" s="105" t="str">
        <f>IF(A235&lt;&gt;"",COUNTIFS('QA Log'!D:D,A235,'QA Log'!M:M,"Data Verification",'QA Log'!L:L,"Lab Testing Availability",'QA Log'!Z:Z,"Approved"),"")</f>
        <v/>
      </c>
      <c r="AI235" s="105" t="str">
        <f>IF(A235&lt;&gt;"",COUNTIFS('QA Log'!D:D,A235,'QA Log'!M:M,"Data Verification",'QA Log'!L:L,"Other than P4P (section 6)",'QA Log'!Z:Z,"Approved"),"")</f>
        <v/>
      </c>
      <c r="AJ235" s="105" t="str">
        <f>IF(A235&lt;&gt;"",COUNTIFS('QA Log'!D:D,A235,'QA Log'!M:M,"Data Verification",'QA Log'!L:L,"Hospital Governance",'QA Log'!Z:Z,"Approved"),"")</f>
        <v/>
      </c>
      <c r="AK235" s="102" t="str">
        <f>IF(A235="","",
SUM(
COUNTIFS('QA Log'!D:D,A235,'QA Log'!M:M,"Data Verification",'QA Log'!Z:Z,"Rejected",'QA Log'!L:L,"*Medicine (section 2)*"),
COUNTIFS('QA Log'!D:D,A235,'QA Log'!M:M,"Data Verification",'QA Log'!Z:Z,"Rejected",'QA Log'!L:L,"*Lab Testing Availability*"),
COUNTIFS('QA Log'!D:D,A235,'QA Log'!M:M,"Data Verification",'QA Log'!Z:Z,"Rejected",'QA Log'!L:L,"*Other than P4P (section 6)*"),
COUNTIFS('QA Log'!D:D,A235,'QA Log'!M:M,"Data Verification",'QA Log'!Z:Z,"Rejected",'QA Log'!L:L,"*Hospital Governance*")
))</f>
        <v/>
      </c>
      <c r="AL235" s="106" t="str">
        <f t="shared" si="5"/>
        <v/>
      </c>
      <c r="AM235" s="102" t="str">
        <f t="shared" si="6"/>
        <v/>
      </c>
      <c r="AN235" s="102" t="str">
        <f>IF(A235="","",
SUM(
COUNTIFS('QA Log'!D:D,A235,'QA Log'!M:M,"Data Verification",'QA Log'!L:L,"*Personnel (section 1)*"),
COUNTIFS('QA Log'!D:D,A235,'QA Log'!M:M,"Data Verification",'QA Log'!L:L,"*Consumable (section 3)*"),
COUNTIFS('QA Log'!D:D,A235,'QA Log'!M:M,"Data Verification",'QA Log'!L:L,"*Equipments (section 4)*")
))</f>
        <v/>
      </c>
      <c r="AO235" s="102" t="str">
        <f>IF(A235="","",
SUM(
COUNTIFS('QA Log'!D:D,A235,'QA Log'!M:M,"Data Verification",'QA Log'!Z:Z,"Approved",'QA Log'!L:L,"*Personnel (section 1)*"),
COUNTIFS('QA Log'!D:D,A235,'QA Log'!M:M,"Data Verification",'QA Log'!Z:Z,"Approved",'QA Log'!L:L,"*Consumable (section 3)*"),
COUNTIFS('QA Log'!D:D,A235,'QA Log'!M:M,"Data Verification",'QA Log'!Z:Z,"Approved",'QA Log'!L:L,"*Equipments (section 4)*")
))</f>
        <v/>
      </c>
      <c r="AP235" s="105" t="str">
        <f>IF(A235&lt;&gt;"",COUNTIFS('QA Log'!D:D,A235,'QA Log'!M:M,"Data Verification",'QA Log'!L:L,"Personnel (section 1)",'QA Log'!Z:Z,"Approved"),"")</f>
        <v/>
      </c>
      <c r="AQ235" s="105" t="str">
        <f>IF(A235&lt;&gt;"",COUNTIFS('QA Log'!D:D,A235,'QA Log'!M:M,"Data Verification",'QA Log'!L:L,"Consumable (section 3)",'QA Log'!Z:Z,"Approved"),"")</f>
        <v/>
      </c>
      <c r="AR235" s="105" t="str">
        <f>IF(A235&lt;&gt;"",COUNTIFS('QA Log'!D:D,A235,'QA Log'!M:M,"Data Verification",'QA Log'!L:L,"Equipments (section 4)",'QA Log'!Z:Z,"Approved"),"")</f>
        <v/>
      </c>
      <c r="AS235" s="102" t="str">
        <f>IF(A235="","",
SUM(
COUNTIFS('QA Log'!D:D,A235,'QA Log'!M:M,"Data Verification",'QA Log'!Z:Z,"Rejected",'QA Log'!L:L,"*Personnel (section 1)*"),
COUNTIFS('QA Log'!D:D,A235,'QA Log'!M:M,"Data Verification",'QA Log'!Z:Z,"Rejected",'QA Log'!L:L,"*Consumable (section 3)*"),
COUNTIFS('QA Log'!D:D,A235,'QA Log'!M:M,"Data Verification",'QA Log'!Z:Z,"Rejected",'QA Log'!L:L,"*Equipments (section 4)*")
))</f>
        <v/>
      </c>
      <c r="AT235" s="102" t="str">
        <f t="shared" si="7"/>
        <v/>
      </c>
      <c r="AU235" s="103" t="str">
        <f t="shared" si="8"/>
        <v/>
      </c>
      <c r="AV235" s="102" t="str">
        <f>IF(A235="","",SUM(
COUNTIFS('QA Log'!D:D,A235,'QA Log'!M:M,"Vignette",'QA Log'!L:L,"*Vignette [1] Respiratory Infection: Pneumonia*"),
COUNTIFS('QA Log'!D:D,A235,'QA Log'!M:M,"Vignette",'QA Log'!L:L,"*Vignette [2]: Diarrhea with Cat B dehydration*"),
COUNTIFS('QA Log'!D:D,A235,'QA Log'!M:M,"Vignette",'QA Log'!L:L,"*Vignette [3] Growth Monitoring and Promotion*"),
COUNTIFS('QA Log'!D:D,A235,'QA Log'!M:M,"Vignette",'QA Log'!L:L,"*Vignette [4]: The management of presumptive TB patient*")
)
)</f>
        <v/>
      </c>
      <c r="AW235" s="102" t="str">
        <f>IF(
  A235="","",
  SUM(
    COUNTIFS('QA Log'!D:D,A235,'QA Log'!M:M,"Vignette",'QA Log'!Z:Z,"Approved",'QA Log'!L:L,"*Vignette [1] Respiratory Infection: Pneumonia*"),
    COUNTIFS('QA Log'!D:D,A235,'QA Log'!M:M,"Vignette",'QA Log'!Z:Z,"Approved",'QA Log'!L:L,"*Vignette [2]: Diarrhea with Cat B dehydration*"),
    COUNTIFS('QA Log'!D:D,A235,'QA Log'!M:M,"Vignette",'QA Log'!Z:Z,"Approved",'QA Log'!L:L,"*Vignette [3] Growth Monitoring and Promotion*"),
    COUNTIFS('QA Log'!D:D,A235,'QA Log'!M:M,"Vignette",'QA Log'!Z:Z,"Approved",'QA Log'!L:L,"*Vignette [4]: The management of presumptive TB patient*")
  )
)</f>
        <v/>
      </c>
      <c r="AX235" s="105" t="str">
        <f>IF(A235&lt;&gt;"",COUNTIFS('QA Log'!D:D,A235,'QA Log'!M:M,"Vignette",'QA Log'!L:L,"Vignette [1] Respiratory Infection: Pneumonia",'QA Log'!Z:Z,"Approved"),"")</f>
        <v/>
      </c>
      <c r="AY235" s="105" t="str">
        <f>IF(A235&lt;&gt;"",COUNTIFS('QA Log'!D:D,A235,'QA Log'!M:M,"Vignette",'QA Log'!L:L,"Vignette [2]: Diarrhea with Cat B dehydration",'QA Log'!Z:Z,"Approved"),"")</f>
        <v/>
      </c>
      <c r="AZ235" s="105" t="str">
        <f>IF(A235&lt;&gt;"",COUNTIFS('QA Log'!D:D,A235,'QA Log'!M:M,"Vignette",'QA Log'!L:L,"Vignette [3] Growth Monitoring and Promotion",'QA Log'!Z:Z,"Approved"),"")</f>
        <v/>
      </c>
      <c r="BA235" s="105" t="str">
        <f>IF(A235&lt;&gt;"",COUNTIFS('QA Log'!D:D,A235,'QA Log'!M:M,"Vignette",'QA Log'!L:L,"Vignette [4]: The management of presumptive TB patient",'QA Log'!Z:Z,"Approved"),"")</f>
        <v/>
      </c>
      <c r="BB235" s="102" t="str">
        <f>IF(A235="","",
  SUM(
    COUNTIFS('QA Log'!D:D,A235,'QA Log'!M:M,"Vignette",'QA Log'!Z:Z,"Rejected",'QA Log'!L:L,"*Vignette [1] Respiratory Infection: Pneumonia*"),
    COUNTIFS('QA Log'!D:D,A235,'QA Log'!M:M,"Vignette",'QA Log'!Z:Z,"Rejected",'QA Log'!L:L,"*Vignette [2]: Diarrhea with Cat B dehydration*"),
    COUNTIFS('QA Log'!D:D,A235,'QA Log'!M:M,"Vignette",'QA Log'!Z:Z,"Rejected",'QA Log'!L:L,"*Vignette [3] Growth Monitoring and Promotion*"),
    COUNTIFS('QA Log'!D:D,A235,'QA Log'!M:M,"Vignette",'QA Log'!Z:Z,"Rejected",'QA Log'!L:L,"*Vignette [4]: The management of presumptive TB patient*")
  )
)</f>
        <v/>
      </c>
      <c r="BC235" s="107" t="str">
        <f t="shared" si="9"/>
        <v/>
      </c>
      <c r="BD235" s="103" t="str">
        <f t="shared" si="10"/>
        <v/>
      </c>
      <c r="BE235" s="102" t="str">
        <f>IF(A235="","",SUM(
COUNTIFS('QA Log'!D:D,A235,'QA Log'!M:M,"Vignette",'QA Log'!L:L,"*Vignette [5] Labor*"),
COUNTIFS('QA Log'!D:D,A235,'QA Log'!M:M,"Vignette",'QA Log'!L:L,"*Vignette [6] PNC pre Discharge*"),
COUNTIFS('QA Log'!D:D,A235,'QA Log'!M:M,"Vignette",'QA Log'!L:L,"*Vignette [7] First ANC Visit*"),
COUNTIFS('QA Log'!D:D,A235,'QA Log'!M:M,"Vignette",'QA Log'!L:L,"*Vignette [8] Birth Spacing/ Family Planning :  FP Counselling*"),
COUNTIFS('QA Log'!D:D,A235,'QA Log'!M:M,"Vignette",'QA Log'!L:L,"*Vignette [9] Birth Spacing: Change FP method to Injectable*"),
COUNTIFS('QA Log'!D:D,A235,'QA Log'!M:M,"Vignette",'QA Log'!L:L,"*Vignette [10] Post Partum Haemorrhage - Atonic Uterus at Health Centre*"),
)
)</f>
        <v/>
      </c>
      <c r="BF235" s="102" t="str">
        <f>IF(A235="","",
  SUM(
    COUNTIFS('QA Log'!D:D,A235,'QA Log'!M:M,"Vignette",'QA Log'!Z:Z,"Approved",'QA Log'!L:L,"*Vignette [5] Labor*"),
    COUNTIFS('QA Log'!D:D,A235,'QA Log'!M:M,"Vignette",'QA Log'!Z:Z,"Approved",'QA Log'!L:L,"*Vignette [6] PNC pre Discharge*"),
    COUNTIFS('QA Log'!D:D,A235,'QA Log'!M:M,"Vignette",'QA Log'!Z:Z,"Approved",'QA Log'!L:L,"*Vignette [7] First ANC Visit*"),
    COUNTIFS('QA Log'!D:D,A235,'QA Log'!M:M,"Vignette",'QA Log'!Z:Z,"Approved",'QA Log'!L:L,"*Vignette [8] Birth Spacing/ Family Planning :  FP Counselling*"),
    COUNTIFS('QA Log'!D:D,A235,'QA Log'!M:M,"Vignette",'QA Log'!Z:Z,"Approved",'QA Log'!L:L,"*Vignette [9] Birth Spacing: Change FP method to Injectable*"),
    COUNTIFS('QA Log'!D:D,A235,'QA Log'!M:M,"Vignette",'QA Log'!Z:Z,"Approved",'QA Log'!L:L,"*Vignette [10] Post Partum Haemorrhage - Atonic Uterus at Health Centre*")
  )
)</f>
        <v/>
      </c>
      <c r="BG235" s="105" t="str">
        <f>IF(A235&lt;&gt;"",COUNTIFS('QA Log'!D:D,A235,'QA Log'!M:M,"Vignette",'QA Log'!L:L,"Vignette [5] Labor",'QA Log'!Z:Z,"Approved"),"")</f>
        <v/>
      </c>
      <c r="BH235" s="105" t="str">
        <f>IF(A235&lt;&gt;"",COUNTIFS('QA Log'!D:D,A235,'QA Log'!M:M,"Vignette",'QA Log'!L:L,"Vignette [6] PNC pre Discharge",'QA Log'!Z:Z,"Approved"),"")</f>
        <v/>
      </c>
      <c r="BI235" s="105" t="str">
        <f>IF(A235&lt;&gt;"",COUNTIFS('QA Log'!D:D,A235,'QA Log'!M:M,"Vignette",'QA Log'!L:L,"Vignette [7] First ANC Visit",'QA Log'!Z:Z,"Approved"),"")</f>
        <v/>
      </c>
      <c r="BJ235" s="105" t="str">
        <f>IF(A235&lt;&gt;"",COUNTIFS('QA Log'!D:D,A235,'QA Log'!M:M,"Vignette",'QA Log'!L:L,"Vignette [8] Birth Spacing/ Family Planning :  FP Counselling",'QA Log'!Z:Z,"Approved"),"")</f>
        <v/>
      </c>
      <c r="BK235" s="105" t="str">
        <f>IF(A235&lt;&gt;"",COUNTIFS('QA Log'!D:D,A235,'QA Log'!M:M,"Vignette",'QA Log'!L:L,"Vignette [9] Birth Spacing: Change FP method to Injectable",'QA Log'!Z:Z,"Approved"),"")</f>
        <v/>
      </c>
      <c r="BL235" s="105" t="str">
        <f>IF(A235&lt;&gt;"",COUNTIFS('QA Log'!D:D,A235,'QA Log'!M:M,"Vignette",'QA Log'!L:L,"Vignette [10] Post Partum Haemorrhage - Atonic Uterus at Health Centre",'QA Log'!Z:Z,"Approved"),"")</f>
        <v/>
      </c>
      <c r="BM235" s="102" t="str">
        <f>IF(A235="","",SUM(
    COUNTIFS('QA Log'!D:D,A235,'QA Log'!M:M,"Vignette",'QA Log'!Z:Z,"Rejected",'QA Log'!L:L,"*Vignette [5] Labor*"),
    COUNTIFS('QA Log'!D:D,A235,'QA Log'!M:M,"Vignette",'QA Log'!Z:Z,"Rejected",'QA Log'!L:L,"*Vignette [6] PNC pre Discharge*"),
    COUNTIFS('QA Log'!D:D,A235,'QA Log'!M:M,"Vignette",'QA Log'!Z:Z,"Rejected",'QA Log'!L:L,"*Vignette [7] First ANC Visit*"),
    COUNTIFS('QA Log'!D:D,A235,'QA Log'!M:M,"Vignette",'QA Log'!Z:Z,"Rejected",'QA Log'!L:L,"*Vignette [8] Birth Spacing/ Family Planning :  FP Counselling*"),
    COUNTIFS('QA Log'!D:D,A235,'QA Log'!M:M,"Vignette",'QA Log'!Z:Z,"Rejected",'QA Log'!L:L,"*Vignette [9] Birth Spacing: Change FP method to Injectable*"),
    COUNTIFS('QA Log'!D:D,A235,'QA Log'!M:M,"Vignette",'QA Log'!Z:Z,"Rejected",'QA Log'!L:L,"*Vignette [10] Post Partum Haemorrhage - Atonic Uterus at Health Centre*")
  )
)</f>
        <v/>
      </c>
      <c r="BN235" s="107" t="str">
        <f t="shared" si="11"/>
        <v/>
      </c>
      <c r="BO235" s="103" t="str">
        <f t="shared" si="12"/>
        <v/>
      </c>
      <c r="BP235" s="102" t="str">
        <f>IF(A235="","",SUM(
COUNTIFS('QA Log'!D:D,A235,'QA Log'!M:M,"Vignette",'QA Log'!L:L,"*Exit Interview 1*"),
COUNTIFS('QA Log'!D:D,A235,'QA Log'!M:M,"Vignette",'QA Log'!L:L,"*Exit Interview 2*"),
)
)</f>
        <v/>
      </c>
      <c r="BQ235" s="102" t="str">
        <f>IF(
  A235="","",
  SUM(
    COUNTIFS('QA Log'!D:D,A235,'QA Log'!M:M,"Vignette",'QA Log'!Z:Z,"Approved",'QA Log'!L:L,"*Exit Interview 1*"),
    COUNTIFS('QA Log'!D:D,A235,'QA Log'!M:M,"Vignette",'QA Log'!Z:Z,"Approved",'QA Log'!L:L,"*Exit Interview 2*")
  )
)</f>
        <v/>
      </c>
      <c r="BR235" s="105" t="str">
        <f>IF(A235&lt;&gt;"",COUNTIFS('QA Log'!D:D,A235,'QA Log'!M:M,"Vignette",'QA Log'!L:L,"Exit Interview 1",'QA Log'!Z:Z,"Approved"),"")</f>
        <v/>
      </c>
      <c r="BS235" s="105" t="str">
        <f>IF(A235&lt;&gt;"",COUNTIFS('QA Log'!D:D,A235,'QA Log'!M:M,"Vignette",'QA Log'!L:L,"Exit Interview 2",'QA Log'!Z:Z,"Approved"),"")</f>
        <v/>
      </c>
      <c r="BT235" s="102" t="str">
        <f>IF(
  A235="","",
  SUM(
    COUNTIFS('QA Log'!D:D,A235,'QA Log'!M:M,"Vignette",'QA Log'!Z:Z,"Rejected",'QA Log'!L:L,"*Exit Interview 1*"),
    COUNTIFS('QA Log'!D:D,A235,'QA Log'!M:M,"Vignette",'QA Log'!Z:Z,"Rejected",'QA Log'!L:L,"*Exit Interview 2*")
  )
)</f>
        <v/>
      </c>
      <c r="BU235" s="107" t="str">
        <f t="shared" si="13"/>
        <v/>
      </c>
      <c r="BV235" s="102" t="str">
        <f t="shared" si="14"/>
        <v/>
      </c>
      <c r="BW235" s="102" t="str">
        <f t="shared" si="15"/>
        <v/>
      </c>
      <c r="BX235" s="102" t="str">
        <f t="shared" si="16"/>
        <v/>
      </c>
      <c r="BY235" s="102" t="str">
        <f t="shared" si="17"/>
        <v/>
      </c>
      <c r="BZ235" s="107" t="str">
        <f t="shared" si="18"/>
        <v/>
      </c>
      <c r="CA235" s="108" t="str">
        <f t="shared" si="19"/>
        <v/>
      </c>
      <c r="CB235" s="108" t="str">
        <f t="shared" si="20"/>
        <v/>
      </c>
      <c r="CC235" s="109" t="str">
        <f t="shared" si="21"/>
        <v/>
      </c>
      <c r="CD235" s="108" t="str">
        <f t="shared" si="22"/>
        <v/>
      </c>
      <c r="CE235" s="108" t="str">
        <f t="shared" si="23"/>
        <v/>
      </c>
      <c r="CF235" s="109" t="str">
        <f t="shared" si="24"/>
        <v/>
      </c>
      <c r="CG235" s="110" t="str">
        <f t="shared" si="25"/>
        <v/>
      </c>
      <c r="CH235" s="111"/>
    </row>
    <row r="236" spans="1:86" ht="12.75">
      <c r="A236" s="101"/>
      <c r="B236" s="102" t="e">
        <f t="array" aca="1" ref="B236" ca="1">_xludf.XLOOKUP(A236,'QA Log'!D:D,'QA Log'!E:E,"")</f>
        <v>#NAME?</v>
      </c>
      <c r="C236" s="102" t="e">
        <f t="array" aca="1" ref="C236" ca="1">_xludf.XLOOKUP(A236,'QA Log'!D:D,'QA Log'!F:F,"")</f>
        <v>#NAME?</v>
      </c>
      <c r="D236" s="102" t="e">
        <f t="array" aca="1" ref="D236" ca="1">_xludf.XLOOKUP(A236,'QA Log'!D:D,'QA Log'!H:H,"")</f>
        <v>#NAME?</v>
      </c>
      <c r="E236" s="102" t="e">
        <f t="array" aca="1" ref="E236" ca="1">_xludf.XLOOKUP(A236,'QA Log'!D:D,'QA Log'!G:G,"")</f>
        <v>#NAME?</v>
      </c>
      <c r="F236" s="103"/>
      <c r="G236" s="104"/>
      <c r="H236" s="104"/>
      <c r="I236" s="103" t="str">
        <f t="shared" si="0"/>
        <v/>
      </c>
      <c r="J236" s="102" t="str">
        <f>IF(A236="","",SUM(
COUNTIFS('QA Log'!D:D,A236,'QA Log'!M:M,"QQC",'QA Log'!L:L,"*1. General Management*"),
COUNTIFS('QA Log'!D:D,A236,'QA Log'!M:M,"QQC",'QA Log'!L:L,"*3. Curative Consultation (OPD)*"),
COUNTIFS('QA Log'!D:D,A236,'QA Log'!M:M,"QQC",'QA Log'!L:L,"*5. Laboratory*"),
COUNTIFS('QA Log'!D:D,A236,'QA Log'!M:M,"QQC",'QA Log'!L:L,"*6. Essential Medicine Management*"),
COUNTIFS('QA Log'!D:D,A236,'QA Log'!M:M,"QQC",'QA Log'!L:L,"*7. Tracer Medicine*"),
COUNTIFS('QA Log'!D:D,A236,'QA Log'!M:M,"QQC",'QA Log'!L:L,"*11. Additional Questions*")))</f>
        <v/>
      </c>
      <c r="K236" s="102" t="str">
        <f>IF(A236="","",SUM(
COUNTIFS('QA Log'!D:D,A236,'QA Log'!M:M,"QQC",'QA Log'!Z:Z,"Approved",'QA Log'!L:L,"*1. General Management*"),
COUNTIFS('QA Log'!D:D,A236,'QA Log'!M:M,"QQC",'QA Log'!Z:Z,"Approved",'QA Log'!L:L,"*3. Curative Consultation (OPD)*"),
COUNTIFS('QA Log'!D:D,A236,'QA Log'!M:M,"QQC",'QA Log'!Z:Z,"Approved",'QA Log'!L:L,"*5. Laboratory*"),
COUNTIFS('QA Log'!D:D,A236,'QA Log'!M:M,"QQC",'QA Log'!Z:Z,"Approved",'QA Log'!L:L,"*6. Essential Medicine Management*"),
COUNTIFS('QA Log'!D:D,A236,'QA Log'!M:M,"QQC",'QA Log'!Z:Z,"Approved",'QA Log'!L:L,"*7. Tracer Medicine*"),
COUNTIFS('QA Log'!D:D,A236,'QA Log'!M:M,"QQC",'QA Log'!Z:Z,"Approved",'QA Log'!L:L,"*11. Additional Questions*")))</f>
        <v/>
      </c>
      <c r="L236" s="105" t="str">
        <f>IF(A236&lt;&gt;"",COUNTIFS('QA Log'!D:D,A236,'QA Log'!M:M,"QQC",'QA Log'!L:L,"1. General Management",'QA Log'!Z:Z,"Approved"),"")</f>
        <v/>
      </c>
      <c r="M236" s="105" t="str">
        <f>IF(A236&lt;&gt;"",COUNTIFS('QA Log'!D:D,A236,'QA Log'!M:M,"QQC",'QA Log'!L:L,"3. Curative Consultation (OPD)",'QA Log'!Z:Z,"Approved"),"")</f>
        <v/>
      </c>
      <c r="N236" s="105" t="str">
        <f>IF(A236&lt;&gt;"",COUNTIFS('QA Log'!D:D,A236,'QA Log'!M:M,"QQC",'QA Log'!L:L,"5. Laboratory",'QA Log'!Z:Z,"Approved"),"")</f>
        <v/>
      </c>
      <c r="O236" s="105" t="str">
        <f>IF(A236&lt;&gt;"",COUNTIFS('QA Log'!D:D,A236,'QA Log'!M:M,"QQC",'QA Log'!L:L,"6. Essential Medicine Management",'QA Log'!Z:Z,"Approved"),"")</f>
        <v/>
      </c>
      <c r="P236" s="105" t="str">
        <f>IF(A236&lt;&gt;"",COUNTIFS('QA Log'!D:D,A236,'QA Log'!M:M,"QQC",'QA Log'!L:L,"7. Tracer Medicine",'QA Log'!Z:Z,"Approved"),"")</f>
        <v/>
      </c>
      <c r="Q236" s="105" t="str">
        <f>IF(A236&lt;&gt;"",COUNTIFS('QA Log'!D:D,A236,'QA Log'!M:M,"QQC",'QA Log'!L:L,"11. Additional Questions",'QA Log'!Z:Z,"Approved"),"")</f>
        <v/>
      </c>
      <c r="R236" s="102" t="str">
        <f>IF(A236="","",SUM(
COUNTIFS('QA Log'!D:D,A236,'QA Log'!M:M,"QQC",'QA Log'!Z:Z,"Rejected",'QA Log'!L:L,"*8. Maternity*"),
COUNTIFS('QA Log'!D:D,A236,'QA Log'!M:M,"QQC",'QA Log'!Z:Z,"Rejected",'QA Log'!L:L,"*EPI*"),
COUNTIFS('QA Log'!D:D,A236,'QA Log'!M:M,"QQC",'QA Log'!Z:Z,"Rejected",'QA Log'!L:L,"*10. Antenatal Care (ANC)*"),
COUNTIFS('QA Log'!D:D,A236,'QA Log'!M:M,"QQC",'QA Log'!Z:Z,"Rejected",'QA Log'!L:L,"*2. Hygiene and Sterilization*"),
COUNTIFS('QA Log'!D:D,A236,'QA Log'!M:M,"QQC",'QA Log'!Z:Z,"Rejected",'QA Log'!L:L,"*Family Planning*")))</f>
        <v/>
      </c>
      <c r="S236" s="106" t="str">
        <f t="shared" si="1"/>
        <v/>
      </c>
      <c r="T236" s="102" t="str">
        <f t="shared" si="2"/>
        <v/>
      </c>
      <c r="U236" s="102" t="str">
        <f>IF(A236="","",
SUM(
COUNTIFS('QA Log'!D:D,A236,'QA Log'!M:M,"QQC",'QA Log'!L:L,"*8. Maternity*"),
COUNTIFS('QA Log'!D:D,A236,'QA Log'!M:M,"QQC",'QA Log'!L:L,"*9. EPI and Pre-school Consultation*"),
COUNTIFS('QA Log'!D:D,A236,'QA Log'!M:M,"QQC",'QA Log'!L:L,"*10. Antenatal Care (ANC)*"),
COUNTIFS('QA Log'!D:D,A236,'QA Log'!M:M,"QQC",'QA Log'!L:L,"*2. Hygiene and Sterilization*"),
COUNTIFS('QA Log'!D:D,A236,'QA Log'!M:M,"QQC",'QA Log'!L:L,"*4. Family Planning*")
))</f>
        <v/>
      </c>
      <c r="V236" s="102" t="str">
        <f>IF(A236="","",
SUM(
COUNTIFS('QA Log'!D:D,A236,'QA Log'!M:M,"QQC",'QA Log'!Z:Z,"Approved",'QA Log'!L:L,"*8. Maternity*"),
COUNTIFS('QA Log'!D:D,A236,'QA Log'!M:M,"QQC",'QA Log'!Z:Z,"Approved",'QA Log'!L:L,"*9. EPI and Pre-school Consultation*"),
COUNTIFS('QA Log'!D:D,A236,'QA Log'!M:M,"QQC",'QA Log'!Z:Z,"Approved",'QA Log'!L:L,"*10. Antenatal Care (ANC)*"),
COUNTIFS('QA Log'!D:D,A236,'QA Log'!M:M,"QQC",'QA Log'!Z:Z,"Approved",'QA Log'!L:L,"*2. Hygiene and Sterilization*"),
COUNTIFS('QA Log'!D:D,A236,'QA Log'!M:M,"QQC",'QA Log'!Z:Z,"Approved",'QA Log'!L:L,"*4. Family Planning*")
))</f>
        <v/>
      </c>
      <c r="W236" s="105" t="str">
        <f>IF(A236&lt;&gt;"",COUNTIFS('QA Log'!D:D,A236,'QA Log'!M:M,"QQC",'QA Log'!L:L,"8. Maternity",'QA Log'!Z:Z,"Approved"),"")</f>
        <v/>
      </c>
      <c r="X236" s="105" t="str">
        <f>IF(A236&lt;&gt;"",COUNTIFS('QA Log'!D:D,A236,'QA Log'!M:M,"QQC",'QA Log'!L:L,"9. EPI and Pre-school Consultation",'QA Log'!Z:Z,"Approved"),"")</f>
        <v/>
      </c>
      <c r="Y236" s="105" t="str">
        <f>IF(A236&lt;&gt;"",COUNTIFS('QA Log'!D:D,A236,'QA Log'!M:M,"QQC",'QA Log'!L:L,"10. Antenatal Care (ANC)",'QA Log'!Z:Z,"Approved"),"")</f>
        <v/>
      </c>
      <c r="Z236" s="105" t="str">
        <f>IF(A236&lt;&gt;"",COUNTIFS('QA Log'!D:D,A236,'QA Log'!M:M,"QQC",'QA Log'!L:L,"2. Hygiene and Sterilization",'QA Log'!Z:Z,"Approved"),"")</f>
        <v/>
      </c>
      <c r="AA236" s="105" t="str">
        <f>IF(A236&lt;&gt;"",COUNTIFS('QA Log'!D:D,A236,'QA Log'!M:M,"QQC",'QA Log'!L:L,"4. Family Planning",'QA Log'!Z:Z,"Approved"),"")</f>
        <v/>
      </c>
      <c r="AB236" s="102" t="str">
        <f>IF(A236="","",
SUM(
COUNTIFS('QA Log'!D:D,A236,'QA Log'!M:M,"QQC",'QA Log'!Z:Z,"Rejected",'QA Log'!L:L,"*8. Maternity*"),
COUNTIFS('QA Log'!D:D,A236,'QA Log'!M:M,"QQC",'QA Log'!Z:Z,"Rejected",'QA Log'!L:L,"*9. EPI and Pre-school Consultation*"),
COUNTIFS('QA Log'!D:D,A236,'QA Log'!M:M,"QQC",'QA Log'!Z:Z,"Rejected",'QA Log'!L:L,"*10. Antenatal Care (ANC)*"),
COUNTIFS('QA Log'!D:D,A236,'QA Log'!M:M,"QQC",'QA Log'!Z:Z,"Rejected",'QA Log'!L:L,"*2. Hygiene and Sterilization*"),
COUNTIFS('QA Log'!D:D,A236,'QA Log'!M:M,"QQC",'QA Log'!Z:Z,"Rejected",'QA Log'!L:L,"*4. Family Planning*")
))</f>
        <v/>
      </c>
      <c r="AC236" s="102" t="str">
        <f t="shared" si="3"/>
        <v/>
      </c>
      <c r="AD236" s="103" t="str">
        <f t="shared" si="4"/>
        <v/>
      </c>
      <c r="AE236" s="102" t="str">
        <f>IF(A236="","",
SUM(
COUNTIFS('QA Log'!D:D,A236,'QA Log'!M:M,"Data Verification",'QA Log'!L:L,"*Medicine (section 2)*"),
COUNTIFS('QA Log'!D:D,A236,'QA Log'!M:M,"Data Verification",'QA Log'!L:L,"*Lab Testing Availability*"),
COUNTIFS('QA Log'!D:D,A236,'QA Log'!M:M,"Data Verification",'QA Log'!L:L,"*Other than P4P (section 6)*"),
COUNTIFS('QA Log'!D:D,A236,'QA Log'!M:M,"Data Verification",'QA Log'!L:L,"*Hospital Governance*")
))</f>
        <v/>
      </c>
      <c r="AF236" s="102" t="str">
        <f>IF(A236="","",
SUM(
COUNTIFS('QA Log'!D:D,A236,'QA Log'!M:M,"Data Verification",'QA Log'!Z:Z,"Approved",'QA Log'!L:L,"*Medicine (section 2)*"),
COUNTIFS('QA Log'!D:D,A236,'QA Log'!M:M,"Data Verification",'QA Log'!Z:Z,"Approved",'QA Log'!L:L,"*Lab Testing Availability*"),
COUNTIFS('QA Log'!D:D,A236,'QA Log'!M:M,"Data Verification",'QA Log'!Z:Z,"Approved",'QA Log'!L:L,"*Other than P4P (section 6)*"),
COUNTIFS('QA Log'!D:D,A236,'QA Log'!M:M,"Data Verification",'QA Log'!Z:Z,"Approved",'QA Log'!L:L,"*Hospital Governance*")
))</f>
        <v/>
      </c>
      <c r="AG236" s="105" t="str">
        <f>IF(A236&lt;&gt;"",COUNTIFS('QA Log'!D:D,A236,'QA Log'!M:M,"Data Verification",'QA Log'!L:L,"Medicine (section 2)",'QA Log'!Z:Z,"Approved"),"")</f>
        <v/>
      </c>
      <c r="AH236" s="105" t="str">
        <f>IF(A236&lt;&gt;"",COUNTIFS('QA Log'!D:D,A236,'QA Log'!M:M,"Data Verification",'QA Log'!L:L,"Lab Testing Availability",'QA Log'!Z:Z,"Approved"),"")</f>
        <v/>
      </c>
      <c r="AI236" s="105" t="str">
        <f>IF(A236&lt;&gt;"",COUNTIFS('QA Log'!D:D,A236,'QA Log'!M:M,"Data Verification",'QA Log'!L:L,"Other than P4P (section 6)",'QA Log'!Z:Z,"Approved"),"")</f>
        <v/>
      </c>
      <c r="AJ236" s="105" t="str">
        <f>IF(A236&lt;&gt;"",COUNTIFS('QA Log'!D:D,A236,'QA Log'!M:M,"Data Verification",'QA Log'!L:L,"Hospital Governance",'QA Log'!Z:Z,"Approved"),"")</f>
        <v/>
      </c>
      <c r="AK236" s="102" t="str">
        <f>IF(A236="","",
SUM(
COUNTIFS('QA Log'!D:D,A236,'QA Log'!M:M,"Data Verification",'QA Log'!Z:Z,"Rejected",'QA Log'!L:L,"*Medicine (section 2)*"),
COUNTIFS('QA Log'!D:D,A236,'QA Log'!M:M,"Data Verification",'QA Log'!Z:Z,"Rejected",'QA Log'!L:L,"*Lab Testing Availability*"),
COUNTIFS('QA Log'!D:D,A236,'QA Log'!M:M,"Data Verification",'QA Log'!Z:Z,"Rejected",'QA Log'!L:L,"*Other than P4P (section 6)*"),
COUNTIFS('QA Log'!D:D,A236,'QA Log'!M:M,"Data Verification",'QA Log'!Z:Z,"Rejected",'QA Log'!L:L,"*Hospital Governance*")
))</f>
        <v/>
      </c>
      <c r="AL236" s="106" t="str">
        <f t="shared" si="5"/>
        <v/>
      </c>
      <c r="AM236" s="102" t="str">
        <f t="shared" si="6"/>
        <v/>
      </c>
      <c r="AN236" s="102" t="str">
        <f>IF(A236="","",
SUM(
COUNTIFS('QA Log'!D:D,A236,'QA Log'!M:M,"Data Verification",'QA Log'!L:L,"*Personnel (section 1)*"),
COUNTIFS('QA Log'!D:D,A236,'QA Log'!M:M,"Data Verification",'QA Log'!L:L,"*Consumable (section 3)*"),
COUNTIFS('QA Log'!D:D,A236,'QA Log'!M:M,"Data Verification",'QA Log'!L:L,"*Equipments (section 4)*")
))</f>
        <v/>
      </c>
      <c r="AO236" s="102" t="str">
        <f>IF(A236="","",
SUM(
COUNTIFS('QA Log'!D:D,A236,'QA Log'!M:M,"Data Verification",'QA Log'!Z:Z,"Approved",'QA Log'!L:L,"*Personnel (section 1)*"),
COUNTIFS('QA Log'!D:D,A236,'QA Log'!M:M,"Data Verification",'QA Log'!Z:Z,"Approved",'QA Log'!L:L,"*Consumable (section 3)*"),
COUNTIFS('QA Log'!D:D,A236,'QA Log'!M:M,"Data Verification",'QA Log'!Z:Z,"Approved",'QA Log'!L:L,"*Equipments (section 4)*")
))</f>
        <v/>
      </c>
      <c r="AP236" s="105" t="str">
        <f>IF(A236&lt;&gt;"",COUNTIFS('QA Log'!D:D,A236,'QA Log'!M:M,"Data Verification",'QA Log'!L:L,"Personnel (section 1)",'QA Log'!Z:Z,"Approved"),"")</f>
        <v/>
      </c>
      <c r="AQ236" s="105" t="str">
        <f>IF(A236&lt;&gt;"",COUNTIFS('QA Log'!D:D,A236,'QA Log'!M:M,"Data Verification",'QA Log'!L:L,"Consumable (section 3)",'QA Log'!Z:Z,"Approved"),"")</f>
        <v/>
      </c>
      <c r="AR236" s="105" t="str">
        <f>IF(A236&lt;&gt;"",COUNTIFS('QA Log'!D:D,A236,'QA Log'!M:M,"Data Verification",'QA Log'!L:L,"Equipments (section 4)",'QA Log'!Z:Z,"Approved"),"")</f>
        <v/>
      </c>
      <c r="AS236" s="102" t="str">
        <f>IF(A236="","",
SUM(
COUNTIFS('QA Log'!D:D,A236,'QA Log'!M:M,"Data Verification",'QA Log'!Z:Z,"Rejected",'QA Log'!L:L,"*Personnel (section 1)*"),
COUNTIFS('QA Log'!D:D,A236,'QA Log'!M:M,"Data Verification",'QA Log'!Z:Z,"Rejected",'QA Log'!L:L,"*Consumable (section 3)*"),
COUNTIFS('QA Log'!D:D,A236,'QA Log'!M:M,"Data Verification",'QA Log'!Z:Z,"Rejected",'QA Log'!L:L,"*Equipments (section 4)*")
))</f>
        <v/>
      </c>
      <c r="AT236" s="102" t="str">
        <f t="shared" si="7"/>
        <v/>
      </c>
      <c r="AU236" s="103" t="str">
        <f t="shared" si="8"/>
        <v/>
      </c>
      <c r="AV236" s="102" t="str">
        <f>IF(A236="","",SUM(
COUNTIFS('QA Log'!D:D,A236,'QA Log'!M:M,"Vignette",'QA Log'!L:L,"*Vignette [1] Respiratory Infection: Pneumonia*"),
COUNTIFS('QA Log'!D:D,A236,'QA Log'!M:M,"Vignette",'QA Log'!L:L,"*Vignette [2]: Diarrhea with Cat B dehydration*"),
COUNTIFS('QA Log'!D:D,A236,'QA Log'!M:M,"Vignette",'QA Log'!L:L,"*Vignette [3] Growth Monitoring and Promotion*"),
COUNTIFS('QA Log'!D:D,A236,'QA Log'!M:M,"Vignette",'QA Log'!L:L,"*Vignette [4]: The management of presumptive TB patient*")
)
)</f>
        <v/>
      </c>
      <c r="AW236" s="102" t="str">
        <f>IF(
  A236="","",
  SUM(
    COUNTIFS('QA Log'!D:D,A236,'QA Log'!M:M,"Vignette",'QA Log'!Z:Z,"Approved",'QA Log'!L:L,"*Vignette [1] Respiratory Infection: Pneumonia*"),
    COUNTIFS('QA Log'!D:D,A236,'QA Log'!M:M,"Vignette",'QA Log'!Z:Z,"Approved",'QA Log'!L:L,"*Vignette [2]: Diarrhea with Cat B dehydration*"),
    COUNTIFS('QA Log'!D:D,A236,'QA Log'!M:M,"Vignette",'QA Log'!Z:Z,"Approved",'QA Log'!L:L,"*Vignette [3] Growth Monitoring and Promotion*"),
    COUNTIFS('QA Log'!D:D,A236,'QA Log'!M:M,"Vignette",'QA Log'!Z:Z,"Approved",'QA Log'!L:L,"*Vignette [4]: The management of presumptive TB patient*")
  )
)</f>
        <v/>
      </c>
      <c r="AX236" s="105" t="str">
        <f>IF(A236&lt;&gt;"",COUNTIFS('QA Log'!D:D,A236,'QA Log'!M:M,"Vignette",'QA Log'!L:L,"Vignette [1] Respiratory Infection: Pneumonia",'QA Log'!Z:Z,"Approved"),"")</f>
        <v/>
      </c>
      <c r="AY236" s="105" t="str">
        <f>IF(A236&lt;&gt;"",COUNTIFS('QA Log'!D:D,A236,'QA Log'!M:M,"Vignette",'QA Log'!L:L,"Vignette [2]: Diarrhea with Cat B dehydration",'QA Log'!Z:Z,"Approved"),"")</f>
        <v/>
      </c>
      <c r="AZ236" s="105" t="str">
        <f>IF(A236&lt;&gt;"",COUNTIFS('QA Log'!D:D,A236,'QA Log'!M:M,"Vignette",'QA Log'!L:L,"Vignette [3] Growth Monitoring and Promotion",'QA Log'!Z:Z,"Approved"),"")</f>
        <v/>
      </c>
      <c r="BA236" s="105" t="str">
        <f>IF(A236&lt;&gt;"",COUNTIFS('QA Log'!D:D,A236,'QA Log'!M:M,"Vignette",'QA Log'!L:L,"Vignette [4]: The management of presumptive TB patient",'QA Log'!Z:Z,"Approved"),"")</f>
        <v/>
      </c>
      <c r="BB236" s="102" t="str">
        <f>IF(A236="","",
  SUM(
    COUNTIFS('QA Log'!D:D,A236,'QA Log'!M:M,"Vignette",'QA Log'!Z:Z,"Rejected",'QA Log'!L:L,"*Vignette [1] Respiratory Infection: Pneumonia*"),
    COUNTIFS('QA Log'!D:D,A236,'QA Log'!M:M,"Vignette",'QA Log'!Z:Z,"Rejected",'QA Log'!L:L,"*Vignette [2]: Diarrhea with Cat B dehydration*"),
    COUNTIFS('QA Log'!D:D,A236,'QA Log'!M:M,"Vignette",'QA Log'!Z:Z,"Rejected",'QA Log'!L:L,"*Vignette [3] Growth Monitoring and Promotion*"),
    COUNTIFS('QA Log'!D:D,A236,'QA Log'!M:M,"Vignette",'QA Log'!Z:Z,"Rejected",'QA Log'!L:L,"*Vignette [4]: The management of presumptive TB patient*")
  )
)</f>
        <v/>
      </c>
      <c r="BC236" s="107" t="str">
        <f t="shared" si="9"/>
        <v/>
      </c>
      <c r="BD236" s="103" t="str">
        <f t="shared" si="10"/>
        <v/>
      </c>
      <c r="BE236" s="102" t="str">
        <f>IF(A236="","",SUM(
COUNTIFS('QA Log'!D:D,A236,'QA Log'!M:M,"Vignette",'QA Log'!L:L,"*Vignette [5] Labor*"),
COUNTIFS('QA Log'!D:D,A236,'QA Log'!M:M,"Vignette",'QA Log'!L:L,"*Vignette [6] PNC pre Discharge*"),
COUNTIFS('QA Log'!D:D,A236,'QA Log'!M:M,"Vignette",'QA Log'!L:L,"*Vignette [7] First ANC Visit*"),
COUNTIFS('QA Log'!D:D,A236,'QA Log'!M:M,"Vignette",'QA Log'!L:L,"*Vignette [8] Birth Spacing/ Family Planning :  FP Counselling*"),
COUNTIFS('QA Log'!D:D,A236,'QA Log'!M:M,"Vignette",'QA Log'!L:L,"*Vignette [9] Birth Spacing: Change FP method to Injectable*"),
COUNTIFS('QA Log'!D:D,A236,'QA Log'!M:M,"Vignette",'QA Log'!L:L,"*Vignette [10] Post Partum Haemorrhage - Atonic Uterus at Health Centre*"),
)
)</f>
        <v/>
      </c>
      <c r="BF236" s="102" t="str">
        <f>IF(A236="","",
  SUM(
    COUNTIFS('QA Log'!D:D,A236,'QA Log'!M:M,"Vignette",'QA Log'!Z:Z,"Approved",'QA Log'!L:L,"*Vignette [5] Labor*"),
    COUNTIFS('QA Log'!D:D,A236,'QA Log'!M:M,"Vignette",'QA Log'!Z:Z,"Approved",'QA Log'!L:L,"*Vignette [6] PNC pre Discharge*"),
    COUNTIFS('QA Log'!D:D,A236,'QA Log'!M:M,"Vignette",'QA Log'!Z:Z,"Approved",'QA Log'!L:L,"*Vignette [7] First ANC Visit*"),
    COUNTIFS('QA Log'!D:D,A236,'QA Log'!M:M,"Vignette",'QA Log'!Z:Z,"Approved",'QA Log'!L:L,"*Vignette [8] Birth Spacing/ Family Planning :  FP Counselling*"),
    COUNTIFS('QA Log'!D:D,A236,'QA Log'!M:M,"Vignette",'QA Log'!Z:Z,"Approved",'QA Log'!L:L,"*Vignette [9] Birth Spacing: Change FP method to Injectable*"),
    COUNTIFS('QA Log'!D:D,A236,'QA Log'!M:M,"Vignette",'QA Log'!Z:Z,"Approved",'QA Log'!L:L,"*Vignette [10] Post Partum Haemorrhage - Atonic Uterus at Health Centre*")
  )
)</f>
        <v/>
      </c>
      <c r="BG236" s="105" t="str">
        <f>IF(A236&lt;&gt;"",COUNTIFS('QA Log'!D:D,A236,'QA Log'!M:M,"Vignette",'QA Log'!L:L,"Vignette [5] Labor",'QA Log'!Z:Z,"Approved"),"")</f>
        <v/>
      </c>
      <c r="BH236" s="105" t="str">
        <f>IF(A236&lt;&gt;"",COUNTIFS('QA Log'!D:D,A236,'QA Log'!M:M,"Vignette",'QA Log'!L:L,"Vignette [6] PNC pre Discharge",'QA Log'!Z:Z,"Approved"),"")</f>
        <v/>
      </c>
      <c r="BI236" s="105" t="str">
        <f>IF(A236&lt;&gt;"",COUNTIFS('QA Log'!D:D,A236,'QA Log'!M:M,"Vignette",'QA Log'!L:L,"Vignette [7] First ANC Visit",'QA Log'!Z:Z,"Approved"),"")</f>
        <v/>
      </c>
      <c r="BJ236" s="105" t="str">
        <f>IF(A236&lt;&gt;"",COUNTIFS('QA Log'!D:D,A236,'QA Log'!M:M,"Vignette",'QA Log'!L:L,"Vignette [8] Birth Spacing/ Family Planning :  FP Counselling",'QA Log'!Z:Z,"Approved"),"")</f>
        <v/>
      </c>
      <c r="BK236" s="105" t="str">
        <f>IF(A236&lt;&gt;"",COUNTIFS('QA Log'!D:D,A236,'QA Log'!M:M,"Vignette",'QA Log'!L:L,"Vignette [9] Birth Spacing: Change FP method to Injectable",'QA Log'!Z:Z,"Approved"),"")</f>
        <v/>
      </c>
      <c r="BL236" s="105" t="str">
        <f>IF(A236&lt;&gt;"",COUNTIFS('QA Log'!D:D,A236,'QA Log'!M:M,"Vignette",'QA Log'!L:L,"Vignette [10] Post Partum Haemorrhage - Atonic Uterus at Health Centre",'QA Log'!Z:Z,"Approved"),"")</f>
        <v/>
      </c>
      <c r="BM236" s="102" t="str">
        <f>IF(A236="","",SUM(
    COUNTIFS('QA Log'!D:D,A236,'QA Log'!M:M,"Vignette",'QA Log'!Z:Z,"Rejected",'QA Log'!L:L,"*Vignette [5] Labor*"),
    COUNTIFS('QA Log'!D:D,A236,'QA Log'!M:M,"Vignette",'QA Log'!Z:Z,"Rejected",'QA Log'!L:L,"*Vignette [6] PNC pre Discharge*"),
    COUNTIFS('QA Log'!D:D,A236,'QA Log'!M:M,"Vignette",'QA Log'!Z:Z,"Rejected",'QA Log'!L:L,"*Vignette [7] First ANC Visit*"),
    COUNTIFS('QA Log'!D:D,A236,'QA Log'!M:M,"Vignette",'QA Log'!Z:Z,"Rejected",'QA Log'!L:L,"*Vignette [8] Birth Spacing/ Family Planning :  FP Counselling*"),
    COUNTIFS('QA Log'!D:D,A236,'QA Log'!M:M,"Vignette",'QA Log'!Z:Z,"Rejected",'QA Log'!L:L,"*Vignette [9] Birth Spacing: Change FP method to Injectable*"),
    COUNTIFS('QA Log'!D:D,A236,'QA Log'!M:M,"Vignette",'QA Log'!Z:Z,"Rejected",'QA Log'!L:L,"*Vignette [10] Post Partum Haemorrhage - Atonic Uterus at Health Centre*")
  )
)</f>
        <v/>
      </c>
      <c r="BN236" s="107" t="str">
        <f t="shared" si="11"/>
        <v/>
      </c>
      <c r="BO236" s="103" t="str">
        <f t="shared" si="12"/>
        <v/>
      </c>
      <c r="BP236" s="102" t="str">
        <f>IF(A236="","",SUM(
COUNTIFS('QA Log'!D:D,A236,'QA Log'!M:M,"Vignette",'QA Log'!L:L,"*Exit Interview 1*"),
COUNTIFS('QA Log'!D:D,A236,'QA Log'!M:M,"Vignette",'QA Log'!L:L,"*Exit Interview 2*"),
)
)</f>
        <v/>
      </c>
      <c r="BQ236" s="102" t="str">
        <f>IF(
  A236="","",
  SUM(
    COUNTIFS('QA Log'!D:D,A236,'QA Log'!M:M,"Vignette",'QA Log'!Z:Z,"Approved",'QA Log'!L:L,"*Exit Interview 1*"),
    COUNTIFS('QA Log'!D:D,A236,'QA Log'!M:M,"Vignette",'QA Log'!Z:Z,"Approved",'QA Log'!L:L,"*Exit Interview 2*")
  )
)</f>
        <v/>
      </c>
      <c r="BR236" s="105" t="str">
        <f>IF(A236&lt;&gt;"",COUNTIFS('QA Log'!D:D,A236,'QA Log'!M:M,"Vignette",'QA Log'!L:L,"Exit Interview 1",'QA Log'!Z:Z,"Approved"),"")</f>
        <v/>
      </c>
      <c r="BS236" s="105" t="str">
        <f>IF(A236&lt;&gt;"",COUNTIFS('QA Log'!D:D,A236,'QA Log'!M:M,"Vignette",'QA Log'!L:L,"Exit Interview 2",'QA Log'!Z:Z,"Approved"),"")</f>
        <v/>
      </c>
      <c r="BT236" s="102" t="str">
        <f>IF(
  A236="","",
  SUM(
    COUNTIFS('QA Log'!D:D,A236,'QA Log'!M:M,"Vignette",'QA Log'!Z:Z,"Rejected",'QA Log'!L:L,"*Exit Interview 1*"),
    COUNTIFS('QA Log'!D:D,A236,'QA Log'!M:M,"Vignette",'QA Log'!Z:Z,"Rejected",'QA Log'!L:L,"*Exit Interview 2*")
  )
)</f>
        <v/>
      </c>
      <c r="BU236" s="107" t="str">
        <f t="shared" si="13"/>
        <v/>
      </c>
      <c r="BV236" s="102" t="str">
        <f t="shared" si="14"/>
        <v/>
      </c>
      <c r="BW236" s="102" t="str">
        <f t="shared" si="15"/>
        <v/>
      </c>
      <c r="BX236" s="102" t="str">
        <f t="shared" si="16"/>
        <v/>
      </c>
      <c r="BY236" s="102" t="str">
        <f t="shared" si="17"/>
        <v/>
      </c>
      <c r="BZ236" s="107" t="str">
        <f t="shared" si="18"/>
        <v/>
      </c>
      <c r="CA236" s="108" t="str">
        <f t="shared" si="19"/>
        <v/>
      </c>
      <c r="CB236" s="108" t="str">
        <f t="shared" si="20"/>
        <v/>
      </c>
      <c r="CC236" s="109" t="str">
        <f t="shared" si="21"/>
        <v/>
      </c>
      <c r="CD236" s="108" t="str">
        <f t="shared" si="22"/>
        <v/>
      </c>
      <c r="CE236" s="108" t="str">
        <f t="shared" si="23"/>
        <v/>
      </c>
      <c r="CF236" s="109" t="str">
        <f t="shared" si="24"/>
        <v/>
      </c>
      <c r="CG236" s="110" t="str">
        <f t="shared" si="25"/>
        <v/>
      </c>
      <c r="CH236" s="111"/>
    </row>
    <row r="237" spans="1:86" ht="12.75">
      <c r="A237" s="101"/>
      <c r="B237" s="102" t="e">
        <f t="array" aca="1" ref="B237" ca="1">_xludf.XLOOKUP(A237,'QA Log'!D:D,'QA Log'!E:E,"")</f>
        <v>#NAME?</v>
      </c>
      <c r="C237" s="102" t="e">
        <f t="array" aca="1" ref="C237" ca="1">_xludf.XLOOKUP(A237,'QA Log'!D:D,'QA Log'!F:F,"")</f>
        <v>#NAME?</v>
      </c>
      <c r="D237" s="102" t="e">
        <f t="array" aca="1" ref="D237" ca="1">_xludf.XLOOKUP(A237,'QA Log'!D:D,'QA Log'!H:H,"")</f>
        <v>#NAME?</v>
      </c>
      <c r="E237" s="102" t="e">
        <f t="array" aca="1" ref="E237" ca="1">_xludf.XLOOKUP(A237,'QA Log'!D:D,'QA Log'!G:G,"")</f>
        <v>#NAME?</v>
      </c>
      <c r="F237" s="103"/>
      <c r="G237" s="104"/>
      <c r="H237" s="104"/>
      <c r="I237" s="103" t="str">
        <f t="shared" si="0"/>
        <v/>
      </c>
      <c r="J237" s="102" t="str">
        <f>IF(A237="","",SUM(
COUNTIFS('QA Log'!D:D,A237,'QA Log'!M:M,"QQC",'QA Log'!L:L,"*1. General Management*"),
COUNTIFS('QA Log'!D:D,A237,'QA Log'!M:M,"QQC",'QA Log'!L:L,"*3. Curative Consultation (OPD)*"),
COUNTIFS('QA Log'!D:D,A237,'QA Log'!M:M,"QQC",'QA Log'!L:L,"*5. Laboratory*"),
COUNTIFS('QA Log'!D:D,A237,'QA Log'!M:M,"QQC",'QA Log'!L:L,"*6. Essential Medicine Management*"),
COUNTIFS('QA Log'!D:D,A237,'QA Log'!M:M,"QQC",'QA Log'!L:L,"*7. Tracer Medicine*"),
COUNTIFS('QA Log'!D:D,A237,'QA Log'!M:M,"QQC",'QA Log'!L:L,"*11. Additional Questions*")))</f>
        <v/>
      </c>
      <c r="K237" s="102" t="str">
        <f>IF(A237="","",SUM(
COUNTIFS('QA Log'!D:D,A237,'QA Log'!M:M,"QQC",'QA Log'!Z:Z,"Approved",'QA Log'!L:L,"*1. General Management*"),
COUNTIFS('QA Log'!D:D,A237,'QA Log'!M:M,"QQC",'QA Log'!Z:Z,"Approved",'QA Log'!L:L,"*3. Curative Consultation (OPD)*"),
COUNTIFS('QA Log'!D:D,A237,'QA Log'!M:M,"QQC",'QA Log'!Z:Z,"Approved",'QA Log'!L:L,"*5. Laboratory*"),
COUNTIFS('QA Log'!D:D,A237,'QA Log'!M:M,"QQC",'QA Log'!Z:Z,"Approved",'QA Log'!L:L,"*6. Essential Medicine Management*"),
COUNTIFS('QA Log'!D:D,A237,'QA Log'!M:M,"QQC",'QA Log'!Z:Z,"Approved",'QA Log'!L:L,"*7. Tracer Medicine*"),
COUNTIFS('QA Log'!D:D,A237,'QA Log'!M:M,"QQC",'QA Log'!Z:Z,"Approved",'QA Log'!L:L,"*11. Additional Questions*")))</f>
        <v/>
      </c>
      <c r="L237" s="105" t="str">
        <f>IF(A237&lt;&gt;"",COUNTIFS('QA Log'!D:D,A237,'QA Log'!M:M,"QQC",'QA Log'!L:L,"1. General Management",'QA Log'!Z:Z,"Approved"),"")</f>
        <v/>
      </c>
      <c r="M237" s="105" t="str">
        <f>IF(A237&lt;&gt;"",COUNTIFS('QA Log'!D:D,A237,'QA Log'!M:M,"QQC",'QA Log'!L:L,"3. Curative Consultation (OPD)",'QA Log'!Z:Z,"Approved"),"")</f>
        <v/>
      </c>
      <c r="N237" s="105" t="str">
        <f>IF(A237&lt;&gt;"",COUNTIFS('QA Log'!D:D,A237,'QA Log'!M:M,"QQC",'QA Log'!L:L,"5. Laboratory",'QA Log'!Z:Z,"Approved"),"")</f>
        <v/>
      </c>
      <c r="O237" s="105" t="str">
        <f>IF(A237&lt;&gt;"",COUNTIFS('QA Log'!D:D,A237,'QA Log'!M:M,"QQC",'QA Log'!L:L,"6. Essential Medicine Management",'QA Log'!Z:Z,"Approved"),"")</f>
        <v/>
      </c>
      <c r="P237" s="105" t="str">
        <f>IF(A237&lt;&gt;"",COUNTIFS('QA Log'!D:D,A237,'QA Log'!M:M,"QQC",'QA Log'!L:L,"7. Tracer Medicine",'QA Log'!Z:Z,"Approved"),"")</f>
        <v/>
      </c>
      <c r="Q237" s="105" t="str">
        <f>IF(A237&lt;&gt;"",COUNTIFS('QA Log'!D:D,A237,'QA Log'!M:M,"QQC",'QA Log'!L:L,"11. Additional Questions",'QA Log'!Z:Z,"Approved"),"")</f>
        <v/>
      </c>
      <c r="R237" s="102" t="str">
        <f>IF(A237="","",SUM(
COUNTIFS('QA Log'!D:D,A237,'QA Log'!M:M,"QQC",'QA Log'!Z:Z,"Rejected",'QA Log'!L:L,"*8. Maternity*"),
COUNTIFS('QA Log'!D:D,A237,'QA Log'!M:M,"QQC",'QA Log'!Z:Z,"Rejected",'QA Log'!L:L,"*EPI*"),
COUNTIFS('QA Log'!D:D,A237,'QA Log'!M:M,"QQC",'QA Log'!Z:Z,"Rejected",'QA Log'!L:L,"*10. Antenatal Care (ANC)*"),
COUNTIFS('QA Log'!D:D,A237,'QA Log'!M:M,"QQC",'QA Log'!Z:Z,"Rejected",'QA Log'!L:L,"*2. Hygiene and Sterilization*"),
COUNTIFS('QA Log'!D:D,A237,'QA Log'!M:M,"QQC",'QA Log'!Z:Z,"Rejected",'QA Log'!L:L,"*Family Planning*")))</f>
        <v/>
      </c>
      <c r="S237" s="106" t="str">
        <f t="shared" si="1"/>
        <v/>
      </c>
      <c r="T237" s="102" t="str">
        <f t="shared" si="2"/>
        <v/>
      </c>
      <c r="U237" s="102" t="str">
        <f>IF(A237="","",
SUM(
COUNTIFS('QA Log'!D:D,A237,'QA Log'!M:M,"QQC",'QA Log'!L:L,"*8. Maternity*"),
COUNTIFS('QA Log'!D:D,A237,'QA Log'!M:M,"QQC",'QA Log'!L:L,"*9. EPI and Pre-school Consultation*"),
COUNTIFS('QA Log'!D:D,A237,'QA Log'!M:M,"QQC",'QA Log'!L:L,"*10. Antenatal Care (ANC)*"),
COUNTIFS('QA Log'!D:D,A237,'QA Log'!M:M,"QQC",'QA Log'!L:L,"*2. Hygiene and Sterilization*"),
COUNTIFS('QA Log'!D:D,A237,'QA Log'!M:M,"QQC",'QA Log'!L:L,"*4. Family Planning*")
))</f>
        <v/>
      </c>
      <c r="V237" s="102" t="str">
        <f>IF(A237="","",
SUM(
COUNTIFS('QA Log'!D:D,A237,'QA Log'!M:M,"QQC",'QA Log'!Z:Z,"Approved",'QA Log'!L:L,"*8. Maternity*"),
COUNTIFS('QA Log'!D:D,A237,'QA Log'!M:M,"QQC",'QA Log'!Z:Z,"Approved",'QA Log'!L:L,"*9. EPI and Pre-school Consultation*"),
COUNTIFS('QA Log'!D:D,A237,'QA Log'!M:M,"QQC",'QA Log'!Z:Z,"Approved",'QA Log'!L:L,"*10. Antenatal Care (ANC)*"),
COUNTIFS('QA Log'!D:D,A237,'QA Log'!M:M,"QQC",'QA Log'!Z:Z,"Approved",'QA Log'!L:L,"*2. Hygiene and Sterilization*"),
COUNTIFS('QA Log'!D:D,A237,'QA Log'!M:M,"QQC",'QA Log'!Z:Z,"Approved",'QA Log'!L:L,"*4. Family Planning*")
))</f>
        <v/>
      </c>
      <c r="W237" s="105" t="str">
        <f>IF(A237&lt;&gt;"",COUNTIFS('QA Log'!D:D,A237,'QA Log'!M:M,"QQC",'QA Log'!L:L,"8. Maternity",'QA Log'!Z:Z,"Approved"),"")</f>
        <v/>
      </c>
      <c r="X237" s="105" t="str">
        <f>IF(A237&lt;&gt;"",COUNTIFS('QA Log'!D:D,A237,'QA Log'!M:M,"QQC",'QA Log'!L:L,"9. EPI and Pre-school Consultation",'QA Log'!Z:Z,"Approved"),"")</f>
        <v/>
      </c>
      <c r="Y237" s="105" t="str">
        <f>IF(A237&lt;&gt;"",COUNTIFS('QA Log'!D:D,A237,'QA Log'!M:M,"QQC",'QA Log'!L:L,"10. Antenatal Care (ANC)",'QA Log'!Z:Z,"Approved"),"")</f>
        <v/>
      </c>
      <c r="Z237" s="105" t="str">
        <f>IF(A237&lt;&gt;"",COUNTIFS('QA Log'!D:D,A237,'QA Log'!M:M,"QQC",'QA Log'!L:L,"2. Hygiene and Sterilization",'QA Log'!Z:Z,"Approved"),"")</f>
        <v/>
      </c>
      <c r="AA237" s="105" t="str">
        <f>IF(A237&lt;&gt;"",COUNTIFS('QA Log'!D:D,A237,'QA Log'!M:M,"QQC",'QA Log'!L:L,"4. Family Planning",'QA Log'!Z:Z,"Approved"),"")</f>
        <v/>
      </c>
      <c r="AB237" s="102" t="str">
        <f>IF(A237="","",
SUM(
COUNTIFS('QA Log'!D:D,A237,'QA Log'!M:M,"QQC",'QA Log'!Z:Z,"Rejected",'QA Log'!L:L,"*8. Maternity*"),
COUNTIFS('QA Log'!D:D,A237,'QA Log'!M:M,"QQC",'QA Log'!Z:Z,"Rejected",'QA Log'!L:L,"*9. EPI and Pre-school Consultation*"),
COUNTIFS('QA Log'!D:D,A237,'QA Log'!M:M,"QQC",'QA Log'!Z:Z,"Rejected",'QA Log'!L:L,"*10. Antenatal Care (ANC)*"),
COUNTIFS('QA Log'!D:D,A237,'QA Log'!M:M,"QQC",'QA Log'!Z:Z,"Rejected",'QA Log'!L:L,"*2. Hygiene and Sterilization*"),
COUNTIFS('QA Log'!D:D,A237,'QA Log'!M:M,"QQC",'QA Log'!Z:Z,"Rejected",'QA Log'!L:L,"*4. Family Planning*")
))</f>
        <v/>
      </c>
      <c r="AC237" s="102" t="str">
        <f t="shared" si="3"/>
        <v/>
      </c>
      <c r="AD237" s="103" t="str">
        <f t="shared" si="4"/>
        <v/>
      </c>
      <c r="AE237" s="102" t="str">
        <f>IF(A237="","",
SUM(
COUNTIFS('QA Log'!D:D,A237,'QA Log'!M:M,"Data Verification",'QA Log'!L:L,"*Medicine (section 2)*"),
COUNTIFS('QA Log'!D:D,A237,'QA Log'!M:M,"Data Verification",'QA Log'!L:L,"*Lab Testing Availability*"),
COUNTIFS('QA Log'!D:D,A237,'QA Log'!M:M,"Data Verification",'QA Log'!L:L,"*Other than P4P (section 6)*"),
COUNTIFS('QA Log'!D:D,A237,'QA Log'!M:M,"Data Verification",'QA Log'!L:L,"*Hospital Governance*")
))</f>
        <v/>
      </c>
      <c r="AF237" s="102" t="str">
        <f>IF(A237="","",
SUM(
COUNTIFS('QA Log'!D:D,A237,'QA Log'!M:M,"Data Verification",'QA Log'!Z:Z,"Approved",'QA Log'!L:L,"*Medicine (section 2)*"),
COUNTIFS('QA Log'!D:D,A237,'QA Log'!M:M,"Data Verification",'QA Log'!Z:Z,"Approved",'QA Log'!L:L,"*Lab Testing Availability*"),
COUNTIFS('QA Log'!D:D,A237,'QA Log'!M:M,"Data Verification",'QA Log'!Z:Z,"Approved",'QA Log'!L:L,"*Other than P4P (section 6)*"),
COUNTIFS('QA Log'!D:D,A237,'QA Log'!M:M,"Data Verification",'QA Log'!Z:Z,"Approved",'QA Log'!L:L,"*Hospital Governance*")
))</f>
        <v/>
      </c>
      <c r="AG237" s="105" t="str">
        <f>IF(A237&lt;&gt;"",COUNTIFS('QA Log'!D:D,A237,'QA Log'!M:M,"Data Verification",'QA Log'!L:L,"Medicine (section 2)",'QA Log'!Z:Z,"Approved"),"")</f>
        <v/>
      </c>
      <c r="AH237" s="105" t="str">
        <f>IF(A237&lt;&gt;"",COUNTIFS('QA Log'!D:D,A237,'QA Log'!M:M,"Data Verification",'QA Log'!L:L,"Lab Testing Availability",'QA Log'!Z:Z,"Approved"),"")</f>
        <v/>
      </c>
      <c r="AI237" s="105" t="str">
        <f>IF(A237&lt;&gt;"",COUNTIFS('QA Log'!D:D,A237,'QA Log'!M:M,"Data Verification",'QA Log'!L:L,"Other than P4P (section 6)",'QA Log'!Z:Z,"Approved"),"")</f>
        <v/>
      </c>
      <c r="AJ237" s="105" t="str">
        <f>IF(A237&lt;&gt;"",COUNTIFS('QA Log'!D:D,A237,'QA Log'!M:M,"Data Verification",'QA Log'!L:L,"Hospital Governance",'QA Log'!Z:Z,"Approved"),"")</f>
        <v/>
      </c>
      <c r="AK237" s="102" t="str">
        <f>IF(A237="","",
SUM(
COUNTIFS('QA Log'!D:D,A237,'QA Log'!M:M,"Data Verification",'QA Log'!Z:Z,"Rejected",'QA Log'!L:L,"*Medicine (section 2)*"),
COUNTIFS('QA Log'!D:D,A237,'QA Log'!M:M,"Data Verification",'QA Log'!Z:Z,"Rejected",'QA Log'!L:L,"*Lab Testing Availability*"),
COUNTIFS('QA Log'!D:D,A237,'QA Log'!M:M,"Data Verification",'QA Log'!Z:Z,"Rejected",'QA Log'!L:L,"*Other than P4P (section 6)*"),
COUNTIFS('QA Log'!D:D,A237,'QA Log'!M:M,"Data Verification",'QA Log'!Z:Z,"Rejected",'QA Log'!L:L,"*Hospital Governance*")
))</f>
        <v/>
      </c>
      <c r="AL237" s="106" t="str">
        <f t="shared" si="5"/>
        <v/>
      </c>
      <c r="AM237" s="102" t="str">
        <f t="shared" si="6"/>
        <v/>
      </c>
      <c r="AN237" s="102" t="str">
        <f>IF(A237="","",
SUM(
COUNTIFS('QA Log'!D:D,A237,'QA Log'!M:M,"Data Verification",'QA Log'!L:L,"*Personnel (section 1)*"),
COUNTIFS('QA Log'!D:D,A237,'QA Log'!M:M,"Data Verification",'QA Log'!L:L,"*Consumable (section 3)*"),
COUNTIFS('QA Log'!D:D,A237,'QA Log'!M:M,"Data Verification",'QA Log'!L:L,"*Equipments (section 4)*")
))</f>
        <v/>
      </c>
      <c r="AO237" s="102" t="str">
        <f>IF(A237="","",
SUM(
COUNTIFS('QA Log'!D:D,A237,'QA Log'!M:M,"Data Verification",'QA Log'!Z:Z,"Approved",'QA Log'!L:L,"*Personnel (section 1)*"),
COUNTIFS('QA Log'!D:D,A237,'QA Log'!M:M,"Data Verification",'QA Log'!Z:Z,"Approved",'QA Log'!L:L,"*Consumable (section 3)*"),
COUNTIFS('QA Log'!D:D,A237,'QA Log'!M:M,"Data Verification",'QA Log'!Z:Z,"Approved",'QA Log'!L:L,"*Equipments (section 4)*")
))</f>
        <v/>
      </c>
      <c r="AP237" s="105" t="str">
        <f>IF(A237&lt;&gt;"",COUNTIFS('QA Log'!D:D,A237,'QA Log'!M:M,"Data Verification",'QA Log'!L:L,"Personnel (section 1)",'QA Log'!Z:Z,"Approved"),"")</f>
        <v/>
      </c>
      <c r="AQ237" s="105" t="str">
        <f>IF(A237&lt;&gt;"",COUNTIFS('QA Log'!D:D,A237,'QA Log'!M:M,"Data Verification",'QA Log'!L:L,"Consumable (section 3)",'QA Log'!Z:Z,"Approved"),"")</f>
        <v/>
      </c>
      <c r="AR237" s="105" t="str">
        <f>IF(A237&lt;&gt;"",COUNTIFS('QA Log'!D:D,A237,'QA Log'!M:M,"Data Verification",'QA Log'!L:L,"Equipments (section 4)",'QA Log'!Z:Z,"Approved"),"")</f>
        <v/>
      </c>
      <c r="AS237" s="102" t="str">
        <f>IF(A237="","",
SUM(
COUNTIFS('QA Log'!D:D,A237,'QA Log'!M:M,"Data Verification",'QA Log'!Z:Z,"Rejected",'QA Log'!L:L,"*Personnel (section 1)*"),
COUNTIFS('QA Log'!D:D,A237,'QA Log'!M:M,"Data Verification",'QA Log'!Z:Z,"Rejected",'QA Log'!L:L,"*Consumable (section 3)*"),
COUNTIFS('QA Log'!D:D,A237,'QA Log'!M:M,"Data Verification",'QA Log'!Z:Z,"Rejected",'QA Log'!L:L,"*Equipments (section 4)*")
))</f>
        <v/>
      </c>
      <c r="AT237" s="102" t="str">
        <f t="shared" si="7"/>
        <v/>
      </c>
      <c r="AU237" s="103" t="str">
        <f t="shared" si="8"/>
        <v/>
      </c>
      <c r="AV237" s="102" t="str">
        <f>IF(A237="","",SUM(
COUNTIFS('QA Log'!D:D,A237,'QA Log'!M:M,"Vignette",'QA Log'!L:L,"*Vignette [1] Respiratory Infection: Pneumonia*"),
COUNTIFS('QA Log'!D:D,A237,'QA Log'!M:M,"Vignette",'QA Log'!L:L,"*Vignette [2]: Diarrhea with Cat B dehydration*"),
COUNTIFS('QA Log'!D:D,A237,'QA Log'!M:M,"Vignette",'QA Log'!L:L,"*Vignette [3] Growth Monitoring and Promotion*"),
COUNTIFS('QA Log'!D:D,A237,'QA Log'!M:M,"Vignette",'QA Log'!L:L,"*Vignette [4]: The management of presumptive TB patient*")
)
)</f>
        <v/>
      </c>
      <c r="AW237" s="102" t="str">
        <f>IF(
  A237="","",
  SUM(
    COUNTIFS('QA Log'!D:D,A237,'QA Log'!M:M,"Vignette",'QA Log'!Z:Z,"Approved",'QA Log'!L:L,"*Vignette [1] Respiratory Infection: Pneumonia*"),
    COUNTIFS('QA Log'!D:D,A237,'QA Log'!M:M,"Vignette",'QA Log'!Z:Z,"Approved",'QA Log'!L:L,"*Vignette [2]: Diarrhea with Cat B dehydration*"),
    COUNTIFS('QA Log'!D:D,A237,'QA Log'!M:M,"Vignette",'QA Log'!Z:Z,"Approved",'QA Log'!L:L,"*Vignette [3] Growth Monitoring and Promotion*"),
    COUNTIFS('QA Log'!D:D,A237,'QA Log'!M:M,"Vignette",'QA Log'!Z:Z,"Approved",'QA Log'!L:L,"*Vignette [4]: The management of presumptive TB patient*")
  )
)</f>
        <v/>
      </c>
      <c r="AX237" s="105" t="str">
        <f>IF(A237&lt;&gt;"",COUNTIFS('QA Log'!D:D,A237,'QA Log'!M:M,"Vignette",'QA Log'!L:L,"Vignette [1] Respiratory Infection: Pneumonia",'QA Log'!Z:Z,"Approved"),"")</f>
        <v/>
      </c>
      <c r="AY237" s="105" t="str">
        <f>IF(A237&lt;&gt;"",COUNTIFS('QA Log'!D:D,A237,'QA Log'!M:M,"Vignette",'QA Log'!L:L,"Vignette [2]: Diarrhea with Cat B dehydration",'QA Log'!Z:Z,"Approved"),"")</f>
        <v/>
      </c>
      <c r="AZ237" s="105" t="str">
        <f>IF(A237&lt;&gt;"",COUNTIFS('QA Log'!D:D,A237,'QA Log'!M:M,"Vignette",'QA Log'!L:L,"Vignette [3] Growth Monitoring and Promotion",'QA Log'!Z:Z,"Approved"),"")</f>
        <v/>
      </c>
      <c r="BA237" s="105" t="str">
        <f>IF(A237&lt;&gt;"",COUNTIFS('QA Log'!D:D,A237,'QA Log'!M:M,"Vignette",'QA Log'!L:L,"Vignette [4]: The management of presumptive TB patient",'QA Log'!Z:Z,"Approved"),"")</f>
        <v/>
      </c>
      <c r="BB237" s="102" t="str">
        <f>IF(A237="","",
  SUM(
    COUNTIFS('QA Log'!D:D,A237,'QA Log'!M:M,"Vignette",'QA Log'!Z:Z,"Rejected",'QA Log'!L:L,"*Vignette [1] Respiratory Infection: Pneumonia*"),
    COUNTIFS('QA Log'!D:D,A237,'QA Log'!M:M,"Vignette",'QA Log'!Z:Z,"Rejected",'QA Log'!L:L,"*Vignette [2]: Diarrhea with Cat B dehydration*"),
    COUNTIFS('QA Log'!D:D,A237,'QA Log'!M:M,"Vignette",'QA Log'!Z:Z,"Rejected",'QA Log'!L:L,"*Vignette [3] Growth Monitoring and Promotion*"),
    COUNTIFS('QA Log'!D:D,A237,'QA Log'!M:M,"Vignette",'QA Log'!Z:Z,"Rejected",'QA Log'!L:L,"*Vignette [4]: The management of presumptive TB patient*")
  )
)</f>
        <v/>
      </c>
      <c r="BC237" s="107" t="str">
        <f t="shared" si="9"/>
        <v/>
      </c>
      <c r="BD237" s="103" t="str">
        <f t="shared" si="10"/>
        <v/>
      </c>
      <c r="BE237" s="102" t="str">
        <f>IF(A237="","",SUM(
COUNTIFS('QA Log'!D:D,A237,'QA Log'!M:M,"Vignette",'QA Log'!L:L,"*Vignette [5] Labor*"),
COUNTIFS('QA Log'!D:D,A237,'QA Log'!M:M,"Vignette",'QA Log'!L:L,"*Vignette [6] PNC pre Discharge*"),
COUNTIFS('QA Log'!D:D,A237,'QA Log'!M:M,"Vignette",'QA Log'!L:L,"*Vignette [7] First ANC Visit*"),
COUNTIFS('QA Log'!D:D,A237,'QA Log'!M:M,"Vignette",'QA Log'!L:L,"*Vignette [8] Birth Spacing/ Family Planning :  FP Counselling*"),
COUNTIFS('QA Log'!D:D,A237,'QA Log'!M:M,"Vignette",'QA Log'!L:L,"*Vignette [9] Birth Spacing: Change FP method to Injectable*"),
COUNTIFS('QA Log'!D:D,A237,'QA Log'!M:M,"Vignette",'QA Log'!L:L,"*Vignette [10] Post Partum Haemorrhage - Atonic Uterus at Health Centre*"),
)
)</f>
        <v/>
      </c>
      <c r="BF237" s="102" t="str">
        <f>IF(A237="","",
  SUM(
    COUNTIFS('QA Log'!D:D,A237,'QA Log'!M:M,"Vignette",'QA Log'!Z:Z,"Approved",'QA Log'!L:L,"*Vignette [5] Labor*"),
    COUNTIFS('QA Log'!D:D,A237,'QA Log'!M:M,"Vignette",'QA Log'!Z:Z,"Approved",'QA Log'!L:L,"*Vignette [6] PNC pre Discharge*"),
    COUNTIFS('QA Log'!D:D,A237,'QA Log'!M:M,"Vignette",'QA Log'!Z:Z,"Approved",'QA Log'!L:L,"*Vignette [7] First ANC Visit*"),
    COUNTIFS('QA Log'!D:D,A237,'QA Log'!M:M,"Vignette",'QA Log'!Z:Z,"Approved",'QA Log'!L:L,"*Vignette [8] Birth Spacing/ Family Planning :  FP Counselling*"),
    COUNTIFS('QA Log'!D:D,A237,'QA Log'!M:M,"Vignette",'QA Log'!Z:Z,"Approved",'QA Log'!L:L,"*Vignette [9] Birth Spacing: Change FP method to Injectable*"),
    COUNTIFS('QA Log'!D:D,A237,'QA Log'!M:M,"Vignette",'QA Log'!Z:Z,"Approved",'QA Log'!L:L,"*Vignette [10] Post Partum Haemorrhage - Atonic Uterus at Health Centre*")
  )
)</f>
        <v/>
      </c>
      <c r="BG237" s="105" t="str">
        <f>IF(A237&lt;&gt;"",COUNTIFS('QA Log'!D:D,A237,'QA Log'!M:M,"Vignette",'QA Log'!L:L,"Vignette [5] Labor",'QA Log'!Z:Z,"Approved"),"")</f>
        <v/>
      </c>
      <c r="BH237" s="105" t="str">
        <f>IF(A237&lt;&gt;"",COUNTIFS('QA Log'!D:D,A237,'QA Log'!M:M,"Vignette",'QA Log'!L:L,"Vignette [6] PNC pre Discharge",'QA Log'!Z:Z,"Approved"),"")</f>
        <v/>
      </c>
      <c r="BI237" s="105" t="str">
        <f>IF(A237&lt;&gt;"",COUNTIFS('QA Log'!D:D,A237,'QA Log'!M:M,"Vignette",'QA Log'!L:L,"Vignette [7] First ANC Visit",'QA Log'!Z:Z,"Approved"),"")</f>
        <v/>
      </c>
      <c r="BJ237" s="105" t="str">
        <f>IF(A237&lt;&gt;"",COUNTIFS('QA Log'!D:D,A237,'QA Log'!M:M,"Vignette",'QA Log'!L:L,"Vignette [8] Birth Spacing/ Family Planning :  FP Counselling",'QA Log'!Z:Z,"Approved"),"")</f>
        <v/>
      </c>
      <c r="BK237" s="105" t="str">
        <f>IF(A237&lt;&gt;"",COUNTIFS('QA Log'!D:D,A237,'QA Log'!M:M,"Vignette",'QA Log'!L:L,"Vignette [9] Birth Spacing: Change FP method to Injectable",'QA Log'!Z:Z,"Approved"),"")</f>
        <v/>
      </c>
      <c r="BL237" s="105" t="str">
        <f>IF(A237&lt;&gt;"",COUNTIFS('QA Log'!D:D,A237,'QA Log'!M:M,"Vignette",'QA Log'!L:L,"Vignette [10] Post Partum Haemorrhage - Atonic Uterus at Health Centre",'QA Log'!Z:Z,"Approved"),"")</f>
        <v/>
      </c>
      <c r="BM237" s="102" t="str">
        <f>IF(A237="","",SUM(
    COUNTIFS('QA Log'!D:D,A237,'QA Log'!M:M,"Vignette",'QA Log'!Z:Z,"Rejected",'QA Log'!L:L,"*Vignette [5] Labor*"),
    COUNTIFS('QA Log'!D:D,A237,'QA Log'!M:M,"Vignette",'QA Log'!Z:Z,"Rejected",'QA Log'!L:L,"*Vignette [6] PNC pre Discharge*"),
    COUNTIFS('QA Log'!D:D,A237,'QA Log'!M:M,"Vignette",'QA Log'!Z:Z,"Rejected",'QA Log'!L:L,"*Vignette [7] First ANC Visit*"),
    COUNTIFS('QA Log'!D:D,A237,'QA Log'!M:M,"Vignette",'QA Log'!Z:Z,"Rejected",'QA Log'!L:L,"*Vignette [8] Birth Spacing/ Family Planning :  FP Counselling*"),
    COUNTIFS('QA Log'!D:D,A237,'QA Log'!M:M,"Vignette",'QA Log'!Z:Z,"Rejected",'QA Log'!L:L,"*Vignette [9] Birth Spacing: Change FP method to Injectable*"),
    COUNTIFS('QA Log'!D:D,A237,'QA Log'!M:M,"Vignette",'QA Log'!Z:Z,"Rejected",'QA Log'!L:L,"*Vignette [10] Post Partum Haemorrhage - Atonic Uterus at Health Centre*")
  )
)</f>
        <v/>
      </c>
      <c r="BN237" s="107" t="str">
        <f t="shared" si="11"/>
        <v/>
      </c>
      <c r="BO237" s="103" t="str">
        <f t="shared" si="12"/>
        <v/>
      </c>
      <c r="BP237" s="102" t="str">
        <f>IF(A237="","",SUM(
COUNTIFS('QA Log'!D:D,A237,'QA Log'!M:M,"Vignette",'QA Log'!L:L,"*Exit Interview 1*"),
COUNTIFS('QA Log'!D:D,A237,'QA Log'!M:M,"Vignette",'QA Log'!L:L,"*Exit Interview 2*"),
)
)</f>
        <v/>
      </c>
      <c r="BQ237" s="102" t="str">
        <f>IF(
  A237="","",
  SUM(
    COUNTIFS('QA Log'!D:D,A237,'QA Log'!M:M,"Vignette",'QA Log'!Z:Z,"Approved",'QA Log'!L:L,"*Exit Interview 1*"),
    COUNTIFS('QA Log'!D:D,A237,'QA Log'!M:M,"Vignette",'QA Log'!Z:Z,"Approved",'QA Log'!L:L,"*Exit Interview 2*")
  )
)</f>
        <v/>
      </c>
      <c r="BR237" s="105" t="str">
        <f>IF(A237&lt;&gt;"",COUNTIFS('QA Log'!D:D,A237,'QA Log'!M:M,"Vignette",'QA Log'!L:L,"Exit Interview 1",'QA Log'!Z:Z,"Approved"),"")</f>
        <v/>
      </c>
      <c r="BS237" s="105" t="str">
        <f>IF(A237&lt;&gt;"",COUNTIFS('QA Log'!D:D,A237,'QA Log'!M:M,"Vignette",'QA Log'!L:L,"Exit Interview 2",'QA Log'!Z:Z,"Approved"),"")</f>
        <v/>
      </c>
      <c r="BT237" s="102" t="str">
        <f>IF(
  A237="","",
  SUM(
    COUNTIFS('QA Log'!D:D,A237,'QA Log'!M:M,"Vignette",'QA Log'!Z:Z,"Rejected",'QA Log'!L:L,"*Exit Interview 1*"),
    COUNTIFS('QA Log'!D:D,A237,'QA Log'!M:M,"Vignette",'QA Log'!Z:Z,"Rejected",'QA Log'!L:L,"*Exit Interview 2*")
  )
)</f>
        <v/>
      </c>
      <c r="BU237" s="107" t="str">
        <f t="shared" si="13"/>
        <v/>
      </c>
      <c r="BV237" s="102" t="str">
        <f t="shared" si="14"/>
        <v/>
      </c>
      <c r="BW237" s="102" t="str">
        <f t="shared" si="15"/>
        <v/>
      </c>
      <c r="BX237" s="102" t="str">
        <f t="shared" si="16"/>
        <v/>
      </c>
      <c r="BY237" s="102" t="str">
        <f t="shared" si="17"/>
        <v/>
      </c>
      <c r="BZ237" s="107" t="str">
        <f t="shared" si="18"/>
        <v/>
      </c>
      <c r="CA237" s="108" t="str">
        <f t="shared" si="19"/>
        <v/>
      </c>
      <c r="CB237" s="108" t="str">
        <f t="shared" si="20"/>
        <v/>
      </c>
      <c r="CC237" s="109" t="str">
        <f t="shared" si="21"/>
        <v/>
      </c>
      <c r="CD237" s="108" t="str">
        <f t="shared" si="22"/>
        <v/>
      </c>
      <c r="CE237" s="108" t="str">
        <f t="shared" si="23"/>
        <v/>
      </c>
      <c r="CF237" s="109" t="str">
        <f t="shared" si="24"/>
        <v/>
      </c>
      <c r="CG237" s="110" t="str">
        <f t="shared" si="25"/>
        <v/>
      </c>
      <c r="CH237" s="111"/>
    </row>
    <row r="238" spans="1:86" ht="12.75">
      <c r="A238" s="101"/>
      <c r="B238" s="102" t="e">
        <f t="array" aca="1" ref="B238" ca="1">_xludf.XLOOKUP(A238,'QA Log'!D:D,'QA Log'!E:E,"")</f>
        <v>#NAME?</v>
      </c>
      <c r="C238" s="102" t="e">
        <f t="array" aca="1" ref="C238" ca="1">_xludf.XLOOKUP(A238,'QA Log'!D:D,'QA Log'!F:F,"")</f>
        <v>#NAME?</v>
      </c>
      <c r="D238" s="102" t="e">
        <f t="array" aca="1" ref="D238" ca="1">_xludf.XLOOKUP(A238,'QA Log'!D:D,'QA Log'!H:H,"")</f>
        <v>#NAME?</v>
      </c>
      <c r="E238" s="102" t="e">
        <f t="array" aca="1" ref="E238" ca="1">_xludf.XLOOKUP(A238,'QA Log'!D:D,'QA Log'!G:G,"")</f>
        <v>#NAME?</v>
      </c>
      <c r="F238" s="103"/>
      <c r="G238" s="104"/>
      <c r="H238" s="104"/>
      <c r="I238" s="103" t="str">
        <f t="shared" si="0"/>
        <v/>
      </c>
      <c r="J238" s="102" t="str">
        <f>IF(A238="","",SUM(
COUNTIFS('QA Log'!D:D,A238,'QA Log'!M:M,"QQC",'QA Log'!L:L,"*1. General Management*"),
COUNTIFS('QA Log'!D:D,A238,'QA Log'!M:M,"QQC",'QA Log'!L:L,"*3. Curative Consultation (OPD)*"),
COUNTIFS('QA Log'!D:D,A238,'QA Log'!M:M,"QQC",'QA Log'!L:L,"*5. Laboratory*"),
COUNTIFS('QA Log'!D:D,A238,'QA Log'!M:M,"QQC",'QA Log'!L:L,"*6. Essential Medicine Management*"),
COUNTIFS('QA Log'!D:D,A238,'QA Log'!M:M,"QQC",'QA Log'!L:L,"*7. Tracer Medicine*"),
COUNTIFS('QA Log'!D:D,A238,'QA Log'!M:M,"QQC",'QA Log'!L:L,"*11. Additional Questions*")))</f>
        <v/>
      </c>
      <c r="K238" s="102" t="str">
        <f>IF(A238="","",SUM(
COUNTIFS('QA Log'!D:D,A238,'QA Log'!M:M,"QQC",'QA Log'!Z:Z,"Approved",'QA Log'!L:L,"*1. General Management*"),
COUNTIFS('QA Log'!D:D,A238,'QA Log'!M:M,"QQC",'QA Log'!Z:Z,"Approved",'QA Log'!L:L,"*3. Curative Consultation (OPD)*"),
COUNTIFS('QA Log'!D:D,A238,'QA Log'!M:M,"QQC",'QA Log'!Z:Z,"Approved",'QA Log'!L:L,"*5. Laboratory*"),
COUNTIFS('QA Log'!D:D,A238,'QA Log'!M:M,"QQC",'QA Log'!Z:Z,"Approved",'QA Log'!L:L,"*6. Essential Medicine Management*"),
COUNTIFS('QA Log'!D:D,A238,'QA Log'!M:M,"QQC",'QA Log'!Z:Z,"Approved",'QA Log'!L:L,"*7. Tracer Medicine*"),
COUNTIFS('QA Log'!D:D,A238,'QA Log'!M:M,"QQC",'QA Log'!Z:Z,"Approved",'QA Log'!L:L,"*11. Additional Questions*")))</f>
        <v/>
      </c>
      <c r="L238" s="105" t="str">
        <f>IF(A238&lt;&gt;"",COUNTIFS('QA Log'!D:D,A238,'QA Log'!M:M,"QQC",'QA Log'!L:L,"1. General Management",'QA Log'!Z:Z,"Approved"),"")</f>
        <v/>
      </c>
      <c r="M238" s="105" t="str">
        <f>IF(A238&lt;&gt;"",COUNTIFS('QA Log'!D:D,A238,'QA Log'!M:M,"QQC",'QA Log'!L:L,"3. Curative Consultation (OPD)",'QA Log'!Z:Z,"Approved"),"")</f>
        <v/>
      </c>
      <c r="N238" s="105" t="str">
        <f>IF(A238&lt;&gt;"",COUNTIFS('QA Log'!D:D,A238,'QA Log'!M:M,"QQC",'QA Log'!L:L,"5. Laboratory",'QA Log'!Z:Z,"Approved"),"")</f>
        <v/>
      </c>
      <c r="O238" s="105" t="str">
        <f>IF(A238&lt;&gt;"",COUNTIFS('QA Log'!D:D,A238,'QA Log'!M:M,"QQC",'QA Log'!L:L,"6. Essential Medicine Management",'QA Log'!Z:Z,"Approved"),"")</f>
        <v/>
      </c>
      <c r="P238" s="105" t="str">
        <f>IF(A238&lt;&gt;"",COUNTIFS('QA Log'!D:D,A238,'QA Log'!M:M,"QQC",'QA Log'!L:L,"7. Tracer Medicine",'QA Log'!Z:Z,"Approved"),"")</f>
        <v/>
      </c>
      <c r="Q238" s="105" t="str">
        <f>IF(A238&lt;&gt;"",COUNTIFS('QA Log'!D:D,A238,'QA Log'!M:M,"QQC",'QA Log'!L:L,"11. Additional Questions",'QA Log'!Z:Z,"Approved"),"")</f>
        <v/>
      </c>
      <c r="R238" s="102" t="str">
        <f>IF(A238="","",SUM(
COUNTIFS('QA Log'!D:D,A238,'QA Log'!M:M,"QQC",'QA Log'!Z:Z,"Rejected",'QA Log'!L:L,"*8. Maternity*"),
COUNTIFS('QA Log'!D:D,A238,'QA Log'!M:M,"QQC",'QA Log'!Z:Z,"Rejected",'QA Log'!L:L,"*EPI*"),
COUNTIFS('QA Log'!D:D,A238,'QA Log'!M:M,"QQC",'QA Log'!Z:Z,"Rejected",'QA Log'!L:L,"*10. Antenatal Care (ANC)*"),
COUNTIFS('QA Log'!D:D,A238,'QA Log'!M:M,"QQC",'QA Log'!Z:Z,"Rejected",'QA Log'!L:L,"*2. Hygiene and Sterilization*"),
COUNTIFS('QA Log'!D:D,A238,'QA Log'!M:M,"QQC",'QA Log'!Z:Z,"Rejected",'QA Log'!L:L,"*Family Planning*")))</f>
        <v/>
      </c>
      <c r="S238" s="106" t="str">
        <f t="shared" si="1"/>
        <v/>
      </c>
      <c r="T238" s="102" t="str">
        <f t="shared" si="2"/>
        <v/>
      </c>
      <c r="U238" s="102" t="str">
        <f>IF(A238="","",
SUM(
COUNTIFS('QA Log'!D:D,A238,'QA Log'!M:M,"QQC",'QA Log'!L:L,"*8. Maternity*"),
COUNTIFS('QA Log'!D:D,A238,'QA Log'!M:M,"QQC",'QA Log'!L:L,"*9. EPI and Pre-school Consultation*"),
COUNTIFS('QA Log'!D:D,A238,'QA Log'!M:M,"QQC",'QA Log'!L:L,"*10. Antenatal Care (ANC)*"),
COUNTIFS('QA Log'!D:D,A238,'QA Log'!M:M,"QQC",'QA Log'!L:L,"*2. Hygiene and Sterilization*"),
COUNTIFS('QA Log'!D:D,A238,'QA Log'!M:M,"QQC",'QA Log'!L:L,"*4. Family Planning*")
))</f>
        <v/>
      </c>
      <c r="V238" s="102" t="str">
        <f>IF(A238="","",
SUM(
COUNTIFS('QA Log'!D:D,A238,'QA Log'!M:M,"QQC",'QA Log'!Z:Z,"Approved",'QA Log'!L:L,"*8. Maternity*"),
COUNTIFS('QA Log'!D:D,A238,'QA Log'!M:M,"QQC",'QA Log'!Z:Z,"Approved",'QA Log'!L:L,"*9. EPI and Pre-school Consultation*"),
COUNTIFS('QA Log'!D:D,A238,'QA Log'!M:M,"QQC",'QA Log'!Z:Z,"Approved",'QA Log'!L:L,"*10. Antenatal Care (ANC)*"),
COUNTIFS('QA Log'!D:D,A238,'QA Log'!M:M,"QQC",'QA Log'!Z:Z,"Approved",'QA Log'!L:L,"*2. Hygiene and Sterilization*"),
COUNTIFS('QA Log'!D:D,A238,'QA Log'!M:M,"QQC",'QA Log'!Z:Z,"Approved",'QA Log'!L:L,"*4. Family Planning*")
))</f>
        <v/>
      </c>
      <c r="W238" s="105" t="str">
        <f>IF(A238&lt;&gt;"",COUNTIFS('QA Log'!D:D,A238,'QA Log'!M:M,"QQC",'QA Log'!L:L,"8. Maternity",'QA Log'!Z:Z,"Approved"),"")</f>
        <v/>
      </c>
      <c r="X238" s="105" t="str">
        <f>IF(A238&lt;&gt;"",COUNTIFS('QA Log'!D:D,A238,'QA Log'!M:M,"QQC",'QA Log'!L:L,"9. EPI and Pre-school Consultation",'QA Log'!Z:Z,"Approved"),"")</f>
        <v/>
      </c>
      <c r="Y238" s="105" t="str">
        <f>IF(A238&lt;&gt;"",COUNTIFS('QA Log'!D:D,A238,'QA Log'!M:M,"QQC",'QA Log'!L:L,"10. Antenatal Care (ANC)",'QA Log'!Z:Z,"Approved"),"")</f>
        <v/>
      </c>
      <c r="Z238" s="105" t="str">
        <f>IF(A238&lt;&gt;"",COUNTIFS('QA Log'!D:D,A238,'QA Log'!M:M,"QQC",'QA Log'!L:L,"2. Hygiene and Sterilization",'QA Log'!Z:Z,"Approved"),"")</f>
        <v/>
      </c>
      <c r="AA238" s="105" t="str">
        <f>IF(A238&lt;&gt;"",COUNTIFS('QA Log'!D:D,A238,'QA Log'!M:M,"QQC",'QA Log'!L:L,"4. Family Planning",'QA Log'!Z:Z,"Approved"),"")</f>
        <v/>
      </c>
      <c r="AB238" s="102" t="str">
        <f>IF(A238="","",
SUM(
COUNTIFS('QA Log'!D:D,A238,'QA Log'!M:M,"QQC",'QA Log'!Z:Z,"Rejected",'QA Log'!L:L,"*8. Maternity*"),
COUNTIFS('QA Log'!D:D,A238,'QA Log'!M:M,"QQC",'QA Log'!Z:Z,"Rejected",'QA Log'!L:L,"*9. EPI and Pre-school Consultation*"),
COUNTIFS('QA Log'!D:D,A238,'QA Log'!M:M,"QQC",'QA Log'!Z:Z,"Rejected",'QA Log'!L:L,"*10. Antenatal Care (ANC)*"),
COUNTIFS('QA Log'!D:D,A238,'QA Log'!M:M,"QQC",'QA Log'!Z:Z,"Rejected",'QA Log'!L:L,"*2. Hygiene and Sterilization*"),
COUNTIFS('QA Log'!D:D,A238,'QA Log'!M:M,"QQC",'QA Log'!Z:Z,"Rejected",'QA Log'!L:L,"*4. Family Planning*")
))</f>
        <v/>
      </c>
      <c r="AC238" s="102" t="str">
        <f t="shared" si="3"/>
        <v/>
      </c>
      <c r="AD238" s="103" t="str">
        <f t="shared" si="4"/>
        <v/>
      </c>
      <c r="AE238" s="102" t="str">
        <f>IF(A238="","",
SUM(
COUNTIFS('QA Log'!D:D,A238,'QA Log'!M:M,"Data Verification",'QA Log'!L:L,"*Medicine (section 2)*"),
COUNTIFS('QA Log'!D:D,A238,'QA Log'!M:M,"Data Verification",'QA Log'!L:L,"*Lab Testing Availability*"),
COUNTIFS('QA Log'!D:D,A238,'QA Log'!M:M,"Data Verification",'QA Log'!L:L,"*Other than P4P (section 6)*"),
COUNTIFS('QA Log'!D:D,A238,'QA Log'!M:M,"Data Verification",'QA Log'!L:L,"*Hospital Governance*")
))</f>
        <v/>
      </c>
      <c r="AF238" s="102" t="str">
        <f>IF(A238="","",
SUM(
COUNTIFS('QA Log'!D:D,A238,'QA Log'!M:M,"Data Verification",'QA Log'!Z:Z,"Approved",'QA Log'!L:L,"*Medicine (section 2)*"),
COUNTIFS('QA Log'!D:D,A238,'QA Log'!M:M,"Data Verification",'QA Log'!Z:Z,"Approved",'QA Log'!L:L,"*Lab Testing Availability*"),
COUNTIFS('QA Log'!D:D,A238,'QA Log'!M:M,"Data Verification",'QA Log'!Z:Z,"Approved",'QA Log'!L:L,"*Other than P4P (section 6)*"),
COUNTIFS('QA Log'!D:D,A238,'QA Log'!M:M,"Data Verification",'QA Log'!Z:Z,"Approved",'QA Log'!L:L,"*Hospital Governance*")
))</f>
        <v/>
      </c>
      <c r="AG238" s="105" t="str">
        <f>IF(A238&lt;&gt;"",COUNTIFS('QA Log'!D:D,A238,'QA Log'!M:M,"Data Verification",'QA Log'!L:L,"Medicine (section 2)",'QA Log'!Z:Z,"Approved"),"")</f>
        <v/>
      </c>
      <c r="AH238" s="105" t="str">
        <f>IF(A238&lt;&gt;"",COUNTIFS('QA Log'!D:D,A238,'QA Log'!M:M,"Data Verification",'QA Log'!L:L,"Lab Testing Availability",'QA Log'!Z:Z,"Approved"),"")</f>
        <v/>
      </c>
      <c r="AI238" s="105" t="str">
        <f>IF(A238&lt;&gt;"",COUNTIFS('QA Log'!D:D,A238,'QA Log'!M:M,"Data Verification",'QA Log'!L:L,"Other than P4P (section 6)",'QA Log'!Z:Z,"Approved"),"")</f>
        <v/>
      </c>
      <c r="AJ238" s="105" t="str">
        <f>IF(A238&lt;&gt;"",COUNTIFS('QA Log'!D:D,A238,'QA Log'!M:M,"Data Verification",'QA Log'!L:L,"Hospital Governance",'QA Log'!Z:Z,"Approved"),"")</f>
        <v/>
      </c>
      <c r="AK238" s="102" t="str">
        <f>IF(A238="","",
SUM(
COUNTIFS('QA Log'!D:D,A238,'QA Log'!M:M,"Data Verification",'QA Log'!Z:Z,"Rejected",'QA Log'!L:L,"*Medicine (section 2)*"),
COUNTIFS('QA Log'!D:D,A238,'QA Log'!M:M,"Data Verification",'QA Log'!Z:Z,"Rejected",'QA Log'!L:L,"*Lab Testing Availability*"),
COUNTIFS('QA Log'!D:D,A238,'QA Log'!M:M,"Data Verification",'QA Log'!Z:Z,"Rejected",'QA Log'!L:L,"*Other than P4P (section 6)*"),
COUNTIFS('QA Log'!D:D,A238,'QA Log'!M:M,"Data Verification",'QA Log'!Z:Z,"Rejected",'QA Log'!L:L,"*Hospital Governance*")
))</f>
        <v/>
      </c>
      <c r="AL238" s="106" t="str">
        <f t="shared" si="5"/>
        <v/>
      </c>
      <c r="AM238" s="102" t="str">
        <f t="shared" si="6"/>
        <v/>
      </c>
      <c r="AN238" s="102" t="str">
        <f>IF(A238="","",
SUM(
COUNTIFS('QA Log'!D:D,A238,'QA Log'!M:M,"Data Verification",'QA Log'!L:L,"*Personnel (section 1)*"),
COUNTIFS('QA Log'!D:D,A238,'QA Log'!M:M,"Data Verification",'QA Log'!L:L,"*Consumable (section 3)*"),
COUNTIFS('QA Log'!D:D,A238,'QA Log'!M:M,"Data Verification",'QA Log'!L:L,"*Equipments (section 4)*")
))</f>
        <v/>
      </c>
      <c r="AO238" s="102" t="str">
        <f>IF(A238="","",
SUM(
COUNTIFS('QA Log'!D:D,A238,'QA Log'!M:M,"Data Verification",'QA Log'!Z:Z,"Approved",'QA Log'!L:L,"*Personnel (section 1)*"),
COUNTIFS('QA Log'!D:D,A238,'QA Log'!M:M,"Data Verification",'QA Log'!Z:Z,"Approved",'QA Log'!L:L,"*Consumable (section 3)*"),
COUNTIFS('QA Log'!D:D,A238,'QA Log'!M:M,"Data Verification",'QA Log'!Z:Z,"Approved",'QA Log'!L:L,"*Equipments (section 4)*")
))</f>
        <v/>
      </c>
      <c r="AP238" s="105" t="str">
        <f>IF(A238&lt;&gt;"",COUNTIFS('QA Log'!D:D,A238,'QA Log'!M:M,"Data Verification",'QA Log'!L:L,"Personnel (section 1)",'QA Log'!Z:Z,"Approved"),"")</f>
        <v/>
      </c>
      <c r="AQ238" s="105" t="str">
        <f>IF(A238&lt;&gt;"",COUNTIFS('QA Log'!D:D,A238,'QA Log'!M:M,"Data Verification",'QA Log'!L:L,"Consumable (section 3)",'QA Log'!Z:Z,"Approved"),"")</f>
        <v/>
      </c>
      <c r="AR238" s="105" t="str">
        <f>IF(A238&lt;&gt;"",COUNTIFS('QA Log'!D:D,A238,'QA Log'!M:M,"Data Verification",'QA Log'!L:L,"Equipments (section 4)",'QA Log'!Z:Z,"Approved"),"")</f>
        <v/>
      </c>
      <c r="AS238" s="102" t="str">
        <f>IF(A238="","",
SUM(
COUNTIFS('QA Log'!D:D,A238,'QA Log'!M:M,"Data Verification",'QA Log'!Z:Z,"Rejected",'QA Log'!L:L,"*Personnel (section 1)*"),
COUNTIFS('QA Log'!D:D,A238,'QA Log'!M:M,"Data Verification",'QA Log'!Z:Z,"Rejected",'QA Log'!L:L,"*Consumable (section 3)*"),
COUNTIFS('QA Log'!D:D,A238,'QA Log'!M:M,"Data Verification",'QA Log'!Z:Z,"Rejected",'QA Log'!L:L,"*Equipments (section 4)*")
))</f>
        <v/>
      </c>
      <c r="AT238" s="102" t="str">
        <f t="shared" si="7"/>
        <v/>
      </c>
      <c r="AU238" s="103" t="str">
        <f t="shared" si="8"/>
        <v/>
      </c>
      <c r="AV238" s="102" t="str">
        <f>IF(A238="","",SUM(
COUNTIFS('QA Log'!D:D,A238,'QA Log'!M:M,"Vignette",'QA Log'!L:L,"*Vignette [1] Respiratory Infection: Pneumonia*"),
COUNTIFS('QA Log'!D:D,A238,'QA Log'!M:M,"Vignette",'QA Log'!L:L,"*Vignette [2]: Diarrhea with Cat B dehydration*"),
COUNTIFS('QA Log'!D:D,A238,'QA Log'!M:M,"Vignette",'QA Log'!L:L,"*Vignette [3] Growth Monitoring and Promotion*"),
COUNTIFS('QA Log'!D:D,A238,'QA Log'!M:M,"Vignette",'QA Log'!L:L,"*Vignette [4]: The management of presumptive TB patient*")
)
)</f>
        <v/>
      </c>
      <c r="AW238" s="102" t="str">
        <f>IF(
  A238="","",
  SUM(
    COUNTIFS('QA Log'!D:D,A238,'QA Log'!M:M,"Vignette",'QA Log'!Z:Z,"Approved",'QA Log'!L:L,"*Vignette [1] Respiratory Infection: Pneumonia*"),
    COUNTIFS('QA Log'!D:D,A238,'QA Log'!M:M,"Vignette",'QA Log'!Z:Z,"Approved",'QA Log'!L:L,"*Vignette [2]: Diarrhea with Cat B dehydration*"),
    COUNTIFS('QA Log'!D:D,A238,'QA Log'!M:M,"Vignette",'QA Log'!Z:Z,"Approved",'QA Log'!L:L,"*Vignette [3] Growth Monitoring and Promotion*"),
    COUNTIFS('QA Log'!D:D,A238,'QA Log'!M:M,"Vignette",'QA Log'!Z:Z,"Approved",'QA Log'!L:L,"*Vignette [4]: The management of presumptive TB patient*")
  )
)</f>
        <v/>
      </c>
      <c r="AX238" s="105" t="str">
        <f>IF(A238&lt;&gt;"",COUNTIFS('QA Log'!D:D,A238,'QA Log'!M:M,"Vignette",'QA Log'!L:L,"Vignette [1] Respiratory Infection: Pneumonia",'QA Log'!Z:Z,"Approved"),"")</f>
        <v/>
      </c>
      <c r="AY238" s="105" t="str">
        <f>IF(A238&lt;&gt;"",COUNTIFS('QA Log'!D:D,A238,'QA Log'!M:M,"Vignette",'QA Log'!L:L,"Vignette [2]: Diarrhea with Cat B dehydration",'QA Log'!Z:Z,"Approved"),"")</f>
        <v/>
      </c>
      <c r="AZ238" s="105" t="str">
        <f>IF(A238&lt;&gt;"",COUNTIFS('QA Log'!D:D,A238,'QA Log'!M:M,"Vignette",'QA Log'!L:L,"Vignette [3] Growth Monitoring and Promotion",'QA Log'!Z:Z,"Approved"),"")</f>
        <v/>
      </c>
      <c r="BA238" s="105" t="str">
        <f>IF(A238&lt;&gt;"",COUNTIFS('QA Log'!D:D,A238,'QA Log'!M:M,"Vignette",'QA Log'!L:L,"Vignette [4]: The management of presumptive TB patient",'QA Log'!Z:Z,"Approved"),"")</f>
        <v/>
      </c>
      <c r="BB238" s="102" t="str">
        <f>IF(A238="","",
  SUM(
    COUNTIFS('QA Log'!D:D,A238,'QA Log'!M:M,"Vignette",'QA Log'!Z:Z,"Rejected",'QA Log'!L:L,"*Vignette [1] Respiratory Infection: Pneumonia*"),
    COUNTIFS('QA Log'!D:D,A238,'QA Log'!M:M,"Vignette",'QA Log'!Z:Z,"Rejected",'QA Log'!L:L,"*Vignette [2]: Diarrhea with Cat B dehydration*"),
    COUNTIFS('QA Log'!D:D,A238,'QA Log'!M:M,"Vignette",'QA Log'!Z:Z,"Rejected",'QA Log'!L:L,"*Vignette [3] Growth Monitoring and Promotion*"),
    COUNTIFS('QA Log'!D:D,A238,'QA Log'!M:M,"Vignette",'QA Log'!Z:Z,"Rejected",'QA Log'!L:L,"*Vignette [4]: The management of presumptive TB patient*")
  )
)</f>
        <v/>
      </c>
      <c r="BC238" s="107" t="str">
        <f t="shared" si="9"/>
        <v/>
      </c>
      <c r="BD238" s="103" t="str">
        <f t="shared" si="10"/>
        <v/>
      </c>
      <c r="BE238" s="102" t="str">
        <f>IF(A238="","",SUM(
COUNTIFS('QA Log'!D:D,A238,'QA Log'!M:M,"Vignette",'QA Log'!L:L,"*Vignette [5] Labor*"),
COUNTIFS('QA Log'!D:D,A238,'QA Log'!M:M,"Vignette",'QA Log'!L:L,"*Vignette [6] PNC pre Discharge*"),
COUNTIFS('QA Log'!D:D,A238,'QA Log'!M:M,"Vignette",'QA Log'!L:L,"*Vignette [7] First ANC Visit*"),
COUNTIFS('QA Log'!D:D,A238,'QA Log'!M:M,"Vignette",'QA Log'!L:L,"*Vignette [8] Birth Spacing/ Family Planning :  FP Counselling*"),
COUNTIFS('QA Log'!D:D,A238,'QA Log'!M:M,"Vignette",'QA Log'!L:L,"*Vignette [9] Birth Spacing: Change FP method to Injectable*"),
COUNTIFS('QA Log'!D:D,A238,'QA Log'!M:M,"Vignette",'QA Log'!L:L,"*Vignette [10] Post Partum Haemorrhage - Atonic Uterus at Health Centre*"),
)
)</f>
        <v/>
      </c>
      <c r="BF238" s="102" t="str">
        <f>IF(A238="","",
  SUM(
    COUNTIFS('QA Log'!D:D,A238,'QA Log'!M:M,"Vignette",'QA Log'!Z:Z,"Approved",'QA Log'!L:L,"*Vignette [5] Labor*"),
    COUNTIFS('QA Log'!D:D,A238,'QA Log'!M:M,"Vignette",'QA Log'!Z:Z,"Approved",'QA Log'!L:L,"*Vignette [6] PNC pre Discharge*"),
    COUNTIFS('QA Log'!D:D,A238,'QA Log'!M:M,"Vignette",'QA Log'!Z:Z,"Approved",'QA Log'!L:L,"*Vignette [7] First ANC Visit*"),
    COUNTIFS('QA Log'!D:D,A238,'QA Log'!M:M,"Vignette",'QA Log'!Z:Z,"Approved",'QA Log'!L:L,"*Vignette [8] Birth Spacing/ Family Planning :  FP Counselling*"),
    COUNTIFS('QA Log'!D:D,A238,'QA Log'!M:M,"Vignette",'QA Log'!Z:Z,"Approved",'QA Log'!L:L,"*Vignette [9] Birth Spacing: Change FP method to Injectable*"),
    COUNTIFS('QA Log'!D:D,A238,'QA Log'!M:M,"Vignette",'QA Log'!Z:Z,"Approved",'QA Log'!L:L,"*Vignette [10] Post Partum Haemorrhage - Atonic Uterus at Health Centre*")
  )
)</f>
        <v/>
      </c>
      <c r="BG238" s="105" t="str">
        <f>IF(A238&lt;&gt;"",COUNTIFS('QA Log'!D:D,A238,'QA Log'!M:M,"Vignette",'QA Log'!L:L,"Vignette [5] Labor",'QA Log'!Z:Z,"Approved"),"")</f>
        <v/>
      </c>
      <c r="BH238" s="105" t="str">
        <f>IF(A238&lt;&gt;"",COUNTIFS('QA Log'!D:D,A238,'QA Log'!M:M,"Vignette",'QA Log'!L:L,"Vignette [6] PNC pre Discharge",'QA Log'!Z:Z,"Approved"),"")</f>
        <v/>
      </c>
      <c r="BI238" s="105" t="str">
        <f>IF(A238&lt;&gt;"",COUNTIFS('QA Log'!D:D,A238,'QA Log'!M:M,"Vignette",'QA Log'!L:L,"Vignette [7] First ANC Visit",'QA Log'!Z:Z,"Approved"),"")</f>
        <v/>
      </c>
      <c r="BJ238" s="105" t="str">
        <f>IF(A238&lt;&gt;"",COUNTIFS('QA Log'!D:D,A238,'QA Log'!M:M,"Vignette",'QA Log'!L:L,"Vignette [8] Birth Spacing/ Family Planning :  FP Counselling",'QA Log'!Z:Z,"Approved"),"")</f>
        <v/>
      </c>
      <c r="BK238" s="105" t="str">
        <f>IF(A238&lt;&gt;"",COUNTIFS('QA Log'!D:D,A238,'QA Log'!M:M,"Vignette",'QA Log'!L:L,"Vignette [9] Birth Spacing: Change FP method to Injectable",'QA Log'!Z:Z,"Approved"),"")</f>
        <v/>
      </c>
      <c r="BL238" s="105" t="str">
        <f>IF(A238&lt;&gt;"",COUNTIFS('QA Log'!D:D,A238,'QA Log'!M:M,"Vignette",'QA Log'!L:L,"Vignette [10] Post Partum Haemorrhage - Atonic Uterus at Health Centre",'QA Log'!Z:Z,"Approved"),"")</f>
        <v/>
      </c>
      <c r="BM238" s="102" t="str">
        <f>IF(A238="","",SUM(
    COUNTIFS('QA Log'!D:D,A238,'QA Log'!M:M,"Vignette",'QA Log'!Z:Z,"Rejected",'QA Log'!L:L,"*Vignette [5] Labor*"),
    COUNTIFS('QA Log'!D:D,A238,'QA Log'!M:M,"Vignette",'QA Log'!Z:Z,"Rejected",'QA Log'!L:L,"*Vignette [6] PNC pre Discharge*"),
    COUNTIFS('QA Log'!D:D,A238,'QA Log'!M:M,"Vignette",'QA Log'!Z:Z,"Rejected",'QA Log'!L:L,"*Vignette [7] First ANC Visit*"),
    COUNTIFS('QA Log'!D:D,A238,'QA Log'!M:M,"Vignette",'QA Log'!Z:Z,"Rejected",'QA Log'!L:L,"*Vignette [8] Birth Spacing/ Family Planning :  FP Counselling*"),
    COUNTIFS('QA Log'!D:D,A238,'QA Log'!M:M,"Vignette",'QA Log'!Z:Z,"Rejected",'QA Log'!L:L,"*Vignette [9] Birth Spacing: Change FP method to Injectable*"),
    COUNTIFS('QA Log'!D:D,A238,'QA Log'!M:M,"Vignette",'QA Log'!Z:Z,"Rejected",'QA Log'!L:L,"*Vignette [10] Post Partum Haemorrhage - Atonic Uterus at Health Centre*")
  )
)</f>
        <v/>
      </c>
      <c r="BN238" s="107" t="str">
        <f t="shared" si="11"/>
        <v/>
      </c>
      <c r="BO238" s="103" t="str">
        <f t="shared" si="12"/>
        <v/>
      </c>
      <c r="BP238" s="102" t="str">
        <f>IF(A238="","",SUM(
COUNTIFS('QA Log'!D:D,A238,'QA Log'!M:M,"Vignette",'QA Log'!L:L,"*Exit Interview 1*"),
COUNTIFS('QA Log'!D:D,A238,'QA Log'!M:M,"Vignette",'QA Log'!L:L,"*Exit Interview 2*"),
)
)</f>
        <v/>
      </c>
      <c r="BQ238" s="102" t="str">
        <f>IF(
  A238="","",
  SUM(
    COUNTIFS('QA Log'!D:D,A238,'QA Log'!M:M,"Vignette",'QA Log'!Z:Z,"Approved",'QA Log'!L:L,"*Exit Interview 1*"),
    COUNTIFS('QA Log'!D:D,A238,'QA Log'!M:M,"Vignette",'QA Log'!Z:Z,"Approved",'QA Log'!L:L,"*Exit Interview 2*")
  )
)</f>
        <v/>
      </c>
      <c r="BR238" s="105" t="str">
        <f>IF(A238&lt;&gt;"",COUNTIFS('QA Log'!D:D,A238,'QA Log'!M:M,"Vignette",'QA Log'!L:L,"Exit Interview 1",'QA Log'!Z:Z,"Approved"),"")</f>
        <v/>
      </c>
      <c r="BS238" s="105" t="str">
        <f>IF(A238&lt;&gt;"",COUNTIFS('QA Log'!D:D,A238,'QA Log'!M:M,"Vignette",'QA Log'!L:L,"Exit Interview 2",'QA Log'!Z:Z,"Approved"),"")</f>
        <v/>
      </c>
      <c r="BT238" s="102" t="str">
        <f>IF(
  A238="","",
  SUM(
    COUNTIFS('QA Log'!D:D,A238,'QA Log'!M:M,"Vignette",'QA Log'!Z:Z,"Rejected",'QA Log'!L:L,"*Exit Interview 1*"),
    COUNTIFS('QA Log'!D:D,A238,'QA Log'!M:M,"Vignette",'QA Log'!Z:Z,"Rejected",'QA Log'!L:L,"*Exit Interview 2*")
  )
)</f>
        <v/>
      </c>
      <c r="BU238" s="107" t="str">
        <f t="shared" si="13"/>
        <v/>
      </c>
      <c r="BV238" s="102" t="str">
        <f t="shared" si="14"/>
        <v/>
      </c>
      <c r="BW238" s="102" t="str">
        <f t="shared" si="15"/>
        <v/>
      </c>
      <c r="BX238" s="102" t="str">
        <f t="shared" si="16"/>
        <v/>
      </c>
      <c r="BY238" s="102" t="str">
        <f t="shared" si="17"/>
        <v/>
      </c>
      <c r="BZ238" s="107" t="str">
        <f t="shared" si="18"/>
        <v/>
      </c>
      <c r="CA238" s="108" t="str">
        <f t="shared" si="19"/>
        <v/>
      </c>
      <c r="CB238" s="108" t="str">
        <f t="shared" si="20"/>
        <v/>
      </c>
      <c r="CC238" s="109" t="str">
        <f t="shared" si="21"/>
        <v/>
      </c>
      <c r="CD238" s="108" t="str">
        <f t="shared" si="22"/>
        <v/>
      </c>
      <c r="CE238" s="108" t="str">
        <f t="shared" si="23"/>
        <v/>
      </c>
      <c r="CF238" s="109" t="str">
        <f t="shared" si="24"/>
        <v/>
      </c>
      <c r="CG238" s="110" t="str">
        <f t="shared" si="25"/>
        <v/>
      </c>
      <c r="CH238" s="111"/>
    </row>
    <row r="239" spans="1:86" ht="12.75">
      <c r="A239" s="101"/>
      <c r="B239" s="102" t="e">
        <f t="array" aca="1" ref="B239" ca="1">_xludf.XLOOKUP(A239,'QA Log'!D:D,'QA Log'!E:E,"")</f>
        <v>#NAME?</v>
      </c>
      <c r="C239" s="102" t="e">
        <f t="array" aca="1" ref="C239" ca="1">_xludf.XLOOKUP(A239,'QA Log'!D:D,'QA Log'!F:F,"")</f>
        <v>#NAME?</v>
      </c>
      <c r="D239" s="102" t="e">
        <f t="array" aca="1" ref="D239" ca="1">_xludf.XLOOKUP(A239,'QA Log'!D:D,'QA Log'!H:H,"")</f>
        <v>#NAME?</v>
      </c>
      <c r="E239" s="102" t="e">
        <f t="array" aca="1" ref="E239" ca="1">_xludf.XLOOKUP(A239,'QA Log'!D:D,'QA Log'!G:G,"")</f>
        <v>#NAME?</v>
      </c>
      <c r="F239" s="103"/>
      <c r="G239" s="104"/>
      <c r="H239" s="104"/>
      <c r="I239" s="103" t="str">
        <f t="shared" si="0"/>
        <v/>
      </c>
      <c r="J239" s="102" t="str">
        <f>IF(A239="","",SUM(
COUNTIFS('QA Log'!D:D,A239,'QA Log'!M:M,"QQC",'QA Log'!L:L,"*1. General Management*"),
COUNTIFS('QA Log'!D:D,A239,'QA Log'!M:M,"QQC",'QA Log'!L:L,"*3. Curative Consultation (OPD)*"),
COUNTIFS('QA Log'!D:D,A239,'QA Log'!M:M,"QQC",'QA Log'!L:L,"*5. Laboratory*"),
COUNTIFS('QA Log'!D:D,A239,'QA Log'!M:M,"QQC",'QA Log'!L:L,"*6. Essential Medicine Management*"),
COUNTIFS('QA Log'!D:D,A239,'QA Log'!M:M,"QQC",'QA Log'!L:L,"*7. Tracer Medicine*"),
COUNTIFS('QA Log'!D:D,A239,'QA Log'!M:M,"QQC",'QA Log'!L:L,"*11. Additional Questions*")))</f>
        <v/>
      </c>
      <c r="K239" s="102" t="str">
        <f>IF(A239="","",SUM(
COUNTIFS('QA Log'!D:D,A239,'QA Log'!M:M,"QQC",'QA Log'!Z:Z,"Approved",'QA Log'!L:L,"*1. General Management*"),
COUNTIFS('QA Log'!D:D,A239,'QA Log'!M:M,"QQC",'QA Log'!Z:Z,"Approved",'QA Log'!L:L,"*3. Curative Consultation (OPD)*"),
COUNTIFS('QA Log'!D:D,A239,'QA Log'!M:M,"QQC",'QA Log'!Z:Z,"Approved",'QA Log'!L:L,"*5. Laboratory*"),
COUNTIFS('QA Log'!D:D,A239,'QA Log'!M:M,"QQC",'QA Log'!Z:Z,"Approved",'QA Log'!L:L,"*6. Essential Medicine Management*"),
COUNTIFS('QA Log'!D:D,A239,'QA Log'!M:M,"QQC",'QA Log'!Z:Z,"Approved",'QA Log'!L:L,"*7. Tracer Medicine*"),
COUNTIFS('QA Log'!D:D,A239,'QA Log'!M:M,"QQC",'QA Log'!Z:Z,"Approved",'QA Log'!L:L,"*11. Additional Questions*")))</f>
        <v/>
      </c>
      <c r="L239" s="105" t="str">
        <f>IF(A239&lt;&gt;"",COUNTIFS('QA Log'!D:D,A239,'QA Log'!M:M,"QQC",'QA Log'!L:L,"1. General Management",'QA Log'!Z:Z,"Approved"),"")</f>
        <v/>
      </c>
      <c r="M239" s="105" t="str">
        <f>IF(A239&lt;&gt;"",COUNTIFS('QA Log'!D:D,A239,'QA Log'!M:M,"QQC",'QA Log'!L:L,"3. Curative Consultation (OPD)",'QA Log'!Z:Z,"Approved"),"")</f>
        <v/>
      </c>
      <c r="N239" s="105" t="str">
        <f>IF(A239&lt;&gt;"",COUNTIFS('QA Log'!D:D,A239,'QA Log'!M:M,"QQC",'QA Log'!L:L,"5. Laboratory",'QA Log'!Z:Z,"Approved"),"")</f>
        <v/>
      </c>
      <c r="O239" s="105" t="str">
        <f>IF(A239&lt;&gt;"",COUNTIFS('QA Log'!D:D,A239,'QA Log'!M:M,"QQC",'QA Log'!L:L,"6. Essential Medicine Management",'QA Log'!Z:Z,"Approved"),"")</f>
        <v/>
      </c>
      <c r="P239" s="105" t="str">
        <f>IF(A239&lt;&gt;"",COUNTIFS('QA Log'!D:D,A239,'QA Log'!M:M,"QQC",'QA Log'!L:L,"7. Tracer Medicine",'QA Log'!Z:Z,"Approved"),"")</f>
        <v/>
      </c>
      <c r="Q239" s="105" t="str">
        <f>IF(A239&lt;&gt;"",COUNTIFS('QA Log'!D:D,A239,'QA Log'!M:M,"QQC",'QA Log'!L:L,"11. Additional Questions",'QA Log'!Z:Z,"Approved"),"")</f>
        <v/>
      </c>
      <c r="R239" s="102" t="str">
        <f>IF(A239="","",SUM(
COUNTIFS('QA Log'!D:D,A239,'QA Log'!M:M,"QQC",'QA Log'!Z:Z,"Rejected",'QA Log'!L:L,"*8. Maternity*"),
COUNTIFS('QA Log'!D:D,A239,'QA Log'!M:M,"QQC",'QA Log'!Z:Z,"Rejected",'QA Log'!L:L,"*EPI*"),
COUNTIFS('QA Log'!D:D,A239,'QA Log'!M:M,"QQC",'QA Log'!Z:Z,"Rejected",'QA Log'!L:L,"*10. Antenatal Care (ANC)*"),
COUNTIFS('QA Log'!D:D,A239,'QA Log'!M:M,"QQC",'QA Log'!Z:Z,"Rejected",'QA Log'!L:L,"*2. Hygiene and Sterilization*"),
COUNTIFS('QA Log'!D:D,A239,'QA Log'!M:M,"QQC",'QA Log'!Z:Z,"Rejected",'QA Log'!L:L,"*Family Planning*")))</f>
        <v/>
      </c>
      <c r="S239" s="106" t="str">
        <f t="shared" si="1"/>
        <v/>
      </c>
      <c r="T239" s="102" t="str">
        <f t="shared" si="2"/>
        <v/>
      </c>
      <c r="U239" s="102" t="str">
        <f>IF(A239="","",
SUM(
COUNTIFS('QA Log'!D:D,A239,'QA Log'!M:M,"QQC",'QA Log'!L:L,"*8. Maternity*"),
COUNTIFS('QA Log'!D:D,A239,'QA Log'!M:M,"QQC",'QA Log'!L:L,"*9. EPI and Pre-school Consultation*"),
COUNTIFS('QA Log'!D:D,A239,'QA Log'!M:M,"QQC",'QA Log'!L:L,"*10. Antenatal Care (ANC)*"),
COUNTIFS('QA Log'!D:D,A239,'QA Log'!M:M,"QQC",'QA Log'!L:L,"*2. Hygiene and Sterilization*"),
COUNTIFS('QA Log'!D:D,A239,'QA Log'!M:M,"QQC",'QA Log'!L:L,"*4. Family Planning*")
))</f>
        <v/>
      </c>
      <c r="V239" s="102" t="str">
        <f>IF(A239="","",
SUM(
COUNTIFS('QA Log'!D:D,A239,'QA Log'!M:M,"QQC",'QA Log'!Z:Z,"Approved",'QA Log'!L:L,"*8. Maternity*"),
COUNTIFS('QA Log'!D:D,A239,'QA Log'!M:M,"QQC",'QA Log'!Z:Z,"Approved",'QA Log'!L:L,"*9. EPI and Pre-school Consultation*"),
COUNTIFS('QA Log'!D:D,A239,'QA Log'!M:M,"QQC",'QA Log'!Z:Z,"Approved",'QA Log'!L:L,"*10. Antenatal Care (ANC)*"),
COUNTIFS('QA Log'!D:D,A239,'QA Log'!M:M,"QQC",'QA Log'!Z:Z,"Approved",'QA Log'!L:L,"*2. Hygiene and Sterilization*"),
COUNTIFS('QA Log'!D:D,A239,'QA Log'!M:M,"QQC",'QA Log'!Z:Z,"Approved",'QA Log'!L:L,"*4. Family Planning*")
))</f>
        <v/>
      </c>
      <c r="W239" s="105" t="str">
        <f>IF(A239&lt;&gt;"",COUNTIFS('QA Log'!D:D,A239,'QA Log'!M:M,"QQC",'QA Log'!L:L,"8. Maternity",'QA Log'!Z:Z,"Approved"),"")</f>
        <v/>
      </c>
      <c r="X239" s="105" t="str">
        <f>IF(A239&lt;&gt;"",COUNTIFS('QA Log'!D:D,A239,'QA Log'!M:M,"QQC",'QA Log'!L:L,"9. EPI and Pre-school Consultation",'QA Log'!Z:Z,"Approved"),"")</f>
        <v/>
      </c>
      <c r="Y239" s="105" t="str">
        <f>IF(A239&lt;&gt;"",COUNTIFS('QA Log'!D:D,A239,'QA Log'!M:M,"QQC",'QA Log'!L:L,"10. Antenatal Care (ANC)",'QA Log'!Z:Z,"Approved"),"")</f>
        <v/>
      </c>
      <c r="Z239" s="105" t="str">
        <f>IF(A239&lt;&gt;"",COUNTIFS('QA Log'!D:D,A239,'QA Log'!M:M,"QQC",'QA Log'!L:L,"2. Hygiene and Sterilization",'QA Log'!Z:Z,"Approved"),"")</f>
        <v/>
      </c>
      <c r="AA239" s="105" t="str">
        <f>IF(A239&lt;&gt;"",COUNTIFS('QA Log'!D:D,A239,'QA Log'!M:M,"QQC",'QA Log'!L:L,"4. Family Planning",'QA Log'!Z:Z,"Approved"),"")</f>
        <v/>
      </c>
      <c r="AB239" s="102" t="str">
        <f>IF(A239="","",
SUM(
COUNTIFS('QA Log'!D:D,A239,'QA Log'!M:M,"QQC",'QA Log'!Z:Z,"Rejected",'QA Log'!L:L,"*8. Maternity*"),
COUNTIFS('QA Log'!D:D,A239,'QA Log'!M:M,"QQC",'QA Log'!Z:Z,"Rejected",'QA Log'!L:L,"*9. EPI and Pre-school Consultation*"),
COUNTIFS('QA Log'!D:D,A239,'QA Log'!M:M,"QQC",'QA Log'!Z:Z,"Rejected",'QA Log'!L:L,"*10. Antenatal Care (ANC)*"),
COUNTIFS('QA Log'!D:D,A239,'QA Log'!M:M,"QQC",'QA Log'!Z:Z,"Rejected",'QA Log'!L:L,"*2. Hygiene and Sterilization*"),
COUNTIFS('QA Log'!D:D,A239,'QA Log'!M:M,"QQC",'QA Log'!Z:Z,"Rejected",'QA Log'!L:L,"*4. Family Planning*")
))</f>
        <v/>
      </c>
      <c r="AC239" s="102" t="str">
        <f t="shared" si="3"/>
        <v/>
      </c>
      <c r="AD239" s="103" t="str">
        <f t="shared" si="4"/>
        <v/>
      </c>
      <c r="AE239" s="102" t="str">
        <f>IF(A239="","",
SUM(
COUNTIFS('QA Log'!D:D,A239,'QA Log'!M:M,"Data Verification",'QA Log'!L:L,"*Medicine (section 2)*"),
COUNTIFS('QA Log'!D:D,A239,'QA Log'!M:M,"Data Verification",'QA Log'!L:L,"*Lab Testing Availability*"),
COUNTIFS('QA Log'!D:D,A239,'QA Log'!M:M,"Data Verification",'QA Log'!L:L,"*Other than P4P (section 6)*"),
COUNTIFS('QA Log'!D:D,A239,'QA Log'!M:M,"Data Verification",'QA Log'!L:L,"*Hospital Governance*")
))</f>
        <v/>
      </c>
      <c r="AF239" s="102" t="str">
        <f>IF(A239="","",
SUM(
COUNTIFS('QA Log'!D:D,A239,'QA Log'!M:M,"Data Verification",'QA Log'!Z:Z,"Approved",'QA Log'!L:L,"*Medicine (section 2)*"),
COUNTIFS('QA Log'!D:D,A239,'QA Log'!M:M,"Data Verification",'QA Log'!Z:Z,"Approved",'QA Log'!L:L,"*Lab Testing Availability*"),
COUNTIFS('QA Log'!D:D,A239,'QA Log'!M:M,"Data Verification",'QA Log'!Z:Z,"Approved",'QA Log'!L:L,"*Other than P4P (section 6)*"),
COUNTIFS('QA Log'!D:D,A239,'QA Log'!M:M,"Data Verification",'QA Log'!Z:Z,"Approved",'QA Log'!L:L,"*Hospital Governance*")
))</f>
        <v/>
      </c>
      <c r="AG239" s="105" t="str">
        <f>IF(A239&lt;&gt;"",COUNTIFS('QA Log'!D:D,A239,'QA Log'!M:M,"Data Verification",'QA Log'!L:L,"Medicine (section 2)",'QA Log'!Z:Z,"Approved"),"")</f>
        <v/>
      </c>
      <c r="AH239" s="105" t="str">
        <f>IF(A239&lt;&gt;"",COUNTIFS('QA Log'!D:D,A239,'QA Log'!M:M,"Data Verification",'QA Log'!L:L,"Lab Testing Availability",'QA Log'!Z:Z,"Approved"),"")</f>
        <v/>
      </c>
      <c r="AI239" s="105" t="str">
        <f>IF(A239&lt;&gt;"",COUNTIFS('QA Log'!D:D,A239,'QA Log'!M:M,"Data Verification",'QA Log'!L:L,"Other than P4P (section 6)",'QA Log'!Z:Z,"Approved"),"")</f>
        <v/>
      </c>
      <c r="AJ239" s="105" t="str">
        <f>IF(A239&lt;&gt;"",COUNTIFS('QA Log'!D:D,A239,'QA Log'!M:M,"Data Verification",'QA Log'!L:L,"Hospital Governance",'QA Log'!Z:Z,"Approved"),"")</f>
        <v/>
      </c>
      <c r="AK239" s="102" t="str">
        <f>IF(A239="","",
SUM(
COUNTIFS('QA Log'!D:D,A239,'QA Log'!M:M,"Data Verification",'QA Log'!Z:Z,"Rejected",'QA Log'!L:L,"*Medicine (section 2)*"),
COUNTIFS('QA Log'!D:D,A239,'QA Log'!M:M,"Data Verification",'QA Log'!Z:Z,"Rejected",'QA Log'!L:L,"*Lab Testing Availability*"),
COUNTIFS('QA Log'!D:D,A239,'QA Log'!M:M,"Data Verification",'QA Log'!Z:Z,"Rejected",'QA Log'!L:L,"*Other than P4P (section 6)*"),
COUNTIFS('QA Log'!D:D,A239,'QA Log'!M:M,"Data Verification",'QA Log'!Z:Z,"Rejected",'QA Log'!L:L,"*Hospital Governance*")
))</f>
        <v/>
      </c>
      <c r="AL239" s="106" t="str">
        <f t="shared" si="5"/>
        <v/>
      </c>
      <c r="AM239" s="102" t="str">
        <f t="shared" si="6"/>
        <v/>
      </c>
      <c r="AN239" s="102" t="str">
        <f>IF(A239="","",
SUM(
COUNTIFS('QA Log'!D:D,A239,'QA Log'!M:M,"Data Verification",'QA Log'!L:L,"*Personnel (section 1)*"),
COUNTIFS('QA Log'!D:D,A239,'QA Log'!M:M,"Data Verification",'QA Log'!L:L,"*Consumable (section 3)*"),
COUNTIFS('QA Log'!D:D,A239,'QA Log'!M:M,"Data Verification",'QA Log'!L:L,"*Equipments (section 4)*")
))</f>
        <v/>
      </c>
      <c r="AO239" s="102" t="str">
        <f>IF(A239="","",
SUM(
COUNTIFS('QA Log'!D:D,A239,'QA Log'!M:M,"Data Verification",'QA Log'!Z:Z,"Approved",'QA Log'!L:L,"*Personnel (section 1)*"),
COUNTIFS('QA Log'!D:D,A239,'QA Log'!M:M,"Data Verification",'QA Log'!Z:Z,"Approved",'QA Log'!L:L,"*Consumable (section 3)*"),
COUNTIFS('QA Log'!D:D,A239,'QA Log'!M:M,"Data Verification",'QA Log'!Z:Z,"Approved",'QA Log'!L:L,"*Equipments (section 4)*")
))</f>
        <v/>
      </c>
      <c r="AP239" s="105" t="str">
        <f>IF(A239&lt;&gt;"",COUNTIFS('QA Log'!D:D,A239,'QA Log'!M:M,"Data Verification",'QA Log'!L:L,"Personnel (section 1)",'QA Log'!Z:Z,"Approved"),"")</f>
        <v/>
      </c>
      <c r="AQ239" s="105" t="str">
        <f>IF(A239&lt;&gt;"",COUNTIFS('QA Log'!D:D,A239,'QA Log'!M:M,"Data Verification",'QA Log'!L:L,"Consumable (section 3)",'QA Log'!Z:Z,"Approved"),"")</f>
        <v/>
      </c>
      <c r="AR239" s="105" t="str">
        <f>IF(A239&lt;&gt;"",COUNTIFS('QA Log'!D:D,A239,'QA Log'!M:M,"Data Verification",'QA Log'!L:L,"Equipments (section 4)",'QA Log'!Z:Z,"Approved"),"")</f>
        <v/>
      </c>
      <c r="AS239" s="102" t="str">
        <f>IF(A239="","",
SUM(
COUNTIFS('QA Log'!D:D,A239,'QA Log'!M:M,"Data Verification",'QA Log'!Z:Z,"Rejected",'QA Log'!L:L,"*Personnel (section 1)*"),
COUNTIFS('QA Log'!D:D,A239,'QA Log'!M:M,"Data Verification",'QA Log'!Z:Z,"Rejected",'QA Log'!L:L,"*Consumable (section 3)*"),
COUNTIFS('QA Log'!D:D,A239,'QA Log'!M:M,"Data Verification",'QA Log'!Z:Z,"Rejected",'QA Log'!L:L,"*Equipments (section 4)*")
))</f>
        <v/>
      </c>
      <c r="AT239" s="102" t="str">
        <f t="shared" si="7"/>
        <v/>
      </c>
      <c r="AU239" s="103" t="str">
        <f t="shared" si="8"/>
        <v/>
      </c>
      <c r="AV239" s="102" t="str">
        <f>IF(A239="","",SUM(
COUNTIFS('QA Log'!D:D,A239,'QA Log'!M:M,"Vignette",'QA Log'!L:L,"*Vignette [1] Respiratory Infection: Pneumonia*"),
COUNTIFS('QA Log'!D:D,A239,'QA Log'!M:M,"Vignette",'QA Log'!L:L,"*Vignette [2]: Diarrhea with Cat B dehydration*"),
COUNTIFS('QA Log'!D:D,A239,'QA Log'!M:M,"Vignette",'QA Log'!L:L,"*Vignette [3] Growth Monitoring and Promotion*"),
COUNTIFS('QA Log'!D:D,A239,'QA Log'!M:M,"Vignette",'QA Log'!L:L,"*Vignette [4]: The management of presumptive TB patient*")
)
)</f>
        <v/>
      </c>
      <c r="AW239" s="102" t="str">
        <f>IF(
  A239="","",
  SUM(
    COUNTIFS('QA Log'!D:D,A239,'QA Log'!M:M,"Vignette",'QA Log'!Z:Z,"Approved",'QA Log'!L:L,"*Vignette [1] Respiratory Infection: Pneumonia*"),
    COUNTIFS('QA Log'!D:D,A239,'QA Log'!M:M,"Vignette",'QA Log'!Z:Z,"Approved",'QA Log'!L:L,"*Vignette [2]: Diarrhea with Cat B dehydration*"),
    COUNTIFS('QA Log'!D:D,A239,'QA Log'!M:M,"Vignette",'QA Log'!Z:Z,"Approved",'QA Log'!L:L,"*Vignette [3] Growth Monitoring and Promotion*"),
    COUNTIFS('QA Log'!D:D,A239,'QA Log'!M:M,"Vignette",'QA Log'!Z:Z,"Approved",'QA Log'!L:L,"*Vignette [4]: The management of presumptive TB patient*")
  )
)</f>
        <v/>
      </c>
      <c r="AX239" s="105" t="str">
        <f>IF(A239&lt;&gt;"",COUNTIFS('QA Log'!D:D,A239,'QA Log'!M:M,"Vignette",'QA Log'!L:L,"Vignette [1] Respiratory Infection: Pneumonia",'QA Log'!Z:Z,"Approved"),"")</f>
        <v/>
      </c>
      <c r="AY239" s="105" t="str">
        <f>IF(A239&lt;&gt;"",COUNTIFS('QA Log'!D:D,A239,'QA Log'!M:M,"Vignette",'QA Log'!L:L,"Vignette [2]: Diarrhea with Cat B dehydration",'QA Log'!Z:Z,"Approved"),"")</f>
        <v/>
      </c>
      <c r="AZ239" s="105" t="str">
        <f>IF(A239&lt;&gt;"",COUNTIFS('QA Log'!D:D,A239,'QA Log'!M:M,"Vignette",'QA Log'!L:L,"Vignette [3] Growth Monitoring and Promotion",'QA Log'!Z:Z,"Approved"),"")</f>
        <v/>
      </c>
      <c r="BA239" s="105" t="str">
        <f>IF(A239&lt;&gt;"",COUNTIFS('QA Log'!D:D,A239,'QA Log'!M:M,"Vignette",'QA Log'!L:L,"Vignette [4]: The management of presumptive TB patient",'QA Log'!Z:Z,"Approved"),"")</f>
        <v/>
      </c>
      <c r="BB239" s="102" t="str">
        <f>IF(A239="","",
  SUM(
    COUNTIFS('QA Log'!D:D,A239,'QA Log'!M:M,"Vignette",'QA Log'!Z:Z,"Rejected",'QA Log'!L:L,"*Vignette [1] Respiratory Infection: Pneumonia*"),
    COUNTIFS('QA Log'!D:D,A239,'QA Log'!M:M,"Vignette",'QA Log'!Z:Z,"Rejected",'QA Log'!L:L,"*Vignette [2]: Diarrhea with Cat B dehydration*"),
    COUNTIFS('QA Log'!D:D,A239,'QA Log'!M:M,"Vignette",'QA Log'!Z:Z,"Rejected",'QA Log'!L:L,"*Vignette [3] Growth Monitoring and Promotion*"),
    COUNTIFS('QA Log'!D:D,A239,'QA Log'!M:M,"Vignette",'QA Log'!Z:Z,"Rejected",'QA Log'!L:L,"*Vignette [4]: The management of presumptive TB patient*")
  )
)</f>
        <v/>
      </c>
      <c r="BC239" s="107" t="str">
        <f t="shared" si="9"/>
        <v/>
      </c>
      <c r="BD239" s="103" t="str">
        <f t="shared" si="10"/>
        <v/>
      </c>
      <c r="BE239" s="102" t="str">
        <f>IF(A239="","",SUM(
COUNTIFS('QA Log'!D:D,A239,'QA Log'!M:M,"Vignette",'QA Log'!L:L,"*Vignette [5] Labor*"),
COUNTIFS('QA Log'!D:D,A239,'QA Log'!M:M,"Vignette",'QA Log'!L:L,"*Vignette [6] PNC pre Discharge*"),
COUNTIFS('QA Log'!D:D,A239,'QA Log'!M:M,"Vignette",'QA Log'!L:L,"*Vignette [7] First ANC Visit*"),
COUNTIFS('QA Log'!D:D,A239,'QA Log'!M:M,"Vignette",'QA Log'!L:L,"*Vignette [8] Birth Spacing/ Family Planning :  FP Counselling*"),
COUNTIFS('QA Log'!D:D,A239,'QA Log'!M:M,"Vignette",'QA Log'!L:L,"*Vignette [9] Birth Spacing: Change FP method to Injectable*"),
COUNTIFS('QA Log'!D:D,A239,'QA Log'!M:M,"Vignette",'QA Log'!L:L,"*Vignette [10] Post Partum Haemorrhage - Atonic Uterus at Health Centre*"),
)
)</f>
        <v/>
      </c>
      <c r="BF239" s="102" t="str">
        <f>IF(A239="","",
  SUM(
    COUNTIFS('QA Log'!D:D,A239,'QA Log'!M:M,"Vignette",'QA Log'!Z:Z,"Approved",'QA Log'!L:L,"*Vignette [5] Labor*"),
    COUNTIFS('QA Log'!D:D,A239,'QA Log'!M:M,"Vignette",'QA Log'!Z:Z,"Approved",'QA Log'!L:L,"*Vignette [6] PNC pre Discharge*"),
    COUNTIFS('QA Log'!D:D,A239,'QA Log'!M:M,"Vignette",'QA Log'!Z:Z,"Approved",'QA Log'!L:L,"*Vignette [7] First ANC Visit*"),
    COUNTIFS('QA Log'!D:D,A239,'QA Log'!M:M,"Vignette",'QA Log'!Z:Z,"Approved",'QA Log'!L:L,"*Vignette [8] Birth Spacing/ Family Planning :  FP Counselling*"),
    COUNTIFS('QA Log'!D:D,A239,'QA Log'!M:M,"Vignette",'QA Log'!Z:Z,"Approved",'QA Log'!L:L,"*Vignette [9] Birth Spacing: Change FP method to Injectable*"),
    COUNTIFS('QA Log'!D:D,A239,'QA Log'!M:M,"Vignette",'QA Log'!Z:Z,"Approved",'QA Log'!L:L,"*Vignette [10] Post Partum Haemorrhage - Atonic Uterus at Health Centre*")
  )
)</f>
        <v/>
      </c>
      <c r="BG239" s="105" t="str">
        <f>IF(A239&lt;&gt;"",COUNTIFS('QA Log'!D:D,A239,'QA Log'!M:M,"Vignette",'QA Log'!L:L,"Vignette [5] Labor",'QA Log'!Z:Z,"Approved"),"")</f>
        <v/>
      </c>
      <c r="BH239" s="105" t="str">
        <f>IF(A239&lt;&gt;"",COUNTIFS('QA Log'!D:D,A239,'QA Log'!M:M,"Vignette",'QA Log'!L:L,"Vignette [6] PNC pre Discharge",'QA Log'!Z:Z,"Approved"),"")</f>
        <v/>
      </c>
      <c r="BI239" s="105" t="str">
        <f>IF(A239&lt;&gt;"",COUNTIFS('QA Log'!D:D,A239,'QA Log'!M:M,"Vignette",'QA Log'!L:L,"Vignette [7] First ANC Visit",'QA Log'!Z:Z,"Approved"),"")</f>
        <v/>
      </c>
      <c r="BJ239" s="105" t="str">
        <f>IF(A239&lt;&gt;"",COUNTIFS('QA Log'!D:D,A239,'QA Log'!M:M,"Vignette",'QA Log'!L:L,"Vignette [8] Birth Spacing/ Family Planning :  FP Counselling",'QA Log'!Z:Z,"Approved"),"")</f>
        <v/>
      </c>
      <c r="BK239" s="105" t="str">
        <f>IF(A239&lt;&gt;"",COUNTIFS('QA Log'!D:D,A239,'QA Log'!M:M,"Vignette",'QA Log'!L:L,"Vignette [9] Birth Spacing: Change FP method to Injectable",'QA Log'!Z:Z,"Approved"),"")</f>
        <v/>
      </c>
      <c r="BL239" s="105" t="str">
        <f>IF(A239&lt;&gt;"",COUNTIFS('QA Log'!D:D,A239,'QA Log'!M:M,"Vignette",'QA Log'!L:L,"Vignette [10] Post Partum Haemorrhage - Atonic Uterus at Health Centre",'QA Log'!Z:Z,"Approved"),"")</f>
        <v/>
      </c>
      <c r="BM239" s="102" t="str">
        <f>IF(A239="","",SUM(
    COUNTIFS('QA Log'!D:D,A239,'QA Log'!M:M,"Vignette",'QA Log'!Z:Z,"Rejected",'QA Log'!L:L,"*Vignette [5] Labor*"),
    COUNTIFS('QA Log'!D:D,A239,'QA Log'!M:M,"Vignette",'QA Log'!Z:Z,"Rejected",'QA Log'!L:L,"*Vignette [6] PNC pre Discharge*"),
    COUNTIFS('QA Log'!D:D,A239,'QA Log'!M:M,"Vignette",'QA Log'!Z:Z,"Rejected",'QA Log'!L:L,"*Vignette [7] First ANC Visit*"),
    COUNTIFS('QA Log'!D:D,A239,'QA Log'!M:M,"Vignette",'QA Log'!Z:Z,"Rejected",'QA Log'!L:L,"*Vignette [8] Birth Spacing/ Family Planning :  FP Counselling*"),
    COUNTIFS('QA Log'!D:D,A239,'QA Log'!M:M,"Vignette",'QA Log'!Z:Z,"Rejected",'QA Log'!L:L,"*Vignette [9] Birth Spacing: Change FP method to Injectable*"),
    COUNTIFS('QA Log'!D:D,A239,'QA Log'!M:M,"Vignette",'QA Log'!Z:Z,"Rejected",'QA Log'!L:L,"*Vignette [10] Post Partum Haemorrhage - Atonic Uterus at Health Centre*")
  )
)</f>
        <v/>
      </c>
      <c r="BN239" s="107" t="str">
        <f t="shared" si="11"/>
        <v/>
      </c>
      <c r="BO239" s="103" t="str">
        <f t="shared" si="12"/>
        <v/>
      </c>
      <c r="BP239" s="102" t="str">
        <f>IF(A239="","",SUM(
COUNTIFS('QA Log'!D:D,A239,'QA Log'!M:M,"Vignette",'QA Log'!L:L,"*Exit Interview 1*"),
COUNTIFS('QA Log'!D:D,A239,'QA Log'!M:M,"Vignette",'QA Log'!L:L,"*Exit Interview 2*"),
)
)</f>
        <v/>
      </c>
      <c r="BQ239" s="102" t="str">
        <f>IF(
  A239="","",
  SUM(
    COUNTIFS('QA Log'!D:D,A239,'QA Log'!M:M,"Vignette",'QA Log'!Z:Z,"Approved",'QA Log'!L:L,"*Exit Interview 1*"),
    COUNTIFS('QA Log'!D:D,A239,'QA Log'!M:M,"Vignette",'QA Log'!Z:Z,"Approved",'QA Log'!L:L,"*Exit Interview 2*")
  )
)</f>
        <v/>
      </c>
      <c r="BR239" s="105" t="str">
        <f>IF(A239&lt;&gt;"",COUNTIFS('QA Log'!D:D,A239,'QA Log'!M:M,"Vignette",'QA Log'!L:L,"Exit Interview 1",'QA Log'!Z:Z,"Approved"),"")</f>
        <v/>
      </c>
      <c r="BS239" s="105" t="str">
        <f>IF(A239&lt;&gt;"",COUNTIFS('QA Log'!D:D,A239,'QA Log'!M:M,"Vignette",'QA Log'!L:L,"Exit Interview 2",'QA Log'!Z:Z,"Approved"),"")</f>
        <v/>
      </c>
      <c r="BT239" s="102" t="str">
        <f>IF(
  A239="","",
  SUM(
    COUNTIFS('QA Log'!D:D,A239,'QA Log'!M:M,"Vignette",'QA Log'!Z:Z,"Rejected",'QA Log'!L:L,"*Exit Interview 1*"),
    COUNTIFS('QA Log'!D:D,A239,'QA Log'!M:M,"Vignette",'QA Log'!Z:Z,"Rejected",'QA Log'!L:L,"*Exit Interview 2*")
  )
)</f>
        <v/>
      </c>
      <c r="BU239" s="107" t="str">
        <f t="shared" si="13"/>
        <v/>
      </c>
      <c r="BV239" s="102" t="str">
        <f t="shared" si="14"/>
        <v/>
      </c>
      <c r="BW239" s="102" t="str">
        <f t="shared" si="15"/>
        <v/>
      </c>
      <c r="BX239" s="102" t="str">
        <f t="shared" si="16"/>
        <v/>
      </c>
      <c r="BY239" s="102" t="str">
        <f t="shared" si="17"/>
        <v/>
      </c>
      <c r="BZ239" s="107" t="str">
        <f t="shared" si="18"/>
        <v/>
      </c>
      <c r="CA239" s="108" t="str">
        <f t="shared" si="19"/>
        <v/>
      </c>
      <c r="CB239" s="108" t="str">
        <f t="shared" si="20"/>
        <v/>
      </c>
      <c r="CC239" s="109" t="str">
        <f t="shared" si="21"/>
        <v/>
      </c>
      <c r="CD239" s="108" t="str">
        <f t="shared" si="22"/>
        <v/>
      </c>
      <c r="CE239" s="108" t="str">
        <f t="shared" si="23"/>
        <v/>
      </c>
      <c r="CF239" s="109" t="str">
        <f t="shared" si="24"/>
        <v/>
      </c>
      <c r="CG239" s="110" t="str">
        <f t="shared" si="25"/>
        <v/>
      </c>
      <c r="CH239" s="111"/>
    </row>
    <row r="240" spans="1:86" ht="12.75">
      <c r="A240" s="101"/>
      <c r="B240" s="102" t="e">
        <f t="array" aca="1" ref="B240" ca="1">_xludf.XLOOKUP(A240,'QA Log'!D:D,'QA Log'!E:E,"")</f>
        <v>#NAME?</v>
      </c>
      <c r="C240" s="102" t="e">
        <f t="array" aca="1" ref="C240" ca="1">_xludf.XLOOKUP(A240,'QA Log'!D:D,'QA Log'!F:F,"")</f>
        <v>#NAME?</v>
      </c>
      <c r="D240" s="102" t="e">
        <f t="array" aca="1" ref="D240" ca="1">_xludf.XLOOKUP(A240,'QA Log'!D:D,'QA Log'!H:H,"")</f>
        <v>#NAME?</v>
      </c>
      <c r="E240" s="102" t="e">
        <f t="array" aca="1" ref="E240" ca="1">_xludf.XLOOKUP(A240,'QA Log'!D:D,'QA Log'!G:G,"")</f>
        <v>#NAME?</v>
      </c>
      <c r="F240" s="103"/>
      <c r="G240" s="104"/>
      <c r="H240" s="104"/>
      <c r="I240" s="103" t="str">
        <f t="shared" si="0"/>
        <v/>
      </c>
      <c r="J240" s="102" t="str">
        <f>IF(A240="","",SUM(
COUNTIFS('QA Log'!D:D,A240,'QA Log'!M:M,"QQC",'QA Log'!L:L,"*1. General Management*"),
COUNTIFS('QA Log'!D:D,A240,'QA Log'!M:M,"QQC",'QA Log'!L:L,"*3. Curative Consultation (OPD)*"),
COUNTIFS('QA Log'!D:D,A240,'QA Log'!M:M,"QQC",'QA Log'!L:L,"*5. Laboratory*"),
COUNTIFS('QA Log'!D:D,A240,'QA Log'!M:M,"QQC",'QA Log'!L:L,"*6. Essential Medicine Management*"),
COUNTIFS('QA Log'!D:D,A240,'QA Log'!M:M,"QQC",'QA Log'!L:L,"*7. Tracer Medicine*"),
COUNTIFS('QA Log'!D:D,A240,'QA Log'!M:M,"QQC",'QA Log'!L:L,"*11. Additional Questions*")))</f>
        <v/>
      </c>
      <c r="K240" s="102" t="str">
        <f>IF(A240="","",SUM(
COUNTIFS('QA Log'!D:D,A240,'QA Log'!M:M,"QQC",'QA Log'!Z:Z,"Approved",'QA Log'!L:L,"*1. General Management*"),
COUNTIFS('QA Log'!D:D,A240,'QA Log'!M:M,"QQC",'QA Log'!Z:Z,"Approved",'QA Log'!L:L,"*3. Curative Consultation (OPD)*"),
COUNTIFS('QA Log'!D:D,A240,'QA Log'!M:M,"QQC",'QA Log'!Z:Z,"Approved",'QA Log'!L:L,"*5. Laboratory*"),
COUNTIFS('QA Log'!D:D,A240,'QA Log'!M:M,"QQC",'QA Log'!Z:Z,"Approved",'QA Log'!L:L,"*6. Essential Medicine Management*"),
COUNTIFS('QA Log'!D:D,A240,'QA Log'!M:M,"QQC",'QA Log'!Z:Z,"Approved",'QA Log'!L:L,"*7. Tracer Medicine*"),
COUNTIFS('QA Log'!D:D,A240,'QA Log'!M:M,"QQC",'QA Log'!Z:Z,"Approved",'QA Log'!L:L,"*11. Additional Questions*")))</f>
        <v/>
      </c>
      <c r="L240" s="105" t="str">
        <f>IF(A240&lt;&gt;"",COUNTIFS('QA Log'!D:D,A240,'QA Log'!M:M,"QQC",'QA Log'!L:L,"1. General Management",'QA Log'!Z:Z,"Approved"),"")</f>
        <v/>
      </c>
      <c r="M240" s="105" t="str">
        <f>IF(A240&lt;&gt;"",COUNTIFS('QA Log'!D:D,A240,'QA Log'!M:M,"QQC",'QA Log'!L:L,"3. Curative Consultation (OPD)",'QA Log'!Z:Z,"Approved"),"")</f>
        <v/>
      </c>
      <c r="N240" s="105" t="str">
        <f>IF(A240&lt;&gt;"",COUNTIFS('QA Log'!D:D,A240,'QA Log'!M:M,"QQC",'QA Log'!L:L,"5. Laboratory",'QA Log'!Z:Z,"Approved"),"")</f>
        <v/>
      </c>
      <c r="O240" s="105" t="str">
        <f>IF(A240&lt;&gt;"",COUNTIFS('QA Log'!D:D,A240,'QA Log'!M:M,"QQC",'QA Log'!L:L,"6. Essential Medicine Management",'QA Log'!Z:Z,"Approved"),"")</f>
        <v/>
      </c>
      <c r="P240" s="105" t="str">
        <f>IF(A240&lt;&gt;"",COUNTIFS('QA Log'!D:D,A240,'QA Log'!M:M,"QQC",'QA Log'!L:L,"7. Tracer Medicine",'QA Log'!Z:Z,"Approved"),"")</f>
        <v/>
      </c>
      <c r="Q240" s="105" t="str">
        <f>IF(A240&lt;&gt;"",COUNTIFS('QA Log'!D:D,A240,'QA Log'!M:M,"QQC",'QA Log'!L:L,"11. Additional Questions",'QA Log'!Z:Z,"Approved"),"")</f>
        <v/>
      </c>
      <c r="R240" s="102" t="str">
        <f>IF(A240="","",SUM(
COUNTIFS('QA Log'!D:D,A240,'QA Log'!M:M,"QQC",'QA Log'!Z:Z,"Rejected",'QA Log'!L:L,"*8. Maternity*"),
COUNTIFS('QA Log'!D:D,A240,'QA Log'!M:M,"QQC",'QA Log'!Z:Z,"Rejected",'QA Log'!L:L,"*EPI*"),
COUNTIFS('QA Log'!D:D,A240,'QA Log'!M:M,"QQC",'QA Log'!Z:Z,"Rejected",'QA Log'!L:L,"*10. Antenatal Care (ANC)*"),
COUNTIFS('QA Log'!D:D,A240,'QA Log'!M:M,"QQC",'QA Log'!Z:Z,"Rejected",'QA Log'!L:L,"*2. Hygiene and Sterilization*"),
COUNTIFS('QA Log'!D:D,A240,'QA Log'!M:M,"QQC",'QA Log'!Z:Z,"Rejected",'QA Log'!L:L,"*Family Planning*")))</f>
        <v/>
      </c>
      <c r="S240" s="106" t="str">
        <f t="shared" si="1"/>
        <v/>
      </c>
      <c r="T240" s="102" t="str">
        <f t="shared" si="2"/>
        <v/>
      </c>
      <c r="U240" s="102" t="str">
        <f>IF(A240="","",
SUM(
COUNTIFS('QA Log'!D:D,A240,'QA Log'!M:M,"QQC",'QA Log'!L:L,"*8. Maternity*"),
COUNTIFS('QA Log'!D:D,A240,'QA Log'!M:M,"QQC",'QA Log'!L:L,"*9. EPI and Pre-school Consultation*"),
COUNTIFS('QA Log'!D:D,A240,'QA Log'!M:M,"QQC",'QA Log'!L:L,"*10. Antenatal Care (ANC)*"),
COUNTIFS('QA Log'!D:D,A240,'QA Log'!M:M,"QQC",'QA Log'!L:L,"*2. Hygiene and Sterilization*"),
COUNTIFS('QA Log'!D:D,A240,'QA Log'!M:M,"QQC",'QA Log'!L:L,"*4. Family Planning*")
))</f>
        <v/>
      </c>
      <c r="V240" s="102" t="str">
        <f>IF(A240="","",
SUM(
COUNTIFS('QA Log'!D:D,A240,'QA Log'!M:M,"QQC",'QA Log'!Z:Z,"Approved",'QA Log'!L:L,"*8. Maternity*"),
COUNTIFS('QA Log'!D:D,A240,'QA Log'!M:M,"QQC",'QA Log'!Z:Z,"Approved",'QA Log'!L:L,"*9. EPI and Pre-school Consultation*"),
COUNTIFS('QA Log'!D:D,A240,'QA Log'!M:M,"QQC",'QA Log'!Z:Z,"Approved",'QA Log'!L:L,"*10. Antenatal Care (ANC)*"),
COUNTIFS('QA Log'!D:D,A240,'QA Log'!M:M,"QQC",'QA Log'!Z:Z,"Approved",'QA Log'!L:L,"*2. Hygiene and Sterilization*"),
COUNTIFS('QA Log'!D:D,A240,'QA Log'!M:M,"QQC",'QA Log'!Z:Z,"Approved",'QA Log'!L:L,"*4. Family Planning*")
))</f>
        <v/>
      </c>
      <c r="W240" s="105" t="str">
        <f>IF(A240&lt;&gt;"",COUNTIFS('QA Log'!D:D,A240,'QA Log'!M:M,"QQC",'QA Log'!L:L,"8. Maternity",'QA Log'!Z:Z,"Approved"),"")</f>
        <v/>
      </c>
      <c r="X240" s="105" t="str">
        <f>IF(A240&lt;&gt;"",COUNTIFS('QA Log'!D:D,A240,'QA Log'!M:M,"QQC",'QA Log'!L:L,"9. EPI and Pre-school Consultation",'QA Log'!Z:Z,"Approved"),"")</f>
        <v/>
      </c>
      <c r="Y240" s="105" t="str">
        <f>IF(A240&lt;&gt;"",COUNTIFS('QA Log'!D:D,A240,'QA Log'!M:M,"QQC",'QA Log'!L:L,"10. Antenatal Care (ANC)",'QA Log'!Z:Z,"Approved"),"")</f>
        <v/>
      </c>
      <c r="Z240" s="105" t="str">
        <f>IF(A240&lt;&gt;"",COUNTIFS('QA Log'!D:D,A240,'QA Log'!M:M,"QQC",'QA Log'!L:L,"2. Hygiene and Sterilization",'QA Log'!Z:Z,"Approved"),"")</f>
        <v/>
      </c>
      <c r="AA240" s="105" t="str">
        <f>IF(A240&lt;&gt;"",COUNTIFS('QA Log'!D:D,A240,'QA Log'!M:M,"QQC",'QA Log'!L:L,"4. Family Planning",'QA Log'!Z:Z,"Approved"),"")</f>
        <v/>
      </c>
      <c r="AB240" s="102" t="str">
        <f>IF(A240="","",
SUM(
COUNTIFS('QA Log'!D:D,A240,'QA Log'!M:M,"QQC",'QA Log'!Z:Z,"Rejected",'QA Log'!L:L,"*8. Maternity*"),
COUNTIFS('QA Log'!D:D,A240,'QA Log'!M:M,"QQC",'QA Log'!Z:Z,"Rejected",'QA Log'!L:L,"*9. EPI and Pre-school Consultation*"),
COUNTIFS('QA Log'!D:D,A240,'QA Log'!M:M,"QQC",'QA Log'!Z:Z,"Rejected",'QA Log'!L:L,"*10. Antenatal Care (ANC)*"),
COUNTIFS('QA Log'!D:D,A240,'QA Log'!M:M,"QQC",'QA Log'!Z:Z,"Rejected",'QA Log'!L:L,"*2. Hygiene and Sterilization*"),
COUNTIFS('QA Log'!D:D,A240,'QA Log'!M:M,"QQC",'QA Log'!Z:Z,"Rejected",'QA Log'!L:L,"*4. Family Planning*")
))</f>
        <v/>
      </c>
      <c r="AC240" s="102" t="str">
        <f t="shared" si="3"/>
        <v/>
      </c>
      <c r="AD240" s="103" t="str">
        <f t="shared" si="4"/>
        <v/>
      </c>
      <c r="AE240" s="102" t="str">
        <f>IF(A240="","",
SUM(
COUNTIFS('QA Log'!D:D,A240,'QA Log'!M:M,"Data Verification",'QA Log'!L:L,"*Medicine (section 2)*"),
COUNTIFS('QA Log'!D:D,A240,'QA Log'!M:M,"Data Verification",'QA Log'!L:L,"*Lab Testing Availability*"),
COUNTIFS('QA Log'!D:D,A240,'QA Log'!M:M,"Data Verification",'QA Log'!L:L,"*Other than P4P (section 6)*"),
COUNTIFS('QA Log'!D:D,A240,'QA Log'!M:M,"Data Verification",'QA Log'!L:L,"*Hospital Governance*")
))</f>
        <v/>
      </c>
      <c r="AF240" s="102" t="str">
        <f>IF(A240="","",
SUM(
COUNTIFS('QA Log'!D:D,A240,'QA Log'!M:M,"Data Verification",'QA Log'!Z:Z,"Approved",'QA Log'!L:L,"*Medicine (section 2)*"),
COUNTIFS('QA Log'!D:D,A240,'QA Log'!M:M,"Data Verification",'QA Log'!Z:Z,"Approved",'QA Log'!L:L,"*Lab Testing Availability*"),
COUNTIFS('QA Log'!D:D,A240,'QA Log'!M:M,"Data Verification",'QA Log'!Z:Z,"Approved",'QA Log'!L:L,"*Other than P4P (section 6)*"),
COUNTIFS('QA Log'!D:D,A240,'QA Log'!M:M,"Data Verification",'QA Log'!Z:Z,"Approved",'QA Log'!L:L,"*Hospital Governance*")
))</f>
        <v/>
      </c>
      <c r="AG240" s="105" t="str">
        <f>IF(A240&lt;&gt;"",COUNTIFS('QA Log'!D:D,A240,'QA Log'!M:M,"Data Verification",'QA Log'!L:L,"Medicine (section 2)",'QA Log'!Z:Z,"Approved"),"")</f>
        <v/>
      </c>
      <c r="AH240" s="105" t="str">
        <f>IF(A240&lt;&gt;"",COUNTIFS('QA Log'!D:D,A240,'QA Log'!M:M,"Data Verification",'QA Log'!L:L,"Lab Testing Availability",'QA Log'!Z:Z,"Approved"),"")</f>
        <v/>
      </c>
      <c r="AI240" s="105" t="str">
        <f>IF(A240&lt;&gt;"",COUNTIFS('QA Log'!D:D,A240,'QA Log'!M:M,"Data Verification",'QA Log'!L:L,"Other than P4P (section 6)",'QA Log'!Z:Z,"Approved"),"")</f>
        <v/>
      </c>
      <c r="AJ240" s="105" t="str">
        <f>IF(A240&lt;&gt;"",COUNTIFS('QA Log'!D:D,A240,'QA Log'!M:M,"Data Verification",'QA Log'!L:L,"Hospital Governance",'QA Log'!Z:Z,"Approved"),"")</f>
        <v/>
      </c>
      <c r="AK240" s="102" t="str">
        <f>IF(A240="","",
SUM(
COUNTIFS('QA Log'!D:D,A240,'QA Log'!M:M,"Data Verification",'QA Log'!Z:Z,"Rejected",'QA Log'!L:L,"*Medicine (section 2)*"),
COUNTIFS('QA Log'!D:D,A240,'QA Log'!M:M,"Data Verification",'QA Log'!Z:Z,"Rejected",'QA Log'!L:L,"*Lab Testing Availability*"),
COUNTIFS('QA Log'!D:D,A240,'QA Log'!M:M,"Data Verification",'QA Log'!Z:Z,"Rejected",'QA Log'!L:L,"*Other than P4P (section 6)*"),
COUNTIFS('QA Log'!D:D,A240,'QA Log'!M:M,"Data Verification",'QA Log'!Z:Z,"Rejected",'QA Log'!L:L,"*Hospital Governance*")
))</f>
        <v/>
      </c>
      <c r="AL240" s="106" t="str">
        <f t="shared" si="5"/>
        <v/>
      </c>
      <c r="AM240" s="102" t="str">
        <f t="shared" si="6"/>
        <v/>
      </c>
      <c r="AN240" s="102" t="str">
        <f>IF(A240="","",
SUM(
COUNTIFS('QA Log'!D:D,A240,'QA Log'!M:M,"Data Verification",'QA Log'!L:L,"*Personnel (section 1)*"),
COUNTIFS('QA Log'!D:D,A240,'QA Log'!M:M,"Data Verification",'QA Log'!L:L,"*Consumable (section 3)*"),
COUNTIFS('QA Log'!D:D,A240,'QA Log'!M:M,"Data Verification",'QA Log'!L:L,"*Equipments (section 4)*")
))</f>
        <v/>
      </c>
      <c r="AO240" s="102" t="str">
        <f>IF(A240="","",
SUM(
COUNTIFS('QA Log'!D:D,A240,'QA Log'!M:M,"Data Verification",'QA Log'!Z:Z,"Approved",'QA Log'!L:L,"*Personnel (section 1)*"),
COUNTIFS('QA Log'!D:D,A240,'QA Log'!M:M,"Data Verification",'QA Log'!Z:Z,"Approved",'QA Log'!L:L,"*Consumable (section 3)*"),
COUNTIFS('QA Log'!D:D,A240,'QA Log'!M:M,"Data Verification",'QA Log'!Z:Z,"Approved",'QA Log'!L:L,"*Equipments (section 4)*")
))</f>
        <v/>
      </c>
      <c r="AP240" s="105" t="str">
        <f>IF(A240&lt;&gt;"",COUNTIFS('QA Log'!D:D,A240,'QA Log'!M:M,"Data Verification",'QA Log'!L:L,"Personnel (section 1)",'QA Log'!Z:Z,"Approved"),"")</f>
        <v/>
      </c>
      <c r="AQ240" s="105" t="str">
        <f>IF(A240&lt;&gt;"",COUNTIFS('QA Log'!D:D,A240,'QA Log'!M:M,"Data Verification",'QA Log'!L:L,"Consumable (section 3)",'QA Log'!Z:Z,"Approved"),"")</f>
        <v/>
      </c>
      <c r="AR240" s="105" t="str">
        <f>IF(A240&lt;&gt;"",COUNTIFS('QA Log'!D:D,A240,'QA Log'!M:M,"Data Verification",'QA Log'!L:L,"Equipments (section 4)",'QA Log'!Z:Z,"Approved"),"")</f>
        <v/>
      </c>
      <c r="AS240" s="102" t="str">
        <f>IF(A240="","",
SUM(
COUNTIFS('QA Log'!D:D,A240,'QA Log'!M:M,"Data Verification",'QA Log'!Z:Z,"Rejected",'QA Log'!L:L,"*Personnel (section 1)*"),
COUNTIFS('QA Log'!D:D,A240,'QA Log'!M:M,"Data Verification",'QA Log'!Z:Z,"Rejected",'QA Log'!L:L,"*Consumable (section 3)*"),
COUNTIFS('QA Log'!D:D,A240,'QA Log'!M:M,"Data Verification",'QA Log'!Z:Z,"Rejected",'QA Log'!L:L,"*Equipments (section 4)*")
))</f>
        <v/>
      </c>
      <c r="AT240" s="102" t="str">
        <f t="shared" si="7"/>
        <v/>
      </c>
      <c r="AU240" s="103" t="str">
        <f t="shared" si="8"/>
        <v/>
      </c>
      <c r="AV240" s="102" t="str">
        <f>IF(A240="","",SUM(
COUNTIFS('QA Log'!D:D,A240,'QA Log'!M:M,"Vignette",'QA Log'!L:L,"*Vignette [1] Respiratory Infection: Pneumonia*"),
COUNTIFS('QA Log'!D:D,A240,'QA Log'!M:M,"Vignette",'QA Log'!L:L,"*Vignette [2]: Diarrhea with Cat B dehydration*"),
COUNTIFS('QA Log'!D:D,A240,'QA Log'!M:M,"Vignette",'QA Log'!L:L,"*Vignette [3] Growth Monitoring and Promotion*"),
COUNTIFS('QA Log'!D:D,A240,'QA Log'!M:M,"Vignette",'QA Log'!L:L,"*Vignette [4]: The management of presumptive TB patient*")
)
)</f>
        <v/>
      </c>
      <c r="AW240" s="102" t="str">
        <f>IF(
  A240="","",
  SUM(
    COUNTIFS('QA Log'!D:D,A240,'QA Log'!M:M,"Vignette",'QA Log'!Z:Z,"Approved",'QA Log'!L:L,"*Vignette [1] Respiratory Infection: Pneumonia*"),
    COUNTIFS('QA Log'!D:D,A240,'QA Log'!M:M,"Vignette",'QA Log'!Z:Z,"Approved",'QA Log'!L:L,"*Vignette [2]: Diarrhea with Cat B dehydration*"),
    COUNTIFS('QA Log'!D:D,A240,'QA Log'!M:M,"Vignette",'QA Log'!Z:Z,"Approved",'QA Log'!L:L,"*Vignette [3] Growth Monitoring and Promotion*"),
    COUNTIFS('QA Log'!D:D,A240,'QA Log'!M:M,"Vignette",'QA Log'!Z:Z,"Approved",'QA Log'!L:L,"*Vignette [4]: The management of presumptive TB patient*")
  )
)</f>
        <v/>
      </c>
      <c r="AX240" s="105" t="str">
        <f>IF(A240&lt;&gt;"",COUNTIFS('QA Log'!D:D,A240,'QA Log'!M:M,"Vignette",'QA Log'!L:L,"Vignette [1] Respiratory Infection: Pneumonia",'QA Log'!Z:Z,"Approved"),"")</f>
        <v/>
      </c>
      <c r="AY240" s="105" t="str">
        <f>IF(A240&lt;&gt;"",COUNTIFS('QA Log'!D:D,A240,'QA Log'!M:M,"Vignette",'QA Log'!L:L,"Vignette [2]: Diarrhea with Cat B dehydration",'QA Log'!Z:Z,"Approved"),"")</f>
        <v/>
      </c>
      <c r="AZ240" s="105" t="str">
        <f>IF(A240&lt;&gt;"",COUNTIFS('QA Log'!D:D,A240,'QA Log'!M:M,"Vignette",'QA Log'!L:L,"Vignette [3] Growth Monitoring and Promotion",'QA Log'!Z:Z,"Approved"),"")</f>
        <v/>
      </c>
      <c r="BA240" s="105" t="str">
        <f>IF(A240&lt;&gt;"",COUNTIFS('QA Log'!D:D,A240,'QA Log'!M:M,"Vignette",'QA Log'!L:L,"Vignette [4]: The management of presumptive TB patient",'QA Log'!Z:Z,"Approved"),"")</f>
        <v/>
      </c>
      <c r="BB240" s="102" t="str">
        <f>IF(A240="","",
  SUM(
    COUNTIFS('QA Log'!D:D,A240,'QA Log'!M:M,"Vignette",'QA Log'!Z:Z,"Rejected",'QA Log'!L:L,"*Vignette [1] Respiratory Infection: Pneumonia*"),
    COUNTIFS('QA Log'!D:D,A240,'QA Log'!M:M,"Vignette",'QA Log'!Z:Z,"Rejected",'QA Log'!L:L,"*Vignette [2]: Diarrhea with Cat B dehydration*"),
    COUNTIFS('QA Log'!D:D,A240,'QA Log'!M:M,"Vignette",'QA Log'!Z:Z,"Rejected",'QA Log'!L:L,"*Vignette [3] Growth Monitoring and Promotion*"),
    COUNTIFS('QA Log'!D:D,A240,'QA Log'!M:M,"Vignette",'QA Log'!Z:Z,"Rejected",'QA Log'!L:L,"*Vignette [4]: The management of presumptive TB patient*")
  )
)</f>
        <v/>
      </c>
      <c r="BC240" s="107" t="str">
        <f t="shared" si="9"/>
        <v/>
      </c>
      <c r="BD240" s="103" t="str">
        <f t="shared" si="10"/>
        <v/>
      </c>
      <c r="BE240" s="102" t="str">
        <f>IF(A240="","",SUM(
COUNTIFS('QA Log'!D:D,A240,'QA Log'!M:M,"Vignette",'QA Log'!L:L,"*Vignette [5] Labor*"),
COUNTIFS('QA Log'!D:D,A240,'QA Log'!M:M,"Vignette",'QA Log'!L:L,"*Vignette [6] PNC pre Discharge*"),
COUNTIFS('QA Log'!D:D,A240,'QA Log'!M:M,"Vignette",'QA Log'!L:L,"*Vignette [7] First ANC Visit*"),
COUNTIFS('QA Log'!D:D,A240,'QA Log'!M:M,"Vignette",'QA Log'!L:L,"*Vignette [8] Birth Spacing/ Family Planning :  FP Counselling*"),
COUNTIFS('QA Log'!D:D,A240,'QA Log'!M:M,"Vignette",'QA Log'!L:L,"*Vignette [9] Birth Spacing: Change FP method to Injectable*"),
COUNTIFS('QA Log'!D:D,A240,'QA Log'!M:M,"Vignette",'QA Log'!L:L,"*Vignette [10] Post Partum Haemorrhage - Atonic Uterus at Health Centre*"),
)
)</f>
        <v/>
      </c>
      <c r="BF240" s="102" t="str">
        <f>IF(A240="","",
  SUM(
    COUNTIFS('QA Log'!D:D,A240,'QA Log'!M:M,"Vignette",'QA Log'!Z:Z,"Approved",'QA Log'!L:L,"*Vignette [5] Labor*"),
    COUNTIFS('QA Log'!D:D,A240,'QA Log'!M:M,"Vignette",'QA Log'!Z:Z,"Approved",'QA Log'!L:L,"*Vignette [6] PNC pre Discharge*"),
    COUNTIFS('QA Log'!D:D,A240,'QA Log'!M:M,"Vignette",'QA Log'!Z:Z,"Approved",'QA Log'!L:L,"*Vignette [7] First ANC Visit*"),
    COUNTIFS('QA Log'!D:D,A240,'QA Log'!M:M,"Vignette",'QA Log'!Z:Z,"Approved",'QA Log'!L:L,"*Vignette [8] Birth Spacing/ Family Planning :  FP Counselling*"),
    COUNTIFS('QA Log'!D:D,A240,'QA Log'!M:M,"Vignette",'QA Log'!Z:Z,"Approved",'QA Log'!L:L,"*Vignette [9] Birth Spacing: Change FP method to Injectable*"),
    COUNTIFS('QA Log'!D:D,A240,'QA Log'!M:M,"Vignette",'QA Log'!Z:Z,"Approved",'QA Log'!L:L,"*Vignette [10] Post Partum Haemorrhage - Atonic Uterus at Health Centre*")
  )
)</f>
        <v/>
      </c>
      <c r="BG240" s="105" t="str">
        <f>IF(A240&lt;&gt;"",COUNTIFS('QA Log'!D:D,A240,'QA Log'!M:M,"Vignette",'QA Log'!L:L,"Vignette [5] Labor",'QA Log'!Z:Z,"Approved"),"")</f>
        <v/>
      </c>
      <c r="BH240" s="105" t="str">
        <f>IF(A240&lt;&gt;"",COUNTIFS('QA Log'!D:D,A240,'QA Log'!M:M,"Vignette",'QA Log'!L:L,"Vignette [6] PNC pre Discharge",'QA Log'!Z:Z,"Approved"),"")</f>
        <v/>
      </c>
      <c r="BI240" s="105" t="str">
        <f>IF(A240&lt;&gt;"",COUNTIFS('QA Log'!D:D,A240,'QA Log'!M:M,"Vignette",'QA Log'!L:L,"Vignette [7] First ANC Visit",'QA Log'!Z:Z,"Approved"),"")</f>
        <v/>
      </c>
      <c r="BJ240" s="105" t="str">
        <f>IF(A240&lt;&gt;"",COUNTIFS('QA Log'!D:D,A240,'QA Log'!M:M,"Vignette",'QA Log'!L:L,"Vignette [8] Birth Spacing/ Family Planning :  FP Counselling",'QA Log'!Z:Z,"Approved"),"")</f>
        <v/>
      </c>
      <c r="BK240" s="105" t="str">
        <f>IF(A240&lt;&gt;"",COUNTIFS('QA Log'!D:D,A240,'QA Log'!M:M,"Vignette",'QA Log'!L:L,"Vignette [9] Birth Spacing: Change FP method to Injectable",'QA Log'!Z:Z,"Approved"),"")</f>
        <v/>
      </c>
      <c r="BL240" s="105" t="str">
        <f>IF(A240&lt;&gt;"",COUNTIFS('QA Log'!D:D,A240,'QA Log'!M:M,"Vignette",'QA Log'!L:L,"Vignette [10] Post Partum Haemorrhage - Atonic Uterus at Health Centre",'QA Log'!Z:Z,"Approved"),"")</f>
        <v/>
      </c>
      <c r="BM240" s="102" t="str">
        <f>IF(A240="","",SUM(
    COUNTIFS('QA Log'!D:D,A240,'QA Log'!M:M,"Vignette",'QA Log'!Z:Z,"Rejected",'QA Log'!L:L,"*Vignette [5] Labor*"),
    COUNTIFS('QA Log'!D:D,A240,'QA Log'!M:M,"Vignette",'QA Log'!Z:Z,"Rejected",'QA Log'!L:L,"*Vignette [6] PNC pre Discharge*"),
    COUNTIFS('QA Log'!D:D,A240,'QA Log'!M:M,"Vignette",'QA Log'!Z:Z,"Rejected",'QA Log'!L:L,"*Vignette [7] First ANC Visit*"),
    COUNTIFS('QA Log'!D:D,A240,'QA Log'!M:M,"Vignette",'QA Log'!Z:Z,"Rejected",'QA Log'!L:L,"*Vignette [8] Birth Spacing/ Family Planning :  FP Counselling*"),
    COUNTIFS('QA Log'!D:D,A240,'QA Log'!M:M,"Vignette",'QA Log'!Z:Z,"Rejected",'QA Log'!L:L,"*Vignette [9] Birth Spacing: Change FP method to Injectable*"),
    COUNTIFS('QA Log'!D:D,A240,'QA Log'!M:M,"Vignette",'QA Log'!Z:Z,"Rejected",'QA Log'!L:L,"*Vignette [10] Post Partum Haemorrhage - Atonic Uterus at Health Centre*")
  )
)</f>
        <v/>
      </c>
      <c r="BN240" s="107" t="str">
        <f t="shared" si="11"/>
        <v/>
      </c>
      <c r="BO240" s="103" t="str">
        <f t="shared" si="12"/>
        <v/>
      </c>
      <c r="BP240" s="102" t="str">
        <f>IF(A240="","",SUM(
COUNTIFS('QA Log'!D:D,A240,'QA Log'!M:M,"Vignette",'QA Log'!L:L,"*Exit Interview 1*"),
COUNTIFS('QA Log'!D:D,A240,'QA Log'!M:M,"Vignette",'QA Log'!L:L,"*Exit Interview 2*"),
)
)</f>
        <v/>
      </c>
      <c r="BQ240" s="102" t="str">
        <f>IF(
  A240="","",
  SUM(
    COUNTIFS('QA Log'!D:D,A240,'QA Log'!M:M,"Vignette",'QA Log'!Z:Z,"Approved",'QA Log'!L:L,"*Exit Interview 1*"),
    COUNTIFS('QA Log'!D:D,A240,'QA Log'!M:M,"Vignette",'QA Log'!Z:Z,"Approved",'QA Log'!L:L,"*Exit Interview 2*")
  )
)</f>
        <v/>
      </c>
      <c r="BR240" s="105" t="str">
        <f>IF(A240&lt;&gt;"",COUNTIFS('QA Log'!D:D,A240,'QA Log'!M:M,"Vignette",'QA Log'!L:L,"Exit Interview 1",'QA Log'!Z:Z,"Approved"),"")</f>
        <v/>
      </c>
      <c r="BS240" s="105" t="str">
        <f>IF(A240&lt;&gt;"",COUNTIFS('QA Log'!D:D,A240,'QA Log'!M:M,"Vignette",'QA Log'!L:L,"Exit Interview 2",'QA Log'!Z:Z,"Approved"),"")</f>
        <v/>
      </c>
      <c r="BT240" s="102" t="str">
        <f>IF(
  A240="","",
  SUM(
    COUNTIFS('QA Log'!D:D,A240,'QA Log'!M:M,"Vignette",'QA Log'!Z:Z,"Rejected",'QA Log'!L:L,"*Exit Interview 1*"),
    COUNTIFS('QA Log'!D:D,A240,'QA Log'!M:M,"Vignette",'QA Log'!Z:Z,"Rejected",'QA Log'!L:L,"*Exit Interview 2*")
  )
)</f>
        <v/>
      </c>
      <c r="BU240" s="107" t="str">
        <f t="shared" si="13"/>
        <v/>
      </c>
      <c r="BV240" s="102" t="str">
        <f t="shared" si="14"/>
        <v/>
      </c>
      <c r="BW240" s="102" t="str">
        <f t="shared" si="15"/>
        <v/>
      </c>
      <c r="BX240" s="102" t="str">
        <f t="shared" si="16"/>
        <v/>
      </c>
      <c r="BY240" s="102" t="str">
        <f t="shared" si="17"/>
        <v/>
      </c>
      <c r="BZ240" s="107" t="str">
        <f t="shared" si="18"/>
        <v/>
      </c>
      <c r="CA240" s="108" t="str">
        <f t="shared" si="19"/>
        <v/>
      </c>
      <c r="CB240" s="108" t="str">
        <f t="shared" si="20"/>
        <v/>
      </c>
      <c r="CC240" s="109" t="str">
        <f t="shared" si="21"/>
        <v/>
      </c>
      <c r="CD240" s="108" t="str">
        <f t="shared" si="22"/>
        <v/>
      </c>
      <c r="CE240" s="108" t="str">
        <f t="shared" si="23"/>
        <v/>
      </c>
      <c r="CF240" s="109" t="str">
        <f t="shared" si="24"/>
        <v/>
      </c>
      <c r="CG240" s="110" t="str">
        <f t="shared" si="25"/>
        <v/>
      </c>
      <c r="CH240" s="111"/>
    </row>
    <row r="241" spans="1:86" ht="12.75">
      <c r="A241" s="101"/>
      <c r="B241" s="102" t="e">
        <f t="array" aca="1" ref="B241" ca="1">_xludf.XLOOKUP(A241,'QA Log'!D:D,'QA Log'!E:E,"")</f>
        <v>#NAME?</v>
      </c>
      <c r="C241" s="102" t="e">
        <f t="array" aca="1" ref="C241" ca="1">_xludf.XLOOKUP(A241,'QA Log'!D:D,'QA Log'!F:F,"")</f>
        <v>#NAME?</v>
      </c>
      <c r="D241" s="102" t="e">
        <f t="array" aca="1" ref="D241" ca="1">_xludf.XLOOKUP(A241,'QA Log'!D:D,'QA Log'!H:H,"")</f>
        <v>#NAME?</v>
      </c>
      <c r="E241" s="102" t="e">
        <f t="array" aca="1" ref="E241" ca="1">_xludf.XLOOKUP(A241,'QA Log'!D:D,'QA Log'!G:G,"")</f>
        <v>#NAME?</v>
      </c>
      <c r="F241" s="103"/>
      <c r="G241" s="104"/>
      <c r="H241" s="104"/>
      <c r="I241" s="103" t="str">
        <f t="shared" si="0"/>
        <v/>
      </c>
      <c r="J241" s="102" t="str">
        <f>IF(A241="","",SUM(
COUNTIFS('QA Log'!D:D,A241,'QA Log'!M:M,"QQC",'QA Log'!L:L,"*1. General Management*"),
COUNTIFS('QA Log'!D:D,A241,'QA Log'!M:M,"QQC",'QA Log'!L:L,"*3. Curative Consultation (OPD)*"),
COUNTIFS('QA Log'!D:D,A241,'QA Log'!M:M,"QQC",'QA Log'!L:L,"*5. Laboratory*"),
COUNTIFS('QA Log'!D:D,A241,'QA Log'!M:M,"QQC",'QA Log'!L:L,"*6. Essential Medicine Management*"),
COUNTIFS('QA Log'!D:D,A241,'QA Log'!M:M,"QQC",'QA Log'!L:L,"*7. Tracer Medicine*"),
COUNTIFS('QA Log'!D:D,A241,'QA Log'!M:M,"QQC",'QA Log'!L:L,"*11. Additional Questions*")))</f>
        <v/>
      </c>
      <c r="K241" s="102" t="str">
        <f>IF(A241="","",SUM(
COUNTIFS('QA Log'!D:D,A241,'QA Log'!M:M,"QQC",'QA Log'!Z:Z,"Approved",'QA Log'!L:L,"*1. General Management*"),
COUNTIFS('QA Log'!D:D,A241,'QA Log'!M:M,"QQC",'QA Log'!Z:Z,"Approved",'QA Log'!L:L,"*3. Curative Consultation (OPD)*"),
COUNTIFS('QA Log'!D:D,A241,'QA Log'!M:M,"QQC",'QA Log'!Z:Z,"Approved",'QA Log'!L:L,"*5. Laboratory*"),
COUNTIFS('QA Log'!D:D,A241,'QA Log'!M:M,"QQC",'QA Log'!Z:Z,"Approved",'QA Log'!L:L,"*6. Essential Medicine Management*"),
COUNTIFS('QA Log'!D:D,A241,'QA Log'!M:M,"QQC",'QA Log'!Z:Z,"Approved",'QA Log'!L:L,"*7. Tracer Medicine*"),
COUNTIFS('QA Log'!D:D,A241,'QA Log'!M:M,"QQC",'QA Log'!Z:Z,"Approved",'QA Log'!L:L,"*11. Additional Questions*")))</f>
        <v/>
      </c>
      <c r="L241" s="105" t="str">
        <f>IF(A241&lt;&gt;"",COUNTIFS('QA Log'!D:D,A241,'QA Log'!M:M,"QQC",'QA Log'!L:L,"1. General Management",'QA Log'!Z:Z,"Approved"),"")</f>
        <v/>
      </c>
      <c r="M241" s="105" t="str">
        <f>IF(A241&lt;&gt;"",COUNTIFS('QA Log'!D:D,A241,'QA Log'!M:M,"QQC",'QA Log'!L:L,"3. Curative Consultation (OPD)",'QA Log'!Z:Z,"Approved"),"")</f>
        <v/>
      </c>
      <c r="N241" s="105" t="str">
        <f>IF(A241&lt;&gt;"",COUNTIFS('QA Log'!D:D,A241,'QA Log'!M:M,"QQC",'QA Log'!L:L,"5. Laboratory",'QA Log'!Z:Z,"Approved"),"")</f>
        <v/>
      </c>
      <c r="O241" s="105" t="str">
        <f>IF(A241&lt;&gt;"",COUNTIFS('QA Log'!D:D,A241,'QA Log'!M:M,"QQC",'QA Log'!L:L,"6. Essential Medicine Management",'QA Log'!Z:Z,"Approved"),"")</f>
        <v/>
      </c>
      <c r="P241" s="105" t="str">
        <f>IF(A241&lt;&gt;"",COUNTIFS('QA Log'!D:D,A241,'QA Log'!M:M,"QQC",'QA Log'!L:L,"7. Tracer Medicine",'QA Log'!Z:Z,"Approved"),"")</f>
        <v/>
      </c>
      <c r="Q241" s="105" t="str">
        <f>IF(A241&lt;&gt;"",COUNTIFS('QA Log'!D:D,A241,'QA Log'!M:M,"QQC",'QA Log'!L:L,"11. Additional Questions",'QA Log'!Z:Z,"Approved"),"")</f>
        <v/>
      </c>
      <c r="R241" s="102" t="str">
        <f>IF(A241="","",SUM(
COUNTIFS('QA Log'!D:D,A241,'QA Log'!M:M,"QQC",'QA Log'!Z:Z,"Rejected",'QA Log'!L:L,"*8. Maternity*"),
COUNTIFS('QA Log'!D:D,A241,'QA Log'!M:M,"QQC",'QA Log'!Z:Z,"Rejected",'QA Log'!L:L,"*EPI*"),
COUNTIFS('QA Log'!D:D,A241,'QA Log'!M:M,"QQC",'QA Log'!Z:Z,"Rejected",'QA Log'!L:L,"*10. Antenatal Care (ANC)*"),
COUNTIFS('QA Log'!D:D,A241,'QA Log'!M:M,"QQC",'QA Log'!Z:Z,"Rejected",'QA Log'!L:L,"*2. Hygiene and Sterilization*"),
COUNTIFS('QA Log'!D:D,A241,'QA Log'!M:M,"QQC",'QA Log'!Z:Z,"Rejected",'QA Log'!L:L,"*Family Planning*")))</f>
        <v/>
      </c>
      <c r="S241" s="106" t="str">
        <f t="shared" si="1"/>
        <v/>
      </c>
      <c r="T241" s="102" t="str">
        <f t="shared" si="2"/>
        <v/>
      </c>
      <c r="U241" s="102" t="str">
        <f>IF(A241="","",
SUM(
COUNTIFS('QA Log'!D:D,A241,'QA Log'!M:M,"QQC",'QA Log'!L:L,"*8. Maternity*"),
COUNTIFS('QA Log'!D:D,A241,'QA Log'!M:M,"QQC",'QA Log'!L:L,"*9. EPI and Pre-school Consultation*"),
COUNTIFS('QA Log'!D:D,A241,'QA Log'!M:M,"QQC",'QA Log'!L:L,"*10. Antenatal Care (ANC)*"),
COUNTIFS('QA Log'!D:D,A241,'QA Log'!M:M,"QQC",'QA Log'!L:L,"*2. Hygiene and Sterilization*"),
COUNTIFS('QA Log'!D:D,A241,'QA Log'!M:M,"QQC",'QA Log'!L:L,"*4. Family Planning*")
))</f>
        <v/>
      </c>
      <c r="V241" s="102" t="str">
        <f>IF(A241="","",
SUM(
COUNTIFS('QA Log'!D:D,A241,'QA Log'!M:M,"QQC",'QA Log'!Z:Z,"Approved",'QA Log'!L:L,"*8. Maternity*"),
COUNTIFS('QA Log'!D:D,A241,'QA Log'!M:M,"QQC",'QA Log'!Z:Z,"Approved",'QA Log'!L:L,"*9. EPI and Pre-school Consultation*"),
COUNTIFS('QA Log'!D:D,A241,'QA Log'!M:M,"QQC",'QA Log'!Z:Z,"Approved",'QA Log'!L:L,"*10. Antenatal Care (ANC)*"),
COUNTIFS('QA Log'!D:D,A241,'QA Log'!M:M,"QQC",'QA Log'!Z:Z,"Approved",'QA Log'!L:L,"*2. Hygiene and Sterilization*"),
COUNTIFS('QA Log'!D:D,A241,'QA Log'!M:M,"QQC",'QA Log'!Z:Z,"Approved",'QA Log'!L:L,"*4. Family Planning*")
))</f>
        <v/>
      </c>
      <c r="W241" s="105" t="str">
        <f>IF(A241&lt;&gt;"",COUNTIFS('QA Log'!D:D,A241,'QA Log'!M:M,"QQC",'QA Log'!L:L,"8. Maternity",'QA Log'!Z:Z,"Approved"),"")</f>
        <v/>
      </c>
      <c r="X241" s="105" t="str">
        <f>IF(A241&lt;&gt;"",COUNTIFS('QA Log'!D:D,A241,'QA Log'!M:M,"QQC",'QA Log'!L:L,"9. EPI and Pre-school Consultation",'QA Log'!Z:Z,"Approved"),"")</f>
        <v/>
      </c>
      <c r="Y241" s="105" t="str">
        <f>IF(A241&lt;&gt;"",COUNTIFS('QA Log'!D:D,A241,'QA Log'!M:M,"QQC",'QA Log'!L:L,"10. Antenatal Care (ANC)",'QA Log'!Z:Z,"Approved"),"")</f>
        <v/>
      </c>
      <c r="Z241" s="105" t="str">
        <f>IF(A241&lt;&gt;"",COUNTIFS('QA Log'!D:D,A241,'QA Log'!M:M,"QQC",'QA Log'!L:L,"2. Hygiene and Sterilization",'QA Log'!Z:Z,"Approved"),"")</f>
        <v/>
      </c>
      <c r="AA241" s="105" t="str">
        <f>IF(A241&lt;&gt;"",COUNTIFS('QA Log'!D:D,A241,'QA Log'!M:M,"QQC",'QA Log'!L:L,"4. Family Planning",'QA Log'!Z:Z,"Approved"),"")</f>
        <v/>
      </c>
      <c r="AB241" s="102" t="str">
        <f>IF(A241="","",
SUM(
COUNTIFS('QA Log'!D:D,A241,'QA Log'!M:M,"QQC",'QA Log'!Z:Z,"Rejected",'QA Log'!L:L,"*8. Maternity*"),
COUNTIFS('QA Log'!D:D,A241,'QA Log'!M:M,"QQC",'QA Log'!Z:Z,"Rejected",'QA Log'!L:L,"*9. EPI and Pre-school Consultation*"),
COUNTIFS('QA Log'!D:D,A241,'QA Log'!M:M,"QQC",'QA Log'!Z:Z,"Rejected",'QA Log'!L:L,"*10. Antenatal Care (ANC)*"),
COUNTIFS('QA Log'!D:D,A241,'QA Log'!M:M,"QQC",'QA Log'!Z:Z,"Rejected",'QA Log'!L:L,"*2. Hygiene and Sterilization*"),
COUNTIFS('QA Log'!D:D,A241,'QA Log'!M:M,"QQC",'QA Log'!Z:Z,"Rejected",'QA Log'!L:L,"*4. Family Planning*")
))</f>
        <v/>
      </c>
      <c r="AC241" s="102" t="str">
        <f t="shared" si="3"/>
        <v/>
      </c>
      <c r="AD241" s="103" t="str">
        <f t="shared" si="4"/>
        <v/>
      </c>
      <c r="AE241" s="102" t="str">
        <f>IF(A241="","",
SUM(
COUNTIFS('QA Log'!D:D,A241,'QA Log'!M:M,"Data Verification",'QA Log'!L:L,"*Medicine (section 2)*"),
COUNTIFS('QA Log'!D:D,A241,'QA Log'!M:M,"Data Verification",'QA Log'!L:L,"*Lab Testing Availability*"),
COUNTIFS('QA Log'!D:D,A241,'QA Log'!M:M,"Data Verification",'QA Log'!L:L,"*Other than P4P (section 6)*"),
COUNTIFS('QA Log'!D:D,A241,'QA Log'!M:M,"Data Verification",'QA Log'!L:L,"*Hospital Governance*")
))</f>
        <v/>
      </c>
      <c r="AF241" s="102" t="str">
        <f>IF(A241="","",
SUM(
COUNTIFS('QA Log'!D:D,A241,'QA Log'!M:M,"Data Verification",'QA Log'!Z:Z,"Approved",'QA Log'!L:L,"*Medicine (section 2)*"),
COUNTIFS('QA Log'!D:D,A241,'QA Log'!M:M,"Data Verification",'QA Log'!Z:Z,"Approved",'QA Log'!L:L,"*Lab Testing Availability*"),
COUNTIFS('QA Log'!D:D,A241,'QA Log'!M:M,"Data Verification",'QA Log'!Z:Z,"Approved",'QA Log'!L:L,"*Other than P4P (section 6)*"),
COUNTIFS('QA Log'!D:D,A241,'QA Log'!M:M,"Data Verification",'QA Log'!Z:Z,"Approved",'QA Log'!L:L,"*Hospital Governance*")
))</f>
        <v/>
      </c>
      <c r="AG241" s="105" t="str">
        <f>IF(A241&lt;&gt;"",COUNTIFS('QA Log'!D:D,A241,'QA Log'!M:M,"Data Verification",'QA Log'!L:L,"Medicine (section 2)",'QA Log'!Z:Z,"Approved"),"")</f>
        <v/>
      </c>
      <c r="AH241" s="105" t="str">
        <f>IF(A241&lt;&gt;"",COUNTIFS('QA Log'!D:D,A241,'QA Log'!M:M,"Data Verification",'QA Log'!L:L,"Lab Testing Availability",'QA Log'!Z:Z,"Approved"),"")</f>
        <v/>
      </c>
      <c r="AI241" s="105" t="str">
        <f>IF(A241&lt;&gt;"",COUNTIFS('QA Log'!D:D,A241,'QA Log'!M:M,"Data Verification",'QA Log'!L:L,"Other than P4P (section 6)",'QA Log'!Z:Z,"Approved"),"")</f>
        <v/>
      </c>
      <c r="AJ241" s="105" t="str">
        <f>IF(A241&lt;&gt;"",COUNTIFS('QA Log'!D:D,A241,'QA Log'!M:M,"Data Verification",'QA Log'!L:L,"Hospital Governance",'QA Log'!Z:Z,"Approved"),"")</f>
        <v/>
      </c>
      <c r="AK241" s="102" t="str">
        <f>IF(A241="","",
SUM(
COUNTIFS('QA Log'!D:D,A241,'QA Log'!M:M,"Data Verification",'QA Log'!Z:Z,"Rejected",'QA Log'!L:L,"*Medicine (section 2)*"),
COUNTIFS('QA Log'!D:D,A241,'QA Log'!M:M,"Data Verification",'QA Log'!Z:Z,"Rejected",'QA Log'!L:L,"*Lab Testing Availability*"),
COUNTIFS('QA Log'!D:D,A241,'QA Log'!M:M,"Data Verification",'QA Log'!Z:Z,"Rejected",'QA Log'!L:L,"*Other than P4P (section 6)*"),
COUNTIFS('QA Log'!D:D,A241,'QA Log'!M:M,"Data Verification",'QA Log'!Z:Z,"Rejected",'QA Log'!L:L,"*Hospital Governance*")
))</f>
        <v/>
      </c>
      <c r="AL241" s="106" t="str">
        <f t="shared" si="5"/>
        <v/>
      </c>
      <c r="AM241" s="102" t="str">
        <f t="shared" si="6"/>
        <v/>
      </c>
      <c r="AN241" s="102" t="str">
        <f>IF(A241="","",
SUM(
COUNTIFS('QA Log'!D:D,A241,'QA Log'!M:M,"Data Verification",'QA Log'!L:L,"*Personnel (section 1)*"),
COUNTIFS('QA Log'!D:D,A241,'QA Log'!M:M,"Data Verification",'QA Log'!L:L,"*Consumable (section 3)*"),
COUNTIFS('QA Log'!D:D,A241,'QA Log'!M:M,"Data Verification",'QA Log'!L:L,"*Equipments (section 4)*")
))</f>
        <v/>
      </c>
      <c r="AO241" s="102" t="str">
        <f>IF(A241="","",
SUM(
COUNTIFS('QA Log'!D:D,A241,'QA Log'!M:M,"Data Verification",'QA Log'!Z:Z,"Approved",'QA Log'!L:L,"*Personnel (section 1)*"),
COUNTIFS('QA Log'!D:D,A241,'QA Log'!M:M,"Data Verification",'QA Log'!Z:Z,"Approved",'QA Log'!L:L,"*Consumable (section 3)*"),
COUNTIFS('QA Log'!D:D,A241,'QA Log'!M:M,"Data Verification",'QA Log'!Z:Z,"Approved",'QA Log'!L:L,"*Equipments (section 4)*")
))</f>
        <v/>
      </c>
      <c r="AP241" s="105" t="str">
        <f>IF(A241&lt;&gt;"",COUNTIFS('QA Log'!D:D,A241,'QA Log'!M:M,"Data Verification",'QA Log'!L:L,"Personnel (section 1)",'QA Log'!Z:Z,"Approved"),"")</f>
        <v/>
      </c>
      <c r="AQ241" s="105" t="str">
        <f>IF(A241&lt;&gt;"",COUNTIFS('QA Log'!D:D,A241,'QA Log'!M:M,"Data Verification",'QA Log'!L:L,"Consumable (section 3)",'QA Log'!Z:Z,"Approved"),"")</f>
        <v/>
      </c>
      <c r="AR241" s="105" t="str">
        <f>IF(A241&lt;&gt;"",COUNTIFS('QA Log'!D:D,A241,'QA Log'!M:M,"Data Verification",'QA Log'!L:L,"Equipments (section 4)",'QA Log'!Z:Z,"Approved"),"")</f>
        <v/>
      </c>
      <c r="AS241" s="102" t="str">
        <f>IF(A241="","",
SUM(
COUNTIFS('QA Log'!D:D,A241,'QA Log'!M:M,"Data Verification",'QA Log'!Z:Z,"Rejected",'QA Log'!L:L,"*Personnel (section 1)*"),
COUNTIFS('QA Log'!D:D,A241,'QA Log'!M:M,"Data Verification",'QA Log'!Z:Z,"Rejected",'QA Log'!L:L,"*Consumable (section 3)*"),
COUNTIFS('QA Log'!D:D,A241,'QA Log'!M:M,"Data Verification",'QA Log'!Z:Z,"Rejected",'QA Log'!L:L,"*Equipments (section 4)*")
))</f>
        <v/>
      </c>
      <c r="AT241" s="102" t="str">
        <f t="shared" si="7"/>
        <v/>
      </c>
      <c r="AU241" s="103" t="str">
        <f t="shared" si="8"/>
        <v/>
      </c>
      <c r="AV241" s="102" t="str">
        <f>IF(A241="","",SUM(
COUNTIFS('QA Log'!D:D,A241,'QA Log'!M:M,"Vignette",'QA Log'!L:L,"*Vignette [1] Respiratory Infection: Pneumonia*"),
COUNTIFS('QA Log'!D:D,A241,'QA Log'!M:M,"Vignette",'QA Log'!L:L,"*Vignette [2]: Diarrhea with Cat B dehydration*"),
COUNTIFS('QA Log'!D:D,A241,'QA Log'!M:M,"Vignette",'QA Log'!L:L,"*Vignette [3] Growth Monitoring and Promotion*"),
COUNTIFS('QA Log'!D:D,A241,'QA Log'!M:M,"Vignette",'QA Log'!L:L,"*Vignette [4]: The management of presumptive TB patient*")
)
)</f>
        <v/>
      </c>
      <c r="AW241" s="102" t="str">
        <f>IF(
  A241="","",
  SUM(
    COUNTIFS('QA Log'!D:D,A241,'QA Log'!M:M,"Vignette",'QA Log'!Z:Z,"Approved",'QA Log'!L:L,"*Vignette [1] Respiratory Infection: Pneumonia*"),
    COUNTIFS('QA Log'!D:D,A241,'QA Log'!M:M,"Vignette",'QA Log'!Z:Z,"Approved",'QA Log'!L:L,"*Vignette [2]: Diarrhea with Cat B dehydration*"),
    COUNTIFS('QA Log'!D:D,A241,'QA Log'!M:M,"Vignette",'QA Log'!Z:Z,"Approved",'QA Log'!L:L,"*Vignette [3] Growth Monitoring and Promotion*"),
    COUNTIFS('QA Log'!D:D,A241,'QA Log'!M:M,"Vignette",'QA Log'!Z:Z,"Approved",'QA Log'!L:L,"*Vignette [4]: The management of presumptive TB patient*")
  )
)</f>
        <v/>
      </c>
      <c r="AX241" s="105" t="str">
        <f>IF(A241&lt;&gt;"",COUNTIFS('QA Log'!D:D,A241,'QA Log'!M:M,"Vignette",'QA Log'!L:L,"Vignette [1] Respiratory Infection: Pneumonia",'QA Log'!Z:Z,"Approved"),"")</f>
        <v/>
      </c>
      <c r="AY241" s="105" t="str">
        <f>IF(A241&lt;&gt;"",COUNTIFS('QA Log'!D:D,A241,'QA Log'!M:M,"Vignette",'QA Log'!L:L,"Vignette [2]: Diarrhea with Cat B dehydration",'QA Log'!Z:Z,"Approved"),"")</f>
        <v/>
      </c>
      <c r="AZ241" s="105" t="str">
        <f>IF(A241&lt;&gt;"",COUNTIFS('QA Log'!D:D,A241,'QA Log'!M:M,"Vignette",'QA Log'!L:L,"Vignette [3] Growth Monitoring and Promotion",'QA Log'!Z:Z,"Approved"),"")</f>
        <v/>
      </c>
      <c r="BA241" s="105" t="str">
        <f>IF(A241&lt;&gt;"",COUNTIFS('QA Log'!D:D,A241,'QA Log'!M:M,"Vignette",'QA Log'!L:L,"Vignette [4]: The management of presumptive TB patient",'QA Log'!Z:Z,"Approved"),"")</f>
        <v/>
      </c>
      <c r="BB241" s="102" t="str">
        <f>IF(A241="","",
  SUM(
    COUNTIFS('QA Log'!D:D,A241,'QA Log'!M:M,"Vignette",'QA Log'!Z:Z,"Rejected",'QA Log'!L:L,"*Vignette [1] Respiratory Infection: Pneumonia*"),
    COUNTIFS('QA Log'!D:D,A241,'QA Log'!M:M,"Vignette",'QA Log'!Z:Z,"Rejected",'QA Log'!L:L,"*Vignette [2]: Diarrhea with Cat B dehydration*"),
    COUNTIFS('QA Log'!D:D,A241,'QA Log'!M:M,"Vignette",'QA Log'!Z:Z,"Rejected",'QA Log'!L:L,"*Vignette [3] Growth Monitoring and Promotion*"),
    COUNTIFS('QA Log'!D:D,A241,'QA Log'!M:M,"Vignette",'QA Log'!Z:Z,"Rejected",'QA Log'!L:L,"*Vignette [4]: The management of presumptive TB patient*")
  )
)</f>
        <v/>
      </c>
      <c r="BC241" s="107" t="str">
        <f t="shared" si="9"/>
        <v/>
      </c>
      <c r="BD241" s="103" t="str">
        <f t="shared" si="10"/>
        <v/>
      </c>
      <c r="BE241" s="102" t="str">
        <f>IF(A241="","",SUM(
COUNTIFS('QA Log'!D:D,A241,'QA Log'!M:M,"Vignette",'QA Log'!L:L,"*Vignette [5] Labor*"),
COUNTIFS('QA Log'!D:D,A241,'QA Log'!M:M,"Vignette",'QA Log'!L:L,"*Vignette [6] PNC pre Discharge*"),
COUNTIFS('QA Log'!D:D,A241,'QA Log'!M:M,"Vignette",'QA Log'!L:L,"*Vignette [7] First ANC Visit*"),
COUNTIFS('QA Log'!D:D,A241,'QA Log'!M:M,"Vignette",'QA Log'!L:L,"*Vignette [8] Birth Spacing/ Family Planning :  FP Counselling*"),
COUNTIFS('QA Log'!D:D,A241,'QA Log'!M:M,"Vignette",'QA Log'!L:L,"*Vignette [9] Birth Spacing: Change FP method to Injectable*"),
COUNTIFS('QA Log'!D:D,A241,'QA Log'!M:M,"Vignette",'QA Log'!L:L,"*Vignette [10] Post Partum Haemorrhage - Atonic Uterus at Health Centre*"),
)
)</f>
        <v/>
      </c>
      <c r="BF241" s="102" t="str">
        <f>IF(A241="","",
  SUM(
    COUNTIFS('QA Log'!D:D,A241,'QA Log'!M:M,"Vignette",'QA Log'!Z:Z,"Approved",'QA Log'!L:L,"*Vignette [5] Labor*"),
    COUNTIFS('QA Log'!D:D,A241,'QA Log'!M:M,"Vignette",'QA Log'!Z:Z,"Approved",'QA Log'!L:L,"*Vignette [6] PNC pre Discharge*"),
    COUNTIFS('QA Log'!D:D,A241,'QA Log'!M:M,"Vignette",'QA Log'!Z:Z,"Approved",'QA Log'!L:L,"*Vignette [7] First ANC Visit*"),
    COUNTIFS('QA Log'!D:D,A241,'QA Log'!M:M,"Vignette",'QA Log'!Z:Z,"Approved",'QA Log'!L:L,"*Vignette [8] Birth Spacing/ Family Planning :  FP Counselling*"),
    COUNTIFS('QA Log'!D:D,A241,'QA Log'!M:M,"Vignette",'QA Log'!Z:Z,"Approved",'QA Log'!L:L,"*Vignette [9] Birth Spacing: Change FP method to Injectable*"),
    COUNTIFS('QA Log'!D:D,A241,'QA Log'!M:M,"Vignette",'QA Log'!Z:Z,"Approved",'QA Log'!L:L,"*Vignette [10] Post Partum Haemorrhage - Atonic Uterus at Health Centre*")
  )
)</f>
        <v/>
      </c>
      <c r="BG241" s="105" t="str">
        <f>IF(A241&lt;&gt;"",COUNTIFS('QA Log'!D:D,A241,'QA Log'!M:M,"Vignette",'QA Log'!L:L,"Vignette [5] Labor",'QA Log'!Z:Z,"Approved"),"")</f>
        <v/>
      </c>
      <c r="BH241" s="105" t="str">
        <f>IF(A241&lt;&gt;"",COUNTIFS('QA Log'!D:D,A241,'QA Log'!M:M,"Vignette",'QA Log'!L:L,"Vignette [6] PNC pre Discharge",'QA Log'!Z:Z,"Approved"),"")</f>
        <v/>
      </c>
      <c r="BI241" s="105" t="str">
        <f>IF(A241&lt;&gt;"",COUNTIFS('QA Log'!D:D,A241,'QA Log'!M:M,"Vignette",'QA Log'!L:L,"Vignette [7] First ANC Visit",'QA Log'!Z:Z,"Approved"),"")</f>
        <v/>
      </c>
      <c r="BJ241" s="105" t="str">
        <f>IF(A241&lt;&gt;"",COUNTIFS('QA Log'!D:D,A241,'QA Log'!M:M,"Vignette",'QA Log'!L:L,"Vignette [8] Birth Spacing/ Family Planning :  FP Counselling",'QA Log'!Z:Z,"Approved"),"")</f>
        <v/>
      </c>
      <c r="BK241" s="105" t="str">
        <f>IF(A241&lt;&gt;"",COUNTIFS('QA Log'!D:D,A241,'QA Log'!M:M,"Vignette",'QA Log'!L:L,"Vignette [9] Birth Spacing: Change FP method to Injectable",'QA Log'!Z:Z,"Approved"),"")</f>
        <v/>
      </c>
      <c r="BL241" s="105" t="str">
        <f>IF(A241&lt;&gt;"",COUNTIFS('QA Log'!D:D,A241,'QA Log'!M:M,"Vignette",'QA Log'!L:L,"Vignette [10] Post Partum Haemorrhage - Atonic Uterus at Health Centre",'QA Log'!Z:Z,"Approved"),"")</f>
        <v/>
      </c>
      <c r="BM241" s="102" t="str">
        <f>IF(A241="","",SUM(
    COUNTIFS('QA Log'!D:D,A241,'QA Log'!M:M,"Vignette",'QA Log'!Z:Z,"Rejected",'QA Log'!L:L,"*Vignette [5] Labor*"),
    COUNTIFS('QA Log'!D:D,A241,'QA Log'!M:M,"Vignette",'QA Log'!Z:Z,"Rejected",'QA Log'!L:L,"*Vignette [6] PNC pre Discharge*"),
    COUNTIFS('QA Log'!D:D,A241,'QA Log'!M:M,"Vignette",'QA Log'!Z:Z,"Rejected",'QA Log'!L:L,"*Vignette [7] First ANC Visit*"),
    COUNTIFS('QA Log'!D:D,A241,'QA Log'!M:M,"Vignette",'QA Log'!Z:Z,"Rejected",'QA Log'!L:L,"*Vignette [8] Birth Spacing/ Family Planning :  FP Counselling*"),
    COUNTIFS('QA Log'!D:D,A241,'QA Log'!M:M,"Vignette",'QA Log'!Z:Z,"Rejected",'QA Log'!L:L,"*Vignette [9] Birth Spacing: Change FP method to Injectable*"),
    COUNTIFS('QA Log'!D:D,A241,'QA Log'!M:M,"Vignette",'QA Log'!Z:Z,"Rejected",'QA Log'!L:L,"*Vignette [10] Post Partum Haemorrhage - Atonic Uterus at Health Centre*")
  )
)</f>
        <v/>
      </c>
      <c r="BN241" s="107" t="str">
        <f t="shared" si="11"/>
        <v/>
      </c>
      <c r="BO241" s="103" t="str">
        <f t="shared" si="12"/>
        <v/>
      </c>
      <c r="BP241" s="102" t="str">
        <f>IF(A241="","",SUM(
COUNTIFS('QA Log'!D:D,A241,'QA Log'!M:M,"Vignette",'QA Log'!L:L,"*Exit Interview 1*"),
COUNTIFS('QA Log'!D:D,A241,'QA Log'!M:M,"Vignette",'QA Log'!L:L,"*Exit Interview 2*"),
)
)</f>
        <v/>
      </c>
      <c r="BQ241" s="102" t="str">
        <f>IF(
  A241="","",
  SUM(
    COUNTIFS('QA Log'!D:D,A241,'QA Log'!M:M,"Vignette",'QA Log'!Z:Z,"Approved",'QA Log'!L:L,"*Exit Interview 1*"),
    COUNTIFS('QA Log'!D:D,A241,'QA Log'!M:M,"Vignette",'QA Log'!Z:Z,"Approved",'QA Log'!L:L,"*Exit Interview 2*")
  )
)</f>
        <v/>
      </c>
      <c r="BR241" s="105" t="str">
        <f>IF(A241&lt;&gt;"",COUNTIFS('QA Log'!D:D,A241,'QA Log'!M:M,"Vignette",'QA Log'!L:L,"Exit Interview 1",'QA Log'!Z:Z,"Approved"),"")</f>
        <v/>
      </c>
      <c r="BS241" s="105" t="str">
        <f>IF(A241&lt;&gt;"",COUNTIFS('QA Log'!D:D,A241,'QA Log'!M:M,"Vignette",'QA Log'!L:L,"Exit Interview 2",'QA Log'!Z:Z,"Approved"),"")</f>
        <v/>
      </c>
      <c r="BT241" s="102" t="str">
        <f>IF(
  A241="","",
  SUM(
    COUNTIFS('QA Log'!D:D,A241,'QA Log'!M:M,"Vignette",'QA Log'!Z:Z,"Rejected",'QA Log'!L:L,"*Exit Interview 1*"),
    COUNTIFS('QA Log'!D:D,A241,'QA Log'!M:M,"Vignette",'QA Log'!Z:Z,"Rejected",'QA Log'!L:L,"*Exit Interview 2*")
  )
)</f>
        <v/>
      </c>
      <c r="BU241" s="107" t="str">
        <f t="shared" si="13"/>
        <v/>
      </c>
      <c r="BV241" s="102" t="str">
        <f t="shared" si="14"/>
        <v/>
      </c>
      <c r="BW241" s="102" t="str">
        <f t="shared" si="15"/>
        <v/>
      </c>
      <c r="BX241" s="102" t="str">
        <f t="shared" si="16"/>
        <v/>
      </c>
      <c r="BY241" s="102" t="str">
        <f t="shared" si="17"/>
        <v/>
      </c>
      <c r="BZ241" s="107" t="str">
        <f t="shared" si="18"/>
        <v/>
      </c>
      <c r="CA241" s="108" t="str">
        <f t="shared" si="19"/>
        <v/>
      </c>
      <c r="CB241" s="108" t="str">
        <f t="shared" si="20"/>
        <v/>
      </c>
      <c r="CC241" s="109" t="str">
        <f t="shared" si="21"/>
        <v/>
      </c>
      <c r="CD241" s="108" t="str">
        <f t="shared" si="22"/>
        <v/>
      </c>
      <c r="CE241" s="108" t="str">
        <f t="shared" si="23"/>
        <v/>
      </c>
      <c r="CF241" s="109" t="str">
        <f t="shared" si="24"/>
        <v/>
      </c>
      <c r="CG241" s="110" t="str">
        <f t="shared" si="25"/>
        <v/>
      </c>
      <c r="CH241" s="111"/>
    </row>
    <row r="242" spans="1:86" ht="12.75">
      <c r="A242" s="101"/>
      <c r="B242" s="102" t="e">
        <f t="array" aca="1" ref="B242" ca="1">_xludf.XLOOKUP(A242,'QA Log'!D:D,'QA Log'!E:E,"")</f>
        <v>#NAME?</v>
      </c>
      <c r="C242" s="102" t="e">
        <f t="array" aca="1" ref="C242" ca="1">_xludf.XLOOKUP(A242,'QA Log'!D:D,'QA Log'!F:F,"")</f>
        <v>#NAME?</v>
      </c>
      <c r="D242" s="102" t="e">
        <f t="array" aca="1" ref="D242" ca="1">_xludf.XLOOKUP(A242,'QA Log'!D:D,'QA Log'!H:H,"")</f>
        <v>#NAME?</v>
      </c>
      <c r="E242" s="102" t="e">
        <f t="array" aca="1" ref="E242" ca="1">_xludf.XLOOKUP(A242,'QA Log'!D:D,'QA Log'!G:G,"")</f>
        <v>#NAME?</v>
      </c>
      <c r="F242" s="103"/>
      <c r="G242" s="104"/>
      <c r="H242" s="104"/>
      <c r="I242" s="103" t="str">
        <f t="shared" si="0"/>
        <v/>
      </c>
      <c r="J242" s="102" t="str">
        <f>IF(A242="","",SUM(
COUNTIFS('QA Log'!D:D,A242,'QA Log'!M:M,"QQC",'QA Log'!L:L,"*1. General Management*"),
COUNTIFS('QA Log'!D:D,A242,'QA Log'!M:M,"QQC",'QA Log'!L:L,"*3. Curative Consultation (OPD)*"),
COUNTIFS('QA Log'!D:D,A242,'QA Log'!M:M,"QQC",'QA Log'!L:L,"*5. Laboratory*"),
COUNTIFS('QA Log'!D:D,A242,'QA Log'!M:M,"QQC",'QA Log'!L:L,"*6. Essential Medicine Management*"),
COUNTIFS('QA Log'!D:D,A242,'QA Log'!M:M,"QQC",'QA Log'!L:L,"*7. Tracer Medicine*"),
COUNTIFS('QA Log'!D:D,A242,'QA Log'!M:M,"QQC",'QA Log'!L:L,"*11. Additional Questions*")))</f>
        <v/>
      </c>
      <c r="K242" s="102" t="str">
        <f>IF(A242="","",SUM(
COUNTIFS('QA Log'!D:D,A242,'QA Log'!M:M,"QQC",'QA Log'!Z:Z,"Approved",'QA Log'!L:L,"*1. General Management*"),
COUNTIFS('QA Log'!D:D,A242,'QA Log'!M:M,"QQC",'QA Log'!Z:Z,"Approved",'QA Log'!L:L,"*3. Curative Consultation (OPD)*"),
COUNTIFS('QA Log'!D:D,A242,'QA Log'!M:M,"QQC",'QA Log'!Z:Z,"Approved",'QA Log'!L:L,"*5. Laboratory*"),
COUNTIFS('QA Log'!D:D,A242,'QA Log'!M:M,"QQC",'QA Log'!Z:Z,"Approved",'QA Log'!L:L,"*6. Essential Medicine Management*"),
COUNTIFS('QA Log'!D:D,A242,'QA Log'!M:M,"QQC",'QA Log'!Z:Z,"Approved",'QA Log'!L:L,"*7. Tracer Medicine*"),
COUNTIFS('QA Log'!D:D,A242,'QA Log'!M:M,"QQC",'QA Log'!Z:Z,"Approved",'QA Log'!L:L,"*11. Additional Questions*")))</f>
        <v/>
      </c>
      <c r="L242" s="105" t="str">
        <f>IF(A242&lt;&gt;"",COUNTIFS('QA Log'!D:D,A242,'QA Log'!M:M,"QQC",'QA Log'!L:L,"1. General Management",'QA Log'!Z:Z,"Approved"),"")</f>
        <v/>
      </c>
      <c r="M242" s="105" t="str">
        <f>IF(A242&lt;&gt;"",COUNTIFS('QA Log'!D:D,A242,'QA Log'!M:M,"QQC",'QA Log'!L:L,"3. Curative Consultation (OPD)",'QA Log'!Z:Z,"Approved"),"")</f>
        <v/>
      </c>
      <c r="N242" s="105" t="str">
        <f>IF(A242&lt;&gt;"",COUNTIFS('QA Log'!D:D,A242,'QA Log'!M:M,"QQC",'QA Log'!L:L,"5. Laboratory",'QA Log'!Z:Z,"Approved"),"")</f>
        <v/>
      </c>
      <c r="O242" s="105" t="str">
        <f>IF(A242&lt;&gt;"",COUNTIFS('QA Log'!D:D,A242,'QA Log'!M:M,"QQC",'QA Log'!L:L,"6. Essential Medicine Management",'QA Log'!Z:Z,"Approved"),"")</f>
        <v/>
      </c>
      <c r="P242" s="105" t="str">
        <f>IF(A242&lt;&gt;"",COUNTIFS('QA Log'!D:D,A242,'QA Log'!M:M,"QQC",'QA Log'!L:L,"7. Tracer Medicine",'QA Log'!Z:Z,"Approved"),"")</f>
        <v/>
      </c>
      <c r="Q242" s="105" t="str">
        <f>IF(A242&lt;&gt;"",COUNTIFS('QA Log'!D:D,A242,'QA Log'!M:M,"QQC",'QA Log'!L:L,"11. Additional Questions",'QA Log'!Z:Z,"Approved"),"")</f>
        <v/>
      </c>
      <c r="R242" s="102" t="str">
        <f>IF(A242="","",SUM(
COUNTIFS('QA Log'!D:D,A242,'QA Log'!M:M,"QQC",'QA Log'!Z:Z,"Rejected",'QA Log'!L:L,"*8. Maternity*"),
COUNTIFS('QA Log'!D:D,A242,'QA Log'!M:M,"QQC",'QA Log'!Z:Z,"Rejected",'QA Log'!L:L,"*EPI*"),
COUNTIFS('QA Log'!D:D,A242,'QA Log'!M:M,"QQC",'QA Log'!Z:Z,"Rejected",'QA Log'!L:L,"*10. Antenatal Care (ANC)*"),
COUNTIFS('QA Log'!D:D,A242,'QA Log'!M:M,"QQC",'QA Log'!Z:Z,"Rejected",'QA Log'!L:L,"*2. Hygiene and Sterilization*"),
COUNTIFS('QA Log'!D:D,A242,'QA Log'!M:M,"QQC",'QA Log'!Z:Z,"Rejected",'QA Log'!L:L,"*Family Planning*")))</f>
        <v/>
      </c>
      <c r="S242" s="106" t="str">
        <f t="shared" si="1"/>
        <v/>
      </c>
      <c r="T242" s="102" t="str">
        <f t="shared" si="2"/>
        <v/>
      </c>
      <c r="U242" s="102" t="str">
        <f>IF(A242="","",
SUM(
COUNTIFS('QA Log'!D:D,A242,'QA Log'!M:M,"QQC",'QA Log'!L:L,"*8. Maternity*"),
COUNTIFS('QA Log'!D:D,A242,'QA Log'!M:M,"QQC",'QA Log'!L:L,"*9. EPI and Pre-school Consultation*"),
COUNTIFS('QA Log'!D:D,A242,'QA Log'!M:M,"QQC",'QA Log'!L:L,"*10. Antenatal Care (ANC)*"),
COUNTIFS('QA Log'!D:D,A242,'QA Log'!M:M,"QQC",'QA Log'!L:L,"*2. Hygiene and Sterilization*"),
COUNTIFS('QA Log'!D:D,A242,'QA Log'!M:M,"QQC",'QA Log'!L:L,"*4. Family Planning*")
))</f>
        <v/>
      </c>
      <c r="V242" s="102" t="str">
        <f>IF(A242="","",
SUM(
COUNTIFS('QA Log'!D:D,A242,'QA Log'!M:M,"QQC",'QA Log'!Z:Z,"Approved",'QA Log'!L:L,"*8. Maternity*"),
COUNTIFS('QA Log'!D:D,A242,'QA Log'!M:M,"QQC",'QA Log'!Z:Z,"Approved",'QA Log'!L:L,"*9. EPI and Pre-school Consultation*"),
COUNTIFS('QA Log'!D:D,A242,'QA Log'!M:M,"QQC",'QA Log'!Z:Z,"Approved",'QA Log'!L:L,"*10. Antenatal Care (ANC)*"),
COUNTIFS('QA Log'!D:D,A242,'QA Log'!M:M,"QQC",'QA Log'!Z:Z,"Approved",'QA Log'!L:L,"*2. Hygiene and Sterilization*"),
COUNTIFS('QA Log'!D:D,A242,'QA Log'!M:M,"QQC",'QA Log'!Z:Z,"Approved",'QA Log'!L:L,"*4. Family Planning*")
))</f>
        <v/>
      </c>
      <c r="W242" s="105" t="str">
        <f>IF(A242&lt;&gt;"",COUNTIFS('QA Log'!D:D,A242,'QA Log'!M:M,"QQC",'QA Log'!L:L,"8. Maternity",'QA Log'!Z:Z,"Approved"),"")</f>
        <v/>
      </c>
      <c r="X242" s="105" t="str">
        <f>IF(A242&lt;&gt;"",COUNTIFS('QA Log'!D:D,A242,'QA Log'!M:M,"QQC",'QA Log'!L:L,"9. EPI and Pre-school Consultation",'QA Log'!Z:Z,"Approved"),"")</f>
        <v/>
      </c>
      <c r="Y242" s="105" t="str">
        <f>IF(A242&lt;&gt;"",COUNTIFS('QA Log'!D:D,A242,'QA Log'!M:M,"QQC",'QA Log'!L:L,"10. Antenatal Care (ANC)",'QA Log'!Z:Z,"Approved"),"")</f>
        <v/>
      </c>
      <c r="Z242" s="105" t="str">
        <f>IF(A242&lt;&gt;"",COUNTIFS('QA Log'!D:D,A242,'QA Log'!M:M,"QQC",'QA Log'!L:L,"2. Hygiene and Sterilization",'QA Log'!Z:Z,"Approved"),"")</f>
        <v/>
      </c>
      <c r="AA242" s="105" t="str">
        <f>IF(A242&lt;&gt;"",COUNTIFS('QA Log'!D:D,A242,'QA Log'!M:M,"QQC",'QA Log'!L:L,"4. Family Planning",'QA Log'!Z:Z,"Approved"),"")</f>
        <v/>
      </c>
      <c r="AB242" s="102" t="str">
        <f>IF(A242="","",
SUM(
COUNTIFS('QA Log'!D:D,A242,'QA Log'!M:M,"QQC",'QA Log'!Z:Z,"Rejected",'QA Log'!L:L,"*8. Maternity*"),
COUNTIFS('QA Log'!D:D,A242,'QA Log'!M:M,"QQC",'QA Log'!Z:Z,"Rejected",'QA Log'!L:L,"*9. EPI and Pre-school Consultation*"),
COUNTIFS('QA Log'!D:D,A242,'QA Log'!M:M,"QQC",'QA Log'!Z:Z,"Rejected",'QA Log'!L:L,"*10. Antenatal Care (ANC)*"),
COUNTIFS('QA Log'!D:D,A242,'QA Log'!M:M,"QQC",'QA Log'!Z:Z,"Rejected",'QA Log'!L:L,"*2. Hygiene and Sterilization*"),
COUNTIFS('QA Log'!D:D,A242,'QA Log'!M:M,"QQC",'QA Log'!Z:Z,"Rejected",'QA Log'!L:L,"*4. Family Planning*")
))</f>
        <v/>
      </c>
      <c r="AC242" s="102" t="str">
        <f t="shared" si="3"/>
        <v/>
      </c>
      <c r="AD242" s="103" t="str">
        <f t="shared" si="4"/>
        <v/>
      </c>
      <c r="AE242" s="102" t="str">
        <f>IF(A242="","",
SUM(
COUNTIFS('QA Log'!D:D,A242,'QA Log'!M:M,"Data Verification",'QA Log'!L:L,"*Medicine (section 2)*"),
COUNTIFS('QA Log'!D:D,A242,'QA Log'!M:M,"Data Verification",'QA Log'!L:L,"*Lab Testing Availability*"),
COUNTIFS('QA Log'!D:D,A242,'QA Log'!M:M,"Data Verification",'QA Log'!L:L,"*Other than P4P (section 6)*"),
COUNTIFS('QA Log'!D:D,A242,'QA Log'!M:M,"Data Verification",'QA Log'!L:L,"*Hospital Governance*")
))</f>
        <v/>
      </c>
      <c r="AF242" s="102" t="str">
        <f>IF(A242="","",
SUM(
COUNTIFS('QA Log'!D:D,A242,'QA Log'!M:M,"Data Verification",'QA Log'!Z:Z,"Approved",'QA Log'!L:L,"*Medicine (section 2)*"),
COUNTIFS('QA Log'!D:D,A242,'QA Log'!M:M,"Data Verification",'QA Log'!Z:Z,"Approved",'QA Log'!L:L,"*Lab Testing Availability*"),
COUNTIFS('QA Log'!D:D,A242,'QA Log'!M:M,"Data Verification",'QA Log'!Z:Z,"Approved",'QA Log'!L:L,"*Other than P4P (section 6)*"),
COUNTIFS('QA Log'!D:D,A242,'QA Log'!M:M,"Data Verification",'QA Log'!Z:Z,"Approved",'QA Log'!L:L,"*Hospital Governance*")
))</f>
        <v/>
      </c>
      <c r="AG242" s="105" t="str">
        <f>IF(A242&lt;&gt;"",COUNTIFS('QA Log'!D:D,A242,'QA Log'!M:M,"Data Verification",'QA Log'!L:L,"Medicine (section 2)",'QA Log'!Z:Z,"Approved"),"")</f>
        <v/>
      </c>
      <c r="AH242" s="105" t="str">
        <f>IF(A242&lt;&gt;"",COUNTIFS('QA Log'!D:D,A242,'QA Log'!M:M,"Data Verification",'QA Log'!L:L,"Lab Testing Availability",'QA Log'!Z:Z,"Approved"),"")</f>
        <v/>
      </c>
      <c r="AI242" s="105" t="str">
        <f>IF(A242&lt;&gt;"",COUNTIFS('QA Log'!D:D,A242,'QA Log'!M:M,"Data Verification",'QA Log'!L:L,"Other than P4P (section 6)",'QA Log'!Z:Z,"Approved"),"")</f>
        <v/>
      </c>
      <c r="AJ242" s="105" t="str">
        <f>IF(A242&lt;&gt;"",COUNTIFS('QA Log'!D:D,A242,'QA Log'!M:M,"Data Verification",'QA Log'!L:L,"Hospital Governance",'QA Log'!Z:Z,"Approved"),"")</f>
        <v/>
      </c>
      <c r="AK242" s="102" t="str">
        <f>IF(A242="","",
SUM(
COUNTIFS('QA Log'!D:D,A242,'QA Log'!M:M,"Data Verification",'QA Log'!Z:Z,"Rejected",'QA Log'!L:L,"*Medicine (section 2)*"),
COUNTIFS('QA Log'!D:D,A242,'QA Log'!M:M,"Data Verification",'QA Log'!Z:Z,"Rejected",'QA Log'!L:L,"*Lab Testing Availability*"),
COUNTIFS('QA Log'!D:D,A242,'QA Log'!M:M,"Data Verification",'QA Log'!Z:Z,"Rejected",'QA Log'!L:L,"*Other than P4P (section 6)*"),
COUNTIFS('QA Log'!D:D,A242,'QA Log'!M:M,"Data Verification",'QA Log'!Z:Z,"Rejected",'QA Log'!L:L,"*Hospital Governance*")
))</f>
        <v/>
      </c>
      <c r="AL242" s="106" t="str">
        <f t="shared" si="5"/>
        <v/>
      </c>
      <c r="AM242" s="102" t="str">
        <f t="shared" si="6"/>
        <v/>
      </c>
      <c r="AN242" s="102" t="str">
        <f>IF(A242="","",
SUM(
COUNTIFS('QA Log'!D:D,A242,'QA Log'!M:M,"Data Verification",'QA Log'!L:L,"*Personnel (section 1)*"),
COUNTIFS('QA Log'!D:D,A242,'QA Log'!M:M,"Data Verification",'QA Log'!L:L,"*Consumable (section 3)*"),
COUNTIFS('QA Log'!D:D,A242,'QA Log'!M:M,"Data Verification",'QA Log'!L:L,"*Equipments (section 4)*")
))</f>
        <v/>
      </c>
      <c r="AO242" s="102" t="str">
        <f>IF(A242="","",
SUM(
COUNTIFS('QA Log'!D:D,A242,'QA Log'!M:M,"Data Verification",'QA Log'!Z:Z,"Approved",'QA Log'!L:L,"*Personnel (section 1)*"),
COUNTIFS('QA Log'!D:D,A242,'QA Log'!M:M,"Data Verification",'QA Log'!Z:Z,"Approved",'QA Log'!L:L,"*Consumable (section 3)*"),
COUNTIFS('QA Log'!D:D,A242,'QA Log'!M:M,"Data Verification",'QA Log'!Z:Z,"Approved",'QA Log'!L:L,"*Equipments (section 4)*")
))</f>
        <v/>
      </c>
      <c r="AP242" s="105" t="str">
        <f>IF(A242&lt;&gt;"",COUNTIFS('QA Log'!D:D,A242,'QA Log'!M:M,"Data Verification",'QA Log'!L:L,"Personnel (section 1)",'QA Log'!Z:Z,"Approved"),"")</f>
        <v/>
      </c>
      <c r="AQ242" s="105" t="str">
        <f>IF(A242&lt;&gt;"",COUNTIFS('QA Log'!D:D,A242,'QA Log'!M:M,"Data Verification",'QA Log'!L:L,"Consumable (section 3)",'QA Log'!Z:Z,"Approved"),"")</f>
        <v/>
      </c>
      <c r="AR242" s="105" t="str">
        <f>IF(A242&lt;&gt;"",COUNTIFS('QA Log'!D:D,A242,'QA Log'!M:M,"Data Verification",'QA Log'!L:L,"Equipments (section 4)",'QA Log'!Z:Z,"Approved"),"")</f>
        <v/>
      </c>
      <c r="AS242" s="102" t="str">
        <f>IF(A242="","",
SUM(
COUNTIFS('QA Log'!D:D,A242,'QA Log'!M:M,"Data Verification",'QA Log'!Z:Z,"Rejected",'QA Log'!L:L,"*Personnel (section 1)*"),
COUNTIFS('QA Log'!D:D,A242,'QA Log'!M:M,"Data Verification",'QA Log'!Z:Z,"Rejected",'QA Log'!L:L,"*Consumable (section 3)*"),
COUNTIFS('QA Log'!D:D,A242,'QA Log'!M:M,"Data Verification",'QA Log'!Z:Z,"Rejected",'QA Log'!L:L,"*Equipments (section 4)*")
))</f>
        <v/>
      </c>
      <c r="AT242" s="102" t="str">
        <f t="shared" si="7"/>
        <v/>
      </c>
      <c r="AU242" s="103" t="str">
        <f t="shared" si="8"/>
        <v/>
      </c>
      <c r="AV242" s="102" t="str">
        <f>IF(A242="","",SUM(
COUNTIFS('QA Log'!D:D,A242,'QA Log'!M:M,"Vignette",'QA Log'!L:L,"*Vignette [1] Respiratory Infection: Pneumonia*"),
COUNTIFS('QA Log'!D:D,A242,'QA Log'!M:M,"Vignette",'QA Log'!L:L,"*Vignette [2]: Diarrhea with Cat B dehydration*"),
COUNTIFS('QA Log'!D:D,A242,'QA Log'!M:M,"Vignette",'QA Log'!L:L,"*Vignette [3] Growth Monitoring and Promotion*"),
COUNTIFS('QA Log'!D:D,A242,'QA Log'!M:M,"Vignette",'QA Log'!L:L,"*Vignette [4]: The management of presumptive TB patient*")
)
)</f>
        <v/>
      </c>
      <c r="AW242" s="102" t="str">
        <f>IF(
  A242="","",
  SUM(
    COUNTIFS('QA Log'!D:D,A242,'QA Log'!M:M,"Vignette",'QA Log'!Z:Z,"Approved",'QA Log'!L:L,"*Vignette [1] Respiratory Infection: Pneumonia*"),
    COUNTIFS('QA Log'!D:D,A242,'QA Log'!M:M,"Vignette",'QA Log'!Z:Z,"Approved",'QA Log'!L:L,"*Vignette [2]: Diarrhea with Cat B dehydration*"),
    COUNTIFS('QA Log'!D:D,A242,'QA Log'!M:M,"Vignette",'QA Log'!Z:Z,"Approved",'QA Log'!L:L,"*Vignette [3] Growth Monitoring and Promotion*"),
    COUNTIFS('QA Log'!D:D,A242,'QA Log'!M:M,"Vignette",'QA Log'!Z:Z,"Approved",'QA Log'!L:L,"*Vignette [4]: The management of presumptive TB patient*")
  )
)</f>
        <v/>
      </c>
      <c r="AX242" s="105" t="str">
        <f>IF(A242&lt;&gt;"",COUNTIFS('QA Log'!D:D,A242,'QA Log'!M:M,"Vignette",'QA Log'!L:L,"Vignette [1] Respiratory Infection: Pneumonia",'QA Log'!Z:Z,"Approved"),"")</f>
        <v/>
      </c>
      <c r="AY242" s="105" t="str">
        <f>IF(A242&lt;&gt;"",COUNTIFS('QA Log'!D:D,A242,'QA Log'!M:M,"Vignette",'QA Log'!L:L,"Vignette [2]: Diarrhea with Cat B dehydration",'QA Log'!Z:Z,"Approved"),"")</f>
        <v/>
      </c>
      <c r="AZ242" s="105" t="str">
        <f>IF(A242&lt;&gt;"",COUNTIFS('QA Log'!D:D,A242,'QA Log'!M:M,"Vignette",'QA Log'!L:L,"Vignette [3] Growth Monitoring and Promotion",'QA Log'!Z:Z,"Approved"),"")</f>
        <v/>
      </c>
      <c r="BA242" s="105" t="str">
        <f>IF(A242&lt;&gt;"",COUNTIFS('QA Log'!D:D,A242,'QA Log'!M:M,"Vignette",'QA Log'!L:L,"Vignette [4]: The management of presumptive TB patient",'QA Log'!Z:Z,"Approved"),"")</f>
        <v/>
      </c>
      <c r="BB242" s="102" t="str">
        <f>IF(A242="","",
  SUM(
    COUNTIFS('QA Log'!D:D,A242,'QA Log'!M:M,"Vignette",'QA Log'!Z:Z,"Rejected",'QA Log'!L:L,"*Vignette [1] Respiratory Infection: Pneumonia*"),
    COUNTIFS('QA Log'!D:D,A242,'QA Log'!M:M,"Vignette",'QA Log'!Z:Z,"Rejected",'QA Log'!L:L,"*Vignette [2]: Diarrhea with Cat B dehydration*"),
    COUNTIFS('QA Log'!D:D,A242,'QA Log'!M:M,"Vignette",'QA Log'!Z:Z,"Rejected",'QA Log'!L:L,"*Vignette [3] Growth Monitoring and Promotion*"),
    COUNTIFS('QA Log'!D:D,A242,'QA Log'!M:M,"Vignette",'QA Log'!Z:Z,"Rejected",'QA Log'!L:L,"*Vignette [4]: The management of presumptive TB patient*")
  )
)</f>
        <v/>
      </c>
      <c r="BC242" s="107" t="str">
        <f t="shared" si="9"/>
        <v/>
      </c>
      <c r="BD242" s="103" t="str">
        <f t="shared" si="10"/>
        <v/>
      </c>
      <c r="BE242" s="102" t="str">
        <f>IF(A242="","",SUM(
COUNTIFS('QA Log'!D:D,A242,'QA Log'!M:M,"Vignette",'QA Log'!L:L,"*Vignette [5] Labor*"),
COUNTIFS('QA Log'!D:D,A242,'QA Log'!M:M,"Vignette",'QA Log'!L:L,"*Vignette [6] PNC pre Discharge*"),
COUNTIFS('QA Log'!D:D,A242,'QA Log'!M:M,"Vignette",'QA Log'!L:L,"*Vignette [7] First ANC Visit*"),
COUNTIFS('QA Log'!D:D,A242,'QA Log'!M:M,"Vignette",'QA Log'!L:L,"*Vignette [8] Birth Spacing/ Family Planning :  FP Counselling*"),
COUNTIFS('QA Log'!D:D,A242,'QA Log'!M:M,"Vignette",'QA Log'!L:L,"*Vignette [9] Birth Spacing: Change FP method to Injectable*"),
COUNTIFS('QA Log'!D:D,A242,'QA Log'!M:M,"Vignette",'QA Log'!L:L,"*Vignette [10] Post Partum Haemorrhage - Atonic Uterus at Health Centre*"),
)
)</f>
        <v/>
      </c>
      <c r="BF242" s="102" t="str">
        <f>IF(A242="","",
  SUM(
    COUNTIFS('QA Log'!D:D,A242,'QA Log'!M:M,"Vignette",'QA Log'!Z:Z,"Approved",'QA Log'!L:L,"*Vignette [5] Labor*"),
    COUNTIFS('QA Log'!D:D,A242,'QA Log'!M:M,"Vignette",'QA Log'!Z:Z,"Approved",'QA Log'!L:L,"*Vignette [6] PNC pre Discharge*"),
    COUNTIFS('QA Log'!D:D,A242,'QA Log'!M:M,"Vignette",'QA Log'!Z:Z,"Approved",'QA Log'!L:L,"*Vignette [7] First ANC Visit*"),
    COUNTIFS('QA Log'!D:D,A242,'QA Log'!M:M,"Vignette",'QA Log'!Z:Z,"Approved",'QA Log'!L:L,"*Vignette [8] Birth Spacing/ Family Planning :  FP Counselling*"),
    COUNTIFS('QA Log'!D:D,A242,'QA Log'!M:M,"Vignette",'QA Log'!Z:Z,"Approved",'QA Log'!L:L,"*Vignette [9] Birth Spacing: Change FP method to Injectable*"),
    COUNTIFS('QA Log'!D:D,A242,'QA Log'!M:M,"Vignette",'QA Log'!Z:Z,"Approved",'QA Log'!L:L,"*Vignette [10] Post Partum Haemorrhage - Atonic Uterus at Health Centre*")
  )
)</f>
        <v/>
      </c>
      <c r="BG242" s="105" t="str">
        <f>IF(A242&lt;&gt;"",COUNTIFS('QA Log'!D:D,A242,'QA Log'!M:M,"Vignette",'QA Log'!L:L,"Vignette [5] Labor",'QA Log'!Z:Z,"Approved"),"")</f>
        <v/>
      </c>
      <c r="BH242" s="105" t="str">
        <f>IF(A242&lt;&gt;"",COUNTIFS('QA Log'!D:D,A242,'QA Log'!M:M,"Vignette",'QA Log'!L:L,"Vignette [6] PNC pre Discharge",'QA Log'!Z:Z,"Approved"),"")</f>
        <v/>
      </c>
      <c r="BI242" s="105" t="str">
        <f>IF(A242&lt;&gt;"",COUNTIFS('QA Log'!D:D,A242,'QA Log'!M:M,"Vignette",'QA Log'!L:L,"Vignette [7] First ANC Visit",'QA Log'!Z:Z,"Approved"),"")</f>
        <v/>
      </c>
      <c r="BJ242" s="105" t="str">
        <f>IF(A242&lt;&gt;"",COUNTIFS('QA Log'!D:D,A242,'QA Log'!M:M,"Vignette",'QA Log'!L:L,"Vignette [8] Birth Spacing/ Family Planning :  FP Counselling",'QA Log'!Z:Z,"Approved"),"")</f>
        <v/>
      </c>
      <c r="BK242" s="105" t="str">
        <f>IF(A242&lt;&gt;"",COUNTIFS('QA Log'!D:D,A242,'QA Log'!M:M,"Vignette",'QA Log'!L:L,"Vignette [9] Birth Spacing: Change FP method to Injectable",'QA Log'!Z:Z,"Approved"),"")</f>
        <v/>
      </c>
      <c r="BL242" s="105" t="str">
        <f>IF(A242&lt;&gt;"",COUNTIFS('QA Log'!D:D,A242,'QA Log'!M:M,"Vignette",'QA Log'!L:L,"Vignette [10] Post Partum Haemorrhage - Atonic Uterus at Health Centre",'QA Log'!Z:Z,"Approved"),"")</f>
        <v/>
      </c>
      <c r="BM242" s="102" t="str">
        <f>IF(A242="","",SUM(
    COUNTIFS('QA Log'!D:D,A242,'QA Log'!M:M,"Vignette",'QA Log'!Z:Z,"Rejected",'QA Log'!L:L,"*Vignette [5] Labor*"),
    COUNTIFS('QA Log'!D:D,A242,'QA Log'!M:M,"Vignette",'QA Log'!Z:Z,"Rejected",'QA Log'!L:L,"*Vignette [6] PNC pre Discharge*"),
    COUNTIFS('QA Log'!D:D,A242,'QA Log'!M:M,"Vignette",'QA Log'!Z:Z,"Rejected",'QA Log'!L:L,"*Vignette [7] First ANC Visit*"),
    COUNTIFS('QA Log'!D:D,A242,'QA Log'!M:M,"Vignette",'QA Log'!Z:Z,"Rejected",'QA Log'!L:L,"*Vignette [8] Birth Spacing/ Family Planning :  FP Counselling*"),
    COUNTIFS('QA Log'!D:D,A242,'QA Log'!M:M,"Vignette",'QA Log'!Z:Z,"Rejected",'QA Log'!L:L,"*Vignette [9] Birth Spacing: Change FP method to Injectable*"),
    COUNTIFS('QA Log'!D:D,A242,'QA Log'!M:M,"Vignette",'QA Log'!Z:Z,"Rejected",'QA Log'!L:L,"*Vignette [10] Post Partum Haemorrhage - Atonic Uterus at Health Centre*")
  )
)</f>
        <v/>
      </c>
      <c r="BN242" s="107" t="str">
        <f t="shared" si="11"/>
        <v/>
      </c>
      <c r="BO242" s="103" t="str">
        <f t="shared" si="12"/>
        <v/>
      </c>
      <c r="BP242" s="102" t="str">
        <f>IF(A242="","",SUM(
COUNTIFS('QA Log'!D:D,A242,'QA Log'!M:M,"Vignette",'QA Log'!L:L,"*Exit Interview 1*"),
COUNTIFS('QA Log'!D:D,A242,'QA Log'!M:M,"Vignette",'QA Log'!L:L,"*Exit Interview 2*"),
)
)</f>
        <v/>
      </c>
      <c r="BQ242" s="102" t="str">
        <f>IF(
  A242="","",
  SUM(
    COUNTIFS('QA Log'!D:D,A242,'QA Log'!M:M,"Vignette",'QA Log'!Z:Z,"Approved",'QA Log'!L:L,"*Exit Interview 1*"),
    COUNTIFS('QA Log'!D:D,A242,'QA Log'!M:M,"Vignette",'QA Log'!Z:Z,"Approved",'QA Log'!L:L,"*Exit Interview 2*")
  )
)</f>
        <v/>
      </c>
      <c r="BR242" s="105" t="str">
        <f>IF(A242&lt;&gt;"",COUNTIFS('QA Log'!D:D,A242,'QA Log'!M:M,"Vignette",'QA Log'!L:L,"Exit Interview 1",'QA Log'!Z:Z,"Approved"),"")</f>
        <v/>
      </c>
      <c r="BS242" s="105" t="str">
        <f>IF(A242&lt;&gt;"",COUNTIFS('QA Log'!D:D,A242,'QA Log'!M:M,"Vignette",'QA Log'!L:L,"Exit Interview 2",'QA Log'!Z:Z,"Approved"),"")</f>
        <v/>
      </c>
      <c r="BT242" s="102" t="str">
        <f>IF(
  A242="","",
  SUM(
    COUNTIFS('QA Log'!D:D,A242,'QA Log'!M:M,"Vignette",'QA Log'!Z:Z,"Rejected",'QA Log'!L:L,"*Exit Interview 1*"),
    COUNTIFS('QA Log'!D:D,A242,'QA Log'!M:M,"Vignette",'QA Log'!Z:Z,"Rejected",'QA Log'!L:L,"*Exit Interview 2*")
  )
)</f>
        <v/>
      </c>
      <c r="BU242" s="107" t="str">
        <f t="shared" si="13"/>
        <v/>
      </c>
      <c r="BV242" s="102" t="str">
        <f t="shared" si="14"/>
        <v/>
      </c>
      <c r="BW242" s="102" t="str">
        <f t="shared" si="15"/>
        <v/>
      </c>
      <c r="BX242" s="102" t="str">
        <f t="shared" si="16"/>
        <v/>
      </c>
      <c r="BY242" s="102" t="str">
        <f t="shared" si="17"/>
        <v/>
      </c>
      <c r="BZ242" s="107" t="str">
        <f t="shared" si="18"/>
        <v/>
      </c>
      <c r="CA242" s="108" t="str">
        <f t="shared" si="19"/>
        <v/>
      </c>
      <c r="CB242" s="108" t="str">
        <f t="shared" si="20"/>
        <v/>
      </c>
      <c r="CC242" s="109" t="str">
        <f t="shared" si="21"/>
        <v/>
      </c>
      <c r="CD242" s="108" t="str">
        <f t="shared" si="22"/>
        <v/>
      </c>
      <c r="CE242" s="108" t="str">
        <f t="shared" si="23"/>
        <v/>
      </c>
      <c r="CF242" s="109" t="str">
        <f t="shared" si="24"/>
        <v/>
      </c>
      <c r="CG242" s="110" t="str">
        <f t="shared" si="25"/>
        <v/>
      </c>
      <c r="CH242" s="111"/>
    </row>
    <row r="243" spans="1:86" ht="12.75">
      <c r="A243" s="101"/>
      <c r="B243" s="102" t="e">
        <f t="array" aca="1" ref="B243" ca="1">_xludf.XLOOKUP(A243,'QA Log'!D:D,'QA Log'!E:E,"")</f>
        <v>#NAME?</v>
      </c>
      <c r="C243" s="102" t="e">
        <f t="array" aca="1" ref="C243" ca="1">_xludf.XLOOKUP(A243,'QA Log'!D:D,'QA Log'!F:F,"")</f>
        <v>#NAME?</v>
      </c>
      <c r="D243" s="102" t="e">
        <f t="array" aca="1" ref="D243" ca="1">_xludf.XLOOKUP(A243,'QA Log'!D:D,'QA Log'!H:H,"")</f>
        <v>#NAME?</v>
      </c>
      <c r="E243" s="102" t="e">
        <f t="array" aca="1" ref="E243" ca="1">_xludf.XLOOKUP(A243,'QA Log'!D:D,'QA Log'!G:G,"")</f>
        <v>#NAME?</v>
      </c>
      <c r="F243" s="103"/>
      <c r="G243" s="104"/>
      <c r="H243" s="104"/>
      <c r="I243" s="103" t="str">
        <f t="shared" si="0"/>
        <v/>
      </c>
      <c r="J243" s="102" t="str">
        <f>IF(A243="","",SUM(
COUNTIFS('QA Log'!D:D,A243,'QA Log'!M:M,"QQC",'QA Log'!L:L,"*1. General Management*"),
COUNTIFS('QA Log'!D:D,A243,'QA Log'!M:M,"QQC",'QA Log'!L:L,"*3. Curative Consultation (OPD)*"),
COUNTIFS('QA Log'!D:D,A243,'QA Log'!M:M,"QQC",'QA Log'!L:L,"*5. Laboratory*"),
COUNTIFS('QA Log'!D:D,A243,'QA Log'!M:M,"QQC",'QA Log'!L:L,"*6. Essential Medicine Management*"),
COUNTIFS('QA Log'!D:D,A243,'QA Log'!M:M,"QQC",'QA Log'!L:L,"*7. Tracer Medicine*"),
COUNTIFS('QA Log'!D:D,A243,'QA Log'!M:M,"QQC",'QA Log'!L:L,"*11. Additional Questions*")))</f>
        <v/>
      </c>
      <c r="K243" s="102" t="str">
        <f>IF(A243="","",SUM(
COUNTIFS('QA Log'!D:D,A243,'QA Log'!M:M,"QQC",'QA Log'!Z:Z,"Approved",'QA Log'!L:L,"*1. General Management*"),
COUNTIFS('QA Log'!D:D,A243,'QA Log'!M:M,"QQC",'QA Log'!Z:Z,"Approved",'QA Log'!L:L,"*3. Curative Consultation (OPD)*"),
COUNTIFS('QA Log'!D:D,A243,'QA Log'!M:M,"QQC",'QA Log'!Z:Z,"Approved",'QA Log'!L:L,"*5. Laboratory*"),
COUNTIFS('QA Log'!D:D,A243,'QA Log'!M:M,"QQC",'QA Log'!Z:Z,"Approved",'QA Log'!L:L,"*6. Essential Medicine Management*"),
COUNTIFS('QA Log'!D:D,A243,'QA Log'!M:M,"QQC",'QA Log'!Z:Z,"Approved",'QA Log'!L:L,"*7. Tracer Medicine*"),
COUNTIFS('QA Log'!D:D,A243,'QA Log'!M:M,"QQC",'QA Log'!Z:Z,"Approved",'QA Log'!L:L,"*11. Additional Questions*")))</f>
        <v/>
      </c>
      <c r="L243" s="105" t="str">
        <f>IF(A243&lt;&gt;"",COUNTIFS('QA Log'!D:D,A243,'QA Log'!M:M,"QQC",'QA Log'!L:L,"1. General Management",'QA Log'!Z:Z,"Approved"),"")</f>
        <v/>
      </c>
      <c r="M243" s="105" t="str">
        <f>IF(A243&lt;&gt;"",COUNTIFS('QA Log'!D:D,A243,'QA Log'!M:M,"QQC",'QA Log'!L:L,"3. Curative Consultation (OPD)",'QA Log'!Z:Z,"Approved"),"")</f>
        <v/>
      </c>
      <c r="N243" s="105" t="str">
        <f>IF(A243&lt;&gt;"",COUNTIFS('QA Log'!D:D,A243,'QA Log'!M:M,"QQC",'QA Log'!L:L,"5. Laboratory",'QA Log'!Z:Z,"Approved"),"")</f>
        <v/>
      </c>
      <c r="O243" s="105" t="str">
        <f>IF(A243&lt;&gt;"",COUNTIFS('QA Log'!D:D,A243,'QA Log'!M:M,"QQC",'QA Log'!L:L,"6. Essential Medicine Management",'QA Log'!Z:Z,"Approved"),"")</f>
        <v/>
      </c>
      <c r="P243" s="105" t="str">
        <f>IF(A243&lt;&gt;"",COUNTIFS('QA Log'!D:D,A243,'QA Log'!M:M,"QQC",'QA Log'!L:L,"7. Tracer Medicine",'QA Log'!Z:Z,"Approved"),"")</f>
        <v/>
      </c>
      <c r="Q243" s="105" t="str">
        <f>IF(A243&lt;&gt;"",COUNTIFS('QA Log'!D:D,A243,'QA Log'!M:M,"QQC",'QA Log'!L:L,"11. Additional Questions",'QA Log'!Z:Z,"Approved"),"")</f>
        <v/>
      </c>
      <c r="R243" s="102" t="str">
        <f>IF(A243="","",SUM(
COUNTIFS('QA Log'!D:D,A243,'QA Log'!M:M,"QQC",'QA Log'!Z:Z,"Rejected",'QA Log'!L:L,"*8. Maternity*"),
COUNTIFS('QA Log'!D:D,A243,'QA Log'!M:M,"QQC",'QA Log'!Z:Z,"Rejected",'QA Log'!L:L,"*EPI*"),
COUNTIFS('QA Log'!D:D,A243,'QA Log'!M:M,"QQC",'QA Log'!Z:Z,"Rejected",'QA Log'!L:L,"*10. Antenatal Care (ANC)*"),
COUNTIFS('QA Log'!D:D,A243,'QA Log'!M:M,"QQC",'QA Log'!Z:Z,"Rejected",'QA Log'!L:L,"*2. Hygiene and Sterilization*"),
COUNTIFS('QA Log'!D:D,A243,'QA Log'!M:M,"QQC",'QA Log'!Z:Z,"Rejected",'QA Log'!L:L,"*Family Planning*")))</f>
        <v/>
      </c>
      <c r="S243" s="106" t="str">
        <f t="shared" si="1"/>
        <v/>
      </c>
      <c r="T243" s="102" t="str">
        <f t="shared" si="2"/>
        <v/>
      </c>
      <c r="U243" s="102" t="str">
        <f>IF(A243="","",
SUM(
COUNTIFS('QA Log'!D:D,A243,'QA Log'!M:M,"QQC",'QA Log'!L:L,"*8. Maternity*"),
COUNTIFS('QA Log'!D:D,A243,'QA Log'!M:M,"QQC",'QA Log'!L:L,"*9. EPI and Pre-school Consultation*"),
COUNTIFS('QA Log'!D:D,A243,'QA Log'!M:M,"QQC",'QA Log'!L:L,"*10. Antenatal Care (ANC)*"),
COUNTIFS('QA Log'!D:D,A243,'QA Log'!M:M,"QQC",'QA Log'!L:L,"*2. Hygiene and Sterilization*"),
COUNTIFS('QA Log'!D:D,A243,'QA Log'!M:M,"QQC",'QA Log'!L:L,"*4. Family Planning*")
))</f>
        <v/>
      </c>
      <c r="V243" s="102" t="str">
        <f>IF(A243="","",
SUM(
COUNTIFS('QA Log'!D:D,A243,'QA Log'!M:M,"QQC",'QA Log'!Z:Z,"Approved",'QA Log'!L:L,"*8. Maternity*"),
COUNTIFS('QA Log'!D:D,A243,'QA Log'!M:M,"QQC",'QA Log'!Z:Z,"Approved",'QA Log'!L:L,"*9. EPI and Pre-school Consultation*"),
COUNTIFS('QA Log'!D:D,A243,'QA Log'!M:M,"QQC",'QA Log'!Z:Z,"Approved",'QA Log'!L:L,"*10. Antenatal Care (ANC)*"),
COUNTIFS('QA Log'!D:D,A243,'QA Log'!M:M,"QQC",'QA Log'!Z:Z,"Approved",'QA Log'!L:L,"*2. Hygiene and Sterilization*"),
COUNTIFS('QA Log'!D:D,A243,'QA Log'!M:M,"QQC",'QA Log'!Z:Z,"Approved",'QA Log'!L:L,"*4. Family Planning*")
))</f>
        <v/>
      </c>
      <c r="W243" s="105" t="str">
        <f>IF(A243&lt;&gt;"",COUNTIFS('QA Log'!D:D,A243,'QA Log'!M:M,"QQC",'QA Log'!L:L,"8. Maternity",'QA Log'!Z:Z,"Approved"),"")</f>
        <v/>
      </c>
      <c r="X243" s="105" t="str">
        <f>IF(A243&lt;&gt;"",COUNTIFS('QA Log'!D:D,A243,'QA Log'!M:M,"QQC",'QA Log'!L:L,"9. EPI and Pre-school Consultation",'QA Log'!Z:Z,"Approved"),"")</f>
        <v/>
      </c>
      <c r="Y243" s="105" t="str">
        <f>IF(A243&lt;&gt;"",COUNTIFS('QA Log'!D:D,A243,'QA Log'!M:M,"QQC",'QA Log'!L:L,"10. Antenatal Care (ANC)",'QA Log'!Z:Z,"Approved"),"")</f>
        <v/>
      </c>
      <c r="Z243" s="105" t="str">
        <f>IF(A243&lt;&gt;"",COUNTIFS('QA Log'!D:D,A243,'QA Log'!M:M,"QQC",'QA Log'!L:L,"2. Hygiene and Sterilization",'QA Log'!Z:Z,"Approved"),"")</f>
        <v/>
      </c>
      <c r="AA243" s="105" t="str">
        <f>IF(A243&lt;&gt;"",COUNTIFS('QA Log'!D:D,A243,'QA Log'!M:M,"QQC",'QA Log'!L:L,"4. Family Planning",'QA Log'!Z:Z,"Approved"),"")</f>
        <v/>
      </c>
      <c r="AB243" s="102" t="str">
        <f>IF(A243="","",
SUM(
COUNTIFS('QA Log'!D:D,A243,'QA Log'!M:M,"QQC",'QA Log'!Z:Z,"Rejected",'QA Log'!L:L,"*8. Maternity*"),
COUNTIFS('QA Log'!D:D,A243,'QA Log'!M:M,"QQC",'QA Log'!Z:Z,"Rejected",'QA Log'!L:L,"*9. EPI and Pre-school Consultation*"),
COUNTIFS('QA Log'!D:D,A243,'QA Log'!M:M,"QQC",'QA Log'!Z:Z,"Rejected",'QA Log'!L:L,"*10. Antenatal Care (ANC)*"),
COUNTIFS('QA Log'!D:D,A243,'QA Log'!M:M,"QQC",'QA Log'!Z:Z,"Rejected",'QA Log'!L:L,"*2. Hygiene and Sterilization*"),
COUNTIFS('QA Log'!D:D,A243,'QA Log'!M:M,"QQC",'QA Log'!Z:Z,"Rejected",'QA Log'!L:L,"*4. Family Planning*")
))</f>
        <v/>
      </c>
      <c r="AC243" s="102" t="str">
        <f t="shared" si="3"/>
        <v/>
      </c>
      <c r="AD243" s="103" t="str">
        <f t="shared" si="4"/>
        <v/>
      </c>
      <c r="AE243" s="102" t="str">
        <f>IF(A243="","",
SUM(
COUNTIFS('QA Log'!D:D,A243,'QA Log'!M:M,"Data Verification",'QA Log'!L:L,"*Medicine (section 2)*"),
COUNTIFS('QA Log'!D:D,A243,'QA Log'!M:M,"Data Verification",'QA Log'!L:L,"*Lab Testing Availability*"),
COUNTIFS('QA Log'!D:D,A243,'QA Log'!M:M,"Data Verification",'QA Log'!L:L,"*Other than P4P (section 6)*"),
COUNTIFS('QA Log'!D:D,A243,'QA Log'!M:M,"Data Verification",'QA Log'!L:L,"*Hospital Governance*")
))</f>
        <v/>
      </c>
      <c r="AF243" s="102" t="str">
        <f>IF(A243="","",
SUM(
COUNTIFS('QA Log'!D:D,A243,'QA Log'!M:M,"Data Verification",'QA Log'!Z:Z,"Approved",'QA Log'!L:L,"*Medicine (section 2)*"),
COUNTIFS('QA Log'!D:D,A243,'QA Log'!M:M,"Data Verification",'QA Log'!Z:Z,"Approved",'QA Log'!L:L,"*Lab Testing Availability*"),
COUNTIFS('QA Log'!D:D,A243,'QA Log'!M:M,"Data Verification",'QA Log'!Z:Z,"Approved",'QA Log'!L:L,"*Other than P4P (section 6)*"),
COUNTIFS('QA Log'!D:D,A243,'QA Log'!M:M,"Data Verification",'QA Log'!Z:Z,"Approved",'QA Log'!L:L,"*Hospital Governance*")
))</f>
        <v/>
      </c>
      <c r="AG243" s="105" t="str">
        <f>IF(A243&lt;&gt;"",COUNTIFS('QA Log'!D:D,A243,'QA Log'!M:M,"Data Verification",'QA Log'!L:L,"Medicine (section 2)",'QA Log'!Z:Z,"Approved"),"")</f>
        <v/>
      </c>
      <c r="AH243" s="105" t="str">
        <f>IF(A243&lt;&gt;"",COUNTIFS('QA Log'!D:D,A243,'QA Log'!M:M,"Data Verification",'QA Log'!L:L,"Lab Testing Availability",'QA Log'!Z:Z,"Approved"),"")</f>
        <v/>
      </c>
      <c r="AI243" s="105" t="str">
        <f>IF(A243&lt;&gt;"",COUNTIFS('QA Log'!D:D,A243,'QA Log'!M:M,"Data Verification",'QA Log'!L:L,"Other than P4P (section 6)",'QA Log'!Z:Z,"Approved"),"")</f>
        <v/>
      </c>
      <c r="AJ243" s="105" t="str">
        <f>IF(A243&lt;&gt;"",COUNTIFS('QA Log'!D:D,A243,'QA Log'!M:M,"Data Verification",'QA Log'!L:L,"Hospital Governance",'QA Log'!Z:Z,"Approved"),"")</f>
        <v/>
      </c>
      <c r="AK243" s="102" t="str">
        <f>IF(A243="","",
SUM(
COUNTIFS('QA Log'!D:D,A243,'QA Log'!M:M,"Data Verification",'QA Log'!Z:Z,"Rejected",'QA Log'!L:L,"*Medicine (section 2)*"),
COUNTIFS('QA Log'!D:D,A243,'QA Log'!M:M,"Data Verification",'QA Log'!Z:Z,"Rejected",'QA Log'!L:L,"*Lab Testing Availability*"),
COUNTIFS('QA Log'!D:D,A243,'QA Log'!M:M,"Data Verification",'QA Log'!Z:Z,"Rejected",'QA Log'!L:L,"*Other than P4P (section 6)*"),
COUNTIFS('QA Log'!D:D,A243,'QA Log'!M:M,"Data Verification",'QA Log'!Z:Z,"Rejected",'QA Log'!L:L,"*Hospital Governance*")
))</f>
        <v/>
      </c>
      <c r="AL243" s="106" t="str">
        <f t="shared" si="5"/>
        <v/>
      </c>
      <c r="AM243" s="102" t="str">
        <f t="shared" si="6"/>
        <v/>
      </c>
      <c r="AN243" s="102" t="str">
        <f>IF(A243="","",
SUM(
COUNTIFS('QA Log'!D:D,A243,'QA Log'!M:M,"Data Verification",'QA Log'!L:L,"*Personnel (section 1)*"),
COUNTIFS('QA Log'!D:D,A243,'QA Log'!M:M,"Data Verification",'QA Log'!L:L,"*Consumable (section 3)*"),
COUNTIFS('QA Log'!D:D,A243,'QA Log'!M:M,"Data Verification",'QA Log'!L:L,"*Equipments (section 4)*")
))</f>
        <v/>
      </c>
      <c r="AO243" s="102" t="str">
        <f>IF(A243="","",
SUM(
COUNTIFS('QA Log'!D:D,A243,'QA Log'!M:M,"Data Verification",'QA Log'!Z:Z,"Approved",'QA Log'!L:L,"*Personnel (section 1)*"),
COUNTIFS('QA Log'!D:D,A243,'QA Log'!M:M,"Data Verification",'QA Log'!Z:Z,"Approved",'QA Log'!L:L,"*Consumable (section 3)*"),
COUNTIFS('QA Log'!D:D,A243,'QA Log'!M:M,"Data Verification",'QA Log'!Z:Z,"Approved",'QA Log'!L:L,"*Equipments (section 4)*")
))</f>
        <v/>
      </c>
      <c r="AP243" s="105" t="str">
        <f>IF(A243&lt;&gt;"",COUNTIFS('QA Log'!D:D,A243,'QA Log'!M:M,"Data Verification",'QA Log'!L:L,"Personnel (section 1)",'QA Log'!Z:Z,"Approved"),"")</f>
        <v/>
      </c>
      <c r="AQ243" s="105" t="str">
        <f>IF(A243&lt;&gt;"",COUNTIFS('QA Log'!D:D,A243,'QA Log'!M:M,"Data Verification",'QA Log'!L:L,"Consumable (section 3)",'QA Log'!Z:Z,"Approved"),"")</f>
        <v/>
      </c>
      <c r="AR243" s="105" t="str">
        <f>IF(A243&lt;&gt;"",COUNTIFS('QA Log'!D:D,A243,'QA Log'!M:M,"Data Verification",'QA Log'!L:L,"Equipments (section 4)",'QA Log'!Z:Z,"Approved"),"")</f>
        <v/>
      </c>
      <c r="AS243" s="102" t="str">
        <f>IF(A243="","",
SUM(
COUNTIFS('QA Log'!D:D,A243,'QA Log'!M:M,"Data Verification",'QA Log'!Z:Z,"Rejected",'QA Log'!L:L,"*Personnel (section 1)*"),
COUNTIFS('QA Log'!D:D,A243,'QA Log'!M:M,"Data Verification",'QA Log'!Z:Z,"Rejected",'QA Log'!L:L,"*Consumable (section 3)*"),
COUNTIFS('QA Log'!D:D,A243,'QA Log'!M:M,"Data Verification",'QA Log'!Z:Z,"Rejected",'QA Log'!L:L,"*Equipments (section 4)*")
))</f>
        <v/>
      </c>
      <c r="AT243" s="102" t="str">
        <f t="shared" si="7"/>
        <v/>
      </c>
      <c r="AU243" s="103" t="str">
        <f t="shared" si="8"/>
        <v/>
      </c>
      <c r="AV243" s="102" t="str">
        <f>IF(A243="","",SUM(
COUNTIFS('QA Log'!D:D,A243,'QA Log'!M:M,"Vignette",'QA Log'!L:L,"*Vignette [1] Respiratory Infection: Pneumonia*"),
COUNTIFS('QA Log'!D:D,A243,'QA Log'!M:M,"Vignette",'QA Log'!L:L,"*Vignette [2]: Diarrhea with Cat B dehydration*"),
COUNTIFS('QA Log'!D:D,A243,'QA Log'!M:M,"Vignette",'QA Log'!L:L,"*Vignette [3] Growth Monitoring and Promotion*"),
COUNTIFS('QA Log'!D:D,A243,'QA Log'!M:M,"Vignette",'QA Log'!L:L,"*Vignette [4]: The management of presumptive TB patient*")
)
)</f>
        <v/>
      </c>
      <c r="AW243" s="102" t="str">
        <f>IF(
  A243="","",
  SUM(
    COUNTIFS('QA Log'!D:D,A243,'QA Log'!M:M,"Vignette",'QA Log'!Z:Z,"Approved",'QA Log'!L:L,"*Vignette [1] Respiratory Infection: Pneumonia*"),
    COUNTIFS('QA Log'!D:D,A243,'QA Log'!M:M,"Vignette",'QA Log'!Z:Z,"Approved",'QA Log'!L:L,"*Vignette [2]: Diarrhea with Cat B dehydration*"),
    COUNTIFS('QA Log'!D:D,A243,'QA Log'!M:M,"Vignette",'QA Log'!Z:Z,"Approved",'QA Log'!L:L,"*Vignette [3] Growth Monitoring and Promotion*"),
    COUNTIFS('QA Log'!D:D,A243,'QA Log'!M:M,"Vignette",'QA Log'!Z:Z,"Approved",'QA Log'!L:L,"*Vignette [4]: The management of presumptive TB patient*")
  )
)</f>
        <v/>
      </c>
      <c r="AX243" s="105" t="str">
        <f>IF(A243&lt;&gt;"",COUNTIFS('QA Log'!D:D,A243,'QA Log'!M:M,"Vignette",'QA Log'!L:L,"Vignette [1] Respiratory Infection: Pneumonia",'QA Log'!Z:Z,"Approved"),"")</f>
        <v/>
      </c>
      <c r="AY243" s="105" t="str">
        <f>IF(A243&lt;&gt;"",COUNTIFS('QA Log'!D:D,A243,'QA Log'!M:M,"Vignette",'QA Log'!L:L,"Vignette [2]: Diarrhea with Cat B dehydration",'QA Log'!Z:Z,"Approved"),"")</f>
        <v/>
      </c>
      <c r="AZ243" s="105" t="str">
        <f>IF(A243&lt;&gt;"",COUNTIFS('QA Log'!D:D,A243,'QA Log'!M:M,"Vignette",'QA Log'!L:L,"Vignette [3] Growth Monitoring and Promotion",'QA Log'!Z:Z,"Approved"),"")</f>
        <v/>
      </c>
      <c r="BA243" s="105" t="str">
        <f>IF(A243&lt;&gt;"",COUNTIFS('QA Log'!D:D,A243,'QA Log'!M:M,"Vignette",'QA Log'!L:L,"Vignette [4]: The management of presumptive TB patient",'QA Log'!Z:Z,"Approved"),"")</f>
        <v/>
      </c>
      <c r="BB243" s="102" t="str">
        <f>IF(A243="","",
  SUM(
    COUNTIFS('QA Log'!D:D,A243,'QA Log'!M:M,"Vignette",'QA Log'!Z:Z,"Rejected",'QA Log'!L:L,"*Vignette [1] Respiratory Infection: Pneumonia*"),
    COUNTIFS('QA Log'!D:D,A243,'QA Log'!M:M,"Vignette",'QA Log'!Z:Z,"Rejected",'QA Log'!L:L,"*Vignette [2]: Diarrhea with Cat B dehydration*"),
    COUNTIFS('QA Log'!D:D,A243,'QA Log'!M:M,"Vignette",'QA Log'!Z:Z,"Rejected",'QA Log'!L:L,"*Vignette [3] Growth Monitoring and Promotion*"),
    COUNTIFS('QA Log'!D:D,A243,'QA Log'!M:M,"Vignette",'QA Log'!Z:Z,"Rejected",'QA Log'!L:L,"*Vignette [4]: The management of presumptive TB patient*")
  )
)</f>
        <v/>
      </c>
      <c r="BC243" s="107" t="str">
        <f t="shared" si="9"/>
        <v/>
      </c>
      <c r="BD243" s="103" t="str">
        <f t="shared" si="10"/>
        <v/>
      </c>
      <c r="BE243" s="102" t="str">
        <f>IF(A243="","",SUM(
COUNTIFS('QA Log'!D:D,A243,'QA Log'!M:M,"Vignette",'QA Log'!L:L,"*Vignette [5] Labor*"),
COUNTIFS('QA Log'!D:D,A243,'QA Log'!M:M,"Vignette",'QA Log'!L:L,"*Vignette [6] PNC pre Discharge*"),
COUNTIFS('QA Log'!D:D,A243,'QA Log'!M:M,"Vignette",'QA Log'!L:L,"*Vignette [7] First ANC Visit*"),
COUNTIFS('QA Log'!D:D,A243,'QA Log'!M:M,"Vignette",'QA Log'!L:L,"*Vignette [8] Birth Spacing/ Family Planning :  FP Counselling*"),
COUNTIFS('QA Log'!D:D,A243,'QA Log'!M:M,"Vignette",'QA Log'!L:L,"*Vignette [9] Birth Spacing: Change FP method to Injectable*"),
COUNTIFS('QA Log'!D:D,A243,'QA Log'!M:M,"Vignette",'QA Log'!L:L,"*Vignette [10] Post Partum Haemorrhage - Atonic Uterus at Health Centre*"),
)
)</f>
        <v/>
      </c>
      <c r="BF243" s="102" t="str">
        <f>IF(A243="","",
  SUM(
    COUNTIFS('QA Log'!D:D,A243,'QA Log'!M:M,"Vignette",'QA Log'!Z:Z,"Approved",'QA Log'!L:L,"*Vignette [5] Labor*"),
    COUNTIFS('QA Log'!D:D,A243,'QA Log'!M:M,"Vignette",'QA Log'!Z:Z,"Approved",'QA Log'!L:L,"*Vignette [6] PNC pre Discharge*"),
    COUNTIFS('QA Log'!D:D,A243,'QA Log'!M:M,"Vignette",'QA Log'!Z:Z,"Approved",'QA Log'!L:L,"*Vignette [7] First ANC Visit*"),
    COUNTIFS('QA Log'!D:D,A243,'QA Log'!M:M,"Vignette",'QA Log'!Z:Z,"Approved",'QA Log'!L:L,"*Vignette [8] Birth Spacing/ Family Planning :  FP Counselling*"),
    COUNTIFS('QA Log'!D:D,A243,'QA Log'!M:M,"Vignette",'QA Log'!Z:Z,"Approved",'QA Log'!L:L,"*Vignette [9] Birth Spacing: Change FP method to Injectable*"),
    COUNTIFS('QA Log'!D:D,A243,'QA Log'!M:M,"Vignette",'QA Log'!Z:Z,"Approved",'QA Log'!L:L,"*Vignette [10] Post Partum Haemorrhage - Atonic Uterus at Health Centre*")
  )
)</f>
        <v/>
      </c>
      <c r="BG243" s="105" t="str">
        <f>IF(A243&lt;&gt;"",COUNTIFS('QA Log'!D:D,A243,'QA Log'!M:M,"Vignette",'QA Log'!L:L,"Vignette [5] Labor",'QA Log'!Z:Z,"Approved"),"")</f>
        <v/>
      </c>
      <c r="BH243" s="105" t="str">
        <f>IF(A243&lt;&gt;"",COUNTIFS('QA Log'!D:D,A243,'QA Log'!M:M,"Vignette",'QA Log'!L:L,"Vignette [6] PNC pre Discharge",'QA Log'!Z:Z,"Approved"),"")</f>
        <v/>
      </c>
      <c r="BI243" s="105" t="str">
        <f>IF(A243&lt;&gt;"",COUNTIFS('QA Log'!D:D,A243,'QA Log'!M:M,"Vignette",'QA Log'!L:L,"Vignette [7] First ANC Visit",'QA Log'!Z:Z,"Approved"),"")</f>
        <v/>
      </c>
      <c r="BJ243" s="105" t="str">
        <f>IF(A243&lt;&gt;"",COUNTIFS('QA Log'!D:D,A243,'QA Log'!M:M,"Vignette",'QA Log'!L:L,"Vignette [8] Birth Spacing/ Family Planning :  FP Counselling",'QA Log'!Z:Z,"Approved"),"")</f>
        <v/>
      </c>
      <c r="BK243" s="105" t="str">
        <f>IF(A243&lt;&gt;"",COUNTIFS('QA Log'!D:D,A243,'QA Log'!M:M,"Vignette",'QA Log'!L:L,"Vignette [9] Birth Spacing: Change FP method to Injectable",'QA Log'!Z:Z,"Approved"),"")</f>
        <v/>
      </c>
      <c r="BL243" s="105" t="str">
        <f>IF(A243&lt;&gt;"",COUNTIFS('QA Log'!D:D,A243,'QA Log'!M:M,"Vignette",'QA Log'!L:L,"Vignette [10] Post Partum Haemorrhage - Atonic Uterus at Health Centre",'QA Log'!Z:Z,"Approved"),"")</f>
        <v/>
      </c>
      <c r="BM243" s="102" t="str">
        <f>IF(A243="","",SUM(
    COUNTIFS('QA Log'!D:D,A243,'QA Log'!M:M,"Vignette",'QA Log'!Z:Z,"Rejected",'QA Log'!L:L,"*Vignette [5] Labor*"),
    COUNTIFS('QA Log'!D:D,A243,'QA Log'!M:M,"Vignette",'QA Log'!Z:Z,"Rejected",'QA Log'!L:L,"*Vignette [6] PNC pre Discharge*"),
    COUNTIFS('QA Log'!D:D,A243,'QA Log'!M:M,"Vignette",'QA Log'!Z:Z,"Rejected",'QA Log'!L:L,"*Vignette [7] First ANC Visit*"),
    COUNTIFS('QA Log'!D:D,A243,'QA Log'!M:M,"Vignette",'QA Log'!Z:Z,"Rejected",'QA Log'!L:L,"*Vignette [8] Birth Spacing/ Family Planning :  FP Counselling*"),
    COUNTIFS('QA Log'!D:D,A243,'QA Log'!M:M,"Vignette",'QA Log'!Z:Z,"Rejected",'QA Log'!L:L,"*Vignette [9] Birth Spacing: Change FP method to Injectable*"),
    COUNTIFS('QA Log'!D:D,A243,'QA Log'!M:M,"Vignette",'QA Log'!Z:Z,"Rejected",'QA Log'!L:L,"*Vignette [10] Post Partum Haemorrhage - Atonic Uterus at Health Centre*")
  )
)</f>
        <v/>
      </c>
      <c r="BN243" s="107" t="str">
        <f t="shared" si="11"/>
        <v/>
      </c>
      <c r="BO243" s="103" t="str">
        <f t="shared" si="12"/>
        <v/>
      </c>
      <c r="BP243" s="102" t="str">
        <f>IF(A243="","",SUM(
COUNTIFS('QA Log'!D:D,A243,'QA Log'!M:M,"Vignette",'QA Log'!L:L,"*Exit Interview 1*"),
COUNTIFS('QA Log'!D:D,A243,'QA Log'!M:M,"Vignette",'QA Log'!L:L,"*Exit Interview 2*"),
)
)</f>
        <v/>
      </c>
      <c r="BQ243" s="102" t="str">
        <f>IF(
  A243="","",
  SUM(
    COUNTIFS('QA Log'!D:D,A243,'QA Log'!M:M,"Vignette",'QA Log'!Z:Z,"Approved",'QA Log'!L:L,"*Exit Interview 1*"),
    COUNTIFS('QA Log'!D:D,A243,'QA Log'!M:M,"Vignette",'QA Log'!Z:Z,"Approved",'QA Log'!L:L,"*Exit Interview 2*")
  )
)</f>
        <v/>
      </c>
      <c r="BR243" s="105" t="str">
        <f>IF(A243&lt;&gt;"",COUNTIFS('QA Log'!D:D,A243,'QA Log'!M:M,"Vignette",'QA Log'!L:L,"Exit Interview 1",'QA Log'!Z:Z,"Approved"),"")</f>
        <v/>
      </c>
      <c r="BS243" s="105" t="str">
        <f>IF(A243&lt;&gt;"",COUNTIFS('QA Log'!D:D,A243,'QA Log'!M:M,"Vignette",'QA Log'!L:L,"Exit Interview 2",'QA Log'!Z:Z,"Approved"),"")</f>
        <v/>
      </c>
      <c r="BT243" s="102" t="str">
        <f>IF(
  A243="","",
  SUM(
    COUNTIFS('QA Log'!D:D,A243,'QA Log'!M:M,"Vignette",'QA Log'!Z:Z,"Rejected",'QA Log'!L:L,"*Exit Interview 1*"),
    COUNTIFS('QA Log'!D:D,A243,'QA Log'!M:M,"Vignette",'QA Log'!Z:Z,"Rejected",'QA Log'!L:L,"*Exit Interview 2*")
  )
)</f>
        <v/>
      </c>
      <c r="BU243" s="107" t="str">
        <f t="shared" si="13"/>
        <v/>
      </c>
      <c r="BV243" s="102" t="str">
        <f t="shared" si="14"/>
        <v/>
      </c>
      <c r="BW243" s="102" t="str">
        <f t="shared" si="15"/>
        <v/>
      </c>
      <c r="BX243" s="102" t="str">
        <f t="shared" si="16"/>
        <v/>
      </c>
      <c r="BY243" s="102" t="str">
        <f t="shared" si="17"/>
        <v/>
      </c>
      <c r="BZ243" s="107" t="str">
        <f t="shared" si="18"/>
        <v/>
      </c>
      <c r="CA243" s="108" t="str">
        <f t="shared" si="19"/>
        <v/>
      </c>
      <c r="CB243" s="108" t="str">
        <f t="shared" si="20"/>
        <v/>
      </c>
      <c r="CC243" s="109" t="str">
        <f t="shared" si="21"/>
        <v/>
      </c>
      <c r="CD243" s="108" t="str">
        <f t="shared" si="22"/>
        <v/>
      </c>
      <c r="CE243" s="108" t="str">
        <f t="shared" si="23"/>
        <v/>
      </c>
      <c r="CF243" s="109" t="str">
        <f t="shared" si="24"/>
        <v/>
      </c>
      <c r="CG243" s="110" t="str">
        <f t="shared" si="25"/>
        <v/>
      </c>
      <c r="CH243" s="111"/>
    </row>
    <row r="244" spans="1:86" ht="12.75">
      <c r="A244" s="101"/>
      <c r="B244" s="102" t="e">
        <f t="array" aca="1" ref="B244" ca="1">_xludf.XLOOKUP(A244,'QA Log'!D:D,'QA Log'!E:E,"")</f>
        <v>#NAME?</v>
      </c>
      <c r="C244" s="102" t="e">
        <f t="array" aca="1" ref="C244" ca="1">_xludf.XLOOKUP(A244,'QA Log'!D:D,'QA Log'!F:F,"")</f>
        <v>#NAME?</v>
      </c>
      <c r="D244" s="102" t="e">
        <f t="array" aca="1" ref="D244" ca="1">_xludf.XLOOKUP(A244,'QA Log'!D:D,'QA Log'!H:H,"")</f>
        <v>#NAME?</v>
      </c>
      <c r="E244" s="102" t="e">
        <f t="array" aca="1" ref="E244" ca="1">_xludf.XLOOKUP(A244,'QA Log'!D:D,'QA Log'!G:G,"")</f>
        <v>#NAME?</v>
      </c>
      <c r="F244" s="103"/>
      <c r="G244" s="104"/>
      <c r="H244" s="104"/>
      <c r="I244" s="103" t="str">
        <f t="shared" si="0"/>
        <v/>
      </c>
      <c r="J244" s="102" t="str">
        <f>IF(A244="","",SUM(
COUNTIFS('QA Log'!D:D,A244,'QA Log'!M:M,"QQC",'QA Log'!L:L,"*1. General Management*"),
COUNTIFS('QA Log'!D:D,A244,'QA Log'!M:M,"QQC",'QA Log'!L:L,"*3. Curative Consultation (OPD)*"),
COUNTIFS('QA Log'!D:D,A244,'QA Log'!M:M,"QQC",'QA Log'!L:L,"*5. Laboratory*"),
COUNTIFS('QA Log'!D:D,A244,'QA Log'!M:M,"QQC",'QA Log'!L:L,"*6. Essential Medicine Management*"),
COUNTIFS('QA Log'!D:D,A244,'QA Log'!M:M,"QQC",'QA Log'!L:L,"*7. Tracer Medicine*"),
COUNTIFS('QA Log'!D:D,A244,'QA Log'!M:M,"QQC",'QA Log'!L:L,"*11. Additional Questions*")))</f>
        <v/>
      </c>
      <c r="K244" s="102" t="str">
        <f>IF(A244="","",SUM(
COUNTIFS('QA Log'!D:D,A244,'QA Log'!M:M,"QQC",'QA Log'!Z:Z,"Approved",'QA Log'!L:L,"*1. General Management*"),
COUNTIFS('QA Log'!D:D,A244,'QA Log'!M:M,"QQC",'QA Log'!Z:Z,"Approved",'QA Log'!L:L,"*3. Curative Consultation (OPD)*"),
COUNTIFS('QA Log'!D:D,A244,'QA Log'!M:M,"QQC",'QA Log'!Z:Z,"Approved",'QA Log'!L:L,"*5. Laboratory*"),
COUNTIFS('QA Log'!D:D,A244,'QA Log'!M:M,"QQC",'QA Log'!Z:Z,"Approved",'QA Log'!L:L,"*6. Essential Medicine Management*"),
COUNTIFS('QA Log'!D:D,A244,'QA Log'!M:M,"QQC",'QA Log'!Z:Z,"Approved",'QA Log'!L:L,"*7. Tracer Medicine*"),
COUNTIFS('QA Log'!D:D,A244,'QA Log'!M:M,"QQC",'QA Log'!Z:Z,"Approved",'QA Log'!L:L,"*11. Additional Questions*")))</f>
        <v/>
      </c>
      <c r="L244" s="105" t="str">
        <f>IF(A244&lt;&gt;"",COUNTIFS('QA Log'!D:D,A244,'QA Log'!M:M,"QQC",'QA Log'!L:L,"1. General Management",'QA Log'!Z:Z,"Approved"),"")</f>
        <v/>
      </c>
      <c r="M244" s="105" t="str">
        <f>IF(A244&lt;&gt;"",COUNTIFS('QA Log'!D:D,A244,'QA Log'!M:M,"QQC",'QA Log'!L:L,"3. Curative Consultation (OPD)",'QA Log'!Z:Z,"Approved"),"")</f>
        <v/>
      </c>
      <c r="N244" s="105" t="str">
        <f>IF(A244&lt;&gt;"",COUNTIFS('QA Log'!D:D,A244,'QA Log'!M:M,"QQC",'QA Log'!L:L,"5. Laboratory",'QA Log'!Z:Z,"Approved"),"")</f>
        <v/>
      </c>
      <c r="O244" s="105" t="str">
        <f>IF(A244&lt;&gt;"",COUNTIFS('QA Log'!D:D,A244,'QA Log'!M:M,"QQC",'QA Log'!L:L,"6. Essential Medicine Management",'QA Log'!Z:Z,"Approved"),"")</f>
        <v/>
      </c>
      <c r="P244" s="105" t="str">
        <f>IF(A244&lt;&gt;"",COUNTIFS('QA Log'!D:D,A244,'QA Log'!M:M,"QQC",'QA Log'!L:L,"7. Tracer Medicine",'QA Log'!Z:Z,"Approved"),"")</f>
        <v/>
      </c>
      <c r="Q244" s="105" t="str">
        <f>IF(A244&lt;&gt;"",COUNTIFS('QA Log'!D:D,A244,'QA Log'!M:M,"QQC",'QA Log'!L:L,"11. Additional Questions",'QA Log'!Z:Z,"Approved"),"")</f>
        <v/>
      </c>
      <c r="R244" s="102" t="str">
        <f>IF(A244="","",SUM(
COUNTIFS('QA Log'!D:D,A244,'QA Log'!M:M,"QQC",'QA Log'!Z:Z,"Rejected",'QA Log'!L:L,"*8. Maternity*"),
COUNTIFS('QA Log'!D:D,A244,'QA Log'!M:M,"QQC",'QA Log'!Z:Z,"Rejected",'QA Log'!L:L,"*EPI*"),
COUNTIFS('QA Log'!D:D,A244,'QA Log'!M:M,"QQC",'QA Log'!Z:Z,"Rejected",'QA Log'!L:L,"*10. Antenatal Care (ANC)*"),
COUNTIFS('QA Log'!D:D,A244,'QA Log'!M:M,"QQC",'QA Log'!Z:Z,"Rejected",'QA Log'!L:L,"*2. Hygiene and Sterilization*"),
COUNTIFS('QA Log'!D:D,A244,'QA Log'!M:M,"QQC",'QA Log'!Z:Z,"Rejected",'QA Log'!L:L,"*Family Planning*")))</f>
        <v/>
      </c>
      <c r="S244" s="106" t="str">
        <f t="shared" si="1"/>
        <v/>
      </c>
      <c r="T244" s="102" t="str">
        <f t="shared" si="2"/>
        <v/>
      </c>
      <c r="U244" s="102" t="str">
        <f>IF(A244="","",
SUM(
COUNTIFS('QA Log'!D:D,A244,'QA Log'!M:M,"QQC",'QA Log'!L:L,"*8. Maternity*"),
COUNTIFS('QA Log'!D:D,A244,'QA Log'!M:M,"QQC",'QA Log'!L:L,"*9. EPI and Pre-school Consultation*"),
COUNTIFS('QA Log'!D:D,A244,'QA Log'!M:M,"QQC",'QA Log'!L:L,"*10. Antenatal Care (ANC)*"),
COUNTIFS('QA Log'!D:D,A244,'QA Log'!M:M,"QQC",'QA Log'!L:L,"*2. Hygiene and Sterilization*"),
COUNTIFS('QA Log'!D:D,A244,'QA Log'!M:M,"QQC",'QA Log'!L:L,"*4. Family Planning*")
))</f>
        <v/>
      </c>
      <c r="V244" s="102" t="str">
        <f>IF(A244="","",
SUM(
COUNTIFS('QA Log'!D:D,A244,'QA Log'!M:M,"QQC",'QA Log'!Z:Z,"Approved",'QA Log'!L:L,"*8. Maternity*"),
COUNTIFS('QA Log'!D:D,A244,'QA Log'!M:M,"QQC",'QA Log'!Z:Z,"Approved",'QA Log'!L:L,"*9. EPI and Pre-school Consultation*"),
COUNTIFS('QA Log'!D:D,A244,'QA Log'!M:M,"QQC",'QA Log'!Z:Z,"Approved",'QA Log'!L:L,"*10. Antenatal Care (ANC)*"),
COUNTIFS('QA Log'!D:D,A244,'QA Log'!M:M,"QQC",'QA Log'!Z:Z,"Approved",'QA Log'!L:L,"*2. Hygiene and Sterilization*"),
COUNTIFS('QA Log'!D:D,A244,'QA Log'!M:M,"QQC",'QA Log'!Z:Z,"Approved",'QA Log'!L:L,"*4. Family Planning*")
))</f>
        <v/>
      </c>
      <c r="W244" s="105" t="str">
        <f>IF(A244&lt;&gt;"",COUNTIFS('QA Log'!D:D,A244,'QA Log'!M:M,"QQC",'QA Log'!L:L,"8. Maternity",'QA Log'!Z:Z,"Approved"),"")</f>
        <v/>
      </c>
      <c r="X244" s="105" t="str">
        <f>IF(A244&lt;&gt;"",COUNTIFS('QA Log'!D:D,A244,'QA Log'!M:M,"QQC",'QA Log'!L:L,"9. EPI and Pre-school Consultation",'QA Log'!Z:Z,"Approved"),"")</f>
        <v/>
      </c>
      <c r="Y244" s="105" t="str">
        <f>IF(A244&lt;&gt;"",COUNTIFS('QA Log'!D:D,A244,'QA Log'!M:M,"QQC",'QA Log'!L:L,"10. Antenatal Care (ANC)",'QA Log'!Z:Z,"Approved"),"")</f>
        <v/>
      </c>
      <c r="Z244" s="105" t="str">
        <f>IF(A244&lt;&gt;"",COUNTIFS('QA Log'!D:D,A244,'QA Log'!M:M,"QQC",'QA Log'!L:L,"2. Hygiene and Sterilization",'QA Log'!Z:Z,"Approved"),"")</f>
        <v/>
      </c>
      <c r="AA244" s="105" t="str">
        <f>IF(A244&lt;&gt;"",COUNTIFS('QA Log'!D:D,A244,'QA Log'!M:M,"QQC",'QA Log'!L:L,"4. Family Planning",'QA Log'!Z:Z,"Approved"),"")</f>
        <v/>
      </c>
      <c r="AB244" s="102" t="str">
        <f>IF(A244="","",
SUM(
COUNTIFS('QA Log'!D:D,A244,'QA Log'!M:M,"QQC",'QA Log'!Z:Z,"Rejected",'QA Log'!L:L,"*8. Maternity*"),
COUNTIFS('QA Log'!D:D,A244,'QA Log'!M:M,"QQC",'QA Log'!Z:Z,"Rejected",'QA Log'!L:L,"*9. EPI and Pre-school Consultation*"),
COUNTIFS('QA Log'!D:D,A244,'QA Log'!M:M,"QQC",'QA Log'!Z:Z,"Rejected",'QA Log'!L:L,"*10. Antenatal Care (ANC)*"),
COUNTIFS('QA Log'!D:D,A244,'QA Log'!M:M,"QQC",'QA Log'!Z:Z,"Rejected",'QA Log'!L:L,"*2. Hygiene and Sterilization*"),
COUNTIFS('QA Log'!D:D,A244,'QA Log'!M:M,"QQC",'QA Log'!Z:Z,"Rejected",'QA Log'!L:L,"*4. Family Planning*")
))</f>
        <v/>
      </c>
      <c r="AC244" s="102" t="str">
        <f t="shared" si="3"/>
        <v/>
      </c>
      <c r="AD244" s="103" t="str">
        <f t="shared" si="4"/>
        <v/>
      </c>
      <c r="AE244" s="102" t="str">
        <f>IF(A244="","",
SUM(
COUNTIFS('QA Log'!D:D,A244,'QA Log'!M:M,"Data Verification",'QA Log'!L:L,"*Medicine (section 2)*"),
COUNTIFS('QA Log'!D:D,A244,'QA Log'!M:M,"Data Verification",'QA Log'!L:L,"*Lab Testing Availability*"),
COUNTIFS('QA Log'!D:D,A244,'QA Log'!M:M,"Data Verification",'QA Log'!L:L,"*Other than P4P (section 6)*"),
COUNTIFS('QA Log'!D:D,A244,'QA Log'!M:M,"Data Verification",'QA Log'!L:L,"*Hospital Governance*")
))</f>
        <v/>
      </c>
      <c r="AF244" s="102" t="str">
        <f>IF(A244="","",
SUM(
COUNTIFS('QA Log'!D:D,A244,'QA Log'!M:M,"Data Verification",'QA Log'!Z:Z,"Approved",'QA Log'!L:L,"*Medicine (section 2)*"),
COUNTIFS('QA Log'!D:D,A244,'QA Log'!M:M,"Data Verification",'QA Log'!Z:Z,"Approved",'QA Log'!L:L,"*Lab Testing Availability*"),
COUNTIFS('QA Log'!D:D,A244,'QA Log'!M:M,"Data Verification",'QA Log'!Z:Z,"Approved",'QA Log'!L:L,"*Other than P4P (section 6)*"),
COUNTIFS('QA Log'!D:D,A244,'QA Log'!M:M,"Data Verification",'QA Log'!Z:Z,"Approved",'QA Log'!L:L,"*Hospital Governance*")
))</f>
        <v/>
      </c>
      <c r="AG244" s="105" t="str">
        <f>IF(A244&lt;&gt;"",COUNTIFS('QA Log'!D:D,A244,'QA Log'!M:M,"Data Verification",'QA Log'!L:L,"Medicine (section 2)",'QA Log'!Z:Z,"Approved"),"")</f>
        <v/>
      </c>
      <c r="AH244" s="105" t="str">
        <f>IF(A244&lt;&gt;"",COUNTIFS('QA Log'!D:D,A244,'QA Log'!M:M,"Data Verification",'QA Log'!L:L,"Lab Testing Availability",'QA Log'!Z:Z,"Approved"),"")</f>
        <v/>
      </c>
      <c r="AI244" s="105" t="str">
        <f>IF(A244&lt;&gt;"",COUNTIFS('QA Log'!D:D,A244,'QA Log'!M:M,"Data Verification",'QA Log'!L:L,"Other than P4P (section 6)",'QA Log'!Z:Z,"Approved"),"")</f>
        <v/>
      </c>
      <c r="AJ244" s="105" t="str">
        <f>IF(A244&lt;&gt;"",COUNTIFS('QA Log'!D:D,A244,'QA Log'!M:M,"Data Verification",'QA Log'!L:L,"Hospital Governance",'QA Log'!Z:Z,"Approved"),"")</f>
        <v/>
      </c>
      <c r="AK244" s="102" t="str">
        <f>IF(A244="","",
SUM(
COUNTIFS('QA Log'!D:D,A244,'QA Log'!M:M,"Data Verification",'QA Log'!Z:Z,"Rejected",'QA Log'!L:L,"*Medicine (section 2)*"),
COUNTIFS('QA Log'!D:D,A244,'QA Log'!M:M,"Data Verification",'QA Log'!Z:Z,"Rejected",'QA Log'!L:L,"*Lab Testing Availability*"),
COUNTIFS('QA Log'!D:D,A244,'QA Log'!M:M,"Data Verification",'QA Log'!Z:Z,"Rejected",'QA Log'!L:L,"*Other than P4P (section 6)*"),
COUNTIFS('QA Log'!D:D,A244,'QA Log'!M:M,"Data Verification",'QA Log'!Z:Z,"Rejected",'QA Log'!L:L,"*Hospital Governance*")
))</f>
        <v/>
      </c>
      <c r="AL244" s="106" t="str">
        <f t="shared" si="5"/>
        <v/>
      </c>
      <c r="AM244" s="102" t="str">
        <f t="shared" si="6"/>
        <v/>
      </c>
      <c r="AN244" s="102" t="str">
        <f>IF(A244="","",
SUM(
COUNTIFS('QA Log'!D:D,A244,'QA Log'!M:M,"Data Verification",'QA Log'!L:L,"*Personnel (section 1)*"),
COUNTIFS('QA Log'!D:D,A244,'QA Log'!M:M,"Data Verification",'QA Log'!L:L,"*Consumable (section 3)*"),
COUNTIFS('QA Log'!D:D,A244,'QA Log'!M:M,"Data Verification",'QA Log'!L:L,"*Equipments (section 4)*")
))</f>
        <v/>
      </c>
      <c r="AO244" s="102" t="str">
        <f>IF(A244="","",
SUM(
COUNTIFS('QA Log'!D:D,A244,'QA Log'!M:M,"Data Verification",'QA Log'!Z:Z,"Approved",'QA Log'!L:L,"*Personnel (section 1)*"),
COUNTIFS('QA Log'!D:D,A244,'QA Log'!M:M,"Data Verification",'QA Log'!Z:Z,"Approved",'QA Log'!L:L,"*Consumable (section 3)*"),
COUNTIFS('QA Log'!D:D,A244,'QA Log'!M:M,"Data Verification",'QA Log'!Z:Z,"Approved",'QA Log'!L:L,"*Equipments (section 4)*")
))</f>
        <v/>
      </c>
      <c r="AP244" s="105" t="str">
        <f>IF(A244&lt;&gt;"",COUNTIFS('QA Log'!D:D,A244,'QA Log'!M:M,"Data Verification",'QA Log'!L:L,"Personnel (section 1)",'QA Log'!Z:Z,"Approved"),"")</f>
        <v/>
      </c>
      <c r="AQ244" s="105" t="str">
        <f>IF(A244&lt;&gt;"",COUNTIFS('QA Log'!D:D,A244,'QA Log'!M:M,"Data Verification",'QA Log'!L:L,"Consumable (section 3)",'QA Log'!Z:Z,"Approved"),"")</f>
        <v/>
      </c>
      <c r="AR244" s="105" t="str">
        <f>IF(A244&lt;&gt;"",COUNTIFS('QA Log'!D:D,A244,'QA Log'!M:M,"Data Verification",'QA Log'!L:L,"Equipments (section 4)",'QA Log'!Z:Z,"Approved"),"")</f>
        <v/>
      </c>
      <c r="AS244" s="102" t="str">
        <f>IF(A244="","",
SUM(
COUNTIFS('QA Log'!D:D,A244,'QA Log'!M:M,"Data Verification",'QA Log'!Z:Z,"Rejected",'QA Log'!L:L,"*Personnel (section 1)*"),
COUNTIFS('QA Log'!D:D,A244,'QA Log'!M:M,"Data Verification",'QA Log'!Z:Z,"Rejected",'QA Log'!L:L,"*Consumable (section 3)*"),
COUNTIFS('QA Log'!D:D,A244,'QA Log'!M:M,"Data Verification",'QA Log'!Z:Z,"Rejected",'QA Log'!L:L,"*Equipments (section 4)*")
))</f>
        <v/>
      </c>
      <c r="AT244" s="102" t="str">
        <f t="shared" si="7"/>
        <v/>
      </c>
      <c r="AU244" s="103" t="str">
        <f t="shared" si="8"/>
        <v/>
      </c>
      <c r="AV244" s="102" t="str">
        <f>IF(A244="","",SUM(
COUNTIFS('QA Log'!D:D,A244,'QA Log'!M:M,"Vignette",'QA Log'!L:L,"*Vignette [1] Respiratory Infection: Pneumonia*"),
COUNTIFS('QA Log'!D:D,A244,'QA Log'!M:M,"Vignette",'QA Log'!L:L,"*Vignette [2]: Diarrhea with Cat B dehydration*"),
COUNTIFS('QA Log'!D:D,A244,'QA Log'!M:M,"Vignette",'QA Log'!L:L,"*Vignette [3] Growth Monitoring and Promotion*"),
COUNTIFS('QA Log'!D:D,A244,'QA Log'!M:M,"Vignette",'QA Log'!L:L,"*Vignette [4]: The management of presumptive TB patient*")
)
)</f>
        <v/>
      </c>
      <c r="AW244" s="102" t="str">
        <f>IF(
  A244="","",
  SUM(
    COUNTIFS('QA Log'!D:D,A244,'QA Log'!M:M,"Vignette",'QA Log'!Z:Z,"Approved",'QA Log'!L:L,"*Vignette [1] Respiratory Infection: Pneumonia*"),
    COUNTIFS('QA Log'!D:D,A244,'QA Log'!M:M,"Vignette",'QA Log'!Z:Z,"Approved",'QA Log'!L:L,"*Vignette [2]: Diarrhea with Cat B dehydration*"),
    COUNTIFS('QA Log'!D:D,A244,'QA Log'!M:M,"Vignette",'QA Log'!Z:Z,"Approved",'QA Log'!L:L,"*Vignette [3] Growth Monitoring and Promotion*"),
    COUNTIFS('QA Log'!D:D,A244,'QA Log'!M:M,"Vignette",'QA Log'!Z:Z,"Approved",'QA Log'!L:L,"*Vignette [4]: The management of presumptive TB patient*")
  )
)</f>
        <v/>
      </c>
      <c r="AX244" s="105" t="str">
        <f>IF(A244&lt;&gt;"",COUNTIFS('QA Log'!D:D,A244,'QA Log'!M:M,"Vignette",'QA Log'!L:L,"Vignette [1] Respiratory Infection: Pneumonia",'QA Log'!Z:Z,"Approved"),"")</f>
        <v/>
      </c>
      <c r="AY244" s="105" t="str">
        <f>IF(A244&lt;&gt;"",COUNTIFS('QA Log'!D:D,A244,'QA Log'!M:M,"Vignette",'QA Log'!L:L,"Vignette [2]: Diarrhea with Cat B dehydration",'QA Log'!Z:Z,"Approved"),"")</f>
        <v/>
      </c>
      <c r="AZ244" s="105" t="str">
        <f>IF(A244&lt;&gt;"",COUNTIFS('QA Log'!D:D,A244,'QA Log'!M:M,"Vignette",'QA Log'!L:L,"Vignette [3] Growth Monitoring and Promotion",'QA Log'!Z:Z,"Approved"),"")</f>
        <v/>
      </c>
      <c r="BA244" s="105" t="str">
        <f>IF(A244&lt;&gt;"",COUNTIFS('QA Log'!D:D,A244,'QA Log'!M:M,"Vignette",'QA Log'!L:L,"Vignette [4]: The management of presumptive TB patient",'QA Log'!Z:Z,"Approved"),"")</f>
        <v/>
      </c>
      <c r="BB244" s="102" t="str">
        <f>IF(A244="","",
  SUM(
    COUNTIFS('QA Log'!D:D,A244,'QA Log'!M:M,"Vignette",'QA Log'!Z:Z,"Rejected",'QA Log'!L:L,"*Vignette [1] Respiratory Infection: Pneumonia*"),
    COUNTIFS('QA Log'!D:D,A244,'QA Log'!M:M,"Vignette",'QA Log'!Z:Z,"Rejected",'QA Log'!L:L,"*Vignette [2]: Diarrhea with Cat B dehydration*"),
    COUNTIFS('QA Log'!D:D,A244,'QA Log'!M:M,"Vignette",'QA Log'!Z:Z,"Rejected",'QA Log'!L:L,"*Vignette [3] Growth Monitoring and Promotion*"),
    COUNTIFS('QA Log'!D:D,A244,'QA Log'!M:M,"Vignette",'QA Log'!Z:Z,"Rejected",'QA Log'!L:L,"*Vignette [4]: The management of presumptive TB patient*")
  )
)</f>
        <v/>
      </c>
      <c r="BC244" s="107" t="str">
        <f t="shared" si="9"/>
        <v/>
      </c>
      <c r="BD244" s="103" t="str">
        <f t="shared" si="10"/>
        <v/>
      </c>
      <c r="BE244" s="102" t="str">
        <f>IF(A244="","",SUM(
COUNTIFS('QA Log'!D:D,A244,'QA Log'!M:M,"Vignette",'QA Log'!L:L,"*Vignette [5] Labor*"),
COUNTIFS('QA Log'!D:D,A244,'QA Log'!M:M,"Vignette",'QA Log'!L:L,"*Vignette [6] PNC pre Discharge*"),
COUNTIFS('QA Log'!D:D,A244,'QA Log'!M:M,"Vignette",'QA Log'!L:L,"*Vignette [7] First ANC Visit*"),
COUNTIFS('QA Log'!D:D,A244,'QA Log'!M:M,"Vignette",'QA Log'!L:L,"*Vignette [8] Birth Spacing/ Family Planning :  FP Counselling*"),
COUNTIFS('QA Log'!D:D,A244,'QA Log'!M:M,"Vignette",'QA Log'!L:L,"*Vignette [9] Birth Spacing: Change FP method to Injectable*"),
COUNTIFS('QA Log'!D:D,A244,'QA Log'!M:M,"Vignette",'QA Log'!L:L,"*Vignette [10] Post Partum Haemorrhage - Atonic Uterus at Health Centre*"),
)
)</f>
        <v/>
      </c>
      <c r="BF244" s="102" t="str">
        <f>IF(A244="","",
  SUM(
    COUNTIFS('QA Log'!D:D,A244,'QA Log'!M:M,"Vignette",'QA Log'!Z:Z,"Approved",'QA Log'!L:L,"*Vignette [5] Labor*"),
    COUNTIFS('QA Log'!D:D,A244,'QA Log'!M:M,"Vignette",'QA Log'!Z:Z,"Approved",'QA Log'!L:L,"*Vignette [6] PNC pre Discharge*"),
    COUNTIFS('QA Log'!D:D,A244,'QA Log'!M:M,"Vignette",'QA Log'!Z:Z,"Approved",'QA Log'!L:L,"*Vignette [7] First ANC Visit*"),
    COUNTIFS('QA Log'!D:D,A244,'QA Log'!M:M,"Vignette",'QA Log'!Z:Z,"Approved",'QA Log'!L:L,"*Vignette [8] Birth Spacing/ Family Planning :  FP Counselling*"),
    COUNTIFS('QA Log'!D:D,A244,'QA Log'!M:M,"Vignette",'QA Log'!Z:Z,"Approved",'QA Log'!L:L,"*Vignette [9] Birth Spacing: Change FP method to Injectable*"),
    COUNTIFS('QA Log'!D:D,A244,'QA Log'!M:M,"Vignette",'QA Log'!Z:Z,"Approved",'QA Log'!L:L,"*Vignette [10] Post Partum Haemorrhage - Atonic Uterus at Health Centre*")
  )
)</f>
        <v/>
      </c>
      <c r="BG244" s="105" t="str">
        <f>IF(A244&lt;&gt;"",COUNTIFS('QA Log'!D:D,A244,'QA Log'!M:M,"Vignette",'QA Log'!L:L,"Vignette [5] Labor",'QA Log'!Z:Z,"Approved"),"")</f>
        <v/>
      </c>
      <c r="BH244" s="105" t="str">
        <f>IF(A244&lt;&gt;"",COUNTIFS('QA Log'!D:D,A244,'QA Log'!M:M,"Vignette",'QA Log'!L:L,"Vignette [6] PNC pre Discharge",'QA Log'!Z:Z,"Approved"),"")</f>
        <v/>
      </c>
      <c r="BI244" s="105" t="str">
        <f>IF(A244&lt;&gt;"",COUNTIFS('QA Log'!D:D,A244,'QA Log'!M:M,"Vignette",'QA Log'!L:L,"Vignette [7] First ANC Visit",'QA Log'!Z:Z,"Approved"),"")</f>
        <v/>
      </c>
      <c r="BJ244" s="105" t="str">
        <f>IF(A244&lt;&gt;"",COUNTIFS('QA Log'!D:D,A244,'QA Log'!M:M,"Vignette",'QA Log'!L:L,"Vignette [8] Birth Spacing/ Family Planning :  FP Counselling",'QA Log'!Z:Z,"Approved"),"")</f>
        <v/>
      </c>
      <c r="BK244" s="105" t="str">
        <f>IF(A244&lt;&gt;"",COUNTIFS('QA Log'!D:D,A244,'QA Log'!M:M,"Vignette",'QA Log'!L:L,"Vignette [9] Birth Spacing: Change FP method to Injectable",'QA Log'!Z:Z,"Approved"),"")</f>
        <v/>
      </c>
      <c r="BL244" s="105" t="str">
        <f>IF(A244&lt;&gt;"",COUNTIFS('QA Log'!D:D,A244,'QA Log'!M:M,"Vignette",'QA Log'!L:L,"Vignette [10] Post Partum Haemorrhage - Atonic Uterus at Health Centre",'QA Log'!Z:Z,"Approved"),"")</f>
        <v/>
      </c>
      <c r="BM244" s="102" t="str">
        <f>IF(A244="","",SUM(
    COUNTIFS('QA Log'!D:D,A244,'QA Log'!M:M,"Vignette",'QA Log'!Z:Z,"Rejected",'QA Log'!L:L,"*Vignette [5] Labor*"),
    COUNTIFS('QA Log'!D:D,A244,'QA Log'!M:M,"Vignette",'QA Log'!Z:Z,"Rejected",'QA Log'!L:L,"*Vignette [6] PNC pre Discharge*"),
    COUNTIFS('QA Log'!D:D,A244,'QA Log'!M:M,"Vignette",'QA Log'!Z:Z,"Rejected",'QA Log'!L:L,"*Vignette [7] First ANC Visit*"),
    COUNTIFS('QA Log'!D:D,A244,'QA Log'!M:M,"Vignette",'QA Log'!Z:Z,"Rejected",'QA Log'!L:L,"*Vignette [8] Birth Spacing/ Family Planning :  FP Counselling*"),
    COUNTIFS('QA Log'!D:D,A244,'QA Log'!M:M,"Vignette",'QA Log'!Z:Z,"Rejected",'QA Log'!L:L,"*Vignette [9] Birth Spacing: Change FP method to Injectable*"),
    COUNTIFS('QA Log'!D:D,A244,'QA Log'!M:M,"Vignette",'QA Log'!Z:Z,"Rejected",'QA Log'!L:L,"*Vignette [10] Post Partum Haemorrhage - Atonic Uterus at Health Centre*")
  )
)</f>
        <v/>
      </c>
      <c r="BN244" s="107" t="str">
        <f t="shared" si="11"/>
        <v/>
      </c>
      <c r="BO244" s="103" t="str">
        <f t="shared" si="12"/>
        <v/>
      </c>
      <c r="BP244" s="102" t="str">
        <f>IF(A244="","",SUM(
COUNTIFS('QA Log'!D:D,A244,'QA Log'!M:M,"Vignette",'QA Log'!L:L,"*Exit Interview 1*"),
COUNTIFS('QA Log'!D:D,A244,'QA Log'!M:M,"Vignette",'QA Log'!L:L,"*Exit Interview 2*"),
)
)</f>
        <v/>
      </c>
      <c r="BQ244" s="102" t="str">
        <f>IF(
  A244="","",
  SUM(
    COUNTIFS('QA Log'!D:D,A244,'QA Log'!M:M,"Vignette",'QA Log'!Z:Z,"Approved",'QA Log'!L:L,"*Exit Interview 1*"),
    COUNTIFS('QA Log'!D:D,A244,'QA Log'!M:M,"Vignette",'QA Log'!Z:Z,"Approved",'QA Log'!L:L,"*Exit Interview 2*")
  )
)</f>
        <v/>
      </c>
      <c r="BR244" s="105" t="str">
        <f>IF(A244&lt;&gt;"",COUNTIFS('QA Log'!D:D,A244,'QA Log'!M:M,"Vignette",'QA Log'!L:L,"Exit Interview 1",'QA Log'!Z:Z,"Approved"),"")</f>
        <v/>
      </c>
      <c r="BS244" s="105" t="str">
        <f>IF(A244&lt;&gt;"",COUNTIFS('QA Log'!D:D,A244,'QA Log'!M:M,"Vignette",'QA Log'!L:L,"Exit Interview 2",'QA Log'!Z:Z,"Approved"),"")</f>
        <v/>
      </c>
      <c r="BT244" s="102" t="str">
        <f>IF(
  A244="","",
  SUM(
    COUNTIFS('QA Log'!D:D,A244,'QA Log'!M:M,"Vignette",'QA Log'!Z:Z,"Rejected",'QA Log'!L:L,"*Exit Interview 1*"),
    COUNTIFS('QA Log'!D:D,A244,'QA Log'!M:M,"Vignette",'QA Log'!Z:Z,"Rejected",'QA Log'!L:L,"*Exit Interview 2*")
  )
)</f>
        <v/>
      </c>
      <c r="BU244" s="107" t="str">
        <f t="shared" si="13"/>
        <v/>
      </c>
      <c r="BV244" s="102" t="str">
        <f t="shared" si="14"/>
        <v/>
      </c>
      <c r="BW244" s="102" t="str">
        <f t="shared" si="15"/>
        <v/>
      </c>
      <c r="BX244" s="102" t="str">
        <f t="shared" si="16"/>
        <v/>
      </c>
      <c r="BY244" s="102" t="str">
        <f t="shared" si="17"/>
        <v/>
      </c>
      <c r="BZ244" s="107" t="str">
        <f t="shared" si="18"/>
        <v/>
      </c>
      <c r="CA244" s="108" t="str">
        <f t="shared" si="19"/>
        <v/>
      </c>
      <c r="CB244" s="108" t="str">
        <f t="shared" si="20"/>
        <v/>
      </c>
      <c r="CC244" s="109" t="str">
        <f t="shared" si="21"/>
        <v/>
      </c>
      <c r="CD244" s="108" t="str">
        <f t="shared" si="22"/>
        <v/>
      </c>
      <c r="CE244" s="108" t="str">
        <f t="shared" si="23"/>
        <v/>
      </c>
      <c r="CF244" s="109" t="str">
        <f t="shared" si="24"/>
        <v/>
      </c>
      <c r="CG244" s="110" t="str">
        <f t="shared" si="25"/>
        <v/>
      </c>
      <c r="CH244" s="111"/>
    </row>
    <row r="245" spans="1:86" ht="12.75">
      <c r="A245" s="101"/>
      <c r="B245" s="102" t="e">
        <f t="array" aca="1" ref="B245" ca="1">_xludf.XLOOKUP(A245,'QA Log'!D:D,'QA Log'!E:E,"")</f>
        <v>#NAME?</v>
      </c>
      <c r="C245" s="102" t="e">
        <f t="array" aca="1" ref="C245" ca="1">_xludf.XLOOKUP(A245,'QA Log'!D:D,'QA Log'!F:F,"")</f>
        <v>#NAME?</v>
      </c>
      <c r="D245" s="102" t="e">
        <f t="array" aca="1" ref="D245" ca="1">_xludf.XLOOKUP(A245,'QA Log'!D:D,'QA Log'!H:H,"")</f>
        <v>#NAME?</v>
      </c>
      <c r="E245" s="102" t="e">
        <f t="array" aca="1" ref="E245" ca="1">_xludf.XLOOKUP(A245,'QA Log'!D:D,'QA Log'!G:G,"")</f>
        <v>#NAME?</v>
      </c>
      <c r="F245" s="103"/>
      <c r="G245" s="104"/>
      <c r="H245" s="104"/>
      <c r="I245" s="103" t="str">
        <f t="shared" si="0"/>
        <v/>
      </c>
      <c r="J245" s="102" t="str">
        <f>IF(A245="","",SUM(
COUNTIFS('QA Log'!D:D,A245,'QA Log'!M:M,"QQC",'QA Log'!L:L,"*1. General Management*"),
COUNTIFS('QA Log'!D:D,A245,'QA Log'!M:M,"QQC",'QA Log'!L:L,"*3. Curative Consultation (OPD)*"),
COUNTIFS('QA Log'!D:D,A245,'QA Log'!M:M,"QQC",'QA Log'!L:L,"*5. Laboratory*"),
COUNTIFS('QA Log'!D:D,A245,'QA Log'!M:M,"QQC",'QA Log'!L:L,"*6. Essential Medicine Management*"),
COUNTIFS('QA Log'!D:D,A245,'QA Log'!M:M,"QQC",'QA Log'!L:L,"*7. Tracer Medicine*"),
COUNTIFS('QA Log'!D:D,A245,'QA Log'!M:M,"QQC",'QA Log'!L:L,"*11. Additional Questions*")))</f>
        <v/>
      </c>
      <c r="K245" s="102" t="str">
        <f>IF(A245="","",SUM(
COUNTIFS('QA Log'!D:D,A245,'QA Log'!M:M,"QQC",'QA Log'!Z:Z,"Approved",'QA Log'!L:L,"*1. General Management*"),
COUNTIFS('QA Log'!D:D,A245,'QA Log'!M:M,"QQC",'QA Log'!Z:Z,"Approved",'QA Log'!L:L,"*3. Curative Consultation (OPD)*"),
COUNTIFS('QA Log'!D:D,A245,'QA Log'!M:M,"QQC",'QA Log'!Z:Z,"Approved",'QA Log'!L:L,"*5. Laboratory*"),
COUNTIFS('QA Log'!D:D,A245,'QA Log'!M:M,"QQC",'QA Log'!Z:Z,"Approved",'QA Log'!L:L,"*6. Essential Medicine Management*"),
COUNTIFS('QA Log'!D:D,A245,'QA Log'!M:M,"QQC",'QA Log'!Z:Z,"Approved",'QA Log'!L:L,"*7. Tracer Medicine*"),
COUNTIFS('QA Log'!D:D,A245,'QA Log'!M:M,"QQC",'QA Log'!Z:Z,"Approved",'QA Log'!L:L,"*11. Additional Questions*")))</f>
        <v/>
      </c>
      <c r="L245" s="105" t="str">
        <f>IF(A245&lt;&gt;"",COUNTIFS('QA Log'!D:D,A245,'QA Log'!M:M,"QQC",'QA Log'!L:L,"1. General Management",'QA Log'!Z:Z,"Approved"),"")</f>
        <v/>
      </c>
      <c r="M245" s="105" t="str">
        <f>IF(A245&lt;&gt;"",COUNTIFS('QA Log'!D:D,A245,'QA Log'!M:M,"QQC",'QA Log'!L:L,"3. Curative Consultation (OPD)",'QA Log'!Z:Z,"Approved"),"")</f>
        <v/>
      </c>
      <c r="N245" s="105" t="str">
        <f>IF(A245&lt;&gt;"",COUNTIFS('QA Log'!D:D,A245,'QA Log'!M:M,"QQC",'QA Log'!L:L,"5. Laboratory",'QA Log'!Z:Z,"Approved"),"")</f>
        <v/>
      </c>
      <c r="O245" s="105" t="str">
        <f>IF(A245&lt;&gt;"",COUNTIFS('QA Log'!D:D,A245,'QA Log'!M:M,"QQC",'QA Log'!L:L,"6. Essential Medicine Management",'QA Log'!Z:Z,"Approved"),"")</f>
        <v/>
      </c>
      <c r="P245" s="105" t="str">
        <f>IF(A245&lt;&gt;"",COUNTIFS('QA Log'!D:D,A245,'QA Log'!M:M,"QQC",'QA Log'!L:L,"7. Tracer Medicine",'QA Log'!Z:Z,"Approved"),"")</f>
        <v/>
      </c>
      <c r="Q245" s="105" t="str">
        <f>IF(A245&lt;&gt;"",COUNTIFS('QA Log'!D:D,A245,'QA Log'!M:M,"QQC",'QA Log'!L:L,"11. Additional Questions",'QA Log'!Z:Z,"Approved"),"")</f>
        <v/>
      </c>
      <c r="R245" s="102" t="str">
        <f>IF(A245="","",SUM(
COUNTIFS('QA Log'!D:D,A245,'QA Log'!M:M,"QQC",'QA Log'!Z:Z,"Rejected",'QA Log'!L:L,"*8. Maternity*"),
COUNTIFS('QA Log'!D:D,A245,'QA Log'!M:M,"QQC",'QA Log'!Z:Z,"Rejected",'QA Log'!L:L,"*EPI*"),
COUNTIFS('QA Log'!D:D,A245,'QA Log'!M:M,"QQC",'QA Log'!Z:Z,"Rejected",'QA Log'!L:L,"*10. Antenatal Care (ANC)*"),
COUNTIFS('QA Log'!D:D,A245,'QA Log'!M:M,"QQC",'QA Log'!Z:Z,"Rejected",'QA Log'!L:L,"*2. Hygiene and Sterilization*"),
COUNTIFS('QA Log'!D:D,A245,'QA Log'!M:M,"QQC",'QA Log'!Z:Z,"Rejected",'QA Log'!L:L,"*Family Planning*")))</f>
        <v/>
      </c>
      <c r="S245" s="106" t="str">
        <f t="shared" si="1"/>
        <v/>
      </c>
      <c r="T245" s="102" t="str">
        <f t="shared" si="2"/>
        <v/>
      </c>
      <c r="U245" s="102" t="str">
        <f>IF(A245="","",
SUM(
COUNTIFS('QA Log'!D:D,A245,'QA Log'!M:M,"QQC",'QA Log'!L:L,"*8. Maternity*"),
COUNTIFS('QA Log'!D:D,A245,'QA Log'!M:M,"QQC",'QA Log'!L:L,"*9. EPI and Pre-school Consultation*"),
COUNTIFS('QA Log'!D:D,A245,'QA Log'!M:M,"QQC",'QA Log'!L:L,"*10. Antenatal Care (ANC)*"),
COUNTIFS('QA Log'!D:D,A245,'QA Log'!M:M,"QQC",'QA Log'!L:L,"*2. Hygiene and Sterilization*"),
COUNTIFS('QA Log'!D:D,A245,'QA Log'!M:M,"QQC",'QA Log'!L:L,"*4. Family Planning*")
))</f>
        <v/>
      </c>
      <c r="V245" s="102" t="str">
        <f>IF(A245="","",
SUM(
COUNTIFS('QA Log'!D:D,A245,'QA Log'!M:M,"QQC",'QA Log'!Z:Z,"Approved",'QA Log'!L:L,"*8. Maternity*"),
COUNTIFS('QA Log'!D:D,A245,'QA Log'!M:M,"QQC",'QA Log'!Z:Z,"Approved",'QA Log'!L:L,"*9. EPI and Pre-school Consultation*"),
COUNTIFS('QA Log'!D:D,A245,'QA Log'!M:M,"QQC",'QA Log'!Z:Z,"Approved",'QA Log'!L:L,"*10. Antenatal Care (ANC)*"),
COUNTIFS('QA Log'!D:D,A245,'QA Log'!M:M,"QQC",'QA Log'!Z:Z,"Approved",'QA Log'!L:L,"*2. Hygiene and Sterilization*"),
COUNTIFS('QA Log'!D:D,A245,'QA Log'!M:M,"QQC",'QA Log'!Z:Z,"Approved",'QA Log'!L:L,"*4. Family Planning*")
))</f>
        <v/>
      </c>
      <c r="W245" s="105" t="str">
        <f>IF(A245&lt;&gt;"",COUNTIFS('QA Log'!D:D,A245,'QA Log'!M:M,"QQC",'QA Log'!L:L,"8. Maternity",'QA Log'!Z:Z,"Approved"),"")</f>
        <v/>
      </c>
      <c r="X245" s="105" t="str">
        <f>IF(A245&lt;&gt;"",COUNTIFS('QA Log'!D:D,A245,'QA Log'!M:M,"QQC",'QA Log'!L:L,"9. EPI and Pre-school Consultation",'QA Log'!Z:Z,"Approved"),"")</f>
        <v/>
      </c>
      <c r="Y245" s="105" t="str">
        <f>IF(A245&lt;&gt;"",COUNTIFS('QA Log'!D:D,A245,'QA Log'!M:M,"QQC",'QA Log'!L:L,"10. Antenatal Care (ANC)",'QA Log'!Z:Z,"Approved"),"")</f>
        <v/>
      </c>
      <c r="Z245" s="105" t="str">
        <f>IF(A245&lt;&gt;"",COUNTIFS('QA Log'!D:D,A245,'QA Log'!M:M,"QQC",'QA Log'!L:L,"2. Hygiene and Sterilization",'QA Log'!Z:Z,"Approved"),"")</f>
        <v/>
      </c>
      <c r="AA245" s="105" t="str">
        <f>IF(A245&lt;&gt;"",COUNTIFS('QA Log'!D:D,A245,'QA Log'!M:M,"QQC",'QA Log'!L:L,"4. Family Planning",'QA Log'!Z:Z,"Approved"),"")</f>
        <v/>
      </c>
      <c r="AB245" s="102" t="str">
        <f>IF(A245="","",
SUM(
COUNTIFS('QA Log'!D:D,A245,'QA Log'!M:M,"QQC",'QA Log'!Z:Z,"Rejected",'QA Log'!L:L,"*8. Maternity*"),
COUNTIFS('QA Log'!D:D,A245,'QA Log'!M:M,"QQC",'QA Log'!Z:Z,"Rejected",'QA Log'!L:L,"*9. EPI and Pre-school Consultation*"),
COUNTIFS('QA Log'!D:D,A245,'QA Log'!M:M,"QQC",'QA Log'!Z:Z,"Rejected",'QA Log'!L:L,"*10. Antenatal Care (ANC)*"),
COUNTIFS('QA Log'!D:D,A245,'QA Log'!M:M,"QQC",'QA Log'!Z:Z,"Rejected",'QA Log'!L:L,"*2. Hygiene and Sterilization*"),
COUNTIFS('QA Log'!D:D,A245,'QA Log'!M:M,"QQC",'QA Log'!Z:Z,"Rejected",'QA Log'!L:L,"*4. Family Planning*")
))</f>
        <v/>
      </c>
      <c r="AC245" s="102" t="str">
        <f t="shared" si="3"/>
        <v/>
      </c>
      <c r="AD245" s="103" t="str">
        <f t="shared" si="4"/>
        <v/>
      </c>
      <c r="AE245" s="102" t="str">
        <f>IF(A245="","",
SUM(
COUNTIFS('QA Log'!D:D,A245,'QA Log'!M:M,"Data Verification",'QA Log'!L:L,"*Medicine (section 2)*"),
COUNTIFS('QA Log'!D:D,A245,'QA Log'!M:M,"Data Verification",'QA Log'!L:L,"*Lab Testing Availability*"),
COUNTIFS('QA Log'!D:D,A245,'QA Log'!M:M,"Data Verification",'QA Log'!L:L,"*Other than P4P (section 6)*"),
COUNTIFS('QA Log'!D:D,A245,'QA Log'!M:M,"Data Verification",'QA Log'!L:L,"*Hospital Governance*")
))</f>
        <v/>
      </c>
      <c r="AF245" s="102" t="str">
        <f>IF(A245="","",
SUM(
COUNTIFS('QA Log'!D:D,A245,'QA Log'!M:M,"Data Verification",'QA Log'!Z:Z,"Approved",'QA Log'!L:L,"*Medicine (section 2)*"),
COUNTIFS('QA Log'!D:D,A245,'QA Log'!M:M,"Data Verification",'QA Log'!Z:Z,"Approved",'QA Log'!L:L,"*Lab Testing Availability*"),
COUNTIFS('QA Log'!D:D,A245,'QA Log'!M:M,"Data Verification",'QA Log'!Z:Z,"Approved",'QA Log'!L:L,"*Other than P4P (section 6)*"),
COUNTIFS('QA Log'!D:D,A245,'QA Log'!M:M,"Data Verification",'QA Log'!Z:Z,"Approved",'QA Log'!L:L,"*Hospital Governance*")
))</f>
        <v/>
      </c>
      <c r="AG245" s="105" t="str">
        <f>IF(A245&lt;&gt;"",COUNTIFS('QA Log'!D:D,A245,'QA Log'!M:M,"Data Verification",'QA Log'!L:L,"Medicine (section 2)",'QA Log'!Z:Z,"Approved"),"")</f>
        <v/>
      </c>
      <c r="AH245" s="105" t="str">
        <f>IF(A245&lt;&gt;"",COUNTIFS('QA Log'!D:D,A245,'QA Log'!M:M,"Data Verification",'QA Log'!L:L,"Lab Testing Availability",'QA Log'!Z:Z,"Approved"),"")</f>
        <v/>
      </c>
      <c r="AI245" s="105" t="str">
        <f>IF(A245&lt;&gt;"",COUNTIFS('QA Log'!D:D,A245,'QA Log'!M:M,"Data Verification",'QA Log'!L:L,"Other than P4P (section 6)",'QA Log'!Z:Z,"Approved"),"")</f>
        <v/>
      </c>
      <c r="AJ245" s="105" t="str">
        <f>IF(A245&lt;&gt;"",COUNTIFS('QA Log'!D:D,A245,'QA Log'!M:M,"Data Verification",'QA Log'!L:L,"Hospital Governance",'QA Log'!Z:Z,"Approved"),"")</f>
        <v/>
      </c>
      <c r="AK245" s="102" t="str">
        <f>IF(A245="","",
SUM(
COUNTIFS('QA Log'!D:D,A245,'QA Log'!M:M,"Data Verification",'QA Log'!Z:Z,"Rejected",'QA Log'!L:L,"*Medicine (section 2)*"),
COUNTIFS('QA Log'!D:D,A245,'QA Log'!M:M,"Data Verification",'QA Log'!Z:Z,"Rejected",'QA Log'!L:L,"*Lab Testing Availability*"),
COUNTIFS('QA Log'!D:D,A245,'QA Log'!M:M,"Data Verification",'QA Log'!Z:Z,"Rejected",'QA Log'!L:L,"*Other than P4P (section 6)*"),
COUNTIFS('QA Log'!D:D,A245,'QA Log'!M:M,"Data Verification",'QA Log'!Z:Z,"Rejected",'QA Log'!L:L,"*Hospital Governance*")
))</f>
        <v/>
      </c>
      <c r="AL245" s="106" t="str">
        <f t="shared" si="5"/>
        <v/>
      </c>
      <c r="AM245" s="102" t="str">
        <f t="shared" si="6"/>
        <v/>
      </c>
      <c r="AN245" s="102" t="str">
        <f>IF(A245="","",
SUM(
COUNTIFS('QA Log'!D:D,A245,'QA Log'!M:M,"Data Verification",'QA Log'!L:L,"*Personnel (section 1)*"),
COUNTIFS('QA Log'!D:D,A245,'QA Log'!M:M,"Data Verification",'QA Log'!L:L,"*Consumable (section 3)*"),
COUNTIFS('QA Log'!D:D,A245,'QA Log'!M:M,"Data Verification",'QA Log'!L:L,"*Equipments (section 4)*")
))</f>
        <v/>
      </c>
      <c r="AO245" s="102" t="str">
        <f>IF(A245="","",
SUM(
COUNTIFS('QA Log'!D:D,A245,'QA Log'!M:M,"Data Verification",'QA Log'!Z:Z,"Approved",'QA Log'!L:L,"*Personnel (section 1)*"),
COUNTIFS('QA Log'!D:D,A245,'QA Log'!M:M,"Data Verification",'QA Log'!Z:Z,"Approved",'QA Log'!L:L,"*Consumable (section 3)*"),
COUNTIFS('QA Log'!D:D,A245,'QA Log'!M:M,"Data Verification",'QA Log'!Z:Z,"Approved",'QA Log'!L:L,"*Equipments (section 4)*")
))</f>
        <v/>
      </c>
      <c r="AP245" s="105" t="str">
        <f>IF(A245&lt;&gt;"",COUNTIFS('QA Log'!D:D,A245,'QA Log'!M:M,"Data Verification",'QA Log'!L:L,"Personnel (section 1)",'QA Log'!Z:Z,"Approved"),"")</f>
        <v/>
      </c>
      <c r="AQ245" s="105" t="str">
        <f>IF(A245&lt;&gt;"",COUNTIFS('QA Log'!D:D,A245,'QA Log'!M:M,"Data Verification",'QA Log'!L:L,"Consumable (section 3)",'QA Log'!Z:Z,"Approved"),"")</f>
        <v/>
      </c>
      <c r="AR245" s="105" t="str">
        <f>IF(A245&lt;&gt;"",COUNTIFS('QA Log'!D:D,A245,'QA Log'!M:M,"Data Verification",'QA Log'!L:L,"Equipments (section 4)",'QA Log'!Z:Z,"Approved"),"")</f>
        <v/>
      </c>
      <c r="AS245" s="102" t="str">
        <f>IF(A245="","",
SUM(
COUNTIFS('QA Log'!D:D,A245,'QA Log'!M:M,"Data Verification",'QA Log'!Z:Z,"Rejected",'QA Log'!L:L,"*Personnel (section 1)*"),
COUNTIFS('QA Log'!D:D,A245,'QA Log'!M:M,"Data Verification",'QA Log'!Z:Z,"Rejected",'QA Log'!L:L,"*Consumable (section 3)*"),
COUNTIFS('QA Log'!D:D,A245,'QA Log'!M:M,"Data Verification",'QA Log'!Z:Z,"Rejected",'QA Log'!L:L,"*Equipments (section 4)*")
))</f>
        <v/>
      </c>
      <c r="AT245" s="102" t="str">
        <f t="shared" si="7"/>
        <v/>
      </c>
      <c r="AU245" s="103" t="str">
        <f t="shared" si="8"/>
        <v/>
      </c>
      <c r="AV245" s="102" t="str">
        <f>IF(A245="","",SUM(
COUNTIFS('QA Log'!D:D,A245,'QA Log'!M:M,"Vignette",'QA Log'!L:L,"*Vignette [1] Respiratory Infection: Pneumonia*"),
COUNTIFS('QA Log'!D:D,A245,'QA Log'!M:M,"Vignette",'QA Log'!L:L,"*Vignette [2]: Diarrhea with Cat B dehydration*"),
COUNTIFS('QA Log'!D:D,A245,'QA Log'!M:M,"Vignette",'QA Log'!L:L,"*Vignette [3] Growth Monitoring and Promotion*"),
COUNTIFS('QA Log'!D:D,A245,'QA Log'!M:M,"Vignette",'QA Log'!L:L,"*Vignette [4]: The management of presumptive TB patient*")
)
)</f>
        <v/>
      </c>
      <c r="AW245" s="102" t="str">
        <f>IF(
  A245="","",
  SUM(
    COUNTIFS('QA Log'!D:D,A245,'QA Log'!M:M,"Vignette",'QA Log'!Z:Z,"Approved",'QA Log'!L:L,"*Vignette [1] Respiratory Infection: Pneumonia*"),
    COUNTIFS('QA Log'!D:D,A245,'QA Log'!M:M,"Vignette",'QA Log'!Z:Z,"Approved",'QA Log'!L:L,"*Vignette [2]: Diarrhea with Cat B dehydration*"),
    COUNTIFS('QA Log'!D:D,A245,'QA Log'!M:M,"Vignette",'QA Log'!Z:Z,"Approved",'QA Log'!L:L,"*Vignette [3] Growth Monitoring and Promotion*"),
    COUNTIFS('QA Log'!D:D,A245,'QA Log'!M:M,"Vignette",'QA Log'!Z:Z,"Approved",'QA Log'!L:L,"*Vignette [4]: The management of presumptive TB patient*")
  )
)</f>
        <v/>
      </c>
      <c r="AX245" s="105" t="str">
        <f>IF(A245&lt;&gt;"",COUNTIFS('QA Log'!D:D,A245,'QA Log'!M:M,"Vignette",'QA Log'!L:L,"Vignette [1] Respiratory Infection: Pneumonia",'QA Log'!Z:Z,"Approved"),"")</f>
        <v/>
      </c>
      <c r="AY245" s="105" t="str">
        <f>IF(A245&lt;&gt;"",COUNTIFS('QA Log'!D:D,A245,'QA Log'!M:M,"Vignette",'QA Log'!L:L,"Vignette [2]: Diarrhea with Cat B dehydration",'QA Log'!Z:Z,"Approved"),"")</f>
        <v/>
      </c>
      <c r="AZ245" s="105" t="str">
        <f>IF(A245&lt;&gt;"",COUNTIFS('QA Log'!D:D,A245,'QA Log'!M:M,"Vignette",'QA Log'!L:L,"Vignette [3] Growth Monitoring and Promotion",'QA Log'!Z:Z,"Approved"),"")</f>
        <v/>
      </c>
      <c r="BA245" s="105" t="str">
        <f>IF(A245&lt;&gt;"",COUNTIFS('QA Log'!D:D,A245,'QA Log'!M:M,"Vignette",'QA Log'!L:L,"Vignette [4]: The management of presumptive TB patient",'QA Log'!Z:Z,"Approved"),"")</f>
        <v/>
      </c>
      <c r="BB245" s="102" t="str">
        <f>IF(A245="","",
  SUM(
    COUNTIFS('QA Log'!D:D,A245,'QA Log'!M:M,"Vignette",'QA Log'!Z:Z,"Rejected",'QA Log'!L:L,"*Vignette [1] Respiratory Infection: Pneumonia*"),
    COUNTIFS('QA Log'!D:D,A245,'QA Log'!M:M,"Vignette",'QA Log'!Z:Z,"Rejected",'QA Log'!L:L,"*Vignette [2]: Diarrhea with Cat B dehydration*"),
    COUNTIFS('QA Log'!D:D,A245,'QA Log'!M:M,"Vignette",'QA Log'!Z:Z,"Rejected",'QA Log'!L:L,"*Vignette [3] Growth Monitoring and Promotion*"),
    COUNTIFS('QA Log'!D:D,A245,'QA Log'!M:M,"Vignette",'QA Log'!Z:Z,"Rejected",'QA Log'!L:L,"*Vignette [4]: The management of presumptive TB patient*")
  )
)</f>
        <v/>
      </c>
      <c r="BC245" s="107" t="str">
        <f t="shared" si="9"/>
        <v/>
      </c>
      <c r="BD245" s="103" t="str">
        <f t="shared" si="10"/>
        <v/>
      </c>
      <c r="BE245" s="102" t="str">
        <f>IF(A245="","",SUM(
COUNTIFS('QA Log'!D:D,A245,'QA Log'!M:M,"Vignette",'QA Log'!L:L,"*Vignette [5] Labor*"),
COUNTIFS('QA Log'!D:D,A245,'QA Log'!M:M,"Vignette",'QA Log'!L:L,"*Vignette [6] PNC pre Discharge*"),
COUNTIFS('QA Log'!D:D,A245,'QA Log'!M:M,"Vignette",'QA Log'!L:L,"*Vignette [7] First ANC Visit*"),
COUNTIFS('QA Log'!D:D,A245,'QA Log'!M:M,"Vignette",'QA Log'!L:L,"*Vignette [8] Birth Spacing/ Family Planning :  FP Counselling*"),
COUNTIFS('QA Log'!D:D,A245,'QA Log'!M:M,"Vignette",'QA Log'!L:L,"*Vignette [9] Birth Spacing: Change FP method to Injectable*"),
COUNTIFS('QA Log'!D:D,A245,'QA Log'!M:M,"Vignette",'QA Log'!L:L,"*Vignette [10] Post Partum Haemorrhage - Atonic Uterus at Health Centre*"),
)
)</f>
        <v/>
      </c>
      <c r="BF245" s="102" t="str">
        <f>IF(A245="","",
  SUM(
    COUNTIFS('QA Log'!D:D,A245,'QA Log'!M:M,"Vignette",'QA Log'!Z:Z,"Approved",'QA Log'!L:L,"*Vignette [5] Labor*"),
    COUNTIFS('QA Log'!D:D,A245,'QA Log'!M:M,"Vignette",'QA Log'!Z:Z,"Approved",'QA Log'!L:L,"*Vignette [6] PNC pre Discharge*"),
    COUNTIFS('QA Log'!D:D,A245,'QA Log'!M:M,"Vignette",'QA Log'!Z:Z,"Approved",'QA Log'!L:L,"*Vignette [7] First ANC Visit*"),
    COUNTIFS('QA Log'!D:D,A245,'QA Log'!M:M,"Vignette",'QA Log'!Z:Z,"Approved",'QA Log'!L:L,"*Vignette [8] Birth Spacing/ Family Planning :  FP Counselling*"),
    COUNTIFS('QA Log'!D:D,A245,'QA Log'!M:M,"Vignette",'QA Log'!Z:Z,"Approved",'QA Log'!L:L,"*Vignette [9] Birth Spacing: Change FP method to Injectable*"),
    COUNTIFS('QA Log'!D:D,A245,'QA Log'!M:M,"Vignette",'QA Log'!Z:Z,"Approved",'QA Log'!L:L,"*Vignette [10] Post Partum Haemorrhage - Atonic Uterus at Health Centre*")
  )
)</f>
        <v/>
      </c>
      <c r="BG245" s="105" t="str">
        <f>IF(A245&lt;&gt;"",COUNTIFS('QA Log'!D:D,A245,'QA Log'!M:M,"Vignette",'QA Log'!L:L,"Vignette [5] Labor",'QA Log'!Z:Z,"Approved"),"")</f>
        <v/>
      </c>
      <c r="BH245" s="105" t="str">
        <f>IF(A245&lt;&gt;"",COUNTIFS('QA Log'!D:D,A245,'QA Log'!M:M,"Vignette",'QA Log'!L:L,"Vignette [6] PNC pre Discharge",'QA Log'!Z:Z,"Approved"),"")</f>
        <v/>
      </c>
      <c r="BI245" s="105" t="str">
        <f>IF(A245&lt;&gt;"",COUNTIFS('QA Log'!D:D,A245,'QA Log'!M:M,"Vignette",'QA Log'!L:L,"Vignette [7] First ANC Visit",'QA Log'!Z:Z,"Approved"),"")</f>
        <v/>
      </c>
      <c r="BJ245" s="105" t="str">
        <f>IF(A245&lt;&gt;"",COUNTIFS('QA Log'!D:D,A245,'QA Log'!M:M,"Vignette",'QA Log'!L:L,"Vignette [8] Birth Spacing/ Family Planning :  FP Counselling",'QA Log'!Z:Z,"Approved"),"")</f>
        <v/>
      </c>
      <c r="BK245" s="105" t="str">
        <f>IF(A245&lt;&gt;"",COUNTIFS('QA Log'!D:D,A245,'QA Log'!M:M,"Vignette",'QA Log'!L:L,"Vignette [9] Birth Spacing: Change FP method to Injectable",'QA Log'!Z:Z,"Approved"),"")</f>
        <v/>
      </c>
      <c r="BL245" s="105" t="str">
        <f>IF(A245&lt;&gt;"",COUNTIFS('QA Log'!D:D,A245,'QA Log'!M:M,"Vignette",'QA Log'!L:L,"Vignette [10] Post Partum Haemorrhage - Atonic Uterus at Health Centre",'QA Log'!Z:Z,"Approved"),"")</f>
        <v/>
      </c>
      <c r="BM245" s="102" t="str">
        <f>IF(A245="","",SUM(
    COUNTIFS('QA Log'!D:D,A245,'QA Log'!M:M,"Vignette",'QA Log'!Z:Z,"Rejected",'QA Log'!L:L,"*Vignette [5] Labor*"),
    COUNTIFS('QA Log'!D:D,A245,'QA Log'!M:M,"Vignette",'QA Log'!Z:Z,"Rejected",'QA Log'!L:L,"*Vignette [6] PNC pre Discharge*"),
    COUNTIFS('QA Log'!D:D,A245,'QA Log'!M:M,"Vignette",'QA Log'!Z:Z,"Rejected",'QA Log'!L:L,"*Vignette [7] First ANC Visit*"),
    COUNTIFS('QA Log'!D:D,A245,'QA Log'!M:M,"Vignette",'QA Log'!Z:Z,"Rejected",'QA Log'!L:L,"*Vignette [8] Birth Spacing/ Family Planning :  FP Counselling*"),
    COUNTIFS('QA Log'!D:D,A245,'QA Log'!M:M,"Vignette",'QA Log'!Z:Z,"Rejected",'QA Log'!L:L,"*Vignette [9] Birth Spacing: Change FP method to Injectable*"),
    COUNTIFS('QA Log'!D:D,A245,'QA Log'!M:M,"Vignette",'QA Log'!Z:Z,"Rejected",'QA Log'!L:L,"*Vignette [10] Post Partum Haemorrhage - Atonic Uterus at Health Centre*")
  )
)</f>
        <v/>
      </c>
      <c r="BN245" s="107" t="str">
        <f t="shared" si="11"/>
        <v/>
      </c>
      <c r="BO245" s="103" t="str">
        <f t="shared" si="12"/>
        <v/>
      </c>
      <c r="BP245" s="102" t="str">
        <f>IF(A245="","",SUM(
COUNTIFS('QA Log'!D:D,A245,'QA Log'!M:M,"Vignette",'QA Log'!L:L,"*Exit Interview 1*"),
COUNTIFS('QA Log'!D:D,A245,'QA Log'!M:M,"Vignette",'QA Log'!L:L,"*Exit Interview 2*"),
)
)</f>
        <v/>
      </c>
      <c r="BQ245" s="102" t="str">
        <f>IF(
  A245="","",
  SUM(
    COUNTIFS('QA Log'!D:D,A245,'QA Log'!M:M,"Vignette",'QA Log'!Z:Z,"Approved",'QA Log'!L:L,"*Exit Interview 1*"),
    COUNTIFS('QA Log'!D:D,A245,'QA Log'!M:M,"Vignette",'QA Log'!Z:Z,"Approved",'QA Log'!L:L,"*Exit Interview 2*")
  )
)</f>
        <v/>
      </c>
      <c r="BR245" s="105" t="str">
        <f>IF(A245&lt;&gt;"",COUNTIFS('QA Log'!D:D,A245,'QA Log'!M:M,"Vignette",'QA Log'!L:L,"Exit Interview 1",'QA Log'!Z:Z,"Approved"),"")</f>
        <v/>
      </c>
      <c r="BS245" s="105" t="str">
        <f>IF(A245&lt;&gt;"",COUNTIFS('QA Log'!D:D,A245,'QA Log'!M:M,"Vignette",'QA Log'!L:L,"Exit Interview 2",'QA Log'!Z:Z,"Approved"),"")</f>
        <v/>
      </c>
      <c r="BT245" s="102" t="str">
        <f>IF(
  A245="","",
  SUM(
    COUNTIFS('QA Log'!D:D,A245,'QA Log'!M:M,"Vignette",'QA Log'!Z:Z,"Rejected",'QA Log'!L:L,"*Exit Interview 1*"),
    COUNTIFS('QA Log'!D:D,A245,'QA Log'!M:M,"Vignette",'QA Log'!Z:Z,"Rejected",'QA Log'!L:L,"*Exit Interview 2*")
  )
)</f>
        <v/>
      </c>
      <c r="BU245" s="107" t="str">
        <f t="shared" si="13"/>
        <v/>
      </c>
      <c r="BV245" s="102" t="str">
        <f t="shared" si="14"/>
        <v/>
      </c>
      <c r="BW245" s="102" t="str">
        <f t="shared" si="15"/>
        <v/>
      </c>
      <c r="BX245" s="102" t="str">
        <f t="shared" si="16"/>
        <v/>
      </c>
      <c r="BY245" s="102" t="str">
        <f t="shared" si="17"/>
        <v/>
      </c>
      <c r="BZ245" s="107" t="str">
        <f t="shared" si="18"/>
        <v/>
      </c>
      <c r="CA245" s="108" t="str">
        <f t="shared" si="19"/>
        <v/>
      </c>
      <c r="CB245" s="108" t="str">
        <f t="shared" si="20"/>
        <v/>
      </c>
      <c r="CC245" s="109" t="str">
        <f t="shared" si="21"/>
        <v/>
      </c>
      <c r="CD245" s="108" t="str">
        <f t="shared" si="22"/>
        <v/>
      </c>
      <c r="CE245" s="108" t="str">
        <f t="shared" si="23"/>
        <v/>
      </c>
      <c r="CF245" s="109" t="str">
        <f t="shared" si="24"/>
        <v/>
      </c>
      <c r="CG245" s="110" t="str">
        <f t="shared" si="25"/>
        <v/>
      </c>
      <c r="CH245" s="111"/>
    </row>
    <row r="246" spans="1:86" ht="12.75">
      <c r="A246" s="101"/>
      <c r="B246" s="102" t="e">
        <f t="array" aca="1" ref="B246" ca="1">_xludf.XLOOKUP(A246,'QA Log'!D:D,'QA Log'!E:E,"")</f>
        <v>#NAME?</v>
      </c>
      <c r="C246" s="102" t="e">
        <f t="array" aca="1" ref="C246" ca="1">_xludf.XLOOKUP(A246,'QA Log'!D:D,'QA Log'!F:F,"")</f>
        <v>#NAME?</v>
      </c>
      <c r="D246" s="102" t="e">
        <f t="array" aca="1" ref="D246" ca="1">_xludf.XLOOKUP(A246,'QA Log'!D:D,'QA Log'!H:H,"")</f>
        <v>#NAME?</v>
      </c>
      <c r="E246" s="102" t="e">
        <f t="array" aca="1" ref="E246" ca="1">_xludf.XLOOKUP(A246,'QA Log'!D:D,'QA Log'!G:G,"")</f>
        <v>#NAME?</v>
      </c>
      <c r="F246" s="103"/>
      <c r="G246" s="104"/>
      <c r="H246" s="104"/>
      <c r="I246" s="103" t="str">
        <f t="shared" si="0"/>
        <v/>
      </c>
      <c r="J246" s="102" t="str">
        <f>IF(A246="","",SUM(
COUNTIFS('QA Log'!D:D,A246,'QA Log'!M:M,"QQC",'QA Log'!L:L,"*1. General Management*"),
COUNTIFS('QA Log'!D:D,A246,'QA Log'!M:M,"QQC",'QA Log'!L:L,"*3. Curative Consultation (OPD)*"),
COUNTIFS('QA Log'!D:D,A246,'QA Log'!M:M,"QQC",'QA Log'!L:L,"*5. Laboratory*"),
COUNTIFS('QA Log'!D:D,A246,'QA Log'!M:M,"QQC",'QA Log'!L:L,"*6. Essential Medicine Management*"),
COUNTIFS('QA Log'!D:D,A246,'QA Log'!M:M,"QQC",'QA Log'!L:L,"*7. Tracer Medicine*"),
COUNTIFS('QA Log'!D:D,A246,'QA Log'!M:M,"QQC",'QA Log'!L:L,"*11. Additional Questions*")))</f>
        <v/>
      </c>
      <c r="K246" s="102" t="str">
        <f>IF(A246="","",SUM(
COUNTIFS('QA Log'!D:D,A246,'QA Log'!M:M,"QQC",'QA Log'!Z:Z,"Approved",'QA Log'!L:L,"*1. General Management*"),
COUNTIFS('QA Log'!D:D,A246,'QA Log'!M:M,"QQC",'QA Log'!Z:Z,"Approved",'QA Log'!L:L,"*3. Curative Consultation (OPD)*"),
COUNTIFS('QA Log'!D:D,A246,'QA Log'!M:M,"QQC",'QA Log'!Z:Z,"Approved",'QA Log'!L:L,"*5. Laboratory*"),
COUNTIFS('QA Log'!D:D,A246,'QA Log'!M:M,"QQC",'QA Log'!Z:Z,"Approved",'QA Log'!L:L,"*6. Essential Medicine Management*"),
COUNTIFS('QA Log'!D:D,A246,'QA Log'!M:M,"QQC",'QA Log'!Z:Z,"Approved",'QA Log'!L:L,"*7. Tracer Medicine*"),
COUNTIFS('QA Log'!D:D,A246,'QA Log'!M:M,"QQC",'QA Log'!Z:Z,"Approved",'QA Log'!L:L,"*11. Additional Questions*")))</f>
        <v/>
      </c>
      <c r="L246" s="105" t="str">
        <f>IF(A246&lt;&gt;"",COUNTIFS('QA Log'!D:D,A246,'QA Log'!M:M,"QQC",'QA Log'!L:L,"1. General Management",'QA Log'!Z:Z,"Approved"),"")</f>
        <v/>
      </c>
      <c r="M246" s="105" t="str">
        <f>IF(A246&lt;&gt;"",COUNTIFS('QA Log'!D:D,A246,'QA Log'!M:M,"QQC",'QA Log'!L:L,"3. Curative Consultation (OPD)",'QA Log'!Z:Z,"Approved"),"")</f>
        <v/>
      </c>
      <c r="N246" s="105" t="str">
        <f>IF(A246&lt;&gt;"",COUNTIFS('QA Log'!D:D,A246,'QA Log'!M:M,"QQC",'QA Log'!L:L,"5. Laboratory",'QA Log'!Z:Z,"Approved"),"")</f>
        <v/>
      </c>
      <c r="O246" s="105" t="str">
        <f>IF(A246&lt;&gt;"",COUNTIFS('QA Log'!D:D,A246,'QA Log'!M:M,"QQC",'QA Log'!L:L,"6. Essential Medicine Management",'QA Log'!Z:Z,"Approved"),"")</f>
        <v/>
      </c>
      <c r="P246" s="105" t="str">
        <f>IF(A246&lt;&gt;"",COUNTIFS('QA Log'!D:D,A246,'QA Log'!M:M,"QQC",'QA Log'!L:L,"7. Tracer Medicine",'QA Log'!Z:Z,"Approved"),"")</f>
        <v/>
      </c>
      <c r="Q246" s="105" t="str">
        <f>IF(A246&lt;&gt;"",COUNTIFS('QA Log'!D:D,A246,'QA Log'!M:M,"QQC",'QA Log'!L:L,"11. Additional Questions",'QA Log'!Z:Z,"Approved"),"")</f>
        <v/>
      </c>
      <c r="R246" s="102" t="str">
        <f>IF(A246="","",SUM(
COUNTIFS('QA Log'!D:D,A246,'QA Log'!M:M,"QQC",'QA Log'!Z:Z,"Rejected",'QA Log'!L:L,"*8. Maternity*"),
COUNTIFS('QA Log'!D:D,A246,'QA Log'!M:M,"QQC",'QA Log'!Z:Z,"Rejected",'QA Log'!L:L,"*EPI*"),
COUNTIFS('QA Log'!D:D,A246,'QA Log'!M:M,"QQC",'QA Log'!Z:Z,"Rejected",'QA Log'!L:L,"*10. Antenatal Care (ANC)*"),
COUNTIFS('QA Log'!D:D,A246,'QA Log'!M:M,"QQC",'QA Log'!Z:Z,"Rejected",'QA Log'!L:L,"*2. Hygiene and Sterilization*"),
COUNTIFS('QA Log'!D:D,A246,'QA Log'!M:M,"QQC",'QA Log'!Z:Z,"Rejected",'QA Log'!L:L,"*Family Planning*")))</f>
        <v/>
      </c>
      <c r="S246" s="106" t="str">
        <f t="shared" si="1"/>
        <v/>
      </c>
      <c r="T246" s="102" t="str">
        <f t="shared" si="2"/>
        <v/>
      </c>
      <c r="U246" s="102" t="str">
        <f>IF(A246="","",
SUM(
COUNTIFS('QA Log'!D:D,A246,'QA Log'!M:M,"QQC",'QA Log'!L:L,"*8. Maternity*"),
COUNTIFS('QA Log'!D:D,A246,'QA Log'!M:M,"QQC",'QA Log'!L:L,"*9. EPI and Pre-school Consultation*"),
COUNTIFS('QA Log'!D:D,A246,'QA Log'!M:M,"QQC",'QA Log'!L:L,"*10. Antenatal Care (ANC)*"),
COUNTIFS('QA Log'!D:D,A246,'QA Log'!M:M,"QQC",'QA Log'!L:L,"*2. Hygiene and Sterilization*"),
COUNTIFS('QA Log'!D:D,A246,'QA Log'!M:M,"QQC",'QA Log'!L:L,"*4. Family Planning*")
))</f>
        <v/>
      </c>
      <c r="V246" s="102" t="str">
        <f>IF(A246="","",
SUM(
COUNTIFS('QA Log'!D:D,A246,'QA Log'!M:M,"QQC",'QA Log'!Z:Z,"Approved",'QA Log'!L:L,"*8. Maternity*"),
COUNTIFS('QA Log'!D:D,A246,'QA Log'!M:M,"QQC",'QA Log'!Z:Z,"Approved",'QA Log'!L:L,"*9. EPI and Pre-school Consultation*"),
COUNTIFS('QA Log'!D:D,A246,'QA Log'!M:M,"QQC",'QA Log'!Z:Z,"Approved",'QA Log'!L:L,"*10. Antenatal Care (ANC)*"),
COUNTIFS('QA Log'!D:D,A246,'QA Log'!M:M,"QQC",'QA Log'!Z:Z,"Approved",'QA Log'!L:L,"*2. Hygiene and Sterilization*"),
COUNTIFS('QA Log'!D:D,A246,'QA Log'!M:M,"QQC",'QA Log'!Z:Z,"Approved",'QA Log'!L:L,"*4. Family Planning*")
))</f>
        <v/>
      </c>
      <c r="W246" s="105" t="str">
        <f>IF(A246&lt;&gt;"",COUNTIFS('QA Log'!D:D,A246,'QA Log'!M:M,"QQC",'QA Log'!L:L,"8. Maternity",'QA Log'!Z:Z,"Approved"),"")</f>
        <v/>
      </c>
      <c r="X246" s="105" t="str">
        <f>IF(A246&lt;&gt;"",COUNTIFS('QA Log'!D:D,A246,'QA Log'!M:M,"QQC",'QA Log'!L:L,"9. EPI and Pre-school Consultation",'QA Log'!Z:Z,"Approved"),"")</f>
        <v/>
      </c>
      <c r="Y246" s="105" t="str">
        <f>IF(A246&lt;&gt;"",COUNTIFS('QA Log'!D:D,A246,'QA Log'!M:M,"QQC",'QA Log'!L:L,"10. Antenatal Care (ANC)",'QA Log'!Z:Z,"Approved"),"")</f>
        <v/>
      </c>
      <c r="Z246" s="105" t="str">
        <f>IF(A246&lt;&gt;"",COUNTIFS('QA Log'!D:D,A246,'QA Log'!M:M,"QQC",'QA Log'!L:L,"2. Hygiene and Sterilization",'QA Log'!Z:Z,"Approved"),"")</f>
        <v/>
      </c>
      <c r="AA246" s="105" t="str">
        <f>IF(A246&lt;&gt;"",COUNTIFS('QA Log'!D:D,A246,'QA Log'!M:M,"QQC",'QA Log'!L:L,"4. Family Planning",'QA Log'!Z:Z,"Approved"),"")</f>
        <v/>
      </c>
      <c r="AB246" s="102" t="str">
        <f>IF(A246="","",
SUM(
COUNTIFS('QA Log'!D:D,A246,'QA Log'!M:M,"QQC",'QA Log'!Z:Z,"Rejected",'QA Log'!L:L,"*8. Maternity*"),
COUNTIFS('QA Log'!D:D,A246,'QA Log'!M:M,"QQC",'QA Log'!Z:Z,"Rejected",'QA Log'!L:L,"*9. EPI and Pre-school Consultation*"),
COUNTIFS('QA Log'!D:D,A246,'QA Log'!M:M,"QQC",'QA Log'!Z:Z,"Rejected",'QA Log'!L:L,"*10. Antenatal Care (ANC)*"),
COUNTIFS('QA Log'!D:D,A246,'QA Log'!M:M,"QQC",'QA Log'!Z:Z,"Rejected",'QA Log'!L:L,"*2. Hygiene and Sterilization*"),
COUNTIFS('QA Log'!D:D,A246,'QA Log'!M:M,"QQC",'QA Log'!Z:Z,"Rejected",'QA Log'!L:L,"*4. Family Planning*")
))</f>
        <v/>
      </c>
      <c r="AC246" s="102" t="str">
        <f t="shared" si="3"/>
        <v/>
      </c>
      <c r="AD246" s="103" t="str">
        <f t="shared" si="4"/>
        <v/>
      </c>
      <c r="AE246" s="102" t="str">
        <f>IF(A246="","",
SUM(
COUNTIFS('QA Log'!D:D,A246,'QA Log'!M:M,"Data Verification",'QA Log'!L:L,"*Medicine (section 2)*"),
COUNTIFS('QA Log'!D:D,A246,'QA Log'!M:M,"Data Verification",'QA Log'!L:L,"*Lab Testing Availability*"),
COUNTIFS('QA Log'!D:D,A246,'QA Log'!M:M,"Data Verification",'QA Log'!L:L,"*Other than P4P (section 6)*"),
COUNTIFS('QA Log'!D:D,A246,'QA Log'!M:M,"Data Verification",'QA Log'!L:L,"*Hospital Governance*")
))</f>
        <v/>
      </c>
      <c r="AF246" s="102" t="str">
        <f>IF(A246="","",
SUM(
COUNTIFS('QA Log'!D:D,A246,'QA Log'!M:M,"Data Verification",'QA Log'!Z:Z,"Approved",'QA Log'!L:L,"*Medicine (section 2)*"),
COUNTIFS('QA Log'!D:D,A246,'QA Log'!M:M,"Data Verification",'QA Log'!Z:Z,"Approved",'QA Log'!L:L,"*Lab Testing Availability*"),
COUNTIFS('QA Log'!D:D,A246,'QA Log'!M:M,"Data Verification",'QA Log'!Z:Z,"Approved",'QA Log'!L:L,"*Other than P4P (section 6)*"),
COUNTIFS('QA Log'!D:D,A246,'QA Log'!M:M,"Data Verification",'QA Log'!Z:Z,"Approved",'QA Log'!L:L,"*Hospital Governance*")
))</f>
        <v/>
      </c>
      <c r="AG246" s="105" t="str">
        <f>IF(A246&lt;&gt;"",COUNTIFS('QA Log'!D:D,A246,'QA Log'!M:M,"Data Verification",'QA Log'!L:L,"Medicine (section 2)",'QA Log'!Z:Z,"Approved"),"")</f>
        <v/>
      </c>
      <c r="AH246" s="105" t="str">
        <f>IF(A246&lt;&gt;"",COUNTIFS('QA Log'!D:D,A246,'QA Log'!M:M,"Data Verification",'QA Log'!L:L,"Lab Testing Availability",'QA Log'!Z:Z,"Approved"),"")</f>
        <v/>
      </c>
      <c r="AI246" s="105" t="str">
        <f>IF(A246&lt;&gt;"",COUNTIFS('QA Log'!D:D,A246,'QA Log'!M:M,"Data Verification",'QA Log'!L:L,"Other than P4P (section 6)",'QA Log'!Z:Z,"Approved"),"")</f>
        <v/>
      </c>
      <c r="AJ246" s="105" t="str">
        <f>IF(A246&lt;&gt;"",COUNTIFS('QA Log'!D:D,A246,'QA Log'!M:M,"Data Verification",'QA Log'!L:L,"Hospital Governance",'QA Log'!Z:Z,"Approved"),"")</f>
        <v/>
      </c>
      <c r="AK246" s="102" t="str">
        <f>IF(A246="","",
SUM(
COUNTIFS('QA Log'!D:D,A246,'QA Log'!M:M,"Data Verification",'QA Log'!Z:Z,"Rejected",'QA Log'!L:L,"*Medicine (section 2)*"),
COUNTIFS('QA Log'!D:D,A246,'QA Log'!M:M,"Data Verification",'QA Log'!Z:Z,"Rejected",'QA Log'!L:L,"*Lab Testing Availability*"),
COUNTIFS('QA Log'!D:D,A246,'QA Log'!M:M,"Data Verification",'QA Log'!Z:Z,"Rejected",'QA Log'!L:L,"*Other than P4P (section 6)*"),
COUNTIFS('QA Log'!D:D,A246,'QA Log'!M:M,"Data Verification",'QA Log'!Z:Z,"Rejected",'QA Log'!L:L,"*Hospital Governance*")
))</f>
        <v/>
      </c>
      <c r="AL246" s="106" t="str">
        <f t="shared" si="5"/>
        <v/>
      </c>
      <c r="AM246" s="102" t="str">
        <f t="shared" si="6"/>
        <v/>
      </c>
      <c r="AN246" s="102" t="str">
        <f>IF(A246="","",
SUM(
COUNTIFS('QA Log'!D:D,A246,'QA Log'!M:M,"Data Verification",'QA Log'!L:L,"*Personnel (section 1)*"),
COUNTIFS('QA Log'!D:D,A246,'QA Log'!M:M,"Data Verification",'QA Log'!L:L,"*Consumable (section 3)*"),
COUNTIFS('QA Log'!D:D,A246,'QA Log'!M:M,"Data Verification",'QA Log'!L:L,"*Equipments (section 4)*")
))</f>
        <v/>
      </c>
      <c r="AO246" s="102" t="str">
        <f>IF(A246="","",
SUM(
COUNTIFS('QA Log'!D:D,A246,'QA Log'!M:M,"Data Verification",'QA Log'!Z:Z,"Approved",'QA Log'!L:L,"*Personnel (section 1)*"),
COUNTIFS('QA Log'!D:D,A246,'QA Log'!M:M,"Data Verification",'QA Log'!Z:Z,"Approved",'QA Log'!L:L,"*Consumable (section 3)*"),
COUNTIFS('QA Log'!D:D,A246,'QA Log'!M:M,"Data Verification",'QA Log'!Z:Z,"Approved",'QA Log'!L:L,"*Equipments (section 4)*")
))</f>
        <v/>
      </c>
      <c r="AP246" s="105" t="str">
        <f>IF(A246&lt;&gt;"",COUNTIFS('QA Log'!D:D,A246,'QA Log'!M:M,"Data Verification",'QA Log'!L:L,"Personnel (section 1)",'QA Log'!Z:Z,"Approved"),"")</f>
        <v/>
      </c>
      <c r="AQ246" s="105" t="str">
        <f>IF(A246&lt;&gt;"",COUNTIFS('QA Log'!D:D,A246,'QA Log'!M:M,"Data Verification",'QA Log'!L:L,"Consumable (section 3)",'QA Log'!Z:Z,"Approved"),"")</f>
        <v/>
      </c>
      <c r="AR246" s="105" t="str">
        <f>IF(A246&lt;&gt;"",COUNTIFS('QA Log'!D:D,A246,'QA Log'!M:M,"Data Verification",'QA Log'!L:L,"Equipments (section 4)",'QA Log'!Z:Z,"Approved"),"")</f>
        <v/>
      </c>
      <c r="AS246" s="102" t="str">
        <f>IF(A246="","",
SUM(
COUNTIFS('QA Log'!D:D,A246,'QA Log'!M:M,"Data Verification",'QA Log'!Z:Z,"Rejected",'QA Log'!L:L,"*Personnel (section 1)*"),
COUNTIFS('QA Log'!D:D,A246,'QA Log'!M:M,"Data Verification",'QA Log'!Z:Z,"Rejected",'QA Log'!L:L,"*Consumable (section 3)*"),
COUNTIFS('QA Log'!D:D,A246,'QA Log'!M:M,"Data Verification",'QA Log'!Z:Z,"Rejected",'QA Log'!L:L,"*Equipments (section 4)*")
))</f>
        <v/>
      </c>
      <c r="AT246" s="102" t="str">
        <f t="shared" si="7"/>
        <v/>
      </c>
      <c r="AU246" s="103" t="str">
        <f t="shared" si="8"/>
        <v/>
      </c>
      <c r="AV246" s="102" t="str">
        <f>IF(A246="","",SUM(
COUNTIFS('QA Log'!D:D,A246,'QA Log'!M:M,"Vignette",'QA Log'!L:L,"*Vignette [1] Respiratory Infection: Pneumonia*"),
COUNTIFS('QA Log'!D:D,A246,'QA Log'!M:M,"Vignette",'QA Log'!L:L,"*Vignette [2]: Diarrhea with Cat B dehydration*"),
COUNTIFS('QA Log'!D:D,A246,'QA Log'!M:M,"Vignette",'QA Log'!L:L,"*Vignette [3] Growth Monitoring and Promotion*"),
COUNTIFS('QA Log'!D:D,A246,'QA Log'!M:M,"Vignette",'QA Log'!L:L,"*Vignette [4]: The management of presumptive TB patient*")
)
)</f>
        <v/>
      </c>
      <c r="AW246" s="102" t="str">
        <f>IF(
  A246="","",
  SUM(
    COUNTIFS('QA Log'!D:D,A246,'QA Log'!M:M,"Vignette",'QA Log'!Z:Z,"Approved",'QA Log'!L:L,"*Vignette [1] Respiratory Infection: Pneumonia*"),
    COUNTIFS('QA Log'!D:D,A246,'QA Log'!M:M,"Vignette",'QA Log'!Z:Z,"Approved",'QA Log'!L:L,"*Vignette [2]: Diarrhea with Cat B dehydration*"),
    COUNTIFS('QA Log'!D:D,A246,'QA Log'!M:M,"Vignette",'QA Log'!Z:Z,"Approved",'QA Log'!L:L,"*Vignette [3] Growth Monitoring and Promotion*"),
    COUNTIFS('QA Log'!D:D,A246,'QA Log'!M:M,"Vignette",'QA Log'!Z:Z,"Approved",'QA Log'!L:L,"*Vignette [4]: The management of presumptive TB patient*")
  )
)</f>
        <v/>
      </c>
      <c r="AX246" s="105" t="str">
        <f>IF(A246&lt;&gt;"",COUNTIFS('QA Log'!D:D,A246,'QA Log'!M:M,"Vignette",'QA Log'!L:L,"Vignette [1] Respiratory Infection: Pneumonia",'QA Log'!Z:Z,"Approved"),"")</f>
        <v/>
      </c>
      <c r="AY246" s="105" t="str">
        <f>IF(A246&lt;&gt;"",COUNTIFS('QA Log'!D:D,A246,'QA Log'!M:M,"Vignette",'QA Log'!L:L,"Vignette [2]: Diarrhea with Cat B dehydration",'QA Log'!Z:Z,"Approved"),"")</f>
        <v/>
      </c>
      <c r="AZ246" s="105" t="str">
        <f>IF(A246&lt;&gt;"",COUNTIFS('QA Log'!D:D,A246,'QA Log'!M:M,"Vignette",'QA Log'!L:L,"Vignette [3] Growth Monitoring and Promotion",'QA Log'!Z:Z,"Approved"),"")</f>
        <v/>
      </c>
      <c r="BA246" s="105" t="str">
        <f>IF(A246&lt;&gt;"",COUNTIFS('QA Log'!D:D,A246,'QA Log'!M:M,"Vignette",'QA Log'!L:L,"Vignette [4]: The management of presumptive TB patient",'QA Log'!Z:Z,"Approved"),"")</f>
        <v/>
      </c>
      <c r="BB246" s="102" t="str">
        <f>IF(A246="","",
  SUM(
    COUNTIFS('QA Log'!D:D,A246,'QA Log'!M:M,"Vignette",'QA Log'!Z:Z,"Rejected",'QA Log'!L:L,"*Vignette [1] Respiratory Infection: Pneumonia*"),
    COUNTIFS('QA Log'!D:D,A246,'QA Log'!M:M,"Vignette",'QA Log'!Z:Z,"Rejected",'QA Log'!L:L,"*Vignette [2]: Diarrhea with Cat B dehydration*"),
    COUNTIFS('QA Log'!D:D,A246,'QA Log'!M:M,"Vignette",'QA Log'!Z:Z,"Rejected",'QA Log'!L:L,"*Vignette [3] Growth Monitoring and Promotion*"),
    COUNTIFS('QA Log'!D:D,A246,'QA Log'!M:M,"Vignette",'QA Log'!Z:Z,"Rejected",'QA Log'!L:L,"*Vignette [4]: The management of presumptive TB patient*")
  )
)</f>
        <v/>
      </c>
      <c r="BC246" s="107" t="str">
        <f t="shared" si="9"/>
        <v/>
      </c>
      <c r="BD246" s="103" t="str">
        <f t="shared" si="10"/>
        <v/>
      </c>
      <c r="BE246" s="102" t="str">
        <f>IF(A246="","",SUM(
COUNTIFS('QA Log'!D:D,A246,'QA Log'!M:M,"Vignette",'QA Log'!L:L,"*Vignette [5] Labor*"),
COUNTIFS('QA Log'!D:D,A246,'QA Log'!M:M,"Vignette",'QA Log'!L:L,"*Vignette [6] PNC pre Discharge*"),
COUNTIFS('QA Log'!D:D,A246,'QA Log'!M:M,"Vignette",'QA Log'!L:L,"*Vignette [7] First ANC Visit*"),
COUNTIFS('QA Log'!D:D,A246,'QA Log'!M:M,"Vignette",'QA Log'!L:L,"*Vignette [8] Birth Spacing/ Family Planning :  FP Counselling*"),
COUNTIFS('QA Log'!D:D,A246,'QA Log'!M:M,"Vignette",'QA Log'!L:L,"*Vignette [9] Birth Spacing: Change FP method to Injectable*"),
COUNTIFS('QA Log'!D:D,A246,'QA Log'!M:M,"Vignette",'QA Log'!L:L,"*Vignette [10] Post Partum Haemorrhage - Atonic Uterus at Health Centre*"),
)
)</f>
        <v/>
      </c>
      <c r="BF246" s="102" t="str">
        <f>IF(A246="","",
  SUM(
    COUNTIFS('QA Log'!D:D,A246,'QA Log'!M:M,"Vignette",'QA Log'!Z:Z,"Approved",'QA Log'!L:L,"*Vignette [5] Labor*"),
    COUNTIFS('QA Log'!D:D,A246,'QA Log'!M:M,"Vignette",'QA Log'!Z:Z,"Approved",'QA Log'!L:L,"*Vignette [6] PNC pre Discharge*"),
    COUNTIFS('QA Log'!D:D,A246,'QA Log'!M:M,"Vignette",'QA Log'!Z:Z,"Approved",'QA Log'!L:L,"*Vignette [7] First ANC Visit*"),
    COUNTIFS('QA Log'!D:D,A246,'QA Log'!M:M,"Vignette",'QA Log'!Z:Z,"Approved",'QA Log'!L:L,"*Vignette [8] Birth Spacing/ Family Planning :  FP Counselling*"),
    COUNTIFS('QA Log'!D:D,A246,'QA Log'!M:M,"Vignette",'QA Log'!Z:Z,"Approved",'QA Log'!L:L,"*Vignette [9] Birth Spacing: Change FP method to Injectable*"),
    COUNTIFS('QA Log'!D:D,A246,'QA Log'!M:M,"Vignette",'QA Log'!Z:Z,"Approved",'QA Log'!L:L,"*Vignette [10] Post Partum Haemorrhage - Atonic Uterus at Health Centre*")
  )
)</f>
        <v/>
      </c>
      <c r="BG246" s="105" t="str">
        <f>IF(A246&lt;&gt;"",COUNTIFS('QA Log'!D:D,A246,'QA Log'!M:M,"Vignette",'QA Log'!L:L,"Vignette [5] Labor",'QA Log'!Z:Z,"Approved"),"")</f>
        <v/>
      </c>
      <c r="BH246" s="105" t="str">
        <f>IF(A246&lt;&gt;"",COUNTIFS('QA Log'!D:D,A246,'QA Log'!M:M,"Vignette",'QA Log'!L:L,"Vignette [6] PNC pre Discharge",'QA Log'!Z:Z,"Approved"),"")</f>
        <v/>
      </c>
      <c r="BI246" s="105" t="str">
        <f>IF(A246&lt;&gt;"",COUNTIFS('QA Log'!D:D,A246,'QA Log'!M:M,"Vignette",'QA Log'!L:L,"Vignette [7] First ANC Visit",'QA Log'!Z:Z,"Approved"),"")</f>
        <v/>
      </c>
      <c r="BJ246" s="105" t="str">
        <f>IF(A246&lt;&gt;"",COUNTIFS('QA Log'!D:D,A246,'QA Log'!M:M,"Vignette",'QA Log'!L:L,"Vignette [8] Birth Spacing/ Family Planning :  FP Counselling",'QA Log'!Z:Z,"Approved"),"")</f>
        <v/>
      </c>
      <c r="BK246" s="105" t="str">
        <f>IF(A246&lt;&gt;"",COUNTIFS('QA Log'!D:D,A246,'QA Log'!M:M,"Vignette",'QA Log'!L:L,"Vignette [9] Birth Spacing: Change FP method to Injectable",'QA Log'!Z:Z,"Approved"),"")</f>
        <v/>
      </c>
      <c r="BL246" s="105" t="str">
        <f>IF(A246&lt;&gt;"",COUNTIFS('QA Log'!D:D,A246,'QA Log'!M:M,"Vignette",'QA Log'!L:L,"Vignette [10] Post Partum Haemorrhage - Atonic Uterus at Health Centre",'QA Log'!Z:Z,"Approved"),"")</f>
        <v/>
      </c>
      <c r="BM246" s="102" t="str">
        <f>IF(A246="","",SUM(
    COUNTIFS('QA Log'!D:D,A246,'QA Log'!M:M,"Vignette",'QA Log'!Z:Z,"Rejected",'QA Log'!L:L,"*Vignette [5] Labor*"),
    COUNTIFS('QA Log'!D:D,A246,'QA Log'!M:M,"Vignette",'QA Log'!Z:Z,"Rejected",'QA Log'!L:L,"*Vignette [6] PNC pre Discharge*"),
    COUNTIFS('QA Log'!D:D,A246,'QA Log'!M:M,"Vignette",'QA Log'!Z:Z,"Rejected",'QA Log'!L:L,"*Vignette [7] First ANC Visit*"),
    COUNTIFS('QA Log'!D:D,A246,'QA Log'!M:M,"Vignette",'QA Log'!Z:Z,"Rejected",'QA Log'!L:L,"*Vignette [8] Birth Spacing/ Family Planning :  FP Counselling*"),
    COUNTIFS('QA Log'!D:D,A246,'QA Log'!M:M,"Vignette",'QA Log'!Z:Z,"Rejected",'QA Log'!L:L,"*Vignette [9] Birth Spacing: Change FP method to Injectable*"),
    COUNTIFS('QA Log'!D:D,A246,'QA Log'!M:M,"Vignette",'QA Log'!Z:Z,"Rejected",'QA Log'!L:L,"*Vignette [10] Post Partum Haemorrhage - Atonic Uterus at Health Centre*")
  )
)</f>
        <v/>
      </c>
      <c r="BN246" s="107" t="str">
        <f t="shared" si="11"/>
        <v/>
      </c>
      <c r="BO246" s="103" t="str">
        <f t="shared" si="12"/>
        <v/>
      </c>
      <c r="BP246" s="102" t="str">
        <f>IF(A246="","",SUM(
COUNTIFS('QA Log'!D:D,A246,'QA Log'!M:M,"Vignette",'QA Log'!L:L,"*Exit Interview 1*"),
COUNTIFS('QA Log'!D:D,A246,'QA Log'!M:M,"Vignette",'QA Log'!L:L,"*Exit Interview 2*"),
)
)</f>
        <v/>
      </c>
      <c r="BQ246" s="102" t="str">
        <f>IF(
  A246="","",
  SUM(
    COUNTIFS('QA Log'!D:D,A246,'QA Log'!M:M,"Vignette",'QA Log'!Z:Z,"Approved",'QA Log'!L:L,"*Exit Interview 1*"),
    COUNTIFS('QA Log'!D:D,A246,'QA Log'!M:M,"Vignette",'QA Log'!Z:Z,"Approved",'QA Log'!L:L,"*Exit Interview 2*")
  )
)</f>
        <v/>
      </c>
      <c r="BR246" s="105" t="str">
        <f>IF(A246&lt;&gt;"",COUNTIFS('QA Log'!D:D,A246,'QA Log'!M:M,"Vignette",'QA Log'!L:L,"Exit Interview 1",'QA Log'!Z:Z,"Approved"),"")</f>
        <v/>
      </c>
      <c r="BS246" s="105" t="str">
        <f>IF(A246&lt;&gt;"",COUNTIFS('QA Log'!D:D,A246,'QA Log'!M:M,"Vignette",'QA Log'!L:L,"Exit Interview 2",'QA Log'!Z:Z,"Approved"),"")</f>
        <v/>
      </c>
      <c r="BT246" s="102" t="str">
        <f>IF(
  A246="","",
  SUM(
    COUNTIFS('QA Log'!D:D,A246,'QA Log'!M:M,"Vignette",'QA Log'!Z:Z,"Rejected",'QA Log'!L:L,"*Exit Interview 1*"),
    COUNTIFS('QA Log'!D:D,A246,'QA Log'!M:M,"Vignette",'QA Log'!Z:Z,"Rejected",'QA Log'!L:L,"*Exit Interview 2*")
  )
)</f>
        <v/>
      </c>
      <c r="BU246" s="107" t="str">
        <f t="shared" si="13"/>
        <v/>
      </c>
      <c r="BV246" s="102" t="str">
        <f t="shared" si="14"/>
        <v/>
      </c>
      <c r="BW246" s="102" t="str">
        <f t="shared" si="15"/>
        <v/>
      </c>
      <c r="BX246" s="102" t="str">
        <f t="shared" si="16"/>
        <v/>
      </c>
      <c r="BY246" s="102" t="str">
        <f t="shared" si="17"/>
        <v/>
      </c>
      <c r="BZ246" s="107" t="str">
        <f t="shared" si="18"/>
        <v/>
      </c>
      <c r="CA246" s="108" t="str">
        <f t="shared" si="19"/>
        <v/>
      </c>
      <c r="CB246" s="108" t="str">
        <f t="shared" si="20"/>
        <v/>
      </c>
      <c r="CC246" s="109" t="str">
        <f t="shared" si="21"/>
        <v/>
      </c>
      <c r="CD246" s="108" t="str">
        <f t="shared" si="22"/>
        <v/>
      </c>
      <c r="CE246" s="108" t="str">
        <f t="shared" si="23"/>
        <v/>
      </c>
      <c r="CF246" s="109" t="str">
        <f t="shared" si="24"/>
        <v/>
      </c>
      <c r="CG246" s="110" t="str">
        <f t="shared" si="25"/>
        <v/>
      </c>
      <c r="CH246" s="111"/>
    </row>
    <row r="247" spans="1:86" ht="12.75">
      <c r="A247" s="101"/>
      <c r="B247" s="102" t="e">
        <f t="array" aca="1" ref="B247" ca="1">_xludf.XLOOKUP(A247,'QA Log'!D:D,'QA Log'!E:E,"")</f>
        <v>#NAME?</v>
      </c>
      <c r="C247" s="102" t="e">
        <f t="array" aca="1" ref="C247" ca="1">_xludf.XLOOKUP(A247,'QA Log'!D:D,'QA Log'!F:F,"")</f>
        <v>#NAME?</v>
      </c>
      <c r="D247" s="102" t="e">
        <f t="array" aca="1" ref="D247" ca="1">_xludf.XLOOKUP(A247,'QA Log'!D:D,'QA Log'!H:H,"")</f>
        <v>#NAME?</v>
      </c>
      <c r="E247" s="102" t="e">
        <f t="array" aca="1" ref="E247" ca="1">_xludf.XLOOKUP(A247,'QA Log'!D:D,'QA Log'!G:G,"")</f>
        <v>#NAME?</v>
      </c>
      <c r="F247" s="103"/>
      <c r="G247" s="104"/>
      <c r="H247" s="104"/>
      <c r="I247" s="103" t="str">
        <f t="shared" si="0"/>
        <v/>
      </c>
      <c r="J247" s="102" t="str">
        <f>IF(A247="","",SUM(
COUNTIFS('QA Log'!D:D,A247,'QA Log'!M:M,"QQC",'QA Log'!L:L,"*1. General Management*"),
COUNTIFS('QA Log'!D:D,A247,'QA Log'!M:M,"QQC",'QA Log'!L:L,"*3. Curative Consultation (OPD)*"),
COUNTIFS('QA Log'!D:D,A247,'QA Log'!M:M,"QQC",'QA Log'!L:L,"*5. Laboratory*"),
COUNTIFS('QA Log'!D:D,A247,'QA Log'!M:M,"QQC",'QA Log'!L:L,"*6. Essential Medicine Management*"),
COUNTIFS('QA Log'!D:D,A247,'QA Log'!M:M,"QQC",'QA Log'!L:L,"*7. Tracer Medicine*"),
COUNTIFS('QA Log'!D:D,A247,'QA Log'!M:M,"QQC",'QA Log'!L:L,"*11. Additional Questions*")))</f>
        <v/>
      </c>
      <c r="K247" s="102" t="str">
        <f>IF(A247="","",SUM(
COUNTIFS('QA Log'!D:D,A247,'QA Log'!M:M,"QQC",'QA Log'!Z:Z,"Approved",'QA Log'!L:L,"*1. General Management*"),
COUNTIFS('QA Log'!D:D,A247,'QA Log'!M:M,"QQC",'QA Log'!Z:Z,"Approved",'QA Log'!L:L,"*3. Curative Consultation (OPD)*"),
COUNTIFS('QA Log'!D:D,A247,'QA Log'!M:M,"QQC",'QA Log'!Z:Z,"Approved",'QA Log'!L:L,"*5. Laboratory*"),
COUNTIFS('QA Log'!D:D,A247,'QA Log'!M:M,"QQC",'QA Log'!Z:Z,"Approved",'QA Log'!L:L,"*6. Essential Medicine Management*"),
COUNTIFS('QA Log'!D:D,A247,'QA Log'!M:M,"QQC",'QA Log'!Z:Z,"Approved",'QA Log'!L:L,"*7. Tracer Medicine*"),
COUNTIFS('QA Log'!D:D,A247,'QA Log'!M:M,"QQC",'QA Log'!Z:Z,"Approved",'QA Log'!L:L,"*11. Additional Questions*")))</f>
        <v/>
      </c>
      <c r="L247" s="105" t="str">
        <f>IF(A247&lt;&gt;"",COUNTIFS('QA Log'!D:D,A247,'QA Log'!M:M,"QQC",'QA Log'!L:L,"1. General Management",'QA Log'!Z:Z,"Approved"),"")</f>
        <v/>
      </c>
      <c r="M247" s="105" t="str">
        <f>IF(A247&lt;&gt;"",COUNTIFS('QA Log'!D:D,A247,'QA Log'!M:M,"QQC",'QA Log'!L:L,"3. Curative Consultation (OPD)",'QA Log'!Z:Z,"Approved"),"")</f>
        <v/>
      </c>
      <c r="N247" s="105" t="str">
        <f>IF(A247&lt;&gt;"",COUNTIFS('QA Log'!D:D,A247,'QA Log'!M:M,"QQC",'QA Log'!L:L,"5. Laboratory",'QA Log'!Z:Z,"Approved"),"")</f>
        <v/>
      </c>
      <c r="O247" s="105" t="str">
        <f>IF(A247&lt;&gt;"",COUNTIFS('QA Log'!D:D,A247,'QA Log'!M:M,"QQC",'QA Log'!L:L,"6. Essential Medicine Management",'QA Log'!Z:Z,"Approved"),"")</f>
        <v/>
      </c>
      <c r="P247" s="105" t="str">
        <f>IF(A247&lt;&gt;"",COUNTIFS('QA Log'!D:D,A247,'QA Log'!M:M,"QQC",'QA Log'!L:L,"7. Tracer Medicine",'QA Log'!Z:Z,"Approved"),"")</f>
        <v/>
      </c>
      <c r="Q247" s="105" t="str">
        <f>IF(A247&lt;&gt;"",COUNTIFS('QA Log'!D:D,A247,'QA Log'!M:M,"QQC",'QA Log'!L:L,"11. Additional Questions",'QA Log'!Z:Z,"Approved"),"")</f>
        <v/>
      </c>
      <c r="R247" s="102" t="str">
        <f>IF(A247="","",SUM(
COUNTIFS('QA Log'!D:D,A247,'QA Log'!M:M,"QQC",'QA Log'!Z:Z,"Rejected",'QA Log'!L:L,"*8. Maternity*"),
COUNTIFS('QA Log'!D:D,A247,'QA Log'!M:M,"QQC",'QA Log'!Z:Z,"Rejected",'QA Log'!L:L,"*EPI*"),
COUNTIFS('QA Log'!D:D,A247,'QA Log'!M:M,"QQC",'QA Log'!Z:Z,"Rejected",'QA Log'!L:L,"*10. Antenatal Care (ANC)*"),
COUNTIFS('QA Log'!D:D,A247,'QA Log'!M:M,"QQC",'QA Log'!Z:Z,"Rejected",'QA Log'!L:L,"*2. Hygiene and Sterilization*"),
COUNTIFS('QA Log'!D:D,A247,'QA Log'!M:M,"QQC",'QA Log'!Z:Z,"Rejected",'QA Log'!L:L,"*Family Planning*")))</f>
        <v/>
      </c>
      <c r="S247" s="106" t="str">
        <f t="shared" si="1"/>
        <v/>
      </c>
      <c r="T247" s="102" t="str">
        <f t="shared" si="2"/>
        <v/>
      </c>
      <c r="U247" s="102" t="str">
        <f>IF(A247="","",
SUM(
COUNTIFS('QA Log'!D:D,A247,'QA Log'!M:M,"QQC",'QA Log'!L:L,"*8. Maternity*"),
COUNTIFS('QA Log'!D:D,A247,'QA Log'!M:M,"QQC",'QA Log'!L:L,"*9. EPI and Pre-school Consultation*"),
COUNTIFS('QA Log'!D:D,A247,'QA Log'!M:M,"QQC",'QA Log'!L:L,"*10. Antenatal Care (ANC)*"),
COUNTIFS('QA Log'!D:D,A247,'QA Log'!M:M,"QQC",'QA Log'!L:L,"*2. Hygiene and Sterilization*"),
COUNTIFS('QA Log'!D:D,A247,'QA Log'!M:M,"QQC",'QA Log'!L:L,"*4. Family Planning*")
))</f>
        <v/>
      </c>
      <c r="V247" s="102" t="str">
        <f>IF(A247="","",
SUM(
COUNTIFS('QA Log'!D:D,A247,'QA Log'!M:M,"QQC",'QA Log'!Z:Z,"Approved",'QA Log'!L:L,"*8. Maternity*"),
COUNTIFS('QA Log'!D:D,A247,'QA Log'!M:M,"QQC",'QA Log'!Z:Z,"Approved",'QA Log'!L:L,"*9. EPI and Pre-school Consultation*"),
COUNTIFS('QA Log'!D:D,A247,'QA Log'!M:M,"QQC",'QA Log'!Z:Z,"Approved",'QA Log'!L:L,"*10. Antenatal Care (ANC)*"),
COUNTIFS('QA Log'!D:D,A247,'QA Log'!M:M,"QQC",'QA Log'!Z:Z,"Approved",'QA Log'!L:L,"*2. Hygiene and Sterilization*"),
COUNTIFS('QA Log'!D:D,A247,'QA Log'!M:M,"QQC",'QA Log'!Z:Z,"Approved",'QA Log'!L:L,"*4. Family Planning*")
))</f>
        <v/>
      </c>
      <c r="W247" s="105" t="str">
        <f>IF(A247&lt;&gt;"",COUNTIFS('QA Log'!D:D,A247,'QA Log'!M:M,"QQC",'QA Log'!L:L,"8. Maternity",'QA Log'!Z:Z,"Approved"),"")</f>
        <v/>
      </c>
      <c r="X247" s="105" t="str">
        <f>IF(A247&lt;&gt;"",COUNTIFS('QA Log'!D:D,A247,'QA Log'!M:M,"QQC",'QA Log'!L:L,"9. EPI and Pre-school Consultation",'QA Log'!Z:Z,"Approved"),"")</f>
        <v/>
      </c>
      <c r="Y247" s="105" t="str">
        <f>IF(A247&lt;&gt;"",COUNTIFS('QA Log'!D:D,A247,'QA Log'!M:M,"QQC",'QA Log'!L:L,"10. Antenatal Care (ANC)",'QA Log'!Z:Z,"Approved"),"")</f>
        <v/>
      </c>
      <c r="Z247" s="105" t="str">
        <f>IF(A247&lt;&gt;"",COUNTIFS('QA Log'!D:D,A247,'QA Log'!M:M,"QQC",'QA Log'!L:L,"2. Hygiene and Sterilization",'QA Log'!Z:Z,"Approved"),"")</f>
        <v/>
      </c>
      <c r="AA247" s="105" t="str">
        <f>IF(A247&lt;&gt;"",COUNTIFS('QA Log'!D:D,A247,'QA Log'!M:M,"QQC",'QA Log'!L:L,"4. Family Planning",'QA Log'!Z:Z,"Approved"),"")</f>
        <v/>
      </c>
      <c r="AB247" s="102" t="str">
        <f>IF(A247="","",
SUM(
COUNTIFS('QA Log'!D:D,A247,'QA Log'!M:M,"QQC",'QA Log'!Z:Z,"Rejected",'QA Log'!L:L,"*8. Maternity*"),
COUNTIFS('QA Log'!D:D,A247,'QA Log'!M:M,"QQC",'QA Log'!Z:Z,"Rejected",'QA Log'!L:L,"*9. EPI and Pre-school Consultation*"),
COUNTIFS('QA Log'!D:D,A247,'QA Log'!M:M,"QQC",'QA Log'!Z:Z,"Rejected",'QA Log'!L:L,"*10. Antenatal Care (ANC)*"),
COUNTIFS('QA Log'!D:D,A247,'QA Log'!M:M,"QQC",'QA Log'!Z:Z,"Rejected",'QA Log'!L:L,"*2. Hygiene and Sterilization*"),
COUNTIFS('QA Log'!D:D,A247,'QA Log'!M:M,"QQC",'QA Log'!Z:Z,"Rejected",'QA Log'!L:L,"*4. Family Planning*")
))</f>
        <v/>
      </c>
      <c r="AC247" s="102" t="str">
        <f t="shared" si="3"/>
        <v/>
      </c>
      <c r="AD247" s="103" t="str">
        <f t="shared" si="4"/>
        <v/>
      </c>
      <c r="AE247" s="102" t="str">
        <f>IF(A247="","",
SUM(
COUNTIFS('QA Log'!D:D,A247,'QA Log'!M:M,"Data Verification",'QA Log'!L:L,"*Medicine (section 2)*"),
COUNTIFS('QA Log'!D:D,A247,'QA Log'!M:M,"Data Verification",'QA Log'!L:L,"*Lab Testing Availability*"),
COUNTIFS('QA Log'!D:D,A247,'QA Log'!M:M,"Data Verification",'QA Log'!L:L,"*Other than P4P (section 6)*"),
COUNTIFS('QA Log'!D:D,A247,'QA Log'!M:M,"Data Verification",'QA Log'!L:L,"*Hospital Governance*")
))</f>
        <v/>
      </c>
      <c r="AF247" s="102" t="str">
        <f>IF(A247="","",
SUM(
COUNTIFS('QA Log'!D:D,A247,'QA Log'!M:M,"Data Verification",'QA Log'!Z:Z,"Approved",'QA Log'!L:L,"*Medicine (section 2)*"),
COUNTIFS('QA Log'!D:D,A247,'QA Log'!M:M,"Data Verification",'QA Log'!Z:Z,"Approved",'QA Log'!L:L,"*Lab Testing Availability*"),
COUNTIFS('QA Log'!D:D,A247,'QA Log'!M:M,"Data Verification",'QA Log'!Z:Z,"Approved",'QA Log'!L:L,"*Other than P4P (section 6)*"),
COUNTIFS('QA Log'!D:D,A247,'QA Log'!M:M,"Data Verification",'QA Log'!Z:Z,"Approved",'QA Log'!L:L,"*Hospital Governance*")
))</f>
        <v/>
      </c>
      <c r="AG247" s="105" t="str">
        <f>IF(A247&lt;&gt;"",COUNTIFS('QA Log'!D:D,A247,'QA Log'!M:M,"Data Verification",'QA Log'!L:L,"Medicine (section 2)",'QA Log'!Z:Z,"Approved"),"")</f>
        <v/>
      </c>
      <c r="AH247" s="105" t="str">
        <f>IF(A247&lt;&gt;"",COUNTIFS('QA Log'!D:D,A247,'QA Log'!M:M,"Data Verification",'QA Log'!L:L,"Lab Testing Availability",'QA Log'!Z:Z,"Approved"),"")</f>
        <v/>
      </c>
      <c r="AI247" s="105" t="str">
        <f>IF(A247&lt;&gt;"",COUNTIFS('QA Log'!D:D,A247,'QA Log'!M:M,"Data Verification",'QA Log'!L:L,"Other than P4P (section 6)",'QA Log'!Z:Z,"Approved"),"")</f>
        <v/>
      </c>
      <c r="AJ247" s="105" t="str">
        <f>IF(A247&lt;&gt;"",COUNTIFS('QA Log'!D:D,A247,'QA Log'!M:M,"Data Verification",'QA Log'!L:L,"Hospital Governance",'QA Log'!Z:Z,"Approved"),"")</f>
        <v/>
      </c>
      <c r="AK247" s="102" t="str">
        <f>IF(A247="","",
SUM(
COUNTIFS('QA Log'!D:D,A247,'QA Log'!M:M,"Data Verification",'QA Log'!Z:Z,"Rejected",'QA Log'!L:L,"*Medicine (section 2)*"),
COUNTIFS('QA Log'!D:D,A247,'QA Log'!M:M,"Data Verification",'QA Log'!Z:Z,"Rejected",'QA Log'!L:L,"*Lab Testing Availability*"),
COUNTIFS('QA Log'!D:D,A247,'QA Log'!M:M,"Data Verification",'QA Log'!Z:Z,"Rejected",'QA Log'!L:L,"*Other than P4P (section 6)*"),
COUNTIFS('QA Log'!D:D,A247,'QA Log'!M:M,"Data Verification",'QA Log'!Z:Z,"Rejected",'QA Log'!L:L,"*Hospital Governance*")
))</f>
        <v/>
      </c>
      <c r="AL247" s="106" t="str">
        <f t="shared" si="5"/>
        <v/>
      </c>
      <c r="AM247" s="102" t="str">
        <f t="shared" si="6"/>
        <v/>
      </c>
      <c r="AN247" s="102" t="str">
        <f>IF(A247="","",
SUM(
COUNTIFS('QA Log'!D:D,A247,'QA Log'!M:M,"Data Verification",'QA Log'!L:L,"*Personnel (section 1)*"),
COUNTIFS('QA Log'!D:D,A247,'QA Log'!M:M,"Data Verification",'QA Log'!L:L,"*Consumable (section 3)*"),
COUNTIFS('QA Log'!D:D,A247,'QA Log'!M:M,"Data Verification",'QA Log'!L:L,"*Equipments (section 4)*")
))</f>
        <v/>
      </c>
      <c r="AO247" s="102" t="str">
        <f>IF(A247="","",
SUM(
COUNTIFS('QA Log'!D:D,A247,'QA Log'!M:M,"Data Verification",'QA Log'!Z:Z,"Approved",'QA Log'!L:L,"*Personnel (section 1)*"),
COUNTIFS('QA Log'!D:D,A247,'QA Log'!M:M,"Data Verification",'QA Log'!Z:Z,"Approved",'QA Log'!L:L,"*Consumable (section 3)*"),
COUNTIFS('QA Log'!D:D,A247,'QA Log'!M:M,"Data Verification",'QA Log'!Z:Z,"Approved",'QA Log'!L:L,"*Equipments (section 4)*")
))</f>
        <v/>
      </c>
      <c r="AP247" s="105" t="str">
        <f>IF(A247&lt;&gt;"",COUNTIFS('QA Log'!D:D,A247,'QA Log'!M:M,"Data Verification",'QA Log'!L:L,"Personnel (section 1)",'QA Log'!Z:Z,"Approved"),"")</f>
        <v/>
      </c>
      <c r="AQ247" s="105" t="str">
        <f>IF(A247&lt;&gt;"",COUNTIFS('QA Log'!D:D,A247,'QA Log'!M:M,"Data Verification",'QA Log'!L:L,"Consumable (section 3)",'QA Log'!Z:Z,"Approved"),"")</f>
        <v/>
      </c>
      <c r="AR247" s="105" t="str">
        <f>IF(A247&lt;&gt;"",COUNTIFS('QA Log'!D:D,A247,'QA Log'!M:M,"Data Verification",'QA Log'!L:L,"Equipments (section 4)",'QA Log'!Z:Z,"Approved"),"")</f>
        <v/>
      </c>
      <c r="AS247" s="102" t="str">
        <f>IF(A247="","",
SUM(
COUNTIFS('QA Log'!D:D,A247,'QA Log'!M:M,"Data Verification",'QA Log'!Z:Z,"Rejected",'QA Log'!L:L,"*Personnel (section 1)*"),
COUNTIFS('QA Log'!D:D,A247,'QA Log'!M:M,"Data Verification",'QA Log'!Z:Z,"Rejected",'QA Log'!L:L,"*Consumable (section 3)*"),
COUNTIFS('QA Log'!D:D,A247,'QA Log'!M:M,"Data Verification",'QA Log'!Z:Z,"Rejected",'QA Log'!L:L,"*Equipments (section 4)*")
))</f>
        <v/>
      </c>
      <c r="AT247" s="102" t="str">
        <f t="shared" si="7"/>
        <v/>
      </c>
      <c r="AU247" s="103" t="str">
        <f t="shared" si="8"/>
        <v/>
      </c>
      <c r="AV247" s="102" t="str">
        <f>IF(A247="","",SUM(
COUNTIFS('QA Log'!D:D,A247,'QA Log'!M:M,"Vignette",'QA Log'!L:L,"*Vignette [1] Respiratory Infection: Pneumonia*"),
COUNTIFS('QA Log'!D:D,A247,'QA Log'!M:M,"Vignette",'QA Log'!L:L,"*Vignette [2]: Diarrhea with Cat B dehydration*"),
COUNTIFS('QA Log'!D:D,A247,'QA Log'!M:M,"Vignette",'QA Log'!L:L,"*Vignette [3] Growth Monitoring and Promotion*"),
COUNTIFS('QA Log'!D:D,A247,'QA Log'!M:M,"Vignette",'QA Log'!L:L,"*Vignette [4]: The management of presumptive TB patient*")
)
)</f>
        <v/>
      </c>
      <c r="AW247" s="102" t="str">
        <f>IF(
  A247="","",
  SUM(
    COUNTIFS('QA Log'!D:D,A247,'QA Log'!M:M,"Vignette",'QA Log'!Z:Z,"Approved",'QA Log'!L:L,"*Vignette [1] Respiratory Infection: Pneumonia*"),
    COUNTIFS('QA Log'!D:D,A247,'QA Log'!M:M,"Vignette",'QA Log'!Z:Z,"Approved",'QA Log'!L:L,"*Vignette [2]: Diarrhea with Cat B dehydration*"),
    COUNTIFS('QA Log'!D:D,A247,'QA Log'!M:M,"Vignette",'QA Log'!Z:Z,"Approved",'QA Log'!L:L,"*Vignette [3] Growth Monitoring and Promotion*"),
    COUNTIFS('QA Log'!D:D,A247,'QA Log'!M:M,"Vignette",'QA Log'!Z:Z,"Approved",'QA Log'!L:L,"*Vignette [4]: The management of presumptive TB patient*")
  )
)</f>
        <v/>
      </c>
      <c r="AX247" s="105" t="str">
        <f>IF(A247&lt;&gt;"",COUNTIFS('QA Log'!D:D,A247,'QA Log'!M:M,"Vignette",'QA Log'!L:L,"Vignette [1] Respiratory Infection: Pneumonia",'QA Log'!Z:Z,"Approved"),"")</f>
        <v/>
      </c>
      <c r="AY247" s="105" t="str">
        <f>IF(A247&lt;&gt;"",COUNTIFS('QA Log'!D:D,A247,'QA Log'!M:M,"Vignette",'QA Log'!L:L,"Vignette [2]: Diarrhea with Cat B dehydration",'QA Log'!Z:Z,"Approved"),"")</f>
        <v/>
      </c>
      <c r="AZ247" s="105" t="str">
        <f>IF(A247&lt;&gt;"",COUNTIFS('QA Log'!D:D,A247,'QA Log'!M:M,"Vignette",'QA Log'!L:L,"Vignette [3] Growth Monitoring and Promotion",'QA Log'!Z:Z,"Approved"),"")</f>
        <v/>
      </c>
      <c r="BA247" s="105" t="str">
        <f>IF(A247&lt;&gt;"",COUNTIFS('QA Log'!D:D,A247,'QA Log'!M:M,"Vignette",'QA Log'!L:L,"Vignette [4]: The management of presumptive TB patient",'QA Log'!Z:Z,"Approved"),"")</f>
        <v/>
      </c>
      <c r="BB247" s="102" t="str">
        <f>IF(A247="","",
  SUM(
    COUNTIFS('QA Log'!D:D,A247,'QA Log'!M:M,"Vignette",'QA Log'!Z:Z,"Rejected",'QA Log'!L:L,"*Vignette [1] Respiratory Infection: Pneumonia*"),
    COUNTIFS('QA Log'!D:D,A247,'QA Log'!M:M,"Vignette",'QA Log'!Z:Z,"Rejected",'QA Log'!L:L,"*Vignette [2]: Diarrhea with Cat B dehydration*"),
    COUNTIFS('QA Log'!D:D,A247,'QA Log'!M:M,"Vignette",'QA Log'!Z:Z,"Rejected",'QA Log'!L:L,"*Vignette [3] Growth Monitoring and Promotion*"),
    COUNTIFS('QA Log'!D:D,A247,'QA Log'!M:M,"Vignette",'QA Log'!Z:Z,"Rejected",'QA Log'!L:L,"*Vignette [4]: The management of presumptive TB patient*")
  )
)</f>
        <v/>
      </c>
      <c r="BC247" s="107" t="str">
        <f t="shared" si="9"/>
        <v/>
      </c>
      <c r="BD247" s="103" t="str">
        <f t="shared" si="10"/>
        <v/>
      </c>
      <c r="BE247" s="102" t="str">
        <f>IF(A247="","",SUM(
COUNTIFS('QA Log'!D:D,A247,'QA Log'!M:M,"Vignette",'QA Log'!L:L,"*Vignette [5] Labor*"),
COUNTIFS('QA Log'!D:D,A247,'QA Log'!M:M,"Vignette",'QA Log'!L:L,"*Vignette [6] PNC pre Discharge*"),
COUNTIFS('QA Log'!D:D,A247,'QA Log'!M:M,"Vignette",'QA Log'!L:L,"*Vignette [7] First ANC Visit*"),
COUNTIFS('QA Log'!D:D,A247,'QA Log'!M:M,"Vignette",'QA Log'!L:L,"*Vignette [8] Birth Spacing/ Family Planning :  FP Counselling*"),
COUNTIFS('QA Log'!D:D,A247,'QA Log'!M:M,"Vignette",'QA Log'!L:L,"*Vignette [9] Birth Spacing: Change FP method to Injectable*"),
COUNTIFS('QA Log'!D:D,A247,'QA Log'!M:M,"Vignette",'QA Log'!L:L,"*Vignette [10] Post Partum Haemorrhage - Atonic Uterus at Health Centre*"),
)
)</f>
        <v/>
      </c>
      <c r="BF247" s="102" t="str">
        <f>IF(A247="","",
  SUM(
    COUNTIFS('QA Log'!D:D,A247,'QA Log'!M:M,"Vignette",'QA Log'!Z:Z,"Approved",'QA Log'!L:L,"*Vignette [5] Labor*"),
    COUNTIFS('QA Log'!D:D,A247,'QA Log'!M:M,"Vignette",'QA Log'!Z:Z,"Approved",'QA Log'!L:L,"*Vignette [6] PNC pre Discharge*"),
    COUNTIFS('QA Log'!D:D,A247,'QA Log'!M:M,"Vignette",'QA Log'!Z:Z,"Approved",'QA Log'!L:L,"*Vignette [7] First ANC Visit*"),
    COUNTIFS('QA Log'!D:D,A247,'QA Log'!M:M,"Vignette",'QA Log'!Z:Z,"Approved",'QA Log'!L:L,"*Vignette [8] Birth Spacing/ Family Planning :  FP Counselling*"),
    COUNTIFS('QA Log'!D:D,A247,'QA Log'!M:M,"Vignette",'QA Log'!Z:Z,"Approved",'QA Log'!L:L,"*Vignette [9] Birth Spacing: Change FP method to Injectable*"),
    COUNTIFS('QA Log'!D:D,A247,'QA Log'!M:M,"Vignette",'QA Log'!Z:Z,"Approved",'QA Log'!L:L,"*Vignette [10] Post Partum Haemorrhage - Atonic Uterus at Health Centre*")
  )
)</f>
        <v/>
      </c>
      <c r="BG247" s="105" t="str">
        <f>IF(A247&lt;&gt;"",COUNTIFS('QA Log'!D:D,A247,'QA Log'!M:M,"Vignette",'QA Log'!L:L,"Vignette [5] Labor",'QA Log'!Z:Z,"Approved"),"")</f>
        <v/>
      </c>
      <c r="BH247" s="105" t="str">
        <f>IF(A247&lt;&gt;"",COUNTIFS('QA Log'!D:D,A247,'QA Log'!M:M,"Vignette",'QA Log'!L:L,"Vignette [6] PNC pre Discharge",'QA Log'!Z:Z,"Approved"),"")</f>
        <v/>
      </c>
      <c r="BI247" s="105" t="str">
        <f>IF(A247&lt;&gt;"",COUNTIFS('QA Log'!D:D,A247,'QA Log'!M:M,"Vignette",'QA Log'!L:L,"Vignette [7] First ANC Visit",'QA Log'!Z:Z,"Approved"),"")</f>
        <v/>
      </c>
      <c r="BJ247" s="105" t="str">
        <f>IF(A247&lt;&gt;"",COUNTIFS('QA Log'!D:D,A247,'QA Log'!M:M,"Vignette",'QA Log'!L:L,"Vignette [8] Birth Spacing/ Family Planning :  FP Counselling",'QA Log'!Z:Z,"Approved"),"")</f>
        <v/>
      </c>
      <c r="BK247" s="105" t="str">
        <f>IF(A247&lt;&gt;"",COUNTIFS('QA Log'!D:D,A247,'QA Log'!M:M,"Vignette",'QA Log'!L:L,"Vignette [9] Birth Spacing: Change FP method to Injectable",'QA Log'!Z:Z,"Approved"),"")</f>
        <v/>
      </c>
      <c r="BL247" s="105" t="str">
        <f>IF(A247&lt;&gt;"",COUNTIFS('QA Log'!D:D,A247,'QA Log'!M:M,"Vignette",'QA Log'!L:L,"Vignette [10] Post Partum Haemorrhage - Atonic Uterus at Health Centre",'QA Log'!Z:Z,"Approved"),"")</f>
        <v/>
      </c>
      <c r="BM247" s="102" t="str">
        <f>IF(A247="","",SUM(
    COUNTIFS('QA Log'!D:D,A247,'QA Log'!M:M,"Vignette",'QA Log'!Z:Z,"Rejected",'QA Log'!L:L,"*Vignette [5] Labor*"),
    COUNTIFS('QA Log'!D:D,A247,'QA Log'!M:M,"Vignette",'QA Log'!Z:Z,"Rejected",'QA Log'!L:L,"*Vignette [6] PNC pre Discharge*"),
    COUNTIFS('QA Log'!D:D,A247,'QA Log'!M:M,"Vignette",'QA Log'!Z:Z,"Rejected",'QA Log'!L:L,"*Vignette [7] First ANC Visit*"),
    COUNTIFS('QA Log'!D:D,A247,'QA Log'!M:M,"Vignette",'QA Log'!Z:Z,"Rejected",'QA Log'!L:L,"*Vignette [8] Birth Spacing/ Family Planning :  FP Counselling*"),
    COUNTIFS('QA Log'!D:D,A247,'QA Log'!M:M,"Vignette",'QA Log'!Z:Z,"Rejected",'QA Log'!L:L,"*Vignette [9] Birth Spacing: Change FP method to Injectable*"),
    COUNTIFS('QA Log'!D:D,A247,'QA Log'!M:M,"Vignette",'QA Log'!Z:Z,"Rejected",'QA Log'!L:L,"*Vignette [10] Post Partum Haemorrhage - Atonic Uterus at Health Centre*")
  )
)</f>
        <v/>
      </c>
      <c r="BN247" s="107" t="str">
        <f t="shared" si="11"/>
        <v/>
      </c>
      <c r="BO247" s="103" t="str">
        <f t="shared" si="12"/>
        <v/>
      </c>
      <c r="BP247" s="102" t="str">
        <f>IF(A247="","",SUM(
COUNTIFS('QA Log'!D:D,A247,'QA Log'!M:M,"Vignette",'QA Log'!L:L,"*Exit Interview 1*"),
COUNTIFS('QA Log'!D:D,A247,'QA Log'!M:M,"Vignette",'QA Log'!L:L,"*Exit Interview 2*"),
)
)</f>
        <v/>
      </c>
      <c r="BQ247" s="102" t="str">
        <f>IF(
  A247="","",
  SUM(
    COUNTIFS('QA Log'!D:D,A247,'QA Log'!M:M,"Vignette",'QA Log'!Z:Z,"Approved",'QA Log'!L:L,"*Exit Interview 1*"),
    COUNTIFS('QA Log'!D:D,A247,'QA Log'!M:M,"Vignette",'QA Log'!Z:Z,"Approved",'QA Log'!L:L,"*Exit Interview 2*")
  )
)</f>
        <v/>
      </c>
      <c r="BR247" s="105" t="str">
        <f>IF(A247&lt;&gt;"",COUNTIFS('QA Log'!D:D,A247,'QA Log'!M:M,"Vignette",'QA Log'!L:L,"Exit Interview 1",'QA Log'!Z:Z,"Approved"),"")</f>
        <v/>
      </c>
      <c r="BS247" s="105" t="str">
        <f>IF(A247&lt;&gt;"",COUNTIFS('QA Log'!D:D,A247,'QA Log'!M:M,"Vignette",'QA Log'!L:L,"Exit Interview 2",'QA Log'!Z:Z,"Approved"),"")</f>
        <v/>
      </c>
      <c r="BT247" s="102" t="str">
        <f>IF(
  A247="","",
  SUM(
    COUNTIFS('QA Log'!D:D,A247,'QA Log'!M:M,"Vignette",'QA Log'!Z:Z,"Rejected",'QA Log'!L:L,"*Exit Interview 1*"),
    COUNTIFS('QA Log'!D:D,A247,'QA Log'!M:M,"Vignette",'QA Log'!Z:Z,"Rejected",'QA Log'!L:L,"*Exit Interview 2*")
  )
)</f>
        <v/>
      </c>
      <c r="BU247" s="107" t="str">
        <f t="shared" si="13"/>
        <v/>
      </c>
      <c r="BV247" s="102" t="str">
        <f t="shared" si="14"/>
        <v/>
      </c>
      <c r="BW247" s="102" t="str">
        <f t="shared" si="15"/>
        <v/>
      </c>
      <c r="BX247" s="102" t="str">
        <f t="shared" si="16"/>
        <v/>
      </c>
      <c r="BY247" s="102" t="str">
        <f t="shared" si="17"/>
        <v/>
      </c>
      <c r="BZ247" s="107" t="str">
        <f t="shared" si="18"/>
        <v/>
      </c>
      <c r="CA247" s="108" t="str">
        <f t="shared" si="19"/>
        <v/>
      </c>
      <c r="CB247" s="108" t="str">
        <f t="shared" si="20"/>
        <v/>
      </c>
      <c r="CC247" s="109" t="str">
        <f t="shared" si="21"/>
        <v/>
      </c>
      <c r="CD247" s="108" t="str">
        <f t="shared" si="22"/>
        <v/>
      </c>
      <c r="CE247" s="108" t="str">
        <f t="shared" si="23"/>
        <v/>
      </c>
      <c r="CF247" s="109" t="str">
        <f t="shared" si="24"/>
        <v/>
      </c>
      <c r="CG247" s="110" t="str">
        <f t="shared" si="25"/>
        <v/>
      </c>
      <c r="CH247" s="111"/>
    </row>
    <row r="248" spans="1:86" ht="12.75">
      <c r="A248" s="101"/>
      <c r="B248" s="102" t="e">
        <f t="array" aca="1" ref="B248" ca="1">_xludf.XLOOKUP(A248,'QA Log'!D:D,'QA Log'!E:E,"")</f>
        <v>#NAME?</v>
      </c>
      <c r="C248" s="102" t="e">
        <f t="array" aca="1" ref="C248" ca="1">_xludf.XLOOKUP(A248,'QA Log'!D:D,'QA Log'!F:F,"")</f>
        <v>#NAME?</v>
      </c>
      <c r="D248" s="102" t="e">
        <f t="array" aca="1" ref="D248" ca="1">_xludf.XLOOKUP(A248,'QA Log'!D:D,'QA Log'!H:H,"")</f>
        <v>#NAME?</v>
      </c>
      <c r="E248" s="102" t="e">
        <f t="array" aca="1" ref="E248" ca="1">_xludf.XLOOKUP(A248,'QA Log'!D:D,'QA Log'!G:G,"")</f>
        <v>#NAME?</v>
      </c>
      <c r="F248" s="103"/>
      <c r="G248" s="104"/>
      <c r="H248" s="104"/>
      <c r="I248" s="103" t="str">
        <f t="shared" si="0"/>
        <v/>
      </c>
      <c r="J248" s="102" t="str">
        <f>IF(A248="","",SUM(
COUNTIFS('QA Log'!D:D,A248,'QA Log'!M:M,"QQC",'QA Log'!L:L,"*1. General Management*"),
COUNTIFS('QA Log'!D:D,A248,'QA Log'!M:M,"QQC",'QA Log'!L:L,"*3. Curative Consultation (OPD)*"),
COUNTIFS('QA Log'!D:D,A248,'QA Log'!M:M,"QQC",'QA Log'!L:L,"*5. Laboratory*"),
COUNTIFS('QA Log'!D:D,A248,'QA Log'!M:M,"QQC",'QA Log'!L:L,"*6. Essential Medicine Management*"),
COUNTIFS('QA Log'!D:D,A248,'QA Log'!M:M,"QQC",'QA Log'!L:L,"*7. Tracer Medicine*"),
COUNTIFS('QA Log'!D:D,A248,'QA Log'!M:M,"QQC",'QA Log'!L:L,"*11. Additional Questions*")))</f>
        <v/>
      </c>
      <c r="K248" s="102" t="str">
        <f>IF(A248="","",SUM(
COUNTIFS('QA Log'!D:D,A248,'QA Log'!M:M,"QQC",'QA Log'!Z:Z,"Approved",'QA Log'!L:L,"*1. General Management*"),
COUNTIFS('QA Log'!D:D,A248,'QA Log'!M:M,"QQC",'QA Log'!Z:Z,"Approved",'QA Log'!L:L,"*3. Curative Consultation (OPD)*"),
COUNTIFS('QA Log'!D:D,A248,'QA Log'!M:M,"QQC",'QA Log'!Z:Z,"Approved",'QA Log'!L:L,"*5. Laboratory*"),
COUNTIFS('QA Log'!D:D,A248,'QA Log'!M:M,"QQC",'QA Log'!Z:Z,"Approved",'QA Log'!L:L,"*6. Essential Medicine Management*"),
COUNTIFS('QA Log'!D:D,A248,'QA Log'!M:M,"QQC",'QA Log'!Z:Z,"Approved",'QA Log'!L:L,"*7. Tracer Medicine*"),
COUNTIFS('QA Log'!D:D,A248,'QA Log'!M:M,"QQC",'QA Log'!Z:Z,"Approved",'QA Log'!L:L,"*11. Additional Questions*")))</f>
        <v/>
      </c>
      <c r="L248" s="105" t="str">
        <f>IF(A248&lt;&gt;"",COUNTIFS('QA Log'!D:D,A248,'QA Log'!M:M,"QQC",'QA Log'!L:L,"1. General Management",'QA Log'!Z:Z,"Approved"),"")</f>
        <v/>
      </c>
      <c r="M248" s="105" t="str">
        <f>IF(A248&lt;&gt;"",COUNTIFS('QA Log'!D:D,A248,'QA Log'!M:M,"QQC",'QA Log'!L:L,"3. Curative Consultation (OPD)",'QA Log'!Z:Z,"Approved"),"")</f>
        <v/>
      </c>
      <c r="N248" s="105" t="str">
        <f>IF(A248&lt;&gt;"",COUNTIFS('QA Log'!D:D,A248,'QA Log'!M:M,"QQC",'QA Log'!L:L,"5. Laboratory",'QA Log'!Z:Z,"Approved"),"")</f>
        <v/>
      </c>
      <c r="O248" s="105" t="str">
        <f>IF(A248&lt;&gt;"",COUNTIFS('QA Log'!D:D,A248,'QA Log'!M:M,"QQC",'QA Log'!L:L,"6. Essential Medicine Management",'QA Log'!Z:Z,"Approved"),"")</f>
        <v/>
      </c>
      <c r="P248" s="105" t="str">
        <f>IF(A248&lt;&gt;"",COUNTIFS('QA Log'!D:D,A248,'QA Log'!M:M,"QQC",'QA Log'!L:L,"7. Tracer Medicine",'QA Log'!Z:Z,"Approved"),"")</f>
        <v/>
      </c>
      <c r="Q248" s="105" t="str">
        <f>IF(A248&lt;&gt;"",COUNTIFS('QA Log'!D:D,A248,'QA Log'!M:M,"QQC",'QA Log'!L:L,"11. Additional Questions",'QA Log'!Z:Z,"Approved"),"")</f>
        <v/>
      </c>
      <c r="R248" s="102" t="str">
        <f>IF(A248="","",SUM(
COUNTIFS('QA Log'!D:D,A248,'QA Log'!M:M,"QQC",'QA Log'!Z:Z,"Rejected",'QA Log'!L:L,"*8. Maternity*"),
COUNTIFS('QA Log'!D:D,A248,'QA Log'!M:M,"QQC",'QA Log'!Z:Z,"Rejected",'QA Log'!L:L,"*EPI*"),
COUNTIFS('QA Log'!D:D,A248,'QA Log'!M:M,"QQC",'QA Log'!Z:Z,"Rejected",'QA Log'!L:L,"*10. Antenatal Care (ANC)*"),
COUNTIFS('QA Log'!D:D,A248,'QA Log'!M:M,"QQC",'QA Log'!Z:Z,"Rejected",'QA Log'!L:L,"*2. Hygiene and Sterilization*"),
COUNTIFS('QA Log'!D:D,A248,'QA Log'!M:M,"QQC",'QA Log'!Z:Z,"Rejected",'QA Log'!L:L,"*Family Planning*")))</f>
        <v/>
      </c>
      <c r="S248" s="106" t="str">
        <f t="shared" si="1"/>
        <v/>
      </c>
      <c r="T248" s="102" t="str">
        <f t="shared" si="2"/>
        <v/>
      </c>
      <c r="U248" s="102" t="str">
        <f>IF(A248="","",
SUM(
COUNTIFS('QA Log'!D:D,A248,'QA Log'!M:M,"QQC",'QA Log'!L:L,"*8. Maternity*"),
COUNTIFS('QA Log'!D:D,A248,'QA Log'!M:M,"QQC",'QA Log'!L:L,"*9. EPI and Pre-school Consultation*"),
COUNTIFS('QA Log'!D:D,A248,'QA Log'!M:M,"QQC",'QA Log'!L:L,"*10. Antenatal Care (ANC)*"),
COUNTIFS('QA Log'!D:D,A248,'QA Log'!M:M,"QQC",'QA Log'!L:L,"*2. Hygiene and Sterilization*"),
COUNTIFS('QA Log'!D:D,A248,'QA Log'!M:M,"QQC",'QA Log'!L:L,"*4. Family Planning*")
))</f>
        <v/>
      </c>
      <c r="V248" s="102" t="str">
        <f>IF(A248="","",
SUM(
COUNTIFS('QA Log'!D:D,A248,'QA Log'!M:M,"QQC",'QA Log'!Z:Z,"Approved",'QA Log'!L:L,"*8. Maternity*"),
COUNTIFS('QA Log'!D:D,A248,'QA Log'!M:M,"QQC",'QA Log'!Z:Z,"Approved",'QA Log'!L:L,"*9. EPI and Pre-school Consultation*"),
COUNTIFS('QA Log'!D:D,A248,'QA Log'!M:M,"QQC",'QA Log'!Z:Z,"Approved",'QA Log'!L:L,"*10. Antenatal Care (ANC)*"),
COUNTIFS('QA Log'!D:D,A248,'QA Log'!M:M,"QQC",'QA Log'!Z:Z,"Approved",'QA Log'!L:L,"*2. Hygiene and Sterilization*"),
COUNTIFS('QA Log'!D:D,A248,'QA Log'!M:M,"QQC",'QA Log'!Z:Z,"Approved",'QA Log'!L:L,"*4. Family Planning*")
))</f>
        <v/>
      </c>
      <c r="W248" s="105" t="str">
        <f>IF(A248&lt;&gt;"",COUNTIFS('QA Log'!D:D,A248,'QA Log'!M:M,"QQC",'QA Log'!L:L,"8. Maternity",'QA Log'!Z:Z,"Approved"),"")</f>
        <v/>
      </c>
      <c r="X248" s="105" t="str">
        <f>IF(A248&lt;&gt;"",COUNTIFS('QA Log'!D:D,A248,'QA Log'!M:M,"QQC",'QA Log'!L:L,"9. EPI and Pre-school Consultation",'QA Log'!Z:Z,"Approved"),"")</f>
        <v/>
      </c>
      <c r="Y248" s="105" t="str">
        <f>IF(A248&lt;&gt;"",COUNTIFS('QA Log'!D:D,A248,'QA Log'!M:M,"QQC",'QA Log'!L:L,"10. Antenatal Care (ANC)",'QA Log'!Z:Z,"Approved"),"")</f>
        <v/>
      </c>
      <c r="Z248" s="105" t="str">
        <f>IF(A248&lt;&gt;"",COUNTIFS('QA Log'!D:D,A248,'QA Log'!M:M,"QQC",'QA Log'!L:L,"2. Hygiene and Sterilization",'QA Log'!Z:Z,"Approved"),"")</f>
        <v/>
      </c>
      <c r="AA248" s="105" t="str">
        <f>IF(A248&lt;&gt;"",COUNTIFS('QA Log'!D:D,A248,'QA Log'!M:M,"QQC",'QA Log'!L:L,"4. Family Planning",'QA Log'!Z:Z,"Approved"),"")</f>
        <v/>
      </c>
      <c r="AB248" s="102" t="str">
        <f>IF(A248="","",
SUM(
COUNTIFS('QA Log'!D:D,A248,'QA Log'!M:M,"QQC",'QA Log'!Z:Z,"Rejected",'QA Log'!L:L,"*8. Maternity*"),
COUNTIFS('QA Log'!D:D,A248,'QA Log'!M:M,"QQC",'QA Log'!Z:Z,"Rejected",'QA Log'!L:L,"*9. EPI and Pre-school Consultation*"),
COUNTIFS('QA Log'!D:D,A248,'QA Log'!M:M,"QQC",'QA Log'!Z:Z,"Rejected",'QA Log'!L:L,"*10. Antenatal Care (ANC)*"),
COUNTIFS('QA Log'!D:D,A248,'QA Log'!M:M,"QQC",'QA Log'!Z:Z,"Rejected",'QA Log'!L:L,"*2. Hygiene and Sterilization*"),
COUNTIFS('QA Log'!D:D,A248,'QA Log'!M:M,"QQC",'QA Log'!Z:Z,"Rejected",'QA Log'!L:L,"*4. Family Planning*")
))</f>
        <v/>
      </c>
      <c r="AC248" s="102" t="str">
        <f t="shared" si="3"/>
        <v/>
      </c>
      <c r="AD248" s="103" t="str">
        <f t="shared" si="4"/>
        <v/>
      </c>
      <c r="AE248" s="102" t="str">
        <f>IF(A248="","",
SUM(
COUNTIFS('QA Log'!D:D,A248,'QA Log'!M:M,"Data Verification",'QA Log'!L:L,"*Medicine (section 2)*"),
COUNTIFS('QA Log'!D:D,A248,'QA Log'!M:M,"Data Verification",'QA Log'!L:L,"*Lab Testing Availability*"),
COUNTIFS('QA Log'!D:D,A248,'QA Log'!M:M,"Data Verification",'QA Log'!L:L,"*Other than P4P (section 6)*"),
COUNTIFS('QA Log'!D:D,A248,'QA Log'!M:M,"Data Verification",'QA Log'!L:L,"*Hospital Governance*")
))</f>
        <v/>
      </c>
      <c r="AF248" s="102" t="str">
        <f>IF(A248="","",
SUM(
COUNTIFS('QA Log'!D:D,A248,'QA Log'!M:M,"Data Verification",'QA Log'!Z:Z,"Approved",'QA Log'!L:L,"*Medicine (section 2)*"),
COUNTIFS('QA Log'!D:D,A248,'QA Log'!M:M,"Data Verification",'QA Log'!Z:Z,"Approved",'QA Log'!L:L,"*Lab Testing Availability*"),
COUNTIFS('QA Log'!D:D,A248,'QA Log'!M:M,"Data Verification",'QA Log'!Z:Z,"Approved",'QA Log'!L:L,"*Other than P4P (section 6)*"),
COUNTIFS('QA Log'!D:D,A248,'QA Log'!M:M,"Data Verification",'QA Log'!Z:Z,"Approved",'QA Log'!L:L,"*Hospital Governance*")
))</f>
        <v/>
      </c>
      <c r="AG248" s="105" t="str">
        <f>IF(A248&lt;&gt;"",COUNTIFS('QA Log'!D:D,A248,'QA Log'!M:M,"Data Verification",'QA Log'!L:L,"Medicine (section 2)",'QA Log'!Z:Z,"Approved"),"")</f>
        <v/>
      </c>
      <c r="AH248" s="105" t="str">
        <f>IF(A248&lt;&gt;"",COUNTIFS('QA Log'!D:D,A248,'QA Log'!M:M,"Data Verification",'QA Log'!L:L,"Lab Testing Availability",'QA Log'!Z:Z,"Approved"),"")</f>
        <v/>
      </c>
      <c r="AI248" s="105" t="str">
        <f>IF(A248&lt;&gt;"",COUNTIFS('QA Log'!D:D,A248,'QA Log'!M:M,"Data Verification",'QA Log'!L:L,"Other than P4P (section 6)",'QA Log'!Z:Z,"Approved"),"")</f>
        <v/>
      </c>
      <c r="AJ248" s="105" t="str">
        <f>IF(A248&lt;&gt;"",COUNTIFS('QA Log'!D:D,A248,'QA Log'!M:M,"Data Verification",'QA Log'!L:L,"Hospital Governance",'QA Log'!Z:Z,"Approved"),"")</f>
        <v/>
      </c>
      <c r="AK248" s="102" t="str">
        <f>IF(A248="","",
SUM(
COUNTIFS('QA Log'!D:D,A248,'QA Log'!M:M,"Data Verification",'QA Log'!Z:Z,"Rejected",'QA Log'!L:L,"*Medicine (section 2)*"),
COUNTIFS('QA Log'!D:D,A248,'QA Log'!M:M,"Data Verification",'QA Log'!Z:Z,"Rejected",'QA Log'!L:L,"*Lab Testing Availability*"),
COUNTIFS('QA Log'!D:D,A248,'QA Log'!M:M,"Data Verification",'QA Log'!Z:Z,"Rejected",'QA Log'!L:L,"*Other than P4P (section 6)*"),
COUNTIFS('QA Log'!D:D,A248,'QA Log'!M:M,"Data Verification",'QA Log'!Z:Z,"Rejected",'QA Log'!L:L,"*Hospital Governance*")
))</f>
        <v/>
      </c>
      <c r="AL248" s="106" t="str">
        <f t="shared" si="5"/>
        <v/>
      </c>
      <c r="AM248" s="102" t="str">
        <f t="shared" si="6"/>
        <v/>
      </c>
      <c r="AN248" s="102" t="str">
        <f>IF(A248="","",
SUM(
COUNTIFS('QA Log'!D:D,A248,'QA Log'!M:M,"Data Verification",'QA Log'!L:L,"*Personnel (section 1)*"),
COUNTIFS('QA Log'!D:D,A248,'QA Log'!M:M,"Data Verification",'QA Log'!L:L,"*Consumable (section 3)*"),
COUNTIFS('QA Log'!D:D,A248,'QA Log'!M:M,"Data Verification",'QA Log'!L:L,"*Equipments (section 4)*")
))</f>
        <v/>
      </c>
      <c r="AO248" s="102" t="str">
        <f>IF(A248="","",
SUM(
COUNTIFS('QA Log'!D:D,A248,'QA Log'!M:M,"Data Verification",'QA Log'!Z:Z,"Approved",'QA Log'!L:L,"*Personnel (section 1)*"),
COUNTIFS('QA Log'!D:D,A248,'QA Log'!M:M,"Data Verification",'QA Log'!Z:Z,"Approved",'QA Log'!L:L,"*Consumable (section 3)*"),
COUNTIFS('QA Log'!D:D,A248,'QA Log'!M:M,"Data Verification",'QA Log'!Z:Z,"Approved",'QA Log'!L:L,"*Equipments (section 4)*")
))</f>
        <v/>
      </c>
      <c r="AP248" s="105" t="str">
        <f>IF(A248&lt;&gt;"",COUNTIFS('QA Log'!D:D,A248,'QA Log'!M:M,"Data Verification",'QA Log'!L:L,"Personnel (section 1)",'QA Log'!Z:Z,"Approved"),"")</f>
        <v/>
      </c>
      <c r="AQ248" s="105" t="str">
        <f>IF(A248&lt;&gt;"",COUNTIFS('QA Log'!D:D,A248,'QA Log'!M:M,"Data Verification",'QA Log'!L:L,"Consumable (section 3)",'QA Log'!Z:Z,"Approved"),"")</f>
        <v/>
      </c>
      <c r="AR248" s="105" t="str">
        <f>IF(A248&lt;&gt;"",COUNTIFS('QA Log'!D:D,A248,'QA Log'!M:M,"Data Verification",'QA Log'!L:L,"Equipments (section 4)",'QA Log'!Z:Z,"Approved"),"")</f>
        <v/>
      </c>
      <c r="AS248" s="102" t="str">
        <f>IF(A248="","",
SUM(
COUNTIFS('QA Log'!D:D,A248,'QA Log'!M:M,"Data Verification",'QA Log'!Z:Z,"Rejected",'QA Log'!L:L,"*Personnel (section 1)*"),
COUNTIFS('QA Log'!D:D,A248,'QA Log'!M:M,"Data Verification",'QA Log'!Z:Z,"Rejected",'QA Log'!L:L,"*Consumable (section 3)*"),
COUNTIFS('QA Log'!D:D,A248,'QA Log'!M:M,"Data Verification",'QA Log'!Z:Z,"Rejected",'QA Log'!L:L,"*Equipments (section 4)*")
))</f>
        <v/>
      </c>
      <c r="AT248" s="102" t="str">
        <f t="shared" si="7"/>
        <v/>
      </c>
      <c r="AU248" s="103" t="str">
        <f t="shared" si="8"/>
        <v/>
      </c>
      <c r="AV248" s="102" t="str">
        <f>IF(A248="","",SUM(
COUNTIFS('QA Log'!D:D,A248,'QA Log'!M:M,"Vignette",'QA Log'!L:L,"*Vignette [1] Respiratory Infection: Pneumonia*"),
COUNTIFS('QA Log'!D:D,A248,'QA Log'!M:M,"Vignette",'QA Log'!L:L,"*Vignette [2]: Diarrhea with Cat B dehydration*"),
COUNTIFS('QA Log'!D:D,A248,'QA Log'!M:M,"Vignette",'QA Log'!L:L,"*Vignette [3] Growth Monitoring and Promotion*"),
COUNTIFS('QA Log'!D:D,A248,'QA Log'!M:M,"Vignette",'QA Log'!L:L,"*Vignette [4]: The management of presumptive TB patient*")
)
)</f>
        <v/>
      </c>
      <c r="AW248" s="102" t="str">
        <f>IF(
  A248="","",
  SUM(
    COUNTIFS('QA Log'!D:D,A248,'QA Log'!M:M,"Vignette",'QA Log'!Z:Z,"Approved",'QA Log'!L:L,"*Vignette [1] Respiratory Infection: Pneumonia*"),
    COUNTIFS('QA Log'!D:D,A248,'QA Log'!M:M,"Vignette",'QA Log'!Z:Z,"Approved",'QA Log'!L:L,"*Vignette [2]: Diarrhea with Cat B dehydration*"),
    COUNTIFS('QA Log'!D:D,A248,'QA Log'!M:M,"Vignette",'QA Log'!Z:Z,"Approved",'QA Log'!L:L,"*Vignette [3] Growth Monitoring and Promotion*"),
    COUNTIFS('QA Log'!D:D,A248,'QA Log'!M:M,"Vignette",'QA Log'!Z:Z,"Approved",'QA Log'!L:L,"*Vignette [4]: The management of presumptive TB patient*")
  )
)</f>
        <v/>
      </c>
      <c r="AX248" s="105" t="str">
        <f>IF(A248&lt;&gt;"",COUNTIFS('QA Log'!D:D,A248,'QA Log'!M:M,"Vignette",'QA Log'!L:L,"Vignette [1] Respiratory Infection: Pneumonia",'QA Log'!Z:Z,"Approved"),"")</f>
        <v/>
      </c>
      <c r="AY248" s="105" t="str">
        <f>IF(A248&lt;&gt;"",COUNTIFS('QA Log'!D:D,A248,'QA Log'!M:M,"Vignette",'QA Log'!L:L,"Vignette [2]: Diarrhea with Cat B dehydration",'QA Log'!Z:Z,"Approved"),"")</f>
        <v/>
      </c>
      <c r="AZ248" s="105" t="str">
        <f>IF(A248&lt;&gt;"",COUNTIFS('QA Log'!D:D,A248,'QA Log'!M:M,"Vignette",'QA Log'!L:L,"Vignette [3] Growth Monitoring and Promotion",'QA Log'!Z:Z,"Approved"),"")</f>
        <v/>
      </c>
      <c r="BA248" s="105" t="str">
        <f>IF(A248&lt;&gt;"",COUNTIFS('QA Log'!D:D,A248,'QA Log'!M:M,"Vignette",'QA Log'!L:L,"Vignette [4]: The management of presumptive TB patient",'QA Log'!Z:Z,"Approved"),"")</f>
        <v/>
      </c>
      <c r="BB248" s="102" t="str">
        <f>IF(A248="","",
  SUM(
    COUNTIFS('QA Log'!D:D,A248,'QA Log'!M:M,"Vignette",'QA Log'!Z:Z,"Rejected",'QA Log'!L:L,"*Vignette [1] Respiratory Infection: Pneumonia*"),
    COUNTIFS('QA Log'!D:D,A248,'QA Log'!M:M,"Vignette",'QA Log'!Z:Z,"Rejected",'QA Log'!L:L,"*Vignette [2]: Diarrhea with Cat B dehydration*"),
    COUNTIFS('QA Log'!D:D,A248,'QA Log'!M:M,"Vignette",'QA Log'!Z:Z,"Rejected",'QA Log'!L:L,"*Vignette [3] Growth Monitoring and Promotion*"),
    COUNTIFS('QA Log'!D:D,A248,'QA Log'!M:M,"Vignette",'QA Log'!Z:Z,"Rejected",'QA Log'!L:L,"*Vignette [4]: The management of presumptive TB patient*")
  )
)</f>
        <v/>
      </c>
      <c r="BC248" s="107" t="str">
        <f t="shared" si="9"/>
        <v/>
      </c>
      <c r="BD248" s="103" t="str">
        <f t="shared" si="10"/>
        <v/>
      </c>
      <c r="BE248" s="102" t="str">
        <f>IF(A248="","",SUM(
COUNTIFS('QA Log'!D:D,A248,'QA Log'!M:M,"Vignette",'QA Log'!L:L,"*Vignette [5] Labor*"),
COUNTIFS('QA Log'!D:D,A248,'QA Log'!M:M,"Vignette",'QA Log'!L:L,"*Vignette [6] PNC pre Discharge*"),
COUNTIFS('QA Log'!D:D,A248,'QA Log'!M:M,"Vignette",'QA Log'!L:L,"*Vignette [7] First ANC Visit*"),
COUNTIFS('QA Log'!D:D,A248,'QA Log'!M:M,"Vignette",'QA Log'!L:L,"*Vignette [8] Birth Spacing/ Family Planning :  FP Counselling*"),
COUNTIFS('QA Log'!D:D,A248,'QA Log'!M:M,"Vignette",'QA Log'!L:L,"*Vignette [9] Birth Spacing: Change FP method to Injectable*"),
COUNTIFS('QA Log'!D:D,A248,'QA Log'!M:M,"Vignette",'QA Log'!L:L,"*Vignette [10] Post Partum Haemorrhage - Atonic Uterus at Health Centre*"),
)
)</f>
        <v/>
      </c>
      <c r="BF248" s="102" t="str">
        <f>IF(A248="","",
  SUM(
    COUNTIFS('QA Log'!D:D,A248,'QA Log'!M:M,"Vignette",'QA Log'!Z:Z,"Approved",'QA Log'!L:L,"*Vignette [5] Labor*"),
    COUNTIFS('QA Log'!D:D,A248,'QA Log'!M:M,"Vignette",'QA Log'!Z:Z,"Approved",'QA Log'!L:L,"*Vignette [6] PNC pre Discharge*"),
    COUNTIFS('QA Log'!D:D,A248,'QA Log'!M:M,"Vignette",'QA Log'!Z:Z,"Approved",'QA Log'!L:L,"*Vignette [7] First ANC Visit*"),
    COUNTIFS('QA Log'!D:D,A248,'QA Log'!M:M,"Vignette",'QA Log'!Z:Z,"Approved",'QA Log'!L:L,"*Vignette [8] Birth Spacing/ Family Planning :  FP Counselling*"),
    COUNTIFS('QA Log'!D:D,A248,'QA Log'!M:M,"Vignette",'QA Log'!Z:Z,"Approved",'QA Log'!L:L,"*Vignette [9] Birth Spacing: Change FP method to Injectable*"),
    COUNTIFS('QA Log'!D:D,A248,'QA Log'!M:M,"Vignette",'QA Log'!Z:Z,"Approved",'QA Log'!L:L,"*Vignette [10] Post Partum Haemorrhage - Atonic Uterus at Health Centre*")
  )
)</f>
        <v/>
      </c>
      <c r="BG248" s="105" t="str">
        <f>IF(A248&lt;&gt;"",COUNTIFS('QA Log'!D:D,A248,'QA Log'!M:M,"Vignette",'QA Log'!L:L,"Vignette [5] Labor",'QA Log'!Z:Z,"Approved"),"")</f>
        <v/>
      </c>
      <c r="BH248" s="105" t="str">
        <f>IF(A248&lt;&gt;"",COUNTIFS('QA Log'!D:D,A248,'QA Log'!M:M,"Vignette",'QA Log'!L:L,"Vignette [6] PNC pre Discharge",'QA Log'!Z:Z,"Approved"),"")</f>
        <v/>
      </c>
      <c r="BI248" s="105" t="str">
        <f>IF(A248&lt;&gt;"",COUNTIFS('QA Log'!D:D,A248,'QA Log'!M:M,"Vignette",'QA Log'!L:L,"Vignette [7] First ANC Visit",'QA Log'!Z:Z,"Approved"),"")</f>
        <v/>
      </c>
      <c r="BJ248" s="105" t="str">
        <f>IF(A248&lt;&gt;"",COUNTIFS('QA Log'!D:D,A248,'QA Log'!M:M,"Vignette",'QA Log'!L:L,"Vignette [8] Birth Spacing/ Family Planning :  FP Counselling",'QA Log'!Z:Z,"Approved"),"")</f>
        <v/>
      </c>
      <c r="BK248" s="105" t="str">
        <f>IF(A248&lt;&gt;"",COUNTIFS('QA Log'!D:D,A248,'QA Log'!M:M,"Vignette",'QA Log'!L:L,"Vignette [9] Birth Spacing: Change FP method to Injectable",'QA Log'!Z:Z,"Approved"),"")</f>
        <v/>
      </c>
      <c r="BL248" s="105" t="str">
        <f>IF(A248&lt;&gt;"",COUNTIFS('QA Log'!D:D,A248,'QA Log'!M:M,"Vignette",'QA Log'!L:L,"Vignette [10] Post Partum Haemorrhage - Atonic Uterus at Health Centre",'QA Log'!Z:Z,"Approved"),"")</f>
        <v/>
      </c>
      <c r="BM248" s="102" t="str">
        <f>IF(A248="","",SUM(
    COUNTIFS('QA Log'!D:D,A248,'QA Log'!M:M,"Vignette",'QA Log'!Z:Z,"Rejected",'QA Log'!L:L,"*Vignette [5] Labor*"),
    COUNTIFS('QA Log'!D:D,A248,'QA Log'!M:M,"Vignette",'QA Log'!Z:Z,"Rejected",'QA Log'!L:L,"*Vignette [6] PNC pre Discharge*"),
    COUNTIFS('QA Log'!D:D,A248,'QA Log'!M:M,"Vignette",'QA Log'!Z:Z,"Rejected",'QA Log'!L:L,"*Vignette [7] First ANC Visit*"),
    COUNTIFS('QA Log'!D:D,A248,'QA Log'!M:M,"Vignette",'QA Log'!Z:Z,"Rejected",'QA Log'!L:L,"*Vignette [8] Birth Spacing/ Family Planning :  FP Counselling*"),
    COUNTIFS('QA Log'!D:D,A248,'QA Log'!M:M,"Vignette",'QA Log'!Z:Z,"Rejected",'QA Log'!L:L,"*Vignette [9] Birth Spacing: Change FP method to Injectable*"),
    COUNTIFS('QA Log'!D:D,A248,'QA Log'!M:M,"Vignette",'QA Log'!Z:Z,"Rejected",'QA Log'!L:L,"*Vignette [10] Post Partum Haemorrhage - Atonic Uterus at Health Centre*")
  )
)</f>
        <v/>
      </c>
      <c r="BN248" s="107" t="str">
        <f t="shared" si="11"/>
        <v/>
      </c>
      <c r="BO248" s="103" t="str">
        <f t="shared" si="12"/>
        <v/>
      </c>
      <c r="BP248" s="102" t="str">
        <f>IF(A248="","",SUM(
COUNTIFS('QA Log'!D:D,A248,'QA Log'!M:M,"Vignette",'QA Log'!L:L,"*Exit Interview 1*"),
COUNTIFS('QA Log'!D:D,A248,'QA Log'!M:M,"Vignette",'QA Log'!L:L,"*Exit Interview 2*"),
)
)</f>
        <v/>
      </c>
      <c r="BQ248" s="102" t="str">
        <f>IF(
  A248="","",
  SUM(
    COUNTIFS('QA Log'!D:D,A248,'QA Log'!M:M,"Vignette",'QA Log'!Z:Z,"Approved",'QA Log'!L:L,"*Exit Interview 1*"),
    COUNTIFS('QA Log'!D:D,A248,'QA Log'!M:M,"Vignette",'QA Log'!Z:Z,"Approved",'QA Log'!L:L,"*Exit Interview 2*")
  )
)</f>
        <v/>
      </c>
      <c r="BR248" s="105" t="str">
        <f>IF(A248&lt;&gt;"",COUNTIFS('QA Log'!D:D,A248,'QA Log'!M:M,"Vignette",'QA Log'!L:L,"Exit Interview 1",'QA Log'!Z:Z,"Approved"),"")</f>
        <v/>
      </c>
      <c r="BS248" s="105" t="str">
        <f>IF(A248&lt;&gt;"",COUNTIFS('QA Log'!D:D,A248,'QA Log'!M:M,"Vignette",'QA Log'!L:L,"Exit Interview 2",'QA Log'!Z:Z,"Approved"),"")</f>
        <v/>
      </c>
      <c r="BT248" s="102" t="str">
        <f>IF(
  A248="","",
  SUM(
    COUNTIFS('QA Log'!D:D,A248,'QA Log'!M:M,"Vignette",'QA Log'!Z:Z,"Rejected",'QA Log'!L:L,"*Exit Interview 1*"),
    COUNTIFS('QA Log'!D:D,A248,'QA Log'!M:M,"Vignette",'QA Log'!Z:Z,"Rejected",'QA Log'!L:L,"*Exit Interview 2*")
  )
)</f>
        <v/>
      </c>
      <c r="BU248" s="107" t="str">
        <f t="shared" si="13"/>
        <v/>
      </c>
      <c r="BV248" s="102" t="str">
        <f t="shared" si="14"/>
        <v/>
      </c>
      <c r="BW248" s="102" t="str">
        <f t="shared" si="15"/>
        <v/>
      </c>
      <c r="BX248" s="102" t="str">
        <f t="shared" si="16"/>
        <v/>
      </c>
      <c r="BY248" s="102" t="str">
        <f t="shared" si="17"/>
        <v/>
      </c>
      <c r="BZ248" s="107" t="str">
        <f t="shared" si="18"/>
        <v/>
      </c>
      <c r="CA248" s="108" t="str">
        <f t="shared" si="19"/>
        <v/>
      </c>
      <c r="CB248" s="108" t="str">
        <f t="shared" si="20"/>
        <v/>
      </c>
      <c r="CC248" s="109" t="str">
        <f t="shared" si="21"/>
        <v/>
      </c>
      <c r="CD248" s="108" t="str">
        <f t="shared" si="22"/>
        <v/>
      </c>
      <c r="CE248" s="108" t="str">
        <f t="shared" si="23"/>
        <v/>
      </c>
      <c r="CF248" s="109" t="str">
        <f t="shared" si="24"/>
        <v/>
      </c>
      <c r="CG248" s="110" t="str">
        <f t="shared" si="25"/>
        <v/>
      </c>
      <c r="CH248" s="111"/>
    </row>
    <row r="249" spans="1:86" ht="12.75">
      <c r="A249" s="101"/>
      <c r="B249" s="102" t="e">
        <f t="array" aca="1" ref="B249" ca="1">_xludf.XLOOKUP(A249,'QA Log'!D:D,'QA Log'!E:E,"")</f>
        <v>#NAME?</v>
      </c>
      <c r="C249" s="102" t="e">
        <f t="array" aca="1" ref="C249" ca="1">_xludf.XLOOKUP(A249,'QA Log'!D:D,'QA Log'!F:F,"")</f>
        <v>#NAME?</v>
      </c>
      <c r="D249" s="102" t="e">
        <f t="array" aca="1" ref="D249" ca="1">_xludf.XLOOKUP(A249,'QA Log'!D:D,'QA Log'!H:H,"")</f>
        <v>#NAME?</v>
      </c>
      <c r="E249" s="102" t="e">
        <f t="array" aca="1" ref="E249" ca="1">_xludf.XLOOKUP(A249,'QA Log'!D:D,'QA Log'!G:G,"")</f>
        <v>#NAME?</v>
      </c>
      <c r="F249" s="103"/>
      <c r="G249" s="104"/>
      <c r="H249" s="104"/>
      <c r="I249" s="103" t="str">
        <f t="shared" si="0"/>
        <v/>
      </c>
      <c r="J249" s="102" t="str">
        <f>IF(A249="","",SUM(
COUNTIFS('QA Log'!D:D,A249,'QA Log'!M:M,"QQC",'QA Log'!L:L,"*1. General Management*"),
COUNTIFS('QA Log'!D:D,A249,'QA Log'!M:M,"QQC",'QA Log'!L:L,"*3. Curative Consultation (OPD)*"),
COUNTIFS('QA Log'!D:D,A249,'QA Log'!M:M,"QQC",'QA Log'!L:L,"*5. Laboratory*"),
COUNTIFS('QA Log'!D:D,A249,'QA Log'!M:M,"QQC",'QA Log'!L:L,"*6. Essential Medicine Management*"),
COUNTIFS('QA Log'!D:D,A249,'QA Log'!M:M,"QQC",'QA Log'!L:L,"*7. Tracer Medicine*"),
COUNTIFS('QA Log'!D:D,A249,'QA Log'!M:M,"QQC",'QA Log'!L:L,"*11. Additional Questions*")))</f>
        <v/>
      </c>
      <c r="K249" s="102" t="str">
        <f>IF(A249="","",SUM(
COUNTIFS('QA Log'!D:D,A249,'QA Log'!M:M,"QQC",'QA Log'!Z:Z,"Approved",'QA Log'!L:L,"*1. General Management*"),
COUNTIFS('QA Log'!D:D,A249,'QA Log'!M:M,"QQC",'QA Log'!Z:Z,"Approved",'QA Log'!L:L,"*3. Curative Consultation (OPD)*"),
COUNTIFS('QA Log'!D:D,A249,'QA Log'!M:M,"QQC",'QA Log'!Z:Z,"Approved",'QA Log'!L:L,"*5. Laboratory*"),
COUNTIFS('QA Log'!D:D,A249,'QA Log'!M:M,"QQC",'QA Log'!Z:Z,"Approved",'QA Log'!L:L,"*6. Essential Medicine Management*"),
COUNTIFS('QA Log'!D:D,A249,'QA Log'!M:M,"QQC",'QA Log'!Z:Z,"Approved",'QA Log'!L:L,"*7. Tracer Medicine*"),
COUNTIFS('QA Log'!D:D,A249,'QA Log'!M:M,"QQC",'QA Log'!Z:Z,"Approved",'QA Log'!L:L,"*11. Additional Questions*")))</f>
        <v/>
      </c>
      <c r="L249" s="105" t="str">
        <f>IF(A249&lt;&gt;"",COUNTIFS('QA Log'!D:D,A249,'QA Log'!M:M,"QQC",'QA Log'!L:L,"1. General Management",'QA Log'!Z:Z,"Approved"),"")</f>
        <v/>
      </c>
      <c r="M249" s="105" t="str">
        <f>IF(A249&lt;&gt;"",COUNTIFS('QA Log'!D:D,A249,'QA Log'!M:M,"QQC",'QA Log'!L:L,"3. Curative Consultation (OPD)",'QA Log'!Z:Z,"Approved"),"")</f>
        <v/>
      </c>
      <c r="N249" s="105" t="str">
        <f>IF(A249&lt;&gt;"",COUNTIFS('QA Log'!D:D,A249,'QA Log'!M:M,"QQC",'QA Log'!L:L,"5. Laboratory",'QA Log'!Z:Z,"Approved"),"")</f>
        <v/>
      </c>
      <c r="O249" s="105" t="str">
        <f>IF(A249&lt;&gt;"",COUNTIFS('QA Log'!D:D,A249,'QA Log'!M:M,"QQC",'QA Log'!L:L,"6. Essential Medicine Management",'QA Log'!Z:Z,"Approved"),"")</f>
        <v/>
      </c>
      <c r="P249" s="105" t="str">
        <f>IF(A249&lt;&gt;"",COUNTIFS('QA Log'!D:D,A249,'QA Log'!M:M,"QQC",'QA Log'!L:L,"7. Tracer Medicine",'QA Log'!Z:Z,"Approved"),"")</f>
        <v/>
      </c>
      <c r="Q249" s="105" t="str">
        <f>IF(A249&lt;&gt;"",COUNTIFS('QA Log'!D:D,A249,'QA Log'!M:M,"QQC",'QA Log'!L:L,"11. Additional Questions",'QA Log'!Z:Z,"Approved"),"")</f>
        <v/>
      </c>
      <c r="R249" s="102" t="str">
        <f>IF(A249="","",SUM(
COUNTIFS('QA Log'!D:D,A249,'QA Log'!M:M,"QQC",'QA Log'!Z:Z,"Rejected",'QA Log'!L:L,"*8. Maternity*"),
COUNTIFS('QA Log'!D:D,A249,'QA Log'!M:M,"QQC",'QA Log'!Z:Z,"Rejected",'QA Log'!L:L,"*EPI*"),
COUNTIFS('QA Log'!D:D,A249,'QA Log'!M:M,"QQC",'QA Log'!Z:Z,"Rejected",'QA Log'!L:L,"*10. Antenatal Care (ANC)*"),
COUNTIFS('QA Log'!D:D,A249,'QA Log'!M:M,"QQC",'QA Log'!Z:Z,"Rejected",'QA Log'!L:L,"*2. Hygiene and Sterilization*"),
COUNTIFS('QA Log'!D:D,A249,'QA Log'!M:M,"QQC",'QA Log'!Z:Z,"Rejected",'QA Log'!L:L,"*Family Planning*")))</f>
        <v/>
      </c>
      <c r="S249" s="106" t="str">
        <f t="shared" si="1"/>
        <v/>
      </c>
      <c r="T249" s="102" t="str">
        <f t="shared" si="2"/>
        <v/>
      </c>
      <c r="U249" s="102" t="str">
        <f>IF(A249="","",
SUM(
COUNTIFS('QA Log'!D:D,A249,'QA Log'!M:M,"QQC",'QA Log'!L:L,"*8. Maternity*"),
COUNTIFS('QA Log'!D:D,A249,'QA Log'!M:M,"QQC",'QA Log'!L:L,"*9. EPI and Pre-school Consultation*"),
COUNTIFS('QA Log'!D:D,A249,'QA Log'!M:M,"QQC",'QA Log'!L:L,"*10. Antenatal Care (ANC)*"),
COUNTIFS('QA Log'!D:D,A249,'QA Log'!M:M,"QQC",'QA Log'!L:L,"*2. Hygiene and Sterilization*"),
COUNTIFS('QA Log'!D:D,A249,'QA Log'!M:M,"QQC",'QA Log'!L:L,"*4. Family Planning*")
))</f>
        <v/>
      </c>
      <c r="V249" s="102" t="str">
        <f>IF(A249="","",
SUM(
COUNTIFS('QA Log'!D:D,A249,'QA Log'!M:M,"QQC",'QA Log'!Z:Z,"Approved",'QA Log'!L:L,"*8. Maternity*"),
COUNTIFS('QA Log'!D:D,A249,'QA Log'!M:M,"QQC",'QA Log'!Z:Z,"Approved",'QA Log'!L:L,"*9. EPI and Pre-school Consultation*"),
COUNTIFS('QA Log'!D:D,A249,'QA Log'!M:M,"QQC",'QA Log'!Z:Z,"Approved",'QA Log'!L:L,"*10. Antenatal Care (ANC)*"),
COUNTIFS('QA Log'!D:D,A249,'QA Log'!M:M,"QQC",'QA Log'!Z:Z,"Approved",'QA Log'!L:L,"*2. Hygiene and Sterilization*"),
COUNTIFS('QA Log'!D:D,A249,'QA Log'!M:M,"QQC",'QA Log'!Z:Z,"Approved",'QA Log'!L:L,"*4. Family Planning*")
))</f>
        <v/>
      </c>
      <c r="W249" s="105" t="str">
        <f>IF(A249&lt;&gt;"",COUNTIFS('QA Log'!D:D,A249,'QA Log'!M:M,"QQC",'QA Log'!L:L,"8. Maternity",'QA Log'!Z:Z,"Approved"),"")</f>
        <v/>
      </c>
      <c r="X249" s="105" t="str">
        <f>IF(A249&lt;&gt;"",COUNTIFS('QA Log'!D:D,A249,'QA Log'!M:M,"QQC",'QA Log'!L:L,"9. EPI and Pre-school Consultation",'QA Log'!Z:Z,"Approved"),"")</f>
        <v/>
      </c>
      <c r="Y249" s="105" t="str">
        <f>IF(A249&lt;&gt;"",COUNTIFS('QA Log'!D:D,A249,'QA Log'!M:M,"QQC",'QA Log'!L:L,"10. Antenatal Care (ANC)",'QA Log'!Z:Z,"Approved"),"")</f>
        <v/>
      </c>
      <c r="Z249" s="105" t="str">
        <f>IF(A249&lt;&gt;"",COUNTIFS('QA Log'!D:D,A249,'QA Log'!M:M,"QQC",'QA Log'!L:L,"2. Hygiene and Sterilization",'QA Log'!Z:Z,"Approved"),"")</f>
        <v/>
      </c>
      <c r="AA249" s="105" t="str">
        <f>IF(A249&lt;&gt;"",COUNTIFS('QA Log'!D:D,A249,'QA Log'!M:M,"QQC",'QA Log'!L:L,"4. Family Planning",'QA Log'!Z:Z,"Approved"),"")</f>
        <v/>
      </c>
      <c r="AB249" s="102" t="str">
        <f>IF(A249="","",
SUM(
COUNTIFS('QA Log'!D:D,A249,'QA Log'!M:M,"QQC",'QA Log'!Z:Z,"Rejected",'QA Log'!L:L,"*8. Maternity*"),
COUNTIFS('QA Log'!D:D,A249,'QA Log'!M:M,"QQC",'QA Log'!Z:Z,"Rejected",'QA Log'!L:L,"*9. EPI and Pre-school Consultation*"),
COUNTIFS('QA Log'!D:D,A249,'QA Log'!M:M,"QQC",'QA Log'!Z:Z,"Rejected",'QA Log'!L:L,"*10. Antenatal Care (ANC)*"),
COUNTIFS('QA Log'!D:D,A249,'QA Log'!M:M,"QQC",'QA Log'!Z:Z,"Rejected",'QA Log'!L:L,"*2. Hygiene and Sterilization*"),
COUNTIFS('QA Log'!D:D,A249,'QA Log'!M:M,"QQC",'QA Log'!Z:Z,"Rejected",'QA Log'!L:L,"*4. Family Planning*")
))</f>
        <v/>
      </c>
      <c r="AC249" s="102" t="str">
        <f t="shared" si="3"/>
        <v/>
      </c>
      <c r="AD249" s="103" t="str">
        <f t="shared" si="4"/>
        <v/>
      </c>
      <c r="AE249" s="102" t="str">
        <f>IF(A249="","",
SUM(
COUNTIFS('QA Log'!D:D,A249,'QA Log'!M:M,"Data Verification",'QA Log'!L:L,"*Medicine (section 2)*"),
COUNTIFS('QA Log'!D:D,A249,'QA Log'!M:M,"Data Verification",'QA Log'!L:L,"*Lab Testing Availability*"),
COUNTIFS('QA Log'!D:D,A249,'QA Log'!M:M,"Data Verification",'QA Log'!L:L,"*Other than P4P (section 6)*"),
COUNTIFS('QA Log'!D:D,A249,'QA Log'!M:M,"Data Verification",'QA Log'!L:L,"*Hospital Governance*")
))</f>
        <v/>
      </c>
      <c r="AF249" s="102" t="str">
        <f>IF(A249="","",
SUM(
COUNTIFS('QA Log'!D:D,A249,'QA Log'!M:M,"Data Verification",'QA Log'!Z:Z,"Approved",'QA Log'!L:L,"*Medicine (section 2)*"),
COUNTIFS('QA Log'!D:D,A249,'QA Log'!M:M,"Data Verification",'QA Log'!Z:Z,"Approved",'QA Log'!L:L,"*Lab Testing Availability*"),
COUNTIFS('QA Log'!D:D,A249,'QA Log'!M:M,"Data Verification",'QA Log'!Z:Z,"Approved",'QA Log'!L:L,"*Other than P4P (section 6)*"),
COUNTIFS('QA Log'!D:D,A249,'QA Log'!M:M,"Data Verification",'QA Log'!Z:Z,"Approved",'QA Log'!L:L,"*Hospital Governance*")
))</f>
        <v/>
      </c>
      <c r="AG249" s="105" t="str">
        <f>IF(A249&lt;&gt;"",COUNTIFS('QA Log'!D:D,A249,'QA Log'!M:M,"Data Verification",'QA Log'!L:L,"Medicine (section 2)",'QA Log'!Z:Z,"Approved"),"")</f>
        <v/>
      </c>
      <c r="AH249" s="105" t="str">
        <f>IF(A249&lt;&gt;"",COUNTIFS('QA Log'!D:D,A249,'QA Log'!M:M,"Data Verification",'QA Log'!L:L,"Lab Testing Availability",'QA Log'!Z:Z,"Approved"),"")</f>
        <v/>
      </c>
      <c r="AI249" s="105" t="str">
        <f>IF(A249&lt;&gt;"",COUNTIFS('QA Log'!D:D,A249,'QA Log'!M:M,"Data Verification",'QA Log'!L:L,"Other than P4P (section 6)",'QA Log'!Z:Z,"Approved"),"")</f>
        <v/>
      </c>
      <c r="AJ249" s="105" t="str">
        <f>IF(A249&lt;&gt;"",COUNTIFS('QA Log'!D:D,A249,'QA Log'!M:M,"Data Verification",'QA Log'!L:L,"Hospital Governance",'QA Log'!Z:Z,"Approved"),"")</f>
        <v/>
      </c>
      <c r="AK249" s="102" t="str">
        <f>IF(A249="","",
SUM(
COUNTIFS('QA Log'!D:D,A249,'QA Log'!M:M,"Data Verification",'QA Log'!Z:Z,"Rejected",'QA Log'!L:L,"*Medicine (section 2)*"),
COUNTIFS('QA Log'!D:D,A249,'QA Log'!M:M,"Data Verification",'QA Log'!Z:Z,"Rejected",'QA Log'!L:L,"*Lab Testing Availability*"),
COUNTIFS('QA Log'!D:D,A249,'QA Log'!M:M,"Data Verification",'QA Log'!Z:Z,"Rejected",'QA Log'!L:L,"*Other than P4P (section 6)*"),
COUNTIFS('QA Log'!D:D,A249,'QA Log'!M:M,"Data Verification",'QA Log'!Z:Z,"Rejected",'QA Log'!L:L,"*Hospital Governance*")
))</f>
        <v/>
      </c>
      <c r="AL249" s="106" t="str">
        <f t="shared" si="5"/>
        <v/>
      </c>
      <c r="AM249" s="102" t="str">
        <f t="shared" si="6"/>
        <v/>
      </c>
      <c r="AN249" s="102" t="str">
        <f>IF(A249="","",
SUM(
COUNTIFS('QA Log'!D:D,A249,'QA Log'!M:M,"Data Verification",'QA Log'!L:L,"*Personnel (section 1)*"),
COUNTIFS('QA Log'!D:D,A249,'QA Log'!M:M,"Data Verification",'QA Log'!L:L,"*Consumable (section 3)*"),
COUNTIFS('QA Log'!D:D,A249,'QA Log'!M:M,"Data Verification",'QA Log'!L:L,"*Equipments (section 4)*")
))</f>
        <v/>
      </c>
      <c r="AO249" s="102" t="str">
        <f>IF(A249="","",
SUM(
COUNTIFS('QA Log'!D:D,A249,'QA Log'!M:M,"Data Verification",'QA Log'!Z:Z,"Approved",'QA Log'!L:L,"*Personnel (section 1)*"),
COUNTIFS('QA Log'!D:D,A249,'QA Log'!M:M,"Data Verification",'QA Log'!Z:Z,"Approved",'QA Log'!L:L,"*Consumable (section 3)*"),
COUNTIFS('QA Log'!D:D,A249,'QA Log'!M:M,"Data Verification",'QA Log'!Z:Z,"Approved",'QA Log'!L:L,"*Equipments (section 4)*")
))</f>
        <v/>
      </c>
      <c r="AP249" s="105" t="str">
        <f>IF(A249&lt;&gt;"",COUNTIFS('QA Log'!D:D,A249,'QA Log'!M:M,"Data Verification",'QA Log'!L:L,"Personnel (section 1)",'QA Log'!Z:Z,"Approved"),"")</f>
        <v/>
      </c>
      <c r="AQ249" s="105" t="str">
        <f>IF(A249&lt;&gt;"",COUNTIFS('QA Log'!D:D,A249,'QA Log'!M:M,"Data Verification",'QA Log'!L:L,"Consumable (section 3)",'QA Log'!Z:Z,"Approved"),"")</f>
        <v/>
      </c>
      <c r="AR249" s="105" t="str">
        <f>IF(A249&lt;&gt;"",COUNTIFS('QA Log'!D:D,A249,'QA Log'!M:M,"Data Verification",'QA Log'!L:L,"Equipments (section 4)",'QA Log'!Z:Z,"Approved"),"")</f>
        <v/>
      </c>
      <c r="AS249" s="102" t="str">
        <f>IF(A249="","",
SUM(
COUNTIFS('QA Log'!D:D,A249,'QA Log'!M:M,"Data Verification",'QA Log'!Z:Z,"Rejected",'QA Log'!L:L,"*Personnel (section 1)*"),
COUNTIFS('QA Log'!D:D,A249,'QA Log'!M:M,"Data Verification",'QA Log'!Z:Z,"Rejected",'QA Log'!L:L,"*Consumable (section 3)*"),
COUNTIFS('QA Log'!D:D,A249,'QA Log'!M:M,"Data Verification",'QA Log'!Z:Z,"Rejected",'QA Log'!L:L,"*Equipments (section 4)*")
))</f>
        <v/>
      </c>
      <c r="AT249" s="102" t="str">
        <f t="shared" si="7"/>
        <v/>
      </c>
      <c r="AU249" s="103" t="str">
        <f t="shared" si="8"/>
        <v/>
      </c>
      <c r="AV249" s="102" t="str">
        <f>IF(A249="","",SUM(
COUNTIFS('QA Log'!D:D,A249,'QA Log'!M:M,"Vignette",'QA Log'!L:L,"*Vignette [1] Respiratory Infection: Pneumonia*"),
COUNTIFS('QA Log'!D:D,A249,'QA Log'!M:M,"Vignette",'QA Log'!L:L,"*Vignette [2]: Diarrhea with Cat B dehydration*"),
COUNTIFS('QA Log'!D:D,A249,'QA Log'!M:M,"Vignette",'QA Log'!L:L,"*Vignette [3] Growth Monitoring and Promotion*"),
COUNTIFS('QA Log'!D:D,A249,'QA Log'!M:M,"Vignette",'QA Log'!L:L,"*Vignette [4]: The management of presumptive TB patient*")
)
)</f>
        <v/>
      </c>
      <c r="AW249" s="102" t="str">
        <f>IF(
  A249="","",
  SUM(
    COUNTIFS('QA Log'!D:D,A249,'QA Log'!M:M,"Vignette",'QA Log'!Z:Z,"Approved",'QA Log'!L:L,"*Vignette [1] Respiratory Infection: Pneumonia*"),
    COUNTIFS('QA Log'!D:D,A249,'QA Log'!M:M,"Vignette",'QA Log'!Z:Z,"Approved",'QA Log'!L:L,"*Vignette [2]: Diarrhea with Cat B dehydration*"),
    COUNTIFS('QA Log'!D:D,A249,'QA Log'!M:M,"Vignette",'QA Log'!Z:Z,"Approved",'QA Log'!L:L,"*Vignette [3] Growth Monitoring and Promotion*"),
    COUNTIFS('QA Log'!D:D,A249,'QA Log'!M:M,"Vignette",'QA Log'!Z:Z,"Approved",'QA Log'!L:L,"*Vignette [4]: The management of presumptive TB patient*")
  )
)</f>
        <v/>
      </c>
      <c r="AX249" s="105" t="str">
        <f>IF(A249&lt;&gt;"",COUNTIFS('QA Log'!D:D,A249,'QA Log'!M:M,"Vignette",'QA Log'!L:L,"Vignette [1] Respiratory Infection: Pneumonia",'QA Log'!Z:Z,"Approved"),"")</f>
        <v/>
      </c>
      <c r="AY249" s="105" t="str">
        <f>IF(A249&lt;&gt;"",COUNTIFS('QA Log'!D:D,A249,'QA Log'!M:M,"Vignette",'QA Log'!L:L,"Vignette [2]: Diarrhea with Cat B dehydration",'QA Log'!Z:Z,"Approved"),"")</f>
        <v/>
      </c>
      <c r="AZ249" s="105" t="str">
        <f>IF(A249&lt;&gt;"",COUNTIFS('QA Log'!D:D,A249,'QA Log'!M:M,"Vignette",'QA Log'!L:L,"Vignette [3] Growth Monitoring and Promotion",'QA Log'!Z:Z,"Approved"),"")</f>
        <v/>
      </c>
      <c r="BA249" s="105" t="str">
        <f>IF(A249&lt;&gt;"",COUNTIFS('QA Log'!D:D,A249,'QA Log'!M:M,"Vignette",'QA Log'!L:L,"Vignette [4]: The management of presumptive TB patient",'QA Log'!Z:Z,"Approved"),"")</f>
        <v/>
      </c>
      <c r="BB249" s="102" t="str">
        <f>IF(A249="","",
  SUM(
    COUNTIFS('QA Log'!D:D,A249,'QA Log'!M:M,"Vignette",'QA Log'!Z:Z,"Rejected",'QA Log'!L:L,"*Vignette [1] Respiratory Infection: Pneumonia*"),
    COUNTIFS('QA Log'!D:D,A249,'QA Log'!M:M,"Vignette",'QA Log'!Z:Z,"Rejected",'QA Log'!L:L,"*Vignette [2]: Diarrhea with Cat B dehydration*"),
    COUNTIFS('QA Log'!D:D,A249,'QA Log'!M:M,"Vignette",'QA Log'!Z:Z,"Rejected",'QA Log'!L:L,"*Vignette [3] Growth Monitoring and Promotion*"),
    COUNTIFS('QA Log'!D:D,A249,'QA Log'!M:M,"Vignette",'QA Log'!Z:Z,"Rejected",'QA Log'!L:L,"*Vignette [4]: The management of presumptive TB patient*")
  )
)</f>
        <v/>
      </c>
      <c r="BC249" s="107" t="str">
        <f t="shared" si="9"/>
        <v/>
      </c>
      <c r="BD249" s="103" t="str">
        <f t="shared" si="10"/>
        <v/>
      </c>
      <c r="BE249" s="102" t="str">
        <f>IF(A249="","",SUM(
COUNTIFS('QA Log'!D:D,A249,'QA Log'!M:M,"Vignette",'QA Log'!L:L,"*Vignette [5] Labor*"),
COUNTIFS('QA Log'!D:D,A249,'QA Log'!M:M,"Vignette",'QA Log'!L:L,"*Vignette [6] PNC pre Discharge*"),
COUNTIFS('QA Log'!D:D,A249,'QA Log'!M:M,"Vignette",'QA Log'!L:L,"*Vignette [7] First ANC Visit*"),
COUNTIFS('QA Log'!D:D,A249,'QA Log'!M:M,"Vignette",'QA Log'!L:L,"*Vignette [8] Birth Spacing/ Family Planning :  FP Counselling*"),
COUNTIFS('QA Log'!D:D,A249,'QA Log'!M:M,"Vignette",'QA Log'!L:L,"*Vignette [9] Birth Spacing: Change FP method to Injectable*"),
COUNTIFS('QA Log'!D:D,A249,'QA Log'!M:M,"Vignette",'QA Log'!L:L,"*Vignette [10] Post Partum Haemorrhage - Atonic Uterus at Health Centre*"),
)
)</f>
        <v/>
      </c>
      <c r="BF249" s="102" t="str">
        <f>IF(A249="","",
  SUM(
    COUNTIFS('QA Log'!D:D,A249,'QA Log'!M:M,"Vignette",'QA Log'!Z:Z,"Approved",'QA Log'!L:L,"*Vignette [5] Labor*"),
    COUNTIFS('QA Log'!D:D,A249,'QA Log'!M:M,"Vignette",'QA Log'!Z:Z,"Approved",'QA Log'!L:L,"*Vignette [6] PNC pre Discharge*"),
    COUNTIFS('QA Log'!D:D,A249,'QA Log'!M:M,"Vignette",'QA Log'!Z:Z,"Approved",'QA Log'!L:L,"*Vignette [7] First ANC Visit*"),
    COUNTIFS('QA Log'!D:D,A249,'QA Log'!M:M,"Vignette",'QA Log'!Z:Z,"Approved",'QA Log'!L:L,"*Vignette [8] Birth Spacing/ Family Planning :  FP Counselling*"),
    COUNTIFS('QA Log'!D:D,A249,'QA Log'!M:M,"Vignette",'QA Log'!Z:Z,"Approved",'QA Log'!L:L,"*Vignette [9] Birth Spacing: Change FP method to Injectable*"),
    COUNTIFS('QA Log'!D:D,A249,'QA Log'!M:M,"Vignette",'QA Log'!Z:Z,"Approved",'QA Log'!L:L,"*Vignette [10] Post Partum Haemorrhage - Atonic Uterus at Health Centre*")
  )
)</f>
        <v/>
      </c>
      <c r="BG249" s="105" t="str">
        <f>IF(A249&lt;&gt;"",COUNTIFS('QA Log'!D:D,A249,'QA Log'!M:M,"Vignette",'QA Log'!L:L,"Vignette [5] Labor",'QA Log'!Z:Z,"Approved"),"")</f>
        <v/>
      </c>
      <c r="BH249" s="105" t="str">
        <f>IF(A249&lt;&gt;"",COUNTIFS('QA Log'!D:D,A249,'QA Log'!M:M,"Vignette",'QA Log'!L:L,"Vignette [6] PNC pre Discharge",'QA Log'!Z:Z,"Approved"),"")</f>
        <v/>
      </c>
      <c r="BI249" s="105" t="str">
        <f>IF(A249&lt;&gt;"",COUNTIFS('QA Log'!D:D,A249,'QA Log'!M:M,"Vignette",'QA Log'!L:L,"Vignette [7] First ANC Visit",'QA Log'!Z:Z,"Approved"),"")</f>
        <v/>
      </c>
      <c r="BJ249" s="105" t="str">
        <f>IF(A249&lt;&gt;"",COUNTIFS('QA Log'!D:D,A249,'QA Log'!M:M,"Vignette",'QA Log'!L:L,"Vignette [8] Birth Spacing/ Family Planning :  FP Counselling",'QA Log'!Z:Z,"Approved"),"")</f>
        <v/>
      </c>
      <c r="BK249" s="105" t="str">
        <f>IF(A249&lt;&gt;"",COUNTIFS('QA Log'!D:D,A249,'QA Log'!M:M,"Vignette",'QA Log'!L:L,"Vignette [9] Birth Spacing: Change FP method to Injectable",'QA Log'!Z:Z,"Approved"),"")</f>
        <v/>
      </c>
      <c r="BL249" s="105" t="str">
        <f>IF(A249&lt;&gt;"",COUNTIFS('QA Log'!D:D,A249,'QA Log'!M:M,"Vignette",'QA Log'!L:L,"Vignette [10] Post Partum Haemorrhage - Atonic Uterus at Health Centre",'QA Log'!Z:Z,"Approved"),"")</f>
        <v/>
      </c>
      <c r="BM249" s="102" t="str">
        <f>IF(A249="","",SUM(
    COUNTIFS('QA Log'!D:D,A249,'QA Log'!M:M,"Vignette",'QA Log'!Z:Z,"Rejected",'QA Log'!L:L,"*Vignette [5] Labor*"),
    COUNTIFS('QA Log'!D:D,A249,'QA Log'!M:M,"Vignette",'QA Log'!Z:Z,"Rejected",'QA Log'!L:L,"*Vignette [6] PNC pre Discharge*"),
    COUNTIFS('QA Log'!D:D,A249,'QA Log'!M:M,"Vignette",'QA Log'!Z:Z,"Rejected",'QA Log'!L:L,"*Vignette [7] First ANC Visit*"),
    COUNTIFS('QA Log'!D:D,A249,'QA Log'!M:M,"Vignette",'QA Log'!Z:Z,"Rejected",'QA Log'!L:L,"*Vignette [8] Birth Spacing/ Family Planning :  FP Counselling*"),
    COUNTIFS('QA Log'!D:D,A249,'QA Log'!M:M,"Vignette",'QA Log'!Z:Z,"Rejected",'QA Log'!L:L,"*Vignette [9] Birth Spacing: Change FP method to Injectable*"),
    COUNTIFS('QA Log'!D:D,A249,'QA Log'!M:M,"Vignette",'QA Log'!Z:Z,"Rejected",'QA Log'!L:L,"*Vignette [10] Post Partum Haemorrhage - Atonic Uterus at Health Centre*")
  )
)</f>
        <v/>
      </c>
      <c r="BN249" s="107" t="str">
        <f t="shared" si="11"/>
        <v/>
      </c>
      <c r="BO249" s="103" t="str">
        <f t="shared" si="12"/>
        <v/>
      </c>
      <c r="BP249" s="102" t="str">
        <f>IF(A249="","",SUM(
COUNTIFS('QA Log'!D:D,A249,'QA Log'!M:M,"Vignette",'QA Log'!L:L,"*Exit Interview 1*"),
COUNTIFS('QA Log'!D:D,A249,'QA Log'!M:M,"Vignette",'QA Log'!L:L,"*Exit Interview 2*"),
)
)</f>
        <v/>
      </c>
      <c r="BQ249" s="102" t="str">
        <f>IF(
  A249="","",
  SUM(
    COUNTIFS('QA Log'!D:D,A249,'QA Log'!M:M,"Vignette",'QA Log'!Z:Z,"Approved",'QA Log'!L:L,"*Exit Interview 1*"),
    COUNTIFS('QA Log'!D:D,A249,'QA Log'!M:M,"Vignette",'QA Log'!Z:Z,"Approved",'QA Log'!L:L,"*Exit Interview 2*")
  )
)</f>
        <v/>
      </c>
      <c r="BR249" s="105" t="str">
        <f>IF(A249&lt;&gt;"",COUNTIFS('QA Log'!D:D,A249,'QA Log'!M:M,"Vignette",'QA Log'!L:L,"Exit Interview 1",'QA Log'!Z:Z,"Approved"),"")</f>
        <v/>
      </c>
      <c r="BS249" s="105" t="str">
        <f>IF(A249&lt;&gt;"",COUNTIFS('QA Log'!D:D,A249,'QA Log'!M:M,"Vignette",'QA Log'!L:L,"Exit Interview 2",'QA Log'!Z:Z,"Approved"),"")</f>
        <v/>
      </c>
      <c r="BT249" s="102" t="str">
        <f>IF(
  A249="","",
  SUM(
    COUNTIFS('QA Log'!D:D,A249,'QA Log'!M:M,"Vignette",'QA Log'!Z:Z,"Rejected",'QA Log'!L:L,"*Exit Interview 1*"),
    COUNTIFS('QA Log'!D:D,A249,'QA Log'!M:M,"Vignette",'QA Log'!Z:Z,"Rejected",'QA Log'!L:L,"*Exit Interview 2*")
  )
)</f>
        <v/>
      </c>
      <c r="BU249" s="107" t="str">
        <f t="shared" si="13"/>
        <v/>
      </c>
      <c r="BV249" s="102" t="str">
        <f t="shared" si="14"/>
        <v/>
      </c>
      <c r="BW249" s="102" t="str">
        <f t="shared" si="15"/>
        <v/>
      </c>
      <c r="BX249" s="102" t="str">
        <f t="shared" si="16"/>
        <v/>
      </c>
      <c r="BY249" s="102" t="str">
        <f t="shared" si="17"/>
        <v/>
      </c>
      <c r="BZ249" s="107" t="str">
        <f t="shared" si="18"/>
        <v/>
      </c>
      <c r="CA249" s="108" t="str">
        <f t="shared" si="19"/>
        <v/>
      </c>
      <c r="CB249" s="108" t="str">
        <f t="shared" si="20"/>
        <v/>
      </c>
      <c r="CC249" s="109" t="str">
        <f t="shared" si="21"/>
        <v/>
      </c>
      <c r="CD249" s="108" t="str">
        <f t="shared" si="22"/>
        <v/>
      </c>
      <c r="CE249" s="108" t="str">
        <f t="shared" si="23"/>
        <v/>
      </c>
      <c r="CF249" s="109" t="str">
        <f t="shared" si="24"/>
        <v/>
      </c>
      <c r="CG249" s="110" t="str">
        <f t="shared" si="25"/>
        <v/>
      </c>
      <c r="CH249" s="111"/>
    </row>
    <row r="250" spans="1:86" ht="12.75">
      <c r="A250" s="101"/>
      <c r="B250" s="102" t="e">
        <f t="array" aca="1" ref="B250" ca="1">_xludf.XLOOKUP(A250,'QA Log'!D:D,'QA Log'!E:E,"")</f>
        <v>#NAME?</v>
      </c>
      <c r="C250" s="102" t="e">
        <f t="array" aca="1" ref="C250" ca="1">_xludf.XLOOKUP(A250,'QA Log'!D:D,'QA Log'!F:F,"")</f>
        <v>#NAME?</v>
      </c>
      <c r="D250" s="102" t="e">
        <f t="array" aca="1" ref="D250" ca="1">_xludf.XLOOKUP(A250,'QA Log'!D:D,'QA Log'!H:H,"")</f>
        <v>#NAME?</v>
      </c>
      <c r="E250" s="102" t="e">
        <f t="array" aca="1" ref="E250" ca="1">_xludf.XLOOKUP(A250,'QA Log'!D:D,'QA Log'!G:G,"")</f>
        <v>#NAME?</v>
      </c>
      <c r="F250" s="103"/>
      <c r="G250" s="104"/>
      <c r="H250" s="104"/>
      <c r="I250" s="103" t="str">
        <f t="shared" si="0"/>
        <v/>
      </c>
      <c r="J250" s="102" t="str">
        <f>IF(A250="","",SUM(
COUNTIFS('QA Log'!D:D,A250,'QA Log'!M:M,"QQC",'QA Log'!L:L,"*1. General Management*"),
COUNTIFS('QA Log'!D:D,A250,'QA Log'!M:M,"QQC",'QA Log'!L:L,"*3. Curative Consultation (OPD)*"),
COUNTIFS('QA Log'!D:D,A250,'QA Log'!M:M,"QQC",'QA Log'!L:L,"*5. Laboratory*"),
COUNTIFS('QA Log'!D:D,A250,'QA Log'!M:M,"QQC",'QA Log'!L:L,"*6. Essential Medicine Management*"),
COUNTIFS('QA Log'!D:D,A250,'QA Log'!M:M,"QQC",'QA Log'!L:L,"*7. Tracer Medicine*"),
COUNTIFS('QA Log'!D:D,A250,'QA Log'!M:M,"QQC",'QA Log'!L:L,"*11. Additional Questions*")))</f>
        <v/>
      </c>
      <c r="K250" s="102" t="str">
        <f>IF(A250="","",SUM(
COUNTIFS('QA Log'!D:D,A250,'QA Log'!M:M,"QQC",'QA Log'!Z:Z,"Approved",'QA Log'!L:L,"*1. General Management*"),
COUNTIFS('QA Log'!D:D,A250,'QA Log'!M:M,"QQC",'QA Log'!Z:Z,"Approved",'QA Log'!L:L,"*3. Curative Consultation (OPD)*"),
COUNTIFS('QA Log'!D:D,A250,'QA Log'!M:M,"QQC",'QA Log'!Z:Z,"Approved",'QA Log'!L:L,"*5. Laboratory*"),
COUNTIFS('QA Log'!D:D,A250,'QA Log'!M:M,"QQC",'QA Log'!Z:Z,"Approved",'QA Log'!L:L,"*6. Essential Medicine Management*"),
COUNTIFS('QA Log'!D:D,A250,'QA Log'!M:M,"QQC",'QA Log'!Z:Z,"Approved",'QA Log'!L:L,"*7. Tracer Medicine*"),
COUNTIFS('QA Log'!D:D,A250,'QA Log'!M:M,"QQC",'QA Log'!Z:Z,"Approved",'QA Log'!L:L,"*11. Additional Questions*")))</f>
        <v/>
      </c>
      <c r="L250" s="105" t="str">
        <f>IF(A250&lt;&gt;"",COUNTIFS('QA Log'!D:D,A250,'QA Log'!M:M,"QQC",'QA Log'!L:L,"1. General Management",'QA Log'!Z:Z,"Approved"),"")</f>
        <v/>
      </c>
      <c r="M250" s="105" t="str">
        <f>IF(A250&lt;&gt;"",COUNTIFS('QA Log'!D:D,A250,'QA Log'!M:M,"QQC",'QA Log'!L:L,"3. Curative Consultation (OPD)",'QA Log'!Z:Z,"Approved"),"")</f>
        <v/>
      </c>
      <c r="N250" s="105" t="str">
        <f>IF(A250&lt;&gt;"",COUNTIFS('QA Log'!D:D,A250,'QA Log'!M:M,"QQC",'QA Log'!L:L,"5. Laboratory",'QA Log'!Z:Z,"Approved"),"")</f>
        <v/>
      </c>
      <c r="O250" s="105" t="str">
        <f>IF(A250&lt;&gt;"",COUNTIFS('QA Log'!D:D,A250,'QA Log'!M:M,"QQC",'QA Log'!L:L,"6. Essential Medicine Management",'QA Log'!Z:Z,"Approved"),"")</f>
        <v/>
      </c>
      <c r="P250" s="105" t="str">
        <f>IF(A250&lt;&gt;"",COUNTIFS('QA Log'!D:D,A250,'QA Log'!M:M,"QQC",'QA Log'!L:L,"7. Tracer Medicine",'QA Log'!Z:Z,"Approved"),"")</f>
        <v/>
      </c>
      <c r="Q250" s="105" t="str">
        <f>IF(A250&lt;&gt;"",COUNTIFS('QA Log'!D:D,A250,'QA Log'!M:M,"QQC",'QA Log'!L:L,"11. Additional Questions",'QA Log'!Z:Z,"Approved"),"")</f>
        <v/>
      </c>
      <c r="R250" s="102" t="str">
        <f>IF(A250="","",SUM(
COUNTIFS('QA Log'!D:D,A250,'QA Log'!M:M,"QQC",'QA Log'!Z:Z,"Rejected",'QA Log'!L:L,"*8. Maternity*"),
COUNTIFS('QA Log'!D:D,A250,'QA Log'!M:M,"QQC",'QA Log'!Z:Z,"Rejected",'QA Log'!L:L,"*EPI*"),
COUNTIFS('QA Log'!D:D,A250,'QA Log'!M:M,"QQC",'QA Log'!Z:Z,"Rejected",'QA Log'!L:L,"*10. Antenatal Care (ANC)*"),
COUNTIFS('QA Log'!D:D,A250,'QA Log'!M:M,"QQC",'QA Log'!Z:Z,"Rejected",'QA Log'!L:L,"*2. Hygiene and Sterilization*"),
COUNTIFS('QA Log'!D:D,A250,'QA Log'!M:M,"QQC",'QA Log'!Z:Z,"Rejected",'QA Log'!L:L,"*Family Planning*")))</f>
        <v/>
      </c>
      <c r="S250" s="106" t="str">
        <f t="shared" si="1"/>
        <v/>
      </c>
      <c r="T250" s="102" t="str">
        <f t="shared" si="2"/>
        <v/>
      </c>
      <c r="U250" s="102" t="str">
        <f>IF(A250="","",
SUM(
COUNTIFS('QA Log'!D:D,A250,'QA Log'!M:M,"QQC",'QA Log'!L:L,"*8. Maternity*"),
COUNTIFS('QA Log'!D:D,A250,'QA Log'!M:M,"QQC",'QA Log'!L:L,"*9. EPI and Pre-school Consultation*"),
COUNTIFS('QA Log'!D:D,A250,'QA Log'!M:M,"QQC",'QA Log'!L:L,"*10. Antenatal Care (ANC)*"),
COUNTIFS('QA Log'!D:D,A250,'QA Log'!M:M,"QQC",'QA Log'!L:L,"*2. Hygiene and Sterilization*"),
COUNTIFS('QA Log'!D:D,A250,'QA Log'!M:M,"QQC",'QA Log'!L:L,"*4. Family Planning*")
))</f>
        <v/>
      </c>
      <c r="V250" s="102" t="str">
        <f>IF(A250="","",
SUM(
COUNTIFS('QA Log'!D:D,A250,'QA Log'!M:M,"QQC",'QA Log'!Z:Z,"Approved",'QA Log'!L:L,"*8. Maternity*"),
COUNTIFS('QA Log'!D:D,A250,'QA Log'!M:M,"QQC",'QA Log'!Z:Z,"Approved",'QA Log'!L:L,"*9. EPI and Pre-school Consultation*"),
COUNTIFS('QA Log'!D:D,A250,'QA Log'!M:M,"QQC",'QA Log'!Z:Z,"Approved",'QA Log'!L:L,"*10. Antenatal Care (ANC)*"),
COUNTIFS('QA Log'!D:D,A250,'QA Log'!M:M,"QQC",'QA Log'!Z:Z,"Approved",'QA Log'!L:L,"*2. Hygiene and Sterilization*"),
COUNTIFS('QA Log'!D:D,A250,'QA Log'!M:M,"QQC",'QA Log'!Z:Z,"Approved",'QA Log'!L:L,"*4. Family Planning*")
))</f>
        <v/>
      </c>
      <c r="W250" s="105" t="str">
        <f>IF(A250&lt;&gt;"",COUNTIFS('QA Log'!D:D,A250,'QA Log'!M:M,"QQC",'QA Log'!L:L,"8. Maternity",'QA Log'!Z:Z,"Approved"),"")</f>
        <v/>
      </c>
      <c r="X250" s="105" t="str">
        <f>IF(A250&lt;&gt;"",COUNTIFS('QA Log'!D:D,A250,'QA Log'!M:M,"QQC",'QA Log'!L:L,"9. EPI and Pre-school Consultation",'QA Log'!Z:Z,"Approved"),"")</f>
        <v/>
      </c>
      <c r="Y250" s="105" t="str">
        <f>IF(A250&lt;&gt;"",COUNTIFS('QA Log'!D:D,A250,'QA Log'!M:M,"QQC",'QA Log'!L:L,"10. Antenatal Care (ANC)",'QA Log'!Z:Z,"Approved"),"")</f>
        <v/>
      </c>
      <c r="Z250" s="105" t="str">
        <f>IF(A250&lt;&gt;"",COUNTIFS('QA Log'!D:D,A250,'QA Log'!M:M,"QQC",'QA Log'!L:L,"2. Hygiene and Sterilization",'QA Log'!Z:Z,"Approved"),"")</f>
        <v/>
      </c>
      <c r="AA250" s="105" t="str">
        <f>IF(A250&lt;&gt;"",COUNTIFS('QA Log'!D:D,A250,'QA Log'!M:M,"QQC",'QA Log'!L:L,"4. Family Planning",'QA Log'!Z:Z,"Approved"),"")</f>
        <v/>
      </c>
      <c r="AB250" s="102" t="str">
        <f>IF(A250="","",
SUM(
COUNTIFS('QA Log'!D:D,A250,'QA Log'!M:M,"QQC",'QA Log'!Z:Z,"Rejected",'QA Log'!L:L,"*8. Maternity*"),
COUNTIFS('QA Log'!D:D,A250,'QA Log'!M:M,"QQC",'QA Log'!Z:Z,"Rejected",'QA Log'!L:L,"*9. EPI and Pre-school Consultation*"),
COUNTIFS('QA Log'!D:D,A250,'QA Log'!M:M,"QQC",'QA Log'!Z:Z,"Rejected",'QA Log'!L:L,"*10. Antenatal Care (ANC)*"),
COUNTIFS('QA Log'!D:D,A250,'QA Log'!M:M,"QQC",'QA Log'!Z:Z,"Rejected",'QA Log'!L:L,"*2. Hygiene and Sterilization*"),
COUNTIFS('QA Log'!D:D,A250,'QA Log'!M:M,"QQC",'QA Log'!Z:Z,"Rejected",'QA Log'!L:L,"*4. Family Planning*")
))</f>
        <v/>
      </c>
      <c r="AC250" s="102" t="str">
        <f t="shared" si="3"/>
        <v/>
      </c>
      <c r="AD250" s="103" t="str">
        <f t="shared" si="4"/>
        <v/>
      </c>
      <c r="AE250" s="102" t="str">
        <f>IF(A250="","",
SUM(
COUNTIFS('QA Log'!D:D,A250,'QA Log'!M:M,"Data Verification",'QA Log'!L:L,"*Medicine (section 2)*"),
COUNTIFS('QA Log'!D:D,A250,'QA Log'!M:M,"Data Verification",'QA Log'!L:L,"*Lab Testing Availability*"),
COUNTIFS('QA Log'!D:D,A250,'QA Log'!M:M,"Data Verification",'QA Log'!L:L,"*Other than P4P (section 6)*"),
COUNTIFS('QA Log'!D:D,A250,'QA Log'!M:M,"Data Verification",'QA Log'!L:L,"*Hospital Governance*")
))</f>
        <v/>
      </c>
      <c r="AF250" s="102" t="str">
        <f>IF(A250="","",
SUM(
COUNTIFS('QA Log'!D:D,A250,'QA Log'!M:M,"Data Verification",'QA Log'!Z:Z,"Approved",'QA Log'!L:L,"*Medicine (section 2)*"),
COUNTIFS('QA Log'!D:D,A250,'QA Log'!M:M,"Data Verification",'QA Log'!Z:Z,"Approved",'QA Log'!L:L,"*Lab Testing Availability*"),
COUNTIFS('QA Log'!D:D,A250,'QA Log'!M:M,"Data Verification",'QA Log'!Z:Z,"Approved",'QA Log'!L:L,"*Other than P4P (section 6)*"),
COUNTIFS('QA Log'!D:D,A250,'QA Log'!M:M,"Data Verification",'QA Log'!Z:Z,"Approved",'QA Log'!L:L,"*Hospital Governance*")
))</f>
        <v/>
      </c>
      <c r="AG250" s="105" t="str">
        <f>IF(A250&lt;&gt;"",COUNTIFS('QA Log'!D:D,A250,'QA Log'!M:M,"Data Verification",'QA Log'!L:L,"Medicine (section 2)",'QA Log'!Z:Z,"Approved"),"")</f>
        <v/>
      </c>
      <c r="AH250" s="105" t="str">
        <f>IF(A250&lt;&gt;"",COUNTIFS('QA Log'!D:D,A250,'QA Log'!M:M,"Data Verification",'QA Log'!L:L,"Lab Testing Availability",'QA Log'!Z:Z,"Approved"),"")</f>
        <v/>
      </c>
      <c r="AI250" s="105" t="str">
        <f>IF(A250&lt;&gt;"",COUNTIFS('QA Log'!D:D,A250,'QA Log'!M:M,"Data Verification",'QA Log'!L:L,"Other than P4P (section 6)",'QA Log'!Z:Z,"Approved"),"")</f>
        <v/>
      </c>
      <c r="AJ250" s="105" t="str">
        <f>IF(A250&lt;&gt;"",COUNTIFS('QA Log'!D:D,A250,'QA Log'!M:M,"Data Verification",'QA Log'!L:L,"Hospital Governance",'QA Log'!Z:Z,"Approved"),"")</f>
        <v/>
      </c>
      <c r="AK250" s="102" t="str">
        <f>IF(A250="","",
SUM(
COUNTIFS('QA Log'!D:D,A250,'QA Log'!M:M,"Data Verification",'QA Log'!Z:Z,"Rejected",'QA Log'!L:L,"*Medicine (section 2)*"),
COUNTIFS('QA Log'!D:D,A250,'QA Log'!M:M,"Data Verification",'QA Log'!Z:Z,"Rejected",'QA Log'!L:L,"*Lab Testing Availability*"),
COUNTIFS('QA Log'!D:D,A250,'QA Log'!M:M,"Data Verification",'QA Log'!Z:Z,"Rejected",'QA Log'!L:L,"*Other than P4P (section 6)*"),
COUNTIFS('QA Log'!D:D,A250,'QA Log'!M:M,"Data Verification",'QA Log'!Z:Z,"Rejected",'QA Log'!L:L,"*Hospital Governance*")
))</f>
        <v/>
      </c>
      <c r="AL250" s="106" t="str">
        <f t="shared" si="5"/>
        <v/>
      </c>
      <c r="AM250" s="102" t="str">
        <f t="shared" si="6"/>
        <v/>
      </c>
      <c r="AN250" s="102" t="str">
        <f>IF(A250="","",
SUM(
COUNTIFS('QA Log'!D:D,A250,'QA Log'!M:M,"Data Verification",'QA Log'!L:L,"*Personnel (section 1)*"),
COUNTIFS('QA Log'!D:D,A250,'QA Log'!M:M,"Data Verification",'QA Log'!L:L,"*Consumable (section 3)*"),
COUNTIFS('QA Log'!D:D,A250,'QA Log'!M:M,"Data Verification",'QA Log'!L:L,"*Equipments (section 4)*")
))</f>
        <v/>
      </c>
      <c r="AO250" s="102" t="str">
        <f>IF(A250="","",
SUM(
COUNTIFS('QA Log'!D:D,A250,'QA Log'!M:M,"Data Verification",'QA Log'!Z:Z,"Approved",'QA Log'!L:L,"*Personnel (section 1)*"),
COUNTIFS('QA Log'!D:D,A250,'QA Log'!M:M,"Data Verification",'QA Log'!Z:Z,"Approved",'QA Log'!L:L,"*Consumable (section 3)*"),
COUNTIFS('QA Log'!D:D,A250,'QA Log'!M:M,"Data Verification",'QA Log'!Z:Z,"Approved",'QA Log'!L:L,"*Equipments (section 4)*")
))</f>
        <v/>
      </c>
      <c r="AP250" s="105" t="str">
        <f>IF(A250&lt;&gt;"",COUNTIFS('QA Log'!D:D,A250,'QA Log'!M:M,"Data Verification",'QA Log'!L:L,"Personnel (section 1)",'QA Log'!Z:Z,"Approved"),"")</f>
        <v/>
      </c>
      <c r="AQ250" s="105" t="str">
        <f>IF(A250&lt;&gt;"",COUNTIFS('QA Log'!D:D,A250,'QA Log'!M:M,"Data Verification",'QA Log'!L:L,"Consumable (section 3)",'QA Log'!Z:Z,"Approved"),"")</f>
        <v/>
      </c>
      <c r="AR250" s="105" t="str">
        <f>IF(A250&lt;&gt;"",COUNTIFS('QA Log'!D:D,A250,'QA Log'!M:M,"Data Verification",'QA Log'!L:L,"Equipments (section 4)",'QA Log'!Z:Z,"Approved"),"")</f>
        <v/>
      </c>
      <c r="AS250" s="102" t="str">
        <f>IF(A250="","",
SUM(
COUNTIFS('QA Log'!D:D,A250,'QA Log'!M:M,"Data Verification",'QA Log'!Z:Z,"Rejected",'QA Log'!L:L,"*Personnel (section 1)*"),
COUNTIFS('QA Log'!D:D,A250,'QA Log'!M:M,"Data Verification",'QA Log'!Z:Z,"Rejected",'QA Log'!L:L,"*Consumable (section 3)*"),
COUNTIFS('QA Log'!D:D,A250,'QA Log'!M:M,"Data Verification",'QA Log'!Z:Z,"Rejected",'QA Log'!L:L,"*Equipments (section 4)*")
))</f>
        <v/>
      </c>
      <c r="AT250" s="102" t="str">
        <f t="shared" si="7"/>
        <v/>
      </c>
      <c r="AU250" s="103" t="str">
        <f t="shared" si="8"/>
        <v/>
      </c>
      <c r="AV250" s="102" t="str">
        <f>IF(A250="","",SUM(
COUNTIFS('QA Log'!D:D,A250,'QA Log'!M:M,"Vignette",'QA Log'!L:L,"*Vignette [1] Respiratory Infection: Pneumonia*"),
COUNTIFS('QA Log'!D:D,A250,'QA Log'!M:M,"Vignette",'QA Log'!L:L,"*Vignette [2]: Diarrhea with Cat B dehydration*"),
COUNTIFS('QA Log'!D:D,A250,'QA Log'!M:M,"Vignette",'QA Log'!L:L,"*Vignette [3] Growth Monitoring and Promotion*"),
COUNTIFS('QA Log'!D:D,A250,'QA Log'!M:M,"Vignette",'QA Log'!L:L,"*Vignette [4]: The management of presumptive TB patient*")
)
)</f>
        <v/>
      </c>
      <c r="AW250" s="102" t="str">
        <f>IF(
  A250="","",
  SUM(
    COUNTIFS('QA Log'!D:D,A250,'QA Log'!M:M,"Vignette",'QA Log'!Z:Z,"Approved",'QA Log'!L:L,"*Vignette [1] Respiratory Infection: Pneumonia*"),
    COUNTIFS('QA Log'!D:D,A250,'QA Log'!M:M,"Vignette",'QA Log'!Z:Z,"Approved",'QA Log'!L:L,"*Vignette [2]: Diarrhea with Cat B dehydration*"),
    COUNTIFS('QA Log'!D:D,A250,'QA Log'!M:M,"Vignette",'QA Log'!Z:Z,"Approved",'QA Log'!L:L,"*Vignette [3] Growth Monitoring and Promotion*"),
    COUNTIFS('QA Log'!D:D,A250,'QA Log'!M:M,"Vignette",'QA Log'!Z:Z,"Approved",'QA Log'!L:L,"*Vignette [4]: The management of presumptive TB patient*")
  )
)</f>
        <v/>
      </c>
      <c r="AX250" s="105" t="str">
        <f>IF(A250&lt;&gt;"",COUNTIFS('QA Log'!D:D,A250,'QA Log'!M:M,"Vignette",'QA Log'!L:L,"Vignette [1] Respiratory Infection: Pneumonia",'QA Log'!Z:Z,"Approved"),"")</f>
        <v/>
      </c>
      <c r="AY250" s="105" t="str">
        <f>IF(A250&lt;&gt;"",COUNTIFS('QA Log'!D:D,A250,'QA Log'!M:M,"Vignette",'QA Log'!L:L,"Vignette [2]: Diarrhea with Cat B dehydration",'QA Log'!Z:Z,"Approved"),"")</f>
        <v/>
      </c>
      <c r="AZ250" s="105" t="str">
        <f>IF(A250&lt;&gt;"",COUNTIFS('QA Log'!D:D,A250,'QA Log'!M:M,"Vignette",'QA Log'!L:L,"Vignette [3] Growth Monitoring and Promotion",'QA Log'!Z:Z,"Approved"),"")</f>
        <v/>
      </c>
      <c r="BA250" s="105" t="str">
        <f>IF(A250&lt;&gt;"",COUNTIFS('QA Log'!D:D,A250,'QA Log'!M:M,"Vignette",'QA Log'!L:L,"Vignette [4]: The management of presumptive TB patient",'QA Log'!Z:Z,"Approved"),"")</f>
        <v/>
      </c>
      <c r="BB250" s="102" t="str">
        <f>IF(A250="","",
  SUM(
    COUNTIFS('QA Log'!D:D,A250,'QA Log'!M:M,"Vignette",'QA Log'!Z:Z,"Rejected",'QA Log'!L:L,"*Vignette [1] Respiratory Infection: Pneumonia*"),
    COUNTIFS('QA Log'!D:D,A250,'QA Log'!M:M,"Vignette",'QA Log'!Z:Z,"Rejected",'QA Log'!L:L,"*Vignette [2]: Diarrhea with Cat B dehydration*"),
    COUNTIFS('QA Log'!D:D,A250,'QA Log'!M:M,"Vignette",'QA Log'!Z:Z,"Rejected",'QA Log'!L:L,"*Vignette [3] Growth Monitoring and Promotion*"),
    COUNTIFS('QA Log'!D:D,A250,'QA Log'!M:M,"Vignette",'QA Log'!Z:Z,"Rejected",'QA Log'!L:L,"*Vignette [4]: The management of presumptive TB patient*")
  )
)</f>
        <v/>
      </c>
      <c r="BC250" s="107" t="str">
        <f t="shared" si="9"/>
        <v/>
      </c>
      <c r="BD250" s="103" t="str">
        <f t="shared" si="10"/>
        <v/>
      </c>
      <c r="BE250" s="102" t="str">
        <f>IF(A250="","",SUM(
COUNTIFS('QA Log'!D:D,A250,'QA Log'!M:M,"Vignette",'QA Log'!L:L,"*Vignette [5] Labor*"),
COUNTIFS('QA Log'!D:D,A250,'QA Log'!M:M,"Vignette",'QA Log'!L:L,"*Vignette [6] PNC pre Discharge*"),
COUNTIFS('QA Log'!D:D,A250,'QA Log'!M:M,"Vignette",'QA Log'!L:L,"*Vignette [7] First ANC Visit*"),
COUNTIFS('QA Log'!D:D,A250,'QA Log'!M:M,"Vignette",'QA Log'!L:L,"*Vignette [8] Birth Spacing/ Family Planning :  FP Counselling*"),
COUNTIFS('QA Log'!D:D,A250,'QA Log'!M:M,"Vignette",'QA Log'!L:L,"*Vignette [9] Birth Spacing: Change FP method to Injectable*"),
COUNTIFS('QA Log'!D:D,A250,'QA Log'!M:M,"Vignette",'QA Log'!L:L,"*Vignette [10] Post Partum Haemorrhage - Atonic Uterus at Health Centre*"),
)
)</f>
        <v/>
      </c>
      <c r="BF250" s="102" t="str">
        <f>IF(A250="","",
  SUM(
    COUNTIFS('QA Log'!D:D,A250,'QA Log'!M:M,"Vignette",'QA Log'!Z:Z,"Approved",'QA Log'!L:L,"*Vignette [5] Labor*"),
    COUNTIFS('QA Log'!D:D,A250,'QA Log'!M:M,"Vignette",'QA Log'!Z:Z,"Approved",'QA Log'!L:L,"*Vignette [6] PNC pre Discharge*"),
    COUNTIFS('QA Log'!D:D,A250,'QA Log'!M:M,"Vignette",'QA Log'!Z:Z,"Approved",'QA Log'!L:L,"*Vignette [7] First ANC Visit*"),
    COUNTIFS('QA Log'!D:D,A250,'QA Log'!M:M,"Vignette",'QA Log'!Z:Z,"Approved",'QA Log'!L:L,"*Vignette [8] Birth Spacing/ Family Planning :  FP Counselling*"),
    COUNTIFS('QA Log'!D:D,A250,'QA Log'!M:M,"Vignette",'QA Log'!Z:Z,"Approved",'QA Log'!L:L,"*Vignette [9] Birth Spacing: Change FP method to Injectable*"),
    COUNTIFS('QA Log'!D:D,A250,'QA Log'!M:M,"Vignette",'QA Log'!Z:Z,"Approved",'QA Log'!L:L,"*Vignette [10] Post Partum Haemorrhage - Atonic Uterus at Health Centre*")
  )
)</f>
        <v/>
      </c>
      <c r="BG250" s="105" t="str">
        <f>IF(A250&lt;&gt;"",COUNTIFS('QA Log'!D:D,A250,'QA Log'!M:M,"Vignette",'QA Log'!L:L,"Vignette [5] Labor",'QA Log'!Z:Z,"Approved"),"")</f>
        <v/>
      </c>
      <c r="BH250" s="105" t="str">
        <f>IF(A250&lt;&gt;"",COUNTIFS('QA Log'!D:D,A250,'QA Log'!M:M,"Vignette",'QA Log'!L:L,"Vignette [6] PNC pre Discharge",'QA Log'!Z:Z,"Approved"),"")</f>
        <v/>
      </c>
      <c r="BI250" s="105" t="str">
        <f>IF(A250&lt;&gt;"",COUNTIFS('QA Log'!D:D,A250,'QA Log'!M:M,"Vignette",'QA Log'!L:L,"Vignette [7] First ANC Visit",'QA Log'!Z:Z,"Approved"),"")</f>
        <v/>
      </c>
      <c r="BJ250" s="105" t="str">
        <f>IF(A250&lt;&gt;"",COUNTIFS('QA Log'!D:D,A250,'QA Log'!M:M,"Vignette",'QA Log'!L:L,"Vignette [8] Birth Spacing/ Family Planning :  FP Counselling",'QA Log'!Z:Z,"Approved"),"")</f>
        <v/>
      </c>
      <c r="BK250" s="105" t="str">
        <f>IF(A250&lt;&gt;"",COUNTIFS('QA Log'!D:D,A250,'QA Log'!M:M,"Vignette",'QA Log'!L:L,"Vignette [9] Birth Spacing: Change FP method to Injectable",'QA Log'!Z:Z,"Approved"),"")</f>
        <v/>
      </c>
      <c r="BL250" s="105" t="str">
        <f>IF(A250&lt;&gt;"",COUNTIFS('QA Log'!D:D,A250,'QA Log'!M:M,"Vignette",'QA Log'!L:L,"Vignette [10] Post Partum Haemorrhage - Atonic Uterus at Health Centre",'QA Log'!Z:Z,"Approved"),"")</f>
        <v/>
      </c>
      <c r="BM250" s="102" t="str">
        <f>IF(A250="","",SUM(
    COUNTIFS('QA Log'!D:D,A250,'QA Log'!M:M,"Vignette",'QA Log'!Z:Z,"Rejected",'QA Log'!L:L,"*Vignette [5] Labor*"),
    COUNTIFS('QA Log'!D:D,A250,'QA Log'!M:M,"Vignette",'QA Log'!Z:Z,"Rejected",'QA Log'!L:L,"*Vignette [6] PNC pre Discharge*"),
    COUNTIFS('QA Log'!D:D,A250,'QA Log'!M:M,"Vignette",'QA Log'!Z:Z,"Rejected",'QA Log'!L:L,"*Vignette [7] First ANC Visit*"),
    COUNTIFS('QA Log'!D:D,A250,'QA Log'!M:M,"Vignette",'QA Log'!Z:Z,"Rejected",'QA Log'!L:L,"*Vignette [8] Birth Spacing/ Family Planning :  FP Counselling*"),
    COUNTIFS('QA Log'!D:D,A250,'QA Log'!M:M,"Vignette",'QA Log'!Z:Z,"Rejected",'QA Log'!L:L,"*Vignette [9] Birth Spacing: Change FP method to Injectable*"),
    COUNTIFS('QA Log'!D:D,A250,'QA Log'!M:M,"Vignette",'QA Log'!Z:Z,"Rejected",'QA Log'!L:L,"*Vignette [10] Post Partum Haemorrhage - Atonic Uterus at Health Centre*")
  )
)</f>
        <v/>
      </c>
      <c r="BN250" s="107" t="str">
        <f t="shared" si="11"/>
        <v/>
      </c>
      <c r="BO250" s="103" t="str">
        <f t="shared" si="12"/>
        <v/>
      </c>
      <c r="BP250" s="102" t="str">
        <f>IF(A250="","",SUM(
COUNTIFS('QA Log'!D:D,A250,'QA Log'!M:M,"Vignette",'QA Log'!L:L,"*Exit Interview 1*"),
COUNTIFS('QA Log'!D:D,A250,'QA Log'!M:M,"Vignette",'QA Log'!L:L,"*Exit Interview 2*"),
)
)</f>
        <v/>
      </c>
      <c r="BQ250" s="102" t="str">
        <f>IF(
  A250="","",
  SUM(
    COUNTIFS('QA Log'!D:D,A250,'QA Log'!M:M,"Vignette",'QA Log'!Z:Z,"Approved",'QA Log'!L:L,"*Exit Interview 1*"),
    COUNTIFS('QA Log'!D:D,A250,'QA Log'!M:M,"Vignette",'QA Log'!Z:Z,"Approved",'QA Log'!L:L,"*Exit Interview 2*")
  )
)</f>
        <v/>
      </c>
      <c r="BR250" s="105" t="str">
        <f>IF(A250&lt;&gt;"",COUNTIFS('QA Log'!D:D,A250,'QA Log'!M:M,"Vignette",'QA Log'!L:L,"Exit Interview 1",'QA Log'!Z:Z,"Approved"),"")</f>
        <v/>
      </c>
      <c r="BS250" s="105" t="str">
        <f>IF(A250&lt;&gt;"",COUNTIFS('QA Log'!D:D,A250,'QA Log'!M:M,"Vignette",'QA Log'!L:L,"Exit Interview 2",'QA Log'!Z:Z,"Approved"),"")</f>
        <v/>
      </c>
      <c r="BT250" s="102" t="str">
        <f>IF(
  A250="","",
  SUM(
    COUNTIFS('QA Log'!D:D,A250,'QA Log'!M:M,"Vignette",'QA Log'!Z:Z,"Rejected",'QA Log'!L:L,"*Exit Interview 1*"),
    COUNTIFS('QA Log'!D:D,A250,'QA Log'!M:M,"Vignette",'QA Log'!Z:Z,"Rejected",'QA Log'!L:L,"*Exit Interview 2*")
  )
)</f>
        <v/>
      </c>
      <c r="BU250" s="107" t="str">
        <f t="shared" si="13"/>
        <v/>
      </c>
      <c r="BV250" s="102" t="str">
        <f t="shared" si="14"/>
        <v/>
      </c>
      <c r="BW250" s="102" t="str">
        <f t="shared" si="15"/>
        <v/>
      </c>
      <c r="BX250" s="102" t="str">
        <f t="shared" si="16"/>
        <v/>
      </c>
      <c r="BY250" s="102" t="str">
        <f t="shared" si="17"/>
        <v/>
      </c>
      <c r="BZ250" s="107" t="str">
        <f t="shared" si="18"/>
        <v/>
      </c>
      <c r="CA250" s="108" t="str">
        <f t="shared" si="19"/>
        <v/>
      </c>
      <c r="CB250" s="108" t="str">
        <f t="shared" si="20"/>
        <v/>
      </c>
      <c r="CC250" s="109" t="str">
        <f t="shared" si="21"/>
        <v/>
      </c>
      <c r="CD250" s="108" t="str">
        <f t="shared" si="22"/>
        <v/>
      </c>
      <c r="CE250" s="108" t="str">
        <f t="shared" si="23"/>
        <v/>
      </c>
      <c r="CF250" s="109" t="str">
        <f t="shared" si="24"/>
        <v/>
      </c>
      <c r="CG250" s="110" t="str">
        <f t="shared" si="25"/>
        <v/>
      </c>
      <c r="CH250" s="111"/>
    </row>
    <row r="251" spans="1:86" ht="12.75">
      <c r="A251" s="101"/>
      <c r="B251" s="102" t="e">
        <f t="array" aca="1" ref="B251" ca="1">_xludf.XLOOKUP(A251,'QA Log'!D:D,'QA Log'!E:E,"")</f>
        <v>#NAME?</v>
      </c>
      <c r="C251" s="102" t="e">
        <f t="array" aca="1" ref="C251" ca="1">_xludf.XLOOKUP(A251,'QA Log'!D:D,'QA Log'!F:F,"")</f>
        <v>#NAME?</v>
      </c>
      <c r="D251" s="102" t="e">
        <f t="array" aca="1" ref="D251" ca="1">_xludf.XLOOKUP(A251,'QA Log'!D:D,'QA Log'!H:H,"")</f>
        <v>#NAME?</v>
      </c>
      <c r="E251" s="102" t="e">
        <f t="array" aca="1" ref="E251" ca="1">_xludf.XLOOKUP(A251,'QA Log'!D:D,'QA Log'!G:G,"")</f>
        <v>#NAME?</v>
      </c>
      <c r="F251" s="103"/>
      <c r="G251" s="104"/>
      <c r="H251" s="104"/>
      <c r="I251" s="103" t="str">
        <f t="shared" si="0"/>
        <v/>
      </c>
      <c r="J251" s="102" t="str">
        <f>IF(A251="","",SUM(
COUNTIFS('QA Log'!D:D,A251,'QA Log'!M:M,"QQC",'QA Log'!L:L,"*1. General Management*"),
COUNTIFS('QA Log'!D:D,A251,'QA Log'!M:M,"QQC",'QA Log'!L:L,"*3. Curative Consultation (OPD)*"),
COUNTIFS('QA Log'!D:D,A251,'QA Log'!M:M,"QQC",'QA Log'!L:L,"*5. Laboratory*"),
COUNTIFS('QA Log'!D:D,A251,'QA Log'!M:M,"QQC",'QA Log'!L:L,"*6. Essential Medicine Management*"),
COUNTIFS('QA Log'!D:D,A251,'QA Log'!M:M,"QQC",'QA Log'!L:L,"*7. Tracer Medicine*"),
COUNTIFS('QA Log'!D:D,A251,'QA Log'!M:M,"QQC",'QA Log'!L:L,"*11. Additional Questions*")))</f>
        <v/>
      </c>
      <c r="K251" s="102" t="str">
        <f>IF(A251="","",SUM(
COUNTIFS('QA Log'!D:D,A251,'QA Log'!M:M,"QQC",'QA Log'!Z:Z,"Approved",'QA Log'!L:L,"*1. General Management*"),
COUNTIFS('QA Log'!D:D,A251,'QA Log'!M:M,"QQC",'QA Log'!Z:Z,"Approved",'QA Log'!L:L,"*3. Curative Consultation (OPD)*"),
COUNTIFS('QA Log'!D:D,A251,'QA Log'!M:M,"QQC",'QA Log'!Z:Z,"Approved",'QA Log'!L:L,"*5. Laboratory*"),
COUNTIFS('QA Log'!D:D,A251,'QA Log'!M:M,"QQC",'QA Log'!Z:Z,"Approved",'QA Log'!L:L,"*6. Essential Medicine Management*"),
COUNTIFS('QA Log'!D:D,A251,'QA Log'!M:M,"QQC",'QA Log'!Z:Z,"Approved",'QA Log'!L:L,"*7. Tracer Medicine*"),
COUNTIFS('QA Log'!D:D,A251,'QA Log'!M:M,"QQC",'QA Log'!Z:Z,"Approved",'QA Log'!L:L,"*11. Additional Questions*")))</f>
        <v/>
      </c>
      <c r="L251" s="105" t="str">
        <f>IF(A251&lt;&gt;"",COUNTIFS('QA Log'!D:D,A251,'QA Log'!M:M,"QQC",'QA Log'!L:L,"1. General Management",'QA Log'!Z:Z,"Approved"),"")</f>
        <v/>
      </c>
      <c r="M251" s="105" t="str">
        <f>IF(A251&lt;&gt;"",COUNTIFS('QA Log'!D:D,A251,'QA Log'!M:M,"QQC",'QA Log'!L:L,"3. Curative Consultation (OPD)",'QA Log'!Z:Z,"Approved"),"")</f>
        <v/>
      </c>
      <c r="N251" s="105" t="str">
        <f>IF(A251&lt;&gt;"",COUNTIFS('QA Log'!D:D,A251,'QA Log'!M:M,"QQC",'QA Log'!L:L,"5. Laboratory",'QA Log'!Z:Z,"Approved"),"")</f>
        <v/>
      </c>
      <c r="O251" s="105" t="str">
        <f>IF(A251&lt;&gt;"",COUNTIFS('QA Log'!D:D,A251,'QA Log'!M:M,"QQC",'QA Log'!L:L,"6. Essential Medicine Management",'QA Log'!Z:Z,"Approved"),"")</f>
        <v/>
      </c>
      <c r="P251" s="105" t="str">
        <f>IF(A251&lt;&gt;"",COUNTIFS('QA Log'!D:D,A251,'QA Log'!M:M,"QQC",'QA Log'!L:L,"7. Tracer Medicine",'QA Log'!Z:Z,"Approved"),"")</f>
        <v/>
      </c>
      <c r="Q251" s="105" t="str">
        <f>IF(A251&lt;&gt;"",COUNTIFS('QA Log'!D:D,A251,'QA Log'!M:M,"QQC",'QA Log'!L:L,"11. Additional Questions",'QA Log'!Z:Z,"Approved"),"")</f>
        <v/>
      </c>
      <c r="R251" s="102" t="str">
        <f>IF(A251="","",SUM(
COUNTIFS('QA Log'!D:D,A251,'QA Log'!M:M,"QQC",'QA Log'!Z:Z,"Rejected",'QA Log'!L:L,"*8. Maternity*"),
COUNTIFS('QA Log'!D:D,A251,'QA Log'!M:M,"QQC",'QA Log'!Z:Z,"Rejected",'QA Log'!L:L,"*EPI*"),
COUNTIFS('QA Log'!D:D,A251,'QA Log'!M:M,"QQC",'QA Log'!Z:Z,"Rejected",'QA Log'!L:L,"*10. Antenatal Care (ANC)*"),
COUNTIFS('QA Log'!D:D,A251,'QA Log'!M:M,"QQC",'QA Log'!Z:Z,"Rejected",'QA Log'!L:L,"*2. Hygiene and Sterilization*"),
COUNTIFS('QA Log'!D:D,A251,'QA Log'!M:M,"QQC",'QA Log'!Z:Z,"Rejected",'QA Log'!L:L,"*Family Planning*")))</f>
        <v/>
      </c>
      <c r="S251" s="106" t="str">
        <f t="shared" si="1"/>
        <v/>
      </c>
      <c r="T251" s="102" t="str">
        <f t="shared" si="2"/>
        <v/>
      </c>
      <c r="U251" s="102" t="str">
        <f>IF(A251="","",
SUM(
COUNTIFS('QA Log'!D:D,A251,'QA Log'!M:M,"QQC",'QA Log'!L:L,"*8. Maternity*"),
COUNTIFS('QA Log'!D:D,A251,'QA Log'!M:M,"QQC",'QA Log'!L:L,"*9. EPI and Pre-school Consultation*"),
COUNTIFS('QA Log'!D:D,A251,'QA Log'!M:M,"QQC",'QA Log'!L:L,"*10. Antenatal Care (ANC)*"),
COUNTIFS('QA Log'!D:D,A251,'QA Log'!M:M,"QQC",'QA Log'!L:L,"*2. Hygiene and Sterilization*"),
COUNTIFS('QA Log'!D:D,A251,'QA Log'!M:M,"QQC",'QA Log'!L:L,"*4. Family Planning*")
))</f>
        <v/>
      </c>
      <c r="V251" s="102" t="str">
        <f>IF(A251="","",
SUM(
COUNTIFS('QA Log'!D:D,A251,'QA Log'!M:M,"QQC",'QA Log'!Z:Z,"Approved",'QA Log'!L:L,"*8. Maternity*"),
COUNTIFS('QA Log'!D:D,A251,'QA Log'!M:M,"QQC",'QA Log'!Z:Z,"Approved",'QA Log'!L:L,"*9. EPI and Pre-school Consultation*"),
COUNTIFS('QA Log'!D:D,A251,'QA Log'!M:M,"QQC",'QA Log'!Z:Z,"Approved",'QA Log'!L:L,"*10. Antenatal Care (ANC)*"),
COUNTIFS('QA Log'!D:D,A251,'QA Log'!M:M,"QQC",'QA Log'!Z:Z,"Approved",'QA Log'!L:L,"*2. Hygiene and Sterilization*"),
COUNTIFS('QA Log'!D:D,A251,'QA Log'!M:M,"QQC",'QA Log'!Z:Z,"Approved",'QA Log'!L:L,"*4. Family Planning*")
))</f>
        <v/>
      </c>
      <c r="W251" s="105" t="str">
        <f>IF(A251&lt;&gt;"",COUNTIFS('QA Log'!D:D,A251,'QA Log'!M:M,"QQC",'QA Log'!L:L,"8. Maternity",'QA Log'!Z:Z,"Approved"),"")</f>
        <v/>
      </c>
      <c r="X251" s="105" t="str">
        <f>IF(A251&lt;&gt;"",COUNTIFS('QA Log'!D:D,A251,'QA Log'!M:M,"QQC",'QA Log'!L:L,"9. EPI and Pre-school Consultation",'QA Log'!Z:Z,"Approved"),"")</f>
        <v/>
      </c>
      <c r="Y251" s="105" t="str">
        <f>IF(A251&lt;&gt;"",COUNTIFS('QA Log'!D:D,A251,'QA Log'!M:M,"QQC",'QA Log'!L:L,"10. Antenatal Care (ANC)",'QA Log'!Z:Z,"Approved"),"")</f>
        <v/>
      </c>
      <c r="Z251" s="105" t="str">
        <f>IF(A251&lt;&gt;"",COUNTIFS('QA Log'!D:D,A251,'QA Log'!M:M,"QQC",'QA Log'!L:L,"2. Hygiene and Sterilization",'QA Log'!Z:Z,"Approved"),"")</f>
        <v/>
      </c>
      <c r="AA251" s="105" t="str">
        <f>IF(A251&lt;&gt;"",COUNTIFS('QA Log'!D:D,A251,'QA Log'!M:M,"QQC",'QA Log'!L:L,"4. Family Planning",'QA Log'!Z:Z,"Approved"),"")</f>
        <v/>
      </c>
      <c r="AB251" s="102" t="str">
        <f>IF(A251="","",
SUM(
COUNTIFS('QA Log'!D:D,A251,'QA Log'!M:M,"QQC",'QA Log'!Z:Z,"Rejected",'QA Log'!L:L,"*8. Maternity*"),
COUNTIFS('QA Log'!D:D,A251,'QA Log'!M:M,"QQC",'QA Log'!Z:Z,"Rejected",'QA Log'!L:L,"*9. EPI and Pre-school Consultation*"),
COUNTIFS('QA Log'!D:D,A251,'QA Log'!M:M,"QQC",'QA Log'!Z:Z,"Rejected",'QA Log'!L:L,"*10. Antenatal Care (ANC)*"),
COUNTIFS('QA Log'!D:D,A251,'QA Log'!M:M,"QQC",'QA Log'!Z:Z,"Rejected",'QA Log'!L:L,"*2. Hygiene and Sterilization*"),
COUNTIFS('QA Log'!D:D,A251,'QA Log'!M:M,"QQC",'QA Log'!Z:Z,"Rejected",'QA Log'!L:L,"*4. Family Planning*")
))</f>
        <v/>
      </c>
      <c r="AC251" s="102" t="str">
        <f t="shared" si="3"/>
        <v/>
      </c>
      <c r="AD251" s="103" t="str">
        <f t="shared" si="4"/>
        <v/>
      </c>
      <c r="AE251" s="102" t="str">
        <f>IF(A251="","",
SUM(
COUNTIFS('QA Log'!D:D,A251,'QA Log'!M:M,"Data Verification",'QA Log'!L:L,"*Medicine (section 2)*"),
COUNTIFS('QA Log'!D:D,A251,'QA Log'!M:M,"Data Verification",'QA Log'!L:L,"*Lab Testing Availability*"),
COUNTIFS('QA Log'!D:D,A251,'QA Log'!M:M,"Data Verification",'QA Log'!L:L,"*Other than P4P (section 6)*"),
COUNTIFS('QA Log'!D:D,A251,'QA Log'!M:M,"Data Verification",'QA Log'!L:L,"*Hospital Governance*")
))</f>
        <v/>
      </c>
      <c r="AF251" s="102" t="str">
        <f>IF(A251="","",
SUM(
COUNTIFS('QA Log'!D:D,A251,'QA Log'!M:M,"Data Verification",'QA Log'!Z:Z,"Approved",'QA Log'!L:L,"*Medicine (section 2)*"),
COUNTIFS('QA Log'!D:D,A251,'QA Log'!M:M,"Data Verification",'QA Log'!Z:Z,"Approved",'QA Log'!L:L,"*Lab Testing Availability*"),
COUNTIFS('QA Log'!D:D,A251,'QA Log'!M:M,"Data Verification",'QA Log'!Z:Z,"Approved",'QA Log'!L:L,"*Other than P4P (section 6)*"),
COUNTIFS('QA Log'!D:D,A251,'QA Log'!M:M,"Data Verification",'QA Log'!Z:Z,"Approved",'QA Log'!L:L,"*Hospital Governance*")
))</f>
        <v/>
      </c>
      <c r="AG251" s="105" t="str">
        <f>IF(A251&lt;&gt;"",COUNTIFS('QA Log'!D:D,A251,'QA Log'!M:M,"Data Verification",'QA Log'!L:L,"Medicine (section 2)",'QA Log'!Z:Z,"Approved"),"")</f>
        <v/>
      </c>
      <c r="AH251" s="105" t="str">
        <f>IF(A251&lt;&gt;"",COUNTIFS('QA Log'!D:D,A251,'QA Log'!M:M,"Data Verification",'QA Log'!L:L,"Lab Testing Availability",'QA Log'!Z:Z,"Approved"),"")</f>
        <v/>
      </c>
      <c r="AI251" s="105" t="str">
        <f>IF(A251&lt;&gt;"",COUNTIFS('QA Log'!D:D,A251,'QA Log'!M:M,"Data Verification",'QA Log'!L:L,"Other than P4P (section 6)",'QA Log'!Z:Z,"Approved"),"")</f>
        <v/>
      </c>
      <c r="AJ251" s="105" t="str">
        <f>IF(A251&lt;&gt;"",COUNTIFS('QA Log'!D:D,A251,'QA Log'!M:M,"Data Verification",'QA Log'!L:L,"Hospital Governance",'QA Log'!Z:Z,"Approved"),"")</f>
        <v/>
      </c>
      <c r="AK251" s="102" t="str">
        <f>IF(A251="","",
SUM(
COUNTIFS('QA Log'!D:D,A251,'QA Log'!M:M,"Data Verification",'QA Log'!Z:Z,"Rejected",'QA Log'!L:L,"*Medicine (section 2)*"),
COUNTIFS('QA Log'!D:D,A251,'QA Log'!M:M,"Data Verification",'QA Log'!Z:Z,"Rejected",'QA Log'!L:L,"*Lab Testing Availability*"),
COUNTIFS('QA Log'!D:D,A251,'QA Log'!M:M,"Data Verification",'QA Log'!Z:Z,"Rejected",'QA Log'!L:L,"*Other than P4P (section 6)*"),
COUNTIFS('QA Log'!D:D,A251,'QA Log'!M:M,"Data Verification",'QA Log'!Z:Z,"Rejected",'QA Log'!L:L,"*Hospital Governance*")
))</f>
        <v/>
      </c>
      <c r="AL251" s="106" t="str">
        <f t="shared" si="5"/>
        <v/>
      </c>
      <c r="AM251" s="102" t="str">
        <f t="shared" si="6"/>
        <v/>
      </c>
      <c r="AN251" s="102" t="str">
        <f>IF(A251="","",
SUM(
COUNTIFS('QA Log'!D:D,A251,'QA Log'!M:M,"Data Verification",'QA Log'!L:L,"*Personnel (section 1)*"),
COUNTIFS('QA Log'!D:D,A251,'QA Log'!M:M,"Data Verification",'QA Log'!L:L,"*Consumable (section 3)*"),
COUNTIFS('QA Log'!D:D,A251,'QA Log'!M:M,"Data Verification",'QA Log'!L:L,"*Equipments (section 4)*")
))</f>
        <v/>
      </c>
      <c r="AO251" s="102" t="str">
        <f>IF(A251="","",
SUM(
COUNTIFS('QA Log'!D:D,A251,'QA Log'!M:M,"Data Verification",'QA Log'!Z:Z,"Approved",'QA Log'!L:L,"*Personnel (section 1)*"),
COUNTIFS('QA Log'!D:D,A251,'QA Log'!M:M,"Data Verification",'QA Log'!Z:Z,"Approved",'QA Log'!L:L,"*Consumable (section 3)*"),
COUNTIFS('QA Log'!D:D,A251,'QA Log'!M:M,"Data Verification",'QA Log'!Z:Z,"Approved",'QA Log'!L:L,"*Equipments (section 4)*")
))</f>
        <v/>
      </c>
      <c r="AP251" s="105" t="str">
        <f>IF(A251&lt;&gt;"",COUNTIFS('QA Log'!D:D,A251,'QA Log'!M:M,"Data Verification",'QA Log'!L:L,"Personnel (section 1)",'QA Log'!Z:Z,"Approved"),"")</f>
        <v/>
      </c>
      <c r="AQ251" s="105" t="str">
        <f>IF(A251&lt;&gt;"",COUNTIFS('QA Log'!D:D,A251,'QA Log'!M:M,"Data Verification",'QA Log'!L:L,"Consumable (section 3)",'QA Log'!Z:Z,"Approved"),"")</f>
        <v/>
      </c>
      <c r="AR251" s="105" t="str">
        <f>IF(A251&lt;&gt;"",COUNTIFS('QA Log'!D:D,A251,'QA Log'!M:M,"Data Verification",'QA Log'!L:L,"Equipments (section 4)",'QA Log'!Z:Z,"Approved"),"")</f>
        <v/>
      </c>
      <c r="AS251" s="102" t="str">
        <f>IF(A251="","",
SUM(
COUNTIFS('QA Log'!D:D,A251,'QA Log'!M:M,"Data Verification",'QA Log'!Z:Z,"Rejected",'QA Log'!L:L,"*Personnel (section 1)*"),
COUNTIFS('QA Log'!D:D,A251,'QA Log'!M:M,"Data Verification",'QA Log'!Z:Z,"Rejected",'QA Log'!L:L,"*Consumable (section 3)*"),
COUNTIFS('QA Log'!D:D,A251,'QA Log'!M:M,"Data Verification",'QA Log'!Z:Z,"Rejected",'QA Log'!L:L,"*Equipments (section 4)*")
))</f>
        <v/>
      </c>
      <c r="AT251" s="102" t="str">
        <f t="shared" si="7"/>
        <v/>
      </c>
      <c r="AU251" s="103" t="str">
        <f t="shared" si="8"/>
        <v/>
      </c>
      <c r="AV251" s="102" t="str">
        <f>IF(A251="","",SUM(
COUNTIFS('QA Log'!D:D,A251,'QA Log'!M:M,"Vignette",'QA Log'!L:L,"*Vignette [1] Respiratory Infection: Pneumonia*"),
COUNTIFS('QA Log'!D:D,A251,'QA Log'!M:M,"Vignette",'QA Log'!L:L,"*Vignette [2]: Diarrhea with Cat B dehydration*"),
COUNTIFS('QA Log'!D:D,A251,'QA Log'!M:M,"Vignette",'QA Log'!L:L,"*Vignette [3] Growth Monitoring and Promotion*"),
COUNTIFS('QA Log'!D:D,A251,'QA Log'!M:M,"Vignette",'QA Log'!L:L,"*Vignette [4]: The management of presumptive TB patient*")
)
)</f>
        <v/>
      </c>
      <c r="AW251" s="102" t="str">
        <f>IF(
  A251="","",
  SUM(
    COUNTIFS('QA Log'!D:D,A251,'QA Log'!M:M,"Vignette",'QA Log'!Z:Z,"Approved",'QA Log'!L:L,"*Vignette [1] Respiratory Infection: Pneumonia*"),
    COUNTIFS('QA Log'!D:D,A251,'QA Log'!M:M,"Vignette",'QA Log'!Z:Z,"Approved",'QA Log'!L:L,"*Vignette [2]: Diarrhea with Cat B dehydration*"),
    COUNTIFS('QA Log'!D:D,A251,'QA Log'!M:M,"Vignette",'QA Log'!Z:Z,"Approved",'QA Log'!L:L,"*Vignette [3] Growth Monitoring and Promotion*"),
    COUNTIFS('QA Log'!D:D,A251,'QA Log'!M:M,"Vignette",'QA Log'!Z:Z,"Approved",'QA Log'!L:L,"*Vignette [4]: The management of presumptive TB patient*")
  )
)</f>
        <v/>
      </c>
      <c r="AX251" s="105" t="str">
        <f>IF(A251&lt;&gt;"",COUNTIFS('QA Log'!D:D,A251,'QA Log'!M:M,"Vignette",'QA Log'!L:L,"Vignette [1] Respiratory Infection: Pneumonia",'QA Log'!Z:Z,"Approved"),"")</f>
        <v/>
      </c>
      <c r="AY251" s="105" t="str">
        <f>IF(A251&lt;&gt;"",COUNTIFS('QA Log'!D:D,A251,'QA Log'!M:M,"Vignette",'QA Log'!L:L,"Vignette [2]: Diarrhea with Cat B dehydration",'QA Log'!Z:Z,"Approved"),"")</f>
        <v/>
      </c>
      <c r="AZ251" s="105" t="str">
        <f>IF(A251&lt;&gt;"",COUNTIFS('QA Log'!D:D,A251,'QA Log'!M:M,"Vignette",'QA Log'!L:L,"Vignette [3] Growth Monitoring and Promotion",'QA Log'!Z:Z,"Approved"),"")</f>
        <v/>
      </c>
      <c r="BA251" s="105" t="str">
        <f>IF(A251&lt;&gt;"",COUNTIFS('QA Log'!D:D,A251,'QA Log'!M:M,"Vignette",'QA Log'!L:L,"Vignette [4]: The management of presumptive TB patient",'QA Log'!Z:Z,"Approved"),"")</f>
        <v/>
      </c>
      <c r="BB251" s="102" t="str">
        <f>IF(A251="","",
  SUM(
    COUNTIFS('QA Log'!D:D,A251,'QA Log'!M:M,"Vignette",'QA Log'!Z:Z,"Rejected",'QA Log'!L:L,"*Vignette [1] Respiratory Infection: Pneumonia*"),
    COUNTIFS('QA Log'!D:D,A251,'QA Log'!M:M,"Vignette",'QA Log'!Z:Z,"Rejected",'QA Log'!L:L,"*Vignette [2]: Diarrhea with Cat B dehydration*"),
    COUNTIFS('QA Log'!D:D,A251,'QA Log'!M:M,"Vignette",'QA Log'!Z:Z,"Rejected",'QA Log'!L:L,"*Vignette [3] Growth Monitoring and Promotion*"),
    COUNTIFS('QA Log'!D:D,A251,'QA Log'!M:M,"Vignette",'QA Log'!Z:Z,"Rejected",'QA Log'!L:L,"*Vignette [4]: The management of presumptive TB patient*")
  )
)</f>
        <v/>
      </c>
      <c r="BC251" s="107" t="str">
        <f t="shared" si="9"/>
        <v/>
      </c>
      <c r="BD251" s="103" t="str">
        <f t="shared" si="10"/>
        <v/>
      </c>
      <c r="BE251" s="102" t="str">
        <f>IF(A251="","",SUM(
COUNTIFS('QA Log'!D:D,A251,'QA Log'!M:M,"Vignette",'QA Log'!L:L,"*Vignette [5] Labor*"),
COUNTIFS('QA Log'!D:D,A251,'QA Log'!M:M,"Vignette",'QA Log'!L:L,"*Vignette [6] PNC pre Discharge*"),
COUNTIFS('QA Log'!D:D,A251,'QA Log'!M:M,"Vignette",'QA Log'!L:L,"*Vignette [7] First ANC Visit*"),
COUNTIFS('QA Log'!D:D,A251,'QA Log'!M:M,"Vignette",'QA Log'!L:L,"*Vignette [8] Birth Spacing/ Family Planning :  FP Counselling*"),
COUNTIFS('QA Log'!D:D,A251,'QA Log'!M:M,"Vignette",'QA Log'!L:L,"*Vignette [9] Birth Spacing: Change FP method to Injectable*"),
COUNTIFS('QA Log'!D:D,A251,'QA Log'!M:M,"Vignette",'QA Log'!L:L,"*Vignette [10] Post Partum Haemorrhage - Atonic Uterus at Health Centre*"),
)
)</f>
        <v/>
      </c>
      <c r="BF251" s="102" t="str">
        <f>IF(A251="","",
  SUM(
    COUNTIFS('QA Log'!D:D,A251,'QA Log'!M:M,"Vignette",'QA Log'!Z:Z,"Approved",'QA Log'!L:L,"*Vignette [5] Labor*"),
    COUNTIFS('QA Log'!D:D,A251,'QA Log'!M:M,"Vignette",'QA Log'!Z:Z,"Approved",'QA Log'!L:L,"*Vignette [6] PNC pre Discharge*"),
    COUNTIFS('QA Log'!D:D,A251,'QA Log'!M:M,"Vignette",'QA Log'!Z:Z,"Approved",'QA Log'!L:L,"*Vignette [7] First ANC Visit*"),
    COUNTIFS('QA Log'!D:D,A251,'QA Log'!M:M,"Vignette",'QA Log'!Z:Z,"Approved",'QA Log'!L:L,"*Vignette [8] Birth Spacing/ Family Planning :  FP Counselling*"),
    COUNTIFS('QA Log'!D:D,A251,'QA Log'!M:M,"Vignette",'QA Log'!Z:Z,"Approved",'QA Log'!L:L,"*Vignette [9] Birth Spacing: Change FP method to Injectable*"),
    COUNTIFS('QA Log'!D:D,A251,'QA Log'!M:M,"Vignette",'QA Log'!Z:Z,"Approved",'QA Log'!L:L,"*Vignette [10] Post Partum Haemorrhage - Atonic Uterus at Health Centre*")
  )
)</f>
        <v/>
      </c>
      <c r="BG251" s="105" t="str">
        <f>IF(A251&lt;&gt;"",COUNTIFS('QA Log'!D:D,A251,'QA Log'!M:M,"Vignette",'QA Log'!L:L,"Vignette [5] Labor",'QA Log'!Z:Z,"Approved"),"")</f>
        <v/>
      </c>
      <c r="BH251" s="105" t="str">
        <f>IF(A251&lt;&gt;"",COUNTIFS('QA Log'!D:D,A251,'QA Log'!M:M,"Vignette",'QA Log'!L:L,"Vignette [6] PNC pre Discharge",'QA Log'!Z:Z,"Approved"),"")</f>
        <v/>
      </c>
      <c r="BI251" s="105" t="str">
        <f>IF(A251&lt;&gt;"",COUNTIFS('QA Log'!D:D,A251,'QA Log'!M:M,"Vignette",'QA Log'!L:L,"Vignette [7] First ANC Visit",'QA Log'!Z:Z,"Approved"),"")</f>
        <v/>
      </c>
      <c r="BJ251" s="105" t="str">
        <f>IF(A251&lt;&gt;"",COUNTIFS('QA Log'!D:D,A251,'QA Log'!M:M,"Vignette",'QA Log'!L:L,"Vignette [8] Birth Spacing/ Family Planning :  FP Counselling",'QA Log'!Z:Z,"Approved"),"")</f>
        <v/>
      </c>
      <c r="BK251" s="105" t="str">
        <f>IF(A251&lt;&gt;"",COUNTIFS('QA Log'!D:D,A251,'QA Log'!M:M,"Vignette",'QA Log'!L:L,"Vignette [9] Birth Spacing: Change FP method to Injectable",'QA Log'!Z:Z,"Approved"),"")</f>
        <v/>
      </c>
      <c r="BL251" s="105" t="str">
        <f>IF(A251&lt;&gt;"",COUNTIFS('QA Log'!D:D,A251,'QA Log'!M:M,"Vignette",'QA Log'!L:L,"Vignette [10] Post Partum Haemorrhage - Atonic Uterus at Health Centre",'QA Log'!Z:Z,"Approved"),"")</f>
        <v/>
      </c>
      <c r="BM251" s="102" t="str">
        <f>IF(A251="","",SUM(
    COUNTIFS('QA Log'!D:D,A251,'QA Log'!M:M,"Vignette",'QA Log'!Z:Z,"Rejected",'QA Log'!L:L,"*Vignette [5] Labor*"),
    COUNTIFS('QA Log'!D:D,A251,'QA Log'!M:M,"Vignette",'QA Log'!Z:Z,"Rejected",'QA Log'!L:L,"*Vignette [6] PNC pre Discharge*"),
    COUNTIFS('QA Log'!D:D,A251,'QA Log'!M:M,"Vignette",'QA Log'!Z:Z,"Rejected",'QA Log'!L:L,"*Vignette [7] First ANC Visit*"),
    COUNTIFS('QA Log'!D:D,A251,'QA Log'!M:M,"Vignette",'QA Log'!Z:Z,"Rejected",'QA Log'!L:L,"*Vignette [8] Birth Spacing/ Family Planning :  FP Counselling*"),
    COUNTIFS('QA Log'!D:D,A251,'QA Log'!M:M,"Vignette",'QA Log'!Z:Z,"Rejected",'QA Log'!L:L,"*Vignette [9] Birth Spacing: Change FP method to Injectable*"),
    COUNTIFS('QA Log'!D:D,A251,'QA Log'!M:M,"Vignette",'QA Log'!Z:Z,"Rejected",'QA Log'!L:L,"*Vignette [10] Post Partum Haemorrhage - Atonic Uterus at Health Centre*")
  )
)</f>
        <v/>
      </c>
      <c r="BN251" s="107" t="str">
        <f t="shared" si="11"/>
        <v/>
      </c>
      <c r="BO251" s="103" t="str">
        <f t="shared" si="12"/>
        <v/>
      </c>
      <c r="BP251" s="102" t="str">
        <f>IF(A251="","",SUM(
COUNTIFS('QA Log'!D:D,A251,'QA Log'!M:M,"Vignette",'QA Log'!L:L,"*Exit Interview 1*"),
COUNTIFS('QA Log'!D:D,A251,'QA Log'!M:M,"Vignette",'QA Log'!L:L,"*Exit Interview 2*"),
)
)</f>
        <v/>
      </c>
      <c r="BQ251" s="102" t="str">
        <f>IF(
  A251="","",
  SUM(
    COUNTIFS('QA Log'!D:D,A251,'QA Log'!M:M,"Vignette",'QA Log'!Z:Z,"Approved",'QA Log'!L:L,"*Exit Interview 1*"),
    COUNTIFS('QA Log'!D:D,A251,'QA Log'!M:M,"Vignette",'QA Log'!Z:Z,"Approved",'QA Log'!L:L,"*Exit Interview 2*")
  )
)</f>
        <v/>
      </c>
      <c r="BR251" s="105" t="str">
        <f>IF(A251&lt;&gt;"",COUNTIFS('QA Log'!D:D,A251,'QA Log'!M:M,"Vignette",'QA Log'!L:L,"Exit Interview 1",'QA Log'!Z:Z,"Approved"),"")</f>
        <v/>
      </c>
      <c r="BS251" s="105" t="str">
        <f>IF(A251&lt;&gt;"",COUNTIFS('QA Log'!D:D,A251,'QA Log'!M:M,"Vignette",'QA Log'!L:L,"Exit Interview 2",'QA Log'!Z:Z,"Approved"),"")</f>
        <v/>
      </c>
      <c r="BT251" s="102" t="str">
        <f>IF(
  A251="","",
  SUM(
    COUNTIFS('QA Log'!D:D,A251,'QA Log'!M:M,"Vignette",'QA Log'!Z:Z,"Rejected",'QA Log'!L:L,"*Exit Interview 1*"),
    COUNTIFS('QA Log'!D:D,A251,'QA Log'!M:M,"Vignette",'QA Log'!Z:Z,"Rejected",'QA Log'!L:L,"*Exit Interview 2*")
  )
)</f>
        <v/>
      </c>
      <c r="BU251" s="107" t="str">
        <f t="shared" si="13"/>
        <v/>
      </c>
      <c r="BV251" s="102" t="str">
        <f t="shared" si="14"/>
        <v/>
      </c>
      <c r="BW251" s="102" t="str">
        <f t="shared" si="15"/>
        <v/>
      </c>
      <c r="BX251" s="102" t="str">
        <f t="shared" si="16"/>
        <v/>
      </c>
      <c r="BY251" s="102" t="str">
        <f t="shared" si="17"/>
        <v/>
      </c>
      <c r="BZ251" s="107" t="str">
        <f t="shared" si="18"/>
        <v/>
      </c>
      <c r="CA251" s="108" t="str">
        <f t="shared" si="19"/>
        <v/>
      </c>
      <c r="CB251" s="108" t="str">
        <f t="shared" si="20"/>
        <v/>
      </c>
      <c r="CC251" s="109" t="str">
        <f t="shared" si="21"/>
        <v/>
      </c>
      <c r="CD251" s="108" t="str">
        <f t="shared" si="22"/>
        <v/>
      </c>
      <c r="CE251" s="108" t="str">
        <f t="shared" si="23"/>
        <v/>
      </c>
      <c r="CF251" s="109" t="str">
        <f t="shared" si="24"/>
        <v/>
      </c>
      <c r="CG251" s="110" t="str">
        <f t="shared" si="25"/>
        <v/>
      </c>
      <c r="CH251" s="111"/>
    </row>
    <row r="252" spans="1:86" ht="12.75">
      <c r="A252" s="101"/>
      <c r="B252" s="102" t="e">
        <f t="array" aca="1" ref="B252" ca="1">_xludf.XLOOKUP(A252,'QA Log'!D:D,'QA Log'!E:E,"")</f>
        <v>#NAME?</v>
      </c>
      <c r="C252" s="102" t="e">
        <f t="array" aca="1" ref="C252" ca="1">_xludf.XLOOKUP(A252,'QA Log'!D:D,'QA Log'!F:F,"")</f>
        <v>#NAME?</v>
      </c>
      <c r="D252" s="102" t="e">
        <f t="array" aca="1" ref="D252" ca="1">_xludf.XLOOKUP(A252,'QA Log'!D:D,'QA Log'!H:H,"")</f>
        <v>#NAME?</v>
      </c>
      <c r="E252" s="102" t="e">
        <f t="array" aca="1" ref="E252" ca="1">_xludf.XLOOKUP(A252,'QA Log'!D:D,'QA Log'!G:G,"")</f>
        <v>#NAME?</v>
      </c>
      <c r="F252" s="103"/>
      <c r="G252" s="104"/>
      <c r="H252" s="104"/>
      <c r="I252" s="103" t="str">
        <f t="shared" si="0"/>
        <v/>
      </c>
      <c r="J252" s="102" t="str">
        <f>IF(A252="","",SUM(
COUNTIFS('QA Log'!D:D,A252,'QA Log'!M:M,"QQC",'QA Log'!L:L,"*1. General Management*"),
COUNTIFS('QA Log'!D:D,A252,'QA Log'!M:M,"QQC",'QA Log'!L:L,"*3. Curative Consultation (OPD)*"),
COUNTIFS('QA Log'!D:D,A252,'QA Log'!M:M,"QQC",'QA Log'!L:L,"*5. Laboratory*"),
COUNTIFS('QA Log'!D:D,A252,'QA Log'!M:M,"QQC",'QA Log'!L:L,"*6. Essential Medicine Management*"),
COUNTIFS('QA Log'!D:D,A252,'QA Log'!M:M,"QQC",'QA Log'!L:L,"*7. Tracer Medicine*"),
COUNTIFS('QA Log'!D:D,A252,'QA Log'!M:M,"QQC",'QA Log'!L:L,"*11. Additional Questions*")))</f>
        <v/>
      </c>
      <c r="K252" s="102" t="str">
        <f>IF(A252="","",SUM(
COUNTIFS('QA Log'!D:D,A252,'QA Log'!M:M,"QQC",'QA Log'!Z:Z,"Approved",'QA Log'!L:L,"*1. General Management*"),
COUNTIFS('QA Log'!D:D,A252,'QA Log'!M:M,"QQC",'QA Log'!Z:Z,"Approved",'QA Log'!L:L,"*3. Curative Consultation (OPD)*"),
COUNTIFS('QA Log'!D:D,A252,'QA Log'!M:M,"QQC",'QA Log'!Z:Z,"Approved",'QA Log'!L:L,"*5. Laboratory*"),
COUNTIFS('QA Log'!D:D,A252,'QA Log'!M:M,"QQC",'QA Log'!Z:Z,"Approved",'QA Log'!L:L,"*6. Essential Medicine Management*"),
COUNTIFS('QA Log'!D:D,A252,'QA Log'!M:M,"QQC",'QA Log'!Z:Z,"Approved",'QA Log'!L:L,"*7. Tracer Medicine*"),
COUNTIFS('QA Log'!D:D,A252,'QA Log'!M:M,"QQC",'QA Log'!Z:Z,"Approved",'QA Log'!L:L,"*11. Additional Questions*")))</f>
        <v/>
      </c>
      <c r="L252" s="105" t="str">
        <f>IF(A252&lt;&gt;"",COUNTIFS('QA Log'!D:D,A252,'QA Log'!M:M,"QQC",'QA Log'!L:L,"1. General Management",'QA Log'!Z:Z,"Approved"),"")</f>
        <v/>
      </c>
      <c r="M252" s="105" t="str">
        <f>IF(A252&lt;&gt;"",COUNTIFS('QA Log'!D:D,A252,'QA Log'!M:M,"QQC",'QA Log'!L:L,"3. Curative Consultation (OPD)",'QA Log'!Z:Z,"Approved"),"")</f>
        <v/>
      </c>
      <c r="N252" s="105" t="str">
        <f>IF(A252&lt;&gt;"",COUNTIFS('QA Log'!D:D,A252,'QA Log'!M:M,"QQC",'QA Log'!L:L,"5. Laboratory",'QA Log'!Z:Z,"Approved"),"")</f>
        <v/>
      </c>
      <c r="O252" s="105" t="str">
        <f>IF(A252&lt;&gt;"",COUNTIFS('QA Log'!D:D,A252,'QA Log'!M:M,"QQC",'QA Log'!L:L,"6. Essential Medicine Management",'QA Log'!Z:Z,"Approved"),"")</f>
        <v/>
      </c>
      <c r="P252" s="105" t="str">
        <f>IF(A252&lt;&gt;"",COUNTIFS('QA Log'!D:D,A252,'QA Log'!M:M,"QQC",'QA Log'!L:L,"7. Tracer Medicine",'QA Log'!Z:Z,"Approved"),"")</f>
        <v/>
      </c>
      <c r="Q252" s="105" t="str">
        <f>IF(A252&lt;&gt;"",COUNTIFS('QA Log'!D:D,A252,'QA Log'!M:M,"QQC",'QA Log'!L:L,"11. Additional Questions",'QA Log'!Z:Z,"Approved"),"")</f>
        <v/>
      </c>
      <c r="R252" s="102" t="str">
        <f>IF(A252="","",SUM(
COUNTIFS('QA Log'!D:D,A252,'QA Log'!M:M,"QQC",'QA Log'!Z:Z,"Rejected",'QA Log'!L:L,"*8. Maternity*"),
COUNTIFS('QA Log'!D:D,A252,'QA Log'!M:M,"QQC",'QA Log'!Z:Z,"Rejected",'QA Log'!L:L,"*EPI*"),
COUNTIFS('QA Log'!D:D,A252,'QA Log'!M:M,"QQC",'QA Log'!Z:Z,"Rejected",'QA Log'!L:L,"*10. Antenatal Care (ANC)*"),
COUNTIFS('QA Log'!D:D,A252,'QA Log'!M:M,"QQC",'QA Log'!Z:Z,"Rejected",'QA Log'!L:L,"*2. Hygiene and Sterilization*"),
COUNTIFS('QA Log'!D:D,A252,'QA Log'!M:M,"QQC",'QA Log'!Z:Z,"Rejected",'QA Log'!L:L,"*Family Planning*")))</f>
        <v/>
      </c>
      <c r="S252" s="106" t="str">
        <f t="shared" si="1"/>
        <v/>
      </c>
      <c r="T252" s="102" t="str">
        <f t="shared" si="2"/>
        <v/>
      </c>
      <c r="U252" s="102" t="str">
        <f>IF(A252="","",
SUM(
COUNTIFS('QA Log'!D:D,A252,'QA Log'!M:M,"QQC",'QA Log'!L:L,"*8. Maternity*"),
COUNTIFS('QA Log'!D:D,A252,'QA Log'!M:M,"QQC",'QA Log'!L:L,"*9. EPI and Pre-school Consultation*"),
COUNTIFS('QA Log'!D:D,A252,'QA Log'!M:M,"QQC",'QA Log'!L:L,"*10. Antenatal Care (ANC)*"),
COUNTIFS('QA Log'!D:D,A252,'QA Log'!M:M,"QQC",'QA Log'!L:L,"*2. Hygiene and Sterilization*"),
COUNTIFS('QA Log'!D:D,A252,'QA Log'!M:M,"QQC",'QA Log'!L:L,"*4. Family Planning*")
))</f>
        <v/>
      </c>
      <c r="V252" s="102" t="str">
        <f>IF(A252="","",
SUM(
COUNTIFS('QA Log'!D:D,A252,'QA Log'!M:M,"QQC",'QA Log'!Z:Z,"Approved",'QA Log'!L:L,"*8. Maternity*"),
COUNTIFS('QA Log'!D:D,A252,'QA Log'!M:M,"QQC",'QA Log'!Z:Z,"Approved",'QA Log'!L:L,"*9. EPI and Pre-school Consultation*"),
COUNTIFS('QA Log'!D:D,A252,'QA Log'!M:M,"QQC",'QA Log'!Z:Z,"Approved",'QA Log'!L:L,"*10. Antenatal Care (ANC)*"),
COUNTIFS('QA Log'!D:D,A252,'QA Log'!M:M,"QQC",'QA Log'!Z:Z,"Approved",'QA Log'!L:L,"*2. Hygiene and Sterilization*"),
COUNTIFS('QA Log'!D:D,A252,'QA Log'!M:M,"QQC",'QA Log'!Z:Z,"Approved",'QA Log'!L:L,"*4. Family Planning*")
))</f>
        <v/>
      </c>
      <c r="W252" s="105" t="str">
        <f>IF(A252&lt;&gt;"",COUNTIFS('QA Log'!D:D,A252,'QA Log'!M:M,"QQC",'QA Log'!L:L,"8. Maternity",'QA Log'!Z:Z,"Approved"),"")</f>
        <v/>
      </c>
      <c r="X252" s="105" t="str">
        <f>IF(A252&lt;&gt;"",COUNTIFS('QA Log'!D:D,A252,'QA Log'!M:M,"QQC",'QA Log'!L:L,"9. EPI and Pre-school Consultation",'QA Log'!Z:Z,"Approved"),"")</f>
        <v/>
      </c>
      <c r="Y252" s="105" t="str">
        <f>IF(A252&lt;&gt;"",COUNTIFS('QA Log'!D:D,A252,'QA Log'!M:M,"QQC",'QA Log'!L:L,"10. Antenatal Care (ANC)",'QA Log'!Z:Z,"Approved"),"")</f>
        <v/>
      </c>
      <c r="Z252" s="105" t="str">
        <f>IF(A252&lt;&gt;"",COUNTIFS('QA Log'!D:D,A252,'QA Log'!M:M,"QQC",'QA Log'!L:L,"2. Hygiene and Sterilization",'QA Log'!Z:Z,"Approved"),"")</f>
        <v/>
      </c>
      <c r="AA252" s="105" t="str">
        <f>IF(A252&lt;&gt;"",COUNTIFS('QA Log'!D:D,A252,'QA Log'!M:M,"QQC",'QA Log'!L:L,"4. Family Planning",'QA Log'!Z:Z,"Approved"),"")</f>
        <v/>
      </c>
      <c r="AB252" s="102" t="str">
        <f>IF(A252="","",
SUM(
COUNTIFS('QA Log'!D:D,A252,'QA Log'!M:M,"QQC",'QA Log'!Z:Z,"Rejected",'QA Log'!L:L,"*8. Maternity*"),
COUNTIFS('QA Log'!D:D,A252,'QA Log'!M:M,"QQC",'QA Log'!Z:Z,"Rejected",'QA Log'!L:L,"*9. EPI and Pre-school Consultation*"),
COUNTIFS('QA Log'!D:D,A252,'QA Log'!M:M,"QQC",'QA Log'!Z:Z,"Rejected",'QA Log'!L:L,"*10. Antenatal Care (ANC)*"),
COUNTIFS('QA Log'!D:D,A252,'QA Log'!M:M,"QQC",'QA Log'!Z:Z,"Rejected",'QA Log'!L:L,"*2. Hygiene and Sterilization*"),
COUNTIFS('QA Log'!D:D,A252,'QA Log'!M:M,"QQC",'QA Log'!Z:Z,"Rejected",'QA Log'!L:L,"*4. Family Planning*")
))</f>
        <v/>
      </c>
      <c r="AC252" s="102" t="str">
        <f t="shared" si="3"/>
        <v/>
      </c>
      <c r="AD252" s="103" t="str">
        <f t="shared" si="4"/>
        <v/>
      </c>
      <c r="AE252" s="102" t="str">
        <f>IF(A252="","",
SUM(
COUNTIFS('QA Log'!D:D,A252,'QA Log'!M:M,"Data Verification",'QA Log'!L:L,"*Medicine (section 2)*"),
COUNTIFS('QA Log'!D:D,A252,'QA Log'!M:M,"Data Verification",'QA Log'!L:L,"*Lab Testing Availability*"),
COUNTIFS('QA Log'!D:D,A252,'QA Log'!M:M,"Data Verification",'QA Log'!L:L,"*Other than P4P (section 6)*"),
COUNTIFS('QA Log'!D:D,A252,'QA Log'!M:M,"Data Verification",'QA Log'!L:L,"*Hospital Governance*")
))</f>
        <v/>
      </c>
      <c r="AF252" s="102" t="str">
        <f>IF(A252="","",
SUM(
COUNTIFS('QA Log'!D:D,A252,'QA Log'!M:M,"Data Verification",'QA Log'!Z:Z,"Approved",'QA Log'!L:L,"*Medicine (section 2)*"),
COUNTIFS('QA Log'!D:D,A252,'QA Log'!M:M,"Data Verification",'QA Log'!Z:Z,"Approved",'QA Log'!L:L,"*Lab Testing Availability*"),
COUNTIFS('QA Log'!D:D,A252,'QA Log'!M:M,"Data Verification",'QA Log'!Z:Z,"Approved",'QA Log'!L:L,"*Other than P4P (section 6)*"),
COUNTIFS('QA Log'!D:D,A252,'QA Log'!M:M,"Data Verification",'QA Log'!Z:Z,"Approved",'QA Log'!L:L,"*Hospital Governance*")
))</f>
        <v/>
      </c>
      <c r="AG252" s="105" t="str">
        <f>IF(A252&lt;&gt;"",COUNTIFS('QA Log'!D:D,A252,'QA Log'!M:M,"Data Verification",'QA Log'!L:L,"Medicine (section 2)",'QA Log'!Z:Z,"Approved"),"")</f>
        <v/>
      </c>
      <c r="AH252" s="105" t="str">
        <f>IF(A252&lt;&gt;"",COUNTIFS('QA Log'!D:D,A252,'QA Log'!M:M,"Data Verification",'QA Log'!L:L,"Lab Testing Availability",'QA Log'!Z:Z,"Approved"),"")</f>
        <v/>
      </c>
      <c r="AI252" s="105" t="str">
        <f>IF(A252&lt;&gt;"",COUNTIFS('QA Log'!D:D,A252,'QA Log'!M:M,"Data Verification",'QA Log'!L:L,"Other than P4P (section 6)",'QA Log'!Z:Z,"Approved"),"")</f>
        <v/>
      </c>
      <c r="AJ252" s="105" t="str">
        <f>IF(A252&lt;&gt;"",COUNTIFS('QA Log'!D:D,A252,'QA Log'!M:M,"Data Verification",'QA Log'!L:L,"Hospital Governance",'QA Log'!Z:Z,"Approved"),"")</f>
        <v/>
      </c>
      <c r="AK252" s="102" t="str">
        <f>IF(A252="","",
SUM(
COUNTIFS('QA Log'!D:D,A252,'QA Log'!M:M,"Data Verification",'QA Log'!Z:Z,"Rejected",'QA Log'!L:L,"*Medicine (section 2)*"),
COUNTIFS('QA Log'!D:D,A252,'QA Log'!M:M,"Data Verification",'QA Log'!Z:Z,"Rejected",'QA Log'!L:L,"*Lab Testing Availability*"),
COUNTIFS('QA Log'!D:D,A252,'QA Log'!M:M,"Data Verification",'QA Log'!Z:Z,"Rejected",'QA Log'!L:L,"*Other than P4P (section 6)*"),
COUNTIFS('QA Log'!D:D,A252,'QA Log'!M:M,"Data Verification",'QA Log'!Z:Z,"Rejected",'QA Log'!L:L,"*Hospital Governance*")
))</f>
        <v/>
      </c>
      <c r="AL252" s="106" t="str">
        <f t="shared" si="5"/>
        <v/>
      </c>
      <c r="AM252" s="102" t="str">
        <f t="shared" si="6"/>
        <v/>
      </c>
      <c r="AN252" s="102" t="str">
        <f>IF(A252="","",
SUM(
COUNTIFS('QA Log'!D:D,A252,'QA Log'!M:M,"Data Verification",'QA Log'!L:L,"*Personnel (section 1)*"),
COUNTIFS('QA Log'!D:D,A252,'QA Log'!M:M,"Data Verification",'QA Log'!L:L,"*Consumable (section 3)*"),
COUNTIFS('QA Log'!D:D,A252,'QA Log'!M:M,"Data Verification",'QA Log'!L:L,"*Equipments (section 4)*")
))</f>
        <v/>
      </c>
      <c r="AO252" s="102" t="str">
        <f>IF(A252="","",
SUM(
COUNTIFS('QA Log'!D:D,A252,'QA Log'!M:M,"Data Verification",'QA Log'!Z:Z,"Approved",'QA Log'!L:L,"*Personnel (section 1)*"),
COUNTIFS('QA Log'!D:D,A252,'QA Log'!M:M,"Data Verification",'QA Log'!Z:Z,"Approved",'QA Log'!L:L,"*Consumable (section 3)*"),
COUNTIFS('QA Log'!D:D,A252,'QA Log'!M:M,"Data Verification",'QA Log'!Z:Z,"Approved",'QA Log'!L:L,"*Equipments (section 4)*")
))</f>
        <v/>
      </c>
      <c r="AP252" s="105" t="str">
        <f>IF(A252&lt;&gt;"",COUNTIFS('QA Log'!D:D,A252,'QA Log'!M:M,"Data Verification",'QA Log'!L:L,"Personnel (section 1)",'QA Log'!Z:Z,"Approved"),"")</f>
        <v/>
      </c>
      <c r="AQ252" s="105" t="str">
        <f>IF(A252&lt;&gt;"",COUNTIFS('QA Log'!D:D,A252,'QA Log'!M:M,"Data Verification",'QA Log'!L:L,"Consumable (section 3)",'QA Log'!Z:Z,"Approved"),"")</f>
        <v/>
      </c>
      <c r="AR252" s="105" t="str">
        <f>IF(A252&lt;&gt;"",COUNTIFS('QA Log'!D:D,A252,'QA Log'!M:M,"Data Verification",'QA Log'!L:L,"Equipments (section 4)",'QA Log'!Z:Z,"Approved"),"")</f>
        <v/>
      </c>
      <c r="AS252" s="102" t="str">
        <f>IF(A252="","",
SUM(
COUNTIFS('QA Log'!D:D,A252,'QA Log'!M:M,"Data Verification",'QA Log'!Z:Z,"Rejected",'QA Log'!L:L,"*Personnel (section 1)*"),
COUNTIFS('QA Log'!D:D,A252,'QA Log'!M:M,"Data Verification",'QA Log'!Z:Z,"Rejected",'QA Log'!L:L,"*Consumable (section 3)*"),
COUNTIFS('QA Log'!D:D,A252,'QA Log'!M:M,"Data Verification",'QA Log'!Z:Z,"Rejected",'QA Log'!L:L,"*Equipments (section 4)*")
))</f>
        <v/>
      </c>
      <c r="AT252" s="102" t="str">
        <f t="shared" si="7"/>
        <v/>
      </c>
      <c r="AU252" s="103" t="str">
        <f t="shared" si="8"/>
        <v/>
      </c>
      <c r="AV252" s="102" t="str">
        <f>IF(A252="","",SUM(
COUNTIFS('QA Log'!D:D,A252,'QA Log'!M:M,"Vignette",'QA Log'!L:L,"*Vignette [1] Respiratory Infection: Pneumonia*"),
COUNTIFS('QA Log'!D:D,A252,'QA Log'!M:M,"Vignette",'QA Log'!L:L,"*Vignette [2]: Diarrhea with Cat B dehydration*"),
COUNTIFS('QA Log'!D:D,A252,'QA Log'!M:M,"Vignette",'QA Log'!L:L,"*Vignette [3] Growth Monitoring and Promotion*"),
COUNTIFS('QA Log'!D:D,A252,'QA Log'!M:M,"Vignette",'QA Log'!L:L,"*Vignette [4]: The management of presumptive TB patient*")
)
)</f>
        <v/>
      </c>
      <c r="AW252" s="102" t="str">
        <f>IF(
  A252="","",
  SUM(
    COUNTIFS('QA Log'!D:D,A252,'QA Log'!M:M,"Vignette",'QA Log'!Z:Z,"Approved",'QA Log'!L:L,"*Vignette [1] Respiratory Infection: Pneumonia*"),
    COUNTIFS('QA Log'!D:D,A252,'QA Log'!M:M,"Vignette",'QA Log'!Z:Z,"Approved",'QA Log'!L:L,"*Vignette [2]: Diarrhea with Cat B dehydration*"),
    COUNTIFS('QA Log'!D:D,A252,'QA Log'!M:M,"Vignette",'QA Log'!Z:Z,"Approved",'QA Log'!L:L,"*Vignette [3] Growth Monitoring and Promotion*"),
    COUNTIFS('QA Log'!D:D,A252,'QA Log'!M:M,"Vignette",'QA Log'!Z:Z,"Approved",'QA Log'!L:L,"*Vignette [4]: The management of presumptive TB patient*")
  )
)</f>
        <v/>
      </c>
      <c r="AX252" s="105" t="str">
        <f>IF(A252&lt;&gt;"",COUNTIFS('QA Log'!D:D,A252,'QA Log'!M:M,"Vignette",'QA Log'!L:L,"Vignette [1] Respiratory Infection: Pneumonia",'QA Log'!Z:Z,"Approved"),"")</f>
        <v/>
      </c>
      <c r="AY252" s="105" t="str">
        <f>IF(A252&lt;&gt;"",COUNTIFS('QA Log'!D:D,A252,'QA Log'!M:M,"Vignette",'QA Log'!L:L,"Vignette [2]: Diarrhea with Cat B dehydration",'QA Log'!Z:Z,"Approved"),"")</f>
        <v/>
      </c>
      <c r="AZ252" s="105" t="str">
        <f>IF(A252&lt;&gt;"",COUNTIFS('QA Log'!D:D,A252,'QA Log'!M:M,"Vignette",'QA Log'!L:L,"Vignette [3] Growth Monitoring and Promotion",'QA Log'!Z:Z,"Approved"),"")</f>
        <v/>
      </c>
      <c r="BA252" s="105" t="str">
        <f>IF(A252&lt;&gt;"",COUNTIFS('QA Log'!D:D,A252,'QA Log'!M:M,"Vignette",'QA Log'!L:L,"Vignette [4]: The management of presumptive TB patient",'QA Log'!Z:Z,"Approved"),"")</f>
        <v/>
      </c>
      <c r="BB252" s="102" t="str">
        <f>IF(A252="","",
  SUM(
    COUNTIFS('QA Log'!D:D,A252,'QA Log'!M:M,"Vignette",'QA Log'!Z:Z,"Rejected",'QA Log'!L:L,"*Vignette [1] Respiratory Infection: Pneumonia*"),
    COUNTIFS('QA Log'!D:D,A252,'QA Log'!M:M,"Vignette",'QA Log'!Z:Z,"Rejected",'QA Log'!L:L,"*Vignette [2]: Diarrhea with Cat B dehydration*"),
    COUNTIFS('QA Log'!D:D,A252,'QA Log'!M:M,"Vignette",'QA Log'!Z:Z,"Rejected",'QA Log'!L:L,"*Vignette [3] Growth Monitoring and Promotion*"),
    COUNTIFS('QA Log'!D:D,A252,'QA Log'!M:M,"Vignette",'QA Log'!Z:Z,"Rejected",'QA Log'!L:L,"*Vignette [4]: The management of presumptive TB patient*")
  )
)</f>
        <v/>
      </c>
      <c r="BC252" s="107" t="str">
        <f t="shared" si="9"/>
        <v/>
      </c>
      <c r="BD252" s="103" t="str">
        <f t="shared" si="10"/>
        <v/>
      </c>
      <c r="BE252" s="102" t="str">
        <f>IF(A252="","",SUM(
COUNTIFS('QA Log'!D:D,A252,'QA Log'!M:M,"Vignette",'QA Log'!L:L,"*Vignette [5] Labor*"),
COUNTIFS('QA Log'!D:D,A252,'QA Log'!M:M,"Vignette",'QA Log'!L:L,"*Vignette [6] PNC pre Discharge*"),
COUNTIFS('QA Log'!D:D,A252,'QA Log'!M:M,"Vignette",'QA Log'!L:L,"*Vignette [7] First ANC Visit*"),
COUNTIFS('QA Log'!D:D,A252,'QA Log'!M:M,"Vignette",'QA Log'!L:L,"*Vignette [8] Birth Spacing/ Family Planning :  FP Counselling*"),
COUNTIFS('QA Log'!D:D,A252,'QA Log'!M:M,"Vignette",'QA Log'!L:L,"*Vignette [9] Birth Spacing: Change FP method to Injectable*"),
COUNTIFS('QA Log'!D:D,A252,'QA Log'!M:M,"Vignette",'QA Log'!L:L,"*Vignette [10] Post Partum Haemorrhage - Atonic Uterus at Health Centre*"),
)
)</f>
        <v/>
      </c>
      <c r="BF252" s="102" t="str">
        <f>IF(A252="","",
  SUM(
    COUNTIFS('QA Log'!D:D,A252,'QA Log'!M:M,"Vignette",'QA Log'!Z:Z,"Approved",'QA Log'!L:L,"*Vignette [5] Labor*"),
    COUNTIFS('QA Log'!D:D,A252,'QA Log'!M:M,"Vignette",'QA Log'!Z:Z,"Approved",'QA Log'!L:L,"*Vignette [6] PNC pre Discharge*"),
    COUNTIFS('QA Log'!D:D,A252,'QA Log'!M:M,"Vignette",'QA Log'!Z:Z,"Approved",'QA Log'!L:L,"*Vignette [7] First ANC Visit*"),
    COUNTIFS('QA Log'!D:D,A252,'QA Log'!M:M,"Vignette",'QA Log'!Z:Z,"Approved",'QA Log'!L:L,"*Vignette [8] Birth Spacing/ Family Planning :  FP Counselling*"),
    COUNTIFS('QA Log'!D:D,A252,'QA Log'!M:M,"Vignette",'QA Log'!Z:Z,"Approved",'QA Log'!L:L,"*Vignette [9] Birth Spacing: Change FP method to Injectable*"),
    COUNTIFS('QA Log'!D:D,A252,'QA Log'!M:M,"Vignette",'QA Log'!Z:Z,"Approved",'QA Log'!L:L,"*Vignette [10] Post Partum Haemorrhage - Atonic Uterus at Health Centre*")
  )
)</f>
        <v/>
      </c>
      <c r="BG252" s="105" t="str">
        <f>IF(A252&lt;&gt;"",COUNTIFS('QA Log'!D:D,A252,'QA Log'!M:M,"Vignette",'QA Log'!L:L,"Vignette [5] Labor",'QA Log'!Z:Z,"Approved"),"")</f>
        <v/>
      </c>
      <c r="BH252" s="105" t="str">
        <f>IF(A252&lt;&gt;"",COUNTIFS('QA Log'!D:D,A252,'QA Log'!M:M,"Vignette",'QA Log'!L:L,"Vignette [6] PNC pre Discharge",'QA Log'!Z:Z,"Approved"),"")</f>
        <v/>
      </c>
      <c r="BI252" s="105" t="str">
        <f>IF(A252&lt;&gt;"",COUNTIFS('QA Log'!D:D,A252,'QA Log'!M:M,"Vignette",'QA Log'!L:L,"Vignette [7] First ANC Visit",'QA Log'!Z:Z,"Approved"),"")</f>
        <v/>
      </c>
      <c r="BJ252" s="105" t="str">
        <f>IF(A252&lt;&gt;"",COUNTIFS('QA Log'!D:D,A252,'QA Log'!M:M,"Vignette",'QA Log'!L:L,"Vignette [8] Birth Spacing/ Family Planning :  FP Counselling",'QA Log'!Z:Z,"Approved"),"")</f>
        <v/>
      </c>
      <c r="BK252" s="105" t="str">
        <f>IF(A252&lt;&gt;"",COUNTIFS('QA Log'!D:D,A252,'QA Log'!M:M,"Vignette",'QA Log'!L:L,"Vignette [9] Birth Spacing: Change FP method to Injectable",'QA Log'!Z:Z,"Approved"),"")</f>
        <v/>
      </c>
      <c r="BL252" s="105" t="str">
        <f>IF(A252&lt;&gt;"",COUNTIFS('QA Log'!D:D,A252,'QA Log'!M:M,"Vignette",'QA Log'!L:L,"Vignette [10] Post Partum Haemorrhage - Atonic Uterus at Health Centre",'QA Log'!Z:Z,"Approved"),"")</f>
        <v/>
      </c>
      <c r="BM252" s="102" t="str">
        <f>IF(A252="","",SUM(
    COUNTIFS('QA Log'!D:D,A252,'QA Log'!M:M,"Vignette",'QA Log'!Z:Z,"Rejected",'QA Log'!L:L,"*Vignette [5] Labor*"),
    COUNTIFS('QA Log'!D:D,A252,'QA Log'!M:M,"Vignette",'QA Log'!Z:Z,"Rejected",'QA Log'!L:L,"*Vignette [6] PNC pre Discharge*"),
    COUNTIFS('QA Log'!D:D,A252,'QA Log'!M:M,"Vignette",'QA Log'!Z:Z,"Rejected",'QA Log'!L:L,"*Vignette [7] First ANC Visit*"),
    COUNTIFS('QA Log'!D:D,A252,'QA Log'!M:M,"Vignette",'QA Log'!Z:Z,"Rejected",'QA Log'!L:L,"*Vignette [8] Birth Spacing/ Family Planning :  FP Counselling*"),
    COUNTIFS('QA Log'!D:D,A252,'QA Log'!M:M,"Vignette",'QA Log'!Z:Z,"Rejected",'QA Log'!L:L,"*Vignette [9] Birth Spacing: Change FP method to Injectable*"),
    COUNTIFS('QA Log'!D:D,A252,'QA Log'!M:M,"Vignette",'QA Log'!Z:Z,"Rejected",'QA Log'!L:L,"*Vignette [10] Post Partum Haemorrhage - Atonic Uterus at Health Centre*")
  )
)</f>
        <v/>
      </c>
      <c r="BN252" s="107" t="str">
        <f t="shared" si="11"/>
        <v/>
      </c>
      <c r="BO252" s="103" t="str">
        <f t="shared" si="12"/>
        <v/>
      </c>
      <c r="BP252" s="102" t="str">
        <f>IF(A252="","",SUM(
COUNTIFS('QA Log'!D:D,A252,'QA Log'!M:M,"Vignette",'QA Log'!L:L,"*Exit Interview 1*"),
COUNTIFS('QA Log'!D:D,A252,'QA Log'!M:M,"Vignette",'QA Log'!L:L,"*Exit Interview 2*"),
)
)</f>
        <v/>
      </c>
      <c r="BQ252" s="102" t="str">
        <f>IF(
  A252="","",
  SUM(
    COUNTIFS('QA Log'!D:D,A252,'QA Log'!M:M,"Vignette",'QA Log'!Z:Z,"Approved",'QA Log'!L:L,"*Exit Interview 1*"),
    COUNTIFS('QA Log'!D:D,A252,'QA Log'!M:M,"Vignette",'QA Log'!Z:Z,"Approved",'QA Log'!L:L,"*Exit Interview 2*")
  )
)</f>
        <v/>
      </c>
      <c r="BR252" s="105" t="str">
        <f>IF(A252&lt;&gt;"",COUNTIFS('QA Log'!D:D,A252,'QA Log'!M:M,"Vignette",'QA Log'!L:L,"Exit Interview 1",'QA Log'!Z:Z,"Approved"),"")</f>
        <v/>
      </c>
      <c r="BS252" s="105" t="str">
        <f>IF(A252&lt;&gt;"",COUNTIFS('QA Log'!D:D,A252,'QA Log'!M:M,"Vignette",'QA Log'!L:L,"Exit Interview 2",'QA Log'!Z:Z,"Approved"),"")</f>
        <v/>
      </c>
      <c r="BT252" s="102" t="str">
        <f>IF(
  A252="","",
  SUM(
    COUNTIFS('QA Log'!D:D,A252,'QA Log'!M:M,"Vignette",'QA Log'!Z:Z,"Rejected",'QA Log'!L:L,"*Exit Interview 1*"),
    COUNTIFS('QA Log'!D:D,A252,'QA Log'!M:M,"Vignette",'QA Log'!Z:Z,"Rejected",'QA Log'!L:L,"*Exit Interview 2*")
  )
)</f>
        <v/>
      </c>
      <c r="BU252" s="107" t="str">
        <f t="shared" si="13"/>
        <v/>
      </c>
      <c r="BV252" s="102" t="str">
        <f t="shared" si="14"/>
        <v/>
      </c>
      <c r="BW252" s="102" t="str">
        <f t="shared" si="15"/>
        <v/>
      </c>
      <c r="BX252" s="102" t="str">
        <f t="shared" si="16"/>
        <v/>
      </c>
      <c r="BY252" s="102" t="str">
        <f t="shared" si="17"/>
        <v/>
      </c>
      <c r="BZ252" s="107" t="str">
        <f t="shared" si="18"/>
        <v/>
      </c>
      <c r="CA252" s="108" t="str">
        <f t="shared" si="19"/>
        <v/>
      </c>
      <c r="CB252" s="108" t="str">
        <f t="shared" si="20"/>
        <v/>
      </c>
      <c r="CC252" s="109" t="str">
        <f t="shared" si="21"/>
        <v/>
      </c>
      <c r="CD252" s="108" t="str">
        <f t="shared" si="22"/>
        <v/>
      </c>
      <c r="CE252" s="108" t="str">
        <f t="shared" si="23"/>
        <v/>
      </c>
      <c r="CF252" s="109" t="str">
        <f t="shared" si="24"/>
        <v/>
      </c>
      <c r="CG252" s="110" t="str">
        <f t="shared" si="25"/>
        <v/>
      </c>
      <c r="CH252" s="111"/>
    </row>
    <row r="253" spans="1:86" ht="12.75">
      <c r="A253" s="101"/>
      <c r="B253" s="102" t="e">
        <f t="array" aca="1" ref="B253" ca="1">_xludf.XLOOKUP(A253,'QA Log'!D:D,'QA Log'!E:E,"")</f>
        <v>#NAME?</v>
      </c>
      <c r="C253" s="102" t="e">
        <f t="array" aca="1" ref="C253" ca="1">_xludf.XLOOKUP(A253,'QA Log'!D:D,'QA Log'!F:F,"")</f>
        <v>#NAME?</v>
      </c>
      <c r="D253" s="102" t="e">
        <f t="array" aca="1" ref="D253" ca="1">_xludf.XLOOKUP(A253,'QA Log'!D:D,'QA Log'!H:H,"")</f>
        <v>#NAME?</v>
      </c>
      <c r="E253" s="102" t="e">
        <f t="array" aca="1" ref="E253" ca="1">_xludf.XLOOKUP(A253,'QA Log'!D:D,'QA Log'!G:G,"")</f>
        <v>#NAME?</v>
      </c>
      <c r="F253" s="103"/>
      <c r="G253" s="104"/>
      <c r="H253" s="104"/>
      <c r="I253" s="103" t="str">
        <f t="shared" si="0"/>
        <v/>
      </c>
      <c r="J253" s="102" t="str">
        <f>IF(A253="","",SUM(
COUNTIFS('QA Log'!D:D,A253,'QA Log'!M:M,"QQC",'QA Log'!L:L,"*1. General Management*"),
COUNTIFS('QA Log'!D:D,A253,'QA Log'!M:M,"QQC",'QA Log'!L:L,"*3. Curative Consultation (OPD)*"),
COUNTIFS('QA Log'!D:D,A253,'QA Log'!M:M,"QQC",'QA Log'!L:L,"*5. Laboratory*"),
COUNTIFS('QA Log'!D:D,A253,'QA Log'!M:M,"QQC",'QA Log'!L:L,"*6. Essential Medicine Management*"),
COUNTIFS('QA Log'!D:D,A253,'QA Log'!M:M,"QQC",'QA Log'!L:L,"*7. Tracer Medicine*"),
COUNTIFS('QA Log'!D:D,A253,'QA Log'!M:M,"QQC",'QA Log'!L:L,"*11. Additional Questions*")))</f>
        <v/>
      </c>
      <c r="K253" s="102" t="str">
        <f>IF(A253="","",SUM(
COUNTIFS('QA Log'!D:D,A253,'QA Log'!M:M,"QQC",'QA Log'!Z:Z,"Approved",'QA Log'!L:L,"*1. General Management*"),
COUNTIFS('QA Log'!D:D,A253,'QA Log'!M:M,"QQC",'QA Log'!Z:Z,"Approved",'QA Log'!L:L,"*3. Curative Consultation (OPD)*"),
COUNTIFS('QA Log'!D:D,A253,'QA Log'!M:M,"QQC",'QA Log'!Z:Z,"Approved",'QA Log'!L:L,"*5. Laboratory*"),
COUNTIFS('QA Log'!D:D,A253,'QA Log'!M:M,"QQC",'QA Log'!Z:Z,"Approved",'QA Log'!L:L,"*6. Essential Medicine Management*"),
COUNTIFS('QA Log'!D:D,A253,'QA Log'!M:M,"QQC",'QA Log'!Z:Z,"Approved",'QA Log'!L:L,"*7. Tracer Medicine*"),
COUNTIFS('QA Log'!D:D,A253,'QA Log'!M:M,"QQC",'QA Log'!Z:Z,"Approved",'QA Log'!L:L,"*11. Additional Questions*")))</f>
        <v/>
      </c>
      <c r="L253" s="105" t="str">
        <f>IF(A253&lt;&gt;"",COUNTIFS('QA Log'!D:D,A253,'QA Log'!M:M,"QQC",'QA Log'!L:L,"1. General Management",'QA Log'!Z:Z,"Approved"),"")</f>
        <v/>
      </c>
      <c r="M253" s="105" t="str">
        <f>IF(A253&lt;&gt;"",COUNTIFS('QA Log'!D:D,A253,'QA Log'!M:M,"QQC",'QA Log'!L:L,"3. Curative Consultation (OPD)",'QA Log'!Z:Z,"Approved"),"")</f>
        <v/>
      </c>
      <c r="N253" s="105" t="str">
        <f>IF(A253&lt;&gt;"",COUNTIFS('QA Log'!D:D,A253,'QA Log'!M:M,"QQC",'QA Log'!L:L,"5. Laboratory",'QA Log'!Z:Z,"Approved"),"")</f>
        <v/>
      </c>
      <c r="O253" s="105" t="str">
        <f>IF(A253&lt;&gt;"",COUNTIFS('QA Log'!D:D,A253,'QA Log'!M:M,"QQC",'QA Log'!L:L,"6. Essential Medicine Management",'QA Log'!Z:Z,"Approved"),"")</f>
        <v/>
      </c>
      <c r="P253" s="105" t="str">
        <f>IF(A253&lt;&gt;"",COUNTIFS('QA Log'!D:D,A253,'QA Log'!M:M,"QQC",'QA Log'!L:L,"7. Tracer Medicine",'QA Log'!Z:Z,"Approved"),"")</f>
        <v/>
      </c>
      <c r="Q253" s="105" t="str">
        <f>IF(A253&lt;&gt;"",COUNTIFS('QA Log'!D:D,A253,'QA Log'!M:M,"QQC",'QA Log'!L:L,"11. Additional Questions",'QA Log'!Z:Z,"Approved"),"")</f>
        <v/>
      </c>
      <c r="R253" s="102" t="str">
        <f>IF(A253="","",SUM(
COUNTIFS('QA Log'!D:D,A253,'QA Log'!M:M,"QQC",'QA Log'!Z:Z,"Rejected",'QA Log'!L:L,"*8. Maternity*"),
COUNTIFS('QA Log'!D:D,A253,'QA Log'!M:M,"QQC",'QA Log'!Z:Z,"Rejected",'QA Log'!L:L,"*EPI*"),
COUNTIFS('QA Log'!D:D,A253,'QA Log'!M:M,"QQC",'QA Log'!Z:Z,"Rejected",'QA Log'!L:L,"*10. Antenatal Care (ANC)*"),
COUNTIFS('QA Log'!D:D,A253,'QA Log'!M:M,"QQC",'QA Log'!Z:Z,"Rejected",'QA Log'!L:L,"*2. Hygiene and Sterilization*"),
COUNTIFS('QA Log'!D:D,A253,'QA Log'!M:M,"QQC",'QA Log'!Z:Z,"Rejected",'QA Log'!L:L,"*Family Planning*")))</f>
        <v/>
      </c>
      <c r="S253" s="106" t="str">
        <f t="shared" si="1"/>
        <v/>
      </c>
      <c r="T253" s="102" t="str">
        <f t="shared" si="2"/>
        <v/>
      </c>
      <c r="U253" s="102" t="str">
        <f>IF(A253="","",
SUM(
COUNTIFS('QA Log'!D:D,A253,'QA Log'!M:M,"QQC",'QA Log'!L:L,"*8. Maternity*"),
COUNTIFS('QA Log'!D:D,A253,'QA Log'!M:M,"QQC",'QA Log'!L:L,"*9. EPI and Pre-school Consultation*"),
COUNTIFS('QA Log'!D:D,A253,'QA Log'!M:M,"QQC",'QA Log'!L:L,"*10. Antenatal Care (ANC)*"),
COUNTIFS('QA Log'!D:D,A253,'QA Log'!M:M,"QQC",'QA Log'!L:L,"*2. Hygiene and Sterilization*"),
COUNTIFS('QA Log'!D:D,A253,'QA Log'!M:M,"QQC",'QA Log'!L:L,"*4. Family Planning*")
))</f>
        <v/>
      </c>
      <c r="V253" s="102" t="str">
        <f>IF(A253="","",
SUM(
COUNTIFS('QA Log'!D:D,A253,'QA Log'!M:M,"QQC",'QA Log'!Z:Z,"Approved",'QA Log'!L:L,"*8. Maternity*"),
COUNTIFS('QA Log'!D:D,A253,'QA Log'!M:M,"QQC",'QA Log'!Z:Z,"Approved",'QA Log'!L:L,"*9. EPI and Pre-school Consultation*"),
COUNTIFS('QA Log'!D:D,A253,'QA Log'!M:M,"QQC",'QA Log'!Z:Z,"Approved",'QA Log'!L:L,"*10. Antenatal Care (ANC)*"),
COUNTIFS('QA Log'!D:D,A253,'QA Log'!M:M,"QQC",'QA Log'!Z:Z,"Approved",'QA Log'!L:L,"*2. Hygiene and Sterilization*"),
COUNTIFS('QA Log'!D:D,A253,'QA Log'!M:M,"QQC",'QA Log'!Z:Z,"Approved",'QA Log'!L:L,"*4. Family Planning*")
))</f>
        <v/>
      </c>
      <c r="W253" s="105" t="str">
        <f>IF(A253&lt;&gt;"",COUNTIFS('QA Log'!D:D,A253,'QA Log'!M:M,"QQC",'QA Log'!L:L,"8. Maternity",'QA Log'!Z:Z,"Approved"),"")</f>
        <v/>
      </c>
      <c r="X253" s="105" t="str">
        <f>IF(A253&lt;&gt;"",COUNTIFS('QA Log'!D:D,A253,'QA Log'!M:M,"QQC",'QA Log'!L:L,"9. EPI and Pre-school Consultation",'QA Log'!Z:Z,"Approved"),"")</f>
        <v/>
      </c>
      <c r="Y253" s="105" t="str">
        <f>IF(A253&lt;&gt;"",COUNTIFS('QA Log'!D:D,A253,'QA Log'!M:M,"QQC",'QA Log'!L:L,"10. Antenatal Care (ANC)",'QA Log'!Z:Z,"Approved"),"")</f>
        <v/>
      </c>
      <c r="Z253" s="105" t="str">
        <f>IF(A253&lt;&gt;"",COUNTIFS('QA Log'!D:D,A253,'QA Log'!M:M,"QQC",'QA Log'!L:L,"2. Hygiene and Sterilization",'QA Log'!Z:Z,"Approved"),"")</f>
        <v/>
      </c>
      <c r="AA253" s="105" t="str">
        <f>IF(A253&lt;&gt;"",COUNTIFS('QA Log'!D:D,A253,'QA Log'!M:M,"QQC",'QA Log'!L:L,"4. Family Planning",'QA Log'!Z:Z,"Approved"),"")</f>
        <v/>
      </c>
      <c r="AB253" s="102" t="str">
        <f>IF(A253="","",
SUM(
COUNTIFS('QA Log'!D:D,A253,'QA Log'!M:M,"QQC",'QA Log'!Z:Z,"Rejected",'QA Log'!L:L,"*8. Maternity*"),
COUNTIFS('QA Log'!D:D,A253,'QA Log'!M:M,"QQC",'QA Log'!Z:Z,"Rejected",'QA Log'!L:L,"*9. EPI and Pre-school Consultation*"),
COUNTIFS('QA Log'!D:D,A253,'QA Log'!M:M,"QQC",'QA Log'!Z:Z,"Rejected",'QA Log'!L:L,"*10. Antenatal Care (ANC)*"),
COUNTIFS('QA Log'!D:D,A253,'QA Log'!M:M,"QQC",'QA Log'!Z:Z,"Rejected",'QA Log'!L:L,"*2. Hygiene and Sterilization*"),
COUNTIFS('QA Log'!D:D,A253,'QA Log'!M:M,"QQC",'QA Log'!Z:Z,"Rejected",'QA Log'!L:L,"*4. Family Planning*")
))</f>
        <v/>
      </c>
      <c r="AC253" s="102" t="str">
        <f t="shared" si="3"/>
        <v/>
      </c>
      <c r="AD253" s="103" t="str">
        <f t="shared" si="4"/>
        <v/>
      </c>
      <c r="AE253" s="102" t="str">
        <f>IF(A253="","",
SUM(
COUNTIFS('QA Log'!D:D,A253,'QA Log'!M:M,"Data Verification",'QA Log'!L:L,"*Medicine (section 2)*"),
COUNTIFS('QA Log'!D:D,A253,'QA Log'!M:M,"Data Verification",'QA Log'!L:L,"*Lab Testing Availability*"),
COUNTIFS('QA Log'!D:D,A253,'QA Log'!M:M,"Data Verification",'QA Log'!L:L,"*Other than P4P (section 6)*"),
COUNTIFS('QA Log'!D:D,A253,'QA Log'!M:M,"Data Verification",'QA Log'!L:L,"*Hospital Governance*")
))</f>
        <v/>
      </c>
      <c r="AF253" s="102" t="str">
        <f>IF(A253="","",
SUM(
COUNTIFS('QA Log'!D:D,A253,'QA Log'!M:M,"Data Verification",'QA Log'!Z:Z,"Approved",'QA Log'!L:L,"*Medicine (section 2)*"),
COUNTIFS('QA Log'!D:D,A253,'QA Log'!M:M,"Data Verification",'QA Log'!Z:Z,"Approved",'QA Log'!L:L,"*Lab Testing Availability*"),
COUNTIFS('QA Log'!D:D,A253,'QA Log'!M:M,"Data Verification",'QA Log'!Z:Z,"Approved",'QA Log'!L:L,"*Other than P4P (section 6)*"),
COUNTIFS('QA Log'!D:D,A253,'QA Log'!M:M,"Data Verification",'QA Log'!Z:Z,"Approved",'QA Log'!L:L,"*Hospital Governance*")
))</f>
        <v/>
      </c>
      <c r="AG253" s="105" t="str">
        <f>IF(A253&lt;&gt;"",COUNTIFS('QA Log'!D:D,A253,'QA Log'!M:M,"Data Verification",'QA Log'!L:L,"Medicine (section 2)",'QA Log'!Z:Z,"Approved"),"")</f>
        <v/>
      </c>
      <c r="AH253" s="105" t="str">
        <f>IF(A253&lt;&gt;"",COUNTIFS('QA Log'!D:D,A253,'QA Log'!M:M,"Data Verification",'QA Log'!L:L,"Lab Testing Availability",'QA Log'!Z:Z,"Approved"),"")</f>
        <v/>
      </c>
      <c r="AI253" s="105" t="str">
        <f>IF(A253&lt;&gt;"",COUNTIFS('QA Log'!D:D,A253,'QA Log'!M:M,"Data Verification",'QA Log'!L:L,"Other than P4P (section 6)",'QA Log'!Z:Z,"Approved"),"")</f>
        <v/>
      </c>
      <c r="AJ253" s="105" t="str">
        <f>IF(A253&lt;&gt;"",COUNTIFS('QA Log'!D:D,A253,'QA Log'!M:M,"Data Verification",'QA Log'!L:L,"Hospital Governance",'QA Log'!Z:Z,"Approved"),"")</f>
        <v/>
      </c>
      <c r="AK253" s="102" t="str">
        <f>IF(A253="","",
SUM(
COUNTIFS('QA Log'!D:D,A253,'QA Log'!M:M,"Data Verification",'QA Log'!Z:Z,"Rejected",'QA Log'!L:L,"*Medicine (section 2)*"),
COUNTIFS('QA Log'!D:D,A253,'QA Log'!M:M,"Data Verification",'QA Log'!Z:Z,"Rejected",'QA Log'!L:L,"*Lab Testing Availability*"),
COUNTIFS('QA Log'!D:D,A253,'QA Log'!M:M,"Data Verification",'QA Log'!Z:Z,"Rejected",'QA Log'!L:L,"*Other than P4P (section 6)*"),
COUNTIFS('QA Log'!D:D,A253,'QA Log'!M:M,"Data Verification",'QA Log'!Z:Z,"Rejected",'QA Log'!L:L,"*Hospital Governance*")
))</f>
        <v/>
      </c>
      <c r="AL253" s="106" t="str">
        <f t="shared" si="5"/>
        <v/>
      </c>
      <c r="AM253" s="102" t="str">
        <f t="shared" si="6"/>
        <v/>
      </c>
      <c r="AN253" s="102" t="str">
        <f>IF(A253="","",
SUM(
COUNTIFS('QA Log'!D:D,A253,'QA Log'!M:M,"Data Verification",'QA Log'!L:L,"*Personnel (section 1)*"),
COUNTIFS('QA Log'!D:D,A253,'QA Log'!M:M,"Data Verification",'QA Log'!L:L,"*Consumable (section 3)*"),
COUNTIFS('QA Log'!D:D,A253,'QA Log'!M:M,"Data Verification",'QA Log'!L:L,"*Equipments (section 4)*")
))</f>
        <v/>
      </c>
      <c r="AO253" s="102" t="str">
        <f>IF(A253="","",
SUM(
COUNTIFS('QA Log'!D:D,A253,'QA Log'!M:M,"Data Verification",'QA Log'!Z:Z,"Approved",'QA Log'!L:L,"*Personnel (section 1)*"),
COUNTIFS('QA Log'!D:D,A253,'QA Log'!M:M,"Data Verification",'QA Log'!Z:Z,"Approved",'QA Log'!L:L,"*Consumable (section 3)*"),
COUNTIFS('QA Log'!D:D,A253,'QA Log'!M:M,"Data Verification",'QA Log'!Z:Z,"Approved",'QA Log'!L:L,"*Equipments (section 4)*")
))</f>
        <v/>
      </c>
      <c r="AP253" s="105" t="str">
        <f>IF(A253&lt;&gt;"",COUNTIFS('QA Log'!D:D,A253,'QA Log'!M:M,"Data Verification",'QA Log'!L:L,"Personnel (section 1)",'QA Log'!Z:Z,"Approved"),"")</f>
        <v/>
      </c>
      <c r="AQ253" s="105" t="str">
        <f>IF(A253&lt;&gt;"",COUNTIFS('QA Log'!D:D,A253,'QA Log'!M:M,"Data Verification",'QA Log'!L:L,"Consumable (section 3)",'QA Log'!Z:Z,"Approved"),"")</f>
        <v/>
      </c>
      <c r="AR253" s="105" t="str">
        <f>IF(A253&lt;&gt;"",COUNTIFS('QA Log'!D:D,A253,'QA Log'!M:M,"Data Verification",'QA Log'!L:L,"Equipments (section 4)",'QA Log'!Z:Z,"Approved"),"")</f>
        <v/>
      </c>
      <c r="AS253" s="102" t="str">
        <f>IF(A253="","",
SUM(
COUNTIFS('QA Log'!D:D,A253,'QA Log'!M:M,"Data Verification",'QA Log'!Z:Z,"Rejected",'QA Log'!L:L,"*Personnel (section 1)*"),
COUNTIFS('QA Log'!D:D,A253,'QA Log'!M:M,"Data Verification",'QA Log'!Z:Z,"Rejected",'QA Log'!L:L,"*Consumable (section 3)*"),
COUNTIFS('QA Log'!D:D,A253,'QA Log'!M:M,"Data Verification",'QA Log'!Z:Z,"Rejected",'QA Log'!L:L,"*Equipments (section 4)*")
))</f>
        <v/>
      </c>
      <c r="AT253" s="102" t="str">
        <f t="shared" si="7"/>
        <v/>
      </c>
      <c r="AU253" s="103" t="str">
        <f t="shared" si="8"/>
        <v/>
      </c>
      <c r="AV253" s="102" t="str">
        <f>IF(A253="","",SUM(
COUNTIFS('QA Log'!D:D,A253,'QA Log'!M:M,"Vignette",'QA Log'!L:L,"*Vignette [1] Respiratory Infection: Pneumonia*"),
COUNTIFS('QA Log'!D:D,A253,'QA Log'!M:M,"Vignette",'QA Log'!L:L,"*Vignette [2]: Diarrhea with Cat B dehydration*"),
COUNTIFS('QA Log'!D:D,A253,'QA Log'!M:M,"Vignette",'QA Log'!L:L,"*Vignette [3] Growth Monitoring and Promotion*"),
COUNTIFS('QA Log'!D:D,A253,'QA Log'!M:M,"Vignette",'QA Log'!L:L,"*Vignette [4]: The management of presumptive TB patient*")
)
)</f>
        <v/>
      </c>
      <c r="AW253" s="102" t="str">
        <f>IF(
  A253="","",
  SUM(
    COUNTIFS('QA Log'!D:D,A253,'QA Log'!M:M,"Vignette",'QA Log'!Z:Z,"Approved",'QA Log'!L:L,"*Vignette [1] Respiratory Infection: Pneumonia*"),
    COUNTIFS('QA Log'!D:D,A253,'QA Log'!M:M,"Vignette",'QA Log'!Z:Z,"Approved",'QA Log'!L:L,"*Vignette [2]: Diarrhea with Cat B dehydration*"),
    COUNTIFS('QA Log'!D:D,A253,'QA Log'!M:M,"Vignette",'QA Log'!Z:Z,"Approved",'QA Log'!L:L,"*Vignette [3] Growth Monitoring and Promotion*"),
    COUNTIFS('QA Log'!D:D,A253,'QA Log'!M:M,"Vignette",'QA Log'!Z:Z,"Approved",'QA Log'!L:L,"*Vignette [4]: The management of presumptive TB patient*")
  )
)</f>
        <v/>
      </c>
      <c r="AX253" s="105" t="str">
        <f>IF(A253&lt;&gt;"",COUNTIFS('QA Log'!D:D,A253,'QA Log'!M:M,"Vignette",'QA Log'!L:L,"Vignette [1] Respiratory Infection: Pneumonia",'QA Log'!Z:Z,"Approved"),"")</f>
        <v/>
      </c>
      <c r="AY253" s="105" t="str">
        <f>IF(A253&lt;&gt;"",COUNTIFS('QA Log'!D:D,A253,'QA Log'!M:M,"Vignette",'QA Log'!L:L,"Vignette [2]: Diarrhea with Cat B dehydration",'QA Log'!Z:Z,"Approved"),"")</f>
        <v/>
      </c>
      <c r="AZ253" s="105" t="str">
        <f>IF(A253&lt;&gt;"",COUNTIFS('QA Log'!D:D,A253,'QA Log'!M:M,"Vignette",'QA Log'!L:L,"Vignette [3] Growth Monitoring and Promotion",'QA Log'!Z:Z,"Approved"),"")</f>
        <v/>
      </c>
      <c r="BA253" s="105" t="str">
        <f>IF(A253&lt;&gt;"",COUNTIFS('QA Log'!D:D,A253,'QA Log'!M:M,"Vignette",'QA Log'!L:L,"Vignette [4]: The management of presumptive TB patient",'QA Log'!Z:Z,"Approved"),"")</f>
        <v/>
      </c>
      <c r="BB253" s="102" t="str">
        <f>IF(A253="","",
  SUM(
    COUNTIFS('QA Log'!D:D,A253,'QA Log'!M:M,"Vignette",'QA Log'!Z:Z,"Rejected",'QA Log'!L:L,"*Vignette [1] Respiratory Infection: Pneumonia*"),
    COUNTIFS('QA Log'!D:D,A253,'QA Log'!M:M,"Vignette",'QA Log'!Z:Z,"Rejected",'QA Log'!L:L,"*Vignette [2]: Diarrhea with Cat B dehydration*"),
    COUNTIFS('QA Log'!D:D,A253,'QA Log'!M:M,"Vignette",'QA Log'!Z:Z,"Rejected",'QA Log'!L:L,"*Vignette [3] Growth Monitoring and Promotion*"),
    COUNTIFS('QA Log'!D:D,A253,'QA Log'!M:M,"Vignette",'QA Log'!Z:Z,"Rejected",'QA Log'!L:L,"*Vignette [4]: The management of presumptive TB patient*")
  )
)</f>
        <v/>
      </c>
      <c r="BC253" s="107" t="str">
        <f t="shared" si="9"/>
        <v/>
      </c>
      <c r="BD253" s="103" t="str">
        <f t="shared" si="10"/>
        <v/>
      </c>
      <c r="BE253" s="102" t="str">
        <f>IF(A253="","",SUM(
COUNTIFS('QA Log'!D:D,A253,'QA Log'!M:M,"Vignette",'QA Log'!L:L,"*Vignette [5] Labor*"),
COUNTIFS('QA Log'!D:D,A253,'QA Log'!M:M,"Vignette",'QA Log'!L:L,"*Vignette [6] PNC pre Discharge*"),
COUNTIFS('QA Log'!D:D,A253,'QA Log'!M:M,"Vignette",'QA Log'!L:L,"*Vignette [7] First ANC Visit*"),
COUNTIFS('QA Log'!D:D,A253,'QA Log'!M:M,"Vignette",'QA Log'!L:L,"*Vignette [8] Birth Spacing/ Family Planning :  FP Counselling*"),
COUNTIFS('QA Log'!D:D,A253,'QA Log'!M:M,"Vignette",'QA Log'!L:L,"*Vignette [9] Birth Spacing: Change FP method to Injectable*"),
COUNTIFS('QA Log'!D:D,A253,'QA Log'!M:M,"Vignette",'QA Log'!L:L,"*Vignette [10] Post Partum Haemorrhage - Atonic Uterus at Health Centre*"),
)
)</f>
        <v/>
      </c>
      <c r="BF253" s="102" t="str">
        <f>IF(A253="","",
  SUM(
    COUNTIFS('QA Log'!D:D,A253,'QA Log'!M:M,"Vignette",'QA Log'!Z:Z,"Approved",'QA Log'!L:L,"*Vignette [5] Labor*"),
    COUNTIFS('QA Log'!D:D,A253,'QA Log'!M:M,"Vignette",'QA Log'!Z:Z,"Approved",'QA Log'!L:L,"*Vignette [6] PNC pre Discharge*"),
    COUNTIFS('QA Log'!D:D,A253,'QA Log'!M:M,"Vignette",'QA Log'!Z:Z,"Approved",'QA Log'!L:L,"*Vignette [7] First ANC Visit*"),
    COUNTIFS('QA Log'!D:D,A253,'QA Log'!M:M,"Vignette",'QA Log'!Z:Z,"Approved",'QA Log'!L:L,"*Vignette [8] Birth Spacing/ Family Planning :  FP Counselling*"),
    COUNTIFS('QA Log'!D:D,A253,'QA Log'!M:M,"Vignette",'QA Log'!Z:Z,"Approved",'QA Log'!L:L,"*Vignette [9] Birth Spacing: Change FP method to Injectable*"),
    COUNTIFS('QA Log'!D:D,A253,'QA Log'!M:M,"Vignette",'QA Log'!Z:Z,"Approved",'QA Log'!L:L,"*Vignette [10] Post Partum Haemorrhage - Atonic Uterus at Health Centre*")
  )
)</f>
        <v/>
      </c>
      <c r="BG253" s="105" t="str">
        <f>IF(A253&lt;&gt;"",COUNTIFS('QA Log'!D:D,A253,'QA Log'!M:M,"Vignette",'QA Log'!L:L,"Vignette [5] Labor",'QA Log'!Z:Z,"Approved"),"")</f>
        <v/>
      </c>
      <c r="BH253" s="105" t="str">
        <f>IF(A253&lt;&gt;"",COUNTIFS('QA Log'!D:D,A253,'QA Log'!M:M,"Vignette",'QA Log'!L:L,"Vignette [6] PNC pre Discharge",'QA Log'!Z:Z,"Approved"),"")</f>
        <v/>
      </c>
      <c r="BI253" s="105" t="str">
        <f>IF(A253&lt;&gt;"",COUNTIFS('QA Log'!D:D,A253,'QA Log'!M:M,"Vignette",'QA Log'!L:L,"Vignette [7] First ANC Visit",'QA Log'!Z:Z,"Approved"),"")</f>
        <v/>
      </c>
      <c r="BJ253" s="105" t="str">
        <f>IF(A253&lt;&gt;"",COUNTIFS('QA Log'!D:D,A253,'QA Log'!M:M,"Vignette",'QA Log'!L:L,"Vignette [8] Birth Spacing/ Family Planning :  FP Counselling",'QA Log'!Z:Z,"Approved"),"")</f>
        <v/>
      </c>
      <c r="BK253" s="105" t="str">
        <f>IF(A253&lt;&gt;"",COUNTIFS('QA Log'!D:D,A253,'QA Log'!M:M,"Vignette",'QA Log'!L:L,"Vignette [9] Birth Spacing: Change FP method to Injectable",'QA Log'!Z:Z,"Approved"),"")</f>
        <v/>
      </c>
      <c r="BL253" s="105" t="str">
        <f>IF(A253&lt;&gt;"",COUNTIFS('QA Log'!D:D,A253,'QA Log'!M:M,"Vignette",'QA Log'!L:L,"Vignette [10] Post Partum Haemorrhage - Atonic Uterus at Health Centre",'QA Log'!Z:Z,"Approved"),"")</f>
        <v/>
      </c>
      <c r="BM253" s="102" t="str">
        <f>IF(A253="","",SUM(
    COUNTIFS('QA Log'!D:D,A253,'QA Log'!M:M,"Vignette",'QA Log'!Z:Z,"Rejected",'QA Log'!L:L,"*Vignette [5] Labor*"),
    COUNTIFS('QA Log'!D:D,A253,'QA Log'!M:M,"Vignette",'QA Log'!Z:Z,"Rejected",'QA Log'!L:L,"*Vignette [6] PNC pre Discharge*"),
    COUNTIFS('QA Log'!D:D,A253,'QA Log'!M:M,"Vignette",'QA Log'!Z:Z,"Rejected",'QA Log'!L:L,"*Vignette [7] First ANC Visit*"),
    COUNTIFS('QA Log'!D:D,A253,'QA Log'!M:M,"Vignette",'QA Log'!Z:Z,"Rejected",'QA Log'!L:L,"*Vignette [8] Birth Spacing/ Family Planning :  FP Counselling*"),
    COUNTIFS('QA Log'!D:D,A253,'QA Log'!M:M,"Vignette",'QA Log'!Z:Z,"Rejected",'QA Log'!L:L,"*Vignette [9] Birth Spacing: Change FP method to Injectable*"),
    COUNTIFS('QA Log'!D:D,A253,'QA Log'!M:M,"Vignette",'QA Log'!Z:Z,"Rejected",'QA Log'!L:L,"*Vignette [10] Post Partum Haemorrhage - Atonic Uterus at Health Centre*")
  )
)</f>
        <v/>
      </c>
      <c r="BN253" s="107" t="str">
        <f t="shared" si="11"/>
        <v/>
      </c>
      <c r="BO253" s="103" t="str">
        <f t="shared" si="12"/>
        <v/>
      </c>
      <c r="BP253" s="102" t="str">
        <f>IF(A253="","",SUM(
COUNTIFS('QA Log'!D:D,A253,'QA Log'!M:M,"Vignette",'QA Log'!L:L,"*Exit Interview 1*"),
COUNTIFS('QA Log'!D:D,A253,'QA Log'!M:M,"Vignette",'QA Log'!L:L,"*Exit Interview 2*"),
)
)</f>
        <v/>
      </c>
      <c r="BQ253" s="102" t="str">
        <f>IF(
  A253="","",
  SUM(
    COUNTIFS('QA Log'!D:D,A253,'QA Log'!M:M,"Vignette",'QA Log'!Z:Z,"Approved",'QA Log'!L:L,"*Exit Interview 1*"),
    COUNTIFS('QA Log'!D:D,A253,'QA Log'!M:M,"Vignette",'QA Log'!Z:Z,"Approved",'QA Log'!L:L,"*Exit Interview 2*")
  )
)</f>
        <v/>
      </c>
      <c r="BR253" s="105" t="str">
        <f>IF(A253&lt;&gt;"",COUNTIFS('QA Log'!D:D,A253,'QA Log'!M:M,"Vignette",'QA Log'!L:L,"Exit Interview 1",'QA Log'!Z:Z,"Approved"),"")</f>
        <v/>
      </c>
      <c r="BS253" s="105" t="str">
        <f>IF(A253&lt;&gt;"",COUNTIFS('QA Log'!D:D,A253,'QA Log'!M:M,"Vignette",'QA Log'!L:L,"Exit Interview 2",'QA Log'!Z:Z,"Approved"),"")</f>
        <v/>
      </c>
      <c r="BT253" s="102" t="str">
        <f>IF(
  A253="","",
  SUM(
    COUNTIFS('QA Log'!D:D,A253,'QA Log'!M:M,"Vignette",'QA Log'!Z:Z,"Rejected",'QA Log'!L:L,"*Exit Interview 1*"),
    COUNTIFS('QA Log'!D:D,A253,'QA Log'!M:M,"Vignette",'QA Log'!Z:Z,"Rejected",'QA Log'!L:L,"*Exit Interview 2*")
  )
)</f>
        <v/>
      </c>
      <c r="BU253" s="107" t="str">
        <f t="shared" si="13"/>
        <v/>
      </c>
      <c r="BV253" s="102" t="str">
        <f t="shared" si="14"/>
        <v/>
      </c>
      <c r="BW253" s="102" t="str">
        <f t="shared" si="15"/>
        <v/>
      </c>
      <c r="BX253" s="102" t="str">
        <f t="shared" si="16"/>
        <v/>
      </c>
      <c r="BY253" s="102" t="str">
        <f t="shared" si="17"/>
        <v/>
      </c>
      <c r="BZ253" s="107" t="str">
        <f t="shared" si="18"/>
        <v/>
      </c>
      <c r="CA253" s="108" t="str">
        <f t="shared" si="19"/>
        <v/>
      </c>
      <c r="CB253" s="108" t="str">
        <f t="shared" si="20"/>
        <v/>
      </c>
      <c r="CC253" s="109" t="str">
        <f t="shared" si="21"/>
        <v/>
      </c>
      <c r="CD253" s="108" t="str">
        <f t="shared" si="22"/>
        <v/>
      </c>
      <c r="CE253" s="108" t="str">
        <f t="shared" si="23"/>
        <v/>
      </c>
      <c r="CF253" s="109" t="str">
        <f t="shared" si="24"/>
        <v/>
      </c>
      <c r="CG253" s="110" t="str">
        <f t="shared" si="25"/>
        <v/>
      </c>
      <c r="CH253" s="111"/>
    </row>
    <row r="254" spans="1:86" ht="12.75">
      <c r="A254" s="101"/>
      <c r="B254" s="102" t="e">
        <f t="array" aca="1" ref="B254" ca="1">_xludf.XLOOKUP(A254,'QA Log'!D:D,'QA Log'!E:E,"")</f>
        <v>#NAME?</v>
      </c>
      <c r="C254" s="102" t="e">
        <f t="array" aca="1" ref="C254" ca="1">_xludf.XLOOKUP(A254,'QA Log'!D:D,'QA Log'!F:F,"")</f>
        <v>#NAME?</v>
      </c>
      <c r="D254" s="102" t="e">
        <f t="array" aca="1" ref="D254" ca="1">_xludf.XLOOKUP(A254,'QA Log'!D:D,'QA Log'!H:H,"")</f>
        <v>#NAME?</v>
      </c>
      <c r="E254" s="102" t="e">
        <f t="array" aca="1" ref="E254" ca="1">_xludf.XLOOKUP(A254,'QA Log'!D:D,'QA Log'!G:G,"")</f>
        <v>#NAME?</v>
      </c>
      <c r="F254" s="103"/>
      <c r="G254" s="104"/>
      <c r="H254" s="104"/>
      <c r="I254" s="103" t="str">
        <f t="shared" si="0"/>
        <v/>
      </c>
      <c r="J254" s="102" t="str">
        <f>IF(A254="","",SUM(
COUNTIFS('QA Log'!D:D,A254,'QA Log'!M:M,"QQC",'QA Log'!L:L,"*1. General Management*"),
COUNTIFS('QA Log'!D:D,A254,'QA Log'!M:M,"QQC",'QA Log'!L:L,"*3. Curative Consultation (OPD)*"),
COUNTIFS('QA Log'!D:D,A254,'QA Log'!M:M,"QQC",'QA Log'!L:L,"*5. Laboratory*"),
COUNTIFS('QA Log'!D:D,A254,'QA Log'!M:M,"QQC",'QA Log'!L:L,"*6. Essential Medicine Management*"),
COUNTIFS('QA Log'!D:D,A254,'QA Log'!M:M,"QQC",'QA Log'!L:L,"*7. Tracer Medicine*"),
COUNTIFS('QA Log'!D:D,A254,'QA Log'!M:M,"QQC",'QA Log'!L:L,"*11. Additional Questions*")))</f>
        <v/>
      </c>
      <c r="K254" s="102" t="str">
        <f>IF(A254="","",SUM(
COUNTIFS('QA Log'!D:D,A254,'QA Log'!M:M,"QQC",'QA Log'!Z:Z,"Approved",'QA Log'!L:L,"*1. General Management*"),
COUNTIFS('QA Log'!D:D,A254,'QA Log'!M:M,"QQC",'QA Log'!Z:Z,"Approved",'QA Log'!L:L,"*3. Curative Consultation (OPD)*"),
COUNTIFS('QA Log'!D:D,A254,'QA Log'!M:M,"QQC",'QA Log'!Z:Z,"Approved",'QA Log'!L:L,"*5. Laboratory*"),
COUNTIFS('QA Log'!D:D,A254,'QA Log'!M:M,"QQC",'QA Log'!Z:Z,"Approved",'QA Log'!L:L,"*6. Essential Medicine Management*"),
COUNTIFS('QA Log'!D:D,A254,'QA Log'!M:M,"QQC",'QA Log'!Z:Z,"Approved",'QA Log'!L:L,"*7. Tracer Medicine*"),
COUNTIFS('QA Log'!D:D,A254,'QA Log'!M:M,"QQC",'QA Log'!Z:Z,"Approved",'QA Log'!L:L,"*11. Additional Questions*")))</f>
        <v/>
      </c>
      <c r="L254" s="105" t="str">
        <f>IF(A254&lt;&gt;"",COUNTIFS('QA Log'!D:D,A254,'QA Log'!M:M,"QQC",'QA Log'!L:L,"1. General Management",'QA Log'!Z:Z,"Approved"),"")</f>
        <v/>
      </c>
      <c r="M254" s="105" t="str">
        <f>IF(A254&lt;&gt;"",COUNTIFS('QA Log'!D:D,A254,'QA Log'!M:M,"QQC",'QA Log'!L:L,"3. Curative Consultation (OPD)",'QA Log'!Z:Z,"Approved"),"")</f>
        <v/>
      </c>
      <c r="N254" s="105" t="str">
        <f>IF(A254&lt;&gt;"",COUNTIFS('QA Log'!D:D,A254,'QA Log'!M:M,"QQC",'QA Log'!L:L,"5. Laboratory",'QA Log'!Z:Z,"Approved"),"")</f>
        <v/>
      </c>
      <c r="O254" s="105" t="str">
        <f>IF(A254&lt;&gt;"",COUNTIFS('QA Log'!D:D,A254,'QA Log'!M:M,"QQC",'QA Log'!L:L,"6. Essential Medicine Management",'QA Log'!Z:Z,"Approved"),"")</f>
        <v/>
      </c>
      <c r="P254" s="105" t="str">
        <f>IF(A254&lt;&gt;"",COUNTIFS('QA Log'!D:D,A254,'QA Log'!M:M,"QQC",'QA Log'!L:L,"7. Tracer Medicine",'QA Log'!Z:Z,"Approved"),"")</f>
        <v/>
      </c>
      <c r="Q254" s="105" t="str">
        <f>IF(A254&lt;&gt;"",COUNTIFS('QA Log'!D:D,A254,'QA Log'!M:M,"QQC",'QA Log'!L:L,"11. Additional Questions",'QA Log'!Z:Z,"Approved"),"")</f>
        <v/>
      </c>
      <c r="R254" s="102" t="str">
        <f>IF(A254="","",SUM(
COUNTIFS('QA Log'!D:D,A254,'QA Log'!M:M,"QQC",'QA Log'!Z:Z,"Rejected",'QA Log'!L:L,"*8. Maternity*"),
COUNTIFS('QA Log'!D:D,A254,'QA Log'!M:M,"QQC",'QA Log'!Z:Z,"Rejected",'QA Log'!L:L,"*EPI*"),
COUNTIFS('QA Log'!D:D,A254,'QA Log'!M:M,"QQC",'QA Log'!Z:Z,"Rejected",'QA Log'!L:L,"*10. Antenatal Care (ANC)*"),
COUNTIFS('QA Log'!D:D,A254,'QA Log'!M:M,"QQC",'QA Log'!Z:Z,"Rejected",'QA Log'!L:L,"*2. Hygiene and Sterilization*"),
COUNTIFS('QA Log'!D:D,A254,'QA Log'!M:M,"QQC",'QA Log'!Z:Z,"Rejected",'QA Log'!L:L,"*Family Planning*")))</f>
        <v/>
      </c>
      <c r="S254" s="106" t="str">
        <f t="shared" si="1"/>
        <v/>
      </c>
      <c r="T254" s="102" t="str">
        <f t="shared" si="2"/>
        <v/>
      </c>
      <c r="U254" s="102" t="str">
        <f>IF(A254="","",
SUM(
COUNTIFS('QA Log'!D:D,A254,'QA Log'!M:M,"QQC",'QA Log'!L:L,"*8. Maternity*"),
COUNTIFS('QA Log'!D:D,A254,'QA Log'!M:M,"QQC",'QA Log'!L:L,"*9. EPI and Pre-school Consultation*"),
COUNTIFS('QA Log'!D:D,A254,'QA Log'!M:M,"QQC",'QA Log'!L:L,"*10. Antenatal Care (ANC)*"),
COUNTIFS('QA Log'!D:D,A254,'QA Log'!M:M,"QQC",'QA Log'!L:L,"*2. Hygiene and Sterilization*"),
COUNTIFS('QA Log'!D:D,A254,'QA Log'!M:M,"QQC",'QA Log'!L:L,"*4. Family Planning*")
))</f>
        <v/>
      </c>
      <c r="V254" s="102" t="str">
        <f>IF(A254="","",
SUM(
COUNTIFS('QA Log'!D:D,A254,'QA Log'!M:M,"QQC",'QA Log'!Z:Z,"Approved",'QA Log'!L:L,"*8. Maternity*"),
COUNTIFS('QA Log'!D:D,A254,'QA Log'!M:M,"QQC",'QA Log'!Z:Z,"Approved",'QA Log'!L:L,"*9. EPI and Pre-school Consultation*"),
COUNTIFS('QA Log'!D:D,A254,'QA Log'!M:M,"QQC",'QA Log'!Z:Z,"Approved",'QA Log'!L:L,"*10. Antenatal Care (ANC)*"),
COUNTIFS('QA Log'!D:D,A254,'QA Log'!M:M,"QQC",'QA Log'!Z:Z,"Approved",'QA Log'!L:L,"*2. Hygiene and Sterilization*"),
COUNTIFS('QA Log'!D:D,A254,'QA Log'!M:M,"QQC",'QA Log'!Z:Z,"Approved",'QA Log'!L:L,"*4. Family Planning*")
))</f>
        <v/>
      </c>
      <c r="W254" s="105" t="str">
        <f>IF(A254&lt;&gt;"",COUNTIFS('QA Log'!D:D,A254,'QA Log'!M:M,"QQC",'QA Log'!L:L,"8. Maternity",'QA Log'!Z:Z,"Approved"),"")</f>
        <v/>
      </c>
      <c r="X254" s="105" t="str">
        <f>IF(A254&lt;&gt;"",COUNTIFS('QA Log'!D:D,A254,'QA Log'!M:M,"QQC",'QA Log'!L:L,"9. EPI and Pre-school Consultation",'QA Log'!Z:Z,"Approved"),"")</f>
        <v/>
      </c>
      <c r="Y254" s="105" t="str">
        <f>IF(A254&lt;&gt;"",COUNTIFS('QA Log'!D:D,A254,'QA Log'!M:M,"QQC",'QA Log'!L:L,"10. Antenatal Care (ANC)",'QA Log'!Z:Z,"Approved"),"")</f>
        <v/>
      </c>
      <c r="Z254" s="105" t="str">
        <f>IF(A254&lt;&gt;"",COUNTIFS('QA Log'!D:D,A254,'QA Log'!M:M,"QQC",'QA Log'!L:L,"2. Hygiene and Sterilization",'QA Log'!Z:Z,"Approved"),"")</f>
        <v/>
      </c>
      <c r="AA254" s="105" t="str">
        <f>IF(A254&lt;&gt;"",COUNTIFS('QA Log'!D:D,A254,'QA Log'!M:M,"QQC",'QA Log'!L:L,"4. Family Planning",'QA Log'!Z:Z,"Approved"),"")</f>
        <v/>
      </c>
      <c r="AB254" s="102" t="str">
        <f>IF(A254="","",
SUM(
COUNTIFS('QA Log'!D:D,A254,'QA Log'!M:M,"QQC",'QA Log'!Z:Z,"Rejected",'QA Log'!L:L,"*8. Maternity*"),
COUNTIFS('QA Log'!D:D,A254,'QA Log'!M:M,"QQC",'QA Log'!Z:Z,"Rejected",'QA Log'!L:L,"*9. EPI and Pre-school Consultation*"),
COUNTIFS('QA Log'!D:D,A254,'QA Log'!M:M,"QQC",'QA Log'!Z:Z,"Rejected",'QA Log'!L:L,"*10. Antenatal Care (ANC)*"),
COUNTIFS('QA Log'!D:D,A254,'QA Log'!M:M,"QQC",'QA Log'!Z:Z,"Rejected",'QA Log'!L:L,"*2. Hygiene and Sterilization*"),
COUNTIFS('QA Log'!D:D,A254,'QA Log'!M:M,"QQC",'QA Log'!Z:Z,"Rejected",'QA Log'!L:L,"*4. Family Planning*")
))</f>
        <v/>
      </c>
      <c r="AC254" s="102" t="str">
        <f t="shared" si="3"/>
        <v/>
      </c>
      <c r="AD254" s="103" t="str">
        <f t="shared" si="4"/>
        <v/>
      </c>
      <c r="AE254" s="102" t="str">
        <f>IF(A254="","",
SUM(
COUNTIFS('QA Log'!D:D,A254,'QA Log'!M:M,"Data Verification",'QA Log'!L:L,"*Medicine (section 2)*"),
COUNTIFS('QA Log'!D:D,A254,'QA Log'!M:M,"Data Verification",'QA Log'!L:L,"*Lab Testing Availability*"),
COUNTIFS('QA Log'!D:D,A254,'QA Log'!M:M,"Data Verification",'QA Log'!L:L,"*Other than P4P (section 6)*"),
COUNTIFS('QA Log'!D:D,A254,'QA Log'!M:M,"Data Verification",'QA Log'!L:L,"*Hospital Governance*")
))</f>
        <v/>
      </c>
      <c r="AF254" s="102" t="str">
        <f>IF(A254="","",
SUM(
COUNTIFS('QA Log'!D:D,A254,'QA Log'!M:M,"Data Verification",'QA Log'!Z:Z,"Approved",'QA Log'!L:L,"*Medicine (section 2)*"),
COUNTIFS('QA Log'!D:D,A254,'QA Log'!M:M,"Data Verification",'QA Log'!Z:Z,"Approved",'QA Log'!L:L,"*Lab Testing Availability*"),
COUNTIFS('QA Log'!D:D,A254,'QA Log'!M:M,"Data Verification",'QA Log'!Z:Z,"Approved",'QA Log'!L:L,"*Other than P4P (section 6)*"),
COUNTIFS('QA Log'!D:D,A254,'QA Log'!M:M,"Data Verification",'QA Log'!Z:Z,"Approved",'QA Log'!L:L,"*Hospital Governance*")
))</f>
        <v/>
      </c>
      <c r="AG254" s="105" t="str">
        <f>IF(A254&lt;&gt;"",COUNTIFS('QA Log'!D:D,A254,'QA Log'!M:M,"Data Verification",'QA Log'!L:L,"Medicine (section 2)",'QA Log'!Z:Z,"Approved"),"")</f>
        <v/>
      </c>
      <c r="AH254" s="105" t="str">
        <f>IF(A254&lt;&gt;"",COUNTIFS('QA Log'!D:D,A254,'QA Log'!M:M,"Data Verification",'QA Log'!L:L,"Lab Testing Availability",'QA Log'!Z:Z,"Approved"),"")</f>
        <v/>
      </c>
      <c r="AI254" s="105" t="str">
        <f>IF(A254&lt;&gt;"",COUNTIFS('QA Log'!D:D,A254,'QA Log'!M:M,"Data Verification",'QA Log'!L:L,"Other than P4P (section 6)",'QA Log'!Z:Z,"Approved"),"")</f>
        <v/>
      </c>
      <c r="AJ254" s="105" t="str">
        <f>IF(A254&lt;&gt;"",COUNTIFS('QA Log'!D:D,A254,'QA Log'!M:M,"Data Verification",'QA Log'!L:L,"Hospital Governance",'QA Log'!Z:Z,"Approved"),"")</f>
        <v/>
      </c>
      <c r="AK254" s="102" t="str">
        <f>IF(A254="","",
SUM(
COUNTIFS('QA Log'!D:D,A254,'QA Log'!M:M,"Data Verification",'QA Log'!Z:Z,"Rejected",'QA Log'!L:L,"*Medicine (section 2)*"),
COUNTIFS('QA Log'!D:D,A254,'QA Log'!M:M,"Data Verification",'QA Log'!Z:Z,"Rejected",'QA Log'!L:L,"*Lab Testing Availability*"),
COUNTIFS('QA Log'!D:D,A254,'QA Log'!M:M,"Data Verification",'QA Log'!Z:Z,"Rejected",'QA Log'!L:L,"*Other than P4P (section 6)*"),
COUNTIFS('QA Log'!D:D,A254,'QA Log'!M:M,"Data Verification",'QA Log'!Z:Z,"Rejected",'QA Log'!L:L,"*Hospital Governance*")
))</f>
        <v/>
      </c>
      <c r="AL254" s="106" t="str">
        <f t="shared" si="5"/>
        <v/>
      </c>
      <c r="AM254" s="102" t="str">
        <f t="shared" si="6"/>
        <v/>
      </c>
      <c r="AN254" s="102" t="str">
        <f>IF(A254="","",
SUM(
COUNTIFS('QA Log'!D:D,A254,'QA Log'!M:M,"Data Verification",'QA Log'!L:L,"*Personnel (section 1)*"),
COUNTIFS('QA Log'!D:D,A254,'QA Log'!M:M,"Data Verification",'QA Log'!L:L,"*Consumable (section 3)*"),
COUNTIFS('QA Log'!D:D,A254,'QA Log'!M:M,"Data Verification",'QA Log'!L:L,"*Equipments (section 4)*")
))</f>
        <v/>
      </c>
      <c r="AO254" s="102" t="str">
        <f>IF(A254="","",
SUM(
COUNTIFS('QA Log'!D:D,A254,'QA Log'!M:M,"Data Verification",'QA Log'!Z:Z,"Approved",'QA Log'!L:L,"*Personnel (section 1)*"),
COUNTIFS('QA Log'!D:D,A254,'QA Log'!M:M,"Data Verification",'QA Log'!Z:Z,"Approved",'QA Log'!L:L,"*Consumable (section 3)*"),
COUNTIFS('QA Log'!D:D,A254,'QA Log'!M:M,"Data Verification",'QA Log'!Z:Z,"Approved",'QA Log'!L:L,"*Equipments (section 4)*")
))</f>
        <v/>
      </c>
      <c r="AP254" s="105" t="str">
        <f>IF(A254&lt;&gt;"",COUNTIFS('QA Log'!D:D,A254,'QA Log'!M:M,"Data Verification",'QA Log'!L:L,"Personnel (section 1)",'QA Log'!Z:Z,"Approved"),"")</f>
        <v/>
      </c>
      <c r="AQ254" s="105" t="str">
        <f>IF(A254&lt;&gt;"",COUNTIFS('QA Log'!D:D,A254,'QA Log'!M:M,"Data Verification",'QA Log'!L:L,"Consumable (section 3)",'QA Log'!Z:Z,"Approved"),"")</f>
        <v/>
      </c>
      <c r="AR254" s="105" t="str">
        <f>IF(A254&lt;&gt;"",COUNTIFS('QA Log'!D:D,A254,'QA Log'!M:M,"Data Verification",'QA Log'!L:L,"Equipments (section 4)",'QA Log'!Z:Z,"Approved"),"")</f>
        <v/>
      </c>
      <c r="AS254" s="102" t="str">
        <f>IF(A254="","",
SUM(
COUNTIFS('QA Log'!D:D,A254,'QA Log'!M:M,"Data Verification",'QA Log'!Z:Z,"Rejected",'QA Log'!L:L,"*Personnel (section 1)*"),
COUNTIFS('QA Log'!D:D,A254,'QA Log'!M:M,"Data Verification",'QA Log'!Z:Z,"Rejected",'QA Log'!L:L,"*Consumable (section 3)*"),
COUNTIFS('QA Log'!D:D,A254,'QA Log'!M:M,"Data Verification",'QA Log'!Z:Z,"Rejected",'QA Log'!L:L,"*Equipments (section 4)*")
))</f>
        <v/>
      </c>
      <c r="AT254" s="102" t="str">
        <f t="shared" si="7"/>
        <v/>
      </c>
      <c r="AU254" s="103" t="str">
        <f t="shared" si="8"/>
        <v/>
      </c>
      <c r="AV254" s="102" t="str">
        <f>IF(A254="","",SUM(
COUNTIFS('QA Log'!D:D,A254,'QA Log'!M:M,"Vignette",'QA Log'!L:L,"*Vignette [1] Respiratory Infection: Pneumonia*"),
COUNTIFS('QA Log'!D:D,A254,'QA Log'!M:M,"Vignette",'QA Log'!L:L,"*Vignette [2]: Diarrhea with Cat B dehydration*"),
COUNTIFS('QA Log'!D:D,A254,'QA Log'!M:M,"Vignette",'QA Log'!L:L,"*Vignette [3] Growth Monitoring and Promotion*"),
COUNTIFS('QA Log'!D:D,A254,'QA Log'!M:M,"Vignette",'QA Log'!L:L,"*Vignette [4]: The management of presumptive TB patient*")
)
)</f>
        <v/>
      </c>
      <c r="AW254" s="102" t="str">
        <f>IF(
  A254="","",
  SUM(
    COUNTIFS('QA Log'!D:D,A254,'QA Log'!M:M,"Vignette",'QA Log'!Z:Z,"Approved",'QA Log'!L:L,"*Vignette [1] Respiratory Infection: Pneumonia*"),
    COUNTIFS('QA Log'!D:D,A254,'QA Log'!M:M,"Vignette",'QA Log'!Z:Z,"Approved",'QA Log'!L:L,"*Vignette [2]: Diarrhea with Cat B dehydration*"),
    COUNTIFS('QA Log'!D:D,A254,'QA Log'!M:M,"Vignette",'QA Log'!Z:Z,"Approved",'QA Log'!L:L,"*Vignette [3] Growth Monitoring and Promotion*"),
    COUNTIFS('QA Log'!D:D,A254,'QA Log'!M:M,"Vignette",'QA Log'!Z:Z,"Approved",'QA Log'!L:L,"*Vignette [4]: The management of presumptive TB patient*")
  )
)</f>
        <v/>
      </c>
      <c r="AX254" s="105" t="str">
        <f>IF(A254&lt;&gt;"",COUNTIFS('QA Log'!D:D,A254,'QA Log'!M:M,"Vignette",'QA Log'!L:L,"Vignette [1] Respiratory Infection: Pneumonia",'QA Log'!Z:Z,"Approved"),"")</f>
        <v/>
      </c>
      <c r="AY254" s="105" t="str">
        <f>IF(A254&lt;&gt;"",COUNTIFS('QA Log'!D:D,A254,'QA Log'!M:M,"Vignette",'QA Log'!L:L,"Vignette [2]: Diarrhea with Cat B dehydration",'QA Log'!Z:Z,"Approved"),"")</f>
        <v/>
      </c>
      <c r="AZ254" s="105" t="str">
        <f>IF(A254&lt;&gt;"",COUNTIFS('QA Log'!D:D,A254,'QA Log'!M:M,"Vignette",'QA Log'!L:L,"Vignette [3] Growth Monitoring and Promotion",'QA Log'!Z:Z,"Approved"),"")</f>
        <v/>
      </c>
      <c r="BA254" s="105" t="str">
        <f>IF(A254&lt;&gt;"",COUNTIFS('QA Log'!D:D,A254,'QA Log'!M:M,"Vignette",'QA Log'!L:L,"Vignette [4]: The management of presumptive TB patient",'QA Log'!Z:Z,"Approved"),"")</f>
        <v/>
      </c>
      <c r="BB254" s="102" t="str">
        <f>IF(A254="","",
  SUM(
    COUNTIFS('QA Log'!D:D,A254,'QA Log'!M:M,"Vignette",'QA Log'!Z:Z,"Rejected",'QA Log'!L:L,"*Vignette [1] Respiratory Infection: Pneumonia*"),
    COUNTIFS('QA Log'!D:D,A254,'QA Log'!M:M,"Vignette",'QA Log'!Z:Z,"Rejected",'QA Log'!L:L,"*Vignette [2]: Diarrhea with Cat B dehydration*"),
    COUNTIFS('QA Log'!D:D,A254,'QA Log'!M:M,"Vignette",'QA Log'!Z:Z,"Rejected",'QA Log'!L:L,"*Vignette [3] Growth Monitoring and Promotion*"),
    COUNTIFS('QA Log'!D:D,A254,'QA Log'!M:M,"Vignette",'QA Log'!Z:Z,"Rejected",'QA Log'!L:L,"*Vignette [4]: The management of presumptive TB patient*")
  )
)</f>
        <v/>
      </c>
      <c r="BC254" s="107" t="str">
        <f t="shared" si="9"/>
        <v/>
      </c>
      <c r="BD254" s="103" t="str">
        <f t="shared" si="10"/>
        <v/>
      </c>
      <c r="BE254" s="102" t="str">
        <f>IF(A254="","",SUM(
COUNTIFS('QA Log'!D:D,A254,'QA Log'!M:M,"Vignette",'QA Log'!L:L,"*Vignette [5] Labor*"),
COUNTIFS('QA Log'!D:D,A254,'QA Log'!M:M,"Vignette",'QA Log'!L:L,"*Vignette [6] PNC pre Discharge*"),
COUNTIFS('QA Log'!D:D,A254,'QA Log'!M:M,"Vignette",'QA Log'!L:L,"*Vignette [7] First ANC Visit*"),
COUNTIFS('QA Log'!D:D,A254,'QA Log'!M:M,"Vignette",'QA Log'!L:L,"*Vignette [8] Birth Spacing/ Family Planning :  FP Counselling*"),
COUNTIFS('QA Log'!D:D,A254,'QA Log'!M:M,"Vignette",'QA Log'!L:L,"*Vignette [9] Birth Spacing: Change FP method to Injectable*"),
COUNTIFS('QA Log'!D:D,A254,'QA Log'!M:M,"Vignette",'QA Log'!L:L,"*Vignette [10] Post Partum Haemorrhage - Atonic Uterus at Health Centre*"),
)
)</f>
        <v/>
      </c>
      <c r="BF254" s="102" t="str">
        <f>IF(A254="","",
  SUM(
    COUNTIFS('QA Log'!D:D,A254,'QA Log'!M:M,"Vignette",'QA Log'!Z:Z,"Approved",'QA Log'!L:L,"*Vignette [5] Labor*"),
    COUNTIFS('QA Log'!D:D,A254,'QA Log'!M:M,"Vignette",'QA Log'!Z:Z,"Approved",'QA Log'!L:L,"*Vignette [6] PNC pre Discharge*"),
    COUNTIFS('QA Log'!D:D,A254,'QA Log'!M:M,"Vignette",'QA Log'!Z:Z,"Approved",'QA Log'!L:L,"*Vignette [7] First ANC Visit*"),
    COUNTIFS('QA Log'!D:D,A254,'QA Log'!M:M,"Vignette",'QA Log'!Z:Z,"Approved",'QA Log'!L:L,"*Vignette [8] Birth Spacing/ Family Planning :  FP Counselling*"),
    COUNTIFS('QA Log'!D:D,A254,'QA Log'!M:M,"Vignette",'QA Log'!Z:Z,"Approved",'QA Log'!L:L,"*Vignette [9] Birth Spacing: Change FP method to Injectable*"),
    COUNTIFS('QA Log'!D:D,A254,'QA Log'!M:M,"Vignette",'QA Log'!Z:Z,"Approved",'QA Log'!L:L,"*Vignette [10] Post Partum Haemorrhage - Atonic Uterus at Health Centre*")
  )
)</f>
        <v/>
      </c>
      <c r="BG254" s="105" t="str">
        <f>IF(A254&lt;&gt;"",COUNTIFS('QA Log'!D:D,A254,'QA Log'!M:M,"Vignette",'QA Log'!L:L,"Vignette [5] Labor",'QA Log'!Z:Z,"Approved"),"")</f>
        <v/>
      </c>
      <c r="BH254" s="105" t="str">
        <f>IF(A254&lt;&gt;"",COUNTIFS('QA Log'!D:D,A254,'QA Log'!M:M,"Vignette",'QA Log'!L:L,"Vignette [6] PNC pre Discharge",'QA Log'!Z:Z,"Approved"),"")</f>
        <v/>
      </c>
      <c r="BI254" s="105" t="str">
        <f>IF(A254&lt;&gt;"",COUNTIFS('QA Log'!D:D,A254,'QA Log'!M:M,"Vignette",'QA Log'!L:L,"Vignette [7] First ANC Visit",'QA Log'!Z:Z,"Approved"),"")</f>
        <v/>
      </c>
      <c r="BJ254" s="105" t="str">
        <f>IF(A254&lt;&gt;"",COUNTIFS('QA Log'!D:D,A254,'QA Log'!M:M,"Vignette",'QA Log'!L:L,"Vignette [8] Birth Spacing/ Family Planning :  FP Counselling",'QA Log'!Z:Z,"Approved"),"")</f>
        <v/>
      </c>
      <c r="BK254" s="105" t="str">
        <f>IF(A254&lt;&gt;"",COUNTIFS('QA Log'!D:D,A254,'QA Log'!M:M,"Vignette",'QA Log'!L:L,"Vignette [9] Birth Spacing: Change FP method to Injectable",'QA Log'!Z:Z,"Approved"),"")</f>
        <v/>
      </c>
      <c r="BL254" s="105" t="str">
        <f>IF(A254&lt;&gt;"",COUNTIFS('QA Log'!D:D,A254,'QA Log'!M:M,"Vignette",'QA Log'!L:L,"Vignette [10] Post Partum Haemorrhage - Atonic Uterus at Health Centre",'QA Log'!Z:Z,"Approved"),"")</f>
        <v/>
      </c>
      <c r="BM254" s="102" t="str">
        <f>IF(A254="","",SUM(
    COUNTIFS('QA Log'!D:D,A254,'QA Log'!M:M,"Vignette",'QA Log'!Z:Z,"Rejected",'QA Log'!L:L,"*Vignette [5] Labor*"),
    COUNTIFS('QA Log'!D:D,A254,'QA Log'!M:M,"Vignette",'QA Log'!Z:Z,"Rejected",'QA Log'!L:L,"*Vignette [6] PNC pre Discharge*"),
    COUNTIFS('QA Log'!D:D,A254,'QA Log'!M:M,"Vignette",'QA Log'!Z:Z,"Rejected",'QA Log'!L:L,"*Vignette [7] First ANC Visit*"),
    COUNTIFS('QA Log'!D:D,A254,'QA Log'!M:M,"Vignette",'QA Log'!Z:Z,"Rejected",'QA Log'!L:L,"*Vignette [8] Birth Spacing/ Family Planning :  FP Counselling*"),
    COUNTIFS('QA Log'!D:D,A254,'QA Log'!M:M,"Vignette",'QA Log'!Z:Z,"Rejected",'QA Log'!L:L,"*Vignette [9] Birth Spacing: Change FP method to Injectable*"),
    COUNTIFS('QA Log'!D:D,A254,'QA Log'!M:M,"Vignette",'QA Log'!Z:Z,"Rejected",'QA Log'!L:L,"*Vignette [10] Post Partum Haemorrhage - Atonic Uterus at Health Centre*")
  )
)</f>
        <v/>
      </c>
      <c r="BN254" s="107" t="str">
        <f t="shared" si="11"/>
        <v/>
      </c>
      <c r="BO254" s="103" t="str">
        <f t="shared" si="12"/>
        <v/>
      </c>
      <c r="BP254" s="102" t="str">
        <f>IF(A254="","",SUM(
COUNTIFS('QA Log'!D:D,A254,'QA Log'!M:M,"Vignette",'QA Log'!L:L,"*Exit Interview 1*"),
COUNTIFS('QA Log'!D:D,A254,'QA Log'!M:M,"Vignette",'QA Log'!L:L,"*Exit Interview 2*"),
)
)</f>
        <v/>
      </c>
      <c r="BQ254" s="102" t="str">
        <f>IF(
  A254="","",
  SUM(
    COUNTIFS('QA Log'!D:D,A254,'QA Log'!M:M,"Vignette",'QA Log'!Z:Z,"Approved",'QA Log'!L:L,"*Exit Interview 1*"),
    COUNTIFS('QA Log'!D:D,A254,'QA Log'!M:M,"Vignette",'QA Log'!Z:Z,"Approved",'QA Log'!L:L,"*Exit Interview 2*")
  )
)</f>
        <v/>
      </c>
      <c r="BR254" s="105" t="str">
        <f>IF(A254&lt;&gt;"",COUNTIFS('QA Log'!D:D,A254,'QA Log'!M:M,"Vignette",'QA Log'!L:L,"Exit Interview 1",'QA Log'!Z:Z,"Approved"),"")</f>
        <v/>
      </c>
      <c r="BS254" s="105" t="str">
        <f>IF(A254&lt;&gt;"",COUNTIFS('QA Log'!D:D,A254,'QA Log'!M:M,"Vignette",'QA Log'!L:L,"Exit Interview 2",'QA Log'!Z:Z,"Approved"),"")</f>
        <v/>
      </c>
      <c r="BT254" s="102" t="str">
        <f>IF(
  A254="","",
  SUM(
    COUNTIFS('QA Log'!D:D,A254,'QA Log'!M:M,"Vignette",'QA Log'!Z:Z,"Rejected",'QA Log'!L:L,"*Exit Interview 1*"),
    COUNTIFS('QA Log'!D:D,A254,'QA Log'!M:M,"Vignette",'QA Log'!Z:Z,"Rejected",'QA Log'!L:L,"*Exit Interview 2*")
  )
)</f>
        <v/>
      </c>
      <c r="BU254" s="107" t="str">
        <f t="shared" si="13"/>
        <v/>
      </c>
      <c r="BV254" s="102" t="str">
        <f t="shared" si="14"/>
        <v/>
      </c>
      <c r="BW254" s="102" t="str">
        <f t="shared" si="15"/>
        <v/>
      </c>
      <c r="BX254" s="102" t="str">
        <f t="shared" si="16"/>
        <v/>
      </c>
      <c r="BY254" s="102" t="str">
        <f t="shared" si="17"/>
        <v/>
      </c>
      <c r="BZ254" s="107" t="str">
        <f t="shared" si="18"/>
        <v/>
      </c>
      <c r="CA254" s="108" t="str">
        <f t="shared" si="19"/>
        <v/>
      </c>
      <c r="CB254" s="108" t="str">
        <f t="shared" si="20"/>
        <v/>
      </c>
      <c r="CC254" s="109" t="str">
        <f t="shared" si="21"/>
        <v/>
      </c>
      <c r="CD254" s="108" t="str">
        <f t="shared" si="22"/>
        <v/>
      </c>
      <c r="CE254" s="108" t="str">
        <f t="shared" si="23"/>
        <v/>
      </c>
      <c r="CF254" s="109" t="str">
        <f t="shared" si="24"/>
        <v/>
      </c>
      <c r="CG254" s="110" t="str">
        <f t="shared" si="25"/>
        <v/>
      </c>
      <c r="CH254" s="111"/>
    </row>
    <row r="255" spans="1:86" ht="12.75">
      <c r="A255" s="101"/>
      <c r="B255" s="102" t="e">
        <f t="array" aca="1" ref="B255" ca="1">_xludf.XLOOKUP(A255,'QA Log'!D:D,'QA Log'!E:E,"")</f>
        <v>#NAME?</v>
      </c>
      <c r="C255" s="102" t="e">
        <f t="array" aca="1" ref="C255" ca="1">_xludf.XLOOKUP(A255,'QA Log'!D:D,'QA Log'!F:F,"")</f>
        <v>#NAME?</v>
      </c>
      <c r="D255" s="102" t="e">
        <f t="array" aca="1" ref="D255" ca="1">_xludf.XLOOKUP(A255,'QA Log'!D:D,'QA Log'!H:H,"")</f>
        <v>#NAME?</v>
      </c>
      <c r="E255" s="102" t="e">
        <f t="array" aca="1" ref="E255" ca="1">_xludf.XLOOKUP(A255,'QA Log'!D:D,'QA Log'!G:G,"")</f>
        <v>#NAME?</v>
      </c>
      <c r="F255" s="103"/>
      <c r="G255" s="104"/>
      <c r="H255" s="104"/>
      <c r="I255" s="103" t="str">
        <f t="shared" si="0"/>
        <v/>
      </c>
      <c r="J255" s="102" t="str">
        <f>IF(A255="","",SUM(
COUNTIFS('QA Log'!D:D,A255,'QA Log'!M:M,"QQC",'QA Log'!L:L,"*1. General Management*"),
COUNTIFS('QA Log'!D:D,A255,'QA Log'!M:M,"QQC",'QA Log'!L:L,"*3. Curative Consultation (OPD)*"),
COUNTIFS('QA Log'!D:D,A255,'QA Log'!M:M,"QQC",'QA Log'!L:L,"*5. Laboratory*"),
COUNTIFS('QA Log'!D:D,A255,'QA Log'!M:M,"QQC",'QA Log'!L:L,"*6. Essential Medicine Management*"),
COUNTIFS('QA Log'!D:D,A255,'QA Log'!M:M,"QQC",'QA Log'!L:L,"*7. Tracer Medicine*"),
COUNTIFS('QA Log'!D:D,A255,'QA Log'!M:M,"QQC",'QA Log'!L:L,"*11. Additional Questions*")))</f>
        <v/>
      </c>
      <c r="K255" s="102" t="str">
        <f>IF(A255="","",SUM(
COUNTIFS('QA Log'!D:D,A255,'QA Log'!M:M,"QQC",'QA Log'!Z:Z,"Approved",'QA Log'!L:L,"*1. General Management*"),
COUNTIFS('QA Log'!D:D,A255,'QA Log'!M:M,"QQC",'QA Log'!Z:Z,"Approved",'QA Log'!L:L,"*3. Curative Consultation (OPD)*"),
COUNTIFS('QA Log'!D:D,A255,'QA Log'!M:M,"QQC",'QA Log'!Z:Z,"Approved",'QA Log'!L:L,"*5. Laboratory*"),
COUNTIFS('QA Log'!D:D,A255,'QA Log'!M:M,"QQC",'QA Log'!Z:Z,"Approved",'QA Log'!L:L,"*6. Essential Medicine Management*"),
COUNTIFS('QA Log'!D:D,A255,'QA Log'!M:M,"QQC",'QA Log'!Z:Z,"Approved",'QA Log'!L:L,"*7. Tracer Medicine*"),
COUNTIFS('QA Log'!D:D,A255,'QA Log'!M:M,"QQC",'QA Log'!Z:Z,"Approved",'QA Log'!L:L,"*11. Additional Questions*")))</f>
        <v/>
      </c>
      <c r="L255" s="105" t="str">
        <f>IF(A255&lt;&gt;"",COUNTIFS('QA Log'!D:D,A255,'QA Log'!M:M,"QQC",'QA Log'!L:L,"1. General Management",'QA Log'!Z:Z,"Approved"),"")</f>
        <v/>
      </c>
      <c r="M255" s="105" t="str">
        <f>IF(A255&lt;&gt;"",COUNTIFS('QA Log'!D:D,A255,'QA Log'!M:M,"QQC",'QA Log'!L:L,"3. Curative Consultation (OPD)",'QA Log'!Z:Z,"Approved"),"")</f>
        <v/>
      </c>
      <c r="N255" s="105" t="str">
        <f>IF(A255&lt;&gt;"",COUNTIFS('QA Log'!D:D,A255,'QA Log'!M:M,"QQC",'QA Log'!L:L,"5. Laboratory",'QA Log'!Z:Z,"Approved"),"")</f>
        <v/>
      </c>
      <c r="O255" s="105" t="str">
        <f>IF(A255&lt;&gt;"",COUNTIFS('QA Log'!D:D,A255,'QA Log'!M:M,"QQC",'QA Log'!L:L,"6. Essential Medicine Management",'QA Log'!Z:Z,"Approved"),"")</f>
        <v/>
      </c>
      <c r="P255" s="105" t="str">
        <f>IF(A255&lt;&gt;"",COUNTIFS('QA Log'!D:D,A255,'QA Log'!M:M,"QQC",'QA Log'!L:L,"7. Tracer Medicine",'QA Log'!Z:Z,"Approved"),"")</f>
        <v/>
      </c>
      <c r="Q255" s="105" t="str">
        <f>IF(A255&lt;&gt;"",COUNTIFS('QA Log'!D:D,A255,'QA Log'!M:M,"QQC",'QA Log'!L:L,"11. Additional Questions",'QA Log'!Z:Z,"Approved"),"")</f>
        <v/>
      </c>
      <c r="R255" s="102" t="str">
        <f>IF(A255="","",SUM(
COUNTIFS('QA Log'!D:D,A255,'QA Log'!M:M,"QQC",'QA Log'!Z:Z,"Rejected",'QA Log'!L:L,"*8. Maternity*"),
COUNTIFS('QA Log'!D:D,A255,'QA Log'!M:M,"QQC",'QA Log'!Z:Z,"Rejected",'QA Log'!L:L,"*EPI*"),
COUNTIFS('QA Log'!D:D,A255,'QA Log'!M:M,"QQC",'QA Log'!Z:Z,"Rejected",'QA Log'!L:L,"*10. Antenatal Care (ANC)*"),
COUNTIFS('QA Log'!D:D,A255,'QA Log'!M:M,"QQC",'QA Log'!Z:Z,"Rejected",'QA Log'!L:L,"*2. Hygiene and Sterilization*"),
COUNTIFS('QA Log'!D:D,A255,'QA Log'!M:M,"QQC",'QA Log'!Z:Z,"Rejected",'QA Log'!L:L,"*Family Planning*")))</f>
        <v/>
      </c>
      <c r="S255" s="106" t="str">
        <f t="shared" si="1"/>
        <v/>
      </c>
      <c r="T255" s="102" t="str">
        <f t="shared" si="2"/>
        <v/>
      </c>
      <c r="U255" s="102" t="str">
        <f>IF(A255="","",
SUM(
COUNTIFS('QA Log'!D:D,A255,'QA Log'!M:M,"QQC",'QA Log'!L:L,"*8. Maternity*"),
COUNTIFS('QA Log'!D:D,A255,'QA Log'!M:M,"QQC",'QA Log'!L:L,"*9. EPI and Pre-school Consultation*"),
COUNTIFS('QA Log'!D:D,A255,'QA Log'!M:M,"QQC",'QA Log'!L:L,"*10. Antenatal Care (ANC)*"),
COUNTIFS('QA Log'!D:D,A255,'QA Log'!M:M,"QQC",'QA Log'!L:L,"*2. Hygiene and Sterilization*"),
COUNTIFS('QA Log'!D:D,A255,'QA Log'!M:M,"QQC",'QA Log'!L:L,"*4. Family Planning*")
))</f>
        <v/>
      </c>
      <c r="V255" s="102" t="str">
        <f>IF(A255="","",
SUM(
COUNTIFS('QA Log'!D:D,A255,'QA Log'!M:M,"QQC",'QA Log'!Z:Z,"Approved",'QA Log'!L:L,"*8. Maternity*"),
COUNTIFS('QA Log'!D:D,A255,'QA Log'!M:M,"QQC",'QA Log'!Z:Z,"Approved",'QA Log'!L:L,"*9. EPI and Pre-school Consultation*"),
COUNTIFS('QA Log'!D:D,A255,'QA Log'!M:M,"QQC",'QA Log'!Z:Z,"Approved",'QA Log'!L:L,"*10. Antenatal Care (ANC)*"),
COUNTIFS('QA Log'!D:D,A255,'QA Log'!M:M,"QQC",'QA Log'!Z:Z,"Approved",'QA Log'!L:L,"*2. Hygiene and Sterilization*"),
COUNTIFS('QA Log'!D:D,A255,'QA Log'!M:M,"QQC",'QA Log'!Z:Z,"Approved",'QA Log'!L:L,"*4. Family Planning*")
))</f>
        <v/>
      </c>
      <c r="W255" s="105" t="str">
        <f>IF(A255&lt;&gt;"",COUNTIFS('QA Log'!D:D,A255,'QA Log'!M:M,"QQC",'QA Log'!L:L,"8. Maternity",'QA Log'!Z:Z,"Approved"),"")</f>
        <v/>
      </c>
      <c r="X255" s="105" t="str">
        <f>IF(A255&lt;&gt;"",COUNTIFS('QA Log'!D:D,A255,'QA Log'!M:M,"QQC",'QA Log'!L:L,"9. EPI and Pre-school Consultation",'QA Log'!Z:Z,"Approved"),"")</f>
        <v/>
      </c>
      <c r="Y255" s="105" t="str">
        <f>IF(A255&lt;&gt;"",COUNTIFS('QA Log'!D:D,A255,'QA Log'!M:M,"QQC",'QA Log'!L:L,"10. Antenatal Care (ANC)",'QA Log'!Z:Z,"Approved"),"")</f>
        <v/>
      </c>
      <c r="Z255" s="105" t="str">
        <f>IF(A255&lt;&gt;"",COUNTIFS('QA Log'!D:D,A255,'QA Log'!M:M,"QQC",'QA Log'!L:L,"2. Hygiene and Sterilization",'QA Log'!Z:Z,"Approved"),"")</f>
        <v/>
      </c>
      <c r="AA255" s="105" t="str">
        <f>IF(A255&lt;&gt;"",COUNTIFS('QA Log'!D:D,A255,'QA Log'!M:M,"QQC",'QA Log'!L:L,"4. Family Planning",'QA Log'!Z:Z,"Approved"),"")</f>
        <v/>
      </c>
      <c r="AB255" s="102" t="str">
        <f>IF(A255="","",
SUM(
COUNTIFS('QA Log'!D:D,A255,'QA Log'!M:M,"QQC",'QA Log'!Z:Z,"Rejected",'QA Log'!L:L,"*8. Maternity*"),
COUNTIFS('QA Log'!D:D,A255,'QA Log'!M:M,"QQC",'QA Log'!Z:Z,"Rejected",'QA Log'!L:L,"*9. EPI and Pre-school Consultation*"),
COUNTIFS('QA Log'!D:D,A255,'QA Log'!M:M,"QQC",'QA Log'!Z:Z,"Rejected",'QA Log'!L:L,"*10. Antenatal Care (ANC)*"),
COUNTIFS('QA Log'!D:D,A255,'QA Log'!M:M,"QQC",'QA Log'!Z:Z,"Rejected",'QA Log'!L:L,"*2. Hygiene and Sterilization*"),
COUNTIFS('QA Log'!D:D,A255,'QA Log'!M:M,"QQC",'QA Log'!Z:Z,"Rejected",'QA Log'!L:L,"*4. Family Planning*")
))</f>
        <v/>
      </c>
      <c r="AC255" s="102" t="str">
        <f t="shared" si="3"/>
        <v/>
      </c>
      <c r="AD255" s="103" t="str">
        <f t="shared" si="4"/>
        <v/>
      </c>
      <c r="AE255" s="102" t="str">
        <f>IF(A255="","",
SUM(
COUNTIFS('QA Log'!D:D,A255,'QA Log'!M:M,"Data Verification",'QA Log'!L:L,"*Medicine (section 2)*"),
COUNTIFS('QA Log'!D:D,A255,'QA Log'!M:M,"Data Verification",'QA Log'!L:L,"*Lab Testing Availability*"),
COUNTIFS('QA Log'!D:D,A255,'QA Log'!M:M,"Data Verification",'QA Log'!L:L,"*Other than P4P (section 6)*"),
COUNTIFS('QA Log'!D:D,A255,'QA Log'!M:M,"Data Verification",'QA Log'!L:L,"*Hospital Governance*")
))</f>
        <v/>
      </c>
      <c r="AF255" s="102" t="str">
        <f>IF(A255="","",
SUM(
COUNTIFS('QA Log'!D:D,A255,'QA Log'!M:M,"Data Verification",'QA Log'!Z:Z,"Approved",'QA Log'!L:L,"*Medicine (section 2)*"),
COUNTIFS('QA Log'!D:D,A255,'QA Log'!M:M,"Data Verification",'QA Log'!Z:Z,"Approved",'QA Log'!L:L,"*Lab Testing Availability*"),
COUNTIFS('QA Log'!D:D,A255,'QA Log'!M:M,"Data Verification",'QA Log'!Z:Z,"Approved",'QA Log'!L:L,"*Other than P4P (section 6)*"),
COUNTIFS('QA Log'!D:D,A255,'QA Log'!M:M,"Data Verification",'QA Log'!Z:Z,"Approved",'QA Log'!L:L,"*Hospital Governance*")
))</f>
        <v/>
      </c>
      <c r="AG255" s="105" t="str">
        <f>IF(A255&lt;&gt;"",COUNTIFS('QA Log'!D:D,A255,'QA Log'!M:M,"Data Verification",'QA Log'!L:L,"Medicine (section 2)",'QA Log'!Z:Z,"Approved"),"")</f>
        <v/>
      </c>
      <c r="AH255" s="105" t="str">
        <f>IF(A255&lt;&gt;"",COUNTIFS('QA Log'!D:D,A255,'QA Log'!M:M,"Data Verification",'QA Log'!L:L,"Lab Testing Availability",'QA Log'!Z:Z,"Approved"),"")</f>
        <v/>
      </c>
      <c r="AI255" s="105" t="str">
        <f>IF(A255&lt;&gt;"",COUNTIFS('QA Log'!D:D,A255,'QA Log'!M:M,"Data Verification",'QA Log'!L:L,"Other than P4P (section 6)",'QA Log'!Z:Z,"Approved"),"")</f>
        <v/>
      </c>
      <c r="AJ255" s="105" t="str">
        <f>IF(A255&lt;&gt;"",COUNTIFS('QA Log'!D:D,A255,'QA Log'!M:M,"Data Verification",'QA Log'!L:L,"Hospital Governance",'QA Log'!Z:Z,"Approved"),"")</f>
        <v/>
      </c>
      <c r="AK255" s="102" t="str">
        <f>IF(A255="","",
SUM(
COUNTIFS('QA Log'!D:D,A255,'QA Log'!M:M,"Data Verification",'QA Log'!Z:Z,"Rejected",'QA Log'!L:L,"*Medicine (section 2)*"),
COUNTIFS('QA Log'!D:D,A255,'QA Log'!M:M,"Data Verification",'QA Log'!Z:Z,"Rejected",'QA Log'!L:L,"*Lab Testing Availability*"),
COUNTIFS('QA Log'!D:D,A255,'QA Log'!M:M,"Data Verification",'QA Log'!Z:Z,"Rejected",'QA Log'!L:L,"*Other than P4P (section 6)*"),
COUNTIFS('QA Log'!D:D,A255,'QA Log'!M:M,"Data Verification",'QA Log'!Z:Z,"Rejected",'QA Log'!L:L,"*Hospital Governance*")
))</f>
        <v/>
      </c>
      <c r="AL255" s="106" t="str">
        <f t="shared" si="5"/>
        <v/>
      </c>
      <c r="AM255" s="102" t="str">
        <f t="shared" si="6"/>
        <v/>
      </c>
      <c r="AN255" s="102" t="str">
        <f>IF(A255="","",
SUM(
COUNTIFS('QA Log'!D:D,A255,'QA Log'!M:M,"Data Verification",'QA Log'!L:L,"*Personnel (section 1)*"),
COUNTIFS('QA Log'!D:D,A255,'QA Log'!M:M,"Data Verification",'QA Log'!L:L,"*Consumable (section 3)*"),
COUNTIFS('QA Log'!D:D,A255,'QA Log'!M:M,"Data Verification",'QA Log'!L:L,"*Equipments (section 4)*")
))</f>
        <v/>
      </c>
      <c r="AO255" s="102" t="str">
        <f>IF(A255="","",
SUM(
COUNTIFS('QA Log'!D:D,A255,'QA Log'!M:M,"Data Verification",'QA Log'!Z:Z,"Approved",'QA Log'!L:L,"*Personnel (section 1)*"),
COUNTIFS('QA Log'!D:D,A255,'QA Log'!M:M,"Data Verification",'QA Log'!Z:Z,"Approved",'QA Log'!L:L,"*Consumable (section 3)*"),
COUNTIFS('QA Log'!D:D,A255,'QA Log'!M:M,"Data Verification",'QA Log'!Z:Z,"Approved",'QA Log'!L:L,"*Equipments (section 4)*")
))</f>
        <v/>
      </c>
      <c r="AP255" s="105" t="str">
        <f>IF(A255&lt;&gt;"",COUNTIFS('QA Log'!D:D,A255,'QA Log'!M:M,"Data Verification",'QA Log'!L:L,"Personnel (section 1)",'QA Log'!Z:Z,"Approved"),"")</f>
        <v/>
      </c>
      <c r="AQ255" s="105" t="str">
        <f>IF(A255&lt;&gt;"",COUNTIFS('QA Log'!D:D,A255,'QA Log'!M:M,"Data Verification",'QA Log'!L:L,"Consumable (section 3)",'QA Log'!Z:Z,"Approved"),"")</f>
        <v/>
      </c>
      <c r="AR255" s="105" t="str">
        <f>IF(A255&lt;&gt;"",COUNTIFS('QA Log'!D:D,A255,'QA Log'!M:M,"Data Verification",'QA Log'!L:L,"Equipments (section 4)",'QA Log'!Z:Z,"Approved"),"")</f>
        <v/>
      </c>
      <c r="AS255" s="102" t="str">
        <f>IF(A255="","",
SUM(
COUNTIFS('QA Log'!D:D,A255,'QA Log'!M:M,"Data Verification",'QA Log'!Z:Z,"Rejected",'QA Log'!L:L,"*Personnel (section 1)*"),
COUNTIFS('QA Log'!D:D,A255,'QA Log'!M:M,"Data Verification",'QA Log'!Z:Z,"Rejected",'QA Log'!L:L,"*Consumable (section 3)*"),
COUNTIFS('QA Log'!D:D,A255,'QA Log'!M:M,"Data Verification",'QA Log'!Z:Z,"Rejected",'QA Log'!L:L,"*Equipments (section 4)*")
))</f>
        <v/>
      </c>
      <c r="AT255" s="102" t="str">
        <f t="shared" si="7"/>
        <v/>
      </c>
      <c r="AU255" s="103" t="str">
        <f t="shared" si="8"/>
        <v/>
      </c>
      <c r="AV255" s="102" t="str">
        <f>IF(A255="","",SUM(
COUNTIFS('QA Log'!D:D,A255,'QA Log'!M:M,"Vignette",'QA Log'!L:L,"*Vignette [1] Respiratory Infection: Pneumonia*"),
COUNTIFS('QA Log'!D:D,A255,'QA Log'!M:M,"Vignette",'QA Log'!L:L,"*Vignette [2]: Diarrhea with Cat B dehydration*"),
COUNTIFS('QA Log'!D:D,A255,'QA Log'!M:M,"Vignette",'QA Log'!L:L,"*Vignette [3] Growth Monitoring and Promotion*"),
COUNTIFS('QA Log'!D:D,A255,'QA Log'!M:M,"Vignette",'QA Log'!L:L,"*Vignette [4]: The management of presumptive TB patient*")
)
)</f>
        <v/>
      </c>
      <c r="AW255" s="102" t="str">
        <f>IF(
  A255="","",
  SUM(
    COUNTIFS('QA Log'!D:D,A255,'QA Log'!M:M,"Vignette",'QA Log'!Z:Z,"Approved",'QA Log'!L:L,"*Vignette [1] Respiratory Infection: Pneumonia*"),
    COUNTIFS('QA Log'!D:D,A255,'QA Log'!M:M,"Vignette",'QA Log'!Z:Z,"Approved",'QA Log'!L:L,"*Vignette [2]: Diarrhea with Cat B dehydration*"),
    COUNTIFS('QA Log'!D:D,A255,'QA Log'!M:M,"Vignette",'QA Log'!Z:Z,"Approved",'QA Log'!L:L,"*Vignette [3] Growth Monitoring and Promotion*"),
    COUNTIFS('QA Log'!D:D,A255,'QA Log'!M:M,"Vignette",'QA Log'!Z:Z,"Approved",'QA Log'!L:L,"*Vignette [4]: The management of presumptive TB patient*")
  )
)</f>
        <v/>
      </c>
      <c r="AX255" s="105" t="str">
        <f>IF(A255&lt;&gt;"",COUNTIFS('QA Log'!D:D,A255,'QA Log'!M:M,"Vignette",'QA Log'!L:L,"Vignette [1] Respiratory Infection: Pneumonia",'QA Log'!Z:Z,"Approved"),"")</f>
        <v/>
      </c>
      <c r="AY255" s="105" t="str">
        <f>IF(A255&lt;&gt;"",COUNTIFS('QA Log'!D:D,A255,'QA Log'!M:M,"Vignette",'QA Log'!L:L,"Vignette [2]: Diarrhea with Cat B dehydration",'QA Log'!Z:Z,"Approved"),"")</f>
        <v/>
      </c>
      <c r="AZ255" s="105" t="str">
        <f>IF(A255&lt;&gt;"",COUNTIFS('QA Log'!D:D,A255,'QA Log'!M:M,"Vignette",'QA Log'!L:L,"Vignette [3] Growth Monitoring and Promotion",'QA Log'!Z:Z,"Approved"),"")</f>
        <v/>
      </c>
      <c r="BA255" s="105" t="str">
        <f>IF(A255&lt;&gt;"",COUNTIFS('QA Log'!D:D,A255,'QA Log'!M:M,"Vignette",'QA Log'!L:L,"Vignette [4]: The management of presumptive TB patient",'QA Log'!Z:Z,"Approved"),"")</f>
        <v/>
      </c>
      <c r="BB255" s="102" t="str">
        <f>IF(A255="","",
  SUM(
    COUNTIFS('QA Log'!D:D,A255,'QA Log'!M:M,"Vignette",'QA Log'!Z:Z,"Rejected",'QA Log'!L:L,"*Vignette [1] Respiratory Infection: Pneumonia*"),
    COUNTIFS('QA Log'!D:D,A255,'QA Log'!M:M,"Vignette",'QA Log'!Z:Z,"Rejected",'QA Log'!L:L,"*Vignette [2]: Diarrhea with Cat B dehydration*"),
    COUNTIFS('QA Log'!D:D,A255,'QA Log'!M:M,"Vignette",'QA Log'!Z:Z,"Rejected",'QA Log'!L:L,"*Vignette [3] Growth Monitoring and Promotion*"),
    COUNTIFS('QA Log'!D:D,A255,'QA Log'!M:M,"Vignette",'QA Log'!Z:Z,"Rejected",'QA Log'!L:L,"*Vignette [4]: The management of presumptive TB patient*")
  )
)</f>
        <v/>
      </c>
      <c r="BC255" s="107" t="str">
        <f t="shared" si="9"/>
        <v/>
      </c>
      <c r="BD255" s="103" t="str">
        <f t="shared" si="10"/>
        <v/>
      </c>
      <c r="BE255" s="102" t="str">
        <f>IF(A255="","",SUM(
COUNTIFS('QA Log'!D:D,A255,'QA Log'!M:M,"Vignette",'QA Log'!L:L,"*Vignette [5] Labor*"),
COUNTIFS('QA Log'!D:D,A255,'QA Log'!M:M,"Vignette",'QA Log'!L:L,"*Vignette [6] PNC pre Discharge*"),
COUNTIFS('QA Log'!D:D,A255,'QA Log'!M:M,"Vignette",'QA Log'!L:L,"*Vignette [7] First ANC Visit*"),
COUNTIFS('QA Log'!D:D,A255,'QA Log'!M:M,"Vignette",'QA Log'!L:L,"*Vignette [8] Birth Spacing/ Family Planning :  FP Counselling*"),
COUNTIFS('QA Log'!D:D,A255,'QA Log'!M:M,"Vignette",'QA Log'!L:L,"*Vignette [9] Birth Spacing: Change FP method to Injectable*"),
COUNTIFS('QA Log'!D:D,A255,'QA Log'!M:M,"Vignette",'QA Log'!L:L,"*Vignette [10] Post Partum Haemorrhage - Atonic Uterus at Health Centre*"),
)
)</f>
        <v/>
      </c>
      <c r="BF255" s="102" t="str">
        <f>IF(A255="","",
  SUM(
    COUNTIFS('QA Log'!D:D,A255,'QA Log'!M:M,"Vignette",'QA Log'!Z:Z,"Approved",'QA Log'!L:L,"*Vignette [5] Labor*"),
    COUNTIFS('QA Log'!D:D,A255,'QA Log'!M:M,"Vignette",'QA Log'!Z:Z,"Approved",'QA Log'!L:L,"*Vignette [6] PNC pre Discharge*"),
    COUNTIFS('QA Log'!D:D,A255,'QA Log'!M:M,"Vignette",'QA Log'!Z:Z,"Approved",'QA Log'!L:L,"*Vignette [7] First ANC Visit*"),
    COUNTIFS('QA Log'!D:D,A255,'QA Log'!M:M,"Vignette",'QA Log'!Z:Z,"Approved",'QA Log'!L:L,"*Vignette [8] Birth Spacing/ Family Planning :  FP Counselling*"),
    COUNTIFS('QA Log'!D:D,A255,'QA Log'!M:M,"Vignette",'QA Log'!Z:Z,"Approved",'QA Log'!L:L,"*Vignette [9] Birth Spacing: Change FP method to Injectable*"),
    COUNTIFS('QA Log'!D:D,A255,'QA Log'!M:M,"Vignette",'QA Log'!Z:Z,"Approved",'QA Log'!L:L,"*Vignette [10] Post Partum Haemorrhage - Atonic Uterus at Health Centre*")
  )
)</f>
        <v/>
      </c>
      <c r="BG255" s="105" t="str">
        <f>IF(A255&lt;&gt;"",COUNTIFS('QA Log'!D:D,A255,'QA Log'!M:M,"Vignette",'QA Log'!L:L,"Vignette [5] Labor",'QA Log'!Z:Z,"Approved"),"")</f>
        <v/>
      </c>
      <c r="BH255" s="105" t="str">
        <f>IF(A255&lt;&gt;"",COUNTIFS('QA Log'!D:D,A255,'QA Log'!M:M,"Vignette",'QA Log'!L:L,"Vignette [6] PNC pre Discharge",'QA Log'!Z:Z,"Approved"),"")</f>
        <v/>
      </c>
      <c r="BI255" s="105" t="str">
        <f>IF(A255&lt;&gt;"",COUNTIFS('QA Log'!D:D,A255,'QA Log'!M:M,"Vignette",'QA Log'!L:L,"Vignette [7] First ANC Visit",'QA Log'!Z:Z,"Approved"),"")</f>
        <v/>
      </c>
      <c r="BJ255" s="105" t="str">
        <f>IF(A255&lt;&gt;"",COUNTIFS('QA Log'!D:D,A255,'QA Log'!M:M,"Vignette",'QA Log'!L:L,"Vignette [8] Birth Spacing/ Family Planning :  FP Counselling",'QA Log'!Z:Z,"Approved"),"")</f>
        <v/>
      </c>
      <c r="BK255" s="105" t="str">
        <f>IF(A255&lt;&gt;"",COUNTIFS('QA Log'!D:D,A255,'QA Log'!M:M,"Vignette",'QA Log'!L:L,"Vignette [9] Birth Spacing: Change FP method to Injectable",'QA Log'!Z:Z,"Approved"),"")</f>
        <v/>
      </c>
      <c r="BL255" s="105" t="str">
        <f>IF(A255&lt;&gt;"",COUNTIFS('QA Log'!D:D,A255,'QA Log'!M:M,"Vignette",'QA Log'!L:L,"Vignette [10] Post Partum Haemorrhage - Atonic Uterus at Health Centre",'QA Log'!Z:Z,"Approved"),"")</f>
        <v/>
      </c>
      <c r="BM255" s="102" t="str">
        <f>IF(A255="","",SUM(
    COUNTIFS('QA Log'!D:D,A255,'QA Log'!M:M,"Vignette",'QA Log'!Z:Z,"Rejected",'QA Log'!L:L,"*Vignette [5] Labor*"),
    COUNTIFS('QA Log'!D:D,A255,'QA Log'!M:M,"Vignette",'QA Log'!Z:Z,"Rejected",'QA Log'!L:L,"*Vignette [6] PNC pre Discharge*"),
    COUNTIFS('QA Log'!D:D,A255,'QA Log'!M:M,"Vignette",'QA Log'!Z:Z,"Rejected",'QA Log'!L:L,"*Vignette [7] First ANC Visit*"),
    COUNTIFS('QA Log'!D:D,A255,'QA Log'!M:M,"Vignette",'QA Log'!Z:Z,"Rejected",'QA Log'!L:L,"*Vignette [8] Birth Spacing/ Family Planning :  FP Counselling*"),
    COUNTIFS('QA Log'!D:D,A255,'QA Log'!M:M,"Vignette",'QA Log'!Z:Z,"Rejected",'QA Log'!L:L,"*Vignette [9] Birth Spacing: Change FP method to Injectable*"),
    COUNTIFS('QA Log'!D:D,A255,'QA Log'!M:M,"Vignette",'QA Log'!Z:Z,"Rejected",'QA Log'!L:L,"*Vignette [10] Post Partum Haemorrhage - Atonic Uterus at Health Centre*")
  )
)</f>
        <v/>
      </c>
      <c r="BN255" s="107" t="str">
        <f t="shared" si="11"/>
        <v/>
      </c>
      <c r="BO255" s="103" t="str">
        <f t="shared" si="12"/>
        <v/>
      </c>
      <c r="BP255" s="102" t="str">
        <f>IF(A255="","",SUM(
COUNTIFS('QA Log'!D:D,A255,'QA Log'!M:M,"Vignette",'QA Log'!L:L,"*Exit Interview 1*"),
COUNTIFS('QA Log'!D:D,A255,'QA Log'!M:M,"Vignette",'QA Log'!L:L,"*Exit Interview 2*"),
)
)</f>
        <v/>
      </c>
      <c r="BQ255" s="102" t="str">
        <f>IF(
  A255="","",
  SUM(
    COUNTIFS('QA Log'!D:D,A255,'QA Log'!M:M,"Vignette",'QA Log'!Z:Z,"Approved",'QA Log'!L:L,"*Exit Interview 1*"),
    COUNTIFS('QA Log'!D:D,A255,'QA Log'!M:M,"Vignette",'QA Log'!Z:Z,"Approved",'QA Log'!L:L,"*Exit Interview 2*")
  )
)</f>
        <v/>
      </c>
      <c r="BR255" s="105" t="str">
        <f>IF(A255&lt;&gt;"",COUNTIFS('QA Log'!D:D,A255,'QA Log'!M:M,"Vignette",'QA Log'!L:L,"Exit Interview 1",'QA Log'!Z:Z,"Approved"),"")</f>
        <v/>
      </c>
      <c r="BS255" s="105" t="str">
        <f>IF(A255&lt;&gt;"",COUNTIFS('QA Log'!D:D,A255,'QA Log'!M:M,"Vignette",'QA Log'!L:L,"Exit Interview 2",'QA Log'!Z:Z,"Approved"),"")</f>
        <v/>
      </c>
      <c r="BT255" s="102" t="str">
        <f>IF(
  A255="","",
  SUM(
    COUNTIFS('QA Log'!D:D,A255,'QA Log'!M:M,"Vignette",'QA Log'!Z:Z,"Rejected",'QA Log'!L:L,"*Exit Interview 1*"),
    COUNTIFS('QA Log'!D:D,A255,'QA Log'!M:M,"Vignette",'QA Log'!Z:Z,"Rejected",'QA Log'!L:L,"*Exit Interview 2*")
  )
)</f>
        <v/>
      </c>
      <c r="BU255" s="107" t="str">
        <f t="shared" si="13"/>
        <v/>
      </c>
      <c r="BV255" s="102" t="str">
        <f t="shared" si="14"/>
        <v/>
      </c>
      <c r="BW255" s="102" t="str">
        <f t="shared" si="15"/>
        <v/>
      </c>
      <c r="BX255" s="102" t="str">
        <f t="shared" si="16"/>
        <v/>
      </c>
      <c r="BY255" s="102" t="str">
        <f t="shared" si="17"/>
        <v/>
      </c>
      <c r="BZ255" s="107" t="str">
        <f t="shared" si="18"/>
        <v/>
      </c>
      <c r="CA255" s="108" t="str">
        <f t="shared" si="19"/>
        <v/>
      </c>
      <c r="CB255" s="108" t="str">
        <f t="shared" si="20"/>
        <v/>
      </c>
      <c r="CC255" s="109" t="str">
        <f t="shared" si="21"/>
        <v/>
      </c>
      <c r="CD255" s="108" t="str">
        <f t="shared" si="22"/>
        <v/>
      </c>
      <c r="CE255" s="108" t="str">
        <f t="shared" si="23"/>
        <v/>
      </c>
      <c r="CF255" s="109" t="str">
        <f t="shared" si="24"/>
        <v/>
      </c>
      <c r="CG255" s="110" t="str">
        <f t="shared" si="25"/>
        <v/>
      </c>
      <c r="CH255" s="111"/>
    </row>
    <row r="256" spans="1:86" ht="12.75">
      <c r="A256" s="101"/>
      <c r="B256" s="102" t="e">
        <f t="array" aca="1" ref="B256" ca="1">_xludf.XLOOKUP(A256,'QA Log'!D:D,'QA Log'!E:E,"")</f>
        <v>#NAME?</v>
      </c>
      <c r="C256" s="102" t="e">
        <f t="array" aca="1" ref="C256" ca="1">_xludf.XLOOKUP(A256,'QA Log'!D:D,'QA Log'!F:F,"")</f>
        <v>#NAME?</v>
      </c>
      <c r="D256" s="102" t="e">
        <f t="array" aca="1" ref="D256" ca="1">_xludf.XLOOKUP(A256,'QA Log'!D:D,'QA Log'!H:H,"")</f>
        <v>#NAME?</v>
      </c>
      <c r="E256" s="102" t="e">
        <f t="array" aca="1" ref="E256" ca="1">_xludf.XLOOKUP(A256,'QA Log'!D:D,'QA Log'!G:G,"")</f>
        <v>#NAME?</v>
      </c>
      <c r="F256" s="103"/>
      <c r="G256" s="104"/>
      <c r="H256" s="104"/>
      <c r="I256" s="103" t="str">
        <f t="shared" si="0"/>
        <v/>
      </c>
      <c r="J256" s="102" t="str">
        <f>IF(A256="","",SUM(
COUNTIFS('QA Log'!D:D,A256,'QA Log'!M:M,"QQC",'QA Log'!L:L,"*1. General Management*"),
COUNTIFS('QA Log'!D:D,A256,'QA Log'!M:M,"QQC",'QA Log'!L:L,"*3. Curative Consultation (OPD)*"),
COUNTIFS('QA Log'!D:D,A256,'QA Log'!M:M,"QQC",'QA Log'!L:L,"*5. Laboratory*"),
COUNTIFS('QA Log'!D:D,A256,'QA Log'!M:M,"QQC",'QA Log'!L:L,"*6. Essential Medicine Management*"),
COUNTIFS('QA Log'!D:D,A256,'QA Log'!M:M,"QQC",'QA Log'!L:L,"*7. Tracer Medicine*"),
COUNTIFS('QA Log'!D:D,A256,'QA Log'!M:M,"QQC",'QA Log'!L:L,"*11. Additional Questions*")))</f>
        <v/>
      </c>
      <c r="K256" s="102" t="str">
        <f>IF(A256="","",SUM(
COUNTIFS('QA Log'!D:D,A256,'QA Log'!M:M,"QQC",'QA Log'!Z:Z,"Approved",'QA Log'!L:L,"*1. General Management*"),
COUNTIFS('QA Log'!D:D,A256,'QA Log'!M:M,"QQC",'QA Log'!Z:Z,"Approved",'QA Log'!L:L,"*3. Curative Consultation (OPD)*"),
COUNTIFS('QA Log'!D:D,A256,'QA Log'!M:M,"QQC",'QA Log'!Z:Z,"Approved",'QA Log'!L:L,"*5. Laboratory*"),
COUNTIFS('QA Log'!D:D,A256,'QA Log'!M:M,"QQC",'QA Log'!Z:Z,"Approved",'QA Log'!L:L,"*6. Essential Medicine Management*"),
COUNTIFS('QA Log'!D:D,A256,'QA Log'!M:M,"QQC",'QA Log'!Z:Z,"Approved",'QA Log'!L:L,"*7. Tracer Medicine*"),
COUNTIFS('QA Log'!D:D,A256,'QA Log'!M:M,"QQC",'QA Log'!Z:Z,"Approved",'QA Log'!L:L,"*11. Additional Questions*")))</f>
        <v/>
      </c>
      <c r="L256" s="105" t="str">
        <f>IF(A256&lt;&gt;"",COUNTIFS('QA Log'!D:D,A256,'QA Log'!M:M,"QQC",'QA Log'!L:L,"1. General Management",'QA Log'!Z:Z,"Approved"),"")</f>
        <v/>
      </c>
      <c r="M256" s="105" t="str">
        <f>IF(A256&lt;&gt;"",COUNTIFS('QA Log'!D:D,A256,'QA Log'!M:M,"QQC",'QA Log'!L:L,"3. Curative Consultation (OPD)",'QA Log'!Z:Z,"Approved"),"")</f>
        <v/>
      </c>
      <c r="N256" s="105" t="str">
        <f>IF(A256&lt;&gt;"",COUNTIFS('QA Log'!D:D,A256,'QA Log'!M:M,"QQC",'QA Log'!L:L,"5. Laboratory",'QA Log'!Z:Z,"Approved"),"")</f>
        <v/>
      </c>
      <c r="O256" s="105" t="str">
        <f>IF(A256&lt;&gt;"",COUNTIFS('QA Log'!D:D,A256,'QA Log'!M:M,"QQC",'QA Log'!L:L,"6. Essential Medicine Management",'QA Log'!Z:Z,"Approved"),"")</f>
        <v/>
      </c>
      <c r="P256" s="105" t="str">
        <f>IF(A256&lt;&gt;"",COUNTIFS('QA Log'!D:D,A256,'QA Log'!M:M,"QQC",'QA Log'!L:L,"7. Tracer Medicine",'QA Log'!Z:Z,"Approved"),"")</f>
        <v/>
      </c>
      <c r="Q256" s="105" t="str">
        <f>IF(A256&lt;&gt;"",COUNTIFS('QA Log'!D:D,A256,'QA Log'!M:M,"QQC",'QA Log'!L:L,"11. Additional Questions",'QA Log'!Z:Z,"Approved"),"")</f>
        <v/>
      </c>
      <c r="R256" s="102" t="str">
        <f>IF(A256="","",SUM(
COUNTIFS('QA Log'!D:D,A256,'QA Log'!M:M,"QQC",'QA Log'!Z:Z,"Rejected",'QA Log'!L:L,"*8. Maternity*"),
COUNTIFS('QA Log'!D:D,A256,'QA Log'!M:M,"QQC",'QA Log'!Z:Z,"Rejected",'QA Log'!L:L,"*EPI*"),
COUNTIFS('QA Log'!D:D,A256,'QA Log'!M:M,"QQC",'QA Log'!Z:Z,"Rejected",'QA Log'!L:L,"*10. Antenatal Care (ANC)*"),
COUNTIFS('QA Log'!D:D,A256,'QA Log'!M:M,"QQC",'QA Log'!Z:Z,"Rejected",'QA Log'!L:L,"*2. Hygiene and Sterilization*"),
COUNTIFS('QA Log'!D:D,A256,'QA Log'!M:M,"QQC",'QA Log'!Z:Z,"Rejected",'QA Log'!L:L,"*Family Planning*")))</f>
        <v/>
      </c>
      <c r="S256" s="106" t="str">
        <f t="shared" si="1"/>
        <v/>
      </c>
      <c r="T256" s="102" t="str">
        <f t="shared" si="2"/>
        <v/>
      </c>
      <c r="U256" s="102" t="str">
        <f>IF(A256="","",
SUM(
COUNTIFS('QA Log'!D:D,A256,'QA Log'!M:M,"QQC",'QA Log'!L:L,"*8. Maternity*"),
COUNTIFS('QA Log'!D:D,A256,'QA Log'!M:M,"QQC",'QA Log'!L:L,"*9. EPI and Pre-school Consultation*"),
COUNTIFS('QA Log'!D:D,A256,'QA Log'!M:M,"QQC",'QA Log'!L:L,"*10. Antenatal Care (ANC)*"),
COUNTIFS('QA Log'!D:D,A256,'QA Log'!M:M,"QQC",'QA Log'!L:L,"*2. Hygiene and Sterilization*"),
COUNTIFS('QA Log'!D:D,A256,'QA Log'!M:M,"QQC",'QA Log'!L:L,"*4. Family Planning*")
))</f>
        <v/>
      </c>
      <c r="V256" s="102" t="str">
        <f>IF(A256="","",
SUM(
COUNTIFS('QA Log'!D:D,A256,'QA Log'!M:M,"QQC",'QA Log'!Z:Z,"Approved",'QA Log'!L:L,"*8. Maternity*"),
COUNTIFS('QA Log'!D:D,A256,'QA Log'!M:M,"QQC",'QA Log'!Z:Z,"Approved",'QA Log'!L:L,"*9. EPI and Pre-school Consultation*"),
COUNTIFS('QA Log'!D:D,A256,'QA Log'!M:M,"QQC",'QA Log'!Z:Z,"Approved",'QA Log'!L:L,"*10. Antenatal Care (ANC)*"),
COUNTIFS('QA Log'!D:D,A256,'QA Log'!M:M,"QQC",'QA Log'!Z:Z,"Approved",'QA Log'!L:L,"*2. Hygiene and Sterilization*"),
COUNTIFS('QA Log'!D:D,A256,'QA Log'!M:M,"QQC",'QA Log'!Z:Z,"Approved",'QA Log'!L:L,"*4. Family Planning*")
))</f>
        <v/>
      </c>
      <c r="W256" s="105" t="str">
        <f>IF(A256&lt;&gt;"",COUNTIFS('QA Log'!D:D,A256,'QA Log'!M:M,"QQC",'QA Log'!L:L,"8. Maternity",'QA Log'!Z:Z,"Approved"),"")</f>
        <v/>
      </c>
      <c r="X256" s="105" t="str">
        <f>IF(A256&lt;&gt;"",COUNTIFS('QA Log'!D:D,A256,'QA Log'!M:M,"QQC",'QA Log'!L:L,"9. EPI and Pre-school Consultation",'QA Log'!Z:Z,"Approved"),"")</f>
        <v/>
      </c>
      <c r="Y256" s="105" t="str">
        <f>IF(A256&lt;&gt;"",COUNTIFS('QA Log'!D:D,A256,'QA Log'!M:M,"QQC",'QA Log'!L:L,"10. Antenatal Care (ANC)",'QA Log'!Z:Z,"Approved"),"")</f>
        <v/>
      </c>
      <c r="Z256" s="105" t="str">
        <f>IF(A256&lt;&gt;"",COUNTIFS('QA Log'!D:D,A256,'QA Log'!M:M,"QQC",'QA Log'!L:L,"2. Hygiene and Sterilization",'QA Log'!Z:Z,"Approved"),"")</f>
        <v/>
      </c>
      <c r="AA256" s="105" t="str">
        <f>IF(A256&lt;&gt;"",COUNTIFS('QA Log'!D:D,A256,'QA Log'!M:M,"QQC",'QA Log'!L:L,"4. Family Planning",'QA Log'!Z:Z,"Approved"),"")</f>
        <v/>
      </c>
      <c r="AB256" s="102" t="str">
        <f>IF(A256="","",
SUM(
COUNTIFS('QA Log'!D:D,A256,'QA Log'!M:M,"QQC",'QA Log'!Z:Z,"Rejected",'QA Log'!L:L,"*8. Maternity*"),
COUNTIFS('QA Log'!D:D,A256,'QA Log'!M:M,"QQC",'QA Log'!Z:Z,"Rejected",'QA Log'!L:L,"*9. EPI and Pre-school Consultation*"),
COUNTIFS('QA Log'!D:D,A256,'QA Log'!M:M,"QQC",'QA Log'!Z:Z,"Rejected",'QA Log'!L:L,"*10. Antenatal Care (ANC)*"),
COUNTIFS('QA Log'!D:D,A256,'QA Log'!M:M,"QQC",'QA Log'!Z:Z,"Rejected",'QA Log'!L:L,"*2. Hygiene and Sterilization*"),
COUNTIFS('QA Log'!D:D,A256,'QA Log'!M:M,"QQC",'QA Log'!Z:Z,"Rejected",'QA Log'!L:L,"*4. Family Planning*")
))</f>
        <v/>
      </c>
      <c r="AC256" s="102" t="str">
        <f t="shared" si="3"/>
        <v/>
      </c>
      <c r="AD256" s="103" t="str">
        <f t="shared" si="4"/>
        <v/>
      </c>
      <c r="AE256" s="102" t="str">
        <f>IF(A256="","",
SUM(
COUNTIFS('QA Log'!D:D,A256,'QA Log'!M:M,"Data Verification",'QA Log'!L:L,"*Medicine (section 2)*"),
COUNTIFS('QA Log'!D:D,A256,'QA Log'!M:M,"Data Verification",'QA Log'!L:L,"*Lab Testing Availability*"),
COUNTIFS('QA Log'!D:D,A256,'QA Log'!M:M,"Data Verification",'QA Log'!L:L,"*Other than P4P (section 6)*"),
COUNTIFS('QA Log'!D:D,A256,'QA Log'!M:M,"Data Verification",'QA Log'!L:L,"*Hospital Governance*")
))</f>
        <v/>
      </c>
      <c r="AF256" s="102" t="str">
        <f>IF(A256="","",
SUM(
COUNTIFS('QA Log'!D:D,A256,'QA Log'!M:M,"Data Verification",'QA Log'!Z:Z,"Approved",'QA Log'!L:L,"*Medicine (section 2)*"),
COUNTIFS('QA Log'!D:D,A256,'QA Log'!M:M,"Data Verification",'QA Log'!Z:Z,"Approved",'QA Log'!L:L,"*Lab Testing Availability*"),
COUNTIFS('QA Log'!D:D,A256,'QA Log'!M:M,"Data Verification",'QA Log'!Z:Z,"Approved",'QA Log'!L:L,"*Other than P4P (section 6)*"),
COUNTIFS('QA Log'!D:D,A256,'QA Log'!M:M,"Data Verification",'QA Log'!Z:Z,"Approved",'QA Log'!L:L,"*Hospital Governance*")
))</f>
        <v/>
      </c>
      <c r="AG256" s="105" t="str">
        <f>IF(A256&lt;&gt;"",COUNTIFS('QA Log'!D:D,A256,'QA Log'!M:M,"Data Verification",'QA Log'!L:L,"Medicine (section 2)",'QA Log'!Z:Z,"Approved"),"")</f>
        <v/>
      </c>
      <c r="AH256" s="105" t="str">
        <f>IF(A256&lt;&gt;"",COUNTIFS('QA Log'!D:D,A256,'QA Log'!M:M,"Data Verification",'QA Log'!L:L,"Lab Testing Availability",'QA Log'!Z:Z,"Approved"),"")</f>
        <v/>
      </c>
      <c r="AI256" s="105" t="str">
        <f>IF(A256&lt;&gt;"",COUNTIFS('QA Log'!D:D,A256,'QA Log'!M:M,"Data Verification",'QA Log'!L:L,"Other than P4P (section 6)",'QA Log'!Z:Z,"Approved"),"")</f>
        <v/>
      </c>
      <c r="AJ256" s="105" t="str">
        <f>IF(A256&lt;&gt;"",COUNTIFS('QA Log'!D:D,A256,'QA Log'!M:M,"Data Verification",'QA Log'!L:L,"Hospital Governance",'QA Log'!Z:Z,"Approved"),"")</f>
        <v/>
      </c>
      <c r="AK256" s="102" t="str">
        <f>IF(A256="","",
SUM(
COUNTIFS('QA Log'!D:D,A256,'QA Log'!M:M,"Data Verification",'QA Log'!Z:Z,"Rejected",'QA Log'!L:L,"*Medicine (section 2)*"),
COUNTIFS('QA Log'!D:D,A256,'QA Log'!M:M,"Data Verification",'QA Log'!Z:Z,"Rejected",'QA Log'!L:L,"*Lab Testing Availability*"),
COUNTIFS('QA Log'!D:D,A256,'QA Log'!M:M,"Data Verification",'QA Log'!Z:Z,"Rejected",'QA Log'!L:L,"*Other than P4P (section 6)*"),
COUNTIFS('QA Log'!D:D,A256,'QA Log'!M:M,"Data Verification",'QA Log'!Z:Z,"Rejected",'QA Log'!L:L,"*Hospital Governance*")
))</f>
        <v/>
      </c>
      <c r="AL256" s="106" t="str">
        <f t="shared" si="5"/>
        <v/>
      </c>
      <c r="AM256" s="102" t="str">
        <f t="shared" si="6"/>
        <v/>
      </c>
      <c r="AN256" s="102" t="str">
        <f>IF(A256="","",
SUM(
COUNTIFS('QA Log'!D:D,A256,'QA Log'!M:M,"Data Verification",'QA Log'!L:L,"*Personnel (section 1)*"),
COUNTIFS('QA Log'!D:D,A256,'QA Log'!M:M,"Data Verification",'QA Log'!L:L,"*Consumable (section 3)*"),
COUNTIFS('QA Log'!D:D,A256,'QA Log'!M:M,"Data Verification",'QA Log'!L:L,"*Equipments (section 4)*")
))</f>
        <v/>
      </c>
      <c r="AO256" s="102" t="str">
        <f>IF(A256="","",
SUM(
COUNTIFS('QA Log'!D:D,A256,'QA Log'!M:M,"Data Verification",'QA Log'!Z:Z,"Approved",'QA Log'!L:L,"*Personnel (section 1)*"),
COUNTIFS('QA Log'!D:D,A256,'QA Log'!M:M,"Data Verification",'QA Log'!Z:Z,"Approved",'QA Log'!L:L,"*Consumable (section 3)*"),
COUNTIFS('QA Log'!D:D,A256,'QA Log'!M:M,"Data Verification",'QA Log'!Z:Z,"Approved",'QA Log'!L:L,"*Equipments (section 4)*")
))</f>
        <v/>
      </c>
      <c r="AP256" s="105" t="str">
        <f>IF(A256&lt;&gt;"",COUNTIFS('QA Log'!D:D,A256,'QA Log'!M:M,"Data Verification",'QA Log'!L:L,"Personnel (section 1)",'QA Log'!Z:Z,"Approved"),"")</f>
        <v/>
      </c>
      <c r="AQ256" s="105" t="str">
        <f>IF(A256&lt;&gt;"",COUNTIFS('QA Log'!D:D,A256,'QA Log'!M:M,"Data Verification",'QA Log'!L:L,"Consumable (section 3)",'QA Log'!Z:Z,"Approved"),"")</f>
        <v/>
      </c>
      <c r="AR256" s="105" t="str">
        <f>IF(A256&lt;&gt;"",COUNTIFS('QA Log'!D:D,A256,'QA Log'!M:M,"Data Verification",'QA Log'!L:L,"Equipments (section 4)",'QA Log'!Z:Z,"Approved"),"")</f>
        <v/>
      </c>
      <c r="AS256" s="102" t="str">
        <f>IF(A256="","",
SUM(
COUNTIFS('QA Log'!D:D,A256,'QA Log'!M:M,"Data Verification",'QA Log'!Z:Z,"Rejected",'QA Log'!L:L,"*Personnel (section 1)*"),
COUNTIFS('QA Log'!D:D,A256,'QA Log'!M:M,"Data Verification",'QA Log'!Z:Z,"Rejected",'QA Log'!L:L,"*Consumable (section 3)*"),
COUNTIFS('QA Log'!D:D,A256,'QA Log'!M:M,"Data Verification",'QA Log'!Z:Z,"Rejected",'QA Log'!L:L,"*Equipments (section 4)*")
))</f>
        <v/>
      </c>
      <c r="AT256" s="102" t="str">
        <f t="shared" si="7"/>
        <v/>
      </c>
      <c r="AU256" s="103" t="str">
        <f t="shared" si="8"/>
        <v/>
      </c>
      <c r="AV256" s="102" t="str">
        <f>IF(A256="","",SUM(
COUNTIFS('QA Log'!D:D,A256,'QA Log'!M:M,"Vignette",'QA Log'!L:L,"*Vignette [1] Respiratory Infection: Pneumonia*"),
COUNTIFS('QA Log'!D:D,A256,'QA Log'!M:M,"Vignette",'QA Log'!L:L,"*Vignette [2]: Diarrhea with Cat B dehydration*"),
COUNTIFS('QA Log'!D:D,A256,'QA Log'!M:M,"Vignette",'QA Log'!L:L,"*Vignette [3] Growth Monitoring and Promotion*"),
COUNTIFS('QA Log'!D:D,A256,'QA Log'!M:M,"Vignette",'QA Log'!L:L,"*Vignette [4]: The management of presumptive TB patient*")
)
)</f>
        <v/>
      </c>
      <c r="AW256" s="102" t="str">
        <f>IF(
  A256="","",
  SUM(
    COUNTIFS('QA Log'!D:D,A256,'QA Log'!M:M,"Vignette",'QA Log'!Z:Z,"Approved",'QA Log'!L:L,"*Vignette [1] Respiratory Infection: Pneumonia*"),
    COUNTIFS('QA Log'!D:D,A256,'QA Log'!M:M,"Vignette",'QA Log'!Z:Z,"Approved",'QA Log'!L:L,"*Vignette [2]: Diarrhea with Cat B dehydration*"),
    COUNTIFS('QA Log'!D:D,A256,'QA Log'!M:M,"Vignette",'QA Log'!Z:Z,"Approved",'QA Log'!L:L,"*Vignette [3] Growth Monitoring and Promotion*"),
    COUNTIFS('QA Log'!D:D,A256,'QA Log'!M:M,"Vignette",'QA Log'!Z:Z,"Approved",'QA Log'!L:L,"*Vignette [4]: The management of presumptive TB patient*")
  )
)</f>
        <v/>
      </c>
      <c r="AX256" s="105" t="str">
        <f>IF(A256&lt;&gt;"",COUNTIFS('QA Log'!D:D,A256,'QA Log'!M:M,"Vignette",'QA Log'!L:L,"Vignette [1] Respiratory Infection: Pneumonia",'QA Log'!Z:Z,"Approved"),"")</f>
        <v/>
      </c>
      <c r="AY256" s="105" t="str">
        <f>IF(A256&lt;&gt;"",COUNTIFS('QA Log'!D:D,A256,'QA Log'!M:M,"Vignette",'QA Log'!L:L,"Vignette [2]: Diarrhea with Cat B dehydration",'QA Log'!Z:Z,"Approved"),"")</f>
        <v/>
      </c>
      <c r="AZ256" s="105" t="str">
        <f>IF(A256&lt;&gt;"",COUNTIFS('QA Log'!D:D,A256,'QA Log'!M:M,"Vignette",'QA Log'!L:L,"Vignette [3] Growth Monitoring and Promotion",'QA Log'!Z:Z,"Approved"),"")</f>
        <v/>
      </c>
      <c r="BA256" s="105" t="str">
        <f>IF(A256&lt;&gt;"",COUNTIFS('QA Log'!D:D,A256,'QA Log'!M:M,"Vignette",'QA Log'!L:L,"Vignette [4]: The management of presumptive TB patient",'QA Log'!Z:Z,"Approved"),"")</f>
        <v/>
      </c>
      <c r="BB256" s="102" t="str">
        <f>IF(A256="","",
  SUM(
    COUNTIFS('QA Log'!D:D,A256,'QA Log'!M:M,"Vignette",'QA Log'!Z:Z,"Rejected",'QA Log'!L:L,"*Vignette [1] Respiratory Infection: Pneumonia*"),
    COUNTIFS('QA Log'!D:D,A256,'QA Log'!M:M,"Vignette",'QA Log'!Z:Z,"Rejected",'QA Log'!L:L,"*Vignette [2]: Diarrhea with Cat B dehydration*"),
    COUNTIFS('QA Log'!D:D,A256,'QA Log'!M:M,"Vignette",'QA Log'!Z:Z,"Rejected",'QA Log'!L:L,"*Vignette [3] Growth Monitoring and Promotion*"),
    COUNTIFS('QA Log'!D:D,A256,'QA Log'!M:M,"Vignette",'QA Log'!Z:Z,"Rejected",'QA Log'!L:L,"*Vignette [4]: The management of presumptive TB patient*")
  )
)</f>
        <v/>
      </c>
      <c r="BC256" s="107" t="str">
        <f t="shared" si="9"/>
        <v/>
      </c>
      <c r="BD256" s="103" t="str">
        <f t="shared" si="10"/>
        <v/>
      </c>
      <c r="BE256" s="102" t="str">
        <f>IF(A256="","",SUM(
COUNTIFS('QA Log'!D:D,A256,'QA Log'!M:M,"Vignette",'QA Log'!L:L,"*Vignette [5] Labor*"),
COUNTIFS('QA Log'!D:D,A256,'QA Log'!M:M,"Vignette",'QA Log'!L:L,"*Vignette [6] PNC pre Discharge*"),
COUNTIFS('QA Log'!D:D,A256,'QA Log'!M:M,"Vignette",'QA Log'!L:L,"*Vignette [7] First ANC Visit*"),
COUNTIFS('QA Log'!D:D,A256,'QA Log'!M:M,"Vignette",'QA Log'!L:L,"*Vignette [8] Birth Spacing/ Family Planning :  FP Counselling*"),
COUNTIFS('QA Log'!D:D,A256,'QA Log'!M:M,"Vignette",'QA Log'!L:L,"*Vignette [9] Birth Spacing: Change FP method to Injectable*"),
COUNTIFS('QA Log'!D:D,A256,'QA Log'!M:M,"Vignette",'QA Log'!L:L,"*Vignette [10] Post Partum Haemorrhage - Atonic Uterus at Health Centre*"),
)
)</f>
        <v/>
      </c>
      <c r="BF256" s="102" t="str">
        <f>IF(A256="","",
  SUM(
    COUNTIFS('QA Log'!D:D,A256,'QA Log'!M:M,"Vignette",'QA Log'!Z:Z,"Approved",'QA Log'!L:L,"*Vignette [5] Labor*"),
    COUNTIFS('QA Log'!D:D,A256,'QA Log'!M:M,"Vignette",'QA Log'!Z:Z,"Approved",'QA Log'!L:L,"*Vignette [6] PNC pre Discharge*"),
    COUNTIFS('QA Log'!D:D,A256,'QA Log'!M:M,"Vignette",'QA Log'!Z:Z,"Approved",'QA Log'!L:L,"*Vignette [7] First ANC Visit*"),
    COUNTIFS('QA Log'!D:D,A256,'QA Log'!M:M,"Vignette",'QA Log'!Z:Z,"Approved",'QA Log'!L:L,"*Vignette [8] Birth Spacing/ Family Planning :  FP Counselling*"),
    COUNTIFS('QA Log'!D:D,A256,'QA Log'!M:M,"Vignette",'QA Log'!Z:Z,"Approved",'QA Log'!L:L,"*Vignette [9] Birth Spacing: Change FP method to Injectable*"),
    COUNTIFS('QA Log'!D:D,A256,'QA Log'!M:M,"Vignette",'QA Log'!Z:Z,"Approved",'QA Log'!L:L,"*Vignette [10] Post Partum Haemorrhage - Atonic Uterus at Health Centre*")
  )
)</f>
        <v/>
      </c>
      <c r="BG256" s="105" t="str">
        <f>IF(A256&lt;&gt;"",COUNTIFS('QA Log'!D:D,A256,'QA Log'!M:M,"Vignette",'QA Log'!L:L,"Vignette [5] Labor",'QA Log'!Z:Z,"Approved"),"")</f>
        <v/>
      </c>
      <c r="BH256" s="105" t="str">
        <f>IF(A256&lt;&gt;"",COUNTIFS('QA Log'!D:D,A256,'QA Log'!M:M,"Vignette",'QA Log'!L:L,"Vignette [6] PNC pre Discharge",'QA Log'!Z:Z,"Approved"),"")</f>
        <v/>
      </c>
      <c r="BI256" s="105" t="str">
        <f>IF(A256&lt;&gt;"",COUNTIFS('QA Log'!D:D,A256,'QA Log'!M:M,"Vignette",'QA Log'!L:L,"Vignette [7] First ANC Visit",'QA Log'!Z:Z,"Approved"),"")</f>
        <v/>
      </c>
      <c r="BJ256" s="105" t="str">
        <f>IF(A256&lt;&gt;"",COUNTIFS('QA Log'!D:D,A256,'QA Log'!M:M,"Vignette",'QA Log'!L:L,"Vignette [8] Birth Spacing/ Family Planning :  FP Counselling",'QA Log'!Z:Z,"Approved"),"")</f>
        <v/>
      </c>
      <c r="BK256" s="105" t="str">
        <f>IF(A256&lt;&gt;"",COUNTIFS('QA Log'!D:D,A256,'QA Log'!M:M,"Vignette",'QA Log'!L:L,"Vignette [9] Birth Spacing: Change FP method to Injectable",'QA Log'!Z:Z,"Approved"),"")</f>
        <v/>
      </c>
      <c r="BL256" s="105" t="str">
        <f>IF(A256&lt;&gt;"",COUNTIFS('QA Log'!D:D,A256,'QA Log'!M:M,"Vignette",'QA Log'!L:L,"Vignette [10] Post Partum Haemorrhage - Atonic Uterus at Health Centre",'QA Log'!Z:Z,"Approved"),"")</f>
        <v/>
      </c>
      <c r="BM256" s="102" t="str">
        <f>IF(A256="","",SUM(
    COUNTIFS('QA Log'!D:D,A256,'QA Log'!M:M,"Vignette",'QA Log'!Z:Z,"Rejected",'QA Log'!L:L,"*Vignette [5] Labor*"),
    COUNTIFS('QA Log'!D:D,A256,'QA Log'!M:M,"Vignette",'QA Log'!Z:Z,"Rejected",'QA Log'!L:L,"*Vignette [6] PNC pre Discharge*"),
    COUNTIFS('QA Log'!D:D,A256,'QA Log'!M:M,"Vignette",'QA Log'!Z:Z,"Rejected",'QA Log'!L:L,"*Vignette [7] First ANC Visit*"),
    COUNTIFS('QA Log'!D:D,A256,'QA Log'!M:M,"Vignette",'QA Log'!Z:Z,"Rejected",'QA Log'!L:L,"*Vignette [8] Birth Spacing/ Family Planning :  FP Counselling*"),
    COUNTIFS('QA Log'!D:D,A256,'QA Log'!M:M,"Vignette",'QA Log'!Z:Z,"Rejected",'QA Log'!L:L,"*Vignette [9] Birth Spacing: Change FP method to Injectable*"),
    COUNTIFS('QA Log'!D:D,A256,'QA Log'!M:M,"Vignette",'QA Log'!Z:Z,"Rejected",'QA Log'!L:L,"*Vignette [10] Post Partum Haemorrhage - Atonic Uterus at Health Centre*")
  )
)</f>
        <v/>
      </c>
      <c r="BN256" s="107" t="str">
        <f t="shared" si="11"/>
        <v/>
      </c>
      <c r="BO256" s="103" t="str">
        <f t="shared" si="12"/>
        <v/>
      </c>
      <c r="BP256" s="102" t="str">
        <f>IF(A256="","",SUM(
COUNTIFS('QA Log'!D:D,A256,'QA Log'!M:M,"Vignette",'QA Log'!L:L,"*Exit Interview 1*"),
COUNTIFS('QA Log'!D:D,A256,'QA Log'!M:M,"Vignette",'QA Log'!L:L,"*Exit Interview 2*"),
)
)</f>
        <v/>
      </c>
      <c r="BQ256" s="102" t="str">
        <f>IF(
  A256="","",
  SUM(
    COUNTIFS('QA Log'!D:D,A256,'QA Log'!M:M,"Vignette",'QA Log'!Z:Z,"Approved",'QA Log'!L:L,"*Exit Interview 1*"),
    COUNTIFS('QA Log'!D:D,A256,'QA Log'!M:M,"Vignette",'QA Log'!Z:Z,"Approved",'QA Log'!L:L,"*Exit Interview 2*")
  )
)</f>
        <v/>
      </c>
      <c r="BR256" s="105" t="str">
        <f>IF(A256&lt;&gt;"",COUNTIFS('QA Log'!D:D,A256,'QA Log'!M:M,"Vignette",'QA Log'!L:L,"Exit Interview 1",'QA Log'!Z:Z,"Approved"),"")</f>
        <v/>
      </c>
      <c r="BS256" s="105" t="str">
        <f>IF(A256&lt;&gt;"",COUNTIFS('QA Log'!D:D,A256,'QA Log'!M:M,"Vignette",'QA Log'!L:L,"Exit Interview 2",'QA Log'!Z:Z,"Approved"),"")</f>
        <v/>
      </c>
      <c r="BT256" s="102" t="str">
        <f>IF(
  A256="","",
  SUM(
    COUNTIFS('QA Log'!D:D,A256,'QA Log'!M:M,"Vignette",'QA Log'!Z:Z,"Rejected",'QA Log'!L:L,"*Exit Interview 1*"),
    COUNTIFS('QA Log'!D:D,A256,'QA Log'!M:M,"Vignette",'QA Log'!Z:Z,"Rejected",'QA Log'!L:L,"*Exit Interview 2*")
  )
)</f>
        <v/>
      </c>
      <c r="BU256" s="107" t="str">
        <f t="shared" si="13"/>
        <v/>
      </c>
      <c r="BV256" s="102" t="str">
        <f t="shared" si="14"/>
        <v/>
      </c>
      <c r="BW256" s="102" t="str">
        <f t="shared" si="15"/>
        <v/>
      </c>
      <c r="BX256" s="102" t="str">
        <f t="shared" si="16"/>
        <v/>
      </c>
      <c r="BY256" s="102" t="str">
        <f t="shared" si="17"/>
        <v/>
      </c>
      <c r="BZ256" s="107" t="str">
        <f t="shared" si="18"/>
        <v/>
      </c>
      <c r="CA256" s="108" t="str">
        <f t="shared" si="19"/>
        <v/>
      </c>
      <c r="CB256" s="108" t="str">
        <f t="shared" si="20"/>
        <v/>
      </c>
      <c r="CC256" s="109" t="str">
        <f t="shared" si="21"/>
        <v/>
      </c>
      <c r="CD256" s="108" t="str">
        <f t="shared" si="22"/>
        <v/>
      </c>
      <c r="CE256" s="108" t="str">
        <f t="shared" si="23"/>
        <v/>
      </c>
      <c r="CF256" s="109" t="str">
        <f t="shared" si="24"/>
        <v/>
      </c>
      <c r="CG256" s="110" t="str">
        <f t="shared" si="25"/>
        <v/>
      </c>
      <c r="CH256" s="111"/>
    </row>
    <row r="257" spans="1:86" ht="12.75">
      <c r="A257" s="101"/>
      <c r="B257" s="102" t="e">
        <f t="array" aca="1" ref="B257" ca="1">_xludf.XLOOKUP(A257,'QA Log'!D:D,'QA Log'!E:E,"")</f>
        <v>#NAME?</v>
      </c>
      <c r="C257" s="102" t="e">
        <f t="array" aca="1" ref="C257" ca="1">_xludf.XLOOKUP(A257,'QA Log'!D:D,'QA Log'!F:F,"")</f>
        <v>#NAME?</v>
      </c>
      <c r="D257" s="102" t="e">
        <f t="array" aca="1" ref="D257" ca="1">_xludf.XLOOKUP(A257,'QA Log'!D:D,'QA Log'!H:H,"")</f>
        <v>#NAME?</v>
      </c>
      <c r="E257" s="102" t="e">
        <f t="array" aca="1" ref="E257" ca="1">_xludf.XLOOKUP(A257,'QA Log'!D:D,'QA Log'!G:G,"")</f>
        <v>#NAME?</v>
      </c>
      <c r="F257" s="103"/>
      <c r="G257" s="104"/>
      <c r="H257" s="104"/>
      <c r="I257" s="103" t="str">
        <f t="shared" si="0"/>
        <v/>
      </c>
      <c r="J257" s="102" t="str">
        <f>IF(A257="","",SUM(
COUNTIFS('QA Log'!D:D,A257,'QA Log'!M:M,"QQC",'QA Log'!L:L,"*1. General Management*"),
COUNTIFS('QA Log'!D:D,A257,'QA Log'!M:M,"QQC",'QA Log'!L:L,"*3. Curative Consultation (OPD)*"),
COUNTIFS('QA Log'!D:D,A257,'QA Log'!M:M,"QQC",'QA Log'!L:L,"*5. Laboratory*"),
COUNTIFS('QA Log'!D:D,A257,'QA Log'!M:M,"QQC",'QA Log'!L:L,"*6. Essential Medicine Management*"),
COUNTIFS('QA Log'!D:D,A257,'QA Log'!M:M,"QQC",'QA Log'!L:L,"*7. Tracer Medicine*"),
COUNTIFS('QA Log'!D:D,A257,'QA Log'!M:M,"QQC",'QA Log'!L:L,"*11. Additional Questions*")))</f>
        <v/>
      </c>
      <c r="K257" s="102" t="str">
        <f>IF(A257="","",SUM(
COUNTIFS('QA Log'!D:D,A257,'QA Log'!M:M,"QQC",'QA Log'!Z:Z,"Approved",'QA Log'!L:L,"*1. General Management*"),
COUNTIFS('QA Log'!D:D,A257,'QA Log'!M:M,"QQC",'QA Log'!Z:Z,"Approved",'QA Log'!L:L,"*3. Curative Consultation (OPD)*"),
COUNTIFS('QA Log'!D:D,A257,'QA Log'!M:M,"QQC",'QA Log'!Z:Z,"Approved",'QA Log'!L:L,"*5. Laboratory*"),
COUNTIFS('QA Log'!D:D,A257,'QA Log'!M:M,"QQC",'QA Log'!Z:Z,"Approved",'QA Log'!L:L,"*6. Essential Medicine Management*"),
COUNTIFS('QA Log'!D:D,A257,'QA Log'!M:M,"QQC",'QA Log'!Z:Z,"Approved",'QA Log'!L:L,"*7. Tracer Medicine*"),
COUNTIFS('QA Log'!D:D,A257,'QA Log'!M:M,"QQC",'QA Log'!Z:Z,"Approved",'QA Log'!L:L,"*11. Additional Questions*")))</f>
        <v/>
      </c>
      <c r="L257" s="105" t="str">
        <f>IF(A257&lt;&gt;"",COUNTIFS('QA Log'!D:D,A257,'QA Log'!M:M,"QQC",'QA Log'!L:L,"1. General Management",'QA Log'!Z:Z,"Approved"),"")</f>
        <v/>
      </c>
      <c r="M257" s="105" t="str">
        <f>IF(A257&lt;&gt;"",COUNTIFS('QA Log'!D:D,A257,'QA Log'!M:M,"QQC",'QA Log'!L:L,"3. Curative Consultation (OPD)",'QA Log'!Z:Z,"Approved"),"")</f>
        <v/>
      </c>
      <c r="N257" s="105" t="str">
        <f>IF(A257&lt;&gt;"",COUNTIFS('QA Log'!D:D,A257,'QA Log'!M:M,"QQC",'QA Log'!L:L,"5. Laboratory",'QA Log'!Z:Z,"Approved"),"")</f>
        <v/>
      </c>
      <c r="O257" s="105" t="str">
        <f>IF(A257&lt;&gt;"",COUNTIFS('QA Log'!D:D,A257,'QA Log'!M:M,"QQC",'QA Log'!L:L,"6. Essential Medicine Management",'QA Log'!Z:Z,"Approved"),"")</f>
        <v/>
      </c>
      <c r="P257" s="105" t="str">
        <f>IF(A257&lt;&gt;"",COUNTIFS('QA Log'!D:D,A257,'QA Log'!M:M,"QQC",'QA Log'!L:L,"7. Tracer Medicine",'QA Log'!Z:Z,"Approved"),"")</f>
        <v/>
      </c>
      <c r="Q257" s="105" t="str">
        <f>IF(A257&lt;&gt;"",COUNTIFS('QA Log'!D:D,A257,'QA Log'!M:M,"QQC",'QA Log'!L:L,"11. Additional Questions",'QA Log'!Z:Z,"Approved"),"")</f>
        <v/>
      </c>
      <c r="R257" s="102" t="str">
        <f>IF(A257="","",SUM(
COUNTIFS('QA Log'!D:D,A257,'QA Log'!M:M,"QQC",'QA Log'!Z:Z,"Rejected",'QA Log'!L:L,"*8. Maternity*"),
COUNTIFS('QA Log'!D:D,A257,'QA Log'!M:M,"QQC",'QA Log'!Z:Z,"Rejected",'QA Log'!L:L,"*EPI*"),
COUNTIFS('QA Log'!D:D,A257,'QA Log'!M:M,"QQC",'QA Log'!Z:Z,"Rejected",'QA Log'!L:L,"*10. Antenatal Care (ANC)*"),
COUNTIFS('QA Log'!D:D,A257,'QA Log'!M:M,"QQC",'QA Log'!Z:Z,"Rejected",'QA Log'!L:L,"*2. Hygiene and Sterilization*"),
COUNTIFS('QA Log'!D:D,A257,'QA Log'!M:M,"QQC",'QA Log'!Z:Z,"Rejected",'QA Log'!L:L,"*Family Planning*")))</f>
        <v/>
      </c>
      <c r="S257" s="106" t="str">
        <f t="shared" si="1"/>
        <v/>
      </c>
      <c r="T257" s="102" t="str">
        <f t="shared" si="2"/>
        <v/>
      </c>
      <c r="U257" s="102" t="str">
        <f>IF(A257="","",
SUM(
COUNTIFS('QA Log'!D:D,A257,'QA Log'!M:M,"QQC",'QA Log'!L:L,"*8. Maternity*"),
COUNTIFS('QA Log'!D:D,A257,'QA Log'!M:M,"QQC",'QA Log'!L:L,"*9. EPI and Pre-school Consultation*"),
COUNTIFS('QA Log'!D:D,A257,'QA Log'!M:M,"QQC",'QA Log'!L:L,"*10. Antenatal Care (ANC)*"),
COUNTIFS('QA Log'!D:D,A257,'QA Log'!M:M,"QQC",'QA Log'!L:L,"*2. Hygiene and Sterilization*"),
COUNTIFS('QA Log'!D:D,A257,'QA Log'!M:M,"QQC",'QA Log'!L:L,"*4. Family Planning*")
))</f>
        <v/>
      </c>
      <c r="V257" s="102" t="str">
        <f>IF(A257="","",
SUM(
COUNTIFS('QA Log'!D:D,A257,'QA Log'!M:M,"QQC",'QA Log'!Z:Z,"Approved",'QA Log'!L:L,"*8. Maternity*"),
COUNTIFS('QA Log'!D:D,A257,'QA Log'!M:M,"QQC",'QA Log'!Z:Z,"Approved",'QA Log'!L:L,"*9. EPI and Pre-school Consultation*"),
COUNTIFS('QA Log'!D:D,A257,'QA Log'!M:M,"QQC",'QA Log'!Z:Z,"Approved",'QA Log'!L:L,"*10. Antenatal Care (ANC)*"),
COUNTIFS('QA Log'!D:D,A257,'QA Log'!M:M,"QQC",'QA Log'!Z:Z,"Approved",'QA Log'!L:L,"*2. Hygiene and Sterilization*"),
COUNTIFS('QA Log'!D:D,A257,'QA Log'!M:M,"QQC",'QA Log'!Z:Z,"Approved",'QA Log'!L:L,"*4. Family Planning*")
))</f>
        <v/>
      </c>
      <c r="W257" s="105" t="str">
        <f>IF(A257&lt;&gt;"",COUNTIFS('QA Log'!D:D,A257,'QA Log'!M:M,"QQC",'QA Log'!L:L,"8. Maternity",'QA Log'!Z:Z,"Approved"),"")</f>
        <v/>
      </c>
      <c r="X257" s="105" t="str">
        <f>IF(A257&lt;&gt;"",COUNTIFS('QA Log'!D:D,A257,'QA Log'!M:M,"QQC",'QA Log'!L:L,"9. EPI and Pre-school Consultation",'QA Log'!Z:Z,"Approved"),"")</f>
        <v/>
      </c>
      <c r="Y257" s="105" t="str">
        <f>IF(A257&lt;&gt;"",COUNTIFS('QA Log'!D:D,A257,'QA Log'!M:M,"QQC",'QA Log'!L:L,"10. Antenatal Care (ANC)",'QA Log'!Z:Z,"Approved"),"")</f>
        <v/>
      </c>
      <c r="Z257" s="105" t="str">
        <f>IF(A257&lt;&gt;"",COUNTIFS('QA Log'!D:D,A257,'QA Log'!M:M,"QQC",'QA Log'!L:L,"2. Hygiene and Sterilization",'QA Log'!Z:Z,"Approved"),"")</f>
        <v/>
      </c>
      <c r="AA257" s="105" t="str">
        <f>IF(A257&lt;&gt;"",COUNTIFS('QA Log'!D:D,A257,'QA Log'!M:M,"QQC",'QA Log'!L:L,"4. Family Planning",'QA Log'!Z:Z,"Approved"),"")</f>
        <v/>
      </c>
      <c r="AB257" s="102" t="str">
        <f>IF(A257="","",
SUM(
COUNTIFS('QA Log'!D:D,A257,'QA Log'!M:M,"QQC",'QA Log'!Z:Z,"Rejected",'QA Log'!L:L,"*8. Maternity*"),
COUNTIFS('QA Log'!D:D,A257,'QA Log'!M:M,"QQC",'QA Log'!Z:Z,"Rejected",'QA Log'!L:L,"*9. EPI and Pre-school Consultation*"),
COUNTIFS('QA Log'!D:D,A257,'QA Log'!M:M,"QQC",'QA Log'!Z:Z,"Rejected",'QA Log'!L:L,"*10. Antenatal Care (ANC)*"),
COUNTIFS('QA Log'!D:D,A257,'QA Log'!M:M,"QQC",'QA Log'!Z:Z,"Rejected",'QA Log'!L:L,"*2. Hygiene and Sterilization*"),
COUNTIFS('QA Log'!D:D,A257,'QA Log'!M:M,"QQC",'QA Log'!Z:Z,"Rejected",'QA Log'!L:L,"*4. Family Planning*")
))</f>
        <v/>
      </c>
      <c r="AC257" s="102" t="str">
        <f t="shared" si="3"/>
        <v/>
      </c>
      <c r="AD257" s="103" t="str">
        <f t="shared" si="4"/>
        <v/>
      </c>
      <c r="AE257" s="102" t="str">
        <f>IF(A257="","",
SUM(
COUNTIFS('QA Log'!D:D,A257,'QA Log'!M:M,"Data Verification",'QA Log'!L:L,"*Medicine (section 2)*"),
COUNTIFS('QA Log'!D:D,A257,'QA Log'!M:M,"Data Verification",'QA Log'!L:L,"*Lab Testing Availability*"),
COUNTIFS('QA Log'!D:D,A257,'QA Log'!M:M,"Data Verification",'QA Log'!L:L,"*Other than P4P (section 6)*"),
COUNTIFS('QA Log'!D:D,A257,'QA Log'!M:M,"Data Verification",'QA Log'!L:L,"*Hospital Governance*")
))</f>
        <v/>
      </c>
      <c r="AF257" s="102" t="str">
        <f>IF(A257="","",
SUM(
COUNTIFS('QA Log'!D:D,A257,'QA Log'!M:M,"Data Verification",'QA Log'!Z:Z,"Approved",'QA Log'!L:L,"*Medicine (section 2)*"),
COUNTIFS('QA Log'!D:D,A257,'QA Log'!M:M,"Data Verification",'QA Log'!Z:Z,"Approved",'QA Log'!L:L,"*Lab Testing Availability*"),
COUNTIFS('QA Log'!D:D,A257,'QA Log'!M:M,"Data Verification",'QA Log'!Z:Z,"Approved",'QA Log'!L:L,"*Other than P4P (section 6)*"),
COUNTIFS('QA Log'!D:D,A257,'QA Log'!M:M,"Data Verification",'QA Log'!Z:Z,"Approved",'QA Log'!L:L,"*Hospital Governance*")
))</f>
        <v/>
      </c>
      <c r="AG257" s="105" t="str">
        <f>IF(A257&lt;&gt;"",COUNTIFS('QA Log'!D:D,A257,'QA Log'!M:M,"Data Verification",'QA Log'!L:L,"Medicine (section 2)",'QA Log'!Z:Z,"Approved"),"")</f>
        <v/>
      </c>
      <c r="AH257" s="105" t="str">
        <f>IF(A257&lt;&gt;"",COUNTIFS('QA Log'!D:D,A257,'QA Log'!M:M,"Data Verification",'QA Log'!L:L,"Lab Testing Availability",'QA Log'!Z:Z,"Approved"),"")</f>
        <v/>
      </c>
      <c r="AI257" s="105" t="str">
        <f>IF(A257&lt;&gt;"",COUNTIFS('QA Log'!D:D,A257,'QA Log'!M:M,"Data Verification",'QA Log'!L:L,"Other than P4P (section 6)",'QA Log'!Z:Z,"Approved"),"")</f>
        <v/>
      </c>
      <c r="AJ257" s="105" t="str">
        <f>IF(A257&lt;&gt;"",COUNTIFS('QA Log'!D:D,A257,'QA Log'!M:M,"Data Verification",'QA Log'!L:L,"Hospital Governance",'QA Log'!Z:Z,"Approved"),"")</f>
        <v/>
      </c>
      <c r="AK257" s="102" t="str">
        <f>IF(A257="","",
SUM(
COUNTIFS('QA Log'!D:D,A257,'QA Log'!M:M,"Data Verification",'QA Log'!Z:Z,"Rejected",'QA Log'!L:L,"*Medicine (section 2)*"),
COUNTIFS('QA Log'!D:D,A257,'QA Log'!M:M,"Data Verification",'QA Log'!Z:Z,"Rejected",'QA Log'!L:L,"*Lab Testing Availability*"),
COUNTIFS('QA Log'!D:D,A257,'QA Log'!M:M,"Data Verification",'QA Log'!Z:Z,"Rejected",'QA Log'!L:L,"*Other than P4P (section 6)*"),
COUNTIFS('QA Log'!D:D,A257,'QA Log'!M:M,"Data Verification",'QA Log'!Z:Z,"Rejected",'QA Log'!L:L,"*Hospital Governance*")
))</f>
        <v/>
      </c>
      <c r="AL257" s="106" t="str">
        <f t="shared" si="5"/>
        <v/>
      </c>
      <c r="AM257" s="102" t="str">
        <f t="shared" si="6"/>
        <v/>
      </c>
      <c r="AN257" s="102" t="str">
        <f>IF(A257="","",
SUM(
COUNTIFS('QA Log'!D:D,A257,'QA Log'!M:M,"Data Verification",'QA Log'!L:L,"*Personnel (section 1)*"),
COUNTIFS('QA Log'!D:D,A257,'QA Log'!M:M,"Data Verification",'QA Log'!L:L,"*Consumable (section 3)*"),
COUNTIFS('QA Log'!D:D,A257,'QA Log'!M:M,"Data Verification",'QA Log'!L:L,"*Equipments (section 4)*")
))</f>
        <v/>
      </c>
      <c r="AO257" s="102" t="str">
        <f>IF(A257="","",
SUM(
COUNTIFS('QA Log'!D:D,A257,'QA Log'!M:M,"Data Verification",'QA Log'!Z:Z,"Approved",'QA Log'!L:L,"*Personnel (section 1)*"),
COUNTIFS('QA Log'!D:D,A257,'QA Log'!M:M,"Data Verification",'QA Log'!Z:Z,"Approved",'QA Log'!L:L,"*Consumable (section 3)*"),
COUNTIFS('QA Log'!D:D,A257,'QA Log'!M:M,"Data Verification",'QA Log'!Z:Z,"Approved",'QA Log'!L:L,"*Equipments (section 4)*")
))</f>
        <v/>
      </c>
      <c r="AP257" s="105" t="str">
        <f>IF(A257&lt;&gt;"",COUNTIFS('QA Log'!D:D,A257,'QA Log'!M:M,"Data Verification",'QA Log'!L:L,"Personnel (section 1)",'QA Log'!Z:Z,"Approved"),"")</f>
        <v/>
      </c>
      <c r="AQ257" s="105" t="str">
        <f>IF(A257&lt;&gt;"",COUNTIFS('QA Log'!D:D,A257,'QA Log'!M:M,"Data Verification",'QA Log'!L:L,"Consumable (section 3)",'QA Log'!Z:Z,"Approved"),"")</f>
        <v/>
      </c>
      <c r="AR257" s="105" t="str">
        <f>IF(A257&lt;&gt;"",COUNTIFS('QA Log'!D:D,A257,'QA Log'!M:M,"Data Verification",'QA Log'!L:L,"Equipments (section 4)",'QA Log'!Z:Z,"Approved"),"")</f>
        <v/>
      </c>
      <c r="AS257" s="102" t="str">
        <f>IF(A257="","",
SUM(
COUNTIFS('QA Log'!D:D,A257,'QA Log'!M:M,"Data Verification",'QA Log'!Z:Z,"Rejected",'QA Log'!L:L,"*Personnel (section 1)*"),
COUNTIFS('QA Log'!D:D,A257,'QA Log'!M:M,"Data Verification",'QA Log'!Z:Z,"Rejected",'QA Log'!L:L,"*Consumable (section 3)*"),
COUNTIFS('QA Log'!D:D,A257,'QA Log'!M:M,"Data Verification",'QA Log'!Z:Z,"Rejected",'QA Log'!L:L,"*Equipments (section 4)*")
))</f>
        <v/>
      </c>
      <c r="AT257" s="102" t="str">
        <f t="shared" si="7"/>
        <v/>
      </c>
      <c r="AU257" s="103" t="str">
        <f t="shared" si="8"/>
        <v/>
      </c>
      <c r="AV257" s="102" t="str">
        <f>IF(A257="","",SUM(
COUNTIFS('QA Log'!D:D,A257,'QA Log'!M:M,"Vignette",'QA Log'!L:L,"*Vignette [1] Respiratory Infection: Pneumonia*"),
COUNTIFS('QA Log'!D:D,A257,'QA Log'!M:M,"Vignette",'QA Log'!L:L,"*Vignette [2]: Diarrhea with Cat B dehydration*"),
COUNTIFS('QA Log'!D:D,A257,'QA Log'!M:M,"Vignette",'QA Log'!L:L,"*Vignette [3] Growth Monitoring and Promotion*"),
COUNTIFS('QA Log'!D:D,A257,'QA Log'!M:M,"Vignette",'QA Log'!L:L,"*Vignette [4]: The management of presumptive TB patient*")
)
)</f>
        <v/>
      </c>
      <c r="AW257" s="102" t="str">
        <f>IF(
  A257="","",
  SUM(
    COUNTIFS('QA Log'!D:D,A257,'QA Log'!M:M,"Vignette",'QA Log'!Z:Z,"Approved",'QA Log'!L:L,"*Vignette [1] Respiratory Infection: Pneumonia*"),
    COUNTIFS('QA Log'!D:D,A257,'QA Log'!M:M,"Vignette",'QA Log'!Z:Z,"Approved",'QA Log'!L:L,"*Vignette [2]: Diarrhea with Cat B dehydration*"),
    COUNTIFS('QA Log'!D:D,A257,'QA Log'!M:M,"Vignette",'QA Log'!Z:Z,"Approved",'QA Log'!L:L,"*Vignette [3] Growth Monitoring and Promotion*"),
    COUNTIFS('QA Log'!D:D,A257,'QA Log'!M:M,"Vignette",'QA Log'!Z:Z,"Approved",'QA Log'!L:L,"*Vignette [4]: The management of presumptive TB patient*")
  )
)</f>
        <v/>
      </c>
      <c r="AX257" s="105" t="str">
        <f>IF(A257&lt;&gt;"",COUNTIFS('QA Log'!D:D,A257,'QA Log'!M:M,"Vignette",'QA Log'!L:L,"Vignette [1] Respiratory Infection: Pneumonia",'QA Log'!Z:Z,"Approved"),"")</f>
        <v/>
      </c>
      <c r="AY257" s="105" t="str">
        <f>IF(A257&lt;&gt;"",COUNTIFS('QA Log'!D:D,A257,'QA Log'!M:M,"Vignette",'QA Log'!L:L,"Vignette [2]: Diarrhea with Cat B dehydration",'QA Log'!Z:Z,"Approved"),"")</f>
        <v/>
      </c>
      <c r="AZ257" s="105" t="str">
        <f>IF(A257&lt;&gt;"",COUNTIFS('QA Log'!D:D,A257,'QA Log'!M:M,"Vignette",'QA Log'!L:L,"Vignette [3] Growth Monitoring and Promotion",'QA Log'!Z:Z,"Approved"),"")</f>
        <v/>
      </c>
      <c r="BA257" s="105" t="str">
        <f>IF(A257&lt;&gt;"",COUNTIFS('QA Log'!D:D,A257,'QA Log'!M:M,"Vignette",'QA Log'!L:L,"Vignette [4]: The management of presumptive TB patient",'QA Log'!Z:Z,"Approved"),"")</f>
        <v/>
      </c>
      <c r="BB257" s="102" t="str">
        <f>IF(A257="","",
  SUM(
    COUNTIFS('QA Log'!D:D,A257,'QA Log'!M:M,"Vignette",'QA Log'!Z:Z,"Rejected",'QA Log'!L:L,"*Vignette [1] Respiratory Infection: Pneumonia*"),
    COUNTIFS('QA Log'!D:D,A257,'QA Log'!M:M,"Vignette",'QA Log'!Z:Z,"Rejected",'QA Log'!L:L,"*Vignette [2]: Diarrhea with Cat B dehydration*"),
    COUNTIFS('QA Log'!D:D,A257,'QA Log'!M:M,"Vignette",'QA Log'!Z:Z,"Rejected",'QA Log'!L:L,"*Vignette [3] Growth Monitoring and Promotion*"),
    COUNTIFS('QA Log'!D:D,A257,'QA Log'!M:M,"Vignette",'QA Log'!Z:Z,"Rejected",'QA Log'!L:L,"*Vignette [4]: The management of presumptive TB patient*")
  )
)</f>
        <v/>
      </c>
      <c r="BC257" s="107" t="str">
        <f t="shared" si="9"/>
        <v/>
      </c>
      <c r="BD257" s="103" t="str">
        <f t="shared" si="10"/>
        <v/>
      </c>
      <c r="BE257" s="102" t="str">
        <f>IF(A257="","",SUM(
COUNTIFS('QA Log'!D:D,A257,'QA Log'!M:M,"Vignette",'QA Log'!L:L,"*Vignette [5] Labor*"),
COUNTIFS('QA Log'!D:D,A257,'QA Log'!M:M,"Vignette",'QA Log'!L:L,"*Vignette [6] PNC pre Discharge*"),
COUNTIFS('QA Log'!D:D,A257,'QA Log'!M:M,"Vignette",'QA Log'!L:L,"*Vignette [7] First ANC Visit*"),
COUNTIFS('QA Log'!D:D,A257,'QA Log'!M:M,"Vignette",'QA Log'!L:L,"*Vignette [8] Birth Spacing/ Family Planning :  FP Counselling*"),
COUNTIFS('QA Log'!D:D,A257,'QA Log'!M:M,"Vignette",'QA Log'!L:L,"*Vignette [9] Birth Spacing: Change FP method to Injectable*"),
COUNTIFS('QA Log'!D:D,A257,'QA Log'!M:M,"Vignette",'QA Log'!L:L,"*Vignette [10] Post Partum Haemorrhage - Atonic Uterus at Health Centre*"),
)
)</f>
        <v/>
      </c>
      <c r="BF257" s="102" t="str">
        <f>IF(A257="","",
  SUM(
    COUNTIFS('QA Log'!D:D,A257,'QA Log'!M:M,"Vignette",'QA Log'!Z:Z,"Approved",'QA Log'!L:L,"*Vignette [5] Labor*"),
    COUNTIFS('QA Log'!D:D,A257,'QA Log'!M:M,"Vignette",'QA Log'!Z:Z,"Approved",'QA Log'!L:L,"*Vignette [6] PNC pre Discharge*"),
    COUNTIFS('QA Log'!D:D,A257,'QA Log'!M:M,"Vignette",'QA Log'!Z:Z,"Approved",'QA Log'!L:L,"*Vignette [7] First ANC Visit*"),
    COUNTIFS('QA Log'!D:D,A257,'QA Log'!M:M,"Vignette",'QA Log'!Z:Z,"Approved",'QA Log'!L:L,"*Vignette [8] Birth Spacing/ Family Planning :  FP Counselling*"),
    COUNTIFS('QA Log'!D:D,A257,'QA Log'!M:M,"Vignette",'QA Log'!Z:Z,"Approved",'QA Log'!L:L,"*Vignette [9] Birth Spacing: Change FP method to Injectable*"),
    COUNTIFS('QA Log'!D:D,A257,'QA Log'!M:M,"Vignette",'QA Log'!Z:Z,"Approved",'QA Log'!L:L,"*Vignette [10] Post Partum Haemorrhage - Atonic Uterus at Health Centre*")
  )
)</f>
        <v/>
      </c>
      <c r="BG257" s="105" t="str">
        <f>IF(A257&lt;&gt;"",COUNTIFS('QA Log'!D:D,A257,'QA Log'!M:M,"Vignette",'QA Log'!L:L,"Vignette [5] Labor",'QA Log'!Z:Z,"Approved"),"")</f>
        <v/>
      </c>
      <c r="BH257" s="105" t="str">
        <f>IF(A257&lt;&gt;"",COUNTIFS('QA Log'!D:D,A257,'QA Log'!M:M,"Vignette",'QA Log'!L:L,"Vignette [6] PNC pre Discharge",'QA Log'!Z:Z,"Approved"),"")</f>
        <v/>
      </c>
      <c r="BI257" s="105" t="str">
        <f>IF(A257&lt;&gt;"",COUNTIFS('QA Log'!D:D,A257,'QA Log'!M:M,"Vignette",'QA Log'!L:L,"Vignette [7] First ANC Visit",'QA Log'!Z:Z,"Approved"),"")</f>
        <v/>
      </c>
      <c r="BJ257" s="105" t="str">
        <f>IF(A257&lt;&gt;"",COUNTIFS('QA Log'!D:D,A257,'QA Log'!M:M,"Vignette",'QA Log'!L:L,"Vignette [8] Birth Spacing/ Family Planning :  FP Counselling",'QA Log'!Z:Z,"Approved"),"")</f>
        <v/>
      </c>
      <c r="BK257" s="105" t="str">
        <f>IF(A257&lt;&gt;"",COUNTIFS('QA Log'!D:D,A257,'QA Log'!M:M,"Vignette",'QA Log'!L:L,"Vignette [9] Birth Spacing: Change FP method to Injectable",'QA Log'!Z:Z,"Approved"),"")</f>
        <v/>
      </c>
      <c r="BL257" s="105" t="str">
        <f>IF(A257&lt;&gt;"",COUNTIFS('QA Log'!D:D,A257,'QA Log'!M:M,"Vignette",'QA Log'!L:L,"Vignette [10] Post Partum Haemorrhage - Atonic Uterus at Health Centre",'QA Log'!Z:Z,"Approved"),"")</f>
        <v/>
      </c>
      <c r="BM257" s="102" t="str">
        <f>IF(A257="","",SUM(
    COUNTIFS('QA Log'!D:D,A257,'QA Log'!M:M,"Vignette",'QA Log'!Z:Z,"Rejected",'QA Log'!L:L,"*Vignette [5] Labor*"),
    COUNTIFS('QA Log'!D:D,A257,'QA Log'!M:M,"Vignette",'QA Log'!Z:Z,"Rejected",'QA Log'!L:L,"*Vignette [6] PNC pre Discharge*"),
    COUNTIFS('QA Log'!D:D,A257,'QA Log'!M:M,"Vignette",'QA Log'!Z:Z,"Rejected",'QA Log'!L:L,"*Vignette [7] First ANC Visit*"),
    COUNTIFS('QA Log'!D:D,A257,'QA Log'!M:M,"Vignette",'QA Log'!Z:Z,"Rejected",'QA Log'!L:L,"*Vignette [8] Birth Spacing/ Family Planning :  FP Counselling*"),
    COUNTIFS('QA Log'!D:D,A257,'QA Log'!M:M,"Vignette",'QA Log'!Z:Z,"Rejected",'QA Log'!L:L,"*Vignette [9] Birth Spacing: Change FP method to Injectable*"),
    COUNTIFS('QA Log'!D:D,A257,'QA Log'!M:M,"Vignette",'QA Log'!Z:Z,"Rejected",'QA Log'!L:L,"*Vignette [10] Post Partum Haemorrhage - Atonic Uterus at Health Centre*")
  )
)</f>
        <v/>
      </c>
      <c r="BN257" s="107" t="str">
        <f t="shared" si="11"/>
        <v/>
      </c>
      <c r="BO257" s="103" t="str">
        <f t="shared" si="12"/>
        <v/>
      </c>
      <c r="BP257" s="102" t="str">
        <f>IF(A257="","",SUM(
COUNTIFS('QA Log'!D:D,A257,'QA Log'!M:M,"Vignette",'QA Log'!L:L,"*Exit Interview 1*"),
COUNTIFS('QA Log'!D:D,A257,'QA Log'!M:M,"Vignette",'QA Log'!L:L,"*Exit Interview 2*"),
)
)</f>
        <v/>
      </c>
      <c r="BQ257" s="102" t="str">
        <f>IF(
  A257="","",
  SUM(
    COUNTIFS('QA Log'!D:D,A257,'QA Log'!M:M,"Vignette",'QA Log'!Z:Z,"Approved",'QA Log'!L:L,"*Exit Interview 1*"),
    COUNTIFS('QA Log'!D:D,A257,'QA Log'!M:M,"Vignette",'QA Log'!Z:Z,"Approved",'QA Log'!L:L,"*Exit Interview 2*")
  )
)</f>
        <v/>
      </c>
      <c r="BR257" s="105" t="str">
        <f>IF(A257&lt;&gt;"",COUNTIFS('QA Log'!D:D,A257,'QA Log'!M:M,"Vignette",'QA Log'!L:L,"Exit Interview 1",'QA Log'!Z:Z,"Approved"),"")</f>
        <v/>
      </c>
      <c r="BS257" s="105" t="str">
        <f>IF(A257&lt;&gt;"",COUNTIFS('QA Log'!D:D,A257,'QA Log'!M:M,"Vignette",'QA Log'!L:L,"Exit Interview 2",'QA Log'!Z:Z,"Approved"),"")</f>
        <v/>
      </c>
      <c r="BT257" s="102" t="str">
        <f>IF(
  A257="","",
  SUM(
    COUNTIFS('QA Log'!D:D,A257,'QA Log'!M:M,"Vignette",'QA Log'!Z:Z,"Rejected",'QA Log'!L:L,"*Exit Interview 1*"),
    COUNTIFS('QA Log'!D:D,A257,'QA Log'!M:M,"Vignette",'QA Log'!Z:Z,"Rejected",'QA Log'!L:L,"*Exit Interview 2*")
  )
)</f>
        <v/>
      </c>
      <c r="BU257" s="107" t="str">
        <f t="shared" si="13"/>
        <v/>
      </c>
      <c r="BV257" s="102" t="str">
        <f t="shared" si="14"/>
        <v/>
      </c>
      <c r="BW257" s="102" t="str">
        <f t="shared" si="15"/>
        <v/>
      </c>
      <c r="BX257" s="102" t="str">
        <f t="shared" si="16"/>
        <v/>
      </c>
      <c r="BY257" s="102" t="str">
        <f t="shared" si="17"/>
        <v/>
      </c>
      <c r="BZ257" s="107" t="str">
        <f t="shared" si="18"/>
        <v/>
      </c>
      <c r="CA257" s="108" t="str">
        <f t="shared" si="19"/>
        <v/>
      </c>
      <c r="CB257" s="108" t="str">
        <f t="shared" si="20"/>
        <v/>
      </c>
      <c r="CC257" s="109" t="str">
        <f t="shared" si="21"/>
        <v/>
      </c>
      <c r="CD257" s="108" t="str">
        <f t="shared" si="22"/>
        <v/>
      </c>
      <c r="CE257" s="108" t="str">
        <f t="shared" si="23"/>
        <v/>
      </c>
      <c r="CF257" s="109" t="str">
        <f t="shared" si="24"/>
        <v/>
      </c>
      <c r="CG257" s="110" t="str">
        <f t="shared" si="25"/>
        <v/>
      </c>
      <c r="CH257" s="111"/>
    </row>
    <row r="258" spans="1:86" ht="12.75">
      <c r="A258" s="101"/>
      <c r="B258" s="102" t="e">
        <f t="array" aca="1" ref="B258" ca="1">_xludf.XLOOKUP(A258,'QA Log'!D:D,'QA Log'!E:E,"")</f>
        <v>#NAME?</v>
      </c>
      <c r="C258" s="102" t="e">
        <f t="array" aca="1" ref="C258" ca="1">_xludf.XLOOKUP(A258,'QA Log'!D:D,'QA Log'!F:F,"")</f>
        <v>#NAME?</v>
      </c>
      <c r="D258" s="102" t="e">
        <f t="array" aca="1" ref="D258" ca="1">_xludf.XLOOKUP(A258,'QA Log'!D:D,'QA Log'!H:H,"")</f>
        <v>#NAME?</v>
      </c>
      <c r="E258" s="102" t="e">
        <f t="array" aca="1" ref="E258" ca="1">_xludf.XLOOKUP(A258,'QA Log'!D:D,'QA Log'!G:G,"")</f>
        <v>#NAME?</v>
      </c>
      <c r="F258" s="103"/>
      <c r="G258" s="104"/>
      <c r="H258" s="104"/>
      <c r="I258" s="103" t="str">
        <f t="shared" ref="I258:I512" si="26">IF(A258="", "", IF(OR(D258="RH", D258="PH", D258="SHC"), 0, IF(D258="BHC", 5, 6)))</f>
        <v/>
      </c>
      <c r="J258" s="102" t="str">
        <f>IF(A258="","",SUM(
COUNTIFS('QA Log'!D:D,A258,'QA Log'!M:M,"QQC",'QA Log'!L:L,"*1. General Management*"),
COUNTIFS('QA Log'!D:D,A258,'QA Log'!M:M,"QQC",'QA Log'!L:L,"*3. Curative Consultation (OPD)*"),
COUNTIFS('QA Log'!D:D,A258,'QA Log'!M:M,"QQC",'QA Log'!L:L,"*5. Laboratory*"),
COUNTIFS('QA Log'!D:D,A258,'QA Log'!M:M,"QQC",'QA Log'!L:L,"*6. Essential Medicine Management*"),
COUNTIFS('QA Log'!D:D,A258,'QA Log'!M:M,"QQC",'QA Log'!L:L,"*7. Tracer Medicine*"),
COUNTIFS('QA Log'!D:D,A258,'QA Log'!M:M,"QQC",'QA Log'!L:L,"*11. Additional Questions*")))</f>
        <v/>
      </c>
      <c r="K258" s="102" t="str">
        <f>IF(A258="","",SUM(
COUNTIFS('QA Log'!D:D,A258,'QA Log'!M:M,"QQC",'QA Log'!Z:Z,"Approved",'QA Log'!L:L,"*1. General Management*"),
COUNTIFS('QA Log'!D:D,A258,'QA Log'!M:M,"QQC",'QA Log'!Z:Z,"Approved",'QA Log'!L:L,"*3. Curative Consultation (OPD)*"),
COUNTIFS('QA Log'!D:D,A258,'QA Log'!M:M,"QQC",'QA Log'!Z:Z,"Approved",'QA Log'!L:L,"*5. Laboratory*"),
COUNTIFS('QA Log'!D:D,A258,'QA Log'!M:M,"QQC",'QA Log'!Z:Z,"Approved",'QA Log'!L:L,"*6. Essential Medicine Management*"),
COUNTIFS('QA Log'!D:D,A258,'QA Log'!M:M,"QQC",'QA Log'!Z:Z,"Approved",'QA Log'!L:L,"*7. Tracer Medicine*"),
COUNTIFS('QA Log'!D:D,A258,'QA Log'!M:M,"QQC",'QA Log'!Z:Z,"Approved",'QA Log'!L:L,"*11. Additional Questions*")))</f>
        <v/>
      </c>
      <c r="L258" s="105" t="str">
        <f>IF(A258&lt;&gt;"",COUNTIFS('QA Log'!D:D,A258,'QA Log'!M:M,"QQC",'QA Log'!L:L,"1. General Management",'QA Log'!Z:Z,"Approved"),"")</f>
        <v/>
      </c>
      <c r="M258" s="105" t="str">
        <f>IF(A258&lt;&gt;"",COUNTIFS('QA Log'!D:D,A258,'QA Log'!M:M,"QQC",'QA Log'!L:L,"3. Curative Consultation (OPD)",'QA Log'!Z:Z,"Approved"),"")</f>
        <v/>
      </c>
      <c r="N258" s="105" t="str">
        <f>IF(A258&lt;&gt;"",COUNTIFS('QA Log'!D:D,A258,'QA Log'!M:M,"QQC",'QA Log'!L:L,"5. Laboratory",'QA Log'!Z:Z,"Approved"),"")</f>
        <v/>
      </c>
      <c r="O258" s="105" t="str">
        <f>IF(A258&lt;&gt;"",COUNTIFS('QA Log'!D:D,A258,'QA Log'!M:M,"QQC",'QA Log'!L:L,"6. Essential Medicine Management",'QA Log'!Z:Z,"Approved"),"")</f>
        <v/>
      </c>
      <c r="P258" s="105" t="str">
        <f>IF(A258&lt;&gt;"",COUNTIFS('QA Log'!D:D,A258,'QA Log'!M:M,"QQC",'QA Log'!L:L,"7. Tracer Medicine",'QA Log'!Z:Z,"Approved"),"")</f>
        <v/>
      </c>
      <c r="Q258" s="105" t="str">
        <f>IF(A258&lt;&gt;"",COUNTIFS('QA Log'!D:D,A258,'QA Log'!M:M,"QQC",'QA Log'!L:L,"11. Additional Questions",'QA Log'!Z:Z,"Approved"),"")</f>
        <v/>
      </c>
      <c r="R258" s="102" t="str">
        <f>IF(A258="","",SUM(
COUNTIFS('QA Log'!D:D,A258,'QA Log'!M:M,"QQC",'QA Log'!Z:Z,"Rejected",'QA Log'!L:L,"*8. Maternity*"),
COUNTIFS('QA Log'!D:D,A258,'QA Log'!M:M,"QQC",'QA Log'!Z:Z,"Rejected",'QA Log'!L:L,"*EPI*"),
COUNTIFS('QA Log'!D:D,A258,'QA Log'!M:M,"QQC",'QA Log'!Z:Z,"Rejected",'QA Log'!L:L,"*10. Antenatal Care (ANC)*"),
COUNTIFS('QA Log'!D:D,A258,'QA Log'!M:M,"QQC",'QA Log'!Z:Z,"Rejected",'QA Log'!L:L,"*2. Hygiene and Sterilization*"),
COUNTIFS('QA Log'!D:D,A258,'QA Log'!M:M,"QQC",'QA Log'!Z:Z,"Rejected",'QA Log'!L:L,"*Family Planning*")))</f>
        <v/>
      </c>
      <c r="S258" s="106" t="str">
        <f t="shared" ref="S258:S512" si="27">IF(A258&lt;&gt;"",I258-K258,"")</f>
        <v/>
      </c>
      <c r="T258" s="102" t="str">
        <f t="shared" ref="T258:T512" si="28">IF(A258="", "", IF(OR(D258="RH", D258="PH", D258="SHC"), 0, IF(D258="BHC", 5, 5)))</f>
        <v/>
      </c>
      <c r="U258" s="102" t="str">
        <f>IF(A258="","",
SUM(
COUNTIFS('QA Log'!D:D,A258,'QA Log'!M:M,"QQC",'QA Log'!L:L,"*8. Maternity*"),
COUNTIFS('QA Log'!D:D,A258,'QA Log'!M:M,"QQC",'QA Log'!L:L,"*9. EPI and Pre-school Consultation*"),
COUNTIFS('QA Log'!D:D,A258,'QA Log'!M:M,"QQC",'QA Log'!L:L,"*10. Antenatal Care (ANC)*"),
COUNTIFS('QA Log'!D:D,A258,'QA Log'!M:M,"QQC",'QA Log'!L:L,"*2. Hygiene and Sterilization*"),
COUNTIFS('QA Log'!D:D,A258,'QA Log'!M:M,"QQC",'QA Log'!L:L,"*4. Family Planning*")
))</f>
        <v/>
      </c>
      <c r="V258" s="102" t="str">
        <f>IF(A258="","",
SUM(
COUNTIFS('QA Log'!D:D,A258,'QA Log'!M:M,"QQC",'QA Log'!Z:Z,"Approved",'QA Log'!L:L,"*8. Maternity*"),
COUNTIFS('QA Log'!D:D,A258,'QA Log'!M:M,"QQC",'QA Log'!Z:Z,"Approved",'QA Log'!L:L,"*9. EPI and Pre-school Consultation*"),
COUNTIFS('QA Log'!D:D,A258,'QA Log'!M:M,"QQC",'QA Log'!Z:Z,"Approved",'QA Log'!L:L,"*10. Antenatal Care (ANC)*"),
COUNTIFS('QA Log'!D:D,A258,'QA Log'!M:M,"QQC",'QA Log'!Z:Z,"Approved",'QA Log'!L:L,"*2. Hygiene and Sterilization*"),
COUNTIFS('QA Log'!D:D,A258,'QA Log'!M:M,"QQC",'QA Log'!Z:Z,"Approved",'QA Log'!L:L,"*4. Family Planning*")
))</f>
        <v/>
      </c>
      <c r="W258" s="105" t="str">
        <f>IF(A258&lt;&gt;"",COUNTIFS('QA Log'!D:D,A258,'QA Log'!M:M,"QQC",'QA Log'!L:L,"8. Maternity",'QA Log'!Z:Z,"Approved"),"")</f>
        <v/>
      </c>
      <c r="X258" s="105" t="str">
        <f>IF(A258&lt;&gt;"",COUNTIFS('QA Log'!D:D,A258,'QA Log'!M:M,"QQC",'QA Log'!L:L,"9. EPI and Pre-school Consultation",'QA Log'!Z:Z,"Approved"),"")</f>
        <v/>
      </c>
      <c r="Y258" s="105" t="str">
        <f>IF(A258&lt;&gt;"",COUNTIFS('QA Log'!D:D,A258,'QA Log'!M:M,"QQC",'QA Log'!L:L,"10. Antenatal Care (ANC)",'QA Log'!Z:Z,"Approved"),"")</f>
        <v/>
      </c>
      <c r="Z258" s="105" t="str">
        <f>IF(A258&lt;&gt;"",COUNTIFS('QA Log'!D:D,A258,'QA Log'!M:M,"QQC",'QA Log'!L:L,"2. Hygiene and Sterilization",'QA Log'!Z:Z,"Approved"),"")</f>
        <v/>
      </c>
      <c r="AA258" s="105" t="str">
        <f>IF(A258&lt;&gt;"",COUNTIFS('QA Log'!D:D,A258,'QA Log'!M:M,"QQC",'QA Log'!L:L,"4. Family Planning",'QA Log'!Z:Z,"Approved"),"")</f>
        <v/>
      </c>
      <c r="AB258" s="102" t="str">
        <f>IF(A258="","",
SUM(
COUNTIFS('QA Log'!D:D,A258,'QA Log'!M:M,"QQC",'QA Log'!Z:Z,"Rejected",'QA Log'!L:L,"*8. Maternity*"),
COUNTIFS('QA Log'!D:D,A258,'QA Log'!M:M,"QQC",'QA Log'!Z:Z,"Rejected",'QA Log'!L:L,"*9. EPI and Pre-school Consultation*"),
COUNTIFS('QA Log'!D:D,A258,'QA Log'!M:M,"QQC",'QA Log'!Z:Z,"Rejected",'QA Log'!L:L,"*10. Antenatal Care (ANC)*"),
COUNTIFS('QA Log'!D:D,A258,'QA Log'!M:M,"QQC",'QA Log'!Z:Z,"Rejected",'QA Log'!L:L,"*2. Hygiene and Sterilization*"),
COUNTIFS('QA Log'!D:D,A258,'QA Log'!M:M,"QQC",'QA Log'!Z:Z,"Rejected",'QA Log'!L:L,"*4. Family Planning*")
))</f>
        <v/>
      </c>
      <c r="AC258" s="102" t="str">
        <f t="shared" ref="AC258:AC512" si="29">IF(A258&lt;&gt;"",T258-V258,"")</f>
        <v/>
      </c>
      <c r="AD258" s="103" t="str">
        <f t="shared" ref="AD258:AD512" si="30">IF(A258="", "", IF(OR(D258="RH", D258="PH"), 4,IF(OR(D258="DH",D258="CHC",D258="BHC"),0, IF(D258="SHC", 2))
))</f>
        <v/>
      </c>
      <c r="AE258" s="102" t="str">
        <f>IF(A258="","",
SUM(
COUNTIFS('QA Log'!D:D,A258,'QA Log'!M:M,"Data Verification",'QA Log'!L:L,"*Medicine (section 2)*"),
COUNTIFS('QA Log'!D:D,A258,'QA Log'!M:M,"Data Verification",'QA Log'!L:L,"*Lab Testing Availability*"),
COUNTIFS('QA Log'!D:D,A258,'QA Log'!M:M,"Data Verification",'QA Log'!L:L,"*Other than P4P (section 6)*"),
COUNTIFS('QA Log'!D:D,A258,'QA Log'!M:M,"Data Verification",'QA Log'!L:L,"*Hospital Governance*")
))</f>
        <v/>
      </c>
      <c r="AF258" s="102" t="str">
        <f>IF(A258="","",
SUM(
COUNTIFS('QA Log'!D:D,A258,'QA Log'!M:M,"Data Verification",'QA Log'!Z:Z,"Approved",'QA Log'!L:L,"*Medicine (section 2)*"),
COUNTIFS('QA Log'!D:D,A258,'QA Log'!M:M,"Data Verification",'QA Log'!Z:Z,"Approved",'QA Log'!L:L,"*Lab Testing Availability*"),
COUNTIFS('QA Log'!D:D,A258,'QA Log'!M:M,"Data Verification",'QA Log'!Z:Z,"Approved",'QA Log'!L:L,"*Other than P4P (section 6)*"),
COUNTIFS('QA Log'!D:D,A258,'QA Log'!M:M,"Data Verification",'QA Log'!Z:Z,"Approved",'QA Log'!L:L,"*Hospital Governance*")
))</f>
        <v/>
      </c>
      <c r="AG258" s="105" t="str">
        <f>IF(A258&lt;&gt;"",COUNTIFS('QA Log'!D:D,A258,'QA Log'!M:M,"Data Verification",'QA Log'!L:L,"Medicine (section 2)",'QA Log'!Z:Z,"Approved"),"")</f>
        <v/>
      </c>
      <c r="AH258" s="105" t="str">
        <f>IF(A258&lt;&gt;"",COUNTIFS('QA Log'!D:D,A258,'QA Log'!M:M,"Data Verification",'QA Log'!L:L,"Lab Testing Availability",'QA Log'!Z:Z,"Approved"),"")</f>
        <v/>
      </c>
      <c r="AI258" s="105" t="str">
        <f>IF(A258&lt;&gt;"",COUNTIFS('QA Log'!D:D,A258,'QA Log'!M:M,"Data Verification",'QA Log'!L:L,"Other than P4P (section 6)",'QA Log'!Z:Z,"Approved"),"")</f>
        <v/>
      </c>
      <c r="AJ258" s="105" t="str">
        <f>IF(A258&lt;&gt;"",COUNTIFS('QA Log'!D:D,A258,'QA Log'!M:M,"Data Verification",'QA Log'!L:L,"Hospital Governance",'QA Log'!Z:Z,"Approved"),"")</f>
        <v/>
      </c>
      <c r="AK258" s="102" t="str">
        <f>IF(A258="","",
SUM(
COUNTIFS('QA Log'!D:D,A258,'QA Log'!M:M,"Data Verification",'QA Log'!Z:Z,"Rejected",'QA Log'!L:L,"*Medicine (section 2)*"),
COUNTIFS('QA Log'!D:D,A258,'QA Log'!M:M,"Data Verification",'QA Log'!Z:Z,"Rejected",'QA Log'!L:L,"*Lab Testing Availability*"),
COUNTIFS('QA Log'!D:D,A258,'QA Log'!M:M,"Data Verification",'QA Log'!Z:Z,"Rejected",'QA Log'!L:L,"*Other than P4P (section 6)*"),
COUNTIFS('QA Log'!D:D,A258,'QA Log'!M:M,"Data Verification",'QA Log'!Z:Z,"Rejected",'QA Log'!L:L,"*Hospital Governance*")
))</f>
        <v/>
      </c>
      <c r="AL258" s="106" t="str">
        <f t="shared" ref="AL258:AL512" si="31">IF(A258&lt;&gt;"",AD258-AF258,"")</f>
        <v/>
      </c>
      <c r="AM258" s="102" t="str">
        <f t="shared" ref="AM258:AM512" si="32">IF(A258="", "", IF(OR(D258="RH", D258="PH"), 3,IF(OR(D258="DH",D258="CHC",D258="BHC"),0, IF(D258="SHC", 3))
))</f>
        <v/>
      </c>
      <c r="AN258" s="102" t="str">
        <f>IF(A258="","",
SUM(
COUNTIFS('QA Log'!D:D,A258,'QA Log'!M:M,"Data Verification",'QA Log'!L:L,"*Personnel (section 1)*"),
COUNTIFS('QA Log'!D:D,A258,'QA Log'!M:M,"Data Verification",'QA Log'!L:L,"*Consumable (section 3)*"),
COUNTIFS('QA Log'!D:D,A258,'QA Log'!M:M,"Data Verification",'QA Log'!L:L,"*Equipments (section 4)*")
))</f>
        <v/>
      </c>
      <c r="AO258" s="102" t="str">
        <f>IF(A258="","",
SUM(
COUNTIFS('QA Log'!D:D,A258,'QA Log'!M:M,"Data Verification",'QA Log'!Z:Z,"Approved",'QA Log'!L:L,"*Personnel (section 1)*"),
COUNTIFS('QA Log'!D:D,A258,'QA Log'!M:M,"Data Verification",'QA Log'!Z:Z,"Approved",'QA Log'!L:L,"*Consumable (section 3)*"),
COUNTIFS('QA Log'!D:D,A258,'QA Log'!M:M,"Data Verification",'QA Log'!Z:Z,"Approved",'QA Log'!L:L,"*Equipments (section 4)*")
))</f>
        <v/>
      </c>
      <c r="AP258" s="105" t="str">
        <f>IF(A258&lt;&gt;"",COUNTIFS('QA Log'!D:D,A258,'QA Log'!M:M,"Data Verification",'QA Log'!L:L,"Personnel (section 1)",'QA Log'!Z:Z,"Approved"),"")</f>
        <v/>
      </c>
      <c r="AQ258" s="105" t="str">
        <f>IF(A258&lt;&gt;"",COUNTIFS('QA Log'!D:D,A258,'QA Log'!M:M,"Data Verification",'QA Log'!L:L,"Consumable (section 3)",'QA Log'!Z:Z,"Approved"),"")</f>
        <v/>
      </c>
      <c r="AR258" s="105" t="str">
        <f>IF(A258&lt;&gt;"",COUNTIFS('QA Log'!D:D,A258,'QA Log'!M:M,"Data Verification",'QA Log'!L:L,"Equipments (section 4)",'QA Log'!Z:Z,"Approved"),"")</f>
        <v/>
      </c>
      <c r="AS258" s="102" t="str">
        <f>IF(A258="","",
SUM(
COUNTIFS('QA Log'!D:D,A258,'QA Log'!M:M,"Data Verification",'QA Log'!Z:Z,"Rejected",'QA Log'!L:L,"*Personnel (section 1)*"),
COUNTIFS('QA Log'!D:D,A258,'QA Log'!M:M,"Data Verification",'QA Log'!Z:Z,"Rejected",'QA Log'!L:L,"*Consumable (section 3)*"),
COUNTIFS('QA Log'!D:D,A258,'QA Log'!M:M,"Data Verification",'QA Log'!Z:Z,"Rejected",'QA Log'!L:L,"*Equipments (section 4)*")
))</f>
        <v/>
      </c>
      <c r="AT258" s="102" t="str">
        <f t="shared" ref="AT258:AT512" si="33">IF(A258&lt;&gt;"",AM258-AO258,"")</f>
        <v/>
      </c>
      <c r="AU258" s="103" t="str">
        <f t="shared" ref="AU258:AU512" si="34">IF(A258&lt;&gt;"",2,"")</f>
        <v/>
      </c>
      <c r="AV258" s="102" t="str">
        <f>IF(A258="","",SUM(
COUNTIFS('QA Log'!D:D,A258,'QA Log'!M:M,"Vignette",'QA Log'!L:L,"*Vignette [1] Respiratory Infection: Pneumonia*"),
COUNTIFS('QA Log'!D:D,A258,'QA Log'!M:M,"Vignette",'QA Log'!L:L,"*Vignette [2]: Diarrhea with Cat B dehydration*"),
COUNTIFS('QA Log'!D:D,A258,'QA Log'!M:M,"Vignette",'QA Log'!L:L,"*Vignette [3] Growth Monitoring and Promotion*"),
COUNTIFS('QA Log'!D:D,A258,'QA Log'!M:M,"Vignette",'QA Log'!L:L,"*Vignette [4]: The management of presumptive TB patient*")
)
)</f>
        <v/>
      </c>
      <c r="AW258" s="102" t="str">
        <f>IF(
  A258="","",
  SUM(
    COUNTIFS('QA Log'!D:D,A258,'QA Log'!M:M,"Vignette",'QA Log'!Z:Z,"Approved",'QA Log'!L:L,"*Vignette [1] Respiratory Infection: Pneumonia*"),
    COUNTIFS('QA Log'!D:D,A258,'QA Log'!M:M,"Vignette",'QA Log'!Z:Z,"Approved",'QA Log'!L:L,"*Vignette [2]: Diarrhea with Cat B dehydration*"),
    COUNTIFS('QA Log'!D:D,A258,'QA Log'!M:M,"Vignette",'QA Log'!Z:Z,"Approved",'QA Log'!L:L,"*Vignette [3] Growth Monitoring and Promotion*"),
    COUNTIFS('QA Log'!D:D,A258,'QA Log'!M:M,"Vignette",'QA Log'!Z:Z,"Approved",'QA Log'!L:L,"*Vignette [4]: The management of presumptive TB patient*")
  )
)</f>
        <v/>
      </c>
      <c r="AX258" s="105" t="str">
        <f>IF(A258&lt;&gt;"",COUNTIFS('QA Log'!D:D,A258,'QA Log'!M:M,"Vignette",'QA Log'!L:L,"Vignette [1] Respiratory Infection: Pneumonia",'QA Log'!Z:Z,"Approved"),"")</f>
        <v/>
      </c>
      <c r="AY258" s="105" t="str">
        <f>IF(A258&lt;&gt;"",COUNTIFS('QA Log'!D:D,A258,'QA Log'!M:M,"Vignette",'QA Log'!L:L,"Vignette [2]: Diarrhea with Cat B dehydration",'QA Log'!Z:Z,"Approved"),"")</f>
        <v/>
      </c>
      <c r="AZ258" s="105" t="str">
        <f>IF(A258&lt;&gt;"",COUNTIFS('QA Log'!D:D,A258,'QA Log'!M:M,"Vignette",'QA Log'!L:L,"Vignette [3] Growth Monitoring and Promotion",'QA Log'!Z:Z,"Approved"),"")</f>
        <v/>
      </c>
      <c r="BA258" s="105" t="str">
        <f>IF(A258&lt;&gt;"",COUNTIFS('QA Log'!D:D,A258,'QA Log'!M:M,"Vignette",'QA Log'!L:L,"Vignette [4]: The management of presumptive TB patient",'QA Log'!Z:Z,"Approved"),"")</f>
        <v/>
      </c>
      <c r="BB258" s="102" t="str">
        <f>IF(A258="","",
  SUM(
    COUNTIFS('QA Log'!D:D,A258,'QA Log'!M:M,"Vignette",'QA Log'!Z:Z,"Rejected",'QA Log'!L:L,"*Vignette [1] Respiratory Infection: Pneumonia*"),
    COUNTIFS('QA Log'!D:D,A258,'QA Log'!M:M,"Vignette",'QA Log'!Z:Z,"Rejected",'QA Log'!L:L,"*Vignette [2]: Diarrhea with Cat B dehydration*"),
    COUNTIFS('QA Log'!D:D,A258,'QA Log'!M:M,"Vignette",'QA Log'!Z:Z,"Rejected",'QA Log'!L:L,"*Vignette [3] Growth Monitoring and Promotion*"),
    COUNTIFS('QA Log'!D:D,A258,'QA Log'!M:M,"Vignette",'QA Log'!Z:Z,"Rejected",'QA Log'!L:L,"*Vignette [4]: The management of presumptive TB patient*")
  )
)</f>
        <v/>
      </c>
      <c r="BC258" s="107" t="str">
        <f t="shared" ref="BC258:BC512" si="35">IF(A258&lt;&gt;"",AU258-AW258,"")</f>
        <v/>
      </c>
      <c r="BD258" s="103" t="str">
        <f t="shared" ref="BD258:BD512" si="36">IF(J258&lt;&gt;"",2,"")</f>
        <v/>
      </c>
      <c r="BE258" s="102" t="str">
        <f>IF(A258="","",SUM(
COUNTIFS('QA Log'!D:D,A258,'QA Log'!M:M,"Vignette",'QA Log'!L:L,"*Vignette [5] Labor*"),
COUNTIFS('QA Log'!D:D,A258,'QA Log'!M:M,"Vignette",'QA Log'!L:L,"*Vignette [6] PNC pre Discharge*"),
COUNTIFS('QA Log'!D:D,A258,'QA Log'!M:M,"Vignette",'QA Log'!L:L,"*Vignette [7] First ANC Visit*"),
COUNTIFS('QA Log'!D:D,A258,'QA Log'!M:M,"Vignette",'QA Log'!L:L,"*Vignette [8] Birth Spacing/ Family Planning :  FP Counselling*"),
COUNTIFS('QA Log'!D:D,A258,'QA Log'!M:M,"Vignette",'QA Log'!L:L,"*Vignette [9] Birth Spacing: Change FP method to Injectable*"),
COUNTIFS('QA Log'!D:D,A258,'QA Log'!M:M,"Vignette",'QA Log'!L:L,"*Vignette [10] Post Partum Haemorrhage - Atonic Uterus at Health Centre*"),
)
)</f>
        <v/>
      </c>
      <c r="BF258" s="102" t="str">
        <f>IF(A258="","",
  SUM(
    COUNTIFS('QA Log'!D:D,A258,'QA Log'!M:M,"Vignette",'QA Log'!Z:Z,"Approved",'QA Log'!L:L,"*Vignette [5] Labor*"),
    COUNTIFS('QA Log'!D:D,A258,'QA Log'!M:M,"Vignette",'QA Log'!Z:Z,"Approved",'QA Log'!L:L,"*Vignette [6] PNC pre Discharge*"),
    COUNTIFS('QA Log'!D:D,A258,'QA Log'!M:M,"Vignette",'QA Log'!Z:Z,"Approved",'QA Log'!L:L,"*Vignette [7] First ANC Visit*"),
    COUNTIFS('QA Log'!D:D,A258,'QA Log'!M:M,"Vignette",'QA Log'!Z:Z,"Approved",'QA Log'!L:L,"*Vignette [8] Birth Spacing/ Family Planning :  FP Counselling*"),
    COUNTIFS('QA Log'!D:D,A258,'QA Log'!M:M,"Vignette",'QA Log'!Z:Z,"Approved",'QA Log'!L:L,"*Vignette [9] Birth Spacing: Change FP method to Injectable*"),
    COUNTIFS('QA Log'!D:D,A258,'QA Log'!M:M,"Vignette",'QA Log'!Z:Z,"Approved",'QA Log'!L:L,"*Vignette [10] Post Partum Haemorrhage - Atonic Uterus at Health Centre*")
  )
)</f>
        <v/>
      </c>
      <c r="BG258" s="105" t="str">
        <f>IF(A258&lt;&gt;"",COUNTIFS('QA Log'!D:D,A258,'QA Log'!M:M,"Vignette",'QA Log'!L:L,"Vignette [5] Labor",'QA Log'!Z:Z,"Approved"),"")</f>
        <v/>
      </c>
      <c r="BH258" s="105" t="str">
        <f>IF(A258&lt;&gt;"",COUNTIFS('QA Log'!D:D,A258,'QA Log'!M:M,"Vignette",'QA Log'!L:L,"Vignette [6] PNC pre Discharge",'QA Log'!Z:Z,"Approved"),"")</f>
        <v/>
      </c>
      <c r="BI258" s="105" t="str">
        <f>IF(A258&lt;&gt;"",COUNTIFS('QA Log'!D:D,A258,'QA Log'!M:M,"Vignette",'QA Log'!L:L,"Vignette [7] First ANC Visit",'QA Log'!Z:Z,"Approved"),"")</f>
        <v/>
      </c>
      <c r="BJ258" s="105" t="str">
        <f>IF(A258&lt;&gt;"",COUNTIFS('QA Log'!D:D,A258,'QA Log'!M:M,"Vignette",'QA Log'!L:L,"Vignette [8] Birth Spacing/ Family Planning :  FP Counselling",'QA Log'!Z:Z,"Approved"),"")</f>
        <v/>
      </c>
      <c r="BK258" s="105" t="str">
        <f>IF(A258&lt;&gt;"",COUNTIFS('QA Log'!D:D,A258,'QA Log'!M:M,"Vignette",'QA Log'!L:L,"Vignette [9] Birth Spacing: Change FP method to Injectable",'QA Log'!Z:Z,"Approved"),"")</f>
        <v/>
      </c>
      <c r="BL258" s="105" t="str">
        <f>IF(A258&lt;&gt;"",COUNTIFS('QA Log'!D:D,A258,'QA Log'!M:M,"Vignette",'QA Log'!L:L,"Vignette [10] Post Partum Haemorrhage - Atonic Uterus at Health Centre",'QA Log'!Z:Z,"Approved"),"")</f>
        <v/>
      </c>
      <c r="BM258" s="102" t="str">
        <f>IF(A258="","",SUM(
    COUNTIFS('QA Log'!D:D,A258,'QA Log'!M:M,"Vignette",'QA Log'!Z:Z,"Rejected",'QA Log'!L:L,"*Vignette [5] Labor*"),
    COUNTIFS('QA Log'!D:D,A258,'QA Log'!M:M,"Vignette",'QA Log'!Z:Z,"Rejected",'QA Log'!L:L,"*Vignette [6] PNC pre Discharge*"),
    COUNTIFS('QA Log'!D:D,A258,'QA Log'!M:M,"Vignette",'QA Log'!Z:Z,"Rejected",'QA Log'!L:L,"*Vignette [7] First ANC Visit*"),
    COUNTIFS('QA Log'!D:D,A258,'QA Log'!M:M,"Vignette",'QA Log'!Z:Z,"Rejected",'QA Log'!L:L,"*Vignette [8] Birth Spacing/ Family Planning :  FP Counselling*"),
    COUNTIFS('QA Log'!D:D,A258,'QA Log'!M:M,"Vignette",'QA Log'!Z:Z,"Rejected",'QA Log'!L:L,"*Vignette [9] Birth Spacing: Change FP method to Injectable*"),
    COUNTIFS('QA Log'!D:D,A258,'QA Log'!M:M,"Vignette",'QA Log'!Z:Z,"Rejected",'QA Log'!L:L,"*Vignette [10] Post Partum Haemorrhage - Atonic Uterus at Health Centre*")
  )
)</f>
        <v/>
      </c>
      <c r="BN258" s="107" t="str">
        <f t="shared" ref="BN258:BN512" si="37">IF(A258&lt;&gt;"",BD258-BF258,"")</f>
        <v/>
      </c>
      <c r="BO258" s="103" t="str">
        <f t="shared" ref="BO258:BO512" si="38">IF(A258&lt;&gt;"",2,"")</f>
        <v/>
      </c>
      <c r="BP258" s="102" t="str">
        <f>IF(A258="","",SUM(
COUNTIFS('QA Log'!D:D,A258,'QA Log'!M:M,"Vignette",'QA Log'!L:L,"*Exit Interview 1*"),
COUNTIFS('QA Log'!D:D,A258,'QA Log'!M:M,"Vignette",'QA Log'!L:L,"*Exit Interview 2*"),
)
)</f>
        <v/>
      </c>
      <c r="BQ258" s="102" t="str">
        <f>IF(
  A258="","",
  SUM(
    COUNTIFS('QA Log'!D:D,A258,'QA Log'!M:M,"Vignette",'QA Log'!Z:Z,"Approved",'QA Log'!L:L,"*Exit Interview 1*"),
    COUNTIFS('QA Log'!D:D,A258,'QA Log'!M:M,"Vignette",'QA Log'!Z:Z,"Approved",'QA Log'!L:L,"*Exit Interview 2*")
  )
)</f>
        <v/>
      </c>
      <c r="BR258" s="105" t="str">
        <f>IF(A258&lt;&gt;"",COUNTIFS('QA Log'!D:D,A258,'QA Log'!M:M,"Vignette",'QA Log'!L:L,"Exit Interview 1",'QA Log'!Z:Z,"Approved"),"")</f>
        <v/>
      </c>
      <c r="BS258" s="105" t="str">
        <f>IF(A258&lt;&gt;"",COUNTIFS('QA Log'!D:D,A258,'QA Log'!M:M,"Vignette",'QA Log'!L:L,"Exit Interview 2",'QA Log'!Z:Z,"Approved"),"")</f>
        <v/>
      </c>
      <c r="BT258" s="102" t="str">
        <f>IF(
  A258="","",
  SUM(
    COUNTIFS('QA Log'!D:D,A258,'QA Log'!M:M,"Vignette",'QA Log'!Z:Z,"Rejected",'QA Log'!L:L,"*Exit Interview 1*"),
    COUNTIFS('QA Log'!D:D,A258,'QA Log'!M:M,"Vignette",'QA Log'!Z:Z,"Rejected",'QA Log'!L:L,"*Exit Interview 2*")
  )
)</f>
        <v/>
      </c>
      <c r="BU258" s="107" t="str">
        <f t="shared" ref="BU258:BU512" si="39">IF(A258&lt;&gt;"",BO258-BQ258,"")</f>
        <v/>
      </c>
      <c r="BV258" s="102" t="str">
        <f t="shared" ref="BV258:BV512" si="40">IF(A258&lt;&gt;"",SUM(BO258,BD258,AU258,AM258,AD258,T258,I258),"")</f>
        <v/>
      </c>
      <c r="BW258" s="102" t="str">
        <f t="shared" ref="BW258:BW512" si="41">IF(A258&lt;&gt;"",SUM(BP258,BE258,AV258,AN258,AE258,U258,J258),"")</f>
        <v/>
      </c>
      <c r="BX258" s="102" t="str">
        <f t="shared" ref="BX258:BX512" si="42">IF(A258&lt;&gt;"",SUM(BQ258,BF258,AW258,AO258,AF258,V258,K258),"")</f>
        <v/>
      </c>
      <c r="BY258" s="102" t="str">
        <f t="shared" ref="BY258:BY512" si="43">IF(A258&lt;&gt;"",SUM(BT258,BM258,BB258,AS258,AK258,AB258,R258),"")</f>
        <v/>
      </c>
      <c r="BZ258" s="107" t="str">
        <f t="shared" ref="BZ258:BZ512" si="44">IF(A258&lt;&gt;"",BV258-BX258,"")</f>
        <v/>
      </c>
      <c r="CA258" s="108" t="str">
        <f t="shared" ref="CA258:CA512" si="45">IF(
  A258="","",
  IF(
    OR(D258="RH",D258="PH",D258="SHC"),
    "Not Applicable",
    IF(AND(I258&lt;=J258,T258&lt;=U258),"Fully Received","Not Received")
  )
)</f>
        <v/>
      </c>
      <c r="CB258" s="108" t="str">
        <f t="shared" ref="CB258:CB512" si="46">IF(A258&lt;&gt;"", IF(OR(D258="DH",D258="CHC",D258="BHC"),"Not Applicable",IF(AND(AD258&lt;=AE258,AM258&lt;=AN258),"Fully Received","Not Received")),"")</f>
        <v/>
      </c>
      <c r="CC258" s="109" t="str">
        <f t="shared" ref="CC258:CC512" si="47">IF(A258&lt;&gt;"",IF(AND(AU258&lt;=AV258,BD258&lt;=BE258,BO258&lt;=BP258),"Fully Received","Not Received"),"")</f>
        <v/>
      </c>
      <c r="CD258" s="108" t="str">
        <f t="shared" ref="CD258:CD512" si="48">IF(
  A258="","",
  IF(
    OR(D258="RH",D258="PH",D258="SHC"),
    "Not Applicable",
    IF(AND(I258&lt;=K258,T258&lt;=V258),"Fully Received","Not Received")
  )
)</f>
        <v/>
      </c>
      <c r="CE258" s="108" t="str">
        <f t="shared" ref="CE258:CE512" si="49">IF(A258&lt;&gt;"",IF(OR(D258="DH",D258="CHC",D258="BHC"),"Not Applicable",IF(AND(AD258&lt;=AF258,AM258&lt;=AO258),"Fully Received","Not Received")),"")</f>
        <v/>
      </c>
      <c r="CF258" s="109" t="str">
        <f t="shared" ref="CF258:CF512" si="50">IF(A258&lt;&gt;"",IF(AND(AU258&lt;=AW258,BD258&lt;=BF258,BO258&lt;=BQ258),"Fully Received","Not Received"),"")</f>
        <v/>
      </c>
      <c r="CG258" s="110" t="str">
        <f t="shared" ref="CG258:CG512" si="51">IF(A258&lt;&gt;"",IF(AND(CD258="Fully Received", CE258="Fully Received", CF258="Fully Received"),"Completed Based on Data",IF(AND(CD258="Not Received", CE258="Not Received", CF258="Not Received"),"Not Completed Based on Data","Partially Completed")),"")</f>
        <v/>
      </c>
      <c r="CH258" s="111"/>
    </row>
    <row r="259" spans="1:86" ht="12.75">
      <c r="A259" s="101"/>
      <c r="B259" s="102" t="e">
        <f t="array" aca="1" ref="B259" ca="1">_xludf.XLOOKUP(A259,'QA Log'!D:D,'QA Log'!E:E,"")</f>
        <v>#NAME?</v>
      </c>
      <c r="C259" s="102" t="e">
        <f t="array" aca="1" ref="C259" ca="1">_xludf.XLOOKUP(A259,'QA Log'!D:D,'QA Log'!F:F,"")</f>
        <v>#NAME?</v>
      </c>
      <c r="D259" s="102" t="e">
        <f t="array" aca="1" ref="D259" ca="1">_xludf.XLOOKUP(A259,'QA Log'!D:D,'QA Log'!H:H,"")</f>
        <v>#NAME?</v>
      </c>
      <c r="E259" s="102" t="e">
        <f t="array" aca="1" ref="E259" ca="1">_xludf.XLOOKUP(A259,'QA Log'!D:D,'QA Log'!G:G,"")</f>
        <v>#NAME?</v>
      </c>
      <c r="F259" s="103"/>
      <c r="G259" s="104"/>
      <c r="H259" s="104"/>
      <c r="I259" s="103" t="str">
        <f t="shared" si="26"/>
        <v/>
      </c>
      <c r="J259" s="102" t="str">
        <f>IF(A259="","",SUM(
COUNTIFS('QA Log'!D:D,A259,'QA Log'!M:M,"QQC",'QA Log'!L:L,"*1. General Management*"),
COUNTIFS('QA Log'!D:D,A259,'QA Log'!M:M,"QQC",'QA Log'!L:L,"*3. Curative Consultation (OPD)*"),
COUNTIFS('QA Log'!D:D,A259,'QA Log'!M:M,"QQC",'QA Log'!L:L,"*5. Laboratory*"),
COUNTIFS('QA Log'!D:D,A259,'QA Log'!M:M,"QQC",'QA Log'!L:L,"*6. Essential Medicine Management*"),
COUNTIFS('QA Log'!D:D,A259,'QA Log'!M:M,"QQC",'QA Log'!L:L,"*7. Tracer Medicine*"),
COUNTIFS('QA Log'!D:D,A259,'QA Log'!M:M,"QQC",'QA Log'!L:L,"*11. Additional Questions*")))</f>
        <v/>
      </c>
      <c r="K259" s="102" t="str">
        <f>IF(A259="","",SUM(
COUNTIFS('QA Log'!D:D,A259,'QA Log'!M:M,"QQC",'QA Log'!Z:Z,"Approved",'QA Log'!L:L,"*1. General Management*"),
COUNTIFS('QA Log'!D:D,A259,'QA Log'!M:M,"QQC",'QA Log'!Z:Z,"Approved",'QA Log'!L:L,"*3. Curative Consultation (OPD)*"),
COUNTIFS('QA Log'!D:D,A259,'QA Log'!M:M,"QQC",'QA Log'!Z:Z,"Approved",'QA Log'!L:L,"*5. Laboratory*"),
COUNTIFS('QA Log'!D:D,A259,'QA Log'!M:M,"QQC",'QA Log'!Z:Z,"Approved",'QA Log'!L:L,"*6. Essential Medicine Management*"),
COUNTIFS('QA Log'!D:D,A259,'QA Log'!M:M,"QQC",'QA Log'!Z:Z,"Approved",'QA Log'!L:L,"*7. Tracer Medicine*"),
COUNTIFS('QA Log'!D:D,A259,'QA Log'!M:M,"QQC",'QA Log'!Z:Z,"Approved",'QA Log'!L:L,"*11. Additional Questions*")))</f>
        <v/>
      </c>
      <c r="L259" s="105" t="str">
        <f>IF(A259&lt;&gt;"",COUNTIFS('QA Log'!D:D,A259,'QA Log'!M:M,"QQC",'QA Log'!L:L,"1. General Management",'QA Log'!Z:Z,"Approved"),"")</f>
        <v/>
      </c>
      <c r="M259" s="105" t="str">
        <f>IF(A259&lt;&gt;"",COUNTIFS('QA Log'!D:D,A259,'QA Log'!M:M,"QQC",'QA Log'!L:L,"3. Curative Consultation (OPD)",'QA Log'!Z:Z,"Approved"),"")</f>
        <v/>
      </c>
      <c r="N259" s="105" t="str">
        <f>IF(A259&lt;&gt;"",COUNTIFS('QA Log'!D:D,A259,'QA Log'!M:M,"QQC",'QA Log'!L:L,"5. Laboratory",'QA Log'!Z:Z,"Approved"),"")</f>
        <v/>
      </c>
      <c r="O259" s="105" t="str">
        <f>IF(A259&lt;&gt;"",COUNTIFS('QA Log'!D:D,A259,'QA Log'!M:M,"QQC",'QA Log'!L:L,"6. Essential Medicine Management",'QA Log'!Z:Z,"Approved"),"")</f>
        <v/>
      </c>
      <c r="P259" s="105" t="str">
        <f>IF(A259&lt;&gt;"",COUNTIFS('QA Log'!D:D,A259,'QA Log'!M:M,"QQC",'QA Log'!L:L,"7. Tracer Medicine",'QA Log'!Z:Z,"Approved"),"")</f>
        <v/>
      </c>
      <c r="Q259" s="105" t="str">
        <f>IF(A259&lt;&gt;"",COUNTIFS('QA Log'!D:D,A259,'QA Log'!M:M,"QQC",'QA Log'!L:L,"11. Additional Questions",'QA Log'!Z:Z,"Approved"),"")</f>
        <v/>
      </c>
      <c r="R259" s="102" t="str">
        <f>IF(A259="","",SUM(
COUNTIFS('QA Log'!D:D,A259,'QA Log'!M:M,"QQC",'QA Log'!Z:Z,"Rejected",'QA Log'!L:L,"*8. Maternity*"),
COUNTIFS('QA Log'!D:D,A259,'QA Log'!M:M,"QQC",'QA Log'!Z:Z,"Rejected",'QA Log'!L:L,"*EPI*"),
COUNTIFS('QA Log'!D:D,A259,'QA Log'!M:M,"QQC",'QA Log'!Z:Z,"Rejected",'QA Log'!L:L,"*10. Antenatal Care (ANC)*"),
COUNTIFS('QA Log'!D:D,A259,'QA Log'!M:M,"QQC",'QA Log'!Z:Z,"Rejected",'QA Log'!L:L,"*2. Hygiene and Sterilization*"),
COUNTIFS('QA Log'!D:D,A259,'QA Log'!M:M,"QQC",'QA Log'!Z:Z,"Rejected",'QA Log'!L:L,"*Family Planning*")))</f>
        <v/>
      </c>
      <c r="S259" s="106" t="str">
        <f t="shared" si="27"/>
        <v/>
      </c>
      <c r="T259" s="102" t="str">
        <f t="shared" si="28"/>
        <v/>
      </c>
      <c r="U259" s="102" t="str">
        <f>IF(A259="","",
SUM(
COUNTIFS('QA Log'!D:D,A259,'QA Log'!M:M,"QQC",'QA Log'!L:L,"*8. Maternity*"),
COUNTIFS('QA Log'!D:D,A259,'QA Log'!M:M,"QQC",'QA Log'!L:L,"*9. EPI and Pre-school Consultation*"),
COUNTIFS('QA Log'!D:D,A259,'QA Log'!M:M,"QQC",'QA Log'!L:L,"*10. Antenatal Care (ANC)*"),
COUNTIFS('QA Log'!D:D,A259,'QA Log'!M:M,"QQC",'QA Log'!L:L,"*2. Hygiene and Sterilization*"),
COUNTIFS('QA Log'!D:D,A259,'QA Log'!M:M,"QQC",'QA Log'!L:L,"*4. Family Planning*")
))</f>
        <v/>
      </c>
      <c r="V259" s="102" t="str">
        <f>IF(A259="","",
SUM(
COUNTIFS('QA Log'!D:D,A259,'QA Log'!M:M,"QQC",'QA Log'!Z:Z,"Approved",'QA Log'!L:L,"*8. Maternity*"),
COUNTIFS('QA Log'!D:D,A259,'QA Log'!M:M,"QQC",'QA Log'!Z:Z,"Approved",'QA Log'!L:L,"*9. EPI and Pre-school Consultation*"),
COUNTIFS('QA Log'!D:D,A259,'QA Log'!M:M,"QQC",'QA Log'!Z:Z,"Approved",'QA Log'!L:L,"*10. Antenatal Care (ANC)*"),
COUNTIFS('QA Log'!D:D,A259,'QA Log'!M:M,"QQC",'QA Log'!Z:Z,"Approved",'QA Log'!L:L,"*2. Hygiene and Sterilization*"),
COUNTIFS('QA Log'!D:D,A259,'QA Log'!M:M,"QQC",'QA Log'!Z:Z,"Approved",'QA Log'!L:L,"*4. Family Planning*")
))</f>
        <v/>
      </c>
      <c r="W259" s="105" t="str">
        <f>IF(A259&lt;&gt;"",COUNTIFS('QA Log'!D:D,A259,'QA Log'!M:M,"QQC",'QA Log'!L:L,"8. Maternity",'QA Log'!Z:Z,"Approved"),"")</f>
        <v/>
      </c>
      <c r="X259" s="105" t="str">
        <f>IF(A259&lt;&gt;"",COUNTIFS('QA Log'!D:D,A259,'QA Log'!M:M,"QQC",'QA Log'!L:L,"9. EPI and Pre-school Consultation",'QA Log'!Z:Z,"Approved"),"")</f>
        <v/>
      </c>
      <c r="Y259" s="105" t="str">
        <f>IF(A259&lt;&gt;"",COUNTIFS('QA Log'!D:D,A259,'QA Log'!M:M,"QQC",'QA Log'!L:L,"10. Antenatal Care (ANC)",'QA Log'!Z:Z,"Approved"),"")</f>
        <v/>
      </c>
      <c r="Z259" s="105" t="str">
        <f>IF(A259&lt;&gt;"",COUNTIFS('QA Log'!D:D,A259,'QA Log'!M:M,"QQC",'QA Log'!L:L,"2. Hygiene and Sterilization",'QA Log'!Z:Z,"Approved"),"")</f>
        <v/>
      </c>
      <c r="AA259" s="105" t="str">
        <f>IF(A259&lt;&gt;"",COUNTIFS('QA Log'!D:D,A259,'QA Log'!M:M,"QQC",'QA Log'!L:L,"4. Family Planning",'QA Log'!Z:Z,"Approved"),"")</f>
        <v/>
      </c>
      <c r="AB259" s="102" t="str">
        <f>IF(A259="","",
SUM(
COUNTIFS('QA Log'!D:D,A259,'QA Log'!M:M,"QQC",'QA Log'!Z:Z,"Rejected",'QA Log'!L:L,"*8. Maternity*"),
COUNTIFS('QA Log'!D:D,A259,'QA Log'!M:M,"QQC",'QA Log'!Z:Z,"Rejected",'QA Log'!L:L,"*9. EPI and Pre-school Consultation*"),
COUNTIFS('QA Log'!D:D,A259,'QA Log'!M:M,"QQC",'QA Log'!Z:Z,"Rejected",'QA Log'!L:L,"*10. Antenatal Care (ANC)*"),
COUNTIFS('QA Log'!D:D,A259,'QA Log'!M:M,"QQC",'QA Log'!Z:Z,"Rejected",'QA Log'!L:L,"*2. Hygiene and Sterilization*"),
COUNTIFS('QA Log'!D:D,A259,'QA Log'!M:M,"QQC",'QA Log'!Z:Z,"Rejected",'QA Log'!L:L,"*4. Family Planning*")
))</f>
        <v/>
      </c>
      <c r="AC259" s="102" t="str">
        <f t="shared" si="29"/>
        <v/>
      </c>
      <c r="AD259" s="103" t="str">
        <f t="shared" si="30"/>
        <v/>
      </c>
      <c r="AE259" s="102" t="str">
        <f>IF(A259="","",
SUM(
COUNTIFS('QA Log'!D:D,A259,'QA Log'!M:M,"Data Verification",'QA Log'!L:L,"*Medicine (section 2)*"),
COUNTIFS('QA Log'!D:D,A259,'QA Log'!M:M,"Data Verification",'QA Log'!L:L,"*Lab Testing Availability*"),
COUNTIFS('QA Log'!D:D,A259,'QA Log'!M:M,"Data Verification",'QA Log'!L:L,"*Other than P4P (section 6)*"),
COUNTIFS('QA Log'!D:D,A259,'QA Log'!M:M,"Data Verification",'QA Log'!L:L,"*Hospital Governance*")
))</f>
        <v/>
      </c>
      <c r="AF259" s="102" t="str">
        <f>IF(A259="","",
SUM(
COUNTIFS('QA Log'!D:D,A259,'QA Log'!M:M,"Data Verification",'QA Log'!Z:Z,"Approved",'QA Log'!L:L,"*Medicine (section 2)*"),
COUNTIFS('QA Log'!D:D,A259,'QA Log'!M:M,"Data Verification",'QA Log'!Z:Z,"Approved",'QA Log'!L:L,"*Lab Testing Availability*"),
COUNTIFS('QA Log'!D:D,A259,'QA Log'!M:M,"Data Verification",'QA Log'!Z:Z,"Approved",'QA Log'!L:L,"*Other than P4P (section 6)*"),
COUNTIFS('QA Log'!D:D,A259,'QA Log'!M:M,"Data Verification",'QA Log'!Z:Z,"Approved",'QA Log'!L:L,"*Hospital Governance*")
))</f>
        <v/>
      </c>
      <c r="AG259" s="105" t="str">
        <f>IF(A259&lt;&gt;"",COUNTIFS('QA Log'!D:D,A259,'QA Log'!M:M,"Data Verification",'QA Log'!L:L,"Medicine (section 2)",'QA Log'!Z:Z,"Approved"),"")</f>
        <v/>
      </c>
      <c r="AH259" s="105" t="str">
        <f>IF(A259&lt;&gt;"",COUNTIFS('QA Log'!D:D,A259,'QA Log'!M:M,"Data Verification",'QA Log'!L:L,"Lab Testing Availability",'QA Log'!Z:Z,"Approved"),"")</f>
        <v/>
      </c>
      <c r="AI259" s="105" t="str">
        <f>IF(A259&lt;&gt;"",COUNTIFS('QA Log'!D:D,A259,'QA Log'!M:M,"Data Verification",'QA Log'!L:L,"Other than P4P (section 6)",'QA Log'!Z:Z,"Approved"),"")</f>
        <v/>
      </c>
      <c r="AJ259" s="105" t="str">
        <f>IF(A259&lt;&gt;"",COUNTIFS('QA Log'!D:D,A259,'QA Log'!M:M,"Data Verification",'QA Log'!L:L,"Hospital Governance",'QA Log'!Z:Z,"Approved"),"")</f>
        <v/>
      </c>
      <c r="AK259" s="102" t="str">
        <f>IF(A259="","",
SUM(
COUNTIFS('QA Log'!D:D,A259,'QA Log'!M:M,"Data Verification",'QA Log'!Z:Z,"Rejected",'QA Log'!L:L,"*Medicine (section 2)*"),
COUNTIFS('QA Log'!D:D,A259,'QA Log'!M:M,"Data Verification",'QA Log'!Z:Z,"Rejected",'QA Log'!L:L,"*Lab Testing Availability*"),
COUNTIFS('QA Log'!D:D,A259,'QA Log'!M:M,"Data Verification",'QA Log'!Z:Z,"Rejected",'QA Log'!L:L,"*Other than P4P (section 6)*"),
COUNTIFS('QA Log'!D:D,A259,'QA Log'!M:M,"Data Verification",'QA Log'!Z:Z,"Rejected",'QA Log'!L:L,"*Hospital Governance*")
))</f>
        <v/>
      </c>
      <c r="AL259" s="106" t="str">
        <f t="shared" si="31"/>
        <v/>
      </c>
      <c r="AM259" s="102" t="str">
        <f t="shared" si="32"/>
        <v/>
      </c>
      <c r="AN259" s="102" t="str">
        <f>IF(A259="","",
SUM(
COUNTIFS('QA Log'!D:D,A259,'QA Log'!M:M,"Data Verification",'QA Log'!L:L,"*Personnel (section 1)*"),
COUNTIFS('QA Log'!D:D,A259,'QA Log'!M:M,"Data Verification",'QA Log'!L:L,"*Consumable (section 3)*"),
COUNTIFS('QA Log'!D:D,A259,'QA Log'!M:M,"Data Verification",'QA Log'!L:L,"*Equipments (section 4)*")
))</f>
        <v/>
      </c>
      <c r="AO259" s="102" t="str">
        <f>IF(A259="","",
SUM(
COUNTIFS('QA Log'!D:D,A259,'QA Log'!M:M,"Data Verification",'QA Log'!Z:Z,"Approved",'QA Log'!L:L,"*Personnel (section 1)*"),
COUNTIFS('QA Log'!D:D,A259,'QA Log'!M:M,"Data Verification",'QA Log'!Z:Z,"Approved",'QA Log'!L:L,"*Consumable (section 3)*"),
COUNTIFS('QA Log'!D:D,A259,'QA Log'!M:M,"Data Verification",'QA Log'!Z:Z,"Approved",'QA Log'!L:L,"*Equipments (section 4)*")
))</f>
        <v/>
      </c>
      <c r="AP259" s="105" t="str">
        <f>IF(A259&lt;&gt;"",COUNTIFS('QA Log'!D:D,A259,'QA Log'!M:M,"Data Verification",'QA Log'!L:L,"Personnel (section 1)",'QA Log'!Z:Z,"Approved"),"")</f>
        <v/>
      </c>
      <c r="AQ259" s="105" t="str">
        <f>IF(A259&lt;&gt;"",COUNTIFS('QA Log'!D:D,A259,'QA Log'!M:M,"Data Verification",'QA Log'!L:L,"Consumable (section 3)",'QA Log'!Z:Z,"Approved"),"")</f>
        <v/>
      </c>
      <c r="AR259" s="105" t="str">
        <f>IF(A259&lt;&gt;"",COUNTIFS('QA Log'!D:D,A259,'QA Log'!M:M,"Data Verification",'QA Log'!L:L,"Equipments (section 4)",'QA Log'!Z:Z,"Approved"),"")</f>
        <v/>
      </c>
      <c r="AS259" s="102" t="str">
        <f>IF(A259="","",
SUM(
COUNTIFS('QA Log'!D:D,A259,'QA Log'!M:M,"Data Verification",'QA Log'!Z:Z,"Rejected",'QA Log'!L:L,"*Personnel (section 1)*"),
COUNTIFS('QA Log'!D:D,A259,'QA Log'!M:M,"Data Verification",'QA Log'!Z:Z,"Rejected",'QA Log'!L:L,"*Consumable (section 3)*"),
COUNTIFS('QA Log'!D:D,A259,'QA Log'!M:M,"Data Verification",'QA Log'!Z:Z,"Rejected",'QA Log'!L:L,"*Equipments (section 4)*")
))</f>
        <v/>
      </c>
      <c r="AT259" s="102" t="str">
        <f t="shared" si="33"/>
        <v/>
      </c>
      <c r="AU259" s="103" t="str">
        <f t="shared" si="34"/>
        <v/>
      </c>
      <c r="AV259" s="102" t="str">
        <f>IF(A259="","",SUM(
COUNTIFS('QA Log'!D:D,A259,'QA Log'!M:M,"Vignette",'QA Log'!L:L,"*Vignette [1] Respiratory Infection: Pneumonia*"),
COUNTIFS('QA Log'!D:D,A259,'QA Log'!M:M,"Vignette",'QA Log'!L:L,"*Vignette [2]: Diarrhea with Cat B dehydration*"),
COUNTIFS('QA Log'!D:D,A259,'QA Log'!M:M,"Vignette",'QA Log'!L:L,"*Vignette [3] Growth Monitoring and Promotion*"),
COUNTIFS('QA Log'!D:D,A259,'QA Log'!M:M,"Vignette",'QA Log'!L:L,"*Vignette [4]: The management of presumptive TB patient*")
)
)</f>
        <v/>
      </c>
      <c r="AW259" s="102" t="str">
        <f>IF(
  A259="","",
  SUM(
    COUNTIFS('QA Log'!D:D,A259,'QA Log'!M:M,"Vignette",'QA Log'!Z:Z,"Approved",'QA Log'!L:L,"*Vignette [1] Respiratory Infection: Pneumonia*"),
    COUNTIFS('QA Log'!D:D,A259,'QA Log'!M:M,"Vignette",'QA Log'!Z:Z,"Approved",'QA Log'!L:L,"*Vignette [2]: Diarrhea with Cat B dehydration*"),
    COUNTIFS('QA Log'!D:D,A259,'QA Log'!M:M,"Vignette",'QA Log'!Z:Z,"Approved",'QA Log'!L:L,"*Vignette [3] Growth Monitoring and Promotion*"),
    COUNTIFS('QA Log'!D:D,A259,'QA Log'!M:M,"Vignette",'QA Log'!Z:Z,"Approved",'QA Log'!L:L,"*Vignette [4]: The management of presumptive TB patient*")
  )
)</f>
        <v/>
      </c>
      <c r="AX259" s="105" t="str">
        <f>IF(A259&lt;&gt;"",COUNTIFS('QA Log'!D:D,A259,'QA Log'!M:M,"Vignette",'QA Log'!L:L,"Vignette [1] Respiratory Infection: Pneumonia",'QA Log'!Z:Z,"Approved"),"")</f>
        <v/>
      </c>
      <c r="AY259" s="105" t="str">
        <f>IF(A259&lt;&gt;"",COUNTIFS('QA Log'!D:D,A259,'QA Log'!M:M,"Vignette",'QA Log'!L:L,"Vignette [2]: Diarrhea with Cat B dehydration",'QA Log'!Z:Z,"Approved"),"")</f>
        <v/>
      </c>
      <c r="AZ259" s="105" t="str">
        <f>IF(A259&lt;&gt;"",COUNTIFS('QA Log'!D:D,A259,'QA Log'!M:M,"Vignette",'QA Log'!L:L,"Vignette [3] Growth Monitoring and Promotion",'QA Log'!Z:Z,"Approved"),"")</f>
        <v/>
      </c>
      <c r="BA259" s="105" t="str">
        <f>IF(A259&lt;&gt;"",COUNTIFS('QA Log'!D:D,A259,'QA Log'!M:M,"Vignette",'QA Log'!L:L,"Vignette [4]: The management of presumptive TB patient",'QA Log'!Z:Z,"Approved"),"")</f>
        <v/>
      </c>
      <c r="BB259" s="102" t="str">
        <f>IF(A259="","",
  SUM(
    COUNTIFS('QA Log'!D:D,A259,'QA Log'!M:M,"Vignette",'QA Log'!Z:Z,"Rejected",'QA Log'!L:L,"*Vignette [1] Respiratory Infection: Pneumonia*"),
    COUNTIFS('QA Log'!D:D,A259,'QA Log'!M:M,"Vignette",'QA Log'!Z:Z,"Rejected",'QA Log'!L:L,"*Vignette [2]: Diarrhea with Cat B dehydration*"),
    COUNTIFS('QA Log'!D:D,A259,'QA Log'!M:M,"Vignette",'QA Log'!Z:Z,"Rejected",'QA Log'!L:L,"*Vignette [3] Growth Monitoring and Promotion*"),
    COUNTIFS('QA Log'!D:D,A259,'QA Log'!M:M,"Vignette",'QA Log'!Z:Z,"Rejected",'QA Log'!L:L,"*Vignette [4]: The management of presumptive TB patient*")
  )
)</f>
        <v/>
      </c>
      <c r="BC259" s="107" t="str">
        <f t="shared" si="35"/>
        <v/>
      </c>
      <c r="BD259" s="103" t="str">
        <f t="shared" si="36"/>
        <v/>
      </c>
      <c r="BE259" s="102" t="str">
        <f>IF(A259="","",SUM(
COUNTIFS('QA Log'!D:D,A259,'QA Log'!M:M,"Vignette",'QA Log'!L:L,"*Vignette [5] Labor*"),
COUNTIFS('QA Log'!D:D,A259,'QA Log'!M:M,"Vignette",'QA Log'!L:L,"*Vignette [6] PNC pre Discharge*"),
COUNTIFS('QA Log'!D:D,A259,'QA Log'!M:M,"Vignette",'QA Log'!L:L,"*Vignette [7] First ANC Visit*"),
COUNTIFS('QA Log'!D:D,A259,'QA Log'!M:M,"Vignette",'QA Log'!L:L,"*Vignette [8] Birth Spacing/ Family Planning :  FP Counselling*"),
COUNTIFS('QA Log'!D:D,A259,'QA Log'!M:M,"Vignette",'QA Log'!L:L,"*Vignette [9] Birth Spacing: Change FP method to Injectable*"),
COUNTIFS('QA Log'!D:D,A259,'QA Log'!M:M,"Vignette",'QA Log'!L:L,"*Vignette [10] Post Partum Haemorrhage - Atonic Uterus at Health Centre*"),
)
)</f>
        <v/>
      </c>
      <c r="BF259" s="102" t="str">
        <f>IF(A259="","",
  SUM(
    COUNTIFS('QA Log'!D:D,A259,'QA Log'!M:M,"Vignette",'QA Log'!Z:Z,"Approved",'QA Log'!L:L,"*Vignette [5] Labor*"),
    COUNTIFS('QA Log'!D:D,A259,'QA Log'!M:M,"Vignette",'QA Log'!Z:Z,"Approved",'QA Log'!L:L,"*Vignette [6] PNC pre Discharge*"),
    COUNTIFS('QA Log'!D:D,A259,'QA Log'!M:M,"Vignette",'QA Log'!Z:Z,"Approved",'QA Log'!L:L,"*Vignette [7] First ANC Visit*"),
    COUNTIFS('QA Log'!D:D,A259,'QA Log'!M:M,"Vignette",'QA Log'!Z:Z,"Approved",'QA Log'!L:L,"*Vignette [8] Birth Spacing/ Family Planning :  FP Counselling*"),
    COUNTIFS('QA Log'!D:D,A259,'QA Log'!M:M,"Vignette",'QA Log'!Z:Z,"Approved",'QA Log'!L:L,"*Vignette [9] Birth Spacing: Change FP method to Injectable*"),
    COUNTIFS('QA Log'!D:D,A259,'QA Log'!M:M,"Vignette",'QA Log'!Z:Z,"Approved",'QA Log'!L:L,"*Vignette [10] Post Partum Haemorrhage - Atonic Uterus at Health Centre*")
  )
)</f>
        <v/>
      </c>
      <c r="BG259" s="105" t="str">
        <f>IF(A259&lt;&gt;"",COUNTIFS('QA Log'!D:D,A259,'QA Log'!M:M,"Vignette",'QA Log'!L:L,"Vignette [5] Labor",'QA Log'!Z:Z,"Approved"),"")</f>
        <v/>
      </c>
      <c r="BH259" s="105" t="str">
        <f>IF(A259&lt;&gt;"",COUNTIFS('QA Log'!D:D,A259,'QA Log'!M:M,"Vignette",'QA Log'!L:L,"Vignette [6] PNC pre Discharge",'QA Log'!Z:Z,"Approved"),"")</f>
        <v/>
      </c>
      <c r="BI259" s="105" t="str">
        <f>IF(A259&lt;&gt;"",COUNTIFS('QA Log'!D:D,A259,'QA Log'!M:M,"Vignette",'QA Log'!L:L,"Vignette [7] First ANC Visit",'QA Log'!Z:Z,"Approved"),"")</f>
        <v/>
      </c>
      <c r="BJ259" s="105" t="str">
        <f>IF(A259&lt;&gt;"",COUNTIFS('QA Log'!D:D,A259,'QA Log'!M:M,"Vignette",'QA Log'!L:L,"Vignette [8] Birth Spacing/ Family Planning :  FP Counselling",'QA Log'!Z:Z,"Approved"),"")</f>
        <v/>
      </c>
      <c r="BK259" s="105" t="str">
        <f>IF(A259&lt;&gt;"",COUNTIFS('QA Log'!D:D,A259,'QA Log'!M:M,"Vignette",'QA Log'!L:L,"Vignette [9] Birth Spacing: Change FP method to Injectable",'QA Log'!Z:Z,"Approved"),"")</f>
        <v/>
      </c>
      <c r="BL259" s="105" t="str">
        <f>IF(A259&lt;&gt;"",COUNTIFS('QA Log'!D:D,A259,'QA Log'!M:M,"Vignette",'QA Log'!L:L,"Vignette [10] Post Partum Haemorrhage - Atonic Uterus at Health Centre",'QA Log'!Z:Z,"Approved"),"")</f>
        <v/>
      </c>
      <c r="BM259" s="102" t="str">
        <f>IF(A259="","",SUM(
    COUNTIFS('QA Log'!D:D,A259,'QA Log'!M:M,"Vignette",'QA Log'!Z:Z,"Rejected",'QA Log'!L:L,"*Vignette [5] Labor*"),
    COUNTIFS('QA Log'!D:D,A259,'QA Log'!M:M,"Vignette",'QA Log'!Z:Z,"Rejected",'QA Log'!L:L,"*Vignette [6] PNC pre Discharge*"),
    COUNTIFS('QA Log'!D:D,A259,'QA Log'!M:M,"Vignette",'QA Log'!Z:Z,"Rejected",'QA Log'!L:L,"*Vignette [7] First ANC Visit*"),
    COUNTIFS('QA Log'!D:D,A259,'QA Log'!M:M,"Vignette",'QA Log'!Z:Z,"Rejected",'QA Log'!L:L,"*Vignette [8] Birth Spacing/ Family Planning :  FP Counselling*"),
    COUNTIFS('QA Log'!D:D,A259,'QA Log'!M:M,"Vignette",'QA Log'!Z:Z,"Rejected",'QA Log'!L:L,"*Vignette [9] Birth Spacing: Change FP method to Injectable*"),
    COUNTIFS('QA Log'!D:D,A259,'QA Log'!M:M,"Vignette",'QA Log'!Z:Z,"Rejected",'QA Log'!L:L,"*Vignette [10] Post Partum Haemorrhage - Atonic Uterus at Health Centre*")
  )
)</f>
        <v/>
      </c>
      <c r="BN259" s="107" t="str">
        <f t="shared" si="37"/>
        <v/>
      </c>
      <c r="BO259" s="103" t="str">
        <f t="shared" si="38"/>
        <v/>
      </c>
      <c r="BP259" s="102" t="str">
        <f>IF(A259="","",SUM(
COUNTIFS('QA Log'!D:D,A259,'QA Log'!M:M,"Vignette",'QA Log'!L:L,"*Exit Interview 1*"),
COUNTIFS('QA Log'!D:D,A259,'QA Log'!M:M,"Vignette",'QA Log'!L:L,"*Exit Interview 2*"),
)
)</f>
        <v/>
      </c>
      <c r="BQ259" s="102" t="str">
        <f>IF(
  A259="","",
  SUM(
    COUNTIFS('QA Log'!D:D,A259,'QA Log'!M:M,"Vignette",'QA Log'!Z:Z,"Approved",'QA Log'!L:L,"*Exit Interview 1*"),
    COUNTIFS('QA Log'!D:D,A259,'QA Log'!M:M,"Vignette",'QA Log'!Z:Z,"Approved",'QA Log'!L:L,"*Exit Interview 2*")
  )
)</f>
        <v/>
      </c>
      <c r="BR259" s="105" t="str">
        <f>IF(A259&lt;&gt;"",COUNTIFS('QA Log'!D:D,A259,'QA Log'!M:M,"Vignette",'QA Log'!L:L,"Exit Interview 1",'QA Log'!Z:Z,"Approved"),"")</f>
        <v/>
      </c>
      <c r="BS259" s="105" t="str">
        <f>IF(A259&lt;&gt;"",COUNTIFS('QA Log'!D:D,A259,'QA Log'!M:M,"Vignette",'QA Log'!L:L,"Exit Interview 2",'QA Log'!Z:Z,"Approved"),"")</f>
        <v/>
      </c>
      <c r="BT259" s="102" t="str">
        <f>IF(
  A259="","",
  SUM(
    COUNTIFS('QA Log'!D:D,A259,'QA Log'!M:M,"Vignette",'QA Log'!Z:Z,"Rejected",'QA Log'!L:L,"*Exit Interview 1*"),
    COUNTIFS('QA Log'!D:D,A259,'QA Log'!M:M,"Vignette",'QA Log'!Z:Z,"Rejected",'QA Log'!L:L,"*Exit Interview 2*")
  )
)</f>
        <v/>
      </c>
      <c r="BU259" s="107" t="str">
        <f t="shared" si="39"/>
        <v/>
      </c>
      <c r="BV259" s="102" t="str">
        <f t="shared" si="40"/>
        <v/>
      </c>
      <c r="BW259" s="102" t="str">
        <f t="shared" si="41"/>
        <v/>
      </c>
      <c r="BX259" s="102" t="str">
        <f t="shared" si="42"/>
        <v/>
      </c>
      <c r="BY259" s="102" t="str">
        <f t="shared" si="43"/>
        <v/>
      </c>
      <c r="BZ259" s="107" t="str">
        <f t="shared" si="44"/>
        <v/>
      </c>
      <c r="CA259" s="108" t="str">
        <f t="shared" si="45"/>
        <v/>
      </c>
      <c r="CB259" s="108" t="str">
        <f t="shared" si="46"/>
        <v/>
      </c>
      <c r="CC259" s="109" t="str">
        <f t="shared" si="47"/>
        <v/>
      </c>
      <c r="CD259" s="108" t="str">
        <f t="shared" si="48"/>
        <v/>
      </c>
      <c r="CE259" s="108" t="str">
        <f t="shared" si="49"/>
        <v/>
      </c>
      <c r="CF259" s="109" t="str">
        <f t="shared" si="50"/>
        <v/>
      </c>
      <c r="CG259" s="110" t="str">
        <f t="shared" si="51"/>
        <v/>
      </c>
      <c r="CH259" s="111"/>
    </row>
    <row r="260" spans="1:86" ht="12.75">
      <c r="A260" s="101"/>
      <c r="B260" s="102" t="e">
        <f t="array" aca="1" ref="B260" ca="1">_xludf.XLOOKUP(A260,'QA Log'!D:D,'QA Log'!E:E,"")</f>
        <v>#NAME?</v>
      </c>
      <c r="C260" s="102" t="e">
        <f t="array" aca="1" ref="C260" ca="1">_xludf.XLOOKUP(A260,'QA Log'!D:D,'QA Log'!F:F,"")</f>
        <v>#NAME?</v>
      </c>
      <c r="D260" s="102" t="e">
        <f t="array" aca="1" ref="D260" ca="1">_xludf.XLOOKUP(A260,'QA Log'!D:D,'QA Log'!H:H,"")</f>
        <v>#NAME?</v>
      </c>
      <c r="E260" s="102" t="e">
        <f t="array" aca="1" ref="E260" ca="1">_xludf.XLOOKUP(A260,'QA Log'!D:D,'QA Log'!G:G,"")</f>
        <v>#NAME?</v>
      </c>
      <c r="F260" s="103"/>
      <c r="G260" s="104"/>
      <c r="H260" s="104"/>
      <c r="I260" s="103" t="str">
        <f t="shared" si="26"/>
        <v/>
      </c>
      <c r="J260" s="102" t="str">
        <f>IF(A260="","",SUM(
COUNTIFS('QA Log'!D:D,A260,'QA Log'!M:M,"QQC",'QA Log'!L:L,"*1. General Management*"),
COUNTIFS('QA Log'!D:D,A260,'QA Log'!M:M,"QQC",'QA Log'!L:L,"*3. Curative Consultation (OPD)*"),
COUNTIFS('QA Log'!D:D,A260,'QA Log'!M:M,"QQC",'QA Log'!L:L,"*5. Laboratory*"),
COUNTIFS('QA Log'!D:D,A260,'QA Log'!M:M,"QQC",'QA Log'!L:L,"*6. Essential Medicine Management*"),
COUNTIFS('QA Log'!D:D,A260,'QA Log'!M:M,"QQC",'QA Log'!L:L,"*7. Tracer Medicine*"),
COUNTIFS('QA Log'!D:D,A260,'QA Log'!M:M,"QQC",'QA Log'!L:L,"*11. Additional Questions*")))</f>
        <v/>
      </c>
      <c r="K260" s="102" t="str">
        <f>IF(A260="","",SUM(
COUNTIFS('QA Log'!D:D,A260,'QA Log'!M:M,"QQC",'QA Log'!Z:Z,"Approved",'QA Log'!L:L,"*1. General Management*"),
COUNTIFS('QA Log'!D:D,A260,'QA Log'!M:M,"QQC",'QA Log'!Z:Z,"Approved",'QA Log'!L:L,"*3. Curative Consultation (OPD)*"),
COUNTIFS('QA Log'!D:D,A260,'QA Log'!M:M,"QQC",'QA Log'!Z:Z,"Approved",'QA Log'!L:L,"*5. Laboratory*"),
COUNTIFS('QA Log'!D:D,A260,'QA Log'!M:M,"QQC",'QA Log'!Z:Z,"Approved",'QA Log'!L:L,"*6. Essential Medicine Management*"),
COUNTIFS('QA Log'!D:D,A260,'QA Log'!M:M,"QQC",'QA Log'!Z:Z,"Approved",'QA Log'!L:L,"*7. Tracer Medicine*"),
COUNTIFS('QA Log'!D:D,A260,'QA Log'!M:M,"QQC",'QA Log'!Z:Z,"Approved",'QA Log'!L:L,"*11. Additional Questions*")))</f>
        <v/>
      </c>
      <c r="L260" s="105" t="str">
        <f>IF(A260&lt;&gt;"",COUNTIFS('QA Log'!D:D,A260,'QA Log'!M:M,"QQC",'QA Log'!L:L,"1. General Management",'QA Log'!Z:Z,"Approved"),"")</f>
        <v/>
      </c>
      <c r="M260" s="105" t="str">
        <f>IF(A260&lt;&gt;"",COUNTIFS('QA Log'!D:D,A260,'QA Log'!M:M,"QQC",'QA Log'!L:L,"3. Curative Consultation (OPD)",'QA Log'!Z:Z,"Approved"),"")</f>
        <v/>
      </c>
      <c r="N260" s="105" t="str">
        <f>IF(A260&lt;&gt;"",COUNTIFS('QA Log'!D:D,A260,'QA Log'!M:M,"QQC",'QA Log'!L:L,"5. Laboratory",'QA Log'!Z:Z,"Approved"),"")</f>
        <v/>
      </c>
      <c r="O260" s="105" t="str">
        <f>IF(A260&lt;&gt;"",COUNTIFS('QA Log'!D:D,A260,'QA Log'!M:M,"QQC",'QA Log'!L:L,"6. Essential Medicine Management",'QA Log'!Z:Z,"Approved"),"")</f>
        <v/>
      </c>
      <c r="P260" s="105" t="str">
        <f>IF(A260&lt;&gt;"",COUNTIFS('QA Log'!D:D,A260,'QA Log'!M:M,"QQC",'QA Log'!L:L,"7. Tracer Medicine",'QA Log'!Z:Z,"Approved"),"")</f>
        <v/>
      </c>
      <c r="Q260" s="105" t="str">
        <f>IF(A260&lt;&gt;"",COUNTIFS('QA Log'!D:D,A260,'QA Log'!M:M,"QQC",'QA Log'!L:L,"11. Additional Questions",'QA Log'!Z:Z,"Approved"),"")</f>
        <v/>
      </c>
      <c r="R260" s="102" t="str">
        <f>IF(A260="","",SUM(
COUNTIFS('QA Log'!D:D,A260,'QA Log'!M:M,"QQC",'QA Log'!Z:Z,"Rejected",'QA Log'!L:L,"*8. Maternity*"),
COUNTIFS('QA Log'!D:D,A260,'QA Log'!M:M,"QQC",'QA Log'!Z:Z,"Rejected",'QA Log'!L:L,"*EPI*"),
COUNTIFS('QA Log'!D:D,A260,'QA Log'!M:M,"QQC",'QA Log'!Z:Z,"Rejected",'QA Log'!L:L,"*10. Antenatal Care (ANC)*"),
COUNTIFS('QA Log'!D:D,A260,'QA Log'!M:M,"QQC",'QA Log'!Z:Z,"Rejected",'QA Log'!L:L,"*2. Hygiene and Sterilization*"),
COUNTIFS('QA Log'!D:D,A260,'QA Log'!M:M,"QQC",'QA Log'!Z:Z,"Rejected",'QA Log'!L:L,"*Family Planning*")))</f>
        <v/>
      </c>
      <c r="S260" s="106" t="str">
        <f t="shared" si="27"/>
        <v/>
      </c>
      <c r="T260" s="102" t="str">
        <f t="shared" si="28"/>
        <v/>
      </c>
      <c r="U260" s="102" t="str">
        <f>IF(A260="","",
SUM(
COUNTIFS('QA Log'!D:D,A260,'QA Log'!M:M,"QQC",'QA Log'!L:L,"*8. Maternity*"),
COUNTIFS('QA Log'!D:D,A260,'QA Log'!M:M,"QQC",'QA Log'!L:L,"*9. EPI and Pre-school Consultation*"),
COUNTIFS('QA Log'!D:D,A260,'QA Log'!M:M,"QQC",'QA Log'!L:L,"*10. Antenatal Care (ANC)*"),
COUNTIFS('QA Log'!D:D,A260,'QA Log'!M:M,"QQC",'QA Log'!L:L,"*2. Hygiene and Sterilization*"),
COUNTIFS('QA Log'!D:D,A260,'QA Log'!M:M,"QQC",'QA Log'!L:L,"*4. Family Planning*")
))</f>
        <v/>
      </c>
      <c r="V260" s="102" t="str">
        <f>IF(A260="","",
SUM(
COUNTIFS('QA Log'!D:D,A260,'QA Log'!M:M,"QQC",'QA Log'!Z:Z,"Approved",'QA Log'!L:L,"*8. Maternity*"),
COUNTIFS('QA Log'!D:D,A260,'QA Log'!M:M,"QQC",'QA Log'!Z:Z,"Approved",'QA Log'!L:L,"*9. EPI and Pre-school Consultation*"),
COUNTIFS('QA Log'!D:D,A260,'QA Log'!M:M,"QQC",'QA Log'!Z:Z,"Approved",'QA Log'!L:L,"*10. Antenatal Care (ANC)*"),
COUNTIFS('QA Log'!D:D,A260,'QA Log'!M:M,"QQC",'QA Log'!Z:Z,"Approved",'QA Log'!L:L,"*2. Hygiene and Sterilization*"),
COUNTIFS('QA Log'!D:D,A260,'QA Log'!M:M,"QQC",'QA Log'!Z:Z,"Approved",'QA Log'!L:L,"*4. Family Planning*")
))</f>
        <v/>
      </c>
      <c r="W260" s="105" t="str">
        <f>IF(A260&lt;&gt;"",COUNTIFS('QA Log'!D:D,A260,'QA Log'!M:M,"QQC",'QA Log'!L:L,"8. Maternity",'QA Log'!Z:Z,"Approved"),"")</f>
        <v/>
      </c>
      <c r="X260" s="105" t="str">
        <f>IF(A260&lt;&gt;"",COUNTIFS('QA Log'!D:D,A260,'QA Log'!M:M,"QQC",'QA Log'!L:L,"9. EPI and Pre-school Consultation",'QA Log'!Z:Z,"Approved"),"")</f>
        <v/>
      </c>
      <c r="Y260" s="105" t="str">
        <f>IF(A260&lt;&gt;"",COUNTIFS('QA Log'!D:D,A260,'QA Log'!M:M,"QQC",'QA Log'!L:L,"10. Antenatal Care (ANC)",'QA Log'!Z:Z,"Approved"),"")</f>
        <v/>
      </c>
      <c r="Z260" s="105" t="str">
        <f>IF(A260&lt;&gt;"",COUNTIFS('QA Log'!D:D,A260,'QA Log'!M:M,"QQC",'QA Log'!L:L,"2. Hygiene and Sterilization",'QA Log'!Z:Z,"Approved"),"")</f>
        <v/>
      </c>
      <c r="AA260" s="105" t="str">
        <f>IF(A260&lt;&gt;"",COUNTIFS('QA Log'!D:D,A260,'QA Log'!M:M,"QQC",'QA Log'!L:L,"4. Family Planning",'QA Log'!Z:Z,"Approved"),"")</f>
        <v/>
      </c>
      <c r="AB260" s="102" t="str">
        <f>IF(A260="","",
SUM(
COUNTIFS('QA Log'!D:D,A260,'QA Log'!M:M,"QQC",'QA Log'!Z:Z,"Rejected",'QA Log'!L:L,"*8. Maternity*"),
COUNTIFS('QA Log'!D:D,A260,'QA Log'!M:M,"QQC",'QA Log'!Z:Z,"Rejected",'QA Log'!L:L,"*9. EPI and Pre-school Consultation*"),
COUNTIFS('QA Log'!D:D,A260,'QA Log'!M:M,"QQC",'QA Log'!Z:Z,"Rejected",'QA Log'!L:L,"*10. Antenatal Care (ANC)*"),
COUNTIFS('QA Log'!D:D,A260,'QA Log'!M:M,"QQC",'QA Log'!Z:Z,"Rejected",'QA Log'!L:L,"*2. Hygiene and Sterilization*"),
COUNTIFS('QA Log'!D:D,A260,'QA Log'!M:M,"QQC",'QA Log'!Z:Z,"Rejected",'QA Log'!L:L,"*4. Family Planning*")
))</f>
        <v/>
      </c>
      <c r="AC260" s="102" t="str">
        <f t="shared" si="29"/>
        <v/>
      </c>
      <c r="AD260" s="103" t="str">
        <f t="shared" si="30"/>
        <v/>
      </c>
      <c r="AE260" s="102" t="str">
        <f>IF(A260="","",
SUM(
COUNTIFS('QA Log'!D:D,A260,'QA Log'!M:M,"Data Verification",'QA Log'!L:L,"*Medicine (section 2)*"),
COUNTIFS('QA Log'!D:D,A260,'QA Log'!M:M,"Data Verification",'QA Log'!L:L,"*Lab Testing Availability*"),
COUNTIFS('QA Log'!D:D,A260,'QA Log'!M:M,"Data Verification",'QA Log'!L:L,"*Other than P4P (section 6)*"),
COUNTIFS('QA Log'!D:D,A260,'QA Log'!M:M,"Data Verification",'QA Log'!L:L,"*Hospital Governance*")
))</f>
        <v/>
      </c>
      <c r="AF260" s="102" t="str">
        <f>IF(A260="","",
SUM(
COUNTIFS('QA Log'!D:D,A260,'QA Log'!M:M,"Data Verification",'QA Log'!Z:Z,"Approved",'QA Log'!L:L,"*Medicine (section 2)*"),
COUNTIFS('QA Log'!D:D,A260,'QA Log'!M:M,"Data Verification",'QA Log'!Z:Z,"Approved",'QA Log'!L:L,"*Lab Testing Availability*"),
COUNTIFS('QA Log'!D:D,A260,'QA Log'!M:M,"Data Verification",'QA Log'!Z:Z,"Approved",'QA Log'!L:L,"*Other than P4P (section 6)*"),
COUNTIFS('QA Log'!D:D,A260,'QA Log'!M:M,"Data Verification",'QA Log'!Z:Z,"Approved",'QA Log'!L:L,"*Hospital Governance*")
))</f>
        <v/>
      </c>
      <c r="AG260" s="105" t="str">
        <f>IF(A260&lt;&gt;"",COUNTIFS('QA Log'!D:D,A260,'QA Log'!M:M,"Data Verification",'QA Log'!L:L,"Medicine (section 2)",'QA Log'!Z:Z,"Approved"),"")</f>
        <v/>
      </c>
      <c r="AH260" s="105" t="str">
        <f>IF(A260&lt;&gt;"",COUNTIFS('QA Log'!D:D,A260,'QA Log'!M:M,"Data Verification",'QA Log'!L:L,"Lab Testing Availability",'QA Log'!Z:Z,"Approved"),"")</f>
        <v/>
      </c>
      <c r="AI260" s="105" t="str">
        <f>IF(A260&lt;&gt;"",COUNTIFS('QA Log'!D:D,A260,'QA Log'!M:M,"Data Verification",'QA Log'!L:L,"Other than P4P (section 6)",'QA Log'!Z:Z,"Approved"),"")</f>
        <v/>
      </c>
      <c r="AJ260" s="105" t="str">
        <f>IF(A260&lt;&gt;"",COUNTIFS('QA Log'!D:D,A260,'QA Log'!M:M,"Data Verification",'QA Log'!L:L,"Hospital Governance",'QA Log'!Z:Z,"Approved"),"")</f>
        <v/>
      </c>
      <c r="AK260" s="102" t="str">
        <f>IF(A260="","",
SUM(
COUNTIFS('QA Log'!D:D,A260,'QA Log'!M:M,"Data Verification",'QA Log'!Z:Z,"Rejected",'QA Log'!L:L,"*Medicine (section 2)*"),
COUNTIFS('QA Log'!D:D,A260,'QA Log'!M:M,"Data Verification",'QA Log'!Z:Z,"Rejected",'QA Log'!L:L,"*Lab Testing Availability*"),
COUNTIFS('QA Log'!D:D,A260,'QA Log'!M:M,"Data Verification",'QA Log'!Z:Z,"Rejected",'QA Log'!L:L,"*Other than P4P (section 6)*"),
COUNTIFS('QA Log'!D:D,A260,'QA Log'!M:M,"Data Verification",'QA Log'!Z:Z,"Rejected",'QA Log'!L:L,"*Hospital Governance*")
))</f>
        <v/>
      </c>
      <c r="AL260" s="106" t="str">
        <f t="shared" si="31"/>
        <v/>
      </c>
      <c r="AM260" s="102" t="str">
        <f t="shared" si="32"/>
        <v/>
      </c>
      <c r="AN260" s="102" t="str">
        <f>IF(A260="","",
SUM(
COUNTIFS('QA Log'!D:D,A260,'QA Log'!M:M,"Data Verification",'QA Log'!L:L,"*Personnel (section 1)*"),
COUNTIFS('QA Log'!D:D,A260,'QA Log'!M:M,"Data Verification",'QA Log'!L:L,"*Consumable (section 3)*"),
COUNTIFS('QA Log'!D:D,A260,'QA Log'!M:M,"Data Verification",'QA Log'!L:L,"*Equipments (section 4)*")
))</f>
        <v/>
      </c>
      <c r="AO260" s="102" t="str">
        <f>IF(A260="","",
SUM(
COUNTIFS('QA Log'!D:D,A260,'QA Log'!M:M,"Data Verification",'QA Log'!Z:Z,"Approved",'QA Log'!L:L,"*Personnel (section 1)*"),
COUNTIFS('QA Log'!D:D,A260,'QA Log'!M:M,"Data Verification",'QA Log'!Z:Z,"Approved",'QA Log'!L:L,"*Consumable (section 3)*"),
COUNTIFS('QA Log'!D:D,A260,'QA Log'!M:M,"Data Verification",'QA Log'!Z:Z,"Approved",'QA Log'!L:L,"*Equipments (section 4)*")
))</f>
        <v/>
      </c>
      <c r="AP260" s="105" t="str">
        <f>IF(A260&lt;&gt;"",COUNTIFS('QA Log'!D:D,A260,'QA Log'!M:M,"Data Verification",'QA Log'!L:L,"Personnel (section 1)",'QA Log'!Z:Z,"Approved"),"")</f>
        <v/>
      </c>
      <c r="AQ260" s="105" t="str">
        <f>IF(A260&lt;&gt;"",COUNTIFS('QA Log'!D:D,A260,'QA Log'!M:M,"Data Verification",'QA Log'!L:L,"Consumable (section 3)",'QA Log'!Z:Z,"Approved"),"")</f>
        <v/>
      </c>
      <c r="AR260" s="105" t="str">
        <f>IF(A260&lt;&gt;"",COUNTIFS('QA Log'!D:D,A260,'QA Log'!M:M,"Data Verification",'QA Log'!L:L,"Equipments (section 4)",'QA Log'!Z:Z,"Approved"),"")</f>
        <v/>
      </c>
      <c r="AS260" s="102" t="str">
        <f>IF(A260="","",
SUM(
COUNTIFS('QA Log'!D:D,A260,'QA Log'!M:M,"Data Verification",'QA Log'!Z:Z,"Rejected",'QA Log'!L:L,"*Personnel (section 1)*"),
COUNTIFS('QA Log'!D:D,A260,'QA Log'!M:M,"Data Verification",'QA Log'!Z:Z,"Rejected",'QA Log'!L:L,"*Consumable (section 3)*"),
COUNTIFS('QA Log'!D:D,A260,'QA Log'!M:M,"Data Verification",'QA Log'!Z:Z,"Rejected",'QA Log'!L:L,"*Equipments (section 4)*")
))</f>
        <v/>
      </c>
      <c r="AT260" s="102" t="str">
        <f t="shared" si="33"/>
        <v/>
      </c>
      <c r="AU260" s="103" t="str">
        <f t="shared" si="34"/>
        <v/>
      </c>
      <c r="AV260" s="102" t="str">
        <f>IF(A260="","",SUM(
COUNTIFS('QA Log'!D:D,A260,'QA Log'!M:M,"Vignette",'QA Log'!L:L,"*Vignette [1] Respiratory Infection: Pneumonia*"),
COUNTIFS('QA Log'!D:D,A260,'QA Log'!M:M,"Vignette",'QA Log'!L:L,"*Vignette [2]: Diarrhea with Cat B dehydration*"),
COUNTIFS('QA Log'!D:D,A260,'QA Log'!M:M,"Vignette",'QA Log'!L:L,"*Vignette [3] Growth Monitoring and Promotion*"),
COUNTIFS('QA Log'!D:D,A260,'QA Log'!M:M,"Vignette",'QA Log'!L:L,"*Vignette [4]: The management of presumptive TB patient*")
)
)</f>
        <v/>
      </c>
      <c r="AW260" s="102" t="str">
        <f>IF(
  A260="","",
  SUM(
    COUNTIFS('QA Log'!D:D,A260,'QA Log'!M:M,"Vignette",'QA Log'!Z:Z,"Approved",'QA Log'!L:L,"*Vignette [1] Respiratory Infection: Pneumonia*"),
    COUNTIFS('QA Log'!D:D,A260,'QA Log'!M:M,"Vignette",'QA Log'!Z:Z,"Approved",'QA Log'!L:L,"*Vignette [2]: Diarrhea with Cat B dehydration*"),
    COUNTIFS('QA Log'!D:D,A260,'QA Log'!M:M,"Vignette",'QA Log'!Z:Z,"Approved",'QA Log'!L:L,"*Vignette [3] Growth Monitoring and Promotion*"),
    COUNTIFS('QA Log'!D:D,A260,'QA Log'!M:M,"Vignette",'QA Log'!Z:Z,"Approved",'QA Log'!L:L,"*Vignette [4]: The management of presumptive TB patient*")
  )
)</f>
        <v/>
      </c>
      <c r="AX260" s="105" t="str">
        <f>IF(A260&lt;&gt;"",COUNTIFS('QA Log'!D:D,A260,'QA Log'!M:M,"Vignette",'QA Log'!L:L,"Vignette [1] Respiratory Infection: Pneumonia",'QA Log'!Z:Z,"Approved"),"")</f>
        <v/>
      </c>
      <c r="AY260" s="105" t="str">
        <f>IF(A260&lt;&gt;"",COUNTIFS('QA Log'!D:D,A260,'QA Log'!M:M,"Vignette",'QA Log'!L:L,"Vignette [2]: Diarrhea with Cat B dehydration",'QA Log'!Z:Z,"Approved"),"")</f>
        <v/>
      </c>
      <c r="AZ260" s="105" t="str">
        <f>IF(A260&lt;&gt;"",COUNTIFS('QA Log'!D:D,A260,'QA Log'!M:M,"Vignette",'QA Log'!L:L,"Vignette [3] Growth Monitoring and Promotion",'QA Log'!Z:Z,"Approved"),"")</f>
        <v/>
      </c>
      <c r="BA260" s="105" t="str">
        <f>IF(A260&lt;&gt;"",COUNTIFS('QA Log'!D:D,A260,'QA Log'!M:M,"Vignette",'QA Log'!L:L,"Vignette [4]: The management of presumptive TB patient",'QA Log'!Z:Z,"Approved"),"")</f>
        <v/>
      </c>
      <c r="BB260" s="102" t="str">
        <f>IF(A260="","",
  SUM(
    COUNTIFS('QA Log'!D:D,A260,'QA Log'!M:M,"Vignette",'QA Log'!Z:Z,"Rejected",'QA Log'!L:L,"*Vignette [1] Respiratory Infection: Pneumonia*"),
    COUNTIFS('QA Log'!D:D,A260,'QA Log'!M:M,"Vignette",'QA Log'!Z:Z,"Rejected",'QA Log'!L:L,"*Vignette [2]: Diarrhea with Cat B dehydration*"),
    COUNTIFS('QA Log'!D:D,A260,'QA Log'!M:M,"Vignette",'QA Log'!Z:Z,"Rejected",'QA Log'!L:L,"*Vignette [3] Growth Monitoring and Promotion*"),
    COUNTIFS('QA Log'!D:D,A260,'QA Log'!M:M,"Vignette",'QA Log'!Z:Z,"Rejected",'QA Log'!L:L,"*Vignette [4]: The management of presumptive TB patient*")
  )
)</f>
        <v/>
      </c>
      <c r="BC260" s="107" t="str">
        <f t="shared" si="35"/>
        <v/>
      </c>
      <c r="BD260" s="103" t="str">
        <f t="shared" si="36"/>
        <v/>
      </c>
      <c r="BE260" s="102" t="str">
        <f>IF(A260="","",SUM(
COUNTIFS('QA Log'!D:D,A260,'QA Log'!M:M,"Vignette",'QA Log'!L:L,"*Vignette [5] Labor*"),
COUNTIFS('QA Log'!D:D,A260,'QA Log'!M:M,"Vignette",'QA Log'!L:L,"*Vignette [6] PNC pre Discharge*"),
COUNTIFS('QA Log'!D:D,A260,'QA Log'!M:M,"Vignette",'QA Log'!L:L,"*Vignette [7] First ANC Visit*"),
COUNTIFS('QA Log'!D:D,A260,'QA Log'!M:M,"Vignette",'QA Log'!L:L,"*Vignette [8] Birth Spacing/ Family Planning :  FP Counselling*"),
COUNTIFS('QA Log'!D:D,A260,'QA Log'!M:M,"Vignette",'QA Log'!L:L,"*Vignette [9] Birth Spacing: Change FP method to Injectable*"),
COUNTIFS('QA Log'!D:D,A260,'QA Log'!M:M,"Vignette",'QA Log'!L:L,"*Vignette [10] Post Partum Haemorrhage - Atonic Uterus at Health Centre*"),
)
)</f>
        <v/>
      </c>
      <c r="BF260" s="102" t="str">
        <f>IF(A260="","",
  SUM(
    COUNTIFS('QA Log'!D:D,A260,'QA Log'!M:M,"Vignette",'QA Log'!Z:Z,"Approved",'QA Log'!L:L,"*Vignette [5] Labor*"),
    COUNTIFS('QA Log'!D:D,A260,'QA Log'!M:M,"Vignette",'QA Log'!Z:Z,"Approved",'QA Log'!L:L,"*Vignette [6] PNC pre Discharge*"),
    COUNTIFS('QA Log'!D:D,A260,'QA Log'!M:M,"Vignette",'QA Log'!Z:Z,"Approved",'QA Log'!L:L,"*Vignette [7] First ANC Visit*"),
    COUNTIFS('QA Log'!D:D,A260,'QA Log'!M:M,"Vignette",'QA Log'!Z:Z,"Approved",'QA Log'!L:L,"*Vignette [8] Birth Spacing/ Family Planning :  FP Counselling*"),
    COUNTIFS('QA Log'!D:D,A260,'QA Log'!M:M,"Vignette",'QA Log'!Z:Z,"Approved",'QA Log'!L:L,"*Vignette [9] Birth Spacing: Change FP method to Injectable*"),
    COUNTIFS('QA Log'!D:D,A260,'QA Log'!M:M,"Vignette",'QA Log'!Z:Z,"Approved",'QA Log'!L:L,"*Vignette [10] Post Partum Haemorrhage - Atonic Uterus at Health Centre*")
  )
)</f>
        <v/>
      </c>
      <c r="BG260" s="105" t="str">
        <f>IF(A260&lt;&gt;"",COUNTIFS('QA Log'!D:D,A260,'QA Log'!M:M,"Vignette",'QA Log'!L:L,"Vignette [5] Labor",'QA Log'!Z:Z,"Approved"),"")</f>
        <v/>
      </c>
      <c r="BH260" s="105" t="str">
        <f>IF(A260&lt;&gt;"",COUNTIFS('QA Log'!D:D,A260,'QA Log'!M:M,"Vignette",'QA Log'!L:L,"Vignette [6] PNC pre Discharge",'QA Log'!Z:Z,"Approved"),"")</f>
        <v/>
      </c>
      <c r="BI260" s="105" t="str">
        <f>IF(A260&lt;&gt;"",COUNTIFS('QA Log'!D:D,A260,'QA Log'!M:M,"Vignette",'QA Log'!L:L,"Vignette [7] First ANC Visit",'QA Log'!Z:Z,"Approved"),"")</f>
        <v/>
      </c>
      <c r="BJ260" s="105" t="str">
        <f>IF(A260&lt;&gt;"",COUNTIFS('QA Log'!D:D,A260,'QA Log'!M:M,"Vignette",'QA Log'!L:L,"Vignette [8] Birth Spacing/ Family Planning :  FP Counselling",'QA Log'!Z:Z,"Approved"),"")</f>
        <v/>
      </c>
      <c r="BK260" s="105" t="str">
        <f>IF(A260&lt;&gt;"",COUNTIFS('QA Log'!D:D,A260,'QA Log'!M:M,"Vignette",'QA Log'!L:L,"Vignette [9] Birth Spacing: Change FP method to Injectable",'QA Log'!Z:Z,"Approved"),"")</f>
        <v/>
      </c>
      <c r="BL260" s="105" t="str">
        <f>IF(A260&lt;&gt;"",COUNTIFS('QA Log'!D:D,A260,'QA Log'!M:M,"Vignette",'QA Log'!L:L,"Vignette [10] Post Partum Haemorrhage - Atonic Uterus at Health Centre",'QA Log'!Z:Z,"Approved"),"")</f>
        <v/>
      </c>
      <c r="BM260" s="102" t="str">
        <f>IF(A260="","",SUM(
    COUNTIFS('QA Log'!D:D,A260,'QA Log'!M:M,"Vignette",'QA Log'!Z:Z,"Rejected",'QA Log'!L:L,"*Vignette [5] Labor*"),
    COUNTIFS('QA Log'!D:D,A260,'QA Log'!M:M,"Vignette",'QA Log'!Z:Z,"Rejected",'QA Log'!L:L,"*Vignette [6] PNC pre Discharge*"),
    COUNTIFS('QA Log'!D:D,A260,'QA Log'!M:M,"Vignette",'QA Log'!Z:Z,"Rejected",'QA Log'!L:L,"*Vignette [7] First ANC Visit*"),
    COUNTIFS('QA Log'!D:D,A260,'QA Log'!M:M,"Vignette",'QA Log'!Z:Z,"Rejected",'QA Log'!L:L,"*Vignette [8] Birth Spacing/ Family Planning :  FP Counselling*"),
    COUNTIFS('QA Log'!D:D,A260,'QA Log'!M:M,"Vignette",'QA Log'!Z:Z,"Rejected",'QA Log'!L:L,"*Vignette [9] Birth Spacing: Change FP method to Injectable*"),
    COUNTIFS('QA Log'!D:D,A260,'QA Log'!M:M,"Vignette",'QA Log'!Z:Z,"Rejected",'QA Log'!L:L,"*Vignette [10] Post Partum Haemorrhage - Atonic Uterus at Health Centre*")
  )
)</f>
        <v/>
      </c>
      <c r="BN260" s="107" t="str">
        <f t="shared" si="37"/>
        <v/>
      </c>
      <c r="BO260" s="103" t="str">
        <f t="shared" si="38"/>
        <v/>
      </c>
      <c r="BP260" s="102" t="str">
        <f>IF(A260="","",SUM(
COUNTIFS('QA Log'!D:D,A260,'QA Log'!M:M,"Vignette",'QA Log'!L:L,"*Exit Interview 1*"),
COUNTIFS('QA Log'!D:D,A260,'QA Log'!M:M,"Vignette",'QA Log'!L:L,"*Exit Interview 2*"),
)
)</f>
        <v/>
      </c>
      <c r="BQ260" s="102" t="str">
        <f>IF(
  A260="","",
  SUM(
    COUNTIFS('QA Log'!D:D,A260,'QA Log'!M:M,"Vignette",'QA Log'!Z:Z,"Approved",'QA Log'!L:L,"*Exit Interview 1*"),
    COUNTIFS('QA Log'!D:D,A260,'QA Log'!M:M,"Vignette",'QA Log'!Z:Z,"Approved",'QA Log'!L:L,"*Exit Interview 2*")
  )
)</f>
        <v/>
      </c>
      <c r="BR260" s="105" t="str">
        <f>IF(A260&lt;&gt;"",COUNTIFS('QA Log'!D:D,A260,'QA Log'!M:M,"Vignette",'QA Log'!L:L,"Exit Interview 1",'QA Log'!Z:Z,"Approved"),"")</f>
        <v/>
      </c>
      <c r="BS260" s="105" t="str">
        <f>IF(A260&lt;&gt;"",COUNTIFS('QA Log'!D:D,A260,'QA Log'!M:M,"Vignette",'QA Log'!L:L,"Exit Interview 2",'QA Log'!Z:Z,"Approved"),"")</f>
        <v/>
      </c>
      <c r="BT260" s="102" t="str">
        <f>IF(
  A260="","",
  SUM(
    COUNTIFS('QA Log'!D:D,A260,'QA Log'!M:M,"Vignette",'QA Log'!Z:Z,"Rejected",'QA Log'!L:L,"*Exit Interview 1*"),
    COUNTIFS('QA Log'!D:D,A260,'QA Log'!M:M,"Vignette",'QA Log'!Z:Z,"Rejected",'QA Log'!L:L,"*Exit Interview 2*")
  )
)</f>
        <v/>
      </c>
      <c r="BU260" s="107" t="str">
        <f t="shared" si="39"/>
        <v/>
      </c>
      <c r="BV260" s="102" t="str">
        <f t="shared" si="40"/>
        <v/>
      </c>
      <c r="BW260" s="102" t="str">
        <f t="shared" si="41"/>
        <v/>
      </c>
      <c r="BX260" s="102" t="str">
        <f t="shared" si="42"/>
        <v/>
      </c>
      <c r="BY260" s="102" t="str">
        <f t="shared" si="43"/>
        <v/>
      </c>
      <c r="BZ260" s="107" t="str">
        <f t="shared" si="44"/>
        <v/>
      </c>
      <c r="CA260" s="108" t="str">
        <f t="shared" si="45"/>
        <v/>
      </c>
      <c r="CB260" s="108" t="str">
        <f t="shared" si="46"/>
        <v/>
      </c>
      <c r="CC260" s="109" t="str">
        <f t="shared" si="47"/>
        <v/>
      </c>
      <c r="CD260" s="108" t="str">
        <f t="shared" si="48"/>
        <v/>
      </c>
      <c r="CE260" s="108" t="str">
        <f t="shared" si="49"/>
        <v/>
      </c>
      <c r="CF260" s="109" t="str">
        <f t="shared" si="50"/>
        <v/>
      </c>
      <c r="CG260" s="110" t="str">
        <f t="shared" si="51"/>
        <v/>
      </c>
      <c r="CH260" s="111"/>
    </row>
    <row r="261" spans="1:86" ht="12.75">
      <c r="A261" s="101"/>
      <c r="B261" s="102" t="e">
        <f t="array" aca="1" ref="B261" ca="1">_xludf.XLOOKUP(A261,'QA Log'!D:D,'QA Log'!E:E,"")</f>
        <v>#NAME?</v>
      </c>
      <c r="C261" s="102" t="e">
        <f t="array" aca="1" ref="C261" ca="1">_xludf.XLOOKUP(A261,'QA Log'!D:D,'QA Log'!F:F,"")</f>
        <v>#NAME?</v>
      </c>
      <c r="D261" s="102" t="e">
        <f t="array" aca="1" ref="D261" ca="1">_xludf.XLOOKUP(A261,'QA Log'!D:D,'QA Log'!H:H,"")</f>
        <v>#NAME?</v>
      </c>
      <c r="E261" s="102" t="e">
        <f t="array" aca="1" ref="E261" ca="1">_xludf.XLOOKUP(A261,'QA Log'!D:D,'QA Log'!G:G,"")</f>
        <v>#NAME?</v>
      </c>
      <c r="F261" s="103"/>
      <c r="G261" s="104"/>
      <c r="H261" s="104"/>
      <c r="I261" s="103" t="str">
        <f t="shared" si="26"/>
        <v/>
      </c>
      <c r="J261" s="102" t="str">
        <f>IF(A261="","",SUM(
COUNTIFS('QA Log'!D:D,A261,'QA Log'!M:M,"QQC",'QA Log'!L:L,"*1. General Management*"),
COUNTIFS('QA Log'!D:D,A261,'QA Log'!M:M,"QQC",'QA Log'!L:L,"*3. Curative Consultation (OPD)*"),
COUNTIFS('QA Log'!D:D,A261,'QA Log'!M:M,"QQC",'QA Log'!L:L,"*5. Laboratory*"),
COUNTIFS('QA Log'!D:D,A261,'QA Log'!M:M,"QQC",'QA Log'!L:L,"*6. Essential Medicine Management*"),
COUNTIFS('QA Log'!D:D,A261,'QA Log'!M:M,"QQC",'QA Log'!L:L,"*7. Tracer Medicine*"),
COUNTIFS('QA Log'!D:D,A261,'QA Log'!M:M,"QQC",'QA Log'!L:L,"*11. Additional Questions*")))</f>
        <v/>
      </c>
      <c r="K261" s="102" t="str">
        <f>IF(A261="","",SUM(
COUNTIFS('QA Log'!D:D,A261,'QA Log'!M:M,"QQC",'QA Log'!Z:Z,"Approved",'QA Log'!L:L,"*1. General Management*"),
COUNTIFS('QA Log'!D:D,A261,'QA Log'!M:M,"QQC",'QA Log'!Z:Z,"Approved",'QA Log'!L:L,"*3. Curative Consultation (OPD)*"),
COUNTIFS('QA Log'!D:D,A261,'QA Log'!M:M,"QQC",'QA Log'!Z:Z,"Approved",'QA Log'!L:L,"*5. Laboratory*"),
COUNTIFS('QA Log'!D:D,A261,'QA Log'!M:M,"QQC",'QA Log'!Z:Z,"Approved",'QA Log'!L:L,"*6. Essential Medicine Management*"),
COUNTIFS('QA Log'!D:D,A261,'QA Log'!M:M,"QQC",'QA Log'!Z:Z,"Approved",'QA Log'!L:L,"*7. Tracer Medicine*"),
COUNTIFS('QA Log'!D:D,A261,'QA Log'!M:M,"QQC",'QA Log'!Z:Z,"Approved",'QA Log'!L:L,"*11. Additional Questions*")))</f>
        <v/>
      </c>
      <c r="L261" s="105" t="str">
        <f>IF(A261&lt;&gt;"",COUNTIFS('QA Log'!D:D,A261,'QA Log'!M:M,"QQC",'QA Log'!L:L,"1. General Management",'QA Log'!Z:Z,"Approved"),"")</f>
        <v/>
      </c>
      <c r="M261" s="105" t="str">
        <f>IF(A261&lt;&gt;"",COUNTIFS('QA Log'!D:D,A261,'QA Log'!M:M,"QQC",'QA Log'!L:L,"3. Curative Consultation (OPD)",'QA Log'!Z:Z,"Approved"),"")</f>
        <v/>
      </c>
      <c r="N261" s="105" t="str">
        <f>IF(A261&lt;&gt;"",COUNTIFS('QA Log'!D:D,A261,'QA Log'!M:M,"QQC",'QA Log'!L:L,"5. Laboratory",'QA Log'!Z:Z,"Approved"),"")</f>
        <v/>
      </c>
      <c r="O261" s="105" t="str">
        <f>IF(A261&lt;&gt;"",COUNTIFS('QA Log'!D:D,A261,'QA Log'!M:M,"QQC",'QA Log'!L:L,"6. Essential Medicine Management",'QA Log'!Z:Z,"Approved"),"")</f>
        <v/>
      </c>
      <c r="P261" s="105" t="str">
        <f>IF(A261&lt;&gt;"",COUNTIFS('QA Log'!D:D,A261,'QA Log'!M:M,"QQC",'QA Log'!L:L,"7. Tracer Medicine",'QA Log'!Z:Z,"Approved"),"")</f>
        <v/>
      </c>
      <c r="Q261" s="105" t="str">
        <f>IF(A261&lt;&gt;"",COUNTIFS('QA Log'!D:D,A261,'QA Log'!M:M,"QQC",'QA Log'!L:L,"11. Additional Questions",'QA Log'!Z:Z,"Approved"),"")</f>
        <v/>
      </c>
      <c r="R261" s="102" t="str">
        <f>IF(A261="","",SUM(
COUNTIFS('QA Log'!D:D,A261,'QA Log'!M:M,"QQC",'QA Log'!Z:Z,"Rejected",'QA Log'!L:L,"*8. Maternity*"),
COUNTIFS('QA Log'!D:D,A261,'QA Log'!M:M,"QQC",'QA Log'!Z:Z,"Rejected",'QA Log'!L:L,"*EPI*"),
COUNTIFS('QA Log'!D:D,A261,'QA Log'!M:M,"QQC",'QA Log'!Z:Z,"Rejected",'QA Log'!L:L,"*10. Antenatal Care (ANC)*"),
COUNTIFS('QA Log'!D:D,A261,'QA Log'!M:M,"QQC",'QA Log'!Z:Z,"Rejected",'QA Log'!L:L,"*2. Hygiene and Sterilization*"),
COUNTIFS('QA Log'!D:D,A261,'QA Log'!M:M,"QQC",'QA Log'!Z:Z,"Rejected",'QA Log'!L:L,"*Family Planning*")))</f>
        <v/>
      </c>
      <c r="S261" s="106" t="str">
        <f t="shared" si="27"/>
        <v/>
      </c>
      <c r="T261" s="102" t="str">
        <f t="shared" si="28"/>
        <v/>
      </c>
      <c r="U261" s="102" t="str">
        <f>IF(A261="","",
SUM(
COUNTIFS('QA Log'!D:D,A261,'QA Log'!M:M,"QQC",'QA Log'!L:L,"*8. Maternity*"),
COUNTIFS('QA Log'!D:D,A261,'QA Log'!M:M,"QQC",'QA Log'!L:L,"*9. EPI and Pre-school Consultation*"),
COUNTIFS('QA Log'!D:D,A261,'QA Log'!M:M,"QQC",'QA Log'!L:L,"*10. Antenatal Care (ANC)*"),
COUNTIFS('QA Log'!D:D,A261,'QA Log'!M:M,"QQC",'QA Log'!L:L,"*2. Hygiene and Sterilization*"),
COUNTIFS('QA Log'!D:D,A261,'QA Log'!M:M,"QQC",'QA Log'!L:L,"*4. Family Planning*")
))</f>
        <v/>
      </c>
      <c r="V261" s="102" t="str">
        <f>IF(A261="","",
SUM(
COUNTIFS('QA Log'!D:D,A261,'QA Log'!M:M,"QQC",'QA Log'!Z:Z,"Approved",'QA Log'!L:L,"*8. Maternity*"),
COUNTIFS('QA Log'!D:D,A261,'QA Log'!M:M,"QQC",'QA Log'!Z:Z,"Approved",'QA Log'!L:L,"*9. EPI and Pre-school Consultation*"),
COUNTIFS('QA Log'!D:D,A261,'QA Log'!M:M,"QQC",'QA Log'!Z:Z,"Approved",'QA Log'!L:L,"*10. Antenatal Care (ANC)*"),
COUNTIFS('QA Log'!D:D,A261,'QA Log'!M:M,"QQC",'QA Log'!Z:Z,"Approved",'QA Log'!L:L,"*2. Hygiene and Sterilization*"),
COUNTIFS('QA Log'!D:D,A261,'QA Log'!M:M,"QQC",'QA Log'!Z:Z,"Approved",'QA Log'!L:L,"*4. Family Planning*")
))</f>
        <v/>
      </c>
      <c r="W261" s="105" t="str">
        <f>IF(A261&lt;&gt;"",COUNTIFS('QA Log'!D:D,A261,'QA Log'!M:M,"QQC",'QA Log'!L:L,"8. Maternity",'QA Log'!Z:Z,"Approved"),"")</f>
        <v/>
      </c>
      <c r="X261" s="105" t="str">
        <f>IF(A261&lt;&gt;"",COUNTIFS('QA Log'!D:D,A261,'QA Log'!M:M,"QQC",'QA Log'!L:L,"9. EPI and Pre-school Consultation",'QA Log'!Z:Z,"Approved"),"")</f>
        <v/>
      </c>
      <c r="Y261" s="105" t="str">
        <f>IF(A261&lt;&gt;"",COUNTIFS('QA Log'!D:D,A261,'QA Log'!M:M,"QQC",'QA Log'!L:L,"10. Antenatal Care (ANC)",'QA Log'!Z:Z,"Approved"),"")</f>
        <v/>
      </c>
      <c r="Z261" s="105" t="str">
        <f>IF(A261&lt;&gt;"",COUNTIFS('QA Log'!D:D,A261,'QA Log'!M:M,"QQC",'QA Log'!L:L,"2. Hygiene and Sterilization",'QA Log'!Z:Z,"Approved"),"")</f>
        <v/>
      </c>
      <c r="AA261" s="105" t="str">
        <f>IF(A261&lt;&gt;"",COUNTIFS('QA Log'!D:D,A261,'QA Log'!M:M,"QQC",'QA Log'!L:L,"4. Family Planning",'QA Log'!Z:Z,"Approved"),"")</f>
        <v/>
      </c>
      <c r="AB261" s="102" t="str">
        <f>IF(A261="","",
SUM(
COUNTIFS('QA Log'!D:D,A261,'QA Log'!M:M,"QQC",'QA Log'!Z:Z,"Rejected",'QA Log'!L:L,"*8. Maternity*"),
COUNTIFS('QA Log'!D:D,A261,'QA Log'!M:M,"QQC",'QA Log'!Z:Z,"Rejected",'QA Log'!L:L,"*9. EPI and Pre-school Consultation*"),
COUNTIFS('QA Log'!D:D,A261,'QA Log'!M:M,"QQC",'QA Log'!Z:Z,"Rejected",'QA Log'!L:L,"*10. Antenatal Care (ANC)*"),
COUNTIFS('QA Log'!D:D,A261,'QA Log'!M:M,"QQC",'QA Log'!Z:Z,"Rejected",'QA Log'!L:L,"*2. Hygiene and Sterilization*"),
COUNTIFS('QA Log'!D:D,A261,'QA Log'!M:M,"QQC",'QA Log'!Z:Z,"Rejected",'QA Log'!L:L,"*4. Family Planning*")
))</f>
        <v/>
      </c>
      <c r="AC261" s="102" t="str">
        <f t="shared" si="29"/>
        <v/>
      </c>
      <c r="AD261" s="103" t="str">
        <f t="shared" si="30"/>
        <v/>
      </c>
      <c r="AE261" s="102" t="str">
        <f>IF(A261="","",
SUM(
COUNTIFS('QA Log'!D:D,A261,'QA Log'!M:M,"Data Verification",'QA Log'!L:L,"*Medicine (section 2)*"),
COUNTIFS('QA Log'!D:D,A261,'QA Log'!M:M,"Data Verification",'QA Log'!L:L,"*Lab Testing Availability*"),
COUNTIFS('QA Log'!D:D,A261,'QA Log'!M:M,"Data Verification",'QA Log'!L:L,"*Other than P4P (section 6)*"),
COUNTIFS('QA Log'!D:D,A261,'QA Log'!M:M,"Data Verification",'QA Log'!L:L,"*Hospital Governance*")
))</f>
        <v/>
      </c>
      <c r="AF261" s="102" t="str">
        <f>IF(A261="","",
SUM(
COUNTIFS('QA Log'!D:D,A261,'QA Log'!M:M,"Data Verification",'QA Log'!Z:Z,"Approved",'QA Log'!L:L,"*Medicine (section 2)*"),
COUNTIFS('QA Log'!D:D,A261,'QA Log'!M:M,"Data Verification",'QA Log'!Z:Z,"Approved",'QA Log'!L:L,"*Lab Testing Availability*"),
COUNTIFS('QA Log'!D:D,A261,'QA Log'!M:M,"Data Verification",'QA Log'!Z:Z,"Approved",'QA Log'!L:L,"*Other than P4P (section 6)*"),
COUNTIFS('QA Log'!D:D,A261,'QA Log'!M:M,"Data Verification",'QA Log'!Z:Z,"Approved",'QA Log'!L:L,"*Hospital Governance*")
))</f>
        <v/>
      </c>
      <c r="AG261" s="105" t="str">
        <f>IF(A261&lt;&gt;"",COUNTIFS('QA Log'!D:D,A261,'QA Log'!M:M,"Data Verification",'QA Log'!L:L,"Medicine (section 2)",'QA Log'!Z:Z,"Approved"),"")</f>
        <v/>
      </c>
      <c r="AH261" s="105" t="str">
        <f>IF(A261&lt;&gt;"",COUNTIFS('QA Log'!D:D,A261,'QA Log'!M:M,"Data Verification",'QA Log'!L:L,"Lab Testing Availability",'QA Log'!Z:Z,"Approved"),"")</f>
        <v/>
      </c>
      <c r="AI261" s="105" t="str">
        <f>IF(A261&lt;&gt;"",COUNTIFS('QA Log'!D:D,A261,'QA Log'!M:M,"Data Verification",'QA Log'!L:L,"Other than P4P (section 6)",'QA Log'!Z:Z,"Approved"),"")</f>
        <v/>
      </c>
      <c r="AJ261" s="105" t="str">
        <f>IF(A261&lt;&gt;"",COUNTIFS('QA Log'!D:D,A261,'QA Log'!M:M,"Data Verification",'QA Log'!L:L,"Hospital Governance",'QA Log'!Z:Z,"Approved"),"")</f>
        <v/>
      </c>
      <c r="AK261" s="102" t="str">
        <f>IF(A261="","",
SUM(
COUNTIFS('QA Log'!D:D,A261,'QA Log'!M:M,"Data Verification",'QA Log'!Z:Z,"Rejected",'QA Log'!L:L,"*Medicine (section 2)*"),
COUNTIFS('QA Log'!D:D,A261,'QA Log'!M:M,"Data Verification",'QA Log'!Z:Z,"Rejected",'QA Log'!L:L,"*Lab Testing Availability*"),
COUNTIFS('QA Log'!D:D,A261,'QA Log'!M:M,"Data Verification",'QA Log'!Z:Z,"Rejected",'QA Log'!L:L,"*Other than P4P (section 6)*"),
COUNTIFS('QA Log'!D:D,A261,'QA Log'!M:M,"Data Verification",'QA Log'!Z:Z,"Rejected",'QA Log'!L:L,"*Hospital Governance*")
))</f>
        <v/>
      </c>
      <c r="AL261" s="106" t="str">
        <f t="shared" si="31"/>
        <v/>
      </c>
      <c r="AM261" s="102" t="str">
        <f t="shared" si="32"/>
        <v/>
      </c>
      <c r="AN261" s="102" t="str">
        <f>IF(A261="","",
SUM(
COUNTIFS('QA Log'!D:D,A261,'QA Log'!M:M,"Data Verification",'QA Log'!L:L,"*Personnel (section 1)*"),
COUNTIFS('QA Log'!D:D,A261,'QA Log'!M:M,"Data Verification",'QA Log'!L:L,"*Consumable (section 3)*"),
COUNTIFS('QA Log'!D:D,A261,'QA Log'!M:M,"Data Verification",'QA Log'!L:L,"*Equipments (section 4)*")
))</f>
        <v/>
      </c>
      <c r="AO261" s="102" t="str">
        <f>IF(A261="","",
SUM(
COUNTIFS('QA Log'!D:D,A261,'QA Log'!M:M,"Data Verification",'QA Log'!Z:Z,"Approved",'QA Log'!L:L,"*Personnel (section 1)*"),
COUNTIFS('QA Log'!D:D,A261,'QA Log'!M:M,"Data Verification",'QA Log'!Z:Z,"Approved",'QA Log'!L:L,"*Consumable (section 3)*"),
COUNTIFS('QA Log'!D:D,A261,'QA Log'!M:M,"Data Verification",'QA Log'!Z:Z,"Approved",'QA Log'!L:L,"*Equipments (section 4)*")
))</f>
        <v/>
      </c>
      <c r="AP261" s="105" t="str">
        <f>IF(A261&lt;&gt;"",COUNTIFS('QA Log'!D:D,A261,'QA Log'!M:M,"Data Verification",'QA Log'!L:L,"Personnel (section 1)",'QA Log'!Z:Z,"Approved"),"")</f>
        <v/>
      </c>
      <c r="AQ261" s="105" t="str">
        <f>IF(A261&lt;&gt;"",COUNTIFS('QA Log'!D:D,A261,'QA Log'!M:M,"Data Verification",'QA Log'!L:L,"Consumable (section 3)",'QA Log'!Z:Z,"Approved"),"")</f>
        <v/>
      </c>
      <c r="AR261" s="105" t="str">
        <f>IF(A261&lt;&gt;"",COUNTIFS('QA Log'!D:D,A261,'QA Log'!M:M,"Data Verification",'QA Log'!L:L,"Equipments (section 4)",'QA Log'!Z:Z,"Approved"),"")</f>
        <v/>
      </c>
      <c r="AS261" s="102" t="str">
        <f>IF(A261="","",
SUM(
COUNTIFS('QA Log'!D:D,A261,'QA Log'!M:M,"Data Verification",'QA Log'!Z:Z,"Rejected",'QA Log'!L:L,"*Personnel (section 1)*"),
COUNTIFS('QA Log'!D:D,A261,'QA Log'!M:M,"Data Verification",'QA Log'!Z:Z,"Rejected",'QA Log'!L:L,"*Consumable (section 3)*"),
COUNTIFS('QA Log'!D:D,A261,'QA Log'!M:M,"Data Verification",'QA Log'!Z:Z,"Rejected",'QA Log'!L:L,"*Equipments (section 4)*")
))</f>
        <v/>
      </c>
      <c r="AT261" s="102" t="str">
        <f t="shared" si="33"/>
        <v/>
      </c>
      <c r="AU261" s="103" t="str">
        <f t="shared" si="34"/>
        <v/>
      </c>
      <c r="AV261" s="102" t="str">
        <f>IF(A261="","",SUM(
COUNTIFS('QA Log'!D:D,A261,'QA Log'!M:M,"Vignette",'QA Log'!L:L,"*Vignette [1] Respiratory Infection: Pneumonia*"),
COUNTIFS('QA Log'!D:D,A261,'QA Log'!M:M,"Vignette",'QA Log'!L:L,"*Vignette [2]: Diarrhea with Cat B dehydration*"),
COUNTIFS('QA Log'!D:D,A261,'QA Log'!M:M,"Vignette",'QA Log'!L:L,"*Vignette [3] Growth Monitoring and Promotion*"),
COUNTIFS('QA Log'!D:D,A261,'QA Log'!M:M,"Vignette",'QA Log'!L:L,"*Vignette [4]: The management of presumptive TB patient*")
)
)</f>
        <v/>
      </c>
      <c r="AW261" s="102" t="str">
        <f>IF(
  A261="","",
  SUM(
    COUNTIFS('QA Log'!D:D,A261,'QA Log'!M:M,"Vignette",'QA Log'!Z:Z,"Approved",'QA Log'!L:L,"*Vignette [1] Respiratory Infection: Pneumonia*"),
    COUNTIFS('QA Log'!D:D,A261,'QA Log'!M:M,"Vignette",'QA Log'!Z:Z,"Approved",'QA Log'!L:L,"*Vignette [2]: Diarrhea with Cat B dehydration*"),
    COUNTIFS('QA Log'!D:D,A261,'QA Log'!M:M,"Vignette",'QA Log'!Z:Z,"Approved",'QA Log'!L:L,"*Vignette [3] Growth Monitoring and Promotion*"),
    COUNTIFS('QA Log'!D:D,A261,'QA Log'!M:M,"Vignette",'QA Log'!Z:Z,"Approved",'QA Log'!L:L,"*Vignette [4]: The management of presumptive TB patient*")
  )
)</f>
        <v/>
      </c>
      <c r="AX261" s="105" t="str">
        <f>IF(A261&lt;&gt;"",COUNTIFS('QA Log'!D:D,A261,'QA Log'!M:M,"Vignette",'QA Log'!L:L,"Vignette [1] Respiratory Infection: Pneumonia",'QA Log'!Z:Z,"Approved"),"")</f>
        <v/>
      </c>
      <c r="AY261" s="105" t="str">
        <f>IF(A261&lt;&gt;"",COUNTIFS('QA Log'!D:D,A261,'QA Log'!M:M,"Vignette",'QA Log'!L:L,"Vignette [2]: Diarrhea with Cat B dehydration",'QA Log'!Z:Z,"Approved"),"")</f>
        <v/>
      </c>
      <c r="AZ261" s="105" t="str">
        <f>IF(A261&lt;&gt;"",COUNTIFS('QA Log'!D:D,A261,'QA Log'!M:M,"Vignette",'QA Log'!L:L,"Vignette [3] Growth Monitoring and Promotion",'QA Log'!Z:Z,"Approved"),"")</f>
        <v/>
      </c>
      <c r="BA261" s="105" t="str">
        <f>IF(A261&lt;&gt;"",COUNTIFS('QA Log'!D:D,A261,'QA Log'!M:M,"Vignette",'QA Log'!L:L,"Vignette [4]: The management of presumptive TB patient",'QA Log'!Z:Z,"Approved"),"")</f>
        <v/>
      </c>
      <c r="BB261" s="102" t="str">
        <f>IF(A261="","",
  SUM(
    COUNTIFS('QA Log'!D:D,A261,'QA Log'!M:M,"Vignette",'QA Log'!Z:Z,"Rejected",'QA Log'!L:L,"*Vignette [1] Respiratory Infection: Pneumonia*"),
    COUNTIFS('QA Log'!D:D,A261,'QA Log'!M:M,"Vignette",'QA Log'!Z:Z,"Rejected",'QA Log'!L:L,"*Vignette [2]: Diarrhea with Cat B dehydration*"),
    COUNTIFS('QA Log'!D:D,A261,'QA Log'!M:M,"Vignette",'QA Log'!Z:Z,"Rejected",'QA Log'!L:L,"*Vignette [3] Growth Monitoring and Promotion*"),
    COUNTIFS('QA Log'!D:D,A261,'QA Log'!M:M,"Vignette",'QA Log'!Z:Z,"Rejected",'QA Log'!L:L,"*Vignette [4]: The management of presumptive TB patient*")
  )
)</f>
        <v/>
      </c>
      <c r="BC261" s="107" t="str">
        <f t="shared" si="35"/>
        <v/>
      </c>
      <c r="BD261" s="103" t="str">
        <f t="shared" si="36"/>
        <v/>
      </c>
      <c r="BE261" s="102" t="str">
        <f>IF(A261="","",SUM(
COUNTIFS('QA Log'!D:D,A261,'QA Log'!M:M,"Vignette",'QA Log'!L:L,"*Vignette [5] Labor*"),
COUNTIFS('QA Log'!D:D,A261,'QA Log'!M:M,"Vignette",'QA Log'!L:L,"*Vignette [6] PNC pre Discharge*"),
COUNTIFS('QA Log'!D:D,A261,'QA Log'!M:M,"Vignette",'QA Log'!L:L,"*Vignette [7] First ANC Visit*"),
COUNTIFS('QA Log'!D:D,A261,'QA Log'!M:M,"Vignette",'QA Log'!L:L,"*Vignette [8] Birth Spacing/ Family Planning :  FP Counselling*"),
COUNTIFS('QA Log'!D:D,A261,'QA Log'!M:M,"Vignette",'QA Log'!L:L,"*Vignette [9] Birth Spacing: Change FP method to Injectable*"),
COUNTIFS('QA Log'!D:D,A261,'QA Log'!M:M,"Vignette",'QA Log'!L:L,"*Vignette [10] Post Partum Haemorrhage - Atonic Uterus at Health Centre*"),
)
)</f>
        <v/>
      </c>
      <c r="BF261" s="102" t="str">
        <f>IF(A261="","",
  SUM(
    COUNTIFS('QA Log'!D:D,A261,'QA Log'!M:M,"Vignette",'QA Log'!Z:Z,"Approved",'QA Log'!L:L,"*Vignette [5] Labor*"),
    COUNTIFS('QA Log'!D:D,A261,'QA Log'!M:M,"Vignette",'QA Log'!Z:Z,"Approved",'QA Log'!L:L,"*Vignette [6] PNC pre Discharge*"),
    COUNTIFS('QA Log'!D:D,A261,'QA Log'!M:M,"Vignette",'QA Log'!Z:Z,"Approved",'QA Log'!L:L,"*Vignette [7] First ANC Visit*"),
    COUNTIFS('QA Log'!D:D,A261,'QA Log'!M:M,"Vignette",'QA Log'!Z:Z,"Approved",'QA Log'!L:L,"*Vignette [8] Birth Spacing/ Family Planning :  FP Counselling*"),
    COUNTIFS('QA Log'!D:D,A261,'QA Log'!M:M,"Vignette",'QA Log'!Z:Z,"Approved",'QA Log'!L:L,"*Vignette [9] Birth Spacing: Change FP method to Injectable*"),
    COUNTIFS('QA Log'!D:D,A261,'QA Log'!M:M,"Vignette",'QA Log'!Z:Z,"Approved",'QA Log'!L:L,"*Vignette [10] Post Partum Haemorrhage - Atonic Uterus at Health Centre*")
  )
)</f>
        <v/>
      </c>
      <c r="BG261" s="105" t="str">
        <f>IF(A261&lt;&gt;"",COUNTIFS('QA Log'!D:D,A261,'QA Log'!M:M,"Vignette",'QA Log'!L:L,"Vignette [5] Labor",'QA Log'!Z:Z,"Approved"),"")</f>
        <v/>
      </c>
      <c r="BH261" s="105" t="str">
        <f>IF(A261&lt;&gt;"",COUNTIFS('QA Log'!D:D,A261,'QA Log'!M:M,"Vignette",'QA Log'!L:L,"Vignette [6] PNC pre Discharge",'QA Log'!Z:Z,"Approved"),"")</f>
        <v/>
      </c>
      <c r="BI261" s="105" t="str">
        <f>IF(A261&lt;&gt;"",COUNTIFS('QA Log'!D:D,A261,'QA Log'!M:M,"Vignette",'QA Log'!L:L,"Vignette [7] First ANC Visit",'QA Log'!Z:Z,"Approved"),"")</f>
        <v/>
      </c>
      <c r="BJ261" s="105" t="str">
        <f>IF(A261&lt;&gt;"",COUNTIFS('QA Log'!D:D,A261,'QA Log'!M:M,"Vignette",'QA Log'!L:L,"Vignette [8] Birth Spacing/ Family Planning :  FP Counselling",'QA Log'!Z:Z,"Approved"),"")</f>
        <v/>
      </c>
      <c r="BK261" s="105" t="str">
        <f>IF(A261&lt;&gt;"",COUNTIFS('QA Log'!D:D,A261,'QA Log'!M:M,"Vignette",'QA Log'!L:L,"Vignette [9] Birth Spacing: Change FP method to Injectable",'QA Log'!Z:Z,"Approved"),"")</f>
        <v/>
      </c>
      <c r="BL261" s="105" t="str">
        <f>IF(A261&lt;&gt;"",COUNTIFS('QA Log'!D:D,A261,'QA Log'!M:M,"Vignette",'QA Log'!L:L,"Vignette [10] Post Partum Haemorrhage - Atonic Uterus at Health Centre",'QA Log'!Z:Z,"Approved"),"")</f>
        <v/>
      </c>
      <c r="BM261" s="102" t="str">
        <f>IF(A261="","",SUM(
    COUNTIFS('QA Log'!D:D,A261,'QA Log'!M:M,"Vignette",'QA Log'!Z:Z,"Rejected",'QA Log'!L:L,"*Vignette [5] Labor*"),
    COUNTIFS('QA Log'!D:D,A261,'QA Log'!M:M,"Vignette",'QA Log'!Z:Z,"Rejected",'QA Log'!L:L,"*Vignette [6] PNC pre Discharge*"),
    COUNTIFS('QA Log'!D:D,A261,'QA Log'!M:M,"Vignette",'QA Log'!Z:Z,"Rejected",'QA Log'!L:L,"*Vignette [7] First ANC Visit*"),
    COUNTIFS('QA Log'!D:D,A261,'QA Log'!M:M,"Vignette",'QA Log'!Z:Z,"Rejected",'QA Log'!L:L,"*Vignette [8] Birth Spacing/ Family Planning :  FP Counselling*"),
    COUNTIFS('QA Log'!D:D,A261,'QA Log'!M:M,"Vignette",'QA Log'!Z:Z,"Rejected",'QA Log'!L:L,"*Vignette [9] Birth Spacing: Change FP method to Injectable*"),
    COUNTIFS('QA Log'!D:D,A261,'QA Log'!M:M,"Vignette",'QA Log'!Z:Z,"Rejected",'QA Log'!L:L,"*Vignette [10] Post Partum Haemorrhage - Atonic Uterus at Health Centre*")
  )
)</f>
        <v/>
      </c>
      <c r="BN261" s="107" t="str">
        <f t="shared" si="37"/>
        <v/>
      </c>
      <c r="BO261" s="103" t="str">
        <f t="shared" si="38"/>
        <v/>
      </c>
      <c r="BP261" s="102" t="str">
        <f>IF(A261="","",SUM(
COUNTIFS('QA Log'!D:D,A261,'QA Log'!M:M,"Vignette",'QA Log'!L:L,"*Exit Interview 1*"),
COUNTIFS('QA Log'!D:D,A261,'QA Log'!M:M,"Vignette",'QA Log'!L:L,"*Exit Interview 2*"),
)
)</f>
        <v/>
      </c>
      <c r="BQ261" s="102" t="str">
        <f>IF(
  A261="","",
  SUM(
    COUNTIFS('QA Log'!D:D,A261,'QA Log'!M:M,"Vignette",'QA Log'!Z:Z,"Approved",'QA Log'!L:L,"*Exit Interview 1*"),
    COUNTIFS('QA Log'!D:D,A261,'QA Log'!M:M,"Vignette",'QA Log'!Z:Z,"Approved",'QA Log'!L:L,"*Exit Interview 2*")
  )
)</f>
        <v/>
      </c>
      <c r="BR261" s="105" t="str">
        <f>IF(A261&lt;&gt;"",COUNTIFS('QA Log'!D:D,A261,'QA Log'!M:M,"Vignette",'QA Log'!L:L,"Exit Interview 1",'QA Log'!Z:Z,"Approved"),"")</f>
        <v/>
      </c>
      <c r="BS261" s="105" t="str">
        <f>IF(A261&lt;&gt;"",COUNTIFS('QA Log'!D:D,A261,'QA Log'!M:M,"Vignette",'QA Log'!L:L,"Exit Interview 2",'QA Log'!Z:Z,"Approved"),"")</f>
        <v/>
      </c>
      <c r="BT261" s="102" t="str">
        <f>IF(
  A261="","",
  SUM(
    COUNTIFS('QA Log'!D:D,A261,'QA Log'!M:M,"Vignette",'QA Log'!Z:Z,"Rejected",'QA Log'!L:L,"*Exit Interview 1*"),
    COUNTIFS('QA Log'!D:D,A261,'QA Log'!M:M,"Vignette",'QA Log'!Z:Z,"Rejected",'QA Log'!L:L,"*Exit Interview 2*")
  )
)</f>
        <v/>
      </c>
      <c r="BU261" s="107" t="str">
        <f t="shared" si="39"/>
        <v/>
      </c>
      <c r="BV261" s="102" t="str">
        <f t="shared" si="40"/>
        <v/>
      </c>
      <c r="BW261" s="102" t="str">
        <f t="shared" si="41"/>
        <v/>
      </c>
      <c r="BX261" s="102" t="str">
        <f t="shared" si="42"/>
        <v/>
      </c>
      <c r="BY261" s="102" t="str">
        <f t="shared" si="43"/>
        <v/>
      </c>
      <c r="BZ261" s="107" t="str">
        <f t="shared" si="44"/>
        <v/>
      </c>
      <c r="CA261" s="108" t="str">
        <f t="shared" si="45"/>
        <v/>
      </c>
      <c r="CB261" s="108" t="str">
        <f t="shared" si="46"/>
        <v/>
      </c>
      <c r="CC261" s="109" t="str">
        <f t="shared" si="47"/>
        <v/>
      </c>
      <c r="CD261" s="108" t="str">
        <f t="shared" si="48"/>
        <v/>
      </c>
      <c r="CE261" s="108" t="str">
        <f t="shared" si="49"/>
        <v/>
      </c>
      <c r="CF261" s="109" t="str">
        <f t="shared" si="50"/>
        <v/>
      </c>
      <c r="CG261" s="110" t="str">
        <f t="shared" si="51"/>
        <v/>
      </c>
      <c r="CH261" s="111"/>
    </row>
    <row r="262" spans="1:86" ht="12.75">
      <c r="A262" s="101"/>
      <c r="B262" s="102" t="e">
        <f t="array" aca="1" ref="B262" ca="1">_xludf.XLOOKUP(A262,'QA Log'!D:D,'QA Log'!E:E,"")</f>
        <v>#NAME?</v>
      </c>
      <c r="C262" s="102" t="e">
        <f t="array" aca="1" ref="C262" ca="1">_xludf.XLOOKUP(A262,'QA Log'!D:D,'QA Log'!F:F,"")</f>
        <v>#NAME?</v>
      </c>
      <c r="D262" s="102" t="e">
        <f t="array" aca="1" ref="D262" ca="1">_xludf.XLOOKUP(A262,'QA Log'!D:D,'QA Log'!H:H,"")</f>
        <v>#NAME?</v>
      </c>
      <c r="E262" s="102" t="e">
        <f t="array" aca="1" ref="E262" ca="1">_xludf.XLOOKUP(A262,'QA Log'!D:D,'QA Log'!G:G,"")</f>
        <v>#NAME?</v>
      </c>
      <c r="F262" s="103"/>
      <c r="G262" s="104"/>
      <c r="H262" s="104"/>
      <c r="I262" s="103" t="str">
        <f t="shared" si="26"/>
        <v/>
      </c>
      <c r="J262" s="102" t="str">
        <f>IF(A262="","",SUM(
COUNTIFS('QA Log'!D:D,A262,'QA Log'!M:M,"QQC",'QA Log'!L:L,"*1. General Management*"),
COUNTIFS('QA Log'!D:D,A262,'QA Log'!M:M,"QQC",'QA Log'!L:L,"*3. Curative Consultation (OPD)*"),
COUNTIFS('QA Log'!D:D,A262,'QA Log'!M:M,"QQC",'QA Log'!L:L,"*5. Laboratory*"),
COUNTIFS('QA Log'!D:D,A262,'QA Log'!M:M,"QQC",'QA Log'!L:L,"*6. Essential Medicine Management*"),
COUNTIFS('QA Log'!D:D,A262,'QA Log'!M:M,"QQC",'QA Log'!L:L,"*7. Tracer Medicine*"),
COUNTIFS('QA Log'!D:D,A262,'QA Log'!M:M,"QQC",'QA Log'!L:L,"*11. Additional Questions*")))</f>
        <v/>
      </c>
      <c r="K262" s="102" t="str">
        <f>IF(A262="","",SUM(
COUNTIFS('QA Log'!D:D,A262,'QA Log'!M:M,"QQC",'QA Log'!Z:Z,"Approved",'QA Log'!L:L,"*1. General Management*"),
COUNTIFS('QA Log'!D:D,A262,'QA Log'!M:M,"QQC",'QA Log'!Z:Z,"Approved",'QA Log'!L:L,"*3. Curative Consultation (OPD)*"),
COUNTIFS('QA Log'!D:D,A262,'QA Log'!M:M,"QQC",'QA Log'!Z:Z,"Approved",'QA Log'!L:L,"*5. Laboratory*"),
COUNTIFS('QA Log'!D:D,A262,'QA Log'!M:M,"QQC",'QA Log'!Z:Z,"Approved",'QA Log'!L:L,"*6. Essential Medicine Management*"),
COUNTIFS('QA Log'!D:D,A262,'QA Log'!M:M,"QQC",'QA Log'!Z:Z,"Approved",'QA Log'!L:L,"*7. Tracer Medicine*"),
COUNTIFS('QA Log'!D:D,A262,'QA Log'!M:M,"QQC",'QA Log'!Z:Z,"Approved",'QA Log'!L:L,"*11. Additional Questions*")))</f>
        <v/>
      </c>
      <c r="L262" s="105" t="str">
        <f>IF(A262&lt;&gt;"",COUNTIFS('QA Log'!D:D,A262,'QA Log'!M:M,"QQC",'QA Log'!L:L,"1. General Management",'QA Log'!Z:Z,"Approved"),"")</f>
        <v/>
      </c>
      <c r="M262" s="105" t="str">
        <f>IF(A262&lt;&gt;"",COUNTIFS('QA Log'!D:D,A262,'QA Log'!M:M,"QQC",'QA Log'!L:L,"3. Curative Consultation (OPD)",'QA Log'!Z:Z,"Approved"),"")</f>
        <v/>
      </c>
      <c r="N262" s="105" t="str">
        <f>IF(A262&lt;&gt;"",COUNTIFS('QA Log'!D:D,A262,'QA Log'!M:M,"QQC",'QA Log'!L:L,"5. Laboratory",'QA Log'!Z:Z,"Approved"),"")</f>
        <v/>
      </c>
      <c r="O262" s="105" t="str">
        <f>IF(A262&lt;&gt;"",COUNTIFS('QA Log'!D:D,A262,'QA Log'!M:M,"QQC",'QA Log'!L:L,"6. Essential Medicine Management",'QA Log'!Z:Z,"Approved"),"")</f>
        <v/>
      </c>
      <c r="P262" s="105" t="str">
        <f>IF(A262&lt;&gt;"",COUNTIFS('QA Log'!D:D,A262,'QA Log'!M:M,"QQC",'QA Log'!L:L,"7. Tracer Medicine",'QA Log'!Z:Z,"Approved"),"")</f>
        <v/>
      </c>
      <c r="Q262" s="105" t="str">
        <f>IF(A262&lt;&gt;"",COUNTIFS('QA Log'!D:D,A262,'QA Log'!M:M,"QQC",'QA Log'!L:L,"11. Additional Questions",'QA Log'!Z:Z,"Approved"),"")</f>
        <v/>
      </c>
      <c r="R262" s="102" t="str">
        <f>IF(A262="","",SUM(
COUNTIFS('QA Log'!D:D,A262,'QA Log'!M:M,"QQC",'QA Log'!Z:Z,"Rejected",'QA Log'!L:L,"*8. Maternity*"),
COUNTIFS('QA Log'!D:D,A262,'QA Log'!M:M,"QQC",'QA Log'!Z:Z,"Rejected",'QA Log'!L:L,"*EPI*"),
COUNTIFS('QA Log'!D:D,A262,'QA Log'!M:M,"QQC",'QA Log'!Z:Z,"Rejected",'QA Log'!L:L,"*10. Antenatal Care (ANC)*"),
COUNTIFS('QA Log'!D:D,A262,'QA Log'!M:M,"QQC",'QA Log'!Z:Z,"Rejected",'QA Log'!L:L,"*2. Hygiene and Sterilization*"),
COUNTIFS('QA Log'!D:D,A262,'QA Log'!M:M,"QQC",'QA Log'!Z:Z,"Rejected",'QA Log'!L:L,"*Family Planning*")))</f>
        <v/>
      </c>
      <c r="S262" s="106" t="str">
        <f t="shared" si="27"/>
        <v/>
      </c>
      <c r="T262" s="102" t="str">
        <f t="shared" si="28"/>
        <v/>
      </c>
      <c r="U262" s="102" t="str">
        <f>IF(A262="","",
SUM(
COUNTIFS('QA Log'!D:D,A262,'QA Log'!M:M,"QQC",'QA Log'!L:L,"*8. Maternity*"),
COUNTIFS('QA Log'!D:D,A262,'QA Log'!M:M,"QQC",'QA Log'!L:L,"*9. EPI and Pre-school Consultation*"),
COUNTIFS('QA Log'!D:D,A262,'QA Log'!M:M,"QQC",'QA Log'!L:L,"*10. Antenatal Care (ANC)*"),
COUNTIFS('QA Log'!D:D,A262,'QA Log'!M:M,"QQC",'QA Log'!L:L,"*2. Hygiene and Sterilization*"),
COUNTIFS('QA Log'!D:D,A262,'QA Log'!M:M,"QQC",'QA Log'!L:L,"*4. Family Planning*")
))</f>
        <v/>
      </c>
      <c r="V262" s="102" t="str">
        <f>IF(A262="","",
SUM(
COUNTIFS('QA Log'!D:D,A262,'QA Log'!M:M,"QQC",'QA Log'!Z:Z,"Approved",'QA Log'!L:L,"*8. Maternity*"),
COUNTIFS('QA Log'!D:D,A262,'QA Log'!M:M,"QQC",'QA Log'!Z:Z,"Approved",'QA Log'!L:L,"*9. EPI and Pre-school Consultation*"),
COUNTIFS('QA Log'!D:D,A262,'QA Log'!M:M,"QQC",'QA Log'!Z:Z,"Approved",'QA Log'!L:L,"*10. Antenatal Care (ANC)*"),
COUNTIFS('QA Log'!D:D,A262,'QA Log'!M:M,"QQC",'QA Log'!Z:Z,"Approved",'QA Log'!L:L,"*2. Hygiene and Sterilization*"),
COUNTIFS('QA Log'!D:D,A262,'QA Log'!M:M,"QQC",'QA Log'!Z:Z,"Approved",'QA Log'!L:L,"*4. Family Planning*")
))</f>
        <v/>
      </c>
      <c r="W262" s="105" t="str">
        <f>IF(A262&lt;&gt;"",COUNTIFS('QA Log'!D:D,A262,'QA Log'!M:M,"QQC",'QA Log'!L:L,"8. Maternity",'QA Log'!Z:Z,"Approved"),"")</f>
        <v/>
      </c>
      <c r="X262" s="105" t="str">
        <f>IF(A262&lt;&gt;"",COUNTIFS('QA Log'!D:D,A262,'QA Log'!M:M,"QQC",'QA Log'!L:L,"9. EPI and Pre-school Consultation",'QA Log'!Z:Z,"Approved"),"")</f>
        <v/>
      </c>
      <c r="Y262" s="105" t="str">
        <f>IF(A262&lt;&gt;"",COUNTIFS('QA Log'!D:D,A262,'QA Log'!M:M,"QQC",'QA Log'!L:L,"10. Antenatal Care (ANC)",'QA Log'!Z:Z,"Approved"),"")</f>
        <v/>
      </c>
      <c r="Z262" s="105" t="str">
        <f>IF(A262&lt;&gt;"",COUNTIFS('QA Log'!D:D,A262,'QA Log'!M:M,"QQC",'QA Log'!L:L,"2. Hygiene and Sterilization",'QA Log'!Z:Z,"Approved"),"")</f>
        <v/>
      </c>
      <c r="AA262" s="105" t="str">
        <f>IF(A262&lt;&gt;"",COUNTIFS('QA Log'!D:D,A262,'QA Log'!M:M,"QQC",'QA Log'!L:L,"4. Family Planning",'QA Log'!Z:Z,"Approved"),"")</f>
        <v/>
      </c>
      <c r="AB262" s="102" t="str">
        <f>IF(A262="","",
SUM(
COUNTIFS('QA Log'!D:D,A262,'QA Log'!M:M,"QQC",'QA Log'!Z:Z,"Rejected",'QA Log'!L:L,"*8. Maternity*"),
COUNTIFS('QA Log'!D:D,A262,'QA Log'!M:M,"QQC",'QA Log'!Z:Z,"Rejected",'QA Log'!L:L,"*9. EPI and Pre-school Consultation*"),
COUNTIFS('QA Log'!D:D,A262,'QA Log'!M:M,"QQC",'QA Log'!Z:Z,"Rejected",'QA Log'!L:L,"*10. Antenatal Care (ANC)*"),
COUNTIFS('QA Log'!D:D,A262,'QA Log'!M:M,"QQC",'QA Log'!Z:Z,"Rejected",'QA Log'!L:L,"*2. Hygiene and Sterilization*"),
COUNTIFS('QA Log'!D:D,A262,'QA Log'!M:M,"QQC",'QA Log'!Z:Z,"Rejected",'QA Log'!L:L,"*4. Family Planning*")
))</f>
        <v/>
      </c>
      <c r="AC262" s="102" t="str">
        <f t="shared" si="29"/>
        <v/>
      </c>
      <c r="AD262" s="103" t="str">
        <f t="shared" si="30"/>
        <v/>
      </c>
      <c r="AE262" s="102" t="str">
        <f>IF(A262="","",
SUM(
COUNTIFS('QA Log'!D:D,A262,'QA Log'!M:M,"Data Verification",'QA Log'!L:L,"*Medicine (section 2)*"),
COUNTIFS('QA Log'!D:D,A262,'QA Log'!M:M,"Data Verification",'QA Log'!L:L,"*Lab Testing Availability*"),
COUNTIFS('QA Log'!D:D,A262,'QA Log'!M:M,"Data Verification",'QA Log'!L:L,"*Other than P4P (section 6)*"),
COUNTIFS('QA Log'!D:D,A262,'QA Log'!M:M,"Data Verification",'QA Log'!L:L,"*Hospital Governance*")
))</f>
        <v/>
      </c>
      <c r="AF262" s="102" t="str">
        <f>IF(A262="","",
SUM(
COUNTIFS('QA Log'!D:D,A262,'QA Log'!M:M,"Data Verification",'QA Log'!Z:Z,"Approved",'QA Log'!L:L,"*Medicine (section 2)*"),
COUNTIFS('QA Log'!D:D,A262,'QA Log'!M:M,"Data Verification",'QA Log'!Z:Z,"Approved",'QA Log'!L:L,"*Lab Testing Availability*"),
COUNTIFS('QA Log'!D:D,A262,'QA Log'!M:M,"Data Verification",'QA Log'!Z:Z,"Approved",'QA Log'!L:L,"*Other than P4P (section 6)*"),
COUNTIFS('QA Log'!D:D,A262,'QA Log'!M:M,"Data Verification",'QA Log'!Z:Z,"Approved",'QA Log'!L:L,"*Hospital Governance*")
))</f>
        <v/>
      </c>
      <c r="AG262" s="105" t="str">
        <f>IF(A262&lt;&gt;"",COUNTIFS('QA Log'!D:D,A262,'QA Log'!M:M,"Data Verification",'QA Log'!L:L,"Medicine (section 2)",'QA Log'!Z:Z,"Approved"),"")</f>
        <v/>
      </c>
      <c r="AH262" s="105" t="str">
        <f>IF(A262&lt;&gt;"",COUNTIFS('QA Log'!D:D,A262,'QA Log'!M:M,"Data Verification",'QA Log'!L:L,"Lab Testing Availability",'QA Log'!Z:Z,"Approved"),"")</f>
        <v/>
      </c>
      <c r="AI262" s="105" t="str">
        <f>IF(A262&lt;&gt;"",COUNTIFS('QA Log'!D:D,A262,'QA Log'!M:M,"Data Verification",'QA Log'!L:L,"Other than P4P (section 6)",'QA Log'!Z:Z,"Approved"),"")</f>
        <v/>
      </c>
      <c r="AJ262" s="105" t="str">
        <f>IF(A262&lt;&gt;"",COUNTIFS('QA Log'!D:D,A262,'QA Log'!M:M,"Data Verification",'QA Log'!L:L,"Hospital Governance",'QA Log'!Z:Z,"Approved"),"")</f>
        <v/>
      </c>
      <c r="AK262" s="102" t="str">
        <f>IF(A262="","",
SUM(
COUNTIFS('QA Log'!D:D,A262,'QA Log'!M:M,"Data Verification",'QA Log'!Z:Z,"Rejected",'QA Log'!L:L,"*Medicine (section 2)*"),
COUNTIFS('QA Log'!D:D,A262,'QA Log'!M:M,"Data Verification",'QA Log'!Z:Z,"Rejected",'QA Log'!L:L,"*Lab Testing Availability*"),
COUNTIFS('QA Log'!D:D,A262,'QA Log'!M:M,"Data Verification",'QA Log'!Z:Z,"Rejected",'QA Log'!L:L,"*Other than P4P (section 6)*"),
COUNTIFS('QA Log'!D:D,A262,'QA Log'!M:M,"Data Verification",'QA Log'!Z:Z,"Rejected",'QA Log'!L:L,"*Hospital Governance*")
))</f>
        <v/>
      </c>
      <c r="AL262" s="106" t="str">
        <f t="shared" si="31"/>
        <v/>
      </c>
      <c r="AM262" s="102" t="str">
        <f t="shared" si="32"/>
        <v/>
      </c>
      <c r="AN262" s="102" t="str">
        <f>IF(A262="","",
SUM(
COUNTIFS('QA Log'!D:D,A262,'QA Log'!M:M,"Data Verification",'QA Log'!L:L,"*Personnel (section 1)*"),
COUNTIFS('QA Log'!D:D,A262,'QA Log'!M:M,"Data Verification",'QA Log'!L:L,"*Consumable (section 3)*"),
COUNTIFS('QA Log'!D:D,A262,'QA Log'!M:M,"Data Verification",'QA Log'!L:L,"*Equipments (section 4)*")
))</f>
        <v/>
      </c>
      <c r="AO262" s="102" t="str">
        <f>IF(A262="","",
SUM(
COUNTIFS('QA Log'!D:D,A262,'QA Log'!M:M,"Data Verification",'QA Log'!Z:Z,"Approved",'QA Log'!L:L,"*Personnel (section 1)*"),
COUNTIFS('QA Log'!D:D,A262,'QA Log'!M:M,"Data Verification",'QA Log'!Z:Z,"Approved",'QA Log'!L:L,"*Consumable (section 3)*"),
COUNTIFS('QA Log'!D:D,A262,'QA Log'!M:M,"Data Verification",'QA Log'!Z:Z,"Approved",'QA Log'!L:L,"*Equipments (section 4)*")
))</f>
        <v/>
      </c>
      <c r="AP262" s="105" t="str">
        <f>IF(A262&lt;&gt;"",COUNTIFS('QA Log'!D:D,A262,'QA Log'!M:M,"Data Verification",'QA Log'!L:L,"Personnel (section 1)",'QA Log'!Z:Z,"Approved"),"")</f>
        <v/>
      </c>
      <c r="AQ262" s="105" t="str">
        <f>IF(A262&lt;&gt;"",COUNTIFS('QA Log'!D:D,A262,'QA Log'!M:M,"Data Verification",'QA Log'!L:L,"Consumable (section 3)",'QA Log'!Z:Z,"Approved"),"")</f>
        <v/>
      </c>
      <c r="AR262" s="105" t="str">
        <f>IF(A262&lt;&gt;"",COUNTIFS('QA Log'!D:D,A262,'QA Log'!M:M,"Data Verification",'QA Log'!L:L,"Equipments (section 4)",'QA Log'!Z:Z,"Approved"),"")</f>
        <v/>
      </c>
      <c r="AS262" s="102" t="str">
        <f>IF(A262="","",
SUM(
COUNTIFS('QA Log'!D:D,A262,'QA Log'!M:M,"Data Verification",'QA Log'!Z:Z,"Rejected",'QA Log'!L:L,"*Personnel (section 1)*"),
COUNTIFS('QA Log'!D:D,A262,'QA Log'!M:M,"Data Verification",'QA Log'!Z:Z,"Rejected",'QA Log'!L:L,"*Consumable (section 3)*"),
COUNTIFS('QA Log'!D:D,A262,'QA Log'!M:M,"Data Verification",'QA Log'!Z:Z,"Rejected",'QA Log'!L:L,"*Equipments (section 4)*")
))</f>
        <v/>
      </c>
      <c r="AT262" s="102" t="str">
        <f t="shared" si="33"/>
        <v/>
      </c>
      <c r="AU262" s="103" t="str">
        <f t="shared" si="34"/>
        <v/>
      </c>
      <c r="AV262" s="102" t="str">
        <f>IF(A262="","",SUM(
COUNTIFS('QA Log'!D:D,A262,'QA Log'!M:M,"Vignette",'QA Log'!L:L,"*Vignette [1] Respiratory Infection: Pneumonia*"),
COUNTIFS('QA Log'!D:D,A262,'QA Log'!M:M,"Vignette",'QA Log'!L:L,"*Vignette [2]: Diarrhea with Cat B dehydration*"),
COUNTIFS('QA Log'!D:D,A262,'QA Log'!M:M,"Vignette",'QA Log'!L:L,"*Vignette [3] Growth Monitoring and Promotion*"),
COUNTIFS('QA Log'!D:D,A262,'QA Log'!M:M,"Vignette",'QA Log'!L:L,"*Vignette [4]: The management of presumptive TB patient*")
)
)</f>
        <v/>
      </c>
      <c r="AW262" s="102" t="str">
        <f>IF(
  A262="","",
  SUM(
    COUNTIFS('QA Log'!D:D,A262,'QA Log'!M:M,"Vignette",'QA Log'!Z:Z,"Approved",'QA Log'!L:L,"*Vignette [1] Respiratory Infection: Pneumonia*"),
    COUNTIFS('QA Log'!D:D,A262,'QA Log'!M:M,"Vignette",'QA Log'!Z:Z,"Approved",'QA Log'!L:L,"*Vignette [2]: Diarrhea with Cat B dehydration*"),
    COUNTIFS('QA Log'!D:D,A262,'QA Log'!M:M,"Vignette",'QA Log'!Z:Z,"Approved",'QA Log'!L:L,"*Vignette [3] Growth Monitoring and Promotion*"),
    COUNTIFS('QA Log'!D:D,A262,'QA Log'!M:M,"Vignette",'QA Log'!Z:Z,"Approved",'QA Log'!L:L,"*Vignette [4]: The management of presumptive TB patient*")
  )
)</f>
        <v/>
      </c>
      <c r="AX262" s="105" t="str">
        <f>IF(A262&lt;&gt;"",COUNTIFS('QA Log'!D:D,A262,'QA Log'!M:M,"Vignette",'QA Log'!L:L,"Vignette [1] Respiratory Infection: Pneumonia",'QA Log'!Z:Z,"Approved"),"")</f>
        <v/>
      </c>
      <c r="AY262" s="105" t="str">
        <f>IF(A262&lt;&gt;"",COUNTIFS('QA Log'!D:D,A262,'QA Log'!M:M,"Vignette",'QA Log'!L:L,"Vignette [2]: Diarrhea with Cat B dehydration",'QA Log'!Z:Z,"Approved"),"")</f>
        <v/>
      </c>
      <c r="AZ262" s="105" t="str">
        <f>IF(A262&lt;&gt;"",COUNTIFS('QA Log'!D:D,A262,'QA Log'!M:M,"Vignette",'QA Log'!L:L,"Vignette [3] Growth Monitoring and Promotion",'QA Log'!Z:Z,"Approved"),"")</f>
        <v/>
      </c>
      <c r="BA262" s="105" t="str">
        <f>IF(A262&lt;&gt;"",COUNTIFS('QA Log'!D:D,A262,'QA Log'!M:M,"Vignette",'QA Log'!L:L,"Vignette [4]: The management of presumptive TB patient",'QA Log'!Z:Z,"Approved"),"")</f>
        <v/>
      </c>
      <c r="BB262" s="102" t="str">
        <f>IF(A262="","",
  SUM(
    COUNTIFS('QA Log'!D:D,A262,'QA Log'!M:M,"Vignette",'QA Log'!Z:Z,"Rejected",'QA Log'!L:L,"*Vignette [1] Respiratory Infection: Pneumonia*"),
    COUNTIFS('QA Log'!D:D,A262,'QA Log'!M:M,"Vignette",'QA Log'!Z:Z,"Rejected",'QA Log'!L:L,"*Vignette [2]: Diarrhea with Cat B dehydration*"),
    COUNTIFS('QA Log'!D:D,A262,'QA Log'!M:M,"Vignette",'QA Log'!Z:Z,"Rejected",'QA Log'!L:L,"*Vignette [3] Growth Monitoring and Promotion*"),
    COUNTIFS('QA Log'!D:D,A262,'QA Log'!M:M,"Vignette",'QA Log'!Z:Z,"Rejected",'QA Log'!L:L,"*Vignette [4]: The management of presumptive TB patient*")
  )
)</f>
        <v/>
      </c>
      <c r="BC262" s="107" t="str">
        <f t="shared" si="35"/>
        <v/>
      </c>
      <c r="BD262" s="103" t="str">
        <f t="shared" si="36"/>
        <v/>
      </c>
      <c r="BE262" s="102" t="str">
        <f>IF(A262="","",SUM(
COUNTIFS('QA Log'!D:D,A262,'QA Log'!M:M,"Vignette",'QA Log'!L:L,"*Vignette [5] Labor*"),
COUNTIFS('QA Log'!D:D,A262,'QA Log'!M:M,"Vignette",'QA Log'!L:L,"*Vignette [6] PNC pre Discharge*"),
COUNTIFS('QA Log'!D:D,A262,'QA Log'!M:M,"Vignette",'QA Log'!L:L,"*Vignette [7] First ANC Visit*"),
COUNTIFS('QA Log'!D:D,A262,'QA Log'!M:M,"Vignette",'QA Log'!L:L,"*Vignette [8] Birth Spacing/ Family Planning :  FP Counselling*"),
COUNTIFS('QA Log'!D:D,A262,'QA Log'!M:M,"Vignette",'QA Log'!L:L,"*Vignette [9] Birth Spacing: Change FP method to Injectable*"),
COUNTIFS('QA Log'!D:D,A262,'QA Log'!M:M,"Vignette",'QA Log'!L:L,"*Vignette [10] Post Partum Haemorrhage - Atonic Uterus at Health Centre*"),
)
)</f>
        <v/>
      </c>
      <c r="BF262" s="102" t="str">
        <f>IF(A262="","",
  SUM(
    COUNTIFS('QA Log'!D:D,A262,'QA Log'!M:M,"Vignette",'QA Log'!Z:Z,"Approved",'QA Log'!L:L,"*Vignette [5] Labor*"),
    COUNTIFS('QA Log'!D:D,A262,'QA Log'!M:M,"Vignette",'QA Log'!Z:Z,"Approved",'QA Log'!L:L,"*Vignette [6] PNC pre Discharge*"),
    COUNTIFS('QA Log'!D:D,A262,'QA Log'!M:M,"Vignette",'QA Log'!Z:Z,"Approved",'QA Log'!L:L,"*Vignette [7] First ANC Visit*"),
    COUNTIFS('QA Log'!D:D,A262,'QA Log'!M:M,"Vignette",'QA Log'!Z:Z,"Approved",'QA Log'!L:L,"*Vignette [8] Birth Spacing/ Family Planning :  FP Counselling*"),
    COUNTIFS('QA Log'!D:D,A262,'QA Log'!M:M,"Vignette",'QA Log'!Z:Z,"Approved",'QA Log'!L:L,"*Vignette [9] Birth Spacing: Change FP method to Injectable*"),
    COUNTIFS('QA Log'!D:D,A262,'QA Log'!M:M,"Vignette",'QA Log'!Z:Z,"Approved",'QA Log'!L:L,"*Vignette [10] Post Partum Haemorrhage - Atonic Uterus at Health Centre*")
  )
)</f>
        <v/>
      </c>
      <c r="BG262" s="105" t="str">
        <f>IF(A262&lt;&gt;"",COUNTIFS('QA Log'!D:D,A262,'QA Log'!M:M,"Vignette",'QA Log'!L:L,"Vignette [5] Labor",'QA Log'!Z:Z,"Approved"),"")</f>
        <v/>
      </c>
      <c r="BH262" s="105" t="str">
        <f>IF(A262&lt;&gt;"",COUNTIFS('QA Log'!D:D,A262,'QA Log'!M:M,"Vignette",'QA Log'!L:L,"Vignette [6] PNC pre Discharge",'QA Log'!Z:Z,"Approved"),"")</f>
        <v/>
      </c>
      <c r="BI262" s="105" t="str">
        <f>IF(A262&lt;&gt;"",COUNTIFS('QA Log'!D:D,A262,'QA Log'!M:M,"Vignette",'QA Log'!L:L,"Vignette [7] First ANC Visit",'QA Log'!Z:Z,"Approved"),"")</f>
        <v/>
      </c>
      <c r="BJ262" s="105" t="str">
        <f>IF(A262&lt;&gt;"",COUNTIFS('QA Log'!D:D,A262,'QA Log'!M:M,"Vignette",'QA Log'!L:L,"Vignette [8] Birth Spacing/ Family Planning :  FP Counselling",'QA Log'!Z:Z,"Approved"),"")</f>
        <v/>
      </c>
      <c r="BK262" s="105" t="str">
        <f>IF(A262&lt;&gt;"",COUNTIFS('QA Log'!D:D,A262,'QA Log'!M:M,"Vignette",'QA Log'!L:L,"Vignette [9] Birth Spacing: Change FP method to Injectable",'QA Log'!Z:Z,"Approved"),"")</f>
        <v/>
      </c>
      <c r="BL262" s="105" t="str">
        <f>IF(A262&lt;&gt;"",COUNTIFS('QA Log'!D:D,A262,'QA Log'!M:M,"Vignette",'QA Log'!L:L,"Vignette [10] Post Partum Haemorrhage - Atonic Uterus at Health Centre",'QA Log'!Z:Z,"Approved"),"")</f>
        <v/>
      </c>
      <c r="BM262" s="102" t="str">
        <f>IF(A262="","",SUM(
    COUNTIFS('QA Log'!D:D,A262,'QA Log'!M:M,"Vignette",'QA Log'!Z:Z,"Rejected",'QA Log'!L:L,"*Vignette [5] Labor*"),
    COUNTIFS('QA Log'!D:D,A262,'QA Log'!M:M,"Vignette",'QA Log'!Z:Z,"Rejected",'QA Log'!L:L,"*Vignette [6] PNC pre Discharge*"),
    COUNTIFS('QA Log'!D:D,A262,'QA Log'!M:M,"Vignette",'QA Log'!Z:Z,"Rejected",'QA Log'!L:L,"*Vignette [7] First ANC Visit*"),
    COUNTIFS('QA Log'!D:D,A262,'QA Log'!M:M,"Vignette",'QA Log'!Z:Z,"Rejected",'QA Log'!L:L,"*Vignette [8] Birth Spacing/ Family Planning :  FP Counselling*"),
    COUNTIFS('QA Log'!D:D,A262,'QA Log'!M:M,"Vignette",'QA Log'!Z:Z,"Rejected",'QA Log'!L:L,"*Vignette [9] Birth Spacing: Change FP method to Injectable*"),
    COUNTIFS('QA Log'!D:D,A262,'QA Log'!M:M,"Vignette",'QA Log'!Z:Z,"Rejected",'QA Log'!L:L,"*Vignette [10] Post Partum Haemorrhage - Atonic Uterus at Health Centre*")
  )
)</f>
        <v/>
      </c>
      <c r="BN262" s="107" t="str">
        <f t="shared" si="37"/>
        <v/>
      </c>
      <c r="BO262" s="103" t="str">
        <f t="shared" si="38"/>
        <v/>
      </c>
      <c r="BP262" s="102" t="str">
        <f>IF(A262="","",SUM(
COUNTIFS('QA Log'!D:D,A262,'QA Log'!M:M,"Vignette",'QA Log'!L:L,"*Exit Interview 1*"),
COUNTIFS('QA Log'!D:D,A262,'QA Log'!M:M,"Vignette",'QA Log'!L:L,"*Exit Interview 2*"),
)
)</f>
        <v/>
      </c>
      <c r="BQ262" s="102" t="str">
        <f>IF(
  A262="","",
  SUM(
    COUNTIFS('QA Log'!D:D,A262,'QA Log'!M:M,"Vignette",'QA Log'!Z:Z,"Approved",'QA Log'!L:L,"*Exit Interview 1*"),
    COUNTIFS('QA Log'!D:D,A262,'QA Log'!M:M,"Vignette",'QA Log'!Z:Z,"Approved",'QA Log'!L:L,"*Exit Interview 2*")
  )
)</f>
        <v/>
      </c>
      <c r="BR262" s="105" t="str">
        <f>IF(A262&lt;&gt;"",COUNTIFS('QA Log'!D:D,A262,'QA Log'!M:M,"Vignette",'QA Log'!L:L,"Exit Interview 1",'QA Log'!Z:Z,"Approved"),"")</f>
        <v/>
      </c>
      <c r="BS262" s="105" t="str">
        <f>IF(A262&lt;&gt;"",COUNTIFS('QA Log'!D:D,A262,'QA Log'!M:M,"Vignette",'QA Log'!L:L,"Exit Interview 2",'QA Log'!Z:Z,"Approved"),"")</f>
        <v/>
      </c>
      <c r="BT262" s="102" t="str">
        <f>IF(
  A262="","",
  SUM(
    COUNTIFS('QA Log'!D:D,A262,'QA Log'!M:M,"Vignette",'QA Log'!Z:Z,"Rejected",'QA Log'!L:L,"*Exit Interview 1*"),
    COUNTIFS('QA Log'!D:D,A262,'QA Log'!M:M,"Vignette",'QA Log'!Z:Z,"Rejected",'QA Log'!L:L,"*Exit Interview 2*")
  )
)</f>
        <v/>
      </c>
      <c r="BU262" s="107" t="str">
        <f t="shared" si="39"/>
        <v/>
      </c>
      <c r="BV262" s="102" t="str">
        <f t="shared" si="40"/>
        <v/>
      </c>
      <c r="BW262" s="102" t="str">
        <f t="shared" si="41"/>
        <v/>
      </c>
      <c r="BX262" s="102" t="str">
        <f t="shared" si="42"/>
        <v/>
      </c>
      <c r="BY262" s="102" t="str">
        <f t="shared" si="43"/>
        <v/>
      </c>
      <c r="BZ262" s="107" t="str">
        <f t="shared" si="44"/>
        <v/>
      </c>
      <c r="CA262" s="108" t="str">
        <f t="shared" si="45"/>
        <v/>
      </c>
      <c r="CB262" s="108" t="str">
        <f t="shared" si="46"/>
        <v/>
      </c>
      <c r="CC262" s="109" t="str">
        <f t="shared" si="47"/>
        <v/>
      </c>
      <c r="CD262" s="108" t="str">
        <f t="shared" si="48"/>
        <v/>
      </c>
      <c r="CE262" s="108" t="str">
        <f t="shared" si="49"/>
        <v/>
      </c>
      <c r="CF262" s="109" t="str">
        <f t="shared" si="50"/>
        <v/>
      </c>
      <c r="CG262" s="110" t="str">
        <f t="shared" si="51"/>
        <v/>
      </c>
      <c r="CH262" s="111"/>
    </row>
    <row r="263" spans="1:86" ht="12.75">
      <c r="A263" s="101"/>
      <c r="B263" s="102" t="e">
        <f t="array" aca="1" ref="B263" ca="1">_xludf.XLOOKUP(A263,'QA Log'!D:D,'QA Log'!E:E,"")</f>
        <v>#NAME?</v>
      </c>
      <c r="C263" s="102" t="e">
        <f t="array" aca="1" ref="C263" ca="1">_xludf.XLOOKUP(A263,'QA Log'!D:D,'QA Log'!F:F,"")</f>
        <v>#NAME?</v>
      </c>
      <c r="D263" s="102" t="e">
        <f t="array" aca="1" ref="D263" ca="1">_xludf.XLOOKUP(A263,'QA Log'!D:D,'QA Log'!H:H,"")</f>
        <v>#NAME?</v>
      </c>
      <c r="E263" s="102" t="e">
        <f t="array" aca="1" ref="E263" ca="1">_xludf.XLOOKUP(A263,'QA Log'!D:D,'QA Log'!G:G,"")</f>
        <v>#NAME?</v>
      </c>
      <c r="F263" s="103"/>
      <c r="G263" s="104"/>
      <c r="H263" s="104"/>
      <c r="I263" s="103" t="str">
        <f t="shared" si="26"/>
        <v/>
      </c>
      <c r="J263" s="102" t="str">
        <f>IF(A263="","",SUM(
COUNTIFS('QA Log'!D:D,A263,'QA Log'!M:M,"QQC",'QA Log'!L:L,"*1. General Management*"),
COUNTIFS('QA Log'!D:D,A263,'QA Log'!M:M,"QQC",'QA Log'!L:L,"*3. Curative Consultation (OPD)*"),
COUNTIFS('QA Log'!D:D,A263,'QA Log'!M:M,"QQC",'QA Log'!L:L,"*5. Laboratory*"),
COUNTIFS('QA Log'!D:D,A263,'QA Log'!M:M,"QQC",'QA Log'!L:L,"*6. Essential Medicine Management*"),
COUNTIFS('QA Log'!D:D,A263,'QA Log'!M:M,"QQC",'QA Log'!L:L,"*7. Tracer Medicine*"),
COUNTIFS('QA Log'!D:D,A263,'QA Log'!M:M,"QQC",'QA Log'!L:L,"*11. Additional Questions*")))</f>
        <v/>
      </c>
      <c r="K263" s="102" t="str">
        <f>IF(A263="","",SUM(
COUNTIFS('QA Log'!D:D,A263,'QA Log'!M:M,"QQC",'QA Log'!Z:Z,"Approved",'QA Log'!L:L,"*1. General Management*"),
COUNTIFS('QA Log'!D:D,A263,'QA Log'!M:M,"QQC",'QA Log'!Z:Z,"Approved",'QA Log'!L:L,"*3. Curative Consultation (OPD)*"),
COUNTIFS('QA Log'!D:D,A263,'QA Log'!M:M,"QQC",'QA Log'!Z:Z,"Approved",'QA Log'!L:L,"*5. Laboratory*"),
COUNTIFS('QA Log'!D:D,A263,'QA Log'!M:M,"QQC",'QA Log'!Z:Z,"Approved",'QA Log'!L:L,"*6. Essential Medicine Management*"),
COUNTIFS('QA Log'!D:D,A263,'QA Log'!M:M,"QQC",'QA Log'!Z:Z,"Approved",'QA Log'!L:L,"*7. Tracer Medicine*"),
COUNTIFS('QA Log'!D:D,A263,'QA Log'!M:M,"QQC",'QA Log'!Z:Z,"Approved",'QA Log'!L:L,"*11. Additional Questions*")))</f>
        <v/>
      </c>
      <c r="L263" s="105" t="str">
        <f>IF(A263&lt;&gt;"",COUNTIFS('QA Log'!D:D,A263,'QA Log'!M:M,"QQC",'QA Log'!L:L,"1. General Management",'QA Log'!Z:Z,"Approved"),"")</f>
        <v/>
      </c>
      <c r="M263" s="105" t="str">
        <f>IF(A263&lt;&gt;"",COUNTIFS('QA Log'!D:D,A263,'QA Log'!M:M,"QQC",'QA Log'!L:L,"3. Curative Consultation (OPD)",'QA Log'!Z:Z,"Approved"),"")</f>
        <v/>
      </c>
      <c r="N263" s="105" t="str">
        <f>IF(A263&lt;&gt;"",COUNTIFS('QA Log'!D:D,A263,'QA Log'!M:M,"QQC",'QA Log'!L:L,"5. Laboratory",'QA Log'!Z:Z,"Approved"),"")</f>
        <v/>
      </c>
      <c r="O263" s="105" t="str">
        <f>IF(A263&lt;&gt;"",COUNTIFS('QA Log'!D:D,A263,'QA Log'!M:M,"QQC",'QA Log'!L:L,"6. Essential Medicine Management",'QA Log'!Z:Z,"Approved"),"")</f>
        <v/>
      </c>
      <c r="P263" s="105" t="str">
        <f>IF(A263&lt;&gt;"",COUNTIFS('QA Log'!D:D,A263,'QA Log'!M:M,"QQC",'QA Log'!L:L,"7. Tracer Medicine",'QA Log'!Z:Z,"Approved"),"")</f>
        <v/>
      </c>
      <c r="Q263" s="105" t="str">
        <f>IF(A263&lt;&gt;"",COUNTIFS('QA Log'!D:D,A263,'QA Log'!M:M,"QQC",'QA Log'!L:L,"11. Additional Questions",'QA Log'!Z:Z,"Approved"),"")</f>
        <v/>
      </c>
      <c r="R263" s="102" t="str">
        <f>IF(A263="","",SUM(
COUNTIFS('QA Log'!D:D,A263,'QA Log'!M:M,"QQC",'QA Log'!Z:Z,"Rejected",'QA Log'!L:L,"*8. Maternity*"),
COUNTIFS('QA Log'!D:D,A263,'QA Log'!M:M,"QQC",'QA Log'!Z:Z,"Rejected",'QA Log'!L:L,"*EPI*"),
COUNTIFS('QA Log'!D:D,A263,'QA Log'!M:M,"QQC",'QA Log'!Z:Z,"Rejected",'QA Log'!L:L,"*10. Antenatal Care (ANC)*"),
COUNTIFS('QA Log'!D:D,A263,'QA Log'!M:M,"QQC",'QA Log'!Z:Z,"Rejected",'QA Log'!L:L,"*2. Hygiene and Sterilization*"),
COUNTIFS('QA Log'!D:D,A263,'QA Log'!M:M,"QQC",'QA Log'!Z:Z,"Rejected",'QA Log'!L:L,"*Family Planning*")))</f>
        <v/>
      </c>
      <c r="S263" s="106" t="str">
        <f t="shared" si="27"/>
        <v/>
      </c>
      <c r="T263" s="102" t="str">
        <f t="shared" si="28"/>
        <v/>
      </c>
      <c r="U263" s="102" t="str">
        <f>IF(A263="","",
SUM(
COUNTIFS('QA Log'!D:D,A263,'QA Log'!M:M,"QQC",'QA Log'!L:L,"*8. Maternity*"),
COUNTIFS('QA Log'!D:D,A263,'QA Log'!M:M,"QQC",'QA Log'!L:L,"*9. EPI and Pre-school Consultation*"),
COUNTIFS('QA Log'!D:D,A263,'QA Log'!M:M,"QQC",'QA Log'!L:L,"*10. Antenatal Care (ANC)*"),
COUNTIFS('QA Log'!D:D,A263,'QA Log'!M:M,"QQC",'QA Log'!L:L,"*2. Hygiene and Sterilization*"),
COUNTIFS('QA Log'!D:D,A263,'QA Log'!M:M,"QQC",'QA Log'!L:L,"*4. Family Planning*")
))</f>
        <v/>
      </c>
      <c r="V263" s="102" t="str">
        <f>IF(A263="","",
SUM(
COUNTIFS('QA Log'!D:D,A263,'QA Log'!M:M,"QQC",'QA Log'!Z:Z,"Approved",'QA Log'!L:L,"*8. Maternity*"),
COUNTIFS('QA Log'!D:D,A263,'QA Log'!M:M,"QQC",'QA Log'!Z:Z,"Approved",'QA Log'!L:L,"*9. EPI and Pre-school Consultation*"),
COUNTIFS('QA Log'!D:D,A263,'QA Log'!M:M,"QQC",'QA Log'!Z:Z,"Approved",'QA Log'!L:L,"*10. Antenatal Care (ANC)*"),
COUNTIFS('QA Log'!D:D,A263,'QA Log'!M:M,"QQC",'QA Log'!Z:Z,"Approved",'QA Log'!L:L,"*2. Hygiene and Sterilization*"),
COUNTIFS('QA Log'!D:D,A263,'QA Log'!M:M,"QQC",'QA Log'!Z:Z,"Approved",'QA Log'!L:L,"*4. Family Planning*")
))</f>
        <v/>
      </c>
      <c r="W263" s="105" t="str">
        <f>IF(A263&lt;&gt;"",COUNTIFS('QA Log'!D:D,A263,'QA Log'!M:M,"QQC",'QA Log'!L:L,"8. Maternity",'QA Log'!Z:Z,"Approved"),"")</f>
        <v/>
      </c>
      <c r="X263" s="105" t="str">
        <f>IF(A263&lt;&gt;"",COUNTIFS('QA Log'!D:D,A263,'QA Log'!M:M,"QQC",'QA Log'!L:L,"9. EPI and Pre-school Consultation",'QA Log'!Z:Z,"Approved"),"")</f>
        <v/>
      </c>
      <c r="Y263" s="105" t="str">
        <f>IF(A263&lt;&gt;"",COUNTIFS('QA Log'!D:D,A263,'QA Log'!M:M,"QQC",'QA Log'!L:L,"10. Antenatal Care (ANC)",'QA Log'!Z:Z,"Approved"),"")</f>
        <v/>
      </c>
      <c r="Z263" s="105" t="str">
        <f>IF(A263&lt;&gt;"",COUNTIFS('QA Log'!D:D,A263,'QA Log'!M:M,"QQC",'QA Log'!L:L,"2. Hygiene and Sterilization",'QA Log'!Z:Z,"Approved"),"")</f>
        <v/>
      </c>
      <c r="AA263" s="105" t="str">
        <f>IF(A263&lt;&gt;"",COUNTIFS('QA Log'!D:D,A263,'QA Log'!M:M,"QQC",'QA Log'!L:L,"4. Family Planning",'QA Log'!Z:Z,"Approved"),"")</f>
        <v/>
      </c>
      <c r="AB263" s="102" t="str">
        <f>IF(A263="","",
SUM(
COUNTIFS('QA Log'!D:D,A263,'QA Log'!M:M,"QQC",'QA Log'!Z:Z,"Rejected",'QA Log'!L:L,"*8. Maternity*"),
COUNTIFS('QA Log'!D:D,A263,'QA Log'!M:M,"QQC",'QA Log'!Z:Z,"Rejected",'QA Log'!L:L,"*9. EPI and Pre-school Consultation*"),
COUNTIFS('QA Log'!D:D,A263,'QA Log'!M:M,"QQC",'QA Log'!Z:Z,"Rejected",'QA Log'!L:L,"*10. Antenatal Care (ANC)*"),
COUNTIFS('QA Log'!D:D,A263,'QA Log'!M:M,"QQC",'QA Log'!Z:Z,"Rejected",'QA Log'!L:L,"*2. Hygiene and Sterilization*"),
COUNTIFS('QA Log'!D:D,A263,'QA Log'!M:M,"QQC",'QA Log'!Z:Z,"Rejected",'QA Log'!L:L,"*4. Family Planning*")
))</f>
        <v/>
      </c>
      <c r="AC263" s="102" t="str">
        <f t="shared" si="29"/>
        <v/>
      </c>
      <c r="AD263" s="103" t="str">
        <f t="shared" si="30"/>
        <v/>
      </c>
      <c r="AE263" s="102" t="str">
        <f>IF(A263="","",
SUM(
COUNTIFS('QA Log'!D:D,A263,'QA Log'!M:M,"Data Verification",'QA Log'!L:L,"*Medicine (section 2)*"),
COUNTIFS('QA Log'!D:D,A263,'QA Log'!M:M,"Data Verification",'QA Log'!L:L,"*Lab Testing Availability*"),
COUNTIFS('QA Log'!D:D,A263,'QA Log'!M:M,"Data Verification",'QA Log'!L:L,"*Other than P4P (section 6)*"),
COUNTIFS('QA Log'!D:D,A263,'QA Log'!M:M,"Data Verification",'QA Log'!L:L,"*Hospital Governance*")
))</f>
        <v/>
      </c>
      <c r="AF263" s="102" t="str">
        <f>IF(A263="","",
SUM(
COUNTIFS('QA Log'!D:D,A263,'QA Log'!M:M,"Data Verification",'QA Log'!Z:Z,"Approved",'QA Log'!L:L,"*Medicine (section 2)*"),
COUNTIFS('QA Log'!D:D,A263,'QA Log'!M:M,"Data Verification",'QA Log'!Z:Z,"Approved",'QA Log'!L:L,"*Lab Testing Availability*"),
COUNTIFS('QA Log'!D:D,A263,'QA Log'!M:M,"Data Verification",'QA Log'!Z:Z,"Approved",'QA Log'!L:L,"*Other than P4P (section 6)*"),
COUNTIFS('QA Log'!D:D,A263,'QA Log'!M:M,"Data Verification",'QA Log'!Z:Z,"Approved",'QA Log'!L:L,"*Hospital Governance*")
))</f>
        <v/>
      </c>
      <c r="AG263" s="105" t="str">
        <f>IF(A263&lt;&gt;"",COUNTIFS('QA Log'!D:D,A263,'QA Log'!M:M,"Data Verification",'QA Log'!L:L,"Medicine (section 2)",'QA Log'!Z:Z,"Approved"),"")</f>
        <v/>
      </c>
      <c r="AH263" s="105" t="str">
        <f>IF(A263&lt;&gt;"",COUNTIFS('QA Log'!D:D,A263,'QA Log'!M:M,"Data Verification",'QA Log'!L:L,"Lab Testing Availability",'QA Log'!Z:Z,"Approved"),"")</f>
        <v/>
      </c>
      <c r="AI263" s="105" t="str">
        <f>IF(A263&lt;&gt;"",COUNTIFS('QA Log'!D:D,A263,'QA Log'!M:M,"Data Verification",'QA Log'!L:L,"Other than P4P (section 6)",'QA Log'!Z:Z,"Approved"),"")</f>
        <v/>
      </c>
      <c r="AJ263" s="105" t="str">
        <f>IF(A263&lt;&gt;"",COUNTIFS('QA Log'!D:D,A263,'QA Log'!M:M,"Data Verification",'QA Log'!L:L,"Hospital Governance",'QA Log'!Z:Z,"Approved"),"")</f>
        <v/>
      </c>
      <c r="AK263" s="102" t="str">
        <f>IF(A263="","",
SUM(
COUNTIFS('QA Log'!D:D,A263,'QA Log'!M:M,"Data Verification",'QA Log'!Z:Z,"Rejected",'QA Log'!L:L,"*Medicine (section 2)*"),
COUNTIFS('QA Log'!D:D,A263,'QA Log'!M:M,"Data Verification",'QA Log'!Z:Z,"Rejected",'QA Log'!L:L,"*Lab Testing Availability*"),
COUNTIFS('QA Log'!D:D,A263,'QA Log'!M:M,"Data Verification",'QA Log'!Z:Z,"Rejected",'QA Log'!L:L,"*Other than P4P (section 6)*"),
COUNTIFS('QA Log'!D:D,A263,'QA Log'!M:M,"Data Verification",'QA Log'!Z:Z,"Rejected",'QA Log'!L:L,"*Hospital Governance*")
))</f>
        <v/>
      </c>
      <c r="AL263" s="106" t="str">
        <f t="shared" si="31"/>
        <v/>
      </c>
      <c r="AM263" s="102" t="str">
        <f t="shared" si="32"/>
        <v/>
      </c>
      <c r="AN263" s="102" t="str">
        <f>IF(A263="","",
SUM(
COUNTIFS('QA Log'!D:D,A263,'QA Log'!M:M,"Data Verification",'QA Log'!L:L,"*Personnel (section 1)*"),
COUNTIFS('QA Log'!D:D,A263,'QA Log'!M:M,"Data Verification",'QA Log'!L:L,"*Consumable (section 3)*"),
COUNTIFS('QA Log'!D:D,A263,'QA Log'!M:M,"Data Verification",'QA Log'!L:L,"*Equipments (section 4)*")
))</f>
        <v/>
      </c>
      <c r="AO263" s="102" t="str">
        <f>IF(A263="","",
SUM(
COUNTIFS('QA Log'!D:D,A263,'QA Log'!M:M,"Data Verification",'QA Log'!Z:Z,"Approved",'QA Log'!L:L,"*Personnel (section 1)*"),
COUNTIFS('QA Log'!D:D,A263,'QA Log'!M:M,"Data Verification",'QA Log'!Z:Z,"Approved",'QA Log'!L:L,"*Consumable (section 3)*"),
COUNTIFS('QA Log'!D:D,A263,'QA Log'!M:M,"Data Verification",'QA Log'!Z:Z,"Approved",'QA Log'!L:L,"*Equipments (section 4)*")
))</f>
        <v/>
      </c>
      <c r="AP263" s="105" t="str">
        <f>IF(A263&lt;&gt;"",COUNTIFS('QA Log'!D:D,A263,'QA Log'!M:M,"Data Verification",'QA Log'!L:L,"Personnel (section 1)",'QA Log'!Z:Z,"Approved"),"")</f>
        <v/>
      </c>
      <c r="AQ263" s="105" t="str">
        <f>IF(A263&lt;&gt;"",COUNTIFS('QA Log'!D:D,A263,'QA Log'!M:M,"Data Verification",'QA Log'!L:L,"Consumable (section 3)",'QA Log'!Z:Z,"Approved"),"")</f>
        <v/>
      </c>
      <c r="AR263" s="105" t="str">
        <f>IF(A263&lt;&gt;"",COUNTIFS('QA Log'!D:D,A263,'QA Log'!M:M,"Data Verification",'QA Log'!L:L,"Equipments (section 4)",'QA Log'!Z:Z,"Approved"),"")</f>
        <v/>
      </c>
      <c r="AS263" s="102" t="str">
        <f>IF(A263="","",
SUM(
COUNTIFS('QA Log'!D:D,A263,'QA Log'!M:M,"Data Verification",'QA Log'!Z:Z,"Rejected",'QA Log'!L:L,"*Personnel (section 1)*"),
COUNTIFS('QA Log'!D:D,A263,'QA Log'!M:M,"Data Verification",'QA Log'!Z:Z,"Rejected",'QA Log'!L:L,"*Consumable (section 3)*"),
COUNTIFS('QA Log'!D:D,A263,'QA Log'!M:M,"Data Verification",'QA Log'!Z:Z,"Rejected",'QA Log'!L:L,"*Equipments (section 4)*")
))</f>
        <v/>
      </c>
      <c r="AT263" s="102" t="str">
        <f t="shared" si="33"/>
        <v/>
      </c>
      <c r="AU263" s="103" t="str">
        <f t="shared" si="34"/>
        <v/>
      </c>
      <c r="AV263" s="102" t="str">
        <f>IF(A263="","",SUM(
COUNTIFS('QA Log'!D:D,A263,'QA Log'!M:M,"Vignette",'QA Log'!L:L,"*Vignette [1] Respiratory Infection: Pneumonia*"),
COUNTIFS('QA Log'!D:D,A263,'QA Log'!M:M,"Vignette",'QA Log'!L:L,"*Vignette [2]: Diarrhea with Cat B dehydration*"),
COUNTIFS('QA Log'!D:D,A263,'QA Log'!M:M,"Vignette",'QA Log'!L:L,"*Vignette [3] Growth Monitoring and Promotion*"),
COUNTIFS('QA Log'!D:D,A263,'QA Log'!M:M,"Vignette",'QA Log'!L:L,"*Vignette [4]: The management of presumptive TB patient*")
)
)</f>
        <v/>
      </c>
      <c r="AW263" s="102" t="str">
        <f>IF(
  A263="","",
  SUM(
    COUNTIFS('QA Log'!D:D,A263,'QA Log'!M:M,"Vignette",'QA Log'!Z:Z,"Approved",'QA Log'!L:L,"*Vignette [1] Respiratory Infection: Pneumonia*"),
    COUNTIFS('QA Log'!D:D,A263,'QA Log'!M:M,"Vignette",'QA Log'!Z:Z,"Approved",'QA Log'!L:L,"*Vignette [2]: Diarrhea with Cat B dehydration*"),
    COUNTIFS('QA Log'!D:D,A263,'QA Log'!M:M,"Vignette",'QA Log'!Z:Z,"Approved",'QA Log'!L:L,"*Vignette [3] Growth Monitoring and Promotion*"),
    COUNTIFS('QA Log'!D:D,A263,'QA Log'!M:M,"Vignette",'QA Log'!Z:Z,"Approved",'QA Log'!L:L,"*Vignette [4]: The management of presumptive TB patient*")
  )
)</f>
        <v/>
      </c>
      <c r="AX263" s="105" t="str">
        <f>IF(A263&lt;&gt;"",COUNTIFS('QA Log'!D:D,A263,'QA Log'!M:M,"Vignette",'QA Log'!L:L,"Vignette [1] Respiratory Infection: Pneumonia",'QA Log'!Z:Z,"Approved"),"")</f>
        <v/>
      </c>
      <c r="AY263" s="105" t="str">
        <f>IF(A263&lt;&gt;"",COUNTIFS('QA Log'!D:D,A263,'QA Log'!M:M,"Vignette",'QA Log'!L:L,"Vignette [2]: Diarrhea with Cat B dehydration",'QA Log'!Z:Z,"Approved"),"")</f>
        <v/>
      </c>
      <c r="AZ263" s="105" t="str">
        <f>IF(A263&lt;&gt;"",COUNTIFS('QA Log'!D:D,A263,'QA Log'!M:M,"Vignette",'QA Log'!L:L,"Vignette [3] Growth Monitoring and Promotion",'QA Log'!Z:Z,"Approved"),"")</f>
        <v/>
      </c>
      <c r="BA263" s="105" t="str">
        <f>IF(A263&lt;&gt;"",COUNTIFS('QA Log'!D:D,A263,'QA Log'!M:M,"Vignette",'QA Log'!L:L,"Vignette [4]: The management of presumptive TB patient",'QA Log'!Z:Z,"Approved"),"")</f>
        <v/>
      </c>
      <c r="BB263" s="102" t="str">
        <f>IF(A263="","",
  SUM(
    COUNTIFS('QA Log'!D:D,A263,'QA Log'!M:M,"Vignette",'QA Log'!Z:Z,"Rejected",'QA Log'!L:L,"*Vignette [1] Respiratory Infection: Pneumonia*"),
    COUNTIFS('QA Log'!D:D,A263,'QA Log'!M:M,"Vignette",'QA Log'!Z:Z,"Rejected",'QA Log'!L:L,"*Vignette [2]: Diarrhea with Cat B dehydration*"),
    COUNTIFS('QA Log'!D:D,A263,'QA Log'!M:M,"Vignette",'QA Log'!Z:Z,"Rejected",'QA Log'!L:L,"*Vignette [3] Growth Monitoring and Promotion*"),
    COUNTIFS('QA Log'!D:D,A263,'QA Log'!M:M,"Vignette",'QA Log'!Z:Z,"Rejected",'QA Log'!L:L,"*Vignette [4]: The management of presumptive TB patient*")
  )
)</f>
        <v/>
      </c>
      <c r="BC263" s="107" t="str">
        <f t="shared" si="35"/>
        <v/>
      </c>
      <c r="BD263" s="103" t="str">
        <f t="shared" si="36"/>
        <v/>
      </c>
      <c r="BE263" s="102" t="str">
        <f>IF(A263="","",SUM(
COUNTIFS('QA Log'!D:D,A263,'QA Log'!M:M,"Vignette",'QA Log'!L:L,"*Vignette [5] Labor*"),
COUNTIFS('QA Log'!D:D,A263,'QA Log'!M:M,"Vignette",'QA Log'!L:L,"*Vignette [6] PNC pre Discharge*"),
COUNTIFS('QA Log'!D:D,A263,'QA Log'!M:M,"Vignette",'QA Log'!L:L,"*Vignette [7] First ANC Visit*"),
COUNTIFS('QA Log'!D:D,A263,'QA Log'!M:M,"Vignette",'QA Log'!L:L,"*Vignette [8] Birth Spacing/ Family Planning :  FP Counselling*"),
COUNTIFS('QA Log'!D:D,A263,'QA Log'!M:M,"Vignette",'QA Log'!L:L,"*Vignette [9] Birth Spacing: Change FP method to Injectable*"),
COUNTIFS('QA Log'!D:D,A263,'QA Log'!M:M,"Vignette",'QA Log'!L:L,"*Vignette [10] Post Partum Haemorrhage - Atonic Uterus at Health Centre*"),
)
)</f>
        <v/>
      </c>
      <c r="BF263" s="102" t="str">
        <f>IF(A263="","",
  SUM(
    COUNTIFS('QA Log'!D:D,A263,'QA Log'!M:M,"Vignette",'QA Log'!Z:Z,"Approved",'QA Log'!L:L,"*Vignette [5] Labor*"),
    COUNTIFS('QA Log'!D:D,A263,'QA Log'!M:M,"Vignette",'QA Log'!Z:Z,"Approved",'QA Log'!L:L,"*Vignette [6] PNC pre Discharge*"),
    COUNTIFS('QA Log'!D:D,A263,'QA Log'!M:M,"Vignette",'QA Log'!Z:Z,"Approved",'QA Log'!L:L,"*Vignette [7] First ANC Visit*"),
    COUNTIFS('QA Log'!D:D,A263,'QA Log'!M:M,"Vignette",'QA Log'!Z:Z,"Approved",'QA Log'!L:L,"*Vignette [8] Birth Spacing/ Family Planning :  FP Counselling*"),
    COUNTIFS('QA Log'!D:D,A263,'QA Log'!M:M,"Vignette",'QA Log'!Z:Z,"Approved",'QA Log'!L:L,"*Vignette [9] Birth Spacing: Change FP method to Injectable*"),
    COUNTIFS('QA Log'!D:D,A263,'QA Log'!M:M,"Vignette",'QA Log'!Z:Z,"Approved",'QA Log'!L:L,"*Vignette [10] Post Partum Haemorrhage - Atonic Uterus at Health Centre*")
  )
)</f>
        <v/>
      </c>
      <c r="BG263" s="105" t="str">
        <f>IF(A263&lt;&gt;"",COUNTIFS('QA Log'!D:D,A263,'QA Log'!M:M,"Vignette",'QA Log'!L:L,"Vignette [5] Labor",'QA Log'!Z:Z,"Approved"),"")</f>
        <v/>
      </c>
      <c r="BH263" s="105" t="str">
        <f>IF(A263&lt;&gt;"",COUNTIFS('QA Log'!D:D,A263,'QA Log'!M:M,"Vignette",'QA Log'!L:L,"Vignette [6] PNC pre Discharge",'QA Log'!Z:Z,"Approved"),"")</f>
        <v/>
      </c>
      <c r="BI263" s="105" t="str">
        <f>IF(A263&lt;&gt;"",COUNTIFS('QA Log'!D:D,A263,'QA Log'!M:M,"Vignette",'QA Log'!L:L,"Vignette [7] First ANC Visit",'QA Log'!Z:Z,"Approved"),"")</f>
        <v/>
      </c>
      <c r="BJ263" s="105" t="str">
        <f>IF(A263&lt;&gt;"",COUNTIFS('QA Log'!D:D,A263,'QA Log'!M:M,"Vignette",'QA Log'!L:L,"Vignette [8] Birth Spacing/ Family Planning :  FP Counselling",'QA Log'!Z:Z,"Approved"),"")</f>
        <v/>
      </c>
      <c r="BK263" s="105" t="str">
        <f>IF(A263&lt;&gt;"",COUNTIFS('QA Log'!D:D,A263,'QA Log'!M:M,"Vignette",'QA Log'!L:L,"Vignette [9] Birth Spacing: Change FP method to Injectable",'QA Log'!Z:Z,"Approved"),"")</f>
        <v/>
      </c>
      <c r="BL263" s="105" t="str">
        <f>IF(A263&lt;&gt;"",COUNTIFS('QA Log'!D:D,A263,'QA Log'!M:M,"Vignette",'QA Log'!L:L,"Vignette [10] Post Partum Haemorrhage - Atonic Uterus at Health Centre",'QA Log'!Z:Z,"Approved"),"")</f>
        <v/>
      </c>
      <c r="BM263" s="102" t="str">
        <f>IF(A263="","",SUM(
    COUNTIFS('QA Log'!D:D,A263,'QA Log'!M:M,"Vignette",'QA Log'!Z:Z,"Rejected",'QA Log'!L:L,"*Vignette [5] Labor*"),
    COUNTIFS('QA Log'!D:D,A263,'QA Log'!M:M,"Vignette",'QA Log'!Z:Z,"Rejected",'QA Log'!L:L,"*Vignette [6] PNC pre Discharge*"),
    COUNTIFS('QA Log'!D:D,A263,'QA Log'!M:M,"Vignette",'QA Log'!Z:Z,"Rejected",'QA Log'!L:L,"*Vignette [7] First ANC Visit*"),
    COUNTIFS('QA Log'!D:D,A263,'QA Log'!M:M,"Vignette",'QA Log'!Z:Z,"Rejected",'QA Log'!L:L,"*Vignette [8] Birth Spacing/ Family Planning :  FP Counselling*"),
    COUNTIFS('QA Log'!D:D,A263,'QA Log'!M:M,"Vignette",'QA Log'!Z:Z,"Rejected",'QA Log'!L:L,"*Vignette [9] Birth Spacing: Change FP method to Injectable*"),
    COUNTIFS('QA Log'!D:D,A263,'QA Log'!M:M,"Vignette",'QA Log'!Z:Z,"Rejected",'QA Log'!L:L,"*Vignette [10] Post Partum Haemorrhage - Atonic Uterus at Health Centre*")
  )
)</f>
        <v/>
      </c>
      <c r="BN263" s="107" t="str">
        <f t="shared" si="37"/>
        <v/>
      </c>
      <c r="BO263" s="103" t="str">
        <f t="shared" si="38"/>
        <v/>
      </c>
      <c r="BP263" s="102" t="str">
        <f>IF(A263="","",SUM(
COUNTIFS('QA Log'!D:D,A263,'QA Log'!M:M,"Vignette",'QA Log'!L:L,"*Exit Interview 1*"),
COUNTIFS('QA Log'!D:D,A263,'QA Log'!M:M,"Vignette",'QA Log'!L:L,"*Exit Interview 2*"),
)
)</f>
        <v/>
      </c>
      <c r="BQ263" s="102" t="str">
        <f>IF(
  A263="","",
  SUM(
    COUNTIFS('QA Log'!D:D,A263,'QA Log'!M:M,"Vignette",'QA Log'!Z:Z,"Approved",'QA Log'!L:L,"*Exit Interview 1*"),
    COUNTIFS('QA Log'!D:D,A263,'QA Log'!M:M,"Vignette",'QA Log'!Z:Z,"Approved",'QA Log'!L:L,"*Exit Interview 2*")
  )
)</f>
        <v/>
      </c>
      <c r="BR263" s="105" t="str">
        <f>IF(A263&lt;&gt;"",COUNTIFS('QA Log'!D:D,A263,'QA Log'!M:M,"Vignette",'QA Log'!L:L,"Exit Interview 1",'QA Log'!Z:Z,"Approved"),"")</f>
        <v/>
      </c>
      <c r="BS263" s="105" t="str">
        <f>IF(A263&lt;&gt;"",COUNTIFS('QA Log'!D:D,A263,'QA Log'!M:M,"Vignette",'QA Log'!L:L,"Exit Interview 2",'QA Log'!Z:Z,"Approved"),"")</f>
        <v/>
      </c>
      <c r="BT263" s="102" t="str">
        <f>IF(
  A263="","",
  SUM(
    COUNTIFS('QA Log'!D:D,A263,'QA Log'!M:M,"Vignette",'QA Log'!Z:Z,"Rejected",'QA Log'!L:L,"*Exit Interview 1*"),
    COUNTIFS('QA Log'!D:D,A263,'QA Log'!M:M,"Vignette",'QA Log'!Z:Z,"Rejected",'QA Log'!L:L,"*Exit Interview 2*")
  )
)</f>
        <v/>
      </c>
      <c r="BU263" s="107" t="str">
        <f t="shared" si="39"/>
        <v/>
      </c>
      <c r="BV263" s="102" t="str">
        <f t="shared" si="40"/>
        <v/>
      </c>
      <c r="BW263" s="102" t="str">
        <f t="shared" si="41"/>
        <v/>
      </c>
      <c r="BX263" s="102" t="str">
        <f t="shared" si="42"/>
        <v/>
      </c>
      <c r="BY263" s="102" t="str">
        <f t="shared" si="43"/>
        <v/>
      </c>
      <c r="BZ263" s="107" t="str">
        <f t="shared" si="44"/>
        <v/>
      </c>
      <c r="CA263" s="108" t="str">
        <f t="shared" si="45"/>
        <v/>
      </c>
      <c r="CB263" s="108" t="str">
        <f t="shared" si="46"/>
        <v/>
      </c>
      <c r="CC263" s="109" t="str">
        <f t="shared" si="47"/>
        <v/>
      </c>
      <c r="CD263" s="108" t="str">
        <f t="shared" si="48"/>
        <v/>
      </c>
      <c r="CE263" s="108" t="str">
        <f t="shared" si="49"/>
        <v/>
      </c>
      <c r="CF263" s="109" t="str">
        <f t="shared" si="50"/>
        <v/>
      </c>
      <c r="CG263" s="110" t="str">
        <f t="shared" si="51"/>
        <v/>
      </c>
      <c r="CH263" s="111"/>
    </row>
    <row r="264" spans="1:86" ht="12.75">
      <c r="A264" s="101"/>
      <c r="B264" s="102" t="e">
        <f t="array" aca="1" ref="B264" ca="1">_xludf.XLOOKUP(A264,'QA Log'!D:D,'QA Log'!E:E,"")</f>
        <v>#NAME?</v>
      </c>
      <c r="C264" s="102" t="e">
        <f t="array" aca="1" ref="C264" ca="1">_xludf.XLOOKUP(A264,'QA Log'!D:D,'QA Log'!F:F,"")</f>
        <v>#NAME?</v>
      </c>
      <c r="D264" s="102" t="e">
        <f t="array" aca="1" ref="D264" ca="1">_xludf.XLOOKUP(A264,'QA Log'!D:D,'QA Log'!H:H,"")</f>
        <v>#NAME?</v>
      </c>
      <c r="E264" s="102" t="e">
        <f t="array" aca="1" ref="E264" ca="1">_xludf.XLOOKUP(A264,'QA Log'!D:D,'QA Log'!G:G,"")</f>
        <v>#NAME?</v>
      </c>
      <c r="F264" s="103"/>
      <c r="G264" s="104"/>
      <c r="H264" s="104"/>
      <c r="I264" s="103" t="str">
        <f t="shared" si="26"/>
        <v/>
      </c>
      <c r="J264" s="102" t="str">
        <f>IF(A264="","",SUM(
COUNTIFS('QA Log'!D:D,A264,'QA Log'!M:M,"QQC",'QA Log'!L:L,"*1. General Management*"),
COUNTIFS('QA Log'!D:D,A264,'QA Log'!M:M,"QQC",'QA Log'!L:L,"*3. Curative Consultation (OPD)*"),
COUNTIFS('QA Log'!D:D,A264,'QA Log'!M:M,"QQC",'QA Log'!L:L,"*5. Laboratory*"),
COUNTIFS('QA Log'!D:D,A264,'QA Log'!M:M,"QQC",'QA Log'!L:L,"*6. Essential Medicine Management*"),
COUNTIFS('QA Log'!D:D,A264,'QA Log'!M:M,"QQC",'QA Log'!L:L,"*7. Tracer Medicine*"),
COUNTIFS('QA Log'!D:D,A264,'QA Log'!M:M,"QQC",'QA Log'!L:L,"*11. Additional Questions*")))</f>
        <v/>
      </c>
      <c r="K264" s="102" t="str">
        <f>IF(A264="","",SUM(
COUNTIFS('QA Log'!D:D,A264,'QA Log'!M:M,"QQC",'QA Log'!Z:Z,"Approved",'QA Log'!L:L,"*1. General Management*"),
COUNTIFS('QA Log'!D:D,A264,'QA Log'!M:M,"QQC",'QA Log'!Z:Z,"Approved",'QA Log'!L:L,"*3. Curative Consultation (OPD)*"),
COUNTIFS('QA Log'!D:D,A264,'QA Log'!M:M,"QQC",'QA Log'!Z:Z,"Approved",'QA Log'!L:L,"*5. Laboratory*"),
COUNTIFS('QA Log'!D:D,A264,'QA Log'!M:M,"QQC",'QA Log'!Z:Z,"Approved",'QA Log'!L:L,"*6. Essential Medicine Management*"),
COUNTIFS('QA Log'!D:D,A264,'QA Log'!M:M,"QQC",'QA Log'!Z:Z,"Approved",'QA Log'!L:L,"*7. Tracer Medicine*"),
COUNTIFS('QA Log'!D:D,A264,'QA Log'!M:M,"QQC",'QA Log'!Z:Z,"Approved",'QA Log'!L:L,"*11. Additional Questions*")))</f>
        <v/>
      </c>
      <c r="L264" s="105" t="str">
        <f>IF(A264&lt;&gt;"",COUNTIFS('QA Log'!D:D,A264,'QA Log'!M:M,"QQC",'QA Log'!L:L,"1. General Management",'QA Log'!Z:Z,"Approved"),"")</f>
        <v/>
      </c>
      <c r="M264" s="105" t="str">
        <f>IF(A264&lt;&gt;"",COUNTIFS('QA Log'!D:D,A264,'QA Log'!M:M,"QQC",'QA Log'!L:L,"3. Curative Consultation (OPD)",'QA Log'!Z:Z,"Approved"),"")</f>
        <v/>
      </c>
      <c r="N264" s="105" t="str">
        <f>IF(A264&lt;&gt;"",COUNTIFS('QA Log'!D:D,A264,'QA Log'!M:M,"QQC",'QA Log'!L:L,"5. Laboratory",'QA Log'!Z:Z,"Approved"),"")</f>
        <v/>
      </c>
      <c r="O264" s="105" t="str">
        <f>IF(A264&lt;&gt;"",COUNTIFS('QA Log'!D:D,A264,'QA Log'!M:M,"QQC",'QA Log'!L:L,"6. Essential Medicine Management",'QA Log'!Z:Z,"Approved"),"")</f>
        <v/>
      </c>
      <c r="P264" s="105" t="str">
        <f>IF(A264&lt;&gt;"",COUNTIFS('QA Log'!D:D,A264,'QA Log'!M:M,"QQC",'QA Log'!L:L,"7. Tracer Medicine",'QA Log'!Z:Z,"Approved"),"")</f>
        <v/>
      </c>
      <c r="Q264" s="105" t="str">
        <f>IF(A264&lt;&gt;"",COUNTIFS('QA Log'!D:D,A264,'QA Log'!M:M,"QQC",'QA Log'!L:L,"11. Additional Questions",'QA Log'!Z:Z,"Approved"),"")</f>
        <v/>
      </c>
      <c r="R264" s="102" t="str">
        <f>IF(A264="","",SUM(
COUNTIFS('QA Log'!D:D,A264,'QA Log'!M:M,"QQC",'QA Log'!Z:Z,"Rejected",'QA Log'!L:L,"*8. Maternity*"),
COUNTIFS('QA Log'!D:D,A264,'QA Log'!M:M,"QQC",'QA Log'!Z:Z,"Rejected",'QA Log'!L:L,"*EPI*"),
COUNTIFS('QA Log'!D:D,A264,'QA Log'!M:M,"QQC",'QA Log'!Z:Z,"Rejected",'QA Log'!L:L,"*10. Antenatal Care (ANC)*"),
COUNTIFS('QA Log'!D:D,A264,'QA Log'!M:M,"QQC",'QA Log'!Z:Z,"Rejected",'QA Log'!L:L,"*2. Hygiene and Sterilization*"),
COUNTIFS('QA Log'!D:D,A264,'QA Log'!M:M,"QQC",'QA Log'!Z:Z,"Rejected",'QA Log'!L:L,"*Family Planning*")))</f>
        <v/>
      </c>
      <c r="S264" s="106" t="str">
        <f t="shared" si="27"/>
        <v/>
      </c>
      <c r="T264" s="102" t="str">
        <f t="shared" si="28"/>
        <v/>
      </c>
      <c r="U264" s="102" t="str">
        <f>IF(A264="","",
SUM(
COUNTIFS('QA Log'!D:D,A264,'QA Log'!M:M,"QQC",'QA Log'!L:L,"*8. Maternity*"),
COUNTIFS('QA Log'!D:D,A264,'QA Log'!M:M,"QQC",'QA Log'!L:L,"*9. EPI and Pre-school Consultation*"),
COUNTIFS('QA Log'!D:D,A264,'QA Log'!M:M,"QQC",'QA Log'!L:L,"*10. Antenatal Care (ANC)*"),
COUNTIFS('QA Log'!D:D,A264,'QA Log'!M:M,"QQC",'QA Log'!L:L,"*2. Hygiene and Sterilization*"),
COUNTIFS('QA Log'!D:D,A264,'QA Log'!M:M,"QQC",'QA Log'!L:L,"*4. Family Planning*")
))</f>
        <v/>
      </c>
      <c r="V264" s="102" t="str">
        <f>IF(A264="","",
SUM(
COUNTIFS('QA Log'!D:D,A264,'QA Log'!M:M,"QQC",'QA Log'!Z:Z,"Approved",'QA Log'!L:L,"*8. Maternity*"),
COUNTIFS('QA Log'!D:D,A264,'QA Log'!M:M,"QQC",'QA Log'!Z:Z,"Approved",'QA Log'!L:L,"*9. EPI and Pre-school Consultation*"),
COUNTIFS('QA Log'!D:D,A264,'QA Log'!M:M,"QQC",'QA Log'!Z:Z,"Approved",'QA Log'!L:L,"*10. Antenatal Care (ANC)*"),
COUNTIFS('QA Log'!D:D,A264,'QA Log'!M:M,"QQC",'QA Log'!Z:Z,"Approved",'QA Log'!L:L,"*2. Hygiene and Sterilization*"),
COUNTIFS('QA Log'!D:D,A264,'QA Log'!M:M,"QQC",'QA Log'!Z:Z,"Approved",'QA Log'!L:L,"*4. Family Planning*")
))</f>
        <v/>
      </c>
      <c r="W264" s="105" t="str">
        <f>IF(A264&lt;&gt;"",COUNTIFS('QA Log'!D:D,A264,'QA Log'!M:M,"QQC",'QA Log'!L:L,"8. Maternity",'QA Log'!Z:Z,"Approved"),"")</f>
        <v/>
      </c>
      <c r="X264" s="105" t="str">
        <f>IF(A264&lt;&gt;"",COUNTIFS('QA Log'!D:D,A264,'QA Log'!M:M,"QQC",'QA Log'!L:L,"9. EPI and Pre-school Consultation",'QA Log'!Z:Z,"Approved"),"")</f>
        <v/>
      </c>
      <c r="Y264" s="105" t="str">
        <f>IF(A264&lt;&gt;"",COUNTIFS('QA Log'!D:D,A264,'QA Log'!M:M,"QQC",'QA Log'!L:L,"10. Antenatal Care (ANC)",'QA Log'!Z:Z,"Approved"),"")</f>
        <v/>
      </c>
      <c r="Z264" s="105" t="str">
        <f>IF(A264&lt;&gt;"",COUNTIFS('QA Log'!D:D,A264,'QA Log'!M:M,"QQC",'QA Log'!L:L,"2. Hygiene and Sterilization",'QA Log'!Z:Z,"Approved"),"")</f>
        <v/>
      </c>
      <c r="AA264" s="105" t="str">
        <f>IF(A264&lt;&gt;"",COUNTIFS('QA Log'!D:D,A264,'QA Log'!M:M,"QQC",'QA Log'!L:L,"4. Family Planning",'QA Log'!Z:Z,"Approved"),"")</f>
        <v/>
      </c>
      <c r="AB264" s="102" t="str">
        <f>IF(A264="","",
SUM(
COUNTIFS('QA Log'!D:D,A264,'QA Log'!M:M,"QQC",'QA Log'!Z:Z,"Rejected",'QA Log'!L:L,"*8. Maternity*"),
COUNTIFS('QA Log'!D:D,A264,'QA Log'!M:M,"QQC",'QA Log'!Z:Z,"Rejected",'QA Log'!L:L,"*9. EPI and Pre-school Consultation*"),
COUNTIFS('QA Log'!D:D,A264,'QA Log'!M:M,"QQC",'QA Log'!Z:Z,"Rejected",'QA Log'!L:L,"*10. Antenatal Care (ANC)*"),
COUNTIFS('QA Log'!D:D,A264,'QA Log'!M:M,"QQC",'QA Log'!Z:Z,"Rejected",'QA Log'!L:L,"*2. Hygiene and Sterilization*"),
COUNTIFS('QA Log'!D:D,A264,'QA Log'!M:M,"QQC",'QA Log'!Z:Z,"Rejected",'QA Log'!L:L,"*4. Family Planning*")
))</f>
        <v/>
      </c>
      <c r="AC264" s="102" t="str">
        <f t="shared" si="29"/>
        <v/>
      </c>
      <c r="AD264" s="103" t="str">
        <f t="shared" si="30"/>
        <v/>
      </c>
      <c r="AE264" s="102" t="str">
        <f>IF(A264="","",
SUM(
COUNTIFS('QA Log'!D:D,A264,'QA Log'!M:M,"Data Verification",'QA Log'!L:L,"*Medicine (section 2)*"),
COUNTIFS('QA Log'!D:D,A264,'QA Log'!M:M,"Data Verification",'QA Log'!L:L,"*Lab Testing Availability*"),
COUNTIFS('QA Log'!D:D,A264,'QA Log'!M:M,"Data Verification",'QA Log'!L:L,"*Other than P4P (section 6)*"),
COUNTIFS('QA Log'!D:D,A264,'QA Log'!M:M,"Data Verification",'QA Log'!L:L,"*Hospital Governance*")
))</f>
        <v/>
      </c>
      <c r="AF264" s="102" t="str">
        <f>IF(A264="","",
SUM(
COUNTIFS('QA Log'!D:D,A264,'QA Log'!M:M,"Data Verification",'QA Log'!Z:Z,"Approved",'QA Log'!L:L,"*Medicine (section 2)*"),
COUNTIFS('QA Log'!D:D,A264,'QA Log'!M:M,"Data Verification",'QA Log'!Z:Z,"Approved",'QA Log'!L:L,"*Lab Testing Availability*"),
COUNTIFS('QA Log'!D:D,A264,'QA Log'!M:M,"Data Verification",'QA Log'!Z:Z,"Approved",'QA Log'!L:L,"*Other than P4P (section 6)*"),
COUNTIFS('QA Log'!D:D,A264,'QA Log'!M:M,"Data Verification",'QA Log'!Z:Z,"Approved",'QA Log'!L:L,"*Hospital Governance*")
))</f>
        <v/>
      </c>
      <c r="AG264" s="105" t="str">
        <f>IF(A264&lt;&gt;"",COUNTIFS('QA Log'!D:D,A264,'QA Log'!M:M,"Data Verification",'QA Log'!L:L,"Medicine (section 2)",'QA Log'!Z:Z,"Approved"),"")</f>
        <v/>
      </c>
      <c r="AH264" s="105" t="str">
        <f>IF(A264&lt;&gt;"",COUNTIFS('QA Log'!D:D,A264,'QA Log'!M:M,"Data Verification",'QA Log'!L:L,"Lab Testing Availability",'QA Log'!Z:Z,"Approved"),"")</f>
        <v/>
      </c>
      <c r="AI264" s="105" t="str">
        <f>IF(A264&lt;&gt;"",COUNTIFS('QA Log'!D:D,A264,'QA Log'!M:M,"Data Verification",'QA Log'!L:L,"Other than P4P (section 6)",'QA Log'!Z:Z,"Approved"),"")</f>
        <v/>
      </c>
      <c r="AJ264" s="105" t="str">
        <f>IF(A264&lt;&gt;"",COUNTIFS('QA Log'!D:D,A264,'QA Log'!M:M,"Data Verification",'QA Log'!L:L,"Hospital Governance",'QA Log'!Z:Z,"Approved"),"")</f>
        <v/>
      </c>
      <c r="AK264" s="102" t="str">
        <f>IF(A264="","",
SUM(
COUNTIFS('QA Log'!D:D,A264,'QA Log'!M:M,"Data Verification",'QA Log'!Z:Z,"Rejected",'QA Log'!L:L,"*Medicine (section 2)*"),
COUNTIFS('QA Log'!D:D,A264,'QA Log'!M:M,"Data Verification",'QA Log'!Z:Z,"Rejected",'QA Log'!L:L,"*Lab Testing Availability*"),
COUNTIFS('QA Log'!D:D,A264,'QA Log'!M:M,"Data Verification",'QA Log'!Z:Z,"Rejected",'QA Log'!L:L,"*Other than P4P (section 6)*"),
COUNTIFS('QA Log'!D:D,A264,'QA Log'!M:M,"Data Verification",'QA Log'!Z:Z,"Rejected",'QA Log'!L:L,"*Hospital Governance*")
))</f>
        <v/>
      </c>
      <c r="AL264" s="106" t="str">
        <f t="shared" si="31"/>
        <v/>
      </c>
      <c r="AM264" s="102" t="str">
        <f t="shared" si="32"/>
        <v/>
      </c>
      <c r="AN264" s="102" t="str">
        <f>IF(A264="","",
SUM(
COUNTIFS('QA Log'!D:D,A264,'QA Log'!M:M,"Data Verification",'QA Log'!L:L,"*Personnel (section 1)*"),
COUNTIFS('QA Log'!D:D,A264,'QA Log'!M:M,"Data Verification",'QA Log'!L:L,"*Consumable (section 3)*"),
COUNTIFS('QA Log'!D:D,A264,'QA Log'!M:M,"Data Verification",'QA Log'!L:L,"*Equipments (section 4)*")
))</f>
        <v/>
      </c>
      <c r="AO264" s="102" t="str">
        <f>IF(A264="","",
SUM(
COUNTIFS('QA Log'!D:D,A264,'QA Log'!M:M,"Data Verification",'QA Log'!Z:Z,"Approved",'QA Log'!L:L,"*Personnel (section 1)*"),
COUNTIFS('QA Log'!D:D,A264,'QA Log'!M:M,"Data Verification",'QA Log'!Z:Z,"Approved",'QA Log'!L:L,"*Consumable (section 3)*"),
COUNTIFS('QA Log'!D:D,A264,'QA Log'!M:M,"Data Verification",'QA Log'!Z:Z,"Approved",'QA Log'!L:L,"*Equipments (section 4)*")
))</f>
        <v/>
      </c>
      <c r="AP264" s="105" t="str">
        <f>IF(A264&lt;&gt;"",COUNTIFS('QA Log'!D:D,A264,'QA Log'!M:M,"Data Verification",'QA Log'!L:L,"Personnel (section 1)",'QA Log'!Z:Z,"Approved"),"")</f>
        <v/>
      </c>
      <c r="AQ264" s="105" t="str">
        <f>IF(A264&lt;&gt;"",COUNTIFS('QA Log'!D:D,A264,'QA Log'!M:M,"Data Verification",'QA Log'!L:L,"Consumable (section 3)",'QA Log'!Z:Z,"Approved"),"")</f>
        <v/>
      </c>
      <c r="AR264" s="105" t="str">
        <f>IF(A264&lt;&gt;"",COUNTIFS('QA Log'!D:D,A264,'QA Log'!M:M,"Data Verification",'QA Log'!L:L,"Equipments (section 4)",'QA Log'!Z:Z,"Approved"),"")</f>
        <v/>
      </c>
      <c r="AS264" s="102" t="str">
        <f>IF(A264="","",
SUM(
COUNTIFS('QA Log'!D:D,A264,'QA Log'!M:M,"Data Verification",'QA Log'!Z:Z,"Rejected",'QA Log'!L:L,"*Personnel (section 1)*"),
COUNTIFS('QA Log'!D:D,A264,'QA Log'!M:M,"Data Verification",'QA Log'!Z:Z,"Rejected",'QA Log'!L:L,"*Consumable (section 3)*"),
COUNTIFS('QA Log'!D:D,A264,'QA Log'!M:M,"Data Verification",'QA Log'!Z:Z,"Rejected",'QA Log'!L:L,"*Equipments (section 4)*")
))</f>
        <v/>
      </c>
      <c r="AT264" s="102" t="str">
        <f t="shared" si="33"/>
        <v/>
      </c>
      <c r="AU264" s="103" t="str">
        <f t="shared" si="34"/>
        <v/>
      </c>
      <c r="AV264" s="102" t="str">
        <f>IF(A264="","",SUM(
COUNTIFS('QA Log'!D:D,A264,'QA Log'!M:M,"Vignette",'QA Log'!L:L,"*Vignette [1] Respiratory Infection: Pneumonia*"),
COUNTIFS('QA Log'!D:D,A264,'QA Log'!M:M,"Vignette",'QA Log'!L:L,"*Vignette [2]: Diarrhea with Cat B dehydration*"),
COUNTIFS('QA Log'!D:D,A264,'QA Log'!M:M,"Vignette",'QA Log'!L:L,"*Vignette [3] Growth Monitoring and Promotion*"),
COUNTIFS('QA Log'!D:D,A264,'QA Log'!M:M,"Vignette",'QA Log'!L:L,"*Vignette [4]: The management of presumptive TB patient*")
)
)</f>
        <v/>
      </c>
      <c r="AW264" s="102" t="str">
        <f>IF(
  A264="","",
  SUM(
    COUNTIFS('QA Log'!D:D,A264,'QA Log'!M:M,"Vignette",'QA Log'!Z:Z,"Approved",'QA Log'!L:L,"*Vignette [1] Respiratory Infection: Pneumonia*"),
    COUNTIFS('QA Log'!D:D,A264,'QA Log'!M:M,"Vignette",'QA Log'!Z:Z,"Approved",'QA Log'!L:L,"*Vignette [2]: Diarrhea with Cat B dehydration*"),
    COUNTIFS('QA Log'!D:D,A264,'QA Log'!M:M,"Vignette",'QA Log'!Z:Z,"Approved",'QA Log'!L:L,"*Vignette [3] Growth Monitoring and Promotion*"),
    COUNTIFS('QA Log'!D:D,A264,'QA Log'!M:M,"Vignette",'QA Log'!Z:Z,"Approved",'QA Log'!L:L,"*Vignette [4]: The management of presumptive TB patient*")
  )
)</f>
        <v/>
      </c>
      <c r="AX264" s="105" t="str">
        <f>IF(A264&lt;&gt;"",COUNTIFS('QA Log'!D:D,A264,'QA Log'!M:M,"Vignette",'QA Log'!L:L,"Vignette [1] Respiratory Infection: Pneumonia",'QA Log'!Z:Z,"Approved"),"")</f>
        <v/>
      </c>
      <c r="AY264" s="105" t="str">
        <f>IF(A264&lt;&gt;"",COUNTIFS('QA Log'!D:D,A264,'QA Log'!M:M,"Vignette",'QA Log'!L:L,"Vignette [2]: Diarrhea with Cat B dehydration",'QA Log'!Z:Z,"Approved"),"")</f>
        <v/>
      </c>
      <c r="AZ264" s="105" t="str">
        <f>IF(A264&lt;&gt;"",COUNTIFS('QA Log'!D:D,A264,'QA Log'!M:M,"Vignette",'QA Log'!L:L,"Vignette [3] Growth Monitoring and Promotion",'QA Log'!Z:Z,"Approved"),"")</f>
        <v/>
      </c>
      <c r="BA264" s="105" t="str">
        <f>IF(A264&lt;&gt;"",COUNTIFS('QA Log'!D:D,A264,'QA Log'!M:M,"Vignette",'QA Log'!L:L,"Vignette [4]: The management of presumptive TB patient",'QA Log'!Z:Z,"Approved"),"")</f>
        <v/>
      </c>
      <c r="BB264" s="102" t="str">
        <f>IF(A264="","",
  SUM(
    COUNTIFS('QA Log'!D:D,A264,'QA Log'!M:M,"Vignette",'QA Log'!Z:Z,"Rejected",'QA Log'!L:L,"*Vignette [1] Respiratory Infection: Pneumonia*"),
    COUNTIFS('QA Log'!D:D,A264,'QA Log'!M:M,"Vignette",'QA Log'!Z:Z,"Rejected",'QA Log'!L:L,"*Vignette [2]: Diarrhea with Cat B dehydration*"),
    COUNTIFS('QA Log'!D:D,A264,'QA Log'!M:M,"Vignette",'QA Log'!Z:Z,"Rejected",'QA Log'!L:L,"*Vignette [3] Growth Monitoring and Promotion*"),
    COUNTIFS('QA Log'!D:D,A264,'QA Log'!M:M,"Vignette",'QA Log'!Z:Z,"Rejected",'QA Log'!L:L,"*Vignette [4]: The management of presumptive TB patient*")
  )
)</f>
        <v/>
      </c>
      <c r="BC264" s="107" t="str">
        <f t="shared" si="35"/>
        <v/>
      </c>
      <c r="BD264" s="103" t="str">
        <f t="shared" si="36"/>
        <v/>
      </c>
      <c r="BE264" s="102" t="str">
        <f>IF(A264="","",SUM(
COUNTIFS('QA Log'!D:D,A264,'QA Log'!M:M,"Vignette",'QA Log'!L:L,"*Vignette [5] Labor*"),
COUNTIFS('QA Log'!D:D,A264,'QA Log'!M:M,"Vignette",'QA Log'!L:L,"*Vignette [6] PNC pre Discharge*"),
COUNTIFS('QA Log'!D:D,A264,'QA Log'!M:M,"Vignette",'QA Log'!L:L,"*Vignette [7] First ANC Visit*"),
COUNTIFS('QA Log'!D:D,A264,'QA Log'!M:M,"Vignette",'QA Log'!L:L,"*Vignette [8] Birth Spacing/ Family Planning :  FP Counselling*"),
COUNTIFS('QA Log'!D:D,A264,'QA Log'!M:M,"Vignette",'QA Log'!L:L,"*Vignette [9] Birth Spacing: Change FP method to Injectable*"),
COUNTIFS('QA Log'!D:D,A264,'QA Log'!M:M,"Vignette",'QA Log'!L:L,"*Vignette [10] Post Partum Haemorrhage - Atonic Uterus at Health Centre*"),
)
)</f>
        <v/>
      </c>
      <c r="BF264" s="102" t="str">
        <f>IF(A264="","",
  SUM(
    COUNTIFS('QA Log'!D:D,A264,'QA Log'!M:M,"Vignette",'QA Log'!Z:Z,"Approved",'QA Log'!L:L,"*Vignette [5] Labor*"),
    COUNTIFS('QA Log'!D:D,A264,'QA Log'!M:M,"Vignette",'QA Log'!Z:Z,"Approved",'QA Log'!L:L,"*Vignette [6] PNC pre Discharge*"),
    COUNTIFS('QA Log'!D:D,A264,'QA Log'!M:M,"Vignette",'QA Log'!Z:Z,"Approved",'QA Log'!L:L,"*Vignette [7] First ANC Visit*"),
    COUNTIFS('QA Log'!D:D,A264,'QA Log'!M:M,"Vignette",'QA Log'!Z:Z,"Approved",'QA Log'!L:L,"*Vignette [8] Birth Spacing/ Family Planning :  FP Counselling*"),
    COUNTIFS('QA Log'!D:D,A264,'QA Log'!M:M,"Vignette",'QA Log'!Z:Z,"Approved",'QA Log'!L:L,"*Vignette [9] Birth Spacing: Change FP method to Injectable*"),
    COUNTIFS('QA Log'!D:D,A264,'QA Log'!M:M,"Vignette",'QA Log'!Z:Z,"Approved",'QA Log'!L:L,"*Vignette [10] Post Partum Haemorrhage - Atonic Uterus at Health Centre*")
  )
)</f>
        <v/>
      </c>
      <c r="BG264" s="105" t="str">
        <f>IF(A264&lt;&gt;"",COUNTIFS('QA Log'!D:D,A264,'QA Log'!M:M,"Vignette",'QA Log'!L:L,"Vignette [5] Labor",'QA Log'!Z:Z,"Approved"),"")</f>
        <v/>
      </c>
      <c r="BH264" s="105" t="str">
        <f>IF(A264&lt;&gt;"",COUNTIFS('QA Log'!D:D,A264,'QA Log'!M:M,"Vignette",'QA Log'!L:L,"Vignette [6] PNC pre Discharge",'QA Log'!Z:Z,"Approved"),"")</f>
        <v/>
      </c>
      <c r="BI264" s="105" t="str">
        <f>IF(A264&lt;&gt;"",COUNTIFS('QA Log'!D:D,A264,'QA Log'!M:M,"Vignette",'QA Log'!L:L,"Vignette [7] First ANC Visit",'QA Log'!Z:Z,"Approved"),"")</f>
        <v/>
      </c>
      <c r="BJ264" s="105" t="str">
        <f>IF(A264&lt;&gt;"",COUNTIFS('QA Log'!D:D,A264,'QA Log'!M:M,"Vignette",'QA Log'!L:L,"Vignette [8] Birth Spacing/ Family Planning :  FP Counselling",'QA Log'!Z:Z,"Approved"),"")</f>
        <v/>
      </c>
      <c r="BK264" s="105" t="str">
        <f>IF(A264&lt;&gt;"",COUNTIFS('QA Log'!D:D,A264,'QA Log'!M:M,"Vignette",'QA Log'!L:L,"Vignette [9] Birth Spacing: Change FP method to Injectable",'QA Log'!Z:Z,"Approved"),"")</f>
        <v/>
      </c>
      <c r="BL264" s="105" t="str">
        <f>IF(A264&lt;&gt;"",COUNTIFS('QA Log'!D:D,A264,'QA Log'!M:M,"Vignette",'QA Log'!L:L,"Vignette [10] Post Partum Haemorrhage - Atonic Uterus at Health Centre",'QA Log'!Z:Z,"Approved"),"")</f>
        <v/>
      </c>
      <c r="BM264" s="102" t="str">
        <f>IF(A264="","",SUM(
    COUNTIFS('QA Log'!D:D,A264,'QA Log'!M:M,"Vignette",'QA Log'!Z:Z,"Rejected",'QA Log'!L:L,"*Vignette [5] Labor*"),
    COUNTIFS('QA Log'!D:D,A264,'QA Log'!M:M,"Vignette",'QA Log'!Z:Z,"Rejected",'QA Log'!L:L,"*Vignette [6] PNC pre Discharge*"),
    COUNTIFS('QA Log'!D:D,A264,'QA Log'!M:M,"Vignette",'QA Log'!Z:Z,"Rejected",'QA Log'!L:L,"*Vignette [7] First ANC Visit*"),
    COUNTIFS('QA Log'!D:D,A264,'QA Log'!M:M,"Vignette",'QA Log'!Z:Z,"Rejected",'QA Log'!L:L,"*Vignette [8] Birth Spacing/ Family Planning :  FP Counselling*"),
    COUNTIFS('QA Log'!D:D,A264,'QA Log'!M:M,"Vignette",'QA Log'!Z:Z,"Rejected",'QA Log'!L:L,"*Vignette [9] Birth Spacing: Change FP method to Injectable*"),
    COUNTIFS('QA Log'!D:D,A264,'QA Log'!M:M,"Vignette",'QA Log'!Z:Z,"Rejected",'QA Log'!L:L,"*Vignette [10] Post Partum Haemorrhage - Atonic Uterus at Health Centre*")
  )
)</f>
        <v/>
      </c>
      <c r="BN264" s="107" t="str">
        <f t="shared" si="37"/>
        <v/>
      </c>
      <c r="BO264" s="103" t="str">
        <f t="shared" si="38"/>
        <v/>
      </c>
      <c r="BP264" s="102" t="str">
        <f>IF(A264="","",SUM(
COUNTIFS('QA Log'!D:D,A264,'QA Log'!M:M,"Vignette",'QA Log'!L:L,"*Exit Interview 1*"),
COUNTIFS('QA Log'!D:D,A264,'QA Log'!M:M,"Vignette",'QA Log'!L:L,"*Exit Interview 2*"),
)
)</f>
        <v/>
      </c>
      <c r="BQ264" s="102" t="str">
        <f>IF(
  A264="","",
  SUM(
    COUNTIFS('QA Log'!D:D,A264,'QA Log'!M:M,"Vignette",'QA Log'!Z:Z,"Approved",'QA Log'!L:L,"*Exit Interview 1*"),
    COUNTIFS('QA Log'!D:D,A264,'QA Log'!M:M,"Vignette",'QA Log'!Z:Z,"Approved",'QA Log'!L:L,"*Exit Interview 2*")
  )
)</f>
        <v/>
      </c>
      <c r="BR264" s="105" t="str">
        <f>IF(A264&lt;&gt;"",COUNTIFS('QA Log'!D:D,A264,'QA Log'!M:M,"Vignette",'QA Log'!L:L,"Exit Interview 1",'QA Log'!Z:Z,"Approved"),"")</f>
        <v/>
      </c>
      <c r="BS264" s="105" t="str">
        <f>IF(A264&lt;&gt;"",COUNTIFS('QA Log'!D:D,A264,'QA Log'!M:M,"Vignette",'QA Log'!L:L,"Exit Interview 2",'QA Log'!Z:Z,"Approved"),"")</f>
        <v/>
      </c>
      <c r="BT264" s="102" t="str">
        <f>IF(
  A264="","",
  SUM(
    COUNTIFS('QA Log'!D:D,A264,'QA Log'!M:M,"Vignette",'QA Log'!Z:Z,"Rejected",'QA Log'!L:L,"*Exit Interview 1*"),
    COUNTIFS('QA Log'!D:D,A264,'QA Log'!M:M,"Vignette",'QA Log'!Z:Z,"Rejected",'QA Log'!L:L,"*Exit Interview 2*")
  )
)</f>
        <v/>
      </c>
      <c r="BU264" s="107" t="str">
        <f t="shared" si="39"/>
        <v/>
      </c>
      <c r="BV264" s="102" t="str">
        <f t="shared" si="40"/>
        <v/>
      </c>
      <c r="BW264" s="102" t="str">
        <f t="shared" si="41"/>
        <v/>
      </c>
      <c r="BX264" s="102" t="str">
        <f t="shared" si="42"/>
        <v/>
      </c>
      <c r="BY264" s="102" t="str">
        <f t="shared" si="43"/>
        <v/>
      </c>
      <c r="BZ264" s="107" t="str">
        <f t="shared" si="44"/>
        <v/>
      </c>
      <c r="CA264" s="108" t="str">
        <f t="shared" si="45"/>
        <v/>
      </c>
      <c r="CB264" s="108" t="str">
        <f t="shared" si="46"/>
        <v/>
      </c>
      <c r="CC264" s="109" t="str">
        <f t="shared" si="47"/>
        <v/>
      </c>
      <c r="CD264" s="108" t="str">
        <f t="shared" si="48"/>
        <v/>
      </c>
      <c r="CE264" s="108" t="str">
        <f t="shared" si="49"/>
        <v/>
      </c>
      <c r="CF264" s="109" t="str">
        <f t="shared" si="50"/>
        <v/>
      </c>
      <c r="CG264" s="110" t="str">
        <f t="shared" si="51"/>
        <v/>
      </c>
      <c r="CH264" s="111"/>
    </row>
    <row r="265" spans="1:86" ht="12.75">
      <c r="A265" s="101"/>
      <c r="B265" s="102" t="e">
        <f t="array" aca="1" ref="B265" ca="1">_xludf.XLOOKUP(A265,'QA Log'!D:D,'QA Log'!E:E,"")</f>
        <v>#NAME?</v>
      </c>
      <c r="C265" s="102" t="e">
        <f t="array" aca="1" ref="C265" ca="1">_xludf.XLOOKUP(A265,'QA Log'!D:D,'QA Log'!F:F,"")</f>
        <v>#NAME?</v>
      </c>
      <c r="D265" s="102" t="e">
        <f t="array" aca="1" ref="D265" ca="1">_xludf.XLOOKUP(A265,'QA Log'!D:D,'QA Log'!H:H,"")</f>
        <v>#NAME?</v>
      </c>
      <c r="E265" s="102" t="e">
        <f t="array" aca="1" ref="E265" ca="1">_xludf.XLOOKUP(A265,'QA Log'!D:D,'QA Log'!G:G,"")</f>
        <v>#NAME?</v>
      </c>
      <c r="F265" s="103"/>
      <c r="G265" s="104"/>
      <c r="H265" s="104"/>
      <c r="I265" s="103" t="str">
        <f t="shared" si="26"/>
        <v/>
      </c>
      <c r="J265" s="102" t="str">
        <f>IF(A265="","",SUM(
COUNTIFS('QA Log'!D:D,A265,'QA Log'!M:M,"QQC",'QA Log'!L:L,"*1. General Management*"),
COUNTIFS('QA Log'!D:D,A265,'QA Log'!M:M,"QQC",'QA Log'!L:L,"*3. Curative Consultation (OPD)*"),
COUNTIFS('QA Log'!D:D,A265,'QA Log'!M:M,"QQC",'QA Log'!L:L,"*5. Laboratory*"),
COUNTIFS('QA Log'!D:D,A265,'QA Log'!M:M,"QQC",'QA Log'!L:L,"*6. Essential Medicine Management*"),
COUNTIFS('QA Log'!D:D,A265,'QA Log'!M:M,"QQC",'QA Log'!L:L,"*7. Tracer Medicine*"),
COUNTIFS('QA Log'!D:D,A265,'QA Log'!M:M,"QQC",'QA Log'!L:L,"*11. Additional Questions*")))</f>
        <v/>
      </c>
      <c r="K265" s="102" t="str">
        <f>IF(A265="","",SUM(
COUNTIFS('QA Log'!D:D,A265,'QA Log'!M:M,"QQC",'QA Log'!Z:Z,"Approved",'QA Log'!L:L,"*1. General Management*"),
COUNTIFS('QA Log'!D:D,A265,'QA Log'!M:M,"QQC",'QA Log'!Z:Z,"Approved",'QA Log'!L:L,"*3. Curative Consultation (OPD)*"),
COUNTIFS('QA Log'!D:D,A265,'QA Log'!M:M,"QQC",'QA Log'!Z:Z,"Approved",'QA Log'!L:L,"*5. Laboratory*"),
COUNTIFS('QA Log'!D:D,A265,'QA Log'!M:M,"QQC",'QA Log'!Z:Z,"Approved",'QA Log'!L:L,"*6. Essential Medicine Management*"),
COUNTIFS('QA Log'!D:D,A265,'QA Log'!M:M,"QQC",'QA Log'!Z:Z,"Approved",'QA Log'!L:L,"*7. Tracer Medicine*"),
COUNTIFS('QA Log'!D:D,A265,'QA Log'!M:M,"QQC",'QA Log'!Z:Z,"Approved",'QA Log'!L:L,"*11. Additional Questions*")))</f>
        <v/>
      </c>
      <c r="L265" s="105" t="str">
        <f>IF(A265&lt;&gt;"",COUNTIFS('QA Log'!D:D,A265,'QA Log'!M:M,"QQC",'QA Log'!L:L,"1. General Management",'QA Log'!Z:Z,"Approved"),"")</f>
        <v/>
      </c>
      <c r="M265" s="105" t="str">
        <f>IF(A265&lt;&gt;"",COUNTIFS('QA Log'!D:D,A265,'QA Log'!M:M,"QQC",'QA Log'!L:L,"3. Curative Consultation (OPD)",'QA Log'!Z:Z,"Approved"),"")</f>
        <v/>
      </c>
      <c r="N265" s="105" t="str">
        <f>IF(A265&lt;&gt;"",COUNTIFS('QA Log'!D:D,A265,'QA Log'!M:M,"QQC",'QA Log'!L:L,"5. Laboratory",'QA Log'!Z:Z,"Approved"),"")</f>
        <v/>
      </c>
      <c r="O265" s="105" t="str">
        <f>IF(A265&lt;&gt;"",COUNTIFS('QA Log'!D:D,A265,'QA Log'!M:M,"QQC",'QA Log'!L:L,"6. Essential Medicine Management",'QA Log'!Z:Z,"Approved"),"")</f>
        <v/>
      </c>
      <c r="P265" s="105" t="str">
        <f>IF(A265&lt;&gt;"",COUNTIFS('QA Log'!D:D,A265,'QA Log'!M:M,"QQC",'QA Log'!L:L,"7. Tracer Medicine",'QA Log'!Z:Z,"Approved"),"")</f>
        <v/>
      </c>
      <c r="Q265" s="105" t="str">
        <f>IF(A265&lt;&gt;"",COUNTIFS('QA Log'!D:D,A265,'QA Log'!M:M,"QQC",'QA Log'!L:L,"11. Additional Questions",'QA Log'!Z:Z,"Approved"),"")</f>
        <v/>
      </c>
      <c r="R265" s="102" t="str">
        <f>IF(A265="","",SUM(
COUNTIFS('QA Log'!D:D,A265,'QA Log'!M:M,"QQC",'QA Log'!Z:Z,"Rejected",'QA Log'!L:L,"*8. Maternity*"),
COUNTIFS('QA Log'!D:D,A265,'QA Log'!M:M,"QQC",'QA Log'!Z:Z,"Rejected",'QA Log'!L:L,"*EPI*"),
COUNTIFS('QA Log'!D:D,A265,'QA Log'!M:M,"QQC",'QA Log'!Z:Z,"Rejected",'QA Log'!L:L,"*10. Antenatal Care (ANC)*"),
COUNTIFS('QA Log'!D:D,A265,'QA Log'!M:M,"QQC",'QA Log'!Z:Z,"Rejected",'QA Log'!L:L,"*2. Hygiene and Sterilization*"),
COUNTIFS('QA Log'!D:D,A265,'QA Log'!M:M,"QQC",'QA Log'!Z:Z,"Rejected",'QA Log'!L:L,"*Family Planning*")))</f>
        <v/>
      </c>
      <c r="S265" s="106" t="str">
        <f t="shared" si="27"/>
        <v/>
      </c>
      <c r="T265" s="102" t="str">
        <f t="shared" si="28"/>
        <v/>
      </c>
      <c r="U265" s="102" t="str">
        <f>IF(A265="","",
SUM(
COUNTIFS('QA Log'!D:D,A265,'QA Log'!M:M,"QQC",'QA Log'!L:L,"*8. Maternity*"),
COUNTIFS('QA Log'!D:D,A265,'QA Log'!M:M,"QQC",'QA Log'!L:L,"*9. EPI and Pre-school Consultation*"),
COUNTIFS('QA Log'!D:D,A265,'QA Log'!M:M,"QQC",'QA Log'!L:L,"*10. Antenatal Care (ANC)*"),
COUNTIFS('QA Log'!D:D,A265,'QA Log'!M:M,"QQC",'QA Log'!L:L,"*2. Hygiene and Sterilization*"),
COUNTIFS('QA Log'!D:D,A265,'QA Log'!M:M,"QQC",'QA Log'!L:L,"*4. Family Planning*")
))</f>
        <v/>
      </c>
      <c r="V265" s="102" t="str">
        <f>IF(A265="","",
SUM(
COUNTIFS('QA Log'!D:D,A265,'QA Log'!M:M,"QQC",'QA Log'!Z:Z,"Approved",'QA Log'!L:L,"*8. Maternity*"),
COUNTIFS('QA Log'!D:D,A265,'QA Log'!M:M,"QQC",'QA Log'!Z:Z,"Approved",'QA Log'!L:L,"*9. EPI and Pre-school Consultation*"),
COUNTIFS('QA Log'!D:D,A265,'QA Log'!M:M,"QQC",'QA Log'!Z:Z,"Approved",'QA Log'!L:L,"*10. Antenatal Care (ANC)*"),
COUNTIFS('QA Log'!D:D,A265,'QA Log'!M:M,"QQC",'QA Log'!Z:Z,"Approved",'QA Log'!L:L,"*2. Hygiene and Sterilization*"),
COUNTIFS('QA Log'!D:D,A265,'QA Log'!M:M,"QQC",'QA Log'!Z:Z,"Approved",'QA Log'!L:L,"*4. Family Planning*")
))</f>
        <v/>
      </c>
      <c r="W265" s="105" t="str">
        <f>IF(A265&lt;&gt;"",COUNTIFS('QA Log'!D:D,A265,'QA Log'!M:M,"QQC",'QA Log'!L:L,"8. Maternity",'QA Log'!Z:Z,"Approved"),"")</f>
        <v/>
      </c>
      <c r="X265" s="105" t="str">
        <f>IF(A265&lt;&gt;"",COUNTIFS('QA Log'!D:D,A265,'QA Log'!M:M,"QQC",'QA Log'!L:L,"9. EPI and Pre-school Consultation",'QA Log'!Z:Z,"Approved"),"")</f>
        <v/>
      </c>
      <c r="Y265" s="105" t="str">
        <f>IF(A265&lt;&gt;"",COUNTIFS('QA Log'!D:D,A265,'QA Log'!M:M,"QQC",'QA Log'!L:L,"10. Antenatal Care (ANC)",'QA Log'!Z:Z,"Approved"),"")</f>
        <v/>
      </c>
      <c r="Z265" s="105" t="str">
        <f>IF(A265&lt;&gt;"",COUNTIFS('QA Log'!D:D,A265,'QA Log'!M:M,"QQC",'QA Log'!L:L,"2. Hygiene and Sterilization",'QA Log'!Z:Z,"Approved"),"")</f>
        <v/>
      </c>
      <c r="AA265" s="105" t="str">
        <f>IF(A265&lt;&gt;"",COUNTIFS('QA Log'!D:D,A265,'QA Log'!M:M,"QQC",'QA Log'!L:L,"4. Family Planning",'QA Log'!Z:Z,"Approved"),"")</f>
        <v/>
      </c>
      <c r="AB265" s="102" t="str">
        <f>IF(A265="","",
SUM(
COUNTIFS('QA Log'!D:D,A265,'QA Log'!M:M,"QQC",'QA Log'!Z:Z,"Rejected",'QA Log'!L:L,"*8. Maternity*"),
COUNTIFS('QA Log'!D:D,A265,'QA Log'!M:M,"QQC",'QA Log'!Z:Z,"Rejected",'QA Log'!L:L,"*9. EPI and Pre-school Consultation*"),
COUNTIFS('QA Log'!D:D,A265,'QA Log'!M:M,"QQC",'QA Log'!Z:Z,"Rejected",'QA Log'!L:L,"*10. Antenatal Care (ANC)*"),
COUNTIFS('QA Log'!D:D,A265,'QA Log'!M:M,"QQC",'QA Log'!Z:Z,"Rejected",'QA Log'!L:L,"*2. Hygiene and Sterilization*"),
COUNTIFS('QA Log'!D:D,A265,'QA Log'!M:M,"QQC",'QA Log'!Z:Z,"Rejected",'QA Log'!L:L,"*4. Family Planning*")
))</f>
        <v/>
      </c>
      <c r="AC265" s="102" t="str">
        <f t="shared" si="29"/>
        <v/>
      </c>
      <c r="AD265" s="103" t="str">
        <f t="shared" si="30"/>
        <v/>
      </c>
      <c r="AE265" s="102" t="str">
        <f>IF(A265="","",
SUM(
COUNTIFS('QA Log'!D:D,A265,'QA Log'!M:M,"Data Verification",'QA Log'!L:L,"*Medicine (section 2)*"),
COUNTIFS('QA Log'!D:D,A265,'QA Log'!M:M,"Data Verification",'QA Log'!L:L,"*Lab Testing Availability*"),
COUNTIFS('QA Log'!D:D,A265,'QA Log'!M:M,"Data Verification",'QA Log'!L:L,"*Other than P4P (section 6)*"),
COUNTIFS('QA Log'!D:D,A265,'QA Log'!M:M,"Data Verification",'QA Log'!L:L,"*Hospital Governance*")
))</f>
        <v/>
      </c>
      <c r="AF265" s="102" t="str">
        <f>IF(A265="","",
SUM(
COUNTIFS('QA Log'!D:D,A265,'QA Log'!M:M,"Data Verification",'QA Log'!Z:Z,"Approved",'QA Log'!L:L,"*Medicine (section 2)*"),
COUNTIFS('QA Log'!D:D,A265,'QA Log'!M:M,"Data Verification",'QA Log'!Z:Z,"Approved",'QA Log'!L:L,"*Lab Testing Availability*"),
COUNTIFS('QA Log'!D:D,A265,'QA Log'!M:M,"Data Verification",'QA Log'!Z:Z,"Approved",'QA Log'!L:L,"*Other than P4P (section 6)*"),
COUNTIFS('QA Log'!D:D,A265,'QA Log'!M:M,"Data Verification",'QA Log'!Z:Z,"Approved",'QA Log'!L:L,"*Hospital Governance*")
))</f>
        <v/>
      </c>
      <c r="AG265" s="105" t="str">
        <f>IF(A265&lt;&gt;"",COUNTIFS('QA Log'!D:D,A265,'QA Log'!M:M,"Data Verification",'QA Log'!L:L,"Medicine (section 2)",'QA Log'!Z:Z,"Approved"),"")</f>
        <v/>
      </c>
      <c r="AH265" s="105" t="str">
        <f>IF(A265&lt;&gt;"",COUNTIFS('QA Log'!D:D,A265,'QA Log'!M:M,"Data Verification",'QA Log'!L:L,"Lab Testing Availability",'QA Log'!Z:Z,"Approved"),"")</f>
        <v/>
      </c>
      <c r="AI265" s="105" t="str">
        <f>IF(A265&lt;&gt;"",COUNTIFS('QA Log'!D:D,A265,'QA Log'!M:M,"Data Verification",'QA Log'!L:L,"Other than P4P (section 6)",'QA Log'!Z:Z,"Approved"),"")</f>
        <v/>
      </c>
      <c r="AJ265" s="105" t="str">
        <f>IF(A265&lt;&gt;"",COUNTIFS('QA Log'!D:D,A265,'QA Log'!M:M,"Data Verification",'QA Log'!L:L,"Hospital Governance",'QA Log'!Z:Z,"Approved"),"")</f>
        <v/>
      </c>
      <c r="AK265" s="102" t="str">
        <f>IF(A265="","",
SUM(
COUNTIFS('QA Log'!D:D,A265,'QA Log'!M:M,"Data Verification",'QA Log'!Z:Z,"Rejected",'QA Log'!L:L,"*Medicine (section 2)*"),
COUNTIFS('QA Log'!D:D,A265,'QA Log'!M:M,"Data Verification",'QA Log'!Z:Z,"Rejected",'QA Log'!L:L,"*Lab Testing Availability*"),
COUNTIFS('QA Log'!D:D,A265,'QA Log'!M:M,"Data Verification",'QA Log'!Z:Z,"Rejected",'QA Log'!L:L,"*Other than P4P (section 6)*"),
COUNTIFS('QA Log'!D:D,A265,'QA Log'!M:M,"Data Verification",'QA Log'!Z:Z,"Rejected",'QA Log'!L:L,"*Hospital Governance*")
))</f>
        <v/>
      </c>
      <c r="AL265" s="106" t="str">
        <f t="shared" si="31"/>
        <v/>
      </c>
      <c r="AM265" s="102" t="str">
        <f t="shared" si="32"/>
        <v/>
      </c>
      <c r="AN265" s="102" t="str">
        <f>IF(A265="","",
SUM(
COUNTIFS('QA Log'!D:D,A265,'QA Log'!M:M,"Data Verification",'QA Log'!L:L,"*Personnel (section 1)*"),
COUNTIFS('QA Log'!D:D,A265,'QA Log'!M:M,"Data Verification",'QA Log'!L:L,"*Consumable (section 3)*"),
COUNTIFS('QA Log'!D:D,A265,'QA Log'!M:M,"Data Verification",'QA Log'!L:L,"*Equipments (section 4)*")
))</f>
        <v/>
      </c>
      <c r="AO265" s="102" t="str">
        <f>IF(A265="","",
SUM(
COUNTIFS('QA Log'!D:D,A265,'QA Log'!M:M,"Data Verification",'QA Log'!Z:Z,"Approved",'QA Log'!L:L,"*Personnel (section 1)*"),
COUNTIFS('QA Log'!D:D,A265,'QA Log'!M:M,"Data Verification",'QA Log'!Z:Z,"Approved",'QA Log'!L:L,"*Consumable (section 3)*"),
COUNTIFS('QA Log'!D:D,A265,'QA Log'!M:M,"Data Verification",'QA Log'!Z:Z,"Approved",'QA Log'!L:L,"*Equipments (section 4)*")
))</f>
        <v/>
      </c>
      <c r="AP265" s="105" t="str">
        <f>IF(A265&lt;&gt;"",COUNTIFS('QA Log'!D:D,A265,'QA Log'!M:M,"Data Verification",'QA Log'!L:L,"Personnel (section 1)",'QA Log'!Z:Z,"Approved"),"")</f>
        <v/>
      </c>
      <c r="AQ265" s="105" t="str">
        <f>IF(A265&lt;&gt;"",COUNTIFS('QA Log'!D:D,A265,'QA Log'!M:M,"Data Verification",'QA Log'!L:L,"Consumable (section 3)",'QA Log'!Z:Z,"Approved"),"")</f>
        <v/>
      </c>
      <c r="AR265" s="105" t="str">
        <f>IF(A265&lt;&gt;"",COUNTIFS('QA Log'!D:D,A265,'QA Log'!M:M,"Data Verification",'QA Log'!L:L,"Equipments (section 4)",'QA Log'!Z:Z,"Approved"),"")</f>
        <v/>
      </c>
      <c r="AS265" s="102" t="str">
        <f>IF(A265="","",
SUM(
COUNTIFS('QA Log'!D:D,A265,'QA Log'!M:M,"Data Verification",'QA Log'!Z:Z,"Rejected",'QA Log'!L:L,"*Personnel (section 1)*"),
COUNTIFS('QA Log'!D:D,A265,'QA Log'!M:M,"Data Verification",'QA Log'!Z:Z,"Rejected",'QA Log'!L:L,"*Consumable (section 3)*"),
COUNTIFS('QA Log'!D:D,A265,'QA Log'!M:M,"Data Verification",'QA Log'!Z:Z,"Rejected",'QA Log'!L:L,"*Equipments (section 4)*")
))</f>
        <v/>
      </c>
      <c r="AT265" s="102" t="str">
        <f t="shared" si="33"/>
        <v/>
      </c>
      <c r="AU265" s="103" t="str">
        <f t="shared" si="34"/>
        <v/>
      </c>
      <c r="AV265" s="102" t="str">
        <f>IF(A265="","",SUM(
COUNTIFS('QA Log'!D:D,A265,'QA Log'!M:M,"Vignette",'QA Log'!L:L,"*Vignette [1] Respiratory Infection: Pneumonia*"),
COUNTIFS('QA Log'!D:D,A265,'QA Log'!M:M,"Vignette",'QA Log'!L:L,"*Vignette [2]: Diarrhea with Cat B dehydration*"),
COUNTIFS('QA Log'!D:D,A265,'QA Log'!M:M,"Vignette",'QA Log'!L:L,"*Vignette [3] Growth Monitoring and Promotion*"),
COUNTIFS('QA Log'!D:D,A265,'QA Log'!M:M,"Vignette",'QA Log'!L:L,"*Vignette [4]: The management of presumptive TB patient*")
)
)</f>
        <v/>
      </c>
      <c r="AW265" s="102" t="str">
        <f>IF(
  A265="","",
  SUM(
    COUNTIFS('QA Log'!D:D,A265,'QA Log'!M:M,"Vignette",'QA Log'!Z:Z,"Approved",'QA Log'!L:L,"*Vignette [1] Respiratory Infection: Pneumonia*"),
    COUNTIFS('QA Log'!D:D,A265,'QA Log'!M:M,"Vignette",'QA Log'!Z:Z,"Approved",'QA Log'!L:L,"*Vignette [2]: Diarrhea with Cat B dehydration*"),
    COUNTIFS('QA Log'!D:D,A265,'QA Log'!M:M,"Vignette",'QA Log'!Z:Z,"Approved",'QA Log'!L:L,"*Vignette [3] Growth Monitoring and Promotion*"),
    COUNTIFS('QA Log'!D:D,A265,'QA Log'!M:M,"Vignette",'QA Log'!Z:Z,"Approved",'QA Log'!L:L,"*Vignette [4]: The management of presumptive TB patient*")
  )
)</f>
        <v/>
      </c>
      <c r="AX265" s="105" t="str">
        <f>IF(A265&lt;&gt;"",COUNTIFS('QA Log'!D:D,A265,'QA Log'!M:M,"Vignette",'QA Log'!L:L,"Vignette [1] Respiratory Infection: Pneumonia",'QA Log'!Z:Z,"Approved"),"")</f>
        <v/>
      </c>
      <c r="AY265" s="105" t="str">
        <f>IF(A265&lt;&gt;"",COUNTIFS('QA Log'!D:D,A265,'QA Log'!M:M,"Vignette",'QA Log'!L:L,"Vignette [2]: Diarrhea with Cat B dehydration",'QA Log'!Z:Z,"Approved"),"")</f>
        <v/>
      </c>
      <c r="AZ265" s="105" t="str">
        <f>IF(A265&lt;&gt;"",COUNTIFS('QA Log'!D:D,A265,'QA Log'!M:M,"Vignette",'QA Log'!L:L,"Vignette [3] Growth Monitoring and Promotion",'QA Log'!Z:Z,"Approved"),"")</f>
        <v/>
      </c>
      <c r="BA265" s="105" t="str">
        <f>IF(A265&lt;&gt;"",COUNTIFS('QA Log'!D:D,A265,'QA Log'!M:M,"Vignette",'QA Log'!L:L,"Vignette [4]: The management of presumptive TB patient",'QA Log'!Z:Z,"Approved"),"")</f>
        <v/>
      </c>
      <c r="BB265" s="102" t="str">
        <f>IF(A265="","",
  SUM(
    COUNTIFS('QA Log'!D:D,A265,'QA Log'!M:M,"Vignette",'QA Log'!Z:Z,"Rejected",'QA Log'!L:L,"*Vignette [1] Respiratory Infection: Pneumonia*"),
    COUNTIFS('QA Log'!D:D,A265,'QA Log'!M:M,"Vignette",'QA Log'!Z:Z,"Rejected",'QA Log'!L:L,"*Vignette [2]: Diarrhea with Cat B dehydration*"),
    COUNTIFS('QA Log'!D:D,A265,'QA Log'!M:M,"Vignette",'QA Log'!Z:Z,"Rejected",'QA Log'!L:L,"*Vignette [3] Growth Monitoring and Promotion*"),
    COUNTIFS('QA Log'!D:D,A265,'QA Log'!M:M,"Vignette",'QA Log'!Z:Z,"Rejected",'QA Log'!L:L,"*Vignette [4]: The management of presumptive TB patient*")
  )
)</f>
        <v/>
      </c>
      <c r="BC265" s="107" t="str">
        <f t="shared" si="35"/>
        <v/>
      </c>
      <c r="BD265" s="103" t="str">
        <f t="shared" si="36"/>
        <v/>
      </c>
      <c r="BE265" s="102" t="str">
        <f>IF(A265="","",SUM(
COUNTIFS('QA Log'!D:D,A265,'QA Log'!M:M,"Vignette",'QA Log'!L:L,"*Vignette [5] Labor*"),
COUNTIFS('QA Log'!D:D,A265,'QA Log'!M:M,"Vignette",'QA Log'!L:L,"*Vignette [6] PNC pre Discharge*"),
COUNTIFS('QA Log'!D:D,A265,'QA Log'!M:M,"Vignette",'QA Log'!L:L,"*Vignette [7] First ANC Visit*"),
COUNTIFS('QA Log'!D:D,A265,'QA Log'!M:M,"Vignette",'QA Log'!L:L,"*Vignette [8] Birth Spacing/ Family Planning :  FP Counselling*"),
COUNTIFS('QA Log'!D:D,A265,'QA Log'!M:M,"Vignette",'QA Log'!L:L,"*Vignette [9] Birth Spacing: Change FP method to Injectable*"),
COUNTIFS('QA Log'!D:D,A265,'QA Log'!M:M,"Vignette",'QA Log'!L:L,"*Vignette [10] Post Partum Haemorrhage - Atonic Uterus at Health Centre*"),
)
)</f>
        <v/>
      </c>
      <c r="BF265" s="102" t="str">
        <f>IF(A265="","",
  SUM(
    COUNTIFS('QA Log'!D:D,A265,'QA Log'!M:M,"Vignette",'QA Log'!Z:Z,"Approved",'QA Log'!L:L,"*Vignette [5] Labor*"),
    COUNTIFS('QA Log'!D:D,A265,'QA Log'!M:M,"Vignette",'QA Log'!Z:Z,"Approved",'QA Log'!L:L,"*Vignette [6] PNC pre Discharge*"),
    COUNTIFS('QA Log'!D:D,A265,'QA Log'!M:M,"Vignette",'QA Log'!Z:Z,"Approved",'QA Log'!L:L,"*Vignette [7] First ANC Visit*"),
    COUNTIFS('QA Log'!D:D,A265,'QA Log'!M:M,"Vignette",'QA Log'!Z:Z,"Approved",'QA Log'!L:L,"*Vignette [8] Birth Spacing/ Family Planning :  FP Counselling*"),
    COUNTIFS('QA Log'!D:D,A265,'QA Log'!M:M,"Vignette",'QA Log'!Z:Z,"Approved",'QA Log'!L:L,"*Vignette [9] Birth Spacing: Change FP method to Injectable*"),
    COUNTIFS('QA Log'!D:D,A265,'QA Log'!M:M,"Vignette",'QA Log'!Z:Z,"Approved",'QA Log'!L:L,"*Vignette [10] Post Partum Haemorrhage - Atonic Uterus at Health Centre*")
  )
)</f>
        <v/>
      </c>
      <c r="BG265" s="105" t="str">
        <f>IF(A265&lt;&gt;"",COUNTIFS('QA Log'!D:D,A265,'QA Log'!M:M,"Vignette",'QA Log'!L:L,"Vignette [5] Labor",'QA Log'!Z:Z,"Approved"),"")</f>
        <v/>
      </c>
      <c r="BH265" s="105" t="str">
        <f>IF(A265&lt;&gt;"",COUNTIFS('QA Log'!D:D,A265,'QA Log'!M:M,"Vignette",'QA Log'!L:L,"Vignette [6] PNC pre Discharge",'QA Log'!Z:Z,"Approved"),"")</f>
        <v/>
      </c>
      <c r="BI265" s="105" t="str">
        <f>IF(A265&lt;&gt;"",COUNTIFS('QA Log'!D:D,A265,'QA Log'!M:M,"Vignette",'QA Log'!L:L,"Vignette [7] First ANC Visit",'QA Log'!Z:Z,"Approved"),"")</f>
        <v/>
      </c>
      <c r="BJ265" s="105" t="str">
        <f>IF(A265&lt;&gt;"",COUNTIFS('QA Log'!D:D,A265,'QA Log'!M:M,"Vignette",'QA Log'!L:L,"Vignette [8] Birth Spacing/ Family Planning :  FP Counselling",'QA Log'!Z:Z,"Approved"),"")</f>
        <v/>
      </c>
      <c r="BK265" s="105" t="str">
        <f>IF(A265&lt;&gt;"",COUNTIFS('QA Log'!D:D,A265,'QA Log'!M:M,"Vignette",'QA Log'!L:L,"Vignette [9] Birth Spacing: Change FP method to Injectable",'QA Log'!Z:Z,"Approved"),"")</f>
        <v/>
      </c>
      <c r="BL265" s="105" t="str">
        <f>IF(A265&lt;&gt;"",COUNTIFS('QA Log'!D:D,A265,'QA Log'!M:M,"Vignette",'QA Log'!L:L,"Vignette [10] Post Partum Haemorrhage - Atonic Uterus at Health Centre",'QA Log'!Z:Z,"Approved"),"")</f>
        <v/>
      </c>
      <c r="BM265" s="102" t="str">
        <f>IF(A265="","",SUM(
    COUNTIFS('QA Log'!D:D,A265,'QA Log'!M:M,"Vignette",'QA Log'!Z:Z,"Rejected",'QA Log'!L:L,"*Vignette [5] Labor*"),
    COUNTIFS('QA Log'!D:D,A265,'QA Log'!M:M,"Vignette",'QA Log'!Z:Z,"Rejected",'QA Log'!L:L,"*Vignette [6] PNC pre Discharge*"),
    COUNTIFS('QA Log'!D:D,A265,'QA Log'!M:M,"Vignette",'QA Log'!Z:Z,"Rejected",'QA Log'!L:L,"*Vignette [7] First ANC Visit*"),
    COUNTIFS('QA Log'!D:D,A265,'QA Log'!M:M,"Vignette",'QA Log'!Z:Z,"Rejected",'QA Log'!L:L,"*Vignette [8] Birth Spacing/ Family Planning :  FP Counselling*"),
    COUNTIFS('QA Log'!D:D,A265,'QA Log'!M:M,"Vignette",'QA Log'!Z:Z,"Rejected",'QA Log'!L:L,"*Vignette [9] Birth Spacing: Change FP method to Injectable*"),
    COUNTIFS('QA Log'!D:D,A265,'QA Log'!M:M,"Vignette",'QA Log'!Z:Z,"Rejected",'QA Log'!L:L,"*Vignette [10] Post Partum Haemorrhage - Atonic Uterus at Health Centre*")
  )
)</f>
        <v/>
      </c>
      <c r="BN265" s="107" t="str">
        <f t="shared" si="37"/>
        <v/>
      </c>
      <c r="BO265" s="103" t="str">
        <f t="shared" si="38"/>
        <v/>
      </c>
      <c r="BP265" s="102" t="str">
        <f>IF(A265="","",SUM(
COUNTIFS('QA Log'!D:D,A265,'QA Log'!M:M,"Vignette",'QA Log'!L:L,"*Exit Interview 1*"),
COUNTIFS('QA Log'!D:D,A265,'QA Log'!M:M,"Vignette",'QA Log'!L:L,"*Exit Interview 2*"),
)
)</f>
        <v/>
      </c>
      <c r="BQ265" s="102" t="str">
        <f>IF(
  A265="","",
  SUM(
    COUNTIFS('QA Log'!D:D,A265,'QA Log'!M:M,"Vignette",'QA Log'!Z:Z,"Approved",'QA Log'!L:L,"*Exit Interview 1*"),
    COUNTIFS('QA Log'!D:D,A265,'QA Log'!M:M,"Vignette",'QA Log'!Z:Z,"Approved",'QA Log'!L:L,"*Exit Interview 2*")
  )
)</f>
        <v/>
      </c>
      <c r="BR265" s="105" t="str">
        <f>IF(A265&lt;&gt;"",COUNTIFS('QA Log'!D:D,A265,'QA Log'!M:M,"Vignette",'QA Log'!L:L,"Exit Interview 1",'QA Log'!Z:Z,"Approved"),"")</f>
        <v/>
      </c>
      <c r="BS265" s="105" t="str">
        <f>IF(A265&lt;&gt;"",COUNTIFS('QA Log'!D:D,A265,'QA Log'!M:M,"Vignette",'QA Log'!L:L,"Exit Interview 2",'QA Log'!Z:Z,"Approved"),"")</f>
        <v/>
      </c>
      <c r="BT265" s="102" t="str">
        <f>IF(
  A265="","",
  SUM(
    COUNTIFS('QA Log'!D:D,A265,'QA Log'!M:M,"Vignette",'QA Log'!Z:Z,"Rejected",'QA Log'!L:L,"*Exit Interview 1*"),
    COUNTIFS('QA Log'!D:D,A265,'QA Log'!M:M,"Vignette",'QA Log'!Z:Z,"Rejected",'QA Log'!L:L,"*Exit Interview 2*")
  )
)</f>
        <v/>
      </c>
      <c r="BU265" s="107" t="str">
        <f t="shared" si="39"/>
        <v/>
      </c>
      <c r="BV265" s="102" t="str">
        <f t="shared" si="40"/>
        <v/>
      </c>
      <c r="BW265" s="102" t="str">
        <f t="shared" si="41"/>
        <v/>
      </c>
      <c r="BX265" s="102" t="str">
        <f t="shared" si="42"/>
        <v/>
      </c>
      <c r="BY265" s="102" t="str">
        <f t="shared" si="43"/>
        <v/>
      </c>
      <c r="BZ265" s="107" t="str">
        <f t="shared" si="44"/>
        <v/>
      </c>
      <c r="CA265" s="108" t="str">
        <f t="shared" si="45"/>
        <v/>
      </c>
      <c r="CB265" s="108" t="str">
        <f t="shared" si="46"/>
        <v/>
      </c>
      <c r="CC265" s="109" t="str">
        <f t="shared" si="47"/>
        <v/>
      </c>
      <c r="CD265" s="108" t="str">
        <f t="shared" si="48"/>
        <v/>
      </c>
      <c r="CE265" s="108" t="str">
        <f t="shared" si="49"/>
        <v/>
      </c>
      <c r="CF265" s="109" t="str">
        <f t="shared" si="50"/>
        <v/>
      </c>
      <c r="CG265" s="110" t="str">
        <f t="shared" si="51"/>
        <v/>
      </c>
      <c r="CH265" s="111"/>
    </row>
    <row r="266" spans="1:86" ht="12.75">
      <c r="A266" s="101"/>
      <c r="B266" s="102" t="e">
        <f t="array" aca="1" ref="B266" ca="1">_xludf.XLOOKUP(A266,'QA Log'!D:D,'QA Log'!E:E,"")</f>
        <v>#NAME?</v>
      </c>
      <c r="C266" s="102" t="e">
        <f t="array" aca="1" ref="C266" ca="1">_xludf.XLOOKUP(A266,'QA Log'!D:D,'QA Log'!F:F,"")</f>
        <v>#NAME?</v>
      </c>
      <c r="D266" s="102" t="e">
        <f t="array" aca="1" ref="D266" ca="1">_xludf.XLOOKUP(A266,'QA Log'!D:D,'QA Log'!H:H,"")</f>
        <v>#NAME?</v>
      </c>
      <c r="E266" s="102" t="e">
        <f t="array" aca="1" ref="E266" ca="1">_xludf.XLOOKUP(A266,'QA Log'!D:D,'QA Log'!G:G,"")</f>
        <v>#NAME?</v>
      </c>
      <c r="F266" s="103"/>
      <c r="G266" s="104"/>
      <c r="H266" s="104"/>
      <c r="I266" s="103" t="str">
        <f t="shared" si="26"/>
        <v/>
      </c>
      <c r="J266" s="102" t="str">
        <f>IF(A266="","",SUM(
COUNTIFS('QA Log'!D:D,A266,'QA Log'!M:M,"QQC",'QA Log'!L:L,"*1. General Management*"),
COUNTIFS('QA Log'!D:D,A266,'QA Log'!M:M,"QQC",'QA Log'!L:L,"*3. Curative Consultation (OPD)*"),
COUNTIFS('QA Log'!D:D,A266,'QA Log'!M:M,"QQC",'QA Log'!L:L,"*5. Laboratory*"),
COUNTIFS('QA Log'!D:D,A266,'QA Log'!M:M,"QQC",'QA Log'!L:L,"*6. Essential Medicine Management*"),
COUNTIFS('QA Log'!D:D,A266,'QA Log'!M:M,"QQC",'QA Log'!L:L,"*7. Tracer Medicine*"),
COUNTIFS('QA Log'!D:D,A266,'QA Log'!M:M,"QQC",'QA Log'!L:L,"*11. Additional Questions*")))</f>
        <v/>
      </c>
      <c r="K266" s="102" t="str">
        <f>IF(A266="","",SUM(
COUNTIFS('QA Log'!D:D,A266,'QA Log'!M:M,"QQC",'QA Log'!Z:Z,"Approved",'QA Log'!L:L,"*1. General Management*"),
COUNTIFS('QA Log'!D:D,A266,'QA Log'!M:M,"QQC",'QA Log'!Z:Z,"Approved",'QA Log'!L:L,"*3. Curative Consultation (OPD)*"),
COUNTIFS('QA Log'!D:D,A266,'QA Log'!M:M,"QQC",'QA Log'!Z:Z,"Approved",'QA Log'!L:L,"*5. Laboratory*"),
COUNTIFS('QA Log'!D:D,A266,'QA Log'!M:M,"QQC",'QA Log'!Z:Z,"Approved",'QA Log'!L:L,"*6. Essential Medicine Management*"),
COUNTIFS('QA Log'!D:D,A266,'QA Log'!M:M,"QQC",'QA Log'!Z:Z,"Approved",'QA Log'!L:L,"*7. Tracer Medicine*"),
COUNTIFS('QA Log'!D:D,A266,'QA Log'!M:M,"QQC",'QA Log'!Z:Z,"Approved",'QA Log'!L:L,"*11. Additional Questions*")))</f>
        <v/>
      </c>
      <c r="L266" s="105" t="str">
        <f>IF(A266&lt;&gt;"",COUNTIFS('QA Log'!D:D,A266,'QA Log'!M:M,"QQC",'QA Log'!L:L,"1. General Management",'QA Log'!Z:Z,"Approved"),"")</f>
        <v/>
      </c>
      <c r="M266" s="105" t="str">
        <f>IF(A266&lt;&gt;"",COUNTIFS('QA Log'!D:D,A266,'QA Log'!M:M,"QQC",'QA Log'!L:L,"3. Curative Consultation (OPD)",'QA Log'!Z:Z,"Approved"),"")</f>
        <v/>
      </c>
      <c r="N266" s="105" t="str">
        <f>IF(A266&lt;&gt;"",COUNTIFS('QA Log'!D:D,A266,'QA Log'!M:M,"QQC",'QA Log'!L:L,"5. Laboratory",'QA Log'!Z:Z,"Approved"),"")</f>
        <v/>
      </c>
      <c r="O266" s="105" t="str">
        <f>IF(A266&lt;&gt;"",COUNTIFS('QA Log'!D:D,A266,'QA Log'!M:M,"QQC",'QA Log'!L:L,"6. Essential Medicine Management",'QA Log'!Z:Z,"Approved"),"")</f>
        <v/>
      </c>
      <c r="P266" s="105" t="str">
        <f>IF(A266&lt;&gt;"",COUNTIFS('QA Log'!D:D,A266,'QA Log'!M:M,"QQC",'QA Log'!L:L,"7. Tracer Medicine",'QA Log'!Z:Z,"Approved"),"")</f>
        <v/>
      </c>
      <c r="Q266" s="105" t="str">
        <f>IF(A266&lt;&gt;"",COUNTIFS('QA Log'!D:D,A266,'QA Log'!M:M,"QQC",'QA Log'!L:L,"11. Additional Questions",'QA Log'!Z:Z,"Approved"),"")</f>
        <v/>
      </c>
      <c r="R266" s="102" t="str">
        <f>IF(A266="","",SUM(
COUNTIFS('QA Log'!D:D,A266,'QA Log'!M:M,"QQC",'QA Log'!Z:Z,"Rejected",'QA Log'!L:L,"*8. Maternity*"),
COUNTIFS('QA Log'!D:D,A266,'QA Log'!M:M,"QQC",'QA Log'!Z:Z,"Rejected",'QA Log'!L:L,"*EPI*"),
COUNTIFS('QA Log'!D:D,A266,'QA Log'!M:M,"QQC",'QA Log'!Z:Z,"Rejected",'QA Log'!L:L,"*10. Antenatal Care (ANC)*"),
COUNTIFS('QA Log'!D:D,A266,'QA Log'!M:M,"QQC",'QA Log'!Z:Z,"Rejected",'QA Log'!L:L,"*2. Hygiene and Sterilization*"),
COUNTIFS('QA Log'!D:D,A266,'QA Log'!M:M,"QQC",'QA Log'!Z:Z,"Rejected",'QA Log'!L:L,"*Family Planning*")))</f>
        <v/>
      </c>
      <c r="S266" s="106" t="str">
        <f t="shared" si="27"/>
        <v/>
      </c>
      <c r="T266" s="102" t="str">
        <f t="shared" si="28"/>
        <v/>
      </c>
      <c r="U266" s="102" t="str">
        <f>IF(A266="","",
SUM(
COUNTIFS('QA Log'!D:D,A266,'QA Log'!M:M,"QQC",'QA Log'!L:L,"*8. Maternity*"),
COUNTIFS('QA Log'!D:D,A266,'QA Log'!M:M,"QQC",'QA Log'!L:L,"*9. EPI and Pre-school Consultation*"),
COUNTIFS('QA Log'!D:D,A266,'QA Log'!M:M,"QQC",'QA Log'!L:L,"*10. Antenatal Care (ANC)*"),
COUNTIFS('QA Log'!D:D,A266,'QA Log'!M:M,"QQC",'QA Log'!L:L,"*2. Hygiene and Sterilization*"),
COUNTIFS('QA Log'!D:D,A266,'QA Log'!M:M,"QQC",'QA Log'!L:L,"*4. Family Planning*")
))</f>
        <v/>
      </c>
      <c r="V266" s="102" t="str">
        <f>IF(A266="","",
SUM(
COUNTIFS('QA Log'!D:D,A266,'QA Log'!M:M,"QQC",'QA Log'!Z:Z,"Approved",'QA Log'!L:L,"*8. Maternity*"),
COUNTIFS('QA Log'!D:D,A266,'QA Log'!M:M,"QQC",'QA Log'!Z:Z,"Approved",'QA Log'!L:L,"*9. EPI and Pre-school Consultation*"),
COUNTIFS('QA Log'!D:D,A266,'QA Log'!M:M,"QQC",'QA Log'!Z:Z,"Approved",'QA Log'!L:L,"*10. Antenatal Care (ANC)*"),
COUNTIFS('QA Log'!D:D,A266,'QA Log'!M:M,"QQC",'QA Log'!Z:Z,"Approved",'QA Log'!L:L,"*2. Hygiene and Sterilization*"),
COUNTIFS('QA Log'!D:D,A266,'QA Log'!M:M,"QQC",'QA Log'!Z:Z,"Approved",'QA Log'!L:L,"*4. Family Planning*")
))</f>
        <v/>
      </c>
      <c r="W266" s="105" t="str">
        <f>IF(A266&lt;&gt;"",COUNTIFS('QA Log'!D:D,A266,'QA Log'!M:M,"QQC",'QA Log'!L:L,"8. Maternity",'QA Log'!Z:Z,"Approved"),"")</f>
        <v/>
      </c>
      <c r="X266" s="105" t="str">
        <f>IF(A266&lt;&gt;"",COUNTIFS('QA Log'!D:D,A266,'QA Log'!M:M,"QQC",'QA Log'!L:L,"9. EPI and Pre-school Consultation",'QA Log'!Z:Z,"Approved"),"")</f>
        <v/>
      </c>
      <c r="Y266" s="105" t="str">
        <f>IF(A266&lt;&gt;"",COUNTIFS('QA Log'!D:D,A266,'QA Log'!M:M,"QQC",'QA Log'!L:L,"10. Antenatal Care (ANC)",'QA Log'!Z:Z,"Approved"),"")</f>
        <v/>
      </c>
      <c r="Z266" s="105" t="str">
        <f>IF(A266&lt;&gt;"",COUNTIFS('QA Log'!D:D,A266,'QA Log'!M:M,"QQC",'QA Log'!L:L,"2. Hygiene and Sterilization",'QA Log'!Z:Z,"Approved"),"")</f>
        <v/>
      </c>
      <c r="AA266" s="105" t="str">
        <f>IF(A266&lt;&gt;"",COUNTIFS('QA Log'!D:D,A266,'QA Log'!M:M,"QQC",'QA Log'!L:L,"4. Family Planning",'QA Log'!Z:Z,"Approved"),"")</f>
        <v/>
      </c>
      <c r="AB266" s="102" t="str">
        <f>IF(A266="","",
SUM(
COUNTIFS('QA Log'!D:D,A266,'QA Log'!M:M,"QQC",'QA Log'!Z:Z,"Rejected",'QA Log'!L:L,"*8. Maternity*"),
COUNTIFS('QA Log'!D:D,A266,'QA Log'!M:M,"QQC",'QA Log'!Z:Z,"Rejected",'QA Log'!L:L,"*9. EPI and Pre-school Consultation*"),
COUNTIFS('QA Log'!D:D,A266,'QA Log'!M:M,"QQC",'QA Log'!Z:Z,"Rejected",'QA Log'!L:L,"*10. Antenatal Care (ANC)*"),
COUNTIFS('QA Log'!D:D,A266,'QA Log'!M:M,"QQC",'QA Log'!Z:Z,"Rejected",'QA Log'!L:L,"*2. Hygiene and Sterilization*"),
COUNTIFS('QA Log'!D:D,A266,'QA Log'!M:M,"QQC",'QA Log'!Z:Z,"Rejected",'QA Log'!L:L,"*4. Family Planning*")
))</f>
        <v/>
      </c>
      <c r="AC266" s="102" t="str">
        <f t="shared" si="29"/>
        <v/>
      </c>
      <c r="AD266" s="103" t="str">
        <f t="shared" si="30"/>
        <v/>
      </c>
      <c r="AE266" s="102" t="str">
        <f>IF(A266="","",
SUM(
COUNTIFS('QA Log'!D:D,A266,'QA Log'!M:M,"Data Verification",'QA Log'!L:L,"*Medicine (section 2)*"),
COUNTIFS('QA Log'!D:D,A266,'QA Log'!M:M,"Data Verification",'QA Log'!L:L,"*Lab Testing Availability*"),
COUNTIFS('QA Log'!D:D,A266,'QA Log'!M:M,"Data Verification",'QA Log'!L:L,"*Other than P4P (section 6)*"),
COUNTIFS('QA Log'!D:D,A266,'QA Log'!M:M,"Data Verification",'QA Log'!L:L,"*Hospital Governance*")
))</f>
        <v/>
      </c>
      <c r="AF266" s="102" t="str">
        <f>IF(A266="","",
SUM(
COUNTIFS('QA Log'!D:D,A266,'QA Log'!M:M,"Data Verification",'QA Log'!Z:Z,"Approved",'QA Log'!L:L,"*Medicine (section 2)*"),
COUNTIFS('QA Log'!D:D,A266,'QA Log'!M:M,"Data Verification",'QA Log'!Z:Z,"Approved",'QA Log'!L:L,"*Lab Testing Availability*"),
COUNTIFS('QA Log'!D:D,A266,'QA Log'!M:M,"Data Verification",'QA Log'!Z:Z,"Approved",'QA Log'!L:L,"*Other than P4P (section 6)*"),
COUNTIFS('QA Log'!D:D,A266,'QA Log'!M:M,"Data Verification",'QA Log'!Z:Z,"Approved",'QA Log'!L:L,"*Hospital Governance*")
))</f>
        <v/>
      </c>
      <c r="AG266" s="105" t="str">
        <f>IF(A266&lt;&gt;"",COUNTIFS('QA Log'!D:D,A266,'QA Log'!M:M,"Data Verification",'QA Log'!L:L,"Medicine (section 2)",'QA Log'!Z:Z,"Approved"),"")</f>
        <v/>
      </c>
      <c r="AH266" s="105" t="str">
        <f>IF(A266&lt;&gt;"",COUNTIFS('QA Log'!D:D,A266,'QA Log'!M:M,"Data Verification",'QA Log'!L:L,"Lab Testing Availability",'QA Log'!Z:Z,"Approved"),"")</f>
        <v/>
      </c>
      <c r="AI266" s="105" t="str">
        <f>IF(A266&lt;&gt;"",COUNTIFS('QA Log'!D:D,A266,'QA Log'!M:M,"Data Verification",'QA Log'!L:L,"Other than P4P (section 6)",'QA Log'!Z:Z,"Approved"),"")</f>
        <v/>
      </c>
      <c r="AJ266" s="105" t="str">
        <f>IF(A266&lt;&gt;"",COUNTIFS('QA Log'!D:D,A266,'QA Log'!M:M,"Data Verification",'QA Log'!L:L,"Hospital Governance",'QA Log'!Z:Z,"Approved"),"")</f>
        <v/>
      </c>
      <c r="AK266" s="102" t="str">
        <f>IF(A266="","",
SUM(
COUNTIFS('QA Log'!D:D,A266,'QA Log'!M:M,"Data Verification",'QA Log'!Z:Z,"Rejected",'QA Log'!L:L,"*Medicine (section 2)*"),
COUNTIFS('QA Log'!D:D,A266,'QA Log'!M:M,"Data Verification",'QA Log'!Z:Z,"Rejected",'QA Log'!L:L,"*Lab Testing Availability*"),
COUNTIFS('QA Log'!D:D,A266,'QA Log'!M:M,"Data Verification",'QA Log'!Z:Z,"Rejected",'QA Log'!L:L,"*Other than P4P (section 6)*"),
COUNTIFS('QA Log'!D:D,A266,'QA Log'!M:M,"Data Verification",'QA Log'!Z:Z,"Rejected",'QA Log'!L:L,"*Hospital Governance*")
))</f>
        <v/>
      </c>
      <c r="AL266" s="106" t="str">
        <f t="shared" si="31"/>
        <v/>
      </c>
      <c r="AM266" s="102" t="str">
        <f t="shared" si="32"/>
        <v/>
      </c>
      <c r="AN266" s="102" t="str">
        <f>IF(A266="","",
SUM(
COUNTIFS('QA Log'!D:D,A266,'QA Log'!M:M,"Data Verification",'QA Log'!L:L,"*Personnel (section 1)*"),
COUNTIFS('QA Log'!D:D,A266,'QA Log'!M:M,"Data Verification",'QA Log'!L:L,"*Consumable (section 3)*"),
COUNTIFS('QA Log'!D:D,A266,'QA Log'!M:M,"Data Verification",'QA Log'!L:L,"*Equipments (section 4)*")
))</f>
        <v/>
      </c>
      <c r="AO266" s="102" t="str">
        <f>IF(A266="","",
SUM(
COUNTIFS('QA Log'!D:D,A266,'QA Log'!M:M,"Data Verification",'QA Log'!Z:Z,"Approved",'QA Log'!L:L,"*Personnel (section 1)*"),
COUNTIFS('QA Log'!D:D,A266,'QA Log'!M:M,"Data Verification",'QA Log'!Z:Z,"Approved",'QA Log'!L:L,"*Consumable (section 3)*"),
COUNTIFS('QA Log'!D:D,A266,'QA Log'!M:M,"Data Verification",'QA Log'!Z:Z,"Approved",'QA Log'!L:L,"*Equipments (section 4)*")
))</f>
        <v/>
      </c>
      <c r="AP266" s="105" t="str">
        <f>IF(A266&lt;&gt;"",COUNTIFS('QA Log'!D:D,A266,'QA Log'!M:M,"Data Verification",'QA Log'!L:L,"Personnel (section 1)",'QA Log'!Z:Z,"Approved"),"")</f>
        <v/>
      </c>
      <c r="AQ266" s="105" t="str">
        <f>IF(A266&lt;&gt;"",COUNTIFS('QA Log'!D:D,A266,'QA Log'!M:M,"Data Verification",'QA Log'!L:L,"Consumable (section 3)",'QA Log'!Z:Z,"Approved"),"")</f>
        <v/>
      </c>
      <c r="AR266" s="105" t="str">
        <f>IF(A266&lt;&gt;"",COUNTIFS('QA Log'!D:D,A266,'QA Log'!M:M,"Data Verification",'QA Log'!L:L,"Equipments (section 4)",'QA Log'!Z:Z,"Approved"),"")</f>
        <v/>
      </c>
      <c r="AS266" s="102" t="str">
        <f>IF(A266="","",
SUM(
COUNTIFS('QA Log'!D:D,A266,'QA Log'!M:M,"Data Verification",'QA Log'!Z:Z,"Rejected",'QA Log'!L:L,"*Personnel (section 1)*"),
COUNTIFS('QA Log'!D:D,A266,'QA Log'!M:M,"Data Verification",'QA Log'!Z:Z,"Rejected",'QA Log'!L:L,"*Consumable (section 3)*"),
COUNTIFS('QA Log'!D:D,A266,'QA Log'!M:M,"Data Verification",'QA Log'!Z:Z,"Rejected",'QA Log'!L:L,"*Equipments (section 4)*")
))</f>
        <v/>
      </c>
      <c r="AT266" s="102" t="str">
        <f t="shared" si="33"/>
        <v/>
      </c>
      <c r="AU266" s="103" t="str">
        <f t="shared" si="34"/>
        <v/>
      </c>
      <c r="AV266" s="102" t="str">
        <f>IF(A266="","",SUM(
COUNTIFS('QA Log'!D:D,A266,'QA Log'!M:M,"Vignette",'QA Log'!L:L,"*Vignette [1] Respiratory Infection: Pneumonia*"),
COUNTIFS('QA Log'!D:D,A266,'QA Log'!M:M,"Vignette",'QA Log'!L:L,"*Vignette [2]: Diarrhea with Cat B dehydration*"),
COUNTIFS('QA Log'!D:D,A266,'QA Log'!M:M,"Vignette",'QA Log'!L:L,"*Vignette [3] Growth Monitoring and Promotion*"),
COUNTIFS('QA Log'!D:D,A266,'QA Log'!M:M,"Vignette",'QA Log'!L:L,"*Vignette [4]: The management of presumptive TB patient*")
)
)</f>
        <v/>
      </c>
      <c r="AW266" s="102" t="str">
        <f>IF(
  A266="","",
  SUM(
    COUNTIFS('QA Log'!D:D,A266,'QA Log'!M:M,"Vignette",'QA Log'!Z:Z,"Approved",'QA Log'!L:L,"*Vignette [1] Respiratory Infection: Pneumonia*"),
    COUNTIFS('QA Log'!D:D,A266,'QA Log'!M:M,"Vignette",'QA Log'!Z:Z,"Approved",'QA Log'!L:L,"*Vignette [2]: Diarrhea with Cat B dehydration*"),
    COUNTIFS('QA Log'!D:D,A266,'QA Log'!M:M,"Vignette",'QA Log'!Z:Z,"Approved",'QA Log'!L:L,"*Vignette [3] Growth Monitoring and Promotion*"),
    COUNTIFS('QA Log'!D:D,A266,'QA Log'!M:M,"Vignette",'QA Log'!Z:Z,"Approved",'QA Log'!L:L,"*Vignette [4]: The management of presumptive TB patient*")
  )
)</f>
        <v/>
      </c>
      <c r="AX266" s="105" t="str">
        <f>IF(A266&lt;&gt;"",COUNTIFS('QA Log'!D:D,A266,'QA Log'!M:M,"Vignette",'QA Log'!L:L,"Vignette [1] Respiratory Infection: Pneumonia",'QA Log'!Z:Z,"Approved"),"")</f>
        <v/>
      </c>
      <c r="AY266" s="105" t="str">
        <f>IF(A266&lt;&gt;"",COUNTIFS('QA Log'!D:D,A266,'QA Log'!M:M,"Vignette",'QA Log'!L:L,"Vignette [2]: Diarrhea with Cat B dehydration",'QA Log'!Z:Z,"Approved"),"")</f>
        <v/>
      </c>
      <c r="AZ266" s="105" t="str">
        <f>IF(A266&lt;&gt;"",COUNTIFS('QA Log'!D:D,A266,'QA Log'!M:M,"Vignette",'QA Log'!L:L,"Vignette [3] Growth Monitoring and Promotion",'QA Log'!Z:Z,"Approved"),"")</f>
        <v/>
      </c>
      <c r="BA266" s="105" t="str">
        <f>IF(A266&lt;&gt;"",COUNTIFS('QA Log'!D:D,A266,'QA Log'!M:M,"Vignette",'QA Log'!L:L,"Vignette [4]: The management of presumptive TB patient",'QA Log'!Z:Z,"Approved"),"")</f>
        <v/>
      </c>
      <c r="BB266" s="102" t="str">
        <f>IF(A266="","",
  SUM(
    COUNTIFS('QA Log'!D:D,A266,'QA Log'!M:M,"Vignette",'QA Log'!Z:Z,"Rejected",'QA Log'!L:L,"*Vignette [1] Respiratory Infection: Pneumonia*"),
    COUNTIFS('QA Log'!D:D,A266,'QA Log'!M:M,"Vignette",'QA Log'!Z:Z,"Rejected",'QA Log'!L:L,"*Vignette [2]: Diarrhea with Cat B dehydration*"),
    COUNTIFS('QA Log'!D:D,A266,'QA Log'!M:M,"Vignette",'QA Log'!Z:Z,"Rejected",'QA Log'!L:L,"*Vignette [3] Growth Monitoring and Promotion*"),
    COUNTIFS('QA Log'!D:D,A266,'QA Log'!M:M,"Vignette",'QA Log'!Z:Z,"Rejected",'QA Log'!L:L,"*Vignette [4]: The management of presumptive TB patient*")
  )
)</f>
        <v/>
      </c>
      <c r="BC266" s="107" t="str">
        <f t="shared" si="35"/>
        <v/>
      </c>
      <c r="BD266" s="103" t="str">
        <f t="shared" si="36"/>
        <v/>
      </c>
      <c r="BE266" s="102" t="str">
        <f>IF(A266="","",SUM(
COUNTIFS('QA Log'!D:D,A266,'QA Log'!M:M,"Vignette",'QA Log'!L:L,"*Vignette [5] Labor*"),
COUNTIFS('QA Log'!D:D,A266,'QA Log'!M:M,"Vignette",'QA Log'!L:L,"*Vignette [6] PNC pre Discharge*"),
COUNTIFS('QA Log'!D:D,A266,'QA Log'!M:M,"Vignette",'QA Log'!L:L,"*Vignette [7] First ANC Visit*"),
COUNTIFS('QA Log'!D:D,A266,'QA Log'!M:M,"Vignette",'QA Log'!L:L,"*Vignette [8] Birth Spacing/ Family Planning :  FP Counselling*"),
COUNTIFS('QA Log'!D:D,A266,'QA Log'!M:M,"Vignette",'QA Log'!L:L,"*Vignette [9] Birth Spacing: Change FP method to Injectable*"),
COUNTIFS('QA Log'!D:D,A266,'QA Log'!M:M,"Vignette",'QA Log'!L:L,"*Vignette [10] Post Partum Haemorrhage - Atonic Uterus at Health Centre*"),
)
)</f>
        <v/>
      </c>
      <c r="BF266" s="102" t="str">
        <f>IF(A266="","",
  SUM(
    COUNTIFS('QA Log'!D:D,A266,'QA Log'!M:M,"Vignette",'QA Log'!Z:Z,"Approved",'QA Log'!L:L,"*Vignette [5] Labor*"),
    COUNTIFS('QA Log'!D:D,A266,'QA Log'!M:M,"Vignette",'QA Log'!Z:Z,"Approved",'QA Log'!L:L,"*Vignette [6] PNC pre Discharge*"),
    COUNTIFS('QA Log'!D:D,A266,'QA Log'!M:M,"Vignette",'QA Log'!Z:Z,"Approved",'QA Log'!L:L,"*Vignette [7] First ANC Visit*"),
    COUNTIFS('QA Log'!D:D,A266,'QA Log'!M:M,"Vignette",'QA Log'!Z:Z,"Approved",'QA Log'!L:L,"*Vignette [8] Birth Spacing/ Family Planning :  FP Counselling*"),
    COUNTIFS('QA Log'!D:D,A266,'QA Log'!M:M,"Vignette",'QA Log'!Z:Z,"Approved",'QA Log'!L:L,"*Vignette [9] Birth Spacing: Change FP method to Injectable*"),
    COUNTIFS('QA Log'!D:D,A266,'QA Log'!M:M,"Vignette",'QA Log'!Z:Z,"Approved",'QA Log'!L:L,"*Vignette [10] Post Partum Haemorrhage - Atonic Uterus at Health Centre*")
  )
)</f>
        <v/>
      </c>
      <c r="BG266" s="105" t="str">
        <f>IF(A266&lt;&gt;"",COUNTIFS('QA Log'!D:D,A266,'QA Log'!M:M,"Vignette",'QA Log'!L:L,"Vignette [5] Labor",'QA Log'!Z:Z,"Approved"),"")</f>
        <v/>
      </c>
      <c r="BH266" s="105" t="str">
        <f>IF(A266&lt;&gt;"",COUNTIFS('QA Log'!D:D,A266,'QA Log'!M:M,"Vignette",'QA Log'!L:L,"Vignette [6] PNC pre Discharge",'QA Log'!Z:Z,"Approved"),"")</f>
        <v/>
      </c>
      <c r="BI266" s="105" t="str">
        <f>IF(A266&lt;&gt;"",COUNTIFS('QA Log'!D:D,A266,'QA Log'!M:M,"Vignette",'QA Log'!L:L,"Vignette [7] First ANC Visit",'QA Log'!Z:Z,"Approved"),"")</f>
        <v/>
      </c>
      <c r="BJ266" s="105" t="str">
        <f>IF(A266&lt;&gt;"",COUNTIFS('QA Log'!D:D,A266,'QA Log'!M:M,"Vignette",'QA Log'!L:L,"Vignette [8] Birth Spacing/ Family Planning :  FP Counselling",'QA Log'!Z:Z,"Approved"),"")</f>
        <v/>
      </c>
      <c r="BK266" s="105" t="str">
        <f>IF(A266&lt;&gt;"",COUNTIFS('QA Log'!D:D,A266,'QA Log'!M:M,"Vignette",'QA Log'!L:L,"Vignette [9] Birth Spacing: Change FP method to Injectable",'QA Log'!Z:Z,"Approved"),"")</f>
        <v/>
      </c>
      <c r="BL266" s="105" t="str">
        <f>IF(A266&lt;&gt;"",COUNTIFS('QA Log'!D:D,A266,'QA Log'!M:M,"Vignette",'QA Log'!L:L,"Vignette [10] Post Partum Haemorrhage - Atonic Uterus at Health Centre",'QA Log'!Z:Z,"Approved"),"")</f>
        <v/>
      </c>
      <c r="BM266" s="102" t="str">
        <f>IF(A266="","",SUM(
    COUNTIFS('QA Log'!D:D,A266,'QA Log'!M:M,"Vignette",'QA Log'!Z:Z,"Rejected",'QA Log'!L:L,"*Vignette [5] Labor*"),
    COUNTIFS('QA Log'!D:D,A266,'QA Log'!M:M,"Vignette",'QA Log'!Z:Z,"Rejected",'QA Log'!L:L,"*Vignette [6] PNC pre Discharge*"),
    COUNTIFS('QA Log'!D:D,A266,'QA Log'!M:M,"Vignette",'QA Log'!Z:Z,"Rejected",'QA Log'!L:L,"*Vignette [7] First ANC Visit*"),
    COUNTIFS('QA Log'!D:D,A266,'QA Log'!M:M,"Vignette",'QA Log'!Z:Z,"Rejected",'QA Log'!L:L,"*Vignette [8] Birth Spacing/ Family Planning :  FP Counselling*"),
    COUNTIFS('QA Log'!D:D,A266,'QA Log'!M:M,"Vignette",'QA Log'!Z:Z,"Rejected",'QA Log'!L:L,"*Vignette [9] Birth Spacing: Change FP method to Injectable*"),
    COUNTIFS('QA Log'!D:D,A266,'QA Log'!M:M,"Vignette",'QA Log'!Z:Z,"Rejected",'QA Log'!L:L,"*Vignette [10] Post Partum Haemorrhage - Atonic Uterus at Health Centre*")
  )
)</f>
        <v/>
      </c>
      <c r="BN266" s="107" t="str">
        <f t="shared" si="37"/>
        <v/>
      </c>
      <c r="BO266" s="103" t="str">
        <f t="shared" si="38"/>
        <v/>
      </c>
      <c r="BP266" s="102" t="str">
        <f>IF(A266="","",SUM(
COUNTIFS('QA Log'!D:D,A266,'QA Log'!M:M,"Vignette",'QA Log'!L:L,"*Exit Interview 1*"),
COUNTIFS('QA Log'!D:D,A266,'QA Log'!M:M,"Vignette",'QA Log'!L:L,"*Exit Interview 2*"),
)
)</f>
        <v/>
      </c>
      <c r="BQ266" s="102" t="str">
        <f>IF(
  A266="","",
  SUM(
    COUNTIFS('QA Log'!D:D,A266,'QA Log'!M:M,"Vignette",'QA Log'!Z:Z,"Approved",'QA Log'!L:L,"*Exit Interview 1*"),
    COUNTIFS('QA Log'!D:D,A266,'QA Log'!M:M,"Vignette",'QA Log'!Z:Z,"Approved",'QA Log'!L:L,"*Exit Interview 2*")
  )
)</f>
        <v/>
      </c>
      <c r="BR266" s="105" t="str">
        <f>IF(A266&lt;&gt;"",COUNTIFS('QA Log'!D:D,A266,'QA Log'!M:M,"Vignette",'QA Log'!L:L,"Exit Interview 1",'QA Log'!Z:Z,"Approved"),"")</f>
        <v/>
      </c>
      <c r="BS266" s="105" t="str">
        <f>IF(A266&lt;&gt;"",COUNTIFS('QA Log'!D:D,A266,'QA Log'!M:M,"Vignette",'QA Log'!L:L,"Exit Interview 2",'QA Log'!Z:Z,"Approved"),"")</f>
        <v/>
      </c>
      <c r="BT266" s="102" t="str">
        <f>IF(
  A266="","",
  SUM(
    COUNTIFS('QA Log'!D:D,A266,'QA Log'!M:M,"Vignette",'QA Log'!Z:Z,"Rejected",'QA Log'!L:L,"*Exit Interview 1*"),
    COUNTIFS('QA Log'!D:D,A266,'QA Log'!M:M,"Vignette",'QA Log'!Z:Z,"Rejected",'QA Log'!L:L,"*Exit Interview 2*")
  )
)</f>
        <v/>
      </c>
      <c r="BU266" s="107" t="str">
        <f t="shared" si="39"/>
        <v/>
      </c>
      <c r="BV266" s="102" t="str">
        <f t="shared" si="40"/>
        <v/>
      </c>
      <c r="BW266" s="102" t="str">
        <f t="shared" si="41"/>
        <v/>
      </c>
      <c r="BX266" s="102" t="str">
        <f t="shared" si="42"/>
        <v/>
      </c>
      <c r="BY266" s="102" t="str">
        <f t="shared" si="43"/>
        <v/>
      </c>
      <c r="BZ266" s="107" t="str">
        <f t="shared" si="44"/>
        <v/>
      </c>
      <c r="CA266" s="108" t="str">
        <f t="shared" si="45"/>
        <v/>
      </c>
      <c r="CB266" s="108" t="str">
        <f t="shared" si="46"/>
        <v/>
      </c>
      <c r="CC266" s="109" t="str">
        <f t="shared" si="47"/>
        <v/>
      </c>
      <c r="CD266" s="108" t="str">
        <f t="shared" si="48"/>
        <v/>
      </c>
      <c r="CE266" s="108" t="str">
        <f t="shared" si="49"/>
        <v/>
      </c>
      <c r="CF266" s="109" t="str">
        <f t="shared" si="50"/>
        <v/>
      </c>
      <c r="CG266" s="110" t="str">
        <f t="shared" si="51"/>
        <v/>
      </c>
      <c r="CH266" s="111"/>
    </row>
    <row r="267" spans="1:86" ht="12.75">
      <c r="A267" s="101"/>
      <c r="B267" s="102" t="e">
        <f t="array" aca="1" ref="B267" ca="1">_xludf.XLOOKUP(A267,'QA Log'!D:D,'QA Log'!E:E,"")</f>
        <v>#NAME?</v>
      </c>
      <c r="C267" s="102" t="e">
        <f t="array" aca="1" ref="C267" ca="1">_xludf.XLOOKUP(A267,'QA Log'!D:D,'QA Log'!F:F,"")</f>
        <v>#NAME?</v>
      </c>
      <c r="D267" s="102" t="e">
        <f t="array" aca="1" ref="D267" ca="1">_xludf.XLOOKUP(A267,'QA Log'!D:D,'QA Log'!H:H,"")</f>
        <v>#NAME?</v>
      </c>
      <c r="E267" s="102" t="e">
        <f t="array" aca="1" ref="E267" ca="1">_xludf.XLOOKUP(A267,'QA Log'!D:D,'QA Log'!G:G,"")</f>
        <v>#NAME?</v>
      </c>
      <c r="F267" s="103"/>
      <c r="G267" s="104"/>
      <c r="H267" s="104"/>
      <c r="I267" s="103" t="str">
        <f t="shared" si="26"/>
        <v/>
      </c>
      <c r="J267" s="102" t="str">
        <f>IF(A267="","",SUM(
COUNTIFS('QA Log'!D:D,A267,'QA Log'!M:M,"QQC",'QA Log'!L:L,"*1. General Management*"),
COUNTIFS('QA Log'!D:D,A267,'QA Log'!M:M,"QQC",'QA Log'!L:L,"*3. Curative Consultation (OPD)*"),
COUNTIFS('QA Log'!D:D,A267,'QA Log'!M:M,"QQC",'QA Log'!L:L,"*5. Laboratory*"),
COUNTIFS('QA Log'!D:D,A267,'QA Log'!M:M,"QQC",'QA Log'!L:L,"*6. Essential Medicine Management*"),
COUNTIFS('QA Log'!D:D,A267,'QA Log'!M:M,"QQC",'QA Log'!L:L,"*7. Tracer Medicine*"),
COUNTIFS('QA Log'!D:D,A267,'QA Log'!M:M,"QQC",'QA Log'!L:L,"*11. Additional Questions*")))</f>
        <v/>
      </c>
      <c r="K267" s="102" t="str">
        <f>IF(A267="","",SUM(
COUNTIFS('QA Log'!D:D,A267,'QA Log'!M:M,"QQC",'QA Log'!Z:Z,"Approved",'QA Log'!L:L,"*1. General Management*"),
COUNTIFS('QA Log'!D:D,A267,'QA Log'!M:M,"QQC",'QA Log'!Z:Z,"Approved",'QA Log'!L:L,"*3. Curative Consultation (OPD)*"),
COUNTIFS('QA Log'!D:D,A267,'QA Log'!M:M,"QQC",'QA Log'!Z:Z,"Approved",'QA Log'!L:L,"*5. Laboratory*"),
COUNTIFS('QA Log'!D:D,A267,'QA Log'!M:M,"QQC",'QA Log'!Z:Z,"Approved",'QA Log'!L:L,"*6. Essential Medicine Management*"),
COUNTIFS('QA Log'!D:D,A267,'QA Log'!M:M,"QQC",'QA Log'!Z:Z,"Approved",'QA Log'!L:L,"*7. Tracer Medicine*"),
COUNTIFS('QA Log'!D:D,A267,'QA Log'!M:M,"QQC",'QA Log'!Z:Z,"Approved",'QA Log'!L:L,"*11. Additional Questions*")))</f>
        <v/>
      </c>
      <c r="L267" s="105" t="str">
        <f>IF(A267&lt;&gt;"",COUNTIFS('QA Log'!D:D,A267,'QA Log'!M:M,"QQC",'QA Log'!L:L,"1. General Management",'QA Log'!Z:Z,"Approved"),"")</f>
        <v/>
      </c>
      <c r="M267" s="105" t="str">
        <f>IF(A267&lt;&gt;"",COUNTIFS('QA Log'!D:D,A267,'QA Log'!M:M,"QQC",'QA Log'!L:L,"3. Curative Consultation (OPD)",'QA Log'!Z:Z,"Approved"),"")</f>
        <v/>
      </c>
      <c r="N267" s="105" t="str">
        <f>IF(A267&lt;&gt;"",COUNTIFS('QA Log'!D:D,A267,'QA Log'!M:M,"QQC",'QA Log'!L:L,"5. Laboratory",'QA Log'!Z:Z,"Approved"),"")</f>
        <v/>
      </c>
      <c r="O267" s="105" t="str">
        <f>IF(A267&lt;&gt;"",COUNTIFS('QA Log'!D:D,A267,'QA Log'!M:M,"QQC",'QA Log'!L:L,"6. Essential Medicine Management",'QA Log'!Z:Z,"Approved"),"")</f>
        <v/>
      </c>
      <c r="P267" s="105" t="str">
        <f>IF(A267&lt;&gt;"",COUNTIFS('QA Log'!D:D,A267,'QA Log'!M:M,"QQC",'QA Log'!L:L,"7. Tracer Medicine",'QA Log'!Z:Z,"Approved"),"")</f>
        <v/>
      </c>
      <c r="Q267" s="105" t="str">
        <f>IF(A267&lt;&gt;"",COUNTIFS('QA Log'!D:D,A267,'QA Log'!M:M,"QQC",'QA Log'!L:L,"11. Additional Questions",'QA Log'!Z:Z,"Approved"),"")</f>
        <v/>
      </c>
      <c r="R267" s="102" t="str">
        <f>IF(A267="","",SUM(
COUNTIFS('QA Log'!D:D,A267,'QA Log'!M:M,"QQC",'QA Log'!Z:Z,"Rejected",'QA Log'!L:L,"*8. Maternity*"),
COUNTIFS('QA Log'!D:D,A267,'QA Log'!M:M,"QQC",'QA Log'!Z:Z,"Rejected",'QA Log'!L:L,"*EPI*"),
COUNTIFS('QA Log'!D:D,A267,'QA Log'!M:M,"QQC",'QA Log'!Z:Z,"Rejected",'QA Log'!L:L,"*10. Antenatal Care (ANC)*"),
COUNTIFS('QA Log'!D:D,A267,'QA Log'!M:M,"QQC",'QA Log'!Z:Z,"Rejected",'QA Log'!L:L,"*2. Hygiene and Sterilization*"),
COUNTIFS('QA Log'!D:D,A267,'QA Log'!M:M,"QQC",'QA Log'!Z:Z,"Rejected",'QA Log'!L:L,"*Family Planning*")))</f>
        <v/>
      </c>
      <c r="S267" s="106" t="str">
        <f t="shared" si="27"/>
        <v/>
      </c>
      <c r="T267" s="102" t="str">
        <f t="shared" si="28"/>
        <v/>
      </c>
      <c r="U267" s="102" t="str">
        <f>IF(A267="","",
SUM(
COUNTIFS('QA Log'!D:D,A267,'QA Log'!M:M,"QQC",'QA Log'!L:L,"*8. Maternity*"),
COUNTIFS('QA Log'!D:D,A267,'QA Log'!M:M,"QQC",'QA Log'!L:L,"*9. EPI and Pre-school Consultation*"),
COUNTIFS('QA Log'!D:D,A267,'QA Log'!M:M,"QQC",'QA Log'!L:L,"*10. Antenatal Care (ANC)*"),
COUNTIFS('QA Log'!D:D,A267,'QA Log'!M:M,"QQC",'QA Log'!L:L,"*2. Hygiene and Sterilization*"),
COUNTIFS('QA Log'!D:D,A267,'QA Log'!M:M,"QQC",'QA Log'!L:L,"*4. Family Planning*")
))</f>
        <v/>
      </c>
      <c r="V267" s="102" t="str">
        <f>IF(A267="","",
SUM(
COUNTIFS('QA Log'!D:D,A267,'QA Log'!M:M,"QQC",'QA Log'!Z:Z,"Approved",'QA Log'!L:L,"*8. Maternity*"),
COUNTIFS('QA Log'!D:D,A267,'QA Log'!M:M,"QQC",'QA Log'!Z:Z,"Approved",'QA Log'!L:L,"*9. EPI and Pre-school Consultation*"),
COUNTIFS('QA Log'!D:D,A267,'QA Log'!M:M,"QQC",'QA Log'!Z:Z,"Approved",'QA Log'!L:L,"*10. Antenatal Care (ANC)*"),
COUNTIFS('QA Log'!D:D,A267,'QA Log'!M:M,"QQC",'QA Log'!Z:Z,"Approved",'QA Log'!L:L,"*2. Hygiene and Sterilization*"),
COUNTIFS('QA Log'!D:D,A267,'QA Log'!M:M,"QQC",'QA Log'!Z:Z,"Approved",'QA Log'!L:L,"*4. Family Planning*")
))</f>
        <v/>
      </c>
      <c r="W267" s="105" t="str">
        <f>IF(A267&lt;&gt;"",COUNTIFS('QA Log'!D:D,A267,'QA Log'!M:M,"QQC",'QA Log'!L:L,"8. Maternity",'QA Log'!Z:Z,"Approved"),"")</f>
        <v/>
      </c>
      <c r="X267" s="105" t="str">
        <f>IF(A267&lt;&gt;"",COUNTIFS('QA Log'!D:D,A267,'QA Log'!M:M,"QQC",'QA Log'!L:L,"9. EPI and Pre-school Consultation",'QA Log'!Z:Z,"Approved"),"")</f>
        <v/>
      </c>
      <c r="Y267" s="105" t="str">
        <f>IF(A267&lt;&gt;"",COUNTIFS('QA Log'!D:D,A267,'QA Log'!M:M,"QQC",'QA Log'!L:L,"10. Antenatal Care (ANC)",'QA Log'!Z:Z,"Approved"),"")</f>
        <v/>
      </c>
      <c r="Z267" s="105" t="str">
        <f>IF(A267&lt;&gt;"",COUNTIFS('QA Log'!D:D,A267,'QA Log'!M:M,"QQC",'QA Log'!L:L,"2. Hygiene and Sterilization",'QA Log'!Z:Z,"Approved"),"")</f>
        <v/>
      </c>
      <c r="AA267" s="105" t="str">
        <f>IF(A267&lt;&gt;"",COUNTIFS('QA Log'!D:D,A267,'QA Log'!M:M,"QQC",'QA Log'!L:L,"4. Family Planning",'QA Log'!Z:Z,"Approved"),"")</f>
        <v/>
      </c>
      <c r="AB267" s="102" t="str">
        <f>IF(A267="","",
SUM(
COUNTIFS('QA Log'!D:D,A267,'QA Log'!M:M,"QQC",'QA Log'!Z:Z,"Rejected",'QA Log'!L:L,"*8. Maternity*"),
COUNTIFS('QA Log'!D:D,A267,'QA Log'!M:M,"QQC",'QA Log'!Z:Z,"Rejected",'QA Log'!L:L,"*9. EPI and Pre-school Consultation*"),
COUNTIFS('QA Log'!D:D,A267,'QA Log'!M:M,"QQC",'QA Log'!Z:Z,"Rejected",'QA Log'!L:L,"*10. Antenatal Care (ANC)*"),
COUNTIFS('QA Log'!D:D,A267,'QA Log'!M:M,"QQC",'QA Log'!Z:Z,"Rejected",'QA Log'!L:L,"*2. Hygiene and Sterilization*"),
COUNTIFS('QA Log'!D:D,A267,'QA Log'!M:M,"QQC",'QA Log'!Z:Z,"Rejected",'QA Log'!L:L,"*4. Family Planning*")
))</f>
        <v/>
      </c>
      <c r="AC267" s="102" t="str">
        <f t="shared" si="29"/>
        <v/>
      </c>
      <c r="AD267" s="103" t="str">
        <f t="shared" si="30"/>
        <v/>
      </c>
      <c r="AE267" s="102" t="str">
        <f>IF(A267="","",
SUM(
COUNTIFS('QA Log'!D:D,A267,'QA Log'!M:M,"Data Verification",'QA Log'!L:L,"*Medicine (section 2)*"),
COUNTIFS('QA Log'!D:D,A267,'QA Log'!M:M,"Data Verification",'QA Log'!L:L,"*Lab Testing Availability*"),
COUNTIFS('QA Log'!D:D,A267,'QA Log'!M:M,"Data Verification",'QA Log'!L:L,"*Other than P4P (section 6)*"),
COUNTIFS('QA Log'!D:D,A267,'QA Log'!M:M,"Data Verification",'QA Log'!L:L,"*Hospital Governance*")
))</f>
        <v/>
      </c>
      <c r="AF267" s="102" t="str">
        <f>IF(A267="","",
SUM(
COUNTIFS('QA Log'!D:D,A267,'QA Log'!M:M,"Data Verification",'QA Log'!Z:Z,"Approved",'QA Log'!L:L,"*Medicine (section 2)*"),
COUNTIFS('QA Log'!D:D,A267,'QA Log'!M:M,"Data Verification",'QA Log'!Z:Z,"Approved",'QA Log'!L:L,"*Lab Testing Availability*"),
COUNTIFS('QA Log'!D:D,A267,'QA Log'!M:M,"Data Verification",'QA Log'!Z:Z,"Approved",'QA Log'!L:L,"*Other than P4P (section 6)*"),
COUNTIFS('QA Log'!D:D,A267,'QA Log'!M:M,"Data Verification",'QA Log'!Z:Z,"Approved",'QA Log'!L:L,"*Hospital Governance*")
))</f>
        <v/>
      </c>
      <c r="AG267" s="105" t="str">
        <f>IF(A267&lt;&gt;"",COUNTIFS('QA Log'!D:D,A267,'QA Log'!M:M,"Data Verification",'QA Log'!L:L,"Medicine (section 2)",'QA Log'!Z:Z,"Approved"),"")</f>
        <v/>
      </c>
      <c r="AH267" s="105" t="str">
        <f>IF(A267&lt;&gt;"",COUNTIFS('QA Log'!D:D,A267,'QA Log'!M:M,"Data Verification",'QA Log'!L:L,"Lab Testing Availability",'QA Log'!Z:Z,"Approved"),"")</f>
        <v/>
      </c>
      <c r="AI267" s="105" t="str">
        <f>IF(A267&lt;&gt;"",COUNTIFS('QA Log'!D:D,A267,'QA Log'!M:M,"Data Verification",'QA Log'!L:L,"Other than P4P (section 6)",'QA Log'!Z:Z,"Approved"),"")</f>
        <v/>
      </c>
      <c r="AJ267" s="105" t="str">
        <f>IF(A267&lt;&gt;"",COUNTIFS('QA Log'!D:D,A267,'QA Log'!M:M,"Data Verification",'QA Log'!L:L,"Hospital Governance",'QA Log'!Z:Z,"Approved"),"")</f>
        <v/>
      </c>
      <c r="AK267" s="102" t="str">
        <f>IF(A267="","",
SUM(
COUNTIFS('QA Log'!D:D,A267,'QA Log'!M:M,"Data Verification",'QA Log'!Z:Z,"Rejected",'QA Log'!L:L,"*Medicine (section 2)*"),
COUNTIFS('QA Log'!D:D,A267,'QA Log'!M:M,"Data Verification",'QA Log'!Z:Z,"Rejected",'QA Log'!L:L,"*Lab Testing Availability*"),
COUNTIFS('QA Log'!D:D,A267,'QA Log'!M:M,"Data Verification",'QA Log'!Z:Z,"Rejected",'QA Log'!L:L,"*Other than P4P (section 6)*"),
COUNTIFS('QA Log'!D:D,A267,'QA Log'!M:M,"Data Verification",'QA Log'!Z:Z,"Rejected",'QA Log'!L:L,"*Hospital Governance*")
))</f>
        <v/>
      </c>
      <c r="AL267" s="106" t="str">
        <f t="shared" si="31"/>
        <v/>
      </c>
      <c r="AM267" s="102" t="str">
        <f t="shared" si="32"/>
        <v/>
      </c>
      <c r="AN267" s="102" t="str">
        <f>IF(A267="","",
SUM(
COUNTIFS('QA Log'!D:D,A267,'QA Log'!M:M,"Data Verification",'QA Log'!L:L,"*Personnel (section 1)*"),
COUNTIFS('QA Log'!D:D,A267,'QA Log'!M:M,"Data Verification",'QA Log'!L:L,"*Consumable (section 3)*"),
COUNTIFS('QA Log'!D:D,A267,'QA Log'!M:M,"Data Verification",'QA Log'!L:L,"*Equipments (section 4)*")
))</f>
        <v/>
      </c>
      <c r="AO267" s="102" t="str">
        <f>IF(A267="","",
SUM(
COUNTIFS('QA Log'!D:D,A267,'QA Log'!M:M,"Data Verification",'QA Log'!Z:Z,"Approved",'QA Log'!L:L,"*Personnel (section 1)*"),
COUNTIFS('QA Log'!D:D,A267,'QA Log'!M:M,"Data Verification",'QA Log'!Z:Z,"Approved",'QA Log'!L:L,"*Consumable (section 3)*"),
COUNTIFS('QA Log'!D:D,A267,'QA Log'!M:M,"Data Verification",'QA Log'!Z:Z,"Approved",'QA Log'!L:L,"*Equipments (section 4)*")
))</f>
        <v/>
      </c>
      <c r="AP267" s="105" t="str">
        <f>IF(A267&lt;&gt;"",COUNTIFS('QA Log'!D:D,A267,'QA Log'!M:M,"Data Verification",'QA Log'!L:L,"Personnel (section 1)",'QA Log'!Z:Z,"Approved"),"")</f>
        <v/>
      </c>
      <c r="AQ267" s="105" t="str">
        <f>IF(A267&lt;&gt;"",COUNTIFS('QA Log'!D:D,A267,'QA Log'!M:M,"Data Verification",'QA Log'!L:L,"Consumable (section 3)",'QA Log'!Z:Z,"Approved"),"")</f>
        <v/>
      </c>
      <c r="AR267" s="105" t="str">
        <f>IF(A267&lt;&gt;"",COUNTIFS('QA Log'!D:D,A267,'QA Log'!M:M,"Data Verification",'QA Log'!L:L,"Equipments (section 4)",'QA Log'!Z:Z,"Approved"),"")</f>
        <v/>
      </c>
      <c r="AS267" s="102" t="str">
        <f>IF(A267="","",
SUM(
COUNTIFS('QA Log'!D:D,A267,'QA Log'!M:M,"Data Verification",'QA Log'!Z:Z,"Rejected",'QA Log'!L:L,"*Personnel (section 1)*"),
COUNTIFS('QA Log'!D:D,A267,'QA Log'!M:M,"Data Verification",'QA Log'!Z:Z,"Rejected",'QA Log'!L:L,"*Consumable (section 3)*"),
COUNTIFS('QA Log'!D:D,A267,'QA Log'!M:M,"Data Verification",'QA Log'!Z:Z,"Rejected",'QA Log'!L:L,"*Equipments (section 4)*")
))</f>
        <v/>
      </c>
      <c r="AT267" s="102" t="str">
        <f t="shared" si="33"/>
        <v/>
      </c>
      <c r="AU267" s="103" t="str">
        <f t="shared" si="34"/>
        <v/>
      </c>
      <c r="AV267" s="102" t="str">
        <f>IF(A267="","",SUM(
COUNTIFS('QA Log'!D:D,A267,'QA Log'!M:M,"Vignette",'QA Log'!L:L,"*Vignette [1] Respiratory Infection: Pneumonia*"),
COUNTIFS('QA Log'!D:D,A267,'QA Log'!M:M,"Vignette",'QA Log'!L:L,"*Vignette [2]: Diarrhea with Cat B dehydration*"),
COUNTIFS('QA Log'!D:D,A267,'QA Log'!M:M,"Vignette",'QA Log'!L:L,"*Vignette [3] Growth Monitoring and Promotion*"),
COUNTIFS('QA Log'!D:D,A267,'QA Log'!M:M,"Vignette",'QA Log'!L:L,"*Vignette [4]: The management of presumptive TB patient*")
)
)</f>
        <v/>
      </c>
      <c r="AW267" s="102" t="str">
        <f>IF(
  A267="","",
  SUM(
    COUNTIFS('QA Log'!D:D,A267,'QA Log'!M:M,"Vignette",'QA Log'!Z:Z,"Approved",'QA Log'!L:L,"*Vignette [1] Respiratory Infection: Pneumonia*"),
    COUNTIFS('QA Log'!D:D,A267,'QA Log'!M:M,"Vignette",'QA Log'!Z:Z,"Approved",'QA Log'!L:L,"*Vignette [2]: Diarrhea with Cat B dehydration*"),
    COUNTIFS('QA Log'!D:D,A267,'QA Log'!M:M,"Vignette",'QA Log'!Z:Z,"Approved",'QA Log'!L:L,"*Vignette [3] Growth Monitoring and Promotion*"),
    COUNTIFS('QA Log'!D:D,A267,'QA Log'!M:M,"Vignette",'QA Log'!Z:Z,"Approved",'QA Log'!L:L,"*Vignette [4]: The management of presumptive TB patient*")
  )
)</f>
        <v/>
      </c>
      <c r="AX267" s="105" t="str">
        <f>IF(A267&lt;&gt;"",COUNTIFS('QA Log'!D:D,A267,'QA Log'!M:M,"Vignette",'QA Log'!L:L,"Vignette [1] Respiratory Infection: Pneumonia",'QA Log'!Z:Z,"Approved"),"")</f>
        <v/>
      </c>
      <c r="AY267" s="105" t="str">
        <f>IF(A267&lt;&gt;"",COUNTIFS('QA Log'!D:D,A267,'QA Log'!M:M,"Vignette",'QA Log'!L:L,"Vignette [2]: Diarrhea with Cat B dehydration",'QA Log'!Z:Z,"Approved"),"")</f>
        <v/>
      </c>
      <c r="AZ267" s="105" t="str">
        <f>IF(A267&lt;&gt;"",COUNTIFS('QA Log'!D:D,A267,'QA Log'!M:M,"Vignette",'QA Log'!L:L,"Vignette [3] Growth Monitoring and Promotion",'QA Log'!Z:Z,"Approved"),"")</f>
        <v/>
      </c>
      <c r="BA267" s="105" t="str">
        <f>IF(A267&lt;&gt;"",COUNTIFS('QA Log'!D:D,A267,'QA Log'!M:M,"Vignette",'QA Log'!L:L,"Vignette [4]: The management of presumptive TB patient",'QA Log'!Z:Z,"Approved"),"")</f>
        <v/>
      </c>
      <c r="BB267" s="102" t="str">
        <f>IF(A267="","",
  SUM(
    COUNTIFS('QA Log'!D:D,A267,'QA Log'!M:M,"Vignette",'QA Log'!Z:Z,"Rejected",'QA Log'!L:L,"*Vignette [1] Respiratory Infection: Pneumonia*"),
    COUNTIFS('QA Log'!D:D,A267,'QA Log'!M:M,"Vignette",'QA Log'!Z:Z,"Rejected",'QA Log'!L:L,"*Vignette [2]: Diarrhea with Cat B dehydration*"),
    COUNTIFS('QA Log'!D:D,A267,'QA Log'!M:M,"Vignette",'QA Log'!Z:Z,"Rejected",'QA Log'!L:L,"*Vignette [3] Growth Monitoring and Promotion*"),
    COUNTIFS('QA Log'!D:D,A267,'QA Log'!M:M,"Vignette",'QA Log'!Z:Z,"Rejected",'QA Log'!L:L,"*Vignette [4]: The management of presumptive TB patient*")
  )
)</f>
        <v/>
      </c>
      <c r="BC267" s="107" t="str">
        <f t="shared" si="35"/>
        <v/>
      </c>
      <c r="BD267" s="103" t="str">
        <f t="shared" si="36"/>
        <v/>
      </c>
      <c r="BE267" s="102" t="str">
        <f>IF(A267="","",SUM(
COUNTIFS('QA Log'!D:D,A267,'QA Log'!M:M,"Vignette",'QA Log'!L:L,"*Vignette [5] Labor*"),
COUNTIFS('QA Log'!D:D,A267,'QA Log'!M:M,"Vignette",'QA Log'!L:L,"*Vignette [6] PNC pre Discharge*"),
COUNTIFS('QA Log'!D:D,A267,'QA Log'!M:M,"Vignette",'QA Log'!L:L,"*Vignette [7] First ANC Visit*"),
COUNTIFS('QA Log'!D:D,A267,'QA Log'!M:M,"Vignette",'QA Log'!L:L,"*Vignette [8] Birth Spacing/ Family Planning :  FP Counselling*"),
COUNTIFS('QA Log'!D:D,A267,'QA Log'!M:M,"Vignette",'QA Log'!L:L,"*Vignette [9] Birth Spacing: Change FP method to Injectable*"),
COUNTIFS('QA Log'!D:D,A267,'QA Log'!M:M,"Vignette",'QA Log'!L:L,"*Vignette [10] Post Partum Haemorrhage - Atonic Uterus at Health Centre*"),
)
)</f>
        <v/>
      </c>
      <c r="BF267" s="102" t="str">
        <f>IF(A267="","",
  SUM(
    COUNTIFS('QA Log'!D:D,A267,'QA Log'!M:M,"Vignette",'QA Log'!Z:Z,"Approved",'QA Log'!L:L,"*Vignette [5] Labor*"),
    COUNTIFS('QA Log'!D:D,A267,'QA Log'!M:M,"Vignette",'QA Log'!Z:Z,"Approved",'QA Log'!L:L,"*Vignette [6] PNC pre Discharge*"),
    COUNTIFS('QA Log'!D:D,A267,'QA Log'!M:M,"Vignette",'QA Log'!Z:Z,"Approved",'QA Log'!L:L,"*Vignette [7] First ANC Visit*"),
    COUNTIFS('QA Log'!D:D,A267,'QA Log'!M:M,"Vignette",'QA Log'!Z:Z,"Approved",'QA Log'!L:L,"*Vignette [8] Birth Spacing/ Family Planning :  FP Counselling*"),
    COUNTIFS('QA Log'!D:D,A267,'QA Log'!M:M,"Vignette",'QA Log'!Z:Z,"Approved",'QA Log'!L:L,"*Vignette [9] Birth Spacing: Change FP method to Injectable*"),
    COUNTIFS('QA Log'!D:D,A267,'QA Log'!M:M,"Vignette",'QA Log'!Z:Z,"Approved",'QA Log'!L:L,"*Vignette [10] Post Partum Haemorrhage - Atonic Uterus at Health Centre*")
  )
)</f>
        <v/>
      </c>
      <c r="BG267" s="105" t="str">
        <f>IF(A267&lt;&gt;"",COUNTIFS('QA Log'!D:D,A267,'QA Log'!M:M,"Vignette",'QA Log'!L:L,"Vignette [5] Labor",'QA Log'!Z:Z,"Approved"),"")</f>
        <v/>
      </c>
      <c r="BH267" s="105" t="str">
        <f>IF(A267&lt;&gt;"",COUNTIFS('QA Log'!D:D,A267,'QA Log'!M:M,"Vignette",'QA Log'!L:L,"Vignette [6] PNC pre Discharge",'QA Log'!Z:Z,"Approved"),"")</f>
        <v/>
      </c>
      <c r="BI267" s="105" t="str">
        <f>IF(A267&lt;&gt;"",COUNTIFS('QA Log'!D:D,A267,'QA Log'!M:M,"Vignette",'QA Log'!L:L,"Vignette [7] First ANC Visit",'QA Log'!Z:Z,"Approved"),"")</f>
        <v/>
      </c>
      <c r="BJ267" s="105" t="str">
        <f>IF(A267&lt;&gt;"",COUNTIFS('QA Log'!D:D,A267,'QA Log'!M:M,"Vignette",'QA Log'!L:L,"Vignette [8] Birth Spacing/ Family Planning :  FP Counselling",'QA Log'!Z:Z,"Approved"),"")</f>
        <v/>
      </c>
      <c r="BK267" s="105" t="str">
        <f>IF(A267&lt;&gt;"",COUNTIFS('QA Log'!D:D,A267,'QA Log'!M:M,"Vignette",'QA Log'!L:L,"Vignette [9] Birth Spacing: Change FP method to Injectable",'QA Log'!Z:Z,"Approved"),"")</f>
        <v/>
      </c>
      <c r="BL267" s="105" t="str">
        <f>IF(A267&lt;&gt;"",COUNTIFS('QA Log'!D:D,A267,'QA Log'!M:M,"Vignette",'QA Log'!L:L,"Vignette [10] Post Partum Haemorrhage - Atonic Uterus at Health Centre",'QA Log'!Z:Z,"Approved"),"")</f>
        <v/>
      </c>
      <c r="BM267" s="102" t="str">
        <f>IF(A267="","",SUM(
    COUNTIFS('QA Log'!D:D,A267,'QA Log'!M:M,"Vignette",'QA Log'!Z:Z,"Rejected",'QA Log'!L:L,"*Vignette [5] Labor*"),
    COUNTIFS('QA Log'!D:D,A267,'QA Log'!M:M,"Vignette",'QA Log'!Z:Z,"Rejected",'QA Log'!L:L,"*Vignette [6] PNC pre Discharge*"),
    COUNTIFS('QA Log'!D:D,A267,'QA Log'!M:M,"Vignette",'QA Log'!Z:Z,"Rejected",'QA Log'!L:L,"*Vignette [7] First ANC Visit*"),
    COUNTIFS('QA Log'!D:D,A267,'QA Log'!M:M,"Vignette",'QA Log'!Z:Z,"Rejected",'QA Log'!L:L,"*Vignette [8] Birth Spacing/ Family Planning :  FP Counselling*"),
    COUNTIFS('QA Log'!D:D,A267,'QA Log'!M:M,"Vignette",'QA Log'!Z:Z,"Rejected",'QA Log'!L:L,"*Vignette [9] Birth Spacing: Change FP method to Injectable*"),
    COUNTIFS('QA Log'!D:D,A267,'QA Log'!M:M,"Vignette",'QA Log'!Z:Z,"Rejected",'QA Log'!L:L,"*Vignette [10] Post Partum Haemorrhage - Atonic Uterus at Health Centre*")
  )
)</f>
        <v/>
      </c>
      <c r="BN267" s="107" t="str">
        <f t="shared" si="37"/>
        <v/>
      </c>
      <c r="BO267" s="103" t="str">
        <f t="shared" si="38"/>
        <v/>
      </c>
      <c r="BP267" s="102" t="str">
        <f>IF(A267="","",SUM(
COUNTIFS('QA Log'!D:D,A267,'QA Log'!M:M,"Vignette",'QA Log'!L:L,"*Exit Interview 1*"),
COUNTIFS('QA Log'!D:D,A267,'QA Log'!M:M,"Vignette",'QA Log'!L:L,"*Exit Interview 2*"),
)
)</f>
        <v/>
      </c>
      <c r="BQ267" s="102" t="str">
        <f>IF(
  A267="","",
  SUM(
    COUNTIFS('QA Log'!D:D,A267,'QA Log'!M:M,"Vignette",'QA Log'!Z:Z,"Approved",'QA Log'!L:L,"*Exit Interview 1*"),
    COUNTIFS('QA Log'!D:D,A267,'QA Log'!M:M,"Vignette",'QA Log'!Z:Z,"Approved",'QA Log'!L:L,"*Exit Interview 2*")
  )
)</f>
        <v/>
      </c>
      <c r="BR267" s="105" t="str">
        <f>IF(A267&lt;&gt;"",COUNTIFS('QA Log'!D:D,A267,'QA Log'!M:M,"Vignette",'QA Log'!L:L,"Exit Interview 1",'QA Log'!Z:Z,"Approved"),"")</f>
        <v/>
      </c>
      <c r="BS267" s="105" t="str">
        <f>IF(A267&lt;&gt;"",COUNTIFS('QA Log'!D:D,A267,'QA Log'!M:M,"Vignette",'QA Log'!L:L,"Exit Interview 2",'QA Log'!Z:Z,"Approved"),"")</f>
        <v/>
      </c>
      <c r="BT267" s="102" t="str">
        <f>IF(
  A267="","",
  SUM(
    COUNTIFS('QA Log'!D:D,A267,'QA Log'!M:M,"Vignette",'QA Log'!Z:Z,"Rejected",'QA Log'!L:L,"*Exit Interview 1*"),
    COUNTIFS('QA Log'!D:D,A267,'QA Log'!M:M,"Vignette",'QA Log'!Z:Z,"Rejected",'QA Log'!L:L,"*Exit Interview 2*")
  )
)</f>
        <v/>
      </c>
      <c r="BU267" s="107" t="str">
        <f t="shared" si="39"/>
        <v/>
      </c>
      <c r="BV267" s="102" t="str">
        <f t="shared" si="40"/>
        <v/>
      </c>
      <c r="BW267" s="102" t="str">
        <f t="shared" si="41"/>
        <v/>
      </c>
      <c r="BX267" s="102" t="str">
        <f t="shared" si="42"/>
        <v/>
      </c>
      <c r="BY267" s="102" t="str">
        <f t="shared" si="43"/>
        <v/>
      </c>
      <c r="BZ267" s="107" t="str">
        <f t="shared" si="44"/>
        <v/>
      </c>
      <c r="CA267" s="108" t="str">
        <f t="shared" si="45"/>
        <v/>
      </c>
      <c r="CB267" s="108" t="str">
        <f t="shared" si="46"/>
        <v/>
      </c>
      <c r="CC267" s="109" t="str">
        <f t="shared" si="47"/>
        <v/>
      </c>
      <c r="CD267" s="108" t="str">
        <f t="shared" si="48"/>
        <v/>
      </c>
      <c r="CE267" s="108" t="str">
        <f t="shared" si="49"/>
        <v/>
      </c>
      <c r="CF267" s="109" t="str">
        <f t="shared" si="50"/>
        <v/>
      </c>
      <c r="CG267" s="110" t="str">
        <f t="shared" si="51"/>
        <v/>
      </c>
      <c r="CH267" s="111"/>
    </row>
    <row r="268" spans="1:86" ht="12.75">
      <c r="A268" s="101"/>
      <c r="B268" s="102" t="e">
        <f t="array" aca="1" ref="B268" ca="1">_xludf.XLOOKUP(A268,'QA Log'!D:D,'QA Log'!E:E,"")</f>
        <v>#NAME?</v>
      </c>
      <c r="C268" s="102" t="e">
        <f t="array" aca="1" ref="C268" ca="1">_xludf.XLOOKUP(A268,'QA Log'!D:D,'QA Log'!F:F,"")</f>
        <v>#NAME?</v>
      </c>
      <c r="D268" s="102" t="e">
        <f t="array" aca="1" ref="D268" ca="1">_xludf.XLOOKUP(A268,'QA Log'!D:D,'QA Log'!H:H,"")</f>
        <v>#NAME?</v>
      </c>
      <c r="E268" s="102" t="e">
        <f t="array" aca="1" ref="E268" ca="1">_xludf.XLOOKUP(A268,'QA Log'!D:D,'QA Log'!G:G,"")</f>
        <v>#NAME?</v>
      </c>
      <c r="F268" s="103"/>
      <c r="G268" s="104"/>
      <c r="H268" s="104"/>
      <c r="I268" s="103" t="str">
        <f t="shared" si="26"/>
        <v/>
      </c>
      <c r="J268" s="102" t="str">
        <f>IF(A268="","",SUM(
COUNTIFS('QA Log'!D:D,A268,'QA Log'!M:M,"QQC",'QA Log'!L:L,"*1. General Management*"),
COUNTIFS('QA Log'!D:D,A268,'QA Log'!M:M,"QQC",'QA Log'!L:L,"*3. Curative Consultation (OPD)*"),
COUNTIFS('QA Log'!D:D,A268,'QA Log'!M:M,"QQC",'QA Log'!L:L,"*5. Laboratory*"),
COUNTIFS('QA Log'!D:D,A268,'QA Log'!M:M,"QQC",'QA Log'!L:L,"*6. Essential Medicine Management*"),
COUNTIFS('QA Log'!D:D,A268,'QA Log'!M:M,"QQC",'QA Log'!L:L,"*7. Tracer Medicine*"),
COUNTIFS('QA Log'!D:D,A268,'QA Log'!M:M,"QQC",'QA Log'!L:L,"*11. Additional Questions*")))</f>
        <v/>
      </c>
      <c r="K268" s="102" t="str">
        <f>IF(A268="","",SUM(
COUNTIFS('QA Log'!D:D,A268,'QA Log'!M:M,"QQC",'QA Log'!Z:Z,"Approved",'QA Log'!L:L,"*1. General Management*"),
COUNTIFS('QA Log'!D:D,A268,'QA Log'!M:M,"QQC",'QA Log'!Z:Z,"Approved",'QA Log'!L:L,"*3. Curative Consultation (OPD)*"),
COUNTIFS('QA Log'!D:D,A268,'QA Log'!M:M,"QQC",'QA Log'!Z:Z,"Approved",'QA Log'!L:L,"*5. Laboratory*"),
COUNTIFS('QA Log'!D:D,A268,'QA Log'!M:M,"QQC",'QA Log'!Z:Z,"Approved",'QA Log'!L:L,"*6. Essential Medicine Management*"),
COUNTIFS('QA Log'!D:D,A268,'QA Log'!M:M,"QQC",'QA Log'!Z:Z,"Approved",'QA Log'!L:L,"*7. Tracer Medicine*"),
COUNTIFS('QA Log'!D:D,A268,'QA Log'!M:M,"QQC",'QA Log'!Z:Z,"Approved",'QA Log'!L:L,"*11. Additional Questions*")))</f>
        <v/>
      </c>
      <c r="L268" s="105" t="str">
        <f>IF(A268&lt;&gt;"",COUNTIFS('QA Log'!D:D,A268,'QA Log'!M:M,"QQC",'QA Log'!L:L,"1. General Management",'QA Log'!Z:Z,"Approved"),"")</f>
        <v/>
      </c>
      <c r="M268" s="105" t="str">
        <f>IF(A268&lt;&gt;"",COUNTIFS('QA Log'!D:D,A268,'QA Log'!M:M,"QQC",'QA Log'!L:L,"3. Curative Consultation (OPD)",'QA Log'!Z:Z,"Approved"),"")</f>
        <v/>
      </c>
      <c r="N268" s="105" t="str">
        <f>IF(A268&lt;&gt;"",COUNTIFS('QA Log'!D:D,A268,'QA Log'!M:M,"QQC",'QA Log'!L:L,"5. Laboratory",'QA Log'!Z:Z,"Approved"),"")</f>
        <v/>
      </c>
      <c r="O268" s="105" t="str">
        <f>IF(A268&lt;&gt;"",COUNTIFS('QA Log'!D:D,A268,'QA Log'!M:M,"QQC",'QA Log'!L:L,"6. Essential Medicine Management",'QA Log'!Z:Z,"Approved"),"")</f>
        <v/>
      </c>
      <c r="P268" s="105" t="str">
        <f>IF(A268&lt;&gt;"",COUNTIFS('QA Log'!D:D,A268,'QA Log'!M:M,"QQC",'QA Log'!L:L,"7. Tracer Medicine",'QA Log'!Z:Z,"Approved"),"")</f>
        <v/>
      </c>
      <c r="Q268" s="105" t="str">
        <f>IF(A268&lt;&gt;"",COUNTIFS('QA Log'!D:D,A268,'QA Log'!M:M,"QQC",'QA Log'!L:L,"11. Additional Questions",'QA Log'!Z:Z,"Approved"),"")</f>
        <v/>
      </c>
      <c r="R268" s="102" t="str">
        <f>IF(A268="","",SUM(
COUNTIFS('QA Log'!D:D,A268,'QA Log'!M:M,"QQC",'QA Log'!Z:Z,"Rejected",'QA Log'!L:L,"*8. Maternity*"),
COUNTIFS('QA Log'!D:D,A268,'QA Log'!M:M,"QQC",'QA Log'!Z:Z,"Rejected",'QA Log'!L:L,"*EPI*"),
COUNTIFS('QA Log'!D:D,A268,'QA Log'!M:M,"QQC",'QA Log'!Z:Z,"Rejected",'QA Log'!L:L,"*10. Antenatal Care (ANC)*"),
COUNTIFS('QA Log'!D:D,A268,'QA Log'!M:M,"QQC",'QA Log'!Z:Z,"Rejected",'QA Log'!L:L,"*2. Hygiene and Sterilization*"),
COUNTIFS('QA Log'!D:D,A268,'QA Log'!M:M,"QQC",'QA Log'!Z:Z,"Rejected",'QA Log'!L:L,"*Family Planning*")))</f>
        <v/>
      </c>
      <c r="S268" s="106" t="str">
        <f t="shared" si="27"/>
        <v/>
      </c>
      <c r="T268" s="102" t="str">
        <f t="shared" si="28"/>
        <v/>
      </c>
      <c r="U268" s="102" t="str">
        <f>IF(A268="","",
SUM(
COUNTIFS('QA Log'!D:D,A268,'QA Log'!M:M,"QQC",'QA Log'!L:L,"*8. Maternity*"),
COUNTIFS('QA Log'!D:D,A268,'QA Log'!M:M,"QQC",'QA Log'!L:L,"*9. EPI and Pre-school Consultation*"),
COUNTIFS('QA Log'!D:D,A268,'QA Log'!M:M,"QQC",'QA Log'!L:L,"*10. Antenatal Care (ANC)*"),
COUNTIFS('QA Log'!D:D,A268,'QA Log'!M:M,"QQC",'QA Log'!L:L,"*2. Hygiene and Sterilization*"),
COUNTIFS('QA Log'!D:D,A268,'QA Log'!M:M,"QQC",'QA Log'!L:L,"*4. Family Planning*")
))</f>
        <v/>
      </c>
      <c r="V268" s="102" t="str">
        <f>IF(A268="","",
SUM(
COUNTIFS('QA Log'!D:D,A268,'QA Log'!M:M,"QQC",'QA Log'!Z:Z,"Approved",'QA Log'!L:L,"*8. Maternity*"),
COUNTIFS('QA Log'!D:D,A268,'QA Log'!M:M,"QQC",'QA Log'!Z:Z,"Approved",'QA Log'!L:L,"*9. EPI and Pre-school Consultation*"),
COUNTIFS('QA Log'!D:D,A268,'QA Log'!M:M,"QQC",'QA Log'!Z:Z,"Approved",'QA Log'!L:L,"*10. Antenatal Care (ANC)*"),
COUNTIFS('QA Log'!D:D,A268,'QA Log'!M:M,"QQC",'QA Log'!Z:Z,"Approved",'QA Log'!L:L,"*2. Hygiene and Sterilization*"),
COUNTIFS('QA Log'!D:D,A268,'QA Log'!M:M,"QQC",'QA Log'!Z:Z,"Approved",'QA Log'!L:L,"*4. Family Planning*")
))</f>
        <v/>
      </c>
      <c r="W268" s="105" t="str">
        <f>IF(A268&lt;&gt;"",COUNTIFS('QA Log'!D:D,A268,'QA Log'!M:M,"QQC",'QA Log'!L:L,"8. Maternity",'QA Log'!Z:Z,"Approved"),"")</f>
        <v/>
      </c>
      <c r="X268" s="105" t="str">
        <f>IF(A268&lt;&gt;"",COUNTIFS('QA Log'!D:D,A268,'QA Log'!M:M,"QQC",'QA Log'!L:L,"9. EPI and Pre-school Consultation",'QA Log'!Z:Z,"Approved"),"")</f>
        <v/>
      </c>
      <c r="Y268" s="105" t="str">
        <f>IF(A268&lt;&gt;"",COUNTIFS('QA Log'!D:D,A268,'QA Log'!M:M,"QQC",'QA Log'!L:L,"10. Antenatal Care (ANC)",'QA Log'!Z:Z,"Approved"),"")</f>
        <v/>
      </c>
      <c r="Z268" s="105" t="str">
        <f>IF(A268&lt;&gt;"",COUNTIFS('QA Log'!D:D,A268,'QA Log'!M:M,"QQC",'QA Log'!L:L,"2. Hygiene and Sterilization",'QA Log'!Z:Z,"Approved"),"")</f>
        <v/>
      </c>
      <c r="AA268" s="105" t="str">
        <f>IF(A268&lt;&gt;"",COUNTIFS('QA Log'!D:D,A268,'QA Log'!M:M,"QQC",'QA Log'!L:L,"4. Family Planning",'QA Log'!Z:Z,"Approved"),"")</f>
        <v/>
      </c>
      <c r="AB268" s="102" t="str">
        <f>IF(A268="","",
SUM(
COUNTIFS('QA Log'!D:D,A268,'QA Log'!M:M,"QQC",'QA Log'!Z:Z,"Rejected",'QA Log'!L:L,"*8. Maternity*"),
COUNTIFS('QA Log'!D:D,A268,'QA Log'!M:M,"QQC",'QA Log'!Z:Z,"Rejected",'QA Log'!L:L,"*9. EPI and Pre-school Consultation*"),
COUNTIFS('QA Log'!D:D,A268,'QA Log'!M:M,"QQC",'QA Log'!Z:Z,"Rejected",'QA Log'!L:L,"*10. Antenatal Care (ANC)*"),
COUNTIFS('QA Log'!D:D,A268,'QA Log'!M:M,"QQC",'QA Log'!Z:Z,"Rejected",'QA Log'!L:L,"*2. Hygiene and Sterilization*"),
COUNTIFS('QA Log'!D:D,A268,'QA Log'!M:M,"QQC",'QA Log'!Z:Z,"Rejected",'QA Log'!L:L,"*4. Family Planning*")
))</f>
        <v/>
      </c>
      <c r="AC268" s="102" t="str">
        <f t="shared" si="29"/>
        <v/>
      </c>
      <c r="AD268" s="103" t="str">
        <f t="shared" si="30"/>
        <v/>
      </c>
      <c r="AE268" s="102" t="str">
        <f>IF(A268="","",
SUM(
COUNTIFS('QA Log'!D:D,A268,'QA Log'!M:M,"Data Verification",'QA Log'!L:L,"*Medicine (section 2)*"),
COUNTIFS('QA Log'!D:D,A268,'QA Log'!M:M,"Data Verification",'QA Log'!L:L,"*Lab Testing Availability*"),
COUNTIFS('QA Log'!D:D,A268,'QA Log'!M:M,"Data Verification",'QA Log'!L:L,"*Other than P4P (section 6)*"),
COUNTIFS('QA Log'!D:D,A268,'QA Log'!M:M,"Data Verification",'QA Log'!L:L,"*Hospital Governance*")
))</f>
        <v/>
      </c>
      <c r="AF268" s="102" t="str">
        <f>IF(A268="","",
SUM(
COUNTIFS('QA Log'!D:D,A268,'QA Log'!M:M,"Data Verification",'QA Log'!Z:Z,"Approved",'QA Log'!L:L,"*Medicine (section 2)*"),
COUNTIFS('QA Log'!D:D,A268,'QA Log'!M:M,"Data Verification",'QA Log'!Z:Z,"Approved",'QA Log'!L:L,"*Lab Testing Availability*"),
COUNTIFS('QA Log'!D:D,A268,'QA Log'!M:M,"Data Verification",'QA Log'!Z:Z,"Approved",'QA Log'!L:L,"*Other than P4P (section 6)*"),
COUNTIFS('QA Log'!D:D,A268,'QA Log'!M:M,"Data Verification",'QA Log'!Z:Z,"Approved",'QA Log'!L:L,"*Hospital Governance*")
))</f>
        <v/>
      </c>
      <c r="AG268" s="105" t="str">
        <f>IF(A268&lt;&gt;"",COUNTIFS('QA Log'!D:D,A268,'QA Log'!M:M,"Data Verification",'QA Log'!L:L,"Medicine (section 2)",'QA Log'!Z:Z,"Approved"),"")</f>
        <v/>
      </c>
      <c r="AH268" s="105" t="str">
        <f>IF(A268&lt;&gt;"",COUNTIFS('QA Log'!D:D,A268,'QA Log'!M:M,"Data Verification",'QA Log'!L:L,"Lab Testing Availability",'QA Log'!Z:Z,"Approved"),"")</f>
        <v/>
      </c>
      <c r="AI268" s="105" t="str">
        <f>IF(A268&lt;&gt;"",COUNTIFS('QA Log'!D:D,A268,'QA Log'!M:M,"Data Verification",'QA Log'!L:L,"Other than P4P (section 6)",'QA Log'!Z:Z,"Approved"),"")</f>
        <v/>
      </c>
      <c r="AJ268" s="105" t="str">
        <f>IF(A268&lt;&gt;"",COUNTIFS('QA Log'!D:D,A268,'QA Log'!M:M,"Data Verification",'QA Log'!L:L,"Hospital Governance",'QA Log'!Z:Z,"Approved"),"")</f>
        <v/>
      </c>
      <c r="AK268" s="102" t="str">
        <f>IF(A268="","",
SUM(
COUNTIFS('QA Log'!D:D,A268,'QA Log'!M:M,"Data Verification",'QA Log'!Z:Z,"Rejected",'QA Log'!L:L,"*Medicine (section 2)*"),
COUNTIFS('QA Log'!D:D,A268,'QA Log'!M:M,"Data Verification",'QA Log'!Z:Z,"Rejected",'QA Log'!L:L,"*Lab Testing Availability*"),
COUNTIFS('QA Log'!D:D,A268,'QA Log'!M:M,"Data Verification",'QA Log'!Z:Z,"Rejected",'QA Log'!L:L,"*Other than P4P (section 6)*"),
COUNTIFS('QA Log'!D:D,A268,'QA Log'!M:M,"Data Verification",'QA Log'!Z:Z,"Rejected",'QA Log'!L:L,"*Hospital Governance*")
))</f>
        <v/>
      </c>
      <c r="AL268" s="106" t="str">
        <f t="shared" si="31"/>
        <v/>
      </c>
      <c r="AM268" s="102" t="str">
        <f t="shared" si="32"/>
        <v/>
      </c>
      <c r="AN268" s="102" t="str">
        <f>IF(A268="","",
SUM(
COUNTIFS('QA Log'!D:D,A268,'QA Log'!M:M,"Data Verification",'QA Log'!L:L,"*Personnel (section 1)*"),
COUNTIFS('QA Log'!D:D,A268,'QA Log'!M:M,"Data Verification",'QA Log'!L:L,"*Consumable (section 3)*"),
COUNTIFS('QA Log'!D:D,A268,'QA Log'!M:M,"Data Verification",'QA Log'!L:L,"*Equipments (section 4)*")
))</f>
        <v/>
      </c>
      <c r="AO268" s="102" t="str">
        <f>IF(A268="","",
SUM(
COUNTIFS('QA Log'!D:D,A268,'QA Log'!M:M,"Data Verification",'QA Log'!Z:Z,"Approved",'QA Log'!L:L,"*Personnel (section 1)*"),
COUNTIFS('QA Log'!D:D,A268,'QA Log'!M:M,"Data Verification",'QA Log'!Z:Z,"Approved",'QA Log'!L:L,"*Consumable (section 3)*"),
COUNTIFS('QA Log'!D:D,A268,'QA Log'!M:M,"Data Verification",'QA Log'!Z:Z,"Approved",'QA Log'!L:L,"*Equipments (section 4)*")
))</f>
        <v/>
      </c>
      <c r="AP268" s="105" t="str">
        <f>IF(A268&lt;&gt;"",COUNTIFS('QA Log'!D:D,A268,'QA Log'!M:M,"Data Verification",'QA Log'!L:L,"Personnel (section 1)",'QA Log'!Z:Z,"Approved"),"")</f>
        <v/>
      </c>
      <c r="AQ268" s="105" t="str">
        <f>IF(A268&lt;&gt;"",COUNTIFS('QA Log'!D:D,A268,'QA Log'!M:M,"Data Verification",'QA Log'!L:L,"Consumable (section 3)",'QA Log'!Z:Z,"Approved"),"")</f>
        <v/>
      </c>
      <c r="AR268" s="105" t="str">
        <f>IF(A268&lt;&gt;"",COUNTIFS('QA Log'!D:D,A268,'QA Log'!M:M,"Data Verification",'QA Log'!L:L,"Equipments (section 4)",'QA Log'!Z:Z,"Approved"),"")</f>
        <v/>
      </c>
      <c r="AS268" s="102" t="str">
        <f>IF(A268="","",
SUM(
COUNTIFS('QA Log'!D:D,A268,'QA Log'!M:M,"Data Verification",'QA Log'!Z:Z,"Rejected",'QA Log'!L:L,"*Personnel (section 1)*"),
COUNTIFS('QA Log'!D:D,A268,'QA Log'!M:M,"Data Verification",'QA Log'!Z:Z,"Rejected",'QA Log'!L:L,"*Consumable (section 3)*"),
COUNTIFS('QA Log'!D:D,A268,'QA Log'!M:M,"Data Verification",'QA Log'!Z:Z,"Rejected",'QA Log'!L:L,"*Equipments (section 4)*")
))</f>
        <v/>
      </c>
      <c r="AT268" s="102" t="str">
        <f t="shared" si="33"/>
        <v/>
      </c>
      <c r="AU268" s="103" t="str">
        <f t="shared" si="34"/>
        <v/>
      </c>
      <c r="AV268" s="102" t="str">
        <f>IF(A268="","",SUM(
COUNTIFS('QA Log'!D:D,A268,'QA Log'!M:M,"Vignette",'QA Log'!L:L,"*Vignette [1] Respiratory Infection: Pneumonia*"),
COUNTIFS('QA Log'!D:D,A268,'QA Log'!M:M,"Vignette",'QA Log'!L:L,"*Vignette [2]: Diarrhea with Cat B dehydration*"),
COUNTIFS('QA Log'!D:D,A268,'QA Log'!M:M,"Vignette",'QA Log'!L:L,"*Vignette [3] Growth Monitoring and Promotion*"),
COUNTIFS('QA Log'!D:D,A268,'QA Log'!M:M,"Vignette",'QA Log'!L:L,"*Vignette [4]: The management of presumptive TB patient*")
)
)</f>
        <v/>
      </c>
      <c r="AW268" s="102" t="str">
        <f>IF(
  A268="","",
  SUM(
    COUNTIFS('QA Log'!D:D,A268,'QA Log'!M:M,"Vignette",'QA Log'!Z:Z,"Approved",'QA Log'!L:L,"*Vignette [1] Respiratory Infection: Pneumonia*"),
    COUNTIFS('QA Log'!D:D,A268,'QA Log'!M:M,"Vignette",'QA Log'!Z:Z,"Approved",'QA Log'!L:L,"*Vignette [2]: Diarrhea with Cat B dehydration*"),
    COUNTIFS('QA Log'!D:D,A268,'QA Log'!M:M,"Vignette",'QA Log'!Z:Z,"Approved",'QA Log'!L:L,"*Vignette [3] Growth Monitoring and Promotion*"),
    COUNTIFS('QA Log'!D:D,A268,'QA Log'!M:M,"Vignette",'QA Log'!Z:Z,"Approved",'QA Log'!L:L,"*Vignette [4]: The management of presumptive TB patient*")
  )
)</f>
        <v/>
      </c>
      <c r="AX268" s="105" t="str">
        <f>IF(A268&lt;&gt;"",COUNTIFS('QA Log'!D:D,A268,'QA Log'!M:M,"Vignette",'QA Log'!L:L,"Vignette [1] Respiratory Infection: Pneumonia",'QA Log'!Z:Z,"Approved"),"")</f>
        <v/>
      </c>
      <c r="AY268" s="105" t="str">
        <f>IF(A268&lt;&gt;"",COUNTIFS('QA Log'!D:D,A268,'QA Log'!M:M,"Vignette",'QA Log'!L:L,"Vignette [2]: Diarrhea with Cat B dehydration",'QA Log'!Z:Z,"Approved"),"")</f>
        <v/>
      </c>
      <c r="AZ268" s="105" t="str">
        <f>IF(A268&lt;&gt;"",COUNTIFS('QA Log'!D:D,A268,'QA Log'!M:M,"Vignette",'QA Log'!L:L,"Vignette [3] Growth Monitoring and Promotion",'QA Log'!Z:Z,"Approved"),"")</f>
        <v/>
      </c>
      <c r="BA268" s="105" t="str">
        <f>IF(A268&lt;&gt;"",COUNTIFS('QA Log'!D:D,A268,'QA Log'!M:M,"Vignette",'QA Log'!L:L,"Vignette [4]: The management of presumptive TB patient",'QA Log'!Z:Z,"Approved"),"")</f>
        <v/>
      </c>
      <c r="BB268" s="102" t="str">
        <f>IF(A268="","",
  SUM(
    COUNTIFS('QA Log'!D:D,A268,'QA Log'!M:M,"Vignette",'QA Log'!Z:Z,"Rejected",'QA Log'!L:L,"*Vignette [1] Respiratory Infection: Pneumonia*"),
    COUNTIFS('QA Log'!D:D,A268,'QA Log'!M:M,"Vignette",'QA Log'!Z:Z,"Rejected",'QA Log'!L:L,"*Vignette [2]: Diarrhea with Cat B dehydration*"),
    COUNTIFS('QA Log'!D:D,A268,'QA Log'!M:M,"Vignette",'QA Log'!Z:Z,"Rejected",'QA Log'!L:L,"*Vignette [3] Growth Monitoring and Promotion*"),
    COUNTIFS('QA Log'!D:D,A268,'QA Log'!M:M,"Vignette",'QA Log'!Z:Z,"Rejected",'QA Log'!L:L,"*Vignette [4]: The management of presumptive TB patient*")
  )
)</f>
        <v/>
      </c>
      <c r="BC268" s="107" t="str">
        <f t="shared" si="35"/>
        <v/>
      </c>
      <c r="BD268" s="103" t="str">
        <f t="shared" si="36"/>
        <v/>
      </c>
      <c r="BE268" s="102" t="str">
        <f>IF(A268="","",SUM(
COUNTIFS('QA Log'!D:D,A268,'QA Log'!M:M,"Vignette",'QA Log'!L:L,"*Vignette [5] Labor*"),
COUNTIFS('QA Log'!D:D,A268,'QA Log'!M:M,"Vignette",'QA Log'!L:L,"*Vignette [6] PNC pre Discharge*"),
COUNTIFS('QA Log'!D:D,A268,'QA Log'!M:M,"Vignette",'QA Log'!L:L,"*Vignette [7] First ANC Visit*"),
COUNTIFS('QA Log'!D:D,A268,'QA Log'!M:M,"Vignette",'QA Log'!L:L,"*Vignette [8] Birth Spacing/ Family Planning :  FP Counselling*"),
COUNTIFS('QA Log'!D:D,A268,'QA Log'!M:M,"Vignette",'QA Log'!L:L,"*Vignette [9] Birth Spacing: Change FP method to Injectable*"),
COUNTIFS('QA Log'!D:D,A268,'QA Log'!M:M,"Vignette",'QA Log'!L:L,"*Vignette [10] Post Partum Haemorrhage - Atonic Uterus at Health Centre*"),
)
)</f>
        <v/>
      </c>
      <c r="BF268" s="102" t="str">
        <f>IF(A268="","",
  SUM(
    COUNTIFS('QA Log'!D:D,A268,'QA Log'!M:M,"Vignette",'QA Log'!Z:Z,"Approved",'QA Log'!L:L,"*Vignette [5] Labor*"),
    COUNTIFS('QA Log'!D:D,A268,'QA Log'!M:M,"Vignette",'QA Log'!Z:Z,"Approved",'QA Log'!L:L,"*Vignette [6] PNC pre Discharge*"),
    COUNTIFS('QA Log'!D:D,A268,'QA Log'!M:M,"Vignette",'QA Log'!Z:Z,"Approved",'QA Log'!L:L,"*Vignette [7] First ANC Visit*"),
    COUNTIFS('QA Log'!D:D,A268,'QA Log'!M:M,"Vignette",'QA Log'!Z:Z,"Approved",'QA Log'!L:L,"*Vignette [8] Birth Spacing/ Family Planning :  FP Counselling*"),
    COUNTIFS('QA Log'!D:D,A268,'QA Log'!M:M,"Vignette",'QA Log'!Z:Z,"Approved",'QA Log'!L:L,"*Vignette [9] Birth Spacing: Change FP method to Injectable*"),
    COUNTIFS('QA Log'!D:D,A268,'QA Log'!M:M,"Vignette",'QA Log'!Z:Z,"Approved",'QA Log'!L:L,"*Vignette [10] Post Partum Haemorrhage - Atonic Uterus at Health Centre*")
  )
)</f>
        <v/>
      </c>
      <c r="BG268" s="105" t="str">
        <f>IF(A268&lt;&gt;"",COUNTIFS('QA Log'!D:D,A268,'QA Log'!M:M,"Vignette",'QA Log'!L:L,"Vignette [5] Labor",'QA Log'!Z:Z,"Approved"),"")</f>
        <v/>
      </c>
      <c r="BH268" s="105" t="str">
        <f>IF(A268&lt;&gt;"",COUNTIFS('QA Log'!D:D,A268,'QA Log'!M:M,"Vignette",'QA Log'!L:L,"Vignette [6] PNC pre Discharge",'QA Log'!Z:Z,"Approved"),"")</f>
        <v/>
      </c>
      <c r="BI268" s="105" t="str">
        <f>IF(A268&lt;&gt;"",COUNTIFS('QA Log'!D:D,A268,'QA Log'!M:M,"Vignette",'QA Log'!L:L,"Vignette [7] First ANC Visit",'QA Log'!Z:Z,"Approved"),"")</f>
        <v/>
      </c>
      <c r="BJ268" s="105" t="str">
        <f>IF(A268&lt;&gt;"",COUNTIFS('QA Log'!D:D,A268,'QA Log'!M:M,"Vignette",'QA Log'!L:L,"Vignette [8] Birth Spacing/ Family Planning :  FP Counselling",'QA Log'!Z:Z,"Approved"),"")</f>
        <v/>
      </c>
      <c r="BK268" s="105" t="str">
        <f>IF(A268&lt;&gt;"",COUNTIFS('QA Log'!D:D,A268,'QA Log'!M:M,"Vignette",'QA Log'!L:L,"Vignette [9] Birth Spacing: Change FP method to Injectable",'QA Log'!Z:Z,"Approved"),"")</f>
        <v/>
      </c>
      <c r="BL268" s="105" t="str">
        <f>IF(A268&lt;&gt;"",COUNTIFS('QA Log'!D:D,A268,'QA Log'!M:M,"Vignette",'QA Log'!L:L,"Vignette [10] Post Partum Haemorrhage - Atonic Uterus at Health Centre",'QA Log'!Z:Z,"Approved"),"")</f>
        <v/>
      </c>
      <c r="BM268" s="102" t="str">
        <f>IF(A268="","",SUM(
    COUNTIFS('QA Log'!D:D,A268,'QA Log'!M:M,"Vignette",'QA Log'!Z:Z,"Rejected",'QA Log'!L:L,"*Vignette [5] Labor*"),
    COUNTIFS('QA Log'!D:D,A268,'QA Log'!M:M,"Vignette",'QA Log'!Z:Z,"Rejected",'QA Log'!L:L,"*Vignette [6] PNC pre Discharge*"),
    COUNTIFS('QA Log'!D:D,A268,'QA Log'!M:M,"Vignette",'QA Log'!Z:Z,"Rejected",'QA Log'!L:L,"*Vignette [7] First ANC Visit*"),
    COUNTIFS('QA Log'!D:D,A268,'QA Log'!M:M,"Vignette",'QA Log'!Z:Z,"Rejected",'QA Log'!L:L,"*Vignette [8] Birth Spacing/ Family Planning :  FP Counselling*"),
    COUNTIFS('QA Log'!D:D,A268,'QA Log'!M:M,"Vignette",'QA Log'!Z:Z,"Rejected",'QA Log'!L:L,"*Vignette [9] Birth Spacing: Change FP method to Injectable*"),
    COUNTIFS('QA Log'!D:D,A268,'QA Log'!M:M,"Vignette",'QA Log'!Z:Z,"Rejected",'QA Log'!L:L,"*Vignette [10] Post Partum Haemorrhage - Atonic Uterus at Health Centre*")
  )
)</f>
        <v/>
      </c>
      <c r="BN268" s="107" t="str">
        <f t="shared" si="37"/>
        <v/>
      </c>
      <c r="BO268" s="103" t="str">
        <f t="shared" si="38"/>
        <v/>
      </c>
      <c r="BP268" s="102" t="str">
        <f>IF(A268="","",SUM(
COUNTIFS('QA Log'!D:D,A268,'QA Log'!M:M,"Vignette",'QA Log'!L:L,"*Exit Interview 1*"),
COUNTIFS('QA Log'!D:D,A268,'QA Log'!M:M,"Vignette",'QA Log'!L:L,"*Exit Interview 2*"),
)
)</f>
        <v/>
      </c>
      <c r="BQ268" s="102" t="str">
        <f>IF(
  A268="","",
  SUM(
    COUNTIFS('QA Log'!D:D,A268,'QA Log'!M:M,"Vignette",'QA Log'!Z:Z,"Approved",'QA Log'!L:L,"*Exit Interview 1*"),
    COUNTIFS('QA Log'!D:D,A268,'QA Log'!M:M,"Vignette",'QA Log'!Z:Z,"Approved",'QA Log'!L:L,"*Exit Interview 2*")
  )
)</f>
        <v/>
      </c>
      <c r="BR268" s="105" t="str">
        <f>IF(A268&lt;&gt;"",COUNTIFS('QA Log'!D:D,A268,'QA Log'!M:M,"Vignette",'QA Log'!L:L,"Exit Interview 1",'QA Log'!Z:Z,"Approved"),"")</f>
        <v/>
      </c>
      <c r="BS268" s="105" t="str">
        <f>IF(A268&lt;&gt;"",COUNTIFS('QA Log'!D:D,A268,'QA Log'!M:M,"Vignette",'QA Log'!L:L,"Exit Interview 2",'QA Log'!Z:Z,"Approved"),"")</f>
        <v/>
      </c>
      <c r="BT268" s="102" t="str">
        <f>IF(
  A268="","",
  SUM(
    COUNTIFS('QA Log'!D:D,A268,'QA Log'!M:M,"Vignette",'QA Log'!Z:Z,"Rejected",'QA Log'!L:L,"*Exit Interview 1*"),
    COUNTIFS('QA Log'!D:D,A268,'QA Log'!M:M,"Vignette",'QA Log'!Z:Z,"Rejected",'QA Log'!L:L,"*Exit Interview 2*")
  )
)</f>
        <v/>
      </c>
      <c r="BU268" s="107" t="str">
        <f t="shared" si="39"/>
        <v/>
      </c>
      <c r="BV268" s="102" t="str">
        <f t="shared" si="40"/>
        <v/>
      </c>
      <c r="BW268" s="102" t="str">
        <f t="shared" si="41"/>
        <v/>
      </c>
      <c r="BX268" s="102" t="str">
        <f t="shared" si="42"/>
        <v/>
      </c>
      <c r="BY268" s="102" t="str">
        <f t="shared" si="43"/>
        <v/>
      </c>
      <c r="BZ268" s="107" t="str">
        <f t="shared" si="44"/>
        <v/>
      </c>
      <c r="CA268" s="108" t="str">
        <f t="shared" si="45"/>
        <v/>
      </c>
      <c r="CB268" s="108" t="str">
        <f t="shared" si="46"/>
        <v/>
      </c>
      <c r="CC268" s="109" t="str">
        <f t="shared" si="47"/>
        <v/>
      </c>
      <c r="CD268" s="108" t="str">
        <f t="shared" si="48"/>
        <v/>
      </c>
      <c r="CE268" s="108" t="str">
        <f t="shared" si="49"/>
        <v/>
      </c>
      <c r="CF268" s="109" t="str">
        <f t="shared" si="50"/>
        <v/>
      </c>
      <c r="CG268" s="110" t="str">
        <f t="shared" si="51"/>
        <v/>
      </c>
      <c r="CH268" s="111"/>
    </row>
    <row r="269" spans="1:86" ht="12.75">
      <c r="A269" s="101"/>
      <c r="B269" s="102" t="e">
        <f t="array" aca="1" ref="B269" ca="1">_xludf.XLOOKUP(A269,'QA Log'!D:D,'QA Log'!E:E,"")</f>
        <v>#NAME?</v>
      </c>
      <c r="C269" s="102" t="e">
        <f t="array" aca="1" ref="C269" ca="1">_xludf.XLOOKUP(A269,'QA Log'!D:D,'QA Log'!F:F,"")</f>
        <v>#NAME?</v>
      </c>
      <c r="D269" s="102" t="e">
        <f t="array" aca="1" ref="D269" ca="1">_xludf.XLOOKUP(A269,'QA Log'!D:D,'QA Log'!H:H,"")</f>
        <v>#NAME?</v>
      </c>
      <c r="E269" s="102" t="e">
        <f t="array" aca="1" ref="E269" ca="1">_xludf.XLOOKUP(A269,'QA Log'!D:D,'QA Log'!G:G,"")</f>
        <v>#NAME?</v>
      </c>
      <c r="F269" s="103"/>
      <c r="G269" s="104"/>
      <c r="H269" s="104"/>
      <c r="I269" s="103" t="str">
        <f t="shared" si="26"/>
        <v/>
      </c>
      <c r="J269" s="102" t="str">
        <f>IF(A269="","",SUM(
COUNTIFS('QA Log'!D:D,A269,'QA Log'!M:M,"QQC",'QA Log'!L:L,"*1. General Management*"),
COUNTIFS('QA Log'!D:D,A269,'QA Log'!M:M,"QQC",'QA Log'!L:L,"*3. Curative Consultation (OPD)*"),
COUNTIFS('QA Log'!D:D,A269,'QA Log'!M:M,"QQC",'QA Log'!L:L,"*5. Laboratory*"),
COUNTIFS('QA Log'!D:D,A269,'QA Log'!M:M,"QQC",'QA Log'!L:L,"*6. Essential Medicine Management*"),
COUNTIFS('QA Log'!D:D,A269,'QA Log'!M:M,"QQC",'QA Log'!L:L,"*7. Tracer Medicine*"),
COUNTIFS('QA Log'!D:D,A269,'QA Log'!M:M,"QQC",'QA Log'!L:L,"*11. Additional Questions*")))</f>
        <v/>
      </c>
      <c r="K269" s="102" t="str">
        <f>IF(A269="","",SUM(
COUNTIFS('QA Log'!D:D,A269,'QA Log'!M:M,"QQC",'QA Log'!Z:Z,"Approved",'QA Log'!L:L,"*1. General Management*"),
COUNTIFS('QA Log'!D:D,A269,'QA Log'!M:M,"QQC",'QA Log'!Z:Z,"Approved",'QA Log'!L:L,"*3. Curative Consultation (OPD)*"),
COUNTIFS('QA Log'!D:D,A269,'QA Log'!M:M,"QQC",'QA Log'!Z:Z,"Approved",'QA Log'!L:L,"*5. Laboratory*"),
COUNTIFS('QA Log'!D:D,A269,'QA Log'!M:M,"QQC",'QA Log'!Z:Z,"Approved",'QA Log'!L:L,"*6. Essential Medicine Management*"),
COUNTIFS('QA Log'!D:D,A269,'QA Log'!M:M,"QQC",'QA Log'!Z:Z,"Approved",'QA Log'!L:L,"*7. Tracer Medicine*"),
COUNTIFS('QA Log'!D:D,A269,'QA Log'!M:M,"QQC",'QA Log'!Z:Z,"Approved",'QA Log'!L:L,"*11. Additional Questions*")))</f>
        <v/>
      </c>
      <c r="L269" s="105" t="str">
        <f>IF(A269&lt;&gt;"",COUNTIFS('QA Log'!D:D,A269,'QA Log'!M:M,"QQC",'QA Log'!L:L,"1. General Management",'QA Log'!Z:Z,"Approved"),"")</f>
        <v/>
      </c>
      <c r="M269" s="105" t="str">
        <f>IF(A269&lt;&gt;"",COUNTIFS('QA Log'!D:D,A269,'QA Log'!M:M,"QQC",'QA Log'!L:L,"3. Curative Consultation (OPD)",'QA Log'!Z:Z,"Approved"),"")</f>
        <v/>
      </c>
      <c r="N269" s="105" t="str">
        <f>IF(A269&lt;&gt;"",COUNTIFS('QA Log'!D:D,A269,'QA Log'!M:M,"QQC",'QA Log'!L:L,"5. Laboratory",'QA Log'!Z:Z,"Approved"),"")</f>
        <v/>
      </c>
      <c r="O269" s="105" t="str">
        <f>IF(A269&lt;&gt;"",COUNTIFS('QA Log'!D:D,A269,'QA Log'!M:M,"QQC",'QA Log'!L:L,"6. Essential Medicine Management",'QA Log'!Z:Z,"Approved"),"")</f>
        <v/>
      </c>
      <c r="P269" s="105" t="str">
        <f>IF(A269&lt;&gt;"",COUNTIFS('QA Log'!D:D,A269,'QA Log'!M:M,"QQC",'QA Log'!L:L,"7. Tracer Medicine",'QA Log'!Z:Z,"Approved"),"")</f>
        <v/>
      </c>
      <c r="Q269" s="105" t="str">
        <f>IF(A269&lt;&gt;"",COUNTIFS('QA Log'!D:D,A269,'QA Log'!M:M,"QQC",'QA Log'!L:L,"11. Additional Questions",'QA Log'!Z:Z,"Approved"),"")</f>
        <v/>
      </c>
      <c r="R269" s="102" t="str">
        <f>IF(A269="","",SUM(
COUNTIFS('QA Log'!D:D,A269,'QA Log'!M:M,"QQC",'QA Log'!Z:Z,"Rejected",'QA Log'!L:L,"*8. Maternity*"),
COUNTIFS('QA Log'!D:D,A269,'QA Log'!M:M,"QQC",'QA Log'!Z:Z,"Rejected",'QA Log'!L:L,"*EPI*"),
COUNTIFS('QA Log'!D:D,A269,'QA Log'!M:M,"QQC",'QA Log'!Z:Z,"Rejected",'QA Log'!L:L,"*10. Antenatal Care (ANC)*"),
COUNTIFS('QA Log'!D:D,A269,'QA Log'!M:M,"QQC",'QA Log'!Z:Z,"Rejected",'QA Log'!L:L,"*2. Hygiene and Sterilization*"),
COUNTIFS('QA Log'!D:D,A269,'QA Log'!M:M,"QQC",'QA Log'!Z:Z,"Rejected",'QA Log'!L:L,"*Family Planning*")))</f>
        <v/>
      </c>
      <c r="S269" s="106" t="str">
        <f t="shared" si="27"/>
        <v/>
      </c>
      <c r="T269" s="102" t="str">
        <f t="shared" si="28"/>
        <v/>
      </c>
      <c r="U269" s="102" t="str">
        <f>IF(A269="","",
SUM(
COUNTIFS('QA Log'!D:D,A269,'QA Log'!M:M,"QQC",'QA Log'!L:L,"*8. Maternity*"),
COUNTIFS('QA Log'!D:D,A269,'QA Log'!M:M,"QQC",'QA Log'!L:L,"*9. EPI and Pre-school Consultation*"),
COUNTIFS('QA Log'!D:D,A269,'QA Log'!M:M,"QQC",'QA Log'!L:L,"*10. Antenatal Care (ANC)*"),
COUNTIFS('QA Log'!D:D,A269,'QA Log'!M:M,"QQC",'QA Log'!L:L,"*2. Hygiene and Sterilization*"),
COUNTIFS('QA Log'!D:D,A269,'QA Log'!M:M,"QQC",'QA Log'!L:L,"*4. Family Planning*")
))</f>
        <v/>
      </c>
      <c r="V269" s="102" t="str">
        <f>IF(A269="","",
SUM(
COUNTIFS('QA Log'!D:D,A269,'QA Log'!M:M,"QQC",'QA Log'!Z:Z,"Approved",'QA Log'!L:L,"*8. Maternity*"),
COUNTIFS('QA Log'!D:D,A269,'QA Log'!M:M,"QQC",'QA Log'!Z:Z,"Approved",'QA Log'!L:L,"*9. EPI and Pre-school Consultation*"),
COUNTIFS('QA Log'!D:D,A269,'QA Log'!M:M,"QQC",'QA Log'!Z:Z,"Approved",'QA Log'!L:L,"*10. Antenatal Care (ANC)*"),
COUNTIFS('QA Log'!D:D,A269,'QA Log'!M:M,"QQC",'QA Log'!Z:Z,"Approved",'QA Log'!L:L,"*2. Hygiene and Sterilization*"),
COUNTIFS('QA Log'!D:D,A269,'QA Log'!M:M,"QQC",'QA Log'!Z:Z,"Approved",'QA Log'!L:L,"*4. Family Planning*")
))</f>
        <v/>
      </c>
      <c r="W269" s="105" t="str">
        <f>IF(A269&lt;&gt;"",COUNTIFS('QA Log'!D:D,A269,'QA Log'!M:M,"QQC",'QA Log'!L:L,"8. Maternity",'QA Log'!Z:Z,"Approved"),"")</f>
        <v/>
      </c>
      <c r="X269" s="105" t="str">
        <f>IF(A269&lt;&gt;"",COUNTIFS('QA Log'!D:D,A269,'QA Log'!M:M,"QQC",'QA Log'!L:L,"9. EPI and Pre-school Consultation",'QA Log'!Z:Z,"Approved"),"")</f>
        <v/>
      </c>
      <c r="Y269" s="105" t="str">
        <f>IF(A269&lt;&gt;"",COUNTIFS('QA Log'!D:D,A269,'QA Log'!M:M,"QQC",'QA Log'!L:L,"10. Antenatal Care (ANC)",'QA Log'!Z:Z,"Approved"),"")</f>
        <v/>
      </c>
      <c r="Z269" s="105" t="str">
        <f>IF(A269&lt;&gt;"",COUNTIFS('QA Log'!D:D,A269,'QA Log'!M:M,"QQC",'QA Log'!L:L,"2. Hygiene and Sterilization",'QA Log'!Z:Z,"Approved"),"")</f>
        <v/>
      </c>
      <c r="AA269" s="105" t="str">
        <f>IF(A269&lt;&gt;"",COUNTIFS('QA Log'!D:D,A269,'QA Log'!M:M,"QQC",'QA Log'!L:L,"4. Family Planning",'QA Log'!Z:Z,"Approved"),"")</f>
        <v/>
      </c>
      <c r="AB269" s="102" t="str">
        <f>IF(A269="","",
SUM(
COUNTIFS('QA Log'!D:D,A269,'QA Log'!M:M,"QQC",'QA Log'!Z:Z,"Rejected",'QA Log'!L:L,"*8. Maternity*"),
COUNTIFS('QA Log'!D:D,A269,'QA Log'!M:M,"QQC",'QA Log'!Z:Z,"Rejected",'QA Log'!L:L,"*9. EPI and Pre-school Consultation*"),
COUNTIFS('QA Log'!D:D,A269,'QA Log'!M:M,"QQC",'QA Log'!Z:Z,"Rejected",'QA Log'!L:L,"*10. Antenatal Care (ANC)*"),
COUNTIFS('QA Log'!D:D,A269,'QA Log'!M:M,"QQC",'QA Log'!Z:Z,"Rejected",'QA Log'!L:L,"*2. Hygiene and Sterilization*"),
COUNTIFS('QA Log'!D:D,A269,'QA Log'!M:M,"QQC",'QA Log'!Z:Z,"Rejected",'QA Log'!L:L,"*4. Family Planning*")
))</f>
        <v/>
      </c>
      <c r="AC269" s="102" t="str">
        <f t="shared" si="29"/>
        <v/>
      </c>
      <c r="AD269" s="103" t="str">
        <f t="shared" si="30"/>
        <v/>
      </c>
      <c r="AE269" s="102" t="str">
        <f>IF(A269="","",
SUM(
COUNTIFS('QA Log'!D:D,A269,'QA Log'!M:M,"Data Verification",'QA Log'!L:L,"*Medicine (section 2)*"),
COUNTIFS('QA Log'!D:D,A269,'QA Log'!M:M,"Data Verification",'QA Log'!L:L,"*Lab Testing Availability*"),
COUNTIFS('QA Log'!D:D,A269,'QA Log'!M:M,"Data Verification",'QA Log'!L:L,"*Other than P4P (section 6)*"),
COUNTIFS('QA Log'!D:D,A269,'QA Log'!M:M,"Data Verification",'QA Log'!L:L,"*Hospital Governance*")
))</f>
        <v/>
      </c>
      <c r="AF269" s="102" t="str">
        <f>IF(A269="","",
SUM(
COUNTIFS('QA Log'!D:D,A269,'QA Log'!M:M,"Data Verification",'QA Log'!Z:Z,"Approved",'QA Log'!L:L,"*Medicine (section 2)*"),
COUNTIFS('QA Log'!D:D,A269,'QA Log'!M:M,"Data Verification",'QA Log'!Z:Z,"Approved",'QA Log'!L:L,"*Lab Testing Availability*"),
COUNTIFS('QA Log'!D:D,A269,'QA Log'!M:M,"Data Verification",'QA Log'!Z:Z,"Approved",'QA Log'!L:L,"*Other than P4P (section 6)*"),
COUNTIFS('QA Log'!D:D,A269,'QA Log'!M:M,"Data Verification",'QA Log'!Z:Z,"Approved",'QA Log'!L:L,"*Hospital Governance*")
))</f>
        <v/>
      </c>
      <c r="AG269" s="105" t="str">
        <f>IF(A269&lt;&gt;"",COUNTIFS('QA Log'!D:D,A269,'QA Log'!M:M,"Data Verification",'QA Log'!L:L,"Medicine (section 2)",'QA Log'!Z:Z,"Approved"),"")</f>
        <v/>
      </c>
      <c r="AH269" s="105" t="str">
        <f>IF(A269&lt;&gt;"",COUNTIFS('QA Log'!D:D,A269,'QA Log'!M:M,"Data Verification",'QA Log'!L:L,"Lab Testing Availability",'QA Log'!Z:Z,"Approved"),"")</f>
        <v/>
      </c>
      <c r="AI269" s="105" t="str">
        <f>IF(A269&lt;&gt;"",COUNTIFS('QA Log'!D:D,A269,'QA Log'!M:M,"Data Verification",'QA Log'!L:L,"Other than P4P (section 6)",'QA Log'!Z:Z,"Approved"),"")</f>
        <v/>
      </c>
      <c r="AJ269" s="105" t="str">
        <f>IF(A269&lt;&gt;"",COUNTIFS('QA Log'!D:D,A269,'QA Log'!M:M,"Data Verification",'QA Log'!L:L,"Hospital Governance",'QA Log'!Z:Z,"Approved"),"")</f>
        <v/>
      </c>
      <c r="AK269" s="102" t="str">
        <f>IF(A269="","",
SUM(
COUNTIFS('QA Log'!D:D,A269,'QA Log'!M:M,"Data Verification",'QA Log'!Z:Z,"Rejected",'QA Log'!L:L,"*Medicine (section 2)*"),
COUNTIFS('QA Log'!D:D,A269,'QA Log'!M:M,"Data Verification",'QA Log'!Z:Z,"Rejected",'QA Log'!L:L,"*Lab Testing Availability*"),
COUNTIFS('QA Log'!D:D,A269,'QA Log'!M:M,"Data Verification",'QA Log'!Z:Z,"Rejected",'QA Log'!L:L,"*Other than P4P (section 6)*"),
COUNTIFS('QA Log'!D:D,A269,'QA Log'!M:M,"Data Verification",'QA Log'!Z:Z,"Rejected",'QA Log'!L:L,"*Hospital Governance*")
))</f>
        <v/>
      </c>
      <c r="AL269" s="106" t="str">
        <f t="shared" si="31"/>
        <v/>
      </c>
      <c r="AM269" s="102" t="str">
        <f t="shared" si="32"/>
        <v/>
      </c>
      <c r="AN269" s="102" t="str">
        <f>IF(A269="","",
SUM(
COUNTIFS('QA Log'!D:D,A269,'QA Log'!M:M,"Data Verification",'QA Log'!L:L,"*Personnel (section 1)*"),
COUNTIFS('QA Log'!D:D,A269,'QA Log'!M:M,"Data Verification",'QA Log'!L:L,"*Consumable (section 3)*"),
COUNTIFS('QA Log'!D:D,A269,'QA Log'!M:M,"Data Verification",'QA Log'!L:L,"*Equipments (section 4)*")
))</f>
        <v/>
      </c>
      <c r="AO269" s="102" t="str">
        <f>IF(A269="","",
SUM(
COUNTIFS('QA Log'!D:D,A269,'QA Log'!M:M,"Data Verification",'QA Log'!Z:Z,"Approved",'QA Log'!L:L,"*Personnel (section 1)*"),
COUNTIFS('QA Log'!D:D,A269,'QA Log'!M:M,"Data Verification",'QA Log'!Z:Z,"Approved",'QA Log'!L:L,"*Consumable (section 3)*"),
COUNTIFS('QA Log'!D:D,A269,'QA Log'!M:M,"Data Verification",'QA Log'!Z:Z,"Approved",'QA Log'!L:L,"*Equipments (section 4)*")
))</f>
        <v/>
      </c>
      <c r="AP269" s="105" t="str">
        <f>IF(A269&lt;&gt;"",COUNTIFS('QA Log'!D:D,A269,'QA Log'!M:M,"Data Verification",'QA Log'!L:L,"Personnel (section 1)",'QA Log'!Z:Z,"Approved"),"")</f>
        <v/>
      </c>
      <c r="AQ269" s="105" t="str">
        <f>IF(A269&lt;&gt;"",COUNTIFS('QA Log'!D:D,A269,'QA Log'!M:M,"Data Verification",'QA Log'!L:L,"Consumable (section 3)",'QA Log'!Z:Z,"Approved"),"")</f>
        <v/>
      </c>
      <c r="AR269" s="105" t="str">
        <f>IF(A269&lt;&gt;"",COUNTIFS('QA Log'!D:D,A269,'QA Log'!M:M,"Data Verification",'QA Log'!L:L,"Equipments (section 4)",'QA Log'!Z:Z,"Approved"),"")</f>
        <v/>
      </c>
      <c r="AS269" s="102" t="str">
        <f>IF(A269="","",
SUM(
COUNTIFS('QA Log'!D:D,A269,'QA Log'!M:M,"Data Verification",'QA Log'!Z:Z,"Rejected",'QA Log'!L:L,"*Personnel (section 1)*"),
COUNTIFS('QA Log'!D:D,A269,'QA Log'!M:M,"Data Verification",'QA Log'!Z:Z,"Rejected",'QA Log'!L:L,"*Consumable (section 3)*"),
COUNTIFS('QA Log'!D:D,A269,'QA Log'!M:M,"Data Verification",'QA Log'!Z:Z,"Rejected",'QA Log'!L:L,"*Equipments (section 4)*")
))</f>
        <v/>
      </c>
      <c r="AT269" s="102" t="str">
        <f t="shared" si="33"/>
        <v/>
      </c>
      <c r="AU269" s="103" t="str">
        <f t="shared" si="34"/>
        <v/>
      </c>
      <c r="AV269" s="102" t="str">
        <f>IF(A269="","",SUM(
COUNTIFS('QA Log'!D:D,A269,'QA Log'!M:M,"Vignette",'QA Log'!L:L,"*Vignette [1] Respiratory Infection: Pneumonia*"),
COUNTIFS('QA Log'!D:D,A269,'QA Log'!M:M,"Vignette",'QA Log'!L:L,"*Vignette [2]: Diarrhea with Cat B dehydration*"),
COUNTIFS('QA Log'!D:D,A269,'QA Log'!M:M,"Vignette",'QA Log'!L:L,"*Vignette [3] Growth Monitoring and Promotion*"),
COUNTIFS('QA Log'!D:D,A269,'QA Log'!M:M,"Vignette",'QA Log'!L:L,"*Vignette [4]: The management of presumptive TB patient*")
)
)</f>
        <v/>
      </c>
      <c r="AW269" s="102" t="str">
        <f>IF(
  A269="","",
  SUM(
    COUNTIFS('QA Log'!D:D,A269,'QA Log'!M:M,"Vignette",'QA Log'!Z:Z,"Approved",'QA Log'!L:L,"*Vignette [1] Respiratory Infection: Pneumonia*"),
    COUNTIFS('QA Log'!D:D,A269,'QA Log'!M:M,"Vignette",'QA Log'!Z:Z,"Approved",'QA Log'!L:L,"*Vignette [2]: Diarrhea with Cat B dehydration*"),
    COUNTIFS('QA Log'!D:D,A269,'QA Log'!M:M,"Vignette",'QA Log'!Z:Z,"Approved",'QA Log'!L:L,"*Vignette [3] Growth Monitoring and Promotion*"),
    COUNTIFS('QA Log'!D:D,A269,'QA Log'!M:M,"Vignette",'QA Log'!Z:Z,"Approved",'QA Log'!L:L,"*Vignette [4]: The management of presumptive TB patient*")
  )
)</f>
        <v/>
      </c>
      <c r="AX269" s="105" t="str">
        <f>IF(A269&lt;&gt;"",COUNTIFS('QA Log'!D:D,A269,'QA Log'!M:M,"Vignette",'QA Log'!L:L,"Vignette [1] Respiratory Infection: Pneumonia",'QA Log'!Z:Z,"Approved"),"")</f>
        <v/>
      </c>
      <c r="AY269" s="105" t="str">
        <f>IF(A269&lt;&gt;"",COUNTIFS('QA Log'!D:D,A269,'QA Log'!M:M,"Vignette",'QA Log'!L:L,"Vignette [2]: Diarrhea with Cat B dehydration",'QA Log'!Z:Z,"Approved"),"")</f>
        <v/>
      </c>
      <c r="AZ269" s="105" t="str">
        <f>IF(A269&lt;&gt;"",COUNTIFS('QA Log'!D:D,A269,'QA Log'!M:M,"Vignette",'QA Log'!L:L,"Vignette [3] Growth Monitoring and Promotion",'QA Log'!Z:Z,"Approved"),"")</f>
        <v/>
      </c>
      <c r="BA269" s="105" t="str">
        <f>IF(A269&lt;&gt;"",COUNTIFS('QA Log'!D:D,A269,'QA Log'!M:M,"Vignette",'QA Log'!L:L,"Vignette [4]: The management of presumptive TB patient",'QA Log'!Z:Z,"Approved"),"")</f>
        <v/>
      </c>
      <c r="BB269" s="102" t="str">
        <f>IF(A269="","",
  SUM(
    COUNTIFS('QA Log'!D:D,A269,'QA Log'!M:M,"Vignette",'QA Log'!Z:Z,"Rejected",'QA Log'!L:L,"*Vignette [1] Respiratory Infection: Pneumonia*"),
    COUNTIFS('QA Log'!D:D,A269,'QA Log'!M:M,"Vignette",'QA Log'!Z:Z,"Rejected",'QA Log'!L:L,"*Vignette [2]: Diarrhea with Cat B dehydration*"),
    COUNTIFS('QA Log'!D:D,A269,'QA Log'!M:M,"Vignette",'QA Log'!Z:Z,"Rejected",'QA Log'!L:L,"*Vignette [3] Growth Monitoring and Promotion*"),
    COUNTIFS('QA Log'!D:D,A269,'QA Log'!M:M,"Vignette",'QA Log'!Z:Z,"Rejected",'QA Log'!L:L,"*Vignette [4]: The management of presumptive TB patient*")
  )
)</f>
        <v/>
      </c>
      <c r="BC269" s="107" t="str">
        <f t="shared" si="35"/>
        <v/>
      </c>
      <c r="BD269" s="103" t="str">
        <f t="shared" si="36"/>
        <v/>
      </c>
      <c r="BE269" s="102" t="str">
        <f>IF(A269="","",SUM(
COUNTIFS('QA Log'!D:D,A269,'QA Log'!M:M,"Vignette",'QA Log'!L:L,"*Vignette [5] Labor*"),
COUNTIFS('QA Log'!D:D,A269,'QA Log'!M:M,"Vignette",'QA Log'!L:L,"*Vignette [6] PNC pre Discharge*"),
COUNTIFS('QA Log'!D:D,A269,'QA Log'!M:M,"Vignette",'QA Log'!L:L,"*Vignette [7] First ANC Visit*"),
COUNTIFS('QA Log'!D:D,A269,'QA Log'!M:M,"Vignette",'QA Log'!L:L,"*Vignette [8] Birth Spacing/ Family Planning :  FP Counselling*"),
COUNTIFS('QA Log'!D:D,A269,'QA Log'!M:M,"Vignette",'QA Log'!L:L,"*Vignette [9] Birth Spacing: Change FP method to Injectable*"),
COUNTIFS('QA Log'!D:D,A269,'QA Log'!M:M,"Vignette",'QA Log'!L:L,"*Vignette [10] Post Partum Haemorrhage - Atonic Uterus at Health Centre*"),
)
)</f>
        <v/>
      </c>
      <c r="BF269" s="102" t="str">
        <f>IF(A269="","",
  SUM(
    COUNTIFS('QA Log'!D:D,A269,'QA Log'!M:M,"Vignette",'QA Log'!Z:Z,"Approved",'QA Log'!L:L,"*Vignette [5] Labor*"),
    COUNTIFS('QA Log'!D:D,A269,'QA Log'!M:M,"Vignette",'QA Log'!Z:Z,"Approved",'QA Log'!L:L,"*Vignette [6] PNC pre Discharge*"),
    COUNTIFS('QA Log'!D:D,A269,'QA Log'!M:M,"Vignette",'QA Log'!Z:Z,"Approved",'QA Log'!L:L,"*Vignette [7] First ANC Visit*"),
    COUNTIFS('QA Log'!D:D,A269,'QA Log'!M:M,"Vignette",'QA Log'!Z:Z,"Approved",'QA Log'!L:L,"*Vignette [8] Birth Spacing/ Family Planning :  FP Counselling*"),
    COUNTIFS('QA Log'!D:D,A269,'QA Log'!M:M,"Vignette",'QA Log'!Z:Z,"Approved",'QA Log'!L:L,"*Vignette [9] Birth Spacing: Change FP method to Injectable*"),
    COUNTIFS('QA Log'!D:D,A269,'QA Log'!M:M,"Vignette",'QA Log'!Z:Z,"Approved",'QA Log'!L:L,"*Vignette [10] Post Partum Haemorrhage - Atonic Uterus at Health Centre*")
  )
)</f>
        <v/>
      </c>
      <c r="BG269" s="105" t="str">
        <f>IF(A269&lt;&gt;"",COUNTIFS('QA Log'!D:D,A269,'QA Log'!M:M,"Vignette",'QA Log'!L:L,"Vignette [5] Labor",'QA Log'!Z:Z,"Approved"),"")</f>
        <v/>
      </c>
      <c r="BH269" s="105" t="str">
        <f>IF(A269&lt;&gt;"",COUNTIFS('QA Log'!D:D,A269,'QA Log'!M:M,"Vignette",'QA Log'!L:L,"Vignette [6] PNC pre Discharge",'QA Log'!Z:Z,"Approved"),"")</f>
        <v/>
      </c>
      <c r="BI269" s="105" t="str">
        <f>IF(A269&lt;&gt;"",COUNTIFS('QA Log'!D:D,A269,'QA Log'!M:M,"Vignette",'QA Log'!L:L,"Vignette [7] First ANC Visit",'QA Log'!Z:Z,"Approved"),"")</f>
        <v/>
      </c>
      <c r="BJ269" s="105" t="str">
        <f>IF(A269&lt;&gt;"",COUNTIFS('QA Log'!D:D,A269,'QA Log'!M:M,"Vignette",'QA Log'!L:L,"Vignette [8] Birth Spacing/ Family Planning :  FP Counselling",'QA Log'!Z:Z,"Approved"),"")</f>
        <v/>
      </c>
      <c r="BK269" s="105" t="str">
        <f>IF(A269&lt;&gt;"",COUNTIFS('QA Log'!D:D,A269,'QA Log'!M:M,"Vignette",'QA Log'!L:L,"Vignette [9] Birth Spacing: Change FP method to Injectable",'QA Log'!Z:Z,"Approved"),"")</f>
        <v/>
      </c>
      <c r="BL269" s="105" t="str">
        <f>IF(A269&lt;&gt;"",COUNTIFS('QA Log'!D:D,A269,'QA Log'!M:M,"Vignette",'QA Log'!L:L,"Vignette [10] Post Partum Haemorrhage - Atonic Uterus at Health Centre",'QA Log'!Z:Z,"Approved"),"")</f>
        <v/>
      </c>
      <c r="BM269" s="102" t="str">
        <f>IF(A269="","",SUM(
    COUNTIFS('QA Log'!D:D,A269,'QA Log'!M:M,"Vignette",'QA Log'!Z:Z,"Rejected",'QA Log'!L:L,"*Vignette [5] Labor*"),
    COUNTIFS('QA Log'!D:D,A269,'QA Log'!M:M,"Vignette",'QA Log'!Z:Z,"Rejected",'QA Log'!L:L,"*Vignette [6] PNC pre Discharge*"),
    COUNTIFS('QA Log'!D:D,A269,'QA Log'!M:M,"Vignette",'QA Log'!Z:Z,"Rejected",'QA Log'!L:L,"*Vignette [7] First ANC Visit*"),
    COUNTIFS('QA Log'!D:D,A269,'QA Log'!M:M,"Vignette",'QA Log'!Z:Z,"Rejected",'QA Log'!L:L,"*Vignette [8] Birth Spacing/ Family Planning :  FP Counselling*"),
    COUNTIFS('QA Log'!D:D,A269,'QA Log'!M:M,"Vignette",'QA Log'!Z:Z,"Rejected",'QA Log'!L:L,"*Vignette [9] Birth Spacing: Change FP method to Injectable*"),
    COUNTIFS('QA Log'!D:D,A269,'QA Log'!M:M,"Vignette",'QA Log'!Z:Z,"Rejected",'QA Log'!L:L,"*Vignette [10] Post Partum Haemorrhage - Atonic Uterus at Health Centre*")
  )
)</f>
        <v/>
      </c>
      <c r="BN269" s="107" t="str">
        <f t="shared" si="37"/>
        <v/>
      </c>
      <c r="BO269" s="103" t="str">
        <f t="shared" si="38"/>
        <v/>
      </c>
      <c r="BP269" s="102" t="str">
        <f>IF(A269="","",SUM(
COUNTIFS('QA Log'!D:D,A269,'QA Log'!M:M,"Vignette",'QA Log'!L:L,"*Exit Interview 1*"),
COUNTIFS('QA Log'!D:D,A269,'QA Log'!M:M,"Vignette",'QA Log'!L:L,"*Exit Interview 2*"),
)
)</f>
        <v/>
      </c>
      <c r="BQ269" s="102" t="str">
        <f>IF(
  A269="","",
  SUM(
    COUNTIFS('QA Log'!D:D,A269,'QA Log'!M:M,"Vignette",'QA Log'!Z:Z,"Approved",'QA Log'!L:L,"*Exit Interview 1*"),
    COUNTIFS('QA Log'!D:D,A269,'QA Log'!M:M,"Vignette",'QA Log'!Z:Z,"Approved",'QA Log'!L:L,"*Exit Interview 2*")
  )
)</f>
        <v/>
      </c>
      <c r="BR269" s="105" t="str">
        <f>IF(A269&lt;&gt;"",COUNTIFS('QA Log'!D:D,A269,'QA Log'!M:M,"Vignette",'QA Log'!L:L,"Exit Interview 1",'QA Log'!Z:Z,"Approved"),"")</f>
        <v/>
      </c>
      <c r="BS269" s="105" t="str">
        <f>IF(A269&lt;&gt;"",COUNTIFS('QA Log'!D:D,A269,'QA Log'!M:M,"Vignette",'QA Log'!L:L,"Exit Interview 2",'QA Log'!Z:Z,"Approved"),"")</f>
        <v/>
      </c>
      <c r="BT269" s="102" t="str">
        <f>IF(
  A269="","",
  SUM(
    COUNTIFS('QA Log'!D:D,A269,'QA Log'!M:M,"Vignette",'QA Log'!Z:Z,"Rejected",'QA Log'!L:L,"*Exit Interview 1*"),
    COUNTIFS('QA Log'!D:D,A269,'QA Log'!M:M,"Vignette",'QA Log'!Z:Z,"Rejected",'QA Log'!L:L,"*Exit Interview 2*")
  )
)</f>
        <v/>
      </c>
      <c r="BU269" s="107" t="str">
        <f t="shared" si="39"/>
        <v/>
      </c>
      <c r="BV269" s="102" t="str">
        <f t="shared" si="40"/>
        <v/>
      </c>
      <c r="BW269" s="102" t="str">
        <f t="shared" si="41"/>
        <v/>
      </c>
      <c r="BX269" s="102" t="str">
        <f t="shared" si="42"/>
        <v/>
      </c>
      <c r="BY269" s="102" t="str">
        <f t="shared" si="43"/>
        <v/>
      </c>
      <c r="BZ269" s="107" t="str">
        <f t="shared" si="44"/>
        <v/>
      </c>
      <c r="CA269" s="108" t="str">
        <f t="shared" si="45"/>
        <v/>
      </c>
      <c r="CB269" s="108" t="str">
        <f t="shared" si="46"/>
        <v/>
      </c>
      <c r="CC269" s="109" t="str">
        <f t="shared" si="47"/>
        <v/>
      </c>
      <c r="CD269" s="108" t="str">
        <f t="shared" si="48"/>
        <v/>
      </c>
      <c r="CE269" s="108" t="str">
        <f t="shared" si="49"/>
        <v/>
      </c>
      <c r="CF269" s="109" t="str">
        <f t="shared" si="50"/>
        <v/>
      </c>
      <c r="CG269" s="110" t="str">
        <f t="shared" si="51"/>
        <v/>
      </c>
      <c r="CH269" s="111"/>
    </row>
    <row r="270" spans="1:86" ht="12.75">
      <c r="A270" s="101"/>
      <c r="B270" s="102" t="e">
        <f t="array" aca="1" ref="B270" ca="1">_xludf.XLOOKUP(A270,'QA Log'!D:D,'QA Log'!E:E,"")</f>
        <v>#NAME?</v>
      </c>
      <c r="C270" s="102" t="e">
        <f t="array" aca="1" ref="C270" ca="1">_xludf.XLOOKUP(A270,'QA Log'!D:D,'QA Log'!F:F,"")</f>
        <v>#NAME?</v>
      </c>
      <c r="D270" s="102" t="e">
        <f t="array" aca="1" ref="D270" ca="1">_xludf.XLOOKUP(A270,'QA Log'!D:D,'QA Log'!H:H,"")</f>
        <v>#NAME?</v>
      </c>
      <c r="E270" s="102" t="e">
        <f t="array" aca="1" ref="E270" ca="1">_xludf.XLOOKUP(A270,'QA Log'!D:D,'QA Log'!G:G,"")</f>
        <v>#NAME?</v>
      </c>
      <c r="F270" s="103"/>
      <c r="G270" s="104"/>
      <c r="H270" s="104"/>
      <c r="I270" s="103" t="str">
        <f t="shared" si="26"/>
        <v/>
      </c>
      <c r="J270" s="102" t="str">
        <f>IF(A270="","",SUM(
COUNTIFS('QA Log'!D:D,A270,'QA Log'!M:M,"QQC",'QA Log'!L:L,"*1. General Management*"),
COUNTIFS('QA Log'!D:D,A270,'QA Log'!M:M,"QQC",'QA Log'!L:L,"*3. Curative Consultation (OPD)*"),
COUNTIFS('QA Log'!D:D,A270,'QA Log'!M:M,"QQC",'QA Log'!L:L,"*5. Laboratory*"),
COUNTIFS('QA Log'!D:D,A270,'QA Log'!M:M,"QQC",'QA Log'!L:L,"*6. Essential Medicine Management*"),
COUNTIFS('QA Log'!D:D,A270,'QA Log'!M:M,"QQC",'QA Log'!L:L,"*7. Tracer Medicine*"),
COUNTIFS('QA Log'!D:D,A270,'QA Log'!M:M,"QQC",'QA Log'!L:L,"*11. Additional Questions*")))</f>
        <v/>
      </c>
      <c r="K270" s="102" t="str">
        <f>IF(A270="","",SUM(
COUNTIFS('QA Log'!D:D,A270,'QA Log'!M:M,"QQC",'QA Log'!Z:Z,"Approved",'QA Log'!L:L,"*1. General Management*"),
COUNTIFS('QA Log'!D:D,A270,'QA Log'!M:M,"QQC",'QA Log'!Z:Z,"Approved",'QA Log'!L:L,"*3. Curative Consultation (OPD)*"),
COUNTIFS('QA Log'!D:D,A270,'QA Log'!M:M,"QQC",'QA Log'!Z:Z,"Approved",'QA Log'!L:L,"*5. Laboratory*"),
COUNTIFS('QA Log'!D:D,A270,'QA Log'!M:M,"QQC",'QA Log'!Z:Z,"Approved",'QA Log'!L:L,"*6. Essential Medicine Management*"),
COUNTIFS('QA Log'!D:D,A270,'QA Log'!M:M,"QQC",'QA Log'!Z:Z,"Approved",'QA Log'!L:L,"*7. Tracer Medicine*"),
COUNTIFS('QA Log'!D:D,A270,'QA Log'!M:M,"QQC",'QA Log'!Z:Z,"Approved",'QA Log'!L:L,"*11. Additional Questions*")))</f>
        <v/>
      </c>
      <c r="L270" s="105" t="str">
        <f>IF(A270&lt;&gt;"",COUNTIFS('QA Log'!D:D,A270,'QA Log'!M:M,"QQC",'QA Log'!L:L,"1. General Management",'QA Log'!Z:Z,"Approved"),"")</f>
        <v/>
      </c>
      <c r="M270" s="105" t="str">
        <f>IF(A270&lt;&gt;"",COUNTIFS('QA Log'!D:D,A270,'QA Log'!M:M,"QQC",'QA Log'!L:L,"3. Curative Consultation (OPD)",'QA Log'!Z:Z,"Approved"),"")</f>
        <v/>
      </c>
      <c r="N270" s="105" t="str">
        <f>IF(A270&lt;&gt;"",COUNTIFS('QA Log'!D:D,A270,'QA Log'!M:M,"QQC",'QA Log'!L:L,"5. Laboratory",'QA Log'!Z:Z,"Approved"),"")</f>
        <v/>
      </c>
      <c r="O270" s="105" t="str">
        <f>IF(A270&lt;&gt;"",COUNTIFS('QA Log'!D:D,A270,'QA Log'!M:M,"QQC",'QA Log'!L:L,"6. Essential Medicine Management",'QA Log'!Z:Z,"Approved"),"")</f>
        <v/>
      </c>
      <c r="P270" s="105" t="str">
        <f>IF(A270&lt;&gt;"",COUNTIFS('QA Log'!D:D,A270,'QA Log'!M:M,"QQC",'QA Log'!L:L,"7. Tracer Medicine",'QA Log'!Z:Z,"Approved"),"")</f>
        <v/>
      </c>
      <c r="Q270" s="105" t="str">
        <f>IF(A270&lt;&gt;"",COUNTIFS('QA Log'!D:D,A270,'QA Log'!M:M,"QQC",'QA Log'!L:L,"11. Additional Questions",'QA Log'!Z:Z,"Approved"),"")</f>
        <v/>
      </c>
      <c r="R270" s="102" t="str">
        <f>IF(A270="","",SUM(
COUNTIFS('QA Log'!D:D,A270,'QA Log'!M:M,"QQC",'QA Log'!Z:Z,"Rejected",'QA Log'!L:L,"*8. Maternity*"),
COUNTIFS('QA Log'!D:D,A270,'QA Log'!M:M,"QQC",'QA Log'!Z:Z,"Rejected",'QA Log'!L:L,"*EPI*"),
COUNTIFS('QA Log'!D:D,A270,'QA Log'!M:M,"QQC",'QA Log'!Z:Z,"Rejected",'QA Log'!L:L,"*10. Antenatal Care (ANC)*"),
COUNTIFS('QA Log'!D:D,A270,'QA Log'!M:M,"QQC",'QA Log'!Z:Z,"Rejected",'QA Log'!L:L,"*2. Hygiene and Sterilization*"),
COUNTIFS('QA Log'!D:D,A270,'QA Log'!M:M,"QQC",'QA Log'!Z:Z,"Rejected",'QA Log'!L:L,"*Family Planning*")))</f>
        <v/>
      </c>
      <c r="S270" s="106" t="str">
        <f t="shared" si="27"/>
        <v/>
      </c>
      <c r="T270" s="102" t="str">
        <f t="shared" si="28"/>
        <v/>
      </c>
      <c r="U270" s="102" t="str">
        <f>IF(A270="","",
SUM(
COUNTIFS('QA Log'!D:D,A270,'QA Log'!M:M,"QQC",'QA Log'!L:L,"*8. Maternity*"),
COUNTIFS('QA Log'!D:D,A270,'QA Log'!M:M,"QQC",'QA Log'!L:L,"*9. EPI and Pre-school Consultation*"),
COUNTIFS('QA Log'!D:D,A270,'QA Log'!M:M,"QQC",'QA Log'!L:L,"*10. Antenatal Care (ANC)*"),
COUNTIFS('QA Log'!D:D,A270,'QA Log'!M:M,"QQC",'QA Log'!L:L,"*2. Hygiene and Sterilization*"),
COUNTIFS('QA Log'!D:D,A270,'QA Log'!M:M,"QQC",'QA Log'!L:L,"*4. Family Planning*")
))</f>
        <v/>
      </c>
      <c r="V270" s="102" t="str">
        <f>IF(A270="","",
SUM(
COUNTIFS('QA Log'!D:D,A270,'QA Log'!M:M,"QQC",'QA Log'!Z:Z,"Approved",'QA Log'!L:L,"*8. Maternity*"),
COUNTIFS('QA Log'!D:D,A270,'QA Log'!M:M,"QQC",'QA Log'!Z:Z,"Approved",'QA Log'!L:L,"*9. EPI and Pre-school Consultation*"),
COUNTIFS('QA Log'!D:D,A270,'QA Log'!M:M,"QQC",'QA Log'!Z:Z,"Approved",'QA Log'!L:L,"*10. Antenatal Care (ANC)*"),
COUNTIFS('QA Log'!D:D,A270,'QA Log'!M:M,"QQC",'QA Log'!Z:Z,"Approved",'QA Log'!L:L,"*2. Hygiene and Sterilization*"),
COUNTIFS('QA Log'!D:D,A270,'QA Log'!M:M,"QQC",'QA Log'!Z:Z,"Approved",'QA Log'!L:L,"*4. Family Planning*")
))</f>
        <v/>
      </c>
      <c r="W270" s="105" t="str">
        <f>IF(A270&lt;&gt;"",COUNTIFS('QA Log'!D:D,A270,'QA Log'!M:M,"QQC",'QA Log'!L:L,"8. Maternity",'QA Log'!Z:Z,"Approved"),"")</f>
        <v/>
      </c>
      <c r="X270" s="105" t="str">
        <f>IF(A270&lt;&gt;"",COUNTIFS('QA Log'!D:D,A270,'QA Log'!M:M,"QQC",'QA Log'!L:L,"9. EPI and Pre-school Consultation",'QA Log'!Z:Z,"Approved"),"")</f>
        <v/>
      </c>
      <c r="Y270" s="105" t="str">
        <f>IF(A270&lt;&gt;"",COUNTIFS('QA Log'!D:D,A270,'QA Log'!M:M,"QQC",'QA Log'!L:L,"10. Antenatal Care (ANC)",'QA Log'!Z:Z,"Approved"),"")</f>
        <v/>
      </c>
      <c r="Z270" s="105" t="str">
        <f>IF(A270&lt;&gt;"",COUNTIFS('QA Log'!D:D,A270,'QA Log'!M:M,"QQC",'QA Log'!L:L,"2. Hygiene and Sterilization",'QA Log'!Z:Z,"Approved"),"")</f>
        <v/>
      </c>
      <c r="AA270" s="105" t="str">
        <f>IF(A270&lt;&gt;"",COUNTIFS('QA Log'!D:D,A270,'QA Log'!M:M,"QQC",'QA Log'!L:L,"4. Family Planning",'QA Log'!Z:Z,"Approved"),"")</f>
        <v/>
      </c>
      <c r="AB270" s="102" t="str">
        <f>IF(A270="","",
SUM(
COUNTIFS('QA Log'!D:D,A270,'QA Log'!M:M,"QQC",'QA Log'!Z:Z,"Rejected",'QA Log'!L:L,"*8. Maternity*"),
COUNTIFS('QA Log'!D:D,A270,'QA Log'!M:M,"QQC",'QA Log'!Z:Z,"Rejected",'QA Log'!L:L,"*9. EPI and Pre-school Consultation*"),
COUNTIFS('QA Log'!D:D,A270,'QA Log'!M:M,"QQC",'QA Log'!Z:Z,"Rejected",'QA Log'!L:L,"*10. Antenatal Care (ANC)*"),
COUNTIFS('QA Log'!D:D,A270,'QA Log'!M:M,"QQC",'QA Log'!Z:Z,"Rejected",'QA Log'!L:L,"*2. Hygiene and Sterilization*"),
COUNTIFS('QA Log'!D:D,A270,'QA Log'!M:M,"QQC",'QA Log'!Z:Z,"Rejected",'QA Log'!L:L,"*4. Family Planning*")
))</f>
        <v/>
      </c>
      <c r="AC270" s="102" t="str">
        <f t="shared" si="29"/>
        <v/>
      </c>
      <c r="AD270" s="103" t="str">
        <f t="shared" si="30"/>
        <v/>
      </c>
      <c r="AE270" s="102" t="str">
        <f>IF(A270="","",
SUM(
COUNTIFS('QA Log'!D:D,A270,'QA Log'!M:M,"Data Verification",'QA Log'!L:L,"*Medicine (section 2)*"),
COUNTIFS('QA Log'!D:D,A270,'QA Log'!M:M,"Data Verification",'QA Log'!L:L,"*Lab Testing Availability*"),
COUNTIFS('QA Log'!D:D,A270,'QA Log'!M:M,"Data Verification",'QA Log'!L:L,"*Other than P4P (section 6)*"),
COUNTIFS('QA Log'!D:D,A270,'QA Log'!M:M,"Data Verification",'QA Log'!L:L,"*Hospital Governance*")
))</f>
        <v/>
      </c>
      <c r="AF270" s="102" t="str">
        <f>IF(A270="","",
SUM(
COUNTIFS('QA Log'!D:D,A270,'QA Log'!M:M,"Data Verification",'QA Log'!Z:Z,"Approved",'QA Log'!L:L,"*Medicine (section 2)*"),
COUNTIFS('QA Log'!D:D,A270,'QA Log'!M:M,"Data Verification",'QA Log'!Z:Z,"Approved",'QA Log'!L:L,"*Lab Testing Availability*"),
COUNTIFS('QA Log'!D:D,A270,'QA Log'!M:M,"Data Verification",'QA Log'!Z:Z,"Approved",'QA Log'!L:L,"*Other than P4P (section 6)*"),
COUNTIFS('QA Log'!D:D,A270,'QA Log'!M:M,"Data Verification",'QA Log'!Z:Z,"Approved",'QA Log'!L:L,"*Hospital Governance*")
))</f>
        <v/>
      </c>
      <c r="AG270" s="105" t="str">
        <f>IF(A270&lt;&gt;"",COUNTIFS('QA Log'!D:D,A270,'QA Log'!M:M,"Data Verification",'QA Log'!L:L,"Medicine (section 2)",'QA Log'!Z:Z,"Approved"),"")</f>
        <v/>
      </c>
      <c r="AH270" s="105" t="str">
        <f>IF(A270&lt;&gt;"",COUNTIFS('QA Log'!D:D,A270,'QA Log'!M:M,"Data Verification",'QA Log'!L:L,"Lab Testing Availability",'QA Log'!Z:Z,"Approved"),"")</f>
        <v/>
      </c>
      <c r="AI270" s="105" t="str">
        <f>IF(A270&lt;&gt;"",COUNTIFS('QA Log'!D:D,A270,'QA Log'!M:M,"Data Verification",'QA Log'!L:L,"Other than P4P (section 6)",'QA Log'!Z:Z,"Approved"),"")</f>
        <v/>
      </c>
      <c r="AJ270" s="105" t="str">
        <f>IF(A270&lt;&gt;"",COUNTIFS('QA Log'!D:D,A270,'QA Log'!M:M,"Data Verification",'QA Log'!L:L,"Hospital Governance",'QA Log'!Z:Z,"Approved"),"")</f>
        <v/>
      </c>
      <c r="AK270" s="102" t="str">
        <f>IF(A270="","",
SUM(
COUNTIFS('QA Log'!D:D,A270,'QA Log'!M:M,"Data Verification",'QA Log'!Z:Z,"Rejected",'QA Log'!L:L,"*Medicine (section 2)*"),
COUNTIFS('QA Log'!D:D,A270,'QA Log'!M:M,"Data Verification",'QA Log'!Z:Z,"Rejected",'QA Log'!L:L,"*Lab Testing Availability*"),
COUNTIFS('QA Log'!D:D,A270,'QA Log'!M:M,"Data Verification",'QA Log'!Z:Z,"Rejected",'QA Log'!L:L,"*Other than P4P (section 6)*"),
COUNTIFS('QA Log'!D:D,A270,'QA Log'!M:M,"Data Verification",'QA Log'!Z:Z,"Rejected",'QA Log'!L:L,"*Hospital Governance*")
))</f>
        <v/>
      </c>
      <c r="AL270" s="106" t="str">
        <f t="shared" si="31"/>
        <v/>
      </c>
      <c r="AM270" s="102" t="str">
        <f t="shared" si="32"/>
        <v/>
      </c>
      <c r="AN270" s="102" t="str">
        <f>IF(A270="","",
SUM(
COUNTIFS('QA Log'!D:D,A270,'QA Log'!M:M,"Data Verification",'QA Log'!L:L,"*Personnel (section 1)*"),
COUNTIFS('QA Log'!D:D,A270,'QA Log'!M:M,"Data Verification",'QA Log'!L:L,"*Consumable (section 3)*"),
COUNTIFS('QA Log'!D:D,A270,'QA Log'!M:M,"Data Verification",'QA Log'!L:L,"*Equipments (section 4)*")
))</f>
        <v/>
      </c>
      <c r="AO270" s="102" t="str">
        <f>IF(A270="","",
SUM(
COUNTIFS('QA Log'!D:D,A270,'QA Log'!M:M,"Data Verification",'QA Log'!Z:Z,"Approved",'QA Log'!L:L,"*Personnel (section 1)*"),
COUNTIFS('QA Log'!D:D,A270,'QA Log'!M:M,"Data Verification",'QA Log'!Z:Z,"Approved",'QA Log'!L:L,"*Consumable (section 3)*"),
COUNTIFS('QA Log'!D:D,A270,'QA Log'!M:M,"Data Verification",'QA Log'!Z:Z,"Approved",'QA Log'!L:L,"*Equipments (section 4)*")
))</f>
        <v/>
      </c>
      <c r="AP270" s="105" t="str">
        <f>IF(A270&lt;&gt;"",COUNTIFS('QA Log'!D:D,A270,'QA Log'!M:M,"Data Verification",'QA Log'!L:L,"Personnel (section 1)",'QA Log'!Z:Z,"Approved"),"")</f>
        <v/>
      </c>
      <c r="AQ270" s="105" t="str">
        <f>IF(A270&lt;&gt;"",COUNTIFS('QA Log'!D:D,A270,'QA Log'!M:M,"Data Verification",'QA Log'!L:L,"Consumable (section 3)",'QA Log'!Z:Z,"Approved"),"")</f>
        <v/>
      </c>
      <c r="AR270" s="105" t="str">
        <f>IF(A270&lt;&gt;"",COUNTIFS('QA Log'!D:D,A270,'QA Log'!M:M,"Data Verification",'QA Log'!L:L,"Equipments (section 4)",'QA Log'!Z:Z,"Approved"),"")</f>
        <v/>
      </c>
      <c r="AS270" s="102" t="str">
        <f>IF(A270="","",
SUM(
COUNTIFS('QA Log'!D:D,A270,'QA Log'!M:M,"Data Verification",'QA Log'!Z:Z,"Rejected",'QA Log'!L:L,"*Personnel (section 1)*"),
COUNTIFS('QA Log'!D:D,A270,'QA Log'!M:M,"Data Verification",'QA Log'!Z:Z,"Rejected",'QA Log'!L:L,"*Consumable (section 3)*"),
COUNTIFS('QA Log'!D:D,A270,'QA Log'!M:M,"Data Verification",'QA Log'!Z:Z,"Rejected",'QA Log'!L:L,"*Equipments (section 4)*")
))</f>
        <v/>
      </c>
      <c r="AT270" s="102" t="str">
        <f t="shared" si="33"/>
        <v/>
      </c>
      <c r="AU270" s="103" t="str">
        <f t="shared" si="34"/>
        <v/>
      </c>
      <c r="AV270" s="102" t="str">
        <f>IF(A270="","",SUM(
COUNTIFS('QA Log'!D:D,A270,'QA Log'!M:M,"Vignette",'QA Log'!L:L,"*Vignette [1] Respiratory Infection: Pneumonia*"),
COUNTIFS('QA Log'!D:D,A270,'QA Log'!M:M,"Vignette",'QA Log'!L:L,"*Vignette [2]: Diarrhea with Cat B dehydration*"),
COUNTIFS('QA Log'!D:D,A270,'QA Log'!M:M,"Vignette",'QA Log'!L:L,"*Vignette [3] Growth Monitoring and Promotion*"),
COUNTIFS('QA Log'!D:D,A270,'QA Log'!M:M,"Vignette",'QA Log'!L:L,"*Vignette [4]: The management of presumptive TB patient*")
)
)</f>
        <v/>
      </c>
      <c r="AW270" s="102" t="str">
        <f>IF(
  A270="","",
  SUM(
    COUNTIFS('QA Log'!D:D,A270,'QA Log'!M:M,"Vignette",'QA Log'!Z:Z,"Approved",'QA Log'!L:L,"*Vignette [1] Respiratory Infection: Pneumonia*"),
    COUNTIFS('QA Log'!D:D,A270,'QA Log'!M:M,"Vignette",'QA Log'!Z:Z,"Approved",'QA Log'!L:L,"*Vignette [2]: Diarrhea with Cat B dehydration*"),
    COUNTIFS('QA Log'!D:D,A270,'QA Log'!M:M,"Vignette",'QA Log'!Z:Z,"Approved",'QA Log'!L:L,"*Vignette [3] Growth Monitoring and Promotion*"),
    COUNTIFS('QA Log'!D:D,A270,'QA Log'!M:M,"Vignette",'QA Log'!Z:Z,"Approved",'QA Log'!L:L,"*Vignette [4]: The management of presumptive TB patient*")
  )
)</f>
        <v/>
      </c>
      <c r="AX270" s="105" t="str">
        <f>IF(A270&lt;&gt;"",COUNTIFS('QA Log'!D:D,A270,'QA Log'!M:M,"Vignette",'QA Log'!L:L,"Vignette [1] Respiratory Infection: Pneumonia",'QA Log'!Z:Z,"Approved"),"")</f>
        <v/>
      </c>
      <c r="AY270" s="105" t="str">
        <f>IF(A270&lt;&gt;"",COUNTIFS('QA Log'!D:D,A270,'QA Log'!M:M,"Vignette",'QA Log'!L:L,"Vignette [2]: Diarrhea with Cat B dehydration",'QA Log'!Z:Z,"Approved"),"")</f>
        <v/>
      </c>
      <c r="AZ270" s="105" t="str">
        <f>IF(A270&lt;&gt;"",COUNTIFS('QA Log'!D:D,A270,'QA Log'!M:M,"Vignette",'QA Log'!L:L,"Vignette [3] Growth Monitoring and Promotion",'QA Log'!Z:Z,"Approved"),"")</f>
        <v/>
      </c>
      <c r="BA270" s="105" t="str">
        <f>IF(A270&lt;&gt;"",COUNTIFS('QA Log'!D:D,A270,'QA Log'!M:M,"Vignette",'QA Log'!L:L,"Vignette [4]: The management of presumptive TB patient",'QA Log'!Z:Z,"Approved"),"")</f>
        <v/>
      </c>
      <c r="BB270" s="102" t="str">
        <f>IF(A270="","",
  SUM(
    COUNTIFS('QA Log'!D:D,A270,'QA Log'!M:M,"Vignette",'QA Log'!Z:Z,"Rejected",'QA Log'!L:L,"*Vignette [1] Respiratory Infection: Pneumonia*"),
    COUNTIFS('QA Log'!D:D,A270,'QA Log'!M:M,"Vignette",'QA Log'!Z:Z,"Rejected",'QA Log'!L:L,"*Vignette [2]: Diarrhea with Cat B dehydration*"),
    COUNTIFS('QA Log'!D:D,A270,'QA Log'!M:M,"Vignette",'QA Log'!Z:Z,"Rejected",'QA Log'!L:L,"*Vignette [3] Growth Monitoring and Promotion*"),
    COUNTIFS('QA Log'!D:D,A270,'QA Log'!M:M,"Vignette",'QA Log'!Z:Z,"Rejected",'QA Log'!L:L,"*Vignette [4]: The management of presumptive TB patient*")
  )
)</f>
        <v/>
      </c>
      <c r="BC270" s="107" t="str">
        <f t="shared" si="35"/>
        <v/>
      </c>
      <c r="BD270" s="103" t="str">
        <f t="shared" si="36"/>
        <v/>
      </c>
      <c r="BE270" s="102" t="str">
        <f>IF(A270="","",SUM(
COUNTIFS('QA Log'!D:D,A270,'QA Log'!M:M,"Vignette",'QA Log'!L:L,"*Vignette [5] Labor*"),
COUNTIFS('QA Log'!D:D,A270,'QA Log'!M:M,"Vignette",'QA Log'!L:L,"*Vignette [6] PNC pre Discharge*"),
COUNTIFS('QA Log'!D:D,A270,'QA Log'!M:M,"Vignette",'QA Log'!L:L,"*Vignette [7] First ANC Visit*"),
COUNTIFS('QA Log'!D:D,A270,'QA Log'!M:M,"Vignette",'QA Log'!L:L,"*Vignette [8] Birth Spacing/ Family Planning :  FP Counselling*"),
COUNTIFS('QA Log'!D:D,A270,'QA Log'!M:M,"Vignette",'QA Log'!L:L,"*Vignette [9] Birth Spacing: Change FP method to Injectable*"),
COUNTIFS('QA Log'!D:D,A270,'QA Log'!M:M,"Vignette",'QA Log'!L:L,"*Vignette [10] Post Partum Haemorrhage - Atonic Uterus at Health Centre*"),
)
)</f>
        <v/>
      </c>
      <c r="BF270" s="102" t="str">
        <f>IF(A270="","",
  SUM(
    COUNTIFS('QA Log'!D:D,A270,'QA Log'!M:M,"Vignette",'QA Log'!Z:Z,"Approved",'QA Log'!L:L,"*Vignette [5] Labor*"),
    COUNTIFS('QA Log'!D:D,A270,'QA Log'!M:M,"Vignette",'QA Log'!Z:Z,"Approved",'QA Log'!L:L,"*Vignette [6] PNC pre Discharge*"),
    COUNTIFS('QA Log'!D:D,A270,'QA Log'!M:M,"Vignette",'QA Log'!Z:Z,"Approved",'QA Log'!L:L,"*Vignette [7] First ANC Visit*"),
    COUNTIFS('QA Log'!D:D,A270,'QA Log'!M:M,"Vignette",'QA Log'!Z:Z,"Approved",'QA Log'!L:L,"*Vignette [8] Birth Spacing/ Family Planning :  FP Counselling*"),
    COUNTIFS('QA Log'!D:D,A270,'QA Log'!M:M,"Vignette",'QA Log'!Z:Z,"Approved",'QA Log'!L:L,"*Vignette [9] Birth Spacing: Change FP method to Injectable*"),
    COUNTIFS('QA Log'!D:D,A270,'QA Log'!M:M,"Vignette",'QA Log'!Z:Z,"Approved",'QA Log'!L:L,"*Vignette [10] Post Partum Haemorrhage - Atonic Uterus at Health Centre*")
  )
)</f>
        <v/>
      </c>
      <c r="BG270" s="105" t="str">
        <f>IF(A270&lt;&gt;"",COUNTIFS('QA Log'!D:D,A270,'QA Log'!M:M,"Vignette",'QA Log'!L:L,"Vignette [5] Labor",'QA Log'!Z:Z,"Approved"),"")</f>
        <v/>
      </c>
      <c r="BH270" s="105" t="str">
        <f>IF(A270&lt;&gt;"",COUNTIFS('QA Log'!D:D,A270,'QA Log'!M:M,"Vignette",'QA Log'!L:L,"Vignette [6] PNC pre Discharge",'QA Log'!Z:Z,"Approved"),"")</f>
        <v/>
      </c>
      <c r="BI270" s="105" t="str">
        <f>IF(A270&lt;&gt;"",COUNTIFS('QA Log'!D:D,A270,'QA Log'!M:M,"Vignette",'QA Log'!L:L,"Vignette [7] First ANC Visit",'QA Log'!Z:Z,"Approved"),"")</f>
        <v/>
      </c>
      <c r="BJ270" s="105" t="str">
        <f>IF(A270&lt;&gt;"",COUNTIFS('QA Log'!D:D,A270,'QA Log'!M:M,"Vignette",'QA Log'!L:L,"Vignette [8] Birth Spacing/ Family Planning :  FP Counselling",'QA Log'!Z:Z,"Approved"),"")</f>
        <v/>
      </c>
      <c r="BK270" s="105" t="str">
        <f>IF(A270&lt;&gt;"",COUNTIFS('QA Log'!D:D,A270,'QA Log'!M:M,"Vignette",'QA Log'!L:L,"Vignette [9] Birth Spacing: Change FP method to Injectable",'QA Log'!Z:Z,"Approved"),"")</f>
        <v/>
      </c>
      <c r="BL270" s="105" t="str">
        <f>IF(A270&lt;&gt;"",COUNTIFS('QA Log'!D:D,A270,'QA Log'!M:M,"Vignette",'QA Log'!L:L,"Vignette [10] Post Partum Haemorrhage - Atonic Uterus at Health Centre",'QA Log'!Z:Z,"Approved"),"")</f>
        <v/>
      </c>
      <c r="BM270" s="102" t="str">
        <f>IF(A270="","",SUM(
    COUNTIFS('QA Log'!D:D,A270,'QA Log'!M:M,"Vignette",'QA Log'!Z:Z,"Rejected",'QA Log'!L:L,"*Vignette [5] Labor*"),
    COUNTIFS('QA Log'!D:D,A270,'QA Log'!M:M,"Vignette",'QA Log'!Z:Z,"Rejected",'QA Log'!L:L,"*Vignette [6] PNC pre Discharge*"),
    COUNTIFS('QA Log'!D:D,A270,'QA Log'!M:M,"Vignette",'QA Log'!Z:Z,"Rejected",'QA Log'!L:L,"*Vignette [7] First ANC Visit*"),
    COUNTIFS('QA Log'!D:D,A270,'QA Log'!M:M,"Vignette",'QA Log'!Z:Z,"Rejected",'QA Log'!L:L,"*Vignette [8] Birth Spacing/ Family Planning :  FP Counselling*"),
    COUNTIFS('QA Log'!D:D,A270,'QA Log'!M:M,"Vignette",'QA Log'!Z:Z,"Rejected",'QA Log'!L:L,"*Vignette [9] Birth Spacing: Change FP method to Injectable*"),
    COUNTIFS('QA Log'!D:D,A270,'QA Log'!M:M,"Vignette",'QA Log'!Z:Z,"Rejected",'QA Log'!L:L,"*Vignette [10] Post Partum Haemorrhage - Atonic Uterus at Health Centre*")
  )
)</f>
        <v/>
      </c>
      <c r="BN270" s="107" t="str">
        <f t="shared" si="37"/>
        <v/>
      </c>
      <c r="BO270" s="103" t="str">
        <f t="shared" si="38"/>
        <v/>
      </c>
      <c r="BP270" s="102" t="str">
        <f>IF(A270="","",SUM(
COUNTIFS('QA Log'!D:D,A270,'QA Log'!M:M,"Vignette",'QA Log'!L:L,"*Exit Interview 1*"),
COUNTIFS('QA Log'!D:D,A270,'QA Log'!M:M,"Vignette",'QA Log'!L:L,"*Exit Interview 2*"),
)
)</f>
        <v/>
      </c>
      <c r="BQ270" s="102" t="str">
        <f>IF(
  A270="","",
  SUM(
    COUNTIFS('QA Log'!D:D,A270,'QA Log'!M:M,"Vignette",'QA Log'!Z:Z,"Approved",'QA Log'!L:L,"*Exit Interview 1*"),
    COUNTIFS('QA Log'!D:D,A270,'QA Log'!M:M,"Vignette",'QA Log'!Z:Z,"Approved",'QA Log'!L:L,"*Exit Interview 2*")
  )
)</f>
        <v/>
      </c>
      <c r="BR270" s="105" t="str">
        <f>IF(A270&lt;&gt;"",COUNTIFS('QA Log'!D:D,A270,'QA Log'!M:M,"Vignette",'QA Log'!L:L,"Exit Interview 1",'QA Log'!Z:Z,"Approved"),"")</f>
        <v/>
      </c>
      <c r="BS270" s="105" t="str">
        <f>IF(A270&lt;&gt;"",COUNTIFS('QA Log'!D:D,A270,'QA Log'!M:M,"Vignette",'QA Log'!L:L,"Exit Interview 2",'QA Log'!Z:Z,"Approved"),"")</f>
        <v/>
      </c>
      <c r="BT270" s="102" t="str">
        <f>IF(
  A270="","",
  SUM(
    COUNTIFS('QA Log'!D:D,A270,'QA Log'!M:M,"Vignette",'QA Log'!Z:Z,"Rejected",'QA Log'!L:L,"*Exit Interview 1*"),
    COUNTIFS('QA Log'!D:D,A270,'QA Log'!M:M,"Vignette",'QA Log'!Z:Z,"Rejected",'QA Log'!L:L,"*Exit Interview 2*")
  )
)</f>
        <v/>
      </c>
      <c r="BU270" s="107" t="str">
        <f t="shared" si="39"/>
        <v/>
      </c>
      <c r="BV270" s="102" t="str">
        <f t="shared" si="40"/>
        <v/>
      </c>
      <c r="BW270" s="102" t="str">
        <f t="shared" si="41"/>
        <v/>
      </c>
      <c r="BX270" s="102" t="str">
        <f t="shared" si="42"/>
        <v/>
      </c>
      <c r="BY270" s="102" t="str">
        <f t="shared" si="43"/>
        <v/>
      </c>
      <c r="BZ270" s="107" t="str">
        <f t="shared" si="44"/>
        <v/>
      </c>
      <c r="CA270" s="108" t="str">
        <f t="shared" si="45"/>
        <v/>
      </c>
      <c r="CB270" s="108" t="str">
        <f t="shared" si="46"/>
        <v/>
      </c>
      <c r="CC270" s="109" t="str">
        <f t="shared" si="47"/>
        <v/>
      </c>
      <c r="CD270" s="108" t="str">
        <f t="shared" si="48"/>
        <v/>
      </c>
      <c r="CE270" s="108" t="str">
        <f t="shared" si="49"/>
        <v/>
      </c>
      <c r="CF270" s="109" t="str">
        <f t="shared" si="50"/>
        <v/>
      </c>
      <c r="CG270" s="110" t="str">
        <f t="shared" si="51"/>
        <v/>
      </c>
      <c r="CH270" s="111"/>
    </row>
    <row r="271" spans="1:86" ht="12.75">
      <c r="A271" s="101"/>
      <c r="B271" s="102" t="e">
        <f t="array" aca="1" ref="B271" ca="1">_xludf.XLOOKUP(A271,'QA Log'!D:D,'QA Log'!E:E,"")</f>
        <v>#NAME?</v>
      </c>
      <c r="C271" s="102" t="e">
        <f t="array" aca="1" ref="C271" ca="1">_xludf.XLOOKUP(A271,'QA Log'!D:D,'QA Log'!F:F,"")</f>
        <v>#NAME?</v>
      </c>
      <c r="D271" s="102" t="e">
        <f t="array" aca="1" ref="D271" ca="1">_xludf.XLOOKUP(A271,'QA Log'!D:D,'QA Log'!H:H,"")</f>
        <v>#NAME?</v>
      </c>
      <c r="E271" s="102" t="e">
        <f t="array" aca="1" ref="E271" ca="1">_xludf.XLOOKUP(A271,'QA Log'!D:D,'QA Log'!G:G,"")</f>
        <v>#NAME?</v>
      </c>
      <c r="F271" s="103"/>
      <c r="G271" s="104"/>
      <c r="H271" s="104"/>
      <c r="I271" s="103" t="str">
        <f t="shared" si="26"/>
        <v/>
      </c>
      <c r="J271" s="102" t="str">
        <f>IF(A271="","",SUM(
COUNTIFS('QA Log'!D:D,A271,'QA Log'!M:M,"QQC",'QA Log'!L:L,"*1. General Management*"),
COUNTIFS('QA Log'!D:D,A271,'QA Log'!M:M,"QQC",'QA Log'!L:L,"*3. Curative Consultation (OPD)*"),
COUNTIFS('QA Log'!D:D,A271,'QA Log'!M:M,"QQC",'QA Log'!L:L,"*5. Laboratory*"),
COUNTIFS('QA Log'!D:D,A271,'QA Log'!M:M,"QQC",'QA Log'!L:L,"*6. Essential Medicine Management*"),
COUNTIFS('QA Log'!D:D,A271,'QA Log'!M:M,"QQC",'QA Log'!L:L,"*7. Tracer Medicine*"),
COUNTIFS('QA Log'!D:D,A271,'QA Log'!M:M,"QQC",'QA Log'!L:L,"*11. Additional Questions*")))</f>
        <v/>
      </c>
      <c r="K271" s="102" t="str">
        <f>IF(A271="","",SUM(
COUNTIFS('QA Log'!D:D,A271,'QA Log'!M:M,"QQC",'QA Log'!Z:Z,"Approved",'QA Log'!L:L,"*1. General Management*"),
COUNTIFS('QA Log'!D:D,A271,'QA Log'!M:M,"QQC",'QA Log'!Z:Z,"Approved",'QA Log'!L:L,"*3. Curative Consultation (OPD)*"),
COUNTIFS('QA Log'!D:D,A271,'QA Log'!M:M,"QQC",'QA Log'!Z:Z,"Approved",'QA Log'!L:L,"*5. Laboratory*"),
COUNTIFS('QA Log'!D:D,A271,'QA Log'!M:M,"QQC",'QA Log'!Z:Z,"Approved",'QA Log'!L:L,"*6. Essential Medicine Management*"),
COUNTIFS('QA Log'!D:D,A271,'QA Log'!M:M,"QQC",'QA Log'!Z:Z,"Approved",'QA Log'!L:L,"*7. Tracer Medicine*"),
COUNTIFS('QA Log'!D:D,A271,'QA Log'!M:M,"QQC",'QA Log'!Z:Z,"Approved",'QA Log'!L:L,"*11. Additional Questions*")))</f>
        <v/>
      </c>
      <c r="L271" s="105" t="str">
        <f>IF(A271&lt;&gt;"",COUNTIFS('QA Log'!D:D,A271,'QA Log'!M:M,"QQC",'QA Log'!L:L,"1. General Management",'QA Log'!Z:Z,"Approved"),"")</f>
        <v/>
      </c>
      <c r="M271" s="105" t="str">
        <f>IF(A271&lt;&gt;"",COUNTIFS('QA Log'!D:D,A271,'QA Log'!M:M,"QQC",'QA Log'!L:L,"3. Curative Consultation (OPD)",'QA Log'!Z:Z,"Approved"),"")</f>
        <v/>
      </c>
      <c r="N271" s="105" t="str">
        <f>IF(A271&lt;&gt;"",COUNTIFS('QA Log'!D:D,A271,'QA Log'!M:M,"QQC",'QA Log'!L:L,"5. Laboratory",'QA Log'!Z:Z,"Approved"),"")</f>
        <v/>
      </c>
      <c r="O271" s="105" t="str">
        <f>IF(A271&lt;&gt;"",COUNTIFS('QA Log'!D:D,A271,'QA Log'!M:M,"QQC",'QA Log'!L:L,"6. Essential Medicine Management",'QA Log'!Z:Z,"Approved"),"")</f>
        <v/>
      </c>
      <c r="P271" s="105" t="str">
        <f>IF(A271&lt;&gt;"",COUNTIFS('QA Log'!D:D,A271,'QA Log'!M:M,"QQC",'QA Log'!L:L,"7. Tracer Medicine",'QA Log'!Z:Z,"Approved"),"")</f>
        <v/>
      </c>
      <c r="Q271" s="105" t="str">
        <f>IF(A271&lt;&gt;"",COUNTIFS('QA Log'!D:D,A271,'QA Log'!M:M,"QQC",'QA Log'!L:L,"11. Additional Questions",'QA Log'!Z:Z,"Approved"),"")</f>
        <v/>
      </c>
      <c r="R271" s="102" t="str">
        <f>IF(A271="","",SUM(
COUNTIFS('QA Log'!D:D,A271,'QA Log'!M:M,"QQC",'QA Log'!Z:Z,"Rejected",'QA Log'!L:L,"*8. Maternity*"),
COUNTIFS('QA Log'!D:D,A271,'QA Log'!M:M,"QQC",'QA Log'!Z:Z,"Rejected",'QA Log'!L:L,"*EPI*"),
COUNTIFS('QA Log'!D:D,A271,'QA Log'!M:M,"QQC",'QA Log'!Z:Z,"Rejected",'QA Log'!L:L,"*10. Antenatal Care (ANC)*"),
COUNTIFS('QA Log'!D:D,A271,'QA Log'!M:M,"QQC",'QA Log'!Z:Z,"Rejected",'QA Log'!L:L,"*2. Hygiene and Sterilization*"),
COUNTIFS('QA Log'!D:D,A271,'QA Log'!M:M,"QQC",'QA Log'!Z:Z,"Rejected",'QA Log'!L:L,"*Family Planning*")))</f>
        <v/>
      </c>
      <c r="S271" s="106" t="str">
        <f t="shared" si="27"/>
        <v/>
      </c>
      <c r="T271" s="102" t="str">
        <f t="shared" si="28"/>
        <v/>
      </c>
      <c r="U271" s="102" t="str">
        <f>IF(A271="","",
SUM(
COUNTIFS('QA Log'!D:D,A271,'QA Log'!M:M,"QQC",'QA Log'!L:L,"*8. Maternity*"),
COUNTIFS('QA Log'!D:D,A271,'QA Log'!M:M,"QQC",'QA Log'!L:L,"*9. EPI and Pre-school Consultation*"),
COUNTIFS('QA Log'!D:D,A271,'QA Log'!M:M,"QQC",'QA Log'!L:L,"*10. Antenatal Care (ANC)*"),
COUNTIFS('QA Log'!D:D,A271,'QA Log'!M:M,"QQC",'QA Log'!L:L,"*2. Hygiene and Sterilization*"),
COUNTIFS('QA Log'!D:D,A271,'QA Log'!M:M,"QQC",'QA Log'!L:L,"*4. Family Planning*")
))</f>
        <v/>
      </c>
      <c r="V271" s="102" t="str">
        <f>IF(A271="","",
SUM(
COUNTIFS('QA Log'!D:D,A271,'QA Log'!M:M,"QQC",'QA Log'!Z:Z,"Approved",'QA Log'!L:L,"*8. Maternity*"),
COUNTIFS('QA Log'!D:D,A271,'QA Log'!M:M,"QQC",'QA Log'!Z:Z,"Approved",'QA Log'!L:L,"*9. EPI and Pre-school Consultation*"),
COUNTIFS('QA Log'!D:D,A271,'QA Log'!M:M,"QQC",'QA Log'!Z:Z,"Approved",'QA Log'!L:L,"*10. Antenatal Care (ANC)*"),
COUNTIFS('QA Log'!D:D,A271,'QA Log'!M:M,"QQC",'QA Log'!Z:Z,"Approved",'QA Log'!L:L,"*2. Hygiene and Sterilization*"),
COUNTIFS('QA Log'!D:D,A271,'QA Log'!M:M,"QQC",'QA Log'!Z:Z,"Approved",'QA Log'!L:L,"*4. Family Planning*")
))</f>
        <v/>
      </c>
      <c r="W271" s="105" t="str">
        <f>IF(A271&lt;&gt;"",COUNTIFS('QA Log'!D:D,A271,'QA Log'!M:M,"QQC",'QA Log'!L:L,"8. Maternity",'QA Log'!Z:Z,"Approved"),"")</f>
        <v/>
      </c>
      <c r="X271" s="105" t="str">
        <f>IF(A271&lt;&gt;"",COUNTIFS('QA Log'!D:D,A271,'QA Log'!M:M,"QQC",'QA Log'!L:L,"9. EPI and Pre-school Consultation",'QA Log'!Z:Z,"Approved"),"")</f>
        <v/>
      </c>
      <c r="Y271" s="105" t="str">
        <f>IF(A271&lt;&gt;"",COUNTIFS('QA Log'!D:D,A271,'QA Log'!M:M,"QQC",'QA Log'!L:L,"10. Antenatal Care (ANC)",'QA Log'!Z:Z,"Approved"),"")</f>
        <v/>
      </c>
      <c r="Z271" s="105" t="str">
        <f>IF(A271&lt;&gt;"",COUNTIFS('QA Log'!D:D,A271,'QA Log'!M:M,"QQC",'QA Log'!L:L,"2. Hygiene and Sterilization",'QA Log'!Z:Z,"Approved"),"")</f>
        <v/>
      </c>
      <c r="AA271" s="105" t="str">
        <f>IF(A271&lt;&gt;"",COUNTIFS('QA Log'!D:D,A271,'QA Log'!M:M,"QQC",'QA Log'!L:L,"4. Family Planning",'QA Log'!Z:Z,"Approved"),"")</f>
        <v/>
      </c>
      <c r="AB271" s="102" t="str">
        <f>IF(A271="","",
SUM(
COUNTIFS('QA Log'!D:D,A271,'QA Log'!M:M,"QQC",'QA Log'!Z:Z,"Rejected",'QA Log'!L:L,"*8. Maternity*"),
COUNTIFS('QA Log'!D:D,A271,'QA Log'!M:M,"QQC",'QA Log'!Z:Z,"Rejected",'QA Log'!L:L,"*9. EPI and Pre-school Consultation*"),
COUNTIFS('QA Log'!D:D,A271,'QA Log'!M:M,"QQC",'QA Log'!Z:Z,"Rejected",'QA Log'!L:L,"*10. Antenatal Care (ANC)*"),
COUNTIFS('QA Log'!D:D,A271,'QA Log'!M:M,"QQC",'QA Log'!Z:Z,"Rejected",'QA Log'!L:L,"*2. Hygiene and Sterilization*"),
COUNTIFS('QA Log'!D:D,A271,'QA Log'!M:M,"QQC",'QA Log'!Z:Z,"Rejected",'QA Log'!L:L,"*4. Family Planning*")
))</f>
        <v/>
      </c>
      <c r="AC271" s="102" t="str">
        <f t="shared" si="29"/>
        <v/>
      </c>
      <c r="AD271" s="103" t="str">
        <f t="shared" si="30"/>
        <v/>
      </c>
      <c r="AE271" s="102" t="str">
        <f>IF(A271="","",
SUM(
COUNTIFS('QA Log'!D:D,A271,'QA Log'!M:M,"Data Verification",'QA Log'!L:L,"*Medicine (section 2)*"),
COUNTIFS('QA Log'!D:D,A271,'QA Log'!M:M,"Data Verification",'QA Log'!L:L,"*Lab Testing Availability*"),
COUNTIFS('QA Log'!D:D,A271,'QA Log'!M:M,"Data Verification",'QA Log'!L:L,"*Other than P4P (section 6)*"),
COUNTIFS('QA Log'!D:D,A271,'QA Log'!M:M,"Data Verification",'QA Log'!L:L,"*Hospital Governance*")
))</f>
        <v/>
      </c>
      <c r="AF271" s="102" t="str">
        <f>IF(A271="","",
SUM(
COUNTIFS('QA Log'!D:D,A271,'QA Log'!M:M,"Data Verification",'QA Log'!Z:Z,"Approved",'QA Log'!L:L,"*Medicine (section 2)*"),
COUNTIFS('QA Log'!D:D,A271,'QA Log'!M:M,"Data Verification",'QA Log'!Z:Z,"Approved",'QA Log'!L:L,"*Lab Testing Availability*"),
COUNTIFS('QA Log'!D:D,A271,'QA Log'!M:M,"Data Verification",'QA Log'!Z:Z,"Approved",'QA Log'!L:L,"*Other than P4P (section 6)*"),
COUNTIFS('QA Log'!D:D,A271,'QA Log'!M:M,"Data Verification",'QA Log'!Z:Z,"Approved",'QA Log'!L:L,"*Hospital Governance*")
))</f>
        <v/>
      </c>
      <c r="AG271" s="105" t="str">
        <f>IF(A271&lt;&gt;"",COUNTIFS('QA Log'!D:D,A271,'QA Log'!M:M,"Data Verification",'QA Log'!L:L,"Medicine (section 2)",'QA Log'!Z:Z,"Approved"),"")</f>
        <v/>
      </c>
      <c r="AH271" s="105" t="str">
        <f>IF(A271&lt;&gt;"",COUNTIFS('QA Log'!D:D,A271,'QA Log'!M:M,"Data Verification",'QA Log'!L:L,"Lab Testing Availability",'QA Log'!Z:Z,"Approved"),"")</f>
        <v/>
      </c>
      <c r="AI271" s="105" t="str">
        <f>IF(A271&lt;&gt;"",COUNTIFS('QA Log'!D:D,A271,'QA Log'!M:M,"Data Verification",'QA Log'!L:L,"Other than P4P (section 6)",'QA Log'!Z:Z,"Approved"),"")</f>
        <v/>
      </c>
      <c r="AJ271" s="105" t="str">
        <f>IF(A271&lt;&gt;"",COUNTIFS('QA Log'!D:D,A271,'QA Log'!M:M,"Data Verification",'QA Log'!L:L,"Hospital Governance",'QA Log'!Z:Z,"Approved"),"")</f>
        <v/>
      </c>
      <c r="AK271" s="102" t="str">
        <f>IF(A271="","",
SUM(
COUNTIFS('QA Log'!D:D,A271,'QA Log'!M:M,"Data Verification",'QA Log'!Z:Z,"Rejected",'QA Log'!L:L,"*Medicine (section 2)*"),
COUNTIFS('QA Log'!D:D,A271,'QA Log'!M:M,"Data Verification",'QA Log'!Z:Z,"Rejected",'QA Log'!L:L,"*Lab Testing Availability*"),
COUNTIFS('QA Log'!D:D,A271,'QA Log'!M:M,"Data Verification",'QA Log'!Z:Z,"Rejected",'QA Log'!L:L,"*Other than P4P (section 6)*"),
COUNTIFS('QA Log'!D:D,A271,'QA Log'!M:M,"Data Verification",'QA Log'!Z:Z,"Rejected",'QA Log'!L:L,"*Hospital Governance*")
))</f>
        <v/>
      </c>
      <c r="AL271" s="106" t="str">
        <f t="shared" si="31"/>
        <v/>
      </c>
      <c r="AM271" s="102" t="str">
        <f t="shared" si="32"/>
        <v/>
      </c>
      <c r="AN271" s="102" t="str">
        <f>IF(A271="","",
SUM(
COUNTIFS('QA Log'!D:D,A271,'QA Log'!M:M,"Data Verification",'QA Log'!L:L,"*Personnel (section 1)*"),
COUNTIFS('QA Log'!D:D,A271,'QA Log'!M:M,"Data Verification",'QA Log'!L:L,"*Consumable (section 3)*"),
COUNTIFS('QA Log'!D:D,A271,'QA Log'!M:M,"Data Verification",'QA Log'!L:L,"*Equipments (section 4)*")
))</f>
        <v/>
      </c>
      <c r="AO271" s="102" t="str">
        <f>IF(A271="","",
SUM(
COUNTIFS('QA Log'!D:D,A271,'QA Log'!M:M,"Data Verification",'QA Log'!Z:Z,"Approved",'QA Log'!L:L,"*Personnel (section 1)*"),
COUNTIFS('QA Log'!D:D,A271,'QA Log'!M:M,"Data Verification",'QA Log'!Z:Z,"Approved",'QA Log'!L:L,"*Consumable (section 3)*"),
COUNTIFS('QA Log'!D:D,A271,'QA Log'!M:M,"Data Verification",'QA Log'!Z:Z,"Approved",'QA Log'!L:L,"*Equipments (section 4)*")
))</f>
        <v/>
      </c>
      <c r="AP271" s="105" t="str">
        <f>IF(A271&lt;&gt;"",COUNTIFS('QA Log'!D:D,A271,'QA Log'!M:M,"Data Verification",'QA Log'!L:L,"Personnel (section 1)",'QA Log'!Z:Z,"Approved"),"")</f>
        <v/>
      </c>
      <c r="AQ271" s="105" t="str">
        <f>IF(A271&lt;&gt;"",COUNTIFS('QA Log'!D:D,A271,'QA Log'!M:M,"Data Verification",'QA Log'!L:L,"Consumable (section 3)",'QA Log'!Z:Z,"Approved"),"")</f>
        <v/>
      </c>
      <c r="AR271" s="105" t="str">
        <f>IF(A271&lt;&gt;"",COUNTIFS('QA Log'!D:D,A271,'QA Log'!M:M,"Data Verification",'QA Log'!L:L,"Equipments (section 4)",'QA Log'!Z:Z,"Approved"),"")</f>
        <v/>
      </c>
      <c r="AS271" s="102" t="str">
        <f>IF(A271="","",
SUM(
COUNTIFS('QA Log'!D:D,A271,'QA Log'!M:M,"Data Verification",'QA Log'!Z:Z,"Rejected",'QA Log'!L:L,"*Personnel (section 1)*"),
COUNTIFS('QA Log'!D:D,A271,'QA Log'!M:M,"Data Verification",'QA Log'!Z:Z,"Rejected",'QA Log'!L:L,"*Consumable (section 3)*"),
COUNTIFS('QA Log'!D:D,A271,'QA Log'!M:M,"Data Verification",'QA Log'!Z:Z,"Rejected",'QA Log'!L:L,"*Equipments (section 4)*")
))</f>
        <v/>
      </c>
      <c r="AT271" s="102" t="str">
        <f t="shared" si="33"/>
        <v/>
      </c>
      <c r="AU271" s="103" t="str">
        <f t="shared" si="34"/>
        <v/>
      </c>
      <c r="AV271" s="102" t="str">
        <f>IF(A271="","",SUM(
COUNTIFS('QA Log'!D:D,A271,'QA Log'!M:M,"Vignette",'QA Log'!L:L,"*Vignette [1] Respiratory Infection: Pneumonia*"),
COUNTIFS('QA Log'!D:D,A271,'QA Log'!M:M,"Vignette",'QA Log'!L:L,"*Vignette [2]: Diarrhea with Cat B dehydration*"),
COUNTIFS('QA Log'!D:D,A271,'QA Log'!M:M,"Vignette",'QA Log'!L:L,"*Vignette [3] Growth Monitoring and Promotion*"),
COUNTIFS('QA Log'!D:D,A271,'QA Log'!M:M,"Vignette",'QA Log'!L:L,"*Vignette [4]: The management of presumptive TB patient*")
)
)</f>
        <v/>
      </c>
      <c r="AW271" s="102" t="str">
        <f>IF(
  A271="","",
  SUM(
    COUNTIFS('QA Log'!D:D,A271,'QA Log'!M:M,"Vignette",'QA Log'!Z:Z,"Approved",'QA Log'!L:L,"*Vignette [1] Respiratory Infection: Pneumonia*"),
    COUNTIFS('QA Log'!D:D,A271,'QA Log'!M:M,"Vignette",'QA Log'!Z:Z,"Approved",'QA Log'!L:L,"*Vignette [2]: Diarrhea with Cat B dehydration*"),
    COUNTIFS('QA Log'!D:D,A271,'QA Log'!M:M,"Vignette",'QA Log'!Z:Z,"Approved",'QA Log'!L:L,"*Vignette [3] Growth Monitoring and Promotion*"),
    COUNTIFS('QA Log'!D:D,A271,'QA Log'!M:M,"Vignette",'QA Log'!Z:Z,"Approved",'QA Log'!L:L,"*Vignette [4]: The management of presumptive TB patient*")
  )
)</f>
        <v/>
      </c>
      <c r="AX271" s="105" t="str">
        <f>IF(A271&lt;&gt;"",COUNTIFS('QA Log'!D:D,A271,'QA Log'!M:M,"Vignette",'QA Log'!L:L,"Vignette [1] Respiratory Infection: Pneumonia",'QA Log'!Z:Z,"Approved"),"")</f>
        <v/>
      </c>
      <c r="AY271" s="105" t="str">
        <f>IF(A271&lt;&gt;"",COUNTIFS('QA Log'!D:D,A271,'QA Log'!M:M,"Vignette",'QA Log'!L:L,"Vignette [2]: Diarrhea with Cat B dehydration",'QA Log'!Z:Z,"Approved"),"")</f>
        <v/>
      </c>
      <c r="AZ271" s="105" t="str">
        <f>IF(A271&lt;&gt;"",COUNTIFS('QA Log'!D:D,A271,'QA Log'!M:M,"Vignette",'QA Log'!L:L,"Vignette [3] Growth Monitoring and Promotion",'QA Log'!Z:Z,"Approved"),"")</f>
        <v/>
      </c>
      <c r="BA271" s="105" t="str">
        <f>IF(A271&lt;&gt;"",COUNTIFS('QA Log'!D:D,A271,'QA Log'!M:M,"Vignette",'QA Log'!L:L,"Vignette [4]: The management of presumptive TB patient",'QA Log'!Z:Z,"Approved"),"")</f>
        <v/>
      </c>
      <c r="BB271" s="102" t="str">
        <f>IF(A271="","",
  SUM(
    COUNTIFS('QA Log'!D:D,A271,'QA Log'!M:M,"Vignette",'QA Log'!Z:Z,"Rejected",'QA Log'!L:L,"*Vignette [1] Respiratory Infection: Pneumonia*"),
    COUNTIFS('QA Log'!D:D,A271,'QA Log'!M:M,"Vignette",'QA Log'!Z:Z,"Rejected",'QA Log'!L:L,"*Vignette [2]: Diarrhea with Cat B dehydration*"),
    COUNTIFS('QA Log'!D:D,A271,'QA Log'!M:M,"Vignette",'QA Log'!Z:Z,"Rejected",'QA Log'!L:L,"*Vignette [3] Growth Monitoring and Promotion*"),
    COUNTIFS('QA Log'!D:D,A271,'QA Log'!M:M,"Vignette",'QA Log'!Z:Z,"Rejected",'QA Log'!L:L,"*Vignette [4]: The management of presumptive TB patient*")
  )
)</f>
        <v/>
      </c>
      <c r="BC271" s="107" t="str">
        <f t="shared" si="35"/>
        <v/>
      </c>
      <c r="BD271" s="103" t="str">
        <f t="shared" si="36"/>
        <v/>
      </c>
      <c r="BE271" s="102" t="str">
        <f>IF(A271="","",SUM(
COUNTIFS('QA Log'!D:D,A271,'QA Log'!M:M,"Vignette",'QA Log'!L:L,"*Vignette [5] Labor*"),
COUNTIFS('QA Log'!D:D,A271,'QA Log'!M:M,"Vignette",'QA Log'!L:L,"*Vignette [6] PNC pre Discharge*"),
COUNTIFS('QA Log'!D:D,A271,'QA Log'!M:M,"Vignette",'QA Log'!L:L,"*Vignette [7] First ANC Visit*"),
COUNTIFS('QA Log'!D:D,A271,'QA Log'!M:M,"Vignette",'QA Log'!L:L,"*Vignette [8] Birth Spacing/ Family Planning :  FP Counselling*"),
COUNTIFS('QA Log'!D:D,A271,'QA Log'!M:M,"Vignette",'QA Log'!L:L,"*Vignette [9] Birth Spacing: Change FP method to Injectable*"),
COUNTIFS('QA Log'!D:D,A271,'QA Log'!M:M,"Vignette",'QA Log'!L:L,"*Vignette [10] Post Partum Haemorrhage - Atonic Uterus at Health Centre*"),
)
)</f>
        <v/>
      </c>
      <c r="BF271" s="102" t="str">
        <f>IF(A271="","",
  SUM(
    COUNTIFS('QA Log'!D:D,A271,'QA Log'!M:M,"Vignette",'QA Log'!Z:Z,"Approved",'QA Log'!L:L,"*Vignette [5] Labor*"),
    COUNTIFS('QA Log'!D:D,A271,'QA Log'!M:M,"Vignette",'QA Log'!Z:Z,"Approved",'QA Log'!L:L,"*Vignette [6] PNC pre Discharge*"),
    COUNTIFS('QA Log'!D:D,A271,'QA Log'!M:M,"Vignette",'QA Log'!Z:Z,"Approved",'QA Log'!L:L,"*Vignette [7] First ANC Visit*"),
    COUNTIFS('QA Log'!D:D,A271,'QA Log'!M:M,"Vignette",'QA Log'!Z:Z,"Approved",'QA Log'!L:L,"*Vignette [8] Birth Spacing/ Family Planning :  FP Counselling*"),
    COUNTIFS('QA Log'!D:D,A271,'QA Log'!M:M,"Vignette",'QA Log'!Z:Z,"Approved",'QA Log'!L:L,"*Vignette [9] Birth Spacing: Change FP method to Injectable*"),
    COUNTIFS('QA Log'!D:D,A271,'QA Log'!M:M,"Vignette",'QA Log'!Z:Z,"Approved",'QA Log'!L:L,"*Vignette [10] Post Partum Haemorrhage - Atonic Uterus at Health Centre*")
  )
)</f>
        <v/>
      </c>
      <c r="BG271" s="105" t="str">
        <f>IF(A271&lt;&gt;"",COUNTIFS('QA Log'!D:D,A271,'QA Log'!M:M,"Vignette",'QA Log'!L:L,"Vignette [5] Labor",'QA Log'!Z:Z,"Approved"),"")</f>
        <v/>
      </c>
      <c r="BH271" s="105" t="str">
        <f>IF(A271&lt;&gt;"",COUNTIFS('QA Log'!D:D,A271,'QA Log'!M:M,"Vignette",'QA Log'!L:L,"Vignette [6] PNC pre Discharge",'QA Log'!Z:Z,"Approved"),"")</f>
        <v/>
      </c>
      <c r="BI271" s="105" t="str">
        <f>IF(A271&lt;&gt;"",COUNTIFS('QA Log'!D:D,A271,'QA Log'!M:M,"Vignette",'QA Log'!L:L,"Vignette [7] First ANC Visit",'QA Log'!Z:Z,"Approved"),"")</f>
        <v/>
      </c>
      <c r="BJ271" s="105" t="str">
        <f>IF(A271&lt;&gt;"",COUNTIFS('QA Log'!D:D,A271,'QA Log'!M:M,"Vignette",'QA Log'!L:L,"Vignette [8] Birth Spacing/ Family Planning :  FP Counselling",'QA Log'!Z:Z,"Approved"),"")</f>
        <v/>
      </c>
      <c r="BK271" s="105" t="str">
        <f>IF(A271&lt;&gt;"",COUNTIFS('QA Log'!D:D,A271,'QA Log'!M:M,"Vignette",'QA Log'!L:L,"Vignette [9] Birth Spacing: Change FP method to Injectable",'QA Log'!Z:Z,"Approved"),"")</f>
        <v/>
      </c>
      <c r="BL271" s="105" t="str">
        <f>IF(A271&lt;&gt;"",COUNTIFS('QA Log'!D:D,A271,'QA Log'!M:M,"Vignette",'QA Log'!L:L,"Vignette [10] Post Partum Haemorrhage - Atonic Uterus at Health Centre",'QA Log'!Z:Z,"Approved"),"")</f>
        <v/>
      </c>
      <c r="BM271" s="102" t="str">
        <f>IF(A271="","",SUM(
    COUNTIFS('QA Log'!D:D,A271,'QA Log'!M:M,"Vignette",'QA Log'!Z:Z,"Rejected",'QA Log'!L:L,"*Vignette [5] Labor*"),
    COUNTIFS('QA Log'!D:D,A271,'QA Log'!M:M,"Vignette",'QA Log'!Z:Z,"Rejected",'QA Log'!L:L,"*Vignette [6] PNC pre Discharge*"),
    COUNTIFS('QA Log'!D:D,A271,'QA Log'!M:M,"Vignette",'QA Log'!Z:Z,"Rejected",'QA Log'!L:L,"*Vignette [7] First ANC Visit*"),
    COUNTIFS('QA Log'!D:D,A271,'QA Log'!M:M,"Vignette",'QA Log'!Z:Z,"Rejected",'QA Log'!L:L,"*Vignette [8] Birth Spacing/ Family Planning :  FP Counselling*"),
    COUNTIFS('QA Log'!D:D,A271,'QA Log'!M:M,"Vignette",'QA Log'!Z:Z,"Rejected",'QA Log'!L:L,"*Vignette [9] Birth Spacing: Change FP method to Injectable*"),
    COUNTIFS('QA Log'!D:D,A271,'QA Log'!M:M,"Vignette",'QA Log'!Z:Z,"Rejected",'QA Log'!L:L,"*Vignette [10] Post Partum Haemorrhage - Atonic Uterus at Health Centre*")
  )
)</f>
        <v/>
      </c>
      <c r="BN271" s="107" t="str">
        <f t="shared" si="37"/>
        <v/>
      </c>
      <c r="BO271" s="103" t="str">
        <f t="shared" si="38"/>
        <v/>
      </c>
      <c r="BP271" s="102" t="str">
        <f>IF(A271="","",SUM(
COUNTIFS('QA Log'!D:D,A271,'QA Log'!M:M,"Vignette",'QA Log'!L:L,"*Exit Interview 1*"),
COUNTIFS('QA Log'!D:D,A271,'QA Log'!M:M,"Vignette",'QA Log'!L:L,"*Exit Interview 2*"),
)
)</f>
        <v/>
      </c>
      <c r="BQ271" s="102" t="str">
        <f>IF(
  A271="","",
  SUM(
    COUNTIFS('QA Log'!D:D,A271,'QA Log'!M:M,"Vignette",'QA Log'!Z:Z,"Approved",'QA Log'!L:L,"*Exit Interview 1*"),
    COUNTIFS('QA Log'!D:D,A271,'QA Log'!M:M,"Vignette",'QA Log'!Z:Z,"Approved",'QA Log'!L:L,"*Exit Interview 2*")
  )
)</f>
        <v/>
      </c>
      <c r="BR271" s="105" t="str">
        <f>IF(A271&lt;&gt;"",COUNTIFS('QA Log'!D:D,A271,'QA Log'!M:M,"Vignette",'QA Log'!L:L,"Exit Interview 1",'QA Log'!Z:Z,"Approved"),"")</f>
        <v/>
      </c>
      <c r="BS271" s="105" t="str">
        <f>IF(A271&lt;&gt;"",COUNTIFS('QA Log'!D:D,A271,'QA Log'!M:M,"Vignette",'QA Log'!L:L,"Exit Interview 2",'QA Log'!Z:Z,"Approved"),"")</f>
        <v/>
      </c>
      <c r="BT271" s="102" t="str">
        <f>IF(
  A271="","",
  SUM(
    COUNTIFS('QA Log'!D:D,A271,'QA Log'!M:M,"Vignette",'QA Log'!Z:Z,"Rejected",'QA Log'!L:L,"*Exit Interview 1*"),
    COUNTIFS('QA Log'!D:D,A271,'QA Log'!M:M,"Vignette",'QA Log'!Z:Z,"Rejected",'QA Log'!L:L,"*Exit Interview 2*")
  )
)</f>
        <v/>
      </c>
      <c r="BU271" s="107" t="str">
        <f t="shared" si="39"/>
        <v/>
      </c>
      <c r="BV271" s="102" t="str">
        <f t="shared" si="40"/>
        <v/>
      </c>
      <c r="BW271" s="102" t="str">
        <f t="shared" si="41"/>
        <v/>
      </c>
      <c r="BX271" s="102" t="str">
        <f t="shared" si="42"/>
        <v/>
      </c>
      <c r="BY271" s="102" t="str">
        <f t="shared" si="43"/>
        <v/>
      </c>
      <c r="BZ271" s="107" t="str">
        <f t="shared" si="44"/>
        <v/>
      </c>
      <c r="CA271" s="108" t="str">
        <f t="shared" si="45"/>
        <v/>
      </c>
      <c r="CB271" s="108" t="str">
        <f t="shared" si="46"/>
        <v/>
      </c>
      <c r="CC271" s="109" t="str">
        <f t="shared" si="47"/>
        <v/>
      </c>
      <c r="CD271" s="108" t="str">
        <f t="shared" si="48"/>
        <v/>
      </c>
      <c r="CE271" s="108" t="str">
        <f t="shared" si="49"/>
        <v/>
      </c>
      <c r="CF271" s="109" t="str">
        <f t="shared" si="50"/>
        <v/>
      </c>
      <c r="CG271" s="110" t="str">
        <f t="shared" si="51"/>
        <v/>
      </c>
      <c r="CH271" s="111"/>
    </row>
    <row r="272" spans="1:86" ht="12.75">
      <c r="A272" s="101"/>
      <c r="B272" s="102" t="e">
        <f t="array" aca="1" ref="B272" ca="1">_xludf.XLOOKUP(A272,'QA Log'!D:D,'QA Log'!E:E,"")</f>
        <v>#NAME?</v>
      </c>
      <c r="C272" s="102" t="e">
        <f t="array" aca="1" ref="C272" ca="1">_xludf.XLOOKUP(A272,'QA Log'!D:D,'QA Log'!F:F,"")</f>
        <v>#NAME?</v>
      </c>
      <c r="D272" s="102" t="e">
        <f t="array" aca="1" ref="D272" ca="1">_xludf.XLOOKUP(A272,'QA Log'!D:D,'QA Log'!H:H,"")</f>
        <v>#NAME?</v>
      </c>
      <c r="E272" s="102" t="e">
        <f t="array" aca="1" ref="E272" ca="1">_xludf.XLOOKUP(A272,'QA Log'!D:D,'QA Log'!G:G,"")</f>
        <v>#NAME?</v>
      </c>
      <c r="F272" s="103"/>
      <c r="G272" s="104"/>
      <c r="H272" s="104"/>
      <c r="I272" s="103" t="str">
        <f t="shared" si="26"/>
        <v/>
      </c>
      <c r="J272" s="102" t="str">
        <f>IF(A272="","",SUM(
COUNTIFS('QA Log'!D:D,A272,'QA Log'!M:M,"QQC",'QA Log'!L:L,"*1. General Management*"),
COUNTIFS('QA Log'!D:D,A272,'QA Log'!M:M,"QQC",'QA Log'!L:L,"*3. Curative Consultation (OPD)*"),
COUNTIFS('QA Log'!D:D,A272,'QA Log'!M:M,"QQC",'QA Log'!L:L,"*5. Laboratory*"),
COUNTIFS('QA Log'!D:D,A272,'QA Log'!M:M,"QQC",'QA Log'!L:L,"*6. Essential Medicine Management*"),
COUNTIFS('QA Log'!D:D,A272,'QA Log'!M:M,"QQC",'QA Log'!L:L,"*7. Tracer Medicine*"),
COUNTIFS('QA Log'!D:D,A272,'QA Log'!M:M,"QQC",'QA Log'!L:L,"*11. Additional Questions*")))</f>
        <v/>
      </c>
      <c r="K272" s="102" t="str">
        <f>IF(A272="","",SUM(
COUNTIFS('QA Log'!D:D,A272,'QA Log'!M:M,"QQC",'QA Log'!Z:Z,"Approved",'QA Log'!L:L,"*1. General Management*"),
COUNTIFS('QA Log'!D:D,A272,'QA Log'!M:M,"QQC",'QA Log'!Z:Z,"Approved",'QA Log'!L:L,"*3. Curative Consultation (OPD)*"),
COUNTIFS('QA Log'!D:D,A272,'QA Log'!M:M,"QQC",'QA Log'!Z:Z,"Approved",'QA Log'!L:L,"*5. Laboratory*"),
COUNTIFS('QA Log'!D:D,A272,'QA Log'!M:M,"QQC",'QA Log'!Z:Z,"Approved",'QA Log'!L:L,"*6. Essential Medicine Management*"),
COUNTIFS('QA Log'!D:D,A272,'QA Log'!M:M,"QQC",'QA Log'!Z:Z,"Approved",'QA Log'!L:L,"*7. Tracer Medicine*"),
COUNTIFS('QA Log'!D:D,A272,'QA Log'!M:M,"QQC",'QA Log'!Z:Z,"Approved",'QA Log'!L:L,"*11. Additional Questions*")))</f>
        <v/>
      </c>
      <c r="L272" s="105" t="str">
        <f>IF(A272&lt;&gt;"",COUNTIFS('QA Log'!D:D,A272,'QA Log'!M:M,"QQC",'QA Log'!L:L,"1. General Management",'QA Log'!Z:Z,"Approved"),"")</f>
        <v/>
      </c>
      <c r="M272" s="105" t="str">
        <f>IF(A272&lt;&gt;"",COUNTIFS('QA Log'!D:D,A272,'QA Log'!M:M,"QQC",'QA Log'!L:L,"3. Curative Consultation (OPD)",'QA Log'!Z:Z,"Approved"),"")</f>
        <v/>
      </c>
      <c r="N272" s="105" t="str">
        <f>IF(A272&lt;&gt;"",COUNTIFS('QA Log'!D:D,A272,'QA Log'!M:M,"QQC",'QA Log'!L:L,"5. Laboratory",'QA Log'!Z:Z,"Approved"),"")</f>
        <v/>
      </c>
      <c r="O272" s="105" t="str">
        <f>IF(A272&lt;&gt;"",COUNTIFS('QA Log'!D:D,A272,'QA Log'!M:M,"QQC",'QA Log'!L:L,"6. Essential Medicine Management",'QA Log'!Z:Z,"Approved"),"")</f>
        <v/>
      </c>
      <c r="P272" s="105" t="str">
        <f>IF(A272&lt;&gt;"",COUNTIFS('QA Log'!D:D,A272,'QA Log'!M:M,"QQC",'QA Log'!L:L,"7. Tracer Medicine",'QA Log'!Z:Z,"Approved"),"")</f>
        <v/>
      </c>
      <c r="Q272" s="105" t="str">
        <f>IF(A272&lt;&gt;"",COUNTIFS('QA Log'!D:D,A272,'QA Log'!M:M,"QQC",'QA Log'!L:L,"11. Additional Questions",'QA Log'!Z:Z,"Approved"),"")</f>
        <v/>
      </c>
      <c r="R272" s="102" t="str">
        <f>IF(A272="","",SUM(
COUNTIFS('QA Log'!D:D,A272,'QA Log'!M:M,"QQC",'QA Log'!Z:Z,"Rejected",'QA Log'!L:L,"*8. Maternity*"),
COUNTIFS('QA Log'!D:D,A272,'QA Log'!M:M,"QQC",'QA Log'!Z:Z,"Rejected",'QA Log'!L:L,"*EPI*"),
COUNTIFS('QA Log'!D:D,A272,'QA Log'!M:M,"QQC",'QA Log'!Z:Z,"Rejected",'QA Log'!L:L,"*10. Antenatal Care (ANC)*"),
COUNTIFS('QA Log'!D:D,A272,'QA Log'!M:M,"QQC",'QA Log'!Z:Z,"Rejected",'QA Log'!L:L,"*2. Hygiene and Sterilization*"),
COUNTIFS('QA Log'!D:D,A272,'QA Log'!M:M,"QQC",'QA Log'!Z:Z,"Rejected",'QA Log'!L:L,"*Family Planning*")))</f>
        <v/>
      </c>
      <c r="S272" s="106" t="str">
        <f t="shared" si="27"/>
        <v/>
      </c>
      <c r="T272" s="102" t="str">
        <f t="shared" si="28"/>
        <v/>
      </c>
      <c r="U272" s="102" t="str">
        <f>IF(A272="","",
SUM(
COUNTIFS('QA Log'!D:D,A272,'QA Log'!M:M,"QQC",'QA Log'!L:L,"*8. Maternity*"),
COUNTIFS('QA Log'!D:D,A272,'QA Log'!M:M,"QQC",'QA Log'!L:L,"*9. EPI and Pre-school Consultation*"),
COUNTIFS('QA Log'!D:D,A272,'QA Log'!M:M,"QQC",'QA Log'!L:L,"*10. Antenatal Care (ANC)*"),
COUNTIFS('QA Log'!D:D,A272,'QA Log'!M:M,"QQC",'QA Log'!L:L,"*2. Hygiene and Sterilization*"),
COUNTIFS('QA Log'!D:D,A272,'QA Log'!M:M,"QQC",'QA Log'!L:L,"*4. Family Planning*")
))</f>
        <v/>
      </c>
      <c r="V272" s="102" t="str">
        <f>IF(A272="","",
SUM(
COUNTIFS('QA Log'!D:D,A272,'QA Log'!M:M,"QQC",'QA Log'!Z:Z,"Approved",'QA Log'!L:L,"*8. Maternity*"),
COUNTIFS('QA Log'!D:D,A272,'QA Log'!M:M,"QQC",'QA Log'!Z:Z,"Approved",'QA Log'!L:L,"*9. EPI and Pre-school Consultation*"),
COUNTIFS('QA Log'!D:D,A272,'QA Log'!M:M,"QQC",'QA Log'!Z:Z,"Approved",'QA Log'!L:L,"*10. Antenatal Care (ANC)*"),
COUNTIFS('QA Log'!D:D,A272,'QA Log'!M:M,"QQC",'QA Log'!Z:Z,"Approved",'QA Log'!L:L,"*2. Hygiene and Sterilization*"),
COUNTIFS('QA Log'!D:D,A272,'QA Log'!M:M,"QQC",'QA Log'!Z:Z,"Approved",'QA Log'!L:L,"*4. Family Planning*")
))</f>
        <v/>
      </c>
      <c r="W272" s="105" t="str">
        <f>IF(A272&lt;&gt;"",COUNTIFS('QA Log'!D:D,A272,'QA Log'!M:M,"QQC",'QA Log'!L:L,"8. Maternity",'QA Log'!Z:Z,"Approved"),"")</f>
        <v/>
      </c>
      <c r="X272" s="105" t="str">
        <f>IF(A272&lt;&gt;"",COUNTIFS('QA Log'!D:D,A272,'QA Log'!M:M,"QQC",'QA Log'!L:L,"9. EPI and Pre-school Consultation",'QA Log'!Z:Z,"Approved"),"")</f>
        <v/>
      </c>
      <c r="Y272" s="105" t="str">
        <f>IF(A272&lt;&gt;"",COUNTIFS('QA Log'!D:D,A272,'QA Log'!M:M,"QQC",'QA Log'!L:L,"10. Antenatal Care (ANC)",'QA Log'!Z:Z,"Approved"),"")</f>
        <v/>
      </c>
      <c r="Z272" s="105" t="str">
        <f>IF(A272&lt;&gt;"",COUNTIFS('QA Log'!D:D,A272,'QA Log'!M:M,"QQC",'QA Log'!L:L,"2. Hygiene and Sterilization",'QA Log'!Z:Z,"Approved"),"")</f>
        <v/>
      </c>
      <c r="AA272" s="105" t="str">
        <f>IF(A272&lt;&gt;"",COUNTIFS('QA Log'!D:D,A272,'QA Log'!M:M,"QQC",'QA Log'!L:L,"4. Family Planning",'QA Log'!Z:Z,"Approved"),"")</f>
        <v/>
      </c>
      <c r="AB272" s="102" t="str">
        <f>IF(A272="","",
SUM(
COUNTIFS('QA Log'!D:D,A272,'QA Log'!M:M,"QQC",'QA Log'!Z:Z,"Rejected",'QA Log'!L:L,"*8. Maternity*"),
COUNTIFS('QA Log'!D:D,A272,'QA Log'!M:M,"QQC",'QA Log'!Z:Z,"Rejected",'QA Log'!L:L,"*9. EPI and Pre-school Consultation*"),
COUNTIFS('QA Log'!D:D,A272,'QA Log'!M:M,"QQC",'QA Log'!Z:Z,"Rejected",'QA Log'!L:L,"*10. Antenatal Care (ANC)*"),
COUNTIFS('QA Log'!D:D,A272,'QA Log'!M:M,"QQC",'QA Log'!Z:Z,"Rejected",'QA Log'!L:L,"*2. Hygiene and Sterilization*"),
COUNTIFS('QA Log'!D:D,A272,'QA Log'!M:M,"QQC",'QA Log'!Z:Z,"Rejected",'QA Log'!L:L,"*4. Family Planning*")
))</f>
        <v/>
      </c>
      <c r="AC272" s="102" t="str">
        <f t="shared" si="29"/>
        <v/>
      </c>
      <c r="AD272" s="103" t="str">
        <f t="shared" si="30"/>
        <v/>
      </c>
      <c r="AE272" s="102" t="str">
        <f>IF(A272="","",
SUM(
COUNTIFS('QA Log'!D:D,A272,'QA Log'!M:M,"Data Verification",'QA Log'!L:L,"*Medicine (section 2)*"),
COUNTIFS('QA Log'!D:D,A272,'QA Log'!M:M,"Data Verification",'QA Log'!L:L,"*Lab Testing Availability*"),
COUNTIFS('QA Log'!D:D,A272,'QA Log'!M:M,"Data Verification",'QA Log'!L:L,"*Other than P4P (section 6)*"),
COUNTIFS('QA Log'!D:D,A272,'QA Log'!M:M,"Data Verification",'QA Log'!L:L,"*Hospital Governance*")
))</f>
        <v/>
      </c>
      <c r="AF272" s="102" t="str">
        <f>IF(A272="","",
SUM(
COUNTIFS('QA Log'!D:D,A272,'QA Log'!M:M,"Data Verification",'QA Log'!Z:Z,"Approved",'QA Log'!L:L,"*Medicine (section 2)*"),
COUNTIFS('QA Log'!D:D,A272,'QA Log'!M:M,"Data Verification",'QA Log'!Z:Z,"Approved",'QA Log'!L:L,"*Lab Testing Availability*"),
COUNTIFS('QA Log'!D:D,A272,'QA Log'!M:M,"Data Verification",'QA Log'!Z:Z,"Approved",'QA Log'!L:L,"*Other than P4P (section 6)*"),
COUNTIFS('QA Log'!D:D,A272,'QA Log'!M:M,"Data Verification",'QA Log'!Z:Z,"Approved",'QA Log'!L:L,"*Hospital Governance*")
))</f>
        <v/>
      </c>
      <c r="AG272" s="105" t="str">
        <f>IF(A272&lt;&gt;"",COUNTIFS('QA Log'!D:D,A272,'QA Log'!M:M,"Data Verification",'QA Log'!L:L,"Medicine (section 2)",'QA Log'!Z:Z,"Approved"),"")</f>
        <v/>
      </c>
      <c r="AH272" s="105" t="str">
        <f>IF(A272&lt;&gt;"",COUNTIFS('QA Log'!D:D,A272,'QA Log'!M:M,"Data Verification",'QA Log'!L:L,"Lab Testing Availability",'QA Log'!Z:Z,"Approved"),"")</f>
        <v/>
      </c>
      <c r="AI272" s="105" t="str">
        <f>IF(A272&lt;&gt;"",COUNTIFS('QA Log'!D:D,A272,'QA Log'!M:M,"Data Verification",'QA Log'!L:L,"Other than P4P (section 6)",'QA Log'!Z:Z,"Approved"),"")</f>
        <v/>
      </c>
      <c r="AJ272" s="105" t="str">
        <f>IF(A272&lt;&gt;"",COUNTIFS('QA Log'!D:D,A272,'QA Log'!M:M,"Data Verification",'QA Log'!L:L,"Hospital Governance",'QA Log'!Z:Z,"Approved"),"")</f>
        <v/>
      </c>
      <c r="AK272" s="102" t="str">
        <f>IF(A272="","",
SUM(
COUNTIFS('QA Log'!D:D,A272,'QA Log'!M:M,"Data Verification",'QA Log'!Z:Z,"Rejected",'QA Log'!L:L,"*Medicine (section 2)*"),
COUNTIFS('QA Log'!D:D,A272,'QA Log'!M:M,"Data Verification",'QA Log'!Z:Z,"Rejected",'QA Log'!L:L,"*Lab Testing Availability*"),
COUNTIFS('QA Log'!D:D,A272,'QA Log'!M:M,"Data Verification",'QA Log'!Z:Z,"Rejected",'QA Log'!L:L,"*Other than P4P (section 6)*"),
COUNTIFS('QA Log'!D:D,A272,'QA Log'!M:M,"Data Verification",'QA Log'!Z:Z,"Rejected",'QA Log'!L:L,"*Hospital Governance*")
))</f>
        <v/>
      </c>
      <c r="AL272" s="106" t="str">
        <f t="shared" si="31"/>
        <v/>
      </c>
      <c r="AM272" s="102" t="str">
        <f t="shared" si="32"/>
        <v/>
      </c>
      <c r="AN272" s="102" t="str">
        <f>IF(A272="","",
SUM(
COUNTIFS('QA Log'!D:D,A272,'QA Log'!M:M,"Data Verification",'QA Log'!L:L,"*Personnel (section 1)*"),
COUNTIFS('QA Log'!D:D,A272,'QA Log'!M:M,"Data Verification",'QA Log'!L:L,"*Consumable (section 3)*"),
COUNTIFS('QA Log'!D:D,A272,'QA Log'!M:M,"Data Verification",'QA Log'!L:L,"*Equipments (section 4)*")
))</f>
        <v/>
      </c>
      <c r="AO272" s="102" t="str">
        <f>IF(A272="","",
SUM(
COUNTIFS('QA Log'!D:D,A272,'QA Log'!M:M,"Data Verification",'QA Log'!Z:Z,"Approved",'QA Log'!L:L,"*Personnel (section 1)*"),
COUNTIFS('QA Log'!D:D,A272,'QA Log'!M:M,"Data Verification",'QA Log'!Z:Z,"Approved",'QA Log'!L:L,"*Consumable (section 3)*"),
COUNTIFS('QA Log'!D:D,A272,'QA Log'!M:M,"Data Verification",'QA Log'!Z:Z,"Approved",'QA Log'!L:L,"*Equipments (section 4)*")
))</f>
        <v/>
      </c>
      <c r="AP272" s="105" t="str">
        <f>IF(A272&lt;&gt;"",COUNTIFS('QA Log'!D:D,A272,'QA Log'!M:M,"Data Verification",'QA Log'!L:L,"Personnel (section 1)",'QA Log'!Z:Z,"Approved"),"")</f>
        <v/>
      </c>
      <c r="AQ272" s="105" t="str">
        <f>IF(A272&lt;&gt;"",COUNTIFS('QA Log'!D:D,A272,'QA Log'!M:M,"Data Verification",'QA Log'!L:L,"Consumable (section 3)",'QA Log'!Z:Z,"Approved"),"")</f>
        <v/>
      </c>
      <c r="AR272" s="105" t="str">
        <f>IF(A272&lt;&gt;"",COUNTIFS('QA Log'!D:D,A272,'QA Log'!M:M,"Data Verification",'QA Log'!L:L,"Equipments (section 4)",'QA Log'!Z:Z,"Approved"),"")</f>
        <v/>
      </c>
      <c r="AS272" s="102" t="str">
        <f>IF(A272="","",
SUM(
COUNTIFS('QA Log'!D:D,A272,'QA Log'!M:M,"Data Verification",'QA Log'!Z:Z,"Rejected",'QA Log'!L:L,"*Personnel (section 1)*"),
COUNTIFS('QA Log'!D:D,A272,'QA Log'!M:M,"Data Verification",'QA Log'!Z:Z,"Rejected",'QA Log'!L:L,"*Consumable (section 3)*"),
COUNTIFS('QA Log'!D:D,A272,'QA Log'!M:M,"Data Verification",'QA Log'!Z:Z,"Rejected",'QA Log'!L:L,"*Equipments (section 4)*")
))</f>
        <v/>
      </c>
      <c r="AT272" s="102" t="str">
        <f t="shared" si="33"/>
        <v/>
      </c>
      <c r="AU272" s="103" t="str">
        <f t="shared" si="34"/>
        <v/>
      </c>
      <c r="AV272" s="102" t="str">
        <f>IF(A272="","",SUM(
COUNTIFS('QA Log'!D:D,A272,'QA Log'!M:M,"Vignette",'QA Log'!L:L,"*Vignette [1] Respiratory Infection: Pneumonia*"),
COUNTIFS('QA Log'!D:D,A272,'QA Log'!M:M,"Vignette",'QA Log'!L:L,"*Vignette [2]: Diarrhea with Cat B dehydration*"),
COUNTIFS('QA Log'!D:D,A272,'QA Log'!M:M,"Vignette",'QA Log'!L:L,"*Vignette [3] Growth Monitoring and Promotion*"),
COUNTIFS('QA Log'!D:D,A272,'QA Log'!M:M,"Vignette",'QA Log'!L:L,"*Vignette [4]: The management of presumptive TB patient*")
)
)</f>
        <v/>
      </c>
      <c r="AW272" s="102" t="str">
        <f>IF(
  A272="","",
  SUM(
    COUNTIFS('QA Log'!D:D,A272,'QA Log'!M:M,"Vignette",'QA Log'!Z:Z,"Approved",'QA Log'!L:L,"*Vignette [1] Respiratory Infection: Pneumonia*"),
    COUNTIFS('QA Log'!D:D,A272,'QA Log'!M:M,"Vignette",'QA Log'!Z:Z,"Approved",'QA Log'!L:L,"*Vignette [2]: Diarrhea with Cat B dehydration*"),
    COUNTIFS('QA Log'!D:D,A272,'QA Log'!M:M,"Vignette",'QA Log'!Z:Z,"Approved",'QA Log'!L:L,"*Vignette [3] Growth Monitoring and Promotion*"),
    COUNTIFS('QA Log'!D:D,A272,'QA Log'!M:M,"Vignette",'QA Log'!Z:Z,"Approved",'QA Log'!L:L,"*Vignette [4]: The management of presumptive TB patient*")
  )
)</f>
        <v/>
      </c>
      <c r="AX272" s="105" t="str">
        <f>IF(A272&lt;&gt;"",COUNTIFS('QA Log'!D:D,A272,'QA Log'!M:M,"Vignette",'QA Log'!L:L,"Vignette [1] Respiratory Infection: Pneumonia",'QA Log'!Z:Z,"Approved"),"")</f>
        <v/>
      </c>
      <c r="AY272" s="105" t="str">
        <f>IF(A272&lt;&gt;"",COUNTIFS('QA Log'!D:D,A272,'QA Log'!M:M,"Vignette",'QA Log'!L:L,"Vignette [2]: Diarrhea with Cat B dehydration",'QA Log'!Z:Z,"Approved"),"")</f>
        <v/>
      </c>
      <c r="AZ272" s="105" t="str">
        <f>IF(A272&lt;&gt;"",COUNTIFS('QA Log'!D:D,A272,'QA Log'!M:M,"Vignette",'QA Log'!L:L,"Vignette [3] Growth Monitoring and Promotion",'QA Log'!Z:Z,"Approved"),"")</f>
        <v/>
      </c>
      <c r="BA272" s="105" t="str">
        <f>IF(A272&lt;&gt;"",COUNTIFS('QA Log'!D:D,A272,'QA Log'!M:M,"Vignette",'QA Log'!L:L,"Vignette [4]: The management of presumptive TB patient",'QA Log'!Z:Z,"Approved"),"")</f>
        <v/>
      </c>
      <c r="BB272" s="102" t="str">
        <f>IF(A272="","",
  SUM(
    COUNTIFS('QA Log'!D:D,A272,'QA Log'!M:M,"Vignette",'QA Log'!Z:Z,"Rejected",'QA Log'!L:L,"*Vignette [1] Respiratory Infection: Pneumonia*"),
    COUNTIFS('QA Log'!D:D,A272,'QA Log'!M:M,"Vignette",'QA Log'!Z:Z,"Rejected",'QA Log'!L:L,"*Vignette [2]: Diarrhea with Cat B dehydration*"),
    COUNTIFS('QA Log'!D:D,A272,'QA Log'!M:M,"Vignette",'QA Log'!Z:Z,"Rejected",'QA Log'!L:L,"*Vignette [3] Growth Monitoring and Promotion*"),
    COUNTIFS('QA Log'!D:D,A272,'QA Log'!M:M,"Vignette",'QA Log'!Z:Z,"Rejected",'QA Log'!L:L,"*Vignette [4]: The management of presumptive TB patient*")
  )
)</f>
        <v/>
      </c>
      <c r="BC272" s="107" t="str">
        <f t="shared" si="35"/>
        <v/>
      </c>
      <c r="BD272" s="103" t="str">
        <f t="shared" si="36"/>
        <v/>
      </c>
      <c r="BE272" s="102" t="str">
        <f>IF(A272="","",SUM(
COUNTIFS('QA Log'!D:D,A272,'QA Log'!M:M,"Vignette",'QA Log'!L:L,"*Vignette [5] Labor*"),
COUNTIFS('QA Log'!D:D,A272,'QA Log'!M:M,"Vignette",'QA Log'!L:L,"*Vignette [6] PNC pre Discharge*"),
COUNTIFS('QA Log'!D:D,A272,'QA Log'!M:M,"Vignette",'QA Log'!L:L,"*Vignette [7] First ANC Visit*"),
COUNTIFS('QA Log'!D:D,A272,'QA Log'!M:M,"Vignette",'QA Log'!L:L,"*Vignette [8] Birth Spacing/ Family Planning :  FP Counselling*"),
COUNTIFS('QA Log'!D:D,A272,'QA Log'!M:M,"Vignette",'QA Log'!L:L,"*Vignette [9] Birth Spacing: Change FP method to Injectable*"),
COUNTIFS('QA Log'!D:D,A272,'QA Log'!M:M,"Vignette",'QA Log'!L:L,"*Vignette [10] Post Partum Haemorrhage - Atonic Uterus at Health Centre*"),
)
)</f>
        <v/>
      </c>
      <c r="BF272" s="102" t="str">
        <f>IF(A272="","",
  SUM(
    COUNTIFS('QA Log'!D:D,A272,'QA Log'!M:M,"Vignette",'QA Log'!Z:Z,"Approved",'QA Log'!L:L,"*Vignette [5] Labor*"),
    COUNTIFS('QA Log'!D:D,A272,'QA Log'!M:M,"Vignette",'QA Log'!Z:Z,"Approved",'QA Log'!L:L,"*Vignette [6] PNC pre Discharge*"),
    COUNTIFS('QA Log'!D:D,A272,'QA Log'!M:M,"Vignette",'QA Log'!Z:Z,"Approved",'QA Log'!L:L,"*Vignette [7] First ANC Visit*"),
    COUNTIFS('QA Log'!D:D,A272,'QA Log'!M:M,"Vignette",'QA Log'!Z:Z,"Approved",'QA Log'!L:L,"*Vignette [8] Birth Spacing/ Family Planning :  FP Counselling*"),
    COUNTIFS('QA Log'!D:D,A272,'QA Log'!M:M,"Vignette",'QA Log'!Z:Z,"Approved",'QA Log'!L:L,"*Vignette [9] Birth Spacing: Change FP method to Injectable*"),
    COUNTIFS('QA Log'!D:D,A272,'QA Log'!M:M,"Vignette",'QA Log'!Z:Z,"Approved",'QA Log'!L:L,"*Vignette [10] Post Partum Haemorrhage - Atonic Uterus at Health Centre*")
  )
)</f>
        <v/>
      </c>
      <c r="BG272" s="105" t="str">
        <f>IF(A272&lt;&gt;"",COUNTIFS('QA Log'!D:D,A272,'QA Log'!M:M,"Vignette",'QA Log'!L:L,"Vignette [5] Labor",'QA Log'!Z:Z,"Approved"),"")</f>
        <v/>
      </c>
      <c r="BH272" s="105" t="str">
        <f>IF(A272&lt;&gt;"",COUNTIFS('QA Log'!D:D,A272,'QA Log'!M:M,"Vignette",'QA Log'!L:L,"Vignette [6] PNC pre Discharge",'QA Log'!Z:Z,"Approved"),"")</f>
        <v/>
      </c>
      <c r="BI272" s="105" t="str">
        <f>IF(A272&lt;&gt;"",COUNTIFS('QA Log'!D:D,A272,'QA Log'!M:M,"Vignette",'QA Log'!L:L,"Vignette [7] First ANC Visit",'QA Log'!Z:Z,"Approved"),"")</f>
        <v/>
      </c>
      <c r="BJ272" s="105" t="str">
        <f>IF(A272&lt;&gt;"",COUNTIFS('QA Log'!D:D,A272,'QA Log'!M:M,"Vignette",'QA Log'!L:L,"Vignette [8] Birth Spacing/ Family Planning :  FP Counselling",'QA Log'!Z:Z,"Approved"),"")</f>
        <v/>
      </c>
      <c r="BK272" s="105" t="str">
        <f>IF(A272&lt;&gt;"",COUNTIFS('QA Log'!D:D,A272,'QA Log'!M:M,"Vignette",'QA Log'!L:L,"Vignette [9] Birth Spacing: Change FP method to Injectable",'QA Log'!Z:Z,"Approved"),"")</f>
        <v/>
      </c>
      <c r="BL272" s="105" t="str">
        <f>IF(A272&lt;&gt;"",COUNTIFS('QA Log'!D:D,A272,'QA Log'!M:M,"Vignette",'QA Log'!L:L,"Vignette [10] Post Partum Haemorrhage - Atonic Uterus at Health Centre",'QA Log'!Z:Z,"Approved"),"")</f>
        <v/>
      </c>
      <c r="BM272" s="102" t="str">
        <f>IF(A272="","",SUM(
    COUNTIFS('QA Log'!D:D,A272,'QA Log'!M:M,"Vignette",'QA Log'!Z:Z,"Rejected",'QA Log'!L:L,"*Vignette [5] Labor*"),
    COUNTIFS('QA Log'!D:D,A272,'QA Log'!M:M,"Vignette",'QA Log'!Z:Z,"Rejected",'QA Log'!L:L,"*Vignette [6] PNC pre Discharge*"),
    COUNTIFS('QA Log'!D:D,A272,'QA Log'!M:M,"Vignette",'QA Log'!Z:Z,"Rejected",'QA Log'!L:L,"*Vignette [7] First ANC Visit*"),
    COUNTIFS('QA Log'!D:D,A272,'QA Log'!M:M,"Vignette",'QA Log'!Z:Z,"Rejected",'QA Log'!L:L,"*Vignette [8] Birth Spacing/ Family Planning :  FP Counselling*"),
    COUNTIFS('QA Log'!D:D,A272,'QA Log'!M:M,"Vignette",'QA Log'!Z:Z,"Rejected",'QA Log'!L:L,"*Vignette [9] Birth Spacing: Change FP method to Injectable*"),
    COUNTIFS('QA Log'!D:D,A272,'QA Log'!M:M,"Vignette",'QA Log'!Z:Z,"Rejected",'QA Log'!L:L,"*Vignette [10] Post Partum Haemorrhage - Atonic Uterus at Health Centre*")
  )
)</f>
        <v/>
      </c>
      <c r="BN272" s="107" t="str">
        <f t="shared" si="37"/>
        <v/>
      </c>
      <c r="BO272" s="103" t="str">
        <f t="shared" si="38"/>
        <v/>
      </c>
      <c r="BP272" s="102" t="str">
        <f>IF(A272="","",SUM(
COUNTIFS('QA Log'!D:D,A272,'QA Log'!M:M,"Vignette",'QA Log'!L:L,"*Exit Interview 1*"),
COUNTIFS('QA Log'!D:D,A272,'QA Log'!M:M,"Vignette",'QA Log'!L:L,"*Exit Interview 2*"),
)
)</f>
        <v/>
      </c>
      <c r="BQ272" s="102" t="str">
        <f>IF(
  A272="","",
  SUM(
    COUNTIFS('QA Log'!D:D,A272,'QA Log'!M:M,"Vignette",'QA Log'!Z:Z,"Approved",'QA Log'!L:L,"*Exit Interview 1*"),
    COUNTIFS('QA Log'!D:D,A272,'QA Log'!M:M,"Vignette",'QA Log'!Z:Z,"Approved",'QA Log'!L:L,"*Exit Interview 2*")
  )
)</f>
        <v/>
      </c>
      <c r="BR272" s="105" t="str">
        <f>IF(A272&lt;&gt;"",COUNTIFS('QA Log'!D:D,A272,'QA Log'!M:M,"Vignette",'QA Log'!L:L,"Exit Interview 1",'QA Log'!Z:Z,"Approved"),"")</f>
        <v/>
      </c>
      <c r="BS272" s="105" t="str">
        <f>IF(A272&lt;&gt;"",COUNTIFS('QA Log'!D:D,A272,'QA Log'!M:M,"Vignette",'QA Log'!L:L,"Exit Interview 2",'QA Log'!Z:Z,"Approved"),"")</f>
        <v/>
      </c>
      <c r="BT272" s="102" t="str">
        <f>IF(
  A272="","",
  SUM(
    COUNTIFS('QA Log'!D:D,A272,'QA Log'!M:M,"Vignette",'QA Log'!Z:Z,"Rejected",'QA Log'!L:L,"*Exit Interview 1*"),
    COUNTIFS('QA Log'!D:D,A272,'QA Log'!M:M,"Vignette",'QA Log'!Z:Z,"Rejected",'QA Log'!L:L,"*Exit Interview 2*")
  )
)</f>
        <v/>
      </c>
      <c r="BU272" s="107" t="str">
        <f t="shared" si="39"/>
        <v/>
      </c>
      <c r="BV272" s="102" t="str">
        <f t="shared" si="40"/>
        <v/>
      </c>
      <c r="BW272" s="102" t="str">
        <f t="shared" si="41"/>
        <v/>
      </c>
      <c r="BX272" s="102" t="str">
        <f t="shared" si="42"/>
        <v/>
      </c>
      <c r="BY272" s="102" t="str">
        <f t="shared" si="43"/>
        <v/>
      </c>
      <c r="BZ272" s="107" t="str">
        <f t="shared" si="44"/>
        <v/>
      </c>
      <c r="CA272" s="108" t="str">
        <f t="shared" si="45"/>
        <v/>
      </c>
      <c r="CB272" s="108" t="str">
        <f t="shared" si="46"/>
        <v/>
      </c>
      <c r="CC272" s="109" t="str">
        <f t="shared" si="47"/>
        <v/>
      </c>
      <c r="CD272" s="108" t="str">
        <f t="shared" si="48"/>
        <v/>
      </c>
      <c r="CE272" s="108" t="str">
        <f t="shared" si="49"/>
        <v/>
      </c>
      <c r="CF272" s="109" t="str">
        <f t="shared" si="50"/>
        <v/>
      </c>
      <c r="CG272" s="110" t="str">
        <f t="shared" si="51"/>
        <v/>
      </c>
      <c r="CH272" s="111"/>
    </row>
    <row r="273" spans="1:86" ht="12.75">
      <c r="A273" s="101"/>
      <c r="B273" s="102" t="e">
        <f t="array" aca="1" ref="B273" ca="1">_xludf.XLOOKUP(A273,'QA Log'!D:D,'QA Log'!E:E,"")</f>
        <v>#NAME?</v>
      </c>
      <c r="C273" s="102" t="e">
        <f t="array" aca="1" ref="C273" ca="1">_xludf.XLOOKUP(A273,'QA Log'!D:D,'QA Log'!F:F,"")</f>
        <v>#NAME?</v>
      </c>
      <c r="D273" s="102" t="e">
        <f t="array" aca="1" ref="D273" ca="1">_xludf.XLOOKUP(A273,'QA Log'!D:D,'QA Log'!H:H,"")</f>
        <v>#NAME?</v>
      </c>
      <c r="E273" s="102" t="e">
        <f t="array" aca="1" ref="E273" ca="1">_xludf.XLOOKUP(A273,'QA Log'!D:D,'QA Log'!G:G,"")</f>
        <v>#NAME?</v>
      </c>
      <c r="F273" s="103"/>
      <c r="G273" s="104"/>
      <c r="H273" s="104"/>
      <c r="I273" s="103" t="str">
        <f t="shared" si="26"/>
        <v/>
      </c>
      <c r="J273" s="102" t="str">
        <f>IF(A273="","",SUM(
COUNTIFS('QA Log'!D:D,A273,'QA Log'!M:M,"QQC",'QA Log'!L:L,"*1. General Management*"),
COUNTIFS('QA Log'!D:D,A273,'QA Log'!M:M,"QQC",'QA Log'!L:L,"*3. Curative Consultation (OPD)*"),
COUNTIFS('QA Log'!D:D,A273,'QA Log'!M:M,"QQC",'QA Log'!L:L,"*5. Laboratory*"),
COUNTIFS('QA Log'!D:D,A273,'QA Log'!M:M,"QQC",'QA Log'!L:L,"*6. Essential Medicine Management*"),
COUNTIFS('QA Log'!D:D,A273,'QA Log'!M:M,"QQC",'QA Log'!L:L,"*7. Tracer Medicine*"),
COUNTIFS('QA Log'!D:D,A273,'QA Log'!M:M,"QQC",'QA Log'!L:L,"*11. Additional Questions*")))</f>
        <v/>
      </c>
      <c r="K273" s="102" t="str">
        <f>IF(A273="","",SUM(
COUNTIFS('QA Log'!D:D,A273,'QA Log'!M:M,"QQC",'QA Log'!Z:Z,"Approved",'QA Log'!L:L,"*1. General Management*"),
COUNTIFS('QA Log'!D:D,A273,'QA Log'!M:M,"QQC",'QA Log'!Z:Z,"Approved",'QA Log'!L:L,"*3. Curative Consultation (OPD)*"),
COUNTIFS('QA Log'!D:D,A273,'QA Log'!M:M,"QQC",'QA Log'!Z:Z,"Approved",'QA Log'!L:L,"*5. Laboratory*"),
COUNTIFS('QA Log'!D:D,A273,'QA Log'!M:M,"QQC",'QA Log'!Z:Z,"Approved",'QA Log'!L:L,"*6. Essential Medicine Management*"),
COUNTIFS('QA Log'!D:D,A273,'QA Log'!M:M,"QQC",'QA Log'!Z:Z,"Approved",'QA Log'!L:L,"*7. Tracer Medicine*"),
COUNTIFS('QA Log'!D:D,A273,'QA Log'!M:M,"QQC",'QA Log'!Z:Z,"Approved",'QA Log'!L:L,"*11. Additional Questions*")))</f>
        <v/>
      </c>
      <c r="L273" s="105" t="str">
        <f>IF(A273&lt;&gt;"",COUNTIFS('QA Log'!D:D,A273,'QA Log'!M:M,"QQC",'QA Log'!L:L,"1. General Management",'QA Log'!Z:Z,"Approved"),"")</f>
        <v/>
      </c>
      <c r="M273" s="105" t="str">
        <f>IF(A273&lt;&gt;"",COUNTIFS('QA Log'!D:D,A273,'QA Log'!M:M,"QQC",'QA Log'!L:L,"3. Curative Consultation (OPD)",'QA Log'!Z:Z,"Approved"),"")</f>
        <v/>
      </c>
      <c r="N273" s="105" t="str">
        <f>IF(A273&lt;&gt;"",COUNTIFS('QA Log'!D:D,A273,'QA Log'!M:M,"QQC",'QA Log'!L:L,"5. Laboratory",'QA Log'!Z:Z,"Approved"),"")</f>
        <v/>
      </c>
      <c r="O273" s="105" t="str">
        <f>IF(A273&lt;&gt;"",COUNTIFS('QA Log'!D:D,A273,'QA Log'!M:M,"QQC",'QA Log'!L:L,"6. Essential Medicine Management",'QA Log'!Z:Z,"Approved"),"")</f>
        <v/>
      </c>
      <c r="P273" s="105" t="str">
        <f>IF(A273&lt;&gt;"",COUNTIFS('QA Log'!D:D,A273,'QA Log'!M:M,"QQC",'QA Log'!L:L,"7. Tracer Medicine",'QA Log'!Z:Z,"Approved"),"")</f>
        <v/>
      </c>
      <c r="Q273" s="105" t="str">
        <f>IF(A273&lt;&gt;"",COUNTIFS('QA Log'!D:D,A273,'QA Log'!M:M,"QQC",'QA Log'!L:L,"11. Additional Questions",'QA Log'!Z:Z,"Approved"),"")</f>
        <v/>
      </c>
      <c r="R273" s="102" t="str">
        <f>IF(A273="","",SUM(
COUNTIFS('QA Log'!D:D,A273,'QA Log'!M:M,"QQC",'QA Log'!Z:Z,"Rejected",'QA Log'!L:L,"*8. Maternity*"),
COUNTIFS('QA Log'!D:D,A273,'QA Log'!M:M,"QQC",'QA Log'!Z:Z,"Rejected",'QA Log'!L:L,"*EPI*"),
COUNTIFS('QA Log'!D:D,A273,'QA Log'!M:M,"QQC",'QA Log'!Z:Z,"Rejected",'QA Log'!L:L,"*10. Antenatal Care (ANC)*"),
COUNTIFS('QA Log'!D:D,A273,'QA Log'!M:M,"QQC",'QA Log'!Z:Z,"Rejected",'QA Log'!L:L,"*2. Hygiene and Sterilization*"),
COUNTIFS('QA Log'!D:D,A273,'QA Log'!M:M,"QQC",'QA Log'!Z:Z,"Rejected",'QA Log'!L:L,"*Family Planning*")))</f>
        <v/>
      </c>
      <c r="S273" s="106" t="str">
        <f t="shared" si="27"/>
        <v/>
      </c>
      <c r="T273" s="102" t="str">
        <f t="shared" si="28"/>
        <v/>
      </c>
      <c r="U273" s="102" t="str">
        <f>IF(A273="","",
SUM(
COUNTIFS('QA Log'!D:D,A273,'QA Log'!M:M,"QQC",'QA Log'!L:L,"*8. Maternity*"),
COUNTIFS('QA Log'!D:D,A273,'QA Log'!M:M,"QQC",'QA Log'!L:L,"*9. EPI and Pre-school Consultation*"),
COUNTIFS('QA Log'!D:D,A273,'QA Log'!M:M,"QQC",'QA Log'!L:L,"*10. Antenatal Care (ANC)*"),
COUNTIFS('QA Log'!D:D,A273,'QA Log'!M:M,"QQC",'QA Log'!L:L,"*2. Hygiene and Sterilization*"),
COUNTIFS('QA Log'!D:D,A273,'QA Log'!M:M,"QQC",'QA Log'!L:L,"*4. Family Planning*")
))</f>
        <v/>
      </c>
      <c r="V273" s="102" t="str">
        <f>IF(A273="","",
SUM(
COUNTIFS('QA Log'!D:D,A273,'QA Log'!M:M,"QQC",'QA Log'!Z:Z,"Approved",'QA Log'!L:L,"*8. Maternity*"),
COUNTIFS('QA Log'!D:D,A273,'QA Log'!M:M,"QQC",'QA Log'!Z:Z,"Approved",'QA Log'!L:L,"*9. EPI and Pre-school Consultation*"),
COUNTIFS('QA Log'!D:D,A273,'QA Log'!M:M,"QQC",'QA Log'!Z:Z,"Approved",'QA Log'!L:L,"*10. Antenatal Care (ANC)*"),
COUNTIFS('QA Log'!D:D,A273,'QA Log'!M:M,"QQC",'QA Log'!Z:Z,"Approved",'QA Log'!L:L,"*2. Hygiene and Sterilization*"),
COUNTIFS('QA Log'!D:D,A273,'QA Log'!M:M,"QQC",'QA Log'!Z:Z,"Approved",'QA Log'!L:L,"*4. Family Planning*")
))</f>
        <v/>
      </c>
      <c r="W273" s="105" t="str">
        <f>IF(A273&lt;&gt;"",COUNTIFS('QA Log'!D:D,A273,'QA Log'!M:M,"QQC",'QA Log'!L:L,"8. Maternity",'QA Log'!Z:Z,"Approved"),"")</f>
        <v/>
      </c>
      <c r="X273" s="105" t="str">
        <f>IF(A273&lt;&gt;"",COUNTIFS('QA Log'!D:D,A273,'QA Log'!M:M,"QQC",'QA Log'!L:L,"9. EPI and Pre-school Consultation",'QA Log'!Z:Z,"Approved"),"")</f>
        <v/>
      </c>
      <c r="Y273" s="105" t="str">
        <f>IF(A273&lt;&gt;"",COUNTIFS('QA Log'!D:D,A273,'QA Log'!M:M,"QQC",'QA Log'!L:L,"10. Antenatal Care (ANC)",'QA Log'!Z:Z,"Approved"),"")</f>
        <v/>
      </c>
      <c r="Z273" s="105" t="str">
        <f>IF(A273&lt;&gt;"",COUNTIFS('QA Log'!D:D,A273,'QA Log'!M:M,"QQC",'QA Log'!L:L,"2. Hygiene and Sterilization",'QA Log'!Z:Z,"Approved"),"")</f>
        <v/>
      </c>
      <c r="AA273" s="105" t="str">
        <f>IF(A273&lt;&gt;"",COUNTIFS('QA Log'!D:D,A273,'QA Log'!M:M,"QQC",'QA Log'!L:L,"4. Family Planning",'QA Log'!Z:Z,"Approved"),"")</f>
        <v/>
      </c>
      <c r="AB273" s="102" t="str">
        <f>IF(A273="","",
SUM(
COUNTIFS('QA Log'!D:D,A273,'QA Log'!M:M,"QQC",'QA Log'!Z:Z,"Rejected",'QA Log'!L:L,"*8. Maternity*"),
COUNTIFS('QA Log'!D:D,A273,'QA Log'!M:M,"QQC",'QA Log'!Z:Z,"Rejected",'QA Log'!L:L,"*9. EPI and Pre-school Consultation*"),
COUNTIFS('QA Log'!D:D,A273,'QA Log'!M:M,"QQC",'QA Log'!Z:Z,"Rejected",'QA Log'!L:L,"*10. Antenatal Care (ANC)*"),
COUNTIFS('QA Log'!D:D,A273,'QA Log'!M:M,"QQC",'QA Log'!Z:Z,"Rejected",'QA Log'!L:L,"*2. Hygiene and Sterilization*"),
COUNTIFS('QA Log'!D:D,A273,'QA Log'!M:M,"QQC",'QA Log'!Z:Z,"Rejected",'QA Log'!L:L,"*4. Family Planning*")
))</f>
        <v/>
      </c>
      <c r="AC273" s="102" t="str">
        <f t="shared" si="29"/>
        <v/>
      </c>
      <c r="AD273" s="103" t="str">
        <f t="shared" si="30"/>
        <v/>
      </c>
      <c r="AE273" s="102" t="str">
        <f>IF(A273="","",
SUM(
COUNTIFS('QA Log'!D:D,A273,'QA Log'!M:M,"Data Verification",'QA Log'!L:L,"*Medicine (section 2)*"),
COUNTIFS('QA Log'!D:D,A273,'QA Log'!M:M,"Data Verification",'QA Log'!L:L,"*Lab Testing Availability*"),
COUNTIFS('QA Log'!D:D,A273,'QA Log'!M:M,"Data Verification",'QA Log'!L:L,"*Other than P4P (section 6)*"),
COUNTIFS('QA Log'!D:D,A273,'QA Log'!M:M,"Data Verification",'QA Log'!L:L,"*Hospital Governance*")
))</f>
        <v/>
      </c>
      <c r="AF273" s="102" t="str">
        <f>IF(A273="","",
SUM(
COUNTIFS('QA Log'!D:D,A273,'QA Log'!M:M,"Data Verification",'QA Log'!Z:Z,"Approved",'QA Log'!L:L,"*Medicine (section 2)*"),
COUNTIFS('QA Log'!D:D,A273,'QA Log'!M:M,"Data Verification",'QA Log'!Z:Z,"Approved",'QA Log'!L:L,"*Lab Testing Availability*"),
COUNTIFS('QA Log'!D:D,A273,'QA Log'!M:M,"Data Verification",'QA Log'!Z:Z,"Approved",'QA Log'!L:L,"*Other than P4P (section 6)*"),
COUNTIFS('QA Log'!D:D,A273,'QA Log'!M:M,"Data Verification",'QA Log'!Z:Z,"Approved",'QA Log'!L:L,"*Hospital Governance*")
))</f>
        <v/>
      </c>
      <c r="AG273" s="105" t="str">
        <f>IF(A273&lt;&gt;"",COUNTIFS('QA Log'!D:D,A273,'QA Log'!M:M,"Data Verification",'QA Log'!L:L,"Medicine (section 2)",'QA Log'!Z:Z,"Approved"),"")</f>
        <v/>
      </c>
      <c r="AH273" s="105" t="str">
        <f>IF(A273&lt;&gt;"",COUNTIFS('QA Log'!D:D,A273,'QA Log'!M:M,"Data Verification",'QA Log'!L:L,"Lab Testing Availability",'QA Log'!Z:Z,"Approved"),"")</f>
        <v/>
      </c>
      <c r="AI273" s="105" t="str">
        <f>IF(A273&lt;&gt;"",COUNTIFS('QA Log'!D:D,A273,'QA Log'!M:M,"Data Verification",'QA Log'!L:L,"Other than P4P (section 6)",'QA Log'!Z:Z,"Approved"),"")</f>
        <v/>
      </c>
      <c r="AJ273" s="105" t="str">
        <f>IF(A273&lt;&gt;"",COUNTIFS('QA Log'!D:D,A273,'QA Log'!M:M,"Data Verification",'QA Log'!L:L,"Hospital Governance",'QA Log'!Z:Z,"Approved"),"")</f>
        <v/>
      </c>
      <c r="AK273" s="102" t="str">
        <f>IF(A273="","",
SUM(
COUNTIFS('QA Log'!D:D,A273,'QA Log'!M:M,"Data Verification",'QA Log'!Z:Z,"Rejected",'QA Log'!L:L,"*Medicine (section 2)*"),
COUNTIFS('QA Log'!D:D,A273,'QA Log'!M:M,"Data Verification",'QA Log'!Z:Z,"Rejected",'QA Log'!L:L,"*Lab Testing Availability*"),
COUNTIFS('QA Log'!D:D,A273,'QA Log'!M:M,"Data Verification",'QA Log'!Z:Z,"Rejected",'QA Log'!L:L,"*Other than P4P (section 6)*"),
COUNTIFS('QA Log'!D:D,A273,'QA Log'!M:M,"Data Verification",'QA Log'!Z:Z,"Rejected",'QA Log'!L:L,"*Hospital Governance*")
))</f>
        <v/>
      </c>
      <c r="AL273" s="106" t="str">
        <f t="shared" si="31"/>
        <v/>
      </c>
      <c r="AM273" s="102" t="str">
        <f t="shared" si="32"/>
        <v/>
      </c>
      <c r="AN273" s="102" t="str">
        <f>IF(A273="","",
SUM(
COUNTIFS('QA Log'!D:D,A273,'QA Log'!M:M,"Data Verification",'QA Log'!L:L,"*Personnel (section 1)*"),
COUNTIFS('QA Log'!D:D,A273,'QA Log'!M:M,"Data Verification",'QA Log'!L:L,"*Consumable (section 3)*"),
COUNTIFS('QA Log'!D:D,A273,'QA Log'!M:M,"Data Verification",'QA Log'!L:L,"*Equipments (section 4)*")
))</f>
        <v/>
      </c>
      <c r="AO273" s="102" t="str">
        <f>IF(A273="","",
SUM(
COUNTIFS('QA Log'!D:D,A273,'QA Log'!M:M,"Data Verification",'QA Log'!Z:Z,"Approved",'QA Log'!L:L,"*Personnel (section 1)*"),
COUNTIFS('QA Log'!D:D,A273,'QA Log'!M:M,"Data Verification",'QA Log'!Z:Z,"Approved",'QA Log'!L:L,"*Consumable (section 3)*"),
COUNTIFS('QA Log'!D:D,A273,'QA Log'!M:M,"Data Verification",'QA Log'!Z:Z,"Approved",'QA Log'!L:L,"*Equipments (section 4)*")
))</f>
        <v/>
      </c>
      <c r="AP273" s="105" t="str">
        <f>IF(A273&lt;&gt;"",COUNTIFS('QA Log'!D:D,A273,'QA Log'!M:M,"Data Verification",'QA Log'!L:L,"Personnel (section 1)",'QA Log'!Z:Z,"Approved"),"")</f>
        <v/>
      </c>
      <c r="AQ273" s="105" t="str">
        <f>IF(A273&lt;&gt;"",COUNTIFS('QA Log'!D:D,A273,'QA Log'!M:M,"Data Verification",'QA Log'!L:L,"Consumable (section 3)",'QA Log'!Z:Z,"Approved"),"")</f>
        <v/>
      </c>
      <c r="AR273" s="105" t="str">
        <f>IF(A273&lt;&gt;"",COUNTIFS('QA Log'!D:D,A273,'QA Log'!M:M,"Data Verification",'QA Log'!L:L,"Equipments (section 4)",'QA Log'!Z:Z,"Approved"),"")</f>
        <v/>
      </c>
      <c r="AS273" s="102" t="str">
        <f>IF(A273="","",
SUM(
COUNTIFS('QA Log'!D:D,A273,'QA Log'!M:M,"Data Verification",'QA Log'!Z:Z,"Rejected",'QA Log'!L:L,"*Personnel (section 1)*"),
COUNTIFS('QA Log'!D:D,A273,'QA Log'!M:M,"Data Verification",'QA Log'!Z:Z,"Rejected",'QA Log'!L:L,"*Consumable (section 3)*"),
COUNTIFS('QA Log'!D:D,A273,'QA Log'!M:M,"Data Verification",'QA Log'!Z:Z,"Rejected",'QA Log'!L:L,"*Equipments (section 4)*")
))</f>
        <v/>
      </c>
      <c r="AT273" s="102" t="str">
        <f t="shared" si="33"/>
        <v/>
      </c>
      <c r="AU273" s="103" t="str">
        <f t="shared" si="34"/>
        <v/>
      </c>
      <c r="AV273" s="102" t="str">
        <f>IF(A273="","",SUM(
COUNTIFS('QA Log'!D:D,A273,'QA Log'!M:M,"Vignette",'QA Log'!L:L,"*Vignette [1] Respiratory Infection: Pneumonia*"),
COUNTIFS('QA Log'!D:D,A273,'QA Log'!M:M,"Vignette",'QA Log'!L:L,"*Vignette [2]: Diarrhea with Cat B dehydration*"),
COUNTIFS('QA Log'!D:D,A273,'QA Log'!M:M,"Vignette",'QA Log'!L:L,"*Vignette [3] Growth Monitoring and Promotion*"),
COUNTIFS('QA Log'!D:D,A273,'QA Log'!M:M,"Vignette",'QA Log'!L:L,"*Vignette [4]: The management of presumptive TB patient*")
)
)</f>
        <v/>
      </c>
      <c r="AW273" s="102" t="str">
        <f>IF(
  A273="","",
  SUM(
    COUNTIFS('QA Log'!D:D,A273,'QA Log'!M:M,"Vignette",'QA Log'!Z:Z,"Approved",'QA Log'!L:L,"*Vignette [1] Respiratory Infection: Pneumonia*"),
    COUNTIFS('QA Log'!D:D,A273,'QA Log'!M:M,"Vignette",'QA Log'!Z:Z,"Approved",'QA Log'!L:L,"*Vignette [2]: Diarrhea with Cat B dehydration*"),
    COUNTIFS('QA Log'!D:D,A273,'QA Log'!M:M,"Vignette",'QA Log'!Z:Z,"Approved",'QA Log'!L:L,"*Vignette [3] Growth Monitoring and Promotion*"),
    COUNTIFS('QA Log'!D:D,A273,'QA Log'!M:M,"Vignette",'QA Log'!Z:Z,"Approved",'QA Log'!L:L,"*Vignette [4]: The management of presumptive TB patient*")
  )
)</f>
        <v/>
      </c>
      <c r="AX273" s="105" t="str">
        <f>IF(A273&lt;&gt;"",COUNTIFS('QA Log'!D:D,A273,'QA Log'!M:M,"Vignette",'QA Log'!L:L,"Vignette [1] Respiratory Infection: Pneumonia",'QA Log'!Z:Z,"Approved"),"")</f>
        <v/>
      </c>
      <c r="AY273" s="105" t="str">
        <f>IF(A273&lt;&gt;"",COUNTIFS('QA Log'!D:D,A273,'QA Log'!M:M,"Vignette",'QA Log'!L:L,"Vignette [2]: Diarrhea with Cat B dehydration",'QA Log'!Z:Z,"Approved"),"")</f>
        <v/>
      </c>
      <c r="AZ273" s="105" t="str">
        <f>IF(A273&lt;&gt;"",COUNTIFS('QA Log'!D:D,A273,'QA Log'!M:M,"Vignette",'QA Log'!L:L,"Vignette [3] Growth Monitoring and Promotion",'QA Log'!Z:Z,"Approved"),"")</f>
        <v/>
      </c>
      <c r="BA273" s="105" t="str">
        <f>IF(A273&lt;&gt;"",COUNTIFS('QA Log'!D:D,A273,'QA Log'!M:M,"Vignette",'QA Log'!L:L,"Vignette [4]: The management of presumptive TB patient",'QA Log'!Z:Z,"Approved"),"")</f>
        <v/>
      </c>
      <c r="BB273" s="102" t="str">
        <f>IF(A273="","",
  SUM(
    COUNTIFS('QA Log'!D:D,A273,'QA Log'!M:M,"Vignette",'QA Log'!Z:Z,"Rejected",'QA Log'!L:L,"*Vignette [1] Respiratory Infection: Pneumonia*"),
    COUNTIFS('QA Log'!D:D,A273,'QA Log'!M:M,"Vignette",'QA Log'!Z:Z,"Rejected",'QA Log'!L:L,"*Vignette [2]: Diarrhea with Cat B dehydration*"),
    COUNTIFS('QA Log'!D:D,A273,'QA Log'!M:M,"Vignette",'QA Log'!Z:Z,"Rejected",'QA Log'!L:L,"*Vignette [3] Growth Monitoring and Promotion*"),
    COUNTIFS('QA Log'!D:D,A273,'QA Log'!M:M,"Vignette",'QA Log'!Z:Z,"Rejected",'QA Log'!L:L,"*Vignette [4]: The management of presumptive TB patient*")
  )
)</f>
        <v/>
      </c>
      <c r="BC273" s="107" t="str">
        <f t="shared" si="35"/>
        <v/>
      </c>
      <c r="BD273" s="103" t="str">
        <f t="shared" si="36"/>
        <v/>
      </c>
      <c r="BE273" s="102" t="str">
        <f>IF(A273="","",SUM(
COUNTIFS('QA Log'!D:D,A273,'QA Log'!M:M,"Vignette",'QA Log'!L:L,"*Vignette [5] Labor*"),
COUNTIFS('QA Log'!D:D,A273,'QA Log'!M:M,"Vignette",'QA Log'!L:L,"*Vignette [6] PNC pre Discharge*"),
COUNTIFS('QA Log'!D:D,A273,'QA Log'!M:M,"Vignette",'QA Log'!L:L,"*Vignette [7] First ANC Visit*"),
COUNTIFS('QA Log'!D:D,A273,'QA Log'!M:M,"Vignette",'QA Log'!L:L,"*Vignette [8] Birth Spacing/ Family Planning :  FP Counselling*"),
COUNTIFS('QA Log'!D:D,A273,'QA Log'!M:M,"Vignette",'QA Log'!L:L,"*Vignette [9] Birth Spacing: Change FP method to Injectable*"),
COUNTIFS('QA Log'!D:D,A273,'QA Log'!M:M,"Vignette",'QA Log'!L:L,"*Vignette [10] Post Partum Haemorrhage - Atonic Uterus at Health Centre*"),
)
)</f>
        <v/>
      </c>
      <c r="BF273" s="102" t="str">
        <f>IF(A273="","",
  SUM(
    COUNTIFS('QA Log'!D:D,A273,'QA Log'!M:M,"Vignette",'QA Log'!Z:Z,"Approved",'QA Log'!L:L,"*Vignette [5] Labor*"),
    COUNTIFS('QA Log'!D:D,A273,'QA Log'!M:M,"Vignette",'QA Log'!Z:Z,"Approved",'QA Log'!L:L,"*Vignette [6] PNC pre Discharge*"),
    COUNTIFS('QA Log'!D:D,A273,'QA Log'!M:M,"Vignette",'QA Log'!Z:Z,"Approved",'QA Log'!L:L,"*Vignette [7] First ANC Visit*"),
    COUNTIFS('QA Log'!D:D,A273,'QA Log'!M:M,"Vignette",'QA Log'!Z:Z,"Approved",'QA Log'!L:L,"*Vignette [8] Birth Spacing/ Family Planning :  FP Counselling*"),
    COUNTIFS('QA Log'!D:D,A273,'QA Log'!M:M,"Vignette",'QA Log'!Z:Z,"Approved",'QA Log'!L:L,"*Vignette [9] Birth Spacing: Change FP method to Injectable*"),
    COUNTIFS('QA Log'!D:D,A273,'QA Log'!M:M,"Vignette",'QA Log'!Z:Z,"Approved",'QA Log'!L:L,"*Vignette [10] Post Partum Haemorrhage - Atonic Uterus at Health Centre*")
  )
)</f>
        <v/>
      </c>
      <c r="BG273" s="105" t="str">
        <f>IF(A273&lt;&gt;"",COUNTIFS('QA Log'!D:D,A273,'QA Log'!M:M,"Vignette",'QA Log'!L:L,"Vignette [5] Labor",'QA Log'!Z:Z,"Approved"),"")</f>
        <v/>
      </c>
      <c r="BH273" s="105" t="str">
        <f>IF(A273&lt;&gt;"",COUNTIFS('QA Log'!D:D,A273,'QA Log'!M:M,"Vignette",'QA Log'!L:L,"Vignette [6] PNC pre Discharge",'QA Log'!Z:Z,"Approved"),"")</f>
        <v/>
      </c>
      <c r="BI273" s="105" t="str">
        <f>IF(A273&lt;&gt;"",COUNTIFS('QA Log'!D:D,A273,'QA Log'!M:M,"Vignette",'QA Log'!L:L,"Vignette [7] First ANC Visit",'QA Log'!Z:Z,"Approved"),"")</f>
        <v/>
      </c>
      <c r="BJ273" s="105" t="str">
        <f>IF(A273&lt;&gt;"",COUNTIFS('QA Log'!D:D,A273,'QA Log'!M:M,"Vignette",'QA Log'!L:L,"Vignette [8] Birth Spacing/ Family Planning :  FP Counselling",'QA Log'!Z:Z,"Approved"),"")</f>
        <v/>
      </c>
      <c r="BK273" s="105" t="str">
        <f>IF(A273&lt;&gt;"",COUNTIFS('QA Log'!D:D,A273,'QA Log'!M:M,"Vignette",'QA Log'!L:L,"Vignette [9] Birth Spacing: Change FP method to Injectable",'QA Log'!Z:Z,"Approved"),"")</f>
        <v/>
      </c>
      <c r="BL273" s="105" t="str">
        <f>IF(A273&lt;&gt;"",COUNTIFS('QA Log'!D:D,A273,'QA Log'!M:M,"Vignette",'QA Log'!L:L,"Vignette [10] Post Partum Haemorrhage - Atonic Uterus at Health Centre",'QA Log'!Z:Z,"Approved"),"")</f>
        <v/>
      </c>
      <c r="BM273" s="102" t="str">
        <f>IF(A273="","",SUM(
    COUNTIFS('QA Log'!D:D,A273,'QA Log'!M:M,"Vignette",'QA Log'!Z:Z,"Rejected",'QA Log'!L:L,"*Vignette [5] Labor*"),
    COUNTIFS('QA Log'!D:D,A273,'QA Log'!M:M,"Vignette",'QA Log'!Z:Z,"Rejected",'QA Log'!L:L,"*Vignette [6] PNC pre Discharge*"),
    COUNTIFS('QA Log'!D:D,A273,'QA Log'!M:M,"Vignette",'QA Log'!Z:Z,"Rejected",'QA Log'!L:L,"*Vignette [7] First ANC Visit*"),
    COUNTIFS('QA Log'!D:D,A273,'QA Log'!M:M,"Vignette",'QA Log'!Z:Z,"Rejected",'QA Log'!L:L,"*Vignette [8] Birth Spacing/ Family Planning :  FP Counselling*"),
    COUNTIFS('QA Log'!D:D,A273,'QA Log'!M:M,"Vignette",'QA Log'!Z:Z,"Rejected",'QA Log'!L:L,"*Vignette [9] Birth Spacing: Change FP method to Injectable*"),
    COUNTIFS('QA Log'!D:D,A273,'QA Log'!M:M,"Vignette",'QA Log'!Z:Z,"Rejected",'QA Log'!L:L,"*Vignette [10] Post Partum Haemorrhage - Atonic Uterus at Health Centre*")
  )
)</f>
        <v/>
      </c>
      <c r="BN273" s="107" t="str">
        <f t="shared" si="37"/>
        <v/>
      </c>
      <c r="BO273" s="103" t="str">
        <f t="shared" si="38"/>
        <v/>
      </c>
      <c r="BP273" s="102" t="str">
        <f>IF(A273="","",SUM(
COUNTIFS('QA Log'!D:D,A273,'QA Log'!M:M,"Vignette",'QA Log'!L:L,"*Exit Interview 1*"),
COUNTIFS('QA Log'!D:D,A273,'QA Log'!M:M,"Vignette",'QA Log'!L:L,"*Exit Interview 2*"),
)
)</f>
        <v/>
      </c>
      <c r="BQ273" s="102" t="str">
        <f>IF(
  A273="","",
  SUM(
    COUNTIFS('QA Log'!D:D,A273,'QA Log'!M:M,"Vignette",'QA Log'!Z:Z,"Approved",'QA Log'!L:L,"*Exit Interview 1*"),
    COUNTIFS('QA Log'!D:D,A273,'QA Log'!M:M,"Vignette",'QA Log'!Z:Z,"Approved",'QA Log'!L:L,"*Exit Interview 2*")
  )
)</f>
        <v/>
      </c>
      <c r="BR273" s="105" t="str">
        <f>IF(A273&lt;&gt;"",COUNTIFS('QA Log'!D:D,A273,'QA Log'!M:M,"Vignette",'QA Log'!L:L,"Exit Interview 1",'QA Log'!Z:Z,"Approved"),"")</f>
        <v/>
      </c>
      <c r="BS273" s="105" t="str">
        <f>IF(A273&lt;&gt;"",COUNTIFS('QA Log'!D:D,A273,'QA Log'!M:M,"Vignette",'QA Log'!L:L,"Exit Interview 2",'QA Log'!Z:Z,"Approved"),"")</f>
        <v/>
      </c>
      <c r="BT273" s="102" t="str">
        <f>IF(
  A273="","",
  SUM(
    COUNTIFS('QA Log'!D:D,A273,'QA Log'!M:M,"Vignette",'QA Log'!Z:Z,"Rejected",'QA Log'!L:L,"*Exit Interview 1*"),
    COUNTIFS('QA Log'!D:D,A273,'QA Log'!M:M,"Vignette",'QA Log'!Z:Z,"Rejected",'QA Log'!L:L,"*Exit Interview 2*")
  )
)</f>
        <v/>
      </c>
      <c r="BU273" s="107" t="str">
        <f t="shared" si="39"/>
        <v/>
      </c>
      <c r="BV273" s="102" t="str">
        <f t="shared" si="40"/>
        <v/>
      </c>
      <c r="BW273" s="102" t="str">
        <f t="shared" si="41"/>
        <v/>
      </c>
      <c r="BX273" s="102" t="str">
        <f t="shared" si="42"/>
        <v/>
      </c>
      <c r="BY273" s="102" t="str">
        <f t="shared" si="43"/>
        <v/>
      </c>
      <c r="BZ273" s="107" t="str">
        <f t="shared" si="44"/>
        <v/>
      </c>
      <c r="CA273" s="108" t="str">
        <f t="shared" si="45"/>
        <v/>
      </c>
      <c r="CB273" s="108" t="str">
        <f t="shared" si="46"/>
        <v/>
      </c>
      <c r="CC273" s="109" t="str">
        <f t="shared" si="47"/>
        <v/>
      </c>
      <c r="CD273" s="108" t="str">
        <f t="shared" si="48"/>
        <v/>
      </c>
      <c r="CE273" s="108" t="str">
        <f t="shared" si="49"/>
        <v/>
      </c>
      <c r="CF273" s="109" t="str">
        <f t="shared" si="50"/>
        <v/>
      </c>
      <c r="CG273" s="110" t="str">
        <f t="shared" si="51"/>
        <v/>
      </c>
      <c r="CH273" s="111"/>
    </row>
    <row r="274" spans="1:86" ht="12.75">
      <c r="A274" s="101"/>
      <c r="B274" s="102" t="e">
        <f t="array" aca="1" ref="B274" ca="1">_xludf.XLOOKUP(A274,'QA Log'!D:D,'QA Log'!E:E,"")</f>
        <v>#NAME?</v>
      </c>
      <c r="C274" s="102" t="e">
        <f t="array" aca="1" ref="C274" ca="1">_xludf.XLOOKUP(A274,'QA Log'!D:D,'QA Log'!F:F,"")</f>
        <v>#NAME?</v>
      </c>
      <c r="D274" s="102" t="e">
        <f t="array" aca="1" ref="D274" ca="1">_xludf.XLOOKUP(A274,'QA Log'!D:D,'QA Log'!H:H,"")</f>
        <v>#NAME?</v>
      </c>
      <c r="E274" s="102" t="e">
        <f t="array" aca="1" ref="E274" ca="1">_xludf.XLOOKUP(A274,'QA Log'!D:D,'QA Log'!G:G,"")</f>
        <v>#NAME?</v>
      </c>
      <c r="F274" s="103"/>
      <c r="G274" s="104"/>
      <c r="H274" s="104"/>
      <c r="I274" s="103" t="str">
        <f t="shared" si="26"/>
        <v/>
      </c>
      <c r="J274" s="102" t="str">
        <f>IF(A274="","",SUM(
COUNTIFS('QA Log'!D:D,A274,'QA Log'!M:M,"QQC",'QA Log'!L:L,"*1. General Management*"),
COUNTIFS('QA Log'!D:D,A274,'QA Log'!M:M,"QQC",'QA Log'!L:L,"*3. Curative Consultation (OPD)*"),
COUNTIFS('QA Log'!D:D,A274,'QA Log'!M:M,"QQC",'QA Log'!L:L,"*5. Laboratory*"),
COUNTIFS('QA Log'!D:D,A274,'QA Log'!M:M,"QQC",'QA Log'!L:L,"*6. Essential Medicine Management*"),
COUNTIFS('QA Log'!D:D,A274,'QA Log'!M:M,"QQC",'QA Log'!L:L,"*7. Tracer Medicine*"),
COUNTIFS('QA Log'!D:D,A274,'QA Log'!M:M,"QQC",'QA Log'!L:L,"*11. Additional Questions*")))</f>
        <v/>
      </c>
      <c r="K274" s="102" t="str">
        <f>IF(A274="","",SUM(
COUNTIFS('QA Log'!D:D,A274,'QA Log'!M:M,"QQC",'QA Log'!Z:Z,"Approved",'QA Log'!L:L,"*1. General Management*"),
COUNTIFS('QA Log'!D:D,A274,'QA Log'!M:M,"QQC",'QA Log'!Z:Z,"Approved",'QA Log'!L:L,"*3. Curative Consultation (OPD)*"),
COUNTIFS('QA Log'!D:D,A274,'QA Log'!M:M,"QQC",'QA Log'!Z:Z,"Approved",'QA Log'!L:L,"*5. Laboratory*"),
COUNTIFS('QA Log'!D:D,A274,'QA Log'!M:M,"QQC",'QA Log'!Z:Z,"Approved",'QA Log'!L:L,"*6. Essential Medicine Management*"),
COUNTIFS('QA Log'!D:D,A274,'QA Log'!M:M,"QQC",'QA Log'!Z:Z,"Approved",'QA Log'!L:L,"*7. Tracer Medicine*"),
COUNTIFS('QA Log'!D:D,A274,'QA Log'!M:M,"QQC",'QA Log'!Z:Z,"Approved",'QA Log'!L:L,"*11. Additional Questions*")))</f>
        <v/>
      </c>
      <c r="L274" s="105" t="str">
        <f>IF(A274&lt;&gt;"",COUNTIFS('QA Log'!D:D,A274,'QA Log'!M:M,"QQC",'QA Log'!L:L,"1. General Management",'QA Log'!Z:Z,"Approved"),"")</f>
        <v/>
      </c>
      <c r="M274" s="105" t="str">
        <f>IF(A274&lt;&gt;"",COUNTIFS('QA Log'!D:D,A274,'QA Log'!M:M,"QQC",'QA Log'!L:L,"3. Curative Consultation (OPD)",'QA Log'!Z:Z,"Approved"),"")</f>
        <v/>
      </c>
      <c r="N274" s="105" t="str">
        <f>IF(A274&lt;&gt;"",COUNTIFS('QA Log'!D:D,A274,'QA Log'!M:M,"QQC",'QA Log'!L:L,"5. Laboratory",'QA Log'!Z:Z,"Approved"),"")</f>
        <v/>
      </c>
      <c r="O274" s="105" t="str">
        <f>IF(A274&lt;&gt;"",COUNTIFS('QA Log'!D:D,A274,'QA Log'!M:M,"QQC",'QA Log'!L:L,"6. Essential Medicine Management",'QA Log'!Z:Z,"Approved"),"")</f>
        <v/>
      </c>
      <c r="P274" s="105" t="str">
        <f>IF(A274&lt;&gt;"",COUNTIFS('QA Log'!D:D,A274,'QA Log'!M:M,"QQC",'QA Log'!L:L,"7. Tracer Medicine",'QA Log'!Z:Z,"Approved"),"")</f>
        <v/>
      </c>
      <c r="Q274" s="105" t="str">
        <f>IF(A274&lt;&gt;"",COUNTIFS('QA Log'!D:D,A274,'QA Log'!M:M,"QQC",'QA Log'!L:L,"11. Additional Questions",'QA Log'!Z:Z,"Approved"),"")</f>
        <v/>
      </c>
      <c r="R274" s="102" t="str">
        <f>IF(A274="","",SUM(
COUNTIFS('QA Log'!D:D,A274,'QA Log'!M:M,"QQC",'QA Log'!Z:Z,"Rejected",'QA Log'!L:L,"*8. Maternity*"),
COUNTIFS('QA Log'!D:D,A274,'QA Log'!M:M,"QQC",'QA Log'!Z:Z,"Rejected",'QA Log'!L:L,"*EPI*"),
COUNTIFS('QA Log'!D:D,A274,'QA Log'!M:M,"QQC",'QA Log'!Z:Z,"Rejected",'QA Log'!L:L,"*10. Antenatal Care (ANC)*"),
COUNTIFS('QA Log'!D:D,A274,'QA Log'!M:M,"QQC",'QA Log'!Z:Z,"Rejected",'QA Log'!L:L,"*2. Hygiene and Sterilization*"),
COUNTIFS('QA Log'!D:D,A274,'QA Log'!M:M,"QQC",'QA Log'!Z:Z,"Rejected",'QA Log'!L:L,"*Family Planning*")))</f>
        <v/>
      </c>
      <c r="S274" s="106" t="str">
        <f t="shared" si="27"/>
        <v/>
      </c>
      <c r="T274" s="102" t="str">
        <f t="shared" si="28"/>
        <v/>
      </c>
      <c r="U274" s="102" t="str">
        <f>IF(A274="","",
SUM(
COUNTIFS('QA Log'!D:D,A274,'QA Log'!M:M,"QQC",'QA Log'!L:L,"*8. Maternity*"),
COUNTIFS('QA Log'!D:D,A274,'QA Log'!M:M,"QQC",'QA Log'!L:L,"*9. EPI and Pre-school Consultation*"),
COUNTIFS('QA Log'!D:D,A274,'QA Log'!M:M,"QQC",'QA Log'!L:L,"*10. Antenatal Care (ANC)*"),
COUNTIFS('QA Log'!D:D,A274,'QA Log'!M:M,"QQC",'QA Log'!L:L,"*2. Hygiene and Sterilization*"),
COUNTIFS('QA Log'!D:D,A274,'QA Log'!M:M,"QQC",'QA Log'!L:L,"*4. Family Planning*")
))</f>
        <v/>
      </c>
      <c r="V274" s="102" t="str">
        <f>IF(A274="","",
SUM(
COUNTIFS('QA Log'!D:D,A274,'QA Log'!M:M,"QQC",'QA Log'!Z:Z,"Approved",'QA Log'!L:L,"*8. Maternity*"),
COUNTIFS('QA Log'!D:D,A274,'QA Log'!M:M,"QQC",'QA Log'!Z:Z,"Approved",'QA Log'!L:L,"*9. EPI and Pre-school Consultation*"),
COUNTIFS('QA Log'!D:D,A274,'QA Log'!M:M,"QQC",'QA Log'!Z:Z,"Approved",'QA Log'!L:L,"*10. Antenatal Care (ANC)*"),
COUNTIFS('QA Log'!D:D,A274,'QA Log'!M:M,"QQC",'QA Log'!Z:Z,"Approved",'QA Log'!L:L,"*2. Hygiene and Sterilization*"),
COUNTIFS('QA Log'!D:D,A274,'QA Log'!M:M,"QQC",'QA Log'!Z:Z,"Approved",'QA Log'!L:L,"*4. Family Planning*")
))</f>
        <v/>
      </c>
      <c r="W274" s="105" t="str">
        <f>IF(A274&lt;&gt;"",COUNTIFS('QA Log'!D:D,A274,'QA Log'!M:M,"QQC",'QA Log'!L:L,"8. Maternity",'QA Log'!Z:Z,"Approved"),"")</f>
        <v/>
      </c>
      <c r="X274" s="105" t="str">
        <f>IF(A274&lt;&gt;"",COUNTIFS('QA Log'!D:D,A274,'QA Log'!M:M,"QQC",'QA Log'!L:L,"9. EPI and Pre-school Consultation",'QA Log'!Z:Z,"Approved"),"")</f>
        <v/>
      </c>
      <c r="Y274" s="105" t="str">
        <f>IF(A274&lt;&gt;"",COUNTIFS('QA Log'!D:D,A274,'QA Log'!M:M,"QQC",'QA Log'!L:L,"10. Antenatal Care (ANC)",'QA Log'!Z:Z,"Approved"),"")</f>
        <v/>
      </c>
      <c r="Z274" s="105" t="str">
        <f>IF(A274&lt;&gt;"",COUNTIFS('QA Log'!D:D,A274,'QA Log'!M:M,"QQC",'QA Log'!L:L,"2. Hygiene and Sterilization",'QA Log'!Z:Z,"Approved"),"")</f>
        <v/>
      </c>
      <c r="AA274" s="105" t="str">
        <f>IF(A274&lt;&gt;"",COUNTIFS('QA Log'!D:D,A274,'QA Log'!M:M,"QQC",'QA Log'!L:L,"4. Family Planning",'QA Log'!Z:Z,"Approved"),"")</f>
        <v/>
      </c>
      <c r="AB274" s="102" t="str">
        <f>IF(A274="","",
SUM(
COUNTIFS('QA Log'!D:D,A274,'QA Log'!M:M,"QQC",'QA Log'!Z:Z,"Rejected",'QA Log'!L:L,"*8. Maternity*"),
COUNTIFS('QA Log'!D:D,A274,'QA Log'!M:M,"QQC",'QA Log'!Z:Z,"Rejected",'QA Log'!L:L,"*9. EPI and Pre-school Consultation*"),
COUNTIFS('QA Log'!D:D,A274,'QA Log'!M:M,"QQC",'QA Log'!Z:Z,"Rejected",'QA Log'!L:L,"*10. Antenatal Care (ANC)*"),
COUNTIFS('QA Log'!D:D,A274,'QA Log'!M:M,"QQC",'QA Log'!Z:Z,"Rejected",'QA Log'!L:L,"*2. Hygiene and Sterilization*"),
COUNTIFS('QA Log'!D:D,A274,'QA Log'!M:M,"QQC",'QA Log'!Z:Z,"Rejected",'QA Log'!L:L,"*4. Family Planning*")
))</f>
        <v/>
      </c>
      <c r="AC274" s="102" t="str">
        <f t="shared" si="29"/>
        <v/>
      </c>
      <c r="AD274" s="103" t="str">
        <f t="shared" si="30"/>
        <v/>
      </c>
      <c r="AE274" s="102" t="str">
        <f>IF(A274="","",
SUM(
COUNTIFS('QA Log'!D:D,A274,'QA Log'!M:M,"Data Verification",'QA Log'!L:L,"*Medicine (section 2)*"),
COUNTIFS('QA Log'!D:D,A274,'QA Log'!M:M,"Data Verification",'QA Log'!L:L,"*Lab Testing Availability*"),
COUNTIFS('QA Log'!D:D,A274,'QA Log'!M:M,"Data Verification",'QA Log'!L:L,"*Other than P4P (section 6)*"),
COUNTIFS('QA Log'!D:D,A274,'QA Log'!M:M,"Data Verification",'QA Log'!L:L,"*Hospital Governance*")
))</f>
        <v/>
      </c>
      <c r="AF274" s="102" t="str">
        <f>IF(A274="","",
SUM(
COUNTIFS('QA Log'!D:D,A274,'QA Log'!M:M,"Data Verification",'QA Log'!Z:Z,"Approved",'QA Log'!L:L,"*Medicine (section 2)*"),
COUNTIFS('QA Log'!D:D,A274,'QA Log'!M:M,"Data Verification",'QA Log'!Z:Z,"Approved",'QA Log'!L:L,"*Lab Testing Availability*"),
COUNTIFS('QA Log'!D:D,A274,'QA Log'!M:M,"Data Verification",'QA Log'!Z:Z,"Approved",'QA Log'!L:L,"*Other than P4P (section 6)*"),
COUNTIFS('QA Log'!D:D,A274,'QA Log'!M:M,"Data Verification",'QA Log'!Z:Z,"Approved",'QA Log'!L:L,"*Hospital Governance*")
))</f>
        <v/>
      </c>
      <c r="AG274" s="105" t="str">
        <f>IF(A274&lt;&gt;"",COUNTIFS('QA Log'!D:D,A274,'QA Log'!M:M,"Data Verification",'QA Log'!L:L,"Medicine (section 2)",'QA Log'!Z:Z,"Approved"),"")</f>
        <v/>
      </c>
      <c r="AH274" s="105" t="str">
        <f>IF(A274&lt;&gt;"",COUNTIFS('QA Log'!D:D,A274,'QA Log'!M:M,"Data Verification",'QA Log'!L:L,"Lab Testing Availability",'QA Log'!Z:Z,"Approved"),"")</f>
        <v/>
      </c>
      <c r="AI274" s="105" t="str">
        <f>IF(A274&lt;&gt;"",COUNTIFS('QA Log'!D:D,A274,'QA Log'!M:M,"Data Verification",'QA Log'!L:L,"Other than P4P (section 6)",'QA Log'!Z:Z,"Approved"),"")</f>
        <v/>
      </c>
      <c r="AJ274" s="105" t="str">
        <f>IF(A274&lt;&gt;"",COUNTIFS('QA Log'!D:D,A274,'QA Log'!M:M,"Data Verification",'QA Log'!L:L,"Hospital Governance",'QA Log'!Z:Z,"Approved"),"")</f>
        <v/>
      </c>
      <c r="AK274" s="102" t="str">
        <f>IF(A274="","",
SUM(
COUNTIFS('QA Log'!D:D,A274,'QA Log'!M:M,"Data Verification",'QA Log'!Z:Z,"Rejected",'QA Log'!L:L,"*Medicine (section 2)*"),
COUNTIFS('QA Log'!D:D,A274,'QA Log'!M:M,"Data Verification",'QA Log'!Z:Z,"Rejected",'QA Log'!L:L,"*Lab Testing Availability*"),
COUNTIFS('QA Log'!D:D,A274,'QA Log'!M:M,"Data Verification",'QA Log'!Z:Z,"Rejected",'QA Log'!L:L,"*Other than P4P (section 6)*"),
COUNTIFS('QA Log'!D:D,A274,'QA Log'!M:M,"Data Verification",'QA Log'!Z:Z,"Rejected",'QA Log'!L:L,"*Hospital Governance*")
))</f>
        <v/>
      </c>
      <c r="AL274" s="106" t="str">
        <f t="shared" si="31"/>
        <v/>
      </c>
      <c r="AM274" s="102" t="str">
        <f t="shared" si="32"/>
        <v/>
      </c>
      <c r="AN274" s="102" t="str">
        <f>IF(A274="","",
SUM(
COUNTIFS('QA Log'!D:D,A274,'QA Log'!M:M,"Data Verification",'QA Log'!L:L,"*Personnel (section 1)*"),
COUNTIFS('QA Log'!D:D,A274,'QA Log'!M:M,"Data Verification",'QA Log'!L:L,"*Consumable (section 3)*"),
COUNTIFS('QA Log'!D:D,A274,'QA Log'!M:M,"Data Verification",'QA Log'!L:L,"*Equipments (section 4)*")
))</f>
        <v/>
      </c>
      <c r="AO274" s="102" t="str">
        <f>IF(A274="","",
SUM(
COUNTIFS('QA Log'!D:D,A274,'QA Log'!M:M,"Data Verification",'QA Log'!Z:Z,"Approved",'QA Log'!L:L,"*Personnel (section 1)*"),
COUNTIFS('QA Log'!D:D,A274,'QA Log'!M:M,"Data Verification",'QA Log'!Z:Z,"Approved",'QA Log'!L:L,"*Consumable (section 3)*"),
COUNTIFS('QA Log'!D:D,A274,'QA Log'!M:M,"Data Verification",'QA Log'!Z:Z,"Approved",'QA Log'!L:L,"*Equipments (section 4)*")
))</f>
        <v/>
      </c>
      <c r="AP274" s="105" t="str">
        <f>IF(A274&lt;&gt;"",COUNTIFS('QA Log'!D:D,A274,'QA Log'!M:M,"Data Verification",'QA Log'!L:L,"Personnel (section 1)",'QA Log'!Z:Z,"Approved"),"")</f>
        <v/>
      </c>
      <c r="AQ274" s="105" t="str">
        <f>IF(A274&lt;&gt;"",COUNTIFS('QA Log'!D:D,A274,'QA Log'!M:M,"Data Verification",'QA Log'!L:L,"Consumable (section 3)",'QA Log'!Z:Z,"Approved"),"")</f>
        <v/>
      </c>
      <c r="AR274" s="105" t="str">
        <f>IF(A274&lt;&gt;"",COUNTIFS('QA Log'!D:D,A274,'QA Log'!M:M,"Data Verification",'QA Log'!L:L,"Equipments (section 4)",'QA Log'!Z:Z,"Approved"),"")</f>
        <v/>
      </c>
      <c r="AS274" s="102" t="str">
        <f>IF(A274="","",
SUM(
COUNTIFS('QA Log'!D:D,A274,'QA Log'!M:M,"Data Verification",'QA Log'!Z:Z,"Rejected",'QA Log'!L:L,"*Personnel (section 1)*"),
COUNTIFS('QA Log'!D:D,A274,'QA Log'!M:M,"Data Verification",'QA Log'!Z:Z,"Rejected",'QA Log'!L:L,"*Consumable (section 3)*"),
COUNTIFS('QA Log'!D:D,A274,'QA Log'!M:M,"Data Verification",'QA Log'!Z:Z,"Rejected",'QA Log'!L:L,"*Equipments (section 4)*")
))</f>
        <v/>
      </c>
      <c r="AT274" s="102" t="str">
        <f t="shared" si="33"/>
        <v/>
      </c>
      <c r="AU274" s="103" t="str">
        <f t="shared" si="34"/>
        <v/>
      </c>
      <c r="AV274" s="102" t="str">
        <f>IF(A274="","",SUM(
COUNTIFS('QA Log'!D:D,A274,'QA Log'!M:M,"Vignette",'QA Log'!L:L,"*Vignette [1] Respiratory Infection: Pneumonia*"),
COUNTIFS('QA Log'!D:D,A274,'QA Log'!M:M,"Vignette",'QA Log'!L:L,"*Vignette [2]: Diarrhea with Cat B dehydration*"),
COUNTIFS('QA Log'!D:D,A274,'QA Log'!M:M,"Vignette",'QA Log'!L:L,"*Vignette [3] Growth Monitoring and Promotion*"),
COUNTIFS('QA Log'!D:D,A274,'QA Log'!M:M,"Vignette",'QA Log'!L:L,"*Vignette [4]: The management of presumptive TB patient*")
)
)</f>
        <v/>
      </c>
      <c r="AW274" s="102" t="str">
        <f>IF(
  A274="","",
  SUM(
    COUNTIFS('QA Log'!D:D,A274,'QA Log'!M:M,"Vignette",'QA Log'!Z:Z,"Approved",'QA Log'!L:L,"*Vignette [1] Respiratory Infection: Pneumonia*"),
    COUNTIFS('QA Log'!D:D,A274,'QA Log'!M:M,"Vignette",'QA Log'!Z:Z,"Approved",'QA Log'!L:L,"*Vignette [2]: Diarrhea with Cat B dehydration*"),
    COUNTIFS('QA Log'!D:D,A274,'QA Log'!M:M,"Vignette",'QA Log'!Z:Z,"Approved",'QA Log'!L:L,"*Vignette [3] Growth Monitoring and Promotion*"),
    COUNTIFS('QA Log'!D:D,A274,'QA Log'!M:M,"Vignette",'QA Log'!Z:Z,"Approved",'QA Log'!L:L,"*Vignette [4]: The management of presumptive TB patient*")
  )
)</f>
        <v/>
      </c>
      <c r="AX274" s="105" t="str">
        <f>IF(A274&lt;&gt;"",COUNTIFS('QA Log'!D:D,A274,'QA Log'!M:M,"Vignette",'QA Log'!L:L,"Vignette [1] Respiratory Infection: Pneumonia",'QA Log'!Z:Z,"Approved"),"")</f>
        <v/>
      </c>
      <c r="AY274" s="105" t="str">
        <f>IF(A274&lt;&gt;"",COUNTIFS('QA Log'!D:D,A274,'QA Log'!M:M,"Vignette",'QA Log'!L:L,"Vignette [2]: Diarrhea with Cat B dehydration",'QA Log'!Z:Z,"Approved"),"")</f>
        <v/>
      </c>
      <c r="AZ274" s="105" t="str">
        <f>IF(A274&lt;&gt;"",COUNTIFS('QA Log'!D:D,A274,'QA Log'!M:M,"Vignette",'QA Log'!L:L,"Vignette [3] Growth Monitoring and Promotion",'QA Log'!Z:Z,"Approved"),"")</f>
        <v/>
      </c>
      <c r="BA274" s="105" t="str">
        <f>IF(A274&lt;&gt;"",COUNTIFS('QA Log'!D:D,A274,'QA Log'!M:M,"Vignette",'QA Log'!L:L,"Vignette [4]: The management of presumptive TB patient",'QA Log'!Z:Z,"Approved"),"")</f>
        <v/>
      </c>
      <c r="BB274" s="102" t="str">
        <f>IF(A274="","",
  SUM(
    COUNTIFS('QA Log'!D:D,A274,'QA Log'!M:M,"Vignette",'QA Log'!Z:Z,"Rejected",'QA Log'!L:L,"*Vignette [1] Respiratory Infection: Pneumonia*"),
    COUNTIFS('QA Log'!D:D,A274,'QA Log'!M:M,"Vignette",'QA Log'!Z:Z,"Rejected",'QA Log'!L:L,"*Vignette [2]: Diarrhea with Cat B dehydration*"),
    COUNTIFS('QA Log'!D:D,A274,'QA Log'!M:M,"Vignette",'QA Log'!Z:Z,"Rejected",'QA Log'!L:L,"*Vignette [3] Growth Monitoring and Promotion*"),
    COUNTIFS('QA Log'!D:D,A274,'QA Log'!M:M,"Vignette",'QA Log'!Z:Z,"Rejected",'QA Log'!L:L,"*Vignette [4]: The management of presumptive TB patient*")
  )
)</f>
        <v/>
      </c>
      <c r="BC274" s="107" t="str">
        <f t="shared" si="35"/>
        <v/>
      </c>
      <c r="BD274" s="103" t="str">
        <f t="shared" si="36"/>
        <v/>
      </c>
      <c r="BE274" s="102" t="str">
        <f>IF(A274="","",SUM(
COUNTIFS('QA Log'!D:D,A274,'QA Log'!M:M,"Vignette",'QA Log'!L:L,"*Vignette [5] Labor*"),
COUNTIFS('QA Log'!D:D,A274,'QA Log'!M:M,"Vignette",'QA Log'!L:L,"*Vignette [6] PNC pre Discharge*"),
COUNTIFS('QA Log'!D:D,A274,'QA Log'!M:M,"Vignette",'QA Log'!L:L,"*Vignette [7] First ANC Visit*"),
COUNTIFS('QA Log'!D:D,A274,'QA Log'!M:M,"Vignette",'QA Log'!L:L,"*Vignette [8] Birth Spacing/ Family Planning :  FP Counselling*"),
COUNTIFS('QA Log'!D:D,A274,'QA Log'!M:M,"Vignette",'QA Log'!L:L,"*Vignette [9] Birth Spacing: Change FP method to Injectable*"),
COUNTIFS('QA Log'!D:D,A274,'QA Log'!M:M,"Vignette",'QA Log'!L:L,"*Vignette [10] Post Partum Haemorrhage - Atonic Uterus at Health Centre*"),
)
)</f>
        <v/>
      </c>
      <c r="BF274" s="102" t="str">
        <f>IF(A274="","",
  SUM(
    COUNTIFS('QA Log'!D:D,A274,'QA Log'!M:M,"Vignette",'QA Log'!Z:Z,"Approved",'QA Log'!L:L,"*Vignette [5] Labor*"),
    COUNTIFS('QA Log'!D:D,A274,'QA Log'!M:M,"Vignette",'QA Log'!Z:Z,"Approved",'QA Log'!L:L,"*Vignette [6] PNC pre Discharge*"),
    COUNTIFS('QA Log'!D:D,A274,'QA Log'!M:M,"Vignette",'QA Log'!Z:Z,"Approved",'QA Log'!L:L,"*Vignette [7] First ANC Visit*"),
    COUNTIFS('QA Log'!D:D,A274,'QA Log'!M:M,"Vignette",'QA Log'!Z:Z,"Approved",'QA Log'!L:L,"*Vignette [8] Birth Spacing/ Family Planning :  FP Counselling*"),
    COUNTIFS('QA Log'!D:D,A274,'QA Log'!M:M,"Vignette",'QA Log'!Z:Z,"Approved",'QA Log'!L:L,"*Vignette [9] Birth Spacing: Change FP method to Injectable*"),
    COUNTIFS('QA Log'!D:D,A274,'QA Log'!M:M,"Vignette",'QA Log'!Z:Z,"Approved",'QA Log'!L:L,"*Vignette [10] Post Partum Haemorrhage - Atonic Uterus at Health Centre*")
  )
)</f>
        <v/>
      </c>
      <c r="BG274" s="105" t="str">
        <f>IF(A274&lt;&gt;"",COUNTIFS('QA Log'!D:D,A274,'QA Log'!M:M,"Vignette",'QA Log'!L:L,"Vignette [5] Labor",'QA Log'!Z:Z,"Approved"),"")</f>
        <v/>
      </c>
      <c r="BH274" s="105" t="str">
        <f>IF(A274&lt;&gt;"",COUNTIFS('QA Log'!D:D,A274,'QA Log'!M:M,"Vignette",'QA Log'!L:L,"Vignette [6] PNC pre Discharge",'QA Log'!Z:Z,"Approved"),"")</f>
        <v/>
      </c>
      <c r="BI274" s="105" t="str">
        <f>IF(A274&lt;&gt;"",COUNTIFS('QA Log'!D:D,A274,'QA Log'!M:M,"Vignette",'QA Log'!L:L,"Vignette [7] First ANC Visit",'QA Log'!Z:Z,"Approved"),"")</f>
        <v/>
      </c>
      <c r="BJ274" s="105" t="str">
        <f>IF(A274&lt;&gt;"",COUNTIFS('QA Log'!D:D,A274,'QA Log'!M:M,"Vignette",'QA Log'!L:L,"Vignette [8] Birth Spacing/ Family Planning :  FP Counselling",'QA Log'!Z:Z,"Approved"),"")</f>
        <v/>
      </c>
      <c r="BK274" s="105" t="str">
        <f>IF(A274&lt;&gt;"",COUNTIFS('QA Log'!D:D,A274,'QA Log'!M:M,"Vignette",'QA Log'!L:L,"Vignette [9] Birth Spacing: Change FP method to Injectable",'QA Log'!Z:Z,"Approved"),"")</f>
        <v/>
      </c>
      <c r="BL274" s="105" t="str">
        <f>IF(A274&lt;&gt;"",COUNTIFS('QA Log'!D:D,A274,'QA Log'!M:M,"Vignette",'QA Log'!L:L,"Vignette [10] Post Partum Haemorrhage - Atonic Uterus at Health Centre",'QA Log'!Z:Z,"Approved"),"")</f>
        <v/>
      </c>
      <c r="BM274" s="102" t="str">
        <f>IF(A274="","",SUM(
    COUNTIFS('QA Log'!D:D,A274,'QA Log'!M:M,"Vignette",'QA Log'!Z:Z,"Rejected",'QA Log'!L:L,"*Vignette [5] Labor*"),
    COUNTIFS('QA Log'!D:D,A274,'QA Log'!M:M,"Vignette",'QA Log'!Z:Z,"Rejected",'QA Log'!L:L,"*Vignette [6] PNC pre Discharge*"),
    COUNTIFS('QA Log'!D:D,A274,'QA Log'!M:M,"Vignette",'QA Log'!Z:Z,"Rejected",'QA Log'!L:L,"*Vignette [7] First ANC Visit*"),
    COUNTIFS('QA Log'!D:D,A274,'QA Log'!M:M,"Vignette",'QA Log'!Z:Z,"Rejected",'QA Log'!L:L,"*Vignette [8] Birth Spacing/ Family Planning :  FP Counselling*"),
    COUNTIFS('QA Log'!D:D,A274,'QA Log'!M:M,"Vignette",'QA Log'!Z:Z,"Rejected",'QA Log'!L:L,"*Vignette [9] Birth Spacing: Change FP method to Injectable*"),
    COUNTIFS('QA Log'!D:D,A274,'QA Log'!M:M,"Vignette",'QA Log'!Z:Z,"Rejected",'QA Log'!L:L,"*Vignette [10] Post Partum Haemorrhage - Atonic Uterus at Health Centre*")
  )
)</f>
        <v/>
      </c>
      <c r="BN274" s="107" t="str">
        <f t="shared" si="37"/>
        <v/>
      </c>
      <c r="BO274" s="103" t="str">
        <f t="shared" si="38"/>
        <v/>
      </c>
      <c r="BP274" s="102" t="str">
        <f>IF(A274="","",SUM(
COUNTIFS('QA Log'!D:D,A274,'QA Log'!M:M,"Vignette",'QA Log'!L:L,"*Exit Interview 1*"),
COUNTIFS('QA Log'!D:D,A274,'QA Log'!M:M,"Vignette",'QA Log'!L:L,"*Exit Interview 2*"),
)
)</f>
        <v/>
      </c>
      <c r="BQ274" s="102" t="str">
        <f>IF(
  A274="","",
  SUM(
    COUNTIFS('QA Log'!D:D,A274,'QA Log'!M:M,"Vignette",'QA Log'!Z:Z,"Approved",'QA Log'!L:L,"*Exit Interview 1*"),
    COUNTIFS('QA Log'!D:D,A274,'QA Log'!M:M,"Vignette",'QA Log'!Z:Z,"Approved",'QA Log'!L:L,"*Exit Interview 2*")
  )
)</f>
        <v/>
      </c>
      <c r="BR274" s="105" t="str">
        <f>IF(A274&lt;&gt;"",COUNTIFS('QA Log'!D:D,A274,'QA Log'!M:M,"Vignette",'QA Log'!L:L,"Exit Interview 1",'QA Log'!Z:Z,"Approved"),"")</f>
        <v/>
      </c>
      <c r="BS274" s="105" t="str">
        <f>IF(A274&lt;&gt;"",COUNTIFS('QA Log'!D:D,A274,'QA Log'!M:M,"Vignette",'QA Log'!L:L,"Exit Interview 2",'QA Log'!Z:Z,"Approved"),"")</f>
        <v/>
      </c>
      <c r="BT274" s="102" t="str">
        <f>IF(
  A274="","",
  SUM(
    COUNTIFS('QA Log'!D:D,A274,'QA Log'!M:M,"Vignette",'QA Log'!Z:Z,"Rejected",'QA Log'!L:L,"*Exit Interview 1*"),
    COUNTIFS('QA Log'!D:D,A274,'QA Log'!M:M,"Vignette",'QA Log'!Z:Z,"Rejected",'QA Log'!L:L,"*Exit Interview 2*")
  )
)</f>
        <v/>
      </c>
      <c r="BU274" s="107" t="str">
        <f t="shared" si="39"/>
        <v/>
      </c>
      <c r="BV274" s="102" t="str">
        <f t="shared" si="40"/>
        <v/>
      </c>
      <c r="BW274" s="102" t="str">
        <f t="shared" si="41"/>
        <v/>
      </c>
      <c r="BX274" s="102" t="str">
        <f t="shared" si="42"/>
        <v/>
      </c>
      <c r="BY274" s="102" t="str">
        <f t="shared" si="43"/>
        <v/>
      </c>
      <c r="BZ274" s="107" t="str">
        <f t="shared" si="44"/>
        <v/>
      </c>
      <c r="CA274" s="108" t="str">
        <f t="shared" si="45"/>
        <v/>
      </c>
      <c r="CB274" s="108" t="str">
        <f t="shared" si="46"/>
        <v/>
      </c>
      <c r="CC274" s="109" t="str">
        <f t="shared" si="47"/>
        <v/>
      </c>
      <c r="CD274" s="108" t="str">
        <f t="shared" si="48"/>
        <v/>
      </c>
      <c r="CE274" s="108" t="str">
        <f t="shared" si="49"/>
        <v/>
      </c>
      <c r="CF274" s="109" t="str">
        <f t="shared" si="50"/>
        <v/>
      </c>
      <c r="CG274" s="110" t="str">
        <f t="shared" si="51"/>
        <v/>
      </c>
      <c r="CH274" s="111"/>
    </row>
    <row r="275" spans="1:86" ht="12.75">
      <c r="A275" s="101"/>
      <c r="B275" s="102" t="e">
        <f t="array" aca="1" ref="B275" ca="1">_xludf.XLOOKUP(A275,'QA Log'!D:D,'QA Log'!E:E,"")</f>
        <v>#NAME?</v>
      </c>
      <c r="C275" s="102" t="e">
        <f t="array" aca="1" ref="C275" ca="1">_xludf.XLOOKUP(A275,'QA Log'!D:D,'QA Log'!F:F,"")</f>
        <v>#NAME?</v>
      </c>
      <c r="D275" s="102" t="e">
        <f t="array" aca="1" ref="D275" ca="1">_xludf.XLOOKUP(A275,'QA Log'!D:D,'QA Log'!H:H,"")</f>
        <v>#NAME?</v>
      </c>
      <c r="E275" s="102" t="e">
        <f t="array" aca="1" ref="E275" ca="1">_xludf.XLOOKUP(A275,'QA Log'!D:D,'QA Log'!G:G,"")</f>
        <v>#NAME?</v>
      </c>
      <c r="F275" s="103"/>
      <c r="G275" s="104"/>
      <c r="H275" s="104"/>
      <c r="I275" s="103" t="str">
        <f t="shared" si="26"/>
        <v/>
      </c>
      <c r="J275" s="102" t="str">
        <f>IF(A275="","",SUM(
COUNTIFS('QA Log'!D:D,A275,'QA Log'!M:M,"QQC",'QA Log'!L:L,"*1. General Management*"),
COUNTIFS('QA Log'!D:D,A275,'QA Log'!M:M,"QQC",'QA Log'!L:L,"*3. Curative Consultation (OPD)*"),
COUNTIFS('QA Log'!D:D,A275,'QA Log'!M:M,"QQC",'QA Log'!L:L,"*5. Laboratory*"),
COUNTIFS('QA Log'!D:D,A275,'QA Log'!M:M,"QQC",'QA Log'!L:L,"*6. Essential Medicine Management*"),
COUNTIFS('QA Log'!D:D,A275,'QA Log'!M:M,"QQC",'QA Log'!L:L,"*7. Tracer Medicine*"),
COUNTIFS('QA Log'!D:D,A275,'QA Log'!M:M,"QQC",'QA Log'!L:L,"*11. Additional Questions*")))</f>
        <v/>
      </c>
      <c r="K275" s="102" t="str">
        <f>IF(A275="","",SUM(
COUNTIFS('QA Log'!D:D,A275,'QA Log'!M:M,"QQC",'QA Log'!Z:Z,"Approved",'QA Log'!L:L,"*1. General Management*"),
COUNTIFS('QA Log'!D:D,A275,'QA Log'!M:M,"QQC",'QA Log'!Z:Z,"Approved",'QA Log'!L:L,"*3. Curative Consultation (OPD)*"),
COUNTIFS('QA Log'!D:D,A275,'QA Log'!M:M,"QQC",'QA Log'!Z:Z,"Approved",'QA Log'!L:L,"*5. Laboratory*"),
COUNTIFS('QA Log'!D:D,A275,'QA Log'!M:M,"QQC",'QA Log'!Z:Z,"Approved",'QA Log'!L:L,"*6. Essential Medicine Management*"),
COUNTIFS('QA Log'!D:D,A275,'QA Log'!M:M,"QQC",'QA Log'!Z:Z,"Approved",'QA Log'!L:L,"*7. Tracer Medicine*"),
COUNTIFS('QA Log'!D:D,A275,'QA Log'!M:M,"QQC",'QA Log'!Z:Z,"Approved",'QA Log'!L:L,"*11. Additional Questions*")))</f>
        <v/>
      </c>
      <c r="L275" s="105" t="str">
        <f>IF(A275&lt;&gt;"",COUNTIFS('QA Log'!D:D,A275,'QA Log'!M:M,"QQC",'QA Log'!L:L,"1. General Management",'QA Log'!Z:Z,"Approved"),"")</f>
        <v/>
      </c>
      <c r="M275" s="105" t="str">
        <f>IF(A275&lt;&gt;"",COUNTIFS('QA Log'!D:D,A275,'QA Log'!M:M,"QQC",'QA Log'!L:L,"3. Curative Consultation (OPD)",'QA Log'!Z:Z,"Approved"),"")</f>
        <v/>
      </c>
      <c r="N275" s="105" t="str">
        <f>IF(A275&lt;&gt;"",COUNTIFS('QA Log'!D:D,A275,'QA Log'!M:M,"QQC",'QA Log'!L:L,"5. Laboratory",'QA Log'!Z:Z,"Approved"),"")</f>
        <v/>
      </c>
      <c r="O275" s="105" t="str">
        <f>IF(A275&lt;&gt;"",COUNTIFS('QA Log'!D:D,A275,'QA Log'!M:M,"QQC",'QA Log'!L:L,"6. Essential Medicine Management",'QA Log'!Z:Z,"Approved"),"")</f>
        <v/>
      </c>
      <c r="P275" s="105" t="str">
        <f>IF(A275&lt;&gt;"",COUNTIFS('QA Log'!D:D,A275,'QA Log'!M:M,"QQC",'QA Log'!L:L,"7. Tracer Medicine",'QA Log'!Z:Z,"Approved"),"")</f>
        <v/>
      </c>
      <c r="Q275" s="105" t="str">
        <f>IF(A275&lt;&gt;"",COUNTIFS('QA Log'!D:D,A275,'QA Log'!M:M,"QQC",'QA Log'!L:L,"11. Additional Questions",'QA Log'!Z:Z,"Approved"),"")</f>
        <v/>
      </c>
      <c r="R275" s="102" t="str">
        <f>IF(A275="","",SUM(
COUNTIFS('QA Log'!D:D,A275,'QA Log'!M:M,"QQC",'QA Log'!Z:Z,"Rejected",'QA Log'!L:L,"*8. Maternity*"),
COUNTIFS('QA Log'!D:D,A275,'QA Log'!M:M,"QQC",'QA Log'!Z:Z,"Rejected",'QA Log'!L:L,"*EPI*"),
COUNTIFS('QA Log'!D:D,A275,'QA Log'!M:M,"QQC",'QA Log'!Z:Z,"Rejected",'QA Log'!L:L,"*10. Antenatal Care (ANC)*"),
COUNTIFS('QA Log'!D:D,A275,'QA Log'!M:M,"QQC",'QA Log'!Z:Z,"Rejected",'QA Log'!L:L,"*2. Hygiene and Sterilization*"),
COUNTIFS('QA Log'!D:D,A275,'QA Log'!M:M,"QQC",'QA Log'!Z:Z,"Rejected",'QA Log'!L:L,"*Family Planning*")))</f>
        <v/>
      </c>
      <c r="S275" s="106" t="str">
        <f t="shared" si="27"/>
        <v/>
      </c>
      <c r="T275" s="102" t="str">
        <f t="shared" si="28"/>
        <v/>
      </c>
      <c r="U275" s="102" t="str">
        <f>IF(A275="","",
SUM(
COUNTIFS('QA Log'!D:D,A275,'QA Log'!M:M,"QQC",'QA Log'!L:L,"*8. Maternity*"),
COUNTIFS('QA Log'!D:D,A275,'QA Log'!M:M,"QQC",'QA Log'!L:L,"*9. EPI and Pre-school Consultation*"),
COUNTIFS('QA Log'!D:D,A275,'QA Log'!M:M,"QQC",'QA Log'!L:L,"*10. Antenatal Care (ANC)*"),
COUNTIFS('QA Log'!D:D,A275,'QA Log'!M:M,"QQC",'QA Log'!L:L,"*2. Hygiene and Sterilization*"),
COUNTIFS('QA Log'!D:D,A275,'QA Log'!M:M,"QQC",'QA Log'!L:L,"*4. Family Planning*")
))</f>
        <v/>
      </c>
      <c r="V275" s="102" t="str">
        <f>IF(A275="","",
SUM(
COUNTIFS('QA Log'!D:D,A275,'QA Log'!M:M,"QQC",'QA Log'!Z:Z,"Approved",'QA Log'!L:L,"*8. Maternity*"),
COUNTIFS('QA Log'!D:D,A275,'QA Log'!M:M,"QQC",'QA Log'!Z:Z,"Approved",'QA Log'!L:L,"*9. EPI and Pre-school Consultation*"),
COUNTIFS('QA Log'!D:D,A275,'QA Log'!M:M,"QQC",'QA Log'!Z:Z,"Approved",'QA Log'!L:L,"*10. Antenatal Care (ANC)*"),
COUNTIFS('QA Log'!D:D,A275,'QA Log'!M:M,"QQC",'QA Log'!Z:Z,"Approved",'QA Log'!L:L,"*2. Hygiene and Sterilization*"),
COUNTIFS('QA Log'!D:D,A275,'QA Log'!M:M,"QQC",'QA Log'!Z:Z,"Approved",'QA Log'!L:L,"*4. Family Planning*")
))</f>
        <v/>
      </c>
      <c r="W275" s="105" t="str">
        <f>IF(A275&lt;&gt;"",COUNTIFS('QA Log'!D:D,A275,'QA Log'!M:M,"QQC",'QA Log'!L:L,"8. Maternity",'QA Log'!Z:Z,"Approved"),"")</f>
        <v/>
      </c>
      <c r="X275" s="105" t="str">
        <f>IF(A275&lt;&gt;"",COUNTIFS('QA Log'!D:D,A275,'QA Log'!M:M,"QQC",'QA Log'!L:L,"9. EPI and Pre-school Consultation",'QA Log'!Z:Z,"Approved"),"")</f>
        <v/>
      </c>
      <c r="Y275" s="105" t="str">
        <f>IF(A275&lt;&gt;"",COUNTIFS('QA Log'!D:D,A275,'QA Log'!M:M,"QQC",'QA Log'!L:L,"10. Antenatal Care (ANC)",'QA Log'!Z:Z,"Approved"),"")</f>
        <v/>
      </c>
      <c r="Z275" s="105" t="str">
        <f>IF(A275&lt;&gt;"",COUNTIFS('QA Log'!D:D,A275,'QA Log'!M:M,"QQC",'QA Log'!L:L,"2. Hygiene and Sterilization",'QA Log'!Z:Z,"Approved"),"")</f>
        <v/>
      </c>
      <c r="AA275" s="105" t="str">
        <f>IF(A275&lt;&gt;"",COUNTIFS('QA Log'!D:D,A275,'QA Log'!M:M,"QQC",'QA Log'!L:L,"4. Family Planning",'QA Log'!Z:Z,"Approved"),"")</f>
        <v/>
      </c>
      <c r="AB275" s="102" t="str">
        <f>IF(A275="","",
SUM(
COUNTIFS('QA Log'!D:D,A275,'QA Log'!M:M,"QQC",'QA Log'!Z:Z,"Rejected",'QA Log'!L:L,"*8. Maternity*"),
COUNTIFS('QA Log'!D:D,A275,'QA Log'!M:M,"QQC",'QA Log'!Z:Z,"Rejected",'QA Log'!L:L,"*9. EPI and Pre-school Consultation*"),
COUNTIFS('QA Log'!D:D,A275,'QA Log'!M:M,"QQC",'QA Log'!Z:Z,"Rejected",'QA Log'!L:L,"*10. Antenatal Care (ANC)*"),
COUNTIFS('QA Log'!D:D,A275,'QA Log'!M:M,"QQC",'QA Log'!Z:Z,"Rejected",'QA Log'!L:L,"*2. Hygiene and Sterilization*"),
COUNTIFS('QA Log'!D:D,A275,'QA Log'!M:M,"QQC",'QA Log'!Z:Z,"Rejected",'QA Log'!L:L,"*4. Family Planning*")
))</f>
        <v/>
      </c>
      <c r="AC275" s="102" t="str">
        <f t="shared" si="29"/>
        <v/>
      </c>
      <c r="AD275" s="103" t="str">
        <f t="shared" si="30"/>
        <v/>
      </c>
      <c r="AE275" s="102" t="str">
        <f>IF(A275="","",
SUM(
COUNTIFS('QA Log'!D:D,A275,'QA Log'!M:M,"Data Verification",'QA Log'!L:L,"*Medicine (section 2)*"),
COUNTIFS('QA Log'!D:D,A275,'QA Log'!M:M,"Data Verification",'QA Log'!L:L,"*Lab Testing Availability*"),
COUNTIFS('QA Log'!D:D,A275,'QA Log'!M:M,"Data Verification",'QA Log'!L:L,"*Other than P4P (section 6)*"),
COUNTIFS('QA Log'!D:D,A275,'QA Log'!M:M,"Data Verification",'QA Log'!L:L,"*Hospital Governance*")
))</f>
        <v/>
      </c>
      <c r="AF275" s="102" t="str">
        <f>IF(A275="","",
SUM(
COUNTIFS('QA Log'!D:D,A275,'QA Log'!M:M,"Data Verification",'QA Log'!Z:Z,"Approved",'QA Log'!L:L,"*Medicine (section 2)*"),
COUNTIFS('QA Log'!D:D,A275,'QA Log'!M:M,"Data Verification",'QA Log'!Z:Z,"Approved",'QA Log'!L:L,"*Lab Testing Availability*"),
COUNTIFS('QA Log'!D:D,A275,'QA Log'!M:M,"Data Verification",'QA Log'!Z:Z,"Approved",'QA Log'!L:L,"*Other than P4P (section 6)*"),
COUNTIFS('QA Log'!D:D,A275,'QA Log'!M:M,"Data Verification",'QA Log'!Z:Z,"Approved",'QA Log'!L:L,"*Hospital Governance*")
))</f>
        <v/>
      </c>
      <c r="AG275" s="105" t="str">
        <f>IF(A275&lt;&gt;"",COUNTIFS('QA Log'!D:D,A275,'QA Log'!M:M,"Data Verification",'QA Log'!L:L,"Medicine (section 2)",'QA Log'!Z:Z,"Approved"),"")</f>
        <v/>
      </c>
      <c r="AH275" s="105" t="str">
        <f>IF(A275&lt;&gt;"",COUNTIFS('QA Log'!D:D,A275,'QA Log'!M:M,"Data Verification",'QA Log'!L:L,"Lab Testing Availability",'QA Log'!Z:Z,"Approved"),"")</f>
        <v/>
      </c>
      <c r="AI275" s="105" t="str">
        <f>IF(A275&lt;&gt;"",COUNTIFS('QA Log'!D:D,A275,'QA Log'!M:M,"Data Verification",'QA Log'!L:L,"Other than P4P (section 6)",'QA Log'!Z:Z,"Approved"),"")</f>
        <v/>
      </c>
      <c r="AJ275" s="105" t="str">
        <f>IF(A275&lt;&gt;"",COUNTIFS('QA Log'!D:D,A275,'QA Log'!M:M,"Data Verification",'QA Log'!L:L,"Hospital Governance",'QA Log'!Z:Z,"Approved"),"")</f>
        <v/>
      </c>
      <c r="AK275" s="102" t="str">
        <f>IF(A275="","",
SUM(
COUNTIFS('QA Log'!D:D,A275,'QA Log'!M:M,"Data Verification",'QA Log'!Z:Z,"Rejected",'QA Log'!L:L,"*Medicine (section 2)*"),
COUNTIFS('QA Log'!D:D,A275,'QA Log'!M:M,"Data Verification",'QA Log'!Z:Z,"Rejected",'QA Log'!L:L,"*Lab Testing Availability*"),
COUNTIFS('QA Log'!D:D,A275,'QA Log'!M:M,"Data Verification",'QA Log'!Z:Z,"Rejected",'QA Log'!L:L,"*Other than P4P (section 6)*"),
COUNTIFS('QA Log'!D:D,A275,'QA Log'!M:M,"Data Verification",'QA Log'!Z:Z,"Rejected",'QA Log'!L:L,"*Hospital Governance*")
))</f>
        <v/>
      </c>
      <c r="AL275" s="106" t="str">
        <f t="shared" si="31"/>
        <v/>
      </c>
      <c r="AM275" s="102" t="str">
        <f t="shared" si="32"/>
        <v/>
      </c>
      <c r="AN275" s="102" t="str">
        <f>IF(A275="","",
SUM(
COUNTIFS('QA Log'!D:D,A275,'QA Log'!M:M,"Data Verification",'QA Log'!L:L,"*Personnel (section 1)*"),
COUNTIFS('QA Log'!D:D,A275,'QA Log'!M:M,"Data Verification",'QA Log'!L:L,"*Consumable (section 3)*"),
COUNTIFS('QA Log'!D:D,A275,'QA Log'!M:M,"Data Verification",'QA Log'!L:L,"*Equipments (section 4)*")
))</f>
        <v/>
      </c>
      <c r="AO275" s="102" t="str">
        <f>IF(A275="","",
SUM(
COUNTIFS('QA Log'!D:D,A275,'QA Log'!M:M,"Data Verification",'QA Log'!Z:Z,"Approved",'QA Log'!L:L,"*Personnel (section 1)*"),
COUNTIFS('QA Log'!D:D,A275,'QA Log'!M:M,"Data Verification",'QA Log'!Z:Z,"Approved",'QA Log'!L:L,"*Consumable (section 3)*"),
COUNTIFS('QA Log'!D:D,A275,'QA Log'!M:M,"Data Verification",'QA Log'!Z:Z,"Approved",'QA Log'!L:L,"*Equipments (section 4)*")
))</f>
        <v/>
      </c>
      <c r="AP275" s="105" t="str">
        <f>IF(A275&lt;&gt;"",COUNTIFS('QA Log'!D:D,A275,'QA Log'!M:M,"Data Verification",'QA Log'!L:L,"Personnel (section 1)",'QA Log'!Z:Z,"Approved"),"")</f>
        <v/>
      </c>
      <c r="AQ275" s="105" t="str">
        <f>IF(A275&lt;&gt;"",COUNTIFS('QA Log'!D:D,A275,'QA Log'!M:M,"Data Verification",'QA Log'!L:L,"Consumable (section 3)",'QA Log'!Z:Z,"Approved"),"")</f>
        <v/>
      </c>
      <c r="AR275" s="105" t="str">
        <f>IF(A275&lt;&gt;"",COUNTIFS('QA Log'!D:D,A275,'QA Log'!M:M,"Data Verification",'QA Log'!L:L,"Equipments (section 4)",'QA Log'!Z:Z,"Approved"),"")</f>
        <v/>
      </c>
      <c r="AS275" s="102" t="str">
        <f>IF(A275="","",
SUM(
COUNTIFS('QA Log'!D:D,A275,'QA Log'!M:M,"Data Verification",'QA Log'!Z:Z,"Rejected",'QA Log'!L:L,"*Personnel (section 1)*"),
COUNTIFS('QA Log'!D:D,A275,'QA Log'!M:M,"Data Verification",'QA Log'!Z:Z,"Rejected",'QA Log'!L:L,"*Consumable (section 3)*"),
COUNTIFS('QA Log'!D:D,A275,'QA Log'!M:M,"Data Verification",'QA Log'!Z:Z,"Rejected",'QA Log'!L:L,"*Equipments (section 4)*")
))</f>
        <v/>
      </c>
      <c r="AT275" s="102" t="str">
        <f t="shared" si="33"/>
        <v/>
      </c>
      <c r="AU275" s="103" t="str">
        <f t="shared" si="34"/>
        <v/>
      </c>
      <c r="AV275" s="102" t="str">
        <f>IF(A275="","",SUM(
COUNTIFS('QA Log'!D:D,A275,'QA Log'!M:M,"Vignette",'QA Log'!L:L,"*Vignette [1] Respiratory Infection: Pneumonia*"),
COUNTIFS('QA Log'!D:D,A275,'QA Log'!M:M,"Vignette",'QA Log'!L:L,"*Vignette [2]: Diarrhea with Cat B dehydration*"),
COUNTIFS('QA Log'!D:D,A275,'QA Log'!M:M,"Vignette",'QA Log'!L:L,"*Vignette [3] Growth Monitoring and Promotion*"),
COUNTIFS('QA Log'!D:D,A275,'QA Log'!M:M,"Vignette",'QA Log'!L:L,"*Vignette [4]: The management of presumptive TB patient*")
)
)</f>
        <v/>
      </c>
      <c r="AW275" s="102" t="str">
        <f>IF(
  A275="","",
  SUM(
    COUNTIFS('QA Log'!D:D,A275,'QA Log'!M:M,"Vignette",'QA Log'!Z:Z,"Approved",'QA Log'!L:L,"*Vignette [1] Respiratory Infection: Pneumonia*"),
    COUNTIFS('QA Log'!D:D,A275,'QA Log'!M:M,"Vignette",'QA Log'!Z:Z,"Approved",'QA Log'!L:L,"*Vignette [2]: Diarrhea with Cat B dehydration*"),
    COUNTIFS('QA Log'!D:D,A275,'QA Log'!M:M,"Vignette",'QA Log'!Z:Z,"Approved",'QA Log'!L:L,"*Vignette [3] Growth Monitoring and Promotion*"),
    COUNTIFS('QA Log'!D:D,A275,'QA Log'!M:M,"Vignette",'QA Log'!Z:Z,"Approved",'QA Log'!L:L,"*Vignette [4]: The management of presumptive TB patient*")
  )
)</f>
        <v/>
      </c>
      <c r="AX275" s="105" t="str">
        <f>IF(A275&lt;&gt;"",COUNTIFS('QA Log'!D:D,A275,'QA Log'!M:M,"Vignette",'QA Log'!L:L,"Vignette [1] Respiratory Infection: Pneumonia",'QA Log'!Z:Z,"Approved"),"")</f>
        <v/>
      </c>
      <c r="AY275" s="105" t="str">
        <f>IF(A275&lt;&gt;"",COUNTIFS('QA Log'!D:D,A275,'QA Log'!M:M,"Vignette",'QA Log'!L:L,"Vignette [2]: Diarrhea with Cat B dehydration",'QA Log'!Z:Z,"Approved"),"")</f>
        <v/>
      </c>
      <c r="AZ275" s="105" t="str">
        <f>IF(A275&lt;&gt;"",COUNTIFS('QA Log'!D:D,A275,'QA Log'!M:M,"Vignette",'QA Log'!L:L,"Vignette [3] Growth Monitoring and Promotion",'QA Log'!Z:Z,"Approved"),"")</f>
        <v/>
      </c>
      <c r="BA275" s="105" t="str">
        <f>IF(A275&lt;&gt;"",COUNTIFS('QA Log'!D:D,A275,'QA Log'!M:M,"Vignette",'QA Log'!L:L,"Vignette [4]: The management of presumptive TB patient",'QA Log'!Z:Z,"Approved"),"")</f>
        <v/>
      </c>
      <c r="BB275" s="102" t="str">
        <f>IF(A275="","",
  SUM(
    COUNTIFS('QA Log'!D:D,A275,'QA Log'!M:M,"Vignette",'QA Log'!Z:Z,"Rejected",'QA Log'!L:L,"*Vignette [1] Respiratory Infection: Pneumonia*"),
    COUNTIFS('QA Log'!D:D,A275,'QA Log'!M:M,"Vignette",'QA Log'!Z:Z,"Rejected",'QA Log'!L:L,"*Vignette [2]: Diarrhea with Cat B dehydration*"),
    COUNTIFS('QA Log'!D:D,A275,'QA Log'!M:M,"Vignette",'QA Log'!Z:Z,"Rejected",'QA Log'!L:L,"*Vignette [3] Growth Monitoring and Promotion*"),
    COUNTIFS('QA Log'!D:D,A275,'QA Log'!M:M,"Vignette",'QA Log'!Z:Z,"Rejected",'QA Log'!L:L,"*Vignette [4]: The management of presumptive TB patient*")
  )
)</f>
        <v/>
      </c>
      <c r="BC275" s="107" t="str">
        <f t="shared" si="35"/>
        <v/>
      </c>
      <c r="BD275" s="103" t="str">
        <f t="shared" si="36"/>
        <v/>
      </c>
      <c r="BE275" s="102" t="str">
        <f>IF(A275="","",SUM(
COUNTIFS('QA Log'!D:D,A275,'QA Log'!M:M,"Vignette",'QA Log'!L:L,"*Vignette [5] Labor*"),
COUNTIFS('QA Log'!D:D,A275,'QA Log'!M:M,"Vignette",'QA Log'!L:L,"*Vignette [6] PNC pre Discharge*"),
COUNTIFS('QA Log'!D:D,A275,'QA Log'!M:M,"Vignette",'QA Log'!L:L,"*Vignette [7] First ANC Visit*"),
COUNTIFS('QA Log'!D:D,A275,'QA Log'!M:M,"Vignette",'QA Log'!L:L,"*Vignette [8] Birth Spacing/ Family Planning :  FP Counselling*"),
COUNTIFS('QA Log'!D:D,A275,'QA Log'!M:M,"Vignette",'QA Log'!L:L,"*Vignette [9] Birth Spacing: Change FP method to Injectable*"),
COUNTIFS('QA Log'!D:D,A275,'QA Log'!M:M,"Vignette",'QA Log'!L:L,"*Vignette [10] Post Partum Haemorrhage - Atonic Uterus at Health Centre*"),
)
)</f>
        <v/>
      </c>
      <c r="BF275" s="102" t="str">
        <f>IF(A275="","",
  SUM(
    COUNTIFS('QA Log'!D:D,A275,'QA Log'!M:M,"Vignette",'QA Log'!Z:Z,"Approved",'QA Log'!L:L,"*Vignette [5] Labor*"),
    COUNTIFS('QA Log'!D:D,A275,'QA Log'!M:M,"Vignette",'QA Log'!Z:Z,"Approved",'QA Log'!L:L,"*Vignette [6] PNC pre Discharge*"),
    COUNTIFS('QA Log'!D:D,A275,'QA Log'!M:M,"Vignette",'QA Log'!Z:Z,"Approved",'QA Log'!L:L,"*Vignette [7] First ANC Visit*"),
    COUNTIFS('QA Log'!D:D,A275,'QA Log'!M:M,"Vignette",'QA Log'!Z:Z,"Approved",'QA Log'!L:L,"*Vignette [8] Birth Spacing/ Family Planning :  FP Counselling*"),
    COUNTIFS('QA Log'!D:D,A275,'QA Log'!M:M,"Vignette",'QA Log'!Z:Z,"Approved",'QA Log'!L:L,"*Vignette [9] Birth Spacing: Change FP method to Injectable*"),
    COUNTIFS('QA Log'!D:D,A275,'QA Log'!M:M,"Vignette",'QA Log'!Z:Z,"Approved",'QA Log'!L:L,"*Vignette [10] Post Partum Haemorrhage - Atonic Uterus at Health Centre*")
  )
)</f>
        <v/>
      </c>
      <c r="BG275" s="105" t="str">
        <f>IF(A275&lt;&gt;"",COUNTIFS('QA Log'!D:D,A275,'QA Log'!M:M,"Vignette",'QA Log'!L:L,"Vignette [5] Labor",'QA Log'!Z:Z,"Approved"),"")</f>
        <v/>
      </c>
      <c r="BH275" s="105" t="str">
        <f>IF(A275&lt;&gt;"",COUNTIFS('QA Log'!D:D,A275,'QA Log'!M:M,"Vignette",'QA Log'!L:L,"Vignette [6] PNC pre Discharge",'QA Log'!Z:Z,"Approved"),"")</f>
        <v/>
      </c>
      <c r="BI275" s="105" t="str">
        <f>IF(A275&lt;&gt;"",COUNTIFS('QA Log'!D:D,A275,'QA Log'!M:M,"Vignette",'QA Log'!L:L,"Vignette [7] First ANC Visit",'QA Log'!Z:Z,"Approved"),"")</f>
        <v/>
      </c>
      <c r="BJ275" s="105" t="str">
        <f>IF(A275&lt;&gt;"",COUNTIFS('QA Log'!D:D,A275,'QA Log'!M:M,"Vignette",'QA Log'!L:L,"Vignette [8] Birth Spacing/ Family Planning :  FP Counselling",'QA Log'!Z:Z,"Approved"),"")</f>
        <v/>
      </c>
      <c r="BK275" s="105" t="str">
        <f>IF(A275&lt;&gt;"",COUNTIFS('QA Log'!D:D,A275,'QA Log'!M:M,"Vignette",'QA Log'!L:L,"Vignette [9] Birth Spacing: Change FP method to Injectable",'QA Log'!Z:Z,"Approved"),"")</f>
        <v/>
      </c>
      <c r="BL275" s="105" t="str">
        <f>IF(A275&lt;&gt;"",COUNTIFS('QA Log'!D:D,A275,'QA Log'!M:M,"Vignette",'QA Log'!L:L,"Vignette [10] Post Partum Haemorrhage - Atonic Uterus at Health Centre",'QA Log'!Z:Z,"Approved"),"")</f>
        <v/>
      </c>
      <c r="BM275" s="102" t="str">
        <f>IF(A275="","",SUM(
    COUNTIFS('QA Log'!D:D,A275,'QA Log'!M:M,"Vignette",'QA Log'!Z:Z,"Rejected",'QA Log'!L:L,"*Vignette [5] Labor*"),
    COUNTIFS('QA Log'!D:D,A275,'QA Log'!M:M,"Vignette",'QA Log'!Z:Z,"Rejected",'QA Log'!L:L,"*Vignette [6] PNC pre Discharge*"),
    COUNTIFS('QA Log'!D:D,A275,'QA Log'!M:M,"Vignette",'QA Log'!Z:Z,"Rejected",'QA Log'!L:L,"*Vignette [7] First ANC Visit*"),
    COUNTIFS('QA Log'!D:D,A275,'QA Log'!M:M,"Vignette",'QA Log'!Z:Z,"Rejected",'QA Log'!L:L,"*Vignette [8] Birth Spacing/ Family Planning :  FP Counselling*"),
    COUNTIFS('QA Log'!D:D,A275,'QA Log'!M:M,"Vignette",'QA Log'!Z:Z,"Rejected",'QA Log'!L:L,"*Vignette [9] Birth Spacing: Change FP method to Injectable*"),
    COUNTIFS('QA Log'!D:D,A275,'QA Log'!M:M,"Vignette",'QA Log'!Z:Z,"Rejected",'QA Log'!L:L,"*Vignette [10] Post Partum Haemorrhage - Atonic Uterus at Health Centre*")
  )
)</f>
        <v/>
      </c>
      <c r="BN275" s="107" t="str">
        <f t="shared" si="37"/>
        <v/>
      </c>
      <c r="BO275" s="103" t="str">
        <f t="shared" si="38"/>
        <v/>
      </c>
      <c r="BP275" s="102" t="str">
        <f>IF(A275="","",SUM(
COUNTIFS('QA Log'!D:D,A275,'QA Log'!M:M,"Vignette",'QA Log'!L:L,"*Exit Interview 1*"),
COUNTIFS('QA Log'!D:D,A275,'QA Log'!M:M,"Vignette",'QA Log'!L:L,"*Exit Interview 2*"),
)
)</f>
        <v/>
      </c>
      <c r="BQ275" s="102" t="str">
        <f>IF(
  A275="","",
  SUM(
    COUNTIFS('QA Log'!D:D,A275,'QA Log'!M:M,"Vignette",'QA Log'!Z:Z,"Approved",'QA Log'!L:L,"*Exit Interview 1*"),
    COUNTIFS('QA Log'!D:D,A275,'QA Log'!M:M,"Vignette",'QA Log'!Z:Z,"Approved",'QA Log'!L:L,"*Exit Interview 2*")
  )
)</f>
        <v/>
      </c>
      <c r="BR275" s="105" t="str">
        <f>IF(A275&lt;&gt;"",COUNTIFS('QA Log'!D:D,A275,'QA Log'!M:M,"Vignette",'QA Log'!L:L,"Exit Interview 1",'QA Log'!Z:Z,"Approved"),"")</f>
        <v/>
      </c>
      <c r="BS275" s="105" t="str">
        <f>IF(A275&lt;&gt;"",COUNTIFS('QA Log'!D:D,A275,'QA Log'!M:M,"Vignette",'QA Log'!L:L,"Exit Interview 2",'QA Log'!Z:Z,"Approved"),"")</f>
        <v/>
      </c>
      <c r="BT275" s="102" t="str">
        <f>IF(
  A275="","",
  SUM(
    COUNTIFS('QA Log'!D:D,A275,'QA Log'!M:M,"Vignette",'QA Log'!Z:Z,"Rejected",'QA Log'!L:L,"*Exit Interview 1*"),
    COUNTIFS('QA Log'!D:D,A275,'QA Log'!M:M,"Vignette",'QA Log'!Z:Z,"Rejected",'QA Log'!L:L,"*Exit Interview 2*")
  )
)</f>
        <v/>
      </c>
      <c r="BU275" s="107" t="str">
        <f t="shared" si="39"/>
        <v/>
      </c>
      <c r="BV275" s="102" t="str">
        <f t="shared" si="40"/>
        <v/>
      </c>
      <c r="BW275" s="102" t="str">
        <f t="shared" si="41"/>
        <v/>
      </c>
      <c r="BX275" s="102" t="str">
        <f t="shared" si="42"/>
        <v/>
      </c>
      <c r="BY275" s="102" t="str">
        <f t="shared" si="43"/>
        <v/>
      </c>
      <c r="BZ275" s="107" t="str">
        <f t="shared" si="44"/>
        <v/>
      </c>
      <c r="CA275" s="108" t="str">
        <f t="shared" si="45"/>
        <v/>
      </c>
      <c r="CB275" s="108" t="str">
        <f t="shared" si="46"/>
        <v/>
      </c>
      <c r="CC275" s="109" t="str">
        <f t="shared" si="47"/>
        <v/>
      </c>
      <c r="CD275" s="108" t="str">
        <f t="shared" si="48"/>
        <v/>
      </c>
      <c r="CE275" s="108" t="str">
        <f t="shared" si="49"/>
        <v/>
      </c>
      <c r="CF275" s="109" t="str">
        <f t="shared" si="50"/>
        <v/>
      </c>
      <c r="CG275" s="110" t="str">
        <f t="shared" si="51"/>
        <v/>
      </c>
      <c r="CH275" s="111"/>
    </row>
    <row r="276" spans="1:86" ht="12.75">
      <c r="A276" s="101"/>
      <c r="B276" s="102" t="e">
        <f t="array" aca="1" ref="B276" ca="1">_xludf.XLOOKUP(A276,'QA Log'!D:D,'QA Log'!E:E,"")</f>
        <v>#NAME?</v>
      </c>
      <c r="C276" s="102" t="e">
        <f t="array" aca="1" ref="C276" ca="1">_xludf.XLOOKUP(A276,'QA Log'!D:D,'QA Log'!F:F,"")</f>
        <v>#NAME?</v>
      </c>
      <c r="D276" s="102" t="e">
        <f t="array" aca="1" ref="D276" ca="1">_xludf.XLOOKUP(A276,'QA Log'!D:D,'QA Log'!H:H,"")</f>
        <v>#NAME?</v>
      </c>
      <c r="E276" s="102" t="e">
        <f t="array" aca="1" ref="E276" ca="1">_xludf.XLOOKUP(A276,'QA Log'!D:D,'QA Log'!G:G,"")</f>
        <v>#NAME?</v>
      </c>
      <c r="F276" s="103"/>
      <c r="G276" s="104"/>
      <c r="H276" s="104"/>
      <c r="I276" s="103" t="str">
        <f t="shared" si="26"/>
        <v/>
      </c>
      <c r="J276" s="102" t="str">
        <f>IF(A276="","",SUM(
COUNTIFS('QA Log'!D:D,A276,'QA Log'!M:M,"QQC",'QA Log'!L:L,"*1. General Management*"),
COUNTIFS('QA Log'!D:D,A276,'QA Log'!M:M,"QQC",'QA Log'!L:L,"*3. Curative Consultation (OPD)*"),
COUNTIFS('QA Log'!D:D,A276,'QA Log'!M:M,"QQC",'QA Log'!L:L,"*5. Laboratory*"),
COUNTIFS('QA Log'!D:D,A276,'QA Log'!M:M,"QQC",'QA Log'!L:L,"*6. Essential Medicine Management*"),
COUNTIFS('QA Log'!D:D,A276,'QA Log'!M:M,"QQC",'QA Log'!L:L,"*7. Tracer Medicine*"),
COUNTIFS('QA Log'!D:D,A276,'QA Log'!M:M,"QQC",'QA Log'!L:L,"*11. Additional Questions*")))</f>
        <v/>
      </c>
      <c r="K276" s="102" t="str">
        <f>IF(A276="","",SUM(
COUNTIFS('QA Log'!D:D,A276,'QA Log'!M:M,"QQC",'QA Log'!Z:Z,"Approved",'QA Log'!L:L,"*1. General Management*"),
COUNTIFS('QA Log'!D:D,A276,'QA Log'!M:M,"QQC",'QA Log'!Z:Z,"Approved",'QA Log'!L:L,"*3. Curative Consultation (OPD)*"),
COUNTIFS('QA Log'!D:D,A276,'QA Log'!M:M,"QQC",'QA Log'!Z:Z,"Approved",'QA Log'!L:L,"*5. Laboratory*"),
COUNTIFS('QA Log'!D:D,A276,'QA Log'!M:M,"QQC",'QA Log'!Z:Z,"Approved",'QA Log'!L:L,"*6. Essential Medicine Management*"),
COUNTIFS('QA Log'!D:D,A276,'QA Log'!M:M,"QQC",'QA Log'!Z:Z,"Approved",'QA Log'!L:L,"*7. Tracer Medicine*"),
COUNTIFS('QA Log'!D:D,A276,'QA Log'!M:M,"QQC",'QA Log'!Z:Z,"Approved",'QA Log'!L:L,"*11. Additional Questions*")))</f>
        <v/>
      </c>
      <c r="L276" s="105" t="str">
        <f>IF(A276&lt;&gt;"",COUNTIFS('QA Log'!D:D,A276,'QA Log'!M:M,"QQC",'QA Log'!L:L,"1. General Management",'QA Log'!Z:Z,"Approved"),"")</f>
        <v/>
      </c>
      <c r="M276" s="105" t="str">
        <f>IF(A276&lt;&gt;"",COUNTIFS('QA Log'!D:D,A276,'QA Log'!M:M,"QQC",'QA Log'!L:L,"3. Curative Consultation (OPD)",'QA Log'!Z:Z,"Approved"),"")</f>
        <v/>
      </c>
      <c r="N276" s="105" t="str">
        <f>IF(A276&lt;&gt;"",COUNTIFS('QA Log'!D:D,A276,'QA Log'!M:M,"QQC",'QA Log'!L:L,"5. Laboratory",'QA Log'!Z:Z,"Approved"),"")</f>
        <v/>
      </c>
      <c r="O276" s="105" t="str">
        <f>IF(A276&lt;&gt;"",COUNTIFS('QA Log'!D:D,A276,'QA Log'!M:M,"QQC",'QA Log'!L:L,"6. Essential Medicine Management",'QA Log'!Z:Z,"Approved"),"")</f>
        <v/>
      </c>
      <c r="P276" s="105" t="str">
        <f>IF(A276&lt;&gt;"",COUNTIFS('QA Log'!D:D,A276,'QA Log'!M:M,"QQC",'QA Log'!L:L,"7. Tracer Medicine",'QA Log'!Z:Z,"Approved"),"")</f>
        <v/>
      </c>
      <c r="Q276" s="105" t="str">
        <f>IF(A276&lt;&gt;"",COUNTIFS('QA Log'!D:D,A276,'QA Log'!M:M,"QQC",'QA Log'!L:L,"11. Additional Questions",'QA Log'!Z:Z,"Approved"),"")</f>
        <v/>
      </c>
      <c r="R276" s="102" t="str">
        <f>IF(A276="","",SUM(
COUNTIFS('QA Log'!D:D,A276,'QA Log'!M:M,"QQC",'QA Log'!Z:Z,"Rejected",'QA Log'!L:L,"*8. Maternity*"),
COUNTIFS('QA Log'!D:D,A276,'QA Log'!M:M,"QQC",'QA Log'!Z:Z,"Rejected",'QA Log'!L:L,"*EPI*"),
COUNTIFS('QA Log'!D:D,A276,'QA Log'!M:M,"QQC",'QA Log'!Z:Z,"Rejected",'QA Log'!L:L,"*10. Antenatal Care (ANC)*"),
COUNTIFS('QA Log'!D:D,A276,'QA Log'!M:M,"QQC",'QA Log'!Z:Z,"Rejected",'QA Log'!L:L,"*2. Hygiene and Sterilization*"),
COUNTIFS('QA Log'!D:D,A276,'QA Log'!M:M,"QQC",'QA Log'!Z:Z,"Rejected",'QA Log'!L:L,"*Family Planning*")))</f>
        <v/>
      </c>
      <c r="S276" s="106" t="str">
        <f t="shared" si="27"/>
        <v/>
      </c>
      <c r="T276" s="102" t="str">
        <f t="shared" si="28"/>
        <v/>
      </c>
      <c r="U276" s="102" t="str">
        <f>IF(A276="","",
SUM(
COUNTIFS('QA Log'!D:D,A276,'QA Log'!M:M,"QQC",'QA Log'!L:L,"*8. Maternity*"),
COUNTIFS('QA Log'!D:D,A276,'QA Log'!M:M,"QQC",'QA Log'!L:L,"*9. EPI and Pre-school Consultation*"),
COUNTIFS('QA Log'!D:D,A276,'QA Log'!M:M,"QQC",'QA Log'!L:L,"*10. Antenatal Care (ANC)*"),
COUNTIFS('QA Log'!D:D,A276,'QA Log'!M:M,"QQC",'QA Log'!L:L,"*2. Hygiene and Sterilization*"),
COUNTIFS('QA Log'!D:D,A276,'QA Log'!M:M,"QQC",'QA Log'!L:L,"*4. Family Planning*")
))</f>
        <v/>
      </c>
      <c r="V276" s="102" t="str">
        <f>IF(A276="","",
SUM(
COUNTIFS('QA Log'!D:D,A276,'QA Log'!M:M,"QQC",'QA Log'!Z:Z,"Approved",'QA Log'!L:L,"*8. Maternity*"),
COUNTIFS('QA Log'!D:D,A276,'QA Log'!M:M,"QQC",'QA Log'!Z:Z,"Approved",'QA Log'!L:L,"*9. EPI and Pre-school Consultation*"),
COUNTIFS('QA Log'!D:D,A276,'QA Log'!M:M,"QQC",'QA Log'!Z:Z,"Approved",'QA Log'!L:L,"*10. Antenatal Care (ANC)*"),
COUNTIFS('QA Log'!D:D,A276,'QA Log'!M:M,"QQC",'QA Log'!Z:Z,"Approved",'QA Log'!L:L,"*2. Hygiene and Sterilization*"),
COUNTIFS('QA Log'!D:D,A276,'QA Log'!M:M,"QQC",'QA Log'!Z:Z,"Approved",'QA Log'!L:L,"*4. Family Planning*")
))</f>
        <v/>
      </c>
      <c r="W276" s="105" t="str">
        <f>IF(A276&lt;&gt;"",COUNTIFS('QA Log'!D:D,A276,'QA Log'!M:M,"QQC",'QA Log'!L:L,"8. Maternity",'QA Log'!Z:Z,"Approved"),"")</f>
        <v/>
      </c>
      <c r="X276" s="105" t="str">
        <f>IF(A276&lt;&gt;"",COUNTIFS('QA Log'!D:D,A276,'QA Log'!M:M,"QQC",'QA Log'!L:L,"9. EPI and Pre-school Consultation",'QA Log'!Z:Z,"Approved"),"")</f>
        <v/>
      </c>
      <c r="Y276" s="105" t="str">
        <f>IF(A276&lt;&gt;"",COUNTIFS('QA Log'!D:D,A276,'QA Log'!M:M,"QQC",'QA Log'!L:L,"10. Antenatal Care (ANC)",'QA Log'!Z:Z,"Approved"),"")</f>
        <v/>
      </c>
      <c r="Z276" s="105" t="str">
        <f>IF(A276&lt;&gt;"",COUNTIFS('QA Log'!D:D,A276,'QA Log'!M:M,"QQC",'QA Log'!L:L,"2. Hygiene and Sterilization",'QA Log'!Z:Z,"Approved"),"")</f>
        <v/>
      </c>
      <c r="AA276" s="105" t="str">
        <f>IF(A276&lt;&gt;"",COUNTIFS('QA Log'!D:D,A276,'QA Log'!M:M,"QQC",'QA Log'!L:L,"4. Family Planning",'QA Log'!Z:Z,"Approved"),"")</f>
        <v/>
      </c>
      <c r="AB276" s="102" t="str">
        <f>IF(A276="","",
SUM(
COUNTIFS('QA Log'!D:D,A276,'QA Log'!M:M,"QQC",'QA Log'!Z:Z,"Rejected",'QA Log'!L:L,"*8. Maternity*"),
COUNTIFS('QA Log'!D:D,A276,'QA Log'!M:M,"QQC",'QA Log'!Z:Z,"Rejected",'QA Log'!L:L,"*9. EPI and Pre-school Consultation*"),
COUNTIFS('QA Log'!D:D,A276,'QA Log'!M:M,"QQC",'QA Log'!Z:Z,"Rejected",'QA Log'!L:L,"*10. Antenatal Care (ANC)*"),
COUNTIFS('QA Log'!D:D,A276,'QA Log'!M:M,"QQC",'QA Log'!Z:Z,"Rejected",'QA Log'!L:L,"*2. Hygiene and Sterilization*"),
COUNTIFS('QA Log'!D:D,A276,'QA Log'!M:M,"QQC",'QA Log'!Z:Z,"Rejected",'QA Log'!L:L,"*4. Family Planning*")
))</f>
        <v/>
      </c>
      <c r="AC276" s="102" t="str">
        <f t="shared" si="29"/>
        <v/>
      </c>
      <c r="AD276" s="103" t="str">
        <f t="shared" si="30"/>
        <v/>
      </c>
      <c r="AE276" s="102" t="str">
        <f>IF(A276="","",
SUM(
COUNTIFS('QA Log'!D:D,A276,'QA Log'!M:M,"Data Verification",'QA Log'!L:L,"*Medicine (section 2)*"),
COUNTIFS('QA Log'!D:D,A276,'QA Log'!M:M,"Data Verification",'QA Log'!L:L,"*Lab Testing Availability*"),
COUNTIFS('QA Log'!D:D,A276,'QA Log'!M:M,"Data Verification",'QA Log'!L:L,"*Other than P4P (section 6)*"),
COUNTIFS('QA Log'!D:D,A276,'QA Log'!M:M,"Data Verification",'QA Log'!L:L,"*Hospital Governance*")
))</f>
        <v/>
      </c>
      <c r="AF276" s="102" t="str">
        <f>IF(A276="","",
SUM(
COUNTIFS('QA Log'!D:D,A276,'QA Log'!M:M,"Data Verification",'QA Log'!Z:Z,"Approved",'QA Log'!L:L,"*Medicine (section 2)*"),
COUNTIFS('QA Log'!D:D,A276,'QA Log'!M:M,"Data Verification",'QA Log'!Z:Z,"Approved",'QA Log'!L:L,"*Lab Testing Availability*"),
COUNTIFS('QA Log'!D:D,A276,'QA Log'!M:M,"Data Verification",'QA Log'!Z:Z,"Approved",'QA Log'!L:L,"*Other than P4P (section 6)*"),
COUNTIFS('QA Log'!D:D,A276,'QA Log'!M:M,"Data Verification",'QA Log'!Z:Z,"Approved",'QA Log'!L:L,"*Hospital Governance*")
))</f>
        <v/>
      </c>
      <c r="AG276" s="105" t="str">
        <f>IF(A276&lt;&gt;"",COUNTIFS('QA Log'!D:D,A276,'QA Log'!M:M,"Data Verification",'QA Log'!L:L,"Medicine (section 2)",'QA Log'!Z:Z,"Approved"),"")</f>
        <v/>
      </c>
      <c r="AH276" s="105" t="str">
        <f>IF(A276&lt;&gt;"",COUNTIFS('QA Log'!D:D,A276,'QA Log'!M:M,"Data Verification",'QA Log'!L:L,"Lab Testing Availability",'QA Log'!Z:Z,"Approved"),"")</f>
        <v/>
      </c>
      <c r="AI276" s="105" t="str">
        <f>IF(A276&lt;&gt;"",COUNTIFS('QA Log'!D:D,A276,'QA Log'!M:M,"Data Verification",'QA Log'!L:L,"Other than P4P (section 6)",'QA Log'!Z:Z,"Approved"),"")</f>
        <v/>
      </c>
      <c r="AJ276" s="105" t="str">
        <f>IF(A276&lt;&gt;"",COUNTIFS('QA Log'!D:D,A276,'QA Log'!M:M,"Data Verification",'QA Log'!L:L,"Hospital Governance",'QA Log'!Z:Z,"Approved"),"")</f>
        <v/>
      </c>
      <c r="AK276" s="102" t="str">
        <f>IF(A276="","",
SUM(
COUNTIFS('QA Log'!D:D,A276,'QA Log'!M:M,"Data Verification",'QA Log'!Z:Z,"Rejected",'QA Log'!L:L,"*Medicine (section 2)*"),
COUNTIFS('QA Log'!D:D,A276,'QA Log'!M:M,"Data Verification",'QA Log'!Z:Z,"Rejected",'QA Log'!L:L,"*Lab Testing Availability*"),
COUNTIFS('QA Log'!D:D,A276,'QA Log'!M:M,"Data Verification",'QA Log'!Z:Z,"Rejected",'QA Log'!L:L,"*Other than P4P (section 6)*"),
COUNTIFS('QA Log'!D:D,A276,'QA Log'!M:M,"Data Verification",'QA Log'!Z:Z,"Rejected",'QA Log'!L:L,"*Hospital Governance*")
))</f>
        <v/>
      </c>
      <c r="AL276" s="106" t="str">
        <f t="shared" si="31"/>
        <v/>
      </c>
      <c r="AM276" s="102" t="str">
        <f t="shared" si="32"/>
        <v/>
      </c>
      <c r="AN276" s="102" t="str">
        <f>IF(A276="","",
SUM(
COUNTIFS('QA Log'!D:D,A276,'QA Log'!M:M,"Data Verification",'QA Log'!L:L,"*Personnel (section 1)*"),
COUNTIFS('QA Log'!D:D,A276,'QA Log'!M:M,"Data Verification",'QA Log'!L:L,"*Consumable (section 3)*"),
COUNTIFS('QA Log'!D:D,A276,'QA Log'!M:M,"Data Verification",'QA Log'!L:L,"*Equipments (section 4)*")
))</f>
        <v/>
      </c>
      <c r="AO276" s="102" t="str">
        <f>IF(A276="","",
SUM(
COUNTIFS('QA Log'!D:D,A276,'QA Log'!M:M,"Data Verification",'QA Log'!Z:Z,"Approved",'QA Log'!L:L,"*Personnel (section 1)*"),
COUNTIFS('QA Log'!D:D,A276,'QA Log'!M:M,"Data Verification",'QA Log'!Z:Z,"Approved",'QA Log'!L:L,"*Consumable (section 3)*"),
COUNTIFS('QA Log'!D:D,A276,'QA Log'!M:M,"Data Verification",'QA Log'!Z:Z,"Approved",'QA Log'!L:L,"*Equipments (section 4)*")
))</f>
        <v/>
      </c>
      <c r="AP276" s="105" t="str">
        <f>IF(A276&lt;&gt;"",COUNTIFS('QA Log'!D:D,A276,'QA Log'!M:M,"Data Verification",'QA Log'!L:L,"Personnel (section 1)",'QA Log'!Z:Z,"Approved"),"")</f>
        <v/>
      </c>
      <c r="AQ276" s="105" t="str">
        <f>IF(A276&lt;&gt;"",COUNTIFS('QA Log'!D:D,A276,'QA Log'!M:M,"Data Verification",'QA Log'!L:L,"Consumable (section 3)",'QA Log'!Z:Z,"Approved"),"")</f>
        <v/>
      </c>
      <c r="AR276" s="105" t="str">
        <f>IF(A276&lt;&gt;"",COUNTIFS('QA Log'!D:D,A276,'QA Log'!M:M,"Data Verification",'QA Log'!L:L,"Equipments (section 4)",'QA Log'!Z:Z,"Approved"),"")</f>
        <v/>
      </c>
      <c r="AS276" s="102" t="str">
        <f>IF(A276="","",
SUM(
COUNTIFS('QA Log'!D:D,A276,'QA Log'!M:M,"Data Verification",'QA Log'!Z:Z,"Rejected",'QA Log'!L:L,"*Personnel (section 1)*"),
COUNTIFS('QA Log'!D:D,A276,'QA Log'!M:M,"Data Verification",'QA Log'!Z:Z,"Rejected",'QA Log'!L:L,"*Consumable (section 3)*"),
COUNTIFS('QA Log'!D:D,A276,'QA Log'!M:M,"Data Verification",'QA Log'!Z:Z,"Rejected",'QA Log'!L:L,"*Equipments (section 4)*")
))</f>
        <v/>
      </c>
      <c r="AT276" s="102" t="str">
        <f t="shared" si="33"/>
        <v/>
      </c>
      <c r="AU276" s="103" t="str">
        <f t="shared" si="34"/>
        <v/>
      </c>
      <c r="AV276" s="102" t="str">
        <f>IF(A276="","",SUM(
COUNTIFS('QA Log'!D:D,A276,'QA Log'!M:M,"Vignette",'QA Log'!L:L,"*Vignette [1] Respiratory Infection: Pneumonia*"),
COUNTIFS('QA Log'!D:D,A276,'QA Log'!M:M,"Vignette",'QA Log'!L:L,"*Vignette [2]: Diarrhea with Cat B dehydration*"),
COUNTIFS('QA Log'!D:D,A276,'QA Log'!M:M,"Vignette",'QA Log'!L:L,"*Vignette [3] Growth Monitoring and Promotion*"),
COUNTIFS('QA Log'!D:D,A276,'QA Log'!M:M,"Vignette",'QA Log'!L:L,"*Vignette [4]: The management of presumptive TB patient*")
)
)</f>
        <v/>
      </c>
      <c r="AW276" s="102" t="str">
        <f>IF(
  A276="","",
  SUM(
    COUNTIFS('QA Log'!D:D,A276,'QA Log'!M:M,"Vignette",'QA Log'!Z:Z,"Approved",'QA Log'!L:L,"*Vignette [1] Respiratory Infection: Pneumonia*"),
    COUNTIFS('QA Log'!D:D,A276,'QA Log'!M:M,"Vignette",'QA Log'!Z:Z,"Approved",'QA Log'!L:L,"*Vignette [2]: Diarrhea with Cat B dehydration*"),
    COUNTIFS('QA Log'!D:D,A276,'QA Log'!M:M,"Vignette",'QA Log'!Z:Z,"Approved",'QA Log'!L:L,"*Vignette [3] Growth Monitoring and Promotion*"),
    COUNTIFS('QA Log'!D:D,A276,'QA Log'!M:M,"Vignette",'QA Log'!Z:Z,"Approved",'QA Log'!L:L,"*Vignette [4]: The management of presumptive TB patient*")
  )
)</f>
        <v/>
      </c>
      <c r="AX276" s="105" t="str">
        <f>IF(A276&lt;&gt;"",COUNTIFS('QA Log'!D:D,A276,'QA Log'!M:M,"Vignette",'QA Log'!L:L,"Vignette [1] Respiratory Infection: Pneumonia",'QA Log'!Z:Z,"Approved"),"")</f>
        <v/>
      </c>
      <c r="AY276" s="105" t="str">
        <f>IF(A276&lt;&gt;"",COUNTIFS('QA Log'!D:D,A276,'QA Log'!M:M,"Vignette",'QA Log'!L:L,"Vignette [2]: Diarrhea with Cat B dehydration",'QA Log'!Z:Z,"Approved"),"")</f>
        <v/>
      </c>
      <c r="AZ276" s="105" t="str">
        <f>IF(A276&lt;&gt;"",COUNTIFS('QA Log'!D:D,A276,'QA Log'!M:M,"Vignette",'QA Log'!L:L,"Vignette [3] Growth Monitoring and Promotion",'QA Log'!Z:Z,"Approved"),"")</f>
        <v/>
      </c>
      <c r="BA276" s="105" t="str">
        <f>IF(A276&lt;&gt;"",COUNTIFS('QA Log'!D:D,A276,'QA Log'!M:M,"Vignette",'QA Log'!L:L,"Vignette [4]: The management of presumptive TB patient",'QA Log'!Z:Z,"Approved"),"")</f>
        <v/>
      </c>
      <c r="BB276" s="102" t="str">
        <f>IF(A276="","",
  SUM(
    COUNTIFS('QA Log'!D:D,A276,'QA Log'!M:M,"Vignette",'QA Log'!Z:Z,"Rejected",'QA Log'!L:L,"*Vignette [1] Respiratory Infection: Pneumonia*"),
    COUNTIFS('QA Log'!D:D,A276,'QA Log'!M:M,"Vignette",'QA Log'!Z:Z,"Rejected",'QA Log'!L:L,"*Vignette [2]: Diarrhea with Cat B dehydration*"),
    COUNTIFS('QA Log'!D:D,A276,'QA Log'!M:M,"Vignette",'QA Log'!Z:Z,"Rejected",'QA Log'!L:L,"*Vignette [3] Growth Monitoring and Promotion*"),
    COUNTIFS('QA Log'!D:D,A276,'QA Log'!M:M,"Vignette",'QA Log'!Z:Z,"Rejected",'QA Log'!L:L,"*Vignette [4]: The management of presumptive TB patient*")
  )
)</f>
        <v/>
      </c>
      <c r="BC276" s="107" t="str">
        <f t="shared" si="35"/>
        <v/>
      </c>
      <c r="BD276" s="103" t="str">
        <f t="shared" si="36"/>
        <v/>
      </c>
      <c r="BE276" s="102" t="str">
        <f>IF(A276="","",SUM(
COUNTIFS('QA Log'!D:D,A276,'QA Log'!M:M,"Vignette",'QA Log'!L:L,"*Vignette [5] Labor*"),
COUNTIFS('QA Log'!D:D,A276,'QA Log'!M:M,"Vignette",'QA Log'!L:L,"*Vignette [6] PNC pre Discharge*"),
COUNTIFS('QA Log'!D:D,A276,'QA Log'!M:M,"Vignette",'QA Log'!L:L,"*Vignette [7] First ANC Visit*"),
COUNTIFS('QA Log'!D:D,A276,'QA Log'!M:M,"Vignette",'QA Log'!L:L,"*Vignette [8] Birth Spacing/ Family Planning :  FP Counselling*"),
COUNTIFS('QA Log'!D:D,A276,'QA Log'!M:M,"Vignette",'QA Log'!L:L,"*Vignette [9] Birth Spacing: Change FP method to Injectable*"),
COUNTIFS('QA Log'!D:D,A276,'QA Log'!M:M,"Vignette",'QA Log'!L:L,"*Vignette [10] Post Partum Haemorrhage - Atonic Uterus at Health Centre*"),
)
)</f>
        <v/>
      </c>
      <c r="BF276" s="102" t="str">
        <f>IF(A276="","",
  SUM(
    COUNTIFS('QA Log'!D:D,A276,'QA Log'!M:M,"Vignette",'QA Log'!Z:Z,"Approved",'QA Log'!L:L,"*Vignette [5] Labor*"),
    COUNTIFS('QA Log'!D:D,A276,'QA Log'!M:M,"Vignette",'QA Log'!Z:Z,"Approved",'QA Log'!L:L,"*Vignette [6] PNC pre Discharge*"),
    COUNTIFS('QA Log'!D:D,A276,'QA Log'!M:M,"Vignette",'QA Log'!Z:Z,"Approved",'QA Log'!L:L,"*Vignette [7] First ANC Visit*"),
    COUNTIFS('QA Log'!D:D,A276,'QA Log'!M:M,"Vignette",'QA Log'!Z:Z,"Approved",'QA Log'!L:L,"*Vignette [8] Birth Spacing/ Family Planning :  FP Counselling*"),
    COUNTIFS('QA Log'!D:D,A276,'QA Log'!M:M,"Vignette",'QA Log'!Z:Z,"Approved",'QA Log'!L:L,"*Vignette [9] Birth Spacing: Change FP method to Injectable*"),
    COUNTIFS('QA Log'!D:D,A276,'QA Log'!M:M,"Vignette",'QA Log'!Z:Z,"Approved",'QA Log'!L:L,"*Vignette [10] Post Partum Haemorrhage - Atonic Uterus at Health Centre*")
  )
)</f>
        <v/>
      </c>
      <c r="BG276" s="105" t="str">
        <f>IF(A276&lt;&gt;"",COUNTIFS('QA Log'!D:D,A276,'QA Log'!M:M,"Vignette",'QA Log'!L:L,"Vignette [5] Labor",'QA Log'!Z:Z,"Approved"),"")</f>
        <v/>
      </c>
      <c r="BH276" s="105" t="str">
        <f>IF(A276&lt;&gt;"",COUNTIFS('QA Log'!D:D,A276,'QA Log'!M:M,"Vignette",'QA Log'!L:L,"Vignette [6] PNC pre Discharge",'QA Log'!Z:Z,"Approved"),"")</f>
        <v/>
      </c>
      <c r="BI276" s="105" t="str">
        <f>IF(A276&lt;&gt;"",COUNTIFS('QA Log'!D:D,A276,'QA Log'!M:M,"Vignette",'QA Log'!L:L,"Vignette [7] First ANC Visit",'QA Log'!Z:Z,"Approved"),"")</f>
        <v/>
      </c>
      <c r="BJ276" s="105" t="str">
        <f>IF(A276&lt;&gt;"",COUNTIFS('QA Log'!D:D,A276,'QA Log'!M:M,"Vignette",'QA Log'!L:L,"Vignette [8] Birth Spacing/ Family Planning :  FP Counselling",'QA Log'!Z:Z,"Approved"),"")</f>
        <v/>
      </c>
      <c r="BK276" s="105" t="str">
        <f>IF(A276&lt;&gt;"",COUNTIFS('QA Log'!D:D,A276,'QA Log'!M:M,"Vignette",'QA Log'!L:L,"Vignette [9] Birth Spacing: Change FP method to Injectable",'QA Log'!Z:Z,"Approved"),"")</f>
        <v/>
      </c>
      <c r="BL276" s="105" t="str">
        <f>IF(A276&lt;&gt;"",COUNTIFS('QA Log'!D:D,A276,'QA Log'!M:M,"Vignette",'QA Log'!L:L,"Vignette [10] Post Partum Haemorrhage - Atonic Uterus at Health Centre",'QA Log'!Z:Z,"Approved"),"")</f>
        <v/>
      </c>
      <c r="BM276" s="102" t="str">
        <f>IF(A276="","",SUM(
    COUNTIFS('QA Log'!D:D,A276,'QA Log'!M:M,"Vignette",'QA Log'!Z:Z,"Rejected",'QA Log'!L:L,"*Vignette [5] Labor*"),
    COUNTIFS('QA Log'!D:D,A276,'QA Log'!M:M,"Vignette",'QA Log'!Z:Z,"Rejected",'QA Log'!L:L,"*Vignette [6] PNC pre Discharge*"),
    COUNTIFS('QA Log'!D:D,A276,'QA Log'!M:M,"Vignette",'QA Log'!Z:Z,"Rejected",'QA Log'!L:L,"*Vignette [7] First ANC Visit*"),
    COUNTIFS('QA Log'!D:D,A276,'QA Log'!M:M,"Vignette",'QA Log'!Z:Z,"Rejected",'QA Log'!L:L,"*Vignette [8] Birth Spacing/ Family Planning :  FP Counselling*"),
    COUNTIFS('QA Log'!D:D,A276,'QA Log'!M:M,"Vignette",'QA Log'!Z:Z,"Rejected",'QA Log'!L:L,"*Vignette [9] Birth Spacing: Change FP method to Injectable*"),
    COUNTIFS('QA Log'!D:D,A276,'QA Log'!M:M,"Vignette",'QA Log'!Z:Z,"Rejected",'QA Log'!L:L,"*Vignette [10] Post Partum Haemorrhage - Atonic Uterus at Health Centre*")
  )
)</f>
        <v/>
      </c>
      <c r="BN276" s="107" t="str">
        <f t="shared" si="37"/>
        <v/>
      </c>
      <c r="BO276" s="103" t="str">
        <f t="shared" si="38"/>
        <v/>
      </c>
      <c r="BP276" s="102" t="str">
        <f>IF(A276="","",SUM(
COUNTIFS('QA Log'!D:D,A276,'QA Log'!M:M,"Vignette",'QA Log'!L:L,"*Exit Interview 1*"),
COUNTIFS('QA Log'!D:D,A276,'QA Log'!M:M,"Vignette",'QA Log'!L:L,"*Exit Interview 2*"),
)
)</f>
        <v/>
      </c>
      <c r="BQ276" s="102" t="str">
        <f>IF(
  A276="","",
  SUM(
    COUNTIFS('QA Log'!D:D,A276,'QA Log'!M:M,"Vignette",'QA Log'!Z:Z,"Approved",'QA Log'!L:L,"*Exit Interview 1*"),
    COUNTIFS('QA Log'!D:D,A276,'QA Log'!M:M,"Vignette",'QA Log'!Z:Z,"Approved",'QA Log'!L:L,"*Exit Interview 2*")
  )
)</f>
        <v/>
      </c>
      <c r="BR276" s="105" t="str">
        <f>IF(A276&lt;&gt;"",COUNTIFS('QA Log'!D:D,A276,'QA Log'!M:M,"Vignette",'QA Log'!L:L,"Exit Interview 1",'QA Log'!Z:Z,"Approved"),"")</f>
        <v/>
      </c>
      <c r="BS276" s="105" t="str">
        <f>IF(A276&lt;&gt;"",COUNTIFS('QA Log'!D:D,A276,'QA Log'!M:M,"Vignette",'QA Log'!L:L,"Exit Interview 2",'QA Log'!Z:Z,"Approved"),"")</f>
        <v/>
      </c>
      <c r="BT276" s="102" t="str">
        <f>IF(
  A276="","",
  SUM(
    COUNTIFS('QA Log'!D:D,A276,'QA Log'!M:M,"Vignette",'QA Log'!Z:Z,"Rejected",'QA Log'!L:L,"*Exit Interview 1*"),
    COUNTIFS('QA Log'!D:D,A276,'QA Log'!M:M,"Vignette",'QA Log'!Z:Z,"Rejected",'QA Log'!L:L,"*Exit Interview 2*")
  )
)</f>
        <v/>
      </c>
      <c r="BU276" s="107" t="str">
        <f t="shared" si="39"/>
        <v/>
      </c>
      <c r="BV276" s="102" t="str">
        <f t="shared" si="40"/>
        <v/>
      </c>
      <c r="BW276" s="102" t="str">
        <f t="shared" si="41"/>
        <v/>
      </c>
      <c r="BX276" s="102" t="str">
        <f t="shared" si="42"/>
        <v/>
      </c>
      <c r="BY276" s="102" t="str">
        <f t="shared" si="43"/>
        <v/>
      </c>
      <c r="BZ276" s="107" t="str">
        <f t="shared" si="44"/>
        <v/>
      </c>
      <c r="CA276" s="108" t="str">
        <f t="shared" si="45"/>
        <v/>
      </c>
      <c r="CB276" s="108" t="str">
        <f t="shared" si="46"/>
        <v/>
      </c>
      <c r="CC276" s="109" t="str">
        <f t="shared" si="47"/>
        <v/>
      </c>
      <c r="CD276" s="108" t="str">
        <f t="shared" si="48"/>
        <v/>
      </c>
      <c r="CE276" s="108" t="str">
        <f t="shared" si="49"/>
        <v/>
      </c>
      <c r="CF276" s="109" t="str">
        <f t="shared" si="50"/>
        <v/>
      </c>
      <c r="CG276" s="110" t="str">
        <f t="shared" si="51"/>
        <v/>
      </c>
      <c r="CH276" s="111"/>
    </row>
    <row r="277" spans="1:86" ht="12.75">
      <c r="A277" s="101"/>
      <c r="B277" s="102" t="e">
        <f t="array" aca="1" ref="B277" ca="1">_xludf.XLOOKUP(A277,'QA Log'!D:D,'QA Log'!E:E,"")</f>
        <v>#NAME?</v>
      </c>
      <c r="C277" s="102" t="e">
        <f t="array" aca="1" ref="C277" ca="1">_xludf.XLOOKUP(A277,'QA Log'!D:D,'QA Log'!F:F,"")</f>
        <v>#NAME?</v>
      </c>
      <c r="D277" s="102" t="e">
        <f t="array" aca="1" ref="D277" ca="1">_xludf.XLOOKUP(A277,'QA Log'!D:D,'QA Log'!H:H,"")</f>
        <v>#NAME?</v>
      </c>
      <c r="E277" s="102" t="e">
        <f t="array" aca="1" ref="E277" ca="1">_xludf.XLOOKUP(A277,'QA Log'!D:D,'QA Log'!G:G,"")</f>
        <v>#NAME?</v>
      </c>
      <c r="F277" s="103"/>
      <c r="G277" s="104"/>
      <c r="H277" s="104"/>
      <c r="I277" s="103" t="str">
        <f t="shared" si="26"/>
        <v/>
      </c>
      <c r="J277" s="102" t="str">
        <f>IF(A277="","",SUM(
COUNTIFS('QA Log'!D:D,A277,'QA Log'!M:M,"QQC",'QA Log'!L:L,"*1. General Management*"),
COUNTIFS('QA Log'!D:D,A277,'QA Log'!M:M,"QQC",'QA Log'!L:L,"*3. Curative Consultation (OPD)*"),
COUNTIFS('QA Log'!D:D,A277,'QA Log'!M:M,"QQC",'QA Log'!L:L,"*5. Laboratory*"),
COUNTIFS('QA Log'!D:D,A277,'QA Log'!M:M,"QQC",'QA Log'!L:L,"*6. Essential Medicine Management*"),
COUNTIFS('QA Log'!D:D,A277,'QA Log'!M:M,"QQC",'QA Log'!L:L,"*7. Tracer Medicine*"),
COUNTIFS('QA Log'!D:D,A277,'QA Log'!M:M,"QQC",'QA Log'!L:L,"*11. Additional Questions*")))</f>
        <v/>
      </c>
      <c r="K277" s="102" t="str">
        <f>IF(A277="","",SUM(
COUNTIFS('QA Log'!D:D,A277,'QA Log'!M:M,"QQC",'QA Log'!Z:Z,"Approved",'QA Log'!L:L,"*1. General Management*"),
COUNTIFS('QA Log'!D:D,A277,'QA Log'!M:M,"QQC",'QA Log'!Z:Z,"Approved",'QA Log'!L:L,"*3. Curative Consultation (OPD)*"),
COUNTIFS('QA Log'!D:D,A277,'QA Log'!M:M,"QQC",'QA Log'!Z:Z,"Approved",'QA Log'!L:L,"*5. Laboratory*"),
COUNTIFS('QA Log'!D:D,A277,'QA Log'!M:M,"QQC",'QA Log'!Z:Z,"Approved",'QA Log'!L:L,"*6. Essential Medicine Management*"),
COUNTIFS('QA Log'!D:D,A277,'QA Log'!M:M,"QQC",'QA Log'!Z:Z,"Approved",'QA Log'!L:L,"*7. Tracer Medicine*"),
COUNTIFS('QA Log'!D:D,A277,'QA Log'!M:M,"QQC",'QA Log'!Z:Z,"Approved",'QA Log'!L:L,"*11. Additional Questions*")))</f>
        <v/>
      </c>
      <c r="L277" s="105" t="str">
        <f>IF(A277&lt;&gt;"",COUNTIFS('QA Log'!D:D,A277,'QA Log'!M:M,"QQC",'QA Log'!L:L,"1. General Management",'QA Log'!Z:Z,"Approved"),"")</f>
        <v/>
      </c>
      <c r="M277" s="105" t="str">
        <f>IF(A277&lt;&gt;"",COUNTIFS('QA Log'!D:D,A277,'QA Log'!M:M,"QQC",'QA Log'!L:L,"3. Curative Consultation (OPD)",'QA Log'!Z:Z,"Approved"),"")</f>
        <v/>
      </c>
      <c r="N277" s="105" t="str">
        <f>IF(A277&lt;&gt;"",COUNTIFS('QA Log'!D:D,A277,'QA Log'!M:M,"QQC",'QA Log'!L:L,"5. Laboratory",'QA Log'!Z:Z,"Approved"),"")</f>
        <v/>
      </c>
      <c r="O277" s="105" t="str">
        <f>IF(A277&lt;&gt;"",COUNTIFS('QA Log'!D:D,A277,'QA Log'!M:M,"QQC",'QA Log'!L:L,"6. Essential Medicine Management",'QA Log'!Z:Z,"Approved"),"")</f>
        <v/>
      </c>
      <c r="P277" s="105" t="str">
        <f>IF(A277&lt;&gt;"",COUNTIFS('QA Log'!D:D,A277,'QA Log'!M:M,"QQC",'QA Log'!L:L,"7. Tracer Medicine",'QA Log'!Z:Z,"Approved"),"")</f>
        <v/>
      </c>
      <c r="Q277" s="105" t="str">
        <f>IF(A277&lt;&gt;"",COUNTIFS('QA Log'!D:D,A277,'QA Log'!M:M,"QQC",'QA Log'!L:L,"11. Additional Questions",'QA Log'!Z:Z,"Approved"),"")</f>
        <v/>
      </c>
      <c r="R277" s="102" t="str">
        <f>IF(A277="","",SUM(
COUNTIFS('QA Log'!D:D,A277,'QA Log'!M:M,"QQC",'QA Log'!Z:Z,"Rejected",'QA Log'!L:L,"*8. Maternity*"),
COUNTIFS('QA Log'!D:D,A277,'QA Log'!M:M,"QQC",'QA Log'!Z:Z,"Rejected",'QA Log'!L:L,"*EPI*"),
COUNTIFS('QA Log'!D:D,A277,'QA Log'!M:M,"QQC",'QA Log'!Z:Z,"Rejected",'QA Log'!L:L,"*10. Antenatal Care (ANC)*"),
COUNTIFS('QA Log'!D:D,A277,'QA Log'!M:M,"QQC",'QA Log'!Z:Z,"Rejected",'QA Log'!L:L,"*2. Hygiene and Sterilization*"),
COUNTIFS('QA Log'!D:D,A277,'QA Log'!M:M,"QQC",'QA Log'!Z:Z,"Rejected",'QA Log'!L:L,"*Family Planning*")))</f>
        <v/>
      </c>
      <c r="S277" s="106" t="str">
        <f t="shared" si="27"/>
        <v/>
      </c>
      <c r="T277" s="102" t="str">
        <f t="shared" si="28"/>
        <v/>
      </c>
      <c r="U277" s="102" t="str">
        <f>IF(A277="","",
SUM(
COUNTIFS('QA Log'!D:D,A277,'QA Log'!M:M,"QQC",'QA Log'!L:L,"*8. Maternity*"),
COUNTIFS('QA Log'!D:D,A277,'QA Log'!M:M,"QQC",'QA Log'!L:L,"*9. EPI and Pre-school Consultation*"),
COUNTIFS('QA Log'!D:D,A277,'QA Log'!M:M,"QQC",'QA Log'!L:L,"*10. Antenatal Care (ANC)*"),
COUNTIFS('QA Log'!D:D,A277,'QA Log'!M:M,"QQC",'QA Log'!L:L,"*2. Hygiene and Sterilization*"),
COUNTIFS('QA Log'!D:D,A277,'QA Log'!M:M,"QQC",'QA Log'!L:L,"*4. Family Planning*")
))</f>
        <v/>
      </c>
      <c r="V277" s="102" t="str">
        <f>IF(A277="","",
SUM(
COUNTIFS('QA Log'!D:D,A277,'QA Log'!M:M,"QQC",'QA Log'!Z:Z,"Approved",'QA Log'!L:L,"*8. Maternity*"),
COUNTIFS('QA Log'!D:D,A277,'QA Log'!M:M,"QQC",'QA Log'!Z:Z,"Approved",'QA Log'!L:L,"*9. EPI and Pre-school Consultation*"),
COUNTIFS('QA Log'!D:D,A277,'QA Log'!M:M,"QQC",'QA Log'!Z:Z,"Approved",'QA Log'!L:L,"*10. Antenatal Care (ANC)*"),
COUNTIFS('QA Log'!D:D,A277,'QA Log'!M:M,"QQC",'QA Log'!Z:Z,"Approved",'QA Log'!L:L,"*2. Hygiene and Sterilization*"),
COUNTIFS('QA Log'!D:D,A277,'QA Log'!M:M,"QQC",'QA Log'!Z:Z,"Approved",'QA Log'!L:L,"*4. Family Planning*")
))</f>
        <v/>
      </c>
      <c r="W277" s="105" t="str">
        <f>IF(A277&lt;&gt;"",COUNTIFS('QA Log'!D:D,A277,'QA Log'!M:M,"QQC",'QA Log'!L:L,"8. Maternity",'QA Log'!Z:Z,"Approved"),"")</f>
        <v/>
      </c>
      <c r="X277" s="105" t="str">
        <f>IF(A277&lt;&gt;"",COUNTIFS('QA Log'!D:D,A277,'QA Log'!M:M,"QQC",'QA Log'!L:L,"9. EPI and Pre-school Consultation",'QA Log'!Z:Z,"Approved"),"")</f>
        <v/>
      </c>
      <c r="Y277" s="105" t="str">
        <f>IF(A277&lt;&gt;"",COUNTIFS('QA Log'!D:D,A277,'QA Log'!M:M,"QQC",'QA Log'!L:L,"10. Antenatal Care (ANC)",'QA Log'!Z:Z,"Approved"),"")</f>
        <v/>
      </c>
      <c r="Z277" s="105" t="str">
        <f>IF(A277&lt;&gt;"",COUNTIFS('QA Log'!D:D,A277,'QA Log'!M:M,"QQC",'QA Log'!L:L,"2. Hygiene and Sterilization",'QA Log'!Z:Z,"Approved"),"")</f>
        <v/>
      </c>
      <c r="AA277" s="105" t="str">
        <f>IF(A277&lt;&gt;"",COUNTIFS('QA Log'!D:D,A277,'QA Log'!M:M,"QQC",'QA Log'!L:L,"4. Family Planning",'QA Log'!Z:Z,"Approved"),"")</f>
        <v/>
      </c>
      <c r="AB277" s="102" t="str">
        <f>IF(A277="","",
SUM(
COUNTIFS('QA Log'!D:D,A277,'QA Log'!M:M,"QQC",'QA Log'!Z:Z,"Rejected",'QA Log'!L:L,"*8. Maternity*"),
COUNTIFS('QA Log'!D:D,A277,'QA Log'!M:M,"QQC",'QA Log'!Z:Z,"Rejected",'QA Log'!L:L,"*9. EPI and Pre-school Consultation*"),
COUNTIFS('QA Log'!D:D,A277,'QA Log'!M:M,"QQC",'QA Log'!Z:Z,"Rejected",'QA Log'!L:L,"*10. Antenatal Care (ANC)*"),
COUNTIFS('QA Log'!D:D,A277,'QA Log'!M:M,"QQC",'QA Log'!Z:Z,"Rejected",'QA Log'!L:L,"*2. Hygiene and Sterilization*"),
COUNTIFS('QA Log'!D:D,A277,'QA Log'!M:M,"QQC",'QA Log'!Z:Z,"Rejected",'QA Log'!L:L,"*4. Family Planning*")
))</f>
        <v/>
      </c>
      <c r="AC277" s="102" t="str">
        <f t="shared" si="29"/>
        <v/>
      </c>
      <c r="AD277" s="103" t="str">
        <f t="shared" si="30"/>
        <v/>
      </c>
      <c r="AE277" s="102" t="str">
        <f>IF(A277="","",
SUM(
COUNTIFS('QA Log'!D:D,A277,'QA Log'!M:M,"Data Verification",'QA Log'!L:L,"*Medicine (section 2)*"),
COUNTIFS('QA Log'!D:D,A277,'QA Log'!M:M,"Data Verification",'QA Log'!L:L,"*Lab Testing Availability*"),
COUNTIFS('QA Log'!D:D,A277,'QA Log'!M:M,"Data Verification",'QA Log'!L:L,"*Other than P4P (section 6)*"),
COUNTIFS('QA Log'!D:D,A277,'QA Log'!M:M,"Data Verification",'QA Log'!L:L,"*Hospital Governance*")
))</f>
        <v/>
      </c>
      <c r="AF277" s="102" t="str">
        <f>IF(A277="","",
SUM(
COUNTIFS('QA Log'!D:D,A277,'QA Log'!M:M,"Data Verification",'QA Log'!Z:Z,"Approved",'QA Log'!L:L,"*Medicine (section 2)*"),
COUNTIFS('QA Log'!D:D,A277,'QA Log'!M:M,"Data Verification",'QA Log'!Z:Z,"Approved",'QA Log'!L:L,"*Lab Testing Availability*"),
COUNTIFS('QA Log'!D:D,A277,'QA Log'!M:M,"Data Verification",'QA Log'!Z:Z,"Approved",'QA Log'!L:L,"*Other than P4P (section 6)*"),
COUNTIFS('QA Log'!D:D,A277,'QA Log'!M:M,"Data Verification",'QA Log'!Z:Z,"Approved",'QA Log'!L:L,"*Hospital Governance*")
))</f>
        <v/>
      </c>
      <c r="AG277" s="105" t="str">
        <f>IF(A277&lt;&gt;"",COUNTIFS('QA Log'!D:D,A277,'QA Log'!M:M,"Data Verification",'QA Log'!L:L,"Medicine (section 2)",'QA Log'!Z:Z,"Approved"),"")</f>
        <v/>
      </c>
      <c r="AH277" s="105" t="str">
        <f>IF(A277&lt;&gt;"",COUNTIFS('QA Log'!D:D,A277,'QA Log'!M:M,"Data Verification",'QA Log'!L:L,"Lab Testing Availability",'QA Log'!Z:Z,"Approved"),"")</f>
        <v/>
      </c>
      <c r="AI277" s="105" t="str">
        <f>IF(A277&lt;&gt;"",COUNTIFS('QA Log'!D:D,A277,'QA Log'!M:M,"Data Verification",'QA Log'!L:L,"Other than P4P (section 6)",'QA Log'!Z:Z,"Approved"),"")</f>
        <v/>
      </c>
      <c r="AJ277" s="105" t="str">
        <f>IF(A277&lt;&gt;"",COUNTIFS('QA Log'!D:D,A277,'QA Log'!M:M,"Data Verification",'QA Log'!L:L,"Hospital Governance",'QA Log'!Z:Z,"Approved"),"")</f>
        <v/>
      </c>
      <c r="AK277" s="102" t="str">
        <f>IF(A277="","",
SUM(
COUNTIFS('QA Log'!D:D,A277,'QA Log'!M:M,"Data Verification",'QA Log'!Z:Z,"Rejected",'QA Log'!L:L,"*Medicine (section 2)*"),
COUNTIFS('QA Log'!D:D,A277,'QA Log'!M:M,"Data Verification",'QA Log'!Z:Z,"Rejected",'QA Log'!L:L,"*Lab Testing Availability*"),
COUNTIFS('QA Log'!D:D,A277,'QA Log'!M:M,"Data Verification",'QA Log'!Z:Z,"Rejected",'QA Log'!L:L,"*Other than P4P (section 6)*"),
COUNTIFS('QA Log'!D:D,A277,'QA Log'!M:M,"Data Verification",'QA Log'!Z:Z,"Rejected",'QA Log'!L:L,"*Hospital Governance*")
))</f>
        <v/>
      </c>
      <c r="AL277" s="106" t="str">
        <f t="shared" si="31"/>
        <v/>
      </c>
      <c r="AM277" s="102" t="str">
        <f t="shared" si="32"/>
        <v/>
      </c>
      <c r="AN277" s="102" t="str">
        <f>IF(A277="","",
SUM(
COUNTIFS('QA Log'!D:D,A277,'QA Log'!M:M,"Data Verification",'QA Log'!L:L,"*Personnel (section 1)*"),
COUNTIFS('QA Log'!D:D,A277,'QA Log'!M:M,"Data Verification",'QA Log'!L:L,"*Consumable (section 3)*"),
COUNTIFS('QA Log'!D:D,A277,'QA Log'!M:M,"Data Verification",'QA Log'!L:L,"*Equipments (section 4)*")
))</f>
        <v/>
      </c>
      <c r="AO277" s="102" t="str">
        <f>IF(A277="","",
SUM(
COUNTIFS('QA Log'!D:D,A277,'QA Log'!M:M,"Data Verification",'QA Log'!Z:Z,"Approved",'QA Log'!L:L,"*Personnel (section 1)*"),
COUNTIFS('QA Log'!D:D,A277,'QA Log'!M:M,"Data Verification",'QA Log'!Z:Z,"Approved",'QA Log'!L:L,"*Consumable (section 3)*"),
COUNTIFS('QA Log'!D:D,A277,'QA Log'!M:M,"Data Verification",'QA Log'!Z:Z,"Approved",'QA Log'!L:L,"*Equipments (section 4)*")
))</f>
        <v/>
      </c>
      <c r="AP277" s="105" t="str">
        <f>IF(A277&lt;&gt;"",COUNTIFS('QA Log'!D:D,A277,'QA Log'!M:M,"Data Verification",'QA Log'!L:L,"Personnel (section 1)",'QA Log'!Z:Z,"Approved"),"")</f>
        <v/>
      </c>
      <c r="AQ277" s="105" t="str">
        <f>IF(A277&lt;&gt;"",COUNTIFS('QA Log'!D:D,A277,'QA Log'!M:M,"Data Verification",'QA Log'!L:L,"Consumable (section 3)",'QA Log'!Z:Z,"Approved"),"")</f>
        <v/>
      </c>
      <c r="AR277" s="105" t="str">
        <f>IF(A277&lt;&gt;"",COUNTIFS('QA Log'!D:D,A277,'QA Log'!M:M,"Data Verification",'QA Log'!L:L,"Equipments (section 4)",'QA Log'!Z:Z,"Approved"),"")</f>
        <v/>
      </c>
      <c r="AS277" s="102" t="str">
        <f>IF(A277="","",
SUM(
COUNTIFS('QA Log'!D:D,A277,'QA Log'!M:M,"Data Verification",'QA Log'!Z:Z,"Rejected",'QA Log'!L:L,"*Personnel (section 1)*"),
COUNTIFS('QA Log'!D:D,A277,'QA Log'!M:M,"Data Verification",'QA Log'!Z:Z,"Rejected",'QA Log'!L:L,"*Consumable (section 3)*"),
COUNTIFS('QA Log'!D:D,A277,'QA Log'!M:M,"Data Verification",'QA Log'!Z:Z,"Rejected",'QA Log'!L:L,"*Equipments (section 4)*")
))</f>
        <v/>
      </c>
      <c r="AT277" s="102" t="str">
        <f t="shared" si="33"/>
        <v/>
      </c>
      <c r="AU277" s="103" t="str">
        <f t="shared" si="34"/>
        <v/>
      </c>
      <c r="AV277" s="102" t="str">
        <f>IF(A277="","",SUM(
COUNTIFS('QA Log'!D:D,A277,'QA Log'!M:M,"Vignette",'QA Log'!L:L,"*Vignette [1] Respiratory Infection: Pneumonia*"),
COUNTIFS('QA Log'!D:D,A277,'QA Log'!M:M,"Vignette",'QA Log'!L:L,"*Vignette [2]: Diarrhea with Cat B dehydration*"),
COUNTIFS('QA Log'!D:D,A277,'QA Log'!M:M,"Vignette",'QA Log'!L:L,"*Vignette [3] Growth Monitoring and Promotion*"),
COUNTIFS('QA Log'!D:D,A277,'QA Log'!M:M,"Vignette",'QA Log'!L:L,"*Vignette [4]: The management of presumptive TB patient*")
)
)</f>
        <v/>
      </c>
      <c r="AW277" s="102" t="str">
        <f>IF(
  A277="","",
  SUM(
    COUNTIFS('QA Log'!D:D,A277,'QA Log'!M:M,"Vignette",'QA Log'!Z:Z,"Approved",'QA Log'!L:L,"*Vignette [1] Respiratory Infection: Pneumonia*"),
    COUNTIFS('QA Log'!D:D,A277,'QA Log'!M:M,"Vignette",'QA Log'!Z:Z,"Approved",'QA Log'!L:L,"*Vignette [2]: Diarrhea with Cat B dehydration*"),
    COUNTIFS('QA Log'!D:D,A277,'QA Log'!M:M,"Vignette",'QA Log'!Z:Z,"Approved",'QA Log'!L:L,"*Vignette [3] Growth Monitoring and Promotion*"),
    COUNTIFS('QA Log'!D:D,A277,'QA Log'!M:M,"Vignette",'QA Log'!Z:Z,"Approved",'QA Log'!L:L,"*Vignette [4]: The management of presumptive TB patient*")
  )
)</f>
        <v/>
      </c>
      <c r="AX277" s="105" t="str">
        <f>IF(A277&lt;&gt;"",COUNTIFS('QA Log'!D:D,A277,'QA Log'!M:M,"Vignette",'QA Log'!L:L,"Vignette [1] Respiratory Infection: Pneumonia",'QA Log'!Z:Z,"Approved"),"")</f>
        <v/>
      </c>
      <c r="AY277" s="105" t="str">
        <f>IF(A277&lt;&gt;"",COUNTIFS('QA Log'!D:D,A277,'QA Log'!M:M,"Vignette",'QA Log'!L:L,"Vignette [2]: Diarrhea with Cat B dehydration",'QA Log'!Z:Z,"Approved"),"")</f>
        <v/>
      </c>
      <c r="AZ277" s="105" t="str">
        <f>IF(A277&lt;&gt;"",COUNTIFS('QA Log'!D:D,A277,'QA Log'!M:M,"Vignette",'QA Log'!L:L,"Vignette [3] Growth Monitoring and Promotion",'QA Log'!Z:Z,"Approved"),"")</f>
        <v/>
      </c>
      <c r="BA277" s="105" t="str">
        <f>IF(A277&lt;&gt;"",COUNTIFS('QA Log'!D:D,A277,'QA Log'!M:M,"Vignette",'QA Log'!L:L,"Vignette [4]: The management of presumptive TB patient",'QA Log'!Z:Z,"Approved"),"")</f>
        <v/>
      </c>
      <c r="BB277" s="102" t="str">
        <f>IF(A277="","",
  SUM(
    COUNTIFS('QA Log'!D:D,A277,'QA Log'!M:M,"Vignette",'QA Log'!Z:Z,"Rejected",'QA Log'!L:L,"*Vignette [1] Respiratory Infection: Pneumonia*"),
    COUNTIFS('QA Log'!D:D,A277,'QA Log'!M:M,"Vignette",'QA Log'!Z:Z,"Rejected",'QA Log'!L:L,"*Vignette [2]: Diarrhea with Cat B dehydration*"),
    COUNTIFS('QA Log'!D:D,A277,'QA Log'!M:M,"Vignette",'QA Log'!Z:Z,"Rejected",'QA Log'!L:L,"*Vignette [3] Growth Monitoring and Promotion*"),
    COUNTIFS('QA Log'!D:D,A277,'QA Log'!M:M,"Vignette",'QA Log'!Z:Z,"Rejected",'QA Log'!L:L,"*Vignette [4]: The management of presumptive TB patient*")
  )
)</f>
        <v/>
      </c>
      <c r="BC277" s="107" t="str">
        <f t="shared" si="35"/>
        <v/>
      </c>
      <c r="BD277" s="103" t="str">
        <f t="shared" si="36"/>
        <v/>
      </c>
      <c r="BE277" s="102" t="str">
        <f>IF(A277="","",SUM(
COUNTIFS('QA Log'!D:D,A277,'QA Log'!M:M,"Vignette",'QA Log'!L:L,"*Vignette [5] Labor*"),
COUNTIFS('QA Log'!D:D,A277,'QA Log'!M:M,"Vignette",'QA Log'!L:L,"*Vignette [6] PNC pre Discharge*"),
COUNTIFS('QA Log'!D:D,A277,'QA Log'!M:M,"Vignette",'QA Log'!L:L,"*Vignette [7] First ANC Visit*"),
COUNTIFS('QA Log'!D:D,A277,'QA Log'!M:M,"Vignette",'QA Log'!L:L,"*Vignette [8] Birth Spacing/ Family Planning :  FP Counselling*"),
COUNTIFS('QA Log'!D:D,A277,'QA Log'!M:M,"Vignette",'QA Log'!L:L,"*Vignette [9] Birth Spacing: Change FP method to Injectable*"),
COUNTIFS('QA Log'!D:D,A277,'QA Log'!M:M,"Vignette",'QA Log'!L:L,"*Vignette [10] Post Partum Haemorrhage - Atonic Uterus at Health Centre*"),
)
)</f>
        <v/>
      </c>
      <c r="BF277" s="102" t="str">
        <f>IF(A277="","",
  SUM(
    COUNTIFS('QA Log'!D:D,A277,'QA Log'!M:M,"Vignette",'QA Log'!Z:Z,"Approved",'QA Log'!L:L,"*Vignette [5] Labor*"),
    COUNTIFS('QA Log'!D:D,A277,'QA Log'!M:M,"Vignette",'QA Log'!Z:Z,"Approved",'QA Log'!L:L,"*Vignette [6] PNC pre Discharge*"),
    COUNTIFS('QA Log'!D:D,A277,'QA Log'!M:M,"Vignette",'QA Log'!Z:Z,"Approved",'QA Log'!L:L,"*Vignette [7] First ANC Visit*"),
    COUNTIFS('QA Log'!D:D,A277,'QA Log'!M:M,"Vignette",'QA Log'!Z:Z,"Approved",'QA Log'!L:L,"*Vignette [8] Birth Spacing/ Family Planning :  FP Counselling*"),
    COUNTIFS('QA Log'!D:D,A277,'QA Log'!M:M,"Vignette",'QA Log'!Z:Z,"Approved",'QA Log'!L:L,"*Vignette [9] Birth Spacing: Change FP method to Injectable*"),
    COUNTIFS('QA Log'!D:D,A277,'QA Log'!M:M,"Vignette",'QA Log'!Z:Z,"Approved",'QA Log'!L:L,"*Vignette [10] Post Partum Haemorrhage - Atonic Uterus at Health Centre*")
  )
)</f>
        <v/>
      </c>
      <c r="BG277" s="105" t="str">
        <f>IF(A277&lt;&gt;"",COUNTIFS('QA Log'!D:D,A277,'QA Log'!M:M,"Vignette",'QA Log'!L:L,"Vignette [5] Labor",'QA Log'!Z:Z,"Approved"),"")</f>
        <v/>
      </c>
      <c r="BH277" s="105" t="str">
        <f>IF(A277&lt;&gt;"",COUNTIFS('QA Log'!D:D,A277,'QA Log'!M:M,"Vignette",'QA Log'!L:L,"Vignette [6] PNC pre Discharge",'QA Log'!Z:Z,"Approved"),"")</f>
        <v/>
      </c>
      <c r="BI277" s="105" t="str">
        <f>IF(A277&lt;&gt;"",COUNTIFS('QA Log'!D:D,A277,'QA Log'!M:M,"Vignette",'QA Log'!L:L,"Vignette [7] First ANC Visit",'QA Log'!Z:Z,"Approved"),"")</f>
        <v/>
      </c>
      <c r="BJ277" s="105" t="str">
        <f>IF(A277&lt;&gt;"",COUNTIFS('QA Log'!D:D,A277,'QA Log'!M:M,"Vignette",'QA Log'!L:L,"Vignette [8] Birth Spacing/ Family Planning :  FP Counselling",'QA Log'!Z:Z,"Approved"),"")</f>
        <v/>
      </c>
      <c r="BK277" s="105" t="str">
        <f>IF(A277&lt;&gt;"",COUNTIFS('QA Log'!D:D,A277,'QA Log'!M:M,"Vignette",'QA Log'!L:L,"Vignette [9] Birth Spacing: Change FP method to Injectable",'QA Log'!Z:Z,"Approved"),"")</f>
        <v/>
      </c>
      <c r="BL277" s="105" t="str">
        <f>IF(A277&lt;&gt;"",COUNTIFS('QA Log'!D:D,A277,'QA Log'!M:M,"Vignette",'QA Log'!L:L,"Vignette [10] Post Partum Haemorrhage - Atonic Uterus at Health Centre",'QA Log'!Z:Z,"Approved"),"")</f>
        <v/>
      </c>
      <c r="BM277" s="102" t="str">
        <f>IF(A277="","",SUM(
    COUNTIFS('QA Log'!D:D,A277,'QA Log'!M:M,"Vignette",'QA Log'!Z:Z,"Rejected",'QA Log'!L:L,"*Vignette [5] Labor*"),
    COUNTIFS('QA Log'!D:D,A277,'QA Log'!M:M,"Vignette",'QA Log'!Z:Z,"Rejected",'QA Log'!L:L,"*Vignette [6] PNC pre Discharge*"),
    COUNTIFS('QA Log'!D:D,A277,'QA Log'!M:M,"Vignette",'QA Log'!Z:Z,"Rejected",'QA Log'!L:L,"*Vignette [7] First ANC Visit*"),
    COUNTIFS('QA Log'!D:D,A277,'QA Log'!M:M,"Vignette",'QA Log'!Z:Z,"Rejected",'QA Log'!L:L,"*Vignette [8] Birth Spacing/ Family Planning :  FP Counselling*"),
    COUNTIFS('QA Log'!D:D,A277,'QA Log'!M:M,"Vignette",'QA Log'!Z:Z,"Rejected",'QA Log'!L:L,"*Vignette [9] Birth Spacing: Change FP method to Injectable*"),
    COUNTIFS('QA Log'!D:D,A277,'QA Log'!M:M,"Vignette",'QA Log'!Z:Z,"Rejected",'QA Log'!L:L,"*Vignette [10] Post Partum Haemorrhage - Atonic Uterus at Health Centre*")
  )
)</f>
        <v/>
      </c>
      <c r="BN277" s="107" t="str">
        <f t="shared" si="37"/>
        <v/>
      </c>
      <c r="BO277" s="103" t="str">
        <f t="shared" si="38"/>
        <v/>
      </c>
      <c r="BP277" s="102" t="str">
        <f>IF(A277="","",SUM(
COUNTIFS('QA Log'!D:D,A277,'QA Log'!M:M,"Vignette",'QA Log'!L:L,"*Exit Interview 1*"),
COUNTIFS('QA Log'!D:D,A277,'QA Log'!M:M,"Vignette",'QA Log'!L:L,"*Exit Interview 2*"),
)
)</f>
        <v/>
      </c>
      <c r="BQ277" s="102" t="str">
        <f>IF(
  A277="","",
  SUM(
    COUNTIFS('QA Log'!D:D,A277,'QA Log'!M:M,"Vignette",'QA Log'!Z:Z,"Approved",'QA Log'!L:L,"*Exit Interview 1*"),
    COUNTIFS('QA Log'!D:D,A277,'QA Log'!M:M,"Vignette",'QA Log'!Z:Z,"Approved",'QA Log'!L:L,"*Exit Interview 2*")
  )
)</f>
        <v/>
      </c>
      <c r="BR277" s="105" t="str">
        <f>IF(A277&lt;&gt;"",COUNTIFS('QA Log'!D:D,A277,'QA Log'!M:M,"Vignette",'QA Log'!L:L,"Exit Interview 1",'QA Log'!Z:Z,"Approved"),"")</f>
        <v/>
      </c>
      <c r="BS277" s="105" t="str">
        <f>IF(A277&lt;&gt;"",COUNTIFS('QA Log'!D:D,A277,'QA Log'!M:M,"Vignette",'QA Log'!L:L,"Exit Interview 2",'QA Log'!Z:Z,"Approved"),"")</f>
        <v/>
      </c>
      <c r="BT277" s="102" t="str">
        <f>IF(
  A277="","",
  SUM(
    COUNTIFS('QA Log'!D:D,A277,'QA Log'!M:M,"Vignette",'QA Log'!Z:Z,"Rejected",'QA Log'!L:L,"*Exit Interview 1*"),
    COUNTIFS('QA Log'!D:D,A277,'QA Log'!M:M,"Vignette",'QA Log'!Z:Z,"Rejected",'QA Log'!L:L,"*Exit Interview 2*")
  )
)</f>
        <v/>
      </c>
      <c r="BU277" s="107" t="str">
        <f t="shared" si="39"/>
        <v/>
      </c>
      <c r="BV277" s="102" t="str">
        <f t="shared" si="40"/>
        <v/>
      </c>
      <c r="BW277" s="102" t="str">
        <f t="shared" si="41"/>
        <v/>
      </c>
      <c r="BX277" s="102" t="str">
        <f t="shared" si="42"/>
        <v/>
      </c>
      <c r="BY277" s="102" t="str">
        <f t="shared" si="43"/>
        <v/>
      </c>
      <c r="BZ277" s="107" t="str">
        <f t="shared" si="44"/>
        <v/>
      </c>
      <c r="CA277" s="108" t="str">
        <f t="shared" si="45"/>
        <v/>
      </c>
      <c r="CB277" s="108" t="str">
        <f t="shared" si="46"/>
        <v/>
      </c>
      <c r="CC277" s="109" t="str">
        <f t="shared" si="47"/>
        <v/>
      </c>
      <c r="CD277" s="108" t="str">
        <f t="shared" si="48"/>
        <v/>
      </c>
      <c r="CE277" s="108" t="str">
        <f t="shared" si="49"/>
        <v/>
      </c>
      <c r="CF277" s="109" t="str">
        <f t="shared" si="50"/>
        <v/>
      </c>
      <c r="CG277" s="110" t="str">
        <f t="shared" si="51"/>
        <v/>
      </c>
      <c r="CH277" s="111"/>
    </row>
    <row r="278" spans="1:86" ht="12.75">
      <c r="A278" s="101"/>
      <c r="B278" s="102" t="e">
        <f t="array" aca="1" ref="B278" ca="1">_xludf.XLOOKUP(A278,'QA Log'!D:D,'QA Log'!E:E,"")</f>
        <v>#NAME?</v>
      </c>
      <c r="C278" s="102" t="e">
        <f t="array" aca="1" ref="C278" ca="1">_xludf.XLOOKUP(A278,'QA Log'!D:D,'QA Log'!F:F,"")</f>
        <v>#NAME?</v>
      </c>
      <c r="D278" s="102" t="e">
        <f t="array" aca="1" ref="D278" ca="1">_xludf.XLOOKUP(A278,'QA Log'!D:D,'QA Log'!H:H,"")</f>
        <v>#NAME?</v>
      </c>
      <c r="E278" s="102" t="e">
        <f t="array" aca="1" ref="E278" ca="1">_xludf.XLOOKUP(A278,'QA Log'!D:D,'QA Log'!G:G,"")</f>
        <v>#NAME?</v>
      </c>
      <c r="F278" s="103"/>
      <c r="G278" s="104"/>
      <c r="H278" s="104"/>
      <c r="I278" s="103" t="str">
        <f t="shared" si="26"/>
        <v/>
      </c>
      <c r="J278" s="102" t="str">
        <f>IF(A278="","",SUM(
COUNTIFS('QA Log'!D:D,A278,'QA Log'!M:M,"QQC",'QA Log'!L:L,"*1. General Management*"),
COUNTIFS('QA Log'!D:D,A278,'QA Log'!M:M,"QQC",'QA Log'!L:L,"*3. Curative Consultation (OPD)*"),
COUNTIFS('QA Log'!D:D,A278,'QA Log'!M:M,"QQC",'QA Log'!L:L,"*5. Laboratory*"),
COUNTIFS('QA Log'!D:D,A278,'QA Log'!M:M,"QQC",'QA Log'!L:L,"*6. Essential Medicine Management*"),
COUNTIFS('QA Log'!D:D,A278,'QA Log'!M:M,"QQC",'QA Log'!L:L,"*7. Tracer Medicine*"),
COUNTIFS('QA Log'!D:D,A278,'QA Log'!M:M,"QQC",'QA Log'!L:L,"*11. Additional Questions*")))</f>
        <v/>
      </c>
      <c r="K278" s="102" t="str">
        <f>IF(A278="","",SUM(
COUNTIFS('QA Log'!D:D,A278,'QA Log'!M:M,"QQC",'QA Log'!Z:Z,"Approved",'QA Log'!L:L,"*1. General Management*"),
COUNTIFS('QA Log'!D:D,A278,'QA Log'!M:M,"QQC",'QA Log'!Z:Z,"Approved",'QA Log'!L:L,"*3. Curative Consultation (OPD)*"),
COUNTIFS('QA Log'!D:D,A278,'QA Log'!M:M,"QQC",'QA Log'!Z:Z,"Approved",'QA Log'!L:L,"*5. Laboratory*"),
COUNTIFS('QA Log'!D:D,A278,'QA Log'!M:M,"QQC",'QA Log'!Z:Z,"Approved",'QA Log'!L:L,"*6. Essential Medicine Management*"),
COUNTIFS('QA Log'!D:D,A278,'QA Log'!M:M,"QQC",'QA Log'!Z:Z,"Approved",'QA Log'!L:L,"*7. Tracer Medicine*"),
COUNTIFS('QA Log'!D:D,A278,'QA Log'!M:M,"QQC",'QA Log'!Z:Z,"Approved",'QA Log'!L:L,"*11. Additional Questions*")))</f>
        <v/>
      </c>
      <c r="L278" s="105" t="str">
        <f>IF(A278&lt;&gt;"",COUNTIFS('QA Log'!D:D,A278,'QA Log'!M:M,"QQC",'QA Log'!L:L,"1. General Management",'QA Log'!Z:Z,"Approved"),"")</f>
        <v/>
      </c>
      <c r="M278" s="105" t="str">
        <f>IF(A278&lt;&gt;"",COUNTIFS('QA Log'!D:D,A278,'QA Log'!M:M,"QQC",'QA Log'!L:L,"3. Curative Consultation (OPD)",'QA Log'!Z:Z,"Approved"),"")</f>
        <v/>
      </c>
      <c r="N278" s="105" t="str">
        <f>IF(A278&lt;&gt;"",COUNTIFS('QA Log'!D:D,A278,'QA Log'!M:M,"QQC",'QA Log'!L:L,"5. Laboratory",'QA Log'!Z:Z,"Approved"),"")</f>
        <v/>
      </c>
      <c r="O278" s="105" t="str">
        <f>IF(A278&lt;&gt;"",COUNTIFS('QA Log'!D:D,A278,'QA Log'!M:M,"QQC",'QA Log'!L:L,"6. Essential Medicine Management",'QA Log'!Z:Z,"Approved"),"")</f>
        <v/>
      </c>
      <c r="P278" s="105" t="str">
        <f>IF(A278&lt;&gt;"",COUNTIFS('QA Log'!D:D,A278,'QA Log'!M:M,"QQC",'QA Log'!L:L,"7. Tracer Medicine",'QA Log'!Z:Z,"Approved"),"")</f>
        <v/>
      </c>
      <c r="Q278" s="105" t="str">
        <f>IF(A278&lt;&gt;"",COUNTIFS('QA Log'!D:D,A278,'QA Log'!M:M,"QQC",'QA Log'!L:L,"11. Additional Questions",'QA Log'!Z:Z,"Approved"),"")</f>
        <v/>
      </c>
      <c r="R278" s="102" t="str">
        <f>IF(A278="","",SUM(
COUNTIFS('QA Log'!D:D,A278,'QA Log'!M:M,"QQC",'QA Log'!Z:Z,"Rejected",'QA Log'!L:L,"*8. Maternity*"),
COUNTIFS('QA Log'!D:D,A278,'QA Log'!M:M,"QQC",'QA Log'!Z:Z,"Rejected",'QA Log'!L:L,"*EPI*"),
COUNTIFS('QA Log'!D:D,A278,'QA Log'!M:M,"QQC",'QA Log'!Z:Z,"Rejected",'QA Log'!L:L,"*10. Antenatal Care (ANC)*"),
COUNTIFS('QA Log'!D:D,A278,'QA Log'!M:M,"QQC",'QA Log'!Z:Z,"Rejected",'QA Log'!L:L,"*2. Hygiene and Sterilization*"),
COUNTIFS('QA Log'!D:D,A278,'QA Log'!M:M,"QQC",'QA Log'!Z:Z,"Rejected",'QA Log'!L:L,"*Family Planning*")))</f>
        <v/>
      </c>
      <c r="S278" s="106" t="str">
        <f t="shared" si="27"/>
        <v/>
      </c>
      <c r="T278" s="102" t="str">
        <f t="shared" si="28"/>
        <v/>
      </c>
      <c r="U278" s="102" t="str">
        <f>IF(A278="","",
SUM(
COUNTIFS('QA Log'!D:D,A278,'QA Log'!M:M,"QQC",'QA Log'!L:L,"*8. Maternity*"),
COUNTIFS('QA Log'!D:D,A278,'QA Log'!M:M,"QQC",'QA Log'!L:L,"*9. EPI and Pre-school Consultation*"),
COUNTIFS('QA Log'!D:D,A278,'QA Log'!M:M,"QQC",'QA Log'!L:L,"*10. Antenatal Care (ANC)*"),
COUNTIFS('QA Log'!D:D,A278,'QA Log'!M:M,"QQC",'QA Log'!L:L,"*2. Hygiene and Sterilization*"),
COUNTIFS('QA Log'!D:D,A278,'QA Log'!M:M,"QQC",'QA Log'!L:L,"*4. Family Planning*")
))</f>
        <v/>
      </c>
      <c r="V278" s="102" t="str">
        <f>IF(A278="","",
SUM(
COUNTIFS('QA Log'!D:D,A278,'QA Log'!M:M,"QQC",'QA Log'!Z:Z,"Approved",'QA Log'!L:L,"*8. Maternity*"),
COUNTIFS('QA Log'!D:D,A278,'QA Log'!M:M,"QQC",'QA Log'!Z:Z,"Approved",'QA Log'!L:L,"*9. EPI and Pre-school Consultation*"),
COUNTIFS('QA Log'!D:D,A278,'QA Log'!M:M,"QQC",'QA Log'!Z:Z,"Approved",'QA Log'!L:L,"*10. Antenatal Care (ANC)*"),
COUNTIFS('QA Log'!D:D,A278,'QA Log'!M:M,"QQC",'QA Log'!Z:Z,"Approved",'QA Log'!L:L,"*2. Hygiene and Sterilization*"),
COUNTIFS('QA Log'!D:D,A278,'QA Log'!M:M,"QQC",'QA Log'!Z:Z,"Approved",'QA Log'!L:L,"*4. Family Planning*")
))</f>
        <v/>
      </c>
      <c r="W278" s="105" t="str">
        <f>IF(A278&lt;&gt;"",COUNTIFS('QA Log'!D:D,A278,'QA Log'!M:M,"QQC",'QA Log'!L:L,"8. Maternity",'QA Log'!Z:Z,"Approved"),"")</f>
        <v/>
      </c>
      <c r="X278" s="105" t="str">
        <f>IF(A278&lt;&gt;"",COUNTIFS('QA Log'!D:D,A278,'QA Log'!M:M,"QQC",'QA Log'!L:L,"9. EPI and Pre-school Consultation",'QA Log'!Z:Z,"Approved"),"")</f>
        <v/>
      </c>
      <c r="Y278" s="105" t="str">
        <f>IF(A278&lt;&gt;"",COUNTIFS('QA Log'!D:D,A278,'QA Log'!M:M,"QQC",'QA Log'!L:L,"10. Antenatal Care (ANC)",'QA Log'!Z:Z,"Approved"),"")</f>
        <v/>
      </c>
      <c r="Z278" s="105" t="str">
        <f>IF(A278&lt;&gt;"",COUNTIFS('QA Log'!D:D,A278,'QA Log'!M:M,"QQC",'QA Log'!L:L,"2. Hygiene and Sterilization",'QA Log'!Z:Z,"Approved"),"")</f>
        <v/>
      </c>
      <c r="AA278" s="105" t="str">
        <f>IF(A278&lt;&gt;"",COUNTIFS('QA Log'!D:D,A278,'QA Log'!M:M,"QQC",'QA Log'!L:L,"4. Family Planning",'QA Log'!Z:Z,"Approved"),"")</f>
        <v/>
      </c>
      <c r="AB278" s="102" t="str">
        <f>IF(A278="","",
SUM(
COUNTIFS('QA Log'!D:D,A278,'QA Log'!M:M,"QQC",'QA Log'!Z:Z,"Rejected",'QA Log'!L:L,"*8. Maternity*"),
COUNTIFS('QA Log'!D:D,A278,'QA Log'!M:M,"QQC",'QA Log'!Z:Z,"Rejected",'QA Log'!L:L,"*9. EPI and Pre-school Consultation*"),
COUNTIFS('QA Log'!D:D,A278,'QA Log'!M:M,"QQC",'QA Log'!Z:Z,"Rejected",'QA Log'!L:L,"*10. Antenatal Care (ANC)*"),
COUNTIFS('QA Log'!D:D,A278,'QA Log'!M:M,"QQC",'QA Log'!Z:Z,"Rejected",'QA Log'!L:L,"*2. Hygiene and Sterilization*"),
COUNTIFS('QA Log'!D:D,A278,'QA Log'!M:M,"QQC",'QA Log'!Z:Z,"Rejected",'QA Log'!L:L,"*4. Family Planning*")
))</f>
        <v/>
      </c>
      <c r="AC278" s="102" t="str">
        <f t="shared" si="29"/>
        <v/>
      </c>
      <c r="AD278" s="103" t="str">
        <f t="shared" si="30"/>
        <v/>
      </c>
      <c r="AE278" s="102" t="str">
        <f>IF(A278="","",
SUM(
COUNTIFS('QA Log'!D:D,A278,'QA Log'!M:M,"Data Verification",'QA Log'!L:L,"*Medicine (section 2)*"),
COUNTIFS('QA Log'!D:D,A278,'QA Log'!M:M,"Data Verification",'QA Log'!L:L,"*Lab Testing Availability*"),
COUNTIFS('QA Log'!D:D,A278,'QA Log'!M:M,"Data Verification",'QA Log'!L:L,"*Other than P4P (section 6)*"),
COUNTIFS('QA Log'!D:D,A278,'QA Log'!M:M,"Data Verification",'QA Log'!L:L,"*Hospital Governance*")
))</f>
        <v/>
      </c>
      <c r="AF278" s="102" t="str">
        <f>IF(A278="","",
SUM(
COUNTIFS('QA Log'!D:D,A278,'QA Log'!M:M,"Data Verification",'QA Log'!Z:Z,"Approved",'QA Log'!L:L,"*Medicine (section 2)*"),
COUNTIFS('QA Log'!D:D,A278,'QA Log'!M:M,"Data Verification",'QA Log'!Z:Z,"Approved",'QA Log'!L:L,"*Lab Testing Availability*"),
COUNTIFS('QA Log'!D:D,A278,'QA Log'!M:M,"Data Verification",'QA Log'!Z:Z,"Approved",'QA Log'!L:L,"*Other than P4P (section 6)*"),
COUNTIFS('QA Log'!D:D,A278,'QA Log'!M:M,"Data Verification",'QA Log'!Z:Z,"Approved",'QA Log'!L:L,"*Hospital Governance*")
))</f>
        <v/>
      </c>
      <c r="AG278" s="105" t="str">
        <f>IF(A278&lt;&gt;"",COUNTIFS('QA Log'!D:D,A278,'QA Log'!M:M,"Data Verification",'QA Log'!L:L,"Medicine (section 2)",'QA Log'!Z:Z,"Approved"),"")</f>
        <v/>
      </c>
      <c r="AH278" s="105" t="str">
        <f>IF(A278&lt;&gt;"",COUNTIFS('QA Log'!D:D,A278,'QA Log'!M:M,"Data Verification",'QA Log'!L:L,"Lab Testing Availability",'QA Log'!Z:Z,"Approved"),"")</f>
        <v/>
      </c>
      <c r="AI278" s="105" t="str">
        <f>IF(A278&lt;&gt;"",COUNTIFS('QA Log'!D:D,A278,'QA Log'!M:M,"Data Verification",'QA Log'!L:L,"Other than P4P (section 6)",'QA Log'!Z:Z,"Approved"),"")</f>
        <v/>
      </c>
      <c r="AJ278" s="105" t="str">
        <f>IF(A278&lt;&gt;"",COUNTIFS('QA Log'!D:D,A278,'QA Log'!M:M,"Data Verification",'QA Log'!L:L,"Hospital Governance",'QA Log'!Z:Z,"Approved"),"")</f>
        <v/>
      </c>
      <c r="AK278" s="102" t="str">
        <f>IF(A278="","",
SUM(
COUNTIFS('QA Log'!D:D,A278,'QA Log'!M:M,"Data Verification",'QA Log'!Z:Z,"Rejected",'QA Log'!L:L,"*Medicine (section 2)*"),
COUNTIFS('QA Log'!D:D,A278,'QA Log'!M:M,"Data Verification",'QA Log'!Z:Z,"Rejected",'QA Log'!L:L,"*Lab Testing Availability*"),
COUNTIFS('QA Log'!D:D,A278,'QA Log'!M:M,"Data Verification",'QA Log'!Z:Z,"Rejected",'QA Log'!L:L,"*Other than P4P (section 6)*"),
COUNTIFS('QA Log'!D:D,A278,'QA Log'!M:M,"Data Verification",'QA Log'!Z:Z,"Rejected",'QA Log'!L:L,"*Hospital Governance*")
))</f>
        <v/>
      </c>
      <c r="AL278" s="106" t="str">
        <f t="shared" si="31"/>
        <v/>
      </c>
      <c r="AM278" s="102" t="str">
        <f t="shared" si="32"/>
        <v/>
      </c>
      <c r="AN278" s="102" t="str">
        <f>IF(A278="","",
SUM(
COUNTIFS('QA Log'!D:D,A278,'QA Log'!M:M,"Data Verification",'QA Log'!L:L,"*Personnel (section 1)*"),
COUNTIFS('QA Log'!D:D,A278,'QA Log'!M:M,"Data Verification",'QA Log'!L:L,"*Consumable (section 3)*"),
COUNTIFS('QA Log'!D:D,A278,'QA Log'!M:M,"Data Verification",'QA Log'!L:L,"*Equipments (section 4)*")
))</f>
        <v/>
      </c>
      <c r="AO278" s="102" t="str">
        <f>IF(A278="","",
SUM(
COUNTIFS('QA Log'!D:D,A278,'QA Log'!M:M,"Data Verification",'QA Log'!Z:Z,"Approved",'QA Log'!L:L,"*Personnel (section 1)*"),
COUNTIFS('QA Log'!D:D,A278,'QA Log'!M:M,"Data Verification",'QA Log'!Z:Z,"Approved",'QA Log'!L:L,"*Consumable (section 3)*"),
COUNTIFS('QA Log'!D:D,A278,'QA Log'!M:M,"Data Verification",'QA Log'!Z:Z,"Approved",'QA Log'!L:L,"*Equipments (section 4)*")
))</f>
        <v/>
      </c>
      <c r="AP278" s="105" t="str">
        <f>IF(A278&lt;&gt;"",COUNTIFS('QA Log'!D:D,A278,'QA Log'!M:M,"Data Verification",'QA Log'!L:L,"Personnel (section 1)",'QA Log'!Z:Z,"Approved"),"")</f>
        <v/>
      </c>
      <c r="AQ278" s="105" t="str">
        <f>IF(A278&lt;&gt;"",COUNTIFS('QA Log'!D:D,A278,'QA Log'!M:M,"Data Verification",'QA Log'!L:L,"Consumable (section 3)",'QA Log'!Z:Z,"Approved"),"")</f>
        <v/>
      </c>
      <c r="AR278" s="105" t="str">
        <f>IF(A278&lt;&gt;"",COUNTIFS('QA Log'!D:D,A278,'QA Log'!M:M,"Data Verification",'QA Log'!L:L,"Equipments (section 4)",'QA Log'!Z:Z,"Approved"),"")</f>
        <v/>
      </c>
      <c r="AS278" s="102" t="str">
        <f>IF(A278="","",
SUM(
COUNTIFS('QA Log'!D:D,A278,'QA Log'!M:M,"Data Verification",'QA Log'!Z:Z,"Rejected",'QA Log'!L:L,"*Personnel (section 1)*"),
COUNTIFS('QA Log'!D:D,A278,'QA Log'!M:M,"Data Verification",'QA Log'!Z:Z,"Rejected",'QA Log'!L:L,"*Consumable (section 3)*"),
COUNTIFS('QA Log'!D:D,A278,'QA Log'!M:M,"Data Verification",'QA Log'!Z:Z,"Rejected",'QA Log'!L:L,"*Equipments (section 4)*")
))</f>
        <v/>
      </c>
      <c r="AT278" s="102" t="str">
        <f t="shared" si="33"/>
        <v/>
      </c>
      <c r="AU278" s="103" t="str">
        <f t="shared" si="34"/>
        <v/>
      </c>
      <c r="AV278" s="102" t="str">
        <f>IF(A278="","",SUM(
COUNTIFS('QA Log'!D:D,A278,'QA Log'!M:M,"Vignette",'QA Log'!L:L,"*Vignette [1] Respiratory Infection: Pneumonia*"),
COUNTIFS('QA Log'!D:D,A278,'QA Log'!M:M,"Vignette",'QA Log'!L:L,"*Vignette [2]: Diarrhea with Cat B dehydration*"),
COUNTIFS('QA Log'!D:D,A278,'QA Log'!M:M,"Vignette",'QA Log'!L:L,"*Vignette [3] Growth Monitoring and Promotion*"),
COUNTIFS('QA Log'!D:D,A278,'QA Log'!M:M,"Vignette",'QA Log'!L:L,"*Vignette [4]: The management of presumptive TB patient*")
)
)</f>
        <v/>
      </c>
      <c r="AW278" s="102" t="str">
        <f>IF(
  A278="","",
  SUM(
    COUNTIFS('QA Log'!D:D,A278,'QA Log'!M:M,"Vignette",'QA Log'!Z:Z,"Approved",'QA Log'!L:L,"*Vignette [1] Respiratory Infection: Pneumonia*"),
    COUNTIFS('QA Log'!D:D,A278,'QA Log'!M:M,"Vignette",'QA Log'!Z:Z,"Approved",'QA Log'!L:L,"*Vignette [2]: Diarrhea with Cat B dehydration*"),
    COUNTIFS('QA Log'!D:D,A278,'QA Log'!M:M,"Vignette",'QA Log'!Z:Z,"Approved",'QA Log'!L:L,"*Vignette [3] Growth Monitoring and Promotion*"),
    COUNTIFS('QA Log'!D:D,A278,'QA Log'!M:M,"Vignette",'QA Log'!Z:Z,"Approved",'QA Log'!L:L,"*Vignette [4]: The management of presumptive TB patient*")
  )
)</f>
        <v/>
      </c>
      <c r="AX278" s="105" t="str">
        <f>IF(A278&lt;&gt;"",COUNTIFS('QA Log'!D:D,A278,'QA Log'!M:M,"Vignette",'QA Log'!L:L,"Vignette [1] Respiratory Infection: Pneumonia",'QA Log'!Z:Z,"Approved"),"")</f>
        <v/>
      </c>
      <c r="AY278" s="105" t="str">
        <f>IF(A278&lt;&gt;"",COUNTIFS('QA Log'!D:D,A278,'QA Log'!M:M,"Vignette",'QA Log'!L:L,"Vignette [2]: Diarrhea with Cat B dehydration",'QA Log'!Z:Z,"Approved"),"")</f>
        <v/>
      </c>
      <c r="AZ278" s="105" t="str">
        <f>IF(A278&lt;&gt;"",COUNTIFS('QA Log'!D:D,A278,'QA Log'!M:M,"Vignette",'QA Log'!L:L,"Vignette [3] Growth Monitoring and Promotion",'QA Log'!Z:Z,"Approved"),"")</f>
        <v/>
      </c>
      <c r="BA278" s="105" t="str">
        <f>IF(A278&lt;&gt;"",COUNTIFS('QA Log'!D:D,A278,'QA Log'!M:M,"Vignette",'QA Log'!L:L,"Vignette [4]: The management of presumptive TB patient",'QA Log'!Z:Z,"Approved"),"")</f>
        <v/>
      </c>
      <c r="BB278" s="102" t="str">
        <f>IF(A278="","",
  SUM(
    COUNTIFS('QA Log'!D:D,A278,'QA Log'!M:M,"Vignette",'QA Log'!Z:Z,"Rejected",'QA Log'!L:L,"*Vignette [1] Respiratory Infection: Pneumonia*"),
    COUNTIFS('QA Log'!D:D,A278,'QA Log'!M:M,"Vignette",'QA Log'!Z:Z,"Rejected",'QA Log'!L:L,"*Vignette [2]: Diarrhea with Cat B dehydration*"),
    COUNTIFS('QA Log'!D:D,A278,'QA Log'!M:M,"Vignette",'QA Log'!Z:Z,"Rejected",'QA Log'!L:L,"*Vignette [3] Growth Monitoring and Promotion*"),
    COUNTIFS('QA Log'!D:D,A278,'QA Log'!M:M,"Vignette",'QA Log'!Z:Z,"Rejected",'QA Log'!L:L,"*Vignette [4]: The management of presumptive TB patient*")
  )
)</f>
        <v/>
      </c>
      <c r="BC278" s="107" t="str">
        <f t="shared" si="35"/>
        <v/>
      </c>
      <c r="BD278" s="103" t="str">
        <f t="shared" si="36"/>
        <v/>
      </c>
      <c r="BE278" s="102" t="str">
        <f>IF(A278="","",SUM(
COUNTIFS('QA Log'!D:D,A278,'QA Log'!M:M,"Vignette",'QA Log'!L:L,"*Vignette [5] Labor*"),
COUNTIFS('QA Log'!D:D,A278,'QA Log'!M:M,"Vignette",'QA Log'!L:L,"*Vignette [6] PNC pre Discharge*"),
COUNTIFS('QA Log'!D:D,A278,'QA Log'!M:M,"Vignette",'QA Log'!L:L,"*Vignette [7] First ANC Visit*"),
COUNTIFS('QA Log'!D:D,A278,'QA Log'!M:M,"Vignette",'QA Log'!L:L,"*Vignette [8] Birth Spacing/ Family Planning :  FP Counselling*"),
COUNTIFS('QA Log'!D:D,A278,'QA Log'!M:M,"Vignette",'QA Log'!L:L,"*Vignette [9] Birth Spacing: Change FP method to Injectable*"),
COUNTIFS('QA Log'!D:D,A278,'QA Log'!M:M,"Vignette",'QA Log'!L:L,"*Vignette [10] Post Partum Haemorrhage - Atonic Uterus at Health Centre*"),
)
)</f>
        <v/>
      </c>
      <c r="BF278" s="102" t="str">
        <f>IF(A278="","",
  SUM(
    COUNTIFS('QA Log'!D:D,A278,'QA Log'!M:M,"Vignette",'QA Log'!Z:Z,"Approved",'QA Log'!L:L,"*Vignette [5] Labor*"),
    COUNTIFS('QA Log'!D:D,A278,'QA Log'!M:M,"Vignette",'QA Log'!Z:Z,"Approved",'QA Log'!L:L,"*Vignette [6] PNC pre Discharge*"),
    COUNTIFS('QA Log'!D:D,A278,'QA Log'!M:M,"Vignette",'QA Log'!Z:Z,"Approved",'QA Log'!L:L,"*Vignette [7] First ANC Visit*"),
    COUNTIFS('QA Log'!D:D,A278,'QA Log'!M:M,"Vignette",'QA Log'!Z:Z,"Approved",'QA Log'!L:L,"*Vignette [8] Birth Spacing/ Family Planning :  FP Counselling*"),
    COUNTIFS('QA Log'!D:D,A278,'QA Log'!M:M,"Vignette",'QA Log'!Z:Z,"Approved",'QA Log'!L:L,"*Vignette [9] Birth Spacing: Change FP method to Injectable*"),
    COUNTIFS('QA Log'!D:D,A278,'QA Log'!M:M,"Vignette",'QA Log'!Z:Z,"Approved",'QA Log'!L:L,"*Vignette [10] Post Partum Haemorrhage - Atonic Uterus at Health Centre*")
  )
)</f>
        <v/>
      </c>
      <c r="BG278" s="105" t="str">
        <f>IF(A278&lt;&gt;"",COUNTIFS('QA Log'!D:D,A278,'QA Log'!M:M,"Vignette",'QA Log'!L:L,"Vignette [5] Labor",'QA Log'!Z:Z,"Approved"),"")</f>
        <v/>
      </c>
      <c r="BH278" s="105" t="str">
        <f>IF(A278&lt;&gt;"",COUNTIFS('QA Log'!D:D,A278,'QA Log'!M:M,"Vignette",'QA Log'!L:L,"Vignette [6] PNC pre Discharge",'QA Log'!Z:Z,"Approved"),"")</f>
        <v/>
      </c>
      <c r="BI278" s="105" t="str">
        <f>IF(A278&lt;&gt;"",COUNTIFS('QA Log'!D:D,A278,'QA Log'!M:M,"Vignette",'QA Log'!L:L,"Vignette [7] First ANC Visit",'QA Log'!Z:Z,"Approved"),"")</f>
        <v/>
      </c>
      <c r="BJ278" s="105" t="str">
        <f>IF(A278&lt;&gt;"",COUNTIFS('QA Log'!D:D,A278,'QA Log'!M:M,"Vignette",'QA Log'!L:L,"Vignette [8] Birth Spacing/ Family Planning :  FP Counselling",'QA Log'!Z:Z,"Approved"),"")</f>
        <v/>
      </c>
      <c r="BK278" s="105" t="str">
        <f>IF(A278&lt;&gt;"",COUNTIFS('QA Log'!D:D,A278,'QA Log'!M:M,"Vignette",'QA Log'!L:L,"Vignette [9] Birth Spacing: Change FP method to Injectable",'QA Log'!Z:Z,"Approved"),"")</f>
        <v/>
      </c>
      <c r="BL278" s="105" t="str">
        <f>IF(A278&lt;&gt;"",COUNTIFS('QA Log'!D:D,A278,'QA Log'!M:M,"Vignette",'QA Log'!L:L,"Vignette [10] Post Partum Haemorrhage - Atonic Uterus at Health Centre",'QA Log'!Z:Z,"Approved"),"")</f>
        <v/>
      </c>
      <c r="BM278" s="102" t="str">
        <f>IF(A278="","",SUM(
    COUNTIFS('QA Log'!D:D,A278,'QA Log'!M:M,"Vignette",'QA Log'!Z:Z,"Rejected",'QA Log'!L:L,"*Vignette [5] Labor*"),
    COUNTIFS('QA Log'!D:D,A278,'QA Log'!M:M,"Vignette",'QA Log'!Z:Z,"Rejected",'QA Log'!L:L,"*Vignette [6] PNC pre Discharge*"),
    COUNTIFS('QA Log'!D:D,A278,'QA Log'!M:M,"Vignette",'QA Log'!Z:Z,"Rejected",'QA Log'!L:L,"*Vignette [7] First ANC Visit*"),
    COUNTIFS('QA Log'!D:D,A278,'QA Log'!M:M,"Vignette",'QA Log'!Z:Z,"Rejected",'QA Log'!L:L,"*Vignette [8] Birth Spacing/ Family Planning :  FP Counselling*"),
    COUNTIFS('QA Log'!D:D,A278,'QA Log'!M:M,"Vignette",'QA Log'!Z:Z,"Rejected",'QA Log'!L:L,"*Vignette [9] Birth Spacing: Change FP method to Injectable*"),
    COUNTIFS('QA Log'!D:D,A278,'QA Log'!M:M,"Vignette",'QA Log'!Z:Z,"Rejected",'QA Log'!L:L,"*Vignette [10] Post Partum Haemorrhage - Atonic Uterus at Health Centre*")
  )
)</f>
        <v/>
      </c>
      <c r="BN278" s="107" t="str">
        <f t="shared" si="37"/>
        <v/>
      </c>
      <c r="BO278" s="103" t="str">
        <f t="shared" si="38"/>
        <v/>
      </c>
      <c r="BP278" s="102" t="str">
        <f>IF(A278="","",SUM(
COUNTIFS('QA Log'!D:D,A278,'QA Log'!M:M,"Vignette",'QA Log'!L:L,"*Exit Interview 1*"),
COUNTIFS('QA Log'!D:D,A278,'QA Log'!M:M,"Vignette",'QA Log'!L:L,"*Exit Interview 2*"),
)
)</f>
        <v/>
      </c>
      <c r="BQ278" s="102" t="str">
        <f>IF(
  A278="","",
  SUM(
    COUNTIFS('QA Log'!D:D,A278,'QA Log'!M:M,"Vignette",'QA Log'!Z:Z,"Approved",'QA Log'!L:L,"*Exit Interview 1*"),
    COUNTIFS('QA Log'!D:D,A278,'QA Log'!M:M,"Vignette",'QA Log'!Z:Z,"Approved",'QA Log'!L:L,"*Exit Interview 2*")
  )
)</f>
        <v/>
      </c>
      <c r="BR278" s="105" t="str">
        <f>IF(A278&lt;&gt;"",COUNTIFS('QA Log'!D:D,A278,'QA Log'!M:M,"Vignette",'QA Log'!L:L,"Exit Interview 1",'QA Log'!Z:Z,"Approved"),"")</f>
        <v/>
      </c>
      <c r="BS278" s="105" t="str">
        <f>IF(A278&lt;&gt;"",COUNTIFS('QA Log'!D:D,A278,'QA Log'!M:M,"Vignette",'QA Log'!L:L,"Exit Interview 2",'QA Log'!Z:Z,"Approved"),"")</f>
        <v/>
      </c>
      <c r="BT278" s="102" t="str">
        <f>IF(
  A278="","",
  SUM(
    COUNTIFS('QA Log'!D:D,A278,'QA Log'!M:M,"Vignette",'QA Log'!Z:Z,"Rejected",'QA Log'!L:L,"*Exit Interview 1*"),
    COUNTIFS('QA Log'!D:D,A278,'QA Log'!M:M,"Vignette",'QA Log'!Z:Z,"Rejected",'QA Log'!L:L,"*Exit Interview 2*")
  )
)</f>
        <v/>
      </c>
      <c r="BU278" s="107" t="str">
        <f t="shared" si="39"/>
        <v/>
      </c>
      <c r="BV278" s="102" t="str">
        <f t="shared" si="40"/>
        <v/>
      </c>
      <c r="BW278" s="102" t="str">
        <f t="shared" si="41"/>
        <v/>
      </c>
      <c r="BX278" s="102" t="str">
        <f t="shared" si="42"/>
        <v/>
      </c>
      <c r="BY278" s="102" t="str">
        <f t="shared" si="43"/>
        <v/>
      </c>
      <c r="BZ278" s="107" t="str">
        <f t="shared" si="44"/>
        <v/>
      </c>
      <c r="CA278" s="108" t="str">
        <f t="shared" si="45"/>
        <v/>
      </c>
      <c r="CB278" s="108" t="str">
        <f t="shared" si="46"/>
        <v/>
      </c>
      <c r="CC278" s="109" t="str">
        <f t="shared" si="47"/>
        <v/>
      </c>
      <c r="CD278" s="108" t="str">
        <f t="shared" si="48"/>
        <v/>
      </c>
      <c r="CE278" s="108" t="str">
        <f t="shared" si="49"/>
        <v/>
      </c>
      <c r="CF278" s="109" t="str">
        <f t="shared" si="50"/>
        <v/>
      </c>
      <c r="CG278" s="110" t="str">
        <f t="shared" si="51"/>
        <v/>
      </c>
      <c r="CH278" s="111"/>
    </row>
    <row r="279" spans="1:86" ht="12.75">
      <c r="A279" s="101"/>
      <c r="B279" s="102" t="e">
        <f t="array" aca="1" ref="B279" ca="1">_xludf.XLOOKUP(A279,'QA Log'!D:D,'QA Log'!E:E,"")</f>
        <v>#NAME?</v>
      </c>
      <c r="C279" s="102" t="e">
        <f t="array" aca="1" ref="C279" ca="1">_xludf.XLOOKUP(A279,'QA Log'!D:D,'QA Log'!F:F,"")</f>
        <v>#NAME?</v>
      </c>
      <c r="D279" s="102" t="e">
        <f t="array" aca="1" ref="D279" ca="1">_xludf.XLOOKUP(A279,'QA Log'!D:D,'QA Log'!H:H,"")</f>
        <v>#NAME?</v>
      </c>
      <c r="E279" s="102" t="e">
        <f t="array" aca="1" ref="E279" ca="1">_xludf.XLOOKUP(A279,'QA Log'!D:D,'QA Log'!G:G,"")</f>
        <v>#NAME?</v>
      </c>
      <c r="F279" s="103"/>
      <c r="G279" s="104"/>
      <c r="H279" s="104"/>
      <c r="I279" s="103" t="str">
        <f t="shared" si="26"/>
        <v/>
      </c>
      <c r="J279" s="102" t="str">
        <f>IF(A279="","",SUM(
COUNTIFS('QA Log'!D:D,A279,'QA Log'!M:M,"QQC",'QA Log'!L:L,"*1. General Management*"),
COUNTIFS('QA Log'!D:D,A279,'QA Log'!M:M,"QQC",'QA Log'!L:L,"*3. Curative Consultation (OPD)*"),
COUNTIFS('QA Log'!D:D,A279,'QA Log'!M:M,"QQC",'QA Log'!L:L,"*5. Laboratory*"),
COUNTIFS('QA Log'!D:D,A279,'QA Log'!M:M,"QQC",'QA Log'!L:L,"*6. Essential Medicine Management*"),
COUNTIFS('QA Log'!D:D,A279,'QA Log'!M:M,"QQC",'QA Log'!L:L,"*7. Tracer Medicine*"),
COUNTIFS('QA Log'!D:D,A279,'QA Log'!M:M,"QQC",'QA Log'!L:L,"*11. Additional Questions*")))</f>
        <v/>
      </c>
      <c r="K279" s="102" t="str">
        <f>IF(A279="","",SUM(
COUNTIFS('QA Log'!D:D,A279,'QA Log'!M:M,"QQC",'QA Log'!Z:Z,"Approved",'QA Log'!L:L,"*1. General Management*"),
COUNTIFS('QA Log'!D:D,A279,'QA Log'!M:M,"QQC",'QA Log'!Z:Z,"Approved",'QA Log'!L:L,"*3. Curative Consultation (OPD)*"),
COUNTIFS('QA Log'!D:D,A279,'QA Log'!M:M,"QQC",'QA Log'!Z:Z,"Approved",'QA Log'!L:L,"*5. Laboratory*"),
COUNTIFS('QA Log'!D:D,A279,'QA Log'!M:M,"QQC",'QA Log'!Z:Z,"Approved",'QA Log'!L:L,"*6. Essential Medicine Management*"),
COUNTIFS('QA Log'!D:D,A279,'QA Log'!M:M,"QQC",'QA Log'!Z:Z,"Approved",'QA Log'!L:L,"*7. Tracer Medicine*"),
COUNTIFS('QA Log'!D:D,A279,'QA Log'!M:M,"QQC",'QA Log'!Z:Z,"Approved",'QA Log'!L:L,"*11. Additional Questions*")))</f>
        <v/>
      </c>
      <c r="L279" s="105" t="str">
        <f>IF(A279&lt;&gt;"",COUNTIFS('QA Log'!D:D,A279,'QA Log'!M:M,"QQC",'QA Log'!L:L,"1. General Management",'QA Log'!Z:Z,"Approved"),"")</f>
        <v/>
      </c>
      <c r="M279" s="105" t="str">
        <f>IF(A279&lt;&gt;"",COUNTIFS('QA Log'!D:D,A279,'QA Log'!M:M,"QQC",'QA Log'!L:L,"3. Curative Consultation (OPD)",'QA Log'!Z:Z,"Approved"),"")</f>
        <v/>
      </c>
      <c r="N279" s="105" t="str">
        <f>IF(A279&lt;&gt;"",COUNTIFS('QA Log'!D:D,A279,'QA Log'!M:M,"QQC",'QA Log'!L:L,"5. Laboratory",'QA Log'!Z:Z,"Approved"),"")</f>
        <v/>
      </c>
      <c r="O279" s="105" t="str">
        <f>IF(A279&lt;&gt;"",COUNTIFS('QA Log'!D:D,A279,'QA Log'!M:M,"QQC",'QA Log'!L:L,"6. Essential Medicine Management",'QA Log'!Z:Z,"Approved"),"")</f>
        <v/>
      </c>
      <c r="P279" s="105" t="str">
        <f>IF(A279&lt;&gt;"",COUNTIFS('QA Log'!D:D,A279,'QA Log'!M:M,"QQC",'QA Log'!L:L,"7. Tracer Medicine",'QA Log'!Z:Z,"Approved"),"")</f>
        <v/>
      </c>
      <c r="Q279" s="105" t="str">
        <f>IF(A279&lt;&gt;"",COUNTIFS('QA Log'!D:D,A279,'QA Log'!M:M,"QQC",'QA Log'!L:L,"11. Additional Questions",'QA Log'!Z:Z,"Approved"),"")</f>
        <v/>
      </c>
      <c r="R279" s="102" t="str">
        <f>IF(A279="","",SUM(
COUNTIFS('QA Log'!D:D,A279,'QA Log'!M:M,"QQC",'QA Log'!Z:Z,"Rejected",'QA Log'!L:L,"*8. Maternity*"),
COUNTIFS('QA Log'!D:D,A279,'QA Log'!M:M,"QQC",'QA Log'!Z:Z,"Rejected",'QA Log'!L:L,"*EPI*"),
COUNTIFS('QA Log'!D:D,A279,'QA Log'!M:M,"QQC",'QA Log'!Z:Z,"Rejected",'QA Log'!L:L,"*10. Antenatal Care (ANC)*"),
COUNTIFS('QA Log'!D:D,A279,'QA Log'!M:M,"QQC",'QA Log'!Z:Z,"Rejected",'QA Log'!L:L,"*2. Hygiene and Sterilization*"),
COUNTIFS('QA Log'!D:D,A279,'QA Log'!M:M,"QQC",'QA Log'!Z:Z,"Rejected",'QA Log'!L:L,"*Family Planning*")))</f>
        <v/>
      </c>
      <c r="S279" s="106" t="str">
        <f t="shared" si="27"/>
        <v/>
      </c>
      <c r="T279" s="102" t="str">
        <f t="shared" si="28"/>
        <v/>
      </c>
      <c r="U279" s="102" t="str">
        <f>IF(A279="","",
SUM(
COUNTIFS('QA Log'!D:D,A279,'QA Log'!M:M,"QQC",'QA Log'!L:L,"*8. Maternity*"),
COUNTIFS('QA Log'!D:D,A279,'QA Log'!M:M,"QQC",'QA Log'!L:L,"*9. EPI and Pre-school Consultation*"),
COUNTIFS('QA Log'!D:D,A279,'QA Log'!M:M,"QQC",'QA Log'!L:L,"*10. Antenatal Care (ANC)*"),
COUNTIFS('QA Log'!D:D,A279,'QA Log'!M:M,"QQC",'QA Log'!L:L,"*2. Hygiene and Sterilization*"),
COUNTIFS('QA Log'!D:D,A279,'QA Log'!M:M,"QQC",'QA Log'!L:L,"*4. Family Planning*")
))</f>
        <v/>
      </c>
      <c r="V279" s="102" t="str">
        <f>IF(A279="","",
SUM(
COUNTIFS('QA Log'!D:D,A279,'QA Log'!M:M,"QQC",'QA Log'!Z:Z,"Approved",'QA Log'!L:L,"*8. Maternity*"),
COUNTIFS('QA Log'!D:D,A279,'QA Log'!M:M,"QQC",'QA Log'!Z:Z,"Approved",'QA Log'!L:L,"*9. EPI and Pre-school Consultation*"),
COUNTIFS('QA Log'!D:D,A279,'QA Log'!M:M,"QQC",'QA Log'!Z:Z,"Approved",'QA Log'!L:L,"*10. Antenatal Care (ANC)*"),
COUNTIFS('QA Log'!D:D,A279,'QA Log'!M:M,"QQC",'QA Log'!Z:Z,"Approved",'QA Log'!L:L,"*2. Hygiene and Sterilization*"),
COUNTIFS('QA Log'!D:D,A279,'QA Log'!M:M,"QQC",'QA Log'!Z:Z,"Approved",'QA Log'!L:L,"*4. Family Planning*")
))</f>
        <v/>
      </c>
      <c r="W279" s="105" t="str">
        <f>IF(A279&lt;&gt;"",COUNTIFS('QA Log'!D:D,A279,'QA Log'!M:M,"QQC",'QA Log'!L:L,"8. Maternity",'QA Log'!Z:Z,"Approved"),"")</f>
        <v/>
      </c>
      <c r="X279" s="105" t="str">
        <f>IF(A279&lt;&gt;"",COUNTIFS('QA Log'!D:D,A279,'QA Log'!M:M,"QQC",'QA Log'!L:L,"9. EPI and Pre-school Consultation",'QA Log'!Z:Z,"Approved"),"")</f>
        <v/>
      </c>
      <c r="Y279" s="105" t="str">
        <f>IF(A279&lt;&gt;"",COUNTIFS('QA Log'!D:D,A279,'QA Log'!M:M,"QQC",'QA Log'!L:L,"10. Antenatal Care (ANC)",'QA Log'!Z:Z,"Approved"),"")</f>
        <v/>
      </c>
      <c r="Z279" s="105" t="str">
        <f>IF(A279&lt;&gt;"",COUNTIFS('QA Log'!D:D,A279,'QA Log'!M:M,"QQC",'QA Log'!L:L,"2. Hygiene and Sterilization",'QA Log'!Z:Z,"Approved"),"")</f>
        <v/>
      </c>
      <c r="AA279" s="105" t="str">
        <f>IF(A279&lt;&gt;"",COUNTIFS('QA Log'!D:D,A279,'QA Log'!M:M,"QQC",'QA Log'!L:L,"4. Family Planning",'QA Log'!Z:Z,"Approved"),"")</f>
        <v/>
      </c>
      <c r="AB279" s="102" t="str">
        <f>IF(A279="","",
SUM(
COUNTIFS('QA Log'!D:D,A279,'QA Log'!M:M,"QQC",'QA Log'!Z:Z,"Rejected",'QA Log'!L:L,"*8. Maternity*"),
COUNTIFS('QA Log'!D:D,A279,'QA Log'!M:M,"QQC",'QA Log'!Z:Z,"Rejected",'QA Log'!L:L,"*9. EPI and Pre-school Consultation*"),
COUNTIFS('QA Log'!D:D,A279,'QA Log'!M:M,"QQC",'QA Log'!Z:Z,"Rejected",'QA Log'!L:L,"*10. Antenatal Care (ANC)*"),
COUNTIFS('QA Log'!D:D,A279,'QA Log'!M:M,"QQC",'QA Log'!Z:Z,"Rejected",'QA Log'!L:L,"*2. Hygiene and Sterilization*"),
COUNTIFS('QA Log'!D:D,A279,'QA Log'!M:M,"QQC",'QA Log'!Z:Z,"Rejected",'QA Log'!L:L,"*4. Family Planning*")
))</f>
        <v/>
      </c>
      <c r="AC279" s="102" t="str">
        <f t="shared" si="29"/>
        <v/>
      </c>
      <c r="AD279" s="103" t="str">
        <f t="shared" si="30"/>
        <v/>
      </c>
      <c r="AE279" s="102" t="str">
        <f>IF(A279="","",
SUM(
COUNTIFS('QA Log'!D:D,A279,'QA Log'!M:M,"Data Verification",'QA Log'!L:L,"*Medicine (section 2)*"),
COUNTIFS('QA Log'!D:D,A279,'QA Log'!M:M,"Data Verification",'QA Log'!L:L,"*Lab Testing Availability*"),
COUNTIFS('QA Log'!D:D,A279,'QA Log'!M:M,"Data Verification",'QA Log'!L:L,"*Other than P4P (section 6)*"),
COUNTIFS('QA Log'!D:D,A279,'QA Log'!M:M,"Data Verification",'QA Log'!L:L,"*Hospital Governance*")
))</f>
        <v/>
      </c>
      <c r="AF279" s="102" t="str">
        <f>IF(A279="","",
SUM(
COUNTIFS('QA Log'!D:D,A279,'QA Log'!M:M,"Data Verification",'QA Log'!Z:Z,"Approved",'QA Log'!L:L,"*Medicine (section 2)*"),
COUNTIFS('QA Log'!D:D,A279,'QA Log'!M:M,"Data Verification",'QA Log'!Z:Z,"Approved",'QA Log'!L:L,"*Lab Testing Availability*"),
COUNTIFS('QA Log'!D:D,A279,'QA Log'!M:M,"Data Verification",'QA Log'!Z:Z,"Approved",'QA Log'!L:L,"*Other than P4P (section 6)*"),
COUNTIFS('QA Log'!D:D,A279,'QA Log'!M:M,"Data Verification",'QA Log'!Z:Z,"Approved",'QA Log'!L:L,"*Hospital Governance*")
))</f>
        <v/>
      </c>
      <c r="AG279" s="105" t="str">
        <f>IF(A279&lt;&gt;"",COUNTIFS('QA Log'!D:D,A279,'QA Log'!M:M,"Data Verification",'QA Log'!L:L,"Medicine (section 2)",'QA Log'!Z:Z,"Approved"),"")</f>
        <v/>
      </c>
      <c r="AH279" s="105" t="str">
        <f>IF(A279&lt;&gt;"",COUNTIFS('QA Log'!D:D,A279,'QA Log'!M:M,"Data Verification",'QA Log'!L:L,"Lab Testing Availability",'QA Log'!Z:Z,"Approved"),"")</f>
        <v/>
      </c>
      <c r="AI279" s="105" t="str">
        <f>IF(A279&lt;&gt;"",COUNTIFS('QA Log'!D:D,A279,'QA Log'!M:M,"Data Verification",'QA Log'!L:L,"Other than P4P (section 6)",'QA Log'!Z:Z,"Approved"),"")</f>
        <v/>
      </c>
      <c r="AJ279" s="105" t="str">
        <f>IF(A279&lt;&gt;"",COUNTIFS('QA Log'!D:D,A279,'QA Log'!M:M,"Data Verification",'QA Log'!L:L,"Hospital Governance",'QA Log'!Z:Z,"Approved"),"")</f>
        <v/>
      </c>
      <c r="AK279" s="102" t="str">
        <f>IF(A279="","",
SUM(
COUNTIFS('QA Log'!D:D,A279,'QA Log'!M:M,"Data Verification",'QA Log'!Z:Z,"Rejected",'QA Log'!L:L,"*Medicine (section 2)*"),
COUNTIFS('QA Log'!D:D,A279,'QA Log'!M:M,"Data Verification",'QA Log'!Z:Z,"Rejected",'QA Log'!L:L,"*Lab Testing Availability*"),
COUNTIFS('QA Log'!D:D,A279,'QA Log'!M:M,"Data Verification",'QA Log'!Z:Z,"Rejected",'QA Log'!L:L,"*Other than P4P (section 6)*"),
COUNTIFS('QA Log'!D:D,A279,'QA Log'!M:M,"Data Verification",'QA Log'!Z:Z,"Rejected",'QA Log'!L:L,"*Hospital Governance*")
))</f>
        <v/>
      </c>
      <c r="AL279" s="106" t="str">
        <f t="shared" si="31"/>
        <v/>
      </c>
      <c r="AM279" s="102" t="str">
        <f t="shared" si="32"/>
        <v/>
      </c>
      <c r="AN279" s="102" t="str">
        <f>IF(A279="","",
SUM(
COUNTIFS('QA Log'!D:D,A279,'QA Log'!M:M,"Data Verification",'QA Log'!L:L,"*Personnel (section 1)*"),
COUNTIFS('QA Log'!D:D,A279,'QA Log'!M:M,"Data Verification",'QA Log'!L:L,"*Consumable (section 3)*"),
COUNTIFS('QA Log'!D:D,A279,'QA Log'!M:M,"Data Verification",'QA Log'!L:L,"*Equipments (section 4)*")
))</f>
        <v/>
      </c>
      <c r="AO279" s="102" t="str">
        <f>IF(A279="","",
SUM(
COUNTIFS('QA Log'!D:D,A279,'QA Log'!M:M,"Data Verification",'QA Log'!Z:Z,"Approved",'QA Log'!L:L,"*Personnel (section 1)*"),
COUNTIFS('QA Log'!D:D,A279,'QA Log'!M:M,"Data Verification",'QA Log'!Z:Z,"Approved",'QA Log'!L:L,"*Consumable (section 3)*"),
COUNTIFS('QA Log'!D:D,A279,'QA Log'!M:M,"Data Verification",'QA Log'!Z:Z,"Approved",'QA Log'!L:L,"*Equipments (section 4)*")
))</f>
        <v/>
      </c>
      <c r="AP279" s="105" t="str">
        <f>IF(A279&lt;&gt;"",COUNTIFS('QA Log'!D:D,A279,'QA Log'!M:M,"Data Verification",'QA Log'!L:L,"Personnel (section 1)",'QA Log'!Z:Z,"Approved"),"")</f>
        <v/>
      </c>
      <c r="AQ279" s="105" t="str">
        <f>IF(A279&lt;&gt;"",COUNTIFS('QA Log'!D:D,A279,'QA Log'!M:M,"Data Verification",'QA Log'!L:L,"Consumable (section 3)",'QA Log'!Z:Z,"Approved"),"")</f>
        <v/>
      </c>
      <c r="AR279" s="105" t="str">
        <f>IF(A279&lt;&gt;"",COUNTIFS('QA Log'!D:D,A279,'QA Log'!M:M,"Data Verification",'QA Log'!L:L,"Equipments (section 4)",'QA Log'!Z:Z,"Approved"),"")</f>
        <v/>
      </c>
      <c r="AS279" s="102" t="str">
        <f>IF(A279="","",
SUM(
COUNTIFS('QA Log'!D:D,A279,'QA Log'!M:M,"Data Verification",'QA Log'!Z:Z,"Rejected",'QA Log'!L:L,"*Personnel (section 1)*"),
COUNTIFS('QA Log'!D:D,A279,'QA Log'!M:M,"Data Verification",'QA Log'!Z:Z,"Rejected",'QA Log'!L:L,"*Consumable (section 3)*"),
COUNTIFS('QA Log'!D:D,A279,'QA Log'!M:M,"Data Verification",'QA Log'!Z:Z,"Rejected",'QA Log'!L:L,"*Equipments (section 4)*")
))</f>
        <v/>
      </c>
      <c r="AT279" s="102" t="str">
        <f t="shared" si="33"/>
        <v/>
      </c>
      <c r="AU279" s="103" t="str">
        <f t="shared" si="34"/>
        <v/>
      </c>
      <c r="AV279" s="102" t="str">
        <f>IF(A279="","",SUM(
COUNTIFS('QA Log'!D:D,A279,'QA Log'!M:M,"Vignette",'QA Log'!L:L,"*Vignette [1] Respiratory Infection: Pneumonia*"),
COUNTIFS('QA Log'!D:D,A279,'QA Log'!M:M,"Vignette",'QA Log'!L:L,"*Vignette [2]: Diarrhea with Cat B dehydration*"),
COUNTIFS('QA Log'!D:D,A279,'QA Log'!M:M,"Vignette",'QA Log'!L:L,"*Vignette [3] Growth Monitoring and Promotion*"),
COUNTIFS('QA Log'!D:D,A279,'QA Log'!M:M,"Vignette",'QA Log'!L:L,"*Vignette [4]: The management of presumptive TB patient*")
)
)</f>
        <v/>
      </c>
      <c r="AW279" s="102" t="str">
        <f>IF(
  A279="","",
  SUM(
    COUNTIFS('QA Log'!D:D,A279,'QA Log'!M:M,"Vignette",'QA Log'!Z:Z,"Approved",'QA Log'!L:L,"*Vignette [1] Respiratory Infection: Pneumonia*"),
    COUNTIFS('QA Log'!D:D,A279,'QA Log'!M:M,"Vignette",'QA Log'!Z:Z,"Approved",'QA Log'!L:L,"*Vignette [2]: Diarrhea with Cat B dehydration*"),
    COUNTIFS('QA Log'!D:D,A279,'QA Log'!M:M,"Vignette",'QA Log'!Z:Z,"Approved",'QA Log'!L:L,"*Vignette [3] Growth Monitoring and Promotion*"),
    COUNTIFS('QA Log'!D:D,A279,'QA Log'!M:M,"Vignette",'QA Log'!Z:Z,"Approved",'QA Log'!L:L,"*Vignette [4]: The management of presumptive TB patient*")
  )
)</f>
        <v/>
      </c>
      <c r="AX279" s="105" t="str">
        <f>IF(A279&lt;&gt;"",COUNTIFS('QA Log'!D:D,A279,'QA Log'!M:M,"Vignette",'QA Log'!L:L,"Vignette [1] Respiratory Infection: Pneumonia",'QA Log'!Z:Z,"Approved"),"")</f>
        <v/>
      </c>
      <c r="AY279" s="105" t="str">
        <f>IF(A279&lt;&gt;"",COUNTIFS('QA Log'!D:D,A279,'QA Log'!M:M,"Vignette",'QA Log'!L:L,"Vignette [2]: Diarrhea with Cat B dehydration",'QA Log'!Z:Z,"Approved"),"")</f>
        <v/>
      </c>
      <c r="AZ279" s="105" t="str">
        <f>IF(A279&lt;&gt;"",COUNTIFS('QA Log'!D:D,A279,'QA Log'!M:M,"Vignette",'QA Log'!L:L,"Vignette [3] Growth Monitoring and Promotion",'QA Log'!Z:Z,"Approved"),"")</f>
        <v/>
      </c>
      <c r="BA279" s="105" t="str">
        <f>IF(A279&lt;&gt;"",COUNTIFS('QA Log'!D:D,A279,'QA Log'!M:M,"Vignette",'QA Log'!L:L,"Vignette [4]: The management of presumptive TB patient",'QA Log'!Z:Z,"Approved"),"")</f>
        <v/>
      </c>
      <c r="BB279" s="102" t="str">
        <f>IF(A279="","",
  SUM(
    COUNTIFS('QA Log'!D:D,A279,'QA Log'!M:M,"Vignette",'QA Log'!Z:Z,"Rejected",'QA Log'!L:L,"*Vignette [1] Respiratory Infection: Pneumonia*"),
    COUNTIFS('QA Log'!D:D,A279,'QA Log'!M:M,"Vignette",'QA Log'!Z:Z,"Rejected",'QA Log'!L:L,"*Vignette [2]: Diarrhea with Cat B dehydration*"),
    COUNTIFS('QA Log'!D:D,A279,'QA Log'!M:M,"Vignette",'QA Log'!Z:Z,"Rejected",'QA Log'!L:L,"*Vignette [3] Growth Monitoring and Promotion*"),
    COUNTIFS('QA Log'!D:D,A279,'QA Log'!M:M,"Vignette",'QA Log'!Z:Z,"Rejected",'QA Log'!L:L,"*Vignette [4]: The management of presumptive TB patient*")
  )
)</f>
        <v/>
      </c>
      <c r="BC279" s="107" t="str">
        <f t="shared" si="35"/>
        <v/>
      </c>
      <c r="BD279" s="103" t="str">
        <f t="shared" si="36"/>
        <v/>
      </c>
      <c r="BE279" s="102" t="str">
        <f>IF(A279="","",SUM(
COUNTIFS('QA Log'!D:D,A279,'QA Log'!M:M,"Vignette",'QA Log'!L:L,"*Vignette [5] Labor*"),
COUNTIFS('QA Log'!D:D,A279,'QA Log'!M:M,"Vignette",'QA Log'!L:L,"*Vignette [6] PNC pre Discharge*"),
COUNTIFS('QA Log'!D:D,A279,'QA Log'!M:M,"Vignette",'QA Log'!L:L,"*Vignette [7] First ANC Visit*"),
COUNTIFS('QA Log'!D:D,A279,'QA Log'!M:M,"Vignette",'QA Log'!L:L,"*Vignette [8] Birth Spacing/ Family Planning :  FP Counselling*"),
COUNTIFS('QA Log'!D:D,A279,'QA Log'!M:M,"Vignette",'QA Log'!L:L,"*Vignette [9] Birth Spacing: Change FP method to Injectable*"),
COUNTIFS('QA Log'!D:D,A279,'QA Log'!M:M,"Vignette",'QA Log'!L:L,"*Vignette [10] Post Partum Haemorrhage - Atonic Uterus at Health Centre*"),
)
)</f>
        <v/>
      </c>
      <c r="BF279" s="102" t="str">
        <f>IF(A279="","",
  SUM(
    COUNTIFS('QA Log'!D:D,A279,'QA Log'!M:M,"Vignette",'QA Log'!Z:Z,"Approved",'QA Log'!L:L,"*Vignette [5] Labor*"),
    COUNTIFS('QA Log'!D:D,A279,'QA Log'!M:M,"Vignette",'QA Log'!Z:Z,"Approved",'QA Log'!L:L,"*Vignette [6] PNC pre Discharge*"),
    COUNTIFS('QA Log'!D:D,A279,'QA Log'!M:M,"Vignette",'QA Log'!Z:Z,"Approved",'QA Log'!L:L,"*Vignette [7] First ANC Visit*"),
    COUNTIFS('QA Log'!D:D,A279,'QA Log'!M:M,"Vignette",'QA Log'!Z:Z,"Approved",'QA Log'!L:L,"*Vignette [8] Birth Spacing/ Family Planning :  FP Counselling*"),
    COUNTIFS('QA Log'!D:D,A279,'QA Log'!M:M,"Vignette",'QA Log'!Z:Z,"Approved",'QA Log'!L:L,"*Vignette [9] Birth Spacing: Change FP method to Injectable*"),
    COUNTIFS('QA Log'!D:D,A279,'QA Log'!M:M,"Vignette",'QA Log'!Z:Z,"Approved",'QA Log'!L:L,"*Vignette [10] Post Partum Haemorrhage - Atonic Uterus at Health Centre*")
  )
)</f>
        <v/>
      </c>
      <c r="BG279" s="105" t="str">
        <f>IF(A279&lt;&gt;"",COUNTIFS('QA Log'!D:D,A279,'QA Log'!M:M,"Vignette",'QA Log'!L:L,"Vignette [5] Labor",'QA Log'!Z:Z,"Approved"),"")</f>
        <v/>
      </c>
      <c r="BH279" s="105" t="str">
        <f>IF(A279&lt;&gt;"",COUNTIFS('QA Log'!D:D,A279,'QA Log'!M:M,"Vignette",'QA Log'!L:L,"Vignette [6] PNC pre Discharge",'QA Log'!Z:Z,"Approved"),"")</f>
        <v/>
      </c>
      <c r="BI279" s="105" t="str">
        <f>IF(A279&lt;&gt;"",COUNTIFS('QA Log'!D:D,A279,'QA Log'!M:M,"Vignette",'QA Log'!L:L,"Vignette [7] First ANC Visit",'QA Log'!Z:Z,"Approved"),"")</f>
        <v/>
      </c>
      <c r="BJ279" s="105" t="str">
        <f>IF(A279&lt;&gt;"",COUNTIFS('QA Log'!D:D,A279,'QA Log'!M:M,"Vignette",'QA Log'!L:L,"Vignette [8] Birth Spacing/ Family Planning :  FP Counselling",'QA Log'!Z:Z,"Approved"),"")</f>
        <v/>
      </c>
      <c r="BK279" s="105" t="str">
        <f>IF(A279&lt;&gt;"",COUNTIFS('QA Log'!D:D,A279,'QA Log'!M:M,"Vignette",'QA Log'!L:L,"Vignette [9] Birth Spacing: Change FP method to Injectable",'QA Log'!Z:Z,"Approved"),"")</f>
        <v/>
      </c>
      <c r="BL279" s="105" t="str">
        <f>IF(A279&lt;&gt;"",COUNTIFS('QA Log'!D:D,A279,'QA Log'!M:M,"Vignette",'QA Log'!L:L,"Vignette [10] Post Partum Haemorrhage - Atonic Uterus at Health Centre",'QA Log'!Z:Z,"Approved"),"")</f>
        <v/>
      </c>
      <c r="BM279" s="102" t="str">
        <f>IF(A279="","",SUM(
    COUNTIFS('QA Log'!D:D,A279,'QA Log'!M:M,"Vignette",'QA Log'!Z:Z,"Rejected",'QA Log'!L:L,"*Vignette [5] Labor*"),
    COUNTIFS('QA Log'!D:D,A279,'QA Log'!M:M,"Vignette",'QA Log'!Z:Z,"Rejected",'QA Log'!L:L,"*Vignette [6] PNC pre Discharge*"),
    COUNTIFS('QA Log'!D:D,A279,'QA Log'!M:M,"Vignette",'QA Log'!Z:Z,"Rejected",'QA Log'!L:L,"*Vignette [7] First ANC Visit*"),
    COUNTIFS('QA Log'!D:D,A279,'QA Log'!M:M,"Vignette",'QA Log'!Z:Z,"Rejected",'QA Log'!L:L,"*Vignette [8] Birth Spacing/ Family Planning :  FP Counselling*"),
    COUNTIFS('QA Log'!D:D,A279,'QA Log'!M:M,"Vignette",'QA Log'!Z:Z,"Rejected",'QA Log'!L:L,"*Vignette [9] Birth Spacing: Change FP method to Injectable*"),
    COUNTIFS('QA Log'!D:D,A279,'QA Log'!M:M,"Vignette",'QA Log'!Z:Z,"Rejected",'QA Log'!L:L,"*Vignette [10] Post Partum Haemorrhage - Atonic Uterus at Health Centre*")
  )
)</f>
        <v/>
      </c>
      <c r="BN279" s="107" t="str">
        <f t="shared" si="37"/>
        <v/>
      </c>
      <c r="BO279" s="103" t="str">
        <f t="shared" si="38"/>
        <v/>
      </c>
      <c r="BP279" s="102" t="str">
        <f>IF(A279="","",SUM(
COUNTIFS('QA Log'!D:D,A279,'QA Log'!M:M,"Vignette",'QA Log'!L:L,"*Exit Interview 1*"),
COUNTIFS('QA Log'!D:D,A279,'QA Log'!M:M,"Vignette",'QA Log'!L:L,"*Exit Interview 2*"),
)
)</f>
        <v/>
      </c>
      <c r="BQ279" s="102" t="str">
        <f>IF(
  A279="","",
  SUM(
    COUNTIFS('QA Log'!D:D,A279,'QA Log'!M:M,"Vignette",'QA Log'!Z:Z,"Approved",'QA Log'!L:L,"*Exit Interview 1*"),
    COUNTIFS('QA Log'!D:D,A279,'QA Log'!M:M,"Vignette",'QA Log'!Z:Z,"Approved",'QA Log'!L:L,"*Exit Interview 2*")
  )
)</f>
        <v/>
      </c>
      <c r="BR279" s="105" t="str">
        <f>IF(A279&lt;&gt;"",COUNTIFS('QA Log'!D:D,A279,'QA Log'!M:M,"Vignette",'QA Log'!L:L,"Exit Interview 1",'QA Log'!Z:Z,"Approved"),"")</f>
        <v/>
      </c>
      <c r="BS279" s="105" t="str">
        <f>IF(A279&lt;&gt;"",COUNTIFS('QA Log'!D:D,A279,'QA Log'!M:M,"Vignette",'QA Log'!L:L,"Exit Interview 2",'QA Log'!Z:Z,"Approved"),"")</f>
        <v/>
      </c>
      <c r="BT279" s="102" t="str">
        <f>IF(
  A279="","",
  SUM(
    COUNTIFS('QA Log'!D:D,A279,'QA Log'!M:M,"Vignette",'QA Log'!Z:Z,"Rejected",'QA Log'!L:L,"*Exit Interview 1*"),
    COUNTIFS('QA Log'!D:D,A279,'QA Log'!M:M,"Vignette",'QA Log'!Z:Z,"Rejected",'QA Log'!L:L,"*Exit Interview 2*")
  )
)</f>
        <v/>
      </c>
      <c r="BU279" s="107" t="str">
        <f t="shared" si="39"/>
        <v/>
      </c>
      <c r="BV279" s="102" t="str">
        <f t="shared" si="40"/>
        <v/>
      </c>
      <c r="BW279" s="102" t="str">
        <f t="shared" si="41"/>
        <v/>
      </c>
      <c r="BX279" s="102" t="str">
        <f t="shared" si="42"/>
        <v/>
      </c>
      <c r="BY279" s="102" t="str">
        <f t="shared" si="43"/>
        <v/>
      </c>
      <c r="BZ279" s="107" t="str">
        <f t="shared" si="44"/>
        <v/>
      </c>
      <c r="CA279" s="108" t="str">
        <f t="shared" si="45"/>
        <v/>
      </c>
      <c r="CB279" s="108" t="str">
        <f t="shared" si="46"/>
        <v/>
      </c>
      <c r="CC279" s="109" t="str">
        <f t="shared" si="47"/>
        <v/>
      </c>
      <c r="CD279" s="108" t="str">
        <f t="shared" si="48"/>
        <v/>
      </c>
      <c r="CE279" s="108" t="str">
        <f t="shared" si="49"/>
        <v/>
      </c>
      <c r="CF279" s="109" t="str">
        <f t="shared" si="50"/>
        <v/>
      </c>
      <c r="CG279" s="110" t="str">
        <f t="shared" si="51"/>
        <v/>
      </c>
      <c r="CH279" s="111"/>
    </row>
    <row r="280" spans="1:86" ht="12.75">
      <c r="A280" s="101"/>
      <c r="B280" s="102" t="e">
        <f t="array" aca="1" ref="B280" ca="1">_xludf.XLOOKUP(A280,'QA Log'!D:D,'QA Log'!E:E,"")</f>
        <v>#NAME?</v>
      </c>
      <c r="C280" s="102" t="e">
        <f t="array" aca="1" ref="C280" ca="1">_xludf.XLOOKUP(A280,'QA Log'!D:D,'QA Log'!F:F,"")</f>
        <v>#NAME?</v>
      </c>
      <c r="D280" s="102" t="e">
        <f t="array" aca="1" ref="D280" ca="1">_xludf.XLOOKUP(A280,'QA Log'!D:D,'QA Log'!H:H,"")</f>
        <v>#NAME?</v>
      </c>
      <c r="E280" s="102" t="e">
        <f t="array" aca="1" ref="E280" ca="1">_xludf.XLOOKUP(A280,'QA Log'!D:D,'QA Log'!G:G,"")</f>
        <v>#NAME?</v>
      </c>
      <c r="F280" s="103"/>
      <c r="G280" s="104"/>
      <c r="H280" s="104"/>
      <c r="I280" s="103" t="str">
        <f t="shared" si="26"/>
        <v/>
      </c>
      <c r="J280" s="102" t="str">
        <f>IF(A280="","",SUM(
COUNTIFS('QA Log'!D:D,A280,'QA Log'!M:M,"QQC",'QA Log'!L:L,"*1. General Management*"),
COUNTIFS('QA Log'!D:D,A280,'QA Log'!M:M,"QQC",'QA Log'!L:L,"*3. Curative Consultation (OPD)*"),
COUNTIFS('QA Log'!D:D,A280,'QA Log'!M:M,"QQC",'QA Log'!L:L,"*5. Laboratory*"),
COUNTIFS('QA Log'!D:D,A280,'QA Log'!M:M,"QQC",'QA Log'!L:L,"*6. Essential Medicine Management*"),
COUNTIFS('QA Log'!D:D,A280,'QA Log'!M:M,"QQC",'QA Log'!L:L,"*7. Tracer Medicine*"),
COUNTIFS('QA Log'!D:D,A280,'QA Log'!M:M,"QQC",'QA Log'!L:L,"*11. Additional Questions*")))</f>
        <v/>
      </c>
      <c r="K280" s="102" t="str">
        <f>IF(A280="","",SUM(
COUNTIFS('QA Log'!D:D,A280,'QA Log'!M:M,"QQC",'QA Log'!Z:Z,"Approved",'QA Log'!L:L,"*1. General Management*"),
COUNTIFS('QA Log'!D:D,A280,'QA Log'!M:M,"QQC",'QA Log'!Z:Z,"Approved",'QA Log'!L:L,"*3. Curative Consultation (OPD)*"),
COUNTIFS('QA Log'!D:D,A280,'QA Log'!M:M,"QQC",'QA Log'!Z:Z,"Approved",'QA Log'!L:L,"*5. Laboratory*"),
COUNTIFS('QA Log'!D:D,A280,'QA Log'!M:M,"QQC",'QA Log'!Z:Z,"Approved",'QA Log'!L:L,"*6. Essential Medicine Management*"),
COUNTIFS('QA Log'!D:D,A280,'QA Log'!M:M,"QQC",'QA Log'!Z:Z,"Approved",'QA Log'!L:L,"*7. Tracer Medicine*"),
COUNTIFS('QA Log'!D:D,A280,'QA Log'!M:M,"QQC",'QA Log'!Z:Z,"Approved",'QA Log'!L:L,"*11. Additional Questions*")))</f>
        <v/>
      </c>
      <c r="L280" s="105" t="str">
        <f>IF(A280&lt;&gt;"",COUNTIFS('QA Log'!D:D,A280,'QA Log'!M:M,"QQC",'QA Log'!L:L,"1. General Management",'QA Log'!Z:Z,"Approved"),"")</f>
        <v/>
      </c>
      <c r="M280" s="105" t="str">
        <f>IF(A280&lt;&gt;"",COUNTIFS('QA Log'!D:D,A280,'QA Log'!M:M,"QQC",'QA Log'!L:L,"3. Curative Consultation (OPD)",'QA Log'!Z:Z,"Approved"),"")</f>
        <v/>
      </c>
      <c r="N280" s="105" t="str">
        <f>IF(A280&lt;&gt;"",COUNTIFS('QA Log'!D:D,A280,'QA Log'!M:M,"QQC",'QA Log'!L:L,"5. Laboratory",'QA Log'!Z:Z,"Approved"),"")</f>
        <v/>
      </c>
      <c r="O280" s="105" t="str">
        <f>IF(A280&lt;&gt;"",COUNTIFS('QA Log'!D:D,A280,'QA Log'!M:M,"QQC",'QA Log'!L:L,"6. Essential Medicine Management",'QA Log'!Z:Z,"Approved"),"")</f>
        <v/>
      </c>
      <c r="P280" s="105" t="str">
        <f>IF(A280&lt;&gt;"",COUNTIFS('QA Log'!D:D,A280,'QA Log'!M:M,"QQC",'QA Log'!L:L,"7. Tracer Medicine",'QA Log'!Z:Z,"Approved"),"")</f>
        <v/>
      </c>
      <c r="Q280" s="105" t="str">
        <f>IF(A280&lt;&gt;"",COUNTIFS('QA Log'!D:D,A280,'QA Log'!M:M,"QQC",'QA Log'!L:L,"11. Additional Questions",'QA Log'!Z:Z,"Approved"),"")</f>
        <v/>
      </c>
      <c r="R280" s="102" t="str">
        <f>IF(A280="","",SUM(
COUNTIFS('QA Log'!D:D,A280,'QA Log'!M:M,"QQC",'QA Log'!Z:Z,"Rejected",'QA Log'!L:L,"*8. Maternity*"),
COUNTIFS('QA Log'!D:D,A280,'QA Log'!M:M,"QQC",'QA Log'!Z:Z,"Rejected",'QA Log'!L:L,"*EPI*"),
COUNTIFS('QA Log'!D:D,A280,'QA Log'!M:M,"QQC",'QA Log'!Z:Z,"Rejected",'QA Log'!L:L,"*10. Antenatal Care (ANC)*"),
COUNTIFS('QA Log'!D:D,A280,'QA Log'!M:M,"QQC",'QA Log'!Z:Z,"Rejected",'QA Log'!L:L,"*2. Hygiene and Sterilization*"),
COUNTIFS('QA Log'!D:D,A280,'QA Log'!M:M,"QQC",'QA Log'!Z:Z,"Rejected",'QA Log'!L:L,"*Family Planning*")))</f>
        <v/>
      </c>
      <c r="S280" s="106" t="str">
        <f t="shared" si="27"/>
        <v/>
      </c>
      <c r="T280" s="102" t="str">
        <f t="shared" si="28"/>
        <v/>
      </c>
      <c r="U280" s="102" t="str">
        <f>IF(A280="","",
SUM(
COUNTIFS('QA Log'!D:D,A280,'QA Log'!M:M,"QQC",'QA Log'!L:L,"*8. Maternity*"),
COUNTIFS('QA Log'!D:D,A280,'QA Log'!M:M,"QQC",'QA Log'!L:L,"*9. EPI and Pre-school Consultation*"),
COUNTIFS('QA Log'!D:D,A280,'QA Log'!M:M,"QQC",'QA Log'!L:L,"*10. Antenatal Care (ANC)*"),
COUNTIFS('QA Log'!D:D,A280,'QA Log'!M:M,"QQC",'QA Log'!L:L,"*2. Hygiene and Sterilization*"),
COUNTIFS('QA Log'!D:D,A280,'QA Log'!M:M,"QQC",'QA Log'!L:L,"*4. Family Planning*")
))</f>
        <v/>
      </c>
      <c r="V280" s="102" t="str">
        <f>IF(A280="","",
SUM(
COUNTIFS('QA Log'!D:D,A280,'QA Log'!M:M,"QQC",'QA Log'!Z:Z,"Approved",'QA Log'!L:L,"*8. Maternity*"),
COUNTIFS('QA Log'!D:D,A280,'QA Log'!M:M,"QQC",'QA Log'!Z:Z,"Approved",'QA Log'!L:L,"*9. EPI and Pre-school Consultation*"),
COUNTIFS('QA Log'!D:D,A280,'QA Log'!M:M,"QQC",'QA Log'!Z:Z,"Approved",'QA Log'!L:L,"*10. Antenatal Care (ANC)*"),
COUNTIFS('QA Log'!D:D,A280,'QA Log'!M:M,"QQC",'QA Log'!Z:Z,"Approved",'QA Log'!L:L,"*2. Hygiene and Sterilization*"),
COUNTIFS('QA Log'!D:D,A280,'QA Log'!M:M,"QQC",'QA Log'!Z:Z,"Approved",'QA Log'!L:L,"*4. Family Planning*")
))</f>
        <v/>
      </c>
      <c r="W280" s="105" t="str">
        <f>IF(A280&lt;&gt;"",COUNTIFS('QA Log'!D:D,A280,'QA Log'!M:M,"QQC",'QA Log'!L:L,"8. Maternity",'QA Log'!Z:Z,"Approved"),"")</f>
        <v/>
      </c>
      <c r="X280" s="105" t="str">
        <f>IF(A280&lt;&gt;"",COUNTIFS('QA Log'!D:D,A280,'QA Log'!M:M,"QQC",'QA Log'!L:L,"9. EPI and Pre-school Consultation",'QA Log'!Z:Z,"Approved"),"")</f>
        <v/>
      </c>
      <c r="Y280" s="105" t="str">
        <f>IF(A280&lt;&gt;"",COUNTIFS('QA Log'!D:D,A280,'QA Log'!M:M,"QQC",'QA Log'!L:L,"10. Antenatal Care (ANC)",'QA Log'!Z:Z,"Approved"),"")</f>
        <v/>
      </c>
      <c r="Z280" s="105" t="str">
        <f>IF(A280&lt;&gt;"",COUNTIFS('QA Log'!D:D,A280,'QA Log'!M:M,"QQC",'QA Log'!L:L,"2. Hygiene and Sterilization",'QA Log'!Z:Z,"Approved"),"")</f>
        <v/>
      </c>
      <c r="AA280" s="105" t="str">
        <f>IF(A280&lt;&gt;"",COUNTIFS('QA Log'!D:D,A280,'QA Log'!M:M,"QQC",'QA Log'!L:L,"4. Family Planning",'QA Log'!Z:Z,"Approved"),"")</f>
        <v/>
      </c>
      <c r="AB280" s="102" t="str">
        <f>IF(A280="","",
SUM(
COUNTIFS('QA Log'!D:D,A280,'QA Log'!M:M,"QQC",'QA Log'!Z:Z,"Rejected",'QA Log'!L:L,"*8. Maternity*"),
COUNTIFS('QA Log'!D:D,A280,'QA Log'!M:M,"QQC",'QA Log'!Z:Z,"Rejected",'QA Log'!L:L,"*9. EPI and Pre-school Consultation*"),
COUNTIFS('QA Log'!D:D,A280,'QA Log'!M:M,"QQC",'QA Log'!Z:Z,"Rejected",'QA Log'!L:L,"*10. Antenatal Care (ANC)*"),
COUNTIFS('QA Log'!D:D,A280,'QA Log'!M:M,"QQC",'QA Log'!Z:Z,"Rejected",'QA Log'!L:L,"*2. Hygiene and Sterilization*"),
COUNTIFS('QA Log'!D:D,A280,'QA Log'!M:M,"QQC",'QA Log'!Z:Z,"Rejected",'QA Log'!L:L,"*4. Family Planning*")
))</f>
        <v/>
      </c>
      <c r="AC280" s="102" t="str">
        <f t="shared" si="29"/>
        <v/>
      </c>
      <c r="AD280" s="103" t="str">
        <f t="shared" si="30"/>
        <v/>
      </c>
      <c r="AE280" s="102" t="str">
        <f>IF(A280="","",
SUM(
COUNTIFS('QA Log'!D:D,A280,'QA Log'!M:M,"Data Verification",'QA Log'!L:L,"*Medicine (section 2)*"),
COUNTIFS('QA Log'!D:D,A280,'QA Log'!M:M,"Data Verification",'QA Log'!L:L,"*Lab Testing Availability*"),
COUNTIFS('QA Log'!D:D,A280,'QA Log'!M:M,"Data Verification",'QA Log'!L:L,"*Other than P4P (section 6)*"),
COUNTIFS('QA Log'!D:D,A280,'QA Log'!M:M,"Data Verification",'QA Log'!L:L,"*Hospital Governance*")
))</f>
        <v/>
      </c>
      <c r="AF280" s="102" t="str">
        <f>IF(A280="","",
SUM(
COUNTIFS('QA Log'!D:D,A280,'QA Log'!M:M,"Data Verification",'QA Log'!Z:Z,"Approved",'QA Log'!L:L,"*Medicine (section 2)*"),
COUNTIFS('QA Log'!D:D,A280,'QA Log'!M:M,"Data Verification",'QA Log'!Z:Z,"Approved",'QA Log'!L:L,"*Lab Testing Availability*"),
COUNTIFS('QA Log'!D:D,A280,'QA Log'!M:M,"Data Verification",'QA Log'!Z:Z,"Approved",'QA Log'!L:L,"*Other than P4P (section 6)*"),
COUNTIFS('QA Log'!D:D,A280,'QA Log'!M:M,"Data Verification",'QA Log'!Z:Z,"Approved",'QA Log'!L:L,"*Hospital Governance*")
))</f>
        <v/>
      </c>
      <c r="AG280" s="105" t="str">
        <f>IF(A280&lt;&gt;"",COUNTIFS('QA Log'!D:D,A280,'QA Log'!M:M,"Data Verification",'QA Log'!L:L,"Medicine (section 2)",'QA Log'!Z:Z,"Approved"),"")</f>
        <v/>
      </c>
      <c r="AH280" s="105" t="str">
        <f>IF(A280&lt;&gt;"",COUNTIFS('QA Log'!D:D,A280,'QA Log'!M:M,"Data Verification",'QA Log'!L:L,"Lab Testing Availability",'QA Log'!Z:Z,"Approved"),"")</f>
        <v/>
      </c>
      <c r="AI280" s="105" t="str">
        <f>IF(A280&lt;&gt;"",COUNTIFS('QA Log'!D:D,A280,'QA Log'!M:M,"Data Verification",'QA Log'!L:L,"Other than P4P (section 6)",'QA Log'!Z:Z,"Approved"),"")</f>
        <v/>
      </c>
      <c r="AJ280" s="105" t="str">
        <f>IF(A280&lt;&gt;"",COUNTIFS('QA Log'!D:D,A280,'QA Log'!M:M,"Data Verification",'QA Log'!L:L,"Hospital Governance",'QA Log'!Z:Z,"Approved"),"")</f>
        <v/>
      </c>
      <c r="AK280" s="102" t="str">
        <f>IF(A280="","",
SUM(
COUNTIFS('QA Log'!D:D,A280,'QA Log'!M:M,"Data Verification",'QA Log'!Z:Z,"Rejected",'QA Log'!L:L,"*Medicine (section 2)*"),
COUNTIFS('QA Log'!D:D,A280,'QA Log'!M:M,"Data Verification",'QA Log'!Z:Z,"Rejected",'QA Log'!L:L,"*Lab Testing Availability*"),
COUNTIFS('QA Log'!D:D,A280,'QA Log'!M:M,"Data Verification",'QA Log'!Z:Z,"Rejected",'QA Log'!L:L,"*Other than P4P (section 6)*"),
COUNTIFS('QA Log'!D:D,A280,'QA Log'!M:M,"Data Verification",'QA Log'!Z:Z,"Rejected",'QA Log'!L:L,"*Hospital Governance*")
))</f>
        <v/>
      </c>
      <c r="AL280" s="106" t="str">
        <f t="shared" si="31"/>
        <v/>
      </c>
      <c r="AM280" s="102" t="str">
        <f t="shared" si="32"/>
        <v/>
      </c>
      <c r="AN280" s="102" t="str">
        <f>IF(A280="","",
SUM(
COUNTIFS('QA Log'!D:D,A280,'QA Log'!M:M,"Data Verification",'QA Log'!L:L,"*Personnel (section 1)*"),
COUNTIFS('QA Log'!D:D,A280,'QA Log'!M:M,"Data Verification",'QA Log'!L:L,"*Consumable (section 3)*"),
COUNTIFS('QA Log'!D:D,A280,'QA Log'!M:M,"Data Verification",'QA Log'!L:L,"*Equipments (section 4)*")
))</f>
        <v/>
      </c>
      <c r="AO280" s="102" t="str">
        <f>IF(A280="","",
SUM(
COUNTIFS('QA Log'!D:D,A280,'QA Log'!M:M,"Data Verification",'QA Log'!Z:Z,"Approved",'QA Log'!L:L,"*Personnel (section 1)*"),
COUNTIFS('QA Log'!D:D,A280,'QA Log'!M:M,"Data Verification",'QA Log'!Z:Z,"Approved",'QA Log'!L:L,"*Consumable (section 3)*"),
COUNTIFS('QA Log'!D:D,A280,'QA Log'!M:M,"Data Verification",'QA Log'!Z:Z,"Approved",'QA Log'!L:L,"*Equipments (section 4)*")
))</f>
        <v/>
      </c>
      <c r="AP280" s="105" t="str">
        <f>IF(A280&lt;&gt;"",COUNTIFS('QA Log'!D:D,A280,'QA Log'!M:M,"Data Verification",'QA Log'!L:L,"Personnel (section 1)",'QA Log'!Z:Z,"Approved"),"")</f>
        <v/>
      </c>
      <c r="AQ280" s="105" t="str">
        <f>IF(A280&lt;&gt;"",COUNTIFS('QA Log'!D:D,A280,'QA Log'!M:M,"Data Verification",'QA Log'!L:L,"Consumable (section 3)",'QA Log'!Z:Z,"Approved"),"")</f>
        <v/>
      </c>
      <c r="AR280" s="105" t="str">
        <f>IF(A280&lt;&gt;"",COUNTIFS('QA Log'!D:D,A280,'QA Log'!M:M,"Data Verification",'QA Log'!L:L,"Equipments (section 4)",'QA Log'!Z:Z,"Approved"),"")</f>
        <v/>
      </c>
      <c r="AS280" s="102" t="str">
        <f>IF(A280="","",
SUM(
COUNTIFS('QA Log'!D:D,A280,'QA Log'!M:M,"Data Verification",'QA Log'!Z:Z,"Rejected",'QA Log'!L:L,"*Personnel (section 1)*"),
COUNTIFS('QA Log'!D:D,A280,'QA Log'!M:M,"Data Verification",'QA Log'!Z:Z,"Rejected",'QA Log'!L:L,"*Consumable (section 3)*"),
COUNTIFS('QA Log'!D:D,A280,'QA Log'!M:M,"Data Verification",'QA Log'!Z:Z,"Rejected",'QA Log'!L:L,"*Equipments (section 4)*")
))</f>
        <v/>
      </c>
      <c r="AT280" s="102" t="str">
        <f t="shared" si="33"/>
        <v/>
      </c>
      <c r="AU280" s="103" t="str">
        <f t="shared" si="34"/>
        <v/>
      </c>
      <c r="AV280" s="102" t="str">
        <f>IF(A280="","",SUM(
COUNTIFS('QA Log'!D:D,A280,'QA Log'!M:M,"Vignette",'QA Log'!L:L,"*Vignette [1] Respiratory Infection: Pneumonia*"),
COUNTIFS('QA Log'!D:D,A280,'QA Log'!M:M,"Vignette",'QA Log'!L:L,"*Vignette [2]: Diarrhea with Cat B dehydration*"),
COUNTIFS('QA Log'!D:D,A280,'QA Log'!M:M,"Vignette",'QA Log'!L:L,"*Vignette [3] Growth Monitoring and Promotion*"),
COUNTIFS('QA Log'!D:D,A280,'QA Log'!M:M,"Vignette",'QA Log'!L:L,"*Vignette [4]: The management of presumptive TB patient*")
)
)</f>
        <v/>
      </c>
      <c r="AW280" s="102" t="str">
        <f>IF(
  A280="","",
  SUM(
    COUNTIFS('QA Log'!D:D,A280,'QA Log'!M:M,"Vignette",'QA Log'!Z:Z,"Approved",'QA Log'!L:L,"*Vignette [1] Respiratory Infection: Pneumonia*"),
    COUNTIFS('QA Log'!D:D,A280,'QA Log'!M:M,"Vignette",'QA Log'!Z:Z,"Approved",'QA Log'!L:L,"*Vignette [2]: Diarrhea with Cat B dehydration*"),
    COUNTIFS('QA Log'!D:D,A280,'QA Log'!M:M,"Vignette",'QA Log'!Z:Z,"Approved",'QA Log'!L:L,"*Vignette [3] Growth Monitoring and Promotion*"),
    COUNTIFS('QA Log'!D:D,A280,'QA Log'!M:M,"Vignette",'QA Log'!Z:Z,"Approved",'QA Log'!L:L,"*Vignette [4]: The management of presumptive TB patient*")
  )
)</f>
        <v/>
      </c>
      <c r="AX280" s="105" t="str">
        <f>IF(A280&lt;&gt;"",COUNTIFS('QA Log'!D:D,A280,'QA Log'!M:M,"Vignette",'QA Log'!L:L,"Vignette [1] Respiratory Infection: Pneumonia",'QA Log'!Z:Z,"Approved"),"")</f>
        <v/>
      </c>
      <c r="AY280" s="105" t="str">
        <f>IF(A280&lt;&gt;"",COUNTIFS('QA Log'!D:D,A280,'QA Log'!M:M,"Vignette",'QA Log'!L:L,"Vignette [2]: Diarrhea with Cat B dehydration",'QA Log'!Z:Z,"Approved"),"")</f>
        <v/>
      </c>
      <c r="AZ280" s="105" t="str">
        <f>IF(A280&lt;&gt;"",COUNTIFS('QA Log'!D:D,A280,'QA Log'!M:M,"Vignette",'QA Log'!L:L,"Vignette [3] Growth Monitoring and Promotion",'QA Log'!Z:Z,"Approved"),"")</f>
        <v/>
      </c>
      <c r="BA280" s="105" t="str">
        <f>IF(A280&lt;&gt;"",COUNTIFS('QA Log'!D:D,A280,'QA Log'!M:M,"Vignette",'QA Log'!L:L,"Vignette [4]: The management of presumptive TB patient",'QA Log'!Z:Z,"Approved"),"")</f>
        <v/>
      </c>
      <c r="BB280" s="102" t="str">
        <f>IF(A280="","",
  SUM(
    COUNTIFS('QA Log'!D:D,A280,'QA Log'!M:M,"Vignette",'QA Log'!Z:Z,"Rejected",'QA Log'!L:L,"*Vignette [1] Respiratory Infection: Pneumonia*"),
    COUNTIFS('QA Log'!D:D,A280,'QA Log'!M:M,"Vignette",'QA Log'!Z:Z,"Rejected",'QA Log'!L:L,"*Vignette [2]: Diarrhea with Cat B dehydration*"),
    COUNTIFS('QA Log'!D:D,A280,'QA Log'!M:M,"Vignette",'QA Log'!Z:Z,"Rejected",'QA Log'!L:L,"*Vignette [3] Growth Monitoring and Promotion*"),
    COUNTIFS('QA Log'!D:D,A280,'QA Log'!M:M,"Vignette",'QA Log'!Z:Z,"Rejected",'QA Log'!L:L,"*Vignette [4]: The management of presumptive TB patient*")
  )
)</f>
        <v/>
      </c>
      <c r="BC280" s="107" t="str">
        <f t="shared" si="35"/>
        <v/>
      </c>
      <c r="BD280" s="103" t="str">
        <f t="shared" si="36"/>
        <v/>
      </c>
      <c r="BE280" s="102" t="str">
        <f>IF(A280="","",SUM(
COUNTIFS('QA Log'!D:D,A280,'QA Log'!M:M,"Vignette",'QA Log'!L:L,"*Vignette [5] Labor*"),
COUNTIFS('QA Log'!D:D,A280,'QA Log'!M:M,"Vignette",'QA Log'!L:L,"*Vignette [6] PNC pre Discharge*"),
COUNTIFS('QA Log'!D:D,A280,'QA Log'!M:M,"Vignette",'QA Log'!L:L,"*Vignette [7] First ANC Visit*"),
COUNTIFS('QA Log'!D:D,A280,'QA Log'!M:M,"Vignette",'QA Log'!L:L,"*Vignette [8] Birth Spacing/ Family Planning :  FP Counselling*"),
COUNTIFS('QA Log'!D:D,A280,'QA Log'!M:M,"Vignette",'QA Log'!L:L,"*Vignette [9] Birth Spacing: Change FP method to Injectable*"),
COUNTIFS('QA Log'!D:D,A280,'QA Log'!M:M,"Vignette",'QA Log'!L:L,"*Vignette [10] Post Partum Haemorrhage - Atonic Uterus at Health Centre*"),
)
)</f>
        <v/>
      </c>
      <c r="BF280" s="102" t="str">
        <f>IF(A280="","",
  SUM(
    COUNTIFS('QA Log'!D:D,A280,'QA Log'!M:M,"Vignette",'QA Log'!Z:Z,"Approved",'QA Log'!L:L,"*Vignette [5] Labor*"),
    COUNTIFS('QA Log'!D:D,A280,'QA Log'!M:M,"Vignette",'QA Log'!Z:Z,"Approved",'QA Log'!L:L,"*Vignette [6] PNC pre Discharge*"),
    COUNTIFS('QA Log'!D:D,A280,'QA Log'!M:M,"Vignette",'QA Log'!Z:Z,"Approved",'QA Log'!L:L,"*Vignette [7] First ANC Visit*"),
    COUNTIFS('QA Log'!D:D,A280,'QA Log'!M:M,"Vignette",'QA Log'!Z:Z,"Approved",'QA Log'!L:L,"*Vignette [8] Birth Spacing/ Family Planning :  FP Counselling*"),
    COUNTIFS('QA Log'!D:D,A280,'QA Log'!M:M,"Vignette",'QA Log'!Z:Z,"Approved",'QA Log'!L:L,"*Vignette [9] Birth Spacing: Change FP method to Injectable*"),
    COUNTIFS('QA Log'!D:D,A280,'QA Log'!M:M,"Vignette",'QA Log'!Z:Z,"Approved",'QA Log'!L:L,"*Vignette [10] Post Partum Haemorrhage - Atonic Uterus at Health Centre*")
  )
)</f>
        <v/>
      </c>
      <c r="BG280" s="105" t="str">
        <f>IF(A280&lt;&gt;"",COUNTIFS('QA Log'!D:D,A280,'QA Log'!M:M,"Vignette",'QA Log'!L:L,"Vignette [5] Labor",'QA Log'!Z:Z,"Approved"),"")</f>
        <v/>
      </c>
      <c r="BH280" s="105" t="str">
        <f>IF(A280&lt;&gt;"",COUNTIFS('QA Log'!D:D,A280,'QA Log'!M:M,"Vignette",'QA Log'!L:L,"Vignette [6] PNC pre Discharge",'QA Log'!Z:Z,"Approved"),"")</f>
        <v/>
      </c>
      <c r="BI280" s="105" t="str">
        <f>IF(A280&lt;&gt;"",COUNTIFS('QA Log'!D:D,A280,'QA Log'!M:M,"Vignette",'QA Log'!L:L,"Vignette [7] First ANC Visit",'QA Log'!Z:Z,"Approved"),"")</f>
        <v/>
      </c>
      <c r="BJ280" s="105" t="str">
        <f>IF(A280&lt;&gt;"",COUNTIFS('QA Log'!D:D,A280,'QA Log'!M:M,"Vignette",'QA Log'!L:L,"Vignette [8] Birth Spacing/ Family Planning :  FP Counselling",'QA Log'!Z:Z,"Approved"),"")</f>
        <v/>
      </c>
      <c r="BK280" s="105" t="str">
        <f>IF(A280&lt;&gt;"",COUNTIFS('QA Log'!D:D,A280,'QA Log'!M:M,"Vignette",'QA Log'!L:L,"Vignette [9] Birth Spacing: Change FP method to Injectable",'QA Log'!Z:Z,"Approved"),"")</f>
        <v/>
      </c>
      <c r="BL280" s="105" t="str">
        <f>IF(A280&lt;&gt;"",COUNTIFS('QA Log'!D:D,A280,'QA Log'!M:M,"Vignette",'QA Log'!L:L,"Vignette [10] Post Partum Haemorrhage - Atonic Uterus at Health Centre",'QA Log'!Z:Z,"Approved"),"")</f>
        <v/>
      </c>
      <c r="BM280" s="102" t="str">
        <f>IF(A280="","",SUM(
    COUNTIFS('QA Log'!D:D,A280,'QA Log'!M:M,"Vignette",'QA Log'!Z:Z,"Rejected",'QA Log'!L:L,"*Vignette [5] Labor*"),
    COUNTIFS('QA Log'!D:D,A280,'QA Log'!M:M,"Vignette",'QA Log'!Z:Z,"Rejected",'QA Log'!L:L,"*Vignette [6] PNC pre Discharge*"),
    COUNTIFS('QA Log'!D:D,A280,'QA Log'!M:M,"Vignette",'QA Log'!Z:Z,"Rejected",'QA Log'!L:L,"*Vignette [7] First ANC Visit*"),
    COUNTIFS('QA Log'!D:D,A280,'QA Log'!M:M,"Vignette",'QA Log'!Z:Z,"Rejected",'QA Log'!L:L,"*Vignette [8] Birth Spacing/ Family Planning :  FP Counselling*"),
    COUNTIFS('QA Log'!D:D,A280,'QA Log'!M:M,"Vignette",'QA Log'!Z:Z,"Rejected",'QA Log'!L:L,"*Vignette [9] Birth Spacing: Change FP method to Injectable*"),
    COUNTIFS('QA Log'!D:D,A280,'QA Log'!M:M,"Vignette",'QA Log'!Z:Z,"Rejected",'QA Log'!L:L,"*Vignette [10] Post Partum Haemorrhage - Atonic Uterus at Health Centre*")
  )
)</f>
        <v/>
      </c>
      <c r="BN280" s="107" t="str">
        <f t="shared" si="37"/>
        <v/>
      </c>
      <c r="BO280" s="103" t="str">
        <f t="shared" si="38"/>
        <v/>
      </c>
      <c r="BP280" s="102" t="str">
        <f>IF(A280="","",SUM(
COUNTIFS('QA Log'!D:D,A280,'QA Log'!M:M,"Vignette",'QA Log'!L:L,"*Exit Interview 1*"),
COUNTIFS('QA Log'!D:D,A280,'QA Log'!M:M,"Vignette",'QA Log'!L:L,"*Exit Interview 2*"),
)
)</f>
        <v/>
      </c>
      <c r="BQ280" s="102" t="str">
        <f>IF(
  A280="","",
  SUM(
    COUNTIFS('QA Log'!D:D,A280,'QA Log'!M:M,"Vignette",'QA Log'!Z:Z,"Approved",'QA Log'!L:L,"*Exit Interview 1*"),
    COUNTIFS('QA Log'!D:D,A280,'QA Log'!M:M,"Vignette",'QA Log'!Z:Z,"Approved",'QA Log'!L:L,"*Exit Interview 2*")
  )
)</f>
        <v/>
      </c>
      <c r="BR280" s="105" t="str">
        <f>IF(A280&lt;&gt;"",COUNTIFS('QA Log'!D:D,A280,'QA Log'!M:M,"Vignette",'QA Log'!L:L,"Exit Interview 1",'QA Log'!Z:Z,"Approved"),"")</f>
        <v/>
      </c>
      <c r="BS280" s="105" t="str">
        <f>IF(A280&lt;&gt;"",COUNTIFS('QA Log'!D:D,A280,'QA Log'!M:M,"Vignette",'QA Log'!L:L,"Exit Interview 2",'QA Log'!Z:Z,"Approved"),"")</f>
        <v/>
      </c>
      <c r="BT280" s="102" t="str">
        <f>IF(
  A280="","",
  SUM(
    COUNTIFS('QA Log'!D:D,A280,'QA Log'!M:M,"Vignette",'QA Log'!Z:Z,"Rejected",'QA Log'!L:L,"*Exit Interview 1*"),
    COUNTIFS('QA Log'!D:D,A280,'QA Log'!M:M,"Vignette",'QA Log'!Z:Z,"Rejected",'QA Log'!L:L,"*Exit Interview 2*")
  )
)</f>
        <v/>
      </c>
      <c r="BU280" s="107" t="str">
        <f t="shared" si="39"/>
        <v/>
      </c>
      <c r="BV280" s="102" t="str">
        <f t="shared" si="40"/>
        <v/>
      </c>
      <c r="BW280" s="102" t="str">
        <f t="shared" si="41"/>
        <v/>
      </c>
      <c r="BX280" s="102" t="str">
        <f t="shared" si="42"/>
        <v/>
      </c>
      <c r="BY280" s="102" t="str">
        <f t="shared" si="43"/>
        <v/>
      </c>
      <c r="BZ280" s="107" t="str">
        <f t="shared" si="44"/>
        <v/>
      </c>
      <c r="CA280" s="108" t="str">
        <f t="shared" si="45"/>
        <v/>
      </c>
      <c r="CB280" s="108" t="str">
        <f t="shared" si="46"/>
        <v/>
      </c>
      <c r="CC280" s="109" t="str">
        <f t="shared" si="47"/>
        <v/>
      </c>
      <c r="CD280" s="108" t="str">
        <f t="shared" si="48"/>
        <v/>
      </c>
      <c r="CE280" s="108" t="str">
        <f t="shared" si="49"/>
        <v/>
      </c>
      <c r="CF280" s="109" t="str">
        <f t="shared" si="50"/>
        <v/>
      </c>
      <c r="CG280" s="110" t="str">
        <f t="shared" si="51"/>
        <v/>
      </c>
      <c r="CH280" s="111"/>
    </row>
    <row r="281" spans="1:86" ht="12.75">
      <c r="A281" s="101"/>
      <c r="B281" s="102" t="e">
        <f t="array" aca="1" ref="B281" ca="1">_xludf.XLOOKUP(A281,'QA Log'!D:D,'QA Log'!E:E,"")</f>
        <v>#NAME?</v>
      </c>
      <c r="C281" s="102" t="e">
        <f t="array" aca="1" ref="C281" ca="1">_xludf.XLOOKUP(A281,'QA Log'!D:D,'QA Log'!F:F,"")</f>
        <v>#NAME?</v>
      </c>
      <c r="D281" s="102" t="e">
        <f t="array" aca="1" ref="D281" ca="1">_xludf.XLOOKUP(A281,'QA Log'!D:D,'QA Log'!H:H,"")</f>
        <v>#NAME?</v>
      </c>
      <c r="E281" s="102" t="e">
        <f t="array" aca="1" ref="E281" ca="1">_xludf.XLOOKUP(A281,'QA Log'!D:D,'QA Log'!G:G,"")</f>
        <v>#NAME?</v>
      </c>
      <c r="F281" s="103"/>
      <c r="G281" s="104"/>
      <c r="H281" s="104"/>
      <c r="I281" s="103" t="str">
        <f t="shared" si="26"/>
        <v/>
      </c>
      <c r="J281" s="102" t="str">
        <f>IF(A281="","",SUM(
COUNTIFS('QA Log'!D:D,A281,'QA Log'!M:M,"QQC",'QA Log'!L:L,"*1. General Management*"),
COUNTIFS('QA Log'!D:D,A281,'QA Log'!M:M,"QQC",'QA Log'!L:L,"*3. Curative Consultation (OPD)*"),
COUNTIFS('QA Log'!D:D,A281,'QA Log'!M:M,"QQC",'QA Log'!L:L,"*5. Laboratory*"),
COUNTIFS('QA Log'!D:D,A281,'QA Log'!M:M,"QQC",'QA Log'!L:L,"*6. Essential Medicine Management*"),
COUNTIFS('QA Log'!D:D,A281,'QA Log'!M:M,"QQC",'QA Log'!L:L,"*7. Tracer Medicine*"),
COUNTIFS('QA Log'!D:D,A281,'QA Log'!M:M,"QQC",'QA Log'!L:L,"*11. Additional Questions*")))</f>
        <v/>
      </c>
      <c r="K281" s="102" t="str">
        <f>IF(A281="","",SUM(
COUNTIFS('QA Log'!D:D,A281,'QA Log'!M:M,"QQC",'QA Log'!Z:Z,"Approved",'QA Log'!L:L,"*1. General Management*"),
COUNTIFS('QA Log'!D:D,A281,'QA Log'!M:M,"QQC",'QA Log'!Z:Z,"Approved",'QA Log'!L:L,"*3. Curative Consultation (OPD)*"),
COUNTIFS('QA Log'!D:D,A281,'QA Log'!M:M,"QQC",'QA Log'!Z:Z,"Approved",'QA Log'!L:L,"*5. Laboratory*"),
COUNTIFS('QA Log'!D:D,A281,'QA Log'!M:M,"QQC",'QA Log'!Z:Z,"Approved",'QA Log'!L:L,"*6. Essential Medicine Management*"),
COUNTIFS('QA Log'!D:D,A281,'QA Log'!M:M,"QQC",'QA Log'!Z:Z,"Approved",'QA Log'!L:L,"*7. Tracer Medicine*"),
COUNTIFS('QA Log'!D:D,A281,'QA Log'!M:M,"QQC",'QA Log'!Z:Z,"Approved",'QA Log'!L:L,"*11. Additional Questions*")))</f>
        <v/>
      </c>
      <c r="L281" s="105" t="str">
        <f>IF(A281&lt;&gt;"",COUNTIFS('QA Log'!D:D,A281,'QA Log'!M:M,"QQC",'QA Log'!L:L,"1. General Management",'QA Log'!Z:Z,"Approved"),"")</f>
        <v/>
      </c>
      <c r="M281" s="105" t="str">
        <f>IF(A281&lt;&gt;"",COUNTIFS('QA Log'!D:D,A281,'QA Log'!M:M,"QQC",'QA Log'!L:L,"3. Curative Consultation (OPD)",'QA Log'!Z:Z,"Approved"),"")</f>
        <v/>
      </c>
      <c r="N281" s="105" t="str">
        <f>IF(A281&lt;&gt;"",COUNTIFS('QA Log'!D:D,A281,'QA Log'!M:M,"QQC",'QA Log'!L:L,"5. Laboratory",'QA Log'!Z:Z,"Approved"),"")</f>
        <v/>
      </c>
      <c r="O281" s="105" t="str">
        <f>IF(A281&lt;&gt;"",COUNTIFS('QA Log'!D:D,A281,'QA Log'!M:M,"QQC",'QA Log'!L:L,"6. Essential Medicine Management",'QA Log'!Z:Z,"Approved"),"")</f>
        <v/>
      </c>
      <c r="P281" s="105" t="str">
        <f>IF(A281&lt;&gt;"",COUNTIFS('QA Log'!D:D,A281,'QA Log'!M:M,"QQC",'QA Log'!L:L,"7. Tracer Medicine",'QA Log'!Z:Z,"Approved"),"")</f>
        <v/>
      </c>
      <c r="Q281" s="105" t="str">
        <f>IF(A281&lt;&gt;"",COUNTIFS('QA Log'!D:D,A281,'QA Log'!M:M,"QQC",'QA Log'!L:L,"11. Additional Questions",'QA Log'!Z:Z,"Approved"),"")</f>
        <v/>
      </c>
      <c r="R281" s="102" t="str">
        <f>IF(A281="","",SUM(
COUNTIFS('QA Log'!D:D,A281,'QA Log'!M:M,"QQC",'QA Log'!Z:Z,"Rejected",'QA Log'!L:L,"*8. Maternity*"),
COUNTIFS('QA Log'!D:D,A281,'QA Log'!M:M,"QQC",'QA Log'!Z:Z,"Rejected",'QA Log'!L:L,"*EPI*"),
COUNTIFS('QA Log'!D:D,A281,'QA Log'!M:M,"QQC",'QA Log'!Z:Z,"Rejected",'QA Log'!L:L,"*10. Antenatal Care (ANC)*"),
COUNTIFS('QA Log'!D:D,A281,'QA Log'!M:M,"QQC",'QA Log'!Z:Z,"Rejected",'QA Log'!L:L,"*2. Hygiene and Sterilization*"),
COUNTIFS('QA Log'!D:D,A281,'QA Log'!M:M,"QQC",'QA Log'!Z:Z,"Rejected",'QA Log'!L:L,"*Family Planning*")))</f>
        <v/>
      </c>
      <c r="S281" s="106" t="str">
        <f t="shared" si="27"/>
        <v/>
      </c>
      <c r="T281" s="102" t="str">
        <f t="shared" si="28"/>
        <v/>
      </c>
      <c r="U281" s="102" t="str">
        <f>IF(A281="","",
SUM(
COUNTIFS('QA Log'!D:D,A281,'QA Log'!M:M,"QQC",'QA Log'!L:L,"*8. Maternity*"),
COUNTIFS('QA Log'!D:D,A281,'QA Log'!M:M,"QQC",'QA Log'!L:L,"*9. EPI and Pre-school Consultation*"),
COUNTIFS('QA Log'!D:D,A281,'QA Log'!M:M,"QQC",'QA Log'!L:L,"*10. Antenatal Care (ANC)*"),
COUNTIFS('QA Log'!D:D,A281,'QA Log'!M:M,"QQC",'QA Log'!L:L,"*2. Hygiene and Sterilization*"),
COUNTIFS('QA Log'!D:D,A281,'QA Log'!M:M,"QQC",'QA Log'!L:L,"*4. Family Planning*")
))</f>
        <v/>
      </c>
      <c r="V281" s="102" t="str">
        <f>IF(A281="","",
SUM(
COUNTIFS('QA Log'!D:D,A281,'QA Log'!M:M,"QQC",'QA Log'!Z:Z,"Approved",'QA Log'!L:L,"*8. Maternity*"),
COUNTIFS('QA Log'!D:D,A281,'QA Log'!M:M,"QQC",'QA Log'!Z:Z,"Approved",'QA Log'!L:L,"*9. EPI and Pre-school Consultation*"),
COUNTIFS('QA Log'!D:D,A281,'QA Log'!M:M,"QQC",'QA Log'!Z:Z,"Approved",'QA Log'!L:L,"*10. Antenatal Care (ANC)*"),
COUNTIFS('QA Log'!D:D,A281,'QA Log'!M:M,"QQC",'QA Log'!Z:Z,"Approved",'QA Log'!L:L,"*2. Hygiene and Sterilization*"),
COUNTIFS('QA Log'!D:D,A281,'QA Log'!M:M,"QQC",'QA Log'!Z:Z,"Approved",'QA Log'!L:L,"*4. Family Planning*")
))</f>
        <v/>
      </c>
      <c r="W281" s="105" t="str">
        <f>IF(A281&lt;&gt;"",COUNTIFS('QA Log'!D:D,A281,'QA Log'!M:M,"QQC",'QA Log'!L:L,"8. Maternity",'QA Log'!Z:Z,"Approved"),"")</f>
        <v/>
      </c>
      <c r="X281" s="105" t="str">
        <f>IF(A281&lt;&gt;"",COUNTIFS('QA Log'!D:D,A281,'QA Log'!M:M,"QQC",'QA Log'!L:L,"9. EPI and Pre-school Consultation",'QA Log'!Z:Z,"Approved"),"")</f>
        <v/>
      </c>
      <c r="Y281" s="105" t="str">
        <f>IF(A281&lt;&gt;"",COUNTIFS('QA Log'!D:D,A281,'QA Log'!M:M,"QQC",'QA Log'!L:L,"10. Antenatal Care (ANC)",'QA Log'!Z:Z,"Approved"),"")</f>
        <v/>
      </c>
      <c r="Z281" s="105" t="str">
        <f>IF(A281&lt;&gt;"",COUNTIFS('QA Log'!D:D,A281,'QA Log'!M:M,"QQC",'QA Log'!L:L,"2. Hygiene and Sterilization",'QA Log'!Z:Z,"Approved"),"")</f>
        <v/>
      </c>
      <c r="AA281" s="105" t="str">
        <f>IF(A281&lt;&gt;"",COUNTIFS('QA Log'!D:D,A281,'QA Log'!M:M,"QQC",'QA Log'!L:L,"4. Family Planning",'QA Log'!Z:Z,"Approved"),"")</f>
        <v/>
      </c>
      <c r="AB281" s="102" t="str">
        <f>IF(A281="","",
SUM(
COUNTIFS('QA Log'!D:D,A281,'QA Log'!M:M,"QQC",'QA Log'!Z:Z,"Rejected",'QA Log'!L:L,"*8. Maternity*"),
COUNTIFS('QA Log'!D:D,A281,'QA Log'!M:M,"QQC",'QA Log'!Z:Z,"Rejected",'QA Log'!L:L,"*9. EPI and Pre-school Consultation*"),
COUNTIFS('QA Log'!D:D,A281,'QA Log'!M:M,"QQC",'QA Log'!Z:Z,"Rejected",'QA Log'!L:L,"*10. Antenatal Care (ANC)*"),
COUNTIFS('QA Log'!D:D,A281,'QA Log'!M:M,"QQC",'QA Log'!Z:Z,"Rejected",'QA Log'!L:L,"*2. Hygiene and Sterilization*"),
COUNTIFS('QA Log'!D:D,A281,'QA Log'!M:M,"QQC",'QA Log'!Z:Z,"Rejected",'QA Log'!L:L,"*4. Family Planning*")
))</f>
        <v/>
      </c>
      <c r="AC281" s="102" t="str">
        <f t="shared" si="29"/>
        <v/>
      </c>
      <c r="AD281" s="103" t="str">
        <f t="shared" si="30"/>
        <v/>
      </c>
      <c r="AE281" s="102" t="str">
        <f>IF(A281="","",
SUM(
COUNTIFS('QA Log'!D:D,A281,'QA Log'!M:M,"Data Verification",'QA Log'!L:L,"*Medicine (section 2)*"),
COUNTIFS('QA Log'!D:D,A281,'QA Log'!M:M,"Data Verification",'QA Log'!L:L,"*Lab Testing Availability*"),
COUNTIFS('QA Log'!D:D,A281,'QA Log'!M:M,"Data Verification",'QA Log'!L:L,"*Other than P4P (section 6)*"),
COUNTIFS('QA Log'!D:D,A281,'QA Log'!M:M,"Data Verification",'QA Log'!L:L,"*Hospital Governance*")
))</f>
        <v/>
      </c>
      <c r="AF281" s="102" t="str">
        <f>IF(A281="","",
SUM(
COUNTIFS('QA Log'!D:D,A281,'QA Log'!M:M,"Data Verification",'QA Log'!Z:Z,"Approved",'QA Log'!L:L,"*Medicine (section 2)*"),
COUNTIFS('QA Log'!D:D,A281,'QA Log'!M:M,"Data Verification",'QA Log'!Z:Z,"Approved",'QA Log'!L:L,"*Lab Testing Availability*"),
COUNTIFS('QA Log'!D:D,A281,'QA Log'!M:M,"Data Verification",'QA Log'!Z:Z,"Approved",'QA Log'!L:L,"*Other than P4P (section 6)*"),
COUNTIFS('QA Log'!D:D,A281,'QA Log'!M:M,"Data Verification",'QA Log'!Z:Z,"Approved",'QA Log'!L:L,"*Hospital Governance*")
))</f>
        <v/>
      </c>
      <c r="AG281" s="105" t="str">
        <f>IF(A281&lt;&gt;"",COUNTIFS('QA Log'!D:D,A281,'QA Log'!M:M,"Data Verification",'QA Log'!L:L,"Medicine (section 2)",'QA Log'!Z:Z,"Approved"),"")</f>
        <v/>
      </c>
      <c r="AH281" s="105" t="str">
        <f>IF(A281&lt;&gt;"",COUNTIFS('QA Log'!D:D,A281,'QA Log'!M:M,"Data Verification",'QA Log'!L:L,"Lab Testing Availability",'QA Log'!Z:Z,"Approved"),"")</f>
        <v/>
      </c>
      <c r="AI281" s="105" t="str">
        <f>IF(A281&lt;&gt;"",COUNTIFS('QA Log'!D:D,A281,'QA Log'!M:M,"Data Verification",'QA Log'!L:L,"Other than P4P (section 6)",'QA Log'!Z:Z,"Approved"),"")</f>
        <v/>
      </c>
      <c r="AJ281" s="105" t="str">
        <f>IF(A281&lt;&gt;"",COUNTIFS('QA Log'!D:D,A281,'QA Log'!M:M,"Data Verification",'QA Log'!L:L,"Hospital Governance",'QA Log'!Z:Z,"Approved"),"")</f>
        <v/>
      </c>
      <c r="AK281" s="102" t="str">
        <f>IF(A281="","",
SUM(
COUNTIFS('QA Log'!D:D,A281,'QA Log'!M:M,"Data Verification",'QA Log'!Z:Z,"Rejected",'QA Log'!L:L,"*Medicine (section 2)*"),
COUNTIFS('QA Log'!D:D,A281,'QA Log'!M:M,"Data Verification",'QA Log'!Z:Z,"Rejected",'QA Log'!L:L,"*Lab Testing Availability*"),
COUNTIFS('QA Log'!D:D,A281,'QA Log'!M:M,"Data Verification",'QA Log'!Z:Z,"Rejected",'QA Log'!L:L,"*Other than P4P (section 6)*"),
COUNTIFS('QA Log'!D:D,A281,'QA Log'!M:M,"Data Verification",'QA Log'!Z:Z,"Rejected",'QA Log'!L:L,"*Hospital Governance*")
))</f>
        <v/>
      </c>
      <c r="AL281" s="106" t="str">
        <f t="shared" si="31"/>
        <v/>
      </c>
      <c r="AM281" s="102" t="str">
        <f t="shared" si="32"/>
        <v/>
      </c>
      <c r="AN281" s="102" t="str">
        <f>IF(A281="","",
SUM(
COUNTIFS('QA Log'!D:D,A281,'QA Log'!M:M,"Data Verification",'QA Log'!L:L,"*Personnel (section 1)*"),
COUNTIFS('QA Log'!D:D,A281,'QA Log'!M:M,"Data Verification",'QA Log'!L:L,"*Consumable (section 3)*"),
COUNTIFS('QA Log'!D:D,A281,'QA Log'!M:M,"Data Verification",'QA Log'!L:L,"*Equipments (section 4)*")
))</f>
        <v/>
      </c>
      <c r="AO281" s="102" t="str">
        <f>IF(A281="","",
SUM(
COUNTIFS('QA Log'!D:D,A281,'QA Log'!M:M,"Data Verification",'QA Log'!Z:Z,"Approved",'QA Log'!L:L,"*Personnel (section 1)*"),
COUNTIFS('QA Log'!D:D,A281,'QA Log'!M:M,"Data Verification",'QA Log'!Z:Z,"Approved",'QA Log'!L:L,"*Consumable (section 3)*"),
COUNTIFS('QA Log'!D:D,A281,'QA Log'!M:M,"Data Verification",'QA Log'!Z:Z,"Approved",'QA Log'!L:L,"*Equipments (section 4)*")
))</f>
        <v/>
      </c>
      <c r="AP281" s="105" t="str">
        <f>IF(A281&lt;&gt;"",COUNTIFS('QA Log'!D:D,A281,'QA Log'!M:M,"Data Verification",'QA Log'!L:L,"Personnel (section 1)",'QA Log'!Z:Z,"Approved"),"")</f>
        <v/>
      </c>
      <c r="AQ281" s="105" t="str">
        <f>IF(A281&lt;&gt;"",COUNTIFS('QA Log'!D:D,A281,'QA Log'!M:M,"Data Verification",'QA Log'!L:L,"Consumable (section 3)",'QA Log'!Z:Z,"Approved"),"")</f>
        <v/>
      </c>
      <c r="AR281" s="105" t="str">
        <f>IF(A281&lt;&gt;"",COUNTIFS('QA Log'!D:D,A281,'QA Log'!M:M,"Data Verification",'QA Log'!L:L,"Equipments (section 4)",'QA Log'!Z:Z,"Approved"),"")</f>
        <v/>
      </c>
      <c r="AS281" s="102" t="str">
        <f>IF(A281="","",
SUM(
COUNTIFS('QA Log'!D:D,A281,'QA Log'!M:M,"Data Verification",'QA Log'!Z:Z,"Rejected",'QA Log'!L:L,"*Personnel (section 1)*"),
COUNTIFS('QA Log'!D:D,A281,'QA Log'!M:M,"Data Verification",'QA Log'!Z:Z,"Rejected",'QA Log'!L:L,"*Consumable (section 3)*"),
COUNTIFS('QA Log'!D:D,A281,'QA Log'!M:M,"Data Verification",'QA Log'!Z:Z,"Rejected",'QA Log'!L:L,"*Equipments (section 4)*")
))</f>
        <v/>
      </c>
      <c r="AT281" s="102" t="str">
        <f t="shared" si="33"/>
        <v/>
      </c>
      <c r="AU281" s="103" t="str">
        <f t="shared" si="34"/>
        <v/>
      </c>
      <c r="AV281" s="102" t="str">
        <f>IF(A281="","",SUM(
COUNTIFS('QA Log'!D:D,A281,'QA Log'!M:M,"Vignette",'QA Log'!L:L,"*Vignette [1] Respiratory Infection: Pneumonia*"),
COUNTIFS('QA Log'!D:D,A281,'QA Log'!M:M,"Vignette",'QA Log'!L:L,"*Vignette [2]: Diarrhea with Cat B dehydration*"),
COUNTIFS('QA Log'!D:D,A281,'QA Log'!M:M,"Vignette",'QA Log'!L:L,"*Vignette [3] Growth Monitoring and Promotion*"),
COUNTIFS('QA Log'!D:D,A281,'QA Log'!M:M,"Vignette",'QA Log'!L:L,"*Vignette [4]: The management of presumptive TB patient*")
)
)</f>
        <v/>
      </c>
      <c r="AW281" s="102" t="str">
        <f>IF(
  A281="","",
  SUM(
    COUNTIFS('QA Log'!D:D,A281,'QA Log'!M:M,"Vignette",'QA Log'!Z:Z,"Approved",'QA Log'!L:L,"*Vignette [1] Respiratory Infection: Pneumonia*"),
    COUNTIFS('QA Log'!D:D,A281,'QA Log'!M:M,"Vignette",'QA Log'!Z:Z,"Approved",'QA Log'!L:L,"*Vignette [2]: Diarrhea with Cat B dehydration*"),
    COUNTIFS('QA Log'!D:D,A281,'QA Log'!M:M,"Vignette",'QA Log'!Z:Z,"Approved",'QA Log'!L:L,"*Vignette [3] Growth Monitoring and Promotion*"),
    COUNTIFS('QA Log'!D:D,A281,'QA Log'!M:M,"Vignette",'QA Log'!Z:Z,"Approved",'QA Log'!L:L,"*Vignette [4]: The management of presumptive TB patient*")
  )
)</f>
        <v/>
      </c>
      <c r="AX281" s="105" t="str">
        <f>IF(A281&lt;&gt;"",COUNTIFS('QA Log'!D:D,A281,'QA Log'!M:M,"Vignette",'QA Log'!L:L,"Vignette [1] Respiratory Infection: Pneumonia",'QA Log'!Z:Z,"Approved"),"")</f>
        <v/>
      </c>
      <c r="AY281" s="105" t="str">
        <f>IF(A281&lt;&gt;"",COUNTIFS('QA Log'!D:D,A281,'QA Log'!M:M,"Vignette",'QA Log'!L:L,"Vignette [2]: Diarrhea with Cat B dehydration",'QA Log'!Z:Z,"Approved"),"")</f>
        <v/>
      </c>
      <c r="AZ281" s="105" t="str">
        <f>IF(A281&lt;&gt;"",COUNTIFS('QA Log'!D:D,A281,'QA Log'!M:M,"Vignette",'QA Log'!L:L,"Vignette [3] Growth Monitoring and Promotion",'QA Log'!Z:Z,"Approved"),"")</f>
        <v/>
      </c>
      <c r="BA281" s="105" t="str">
        <f>IF(A281&lt;&gt;"",COUNTIFS('QA Log'!D:D,A281,'QA Log'!M:M,"Vignette",'QA Log'!L:L,"Vignette [4]: The management of presumptive TB patient",'QA Log'!Z:Z,"Approved"),"")</f>
        <v/>
      </c>
      <c r="BB281" s="102" t="str">
        <f>IF(A281="","",
  SUM(
    COUNTIFS('QA Log'!D:D,A281,'QA Log'!M:M,"Vignette",'QA Log'!Z:Z,"Rejected",'QA Log'!L:L,"*Vignette [1] Respiratory Infection: Pneumonia*"),
    COUNTIFS('QA Log'!D:D,A281,'QA Log'!M:M,"Vignette",'QA Log'!Z:Z,"Rejected",'QA Log'!L:L,"*Vignette [2]: Diarrhea with Cat B dehydration*"),
    COUNTIFS('QA Log'!D:D,A281,'QA Log'!M:M,"Vignette",'QA Log'!Z:Z,"Rejected",'QA Log'!L:L,"*Vignette [3] Growth Monitoring and Promotion*"),
    COUNTIFS('QA Log'!D:D,A281,'QA Log'!M:M,"Vignette",'QA Log'!Z:Z,"Rejected",'QA Log'!L:L,"*Vignette [4]: The management of presumptive TB patient*")
  )
)</f>
        <v/>
      </c>
      <c r="BC281" s="107" t="str">
        <f t="shared" si="35"/>
        <v/>
      </c>
      <c r="BD281" s="103" t="str">
        <f t="shared" si="36"/>
        <v/>
      </c>
      <c r="BE281" s="102" t="str">
        <f>IF(A281="","",SUM(
COUNTIFS('QA Log'!D:D,A281,'QA Log'!M:M,"Vignette",'QA Log'!L:L,"*Vignette [5] Labor*"),
COUNTIFS('QA Log'!D:D,A281,'QA Log'!M:M,"Vignette",'QA Log'!L:L,"*Vignette [6] PNC pre Discharge*"),
COUNTIFS('QA Log'!D:D,A281,'QA Log'!M:M,"Vignette",'QA Log'!L:L,"*Vignette [7] First ANC Visit*"),
COUNTIFS('QA Log'!D:D,A281,'QA Log'!M:M,"Vignette",'QA Log'!L:L,"*Vignette [8] Birth Spacing/ Family Planning :  FP Counselling*"),
COUNTIFS('QA Log'!D:D,A281,'QA Log'!M:M,"Vignette",'QA Log'!L:L,"*Vignette [9] Birth Spacing: Change FP method to Injectable*"),
COUNTIFS('QA Log'!D:D,A281,'QA Log'!M:M,"Vignette",'QA Log'!L:L,"*Vignette [10] Post Partum Haemorrhage - Atonic Uterus at Health Centre*"),
)
)</f>
        <v/>
      </c>
      <c r="BF281" s="102" t="str">
        <f>IF(A281="","",
  SUM(
    COUNTIFS('QA Log'!D:D,A281,'QA Log'!M:M,"Vignette",'QA Log'!Z:Z,"Approved",'QA Log'!L:L,"*Vignette [5] Labor*"),
    COUNTIFS('QA Log'!D:D,A281,'QA Log'!M:M,"Vignette",'QA Log'!Z:Z,"Approved",'QA Log'!L:L,"*Vignette [6] PNC pre Discharge*"),
    COUNTIFS('QA Log'!D:D,A281,'QA Log'!M:M,"Vignette",'QA Log'!Z:Z,"Approved",'QA Log'!L:L,"*Vignette [7] First ANC Visit*"),
    COUNTIFS('QA Log'!D:D,A281,'QA Log'!M:M,"Vignette",'QA Log'!Z:Z,"Approved",'QA Log'!L:L,"*Vignette [8] Birth Spacing/ Family Planning :  FP Counselling*"),
    COUNTIFS('QA Log'!D:D,A281,'QA Log'!M:M,"Vignette",'QA Log'!Z:Z,"Approved",'QA Log'!L:L,"*Vignette [9] Birth Spacing: Change FP method to Injectable*"),
    COUNTIFS('QA Log'!D:D,A281,'QA Log'!M:M,"Vignette",'QA Log'!Z:Z,"Approved",'QA Log'!L:L,"*Vignette [10] Post Partum Haemorrhage - Atonic Uterus at Health Centre*")
  )
)</f>
        <v/>
      </c>
      <c r="BG281" s="105" t="str">
        <f>IF(A281&lt;&gt;"",COUNTIFS('QA Log'!D:D,A281,'QA Log'!M:M,"Vignette",'QA Log'!L:L,"Vignette [5] Labor",'QA Log'!Z:Z,"Approved"),"")</f>
        <v/>
      </c>
      <c r="BH281" s="105" t="str">
        <f>IF(A281&lt;&gt;"",COUNTIFS('QA Log'!D:D,A281,'QA Log'!M:M,"Vignette",'QA Log'!L:L,"Vignette [6] PNC pre Discharge",'QA Log'!Z:Z,"Approved"),"")</f>
        <v/>
      </c>
      <c r="BI281" s="105" t="str">
        <f>IF(A281&lt;&gt;"",COUNTIFS('QA Log'!D:D,A281,'QA Log'!M:M,"Vignette",'QA Log'!L:L,"Vignette [7] First ANC Visit",'QA Log'!Z:Z,"Approved"),"")</f>
        <v/>
      </c>
      <c r="BJ281" s="105" t="str">
        <f>IF(A281&lt;&gt;"",COUNTIFS('QA Log'!D:D,A281,'QA Log'!M:M,"Vignette",'QA Log'!L:L,"Vignette [8] Birth Spacing/ Family Planning :  FP Counselling",'QA Log'!Z:Z,"Approved"),"")</f>
        <v/>
      </c>
      <c r="BK281" s="105" t="str">
        <f>IF(A281&lt;&gt;"",COUNTIFS('QA Log'!D:D,A281,'QA Log'!M:M,"Vignette",'QA Log'!L:L,"Vignette [9] Birth Spacing: Change FP method to Injectable",'QA Log'!Z:Z,"Approved"),"")</f>
        <v/>
      </c>
      <c r="BL281" s="105" t="str">
        <f>IF(A281&lt;&gt;"",COUNTIFS('QA Log'!D:D,A281,'QA Log'!M:M,"Vignette",'QA Log'!L:L,"Vignette [10] Post Partum Haemorrhage - Atonic Uterus at Health Centre",'QA Log'!Z:Z,"Approved"),"")</f>
        <v/>
      </c>
      <c r="BM281" s="102" t="str">
        <f>IF(A281="","",SUM(
    COUNTIFS('QA Log'!D:D,A281,'QA Log'!M:M,"Vignette",'QA Log'!Z:Z,"Rejected",'QA Log'!L:L,"*Vignette [5] Labor*"),
    COUNTIFS('QA Log'!D:D,A281,'QA Log'!M:M,"Vignette",'QA Log'!Z:Z,"Rejected",'QA Log'!L:L,"*Vignette [6] PNC pre Discharge*"),
    COUNTIFS('QA Log'!D:D,A281,'QA Log'!M:M,"Vignette",'QA Log'!Z:Z,"Rejected",'QA Log'!L:L,"*Vignette [7] First ANC Visit*"),
    COUNTIFS('QA Log'!D:D,A281,'QA Log'!M:M,"Vignette",'QA Log'!Z:Z,"Rejected",'QA Log'!L:L,"*Vignette [8] Birth Spacing/ Family Planning :  FP Counselling*"),
    COUNTIFS('QA Log'!D:D,A281,'QA Log'!M:M,"Vignette",'QA Log'!Z:Z,"Rejected",'QA Log'!L:L,"*Vignette [9] Birth Spacing: Change FP method to Injectable*"),
    COUNTIFS('QA Log'!D:D,A281,'QA Log'!M:M,"Vignette",'QA Log'!Z:Z,"Rejected",'QA Log'!L:L,"*Vignette [10] Post Partum Haemorrhage - Atonic Uterus at Health Centre*")
  )
)</f>
        <v/>
      </c>
      <c r="BN281" s="107" t="str">
        <f t="shared" si="37"/>
        <v/>
      </c>
      <c r="BO281" s="103" t="str">
        <f t="shared" si="38"/>
        <v/>
      </c>
      <c r="BP281" s="102" t="str">
        <f>IF(A281="","",SUM(
COUNTIFS('QA Log'!D:D,A281,'QA Log'!M:M,"Vignette",'QA Log'!L:L,"*Exit Interview 1*"),
COUNTIFS('QA Log'!D:D,A281,'QA Log'!M:M,"Vignette",'QA Log'!L:L,"*Exit Interview 2*"),
)
)</f>
        <v/>
      </c>
      <c r="BQ281" s="102" t="str">
        <f>IF(
  A281="","",
  SUM(
    COUNTIFS('QA Log'!D:D,A281,'QA Log'!M:M,"Vignette",'QA Log'!Z:Z,"Approved",'QA Log'!L:L,"*Exit Interview 1*"),
    COUNTIFS('QA Log'!D:D,A281,'QA Log'!M:M,"Vignette",'QA Log'!Z:Z,"Approved",'QA Log'!L:L,"*Exit Interview 2*")
  )
)</f>
        <v/>
      </c>
      <c r="BR281" s="105" t="str">
        <f>IF(A281&lt;&gt;"",COUNTIFS('QA Log'!D:D,A281,'QA Log'!M:M,"Vignette",'QA Log'!L:L,"Exit Interview 1",'QA Log'!Z:Z,"Approved"),"")</f>
        <v/>
      </c>
      <c r="BS281" s="105" t="str">
        <f>IF(A281&lt;&gt;"",COUNTIFS('QA Log'!D:D,A281,'QA Log'!M:M,"Vignette",'QA Log'!L:L,"Exit Interview 2",'QA Log'!Z:Z,"Approved"),"")</f>
        <v/>
      </c>
      <c r="BT281" s="102" t="str">
        <f>IF(
  A281="","",
  SUM(
    COUNTIFS('QA Log'!D:D,A281,'QA Log'!M:M,"Vignette",'QA Log'!Z:Z,"Rejected",'QA Log'!L:L,"*Exit Interview 1*"),
    COUNTIFS('QA Log'!D:D,A281,'QA Log'!M:M,"Vignette",'QA Log'!Z:Z,"Rejected",'QA Log'!L:L,"*Exit Interview 2*")
  )
)</f>
        <v/>
      </c>
      <c r="BU281" s="107" t="str">
        <f t="shared" si="39"/>
        <v/>
      </c>
      <c r="BV281" s="102" t="str">
        <f t="shared" si="40"/>
        <v/>
      </c>
      <c r="BW281" s="102" t="str">
        <f t="shared" si="41"/>
        <v/>
      </c>
      <c r="BX281" s="102" t="str">
        <f t="shared" si="42"/>
        <v/>
      </c>
      <c r="BY281" s="102" t="str">
        <f t="shared" si="43"/>
        <v/>
      </c>
      <c r="BZ281" s="107" t="str">
        <f t="shared" si="44"/>
        <v/>
      </c>
      <c r="CA281" s="108" t="str">
        <f t="shared" si="45"/>
        <v/>
      </c>
      <c r="CB281" s="108" t="str">
        <f t="shared" si="46"/>
        <v/>
      </c>
      <c r="CC281" s="109" t="str">
        <f t="shared" si="47"/>
        <v/>
      </c>
      <c r="CD281" s="108" t="str">
        <f t="shared" si="48"/>
        <v/>
      </c>
      <c r="CE281" s="108" t="str">
        <f t="shared" si="49"/>
        <v/>
      </c>
      <c r="CF281" s="109" t="str">
        <f t="shared" si="50"/>
        <v/>
      </c>
      <c r="CG281" s="110" t="str">
        <f t="shared" si="51"/>
        <v/>
      </c>
      <c r="CH281" s="111"/>
    </row>
    <row r="282" spans="1:86" ht="12.75">
      <c r="A282" s="101"/>
      <c r="B282" s="102" t="e">
        <f t="array" aca="1" ref="B282" ca="1">_xludf.XLOOKUP(A282,'QA Log'!D:D,'QA Log'!E:E,"")</f>
        <v>#NAME?</v>
      </c>
      <c r="C282" s="102" t="e">
        <f t="array" aca="1" ref="C282" ca="1">_xludf.XLOOKUP(A282,'QA Log'!D:D,'QA Log'!F:F,"")</f>
        <v>#NAME?</v>
      </c>
      <c r="D282" s="102" t="e">
        <f t="array" aca="1" ref="D282" ca="1">_xludf.XLOOKUP(A282,'QA Log'!D:D,'QA Log'!H:H,"")</f>
        <v>#NAME?</v>
      </c>
      <c r="E282" s="102" t="e">
        <f t="array" aca="1" ref="E282" ca="1">_xludf.XLOOKUP(A282,'QA Log'!D:D,'QA Log'!G:G,"")</f>
        <v>#NAME?</v>
      </c>
      <c r="F282" s="103"/>
      <c r="G282" s="104"/>
      <c r="H282" s="104"/>
      <c r="I282" s="103" t="str">
        <f t="shared" si="26"/>
        <v/>
      </c>
      <c r="J282" s="102" t="str">
        <f>IF(A282="","",SUM(
COUNTIFS('QA Log'!D:D,A282,'QA Log'!M:M,"QQC",'QA Log'!L:L,"*1. General Management*"),
COUNTIFS('QA Log'!D:D,A282,'QA Log'!M:M,"QQC",'QA Log'!L:L,"*3. Curative Consultation (OPD)*"),
COUNTIFS('QA Log'!D:D,A282,'QA Log'!M:M,"QQC",'QA Log'!L:L,"*5. Laboratory*"),
COUNTIFS('QA Log'!D:D,A282,'QA Log'!M:M,"QQC",'QA Log'!L:L,"*6. Essential Medicine Management*"),
COUNTIFS('QA Log'!D:D,A282,'QA Log'!M:M,"QQC",'QA Log'!L:L,"*7. Tracer Medicine*"),
COUNTIFS('QA Log'!D:D,A282,'QA Log'!M:M,"QQC",'QA Log'!L:L,"*11. Additional Questions*")))</f>
        <v/>
      </c>
      <c r="K282" s="102" t="str">
        <f>IF(A282="","",SUM(
COUNTIFS('QA Log'!D:D,A282,'QA Log'!M:M,"QQC",'QA Log'!Z:Z,"Approved",'QA Log'!L:L,"*1. General Management*"),
COUNTIFS('QA Log'!D:D,A282,'QA Log'!M:M,"QQC",'QA Log'!Z:Z,"Approved",'QA Log'!L:L,"*3. Curative Consultation (OPD)*"),
COUNTIFS('QA Log'!D:D,A282,'QA Log'!M:M,"QQC",'QA Log'!Z:Z,"Approved",'QA Log'!L:L,"*5. Laboratory*"),
COUNTIFS('QA Log'!D:D,A282,'QA Log'!M:M,"QQC",'QA Log'!Z:Z,"Approved",'QA Log'!L:L,"*6. Essential Medicine Management*"),
COUNTIFS('QA Log'!D:D,A282,'QA Log'!M:M,"QQC",'QA Log'!Z:Z,"Approved",'QA Log'!L:L,"*7. Tracer Medicine*"),
COUNTIFS('QA Log'!D:D,A282,'QA Log'!M:M,"QQC",'QA Log'!Z:Z,"Approved",'QA Log'!L:L,"*11. Additional Questions*")))</f>
        <v/>
      </c>
      <c r="L282" s="105" t="str">
        <f>IF(A282&lt;&gt;"",COUNTIFS('QA Log'!D:D,A282,'QA Log'!M:M,"QQC",'QA Log'!L:L,"1. General Management",'QA Log'!Z:Z,"Approved"),"")</f>
        <v/>
      </c>
      <c r="M282" s="105" t="str">
        <f>IF(A282&lt;&gt;"",COUNTIFS('QA Log'!D:D,A282,'QA Log'!M:M,"QQC",'QA Log'!L:L,"3. Curative Consultation (OPD)",'QA Log'!Z:Z,"Approved"),"")</f>
        <v/>
      </c>
      <c r="N282" s="105" t="str">
        <f>IF(A282&lt;&gt;"",COUNTIFS('QA Log'!D:D,A282,'QA Log'!M:M,"QQC",'QA Log'!L:L,"5. Laboratory",'QA Log'!Z:Z,"Approved"),"")</f>
        <v/>
      </c>
      <c r="O282" s="105" t="str">
        <f>IF(A282&lt;&gt;"",COUNTIFS('QA Log'!D:D,A282,'QA Log'!M:M,"QQC",'QA Log'!L:L,"6. Essential Medicine Management",'QA Log'!Z:Z,"Approved"),"")</f>
        <v/>
      </c>
      <c r="P282" s="105" t="str">
        <f>IF(A282&lt;&gt;"",COUNTIFS('QA Log'!D:D,A282,'QA Log'!M:M,"QQC",'QA Log'!L:L,"7. Tracer Medicine",'QA Log'!Z:Z,"Approved"),"")</f>
        <v/>
      </c>
      <c r="Q282" s="105" t="str">
        <f>IF(A282&lt;&gt;"",COUNTIFS('QA Log'!D:D,A282,'QA Log'!M:M,"QQC",'QA Log'!L:L,"11. Additional Questions",'QA Log'!Z:Z,"Approved"),"")</f>
        <v/>
      </c>
      <c r="R282" s="102" t="str">
        <f>IF(A282="","",SUM(
COUNTIFS('QA Log'!D:D,A282,'QA Log'!M:M,"QQC",'QA Log'!Z:Z,"Rejected",'QA Log'!L:L,"*8. Maternity*"),
COUNTIFS('QA Log'!D:D,A282,'QA Log'!M:M,"QQC",'QA Log'!Z:Z,"Rejected",'QA Log'!L:L,"*EPI*"),
COUNTIFS('QA Log'!D:D,A282,'QA Log'!M:M,"QQC",'QA Log'!Z:Z,"Rejected",'QA Log'!L:L,"*10. Antenatal Care (ANC)*"),
COUNTIFS('QA Log'!D:D,A282,'QA Log'!M:M,"QQC",'QA Log'!Z:Z,"Rejected",'QA Log'!L:L,"*2. Hygiene and Sterilization*"),
COUNTIFS('QA Log'!D:D,A282,'QA Log'!M:M,"QQC",'QA Log'!Z:Z,"Rejected",'QA Log'!L:L,"*Family Planning*")))</f>
        <v/>
      </c>
      <c r="S282" s="106" t="str">
        <f t="shared" si="27"/>
        <v/>
      </c>
      <c r="T282" s="102" t="str">
        <f t="shared" si="28"/>
        <v/>
      </c>
      <c r="U282" s="102" t="str">
        <f>IF(A282="","",
SUM(
COUNTIFS('QA Log'!D:D,A282,'QA Log'!M:M,"QQC",'QA Log'!L:L,"*8. Maternity*"),
COUNTIFS('QA Log'!D:D,A282,'QA Log'!M:M,"QQC",'QA Log'!L:L,"*9. EPI and Pre-school Consultation*"),
COUNTIFS('QA Log'!D:D,A282,'QA Log'!M:M,"QQC",'QA Log'!L:L,"*10. Antenatal Care (ANC)*"),
COUNTIFS('QA Log'!D:D,A282,'QA Log'!M:M,"QQC",'QA Log'!L:L,"*2. Hygiene and Sterilization*"),
COUNTIFS('QA Log'!D:D,A282,'QA Log'!M:M,"QQC",'QA Log'!L:L,"*4. Family Planning*")
))</f>
        <v/>
      </c>
      <c r="V282" s="102" t="str">
        <f>IF(A282="","",
SUM(
COUNTIFS('QA Log'!D:D,A282,'QA Log'!M:M,"QQC",'QA Log'!Z:Z,"Approved",'QA Log'!L:L,"*8. Maternity*"),
COUNTIFS('QA Log'!D:D,A282,'QA Log'!M:M,"QQC",'QA Log'!Z:Z,"Approved",'QA Log'!L:L,"*9. EPI and Pre-school Consultation*"),
COUNTIFS('QA Log'!D:D,A282,'QA Log'!M:M,"QQC",'QA Log'!Z:Z,"Approved",'QA Log'!L:L,"*10. Antenatal Care (ANC)*"),
COUNTIFS('QA Log'!D:D,A282,'QA Log'!M:M,"QQC",'QA Log'!Z:Z,"Approved",'QA Log'!L:L,"*2. Hygiene and Sterilization*"),
COUNTIFS('QA Log'!D:D,A282,'QA Log'!M:M,"QQC",'QA Log'!Z:Z,"Approved",'QA Log'!L:L,"*4. Family Planning*")
))</f>
        <v/>
      </c>
      <c r="W282" s="105" t="str">
        <f>IF(A282&lt;&gt;"",COUNTIFS('QA Log'!D:D,A282,'QA Log'!M:M,"QQC",'QA Log'!L:L,"8. Maternity",'QA Log'!Z:Z,"Approved"),"")</f>
        <v/>
      </c>
      <c r="X282" s="105" t="str">
        <f>IF(A282&lt;&gt;"",COUNTIFS('QA Log'!D:D,A282,'QA Log'!M:M,"QQC",'QA Log'!L:L,"9. EPI and Pre-school Consultation",'QA Log'!Z:Z,"Approved"),"")</f>
        <v/>
      </c>
      <c r="Y282" s="105" t="str">
        <f>IF(A282&lt;&gt;"",COUNTIFS('QA Log'!D:D,A282,'QA Log'!M:M,"QQC",'QA Log'!L:L,"10. Antenatal Care (ANC)",'QA Log'!Z:Z,"Approved"),"")</f>
        <v/>
      </c>
      <c r="Z282" s="105" t="str">
        <f>IF(A282&lt;&gt;"",COUNTIFS('QA Log'!D:D,A282,'QA Log'!M:M,"QQC",'QA Log'!L:L,"2. Hygiene and Sterilization",'QA Log'!Z:Z,"Approved"),"")</f>
        <v/>
      </c>
      <c r="AA282" s="105" t="str">
        <f>IF(A282&lt;&gt;"",COUNTIFS('QA Log'!D:D,A282,'QA Log'!M:M,"QQC",'QA Log'!L:L,"4. Family Planning",'QA Log'!Z:Z,"Approved"),"")</f>
        <v/>
      </c>
      <c r="AB282" s="102" t="str">
        <f>IF(A282="","",
SUM(
COUNTIFS('QA Log'!D:D,A282,'QA Log'!M:M,"QQC",'QA Log'!Z:Z,"Rejected",'QA Log'!L:L,"*8. Maternity*"),
COUNTIFS('QA Log'!D:D,A282,'QA Log'!M:M,"QQC",'QA Log'!Z:Z,"Rejected",'QA Log'!L:L,"*9. EPI and Pre-school Consultation*"),
COUNTIFS('QA Log'!D:D,A282,'QA Log'!M:M,"QQC",'QA Log'!Z:Z,"Rejected",'QA Log'!L:L,"*10. Antenatal Care (ANC)*"),
COUNTIFS('QA Log'!D:D,A282,'QA Log'!M:M,"QQC",'QA Log'!Z:Z,"Rejected",'QA Log'!L:L,"*2. Hygiene and Sterilization*"),
COUNTIFS('QA Log'!D:D,A282,'QA Log'!M:M,"QQC",'QA Log'!Z:Z,"Rejected",'QA Log'!L:L,"*4. Family Planning*")
))</f>
        <v/>
      </c>
      <c r="AC282" s="102" t="str">
        <f t="shared" si="29"/>
        <v/>
      </c>
      <c r="AD282" s="103" t="str">
        <f t="shared" si="30"/>
        <v/>
      </c>
      <c r="AE282" s="102" t="str">
        <f>IF(A282="","",
SUM(
COUNTIFS('QA Log'!D:D,A282,'QA Log'!M:M,"Data Verification",'QA Log'!L:L,"*Medicine (section 2)*"),
COUNTIFS('QA Log'!D:D,A282,'QA Log'!M:M,"Data Verification",'QA Log'!L:L,"*Lab Testing Availability*"),
COUNTIFS('QA Log'!D:D,A282,'QA Log'!M:M,"Data Verification",'QA Log'!L:L,"*Other than P4P (section 6)*"),
COUNTIFS('QA Log'!D:D,A282,'QA Log'!M:M,"Data Verification",'QA Log'!L:L,"*Hospital Governance*")
))</f>
        <v/>
      </c>
      <c r="AF282" s="102" t="str">
        <f>IF(A282="","",
SUM(
COUNTIFS('QA Log'!D:D,A282,'QA Log'!M:M,"Data Verification",'QA Log'!Z:Z,"Approved",'QA Log'!L:L,"*Medicine (section 2)*"),
COUNTIFS('QA Log'!D:D,A282,'QA Log'!M:M,"Data Verification",'QA Log'!Z:Z,"Approved",'QA Log'!L:L,"*Lab Testing Availability*"),
COUNTIFS('QA Log'!D:D,A282,'QA Log'!M:M,"Data Verification",'QA Log'!Z:Z,"Approved",'QA Log'!L:L,"*Other than P4P (section 6)*"),
COUNTIFS('QA Log'!D:D,A282,'QA Log'!M:M,"Data Verification",'QA Log'!Z:Z,"Approved",'QA Log'!L:L,"*Hospital Governance*")
))</f>
        <v/>
      </c>
      <c r="AG282" s="105" t="str">
        <f>IF(A282&lt;&gt;"",COUNTIFS('QA Log'!D:D,A282,'QA Log'!M:M,"Data Verification",'QA Log'!L:L,"Medicine (section 2)",'QA Log'!Z:Z,"Approved"),"")</f>
        <v/>
      </c>
      <c r="AH282" s="105" t="str">
        <f>IF(A282&lt;&gt;"",COUNTIFS('QA Log'!D:D,A282,'QA Log'!M:M,"Data Verification",'QA Log'!L:L,"Lab Testing Availability",'QA Log'!Z:Z,"Approved"),"")</f>
        <v/>
      </c>
      <c r="AI282" s="105" t="str">
        <f>IF(A282&lt;&gt;"",COUNTIFS('QA Log'!D:D,A282,'QA Log'!M:M,"Data Verification",'QA Log'!L:L,"Other than P4P (section 6)",'QA Log'!Z:Z,"Approved"),"")</f>
        <v/>
      </c>
      <c r="AJ282" s="105" t="str">
        <f>IF(A282&lt;&gt;"",COUNTIFS('QA Log'!D:D,A282,'QA Log'!M:M,"Data Verification",'QA Log'!L:L,"Hospital Governance",'QA Log'!Z:Z,"Approved"),"")</f>
        <v/>
      </c>
      <c r="AK282" s="102" t="str">
        <f>IF(A282="","",
SUM(
COUNTIFS('QA Log'!D:D,A282,'QA Log'!M:M,"Data Verification",'QA Log'!Z:Z,"Rejected",'QA Log'!L:L,"*Medicine (section 2)*"),
COUNTIFS('QA Log'!D:D,A282,'QA Log'!M:M,"Data Verification",'QA Log'!Z:Z,"Rejected",'QA Log'!L:L,"*Lab Testing Availability*"),
COUNTIFS('QA Log'!D:D,A282,'QA Log'!M:M,"Data Verification",'QA Log'!Z:Z,"Rejected",'QA Log'!L:L,"*Other than P4P (section 6)*"),
COUNTIFS('QA Log'!D:D,A282,'QA Log'!M:M,"Data Verification",'QA Log'!Z:Z,"Rejected",'QA Log'!L:L,"*Hospital Governance*")
))</f>
        <v/>
      </c>
      <c r="AL282" s="106" t="str">
        <f t="shared" si="31"/>
        <v/>
      </c>
      <c r="AM282" s="102" t="str">
        <f t="shared" si="32"/>
        <v/>
      </c>
      <c r="AN282" s="102" t="str">
        <f>IF(A282="","",
SUM(
COUNTIFS('QA Log'!D:D,A282,'QA Log'!M:M,"Data Verification",'QA Log'!L:L,"*Personnel (section 1)*"),
COUNTIFS('QA Log'!D:D,A282,'QA Log'!M:M,"Data Verification",'QA Log'!L:L,"*Consumable (section 3)*"),
COUNTIFS('QA Log'!D:D,A282,'QA Log'!M:M,"Data Verification",'QA Log'!L:L,"*Equipments (section 4)*")
))</f>
        <v/>
      </c>
      <c r="AO282" s="102" t="str">
        <f>IF(A282="","",
SUM(
COUNTIFS('QA Log'!D:D,A282,'QA Log'!M:M,"Data Verification",'QA Log'!Z:Z,"Approved",'QA Log'!L:L,"*Personnel (section 1)*"),
COUNTIFS('QA Log'!D:D,A282,'QA Log'!M:M,"Data Verification",'QA Log'!Z:Z,"Approved",'QA Log'!L:L,"*Consumable (section 3)*"),
COUNTIFS('QA Log'!D:D,A282,'QA Log'!M:M,"Data Verification",'QA Log'!Z:Z,"Approved",'QA Log'!L:L,"*Equipments (section 4)*")
))</f>
        <v/>
      </c>
      <c r="AP282" s="105" t="str">
        <f>IF(A282&lt;&gt;"",COUNTIFS('QA Log'!D:D,A282,'QA Log'!M:M,"Data Verification",'QA Log'!L:L,"Personnel (section 1)",'QA Log'!Z:Z,"Approved"),"")</f>
        <v/>
      </c>
      <c r="AQ282" s="105" t="str">
        <f>IF(A282&lt;&gt;"",COUNTIFS('QA Log'!D:D,A282,'QA Log'!M:M,"Data Verification",'QA Log'!L:L,"Consumable (section 3)",'QA Log'!Z:Z,"Approved"),"")</f>
        <v/>
      </c>
      <c r="AR282" s="105" t="str">
        <f>IF(A282&lt;&gt;"",COUNTIFS('QA Log'!D:D,A282,'QA Log'!M:M,"Data Verification",'QA Log'!L:L,"Equipments (section 4)",'QA Log'!Z:Z,"Approved"),"")</f>
        <v/>
      </c>
      <c r="AS282" s="102" t="str">
        <f>IF(A282="","",
SUM(
COUNTIFS('QA Log'!D:D,A282,'QA Log'!M:M,"Data Verification",'QA Log'!Z:Z,"Rejected",'QA Log'!L:L,"*Personnel (section 1)*"),
COUNTIFS('QA Log'!D:D,A282,'QA Log'!M:M,"Data Verification",'QA Log'!Z:Z,"Rejected",'QA Log'!L:L,"*Consumable (section 3)*"),
COUNTIFS('QA Log'!D:D,A282,'QA Log'!M:M,"Data Verification",'QA Log'!Z:Z,"Rejected",'QA Log'!L:L,"*Equipments (section 4)*")
))</f>
        <v/>
      </c>
      <c r="AT282" s="102" t="str">
        <f t="shared" si="33"/>
        <v/>
      </c>
      <c r="AU282" s="103" t="str">
        <f t="shared" si="34"/>
        <v/>
      </c>
      <c r="AV282" s="102" t="str">
        <f>IF(A282="","",SUM(
COUNTIFS('QA Log'!D:D,A282,'QA Log'!M:M,"Vignette",'QA Log'!L:L,"*Vignette [1] Respiratory Infection: Pneumonia*"),
COUNTIFS('QA Log'!D:D,A282,'QA Log'!M:M,"Vignette",'QA Log'!L:L,"*Vignette [2]: Diarrhea with Cat B dehydration*"),
COUNTIFS('QA Log'!D:D,A282,'QA Log'!M:M,"Vignette",'QA Log'!L:L,"*Vignette [3] Growth Monitoring and Promotion*"),
COUNTIFS('QA Log'!D:D,A282,'QA Log'!M:M,"Vignette",'QA Log'!L:L,"*Vignette [4]: The management of presumptive TB patient*")
)
)</f>
        <v/>
      </c>
      <c r="AW282" s="102" t="str">
        <f>IF(
  A282="","",
  SUM(
    COUNTIFS('QA Log'!D:D,A282,'QA Log'!M:M,"Vignette",'QA Log'!Z:Z,"Approved",'QA Log'!L:L,"*Vignette [1] Respiratory Infection: Pneumonia*"),
    COUNTIFS('QA Log'!D:D,A282,'QA Log'!M:M,"Vignette",'QA Log'!Z:Z,"Approved",'QA Log'!L:L,"*Vignette [2]: Diarrhea with Cat B dehydration*"),
    COUNTIFS('QA Log'!D:D,A282,'QA Log'!M:M,"Vignette",'QA Log'!Z:Z,"Approved",'QA Log'!L:L,"*Vignette [3] Growth Monitoring and Promotion*"),
    COUNTIFS('QA Log'!D:D,A282,'QA Log'!M:M,"Vignette",'QA Log'!Z:Z,"Approved",'QA Log'!L:L,"*Vignette [4]: The management of presumptive TB patient*")
  )
)</f>
        <v/>
      </c>
      <c r="AX282" s="105" t="str">
        <f>IF(A282&lt;&gt;"",COUNTIFS('QA Log'!D:D,A282,'QA Log'!M:M,"Vignette",'QA Log'!L:L,"Vignette [1] Respiratory Infection: Pneumonia",'QA Log'!Z:Z,"Approved"),"")</f>
        <v/>
      </c>
      <c r="AY282" s="105" t="str">
        <f>IF(A282&lt;&gt;"",COUNTIFS('QA Log'!D:D,A282,'QA Log'!M:M,"Vignette",'QA Log'!L:L,"Vignette [2]: Diarrhea with Cat B dehydration",'QA Log'!Z:Z,"Approved"),"")</f>
        <v/>
      </c>
      <c r="AZ282" s="105" t="str">
        <f>IF(A282&lt;&gt;"",COUNTIFS('QA Log'!D:D,A282,'QA Log'!M:M,"Vignette",'QA Log'!L:L,"Vignette [3] Growth Monitoring and Promotion",'QA Log'!Z:Z,"Approved"),"")</f>
        <v/>
      </c>
      <c r="BA282" s="105" t="str">
        <f>IF(A282&lt;&gt;"",COUNTIFS('QA Log'!D:D,A282,'QA Log'!M:M,"Vignette",'QA Log'!L:L,"Vignette [4]: The management of presumptive TB patient",'QA Log'!Z:Z,"Approved"),"")</f>
        <v/>
      </c>
      <c r="BB282" s="102" t="str">
        <f>IF(A282="","",
  SUM(
    COUNTIFS('QA Log'!D:D,A282,'QA Log'!M:M,"Vignette",'QA Log'!Z:Z,"Rejected",'QA Log'!L:L,"*Vignette [1] Respiratory Infection: Pneumonia*"),
    COUNTIFS('QA Log'!D:D,A282,'QA Log'!M:M,"Vignette",'QA Log'!Z:Z,"Rejected",'QA Log'!L:L,"*Vignette [2]: Diarrhea with Cat B dehydration*"),
    COUNTIFS('QA Log'!D:D,A282,'QA Log'!M:M,"Vignette",'QA Log'!Z:Z,"Rejected",'QA Log'!L:L,"*Vignette [3] Growth Monitoring and Promotion*"),
    COUNTIFS('QA Log'!D:D,A282,'QA Log'!M:M,"Vignette",'QA Log'!Z:Z,"Rejected",'QA Log'!L:L,"*Vignette [4]: The management of presumptive TB patient*")
  )
)</f>
        <v/>
      </c>
      <c r="BC282" s="107" t="str">
        <f t="shared" si="35"/>
        <v/>
      </c>
      <c r="BD282" s="103" t="str">
        <f t="shared" si="36"/>
        <v/>
      </c>
      <c r="BE282" s="102" t="str">
        <f>IF(A282="","",SUM(
COUNTIFS('QA Log'!D:D,A282,'QA Log'!M:M,"Vignette",'QA Log'!L:L,"*Vignette [5] Labor*"),
COUNTIFS('QA Log'!D:D,A282,'QA Log'!M:M,"Vignette",'QA Log'!L:L,"*Vignette [6] PNC pre Discharge*"),
COUNTIFS('QA Log'!D:D,A282,'QA Log'!M:M,"Vignette",'QA Log'!L:L,"*Vignette [7] First ANC Visit*"),
COUNTIFS('QA Log'!D:D,A282,'QA Log'!M:M,"Vignette",'QA Log'!L:L,"*Vignette [8] Birth Spacing/ Family Planning :  FP Counselling*"),
COUNTIFS('QA Log'!D:D,A282,'QA Log'!M:M,"Vignette",'QA Log'!L:L,"*Vignette [9] Birth Spacing: Change FP method to Injectable*"),
COUNTIFS('QA Log'!D:D,A282,'QA Log'!M:M,"Vignette",'QA Log'!L:L,"*Vignette [10] Post Partum Haemorrhage - Atonic Uterus at Health Centre*"),
)
)</f>
        <v/>
      </c>
      <c r="BF282" s="102" t="str">
        <f>IF(A282="","",
  SUM(
    COUNTIFS('QA Log'!D:D,A282,'QA Log'!M:M,"Vignette",'QA Log'!Z:Z,"Approved",'QA Log'!L:L,"*Vignette [5] Labor*"),
    COUNTIFS('QA Log'!D:D,A282,'QA Log'!M:M,"Vignette",'QA Log'!Z:Z,"Approved",'QA Log'!L:L,"*Vignette [6] PNC pre Discharge*"),
    COUNTIFS('QA Log'!D:D,A282,'QA Log'!M:M,"Vignette",'QA Log'!Z:Z,"Approved",'QA Log'!L:L,"*Vignette [7] First ANC Visit*"),
    COUNTIFS('QA Log'!D:D,A282,'QA Log'!M:M,"Vignette",'QA Log'!Z:Z,"Approved",'QA Log'!L:L,"*Vignette [8] Birth Spacing/ Family Planning :  FP Counselling*"),
    COUNTIFS('QA Log'!D:D,A282,'QA Log'!M:M,"Vignette",'QA Log'!Z:Z,"Approved",'QA Log'!L:L,"*Vignette [9] Birth Spacing: Change FP method to Injectable*"),
    COUNTIFS('QA Log'!D:D,A282,'QA Log'!M:M,"Vignette",'QA Log'!Z:Z,"Approved",'QA Log'!L:L,"*Vignette [10] Post Partum Haemorrhage - Atonic Uterus at Health Centre*")
  )
)</f>
        <v/>
      </c>
      <c r="BG282" s="105" t="str">
        <f>IF(A282&lt;&gt;"",COUNTIFS('QA Log'!D:D,A282,'QA Log'!M:M,"Vignette",'QA Log'!L:L,"Vignette [5] Labor",'QA Log'!Z:Z,"Approved"),"")</f>
        <v/>
      </c>
      <c r="BH282" s="105" t="str">
        <f>IF(A282&lt;&gt;"",COUNTIFS('QA Log'!D:D,A282,'QA Log'!M:M,"Vignette",'QA Log'!L:L,"Vignette [6] PNC pre Discharge",'QA Log'!Z:Z,"Approved"),"")</f>
        <v/>
      </c>
      <c r="BI282" s="105" t="str">
        <f>IF(A282&lt;&gt;"",COUNTIFS('QA Log'!D:D,A282,'QA Log'!M:M,"Vignette",'QA Log'!L:L,"Vignette [7] First ANC Visit",'QA Log'!Z:Z,"Approved"),"")</f>
        <v/>
      </c>
      <c r="BJ282" s="105" t="str">
        <f>IF(A282&lt;&gt;"",COUNTIFS('QA Log'!D:D,A282,'QA Log'!M:M,"Vignette",'QA Log'!L:L,"Vignette [8] Birth Spacing/ Family Planning :  FP Counselling",'QA Log'!Z:Z,"Approved"),"")</f>
        <v/>
      </c>
      <c r="BK282" s="105" t="str">
        <f>IF(A282&lt;&gt;"",COUNTIFS('QA Log'!D:D,A282,'QA Log'!M:M,"Vignette",'QA Log'!L:L,"Vignette [9] Birth Spacing: Change FP method to Injectable",'QA Log'!Z:Z,"Approved"),"")</f>
        <v/>
      </c>
      <c r="BL282" s="105" t="str">
        <f>IF(A282&lt;&gt;"",COUNTIFS('QA Log'!D:D,A282,'QA Log'!M:M,"Vignette",'QA Log'!L:L,"Vignette [10] Post Partum Haemorrhage - Atonic Uterus at Health Centre",'QA Log'!Z:Z,"Approved"),"")</f>
        <v/>
      </c>
      <c r="BM282" s="102" t="str">
        <f>IF(A282="","",SUM(
    COUNTIFS('QA Log'!D:D,A282,'QA Log'!M:M,"Vignette",'QA Log'!Z:Z,"Rejected",'QA Log'!L:L,"*Vignette [5] Labor*"),
    COUNTIFS('QA Log'!D:D,A282,'QA Log'!M:M,"Vignette",'QA Log'!Z:Z,"Rejected",'QA Log'!L:L,"*Vignette [6] PNC pre Discharge*"),
    COUNTIFS('QA Log'!D:D,A282,'QA Log'!M:M,"Vignette",'QA Log'!Z:Z,"Rejected",'QA Log'!L:L,"*Vignette [7] First ANC Visit*"),
    COUNTIFS('QA Log'!D:D,A282,'QA Log'!M:M,"Vignette",'QA Log'!Z:Z,"Rejected",'QA Log'!L:L,"*Vignette [8] Birth Spacing/ Family Planning :  FP Counselling*"),
    COUNTIFS('QA Log'!D:D,A282,'QA Log'!M:M,"Vignette",'QA Log'!Z:Z,"Rejected",'QA Log'!L:L,"*Vignette [9] Birth Spacing: Change FP method to Injectable*"),
    COUNTIFS('QA Log'!D:D,A282,'QA Log'!M:M,"Vignette",'QA Log'!Z:Z,"Rejected",'QA Log'!L:L,"*Vignette [10] Post Partum Haemorrhage - Atonic Uterus at Health Centre*")
  )
)</f>
        <v/>
      </c>
      <c r="BN282" s="107" t="str">
        <f t="shared" si="37"/>
        <v/>
      </c>
      <c r="BO282" s="103" t="str">
        <f t="shared" si="38"/>
        <v/>
      </c>
      <c r="BP282" s="102" t="str">
        <f>IF(A282="","",SUM(
COUNTIFS('QA Log'!D:D,A282,'QA Log'!M:M,"Vignette",'QA Log'!L:L,"*Exit Interview 1*"),
COUNTIFS('QA Log'!D:D,A282,'QA Log'!M:M,"Vignette",'QA Log'!L:L,"*Exit Interview 2*"),
)
)</f>
        <v/>
      </c>
      <c r="BQ282" s="102" t="str">
        <f>IF(
  A282="","",
  SUM(
    COUNTIFS('QA Log'!D:D,A282,'QA Log'!M:M,"Vignette",'QA Log'!Z:Z,"Approved",'QA Log'!L:L,"*Exit Interview 1*"),
    COUNTIFS('QA Log'!D:D,A282,'QA Log'!M:M,"Vignette",'QA Log'!Z:Z,"Approved",'QA Log'!L:L,"*Exit Interview 2*")
  )
)</f>
        <v/>
      </c>
      <c r="BR282" s="105" t="str">
        <f>IF(A282&lt;&gt;"",COUNTIFS('QA Log'!D:D,A282,'QA Log'!M:M,"Vignette",'QA Log'!L:L,"Exit Interview 1",'QA Log'!Z:Z,"Approved"),"")</f>
        <v/>
      </c>
      <c r="BS282" s="105" t="str">
        <f>IF(A282&lt;&gt;"",COUNTIFS('QA Log'!D:D,A282,'QA Log'!M:M,"Vignette",'QA Log'!L:L,"Exit Interview 2",'QA Log'!Z:Z,"Approved"),"")</f>
        <v/>
      </c>
      <c r="BT282" s="102" t="str">
        <f>IF(
  A282="","",
  SUM(
    COUNTIFS('QA Log'!D:D,A282,'QA Log'!M:M,"Vignette",'QA Log'!Z:Z,"Rejected",'QA Log'!L:L,"*Exit Interview 1*"),
    COUNTIFS('QA Log'!D:D,A282,'QA Log'!M:M,"Vignette",'QA Log'!Z:Z,"Rejected",'QA Log'!L:L,"*Exit Interview 2*")
  )
)</f>
        <v/>
      </c>
      <c r="BU282" s="107" t="str">
        <f t="shared" si="39"/>
        <v/>
      </c>
      <c r="BV282" s="102" t="str">
        <f t="shared" si="40"/>
        <v/>
      </c>
      <c r="BW282" s="102" t="str">
        <f t="shared" si="41"/>
        <v/>
      </c>
      <c r="BX282" s="102" t="str">
        <f t="shared" si="42"/>
        <v/>
      </c>
      <c r="BY282" s="102" t="str">
        <f t="shared" si="43"/>
        <v/>
      </c>
      <c r="BZ282" s="107" t="str">
        <f t="shared" si="44"/>
        <v/>
      </c>
      <c r="CA282" s="108" t="str">
        <f t="shared" si="45"/>
        <v/>
      </c>
      <c r="CB282" s="108" t="str">
        <f t="shared" si="46"/>
        <v/>
      </c>
      <c r="CC282" s="109" t="str">
        <f t="shared" si="47"/>
        <v/>
      </c>
      <c r="CD282" s="108" t="str">
        <f t="shared" si="48"/>
        <v/>
      </c>
      <c r="CE282" s="108" t="str">
        <f t="shared" si="49"/>
        <v/>
      </c>
      <c r="CF282" s="109" t="str">
        <f t="shared" si="50"/>
        <v/>
      </c>
      <c r="CG282" s="110" t="str">
        <f t="shared" si="51"/>
        <v/>
      </c>
      <c r="CH282" s="111"/>
    </row>
    <row r="283" spans="1:86" ht="12.75">
      <c r="A283" s="101"/>
      <c r="B283" s="102" t="e">
        <f t="array" aca="1" ref="B283" ca="1">_xludf.XLOOKUP(A283,'QA Log'!D:D,'QA Log'!E:E,"")</f>
        <v>#NAME?</v>
      </c>
      <c r="C283" s="102" t="e">
        <f t="array" aca="1" ref="C283" ca="1">_xludf.XLOOKUP(A283,'QA Log'!D:D,'QA Log'!F:F,"")</f>
        <v>#NAME?</v>
      </c>
      <c r="D283" s="102" t="e">
        <f t="array" aca="1" ref="D283" ca="1">_xludf.XLOOKUP(A283,'QA Log'!D:D,'QA Log'!H:H,"")</f>
        <v>#NAME?</v>
      </c>
      <c r="E283" s="102" t="e">
        <f t="array" aca="1" ref="E283" ca="1">_xludf.XLOOKUP(A283,'QA Log'!D:D,'QA Log'!G:G,"")</f>
        <v>#NAME?</v>
      </c>
      <c r="F283" s="103"/>
      <c r="G283" s="104"/>
      <c r="H283" s="104"/>
      <c r="I283" s="103" t="str">
        <f t="shared" si="26"/>
        <v/>
      </c>
      <c r="J283" s="102" t="str">
        <f>IF(A283="","",SUM(
COUNTIFS('QA Log'!D:D,A283,'QA Log'!M:M,"QQC",'QA Log'!L:L,"*1. General Management*"),
COUNTIFS('QA Log'!D:D,A283,'QA Log'!M:M,"QQC",'QA Log'!L:L,"*3. Curative Consultation (OPD)*"),
COUNTIFS('QA Log'!D:D,A283,'QA Log'!M:M,"QQC",'QA Log'!L:L,"*5. Laboratory*"),
COUNTIFS('QA Log'!D:D,A283,'QA Log'!M:M,"QQC",'QA Log'!L:L,"*6. Essential Medicine Management*"),
COUNTIFS('QA Log'!D:D,A283,'QA Log'!M:M,"QQC",'QA Log'!L:L,"*7. Tracer Medicine*"),
COUNTIFS('QA Log'!D:D,A283,'QA Log'!M:M,"QQC",'QA Log'!L:L,"*11. Additional Questions*")))</f>
        <v/>
      </c>
      <c r="K283" s="102" t="str">
        <f>IF(A283="","",SUM(
COUNTIFS('QA Log'!D:D,A283,'QA Log'!M:M,"QQC",'QA Log'!Z:Z,"Approved",'QA Log'!L:L,"*1. General Management*"),
COUNTIFS('QA Log'!D:D,A283,'QA Log'!M:M,"QQC",'QA Log'!Z:Z,"Approved",'QA Log'!L:L,"*3. Curative Consultation (OPD)*"),
COUNTIFS('QA Log'!D:D,A283,'QA Log'!M:M,"QQC",'QA Log'!Z:Z,"Approved",'QA Log'!L:L,"*5. Laboratory*"),
COUNTIFS('QA Log'!D:D,A283,'QA Log'!M:M,"QQC",'QA Log'!Z:Z,"Approved",'QA Log'!L:L,"*6. Essential Medicine Management*"),
COUNTIFS('QA Log'!D:D,A283,'QA Log'!M:M,"QQC",'QA Log'!Z:Z,"Approved",'QA Log'!L:L,"*7. Tracer Medicine*"),
COUNTIFS('QA Log'!D:D,A283,'QA Log'!M:M,"QQC",'QA Log'!Z:Z,"Approved",'QA Log'!L:L,"*11. Additional Questions*")))</f>
        <v/>
      </c>
      <c r="L283" s="105" t="str">
        <f>IF(A283&lt;&gt;"",COUNTIFS('QA Log'!D:D,A283,'QA Log'!M:M,"QQC",'QA Log'!L:L,"1. General Management",'QA Log'!Z:Z,"Approved"),"")</f>
        <v/>
      </c>
      <c r="M283" s="105" t="str">
        <f>IF(A283&lt;&gt;"",COUNTIFS('QA Log'!D:D,A283,'QA Log'!M:M,"QQC",'QA Log'!L:L,"3. Curative Consultation (OPD)",'QA Log'!Z:Z,"Approved"),"")</f>
        <v/>
      </c>
      <c r="N283" s="105" t="str">
        <f>IF(A283&lt;&gt;"",COUNTIFS('QA Log'!D:D,A283,'QA Log'!M:M,"QQC",'QA Log'!L:L,"5. Laboratory",'QA Log'!Z:Z,"Approved"),"")</f>
        <v/>
      </c>
      <c r="O283" s="105" t="str">
        <f>IF(A283&lt;&gt;"",COUNTIFS('QA Log'!D:D,A283,'QA Log'!M:M,"QQC",'QA Log'!L:L,"6. Essential Medicine Management",'QA Log'!Z:Z,"Approved"),"")</f>
        <v/>
      </c>
      <c r="P283" s="105" t="str">
        <f>IF(A283&lt;&gt;"",COUNTIFS('QA Log'!D:D,A283,'QA Log'!M:M,"QQC",'QA Log'!L:L,"7. Tracer Medicine",'QA Log'!Z:Z,"Approved"),"")</f>
        <v/>
      </c>
      <c r="Q283" s="105" t="str">
        <f>IF(A283&lt;&gt;"",COUNTIFS('QA Log'!D:D,A283,'QA Log'!M:M,"QQC",'QA Log'!L:L,"11. Additional Questions",'QA Log'!Z:Z,"Approved"),"")</f>
        <v/>
      </c>
      <c r="R283" s="102" t="str">
        <f>IF(A283="","",SUM(
COUNTIFS('QA Log'!D:D,A283,'QA Log'!M:M,"QQC",'QA Log'!Z:Z,"Rejected",'QA Log'!L:L,"*8. Maternity*"),
COUNTIFS('QA Log'!D:D,A283,'QA Log'!M:M,"QQC",'QA Log'!Z:Z,"Rejected",'QA Log'!L:L,"*EPI*"),
COUNTIFS('QA Log'!D:D,A283,'QA Log'!M:M,"QQC",'QA Log'!Z:Z,"Rejected",'QA Log'!L:L,"*10. Antenatal Care (ANC)*"),
COUNTIFS('QA Log'!D:D,A283,'QA Log'!M:M,"QQC",'QA Log'!Z:Z,"Rejected",'QA Log'!L:L,"*2. Hygiene and Sterilization*"),
COUNTIFS('QA Log'!D:D,A283,'QA Log'!M:M,"QQC",'QA Log'!Z:Z,"Rejected",'QA Log'!L:L,"*Family Planning*")))</f>
        <v/>
      </c>
      <c r="S283" s="106" t="str">
        <f t="shared" si="27"/>
        <v/>
      </c>
      <c r="T283" s="102" t="str">
        <f t="shared" si="28"/>
        <v/>
      </c>
      <c r="U283" s="102" t="str">
        <f>IF(A283="","",
SUM(
COUNTIFS('QA Log'!D:D,A283,'QA Log'!M:M,"QQC",'QA Log'!L:L,"*8. Maternity*"),
COUNTIFS('QA Log'!D:D,A283,'QA Log'!M:M,"QQC",'QA Log'!L:L,"*9. EPI and Pre-school Consultation*"),
COUNTIFS('QA Log'!D:D,A283,'QA Log'!M:M,"QQC",'QA Log'!L:L,"*10. Antenatal Care (ANC)*"),
COUNTIFS('QA Log'!D:D,A283,'QA Log'!M:M,"QQC",'QA Log'!L:L,"*2. Hygiene and Sterilization*"),
COUNTIFS('QA Log'!D:D,A283,'QA Log'!M:M,"QQC",'QA Log'!L:L,"*4. Family Planning*")
))</f>
        <v/>
      </c>
      <c r="V283" s="102" t="str">
        <f>IF(A283="","",
SUM(
COUNTIFS('QA Log'!D:D,A283,'QA Log'!M:M,"QQC",'QA Log'!Z:Z,"Approved",'QA Log'!L:L,"*8. Maternity*"),
COUNTIFS('QA Log'!D:D,A283,'QA Log'!M:M,"QQC",'QA Log'!Z:Z,"Approved",'QA Log'!L:L,"*9. EPI and Pre-school Consultation*"),
COUNTIFS('QA Log'!D:D,A283,'QA Log'!M:M,"QQC",'QA Log'!Z:Z,"Approved",'QA Log'!L:L,"*10. Antenatal Care (ANC)*"),
COUNTIFS('QA Log'!D:D,A283,'QA Log'!M:M,"QQC",'QA Log'!Z:Z,"Approved",'QA Log'!L:L,"*2. Hygiene and Sterilization*"),
COUNTIFS('QA Log'!D:D,A283,'QA Log'!M:M,"QQC",'QA Log'!Z:Z,"Approved",'QA Log'!L:L,"*4. Family Planning*")
))</f>
        <v/>
      </c>
      <c r="W283" s="105" t="str">
        <f>IF(A283&lt;&gt;"",COUNTIFS('QA Log'!D:D,A283,'QA Log'!M:M,"QQC",'QA Log'!L:L,"8. Maternity",'QA Log'!Z:Z,"Approved"),"")</f>
        <v/>
      </c>
      <c r="X283" s="105" t="str">
        <f>IF(A283&lt;&gt;"",COUNTIFS('QA Log'!D:D,A283,'QA Log'!M:M,"QQC",'QA Log'!L:L,"9. EPI and Pre-school Consultation",'QA Log'!Z:Z,"Approved"),"")</f>
        <v/>
      </c>
      <c r="Y283" s="105" t="str">
        <f>IF(A283&lt;&gt;"",COUNTIFS('QA Log'!D:D,A283,'QA Log'!M:M,"QQC",'QA Log'!L:L,"10. Antenatal Care (ANC)",'QA Log'!Z:Z,"Approved"),"")</f>
        <v/>
      </c>
      <c r="Z283" s="105" t="str">
        <f>IF(A283&lt;&gt;"",COUNTIFS('QA Log'!D:D,A283,'QA Log'!M:M,"QQC",'QA Log'!L:L,"2. Hygiene and Sterilization",'QA Log'!Z:Z,"Approved"),"")</f>
        <v/>
      </c>
      <c r="AA283" s="105" t="str">
        <f>IF(A283&lt;&gt;"",COUNTIFS('QA Log'!D:D,A283,'QA Log'!M:M,"QQC",'QA Log'!L:L,"4. Family Planning",'QA Log'!Z:Z,"Approved"),"")</f>
        <v/>
      </c>
      <c r="AB283" s="102" t="str">
        <f>IF(A283="","",
SUM(
COUNTIFS('QA Log'!D:D,A283,'QA Log'!M:M,"QQC",'QA Log'!Z:Z,"Rejected",'QA Log'!L:L,"*8. Maternity*"),
COUNTIFS('QA Log'!D:D,A283,'QA Log'!M:M,"QQC",'QA Log'!Z:Z,"Rejected",'QA Log'!L:L,"*9. EPI and Pre-school Consultation*"),
COUNTIFS('QA Log'!D:D,A283,'QA Log'!M:M,"QQC",'QA Log'!Z:Z,"Rejected",'QA Log'!L:L,"*10. Antenatal Care (ANC)*"),
COUNTIFS('QA Log'!D:D,A283,'QA Log'!M:M,"QQC",'QA Log'!Z:Z,"Rejected",'QA Log'!L:L,"*2. Hygiene and Sterilization*"),
COUNTIFS('QA Log'!D:D,A283,'QA Log'!M:M,"QQC",'QA Log'!Z:Z,"Rejected",'QA Log'!L:L,"*4. Family Planning*")
))</f>
        <v/>
      </c>
      <c r="AC283" s="102" t="str">
        <f t="shared" si="29"/>
        <v/>
      </c>
      <c r="AD283" s="103" t="str">
        <f t="shared" si="30"/>
        <v/>
      </c>
      <c r="AE283" s="102" t="str">
        <f>IF(A283="","",
SUM(
COUNTIFS('QA Log'!D:D,A283,'QA Log'!M:M,"Data Verification",'QA Log'!L:L,"*Medicine (section 2)*"),
COUNTIFS('QA Log'!D:D,A283,'QA Log'!M:M,"Data Verification",'QA Log'!L:L,"*Lab Testing Availability*"),
COUNTIFS('QA Log'!D:D,A283,'QA Log'!M:M,"Data Verification",'QA Log'!L:L,"*Other than P4P (section 6)*"),
COUNTIFS('QA Log'!D:D,A283,'QA Log'!M:M,"Data Verification",'QA Log'!L:L,"*Hospital Governance*")
))</f>
        <v/>
      </c>
      <c r="AF283" s="102" t="str">
        <f>IF(A283="","",
SUM(
COUNTIFS('QA Log'!D:D,A283,'QA Log'!M:M,"Data Verification",'QA Log'!Z:Z,"Approved",'QA Log'!L:L,"*Medicine (section 2)*"),
COUNTIFS('QA Log'!D:D,A283,'QA Log'!M:M,"Data Verification",'QA Log'!Z:Z,"Approved",'QA Log'!L:L,"*Lab Testing Availability*"),
COUNTIFS('QA Log'!D:D,A283,'QA Log'!M:M,"Data Verification",'QA Log'!Z:Z,"Approved",'QA Log'!L:L,"*Other than P4P (section 6)*"),
COUNTIFS('QA Log'!D:D,A283,'QA Log'!M:M,"Data Verification",'QA Log'!Z:Z,"Approved",'QA Log'!L:L,"*Hospital Governance*")
))</f>
        <v/>
      </c>
      <c r="AG283" s="105" t="str">
        <f>IF(A283&lt;&gt;"",COUNTIFS('QA Log'!D:D,A283,'QA Log'!M:M,"Data Verification",'QA Log'!L:L,"Medicine (section 2)",'QA Log'!Z:Z,"Approved"),"")</f>
        <v/>
      </c>
      <c r="AH283" s="105" t="str">
        <f>IF(A283&lt;&gt;"",COUNTIFS('QA Log'!D:D,A283,'QA Log'!M:M,"Data Verification",'QA Log'!L:L,"Lab Testing Availability",'QA Log'!Z:Z,"Approved"),"")</f>
        <v/>
      </c>
      <c r="AI283" s="105" t="str">
        <f>IF(A283&lt;&gt;"",COUNTIFS('QA Log'!D:D,A283,'QA Log'!M:M,"Data Verification",'QA Log'!L:L,"Other than P4P (section 6)",'QA Log'!Z:Z,"Approved"),"")</f>
        <v/>
      </c>
      <c r="AJ283" s="105" t="str">
        <f>IF(A283&lt;&gt;"",COUNTIFS('QA Log'!D:D,A283,'QA Log'!M:M,"Data Verification",'QA Log'!L:L,"Hospital Governance",'QA Log'!Z:Z,"Approved"),"")</f>
        <v/>
      </c>
      <c r="AK283" s="102" t="str">
        <f>IF(A283="","",
SUM(
COUNTIFS('QA Log'!D:D,A283,'QA Log'!M:M,"Data Verification",'QA Log'!Z:Z,"Rejected",'QA Log'!L:L,"*Medicine (section 2)*"),
COUNTIFS('QA Log'!D:D,A283,'QA Log'!M:M,"Data Verification",'QA Log'!Z:Z,"Rejected",'QA Log'!L:L,"*Lab Testing Availability*"),
COUNTIFS('QA Log'!D:D,A283,'QA Log'!M:M,"Data Verification",'QA Log'!Z:Z,"Rejected",'QA Log'!L:L,"*Other than P4P (section 6)*"),
COUNTIFS('QA Log'!D:D,A283,'QA Log'!M:M,"Data Verification",'QA Log'!Z:Z,"Rejected",'QA Log'!L:L,"*Hospital Governance*")
))</f>
        <v/>
      </c>
      <c r="AL283" s="106" t="str">
        <f t="shared" si="31"/>
        <v/>
      </c>
      <c r="AM283" s="102" t="str">
        <f t="shared" si="32"/>
        <v/>
      </c>
      <c r="AN283" s="102" t="str">
        <f>IF(A283="","",
SUM(
COUNTIFS('QA Log'!D:D,A283,'QA Log'!M:M,"Data Verification",'QA Log'!L:L,"*Personnel (section 1)*"),
COUNTIFS('QA Log'!D:D,A283,'QA Log'!M:M,"Data Verification",'QA Log'!L:L,"*Consumable (section 3)*"),
COUNTIFS('QA Log'!D:D,A283,'QA Log'!M:M,"Data Verification",'QA Log'!L:L,"*Equipments (section 4)*")
))</f>
        <v/>
      </c>
      <c r="AO283" s="102" t="str">
        <f>IF(A283="","",
SUM(
COUNTIFS('QA Log'!D:D,A283,'QA Log'!M:M,"Data Verification",'QA Log'!Z:Z,"Approved",'QA Log'!L:L,"*Personnel (section 1)*"),
COUNTIFS('QA Log'!D:D,A283,'QA Log'!M:M,"Data Verification",'QA Log'!Z:Z,"Approved",'QA Log'!L:L,"*Consumable (section 3)*"),
COUNTIFS('QA Log'!D:D,A283,'QA Log'!M:M,"Data Verification",'QA Log'!Z:Z,"Approved",'QA Log'!L:L,"*Equipments (section 4)*")
))</f>
        <v/>
      </c>
      <c r="AP283" s="105" t="str">
        <f>IF(A283&lt;&gt;"",COUNTIFS('QA Log'!D:D,A283,'QA Log'!M:M,"Data Verification",'QA Log'!L:L,"Personnel (section 1)",'QA Log'!Z:Z,"Approved"),"")</f>
        <v/>
      </c>
      <c r="AQ283" s="105" t="str">
        <f>IF(A283&lt;&gt;"",COUNTIFS('QA Log'!D:D,A283,'QA Log'!M:M,"Data Verification",'QA Log'!L:L,"Consumable (section 3)",'QA Log'!Z:Z,"Approved"),"")</f>
        <v/>
      </c>
      <c r="AR283" s="105" t="str">
        <f>IF(A283&lt;&gt;"",COUNTIFS('QA Log'!D:D,A283,'QA Log'!M:M,"Data Verification",'QA Log'!L:L,"Equipments (section 4)",'QA Log'!Z:Z,"Approved"),"")</f>
        <v/>
      </c>
      <c r="AS283" s="102" t="str">
        <f>IF(A283="","",
SUM(
COUNTIFS('QA Log'!D:D,A283,'QA Log'!M:M,"Data Verification",'QA Log'!Z:Z,"Rejected",'QA Log'!L:L,"*Personnel (section 1)*"),
COUNTIFS('QA Log'!D:D,A283,'QA Log'!M:M,"Data Verification",'QA Log'!Z:Z,"Rejected",'QA Log'!L:L,"*Consumable (section 3)*"),
COUNTIFS('QA Log'!D:D,A283,'QA Log'!M:M,"Data Verification",'QA Log'!Z:Z,"Rejected",'QA Log'!L:L,"*Equipments (section 4)*")
))</f>
        <v/>
      </c>
      <c r="AT283" s="102" t="str">
        <f t="shared" si="33"/>
        <v/>
      </c>
      <c r="AU283" s="103" t="str">
        <f t="shared" si="34"/>
        <v/>
      </c>
      <c r="AV283" s="102" t="str">
        <f>IF(A283="","",SUM(
COUNTIFS('QA Log'!D:D,A283,'QA Log'!M:M,"Vignette",'QA Log'!L:L,"*Vignette [1] Respiratory Infection: Pneumonia*"),
COUNTIFS('QA Log'!D:D,A283,'QA Log'!M:M,"Vignette",'QA Log'!L:L,"*Vignette [2]: Diarrhea with Cat B dehydration*"),
COUNTIFS('QA Log'!D:D,A283,'QA Log'!M:M,"Vignette",'QA Log'!L:L,"*Vignette [3] Growth Monitoring and Promotion*"),
COUNTIFS('QA Log'!D:D,A283,'QA Log'!M:M,"Vignette",'QA Log'!L:L,"*Vignette [4]: The management of presumptive TB patient*")
)
)</f>
        <v/>
      </c>
      <c r="AW283" s="102" t="str">
        <f>IF(
  A283="","",
  SUM(
    COUNTIFS('QA Log'!D:D,A283,'QA Log'!M:M,"Vignette",'QA Log'!Z:Z,"Approved",'QA Log'!L:L,"*Vignette [1] Respiratory Infection: Pneumonia*"),
    COUNTIFS('QA Log'!D:D,A283,'QA Log'!M:M,"Vignette",'QA Log'!Z:Z,"Approved",'QA Log'!L:L,"*Vignette [2]: Diarrhea with Cat B dehydration*"),
    COUNTIFS('QA Log'!D:D,A283,'QA Log'!M:M,"Vignette",'QA Log'!Z:Z,"Approved",'QA Log'!L:L,"*Vignette [3] Growth Monitoring and Promotion*"),
    COUNTIFS('QA Log'!D:D,A283,'QA Log'!M:M,"Vignette",'QA Log'!Z:Z,"Approved",'QA Log'!L:L,"*Vignette [4]: The management of presumptive TB patient*")
  )
)</f>
        <v/>
      </c>
      <c r="AX283" s="105" t="str">
        <f>IF(A283&lt;&gt;"",COUNTIFS('QA Log'!D:D,A283,'QA Log'!M:M,"Vignette",'QA Log'!L:L,"Vignette [1] Respiratory Infection: Pneumonia",'QA Log'!Z:Z,"Approved"),"")</f>
        <v/>
      </c>
      <c r="AY283" s="105" t="str">
        <f>IF(A283&lt;&gt;"",COUNTIFS('QA Log'!D:D,A283,'QA Log'!M:M,"Vignette",'QA Log'!L:L,"Vignette [2]: Diarrhea with Cat B dehydration",'QA Log'!Z:Z,"Approved"),"")</f>
        <v/>
      </c>
      <c r="AZ283" s="105" t="str">
        <f>IF(A283&lt;&gt;"",COUNTIFS('QA Log'!D:D,A283,'QA Log'!M:M,"Vignette",'QA Log'!L:L,"Vignette [3] Growth Monitoring and Promotion",'QA Log'!Z:Z,"Approved"),"")</f>
        <v/>
      </c>
      <c r="BA283" s="105" t="str">
        <f>IF(A283&lt;&gt;"",COUNTIFS('QA Log'!D:D,A283,'QA Log'!M:M,"Vignette",'QA Log'!L:L,"Vignette [4]: The management of presumptive TB patient",'QA Log'!Z:Z,"Approved"),"")</f>
        <v/>
      </c>
      <c r="BB283" s="102" t="str">
        <f>IF(A283="","",
  SUM(
    COUNTIFS('QA Log'!D:D,A283,'QA Log'!M:M,"Vignette",'QA Log'!Z:Z,"Rejected",'QA Log'!L:L,"*Vignette [1] Respiratory Infection: Pneumonia*"),
    COUNTIFS('QA Log'!D:D,A283,'QA Log'!M:M,"Vignette",'QA Log'!Z:Z,"Rejected",'QA Log'!L:L,"*Vignette [2]: Diarrhea with Cat B dehydration*"),
    COUNTIFS('QA Log'!D:D,A283,'QA Log'!M:M,"Vignette",'QA Log'!Z:Z,"Rejected",'QA Log'!L:L,"*Vignette [3] Growth Monitoring and Promotion*"),
    COUNTIFS('QA Log'!D:D,A283,'QA Log'!M:M,"Vignette",'QA Log'!Z:Z,"Rejected",'QA Log'!L:L,"*Vignette [4]: The management of presumptive TB patient*")
  )
)</f>
        <v/>
      </c>
      <c r="BC283" s="107" t="str">
        <f t="shared" si="35"/>
        <v/>
      </c>
      <c r="BD283" s="103" t="str">
        <f t="shared" si="36"/>
        <v/>
      </c>
      <c r="BE283" s="102" t="str">
        <f>IF(A283="","",SUM(
COUNTIFS('QA Log'!D:D,A283,'QA Log'!M:M,"Vignette",'QA Log'!L:L,"*Vignette [5] Labor*"),
COUNTIFS('QA Log'!D:D,A283,'QA Log'!M:M,"Vignette",'QA Log'!L:L,"*Vignette [6] PNC pre Discharge*"),
COUNTIFS('QA Log'!D:D,A283,'QA Log'!M:M,"Vignette",'QA Log'!L:L,"*Vignette [7] First ANC Visit*"),
COUNTIFS('QA Log'!D:D,A283,'QA Log'!M:M,"Vignette",'QA Log'!L:L,"*Vignette [8] Birth Spacing/ Family Planning :  FP Counselling*"),
COUNTIFS('QA Log'!D:D,A283,'QA Log'!M:M,"Vignette",'QA Log'!L:L,"*Vignette [9] Birth Spacing: Change FP method to Injectable*"),
COUNTIFS('QA Log'!D:D,A283,'QA Log'!M:M,"Vignette",'QA Log'!L:L,"*Vignette [10] Post Partum Haemorrhage - Atonic Uterus at Health Centre*"),
)
)</f>
        <v/>
      </c>
      <c r="BF283" s="102" t="str">
        <f>IF(A283="","",
  SUM(
    COUNTIFS('QA Log'!D:D,A283,'QA Log'!M:M,"Vignette",'QA Log'!Z:Z,"Approved",'QA Log'!L:L,"*Vignette [5] Labor*"),
    COUNTIFS('QA Log'!D:D,A283,'QA Log'!M:M,"Vignette",'QA Log'!Z:Z,"Approved",'QA Log'!L:L,"*Vignette [6] PNC pre Discharge*"),
    COUNTIFS('QA Log'!D:D,A283,'QA Log'!M:M,"Vignette",'QA Log'!Z:Z,"Approved",'QA Log'!L:L,"*Vignette [7] First ANC Visit*"),
    COUNTIFS('QA Log'!D:D,A283,'QA Log'!M:M,"Vignette",'QA Log'!Z:Z,"Approved",'QA Log'!L:L,"*Vignette [8] Birth Spacing/ Family Planning :  FP Counselling*"),
    COUNTIFS('QA Log'!D:D,A283,'QA Log'!M:M,"Vignette",'QA Log'!Z:Z,"Approved",'QA Log'!L:L,"*Vignette [9] Birth Spacing: Change FP method to Injectable*"),
    COUNTIFS('QA Log'!D:D,A283,'QA Log'!M:M,"Vignette",'QA Log'!Z:Z,"Approved",'QA Log'!L:L,"*Vignette [10] Post Partum Haemorrhage - Atonic Uterus at Health Centre*")
  )
)</f>
        <v/>
      </c>
      <c r="BG283" s="105" t="str">
        <f>IF(A283&lt;&gt;"",COUNTIFS('QA Log'!D:D,A283,'QA Log'!M:M,"Vignette",'QA Log'!L:L,"Vignette [5] Labor",'QA Log'!Z:Z,"Approved"),"")</f>
        <v/>
      </c>
      <c r="BH283" s="105" t="str">
        <f>IF(A283&lt;&gt;"",COUNTIFS('QA Log'!D:D,A283,'QA Log'!M:M,"Vignette",'QA Log'!L:L,"Vignette [6] PNC pre Discharge",'QA Log'!Z:Z,"Approved"),"")</f>
        <v/>
      </c>
      <c r="BI283" s="105" t="str">
        <f>IF(A283&lt;&gt;"",COUNTIFS('QA Log'!D:D,A283,'QA Log'!M:M,"Vignette",'QA Log'!L:L,"Vignette [7] First ANC Visit",'QA Log'!Z:Z,"Approved"),"")</f>
        <v/>
      </c>
      <c r="BJ283" s="105" t="str">
        <f>IF(A283&lt;&gt;"",COUNTIFS('QA Log'!D:D,A283,'QA Log'!M:M,"Vignette",'QA Log'!L:L,"Vignette [8] Birth Spacing/ Family Planning :  FP Counselling",'QA Log'!Z:Z,"Approved"),"")</f>
        <v/>
      </c>
      <c r="BK283" s="105" t="str">
        <f>IF(A283&lt;&gt;"",COUNTIFS('QA Log'!D:D,A283,'QA Log'!M:M,"Vignette",'QA Log'!L:L,"Vignette [9] Birth Spacing: Change FP method to Injectable",'QA Log'!Z:Z,"Approved"),"")</f>
        <v/>
      </c>
      <c r="BL283" s="105" t="str">
        <f>IF(A283&lt;&gt;"",COUNTIFS('QA Log'!D:D,A283,'QA Log'!M:M,"Vignette",'QA Log'!L:L,"Vignette [10] Post Partum Haemorrhage - Atonic Uterus at Health Centre",'QA Log'!Z:Z,"Approved"),"")</f>
        <v/>
      </c>
      <c r="BM283" s="102" t="str">
        <f>IF(A283="","",SUM(
    COUNTIFS('QA Log'!D:D,A283,'QA Log'!M:M,"Vignette",'QA Log'!Z:Z,"Rejected",'QA Log'!L:L,"*Vignette [5] Labor*"),
    COUNTIFS('QA Log'!D:D,A283,'QA Log'!M:M,"Vignette",'QA Log'!Z:Z,"Rejected",'QA Log'!L:L,"*Vignette [6] PNC pre Discharge*"),
    COUNTIFS('QA Log'!D:D,A283,'QA Log'!M:M,"Vignette",'QA Log'!Z:Z,"Rejected",'QA Log'!L:L,"*Vignette [7] First ANC Visit*"),
    COUNTIFS('QA Log'!D:D,A283,'QA Log'!M:M,"Vignette",'QA Log'!Z:Z,"Rejected",'QA Log'!L:L,"*Vignette [8] Birth Spacing/ Family Planning :  FP Counselling*"),
    COUNTIFS('QA Log'!D:D,A283,'QA Log'!M:M,"Vignette",'QA Log'!Z:Z,"Rejected",'QA Log'!L:L,"*Vignette [9] Birth Spacing: Change FP method to Injectable*"),
    COUNTIFS('QA Log'!D:D,A283,'QA Log'!M:M,"Vignette",'QA Log'!Z:Z,"Rejected",'QA Log'!L:L,"*Vignette [10] Post Partum Haemorrhage - Atonic Uterus at Health Centre*")
  )
)</f>
        <v/>
      </c>
      <c r="BN283" s="107" t="str">
        <f t="shared" si="37"/>
        <v/>
      </c>
      <c r="BO283" s="103" t="str">
        <f t="shared" si="38"/>
        <v/>
      </c>
      <c r="BP283" s="102" t="str">
        <f>IF(A283="","",SUM(
COUNTIFS('QA Log'!D:D,A283,'QA Log'!M:M,"Vignette",'QA Log'!L:L,"*Exit Interview 1*"),
COUNTIFS('QA Log'!D:D,A283,'QA Log'!M:M,"Vignette",'QA Log'!L:L,"*Exit Interview 2*"),
)
)</f>
        <v/>
      </c>
      <c r="BQ283" s="102" t="str">
        <f>IF(
  A283="","",
  SUM(
    COUNTIFS('QA Log'!D:D,A283,'QA Log'!M:M,"Vignette",'QA Log'!Z:Z,"Approved",'QA Log'!L:L,"*Exit Interview 1*"),
    COUNTIFS('QA Log'!D:D,A283,'QA Log'!M:M,"Vignette",'QA Log'!Z:Z,"Approved",'QA Log'!L:L,"*Exit Interview 2*")
  )
)</f>
        <v/>
      </c>
      <c r="BR283" s="105" t="str">
        <f>IF(A283&lt;&gt;"",COUNTIFS('QA Log'!D:D,A283,'QA Log'!M:M,"Vignette",'QA Log'!L:L,"Exit Interview 1",'QA Log'!Z:Z,"Approved"),"")</f>
        <v/>
      </c>
      <c r="BS283" s="105" t="str">
        <f>IF(A283&lt;&gt;"",COUNTIFS('QA Log'!D:D,A283,'QA Log'!M:M,"Vignette",'QA Log'!L:L,"Exit Interview 2",'QA Log'!Z:Z,"Approved"),"")</f>
        <v/>
      </c>
      <c r="BT283" s="102" t="str">
        <f>IF(
  A283="","",
  SUM(
    COUNTIFS('QA Log'!D:D,A283,'QA Log'!M:M,"Vignette",'QA Log'!Z:Z,"Rejected",'QA Log'!L:L,"*Exit Interview 1*"),
    COUNTIFS('QA Log'!D:D,A283,'QA Log'!M:M,"Vignette",'QA Log'!Z:Z,"Rejected",'QA Log'!L:L,"*Exit Interview 2*")
  )
)</f>
        <v/>
      </c>
      <c r="BU283" s="107" t="str">
        <f t="shared" si="39"/>
        <v/>
      </c>
      <c r="BV283" s="102" t="str">
        <f t="shared" si="40"/>
        <v/>
      </c>
      <c r="BW283" s="102" t="str">
        <f t="shared" si="41"/>
        <v/>
      </c>
      <c r="BX283" s="102" t="str">
        <f t="shared" si="42"/>
        <v/>
      </c>
      <c r="BY283" s="102" t="str">
        <f t="shared" si="43"/>
        <v/>
      </c>
      <c r="BZ283" s="107" t="str">
        <f t="shared" si="44"/>
        <v/>
      </c>
      <c r="CA283" s="108" t="str">
        <f t="shared" si="45"/>
        <v/>
      </c>
      <c r="CB283" s="108" t="str">
        <f t="shared" si="46"/>
        <v/>
      </c>
      <c r="CC283" s="109" t="str">
        <f t="shared" si="47"/>
        <v/>
      </c>
      <c r="CD283" s="108" t="str">
        <f t="shared" si="48"/>
        <v/>
      </c>
      <c r="CE283" s="108" t="str">
        <f t="shared" si="49"/>
        <v/>
      </c>
      <c r="CF283" s="109" t="str">
        <f t="shared" si="50"/>
        <v/>
      </c>
      <c r="CG283" s="110" t="str">
        <f t="shared" si="51"/>
        <v/>
      </c>
      <c r="CH283" s="111"/>
    </row>
    <row r="284" spans="1:86" ht="12.75">
      <c r="A284" s="101"/>
      <c r="B284" s="102" t="e">
        <f t="array" aca="1" ref="B284" ca="1">_xludf.XLOOKUP(A284,'QA Log'!D:D,'QA Log'!E:E,"")</f>
        <v>#NAME?</v>
      </c>
      <c r="C284" s="102" t="e">
        <f t="array" aca="1" ref="C284" ca="1">_xludf.XLOOKUP(A284,'QA Log'!D:D,'QA Log'!F:F,"")</f>
        <v>#NAME?</v>
      </c>
      <c r="D284" s="102" t="e">
        <f t="array" aca="1" ref="D284" ca="1">_xludf.XLOOKUP(A284,'QA Log'!D:D,'QA Log'!H:H,"")</f>
        <v>#NAME?</v>
      </c>
      <c r="E284" s="102" t="e">
        <f t="array" aca="1" ref="E284" ca="1">_xludf.XLOOKUP(A284,'QA Log'!D:D,'QA Log'!G:G,"")</f>
        <v>#NAME?</v>
      </c>
      <c r="F284" s="103"/>
      <c r="G284" s="104"/>
      <c r="H284" s="104"/>
      <c r="I284" s="103" t="str">
        <f t="shared" si="26"/>
        <v/>
      </c>
      <c r="J284" s="102" t="str">
        <f>IF(A284="","",SUM(
COUNTIFS('QA Log'!D:D,A284,'QA Log'!M:M,"QQC",'QA Log'!L:L,"*1. General Management*"),
COUNTIFS('QA Log'!D:D,A284,'QA Log'!M:M,"QQC",'QA Log'!L:L,"*3. Curative Consultation (OPD)*"),
COUNTIFS('QA Log'!D:D,A284,'QA Log'!M:M,"QQC",'QA Log'!L:L,"*5. Laboratory*"),
COUNTIFS('QA Log'!D:D,A284,'QA Log'!M:M,"QQC",'QA Log'!L:L,"*6. Essential Medicine Management*"),
COUNTIFS('QA Log'!D:D,A284,'QA Log'!M:M,"QQC",'QA Log'!L:L,"*7. Tracer Medicine*"),
COUNTIFS('QA Log'!D:D,A284,'QA Log'!M:M,"QQC",'QA Log'!L:L,"*11. Additional Questions*")))</f>
        <v/>
      </c>
      <c r="K284" s="102" t="str">
        <f>IF(A284="","",SUM(
COUNTIFS('QA Log'!D:D,A284,'QA Log'!M:M,"QQC",'QA Log'!Z:Z,"Approved",'QA Log'!L:L,"*1. General Management*"),
COUNTIFS('QA Log'!D:D,A284,'QA Log'!M:M,"QQC",'QA Log'!Z:Z,"Approved",'QA Log'!L:L,"*3. Curative Consultation (OPD)*"),
COUNTIFS('QA Log'!D:D,A284,'QA Log'!M:M,"QQC",'QA Log'!Z:Z,"Approved",'QA Log'!L:L,"*5. Laboratory*"),
COUNTIFS('QA Log'!D:D,A284,'QA Log'!M:M,"QQC",'QA Log'!Z:Z,"Approved",'QA Log'!L:L,"*6. Essential Medicine Management*"),
COUNTIFS('QA Log'!D:D,A284,'QA Log'!M:M,"QQC",'QA Log'!Z:Z,"Approved",'QA Log'!L:L,"*7. Tracer Medicine*"),
COUNTIFS('QA Log'!D:D,A284,'QA Log'!M:M,"QQC",'QA Log'!Z:Z,"Approved",'QA Log'!L:L,"*11. Additional Questions*")))</f>
        <v/>
      </c>
      <c r="L284" s="105" t="str">
        <f>IF(A284&lt;&gt;"",COUNTIFS('QA Log'!D:D,A284,'QA Log'!M:M,"QQC",'QA Log'!L:L,"1. General Management",'QA Log'!Z:Z,"Approved"),"")</f>
        <v/>
      </c>
      <c r="M284" s="105" t="str">
        <f>IF(A284&lt;&gt;"",COUNTIFS('QA Log'!D:D,A284,'QA Log'!M:M,"QQC",'QA Log'!L:L,"3. Curative Consultation (OPD)",'QA Log'!Z:Z,"Approved"),"")</f>
        <v/>
      </c>
      <c r="N284" s="105" t="str">
        <f>IF(A284&lt;&gt;"",COUNTIFS('QA Log'!D:D,A284,'QA Log'!M:M,"QQC",'QA Log'!L:L,"5. Laboratory",'QA Log'!Z:Z,"Approved"),"")</f>
        <v/>
      </c>
      <c r="O284" s="105" t="str">
        <f>IF(A284&lt;&gt;"",COUNTIFS('QA Log'!D:D,A284,'QA Log'!M:M,"QQC",'QA Log'!L:L,"6. Essential Medicine Management",'QA Log'!Z:Z,"Approved"),"")</f>
        <v/>
      </c>
      <c r="P284" s="105" t="str">
        <f>IF(A284&lt;&gt;"",COUNTIFS('QA Log'!D:D,A284,'QA Log'!M:M,"QQC",'QA Log'!L:L,"7. Tracer Medicine",'QA Log'!Z:Z,"Approved"),"")</f>
        <v/>
      </c>
      <c r="Q284" s="105" t="str">
        <f>IF(A284&lt;&gt;"",COUNTIFS('QA Log'!D:D,A284,'QA Log'!M:M,"QQC",'QA Log'!L:L,"11. Additional Questions",'QA Log'!Z:Z,"Approved"),"")</f>
        <v/>
      </c>
      <c r="R284" s="102" t="str">
        <f>IF(A284="","",SUM(
COUNTIFS('QA Log'!D:D,A284,'QA Log'!M:M,"QQC",'QA Log'!Z:Z,"Rejected",'QA Log'!L:L,"*8. Maternity*"),
COUNTIFS('QA Log'!D:D,A284,'QA Log'!M:M,"QQC",'QA Log'!Z:Z,"Rejected",'QA Log'!L:L,"*EPI*"),
COUNTIFS('QA Log'!D:D,A284,'QA Log'!M:M,"QQC",'QA Log'!Z:Z,"Rejected",'QA Log'!L:L,"*10. Antenatal Care (ANC)*"),
COUNTIFS('QA Log'!D:D,A284,'QA Log'!M:M,"QQC",'QA Log'!Z:Z,"Rejected",'QA Log'!L:L,"*2. Hygiene and Sterilization*"),
COUNTIFS('QA Log'!D:D,A284,'QA Log'!M:M,"QQC",'QA Log'!Z:Z,"Rejected",'QA Log'!L:L,"*Family Planning*")))</f>
        <v/>
      </c>
      <c r="S284" s="106" t="str">
        <f t="shared" si="27"/>
        <v/>
      </c>
      <c r="T284" s="102" t="str">
        <f t="shared" si="28"/>
        <v/>
      </c>
      <c r="U284" s="102" t="str">
        <f>IF(A284="","",
SUM(
COUNTIFS('QA Log'!D:D,A284,'QA Log'!M:M,"QQC",'QA Log'!L:L,"*8. Maternity*"),
COUNTIFS('QA Log'!D:D,A284,'QA Log'!M:M,"QQC",'QA Log'!L:L,"*9. EPI and Pre-school Consultation*"),
COUNTIFS('QA Log'!D:D,A284,'QA Log'!M:M,"QQC",'QA Log'!L:L,"*10. Antenatal Care (ANC)*"),
COUNTIFS('QA Log'!D:D,A284,'QA Log'!M:M,"QQC",'QA Log'!L:L,"*2. Hygiene and Sterilization*"),
COUNTIFS('QA Log'!D:D,A284,'QA Log'!M:M,"QQC",'QA Log'!L:L,"*4. Family Planning*")
))</f>
        <v/>
      </c>
      <c r="V284" s="102" t="str">
        <f>IF(A284="","",
SUM(
COUNTIFS('QA Log'!D:D,A284,'QA Log'!M:M,"QQC",'QA Log'!Z:Z,"Approved",'QA Log'!L:L,"*8. Maternity*"),
COUNTIFS('QA Log'!D:D,A284,'QA Log'!M:M,"QQC",'QA Log'!Z:Z,"Approved",'QA Log'!L:L,"*9. EPI and Pre-school Consultation*"),
COUNTIFS('QA Log'!D:D,A284,'QA Log'!M:M,"QQC",'QA Log'!Z:Z,"Approved",'QA Log'!L:L,"*10. Antenatal Care (ANC)*"),
COUNTIFS('QA Log'!D:D,A284,'QA Log'!M:M,"QQC",'QA Log'!Z:Z,"Approved",'QA Log'!L:L,"*2. Hygiene and Sterilization*"),
COUNTIFS('QA Log'!D:D,A284,'QA Log'!M:M,"QQC",'QA Log'!Z:Z,"Approved",'QA Log'!L:L,"*4. Family Planning*")
))</f>
        <v/>
      </c>
      <c r="W284" s="105" t="str">
        <f>IF(A284&lt;&gt;"",COUNTIFS('QA Log'!D:D,A284,'QA Log'!M:M,"QQC",'QA Log'!L:L,"8. Maternity",'QA Log'!Z:Z,"Approved"),"")</f>
        <v/>
      </c>
      <c r="X284" s="105" t="str">
        <f>IF(A284&lt;&gt;"",COUNTIFS('QA Log'!D:D,A284,'QA Log'!M:M,"QQC",'QA Log'!L:L,"9. EPI and Pre-school Consultation",'QA Log'!Z:Z,"Approved"),"")</f>
        <v/>
      </c>
      <c r="Y284" s="105" t="str">
        <f>IF(A284&lt;&gt;"",COUNTIFS('QA Log'!D:D,A284,'QA Log'!M:M,"QQC",'QA Log'!L:L,"10. Antenatal Care (ANC)",'QA Log'!Z:Z,"Approved"),"")</f>
        <v/>
      </c>
      <c r="Z284" s="105" t="str">
        <f>IF(A284&lt;&gt;"",COUNTIFS('QA Log'!D:D,A284,'QA Log'!M:M,"QQC",'QA Log'!L:L,"2. Hygiene and Sterilization",'QA Log'!Z:Z,"Approved"),"")</f>
        <v/>
      </c>
      <c r="AA284" s="105" t="str">
        <f>IF(A284&lt;&gt;"",COUNTIFS('QA Log'!D:D,A284,'QA Log'!M:M,"QQC",'QA Log'!L:L,"4. Family Planning",'QA Log'!Z:Z,"Approved"),"")</f>
        <v/>
      </c>
      <c r="AB284" s="102" t="str">
        <f>IF(A284="","",
SUM(
COUNTIFS('QA Log'!D:D,A284,'QA Log'!M:M,"QQC",'QA Log'!Z:Z,"Rejected",'QA Log'!L:L,"*8. Maternity*"),
COUNTIFS('QA Log'!D:D,A284,'QA Log'!M:M,"QQC",'QA Log'!Z:Z,"Rejected",'QA Log'!L:L,"*9. EPI and Pre-school Consultation*"),
COUNTIFS('QA Log'!D:D,A284,'QA Log'!M:M,"QQC",'QA Log'!Z:Z,"Rejected",'QA Log'!L:L,"*10. Antenatal Care (ANC)*"),
COUNTIFS('QA Log'!D:D,A284,'QA Log'!M:M,"QQC",'QA Log'!Z:Z,"Rejected",'QA Log'!L:L,"*2. Hygiene and Sterilization*"),
COUNTIFS('QA Log'!D:D,A284,'QA Log'!M:M,"QQC",'QA Log'!Z:Z,"Rejected",'QA Log'!L:L,"*4. Family Planning*")
))</f>
        <v/>
      </c>
      <c r="AC284" s="102" t="str">
        <f t="shared" si="29"/>
        <v/>
      </c>
      <c r="AD284" s="103" t="str">
        <f t="shared" si="30"/>
        <v/>
      </c>
      <c r="AE284" s="102" t="str">
        <f>IF(A284="","",
SUM(
COUNTIFS('QA Log'!D:D,A284,'QA Log'!M:M,"Data Verification",'QA Log'!L:L,"*Medicine (section 2)*"),
COUNTIFS('QA Log'!D:D,A284,'QA Log'!M:M,"Data Verification",'QA Log'!L:L,"*Lab Testing Availability*"),
COUNTIFS('QA Log'!D:D,A284,'QA Log'!M:M,"Data Verification",'QA Log'!L:L,"*Other than P4P (section 6)*"),
COUNTIFS('QA Log'!D:D,A284,'QA Log'!M:M,"Data Verification",'QA Log'!L:L,"*Hospital Governance*")
))</f>
        <v/>
      </c>
      <c r="AF284" s="102" t="str">
        <f>IF(A284="","",
SUM(
COUNTIFS('QA Log'!D:D,A284,'QA Log'!M:M,"Data Verification",'QA Log'!Z:Z,"Approved",'QA Log'!L:L,"*Medicine (section 2)*"),
COUNTIFS('QA Log'!D:D,A284,'QA Log'!M:M,"Data Verification",'QA Log'!Z:Z,"Approved",'QA Log'!L:L,"*Lab Testing Availability*"),
COUNTIFS('QA Log'!D:D,A284,'QA Log'!M:M,"Data Verification",'QA Log'!Z:Z,"Approved",'QA Log'!L:L,"*Other than P4P (section 6)*"),
COUNTIFS('QA Log'!D:D,A284,'QA Log'!M:M,"Data Verification",'QA Log'!Z:Z,"Approved",'QA Log'!L:L,"*Hospital Governance*")
))</f>
        <v/>
      </c>
      <c r="AG284" s="105" t="str">
        <f>IF(A284&lt;&gt;"",COUNTIFS('QA Log'!D:D,A284,'QA Log'!M:M,"Data Verification",'QA Log'!L:L,"Medicine (section 2)",'QA Log'!Z:Z,"Approved"),"")</f>
        <v/>
      </c>
      <c r="AH284" s="105" t="str">
        <f>IF(A284&lt;&gt;"",COUNTIFS('QA Log'!D:D,A284,'QA Log'!M:M,"Data Verification",'QA Log'!L:L,"Lab Testing Availability",'QA Log'!Z:Z,"Approved"),"")</f>
        <v/>
      </c>
      <c r="AI284" s="105" t="str">
        <f>IF(A284&lt;&gt;"",COUNTIFS('QA Log'!D:D,A284,'QA Log'!M:M,"Data Verification",'QA Log'!L:L,"Other than P4P (section 6)",'QA Log'!Z:Z,"Approved"),"")</f>
        <v/>
      </c>
      <c r="AJ284" s="105" t="str">
        <f>IF(A284&lt;&gt;"",COUNTIFS('QA Log'!D:D,A284,'QA Log'!M:M,"Data Verification",'QA Log'!L:L,"Hospital Governance",'QA Log'!Z:Z,"Approved"),"")</f>
        <v/>
      </c>
      <c r="AK284" s="102" t="str">
        <f>IF(A284="","",
SUM(
COUNTIFS('QA Log'!D:D,A284,'QA Log'!M:M,"Data Verification",'QA Log'!Z:Z,"Rejected",'QA Log'!L:L,"*Medicine (section 2)*"),
COUNTIFS('QA Log'!D:D,A284,'QA Log'!M:M,"Data Verification",'QA Log'!Z:Z,"Rejected",'QA Log'!L:L,"*Lab Testing Availability*"),
COUNTIFS('QA Log'!D:D,A284,'QA Log'!M:M,"Data Verification",'QA Log'!Z:Z,"Rejected",'QA Log'!L:L,"*Other than P4P (section 6)*"),
COUNTIFS('QA Log'!D:D,A284,'QA Log'!M:M,"Data Verification",'QA Log'!Z:Z,"Rejected",'QA Log'!L:L,"*Hospital Governance*")
))</f>
        <v/>
      </c>
      <c r="AL284" s="106" t="str">
        <f t="shared" si="31"/>
        <v/>
      </c>
      <c r="AM284" s="102" t="str">
        <f t="shared" si="32"/>
        <v/>
      </c>
      <c r="AN284" s="102" t="str">
        <f>IF(A284="","",
SUM(
COUNTIFS('QA Log'!D:D,A284,'QA Log'!M:M,"Data Verification",'QA Log'!L:L,"*Personnel (section 1)*"),
COUNTIFS('QA Log'!D:D,A284,'QA Log'!M:M,"Data Verification",'QA Log'!L:L,"*Consumable (section 3)*"),
COUNTIFS('QA Log'!D:D,A284,'QA Log'!M:M,"Data Verification",'QA Log'!L:L,"*Equipments (section 4)*")
))</f>
        <v/>
      </c>
      <c r="AO284" s="102" t="str">
        <f>IF(A284="","",
SUM(
COUNTIFS('QA Log'!D:D,A284,'QA Log'!M:M,"Data Verification",'QA Log'!Z:Z,"Approved",'QA Log'!L:L,"*Personnel (section 1)*"),
COUNTIFS('QA Log'!D:D,A284,'QA Log'!M:M,"Data Verification",'QA Log'!Z:Z,"Approved",'QA Log'!L:L,"*Consumable (section 3)*"),
COUNTIFS('QA Log'!D:D,A284,'QA Log'!M:M,"Data Verification",'QA Log'!Z:Z,"Approved",'QA Log'!L:L,"*Equipments (section 4)*")
))</f>
        <v/>
      </c>
      <c r="AP284" s="105" t="str">
        <f>IF(A284&lt;&gt;"",COUNTIFS('QA Log'!D:D,A284,'QA Log'!M:M,"Data Verification",'QA Log'!L:L,"Personnel (section 1)",'QA Log'!Z:Z,"Approved"),"")</f>
        <v/>
      </c>
      <c r="AQ284" s="105" t="str">
        <f>IF(A284&lt;&gt;"",COUNTIFS('QA Log'!D:D,A284,'QA Log'!M:M,"Data Verification",'QA Log'!L:L,"Consumable (section 3)",'QA Log'!Z:Z,"Approved"),"")</f>
        <v/>
      </c>
      <c r="AR284" s="105" t="str">
        <f>IF(A284&lt;&gt;"",COUNTIFS('QA Log'!D:D,A284,'QA Log'!M:M,"Data Verification",'QA Log'!L:L,"Equipments (section 4)",'QA Log'!Z:Z,"Approved"),"")</f>
        <v/>
      </c>
      <c r="AS284" s="102" t="str">
        <f>IF(A284="","",
SUM(
COUNTIFS('QA Log'!D:D,A284,'QA Log'!M:M,"Data Verification",'QA Log'!Z:Z,"Rejected",'QA Log'!L:L,"*Personnel (section 1)*"),
COUNTIFS('QA Log'!D:D,A284,'QA Log'!M:M,"Data Verification",'QA Log'!Z:Z,"Rejected",'QA Log'!L:L,"*Consumable (section 3)*"),
COUNTIFS('QA Log'!D:D,A284,'QA Log'!M:M,"Data Verification",'QA Log'!Z:Z,"Rejected",'QA Log'!L:L,"*Equipments (section 4)*")
))</f>
        <v/>
      </c>
      <c r="AT284" s="102" t="str">
        <f t="shared" si="33"/>
        <v/>
      </c>
      <c r="AU284" s="103" t="str">
        <f t="shared" si="34"/>
        <v/>
      </c>
      <c r="AV284" s="102" t="str">
        <f>IF(A284="","",SUM(
COUNTIFS('QA Log'!D:D,A284,'QA Log'!M:M,"Vignette",'QA Log'!L:L,"*Vignette [1] Respiratory Infection: Pneumonia*"),
COUNTIFS('QA Log'!D:D,A284,'QA Log'!M:M,"Vignette",'QA Log'!L:L,"*Vignette [2]: Diarrhea with Cat B dehydration*"),
COUNTIFS('QA Log'!D:D,A284,'QA Log'!M:M,"Vignette",'QA Log'!L:L,"*Vignette [3] Growth Monitoring and Promotion*"),
COUNTIFS('QA Log'!D:D,A284,'QA Log'!M:M,"Vignette",'QA Log'!L:L,"*Vignette [4]: The management of presumptive TB patient*")
)
)</f>
        <v/>
      </c>
      <c r="AW284" s="102" t="str">
        <f>IF(
  A284="","",
  SUM(
    COUNTIFS('QA Log'!D:D,A284,'QA Log'!M:M,"Vignette",'QA Log'!Z:Z,"Approved",'QA Log'!L:L,"*Vignette [1] Respiratory Infection: Pneumonia*"),
    COUNTIFS('QA Log'!D:D,A284,'QA Log'!M:M,"Vignette",'QA Log'!Z:Z,"Approved",'QA Log'!L:L,"*Vignette [2]: Diarrhea with Cat B dehydration*"),
    COUNTIFS('QA Log'!D:D,A284,'QA Log'!M:M,"Vignette",'QA Log'!Z:Z,"Approved",'QA Log'!L:L,"*Vignette [3] Growth Monitoring and Promotion*"),
    COUNTIFS('QA Log'!D:D,A284,'QA Log'!M:M,"Vignette",'QA Log'!Z:Z,"Approved",'QA Log'!L:L,"*Vignette [4]: The management of presumptive TB patient*")
  )
)</f>
        <v/>
      </c>
      <c r="AX284" s="105" t="str">
        <f>IF(A284&lt;&gt;"",COUNTIFS('QA Log'!D:D,A284,'QA Log'!M:M,"Vignette",'QA Log'!L:L,"Vignette [1] Respiratory Infection: Pneumonia",'QA Log'!Z:Z,"Approved"),"")</f>
        <v/>
      </c>
      <c r="AY284" s="105" t="str">
        <f>IF(A284&lt;&gt;"",COUNTIFS('QA Log'!D:D,A284,'QA Log'!M:M,"Vignette",'QA Log'!L:L,"Vignette [2]: Diarrhea with Cat B dehydration",'QA Log'!Z:Z,"Approved"),"")</f>
        <v/>
      </c>
      <c r="AZ284" s="105" t="str">
        <f>IF(A284&lt;&gt;"",COUNTIFS('QA Log'!D:D,A284,'QA Log'!M:M,"Vignette",'QA Log'!L:L,"Vignette [3] Growth Monitoring and Promotion",'QA Log'!Z:Z,"Approved"),"")</f>
        <v/>
      </c>
      <c r="BA284" s="105" t="str">
        <f>IF(A284&lt;&gt;"",COUNTIFS('QA Log'!D:D,A284,'QA Log'!M:M,"Vignette",'QA Log'!L:L,"Vignette [4]: The management of presumptive TB patient",'QA Log'!Z:Z,"Approved"),"")</f>
        <v/>
      </c>
      <c r="BB284" s="102" t="str">
        <f>IF(A284="","",
  SUM(
    COUNTIFS('QA Log'!D:D,A284,'QA Log'!M:M,"Vignette",'QA Log'!Z:Z,"Rejected",'QA Log'!L:L,"*Vignette [1] Respiratory Infection: Pneumonia*"),
    COUNTIFS('QA Log'!D:D,A284,'QA Log'!M:M,"Vignette",'QA Log'!Z:Z,"Rejected",'QA Log'!L:L,"*Vignette [2]: Diarrhea with Cat B dehydration*"),
    COUNTIFS('QA Log'!D:D,A284,'QA Log'!M:M,"Vignette",'QA Log'!Z:Z,"Rejected",'QA Log'!L:L,"*Vignette [3] Growth Monitoring and Promotion*"),
    COUNTIFS('QA Log'!D:D,A284,'QA Log'!M:M,"Vignette",'QA Log'!Z:Z,"Rejected",'QA Log'!L:L,"*Vignette [4]: The management of presumptive TB patient*")
  )
)</f>
        <v/>
      </c>
      <c r="BC284" s="107" t="str">
        <f t="shared" si="35"/>
        <v/>
      </c>
      <c r="BD284" s="103" t="str">
        <f t="shared" si="36"/>
        <v/>
      </c>
      <c r="BE284" s="102" t="str">
        <f>IF(A284="","",SUM(
COUNTIFS('QA Log'!D:D,A284,'QA Log'!M:M,"Vignette",'QA Log'!L:L,"*Vignette [5] Labor*"),
COUNTIFS('QA Log'!D:D,A284,'QA Log'!M:M,"Vignette",'QA Log'!L:L,"*Vignette [6] PNC pre Discharge*"),
COUNTIFS('QA Log'!D:D,A284,'QA Log'!M:M,"Vignette",'QA Log'!L:L,"*Vignette [7] First ANC Visit*"),
COUNTIFS('QA Log'!D:D,A284,'QA Log'!M:M,"Vignette",'QA Log'!L:L,"*Vignette [8] Birth Spacing/ Family Planning :  FP Counselling*"),
COUNTIFS('QA Log'!D:D,A284,'QA Log'!M:M,"Vignette",'QA Log'!L:L,"*Vignette [9] Birth Spacing: Change FP method to Injectable*"),
COUNTIFS('QA Log'!D:D,A284,'QA Log'!M:M,"Vignette",'QA Log'!L:L,"*Vignette [10] Post Partum Haemorrhage - Atonic Uterus at Health Centre*"),
)
)</f>
        <v/>
      </c>
      <c r="BF284" s="102" t="str">
        <f>IF(A284="","",
  SUM(
    COUNTIFS('QA Log'!D:D,A284,'QA Log'!M:M,"Vignette",'QA Log'!Z:Z,"Approved",'QA Log'!L:L,"*Vignette [5] Labor*"),
    COUNTIFS('QA Log'!D:D,A284,'QA Log'!M:M,"Vignette",'QA Log'!Z:Z,"Approved",'QA Log'!L:L,"*Vignette [6] PNC pre Discharge*"),
    COUNTIFS('QA Log'!D:D,A284,'QA Log'!M:M,"Vignette",'QA Log'!Z:Z,"Approved",'QA Log'!L:L,"*Vignette [7] First ANC Visit*"),
    COUNTIFS('QA Log'!D:D,A284,'QA Log'!M:M,"Vignette",'QA Log'!Z:Z,"Approved",'QA Log'!L:L,"*Vignette [8] Birth Spacing/ Family Planning :  FP Counselling*"),
    COUNTIFS('QA Log'!D:D,A284,'QA Log'!M:M,"Vignette",'QA Log'!Z:Z,"Approved",'QA Log'!L:L,"*Vignette [9] Birth Spacing: Change FP method to Injectable*"),
    COUNTIFS('QA Log'!D:D,A284,'QA Log'!M:M,"Vignette",'QA Log'!Z:Z,"Approved",'QA Log'!L:L,"*Vignette [10] Post Partum Haemorrhage - Atonic Uterus at Health Centre*")
  )
)</f>
        <v/>
      </c>
      <c r="BG284" s="105" t="str">
        <f>IF(A284&lt;&gt;"",COUNTIFS('QA Log'!D:D,A284,'QA Log'!M:M,"Vignette",'QA Log'!L:L,"Vignette [5] Labor",'QA Log'!Z:Z,"Approved"),"")</f>
        <v/>
      </c>
      <c r="BH284" s="105" t="str">
        <f>IF(A284&lt;&gt;"",COUNTIFS('QA Log'!D:D,A284,'QA Log'!M:M,"Vignette",'QA Log'!L:L,"Vignette [6] PNC pre Discharge",'QA Log'!Z:Z,"Approved"),"")</f>
        <v/>
      </c>
      <c r="BI284" s="105" t="str">
        <f>IF(A284&lt;&gt;"",COUNTIFS('QA Log'!D:D,A284,'QA Log'!M:M,"Vignette",'QA Log'!L:L,"Vignette [7] First ANC Visit",'QA Log'!Z:Z,"Approved"),"")</f>
        <v/>
      </c>
      <c r="BJ284" s="105" t="str">
        <f>IF(A284&lt;&gt;"",COUNTIFS('QA Log'!D:D,A284,'QA Log'!M:M,"Vignette",'QA Log'!L:L,"Vignette [8] Birth Spacing/ Family Planning :  FP Counselling",'QA Log'!Z:Z,"Approved"),"")</f>
        <v/>
      </c>
      <c r="BK284" s="105" t="str">
        <f>IF(A284&lt;&gt;"",COUNTIFS('QA Log'!D:D,A284,'QA Log'!M:M,"Vignette",'QA Log'!L:L,"Vignette [9] Birth Spacing: Change FP method to Injectable",'QA Log'!Z:Z,"Approved"),"")</f>
        <v/>
      </c>
      <c r="BL284" s="105" t="str">
        <f>IF(A284&lt;&gt;"",COUNTIFS('QA Log'!D:D,A284,'QA Log'!M:M,"Vignette",'QA Log'!L:L,"Vignette [10] Post Partum Haemorrhage - Atonic Uterus at Health Centre",'QA Log'!Z:Z,"Approved"),"")</f>
        <v/>
      </c>
      <c r="BM284" s="102" t="str">
        <f>IF(A284="","",SUM(
    COUNTIFS('QA Log'!D:D,A284,'QA Log'!M:M,"Vignette",'QA Log'!Z:Z,"Rejected",'QA Log'!L:L,"*Vignette [5] Labor*"),
    COUNTIFS('QA Log'!D:D,A284,'QA Log'!M:M,"Vignette",'QA Log'!Z:Z,"Rejected",'QA Log'!L:L,"*Vignette [6] PNC pre Discharge*"),
    COUNTIFS('QA Log'!D:D,A284,'QA Log'!M:M,"Vignette",'QA Log'!Z:Z,"Rejected",'QA Log'!L:L,"*Vignette [7] First ANC Visit*"),
    COUNTIFS('QA Log'!D:D,A284,'QA Log'!M:M,"Vignette",'QA Log'!Z:Z,"Rejected",'QA Log'!L:L,"*Vignette [8] Birth Spacing/ Family Planning :  FP Counselling*"),
    COUNTIFS('QA Log'!D:D,A284,'QA Log'!M:M,"Vignette",'QA Log'!Z:Z,"Rejected",'QA Log'!L:L,"*Vignette [9] Birth Spacing: Change FP method to Injectable*"),
    COUNTIFS('QA Log'!D:D,A284,'QA Log'!M:M,"Vignette",'QA Log'!Z:Z,"Rejected",'QA Log'!L:L,"*Vignette [10] Post Partum Haemorrhage - Atonic Uterus at Health Centre*")
  )
)</f>
        <v/>
      </c>
      <c r="BN284" s="107" t="str">
        <f t="shared" si="37"/>
        <v/>
      </c>
      <c r="BO284" s="103" t="str">
        <f t="shared" si="38"/>
        <v/>
      </c>
      <c r="BP284" s="102" t="str">
        <f>IF(A284="","",SUM(
COUNTIFS('QA Log'!D:D,A284,'QA Log'!M:M,"Vignette",'QA Log'!L:L,"*Exit Interview 1*"),
COUNTIFS('QA Log'!D:D,A284,'QA Log'!M:M,"Vignette",'QA Log'!L:L,"*Exit Interview 2*"),
)
)</f>
        <v/>
      </c>
      <c r="BQ284" s="102" t="str">
        <f>IF(
  A284="","",
  SUM(
    COUNTIFS('QA Log'!D:D,A284,'QA Log'!M:M,"Vignette",'QA Log'!Z:Z,"Approved",'QA Log'!L:L,"*Exit Interview 1*"),
    COUNTIFS('QA Log'!D:D,A284,'QA Log'!M:M,"Vignette",'QA Log'!Z:Z,"Approved",'QA Log'!L:L,"*Exit Interview 2*")
  )
)</f>
        <v/>
      </c>
      <c r="BR284" s="105" t="str">
        <f>IF(A284&lt;&gt;"",COUNTIFS('QA Log'!D:D,A284,'QA Log'!M:M,"Vignette",'QA Log'!L:L,"Exit Interview 1",'QA Log'!Z:Z,"Approved"),"")</f>
        <v/>
      </c>
      <c r="BS284" s="105" t="str">
        <f>IF(A284&lt;&gt;"",COUNTIFS('QA Log'!D:D,A284,'QA Log'!M:M,"Vignette",'QA Log'!L:L,"Exit Interview 2",'QA Log'!Z:Z,"Approved"),"")</f>
        <v/>
      </c>
      <c r="BT284" s="102" t="str">
        <f>IF(
  A284="","",
  SUM(
    COUNTIFS('QA Log'!D:D,A284,'QA Log'!M:M,"Vignette",'QA Log'!Z:Z,"Rejected",'QA Log'!L:L,"*Exit Interview 1*"),
    COUNTIFS('QA Log'!D:D,A284,'QA Log'!M:M,"Vignette",'QA Log'!Z:Z,"Rejected",'QA Log'!L:L,"*Exit Interview 2*")
  )
)</f>
        <v/>
      </c>
      <c r="BU284" s="107" t="str">
        <f t="shared" si="39"/>
        <v/>
      </c>
      <c r="BV284" s="102" t="str">
        <f t="shared" si="40"/>
        <v/>
      </c>
      <c r="BW284" s="102" t="str">
        <f t="shared" si="41"/>
        <v/>
      </c>
      <c r="BX284" s="102" t="str">
        <f t="shared" si="42"/>
        <v/>
      </c>
      <c r="BY284" s="102" t="str">
        <f t="shared" si="43"/>
        <v/>
      </c>
      <c r="BZ284" s="107" t="str">
        <f t="shared" si="44"/>
        <v/>
      </c>
      <c r="CA284" s="108" t="str">
        <f t="shared" si="45"/>
        <v/>
      </c>
      <c r="CB284" s="108" t="str">
        <f t="shared" si="46"/>
        <v/>
      </c>
      <c r="CC284" s="109" t="str">
        <f t="shared" si="47"/>
        <v/>
      </c>
      <c r="CD284" s="108" t="str">
        <f t="shared" si="48"/>
        <v/>
      </c>
      <c r="CE284" s="108" t="str">
        <f t="shared" si="49"/>
        <v/>
      </c>
      <c r="CF284" s="109" t="str">
        <f t="shared" si="50"/>
        <v/>
      </c>
      <c r="CG284" s="110" t="str">
        <f t="shared" si="51"/>
        <v/>
      </c>
      <c r="CH284" s="111"/>
    </row>
    <row r="285" spans="1:86" ht="12.75">
      <c r="A285" s="101"/>
      <c r="B285" s="102" t="e">
        <f t="array" aca="1" ref="B285" ca="1">_xludf.XLOOKUP(A285,'QA Log'!D:D,'QA Log'!E:E,"")</f>
        <v>#NAME?</v>
      </c>
      <c r="C285" s="102" t="e">
        <f t="array" aca="1" ref="C285" ca="1">_xludf.XLOOKUP(A285,'QA Log'!D:D,'QA Log'!F:F,"")</f>
        <v>#NAME?</v>
      </c>
      <c r="D285" s="102" t="e">
        <f t="array" aca="1" ref="D285" ca="1">_xludf.XLOOKUP(A285,'QA Log'!D:D,'QA Log'!H:H,"")</f>
        <v>#NAME?</v>
      </c>
      <c r="E285" s="102" t="e">
        <f t="array" aca="1" ref="E285" ca="1">_xludf.XLOOKUP(A285,'QA Log'!D:D,'QA Log'!G:G,"")</f>
        <v>#NAME?</v>
      </c>
      <c r="F285" s="103"/>
      <c r="G285" s="104"/>
      <c r="H285" s="104"/>
      <c r="I285" s="103" t="str">
        <f t="shared" si="26"/>
        <v/>
      </c>
      <c r="J285" s="102" t="str">
        <f>IF(A285="","",SUM(
COUNTIFS('QA Log'!D:D,A285,'QA Log'!M:M,"QQC",'QA Log'!L:L,"*1. General Management*"),
COUNTIFS('QA Log'!D:D,A285,'QA Log'!M:M,"QQC",'QA Log'!L:L,"*3. Curative Consultation (OPD)*"),
COUNTIFS('QA Log'!D:D,A285,'QA Log'!M:M,"QQC",'QA Log'!L:L,"*5. Laboratory*"),
COUNTIFS('QA Log'!D:D,A285,'QA Log'!M:M,"QQC",'QA Log'!L:L,"*6. Essential Medicine Management*"),
COUNTIFS('QA Log'!D:D,A285,'QA Log'!M:M,"QQC",'QA Log'!L:L,"*7. Tracer Medicine*"),
COUNTIFS('QA Log'!D:D,A285,'QA Log'!M:M,"QQC",'QA Log'!L:L,"*11. Additional Questions*")))</f>
        <v/>
      </c>
      <c r="K285" s="102" t="str">
        <f>IF(A285="","",SUM(
COUNTIFS('QA Log'!D:D,A285,'QA Log'!M:M,"QQC",'QA Log'!Z:Z,"Approved",'QA Log'!L:L,"*1. General Management*"),
COUNTIFS('QA Log'!D:D,A285,'QA Log'!M:M,"QQC",'QA Log'!Z:Z,"Approved",'QA Log'!L:L,"*3. Curative Consultation (OPD)*"),
COUNTIFS('QA Log'!D:D,A285,'QA Log'!M:M,"QQC",'QA Log'!Z:Z,"Approved",'QA Log'!L:L,"*5. Laboratory*"),
COUNTIFS('QA Log'!D:D,A285,'QA Log'!M:M,"QQC",'QA Log'!Z:Z,"Approved",'QA Log'!L:L,"*6. Essential Medicine Management*"),
COUNTIFS('QA Log'!D:D,A285,'QA Log'!M:M,"QQC",'QA Log'!Z:Z,"Approved",'QA Log'!L:L,"*7. Tracer Medicine*"),
COUNTIFS('QA Log'!D:D,A285,'QA Log'!M:M,"QQC",'QA Log'!Z:Z,"Approved",'QA Log'!L:L,"*11. Additional Questions*")))</f>
        <v/>
      </c>
      <c r="L285" s="105" t="str">
        <f>IF(A285&lt;&gt;"",COUNTIFS('QA Log'!D:D,A285,'QA Log'!M:M,"QQC",'QA Log'!L:L,"1. General Management",'QA Log'!Z:Z,"Approved"),"")</f>
        <v/>
      </c>
      <c r="M285" s="105" t="str">
        <f>IF(A285&lt;&gt;"",COUNTIFS('QA Log'!D:D,A285,'QA Log'!M:M,"QQC",'QA Log'!L:L,"3. Curative Consultation (OPD)",'QA Log'!Z:Z,"Approved"),"")</f>
        <v/>
      </c>
      <c r="N285" s="105" t="str">
        <f>IF(A285&lt;&gt;"",COUNTIFS('QA Log'!D:D,A285,'QA Log'!M:M,"QQC",'QA Log'!L:L,"5. Laboratory",'QA Log'!Z:Z,"Approved"),"")</f>
        <v/>
      </c>
      <c r="O285" s="105" t="str">
        <f>IF(A285&lt;&gt;"",COUNTIFS('QA Log'!D:D,A285,'QA Log'!M:M,"QQC",'QA Log'!L:L,"6. Essential Medicine Management",'QA Log'!Z:Z,"Approved"),"")</f>
        <v/>
      </c>
      <c r="P285" s="105" t="str">
        <f>IF(A285&lt;&gt;"",COUNTIFS('QA Log'!D:D,A285,'QA Log'!M:M,"QQC",'QA Log'!L:L,"7. Tracer Medicine",'QA Log'!Z:Z,"Approved"),"")</f>
        <v/>
      </c>
      <c r="Q285" s="105" t="str">
        <f>IF(A285&lt;&gt;"",COUNTIFS('QA Log'!D:D,A285,'QA Log'!M:M,"QQC",'QA Log'!L:L,"11. Additional Questions",'QA Log'!Z:Z,"Approved"),"")</f>
        <v/>
      </c>
      <c r="R285" s="102" t="str">
        <f>IF(A285="","",SUM(
COUNTIFS('QA Log'!D:D,A285,'QA Log'!M:M,"QQC",'QA Log'!Z:Z,"Rejected",'QA Log'!L:L,"*8. Maternity*"),
COUNTIFS('QA Log'!D:D,A285,'QA Log'!M:M,"QQC",'QA Log'!Z:Z,"Rejected",'QA Log'!L:L,"*EPI*"),
COUNTIFS('QA Log'!D:D,A285,'QA Log'!M:M,"QQC",'QA Log'!Z:Z,"Rejected",'QA Log'!L:L,"*10. Antenatal Care (ANC)*"),
COUNTIFS('QA Log'!D:D,A285,'QA Log'!M:M,"QQC",'QA Log'!Z:Z,"Rejected",'QA Log'!L:L,"*2. Hygiene and Sterilization*"),
COUNTIFS('QA Log'!D:D,A285,'QA Log'!M:M,"QQC",'QA Log'!Z:Z,"Rejected",'QA Log'!L:L,"*Family Planning*")))</f>
        <v/>
      </c>
      <c r="S285" s="106" t="str">
        <f t="shared" si="27"/>
        <v/>
      </c>
      <c r="T285" s="102" t="str">
        <f t="shared" si="28"/>
        <v/>
      </c>
      <c r="U285" s="102" t="str">
        <f>IF(A285="","",
SUM(
COUNTIFS('QA Log'!D:D,A285,'QA Log'!M:M,"QQC",'QA Log'!L:L,"*8. Maternity*"),
COUNTIFS('QA Log'!D:D,A285,'QA Log'!M:M,"QQC",'QA Log'!L:L,"*9. EPI and Pre-school Consultation*"),
COUNTIFS('QA Log'!D:D,A285,'QA Log'!M:M,"QQC",'QA Log'!L:L,"*10. Antenatal Care (ANC)*"),
COUNTIFS('QA Log'!D:D,A285,'QA Log'!M:M,"QQC",'QA Log'!L:L,"*2. Hygiene and Sterilization*"),
COUNTIFS('QA Log'!D:D,A285,'QA Log'!M:M,"QQC",'QA Log'!L:L,"*4. Family Planning*")
))</f>
        <v/>
      </c>
      <c r="V285" s="102" t="str">
        <f>IF(A285="","",
SUM(
COUNTIFS('QA Log'!D:D,A285,'QA Log'!M:M,"QQC",'QA Log'!Z:Z,"Approved",'QA Log'!L:L,"*8. Maternity*"),
COUNTIFS('QA Log'!D:D,A285,'QA Log'!M:M,"QQC",'QA Log'!Z:Z,"Approved",'QA Log'!L:L,"*9. EPI and Pre-school Consultation*"),
COUNTIFS('QA Log'!D:D,A285,'QA Log'!M:M,"QQC",'QA Log'!Z:Z,"Approved",'QA Log'!L:L,"*10. Antenatal Care (ANC)*"),
COUNTIFS('QA Log'!D:D,A285,'QA Log'!M:M,"QQC",'QA Log'!Z:Z,"Approved",'QA Log'!L:L,"*2. Hygiene and Sterilization*"),
COUNTIFS('QA Log'!D:D,A285,'QA Log'!M:M,"QQC",'QA Log'!Z:Z,"Approved",'QA Log'!L:L,"*4. Family Planning*")
))</f>
        <v/>
      </c>
      <c r="W285" s="105" t="str">
        <f>IF(A285&lt;&gt;"",COUNTIFS('QA Log'!D:D,A285,'QA Log'!M:M,"QQC",'QA Log'!L:L,"8. Maternity",'QA Log'!Z:Z,"Approved"),"")</f>
        <v/>
      </c>
      <c r="X285" s="105" t="str">
        <f>IF(A285&lt;&gt;"",COUNTIFS('QA Log'!D:D,A285,'QA Log'!M:M,"QQC",'QA Log'!L:L,"9. EPI and Pre-school Consultation",'QA Log'!Z:Z,"Approved"),"")</f>
        <v/>
      </c>
      <c r="Y285" s="105" t="str">
        <f>IF(A285&lt;&gt;"",COUNTIFS('QA Log'!D:D,A285,'QA Log'!M:M,"QQC",'QA Log'!L:L,"10. Antenatal Care (ANC)",'QA Log'!Z:Z,"Approved"),"")</f>
        <v/>
      </c>
      <c r="Z285" s="105" t="str">
        <f>IF(A285&lt;&gt;"",COUNTIFS('QA Log'!D:D,A285,'QA Log'!M:M,"QQC",'QA Log'!L:L,"2. Hygiene and Sterilization",'QA Log'!Z:Z,"Approved"),"")</f>
        <v/>
      </c>
      <c r="AA285" s="105" t="str">
        <f>IF(A285&lt;&gt;"",COUNTIFS('QA Log'!D:D,A285,'QA Log'!M:M,"QQC",'QA Log'!L:L,"4. Family Planning",'QA Log'!Z:Z,"Approved"),"")</f>
        <v/>
      </c>
      <c r="AB285" s="102" t="str">
        <f>IF(A285="","",
SUM(
COUNTIFS('QA Log'!D:D,A285,'QA Log'!M:M,"QQC",'QA Log'!Z:Z,"Rejected",'QA Log'!L:L,"*8. Maternity*"),
COUNTIFS('QA Log'!D:D,A285,'QA Log'!M:M,"QQC",'QA Log'!Z:Z,"Rejected",'QA Log'!L:L,"*9. EPI and Pre-school Consultation*"),
COUNTIFS('QA Log'!D:D,A285,'QA Log'!M:M,"QQC",'QA Log'!Z:Z,"Rejected",'QA Log'!L:L,"*10. Antenatal Care (ANC)*"),
COUNTIFS('QA Log'!D:D,A285,'QA Log'!M:M,"QQC",'QA Log'!Z:Z,"Rejected",'QA Log'!L:L,"*2. Hygiene and Sterilization*"),
COUNTIFS('QA Log'!D:D,A285,'QA Log'!M:M,"QQC",'QA Log'!Z:Z,"Rejected",'QA Log'!L:L,"*4. Family Planning*")
))</f>
        <v/>
      </c>
      <c r="AC285" s="102" t="str">
        <f t="shared" si="29"/>
        <v/>
      </c>
      <c r="AD285" s="103" t="str">
        <f t="shared" si="30"/>
        <v/>
      </c>
      <c r="AE285" s="102" t="str">
        <f>IF(A285="","",
SUM(
COUNTIFS('QA Log'!D:D,A285,'QA Log'!M:M,"Data Verification",'QA Log'!L:L,"*Medicine (section 2)*"),
COUNTIFS('QA Log'!D:D,A285,'QA Log'!M:M,"Data Verification",'QA Log'!L:L,"*Lab Testing Availability*"),
COUNTIFS('QA Log'!D:D,A285,'QA Log'!M:M,"Data Verification",'QA Log'!L:L,"*Other than P4P (section 6)*"),
COUNTIFS('QA Log'!D:D,A285,'QA Log'!M:M,"Data Verification",'QA Log'!L:L,"*Hospital Governance*")
))</f>
        <v/>
      </c>
      <c r="AF285" s="102" t="str">
        <f>IF(A285="","",
SUM(
COUNTIFS('QA Log'!D:D,A285,'QA Log'!M:M,"Data Verification",'QA Log'!Z:Z,"Approved",'QA Log'!L:L,"*Medicine (section 2)*"),
COUNTIFS('QA Log'!D:D,A285,'QA Log'!M:M,"Data Verification",'QA Log'!Z:Z,"Approved",'QA Log'!L:L,"*Lab Testing Availability*"),
COUNTIFS('QA Log'!D:D,A285,'QA Log'!M:M,"Data Verification",'QA Log'!Z:Z,"Approved",'QA Log'!L:L,"*Other than P4P (section 6)*"),
COUNTIFS('QA Log'!D:D,A285,'QA Log'!M:M,"Data Verification",'QA Log'!Z:Z,"Approved",'QA Log'!L:L,"*Hospital Governance*")
))</f>
        <v/>
      </c>
      <c r="AG285" s="105" t="str">
        <f>IF(A285&lt;&gt;"",COUNTIFS('QA Log'!D:D,A285,'QA Log'!M:M,"Data Verification",'QA Log'!L:L,"Medicine (section 2)",'QA Log'!Z:Z,"Approved"),"")</f>
        <v/>
      </c>
      <c r="AH285" s="105" t="str">
        <f>IF(A285&lt;&gt;"",COUNTIFS('QA Log'!D:D,A285,'QA Log'!M:M,"Data Verification",'QA Log'!L:L,"Lab Testing Availability",'QA Log'!Z:Z,"Approved"),"")</f>
        <v/>
      </c>
      <c r="AI285" s="105" t="str">
        <f>IF(A285&lt;&gt;"",COUNTIFS('QA Log'!D:D,A285,'QA Log'!M:M,"Data Verification",'QA Log'!L:L,"Other than P4P (section 6)",'QA Log'!Z:Z,"Approved"),"")</f>
        <v/>
      </c>
      <c r="AJ285" s="105" t="str">
        <f>IF(A285&lt;&gt;"",COUNTIFS('QA Log'!D:D,A285,'QA Log'!M:M,"Data Verification",'QA Log'!L:L,"Hospital Governance",'QA Log'!Z:Z,"Approved"),"")</f>
        <v/>
      </c>
      <c r="AK285" s="102" t="str">
        <f>IF(A285="","",
SUM(
COUNTIFS('QA Log'!D:D,A285,'QA Log'!M:M,"Data Verification",'QA Log'!Z:Z,"Rejected",'QA Log'!L:L,"*Medicine (section 2)*"),
COUNTIFS('QA Log'!D:D,A285,'QA Log'!M:M,"Data Verification",'QA Log'!Z:Z,"Rejected",'QA Log'!L:L,"*Lab Testing Availability*"),
COUNTIFS('QA Log'!D:D,A285,'QA Log'!M:M,"Data Verification",'QA Log'!Z:Z,"Rejected",'QA Log'!L:L,"*Other than P4P (section 6)*"),
COUNTIFS('QA Log'!D:D,A285,'QA Log'!M:M,"Data Verification",'QA Log'!Z:Z,"Rejected",'QA Log'!L:L,"*Hospital Governance*")
))</f>
        <v/>
      </c>
      <c r="AL285" s="106" t="str">
        <f t="shared" si="31"/>
        <v/>
      </c>
      <c r="AM285" s="102" t="str">
        <f t="shared" si="32"/>
        <v/>
      </c>
      <c r="AN285" s="102" t="str">
        <f>IF(A285="","",
SUM(
COUNTIFS('QA Log'!D:D,A285,'QA Log'!M:M,"Data Verification",'QA Log'!L:L,"*Personnel (section 1)*"),
COUNTIFS('QA Log'!D:D,A285,'QA Log'!M:M,"Data Verification",'QA Log'!L:L,"*Consumable (section 3)*"),
COUNTIFS('QA Log'!D:D,A285,'QA Log'!M:M,"Data Verification",'QA Log'!L:L,"*Equipments (section 4)*")
))</f>
        <v/>
      </c>
      <c r="AO285" s="102" t="str">
        <f>IF(A285="","",
SUM(
COUNTIFS('QA Log'!D:D,A285,'QA Log'!M:M,"Data Verification",'QA Log'!Z:Z,"Approved",'QA Log'!L:L,"*Personnel (section 1)*"),
COUNTIFS('QA Log'!D:D,A285,'QA Log'!M:M,"Data Verification",'QA Log'!Z:Z,"Approved",'QA Log'!L:L,"*Consumable (section 3)*"),
COUNTIFS('QA Log'!D:D,A285,'QA Log'!M:M,"Data Verification",'QA Log'!Z:Z,"Approved",'QA Log'!L:L,"*Equipments (section 4)*")
))</f>
        <v/>
      </c>
      <c r="AP285" s="105" t="str">
        <f>IF(A285&lt;&gt;"",COUNTIFS('QA Log'!D:D,A285,'QA Log'!M:M,"Data Verification",'QA Log'!L:L,"Personnel (section 1)",'QA Log'!Z:Z,"Approved"),"")</f>
        <v/>
      </c>
      <c r="AQ285" s="105" t="str">
        <f>IF(A285&lt;&gt;"",COUNTIFS('QA Log'!D:D,A285,'QA Log'!M:M,"Data Verification",'QA Log'!L:L,"Consumable (section 3)",'QA Log'!Z:Z,"Approved"),"")</f>
        <v/>
      </c>
      <c r="AR285" s="105" t="str">
        <f>IF(A285&lt;&gt;"",COUNTIFS('QA Log'!D:D,A285,'QA Log'!M:M,"Data Verification",'QA Log'!L:L,"Equipments (section 4)",'QA Log'!Z:Z,"Approved"),"")</f>
        <v/>
      </c>
      <c r="AS285" s="102" t="str">
        <f>IF(A285="","",
SUM(
COUNTIFS('QA Log'!D:D,A285,'QA Log'!M:M,"Data Verification",'QA Log'!Z:Z,"Rejected",'QA Log'!L:L,"*Personnel (section 1)*"),
COUNTIFS('QA Log'!D:D,A285,'QA Log'!M:M,"Data Verification",'QA Log'!Z:Z,"Rejected",'QA Log'!L:L,"*Consumable (section 3)*"),
COUNTIFS('QA Log'!D:D,A285,'QA Log'!M:M,"Data Verification",'QA Log'!Z:Z,"Rejected",'QA Log'!L:L,"*Equipments (section 4)*")
))</f>
        <v/>
      </c>
      <c r="AT285" s="102" t="str">
        <f t="shared" si="33"/>
        <v/>
      </c>
      <c r="AU285" s="103" t="str">
        <f t="shared" si="34"/>
        <v/>
      </c>
      <c r="AV285" s="102" t="str">
        <f>IF(A285="","",SUM(
COUNTIFS('QA Log'!D:D,A285,'QA Log'!M:M,"Vignette",'QA Log'!L:L,"*Vignette [1] Respiratory Infection: Pneumonia*"),
COUNTIFS('QA Log'!D:D,A285,'QA Log'!M:M,"Vignette",'QA Log'!L:L,"*Vignette [2]: Diarrhea with Cat B dehydration*"),
COUNTIFS('QA Log'!D:D,A285,'QA Log'!M:M,"Vignette",'QA Log'!L:L,"*Vignette [3] Growth Monitoring and Promotion*"),
COUNTIFS('QA Log'!D:D,A285,'QA Log'!M:M,"Vignette",'QA Log'!L:L,"*Vignette [4]: The management of presumptive TB patient*")
)
)</f>
        <v/>
      </c>
      <c r="AW285" s="102" t="str">
        <f>IF(
  A285="","",
  SUM(
    COUNTIFS('QA Log'!D:D,A285,'QA Log'!M:M,"Vignette",'QA Log'!Z:Z,"Approved",'QA Log'!L:L,"*Vignette [1] Respiratory Infection: Pneumonia*"),
    COUNTIFS('QA Log'!D:D,A285,'QA Log'!M:M,"Vignette",'QA Log'!Z:Z,"Approved",'QA Log'!L:L,"*Vignette [2]: Diarrhea with Cat B dehydration*"),
    COUNTIFS('QA Log'!D:D,A285,'QA Log'!M:M,"Vignette",'QA Log'!Z:Z,"Approved",'QA Log'!L:L,"*Vignette [3] Growth Monitoring and Promotion*"),
    COUNTIFS('QA Log'!D:D,A285,'QA Log'!M:M,"Vignette",'QA Log'!Z:Z,"Approved",'QA Log'!L:L,"*Vignette [4]: The management of presumptive TB patient*")
  )
)</f>
        <v/>
      </c>
      <c r="AX285" s="105" t="str">
        <f>IF(A285&lt;&gt;"",COUNTIFS('QA Log'!D:D,A285,'QA Log'!M:M,"Vignette",'QA Log'!L:L,"Vignette [1] Respiratory Infection: Pneumonia",'QA Log'!Z:Z,"Approved"),"")</f>
        <v/>
      </c>
      <c r="AY285" s="105" t="str">
        <f>IF(A285&lt;&gt;"",COUNTIFS('QA Log'!D:D,A285,'QA Log'!M:M,"Vignette",'QA Log'!L:L,"Vignette [2]: Diarrhea with Cat B dehydration",'QA Log'!Z:Z,"Approved"),"")</f>
        <v/>
      </c>
      <c r="AZ285" s="105" t="str">
        <f>IF(A285&lt;&gt;"",COUNTIFS('QA Log'!D:D,A285,'QA Log'!M:M,"Vignette",'QA Log'!L:L,"Vignette [3] Growth Monitoring and Promotion",'QA Log'!Z:Z,"Approved"),"")</f>
        <v/>
      </c>
      <c r="BA285" s="105" t="str">
        <f>IF(A285&lt;&gt;"",COUNTIFS('QA Log'!D:D,A285,'QA Log'!M:M,"Vignette",'QA Log'!L:L,"Vignette [4]: The management of presumptive TB patient",'QA Log'!Z:Z,"Approved"),"")</f>
        <v/>
      </c>
      <c r="BB285" s="102" t="str">
        <f>IF(A285="","",
  SUM(
    COUNTIFS('QA Log'!D:D,A285,'QA Log'!M:M,"Vignette",'QA Log'!Z:Z,"Rejected",'QA Log'!L:L,"*Vignette [1] Respiratory Infection: Pneumonia*"),
    COUNTIFS('QA Log'!D:D,A285,'QA Log'!M:M,"Vignette",'QA Log'!Z:Z,"Rejected",'QA Log'!L:L,"*Vignette [2]: Diarrhea with Cat B dehydration*"),
    COUNTIFS('QA Log'!D:D,A285,'QA Log'!M:M,"Vignette",'QA Log'!Z:Z,"Rejected",'QA Log'!L:L,"*Vignette [3] Growth Monitoring and Promotion*"),
    COUNTIFS('QA Log'!D:D,A285,'QA Log'!M:M,"Vignette",'QA Log'!Z:Z,"Rejected",'QA Log'!L:L,"*Vignette [4]: The management of presumptive TB patient*")
  )
)</f>
        <v/>
      </c>
      <c r="BC285" s="107" t="str">
        <f t="shared" si="35"/>
        <v/>
      </c>
      <c r="BD285" s="103" t="str">
        <f t="shared" si="36"/>
        <v/>
      </c>
      <c r="BE285" s="102" t="str">
        <f>IF(A285="","",SUM(
COUNTIFS('QA Log'!D:D,A285,'QA Log'!M:M,"Vignette",'QA Log'!L:L,"*Vignette [5] Labor*"),
COUNTIFS('QA Log'!D:D,A285,'QA Log'!M:M,"Vignette",'QA Log'!L:L,"*Vignette [6] PNC pre Discharge*"),
COUNTIFS('QA Log'!D:D,A285,'QA Log'!M:M,"Vignette",'QA Log'!L:L,"*Vignette [7] First ANC Visit*"),
COUNTIFS('QA Log'!D:D,A285,'QA Log'!M:M,"Vignette",'QA Log'!L:L,"*Vignette [8] Birth Spacing/ Family Planning :  FP Counselling*"),
COUNTIFS('QA Log'!D:D,A285,'QA Log'!M:M,"Vignette",'QA Log'!L:L,"*Vignette [9] Birth Spacing: Change FP method to Injectable*"),
COUNTIFS('QA Log'!D:D,A285,'QA Log'!M:M,"Vignette",'QA Log'!L:L,"*Vignette [10] Post Partum Haemorrhage - Atonic Uterus at Health Centre*"),
)
)</f>
        <v/>
      </c>
      <c r="BF285" s="102" t="str">
        <f>IF(A285="","",
  SUM(
    COUNTIFS('QA Log'!D:D,A285,'QA Log'!M:M,"Vignette",'QA Log'!Z:Z,"Approved",'QA Log'!L:L,"*Vignette [5] Labor*"),
    COUNTIFS('QA Log'!D:D,A285,'QA Log'!M:M,"Vignette",'QA Log'!Z:Z,"Approved",'QA Log'!L:L,"*Vignette [6] PNC pre Discharge*"),
    COUNTIFS('QA Log'!D:D,A285,'QA Log'!M:M,"Vignette",'QA Log'!Z:Z,"Approved",'QA Log'!L:L,"*Vignette [7] First ANC Visit*"),
    COUNTIFS('QA Log'!D:D,A285,'QA Log'!M:M,"Vignette",'QA Log'!Z:Z,"Approved",'QA Log'!L:L,"*Vignette [8] Birth Spacing/ Family Planning :  FP Counselling*"),
    COUNTIFS('QA Log'!D:D,A285,'QA Log'!M:M,"Vignette",'QA Log'!Z:Z,"Approved",'QA Log'!L:L,"*Vignette [9] Birth Spacing: Change FP method to Injectable*"),
    COUNTIFS('QA Log'!D:D,A285,'QA Log'!M:M,"Vignette",'QA Log'!Z:Z,"Approved",'QA Log'!L:L,"*Vignette [10] Post Partum Haemorrhage - Atonic Uterus at Health Centre*")
  )
)</f>
        <v/>
      </c>
      <c r="BG285" s="105" t="str">
        <f>IF(A285&lt;&gt;"",COUNTIFS('QA Log'!D:D,A285,'QA Log'!M:M,"Vignette",'QA Log'!L:L,"Vignette [5] Labor",'QA Log'!Z:Z,"Approved"),"")</f>
        <v/>
      </c>
      <c r="BH285" s="105" t="str">
        <f>IF(A285&lt;&gt;"",COUNTIFS('QA Log'!D:D,A285,'QA Log'!M:M,"Vignette",'QA Log'!L:L,"Vignette [6] PNC pre Discharge",'QA Log'!Z:Z,"Approved"),"")</f>
        <v/>
      </c>
      <c r="BI285" s="105" t="str">
        <f>IF(A285&lt;&gt;"",COUNTIFS('QA Log'!D:D,A285,'QA Log'!M:M,"Vignette",'QA Log'!L:L,"Vignette [7] First ANC Visit",'QA Log'!Z:Z,"Approved"),"")</f>
        <v/>
      </c>
      <c r="BJ285" s="105" t="str">
        <f>IF(A285&lt;&gt;"",COUNTIFS('QA Log'!D:D,A285,'QA Log'!M:M,"Vignette",'QA Log'!L:L,"Vignette [8] Birth Spacing/ Family Planning :  FP Counselling",'QA Log'!Z:Z,"Approved"),"")</f>
        <v/>
      </c>
      <c r="BK285" s="105" t="str">
        <f>IF(A285&lt;&gt;"",COUNTIFS('QA Log'!D:D,A285,'QA Log'!M:M,"Vignette",'QA Log'!L:L,"Vignette [9] Birth Spacing: Change FP method to Injectable",'QA Log'!Z:Z,"Approved"),"")</f>
        <v/>
      </c>
      <c r="BL285" s="105" t="str">
        <f>IF(A285&lt;&gt;"",COUNTIFS('QA Log'!D:D,A285,'QA Log'!M:M,"Vignette",'QA Log'!L:L,"Vignette [10] Post Partum Haemorrhage - Atonic Uterus at Health Centre",'QA Log'!Z:Z,"Approved"),"")</f>
        <v/>
      </c>
      <c r="BM285" s="102" t="str">
        <f>IF(A285="","",SUM(
    COUNTIFS('QA Log'!D:D,A285,'QA Log'!M:M,"Vignette",'QA Log'!Z:Z,"Rejected",'QA Log'!L:L,"*Vignette [5] Labor*"),
    COUNTIFS('QA Log'!D:D,A285,'QA Log'!M:M,"Vignette",'QA Log'!Z:Z,"Rejected",'QA Log'!L:L,"*Vignette [6] PNC pre Discharge*"),
    COUNTIFS('QA Log'!D:D,A285,'QA Log'!M:M,"Vignette",'QA Log'!Z:Z,"Rejected",'QA Log'!L:L,"*Vignette [7] First ANC Visit*"),
    COUNTIFS('QA Log'!D:D,A285,'QA Log'!M:M,"Vignette",'QA Log'!Z:Z,"Rejected",'QA Log'!L:L,"*Vignette [8] Birth Spacing/ Family Planning :  FP Counselling*"),
    COUNTIFS('QA Log'!D:D,A285,'QA Log'!M:M,"Vignette",'QA Log'!Z:Z,"Rejected",'QA Log'!L:L,"*Vignette [9] Birth Spacing: Change FP method to Injectable*"),
    COUNTIFS('QA Log'!D:D,A285,'QA Log'!M:M,"Vignette",'QA Log'!Z:Z,"Rejected",'QA Log'!L:L,"*Vignette [10] Post Partum Haemorrhage - Atonic Uterus at Health Centre*")
  )
)</f>
        <v/>
      </c>
      <c r="BN285" s="107" t="str">
        <f t="shared" si="37"/>
        <v/>
      </c>
      <c r="BO285" s="103" t="str">
        <f t="shared" si="38"/>
        <v/>
      </c>
      <c r="BP285" s="102" t="str">
        <f>IF(A285="","",SUM(
COUNTIFS('QA Log'!D:D,A285,'QA Log'!M:M,"Vignette",'QA Log'!L:L,"*Exit Interview 1*"),
COUNTIFS('QA Log'!D:D,A285,'QA Log'!M:M,"Vignette",'QA Log'!L:L,"*Exit Interview 2*"),
)
)</f>
        <v/>
      </c>
      <c r="BQ285" s="102" t="str">
        <f>IF(
  A285="","",
  SUM(
    COUNTIFS('QA Log'!D:D,A285,'QA Log'!M:M,"Vignette",'QA Log'!Z:Z,"Approved",'QA Log'!L:L,"*Exit Interview 1*"),
    COUNTIFS('QA Log'!D:D,A285,'QA Log'!M:M,"Vignette",'QA Log'!Z:Z,"Approved",'QA Log'!L:L,"*Exit Interview 2*")
  )
)</f>
        <v/>
      </c>
      <c r="BR285" s="105" t="str">
        <f>IF(A285&lt;&gt;"",COUNTIFS('QA Log'!D:D,A285,'QA Log'!M:M,"Vignette",'QA Log'!L:L,"Exit Interview 1",'QA Log'!Z:Z,"Approved"),"")</f>
        <v/>
      </c>
      <c r="BS285" s="105" t="str">
        <f>IF(A285&lt;&gt;"",COUNTIFS('QA Log'!D:D,A285,'QA Log'!M:M,"Vignette",'QA Log'!L:L,"Exit Interview 2",'QA Log'!Z:Z,"Approved"),"")</f>
        <v/>
      </c>
      <c r="BT285" s="102" t="str">
        <f>IF(
  A285="","",
  SUM(
    COUNTIFS('QA Log'!D:D,A285,'QA Log'!M:M,"Vignette",'QA Log'!Z:Z,"Rejected",'QA Log'!L:L,"*Exit Interview 1*"),
    COUNTIFS('QA Log'!D:D,A285,'QA Log'!M:M,"Vignette",'QA Log'!Z:Z,"Rejected",'QA Log'!L:L,"*Exit Interview 2*")
  )
)</f>
        <v/>
      </c>
      <c r="BU285" s="107" t="str">
        <f t="shared" si="39"/>
        <v/>
      </c>
      <c r="BV285" s="102" t="str">
        <f t="shared" si="40"/>
        <v/>
      </c>
      <c r="BW285" s="102" t="str">
        <f t="shared" si="41"/>
        <v/>
      </c>
      <c r="BX285" s="102" t="str">
        <f t="shared" si="42"/>
        <v/>
      </c>
      <c r="BY285" s="102" t="str">
        <f t="shared" si="43"/>
        <v/>
      </c>
      <c r="BZ285" s="107" t="str">
        <f t="shared" si="44"/>
        <v/>
      </c>
      <c r="CA285" s="108" t="str">
        <f t="shared" si="45"/>
        <v/>
      </c>
      <c r="CB285" s="108" t="str">
        <f t="shared" si="46"/>
        <v/>
      </c>
      <c r="CC285" s="109" t="str">
        <f t="shared" si="47"/>
        <v/>
      </c>
      <c r="CD285" s="108" t="str">
        <f t="shared" si="48"/>
        <v/>
      </c>
      <c r="CE285" s="108" t="str">
        <f t="shared" si="49"/>
        <v/>
      </c>
      <c r="CF285" s="109" t="str">
        <f t="shared" si="50"/>
        <v/>
      </c>
      <c r="CG285" s="110" t="str">
        <f t="shared" si="51"/>
        <v/>
      </c>
      <c r="CH285" s="111"/>
    </row>
    <row r="286" spans="1:86" ht="12.75">
      <c r="A286" s="101"/>
      <c r="B286" s="102" t="e">
        <f t="array" aca="1" ref="B286" ca="1">_xludf.XLOOKUP(A286,'QA Log'!D:D,'QA Log'!E:E,"")</f>
        <v>#NAME?</v>
      </c>
      <c r="C286" s="102" t="e">
        <f t="array" aca="1" ref="C286" ca="1">_xludf.XLOOKUP(A286,'QA Log'!D:D,'QA Log'!F:F,"")</f>
        <v>#NAME?</v>
      </c>
      <c r="D286" s="102" t="e">
        <f t="array" aca="1" ref="D286" ca="1">_xludf.XLOOKUP(A286,'QA Log'!D:D,'QA Log'!H:H,"")</f>
        <v>#NAME?</v>
      </c>
      <c r="E286" s="102" t="e">
        <f t="array" aca="1" ref="E286" ca="1">_xludf.XLOOKUP(A286,'QA Log'!D:D,'QA Log'!G:G,"")</f>
        <v>#NAME?</v>
      </c>
      <c r="F286" s="103"/>
      <c r="G286" s="104"/>
      <c r="H286" s="104"/>
      <c r="I286" s="103" t="str">
        <f t="shared" si="26"/>
        <v/>
      </c>
      <c r="J286" s="102" t="str">
        <f>IF(A286="","",SUM(
COUNTIFS('QA Log'!D:D,A286,'QA Log'!M:M,"QQC",'QA Log'!L:L,"*1. General Management*"),
COUNTIFS('QA Log'!D:D,A286,'QA Log'!M:M,"QQC",'QA Log'!L:L,"*3. Curative Consultation (OPD)*"),
COUNTIFS('QA Log'!D:D,A286,'QA Log'!M:M,"QQC",'QA Log'!L:L,"*5. Laboratory*"),
COUNTIFS('QA Log'!D:D,A286,'QA Log'!M:M,"QQC",'QA Log'!L:L,"*6. Essential Medicine Management*"),
COUNTIFS('QA Log'!D:D,A286,'QA Log'!M:M,"QQC",'QA Log'!L:L,"*7. Tracer Medicine*"),
COUNTIFS('QA Log'!D:D,A286,'QA Log'!M:M,"QQC",'QA Log'!L:L,"*11. Additional Questions*")))</f>
        <v/>
      </c>
      <c r="K286" s="102" t="str">
        <f>IF(A286="","",SUM(
COUNTIFS('QA Log'!D:D,A286,'QA Log'!M:M,"QQC",'QA Log'!Z:Z,"Approved",'QA Log'!L:L,"*1. General Management*"),
COUNTIFS('QA Log'!D:D,A286,'QA Log'!M:M,"QQC",'QA Log'!Z:Z,"Approved",'QA Log'!L:L,"*3. Curative Consultation (OPD)*"),
COUNTIFS('QA Log'!D:D,A286,'QA Log'!M:M,"QQC",'QA Log'!Z:Z,"Approved",'QA Log'!L:L,"*5. Laboratory*"),
COUNTIFS('QA Log'!D:D,A286,'QA Log'!M:M,"QQC",'QA Log'!Z:Z,"Approved",'QA Log'!L:L,"*6. Essential Medicine Management*"),
COUNTIFS('QA Log'!D:D,A286,'QA Log'!M:M,"QQC",'QA Log'!Z:Z,"Approved",'QA Log'!L:L,"*7. Tracer Medicine*"),
COUNTIFS('QA Log'!D:D,A286,'QA Log'!M:M,"QQC",'QA Log'!Z:Z,"Approved",'QA Log'!L:L,"*11. Additional Questions*")))</f>
        <v/>
      </c>
      <c r="L286" s="105" t="str">
        <f>IF(A286&lt;&gt;"",COUNTIFS('QA Log'!D:D,A286,'QA Log'!M:M,"QQC",'QA Log'!L:L,"1. General Management",'QA Log'!Z:Z,"Approved"),"")</f>
        <v/>
      </c>
      <c r="M286" s="105" t="str">
        <f>IF(A286&lt;&gt;"",COUNTIFS('QA Log'!D:D,A286,'QA Log'!M:M,"QQC",'QA Log'!L:L,"3. Curative Consultation (OPD)",'QA Log'!Z:Z,"Approved"),"")</f>
        <v/>
      </c>
      <c r="N286" s="105" t="str">
        <f>IF(A286&lt;&gt;"",COUNTIFS('QA Log'!D:D,A286,'QA Log'!M:M,"QQC",'QA Log'!L:L,"5. Laboratory",'QA Log'!Z:Z,"Approved"),"")</f>
        <v/>
      </c>
      <c r="O286" s="105" t="str">
        <f>IF(A286&lt;&gt;"",COUNTIFS('QA Log'!D:D,A286,'QA Log'!M:M,"QQC",'QA Log'!L:L,"6. Essential Medicine Management",'QA Log'!Z:Z,"Approved"),"")</f>
        <v/>
      </c>
      <c r="P286" s="105" t="str">
        <f>IF(A286&lt;&gt;"",COUNTIFS('QA Log'!D:D,A286,'QA Log'!M:M,"QQC",'QA Log'!L:L,"7. Tracer Medicine",'QA Log'!Z:Z,"Approved"),"")</f>
        <v/>
      </c>
      <c r="Q286" s="105" t="str">
        <f>IF(A286&lt;&gt;"",COUNTIFS('QA Log'!D:D,A286,'QA Log'!M:M,"QQC",'QA Log'!L:L,"11. Additional Questions",'QA Log'!Z:Z,"Approved"),"")</f>
        <v/>
      </c>
      <c r="R286" s="102" t="str">
        <f>IF(A286="","",SUM(
COUNTIFS('QA Log'!D:D,A286,'QA Log'!M:M,"QQC",'QA Log'!Z:Z,"Rejected",'QA Log'!L:L,"*8. Maternity*"),
COUNTIFS('QA Log'!D:D,A286,'QA Log'!M:M,"QQC",'QA Log'!Z:Z,"Rejected",'QA Log'!L:L,"*EPI*"),
COUNTIFS('QA Log'!D:D,A286,'QA Log'!M:M,"QQC",'QA Log'!Z:Z,"Rejected",'QA Log'!L:L,"*10. Antenatal Care (ANC)*"),
COUNTIFS('QA Log'!D:D,A286,'QA Log'!M:M,"QQC",'QA Log'!Z:Z,"Rejected",'QA Log'!L:L,"*2. Hygiene and Sterilization*"),
COUNTIFS('QA Log'!D:D,A286,'QA Log'!M:M,"QQC",'QA Log'!Z:Z,"Rejected",'QA Log'!L:L,"*Family Planning*")))</f>
        <v/>
      </c>
      <c r="S286" s="106" t="str">
        <f t="shared" si="27"/>
        <v/>
      </c>
      <c r="T286" s="102" t="str">
        <f t="shared" si="28"/>
        <v/>
      </c>
      <c r="U286" s="102" t="str">
        <f>IF(A286="","",
SUM(
COUNTIFS('QA Log'!D:D,A286,'QA Log'!M:M,"QQC",'QA Log'!L:L,"*8. Maternity*"),
COUNTIFS('QA Log'!D:D,A286,'QA Log'!M:M,"QQC",'QA Log'!L:L,"*9. EPI and Pre-school Consultation*"),
COUNTIFS('QA Log'!D:D,A286,'QA Log'!M:M,"QQC",'QA Log'!L:L,"*10. Antenatal Care (ANC)*"),
COUNTIFS('QA Log'!D:D,A286,'QA Log'!M:M,"QQC",'QA Log'!L:L,"*2. Hygiene and Sterilization*"),
COUNTIFS('QA Log'!D:D,A286,'QA Log'!M:M,"QQC",'QA Log'!L:L,"*4. Family Planning*")
))</f>
        <v/>
      </c>
      <c r="V286" s="102" t="str">
        <f>IF(A286="","",
SUM(
COUNTIFS('QA Log'!D:D,A286,'QA Log'!M:M,"QQC",'QA Log'!Z:Z,"Approved",'QA Log'!L:L,"*8. Maternity*"),
COUNTIFS('QA Log'!D:D,A286,'QA Log'!M:M,"QQC",'QA Log'!Z:Z,"Approved",'QA Log'!L:L,"*9. EPI and Pre-school Consultation*"),
COUNTIFS('QA Log'!D:D,A286,'QA Log'!M:M,"QQC",'QA Log'!Z:Z,"Approved",'QA Log'!L:L,"*10. Antenatal Care (ANC)*"),
COUNTIFS('QA Log'!D:D,A286,'QA Log'!M:M,"QQC",'QA Log'!Z:Z,"Approved",'QA Log'!L:L,"*2. Hygiene and Sterilization*"),
COUNTIFS('QA Log'!D:D,A286,'QA Log'!M:M,"QQC",'QA Log'!Z:Z,"Approved",'QA Log'!L:L,"*4. Family Planning*")
))</f>
        <v/>
      </c>
      <c r="W286" s="105" t="str">
        <f>IF(A286&lt;&gt;"",COUNTIFS('QA Log'!D:D,A286,'QA Log'!M:M,"QQC",'QA Log'!L:L,"8. Maternity",'QA Log'!Z:Z,"Approved"),"")</f>
        <v/>
      </c>
      <c r="X286" s="105" t="str">
        <f>IF(A286&lt;&gt;"",COUNTIFS('QA Log'!D:D,A286,'QA Log'!M:M,"QQC",'QA Log'!L:L,"9. EPI and Pre-school Consultation",'QA Log'!Z:Z,"Approved"),"")</f>
        <v/>
      </c>
      <c r="Y286" s="105" t="str">
        <f>IF(A286&lt;&gt;"",COUNTIFS('QA Log'!D:D,A286,'QA Log'!M:M,"QQC",'QA Log'!L:L,"10. Antenatal Care (ANC)",'QA Log'!Z:Z,"Approved"),"")</f>
        <v/>
      </c>
      <c r="Z286" s="105" t="str">
        <f>IF(A286&lt;&gt;"",COUNTIFS('QA Log'!D:D,A286,'QA Log'!M:M,"QQC",'QA Log'!L:L,"2. Hygiene and Sterilization",'QA Log'!Z:Z,"Approved"),"")</f>
        <v/>
      </c>
      <c r="AA286" s="105" t="str">
        <f>IF(A286&lt;&gt;"",COUNTIFS('QA Log'!D:D,A286,'QA Log'!M:M,"QQC",'QA Log'!L:L,"4. Family Planning",'QA Log'!Z:Z,"Approved"),"")</f>
        <v/>
      </c>
      <c r="AB286" s="102" t="str">
        <f>IF(A286="","",
SUM(
COUNTIFS('QA Log'!D:D,A286,'QA Log'!M:M,"QQC",'QA Log'!Z:Z,"Rejected",'QA Log'!L:L,"*8. Maternity*"),
COUNTIFS('QA Log'!D:D,A286,'QA Log'!M:M,"QQC",'QA Log'!Z:Z,"Rejected",'QA Log'!L:L,"*9. EPI and Pre-school Consultation*"),
COUNTIFS('QA Log'!D:D,A286,'QA Log'!M:M,"QQC",'QA Log'!Z:Z,"Rejected",'QA Log'!L:L,"*10. Antenatal Care (ANC)*"),
COUNTIFS('QA Log'!D:D,A286,'QA Log'!M:M,"QQC",'QA Log'!Z:Z,"Rejected",'QA Log'!L:L,"*2. Hygiene and Sterilization*"),
COUNTIFS('QA Log'!D:D,A286,'QA Log'!M:M,"QQC",'QA Log'!Z:Z,"Rejected",'QA Log'!L:L,"*4. Family Planning*")
))</f>
        <v/>
      </c>
      <c r="AC286" s="102" t="str">
        <f t="shared" si="29"/>
        <v/>
      </c>
      <c r="AD286" s="103" t="str">
        <f t="shared" si="30"/>
        <v/>
      </c>
      <c r="AE286" s="102" t="str">
        <f>IF(A286="","",
SUM(
COUNTIFS('QA Log'!D:D,A286,'QA Log'!M:M,"Data Verification",'QA Log'!L:L,"*Medicine (section 2)*"),
COUNTIFS('QA Log'!D:D,A286,'QA Log'!M:M,"Data Verification",'QA Log'!L:L,"*Lab Testing Availability*"),
COUNTIFS('QA Log'!D:D,A286,'QA Log'!M:M,"Data Verification",'QA Log'!L:L,"*Other than P4P (section 6)*"),
COUNTIFS('QA Log'!D:D,A286,'QA Log'!M:M,"Data Verification",'QA Log'!L:L,"*Hospital Governance*")
))</f>
        <v/>
      </c>
      <c r="AF286" s="102" t="str">
        <f>IF(A286="","",
SUM(
COUNTIFS('QA Log'!D:D,A286,'QA Log'!M:M,"Data Verification",'QA Log'!Z:Z,"Approved",'QA Log'!L:L,"*Medicine (section 2)*"),
COUNTIFS('QA Log'!D:D,A286,'QA Log'!M:M,"Data Verification",'QA Log'!Z:Z,"Approved",'QA Log'!L:L,"*Lab Testing Availability*"),
COUNTIFS('QA Log'!D:D,A286,'QA Log'!M:M,"Data Verification",'QA Log'!Z:Z,"Approved",'QA Log'!L:L,"*Other than P4P (section 6)*"),
COUNTIFS('QA Log'!D:D,A286,'QA Log'!M:M,"Data Verification",'QA Log'!Z:Z,"Approved",'QA Log'!L:L,"*Hospital Governance*")
))</f>
        <v/>
      </c>
      <c r="AG286" s="105" t="str">
        <f>IF(A286&lt;&gt;"",COUNTIFS('QA Log'!D:D,A286,'QA Log'!M:M,"Data Verification",'QA Log'!L:L,"Medicine (section 2)",'QA Log'!Z:Z,"Approved"),"")</f>
        <v/>
      </c>
      <c r="AH286" s="105" t="str">
        <f>IF(A286&lt;&gt;"",COUNTIFS('QA Log'!D:D,A286,'QA Log'!M:M,"Data Verification",'QA Log'!L:L,"Lab Testing Availability",'QA Log'!Z:Z,"Approved"),"")</f>
        <v/>
      </c>
      <c r="AI286" s="105" t="str">
        <f>IF(A286&lt;&gt;"",COUNTIFS('QA Log'!D:D,A286,'QA Log'!M:M,"Data Verification",'QA Log'!L:L,"Other than P4P (section 6)",'QA Log'!Z:Z,"Approved"),"")</f>
        <v/>
      </c>
      <c r="AJ286" s="105" t="str">
        <f>IF(A286&lt;&gt;"",COUNTIFS('QA Log'!D:D,A286,'QA Log'!M:M,"Data Verification",'QA Log'!L:L,"Hospital Governance",'QA Log'!Z:Z,"Approved"),"")</f>
        <v/>
      </c>
      <c r="AK286" s="102" t="str">
        <f>IF(A286="","",
SUM(
COUNTIFS('QA Log'!D:D,A286,'QA Log'!M:M,"Data Verification",'QA Log'!Z:Z,"Rejected",'QA Log'!L:L,"*Medicine (section 2)*"),
COUNTIFS('QA Log'!D:D,A286,'QA Log'!M:M,"Data Verification",'QA Log'!Z:Z,"Rejected",'QA Log'!L:L,"*Lab Testing Availability*"),
COUNTIFS('QA Log'!D:D,A286,'QA Log'!M:M,"Data Verification",'QA Log'!Z:Z,"Rejected",'QA Log'!L:L,"*Other than P4P (section 6)*"),
COUNTIFS('QA Log'!D:D,A286,'QA Log'!M:M,"Data Verification",'QA Log'!Z:Z,"Rejected",'QA Log'!L:L,"*Hospital Governance*")
))</f>
        <v/>
      </c>
      <c r="AL286" s="106" t="str">
        <f t="shared" si="31"/>
        <v/>
      </c>
      <c r="AM286" s="102" t="str">
        <f t="shared" si="32"/>
        <v/>
      </c>
      <c r="AN286" s="102" t="str">
        <f>IF(A286="","",
SUM(
COUNTIFS('QA Log'!D:D,A286,'QA Log'!M:M,"Data Verification",'QA Log'!L:L,"*Personnel (section 1)*"),
COUNTIFS('QA Log'!D:D,A286,'QA Log'!M:M,"Data Verification",'QA Log'!L:L,"*Consumable (section 3)*"),
COUNTIFS('QA Log'!D:D,A286,'QA Log'!M:M,"Data Verification",'QA Log'!L:L,"*Equipments (section 4)*")
))</f>
        <v/>
      </c>
      <c r="AO286" s="102" t="str">
        <f>IF(A286="","",
SUM(
COUNTIFS('QA Log'!D:D,A286,'QA Log'!M:M,"Data Verification",'QA Log'!Z:Z,"Approved",'QA Log'!L:L,"*Personnel (section 1)*"),
COUNTIFS('QA Log'!D:D,A286,'QA Log'!M:M,"Data Verification",'QA Log'!Z:Z,"Approved",'QA Log'!L:L,"*Consumable (section 3)*"),
COUNTIFS('QA Log'!D:D,A286,'QA Log'!M:M,"Data Verification",'QA Log'!Z:Z,"Approved",'QA Log'!L:L,"*Equipments (section 4)*")
))</f>
        <v/>
      </c>
      <c r="AP286" s="105" t="str">
        <f>IF(A286&lt;&gt;"",COUNTIFS('QA Log'!D:D,A286,'QA Log'!M:M,"Data Verification",'QA Log'!L:L,"Personnel (section 1)",'QA Log'!Z:Z,"Approved"),"")</f>
        <v/>
      </c>
      <c r="AQ286" s="105" t="str">
        <f>IF(A286&lt;&gt;"",COUNTIFS('QA Log'!D:D,A286,'QA Log'!M:M,"Data Verification",'QA Log'!L:L,"Consumable (section 3)",'QA Log'!Z:Z,"Approved"),"")</f>
        <v/>
      </c>
      <c r="AR286" s="105" t="str">
        <f>IF(A286&lt;&gt;"",COUNTIFS('QA Log'!D:D,A286,'QA Log'!M:M,"Data Verification",'QA Log'!L:L,"Equipments (section 4)",'QA Log'!Z:Z,"Approved"),"")</f>
        <v/>
      </c>
      <c r="AS286" s="102" t="str">
        <f>IF(A286="","",
SUM(
COUNTIFS('QA Log'!D:D,A286,'QA Log'!M:M,"Data Verification",'QA Log'!Z:Z,"Rejected",'QA Log'!L:L,"*Personnel (section 1)*"),
COUNTIFS('QA Log'!D:D,A286,'QA Log'!M:M,"Data Verification",'QA Log'!Z:Z,"Rejected",'QA Log'!L:L,"*Consumable (section 3)*"),
COUNTIFS('QA Log'!D:D,A286,'QA Log'!M:M,"Data Verification",'QA Log'!Z:Z,"Rejected",'QA Log'!L:L,"*Equipments (section 4)*")
))</f>
        <v/>
      </c>
      <c r="AT286" s="102" t="str">
        <f t="shared" si="33"/>
        <v/>
      </c>
      <c r="AU286" s="103" t="str">
        <f t="shared" si="34"/>
        <v/>
      </c>
      <c r="AV286" s="102" t="str">
        <f>IF(A286="","",SUM(
COUNTIFS('QA Log'!D:D,A286,'QA Log'!M:M,"Vignette",'QA Log'!L:L,"*Vignette [1] Respiratory Infection: Pneumonia*"),
COUNTIFS('QA Log'!D:D,A286,'QA Log'!M:M,"Vignette",'QA Log'!L:L,"*Vignette [2]: Diarrhea with Cat B dehydration*"),
COUNTIFS('QA Log'!D:D,A286,'QA Log'!M:M,"Vignette",'QA Log'!L:L,"*Vignette [3] Growth Monitoring and Promotion*"),
COUNTIFS('QA Log'!D:D,A286,'QA Log'!M:M,"Vignette",'QA Log'!L:L,"*Vignette [4]: The management of presumptive TB patient*")
)
)</f>
        <v/>
      </c>
      <c r="AW286" s="102" t="str">
        <f>IF(
  A286="","",
  SUM(
    COUNTIFS('QA Log'!D:D,A286,'QA Log'!M:M,"Vignette",'QA Log'!Z:Z,"Approved",'QA Log'!L:L,"*Vignette [1] Respiratory Infection: Pneumonia*"),
    COUNTIFS('QA Log'!D:D,A286,'QA Log'!M:M,"Vignette",'QA Log'!Z:Z,"Approved",'QA Log'!L:L,"*Vignette [2]: Diarrhea with Cat B dehydration*"),
    COUNTIFS('QA Log'!D:D,A286,'QA Log'!M:M,"Vignette",'QA Log'!Z:Z,"Approved",'QA Log'!L:L,"*Vignette [3] Growth Monitoring and Promotion*"),
    COUNTIFS('QA Log'!D:D,A286,'QA Log'!M:M,"Vignette",'QA Log'!Z:Z,"Approved",'QA Log'!L:L,"*Vignette [4]: The management of presumptive TB patient*")
  )
)</f>
        <v/>
      </c>
      <c r="AX286" s="105" t="str">
        <f>IF(A286&lt;&gt;"",COUNTIFS('QA Log'!D:D,A286,'QA Log'!M:M,"Vignette",'QA Log'!L:L,"Vignette [1] Respiratory Infection: Pneumonia",'QA Log'!Z:Z,"Approved"),"")</f>
        <v/>
      </c>
      <c r="AY286" s="105" t="str">
        <f>IF(A286&lt;&gt;"",COUNTIFS('QA Log'!D:D,A286,'QA Log'!M:M,"Vignette",'QA Log'!L:L,"Vignette [2]: Diarrhea with Cat B dehydration",'QA Log'!Z:Z,"Approved"),"")</f>
        <v/>
      </c>
      <c r="AZ286" s="105" t="str">
        <f>IF(A286&lt;&gt;"",COUNTIFS('QA Log'!D:D,A286,'QA Log'!M:M,"Vignette",'QA Log'!L:L,"Vignette [3] Growth Monitoring and Promotion",'QA Log'!Z:Z,"Approved"),"")</f>
        <v/>
      </c>
      <c r="BA286" s="105" t="str">
        <f>IF(A286&lt;&gt;"",COUNTIFS('QA Log'!D:D,A286,'QA Log'!M:M,"Vignette",'QA Log'!L:L,"Vignette [4]: The management of presumptive TB patient",'QA Log'!Z:Z,"Approved"),"")</f>
        <v/>
      </c>
      <c r="BB286" s="102" t="str">
        <f>IF(A286="","",
  SUM(
    COUNTIFS('QA Log'!D:D,A286,'QA Log'!M:M,"Vignette",'QA Log'!Z:Z,"Rejected",'QA Log'!L:L,"*Vignette [1] Respiratory Infection: Pneumonia*"),
    COUNTIFS('QA Log'!D:D,A286,'QA Log'!M:M,"Vignette",'QA Log'!Z:Z,"Rejected",'QA Log'!L:L,"*Vignette [2]: Diarrhea with Cat B dehydration*"),
    COUNTIFS('QA Log'!D:D,A286,'QA Log'!M:M,"Vignette",'QA Log'!Z:Z,"Rejected",'QA Log'!L:L,"*Vignette [3] Growth Monitoring and Promotion*"),
    COUNTIFS('QA Log'!D:D,A286,'QA Log'!M:M,"Vignette",'QA Log'!Z:Z,"Rejected",'QA Log'!L:L,"*Vignette [4]: The management of presumptive TB patient*")
  )
)</f>
        <v/>
      </c>
      <c r="BC286" s="107" t="str">
        <f t="shared" si="35"/>
        <v/>
      </c>
      <c r="BD286" s="103" t="str">
        <f t="shared" si="36"/>
        <v/>
      </c>
      <c r="BE286" s="102" t="str">
        <f>IF(A286="","",SUM(
COUNTIFS('QA Log'!D:D,A286,'QA Log'!M:M,"Vignette",'QA Log'!L:L,"*Vignette [5] Labor*"),
COUNTIFS('QA Log'!D:D,A286,'QA Log'!M:M,"Vignette",'QA Log'!L:L,"*Vignette [6] PNC pre Discharge*"),
COUNTIFS('QA Log'!D:D,A286,'QA Log'!M:M,"Vignette",'QA Log'!L:L,"*Vignette [7] First ANC Visit*"),
COUNTIFS('QA Log'!D:D,A286,'QA Log'!M:M,"Vignette",'QA Log'!L:L,"*Vignette [8] Birth Spacing/ Family Planning :  FP Counselling*"),
COUNTIFS('QA Log'!D:D,A286,'QA Log'!M:M,"Vignette",'QA Log'!L:L,"*Vignette [9] Birth Spacing: Change FP method to Injectable*"),
COUNTIFS('QA Log'!D:D,A286,'QA Log'!M:M,"Vignette",'QA Log'!L:L,"*Vignette [10] Post Partum Haemorrhage - Atonic Uterus at Health Centre*"),
)
)</f>
        <v/>
      </c>
      <c r="BF286" s="102" t="str">
        <f>IF(A286="","",
  SUM(
    COUNTIFS('QA Log'!D:D,A286,'QA Log'!M:M,"Vignette",'QA Log'!Z:Z,"Approved",'QA Log'!L:L,"*Vignette [5] Labor*"),
    COUNTIFS('QA Log'!D:D,A286,'QA Log'!M:M,"Vignette",'QA Log'!Z:Z,"Approved",'QA Log'!L:L,"*Vignette [6] PNC pre Discharge*"),
    COUNTIFS('QA Log'!D:D,A286,'QA Log'!M:M,"Vignette",'QA Log'!Z:Z,"Approved",'QA Log'!L:L,"*Vignette [7] First ANC Visit*"),
    COUNTIFS('QA Log'!D:D,A286,'QA Log'!M:M,"Vignette",'QA Log'!Z:Z,"Approved",'QA Log'!L:L,"*Vignette [8] Birth Spacing/ Family Planning :  FP Counselling*"),
    COUNTIFS('QA Log'!D:D,A286,'QA Log'!M:M,"Vignette",'QA Log'!Z:Z,"Approved",'QA Log'!L:L,"*Vignette [9] Birth Spacing: Change FP method to Injectable*"),
    COUNTIFS('QA Log'!D:D,A286,'QA Log'!M:M,"Vignette",'QA Log'!Z:Z,"Approved",'QA Log'!L:L,"*Vignette [10] Post Partum Haemorrhage - Atonic Uterus at Health Centre*")
  )
)</f>
        <v/>
      </c>
      <c r="BG286" s="105" t="str">
        <f>IF(A286&lt;&gt;"",COUNTIFS('QA Log'!D:D,A286,'QA Log'!M:M,"Vignette",'QA Log'!L:L,"Vignette [5] Labor",'QA Log'!Z:Z,"Approved"),"")</f>
        <v/>
      </c>
      <c r="BH286" s="105" t="str">
        <f>IF(A286&lt;&gt;"",COUNTIFS('QA Log'!D:D,A286,'QA Log'!M:M,"Vignette",'QA Log'!L:L,"Vignette [6] PNC pre Discharge",'QA Log'!Z:Z,"Approved"),"")</f>
        <v/>
      </c>
      <c r="BI286" s="105" t="str">
        <f>IF(A286&lt;&gt;"",COUNTIFS('QA Log'!D:D,A286,'QA Log'!M:M,"Vignette",'QA Log'!L:L,"Vignette [7] First ANC Visit",'QA Log'!Z:Z,"Approved"),"")</f>
        <v/>
      </c>
      <c r="BJ286" s="105" t="str">
        <f>IF(A286&lt;&gt;"",COUNTIFS('QA Log'!D:D,A286,'QA Log'!M:M,"Vignette",'QA Log'!L:L,"Vignette [8] Birth Spacing/ Family Planning :  FP Counselling",'QA Log'!Z:Z,"Approved"),"")</f>
        <v/>
      </c>
      <c r="BK286" s="105" t="str">
        <f>IF(A286&lt;&gt;"",COUNTIFS('QA Log'!D:D,A286,'QA Log'!M:M,"Vignette",'QA Log'!L:L,"Vignette [9] Birth Spacing: Change FP method to Injectable",'QA Log'!Z:Z,"Approved"),"")</f>
        <v/>
      </c>
      <c r="BL286" s="105" t="str">
        <f>IF(A286&lt;&gt;"",COUNTIFS('QA Log'!D:D,A286,'QA Log'!M:M,"Vignette",'QA Log'!L:L,"Vignette [10] Post Partum Haemorrhage - Atonic Uterus at Health Centre",'QA Log'!Z:Z,"Approved"),"")</f>
        <v/>
      </c>
      <c r="BM286" s="102" t="str">
        <f>IF(A286="","",SUM(
    COUNTIFS('QA Log'!D:D,A286,'QA Log'!M:M,"Vignette",'QA Log'!Z:Z,"Rejected",'QA Log'!L:L,"*Vignette [5] Labor*"),
    COUNTIFS('QA Log'!D:D,A286,'QA Log'!M:M,"Vignette",'QA Log'!Z:Z,"Rejected",'QA Log'!L:L,"*Vignette [6] PNC pre Discharge*"),
    COUNTIFS('QA Log'!D:D,A286,'QA Log'!M:M,"Vignette",'QA Log'!Z:Z,"Rejected",'QA Log'!L:L,"*Vignette [7] First ANC Visit*"),
    COUNTIFS('QA Log'!D:D,A286,'QA Log'!M:M,"Vignette",'QA Log'!Z:Z,"Rejected",'QA Log'!L:L,"*Vignette [8] Birth Spacing/ Family Planning :  FP Counselling*"),
    COUNTIFS('QA Log'!D:D,A286,'QA Log'!M:M,"Vignette",'QA Log'!Z:Z,"Rejected",'QA Log'!L:L,"*Vignette [9] Birth Spacing: Change FP method to Injectable*"),
    COUNTIFS('QA Log'!D:D,A286,'QA Log'!M:M,"Vignette",'QA Log'!Z:Z,"Rejected",'QA Log'!L:L,"*Vignette [10] Post Partum Haemorrhage - Atonic Uterus at Health Centre*")
  )
)</f>
        <v/>
      </c>
      <c r="BN286" s="107" t="str">
        <f t="shared" si="37"/>
        <v/>
      </c>
      <c r="BO286" s="103" t="str">
        <f t="shared" si="38"/>
        <v/>
      </c>
      <c r="BP286" s="102" t="str">
        <f>IF(A286="","",SUM(
COUNTIFS('QA Log'!D:D,A286,'QA Log'!M:M,"Vignette",'QA Log'!L:L,"*Exit Interview 1*"),
COUNTIFS('QA Log'!D:D,A286,'QA Log'!M:M,"Vignette",'QA Log'!L:L,"*Exit Interview 2*"),
)
)</f>
        <v/>
      </c>
      <c r="BQ286" s="102" t="str">
        <f>IF(
  A286="","",
  SUM(
    COUNTIFS('QA Log'!D:D,A286,'QA Log'!M:M,"Vignette",'QA Log'!Z:Z,"Approved",'QA Log'!L:L,"*Exit Interview 1*"),
    COUNTIFS('QA Log'!D:D,A286,'QA Log'!M:M,"Vignette",'QA Log'!Z:Z,"Approved",'QA Log'!L:L,"*Exit Interview 2*")
  )
)</f>
        <v/>
      </c>
      <c r="BR286" s="105" t="str">
        <f>IF(A286&lt;&gt;"",COUNTIFS('QA Log'!D:D,A286,'QA Log'!M:M,"Vignette",'QA Log'!L:L,"Exit Interview 1",'QA Log'!Z:Z,"Approved"),"")</f>
        <v/>
      </c>
      <c r="BS286" s="105" t="str">
        <f>IF(A286&lt;&gt;"",COUNTIFS('QA Log'!D:D,A286,'QA Log'!M:M,"Vignette",'QA Log'!L:L,"Exit Interview 2",'QA Log'!Z:Z,"Approved"),"")</f>
        <v/>
      </c>
      <c r="BT286" s="102" t="str">
        <f>IF(
  A286="","",
  SUM(
    COUNTIFS('QA Log'!D:D,A286,'QA Log'!M:M,"Vignette",'QA Log'!Z:Z,"Rejected",'QA Log'!L:L,"*Exit Interview 1*"),
    COUNTIFS('QA Log'!D:D,A286,'QA Log'!M:M,"Vignette",'QA Log'!Z:Z,"Rejected",'QA Log'!L:L,"*Exit Interview 2*")
  )
)</f>
        <v/>
      </c>
      <c r="BU286" s="107" t="str">
        <f t="shared" si="39"/>
        <v/>
      </c>
      <c r="BV286" s="102" t="str">
        <f t="shared" si="40"/>
        <v/>
      </c>
      <c r="BW286" s="102" t="str">
        <f t="shared" si="41"/>
        <v/>
      </c>
      <c r="BX286" s="102" t="str">
        <f t="shared" si="42"/>
        <v/>
      </c>
      <c r="BY286" s="102" t="str">
        <f t="shared" si="43"/>
        <v/>
      </c>
      <c r="BZ286" s="107" t="str">
        <f t="shared" si="44"/>
        <v/>
      </c>
      <c r="CA286" s="108" t="str">
        <f t="shared" si="45"/>
        <v/>
      </c>
      <c r="CB286" s="108" t="str">
        <f t="shared" si="46"/>
        <v/>
      </c>
      <c r="CC286" s="109" t="str">
        <f t="shared" si="47"/>
        <v/>
      </c>
      <c r="CD286" s="108" t="str">
        <f t="shared" si="48"/>
        <v/>
      </c>
      <c r="CE286" s="108" t="str">
        <f t="shared" si="49"/>
        <v/>
      </c>
      <c r="CF286" s="109" t="str">
        <f t="shared" si="50"/>
        <v/>
      </c>
      <c r="CG286" s="110" t="str">
        <f t="shared" si="51"/>
        <v/>
      </c>
      <c r="CH286" s="111"/>
    </row>
    <row r="287" spans="1:86" ht="12.75">
      <c r="A287" s="101"/>
      <c r="B287" s="102" t="e">
        <f t="array" aca="1" ref="B287" ca="1">_xludf.XLOOKUP(A287,'QA Log'!D:D,'QA Log'!E:E,"")</f>
        <v>#NAME?</v>
      </c>
      <c r="C287" s="102" t="e">
        <f t="array" aca="1" ref="C287" ca="1">_xludf.XLOOKUP(A287,'QA Log'!D:D,'QA Log'!F:F,"")</f>
        <v>#NAME?</v>
      </c>
      <c r="D287" s="102" t="e">
        <f t="array" aca="1" ref="D287" ca="1">_xludf.XLOOKUP(A287,'QA Log'!D:D,'QA Log'!H:H,"")</f>
        <v>#NAME?</v>
      </c>
      <c r="E287" s="102" t="e">
        <f t="array" aca="1" ref="E287" ca="1">_xludf.XLOOKUP(A287,'QA Log'!D:D,'QA Log'!G:G,"")</f>
        <v>#NAME?</v>
      </c>
      <c r="F287" s="103"/>
      <c r="G287" s="104"/>
      <c r="H287" s="104"/>
      <c r="I287" s="103" t="str">
        <f t="shared" si="26"/>
        <v/>
      </c>
      <c r="J287" s="102" t="str">
        <f>IF(A287="","",SUM(
COUNTIFS('QA Log'!D:D,A287,'QA Log'!M:M,"QQC",'QA Log'!L:L,"*1. General Management*"),
COUNTIFS('QA Log'!D:D,A287,'QA Log'!M:M,"QQC",'QA Log'!L:L,"*3. Curative Consultation (OPD)*"),
COUNTIFS('QA Log'!D:D,A287,'QA Log'!M:M,"QQC",'QA Log'!L:L,"*5. Laboratory*"),
COUNTIFS('QA Log'!D:D,A287,'QA Log'!M:M,"QQC",'QA Log'!L:L,"*6. Essential Medicine Management*"),
COUNTIFS('QA Log'!D:D,A287,'QA Log'!M:M,"QQC",'QA Log'!L:L,"*7. Tracer Medicine*"),
COUNTIFS('QA Log'!D:D,A287,'QA Log'!M:M,"QQC",'QA Log'!L:L,"*11. Additional Questions*")))</f>
        <v/>
      </c>
      <c r="K287" s="102" t="str">
        <f>IF(A287="","",SUM(
COUNTIFS('QA Log'!D:D,A287,'QA Log'!M:M,"QQC",'QA Log'!Z:Z,"Approved",'QA Log'!L:L,"*1. General Management*"),
COUNTIFS('QA Log'!D:D,A287,'QA Log'!M:M,"QQC",'QA Log'!Z:Z,"Approved",'QA Log'!L:L,"*3. Curative Consultation (OPD)*"),
COUNTIFS('QA Log'!D:D,A287,'QA Log'!M:M,"QQC",'QA Log'!Z:Z,"Approved",'QA Log'!L:L,"*5. Laboratory*"),
COUNTIFS('QA Log'!D:D,A287,'QA Log'!M:M,"QQC",'QA Log'!Z:Z,"Approved",'QA Log'!L:L,"*6. Essential Medicine Management*"),
COUNTIFS('QA Log'!D:D,A287,'QA Log'!M:M,"QQC",'QA Log'!Z:Z,"Approved",'QA Log'!L:L,"*7. Tracer Medicine*"),
COUNTIFS('QA Log'!D:D,A287,'QA Log'!M:M,"QQC",'QA Log'!Z:Z,"Approved",'QA Log'!L:L,"*11. Additional Questions*")))</f>
        <v/>
      </c>
      <c r="L287" s="105" t="str">
        <f>IF(A287&lt;&gt;"",COUNTIFS('QA Log'!D:D,A287,'QA Log'!M:M,"QQC",'QA Log'!L:L,"1. General Management",'QA Log'!Z:Z,"Approved"),"")</f>
        <v/>
      </c>
      <c r="M287" s="105" t="str">
        <f>IF(A287&lt;&gt;"",COUNTIFS('QA Log'!D:D,A287,'QA Log'!M:M,"QQC",'QA Log'!L:L,"3. Curative Consultation (OPD)",'QA Log'!Z:Z,"Approved"),"")</f>
        <v/>
      </c>
      <c r="N287" s="105" t="str">
        <f>IF(A287&lt;&gt;"",COUNTIFS('QA Log'!D:D,A287,'QA Log'!M:M,"QQC",'QA Log'!L:L,"5. Laboratory",'QA Log'!Z:Z,"Approved"),"")</f>
        <v/>
      </c>
      <c r="O287" s="105" t="str">
        <f>IF(A287&lt;&gt;"",COUNTIFS('QA Log'!D:D,A287,'QA Log'!M:M,"QQC",'QA Log'!L:L,"6. Essential Medicine Management",'QA Log'!Z:Z,"Approved"),"")</f>
        <v/>
      </c>
      <c r="P287" s="105" t="str">
        <f>IF(A287&lt;&gt;"",COUNTIFS('QA Log'!D:D,A287,'QA Log'!M:M,"QQC",'QA Log'!L:L,"7. Tracer Medicine",'QA Log'!Z:Z,"Approved"),"")</f>
        <v/>
      </c>
      <c r="Q287" s="105" t="str">
        <f>IF(A287&lt;&gt;"",COUNTIFS('QA Log'!D:D,A287,'QA Log'!M:M,"QQC",'QA Log'!L:L,"11. Additional Questions",'QA Log'!Z:Z,"Approved"),"")</f>
        <v/>
      </c>
      <c r="R287" s="102" t="str">
        <f>IF(A287="","",SUM(
COUNTIFS('QA Log'!D:D,A287,'QA Log'!M:M,"QQC",'QA Log'!Z:Z,"Rejected",'QA Log'!L:L,"*8. Maternity*"),
COUNTIFS('QA Log'!D:D,A287,'QA Log'!M:M,"QQC",'QA Log'!Z:Z,"Rejected",'QA Log'!L:L,"*EPI*"),
COUNTIFS('QA Log'!D:D,A287,'QA Log'!M:M,"QQC",'QA Log'!Z:Z,"Rejected",'QA Log'!L:L,"*10. Antenatal Care (ANC)*"),
COUNTIFS('QA Log'!D:D,A287,'QA Log'!M:M,"QQC",'QA Log'!Z:Z,"Rejected",'QA Log'!L:L,"*2. Hygiene and Sterilization*"),
COUNTIFS('QA Log'!D:D,A287,'QA Log'!M:M,"QQC",'QA Log'!Z:Z,"Rejected",'QA Log'!L:L,"*Family Planning*")))</f>
        <v/>
      </c>
      <c r="S287" s="106" t="str">
        <f t="shared" si="27"/>
        <v/>
      </c>
      <c r="T287" s="102" t="str">
        <f t="shared" si="28"/>
        <v/>
      </c>
      <c r="U287" s="102" t="str">
        <f>IF(A287="","",
SUM(
COUNTIFS('QA Log'!D:D,A287,'QA Log'!M:M,"QQC",'QA Log'!L:L,"*8. Maternity*"),
COUNTIFS('QA Log'!D:D,A287,'QA Log'!M:M,"QQC",'QA Log'!L:L,"*9. EPI and Pre-school Consultation*"),
COUNTIFS('QA Log'!D:D,A287,'QA Log'!M:M,"QQC",'QA Log'!L:L,"*10. Antenatal Care (ANC)*"),
COUNTIFS('QA Log'!D:D,A287,'QA Log'!M:M,"QQC",'QA Log'!L:L,"*2. Hygiene and Sterilization*"),
COUNTIFS('QA Log'!D:D,A287,'QA Log'!M:M,"QQC",'QA Log'!L:L,"*4. Family Planning*")
))</f>
        <v/>
      </c>
      <c r="V287" s="102" t="str">
        <f>IF(A287="","",
SUM(
COUNTIFS('QA Log'!D:D,A287,'QA Log'!M:M,"QQC",'QA Log'!Z:Z,"Approved",'QA Log'!L:L,"*8. Maternity*"),
COUNTIFS('QA Log'!D:D,A287,'QA Log'!M:M,"QQC",'QA Log'!Z:Z,"Approved",'QA Log'!L:L,"*9. EPI and Pre-school Consultation*"),
COUNTIFS('QA Log'!D:D,A287,'QA Log'!M:M,"QQC",'QA Log'!Z:Z,"Approved",'QA Log'!L:L,"*10. Antenatal Care (ANC)*"),
COUNTIFS('QA Log'!D:D,A287,'QA Log'!M:M,"QQC",'QA Log'!Z:Z,"Approved",'QA Log'!L:L,"*2. Hygiene and Sterilization*"),
COUNTIFS('QA Log'!D:D,A287,'QA Log'!M:M,"QQC",'QA Log'!Z:Z,"Approved",'QA Log'!L:L,"*4. Family Planning*")
))</f>
        <v/>
      </c>
      <c r="W287" s="105" t="str">
        <f>IF(A287&lt;&gt;"",COUNTIFS('QA Log'!D:D,A287,'QA Log'!M:M,"QQC",'QA Log'!L:L,"8. Maternity",'QA Log'!Z:Z,"Approved"),"")</f>
        <v/>
      </c>
      <c r="X287" s="105" t="str">
        <f>IF(A287&lt;&gt;"",COUNTIFS('QA Log'!D:D,A287,'QA Log'!M:M,"QQC",'QA Log'!L:L,"9. EPI and Pre-school Consultation",'QA Log'!Z:Z,"Approved"),"")</f>
        <v/>
      </c>
      <c r="Y287" s="105" t="str">
        <f>IF(A287&lt;&gt;"",COUNTIFS('QA Log'!D:D,A287,'QA Log'!M:M,"QQC",'QA Log'!L:L,"10. Antenatal Care (ANC)",'QA Log'!Z:Z,"Approved"),"")</f>
        <v/>
      </c>
      <c r="Z287" s="105" t="str">
        <f>IF(A287&lt;&gt;"",COUNTIFS('QA Log'!D:D,A287,'QA Log'!M:M,"QQC",'QA Log'!L:L,"2. Hygiene and Sterilization",'QA Log'!Z:Z,"Approved"),"")</f>
        <v/>
      </c>
      <c r="AA287" s="105" t="str">
        <f>IF(A287&lt;&gt;"",COUNTIFS('QA Log'!D:D,A287,'QA Log'!M:M,"QQC",'QA Log'!L:L,"4. Family Planning",'QA Log'!Z:Z,"Approved"),"")</f>
        <v/>
      </c>
      <c r="AB287" s="102" t="str">
        <f>IF(A287="","",
SUM(
COUNTIFS('QA Log'!D:D,A287,'QA Log'!M:M,"QQC",'QA Log'!Z:Z,"Rejected",'QA Log'!L:L,"*8. Maternity*"),
COUNTIFS('QA Log'!D:D,A287,'QA Log'!M:M,"QQC",'QA Log'!Z:Z,"Rejected",'QA Log'!L:L,"*9. EPI and Pre-school Consultation*"),
COUNTIFS('QA Log'!D:D,A287,'QA Log'!M:M,"QQC",'QA Log'!Z:Z,"Rejected",'QA Log'!L:L,"*10. Antenatal Care (ANC)*"),
COUNTIFS('QA Log'!D:D,A287,'QA Log'!M:M,"QQC",'QA Log'!Z:Z,"Rejected",'QA Log'!L:L,"*2. Hygiene and Sterilization*"),
COUNTIFS('QA Log'!D:D,A287,'QA Log'!M:M,"QQC",'QA Log'!Z:Z,"Rejected",'QA Log'!L:L,"*4. Family Planning*")
))</f>
        <v/>
      </c>
      <c r="AC287" s="102" t="str">
        <f t="shared" si="29"/>
        <v/>
      </c>
      <c r="AD287" s="103" t="str">
        <f t="shared" si="30"/>
        <v/>
      </c>
      <c r="AE287" s="102" t="str">
        <f>IF(A287="","",
SUM(
COUNTIFS('QA Log'!D:D,A287,'QA Log'!M:M,"Data Verification",'QA Log'!L:L,"*Medicine (section 2)*"),
COUNTIFS('QA Log'!D:D,A287,'QA Log'!M:M,"Data Verification",'QA Log'!L:L,"*Lab Testing Availability*"),
COUNTIFS('QA Log'!D:D,A287,'QA Log'!M:M,"Data Verification",'QA Log'!L:L,"*Other than P4P (section 6)*"),
COUNTIFS('QA Log'!D:D,A287,'QA Log'!M:M,"Data Verification",'QA Log'!L:L,"*Hospital Governance*")
))</f>
        <v/>
      </c>
      <c r="AF287" s="102" t="str">
        <f>IF(A287="","",
SUM(
COUNTIFS('QA Log'!D:D,A287,'QA Log'!M:M,"Data Verification",'QA Log'!Z:Z,"Approved",'QA Log'!L:L,"*Medicine (section 2)*"),
COUNTIFS('QA Log'!D:D,A287,'QA Log'!M:M,"Data Verification",'QA Log'!Z:Z,"Approved",'QA Log'!L:L,"*Lab Testing Availability*"),
COUNTIFS('QA Log'!D:D,A287,'QA Log'!M:M,"Data Verification",'QA Log'!Z:Z,"Approved",'QA Log'!L:L,"*Other than P4P (section 6)*"),
COUNTIFS('QA Log'!D:D,A287,'QA Log'!M:M,"Data Verification",'QA Log'!Z:Z,"Approved",'QA Log'!L:L,"*Hospital Governance*")
))</f>
        <v/>
      </c>
      <c r="AG287" s="105" t="str">
        <f>IF(A287&lt;&gt;"",COUNTIFS('QA Log'!D:D,A287,'QA Log'!M:M,"Data Verification",'QA Log'!L:L,"Medicine (section 2)",'QA Log'!Z:Z,"Approved"),"")</f>
        <v/>
      </c>
      <c r="AH287" s="105" t="str">
        <f>IF(A287&lt;&gt;"",COUNTIFS('QA Log'!D:D,A287,'QA Log'!M:M,"Data Verification",'QA Log'!L:L,"Lab Testing Availability",'QA Log'!Z:Z,"Approved"),"")</f>
        <v/>
      </c>
      <c r="AI287" s="105" t="str">
        <f>IF(A287&lt;&gt;"",COUNTIFS('QA Log'!D:D,A287,'QA Log'!M:M,"Data Verification",'QA Log'!L:L,"Other than P4P (section 6)",'QA Log'!Z:Z,"Approved"),"")</f>
        <v/>
      </c>
      <c r="AJ287" s="105" t="str">
        <f>IF(A287&lt;&gt;"",COUNTIFS('QA Log'!D:D,A287,'QA Log'!M:M,"Data Verification",'QA Log'!L:L,"Hospital Governance",'QA Log'!Z:Z,"Approved"),"")</f>
        <v/>
      </c>
      <c r="AK287" s="102" t="str">
        <f>IF(A287="","",
SUM(
COUNTIFS('QA Log'!D:D,A287,'QA Log'!M:M,"Data Verification",'QA Log'!Z:Z,"Rejected",'QA Log'!L:L,"*Medicine (section 2)*"),
COUNTIFS('QA Log'!D:D,A287,'QA Log'!M:M,"Data Verification",'QA Log'!Z:Z,"Rejected",'QA Log'!L:L,"*Lab Testing Availability*"),
COUNTIFS('QA Log'!D:D,A287,'QA Log'!M:M,"Data Verification",'QA Log'!Z:Z,"Rejected",'QA Log'!L:L,"*Other than P4P (section 6)*"),
COUNTIFS('QA Log'!D:D,A287,'QA Log'!M:M,"Data Verification",'QA Log'!Z:Z,"Rejected",'QA Log'!L:L,"*Hospital Governance*")
))</f>
        <v/>
      </c>
      <c r="AL287" s="106" t="str">
        <f t="shared" si="31"/>
        <v/>
      </c>
      <c r="AM287" s="102" t="str">
        <f t="shared" si="32"/>
        <v/>
      </c>
      <c r="AN287" s="102" t="str">
        <f>IF(A287="","",
SUM(
COUNTIFS('QA Log'!D:D,A287,'QA Log'!M:M,"Data Verification",'QA Log'!L:L,"*Personnel (section 1)*"),
COUNTIFS('QA Log'!D:D,A287,'QA Log'!M:M,"Data Verification",'QA Log'!L:L,"*Consumable (section 3)*"),
COUNTIFS('QA Log'!D:D,A287,'QA Log'!M:M,"Data Verification",'QA Log'!L:L,"*Equipments (section 4)*")
))</f>
        <v/>
      </c>
      <c r="AO287" s="102" t="str">
        <f>IF(A287="","",
SUM(
COUNTIFS('QA Log'!D:D,A287,'QA Log'!M:M,"Data Verification",'QA Log'!Z:Z,"Approved",'QA Log'!L:L,"*Personnel (section 1)*"),
COUNTIFS('QA Log'!D:D,A287,'QA Log'!M:M,"Data Verification",'QA Log'!Z:Z,"Approved",'QA Log'!L:L,"*Consumable (section 3)*"),
COUNTIFS('QA Log'!D:D,A287,'QA Log'!M:M,"Data Verification",'QA Log'!Z:Z,"Approved",'QA Log'!L:L,"*Equipments (section 4)*")
))</f>
        <v/>
      </c>
      <c r="AP287" s="105" t="str">
        <f>IF(A287&lt;&gt;"",COUNTIFS('QA Log'!D:D,A287,'QA Log'!M:M,"Data Verification",'QA Log'!L:L,"Personnel (section 1)",'QA Log'!Z:Z,"Approved"),"")</f>
        <v/>
      </c>
      <c r="AQ287" s="105" t="str">
        <f>IF(A287&lt;&gt;"",COUNTIFS('QA Log'!D:D,A287,'QA Log'!M:M,"Data Verification",'QA Log'!L:L,"Consumable (section 3)",'QA Log'!Z:Z,"Approved"),"")</f>
        <v/>
      </c>
      <c r="AR287" s="105" t="str">
        <f>IF(A287&lt;&gt;"",COUNTIFS('QA Log'!D:D,A287,'QA Log'!M:M,"Data Verification",'QA Log'!L:L,"Equipments (section 4)",'QA Log'!Z:Z,"Approved"),"")</f>
        <v/>
      </c>
      <c r="AS287" s="102" t="str">
        <f>IF(A287="","",
SUM(
COUNTIFS('QA Log'!D:D,A287,'QA Log'!M:M,"Data Verification",'QA Log'!Z:Z,"Rejected",'QA Log'!L:L,"*Personnel (section 1)*"),
COUNTIFS('QA Log'!D:D,A287,'QA Log'!M:M,"Data Verification",'QA Log'!Z:Z,"Rejected",'QA Log'!L:L,"*Consumable (section 3)*"),
COUNTIFS('QA Log'!D:D,A287,'QA Log'!M:M,"Data Verification",'QA Log'!Z:Z,"Rejected",'QA Log'!L:L,"*Equipments (section 4)*")
))</f>
        <v/>
      </c>
      <c r="AT287" s="102" t="str">
        <f t="shared" si="33"/>
        <v/>
      </c>
      <c r="AU287" s="103" t="str">
        <f t="shared" si="34"/>
        <v/>
      </c>
      <c r="AV287" s="102" t="str">
        <f>IF(A287="","",SUM(
COUNTIFS('QA Log'!D:D,A287,'QA Log'!M:M,"Vignette",'QA Log'!L:L,"*Vignette [1] Respiratory Infection: Pneumonia*"),
COUNTIFS('QA Log'!D:D,A287,'QA Log'!M:M,"Vignette",'QA Log'!L:L,"*Vignette [2]: Diarrhea with Cat B dehydration*"),
COUNTIFS('QA Log'!D:D,A287,'QA Log'!M:M,"Vignette",'QA Log'!L:L,"*Vignette [3] Growth Monitoring and Promotion*"),
COUNTIFS('QA Log'!D:D,A287,'QA Log'!M:M,"Vignette",'QA Log'!L:L,"*Vignette [4]: The management of presumptive TB patient*")
)
)</f>
        <v/>
      </c>
      <c r="AW287" s="102" t="str">
        <f>IF(
  A287="","",
  SUM(
    COUNTIFS('QA Log'!D:D,A287,'QA Log'!M:M,"Vignette",'QA Log'!Z:Z,"Approved",'QA Log'!L:L,"*Vignette [1] Respiratory Infection: Pneumonia*"),
    COUNTIFS('QA Log'!D:D,A287,'QA Log'!M:M,"Vignette",'QA Log'!Z:Z,"Approved",'QA Log'!L:L,"*Vignette [2]: Diarrhea with Cat B dehydration*"),
    COUNTIFS('QA Log'!D:D,A287,'QA Log'!M:M,"Vignette",'QA Log'!Z:Z,"Approved",'QA Log'!L:L,"*Vignette [3] Growth Monitoring and Promotion*"),
    COUNTIFS('QA Log'!D:D,A287,'QA Log'!M:M,"Vignette",'QA Log'!Z:Z,"Approved",'QA Log'!L:L,"*Vignette [4]: The management of presumptive TB patient*")
  )
)</f>
        <v/>
      </c>
      <c r="AX287" s="105" t="str">
        <f>IF(A287&lt;&gt;"",COUNTIFS('QA Log'!D:D,A287,'QA Log'!M:M,"Vignette",'QA Log'!L:L,"Vignette [1] Respiratory Infection: Pneumonia",'QA Log'!Z:Z,"Approved"),"")</f>
        <v/>
      </c>
      <c r="AY287" s="105" t="str">
        <f>IF(A287&lt;&gt;"",COUNTIFS('QA Log'!D:D,A287,'QA Log'!M:M,"Vignette",'QA Log'!L:L,"Vignette [2]: Diarrhea with Cat B dehydration",'QA Log'!Z:Z,"Approved"),"")</f>
        <v/>
      </c>
      <c r="AZ287" s="105" t="str">
        <f>IF(A287&lt;&gt;"",COUNTIFS('QA Log'!D:D,A287,'QA Log'!M:M,"Vignette",'QA Log'!L:L,"Vignette [3] Growth Monitoring and Promotion",'QA Log'!Z:Z,"Approved"),"")</f>
        <v/>
      </c>
      <c r="BA287" s="105" t="str">
        <f>IF(A287&lt;&gt;"",COUNTIFS('QA Log'!D:D,A287,'QA Log'!M:M,"Vignette",'QA Log'!L:L,"Vignette [4]: The management of presumptive TB patient",'QA Log'!Z:Z,"Approved"),"")</f>
        <v/>
      </c>
      <c r="BB287" s="102" t="str">
        <f>IF(A287="","",
  SUM(
    COUNTIFS('QA Log'!D:D,A287,'QA Log'!M:M,"Vignette",'QA Log'!Z:Z,"Rejected",'QA Log'!L:L,"*Vignette [1] Respiratory Infection: Pneumonia*"),
    COUNTIFS('QA Log'!D:D,A287,'QA Log'!M:M,"Vignette",'QA Log'!Z:Z,"Rejected",'QA Log'!L:L,"*Vignette [2]: Diarrhea with Cat B dehydration*"),
    COUNTIFS('QA Log'!D:D,A287,'QA Log'!M:M,"Vignette",'QA Log'!Z:Z,"Rejected",'QA Log'!L:L,"*Vignette [3] Growth Monitoring and Promotion*"),
    COUNTIFS('QA Log'!D:D,A287,'QA Log'!M:M,"Vignette",'QA Log'!Z:Z,"Rejected",'QA Log'!L:L,"*Vignette [4]: The management of presumptive TB patient*")
  )
)</f>
        <v/>
      </c>
      <c r="BC287" s="107" t="str">
        <f t="shared" si="35"/>
        <v/>
      </c>
      <c r="BD287" s="103" t="str">
        <f t="shared" si="36"/>
        <v/>
      </c>
      <c r="BE287" s="102" t="str">
        <f>IF(A287="","",SUM(
COUNTIFS('QA Log'!D:D,A287,'QA Log'!M:M,"Vignette",'QA Log'!L:L,"*Vignette [5] Labor*"),
COUNTIFS('QA Log'!D:D,A287,'QA Log'!M:M,"Vignette",'QA Log'!L:L,"*Vignette [6] PNC pre Discharge*"),
COUNTIFS('QA Log'!D:D,A287,'QA Log'!M:M,"Vignette",'QA Log'!L:L,"*Vignette [7] First ANC Visit*"),
COUNTIFS('QA Log'!D:D,A287,'QA Log'!M:M,"Vignette",'QA Log'!L:L,"*Vignette [8] Birth Spacing/ Family Planning :  FP Counselling*"),
COUNTIFS('QA Log'!D:D,A287,'QA Log'!M:M,"Vignette",'QA Log'!L:L,"*Vignette [9] Birth Spacing: Change FP method to Injectable*"),
COUNTIFS('QA Log'!D:D,A287,'QA Log'!M:M,"Vignette",'QA Log'!L:L,"*Vignette [10] Post Partum Haemorrhage - Atonic Uterus at Health Centre*"),
)
)</f>
        <v/>
      </c>
      <c r="BF287" s="102" t="str">
        <f>IF(A287="","",
  SUM(
    COUNTIFS('QA Log'!D:D,A287,'QA Log'!M:M,"Vignette",'QA Log'!Z:Z,"Approved",'QA Log'!L:L,"*Vignette [5] Labor*"),
    COUNTIFS('QA Log'!D:D,A287,'QA Log'!M:M,"Vignette",'QA Log'!Z:Z,"Approved",'QA Log'!L:L,"*Vignette [6] PNC pre Discharge*"),
    COUNTIFS('QA Log'!D:D,A287,'QA Log'!M:M,"Vignette",'QA Log'!Z:Z,"Approved",'QA Log'!L:L,"*Vignette [7] First ANC Visit*"),
    COUNTIFS('QA Log'!D:D,A287,'QA Log'!M:M,"Vignette",'QA Log'!Z:Z,"Approved",'QA Log'!L:L,"*Vignette [8] Birth Spacing/ Family Planning :  FP Counselling*"),
    COUNTIFS('QA Log'!D:D,A287,'QA Log'!M:M,"Vignette",'QA Log'!Z:Z,"Approved",'QA Log'!L:L,"*Vignette [9] Birth Spacing: Change FP method to Injectable*"),
    COUNTIFS('QA Log'!D:D,A287,'QA Log'!M:M,"Vignette",'QA Log'!Z:Z,"Approved",'QA Log'!L:L,"*Vignette [10] Post Partum Haemorrhage - Atonic Uterus at Health Centre*")
  )
)</f>
        <v/>
      </c>
      <c r="BG287" s="105" t="str">
        <f>IF(A287&lt;&gt;"",COUNTIFS('QA Log'!D:D,A287,'QA Log'!M:M,"Vignette",'QA Log'!L:L,"Vignette [5] Labor",'QA Log'!Z:Z,"Approved"),"")</f>
        <v/>
      </c>
      <c r="BH287" s="105" t="str">
        <f>IF(A287&lt;&gt;"",COUNTIFS('QA Log'!D:D,A287,'QA Log'!M:M,"Vignette",'QA Log'!L:L,"Vignette [6] PNC pre Discharge",'QA Log'!Z:Z,"Approved"),"")</f>
        <v/>
      </c>
      <c r="BI287" s="105" t="str">
        <f>IF(A287&lt;&gt;"",COUNTIFS('QA Log'!D:D,A287,'QA Log'!M:M,"Vignette",'QA Log'!L:L,"Vignette [7] First ANC Visit",'QA Log'!Z:Z,"Approved"),"")</f>
        <v/>
      </c>
      <c r="BJ287" s="105" t="str">
        <f>IF(A287&lt;&gt;"",COUNTIFS('QA Log'!D:D,A287,'QA Log'!M:M,"Vignette",'QA Log'!L:L,"Vignette [8] Birth Spacing/ Family Planning :  FP Counselling",'QA Log'!Z:Z,"Approved"),"")</f>
        <v/>
      </c>
      <c r="BK287" s="105" t="str">
        <f>IF(A287&lt;&gt;"",COUNTIFS('QA Log'!D:D,A287,'QA Log'!M:M,"Vignette",'QA Log'!L:L,"Vignette [9] Birth Spacing: Change FP method to Injectable",'QA Log'!Z:Z,"Approved"),"")</f>
        <v/>
      </c>
      <c r="BL287" s="105" t="str">
        <f>IF(A287&lt;&gt;"",COUNTIFS('QA Log'!D:D,A287,'QA Log'!M:M,"Vignette",'QA Log'!L:L,"Vignette [10] Post Partum Haemorrhage - Atonic Uterus at Health Centre",'QA Log'!Z:Z,"Approved"),"")</f>
        <v/>
      </c>
      <c r="BM287" s="102" t="str">
        <f>IF(A287="","",SUM(
    COUNTIFS('QA Log'!D:D,A287,'QA Log'!M:M,"Vignette",'QA Log'!Z:Z,"Rejected",'QA Log'!L:L,"*Vignette [5] Labor*"),
    COUNTIFS('QA Log'!D:D,A287,'QA Log'!M:M,"Vignette",'QA Log'!Z:Z,"Rejected",'QA Log'!L:L,"*Vignette [6] PNC pre Discharge*"),
    COUNTIFS('QA Log'!D:D,A287,'QA Log'!M:M,"Vignette",'QA Log'!Z:Z,"Rejected",'QA Log'!L:L,"*Vignette [7] First ANC Visit*"),
    COUNTIFS('QA Log'!D:D,A287,'QA Log'!M:M,"Vignette",'QA Log'!Z:Z,"Rejected",'QA Log'!L:L,"*Vignette [8] Birth Spacing/ Family Planning :  FP Counselling*"),
    COUNTIFS('QA Log'!D:D,A287,'QA Log'!M:M,"Vignette",'QA Log'!Z:Z,"Rejected",'QA Log'!L:L,"*Vignette [9] Birth Spacing: Change FP method to Injectable*"),
    COUNTIFS('QA Log'!D:D,A287,'QA Log'!M:M,"Vignette",'QA Log'!Z:Z,"Rejected",'QA Log'!L:L,"*Vignette [10] Post Partum Haemorrhage - Atonic Uterus at Health Centre*")
  )
)</f>
        <v/>
      </c>
      <c r="BN287" s="107" t="str">
        <f t="shared" si="37"/>
        <v/>
      </c>
      <c r="BO287" s="103" t="str">
        <f t="shared" si="38"/>
        <v/>
      </c>
      <c r="BP287" s="102" t="str">
        <f>IF(A287="","",SUM(
COUNTIFS('QA Log'!D:D,A287,'QA Log'!M:M,"Vignette",'QA Log'!L:L,"*Exit Interview 1*"),
COUNTIFS('QA Log'!D:D,A287,'QA Log'!M:M,"Vignette",'QA Log'!L:L,"*Exit Interview 2*"),
)
)</f>
        <v/>
      </c>
      <c r="BQ287" s="102" t="str">
        <f>IF(
  A287="","",
  SUM(
    COUNTIFS('QA Log'!D:D,A287,'QA Log'!M:M,"Vignette",'QA Log'!Z:Z,"Approved",'QA Log'!L:L,"*Exit Interview 1*"),
    COUNTIFS('QA Log'!D:D,A287,'QA Log'!M:M,"Vignette",'QA Log'!Z:Z,"Approved",'QA Log'!L:L,"*Exit Interview 2*")
  )
)</f>
        <v/>
      </c>
      <c r="BR287" s="105" t="str">
        <f>IF(A287&lt;&gt;"",COUNTIFS('QA Log'!D:D,A287,'QA Log'!M:M,"Vignette",'QA Log'!L:L,"Exit Interview 1",'QA Log'!Z:Z,"Approved"),"")</f>
        <v/>
      </c>
      <c r="BS287" s="105" t="str">
        <f>IF(A287&lt;&gt;"",COUNTIFS('QA Log'!D:D,A287,'QA Log'!M:M,"Vignette",'QA Log'!L:L,"Exit Interview 2",'QA Log'!Z:Z,"Approved"),"")</f>
        <v/>
      </c>
      <c r="BT287" s="102" t="str">
        <f>IF(
  A287="","",
  SUM(
    COUNTIFS('QA Log'!D:D,A287,'QA Log'!M:M,"Vignette",'QA Log'!Z:Z,"Rejected",'QA Log'!L:L,"*Exit Interview 1*"),
    COUNTIFS('QA Log'!D:D,A287,'QA Log'!M:M,"Vignette",'QA Log'!Z:Z,"Rejected",'QA Log'!L:L,"*Exit Interview 2*")
  )
)</f>
        <v/>
      </c>
      <c r="BU287" s="107" t="str">
        <f t="shared" si="39"/>
        <v/>
      </c>
      <c r="BV287" s="102" t="str">
        <f t="shared" si="40"/>
        <v/>
      </c>
      <c r="BW287" s="102" t="str">
        <f t="shared" si="41"/>
        <v/>
      </c>
      <c r="BX287" s="102" t="str">
        <f t="shared" si="42"/>
        <v/>
      </c>
      <c r="BY287" s="102" t="str">
        <f t="shared" si="43"/>
        <v/>
      </c>
      <c r="BZ287" s="107" t="str">
        <f t="shared" si="44"/>
        <v/>
      </c>
      <c r="CA287" s="108" t="str">
        <f t="shared" si="45"/>
        <v/>
      </c>
      <c r="CB287" s="108" t="str">
        <f t="shared" si="46"/>
        <v/>
      </c>
      <c r="CC287" s="109" t="str">
        <f t="shared" si="47"/>
        <v/>
      </c>
      <c r="CD287" s="108" t="str">
        <f t="shared" si="48"/>
        <v/>
      </c>
      <c r="CE287" s="108" t="str">
        <f t="shared" si="49"/>
        <v/>
      </c>
      <c r="CF287" s="109" t="str">
        <f t="shared" si="50"/>
        <v/>
      </c>
      <c r="CG287" s="110" t="str">
        <f t="shared" si="51"/>
        <v/>
      </c>
      <c r="CH287" s="111"/>
    </row>
    <row r="288" spans="1:86" ht="12.75">
      <c r="A288" s="101"/>
      <c r="B288" s="102" t="e">
        <f t="array" aca="1" ref="B288" ca="1">_xludf.XLOOKUP(A288,'QA Log'!D:D,'QA Log'!E:E,"")</f>
        <v>#NAME?</v>
      </c>
      <c r="C288" s="102" t="e">
        <f t="array" aca="1" ref="C288" ca="1">_xludf.XLOOKUP(A288,'QA Log'!D:D,'QA Log'!F:F,"")</f>
        <v>#NAME?</v>
      </c>
      <c r="D288" s="102" t="e">
        <f t="array" aca="1" ref="D288" ca="1">_xludf.XLOOKUP(A288,'QA Log'!D:D,'QA Log'!H:H,"")</f>
        <v>#NAME?</v>
      </c>
      <c r="E288" s="102" t="e">
        <f t="array" aca="1" ref="E288" ca="1">_xludf.XLOOKUP(A288,'QA Log'!D:D,'QA Log'!G:G,"")</f>
        <v>#NAME?</v>
      </c>
      <c r="F288" s="103"/>
      <c r="G288" s="104"/>
      <c r="H288" s="104"/>
      <c r="I288" s="103" t="str">
        <f t="shared" si="26"/>
        <v/>
      </c>
      <c r="J288" s="102" t="str">
        <f>IF(A288="","",SUM(
COUNTIFS('QA Log'!D:D,A288,'QA Log'!M:M,"QQC",'QA Log'!L:L,"*1. General Management*"),
COUNTIFS('QA Log'!D:D,A288,'QA Log'!M:M,"QQC",'QA Log'!L:L,"*3. Curative Consultation (OPD)*"),
COUNTIFS('QA Log'!D:D,A288,'QA Log'!M:M,"QQC",'QA Log'!L:L,"*5. Laboratory*"),
COUNTIFS('QA Log'!D:D,A288,'QA Log'!M:M,"QQC",'QA Log'!L:L,"*6. Essential Medicine Management*"),
COUNTIFS('QA Log'!D:D,A288,'QA Log'!M:M,"QQC",'QA Log'!L:L,"*7. Tracer Medicine*"),
COUNTIFS('QA Log'!D:D,A288,'QA Log'!M:M,"QQC",'QA Log'!L:L,"*11. Additional Questions*")))</f>
        <v/>
      </c>
      <c r="K288" s="102" t="str">
        <f>IF(A288="","",SUM(
COUNTIFS('QA Log'!D:D,A288,'QA Log'!M:M,"QQC",'QA Log'!Z:Z,"Approved",'QA Log'!L:L,"*1. General Management*"),
COUNTIFS('QA Log'!D:D,A288,'QA Log'!M:M,"QQC",'QA Log'!Z:Z,"Approved",'QA Log'!L:L,"*3. Curative Consultation (OPD)*"),
COUNTIFS('QA Log'!D:D,A288,'QA Log'!M:M,"QQC",'QA Log'!Z:Z,"Approved",'QA Log'!L:L,"*5. Laboratory*"),
COUNTIFS('QA Log'!D:D,A288,'QA Log'!M:M,"QQC",'QA Log'!Z:Z,"Approved",'QA Log'!L:L,"*6. Essential Medicine Management*"),
COUNTIFS('QA Log'!D:D,A288,'QA Log'!M:M,"QQC",'QA Log'!Z:Z,"Approved",'QA Log'!L:L,"*7. Tracer Medicine*"),
COUNTIFS('QA Log'!D:D,A288,'QA Log'!M:M,"QQC",'QA Log'!Z:Z,"Approved",'QA Log'!L:L,"*11. Additional Questions*")))</f>
        <v/>
      </c>
      <c r="L288" s="105" t="str">
        <f>IF(A288&lt;&gt;"",COUNTIFS('QA Log'!D:D,A288,'QA Log'!M:M,"QQC",'QA Log'!L:L,"1. General Management",'QA Log'!Z:Z,"Approved"),"")</f>
        <v/>
      </c>
      <c r="M288" s="105" t="str">
        <f>IF(A288&lt;&gt;"",COUNTIFS('QA Log'!D:D,A288,'QA Log'!M:M,"QQC",'QA Log'!L:L,"3. Curative Consultation (OPD)",'QA Log'!Z:Z,"Approved"),"")</f>
        <v/>
      </c>
      <c r="N288" s="105" t="str">
        <f>IF(A288&lt;&gt;"",COUNTIFS('QA Log'!D:D,A288,'QA Log'!M:M,"QQC",'QA Log'!L:L,"5. Laboratory",'QA Log'!Z:Z,"Approved"),"")</f>
        <v/>
      </c>
      <c r="O288" s="105" t="str">
        <f>IF(A288&lt;&gt;"",COUNTIFS('QA Log'!D:D,A288,'QA Log'!M:M,"QQC",'QA Log'!L:L,"6. Essential Medicine Management",'QA Log'!Z:Z,"Approved"),"")</f>
        <v/>
      </c>
      <c r="P288" s="105" t="str">
        <f>IF(A288&lt;&gt;"",COUNTIFS('QA Log'!D:D,A288,'QA Log'!M:M,"QQC",'QA Log'!L:L,"7. Tracer Medicine",'QA Log'!Z:Z,"Approved"),"")</f>
        <v/>
      </c>
      <c r="Q288" s="105" t="str">
        <f>IF(A288&lt;&gt;"",COUNTIFS('QA Log'!D:D,A288,'QA Log'!M:M,"QQC",'QA Log'!L:L,"11. Additional Questions",'QA Log'!Z:Z,"Approved"),"")</f>
        <v/>
      </c>
      <c r="R288" s="102" t="str">
        <f>IF(A288="","",SUM(
COUNTIFS('QA Log'!D:D,A288,'QA Log'!M:M,"QQC",'QA Log'!Z:Z,"Rejected",'QA Log'!L:L,"*8. Maternity*"),
COUNTIFS('QA Log'!D:D,A288,'QA Log'!M:M,"QQC",'QA Log'!Z:Z,"Rejected",'QA Log'!L:L,"*EPI*"),
COUNTIFS('QA Log'!D:D,A288,'QA Log'!M:M,"QQC",'QA Log'!Z:Z,"Rejected",'QA Log'!L:L,"*10. Antenatal Care (ANC)*"),
COUNTIFS('QA Log'!D:D,A288,'QA Log'!M:M,"QQC",'QA Log'!Z:Z,"Rejected",'QA Log'!L:L,"*2. Hygiene and Sterilization*"),
COUNTIFS('QA Log'!D:D,A288,'QA Log'!M:M,"QQC",'QA Log'!Z:Z,"Rejected",'QA Log'!L:L,"*Family Planning*")))</f>
        <v/>
      </c>
      <c r="S288" s="106" t="str">
        <f t="shared" si="27"/>
        <v/>
      </c>
      <c r="T288" s="102" t="str">
        <f t="shared" si="28"/>
        <v/>
      </c>
      <c r="U288" s="102" t="str">
        <f>IF(A288="","",
SUM(
COUNTIFS('QA Log'!D:D,A288,'QA Log'!M:M,"QQC",'QA Log'!L:L,"*8. Maternity*"),
COUNTIFS('QA Log'!D:D,A288,'QA Log'!M:M,"QQC",'QA Log'!L:L,"*9. EPI and Pre-school Consultation*"),
COUNTIFS('QA Log'!D:D,A288,'QA Log'!M:M,"QQC",'QA Log'!L:L,"*10. Antenatal Care (ANC)*"),
COUNTIFS('QA Log'!D:D,A288,'QA Log'!M:M,"QQC",'QA Log'!L:L,"*2. Hygiene and Sterilization*"),
COUNTIFS('QA Log'!D:D,A288,'QA Log'!M:M,"QQC",'QA Log'!L:L,"*4. Family Planning*")
))</f>
        <v/>
      </c>
      <c r="V288" s="102" t="str">
        <f>IF(A288="","",
SUM(
COUNTIFS('QA Log'!D:D,A288,'QA Log'!M:M,"QQC",'QA Log'!Z:Z,"Approved",'QA Log'!L:L,"*8. Maternity*"),
COUNTIFS('QA Log'!D:D,A288,'QA Log'!M:M,"QQC",'QA Log'!Z:Z,"Approved",'QA Log'!L:L,"*9. EPI and Pre-school Consultation*"),
COUNTIFS('QA Log'!D:D,A288,'QA Log'!M:M,"QQC",'QA Log'!Z:Z,"Approved",'QA Log'!L:L,"*10. Antenatal Care (ANC)*"),
COUNTIFS('QA Log'!D:D,A288,'QA Log'!M:M,"QQC",'QA Log'!Z:Z,"Approved",'QA Log'!L:L,"*2. Hygiene and Sterilization*"),
COUNTIFS('QA Log'!D:D,A288,'QA Log'!M:M,"QQC",'QA Log'!Z:Z,"Approved",'QA Log'!L:L,"*4. Family Planning*")
))</f>
        <v/>
      </c>
      <c r="W288" s="105" t="str">
        <f>IF(A288&lt;&gt;"",COUNTIFS('QA Log'!D:D,A288,'QA Log'!M:M,"QQC",'QA Log'!L:L,"8. Maternity",'QA Log'!Z:Z,"Approved"),"")</f>
        <v/>
      </c>
      <c r="X288" s="105" t="str">
        <f>IF(A288&lt;&gt;"",COUNTIFS('QA Log'!D:D,A288,'QA Log'!M:M,"QQC",'QA Log'!L:L,"9. EPI and Pre-school Consultation",'QA Log'!Z:Z,"Approved"),"")</f>
        <v/>
      </c>
      <c r="Y288" s="105" t="str">
        <f>IF(A288&lt;&gt;"",COUNTIFS('QA Log'!D:D,A288,'QA Log'!M:M,"QQC",'QA Log'!L:L,"10. Antenatal Care (ANC)",'QA Log'!Z:Z,"Approved"),"")</f>
        <v/>
      </c>
      <c r="Z288" s="105" t="str">
        <f>IF(A288&lt;&gt;"",COUNTIFS('QA Log'!D:D,A288,'QA Log'!M:M,"QQC",'QA Log'!L:L,"2. Hygiene and Sterilization",'QA Log'!Z:Z,"Approved"),"")</f>
        <v/>
      </c>
      <c r="AA288" s="105" t="str">
        <f>IF(A288&lt;&gt;"",COUNTIFS('QA Log'!D:D,A288,'QA Log'!M:M,"QQC",'QA Log'!L:L,"4. Family Planning",'QA Log'!Z:Z,"Approved"),"")</f>
        <v/>
      </c>
      <c r="AB288" s="102" t="str">
        <f>IF(A288="","",
SUM(
COUNTIFS('QA Log'!D:D,A288,'QA Log'!M:M,"QQC",'QA Log'!Z:Z,"Rejected",'QA Log'!L:L,"*8. Maternity*"),
COUNTIFS('QA Log'!D:D,A288,'QA Log'!M:M,"QQC",'QA Log'!Z:Z,"Rejected",'QA Log'!L:L,"*9. EPI and Pre-school Consultation*"),
COUNTIFS('QA Log'!D:D,A288,'QA Log'!M:M,"QQC",'QA Log'!Z:Z,"Rejected",'QA Log'!L:L,"*10. Antenatal Care (ANC)*"),
COUNTIFS('QA Log'!D:D,A288,'QA Log'!M:M,"QQC",'QA Log'!Z:Z,"Rejected",'QA Log'!L:L,"*2. Hygiene and Sterilization*"),
COUNTIFS('QA Log'!D:D,A288,'QA Log'!M:M,"QQC",'QA Log'!Z:Z,"Rejected",'QA Log'!L:L,"*4. Family Planning*")
))</f>
        <v/>
      </c>
      <c r="AC288" s="102" t="str">
        <f t="shared" si="29"/>
        <v/>
      </c>
      <c r="AD288" s="103" t="str">
        <f t="shared" si="30"/>
        <v/>
      </c>
      <c r="AE288" s="102" t="str">
        <f>IF(A288="","",
SUM(
COUNTIFS('QA Log'!D:D,A288,'QA Log'!M:M,"Data Verification",'QA Log'!L:L,"*Medicine (section 2)*"),
COUNTIFS('QA Log'!D:D,A288,'QA Log'!M:M,"Data Verification",'QA Log'!L:L,"*Lab Testing Availability*"),
COUNTIFS('QA Log'!D:D,A288,'QA Log'!M:M,"Data Verification",'QA Log'!L:L,"*Other than P4P (section 6)*"),
COUNTIFS('QA Log'!D:D,A288,'QA Log'!M:M,"Data Verification",'QA Log'!L:L,"*Hospital Governance*")
))</f>
        <v/>
      </c>
      <c r="AF288" s="102" t="str">
        <f>IF(A288="","",
SUM(
COUNTIFS('QA Log'!D:D,A288,'QA Log'!M:M,"Data Verification",'QA Log'!Z:Z,"Approved",'QA Log'!L:L,"*Medicine (section 2)*"),
COUNTIFS('QA Log'!D:D,A288,'QA Log'!M:M,"Data Verification",'QA Log'!Z:Z,"Approved",'QA Log'!L:L,"*Lab Testing Availability*"),
COUNTIFS('QA Log'!D:D,A288,'QA Log'!M:M,"Data Verification",'QA Log'!Z:Z,"Approved",'QA Log'!L:L,"*Other than P4P (section 6)*"),
COUNTIFS('QA Log'!D:D,A288,'QA Log'!M:M,"Data Verification",'QA Log'!Z:Z,"Approved",'QA Log'!L:L,"*Hospital Governance*")
))</f>
        <v/>
      </c>
      <c r="AG288" s="105" t="str">
        <f>IF(A288&lt;&gt;"",COUNTIFS('QA Log'!D:D,A288,'QA Log'!M:M,"Data Verification",'QA Log'!L:L,"Medicine (section 2)",'QA Log'!Z:Z,"Approved"),"")</f>
        <v/>
      </c>
      <c r="AH288" s="105" t="str">
        <f>IF(A288&lt;&gt;"",COUNTIFS('QA Log'!D:D,A288,'QA Log'!M:M,"Data Verification",'QA Log'!L:L,"Lab Testing Availability",'QA Log'!Z:Z,"Approved"),"")</f>
        <v/>
      </c>
      <c r="AI288" s="105" t="str">
        <f>IF(A288&lt;&gt;"",COUNTIFS('QA Log'!D:D,A288,'QA Log'!M:M,"Data Verification",'QA Log'!L:L,"Other than P4P (section 6)",'QA Log'!Z:Z,"Approved"),"")</f>
        <v/>
      </c>
      <c r="AJ288" s="105" t="str">
        <f>IF(A288&lt;&gt;"",COUNTIFS('QA Log'!D:D,A288,'QA Log'!M:M,"Data Verification",'QA Log'!L:L,"Hospital Governance",'QA Log'!Z:Z,"Approved"),"")</f>
        <v/>
      </c>
      <c r="AK288" s="102" t="str">
        <f>IF(A288="","",
SUM(
COUNTIFS('QA Log'!D:D,A288,'QA Log'!M:M,"Data Verification",'QA Log'!Z:Z,"Rejected",'QA Log'!L:L,"*Medicine (section 2)*"),
COUNTIFS('QA Log'!D:D,A288,'QA Log'!M:M,"Data Verification",'QA Log'!Z:Z,"Rejected",'QA Log'!L:L,"*Lab Testing Availability*"),
COUNTIFS('QA Log'!D:D,A288,'QA Log'!M:M,"Data Verification",'QA Log'!Z:Z,"Rejected",'QA Log'!L:L,"*Other than P4P (section 6)*"),
COUNTIFS('QA Log'!D:D,A288,'QA Log'!M:M,"Data Verification",'QA Log'!Z:Z,"Rejected",'QA Log'!L:L,"*Hospital Governance*")
))</f>
        <v/>
      </c>
      <c r="AL288" s="106" t="str">
        <f t="shared" si="31"/>
        <v/>
      </c>
      <c r="AM288" s="102" t="str">
        <f t="shared" si="32"/>
        <v/>
      </c>
      <c r="AN288" s="102" t="str">
        <f>IF(A288="","",
SUM(
COUNTIFS('QA Log'!D:D,A288,'QA Log'!M:M,"Data Verification",'QA Log'!L:L,"*Personnel (section 1)*"),
COUNTIFS('QA Log'!D:D,A288,'QA Log'!M:M,"Data Verification",'QA Log'!L:L,"*Consumable (section 3)*"),
COUNTIFS('QA Log'!D:D,A288,'QA Log'!M:M,"Data Verification",'QA Log'!L:L,"*Equipments (section 4)*")
))</f>
        <v/>
      </c>
      <c r="AO288" s="102" t="str">
        <f>IF(A288="","",
SUM(
COUNTIFS('QA Log'!D:D,A288,'QA Log'!M:M,"Data Verification",'QA Log'!Z:Z,"Approved",'QA Log'!L:L,"*Personnel (section 1)*"),
COUNTIFS('QA Log'!D:D,A288,'QA Log'!M:M,"Data Verification",'QA Log'!Z:Z,"Approved",'QA Log'!L:L,"*Consumable (section 3)*"),
COUNTIFS('QA Log'!D:D,A288,'QA Log'!M:M,"Data Verification",'QA Log'!Z:Z,"Approved",'QA Log'!L:L,"*Equipments (section 4)*")
))</f>
        <v/>
      </c>
      <c r="AP288" s="105" t="str">
        <f>IF(A288&lt;&gt;"",COUNTIFS('QA Log'!D:D,A288,'QA Log'!M:M,"Data Verification",'QA Log'!L:L,"Personnel (section 1)",'QA Log'!Z:Z,"Approved"),"")</f>
        <v/>
      </c>
      <c r="AQ288" s="105" t="str">
        <f>IF(A288&lt;&gt;"",COUNTIFS('QA Log'!D:D,A288,'QA Log'!M:M,"Data Verification",'QA Log'!L:L,"Consumable (section 3)",'QA Log'!Z:Z,"Approved"),"")</f>
        <v/>
      </c>
      <c r="AR288" s="105" t="str">
        <f>IF(A288&lt;&gt;"",COUNTIFS('QA Log'!D:D,A288,'QA Log'!M:M,"Data Verification",'QA Log'!L:L,"Equipments (section 4)",'QA Log'!Z:Z,"Approved"),"")</f>
        <v/>
      </c>
      <c r="AS288" s="102" t="str">
        <f>IF(A288="","",
SUM(
COUNTIFS('QA Log'!D:D,A288,'QA Log'!M:M,"Data Verification",'QA Log'!Z:Z,"Rejected",'QA Log'!L:L,"*Personnel (section 1)*"),
COUNTIFS('QA Log'!D:D,A288,'QA Log'!M:M,"Data Verification",'QA Log'!Z:Z,"Rejected",'QA Log'!L:L,"*Consumable (section 3)*"),
COUNTIFS('QA Log'!D:D,A288,'QA Log'!M:M,"Data Verification",'QA Log'!Z:Z,"Rejected",'QA Log'!L:L,"*Equipments (section 4)*")
))</f>
        <v/>
      </c>
      <c r="AT288" s="102" t="str">
        <f t="shared" si="33"/>
        <v/>
      </c>
      <c r="AU288" s="103" t="str">
        <f t="shared" si="34"/>
        <v/>
      </c>
      <c r="AV288" s="102" t="str">
        <f>IF(A288="","",SUM(
COUNTIFS('QA Log'!D:D,A288,'QA Log'!M:M,"Vignette",'QA Log'!L:L,"*Vignette [1] Respiratory Infection: Pneumonia*"),
COUNTIFS('QA Log'!D:D,A288,'QA Log'!M:M,"Vignette",'QA Log'!L:L,"*Vignette [2]: Diarrhea with Cat B dehydration*"),
COUNTIFS('QA Log'!D:D,A288,'QA Log'!M:M,"Vignette",'QA Log'!L:L,"*Vignette [3] Growth Monitoring and Promotion*"),
COUNTIFS('QA Log'!D:D,A288,'QA Log'!M:M,"Vignette",'QA Log'!L:L,"*Vignette [4]: The management of presumptive TB patient*")
)
)</f>
        <v/>
      </c>
      <c r="AW288" s="102" t="str">
        <f>IF(
  A288="","",
  SUM(
    COUNTIFS('QA Log'!D:D,A288,'QA Log'!M:M,"Vignette",'QA Log'!Z:Z,"Approved",'QA Log'!L:L,"*Vignette [1] Respiratory Infection: Pneumonia*"),
    COUNTIFS('QA Log'!D:D,A288,'QA Log'!M:M,"Vignette",'QA Log'!Z:Z,"Approved",'QA Log'!L:L,"*Vignette [2]: Diarrhea with Cat B dehydration*"),
    COUNTIFS('QA Log'!D:D,A288,'QA Log'!M:M,"Vignette",'QA Log'!Z:Z,"Approved",'QA Log'!L:L,"*Vignette [3] Growth Monitoring and Promotion*"),
    COUNTIFS('QA Log'!D:D,A288,'QA Log'!M:M,"Vignette",'QA Log'!Z:Z,"Approved",'QA Log'!L:L,"*Vignette [4]: The management of presumptive TB patient*")
  )
)</f>
        <v/>
      </c>
      <c r="AX288" s="105" t="str">
        <f>IF(A288&lt;&gt;"",COUNTIFS('QA Log'!D:D,A288,'QA Log'!M:M,"Vignette",'QA Log'!L:L,"Vignette [1] Respiratory Infection: Pneumonia",'QA Log'!Z:Z,"Approved"),"")</f>
        <v/>
      </c>
      <c r="AY288" s="105" t="str">
        <f>IF(A288&lt;&gt;"",COUNTIFS('QA Log'!D:D,A288,'QA Log'!M:M,"Vignette",'QA Log'!L:L,"Vignette [2]: Diarrhea with Cat B dehydration",'QA Log'!Z:Z,"Approved"),"")</f>
        <v/>
      </c>
      <c r="AZ288" s="105" t="str">
        <f>IF(A288&lt;&gt;"",COUNTIFS('QA Log'!D:D,A288,'QA Log'!M:M,"Vignette",'QA Log'!L:L,"Vignette [3] Growth Monitoring and Promotion",'QA Log'!Z:Z,"Approved"),"")</f>
        <v/>
      </c>
      <c r="BA288" s="105" t="str">
        <f>IF(A288&lt;&gt;"",COUNTIFS('QA Log'!D:D,A288,'QA Log'!M:M,"Vignette",'QA Log'!L:L,"Vignette [4]: The management of presumptive TB patient",'QA Log'!Z:Z,"Approved"),"")</f>
        <v/>
      </c>
      <c r="BB288" s="102" t="str">
        <f>IF(A288="","",
  SUM(
    COUNTIFS('QA Log'!D:D,A288,'QA Log'!M:M,"Vignette",'QA Log'!Z:Z,"Rejected",'QA Log'!L:L,"*Vignette [1] Respiratory Infection: Pneumonia*"),
    COUNTIFS('QA Log'!D:D,A288,'QA Log'!M:M,"Vignette",'QA Log'!Z:Z,"Rejected",'QA Log'!L:L,"*Vignette [2]: Diarrhea with Cat B dehydration*"),
    COUNTIFS('QA Log'!D:D,A288,'QA Log'!M:M,"Vignette",'QA Log'!Z:Z,"Rejected",'QA Log'!L:L,"*Vignette [3] Growth Monitoring and Promotion*"),
    COUNTIFS('QA Log'!D:D,A288,'QA Log'!M:M,"Vignette",'QA Log'!Z:Z,"Rejected",'QA Log'!L:L,"*Vignette [4]: The management of presumptive TB patient*")
  )
)</f>
        <v/>
      </c>
      <c r="BC288" s="107" t="str">
        <f t="shared" si="35"/>
        <v/>
      </c>
      <c r="BD288" s="103" t="str">
        <f t="shared" si="36"/>
        <v/>
      </c>
      <c r="BE288" s="102" t="str">
        <f>IF(A288="","",SUM(
COUNTIFS('QA Log'!D:D,A288,'QA Log'!M:M,"Vignette",'QA Log'!L:L,"*Vignette [5] Labor*"),
COUNTIFS('QA Log'!D:D,A288,'QA Log'!M:M,"Vignette",'QA Log'!L:L,"*Vignette [6] PNC pre Discharge*"),
COUNTIFS('QA Log'!D:D,A288,'QA Log'!M:M,"Vignette",'QA Log'!L:L,"*Vignette [7] First ANC Visit*"),
COUNTIFS('QA Log'!D:D,A288,'QA Log'!M:M,"Vignette",'QA Log'!L:L,"*Vignette [8] Birth Spacing/ Family Planning :  FP Counselling*"),
COUNTIFS('QA Log'!D:D,A288,'QA Log'!M:M,"Vignette",'QA Log'!L:L,"*Vignette [9] Birth Spacing: Change FP method to Injectable*"),
COUNTIFS('QA Log'!D:D,A288,'QA Log'!M:M,"Vignette",'QA Log'!L:L,"*Vignette [10] Post Partum Haemorrhage - Atonic Uterus at Health Centre*"),
)
)</f>
        <v/>
      </c>
      <c r="BF288" s="102" t="str">
        <f>IF(A288="","",
  SUM(
    COUNTIFS('QA Log'!D:D,A288,'QA Log'!M:M,"Vignette",'QA Log'!Z:Z,"Approved",'QA Log'!L:L,"*Vignette [5] Labor*"),
    COUNTIFS('QA Log'!D:D,A288,'QA Log'!M:M,"Vignette",'QA Log'!Z:Z,"Approved",'QA Log'!L:L,"*Vignette [6] PNC pre Discharge*"),
    COUNTIFS('QA Log'!D:D,A288,'QA Log'!M:M,"Vignette",'QA Log'!Z:Z,"Approved",'QA Log'!L:L,"*Vignette [7] First ANC Visit*"),
    COUNTIFS('QA Log'!D:D,A288,'QA Log'!M:M,"Vignette",'QA Log'!Z:Z,"Approved",'QA Log'!L:L,"*Vignette [8] Birth Spacing/ Family Planning :  FP Counselling*"),
    COUNTIFS('QA Log'!D:D,A288,'QA Log'!M:M,"Vignette",'QA Log'!Z:Z,"Approved",'QA Log'!L:L,"*Vignette [9] Birth Spacing: Change FP method to Injectable*"),
    COUNTIFS('QA Log'!D:D,A288,'QA Log'!M:M,"Vignette",'QA Log'!Z:Z,"Approved",'QA Log'!L:L,"*Vignette [10] Post Partum Haemorrhage - Atonic Uterus at Health Centre*")
  )
)</f>
        <v/>
      </c>
      <c r="BG288" s="105" t="str">
        <f>IF(A288&lt;&gt;"",COUNTIFS('QA Log'!D:D,A288,'QA Log'!M:M,"Vignette",'QA Log'!L:L,"Vignette [5] Labor",'QA Log'!Z:Z,"Approved"),"")</f>
        <v/>
      </c>
      <c r="BH288" s="105" t="str">
        <f>IF(A288&lt;&gt;"",COUNTIFS('QA Log'!D:D,A288,'QA Log'!M:M,"Vignette",'QA Log'!L:L,"Vignette [6] PNC pre Discharge",'QA Log'!Z:Z,"Approved"),"")</f>
        <v/>
      </c>
      <c r="BI288" s="105" t="str">
        <f>IF(A288&lt;&gt;"",COUNTIFS('QA Log'!D:D,A288,'QA Log'!M:M,"Vignette",'QA Log'!L:L,"Vignette [7] First ANC Visit",'QA Log'!Z:Z,"Approved"),"")</f>
        <v/>
      </c>
      <c r="BJ288" s="105" t="str">
        <f>IF(A288&lt;&gt;"",COUNTIFS('QA Log'!D:D,A288,'QA Log'!M:M,"Vignette",'QA Log'!L:L,"Vignette [8] Birth Spacing/ Family Planning :  FP Counselling",'QA Log'!Z:Z,"Approved"),"")</f>
        <v/>
      </c>
      <c r="BK288" s="105" t="str">
        <f>IF(A288&lt;&gt;"",COUNTIFS('QA Log'!D:D,A288,'QA Log'!M:M,"Vignette",'QA Log'!L:L,"Vignette [9] Birth Spacing: Change FP method to Injectable",'QA Log'!Z:Z,"Approved"),"")</f>
        <v/>
      </c>
      <c r="BL288" s="105" t="str">
        <f>IF(A288&lt;&gt;"",COUNTIFS('QA Log'!D:D,A288,'QA Log'!M:M,"Vignette",'QA Log'!L:L,"Vignette [10] Post Partum Haemorrhage - Atonic Uterus at Health Centre",'QA Log'!Z:Z,"Approved"),"")</f>
        <v/>
      </c>
      <c r="BM288" s="102" t="str">
        <f>IF(A288="","",SUM(
    COUNTIFS('QA Log'!D:D,A288,'QA Log'!M:M,"Vignette",'QA Log'!Z:Z,"Rejected",'QA Log'!L:L,"*Vignette [5] Labor*"),
    COUNTIFS('QA Log'!D:D,A288,'QA Log'!M:M,"Vignette",'QA Log'!Z:Z,"Rejected",'QA Log'!L:L,"*Vignette [6] PNC pre Discharge*"),
    COUNTIFS('QA Log'!D:D,A288,'QA Log'!M:M,"Vignette",'QA Log'!Z:Z,"Rejected",'QA Log'!L:L,"*Vignette [7] First ANC Visit*"),
    COUNTIFS('QA Log'!D:D,A288,'QA Log'!M:M,"Vignette",'QA Log'!Z:Z,"Rejected",'QA Log'!L:L,"*Vignette [8] Birth Spacing/ Family Planning :  FP Counselling*"),
    COUNTIFS('QA Log'!D:D,A288,'QA Log'!M:M,"Vignette",'QA Log'!Z:Z,"Rejected",'QA Log'!L:L,"*Vignette [9] Birth Spacing: Change FP method to Injectable*"),
    COUNTIFS('QA Log'!D:D,A288,'QA Log'!M:M,"Vignette",'QA Log'!Z:Z,"Rejected",'QA Log'!L:L,"*Vignette [10] Post Partum Haemorrhage - Atonic Uterus at Health Centre*")
  )
)</f>
        <v/>
      </c>
      <c r="BN288" s="107" t="str">
        <f t="shared" si="37"/>
        <v/>
      </c>
      <c r="BO288" s="103" t="str">
        <f t="shared" si="38"/>
        <v/>
      </c>
      <c r="BP288" s="102" t="str">
        <f>IF(A288="","",SUM(
COUNTIFS('QA Log'!D:D,A288,'QA Log'!M:M,"Vignette",'QA Log'!L:L,"*Exit Interview 1*"),
COUNTIFS('QA Log'!D:D,A288,'QA Log'!M:M,"Vignette",'QA Log'!L:L,"*Exit Interview 2*"),
)
)</f>
        <v/>
      </c>
      <c r="BQ288" s="102" t="str">
        <f>IF(
  A288="","",
  SUM(
    COUNTIFS('QA Log'!D:D,A288,'QA Log'!M:M,"Vignette",'QA Log'!Z:Z,"Approved",'QA Log'!L:L,"*Exit Interview 1*"),
    COUNTIFS('QA Log'!D:D,A288,'QA Log'!M:M,"Vignette",'QA Log'!Z:Z,"Approved",'QA Log'!L:L,"*Exit Interview 2*")
  )
)</f>
        <v/>
      </c>
      <c r="BR288" s="105" t="str">
        <f>IF(A288&lt;&gt;"",COUNTIFS('QA Log'!D:D,A288,'QA Log'!M:M,"Vignette",'QA Log'!L:L,"Exit Interview 1",'QA Log'!Z:Z,"Approved"),"")</f>
        <v/>
      </c>
      <c r="BS288" s="105" t="str">
        <f>IF(A288&lt;&gt;"",COUNTIFS('QA Log'!D:D,A288,'QA Log'!M:M,"Vignette",'QA Log'!L:L,"Exit Interview 2",'QA Log'!Z:Z,"Approved"),"")</f>
        <v/>
      </c>
      <c r="BT288" s="102" t="str">
        <f>IF(
  A288="","",
  SUM(
    COUNTIFS('QA Log'!D:D,A288,'QA Log'!M:M,"Vignette",'QA Log'!Z:Z,"Rejected",'QA Log'!L:L,"*Exit Interview 1*"),
    COUNTIFS('QA Log'!D:D,A288,'QA Log'!M:M,"Vignette",'QA Log'!Z:Z,"Rejected",'QA Log'!L:L,"*Exit Interview 2*")
  )
)</f>
        <v/>
      </c>
      <c r="BU288" s="107" t="str">
        <f t="shared" si="39"/>
        <v/>
      </c>
      <c r="BV288" s="102" t="str">
        <f t="shared" si="40"/>
        <v/>
      </c>
      <c r="BW288" s="102" t="str">
        <f t="shared" si="41"/>
        <v/>
      </c>
      <c r="BX288" s="102" t="str">
        <f t="shared" si="42"/>
        <v/>
      </c>
      <c r="BY288" s="102" t="str">
        <f t="shared" si="43"/>
        <v/>
      </c>
      <c r="BZ288" s="107" t="str">
        <f t="shared" si="44"/>
        <v/>
      </c>
      <c r="CA288" s="108" t="str">
        <f t="shared" si="45"/>
        <v/>
      </c>
      <c r="CB288" s="108" t="str">
        <f t="shared" si="46"/>
        <v/>
      </c>
      <c r="CC288" s="109" t="str">
        <f t="shared" si="47"/>
        <v/>
      </c>
      <c r="CD288" s="108" t="str">
        <f t="shared" si="48"/>
        <v/>
      </c>
      <c r="CE288" s="108" t="str">
        <f t="shared" si="49"/>
        <v/>
      </c>
      <c r="CF288" s="109" t="str">
        <f t="shared" si="50"/>
        <v/>
      </c>
      <c r="CG288" s="110" t="str">
        <f t="shared" si="51"/>
        <v/>
      </c>
      <c r="CH288" s="111"/>
    </row>
    <row r="289" spans="1:86" ht="12.75">
      <c r="A289" s="101"/>
      <c r="B289" s="102" t="e">
        <f t="array" aca="1" ref="B289" ca="1">_xludf.XLOOKUP(A289,'QA Log'!D:D,'QA Log'!E:E,"")</f>
        <v>#NAME?</v>
      </c>
      <c r="C289" s="102" t="e">
        <f t="array" aca="1" ref="C289" ca="1">_xludf.XLOOKUP(A289,'QA Log'!D:D,'QA Log'!F:F,"")</f>
        <v>#NAME?</v>
      </c>
      <c r="D289" s="102" t="e">
        <f t="array" aca="1" ref="D289" ca="1">_xludf.XLOOKUP(A289,'QA Log'!D:D,'QA Log'!H:H,"")</f>
        <v>#NAME?</v>
      </c>
      <c r="E289" s="102" t="e">
        <f t="array" aca="1" ref="E289" ca="1">_xludf.XLOOKUP(A289,'QA Log'!D:D,'QA Log'!G:G,"")</f>
        <v>#NAME?</v>
      </c>
      <c r="F289" s="103"/>
      <c r="G289" s="104"/>
      <c r="H289" s="104"/>
      <c r="I289" s="103" t="str">
        <f t="shared" si="26"/>
        <v/>
      </c>
      <c r="J289" s="102" t="str">
        <f>IF(A289="","",SUM(
COUNTIFS('QA Log'!D:D,A289,'QA Log'!M:M,"QQC",'QA Log'!L:L,"*1. General Management*"),
COUNTIFS('QA Log'!D:D,A289,'QA Log'!M:M,"QQC",'QA Log'!L:L,"*3. Curative Consultation (OPD)*"),
COUNTIFS('QA Log'!D:D,A289,'QA Log'!M:M,"QQC",'QA Log'!L:L,"*5. Laboratory*"),
COUNTIFS('QA Log'!D:D,A289,'QA Log'!M:M,"QQC",'QA Log'!L:L,"*6. Essential Medicine Management*"),
COUNTIFS('QA Log'!D:D,A289,'QA Log'!M:M,"QQC",'QA Log'!L:L,"*7. Tracer Medicine*"),
COUNTIFS('QA Log'!D:D,A289,'QA Log'!M:M,"QQC",'QA Log'!L:L,"*11. Additional Questions*")))</f>
        <v/>
      </c>
      <c r="K289" s="102" t="str">
        <f>IF(A289="","",SUM(
COUNTIFS('QA Log'!D:D,A289,'QA Log'!M:M,"QQC",'QA Log'!Z:Z,"Approved",'QA Log'!L:L,"*1. General Management*"),
COUNTIFS('QA Log'!D:D,A289,'QA Log'!M:M,"QQC",'QA Log'!Z:Z,"Approved",'QA Log'!L:L,"*3. Curative Consultation (OPD)*"),
COUNTIFS('QA Log'!D:D,A289,'QA Log'!M:M,"QQC",'QA Log'!Z:Z,"Approved",'QA Log'!L:L,"*5. Laboratory*"),
COUNTIFS('QA Log'!D:D,A289,'QA Log'!M:M,"QQC",'QA Log'!Z:Z,"Approved",'QA Log'!L:L,"*6. Essential Medicine Management*"),
COUNTIFS('QA Log'!D:D,A289,'QA Log'!M:M,"QQC",'QA Log'!Z:Z,"Approved",'QA Log'!L:L,"*7. Tracer Medicine*"),
COUNTIFS('QA Log'!D:D,A289,'QA Log'!M:M,"QQC",'QA Log'!Z:Z,"Approved",'QA Log'!L:L,"*11. Additional Questions*")))</f>
        <v/>
      </c>
      <c r="L289" s="105" t="str">
        <f>IF(A289&lt;&gt;"",COUNTIFS('QA Log'!D:D,A289,'QA Log'!M:M,"QQC",'QA Log'!L:L,"1. General Management",'QA Log'!Z:Z,"Approved"),"")</f>
        <v/>
      </c>
      <c r="M289" s="105" t="str">
        <f>IF(A289&lt;&gt;"",COUNTIFS('QA Log'!D:D,A289,'QA Log'!M:M,"QQC",'QA Log'!L:L,"3. Curative Consultation (OPD)",'QA Log'!Z:Z,"Approved"),"")</f>
        <v/>
      </c>
      <c r="N289" s="105" t="str">
        <f>IF(A289&lt;&gt;"",COUNTIFS('QA Log'!D:D,A289,'QA Log'!M:M,"QQC",'QA Log'!L:L,"5. Laboratory",'QA Log'!Z:Z,"Approved"),"")</f>
        <v/>
      </c>
      <c r="O289" s="105" t="str">
        <f>IF(A289&lt;&gt;"",COUNTIFS('QA Log'!D:D,A289,'QA Log'!M:M,"QQC",'QA Log'!L:L,"6. Essential Medicine Management",'QA Log'!Z:Z,"Approved"),"")</f>
        <v/>
      </c>
      <c r="P289" s="105" t="str">
        <f>IF(A289&lt;&gt;"",COUNTIFS('QA Log'!D:D,A289,'QA Log'!M:M,"QQC",'QA Log'!L:L,"7. Tracer Medicine",'QA Log'!Z:Z,"Approved"),"")</f>
        <v/>
      </c>
      <c r="Q289" s="105" t="str">
        <f>IF(A289&lt;&gt;"",COUNTIFS('QA Log'!D:D,A289,'QA Log'!M:M,"QQC",'QA Log'!L:L,"11. Additional Questions",'QA Log'!Z:Z,"Approved"),"")</f>
        <v/>
      </c>
      <c r="R289" s="102" t="str">
        <f>IF(A289="","",SUM(
COUNTIFS('QA Log'!D:D,A289,'QA Log'!M:M,"QQC",'QA Log'!Z:Z,"Rejected",'QA Log'!L:L,"*8. Maternity*"),
COUNTIFS('QA Log'!D:D,A289,'QA Log'!M:M,"QQC",'QA Log'!Z:Z,"Rejected",'QA Log'!L:L,"*EPI*"),
COUNTIFS('QA Log'!D:D,A289,'QA Log'!M:M,"QQC",'QA Log'!Z:Z,"Rejected",'QA Log'!L:L,"*10. Antenatal Care (ANC)*"),
COUNTIFS('QA Log'!D:D,A289,'QA Log'!M:M,"QQC",'QA Log'!Z:Z,"Rejected",'QA Log'!L:L,"*2. Hygiene and Sterilization*"),
COUNTIFS('QA Log'!D:D,A289,'QA Log'!M:M,"QQC",'QA Log'!Z:Z,"Rejected",'QA Log'!L:L,"*Family Planning*")))</f>
        <v/>
      </c>
      <c r="S289" s="106" t="str">
        <f t="shared" si="27"/>
        <v/>
      </c>
      <c r="T289" s="102" t="str">
        <f t="shared" si="28"/>
        <v/>
      </c>
      <c r="U289" s="102" t="str">
        <f>IF(A289="","",
SUM(
COUNTIFS('QA Log'!D:D,A289,'QA Log'!M:M,"QQC",'QA Log'!L:L,"*8. Maternity*"),
COUNTIFS('QA Log'!D:D,A289,'QA Log'!M:M,"QQC",'QA Log'!L:L,"*9. EPI and Pre-school Consultation*"),
COUNTIFS('QA Log'!D:D,A289,'QA Log'!M:M,"QQC",'QA Log'!L:L,"*10. Antenatal Care (ANC)*"),
COUNTIFS('QA Log'!D:D,A289,'QA Log'!M:M,"QQC",'QA Log'!L:L,"*2. Hygiene and Sterilization*"),
COUNTIFS('QA Log'!D:D,A289,'QA Log'!M:M,"QQC",'QA Log'!L:L,"*4. Family Planning*")
))</f>
        <v/>
      </c>
      <c r="V289" s="102" t="str">
        <f>IF(A289="","",
SUM(
COUNTIFS('QA Log'!D:D,A289,'QA Log'!M:M,"QQC",'QA Log'!Z:Z,"Approved",'QA Log'!L:L,"*8. Maternity*"),
COUNTIFS('QA Log'!D:D,A289,'QA Log'!M:M,"QQC",'QA Log'!Z:Z,"Approved",'QA Log'!L:L,"*9. EPI and Pre-school Consultation*"),
COUNTIFS('QA Log'!D:D,A289,'QA Log'!M:M,"QQC",'QA Log'!Z:Z,"Approved",'QA Log'!L:L,"*10. Antenatal Care (ANC)*"),
COUNTIFS('QA Log'!D:D,A289,'QA Log'!M:M,"QQC",'QA Log'!Z:Z,"Approved",'QA Log'!L:L,"*2. Hygiene and Sterilization*"),
COUNTIFS('QA Log'!D:D,A289,'QA Log'!M:M,"QQC",'QA Log'!Z:Z,"Approved",'QA Log'!L:L,"*4. Family Planning*")
))</f>
        <v/>
      </c>
      <c r="W289" s="105" t="str">
        <f>IF(A289&lt;&gt;"",COUNTIFS('QA Log'!D:D,A289,'QA Log'!M:M,"QQC",'QA Log'!L:L,"8. Maternity",'QA Log'!Z:Z,"Approved"),"")</f>
        <v/>
      </c>
      <c r="X289" s="105" t="str">
        <f>IF(A289&lt;&gt;"",COUNTIFS('QA Log'!D:D,A289,'QA Log'!M:M,"QQC",'QA Log'!L:L,"9. EPI and Pre-school Consultation",'QA Log'!Z:Z,"Approved"),"")</f>
        <v/>
      </c>
      <c r="Y289" s="105" t="str">
        <f>IF(A289&lt;&gt;"",COUNTIFS('QA Log'!D:D,A289,'QA Log'!M:M,"QQC",'QA Log'!L:L,"10. Antenatal Care (ANC)",'QA Log'!Z:Z,"Approved"),"")</f>
        <v/>
      </c>
      <c r="Z289" s="105" t="str">
        <f>IF(A289&lt;&gt;"",COUNTIFS('QA Log'!D:D,A289,'QA Log'!M:M,"QQC",'QA Log'!L:L,"2. Hygiene and Sterilization",'QA Log'!Z:Z,"Approved"),"")</f>
        <v/>
      </c>
      <c r="AA289" s="105" t="str">
        <f>IF(A289&lt;&gt;"",COUNTIFS('QA Log'!D:D,A289,'QA Log'!M:M,"QQC",'QA Log'!L:L,"4. Family Planning",'QA Log'!Z:Z,"Approved"),"")</f>
        <v/>
      </c>
      <c r="AB289" s="102" t="str">
        <f>IF(A289="","",
SUM(
COUNTIFS('QA Log'!D:D,A289,'QA Log'!M:M,"QQC",'QA Log'!Z:Z,"Rejected",'QA Log'!L:L,"*8. Maternity*"),
COUNTIFS('QA Log'!D:D,A289,'QA Log'!M:M,"QQC",'QA Log'!Z:Z,"Rejected",'QA Log'!L:L,"*9. EPI and Pre-school Consultation*"),
COUNTIFS('QA Log'!D:D,A289,'QA Log'!M:M,"QQC",'QA Log'!Z:Z,"Rejected",'QA Log'!L:L,"*10. Antenatal Care (ANC)*"),
COUNTIFS('QA Log'!D:D,A289,'QA Log'!M:M,"QQC",'QA Log'!Z:Z,"Rejected",'QA Log'!L:L,"*2. Hygiene and Sterilization*"),
COUNTIFS('QA Log'!D:D,A289,'QA Log'!M:M,"QQC",'QA Log'!Z:Z,"Rejected",'QA Log'!L:L,"*4. Family Planning*")
))</f>
        <v/>
      </c>
      <c r="AC289" s="102" t="str">
        <f t="shared" si="29"/>
        <v/>
      </c>
      <c r="AD289" s="103" t="str">
        <f t="shared" si="30"/>
        <v/>
      </c>
      <c r="AE289" s="102" t="str">
        <f>IF(A289="","",
SUM(
COUNTIFS('QA Log'!D:D,A289,'QA Log'!M:M,"Data Verification",'QA Log'!L:L,"*Medicine (section 2)*"),
COUNTIFS('QA Log'!D:D,A289,'QA Log'!M:M,"Data Verification",'QA Log'!L:L,"*Lab Testing Availability*"),
COUNTIFS('QA Log'!D:D,A289,'QA Log'!M:M,"Data Verification",'QA Log'!L:L,"*Other than P4P (section 6)*"),
COUNTIFS('QA Log'!D:D,A289,'QA Log'!M:M,"Data Verification",'QA Log'!L:L,"*Hospital Governance*")
))</f>
        <v/>
      </c>
      <c r="AF289" s="102" t="str">
        <f>IF(A289="","",
SUM(
COUNTIFS('QA Log'!D:D,A289,'QA Log'!M:M,"Data Verification",'QA Log'!Z:Z,"Approved",'QA Log'!L:L,"*Medicine (section 2)*"),
COUNTIFS('QA Log'!D:D,A289,'QA Log'!M:M,"Data Verification",'QA Log'!Z:Z,"Approved",'QA Log'!L:L,"*Lab Testing Availability*"),
COUNTIFS('QA Log'!D:D,A289,'QA Log'!M:M,"Data Verification",'QA Log'!Z:Z,"Approved",'QA Log'!L:L,"*Other than P4P (section 6)*"),
COUNTIFS('QA Log'!D:D,A289,'QA Log'!M:M,"Data Verification",'QA Log'!Z:Z,"Approved",'QA Log'!L:L,"*Hospital Governance*")
))</f>
        <v/>
      </c>
      <c r="AG289" s="105" t="str">
        <f>IF(A289&lt;&gt;"",COUNTIFS('QA Log'!D:D,A289,'QA Log'!M:M,"Data Verification",'QA Log'!L:L,"Medicine (section 2)",'QA Log'!Z:Z,"Approved"),"")</f>
        <v/>
      </c>
      <c r="AH289" s="105" t="str">
        <f>IF(A289&lt;&gt;"",COUNTIFS('QA Log'!D:D,A289,'QA Log'!M:M,"Data Verification",'QA Log'!L:L,"Lab Testing Availability",'QA Log'!Z:Z,"Approved"),"")</f>
        <v/>
      </c>
      <c r="AI289" s="105" t="str">
        <f>IF(A289&lt;&gt;"",COUNTIFS('QA Log'!D:D,A289,'QA Log'!M:M,"Data Verification",'QA Log'!L:L,"Other than P4P (section 6)",'QA Log'!Z:Z,"Approved"),"")</f>
        <v/>
      </c>
      <c r="AJ289" s="105" t="str">
        <f>IF(A289&lt;&gt;"",COUNTIFS('QA Log'!D:D,A289,'QA Log'!M:M,"Data Verification",'QA Log'!L:L,"Hospital Governance",'QA Log'!Z:Z,"Approved"),"")</f>
        <v/>
      </c>
      <c r="AK289" s="102" t="str">
        <f>IF(A289="","",
SUM(
COUNTIFS('QA Log'!D:D,A289,'QA Log'!M:M,"Data Verification",'QA Log'!Z:Z,"Rejected",'QA Log'!L:L,"*Medicine (section 2)*"),
COUNTIFS('QA Log'!D:D,A289,'QA Log'!M:M,"Data Verification",'QA Log'!Z:Z,"Rejected",'QA Log'!L:L,"*Lab Testing Availability*"),
COUNTIFS('QA Log'!D:D,A289,'QA Log'!M:M,"Data Verification",'QA Log'!Z:Z,"Rejected",'QA Log'!L:L,"*Other than P4P (section 6)*"),
COUNTIFS('QA Log'!D:D,A289,'QA Log'!M:M,"Data Verification",'QA Log'!Z:Z,"Rejected",'QA Log'!L:L,"*Hospital Governance*")
))</f>
        <v/>
      </c>
      <c r="AL289" s="106" t="str">
        <f t="shared" si="31"/>
        <v/>
      </c>
      <c r="AM289" s="102" t="str">
        <f t="shared" si="32"/>
        <v/>
      </c>
      <c r="AN289" s="102" t="str">
        <f>IF(A289="","",
SUM(
COUNTIFS('QA Log'!D:D,A289,'QA Log'!M:M,"Data Verification",'QA Log'!L:L,"*Personnel (section 1)*"),
COUNTIFS('QA Log'!D:D,A289,'QA Log'!M:M,"Data Verification",'QA Log'!L:L,"*Consumable (section 3)*"),
COUNTIFS('QA Log'!D:D,A289,'QA Log'!M:M,"Data Verification",'QA Log'!L:L,"*Equipments (section 4)*")
))</f>
        <v/>
      </c>
      <c r="AO289" s="102" t="str">
        <f>IF(A289="","",
SUM(
COUNTIFS('QA Log'!D:D,A289,'QA Log'!M:M,"Data Verification",'QA Log'!Z:Z,"Approved",'QA Log'!L:L,"*Personnel (section 1)*"),
COUNTIFS('QA Log'!D:D,A289,'QA Log'!M:M,"Data Verification",'QA Log'!Z:Z,"Approved",'QA Log'!L:L,"*Consumable (section 3)*"),
COUNTIFS('QA Log'!D:D,A289,'QA Log'!M:M,"Data Verification",'QA Log'!Z:Z,"Approved",'QA Log'!L:L,"*Equipments (section 4)*")
))</f>
        <v/>
      </c>
      <c r="AP289" s="105" t="str">
        <f>IF(A289&lt;&gt;"",COUNTIFS('QA Log'!D:D,A289,'QA Log'!M:M,"Data Verification",'QA Log'!L:L,"Personnel (section 1)",'QA Log'!Z:Z,"Approved"),"")</f>
        <v/>
      </c>
      <c r="AQ289" s="105" t="str">
        <f>IF(A289&lt;&gt;"",COUNTIFS('QA Log'!D:D,A289,'QA Log'!M:M,"Data Verification",'QA Log'!L:L,"Consumable (section 3)",'QA Log'!Z:Z,"Approved"),"")</f>
        <v/>
      </c>
      <c r="AR289" s="105" t="str">
        <f>IF(A289&lt;&gt;"",COUNTIFS('QA Log'!D:D,A289,'QA Log'!M:M,"Data Verification",'QA Log'!L:L,"Equipments (section 4)",'QA Log'!Z:Z,"Approved"),"")</f>
        <v/>
      </c>
      <c r="AS289" s="102" t="str">
        <f>IF(A289="","",
SUM(
COUNTIFS('QA Log'!D:D,A289,'QA Log'!M:M,"Data Verification",'QA Log'!Z:Z,"Rejected",'QA Log'!L:L,"*Personnel (section 1)*"),
COUNTIFS('QA Log'!D:D,A289,'QA Log'!M:M,"Data Verification",'QA Log'!Z:Z,"Rejected",'QA Log'!L:L,"*Consumable (section 3)*"),
COUNTIFS('QA Log'!D:D,A289,'QA Log'!M:M,"Data Verification",'QA Log'!Z:Z,"Rejected",'QA Log'!L:L,"*Equipments (section 4)*")
))</f>
        <v/>
      </c>
      <c r="AT289" s="102" t="str">
        <f t="shared" si="33"/>
        <v/>
      </c>
      <c r="AU289" s="103" t="str">
        <f t="shared" si="34"/>
        <v/>
      </c>
      <c r="AV289" s="102" t="str">
        <f>IF(A289="","",SUM(
COUNTIFS('QA Log'!D:D,A289,'QA Log'!M:M,"Vignette",'QA Log'!L:L,"*Vignette [1] Respiratory Infection: Pneumonia*"),
COUNTIFS('QA Log'!D:D,A289,'QA Log'!M:M,"Vignette",'QA Log'!L:L,"*Vignette [2]: Diarrhea with Cat B dehydration*"),
COUNTIFS('QA Log'!D:D,A289,'QA Log'!M:M,"Vignette",'QA Log'!L:L,"*Vignette [3] Growth Monitoring and Promotion*"),
COUNTIFS('QA Log'!D:D,A289,'QA Log'!M:M,"Vignette",'QA Log'!L:L,"*Vignette [4]: The management of presumptive TB patient*")
)
)</f>
        <v/>
      </c>
      <c r="AW289" s="102" t="str">
        <f>IF(
  A289="","",
  SUM(
    COUNTIFS('QA Log'!D:D,A289,'QA Log'!M:M,"Vignette",'QA Log'!Z:Z,"Approved",'QA Log'!L:L,"*Vignette [1] Respiratory Infection: Pneumonia*"),
    COUNTIFS('QA Log'!D:D,A289,'QA Log'!M:M,"Vignette",'QA Log'!Z:Z,"Approved",'QA Log'!L:L,"*Vignette [2]: Diarrhea with Cat B dehydration*"),
    COUNTIFS('QA Log'!D:D,A289,'QA Log'!M:M,"Vignette",'QA Log'!Z:Z,"Approved",'QA Log'!L:L,"*Vignette [3] Growth Monitoring and Promotion*"),
    COUNTIFS('QA Log'!D:D,A289,'QA Log'!M:M,"Vignette",'QA Log'!Z:Z,"Approved",'QA Log'!L:L,"*Vignette [4]: The management of presumptive TB patient*")
  )
)</f>
        <v/>
      </c>
      <c r="AX289" s="105" t="str">
        <f>IF(A289&lt;&gt;"",COUNTIFS('QA Log'!D:D,A289,'QA Log'!M:M,"Vignette",'QA Log'!L:L,"Vignette [1] Respiratory Infection: Pneumonia",'QA Log'!Z:Z,"Approved"),"")</f>
        <v/>
      </c>
      <c r="AY289" s="105" t="str">
        <f>IF(A289&lt;&gt;"",COUNTIFS('QA Log'!D:D,A289,'QA Log'!M:M,"Vignette",'QA Log'!L:L,"Vignette [2]: Diarrhea with Cat B dehydration",'QA Log'!Z:Z,"Approved"),"")</f>
        <v/>
      </c>
      <c r="AZ289" s="105" t="str">
        <f>IF(A289&lt;&gt;"",COUNTIFS('QA Log'!D:D,A289,'QA Log'!M:M,"Vignette",'QA Log'!L:L,"Vignette [3] Growth Monitoring and Promotion",'QA Log'!Z:Z,"Approved"),"")</f>
        <v/>
      </c>
      <c r="BA289" s="105" t="str">
        <f>IF(A289&lt;&gt;"",COUNTIFS('QA Log'!D:D,A289,'QA Log'!M:M,"Vignette",'QA Log'!L:L,"Vignette [4]: The management of presumptive TB patient",'QA Log'!Z:Z,"Approved"),"")</f>
        <v/>
      </c>
      <c r="BB289" s="102" t="str">
        <f>IF(A289="","",
  SUM(
    COUNTIFS('QA Log'!D:D,A289,'QA Log'!M:M,"Vignette",'QA Log'!Z:Z,"Rejected",'QA Log'!L:L,"*Vignette [1] Respiratory Infection: Pneumonia*"),
    COUNTIFS('QA Log'!D:D,A289,'QA Log'!M:M,"Vignette",'QA Log'!Z:Z,"Rejected",'QA Log'!L:L,"*Vignette [2]: Diarrhea with Cat B dehydration*"),
    COUNTIFS('QA Log'!D:D,A289,'QA Log'!M:M,"Vignette",'QA Log'!Z:Z,"Rejected",'QA Log'!L:L,"*Vignette [3] Growth Monitoring and Promotion*"),
    COUNTIFS('QA Log'!D:D,A289,'QA Log'!M:M,"Vignette",'QA Log'!Z:Z,"Rejected",'QA Log'!L:L,"*Vignette [4]: The management of presumptive TB patient*")
  )
)</f>
        <v/>
      </c>
      <c r="BC289" s="107" t="str">
        <f t="shared" si="35"/>
        <v/>
      </c>
      <c r="BD289" s="103" t="str">
        <f t="shared" si="36"/>
        <v/>
      </c>
      <c r="BE289" s="102" t="str">
        <f>IF(A289="","",SUM(
COUNTIFS('QA Log'!D:D,A289,'QA Log'!M:M,"Vignette",'QA Log'!L:L,"*Vignette [5] Labor*"),
COUNTIFS('QA Log'!D:D,A289,'QA Log'!M:M,"Vignette",'QA Log'!L:L,"*Vignette [6] PNC pre Discharge*"),
COUNTIFS('QA Log'!D:D,A289,'QA Log'!M:M,"Vignette",'QA Log'!L:L,"*Vignette [7] First ANC Visit*"),
COUNTIFS('QA Log'!D:D,A289,'QA Log'!M:M,"Vignette",'QA Log'!L:L,"*Vignette [8] Birth Spacing/ Family Planning :  FP Counselling*"),
COUNTIFS('QA Log'!D:D,A289,'QA Log'!M:M,"Vignette",'QA Log'!L:L,"*Vignette [9] Birth Spacing: Change FP method to Injectable*"),
COUNTIFS('QA Log'!D:D,A289,'QA Log'!M:M,"Vignette",'QA Log'!L:L,"*Vignette [10] Post Partum Haemorrhage - Atonic Uterus at Health Centre*"),
)
)</f>
        <v/>
      </c>
      <c r="BF289" s="102" t="str">
        <f>IF(A289="","",
  SUM(
    COUNTIFS('QA Log'!D:D,A289,'QA Log'!M:M,"Vignette",'QA Log'!Z:Z,"Approved",'QA Log'!L:L,"*Vignette [5] Labor*"),
    COUNTIFS('QA Log'!D:D,A289,'QA Log'!M:M,"Vignette",'QA Log'!Z:Z,"Approved",'QA Log'!L:L,"*Vignette [6] PNC pre Discharge*"),
    COUNTIFS('QA Log'!D:D,A289,'QA Log'!M:M,"Vignette",'QA Log'!Z:Z,"Approved",'QA Log'!L:L,"*Vignette [7] First ANC Visit*"),
    COUNTIFS('QA Log'!D:D,A289,'QA Log'!M:M,"Vignette",'QA Log'!Z:Z,"Approved",'QA Log'!L:L,"*Vignette [8] Birth Spacing/ Family Planning :  FP Counselling*"),
    COUNTIFS('QA Log'!D:D,A289,'QA Log'!M:M,"Vignette",'QA Log'!Z:Z,"Approved",'QA Log'!L:L,"*Vignette [9] Birth Spacing: Change FP method to Injectable*"),
    COUNTIFS('QA Log'!D:D,A289,'QA Log'!M:M,"Vignette",'QA Log'!Z:Z,"Approved",'QA Log'!L:L,"*Vignette [10] Post Partum Haemorrhage - Atonic Uterus at Health Centre*")
  )
)</f>
        <v/>
      </c>
      <c r="BG289" s="105" t="str">
        <f>IF(A289&lt;&gt;"",COUNTIFS('QA Log'!D:D,A289,'QA Log'!M:M,"Vignette",'QA Log'!L:L,"Vignette [5] Labor",'QA Log'!Z:Z,"Approved"),"")</f>
        <v/>
      </c>
      <c r="BH289" s="105" t="str">
        <f>IF(A289&lt;&gt;"",COUNTIFS('QA Log'!D:D,A289,'QA Log'!M:M,"Vignette",'QA Log'!L:L,"Vignette [6] PNC pre Discharge",'QA Log'!Z:Z,"Approved"),"")</f>
        <v/>
      </c>
      <c r="BI289" s="105" t="str">
        <f>IF(A289&lt;&gt;"",COUNTIFS('QA Log'!D:D,A289,'QA Log'!M:M,"Vignette",'QA Log'!L:L,"Vignette [7] First ANC Visit",'QA Log'!Z:Z,"Approved"),"")</f>
        <v/>
      </c>
      <c r="BJ289" s="105" t="str">
        <f>IF(A289&lt;&gt;"",COUNTIFS('QA Log'!D:D,A289,'QA Log'!M:M,"Vignette",'QA Log'!L:L,"Vignette [8] Birth Spacing/ Family Planning :  FP Counselling",'QA Log'!Z:Z,"Approved"),"")</f>
        <v/>
      </c>
      <c r="BK289" s="105" t="str">
        <f>IF(A289&lt;&gt;"",COUNTIFS('QA Log'!D:D,A289,'QA Log'!M:M,"Vignette",'QA Log'!L:L,"Vignette [9] Birth Spacing: Change FP method to Injectable",'QA Log'!Z:Z,"Approved"),"")</f>
        <v/>
      </c>
      <c r="BL289" s="105" t="str">
        <f>IF(A289&lt;&gt;"",COUNTIFS('QA Log'!D:D,A289,'QA Log'!M:M,"Vignette",'QA Log'!L:L,"Vignette [10] Post Partum Haemorrhage - Atonic Uterus at Health Centre",'QA Log'!Z:Z,"Approved"),"")</f>
        <v/>
      </c>
      <c r="BM289" s="102" t="str">
        <f>IF(A289="","",SUM(
    COUNTIFS('QA Log'!D:D,A289,'QA Log'!M:M,"Vignette",'QA Log'!Z:Z,"Rejected",'QA Log'!L:L,"*Vignette [5] Labor*"),
    COUNTIFS('QA Log'!D:D,A289,'QA Log'!M:M,"Vignette",'QA Log'!Z:Z,"Rejected",'QA Log'!L:L,"*Vignette [6] PNC pre Discharge*"),
    COUNTIFS('QA Log'!D:D,A289,'QA Log'!M:M,"Vignette",'QA Log'!Z:Z,"Rejected",'QA Log'!L:L,"*Vignette [7] First ANC Visit*"),
    COUNTIFS('QA Log'!D:D,A289,'QA Log'!M:M,"Vignette",'QA Log'!Z:Z,"Rejected",'QA Log'!L:L,"*Vignette [8] Birth Spacing/ Family Planning :  FP Counselling*"),
    COUNTIFS('QA Log'!D:D,A289,'QA Log'!M:M,"Vignette",'QA Log'!Z:Z,"Rejected",'QA Log'!L:L,"*Vignette [9] Birth Spacing: Change FP method to Injectable*"),
    COUNTIFS('QA Log'!D:D,A289,'QA Log'!M:M,"Vignette",'QA Log'!Z:Z,"Rejected",'QA Log'!L:L,"*Vignette [10] Post Partum Haemorrhage - Atonic Uterus at Health Centre*")
  )
)</f>
        <v/>
      </c>
      <c r="BN289" s="107" t="str">
        <f t="shared" si="37"/>
        <v/>
      </c>
      <c r="BO289" s="103" t="str">
        <f t="shared" si="38"/>
        <v/>
      </c>
      <c r="BP289" s="102" t="str">
        <f>IF(A289="","",SUM(
COUNTIFS('QA Log'!D:D,A289,'QA Log'!M:M,"Vignette",'QA Log'!L:L,"*Exit Interview 1*"),
COUNTIFS('QA Log'!D:D,A289,'QA Log'!M:M,"Vignette",'QA Log'!L:L,"*Exit Interview 2*"),
)
)</f>
        <v/>
      </c>
      <c r="BQ289" s="102" t="str">
        <f>IF(
  A289="","",
  SUM(
    COUNTIFS('QA Log'!D:D,A289,'QA Log'!M:M,"Vignette",'QA Log'!Z:Z,"Approved",'QA Log'!L:L,"*Exit Interview 1*"),
    COUNTIFS('QA Log'!D:D,A289,'QA Log'!M:M,"Vignette",'QA Log'!Z:Z,"Approved",'QA Log'!L:L,"*Exit Interview 2*")
  )
)</f>
        <v/>
      </c>
      <c r="BR289" s="105" t="str">
        <f>IF(A289&lt;&gt;"",COUNTIFS('QA Log'!D:D,A289,'QA Log'!M:M,"Vignette",'QA Log'!L:L,"Exit Interview 1",'QA Log'!Z:Z,"Approved"),"")</f>
        <v/>
      </c>
      <c r="BS289" s="105" t="str">
        <f>IF(A289&lt;&gt;"",COUNTIFS('QA Log'!D:D,A289,'QA Log'!M:M,"Vignette",'QA Log'!L:L,"Exit Interview 2",'QA Log'!Z:Z,"Approved"),"")</f>
        <v/>
      </c>
      <c r="BT289" s="102" t="str">
        <f>IF(
  A289="","",
  SUM(
    COUNTIFS('QA Log'!D:D,A289,'QA Log'!M:M,"Vignette",'QA Log'!Z:Z,"Rejected",'QA Log'!L:L,"*Exit Interview 1*"),
    COUNTIFS('QA Log'!D:D,A289,'QA Log'!M:M,"Vignette",'QA Log'!Z:Z,"Rejected",'QA Log'!L:L,"*Exit Interview 2*")
  )
)</f>
        <v/>
      </c>
      <c r="BU289" s="107" t="str">
        <f t="shared" si="39"/>
        <v/>
      </c>
      <c r="BV289" s="102" t="str">
        <f t="shared" si="40"/>
        <v/>
      </c>
      <c r="BW289" s="102" t="str">
        <f t="shared" si="41"/>
        <v/>
      </c>
      <c r="BX289" s="102" t="str">
        <f t="shared" si="42"/>
        <v/>
      </c>
      <c r="BY289" s="102" t="str">
        <f t="shared" si="43"/>
        <v/>
      </c>
      <c r="BZ289" s="107" t="str">
        <f t="shared" si="44"/>
        <v/>
      </c>
      <c r="CA289" s="108" t="str">
        <f t="shared" si="45"/>
        <v/>
      </c>
      <c r="CB289" s="108" t="str">
        <f t="shared" si="46"/>
        <v/>
      </c>
      <c r="CC289" s="109" t="str">
        <f t="shared" si="47"/>
        <v/>
      </c>
      <c r="CD289" s="108" t="str">
        <f t="shared" si="48"/>
        <v/>
      </c>
      <c r="CE289" s="108" t="str">
        <f t="shared" si="49"/>
        <v/>
      </c>
      <c r="CF289" s="109" t="str">
        <f t="shared" si="50"/>
        <v/>
      </c>
      <c r="CG289" s="110" t="str">
        <f t="shared" si="51"/>
        <v/>
      </c>
      <c r="CH289" s="111"/>
    </row>
    <row r="290" spans="1:86" ht="12.75">
      <c r="A290" s="101"/>
      <c r="B290" s="102" t="e">
        <f t="array" aca="1" ref="B290" ca="1">_xludf.XLOOKUP(A290,'QA Log'!D:D,'QA Log'!E:E,"")</f>
        <v>#NAME?</v>
      </c>
      <c r="C290" s="102" t="e">
        <f t="array" aca="1" ref="C290" ca="1">_xludf.XLOOKUP(A290,'QA Log'!D:D,'QA Log'!F:F,"")</f>
        <v>#NAME?</v>
      </c>
      <c r="D290" s="102" t="e">
        <f t="array" aca="1" ref="D290" ca="1">_xludf.XLOOKUP(A290,'QA Log'!D:D,'QA Log'!H:H,"")</f>
        <v>#NAME?</v>
      </c>
      <c r="E290" s="102" t="e">
        <f t="array" aca="1" ref="E290" ca="1">_xludf.XLOOKUP(A290,'QA Log'!D:D,'QA Log'!G:G,"")</f>
        <v>#NAME?</v>
      </c>
      <c r="F290" s="103"/>
      <c r="G290" s="104"/>
      <c r="H290" s="104"/>
      <c r="I290" s="103" t="str">
        <f t="shared" si="26"/>
        <v/>
      </c>
      <c r="J290" s="102" t="str">
        <f>IF(A290="","",SUM(
COUNTIFS('QA Log'!D:D,A290,'QA Log'!M:M,"QQC",'QA Log'!L:L,"*1. General Management*"),
COUNTIFS('QA Log'!D:D,A290,'QA Log'!M:M,"QQC",'QA Log'!L:L,"*3. Curative Consultation (OPD)*"),
COUNTIFS('QA Log'!D:D,A290,'QA Log'!M:M,"QQC",'QA Log'!L:L,"*5. Laboratory*"),
COUNTIFS('QA Log'!D:D,A290,'QA Log'!M:M,"QQC",'QA Log'!L:L,"*6. Essential Medicine Management*"),
COUNTIFS('QA Log'!D:D,A290,'QA Log'!M:M,"QQC",'QA Log'!L:L,"*7. Tracer Medicine*"),
COUNTIFS('QA Log'!D:D,A290,'QA Log'!M:M,"QQC",'QA Log'!L:L,"*11. Additional Questions*")))</f>
        <v/>
      </c>
      <c r="K290" s="102" t="str">
        <f>IF(A290="","",SUM(
COUNTIFS('QA Log'!D:D,A290,'QA Log'!M:M,"QQC",'QA Log'!Z:Z,"Approved",'QA Log'!L:L,"*1. General Management*"),
COUNTIFS('QA Log'!D:D,A290,'QA Log'!M:M,"QQC",'QA Log'!Z:Z,"Approved",'QA Log'!L:L,"*3. Curative Consultation (OPD)*"),
COUNTIFS('QA Log'!D:D,A290,'QA Log'!M:M,"QQC",'QA Log'!Z:Z,"Approved",'QA Log'!L:L,"*5. Laboratory*"),
COUNTIFS('QA Log'!D:D,A290,'QA Log'!M:M,"QQC",'QA Log'!Z:Z,"Approved",'QA Log'!L:L,"*6. Essential Medicine Management*"),
COUNTIFS('QA Log'!D:D,A290,'QA Log'!M:M,"QQC",'QA Log'!Z:Z,"Approved",'QA Log'!L:L,"*7. Tracer Medicine*"),
COUNTIFS('QA Log'!D:D,A290,'QA Log'!M:M,"QQC",'QA Log'!Z:Z,"Approved",'QA Log'!L:L,"*11. Additional Questions*")))</f>
        <v/>
      </c>
      <c r="L290" s="105" t="str">
        <f>IF(A290&lt;&gt;"",COUNTIFS('QA Log'!D:D,A290,'QA Log'!M:M,"QQC",'QA Log'!L:L,"1. General Management",'QA Log'!Z:Z,"Approved"),"")</f>
        <v/>
      </c>
      <c r="M290" s="105" t="str">
        <f>IF(A290&lt;&gt;"",COUNTIFS('QA Log'!D:D,A290,'QA Log'!M:M,"QQC",'QA Log'!L:L,"3. Curative Consultation (OPD)",'QA Log'!Z:Z,"Approved"),"")</f>
        <v/>
      </c>
      <c r="N290" s="105" t="str">
        <f>IF(A290&lt;&gt;"",COUNTIFS('QA Log'!D:D,A290,'QA Log'!M:M,"QQC",'QA Log'!L:L,"5. Laboratory",'QA Log'!Z:Z,"Approved"),"")</f>
        <v/>
      </c>
      <c r="O290" s="105" t="str">
        <f>IF(A290&lt;&gt;"",COUNTIFS('QA Log'!D:D,A290,'QA Log'!M:M,"QQC",'QA Log'!L:L,"6. Essential Medicine Management",'QA Log'!Z:Z,"Approved"),"")</f>
        <v/>
      </c>
      <c r="P290" s="105" t="str">
        <f>IF(A290&lt;&gt;"",COUNTIFS('QA Log'!D:D,A290,'QA Log'!M:M,"QQC",'QA Log'!L:L,"7. Tracer Medicine",'QA Log'!Z:Z,"Approved"),"")</f>
        <v/>
      </c>
      <c r="Q290" s="105" t="str">
        <f>IF(A290&lt;&gt;"",COUNTIFS('QA Log'!D:D,A290,'QA Log'!M:M,"QQC",'QA Log'!L:L,"11. Additional Questions",'QA Log'!Z:Z,"Approved"),"")</f>
        <v/>
      </c>
      <c r="R290" s="102" t="str">
        <f>IF(A290="","",SUM(
COUNTIFS('QA Log'!D:D,A290,'QA Log'!M:M,"QQC",'QA Log'!Z:Z,"Rejected",'QA Log'!L:L,"*8. Maternity*"),
COUNTIFS('QA Log'!D:D,A290,'QA Log'!M:M,"QQC",'QA Log'!Z:Z,"Rejected",'QA Log'!L:L,"*EPI*"),
COUNTIFS('QA Log'!D:D,A290,'QA Log'!M:M,"QQC",'QA Log'!Z:Z,"Rejected",'QA Log'!L:L,"*10. Antenatal Care (ANC)*"),
COUNTIFS('QA Log'!D:D,A290,'QA Log'!M:M,"QQC",'QA Log'!Z:Z,"Rejected",'QA Log'!L:L,"*2. Hygiene and Sterilization*"),
COUNTIFS('QA Log'!D:D,A290,'QA Log'!M:M,"QQC",'QA Log'!Z:Z,"Rejected",'QA Log'!L:L,"*Family Planning*")))</f>
        <v/>
      </c>
      <c r="S290" s="106" t="str">
        <f t="shared" si="27"/>
        <v/>
      </c>
      <c r="T290" s="102" t="str">
        <f t="shared" si="28"/>
        <v/>
      </c>
      <c r="U290" s="102" t="str">
        <f>IF(A290="","",
SUM(
COUNTIFS('QA Log'!D:D,A290,'QA Log'!M:M,"QQC",'QA Log'!L:L,"*8. Maternity*"),
COUNTIFS('QA Log'!D:D,A290,'QA Log'!M:M,"QQC",'QA Log'!L:L,"*9. EPI and Pre-school Consultation*"),
COUNTIFS('QA Log'!D:D,A290,'QA Log'!M:M,"QQC",'QA Log'!L:L,"*10. Antenatal Care (ANC)*"),
COUNTIFS('QA Log'!D:D,A290,'QA Log'!M:M,"QQC",'QA Log'!L:L,"*2. Hygiene and Sterilization*"),
COUNTIFS('QA Log'!D:D,A290,'QA Log'!M:M,"QQC",'QA Log'!L:L,"*4. Family Planning*")
))</f>
        <v/>
      </c>
      <c r="V290" s="102" t="str">
        <f>IF(A290="","",
SUM(
COUNTIFS('QA Log'!D:D,A290,'QA Log'!M:M,"QQC",'QA Log'!Z:Z,"Approved",'QA Log'!L:L,"*8. Maternity*"),
COUNTIFS('QA Log'!D:D,A290,'QA Log'!M:M,"QQC",'QA Log'!Z:Z,"Approved",'QA Log'!L:L,"*9. EPI and Pre-school Consultation*"),
COUNTIFS('QA Log'!D:D,A290,'QA Log'!M:M,"QQC",'QA Log'!Z:Z,"Approved",'QA Log'!L:L,"*10. Antenatal Care (ANC)*"),
COUNTIFS('QA Log'!D:D,A290,'QA Log'!M:M,"QQC",'QA Log'!Z:Z,"Approved",'QA Log'!L:L,"*2. Hygiene and Sterilization*"),
COUNTIFS('QA Log'!D:D,A290,'QA Log'!M:M,"QQC",'QA Log'!Z:Z,"Approved",'QA Log'!L:L,"*4. Family Planning*")
))</f>
        <v/>
      </c>
      <c r="W290" s="105" t="str">
        <f>IF(A290&lt;&gt;"",COUNTIFS('QA Log'!D:D,A290,'QA Log'!M:M,"QQC",'QA Log'!L:L,"8. Maternity",'QA Log'!Z:Z,"Approved"),"")</f>
        <v/>
      </c>
      <c r="X290" s="105" t="str">
        <f>IF(A290&lt;&gt;"",COUNTIFS('QA Log'!D:D,A290,'QA Log'!M:M,"QQC",'QA Log'!L:L,"9. EPI and Pre-school Consultation",'QA Log'!Z:Z,"Approved"),"")</f>
        <v/>
      </c>
      <c r="Y290" s="105" t="str">
        <f>IF(A290&lt;&gt;"",COUNTIFS('QA Log'!D:D,A290,'QA Log'!M:M,"QQC",'QA Log'!L:L,"10. Antenatal Care (ANC)",'QA Log'!Z:Z,"Approved"),"")</f>
        <v/>
      </c>
      <c r="Z290" s="105" t="str">
        <f>IF(A290&lt;&gt;"",COUNTIFS('QA Log'!D:D,A290,'QA Log'!M:M,"QQC",'QA Log'!L:L,"2. Hygiene and Sterilization",'QA Log'!Z:Z,"Approved"),"")</f>
        <v/>
      </c>
      <c r="AA290" s="105" t="str">
        <f>IF(A290&lt;&gt;"",COUNTIFS('QA Log'!D:D,A290,'QA Log'!M:M,"QQC",'QA Log'!L:L,"4. Family Planning",'QA Log'!Z:Z,"Approved"),"")</f>
        <v/>
      </c>
      <c r="AB290" s="102" t="str">
        <f>IF(A290="","",
SUM(
COUNTIFS('QA Log'!D:D,A290,'QA Log'!M:M,"QQC",'QA Log'!Z:Z,"Rejected",'QA Log'!L:L,"*8. Maternity*"),
COUNTIFS('QA Log'!D:D,A290,'QA Log'!M:M,"QQC",'QA Log'!Z:Z,"Rejected",'QA Log'!L:L,"*9. EPI and Pre-school Consultation*"),
COUNTIFS('QA Log'!D:D,A290,'QA Log'!M:M,"QQC",'QA Log'!Z:Z,"Rejected",'QA Log'!L:L,"*10. Antenatal Care (ANC)*"),
COUNTIFS('QA Log'!D:D,A290,'QA Log'!M:M,"QQC",'QA Log'!Z:Z,"Rejected",'QA Log'!L:L,"*2. Hygiene and Sterilization*"),
COUNTIFS('QA Log'!D:D,A290,'QA Log'!M:M,"QQC",'QA Log'!Z:Z,"Rejected",'QA Log'!L:L,"*4. Family Planning*")
))</f>
        <v/>
      </c>
      <c r="AC290" s="102" t="str">
        <f t="shared" si="29"/>
        <v/>
      </c>
      <c r="AD290" s="103" t="str">
        <f t="shared" si="30"/>
        <v/>
      </c>
      <c r="AE290" s="102" t="str">
        <f>IF(A290="","",
SUM(
COUNTIFS('QA Log'!D:D,A290,'QA Log'!M:M,"Data Verification",'QA Log'!L:L,"*Medicine (section 2)*"),
COUNTIFS('QA Log'!D:D,A290,'QA Log'!M:M,"Data Verification",'QA Log'!L:L,"*Lab Testing Availability*"),
COUNTIFS('QA Log'!D:D,A290,'QA Log'!M:M,"Data Verification",'QA Log'!L:L,"*Other than P4P (section 6)*"),
COUNTIFS('QA Log'!D:D,A290,'QA Log'!M:M,"Data Verification",'QA Log'!L:L,"*Hospital Governance*")
))</f>
        <v/>
      </c>
      <c r="AF290" s="102" t="str">
        <f>IF(A290="","",
SUM(
COUNTIFS('QA Log'!D:D,A290,'QA Log'!M:M,"Data Verification",'QA Log'!Z:Z,"Approved",'QA Log'!L:L,"*Medicine (section 2)*"),
COUNTIFS('QA Log'!D:D,A290,'QA Log'!M:M,"Data Verification",'QA Log'!Z:Z,"Approved",'QA Log'!L:L,"*Lab Testing Availability*"),
COUNTIFS('QA Log'!D:D,A290,'QA Log'!M:M,"Data Verification",'QA Log'!Z:Z,"Approved",'QA Log'!L:L,"*Other than P4P (section 6)*"),
COUNTIFS('QA Log'!D:D,A290,'QA Log'!M:M,"Data Verification",'QA Log'!Z:Z,"Approved",'QA Log'!L:L,"*Hospital Governance*")
))</f>
        <v/>
      </c>
      <c r="AG290" s="105" t="str">
        <f>IF(A290&lt;&gt;"",COUNTIFS('QA Log'!D:D,A290,'QA Log'!M:M,"Data Verification",'QA Log'!L:L,"Medicine (section 2)",'QA Log'!Z:Z,"Approved"),"")</f>
        <v/>
      </c>
      <c r="AH290" s="105" t="str">
        <f>IF(A290&lt;&gt;"",COUNTIFS('QA Log'!D:D,A290,'QA Log'!M:M,"Data Verification",'QA Log'!L:L,"Lab Testing Availability",'QA Log'!Z:Z,"Approved"),"")</f>
        <v/>
      </c>
      <c r="AI290" s="105" t="str">
        <f>IF(A290&lt;&gt;"",COUNTIFS('QA Log'!D:D,A290,'QA Log'!M:M,"Data Verification",'QA Log'!L:L,"Other than P4P (section 6)",'QA Log'!Z:Z,"Approved"),"")</f>
        <v/>
      </c>
      <c r="AJ290" s="105" t="str">
        <f>IF(A290&lt;&gt;"",COUNTIFS('QA Log'!D:D,A290,'QA Log'!M:M,"Data Verification",'QA Log'!L:L,"Hospital Governance",'QA Log'!Z:Z,"Approved"),"")</f>
        <v/>
      </c>
      <c r="AK290" s="102" t="str">
        <f>IF(A290="","",
SUM(
COUNTIFS('QA Log'!D:D,A290,'QA Log'!M:M,"Data Verification",'QA Log'!Z:Z,"Rejected",'QA Log'!L:L,"*Medicine (section 2)*"),
COUNTIFS('QA Log'!D:D,A290,'QA Log'!M:M,"Data Verification",'QA Log'!Z:Z,"Rejected",'QA Log'!L:L,"*Lab Testing Availability*"),
COUNTIFS('QA Log'!D:D,A290,'QA Log'!M:M,"Data Verification",'QA Log'!Z:Z,"Rejected",'QA Log'!L:L,"*Other than P4P (section 6)*"),
COUNTIFS('QA Log'!D:D,A290,'QA Log'!M:M,"Data Verification",'QA Log'!Z:Z,"Rejected",'QA Log'!L:L,"*Hospital Governance*")
))</f>
        <v/>
      </c>
      <c r="AL290" s="106" t="str">
        <f t="shared" si="31"/>
        <v/>
      </c>
      <c r="AM290" s="102" t="str">
        <f t="shared" si="32"/>
        <v/>
      </c>
      <c r="AN290" s="102" t="str">
        <f>IF(A290="","",
SUM(
COUNTIFS('QA Log'!D:D,A290,'QA Log'!M:M,"Data Verification",'QA Log'!L:L,"*Personnel (section 1)*"),
COUNTIFS('QA Log'!D:D,A290,'QA Log'!M:M,"Data Verification",'QA Log'!L:L,"*Consumable (section 3)*"),
COUNTIFS('QA Log'!D:D,A290,'QA Log'!M:M,"Data Verification",'QA Log'!L:L,"*Equipments (section 4)*")
))</f>
        <v/>
      </c>
      <c r="AO290" s="102" t="str">
        <f>IF(A290="","",
SUM(
COUNTIFS('QA Log'!D:D,A290,'QA Log'!M:M,"Data Verification",'QA Log'!Z:Z,"Approved",'QA Log'!L:L,"*Personnel (section 1)*"),
COUNTIFS('QA Log'!D:D,A290,'QA Log'!M:M,"Data Verification",'QA Log'!Z:Z,"Approved",'QA Log'!L:L,"*Consumable (section 3)*"),
COUNTIFS('QA Log'!D:D,A290,'QA Log'!M:M,"Data Verification",'QA Log'!Z:Z,"Approved",'QA Log'!L:L,"*Equipments (section 4)*")
))</f>
        <v/>
      </c>
      <c r="AP290" s="105" t="str">
        <f>IF(A290&lt;&gt;"",COUNTIFS('QA Log'!D:D,A290,'QA Log'!M:M,"Data Verification",'QA Log'!L:L,"Personnel (section 1)",'QA Log'!Z:Z,"Approved"),"")</f>
        <v/>
      </c>
      <c r="AQ290" s="105" t="str">
        <f>IF(A290&lt;&gt;"",COUNTIFS('QA Log'!D:D,A290,'QA Log'!M:M,"Data Verification",'QA Log'!L:L,"Consumable (section 3)",'QA Log'!Z:Z,"Approved"),"")</f>
        <v/>
      </c>
      <c r="AR290" s="105" t="str">
        <f>IF(A290&lt;&gt;"",COUNTIFS('QA Log'!D:D,A290,'QA Log'!M:M,"Data Verification",'QA Log'!L:L,"Equipments (section 4)",'QA Log'!Z:Z,"Approved"),"")</f>
        <v/>
      </c>
      <c r="AS290" s="102" t="str">
        <f>IF(A290="","",
SUM(
COUNTIFS('QA Log'!D:D,A290,'QA Log'!M:M,"Data Verification",'QA Log'!Z:Z,"Rejected",'QA Log'!L:L,"*Personnel (section 1)*"),
COUNTIFS('QA Log'!D:D,A290,'QA Log'!M:M,"Data Verification",'QA Log'!Z:Z,"Rejected",'QA Log'!L:L,"*Consumable (section 3)*"),
COUNTIFS('QA Log'!D:D,A290,'QA Log'!M:M,"Data Verification",'QA Log'!Z:Z,"Rejected",'QA Log'!L:L,"*Equipments (section 4)*")
))</f>
        <v/>
      </c>
      <c r="AT290" s="102" t="str">
        <f t="shared" si="33"/>
        <v/>
      </c>
      <c r="AU290" s="103" t="str">
        <f t="shared" si="34"/>
        <v/>
      </c>
      <c r="AV290" s="102" t="str">
        <f>IF(A290="","",SUM(
COUNTIFS('QA Log'!D:D,A290,'QA Log'!M:M,"Vignette",'QA Log'!L:L,"*Vignette [1] Respiratory Infection: Pneumonia*"),
COUNTIFS('QA Log'!D:D,A290,'QA Log'!M:M,"Vignette",'QA Log'!L:L,"*Vignette [2]: Diarrhea with Cat B dehydration*"),
COUNTIFS('QA Log'!D:D,A290,'QA Log'!M:M,"Vignette",'QA Log'!L:L,"*Vignette [3] Growth Monitoring and Promotion*"),
COUNTIFS('QA Log'!D:D,A290,'QA Log'!M:M,"Vignette",'QA Log'!L:L,"*Vignette [4]: The management of presumptive TB patient*")
)
)</f>
        <v/>
      </c>
      <c r="AW290" s="102" t="str">
        <f>IF(
  A290="","",
  SUM(
    COUNTIFS('QA Log'!D:D,A290,'QA Log'!M:M,"Vignette",'QA Log'!Z:Z,"Approved",'QA Log'!L:L,"*Vignette [1] Respiratory Infection: Pneumonia*"),
    COUNTIFS('QA Log'!D:D,A290,'QA Log'!M:M,"Vignette",'QA Log'!Z:Z,"Approved",'QA Log'!L:L,"*Vignette [2]: Diarrhea with Cat B dehydration*"),
    COUNTIFS('QA Log'!D:D,A290,'QA Log'!M:M,"Vignette",'QA Log'!Z:Z,"Approved",'QA Log'!L:L,"*Vignette [3] Growth Monitoring and Promotion*"),
    COUNTIFS('QA Log'!D:D,A290,'QA Log'!M:M,"Vignette",'QA Log'!Z:Z,"Approved",'QA Log'!L:L,"*Vignette [4]: The management of presumptive TB patient*")
  )
)</f>
        <v/>
      </c>
      <c r="AX290" s="105" t="str">
        <f>IF(A290&lt;&gt;"",COUNTIFS('QA Log'!D:D,A290,'QA Log'!M:M,"Vignette",'QA Log'!L:L,"Vignette [1] Respiratory Infection: Pneumonia",'QA Log'!Z:Z,"Approved"),"")</f>
        <v/>
      </c>
      <c r="AY290" s="105" t="str">
        <f>IF(A290&lt;&gt;"",COUNTIFS('QA Log'!D:D,A290,'QA Log'!M:M,"Vignette",'QA Log'!L:L,"Vignette [2]: Diarrhea with Cat B dehydration",'QA Log'!Z:Z,"Approved"),"")</f>
        <v/>
      </c>
      <c r="AZ290" s="105" t="str">
        <f>IF(A290&lt;&gt;"",COUNTIFS('QA Log'!D:D,A290,'QA Log'!M:M,"Vignette",'QA Log'!L:L,"Vignette [3] Growth Monitoring and Promotion",'QA Log'!Z:Z,"Approved"),"")</f>
        <v/>
      </c>
      <c r="BA290" s="105" t="str">
        <f>IF(A290&lt;&gt;"",COUNTIFS('QA Log'!D:D,A290,'QA Log'!M:M,"Vignette",'QA Log'!L:L,"Vignette [4]: The management of presumptive TB patient",'QA Log'!Z:Z,"Approved"),"")</f>
        <v/>
      </c>
      <c r="BB290" s="102" t="str">
        <f>IF(A290="","",
  SUM(
    COUNTIFS('QA Log'!D:D,A290,'QA Log'!M:M,"Vignette",'QA Log'!Z:Z,"Rejected",'QA Log'!L:L,"*Vignette [1] Respiratory Infection: Pneumonia*"),
    COUNTIFS('QA Log'!D:D,A290,'QA Log'!M:M,"Vignette",'QA Log'!Z:Z,"Rejected",'QA Log'!L:L,"*Vignette [2]: Diarrhea with Cat B dehydration*"),
    COUNTIFS('QA Log'!D:D,A290,'QA Log'!M:M,"Vignette",'QA Log'!Z:Z,"Rejected",'QA Log'!L:L,"*Vignette [3] Growth Monitoring and Promotion*"),
    COUNTIFS('QA Log'!D:D,A290,'QA Log'!M:M,"Vignette",'QA Log'!Z:Z,"Rejected",'QA Log'!L:L,"*Vignette [4]: The management of presumptive TB patient*")
  )
)</f>
        <v/>
      </c>
      <c r="BC290" s="107" t="str">
        <f t="shared" si="35"/>
        <v/>
      </c>
      <c r="BD290" s="103" t="str">
        <f t="shared" si="36"/>
        <v/>
      </c>
      <c r="BE290" s="102" t="str">
        <f>IF(A290="","",SUM(
COUNTIFS('QA Log'!D:D,A290,'QA Log'!M:M,"Vignette",'QA Log'!L:L,"*Vignette [5] Labor*"),
COUNTIFS('QA Log'!D:D,A290,'QA Log'!M:M,"Vignette",'QA Log'!L:L,"*Vignette [6] PNC pre Discharge*"),
COUNTIFS('QA Log'!D:D,A290,'QA Log'!M:M,"Vignette",'QA Log'!L:L,"*Vignette [7] First ANC Visit*"),
COUNTIFS('QA Log'!D:D,A290,'QA Log'!M:M,"Vignette",'QA Log'!L:L,"*Vignette [8] Birth Spacing/ Family Planning :  FP Counselling*"),
COUNTIFS('QA Log'!D:D,A290,'QA Log'!M:M,"Vignette",'QA Log'!L:L,"*Vignette [9] Birth Spacing: Change FP method to Injectable*"),
COUNTIFS('QA Log'!D:D,A290,'QA Log'!M:M,"Vignette",'QA Log'!L:L,"*Vignette [10] Post Partum Haemorrhage - Atonic Uterus at Health Centre*"),
)
)</f>
        <v/>
      </c>
      <c r="BF290" s="102" t="str">
        <f>IF(A290="","",
  SUM(
    COUNTIFS('QA Log'!D:D,A290,'QA Log'!M:M,"Vignette",'QA Log'!Z:Z,"Approved",'QA Log'!L:L,"*Vignette [5] Labor*"),
    COUNTIFS('QA Log'!D:D,A290,'QA Log'!M:M,"Vignette",'QA Log'!Z:Z,"Approved",'QA Log'!L:L,"*Vignette [6] PNC pre Discharge*"),
    COUNTIFS('QA Log'!D:D,A290,'QA Log'!M:M,"Vignette",'QA Log'!Z:Z,"Approved",'QA Log'!L:L,"*Vignette [7] First ANC Visit*"),
    COUNTIFS('QA Log'!D:D,A290,'QA Log'!M:M,"Vignette",'QA Log'!Z:Z,"Approved",'QA Log'!L:L,"*Vignette [8] Birth Spacing/ Family Planning :  FP Counselling*"),
    COUNTIFS('QA Log'!D:D,A290,'QA Log'!M:M,"Vignette",'QA Log'!Z:Z,"Approved",'QA Log'!L:L,"*Vignette [9] Birth Spacing: Change FP method to Injectable*"),
    COUNTIFS('QA Log'!D:D,A290,'QA Log'!M:M,"Vignette",'QA Log'!Z:Z,"Approved",'QA Log'!L:L,"*Vignette [10] Post Partum Haemorrhage - Atonic Uterus at Health Centre*")
  )
)</f>
        <v/>
      </c>
      <c r="BG290" s="105" t="str">
        <f>IF(A290&lt;&gt;"",COUNTIFS('QA Log'!D:D,A290,'QA Log'!M:M,"Vignette",'QA Log'!L:L,"Vignette [5] Labor",'QA Log'!Z:Z,"Approved"),"")</f>
        <v/>
      </c>
      <c r="BH290" s="105" t="str">
        <f>IF(A290&lt;&gt;"",COUNTIFS('QA Log'!D:D,A290,'QA Log'!M:M,"Vignette",'QA Log'!L:L,"Vignette [6] PNC pre Discharge",'QA Log'!Z:Z,"Approved"),"")</f>
        <v/>
      </c>
      <c r="BI290" s="105" t="str">
        <f>IF(A290&lt;&gt;"",COUNTIFS('QA Log'!D:D,A290,'QA Log'!M:M,"Vignette",'QA Log'!L:L,"Vignette [7] First ANC Visit",'QA Log'!Z:Z,"Approved"),"")</f>
        <v/>
      </c>
      <c r="BJ290" s="105" t="str">
        <f>IF(A290&lt;&gt;"",COUNTIFS('QA Log'!D:D,A290,'QA Log'!M:M,"Vignette",'QA Log'!L:L,"Vignette [8] Birth Spacing/ Family Planning :  FP Counselling",'QA Log'!Z:Z,"Approved"),"")</f>
        <v/>
      </c>
      <c r="BK290" s="105" t="str">
        <f>IF(A290&lt;&gt;"",COUNTIFS('QA Log'!D:D,A290,'QA Log'!M:M,"Vignette",'QA Log'!L:L,"Vignette [9] Birth Spacing: Change FP method to Injectable",'QA Log'!Z:Z,"Approved"),"")</f>
        <v/>
      </c>
      <c r="BL290" s="105" t="str">
        <f>IF(A290&lt;&gt;"",COUNTIFS('QA Log'!D:D,A290,'QA Log'!M:M,"Vignette",'QA Log'!L:L,"Vignette [10] Post Partum Haemorrhage - Atonic Uterus at Health Centre",'QA Log'!Z:Z,"Approved"),"")</f>
        <v/>
      </c>
      <c r="BM290" s="102" t="str">
        <f>IF(A290="","",SUM(
    COUNTIFS('QA Log'!D:D,A290,'QA Log'!M:M,"Vignette",'QA Log'!Z:Z,"Rejected",'QA Log'!L:L,"*Vignette [5] Labor*"),
    COUNTIFS('QA Log'!D:D,A290,'QA Log'!M:M,"Vignette",'QA Log'!Z:Z,"Rejected",'QA Log'!L:L,"*Vignette [6] PNC pre Discharge*"),
    COUNTIFS('QA Log'!D:D,A290,'QA Log'!M:M,"Vignette",'QA Log'!Z:Z,"Rejected",'QA Log'!L:L,"*Vignette [7] First ANC Visit*"),
    COUNTIFS('QA Log'!D:D,A290,'QA Log'!M:M,"Vignette",'QA Log'!Z:Z,"Rejected",'QA Log'!L:L,"*Vignette [8] Birth Spacing/ Family Planning :  FP Counselling*"),
    COUNTIFS('QA Log'!D:D,A290,'QA Log'!M:M,"Vignette",'QA Log'!Z:Z,"Rejected",'QA Log'!L:L,"*Vignette [9] Birth Spacing: Change FP method to Injectable*"),
    COUNTIFS('QA Log'!D:D,A290,'QA Log'!M:M,"Vignette",'QA Log'!Z:Z,"Rejected",'QA Log'!L:L,"*Vignette [10] Post Partum Haemorrhage - Atonic Uterus at Health Centre*")
  )
)</f>
        <v/>
      </c>
      <c r="BN290" s="107" t="str">
        <f t="shared" si="37"/>
        <v/>
      </c>
      <c r="BO290" s="103" t="str">
        <f t="shared" si="38"/>
        <v/>
      </c>
      <c r="BP290" s="102" t="str">
        <f>IF(A290="","",SUM(
COUNTIFS('QA Log'!D:D,A290,'QA Log'!M:M,"Vignette",'QA Log'!L:L,"*Exit Interview 1*"),
COUNTIFS('QA Log'!D:D,A290,'QA Log'!M:M,"Vignette",'QA Log'!L:L,"*Exit Interview 2*"),
)
)</f>
        <v/>
      </c>
      <c r="BQ290" s="102" t="str">
        <f>IF(
  A290="","",
  SUM(
    COUNTIFS('QA Log'!D:D,A290,'QA Log'!M:M,"Vignette",'QA Log'!Z:Z,"Approved",'QA Log'!L:L,"*Exit Interview 1*"),
    COUNTIFS('QA Log'!D:D,A290,'QA Log'!M:M,"Vignette",'QA Log'!Z:Z,"Approved",'QA Log'!L:L,"*Exit Interview 2*")
  )
)</f>
        <v/>
      </c>
      <c r="BR290" s="105" t="str">
        <f>IF(A290&lt;&gt;"",COUNTIFS('QA Log'!D:D,A290,'QA Log'!M:M,"Vignette",'QA Log'!L:L,"Exit Interview 1",'QA Log'!Z:Z,"Approved"),"")</f>
        <v/>
      </c>
      <c r="BS290" s="105" t="str">
        <f>IF(A290&lt;&gt;"",COUNTIFS('QA Log'!D:D,A290,'QA Log'!M:M,"Vignette",'QA Log'!L:L,"Exit Interview 2",'QA Log'!Z:Z,"Approved"),"")</f>
        <v/>
      </c>
      <c r="BT290" s="102" t="str">
        <f>IF(
  A290="","",
  SUM(
    COUNTIFS('QA Log'!D:D,A290,'QA Log'!M:M,"Vignette",'QA Log'!Z:Z,"Rejected",'QA Log'!L:L,"*Exit Interview 1*"),
    COUNTIFS('QA Log'!D:D,A290,'QA Log'!M:M,"Vignette",'QA Log'!Z:Z,"Rejected",'QA Log'!L:L,"*Exit Interview 2*")
  )
)</f>
        <v/>
      </c>
      <c r="BU290" s="107" t="str">
        <f t="shared" si="39"/>
        <v/>
      </c>
      <c r="BV290" s="102" t="str">
        <f t="shared" si="40"/>
        <v/>
      </c>
      <c r="BW290" s="102" t="str">
        <f t="shared" si="41"/>
        <v/>
      </c>
      <c r="BX290" s="102" t="str">
        <f t="shared" si="42"/>
        <v/>
      </c>
      <c r="BY290" s="102" t="str">
        <f t="shared" si="43"/>
        <v/>
      </c>
      <c r="BZ290" s="107" t="str">
        <f t="shared" si="44"/>
        <v/>
      </c>
      <c r="CA290" s="108" t="str">
        <f t="shared" si="45"/>
        <v/>
      </c>
      <c r="CB290" s="108" t="str">
        <f t="shared" si="46"/>
        <v/>
      </c>
      <c r="CC290" s="109" t="str">
        <f t="shared" si="47"/>
        <v/>
      </c>
      <c r="CD290" s="108" t="str">
        <f t="shared" si="48"/>
        <v/>
      </c>
      <c r="CE290" s="108" t="str">
        <f t="shared" si="49"/>
        <v/>
      </c>
      <c r="CF290" s="109" t="str">
        <f t="shared" si="50"/>
        <v/>
      </c>
      <c r="CG290" s="110" t="str">
        <f t="shared" si="51"/>
        <v/>
      </c>
      <c r="CH290" s="111"/>
    </row>
    <row r="291" spans="1:86" ht="12.75">
      <c r="A291" s="101"/>
      <c r="B291" s="102" t="e">
        <f t="array" aca="1" ref="B291" ca="1">_xludf.XLOOKUP(A291,'QA Log'!D:D,'QA Log'!E:E,"")</f>
        <v>#NAME?</v>
      </c>
      <c r="C291" s="102" t="e">
        <f t="array" aca="1" ref="C291" ca="1">_xludf.XLOOKUP(A291,'QA Log'!D:D,'QA Log'!F:F,"")</f>
        <v>#NAME?</v>
      </c>
      <c r="D291" s="102" t="e">
        <f t="array" aca="1" ref="D291" ca="1">_xludf.XLOOKUP(A291,'QA Log'!D:D,'QA Log'!H:H,"")</f>
        <v>#NAME?</v>
      </c>
      <c r="E291" s="102" t="e">
        <f t="array" aca="1" ref="E291" ca="1">_xludf.XLOOKUP(A291,'QA Log'!D:D,'QA Log'!G:G,"")</f>
        <v>#NAME?</v>
      </c>
      <c r="F291" s="103"/>
      <c r="G291" s="104"/>
      <c r="H291" s="104"/>
      <c r="I291" s="103" t="str">
        <f t="shared" si="26"/>
        <v/>
      </c>
      <c r="J291" s="102" t="str">
        <f>IF(A291="","",SUM(
COUNTIFS('QA Log'!D:D,A291,'QA Log'!M:M,"QQC",'QA Log'!L:L,"*1. General Management*"),
COUNTIFS('QA Log'!D:D,A291,'QA Log'!M:M,"QQC",'QA Log'!L:L,"*3. Curative Consultation (OPD)*"),
COUNTIFS('QA Log'!D:D,A291,'QA Log'!M:M,"QQC",'QA Log'!L:L,"*5. Laboratory*"),
COUNTIFS('QA Log'!D:D,A291,'QA Log'!M:M,"QQC",'QA Log'!L:L,"*6. Essential Medicine Management*"),
COUNTIFS('QA Log'!D:D,A291,'QA Log'!M:M,"QQC",'QA Log'!L:L,"*7. Tracer Medicine*"),
COUNTIFS('QA Log'!D:D,A291,'QA Log'!M:M,"QQC",'QA Log'!L:L,"*11. Additional Questions*")))</f>
        <v/>
      </c>
      <c r="K291" s="102" t="str">
        <f>IF(A291="","",SUM(
COUNTIFS('QA Log'!D:D,A291,'QA Log'!M:M,"QQC",'QA Log'!Z:Z,"Approved",'QA Log'!L:L,"*1. General Management*"),
COUNTIFS('QA Log'!D:D,A291,'QA Log'!M:M,"QQC",'QA Log'!Z:Z,"Approved",'QA Log'!L:L,"*3. Curative Consultation (OPD)*"),
COUNTIFS('QA Log'!D:D,A291,'QA Log'!M:M,"QQC",'QA Log'!Z:Z,"Approved",'QA Log'!L:L,"*5. Laboratory*"),
COUNTIFS('QA Log'!D:D,A291,'QA Log'!M:M,"QQC",'QA Log'!Z:Z,"Approved",'QA Log'!L:L,"*6. Essential Medicine Management*"),
COUNTIFS('QA Log'!D:D,A291,'QA Log'!M:M,"QQC",'QA Log'!Z:Z,"Approved",'QA Log'!L:L,"*7. Tracer Medicine*"),
COUNTIFS('QA Log'!D:D,A291,'QA Log'!M:M,"QQC",'QA Log'!Z:Z,"Approved",'QA Log'!L:L,"*11. Additional Questions*")))</f>
        <v/>
      </c>
      <c r="L291" s="105" t="str">
        <f>IF(A291&lt;&gt;"",COUNTIFS('QA Log'!D:D,A291,'QA Log'!M:M,"QQC",'QA Log'!L:L,"1. General Management",'QA Log'!Z:Z,"Approved"),"")</f>
        <v/>
      </c>
      <c r="M291" s="105" t="str">
        <f>IF(A291&lt;&gt;"",COUNTIFS('QA Log'!D:D,A291,'QA Log'!M:M,"QQC",'QA Log'!L:L,"3. Curative Consultation (OPD)",'QA Log'!Z:Z,"Approved"),"")</f>
        <v/>
      </c>
      <c r="N291" s="105" t="str">
        <f>IF(A291&lt;&gt;"",COUNTIFS('QA Log'!D:D,A291,'QA Log'!M:M,"QQC",'QA Log'!L:L,"5. Laboratory",'QA Log'!Z:Z,"Approved"),"")</f>
        <v/>
      </c>
      <c r="O291" s="105" t="str">
        <f>IF(A291&lt;&gt;"",COUNTIFS('QA Log'!D:D,A291,'QA Log'!M:M,"QQC",'QA Log'!L:L,"6. Essential Medicine Management",'QA Log'!Z:Z,"Approved"),"")</f>
        <v/>
      </c>
      <c r="P291" s="105" t="str">
        <f>IF(A291&lt;&gt;"",COUNTIFS('QA Log'!D:D,A291,'QA Log'!M:M,"QQC",'QA Log'!L:L,"7. Tracer Medicine",'QA Log'!Z:Z,"Approved"),"")</f>
        <v/>
      </c>
      <c r="Q291" s="105" t="str">
        <f>IF(A291&lt;&gt;"",COUNTIFS('QA Log'!D:D,A291,'QA Log'!M:M,"QQC",'QA Log'!L:L,"11. Additional Questions",'QA Log'!Z:Z,"Approved"),"")</f>
        <v/>
      </c>
      <c r="R291" s="102" t="str">
        <f>IF(A291="","",SUM(
COUNTIFS('QA Log'!D:D,A291,'QA Log'!M:M,"QQC",'QA Log'!Z:Z,"Rejected",'QA Log'!L:L,"*8. Maternity*"),
COUNTIFS('QA Log'!D:D,A291,'QA Log'!M:M,"QQC",'QA Log'!Z:Z,"Rejected",'QA Log'!L:L,"*EPI*"),
COUNTIFS('QA Log'!D:D,A291,'QA Log'!M:M,"QQC",'QA Log'!Z:Z,"Rejected",'QA Log'!L:L,"*10. Antenatal Care (ANC)*"),
COUNTIFS('QA Log'!D:D,A291,'QA Log'!M:M,"QQC",'QA Log'!Z:Z,"Rejected",'QA Log'!L:L,"*2. Hygiene and Sterilization*"),
COUNTIFS('QA Log'!D:D,A291,'QA Log'!M:M,"QQC",'QA Log'!Z:Z,"Rejected",'QA Log'!L:L,"*Family Planning*")))</f>
        <v/>
      </c>
      <c r="S291" s="106" t="str">
        <f t="shared" si="27"/>
        <v/>
      </c>
      <c r="T291" s="102" t="str">
        <f t="shared" si="28"/>
        <v/>
      </c>
      <c r="U291" s="102" t="str">
        <f>IF(A291="","",
SUM(
COUNTIFS('QA Log'!D:D,A291,'QA Log'!M:M,"QQC",'QA Log'!L:L,"*8. Maternity*"),
COUNTIFS('QA Log'!D:D,A291,'QA Log'!M:M,"QQC",'QA Log'!L:L,"*9. EPI and Pre-school Consultation*"),
COUNTIFS('QA Log'!D:D,A291,'QA Log'!M:M,"QQC",'QA Log'!L:L,"*10. Antenatal Care (ANC)*"),
COUNTIFS('QA Log'!D:D,A291,'QA Log'!M:M,"QQC",'QA Log'!L:L,"*2. Hygiene and Sterilization*"),
COUNTIFS('QA Log'!D:D,A291,'QA Log'!M:M,"QQC",'QA Log'!L:L,"*4. Family Planning*")
))</f>
        <v/>
      </c>
      <c r="V291" s="102" t="str">
        <f>IF(A291="","",
SUM(
COUNTIFS('QA Log'!D:D,A291,'QA Log'!M:M,"QQC",'QA Log'!Z:Z,"Approved",'QA Log'!L:L,"*8. Maternity*"),
COUNTIFS('QA Log'!D:D,A291,'QA Log'!M:M,"QQC",'QA Log'!Z:Z,"Approved",'QA Log'!L:L,"*9. EPI and Pre-school Consultation*"),
COUNTIFS('QA Log'!D:D,A291,'QA Log'!M:M,"QQC",'QA Log'!Z:Z,"Approved",'QA Log'!L:L,"*10. Antenatal Care (ANC)*"),
COUNTIFS('QA Log'!D:D,A291,'QA Log'!M:M,"QQC",'QA Log'!Z:Z,"Approved",'QA Log'!L:L,"*2. Hygiene and Sterilization*"),
COUNTIFS('QA Log'!D:D,A291,'QA Log'!M:M,"QQC",'QA Log'!Z:Z,"Approved",'QA Log'!L:L,"*4. Family Planning*")
))</f>
        <v/>
      </c>
      <c r="W291" s="105" t="str">
        <f>IF(A291&lt;&gt;"",COUNTIFS('QA Log'!D:D,A291,'QA Log'!M:M,"QQC",'QA Log'!L:L,"8. Maternity",'QA Log'!Z:Z,"Approved"),"")</f>
        <v/>
      </c>
      <c r="X291" s="105" t="str">
        <f>IF(A291&lt;&gt;"",COUNTIFS('QA Log'!D:D,A291,'QA Log'!M:M,"QQC",'QA Log'!L:L,"9. EPI and Pre-school Consultation",'QA Log'!Z:Z,"Approved"),"")</f>
        <v/>
      </c>
      <c r="Y291" s="105" t="str">
        <f>IF(A291&lt;&gt;"",COUNTIFS('QA Log'!D:D,A291,'QA Log'!M:M,"QQC",'QA Log'!L:L,"10. Antenatal Care (ANC)",'QA Log'!Z:Z,"Approved"),"")</f>
        <v/>
      </c>
      <c r="Z291" s="105" t="str">
        <f>IF(A291&lt;&gt;"",COUNTIFS('QA Log'!D:D,A291,'QA Log'!M:M,"QQC",'QA Log'!L:L,"2. Hygiene and Sterilization",'QA Log'!Z:Z,"Approved"),"")</f>
        <v/>
      </c>
      <c r="AA291" s="105" t="str">
        <f>IF(A291&lt;&gt;"",COUNTIFS('QA Log'!D:D,A291,'QA Log'!M:M,"QQC",'QA Log'!L:L,"4. Family Planning",'QA Log'!Z:Z,"Approved"),"")</f>
        <v/>
      </c>
      <c r="AB291" s="102" t="str">
        <f>IF(A291="","",
SUM(
COUNTIFS('QA Log'!D:D,A291,'QA Log'!M:M,"QQC",'QA Log'!Z:Z,"Rejected",'QA Log'!L:L,"*8. Maternity*"),
COUNTIFS('QA Log'!D:D,A291,'QA Log'!M:M,"QQC",'QA Log'!Z:Z,"Rejected",'QA Log'!L:L,"*9. EPI and Pre-school Consultation*"),
COUNTIFS('QA Log'!D:D,A291,'QA Log'!M:M,"QQC",'QA Log'!Z:Z,"Rejected",'QA Log'!L:L,"*10. Antenatal Care (ANC)*"),
COUNTIFS('QA Log'!D:D,A291,'QA Log'!M:M,"QQC",'QA Log'!Z:Z,"Rejected",'QA Log'!L:L,"*2. Hygiene and Sterilization*"),
COUNTIFS('QA Log'!D:D,A291,'QA Log'!M:M,"QQC",'QA Log'!Z:Z,"Rejected",'QA Log'!L:L,"*4. Family Planning*")
))</f>
        <v/>
      </c>
      <c r="AC291" s="102" t="str">
        <f t="shared" si="29"/>
        <v/>
      </c>
      <c r="AD291" s="103" t="str">
        <f t="shared" si="30"/>
        <v/>
      </c>
      <c r="AE291" s="102" t="str">
        <f>IF(A291="","",
SUM(
COUNTIFS('QA Log'!D:D,A291,'QA Log'!M:M,"Data Verification",'QA Log'!L:L,"*Medicine (section 2)*"),
COUNTIFS('QA Log'!D:D,A291,'QA Log'!M:M,"Data Verification",'QA Log'!L:L,"*Lab Testing Availability*"),
COUNTIFS('QA Log'!D:D,A291,'QA Log'!M:M,"Data Verification",'QA Log'!L:L,"*Other than P4P (section 6)*"),
COUNTIFS('QA Log'!D:D,A291,'QA Log'!M:M,"Data Verification",'QA Log'!L:L,"*Hospital Governance*")
))</f>
        <v/>
      </c>
      <c r="AF291" s="102" t="str">
        <f>IF(A291="","",
SUM(
COUNTIFS('QA Log'!D:D,A291,'QA Log'!M:M,"Data Verification",'QA Log'!Z:Z,"Approved",'QA Log'!L:L,"*Medicine (section 2)*"),
COUNTIFS('QA Log'!D:D,A291,'QA Log'!M:M,"Data Verification",'QA Log'!Z:Z,"Approved",'QA Log'!L:L,"*Lab Testing Availability*"),
COUNTIFS('QA Log'!D:D,A291,'QA Log'!M:M,"Data Verification",'QA Log'!Z:Z,"Approved",'QA Log'!L:L,"*Other than P4P (section 6)*"),
COUNTIFS('QA Log'!D:D,A291,'QA Log'!M:M,"Data Verification",'QA Log'!Z:Z,"Approved",'QA Log'!L:L,"*Hospital Governance*")
))</f>
        <v/>
      </c>
      <c r="AG291" s="105" t="str">
        <f>IF(A291&lt;&gt;"",COUNTIFS('QA Log'!D:D,A291,'QA Log'!M:M,"Data Verification",'QA Log'!L:L,"Medicine (section 2)",'QA Log'!Z:Z,"Approved"),"")</f>
        <v/>
      </c>
      <c r="AH291" s="105" t="str">
        <f>IF(A291&lt;&gt;"",COUNTIFS('QA Log'!D:D,A291,'QA Log'!M:M,"Data Verification",'QA Log'!L:L,"Lab Testing Availability",'QA Log'!Z:Z,"Approved"),"")</f>
        <v/>
      </c>
      <c r="AI291" s="105" t="str">
        <f>IF(A291&lt;&gt;"",COUNTIFS('QA Log'!D:D,A291,'QA Log'!M:M,"Data Verification",'QA Log'!L:L,"Other than P4P (section 6)",'QA Log'!Z:Z,"Approved"),"")</f>
        <v/>
      </c>
      <c r="AJ291" s="105" t="str">
        <f>IF(A291&lt;&gt;"",COUNTIFS('QA Log'!D:D,A291,'QA Log'!M:M,"Data Verification",'QA Log'!L:L,"Hospital Governance",'QA Log'!Z:Z,"Approved"),"")</f>
        <v/>
      </c>
      <c r="AK291" s="102" t="str">
        <f>IF(A291="","",
SUM(
COUNTIFS('QA Log'!D:D,A291,'QA Log'!M:M,"Data Verification",'QA Log'!Z:Z,"Rejected",'QA Log'!L:L,"*Medicine (section 2)*"),
COUNTIFS('QA Log'!D:D,A291,'QA Log'!M:M,"Data Verification",'QA Log'!Z:Z,"Rejected",'QA Log'!L:L,"*Lab Testing Availability*"),
COUNTIFS('QA Log'!D:D,A291,'QA Log'!M:M,"Data Verification",'QA Log'!Z:Z,"Rejected",'QA Log'!L:L,"*Other than P4P (section 6)*"),
COUNTIFS('QA Log'!D:D,A291,'QA Log'!M:M,"Data Verification",'QA Log'!Z:Z,"Rejected",'QA Log'!L:L,"*Hospital Governance*")
))</f>
        <v/>
      </c>
      <c r="AL291" s="106" t="str">
        <f t="shared" si="31"/>
        <v/>
      </c>
      <c r="AM291" s="102" t="str">
        <f t="shared" si="32"/>
        <v/>
      </c>
      <c r="AN291" s="102" t="str">
        <f>IF(A291="","",
SUM(
COUNTIFS('QA Log'!D:D,A291,'QA Log'!M:M,"Data Verification",'QA Log'!L:L,"*Personnel (section 1)*"),
COUNTIFS('QA Log'!D:D,A291,'QA Log'!M:M,"Data Verification",'QA Log'!L:L,"*Consumable (section 3)*"),
COUNTIFS('QA Log'!D:D,A291,'QA Log'!M:M,"Data Verification",'QA Log'!L:L,"*Equipments (section 4)*")
))</f>
        <v/>
      </c>
      <c r="AO291" s="102" t="str">
        <f>IF(A291="","",
SUM(
COUNTIFS('QA Log'!D:D,A291,'QA Log'!M:M,"Data Verification",'QA Log'!Z:Z,"Approved",'QA Log'!L:L,"*Personnel (section 1)*"),
COUNTIFS('QA Log'!D:D,A291,'QA Log'!M:M,"Data Verification",'QA Log'!Z:Z,"Approved",'QA Log'!L:L,"*Consumable (section 3)*"),
COUNTIFS('QA Log'!D:D,A291,'QA Log'!M:M,"Data Verification",'QA Log'!Z:Z,"Approved",'QA Log'!L:L,"*Equipments (section 4)*")
))</f>
        <v/>
      </c>
      <c r="AP291" s="105" t="str">
        <f>IF(A291&lt;&gt;"",COUNTIFS('QA Log'!D:D,A291,'QA Log'!M:M,"Data Verification",'QA Log'!L:L,"Personnel (section 1)",'QA Log'!Z:Z,"Approved"),"")</f>
        <v/>
      </c>
      <c r="AQ291" s="105" t="str">
        <f>IF(A291&lt;&gt;"",COUNTIFS('QA Log'!D:D,A291,'QA Log'!M:M,"Data Verification",'QA Log'!L:L,"Consumable (section 3)",'QA Log'!Z:Z,"Approved"),"")</f>
        <v/>
      </c>
      <c r="AR291" s="105" t="str">
        <f>IF(A291&lt;&gt;"",COUNTIFS('QA Log'!D:D,A291,'QA Log'!M:M,"Data Verification",'QA Log'!L:L,"Equipments (section 4)",'QA Log'!Z:Z,"Approved"),"")</f>
        <v/>
      </c>
      <c r="AS291" s="102" t="str">
        <f>IF(A291="","",
SUM(
COUNTIFS('QA Log'!D:D,A291,'QA Log'!M:M,"Data Verification",'QA Log'!Z:Z,"Rejected",'QA Log'!L:L,"*Personnel (section 1)*"),
COUNTIFS('QA Log'!D:D,A291,'QA Log'!M:M,"Data Verification",'QA Log'!Z:Z,"Rejected",'QA Log'!L:L,"*Consumable (section 3)*"),
COUNTIFS('QA Log'!D:D,A291,'QA Log'!M:M,"Data Verification",'QA Log'!Z:Z,"Rejected",'QA Log'!L:L,"*Equipments (section 4)*")
))</f>
        <v/>
      </c>
      <c r="AT291" s="102" t="str">
        <f t="shared" si="33"/>
        <v/>
      </c>
      <c r="AU291" s="103" t="str">
        <f t="shared" si="34"/>
        <v/>
      </c>
      <c r="AV291" s="102" t="str">
        <f>IF(A291="","",SUM(
COUNTIFS('QA Log'!D:D,A291,'QA Log'!M:M,"Vignette",'QA Log'!L:L,"*Vignette [1] Respiratory Infection: Pneumonia*"),
COUNTIFS('QA Log'!D:D,A291,'QA Log'!M:M,"Vignette",'QA Log'!L:L,"*Vignette [2]: Diarrhea with Cat B dehydration*"),
COUNTIFS('QA Log'!D:D,A291,'QA Log'!M:M,"Vignette",'QA Log'!L:L,"*Vignette [3] Growth Monitoring and Promotion*"),
COUNTIFS('QA Log'!D:D,A291,'QA Log'!M:M,"Vignette",'QA Log'!L:L,"*Vignette [4]: The management of presumptive TB patient*")
)
)</f>
        <v/>
      </c>
      <c r="AW291" s="102" t="str">
        <f>IF(
  A291="","",
  SUM(
    COUNTIFS('QA Log'!D:D,A291,'QA Log'!M:M,"Vignette",'QA Log'!Z:Z,"Approved",'QA Log'!L:L,"*Vignette [1] Respiratory Infection: Pneumonia*"),
    COUNTIFS('QA Log'!D:D,A291,'QA Log'!M:M,"Vignette",'QA Log'!Z:Z,"Approved",'QA Log'!L:L,"*Vignette [2]: Diarrhea with Cat B dehydration*"),
    COUNTIFS('QA Log'!D:D,A291,'QA Log'!M:M,"Vignette",'QA Log'!Z:Z,"Approved",'QA Log'!L:L,"*Vignette [3] Growth Monitoring and Promotion*"),
    COUNTIFS('QA Log'!D:D,A291,'QA Log'!M:M,"Vignette",'QA Log'!Z:Z,"Approved",'QA Log'!L:L,"*Vignette [4]: The management of presumptive TB patient*")
  )
)</f>
        <v/>
      </c>
      <c r="AX291" s="105" t="str">
        <f>IF(A291&lt;&gt;"",COUNTIFS('QA Log'!D:D,A291,'QA Log'!M:M,"Vignette",'QA Log'!L:L,"Vignette [1] Respiratory Infection: Pneumonia",'QA Log'!Z:Z,"Approved"),"")</f>
        <v/>
      </c>
      <c r="AY291" s="105" t="str">
        <f>IF(A291&lt;&gt;"",COUNTIFS('QA Log'!D:D,A291,'QA Log'!M:M,"Vignette",'QA Log'!L:L,"Vignette [2]: Diarrhea with Cat B dehydration",'QA Log'!Z:Z,"Approved"),"")</f>
        <v/>
      </c>
      <c r="AZ291" s="105" t="str">
        <f>IF(A291&lt;&gt;"",COUNTIFS('QA Log'!D:D,A291,'QA Log'!M:M,"Vignette",'QA Log'!L:L,"Vignette [3] Growth Monitoring and Promotion",'QA Log'!Z:Z,"Approved"),"")</f>
        <v/>
      </c>
      <c r="BA291" s="105" t="str">
        <f>IF(A291&lt;&gt;"",COUNTIFS('QA Log'!D:D,A291,'QA Log'!M:M,"Vignette",'QA Log'!L:L,"Vignette [4]: The management of presumptive TB patient",'QA Log'!Z:Z,"Approved"),"")</f>
        <v/>
      </c>
      <c r="BB291" s="102" t="str">
        <f>IF(A291="","",
  SUM(
    COUNTIFS('QA Log'!D:D,A291,'QA Log'!M:M,"Vignette",'QA Log'!Z:Z,"Rejected",'QA Log'!L:L,"*Vignette [1] Respiratory Infection: Pneumonia*"),
    COUNTIFS('QA Log'!D:D,A291,'QA Log'!M:M,"Vignette",'QA Log'!Z:Z,"Rejected",'QA Log'!L:L,"*Vignette [2]: Diarrhea with Cat B dehydration*"),
    COUNTIFS('QA Log'!D:D,A291,'QA Log'!M:M,"Vignette",'QA Log'!Z:Z,"Rejected",'QA Log'!L:L,"*Vignette [3] Growth Monitoring and Promotion*"),
    COUNTIFS('QA Log'!D:D,A291,'QA Log'!M:M,"Vignette",'QA Log'!Z:Z,"Rejected",'QA Log'!L:L,"*Vignette [4]: The management of presumptive TB patient*")
  )
)</f>
        <v/>
      </c>
      <c r="BC291" s="107" t="str">
        <f t="shared" si="35"/>
        <v/>
      </c>
      <c r="BD291" s="103" t="str">
        <f t="shared" si="36"/>
        <v/>
      </c>
      <c r="BE291" s="102" t="str">
        <f>IF(A291="","",SUM(
COUNTIFS('QA Log'!D:D,A291,'QA Log'!M:M,"Vignette",'QA Log'!L:L,"*Vignette [5] Labor*"),
COUNTIFS('QA Log'!D:D,A291,'QA Log'!M:M,"Vignette",'QA Log'!L:L,"*Vignette [6] PNC pre Discharge*"),
COUNTIFS('QA Log'!D:D,A291,'QA Log'!M:M,"Vignette",'QA Log'!L:L,"*Vignette [7] First ANC Visit*"),
COUNTIFS('QA Log'!D:D,A291,'QA Log'!M:M,"Vignette",'QA Log'!L:L,"*Vignette [8] Birth Spacing/ Family Planning :  FP Counselling*"),
COUNTIFS('QA Log'!D:D,A291,'QA Log'!M:M,"Vignette",'QA Log'!L:L,"*Vignette [9] Birth Spacing: Change FP method to Injectable*"),
COUNTIFS('QA Log'!D:D,A291,'QA Log'!M:M,"Vignette",'QA Log'!L:L,"*Vignette [10] Post Partum Haemorrhage - Atonic Uterus at Health Centre*"),
)
)</f>
        <v/>
      </c>
      <c r="BF291" s="102" t="str">
        <f>IF(A291="","",
  SUM(
    COUNTIFS('QA Log'!D:D,A291,'QA Log'!M:M,"Vignette",'QA Log'!Z:Z,"Approved",'QA Log'!L:L,"*Vignette [5] Labor*"),
    COUNTIFS('QA Log'!D:D,A291,'QA Log'!M:M,"Vignette",'QA Log'!Z:Z,"Approved",'QA Log'!L:L,"*Vignette [6] PNC pre Discharge*"),
    COUNTIFS('QA Log'!D:D,A291,'QA Log'!M:M,"Vignette",'QA Log'!Z:Z,"Approved",'QA Log'!L:L,"*Vignette [7] First ANC Visit*"),
    COUNTIFS('QA Log'!D:D,A291,'QA Log'!M:M,"Vignette",'QA Log'!Z:Z,"Approved",'QA Log'!L:L,"*Vignette [8] Birth Spacing/ Family Planning :  FP Counselling*"),
    COUNTIFS('QA Log'!D:D,A291,'QA Log'!M:M,"Vignette",'QA Log'!Z:Z,"Approved",'QA Log'!L:L,"*Vignette [9] Birth Spacing: Change FP method to Injectable*"),
    COUNTIFS('QA Log'!D:D,A291,'QA Log'!M:M,"Vignette",'QA Log'!Z:Z,"Approved",'QA Log'!L:L,"*Vignette [10] Post Partum Haemorrhage - Atonic Uterus at Health Centre*")
  )
)</f>
        <v/>
      </c>
      <c r="BG291" s="105" t="str">
        <f>IF(A291&lt;&gt;"",COUNTIFS('QA Log'!D:D,A291,'QA Log'!M:M,"Vignette",'QA Log'!L:L,"Vignette [5] Labor",'QA Log'!Z:Z,"Approved"),"")</f>
        <v/>
      </c>
      <c r="BH291" s="105" t="str">
        <f>IF(A291&lt;&gt;"",COUNTIFS('QA Log'!D:D,A291,'QA Log'!M:M,"Vignette",'QA Log'!L:L,"Vignette [6] PNC pre Discharge",'QA Log'!Z:Z,"Approved"),"")</f>
        <v/>
      </c>
      <c r="BI291" s="105" t="str">
        <f>IF(A291&lt;&gt;"",COUNTIFS('QA Log'!D:D,A291,'QA Log'!M:M,"Vignette",'QA Log'!L:L,"Vignette [7] First ANC Visit",'QA Log'!Z:Z,"Approved"),"")</f>
        <v/>
      </c>
      <c r="BJ291" s="105" t="str">
        <f>IF(A291&lt;&gt;"",COUNTIFS('QA Log'!D:D,A291,'QA Log'!M:M,"Vignette",'QA Log'!L:L,"Vignette [8] Birth Spacing/ Family Planning :  FP Counselling",'QA Log'!Z:Z,"Approved"),"")</f>
        <v/>
      </c>
      <c r="BK291" s="105" t="str">
        <f>IF(A291&lt;&gt;"",COUNTIFS('QA Log'!D:D,A291,'QA Log'!M:M,"Vignette",'QA Log'!L:L,"Vignette [9] Birth Spacing: Change FP method to Injectable",'QA Log'!Z:Z,"Approved"),"")</f>
        <v/>
      </c>
      <c r="BL291" s="105" t="str">
        <f>IF(A291&lt;&gt;"",COUNTIFS('QA Log'!D:D,A291,'QA Log'!M:M,"Vignette",'QA Log'!L:L,"Vignette [10] Post Partum Haemorrhage - Atonic Uterus at Health Centre",'QA Log'!Z:Z,"Approved"),"")</f>
        <v/>
      </c>
      <c r="BM291" s="102" t="str">
        <f>IF(A291="","",SUM(
    COUNTIFS('QA Log'!D:D,A291,'QA Log'!M:M,"Vignette",'QA Log'!Z:Z,"Rejected",'QA Log'!L:L,"*Vignette [5] Labor*"),
    COUNTIFS('QA Log'!D:D,A291,'QA Log'!M:M,"Vignette",'QA Log'!Z:Z,"Rejected",'QA Log'!L:L,"*Vignette [6] PNC pre Discharge*"),
    COUNTIFS('QA Log'!D:D,A291,'QA Log'!M:M,"Vignette",'QA Log'!Z:Z,"Rejected",'QA Log'!L:L,"*Vignette [7] First ANC Visit*"),
    COUNTIFS('QA Log'!D:D,A291,'QA Log'!M:M,"Vignette",'QA Log'!Z:Z,"Rejected",'QA Log'!L:L,"*Vignette [8] Birth Spacing/ Family Planning :  FP Counselling*"),
    COUNTIFS('QA Log'!D:D,A291,'QA Log'!M:M,"Vignette",'QA Log'!Z:Z,"Rejected",'QA Log'!L:L,"*Vignette [9] Birth Spacing: Change FP method to Injectable*"),
    COUNTIFS('QA Log'!D:D,A291,'QA Log'!M:M,"Vignette",'QA Log'!Z:Z,"Rejected",'QA Log'!L:L,"*Vignette [10] Post Partum Haemorrhage - Atonic Uterus at Health Centre*")
  )
)</f>
        <v/>
      </c>
      <c r="BN291" s="107" t="str">
        <f t="shared" si="37"/>
        <v/>
      </c>
      <c r="BO291" s="103" t="str">
        <f t="shared" si="38"/>
        <v/>
      </c>
      <c r="BP291" s="102" t="str">
        <f>IF(A291="","",SUM(
COUNTIFS('QA Log'!D:D,A291,'QA Log'!M:M,"Vignette",'QA Log'!L:L,"*Exit Interview 1*"),
COUNTIFS('QA Log'!D:D,A291,'QA Log'!M:M,"Vignette",'QA Log'!L:L,"*Exit Interview 2*"),
)
)</f>
        <v/>
      </c>
      <c r="BQ291" s="102" t="str">
        <f>IF(
  A291="","",
  SUM(
    COUNTIFS('QA Log'!D:D,A291,'QA Log'!M:M,"Vignette",'QA Log'!Z:Z,"Approved",'QA Log'!L:L,"*Exit Interview 1*"),
    COUNTIFS('QA Log'!D:D,A291,'QA Log'!M:M,"Vignette",'QA Log'!Z:Z,"Approved",'QA Log'!L:L,"*Exit Interview 2*")
  )
)</f>
        <v/>
      </c>
      <c r="BR291" s="105" t="str">
        <f>IF(A291&lt;&gt;"",COUNTIFS('QA Log'!D:D,A291,'QA Log'!M:M,"Vignette",'QA Log'!L:L,"Exit Interview 1",'QA Log'!Z:Z,"Approved"),"")</f>
        <v/>
      </c>
      <c r="BS291" s="105" t="str">
        <f>IF(A291&lt;&gt;"",COUNTIFS('QA Log'!D:D,A291,'QA Log'!M:M,"Vignette",'QA Log'!L:L,"Exit Interview 2",'QA Log'!Z:Z,"Approved"),"")</f>
        <v/>
      </c>
      <c r="BT291" s="102" t="str">
        <f>IF(
  A291="","",
  SUM(
    COUNTIFS('QA Log'!D:D,A291,'QA Log'!M:M,"Vignette",'QA Log'!Z:Z,"Rejected",'QA Log'!L:L,"*Exit Interview 1*"),
    COUNTIFS('QA Log'!D:D,A291,'QA Log'!M:M,"Vignette",'QA Log'!Z:Z,"Rejected",'QA Log'!L:L,"*Exit Interview 2*")
  )
)</f>
        <v/>
      </c>
      <c r="BU291" s="107" t="str">
        <f t="shared" si="39"/>
        <v/>
      </c>
      <c r="BV291" s="102" t="str">
        <f t="shared" si="40"/>
        <v/>
      </c>
      <c r="BW291" s="102" t="str">
        <f t="shared" si="41"/>
        <v/>
      </c>
      <c r="BX291" s="102" t="str">
        <f t="shared" si="42"/>
        <v/>
      </c>
      <c r="BY291" s="102" t="str">
        <f t="shared" si="43"/>
        <v/>
      </c>
      <c r="BZ291" s="107" t="str">
        <f t="shared" si="44"/>
        <v/>
      </c>
      <c r="CA291" s="108" t="str">
        <f t="shared" si="45"/>
        <v/>
      </c>
      <c r="CB291" s="108" t="str">
        <f t="shared" si="46"/>
        <v/>
      </c>
      <c r="CC291" s="109" t="str">
        <f t="shared" si="47"/>
        <v/>
      </c>
      <c r="CD291" s="108" t="str">
        <f t="shared" si="48"/>
        <v/>
      </c>
      <c r="CE291" s="108" t="str">
        <f t="shared" si="49"/>
        <v/>
      </c>
      <c r="CF291" s="109" t="str">
        <f t="shared" si="50"/>
        <v/>
      </c>
      <c r="CG291" s="110" t="str">
        <f t="shared" si="51"/>
        <v/>
      </c>
      <c r="CH291" s="111"/>
    </row>
    <row r="292" spans="1:86" ht="12.75">
      <c r="A292" s="101"/>
      <c r="B292" s="102" t="e">
        <f t="array" aca="1" ref="B292" ca="1">_xludf.XLOOKUP(A292,'QA Log'!D:D,'QA Log'!E:E,"")</f>
        <v>#NAME?</v>
      </c>
      <c r="C292" s="102" t="e">
        <f t="array" aca="1" ref="C292" ca="1">_xludf.XLOOKUP(A292,'QA Log'!D:D,'QA Log'!F:F,"")</f>
        <v>#NAME?</v>
      </c>
      <c r="D292" s="102" t="e">
        <f t="array" aca="1" ref="D292" ca="1">_xludf.XLOOKUP(A292,'QA Log'!D:D,'QA Log'!H:H,"")</f>
        <v>#NAME?</v>
      </c>
      <c r="E292" s="102" t="e">
        <f t="array" aca="1" ref="E292" ca="1">_xludf.XLOOKUP(A292,'QA Log'!D:D,'QA Log'!G:G,"")</f>
        <v>#NAME?</v>
      </c>
      <c r="F292" s="103"/>
      <c r="G292" s="104"/>
      <c r="H292" s="104"/>
      <c r="I292" s="103" t="str">
        <f t="shared" si="26"/>
        <v/>
      </c>
      <c r="J292" s="102" t="str">
        <f>IF(A292="","",SUM(
COUNTIFS('QA Log'!D:D,A292,'QA Log'!M:M,"QQC",'QA Log'!L:L,"*1. General Management*"),
COUNTIFS('QA Log'!D:D,A292,'QA Log'!M:M,"QQC",'QA Log'!L:L,"*3. Curative Consultation (OPD)*"),
COUNTIFS('QA Log'!D:D,A292,'QA Log'!M:M,"QQC",'QA Log'!L:L,"*5. Laboratory*"),
COUNTIFS('QA Log'!D:D,A292,'QA Log'!M:M,"QQC",'QA Log'!L:L,"*6. Essential Medicine Management*"),
COUNTIFS('QA Log'!D:D,A292,'QA Log'!M:M,"QQC",'QA Log'!L:L,"*7. Tracer Medicine*"),
COUNTIFS('QA Log'!D:D,A292,'QA Log'!M:M,"QQC",'QA Log'!L:L,"*11. Additional Questions*")))</f>
        <v/>
      </c>
      <c r="K292" s="102" t="str">
        <f>IF(A292="","",SUM(
COUNTIFS('QA Log'!D:D,A292,'QA Log'!M:M,"QQC",'QA Log'!Z:Z,"Approved",'QA Log'!L:L,"*1. General Management*"),
COUNTIFS('QA Log'!D:D,A292,'QA Log'!M:M,"QQC",'QA Log'!Z:Z,"Approved",'QA Log'!L:L,"*3. Curative Consultation (OPD)*"),
COUNTIFS('QA Log'!D:D,A292,'QA Log'!M:M,"QQC",'QA Log'!Z:Z,"Approved",'QA Log'!L:L,"*5. Laboratory*"),
COUNTIFS('QA Log'!D:D,A292,'QA Log'!M:M,"QQC",'QA Log'!Z:Z,"Approved",'QA Log'!L:L,"*6. Essential Medicine Management*"),
COUNTIFS('QA Log'!D:D,A292,'QA Log'!M:M,"QQC",'QA Log'!Z:Z,"Approved",'QA Log'!L:L,"*7. Tracer Medicine*"),
COUNTIFS('QA Log'!D:D,A292,'QA Log'!M:M,"QQC",'QA Log'!Z:Z,"Approved",'QA Log'!L:L,"*11. Additional Questions*")))</f>
        <v/>
      </c>
      <c r="L292" s="105" t="str">
        <f>IF(A292&lt;&gt;"",COUNTIFS('QA Log'!D:D,A292,'QA Log'!M:M,"QQC",'QA Log'!L:L,"1. General Management",'QA Log'!Z:Z,"Approved"),"")</f>
        <v/>
      </c>
      <c r="M292" s="105" t="str">
        <f>IF(A292&lt;&gt;"",COUNTIFS('QA Log'!D:D,A292,'QA Log'!M:M,"QQC",'QA Log'!L:L,"3. Curative Consultation (OPD)",'QA Log'!Z:Z,"Approved"),"")</f>
        <v/>
      </c>
      <c r="N292" s="105" t="str">
        <f>IF(A292&lt;&gt;"",COUNTIFS('QA Log'!D:D,A292,'QA Log'!M:M,"QQC",'QA Log'!L:L,"5. Laboratory",'QA Log'!Z:Z,"Approved"),"")</f>
        <v/>
      </c>
      <c r="O292" s="105" t="str">
        <f>IF(A292&lt;&gt;"",COUNTIFS('QA Log'!D:D,A292,'QA Log'!M:M,"QQC",'QA Log'!L:L,"6. Essential Medicine Management",'QA Log'!Z:Z,"Approved"),"")</f>
        <v/>
      </c>
      <c r="P292" s="105" t="str">
        <f>IF(A292&lt;&gt;"",COUNTIFS('QA Log'!D:D,A292,'QA Log'!M:M,"QQC",'QA Log'!L:L,"7. Tracer Medicine",'QA Log'!Z:Z,"Approved"),"")</f>
        <v/>
      </c>
      <c r="Q292" s="105" t="str">
        <f>IF(A292&lt;&gt;"",COUNTIFS('QA Log'!D:D,A292,'QA Log'!M:M,"QQC",'QA Log'!L:L,"11. Additional Questions",'QA Log'!Z:Z,"Approved"),"")</f>
        <v/>
      </c>
      <c r="R292" s="102" t="str">
        <f>IF(A292="","",SUM(
COUNTIFS('QA Log'!D:D,A292,'QA Log'!M:M,"QQC",'QA Log'!Z:Z,"Rejected",'QA Log'!L:L,"*8. Maternity*"),
COUNTIFS('QA Log'!D:D,A292,'QA Log'!M:M,"QQC",'QA Log'!Z:Z,"Rejected",'QA Log'!L:L,"*EPI*"),
COUNTIFS('QA Log'!D:D,A292,'QA Log'!M:M,"QQC",'QA Log'!Z:Z,"Rejected",'QA Log'!L:L,"*10. Antenatal Care (ANC)*"),
COUNTIFS('QA Log'!D:D,A292,'QA Log'!M:M,"QQC",'QA Log'!Z:Z,"Rejected",'QA Log'!L:L,"*2. Hygiene and Sterilization*"),
COUNTIFS('QA Log'!D:D,A292,'QA Log'!M:M,"QQC",'QA Log'!Z:Z,"Rejected",'QA Log'!L:L,"*Family Planning*")))</f>
        <v/>
      </c>
      <c r="S292" s="106" t="str">
        <f t="shared" si="27"/>
        <v/>
      </c>
      <c r="T292" s="102" t="str">
        <f t="shared" si="28"/>
        <v/>
      </c>
      <c r="U292" s="102" t="str">
        <f>IF(A292="","",
SUM(
COUNTIFS('QA Log'!D:D,A292,'QA Log'!M:M,"QQC",'QA Log'!L:L,"*8. Maternity*"),
COUNTIFS('QA Log'!D:D,A292,'QA Log'!M:M,"QQC",'QA Log'!L:L,"*9. EPI and Pre-school Consultation*"),
COUNTIFS('QA Log'!D:D,A292,'QA Log'!M:M,"QQC",'QA Log'!L:L,"*10. Antenatal Care (ANC)*"),
COUNTIFS('QA Log'!D:D,A292,'QA Log'!M:M,"QQC",'QA Log'!L:L,"*2. Hygiene and Sterilization*"),
COUNTIFS('QA Log'!D:D,A292,'QA Log'!M:M,"QQC",'QA Log'!L:L,"*4. Family Planning*")
))</f>
        <v/>
      </c>
      <c r="V292" s="102" t="str">
        <f>IF(A292="","",
SUM(
COUNTIFS('QA Log'!D:D,A292,'QA Log'!M:M,"QQC",'QA Log'!Z:Z,"Approved",'QA Log'!L:L,"*8. Maternity*"),
COUNTIFS('QA Log'!D:D,A292,'QA Log'!M:M,"QQC",'QA Log'!Z:Z,"Approved",'QA Log'!L:L,"*9. EPI and Pre-school Consultation*"),
COUNTIFS('QA Log'!D:D,A292,'QA Log'!M:M,"QQC",'QA Log'!Z:Z,"Approved",'QA Log'!L:L,"*10. Antenatal Care (ANC)*"),
COUNTIFS('QA Log'!D:D,A292,'QA Log'!M:M,"QQC",'QA Log'!Z:Z,"Approved",'QA Log'!L:L,"*2. Hygiene and Sterilization*"),
COUNTIFS('QA Log'!D:D,A292,'QA Log'!M:M,"QQC",'QA Log'!Z:Z,"Approved",'QA Log'!L:L,"*4. Family Planning*")
))</f>
        <v/>
      </c>
      <c r="W292" s="105" t="str">
        <f>IF(A292&lt;&gt;"",COUNTIFS('QA Log'!D:D,A292,'QA Log'!M:M,"QQC",'QA Log'!L:L,"8. Maternity",'QA Log'!Z:Z,"Approved"),"")</f>
        <v/>
      </c>
      <c r="X292" s="105" t="str">
        <f>IF(A292&lt;&gt;"",COUNTIFS('QA Log'!D:D,A292,'QA Log'!M:M,"QQC",'QA Log'!L:L,"9. EPI and Pre-school Consultation",'QA Log'!Z:Z,"Approved"),"")</f>
        <v/>
      </c>
      <c r="Y292" s="105" t="str">
        <f>IF(A292&lt;&gt;"",COUNTIFS('QA Log'!D:D,A292,'QA Log'!M:M,"QQC",'QA Log'!L:L,"10. Antenatal Care (ANC)",'QA Log'!Z:Z,"Approved"),"")</f>
        <v/>
      </c>
      <c r="Z292" s="105" t="str">
        <f>IF(A292&lt;&gt;"",COUNTIFS('QA Log'!D:D,A292,'QA Log'!M:M,"QQC",'QA Log'!L:L,"2. Hygiene and Sterilization",'QA Log'!Z:Z,"Approved"),"")</f>
        <v/>
      </c>
      <c r="AA292" s="105" t="str">
        <f>IF(A292&lt;&gt;"",COUNTIFS('QA Log'!D:D,A292,'QA Log'!M:M,"QQC",'QA Log'!L:L,"4. Family Planning",'QA Log'!Z:Z,"Approved"),"")</f>
        <v/>
      </c>
      <c r="AB292" s="102" t="str">
        <f>IF(A292="","",
SUM(
COUNTIFS('QA Log'!D:D,A292,'QA Log'!M:M,"QQC",'QA Log'!Z:Z,"Rejected",'QA Log'!L:L,"*8. Maternity*"),
COUNTIFS('QA Log'!D:D,A292,'QA Log'!M:M,"QQC",'QA Log'!Z:Z,"Rejected",'QA Log'!L:L,"*9. EPI and Pre-school Consultation*"),
COUNTIFS('QA Log'!D:D,A292,'QA Log'!M:M,"QQC",'QA Log'!Z:Z,"Rejected",'QA Log'!L:L,"*10. Antenatal Care (ANC)*"),
COUNTIFS('QA Log'!D:D,A292,'QA Log'!M:M,"QQC",'QA Log'!Z:Z,"Rejected",'QA Log'!L:L,"*2. Hygiene and Sterilization*"),
COUNTIFS('QA Log'!D:D,A292,'QA Log'!M:M,"QQC",'QA Log'!Z:Z,"Rejected",'QA Log'!L:L,"*4. Family Planning*")
))</f>
        <v/>
      </c>
      <c r="AC292" s="102" t="str">
        <f t="shared" si="29"/>
        <v/>
      </c>
      <c r="AD292" s="103" t="str">
        <f t="shared" si="30"/>
        <v/>
      </c>
      <c r="AE292" s="102" t="str">
        <f>IF(A292="","",
SUM(
COUNTIFS('QA Log'!D:D,A292,'QA Log'!M:M,"Data Verification",'QA Log'!L:L,"*Medicine (section 2)*"),
COUNTIFS('QA Log'!D:D,A292,'QA Log'!M:M,"Data Verification",'QA Log'!L:L,"*Lab Testing Availability*"),
COUNTIFS('QA Log'!D:D,A292,'QA Log'!M:M,"Data Verification",'QA Log'!L:L,"*Other than P4P (section 6)*"),
COUNTIFS('QA Log'!D:D,A292,'QA Log'!M:M,"Data Verification",'QA Log'!L:L,"*Hospital Governance*")
))</f>
        <v/>
      </c>
      <c r="AF292" s="102" t="str">
        <f>IF(A292="","",
SUM(
COUNTIFS('QA Log'!D:D,A292,'QA Log'!M:M,"Data Verification",'QA Log'!Z:Z,"Approved",'QA Log'!L:L,"*Medicine (section 2)*"),
COUNTIFS('QA Log'!D:D,A292,'QA Log'!M:M,"Data Verification",'QA Log'!Z:Z,"Approved",'QA Log'!L:L,"*Lab Testing Availability*"),
COUNTIFS('QA Log'!D:D,A292,'QA Log'!M:M,"Data Verification",'QA Log'!Z:Z,"Approved",'QA Log'!L:L,"*Other than P4P (section 6)*"),
COUNTIFS('QA Log'!D:D,A292,'QA Log'!M:M,"Data Verification",'QA Log'!Z:Z,"Approved",'QA Log'!L:L,"*Hospital Governance*")
))</f>
        <v/>
      </c>
      <c r="AG292" s="105" t="str">
        <f>IF(A292&lt;&gt;"",COUNTIFS('QA Log'!D:D,A292,'QA Log'!M:M,"Data Verification",'QA Log'!L:L,"Medicine (section 2)",'QA Log'!Z:Z,"Approved"),"")</f>
        <v/>
      </c>
      <c r="AH292" s="105" t="str">
        <f>IF(A292&lt;&gt;"",COUNTIFS('QA Log'!D:D,A292,'QA Log'!M:M,"Data Verification",'QA Log'!L:L,"Lab Testing Availability",'QA Log'!Z:Z,"Approved"),"")</f>
        <v/>
      </c>
      <c r="AI292" s="105" t="str">
        <f>IF(A292&lt;&gt;"",COUNTIFS('QA Log'!D:D,A292,'QA Log'!M:M,"Data Verification",'QA Log'!L:L,"Other than P4P (section 6)",'QA Log'!Z:Z,"Approved"),"")</f>
        <v/>
      </c>
      <c r="AJ292" s="105" t="str">
        <f>IF(A292&lt;&gt;"",COUNTIFS('QA Log'!D:D,A292,'QA Log'!M:M,"Data Verification",'QA Log'!L:L,"Hospital Governance",'QA Log'!Z:Z,"Approved"),"")</f>
        <v/>
      </c>
      <c r="AK292" s="102" t="str">
        <f>IF(A292="","",
SUM(
COUNTIFS('QA Log'!D:D,A292,'QA Log'!M:M,"Data Verification",'QA Log'!Z:Z,"Rejected",'QA Log'!L:L,"*Medicine (section 2)*"),
COUNTIFS('QA Log'!D:D,A292,'QA Log'!M:M,"Data Verification",'QA Log'!Z:Z,"Rejected",'QA Log'!L:L,"*Lab Testing Availability*"),
COUNTIFS('QA Log'!D:D,A292,'QA Log'!M:M,"Data Verification",'QA Log'!Z:Z,"Rejected",'QA Log'!L:L,"*Other than P4P (section 6)*"),
COUNTIFS('QA Log'!D:D,A292,'QA Log'!M:M,"Data Verification",'QA Log'!Z:Z,"Rejected",'QA Log'!L:L,"*Hospital Governance*")
))</f>
        <v/>
      </c>
      <c r="AL292" s="106" t="str">
        <f t="shared" si="31"/>
        <v/>
      </c>
      <c r="AM292" s="102" t="str">
        <f t="shared" si="32"/>
        <v/>
      </c>
      <c r="AN292" s="102" t="str">
        <f>IF(A292="","",
SUM(
COUNTIFS('QA Log'!D:D,A292,'QA Log'!M:M,"Data Verification",'QA Log'!L:L,"*Personnel (section 1)*"),
COUNTIFS('QA Log'!D:D,A292,'QA Log'!M:M,"Data Verification",'QA Log'!L:L,"*Consumable (section 3)*"),
COUNTIFS('QA Log'!D:D,A292,'QA Log'!M:M,"Data Verification",'QA Log'!L:L,"*Equipments (section 4)*")
))</f>
        <v/>
      </c>
      <c r="AO292" s="102" t="str">
        <f>IF(A292="","",
SUM(
COUNTIFS('QA Log'!D:D,A292,'QA Log'!M:M,"Data Verification",'QA Log'!Z:Z,"Approved",'QA Log'!L:L,"*Personnel (section 1)*"),
COUNTIFS('QA Log'!D:D,A292,'QA Log'!M:M,"Data Verification",'QA Log'!Z:Z,"Approved",'QA Log'!L:L,"*Consumable (section 3)*"),
COUNTIFS('QA Log'!D:D,A292,'QA Log'!M:M,"Data Verification",'QA Log'!Z:Z,"Approved",'QA Log'!L:L,"*Equipments (section 4)*")
))</f>
        <v/>
      </c>
      <c r="AP292" s="105" t="str">
        <f>IF(A292&lt;&gt;"",COUNTIFS('QA Log'!D:D,A292,'QA Log'!M:M,"Data Verification",'QA Log'!L:L,"Personnel (section 1)",'QA Log'!Z:Z,"Approved"),"")</f>
        <v/>
      </c>
      <c r="AQ292" s="105" t="str">
        <f>IF(A292&lt;&gt;"",COUNTIFS('QA Log'!D:D,A292,'QA Log'!M:M,"Data Verification",'QA Log'!L:L,"Consumable (section 3)",'QA Log'!Z:Z,"Approved"),"")</f>
        <v/>
      </c>
      <c r="AR292" s="105" t="str">
        <f>IF(A292&lt;&gt;"",COUNTIFS('QA Log'!D:D,A292,'QA Log'!M:M,"Data Verification",'QA Log'!L:L,"Equipments (section 4)",'QA Log'!Z:Z,"Approved"),"")</f>
        <v/>
      </c>
      <c r="AS292" s="102" t="str">
        <f>IF(A292="","",
SUM(
COUNTIFS('QA Log'!D:D,A292,'QA Log'!M:M,"Data Verification",'QA Log'!Z:Z,"Rejected",'QA Log'!L:L,"*Personnel (section 1)*"),
COUNTIFS('QA Log'!D:D,A292,'QA Log'!M:M,"Data Verification",'QA Log'!Z:Z,"Rejected",'QA Log'!L:L,"*Consumable (section 3)*"),
COUNTIFS('QA Log'!D:D,A292,'QA Log'!M:M,"Data Verification",'QA Log'!Z:Z,"Rejected",'QA Log'!L:L,"*Equipments (section 4)*")
))</f>
        <v/>
      </c>
      <c r="AT292" s="102" t="str">
        <f t="shared" si="33"/>
        <v/>
      </c>
      <c r="AU292" s="103" t="str">
        <f t="shared" si="34"/>
        <v/>
      </c>
      <c r="AV292" s="102" t="str">
        <f>IF(A292="","",SUM(
COUNTIFS('QA Log'!D:D,A292,'QA Log'!M:M,"Vignette",'QA Log'!L:L,"*Vignette [1] Respiratory Infection: Pneumonia*"),
COUNTIFS('QA Log'!D:D,A292,'QA Log'!M:M,"Vignette",'QA Log'!L:L,"*Vignette [2]: Diarrhea with Cat B dehydration*"),
COUNTIFS('QA Log'!D:D,A292,'QA Log'!M:M,"Vignette",'QA Log'!L:L,"*Vignette [3] Growth Monitoring and Promotion*"),
COUNTIFS('QA Log'!D:D,A292,'QA Log'!M:M,"Vignette",'QA Log'!L:L,"*Vignette [4]: The management of presumptive TB patient*")
)
)</f>
        <v/>
      </c>
      <c r="AW292" s="102" t="str">
        <f>IF(
  A292="","",
  SUM(
    COUNTIFS('QA Log'!D:D,A292,'QA Log'!M:M,"Vignette",'QA Log'!Z:Z,"Approved",'QA Log'!L:L,"*Vignette [1] Respiratory Infection: Pneumonia*"),
    COUNTIFS('QA Log'!D:D,A292,'QA Log'!M:M,"Vignette",'QA Log'!Z:Z,"Approved",'QA Log'!L:L,"*Vignette [2]: Diarrhea with Cat B dehydration*"),
    COUNTIFS('QA Log'!D:D,A292,'QA Log'!M:M,"Vignette",'QA Log'!Z:Z,"Approved",'QA Log'!L:L,"*Vignette [3] Growth Monitoring and Promotion*"),
    COUNTIFS('QA Log'!D:D,A292,'QA Log'!M:M,"Vignette",'QA Log'!Z:Z,"Approved",'QA Log'!L:L,"*Vignette [4]: The management of presumptive TB patient*")
  )
)</f>
        <v/>
      </c>
      <c r="AX292" s="105" t="str">
        <f>IF(A292&lt;&gt;"",COUNTIFS('QA Log'!D:D,A292,'QA Log'!M:M,"Vignette",'QA Log'!L:L,"Vignette [1] Respiratory Infection: Pneumonia",'QA Log'!Z:Z,"Approved"),"")</f>
        <v/>
      </c>
      <c r="AY292" s="105" t="str">
        <f>IF(A292&lt;&gt;"",COUNTIFS('QA Log'!D:D,A292,'QA Log'!M:M,"Vignette",'QA Log'!L:L,"Vignette [2]: Diarrhea with Cat B dehydration",'QA Log'!Z:Z,"Approved"),"")</f>
        <v/>
      </c>
      <c r="AZ292" s="105" t="str">
        <f>IF(A292&lt;&gt;"",COUNTIFS('QA Log'!D:D,A292,'QA Log'!M:M,"Vignette",'QA Log'!L:L,"Vignette [3] Growth Monitoring and Promotion",'QA Log'!Z:Z,"Approved"),"")</f>
        <v/>
      </c>
      <c r="BA292" s="105" t="str">
        <f>IF(A292&lt;&gt;"",COUNTIFS('QA Log'!D:D,A292,'QA Log'!M:M,"Vignette",'QA Log'!L:L,"Vignette [4]: The management of presumptive TB patient",'QA Log'!Z:Z,"Approved"),"")</f>
        <v/>
      </c>
      <c r="BB292" s="102" t="str">
        <f>IF(A292="","",
  SUM(
    COUNTIFS('QA Log'!D:D,A292,'QA Log'!M:M,"Vignette",'QA Log'!Z:Z,"Rejected",'QA Log'!L:L,"*Vignette [1] Respiratory Infection: Pneumonia*"),
    COUNTIFS('QA Log'!D:D,A292,'QA Log'!M:M,"Vignette",'QA Log'!Z:Z,"Rejected",'QA Log'!L:L,"*Vignette [2]: Diarrhea with Cat B dehydration*"),
    COUNTIFS('QA Log'!D:D,A292,'QA Log'!M:M,"Vignette",'QA Log'!Z:Z,"Rejected",'QA Log'!L:L,"*Vignette [3] Growth Monitoring and Promotion*"),
    COUNTIFS('QA Log'!D:D,A292,'QA Log'!M:M,"Vignette",'QA Log'!Z:Z,"Rejected",'QA Log'!L:L,"*Vignette [4]: The management of presumptive TB patient*")
  )
)</f>
        <v/>
      </c>
      <c r="BC292" s="107" t="str">
        <f t="shared" si="35"/>
        <v/>
      </c>
      <c r="BD292" s="103" t="str">
        <f t="shared" si="36"/>
        <v/>
      </c>
      <c r="BE292" s="102" t="str">
        <f>IF(A292="","",SUM(
COUNTIFS('QA Log'!D:D,A292,'QA Log'!M:M,"Vignette",'QA Log'!L:L,"*Vignette [5] Labor*"),
COUNTIFS('QA Log'!D:D,A292,'QA Log'!M:M,"Vignette",'QA Log'!L:L,"*Vignette [6] PNC pre Discharge*"),
COUNTIFS('QA Log'!D:D,A292,'QA Log'!M:M,"Vignette",'QA Log'!L:L,"*Vignette [7] First ANC Visit*"),
COUNTIFS('QA Log'!D:D,A292,'QA Log'!M:M,"Vignette",'QA Log'!L:L,"*Vignette [8] Birth Spacing/ Family Planning :  FP Counselling*"),
COUNTIFS('QA Log'!D:D,A292,'QA Log'!M:M,"Vignette",'QA Log'!L:L,"*Vignette [9] Birth Spacing: Change FP method to Injectable*"),
COUNTIFS('QA Log'!D:D,A292,'QA Log'!M:M,"Vignette",'QA Log'!L:L,"*Vignette [10] Post Partum Haemorrhage - Atonic Uterus at Health Centre*"),
)
)</f>
        <v/>
      </c>
      <c r="BF292" s="102" t="str">
        <f>IF(A292="","",
  SUM(
    COUNTIFS('QA Log'!D:D,A292,'QA Log'!M:M,"Vignette",'QA Log'!Z:Z,"Approved",'QA Log'!L:L,"*Vignette [5] Labor*"),
    COUNTIFS('QA Log'!D:D,A292,'QA Log'!M:M,"Vignette",'QA Log'!Z:Z,"Approved",'QA Log'!L:L,"*Vignette [6] PNC pre Discharge*"),
    COUNTIFS('QA Log'!D:D,A292,'QA Log'!M:M,"Vignette",'QA Log'!Z:Z,"Approved",'QA Log'!L:L,"*Vignette [7] First ANC Visit*"),
    COUNTIFS('QA Log'!D:D,A292,'QA Log'!M:M,"Vignette",'QA Log'!Z:Z,"Approved",'QA Log'!L:L,"*Vignette [8] Birth Spacing/ Family Planning :  FP Counselling*"),
    COUNTIFS('QA Log'!D:D,A292,'QA Log'!M:M,"Vignette",'QA Log'!Z:Z,"Approved",'QA Log'!L:L,"*Vignette [9] Birth Spacing: Change FP method to Injectable*"),
    COUNTIFS('QA Log'!D:D,A292,'QA Log'!M:M,"Vignette",'QA Log'!Z:Z,"Approved",'QA Log'!L:L,"*Vignette [10] Post Partum Haemorrhage - Atonic Uterus at Health Centre*")
  )
)</f>
        <v/>
      </c>
      <c r="BG292" s="105" t="str">
        <f>IF(A292&lt;&gt;"",COUNTIFS('QA Log'!D:D,A292,'QA Log'!M:M,"Vignette",'QA Log'!L:L,"Vignette [5] Labor",'QA Log'!Z:Z,"Approved"),"")</f>
        <v/>
      </c>
      <c r="BH292" s="105" t="str">
        <f>IF(A292&lt;&gt;"",COUNTIFS('QA Log'!D:D,A292,'QA Log'!M:M,"Vignette",'QA Log'!L:L,"Vignette [6] PNC pre Discharge",'QA Log'!Z:Z,"Approved"),"")</f>
        <v/>
      </c>
      <c r="BI292" s="105" t="str">
        <f>IF(A292&lt;&gt;"",COUNTIFS('QA Log'!D:D,A292,'QA Log'!M:M,"Vignette",'QA Log'!L:L,"Vignette [7] First ANC Visit",'QA Log'!Z:Z,"Approved"),"")</f>
        <v/>
      </c>
      <c r="BJ292" s="105" t="str">
        <f>IF(A292&lt;&gt;"",COUNTIFS('QA Log'!D:D,A292,'QA Log'!M:M,"Vignette",'QA Log'!L:L,"Vignette [8] Birth Spacing/ Family Planning :  FP Counselling",'QA Log'!Z:Z,"Approved"),"")</f>
        <v/>
      </c>
      <c r="BK292" s="105" t="str">
        <f>IF(A292&lt;&gt;"",COUNTIFS('QA Log'!D:D,A292,'QA Log'!M:M,"Vignette",'QA Log'!L:L,"Vignette [9] Birth Spacing: Change FP method to Injectable",'QA Log'!Z:Z,"Approved"),"")</f>
        <v/>
      </c>
      <c r="BL292" s="105" t="str">
        <f>IF(A292&lt;&gt;"",COUNTIFS('QA Log'!D:D,A292,'QA Log'!M:M,"Vignette",'QA Log'!L:L,"Vignette [10] Post Partum Haemorrhage - Atonic Uterus at Health Centre",'QA Log'!Z:Z,"Approved"),"")</f>
        <v/>
      </c>
      <c r="BM292" s="102" t="str">
        <f>IF(A292="","",SUM(
    COUNTIFS('QA Log'!D:D,A292,'QA Log'!M:M,"Vignette",'QA Log'!Z:Z,"Rejected",'QA Log'!L:L,"*Vignette [5] Labor*"),
    COUNTIFS('QA Log'!D:D,A292,'QA Log'!M:M,"Vignette",'QA Log'!Z:Z,"Rejected",'QA Log'!L:L,"*Vignette [6] PNC pre Discharge*"),
    COUNTIFS('QA Log'!D:D,A292,'QA Log'!M:M,"Vignette",'QA Log'!Z:Z,"Rejected",'QA Log'!L:L,"*Vignette [7] First ANC Visit*"),
    COUNTIFS('QA Log'!D:D,A292,'QA Log'!M:M,"Vignette",'QA Log'!Z:Z,"Rejected",'QA Log'!L:L,"*Vignette [8] Birth Spacing/ Family Planning :  FP Counselling*"),
    COUNTIFS('QA Log'!D:D,A292,'QA Log'!M:M,"Vignette",'QA Log'!Z:Z,"Rejected",'QA Log'!L:L,"*Vignette [9] Birth Spacing: Change FP method to Injectable*"),
    COUNTIFS('QA Log'!D:D,A292,'QA Log'!M:M,"Vignette",'QA Log'!Z:Z,"Rejected",'QA Log'!L:L,"*Vignette [10] Post Partum Haemorrhage - Atonic Uterus at Health Centre*")
  )
)</f>
        <v/>
      </c>
      <c r="BN292" s="107" t="str">
        <f t="shared" si="37"/>
        <v/>
      </c>
      <c r="BO292" s="103" t="str">
        <f t="shared" si="38"/>
        <v/>
      </c>
      <c r="BP292" s="102" t="str">
        <f>IF(A292="","",SUM(
COUNTIFS('QA Log'!D:D,A292,'QA Log'!M:M,"Vignette",'QA Log'!L:L,"*Exit Interview 1*"),
COUNTIFS('QA Log'!D:D,A292,'QA Log'!M:M,"Vignette",'QA Log'!L:L,"*Exit Interview 2*"),
)
)</f>
        <v/>
      </c>
      <c r="BQ292" s="102" t="str">
        <f>IF(
  A292="","",
  SUM(
    COUNTIFS('QA Log'!D:D,A292,'QA Log'!M:M,"Vignette",'QA Log'!Z:Z,"Approved",'QA Log'!L:L,"*Exit Interview 1*"),
    COUNTIFS('QA Log'!D:D,A292,'QA Log'!M:M,"Vignette",'QA Log'!Z:Z,"Approved",'QA Log'!L:L,"*Exit Interview 2*")
  )
)</f>
        <v/>
      </c>
      <c r="BR292" s="105" t="str">
        <f>IF(A292&lt;&gt;"",COUNTIFS('QA Log'!D:D,A292,'QA Log'!M:M,"Vignette",'QA Log'!L:L,"Exit Interview 1",'QA Log'!Z:Z,"Approved"),"")</f>
        <v/>
      </c>
      <c r="BS292" s="105" t="str">
        <f>IF(A292&lt;&gt;"",COUNTIFS('QA Log'!D:D,A292,'QA Log'!M:M,"Vignette",'QA Log'!L:L,"Exit Interview 2",'QA Log'!Z:Z,"Approved"),"")</f>
        <v/>
      </c>
      <c r="BT292" s="102" t="str">
        <f>IF(
  A292="","",
  SUM(
    COUNTIFS('QA Log'!D:D,A292,'QA Log'!M:M,"Vignette",'QA Log'!Z:Z,"Rejected",'QA Log'!L:L,"*Exit Interview 1*"),
    COUNTIFS('QA Log'!D:D,A292,'QA Log'!M:M,"Vignette",'QA Log'!Z:Z,"Rejected",'QA Log'!L:L,"*Exit Interview 2*")
  )
)</f>
        <v/>
      </c>
      <c r="BU292" s="107" t="str">
        <f t="shared" si="39"/>
        <v/>
      </c>
      <c r="BV292" s="102" t="str">
        <f t="shared" si="40"/>
        <v/>
      </c>
      <c r="BW292" s="102" t="str">
        <f t="shared" si="41"/>
        <v/>
      </c>
      <c r="BX292" s="102" t="str">
        <f t="shared" si="42"/>
        <v/>
      </c>
      <c r="BY292" s="102" t="str">
        <f t="shared" si="43"/>
        <v/>
      </c>
      <c r="BZ292" s="107" t="str">
        <f t="shared" si="44"/>
        <v/>
      </c>
      <c r="CA292" s="108" t="str">
        <f t="shared" si="45"/>
        <v/>
      </c>
      <c r="CB292" s="108" t="str">
        <f t="shared" si="46"/>
        <v/>
      </c>
      <c r="CC292" s="109" t="str">
        <f t="shared" si="47"/>
        <v/>
      </c>
      <c r="CD292" s="108" t="str">
        <f t="shared" si="48"/>
        <v/>
      </c>
      <c r="CE292" s="108" t="str">
        <f t="shared" si="49"/>
        <v/>
      </c>
      <c r="CF292" s="109" t="str">
        <f t="shared" si="50"/>
        <v/>
      </c>
      <c r="CG292" s="110" t="str">
        <f t="shared" si="51"/>
        <v/>
      </c>
      <c r="CH292" s="111"/>
    </row>
    <row r="293" spans="1:86" ht="12.75">
      <c r="A293" s="101"/>
      <c r="B293" s="102" t="e">
        <f t="array" aca="1" ref="B293" ca="1">_xludf.XLOOKUP(A293,'QA Log'!D:D,'QA Log'!E:E,"")</f>
        <v>#NAME?</v>
      </c>
      <c r="C293" s="102" t="e">
        <f t="array" aca="1" ref="C293" ca="1">_xludf.XLOOKUP(A293,'QA Log'!D:D,'QA Log'!F:F,"")</f>
        <v>#NAME?</v>
      </c>
      <c r="D293" s="102" t="e">
        <f t="array" aca="1" ref="D293" ca="1">_xludf.XLOOKUP(A293,'QA Log'!D:D,'QA Log'!H:H,"")</f>
        <v>#NAME?</v>
      </c>
      <c r="E293" s="102" t="e">
        <f t="array" aca="1" ref="E293" ca="1">_xludf.XLOOKUP(A293,'QA Log'!D:D,'QA Log'!G:G,"")</f>
        <v>#NAME?</v>
      </c>
      <c r="F293" s="103"/>
      <c r="G293" s="104"/>
      <c r="H293" s="104"/>
      <c r="I293" s="103" t="str">
        <f t="shared" si="26"/>
        <v/>
      </c>
      <c r="J293" s="102" t="str">
        <f>IF(A293="","",SUM(
COUNTIFS('QA Log'!D:D,A293,'QA Log'!M:M,"QQC",'QA Log'!L:L,"*1. General Management*"),
COUNTIFS('QA Log'!D:D,A293,'QA Log'!M:M,"QQC",'QA Log'!L:L,"*3. Curative Consultation (OPD)*"),
COUNTIFS('QA Log'!D:D,A293,'QA Log'!M:M,"QQC",'QA Log'!L:L,"*5. Laboratory*"),
COUNTIFS('QA Log'!D:D,A293,'QA Log'!M:M,"QQC",'QA Log'!L:L,"*6. Essential Medicine Management*"),
COUNTIFS('QA Log'!D:D,A293,'QA Log'!M:M,"QQC",'QA Log'!L:L,"*7. Tracer Medicine*"),
COUNTIFS('QA Log'!D:D,A293,'QA Log'!M:M,"QQC",'QA Log'!L:L,"*11. Additional Questions*")))</f>
        <v/>
      </c>
      <c r="K293" s="102" t="str">
        <f>IF(A293="","",SUM(
COUNTIFS('QA Log'!D:D,A293,'QA Log'!M:M,"QQC",'QA Log'!Z:Z,"Approved",'QA Log'!L:L,"*1. General Management*"),
COUNTIFS('QA Log'!D:D,A293,'QA Log'!M:M,"QQC",'QA Log'!Z:Z,"Approved",'QA Log'!L:L,"*3. Curative Consultation (OPD)*"),
COUNTIFS('QA Log'!D:D,A293,'QA Log'!M:M,"QQC",'QA Log'!Z:Z,"Approved",'QA Log'!L:L,"*5. Laboratory*"),
COUNTIFS('QA Log'!D:D,A293,'QA Log'!M:M,"QQC",'QA Log'!Z:Z,"Approved",'QA Log'!L:L,"*6. Essential Medicine Management*"),
COUNTIFS('QA Log'!D:D,A293,'QA Log'!M:M,"QQC",'QA Log'!Z:Z,"Approved",'QA Log'!L:L,"*7. Tracer Medicine*"),
COUNTIFS('QA Log'!D:D,A293,'QA Log'!M:M,"QQC",'QA Log'!Z:Z,"Approved",'QA Log'!L:L,"*11. Additional Questions*")))</f>
        <v/>
      </c>
      <c r="L293" s="105" t="str">
        <f>IF(A293&lt;&gt;"",COUNTIFS('QA Log'!D:D,A293,'QA Log'!M:M,"QQC",'QA Log'!L:L,"1. General Management",'QA Log'!Z:Z,"Approved"),"")</f>
        <v/>
      </c>
      <c r="M293" s="105" t="str">
        <f>IF(A293&lt;&gt;"",COUNTIFS('QA Log'!D:D,A293,'QA Log'!M:M,"QQC",'QA Log'!L:L,"3. Curative Consultation (OPD)",'QA Log'!Z:Z,"Approved"),"")</f>
        <v/>
      </c>
      <c r="N293" s="105" t="str">
        <f>IF(A293&lt;&gt;"",COUNTIFS('QA Log'!D:D,A293,'QA Log'!M:M,"QQC",'QA Log'!L:L,"5. Laboratory",'QA Log'!Z:Z,"Approved"),"")</f>
        <v/>
      </c>
      <c r="O293" s="105" t="str">
        <f>IF(A293&lt;&gt;"",COUNTIFS('QA Log'!D:D,A293,'QA Log'!M:M,"QQC",'QA Log'!L:L,"6. Essential Medicine Management",'QA Log'!Z:Z,"Approved"),"")</f>
        <v/>
      </c>
      <c r="P293" s="105" t="str">
        <f>IF(A293&lt;&gt;"",COUNTIFS('QA Log'!D:D,A293,'QA Log'!M:M,"QQC",'QA Log'!L:L,"7. Tracer Medicine",'QA Log'!Z:Z,"Approved"),"")</f>
        <v/>
      </c>
      <c r="Q293" s="105" t="str">
        <f>IF(A293&lt;&gt;"",COUNTIFS('QA Log'!D:D,A293,'QA Log'!M:M,"QQC",'QA Log'!L:L,"11. Additional Questions",'QA Log'!Z:Z,"Approved"),"")</f>
        <v/>
      </c>
      <c r="R293" s="102" t="str">
        <f>IF(A293="","",SUM(
COUNTIFS('QA Log'!D:D,A293,'QA Log'!M:M,"QQC",'QA Log'!Z:Z,"Rejected",'QA Log'!L:L,"*8. Maternity*"),
COUNTIFS('QA Log'!D:D,A293,'QA Log'!M:M,"QQC",'QA Log'!Z:Z,"Rejected",'QA Log'!L:L,"*EPI*"),
COUNTIFS('QA Log'!D:D,A293,'QA Log'!M:M,"QQC",'QA Log'!Z:Z,"Rejected",'QA Log'!L:L,"*10. Antenatal Care (ANC)*"),
COUNTIFS('QA Log'!D:D,A293,'QA Log'!M:M,"QQC",'QA Log'!Z:Z,"Rejected",'QA Log'!L:L,"*2. Hygiene and Sterilization*"),
COUNTIFS('QA Log'!D:D,A293,'QA Log'!M:M,"QQC",'QA Log'!Z:Z,"Rejected",'QA Log'!L:L,"*Family Planning*")))</f>
        <v/>
      </c>
      <c r="S293" s="106" t="str">
        <f t="shared" si="27"/>
        <v/>
      </c>
      <c r="T293" s="102" t="str">
        <f t="shared" si="28"/>
        <v/>
      </c>
      <c r="U293" s="102" t="str">
        <f>IF(A293="","",
SUM(
COUNTIFS('QA Log'!D:D,A293,'QA Log'!M:M,"QQC",'QA Log'!L:L,"*8. Maternity*"),
COUNTIFS('QA Log'!D:D,A293,'QA Log'!M:M,"QQC",'QA Log'!L:L,"*9. EPI and Pre-school Consultation*"),
COUNTIFS('QA Log'!D:D,A293,'QA Log'!M:M,"QQC",'QA Log'!L:L,"*10. Antenatal Care (ANC)*"),
COUNTIFS('QA Log'!D:D,A293,'QA Log'!M:M,"QQC",'QA Log'!L:L,"*2. Hygiene and Sterilization*"),
COUNTIFS('QA Log'!D:D,A293,'QA Log'!M:M,"QQC",'QA Log'!L:L,"*4. Family Planning*")
))</f>
        <v/>
      </c>
      <c r="V293" s="102" t="str">
        <f>IF(A293="","",
SUM(
COUNTIFS('QA Log'!D:D,A293,'QA Log'!M:M,"QQC",'QA Log'!Z:Z,"Approved",'QA Log'!L:L,"*8. Maternity*"),
COUNTIFS('QA Log'!D:D,A293,'QA Log'!M:M,"QQC",'QA Log'!Z:Z,"Approved",'QA Log'!L:L,"*9. EPI and Pre-school Consultation*"),
COUNTIFS('QA Log'!D:D,A293,'QA Log'!M:M,"QQC",'QA Log'!Z:Z,"Approved",'QA Log'!L:L,"*10. Antenatal Care (ANC)*"),
COUNTIFS('QA Log'!D:D,A293,'QA Log'!M:M,"QQC",'QA Log'!Z:Z,"Approved",'QA Log'!L:L,"*2. Hygiene and Sterilization*"),
COUNTIFS('QA Log'!D:D,A293,'QA Log'!M:M,"QQC",'QA Log'!Z:Z,"Approved",'QA Log'!L:L,"*4. Family Planning*")
))</f>
        <v/>
      </c>
      <c r="W293" s="105" t="str">
        <f>IF(A293&lt;&gt;"",COUNTIFS('QA Log'!D:D,A293,'QA Log'!M:M,"QQC",'QA Log'!L:L,"8. Maternity",'QA Log'!Z:Z,"Approved"),"")</f>
        <v/>
      </c>
      <c r="X293" s="105" t="str">
        <f>IF(A293&lt;&gt;"",COUNTIFS('QA Log'!D:D,A293,'QA Log'!M:M,"QQC",'QA Log'!L:L,"9. EPI and Pre-school Consultation",'QA Log'!Z:Z,"Approved"),"")</f>
        <v/>
      </c>
      <c r="Y293" s="105" t="str">
        <f>IF(A293&lt;&gt;"",COUNTIFS('QA Log'!D:D,A293,'QA Log'!M:M,"QQC",'QA Log'!L:L,"10. Antenatal Care (ANC)",'QA Log'!Z:Z,"Approved"),"")</f>
        <v/>
      </c>
      <c r="Z293" s="105" t="str">
        <f>IF(A293&lt;&gt;"",COUNTIFS('QA Log'!D:D,A293,'QA Log'!M:M,"QQC",'QA Log'!L:L,"2. Hygiene and Sterilization",'QA Log'!Z:Z,"Approved"),"")</f>
        <v/>
      </c>
      <c r="AA293" s="105" t="str">
        <f>IF(A293&lt;&gt;"",COUNTIFS('QA Log'!D:D,A293,'QA Log'!M:M,"QQC",'QA Log'!L:L,"4. Family Planning",'QA Log'!Z:Z,"Approved"),"")</f>
        <v/>
      </c>
      <c r="AB293" s="102" t="str">
        <f>IF(A293="","",
SUM(
COUNTIFS('QA Log'!D:D,A293,'QA Log'!M:M,"QQC",'QA Log'!Z:Z,"Rejected",'QA Log'!L:L,"*8. Maternity*"),
COUNTIFS('QA Log'!D:D,A293,'QA Log'!M:M,"QQC",'QA Log'!Z:Z,"Rejected",'QA Log'!L:L,"*9. EPI and Pre-school Consultation*"),
COUNTIFS('QA Log'!D:D,A293,'QA Log'!M:M,"QQC",'QA Log'!Z:Z,"Rejected",'QA Log'!L:L,"*10. Antenatal Care (ANC)*"),
COUNTIFS('QA Log'!D:D,A293,'QA Log'!M:M,"QQC",'QA Log'!Z:Z,"Rejected",'QA Log'!L:L,"*2. Hygiene and Sterilization*"),
COUNTIFS('QA Log'!D:D,A293,'QA Log'!M:M,"QQC",'QA Log'!Z:Z,"Rejected",'QA Log'!L:L,"*4. Family Planning*")
))</f>
        <v/>
      </c>
      <c r="AC293" s="102" t="str">
        <f t="shared" si="29"/>
        <v/>
      </c>
      <c r="AD293" s="103" t="str">
        <f t="shared" si="30"/>
        <v/>
      </c>
      <c r="AE293" s="102" t="str">
        <f>IF(A293="","",
SUM(
COUNTIFS('QA Log'!D:D,A293,'QA Log'!M:M,"Data Verification",'QA Log'!L:L,"*Medicine (section 2)*"),
COUNTIFS('QA Log'!D:D,A293,'QA Log'!M:M,"Data Verification",'QA Log'!L:L,"*Lab Testing Availability*"),
COUNTIFS('QA Log'!D:D,A293,'QA Log'!M:M,"Data Verification",'QA Log'!L:L,"*Other than P4P (section 6)*"),
COUNTIFS('QA Log'!D:D,A293,'QA Log'!M:M,"Data Verification",'QA Log'!L:L,"*Hospital Governance*")
))</f>
        <v/>
      </c>
      <c r="AF293" s="102" t="str">
        <f>IF(A293="","",
SUM(
COUNTIFS('QA Log'!D:D,A293,'QA Log'!M:M,"Data Verification",'QA Log'!Z:Z,"Approved",'QA Log'!L:L,"*Medicine (section 2)*"),
COUNTIFS('QA Log'!D:D,A293,'QA Log'!M:M,"Data Verification",'QA Log'!Z:Z,"Approved",'QA Log'!L:L,"*Lab Testing Availability*"),
COUNTIFS('QA Log'!D:D,A293,'QA Log'!M:M,"Data Verification",'QA Log'!Z:Z,"Approved",'QA Log'!L:L,"*Other than P4P (section 6)*"),
COUNTIFS('QA Log'!D:D,A293,'QA Log'!M:M,"Data Verification",'QA Log'!Z:Z,"Approved",'QA Log'!L:L,"*Hospital Governance*")
))</f>
        <v/>
      </c>
      <c r="AG293" s="105" t="str">
        <f>IF(A293&lt;&gt;"",COUNTIFS('QA Log'!D:D,A293,'QA Log'!M:M,"Data Verification",'QA Log'!L:L,"Medicine (section 2)",'QA Log'!Z:Z,"Approved"),"")</f>
        <v/>
      </c>
      <c r="AH293" s="105" t="str">
        <f>IF(A293&lt;&gt;"",COUNTIFS('QA Log'!D:D,A293,'QA Log'!M:M,"Data Verification",'QA Log'!L:L,"Lab Testing Availability",'QA Log'!Z:Z,"Approved"),"")</f>
        <v/>
      </c>
      <c r="AI293" s="105" t="str">
        <f>IF(A293&lt;&gt;"",COUNTIFS('QA Log'!D:D,A293,'QA Log'!M:M,"Data Verification",'QA Log'!L:L,"Other than P4P (section 6)",'QA Log'!Z:Z,"Approved"),"")</f>
        <v/>
      </c>
      <c r="AJ293" s="105" t="str">
        <f>IF(A293&lt;&gt;"",COUNTIFS('QA Log'!D:D,A293,'QA Log'!M:M,"Data Verification",'QA Log'!L:L,"Hospital Governance",'QA Log'!Z:Z,"Approved"),"")</f>
        <v/>
      </c>
      <c r="AK293" s="102" t="str">
        <f>IF(A293="","",
SUM(
COUNTIFS('QA Log'!D:D,A293,'QA Log'!M:M,"Data Verification",'QA Log'!Z:Z,"Rejected",'QA Log'!L:L,"*Medicine (section 2)*"),
COUNTIFS('QA Log'!D:D,A293,'QA Log'!M:M,"Data Verification",'QA Log'!Z:Z,"Rejected",'QA Log'!L:L,"*Lab Testing Availability*"),
COUNTIFS('QA Log'!D:D,A293,'QA Log'!M:M,"Data Verification",'QA Log'!Z:Z,"Rejected",'QA Log'!L:L,"*Other than P4P (section 6)*"),
COUNTIFS('QA Log'!D:D,A293,'QA Log'!M:M,"Data Verification",'QA Log'!Z:Z,"Rejected",'QA Log'!L:L,"*Hospital Governance*")
))</f>
        <v/>
      </c>
      <c r="AL293" s="106" t="str">
        <f t="shared" si="31"/>
        <v/>
      </c>
      <c r="AM293" s="102" t="str">
        <f t="shared" si="32"/>
        <v/>
      </c>
      <c r="AN293" s="102" t="str">
        <f>IF(A293="","",
SUM(
COUNTIFS('QA Log'!D:D,A293,'QA Log'!M:M,"Data Verification",'QA Log'!L:L,"*Personnel (section 1)*"),
COUNTIFS('QA Log'!D:D,A293,'QA Log'!M:M,"Data Verification",'QA Log'!L:L,"*Consumable (section 3)*"),
COUNTIFS('QA Log'!D:D,A293,'QA Log'!M:M,"Data Verification",'QA Log'!L:L,"*Equipments (section 4)*")
))</f>
        <v/>
      </c>
      <c r="AO293" s="102" t="str">
        <f>IF(A293="","",
SUM(
COUNTIFS('QA Log'!D:D,A293,'QA Log'!M:M,"Data Verification",'QA Log'!Z:Z,"Approved",'QA Log'!L:L,"*Personnel (section 1)*"),
COUNTIFS('QA Log'!D:D,A293,'QA Log'!M:M,"Data Verification",'QA Log'!Z:Z,"Approved",'QA Log'!L:L,"*Consumable (section 3)*"),
COUNTIFS('QA Log'!D:D,A293,'QA Log'!M:M,"Data Verification",'QA Log'!Z:Z,"Approved",'QA Log'!L:L,"*Equipments (section 4)*")
))</f>
        <v/>
      </c>
      <c r="AP293" s="105" t="str">
        <f>IF(A293&lt;&gt;"",COUNTIFS('QA Log'!D:D,A293,'QA Log'!M:M,"Data Verification",'QA Log'!L:L,"Personnel (section 1)",'QA Log'!Z:Z,"Approved"),"")</f>
        <v/>
      </c>
      <c r="AQ293" s="105" t="str">
        <f>IF(A293&lt;&gt;"",COUNTIFS('QA Log'!D:D,A293,'QA Log'!M:M,"Data Verification",'QA Log'!L:L,"Consumable (section 3)",'QA Log'!Z:Z,"Approved"),"")</f>
        <v/>
      </c>
      <c r="AR293" s="105" t="str">
        <f>IF(A293&lt;&gt;"",COUNTIFS('QA Log'!D:D,A293,'QA Log'!M:M,"Data Verification",'QA Log'!L:L,"Equipments (section 4)",'QA Log'!Z:Z,"Approved"),"")</f>
        <v/>
      </c>
      <c r="AS293" s="102" t="str">
        <f>IF(A293="","",
SUM(
COUNTIFS('QA Log'!D:D,A293,'QA Log'!M:M,"Data Verification",'QA Log'!Z:Z,"Rejected",'QA Log'!L:L,"*Personnel (section 1)*"),
COUNTIFS('QA Log'!D:D,A293,'QA Log'!M:M,"Data Verification",'QA Log'!Z:Z,"Rejected",'QA Log'!L:L,"*Consumable (section 3)*"),
COUNTIFS('QA Log'!D:D,A293,'QA Log'!M:M,"Data Verification",'QA Log'!Z:Z,"Rejected",'QA Log'!L:L,"*Equipments (section 4)*")
))</f>
        <v/>
      </c>
      <c r="AT293" s="102" t="str">
        <f t="shared" si="33"/>
        <v/>
      </c>
      <c r="AU293" s="103" t="str">
        <f t="shared" si="34"/>
        <v/>
      </c>
      <c r="AV293" s="102" t="str">
        <f>IF(A293="","",SUM(
COUNTIFS('QA Log'!D:D,A293,'QA Log'!M:M,"Vignette",'QA Log'!L:L,"*Vignette [1] Respiratory Infection: Pneumonia*"),
COUNTIFS('QA Log'!D:D,A293,'QA Log'!M:M,"Vignette",'QA Log'!L:L,"*Vignette [2]: Diarrhea with Cat B dehydration*"),
COUNTIFS('QA Log'!D:D,A293,'QA Log'!M:M,"Vignette",'QA Log'!L:L,"*Vignette [3] Growth Monitoring and Promotion*"),
COUNTIFS('QA Log'!D:D,A293,'QA Log'!M:M,"Vignette",'QA Log'!L:L,"*Vignette [4]: The management of presumptive TB patient*")
)
)</f>
        <v/>
      </c>
      <c r="AW293" s="102" t="str">
        <f>IF(
  A293="","",
  SUM(
    COUNTIFS('QA Log'!D:D,A293,'QA Log'!M:M,"Vignette",'QA Log'!Z:Z,"Approved",'QA Log'!L:L,"*Vignette [1] Respiratory Infection: Pneumonia*"),
    COUNTIFS('QA Log'!D:D,A293,'QA Log'!M:M,"Vignette",'QA Log'!Z:Z,"Approved",'QA Log'!L:L,"*Vignette [2]: Diarrhea with Cat B dehydration*"),
    COUNTIFS('QA Log'!D:D,A293,'QA Log'!M:M,"Vignette",'QA Log'!Z:Z,"Approved",'QA Log'!L:L,"*Vignette [3] Growth Monitoring and Promotion*"),
    COUNTIFS('QA Log'!D:D,A293,'QA Log'!M:M,"Vignette",'QA Log'!Z:Z,"Approved",'QA Log'!L:L,"*Vignette [4]: The management of presumptive TB patient*")
  )
)</f>
        <v/>
      </c>
      <c r="AX293" s="105" t="str">
        <f>IF(A293&lt;&gt;"",COUNTIFS('QA Log'!D:D,A293,'QA Log'!M:M,"Vignette",'QA Log'!L:L,"Vignette [1] Respiratory Infection: Pneumonia",'QA Log'!Z:Z,"Approved"),"")</f>
        <v/>
      </c>
      <c r="AY293" s="105" t="str">
        <f>IF(A293&lt;&gt;"",COUNTIFS('QA Log'!D:D,A293,'QA Log'!M:M,"Vignette",'QA Log'!L:L,"Vignette [2]: Diarrhea with Cat B dehydration",'QA Log'!Z:Z,"Approved"),"")</f>
        <v/>
      </c>
      <c r="AZ293" s="105" t="str">
        <f>IF(A293&lt;&gt;"",COUNTIFS('QA Log'!D:D,A293,'QA Log'!M:M,"Vignette",'QA Log'!L:L,"Vignette [3] Growth Monitoring and Promotion",'QA Log'!Z:Z,"Approved"),"")</f>
        <v/>
      </c>
      <c r="BA293" s="105" t="str">
        <f>IF(A293&lt;&gt;"",COUNTIFS('QA Log'!D:D,A293,'QA Log'!M:M,"Vignette",'QA Log'!L:L,"Vignette [4]: The management of presumptive TB patient",'QA Log'!Z:Z,"Approved"),"")</f>
        <v/>
      </c>
      <c r="BB293" s="102" t="str">
        <f>IF(A293="","",
  SUM(
    COUNTIFS('QA Log'!D:D,A293,'QA Log'!M:M,"Vignette",'QA Log'!Z:Z,"Rejected",'QA Log'!L:L,"*Vignette [1] Respiratory Infection: Pneumonia*"),
    COUNTIFS('QA Log'!D:D,A293,'QA Log'!M:M,"Vignette",'QA Log'!Z:Z,"Rejected",'QA Log'!L:L,"*Vignette [2]: Diarrhea with Cat B dehydration*"),
    COUNTIFS('QA Log'!D:D,A293,'QA Log'!M:M,"Vignette",'QA Log'!Z:Z,"Rejected",'QA Log'!L:L,"*Vignette [3] Growth Monitoring and Promotion*"),
    COUNTIFS('QA Log'!D:D,A293,'QA Log'!M:M,"Vignette",'QA Log'!Z:Z,"Rejected",'QA Log'!L:L,"*Vignette [4]: The management of presumptive TB patient*")
  )
)</f>
        <v/>
      </c>
      <c r="BC293" s="107" t="str">
        <f t="shared" si="35"/>
        <v/>
      </c>
      <c r="BD293" s="103" t="str">
        <f t="shared" si="36"/>
        <v/>
      </c>
      <c r="BE293" s="102" t="str">
        <f>IF(A293="","",SUM(
COUNTIFS('QA Log'!D:D,A293,'QA Log'!M:M,"Vignette",'QA Log'!L:L,"*Vignette [5] Labor*"),
COUNTIFS('QA Log'!D:D,A293,'QA Log'!M:M,"Vignette",'QA Log'!L:L,"*Vignette [6] PNC pre Discharge*"),
COUNTIFS('QA Log'!D:D,A293,'QA Log'!M:M,"Vignette",'QA Log'!L:L,"*Vignette [7] First ANC Visit*"),
COUNTIFS('QA Log'!D:D,A293,'QA Log'!M:M,"Vignette",'QA Log'!L:L,"*Vignette [8] Birth Spacing/ Family Planning :  FP Counselling*"),
COUNTIFS('QA Log'!D:D,A293,'QA Log'!M:M,"Vignette",'QA Log'!L:L,"*Vignette [9] Birth Spacing: Change FP method to Injectable*"),
COUNTIFS('QA Log'!D:D,A293,'QA Log'!M:M,"Vignette",'QA Log'!L:L,"*Vignette [10] Post Partum Haemorrhage - Atonic Uterus at Health Centre*"),
)
)</f>
        <v/>
      </c>
      <c r="BF293" s="102" t="str">
        <f>IF(A293="","",
  SUM(
    COUNTIFS('QA Log'!D:D,A293,'QA Log'!M:M,"Vignette",'QA Log'!Z:Z,"Approved",'QA Log'!L:L,"*Vignette [5] Labor*"),
    COUNTIFS('QA Log'!D:D,A293,'QA Log'!M:M,"Vignette",'QA Log'!Z:Z,"Approved",'QA Log'!L:L,"*Vignette [6] PNC pre Discharge*"),
    COUNTIFS('QA Log'!D:D,A293,'QA Log'!M:M,"Vignette",'QA Log'!Z:Z,"Approved",'QA Log'!L:L,"*Vignette [7] First ANC Visit*"),
    COUNTIFS('QA Log'!D:D,A293,'QA Log'!M:M,"Vignette",'QA Log'!Z:Z,"Approved",'QA Log'!L:L,"*Vignette [8] Birth Spacing/ Family Planning :  FP Counselling*"),
    COUNTIFS('QA Log'!D:D,A293,'QA Log'!M:M,"Vignette",'QA Log'!Z:Z,"Approved",'QA Log'!L:L,"*Vignette [9] Birth Spacing: Change FP method to Injectable*"),
    COUNTIFS('QA Log'!D:D,A293,'QA Log'!M:M,"Vignette",'QA Log'!Z:Z,"Approved",'QA Log'!L:L,"*Vignette [10] Post Partum Haemorrhage - Atonic Uterus at Health Centre*")
  )
)</f>
        <v/>
      </c>
      <c r="BG293" s="105" t="str">
        <f>IF(A293&lt;&gt;"",COUNTIFS('QA Log'!D:D,A293,'QA Log'!M:M,"Vignette",'QA Log'!L:L,"Vignette [5] Labor",'QA Log'!Z:Z,"Approved"),"")</f>
        <v/>
      </c>
      <c r="BH293" s="105" t="str">
        <f>IF(A293&lt;&gt;"",COUNTIFS('QA Log'!D:D,A293,'QA Log'!M:M,"Vignette",'QA Log'!L:L,"Vignette [6] PNC pre Discharge",'QA Log'!Z:Z,"Approved"),"")</f>
        <v/>
      </c>
      <c r="BI293" s="105" t="str">
        <f>IF(A293&lt;&gt;"",COUNTIFS('QA Log'!D:D,A293,'QA Log'!M:M,"Vignette",'QA Log'!L:L,"Vignette [7] First ANC Visit",'QA Log'!Z:Z,"Approved"),"")</f>
        <v/>
      </c>
      <c r="BJ293" s="105" t="str">
        <f>IF(A293&lt;&gt;"",COUNTIFS('QA Log'!D:D,A293,'QA Log'!M:M,"Vignette",'QA Log'!L:L,"Vignette [8] Birth Spacing/ Family Planning :  FP Counselling",'QA Log'!Z:Z,"Approved"),"")</f>
        <v/>
      </c>
      <c r="BK293" s="105" t="str">
        <f>IF(A293&lt;&gt;"",COUNTIFS('QA Log'!D:D,A293,'QA Log'!M:M,"Vignette",'QA Log'!L:L,"Vignette [9] Birth Spacing: Change FP method to Injectable",'QA Log'!Z:Z,"Approved"),"")</f>
        <v/>
      </c>
      <c r="BL293" s="105" t="str">
        <f>IF(A293&lt;&gt;"",COUNTIFS('QA Log'!D:D,A293,'QA Log'!M:M,"Vignette",'QA Log'!L:L,"Vignette [10] Post Partum Haemorrhage - Atonic Uterus at Health Centre",'QA Log'!Z:Z,"Approved"),"")</f>
        <v/>
      </c>
      <c r="BM293" s="102" t="str">
        <f>IF(A293="","",SUM(
    COUNTIFS('QA Log'!D:D,A293,'QA Log'!M:M,"Vignette",'QA Log'!Z:Z,"Rejected",'QA Log'!L:L,"*Vignette [5] Labor*"),
    COUNTIFS('QA Log'!D:D,A293,'QA Log'!M:M,"Vignette",'QA Log'!Z:Z,"Rejected",'QA Log'!L:L,"*Vignette [6] PNC pre Discharge*"),
    COUNTIFS('QA Log'!D:D,A293,'QA Log'!M:M,"Vignette",'QA Log'!Z:Z,"Rejected",'QA Log'!L:L,"*Vignette [7] First ANC Visit*"),
    COUNTIFS('QA Log'!D:D,A293,'QA Log'!M:M,"Vignette",'QA Log'!Z:Z,"Rejected",'QA Log'!L:L,"*Vignette [8] Birth Spacing/ Family Planning :  FP Counselling*"),
    COUNTIFS('QA Log'!D:D,A293,'QA Log'!M:M,"Vignette",'QA Log'!Z:Z,"Rejected",'QA Log'!L:L,"*Vignette [9] Birth Spacing: Change FP method to Injectable*"),
    COUNTIFS('QA Log'!D:D,A293,'QA Log'!M:M,"Vignette",'QA Log'!Z:Z,"Rejected",'QA Log'!L:L,"*Vignette [10] Post Partum Haemorrhage - Atonic Uterus at Health Centre*")
  )
)</f>
        <v/>
      </c>
      <c r="BN293" s="107" t="str">
        <f t="shared" si="37"/>
        <v/>
      </c>
      <c r="BO293" s="103" t="str">
        <f t="shared" si="38"/>
        <v/>
      </c>
      <c r="BP293" s="102" t="str">
        <f>IF(A293="","",SUM(
COUNTIFS('QA Log'!D:D,A293,'QA Log'!M:M,"Vignette",'QA Log'!L:L,"*Exit Interview 1*"),
COUNTIFS('QA Log'!D:D,A293,'QA Log'!M:M,"Vignette",'QA Log'!L:L,"*Exit Interview 2*"),
)
)</f>
        <v/>
      </c>
      <c r="BQ293" s="102" t="str">
        <f>IF(
  A293="","",
  SUM(
    COUNTIFS('QA Log'!D:D,A293,'QA Log'!M:M,"Vignette",'QA Log'!Z:Z,"Approved",'QA Log'!L:L,"*Exit Interview 1*"),
    COUNTIFS('QA Log'!D:D,A293,'QA Log'!M:M,"Vignette",'QA Log'!Z:Z,"Approved",'QA Log'!L:L,"*Exit Interview 2*")
  )
)</f>
        <v/>
      </c>
      <c r="BR293" s="105" t="str">
        <f>IF(A293&lt;&gt;"",COUNTIFS('QA Log'!D:D,A293,'QA Log'!M:M,"Vignette",'QA Log'!L:L,"Exit Interview 1",'QA Log'!Z:Z,"Approved"),"")</f>
        <v/>
      </c>
      <c r="BS293" s="105" t="str">
        <f>IF(A293&lt;&gt;"",COUNTIFS('QA Log'!D:D,A293,'QA Log'!M:M,"Vignette",'QA Log'!L:L,"Exit Interview 2",'QA Log'!Z:Z,"Approved"),"")</f>
        <v/>
      </c>
      <c r="BT293" s="102" t="str">
        <f>IF(
  A293="","",
  SUM(
    COUNTIFS('QA Log'!D:D,A293,'QA Log'!M:M,"Vignette",'QA Log'!Z:Z,"Rejected",'QA Log'!L:L,"*Exit Interview 1*"),
    COUNTIFS('QA Log'!D:D,A293,'QA Log'!M:M,"Vignette",'QA Log'!Z:Z,"Rejected",'QA Log'!L:L,"*Exit Interview 2*")
  )
)</f>
        <v/>
      </c>
      <c r="BU293" s="107" t="str">
        <f t="shared" si="39"/>
        <v/>
      </c>
      <c r="BV293" s="102" t="str">
        <f t="shared" si="40"/>
        <v/>
      </c>
      <c r="BW293" s="102" t="str">
        <f t="shared" si="41"/>
        <v/>
      </c>
      <c r="BX293" s="102" t="str">
        <f t="shared" si="42"/>
        <v/>
      </c>
      <c r="BY293" s="102" t="str">
        <f t="shared" si="43"/>
        <v/>
      </c>
      <c r="BZ293" s="107" t="str">
        <f t="shared" si="44"/>
        <v/>
      </c>
      <c r="CA293" s="108" t="str">
        <f t="shared" si="45"/>
        <v/>
      </c>
      <c r="CB293" s="108" t="str">
        <f t="shared" si="46"/>
        <v/>
      </c>
      <c r="CC293" s="109" t="str">
        <f t="shared" si="47"/>
        <v/>
      </c>
      <c r="CD293" s="108" t="str">
        <f t="shared" si="48"/>
        <v/>
      </c>
      <c r="CE293" s="108" t="str">
        <f t="shared" si="49"/>
        <v/>
      </c>
      <c r="CF293" s="109" t="str">
        <f t="shared" si="50"/>
        <v/>
      </c>
      <c r="CG293" s="110" t="str">
        <f t="shared" si="51"/>
        <v/>
      </c>
      <c r="CH293" s="111"/>
    </row>
    <row r="294" spans="1:86" ht="12.75">
      <c r="A294" s="101"/>
      <c r="B294" s="102" t="e">
        <f t="array" aca="1" ref="B294" ca="1">_xludf.XLOOKUP(A294,'QA Log'!D:D,'QA Log'!E:E,"")</f>
        <v>#NAME?</v>
      </c>
      <c r="C294" s="102" t="e">
        <f t="array" aca="1" ref="C294" ca="1">_xludf.XLOOKUP(A294,'QA Log'!D:D,'QA Log'!F:F,"")</f>
        <v>#NAME?</v>
      </c>
      <c r="D294" s="102" t="e">
        <f t="array" aca="1" ref="D294" ca="1">_xludf.XLOOKUP(A294,'QA Log'!D:D,'QA Log'!H:H,"")</f>
        <v>#NAME?</v>
      </c>
      <c r="E294" s="102" t="e">
        <f t="array" aca="1" ref="E294" ca="1">_xludf.XLOOKUP(A294,'QA Log'!D:D,'QA Log'!G:G,"")</f>
        <v>#NAME?</v>
      </c>
      <c r="F294" s="103"/>
      <c r="G294" s="104"/>
      <c r="H294" s="104"/>
      <c r="I294" s="103" t="str">
        <f t="shared" si="26"/>
        <v/>
      </c>
      <c r="J294" s="102" t="str">
        <f>IF(A294="","",SUM(
COUNTIFS('QA Log'!D:D,A294,'QA Log'!M:M,"QQC",'QA Log'!L:L,"*1. General Management*"),
COUNTIFS('QA Log'!D:D,A294,'QA Log'!M:M,"QQC",'QA Log'!L:L,"*3. Curative Consultation (OPD)*"),
COUNTIFS('QA Log'!D:D,A294,'QA Log'!M:M,"QQC",'QA Log'!L:L,"*5. Laboratory*"),
COUNTIFS('QA Log'!D:D,A294,'QA Log'!M:M,"QQC",'QA Log'!L:L,"*6. Essential Medicine Management*"),
COUNTIFS('QA Log'!D:D,A294,'QA Log'!M:M,"QQC",'QA Log'!L:L,"*7. Tracer Medicine*"),
COUNTIFS('QA Log'!D:D,A294,'QA Log'!M:M,"QQC",'QA Log'!L:L,"*11. Additional Questions*")))</f>
        <v/>
      </c>
      <c r="K294" s="102" t="str">
        <f>IF(A294="","",SUM(
COUNTIFS('QA Log'!D:D,A294,'QA Log'!M:M,"QQC",'QA Log'!Z:Z,"Approved",'QA Log'!L:L,"*1. General Management*"),
COUNTIFS('QA Log'!D:D,A294,'QA Log'!M:M,"QQC",'QA Log'!Z:Z,"Approved",'QA Log'!L:L,"*3. Curative Consultation (OPD)*"),
COUNTIFS('QA Log'!D:D,A294,'QA Log'!M:M,"QQC",'QA Log'!Z:Z,"Approved",'QA Log'!L:L,"*5. Laboratory*"),
COUNTIFS('QA Log'!D:D,A294,'QA Log'!M:M,"QQC",'QA Log'!Z:Z,"Approved",'QA Log'!L:L,"*6. Essential Medicine Management*"),
COUNTIFS('QA Log'!D:D,A294,'QA Log'!M:M,"QQC",'QA Log'!Z:Z,"Approved",'QA Log'!L:L,"*7. Tracer Medicine*"),
COUNTIFS('QA Log'!D:D,A294,'QA Log'!M:M,"QQC",'QA Log'!Z:Z,"Approved",'QA Log'!L:L,"*11. Additional Questions*")))</f>
        <v/>
      </c>
      <c r="L294" s="105" t="str">
        <f>IF(A294&lt;&gt;"",COUNTIFS('QA Log'!D:D,A294,'QA Log'!M:M,"QQC",'QA Log'!L:L,"1. General Management",'QA Log'!Z:Z,"Approved"),"")</f>
        <v/>
      </c>
      <c r="M294" s="105" t="str">
        <f>IF(A294&lt;&gt;"",COUNTIFS('QA Log'!D:D,A294,'QA Log'!M:M,"QQC",'QA Log'!L:L,"3. Curative Consultation (OPD)",'QA Log'!Z:Z,"Approved"),"")</f>
        <v/>
      </c>
      <c r="N294" s="105" t="str">
        <f>IF(A294&lt;&gt;"",COUNTIFS('QA Log'!D:D,A294,'QA Log'!M:M,"QQC",'QA Log'!L:L,"5. Laboratory",'QA Log'!Z:Z,"Approved"),"")</f>
        <v/>
      </c>
      <c r="O294" s="105" t="str">
        <f>IF(A294&lt;&gt;"",COUNTIFS('QA Log'!D:D,A294,'QA Log'!M:M,"QQC",'QA Log'!L:L,"6. Essential Medicine Management",'QA Log'!Z:Z,"Approved"),"")</f>
        <v/>
      </c>
      <c r="P294" s="105" t="str">
        <f>IF(A294&lt;&gt;"",COUNTIFS('QA Log'!D:D,A294,'QA Log'!M:M,"QQC",'QA Log'!L:L,"7. Tracer Medicine",'QA Log'!Z:Z,"Approved"),"")</f>
        <v/>
      </c>
      <c r="Q294" s="105" t="str">
        <f>IF(A294&lt;&gt;"",COUNTIFS('QA Log'!D:D,A294,'QA Log'!M:M,"QQC",'QA Log'!L:L,"11. Additional Questions",'QA Log'!Z:Z,"Approved"),"")</f>
        <v/>
      </c>
      <c r="R294" s="102" t="str">
        <f>IF(A294="","",SUM(
COUNTIFS('QA Log'!D:D,A294,'QA Log'!M:M,"QQC",'QA Log'!Z:Z,"Rejected",'QA Log'!L:L,"*8. Maternity*"),
COUNTIFS('QA Log'!D:D,A294,'QA Log'!M:M,"QQC",'QA Log'!Z:Z,"Rejected",'QA Log'!L:L,"*EPI*"),
COUNTIFS('QA Log'!D:D,A294,'QA Log'!M:M,"QQC",'QA Log'!Z:Z,"Rejected",'QA Log'!L:L,"*10. Antenatal Care (ANC)*"),
COUNTIFS('QA Log'!D:D,A294,'QA Log'!M:M,"QQC",'QA Log'!Z:Z,"Rejected",'QA Log'!L:L,"*2. Hygiene and Sterilization*"),
COUNTIFS('QA Log'!D:D,A294,'QA Log'!M:M,"QQC",'QA Log'!Z:Z,"Rejected",'QA Log'!L:L,"*Family Planning*")))</f>
        <v/>
      </c>
      <c r="S294" s="106" t="str">
        <f t="shared" si="27"/>
        <v/>
      </c>
      <c r="T294" s="102" t="str">
        <f t="shared" si="28"/>
        <v/>
      </c>
      <c r="U294" s="102" t="str">
        <f>IF(A294="","",
SUM(
COUNTIFS('QA Log'!D:D,A294,'QA Log'!M:M,"QQC",'QA Log'!L:L,"*8. Maternity*"),
COUNTIFS('QA Log'!D:D,A294,'QA Log'!M:M,"QQC",'QA Log'!L:L,"*9. EPI and Pre-school Consultation*"),
COUNTIFS('QA Log'!D:D,A294,'QA Log'!M:M,"QQC",'QA Log'!L:L,"*10. Antenatal Care (ANC)*"),
COUNTIFS('QA Log'!D:D,A294,'QA Log'!M:M,"QQC",'QA Log'!L:L,"*2. Hygiene and Sterilization*"),
COUNTIFS('QA Log'!D:D,A294,'QA Log'!M:M,"QQC",'QA Log'!L:L,"*4. Family Planning*")
))</f>
        <v/>
      </c>
      <c r="V294" s="102" t="str">
        <f>IF(A294="","",
SUM(
COUNTIFS('QA Log'!D:D,A294,'QA Log'!M:M,"QQC",'QA Log'!Z:Z,"Approved",'QA Log'!L:L,"*8. Maternity*"),
COUNTIFS('QA Log'!D:D,A294,'QA Log'!M:M,"QQC",'QA Log'!Z:Z,"Approved",'QA Log'!L:L,"*9. EPI and Pre-school Consultation*"),
COUNTIFS('QA Log'!D:D,A294,'QA Log'!M:M,"QQC",'QA Log'!Z:Z,"Approved",'QA Log'!L:L,"*10. Antenatal Care (ANC)*"),
COUNTIFS('QA Log'!D:D,A294,'QA Log'!M:M,"QQC",'QA Log'!Z:Z,"Approved",'QA Log'!L:L,"*2. Hygiene and Sterilization*"),
COUNTIFS('QA Log'!D:D,A294,'QA Log'!M:M,"QQC",'QA Log'!Z:Z,"Approved",'QA Log'!L:L,"*4. Family Planning*")
))</f>
        <v/>
      </c>
      <c r="W294" s="105" t="str">
        <f>IF(A294&lt;&gt;"",COUNTIFS('QA Log'!D:D,A294,'QA Log'!M:M,"QQC",'QA Log'!L:L,"8. Maternity",'QA Log'!Z:Z,"Approved"),"")</f>
        <v/>
      </c>
      <c r="X294" s="105" t="str">
        <f>IF(A294&lt;&gt;"",COUNTIFS('QA Log'!D:D,A294,'QA Log'!M:M,"QQC",'QA Log'!L:L,"9. EPI and Pre-school Consultation",'QA Log'!Z:Z,"Approved"),"")</f>
        <v/>
      </c>
      <c r="Y294" s="105" t="str">
        <f>IF(A294&lt;&gt;"",COUNTIFS('QA Log'!D:D,A294,'QA Log'!M:M,"QQC",'QA Log'!L:L,"10. Antenatal Care (ANC)",'QA Log'!Z:Z,"Approved"),"")</f>
        <v/>
      </c>
      <c r="Z294" s="105" t="str">
        <f>IF(A294&lt;&gt;"",COUNTIFS('QA Log'!D:D,A294,'QA Log'!M:M,"QQC",'QA Log'!L:L,"2. Hygiene and Sterilization",'QA Log'!Z:Z,"Approved"),"")</f>
        <v/>
      </c>
      <c r="AA294" s="105" t="str">
        <f>IF(A294&lt;&gt;"",COUNTIFS('QA Log'!D:D,A294,'QA Log'!M:M,"QQC",'QA Log'!L:L,"4. Family Planning",'QA Log'!Z:Z,"Approved"),"")</f>
        <v/>
      </c>
      <c r="AB294" s="102" t="str">
        <f>IF(A294="","",
SUM(
COUNTIFS('QA Log'!D:D,A294,'QA Log'!M:M,"QQC",'QA Log'!Z:Z,"Rejected",'QA Log'!L:L,"*8. Maternity*"),
COUNTIFS('QA Log'!D:D,A294,'QA Log'!M:M,"QQC",'QA Log'!Z:Z,"Rejected",'QA Log'!L:L,"*9. EPI and Pre-school Consultation*"),
COUNTIFS('QA Log'!D:D,A294,'QA Log'!M:M,"QQC",'QA Log'!Z:Z,"Rejected",'QA Log'!L:L,"*10. Antenatal Care (ANC)*"),
COUNTIFS('QA Log'!D:D,A294,'QA Log'!M:M,"QQC",'QA Log'!Z:Z,"Rejected",'QA Log'!L:L,"*2. Hygiene and Sterilization*"),
COUNTIFS('QA Log'!D:D,A294,'QA Log'!M:M,"QQC",'QA Log'!Z:Z,"Rejected",'QA Log'!L:L,"*4. Family Planning*")
))</f>
        <v/>
      </c>
      <c r="AC294" s="102" t="str">
        <f t="shared" si="29"/>
        <v/>
      </c>
      <c r="AD294" s="103" t="str">
        <f t="shared" si="30"/>
        <v/>
      </c>
      <c r="AE294" s="102" t="str">
        <f>IF(A294="","",
SUM(
COUNTIFS('QA Log'!D:D,A294,'QA Log'!M:M,"Data Verification",'QA Log'!L:L,"*Medicine (section 2)*"),
COUNTIFS('QA Log'!D:D,A294,'QA Log'!M:M,"Data Verification",'QA Log'!L:L,"*Lab Testing Availability*"),
COUNTIFS('QA Log'!D:D,A294,'QA Log'!M:M,"Data Verification",'QA Log'!L:L,"*Other than P4P (section 6)*"),
COUNTIFS('QA Log'!D:D,A294,'QA Log'!M:M,"Data Verification",'QA Log'!L:L,"*Hospital Governance*")
))</f>
        <v/>
      </c>
      <c r="AF294" s="102" t="str">
        <f>IF(A294="","",
SUM(
COUNTIFS('QA Log'!D:D,A294,'QA Log'!M:M,"Data Verification",'QA Log'!Z:Z,"Approved",'QA Log'!L:L,"*Medicine (section 2)*"),
COUNTIFS('QA Log'!D:D,A294,'QA Log'!M:M,"Data Verification",'QA Log'!Z:Z,"Approved",'QA Log'!L:L,"*Lab Testing Availability*"),
COUNTIFS('QA Log'!D:D,A294,'QA Log'!M:M,"Data Verification",'QA Log'!Z:Z,"Approved",'QA Log'!L:L,"*Other than P4P (section 6)*"),
COUNTIFS('QA Log'!D:D,A294,'QA Log'!M:M,"Data Verification",'QA Log'!Z:Z,"Approved",'QA Log'!L:L,"*Hospital Governance*")
))</f>
        <v/>
      </c>
      <c r="AG294" s="105" t="str">
        <f>IF(A294&lt;&gt;"",COUNTIFS('QA Log'!D:D,A294,'QA Log'!M:M,"Data Verification",'QA Log'!L:L,"Medicine (section 2)",'QA Log'!Z:Z,"Approved"),"")</f>
        <v/>
      </c>
      <c r="AH294" s="105" t="str">
        <f>IF(A294&lt;&gt;"",COUNTIFS('QA Log'!D:D,A294,'QA Log'!M:M,"Data Verification",'QA Log'!L:L,"Lab Testing Availability",'QA Log'!Z:Z,"Approved"),"")</f>
        <v/>
      </c>
      <c r="AI294" s="105" t="str">
        <f>IF(A294&lt;&gt;"",COUNTIFS('QA Log'!D:D,A294,'QA Log'!M:M,"Data Verification",'QA Log'!L:L,"Other than P4P (section 6)",'QA Log'!Z:Z,"Approved"),"")</f>
        <v/>
      </c>
      <c r="AJ294" s="105" t="str">
        <f>IF(A294&lt;&gt;"",COUNTIFS('QA Log'!D:D,A294,'QA Log'!M:M,"Data Verification",'QA Log'!L:L,"Hospital Governance",'QA Log'!Z:Z,"Approved"),"")</f>
        <v/>
      </c>
      <c r="AK294" s="102" t="str">
        <f>IF(A294="","",
SUM(
COUNTIFS('QA Log'!D:D,A294,'QA Log'!M:M,"Data Verification",'QA Log'!Z:Z,"Rejected",'QA Log'!L:L,"*Medicine (section 2)*"),
COUNTIFS('QA Log'!D:D,A294,'QA Log'!M:M,"Data Verification",'QA Log'!Z:Z,"Rejected",'QA Log'!L:L,"*Lab Testing Availability*"),
COUNTIFS('QA Log'!D:D,A294,'QA Log'!M:M,"Data Verification",'QA Log'!Z:Z,"Rejected",'QA Log'!L:L,"*Other than P4P (section 6)*"),
COUNTIFS('QA Log'!D:D,A294,'QA Log'!M:M,"Data Verification",'QA Log'!Z:Z,"Rejected",'QA Log'!L:L,"*Hospital Governance*")
))</f>
        <v/>
      </c>
      <c r="AL294" s="106" t="str">
        <f t="shared" si="31"/>
        <v/>
      </c>
      <c r="AM294" s="102" t="str">
        <f t="shared" si="32"/>
        <v/>
      </c>
      <c r="AN294" s="102" t="str">
        <f>IF(A294="","",
SUM(
COUNTIFS('QA Log'!D:D,A294,'QA Log'!M:M,"Data Verification",'QA Log'!L:L,"*Personnel (section 1)*"),
COUNTIFS('QA Log'!D:D,A294,'QA Log'!M:M,"Data Verification",'QA Log'!L:L,"*Consumable (section 3)*"),
COUNTIFS('QA Log'!D:D,A294,'QA Log'!M:M,"Data Verification",'QA Log'!L:L,"*Equipments (section 4)*")
))</f>
        <v/>
      </c>
      <c r="AO294" s="102" t="str">
        <f>IF(A294="","",
SUM(
COUNTIFS('QA Log'!D:D,A294,'QA Log'!M:M,"Data Verification",'QA Log'!Z:Z,"Approved",'QA Log'!L:L,"*Personnel (section 1)*"),
COUNTIFS('QA Log'!D:D,A294,'QA Log'!M:M,"Data Verification",'QA Log'!Z:Z,"Approved",'QA Log'!L:L,"*Consumable (section 3)*"),
COUNTIFS('QA Log'!D:D,A294,'QA Log'!M:M,"Data Verification",'QA Log'!Z:Z,"Approved",'QA Log'!L:L,"*Equipments (section 4)*")
))</f>
        <v/>
      </c>
      <c r="AP294" s="105" t="str">
        <f>IF(A294&lt;&gt;"",COUNTIFS('QA Log'!D:D,A294,'QA Log'!M:M,"Data Verification",'QA Log'!L:L,"Personnel (section 1)",'QA Log'!Z:Z,"Approved"),"")</f>
        <v/>
      </c>
      <c r="AQ294" s="105" t="str">
        <f>IF(A294&lt;&gt;"",COUNTIFS('QA Log'!D:D,A294,'QA Log'!M:M,"Data Verification",'QA Log'!L:L,"Consumable (section 3)",'QA Log'!Z:Z,"Approved"),"")</f>
        <v/>
      </c>
      <c r="AR294" s="105" t="str">
        <f>IF(A294&lt;&gt;"",COUNTIFS('QA Log'!D:D,A294,'QA Log'!M:M,"Data Verification",'QA Log'!L:L,"Equipments (section 4)",'QA Log'!Z:Z,"Approved"),"")</f>
        <v/>
      </c>
      <c r="AS294" s="102" t="str">
        <f>IF(A294="","",
SUM(
COUNTIFS('QA Log'!D:D,A294,'QA Log'!M:M,"Data Verification",'QA Log'!Z:Z,"Rejected",'QA Log'!L:L,"*Personnel (section 1)*"),
COUNTIFS('QA Log'!D:D,A294,'QA Log'!M:M,"Data Verification",'QA Log'!Z:Z,"Rejected",'QA Log'!L:L,"*Consumable (section 3)*"),
COUNTIFS('QA Log'!D:D,A294,'QA Log'!M:M,"Data Verification",'QA Log'!Z:Z,"Rejected",'QA Log'!L:L,"*Equipments (section 4)*")
))</f>
        <v/>
      </c>
      <c r="AT294" s="102" t="str">
        <f t="shared" si="33"/>
        <v/>
      </c>
      <c r="AU294" s="103" t="str">
        <f t="shared" si="34"/>
        <v/>
      </c>
      <c r="AV294" s="102" t="str">
        <f>IF(A294="","",SUM(
COUNTIFS('QA Log'!D:D,A294,'QA Log'!M:M,"Vignette",'QA Log'!L:L,"*Vignette [1] Respiratory Infection: Pneumonia*"),
COUNTIFS('QA Log'!D:D,A294,'QA Log'!M:M,"Vignette",'QA Log'!L:L,"*Vignette [2]: Diarrhea with Cat B dehydration*"),
COUNTIFS('QA Log'!D:D,A294,'QA Log'!M:M,"Vignette",'QA Log'!L:L,"*Vignette [3] Growth Monitoring and Promotion*"),
COUNTIFS('QA Log'!D:D,A294,'QA Log'!M:M,"Vignette",'QA Log'!L:L,"*Vignette [4]: The management of presumptive TB patient*")
)
)</f>
        <v/>
      </c>
      <c r="AW294" s="102" t="str">
        <f>IF(
  A294="","",
  SUM(
    COUNTIFS('QA Log'!D:D,A294,'QA Log'!M:M,"Vignette",'QA Log'!Z:Z,"Approved",'QA Log'!L:L,"*Vignette [1] Respiratory Infection: Pneumonia*"),
    COUNTIFS('QA Log'!D:D,A294,'QA Log'!M:M,"Vignette",'QA Log'!Z:Z,"Approved",'QA Log'!L:L,"*Vignette [2]: Diarrhea with Cat B dehydration*"),
    COUNTIFS('QA Log'!D:D,A294,'QA Log'!M:M,"Vignette",'QA Log'!Z:Z,"Approved",'QA Log'!L:L,"*Vignette [3] Growth Monitoring and Promotion*"),
    COUNTIFS('QA Log'!D:D,A294,'QA Log'!M:M,"Vignette",'QA Log'!Z:Z,"Approved",'QA Log'!L:L,"*Vignette [4]: The management of presumptive TB patient*")
  )
)</f>
        <v/>
      </c>
      <c r="AX294" s="105" t="str">
        <f>IF(A294&lt;&gt;"",COUNTIFS('QA Log'!D:D,A294,'QA Log'!M:M,"Vignette",'QA Log'!L:L,"Vignette [1] Respiratory Infection: Pneumonia",'QA Log'!Z:Z,"Approved"),"")</f>
        <v/>
      </c>
      <c r="AY294" s="105" t="str">
        <f>IF(A294&lt;&gt;"",COUNTIFS('QA Log'!D:D,A294,'QA Log'!M:M,"Vignette",'QA Log'!L:L,"Vignette [2]: Diarrhea with Cat B dehydration",'QA Log'!Z:Z,"Approved"),"")</f>
        <v/>
      </c>
      <c r="AZ294" s="105" t="str">
        <f>IF(A294&lt;&gt;"",COUNTIFS('QA Log'!D:D,A294,'QA Log'!M:M,"Vignette",'QA Log'!L:L,"Vignette [3] Growth Monitoring and Promotion",'QA Log'!Z:Z,"Approved"),"")</f>
        <v/>
      </c>
      <c r="BA294" s="105" t="str">
        <f>IF(A294&lt;&gt;"",COUNTIFS('QA Log'!D:D,A294,'QA Log'!M:M,"Vignette",'QA Log'!L:L,"Vignette [4]: The management of presumptive TB patient",'QA Log'!Z:Z,"Approved"),"")</f>
        <v/>
      </c>
      <c r="BB294" s="102" t="str">
        <f>IF(A294="","",
  SUM(
    COUNTIFS('QA Log'!D:D,A294,'QA Log'!M:M,"Vignette",'QA Log'!Z:Z,"Rejected",'QA Log'!L:L,"*Vignette [1] Respiratory Infection: Pneumonia*"),
    COUNTIFS('QA Log'!D:D,A294,'QA Log'!M:M,"Vignette",'QA Log'!Z:Z,"Rejected",'QA Log'!L:L,"*Vignette [2]: Diarrhea with Cat B dehydration*"),
    COUNTIFS('QA Log'!D:D,A294,'QA Log'!M:M,"Vignette",'QA Log'!Z:Z,"Rejected",'QA Log'!L:L,"*Vignette [3] Growth Monitoring and Promotion*"),
    COUNTIFS('QA Log'!D:D,A294,'QA Log'!M:M,"Vignette",'QA Log'!Z:Z,"Rejected",'QA Log'!L:L,"*Vignette [4]: The management of presumptive TB patient*")
  )
)</f>
        <v/>
      </c>
      <c r="BC294" s="107" t="str">
        <f t="shared" si="35"/>
        <v/>
      </c>
      <c r="BD294" s="103" t="str">
        <f t="shared" si="36"/>
        <v/>
      </c>
      <c r="BE294" s="102" t="str">
        <f>IF(A294="","",SUM(
COUNTIFS('QA Log'!D:D,A294,'QA Log'!M:M,"Vignette",'QA Log'!L:L,"*Vignette [5] Labor*"),
COUNTIFS('QA Log'!D:D,A294,'QA Log'!M:M,"Vignette",'QA Log'!L:L,"*Vignette [6] PNC pre Discharge*"),
COUNTIFS('QA Log'!D:D,A294,'QA Log'!M:M,"Vignette",'QA Log'!L:L,"*Vignette [7] First ANC Visit*"),
COUNTIFS('QA Log'!D:D,A294,'QA Log'!M:M,"Vignette",'QA Log'!L:L,"*Vignette [8] Birth Spacing/ Family Planning :  FP Counselling*"),
COUNTIFS('QA Log'!D:D,A294,'QA Log'!M:M,"Vignette",'QA Log'!L:L,"*Vignette [9] Birth Spacing: Change FP method to Injectable*"),
COUNTIFS('QA Log'!D:D,A294,'QA Log'!M:M,"Vignette",'QA Log'!L:L,"*Vignette [10] Post Partum Haemorrhage - Atonic Uterus at Health Centre*"),
)
)</f>
        <v/>
      </c>
      <c r="BF294" s="102" t="str">
        <f>IF(A294="","",
  SUM(
    COUNTIFS('QA Log'!D:D,A294,'QA Log'!M:M,"Vignette",'QA Log'!Z:Z,"Approved",'QA Log'!L:L,"*Vignette [5] Labor*"),
    COUNTIFS('QA Log'!D:D,A294,'QA Log'!M:M,"Vignette",'QA Log'!Z:Z,"Approved",'QA Log'!L:L,"*Vignette [6] PNC pre Discharge*"),
    COUNTIFS('QA Log'!D:D,A294,'QA Log'!M:M,"Vignette",'QA Log'!Z:Z,"Approved",'QA Log'!L:L,"*Vignette [7] First ANC Visit*"),
    COUNTIFS('QA Log'!D:D,A294,'QA Log'!M:M,"Vignette",'QA Log'!Z:Z,"Approved",'QA Log'!L:L,"*Vignette [8] Birth Spacing/ Family Planning :  FP Counselling*"),
    COUNTIFS('QA Log'!D:D,A294,'QA Log'!M:M,"Vignette",'QA Log'!Z:Z,"Approved",'QA Log'!L:L,"*Vignette [9] Birth Spacing: Change FP method to Injectable*"),
    COUNTIFS('QA Log'!D:D,A294,'QA Log'!M:M,"Vignette",'QA Log'!Z:Z,"Approved",'QA Log'!L:L,"*Vignette [10] Post Partum Haemorrhage - Atonic Uterus at Health Centre*")
  )
)</f>
        <v/>
      </c>
      <c r="BG294" s="105" t="str">
        <f>IF(A294&lt;&gt;"",COUNTIFS('QA Log'!D:D,A294,'QA Log'!M:M,"Vignette",'QA Log'!L:L,"Vignette [5] Labor",'QA Log'!Z:Z,"Approved"),"")</f>
        <v/>
      </c>
      <c r="BH294" s="105" t="str">
        <f>IF(A294&lt;&gt;"",COUNTIFS('QA Log'!D:D,A294,'QA Log'!M:M,"Vignette",'QA Log'!L:L,"Vignette [6] PNC pre Discharge",'QA Log'!Z:Z,"Approved"),"")</f>
        <v/>
      </c>
      <c r="BI294" s="105" t="str">
        <f>IF(A294&lt;&gt;"",COUNTIFS('QA Log'!D:D,A294,'QA Log'!M:M,"Vignette",'QA Log'!L:L,"Vignette [7] First ANC Visit",'QA Log'!Z:Z,"Approved"),"")</f>
        <v/>
      </c>
      <c r="BJ294" s="105" t="str">
        <f>IF(A294&lt;&gt;"",COUNTIFS('QA Log'!D:D,A294,'QA Log'!M:M,"Vignette",'QA Log'!L:L,"Vignette [8] Birth Spacing/ Family Planning :  FP Counselling",'QA Log'!Z:Z,"Approved"),"")</f>
        <v/>
      </c>
      <c r="BK294" s="105" t="str">
        <f>IF(A294&lt;&gt;"",COUNTIFS('QA Log'!D:D,A294,'QA Log'!M:M,"Vignette",'QA Log'!L:L,"Vignette [9] Birth Spacing: Change FP method to Injectable",'QA Log'!Z:Z,"Approved"),"")</f>
        <v/>
      </c>
      <c r="BL294" s="105" t="str">
        <f>IF(A294&lt;&gt;"",COUNTIFS('QA Log'!D:D,A294,'QA Log'!M:M,"Vignette",'QA Log'!L:L,"Vignette [10] Post Partum Haemorrhage - Atonic Uterus at Health Centre",'QA Log'!Z:Z,"Approved"),"")</f>
        <v/>
      </c>
      <c r="BM294" s="102" t="str">
        <f>IF(A294="","",SUM(
    COUNTIFS('QA Log'!D:D,A294,'QA Log'!M:M,"Vignette",'QA Log'!Z:Z,"Rejected",'QA Log'!L:L,"*Vignette [5] Labor*"),
    COUNTIFS('QA Log'!D:D,A294,'QA Log'!M:M,"Vignette",'QA Log'!Z:Z,"Rejected",'QA Log'!L:L,"*Vignette [6] PNC pre Discharge*"),
    COUNTIFS('QA Log'!D:D,A294,'QA Log'!M:M,"Vignette",'QA Log'!Z:Z,"Rejected",'QA Log'!L:L,"*Vignette [7] First ANC Visit*"),
    COUNTIFS('QA Log'!D:D,A294,'QA Log'!M:M,"Vignette",'QA Log'!Z:Z,"Rejected",'QA Log'!L:L,"*Vignette [8] Birth Spacing/ Family Planning :  FP Counselling*"),
    COUNTIFS('QA Log'!D:D,A294,'QA Log'!M:M,"Vignette",'QA Log'!Z:Z,"Rejected",'QA Log'!L:L,"*Vignette [9] Birth Spacing: Change FP method to Injectable*"),
    COUNTIFS('QA Log'!D:D,A294,'QA Log'!M:M,"Vignette",'QA Log'!Z:Z,"Rejected",'QA Log'!L:L,"*Vignette [10] Post Partum Haemorrhage - Atonic Uterus at Health Centre*")
  )
)</f>
        <v/>
      </c>
      <c r="BN294" s="107" t="str">
        <f t="shared" si="37"/>
        <v/>
      </c>
      <c r="BO294" s="103" t="str">
        <f t="shared" si="38"/>
        <v/>
      </c>
      <c r="BP294" s="102" t="str">
        <f>IF(A294="","",SUM(
COUNTIFS('QA Log'!D:D,A294,'QA Log'!M:M,"Vignette",'QA Log'!L:L,"*Exit Interview 1*"),
COUNTIFS('QA Log'!D:D,A294,'QA Log'!M:M,"Vignette",'QA Log'!L:L,"*Exit Interview 2*"),
)
)</f>
        <v/>
      </c>
      <c r="BQ294" s="102" t="str">
        <f>IF(
  A294="","",
  SUM(
    COUNTIFS('QA Log'!D:D,A294,'QA Log'!M:M,"Vignette",'QA Log'!Z:Z,"Approved",'QA Log'!L:L,"*Exit Interview 1*"),
    COUNTIFS('QA Log'!D:D,A294,'QA Log'!M:M,"Vignette",'QA Log'!Z:Z,"Approved",'QA Log'!L:L,"*Exit Interview 2*")
  )
)</f>
        <v/>
      </c>
      <c r="BR294" s="105" t="str">
        <f>IF(A294&lt;&gt;"",COUNTIFS('QA Log'!D:D,A294,'QA Log'!M:M,"Vignette",'QA Log'!L:L,"Exit Interview 1",'QA Log'!Z:Z,"Approved"),"")</f>
        <v/>
      </c>
      <c r="BS294" s="105" t="str">
        <f>IF(A294&lt;&gt;"",COUNTIFS('QA Log'!D:D,A294,'QA Log'!M:M,"Vignette",'QA Log'!L:L,"Exit Interview 2",'QA Log'!Z:Z,"Approved"),"")</f>
        <v/>
      </c>
      <c r="BT294" s="102" t="str">
        <f>IF(
  A294="","",
  SUM(
    COUNTIFS('QA Log'!D:D,A294,'QA Log'!M:M,"Vignette",'QA Log'!Z:Z,"Rejected",'QA Log'!L:L,"*Exit Interview 1*"),
    COUNTIFS('QA Log'!D:D,A294,'QA Log'!M:M,"Vignette",'QA Log'!Z:Z,"Rejected",'QA Log'!L:L,"*Exit Interview 2*")
  )
)</f>
        <v/>
      </c>
      <c r="BU294" s="107" t="str">
        <f t="shared" si="39"/>
        <v/>
      </c>
      <c r="BV294" s="102" t="str">
        <f t="shared" si="40"/>
        <v/>
      </c>
      <c r="BW294" s="102" t="str">
        <f t="shared" si="41"/>
        <v/>
      </c>
      <c r="BX294" s="102" t="str">
        <f t="shared" si="42"/>
        <v/>
      </c>
      <c r="BY294" s="102" t="str">
        <f t="shared" si="43"/>
        <v/>
      </c>
      <c r="BZ294" s="107" t="str">
        <f t="shared" si="44"/>
        <v/>
      </c>
      <c r="CA294" s="108" t="str">
        <f t="shared" si="45"/>
        <v/>
      </c>
      <c r="CB294" s="108" t="str">
        <f t="shared" si="46"/>
        <v/>
      </c>
      <c r="CC294" s="109" t="str">
        <f t="shared" si="47"/>
        <v/>
      </c>
      <c r="CD294" s="108" t="str">
        <f t="shared" si="48"/>
        <v/>
      </c>
      <c r="CE294" s="108" t="str">
        <f t="shared" si="49"/>
        <v/>
      </c>
      <c r="CF294" s="109" t="str">
        <f t="shared" si="50"/>
        <v/>
      </c>
      <c r="CG294" s="110" t="str">
        <f t="shared" si="51"/>
        <v/>
      </c>
      <c r="CH294" s="111"/>
    </row>
    <row r="295" spans="1:86" ht="12.75">
      <c r="A295" s="101"/>
      <c r="B295" s="102" t="e">
        <f t="array" aca="1" ref="B295" ca="1">_xludf.XLOOKUP(A295,'QA Log'!D:D,'QA Log'!E:E,"")</f>
        <v>#NAME?</v>
      </c>
      <c r="C295" s="102" t="e">
        <f t="array" aca="1" ref="C295" ca="1">_xludf.XLOOKUP(A295,'QA Log'!D:D,'QA Log'!F:F,"")</f>
        <v>#NAME?</v>
      </c>
      <c r="D295" s="102" t="e">
        <f t="array" aca="1" ref="D295" ca="1">_xludf.XLOOKUP(A295,'QA Log'!D:D,'QA Log'!H:H,"")</f>
        <v>#NAME?</v>
      </c>
      <c r="E295" s="102" t="e">
        <f t="array" aca="1" ref="E295" ca="1">_xludf.XLOOKUP(A295,'QA Log'!D:D,'QA Log'!G:G,"")</f>
        <v>#NAME?</v>
      </c>
      <c r="F295" s="103"/>
      <c r="G295" s="104"/>
      <c r="H295" s="104"/>
      <c r="I295" s="103" t="str">
        <f t="shared" si="26"/>
        <v/>
      </c>
      <c r="J295" s="102" t="str">
        <f>IF(A295="","",SUM(
COUNTIFS('QA Log'!D:D,A295,'QA Log'!M:M,"QQC",'QA Log'!L:L,"*1. General Management*"),
COUNTIFS('QA Log'!D:D,A295,'QA Log'!M:M,"QQC",'QA Log'!L:L,"*3. Curative Consultation (OPD)*"),
COUNTIFS('QA Log'!D:D,A295,'QA Log'!M:M,"QQC",'QA Log'!L:L,"*5. Laboratory*"),
COUNTIFS('QA Log'!D:D,A295,'QA Log'!M:M,"QQC",'QA Log'!L:L,"*6. Essential Medicine Management*"),
COUNTIFS('QA Log'!D:D,A295,'QA Log'!M:M,"QQC",'QA Log'!L:L,"*7. Tracer Medicine*"),
COUNTIFS('QA Log'!D:D,A295,'QA Log'!M:M,"QQC",'QA Log'!L:L,"*11. Additional Questions*")))</f>
        <v/>
      </c>
      <c r="K295" s="102" t="str">
        <f>IF(A295="","",SUM(
COUNTIFS('QA Log'!D:D,A295,'QA Log'!M:M,"QQC",'QA Log'!Z:Z,"Approved",'QA Log'!L:L,"*1. General Management*"),
COUNTIFS('QA Log'!D:D,A295,'QA Log'!M:M,"QQC",'QA Log'!Z:Z,"Approved",'QA Log'!L:L,"*3. Curative Consultation (OPD)*"),
COUNTIFS('QA Log'!D:D,A295,'QA Log'!M:M,"QQC",'QA Log'!Z:Z,"Approved",'QA Log'!L:L,"*5. Laboratory*"),
COUNTIFS('QA Log'!D:D,A295,'QA Log'!M:M,"QQC",'QA Log'!Z:Z,"Approved",'QA Log'!L:L,"*6. Essential Medicine Management*"),
COUNTIFS('QA Log'!D:D,A295,'QA Log'!M:M,"QQC",'QA Log'!Z:Z,"Approved",'QA Log'!L:L,"*7. Tracer Medicine*"),
COUNTIFS('QA Log'!D:D,A295,'QA Log'!M:M,"QQC",'QA Log'!Z:Z,"Approved",'QA Log'!L:L,"*11. Additional Questions*")))</f>
        <v/>
      </c>
      <c r="L295" s="105" t="str">
        <f>IF(A295&lt;&gt;"",COUNTIFS('QA Log'!D:D,A295,'QA Log'!M:M,"QQC",'QA Log'!L:L,"1. General Management",'QA Log'!Z:Z,"Approved"),"")</f>
        <v/>
      </c>
      <c r="M295" s="105" t="str">
        <f>IF(A295&lt;&gt;"",COUNTIFS('QA Log'!D:D,A295,'QA Log'!M:M,"QQC",'QA Log'!L:L,"3. Curative Consultation (OPD)",'QA Log'!Z:Z,"Approved"),"")</f>
        <v/>
      </c>
      <c r="N295" s="105" t="str">
        <f>IF(A295&lt;&gt;"",COUNTIFS('QA Log'!D:D,A295,'QA Log'!M:M,"QQC",'QA Log'!L:L,"5. Laboratory",'QA Log'!Z:Z,"Approved"),"")</f>
        <v/>
      </c>
      <c r="O295" s="105" t="str">
        <f>IF(A295&lt;&gt;"",COUNTIFS('QA Log'!D:D,A295,'QA Log'!M:M,"QQC",'QA Log'!L:L,"6. Essential Medicine Management",'QA Log'!Z:Z,"Approved"),"")</f>
        <v/>
      </c>
      <c r="P295" s="105" t="str">
        <f>IF(A295&lt;&gt;"",COUNTIFS('QA Log'!D:D,A295,'QA Log'!M:M,"QQC",'QA Log'!L:L,"7. Tracer Medicine",'QA Log'!Z:Z,"Approved"),"")</f>
        <v/>
      </c>
      <c r="Q295" s="105" t="str">
        <f>IF(A295&lt;&gt;"",COUNTIFS('QA Log'!D:D,A295,'QA Log'!M:M,"QQC",'QA Log'!L:L,"11. Additional Questions",'QA Log'!Z:Z,"Approved"),"")</f>
        <v/>
      </c>
      <c r="R295" s="102" t="str">
        <f>IF(A295="","",SUM(
COUNTIFS('QA Log'!D:D,A295,'QA Log'!M:M,"QQC",'QA Log'!Z:Z,"Rejected",'QA Log'!L:L,"*8. Maternity*"),
COUNTIFS('QA Log'!D:D,A295,'QA Log'!M:M,"QQC",'QA Log'!Z:Z,"Rejected",'QA Log'!L:L,"*EPI*"),
COUNTIFS('QA Log'!D:D,A295,'QA Log'!M:M,"QQC",'QA Log'!Z:Z,"Rejected",'QA Log'!L:L,"*10. Antenatal Care (ANC)*"),
COUNTIFS('QA Log'!D:D,A295,'QA Log'!M:M,"QQC",'QA Log'!Z:Z,"Rejected",'QA Log'!L:L,"*2. Hygiene and Sterilization*"),
COUNTIFS('QA Log'!D:D,A295,'QA Log'!M:M,"QQC",'QA Log'!Z:Z,"Rejected",'QA Log'!L:L,"*Family Planning*")))</f>
        <v/>
      </c>
      <c r="S295" s="106" t="str">
        <f t="shared" si="27"/>
        <v/>
      </c>
      <c r="T295" s="102" t="str">
        <f t="shared" si="28"/>
        <v/>
      </c>
      <c r="U295" s="102" t="str">
        <f>IF(A295="","",
SUM(
COUNTIFS('QA Log'!D:D,A295,'QA Log'!M:M,"QQC",'QA Log'!L:L,"*8. Maternity*"),
COUNTIFS('QA Log'!D:D,A295,'QA Log'!M:M,"QQC",'QA Log'!L:L,"*9. EPI and Pre-school Consultation*"),
COUNTIFS('QA Log'!D:D,A295,'QA Log'!M:M,"QQC",'QA Log'!L:L,"*10. Antenatal Care (ANC)*"),
COUNTIFS('QA Log'!D:D,A295,'QA Log'!M:M,"QQC",'QA Log'!L:L,"*2. Hygiene and Sterilization*"),
COUNTIFS('QA Log'!D:D,A295,'QA Log'!M:M,"QQC",'QA Log'!L:L,"*4. Family Planning*")
))</f>
        <v/>
      </c>
      <c r="V295" s="102" t="str">
        <f>IF(A295="","",
SUM(
COUNTIFS('QA Log'!D:D,A295,'QA Log'!M:M,"QQC",'QA Log'!Z:Z,"Approved",'QA Log'!L:L,"*8. Maternity*"),
COUNTIFS('QA Log'!D:D,A295,'QA Log'!M:M,"QQC",'QA Log'!Z:Z,"Approved",'QA Log'!L:L,"*9. EPI and Pre-school Consultation*"),
COUNTIFS('QA Log'!D:D,A295,'QA Log'!M:M,"QQC",'QA Log'!Z:Z,"Approved",'QA Log'!L:L,"*10. Antenatal Care (ANC)*"),
COUNTIFS('QA Log'!D:D,A295,'QA Log'!M:M,"QQC",'QA Log'!Z:Z,"Approved",'QA Log'!L:L,"*2. Hygiene and Sterilization*"),
COUNTIFS('QA Log'!D:D,A295,'QA Log'!M:M,"QQC",'QA Log'!Z:Z,"Approved",'QA Log'!L:L,"*4. Family Planning*")
))</f>
        <v/>
      </c>
      <c r="W295" s="105" t="str">
        <f>IF(A295&lt;&gt;"",COUNTIFS('QA Log'!D:D,A295,'QA Log'!M:M,"QQC",'QA Log'!L:L,"8. Maternity",'QA Log'!Z:Z,"Approved"),"")</f>
        <v/>
      </c>
      <c r="X295" s="105" t="str">
        <f>IF(A295&lt;&gt;"",COUNTIFS('QA Log'!D:D,A295,'QA Log'!M:M,"QQC",'QA Log'!L:L,"9. EPI and Pre-school Consultation",'QA Log'!Z:Z,"Approved"),"")</f>
        <v/>
      </c>
      <c r="Y295" s="105" t="str">
        <f>IF(A295&lt;&gt;"",COUNTIFS('QA Log'!D:D,A295,'QA Log'!M:M,"QQC",'QA Log'!L:L,"10. Antenatal Care (ANC)",'QA Log'!Z:Z,"Approved"),"")</f>
        <v/>
      </c>
      <c r="Z295" s="105" t="str">
        <f>IF(A295&lt;&gt;"",COUNTIFS('QA Log'!D:D,A295,'QA Log'!M:M,"QQC",'QA Log'!L:L,"2. Hygiene and Sterilization",'QA Log'!Z:Z,"Approved"),"")</f>
        <v/>
      </c>
      <c r="AA295" s="105" t="str">
        <f>IF(A295&lt;&gt;"",COUNTIFS('QA Log'!D:D,A295,'QA Log'!M:M,"QQC",'QA Log'!L:L,"4. Family Planning",'QA Log'!Z:Z,"Approved"),"")</f>
        <v/>
      </c>
      <c r="AB295" s="102" t="str">
        <f>IF(A295="","",
SUM(
COUNTIFS('QA Log'!D:D,A295,'QA Log'!M:M,"QQC",'QA Log'!Z:Z,"Rejected",'QA Log'!L:L,"*8. Maternity*"),
COUNTIFS('QA Log'!D:D,A295,'QA Log'!M:M,"QQC",'QA Log'!Z:Z,"Rejected",'QA Log'!L:L,"*9. EPI and Pre-school Consultation*"),
COUNTIFS('QA Log'!D:D,A295,'QA Log'!M:M,"QQC",'QA Log'!Z:Z,"Rejected",'QA Log'!L:L,"*10. Antenatal Care (ANC)*"),
COUNTIFS('QA Log'!D:D,A295,'QA Log'!M:M,"QQC",'QA Log'!Z:Z,"Rejected",'QA Log'!L:L,"*2. Hygiene and Sterilization*"),
COUNTIFS('QA Log'!D:D,A295,'QA Log'!M:M,"QQC",'QA Log'!Z:Z,"Rejected",'QA Log'!L:L,"*4. Family Planning*")
))</f>
        <v/>
      </c>
      <c r="AC295" s="102" t="str">
        <f t="shared" si="29"/>
        <v/>
      </c>
      <c r="AD295" s="103" t="str">
        <f t="shared" si="30"/>
        <v/>
      </c>
      <c r="AE295" s="102" t="str">
        <f>IF(A295="","",
SUM(
COUNTIFS('QA Log'!D:D,A295,'QA Log'!M:M,"Data Verification",'QA Log'!L:L,"*Medicine (section 2)*"),
COUNTIFS('QA Log'!D:D,A295,'QA Log'!M:M,"Data Verification",'QA Log'!L:L,"*Lab Testing Availability*"),
COUNTIFS('QA Log'!D:D,A295,'QA Log'!M:M,"Data Verification",'QA Log'!L:L,"*Other than P4P (section 6)*"),
COUNTIFS('QA Log'!D:D,A295,'QA Log'!M:M,"Data Verification",'QA Log'!L:L,"*Hospital Governance*")
))</f>
        <v/>
      </c>
      <c r="AF295" s="102" t="str">
        <f>IF(A295="","",
SUM(
COUNTIFS('QA Log'!D:D,A295,'QA Log'!M:M,"Data Verification",'QA Log'!Z:Z,"Approved",'QA Log'!L:L,"*Medicine (section 2)*"),
COUNTIFS('QA Log'!D:D,A295,'QA Log'!M:M,"Data Verification",'QA Log'!Z:Z,"Approved",'QA Log'!L:L,"*Lab Testing Availability*"),
COUNTIFS('QA Log'!D:D,A295,'QA Log'!M:M,"Data Verification",'QA Log'!Z:Z,"Approved",'QA Log'!L:L,"*Other than P4P (section 6)*"),
COUNTIFS('QA Log'!D:D,A295,'QA Log'!M:M,"Data Verification",'QA Log'!Z:Z,"Approved",'QA Log'!L:L,"*Hospital Governance*")
))</f>
        <v/>
      </c>
      <c r="AG295" s="105" t="str">
        <f>IF(A295&lt;&gt;"",COUNTIFS('QA Log'!D:D,A295,'QA Log'!M:M,"Data Verification",'QA Log'!L:L,"Medicine (section 2)",'QA Log'!Z:Z,"Approved"),"")</f>
        <v/>
      </c>
      <c r="AH295" s="105" t="str">
        <f>IF(A295&lt;&gt;"",COUNTIFS('QA Log'!D:D,A295,'QA Log'!M:M,"Data Verification",'QA Log'!L:L,"Lab Testing Availability",'QA Log'!Z:Z,"Approved"),"")</f>
        <v/>
      </c>
      <c r="AI295" s="105" t="str">
        <f>IF(A295&lt;&gt;"",COUNTIFS('QA Log'!D:D,A295,'QA Log'!M:M,"Data Verification",'QA Log'!L:L,"Other than P4P (section 6)",'QA Log'!Z:Z,"Approved"),"")</f>
        <v/>
      </c>
      <c r="AJ295" s="105" t="str">
        <f>IF(A295&lt;&gt;"",COUNTIFS('QA Log'!D:D,A295,'QA Log'!M:M,"Data Verification",'QA Log'!L:L,"Hospital Governance",'QA Log'!Z:Z,"Approved"),"")</f>
        <v/>
      </c>
      <c r="AK295" s="102" t="str">
        <f>IF(A295="","",
SUM(
COUNTIFS('QA Log'!D:D,A295,'QA Log'!M:M,"Data Verification",'QA Log'!Z:Z,"Rejected",'QA Log'!L:L,"*Medicine (section 2)*"),
COUNTIFS('QA Log'!D:D,A295,'QA Log'!M:M,"Data Verification",'QA Log'!Z:Z,"Rejected",'QA Log'!L:L,"*Lab Testing Availability*"),
COUNTIFS('QA Log'!D:D,A295,'QA Log'!M:M,"Data Verification",'QA Log'!Z:Z,"Rejected",'QA Log'!L:L,"*Other than P4P (section 6)*"),
COUNTIFS('QA Log'!D:D,A295,'QA Log'!M:M,"Data Verification",'QA Log'!Z:Z,"Rejected",'QA Log'!L:L,"*Hospital Governance*")
))</f>
        <v/>
      </c>
      <c r="AL295" s="106" t="str">
        <f t="shared" si="31"/>
        <v/>
      </c>
      <c r="AM295" s="102" t="str">
        <f t="shared" si="32"/>
        <v/>
      </c>
      <c r="AN295" s="102" t="str">
        <f>IF(A295="","",
SUM(
COUNTIFS('QA Log'!D:D,A295,'QA Log'!M:M,"Data Verification",'QA Log'!L:L,"*Personnel (section 1)*"),
COUNTIFS('QA Log'!D:D,A295,'QA Log'!M:M,"Data Verification",'QA Log'!L:L,"*Consumable (section 3)*"),
COUNTIFS('QA Log'!D:D,A295,'QA Log'!M:M,"Data Verification",'QA Log'!L:L,"*Equipments (section 4)*")
))</f>
        <v/>
      </c>
      <c r="AO295" s="102" t="str">
        <f>IF(A295="","",
SUM(
COUNTIFS('QA Log'!D:D,A295,'QA Log'!M:M,"Data Verification",'QA Log'!Z:Z,"Approved",'QA Log'!L:L,"*Personnel (section 1)*"),
COUNTIFS('QA Log'!D:D,A295,'QA Log'!M:M,"Data Verification",'QA Log'!Z:Z,"Approved",'QA Log'!L:L,"*Consumable (section 3)*"),
COUNTIFS('QA Log'!D:D,A295,'QA Log'!M:M,"Data Verification",'QA Log'!Z:Z,"Approved",'QA Log'!L:L,"*Equipments (section 4)*")
))</f>
        <v/>
      </c>
      <c r="AP295" s="105" t="str">
        <f>IF(A295&lt;&gt;"",COUNTIFS('QA Log'!D:D,A295,'QA Log'!M:M,"Data Verification",'QA Log'!L:L,"Personnel (section 1)",'QA Log'!Z:Z,"Approved"),"")</f>
        <v/>
      </c>
      <c r="AQ295" s="105" t="str">
        <f>IF(A295&lt;&gt;"",COUNTIFS('QA Log'!D:D,A295,'QA Log'!M:M,"Data Verification",'QA Log'!L:L,"Consumable (section 3)",'QA Log'!Z:Z,"Approved"),"")</f>
        <v/>
      </c>
      <c r="AR295" s="105" t="str">
        <f>IF(A295&lt;&gt;"",COUNTIFS('QA Log'!D:D,A295,'QA Log'!M:M,"Data Verification",'QA Log'!L:L,"Equipments (section 4)",'QA Log'!Z:Z,"Approved"),"")</f>
        <v/>
      </c>
      <c r="AS295" s="102" t="str">
        <f>IF(A295="","",
SUM(
COUNTIFS('QA Log'!D:D,A295,'QA Log'!M:M,"Data Verification",'QA Log'!Z:Z,"Rejected",'QA Log'!L:L,"*Personnel (section 1)*"),
COUNTIFS('QA Log'!D:D,A295,'QA Log'!M:M,"Data Verification",'QA Log'!Z:Z,"Rejected",'QA Log'!L:L,"*Consumable (section 3)*"),
COUNTIFS('QA Log'!D:D,A295,'QA Log'!M:M,"Data Verification",'QA Log'!Z:Z,"Rejected",'QA Log'!L:L,"*Equipments (section 4)*")
))</f>
        <v/>
      </c>
      <c r="AT295" s="102" t="str">
        <f t="shared" si="33"/>
        <v/>
      </c>
      <c r="AU295" s="103" t="str">
        <f t="shared" si="34"/>
        <v/>
      </c>
      <c r="AV295" s="102" t="str">
        <f>IF(A295="","",SUM(
COUNTIFS('QA Log'!D:D,A295,'QA Log'!M:M,"Vignette",'QA Log'!L:L,"*Vignette [1] Respiratory Infection: Pneumonia*"),
COUNTIFS('QA Log'!D:D,A295,'QA Log'!M:M,"Vignette",'QA Log'!L:L,"*Vignette [2]: Diarrhea with Cat B dehydration*"),
COUNTIFS('QA Log'!D:D,A295,'QA Log'!M:M,"Vignette",'QA Log'!L:L,"*Vignette [3] Growth Monitoring and Promotion*"),
COUNTIFS('QA Log'!D:D,A295,'QA Log'!M:M,"Vignette",'QA Log'!L:L,"*Vignette [4]: The management of presumptive TB patient*")
)
)</f>
        <v/>
      </c>
      <c r="AW295" s="102" t="str">
        <f>IF(
  A295="","",
  SUM(
    COUNTIFS('QA Log'!D:D,A295,'QA Log'!M:M,"Vignette",'QA Log'!Z:Z,"Approved",'QA Log'!L:L,"*Vignette [1] Respiratory Infection: Pneumonia*"),
    COUNTIFS('QA Log'!D:D,A295,'QA Log'!M:M,"Vignette",'QA Log'!Z:Z,"Approved",'QA Log'!L:L,"*Vignette [2]: Diarrhea with Cat B dehydration*"),
    COUNTIFS('QA Log'!D:D,A295,'QA Log'!M:M,"Vignette",'QA Log'!Z:Z,"Approved",'QA Log'!L:L,"*Vignette [3] Growth Monitoring and Promotion*"),
    COUNTIFS('QA Log'!D:D,A295,'QA Log'!M:M,"Vignette",'QA Log'!Z:Z,"Approved",'QA Log'!L:L,"*Vignette [4]: The management of presumptive TB patient*")
  )
)</f>
        <v/>
      </c>
      <c r="AX295" s="105" t="str">
        <f>IF(A295&lt;&gt;"",COUNTIFS('QA Log'!D:D,A295,'QA Log'!M:M,"Vignette",'QA Log'!L:L,"Vignette [1] Respiratory Infection: Pneumonia",'QA Log'!Z:Z,"Approved"),"")</f>
        <v/>
      </c>
      <c r="AY295" s="105" t="str">
        <f>IF(A295&lt;&gt;"",COUNTIFS('QA Log'!D:D,A295,'QA Log'!M:M,"Vignette",'QA Log'!L:L,"Vignette [2]: Diarrhea with Cat B dehydration",'QA Log'!Z:Z,"Approved"),"")</f>
        <v/>
      </c>
      <c r="AZ295" s="105" t="str">
        <f>IF(A295&lt;&gt;"",COUNTIFS('QA Log'!D:D,A295,'QA Log'!M:M,"Vignette",'QA Log'!L:L,"Vignette [3] Growth Monitoring and Promotion",'QA Log'!Z:Z,"Approved"),"")</f>
        <v/>
      </c>
      <c r="BA295" s="105" t="str">
        <f>IF(A295&lt;&gt;"",COUNTIFS('QA Log'!D:D,A295,'QA Log'!M:M,"Vignette",'QA Log'!L:L,"Vignette [4]: The management of presumptive TB patient",'QA Log'!Z:Z,"Approved"),"")</f>
        <v/>
      </c>
      <c r="BB295" s="102" t="str">
        <f>IF(A295="","",
  SUM(
    COUNTIFS('QA Log'!D:D,A295,'QA Log'!M:M,"Vignette",'QA Log'!Z:Z,"Rejected",'QA Log'!L:L,"*Vignette [1] Respiratory Infection: Pneumonia*"),
    COUNTIFS('QA Log'!D:D,A295,'QA Log'!M:M,"Vignette",'QA Log'!Z:Z,"Rejected",'QA Log'!L:L,"*Vignette [2]: Diarrhea with Cat B dehydration*"),
    COUNTIFS('QA Log'!D:D,A295,'QA Log'!M:M,"Vignette",'QA Log'!Z:Z,"Rejected",'QA Log'!L:L,"*Vignette [3] Growth Monitoring and Promotion*"),
    COUNTIFS('QA Log'!D:D,A295,'QA Log'!M:M,"Vignette",'QA Log'!Z:Z,"Rejected",'QA Log'!L:L,"*Vignette [4]: The management of presumptive TB patient*")
  )
)</f>
        <v/>
      </c>
      <c r="BC295" s="107" t="str">
        <f t="shared" si="35"/>
        <v/>
      </c>
      <c r="BD295" s="103" t="str">
        <f t="shared" si="36"/>
        <v/>
      </c>
      <c r="BE295" s="102" t="str">
        <f>IF(A295="","",SUM(
COUNTIFS('QA Log'!D:D,A295,'QA Log'!M:M,"Vignette",'QA Log'!L:L,"*Vignette [5] Labor*"),
COUNTIFS('QA Log'!D:D,A295,'QA Log'!M:M,"Vignette",'QA Log'!L:L,"*Vignette [6] PNC pre Discharge*"),
COUNTIFS('QA Log'!D:D,A295,'QA Log'!M:M,"Vignette",'QA Log'!L:L,"*Vignette [7] First ANC Visit*"),
COUNTIFS('QA Log'!D:D,A295,'QA Log'!M:M,"Vignette",'QA Log'!L:L,"*Vignette [8] Birth Spacing/ Family Planning :  FP Counselling*"),
COUNTIFS('QA Log'!D:D,A295,'QA Log'!M:M,"Vignette",'QA Log'!L:L,"*Vignette [9] Birth Spacing: Change FP method to Injectable*"),
COUNTIFS('QA Log'!D:D,A295,'QA Log'!M:M,"Vignette",'QA Log'!L:L,"*Vignette [10] Post Partum Haemorrhage - Atonic Uterus at Health Centre*"),
)
)</f>
        <v/>
      </c>
      <c r="BF295" s="102" t="str">
        <f>IF(A295="","",
  SUM(
    COUNTIFS('QA Log'!D:D,A295,'QA Log'!M:M,"Vignette",'QA Log'!Z:Z,"Approved",'QA Log'!L:L,"*Vignette [5] Labor*"),
    COUNTIFS('QA Log'!D:D,A295,'QA Log'!M:M,"Vignette",'QA Log'!Z:Z,"Approved",'QA Log'!L:L,"*Vignette [6] PNC pre Discharge*"),
    COUNTIFS('QA Log'!D:D,A295,'QA Log'!M:M,"Vignette",'QA Log'!Z:Z,"Approved",'QA Log'!L:L,"*Vignette [7] First ANC Visit*"),
    COUNTIFS('QA Log'!D:D,A295,'QA Log'!M:M,"Vignette",'QA Log'!Z:Z,"Approved",'QA Log'!L:L,"*Vignette [8] Birth Spacing/ Family Planning :  FP Counselling*"),
    COUNTIFS('QA Log'!D:D,A295,'QA Log'!M:M,"Vignette",'QA Log'!Z:Z,"Approved",'QA Log'!L:L,"*Vignette [9] Birth Spacing: Change FP method to Injectable*"),
    COUNTIFS('QA Log'!D:D,A295,'QA Log'!M:M,"Vignette",'QA Log'!Z:Z,"Approved",'QA Log'!L:L,"*Vignette [10] Post Partum Haemorrhage - Atonic Uterus at Health Centre*")
  )
)</f>
        <v/>
      </c>
      <c r="BG295" s="105" t="str">
        <f>IF(A295&lt;&gt;"",COUNTIFS('QA Log'!D:D,A295,'QA Log'!M:M,"Vignette",'QA Log'!L:L,"Vignette [5] Labor",'QA Log'!Z:Z,"Approved"),"")</f>
        <v/>
      </c>
      <c r="BH295" s="105" t="str">
        <f>IF(A295&lt;&gt;"",COUNTIFS('QA Log'!D:D,A295,'QA Log'!M:M,"Vignette",'QA Log'!L:L,"Vignette [6] PNC pre Discharge",'QA Log'!Z:Z,"Approved"),"")</f>
        <v/>
      </c>
      <c r="BI295" s="105" t="str">
        <f>IF(A295&lt;&gt;"",COUNTIFS('QA Log'!D:D,A295,'QA Log'!M:M,"Vignette",'QA Log'!L:L,"Vignette [7] First ANC Visit",'QA Log'!Z:Z,"Approved"),"")</f>
        <v/>
      </c>
      <c r="BJ295" s="105" t="str">
        <f>IF(A295&lt;&gt;"",COUNTIFS('QA Log'!D:D,A295,'QA Log'!M:M,"Vignette",'QA Log'!L:L,"Vignette [8] Birth Spacing/ Family Planning :  FP Counselling",'QA Log'!Z:Z,"Approved"),"")</f>
        <v/>
      </c>
      <c r="BK295" s="105" t="str">
        <f>IF(A295&lt;&gt;"",COUNTIFS('QA Log'!D:D,A295,'QA Log'!M:M,"Vignette",'QA Log'!L:L,"Vignette [9] Birth Spacing: Change FP method to Injectable",'QA Log'!Z:Z,"Approved"),"")</f>
        <v/>
      </c>
      <c r="BL295" s="105" t="str">
        <f>IF(A295&lt;&gt;"",COUNTIFS('QA Log'!D:D,A295,'QA Log'!M:M,"Vignette",'QA Log'!L:L,"Vignette [10] Post Partum Haemorrhage - Atonic Uterus at Health Centre",'QA Log'!Z:Z,"Approved"),"")</f>
        <v/>
      </c>
      <c r="BM295" s="102" t="str">
        <f>IF(A295="","",SUM(
    COUNTIFS('QA Log'!D:D,A295,'QA Log'!M:M,"Vignette",'QA Log'!Z:Z,"Rejected",'QA Log'!L:L,"*Vignette [5] Labor*"),
    COUNTIFS('QA Log'!D:D,A295,'QA Log'!M:M,"Vignette",'QA Log'!Z:Z,"Rejected",'QA Log'!L:L,"*Vignette [6] PNC pre Discharge*"),
    COUNTIFS('QA Log'!D:D,A295,'QA Log'!M:M,"Vignette",'QA Log'!Z:Z,"Rejected",'QA Log'!L:L,"*Vignette [7] First ANC Visit*"),
    COUNTIFS('QA Log'!D:D,A295,'QA Log'!M:M,"Vignette",'QA Log'!Z:Z,"Rejected",'QA Log'!L:L,"*Vignette [8] Birth Spacing/ Family Planning :  FP Counselling*"),
    COUNTIFS('QA Log'!D:D,A295,'QA Log'!M:M,"Vignette",'QA Log'!Z:Z,"Rejected",'QA Log'!L:L,"*Vignette [9] Birth Spacing: Change FP method to Injectable*"),
    COUNTIFS('QA Log'!D:D,A295,'QA Log'!M:M,"Vignette",'QA Log'!Z:Z,"Rejected",'QA Log'!L:L,"*Vignette [10] Post Partum Haemorrhage - Atonic Uterus at Health Centre*")
  )
)</f>
        <v/>
      </c>
      <c r="BN295" s="107" t="str">
        <f t="shared" si="37"/>
        <v/>
      </c>
      <c r="BO295" s="103" t="str">
        <f t="shared" si="38"/>
        <v/>
      </c>
      <c r="BP295" s="102" t="str">
        <f>IF(A295="","",SUM(
COUNTIFS('QA Log'!D:D,A295,'QA Log'!M:M,"Vignette",'QA Log'!L:L,"*Exit Interview 1*"),
COUNTIFS('QA Log'!D:D,A295,'QA Log'!M:M,"Vignette",'QA Log'!L:L,"*Exit Interview 2*"),
)
)</f>
        <v/>
      </c>
      <c r="BQ295" s="102" t="str">
        <f>IF(
  A295="","",
  SUM(
    COUNTIFS('QA Log'!D:D,A295,'QA Log'!M:M,"Vignette",'QA Log'!Z:Z,"Approved",'QA Log'!L:L,"*Exit Interview 1*"),
    COUNTIFS('QA Log'!D:D,A295,'QA Log'!M:M,"Vignette",'QA Log'!Z:Z,"Approved",'QA Log'!L:L,"*Exit Interview 2*")
  )
)</f>
        <v/>
      </c>
      <c r="BR295" s="105" t="str">
        <f>IF(A295&lt;&gt;"",COUNTIFS('QA Log'!D:D,A295,'QA Log'!M:M,"Vignette",'QA Log'!L:L,"Exit Interview 1",'QA Log'!Z:Z,"Approved"),"")</f>
        <v/>
      </c>
      <c r="BS295" s="105" t="str">
        <f>IF(A295&lt;&gt;"",COUNTIFS('QA Log'!D:D,A295,'QA Log'!M:M,"Vignette",'QA Log'!L:L,"Exit Interview 2",'QA Log'!Z:Z,"Approved"),"")</f>
        <v/>
      </c>
      <c r="BT295" s="102" t="str">
        <f>IF(
  A295="","",
  SUM(
    COUNTIFS('QA Log'!D:D,A295,'QA Log'!M:M,"Vignette",'QA Log'!Z:Z,"Rejected",'QA Log'!L:L,"*Exit Interview 1*"),
    COUNTIFS('QA Log'!D:D,A295,'QA Log'!M:M,"Vignette",'QA Log'!Z:Z,"Rejected",'QA Log'!L:L,"*Exit Interview 2*")
  )
)</f>
        <v/>
      </c>
      <c r="BU295" s="107" t="str">
        <f t="shared" si="39"/>
        <v/>
      </c>
      <c r="BV295" s="102" t="str">
        <f t="shared" si="40"/>
        <v/>
      </c>
      <c r="BW295" s="102" t="str">
        <f t="shared" si="41"/>
        <v/>
      </c>
      <c r="BX295" s="102" t="str">
        <f t="shared" si="42"/>
        <v/>
      </c>
      <c r="BY295" s="102" t="str">
        <f t="shared" si="43"/>
        <v/>
      </c>
      <c r="BZ295" s="107" t="str">
        <f t="shared" si="44"/>
        <v/>
      </c>
      <c r="CA295" s="108" t="str">
        <f t="shared" si="45"/>
        <v/>
      </c>
      <c r="CB295" s="108" t="str">
        <f t="shared" si="46"/>
        <v/>
      </c>
      <c r="CC295" s="109" t="str">
        <f t="shared" si="47"/>
        <v/>
      </c>
      <c r="CD295" s="108" t="str">
        <f t="shared" si="48"/>
        <v/>
      </c>
      <c r="CE295" s="108" t="str">
        <f t="shared" si="49"/>
        <v/>
      </c>
      <c r="CF295" s="109" t="str">
        <f t="shared" si="50"/>
        <v/>
      </c>
      <c r="CG295" s="110" t="str">
        <f t="shared" si="51"/>
        <v/>
      </c>
      <c r="CH295" s="111"/>
    </row>
    <row r="296" spans="1:86" ht="12.75">
      <c r="A296" s="101"/>
      <c r="B296" s="102" t="e">
        <f t="array" aca="1" ref="B296" ca="1">_xludf.XLOOKUP(A296,'QA Log'!D:D,'QA Log'!E:E,"")</f>
        <v>#NAME?</v>
      </c>
      <c r="C296" s="102" t="e">
        <f t="array" aca="1" ref="C296" ca="1">_xludf.XLOOKUP(A296,'QA Log'!D:D,'QA Log'!F:F,"")</f>
        <v>#NAME?</v>
      </c>
      <c r="D296" s="102" t="e">
        <f t="array" aca="1" ref="D296" ca="1">_xludf.XLOOKUP(A296,'QA Log'!D:D,'QA Log'!H:H,"")</f>
        <v>#NAME?</v>
      </c>
      <c r="E296" s="102" t="e">
        <f t="array" aca="1" ref="E296" ca="1">_xludf.XLOOKUP(A296,'QA Log'!D:D,'QA Log'!G:G,"")</f>
        <v>#NAME?</v>
      </c>
      <c r="F296" s="103"/>
      <c r="G296" s="104"/>
      <c r="H296" s="104"/>
      <c r="I296" s="103" t="str">
        <f t="shared" si="26"/>
        <v/>
      </c>
      <c r="J296" s="102" t="str">
        <f>IF(A296="","",SUM(
COUNTIFS('QA Log'!D:D,A296,'QA Log'!M:M,"QQC",'QA Log'!L:L,"*1. General Management*"),
COUNTIFS('QA Log'!D:D,A296,'QA Log'!M:M,"QQC",'QA Log'!L:L,"*3. Curative Consultation (OPD)*"),
COUNTIFS('QA Log'!D:D,A296,'QA Log'!M:M,"QQC",'QA Log'!L:L,"*5. Laboratory*"),
COUNTIFS('QA Log'!D:D,A296,'QA Log'!M:M,"QQC",'QA Log'!L:L,"*6. Essential Medicine Management*"),
COUNTIFS('QA Log'!D:D,A296,'QA Log'!M:M,"QQC",'QA Log'!L:L,"*7. Tracer Medicine*"),
COUNTIFS('QA Log'!D:D,A296,'QA Log'!M:M,"QQC",'QA Log'!L:L,"*11. Additional Questions*")))</f>
        <v/>
      </c>
      <c r="K296" s="102" t="str">
        <f>IF(A296="","",SUM(
COUNTIFS('QA Log'!D:D,A296,'QA Log'!M:M,"QQC",'QA Log'!Z:Z,"Approved",'QA Log'!L:L,"*1. General Management*"),
COUNTIFS('QA Log'!D:D,A296,'QA Log'!M:M,"QQC",'QA Log'!Z:Z,"Approved",'QA Log'!L:L,"*3. Curative Consultation (OPD)*"),
COUNTIFS('QA Log'!D:D,A296,'QA Log'!M:M,"QQC",'QA Log'!Z:Z,"Approved",'QA Log'!L:L,"*5. Laboratory*"),
COUNTIFS('QA Log'!D:D,A296,'QA Log'!M:M,"QQC",'QA Log'!Z:Z,"Approved",'QA Log'!L:L,"*6. Essential Medicine Management*"),
COUNTIFS('QA Log'!D:D,A296,'QA Log'!M:M,"QQC",'QA Log'!Z:Z,"Approved",'QA Log'!L:L,"*7. Tracer Medicine*"),
COUNTIFS('QA Log'!D:D,A296,'QA Log'!M:M,"QQC",'QA Log'!Z:Z,"Approved",'QA Log'!L:L,"*11. Additional Questions*")))</f>
        <v/>
      </c>
      <c r="L296" s="105" t="str">
        <f>IF(A296&lt;&gt;"",COUNTIFS('QA Log'!D:D,A296,'QA Log'!M:M,"QQC",'QA Log'!L:L,"1. General Management",'QA Log'!Z:Z,"Approved"),"")</f>
        <v/>
      </c>
      <c r="M296" s="105" t="str">
        <f>IF(A296&lt;&gt;"",COUNTIFS('QA Log'!D:D,A296,'QA Log'!M:M,"QQC",'QA Log'!L:L,"3. Curative Consultation (OPD)",'QA Log'!Z:Z,"Approved"),"")</f>
        <v/>
      </c>
      <c r="N296" s="105" t="str">
        <f>IF(A296&lt;&gt;"",COUNTIFS('QA Log'!D:D,A296,'QA Log'!M:M,"QQC",'QA Log'!L:L,"5. Laboratory",'QA Log'!Z:Z,"Approved"),"")</f>
        <v/>
      </c>
      <c r="O296" s="105" t="str">
        <f>IF(A296&lt;&gt;"",COUNTIFS('QA Log'!D:D,A296,'QA Log'!M:M,"QQC",'QA Log'!L:L,"6. Essential Medicine Management",'QA Log'!Z:Z,"Approved"),"")</f>
        <v/>
      </c>
      <c r="P296" s="105" t="str">
        <f>IF(A296&lt;&gt;"",COUNTIFS('QA Log'!D:D,A296,'QA Log'!M:M,"QQC",'QA Log'!L:L,"7. Tracer Medicine",'QA Log'!Z:Z,"Approved"),"")</f>
        <v/>
      </c>
      <c r="Q296" s="105" t="str">
        <f>IF(A296&lt;&gt;"",COUNTIFS('QA Log'!D:D,A296,'QA Log'!M:M,"QQC",'QA Log'!L:L,"11. Additional Questions",'QA Log'!Z:Z,"Approved"),"")</f>
        <v/>
      </c>
      <c r="R296" s="102" t="str">
        <f>IF(A296="","",SUM(
COUNTIFS('QA Log'!D:D,A296,'QA Log'!M:M,"QQC",'QA Log'!Z:Z,"Rejected",'QA Log'!L:L,"*8. Maternity*"),
COUNTIFS('QA Log'!D:D,A296,'QA Log'!M:M,"QQC",'QA Log'!Z:Z,"Rejected",'QA Log'!L:L,"*EPI*"),
COUNTIFS('QA Log'!D:D,A296,'QA Log'!M:M,"QQC",'QA Log'!Z:Z,"Rejected",'QA Log'!L:L,"*10. Antenatal Care (ANC)*"),
COUNTIFS('QA Log'!D:D,A296,'QA Log'!M:M,"QQC",'QA Log'!Z:Z,"Rejected",'QA Log'!L:L,"*2. Hygiene and Sterilization*"),
COUNTIFS('QA Log'!D:D,A296,'QA Log'!M:M,"QQC",'QA Log'!Z:Z,"Rejected",'QA Log'!L:L,"*Family Planning*")))</f>
        <v/>
      </c>
      <c r="S296" s="106" t="str">
        <f t="shared" si="27"/>
        <v/>
      </c>
      <c r="T296" s="102" t="str">
        <f t="shared" si="28"/>
        <v/>
      </c>
      <c r="U296" s="102" t="str">
        <f>IF(A296="","",
SUM(
COUNTIFS('QA Log'!D:D,A296,'QA Log'!M:M,"QQC",'QA Log'!L:L,"*8. Maternity*"),
COUNTIFS('QA Log'!D:D,A296,'QA Log'!M:M,"QQC",'QA Log'!L:L,"*9. EPI and Pre-school Consultation*"),
COUNTIFS('QA Log'!D:D,A296,'QA Log'!M:M,"QQC",'QA Log'!L:L,"*10. Antenatal Care (ANC)*"),
COUNTIFS('QA Log'!D:D,A296,'QA Log'!M:M,"QQC",'QA Log'!L:L,"*2. Hygiene and Sterilization*"),
COUNTIFS('QA Log'!D:D,A296,'QA Log'!M:M,"QQC",'QA Log'!L:L,"*4. Family Planning*")
))</f>
        <v/>
      </c>
      <c r="V296" s="102" t="str">
        <f>IF(A296="","",
SUM(
COUNTIFS('QA Log'!D:D,A296,'QA Log'!M:M,"QQC",'QA Log'!Z:Z,"Approved",'QA Log'!L:L,"*8. Maternity*"),
COUNTIFS('QA Log'!D:D,A296,'QA Log'!M:M,"QQC",'QA Log'!Z:Z,"Approved",'QA Log'!L:L,"*9. EPI and Pre-school Consultation*"),
COUNTIFS('QA Log'!D:D,A296,'QA Log'!M:M,"QQC",'QA Log'!Z:Z,"Approved",'QA Log'!L:L,"*10. Antenatal Care (ANC)*"),
COUNTIFS('QA Log'!D:D,A296,'QA Log'!M:M,"QQC",'QA Log'!Z:Z,"Approved",'QA Log'!L:L,"*2. Hygiene and Sterilization*"),
COUNTIFS('QA Log'!D:D,A296,'QA Log'!M:M,"QQC",'QA Log'!Z:Z,"Approved",'QA Log'!L:L,"*4. Family Planning*")
))</f>
        <v/>
      </c>
      <c r="W296" s="105" t="str">
        <f>IF(A296&lt;&gt;"",COUNTIFS('QA Log'!D:D,A296,'QA Log'!M:M,"QQC",'QA Log'!L:L,"8. Maternity",'QA Log'!Z:Z,"Approved"),"")</f>
        <v/>
      </c>
      <c r="X296" s="105" t="str">
        <f>IF(A296&lt;&gt;"",COUNTIFS('QA Log'!D:D,A296,'QA Log'!M:M,"QQC",'QA Log'!L:L,"9. EPI and Pre-school Consultation",'QA Log'!Z:Z,"Approved"),"")</f>
        <v/>
      </c>
      <c r="Y296" s="105" t="str">
        <f>IF(A296&lt;&gt;"",COUNTIFS('QA Log'!D:D,A296,'QA Log'!M:M,"QQC",'QA Log'!L:L,"10. Antenatal Care (ANC)",'QA Log'!Z:Z,"Approved"),"")</f>
        <v/>
      </c>
      <c r="Z296" s="105" t="str">
        <f>IF(A296&lt;&gt;"",COUNTIFS('QA Log'!D:D,A296,'QA Log'!M:M,"QQC",'QA Log'!L:L,"2. Hygiene and Sterilization",'QA Log'!Z:Z,"Approved"),"")</f>
        <v/>
      </c>
      <c r="AA296" s="105" t="str">
        <f>IF(A296&lt;&gt;"",COUNTIFS('QA Log'!D:D,A296,'QA Log'!M:M,"QQC",'QA Log'!L:L,"4. Family Planning",'QA Log'!Z:Z,"Approved"),"")</f>
        <v/>
      </c>
      <c r="AB296" s="102" t="str">
        <f>IF(A296="","",
SUM(
COUNTIFS('QA Log'!D:D,A296,'QA Log'!M:M,"QQC",'QA Log'!Z:Z,"Rejected",'QA Log'!L:L,"*8. Maternity*"),
COUNTIFS('QA Log'!D:D,A296,'QA Log'!M:M,"QQC",'QA Log'!Z:Z,"Rejected",'QA Log'!L:L,"*9. EPI and Pre-school Consultation*"),
COUNTIFS('QA Log'!D:D,A296,'QA Log'!M:M,"QQC",'QA Log'!Z:Z,"Rejected",'QA Log'!L:L,"*10. Antenatal Care (ANC)*"),
COUNTIFS('QA Log'!D:D,A296,'QA Log'!M:M,"QQC",'QA Log'!Z:Z,"Rejected",'QA Log'!L:L,"*2. Hygiene and Sterilization*"),
COUNTIFS('QA Log'!D:D,A296,'QA Log'!M:M,"QQC",'QA Log'!Z:Z,"Rejected",'QA Log'!L:L,"*4. Family Planning*")
))</f>
        <v/>
      </c>
      <c r="AC296" s="102" t="str">
        <f t="shared" si="29"/>
        <v/>
      </c>
      <c r="AD296" s="103" t="str">
        <f t="shared" si="30"/>
        <v/>
      </c>
      <c r="AE296" s="102" t="str">
        <f>IF(A296="","",
SUM(
COUNTIFS('QA Log'!D:D,A296,'QA Log'!M:M,"Data Verification",'QA Log'!L:L,"*Medicine (section 2)*"),
COUNTIFS('QA Log'!D:D,A296,'QA Log'!M:M,"Data Verification",'QA Log'!L:L,"*Lab Testing Availability*"),
COUNTIFS('QA Log'!D:D,A296,'QA Log'!M:M,"Data Verification",'QA Log'!L:L,"*Other than P4P (section 6)*"),
COUNTIFS('QA Log'!D:D,A296,'QA Log'!M:M,"Data Verification",'QA Log'!L:L,"*Hospital Governance*")
))</f>
        <v/>
      </c>
      <c r="AF296" s="102" t="str">
        <f>IF(A296="","",
SUM(
COUNTIFS('QA Log'!D:D,A296,'QA Log'!M:M,"Data Verification",'QA Log'!Z:Z,"Approved",'QA Log'!L:L,"*Medicine (section 2)*"),
COUNTIFS('QA Log'!D:D,A296,'QA Log'!M:M,"Data Verification",'QA Log'!Z:Z,"Approved",'QA Log'!L:L,"*Lab Testing Availability*"),
COUNTIFS('QA Log'!D:D,A296,'QA Log'!M:M,"Data Verification",'QA Log'!Z:Z,"Approved",'QA Log'!L:L,"*Other than P4P (section 6)*"),
COUNTIFS('QA Log'!D:D,A296,'QA Log'!M:M,"Data Verification",'QA Log'!Z:Z,"Approved",'QA Log'!L:L,"*Hospital Governance*")
))</f>
        <v/>
      </c>
      <c r="AG296" s="105" t="str">
        <f>IF(A296&lt;&gt;"",COUNTIFS('QA Log'!D:D,A296,'QA Log'!M:M,"Data Verification",'QA Log'!L:L,"Medicine (section 2)",'QA Log'!Z:Z,"Approved"),"")</f>
        <v/>
      </c>
      <c r="AH296" s="105" t="str">
        <f>IF(A296&lt;&gt;"",COUNTIFS('QA Log'!D:D,A296,'QA Log'!M:M,"Data Verification",'QA Log'!L:L,"Lab Testing Availability",'QA Log'!Z:Z,"Approved"),"")</f>
        <v/>
      </c>
      <c r="AI296" s="105" t="str">
        <f>IF(A296&lt;&gt;"",COUNTIFS('QA Log'!D:D,A296,'QA Log'!M:M,"Data Verification",'QA Log'!L:L,"Other than P4P (section 6)",'QA Log'!Z:Z,"Approved"),"")</f>
        <v/>
      </c>
      <c r="AJ296" s="105" t="str">
        <f>IF(A296&lt;&gt;"",COUNTIFS('QA Log'!D:D,A296,'QA Log'!M:M,"Data Verification",'QA Log'!L:L,"Hospital Governance",'QA Log'!Z:Z,"Approved"),"")</f>
        <v/>
      </c>
      <c r="AK296" s="102" t="str">
        <f>IF(A296="","",
SUM(
COUNTIFS('QA Log'!D:D,A296,'QA Log'!M:M,"Data Verification",'QA Log'!Z:Z,"Rejected",'QA Log'!L:L,"*Medicine (section 2)*"),
COUNTIFS('QA Log'!D:D,A296,'QA Log'!M:M,"Data Verification",'QA Log'!Z:Z,"Rejected",'QA Log'!L:L,"*Lab Testing Availability*"),
COUNTIFS('QA Log'!D:D,A296,'QA Log'!M:M,"Data Verification",'QA Log'!Z:Z,"Rejected",'QA Log'!L:L,"*Other than P4P (section 6)*"),
COUNTIFS('QA Log'!D:D,A296,'QA Log'!M:M,"Data Verification",'QA Log'!Z:Z,"Rejected",'QA Log'!L:L,"*Hospital Governance*")
))</f>
        <v/>
      </c>
      <c r="AL296" s="106" t="str">
        <f t="shared" si="31"/>
        <v/>
      </c>
      <c r="AM296" s="102" t="str">
        <f t="shared" si="32"/>
        <v/>
      </c>
      <c r="AN296" s="102" t="str">
        <f>IF(A296="","",
SUM(
COUNTIFS('QA Log'!D:D,A296,'QA Log'!M:M,"Data Verification",'QA Log'!L:L,"*Personnel (section 1)*"),
COUNTIFS('QA Log'!D:D,A296,'QA Log'!M:M,"Data Verification",'QA Log'!L:L,"*Consumable (section 3)*"),
COUNTIFS('QA Log'!D:D,A296,'QA Log'!M:M,"Data Verification",'QA Log'!L:L,"*Equipments (section 4)*")
))</f>
        <v/>
      </c>
      <c r="AO296" s="102" t="str">
        <f>IF(A296="","",
SUM(
COUNTIFS('QA Log'!D:D,A296,'QA Log'!M:M,"Data Verification",'QA Log'!Z:Z,"Approved",'QA Log'!L:L,"*Personnel (section 1)*"),
COUNTIFS('QA Log'!D:D,A296,'QA Log'!M:M,"Data Verification",'QA Log'!Z:Z,"Approved",'QA Log'!L:L,"*Consumable (section 3)*"),
COUNTIFS('QA Log'!D:D,A296,'QA Log'!M:M,"Data Verification",'QA Log'!Z:Z,"Approved",'QA Log'!L:L,"*Equipments (section 4)*")
))</f>
        <v/>
      </c>
      <c r="AP296" s="105" t="str">
        <f>IF(A296&lt;&gt;"",COUNTIFS('QA Log'!D:D,A296,'QA Log'!M:M,"Data Verification",'QA Log'!L:L,"Personnel (section 1)",'QA Log'!Z:Z,"Approved"),"")</f>
        <v/>
      </c>
      <c r="AQ296" s="105" t="str">
        <f>IF(A296&lt;&gt;"",COUNTIFS('QA Log'!D:D,A296,'QA Log'!M:M,"Data Verification",'QA Log'!L:L,"Consumable (section 3)",'QA Log'!Z:Z,"Approved"),"")</f>
        <v/>
      </c>
      <c r="AR296" s="105" t="str">
        <f>IF(A296&lt;&gt;"",COUNTIFS('QA Log'!D:D,A296,'QA Log'!M:M,"Data Verification",'QA Log'!L:L,"Equipments (section 4)",'QA Log'!Z:Z,"Approved"),"")</f>
        <v/>
      </c>
      <c r="AS296" s="102" t="str">
        <f>IF(A296="","",
SUM(
COUNTIFS('QA Log'!D:D,A296,'QA Log'!M:M,"Data Verification",'QA Log'!Z:Z,"Rejected",'QA Log'!L:L,"*Personnel (section 1)*"),
COUNTIFS('QA Log'!D:D,A296,'QA Log'!M:M,"Data Verification",'QA Log'!Z:Z,"Rejected",'QA Log'!L:L,"*Consumable (section 3)*"),
COUNTIFS('QA Log'!D:D,A296,'QA Log'!M:M,"Data Verification",'QA Log'!Z:Z,"Rejected",'QA Log'!L:L,"*Equipments (section 4)*")
))</f>
        <v/>
      </c>
      <c r="AT296" s="102" t="str">
        <f t="shared" si="33"/>
        <v/>
      </c>
      <c r="AU296" s="103" t="str">
        <f t="shared" si="34"/>
        <v/>
      </c>
      <c r="AV296" s="102" t="str">
        <f>IF(A296="","",SUM(
COUNTIFS('QA Log'!D:D,A296,'QA Log'!M:M,"Vignette",'QA Log'!L:L,"*Vignette [1] Respiratory Infection: Pneumonia*"),
COUNTIFS('QA Log'!D:D,A296,'QA Log'!M:M,"Vignette",'QA Log'!L:L,"*Vignette [2]: Diarrhea with Cat B dehydration*"),
COUNTIFS('QA Log'!D:D,A296,'QA Log'!M:M,"Vignette",'QA Log'!L:L,"*Vignette [3] Growth Monitoring and Promotion*"),
COUNTIFS('QA Log'!D:D,A296,'QA Log'!M:M,"Vignette",'QA Log'!L:L,"*Vignette [4]: The management of presumptive TB patient*")
)
)</f>
        <v/>
      </c>
      <c r="AW296" s="102" t="str">
        <f>IF(
  A296="","",
  SUM(
    COUNTIFS('QA Log'!D:D,A296,'QA Log'!M:M,"Vignette",'QA Log'!Z:Z,"Approved",'QA Log'!L:L,"*Vignette [1] Respiratory Infection: Pneumonia*"),
    COUNTIFS('QA Log'!D:D,A296,'QA Log'!M:M,"Vignette",'QA Log'!Z:Z,"Approved",'QA Log'!L:L,"*Vignette [2]: Diarrhea with Cat B dehydration*"),
    COUNTIFS('QA Log'!D:D,A296,'QA Log'!M:M,"Vignette",'QA Log'!Z:Z,"Approved",'QA Log'!L:L,"*Vignette [3] Growth Monitoring and Promotion*"),
    COUNTIFS('QA Log'!D:D,A296,'QA Log'!M:M,"Vignette",'QA Log'!Z:Z,"Approved",'QA Log'!L:L,"*Vignette [4]: The management of presumptive TB patient*")
  )
)</f>
        <v/>
      </c>
      <c r="AX296" s="105" t="str">
        <f>IF(A296&lt;&gt;"",COUNTIFS('QA Log'!D:D,A296,'QA Log'!M:M,"Vignette",'QA Log'!L:L,"Vignette [1] Respiratory Infection: Pneumonia",'QA Log'!Z:Z,"Approved"),"")</f>
        <v/>
      </c>
      <c r="AY296" s="105" t="str">
        <f>IF(A296&lt;&gt;"",COUNTIFS('QA Log'!D:D,A296,'QA Log'!M:M,"Vignette",'QA Log'!L:L,"Vignette [2]: Diarrhea with Cat B dehydration",'QA Log'!Z:Z,"Approved"),"")</f>
        <v/>
      </c>
      <c r="AZ296" s="105" t="str">
        <f>IF(A296&lt;&gt;"",COUNTIFS('QA Log'!D:D,A296,'QA Log'!M:M,"Vignette",'QA Log'!L:L,"Vignette [3] Growth Monitoring and Promotion",'QA Log'!Z:Z,"Approved"),"")</f>
        <v/>
      </c>
      <c r="BA296" s="105" t="str">
        <f>IF(A296&lt;&gt;"",COUNTIFS('QA Log'!D:D,A296,'QA Log'!M:M,"Vignette",'QA Log'!L:L,"Vignette [4]: The management of presumptive TB patient",'QA Log'!Z:Z,"Approved"),"")</f>
        <v/>
      </c>
      <c r="BB296" s="102" t="str">
        <f>IF(A296="","",
  SUM(
    COUNTIFS('QA Log'!D:D,A296,'QA Log'!M:M,"Vignette",'QA Log'!Z:Z,"Rejected",'QA Log'!L:L,"*Vignette [1] Respiratory Infection: Pneumonia*"),
    COUNTIFS('QA Log'!D:D,A296,'QA Log'!M:M,"Vignette",'QA Log'!Z:Z,"Rejected",'QA Log'!L:L,"*Vignette [2]: Diarrhea with Cat B dehydration*"),
    COUNTIFS('QA Log'!D:D,A296,'QA Log'!M:M,"Vignette",'QA Log'!Z:Z,"Rejected",'QA Log'!L:L,"*Vignette [3] Growth Monitoring and Promotion*"),
    COUNTIFS('QA Log'!D:D,A296,'QA Log'!M:M,"Vignette",'QA Log'!Z:Z,"Rejected",'QA Log'!L:L,"*Vignette [4]: The management of presumptive TB patient*")
  )
)</f>
        <v/>
      </c>
      <c r="BC296" s="107" t="str">
        <f t="shared" si="35"/>
        <v/>
      </c>
      <c r="BD296" s="103" t="str">
        <f t="shared" si="36"/>
        <v/>
      </c>
      <c r="BE296" s="102" t="str">
        <f>IF(A296="","",SUM(
COUNTIFS('QA Log'!D:D,A296,'QA Log'!M:M,"Vignette",'QA Log'!L:L,"*Vignette [5] Labor*"),
COUNTIFS('QA Log'!D:D,A296,'QA Log'!M:M,"Vignette",'QA Log'!L:L,"*Vignette [6] PNC pre Discharge*"),
COUNTIFS('QA Log'!D:D,A296,'QA Log'!M:M,"Vignette",'QA Log'!L:L,"*Vignette [7] First ANC Visit*"),
COUNTIFS('QA Log'!D:D,A296,'QA Log'!M:M,"Vignette",'QA Log'!L:L,"*Vignette [8] Birth Spacing/ Family Planning :  FP Counselling*"),
COUNTIFS('QA Log'!D:D,A296,'QA Log'!M:M,"Vignette",'QA Log'!L:L,"*Vignette [9] Birth Spacing: Change FP method to Injectable*"),
COUNTIFS('QA Log'!D:D,A296,'QA Log'!M:M,"Vignette",'QA Log'!L:L,"*Vignette [10] Post Partum Haemorrhage - Atonic Uterus at Health Centre*"),
)
)</f>
        <v/>
      </c>
      <c r="BF296" s="102" t="str">
        <f>IF(A296="","",
  SUM(
    COUNTIFS('QA Log'!D:D,A296,'QA Log'!M:M,"Vignette",'QA Log'!Z:Z,"Approved",'QA Log'!L:L,"*Vignette [5] Labor*"),
    COUNTIFS('QA Log'!D:D,A296,'QA Log'!M:M,"Vignette",'QA Log'!Z:Z,"Approved",'QA Log'!L:L,"*Vignette [6] PNC pre Discharge*"),
    COUNTIFS('QA Log'!D:D,A296,'QA Log'!M:M,"Vignette",'QA Log'!Z:Z,"Approved",'QA Log'!L:L,"*Vignette [7] First ANC Visit*"),
    COUNTIFS('QA Log'!D:D,A296,'QA Log'!M:M,"Vignette",'QA Log'!Z:Z,"Approved",'QA Log'!L:L,"*Vignette [8] Birth Spacing/ Family Planning :  FP Counselling*"),
    COUNTIFS('QA Log'!D:D,A296,'QA Log'!M:M,"Vignette",'QA Log'!Z:Z,"Approved",'QA Log'!L:L,"*Vignette [9] Birth Spacing: Change FP method to Injectable*"),
    COUNTIFS('QA Log'!D:D,A296,'QA Log'!M:M,"Vignette",'QA Log'!Z:Z,"Approved",'QA Log'!L:L,"*Vignette [10] Post Partum Haemorrhage - Atonic Uterus at Health Centre*")
  )
)</f>
        <v/>
      </c>
      <c r="BG296" s="105" t="str">
        <f>IF(A296&lt;&gt;"",COUNTIFS('QA Log'!D:D,A296,'QA Log'!M:M,"Vignette",'QA Log'!L:L,"Vignette [5] Labor",'QA Log'!Z:Z,"Approved"),"")</f>
        <v/>
      </c>
      <c r="BH296" s="105" t="str">
        <f>IF(A296&lt;&gt;"",COUNTIFS('QA Log'!D:D,A296,'QA Log'!M:M,"Vignette",'QA Log'!L:L,"Vignette [6] PNC pre Discharge",'QA Log'!Z:Z,"Approved"),"")</f>
        <v/>
      </c>
      <c r="BI296" s="105" t="str">
        <f>IF(A296&lt;&gt;"",COUNTIFS('QA Log'!D:D,A296,'QA Log'!M:M,"Vignette",'QA Log'!L:L,"Vignette [7] First ANC Visit",'QA Log'!Z:Z,"Approved"),"")</f>
        <v/>
      </c>
      <c r="BJ296" s="105" t="str">
        <f>IF(A296&lt;&gt;"",COUNTIFS('QA Log'!D:D,A296,'QA Log'!M:M,"Vignette",'QA Log'!L:L,"Vignette [8] Birth Spacing/ Family Planning :  FP Counselling",'QA Log'!Z:Z,"Approved"),"")</f>
        <v/>
      </c>
      <c r="BK296" s="105" t="str">
        <f>IF(A296&lt;&gt;"",COUNTIFS('QA Log'!D:D,A296,'QA Log'!M:M,"Vignette",'QA Log'!L:L,"Vignette [9] Birth Spacing: Change FP method to Injectable",'QA Log'!Z:Z,"Approved"),"")</f>
        <v/>
      </c>
      <c r="BL296" s="105" t="str">
        <f>IF(A296&lt;&gt;"",COUNTIFS('QA Log'!D:D,A296,'QA Log'!M:M,"Vignette",'QA Log'!L:L,"Vignette [10] Post Partum Haemorrhage - Atonic Uterus at Health Centre",'QA Log'!Z:Z,"Approved"),"")</f>
        <v/>
      </c>
      <c r="BM296" s="102" t="str">
        <f>IF(A296="","",SUM(
    COUNTIFS('QA Log'!D:D,A296,'QA Log'!M:M,"Vignette",'QA Log'!Z:Z,"Rejected",'QA Log'!L:L,"*Vignette [5] Labor*"),
    COUNTIFS('QA Log'!D:D,A296,'QA Log'!M:M,"Vignette",'QA Log'!Z:Z,"Rejected",'QA Log'!L:L,"*Vignette [6] PNC pre Discharge*"),
    COUNTIFS('QA Log'!D:D,A296,'QA Log'!M:M,"Vignette",'QA Log'!Z:Z,"Rejected",'QA Log'!L:L,"*Vignette [7] First ANC Visit*"),
    COUNTIFS('QA Log'!D:D,A296,'QA Log'!M:M,"Vignette",'QA Log'!Z:Z,"Rejected",'QA Log'!L:L,"*Vignette [8] Birth Spacing/ Family Planning :  FP Counselling*"),
    COUNTIFS('QA Log'!D:D,A296,'QA Log'!M:M,"Vignette",'QA Log'!Z:Z,"Rejected",'QA Log'!L:L,"*Vignette [9] Birth Spacing: Change FP method to Injectable*"),
    COUNTIFS('QA Log'!D:D,A296,'QA Log'!M:M,"Vignette",'QA Log'!Z:Z,"Rejected",'QA Log'!L:L,"*Vignette [10] Post Partum Haemorrhage - Atonic Uterus at Health Centre*")
  )
)</f>
        <v/>
      </c>
      <c r="BN296" s="107" t="str">
        <f t="shared" si="37"/>
        <v/>
      </c>
      <c r="BO296" s="103" t="str">
        <f t="shared" si="38"/>
        <v/>
      </c>
      <c r="BP296" s="102" t="str">
        <f>IF(A296="","",SUM(
COUNTIFS('QA Log'!D:D,A296,'QA Log'!M:M,"Vignette",'QA Log'!L:L,"*Exit Interview 1*"),
COUNTIFS('QA Log'!D:D,A296,'QA Log'!M:M,"Vignette",'QA Log'!L:L,"*Exit Interview 2*"),
)
)</f>
        <v/>
      </c>
      <c r="BQ296" s="102" t="str">
        <f>IF(
  A296="","",
  SUM(
    COUNTIFS('QA Log'!D:D,A296,'QA Log'!M:M,"Vignette",'QA Log'!Z:Z,"Approved",'QA Log'!L:L,"*Exit Interview 1*"),
    COUNTIFS('QA Log'!D:D,A296,'QA Log'!M:M,"Vignette",'QA Log'!Z:Z,"Approved",'QA Log'!L:L,"*Exit Interview 2*")
  )
)</f>
        <v/>
      </c>
      <c r="BR296" s="105" t="str">
        <f>IF(A296&lt;&gt;"",COUNTIFS('QA Log'!D:D,A296,'QA Log'!M:M,"Vignette",'QA Log'!L:L,"Exit Interview 1",'QA Log'!Z:Z,"Approved"),"")</f>
        <v/>
      </c>
      <c r="BS296" s="105" t="str">
        <f>IF(A296&lt;&gt;"",COUNTIFS('QA Log'!D:D,A296,'QA Log'!M:M,"Vignette",'QA Log'!L:L,"Exit Interview 2",'QA Log'!Z:Z,"Approved"),"")</f>
        <v/>
      </c>
      <c r="BT296" s="102" t="str">
        <f>IF(
  A296="","",
  SUM(
    COUNTIFS('QA Log'!D:D,A296,'QA Log'!M:M,"Vignette",'QA Log'!Z:Z,"Rejected",'QA Log'!L:L,"*Exit Interview 1*"),
    COUNTIFS('QA Log'!D:D,A296,'QA Log'!M:M,"Vignette",'QA Log'!Z:Z,"Rejected",'QA Log'!L:L,"*Exit Interview 2*")
  )
)</f>
        <v/>
      </c>
      <c r="BU296" s="107" t="str">
        <f t="shared" si="39"/>
        <v/>
      </c>
      <c r="BV296" s="102" t="str">
        <f t="shared" si="40"/>
        <v/>
      </c>
      <c r="BW296" s="102" t="str">
        <f t="shared" si="41"/>
        <v/>
      </c>
      <c r="BX296" s="102" t="str">
        <f t="shared" si="42"/>
        <v/>
      </c>
      <c r="BY296" s="102" t="str">
        <f t="shared" si="43"/>
        <v/>
      </c>
      <c r="BZ296" s="107" t="str">
        <f t="shared" si="44"/>
        <v/>
      </c>
      <c r="CA296" s="108" t="str">
        <f t="shared" si="45"/>
        <v/>
      </c>
      <c r="CB296" s="108" t="str">
        <f t="shared" si="46"/>
        <v/>
      </c>
      <c r="CC296" s="109" t="str">
        <f t="shared" si="47"/>
        <v/>
      </c>
      <c r="CD296" s="108" t="str">
        <f t="shared" si="48"/>
        <v/>
      </c>
      <c r="CE296" s="108" t="str">
        <f t="shared" si="49"/>
        <v/>
      </c>
      <c r="CF296" s="109" t="str">
        <f t="shared" si="50"/>
        <v/>
      </c>
      <c r="CG296" s="110" t="str">
        <f t="shared" si="51"/>
        <v/>
      </c>
      <c r="CH296" s="111"/>
    </row>
    <row r="297" spans="1:86" ht="12.75">
      <c r="A297" s="101"/>
      <c r="B297" s="102" t="e">
        <f t="array" aca="1" ref="B297" ca="1">_xludf.XLOOKUP(A297,'QA Log'!D:D,'QA Log'!E:E,"")</f>
        <v>#NAME?</v>
      </c>
      <c r="C297" s="102" t="e">
        <f t="array" aca="1" ref="C297" ca="1">_xludf.XLOOKUP(A297,'QA Log'!D:D,'QA Log'!F:F,"")</f>
        <v>#NAME?</v>
      </c>
      <c r="D297" s="102" t="e">
        <f t="array" aca="1" ref="D297" ca="1">_xludf.XLOOKUP(A297,'QA Log'!D:D,'QA Log'!H:H,"")</f>
        <v>#NAME?</v>
      </c>
      <c r="E297" s="102" t="e">
        <f t="array" aca="1" ref="E297" ca="1">_xludf.XLOOKUP(A297,'QA Log'!D:D,'QA Log'!G:G,"")</f>
        <v>#NAME?</v>
      </c>
      <c r="F297" s="103"/>
      <c r="G297" s="104"/>
      <c r="H297" s="104"/>
      <c r="I297" s="103" t="str">
        <f t="shared" si="26"/>
        <v/>
      </c>
      <c r="J297" s="102" t="str">
        <f>IF(A297="","",SUM(
COUNTIFS('QA Log'!D:D,A297,'QA Log'!M:M,"QQC",'QA Log'!L:L,"*1. General Management*"),
COUNTIFS('QA Log'!D:D,A297,'QA Log'!M:M,"QQC",'QA Log'!L:L,"*3. Curative Consultation (OPD)*"),
COUNTIFS('QA Log'!D:D,A297,'QA Log'!M:M,"QQC",'QA Log'!L:L,"*5. Laboratory*"),
COUNTIFS('QA Log'!D:D,A297,'QA Log'!M:M,"QQC",'QA Log'!L:L,"*6. Essential Medicine Management*"),
COUNTIFS('QA Log'!D:D,A297,'QA Log'!M:M,"QQC",'QA Log'!L:L,"*7. Tracer Medicine*"),
COUNTIFS('QA Log'!D:D,A297,'QA Log'!M:M,"QQC",'QA Log'!L:L,"*11. Additional Questions*")))</f>
        <v/>
      </c>
      <c r="K297" s="102" t="str">
        <f>IF(A297="","",SUM(
COUNTIFS('QA Log'!D:D,A297,'QA Log'!M:M,"QQC",'QA Log'!Z:Z,"Approved",'QA Log'!L:L,"*1. General Management*"),
COUNTIFS('QA Log'!D:D,A297,'QA Log'!M:M,"QQC",'QA Log'!Z:Z,"Approved",'QA Log'!L:L,"*3. Curative Consultation (OPD)*"),
COUNTIFS('QA Log'!D:D,A297,'QA Log'!M:M,"QQC",'QA Log'!Z:Z,"Approved",'QA Log'!L:L,"*5. Laboratory*"),
COUNTIFS('QA Log'!D:D,A297,'QA Log'!M:M,"QQC",'QA Log'!Z:Z,"Approved",'QA Log'!L:L,"*6. Essential Medicine Management*"),
COUNTIFS('QA Log'!D:D,A297,'QA Log'!M:M,"QQC",'QA Log'!Z:Z,"Approved",'QA Log'!L:L,"*7. Tracer Medicine*"),
COUNTIFS('QA Log'!D:D,A297,'QA Log'!M:M,"QQC",'QA Log'!Z:Z,"Approved",'QA Log'!L:L,"*11. Additional Questions*")))</f>
        <v/>
      </c>
      <c r="L297" s="105" t="str">
        <f>IF(A297&lt;&gt;"",COUNTIFS('QA Log'!D:D,A297,'QA Log'!M:M,"QQC",'QA Log'!L:L,"1. General Management",'QA Log'!Z:Z,"Approved"),"")</f>
        <v/>
      </c>
      <c r="M297" s="105" t="str">
        <f>IF(A297&lt;&gt;"",COUNTIFS('QA Log'!D:D,A297,'QA Log'!M:M,"QQC",'QA Log'!L:L,"3. Curative Consultation (OPD)",'QA Log'!Z:Z,"Approved"),"")</f>
        <v/>
      </c>
      <c r="N297" s="105" t="str">
        <f>IF(A297&lt;&gt;"",COUNTIFS('QA Log'!D:D,A297,'QA Log'!M:M,"QQC",'QA Log'!L:L,"5. Laboratory",'QA Log'!Z:Z,"Approved"),"")</f>
        <v/>
      </c>
      <c r="O297" s="105" t="str">
        <f>IF(A297&lt;&gt;"",COUNTIFS('QA Log'!D:D,A297,'QA Log'!M:M,"QQC",'QA Log'!L:L,"6. Essential Medicine Management",'QA Log'!Z:Z,"Approved"),"")</f>
        <v/>
      </c>
      <c r="P297" s="105" t="str">
        <f>IF(A297&lt;&gt;"",COUNTIFS('QA Log'!D:D,A297,'QA Log'!M:M,"QQC",'QA Log'!L:L,"7. Tracer Medicine",'QA Log'!Z:Z,"Approved"),"")</f>
        <v/>
      </c>
      <c r="Q297" s="105" t="str">
        <f>IF(A297&lt;&gt;"",COUNTIFS('QA Log'!D:D,A297,'QA Log'!M:M,"QQC",'QA Log'!L:L,"11. Additional Questions",'QA Log'!Z:Z,"Approved"),"")</f>
        <v/>
      </c>
      <c r="R297" s="102" t="str">
        <f>IF(A297="","",SUM(
COUNTIFS('QA Log'!D:D,A297,'QA Log'!M:M,"QQC",'QA Log'!Z:Z,"Rejected",'QA Log'!L:L,"*8. Maternity*"),
COUNTIFS('QA Log'!D:D,A297,'QA Log'!M:M,"QQC",'QA Log'!Z:Z,"Rejected",'QA Log'!L:L,"*EPI*"),
COUNTIFS('QA Log'!D:D,A297,'QA Log'!M:M,"QQC",'QA Log'!Z:Z,"Rejected",'QA Log'!L:L,"*10. Antenatal Care (ANC)*"),
COUNTIFS('QA Log'!D:D,A297,'QA Log'!M:M,"QQC",'QA Log'!Z:Z,"Rejected",'QA Log'!L:L,"*2. Hygiene and Sterilization*"),
COUNTIFS('QA Log'!D:D,A297,'QA Log'!M:M,"QQC",'QA Log'!Z:Z,"Rejected",'QA Log'!L:L,"*Family Planning*")))</f>
        <v/>
      </c>
      <c r="S297" s="106" t="str">
        <f t="shared" si="27"/>
        <v/>
      </c>
      <c r="T297" s="102" t="str">
        <f t="shared" si="28"/>
        <v/>
      </c>
      <c r="U297" s="102" t="str">
        <f>IF(A297="","",
SUM(
COUNTIFS('QA Log'!D:D,A297,'QA Log'!M:M,"QQC",'QA Log'!L:L,"*8. Maternity*"),
COUNTIFS('QA Log'!D:D,A297,'QA Log'!M:M,"QQC",'QA Log'!L:L,"*9. EPI and Pre-school Consultation*"),
COUNTIFS('QA Log'!D:D,A297,'QA Log'!M:M,"QQC",'QA Log'!L:L,"*10. Antenatal Care (ANC)*"),
COUNTIFS('QA Log'!D:D,A297,'QA Log'!M:M,"QQC",'QA Log'!L:L,"*2. Hygiene and Sterilization*"),
COUNTIFS('QA Log'!D:D,A297,'QA Log'!M:M,"QQC",'QA Log'!L:L,"*4. Family Planning*")
))</f>
        <v/>
      </c>
      <c r="V297" s="102" t="str">
        <f>IF(A297="","",
SUM(
COUNTIFS('QA Log'!D:D,A297,'QA Log'!M:M,"QQC",'QA Log'!Z:Z,"Approved",'QA Log'!L:L,"*8. Maternity*"),
COUNTIFS('QA Log'!D:D,A297,'QA Log'!M:M,"QQC",'QA Log'!Z:Z,"Approved",'QA Log'!L:L,"*9. EPI and Pre-school Consultation*"),
COUNTIFS('QA Log'!D:D,A297,'QA Log'!M:M,"QQC",'QA Log'!Z:Z,"Approved",'QA Log'!L:L,"*10. Antenatal Care (ANC)*"),
COUNTIFS('QA Log'!D:D,A297,'QA Log'!M:M,"QQC",'QA Log'!Z:Z,"Approved",'QA Log'!L:L,"*2. Hygiene and Sterilization*"),
COUNTIFS('QA Log'!D:D,A297,'QA Log'!M:M,"QQC",'QA Log'!Z:Z,"Approved",'QA Log'!L:L,"*4. Family Planning*")
))</f>
        <v/>
      </c>
      <c r="W297" s="105" t="str">
        <f>IF(A297&lt;&gt;"",COUNTIFS('QA Log'!D:D,A297,'QA Log'!M:M,"QQC",'QA Log'!L:L,"8. Maternity",'QA Log'!Z:Z,"Approved"),"")</f>
        <v/>
      </c>
      <c r="X297" s="105" t="str">
        <f>IF(A297&lt;&gt;"",COUNTIFS('QA Log'!D:D,A297,'QA Log'!M:M,"QQC",'QA Log'!L:L,"9. EPI and Pre-school Consultation",'QA Log'!Z:Z,"Approved"),"")</f>
        <v/>
      </c>
      <c r="Y297" s="105" t="str">
        <f>IF(A297&lt;&gt;"",COUNTIFS('QA Log'!D:D,A297,'QA Log'!M:M,"QQC",'QA Log'!L:L,"10. Antenatal Care (ANC)",'QA Log'!Z:Z,"Approved"),"")</f>
        <v/>
      </c>
      <c r="Z297" s="105" t="str">
        <f>IF(A297&lt;&gt;"",COUNTIFS('QA Log'!D:D,A297,'QA Log'!M:M,"QQC",'QA Log'!L:L,"2. Hygiene and Sterilization",'QA Log'!Z:Z,"Approved"),"")</f>
        <v/>
      </c>
      <c r="AA297" s="105" t="str">
        <f>IF(A297&lt;&gt;"",COUNTIFS('QA Log'!D:D,A297,'QA Log'!M:M,"QQC",'QA Log'!L:L,"4. Family Planning",'QA Log'!Z:Z,"Approved"),"")</f>
        <v/>
      </c>
      <c r="AB297" s="102" t="str">
        <f>IF(A297="","",
SUM(
COUNTIFS('QA Log'!D:D,A297,'QA Log'!M:M,"QQC",'QA Log'!Z:Z,"Rejected",'QA Log'!L:L,"*8. Maternity*"),
COUNTIFS('QA Log'!D:D,A297,'QA Log'!M:M,"QQC",'QA Log'!Z:Z,"Rejected",'QA Log'!L:L,"*9. EPI and Pre-school Consultation*"),
COUNTIFS('QA Log'!D:D,A297,'QA Log'!M:M,"QQC",'QA Log'!Z:Z,"Rejected",'QA Log'!L:L,"*10. Antenatal Care (ANC)*"),
COUNTIFS('QA Log'!D:D,A297,'QA Log'!M:M,"QQC",'QA Log'!Z:Z,"Rejected",'QA Log'!L:L,"*2. Hygiene and Sterilization*"),
COUNTIFS('QA Log'!D:D,A297,'QA Log'!M:M,"QQC",'QA Log'!Z:Z,"Rejected",'QA Log'!L:L,"*4. Family Planning*")
))</f>
        <v/>
      </c>
      <c r="AC297" s="102" t="str">
        <f t="shared" si="29"/>
        <v/>
      </c>
      <c r="AD297" s="103" t="str">
        <f t="shared" si="30"/>
        <v/>
      </c>
      <c r="AE297" s="102" t="str">
        <f>IF(A297="","",
SUM(
COUNTIFS('QA Log'!D:D,A297,'QA Log'!M:M,"Data Verification",'QA Log'!L:L,"*Medicine (section 2)*"),
COUNTIFS('QA Log'!D:D,A297,'QA Log'!M:M,"Data Verification",'QA Log'!L:L,"*Lab Testing Availability*"),
COUNTIFS('QA Log'!D:D,A297,'QA Log'!M:M,"Data Verification",'QA Log'!L:L,"*Other than P4P (section 6)*"),
COUNTIFS('QA Log'!D:D,A297,'QA Log'!M:M,"Data Verification",'QA Log'!L:L,"*Hospital Governance*")
))</f>
        <v/>
      </c>
      <c r="AF297" s="102" t="str">
        <f>IF(A297="","",
SUM(
COUNTIFS('QA Log'!D:D,A297,'QA Log'!M:M,"Data Verification",'QA Log'!Z:Z,"Approved",'QA Log'!L:L,"*Medicine (section 2)*"),
COUNTIFS('QA Log'!D:D,A297,'QA Log'!M:M,"Data Verification",'QA Log'!Z:Z,"Approved",'QA Log'!L:L,"*Lab Testing Availability*"),
COUNTIFS('QA Log'!D:D,A297,'QA Log'!M:M,"Data Verification",'QA Log'!Z:Z,"Approved",'QA Log'!L:L,"*Other than P4P (section 6)*"),
COUNTIFS('QA Log'!D:D,A297,'QA Log'!M:M,"Data Verification",'QA Log'!Z:Z,"Approved",'QA Log'!L:L,"*Hospital Governance*")
))</f>
        <v/>
      </c>
      <c r="AG297" s="105" t="str">
        <f>IF(A297&lt;&gt;"",COUNTIFS('QA Log'!D:D,A297,'QA Log'!M:M,"Data Verification",'QA Log'!L:L,"Medicine (section 2)",'QA Log'!Z:Z,"Approved"),"")</f>
        <v/>
      </c>
      <c r="AH297" s="105" t="str">
        <f>IF(A297&lt;&gt;"",COUNTIFS('QA Log'!D:D,A297,'QA Log'!M:M,"Data Verification",'QA Log'!L:L,"Lab Testing Availability",'QA Log'!Z:Z,"Approved"),"")</f>
        <v/>
      </c>
      <c r="AI297" s="105" t="str">
        <f>IF(A297&lt;&gt;"",COUNTIFS('QA Log'!D:D,A297,'QA Log'!M:M,"Data Verification",'QA Log'!L:L,"Other than P4P (section 6)",'QA Log'!Z:Z,"Approved"),"")</f>
        <v/>
      </c>
      <c r="AJ297" s="105" t="str">
        <f>IF(A297&lt;&gt;"",COUNTIFS('QA Log'!D:D,A297,'QA Log'!M:M,"Data Verification",'QA Log'!L:L,"Hospital Governance",'QA Log'!Z:Z,"Approved"),"")</f>
        <v/>
      </c>
      <c r="AK297" s="102" t="str">
        <f>IF(A297="","",
SUM(
COUNTIFS('QA Log'!D:D,A297,'QA Log'!M:M,"Data Verification",'QA Log'!Z:Z,"Rejected",'QA Log'!L:L,"*Medicine (section 2)*"),
COUNTIFS('QA Log'!D:D,A297,'QA Log'!M:M,"Data Verification",'QA Log'!Z:Z,"Rejected",'QA Log'!L:L,"*Lab Testing Availability*"),
COUNTIFS('QA Log'!D:D,A297,'QA Log'!M:M,"Data Verification",'QA Log'!Z:Z,"Rejected",'QA Log'!L:L,"*Other than P4P (section 6)*"),
COUNTIFS('QA Log'!D:D,A297,'QA Log'!M:M,"Data Verification",'QA Log'!Z:Z,"Rejected",'QA Log'!L:L,"*Hospital Governance*")
))</f>
        <v/>
      </c>
      <c r="AL297" s="106" t="str">
        <f t="shared" si="31"/>
        <v/>
      </c>
      <c r="AM297" s="102" t="str">
        <f t="shared" si="32"/>
        <v/>
      </c>
      <c r="AN297" s="102" t="str">
        <f>IF(A297="","",
SUM(
COUNTIFS('QA Log'!D:D,A297,'QA Log'!M:M,"Data Verification",'QA Log'!L:L,"*Personnel (section 1)*"),
COUNTIFS('QA Log'!D:D,A297,'QA Log'!M:M,"Data Verification",'QA Log'!L:L,"*Consumable (section 3)*"),
COUNTIFS('QA Log'!D:D,A297,'QA Log'!M:M,"Data Verification",'QA Log'!L:L,"*Equipments (section 4)*")
))</f>
        <v/>
      </c>
      <c r="AO297" s="102" t="str">
        <f>IF(A297="","",
SUM(
COUNTIFS('QA Log'!D:D,A297,'QA Log'!M:M,"Data Verification",'QA Log'!Z:Z,"Approved",'QA Log'!L:L,"*Personnel (section 1)*"),
COUNTIFS('QA Log'!D:D,A297,'QA Log'!M:M,"Data Verification",'QA Log'!Z:Z,"Approved",'QA Log'!L:L,"*Consumable (section 3)*"),
COUNTIFS('QA Log'!D:D,A297,'QA Log'!M:M,"Data Verification",'QA Log'!Z:Z,"Approved",'QA Log'!L:L,"*Equipments (section 4)*")
))</f>
        <v/>
      </c>
      <c r="AP297" s="105" t="str">
        <f>IF(A297&lt;&gt;"",COUNTIFS('QA Log'!D:D,A297,'QA Log'!M:M,"Data Verification",'QA Log'!L:L,"Personnel (section 1)",'QA Log'!Z:Z,"Approved"),"")</f>
        <v/>
      </c>
      <c r="AQ297" s="105" t="str">
        <f>IF(A297&lt;&gt;"",COUNTIFS('QA Log'!D:D,A297,'QA Log'!M:M,"Data Verification",'QA Log'!L:L,"Consumable (section 3)",'QA Log'!Z:Z,"Approved"),"")</f>
        <v/>
      </c>
      <c r="AR297" s="105" t="str">
        <f>IF(A297&lt;&gt;"",COUNTIFS('QA Log'!D:D,A297,'QA Log'!M:M,"Data Verification",'QA Log'!L:L,"Equipments (section 4)",'QA Log'!Z:Z,"Approved"),"")</f>
        <v/>
      </c>
      <c r="AS297" s="102" t="str">
        <f>IF(A297="","",
SUM(
COUNTIFS('QA Log'!D:D,A297,'QA Log'!M:M,"Data Verification",'QA Log'!Z:Z,"Rejected",'QA Log'!L:L,"*Personnel (section 1)*"),
COUNTIFS('QA Log'!D:D,A297,'QA Log'!M:M,"Data Verification",'QA Log'!Z:Z,"Rejected",'QA Log'!L:L,"*Consumable (section 3)*"),
COUNTIFS('QA Log'!D:D,A297,'QA Log'!M:M,"Data Verification",'QA Log'!Z:Z,"Rejected",'QA Log'!L:L,"*Equipments (section 4)*")
))</f>
        <v/>
      </c>
      <c r="AT297" s="102" t="str">
        <f t="shared" si="33"/>
        <v/>
      </c>
      <c r="AU297" s="103" t="str">
        <f t="shared" si="34"/>
        <v/>
      </c>
      <c r="AV297" s="102" t="str">
        <f>IF(A297="","",SUM(
COUNTIFS('QA Log'!D:D,A297,'QA Log'!M:M,"Vignette",'QA Log'!L:L,"*Vignette [1] Respiratory Infection: Pneumonia*"),
COUNTIFS('QA Log'!D:D,A297,'QA Log'!M:M,"Vignette",'QA Log'!L:L,"*Vignette [2]: Diarrhea with Cat B dehydration*"),
COUNTIFS('QA Log'!D:D,A297,'QA Log'!M:M,"Vignette",'QA Log'!L:L,"*Vignette [3] Growth Monitoring and Promotion*"),
COUNTIFS('QA Log'!D:D,A297,'QA Log'!M:M,"Vignette",'QA Log'!L:L,"*Vignette [4]: The management of presumptive TB patient*")
)
)</f>
        <v/>
      </c>
      <c r="AW297" s="102" t="str">
        <f>IF(
  A297="","",
  SUM(
    COUNTIFS('QA Log'!D:D,A297,'QA Log'!M:M,"Vignette",'QA Log'!Z:Z,"Approved",'QA Log'!L:L,"*Vignette [1] Respiratory Infection: Pneumonia*"),
    COUNTIFS('QA Log'!D:D,A297,'QA Log'!M:M,"Vignette",'QA Log'!Z:Z,"Approved",'QA Log'!L:L,"*Vignette [2]: Diarrhea with Cat B dehydration*"),
    COUNTIFS('QA Log'!D:D,A297,'QA Log'!M:M,"Vignette",'QA Log'!Z:Z,"Approved",'QA Log'!L:L,"*Vignette [3] Growth Monitoring and Promotion*"),
    COUNTIFS('QA Log'!D:D,A297,'QA Log'!M:M,"Vignette",'QA Log'!Z:Z,"Approved",'QA Log'!L:L,"*Vignette [4]: The management of presumptive TB patient*")
  )
)</f>
        <v/>
      </c>
      <c r="AX297" s="105" t="str">
        <f>IF(A297&lt;&gt;"",COUNTIFS('QA Log'!D:D,A297,'QA Log'!M:M,"Vignette",'QA Log'!L:L,"Vignette [1] Respiratory Infection: Pneumonia",'QA Log'!Z:Z,"Approved"),"")</f>
        <v/>
      </c>
      <c r="AY297" s="105" t="str">
        <f>IF(A297&lt;&gt;"",COUNTIFS('QA Log'!D:D,A297,'QA Log'!M:M,"Vignette",'QA Log'!L:L,"Vignette [2]: Diarrhea with Cat B dehydration",'QA Log'!Z:Z,"Approved"),"")</f>
        <v/>
      </c>
      <c r="AZ297" s="105" t="str">
        <f>IF(A297&lt;&gt;"",COUNTIFS('QA Log'!D:D,A297,'QA Log'!M:M,"Vignette",'QA Log'!L:L,"Vignette [3] Growth Monitoring and Promotion",'QA Log'!Z:Z,"Approved"),"")</f>
        <v/>
      </c>
      <c r="BA297" s="105" t="str">
        <f>IF(A297&lt;&gt;"",COUNTIFS('QA Log'!D:D,A297,'QA Log'!M:M,"Vignette",'QA Log'!L:L,"Vignette [4]: The management of presumptive TB patient",'QA Log'!Z:Z,"Approved"),"")</f>
        <v/>
      </c>
      <c r="BB297" s="102" t="str">
        <f>IF(A297="","",
  SUM(
    COUNTIFS('QA Log'!D:D,A297,'QA Log'!M:M,"Vignette",'QA Log'!Z:Z,"Rejected",'QA Log'!L:L,"*Vignette [1] Respiratory Infection: Pneumonia*"),
    COUNTIFS('QA Log'!D:D,A297,'QA Log'!M:M,"Vignette",'QA Log'!Z:Z,"Rejected",'QA Log'!L:L,"*Vignette [2]: Diarrhea with Cat B dehydration*"),
    COUNTIFS('QA Log'!D:D,A297,'QA Log'!M:M,"Vignette",'QA Log'!Z:Z,"Rejected",'QA Log'!L:L,"*Vignette [3] Growth Monitoring and Promotion*"),
    COUNTIFS('QA Log'!D:D,A297,'QA Log'!M:M,"Vignette",'QA Log'!Z:Z,"Rejected",'QA Log'!L:L,"*Vignette [4]: The management of presumptive TB patient*")
  )
)</f>
        <v/>
      </c>
      <c r="BC297" s="107" t="str">
        <f t="shared" si="35"/>
        <v/>
      </c>
      <c r="BD297" s="103" t="str">
        <f t="shared" si="36"/>
        <v/>
      </c>
      <c r="BE297" s="102" t="str">
        <f>IF(A297="","",SUM(
COUNTIFS('QA Log'!D:D,A297,'QA Log'!M:M,"Vignette",'QA Log'!L:L,"*Vignette [5] Labor*"),
COUNTIFS('QA Log'!D:D,A297,'QA Log'!M:M,"Vignette",'QA Log'!L:L,"*Vignette [6] PNC pre Discharge*"),
COUNTIFS('QA Log'!D:D,A297,'QA Log'!M:M,"Vignette",'QA Log'!L:L,"*Vignette [7] First ANC Visit*"),
COUNTIFS('QA Log'!D:D,A297,'QA Log'!M:M,"Vignette",'QA Log'!L:L,"*Vignette [8] Birth Spacing/ Family Planning :  FP Counselling*"),
COUNTIFS('QA Log'!D:D,A297,'QA Log'!M:M,"Vignette",'QA Log'!L:L,"*Vignette [9] Birth Spacing: Change FP method to Injectable*"),
COUNTIFS('QA Log'!D:D,A297,'QA Log'!M:M,"Vignette",'QA Log'!L:L,"*Vignette [10] Post Partum Haemorrhage - Atonic Uterus at Health Centre*"),
)
)</f>
        <v/>
      </c>
      <c r="BF297" s="102" t="str">
        <f>IF(A297="","",
  SUM(
    COUNTIFS('QA Log'!D:D,A297,'QA Log'!M:M,"Vignette",'QA Log'!Z:Z,"Approved",'QA Log'!L:L,"*Vignette [5] Labor*"),
    COUNTIFS('QA Log'!D:D,A297,'QA Log'!M:M,"Vignette",'QA Log'!Z:Z,"Approved",'QA Log'!L:L,"*Vignette [6] PNC pre Discharge*"),
    COUNTIFS('QA Log'!D:D,A297,'QA Log'!M:M,"Vignette",'QA Log'!Z:Z,"Approved",'QA Log'!L:L,"*Vignette [7] First ANC Visit*"),
    COUNTIFS('QA Log'!D:D,A297,'QA Log'!M:M,"Vignette",'QA Log'!Z:Z,"Approved",'QA Log'!L:L,"*Vignette [8] Birth Spacing/ Family Planning :  FP Counselling*"),
    COUNTIFS('QA Log'!D:D,A297,'QA Log'!M:M,"Vignette",'QA Log'!Z:Z,"Approved",'QA Log'!L:L,"*Vignette [9] Birth Spacing: Change FP method to Injectable*"),
    COUNTIFS('QA Log'!D:D,A297,'QA Log'!M:M,"Vignette",'QA Log'!Z:Z,"Approved",'QA Log'!L:L,"*Vignette [10] Post Partum Haemorrhage - Atonic Uterus at Health Centre*")
  )
)</f>
        <v/>
      </c>
      <c r="BG297" s="105" t="str">
        <f>IF(A297&lt;&gt;"",COUNTIFS('QA Log'!D:D,A297,'QA Log'!M:M,"Vignette",'QA Log'!L:L,"Vignette [5] Labor",'QA Log'!Z:Z,"Approved"),"")</f>
        <v/>
      </c>
      <c r="BH297" s="105" t="str">
        <f>IF(A297&lt;&gt;"",COUNTIFS('QA Log'!D:D,A297,'QA Log'!M:M,"Vignette",'QA Log'!L:L,"Vignette [6] PNC pre Discharge",'QA Log'!Z:Z,"Approved"),"")</f>
        <v/>
      </c>
      <c r="BI297" s="105" t="str">
        <f>IF(A297&lt;&gt;"",COUNTIFS('QA Log'!D:D,A297,'QA Log'!M:M,"Vignette",'QA Log'!L:L,"Vignette [7] First ANC Visit",'QA Log'!Z:Z,"Approved"),"")</f>
        <v/>
      </c>
      <c r="BJ297" s="105" t="str">
        <f>IF(A297&lt;&gt;"",COUNTIFS('QA Log'!D:D,A297,'QA Log'!M:M,"Vignette",'QA Log'!L:L,"Vignette [8] Birth Spacing/ Family Planning :  FP Counselling",'QA Log'!Z:Z,"Approved"),"")</f>
        <v/>
      </c>
      <c r="BK297" s="105" t="str">
        <f>IF(A297&lt;&gt;"",COUNTIFS('QA Log'!D:D,A297,'QA Log'!M:M,"Vignette",'QA Log'!L:L,"Vignette [9] Birth Spacing: Change FP method to Injectable",'QA Log'!Z:Z,"Approved"),"")</f>
        <v/>
      </c>
      <c r="BL297" s="105" t="str">
        <f>IF(A297&lt;&gt;"",COUNTIFS('QA Log'!D:D,A297,'QA Log'!M:M,"Vignette",'QA Log'!L:L,"Vignette [10] Post Partum Haemorrhage - Atonic Uterus at Health Centre",'QA Log'!Z:Z,"Approved"),"")</f>
        <v/>
      </c>
      <c r="BM297" s="102" t="str">
        <f>IF(A297="","",SUM(
    COUNTIFS('QA Log'!D:D,A297,'QA Log'!M:M,"Vignette",'QA Log'!Z:Z,"Rejected",'QA Log'!L:L,"*Vignette [5] Labor*"),
    COUNTIFS('QA Log'!D:D,A297,'QA Log'!M:M,"Vignette",'QA Log'!Z:Z,"Rejected",'QA Log'!L:L,"*Vignette [6] PNC pre Discharge*"),
    COUNTIFS('QA Log'!D:D,A297,'QA Log'!M:M,"Vignette",'QA Log'!Z:Z,"Rejected",'QA Log'!L:L,"*Vignette [7] First ANC Visit*"),
    COUNTIFS('QA Log'!D:D,A297,'QA Log'!M:M,"Vignette",'QA Log'!Z:Z,"Rejected",'QA Log'!L:L,"*Vignette [8] Birth Spacing/ Family Planning :  FP Counselling*"),
    COUNTIFS('QA Log'!D:D,A297,'QA Log'!M:M,"Vignette",'QA Log'!Z:Z,"Rejected",'QA Log'!L:L,"*Vignette [9] Birth Spacing: Change FP method to Injectable*"),
    COUNTIFS('QA Log'!D:D,A297,'QA Log'!M:M,"Vignette",'QA Log'!Z:Z,"Rejected",'QA Log'!L:L,"*Vignette [10] Post Partum Haemorrhage - Atonic Uterus at Health Centre*")
  )
)</f>
        <v/>
      </c>
      <c r="BN297" s="107" t="str">
        <f t="shared" si="37"/>
        <v/>
      </c>
      <c r="BO297" s="103" t="str">
        <f t="shared" si="38"/>
        <v/>
      </c>
      <c r="BP297" s="102" t="str">
        <f>IF(A297="","",SUM(
COUNTIFS('QA Log'!D:D,A297,'QA Log'!M:M,"Vignette",'QA Log'!L:L,"*Exit Interview 1*"),
COUNTIFS('QA Log'!D:D,A297,'QA Log'!M:M,"Vignette",'QA Log'!L:L,"*Exit Interview 2*"),
)
)</f>
        <v/>
      </c>
      <c r="BQ297" s="102" t="str">
        <f>IF(
  A297="","",
  SUM(
    COUNTIFS('QA Log'!D:D,A297,'QA Log'!M:M,"Vignette",'QA Log'!Z:Z,"Approved",'QA Log'!L:L,"*Exit Interview 1*"),
    COUNTIFS('QA Log'!D:D,A297,'QA Log'!M:M,"Vignette",'QA Log'!Z:Z,"Approved",'QA Log'!L:L,"*Exit Interview 2*")
  )
)</f>
        <v/>
      </c>
      <c r="BR297" s="105" t="str">
        <f>IF(A297&lt;&gt;"",COUNTIFS('QA Log'!D:D,A297,'QA Log'!M:M,"Vignette",'QA Log'!L:L,"Exit Interview 1",'QA Log'!Z:Z,"Approved"),"")</f>
        <v/>
      </c>
      <c r="BS297" s="105" t="str">
        <f>IF(A297&lt;&gt;"",COUNTIFS('QA Log'!D:D,A297,'QA Log'!M:M,"Vignette",'QA Log'!L:L,"Exit Interview 2",'QA Log'!Z:Z,"Approved"),"")</f>
        <v/>
      </c>
      <c r="BT297" s="102" t="str">
        <f>IF(
  A297="","",
  SUM(
    COUNTIFS('QA Log'!D:D,A297,'QA Log'!M:M,"Vignette",'QA Log'!Z:Z,"Rejected",'QA Log'!L:L,"*Exit Interview 1*"),
    COUNTIFS('QA Log'!D:D,A297,'QA Log'!M:M,"Vignette",'QA Log'!Z:Z,"Rejected",'QA Log'!L:L,"*Exit Interview 2*")
  )
)</f>
        <v/>
      </c>
      <c r="BU297" s="107" t="str">
        <f t="shared" si="39"/>
        <v/>
      </c>
      <c r="BV297" s="102" t="str">
        <f t="shared" si="40"/>
        <v/>
      </c>
      <c r="BW297" s="102" t="str">
        <f t="shared" si="41"/>
        <v/>
      </c>
      <c r="BX297" s="102" t="str">
        <f t="shared" si="42"/>
        <v/>
      </c>
      <c r="BY297" s="102" t="str">
        <f t="shared" si="43"/>
        <v/>
      </c>
      <c r="BZ297" s="107" t="str">
        <f t="shared" si="44"/>
        <v/>
      </c>
      <c r="CA297" s="108" t="str">
        <f t="shared" si="45"/>
        <v/>
      </c>
      <c r="CB297" s="108" t="str">
        <f t="shared" si="46"/>
        <v/>
      </c>
      <c r="CC297" s="109" t="str">
        <f t="shared" si="47"/>
        <v/>
      </c>
      <c r="CD297" s="108" t="str">
        <f t="shared" si="48"/>
        <v/>
      </c>
      <c r="CE297" s="108" t="str">
        <f t="shared" si="49"/>
        <v/>
      </c>
      <c r="CF297" s="109" t="str">
        <f t="shared" si="50"/>
        <v/>
      </c>
      <c r="CG297" s="110" t="str">
        <f t="shared" si="51"/>
        <v/>
      </c>
      <c r="CH297" s="111"/>
    </row>
    <row r="298" spans="1:86" ht="12.75">
      <c r="A298" s="101"/>
      <c r="B298" s="102" t="e">
        <f t="array" aca="1" ref="B298" ca="1">_xludf.XLOOKUP(A298,'QA Log'!D:D,'QA Log'!E:E,"")</f>
        <v>#NAME?</v>
      </c>
      <c r="C298" s="102" t="e">
        <f t="array" aca="1" ref="C298" ca="1">_xludf.XLOOKUP(A298,'QA Log'!D:D,'QA Log'!F:F,"")</f>
        <v>#NAME?</v>
      </c>
      <c r="D298" s="102" t="e">
        <f t="array" aca="1" ref="D298" ca="1">_xludf.XLOOKUP(A298,'QA Log'!D:D,'QA Log'!H:H,"")</f>
        <v>#NAME?</v>
      </c>
      <c r="E298" s="102" t="e">
        <f t="array" aca="1" ref="E298" ca="1">_xludf.XLOOKUP(A298,'QA Log'!D:D,'QA Log'!G:G,"")</f>
        <v>#NAME?</v>
      </c>
      <c r="F298" s="103"/>
      <c r="G298" s="104"/>
      <c r="H298" s="104"/>
      <c r="I298" s="103" t="str">
        <f t="shared" si="26"/>
        <v/>
      </c>
      <c r="J298" s="102" t="str">
        <f>IF(A298="","",SUM(
COUNTIFS('QA Log'!D:D,A298,'QA Log'!M:M,"QQC",'QA Log'!L:L,"*1. General Management*"),
COUNTIFS('QA Log'!D:D,A298,'QA Log'!M:M,"QQC",'QA Log'!L:L,"*3. Curative Consultation (OPD)*"),
COUNTIFS('QA Log'!D:D,A298,'QA Log'!M:M,"QQC",'QA Log'!L:L,"*5. Laboratory*"),
COUNTIFS('QA Log'!D:D,A298,'QA Log'!M:M,"QQC",'QA Log'!L:L,"*6. Essential Medicine Management*"),
COUNTIFS('QA Log'!D:D,A298,'QA Log'!M:M,"QQC",'QA Log'!L:L,"*7. Tracer Medicine*"),
COUNTIFS('QA Log'!D:D,A298,'QA Log'!M:M,"QQC",'QA Log'!L:L,"*11. Additional Questions*")))</f>
        <v/>
      </c>
      <c r="K298" s="102" t="str">
        <f>IF(A298="","",SUM(
COUNTIFS('QA Log'!D:D,A298,'QA Log'!M:M,"QQC",'QA Log'!Z:Z,"Approved",'QA Log'!L:L,"*1. General Management*"),
COUNTIFS('QA Log'!D:D,A298,'QA Log'!M:M,"QQC",'QA Log'!Z:Z,"Approved",'QA Log'!L:L,"*3. Curative Consultation (OPD)*"),
COUNTIFS('QA Log'!D:D,A298,'QA Log'!M:M,"QQC",'QA Log'!Z:Z,"Approved",'QA Log'!L:L,"*5. Laboratory*"),
COUNTIFS('QA Log'!D:D,A298,'QA Log'!M:M,"QQC",'QA Log'!Z:Z,"Approved",'QA Log'!L:L,"*6. Essential Medicine Management*"),
COUNTIFS('QA Log'!D:D,A298,'QA Log'!M:M,"QQC",'QA Log'!Z:Z,"Approved",'QA Log'!L:L,"*7. Tracer Medicine*"),
COUNTIFS('QA Log'!D:D,A298,'QA Log'!M:M,"QQC",'QA Log'!Z:Z,"Approved",'QA Log'!L:L,"*11. Additional Questions*")))</f>
        <v/>
      </c>
      <c r="L298" s="105" t="str">
        <f>IF(A298&lt;&gt;"",COUNTIFS('QA Log'!D:D,A298,'QA Log'!M:M,"QQC",'QA Log'!L:L,"1. General Management",'QA Log'!Z:Z,"Approved"),"")</f>
        <v/>
      </c>
      <c r="M298" s="105" t="str">
        <f>IF(A298&lt;&gt;"",COUNTIFS('QA Log'!D:D,A298,'QA Log'!M:M,"QQC",'QA Log'!L:L,"3. Curative Consultation (OPD)",'QA Log'!Z:Z,"Approved"),"")</f>
        <v/>
      </c>
      <c r="N298" s="105" t="str">
        <f>IF(A298&lt;&gt;"",COUNTIFS('QA Log'!D:D,A298,'QA Log'!M:M,"QQC",'QA Log'!L:L,"5. Laboratory",'QA Log'!Z:Z,"Approved"),"")</f>
        <v/>
      </c>
      <c r="O298" s="105" t="str">
        <f>IF(A298&lt;&gt;"",COUNTIFS('QA Log'!D:D,A298,'QA Log'!M:M,"QQC",'QA Log'!L:L,"6. Essential Medicine Management",'QA Log'!Z:Z,"Approved"),"")</f>
        <v/>
      </c>
      <c r="P298" s="105" t="str">
        <f>IF(A298&lt;&gt;"",COUNTIFS('QA Log'!D:D,A298,'QA Log'!M:M,"QQC",'QA Log'!L:L,"7. Tracer Medicine",'QA Log'!Z:Z,"Approved"),"")</f>
        <v/>
      </c>
      <c r="Q298" s="105" t="str">
        <f>IF(A298&lt;&gt;"",COUNTIFS('QA Log'!D:D,A298,'QA Log'!M:M,"QQC",'QA Log'!L:L,"11. Additional Questions",'QA Log'!Z:Z,"Approved"),"")</f>
        <v/>
      </c>
      <c r="R298" s="102" t="str">
        <f>IF(A298="","",SUM(
COUNTIFS('QA Log'!D:D,A298,'QA Log'!M:M,"QQC",'QA Log'!Z:Z,"Rejected",'QA Log'!L:L,"*8. Maternity*"),
COUNTIFS('QA Log'!D:D,A298,'QA Log'!M:M,"QQC",'QA Log'!Z:Z,"Rejected",'QA Log'!L:L,"*EPI*"),
COUNTIFS('QA Log'!D:D,A298,'QA Log'!M:M,"QQC",'QA Log'!Z:Z,"Rejected",'QA Log'!L:L,"*10. Antenatal Care (ANC)*"),
COUNTIFS('QA Log'!D:D,A298,'QA Log'!M:M,"QQC",'QA Log'!Z:Z,"Rejected",'QA Log'!L:L,"*2. Hygiene and Sterilization*"),
COUNTIFS('QA Log'!D:D,A298,'QA Log'!M:M,"QQC",'QA Log'!Z:Z,"Rejected",'QA Log'!L:L,"*Family Planning*")))</f>
        <v/>
      </c>
      <c r="S298" s="106" t="str">
        <f t="shared" si="27"/>
        <v/>
      </c>
      <c r="T298" s="102" t="str">
        <f t="shared" si="28"/>
        <v/>
      </c>
      <c r="U298" s="102" t="str">
        <f>IF(A298="","",
SUM(
COUNTIFS('QA Log'!D:D,A298,'QA Log'!M:M,"QQC",'QA Log'!L:L,"*8. Maternity*"),
COUNTIFS('QA Log'!D:D,A298,'QA Log'!M:M,"QQC",'QA Log'!L:L,"*9. EPI and Pre-school Consultation*"),
COUNTIFS('QA Log'!D:D,A298,'QA Log'!M:M,"QQC",'QA Log'!L:L,"*10. Antenatal Care (ANC)*"),
COUNTIFS('QA Log'!D:D,A298,'QA Log'!M:M,"QQC",'QA Log'!L:L,"*2. Hygiene and Sterilization*"),
COUNTIFS('QA Log'!D:D,A298,'QA Log'!M:M,"QQC",'QA Log'!L:L,"*4. Family Planning*")
))</f>
        <v/>
      </c>
      <c r="V298" s="102" t="str">
        <f>IF(A298="","",
SUM(
COUNTIFS('QA Log'!D:D,A298,'QA Log'!M:M,"QQC",'QA Log'!Z:Z,"Approved",'QA Log'!L:L,"*8. Maternity*"),
COUNTIFS('QA Log'!D:D,A298,'QA Log'!M:M,"QQC",'QA Log'!Z:Z,"Approved",'QA Log'!L:L,"*9. EPI and Pre-school Consultation*"),
COUNTIFS('QA Log'!D:D,A298,'QA Log'!M:M,"QQC",'QA Log'!Z:Z,"Approved",'QA Log'!L:L,"*10. Antenatal Care (ANC)*"),
COUNTIFS('QA Log'!D:D,A298,'QA Log'!M:M,"QQC",'QA Log'!Z:Z,"Approved",'QA Log'!L:L,"*2. Hygiene and Sterilization*"),
COUNTIFS('QA Log'!D:D,A298,'QA Log'!M:M,"QQC",'QA Log'!Z:Z,"Approved",'QA Log'!L:L,"*4. Family Planning*")
))</f>
        <v/>
      </c>
      <c r="W298" s="105" t="str">
        <f>IF(A298&lt;&gt;"",COUNTIFS('QA Log'!D:D,A298,'QA Log'!M:M,"QQC",'QA Log'!L:L,"8. Maternity",'QA Log'!Z:Z,"Approved"),"")</f>
        <v/>
      </c>
      <c r="X298" s="105" t="str">
        <f>IF(A298&lt;&gt;"",COUNTIFS('QA Log'!D:D,A298,'QA Log'!M:M,"QQC",'QA Log'!L:L,"9. EPI and Pre-school Consultation",'QA Log'!Z:Z,"Approved"),"")</f>
        <v/>
      </c>
      <c r="Y298" s="105" t="str">
        <f>IF(A298&lt;&gt;"",COUNTIFS('QA Log'!D:D,A298,'QA Log'!M:M,"QQC",'QA Log'!L:L,"10. Antenatal Care (ANC)",'QA Log'!Z:Z,"Approved"),"")</f>
        <v/>
      </c>
      <c r="Z298" s="105" t="str">
        <f>IF(A298&lt;&gt;"",COUNTIFS('QA Log'!D:D,A298,'QA Log'!M:M,"QQC",'QA Log'!L:L,"2. Hygiene and Sterilization",'QA Log'!Z:Z,"Approved"),"")</f>
        <v/>
      </c>
      <c r="AA298" s="105" t="str">
        <f>IF(A298&lt;&gt;"",COUNTIFS('QA Log'!D:D,A298,'QA Log'!M:M,"QQC",'QA Log'!L:L,"4. Family Planning",'QA Log'!Z:Z,"Approved"),"")</f>
        <v/>
      </c>
      <c r="AB298" s="102" t="str">
        <f>IF(A298="","",
SUM(
COUNTIFS('QA Log'!D:D,A298,'QA Log'!M:M,"QQC",'QA Log'!Z:Z,"Rejected",'QA Log'!L:L,"*8. Maternity*"),
COUNTIFS('QA Log'!D:D,A298,'QA Log'!M:M,"QQC",'QA Log'!Z:Z,"Rejected",'QA Log'!L:L,"*9. EPI and Pre-school Consultation*"),
COUNTIFS('QA Log'!D:D,A298,'QA Log'!M:M,"QQC",'QA Log'!Z:Z,"Rejected",'QA Log'!L:L,"*10. Antenatal Care (ANC)*"),
COUNTIFS('QA Log'!D:D,A298,'QA Log'!M:M,"QQC",'QA Log'!Z:Z,"Rejected",'QA Log'!L:L,"*2. Hygiene and Sterilization*"),
COUNTIFS('QA Log'!D:D,A298,'QA Log'!M:M,"QQC",'QA Log'!Z:Z,"Rejected",'QA Log'!L:L,"*4. Family Planning*")
))</f>
        <v/>
      </c>
      <c r="AC298" s="102" t="str">
        <f t="shared" si="29"/>
        <v/>
      </c>
      <c r="AD298" s="103" t="str">
        <f t="shared" si="30"/>
        <v/>
      </c>
      <c r="AE298" s="102" t="str">
        <f>IF(A298="","",
SUM(
COUNTIFS('QA Log'!D:D,A298,'QA Log'!M:M,"Data Verification",'QA Log'!L:L,"*Medicine (section 2)*"),
COUNTIFS('QA Log'!D:D,A298,'QA Log'!M:M,"Data Verification",'QA Log'!L:L,"*Lab Testing Availability*"),
COUNTIFS('QA Log'!D:D,A298,'QA Log'!M:M,"Data Verification",'QA Log'!L:L,"*Other than P4P (section 6)*"),
COUNTIFS('QA Log'!D:D,A298,'QA Log'!M:M,"Data Verification",'QA Log'!L:L,"*Hospital Governance*")
))</f>
        <v/>
      </c>
      <c r="AF298" s="102" t="str">
        <f>IF(A298="","",
SUM(
COUNTIFS('QA Log'!D:D,A298,'QA Log'!M:M,"Data Verification",'QA Log'!Z:Z,"Approved",'QA Log'!L:L,"*Medicine (section 2)*"),
COUNTIFS('QA Log'!D:D,A298,'QA Log'!M:M,"Data Verification",'QA Log'!Z:Z,"Approved",'QA Log'!L:L,"*Lab Testing Availability*"),
COUNTIFS('QA Log'!D:D,A298,'QA Log'!M:M,"Data Verification",'QA Log'!Z:Z,"Approved",'QA Log'!L:L,"*Other than P4P (section 6)*"),
COUNTIFS('QA Log'!D:D,A298,'QA Log'!M:M,"Data Verification",'QA Log'!Z:Z,"Approved",'QA Log'!L:L,"*Hospital Governance*")
))</f>
        <v/>
      </c>
      <c r="AG298" s="105" t="str">
        <f>IF(A298&lt;&gt;"",COUNTIFS('QA Log'!D:D,A298,'QA Log'!M:M,"Data Verification",'QA Log'!L:L,"Medicine (section 2)",'QA Log'!Z:Z,"Approved"),"")</f>
        <v/>
      </c>
      <c r="AH298" s="105" t="str">
        <f>IF(A298&lt;&gt;"",COUNTIFS('QA Log'!D:D,A298,'QA Log'!M:M,"Data Verification",'QA Log'!L:L,"Lab Testing Availability",'QA Log'!Z:Z,"Approved"),"")</f>
        <v/>
      </c>
      <c r="AI298" s="105" t="str">
        <f>IF(A298&lt;&gt;"",COUNTIFS('QA Log'!D:D,A298,'QA Log'!M:M,"Data Verification",'QA Log'!L:L,"Other than P4P (section 6)",'QA Log'!Z:Z,"Approved"),"")</f>
        <v/>
      </c>
      <c r="AJ298" s="105" t="str">
        <f>IF(A298&lt;&gt;"",COUNTIFS('QA Log'!D:D,A298,'QA Log'!M:M,"Data Verification",'QA Log'!L:L,"Hospital Governance",'QA Log'!Z:Z,"Approved"),"")</f>
        <v/>
      </c>
      <c r="AK298" s="102" t="str">
        <f>IF(A298="","",
SUM(
COUNTIFS('QA Log'!D:D,A298,'QA Log'!M:M,"Data Verification",'QA Log'!Z:Z,"Rejected",'QA Log'!L:L,"*Medicine (section 2)*"),
COUNTIFS('QA Log'!D:D,A298,'QA Log'!M:M,"Data Verification",'QA Log'!Z:Z,"Rejected",'QA Log'!L:L,"*Lab Testing Availability*"),
COUNTIFS('QA Log'!D:D,A298,'QA Log'!M:M,"Data Verification",'QA Log'!Z:Z,"Rejected",'QA Log'!L:L,"*Other than P4P (section 6)*"),
COUNTIFS('QA Log'!D:D,A298,'QA Log'!M:M,"Data Verification",'QA Log'!Z:Z,"Rejected",'QA Log'!L:L,"*Hospital Governance*")
))</f>
        <v/>
      </c>
      <c r="AL298" s="106" t="str">
        <f t="shared" si="31"/>
        <v/>
      </c>
      <c r="AM298" s="102" t="str">
        <f t="shared" si="32"/>
        <v/>
      </c>
      <c r="AN298" s="102" t="str">
        <f>IF(A298="","",
SUM(
COUNTIFS('QA Log'!D:D,A298,'QA Log'!M:M,"Data Verification",'QA Log'!L:L,"*Personnel (section 1)*"),
COUNTIFS('QA Log'!D:D,A298,'QA Log'!M:M,"Data Verification",'QA Log'!L:L,"*Consumable (section 3)*"),
COUNTIFS('QA Log'!D:D,A298,'QA Log'!M:M,"Data Verification",'QA Log'!L:L,"*Equipments (section 4)*")
))</f>
        <v/>
      </c>
      <c r="AO298" s="102" t="str">
        <f>IF(A298="","",
SUM(
COUNTIFS('QA Log'!D:D,A298,'QA Log'!M:M,"Data Verification",'QA Log'!Z:Z,"Approved",'QA Log'!L:L,"*Personnel (section 1)*"),
COUNTIFS('QA Log'!D:D,A298,'QA Log'!M:M,"Data Verification",'QA Log'!Z:Z,"Approved",'QA Log'!L:L,"*Consumable (section 3)*"),
COUNTIFS('QA Log'!D:D,A298,'QA Log'!M:M,"Data Verification",'QA Log'!Z:Z,"Approved",'QA Log'!L:L,"*Equipments (section 4)*")
))</f>
        <v/>
      </c>
      <c r="AP298" s="105" t="str">
        <f>IF(A298&lt;&gt;"",COUNTIFS('QA Log'!D:D,A298,'QA Log'!M:M,"Data Verification",'QA Log'!L:L,"Personnel (section 1)",'QA Log'!Z:Z,"Approved"),"")</f>
        <v/>
      </c>
      <c r="AQ298" s="105" t="str">
        <f>IF(A298&lt;&gt;"",COUNTIFS('QA Log'!D:D,A298,'QA Log'!M:M,"Data Verification",'QA Log'!L:L,"Consumable (section 3)",'QA Log'!Z:Z,"Approved"),"")</f>
        <v/>
      </c>
      <c r="AR298" s="105" t="str">
        <f>IF(A298&lt;&gt;"",COUNTIFS('QA Log'!D:D,A298,'QA Log'!M:M,"Data Verification",'QA Log'!L:L,"Equipments (section 4)",'QA Log'!Z:Z,"Approved"),"")</f>
        <v/>
      </c>
      <c r="AS298" s="102" t="str">
        <f>IF(A298="","",
SUM(
COUNTIFS('QA Log'!D:D,A298,'QA Log'!M:M,"Data Verification",'QA Log'!Z:Z,"Rejected",'QA Log'!L:L,"*Personnel (section 1)*"),
COUNTIFS('QA Log'!D:D,A298,'QA Log'!M:M,"Data Verification",'QA Log'!Z:Z,"Rejected",'QA Log'!L:L,"*Consumable (section 3)*"),
COUNTIFS('QA Log'!D:D,A298,'QA Log'!M:M,"Data Verification",'QA Log'!Z:Z,"Rejected",'QA Log'!L:L,"*Equipments (section 4)*")
))</f>
        <v/>
      </c>
      <c r="AT298" s="102" t="str">
        <f t="shared" si="33"/>
        <v/>
      </c>
      <c r="AU298" s="103" t="str">
        <f t="shared" si="34"/>
        <v/>
      </c>
      <c r="AV298" s="102" t="str">
        <f>IF(A298="","",SUM(
COUNTIFS('QA Log'!D:D,A298,'QA Log'!M:M,"Vignette",'QA Log'!L:L,"*Vignette [1] Respiratory Infection: Pneumonia*"),
COUNTIFS('QA Log'!D:D,A298,'QA Log'!M:M,"Vignette",'QA Log'!L:L,"*Vignette [2]: Diarrhea with Cat B dehydration*"),
COUNTIFS('QA Log'!D:D,A298,'QA Log'!M:M,"Vignette",'QA Log'!L:L,"*Vignette [3] Growth Monitoring and Promotion*"),
COUNTIFS('QA Log'!D:D,A298,'QA Log'!M:M,"Vignette",'QA Log'!L:L,"*Vignette [4]: The management of presumptive TB patient*")
)
)</f>
        <v/>
      </c>
      <c r="AW298" s="102" t="str">
        <f>IF(
  A298="","",
  SUM(
    COUNTIFS('QA Log'!D:D,A298,'QA Log'!M:M,"Vignette",'QA Log'!Z:Z,"Approved",'QA Log'!L:L,"*Vignette [1] Respiratory Infection: Pneumonia*"),
    COUNTIFS('QA Log'!D:D,A298,'QA Log'!M:M,"Vignette",'QA Log'!Z:Z,"Approved",'QA Log'!L:L,"*Vignette [2]: Diarrhea with Cat B dehydration*"),
    COUNTIFS('QA Log'!D:D,A298,'QA Log'!M:M,"Vignette",'QA Log'!Z:Z,"Approved",'QA Log'!L:L,"*Vignette [3] Growth Monitoring and Promotion*"),
    COUNTIFS('QA Log'!D:D,A298,'QA Log'!M:M,"Vignette",'QA Log'!Z:Z,"Approved",'QA Log'!L:L,"*Vignette [4]: The management of presumptive TB patient*")
  )
)</f>
        <v/>
      </c>
      <c r="AX298" s="105" t="str">
        <f>IF(A298&lt;&gt;"",COUNTIFS('QA Log'!D:D,A298,'QA Log'!M:M,"Vignette",'QA Log'!L:L,"Vignette [1] Respiratory Infection: Pneumonia",'QA Log'!Z:Z,"Approved"),"")</f>
        <v/>
      </c>
      <c r="AY298" s="105" t="str">
        <f>IF(A298&lt;&gt;"",COUNTIFS('QA Log'!D:D,A298,'QA Log'!M:M,"Vignette",'QA Log'!L:L,"Vignette [2]: Diarrhea with Cat B dehydration",'QA Log'!Z:Z,"Approved"),"")</f>
        <v/>
      </c>
      <c r="AZ298" s="105" t="str">
        <f>IF(A298&lt;&gt;"",COUNTIFS('QA Log'!D:D,A298,'QA Log'!M:M,"Vignette",'QA Log'!L:L,"Vignette [3] Growth Monitoring and Promotion",'QA Log'!Z:Z,"Approved"),"")</f>
        <v/>
      </c>
      <c r="BA298" s="105" t="str">
        <f>IF(A298&lt;&gt;"",COUNTIFS('QA Log'!D:D,A298,'QA Log'!M:M,"Vignette",'QA Log'!L:L,"Vignette [4]: The management of presumptive TB patient",'QA Log'!Z:Z,"Approved"),"")</f>
        <v/>
      </c>
      <c r="BB298" s="102" t="str">
        <f>IF(A298="","",
  SUM(
    COUNTIFS('QA Log'!D:D,A298,'QA Log'!M:M,"Vignette",'QA Log'!Z:Z,"Rejected",'QA Log'!L:L,"*Vignette [1] Respiratory Infection: Pneumonia*"),
    COUNTIFS('QA Log'!D:D,A298,'QA Log'!M:M,"Vignette",'QA Log'!Z:Z,"Rejected",'QA Log'!L:L,"*Vignette [2]: Diarrhea with Cat B dehydration*"),
    COUNTIFS('QA Log'!D:D,A298,'QA Log'!M:M,"Vignette",'QA Log'!Z:Z,"Rejected",'QA Log'!L:L,"*Vignette [3] Growth Monitoring and Promotion*"),
    COUNTIFS('QA Log'!D:D,A298,'QA Log'!M:M,"Vignette",'QA Log'!Z:Z,"Rejected",'QA Log'!L:L,"*Vignette [4]: The management of presumptive TB patient*")
  )
)</f>
        <v/>
      </c>
      <c r="BC298" s="107" t="str">
        <f t="shared" si="35"/>
        <v/>
      </c>
      <c r="BD298" s="103" t="str">
        <f t="shared" si="36"/>
        <v/>
      </c>
      <c r="BE298" s="102" t="str">
        <f>IF(A298="","",SUM(
COUNTIFS('QA Log'!D:D,A298,'QA Log'!M:M,"Vignette",'QA Log'!L:L,"*Vignette [5] Labor*"),
COUNTIFS('QA Log'!D:D,A298,'QA Log'!M:M,"Vignette",'QA Log'!L:L,"*Vignette [6] PNC pre Discharge*"),
COUNTIFS('QA Log'!D:D,A298,'QA Log'!M:M,"Vignette",'QA Log'!L:L,"*Vignette [7] First ANC Visit*"),
COUNTIFS('QA Log'!D:D,A298,'QA Log'!M:M,"Vignette",'QA Log'!L:L,"*Vignette [8] Birth Spacing/ Family Planning :  FP Counselling*"),
COUNTIFS('QA Log'!D:D,A298,'QA Log'!M:M,"Vignette",'QA Log'!L:L,"*Vignette [9] Birth Spacing: Change FP method to Injectable*"),
COUNTIFS('QA Log'!D:D,A298,'QA Log'!M:M,"Vignette",'QA Log'!L:L,"*Vignette [10] Post Partum Haemorrhage - Atonic Uterus at Health Centre*"),
)
)</f>
        <v/>
      </c>
      <c r="BF298" s="102" t="str">
        <f>IF(A298="","",
  SUM(
    COUNTIFS('QA Log'!D:D,A298,'QA Log'!M:M,"Vignette",'QA Log'!Z:Z,"Approved",'QA Log'!L:L,"*Vignette [5] Labor*"),
    COUNTIFS('QA Log'!D:D,A298,'QA Log'!M:M,"Vignette",'QA Log'!Z:Z,"Approved",'QA Log'!L:L,"*Vignette [6] PNC pre Discharge*"),
    COUNTIFS('QA Log'!D:D,A298,'QA Log'!M:M,"Vignette",'QA Log'!Z:Z,"Approved",'QA Log'!L:L,"*Vignette [7] First ANC Visit*"),
    COUNTIFS('QA Log'!D:D,A298,'QA Log'!M:M,"Vignette",'QA Log'!Z:Z,"Approved",'QA Log'!L:L,"*Vignette [8] Birth Spacing/ Family Planning :  FP Counselling*"),
    COUNTIFS('QA Log'!D:D,A298,'QA Log'!M:M,"Vignette",'QA Log'!Z:Z,"Approved",'QA Log'!L:L,"*Vignette [9] Birth Spacing: Change FP method to Injectable*"),
    COUNTIFS('QA Log'!D:D,A298,'QA Log'!M:M,"Vignette",'QA Log'!Z:Z,"Approved",'QA Log'!L:L,"*Vignette [10] Post Partum Haemorrhage - Atonic Uterus at Health Centre*")
  )
)</f>
        <v/>
      </c>
      <c r="BG298" s="105" t="str">
        <f>IF(A298&lt;&gt;"",COUNTIFS('QA Log'!D:D,A298,'QA Log'!M:M,"Vignette",'QA Log'!L:L,"Vignette [5] Labor",'QA Log'!Z:Z,"Approved"),"")</f>
        <v/>
      </c>
      <c r="BH298" s="105" t="str">
        <f>IF(A298&lt;&gt;"",COUNTIFS('QA Log'!D:D,A298,'QA Log'!M:M,"Vignette",'QA Log'!L:L,"Vignette [6] PNC pre Discharge",'QA Log'!Z:Z,"Approved"),"")</f>
        <v/>
      </c>
      <c r="BI298" s="105" t="str">
        <f>IF(A298&lt;&gt;"",COUNTIFS('QA Log'!D:D,A298,'QA Log'!M:M,"Vignette",'QA Log'!L:L,"Vignette [7] First ANC Visit",'QA Log'!Z:Z,"Approved"),"")</f>
        <v/>
      </c>
      <c r="BJ298" s="105" t="str">
        <f>IF(A298&lt;&gt;"",COUNTIFS('QA Log'!D:D,A298,'QA Log'!M:M,"Vignette",'QA Log'!L:L,"Vignette [8] Birth Spacing/ Family Planning :  FP Counselling",'QA Log'!Z:Z,"Approved"),"")</f>
        <v/>
      </c>
      <c r="BK298" s="105" t="str">
        <f>IF(A298&lt;&gt;"",COUNTIFS('QA Log'!D:D,A298,'QA Log'!M:M,"Vignette",'QA Log'!L:L,"Vignette [9] Birth Spacing: Change FP method to Injectable",'QA Log'!Z:Z,"Approved"),"")</f>
        <v/>
      </c>
      <c r="BL298" s="105" t="str">
        <f>IF(A298&lt;&gt;"",COUNTIFS('QA Log'!D:D,A298,'QA Log'!M:M,"Vignette",'QA Log'!L:L,"Vignette [10] Post Partum Haemorrhage - Atonic Uterus at Health Centre",'QA Log'!Z:Z,"Approved"),"")</f>
        <v/>
      </c>
      <c r="BM298" s="102" t="str">
        <f>IF(A298="","",SUM(
    COUNTIFS('QA Log'!D:D,A298,'QA Log'!M:M,"Vignette",'QA Log'!Z:Z,"Rejected",'QA Log'!L:L,"*Vignette [5] Labor*"),
    COUNTIFS('QA Log'!D:D,A298,'QA Log'!M:M,"Vignette",'QA Log'!Z:Z,"Rejected",'QA Log'!L:L,"*Vignette [6] PNC pre Discharge*"),
    COUNTIFS('QA Log'!D:D,A298,'QA Log'!M:M,"Vignette",'QA Log'!Z:Z,"Rejected",'QA Log'!L:L,"*Vignette [7] First ANC Visit*"),
    COUNTIFS('QA Log'!D:D,A298,'QA Log'!M:M,"Vignette",'QA Log'!Z:Z,"Rejected",'QA Log'!L:L,"*Vignette [8] Birth Spacing/ Family Planning :  FP Counselling*"),
    COUNTIFS('QA Log'!D:D,A298,'QA Log'!M:M,"Vignette",'QA Log'!Z:Z,"Rejected",'QA Log'!L:L,"*Vignette [9] Birth Spacing: Change FP method to Injectable*"),
    COUNTIFS('QA Log'!D:D,A298,'QA Log'!M:M,"Vignette",'QA Log'!Z:Z,"Rejected",'QA Log'!L:L,"*Vignette [10] Post Partum Haemorrhage - Atonic Uterus at Health Centre*")
  )
)</f>
        <v/>
      </c>
      <c r="BN298" s="107" t="str">
        <f t="shared" si="37"/>
        <v/>
      </c>
      <c r="BO298" s="103" t="str">
        <f t="shared" si="38"/>
        <v/>
      </c>
      <c r="BP298" s="102" t="str">
        <f>IF(A298="","",SUM(
COUNTIFS('QA Log'!D:D,A298,'QA Log'!M:M,"Vignette",'QA Log'!L:L,"*Exit Interview 1*"),
COUNTIFS('QA Log'!D:D,A298,'QA Log'!M:M,"Vignette",'QA Log'!L:L,"*Exit Interview 2*"),
)
)</f>
        <v/>
      </c>
      <c r="BQ298" s="102" t="str">
        <f>IF(
  A298="","",
  SUM(
    COUNTIFS('QA Log'!D:D,A298,'QA Log'!M:M,"Vignette",'QA Log'!Z:Z,"Approved",'QA Log'!L:L,"*Exit Interview 1*"),
    COUNTIFS('QA Log'!D:D,A298,'QA Log'!M:M,"Vignette",'QA Log'!Z:Z,"Approved",'QA Log'!L:L,"*Exit Interview 2*")
  )
)</f>
        <v/>
      </c>
      <c r="BR298" s="105" t="str">
        <f>IF(A298&lt;&gt;"",COUNTIFS('QA Log'!D:D,A298,'QA Log'!M:M,"Vignette",'QA Log'!L:L,"Exit Interview 1",'QA Log'!Z:Z,"Approved"),"")</f>
        <v/>
      </c>
      <c r="BS298" s="105" t="str">
        <f>IF(A298&lt;&gt;"",COUNTIFS('QA Log'!D:D,A298,'QA Log'!M:M,"Vignette",'QA Log'!L:L,"Exit Interview 2",'QA Log'!Z:Z,"Approved"),"")</f>
        <v/>
      </c>
      <c r="BT298" s="102" t="str">
        <f>IF(
  A298="","",
  SUM(
    COUNTIFS('QA Log'!D:D,A298,'QA Log'!M:M,"Vignette",'QA Log'!Z:Z,"Rejected",'QA Log'!L:L,"*Exit Interview 1*"),
    COUNTIFS('QA Log'!D:D,A298,'QA Log'!M:M,"Vignette",'QA Log'!Z:Z,"Rejected",'QA Log'!L:L,"*Exit Interview 2*")
  )
)</f>
        <v/>
      </c>
      <c r="BU298" s="107" t="str">
        <f t="shared" si="39"/>
        <v/>
      </c>
      <c r="BV298" s="102" t="str">
        <f t="shared" si="40"/>
        <v/>
      </c>
      <c r="BW298" s="102" t="str">
        <f t="shared" si="41"/>
        <v/>
      </c>
      <c r="BX298" s="102" t="str">
        <f t="shared" si="42"/>
        <v/>
      </c>
      <c r="BY298" s="102" t="str">
        <f t="shared" si="43"/>
        <v/>
      </c>
      <c r="BZ298" s="107" t="str">
        <f t="shared" si="44"/>
        <v/>
      </c>
      <c r="CA298" s="108" t="str">
        <f t="shared" si="45"/>
        <v/>
      </c>
      <c r="CB298" s="108" t="str">
        <f t="shared" si="46"/>
        <v/>
      </c>
      <c r="CC298" s="109" t="str">
        <f t="shared" si="47"/>
        <v/>
      </c>
      <c r="CD298" s="108" t="str">
        <f t="shared" si="48"/>
        <v/>
      </c>
      <c r="CE298" s="108" t="str">
        <f t="shared" si="49"/>
        <v/>
      </c>
      <c r="CF298" s="109" t="str">
        <f t="shared" si="50"/>
        <v/>
      </c>
      <c r="CG298" s="110" t="str">
        <f t="shared" si="51"/>
        <v/>
      </c>
      <c r="CH298" s="111"/>
    </row>
    <row r="299" spans="1:86" ht="12.75">
      <c r="A299" s="101"/>
      <c r="B299" s="102" t="e">
        <f t="array" aca="1" ref="B299" ca="1">_xludf.XLOOKUP(A299,'QA Log'!D:D,'QA Log'!E:E,"")</f>
        <v>#NAME?</v>
      </c>
      <c r="C299" s="102" t="e">
        <f t="array" aca="1" ref="C299" ca="1">_xludf.XLOOKUP(A299,'QA Log'!D:D,'QA Log'!F:F,"")</f>
        <v>#NAME?</v>
      </c>
      <c r="D299" s="102" t="e">
        <f t="array" aca="1" ref="D299" ca="1">_xludf.XLOOKUP(A299,'QA Log'!D:D,'QA Log'!H:H,"")</f>
        <v>#NAME?</v>
      </c>
      <c r="E299" s="102" t="e">
        <f t="array" aca="1" ref="E299" ca="1">_xludf.XLOOKUP(A299,'QA Log'!D:D,'QA Log'!G:G,"")</f>
        <v>#NAME?</v>
      </c>
      <c r="F299" s="103"/>
      <c r="G299" s="104"/>
      <c r="H299" s="104"/>
      <c r="I299" s="103" t="str">
        <f t="shared" si="26"/>
        <v/>
      </c>
      <c r="J299" s="102" t="str">
        <f>IF(A299="","",SUM(
COUNTIFS('QA Log'!D:D,A299,'QA Log'!M:M,"QQC",'QA Log'!L:L,"*1. General Management*"),
COUNTIFS('QA Log'!D:D,A299,'QA Log'!M:M,"QQC",'QA Log'!L:L,"*3. Curative Consultation (OPD)*"),
COUNTIFS('QA Log'!D:D,A299,'QA Log'!M:M,"QQC",'QA Log'!L:L,"*5. Laboratory*"),
COUNTIFS('QA Log'!D:D,A299,'QA Log'!M:M,"QQC",'QA Log'!L:L,"*6. Essential Medicine Management*"),
COUNTIFS('QA Log'!D:D,A299,'QA Log'!M:M,"QQC",'QA Log'!L:L,"*7. Tracer Medicine*"),
COUNTIFS('QA Log'!D:D,A299,'QA Log'!M:M,"QQC",'QA Log'!L:L,"*11. Additional Questions*")))</f>
        <v/>
      </c>
      <c r="K299" s="102" t="str">
        <f>IF(A299="","",SUM(
COUNTIFS('QA Log'!D:D,A299,'QA Log'!M:M,"QQC",'QA Log'!Z:Z,"Approved",'QA Log'!L:L,"*1. General Management*"),
COUNTIFS('QA Log'!D:D,A299,'QA Log'!M:M,"QQC",'QA Log'!Z:Z,"Approved",'QA Log'!L:L,"*3. Curative Consultation (OPD)*"),
COUNTIFS('QA Log'!D:D,A299,'QA Log'!M:M,"QQC",'QA Log'!Z:Z,"Approved",'QA Log'!L:L,"*5. Laboratory*"),
COUNTIFS('QA Log'!D:D,A299,'QA Log'!M:M,"QQC",'QA Log'!Z:Z,"Approved",'QA Log'!L:L,"*6. Essential Medicine Management*"),
COUNTIFS('QA Log'!D:D,A299,'QA Log'!M:M,"QQC",'QA Log'!Z:Z,"Approved",'QA Log'!L:L,"*7. Tracer Medicine*"),
COUNTIFS('QA Log'!D:D,A299,'QA Log'!M:M,"QQC",'QA Log'!Z:Z,"Approved",'QA Log'!L:L,"*11. Additional Questions*")))</f>
        <v/>
      </c>
      <c r="L299" s="105" t="str">
        <f>IF(A299&lt;&gt;"",COUNTIFS('QA Log'!D:D,A299,'QA Log'!M:M,"QQC",'QA Log'!L:L,"1. General Management",'QA Log'!Z:Z,"Approved"),"")</f>
        <v/>
      </c>
      <c r="M299" s="105" t="str">
        <f>IF(A299&lt;&gt;"",COUNTIFS('QA Log'!D:D,A299,'QA Log'!M:M,"QQC",'QA Log'!L:L,"3. Curative Consultation (OPD)",'QA Log'!Z:Z,"Approved"),"")</f>
        <v/>
      </c>
      <c r="N299" s="105" t="str">
        <f>IF(A299&lt;&gt;"",COUNTIFS('QA Log'!D:D,A299,'QA Log'!M:M,"QQC",'QA Log'!L:L,"5. Laboratory",'QA Log'!Z:Z,"Approved"),"")</f>
        <v/>
      </c>
      <c r="O299" s="105" t="str">
        <f>IF(A299&lt;&gt;"",COUNTIFS('QA Log'!D:D,A299,'QA Log'!M:M,"QQC",'QA Log'!L:L,"6. Essential Medicine Management",'QA Log'!Z:Z,"Approved"),"")</f>
        <v/>
      </c>
      <c r="P299" s="105" t="str">
        <f>IF(A299&lt;&gt;"",COUNTIFS('QA Log'!D:D,A299,'QA Log'!M:M,"QQC",'QA Log'!L:L,"7. Tracer Medicine",'QA Log'!Z:Z,"Approved"),"")</f>
        <v/>
      </c>
      <c r="Q299" s="105" t="str">
        <f>IF(A299&lt;&gt;"",COUNTIFS('QA Log'!D:D,A299,'QA Log'!M:M,"QQC",'QA Log'!L:L,"11. Additional Questions",'QA Log'!Z:Z,"Approved"),"")</f>
        <v/>
      </c>
      <c r="R299" s="102" t="str">
        <f>IF(A299="","",SUM(
COUNTIFS('QA Log'!D:D,A299,'QA Log'!M:M,"QQC",'QA Log'!Z:Z,"Rejected",'QA Log'!L:L,"*8. Maternity*"),
COUNTIFS('QA Log'!D:D,A299,'QA Log'!M:M,"QQC",'QA Log'!Z:Z,"Rejected",'QA Log'!L:L,"*EPI*"),
COUNTIFS('QA Log'!D:D,A299,'QA Log'!M:M,"QQC",'QA Log'!Z:Z,"Rejected",'QA Log'!L:L,"*10. Antenatal Care (ANC)*"),
COUNTIFS('QA Log'!D:D,A299,'QA Log'!M:M,"QQC",'QA Log'!Z:Z,"Rejected",'QA Log'!L:L,"*2. Hygiene and Sterilization*"),
COUNTIFS('QA Log'!D:D,A299,'QA Log'!M:M,"QQC",'QA Log'!Z:Z,"Rejected",'QA Log'!L:L,"*Family Planning*")))</f>
        <v/>
      </c>
      <c r="S299" s="106" t="str">
        <f t="shared" si="27"/>
        <v/>
      </c>
      <c r="T299" s="102" t="str">
        <f t="shared" si="28"/>
        <v/>
      </c>
      <c r="U299" s="102" t="str">
        <f>IF(A299="","",
SUM(
COUNTIFS('QA Log'!D:D,A299,'QA Log'!M:M,"QQC",'QA Log'!L:L,"*8. Maternity*"),
COUNTIFS('QA Log'!D:D,A299,'QA Log'!M:M,"QQC",'QA Log'!L:L,"*9. EPI and Pre-school Consultation*"),
COUNTIFS('QA Log'!D:D,A299,'QA Log'!M:M,"QQC",'QA Log'!L:L,"*10. Antenatal Care (ANC)*"),
COUNTIFS('QA Log'!D:D,A299,'QA Log'!M:M,"QQC",'QA Log'!L:L,"*2. Hygiene and Sterilization*"),
COUNTIFS('QA Log'!D:D,A299,'QA Log'!M:M,"QQC",'QA Log'!L:L,"*4. Family Planning*")
))</f>
        <v/>
      </c>
      <c r="V299" s="102" t="str">
        <f>IF(A299="","",
SUM(
COUNTIFS('QA Log'!D:D,A299,'QA Log'!M:M,"QQC",'QA Log'!Z:Z,"Approved",'QA Log'!L:L,"*8. Maternity*"),
COUNTIFS('QA Log'!D:D,A299,'QA Log'!M:M,"QQC",'QA Log'!Z:Z,"Approved",'QA Log'!L:L,"*9. EPI and Pre-school Consultation*"),
COUNTIFS('QA Log'!D:D,A299,'QA Log'!M:M,"QQC",'QA Log'!Z:Z,"Approved",'QA Log'!L:L,"*10. Antenatal Care (ANC)*"),
COUNTIFS('QA Log'!D:D,A299,'QA Log'!M:M,"QQC",'QA Log'!Z:Z,"Approved",'QA Log'!L:L,"*2. Hygiene and Sterilization*"),
COUNTIFS('QA Log'!D:D,A299,'QA Log'!M:M,"QQC",'QA Log'!Z:Z,"Approved",'QA Log'!L:L,"*4. Family Planning*")
))</f>
        <v/>
      </c>
      <c r="W299" s="105" t="str">
        <f>IF(A299&lt;&gt;"",COUNTIFS('QA Log'!D:D,A299,'QA Log'!M:M,"QQC",'QA Log'!L:L,"8. Maternity",'QA Log'!Z:Z,"Approved"),"")</f>
        <v/>
      </c>
      <c r="X299" s="105" t="str">
        <f>IF(A299&lt;&gt;"",COUNTIFS('QA Log'!D:D,A299,'QA Log'!M:M,"QQC",'QA Log'!L:L,"9. EPI and Pre-school Consultation",'QA Log'!Z:Z,"Approved"),"")</f>
        <v/>
      </c>
      <c r="Y299" s="105" t="str">
        <f>IF(A299&lt;&gt;"",COUNTIFS('QA Log'!D:D,A299,'QA Log'!M:M,"QQC",'QA Log'!L:L,"10. Antenatal Care (ANC)",'QA Log'!Z:Z,"Approved"),"")</f>
        <v/>
      </c>
      <c r="Z299" s="105" t="str">
        <f>IF(A299&lt;&gt;"",COUNTIFS('QA Log'!D:D,A299,'QA Log'!M:M,"QQC",'QA Log'!L:L,"2. Hygiene and Sterilization",'QA Log'!Z:Z,"Approved"),"")</f>
        <v/>
      </c>
      <c r="AA299" s="105" t="str">
        <f>IF(A299&lt;&gt;"",COUNTIFS('QA Log'!D:D,A299,'QA Log'!M:M,"QQC",'QA Log'!L:L,"4. Family Planning",'QA Log'!Z:Z,"Approved"),"")</f>
        <v/>
      </c>
      <c r="AB299" s="102" t="str">
        <f>IF(A299="","",
SUM(
COUNTIFS('QA Log'!D:D,A299,'QA Log'!M:M,"QQC",'QA Log'!Z:Z,"Rejected",'QA Log'!L:L,"*8. Maternity*"),
COUNTIFS('QA Log'!D:D,A299,'QA Log'!M:M,"QQC",'QA Log'!Z:Z,"Rejected",'QA Log'!L:L,"*9. EPI and Pre-school Consultation*"),
COUNTIFS('QA Log'!D:D,A299,'QA Log'!M:M,"QQC",'QA Log'!Z:Z,"Rejected",'QA Log'!L:L,"*10. Antenatal Care (ANC)*"),
COUNTIFS('QA Log'!D:D,A299,'QA Log'!M:M,"QQC",'QA Log'!Z:Z,"Rejected",'QA Log'!L:L,"*2. Hygiene and Sterilization*"),
COUNTIFS('QA Log'!D:D,A299,'QA Log'!M:M,"QQC",'QA Log'!Z:Z,"Rejected",'QA Log'!L:L,"*4. Family Planning*")
))</f>
        <v/>
      </c>
      <c r="AC299" s="102" t="str">
        <f t="shared" si="29"/>
        <v/>
      </c>
      <c r="AD299" s="103" t="str">
        <f t="shared" si="30"/>
        <v/>
      </c>
      <c r="AE299" s="102" t="str">
        <f>IF(A299="","",
SUM(
COUNTIFS('QA Log'!D:D,A299,'QA Log'!M:M,"Data Verification",'QA Log'!L:L,"*Medicine (section 2)*"),
COUNTIFS('QA Log'!D:D,A299,'QA Log'!M:M,"Data Verification",'QA Log'!L:L,"*Lab Testing Availability*"),
COUNTIFS('QA Log'!D:D,A299,'QA Log'!M:M,"Data Verification",'QA Log'!L:L,"*Other than P4P (section 6)*"),
COUNTIFS('QA Log'!D:D,A299,'QA Log'!M:M,"Data Verification",'QA Log'!L:L,"*Hospital Governance*")
))</f>
        <v/>
      </c>
      <c r="AF299" s="102" t="str">
        <f>IF(A299="","",
SUM(
COUNTIFS('QA Log'!D:D,A299,'QA Log'!M:M,"Data Verification",'QA Log'!Z:Z,"Approved",'QA Log'!L:L,"*Medicine (section 2)*"),
COUNTIFS('QA Log'!D:D,A299,'QA Log'!M:M,"Data Verification",'QA Log'!Z:Z,"Approved",'QA Log'!L:L,"*Lab Testing Availability*"),
COUNTIFS('QA Log'!D:D,A299,'QA Log'!M:M,"Data Verification",'QA Log'!Z:Z,"Approved",'QA Log'!L:L,"*Other than P4P (section 6)*"),
COUNTIFS('QA Log'!D:D,A299,'QA Log'!M:M,"Data Verification",'QA Log'!Z:Z,"Approved",'QA Log'!L:L,"*Hospital Governance*")
))</f>
        <v/>
      </c>
      <c r="AG299" s="105" t="str">
        <f>IF(A299&lt;&gt;"",COUNTIFS('QA Log'!D:D,A299,'QA Log'!M:M,"Data Verification",'QA Log'!L:L,"Medicine (section 2)",'QA Log'!Z:Z,"Approved"),"")</f>
        <v/>
      </c>
      <c r="AH299" s="105" t="str">
        <f>IF(A299&lt;&gt;"",COUNTIFS('QA Log'!D:D,A299,'QA Log'!M:M,"Data Verification",'QA Log'!L:L,"Lab Testing Availability",'QA Log'!Z:Z,"Approved"),"")</f>
        <v/>
      </c>
      <c r="AI299" s="105" t="str">
        <f>IF(A299&lt;&gt;"",COUNTIFS('QA Log'!D:D,A299,'QA Log'!M:M,"Data Verification",'QA Log'!L:L,"Other than P4P (section 6)",'QA Log'!Z:Z,"Approved"),"")</f>
        <v/>
      </c>
      <c r="AJ299" s="105" t="str">
        <f>IF(A299&lt;&gt;"",COUNTIFS('QA Log'!D:D,A299,'QA Log'!M:M,"Data Verification",'QA Log'!L:L,"Hospital Governance",'QA Log'!Z:Z,"Approved"),"")</f>
        <v/>
      </c>
      <c r="AK299" s="102" t="str">
        <f>IF(A299="","",
SUM(
COUNTIFS('QA Log'!D:D,A299,'QA Log'!M:M,"Data Verification",'QA Log'!Z:Z,"Rejected",'QA Log'!L:L,"*Medicine (section 2)*"),
COUNTIFS('QA Log'!D:D,A299,'QA Log'!M:M,"Data Verification",'QA Log'!Z:Z,"Rejected",'QA Log'!L:L,"*Lab Testing Availability*"),
COUNTIFS('QA Log'!D:D,A299,'QA Log'!M:M,"Data Verification",'QA Log'!Z:Z,"Rejected",'QA Log'!L:L,"*Other than P4P (section 6)*"),
COUNTIFS('QA Log'!D:D,A299,'QA Log'!M:M,"Data Verification",'QA Log'!Z:Z,"Rejected",'QA Log'!L:L,"*Hospital Governance*")
))</f>
        <v/>
      </c>
      <c r="AL299" s="106" t="str">
        <f t="shared" si="31"/>
        <v/>
      </c>
      <c r="AM299" s="102" t="str">
        <f t="shared" si="32"/>
        <v/>
      </c>
      <c r="AN299" s="102" t="str">
        <f>IF(A299="","",
SUM(
COUNTIFS('QA Log'!D:D,A299,'QA Log'!M:M,"Data Verification",'QA Log'!L:L,"*Personnel (section 1)*"),
COUNTIFS('QA Log'!D:D,A299,'QA Log'!M:M,"Data Verification",'QA Log'!L:L,"*Consumable (section 3)*"),
COUNTIFS('QA Log'!D:D,A299,'QA Log'!M:M,"Data Verification",'QA Log'!L:L,"*Equipments (section 4)*")
))</f>
        <v/>
      </c>
      <c r="AO299" s="102" t="str">
        <f>IF(A299="","",
SUM(
COUNTIFS('QA Log'!D:D,A299,'QA Log'!M:M,"Data Verification",'QA Log'!Z:Z,"Approved",'QA Log'!L:L,"*Personnel (section 1)*"),
COUNTIFS('QA Log'!D:D,A299,'QA Log'!M:M,"Data Verification",'QA Log'!Z:Z,"Approved",'QA Log'!L:L,"*Consumable (section 3)*"),
COUNTIFS('QA Log'!D:D,A299,'QA Log'!M:M,"Data Verification",'QA Log'!Z:Z,"Approved",'QA Log'!L:L,"*Equipments (section 4)*")
))</f>
        <v/>
      </c>
      <c r="AP299" s="105" t="str">
        <f>IF(A299&lt;&gt;"",COUNTIFS('QA Log'!D:D,A299,'QA Log'!M:M,"Data Verification",'QA Log'!L:L,"Personnel (section 1)",'QA Log'!Z:Z,"Approved"),"")</f>
        <v/>
      </c>
      <c r="AQ299" s="105" t="str">
        <f>IF(A299&lt;&gt;"",COUNTIFS('QA Log'!D:D,A299,'QA Log'!M:M,"Data Verification",'QA Log'!L:L,"Consumable (section 3)",'QA Log'!Z:Z,"Approved"),"")</f>
        <v/>
      </c>
      <c r="AR299" s="105" t="str">
        <f>IF(A299&lt;&gt;"",COUNTIFS('QA Log'!D:D,A299,'QA Log'!M:M,"Data Verification",'QA Log'!L:L,"Equipments (section 4)",'QA Log'!Z:Z,"Approved"),"")</f>
        <v/>
      </c>
      <c r="AS299" s="102" t="str">
        <f>IF(A299="","",
SUM(
COUNTIFS('QA Log'!D:D,A299,'QA Log'!M:M,"Data Verification",'QA Log'!Z:Z,"Rejected",'QA Log'!L:L,"*Personnel (section 1)*"),
COUNTIFS('QA Log'!D:D,A299,'QA Log'!M:M,"Data Verification",'QA Log'!Z:Z,"Rejected",'QA Log'!L:L,"*Consumable (section 3)*"),
COUNTIFS('QA Log'!D:D,A299,'QA Log'!M:M,"Data Verification",'QA Log'!Z:Z,"Rejected",'QA Log'!L:L,"*Equipments (section 4)*")
))</f>
        <v/>
      </c>
      <c r="AT299" s="102" t="str">
        <f t="shared" si="33"/>
        <v/>
      </c>
      <c r="AU299" s="103" t="str">
        <f t="shared" si="34"/>
        <v/>
      </c>
      <c r="AV299" s="102" t="str">
        <f>IF(A299="","",SUM(
COUNTIFS('QA Log'!D:D,A299,'QA Log'!M:M,"Vignette",'QA Log'!L:L,"*Vignette [1] Respiratory Infection: Pneumonia*"),
COUNTIFS('QA Log'!D:D,A299,'QA Log'!M:M,"Vignette",'QA Log'!L:L,"*Vignette [2]: Diarrhea with Cat B dehydration*"),
COUNTIFS('QA Log'!D:D,A299,'QA Log'!M:M,"Vignette",'QA Log'!L:L,"*Vignette [3] Growth Monitoring and Promotion*"),
COUNTIFS('QA Log'!D:D,A299,'QA Log'!M:M,"Vignette",'QA Log'!L:L,"*Vignette [4]: The management of presumptive TB patient*")
)
)</f>
        <v/>
      </c>
      <c r="AW299" s="102" t="str">
        <f>IF(
  A299="","",
  SUM(
    COUNTIFS('QA Log'!D:D,A299,'QA Log'!M:M,"Vignette",'QA Log'!Z:Z,"Approved",'QA Log'!L:L,"*Vignette [1] Respiratory Infection: Pneumonia*"),
    COUNTIFS('QA Log'!D:D,A299,'QA Log'!M:M,"Vignette",'QA Log'!Z:Z,"Approved",'QA Log'!L:L,"*Vignette [2]: Diarrhea with Cat B dehydration*"),
    COUNTIFS('QA Log'!D:D,A299,'QA Log'!M:M,"Vignette",'QA Log'!Z:Z,"Approved",'QA Log'!L:L,"*Vignette [3] Growth Monitoring and Promotion*"),
    COUNTIFS('QA Log'!D:D,A299,'QA Log'!M:M,"Vignette",'QA Log'!Z:Z,"Approved",'QA Log'!L:L,"*Vignette [4]: The management of presumptive TB patient*")
  )
)</f>
        <v/>
      </c>
      <c r="AX299" s="105" t="str">
        <f>IF(A299&lt;&gt;"",COUNTIFS('QA Log'!D:D,A299,'QA Log'!M:M,"Vignette",'QA Log'!L:L,"Vignette [1] Respiratory Infection: Pneumonia",'QA Log'!Z:Z,"Approved"),"")</f>
        <v/>
      </c>
      <c r="AY299" s="105" t="str">
        <f>IF(A299&lt;&gt;"",COUNTIFS('QA Log'!D:D,A299,'QA Log'!M:M,"Vignette",'QA Log'!L:L,"Vignette [2]: Diarrhea with Cat B dehydration",'QA Log'!Z:Z,"Approved"),"")</f>
        <v/>
      </c>
      <c r="AZ299" s="105" t="str">
        <f>IF(A299&lt;&gt;"",COUNTIFS('QA Log'!D:D,A299,'QA Log'!M:M,"Vignette",'QA Log'!L:L,"Vignette [3] Growth Monitoring and Promotion",'QA Log'!Z:Z,"Approved"),"")</f>
        <v/>
      </c>
      <c r="BA299" s="105" t="str">
        <f>IF(A299&lt;&gt;"",COUNTIFS('QA Log'!D:D,A299,'QA Log'!M:M,"Vignette",'QA Log'!L:L,"Vignette [4]: The management of presumptive TB patient",'QA Log'!Z:Z,"Approved"),"")</f>
        <v/>
      </c>
      <c r="BB299" s="102" t="str">
        <f>IF(A299="","",
  SUM(
    COUNTIFS('QA Log'!D:D,A299,'QA Log'!M:M,"Vignette",'QA Log'!Z:Z,"Rejected",'QA Log'!L:L,"*Vignette [1] Respiratory Infection: Pneumonia*"),
    COUNTIFS('QA Log'!D:D,A299,'QA Log'!M:M,"Vignette",'QA Log'!Z:Z,"Rejected",'QA Log'!L:L,"*Vignette [2]: Diarrhea with Cat B dehydration*"),
    COUNTIFS('QA Log'!D:D,A299,'QA Log'!M:M,"Vignette",'QA Log'!Z:Z,"Rejected",'QA Log'!L:L,"*Vignette [3] Growth Monitoring and Promotion*"),
    COUNTIFS('QA Log'!D:D,A299,'QA Log'!M:M,"Vignette",'QA Log'!Z:Z,"Rejected",'QA Log'!L:L,"*Vignette [4]: The management of presumptive TB patient*")
  )
)</f>
        <v/>
      </c>
      <c r="BC299" s="107" t="str">
        <f t="shared" si="35"/>
        <v/>
      </c>
      <c r="BD299" s="103" t="str">
        <f t="shared" si="36"/>
        <v/>
      </c>
      <c r="BE299" s="102" t="str">
        <f>IF(A299="","",SUM(
COUNTIFS('QA Log'!D:D,A299,'QA Log'!M:M,"Vignette",'QA Log'!L:L,"*Vignette [5] Labor*"),
COUNTIFS('QA Log'!D:D,A299,'QA Log'!M:M,"Vignette",'QA Log'!L:L,"*Vignette [6] PNC pre Discharge*"),
COUNTIFS('QA Log'!D:D,A299,'QA Log'!M:M,"Vignette",'QA Log'!L:L,"*Vignette [7] First ANC Visit*"),
COUNTIFS('QA Log'!D:D,A299,'QA Log'!M:M,"Vignette",'QA Log'!L:L,"*Vignette [8] Birth Spacing/ Family Planning :  FP Counselling*"),
COUNTIFS('QA Log'!D:D,A299,'QA Log'!M:M,"Vignette",'QA Log'!L:L,"*Vignette [9] Birth Spacing: Change FP method to Injectable*"),
COUNTIFS('QA Log'!D:D,A299,'QA Log'!M:M,"Vignette",'QA Log'!L:L,"*Vignette [10] Post Partum Haemorrhage - Atonic Uterus at Health Centre*"),
)
)</f>
        <v/>
      </c>
      <c r="BF299" s="102" t="str">
        <f>IF(A299="","",
  SUM(
    COUNTIFS('QA Log'!D:D,A299,'QA Log'!M:M,"Vignette",'QA Log'!Z:Z,"Approved",'QA Log'!L:L,"*Vignette [5] Labor*"),
    COUNTIFS('QA Log'!D:D,A299,'QA Log'!M:M,"Vignette",'QA Log'!Z:Z,"Approved",'QA Log'!L:L,"*Vignette [6] PNC pre Discharge*"),
    COUNTIFS('QA Log'!D:D,A299,'QA Log'!M:M,"Vignette",'QA Log'!Z:Z,"Approved",'QA Log'!L:L,"*Vignette [7] First ANC Visit*"),
    COUNTIFS('QA Log'!D:D,A299,'QA Log'!M:M,"Vignette",'QA Log'!Z:Z,"Approved",'QA Log'!L:L,"*Vignette [8] Birth Spacing/ Family Planning :  FP Counselling*"),
    COUNTIFS('QA Log'!D:D,A299,'QA Log'!M:M,"Vignette",'QA Log'!Z:Z,"Approved",'QA Log'!L:L,"*Vignette [9] Birth Spacing: Change FP method to Injectable*"),
    COUNTIFS('QA Log'!D:D,A299,'QA Log'!M:M,"Vignette",'QA Log'!Z:Z,"Approved",'QA Log'!L:L,"*Vignette [10] Post Partum Haemorrhage - Atonic Uterus at Health Centre*")
  )
)</f>
        <v/>
      </c>
      <c r="BG299" s="105" t="str">
        <f>IF(A299&lt;&gt;"",COUNTIFS('QA Log'!D:D,A299,'QA Log'!M:M,"Vignette",'QA Log'!L:L,"Vignette [5] Labor",'QA Log'!Z:Z,"Approved"),"")</f>
        <v/>
      </c>
      <c r="BH299" s="105" t="str">
        <f>IF(A299&lt;&gt;"",COUNTIFS('QA Log'!D:D,A299,'QA Log'!M:M,"Vignette",'QA Log'!L:L,"Vignette [6] PNC pre Discharge",'QA Log'!Z:Z,"Approved"),"")</f>
        <v/>
      </c>
      <c r="BI299" s="105" t="str">
        <f>IF(A299&lt;&gt;"",COUNTIFS('QA Log'!D:D,A299,'QA Log'!M:M,"Vignette",'QA Log'!L:L,"Vignette [7] First ANC Visit",'QA Log'!Z:Z,"Approved"),"")</f>
        <v/>
      </c>
      <c r="BJ299" s="105" t="str">
        <f>IF(A299&lt;&gt;"",COUNTIFS('QA Log'!D:D,A299,'QA Log'!M:M,"Vignette",'QA Log'!L:L,"Vignette [8] Birth Spacing/ Family Planning :  FP Counselling",'QA Log'!Z:Z,"Approved"),"")</f>
        <v/>
      </c>
      <c r="BK299" s="105" t="str">
        <f>IF(A299&lt;&gt;"",COUNTIFS('QA Log'!D:D,A299,'QA Log'!M:M,"Vignette",'QA Log'!L:L,"Vignette [9] Birth Spacing: Change FP method to Injectable",'QA Log'!Z:Z,"Approved"),"")</f>
        <v/>
      </c>
      <c r="BL299" s="105" t="str">
        <f>IF(A299&lt;&gt;"",COUNTIFS('QA Log'!D:D,A299,'QA Log'!M:M,"Vignette",'QA Log'!L:L,"Vignette [10] Post Partum Haemorrhage - Atonic Uterus at Health Centre",'QA Log'!Z:Z,"Approved"),"")</f>
        <v/>
      </c>
      <c r="BM299" s="102" t="str">
        <f>IF(A299="","",SUM(
    COUNTIFS('QA Log'!D:D,A299,'QA Log'!M:M,"Vignette",'QA Log'!Z:Z,"Rejected",'QA Log'!L:L,"*Vignette [5] Labor*"),
    COUNTIFS('QA Log'!D:D,A299,'QA Log'!M:M,"Vignette",'QA Log'!Z:Z,"Rejected",'QA Log'!L:L,"*Vignette [6] PNC pre Discharge*"),
    COUNTIFS('QA Log'!D:D,A299,'QA Log'!M:M,"Vignette",'QA Log'!Z:Z,"Rejected",'QA Log'!L:L,"*Vignette [7] First ANC Visit*"),
    COUNTIFS('QA Log'!D:D,A299,'QA Log'!M:M,"Vignette",'QA Log'!Z:Z,"Rejected",'QA Log'!L:L,"*Vignette [8] Birth Spacing/ Family Planning :  FP Counselling*"),
    COUNTIFS('QA Log'!D:D,A299,'QA Log'!M:M,"Vignette",'QA Log'!Z:Z,"Rejected",'QA Log'!L:L,"*Vignette [9] Birth Spacing: Change FP method to Injectable*"),
    COUNTIFS('QA Log'!D:D,A299,'QA Log'!M:M,"Vignette",'QA Log'!Z:Z,"Rejected",'QA Log'!L:L,"*Vignette [10] Post Partum Haemorrhage - Atonic Uterus at Health Centre*")
  )
)</f>
        <v/>
      </c>
      <c r="BN299" s="107" t="str">
        <f t="shared" si="37"/>
        <v/>
      </c>
      <c r="BO299" s="103" t="str">
        <f t="shared" si="38"/>
        <v/>
      </c>
      <c r="BP299" s="102" t="str">
        <f>IF(A299="","",SUM(
COUNTIFS('QA Log'!D:D,A299,'QA Log'!M:M,"Vignette",'QA Log'!L:L,"*Exit Interview 1*"),
COUNTIFS('QA Log'!D:D,A299,'QA Log'!M:M,"Vignette",'QA Log'!L:L,"*Exit Interview 2*"),
)
)</f>
        <v/>
      </c>
      <c r="BQ299" s="102" t="str">
        <f>IF(
  A299="","",
  SUM(
    COUNTIFS('QA Log'!D:D,A299,'QA Log'!M:M,"Vignette",'QA Log'!Z:Z,"Approved",'QA Log'!L:L,"*Exit Interview 1*"),
    COUNTIFS('QA Log'!D:D,A299,'QA Log'!M:M,"Vignette",'QA Log'!Z:Z,"Approved",'QA Log'!L:L,"*Exit Interview 2*")
  )
)</f>
        <v/>
      </c>
      <c r="BR299" s="105" t="str">
        <f>IF(A299&lt;&gt;"",COUNTIFS('QA Log'!D:D,A299,'QA Log'!M:M,"Vignette",'QA Log'!L:L,"Exit Interview 1",'QA Log'!Z:Z,"Approved"),"")</f>
        <v/>
      </c>
      <c r="BS299" s="105" t="str">
        <f>IF(A299&lt;&gt;"",COUNTIFS('QA Log'!D:D,A299,'QA Log'!M:M,"Vignette",'QA Log'!L:L,"Exit Interview 2",'QA Log'!Z:Z,"Approved"),"")</f>
        <v/>
      </c>
      <c r="BT299" s="102" t="str">
        <f>IF(
  A299="","",
  SUM(
    COUNTIFS('QA Log'!D:D,A299,'QA Log'!M:M,"Vignette",'QA Log'!Z:Z,"Rejected",'QA Log'!L:L,"*Exit Interview 1*"),
    COUNTIFS('QA Log'!D:D,A299,'QA Log'!M:M,"Vignette",'QA Log'!Z:Z,"Rejected",'QA Log'!L:L,"*Exit Interview 2*")
  )
)</f>
        <v/>
      </c>
      <c r="BU299" s="107" t="str">
        <f t="shared" si="39"/>
        <v/>
      </c>
      <c r="BV299" s="102" t="str">
        <f t="shared" si="40"/>
        <v/>
      </c>
      <c r="BW299" s="102" t="str">
        <f t="shared" si="41"/>
        <v/>
      </c>
      <c r="BX299" s="102" t="str">
        <f t="shared" si="42"/>
        <v/>
      </c>
      <c r="BY299" s="102" t="str">
        <f t="shared" si="43"/>
        <v/>
      </c>
      <c r="BZ299" s="107" t="str">
        <f t="shared" si="44"/>
        <v/>
      </c>
      <c r="CA299" s="108" t="str">
        <f t="shared" si="45"/>
        <v/>
      </c>
      <c r="CB299" s="108" t="str">
        <f t="shared" si="46"/>
        <v/>
      </c>
      <c r="CC299" s="109" t="str">
        <f t="shared" si="47"/>
        <v/>
      </c>
      <c r="CD299" s="108" t="str">
        <f t="shared" si="48"/>
        <v/>
      </c>
      <c r="CE299" s="108" t="str">
        <f t="shared" si="49"/>
        <v/>
      </c>
      <c r="CF299" s="109" t="str">
        <f t="shared" si="50"/>
        <v/>
      </c>
      <c r="CG299" s="110" t="str">
        <f t="shared" si="51"/>
        <v/>
      </c>
      <c r="CH299" s="111"/>
    </row>
    <row r="300" spans="1:86" ht="12.75">
      <c r="A300" s="101"/>
      <c r="B300" s="102" t="e">
        <f t="array" aca="1" ref="B300" ca="1">_xludf.XLOOKUP(A300,'QA Log'!D:D,'QA Log'!E:E,"")</f>
        <v>#NAME?</v>
      </c>
      <c r="C300" s="102" t="e">
        <f t="array" aca="1" ref="C300" ca="1">_xludf.XLOOKUP(A300,'QA Log'!D:D,'QA Log'!F:F,"")</f>
        <v>#NAME?</v>
      </c>
      <c r="D300" s="102" t="e">
        <f t="array" aca="1" ref="D300" ca="1">_xludf.XLOOKUP(A300,'QA Log'!D:D,'QA Log'!H:H,"")</f>
        <v>#NAME?</v>
      </c>
      <c r="E300" s="102" t="e">
        <f t="array" aca="1" ref="E300" ca="1">_xludf.XLOOKUP(A300,'QA Log'!D:D,'QA Log'!G:G,"")</f>
        <v>#NAME?</v>
      </c>
      <c r="F300" s="103"/>
      <c r="G300" s="104"/>
      <c r="H300" s="104"/>
      <c r="I300" s="103" t="str">
        <f t="shared" si="26"/>
        <v/>
      </c>
      <c r="J300" s="102" t="str">
        <f>IF(A300="","",SUM(
COUNTIFS('QA Log'!D:D,A300,'QA Log'!M:M,"QQC",'QA Log'!L:L,"*1. General Management*"),
COUNTIFS('QA Log'!D:D,A300,'QA Log'!M:M,"QQC",'QA Log'!L:L,"*3. Curative Consultation (OPD)*"),
COUNTIFS('QA Log'!D:D,A300,'QA Log'!M:M,"QQC",'QA Log'!L:L,"*5. Laboratory*"),
COUNTIFS('QA Log'!D:D,A300,'QA Log'!M:M,"QQC",'QA Log'!L:L,"*6. Essential Medicine Management*"),
COUNTIFS('QA Log'!D:D,A300,'QA Log'!M:M,"QQC",'QA Log'!L:L,"*7. Tracer Medicine*"),
COUNTIFS('QA Log'!D:D,A300,'QA Log'!M:M,"QQC",'QA Log'!L:L,"*11. Additional Questions*")))</f>
        <v/>
      </c>
      <c r="K300" s="102" t="str">
        <f>IF(A300="","",SUM(
COUNTIFS('QA Log'!D:D,A300,'QA Log'!M:M,"QQC",'QA Log'!Z:Z,"Approved",'QA Log'!L:L,"*1. General Management*"),
COUNTIFS('QA Log'!D:D,A300,'QA Log'!M:M,"QQC",'QA Log'!Z:Z,"Approved",'QA Log'!L:L,"*3. Curative Consultation (OPD)*"),
COUNTIFS('QA Log'!D:D,A300,'QA Log'!M:M,"QQC",'QA Log'!Z:Z,"Approved",'QA Log'!L:L,"*5. Laboratory*"),
COUNTIFS('QA Log'!D:D,A300,'QA Log'!M:M,"QQC",'QA Log'!Z:Z,"Approved",'QA Log'!L:L,"*6. Essential Medicine Management*"),
COUNTIFS('QA Log'!D:D,A300,'QA Log'!M:M,"QQC",'QA Log'!Z:Z,"Approved",'QA Log'!L:L,"*7. Tracer Medicine*"),
COUNTIFS('QA Log'!D:D,A300,'QA Log'!M:M,"QQC",'QA Log'!Z:Z,"Approved",'QA Log'!L:L,"*11. Additional Questions*")))</f>
        <v/>
      </c>
      <c r="L300" s="105" t="str">
        <f>IF(A300&lt;&gt;"",COUNTIFS('QA Log'!D:D,A300,'QA Log'!M:M,"QQC",'QA Log'!L:L,"1. General Management",'QA Log'!Z:Z,"Approved"),"")</f>
        <v/>
      </c>
      <c r="M300" s="105" t="str">
        <f>IF(A300&lt;&gt;"",COUNTIFS('QA Log'!D:D,A300,'QA Log'!M:M,"QQC",'QA Log'!L:L,"3. Curative Consultation (OPD)",'QA Log'!Z:Z,"Approved"),"")</f>
        <v/>
      </c>
      <c r="N300" s="105" t="str">
        <f>IF(A300&lt;&gt;"",COUNTIFS('QA Log'!D:D,A300,'QA Log'!M:M,"QQC",'QA Log'!L:L,"5. Laboratory",'QA Log'!Z:Z,"Approved"),"")</f>
        <v/>
      </c>
      <c r="O300" s="105" t="str">
        <f>IF(A300&lt;&gt;"",COUNTIFS('QA Log'!D:D,A300,'QA Log'!M:M,"QQC",'QA Log'!L:L,"6. Essential Medicine Management",'QA Log'!Z:Z,"Approved"),"")</f>
        <v/>
      </c>
      <c r="P300" s="105" t="str">
        <f>IF(A300&lt;&gt;"",COUNTIFS('QA Log'!D:D,A300,'QA Log'!M:M,"QQC",'QA Log'!L:L,"7. Tracer Medicine",'QA Log'!Z:Z,"Approved"),"")</f>
        <v/>
      </c>
      <c r="Q300" s="105" t="str">
        <f>IF(A300&lt;&gt;"",COUNTIFS('QA Log'!D:D,A300,'QA Log'!M:M,"QQC",'QA Log'!L:L,"11. Additional Questions",'QA Log'!Z:Z,"Approved"),"")</f>
        <v/>
      </c>
      <c r="R300" s="102" t="str">
        <f>IF(A300="","",SUM(
COUNTIFS('QA Log'!D:D,A300,'QA Log'!M:M,"QQC",'QA Log'!Z:Z,"Rejected",'QA Log'!L:L,"*8. Maternity*"),
COUNTIFS('QA Log'!D:D,A300,'QA Log'!M:M,"QQC",'QA Log'!Z:Z,"Rejected",'QA Log'!L:L,"*EPI*"),
COUNTIFS('QA Log'!D:D,A300,'QA Log'!M:M,"QQC",'QA Log'!Z:Z,"Rejected",'QA Log'!L:L,"*10. Antenatal Care (ANC)*"),
COUNTIFS('QA Log'!D:D,A300,'QA Log'!M:M,"QQC",'QA Log'!Z:Z,"Rejected",'QA Log'!L:L,"*2. Hygiene and Sterilization*"),
COUNTIFS('QA Log'!D:D,A300,'QA Log'!M:M,"QQC",'QA Log'!Z:Z,"Rejected",'QA Log'!L:L,"*Family Planning*")))</f>
        <v/>
      </c>
      <c r="S300" s="106" t="str">
        <f t="shared" si="27"/>
        <v/>
      </c>
      <c r="T300" s="102" t="str">
        <f t="shared" si="28"/>
        <v/>
      </c>
      <c r="U300" s="102" t="str">
        <f>IF(A300="","",
SUM(
COUNTIFS('QA Log'!D:D,A300,'QA Log'!M:M,"QQC",'QA Log'!L:L,"*8. Maternity*"),
COUNTIFS('QA Log'!D:D,A300,'QA Log'!M:M,"QQC",'QA Log'!L:L,"*9. EPI and Pre-school Consultation*"),
COUNTIFS('QA Log'!D:D,A300,'QA Log'!M:M,"QQC",'QA Log'!L:L,"*10. Antenatal Care (ANC)*"),
COUNTIFS('QA Log'!D:D,A300,'QA Log'!M:M,"QQC",'QA Log'!L:L,"*2. Hygiene and Sterilization*"),
COUNTIFS('QA Log'!D:D,A300,'QA Log'!M:M,"QQC",'QA Log'!L:L,"*4. Family Planning*")
))</f>
        <v/>
      </c>
      <c r="V300" s="102" t="str">
        <f>IF(A300="","",
SUM(
COUNTIFS('QA Log'!D:D,A300,'QA Log'!M:M,"QQC",'QA Log'!Z:Z,"Approved",'QA Log'!L:L,"*8. Maternity*"),
COUNTIFS('QA Log'!D:D,A300,'QA Log'!M:M,"QQC",'QA Log'!Z:Z,"Approved",'QA Log'!L:L,"*9. EPI and Pre-school Consultation*"),
COUNTIFS('QA Log'!D:D,A300,'QA Log'!M:M,"QQC",'QA Log'!Z:Z,"Approved",'QA Log'!L:L,"*10. Antenatal Care (ANC)*"),
COUNTIFS('QA Log'!D:D,A300,'QA Log'!M:M,"QQC",'QA Log'!Z:Z,"Approved",'QA Log'!L:L,"*2. Hygiene and Sterilization*"),
COUNTIFS('QA Log'!D:D,A300,'QA Log'!M:M,"QQC",'QA Log'!Z:Z,"Approved",'QA Log'!L:L,"*4. Family Planning*")
))</f>
        <v/>
      </c>
      <c r="W300" s="105" t="str">
        <f>IF(A300&lt;&gt;"",COUNTIFS('QA Log'!D:D,A300,'QA Log'!M:M,"QQC",'QA Log'!L:L,"8. Maternity",'QA Log'!Z:Z,"Approved"),"")</f>
        <v/>
      </c>
      <c r="X300" s="105" t="str">
        <f>IF(A300&lt;&gt;"",COUNTIFS('QA Log'!D:D,A300,'QA Log'!M:M,"QQC",'QA Log'!L:L,"9. EPI and Pre-school Consultation",'QA Log'!Z:Z,"Approved"),"")</f>
        <v/>
      </c>
      <c r="Y300" s="105" t="str">
        <f>IF(A300&lt;&gt;"",COUNTIFS('QA Log'!D:D,A300,'QA Log'!M:M,"QQC",'QA Log'!L:L,"10. Antenatal Care (ANC)",'QA Log'!Z:Z,"Approved"),"")</f>
        <v/>
      </c>
      <c r="Z300" s="105" t="str">
        <f>IF(A300&lt;&gt;"",COUNTIFS('QA Log'!D:D,A300,'QA Log'!M:M,"QQC",'QA Log'!L:L,"2. Hygiene and Sterilization",'QA Log'!Z:Z,"Approved"),"")</f>
        <v/>
      </c>
      <c r="AA300" s="105" t="str">
        <f>IF(A300&lt;&gt;"",COUNTIFS('QA Log'!D:D,A300,'QA Log'!M:M,"QQC",'QA Log'!L:L,"4. Family Planning",'QA Log'!Z:Z,"Approved"),"")</f>
        <v/>
      </c>
      <c r="AB300" s="102" t="str">
        <f>IF(A300="","",
SUM(
COUNTIFS('QA Log'!D:D,A300,'QA Log'!M:M,"QQC",'QA Log'!Z:Z,"Rejected",'QA Log'!L:L,"*8. Maternity*"),
COUNTIFS('QA Log'!D:D,A300,'QA Log'!M:M,"QQC",'QA Log'!Z:Z,"Rejected",'QA Log'!L:L,"*9. EPI and Pre-school Consultation*"),
COUNTIFS('QA Log'!D:D,A300,'QA Log'!M:M,"QQC",'QA Log'!Z:Z,"Rejected",'QA Log'!L:L,"*10. Antenatal Care (ANC)*"),
COUNTIFS('QA Log'!D:D,A300,'QA Log'!M:M,"QQC",'QA Log'!Z:Z,"Rejected",'QA Log'!L:L,"*2. Hygiene and Sterilization*"),
COUNTIFS('QA Log'!D:D,A300,'QA Log'!M:M,"QQC",'QA Log'!Z:Z,"Rejected",'QA Log'!L:L,"*4. Family Planning*")
))</f>
        <v/>
      </c>
      <c r="AC300" s="102" t="str">
        <f t="shared" si="29"/>
        <v/>
      </c>
      <c r="AD300" s="103" t="str">
        <f t="shared" si="30"/>
        <v/>
      </c>
      <c r="AE300" s="102" t="str">
        <f>IF(A300="","",
SUM(
COUNTIFS('QA Log'!D:D,A300,'QA Log'!M:M,"Data Verification",'QA Log'!L:L,"*Medicine (section 2)*"),
COUNTIFS('QA Log'!D:D,A300,'QA Log'!M:M,"Data Verification",'QA Log'!L:L,"*Lab Testing Availability*"),
COUNTIFS('QA Log'!D:D,A300,'QA Log'!M:M,"Data Verification",'QA Log'!L:L,"*Other than P4P (section 6)*"),
COUNTIFS('QA Log'!D:D,A300,'QA Log'!M:M,"Data Verification",'QA Log'!L:L,"*Hospital Governance*")
))</f>
        <v/>
      </c>
      <c r="AF300" s="102" t="str">
        <f>IF(A300="","",
SUM(
COUNTIFS('QA Log'!D:D,A300,'QA Log'!M:M,"Data Verification",'QA Log'!Z:Z,"Approved",'QA Log'!L:L,"*Medicine (section 2)*"),
COUNTIFS('QA Log'!D:D,A300,'QA Log'!M:M,"Data Verification",'QA Log'!Z:Z,"Approved",'QA Log'!L:L,"*Lab Testing Availability*"),
COUNTIFS('QA Log'!D:D,A300,'QA Log'!M:M,"Data Verification",'QA Log'!Z:Z,"Approved",'QA Log'!L:L,"*Other than P4P (section 6)*"),
COUNTIFS('QA Log'!D:D,A300,'QA Log'!M:M,"Data Verification",'QA Log'!Z:Z,"Approved",'QA Log'!L:L,"*Hospital Governance*")
))</f>
        <v/>
      </c>
      <c r="AG300" s="105" t="str">
        <f>IF(A300&lt;&gt;"",COUNTIFS('QA Log'!D:D,A300,'QA Log'!M:M,"Data Verification",'QA Log'!L:L,"Medicine (section 2)",'QA Log'!Z:Z,"Approved"),"")</f>
        <v/>
      </c>
      <c r="AH300" s="105" t="str">
        <f>IF(A300&lt;&gt;"",COUNTIFS('QA Log'!D:D,A300,'QA Log'!M:M,"Data Verification",'QA Log'!L:L,"Lab Testing Availability",'QA Log'!Z:Z,"Approved"),"")</f>
        <v/>
      </c>
      <c r="AI300" s="105" t="str">
        <f>IF(A300&lt;&gt;"",COUNTIFS('QA Log'!D:D,A300,'QA Log'!M:M,"Data Verification",'QA Log'!L:L,"Other than P4P (section 6)",'QA Log'!Z:Z,"Approved"),"")</f>
        <v/>
      </c>
      <c r="AJ300" s="105" t="str">
        <f>IF(A300&lt;&gt;"",COUNTIFS('QA Log'!D:D,A300,'QA Log'!M:M,"Data Verification",'QA Log'!L:L,"Hospital Governance",'QA Log'!Z:Z,"Approved"),"")</f>
        <v/>
      </c>
      <c r="AK300" s="102" t="str">
        <f>IF(A300="","",
SUM(
COUNTIFS('QA Log'!D:D,A300,'QA Log'!M:M,"Data Verification",'QA Log'!Z:Z,"Rejected",'QA Log'!L:L,"*Medicine (section 2)*"),
COUNTIFS('QA Log'!D:D,A300,'QA Log'!M:M,"Data Verification",'QA Log'!Z:Z,"Rejected",'QA Log'!L:L,"*Lab Testing Availability*"),
COUNTIFS('QA Log'!D:D,A300,'QA Log'!M:M,"Data Verification",'QA Log'!Z:Z,"Rejected",'QA Log'!L:L,"*Other than P4P (section 6)*"),
COUNTIFS('QA Log'!D:D,A300,'QA Log'!M:M,"Data Verification",'QA Log'!Z:Z,"Rejected",'QA Log'!L:L,"*Hospital Governance*")
))</f>
        <v/>
      </c>
      <c r="AL300" s="106" t="str">
        <f t="shared" si="31"/>
        <v/>
      </c>
      <c r="AM300" s="102" t="str">
        <f t="shared" si="32"/>
        <v/>
      </c>
      <c r="AN300" s="102" t="str">
        <f>IF(A300="","",
SUM(
COUNTIFS('QA Log'!D:D,A300,'QA Log'!M:M,"Data Verification",'QA Log'!L:L,"*Personnel (section 1)*"),
COUNTIFS('QA Log'!D:D,A300,'QA Log'!M:M,"Data Verification",'QA Log'!L:L,"*Consumable (section 3)*"),
COUNTIFS('QA Log'!D:D,A300,'QA Log'!M:M,"Data Verification",'QA Log'!L:L,"*Equipments (section 4)*")
))</f>
        <v/>
      </c>
      <c r="AO300" s="102" t="str">
        <f>IF(A300="","",
SUM(
COUNTIFS('QA Log'!D:D,A300,'QA Log'!M:M,"Data Verification",'QA Log'!Z:Z,"Approved",'QA Log'!L:L,"*Personnel (section 1)*"),
COUNTIFS('QA Log'!D:D,A300,'QA Log'!M:M,"Data Verification",'QA Log'!Z:Z,"Approved",'QA Log'!L:L,"*Consumable (section 3)*"),
COUNTIFS('QA Log'!D:D,A300,'QA Log'!M:M,"Data Verification",'QA Log'!Z:Z,"Approved",'QA Log'!L:L,"*Equipments (section 4)*")
))</f>
        <v/>
      </c>
      <c r="AP300" s="105" t="str">
        <f>IF(A300&lt;&gt;"",COUNTIFS('QA Log'!D:D,A300,'QA Log'!M:M,"Data Verification",'QA Log'!L:L,"Personnel (section 1)",'QA Log'!Z:Z,"Approved"),"")</f>
        <v/>
      </c>
      <c r="AQ300" s="105" t="str">
        <f>IF(A300&lt;&gt;"",COUNTIFS('QA Log'!D:D,A300,'QA Log'!M:M,"Data Verification",'QA Log'!L:L,"Consumable (section 3)",'QA Log'!Z:Z,"Approved"),"")</f>
        <v/>
      </c>
      <c r="AR300" s="105" t="str">
        <f>IF(A300&lt;&gt;"",COUNTIFS('QA Log'!D:D,A300,'QA Log'!M:M,"Data Verification",'QA Log'!L:L,"Equipments (section 4)",'QA Log'!Z:Z,"Approved"),"")</f>
        <v/>
      </c>
      <c r="AS300" s="102" t="str">
        <f>IF(A300="","",
SUM(
COUNTIFS('QA Log'!D:D,A300,'QA Log'!M:M,"Data Verification",'QA Log'!Z:Z,"Rejected",'QA Log'!L:L,"*Personnel (section 1)*"),
COUNTIFS('QA Log'!D:D,A300,'QA Log'!M:M,"Data Verification",'QA Log'!Z:Z,"Rejected",'QA Log'!L:L,"*Consumable (section 3)*"),
COUNTIFS('QA Log'!D:D,A300,'QA Log'!M:M,"Data Verification",'QA Log'!Z:Z,"Rejected",'QA Log'!L:L,"*Equipments (section 4)*")
))</f>
        <v/>
      </c>
      <c r="AT300" s="102" t="str">
        <f t="shared" si="33"/>
        <v/>
      </c>
      <c r="AU300" s="103" t="str">
        <f t="shared" si="34"/>
        <v/>
      </c>
      <c r="AV300" s="102" t="str">
        <f>IF(A300="","",SUM(
COUNTIFS('QA Log'!D:D,A300,'QA Log'!M:M,"Vignette",'QA Log'!L:L,"*Vignette [1] Respiratory Infection: Pneumonia*"),
COUNTIFS('QA Log'!D:D,A300,'QA Log'!M:M,"Vignette",'QA Log'!L:L,"*Vignette [2]: Diarrhea with Cat B dehydration*"),
COUNTIFS('QA Log'!D:D,A300,'QA Log'!M:M,"Vignette",'QA Log'!L:L,"*Vignette [3] Growth Monitoring and Promotion*"),
COUNTIFS('QA Log'!D:D,A300,'QA Log'!M:M,"Vignette",'QA Log'!L:L,"*Vignette [4]: The management of presumptive TB patient*")
)
)</f>
        <v/>
      </c>
      <c r="AW300" s="102" t="str">
        <f>IF(
  A300="","",
  SUM(
    COUNTIFS('QA Log'!D:D,A300,'QA Log'!M:M,"Vignette",'QA Log'!Z:Z,"Approved",'QA Log'!L:L,"*Vignette [1] Respiratory Infection: Pneumonia*"),
    COUNTIFS('QA Log'!D:D,A300,'QA Log'!M:M,"Vignette",'QA Log'!Z:Z,"Approved",'QA Log'!L:L,"*Vignette [2]: Diarrhea with Cat B dehydration*"),
    COUNTIFS('QA Log'!D:D,A300,'QA Log'!M:M,"Vignette",'QA Log'!Z:Z,"Approved",'QA Log'!L:L,"*Vignette [3] Growth Monitoring and Promotion*"),
    COUNTIFS('QA Log'!D:D,A300,'QA Log'!M:M,"Vignette",'QA Log'!Z:Z,"Approved",'QA Log'!L:L,"*Vignette [4]: The management of presumptive TB patient*")
  )
)</f>
        <v/>
      </c>
      <c r="AX300" s="105" t="str">
        <f>IF(A300&lt;&gt;"",COUNTIFS('QA Log'!D:D,A300,'QA Log'!M:M,"Vignette",'QA Log'!L:L,"Vignette [1] Respiratory Infection: Pneumonia",'QA Log'!Z:Z,"Approved"),"")</f>
        <v/>
      </c>
      <c r="AY300" s="105" t="str">
        <f>IF(A300&lt;&gt;"",COUNTIFS('QA Log'!D:D,A300,'QA Log'!M:M,"Vignette",'QA Log'!L:L,"Vignette [2]: Diarrhea with Cat B dehydration",'QA Log'!Z:Z,"Approved"),"")</f>
        <v/>
      </c>
      <c r="AZ300" s="105" t="str">
        <f>IF(A300&lt;&gt;"",COUNTIFS('QA Log'!D:D,A300,'QA Log'!M:M,"Vignette",'QA Log'!L:L,"Vignette [3] Growth Monitoring and Promotion",'QA Log'!Z:Z,"Approved"),"")</f>
        <v/>
      </c>
      <c r="BA300" s="105" t="str">
        <f>IF(A300&lt;&gt;"",COUNTIFS('QA Log'!D:D,A300,'QA Log'!M:M,"Vignette",'QA Log'!L:L,"Vignette [4]: The management of presumptive TB patient",'QA Log'!Z:Z,"Approved"),"")</f>
        <v/>
      </c>
      <c r="BB300" s="102" t="str">
        <f>IF(A300="","",
  SUM(
    COUNTIFS('QA Log'!D:D,A300,'QA Log'!M:M,"Vignette",'QA Log'!Z:Z,"Rejected",'QA Log'!L:L,"*Vignette [1] Respiratory Infection: Pneumonia*"),
    COUNTIFS('QA Log'!D:D,A300,'QA Log'!M:M,"Vignette",'QA Log'!Z:Z,"Rejected",'QA Log'!L:L,"*Vignette [2]: Diarrhea with Cat B dehydration*"),
    COUNTIFS('QA Log'!D:D,A300,'QA Log'!M:M,"Vignette",'QA Log'!Z:Z,"Rejected",'QA Log'!L:L,"*Vignette [3] Growth Monitoring and Promotion*"),
    COUNTIFS('QA Log'!D:D,A300,'QA Log'!M:M,"Vignette",'QA Log'!Z:Z,"Rejected",'QA Log'!L:L,"*Vignette [4]: The management of presumptive TB patient*")
  )
)</f>
        <v/>
      </c>
      <c r="BC300" s="107" t="str">
        <f t="shared" si="35"/>
        <v/>
      </c>
      <c r="BD300" s="103" t="str">
        <f t="shared" si="36"/>
        <v/>
      </c>
      <c r="BE300" s="102" t="str">
        <f>IF(A300="","",SUM(
COUNTIFS('QA Log'!D:D,A300,'QA Log'!M:M,"Vignette",'QA Log'!L:L,"*Vignette [5] Labor*"),
COUNTIFS('QA Log'!D:D,A300,'QA Log'!M:M,"Vignette",'QA Log'!L:L,"*Vignette [6] PNC pre Discharge*"),
COUNTIFS('QA Log'!D:D,A300,'QA Log'!M:M,"Vignette",'QA Log'!L:L,"*Vignette [7] First ANC Visit*"),
COUNTIFS('QA Log'!D:D,A300,'QA Log'!M:M,"Vignette",'QA Log'!L:L,"*Vignette [8] Birth Spacing/ Family Planning :  FP Counselling*"),
COUNTIFS('QA Log'!D:D,A300,'QA Log'!M:M,"Vignette",'QA Log'!L:L,"*Vignette [9] Birth Spacing: Change FP method to Injectable*"),
COUNTIFS('QA Log'!D:D,A300,'QA Log'!M:M,"Vignette",'QA Log'!L:L,"*Vignette [10] Post Partum Haemorrhage - Atonic Uterus at Health Centre*"),
)
)</f>
        <v/>
      </c>
      <c r="BF300" s="102" t="str">
        <f>IF(A300="","",
  SUM(
    COUNTIFS('QA Log'!D:D,A300,'QA Log'!M:M,"Vignette",'QA Log'!Z:Z,"Approved",'QA Log'!L:L,"*Vignette [5] Labor*"),
    COUNTIFS('QA Log'!D:D,A300,'QA Log'!M:M,"Vignette",'QA Log'!Z:Z,"Approved",'QA Log'!L:L,"*Vignette [6] PNC pre Discharge*"),
    COUNTIFS('QA Log'!D:D,A300,'QA Log'!M:M,"Vignette",'QA Log'!Z:Z,"Approved",'QA Log'!L:L,"*Vignette [7] First ANC Visit*"),
    COUNTIFS('QA Log'!D:D,A300,'QA Log'!M:M,"Vignette",'QA Log'!Z:Z,"Approved",'QA Log'!L:L,"*Vignette [8] Birth Spacing/ Family Planning :  FP Counselling*"),
    COUNTIFS('QA Log'!D:D,A300,'QA Log'!M:M,"Vignette",'QA Log'!Z:Z,"Approved",'QA Log'!L:L,"*Vignette [9] Birth Spacing: Change FP method to Injectable*"),
    COUNTIFS('QA Log'!D:D,A300,'QA Log'!M:M,"Vignette",'QA Log'!Z:Z,"Approved",'QA Log'!L:L,"*Vignette [10] Post Partum Haemorrhage - Atonic Uterus at Health Centre*")
  )
)</f>
        <v/>
      </c>
      <c r="BG300" s="105" t="str">
        <f>IF(A300&lt;&gt;"",COUNTIFS('QA Log'!D:D,A300,'QA Log'!M:M,"Vignette",'QA Log'!L:L,"Vignette [5] Labor",'QA Log'!Z:Z,"Approved"),"")</f>
        <v/>
      </c>
      <c r="BH300" s="105" t="str">
        <f>IF(A300&lt;&gt;"",COUNTIFS('QA Log'!D:D,A300,'QA Log'!M:M,"Vignette",'QA Log'!L:L,"Vignette [6] PNC pre Discharge",'QA Log'!Z:Z,"Approved"),"")</f>
        <v/>
      </c>
      <c r="BI300" s="105" t="str">
        <f>IF(A300&lt;&gt;"",COUNTIFS('QA Log'!D:D,A300,'QA Log'!M:M,"Vignette",'QA Log'!L:L,"Vignette [7] First ANC Visit",'QA Log'!Z:Z,"Approved"),"")</f>
        <v/>
      </c>
      <c r="BJ300" s="105" t="str">
        <f>IF(A300&lt;&gt;"",COUNTIFS('QA Log'!D:D,A300,'QA Log'!M:M,"Vignette",'QA Log'!L:L,"Vignette [8] Birth Spacing/ Family Planning :  FP Counselling",'QA Log'!Z:Z,"Approved"),"")</f>
        <v/>
      </c>
      <c r="BK300" s="105" t="str">
        <f>IF(A300&lt;&gt;"",COUNTIFS('QA Log'!D:D,A300,'QA Log'!M:M,"Vignette",'QA Log'!L:L,"Vignette [9] Birth Spacing: Change FP method to Injectable",'QA Log'!Z:Z,"Approved"),"")</f>
        <v/>
      </c>
      <c r="BL300" s="105" t="str">
        <f>IF(A300&lt;&gt;"",COUNTIFS('QA Log'!D:D,A300,'QA Log'!M:M,"Vignette",'QA Log'!L:L,"Vignette [10] Post Partum Haemorrhage - Atonic Uterus at Health Centre",'QA Log'!Z:Z,"Approved"),"")</f>
        <v/>
      </c>
      <c r="BM300" s="102" t="str">
        <f>IF(A300="","",SUM(
    COUNTIFS('QA Log'!D:D,A300,'QA Log'!M:M,"Vignette",'QA Log'!Z:Z,"Rejected",'QA Log'!L:L,"*Vignette [5] Labor*"),
    COUNTIFS('QA Log'!D:D,A300,'QA Log'!M:M,"Vignette",'QA Log'!Z:Z,"Rejected",'QA Log'!L:L,"*Vignette [6] PNC pre Discharge*"),
    COUNTIFS('QA Log'!D:D,A300,'QA Log'!M:M,"Vignette",'QA Log'!Z:Z,"Rejected",'QA Log'!L:L,"*Vignette [7] First ANC Visit*"),
    COUNTIFS('QA Log'!D:D,A300,'QA Log'!M:M,"Vignette",'QA Log'!Z:Z,"Rejected",'QA Log'!L:L,"*Vignette [8] Birth Spacing/ Family Planning :  FP Counselling*"),
    COUNTIFS('QA Log'!D:D,A300,'QA Log'!M:M,"Vignette",'QA Log'!Z:Z,"Rejected",'QA Log'!L:L,"*Vignette [9] Birth Spacing: Change FP method to Injectable*"),
    COUNTIFS('QA Log'!D:D,A300,'QA Log'!M:M,"Vignette",'QA Log'!Z:Z,"Rejected",'QA Log'!L:L,"*Vignette [10] Post Partum Haemorrhage - Atonic Uterus at Health Centre*")
  )
)</f>
        <v/>
      </c>
      <c r="BN300" s="107" t="str">
        <f t="shared" si="37"/>
        <v/>
      </c>
      <c r="BO300" s="103" t="str">
        <f t="shared" si="38"/>
        <v/>
      </c>
      <c r="BP300" s="102" t="str">
        <f>IF(A300="","",SUM(
COUNTIFS('QA Log'!D:D,A300,'QA Log'!M:M,"Vignette",'QA Log'!L:L,"*Exit Interview 1*"),
COUNTIFS('QA Log'!D:D,A300,'QA Log'!M:M,"Vignette",'QA Log'!L:L,"*Exit Interview 2*"),
)
)</f>
        <v/>
      </c>
      <c r="BQ300" s="102" t="str">
        <f>IF(
  A300="","",
  SUM(
    COUNTIFS('QA Log'!D:D,A300,'QA Log'!M:M,"Vignette",'QA Log'!Z:Z,"Approved",'QA Log'!L:L,"*Exit Interview 1*"),
    COUNTIFS('QA Log'!D:D,A300,'QA Log'!M:M,"Vignette",'QA Log'!Z:Z,"Approved",'QA Log'!L:L,"*Exit Interview 2*")
  )
)</f>
        <v/>
      </c>
      <c r="BR300" s="105" t="str">
        <f>IF(A300&lt;&gt;"",COUNTIFS('QA Log'!D:D,A300,'QA Log'!M:M,"Vignette",'QA Log'!L:L,"Exit Interview 1",'QA Log'!Z:Z,"Approved"),"")</f>
        <v/>
      </c>
      <c r="BS300" s="105" t="str">
        <f>IF(A300&lt;&gt;"",COUNTIFS('QA Log'!D:D,A300,'QA Log'!M:M,"Vignette",'QA Log'!L:L,"Exit Interview 2",'QA Log'!Z:Z,"Approved"),"")</f>
        <v/>
      </c>
      <c r="BT300" s="102" t="str">
        <f>IF(
  A300="","",
  SUM(
    COUNTIFS('QA Log'!D:D,A300,'QA Log'!M:M,"Vignette",'QA Log'!Z:Z,"Rejected",'QA Log'!L:L,"*Exit Interview 1*"),
    COUNTIFS('QA Log'!D:D,A300,'QA Log'!M:M,"Vignette",'QA Log'!Z:Z,"Rejected",'QA Log'!L:L,"*Exit Interview 2*")
  )
)</f>
        <v/>
      </c>
      <c r="BU300" s="107" t="str">
        <f t="shared" si="39"/>
        <v/>
      </c>
      <c r="BV300" s="102" t="str">
        <f t="shared" si="40"/>
        <v/>
      </c>
      <c r="BW300" s="102" t="str">
        <f t="shared" si="41"/>
        <v/>
      </c>
      <c r="BX300" s="102" t="str">
        <f t="shared" si="42"/>
        <v/>
      </c>
      <c r="BY300" s="102" t="str">
        <f t="shared" si="43"/>
        <v/>
      </c>
      <c r="BZ300" s="107" t="str">
        <f t="shared" si="44"/>
        <v/>
      </c>
      <c r="CA300" s="108" t="str">
        <f t="shared" si="45"/>
        <v/>
      </c>
      <c r="CB300" s="108" t="str">
        <f t="shared" si="46"/>
        <v/>
      </c>
      <c r="CC300" s="109" t="str">
        <f t="shared" si="47"/>
        <v/>
      </c>
      <c r="CD300" s="108" t="str">
        <f t="shared" si="48"/>
        <v/>
      </c>
      <c r="CE300" s="108" t="str">
        <f t="shared" si="49"/>
        <v/>
      </c>
      <c r="CF300" s="109" t="str">
        <f t="shared" si="50"/>
        <v/>
      </c>
      <c r="CG300" s="110" t="str">
        <f t="shared" si="51"/>
        <v/>
      </c>
      <c r="CH300" s="111"/>
    </row>
    <row r="301" spans="1:86" ht="12.75">
      <c r="A301" s="101"/>
      <c r="B301" s="102" t="e">
        <f t="array" aca="1" ref="B301" ca="1">_xludf.XLOOKUP(A301,'QA Log'!D:D,'QA Log'!E:E,"")</f>
        <v>#NAME?</v>
      </c>
      <c r="C301" s="102" t="e">
        <f t="array" aca="1" ref="C301" ca="1">_xludf.XLOOKUP(A301,'QA Log'!D:D,'QA Log'!F:F,"")</f>
        <v>#NAME?</v>
      </c>
      <c r="D301" s="102" t="e">
        <f t="array" aca="1" ref="D301" ca="1">_xludf.XLOOKUP(A301,'QA Log'!D:D,'QA Log'!H:H,"")</f>
        <v>#NAME?</v>
      </c>
      <c r="E301" s="102" t="e">
        <f t="array" aca="1" ref="E301" ca="1">_xludf.XLOOKUP(A301,'QA Log'!D:D,'QA Log'!G:G,"")</f>
        <v>#NAME?</v>
      </c>
      <c r="F301" s="103"/>
      <c r="G301" s="104"/>
      <c r="H301" s="104"/>
      <c r="I301" s="103" t="str">
        <f t="shared" si="26"/>
        <v/>
      </c>
      <c r="J301" s="102" t="str">
        <f>IF(A301="","",SUM(
COUNTIFS('QA Log'!D:D,A301,'QA Log'!M:M,"QQC",'QA Log'!L:L,"*1. General Management*"),
COUNTIFS('QA Log'!D:D,A301,'QA Log'!M:M,"QQC",'QA Log'!L:L,"*3. Curative Consultation (OPD)*"),
COUNTIFS('QA Log'!D:D,A301,'QA Log'!M:M,"QQC",'QA Log'!L:L,"*5. Laboratory*"),
COUNTIFS('QA Log'!D:D,A301,'QA Log'!M:M,"QQC",'QA Log'!L:L,"*6. Essential Medicine Management*"),
COUNTIFS('QA Log'!D:D,A301,'QA Log'!M:M,"QQC",'QA Log'!L:L,"*7. Tracer Medicine*"),
COUNTIFS('QA Log'!D:D,A301,'QA Log'!M:M,"QQC",'QA Log'!L:L,"*11. Additional Questions*")))</f>
        <v/>
      </c>
      <c r="K301" s="102" t="str">
        <f>IF(A301="","",SUM(
COUNTIFS('QA Log'!D:D,A301,'QA Log'!M:M,"QQC",'QA Log'!Z:Z,"Approved",'QA Log'!L:L,"*1. General Management*"),
COUNTIFS('QA Log'!D:D,A301,'QA Log'!M:M,"QQC",'QA Log'!Z:Z,"Approved",'QA Log'!L:L,"*3. Curative Consultation (OPD)*"),
COUNTIFS('QA Log'!D:D,A301,'QA Log'!M:M,"QQC",'QA Log'!Z:Z,"Approved",'QA Log'!L:L,"*5. Laboratory*"),
COUNTIFS('QA Log'!D:D,A301,'QA Log'!M:M,"QQC",'QA Log'!Z:Z,"Approved",'QA Log'!L:L,"*6. Essential Medicine Management*"),
COUNTIFS('QA Log'!D:D,A301,'QA Log'!M:M,"QQC",'QA Log'!Z:Z,"Approved",'QA Log'!L:L,"*7. Tracer Medicine*"),
COUNTIFS('QA Log'!D:D,A301,'QA Log'!M:M,"QQC",'QA Log'!Z:Z,"Approved",'QA Log'!L:L,"*11. Additional Questions*")))</f>
        <v/>
      </c>
      <c r="L301" s="105" t="str">
        <f>IF(A301&lt;&gt;"",COUNTIFS('QA Log'!D:D,A301,'QA Log'!M:M,"QQC",'QA Log'!L:L,"1. General Management",'QA Log'!Z:Z,"Approved"),"")</f>
        <v/>
      </c>
      <c r="M301" s="105" t="str">
        <f>IF(A301&lt;&gt;"",COUNTIFS('QA Log'!D:D,A301,'QA Log'!M:M,"QQC",'QA Log'!L:L,"3. Curative Consultation (OPD)",'QA Log'!Z:Z,"Approved"),"")</f>
        <v/>
      </c>
      <c r="N301" s="105" t="str">
        <f>IF(A301&lt;&gt;"",COUNTIFS('QA Log'!D:D,A301,'QA Log'!M:M,"QQC",'QA Log'!L:L,"5. Laboratory",'QA Log'!Z:Z,"Approved"),"")</f>
        <v/>
      </c>
      <c r="O301" s="105" t="str">
        <f>IF(A301&lt;&gt;"",COUNTIFS('QA Log'!D:D,A301,'QA Log'!M:M,"QQC",'QA Log'!L:L,"6. Essential Medicine Management",'QA Log'!Z:Z,"Approved"),"")</f>
        <v/>
      </c>
      <c r="P301" s="105" t="str">
        <f>IF(A301&lt;&gt;"",COUNTIFS('QA Log'!D:D,A301,'QA Log'!M:M,"QQC",'QA Log'!L:L,"7. Tracer Medicine",'QA Log'!Z:Z,"Approved"),"")</f>
        <v/>
      </c>
      <c r="Q301" s="105" t="str">
        <f>IF(A301&lt;&gt;"",COUNTIFS('QA Log'!D:D,A301,'QA Log'!M:M,"QQC",'QA Log'!L:L,"11. Additional Questions",'QA Log'!Z:Z,"Approved"),"")</f>
        <v/>
      </c>
      <c r="R301" s="102" t="str">
        <f>IF(A301="","",SUM(
COUNTIFS('QA Log'!D:D,A301,'QA Log'!M:M,"QQC",'QA Log'!Z:Z,"Rejected",'QA Log'!L:L,"*8. Maternity*"),
COUNTIFS('QA Log'!D:D,A301,'QA Log'!M:M,"QQC",'QA Log'!Z:Z,"Rejected",'QA Log'!L:L,"*EPI*"),
COUNTIFS('QA Log'!D:D,A301,'QA Log'!M:M,"QQC",'QA Log'!Z:Z,"Rejected",'QA Log'!L:L,"*10. Antenatal Care (ANC)*"),
COUNTIFS('QA Log'!D:D,A301,'QA Log'!M:M,"QQC",'QA Log'!Z:Z,"Rejected",'QA Log'!L:L,"*2. Hygiene and Sterilization*"),
COUNTIFS('QA Log'!D:D,A301,'QA Log'!M:M,"QQC",'QA Log'!Z:Z,"Rejected",'QA Log'!L:L,"*Family Planning*")))</f>
        <v/>
      </c>
      <c r="S301" s="106" t="str">
        <f t="shared" si="27"/>
        <v/>
      </c>
      <c r="T301" s="102" t="str">
        <f t="shared" si="28"/>
        <v/>
      </c>
      <c r="U301" s="102" t="str">
        <f>IF(A301="","",
SUM(
COUNTIFS('QA Log'!D:D,A301,'QA Log'!M:M,"QQC",'QA Log'!L:L,"*8. Maternity*"),
COUNTIFS('QA Log'!D:D,A301,'QA Log'!M:M,"QQC",'QA Log'!L:L,"*9. EPI and Pre-school Consultation*"),
COUNTIFS('QA Log'!D:D,A301,'QA Log'!M:M,"QQC",'QA Log'!L:L,"*10. Antenatal Care (ANC)*"),
COUNTIFS('QA Log'!D:D,A301,'QA Log'!M:M,"QQC",'QA Log'!L:L,"*2. Hygiene and Sterilization*"),
COUNTIFS('QA Log'!D:D,A301,'QA Log'!M:M,"QQC",'QA Log'!L:L,"*4. Family Planning*")
))</f>
        <v/>
      </c>
      <c r="V301" s="102" t="str">
        <f>IF(A301="","",
SUM(
COUNTIFS('QA Log'!D:D,A301,'QA Log'!M:M,"QQC",'QA Log'!Z:Z,"Approved",'QA Log'!L:L,"*8. Maternity*"),
COUNTIFS('QA Log'!D:D,A301,'QA Log'!M:M,"QQC",'QA Log'!Z:Z,"Approved",'QA Log'!L:L,"*9. EPI and Pre-school Consultation*"),
COUNTIFS('QA Log'!D:D,A301,'QA Log'!M:M,"QQC",'QA Log'!Z:Z,"Approved",'QA Log'!L:L,"*10. Antenatal Care (ANC)*"),
COUNTIFS('QA Log'!D:D,A301,'QA Log'!M:M,"QQC",'QA Log'!Z:Z,"Approved",'QA Log'!L:L,"*2. Hygiene and Sterilization*"),
COUNTIFS('QA Log'!D:D,A301,'QA Log'!M:M,"QQC",'QA Log'!Z:Z,"Approved",'QA Log'!L:L,"*4. Family Planning*")
))</f>
        <v/>
      </c>
      <c r="W301" s="105" t="str">
        <f>IF(A301&lt;&gt;"",COUNTIFS('QA Log'!D:D,A301,'QA Log'!M:M,"QQC",'QA Log'!L:L,"8. Maternity",'QA Log'!Z:Z,"Approved"),"")</f>
        <v/>
      </c>
      <c r="X301" s="105" t="str">
        <f>IF(A301&lt;&gt;"",COUNTIFS('QA Log'!D:D,A301,'QA Log'!M:M,"QQC",'QA Log'!L:L,"9. EPI and Pre-school Consultation",'QA Log'!Z:Z,"Approved"),"")</f>
        <v/>
      </c>
      <c r="Y301" s="105" t="str">
        <f>IF(A301&lt;&gt;"",COUNTIFS('QA Log'!D:D,A301,'QA Log'!M:M,"QQC",'QA Log'!L:L,"10. Antenatal Care (ANC)",'QA Log'!Z:Z,"Approved"),"")</f>
        <v/>
      </c>
      <c r="Z301" s="105" t="str">
        <f>IF(A301&lt;&gt;"",COUNTIFS('QA Log'!D:D,A301,'QA Log'!M:M,"QQC",'QA Log'!L:L,"2. Hygiene and Sterilization",'QA Log'!Z:Z,"Approved"),"")</f>
        <v/>
      </c>
      <c r="AA301" s="105" t="str">
        <f>IF(A301&lt;&gt;"",COUNTIFS('QA Log'!D:D,A301,'QA Log'!M:M,"QQC",'QA Log'!L:L,"4. Family Planning",'QA Log'!Z:Z,"Approved"),"")</f>
        <v/>
      </c>
      <c r="AB301" s="102" t="str">
        <f>IF(A301="","",
SUM(
COUNTIFS('QA Log'!D:D,A301,'QA Log'!M:M,"QQC",'QA Log'!Z:Z,"Rejected",'QA Log'!L:L,"*8. Maternity*"),
COUNTIFS('QA Log'!D:D,A301,'QA Log'!M:M,"QQC",'QA Log'!Z:Z,"Rejected",'QA Log'!L:L,"*9. EPI and Pre-school Consultation*"),
COUNTIFS('QA Log'!D:D,A301,'QA Log'!M:M,"QQC",'QA Log'!Z:Z,"Rejected",'QA Log'!L:L,"*10. Antenatal Care (ANC)*"),
COUNTIFS('QA Log'!D:D,A301,'QA Log'!M:M,"QQC",'QA Log'!Z:Z,"Rejected",'QA Log'!L:L,"*2. Hygiene and Sterilization*"),
COUNTIFS('QA Log'!D:D,A301,'QA Log'!M:M,"QQC",'QA Log'!Z:Z,"Rejected",'QA Log'!L:L,"*4. Family Planning*")
))</f>
        <v/>
      </c>
      <c r="AC301" s="102" t="str">
        <f t="shared" si="29"/>
        <v/>
      </c>
      <c r="AD301" s="103" t="str">
        <f t="shared" si="30"/>
        <v/>
      </c>
      <c r="AE301" s="102" t="str">
        <f>IF(A301="","",
SUM(
COUNTIFS('QA Log'!D:D,A301,'QA Log'!M:M,"Data Verification",'QA Log'!L:L,"*Medicine (section 2)*"),
COUNTIFS('QA Log'!D:D,A301,'QA Log'!M:M,"Data Verification",'QA Log'!L:L,"*Lab Testing Availability*"),
COUNTIFS('QA Log'!D:D,A301,'QA Log'!M:M,"Data Verification",'QA Log'!L:L,"*Other than P4P (section 6)*"),
COUNTIFS('QA Log'!D:D,A301,'QA Log'!M:M,"Data Verification",'QA Log'!L:L,"*Hospital Governance*")
))</f>
        <v/>
      </c>
      <c r="AF301" s="102" t="str">
        <f>IF(A301="","",
SUM(
COUNTIFS('QA Log'!D:D,A301,'QA Log'!M:M,"Data Verification",'QA Log'!Z:Z,"Approved",'QA Log'!L:L,"*Medicine (section 2)*"),
COUNTIFS('QA Log'!D:D,A301,'QA Log'!M:M,"Data Verification",'QA Log'!Z:Z,"Approved",'QA Log'!L:L,"*Lab Testing Availability*"),
COUNTIFS('QA Log'!D:D,A301,'QA Log'!M:M,"Data Verification",'QA Log'!Z:Z,"Approved",'QA Log'!L:L,"*Other than P4P (section 6)*"),
COUNTIFS('QA Log'!D:D,A301,'QA Log'!M:M,"Data Verification",'QA Log'!Z:Z,"Approved",'QA Log'!L:L,"*Hospital Governance*")
))</f>
        <v/>
      </c>
      <c r="AG301" s="105" t="str">
        <f>IF(A301&lt;&gt;"",COUNTIFS('QA Log'!D:D,A301,'QA Log'!M:M,"Data Verification",'QA Log'!L:L,"Medicine (section 2)",'QA Log'!Z:Z,"Approved"),"")</f>
        <v/>
      </c>
      <c r="AH301" s="105" t="str">
        <f>IF(A301&lt;&gt;"",COUNTIFS('QA Log'!D:D,A301,'QA Log'!M:M,"Data Verification",'QA Log'!L:L,"Lab Testing Availability",'QA Log'!Z:Z,"Approved"),"")</f>
        <v/>
      </c>
      <c r="AI301" s="105" t="str">
        <f>IF(A301&lt;&gt;"",COUNTIFS('QA Log'!D:D,A301,'QA Log'!M:M,"Data Verification",'QA Log'!L:L,"Other than P4P (section 6)",'QA Log'!Z:Z,"Approved"),"")</f>
        <v/>
      </c>
      <c r="AJ301" s="105" t="str">
        <f>IF(A301&lt;&gt;"",COUNTIFS('QA Log'!D:D,A301,'QA Log'!M:M,"Data Verification",'QA Log'!L:L,"Hospital Governance",'QA Log'!Z:Z,"Approved"),"")</f>
        <v/>
      </c>
      <c r="AK301" s="102" t="str">
        <f>IF(A301="","",
SUM(
COUNTIFS('QA Log'!D:D,A301,'QA Log'!M:M,"Data Verification",'QA Log'!Z:Z,"Rejected",'QA Log'!L:L,"*Medicine (section 2)*"),
COUNTIFS('QA Log'!D:D,A301,'QA Log'!M:M,"Data Verification",'QA Log'!Z:Z,"Rejected",'QA Log'!L:L,"*Lab Testing Availability*"),
COUNTIFS('QA Log'!D:D,A301,'QA Log'!M:M,"Data Verification",'QA Log'!Z:Z,"Rejected",'QA Log'!L:L,"*Other than P4P (section 6)*"),
COUNTIFS('QA Log'!D:D,A301,'QA Log'!M:M,"Data Verification",'QA Log'!Z:Z,"Rejected",'QA Log'!L:L,"*Hospital Governance*")
))</f>
        <v/>
      </c>
      <c r="AL301" s="106" t="str">
        <f t="shared" si="31"/>
        <v/>
      </c>
      <c r="AM301" s="102" t="str">
        <f t="shared" si="32"/>
        <v/>
      </c>
      <c r="AN301" s="102" t="str">
        <f>IF(A301="","",
SUM(
COUNTIFS('QA Log'!D:D,A301,'QA Log'!M:M,"Data Verification",'QA Log'!L:L,"*Personnel (section 1)*"),
COUNTIFS('QA Log'!D:D,A301,'QA Log'!M:M,"Data Verification",'QA Log'!L:L,"*Consumable (section 3)*"),
COUNTIFS('QA Log'!D:D,A301,'QA Log'!M:M,"Data Verification",'QA Log'!L:L,"*Equipments (section 4)*")
))</f>
        <v/>
      </c>
      <c r="AO301" s="102" t="str">
        <f>IF(A301="","",
SUM(
COUNTIFS('QA Log'!D:D,A301,'QA Log'!M:M,"Data Verification",'QA Log'!Z:Z,"Approved",'QA Log'!L:L,"*Personnel (section 1)*"),
COUNTIFS('QA Log'!D:D,A301,'QA Log'!M:M,"Data Verification",'QA Log'!Z:Z,"Approved",'QA Log'!L:L,"*Consumable (section 3)*"),
COUNTIFS('QA Log'!D:D,A301,'QA Log'!M:M,"Data Verification",'QA Log'!Z:Z,"Approved",'QA Log'!L:L,"*Equipments (section 4)*")
))</f>
        <v/>
      </c>
      <c r="AP301" s="105" t="str">
        <f>IF(A301&lt;&gt;"",COUNTIFS('QA Log'!D:D,A301,'QA Log'!M:M,"Data Verification",'QA Log'!L:L,"Personnel (section 1)",'QA Log'!Z:Z,"Approved"),"")</f>
        <v/>
      </c>
      <c r="AQ301" s="105" t="str">
        <f>IF(A301&lt;&gt;"",COUNTIFS('QA Log'!D:D,A301,'QA Log'!M:M,"Data Verification",'QA Log'!L:L,"Consumable (section 3)",'QA Log'!Z:Z,"Approved"),"")</f>
        <v/>
      </c>
      <c r="AR301" s="105" t="str">
        <f>IF(A301&lt;&gt;"",COUNTIFS('QA Log'!D:D,A301,'QA Log'!M:M,"Data Verification",'QA Log'!L:L,"Equipments (section 4)",'QA Log'!Z:Z,"Approved"),"")</f>
        <v/>
      </c>
      <c r="AS301" s="102" t="str">
        <f>IF(A301="","",
SUM(
COUNTIFS('QA Log'!D:D,A301,'QA Log'!M:M,"Data Verification",'QA Log'!Z:Z,"Rejected",'QA Log'!L:L,"*Personnel (section 1)*"),
COUNTIFS('QA Log'!D:D,A301,'QA Log'!M:M,"Data Verification",'QA Log'!Z:Z,"Rejected",'QA Log'!L:L,"*Consumable (section 3)*"),
COUNTIFS('QA Log'!D:D,A301,'QA Log'!M:M,"Data Verification",'QA Log'!Z:Z,"Rejected",'QA Log'!L:L,"*Equipments (section 4)*")
))</f>
        <v/>
      </c>
      <c r="AT301" s="102" t="str">
        <f t="shared" si="33"/>
        <v/>
      </c>
      <c r="AU301" s="103" t="str">
        <f t="shared" si="34"/>
        <v/>
      </c>
      <c r="AV301" s="102" t="str">
        <f>IF(A301="","",SUM(
COUNTIFS('QA Log'!D:D,A301,'QA Log'!M:M,"Vignette",'QA Log'!L:L,"*Vignette [1] Respiratory Infection: Pneumonia*"),
COUNTIFS('QA Log'!D:D,A301,'QA Log'!M:M,"Vignette",'QA Log'!L:L,"*Vignette [2]: Diarrhea with Cat B dehydration*"),
COUNTIFS('QA Log'!D:D,A301,'QA Log'!M:M,"Vignette",'QA Log'!L:L,"*Vignette [3] Growth Monitoring and Promotion*"),
COUNTIFS('QA Log'!D:D,A301,'QA Log'!M:M,"Vignette",'QA Log'!L:L,"*Vignette [4]: The management of presumptive TB patient*")
)
)</f>
        <v/>
      </c>
      <c r="AW301" s="102" t="str">
        <f>IF(
  A301="","",
  SUM(
    COUNTIFS('QA Log'!D:D,A301,'QA Log'!M:M,"Vignette",'QA Log'!Z:Z,"Approved",'QA Log'!L:L,"*Vignette [1] Respiratory Infection: Pneumonia*"),
    COUNTIFS('QA Log'!D:D,A301,'QA Log'!M:M,"Vignette",'QA Log'!Z:Z,"Approved",'QA Log'!L:L,"*Vignette [2]: Diarrhea with Cat B dehydration*"),
    COUNTIFS('QA Log'!D:D,A301,'QA Log'!M:M,"Vignette",'QA Log'!Z:Z,"Approved",'QA Log'!L:L,"*Vignette [3] Growth Monitoring and Promotion*"),
    COUNTIFS('QA Log'!D:D,A301,'QA Log'!M:M,"Vignette",'QA Log'!Z:Z,"Approved",'QA Log'!L:L,"*Vignette [4]: The management of presumptive TB patient*")
  )
)</f>
        <v/>
      </c>
      <c r="AX301" s="105" t="str">
        <f>IF(A301&lt;&gt;"",COUNTIFS('QA Log'!D:D,A301,'QA Log'!M:M,"Vignette",'QA Log'!L:L,"Vignette [1] Respiratory Infection: Pneumonia",'QA Log'!Z:Z,"Approved"),"")</f>
        <v/>
      </c>
      <c r="AY301" s="105" t="str">
        <f>IF(A301&lt;&gt;"",COUNTIFS('QA Log'!D:D,A301,'QA Log'!M:M,"Vignette",'QA Log'!L:L,"Vignette [2]: Diarrhea with Cat B dehydration",'QA Log'!Z:Z,"Approved"),"")</f>
        <v/>
      </c>
      <c r="AZ301" s="105" t="str">
        <f>IF(A301&lt;&gt;"",COUNTIFS('QA Log'!D:D,A301,'QA Log'!M:M,"Vignette",'QA Log'!L:L,"Vignette [3] Growth Monitoring and Promotion",'QA Log'!Z:Z,"Approved"),"")</f>
        <v/>
      </c>
      <c r="BA301" s="105" t="str">
        <f>IF(A301&lt;&gt;"",COUNTIFS('QA Log'!D:D,A301,'QA Log'!M:M,"Vignette",'QA Log'!L:L,"Vignette [4]: The management of presumptive TB patient",'QA Log'!Z:Z,"Approved"),"")</f>
        <v/>
      </c>
      <c r="BB301" s="102" t="str">
        <f>IF(A301="","",
  SUM(
    COUNTIFS('QA Log'!D:D,A301,'QA Log'!M:M,"Vignette",'QA Log'!Z:Z,"Rejected",'QA Log'!L:L,"*Vignette [1] Respiratory Infection: Pneumonia*"),
    COUNTIFS('QA Log'!D:D,A301,'QA Log'!M:M,"Vignette",'QA Log'!Z:Z,"Rejected",'QA Log'!L:L,"*Vignette [2]: Diarrhea with Cat B dehydration*"),
    COUNTIFS('QA Log'!D:D,A301,'QA Log'!M:M,"Vignette",'QA Log'!Z:Z,"Rejected",'QA Log'!L:L,"*Vignette [3] Growth Monitoring and Promotion*"),
    COUNTIFS('QA Log'!D:D,A301,'QA Log'!M:M,"Vignette",'QA Log'!Z:Z,"Rejected",'QA Log'!L:L,"*Vignette [4]: The management of presumptive TB patient*")
  )
)</f>
        <v/>
      </c>
      <c r="BC301" s="107" t="str">
        <f t="shared" si="35"/>
        <v/>
      </c>
      <c r="BD301" s="103" t="str">
        <f t="shared" si="36"/>
        <v/>
      </c>
      <c r="BE301" s="102" t="str">
        <f>IF(A301="","",SUM(
COUNTIFS('QA Log'!D:D,A301,'QA Log'!M:M,"Vignette",'QA Log'!L:L,"*Vignette [5] Labor*"),
COUNTIFS('QA Log'!D:D,A301,'QA Log'!M:M,"Vignette",'QA Log'!L:L,"*Vignette [6] PNC pre Discharge*"),
COUNTIFS('QA Log'!D:D,A301,'QA Log'!M:M,"Vignette",'QA Log'!L:L,"*Vignette [7] First ANC Visit*"),
COUNTIFS('QA Log'!D:D,A301,'QA Log'!M:M,"Vignette",'QA Log'!L:L,"*Vignette [8] Birth Spacing/ Family Planning :  FP Counselling*"),
COUNTIFS('QA Log'!D:D,A301,'QA Log'!M:M,"Vignette",'QA Log'!L:L,"*Vignette [9] Birth Spacing: Change FP method to Injectable*"),
COUNTIFS('QA Log'!D:D,A301,'QA Log'!M:M,"Vignette",'QA Log'!L:L,"*Vignette [10] Post Partum Haemorrhage - Atonic Uterus at Health Centre*"),
)
)</f>
        <v/>
      </c>
      <c r="BF301" s="102" t="str">
        <f>IF(A301="","",
  SUM(
    COUNTIFS('QA Log'!D:D,A301,'QA Log'!M:M,"Vignette",'QA Log'!Z:Z,"Approved",'QA Log'!L:L,"*Vignette [5] Labor*"),
    COUNTIFS('QA Log'!D:D,A301,'QA Log'!M:M,"Vignette",'QA Log'!Z:Z,"Approved",'QA Log'!L:L,"*Vignette [6] PNC pre Discharge*"),
    COUNTIFS('QA Log'!D:D,A301,'QA Log'!M:M,"Vignette",'QA Log'!Z:Z,"Approved",'QA Log'!L:L,"*Vignette [7] First ANC Visit*"),
    COUNTIFS('QA Log'!D:D,A301,'QA Log'!M:M,"Vignette",'QA Log'!Z:Z,"Approved",'QA Log'!L:L,"*Vignette [8] Birth Spacing/ Family Planning :  FP Counselling*"),
    COUNTIFS('QA Log'!D:D,A301,'QA Log'!M:M,"Vignette",'QA Log'!Z:Z,"Approved",'QA Log'!L:L,"*Vignette [9] Birth Spacing: Change FP method to Injectable*"),
    COUNTIFS('QA Log'!D:D,A301,'QA Log'!M:M,"Vignette",'QA Log'!Z:Z,"Approved",'QA Log'!L:L,"*Vignette [10] Post Partum Haemorrhage - Atonic Uterus at Health Centre*")
  )
)</f>
        <v/>
      </c>
      <c r="BG301" s="105" t="str">
        <f>IF(A301&lt;&gt;"",COUNTIFS('QA Log'!D:D,A301,'QA Log'!M:M,"Vignette",'QA Log'!L:L,"Vignette [5] Labor",'QA Log'!Z:Z,"Approved"),"")</f>
        <v/>
      </c>
      <c r="BH301" s="105" t="str">
        <f>IF(A301&lt;&gt;"",COUNTIFS('QA Log'!D:D,A301,'QA Log'!M:M,"Vignette",'QA Log'!L:L,"Vignette [6] PNC pre Discharge",'QA Log'!Z:Z,"Approved"),"")</f>
        <v/>
      </c>
      <c r="BI301" s="105" t="str">
        <f>IF(A301&lt;&gt;"",COUNTIFS('QA Log'!D:D,A301,'QA Log'!M:M,"Vignette",'QA Log'!L:L,"Vignette [7] First ANC Visit",'QA Log'!Z:Z,"Approved"),"")</f>
        <v/>
      </c>
      <c r="BJ301" s="105" t="str">
        <f>IF(A301&lt;&gt;"",COUNTIFS('QA Log'!D:D,A301,'QA Log'!M:M,"Vignette",'QA Log'!L:L,"Vignette [8] Birth Spacing/ Family Planning :  FP Counselling",'QA Log'!Z:Z,"Approved"),"")</f>
        <v/>
      </c>
      <c r="BK301" s="105" t="str">
        <f>IF(A301&lt;&gt;"",COUNTIFS('QA Log'!D:D,A301,'QA Log'!M:M,"Vignette",'QA Log'!L:L,"Vignette [9] Birth Spacing: Change FP method to Injectable",'QA Log'!Z:Z,"Approved"),"")</f>
        <v/>
      </c>
      <c r="BL301" s="105" t="str">
        <f>IF(A301&lt;&gt;"",COUNTIFS('QA Log'!D:D,A301,'QA Log'!M:M,"Vignette",'QA Log'!L:L,"Vignette [10] Post Partum Haemorrhage - Atonic Uterus at Health Centre",'QA Log'!Z:Z,"Approved"),"")</f>
        <v/>
      </c>
      <c r="BM301" s="102" t="str">
        <f>IF(A301="","",SUM(
    COUNTIFS('QA Log'!D:D,A301,'QA Log'!M:M,"Vignette",'QA Log'!Z:Z,"Rejected",'QA Log'!L:L,"*Vignette [5] Labor*"),
    COUNTIFS('QA Log'!D:D,A301,'QA Log'!M:M,"Vignette",'QA Log'!Z:Z,"Rejected",'QA Log'!L:L,"*Vignette [6] PNC pre Discharge*"),
    COUNTIFS('QA Log'!D:D,A301,'QA Log'!M:M,"Vignette",'QA Log'!Z:Z,"Rejected",'QA Log'!L:L,"*Vignette [7] First ANC Visit*"),
    COUNTIFS('QA Log'!D:D,A301,'QA Log'!M:M,"Vignette",'QA Log'!Z:Z,"Rejected",'QA Log'!L:L,"*Vignette [8] Birth Spacing/ Family Planning :  FP Counselling*"),
    COUNTIFS('QA Log'!D:D,A301,'QA Log'!M:M,"Vignette",'QA Log'!Z:Z,"Rejected",'QA Log'!L:L,"*Vignette [9] Birth Spacing: Change FP method to Injectable*"),
    COUNTIFS('QA Log'!D:D,A301,'QA Log'!M:M,"Vignette",'QA Log'!Z:Z,"Rejected",'QA Log'!L:L,"*Vignette [10] Post Partum Haemorrhage - Atonic Uterus at Health Centre*")
  )
)</f>
        <v/>
      </c>
      <c r="BN301" s="107" t="str">
        <f t="shared" si="37"/>
        <v/>
      </c>
      <c r="BO301" s="103" t="str">
        <f t="shared" si="38"/>
        <v/>
      </c>
      <c r="BP301" s="102" t="str">
        <f>IF(A301="","",SUM(
COUNTIFS('QA Log'!D:D,A301,'QA Log'!M:M,"Vignette",'QA Log'!L:L,"*Exit Interview 1*"),
COUNTIFS('QA Log'!D:D,A301,'QA Log'!M:M,"Vignette",'QA Log'!L:L,"*Exit Interview 2*"),
)
)</f>
        <v/>
      </c>
      <c r="BQ301" s="102" t="str">
        <f>IF(
  A301="","",
  SUM(
    COUNTIFS('QA Log'!D:D,A301,'QA Log'!M:M,"Vignette",'QA Log'!Z:Z,"Approved",'QA Log'!L:L,"*Exit Interview 1*"),
    COUNTIFS('QA Log'!D:D,A301,'QA Log'!M:M,"Vignette",'QA Log'!Z:Z,"Approved",'QA Log'!L:L,"*Exit Interview 2*")
  )
)</f>
        <v/>
      </c>
      <c r="BR301" s="105" t="str">
        <f>IF(A301&lt;&gt;"",COUNTIFS('QA Log'!D:D,A301,'QA Log'!M:M,"Vignette",'QA Log'!L:L,"Exit Interview 1",'QA Log'!Z:Z,"Approved"),"")</f>
        <v/>
      </c>
      <c r="BS301" s="105" t="str">
        <f>IF(A301&lt;&gt;"",COUNTIFS('QA Log'!D:D,A301,'QA Log'!M:M,"Vignette",'QA Log'!L:L,"Exit Interview 2",'QA Log'!Z:Z,"Approved"),"")</f>
        <v/>
      </c>
      <c r="BT301" s="102" t="str">
        <f>IF(
  A301="","",
  SUM(
    COUNTIFS('QA Log'!D:D,A301,'QA Log'!M:M,"Vignette",'QA Log'!Z:Z,"Rejected",'QA Log'!L:L,"*Exit Interview 1*"),
    COUNTIFS('QA Log'!D:D,A301,'QA Log'!M:M,"Vignette",'QA Log'!Z:Z,"Rejected",'QA Log'!L:L,"*Exit Interview 2*")
  )
)</f>
        <v/>
      </c>
      <c r="BU301" s="107" t="str">
        <f t="shared" si="39"/>
        <v/>
      </c>
      <c r="BV301" s="102" t="str">
        <f t="shared" si="40"/>
        <v/>
      </c>
      <c r="BW301" s="102" t="str">
        <f t="shared" si="41"/>
        <v/>
      </c>
      <c r="BX301" s="102" t="str">
        <f t="shared" si="42"/>
        <v/>
      </c>
      <c r="BY301" s="102" t="str">
        <f t="shared" si="43"/>
        <v/>
      </c>
      <c r="BZ301" s="107" t="str">
        <f t="shared" si="44"/>
        <v/>
      </c>
      <c r="CA301" s="108" t="str">
        <f t="shared" si="45"/>
        <v/>
      </c>
      <c r="CB301" s="108" t="str">
        <f t="shared" si="46"/>
        <v/>
      </c>
      <c r="CC301" s="109" t="str">
        <f t="shared" si="47"/>
        <v/>
      </c>
      <c r="CD301" s="108" t="str">
        <f t="shared" si="48"/>
        <v/>
      </c>
      <c r="CE301" s="108" t="str">
        <f t="shared" si="49"/>
        <v/>
      </c>
      <c r="CF301" s="109" t="str">
        <f t="shared" si="50"/>
        <v/>
      </c>
      <c r="CG301" s="110" t="str">
        <f t="shared" si="51"/>
        <v/>
      </c>
      <c r="CH301" s="111"/>
    </row>
    <row r="302" spans="1:86" ht="12.75">
      <c r="A302" s="101"/>
      <c r="B302" s="102" t="e">
        <f t="array" aca="1" ref="B302" ca="1">_xludf.XLOOKUP(A302,'QA Log'!D:D,'QA Log'!E:E,"")</f>
        <v>#NAME?</v>
      </c>
      <c r="C302" s="102" t="e">
        <f t="array" aca="1" ref="C302" ca="1">_xludf.XLOOKUP(A302,'QA Log'!D:D,'QA Log'!F:F,"")</f>
        <v>#NAME?</v>
      </c>
      <c r="D302" s="102" t="e">
        <f t="array" aca="1" ref="D302" ca="1">_xludf.XLOOKUP(A302,'QA Log'!D:D,'QA Log'!H:H,"")</f>
        <v>#NAME?</v>
      </c>
      <c r="E302" s="102" t="e">
        <f t="array" aca="1" ref="E302" ca="1">_xludf.XLOOKUP(A302,'QA Log'!D:D,'QA Log'!G:G,"")</f>
        <v>#NAME?</v>
      </c>
      <c r="F302" s="103"/>
      <c r="G302" s="104"/>
      <c r="H302" s="104"/>
      <c r="I302" s="103" t="str">
        <f t="shared" si="26"/>
        <v/>
      </c>
      <c r="J302" s="102" t="str">
        <f>IF(A302="","",SUM(
COUNTIFS('QA Log'!D:D,A302,'QA Log'!M:M,"QQC",'QA Log'!L:L,"*1. General Management*"),
COUNTIFS('QA Log'!D:D,A302,'QA Log'!M:M,"QQC",'QA Log'!L:L,"*3. Curative Consultation (OPD)*"),
COUNTIFS('QA Log'!D:D,A302,'QA Log'!M:M,"QQC",'QA Log'!L:L,"*5. Laboratory*"),
COUNTIFS('QA Log'!D:D,A302,'QA Log'!M:M,"QQC",'QA Log'!L:L,"*6. Essential Medicine Management*"),
COUNTIFS('QA Log'!D:D,A302,'QA Log'!M:M,"QQC",'QA Log'!L:L,"*7. Tracer Medicine*"),
COUNTIFS('QA Log'!D:D,A302,'QA Log'!M:M,"QQC",'QA Log'!L:L,"*11. Additional Questions*")))</f>
        <v/>
      </c>
      <c r="K302" s="102" t="str">
        <f>IF(A302="","",SUM(
COUNTIFS('QA Log'!D:D,A302,'QA Log'!M:M,"QQC",'QA Log'!Z:Z,"Approved",'QA Log'!L:L,"*1. General Management*"),
COUNTIFS('QA Log'!D:D,A302,'QA Log'!M:M,"QQC",'QA Log'!Z:Z,"Approved",'QA Log'!L:L,"*3. Curative Consultation (OPD)*"),
COUNTIFS('QA Log'!D:D,A302,'QA Log'!M:M,"QQC",'QA Log'!Z:Z,"Approved",'QA Log'!L:L,"*5. Laboratory*"),
COUNTIFS('QA Log'!D:D,A302,'QA Log'!M:M,"QQC",'QA Log'!Z:Z,"Approved",'QA Log'!L:L,"*6. Essential Medicine Management*"),
COUNTIFS('QA Log'!D:D,A302,'QA Log'!M:M,"QQC",'QA Log'!Z:Z,"Approved",'QA Log'!L:L,"*7. Tracer Medicine*"),
COUNTIFS('QA Log'!D:D,A302,'QA Log'!M:M,"QQC",'QA Log'!Z:Z,"Approved",'QA Log'!L:L,"*11. Additional Questions*")))</f>
        <v/>
      </c>
      <c r="L302" s="105" t="str">
        <f>IF(A302&lt;&gt;"",COUNTIFS('QA Log'!D:D,A302,'QA Log'!M:M,"QQC",'QA Log'!L:L,"1. General Management",'QA Log'!Z:Z,"Approved"),"")</f>
        <v/>
      </c>
      <c r="M302" s="105" t="str">
        <f>IF(A302&lt;&gt;"",COUNTIFS('QA Log'!D:D,A302,'QA Log'!M:M,"QQC",'QA Log'!L:L,"3. Curative Consultation (OPD)",'QA Log'!Z:Z,"Approved"),"")</f>
        <v/>
      </c>
      <c r="N302" s="105" t="str">
        <f>IF(A302&lt;&gt;"",COUNTIFS('QA Log'!D:D,A302,'QA Log'!M:M,"QQC",'QA Log'!L:L,"5. Laboratory",'QA Log'!Z:Z,"Approved"),"")</f>
        <v/>
      </c>
      <c r="O302" s="105" t="str">
        <f>IF(A302&lt;&gt;"",COUNTIFS('QA Log'!D:D,A302,'QA Log'!M:M,"QQC",'QA Log'!L:L,"6. Essential Medicine Management",'QA Log'!Z:Z,"Approved"),"")</f>
        <v/>
      </c>
      <c r="P302" s="105" t="str">
        <f>IF(A302&lt;&gt;"",COUNTIFS('QA Log'!D:D,A302,'QA Log'!M:M,"QQC",'QA Log'!L:L,"7. Tracer Medicine",'QA Log'!Z:Z,"Approved"),"")</f>
        <v/>
      </c>
      <c r="Q302" s="105" t="str">
        <f>IF(A302&lt;&gt;"",COUNTIFS('QA Log'!D:D,A302,'QA Log'!M:M,"QQC",'QA Log'!L:L,"11. Additional Questions",'QA Log'!Z:Z,"Approved"),"")</f>
        <v/>
      </c>
      <c r="R302" s="102" t="str">
        <f>IF(A302="","",SUM(
COUNTIFS('QA Log'!D:D,A302,'QA Log'!M:M,"QQC",'QA Log'!Z:Z,"Rejected",'QA Log'!L:L,"*8. Maternity*"),
COUNTIFS('QA Log'!D:D,A302,'QA Log'!M:M,"QQC",'QA Log'!Z:Z,"Rejected",'QA Log'!L:L,"*EPI*"),
COUNTIFS('QA Log'!D:D,A302,'QA Log'!M:M,"QQC",'QA Log'!Z:Z,"Rejected",'QA Log'!L:L,"*10. Antenatal Care (ANC)*"),
COUNTIFS('QA Log'!D:D,A302,'QA Log'!M:M,"QQC",'QA Log'!Z:Z,"Rejected",'QA Log'!L:L,"*2. Hygiene and Sterilization*"),
COUNTIFS('QA Log'!D:D,A302,'QA Log'!M:M,"QQC",'QA Log'!Z:Z,"Rejected",'QA Log'!L:L,"*Family Planning*")))</f>
        <v/>
      </c>
      <c r="S302" s="106" t="str">
        <f t="shared" si="27"/>
        <v/>
      </c>
      <c r="T302" s="102" t="str">
        <f t="shared" si="28"/>
        <v/>
      </c>
      <c r="U302" s="102" t="str">
        <f>IF(A302="","",
SUM(
COUNTIFS('QA Log'!D:D,A302,'QA Log'!M:M,"QQC",'QA Log'!L:L,"*8. Maternity*"),
COUNTIFS('QA Log'!D:D,A302,'QA Log'!M:M,"QQC",'QA Log'!L:L,"*9. EPI and Pre-school Consultation*"),
COUNTIFS('QA Log'!D:D,A302,'QA Log'!M:M,"QQC",'QA Log'!L:L,"*10. Antenatal Care (ANC)*"),
COUNTIFS('QA Log'!D:D,A302,'QA Log'!M:M,"QQC",'QA Log'!L:L,"*2. Hygiene and Sterilization*"),
COUNTIFS('QA Log'!D:D,A302,'QA Log'!M:M,"QQC",'QA Log'!L:L,"*4. Family Planning*")
))</f>
        <v/>
      </c>
      <c r="V302" s="102" t="str">
        <f>IF(A302="","",
SUM(
COUNTIFS('QA Log'!D:D,A302,'QA Log'!M:M,"QQC",'QA Log'!Z:Z,"Approved",'QA Log'!L:L,"*8. Maternity*"),
COUNTIFS('QA Log'!D:D,A302,'QA Log'!M:M,"QQC",'QA Log'!Z:Z,"Approved",'QA Log'!L:L,"*9. EPI and Pre-school Consultation*"),
COUNTIFS('QA Log'!D:D,A302,'QA Log'!M:M,"QQC",'QA Log'!Z:Z,"Approved",'QA Log'!L:L,"*10. Antenatal Care (ANC)*"),
COUNTIFS('QA Log'!D:D,A302,'QA Log'!M:M,"QQC",'QA Log'!Z:Z,"Approved",'QA Log'!L:L,"*2. Hygiene and Sterilization*"),
COUNTIFS('QA Log'!D:D,A302,'QA Log'!M:M,"QQC",'QA Log'!Z:Z,"Approved",'QA Log'!L:L,"*4. Family Planning*")
))</f>
        <v/>
      </c>
      <c r="W302" s="105" t="str">
        <f>IF(A302&lt;&gt;"",COUNTIFS('QA Log'!D:D,A302,'QA Log'!M:M,"QQC",'QA Log'!L:L,"8. Maternity",'QA Log'!Z:Z,"Approved"),"")</f>
        <v/>
      </c>
      <c r="X302" s="105" t="str">
        <f>IF(A302&lt;&gt;"",COUNTIFS('QA Log'!D:D,A302,'QA Log'!M:M,"QQC",'QA Log'!L:L,"9. EPI and Pre-school Consultation",'QA Log'!Z:Z,"Approved"),"")</f>
        <v/>
      </c>
      <c r="Y302" s="105" t="str">
        <f>IF(A302&lt;&gt;"",COUNTIFS('QA Log'!D:D,A302,'QA Log'!M:M,"QQC",'QA Log'!L:L,"10. Antenatal Care (ANC)",'QA Log'!Z:Z,"Approved"),"")</f>
        <v/>
      </c>
      <c r="Z302" s="105" t="str">
        <f>IF(A302&lt;&gt;"",COUNTIFS('QA Log'!D:D,A302,'QA Log'!M:M,"QQC",'QA Log'!L:L,"2. Hygiene and Sterilization",'QA Log'!Z:Z,"Approved"),"")</f>
        <v/>
      </c>
      <c r="AA302" s="105" t="str">
        <f>IF(A302&lt;&gt;"",COUNTIFS('QA Log'!D:D,A302,'QA Log'!M:M,"QQC",'QA Log'!L:L,"4. Family Planning",'QA Log'!Z:Z,"Approved"),"")</f>
        <v/>
      </c>
      <c r="AB302" s="102" t="str">
        <f>IF(A302="","",
SUM(
COUNTIFS('QA Log'!D:D,A302,'QA Log'!M:M,"QQC",'QA Log'!Z:Z,"Rejected",'QA Log'!L:L,"*8. Maternity*"),
COUNTIFS('QA Log'!D:D,A302,'QA Log'!M:M,"QQC",'QA Log'!Z:Z,"Rejected",'QA Log'!L:L,"*9. EPI and Pre-school Consultation*"),
COUNTIFS('QA Log'!D:D,A302,'QA Log'!M:M,"QQC",'QA Log'!Z:Z,"Rejected",'QA Log'!L:L,"*10. Antenatal Care (ANC)*"),
COUNTIFS('QA Log'!D:D,A302,'QA Log'!M:M,"QQC",'QA Log'!Z:Z,"Rejected",'QA Log'!L:L,"*2. Hygiene and Sterilization*"),
COUNTIFS('QA Log'!D:D,A302,'QA Log'!M:M,"QQC",'QA Log'!Z:Z,"Rejected",'QA Log'!L:L,"*4. Family Planning*")
))</f>
        <v/>
      </c>
      <c r="AC302" s="102" t="str">
        <f t="shared" si="29"/>
        <v/>
      </c>
      <c r="AD302" s="103" t="str">
        <f t="shared" si="30"/>
        <v/>
      </c>
      <c r="AE302" s="102" t="str">
        <f>IF(A302="","",
SUM(
COUNTIFS('QA Log'!D:D,A302,'QA Log'!M:M,"Data Verification",'QA Log'!L:L,"*Medicine (section 2)*"),
COUNTIFS('QA Log'!D:D,A302,'QA Log'!M:M,"Data Verification",'QA Log'!L:L,"*Lab Testing Availability*"),
COUNTIFS('QA Log'!D:D,A302,'QA Log'!M:M,"Data Verification",'QA Log'!L:L,"*Other than P4P (section 6)*"),
COUNTIFS('QA Log'!D:D,A302,'QA Log'!M:M,"Data Verification",'QA Log'!L:L,"*Hospital Governance*")
))</f>
        <v/>
      </c>
      <c r="AF302" s="102" t="str">
        <f>IF(A302="","",
SUM(
COUNTIFS('QA Log'!D:D,A302,'QA Log'!M:M,"Data Verification",'QA Log'!Z:Z,"Approved",'QA Log'!L:L,"*Medicine (section 2)*"),
COUNTIFS('QA Log'!D:D,A302,'QA Log'!M:M,"Data Verification",'QA Log'!Z:Z,"Approved",'QA Log'!L:L,"*Lab Testing Availability*"),
COUNTIFS('QA Log'!D:D,A302,'QA Log'!M:M,"Data Verification",'QA Log'!Z:Z,"Approved",'QA Log'!L:L,"*Other than P4P (section 6)*"),
COUNTIFS('QA Log'!D:D,A302,'QA Log'!M:M,"Data Verification",'QA Log'!Z:Z,"Approved",'QA Log'!L:L,"*Hospital Governance*")
))</f>
        <v/>
      </c>
      <c r="AG302" s="105" t="str">
        <f>IF(A302&lt;&gt;"",COUNTIFS('QA Log'!D:D,A302,'QA Log'!M:M,"Data Verification",'QA Log'!L:L,"Medicine (section 2)",'QA Log'!Z:Z,"Approved"),"")</f>
        <v/>
      </c>
      <c r="AH302" s="105" t="str">
        <f>IF(A302&lt;&gt;"",COUNTIFS('QA Log'!D:D,A302,'QA Log'!M:M,"Data Verification",'QA Log'!L:L,"Lab Testing Availability",'QA Log'!Z:Z,"Approved"),"")</f>
        <v/>
      </c>
      <c r="AI302" s="105" t="str">
        <f>IF(A302&lt;&gt;"",COUNTIFS('QA Log'!D:D,A302,'QA Log'!M:M,"Data Verification",'QA Log'!L:L,"Other than P4P (section 6)",'QA Log'!Z:Z,"Approved"),"")</f>
        <v/>
      </c>
      <c r="AJ302" s="105" t="str">
        <f>IF(A302&lt;&gt;"",COUNTIFS('QA Log'!D:D,A302,'QA Log'!M:M,"Data Verification",'QA Log'!L:L,"Hospital Governance",'QA Log'!Z:Z,"Approved"),"")</f>
        <v/>
      </c>
      <c r="AK302" s="102" t="str">
        <f>IF(A302="","",
SUM(
COUNTIFS('QA Log'!D:D,A302,'QA Log'!M:M,"Data Verification",'QA Log'!Z:Z,"Rejected",'QA Log'!L:L,"*Medicine (section 2)*"),
COUNTIFS('QA Log'!D:D,A302,'QA Log'!M:M,"Data Verification",'QA Log'!Z:Z,"Rejected",'QA Log'!L:L,"*Lab Testing Availability*"),
COUNTIFS('QA Log'!D:D,A302,'QA Log'!M:M,"Data Verification",'QA Log'!Z:Z,"Rejected",'QA Log'!L:L,"*Other than P4P (section 6)*"),
COUNTIFS('QA Log'!D:D,A302,'QA Log'!M:M,"Data Verification",'QA Log'!Z:Z,"Rejected",'QA Log'!L:L,"*Hospital Governance*")
))</f>
        <v/>
      </c>
      <c r="AL302" s="106" t="str">
        <f t="shared" si="31"/>
        <v/>
      </c>
      <c r="AM302" s="102" t="str">
        <f t="shared" si="32"/>
        <v/>
      </c>
      <c r="AN302" s="102" t="str">
        <f>IF(A302="","",
SUM(
COUNTIFS('QA Log'!D:D,A302,'QA Log'!M:M,"Data Verification",'QA Log'!L:L,"*Personnel (section 1)*"),
COUNTIFS('QA Log'!D:D,A302,'QA Log'!M:M,"Data Verification",'QA Log'!L:L,"*Consumable (section 3)*"),
COUNTIFS('QA Log'!D:D,A302,'QA Log'!M:M,"Data Verification",'QA Log'!L:L,"*Equipments (section 4)*")
))</f>
        <v/>
      </c>
      <c r="AO302" s="102" t="str">
        <f>IF(A302="","",
SUM(
COUNTIFS('QA Log'!D:D,A302,'QA Log'!M:M,"Data Verification",'QA Log'!Z:Z,"Approved",'QA Log'!L:L,"*Personnel (section 1)*"),
COUNTIFS('QA Log'!D:D,A302,'QA Log'!M:M,"Data Verification",'QA Log'!Z:Z,"Approved",'QA Log'!L:L,"*Consumable (section 3)*"),
COUNTIFS('QA Log'!D:D,A302,'QA Log'!M:M,"Data Verification",'QA Log'!Z:Z,"Approved",'QA Log'!L:L,"*Equipments (section 4)*")
))</f>
        <v/>
      </c>
      <c r="AP302" s="105" t="str">
        <f>IF(A302&lt;&gt;"",COUNTIFS('QA Log'!D:D,A302,'QA Log'!M:M,"Data Verification",'QA Log'!L:L,"Personnel (section 1)",'QA Log'!Z:Z,"Approved"),"")</f>
        <v/>
      </c>
      <c r="AQ302" s="105" t="str">
        <f>IF(A302&lt;&gt;"",COUNTIFS('QA Log'!D:D,A302,'QA Log'!M:M,"Data Verification",'QA Log'!L:L,"Consumable (section 3)",'QA Log'!Z:Z,"Approved"),"")</f>
        <v/>
      </c>
      <c r="AR302" s="105" t="str">
        <f>IF(A302&lt;&gt;"",COUNTIFS('QA Log'!D:D,A302,'QA Log'!M:M,"Data Verification",'QA Log'!L:L,"Equipments (section 4)",'QA Log'!Z:Z,"Approved"),"")</f>
        <v/>
      </c>
      <c r="AS302" s="102" t="str">
        <f>IF(A302="","",
SUM(
COUNTIFS('QA Log'!D:D,A302,'QA Log'!M:M,"Data Verification",'QA Log'!Z:Z,"Rejected",'QA Log'!L:L,"*Personnel (section 1)*"),
COUNTIFS('QA Log'!D:D,A302,'QA Log'!M:M,"Data Verification",'QA Log'!Z:Z,"Rejected",'QA Log'!L:L,"*Consumable (section 3)*"),
COUNTIFS('QA Log'!D:D,A302,'QA Log'!M:M,"Data Verification",'QA Log'!Z:Z,"Rejected",'QA Log'!L:L,"*Equipments (section 4)*")
))</f>
        <v/>
      </c>
      <c r="AT302" s="102" t="str">
        <f t="shared" si="33"/>
        <v/>
      </c>
      <c r="AU302" s="103" t="str">
        <f t="shared" si="34"/>
        <v/>
      </c>
      <c r="AV302" s="102" t="str">
        <f>IF(A302="","",SUM(
COUNTIFS('QA Log'!D:D,A302,'QA Log'!M:M,"Vignette",'QA Log'!L:L,"*Vignette [1] Respiratory Infection: Pneumonia*"),
COUNTIFS('QA Log'!D:D,A302,'QA Log'!M:M,"Vignette",'QA Log'!L:L,"*Vignette [2]: Diarrhea with Cat B dehydration*"),
COUNTIFS('QA Log'!D:D,A302,'QA Log'!M:M,"Vignette",'QA Log'!L:L,"*Vignette [3] Growth Monitoring and Promotion*"),
COUNTIFS('QA Log'!D:D,A302,'QA Log'!M:M,"Vignette",'QA Log'!L:L,"*Vignette [4]: The management of presumptive TB patient*")
)
)</f>
        <v/>
      </c>
      <c r="AW302" s="102" t="str">
        <f>IF(
  A302="","",
  SUM(
    COUNTIFS('QA Log'!D:D,A302,'QA Log'!M:M,"Vignette",'QA Log'!Z:Z,"Approved",'QA Log'!L:L,"*Vignette [1] Respiratory Infection: Pneumonia*"),
    COUNTIFS('QA Log'!D:D,A302,'QA Log'!M:M,"Vignette",'QA Log'!Z:Z,"Approved",'QA Log'!L:L,"*Vignette [2]: Diarrhea with Cat B dehydration*"),
    COUNTIFS('QA Log'!D:D,A302,'QA Log'!M:M,"Vignette",'QA Log'!Z:Z,"Approved",'QA Log'!L:L,"*Vignette [3] Growth Monitoring and Promotion*"),
    COUNTIFS('QA Log'!D:D,A302,'QA Log'!M:M,"Vignette",'QA Log'!Z:Z,"Approved",'QA Log'!L:L,"*Vignette [4]: The management of presumptive TB patient*")
  )
)</f>
        <v/>
      </c>
      <c r="AX302" s="105" t="str">
        <f>IF(A302&lt;&gt;"",COUNTIFS('QA Log'!D:D,A302,'QA Log'!M:M,"Vignette",'QA Log'!L:L,"Vignette [1] Respiratory Infection: Pneumonia",'QA Log'!Z:Z,"Approved"),"")</f>
        <v/>
      </c>
      <c r="AY302" s="105" t="str">
        <f>IF(A302&lt;&gt;"",COUNTIFS('QA Log'!D:D,A302,'QA Log'!M:M,"Vignette",'QA Log'!L:L,"Vignette [2]: Diarrhea with Cat B dehydration",'QA Log'!Z:Z,"Approved"),"")</f>
        <v/>
      </c>
      <c r="AZ302" s="105" t="str">
        <f>IF(A302&lt;&gt;"",COUNTIFS('QA Log'!D:D,A302,'QA Log'!M:M,"Vignette",'QA Log'!L:L,"Vignette [3] Growth Monitoring and Promotion",'QA Log'!Z:Z,"Approved"),"")</f>
        <v/>
      </c>
      <c r="BA302" s="105" t="str">
        <f>IF(A302&lt;&gt;"",COUNTIFS('QA Log'!D:D,A302,'QA Log'!M:M,"Vignette",'QA Log'!L:L,"Vignette [4]: The management of presumptive TB patient",'QA Log'!Z:Z,"Approved"),"")</f>
        <v/>
      </c>
      <c r="BB302" s="102" t="str">
        <f>IF(A302="","",
  SUM(
    COUNTIFS('QA Log'!D:D,A302,'QA Log'!M:M,"Vignette",'QA Log'!Z:Z,"Rejected",'QA Log'!L:L,"*Vignette [1] Respiratory Infection: Pneumonia*"),
    COUNTIFS('QA Log'!D:D,A302,'QA Log'!M:M,"Vignette",'QA Log'!Z:Z,"Rejected",'QA Log'!L:L,"*Vignette [2]: Diarrhea with Cat B dehydration*"),
    COUNTIFS('QA Log'!D:D,A302,'QA Log'!M:M,"Vignette",'QA Log'!Z:Z,"Rejected",'QA Log'!L:L,"*Vignette [3] Growth Monitoring and Promotion*"),
    COUNTIFS('QA Log'!D:D,A302,'QA Log'!M:M,"Vignette",'QA Log'!Z:Z,"Rejected",'QA Log'!L:L,"*Vignette [4]: The management of presumptive TB patient*")
  )
)</f>
        <v/>
      </c>
      <c r="BC302" s="107" t="str">
        <f t="shared" si="35"/>
        <v/>
      </c>
      <c r="BD302" s="103" t="str">
        <f t="shared" si="36"/>
        <v/>
      </c>
      <c r="BE302" s="102" t="str">
        <f>IF(A302="","",SUM(
COUNTIFS('QA Log'!D:D,A302,'QA Log'!M:M,"Vignette",'QA Log'!L:L,"*Vignette [5] Labor*"),
COUNTIFS('QA Log'!D:D,A302,'QA Log'!M:M,"Vignette",'QA Log'!L:L,"*Vignette [6] PNC pre Discharge*"),
COUNTIFS('QA Log'!D:D,A302,'QA Log'!M:M,"Vignette",'QA Log'!L:L,"*Vignette [7] First ANC Visit*"),
COUNTIFS('QA Log'!D:D,A302,'QA Log'!M:M,"Vignette",'QA Log'!L:L,"*Vignette [8] Birth Spacing/ Family Planning :  FP Counselling*"),
COUNTIFS('QA Log'!D:D,A302,'QA Log'!M:M,"Vignette",'QA Log'!L:L,"*Vignette [9] Birth Spacing: Change FP method to Injectable*"),
COUNTIFS('QA Log'!D:D,A302,'QA Log'!M:M,"Vignette",'QA Log'!L:L,"*Vignette [10] Post Partum Haemorrhage - Atonic Uterus at Health Centre*"),
)
)</f>
        <v/>
      </c>
      <c r="BF302" s="102" t="str">
        <f>IF(A302="","",
  SUM(
    COUNTIFS('QA Log'!D:D,A302,'QA Log'!M:M,"Vignette",'QA Log'!Z:Z,"Approved",'QA Log'!L:L,"*Vignette [5] Labor*"),
    COUNTIFS('QA Log'!D:D,A302,'QA Log'!M:M,"Vignette",'QA Log'!Z:Z,"Approved",'QA Log'!L:L,"*Vignette [6] PNC pre Discharge*"),
    COUNTIFS('QA Log'!D:D,A302,'QA Log'!M:M,"Vignette",'QA Log'!Z:Z,"Approved",'QA Log'!L:L,"*Vignette [7] First ANC Visit*"),
    COUNTIFS('QA Log'!D:D,A302,'QA Log'!M:M,"Vignette",'QA Log'!Z:Z,"Approved",'QA Log'!L:L,"*Vignette [8] Birth Spacing/ Family Planning :  FP Counselling*"),
    COUNTIFS('QA Log'!D:D,A302,'QA Log'!M:M,"Vignette",'QA Log'!Z:Z,"Approved",'QA Log'!L:L,"*Vignette [9] Birth Spacing: Change FP method to Injectable*"),
    COUNTIFS('QA Log'!D:D,A302,'QA Log'!M:M,"Vignette",'QA Log'!Z:Z,"Approved",'QA Log'!L:L,"*Vignette [10] Post Partum Haemorrhage - Atonic Uterus at Health Centre*")
  )
)</f>
        <v/>
      </c>
      <c r="BG302" s="105" t="str">
        <f>IF(A302&lt;&gt;"",COUNTIFS('QA Log'!D:D,A302,'QA Log'!M:M,"Vignette",'QA Log'!L:L,"Vignette [5] Labor",'QA Log'!Z:Z,"Approved"),"")</f>
        <v/>
      </c>
      <c r="BH302" s="105" t="str">
        <f>IF(A302&lt;&gt;"",COUNTIFS('QA Log'!D:D,A302,'QA Log'!M:M,"Vignette",'QA Log'!L:L,"Vignette [6] PNC pre Discharge",'QA Log'!Z:Z,"Approved"),"")</f>
        <v/>
      </c>
      <c r="BI302" s="105" t="str">
        <f>IF(A302&lt;&gt;"",COUNTIFS('QA Log'!D:D,A302,'QA Log'!M:M,"Vignette",'QA Log'!L:L,"Vignette [7] First ANC Visit",'QA Log'!Z:Z,"Approved"),"")</f>
        <v/>
      </c>
      <c r="BJ302" s="105" t="str">
        <f>IF(A302&lt;&gt;"",COUNTIFS('QA Log'!D:D,A302,'QA Log'!M:M,"Vignette",'QA Log'!L:L,"Vignette [8] Birth Spacing/ Family Planning :  FP Counselling",'QA Log'!Z:Z,"Approved"),"")</f>
        <v/>
      </c>
      <c r="BK302" s="105" t="str">
        <f>IF(A302&lt;&gt;"",COUNTIFS('QA Log'!D:D,A302,'QA Log'!M:M,"Vignette",'QA Log'!L:L,"Vignette [9] Birth Spacing: Change FP method to Injectable",'QA Log'!Z:Z,"Approved"),"")</f>
        <v/>
      </c>
      <c r="BL302" s="105" t="str">
        <f>IF(A302&lt;&gt;"",COUNTIFS('QA Log'!D:D,A302,'QA Log'!M:M,"Vignette",'QA Log'!L:L,"Vignette [10] Post Partum Haemorrhage - Atonic Uterus at Health Centre",'QA Log'!Z:Z,"Approved"),"")</f>
        <v/>
      </c>
      <c r="BM302" s="102" t="str">
        <f>IF(A302="","",SUM(
    COUNTIFS('QA Log'!D:D,A302,'QA Log'!M:M,"Vignette",'QA Log'!Z:Z,"Rejected",'QA Log'!L:L,"*Vignette [5] Labor*"),
    COUNTIFS('QA Log'!D:D,A302,'QA Log'!M:M,"Vignette",'QA Log'!Z:Z,"Rejected",'QA Log'!L:L,"*Vignette [6] PNC pre Discharge*"),
    COUNTIFS('QA Log'!D:D,A302,'QA Log'!M:M,"Vignette",'QA Log'!Z:Z,"Rejected",'QA Log'!L:L,"*Vignette [7] First ANC Visit*"),
    COUNTIFS('QA Log'!D:D,A302,'QA Log'!M:M,"Vignette",'QA Log'!Z:Z,"Rejected",'QA Log'!L:L,"*Vignette [8] Birth Spacing/ Family Planning :  FP Counselling*"),
    COUNTIFS('QA Log'!D:D,A302,'QA Log'!M:M,"Vignette",'QA Log'!Z:Z,"Rejected",'QA Log'!L:L,"*Vignette [9] Birth Spacing: Change FP method to Injectable*"),
    COUNTIFS('QA Log'!D:D,A302,'QA Log'!M:M,"Vignette",'QA Log'!Z:Z,"Rejected",'QA Log'!L:L,"*Vignette [10] Post Partum Haemorrhage - Atonic Uterus at Health Centre*")
  )
)</f>
        <v/>
      </c>
      <c r="BN302" s="107" t="str">
        <f t="shared" si="37"/>
        <v/>
      </c>
      <c r="BO302" s="103" t="str">
        <f t="shared" si="38"/>
        <v/>
      </c>
      <c r="BP302" s="102" t="str">
        <f>IF(A302="","",SUM(
COUNTIFS('QA Log'!D:D,A302,'QA Log'!M:M,"Vignette",'QA Log'!L:L,"*Exit Interview 1*"),
COUNTIFS('QA Log'!D:D,A302,'QA Log'!M:M,"Vignette",'QA Log'!L:L,"*Exit Interview 2*"),
)
)</f>
        <v/>
      </c>
      <c r="BQ302" s="102" t="str">
        <f>IF(
  A302="","",
  SUM(
    COUNTIFS('QA Log'!D:D,A302,'QA Log'!M:M,"Vignette",'QA Log'!Z:Z,"Approved",'QA Log'!L:L,"*Exit Interview 1*"),
    COUNTIFS('QA Log'!D:D,A302,'QA Log'!M:M,"Vignette",'QA Log'!Z:Z,"Approved",'QA Log'!L:L,"*Exit Interview 2*")
  )
)</f>
        <v/>
      </c>
      <c r="BR302" s="105" t="str">
        <f>IF(A302&lt;&gt;"",COUNTIFS('QA Log'!D:D,A302,'QA Log'!M:M,"Vignette",'QA Log'!L:L,"Exit Interview 1",'QA Log'!Z:Z,"Approved"),"")</f>
        <v/>
      </c>
      <c r="BS302" s="105" t="str">
        <f>IF(A302&lt;&gt;"",COUNTIFS('QA Log'!D:D,A302,'QA Log'!M:M,"Vignette",'QA Log'!L:L,"Exit Interview 2",'QA Log'!Z:Z,"Approved"),"")</f>
        <v/>
      </c>
      <c r="BT302" s="102" t="str">
        <f>IF(
  A302="","",
  SUM(
    COUNTIFS('QA Log'!D:D,A302,'QA Log'!M:M,"Vignette",'QA Log'!Z:Z,"Rejected",'QA Log'!L:L,"*Exit Interview 1*"),
    COUNTIFS('QA Log'!D:D,A302,'QA Log'!M:M,"Vignette",'QA Log'!Z:Z,"Rejected",'QA Log'!L:L,"*Exit Interview 2*")
  )
)</f>
        <v/>
      </c>
      <c r="BU302" s="107" t="str">
        <f t="shared" si="39"/>
        <v/>
      </c>
      <c r="BV302" s="102" t="str">
        <f t="shared" si="40"/>
        <v/>
      </c>
      <c r="BW302" s="102" t="str">
        <f t="shared" si="41"/>
        <v/>
      </c>
      <c r="BX302" s="102" t="str">
        <f t="shared" si="42"/>
        <v/>
      </c>
      <c r="BY302" s="102" t="str">
        <f t="shared" si="43"/>
        <v/>
      </c>
      <c r="BZ302" s="107" t="str">
        <f t="shared" si="44"/>
        <v/>
      </c>
      <c r="CA302" s="108" t="str">
        <f t="shared" si="45"/>
        <v/>
      </c>
      <c r="CB302" s="108" t="str">
        <f t="shared" si="46"/>
        <v/>
      </c>
      <c r="CC302" s="109" t="str">
        <f t="shared" si="47"/>
        <v/>
      </c>
      <c r="CD302" s="108" t="str">
        <f t="shared" si="48"/>
        <v/>
      </c>
      <c r="CE302" s="108" t="str">
        <f t="shared" si="49"/>
        <v/>
      </c>
      <c r="CF302" s="109" t="str">
        <f t="shared" si="50"/>
        <v/>
      </c>
      <c r="CG302" s="110" t="str">
        <f t="shared" si="51"/>
        <v/>
      </c>
      <c r="CH302" s="111"/>
    </row>
    <row r="303" spans="1:86" ht="12.75">
      <c r="A303" s="101"/>
      <c r="B303" s="102" t="e">
        <f t="array" aca="1" ref="B303" ca="1">_xludf.XLOOKUP(A303,'QA Log'!D:D,'QA Log'!E:E,"")</f>
        <v>#NAME?</v>
      </c>
      <c r="C303" s="102" t="e">
        <f t="array" aca="1" ref="C303" ca="1">_xludf.XLOOKUP(A303,'QA Log'!D:D,'QA Log'!F:F,"")</f>
        <v>#NAME?</v>
      </c>
      <c r="D303" s="102" t="e">
        <f t="array" aca="1" ref="D303" ca="1">_xludf.XLOOKUP(A303,'QA Log'!D:D,'QA Log'!H:H,"")</f>
        <v>#NAME?</v>
      </c>
      <c r="E303" s="102" t="e">
        <f t="array" aca="1" ref="E303" ca="1">_xludf.XLOOKUP(A303,'QA Log'!D:D,'QA Log'!G:G,"")</f>
        <v>#NAME?</v>
      </c>
      <c r="F303" s="103"/>
      <c r="G303" s="104"/>
      <c r="H303" s="104"/>
      <c r="I303" s="103" t="str">
        <f t="shared" si="26"/>
        <v/>
      </c>
      <c r="J303" s="102" t="str">
        <f>IF(A303="","",SUM(
COUNTIFS('QA Log'!D:D,A303,'QA Log'!M:M,"QQC",'QA Log'!L:L,"*1. General Management*"),
COUNTIFS('QA Log'!D:D,A303,'QA Log'!M:M,"QQC",'QA Log'!L:L,"*3. Curative Consultation (OPD)*"),
COUNTIFS('QA Log'!D:D,A303,'QA Log'!M:M,"QQC",'QA Log'!L:L,"*5. Laboratory*"),
COUNTIFS('QA Log'!D:D,A303,'QA Log'!M:M,"QQC",'QA Log'!L:L,"*6. Essential Medicine Management*"),
COUNTIFS('QA Log'!D:D,A303,'QA Log'!M:M,"QQC",'QA Log'!L:L,"*7. Tracer Medicine*"),
COUNTIFS('QA Log'!D:D,A303,'QA Log'!M:M,"QQC",'QA Log'!L:L,"*11. Additional Questions*")))</f>
        <v/>
      </c>
      <c r="K303" s="102" t="str">
        <f>IF(A303="","",SUM(
COUNTIFS('QA Log'!D:D,A303,'QA Log'!M:M,"QQC",'QA Log'!Z:Z,"Approved",'QA Log'!L:L,"*1. General Management*"),
COUNTIFS('QA Log'!D:D,A303,'QA Log'!M:M,"QQC",'QA Log'!Z:Z,"Approved",'QA Log'!L:L,"*3. Curative Consultation (OPD)*"),
COUNTIFS('QA Log'!D:D,A303,'QA Log'!M:M,"QQC",'QA Log'!Z:Z,"Approved",'QA Log'!L:L,"*5. Laboratory*"),
COUNTIFS('QA Log'!D:D,A303,'QA Log'!M:M,"QQC",'QA Log'!Z:Z,"Approved",'QA Log'!L:L,"*6. Essential Medicine Management*"),
COUNTIFS('QA Log'!D:D,A303,'QA Log'!M:M,"QQC",'QA Log'!Z:Z,"Approved",'QA Log'!L:L,"*7. Tracer Medicine*"),
COUNTIFS('QA Log'!D:D,A303,'QA Log'!M:M,"QQC",'QA Log'!Z:Z,"Approved",'QA Log'!L:L,"*11. Additional Questions*")))</f>
        <v/>
      </c>
      <c r="L303" s="105" t="str">
        <f>IF(A303&lt;&gt;"",COUNTIFS('QA Log'!D:D,A303,'QA Log'!M:M,"QQC",'QA Log'!L:L,"1. General Management",'QA Log'!Z:Z,"Approved"),"")</f>
        <v/>
      </c>
      <c r="M303" s="105" t="str">
        <f>IF(A303&lt;&gt;"",COUNTIFS('QA Log'!D:D,A303,'QA Log'!M:M,"QQC",'QA Log'!L:L,"3. Curative Consultation (OPD)",'QA Log'!Z:Z,"Approved"),"")</f>
        <v/>
      </c>
      <c r="N303" s="105" t="str">
        <f>IF(A303&lt;&gt;"",COUNTIFS('QA Log'!D:D,A303,'QA Log'!M:M,"QQC",'QA Log'!L:L,"5. Laboratory",'QA Log'!Z:Z,"Approved"),"")</f>
        <v/>
      </c>
      <c r="O303" s="105" t="str">
        <f>IF(A303&lt;&gt;"",COUNTIFS('QA Log'!D:D,A303,'QA Log'!M:M,"QQC",'QA Log'!L:L,"6. Essential Medicine Management",'QA Log'!Z:Z,"Approved"),"")</f>
        <v/>
      </c>
      <c r="P303" s="105" t="str">
        <f>IF(A303&lt;&gt;"",COUNTIFS('QA Log'!D:D,A303,'QA Log'!M:M,"QQC",'QA Log'!L:L,"7. Tracer Medicine",'QA Log'!Z:Z,"Approved"),"")</f>
        <v/>
      </c>
      <c r="Q303" s="105" t="str">
        <f>IF(A303&lt;&gt;"",COUNTIFS('QA Log'!D:D,A303,'QA Log'!M:M,"QQC",'QA Log'!L:L,"11. Additional Questions",'QA Log'!Z:Z,"Approved"),"")</f>
        <v/>
      </c>
      <c r="R303" s="102" t="str">
        <f>IF(A303="","",SUM(
COUNTIFS('QA Log'!D:D,A303,'QA Log'!M:M,"QQC",'QA Log'!Z:Z,"Rejected",'QA Log'!L:L,"*8. Maternity*"),
COUNTIFS('QA Log'!D:D,A303,'QA Log'!M:M,"QQC",'QA Log'!Z:Z,"Rejected",'QA Log'!L:L,"*EPI*"),
COUNTIFS('QA Log'!D:D,A303,'QA Log'!M:M,"QQC",'QA Log'!Z:Z,"Rejected",'QA Log'!L:L,"*10. Antenatal Care (ANC)*"),
COUNTIFS('QA Log'!D:D,A303,'QA Log'!M:M,"QQC",'QA Log'!Z:Z,"Rejected",'QA Log'!L:L,"*2. Hygiene and Sterilization*"),
COUNTIFS('QA Log'!D:D,A303,'QA Log'!M:M,"QQC",'QA Log'!Z:Z,"Rejected",'QA Log'!L:L,"*Family Planning*")))</f>
        <v/>
      </c>
      <c r="S303" s="106" t="str">
        <f t="shared" si="27"/>
        <v/>
      </c>
      <c r="T303" s="102" t="str">
        <f t="shared" si="28"/>
        <v/>
      </c>
      <c r="U303" s="102" t="str">
        <f>IF(A303="","",
SUM(
COUNTIFS('QA Log'!D:D,A303,'QA Log'!M:M,"QQC",'QA Log'!L:L,"*8. Maternity*"),
COUNTIFS('QA Log'!D:D,A303,'QA Log'!M:M,"QQC",'QA Log'!L:L,"*9. EPI and Pre-school Consultation*"),
COUNTIFS('QA Log'!D:D,A303,'QA Log'!M:M,"QQC",'QA Log'!L:L,"*10. Antenatal Care (ANC)*"),
COUNTIFS('QA Log'!D:D,A303,'QA Log'!M:M,"QQC",'QA Log'!L:L,"*2. Hygiene and Sterilization*"),
COUNTIFS('QA Log'!D:D,A303,'QA Log'!M:M,"QQC",'QA Log'!L:L,"*4. Family Planning*")
))</f>
        <v/>
      </c>
      <c r="V303" s="102" t="str">
        <f>IF(A303="","",
SUM(
COUNTIFS('QA Log'!D:D,A303,'QA Log'!M:M,"QQC",'QA Log'!Z:Z,"Approved",'QA Log'!L:L,"*8. Maternity*"),
COUNTIFS('QA Log'!D:D,A303,'QA Log'!M:M,"QQC",'QA Log'!Z:Z,"Approved",'QA Log'!L:L,"*9. EPI and Pre-school Consultation*"),
COUNTIFS('QA Log'!D:D,A303,'QA Log'!M:M,"QQC",'QA Log'!Z:Z,"Approved",'QA Log'!L:L,"*10. Antenatal Care (ANC)*"),
COUNTIFS('QA Log'!D:D,A303,'QA Log'!M:M,"QQC",'QA Log'!Z:Z,"Approved",'QA Log'!L:L,"*2. Hygiene and Sterilization*"),
COUNTIFS('QA Log'!D:D,A303,'QA Log'!M:M,"QQC",'QA Log'!Z:Z,"Approved",'QA Log'!L:L,"*4. Family Planning*")
))</f>
        <v/>
      </c>
      <c r="W303" s="105" t="str">
        <f>IF(A303&lt;&gt;"",COUNTIFS('QA Log'!D:D,A303,'QA Log'!M:M,"QQC",'QA Log'!L:L,"8. Maternity",'QA Log'!Z:Z,"Approved"),"")</f>
        <v/>
      </c>
      <c r="X303" s="105" t="str">
        <f>IF(A303&lt;&gt;"",COUNTIFS('QA Log'!D:D,A303,'QA Log'!M:M,"QQC",'QA Log'!L:L,"9. EPI and Pre-school Consultation",'QA Log'!Z:Z,"Approved"),"")</f>
        <v/>
      </c>
      <c r="Y303" s="105" t="str">
        <f>IF(A303&lt;&gt;"",COUNTIFS('QA Log'!D:D,A303,'QA Log'!M:M,"QQC",'QA Log'!L:L,"10. Antenatal Care (ANC)",'QA Log'!Z:Z,"Approved"),"")</f>
        <v/>
      </c>
      <c r="Z303" s="105" t="str">
        <f>IF(A303&lt;&gt;"",COUNTIFS('QA Log'!D:D,A303,'QA Log'!M:M,"QQC",'QA Log'!L:L,"2. Hygiene and Sterilization",'QA Log'!Z:Z,"Approved"),"")</f>
        <v/>
      </c>
      <c r="AA303" s="105" t="str">
        <f>IF(A303&lt;&gt;"",COUNTIFS('QA Log'!D:D,A303,'QA Log'!M:M,"QQC",'QA Log'!L:L,"4. Family Planning",'QA Log'!Z:Z,"Approved"),"")</f>
        <v/>
      </c>
      <c r="AB303" s="102" t="str">
        <f>IF(A303="","",
SUM(
COUNTIFS('QA Log'!D:D,A303,'QA Log'!M:M,"QQC",'QA Log'!Z:Z,"Rejected",'QA Log'!L:L,"*8. Maternity*"),
COUNTIFS('QA Log'!D:D,A303,'QA Log'!M:M,"QQC",'QA Log'!Z:Z,"Rejected",'QA Log'!L:L,"*9. EPI and Pre-school Consultation*"),
COUNTIFS('QA Log'!D:D,A303,'QA Log'!M:M,"QQC",'QA Log'!Z:Z,"Rejected",'QA Log'!L:L,"*10. Antenatal Care (ANC)*"),
COUNTIFS('QA Log'!D:D,A303,'QA Log'!M:M,"QQC",'QA Log'!Z:Z,"Rejected",'QA Log'!L:L,"*2. Hygiene and Sterilization*"),
COUNTIFS('QA Log'!D:D,A303,'QA Log'!M:M,"QQC",'QA Log'!Z:Z,"Rejected",'QA Log'!L:L,"*4. Family Planning*")
))</f>
        <v/>
      </c>
      <c r="AC303" s="102" t="str">
        <f t="shared" si="29"/>
        <v/>
      </c>
      <c r="AD303" s="103" t="str">
        <f t="shared" si="30"/>
        <v/>
      </c>
      <c r="AE303" s="102" t="str">
        <f>IF(A303="","",
SUM(
COUNTIFS('QA Log'!D:D,A303,'QA Log'!M:M,"Data Verification",'QA Log'!L:L,"*Medicine (section 2)*"),
COUNTIFS('QA Log'!D:D,A303,'QA Log'!M:M,"Data Verification",'QA Log'!L:L,"*Lab Testing Availability*"),
COUNTIFS('QA Log'!D:D,A303,'QA Log'!M:M,"Data Verification",'QA Log'!L:L,"*Other than P4P (section 6)*"),
COUNTIFS('QA Log'!D:D,A303,'QA Log'!M:M,"Data Verification",'QA Log'!L:L,"*Hospital Governance*")
))</f>
        <v/>
      </c>
      <c r="AF303" s="102" t="str">
        <f>IF(A303="","",
SUM(
COUNTIFS('QA Log'!D:D,A303,'QA Log'!M:M,"Data Verification",'QA Log'!Z:Z,"Approved",'QA Log'!L:L,"*Medicine (section 2)*"),
COUNTIFS('QA Log'!D:D,A303,'QA Log'!M:M,"Data Verification",'QA Log'!Z:Z,"Approved",'QA Log'!L:L,"*Lab Testing Availability*"),
COUNTIFS('QA Log'!D:D,A303,'QA Log'!M:M,"Data Verification",'QA Log'!Z:Z,"Approved",'QA Log'!L:L,"*Other than P4P (section 6)*"),
COUNTIFS('QA Log'!D:D,A303,'QA Log'!M:M,"Data Verification",'QA Log'!Z:Z,"Approved",'QA Log'!L:L,"*Hospital Governance*")
))</f>
        <v/>
      </c>
      <c r="AG303" s="105" t="str">
        <f>IF(A303&lt;&gt;"",COUNTIFS('QA Log'!D:D,A303,'QA Log'!M:M,"Data Verification",'QA Log'!L:L,"Medicine (section 2)",'QA Log'!Z:Z,"Approved"),"")</f>
        <v/>
      </c>
      <c r="AH303" s="105" t="str">
        <f>IF(A303&lt;&gt;"",COUNTIFS('QA Log'!D:D,A303,'QA Log'!M:M,"Data Verification",'QA Log'!L:L,"Lab Testing Availability",'QA Log'!Z:Z,"Approved"),"")</f>
        <v/>
      </c>
      <c r="AI303" s="105" t="str">
        <f>IF(A303&lt;&gt;"",COUNTIFS('QA Log'!D:D,A303,'QA Log'!M:M,"Data Verification",'QA Log'!L:L,"Other than P4P (section 6)",'QA Log'!Z:Z,"Approved"),"")</f>
        <v/>
      </c>
      <c r="AJ303" s="105" t="str">
        <f>IF(A303&lt;&gt;"",COUNTIFS('QA Log'!D:D,A303,'QA Log'!M:M,"Data Verification",'QA Log'!L:L,"Hospital Governance",'QA Log'!Z:Z,"Approved"),"")</f>
        <v/>
      </c>
      <c r="AK303" s="102" t="str">
        <f>IF(A303="","",
SUM(
COUNTIFS('QA Log'!D:D,A303,'QA Log'!M:M,"Data Verification",'QA Log'!Z:Z,"Rejected",'QA Log'!L:L,"*Medicine (section 2)*"),
COUNTIFS('QA Log'!D:D,A303,'QA Log'!M:M,"Data Verification",'QA Log'!Z:Z,"Rejected",'QA Log'!L:L,"*Lab Testing Availability*"),
COUNTIFS('QA Log'!D:D,A303,'QA Log'!M:M,"Data Verification",'QA Log'!Z:Z,"Rejected",'QA Log'!L:L,"*Other than P4P (section 6)*"),
COUNTIFS('QA Log'!D:D,A303,'QA Log'!M:M,"Data Verification",'QA Log'!Z:Z,"Rejected",'QA Log'!L:L,"*Hospital Governance*")
))</f>
        <v/>
      </c>
      <c r="AL303" s="106" t="str">
        <f t="shared" si="31"/>
        <v/>
      </c>
      <c r="AM303" s="102" t="str">
        <f t="shared" si="32"/>
        <v/>
      </c>
      <c r="AN303" s="102" t="str">
        <f>IF(A303="","",
SUM(
COUNTIFS('QA Log'!D:D,A303,'QA Log'!M:M,"Data Verification",'QA Log'!L:L,"*Personnel (section 1)*"),
COUNTIFS('QA Log'!D:D,A303,'QA Log'!M:M,"Data Verification",'QA Log'!L:L,"*Consumable (section 3)*"),
COUNTIFS('QA Log'!D:D,A303,'QA Log'!M:M,"Data Verification",'QA Log'!L:L,"*Equipments (section 4)*")
))</f>
        <v/>
      </c>
      <c r="AO303" s="102" t="str">
        <f>IF(A303="","",
SUM(
COUNTIFS('QA Log'!D:D,A303,'QA Log'!M:M,"Data Verification",'QA Log'!Z:Z,"Approved",'QA Log'!L:L,"*Personnel (section 1)*"),
COUNTIFS('QA Log'!D:D,A303,'QA Log'!M:M,"Data Verification",'QA Log'!Z:Z,"Approved",'QA Log'!L:L,"*Consumable (section 3)*"),
COUNTIFS('QA Log'!D:D,A303,'QA Log'!M:M,"Data Verification",'QA Log'!Z:Z,"Approved",'QA Log'!L:L,"*Equipments (section 4)*")
))</f>
        <v/>
      </c>
      <c r="AP303" s="105" t="str">
        <f>IF(A303&lt;&gt;"",COUNTIFS('QA Log'!D:D,A303,'QA Log'!M:M,"Data Verification",'QA Log'!L:L,"Personnel (section 1)",'QA Log'!Z:Z,"Approved"),"")</f>
        <v/>
      </c>
      <c r="AQ303" s="105" t="str">
        <f>IF(A303&lt;&gt;"",COUNTIFS('QA Log'!D:D,A303,'QA Log'!M:M,"Data Verification",'QA Log'!L:L,"Consumable (section 3)",'QA Log'!Z:Z,"Approved"),"")</f>
        <v/>
      </c>
      <c r="AR303" s="105" t="str">
        <f>IF(A303&lt;&gt;"",COUNTIFS('QA Log'!D:D,A303,'QA Log'!M:M,"Data Verification",'QA Log'!L:L,"Equipments (section 4)",'QA Log'!Z:Z,"Approved"),"")</f>
        <v/>
      </c>
      <c r="AS303" s="102" t="str">
        <f>IF(A303="","",
SUM(
COUNTIFS('QA Log'!D:D,A303,'QA Log'!M:M,"Data Verification",'QA Log'!Z:Z,"Rejected",'QA Log'!L:L,"*Personnel (section 1)*"),
COUNTIFS('QA Log'!D:D,A303,'QA Log'!M:M,"Data Verification",'QA Log'!Z:Z,"Rejected",'QA Log'!L:L,"*Consumable (section 3)*"),
COUNTIFS('QA Log'!D:D,A303,'QA Log'!M:M,"Data Verification",'QA Log'!Z:Z,"Rejected",'QA Log'!L:L,"*Equipments (section 4)*")
))</f>
        <v/>
      </c>
      <c r="AT303" s="102" t="str">
        <f t="shared" si="33"/>
        <v/>
      </c>
      <c r="AU303" s="103" t="str">
        <f t="shared" si="34"/>
        <v/>
      </c>
      <c r="AV303" s="102" t="str">
        <f>IF(A303="","",SUM(
COUNTIFS('QA Log'!D:D,A303,'QA Log'!M:M,"Vignette",'QA Log'!L:L,"*Vignette [1] Respiratory Infection: Pneumonia*"),
COUNTIFS('QA Log'!D:D,A303,'QA Log'!M:M,"Vignette",'QA Log'!L:L,"*Vignette [2]: Diarrhea with Cat B dehydration*"),
COUNTIFS('QA Log'!D:D,A303,'QA Log'!M:M,"Vignette",'QA Log'!L:L,"*Vignette [3] Growth Monitoring and Promotion*"),
COUNTIFS('QA Log'!D:D,A303,'QA Log'!M:M,"Vignette",'QA Log'!L:L,"*Vignette [4]: The management of presumptive TB patient*")
)
)</f>
        <v/>
      </c>
      <c r="AW303" s="102" t="str">
        <f>IF(
  A303="","",
  SUM(
    COUNTIFS('QA Log'!D:D,A303,'QA Log'!M:M,"Vignette",'QA Log'!Z:Z,"Approved",'QA Log'!L:L,"*Vignette [1] Respiratory Infection: Pneumonia*"),
    COUNTIFS('QA Log'!D:D,A303,'QA Log'!M:M,"Vignette",'QA Log'!Z:Z,"Approved",'QA Log'!L:L,"*Vignette [2]: Diarrhea with Cat B dehydration*"),
    COUNTIFS('QA Log'!D:D,A303,'QA Log'!M:M,"Vignette",'QA Log'!Z:Z,"Approved",'QA Log'!L:L,"*Vignette [3] Growth Monitoring and Promotion*"),
    COUNTIFS('QA Log'!D:D,A303,'QA Log'!M:M,"Vignette",'QA Log'!Z:Z,"Approved",'QA Log'!L:L,"*Vignette [4]: The management of presumptive TB patient*")
  )
)</f>
        <v/>
      </c>
      <c r="AX303" s="105" t="str">
        <f>IF(A303&lt;&gt;"",COUNTIFS('QA Log'!D:D,A303,'QA Log'!M:M,"Vignette",'QA Log'!L:L,"Vignette [1] Respiratory Infection: Pneumonia",'QA Log'!Z:Z,"Approved"),"")</f>
        <v/>
      </c>
      <c r="AY303" s="105" t="str">
        <f>IF(A303&lt;&gt;"",COUNTIFS('QA Log'!D:D,A303,'QA Log'!M:M,"Vignette",'QA Log'!L:L,"Vignette [2]: Diarrhea with Cat B dehydration",'QA Log'!Z:Z,"Approved"),"")</f>
        <v/>
      </c>
      <c r="AZ303" s="105" t="str">
        <f>IF(A303&lt;&gt;"",COUNTIFS('QA Log'!D:D,A303,'QA Log'!M:M,"Vignette",'QA Log'!L:L,"Vignette [3] Growth Monitoring and Promotion",'QA Log'!Z:Z,"Approved"),"")</f>
        <v/>
      </c>
      <c r="BA303" s="105" t="str">
        <f>IF(A303&lt;&gt;"",COUNTIFS('QA Log'!D:D,A303,'QA Log'!M:M,"Vignette",'QA Log'!L:L,"Vignette [4]: The management of presumptive TB patient",'QA Log'!Z:Z,"Approved"),"")</f>
        <v/>
      </c>
      <c r="BB303" s="102" t="str">
        <f>IF(A303="","",
  SUM(
    COUNTIFS('QA Log'!D:D,A303,'QA Log'!M:M,"Vignette",'QA Log'!Z:Z,"Rejected",'QA Log'!L:L,"*Vignette [1] Respiratory Infection: Pneumonia*"),
    COUNTIFS('QA Log'!D:D,A303,'QA Log'!M:M,"Vignette",'QA Log'!Z:Z,"Rejected",'QA Log'!L:L,"*Vignette [2]: Diarrhea with Cat B dehydration*"),
    COUNTIFS('QA Log'!D:D,A303,'QA Log'!M:M,"Vignette",'QA Log'!Z:Z,"Rejected",'QA Log'!L:L,"*Vignette [3] Growth Monitoring and Promotion*"),
    COUNTIFS('QA Log'!D:D,A303,'QA Log'!M:M,"Vignette",'QA Log'!Z:Z,"Rejected",'QA Log'!L:L,"*Vignette [4]: The management of presumptive TB patient*")
  )
)</f>
        <v/>
      </c>
      <c r="BC303" s="107" t="str">
        <f t="shared" si="35"/>
        <v/>
      </c>
      <c r="BD303" s="103" t="str">
        <f t="shared" si="36"/>
        <v/>
      </c>
      <c r="BE303" s="102" t="str">
        <f>IF(A303="","",SUM(
COUNTIFS('QA Log'!D:D,A303,'QA Log'!M:M,"Vignette",'QA Log'!L:L,"*Vignette [5] Labor*"),
COUNTIFS('QA Log'!D:D,A303,'QA Log'!M:M,"Vignette",'QA Log'!L:L,"*Vignette [6] PNC pre Discharge*"),
COUNTIFS('QA Log'!D:D,A303,'QA Log'!M:M,"Vignette",'QA Log'!L:L,"*Vignette [7] First ANC Visit*"),
COUNTIFS('QA Log'!D:D,A303,'QA Log'!M:M,"Vignette",'QA Log'!L:L,"*Vignette [8] Birth Spacing/ Family Planning :  FP Counselling*"),
COUNTIFS('QA Log'!D:D,A303,'QA Log'!M:M,"Vignette",'QA Log'!L:L,"*Vignette [9] Birth Spacing: Change FP method to Injectable*"),
COUNTIFS('QA Log'!D:D,A303,'QA Log'!M:M,"Vignette",'QA Log'!L:L,"*Vignette [10] Post Partum Haemorrhage - Atonic Uterus at Health Centre*"),
)
)</f>
        <v/>
      </c>
      <c r="BF303" s="102" t="str">
        <f>IF(A303="","",
  SUM(
    COUNTIFS('QA Log'!D:D,A303,'QA Log'!M:M,"Vignette",'QA Log'!Z:Z,"Approved",'QA Log'!L:L,"*Vignette [5] Labor*"),
    COUNTIFS('QA Log'!D:D,A303,'QA Log'!M:M,"Vignette",'QA Log'!Z:Z,"Approved",'QA Log'!L:L,"*Vignette [6] PNC pre Discharge*"),
    COUNTIFS('QA Log'!D:D,A303,'QA Log'!M:M,"Vignette",'QA Log'!Z:Z,"Approved",'QA Log'!L:L,"*Vignette [7] First ANC Visit*"),
    COUNTIFS('QA Log'!D:D,A303,'QA Log'!M:M,"Vignette",'QA Log'!Z:Z,"Approved",'QA Log'!L:L,"*Vignette [8] Birth Spacing/ Family Planning :  FP Counselling*"),
    COUNTIFS('QA Log'!D:D,A303,'QA Log'!M:M,"Vignette",'QA Log'!Z:Z,"Approved",'QA Log'!L:L,"*Vignette [9] Birth Spacing: Change FP method to Injectable*"),
    COUNTIFS('QA Log'!D:D,A303,'QA Log'!M:M,"Vignette",'QA Log'!Z:Z,"Approved",'QA Log'!L:L,"*Vignette [10] Post Partum Haemorrhage - Atonic Uterus at Health Centre*")
  )
)</f>
        <v/>
      </c>
      <c r="BG303" s="105" t="str">
        <f>IF(A303&lt;&gt;"",COUNTIFS('QA Log'!D:D,A303,'QA Log'!M:M,"Vignette",'QA Log'!L:L,"Vignette [5] Labor",'QA Log'!Z:Z,"Approved"),"")</f>
        <v/>
      </c>
      <c r="BH303" s="105" t="str">
        <f>IF(A303&lt;&gt;"",COUNTIFS('QA Log'!D:D,A303,'QA Log'!M:M,"Vignette",'QA Log'!L:L,"Vignette [6] PNC pre Discharge",'QA Log'!Z:Z,"Approved"),"")</f>
        <v/>
      </c>
      <c r="BI303" s="105" t="str">
        <f>IF(A303&lt;&gt;"",COUNTIFS('QA Log'!D:D,A303,'QA Log'!M:M,"Vignette",'QA Log'!L:L,"Vignette [7] First ANC Visit",'QA Log'!Z:Z,"Approved"),"")</f>
        <v/>
      </c>
      <c r="BJ303" s="105" t="str">
        <f>IF(A303&lt;&gt;"",COUNTIFS('QA Log'!D:D,A303,'QA Log'!M:M,"Vignette",'QA Log'!L:L,"Vignette [8] Birth Spacing/ Family Planning :  FP Counselling",'QA Log'!Z:Z,"Approved"),"")</f>
        <v/>
      </c>
      <c r="BK303" s="105" t="str">
        <f>IF(A303&lt;&gt;"",COUNTIFS('QA Log'!D:D,A303,'QA Log'!M:M,"Vignette",'QA Log'!L:L,"Vignette [9] Birth Spacing: Change FP method to Injectable",'QA Log'!Z:Z,"Approved"),"")</f>
        <v/>
      </c>
      <c r="BL303" s="105" t="str">
        <f>IF(A303&lt;&gt;"",COUNTIFS('QA Log'!D:D,A303,'QA Log'!M:M,"Vignette",'QA Log'!L:L,"Vignette [10] Post Partum Haemorrhage - Atonic Uterus at Health Centre",'QA Log'!Z:Z,"Approved"),"")</f>
        <v/>
      </c>
      <c r="BM303" s="102" t="str">
        <f>IF(A303="","",SUM(
    COUNTIFS('QA Log'!D:D,A303,'QA Log'!M:M,"Vignette",'QA Log'!Z:Z,"Rejected",'QA Log'!L:L,"*Vignette [5] Labor*"),
    COUNTIFS('QA Log'!D:D,A303,'QA Log'!M:M,"Vignette",'QA Log'!Z:Z,"Rejected",'QA Log'!L:L,"*Vignette [6] PNC pre Discharge*"),
    COUNTIFS('QA Log'!D:D,A303,'QA Log'!M:M,"Vignette",'QA Log'!Z:Z,"Rejected",'QA Log'!L:L,"*Vignette [7] First ANC Visit*"),
    COUNTIFS('QA Log'!D:D,A303,'QA Log'!M:M,"Vignette",'QA Log'!Z:Z,"Rejected",'QA Log'!L:L,"*Vignette [8] Birth Spacing/ Family Planning :  FP Counselling*"),
    COUNTIFS('QA Log'!D:D,A303,'QA Log'!M:M,"Vignette",'QA Log'!Z:Z,"Rejected",'QA Log'!L:L,"*Vignette [9] Birth Spacing: Change FP method to Injectable*"),
    COUNTIFS('QA Log'!D:D,A303,'QA Log'!M:M,"Vignette",'QA Log'!Z:Z,"Rejected",'QA Log'!L:L,"*Vignette [10] Post Partum Haemorrhage - Atonic Uterus at Health Centre*")
  )
)</f>
        <v/>
      </c>
      <c r="BN303" s="107" t="str">
        <f t="shared" si="37"/>
        <v/>
      </c>
      <c r="BO303" s="103" t="str">
        <f t="shared" si="38"/>
        <v/>
      </c>
      <c r="BP303" s="102" t="str">
        <f>IF(A303="","",SUM(
COUNTIFS('QA Log'!D:D,A303,'QA Log'!M:M,"Vignette",'QA Log'!L:L,"*Exit Interview 1*"),
COUNTIFS('QA Log'!D:D,A303,'QA Log'!M:M,"Vignette",'QA Log'!L:L,"*Exit Interview 2*"),
)
)</f>
        <v/>
      </c>
      <c r="BQ303" s="102" t="str">
        <f>IF(
  A303="","",
  SUM(
    COUNTIFS('QA Log'!D:D,A303,'QA Log'!M:M,"Vignette",'QA Log'!Z:Z,"Approved",'QA Log'!L:L,"*Exit Interview 1*"),
    COUNTIFS('QA Log'!D:D,A303,'QA Log'!M:M,"Vignette",'QA Log'!Z:Z,"Approved",'QA Log'!L:L,"*Exit Interview 2*")
  )
)</f>
        <v/>
      </c>
      <c r="BR303" s="105" t="str">
        <f>IF(A303&lt;&gt;"",COUNTIFS('QA Log'!D:D,A303,'QA Log'!M:M,"Vignette",'QA Log'!L:L,"Exit Interview 1",'QA Log'!Z:Z,"Approved"),"")</f>
        <v/>
      </c>
      <c r="BS303" s="105" t="str">
        <f>IF(A303&lt;&gt;"",COUNTIFS('QA Log'!D:D,A303,'QA Log'!M:M,"Vignette",'QA Log'!L:L,"Exit Interview 2",'QA Log'!Z:Z,"Approved"),"")</f>
        <v/>
      </c>
      <c r="BT303" s="102" t="str">
        <f>IF(
  A303="","",
  SUM(
    COUNTIFS('QA Log'!D:D,A303,'QA Log'!M:M,"Vignette",'QA Log'!Z:Z,"Rejected",'QA Log'!L:L,"*Exit Interview 1*"),
    COUNTIFS('QA Log'!D:D,A303,'QA Log'!M:M,"Vignette",'QA Log'!Z:Z,"Rejected",'QA Log'!L:L,"*Exit Interview 2*")
  )
)</f>
        <v/>
      </c>
      <c r="BU303" s="107" t="str">
        <f t="shared" si="39"/>
        <v/>
      </c>
      <c r="BV303" s="102" t="str">
        <f t="shared" si="40"/>
        <v/>
      </c>
      <c r="BW303" s="102" t="str">
        <f t="shared" si="41"/>
        <v/>
      </c>
      <c r="BX303" s="102" t="str">
        <f t="shared" si="42"/>
        <v/>
      </c>
      <c r="BY303" s="102" t="str">
        <f t="shared" si="43"/>
        <v/>
      </c>
      <c r="BZ303" s="107" t="str">
        <f t="shared" si="44"/>
        <v/>
      </c>
      <c r="CA303" s="108" t="str">
        <f t="shared" si="45"/>
        <v/>
      </c>
      <c r="CB303" s="108" t="str">
        <f t="shared" si="46"/>
        <v/>
      </c>
      <c r="CC303" s="109" t="str">
        <f t="shared" si="47"/>
        <v/>
      </c>
      <c r="CD303" s="108" t="str">
        <f t="shared" si="48"/>
        <v/>
      </c>
      <c r="CE303" s="108" t="str">
        <f t="shared" si="49"/>
        <v/>
      </c>
      <c r="CF303" s="109" t="str">
        <f t="shared" si="50"/>
        <v/>
      </c>
      <c r="CG303" s="110" t="str">
        <f t="shared" si="51"/>
        <v/>
      </c>
      <c r="CH303" s="111"/>
    </row>
    <row r="304" spans="1:86" ht="12.75">
      <c r="A304" s="101"/>
      <c r="B304" s="102" t="e">
        <f t="array" aca="1" ref="B304" ca="1">_xludf.XLOOKUP(A304,'QA Log'!D:D,'QA Log'!E:E,"")</f>
        <v>#NAME?</v>
      </c>
      <c r="C304" s="102" t="e">
        <f t="array" aca="1" ref="C304" ca="1">_xludf.XLOOKUP(A304,'QA Log'!D:D,'QA Log'!F:F,"")</f>
        <v>#NAME?</v>
      </c>
      <c r="D304" s="102" t="e">
        <f t="array" aca="1" ref="D304" ca="1">_xludf.XLOOKUP(A304,'QA Log'!D:D,'QA Log'!H:H,"")</f>
        <v>#NAME?</v>
      </c>
      <c r="E304" s="102" t="e">
        <f t="array" aca="1" ref="E304" ca="1">_xludf.XLOOKUP(A304,'QA Log'!D:D,'QA Log'!G:G,"")</f>
        <v>#NAME?</v>
      </c>
      <c r="F304" s="103"/>
      <c r="G304" s="104"/>
      <c r="H304" s="104"/>
      <c r="I304" s="103" t="str">
        <f t="shared" si="26"/>
        <v/>
      </c>
      <c r="J304" s="102" t="str">
        <f>IF(A304="","",SUM(
COUNTIFS('QA Log'!D:D,A304,'QA Log'!M:M,"QQC",'QA Log'!L:L,"*1. General Management*"),
COUNTIFS('QA Log'!D:D,A304,'QA Log'!M:M,"QQC",'QA Log'!L:L,"*3. Curative Consultation (OPD)*"),
COUNTIFS('QA Log'!D:D,A304,'QA Log'!M:M,"QQC",'QA Log'!L:L,"*5. Laboratory*"),
COUNTIFS('QA Log'!D:D,A304,'QA Log'!M:M,"QQC",'QA Log'!L:L,"*6. Essential Medicine Management*"),
COUNTIFS('QA Log'!D:D,A304,'QA Log'!M:M,"QQC",'QA Log'!L:L,"*7. Tracer Medicine*"),
COUNTIFS('QA Log'!D:D,A304,'QA Log'!M:M,"QQC",'QA Log'!L:L,"*11. Additional Questions*")))</f>
        <v/>
      </c>
      <c r="K304" s="102" t="str">
        <f>IF(A304="","",SUM(
COUNTIFS('QA Log'!D:D,A304,'QA Log'!M:M,"QQC",'QA Log'!Z:Z,"Approved",'QA Log'!L:L,"*1. General Management*"),
COUNTIFS('QA Log'!D:D,A304,'QA Log'!M:M,"QQC",'QA Log'!Z:Z,"Approved",'QA Log'!L:L,"*3. Curative Consultation (OPD)*"),
COUNTIFS('QA Log'!D:D,A304,'QA Log'!M:M,"QQC",'QA Log'!Z:Z,"Approved",'QA Log'!L:L,"*5. Laboratory*"),
COUNTIFS('QA Log'!D:D,A304,'QA Log'!M:M,"QQC",'QA Log'!Z:Z,"Approved",'QA Log'!L:L,"*6. Essential Medicine Management*"),
COUNTIFS('QA Log'!D:D,A304,'QA Log'!M:M,"QQC",'QA Log'!Z:Z,"Approved",'QA Log'!L:L,"*7. Tracer Medicine*"),
COUNTIFS('QA Log'!D:D,A304,'QA Log'!M:M,"QQC",'QA Log'!Z:Z,"Approved",'QA Log'!L:L,"*11. Additional Questions*")))</f>
        <v/>
      </c>
      <c r="L304" s="105" t="str">
        <f>IF(A304&lt;&gt;"",COUNTIFS('QA Log'!D:D,A304,'QA Log'!M:M,"QQC",'QA Log'!L:L,"1. General Management",'QA Log'!Z:Z,"Approved"),"")</f>
        <v/>
      </c>
      <c r="M304" s="105" t="str">
        <f>IF(A304&lt;&gt;"",COUNTIFS('QA Log'!D:D,A304,'QA Log'!M:M,"QQC",'QA Log'!L:L,"3. Curative Consultation (OPD)",'QA Log'!Z:Z,"Approved"),"")</f>
        <v/>
      </c>
      <c r="N304" s="105" t="str">
        <f>IF(A304&lt;&gt;"",COUNTIFS('QA Log'!D:D,A304,'QA Log'!M:M,"QQC",'QA Log'!L:L,"5. Laboratory",'QA Log'!Z:Z,"Approved"),"")</f>
        <v/>
      </c>
      <c r="O304" s="105" t="str">
        <f>IF(A304&lt;&gt;"",COUNTIFS('QA Log'!D:D,A304,'QA Log'!M:M,"QQC",'QA Log'!L:L,"6. Essential Medicine Management",'QA Log'!Z:Z,"Approved"),"")</f>
        <v/>
      </c>
      <c r="P304" s="105" t="str">
        <f>IF(A304&lt;&gt;"",COUNTIFS('QA Log'!D:D,A304,'QA Log'!M:M,"QQC",'QA Log'!L:L,"7. Tracer Medicine",'QA Log'!Z:Z,"Approved"),"")</f>
        <v/>
      </c>
      <c r="Q304" s="105" t="str">
        <f>IF(A304&lt;&gt;"",COUNTIFS('QA Log'!D:D,A304,'QA Log'!M:M,"QQC",'QA Log'!L:L,"11. Additional Questions",'QA Log'!Z:Z,"Approved"),"")</f>
        <v/>
      </c>
      <c r="R304" s="102" t="str">
        <f>IF(A304="","",SUM(
COUNTIFS('QA Log'!D:D,A304,'QA Log'!M:M,"QQC",'QA Log'!Z:Z,"Rejected",'QA Log'!L:L,"*8. Maternity*"),
COUNTIFS('QA Log'!D:D,A304,'QA Log'!M:M,"QQC",'QA Log'!Z:Z,"Rejected",'QA Log'!L:L,"*EPI*"),
COUNTIFS('QA Log'!D:D,A304,'QA Log'!M:M,"QQC",'QA Log'!Z:Z,"Rejected",'QA Log'!L:L,"*10. Antenatal Care (ANC)*"),
COUNTIFS('QA Log'!D:D,A304,'QA Log'!M:M,"QQC",'QA Log'!Z:Z,"Rejected",'QA Log'!L:L,"*2. Hygiene and Sterilization*"),
COUNTIFS('QA Log'!D:D,A304,'QA Log'!M:M,"QQC",'QA Log'!Z:Z,"Rejected",'QA Log'!L:L,"*Family Planning*")))</f>
        <v/>
      </c>
      <c r="S304" s="106" t="str">
        <f t="shared" si="27"/>
        <v/>
      </c>
      <c r="T304" s="102" t="str">
        <f t="shared" si="28"/>
        <v/>
      </c>
      <c r="U304" s="102" t="str">
        <f>IF(A304="","",
SUM(
COUNTIFS('QA Log'!D:D,A304,'QA Log'!M:M,"QQC",'QA Log'!L:L,"*8. Maternity*"),
COUNTIFS('QA Log'!D:D,A304,'QA Log'!M:M,"QQC",'QA Log'!L:L,"*9. EPI and Pre-school Consultation*"),
COUNTIFS('QA Log'!D:D,A304,'QA Log'!M:M,"QQC",'QA Log'!L:L,"*10. Antenatal Care (ANC)*"),
COUNTIFS('QA Log'!D:D,A304,'QA Log'!M:M,"QQC",'QA Log'!L:L,"*2. Hygiene and Sterilization*"),
COUNTIFS('QA Log'!D:D,A304,'QA Log'!M:M,"QQC",'QA Log'!L:L,"*4. Family Planning*")
))</f>
        <v/>
      </c>
      <c r="V304" s="102" t="str">
        <f>IF(A304="","",
SUM(
COUNTIFS('QA Log'!D:D,A304,'QA Log'!M:M,"QQC",'QA Log'!Z:Z,"Approved",'QA Log'!L:L,"*8. Maternity*"),
COUNTIFS('QA Log'!D:D,A304,'QA Log'!M:M,"QQC",'QA Log'!Z:Z,"Approved",'QA Log'!L:L,"*9. EPI and Pre-school Consultation*"),
COUNTIFS('QA Log'!D:D,A304,'QA Log'!M:M,"QQC",'QA Log'!Z:Z,"Approved",'QA Log'!L:L,"*10. Antenatal Care (ANC)*"),
COUNTIFS('QA Log'!D:D,A304,'QA Log'!M:M,"QQC",'QA Log'!Z:Z,"Approved",'QA Log'!L:L,"*2. Hygiene and Sterilization*"),
COUNTIFS('QA Log'!D:D,A304,'QA Log'!M:M,"QQC",'QA Log'!Z:Z,"Approved",'QA Log'!L:L,"*4. Family Planning*")
))</f>
        <v/>
      </c>
      <c r="W304" s="105" t="str">
        <f>IF(A304&lt;&gt;"",COUNTIFS('QA Log'!D:D,A304,'QA Log'!M:M,"QQC",'QA Log'!L:L,"8. Maternity",'QA Log'!Z:Z,"Approved"),"")</f>
        <v/>
      </c>
      <c r="X304" s="105" t="str">
        <f>IF(A304&lt;&gt;"",COUNTIFS('QA Log'!D:D,A304,'QA Log'!M:M,"QQC",'QA Log'!L:L,"9. EPI and Pre-school Consultation",'QA Log'!Z:Z,"Approved"),"")</f>
        <v/>
      </c>
      <c r="Y304" s="105" t="str">
        <f>IF(A304&lt;&gt;"",COUNTIFS('QA Log'!D:D,A304,'QA Log'!M:M,"QQC",'QA Log'!L:L,"10. Antenatal Care (ANC)",'QA Log'!Z:Z,"Approved"),"")</f>
        <v/>
      </c>
      <c r="Z304" s="105" t="str">
        <f>IF(A304&lt;&gt;"",COUNTIFS('QA Log'!D:D,A304,'QA Log'!M:M,"QQC",'QA Log'!L:L,"2. Hygiene and Sterilization",'QA Log'!Z:Z,"Approved"),"")</f>
        <v/>
      </c>
      <c r="AA304" s="105" t="str">
        <f>IF(A304&lt;&gt;"",COUNTIFS('QA Log'!D:D,A304,'QA Log'!M:M,"QQC",'QA Log'!L:L,"4. Family Planning",'QA Log'!Z:Z,"Approved"),"")</f>
        <v/>
      </c>
      <c r="AB304" s="102" t="str">
        <f>IF(A304="","",
SUM(
COUNTIFS('QA Log'!D:D,A304,'QA Log'!M:M,"QQC",'QA Log'!Z:Z,"Rejected",'QA Log'!L:L,"*8. Maternity*"),
COUNTIFS('QA Log'!D:D,A304,'QA Log'!M:M,"QQC",'QA Log'!Z:Z,"Rejected",'QA Log'!L:L,"*9. EPI and Pre-school Consultation*"),
COUNTIFS('QA Log'!D:D,A304,'QA Log'!M:M,"QQC",'QA Log'!Z:Z,"Rejected",'QA Log'!L:L,"*10. Antenatal Care (ANC)*"),
COUNTIFS('QA Log'!D:D,A304,'QA Log'!M:M,"QQC",'QA Log'!Z:Z,"Rejected",'QA Log'!L:L,"*2. Hygiene and Sterilization*"),
COUNTIFS('QA Log'!D:D,A304,'QA Log'!M:M,"QQC",'QA Log'!Z:Z,"Rejected",'QA Log'!L:L,"*4. Family Planning*")
))</f>
        <v/>
      </c>
      <c r="AC304" s="102" t="str">
        <f t="shared" si="29"/>
        <v/>
      </c>
      <c r="AD304" s="103" t="str">
        <f t="shared" si="30"/>
        <v/>
      </c>
      <c r="AE304" s="102" t="str">
        <f>IF(A304="","",
SUM(
COUNTIFS('QA Log'!D:D,A304,'QA Log'!M:M,"Data Verification",'QA Log'!L:L,"*Medicine (section 2)*"),
COUNTIFS('QA Log'!D:D,A304,'QA Log'!M:M,"Data Verification",'QA Log'!L:L,"*Lab Testing Availability*"),
COUNTIFS('QA Log'!D:D,A304,'QA Log'!M:M,"Data Verification",'QA Log'!L:L,"*Other than P4P (section 6)*"),
COUNTIFS('QA Log'!D:D,A304,'QA Log'!M:M,"Data Verification",'QA Log'!L:L,"*Hospital Governance*")
))</f>
        <v/>
      </c>
      <c r="AF304" s="102" t="str">
        <f>IF(A304="","",
SUM(
COUNTIFS('QA Log'!D:D,A304,'QA Log'!M:M,"Data Verification",'QA Log'!Z:Z,"Approved",'QA Log'!L:L,"*Medicine (section 2)*"),
COUNTIFS('QA Log'!D:D,A304,'QA Log'!M:M,"Data Verification",'QA Log'!Z:Z,"Approved",'QA Log'!L:L,"*Lab Testing Availability*"),
COUNTIFS('QA Log'!D:D,A304,'QA Log'!M:M,"Data Verification",'QA Log'!Z:Z,"Approved",'QA Log'!L:L,"*Other than P4P (section 6)*"),
COUNTIFS('QA Log'!D:D,A304,'QA Log'!M:M,"Data Verification",'QA Log'!Z:Z,"Approved",'QA Log'!L:L,"*Hospital Governance*")
))</f>
        <v/>
      </c>
      <c r="AG304" s="105" t="str">
        <f>IF(A304&lt;&gt;"",COUNTIFS('QA Log'!D:D,A304,'QA Log'!M:M,"Data Verification",'QA Log'!L:L,"Medicine (section 2)",'QA Log'!Z:Z,"Approved"),"")</f>
        <v/>
      </c>
      <c r="AH304" s="105" t="str">
        <f>IF(A304&lt;&gt;"",COUNTIFS('QA Log'!D:D,A304,'QA Log'!M:M,"Data Verification",'QA Log'!L:L,"Lab Testing Availability",'QA Log'!Z:Z,"Approved"),"")</f>
        <v/>
      </c>
      <c r="AI304" s="105" t="str">
        <f>IF(A304&lt;&gt;"",COUNTIFS('QA Log'!D:D,A304,'QA Log'!M:M,"Data Verification",'QA Log'!L:L,"Other than P4P (section 6)",'QA Log'!Z:Z,"Approved"),"")</f>
        <v/>
      </c>
      <c r="AJ304" s="105" t="str">
        <f>IF(A304&lt;&gt;"",COUNTIFS('QA Log'!D:D,A304,'QA Log'!M:M,"Data Verification",'QA Log'!L:L,"Hospital Governance",'QA Log'!Z:Z,"Approved"),"")</f>
        <v/>
      </c>
      <c r="AK304" s="102" t="str">
        <f>IF(A304="","",
SUM(
COUNTIFS('QA Log'!D:D,A304,'QA Log'!M:M,"Data Verification",'QA Log'!Z:Z,"Rejected",'QA Log'!L:L,"*Medicine (section 2)*"),
COUNTIFS('QA Log'!D:D,A304,'QA Log'!M:M,"Data Verification",'QA Log'!Z:Z,"Rejected",'QA Log'!L:L,"*Lab Testing Availability*"),
COUNTIFS('QA Log'!D:D,A304,'QA Log'!M:M,"Data Verification",'QA Log'!Z:Z,"Rejected",'QA Log'!L:L,"*Other than P4P (section 6)*"),
COUNTIFS('QA Log'!D:D,A304,'QA Log'!M:M,"Data Verification",'QA Log'!Z:Z,"Rejected",'QA Log'!L:L,"*Hospital Governance*")
))</f>
        <v/>
      </c>
      <c r="AL304" s="106" t="str">
        <f t="shared" si="31"/>
        <v/>
      </c>
      <c r="AM304" s="102" t="str">
        <f t="shared" si="32"/>
        <v/>
      </c>
      <c r="AN304" s="102" t="str">
        <f>IF(A304="","",
SUM(
COUNTIFS('QA Log'!D:D,A304,'QA Log'!M:M,"Data Verification",'QA Log'!L:L,"*Personnel (section 1)*"),
COUNTIFS('QA Log'!D:D,A304,'QA Log'!M:M,"Data Verification",'QA Log'!L:L,"*Consumable (section 3)*"),
COUNTIFS('QA Log'!D:D,A304,'QA Log'!M:M,"Data Verification",'QA Log'!L:L,"*Equipments (section 4)*")
))</f>
        <v/>
      </c>
      <c r="AO304" s="102" t="str">
        <f>IF(A304="","",
SUM(
COUNTIFS('QA Log'!D:D,A304,'QA Log'!M:M,"Data Verification",'QA Log'!Z:Z,"Approved",'QA Log'!L:L,"*Personnel (section 1)*"),
COUNTIFS('QA Log'!D:D,A304,'QA Log'!M:M,"Data Verification",'QA Log'!Z:Z,"Approved",'QA Log'!L:L,"*Consumable (section 3)*"),
COUNTIFS('QA Log'!D:D,A304,'QA Log'!M:M,"Data Verification",'QA Log'!Z:Z,"Approved",'QA Log'!L:L,"*Equipments (section 4)*")
))</f>
        <v/>
      </c>
      <c r="AP304" s="105" t="str">
        <f>IF(A304&lt;&gt;"",COUNTIFS('QA Log'!D:D,A304,'QA Log'!M:M,"Data Verification",'QA Log'!L:L,"Personnel (section 1)",'QA Log'!Z:Z,"Approved"),"")</f>
        <v/>
      </c>
      <c r="AQ304" s="105" t="str">
        <f>IF(A304&lt;&gt;"",COUNTIFS('QA Log'!D:D,A304,'QA Log'!M:M,"Data Verification",'QA Log'!L:L,"Consumable (section 3)",'QA Log'!Z:Z,"Approved"),"")</f>
        <v/>
      </c>
      <c r="AR304" s="105" t="str">
        <f>IF(A304&lt;&gt;"",COUNTIFS('QA Log'!D:D,A304,'QA Log'!M:M,"Data Verification",'QA Log'!L:L,"Equipments (section 4)",'QA Log'!Z:Z,"Approved"),"")</f>
        <v/>
      </c>
      <c r="AS304" s="102" t="str">
        <f>IF(A304="","",
SUM(
COUNTIFS('QA Log'!D:D,A304,'QA Log'!M:M,"Data Verification",'QA Log'!Z:Z,"Rejected",'QA Log'!L:L,"*Personnel (section 1)*"),
COUNTIFS('QA Log'!D:D,A304,'QA Log'!M:M,"Data Verification",'QA Log'!Z:Z,"Rejected",'QA Log'!L:L,"*Consumable (section 3)*"),
COUNTIFS('QA Log'!D:D,A304,'QA Log'!M:M,"Data Verification",'QA Log'!Z:Z,"Rejected",'QA Log'!L:L,"*Equipments (section 4)*")
))</f>
        <v/>
      </c>
      <c r="AT304" s="102" t="str">
        <f t="shared" si="33"/>
        <v/>
      </c>
      <c r="AU304" s="103" t="str">
        <f t="shared" si="34"/>
        <v/>
      </c>
      <c r="AV304" s="102" t="str">
        <f>IF(A304="","",SUM(
COUNTIFS('QA Log'!D:D,A304,'QA Log'!M:M,"Vignette",'QA Log'!L:L,"*Vignette [1] Respiratory Infection: Pneumonia*"),
COUNTIFS('QA Log'!D:D,A304,'QA Log'!M:M,"Vignette",'QA Log'!L:L,"*Vignette [2]: Diarrhea with Cat B dehydration*"),
COUNTIFS('QA Log'!D:D,A304,'QA Log'!M:M,"Vignette",'QA Log'!L:L,"*Vignette [3] Growth Monitoring and Promotion*"),
COUNTIFS('QA Log'!D:D,A304,'QA Log'!M:M,"Vignette",'QA Log'!L:L,"*Vignette [4]: The management of presumptive TB patient*")
)
)</f>
        <v/>
      </c>
      <c r="AW304" s="102" t="str">
        <f>IF(
  A304="","",
  SUM(
    COUNTIFS('QA Log'!D:D,A304,'QA Log'!M:M,"Vignette",'QA Log'!Z:Z,"Approved",'QA Log'!L:L,"*Vignette [1] Respiratory Infection: Pneumonia*"),
    COUNTIFS('QA Log'!D:D,A304,'QA Log'!M:M,"Vignette",'QA Log'!Z:Z,"Approved",'QA Log'!L:L,"*Vignette [2]: Diarrhea with Cat B dehydration*"),
    COUNTIFS('QA Log'!D:D,A304,'QA Log'!M:M,"Vignette",'QA Log'!Z:Z,"Approved",'QA Log'!L:L,"*Vignette [3] Growth Monitoring and Promotion*"),
    COUNTIFS('QA Log'!D:D,A304,'QA Log'!M:M,"Vignette",'QA Log'!Z:Z,"Approved",'QA Log'!L:L,"*Vignette [4]: The management of presumptive TB patient*")
  )
)</f>
        <v/>
      </c>
      <c r="AX304" s="105" t="str">
        <f>IF(A304&lt;&gt;"",COUNTIFS('QA Log'!D:D,A304,'QA Log'!M:M,"Vignette",'QA Log'!L:L,"Vignette [1] Respiratory Infection: Pneumonia",'QA Log'!Z:Z,"Approved"),"")</f>
        <v/>
      </c>
      <c r="AY304" s="105" t="str">
        <f>IF(A304&lt;&gt;"",COUNTIFS('QA Log'!D:D,A304,'QA Log'!M:M,"Vignette",'QA Log'!L:L,"Vignette [2]: Diarrhea with Cat B dehydration",'QA Log'!Z:Z,"Approved"),"")</f>
        <v/>
      </c>
      <c r="AZ304" s="105" t="str">
        <f>IF(A304&lt;&gt;"",COUNTIFS('QA Log'!D:D,A304,'QA Log'!M:M,"Vignette",'QA Log'!L:L,"Vignette [3] Growth Monitoring and Promotion",'QA Log'!Z:Z,"Approved"),"")</f>
        <v/>
      </c>
      <c r="BA304" s="105" t="str">
        <f>IF(A304&lt;&gt;"",COUNTIFS('QA Log'!D:D,A304,'QA Log'!M:M,"Vignette",'QA Log'!L:L,"Vignette [4]: The management of presumptive TB patient",'QA Log'!Z:Z,"Approved"),"")</f>
        <v/>
      </c>
      <c r="BB304" s="102" t="str">
        <f>IF(A304="","",
  SUM(
    COUNTIFS('QA Log'!D:D,A304,'QA Log'!M:M,"Vignette",'QA Log'!Z:Z,"Rejected",'QA Log'!L:L,"*Vignette [1] Respiratory Infection: Pneumonia*"),
    COUNTIFS('QA Log'!D:D,A304,'QA Log'!M:M,"Vignette",'QA Log'!Z:Z,"Rejected",'QA Log'!L:L,"*Vignette [2]: Diarrhea with Cat B dehydration*"),
    COUNTIFS('QA Log'!D:D,A304,'QA Log'!M:M,"Vignette",'QA Log'!Z:Z,"Rejected",'QA Log'!L:L,"*Vignette [3] Growth Monitoring and Promotion*"),
    COUNTIFS('QA Log'!D:D,A304,'QA Log'!M:M,"Vignette",'QA Log'!Z:Z,"Rejected",'QA Log'!L:L,"*Vignette [4]: The management of presumptive TB patient*")
  )
)</f>
        <v/>
      </c>
      <c r="BC304" s="107" t="str">
        <f t="shared" si="35"/>
        <v/>
      </c>
      <c r="BD304" s="103" t="str">
        <f t="shared" si="36"/>
        <v/>
      </c>
      <c r="BE304" s="102" t="str">
        <f>IF(A304="","",SUM(
COUNTIFS('QA Log'!D:D,A304,'QA Log'!M:M,"Vignette",'QA Log'!L:L,"*Vignette [5] Labor*"),
COUNTIFS('QA Log'!D:D,A304,'QA Log'!M:M,"Vignette",'QA Log'!L:L,"*Vignette [6] PNC pre Discharge*"),
COUNTIFS('QA Log'!D:D,A304,'QA Log'!M:M,"Vignette",'QA Log'!L:L,"*Vignette [7] First ANC Visit*"),
COUNTIFS('QA Log'!D:D,A304,'QA Log'!M:M,"Vignette",'QA Log'!L:L,"*Vignette [8] Birth Spacing/ Family Planning :  FP Counselling*"),
COUNTIFS('QA Log'!D:D,A304,'QA Log'!M:M,"Vignette",'QA Log'!L:L,"*Vignette [9] Birth Spacing: Change FP method to Injectable*"),
COUNTIFS('QA Log'!D:D,A304,'QA Log'!M:M,"Vignette",'QA Log'!L:L,"*Vignette [10] Post Partum Haemorrhage - Atonic Uterus at Health Centre*"),
)
)</f>
        <v/>
      </c>
      <c r="BF304" s="102" t="str">
        <f>IF(A304="","",
  SUM(
    COUNTIFS('QA Log'!D:D,A304,'QA Log'!M:M,"Vignette",'QA Log'!Z:Z,"Approved",'QA Log'!L:L,"*Vignette [5] Labor*"),
    COUNTIFS('QA Log'!D:D,A304,'QA Log'!M:M,"Vignette",'QA Log'!Z:Z,"Approved",'QA Log'!L:L,"*Vignette [6] PNC pre Discharge*"),
    COUNTIFS('QA Log'!D:D,A304,'QA Log'!M:M,"Vignette",'QA Log'!Z:Z,"Approved",'QA Log'!L:L,"*Vignette [7] First ANC Visit*"),
    COUNTIFS('QA Log'!D:D,A304,'QA Log'!M:M,"Vignette",'QA Log'!Z:Z,"Approved",'QA Log'!L:L,"*Vignette [8] Birth Spacing/ Family Planning :  FP Counselling*"),
    COUNTIFS('QA Log'!D:D,A304,'QA Log'!M:M,"Vignette",'QA Log'!Z:Z,"Approved",'QA Log'!L:L,"*Vignette [9] Birth Spacing: Change FP method to Injectable*"),
    COUNTIFS('QA Log'!D:D,A304,'QA Log'!M:M,"Vignette",'QA Log'!Z:Z,"Approved",'QA Log'!L:L,"*Vignette [10] Post Partum Haemorrhage - Atonic Uterus at Health Centre*")
  )
)</f>
        <v/>
      </c>
      <c r="BG304" s="105" t="str">
        <f>IF(A304&lt;&gt;"",COUNTIFS('QA Log'!D:D,A304,'QA Log'!M:M,"Vignette",'QA Log'!L:L,"Vignette [5] Labor",'QA Log'!Z:Z,"Approved"),"")</f>
        <v/>
      </c>
      <c r="BH304" s="105" t="str">
        <f>IF(A304&lt;&gt;"",COUNTIFS('QA Log'!D:D,A304,'QA Log'!M:M,"Vignette",'QA Log'!L:L,"Vignette [6] PNC pre Discharge",'QA Log'!Z:Z,"Approved"),"")</f>
        <v/>
      </c>
      <c r="BI304" s="105" t="str">
        <f>IF(A304&lt;&gt;"",COUNTIFS('QA Log'!D:D,A304,'QA Log'!M:M,"Vignette",'QA Log'!L:L,"Vignette [7] First ANC Visit",'QA Log'!Z:Z,"Approved"),"")</f>
        <v/>
      </c>
      <c r="BJ304" s="105" t="str">
        <f>IF(A304&lt;&gt;"",COUNTIFS('QA Log'!D:D,A304,'QA Log'!M:M,"Vignette",'QA Log'!L:L,"Vignette [8] Birth Spacing/ Family Planning :  FP Counselling",'QA Log'!Z:Z,"Approved"),"")</f>
        <v/>
      </c>
      <c r="BK304" s="105" t="str">
        <f>IF(A304&lt;&gt;"",COUNTIFS('QA Log'!D:D,A304,'QA Log'!M:M,"Vignette",'QA Log'!L:L,"Vignette [9] Birth Spacing: Change FP method to Injectable",'QA Log'!Z:Z,"Approved"),"")</f>
        <v/>
      </c>
      <c r="BL304" s="105" t="str">
        <f>IF(A304&lt;&gt;"",COUNTIFS('QA Log'!D:D,A304,'QA Log'!M:M,"Vignette",'QA Log'!L:L,"Vignette [10] Post Partum Haemorrhage - Atonic Uterus at Health Centre",'QA Log'!Z:Z,"Approved"),"")</f>
        <v/>
      </c>
      <c r="BM304" s="102" t="str">
        <f>IF(A304="","",SUM(
    COUNTIFS('QA Log'!D:D,A304,'QA Log'!M:M,"Vignette",'QA Log'!Z:Z,"Rejected",'QA Log'!L:L,"*Vignette [5] Labor*"),
    COUNTIFS('QA Log'!D:D,A304,'QA Log'!M:M,"Vignette",'QA Log'!Z:Z,"Rejected",'QA Log'!L:L,"*Vignette [6] PNC pre Discharge*"),
    COUNTIFS('QA Log'!D:D,A304,'QA Log'!M:M,"Vignette",'QA Log'!Z:Z,"Rejected",'QA Log'!L:L,"*Vignette [7] First ANC Visit*"),
    COUNTIFS('QA Log'!D:D,A304,'QA Log'!M:M,"Vignette",'QA Log'!Z:Z,"Rejected",'QA Log'!L:L,"*Vignette [8] Birth Spacing/ Family Planning :  FP Counselling*"),
    COUNTIFS('QA Log'!D:D,A304,'QA Log'!M:M,"Vignette",'QA Log'!Z:Z,"Rejected",'QA Log'!L:L,"*Vignette [9] Birth Spacing: Change FP method to Injectable*"),
    COUNTIFS('QA Log'!D:D,A304,'QA Log'!M:M,"Vignette",'QA Log'!Z:Z,"Rejected",'QA Log'!L:L,"*Vignette [10] Post Partum Haemorrhage - Atonic Uterus at Health Centre*")
  )
)</f>
        <v/>
      </c>
      <c r="BN304" s="107" t="str">
        <f t="shared" si="37"/>
        <v/>
      </c>
      <c r="BO304" s="103" t="str">
        <f t="shared" si="38"/>
        <v/>
      </c>
      <c r="BP304" s="102" t="str">
        <f>IF(A304="","",SUM(
COUNTIFS('QA Log'!D:D,A304,'QA Log'!M:M,"Vignette",'QA Log'!L:L,"*Exit Interview 1*"),
COUNTIFS('QA Log'!D:D,A304,'QA Log'!M:M,"Vignette",'QA Log'!L:L,"*Exit Interview 2*"),
)
)</f>
        <v/>
      </c>
      <c r="BQ304" s="102" t="str">
        <f>IF(
  A304="","",
  SUM(
    COUNTIFS('QA Log'!D:D,A304,'QA Log'!M:M,"Vignette",'QA Log'!Z:Z,"Approved",'QA Log'!L:L,"*Exit Interview 1*"),
    COUNTIFS('QA Log'!D:D,A304,'QA Log'!M:M,"Vignette",'QA Log'!Z:Z,"Approved",'QA Log'!L:L,"*Exit Interview 2*")
  )
)</f>
        <v/>
      </c>
      <c r="BR304" s="105" t="str">
        <f>IF(A304&lt;&gt;"",COUNTIFS('QA Log'!D:D,A304,'QA Log'!M:M,"Vignette",'QA Log'!L:L,"Exit Interview 1",'QA Log'!Z:Z,"Approved"),"")</f>
        <v/>
      </c>
      <c r="BS304" s="105" t="str">
        <f>IF(A304&lt;&gt;"",COUNTIFS('QA Log'!D:D,A304,'QA Log'!M:M,"Vignette",'QA Log'!L:L,"Exit Interview 2",'QA Log'!Z:Z,"Approved"),"")</f>
        <v/>
      </c>
      <c r="BT304" s="102" t="str">
        <f>IF(
  A304="","",
  SUM(
    COUNTIFS('QA Log'!D:D,A304,'QA Log'!M:M,"Vignette",'QA Log'!Z:Z,"Rejected",'QA Log'!L:L,"*Exit Interview 1*"),
    COUNTIFS('QA Log'!D:D,A304,'QA Log'!M:M,"Vignette",'QA Log'!Z:Z,"Rejected",'QA Log'!L:L,"*Exit Interview 2*")
  )
)</f>
        <v/>
      </c>
      <c r="BU304" s="107" t="str">
        <f t="shared" si="39"/>
        <v/>
      </c>
      <c r="BV304" s="102" t="str">
        <f t="shared" si="40"/>
        <v/>
      </c>
      <c r="BW304" s="102" t="str">
        <f t="shared" si="41"/>
        <v/>
      </c>
      <c r="BX304" s="102" t="str">
        <f t="shared" si="42"/>
        <v/>
      </c>
      <c r="BY304" s="102" t="str">
        <f t="shared" si="43"/>
        <v/>
      </c>
      <c r="BZ304" s="107" t="str">
        <f t="shared" si="44"/>
        <v/>
      </c>
      <c r="CA304" s="108" t="str">
        <f t="shared" si="45"/>
        <v/>
      </c>
      <c r="CB304" s="108" t="str">
        <f t="shared" si="46"/>
        <v/>
      </c>
      <c r="CC304" s="109" t="str">
        <f t="shared" si="47"/>
        <v/>
      </c>
      <c r="CD304" s="108" t="str">
        <f t="shared" si="48"/>
        <v/>
      </c>
      <c r="CE304" s="108" t="str">
        <f t="shared" si="49"/>
        <v/>
      </c>
      <c r="CF304" s="109" t="str">
        <f t="shared" si="50"/>
        <v/>
      </c>
      <c r="CG304" s="110" t="str">
        <f t="shared" si="51"/>
        <v/>
      </c>
      <c r="CH304" s="111"/>
    </row>
    <row r="305" spans="1:86" ht="12.75">
      <c r="A305" s="101"/>
      <c r="B305" s="102" t="e">
        <f t="array" aca="1" ref="B305" ca="1">_xludf.XLOOKUP(A305,'QA Log'!D:D,'QA Log'!E:E,"")</f>
        <v>#NAME?</v>
      </c>
      <c r="C305" s="102" t="e">
        <f t="array" aca="1" ref="C305" ca="1">_xludf.XLOOKUP(A305,'QA Log'!D:D,'QA Log'!F:F,"")</f>
        <v>#NAME?</v>
      </c>
      <c r="D305" s="102" t="e">
        <f t="array" aca="1" ref="D305" ca="1">_xludf.XLOOKUP(A305,'QA Log'!D:D,'QA Log'!H:H,"")</f>
        <v>#NAME?</v>
      </c>
      <c r="E305" s="102" t="e">
        <f t="array" aca="1" ref="E305" ca="1">_xludf.XLOOKUP(A305,'QA Log'!D:D,'QA Log'!G:G,"")</f>
        <v>#NAME?</v>
      </c>
      <c r="F305" s="103"/>
      <c r="G305" s="104"/>
      <c r="H305" s="104"/>
      <c r="I305" s="103" t="str">
        <f t="shared" si="26"/>
        <v/>
      </c>
      <c r="J305" s="102" t="str">
        <f>IF(A305="","",SUM(
COUNTIFS('QA Log'!D:D,A305,'QA Log'!M:M,"QQC",'QA Log'!L:L,"*1. General Management*"),
COUNTIFS('QA Log'!D:D,A305,'QA Log'!M:M,"QQC",'QA Log'!L:L,"*3. Curative Consultation (OPD)*"),
COUNTIFS('QA Log'!D:D,A305,'QA Log'!M:M,"QQC",'QA Log'!L:L,"*5. Laboratory*"),
COUNTIFS('QA Log'!D:D,A305,'QA Log'!M:M,"QQC",'QA Log'!L:L,"*6. Essential Medicine Management*"),
COUNTIFS('QA Log'!D:D,A305,'QA Log'!M:M,"QQC",'QA Log'!L:L,"*7. Tracer Medicine*"),
COUNTIFS('QA Log'!D:D,A305,'QA Log'!M:M,"QQC",'QA Log'!L:L,"*11. Additional Questions*")))</f>
        <v/>
      </c>
      <c r="K305" s="102" t="str">
        <f>IF(A305="","",SUM(
COUNTIFS('QA Log'!D:D,A305,'QA Log'!M:M,"QQC",'QA Log'!Z:Z,"Approved",'QA Log'!L:L,"*1. General Management*"),
COUNTIFS('QA Log'!D:D,A305,'QA Log'!M:M,"QQC",'QA Log'!Z:Z,"Approved",'QA Log'!L:L,"*3. Curative Consultation (OPD)*"),
COUNTIFS('QA Log'!D:D,A305,'QA Log'!M:M,"QQC",'QA Log'!Z:Z,"Approved",'QA Log'!L:L,"*5. Laboratory*"),
COUNTIFS('QA Log'!D:D,A305,'QA Log'!M:M,"QQC",'QA Log'!Z:Z,"Approved",'QA Log'!L:L,"*6. Essential Medicine Management*"),
COUNTIFS('QA Log'!D:D,A305,'QA Log'!M:M,"QQC",'QA Log'!Z:Z,"Approved",'QA Log'!L:L,"*7. Tracer Medicine*"),
COUNTIFS('QA Log'!D:D,A305,'QA Log'!M:M,"QQC",'QA Log'!Z:Z,"Approved",'QA Log'!L:L,"*11. Additional Questions*")))</f>
        <v/>
      </c>
      <c r="L305" s="105" t="str">
        <f>IF(A305&lt;&gt;"",COUNTIFS('QA Log'!D:D,A305,'QA Log'!M:M,"QQC",'QA Log'!L:L,"1. General Management",'QA Log'!Z:Z,"Approved"),"")</f>
        <v/>
      </c>
      <c r="M305" s="105" t="str">
        <f>IF(A305&lt;&gt;"",COUNTIFS('QA Log'!D:D,A305,'QA Log'!M:M,"QQC",'QA Log'!L:L,"3. Curative Consultation (OPD)",'QA Log'!Z:Z,"Approved"),"")</f>
        <v/>
      </c>
      <c r="N305" s="105" t="str">
        <f>IF(A305&lt;&gt;"",COUNTIFS('QA Log'!D:D,A305,'QA Log'!M:M,"QQC",'QA Log'!L:L,"5. Laboratory",'QA Log'!Z:Z,"Approved"),"")</f>
        <v/>
      </c>
      <c r="O305" s="105" t="str">
        <f>IF(A305&lt;&gt;"",COUNTIFS('QA Log'!D:D,A305,'QA Log'!M:M,"QQC",'QA Log'!L:L,"6. Essential Medicine Management",'QA Log'!Z:Z,"Approved"),"")</f>
        <v/>
      </c>
      <c r="P305" s="105" t="str">
        <f>IF(A305&lt;&gt;"",COUNTIFS('QA Log'!D:D,A305,'QA Log'!M:M,"QQC",'QA Log'!L:L,"7. Tracer Medicine",'QA Log'!Z:Z,"Approved"),"")</f>
        <v/>
      </c>
      <c r="Q305" s="105" t="str">
        <f>IF(A305&lt;&gt;"",COUNTIFS('QA Log'!D:D,A305,'QA Log'!M:M,"QQC",'QA Log'!L:L,"11. Additional Questions",'QA Log'!Z:Z,"Approved"),"")</f>
        <v/>
      </c>
      <c r="R305" s="102" t="str">
        <f>IF(A305="","",SUM(
COUNTIFS('QA Log'!D:D,A305,'QA Log'!M:M,"QQC",'QA Log'!Z:Z,"Rejected",'QA Log'!L:L,"*8. Maternity*"),
COUNTIFS('QA Log'!D:D,A305,'QA Log'!M:M,"QQC",'QA Log'!Z:Z,"Rejected",'QA Log'!L:L,"*EPI*"),
COUNTIFS('QA Log'!D:D,A305,'QA Log'!M:M,"QQC",'QA Log'!Z:Z,"Rejected",'QA Log'!L:L,"*10. Antenatal Care (ANC)*"),
COUNTIFS('QA Log'!D:D,A305,'QA Log'!M:M,"QQC",'QA Log'!Z:Z,"Rejected",'QA Log'!L:L,"*2. Hygiene and Sterilization*"),
COUNTIFS('QA Log'!D:D,A305,'QA Log'!M:M,"QQC",'QA Log'!Z:Z,"Rejected",'QA Log'!L:L,"*Family Planning*")))</f>
        <v/>
      </c>
      <c r="S305" s="106" t="str">
        <f t="shared" si="27"/>
        <v/>
      </c>
      <c r="T305" s="102" t="str">
        <f t="shared" si="28"/>
        <v/>
      </c>
      <c r="U305" s="102" t="str">
        <f>IF(A305="","",
SUM(
COUNTIFS('QA Log'!D:D,A305,'QA Log'!M:M,"QQC",'QA Log'!L:L,"*8. Maternity*"),
COUNTIFS('QA Log'!D:D,A305,'QA Log'!M:M,"QQC",'QA Log'!L:L,"*9. EPI and Pre-school Consultation*"),
COUNTIFS('QA Log'!D:D,A305,'QA Log'!M:M,"QQC",'QA Log'!L:L,"*10. Antenatal Care (ANC)*"),
COUNTIFS('QA Log'!D:D,A305,'QA Log'!M:M,"QQC",'QA Log'!L:L,"*2. Hygiene and Sterilization*"),
COUNTIFS('QA Log'!D:D,A305,'QA Log'!M:M,"QQC",'QA Log'!L:L,"*4. Family Planning*")
))</f>
        <v/>
      </c>
      <c r="V305" s="102" t="str">
        <f>IF(A305="","",
SUM(
COUNTIFS('QA Log'!D:D,A305,'QA Log'!M:M,"QQC",'QA Log'!Z:Z,"Approved",'QA Log'!L:L,"*8. Maternity*"),
COUNTIFS('QA Log'!D:D,A305,'QA Log'!M:M,"QQC",'QA Log'!Z:Z,"Approved",'QA Log'!L:L,"*9. EPI and Pre-school Consultation*"),
COUNTIFS('QA Log'!D:D,A305,'QA Log'!M:M,"QQC",'QA Log'!Z:Z,"Approved",'QA Log'!L:L,"*10. Antenatal Care (ANC)*"),
COUNTIFS('QA Log'!D:D,A305,'QA Log'!M:M,"QQC",'QA Log'!Z:Z,"Approved",'QA Log'!L:L,"*2. Hygiene and Sterilization*"),
COUNTIFS('QA Log'!D:D,A305,'QA Log'!M:M,"QQC",'QA Log'!Z:Z,"Approved",'QA Log'!L:L,"*4. Family Planning*")
))</f>
        <v/>
      </c>
      <c r="W305" s="105" t="str">
        <f>IF(A305&lt;&gt;"",COUNTIFS('QA Log'!D:D,A305,'QA Log'!M:M,"QQC",'QA Log'!L:L,"8. Maternity",'QA Log'!Z:Z,"Approved"),"")</f>
        <v/>
      </c>
      <c r="X305" s="105" t="str">
        <f>IF(A305&lt;&gt;"",COUNTIFS('QA Log'!D:D,A305,'QA Log'!M:M,"QQC",'QA Log'!L:L,"9. EPI and Pre-school Consultation",'QA Log'!Z:Z,"Approved"),"")</f>
        <v/>
      </c>
      <c r="Y305" s="105" t="str">
        <f>IF(A305&lt;&gt;"",COUNTIFS('QA Log'!D:D,A305,'QA Log'!M:M,"QQC",'QA Log'!L:L,"10. Antenatal Care (ANC)",'QA Log'!Z:Z,"Approved"),"")</f>
        <v/>
      </c>
      <c r="Z305" s="105" t="str">
        <f>IF(A305&lt;&gt;"",COUNTIFS('QA Log'!D:D,A305,'QA Log'!M:M,"QQC",'QA Log'!L:L,"2. Hygiene and Sterilization",'QA Log'!Z:Z,"Approved"),"")</f>
        <v/>
      </c>
      <c r="AA305" s="105" t="str">
        <f>IF(A305&lt;&gt;"",COUNTIFS('QA Log'!D:D,A305,'QA Log'!M:M,"QQC",'QA Log'!L:L,"4. Family Planning",'QA Log'!Z:Z,"Approved"),"")</f>
        <v/>
      </c>
      <c r="AB305" s="102" t="str">
        <f>IF(A305="","",
SUM(
COUNTIFS('QA Log'!D:D,A305,'QA Log'!M:M,"QQC",'QA Log'!Z:Z,"Rejected",'QA Log'!L:L,"*8. Maternity*"),
COUNTIFS('QA Log'!D:D,A305,'QA Log'!M:M,"QQC",'QA Log'!Z:Z,"Rejected",'QA Log'!L:L,"*9. EPI and Pre-school Consultation*"),
COUNTIFS('QA Log'!D:D,A305,'QA Log'!M:M,"QQC",'QA Log'!Z:Z,"Rejected",'QA Log'!L:L,"*10. Antenatal Care (ANC)*"),
COUNTIFS('QA Log'!D:D,A305,'QA Log'!M:M,"QQC",'QA Log'!Z:Z,"Rejected",'QA Log'!L:L,"*2. Hygiene and Sterilization*"),
COUNTIFS('QA Log'!D:D,A305,'QA Log'!M:M,"QQC",'QA Log'!Z:Z,"Rejected",'QA Log'!L:L,"*4. Family Planning*")
))</f>
        <v/>
      </c>
      <c r="AC305" s="102" t="str">
        <f t="shared" si="29"/>
        <v/>
      </c>
      <c r="AD305" s="103" t="str">
        <f t="shared" si="30"/>
        <v/>
      </c>
      <c r="AE305" s="102" t="str">
        <f>IF(A305="","",
SUM(
COUNTIFS('QA Log'!D:D,A305,'QA Log'!M:M,"Data Verification",'QA Log'!L:L,"*Medicine (section 2)*"),
COUNTIFS('QA Log'!D:D,A305,'QA Log'!M:M,"Data Verification",'QA Log'!L:L,"*Lab Testing Availability*"),
COUNTIFS('QA Log'!D:D,A305,'QA Log'!M:M,"Data Verification",'QA Log'!L:L,"*Other than P4P (section 6)*"),
COUNTIFS('QA Log'!D:D,A305,'QA Log'!M:M,"Data Verification",'QA Log'!L:L,"*Hospital Governance*")
))</f>
        <v/>
      </c>
      <c r="AF305" s="102" t="str">
        <f>IF(A305="","",
SUM(
COUNTIFS('QA Log'!D:D,A305,'QA Log'!M:M,"Data Verification",'QA Log'!Z:Z,"Approved",'QA Log'!L:L,"*Medicine (section 2)*"),
COUNTIFS('QA Log'!D:D,A305,'QA Log'!M:M,"Data Verification",'QA Log'!Z:Z,"Approved",'QA Log'!L:L,"*Lab Testing Availability*"),
COUNTIFS('QA Log'!D:D,A305,'QA Log'!M:M,"Data Verification",'QA Log'!Z:Z,"Approved",'QA Log'!L:L,"*Other than P4P (section 6)*"),
COUNTIFS('QA Log'!D:D,A305,'QA Log'!M:M,"Data Verification",'QA Log'!Z:Z,"Approved",'QA Log'!L:L,"*Hospital Governance*")
))</f>
        <v/>
      </c>
      <c r="AG305" s="105" t="str">
        <f>IF(A305&lt;&gt;"",COUNTIFS('QA Log'!D:D,A305,'QA Log'!M:M,"Data Verification",'QA Log'!L:L,"Medicine (section 2)",'QA Log'!Z:Z,"Approved"),"")</f>
        <v/>
      </c>
      <c r="AH305" s="105" t="str">
        <f>IF(A305&lt;&gt;"",COUNTIFS('QA Log'!D:D,A305,'QA Log'!M:M,"Data Verification",'QA Log'!L:L,"Lab Testing Availability",'QA Log'!Z:Z,"Approved"),"")</f>
        <v/>
      </c>
      <c r="AI305" s="105" t="str">
        <f>IF(A305&lt;&gt;"",COUNTIFS('QA Log'!D:D,A305,'QA Log'!M:M,"Data Verification",'QA Log'!L:L,"Other than P4P (section 6)",'QA Log'!Z:Z,"Approved"),"")</f>
        <v/>
      </c>
      <c r="AJ305" s="105" t="str">
        <f>IF(A305&lt;&gt;"",COUNTIFS('QA Log'!D:D,A305,'QA Log'!M:M,"Data Verification",'QA Log'!L:L,"Hospital Governance",'QA Log'!Z:Z,"Approved"),"")</f>
        <v/>
      </c>
      <c r="AK305" s="102" t="str">
        <f>IF(A305="","",
SUM(
COUNTIFS('QA Log'!D:D,A305,'QA Log'!M:M,"Data Verification",'QA Log'!Z:Z,"Rejected",'QA Log'!L:L,"*Medicine (section 2)*"),
COUNTIFS('QA Log'!D:D,A305,'QA Log'!M:M,"Data Verification",'QA Log'!Z:Z,"Rejected",'QA Log'!L:L,"*Lab Testing Availability*"),
COUNTIFS('QA Log'!D:D,A305,'QA Log'!M:M,"Data Verification",'QA Log'!Z:Z,"Rejected",'QA Log'!L:L,"*Other than P4P (section 6)*"),
COUNTIFS('QA Log'!D:D,A305,'QA Log'!M:M,"Data Verification",'QA Log'!Z:Z,"Rejected",'QA Log'!L:L,"*Hospital Governance*")
))</f>
        <v/>
      </c>
      <c r="AL305" s="106" t="str">
        <f t="shared" si="31"/>
        <v/>
      </c>
      <c r="AM305" s="102" t="str">
        <f t="shared" si="32"/>
        <v/>
      </c>
      <c r="AN305" s="102" t="str">
        <f>IF(A305="","",
SUM(
COUNTIFS('QA Log'!D:D,A305,'QA Log'!M:M,"Data Verification",'QA Log'!L:L,"*Personnel (section 1)*"),
COUNTIFS('QA Log'!D:D,A305,'QA Log'!M:M,"Data Verification",'QA Log'!L:L,"*Consumable (section 3)*"),
COUNTIFS('QA Log'!D:D,A305,'QA Log'!M:M,"Data Verification",'QA Log'!L:L,"*Equipments (section 4)*")
))</f>
        <v/>
      </c>
      <c r="AO305" s="102" t="str">
        <f>IF(A305="","",
SUM(
COUNTIFS('QA Log'!D:D,A305,'QA Log'!M:M,"Data Verification",'QA Log'!Z:Z,"Approved",'QA Log'!L:L,"*Personnel (section 1)*"),
COUNTIFS('QA Log'!D:D,A305,'QA Log'!M:M,"Data Verification",'QA Log'!Z:Z,"Approved",'QA Log'!L:L,"*Consumable (section 3)*"),
COUNTIFS('QA Log'!D:D,A305,'QA Log'!M:M,"Data Verification",'QA Log'!Z:Z,"Approved",'QA Log'!L:L,"*Equipments (section 4)*")
))</f>
        <v/>
      </c>
      <c r="AP305" s="105" t="str">
        <f>IF(A305&lt;&gt;"",COUNTIFS('QA Log'!D:D,A305,'QA Log'!M:M,"Data Verification",'QA Log'!L:L,"Personnel (section 1)",'QA Log'!Z:Z,"Approved"),"")</f>
        <v/>
      </c>
      <c r="AQ305" s="105" t="str">
        <f>IF(A305&lt;&gt;"",COUNTIFS('QA Log'!D:D,A305,'QA Log'!M:M,"Data Verification",'QA Log'!L:L,"Consumable (section 3)",'QA Log'!Z:Z,"Approved"),"")</f>
        <v/>
      </c>
      <c r="AR305" s="105" t="str">
        <f>IF(A305&lt;&gt;"",COUNTIFS('QA Log'!D:D,A305,'QA Log'!M:M,"Data Verification",'QA Log'!L:L,"Equipments (section 4)",'QA Log'!Z:Z,"Approved"),"")</f>
        <v/>
      </c>
      <c r="AS305" s="102" t="str">
        <f>IF(A305="","",
SUM(
COUNTIFS('QA Log'!D:D,A305,'QA Log'!M:M,"Data Verification",'QA Log'!Z:Z,"Rejected",'QA Log'!L:L,"*Personnel (section 1)*"),
COUNTIFS('QA Log'!D:D,A305,'QA Log'!M:M,"Data Verification",'QA Log'!Z:Z,"Rejected",'QA Log'!L:L,"*Consumable (section 3)*"),
COUNTIFS('QA Log'!D:D,A305,'QA Log'!M:M,"Data Verification",'QA Log'!Z:Z,"Rejected",'QA Log'!L:L,"*Equipments (section 4)*")
))</f>
        <v/>
      </c>
      <c r="AT305" s="102" t="str">
        <f t="shared" si="33"/>
        <v/>
      </c>
      <c r="AU305" s="103" t="str">
        <f t="shared" si="34"/>
        <v/>
      </c>
      <c r="AV305" s="102" t="str">
        <f>IF(A305="","",SUM(
COUNTIFS('QA Log'!D:D,A305,'QA Log'!M:M,"Vignette",'QA Log'!L:L,"*Vignette [1] Respiratory Infection: Pneumonia*"),
COUNTIFS('QA Log'!D:D,A305,'QA Log'!M:M,"Vignette",'QA Log'!L:L,"*Vignette [2]: Diarrhea with Cat B dehydration*"),
COUNTIFS('QA Log'!D:D,A305,'QA Log'!M:M,"Vignette",'QA Log'!L:L,"*Vignette [3] Growth Monitoring and Promotion*"),
COUNTIFS('QA Log'!D:D,A305,'QA Log'!M:M,"Vignette",'QA Log'!L:L,"*Vignette [4]: The management of presumptive TB patient*")
)
)</f>
        <v/>
      </c>
      <c r="AW305" s="102" t="str">
        <f>IF(
  A305="","",
  SUM(
    COUNTIFS('QA Log'!D:D,A305,'QA Log'!M:M,"Vignette",'QA Log'!Z:Z,"Approved",'QA Log'!L:L,"*Vignette [1] Respiratory Infection: Pneumonia*"),
    COUNTIFS('QA Log'!D:D,A305,'QA Log'!M:M,"Vignette",'QA Log'!Z:Z,"Approved",'QA Log'!L:L,"*Vignette [2]: Diarrhea with Cat B dehydration*"),
    COUNTIFS('QA Log'!D:D,A305,'QA Log'!M:M,"Vignette",'QA Log'!Z:Z,"Approved",'QA Log'!L:L,"*Vignette [3] Growth Monitoring and Promotion*"),
    COUNTIFS('QA Log'!D:D,A305,'QA Log'!M:M,"Vignette",'QA Log'!Z:Z,"Approved",'QA Log'!L:L,"*Vignette [4]: The management of presumptive TB patient*")
  )
)</f>
        <v/>
      </c>
      <c r="AX305" s="105" t="str">
        <f>IF(A305&lt;&gt;"",COUNTIFS('QA Log'!D:D,A305,'QA Log'!M:M,"Vignette",'QA Log'!L:L,"Vignette [1] Respiratory Infection: Pneumonia",'QA Log'!Z:Z,"Approved"),"")</f>
        <v/>
      </c>
      <c r="AY305" s="105" t="str">
        <f>IF(A305&lt;&gt;"",COUNTIFS('QA Log'!D:D,A305,'QA Log'!M:M,"Vignette",'QA Log'!L:L,"Vignette [2]: Diarrhea with Cat B dehydration",'QA Log'!Z:Z,"Approved"),"")</f>
        <v/>
      </c>
      <c r="AZ305" s="105" t="str">
        <f>IF(A305&lt;&gt;"",COUNTIFS('QA Log'!D:D,A305,'QA Log'!M:M,"Vignette",'QA Log'!L:L,"Vignette [3] Growth Monitoring and Promotion",'QA Log'!Z:Z,"Approved"),"")</f>
        <v/>
      </c>
      <c r="BA305" s="105" t="str">
        <f>IF(A305&lt;&gt;"",COUNTIFS('QA Log'!D:D,A305,'QA Log'!M:M,"Vignette",'QA Log'!L:L,"Vignette [4]: The management of presumptive TB patient",'QA Log'!Z:Z,"Approved"),"")</f>
        <v/>
      </c>
      <c r="BB305" s="102" t="str">
        <f>IF(A305="","",
  SUM(
    COUNTIFS('QA Log'!D:D,A305,'QA Log'!M:M,"Vignette",'QA Log'!Z:Z,"Rejected",'QA Log'!L:L,"*Vignette [1] Respiratory Infection: Pneumonia*"),
    COUNTIFS('QA Log'!D:D,A305,'QA Log'!M:M,"Vignette",'QA Log'!Z:Z,"Rejected",'QA Log'!L:L,"*Vignette [2]: Diarrhea with Cat B dehydration*"),
    COUNTIFS('QA Log'!D:D,A305,'QA Log'!M:M,"Vignette",'QA Log'!Z:Z,"Rejected",'QA Log'!L:L,"*Vignette [3] Growth Monitoring and Promotion*"),
    COUNTIFS('QA Log'!D:D,A305,'QA Log'!M:M,"Vignette",'QA Log'!Z:Z,"Rejected",'QA Log'!L:L,"*Vignette [4]: The management of presumptive TB patient*")
  )
)</f>
        <v/>
      </c>
      <c r="BC305" s="107" t="str">
        <f t="shared" si="35"/>
        <v/>
      </c>
      <c r="BD305" s="103" t="str">
        <f t="shared" si="36"/>
        <v/>
      </c>
      <c r="BE305" s="102" t="str">
        <f>IF(A305="","",SUM(
COUNTIFS('QA Log'!D:D,A305,'QA Log'!M:M,"Vignette",'QA Log'!L:L,"*Vignette [5] Labor*"),
COUNTIFS('QA Log'!D:D,A305,'QA Log'!M:M,"Vignette",'QA Log'!L:L,"*Vignette [6] PNC pre Discharge*"),
COUNTIFS('QA Log'!D:D,A305,'QA Log'!M:M,"Vignette",'QA Log'!L:L,"*Vignette [7] First ANC Visit*"),
COUNTIFS('QA Log'!D:D,A305,'QA Log'!M:M,"Vignette",'QA Log'!L:L,"*Vignette [8] Birth Spacing/ Family Planning :  FP Counselling*"),
COUNTIFS('QA Log'!D:D,A305,'QA Log'!M:M,"Vignette",'QA Log'!L:L,"*Vignette [9] Birth Spacing: Change FP method to Injectable*"),
COUNTIFS('QA Log'!D:D,A305,'QA Log'!M:M,"Vignette",'QA Log'!L:L,"*Vignette [10] Post Partum Haemorrhage - Atonic Uterus at Health Centre*"),
)
)</f>
        <v/>
      </c>
      <c r="BF305" s="102" t="str">
        <f>IF(A305="","",
  SUM(
    COUNTIFS('QA Log'!D:D,A305,'QA Log'!M:M,"Vignette",'QA Log'!Z:Z,"Approved",'QA Log'!L:L,"*Vignette [5] Labor*"),
    COUNTIFS('QA Log'!D:D,A305,'QA Log'!M:M,"Vignette",'QA Log'!Z:Z,"Approved",'QA Log'!L:L,"*Vignette [6] PNC pre Discharge*"),
    COUNTIFS('QA Log'!D:D,A305,'QA Log'!M:M,"Vignette",'QA Log'!Z:Z,"Approved",'QA Log'!L:L,"*Vignette [7] First ANC Visit*"),
    COUNTIFS('QA Log'!D:D,A305,'QA Log'!M:M,"Vignette",'QA Log'!Z:Z,"Approved",'QA Log'!L:L,"*Vignette [8] Birth Spacing/ Family Planning :  FP Counselling*"),
    COUNTIFS('QA Log'!D:D,A305,'QA Log'!M:M,"Vignette",'QA Log'!Z:Z,"Approved",'QA Log'!L:L,"*Vignette [9] Birth Spacing: Change FP method to Injectable*"),
    COUNTIFS('QA Log'!D:D,A305,'QA Log'!M:M,"Vignette",'QA Log'!Z:Z,"Approved",'QA Log'!L:L,"*Vignette [10] Post Partum Haemorrhage - Atonic Uterus at Health Centre*")
  )
)</f>
        <v/>
      </c>
      <c r="BG305" s="105" t="str">
        <f>IF(A305&lt;&gt;"",COUNTIFS('QA Log'!D:D,A305,'QA Log'!M:M,"Vignette",'QA Log'!L:L,"Vignette [5] Labor",'QA Log'!Z:Z,"Approved"),"")</f>
        <v/>
      </c>
      <c r="BH305" s="105" t="str">
        <f>IF(A305&lt;&gt;"",COUNTIFS('QA Log'!D:D,A305,'QA Log'!M:M,"Vignette",'QA Log'!L:L,"Vignette [6] PNC pre Discharge",'QA Log'!Z:Z,"Approved"),"")</f>
        <v/>
      </c>
      <c r="BI305" s="105" t="str">
        <f>IF(A305&lt;&gt;"",COUNTIFS('QA Log'!D:D,A305,'QA Log'!M:M,"Vignette",'QA Log'!L:L,"Vignette [7] First ANC Visit",'QA Log'!Z:Z,"Approved"),"")</f>
        <v/>
      </c>
      <c r="BJ305" s="105" t="str">
        <f>IF(A305&lt;&gt;"",COUNTIFS('QA Log'!D:D,A305,'QA Log'!M:M,"Vignette",'QA Log'!L:L,"Vignette [8] Birth Spacing/ Family Planning :  FP Counselling",'QA Log'!Z:Z,"Approved"),"")</f>
        <v/>
      </c>
      <c r="BK305" s="105" t="str">
        <f>IF(A305&lt;&gt;"",COUNTIFS('QA Log'!D:D,A305,'QA Log'!M:M,"Vignette",'QA Log'!L:L,"Vignette [9] Birth Spacing: Change FP method to Injectable",'QA Log'!Z:Z,"Approved"),"")</f>
        <v/>
      </c>
      <c r="BL305" s="105" t="str">
        <f>IF(A305&lt;&gt;"",COUNTIFS('QA Log'!D:D,A305,'QA Log'!M:M,"Vignette",'QA Log'!L:L,"Vignette [10] Post Partum Haemorrhage - Atonic Uterus at Health Centre",'QA Log'!Z:Z,"Approved"),"")</f>
        <v/>
      </c>
      <c r="BM305" s="102" t="str">
        <f>IF(A305="","",SUM(
    COUNTIFS('QA Log'!D:D,A305,'QA Log'!M:M,"Vignette",'QA Log'!Z:Z,"Rejected",'QA Log'!L:L,"*Vignette [5] Labor*"),
    COUNTIFS('QA Log'!D:D,A305,'QA Log'!M:M,"Vignette",'QA Log'!Z:Z,"Rejected",'QA Log'!L:L,"*Vignette [6] PNC pre Discharge*"),
    COUNTIFS('QA Log'!D:D,A305,'QA Log'!M:M,"Vignette",'QA Log'!Z:Z,"Rejected",'QA Log'!L:L,"*Vignette [7] First ANC Visit*"),
    COUNTIFS('QA Log'!D:D,A305,'QA Log'!M:M,"Vignette",'QA Log'!Z:Z,"Rejected",'QA Log'!L:L,"*Vignette [8] Birth Spacing/ Family Planning :  FP Counselling*"),
    COUNTIFS('QA Log'!D:D,A305,'QA Log'!M:M,"Vignette",'QA Log'!Z:Z,"Rejected",'QA Log'!L:L,"*Vignette [9] Birth Spacing: Change FP method to Injectable*"),
    COUNTIFS('QA Log'!D:D,A305,'QA Log'!M:M,"Vignette",'QA Log'!Z:Z,"Rejected",'QA Log'!L:L,"*Vignette [10] Post Partum Haemorrhage - Atonic Uterus at Health Centre*")
  )
)</f>
        <v/>
      </c>
      <c r="BN305" s="107" t="str">
        <f t="shared" si="37"/>
        <v/>
      </c>
      <c r="BO305" s="103" t="str">
        <f t="shared" si="38"/>
        <v/>
      </c>
      <c r="BP305" s="102" t="str">
        <f>IF(A305="","",SUM(
COUNTIFS('QA Log'!D:D,A305,'QA Log'!M:M,"Vignette",'QA Log'!L:L,"*Exit Interview 1*"),
COUNTIFS('QA Log'!D:D,A305,'QA Log'!M:M,"Vignette",'QA Log'!L:L,"*Exit Interview 2*"),
)
)</f>
        <v/>
      </c>
      <c r="BQ305" s="102" t="str">
        <f>IF(
  A305="","",
  SUM(
    COUNTIFS('QA Log'!D:D,A305,'QA Log'!M:M,"Vignette",'QA Log'!Z:Z,"Approved",'QA Log'!L:L,"*Exit Interview 1*"),
    COUNTIFS('QA Log'!D:D,A305,'QA Log'!M:M,"Vignette",'QA Log'!Z:Z,"Approved",'QA Log'!L:L,"*Exit Interview 2*")
  )
)</f>
        <v/>
      </c>
      <c r="BR305" s="105" t="str">
        <f>IF(A305&lt;&gt;"",COUNTIFS('QA Log'!D:D,A305,'QA Log'!M:M,"Vignette",'QA Log'!L:L,"Exit Interview 1",'QA Log'!Z:Z,"Approved"),"")</f>
        <v/>
      </c>
      <c r="BS305" s="105" t="str">
        <f>IF(A305&lt;&gt;"",COUNTIFS('QA Log'!D:D,A305,'QA Log'!M:M,"Vignette",'QA Log'!L:L,"Exit Interview 2",'QA Log'!Z:Z,"Approved"),"")</f>
        <v/>
      </c>
      <c r="BT305" s="102" t="str">
        <f>IF(
  A305="","",
  SUM(
    COUNTIFS('QA Log'!D:D,A305,'QA Log'!M:M,"Vignette",'QA Log'!Z:Z,"Rejected",'QA Log'!L:L,"*Exit Interview 1*"),
    COUNTIFS('QA Log'!D:D,A305,'QA Log'!M:M,"Vignette",'QA Log'!Z:Z,"Rejected",'QA Log'!L:L,"*Exit Interview 2*")
  )
)</f>
        <v/>
      </c>
      <c r="BU305" s="107" t="str">
        <f t="shared" si="39"/>
        <v/>
      </c>
      <c r="BV305" s="102" t="str">
        <f t="shared" si="40"/>
        <v/>
      </c>
      <c r="BW305" s="102" t="str">
        <f t="shared" si="41"/>
        <v/>
      </c>
      <c r="BX305" s="102" t="str">
        <f t="shared" si="42"/>
        <v/>
      </c>
      <c r="BY305" s="102" t="str">
        <f t="shared" si="43"/>
        <v/>
      </c>
      <c r="BZ305" s="107" t="str">
        <f t="shared" si="44"/>
        <v/>
      </c>
      <c r="CA305" s="108" t="str">
        <f t="shared" si="45"/>
        <v/>
      </c>
      <c r="CB305" s="108" t="str">
        <f t="shared" si="46"/>
        <v/>
      </c>
      <c r="CC305" s="109" t="str">
        <f t="shared" si="47"/>
        <v/>
      </c>
      <c r="CD305" s="108" t="str">
        <f t="shared" si="48"/>
        <v/>
      </c>
      <c r="CE305" s="108" t="str">
        <f t="shared" si="49"/>
        <v/>
      </c>
      <c r="CF305" s="109" t="str">
        <f t="shared" si="50"/>
        <v/>
      </c>
      <c r="CG305" s="110" t="str">
        <f t="shared" si="51"/>
        <v/>
      </c>
      <c r="CH305" s="111"/>
    </row>
    <row r="306" spans="1:86" ht="12.75">
      <c r="A306" s="101"/>
      <c r="B306" s="102" t="e">
        <f t="array" aca="1" ref="B306" ca="1">_xludf.XLOOKUP(A306,'QA Log'!D:D,'QA Log'!E:E,"")</f>
        <v>#NAME?</v>
      </c>
      <c r="C306" s="102" t="e">
        <f t="array" aca="1" ref="C306" ca="1">_xludf.XLOOKUP(A306,'QA Log'!D:D,'QA Log'!F:F,"")</f>
        <v>#NAME?</v>
      </c>
      <c r="D306" s="102" t="e">
        <f t="array" aca="1" ref="D306" ca="1">_xludf.XLOOKUP(A306,'QA Log'!D:D,'QA Log'!H:H,"")</f>
        <v>#NAME?</v>
      </c>
      <c r="E306" s="102" t="e">
        <f t="array" aca="1" ref="E306" ca="1">_xludf.XLOOKUP(A306,'QA Log'!D:D,'QA Log'!G:G,"")</f>
        <v>#NAME?</v>
      </c>
      <c r="F306" s="103"/>
      <c r="G306" s="104"/>
      <c r="H306" s="104"/>
      <c r="I306" s="103" t="str">
        <f t="shared" si="26"/>
        <v/>
      </c>
      <c r="J306" s="102" t="str">
        <f>IF(A306="","",SUM(
COUNTIFS('QA Log'!D:D,A306,'QA Log'!M:M,"QQC",'QA Log'!L:L,"*1. General Management*"),
COUNTIFS('QA Log'!D:D,A306,'QA Log'!M:M,"QQC",'QA Log'!L:L,"*3. Curative Consultation (OPD)*"),
COUNTIFS('QA Log'!D:D,A306,'QA Log'!M:M,"QQC",'QA Log'!L:L,"*5. Laboratory*"),
COUNTIFS('QA Log'!D:D,A306,'QA Log'!M:M,"QQC",'QA Log'!L:L,"*6. Essential Medicine Management*"),
COUNTIFS('QA Log'!D:D,A306,'QA Log'!M:M,"QQC",'QA Log'!L:L,"*7. Tracer Medicine*"),
COUNTIFS('QA Log'!D:D,A306,'QA Log'!M:M,"QQC",'QA Log'!L:L,"*11. Additional Questions*")))</f>
        <v/>
      </c>
      <c r="K306" s="102" t="str">
        <f>IF(A306="","",SUM(
COUNTIFS('QA Log'!D:D,A306,'QA Log'!M:M,"QQC",'QA Log'!Z:Z,"Approved",'QA Log'!L:L,"*1. General Management*"),
COUNTIFS('QA Log'!D:D,A306,'QA Log'!M:M,"QQC",'QA Log'!Z:Z,"Approved",'QA Log'!L:L,"*3. Curative Consultation (OPD)*"),
COUNTIFS('QA Log'!D:D,A306,'QA Log'!M:M,"QQC",'QA Log'!Z:Z,"Approved",'QA Log'!L:L,"*5. Laboratory*"),
COUNTIFS('QA Log'!D:D,A306,'QA Log'!M:M,"QQC",'QA Log'!Z:Z,"Approved",'QA Log'!L:L,"*6. Essential Medicine Management*"),
COUNTIFS('QA Log'!D:D,A306,'QA Log'!M:M,"QQC",'QA Log'!Z:Z,"Approved",'QA Log'!L:L,"*7. Tracer Medicine*"),
COUNTIFS('QA Log'!D:D,A306,'QA Log'!M:M,"QQC",'QA Log'!Z:Z,"Approved",'QA Log'!L:L,"*11. Additional Questions*")))</f>
        <v/>
      </c>
      <c r="L306" s="105" t="str">
        <f>IF(A306&lt;&gt;"",COUNTIFS('QA Log'!D:D,A306,'QA Log'!M:M,"QQC",'QA Log'!L:L,"1. General Management",'QA Log'!Z:Z,"Approved"),"")</f>
        <v/>
      </c>
      <c r="M306" s="105" t="str">
        <f>IF(A306&lt;&gt;"",COUNTIFS('QA Log'!D:D,A306,'QA Log'!M:M,"QQC",'QA Log'!L:L,"3. Curative Consultation (OPD)",'QA Log'!Z:Z,"Approved"),"")</f>
        <v/>
      </c>
      <c r="N306" s="105" t="str">
        <f>IF(A306&lt;&gt;"",COUNTIFS('QA Log'!D:D,A306,'QA Log'!M:M,"QQC",'QA Log'!L:L,"5. Laboratory",'QA Log'!Z:Z,"Approved"),"")</f>
        <v/>
      </c>
      <c r="O306" s="105" t="str">
        <f>IF(A306&lt;&gt;"",COUNTIFS('QA Log'!D:D,A306,'QA Log'!M:M,"QQC",'QA Log'!L:L,"6. Essential Medicine Management",'QA Log'!Z:Z,"Approved"),"")</f>
        <v/>
      </c>
      <c r="P306" s="105" t="str">
        <f>IF(A306&lt;&gt;"",COUNTIFS('QA Log'!D:D,A306,'QA Log'!M:M,"QQC",'QA Log'!L:L,"7. Tracer Medicine",'QA Log'!Z:Z,"Approved"),"")</f>
        <v/>
      </c>
      <c r="Q306" s="105" t="str">
        <f>IF(A306&lt;&gt;"",COUNTIFS('QA Log'!D:D,A306,'QA Log'!M:M,"QQC",'QA Log'!L:L,"11. Additional Questions",'QA Log'!Z:Z,"Approved"),"")</f>
        <v/>
      </c>
      <c r="R306" s="102" t="str">
        <f>IF(A306="","",SUM(
COUNTIFS('QA Log'!D:D,A306,'QA Log'!M:M,"QQC",'QA Log'!Z:Z,"Rejected",'QA Log'!L:L,"*8. Maternity*"),
COUNTIFS('QA Log'!D:D,A306,'QA Log'!M:M,"QQC",'QA Log'!Z:Z,"Rejected",'QA Log'!L:L,"*EPI*"),
COUNTIFS('QA Log'!D:D,A306,'QA Log'!M:M,"QQC",'QA Log'!Z:Z,"Rejected",'QA Log'!L:L,"*10. Antenatal Care (ANC)*"),
COUNTIFS('QA Log'!D:D,A306,'QA Log'!M:M,"QQC",'QA Log'!Z:Z,"Rejected",'QA Log'!L:L,"*2. Hygiene and Sterilization*"),
COUNTIFS('QA Log'!D:D,A306,'QA Log'!M:M,"QQC",'QA Log'!Z:Z,"Rejected",'QA Log'!L:L,"*Family Planning*")))</f>
        <v/>
      </c>
      <c r="S306" s="106" t="str">
        <f t="shared" si="27"/>
        <v/>
      </c>
      <c r="T306" s="102" t="str">
        <f t="shared" si="28"/>
        <v/>
      </c>
      <c r="U306" s="102" t="str">
        <f>IF(A306="","",
SUM(
COUNTIFS('QA Log'!D:D,A306,'QA Log'!M:M,"QQC",'QA Log'!L:L,"*8. Maternity*"),
COUNTIFS('QA Log'!D:D,A306,'QA Log'!M:M,"QQC",'QA Log'!L:L,"*9. EPI and Pre-school Consultation*"),
COUNTIFS('QA Log'!D:D,A306,'QA Log'!M:M,"QQC",'QA Log'!L:L,"*10. Antenatal Care (ANC)*"),
COUNTIFS('QA Log'!D:D,A306,'QA Log'!M:M,"QQC",'QA Log'!L:L,"*2. Hygiene and Sterilization*"),
COUNTIFS('QA Log'!D:D,A306,'QA Log'!M:M,"QQC",'QA Log'!L:L,"*4. Family Planning*")
))</f>
        <v/>
      </c>
      <c r="V306" s="102" t="str">
        <f>IF(A306="","",
SUM(
COUNTIFS('QA Log'!D:D,A306,'QA Log'!M:M,"QQC",'QA Log'!Z:Z,"Approved",'QA Log'!L:L,"*8. Maternity*"),
COUNTIFS('QA Log'!D:D,A306,'QA Log'!M:M,"QQC",'QA Log'!Z:Z,"Approved",'QA Log'!L:L,"*9. EPI and Pre-school Consultation*"),
COUNTIFS('QA Log'!D:D,A306,'QA Log'!M:M,"QQC",'QA Log'!Z:Z,"Approved",'QA Log'!L:L,"*10. Antenatal Care (ANC)*"),
COUNTIFS('QA Log'!D:D,A306,'QA Log'!M:M,"QQC",'QA Log'!Z:Z,"Approved",'QA Log'!L:L,"*2. Hygiene and Sterilization*"),
COUNTIFS('QA Log'!D:D,A306,'QA Log'!M:M,"QQC",'QA Log'!Z:Z,"Approved",'QA Log'!L:L,"*4. Family Planning*")
))</f>
        <v/>
      </c>
      <c r="W306" s="105" t="str">
        <f>IF(A306&lt;&gt;"",COUNTIFS('QA Log'!D:D,A306,'QA Log'!M:M,"QQC",'QA Log'!L:L,"8. Maternity",'QA Log'!Z:Z,"Approved"),"")</f>
        <v/>
      </c>
      <c r="X306" s="105" t="str">
        <f>IF(A306&lt;&gt;"",COUNTIFS('QA Log'!D:D,A306,'QA Log'!M:M,"QQC",'QA Log'!L:L,"9. EPI and Pre-school Consultation",'QA Log'!Z:Z,"Approved"),"")</f>
        <v/>
      </c>
      <c r="Y306" s="105" t="str">
        <f>IF(A306&lt;&gt;"",COUNTIFS('QA Log'!D:D,A306,'QA Log'!M:M,"QQC",'QA Log'!L:L,"10. Antenatal Care (ANC)",'QA Log'!Z:Z,"Approved"),"")</f>
        <v/>
      </c>
      <c r="Z306" s="105" t="str">
        <f>IF(A306&lt;&gt;"",COUNTIFS('QA Log'!D:D,A306,'QA Log'!M:M,"QQC",'QA Log'!L:L,"2. Hygiene and Sterilization",'QA Log'!Z:Z,"Approved"),"")</f>
        <v/>
      </c>
      <c r="AA306" s="105" t="str">
        <f>IF(A306&lt;&gt;"",COUNTIFS('QA Log'!D:D,A306,'QA Log'!M:M,"QQC",'QA Log'!L:L,"4. Family Planning",'QA Log'!Z:Z,"Approved"),"")</f>
        <v/>
      </c>
      <c r="AB306" s="102" t="str">
        <f>IF(A306="","",
SUM(
COUNTIFS('QA Log'!D:D,A306,'QA Log'!M:M,"QQC",'QA Log'!Z:Z,"Rejected",'QA Log'!L:L,"*8. Maternity*"),
COUNTIFS('QA Log'!D:D,A306,'QA Log'!M:M,"QQC",'QA Log'!Z:Z,"Rejected",'QA Log'!L:L,"*9. EPI and Pre-school Consultation*"),
COUNTIFS('QA Log'!D:D,A306,'QA Log'!M:M,"QQC",'QA Log'!Z:Z,"Rejected",'QA Log'!L:L,"*10. Antenatal Care (ANC)*"),
COUNTIFS('QA Log'!D:D,A306,'QA Log'!M:M,"QQC",'QA Log'!Z:Z,"Rejected",'QA Log'!L:L,"*2. Hygiene and Sterilization*"),
COUNTIFS('QA Log'!D:D,A306,'QA Log'!M:M,"QQC",'QA Log'!Z:Z,"Rejected",'QA Log'!L:L,"*4. Family Planning*")
))</f>
        <v/>
      </c>
      <c r="AC306" s="102" t="str">
        <f t="shared" si="29"/>
        <v/>
      </c>
      <c r="AD306" s="103" t="str">
        <f t="shared" si="30"/>
        <v/>
      </c>
      <c r="AE306" s="102" t="str">
        <f>IF(A306="","",
SUM(
COUNTIFS('QA Log'!D:D,A306,'QA Log'!M:M,"Data Verification",'QA Log'!L:L,"*Medicine (section 2)*"),
COUNTIFS('QA Log'!D:D,A306,'QA Log'!M:M,"Data Verification",'QA Log'!L:L,"*Lab Testing Availability*"),
COUNTIFS('QA Log'!D:D,A306,'QA Log'!M:M,"Data Verification",'QA Log'!L:L,"*Other than P4P (section 6)*"),
COUNTIFS('QA Log'!D:D,A306,'QA Log'!M:M,"Data Verification",'QA Log'!L:L,"*Hospital Governance*")
))</f>
        <v/>
      </c>
      <c r="AF306" s="102" t="str">
        <f>IF(A306="","",
SUM(
COUNTIFS('QA Log'!D:D,A306,'QA Log'!M:M,"Data Verification",'QA Log'!Z:Z,"Approved",'QA Log'!L:L,"*Medicine (section 2)*"),
COUNTIFS('QA Log'!D:D,A306,'QA Log'!M:M,"Data Verification",'QA Log'!Z:Z,"Approved",'QA Log'!L:L,"*Lab Testing Availability*"),
COUNTIFS('QA Log'!D:D,A306,'QA Log'!M:M,"Data Verification",'QA Log'!Z:Z,"Approved",'QA Log'!L:L,"*Other than P4P (section 6)*"),
COUNTIFS('QA Log'!D:D,A306,'QA Log'!M:M,"Data Verification",'QA Log'!Z:Z,"Approved",'QA Log'!L:L,"*Hospital Governance*")
))</f>
        <v/>
      </c>
      <c r="AG306" s="105" t="str">
        <f>IF(A306&lt;&gt;"",COUNTIFS('QA Log'!D:D,A306,'QA Log'!M:M,"Data Verification",'QA Log'!L:L,"Medicine (section 2)",'QA Log'!Z:Z,"Approved"),"")</f>
        <v/>
      </c>
      <c r="AH306" s="105" t="str">
        <f>IF(A306&lt;&gt;"",COUNTIFS('QA Log'!D:D,A306,'QA Log'!M:M,"Data Verification",'QA Log'!L:L,"Lab Testing Availability",'QA Log'!Z:Z,"Approved"),"")</f>
        <v/>
      </c>
      <c r="AI306" s="105" t="str">
        <f>IF(A306&lt;&gt;"",COUNTIFS('QA Log'!D:D,A306,'QA Log'!M:M,"Data Verification",'QA Log'!L:L,"Other than P4P (section 6)",'QA Log'!Z:Z,"Approved"),"")</f>
        <v/>
      </c>
      <c r="AJ306" s="105" t="str">
        <f>IF(A306&lt;&gt;"",COUNTIFS('QA Log'!D:D,A306,'QA Log'!M:M,"Data Verification",'QA Log'!L:L,"Hospital Governance",'QA Log'!Z:Z,"Approved"),"")</f>
        <v/>
      </c>
      <c r="AK306" s="102" t="str">
        <f>IF(A306="","",
SUM(
COUNTIFS('QA Log'!D:D,A306,'QA Log'!M:M,"Data Verification",'QA Log'!Z:Z,"Rejected",'QA Log'!L:L,"*Medicine (section 2)*"),
COUNTIFS('QA Log'!D:D,A306,'QA Log'!M:M,"Data Verification",'QA Log'!Z:Z,"Rejected",'QA Log'!L:L,"*Lab Testing Availability*"),
COUNTIFS('QA Log'!D:D,A306,'QA Log'!M:M,"Data Verification",'QA Log'!Z:Z,"Rejected",'QA Log'!L:L,"*Other than P4P (section 6)*"),
COUNTIFS('QA Log'!D:D,A306,'QA Log'!M:M,"Data Verification",'QA Log'!Z:Z,"Rejected",'QA Log'!L:L,"*Hospital Governance*")
))</f>
        <v/>
      </c>
      <c r="AL306" s="106" t="str">
        <f t="shared" si="31"/>
        <v/>
      </c>
      <c r="AM306" s="102" t="str">
        <f t="shared" si="32"/>
        <v/>
      </c>
      <c r="AN306" s="102" t="str">
        <f>IF(A306="","",
SUM(
COUNTIFS('QA Log'!D:D,A306,'QA Log'!M:M,"Data Verification",'QA Log'!L:L,"*Personnel (section 1)*"),
COUNTIFS('QA Log'!D:D,A306,'QA Log'!M:M,"Data Verification",'QA Log'!L:L,"*Consumable (section 3)*"),
COUNTIFS('QA Log'!D:D,A306,'QA Log'!M:M,"Data Verification",'QA Log'!L:L,"*Equipments (section 4)*")
))</f>
        <v/>
      </c>
      <c r="AO306" s="102" t="str">
        <f>IF(A306="","",
SUM(
COUNTIFS('QA Log'!D:D,A306,'QA Log'!M:M,"Data Verification",'QA Log'!Z:Z,"Approved",'QA Log'!L:L,"*Personnel (section 1)*"),
COUNTIFS('QA Log'!D:D,A306,'QA Log'!M:M,"Data Verification",'QA Log'!Z:Z,"Approved",'QA Log'!L:L,"*Consumable (section 3)*"),
COUNTIFS('QA Log'!D:D,A306,'QA Log'!M:M,"Data Verification",'QA Log'!Z:Z,"Approved",'QA Log'!L:L,"*Equipments (section 4)*")
))</f>
        <v/>
      </c>
      <c r="AP306" s="105" t="str">
        <f>IF(A306&lt;&gt;"",COUNTIFS('QA Log'!D:D,A306,'QA Log'!M:M,"Data Verification",'QA Log'!L:L,"Personnel (section 1)",'QA Log'!Z:Z,"Approved"),"")</f>
        <v/>
      </c>
      <c r="AQ306" s="105" t="str">
        <f>IF(A306&lt;&gt;"",COUNTIFS('QA Log'!D:D,A306,'QA Log'!M:M,"Data Verification",'QA Log'!L:L,"Consumable (section 3)",'QA Log'!Z:Z,"Approved"),"")</f>
        <v/>
      </c>
      <c r="AR306" s="105" t="str">
        <f>IF(A306&lt;&gt;"",COUNTIFS('QA Log'!D:D,A306,'QA Log'!M:M,"Data Verification",'QA Log'!L:L,"Equipments (section 4)",'QA Log'!Z:Z,"Approved"),"")</f>
        <v/>
      </c>
      <c r="AS306" s="102" t="str">
        <f>IF(A306="","",
SUM(
COUNTIFS('QA Log'!D:D,A306,'QA Log'!M:M,"Data Verification",'QA Log'!Z:Z,"Rejected",'QA Log'!L:L,"*Personnel (section 1)*"),
COUNTIFS('QA Log'!D:D,A306,'QA Log'!M:M,"Data Verification",'QA Log'!Z:Z,"Rejected",'QA Log'!L:L,"*Consumable (section 3)*"),
COUNTIFS('QA Log'!D:D,A306,'QA Log'!M:M,"Data Verification",'QA Log'!Z:Z,"Rejected",'QA Log'!L:L,"*Equipments (section 4)*")
))</f>
        <v/>
      </c>
      <c r="AT306" s="102" t="str">
        <f t="shared" si="33"/>
        <v/>
      </c>
      <c r="AU306" s="103" t="str">
        <f t="shared" si="34"/>
        <v/>
      </c>
      <c r="AV306" s="102" t="str">
        <f>IF(A306="","",SUM(
COUNTIFS('QA Log'!D:D,A306,'QA Log'!M:M,"Vignette",'QA Log'!L:L,"*Vignette [1] Respiratory Infection: Pneumonia*"),
COUNTIFS('QA Log'!D:D,A306,'QA Log'!M:M,"Vignette",'QA Log'!L:L,"*Vignette [2]: Diarrhea with Cat B dehydration*"),
COUNTIFS('QA Log'!D:D,A306,'QA Log'!M:M,"Vignette",'QA Log'!L:L,"*Vignette [3] Growth Monitoring and Promotion*"),
COUNTIFS('QA Log'!D:D,A306,'QA Log'!M:M,"Vignette",'QA Log'!L:L,"*Vignette [4]: The management of presumptive TB patient*")
)
)</f>
        <v/>
      </c>
      <c r="AW306" s="102" t="str">
        <f>IF(
  A306="","",
  SUM(
    COUNTIFS('QA Log'!D:D,A306,'QA Log'!M:M,"Vignette",'QA Log'!Z:Z,"Approved",'QA Log'!L:L,"*Vignette [1] Respiratory Infection: Pneumonia*"),
    COUNTIFS('QA Log'!D:D,A306,'QA Log'!M:M,"Vignette",'QA Log'!Z:Z,"Approved",'QA Log'!L:L,"*Vignette [2]: Diarrhea with Cat B dehydration*"),
    COUNTIFS('QA Log'!D:D,A306,'QA Log'!M:M,"Vignette",'QA Log'!Z:Z,"Approved",'QA Log'!L:L,"*Vignette [3] Growth Monitoring and Promotion*"),
    COUNTIFS('QA Log'!D:D,A306,'QA Log'!M:M,"Vignette",'QA Log'!Z:Z,"Approved",'QA Log'!L:L,"*Vignette [4]: The management of presumptive TB patient*")
  )
)</f>
        <v/>
      </c>
      <c r="AX306" s="105" t="str">
        <f>IF(A306&lt;&gt;"",COUNTIFS('QA Log'!D:D,A306,'QA Log'!M:M,"Vignette",'QA Log'!L:L,"Vignette [1] Respiratory Infection: Pneumonia",'QA Log'!Z:Z,"Approved"),"")</f>
        <v/>
      </c>
      <c r="AY306" s="105" t="str">
        <f>IF(A306&lt;&gt;"",COUNTIFS('QA Log'!D:D,A306,'QA Log'!M:M,"Vignette",'QA Log'!L:L,"Vignette [2]: Diarrhea with Cat B dehydration",'QA Log'!Z:Z,"Approved"),"")</f>
        <v/>
      </c>
      <c r="AZ306" s="105" t="str">
        <f>IF(A306&lt;&gt;"",COUNTIFS('QA Log'!D:D,A306,'QA Log'!M:M,"Vignette",'QA Log'!L:L,"Vignette [3] Growth Monitoring and Promotion",'QA Log'!Z:Z,"Approved"),"")</f>
        <v/>
      </c>
      <c r="BA306" s="105" t="str">
        <f>IF(A306&lt;&gt;"",COUNTIFS('QA Log'!D:D,A306,'QA Log'!M:M,"Vignette",'QA Log'!L:L,"Vignette [4]: The management of presumptive TB patient",'QA Log'!Z:Z,"Approved"),"")</f>
        <v/>
      </c>
      <c r="BB306" s="102" t="str">
        <f>IF(A306="","",
  SUM(
    COUNTIFS('QA Log'!D:D,A306,'QA Log'!M:M,"Vignette",'QA Log'!Z:Z,"Rejected",'QA Log'!L:L,"*Vignette [1] Respiratory Infection: Pneumonia*"),
    COUNTIFS('QA Log'!D:D,A306,'QA Log'!M:M,"Vignette",'QA Log'!Z:Z,"Rejected",'QA Log'!L:L,"*Vignette [2]: Diarrhea with Cat B dehydration*"),
    COUNTIFS('QA Log'!D:D,A306,'QA Log'!M:M,"Vignette",'QA Log'!Z:Z,"Rejected",'QA Log'!L:L,"*Vignette [3] Growth Monitoring and Promotion*"),
    COUNTIFS('QA Log'!D:D,A306,'QA Log'!M:M,"Vignette",'QA Log'!Z:Z,"Rejected",'QA Log'!L:L,"*Vignette [4]: The management of presumptive TB patient*")
  )
)</f>
        <v/>
      </c>
      <c r="BC306" s="107" t="str">
        <f t="shared" si="35"/>
        <v/>
      </c>
      <c r="BD306" s="103" t="str">
        <f t="shared" si="36"/>
        <v/>
      </c>
      <c r="BE306" s="102" t="str">
        <f>IF(A306="","",SUM(
COUNTIFS('QA Log'!D:D,A306,'QA Log'!M:M,"Vignette",'QA Log'!L:L,"*Vignette [5] Labor*"),
COUNTIFS('QA Log'!D:D,A306,'QA Log'!M:M,"Vignette",'QA Log'!L:L,"*Vignette [6] PNC pre Discharge*"),
COUNTIFS('QA Log'!D:D,A306,'QA Log'!M:M,"Vignette",'QA Log'!L:L,"*Vignette [7] First ANC Visit*"),
COUNTIFS('QA Log'!D:D,A306,'QA Log'!M:M,"Vignette",'QA Log'!L:L,"*Vignette [8] Birth Spacing/ Family Planning :  FP Counselling*"),
COUNTIFS('QA Log'!D:D,A306,'QA Log'!M:M,"Vignette",'QA Log'!L:L,"*Vignette [9] Birth Spacing: Change FP method to Injectable*"),
COUNTIFS('QA Log'!D:D,A306,'QA Log'!M:M,"Vignette",'QA Log'!L:L,"*Vignette [10] Post Partum Haemorrhage - Atonic Uterus at Health Centre*"),
)
)</f>
        <v/>
      </c>
      <c r="BF306" s="102" t="str">
        <f>IF(A306="","",
  SUM(
    COUNTIFS('QA Log'!D:D,A306,'QA Log'!M:M,"Vignette",'QA Log'!Z:Z,"Approved",'QA Log'!L:L,"*Vignette [5] Labor*"),
    COUNTIFS('QA Log'!D:D,A306,'QA Log'!M:M,"Vignette",'QA Log'!Z:Z,"Approved",'QA Log'!L:L,"*Vignette [6] PNC pre Discharge*"),
    COUNTIFS('QA Log'!D:D,A306,'QA Log'!M:M,"Vignette",'QA Log'!Z:Z,"Approved",'QA Log'!L:L,"*Vignette [7] First ANC Visit*"),
    COUNTIFS('QA Log'!D:D,A306,'QA Log'!M:M,"Vignette",'QA Log'!Z:Z,"Approved",'QA Log'!L:L,"*Vignette [8] Birth Spacing/ Family Planning :  FP Counselling*"),
    COUNTIFS('QA Log'!D:D,A306,'QA Log'!M:M,"Vignette",'QA Log'!Z:Z,"Approved",'QA Log'!L:L,"*Vignette [9] Birth Spacing: Change FP method to Injectable*"),
    COUNTIFS('QA Log'!D:D,A306,'QA Log'!M:M,"Vignette",'QA Log'!Z:Z,"Approved",'QA Log'!L:L,"*Vignette [10] Post Partum Haemorrhage - Atonic Uterus at Health Centre*")
  )
)</f>
        <v/>
      </c>
      <c r="BG306" s="105" t="str">
        <f>IF(A306&lt;&gt;"",COUNTIFS('QA Log'!D:D,A306,'QA Log'!M:M,"Vignette",'QA Log'!L:L,"Vignette [5] Labor",'QA Log'!Z:Z,"Approved"),"")</f>
        <v/>
      </c>
      <c r="BH306" s="105" t="str">
        <f>IF(A306&lt;&gt;"",COUNTIFS('QA Log'!D:D,A306,'QA Log'!M:M,"Vignette",'QA Log'!L:L,"Vignette [6] PNC pre Discharge",'QA Log'!Z:Z,"Approved"),"")</f>
        <v/>
      </c>
      <c r="BI306" s="105" t="str">
        <f>IF(A306&lt;&gt;"",COUNTIFS('QA Log'!D:D,A306,'QA Log'!M:M,"Vignette",'QA Log'!L:L,"Vignette [7] First ANC Visit",'QA Log'!Z:Z,"Approved"),"")</f>
        <v/>
      </c>
      <c r="BJ306" s="105" t="str">
        <f>IF(A306&lt;&gt;"",COUNTIFS('QA Log'!D:D,A306,'QA Log'!M:M,"Vignette",'QA Log'!L:L,"Vignette [8] Birth Spacing/ Family Planning :  FP Counselling",'QA Log'!Z:Z,"Approved"),"")</f>
        <v/>
      </c>
      <c r="BK306" s="105" t="str">
        <f>IF(A306&lt;&gt;"",COUNTIFS('QA Log'!D:D,A306,'QA Log'!M:M,"Vignette",'QA Log'!L:L,"Vignette [9] Birth Spacing: Change FP method to Injectable",'QA Log'!Z:Z,"Approved"),"")</f>
        <v/>
      </c>
      <c r="BL306" s="105" t="str">
        <f>IF(A306&lt;&gt;"",COUNTIFS('QA Log'!D:D,A306,'QA Log'!M:M,"Vignette",'QA Log'!L:L,"Vignette [10] Post Partum Haemorrhage - Atonic Uterus at Health Centre",'QA Log'!Z:Z,"Approved"),"")</f>
        <v/>
      </c>
      <c r="BM306" s="102" t="str">
        <f>IF(A306="","",SUM(
    COUNTIFS('QA Log'!D:D,A306,'QA Log'!M:M,"Vignette",'QA Log'!Z:Z,"Rejected",'QA Log'!L:L,"*Vignette [5] Labor*"),
    COUNTIFS('QA Log'!D:D,A306,'QA Log'!M:M,"Vignette",'QA Log'!Z:Z,"Rejected",'QA Log'!L:L,"*Vignette [6] PNC pre Discharge*"),
    COUNTIFS('QA Log'!D:D,A306,'QA Log'!M:M,"Vignette",'QA Log'!Z:Z,"Rejected",'QA Log'!L:L,"*Vignette [7] First ANC Visit*"),
    COUNTIFS('QA Log'!D:D,A306,'QA Log'!M:M,"Vignette",'QA Log'!Z:Z,"Rejected",'QA Log'!L:L,"*Vignette [8] Birth Spacing/ Family Planning :  FP Counselling*"),
    COUNTIFS('QA Log'!D:D,A306,'QA Log'!M:M,"Vignette",'QA Log'!Z:Z,"Rejected",'QA Log'!L:L,"*Vignette [9] Birth Spacing: Change FP method to Injectable*"),
    COUNTIFS('QA Log'!D:D,A306,'QA Log'!M:M,"Vignette",'QA Log'!Z:Z,"Rejected",'QA Log'!L:L,"*Vignette [10] Post Partum Haemorrhage - Atonic Uterus at Health Centre*")
  )
)</f>
        <v/>
      </c>
      <c r="BN306" s="107" t="str">
        <f t="shared" si="37"/>
        <v/>
      </c>
      <c r="BO306" s="103" t="str">
        <f t="shared" si="38"/>
        <v/>
      </c>
      <c r="BP306" s="102" t="str">
        <f>IF(A306="","",SUM(
COUNTIFS('QA Log'!D:D,A306,'QA Log'!M:M,"Vignette",'QA Log'!L:L,"*Exit Interview 1*"),
COUNTIFS('QA Log'!D:D,A306,'QA Log'!M:M,"Vignette",'QA Log'!L:L,"*Exit Interview 2*"),
)
)</f>
        <v/>
      </c>
      <c r="BQ306" s="102" t="str">
        <f>IF(
  A306="","",
  SUM(
    COUNTIFS('QA Log'!D:D,A306,'QA Log'!M:M,"Vignette",'QA Log'!Z:Z,"Approved",'QA Log'!L:L,"*Exit Interview 1*"),
    COUNTIFS('QA Log'!D:D,A306,'QA Log'!M:M,"Vignette",'QA Log'!Z:Z,"Approved",'QA Log'!L:L,"*Exit Interview 2*")
  )
)</f>
        <v/>
      </c>
      <c r="BR306" s="105" t="str">
        <f>IF(A306&lt;&gt;"",COUNTIFS('QA Log'!D:D,A306,'QA Log'!M:M,"Vignette",'QA Log'!L:L,"Exit Interview 1",'QA Log'!Z:Z,"Approved"),"")</f>
        <v/>
      </c>
      <c r="BS306" s="105" t="str">
        <f>IF(A306&lt;&gt;"",COUNTIFS('QA Log'!D:D,A306,'QA Log'!M:M,"Vignette",'QA Log'!L:L,"Exit Interview 2",'QA Log'!Z:Z,"Approved"),"")</f>
        <v/>
      </c>
      <c r="BT306" s="102" t="str">
        <f>IF(
  A306="","",
  SUM(
    COUNTIFS('QA Log'!D:D,A306,'QA Log'!M:M,"Vignette",'QA Log'!Z:Z,"Rejected",'QA Log'!L:L,"*Exit Interview 1*"),
    COUNTIFS('QA Log'!D:D,A306,'QA Log'!M:M,"Vignette",'QA Log'!Z:Z,"Rejected",'QA Log'!L:L,"*Exit Interview 2*")
  )
)</f>
        <v/>
      </c>
      <c r="BU306" s="107" t="str">
        <f t="shared" si="39"/>
        <v/>
      </c>
      <c r="BV306" s="102" t="str">
        <f t="shared" si="40"/>
        <v/>
      </c>
      <c r="BW306" s="102" t="str">
        <f t="shared" si="41"/>
        <v/>
      </c>
      <c r="BX306" s="102" t="str">
        <f t="shared" si="42"/>
        <v/>
      </c>
      <c r="BY306" s="102" t="str">
        <f t="shared" si="43"/>
        <v/>
      </c>
      <c r="BZ306" s="107" t="str">
        <f t="shared" si="44"/>
        <v/>
      </c>
      <c r="CA306" s="108" t="str">
        <f t="shared" si="45"/>
        <v/>
      </c>
      <c r="CB306" s="108" t="str">
        <f t="shared" si="46"/>
        <v/>
      </c>
      <c r="CC306" s="109" t="str">
        <f t="shared" si="47"/>
        <v/>
      </c>
      <c r="CD306" s="108" t="str">
        <f t="shared" si="48"/>
        <v/>
      </c>
      <c r="CE306" s="108" t="str">
        <f t="shared" si="49"/>
        <v/>
      </c>
      <c r="CF306" s="109" t="str">
        <f t="shared" si="50"/>
        <v/>
      </c>
      <c r="CG306" s="110" t="str">
        <f t="shared" si="51"/>
        <v/>
      </c>
      <c r="CH306" s="111"/>
    </row>
    <row r="307" spans="1:86" ht="12.75">
      <c r="A307" s="101"/>
      <c r="B307" s="102" t="e">
        <f t="array" aca="1" ref="B307" ca="1">_xludf.XLOOKUP(A307,'QA Log'!D:D,'QA Log'!E:E,"")</f>
        <v>#NAME?</v>
      </c>
      <c r="C307" s="102" t="e">
        <f t="array" aca="1" ref="C307" ca="1">_xludf.XLOOKUP(A307,'QA Log'!D:D,'QA Log'!F:F,"")</f>
        <v>#NAME?</v>
      </c>
      <c r="D307" s="102" t="e">
        <f t="array" aca="1" ref="D307" ca="1">_xludf.XLOOKUP(A307,'QA Log'!D:D,'QA Log'!H:H,"")</f>
        <v>#NAME?</v>
      </c>
      <c r="E307" s="102" t="e">
        <f t="array" aca="1" ref="E307" ca="1">_xludf.XLOOKUP(A307,'QA Log'!D:D,'QA Log'!G:G,"")</f>
        <v>#NAME?</v>
      </c>
      <c r="F307" s="103"/>
      <c r="G307" s="104"/>
      <c r="H307" s="104"/>
      <c r="I307" s="103" t="str">
        <f t="shared" si="26"/>
        <v/>
      </c>
      <c r="J307" s="102" t="str">
        <f>IF(A307="","",SUM(
COUNTIFS('QA Log'!D:D,A307,'QA Log'!M:M,"QQC",'QA Log'!L:L,"*1. General Management*"),
COUNTIFS('QA Log'!D:D,A307,'QA Log'!M:M,"QQC",'QA Log'!L:L,"*3. Curative Consultation (OPD)*"),
COUNTIFS('QA Log'!D:D,A307,'QA Log'!M:M,"QQC",'QA Log'!L:L,"*5. Laboratory*"),
COUNTIFS('QA Log'!D:D,A307,'QA Log'!M:M,"QQC",'QA Log'!L:L,"*6. Essential Medicine Management*"),
COUNTIFS('QA Log'!D:D,A307,'QA Log'!M:M,"QQC",'QA Log'!L:L,"*7. Tracer Medicine*"),
COUNTIFS('QA Log'!D:D,A307,'QA Log'!M:M,"QQC",'QA Log'!L:L,"*11. Additional Questions*")))</f>
        <v/>
      </c>
      <c r="K307" s="102" t="str">
        <f>IF(A307="","",SUM(
COUNTIFS('QA Log'!D:D,A307,'QA Log'!M:M,"QQC",'QA Log'!Z:Z,"Approved",'QA Log'!L:L,"*1. General Management*"),
COUNTIFS('QA Log'!D:D,A307,'QA Log'!M:M,"QQC",'QA Log'!Z:Z,"Approved",'QA Log'!L:L,"*3. Curative Consultation (OPD)*"),
COUNTIFS('QA Log'!D:D,A307,'QA Log'!M:M,"QQC",'QA Log'!Z:Z,"Approved",'QA Log'!L:L,"*5. Laboratory*"),
COUNTIFS('QA Log'!D:D,A307,'QA Log'!M:M,"QQC",'QA Log'!Z:Z,"Approved",'QA Log'!L:L,"*6. Essential Medicine Management*"),
COUNTIFS('QA Log'!D:D,A307,'QA Log'!M:M,"QQC",'QA Log'!Z:Z,"Approved",'QA Log'!L:L,"*7. Tracer Medicine*"),
COUNTIFS('QA Log'!D:D,A307,'QA Log'!M:M,"QQC",'QA Log'!Z:Z,"Approved",'QA Log'!L:L,"*11. Additional Questions*")))</f>
        <v/>
      </c>
      <c r="L307" s="105" t="str">
        <f>IF(A307&lt;&gt;"",COUNTIFS('QA Log'!D:D,A307,'QA Log'!M:M,"QQC",'QA Log'!L:L,"1. General Management",'QA Log'!Z:Z,"Approved"),"")</f>
        <v/>
      </c>
      <c r="M307" s="105" t="str">
        <f>IF(A307&lt;&gt;"",COUNTIFS('QA Log'!D:D,A307,'QA Log'!M:M,"QQC",'QA Log'!L:L,"3. Curative Consultation (OPD)",'QA Log'!Z:Z,"Approved"),"")</f>
        <v/>
      </c>
      <c r="N307" s="105" t="str">
        <f>IF(A307&lt;&gt;"",COUNTIFS('QA Log'!D:D,A307,'QA Log'!M:M,"QQC",'QA Log'!L:L,"5. Laboratory",'QA Log'!Z:Z,"Approved"),"")</f>
        <v/>
      </c>
      <c r="O307" s="105" t="str">
        <f>IF(A307&lt;&gt;"",COUNTIFS('QA Log'!D:D,A307,'QA Log'!M:M,"QQC",'QA Log'!L:L,"6. Essential Medicine Management",'QA Log'!Z:Z,"Approved"),"")</f>
        <v/>
      </c>
      <c r="P307" s="105" t="str">
        <f>IF(A307&lt;&gt;"",COUNTIFS('QA Log'!D:D,A307,'QA Log'!M:M,"QQC",'QA Log'!L:L,"7. Tracer Medicine",'QA Log'!Z:Z,"Approved"),"")</f>
        <v/>
      </c>
      <c r="Q307" s="105" t="str">
        <f>IF(A307&lt;&gt;"",COUNTIFS('QA Log'!D:D,A307,'QA Log'!M:M,"QQC",'QA Log'!L:L,"11. Additional Questions",'QA Log'!Z:Z,"Approved"),"")</f>
        <v/>
      </c>
      <c r="R307" s="102" t="str">
        <f>IF(A307="","",SUM(
COUNTIFS('QA Log'!D:D,A307,'QA Log'!M:M,"QQC",'QA Log'!Z:Z,"Rejected",'QA Log'!L:L,"*8. Maternity*"),
COUNTIFS('QA Log'!D:D,A307,'QA Log'!M:M,"QQC",'QA Log'!Z:Z,"Rejected",'QA Log'!L:L,"*EPI*"),
COUNTIFS('QA Log'!D:D,A307,'QA Log'!M:M,"QQC",'QA Log'!Z:Z,"Rejected",'QA Log'!L:L,"*10. Antenatal Care (ANC)*"),
COUNTIFS('QA Log'!D:D,A307,'QA Log'!M:M,"QQC",'QA Log'!Z:Z,"Rejected",'QA Log'!L:L,"*2. Hygiene and Sterilization*"),
COUNTIFS('QA Log'!D:D,A307,'QA Log'!M:M,"QQC",'QA Log'!Z:Z,"Rejected",'QA Log'!L:L,"*Family Planning*")))</f>
        <v/>
      </c>
      <c r="S307" s="106" t="str">
        <f t="shared" si="27"/>
        <v/>
      </c>
      <c r="T307" s="102" t="str">
        <f t="shared" si="28"/>
        <v/>
      </c>
      <c r="U307" s="102" t="str">
        <f>IF(A307="","",
SUM(
COUNTIFS('QA Log'!D:D,A307,'QA Log'!M:M,"QQC",'QA Log'!L:L,"*8. Maternity*"),
COUNTIFS('QA Log'!D:D,A307,'QA Log'!M:M,"QQC",'QA Log'!L:L,"*9. EPI and Pre-school Consultation*"),
COUNTIFS('QA Log'!D:D,A307,'QA Log'!M:M,"QQC",'QA Log'!L:L,"*10. Antenatal Care (ANC)*"),
COUNTIFS('QA Log'!D:D,A307,'QA Log'!M:M,"QQC",'QA Log'!L:L,"*2. Hygiene and Sterilization*"),
COUNTIFS('QA Log'!D:D,A307,'QA Log'!M:M,"QQC",'QA Log'!L:L,"*4. Family Planning*")
))</f>
        <v/>
      </c>
      <c r="V307" s="102" t="str">
        <f>IF(A307="","",
SUM(
COUNTIFS('QA Log'!D:D,A307,'QA Log'!M:M,"QQC",'QA Log'!Z:Z,"Approved",'QA Log'!L:L,"*8. Maternity*"),
COUNTIFS('QA Log'!D:D,A307,'QA Log'!M:M,"QQC",'QA Log'!Z:Z,"Approved",'QA Log'!L:L,"*9. EPI and Pre-school Consultation*"),
COUNTIFS('QA Log'!D:D,A307,'QA Log'!M:M,"QQC",'QA Log'!Z:Z,"Approved",'QA Log'!L:L,"*10. Antenatal Care (ANC)*"),
COUNTIFS('QA Log'!D:D,A307,'QA Log'!M:M,"QQC",'QA Log'!Z:Z,"Approved",'QA Log'!L:L,"*2. Hygiene and Sterilization*"),
COUNTIFS('QA Log'!D:D,A307,'QA Log'!M:M,"QQC",'QA Log'!Z:Z,"Approved",'QA Log'!L:L,"*4. Family Planning*")
))</f>
        <v/>
      </c>
      <c r="W307" s="105" t="str">
        <f>IF(A307&lt;&gt;"",COUNTIFS('QA Log'!D:D,A307,'QA Log'!M:M,"QQC",'QA Log'!L:L,"8. Maternity",'QA Log'!Z:Z,"Approved"),"")</f>
        <v/>
      </c>
      <c r="X307" s="105" t="str">
        <f>IF(A307&lt;&gt;"",COUNTIFS('QA Log'!D:D,A307,'QA Log'!M:M,"QQC",'QA Log'!L:L,"9. EPI and Pre-school Consultation",'QA Log'!Z:Z,"Approved"),"")</f>
        <v/>
      </c>
      <c r="Y307" s="105" t="str">
        <f>IF(A307&lt;&gt;"",COUNTIFS('QA Log'!D:D,A307,'QA Log'!M:M,"QQC",'QA Log'!L:L,"10. Antenatal Care (ANC)",'QA Log'!Z:Z,"Approved"),"")</f>
        <v/>
      </c>
      <c r="Z307" s="105" t="str">
        <f>IF(A307&lt;&gt;"",COUNTIFS('QA Log'!D:D,A307,'QA Log'!M:M,"QQC",'QA Log'!L:L,"2. Hygiene and Sterilization",'QA Log'!Z:Z,"Approved"),"")</f>
        <v/>
      </c>
      <c r="AA307" s="105" t="str">
        <f>IF(A307&lt;&gt;"",COUNTIFS('QA Log'!D:D,A307,'QA Log'!M:M,"QQC",'QA Log'!L:L,"4. Family Planning",'QA Log'!Z:Z,"Approved"),"")</f>
        <v/>
      </c>
      <c r="AB307" s="102" t="str">
        <f>IF(A307="","",
SUM(
COUNTIFS('QA Log'!D:D,A307,'QA Log'!M:M,"QQC",'QA Log'!Z:Z,"Rejected",'QA Log'!L:L,"*8. Maternity*"),
COUNTIFS('QA Log'!D:D,A307,'QA Log'!M:M,"QQC",'QA Log'!Z:Z,"Rejected",'QA Log'!L:L,"*9. EPI and Pre-school Consultation*"),
COUNTIFS('QA Log'!D:D,A307,'QA Log'!M:M,"QQC",'QA Log'!Z:Z,"Rejected",'QA Log'!L:L,"*10. Antenatal Care (ANC)*"),
COUNTIFS('QA Log'!D:D,A307,'QA Log'!M:M,"QQC",'QA Log'!Z:Z,"Rejected",'QA Log'!L:L,"*2. Hygiene and Sterilization*"),
COUNTIFS('QA Log'!D:D,A307,'QA Log'!M:M,"QQC",'QA Log'!Z:Z,"Rejected",'QA Log'!L:L,"*4. Family Planning*")
))</f>
        <v/>
      </c>
      <c r="AC307" s="102" t="str">
        <f t="shared" si="29"/>
        <v/>
      </c>
      <c r="AD307" s="103" t="str">
        <f t="shared" si="30"/>
        <v/>
      </c>
      <c r="AE307" s="102" t="str">
        <f>IF(A307="","",
SUM(
COUNTIFS('QA Log'!D:D,A307,'QA Log'!M:M,"Data Verification",'QA Log'!L:L,"*Medicine (section 2)*"),
COUNTIFS('QA Log'!D:D,A307,'QA Log'!M:M,"Data Verification",'QA Log'!L:L,"*Lab Testing Availability*"),
COUNTIFS('QA Log'!D:D,A307,'QA Log'!M:M,"Data Verification",'QA Log'!L:L,"*Other than P4P (section 6)*"),
COUNTIFS('QA Log'!D:D,A307,'QA Log'!M:M,"Data Verification",'QA Log'!L:L,"*Hospital Governance*")
))</f>
        <v/>
      </c>
      <c r="AF307" s="102" t="str">
        <f>IF(A307="","",
SUM(
COUNTIFS('QA Log'!D:D,A307,'QA Log'!M:M,"Data Verification",'QA Log'!Z:Z,"Approved",'QA Log'!L:L,"*Medicine (section 2)*"),
COUNTIFS('QA Log'!D:D,A307,'QA Log'!M:M,"Data Verification",'QA Log'!Z:Z,"Approved",'QA Log'!L:L,"*Lab Testing Availability*"),
COUNTIFS('QA Log'!D:D,A307,'QA Log'!M:M,"Data Verification",'QA Log'!Z:Z,"Approved",'QA Log'!L:L,"*Other than P4P (section 6)*"),
COUNTIFS('QA Log'!D:D,A307,'QA Log'!M:M,"Data Verification",'QA Log'!Z:Z,"Approved",'QA Log'!L:L,"*Hospital Governance*")
))</f>
        <v/>
      </c>
      <c r="AG307" s="105" t="str">
        <f>IF(A307&lt;&gt;"",COUNTIFS('QA Log'!D:D,A307,'QA Log'!M:M,"Data Verification",'QA Log'!L:L,"Medicine (section 2)",'QA Log'!Z:Z,"Approved"),"")</f>
        <v/>
      </c>
      <c r="AH307" s="105" t="str">
        <f>IF(A307&lt;&gt;"",COUNTIFS('QA Log'!D:D,A307,'QA Log'!M:M,"Data Verification",'QA Log'!L:L,"Lab Testing Availability",'QA Log'!Z:Z,"Approved"),"")</f>
        <v/>
      </c>
      <c r="AI307" s="105" t="str">
        <f>IF(A307&lt;&gt;"",COUNTIFS('QA Log'!D:D,A307,'QA Log'!M:M,"Data Verification",'QA Log'!L:L,"Other than P4P (section 6)",'QA Log'!Z:Z,"Approved"),"")</f>
        <v/>
      </c>
      <c r="AJ307" s="105" t="str">
        <f>IF(A307&lt;&gt;"",COUNTIFS('QA Log'!D:D,A307,'QA Log'!M:M,"Data Verification",'QA Log'!L:L,"Hospital Governance",'QA Log'!Z:Z,"Approved"),"")</f>
        <v/>
      </c>
      <c r="AK307" s="102" t="str">
        <f>IF(A307="","",
SUM(
COUNTIFS('QA Log'!D:D,A307,'QA Log'!M:M,"Data Verification",'QA Log'!Z:Z,"Rejected",'QA Log'!L:L,"*Medicine (section 2)*"),
COUNTIFS('QA Log'!D:D,A307,'QA Log'!M:M,"Data Verification",'QA Log'!Z:Z,"Rejected",'QA Log'!L:L,"*Lab Testing Availability*"),
COUNTIFS('QA Log'!D:D,A307,'QA Log'!M:M,"Data Verification",'QA Log'!Z:Z,"Rejected",'QA Log'!L:L,"*Other than P4P (section 6)*"),
COUNTIFS('QA Log'!D:D,A307,'QA Log'!M:M,"Data Verification",'QA Log'!Z:Z,"Rejected",'QA Log'!L:L,"*Hospital Governance*")
))</f>
        <v/>
      </c>
      <c r="AL307" s="106" t="str">
        <f t="shared" si="31"/>
        <v/>
      </c>
      <c r="AM307" s="102" t="str">
        <f t="shared" si="32"/>
        <v/>
      </c>
      <c r="AN307" s="102" t="str">
        <f>IF(A307="","",
SUM(
COUNTIFS('QA Log'!D:D,A307,'QA Log'!M:M,"Data Verification",'QA Log'!L:L,"*Personnel (section 1)*"),
COUNTIFS('QA Log'!D:D,A307,'QA Log'!M:M,"Data Verification",'QA Log'!L:L,"*Consumable (section 3)*"),
COUNTIFS('QA Log'!D:D,A307,'QA Log'!M:M,"Data Verification",'QA Log'!L:L,"*Equipments (section 4)*")
))</f>
        <v/>
      </c>
      <c r="AO307" s="102" t="str">
        <f>IF(A307="","",
SUM(
COUNTIFS('QA Log'!D:D,A307,'QA Log'!M:M,"Data Verification",'QA Log'!Z:Z,"Approved",'QA Log'!L:L,"*Personnel (section 1)*"),
COUNTIFS('QA Log'!D:D,A307,'QA Log'!M:M,"Data Verification",'QA Log'!Z:Z,"Approved",'QA Log'!L:L,"*Consumable (section 3)*"),
COUNTIFS('QA Log'!D:D,A307,'QA Log'!M:M,"Data Verification",'QA Log'!Z:Z,"Approved",'QA Log'!L:L,"*Equipments (section 4)*")
))</f>
        <v/>
      </c>
      <c r="AP307" s="105" t="str">
        <f>IF(A307&lt;&gt;"",COUNTIFS('QA Log'!D:D,A307,'QA Log'!M:M,"Data Verification",'QA Log'!L:L,"Personnel (section 1)",'QA Log'!Z:Z,"Approved"),"")</f>
        <v/>
      </c>
      <c r="AQ307" s="105" t="str">
        <f>IF(A307&lt;&gt;"",COUNTIFS('QA Log'!D:D,A307,'QA Log'!M:M,"Data Verification",'QA Log'!L:L,"Consumable (section 3)",'QA Log'!Z:Z,"Approved"),"")</f>
        <v/>
      </c>
      <c r="AR307" s="105" t="str">
        <f>IF(A307&lt;&gt;"",COUNTIFS('QA Log'!D:D,A307,'QA Log'!M:M,"Data Verification",'QA Log'!L:L,"Equipments (section 4)",'QA Log'!Z:Z,"Approved"),"")</f>
        <v/>
      </c>
      <c r="AS307" s="102" t="str">
        <f>IF(A307="","",
SUM(
COUNTIFS('QA Log'!D:D,A307,'QA Log'!M:M,"Data Verification",'QA Log'!Z:Z,"Rejected",'QA Log'!L:L,"*Personnel (section 1)*"),
COUNTIFS('QA Log'!D:D,A307,'QA Log'!M:M,"Data Verification",'QA Log'!Z:Z,"Rejected",'QA Log'!L:L,"*Consumable (section 3)*"),
COUNTIFS('QA Log'!D:D,A307,'QA Log'!M:M,"Data Verification",'QA Log'!Z:Z,"Rejected",'QA Log'!L:L,"*Equipments (section 4)*")
))</f>
        <v/>
      </c>
      <c r="AT307" s="102" t="str">
        <f t="shared" si="33"/>
        <v/>
      </c>
      <c r="AU307" s="103" t="str">
        <f t="shared" si="34"/>
        <v/>
      </c>
      <c r="AV307" s="102" t="str">
        <f>IF(A307="","",SUM(
COUNTIFS('QA Log'!D:D,A307,'QA Log'!M:M,"Vignette",'QA Log'!L:L,"*Vignette [1] Respiratory Infection: Pneumonia*"),
COUNTIFS('QA Log'!D:D,A307,'QA Log'!M:M,"Vignette",'QA Log'!L:L,"*Vignette [2]: Diarrhea with Cat B dehydration*"),
COUNTIFS('QA Log'!D:D,A307,'QA Log'!M:M,"Vignette",'QA Log'!L:L,"*Vignette [3] Growth Monitoring and Promotion*"),
COUNTIFS('QA Log'!D:D,A307,'QA Log'!M:M,"Vignette",'QA Log'!L:L,"*Vignette [4]: The management of presumptive TB patient*")
)
)</f>
        <v/>
      </c>
      <c r="AW307" s="102" t="str">
        <f>IF(
  A307="","",
  SUM(
    COUNTIFS('QA Log'!D:D,A307,'QA Log'!M:M,"Vignette",'QA Log'!Z:Z,"Approved",'QA Log'!L:L,"*Vignette [1] Respiratory Infection: Pneumonia*"),
    COUNTIFS('QA Log'!D:D,A307,'QA Log'!M:M,"Vignette",'QA Log'!Z:Z,"Approved",'QA Log'!L:L,"*Vignette [2]: Diarrhea with Cat B dehydration*"),
    COUNTIFS('QA Log'!D:D,A307,'QA Log'!M:M,"Vignette",'QA Log'!Z:Z,"Approved",'QA Log'!L:L,"*Vignette [3] Growth Monitoring and Promotion*"),
    COUNTIFS('QA Log'!D:D,A307,'QA Log'!M:M,"Vignette",'QA Log'!Z:Z,"Approved",'QA Log'!L:L,"*Vignette [4]: The management of presumptive TB patient*")
  )
)</f>
        <v/>
      </c>
      <c r="AX307" s="105" t="str">
        <f>IF(A307&lt;&gt;"",COUNTIFS('QA Log'!D:D,A307,'QA Log'!M:M,"Vignette",'QA Log'!L:L,"Vignette [1] Respiratory Infection: Pneumonia",'QA Log'!Z:Z,"Approved"),"")</f>
        <v/>
      </c>
      <c r="AY307" s="105" t="str">
        <f>IF(A307&lt;&gt;"",COUNTIFS('QA Log'!D:D,A307,'QA Log'!M:M,"Vignette",'QA Log'!L:L,"Vignette [2]: Diarrhea with Cat B dehydration",'QA Log'!Z:Z,"Approved"),"")</f>
        <v/>
      </c>
      <c r="AZ307" s="105" t="str">
        <f>IF(A307&lt;&gt;"",COUNTIFS('QA Log'!D:D,A307,'QA Log'!M:M,"Vignette",'QA Log'!L:L,"Vignette [3] Growth Monitoring and Promotion",'QA Log'!Z:Z,"Approved"),"")</f>
        <v/>
      </c>
      <c r="BA307" s="105" t="str">
        <f>IF(A307&lt;&gt;"",COUNTIFS('QA Log'!D:D,A307,'QA Log'!M:M,"Vignette",'QA Log'!L:L,"Vignette [4]: The management of presumptive TB patient",'QA Log'!Z:Z,"Approved"),"")</f>
        <v/>
      </c>
      <c r="BB307" s="102" t="str">
        <f>IF(A307="","",
  SUM(
    COUNTIFS('QA Log'!D:D,A307,'QA Log'!M:M,"Vignette",'QA Log'!Z:Z,"Rejected",'QA Log'!L:L,"*Vignette [1] Respiratory Infection: Pneumonia*"),
    COUNTIFS('QA Log'!D:D,A307,'QA Log'!M:M,"Vignette",'QA Log'!Z:Z,"Rejected",'QA Log'!L:L,"*Vignette [2]: Diarrhea with Cat B dehydration*"),
    COUNTIFS('QA Log'!D:D,A307,'QA Log'!M:M,"Vignette",'QA Log'!Z:Z,"Rejected",'QA Log'!L:L,"*Vignette [3] Growth Monitoring and Promotion*"),
    COUNTIFS('QA Log'!D:D,A307,'QA Log'!M:M,"Vignette",'QA Log'!Z:Z,"Rejected",'QA Log'!L:L,"*Vignette [4]: The management of presumptive TB patient*")
  )
)</f>
        <v/>
      </c>
      <c r="BC307" s="107" t="str">
        <f t="shared" si="35"/>
        <v/>
      </c>
      <c r="BD307" s="103" t="str">
        <f t="shared" si="36"/>
        <v/>
      </c>
      <c r="BE307" s="102" t="str">
        <f>IF(A307="","",SUM(
COUNTIFS('QA Log'!D:D,A307,'QA Log'!M:M,"Vignette",'QA Log'!L:L,"*Vignette [5] Labor*"),
COUNTIFS('QA Log'!D:D,A307,'QA Log'!M:M,"Vignette",'QA Log'!L:L,"*Vignette [6] PNC pre Discharge*"),
COUNTIFS('QA Log'!D:D,A307,'QA Log'!M:M,"Vignette",'QA Log'!L:L,"*Vignette [7] First ANC Visit*"),
COUNTIFS('QA Log'!D:D,A307,'QA Log'!M:M,"Vignette",'QA Log'!L:L,"*Vignette [8] Birth Spacing/ Family Planning :  FP Counselling*"),
COUNTIFS('QA Log'!D:D,A307,'QA Log'!M:M,"Vignette",'QA Log'!L:L,"*Vignette [9] Birth Spacing: Change FP method to Injectable*"),
COUNTIFS('QA Log'!D:D,A307,'QA Log'!M:M,"Vignette",'QA Log'!L:L,"*Vignette [10] Post Partum Haemorrhage - Atonic Uterus at Health Centre*"),
)
)</f>
        <v/>
      </c>
      <c r="BF307" s="102" t="str">
        <f>IF(A307="","",
  SUM(
    COUNTIFS('QA Log'!D:D,A307,'QA Log'!M:M,"Vignette",'QA Log'!Z:Z,"Approved",'QA Log'!L:L,"*Vignette [5] Labor*"),
    COUNTIFS('QA Log'!D:D,A307,'QA Log'!M:M,"Vignette",'QA Log'!Z:Z,"Approved",'QA Log'!L:L,"*Vignette [6] PNC pre Discharge*"),
    COUNTIFS('QA Log'!D:D,A307,'QA Log'!M:M,"Vignette",'QA Log'!Z:Z,"Approved",'QA Log'!L:L,"*Vignette [7] First ANC Visit*"),
    COUNTIFS('QA Log'!D:D,A307,'QA Log'!M:M,"Vignette",'QA Log'!Z:Z,"Approved",'QA Log'!L:L,"*Vignette [8] Birth Spacing/ Family Planning :  FP Counselling*"),
    COUNTIFS('QA Log'!D:D,A307,'QA Log'!M:M,"Vignette",'QA Log'!Z:Z,"Approved",'QA Log'!L:L,"*Vignette [9] Birth Spacing: Change FP method to Injectable*"),
    COUNTIFS('QA Log'!D:D,A307,'QA Log'!M:M,"Vignette",'QA Log'!Z:Z,"Approved",'QA Log'!L:L,"*Vignette [10] Post Partum Haemorrhage - Atonic Uterus at Health Centre*")
  )
)</f>
        <v/>
      </c>
      <c r="BG307" s="105" t="str">
        <f>IF(A307&lt;&gt;"",COUNTIFS('QA Log'!D:D,A307,'QA Log'!M:M,"Vignette",'QA Log'!L:L,"Vignette [5] Labor",'QA Log'!Z:Z,"Approved"),"")</f>
        <v/>
      </c>
      <c r="BH307" s="105" t="str">
        <f>IF(A307&lt;&gt;"",COUNTIFS('QA Log'!D:D,A307,'QA Log'!M:M,"Vignette",'QA Log'!L:L,"Vignette [6] PNC pre Discharge",'QA Log'!Z:Z,"Approved"),"")</f>
        <v/>
      </c>
      <c r="BI307" s="105" t="str">
        <f>IF(A307&lt;&gt;"",COUNTIFS('QA Log'!D:D,A307,'QA Log'!M:M,"Vignette",'QA Log'!L:L,"Vignette [7] First ANC Visit",'QA Log'!Z:Z,"Approved"),"")</f>
        <v/>
      </c>
      <c r="BJ307" s="105" t="str">
        <f>IF(A307&lt;&gt;"",COUNTIFS('QA Log'!D:D,A307,'QA Log'!M:M,"Vignette",'QA Log'!L:L,"Vignette [8] Birth Spacing/ Family Planning :  FP Counselling",'QA Log'!Z:Z,"Approved"),"")</f>
        <v/>
      </c>
      <c r="BK307" s="105" t="str">
        <f>IF(A307&lt;&gt;"",COUNTIFS('QA Log'!D:D,A307,'QA Log'!M:M,"Vignette",'QA Log'!L:L,"Vignette [9] Birth Spacing: Change FP method to Injectable",'QA Log'!Z:Z,"Approved"),"")</f>
        <v/>
      </c>
      <c r="BL307" s="105" t="str">
        <f>IF(A307&lt;&gt;"",COUNTIFS('QA Log'!D:D,A307,'QA Log'!M:M,"Vignette",'QA Log'!L:L,"Vignette [10] Post Partum Haemorrhage - Atonic Uterus at Health Centre",'QA Log'!Z:Z,"Approved"),"")</f>
        <v/>
      </c>
      <c r="BM307" s="102" t="str">
        <f>IF(A307="","",SUM(
    COUNTIFS('QA Log'!D:D,A307,'QA Log'!M:M,"Vignette",'QA Log'!Z:Z,"Rejected",'QA Log'!L:L,"*Vignette [5] Labor*"),
    COUNTIFS('QA Log'!D:D,A307,'QA Log'!M:M,"Vignette",'QA Log'!Z:Z,"Rejected",'QA Log'!L:L,"*Vignette [6] PNC pre Discharge*"),
    COUNTIFS('QA Log'!D:D,A307,'QA Log'!M:M,"Vignette",'QA Log'!Z:Z,"Rejected",'QA Log'!L:L,"*Vignette [7] First ANC Visit*"),
    COUNTIFS('QA Log'!D:D,A307,'QA Log'!M:M,"Vignette",'QA Log'!Z:Z,"Rejected",'QA Log'!L:L,"*Vignette [8] Birth Spacing/ Family Planning :  FP Counselling*"),
    COUNTIFS('QA Log'!D:D,A307,'QA Log'!M:M,"Vignette",'QA Log'!Z:Z,"Rejected",'QA Log'!L:L,"*Vignette [9] Birth Spacing: Change FP method to Injectable*"),
    COUNTIFS('QA Log'!D:D,A307,'QA Log'!M:M,"Vignette",'QA Log'!Z:Z,"Rejected",'QA Log'!L:L,"*Vignette [10] Post Partum Haemorrhage - Atonic Uterus at Health Centre*")
  )
)</f>
        <v/>
      </c>
      <c r="BN307" s="107" t="str">
        <f t="shared" si="37"/>
        <v/>
      </c>
      <c r="BO307" s="103" t="str">
        <f t="shared" si="38"/>
        <v/>
      </c>
      <c r="BP307" s="102" t="str">
        <f>IF(A307="","",SUM(
COUNTIFS('QA Log'!D:D,A307,'QA Log'!M:M,"Vignette",'QA Log'!L:L,"*Exit Interview 1*"),
COUNTIFS('QA Log'!D:D,A307,'QA Log'!M:M,"Vignette",'QA Log'!L:L,"*Exit Interview 2*"),
)
)</f>
        <v/>
      </c>
      <c r="BQ307" s="102" t="str">
        <f>IF(
  A307="","",
  SUM(
    COUNTIFS('QA Log'!D:D,A307,'QA Log'!M:M,"Vignette",'QA Log'!Z:Z,"Approved",'QA Log'!L:L,"*Exit Interview 1*"),
    COUNTIFS('QA Log'!D:D,A307,'QA Log'!M:M,"Vignette",'QA Log'!Z:Z,"Approved",'QA Log'!L:L,"*Exit Interview 2*")
  )
)</f>
        <v/>
      </c>
      <c r="BR307" s="105" t="str">
        <f>IF(A307&lt;&gt;"",COUNTIFS('QA Log'!D:D,A307,'QA Log'!M:M,"Vignette",'QA Log'!L:L,"Exit Interview 1",'QA Log'!Z:Z,"Approved"),"")</f>
        <v/>
      </c>
      <c r="BS307" s="105" t="str">
        <f>IF(A307&lt;&gt;"",COUNTIFS('QA Log'!D:D,A307,'QA Log'!M:M,"Vignette",'QA Log'!L:L,"Exit Interview 2",'QA Log'!Z:Z,"Approved"),"")</f>
        <v/>
      </c>
      <c r="BT307" s="102" t="str">
        <f>IF(
  A307="","",
  SUM(
    COUNTIFS('QA Log'!D:D,A307,'QA Log'!M:M,"Vignette",'QA Log'!Z:Z,"Rejected",'QA Log'!L:L,"*Exit Interview 1*"),
    COUNTIFS('QA Log'!D:D,A307,'QA Log'!M:M,"Vignette",'QA Log'!Z:Z,"Rejected",'QA Log'!L:L,"*Exit Interview 2*")
  )
)</f>
        <v/>
      </c>
      <c r="BU307" s="107" t="str">
        <f t="shared" si="39"/>
        <v/>
      </c>
      <c r="BV307" s="102" t="str">
        <f t="shared" si="40"/>
        <v/>
      </c>
      <c r="BW307" s="102" t="str">
        <f t="shared" si="41"/>
        <v/>
      </c>
      <c r="BX307" s="102" t="str">
        <f t="shared" si="42"/>
        <v/>
      </c>
      <c r="BY307" s="102" t="str">
        <f t="shared" si="43"/>
        <v/>
      </c>
      <c r="BZ307" s="107" t="str">
        <f t="shared" si="44"/>
        <v/>
      </c>
      <c r="CA307" s="108" t="str">
        <f t="shared" si="45"/>
        <v/>
      </c>
      <c r="CB307" s="108" t="str">
        <f t="shared" si="46"/>
        <v/>
      </c>
      <c r="CC307" s="109" t="str">
        <f t="shared" si="47"/>
        <v/>
      </c>
      <c r="CD307" s="108" t="str">
        <f t="shared" si="48"/>
        <v/>
      </c>
      <c r="CE307" s="108" t="str">
        <f t="shared" si="49"/>
        <v/>
      </c>
      <c r="CF307" s="109" t="str">
        <f t="shared" si="50"/>
        <v/>
      </c>
      <c r="CG307" s="110" t="str">
        <f t="shared" si="51"/>
        <v/>
      </c>
      <c r="CH307" s="111"/>
    </row>
    <row r="308" spans="1:86" ht="12.75">
      <c r="A308" s="101"/>
      <c r="B308" s="102" t="e">
        <f t="array" aca="1" ref="B308" ca="1">_xludf.XLOOKUP(A308,'QA Log'!D:D,'QA Log'!E:E,"")</f>
        <v>#NAME?</v>
      </c>
      <c r="C308" s="102" t="e">
        <f t="array" aca="1" ref="C308" ca="1">_xludf.XLOOKUP(A308,'QA Log'!D:D,'QA Log'!F:F,"")</f>
        <v>#NAME?</v>
      </c>
      <c r="D308" s="102" t="e">
        <f t="array" aca="1" ref="D308" ca="1">_xludf.XLOOKUP(A308,'QA Log'!D:D,'QA Log'!H:H,"")</f>
        <v>#NAME?</v>
      </c>
      <c r="E308" s="102" t="e">
        <f t="array" aca="1" ref="E308" ca="1">_xludf.XLOOKUP(A308,'QA Log'!D:D,'QA Log'!G:G,"")</f>
        <v>#NAME?</v>
      </c>
      <c r="F308" s="103"/>
      <c r="G308" s="104"/>
      <c r="H308" s="104"/>
      <c r="I308" s="103" t="str">
        <f t="shared" si="26"/>
        <v/>
      </c>
      <c r="J308" s="102" t="str">
        <f>IF(A308="","",SUM(
COUNTIFS('QA Log'!D:D,A308,'QA Log'!M:M,"QQC",'QA Log'!L:L,"*1. General Management*"),
COUNTIFS('QA Log'!D:D,A308,'QA Log'!M:M,"QQC",'QA Log'!L:L,"*3. Curative Consultation (OPD)*"),
COUNTIFS('QA Log'!D:D,A308,'QA Log'!M:M,"QQC",'QA Log'!L:L,"*5. Laboratory*"),
COUNTIFS('QA Log'!D:D,A308,'QA Log'!M:M,"QQC",'QA Log'!L:L,"*6. Essential Medicine Management*"),
COUNTIFS('QA Log'!D:D,A308,'QA Log'!M:M,"QQC",'QA Log'!L:L,"*7. Tracer Medicine*"),
COUNTIFS('QA Log'!D:D,A308,'QA Log'!M:M,"QQC",'QA Log'!L:L,"*11. Additional Questions*")))</f>
        <v/>
      </c>
      <c r="K308" s="102" t="str">
        <f>IF(A308="","",SUM(
COUNTIFS('QA Log'!D:D,A308,'QA Log'!M:M,"QQC",'QA Log'!Z:Z,"Approved",'QA Log'!L:L,"*1. General Management*"),
COUNTIFS('QA Log'!D:D,A308,'QA Log'!M:M,"QQC",'QA Log'!Z:Z,"Approved",'QA Log'!L:L,"*3. Curative Consultation (OPD)*"),
COUNTIFS('QA Log'!D:D,A308,'QA Log'!M:M,"QQC",'QA Log'!Z:Z,"Approved",'QA Log'!L:L,"*5. Laboratory*"),
COUNTIFS('QA Log'!D:D,A308,'QA Log'!M:M,"QQC",'QA Log'!Z:Z,"Approved",'QA Log'!L:L,"*6. Essential Medicine Management*"),
COUNTIFS('QA Log'!D:D,A308,'QA Log'!M:M,"QQC",'QA Log'!Z:Z,"Approved",'QA Log'!L:L,"*7. Tracer Medicine*"),
COUNTIFS('QA Log'!D:D,A308,'QA Log'!M:M,"QQC",'QA Log'!Z:Z,"Approved",'QA Log'!L:L,"*11. Additional Questions*")))</f>
        <v/>
      </c>
      <c r="L308" s="105" t="str">
        <f>IF(A308&lt;&gt;"",COUNTIFS('QA Log'!D:D,A308,'QA Log'!M:M,"QQC",'QA Log'!L:L,"1. General Management",'QA Log'!Z:Z,"Approved"),"")</f>
        <v/>
      </c>
      <c r="M308" s="105" t="str">
        <f>IF(A308&lt;&gt;"",COUNTIFS('QA Log'!D:D,A308,'QA Log'!M:M,"QQC",'QA Log'!L:L,"3. Curative Consultation (OPD)",'QA Log'!Z:Z,"Approved"),"")</f>
        <v/>
      </c>
      <c r="N308" s="105" t="str">
        <f>IF(A308&lt;&gt;"",COUNTIFS('QA Log'!D:D,A308,'QA Log'!M:M,"QQC",'QA Log'!L:L,"5. Laboratory",'QA Log'!Z:Z,"Approved"),"")</f>
        <v/>
      </c>
      <c r="O308" s="105" t="str">
        <f>IF(A308&lt;&gt;"",COUNTIFS('QA Log'!D:D,A308,'QA Log'!M:M,"QQC",'QA Log'!L:L,"6. Essential Medicine Management",'QA Log'!Z:Z,"Approved"),"")</f>
        <v/>
      </c>
      <c r="P308" s="105" t="str">
        <f>IF(A308&lt;&gt;"",COUNTIFS('QA Log'!D:D,A308,'QA Log'!M:M,"QQC",'QA Log'!L:L,"7. Tracer Medicine",'QA Log'!Z:Z,"Approved"),"")</f>
        <v/>
      </c>
      <c r="Q308" s="105" t="str">
        <f>IF(A308&lt;&gt;"",COUNTIFS('QA Log'!D:D,A308,'QA Log'!M:M,"QQC",'QA Log'!L:L,"11. Additional Questions",'QA Log'!Z:Z,"Approved"),"")</f>
        <v/>
      </c>
      <c r="R308" s="102" t="str">
        <f>IF(A308="","",SUM(
COUNTIFS('QA Log'!D:D,A308,'QA Log'!M:M,"QQC",'QA Log'!Z:Z,"Rejected",'QA Log'!L:L,"*8. Maternity*"),
COUNTIFS('QA Log'!D:D,A308,'QA Log'!M:M,"QQC",'QA Log'!Z:Z,"Rejected",'QA Log'!L:L,"*EPI*"),
COUNTIFS('QA Log'!D:D,A308,'QA Log'!M:M,"QQC",'QA Log'!Z:Z,"Rejected",'QA Log'!L:L,"*10. Antenatal Care (ANC)*"),
COUNTIFS('QA Log'!D:D,A308,'QA Log'!M:M,"QQC",'QA Log'!Z:Z,"Rejected",'QA Log'!L:L,"*2. Hygiene and Sterilization*"),
COUNTIFS('QA Log'!D:D,A308,'QA Log'!M:M,"QQC",'QA Log'!Z:Z,"Rejected",'QA Log'!L:L,"*Family Planning*")))</f>
        <v/>
      </c>
      <c r="S308" s="106" t="str">
        <f t="shared" si="27"/>
        <v/>
      </c>
      <c r="T308" s="102" t="str">
        <f t="shared" si="28"/>
        <v/>
      </c>
      <c r="U308" s="102" t="str">
        <f>IF(A308="","",
SUM(
COUNTIFS('QA Log'!D:D,A308,'QA Log'!M:M,"QQC",'QA Log'!L:L,"*8. Maternity*"),
COUNTIFS('QA Log'!D:D,A308,'QA Log'!M:M,"QQC",'QA Log'!L:L,"*9. EPI and Pre-school Consultation*"),
COUNTIFS('QA Log'!D:D,A308,'QA Log'!M:M,"QQC",'QA Log'!L:L,"*10. Antenatal Care (ANC)*"),
COUNTIFS('QA Log'!D:D,A308,'QA Log'!M:M,"QQC",'QA Log'!L:L,"*2. Hygiene and Sterilization*"),
COUNTIFS('QA Log'!D:D,A308,'QA Log'!M:M,"QQC",'QA Log'!L:L,"*4. Family Planning*")
))</f>
        <v/>
      </c>
      <c r="V308" s="102" t="str">
        <f>IF(A308="","",
SUM(
COUNTIFS('QA Log'!D:D,A308,'QA Log'!M:M,"QQC",'QA Log'!Z:Z,"Approved",'QA Log'!L:L,"*8. Maternity*"),
COUNTIFS('QA Log'!D:D,A308,'QA Log'!M:M,"QQC",'QA Log'!Z:Z,"Approved",'QA Log'!L:L,"*9. EPI and Pre-school Consultation*"),
COUNTIFS('QA Log'!D:D,A308,'QA Log'!M:M,"QQC",'QA Log'!Z:Z,"Approved",'QA Log'!L:L,"*10. Antenatal Care (ANC)*"),
COUNTIFS('QA Log'!D:D,A308,'QA Log'!M:M,"QQC",'QA Log'!Z:Z,"Approved",'QA Log'!L:L,"*2. Hygiene and Sterilization*"),
COUNTIFS('QA Log'!D:D,A308,'QA Log'!M:M,"QQC",'QA Log'!Z:Z,"Approved",'QA Log'!L:L,"*4. Family Planning*")
))</f>
        <v/>
      </c>
      <c r="W308" s="105" t="str">
        <f>IF(A308&lt;&gt;"",COUNTIFS('QA Log'!D:D,A308,'QA Log'!M:M,"QQC",'QA Log'!L:L,"8. Maternity",'QA Log'!Z:Z,"Approved"),"")</f>
        <v/>
      </c>
      <c r="X308" s="105" t="str">
        <f>IF(A308&lt;&gt;"",COUNTIFS('QA Log'!D:D,A308,'QA Log'!M:M,"QQC",'QA Log'!L:L,"9. EPI and Pre-school Consultation",'QA Log'!Z:Z,"Approved"),"")</f>
        <v/>
      </c>
      <c r="Y308" s="105" t="str">
        <f>IF(A308&lt;&gt;"",COUNTIFS('QA Log'!D:D,A308,'QA Log'!M:M,"QQC",'QA Log'!L:L,"10. Antenatal Care (ANC)",'QA Log'!Z:Z,"Approved"),"")</f>
        <v/>
      </c>
      <c r="Z308" s="105" t="str">
        <f>IF(A308&lt;&gt;"",COUNTIFS('QA Log'!D:D,A308,'QA Log'!M:M,"QQC",'QA Log'!L:L,"2. Hygiene and Sterilization",'QA Log'!Z:Z,"Approved"),"")</f>
        <v/>
      </c>
      <c r="AA308" s="105" t="str">
        <f>IF(A308&lt;&gt;"",COUNTIFS('QA Log'!D:D,A308,'QA Log'!M:M,"QQC",'QA Log'!L:L,"4. Family Planning",'QA Log'!Z:Z,"Approved"),"")</f>
        <v/>
      </c>
      <c r="AB308" s="102" t="str">
        <f>IF(A308="","",
SUM(
COUNTIFS('QA Log'!D:D,A308,'QA Log'!M:M,"QQC",'QA Log'!Z:Z,"Rejected",'QA Log'!L:L,"*8. Maternity*"),
COUNTIFS('QA Log'!D:D,A308,'QA Log'!M:M,"QQC",'QA Log'!Z:Z,"Rejected",'QA Log'!L:L,"*9. EPI and Pre-school Consultation*"),
COUNTIFS('QA Log'!D:D,A308,'QA Log'!M:M,"QQC",'QA Log'!Z:Z,"Rejected",'QA Log'!L:L,"*10. Antenatal Care (ANC)*"),
COUNTIFS('QA Log'!D:D,A308,'QA Log'!M:M,"QQC",'QA Log'!Z:Z,"Rejected",'QA Log'!L:L,"*2. Hygiene and Sterilization*"),
COUNTIFS('QA Log'!D:D,A308,'QA Log'!M:M,"QQC",'QA Log'!Z:Z,"Rejected",'QA Log'!L:L,"*4. Family Planning*")
))</f>
        <v/>
      </c>
      <c r="AC308" s="102" t="str">
        <f t="shared" si="29"/>
        <v/>
      </c>
      <c r="AD308" s="103" t="str">
        <f t="shared" si="30"/>
        <v/>
      </c>
      <c r="AE308" s="102" t="str">
        <f>IF(A308="","",
SUM(
COUNTIFS('QA Log'!D:D,A308,'QA Log'!M:M,"Data Verification",'QA Log'!L:L,"*Medicine (section 2)*"),
COUNTIFS('QA Log'!D:D,A308,'QA Log'!M:M,"Data Verification",'QA Log'!L:L,"*Lab Testing Availability*"),
COUNTIFS('QA Log'!D:D,A308,'QA Log'!M:M,"Data Verification",'QA Log'!L:L,"*Other than P4P (section 6)*"),
COUNTIFS('QA Log'!D:D,A308,'QA Log'!M:M,"Data Verification",'QA Log'!L:L,"*Hospital Governance*")
))</f>
        <v/>
      </c>
      <c r="AF308" s="102" t="str">
        <f>IF(A308="","",
SUM(
COUNTIFS('QA Log'!D:D,A308,'QA Log'!M:M,"Data Verification",'QA Log'!Z:Z,"Approved",'QA Log'!L:L,"*Medicine (section 2)*"),
COUNTIFS('QA Log'!D:D,A308,'QA Log'!M:M,"Data Verification",'QA Log'!Z:Z,"Approved",'QA Log'!L:L,"*Lab Testing Availability*"),
COUNTIFS('QA Log'!D:D,A308,'QA Log'!M:M,"Data Verification",'QA Log'!Z:Z,"Approved",'QA Log'!L:L,"*Other than P4P (section 6)*"),
COUNTIFS('QA Log'!D:D,A308,'QA Log'!M:M,"Data Verification",'QA Log'!Z:Z,"Approved",'QA Log'!L:L,"*Hospital Governance*")
))</f>
        <v/>
      </c>
      <c r="AG308" s="105" t="str">
        <f>IF(A308&lt;&gt;"",COUNTIFS('QA Log'!D:D,A308,'QA Log'!M:M,"Data Verification",'QA Log'!L:L,"Medicine (section 2)",'QA Log'!Z:Z,"Approved"),"")</f>
        <v/>
      </c>
      <c r="AH308" s="105" t="str">
        <f>IF(A308&lt;&gt;"",COUNTIFS('QA Log'!D:D,A308,'QA Log'!M:M,"Data Verification",'QA Log'!L:L,"Lab Testing Availability",'QA Log'!Z:Z,"Approved"),"")</f>
        <v/>
      </c>
      <c r="AI308" s="105" t="str">
        <f>IF(A308&lt;&gt;"",COUNTIFS('QA Log'!D:D,A308,'QA Log'!M:M,"Data Verification",'QA Log'!L:L,"Other than P4P (section 6)",'QA Log'!Z:Z,"Approved"),"")</f>
        <v/>
      </c>
      <c r="AJ308" s="105" t="str">
        <f>IF(A308&lt;&gt;"",COUNTIFS('QA Log'!D:D,A308,'QA Log'!M:M,"Data Verification",'QA Log'!L:L,"Hospital Governance",'QA Log'!Z:Z,"Approved"),"")</f>
        <v/>
      </c>
      <c r="AK308" s="102" t="str">
        <f>IF(A308="","",
SUM(
COUNTIFS('QA Log'!D:D,A308,'QA Log'!M:M,"Data Verification",'QA Log'!Z:Z,"Rejected",'QA Log'!L:L,"*Medicine (section 2)*"),
COUNTIFS('QA Log'!D:D,A308,'QA Log'!M:M,"Data Verification",'QA Log'!Z:Z,"Rejected",'QA Log'!L:L,"*Lab Testing Availability*"),
COUNTIFS('QA Log'!D:D,A308,'QA Log'!M:M,"Data Verification",'QA Log'!Z:Z,"Rejected",'QA Log'!L:L,"*Other than P4P (section 6)*"),
COUNTIFS('QA Log'!D:D,A308,'QA Log'!M:M,"Data Verification",'QA Log'!Z:Z,"Rejected",'QA Log'!L:L,"*Hospital Governance*")
))</f>
        <v/>
      </c>
      <c r="AL308" s="106" t="str">
        <f t="shared" si="31"/>
        <v/>
      </c>
      <c r="AM308" s="102" t="str">
        <f t="shared" si="32"/>
        <v/>
      </c>
      <c r="AN308" s="102" t="str">
        <f>IF(A308="","",
SUM(
COUNTIFS('QA Log'!D:D,A308,'QA Log'!M:M,"Data Verification",'QA Log'!L:L,"*Personnel (section 1)*"),
COUNTIFS('QA Log'!D:D,A308,'QA Log'!M:M,"Data Verification",'QA Log'!L:L,"*Consumable (section 3)*"),
COUNTIFS('QA Log'!D:D,A308,'QA Log'!M:M,"Data Verification",'QA Log'!L:L,"*Equipments (section 4)*")
))</f>
        <v/>
      </c>
      <c r="AO308" s="102" t="str">
        <f>IF(A308="","",
SUM(
COUNTIFS('QA Log'!D:D,A308,'QA Log'!M:M,"Data Verification",'QA Log'!Z:Z,"Approved",'QA Log'!L:L,"*Personnel (section 1)*"),
COUNTIFS('QA Log'!D:D,A308,'QA Log'!M:M,"Data Verification",'QA Log'!Z:Z,"Approved",'QA Log'!L:L,"*Consumable (section 3)*"),
COUNTIFS('QA Log'!D:D,A308,'QA Log'!M:M,"Data Verification",'QA Log'!Z:Z,"Approved",'QA Log'!L:L,"*Equipments (section 4)*")
))</f>
        <v/>
      </c>
      <c r="AP308" s="105" t="str">
        <f>IF(A308&lt;&gt;"",COUNTIFS('QA Log'!D:D,A308,'QA Log'!M:M,"Data Verification",'QA Log'!L:L,"Personnel (section 1)",'QA Log'!Z:Z,"Approved"),"")</f>
        <v/>
      </c>
      <c r="AQ308" s="105" t="str">
        <f>IF(A308&lt;&gt;"",COUNTIFS('QA Log'!D:D,A308,'QA Log'!M:M,"Data Verification",'QA Log'!L:L,"Consumable (section 3)",'QA Log'!Z:Z,"Approved"),"")</f>
        <v/>
      </c>
      <c r="AR308" s="105" t="str">
        <f>IF(A308&lt;&gt;"",COUNTIFS('QA Log'!D:D,A308,'QA Log'!M:M,"Data Verification",'QA Log'!L:L,"Equipments (section 4)",'QA Log'!Z:Z,"Approved"),"")</f>
        <v/>
      </c>
      <c r="AS308" s="102" t="str">
        <f>IF(A308="","",
SUM(
COUNTIFS('QA Log'!D:D,A308,'QA Log'!M:M,"Data Verification",'QA Log'!Z:Z,"Rejected",'QA Log'!L:L,"*Personnel (section 1)*"),
COUNTIFS('QA Log'!D:D,A308,'QA Log'!M:M,"Data Verification",'QA Log'!Z:Z,"Rejected",'QA Log'!L:L,"*Consumable (section 3)*"),
COUNTIFS('QA Log'!D:D,A308,'QA Log'!M:M,"Data Verification",'QA Log'!Z:Z,"Rejected",'QA Log'!L:L,"*Equipments (section 4)*")
))</f>
        <v/>
      </c>
      <c r="AT308" s="102" t="str">
        <f t="shared" si="33"/>
        <v/>
      </c>
      <c r="AU308" s="103" t="str">
        <f t="shared" si="34"/>
        <v/>
      </c>
      <c r="AV308" s="102" t="str">
        <f>IF(A308="","",SUM(
COUNTIFS('QA Log'!D:D,A308,'QA Log'!M:M,"Vignette",'QA Log'!L:L,"*Vignette [1] Respiratory Infection: Pneumonia*"),
COUNTIFS('QA Log'!D:D,A308,'QA Log'!M:M,"Vignette",'QA Log'!L:L,"*Vignette [2]: Diarrhea with Cat B dehydration*"),
COUNTIFS('QA Log'!D:D,A308,'QA Log'!M:M,"Vignette",'QA Log'!L:L,"*Vignette [3] Growth Monitoring and Promotion*"),
COUNTIFS('QA Log'!D:D,A308,'QA Log'!M:M,"Vignette",'QA Log'!L:L,"*Vignette [4]: The management of presumptive TB patient*")
)
)</f>
        <v/>
      </c>
      <c r="AW308" s="102" t="str">
        <f>IF(
  A308="","",
  SUM(
    COUNTIFS('QA Log'!D:D,A308,'QA Log'!M:M,"Vignette",'QA Log'!Z:Z,"Approved",'QA Log'!L:L,"*Vignette [1] Respiratory Infection: Pneumonia*"),
    COUNTIFS('QA Log'!D:D,A308,'QA Log'!M:M,"Vignette",'QA Log'!Z:Z,"Approved",'QA Log'!L:L,"*Vignette [2]: Diarrhea with Cat B dehydration*"),
    COUNTIFS('QA Log'!D:D,A308,'QA Log'!M:M,"Vignette",'QA Log'!Z:Z,"Approved",'QA Log'!L:L,"*Vignette [3] Growth Monitoring and Promotion*"),
    COUNTIFS('QA Log'!D:D,A308,'QA Log'!M:M,"Vignette",'QA Log'!Z:Z,"Approved",'QA Log'!L:L,"*Vignette [4]: The management of presumptive TB patient*")
  )
)</f>
        <v/>
      </c>
      <c r="AX308" s="105" t="str">
        <f>IF(A308&lt;&gt;"",COUNTIFS('QA Log'!D:D,A308,'QA Log'!M:M,"Vignette",'QA Log'!L:L,"Vignette [1] Respiratory Infection: Pneumonia",'QA Log'!Z:Z,"Approved"),"")</f>
        <v/>
      </c>
      <c r="AY308" s="105" t="str">
        <f>IF(A308&lt;&gt;"",COUNTIFS('QA Log'!D:D,A308,'QA Log'!M:M,"Vignette",'QA Log'!L:L,"Vignette [2]: Diarrhea with Cat B dehydration",'QA Log'!Z:Z,"Approved"),"")</f>
        <v/>
      </c>
      <c r="AZ308" s="105" t="str">
        <f>IF(A308&lt;&gt;"",COUNTIFS('QA Log'!D:D,A308,'QA Log'!M:M,"Vignette",'QA Log'!L:L,"Vignette [3] Growth Monitoring and Promotion",'QA Log'!Z:Z,"Approved"),"")</f>
        <v/>
      </c>
      <c r="BA308" s="105" t="str">
        <f>IF(A308&lt;&gt;"",COUNTIFS('QA Log'!D:D,A308,'QA Log'!M:M,"Vignette",'QA Log'!L:L,"Vignette [4]: The management of presumptive TB patient",'QA Log'!Z:Z,"Approved"),"")</f>
        <v/>
      </c>
      <c r="BB308" s="102" t="str">
        <f>IF(A308="","",
  SUM(
    COUNTIFS('QA Log'!D:D,A308,'QA Log'!M:M,"Vignette",'QA Log'!Z:Z,"Rejected",'QA Log'!L:L,"*Vignette [1] Respiratory Infection: Pneumonia*"),
    COUNTIFS('QA Log'!D:D,A308,'QA Log'!M:M,"Vignette",'QA Log'!Z:Z,"Rejected",'QA Log'!L:L,"*Vignette [2]: Diarrhea with Cat B dehydration*"),
    COUNTIFS('QA Log'!D:D,A308,'QA Log'!M:M,"Vignette",'QA Log'!Z:Z,"Rejected",'QA Log'!L:L,"*Vignette [3] Growth Monitoring and Promotion*"),
    COUNTIFS('QA Log'!D:D,A308,'QA Log'!M:M,"Vignette",'QA Log'!Z:Z,"Rejected",'QA Log'!L:L,"*Vignette [4]: The management of presumptive TB patient*")
  )
)</f>
        <v/>
      </c>
      <c r="BC308" s="107" t="str">
        <f t="shared" si="35"/>
        <v/>
      </c>
      <c r="BD308" s="103" t="str">
        <f t="shared" si="36"/>
        <v/>
      </c>
      <c r="BE308" s="102" t="str">
        <f>IF(A308="","",SUM(
COUNTIFS('QA Log'!D:D,A308,'QA Log'!M:M,"Vignette",'QA Log'!L:L,"*Vignette [5] Labor*"),
COUNTIFS('QA Log'!D:D,A308,'QA Log'!M:M,"Vignette",'QA Log'!L:L,"*Vignette [6] PNC pre Discharge*"),
COUNTIFS('QA Log'!D:D,A308,'QA Log'!M:M,"Vignette",'QA Log'!L:L,"*Vignette [7] First ANC Visit*"),
COUNTIFS('QA Log'!D:D,A308,'QA Log'!M:M,"Vignette",'QA Log'!L:L,"*Vignette [8] Birth Spacing/ Family Planning :  FP Counselling*"),
COUNTIFS('QA Log'!D:D,A308,'QA Log'!M:M,"Vignette",'QA Log'!L:L,"*Vignette [9] Birth Spacing: Change FP method to Injectable*"),
COUNTIFS('QA Log'!D:D,A308,'QA Log'!M:M,"Vignette",'QA Log'!L:L,"*Vignette [10] Post Partum Haemorrhage - Atonic Uterus at Health Centre*"),
)
)</f>
        <v/>
      </c>
      <c r="BF308" s="102" t="str">
        <f>IF(A308="","",
  SUM(
    COUNTIFS('QA Log'!D:D,A308,'QA Log'!M:M,"Vignette",'QA Log'!Z:Z,"Approved",'QA Log'!L:L,"*Vignette [5] Labor*"),
    COUNTIFS('QA Log'!D:D,A308,'QA Log'!M:M,"Vignette",'QA Log'!Z:Z,"Approved",'QA Log'!L:L,"*Vignette [6] PNC pre Discharge*"),
    COUNTIFS('QA Log'!D:D,A308,'QA Log'!M:M,"Vignette",'QA Log'!Z:Z,"Approved",'QA Log'!L:L,"*Vignette [7] First ANC Visit*"),
    COUNTIFS('QA Log'!D:D,A308,'QA Log'!M:M,"Vignette",'QA Log'!Z:Z,"Approved",'QA Log'!L:L,"*Vignette [8] Birth Spacing/ Family Planning :  FP Counselling*"),
    COUNTIFS('QA Log'!D:D,A308,'QA Log'!M:M,"Vignette",'QA Log'!Z:Z,"Approved",'QA Log'!L:L,"*Vignette [9] Birth Spacing: Change FP method to Injectable*"),
    COUNTIFS('QA Log'!D:D,A308,'QA Log'!M:M,"Vignette",'QA Log'!Z:Z,"Approved",'QA Log'!L:L,"*Vignette [10] Post Partum Haemorrhage - Atonic Uterus at Health Centre*")
  )
)</f>
        <v/>
      </c>
      <c r="BG308" s="105" t="str">
        <f>IF(A308&lt;&gt;"",COUNTIFS('QA Log'!D:D,A308,'QA Log'!M:M,"Vignette",'QA Log'!L:L,"Vignette [5] Labor",'QA Log'!Z:Z,"Approved"),"")</f>
        <v/>
      </c>
      <c r="BH308" s="105" t="str">
        <f>IF(A308&lt;&gt;"",COUNTIFS('QA Log'!D:D,A308,'QA Log'!M:M,"Vignette",'QA Log'!L:L,"Vignette [6] PNC pre Discharge",'QA Log'!Z:Z,"Approved"),"")</f>
        <v/>
      </c>
      <c r="BI308" s="105" t="str">
        <f>IF(A308&lt;&gt;"",COUNTIFS('QA Log'!D:D,A308,'QA Log'!M:M,"Vignette",'QA Log'!L:L,"Vignette [7] First ANC Visit",'QA Log'!Z:Z,"Approved"),"")</f>
        <v/>
      </c>
      <c r="BJ308" s="105" t="str">
        <f>IF(A308&lt;&gt;"",COUNTIFS('QA Log'!D:D,A308,'QA Log'!M:M,"Vignette",'QA Log'!L:L,"Vignette [8] Birth Spacing/ Family Planning :  FP Counselling",'QA Log'!Z:Z,"Approved"),"")</f>
        <v/>
      </c>
      <c r="BK308" s="105" t="str">
        <f>IF(A308&lt;&gt;"",COUNTIFS('QA Log'!D:D,A308,'QA Log'!M:M,"Vignette",'QA Log'!L:L,"Vignette [9] Birth Spacing: Change FP method to Injectable",'QA Log'!Z:Z,"Approved"),"")</f>
        <v/>
      </c>
      <c r="BL308" s="105" t="str">
        <f>IF(A308&lt;&gt;"",COUNTIFS('QA Log'!D:D,A308,'QA Log'!M:M,"Vignette",'QA Log'!L:L,"Vignette [10] Post Partum Haemorrhage - Atonic Uterus at Health Centre",'QA Log'!Z:Z,"Approved"),"")</f>
        <v/>
      </c>
      <c r="BM308" s="102" t="str">
        <f>IF(A308="","",SUM(
    COUNTIFS('QA Log'!D:D,A308,'QA Log'!M:M,"Vignette",'QA Log'!Z:Z,"Rejected",'QA Log'!L:L,"*Vignette [5] Labor*"),
    COUNTIFS('QA Log'!D:D,A308,'QA Log'!M:M,"Vignette",'QA Log'!Z:Z,"Rejected",'QA Log'!L:L,"*Vignette [6] PNC pre Discharge*"),
    COUNTIFS('QA Log'!D:D,A308,'QA Log'!M:M,"Vignette",'QA Log'!Z:Z,"Rejected",'QA Log'!L:L,"*Vignette [7] First ANC Visit*"),
    COUNTIFS('QA Log'!D:D,A308,'QA Log'!M:M,"Vignette",'QA Log'!Z:Z,"Rejected",'QA Log'!L:L,"*Vignette [8] Birth Spacing/ Family Planning :  FP Counselling*"),
    COUNTIFS('QA Log'!D:D,A308,'QA Log'!M:M,"Vignette",'QA Log'!Z:Z,"Rejected",'QA Log'!L:L,"*Vignette [9] Birth Spacing: Change FP method to Injectable*"),
    COUNTIFS('QA Log'!D:D,A308,'QA Log'!M:M,"Vignette",'QA Log'!Z:Z,"Rejected",'QA Log'!L:L,"*Vignette [10] Post Partum Haemorrhage - Atonic Uterus at Health Centre*")
  )
)</f>
        <v/>
      </c>
      <c r="BN308" s="107" t="str">
        <f t="shared" si="37"/>
        <v/>
      </c>
      <c r="BO308" s="103" t="str">
        <f t="shared" si="38"/>
        <v/>
      </c>
      <c r="BP308" s="102" t="str">
        <f>IF(A308="","",SUM(
COUNTIFS('QA Log'!D:D,A308,'QA Log'!M:M,"Vignette",'QA Log'!L:L,"*Exit Interview 1*"),
COUNTIFS('QA Log'!D:D,A308,'QA Log'!M:M,"Vignette",'QA Log'!L:L,"*Exit Interview 2*"),
)
)</f>
        <v/>
      </c>
      <c r="BQ308" s="102" t="str">
        <f>IF(
  A308="","",
  SUM(
    COUNTIFS('QA Log'!D:D,A308,'QA Log'!M:M,"Vignette",'QA Log'!Z:Z,"Approved",'QA Log'!L:L,"*Exit Interview 1*"),
    COUNTIFS('QA Log'!D:D,A308,'QA Log'!M:M,"Vignette",'QA Log'!Z:Z,"Approved",'QA Log'!L:L,"*Exit Interview 2*")
  )
)</f>
        <v/>
      </c>
      <c r="BR308" s="105" t="str">
        <f>IF(A308&lt;&gt;"",COUNTIFS('QA Log'!D:D,A308,'QA Log'!M:M,"Vignette",'QA Log'!L:L,"Exit Interview 1",'QA Log'!Z:Z,"Approved"),"")</f>
        <v/>
      </c>
      <c r="BS308" s="105" t="str">
        <f>IF(A308&lt;&gt;"",COUNTIFS('QA Log'!D:D,A308,'QA Log'!M:M,"Vignette",'QA Log'!L:L,"Exit Interview 2",'QA Log'!Z:Z,"Approved"),"")</f>
        <v/>
      </c>
      <c r="BT308" s="102" t="str">
        <f>IF(
  A308="","",
  SUM(
    COUNTIFS('QA Log'!D:D,A308,'QA Log'!M:M,"Vignette",'QA Log'!Z:Z,"Rejected",'QA Log'!L:L,"*Exit Interview 1*"),
    COUNTIFS('QA Log'!D:D,A308,'QA Log'!M:M,"Vignette",'QA Log'!Z:Z,"Rejected",'QA Log'!L:L,"*Exit Interview 2*")
  )
)</f>
        <v/>
      </c>
      <c r="BU308" s="107" t="str">
        <f t="shared" si="39"/>
        <v/>
      </c>
      <c r="BV308" s="102" t="str">
        <f t="shared" si="40"/>
        <v/>
      </c>
      <c r="BW308" s="102" t="str">
        <f t="shared" si="41"/>
        <v/>
      </c>
      <c r="BX308" s="102" t="str">
        <f t="shared" si="42"/>
        <v/>
      </c>
      <c r="BY308" s="102" t="str">
        <f t="shared" si="43"/>
        <v/>
      </c>
      <c r="BZ308" s="107" t="str">
        <f t="shared" si="44"/>
        <v/>
      </c>
      <c r="CA308" s="108" t="str">
        <f t="shared" si="45"/>
        <v/>
      </c>
      <c r="CB308" s="108" t="str">
        <f t="shared" si="46"/>
        <v/>
      </c>
      <c r="CC308" s="109" t="str">
        <f t="shared" si="47"/>
        <v/>
      </c>
      <c r="CD308" s="108" t="str">
        <f t="shared" si="48"/>
        <v/>
      </c>
      <c r="CE308" s="108" t="str">
        <f t="shared" si="49"/>
        <v/>
      </c>
      <c r="CF308" s="109" t="str">
        <f t="shared" si="50"/>
        <v/>
      </c>
      <c r="CG308" s="110" t="str">
        <f t="shared" si="51"/>
        <v/>
      </c>
      <c r="CH308" s="111"/>
    </row>
    <row r="309" spans="1:86" ht="12.75">
      <c r="A309" s="101"/>
      <c r="B309" s="102" t="e">
        <f t="array" aca="1" ref="B309" ca="1">_xludf.XLOOKUP(A309,'QA Log'!D:D,'QA Log'!E:E,"")</f>
        <v>#NAME?</v>
      </c>
      <c r="C309" s="102" t="e">
        <f t="array" aca="1" ref="C309" ca="1">_xludf.XLOOKUP(A309,'QA Log'!D:D,'QA Log'!F:F,"")</f>
        <v>#NAME?</v>
      </c>
      <c r="D309" s="102" t="e">
        <f t="array" aca="1" ref="D309" ca="1">_xludf.XLOOKUP(A309,'QA Log'!D:D,'QA Log'!H:H,"")</f>
        <v>#NAME?</v>
      </c>
      <c r="E309" s="102" t="e">
        <f t="array" aca="1" ref="E309" ca="1">_xludf.XLOOKUP(A309,'QA Log'!D:D,'QA Log'!G:G,"")</f>
        <v>#NAME?</v>
      </c>
      <c r="F309" s="103"/>
      <c r="G309" s="104"/>
      <c r="H309" s="104"/>
      <c r="I309" s="103" t="str">
        <f t="shared" si="26"/>
        <v/>
      </c>
      <c r="J309" s="102" t="str">
        <f>IF(A309="","",SUM(
COUNTIFS('QA Log'!D:D,A309,'QA Log'!M:M,"QQC",'QA Log'!L:L,"*1. General Management*"),
COUNTIFS('QA Log'!D:D,A309,'QA Log'!M:M,"QQC",'QA Log'!L:L,"*3. Curative Consultation (OPD)*"),
COUNTIFS('QA Log'!D:D,A309,'QA Log'!M:M,"QQC",'QA Log'!L:L,"*5. Laboratory*"),
COUNTIFS('QA Log'!D:D,A309,'QA Log'!M:M,"QQC",'QA Log'!L:L,"*6. Essential Medicine Management*"),
COUNTIFS('QA Log'!D:D,A309,'QA Log'!M:M,"QQC",'QA Log'!L:L,"*7. Tracer Medicine*"),
COUNTIFS('QA Log'!D:D,A309,'QA Log'!M:M,"QQC",'QA Log'!L:L,"*11. Additional Questions*")))</f>
        <v/>
      </c>
      <c r="K309" s="102" t="str">
        <f>IF(A309="","",SUM(
COUNTIFS('QA Log'!D:D,A309,'QA Log'!M:M,"QQC",'QA Log'!Z:Z,"Approved",'QA Log'!L:L,"*1. General Management*"),
COUNTIFS('QA Log'!D:D,A309,'QA Log'!M:M,"QQC",'QA Log'!Z:Z,"Approved",'QA Log'!L:L,"*3. Curative Consultation (OPD)*"),
COUNTIFS('QA Log'!D:D,A309,'QA Log'!M:M,"QQC",'QA Log'!Z:Z,"Approved",'QA Log'!L:L,"*5. Laboratory*"),
COUNTIFS('QA Log'!D:D,A309,'QA Log'!M:M,"QQC",'QA Log'!Z:Z,"Approved",'QA Log'!L:L,"*6. Essential Medicine Management*"),
COUNTIFS('QA Log'!D:D,A309,'QA Log'!M:M,"QQC",'QA Log'!Z:Z,"Approved",'QA Log'!L:L,"*7. Tracer Medicine*"),
COUNTIFS('QA Log'!D:D,A309,'QA Log'!M:M,"QQC",'QA Log'!Z:Z,"Approved",'QA Log'!L:L,"*11. Additional Questions*")))</f>
        <v/>
      </c>
      <c r="L309" s="105" t="str">
        <f>IF(A309&lt;&gt;"",COUNTIFS('QA Log'!D:D,A309,'QA Log'!M:M,"QQC",'QA Log'!L:L,"1. General Management",'QA Log'!Z:Z,"Approved"),"")</f>
        <v/>
      </c>
      <c r="M309" s="105" t="str">
        <f>IF(A309&lt;&gt;"",COUNTIFS('QA Log'!D:D,A309,'QA Log'!M:M,"QQC",'QA Log'!L:L,"3. Curative Consultation (OPD)",'QA Log'!Z:Z,"Approved"),"")</f>
        <v/>
      </c>
      <c r="N309" s="105" t="str">
        <f>IF(A309&lt;&gt;"",COUNTIFS('QA Log'!D:D,A309,'QA Log'!M:M,"QQC",'QA Log'!L:L,"5. Laboratory",'QA Log'!Z:Z,"Approved"),"")</f>
        <v/>
      </c>
      <c r="O309" s="105" t="str">
        <f>IF(A309&lt;&gt;"",COUNTIFS('QA Log'!D:D,A309,'QA Log'!M:M,"QQC",'QA Log'!L:L,"6. Essential Medicine Management",'QA Log'!Z:Z,"Approved"),"")</f>
        <v/>
      </c>
      <c r="P309" s="105" t="str">
        <f>IF(A309&lt;&gt;"",COUNTIFS('QA Log'!D:D,A309,'QA Log'!M:M,"QQC",'QA Log'!L:L,"7. Tracer Medicine",'QA Log'!Z:Z,"Approved"),"")</f>
        <v/>
      </c>
      <c r="Q309" s="105" t="str">
        <f>IF(A309&lt;&gt;"",COUNTIFS('QA Log'!D:D,A309,'QA Log'!M:M,"QQC",'QA Log'!L:L,"11. Additional Questions",'QA Log'!Z:Z,"Approved"),"")</f>
        <v/>
      </c>
      <c r="R309" s="102" t="str">
        <f>IF(A309="","",SUM(
COUNTIFS('QA Log'!D:D,A309,'QA Log'!M:M,"QQC",'QA Log'!Z:Z,"Rejected",'QA Log'!L:L,"*8. Maternity*"),
COUNTIFS('QA Log'!D:D,A309,'QA Log'!M:M,"QQC",'QA Log'!Z:Z,"Rejected",'QA Log'!L:L,"*EPI*"),
COUNTIFS('QA Log'!D:D,A309,'QA Log'!M:M,"QQC",'QA Log'!Z:Z,"Rejected",'QA Log'!L:L,"*10. Antenatal Care (ANC)*"),
COUNTIFS('QA Log'!D:D,A309,'QA Log'!M:M,"QQC",'QA Log'!Z:Z,"Rejected",'QA Log'!L:L,"*2. Hygiene and Sterilization*"),
COUNTIFS('QA Log'!D:D,A309,'QA Log'!M:M,"QQC",'QA Log'!Z:Z,"Rejected",'QA Log'!L:L,"*Family Planning*")))</f>
        <v/>
      </c>
      <c r="S309" s="106" t="str">
        <f t="shared" si="27"/>
        <v/>
      </c>
      <c r="T309" s="102" t="str">
        <f t="shared" si="28"/>
        <v/>
      </c>
      <c r="U309" s="102" t="str">
        <f>IF(A309="","",
SUM(
COUNTIFS('QA Log'!D:D,A309,'QA Log'!M:M,"QQC",'QA Log'!L:L,"*8. Maternity*"),
COUNTIFS('QA Log'!D:D,A309,'QA Log'!M:M,"QQC",'QA Log'!L:L,"*9. EPI and Pre-school Consultation*"),
COUNTIFS('QA Log'!D:D,A309,'QA Log'!M:M,"QQC",'QA Log'!L:L,"*10. Antenatal Care (ANC)*"),
COUNTIFS('QA Log'!D:D,A309,'QA Log'!M:M,"QQC",'QA Log'!L:L,"*2. Hygiene and Sterilization*"),
COUNTIFS('QA Log'!D:D,A309,'QA Log'!M:M,"QQC",'QA Log'!L:L,"*4. Family Planning*")
))</f>
        <v/>
      </c>
      <c r="V309" s="102" t="str">
        <f>IF(A309="","",
SUM(
COUNTIFS('QA Log'!D:D,A309,'QA Log'!M:M,"QQC",'QA Log'!Z:Z,"Approved",'QA Log'!L:L,"*8. Maternity*"),
COUNTIFS('QA Log'!D:D,A309,'QA Log'!M:M,"QQC",'QA Log'!Z:Z,"Approved",'QA Log'!L:L,"*9. EPI and Pre-school Consultation*"),
COUNTIFS('QA Log'!D:D,A309,'QA Log'!M:M,"QQC",'QA Log'!Z:Z,"Approved",'QA Log'!L:L,"*10. Antenatal Care (ANC)*"),
COUNTIFS('QA Log'!D:D,A309,'QA Log'!M:M,"QQC",'QA Log'!Z:Z,"Approved",'QA Log'!L:L,"*2. Hygiene and Sterilization*"),
COUNTIFS('QA Log'!D:D,A309,'QA Log'!M:M,"QQC",'QA Log'!Z:Z,"Approved",'QA Log'!L:L,"*4. Family Planning*")
))</f>
        <v/>
      </c>
      <c r="W309" s="105" t="str">
        <f>IF(A309&lt;&gt;"",COUNTIFS('QA Log'!D:D,A309,'QA Log'!M:M,"QQC",'QA Log'!L:L,"8. Maternity",'QA Log'!Z:Z,"Approved"),"")</f>
        <v/>
      </c>
      <c r="X309" s="105" t="str">
        <f>IF(A309&lt;&gt;"",COUNTIFS('QA Log'!D:D,A309,'QA Log'!M:M,"QQC",'QA Log'!L:L,"9. EPI and Pre-school Consultation",'QA Log'!Z:Z,"Approved"),"")</f>
        <v/>
      </c>
      <c r="Y309" s="105" t="str">
        <f>IF(A309&lt;&gt;"",COUNTIFS('QA Log'!D:D,A309,'QA Log'!M:M,"QQC",'QA Log'!L:L,"10. Antenatal Care (ANC)",'QA Log'!Z:Z,"Approved"),"")</f>
        <v/>
      </c>
      <c r="Z309" s="105" t="str">
        <f>IF(A309&lt;&gt;"",COUNTIFS('QA Log'!D:D,A309,'QA Log'!M:M,"QQC",'QA Log'!L:L,"2. Hygiene and Sterilization",'QA Log'!Z:Z,"Approved"),"")</f>
        <v/>
      </c>
      <c r="AA309" s="105" t="str">
        <f>IF(A309&lt;&gt;"",COUNTIFS('QA Log'!D:D,A309,'QA Log'!M:M,"QQC",'QA Log'!L:L,"4. Family Planning",'QA Log'!Z:Z,"Approved"),"")</f>
        <v/>
      </c>
      <c r="AB309" s="102" t="str">
        <f>IF(A309="","",
SUM(
COUNTIFS('QA Log'!D:D,A309,'QA Log'!M:M,"QQC",'QA Log'!Z:Z,"Rejected",'QA Log'!L:L,"*8. Maternity*"),
COUNTIFS('QA Log'!D:D,A309,'QA Log'!M:M,"QQC",'QA Log'!Z:Z,"Rejected",'QA Log'!L:L,"*9. EPI and Pre-school Consultation*"),
COUNTIFS('QA Log'!D:D,A309,'QA Log'!M:M,"QQC",'QA Log'!Z:Z,"Rejected",'QA Log'!L:L,"*10. Antenatal Care (ANC)*"),
COUNTIFS('QA Log'!D:D,A309,'QA Log'!M:M,"QQC",'QA Log'!Z:Z,"Rejected",'QA Log'!L:L,"*2. Hygiene and Sterilization*"),
COUNTIFS('QA Log'!D:D,A309,'QA Log'!M:M,"QQC",'QA Log'!Z:Z,"Rejected",'QA Log'!L:L,"*4. Family Planning*")
))</f>
        <v/>
      </c>
      <c r="AC309" s="102" t="str">
        <f t="shared" si="29"/>
        <v/>
      </c>
      <c r="AD309" s="103" t="str">
        <f t="shared" si="30"/>
        <v/>
      </c>
      <c r="AE309" s="102" t="str">
        <f>IF(A309="","",
SUM(
COUNTIFS('QA Log'!D:D,A309,'QA Log'!M:M,"Data Verification",'QA Log'!L:L,"*Medicine (section 2)*"),
COUNTIFS('QA Log'!D:D,A309,'QA Log'!M:M,"Data Verification",'QA Log'!L:L,"*Lab Testing Availability*"),
COUNTIFS('QA Log'!D:D,A309,'QA Log'!M:M,"Data Verification",'QA Log'!L:L,"*Other than P4P (section 6)*"),
COUNTIFS('QA Log'!D:D,A309,'QA Log'!M:M,"Data Verification",'QA Log'!L:L,"*Hospital Governance*")
))</f>
        <v/>
      </c>
      <c r="AF309" s="102" t="str">
        <f>IF(A309="","",
SUM(
COUNTIFS('QA Log'!D:D,A309,'QA Log'!M:M,"Data Verification",'QA Log'!Z:Z,"Approved",'QA Log'!L:L,"*Medicine (section 2)*"),
COUNTIFS('QA Log'!D:D,A309,'QA Log'!M:M,"Data Verification",'QA Log'!Z:Z,"Approved",'QA Log'!L:L,"*Lab Testing Availability*"),
COUNTIFS('QA Log'!D:D,A309,'QA Log'!M:M,"Data Verification",'QA Log'!Z:Z,"Approved",'QA Log'!L:L,"*Other than P4P (section 6)*"),
COUNTIFS('QA Log'!D:D,A309,'QA Log'!M:M,"Data Verification",'QA Log'!Z:Z,"Approved",'QA Log'!L:L,"*Hospital Governance*")
))</f>
        <v/>
      </c>
      <c r="AG309" s="105" t="str">
        <f>IF(A309&lt;&gt;"",COUNTIFS('QA Log'!D:D,A309,'QA Log'!M:M,"Data Verification",'QA Log'!L:L,"Medicine (section 2)",'QA Log'!Z:Z,"Approved"),"")</f>
        <v/>
      </c>
      <c r="AH309" s="105" t="str">
        <f>IF(A309&lt;&gt;"",COUNTIFS('QA Log'!D:D,A309,'QA Log'!M:M,"Data Verification",'QA Log'!L:L,"Lab Testing Availability",'QA Log'!Z:Z,"Approved"),"")</f>
        <v/>
      </c>
      <c r="AI309" s="105" t="str">
        <f>IF(A309&lt;&gt;"",COUNTIFS('QA Log'!D:D,A309,'QA Log'!M:M,"Data Verification",'QA Log'!L:L,"Other than P4P (section 6)",'QA Log'!Z:Z,"Approved"),"")</f>
        <v/>
      </c>
      <c r="AJ309" s="105" t="str">
        <f>IF(A309&lt;&gt;"",COUNTIFS('QA Log'!D:D,A309,'QA Log'!M:M,"Data Verification",'QA Log'!L:L,"Hospital Governance",'QA Log'!Z:Z,"Approved"),"")</f>
        <v/>
      </c>
      <c r="AK309" s="102" t="str">
        <f>IF(A309="","",
SUM(
COUNTIFS('QA Log'!D:D,A309,'QA Log'!M:M,"Data Verification",'QA Log'!Z:Z,"Rejected",'QA Log'!L:L,"*Medicine (section 2)*"),
COUNTIFS('QA Log'!D:D,A309,'QA Log'!M:M,"Data Verification",'QA Log'!Z:Z,"Rejected",'QA Log'!L:L,"*Lab Testing Availability*"),
COUNTIFS('QA Log'!D:D,A309,'QA Log'!M:M,"Data Verification",'QA Log'!Z:Z,"Rejected",'QA Log'!L:L,"*Other than P4P (section 6)*"),
COUNTIFS('QA Log'!D:D,A309,'QA Log'!M:M,"Data Verification",'QA Log'!Z:Z,"Rejected",'QA Log'!L:L,"*Hospital Governance*")
))</f>
        <v/>
      </c>
      <c r="AL309" s="106" t="str">
        <f t="shared" si="31"/>
        <v/>
      </c>
      <c r="AM309" s="102" t="str">
        <f t="shared" si="32"/>
        <v/>
      </c>
      <c r="AN309" s="102" t="str">
        <f>IF(A309="","",
SUM(
COUNTIFS('QA Log'!D:D,A309,'QA Log'!M:M,"Data Verification",'QA Log'!L:L,"*Personnel (section 1)*"),
COUNTIFS('QA Log'!D:D,A309,'QA Log'!M:M,"Data Verification",'QA Log'!L:L,"*Consumable (section 3)*"),
COUNTIFS('QA Log'!D:D,A309,'QA Log'!M:M,"Data Verification",'QA Log'!L:L,"*Equipments (section 4)*")
))</f>
        <v/>
      </c>
      <c r="AO309" s="102" t="str">
        <f>IF(A309="","",
SUM(
COUNTIFS('QA Log'!D:D,A309,'QA Log'!M:M,"Data Verification",'QA Log'!Z:Z,"Approved",'QA Log'!L:L,"*Personnel (section 1)*"),
COUNTIFS('QA Log'!D:D,A309,'QA Log'!M:M,"Data Verification",'QA Log'!Z:Z,"Approved",'QA Log'!L:L,"*Consumable (section 3)*"),
COUNTIFS('QA Log'!D:D,A309,'QA Log'!M:M,"Data Verification",'QA Log'!Z:Z,"Approved",'QA Log'!L:L,"*Equipments (section 4)*")
))</f>
        <v/>
      </c>
      <c r="AP309" s="105" t="str">
        <f>IF(A309&lt;&gt;"",COUNTIFS('QA Log'!D:D,A309,'QA Log'!M:M,"Data Verification",'QA Log'!L:L,"Personnel (section 1)",'QA Log'!Z:Z,"Approved"),"")</f>
        <v/>
      </c>
      <c r="AQ309" s="105" t="str">
        <f>IF(A309&lt;&gt;"",COUNTIFS('QA Log'!D:D,A309,'QA Log'!M:M,"Data Verification",'QA Log'!L:L,"Consumable (section 3)",'QA Log'!Z:Z,"Approved"),"")</f>
        <v/>
      </c>
      <c r="AR309" s="105" t="str">
        <f>IF(A309&lt;&gt;"",COUNTIFS('QA Log'!D:D,A309,'QA Log'!M:M,"Data Verification",'QA Log'!L:L,"Equipments (section 4)",'QA Log'!Z:Z,"Approved"),"")</f>
        <v/>
      </c>
      <c r="AS309" s="102" t="str">
        <f>IF(A309="","",
SUM(
COUNTIFS('QA Log'!D:D,A309,'QA Log'!M:M,"Data Verification",'QA Log'!Z:Z,"Rejected",'QA Log'!L:L,"*Personnel (section 1)*"),
COUNTIFS('QA Log'!D:D,A309,'QA Log'!M:M,"Data Verification",'QA Log'!Z:Z,"Rejected",'QA Log'!L:L,"*Consumable (section 3)*"),
COUNTIFS('QA Log'!D:D,A309,'QA Log'!M:M,"Data Verification",'QA Log'!Z:Z,"Rejected",'QA Log'!L:L,"*Equipments (section 4)*")
))</f>
        <v/>
      </c>
      <c r="AT309" s="102" t="str">
        <f t="shared" si="33"/>
        <v/>
      </c>
      <c r="AU309" s="103" t="str">
        <f t="shared" si="34"/>
        <v/>
      </c>
      <c r="AV309" s="102" t="str">
        <f>IF(A309="","",SUM(
COUNTIFS('QA Log'!D:D,A309,'QA Log'!M:M,"Vignette",'QA Log'!L:L,"*Vignette [1] Respiratory Infection: Pneumonia*"),
COUNTIFS('QA Log'!D:D,A309,'QA Log'!M:M,"Vignette",'QA Log'!L:L,"*Vignette [2]: Diarrhea with Cat B dehydration*"),
COUNTIFS('QA Log'!D:D,A309,'QA Log'!M:M,"Vignette",'QA Log'!L:L,"*Vignette [3] Growth Monitoring and Promotion*"),
COUNTIFS('QA Log'!D:D,A309,'QA Log'!M:M,"Vignette",'QA Log'!L:L,"*Vignette [4]: The management of presumptive TB patient*")
)
)</f>
        <v/>
      </c>
      <c r="AW309" s="102" t="str">
        <f>IF(
  A309="","",
  SUM(
    COUNTIFS('QA Log'!D:D,A309,'QA Log'!M:M,"Vignette",'QA Log'!Z:Z,"Approved",'QA Log'!L:L,"*Vignette [1] Respiratory Infection: Pneumonia*"),
    COUNTIFS('QA Log'!D:D,A309,'QA Log'!M:M,"Vignette",'QA Log'!Z:Z,"Approved",'QA Log'!L:L,"*Vignette [2]: Diarrhea with Cat B dehydration*"),
    COUNTIFS('QA Log'!D:D,A309,'QA Log'!M:M,"Vignette",'QA Log'!Z:Z,"Approved",'QA Log'!L:L,"*Vignette [3] Growth Monitoring and Promotion*"),
    COUNTIFS('QA Log'!D:D,A309,'QA Log'!M:M,"Vignette",'QA Log'!Z:Z,"Approved",'QA Log'!L:L,"*Vignette [4]: The management of presumptive TB patient*")
  )
)</f>
        <v/>
      </c>
      <c r="AX309" s="105" t="str">
        <f>IF(A309&lt;&gt;"",COUNTIFS('QA Log'!D:D,A309,'QA Log'!M:M,"Vignette",'QA Log'!L:L,"Vignette [1] Respiratory Infection: Pneumonia",'QA Log'!Z:Z,"Approved"),"")</f>
        <v/>
      </c>
      <c r="AY309" s="105" t="str">
        <f>IF(A309&lt;&gt;"",COUNTIFS('QA Log'!D:D,A309,'QA Log'!M:M,"Vignette",'QA Log'!L:L,"Vignette [2]: Diarrhea with Cat B dehydration",'QA Log'!Z:Z,"Approved"),"")</f>
        <v/>
      </c>
      <c r="AZ309" s="105" t="str">
        <f>IF(A309&lt;&gt;"",COUNTIFS('QA Log'!D:D,A309,'QA Log'!M:M,"Vignette",'QA Log'!L:L,"Vignette [3] Growth Monitoring and Promotion",'QA Log'!Z:Z,"Approved"),"")</f>
        <v/>
      </c>
      <c r="BA309" s="105" t="str">
        <f>IF(A309&lt;&gt;"",COUNTIFS('QA Log'!D:D,A309,'QA Log'!M:M,"Vignette",'QA Log'!L:L,"Vignette [4]: The management of presumptive TB patient",'QA Log'!Z:Z,"Approved"),"")</f>
        <v/>
      </c>
      <c r="BB309" s="102" t="str">
        <f>IF(A309="","",
  SUM(
    COUNTIFS('QA Log'!D:D,A309,'QA Log'!M:M,"Vignette",'QA Log'!Z:Z,"Rejected",'QA Log'!L:L,"*Vignette [1] Respiratory Infection: Pneumonia*"),
    COUNTIFS('QA Log'!D:D,A309,'QA Log'!M:M,"Vignette",'QA Log'!Z:Z,"Rejected",'QA Log'!L:L,"*Vignette [2]: Diarrhea with Cat B dehydration*"),
    COUNTIFS('QA Log'!D:D,A309,'QA Log'!M:M,"Vignette",'QA Log'!Z:Z,"Rejected",'QA Log'!L:L,"*Vignette [3] Growth Monitoring and Promotion*"),
    COUNTIFS('QA Log'!D:D,A309,'QA Log'!M:M,"Vignette",'QA Log'!Z:Z,"Rejected",'QA Log'!L:L,"*Vignette [4]: The management of presumptive TB patient*")
  )
)</f>
        <v/>
      </c>
      <c r="BC309" s="107" t="str">
        <f t="shared" si="35"/>
        <v/>
      </c>
      <c r="BD309" s="103" t="str">
        <f t="shared" si="36"/>
        <v/>
      </c>
      <c r="BE309" s="102" t="str">
        <f>IF(A309="","",SUM(
COUNTIFS('QA Log'!D:D,A309,'QA Log'!M:M,"Vignette",'QA Log'!L:L,"*Vignette [5] Labor*"),
COUNTIFS('QA Log'!D:D,A309,'QA Log'!M:M,"Vignette",'QA Log'!L:L,"*Vignette [6] PNC pre Discharge*"),
COUNTIFS('QA Log'!D:D,A309,'QA Log'!M:M,"Vignette",'QA Log'!L:L,"*Vignette [7] First ANC Visit*"),
COUNTIFS('QA Log'!D:D,A309,'QA Log'!M:M,"Vignette",'QA Log'!L:L,"*Vignette [8] Birth Spacing/ Family Planning :  FP Counselling*"),
COUNTIFS('QA Log'!D:D,A309,'QA Log'!M:M,"Vignette",'QA Log'!L:L,"*Vignette [9] Birth Spacing: Change FP method to Injectable*"),
COUNTIFS('QA Log'!D:D,A309,'QA Log'!M:M,"Vignette",'QA Log'!L:L,"*Vignette [10] Post Partum Haemorrhage - Atonic Uterus at Health Centre*"),
)
)</f>
        <v/>
      </c>
      <c r="BF309" s="102" t="str">
        <f>IF(A309="","",
  SUM(
    COUNTIFS('QA Log'!D:D,A309,'QA Log'!M:M,"Vignette",'QA Log'!Z:Z,"Approved",'QA Log'!L:L,"*Vignette [5] Labor*"),
    COUNTIFS('QA Log'!D:D,A309,'QA Log'!M:M,"Vignette",'QA Log'!Z:Z,"Approved",'QA Log'!L:L,"*Vignette [6] PNC pre Discharge*"),
    COUNTIFS('QA Log'!D:D,A309,'QA Log'!M:M,"Vignette",'QA Log'!Z:Z,"Approved",'QA Log'!L:L,"*Vignette [7] First ANC Visit*"),
    COUNTIFS('QA Log'!D:D,A309,'QA Log'!M:M,"Vignette",'QA Log'!Z:Z,"Approved",'QA Log'!L:L,"*Vignette [8] Birth Spacing/ Family Planning :  FP Counselling*"),
    COUNTIFS('QA Log'!D:D,A309,'QA Log'!M:M,"Vignette",'QA Log'!Z:Z,"Approved",'QA Log'!L:L,"*Vignette [9] Birth Spacing: Change FP method to Injectable*"),
    COUNTIFS('QA Log'!D:D,A309,'QA Log'!M:M,"Vignette",'QA Log'!Z:Z,"Approved",'QA Log'!L:L,"*Vignette [10] Post Partum Haemorrhage - Atonic Uterus at Health Centre*")
  )
)</f>
        <v/>
      </c>
      <c r="BG309" s="105" t="str">
        <f>IF(A309&lt;&gt;"",COUNTIFS('QA Log'!D:D,A309,'QA Log'!M:M,"Vignette",'QA Log'!L:L,"Vignette [5] Labor",'QA Log'!Z:Z,"Approved"),"")</f>
        <v/>
      </c>
      <c r="BH309" s="105" t="str">
        <f>IF(A309&lt;&gt;"",COUNTIFS('QA Log'!D:D,A309,'QA Log'!M:M,"Vignette",'QA Log'!L:L,"Vignette [6] PNC pre Discharge",'QA Log'!Z:Z,"Approved"),"")</f>
        <v/>
      </c>
      <c r="BI309" s="105" t="str">
        <f>IF(A309&lt;&gt;"",COUNTIFS('QA Log'!D:D,A309,'QA Log'!M:M,"Vignette",'QA Log'!L:L,"Vignette [7] First ANC Visit",'QA Log'!Z:Z,"Approved"),"")</f>
        <v/>
      </c>
      <c r="BJ309" s="105" t="str">
        <f>IF(A309&lt;&gt;"",COUNTIFS('QA Log'!D:D,A309,'QA Log'!M:M,"Vignette",'QA Log'!L:L,"Vignette [8] Birth Spacing/ Family Planning :  FP Counselling",'QA Log'!Z:Z,"Approved"),"")</f>
        <v/>
      </c>
      <c r="BK309" s="105" t="str">
        <f>IF(A309&lt;&gt;"",COUNTIFS('QA Log'!D:D,A309,'QA Log'!M:M,"Vignette",'QA Log'!L:L,"Vignette [9] Birth Spacing: Change FP method to Injectable",'QA Log'!Z:Z,"Approved"),"")</f>
        <v/>
      </c>
      <c r="BL309" s="105" t="str">
        <f>IF(A309&lt;&gt;"",COUNTIFS('QA Log'!D:D,A309,'QA Log'!M:M,"Vignette",'QA Log'!L:L,"Vignette [10] Post Partum Haemorrhage - Atonic Uterus at Health Centre",'QA Log'!Z:Z,"Approved"),"")</f>
        <v/>
      </c>
      <c r="BM309" s="102" t="str">
        <f>IF(A309="","",SUM(
    COUNTIFS('QA Log'!D:D,A309,'QA Log'!M:M,"Vignette",'QA Log'!Z:Z,"Rejected",'QA Log'!L:L,"*Vignette [5] Labor*"),
    COUNTIFS('QA Log'!D:D,A309,'QA Log'!M:M,"Vignette",'QA Log'!Z:Z,"Rejected",'QA Log'!L:L,"*Vignette [6] PNC pre Discharge*"),
    COUNTIFS('QA Log'!D:D,A309,'QA Log'!M:M,"Vignette",'QA Log'!Z:Z,"Rejected",'QA Log'!L:L,"*Vignette [7] First ANC Visit*"),
    COUNTIFS('QA Log'!D:D,A309,'QA Log'!M:M,"Vignette",'QA Log'!Z:Z,"Rejected",'QA Log'!L:L,"*Vignette [8] Birth Spacing/ Family Planning :  FP Counselling*"),
    COUNTIFS('QA Log'!D:D,A309,'QA Log'!M:M,"Vignette",'QA Log'!Z:Z,"Rejected",'QA Log'!L:L,"*Vignette [9] Birth Spacing: Change FP method to Injectable*"),
    COUNTIFS('QA Log'!D:D,A309,'QA Log'!M:M,"Vignette",'QA Log'!Z:Z,"Rejected",'QA Log'!L:L,"*Vignette [10] Post Partum Haemorrhage - Atonic Uterus at Health Centre*")
  )
)</f>
        <v/>
      </c>
      <c r="BN309" s="107" t="str">
        <f t="shared" si="37"/>
        <v/>
      </c>
      <c r="BO309" s="103" t="str">
        <f t="shared" si="38"/>
        <v/>
      </c>
      <c r="BP309" s="102" t="str">
        <f>IF(A309="","",SUM(
COUNTIFS('QA Log'!D:D,A309,'QA Log'!M:M,"Vignette",'QA Log'!L:L,"*Exit Interview 1*"),
COUNTIFS('QA Log'!D:D,A309,'QA Log'!M:M,"Vignette",'QA Log'!L:L,"*Exit Interview 2*"),
)
)</f>
        <v/>
      </c>
      <c r="BQ309" s="102" t="str">
        <f>IF(
  A309="","",
  SUM(
    COUNTIFS('QA Log'!D:D,A309,'QA Log'!M:M,"Vignette",'QA Log'!Z:Z,"Approved",'QA Log'!L:L,"*Exit Interview 1*"),
    COUNTIFS('QA Log'!D:D,A309,'QA Log'!M:M,"Vignette",'QA Log'!Z:Z,"Approved",'QA Log'!L:L,"*Exit Interview 2*")
  )
)</f>
        <v/>
      </c>
      <c r="BR309" s="105" t="str">
        <f>IF(A309&lt;&gt;"",COUNTIFS('QA Log'!D:D,A309,'QA Log'!M:M,"Vignette",'QA Log'!L:L,"Exit Interview 1",'QA Log'!Z:Z,"Approved"),"")</f>
        <v/>
      </c>
      <c r="BS309" s="105" t="str">
        <f>IF(A309&lt;&gt;"",COUNTIFS('QA Log'!D:D,A309,'QA Log'!M:M,"Vignette",'QA Log'!L:L,"Exit Interview 2",'QA Log'!Z:Z,"Approved"),"")</f>
        <v/>
      </c>
      <c r="BT309" s="102" t="str">
        <f>IF(
  A309="","",
  SUM(
    COUNTIFS('QA Log'!D:D,A309,'QA Log'!M:M,"Vignette",'QA Log'!Z:Z,"Rejected",'QA Log'!L:L,"*Exit Interview 1*"),
    COUNTIFS('QA Log'!D:D,A309,'QA Log'!M:M,"Vignette",'QA Log'!Z:Z,"Rejected",'QA Log'!L:L,"*Exit Interview 2*")
  )
)</f>
        <v/>
      </c>
      <c r="BU309" s="107" t="str">
        <f t="shared" si="39"/>
        <v/>
      </c>
      <c r="BV309" s="102" t="str">
        <f t="shared" si="40"/>
        <v/>
      </c>
      <c r="BW309" s="102" t="str">
        <f t="shared" si="41"/>
        <v/>
      </c>
      <c r="BX309" s="102" t="str">
        <f t="shared" si="42"/>
        <v/>
      </c>
      <c r="BY309" s="102" t="str">
        <f t="shared" si="43"/>
        <v/>
      </c>
      <c r="BZ309" s="107" t="str">
        <f t="shared" si="44"/>
        <v/>
      </c>
      <c r="CA309" s="108" t="str">
        <f t="shared" si="45"/>
        <v/>
      </c>
      <c r="CB309" s="108" t="str">
        <f t="shared" si="46"/>
        <v/>
      </c>
      <c r="CC309" s="109" t="str">
        <f t="shared" si="47"/>
        <v/>
      </c>
      <c r="CD309" s="108" t="str">
        <f t="shared" si="48"/>
        <v/>
      </c>
      <c r="CE309" s="108" t="str">
        <f t="shared" si="49"/>
        <v/>
      </c>
      <c r="CF309" s="109" t="str">
        <f t="shared" si="50"/>
        <v/>
      </c>
      <c r="CG309" s="110" t="str">
        <f t="shared" si="51"/>
        <v/>
      </c>
      <c r="CH309" s="111"/>
    </row>
    <row r="310" spans="1:86" ht="12.75">
      <c r="A310" s="101"/>
      <c r="B310" s="102" t="e">
        <f t="array" aca="1" ref="B310" ca="1">_xludf.XLOOKUP(A310,'QA Log'!D:D,'QA Log'!E:E,"")</f>
        <v>#NAME?</v>
      </c>
      <c r="C310" s="102" t="e">
        <f t="array" aca="1" ref="C310" ca="1">_xludf.XLOOKUP(A310,'QA Log'!D:D,'QA Log'!F:F,"")</f>
        <v>#NAME?</v>
      </c>
      <c r="D310" s="102" t="e">
        <f t="array" aca="1" ref="D310" ca="1">_xludf.XLOOKUP(A310,'QA Log'!D:D,'QA Log'!H:H,"")</f>
        <v>#NAME?</v>
      </c>
      <c r="E310" s="102" t="e">
        <f t="array" aca="1" ref="E310" ca="1">_xludf.XLOOKUP(A310,'QA Log'!D:D,'QA Log'!G:G,"")</f>
        <v>#NAME?</v>
      </c>
      <c r="F310" s="103"/>
      <c r="G310" s="104"/>
      <c r="H310" s="104"/>
      <c r="I310" s="103" t="str">
        <f t="shared" si="26"/>
        <v/>
      </c>
      <c r="J310" s="102" t="str">
        <f>IF(A310="","",SUM(
COUNTIFS('QA Log'!D:D,A310,'QA Log'!M:M,"QQC",'QA Log'!L:L,"*1. General Management*"),
COUNTIFS('QA Log'!D:D,A310,'QA Log'!M:M,"QQC",'QA Log'!L:L,"*3. Curative Consultation (OPD)*"),
COUNTIFS('QA Log'!D:D,A310,'QA Log'!M:M,"QQC",'QA Log'!L:L,"*5. Laboratory*"),
COUNTIFS('QA Log'!D:D,A310,'QA Log'!M:M,"QQC",'QA Log'!L:L,"*6. Essential Medicine Management*"),
COUNTIFS('QA Log'!D:D,A310,'QA Log'!M:M,"QQC",'QA Log'!L:L,"*7. Tracer Medicine*"),
COUNTIFS('QA Log'!D:D,A310,'QA Log'!M:M,"QQC",'QA Log'!L:L,"*11. Additional Questions*")))</f>
        <v/>
      </c>
      <c r="K310" s="102" t="str">
        <f>IF(A310="","",SUM(
COUNTIFS('QA Log'!D:D,A310,'QA Log'!M:M,"QQC",'QA Log'!Z:Z,"Approved",'QA Log'!L:L,"*1. General Management*"),
COUNTIFS('QA Log'!D:D,A310,'QA Log'!M:M,"QQC",'QA Log'!Z:Z,"Approved",'QA Log'!L:L,"*3. Curative Consultation (OPD)*"),
COUNTIFS('QA Log'!D:D,A310,'QA Log'!M:M,"QQC",'QA Log'!Z:Z,"Approved",'QA Log'!L:L,"*5. Laboratory*"),
COUNTIFS('QA Log'!D:D,A310,'QA Log'!M:M,"QQC",'QA Log'!Z:Z,"Approved",'QA Log'!L:L,"*6. Essential Medicine Management*"),
COUNTIFS('QA Log'!D:D,A310,'QA Log'!M:M,"QQC",'QA Log'!Z:Z,"Approved",'QA Log'!L:L,"*7. Tracer Medicine*"),
COUNTIFS('QA Log'!D:D,A310,'QA Log'!M:M,"QQC",'QA Log'!Z:Z,"Approved",'QA Log'!L:L,"*11. Additional Questions*")))</f>
        <v/>
      </c>
      <c r="L310" s="105" t="str">
        <f>IF(A310&lt;&gt;"",COUNTIFS('QA Log'!D:D,A310,'QA Log'!M:M,"QQC",'QA Log'!L:L,"1. General Management",'QA Log'!Z:Z,"Approved"),"")</f>
        <v/>
      </c>
      <c r="M310" s="105" t="str">
        <f>IF(A310&lt;&gt;"",COUNTIFS('QA Log'!D:D,A310,'QA Log'!M:M,"QQC",'QA Log'!L:L,"3. Curative Consultation (OPD)",'QA Log'!Z:Z,"Approved"),"")</f>
        <v/>
      </c>
      <c r="N310" s="105" t="str">
        <f>IF(A310&lt;&gt;"",COUNTIFS('QA Log'!D:D,A310,'QA Log'!M:M,"QQC",'QA Log'!L:L,"5. Laboratory",'QA Log'!Z:Z,"Approved"),"")</f>
        <v/>
      </c>
      <c r="O310" s="105" t="str">
        <f>IF(A310&lt;&gt;"",COUNTIFS('QA Log'!D:D,A310,'QA Log'!M:M,"QQC",'QA Log'!L:L,"6. Essential Medicine Management",'QA Log'!Z:Z,"Approved"),"")</f>
        <v/>
      </c>
      <c r="P310" s="105" t="str">
        <f>IF(A310&lt;&gt;"",COUNTIFS('QA Log'!D:D,A310,'QA Log'!M:M,"QQC",'QA Log'!L:L,"7. Tracer Medicine",'QA Log'!Z:Z,"Approved"),"")</f>
        <v/>
      </c>
      <c r="Q310" s="105" t="str">
        <f>IF(A310&lt;&gt;"",COUNTIFS('QA Log'!D:D,A310,'QA Log'!M:M,"QQC",'QA Log'!L:L,"11. Additional Questions",'QA Log'!Z:Z,"Approved"),"")</f>
        <v/>
      </c>
      <c r="R310" s="102" t="str">
        <f>IF(A310="","",SUM(
COUNTIFS('QA Log'!D:D,A310,'QA Log'!M:M,"QQC",'QA Log'!Z:Z,"Rejected",'QA Log'!L:L,"*8. Maternity*"),
COUNTIFS('QA Log'!D:D,A310,'QA Log'!M:M,"QQC",'QA Log'!Z:Z,"Rejected",'QA Log'!L:L,"*EPI*"),
COUNTIFS('QA Log'!D:D,A310,'QA Log'!M:M,"QQC",'QA Log'!Z:Z,"Rejected",'QA Log'!L:L,"*10. Antenatal Care (ANC)*"),
COUNTIFS('QA Log'!D:D,A310,'QA Log'!M:M,"QQC",'QA Log'!Z:Z,"Rejected",'QA Log'!L:L,"*2. Hygiene and Sterilization*"),
COUNTIFS('QA Log'!D:D,A310,'QA Log'!M:M,"QQC",'QA Log'!Z:Z,"Rejected",'QA Log'!L:L,"*Family Planning*")))</f>
        <v/>
      </c>
      <c r="S310" s="106" t="str">
        <f t="shared" si="27"/>
        <v/>
      </c>
      <c r="T310" s="102" t="str">
        <f t="shared" si="28"/>
        <v/>
      </c>
      <c r="U310" s="102" t="str">
        <f>IF(A310="","",
SUM(
COUNTIFS('QA Log'!D:D,A310,'QA Log'!M:M,"QQC",'QA Log'!L:L,"*8. Maternity*"),
COUNTIFS('QA Log'!D:D,A310,'QA Log'!M:M,"QQC",'QA Log'!L:L,"*9. EPI and Pre-school Consultation*"),
COUNTIFS('QA Log'!D:D,A310,'QA Log'!M:M,"QQC",'QA Log'!L:L,"*10. Antenatal Care (ANC)*"),
COUNTIFS('QA Log'!D:D,A310,'QA Log'!M:M,"QQC",'QA Log'!L:L,"*2. Hygiene and Sterilization*"),
COUNTIFS('QA Log'!D:D,A310,'QA Log'!M:M,"QQC",'QA Log'!L:L,"*4. Family Planning*")
))</f>
        <v/>
      </c>
      <c r="V310" s="102" t="str">
        <f>IF(A310="","",
SUM(
COUNTIFS('QA Log'!D:D,A310,'QA Log'!M:M,"QQC",'QA Log'!Z:Z,"Approved",'QA Log'!L:L,"*8. Maternity*"),
COUNTIFS('QA Log'!D:D,A310,'QA Log'!M:M,"QQC",'QA Log'!Z:Z,"Approved",'QA Log'!L:L,"*9. EPI and Pre-school Consultation*"),
COUNTIFS('QA Log'!D:D,A310,'QA Log'!M:M,"QQC",'QA Log'!Z:Z,"Approved",'QA Log'!L:L,"*10. Antenatal Care (ANC)*"),
COUNTIFS('QA Log'!D:D,A310,'QA Log'!M:M,"QQC",'QA Log'!Z:Z,"Approved",'QA Log'!L:L,"*2. Hygiene and Sterilization*"),
COUNTIFS('QA Log'!D:D,A310,'QA Log'!M:M,"QQC",'QA Log'!Z:Z,"Approved",'QA Log'!L:L,"*4. Family Planning*")
))</f>
        <v/>
      </c>
      <c r="W310" s="105" t="str">
        <f>IF(A310&lt;&gt;"",COUNTIFS('QA Log'!D:D,A310,'QA Log'!M:M,"QQC",'QA Log'!L:L,"8. Maternity",'QA Log'!Z:Z,"Approved"),"")</f>
        <v/>
      </c>
      <c r="X310" s="105" t="str">
        <f>IF(A310&lt;&gt;"",COUNTIFS('QA Log'!D:D,A310,'QA Log'!M:M,"QQC",'QA Log'!L:L,"9. EPI and Pre-school Consultation",'QA Log'!Z:Z,"Approved"),"")</f>
        <v/>
      </c>
      <c r="Y310" s="105" t="str">
        <f>IF(A310&lt;&gt;"",COUNTIFS('QA Log'!D:D,A310,'QA Log'!M:M,"QQC",'QA Log'!L:L,"10. Antenatal Care (ANC)",'QA Log'!Z:Z,"Approved"),"")</f>
        <v/>
      </c>
      <c r="Z310" s="105" t="str">
        <f>IF(A310&lt;&gt;"",COUNTIFS('QA Log'!D:D,A310,'QA Log'!M:M,"QQC",'QA Log'!L:L,"2. Hygiene and Sterilization",'QA Log'!Z:Z,"Approved"),"")</f>
        <v/>
      </c>
      <c r="AA310" s="105" t="str">
        <f>IF(A310&lt;&gt;"",COUNTIFS('QA Log'!D:D,A310,'QA Log'!M:M,"QQC",'QA Log'!L:L,"4. Family Planning",'QA Log'!Z:Z,"Approved"),"")</f>
        <v/>
      </c>
      <c r="AB310" s="102" t="str">
        <f>IF(A310="","",
SUM(
COUNTIFS('QA Log'!D:D,A310,'QA Log'!M:M,"QQC",'QA Log'!Z:Z,"Rejected",'QA Log'!L:L,"*8. Maternity*"),
COUNTIFS('QA Log'!D:D,A310,'QA Log'!M:M,"QQC",'QA Log'!Z:Z,"Rejected",'QA Log'!L:L,"*9. EPI and Pre-school Consultation*"),
COUNTIFS('QA Log'!D:D,A310,'QA Log'!M:M,"QQC",'QA Log'!Z:Z,"Rejected",'QA Log'!L:L,"*10. Antenatal Care (ANC)*"),
COUNTIFS('QA Log'!D:D,A310,'QA Log'!M:M,"QQC",'QA Log'!Z:Z,"Rejected",'QA Log'!L:L,"*2. Hygiene and Sterilization*"),
COUNTIFS('QA Log'!D:D,A310,'QA Log'!M:M,"QQC",'QA Log'!Z:Z,"Rejected",'QA Log'!L:L,"*4. Family Planning*")
))</f>
        <v/>
      </c>
      <c r="AC310" s="102" t="str">
        <f t="shared" si="29"/>
        <v/>
      </c>
      <c r="AD310" s="103" t="str">
        <f t="shared" si="30"/>
        <v/>
      </c>
      <c r="AE310" s="102" t="str">
        <f>IF(A310="","",
SUM(
COUNTIFS('QA Log'!D:D,A310,'QA Log'!M:M,"Data Verification",'QA Log'!L:L,"*Medicine (section 2)*"),
COUNTIFS('QA Log'!D:D,A310,'QA Log'!M:M,"Data Verification",'QA Log'!L:L,"*Lab Testing Availability*"),
COUNTIFS('QA Log'!D:D,A310,'QA Log'!M:M,"Data Verification",'QA Log'!L:L,"*Other than P4P (section 6)*"),
COUNTIFS('QA Log'!D:D,A310,'QA Log'!M:M,"Data Verification",'QA Log'!L:L,"*Hospital Governance*")
))</f>
        <v/>
      </c>
      <c r="AF310" s="102" t="str">
        <f>IF(A310="","",
SUM(
COUNTIFS('QA Log'!D:D,A310,'QA Log'!M:M,"Data Verification",'QA Log'!Z:Z,"Approved",'QA Log'!L:L,"*Medicine (section 2)*"),
COUNTIFS('QA Log'!D:D,A310,'QA Log'!M:M,"Data Verification",'QA Log'!Z:Z,"Approved",'QA Log'!L:L,"*Lab Testing Availability*"),
COUNTIFS('QA Log'!D:D,A310,'QA Log'!M:M,"Data Verification",'QA Log'!Z:Z,"Approved",'QA Log'!L:L,"*Other than P4P (section 6)*"),
COUNTIFS('QA Log'!D:D,A310,'QA Log'!M:M,"Data Verification",'QA Log'!Z:Z,"Approved",'QA Log'!L:L,"*Hospital Governance*")
))</f>
        <v/>
      </c>
      <c r="AG310" s="105" t="str">
        <f>IF(A310&lt;&gt;"",COUNTIFS('QA Log'!D:D,A310,'QA Log'!M:M,"Data Verification",'QA Log'!L:L,"Medicine (section 2)",'QA Log'!Z:Z,"Approved"),"")</f>
        <v/>
      </c>
      <c r="AH310" s="105" t="str">
        <f>IF(A310&lt;&gt;"",COUNTIFS('QA Log'!D:D,A310,'QA Log'!M:M,"Data Verification",'QA Log'!L:L,"Lab Testing Availability",'QA Log'!Z:Z,"Approved"),"")</f>
        <v/>
      </c>
      <c r="AI310" s="105" t="str">
        <f>IF(A310&lt;&gt;"",COUNTIFS('QA Log'!D:D,A310,'QA Log'!M:M,"Data Verification",'QA Log'!L:L,"Other than P4P (section 6)",'QA Log'!Z:Z,"Approved"),"")</f>
        <v/>
      </c>
      <c r="AJ310" s="105" t="str">
        <f>IF(A310&lt;&gt;"",COUNTIFS('QA Log'!D:D,A310,'QA Log'!M:M,"Data Verification",'QA Log'!L:L,"Hospital Governance",'QA Log'!Z:Z,"Approved"),"")</f>
        <v/>
      </c>
      <c r="AK310" s="102" t="str">
        <f>IF(A310="","",
SUM(
COUNTIFS('QA Log'!D:D,A310,'QA Log'!M:M,"Data Verification",'QA Log'!Z:Z,"Rejected",'QA Log'!L:L,"*Medicine (section 2)*"),
COUNTIFS('QA Log'!D:D,A310,'QA Log'!M:M,"Data Verification",'QA Log'!Z:Z,"Rejected",'QA Log'!L:L,"*Lab Testing Availability*"),
COUNTIFS('QA Log'!D:D,A310,'QA Log'!M:M,"Data Verification",'QA Log'!Z:Z,"Rejected",'QA Log'!L:L,"*Other than P4P (section 6)*"),
COUNTIFS('QA Log'!D:D,A310,'QA Log'!M:M,"Data Verification",'QA Log'!Z:Z,"Rejected",'QA Log'!L:L,"*Hospital Governance*")
))</f>
        <v/>
      </c>
      <c r="AL310" s="106" t="str">
        <f t="shared" si="31"/>
        <v/>
      </c>
      <c r="AM310" s="102" t="str">
        <f t="shared" si="32"/>
        <v/>
      </c>
      <c r="AN310" s="102" t="str">
        <f>IF(A310="","",
SUM(
COUNTIFS('QA Log'!D:D,A310,'QA Log'!M:M,"Data Verification",'QA Log'!L:L,"*Personnel (section 1)*"),
COUNTIFS('QA Log'!D:D,A310,'QA Log'!M:M,"Data Verification",'QA Log'!L:L,"*Consumable (section 3)*"),
COUNTIFS('QA Log'!D:D,A310,'QA Log'!M:M,"Data Verification",'QA Log'!L:L,"*Equipments (section 4)*")
))</f>
        <v/>
      </c>
      <c r="AO310" s="102" t="str">
        <f>IF(A310="","",
SUM(
COUNTIFS('QA Log'!D:D,A310,'QA Log'!M:M,"Data Verification",'QA Log'!Z:Z,"Approved",'QA Log'!L:L,"*Personnel (section 1)*"),
COUNTIFS('QA Log'!D:D,A310,'QA Log'!M:M,"Data Verification",'QA Log'!Z:Z,"Approved",'QA Log'!L:L,"*Consumable (section 3)*"),
COUNTIFS('QA Log'!D:D,A310,'QA Log'!M:M,"Data Verification",'QA Log'!Z:Z,"Approved",'QA Log'!L:L,"*Equipments (section 4)*")
))</f>
        <v/>
      </c>
      <c r="AP310" s="105" t="str">
        <f>IF(A310&lt;&gt;"",COUNTIFS('QA Log'!D:D,A310,'QA Log'!M:M,"Data Verification",'QA Log'!L:L,"Personnel (section 1)",'QA Log'!Z:Z,"Approved"),"")</f>
        <v/>
      </c>
      <c r="AQ310" s="105" t="str">
        <f>IF(A310&lt;&gt;"",COUNTIFS('QA Log'!D:D,A310,'QA Log'!M:M,"Data Verification",'QA Log'!L:L,"Consumable (section 3)",'QA Log'!Z:Z,"Approved"),"")</f>
        <v/>
      </c>
      <c r="AR310" s="105" t="str">
        <f>IF(A310&lt;&gt;"",COUNTIFS('QA Log'!D:D,A310,'QA Log'!M:M,"Data Verification",'QA Log'!L:L,"Equipments (section 4)",'QA Log'!Z:Z,"Approved"),"")</f>
        <v/>
      </c>
      <c r="AS310" s="102" t="str">
        <f>IF(A310="","",
SUM(
COUNTIFS('QA Log'!D:D,A310,'QA Log'!M:M,"Data Verification",'QA Log'!Z:Z,"Rejected",'QA Log'!L:L,"*Personnel (section 1)*"),
COUNTIFS('QA Log'!D:D,A310,'QA Log'!M:M,"Data Verification",'QA Log'!Z:Z,"Rejected",'QA Log'!L:L,"*Consumable (section 3)*"),
COUNTIFS('QA Log'!D:D,A310,'QA Log'!M:M,"Data Verification",'QA Log'!Z:Z,"Rejected",'QA Log'!L:L,"*Equipments (section 4)*")
))</f>
        <v/>
      </c>
      <c r="AT310" s="102" t="str">
        <f t="shared" si="33"/>
        <v/>
      </c>
      <c r="AU310" s="103" t="str">
        <f t="shared" si="34"/>
        <v/>
      </c>
      <c r="AV310" s="102" t="str">
        <f>IF(A310="","",SUM(
COUNTIFS('QA Log'!D:D,A310,'QA Log'!M:M,"Vignette",'QA Log'!L:L,"*Vignette [1] Respiratory Infection: Pneumonia*"),
COUNTIFS('QA Log'!D:D,A310,'QA Log'!M:M,"Vignette",'QA Log'!L:L,"*Vignette [2]: Diarrhea with Cat B dehydration*"),
COUNTIFS('QA Log'!D:D,A310,'QA Log'!M:M,"Vignette",'QA Log'!L:L,"*Vignette [3] Growth Monitoring and Promotion*"),
COUNTIFS('QA Log'!D:D,A310,'QA Log'!M:M,"Vignette",'QA Log'!L:L,"*Vignette [4]: The management of presumptive TB patient*")
)
)</f>
        <v/>
      </c>
      <c r="AW310" s="102" t="str">
        <f>IF(
  A310="","",
  SUM(
    COUNTIFS('QA Log'!D:D,A310,'QA Log'!M:M,"Vignette",'QA Log'!Z:Z,"Approved",'QA Log'!L:L,"*Vignette [1] Respiratory Infection: Pneumonia*"),
    COUNTIFS('QA Log'!D:D,A310,'QA Log'!M:M,"Vignette",'QA Log'!Z:Z,"Approved",'QA Log'!L:L,"*Vignette [2]: Diarrhea with Cat B dehydration*"),
    COUNTIFS('QA Log'!D:D,A310,'QA Log'!M:M,"Vignette",'QA Log'!Z:Z,"Approved",'QA Log'!L:L,"*Vignette [3] Growth Monitoring and Promotion*"),
    COUNTIFS('QA Log'!D:D,A310,'QA Log'!M:M,"Vignette",'QA Log'!Z:Z,"Approved",'QA Log'!L:L,"*Vignette [4]: The management of presumptive TB patient*")
  )
)</f>
        <v/>
      </c>
      <c r="AX310" s="105" t="str">
        <f>IF(A310&lt;&gt;"",COUNTIFS('QA Log'!D:D,A310,'QA Log'!M:M,"Vignette",'QA Log'!L:L,"Vignette [1] Respiratory Infection: Pneumonia",'QA Log'!Z:Z,"Approved"),"")</f>
        <v/>
      </c>
      <c r="AY310" s="105" t="str">
        <f>IF(A310&lt;&gt;"",COUNTIFS('QA Log'!D:D,A310,'QA Log'!M:M,"Vignette",'QA Log'!L:L,"Vignette [2]: Diarrhea with Cat B dehydration",'QA Log'!Z:Z,"Approved"),"")</f>
        <v/>
      </c>
      <c r="AZ310" s="105" t="str">
        <f>IF(A310&lt;&gt;"",COUNTIFS('QA Log'!D:D,A310,'QA Log'!M:M,"Vignette",'QA Log'!L:L,"Vignette [3] Growth Monitoring and Promotion",'QA Log'!Z:Z,"Approved"),"")</f>
        <v/>
      </c>
      <c r="BA310" s="105" t="str">
        <f>IF(A310&lt;&gt;"",COUNTIFS('QA Log'!D:D,A310,'QA Log'!M:M,"Vignette",'QA Log'!L:L,"Vignette [4]: The management of presumptive TB patient",'QA Log'!Z:Z,"Approved"),"")</f>
        <v/>
      </c>
      <c r="BB310" s="102" t="str">
        <f>IF(A310="","",
  SUM(
    COUNTIFS('QA Log'!D:D,A310,'QA Log'!M:M,"Vignette",'QA Log'!Z:Z,"Rejected",'QA Log'!L:L,"*Vignette [1] Respiratory Infection: Pneumonia*"),
    COUNTIFS('QA Log'!D:D,A310,'QA Log'!M:M,"Vignette",'QA Log'!Z:Z,"Rejected",'QA Log'!L:L,"*Vignette [2]: Diarrhea with Cat B dehydration*"),
    COUNTIFS('QA Log'!D:D,A310,'QA Log'!M:M,"Vignette",'QA Log'!Z:Z,"Rejected",'QA Log'!L:L,"*Vignette [3] Growth Monitoring and Promotion*"),
    COUNTIFS('QA Log'!D:D,A310,'QA Log'!M:M,"Vignette",'QA Log'!Z:Z,"Rejected",'QA Log'!L:L,"*Vignette [4]: The management of presumptive TB patient*")
  )
)</f>
        <v/>
      </c>
      <c r="BC310" s="107" t="str">
        <f t="shared" si="35"/>
        <v/>
      </c>
      <c r="BD310" s="103" t="str">
        <f t="shared" si="36"/>
        <v/>
      </c>
      <c r="BE310" s="102" t="str">
        <f>IF(A310="","",SUM(
COUNTIFS('QA Log'!D:D,A310,'QA Log'!M:M,"Vignette",'QA Log'!L:L,"*Vignette [5] Labor*"),
COUNTIFS('QA Log'!D:D,A310,'QA Log'!M:M,"Vignette",'QA Log'!L:L,"*Vignette [6] PNC pre Discharge*"),
COUNTIFS('QA Log'!D:D,A310,'QA Log'!M:M,"Vignette",'QA Log'!L:L,"*Vignette [7] First ANC Visit*"),
COUNTIFS('QA Log'!D:D,A310,'QA Log'!M:M,"Vignette",'QA Log'!L:L,"*Vignette [8] Birth Spacing/ Family Planning :  FP Counselling*"),
COUNTIFS('QA Log'!D:D,A310,'QA Log'!M:M,"Vignette",'QA Log'!L:L,"*Vignette [9] Birth Spacing: Change FP method to Injectable*"),
COUNTIFS('QA Log'!D:D,A310,'QA Log'!M:M,"Vignette",'QA Log'!L:L,"*Vignette [10] Post Partum Haemorrhage - Atonic Uterus at Health Centre*"),
)
)</f>
        <v/>
      </c>
      <c r="BF310" s="102" t="str">
        <f>IF(A310="","",
  SUM(
    COUNTIFS('QA Log'!D:D,A310,'QA Log'!M:M,"Vignette",'QA Log'!Z:Z,"Approved",'QA Log'!L:L,"*Vignette [5] Labor*"),
    COUNTIFS('QA Log'!D:D,A310,'QA Log'!M:M,"Vignette",'QA Log'!Z:Z,"Approved",'QA Log'!L:L,"*Vignette [6] PNC pre Discharge*"),
    COUNTIFS('QA Log'!D:D,A310,'QA Log'!M:M,"Vignette",'QA Log'!Z:Z,"Approved",'QA Log'!L:L,"*Vignette [7] First ANC Visit*"),
    COUNTIFS('QA Log'!D:D,A310,'QA Log'!M:M,"Vignette",'QA Log'!Z:Z,"Approved",'QA Log'!L:L,"*Vignette [8] Birth Spacing/ Family Planning :  FP Counselling*"),
    COUNTIFS('QA Log'!D:D,A310,'QA Log'!M:M,"Vignette",'QA Log'!Z:Z,"Approved",'QA Log'!L:L,"*Vignette [9] Birth Spacing: Change FP method to Injectable*"),
    COUNTIFS('QA Log'!D:D,A310,'QA Log'!M:M,"Vignette",'QA Log'!Z:Z,"Approved",'QA Log'!L:L,"*Vignette [10] Post Partum Haemorrhage - Atonic Uterus at Health Centre*")
  )
)</f>
        <v/>
      </c>
      <c r="BG310" s="105" t="str">
        <f>IF(A310&lt;&gt;"",COUNTIFS('QA Log'!D:D,A310,'QA Log'!M:M,"Vignette",'QA Log'!L:L,"Vignette [5] Labor",'QA Log'!Z:Z,"Approved"),"")</f>
        <v/>
      </c>
      <c r="BH310" s="105" t="str">
        <f>IF(A310&lt;&gt;"",COUNTIFS('QA Log'!D:D,A310,'QA Log'!M:M,"Vignette",'QA Log'!L:L,"Vignette [6] PNC pre Discharge",'QA Log'!Z:Z,"Approved"),"")</f>
        <v/>
      </c>
      <c r="BI310" s="105" t="str">
        <f>IF(A310&lt;&gt;"",COUNTIFS('QA Log'!D:D,A310,'QA Log'!M:M,"Vignette",'QA Log'!L:L,"Vignette [7] First ANC Visit",'QA Log'!Z:Z,"Approved"),"")</f>
        <v/>
      </c>
      <c r="BJ310" s="105" t="str">
        <f>IF(A310&lt;&gt;"",COUNTIFS('QA Log'!D:D,A310,'QA Log'!M:M,"Vignette",'QA Log'!L:L,"Vignette [8] Birth Spacing/ Family Planning :  FP Counselling",'QA Log'!Z:Z,"Approved"),"")</f>
        <v/>
      </c>
      <c r="BK310" s="105" t="str">
        <f>IF(A310&lt;&gt;"",COUNTIFS('QA Log'!D:D,A310,'QA Log'!M:M,"Vignette",'QA Log'!L:L,"Vignette [9] Birth Spacing: Change FP method to Injectable",'QA Log'!Z:Z,"Approved"),"")</f>
        <v/>
      </c>
      <c r="BL310" s="105" t="str">
        <f>IF(A310&lt;&gt;"",COUNTIFS('QA Log'!D:D,A310,'QA Log'!M:M,"Vignette",'QA Log'!L:L,"Vignette [10] Post Partum Haemorrhage - Atonic Uterus at Health Centre",'QA Log'!Z:Z,"Approved"),"")</f>
        <v/>
      </c>
      <c r="BM310" s="102" t="str">
        <f>IF(A310="","",SUM(
    COUNTIFS('QA Log'!D:D,A310,'QA Log'!M:M,"Vignette",'QA Log'!Z:Z,"Rejected",'QA Log'!L:L,"*Vignette [5] Labor*"),
    COUNTIFS('QA Log'!D:D,A310,'QA Log'!M:M,"Vignette",'QA Log'!Z:Z,"Rejected",'QA Log'!L:L,"*Vignette [6] PNC pre Discharge*"),
    COUNTIFS('QA Log'!D:D,A310,'QA Log'!M:M,"Vignette",'QA Log'!Z:Z,"Rejected",'QA Log'!L:L,"*Vignette [7] First ANC Visit*"),
    COUNTIFS('QA Log'!D:D,A310,'QA Log'!M:M,"Vignette",'QA Log'!Z:Z,"Rejected",'QA Log'!L:L,"*Vignette [8] Birth Spacing/ Family Planning :  FP Counselling*"),
    COUNTIFS('QA Log'!D:D,A310,'QA Log'!M:M,"Vignette",'QA Log'!Z:Z,"Rejected",'QA Log'!L:L,"*Vignette [9] Birth Spacing: Change FP method to Injectable*"),
    COUNTIFS('QA Log'!D:D,A310,'QA Log'!M:M,"Vignette",'QA Log'!Z:Z,"Rejected",'QA Log'!L:L,"*Vignette [10] Post Partum Haemorrhage - Atonic Uterus at Health Centre*")
  )
)</f>
        <v/>
      </c>
      <c r="BN310" s="107" t="str">
        <f t="shared" si="37"/>
        <v/>
      </c>
      <c r="BO310" s="103" t="str">
        <f t="shared" si="38"/>
        <v/>
      </c>
      <c r="BP310" s="102" t="str">
        <f>IF(A310="","",SUM(
COUNTIFS('QA Log'!D:D,A310,'QA Log'!M:M,"Vignette",'QA Log'!L:L,"*Exit Interview 1*"),
COUNTIFS('QA Log'!D:D,A310,'QA Log'!M:M,"Vignette",'QA Log'!L:L,"*Exit Interview 2*"),
)
)</f>
        <v/>
      </c>
      <c r="BQ310" s="102" t="str">
        <f>IF(
  A310="","",
  SUM(
    COUNTIFS('QA Log'!D:D,A310,'QA Log'!M:M,"Vignette",'QA Log'!Z:Z,"Approved",'QA Log'!L:L,"*Exit Interview 1*"),
    COUNTIFS('QA Log'!D:D,A310,'QA Log'!M:M,"Vignette",'QA Log'!Z:Z,"Approved",'QA Log'!L:L,"*Exit Interview 2*")
  )
)</f>
        <v/>
      </c>
      <c r="BR310" s="105" t="str">
        <f>IF(A310&lt;&gt;"",COUNTIFS('QA Log'!D:D,A310,'QA Log'!M:M,"Vignette",'QA Log'!L:L,"Exit Interview 1",'QA Log'!Z:Z,"Approved"),"")</f>
        <v/>
      </c>
      <c r="BS310" s="105" t="str">
        <f>IF(A310&lt;&gt;"",COUNTIFS('QA Log'!D:D,A310,'QA Log'!M:M,"Vignette",'QA Log'!L:L,"Exit Interview 2",'QA Log'!Z:Z,"Approved"),"")</f>
        <v/>
      </c>
      <c r="BT310" s="102" t="str">
        <f>IF(
  A310="","",
  SUM(
    COUNTIFS('QA Log'!D:D,A310,'QA Log'!M:M,"Vignette",'QA Log'!Z:Z,"Rejected",'QA Log'!L:L,"*Exit Interview 1*"),
    COUNTIFS('QA Log'!D:D,A310,'QA Log'!M:M,"Vignette",'QA Log'!Z:Z,"Rejected",'QA Log'!L:L,"*Exit Interview 2*")
  )
)</f>
        <v/>
      </c>
      <c r="BU310" s="107" t="str">
        <f t="shared" si="39"/>
        <v/>
      </c>
      <c r="BV310" s="102" t="str">
        <f t="shared" si="40"/>
        <v/>
      </c>
      <c r="BW310" s="102" t="str">
        <f t="shared" si="41"/>
        <v/>
      </c>
      <c r="BX310" s="102" t="str">
        <f t="shared" si="42"/>
        <v/>
      </c>
      <c r="BY310" s="102" t="str">
        <f t="shared" si="43"/>
        <v/>
      </c>
      <c r="BZ310" s="107" t="str">
        <f t="shared" si="44"/>
        <v/>
      </c>
      <c r="CA310" s="108" t="str">
        <f t="shared" si="45"/>
        <v/>
      </c>
      <c r="CB310" s="108" t="str">
        <f t="shared" si="46"/>
        <v/>
      </c>
      <c r="CC310" s="109" t="str">
        <f t="shared" si="47"/>
        <v/>
      </c>
      <c r="CD310" s="108" t="str">
        <f t="shared" si="48"/>
        <v/>
      </c>
      <c r="CE310" s="108" t="str">
        <f t="shared" si="49"/>
        <v/>
      </c>
      <c r="CF310" s="109" t="str">
        <f t="shared" si="50"/>
        <v/>
      </c>
      <c r="CG310" s="110" t="str">
        <f t="shared" si="51"/>
        <v/>
      </c>
      <c r="CH310" s="111"/>
    </row>
    <row r="311" spans="1:86" ht="12.75">
      <c r="A311" s="101"/>
      <c r="B311" s="102" t="e">
        <f t="array" aca="1" ref="B311" ca="1">_xludf.XLOOKUP(A311,'QA Log'!D:D,'QA Log'!E:E,"")</f>
        <v>#NAME?</v>
      </c>
      <c r="C311" s="102" t="e">
        <f t="array" aca="1" ref="C311" ca="1">_xludf.XLOOKUP(A311,'QA Log'!D:D,'QA Log'!F:F,"")</f>
        <v>#NAME?</v>
      </c>
      <c r="D311" s="102" t="e">
        <f t="array" aca="1" ref="D311" ca="1">_xludf.XLOOKUP(A311,'QA Log'!D:D,'QA Log'!H:H,"")</f>
        <v>#NAME?</v>
      </c>
      <c r="E311" s="102" t="e">
        <f t="array" aca="1" ref="E311" ca="1">_xludf.XLOOKUP(A311,'QA Log'!D:D,'QA Log'!G:G,"")</f>
        <v>#NAME?</v>
      </c>
      <c r="F311" s="103"/>
      <c r="G311" s="104"/>
      <c r="H311" s="104"/>
      <c r="I311" s="103" t="str">
        <f t="shared" si="26"/>
        <v/>
      </c>
      <c r="J311" s="102" t="str">
        <f>IF(A311="","",SUM(
COUNTIFS('QA Log'!D:D,A311,'QA Log'!M:M,"QQC",'QA Log'!L:L,"*1. General Management*"),
COUNTIFS('QA Log'!D:D,A311,'QA Log'!M:M,"QQC",'QA Log'!L:L,"*3. Curative Consultation (OPD)*"),
COUNTIFS('QA Log'!D:D,A311,'QA Log'!M:M,"QQC",'QA Log'!L:L,"*5. Laboratory*"),
COUNTIFS('QA Log'!D:D,A311,'QA Log'!M:M,"QQC",'QA Log'!L:L,"*6. Essential Medicine Management*"),
COUNTIFS('QA Log'!D:D,A311,'QA Log'!M:M,"QQC",'QA Log'!L:L,"*7. Tracer Medicine*"),
COUNTIFS('QA Log'!D:D,A311,'QA Log'!M:M,"QQC",'QA Log'!L:L,"*11. Additional Questions*")))</f>
        <v/>
      </c>
      <c r="K311" s="102" t="str">
        <f>IF(A311="","",SUM(
COUNTIFS('QA Log'!D:D,A311,'QA Log'!M:M,"QQC",'QA Log'!Z:Z,"Approved",'QA Log'!L:L,"*1. General Management*"),
COUNTIFS('QA Log'!D:D,A311,'QA Log'!M:M,"QQC",'QA Log'!Z:Z,"Approved",'QA Log'!L:L,"*3. Curative Consultation (OPD)*"),
COUNTIFS('QA Log'!D:D,A311,'QA Log'!M:M,"QQC",'QA Log'!Z:Z,"Approved",'QA Log'!L:L,"*5. Laboratory*"),
COUNTIFS('QA Log'!D:D,A311,'QA Log'!M:M,"QQC",'QA Log'!Z:Z,"Approved",'QA Log'!L:L,"*6. Essential Medicine Management*"),
COUNTIFS('QA Log'!D:D,A311,'QA Log'!M:M,"QQC",'QA Log'!Z:Z,"Approved",'QA Log'!L:L,"*7. Tracer Medicine*"),
COUNTIFS('QA Log'!D:D,A311,'QA Log'!M:M,"QQC",'QA Log'!Z:Z,"Approved",'QA Log'!L:L,"*11. Additional Questions*")))</f>
        <v/>
      </c>
      <c r="L311" s="105" t="str">
        <f>IF(A311&lt;&gt;"",COUNTIFS('QA Log'!D:D,A311,'QA Log'!M:M,"QQC",'QA Log'!L:L,"1. General Management",'QA Log'!Z:Z,"Approved"),"")</f>
        <v/>
      </c>
      <c r="M311" s="105" t="str">
        <f>IF(A311&lt;&gt;"",COUNTIFS('QA Log'!D:D,A311,'QA Log'!M:M,"QQC",'QA Log'!L:L,"3. Curative Consultation (OPD)",'QA Log'!Z:Z,"Approved"),"")</f>
        <v/>
      </c>
      <c r="N311" s="105" t="str">
        <f>IF(A311&lt;&gt;"",COUNTIFS('QA Log'!D:D,A311,'QA Log'!M:M,"QQC",'QA Log'!L:L,"5. Laboratory",'QA Log'!Z:Z,"Approved"),"")</f>
        <v/>
      </c>
      <c r="O311" s="105" t="str">
        <f>IF(A311&lt;&gt;"",COUNTIFS('QA Log'!D:D,A311,'QA Log'!M:M,"QQC",'QA Log'!L:L,"6. Essential Medicine Management",'QA Log'!Z:Z,"Approved"),"")</f>
        <v/>
      </c>
      <c r="P311" s="105" t="str">
        <f>IF(A311&lt;&gt;"",COUNTIFS('QA Log'!D:D,A311,'QA Log'!M:M,"QQC",'QA Log'!L:L,"7. Tracer Medicine",'QA Log'!Z:Z,"Approved"),"")</f>
        <v/>
      </c>
      <c r="Q311" s="105" t="str">
        <f>IF(A311&lt;&gt;"",COUNTIFS('QA Log'!D:D,A311,'QA Log'!M:M,"QQC",'QA Log'!L:L,"11. Additional Questions",'QA Log'!Z:Z,"Approved"),"")</f>
        <v/>
      </c>
      <c r="R311" s="102" t="str">
        <f>IF(A311="","",SUM(
COUNTIFS('QA Log'!D:D,A311,'QA Log'!M:M,"QQC",'QA Log'!Z:Z,"Rejected",'QA Log'!L:L,"*8. Maternity*"),
COUNTIFS('QA Log'!D:D,A311,'QA Log'!M:M,"QQC",'QA Log'!Z:Z,"Rejected",'QA Log'!L:L,"*EPI*"),
COUNTIFS('QA Log'!D:D,A311,'QA Log'!M:M,"QQC",'QA Log'!Z:Z,"Rejected",'QA Log'!L:L,"*10. Antenatal Care (ANC)*"),
COUNTIFS('QA Log'!D:D,A311,'QA Log'!M:M,"QQC",'QA Log'!Z:Z,"Rejected",'QA Log'!L:L,"*2. Hygiene and Sterilization*"),
COUNTIFS('QA Log'!D:D,A311,'QA Log'!M:M,"QQC",'QA Log'!Z:Z,"Rejected",'QA Log'!L:L,"*Family Planning*")))</f>
        <v/>
      </c>
      <c r="S311" s="106" t="str">
        <f t="shared" si="27"/>
        <v/>
      </c>
      <c r="T311" s="102" t="str">
        <f t="shared" si="28"/>
        <v/>
      </c>
      <c r="U311" s="102" t="str">
        <f>IF(A311="","",
SUM(
COUNTIFS('QA Log'!D:D,A311,'QA Log'!M:M,"QQC",'QA Log'!L:L,"*8. Maternity*"),
COUNTIFS('QA Log'!D:D,A311,'QA Log'!M:M,"QQC",'QA Log'!L:L,"*9. EPI and Pre-school Consultation*"),
COUNTIFS('QA Log'!D:D,A311,'QA Log'!M:M,"QQC",'QA Log'!L:L,"*10. Antenatal Care (ANC)*"),
COUNTIFS('QA Log'!D:D,A311,'QA Log'!M:M,"QQC",'QA Log'!L:L,"*2. Hygiene and Sterilization*"),
COUNTIFS('QA Log'!D:D,A311,'QA Log'!M:M,"QQC",'QA Log'!L:L,"*4. Family Planning*")
))</f>
        <v/>
      </c>
      <c r="V311" s="102" t="str">
        <f>IF(A311="","",
SUM(
COUNTIFS('QA Log'!D:D,A311,'QA Log'!M:M,"QQC",'QA Log'!Z:Z,"Approved",'QA Log'!L:L,"*8. Maternity*"),
COUNTIFS('QA Log'!D:D,A311,'QA Log'!M:M,"QQC",'QA Log'!Z:Z,"Approved",'QA Log'!L:L,"*9. EPI and Pre-school Consultation*"),
COUNTIFS('QA Log'!D:D,A311,'QA Log'!M:M,"QQC",'QA Log'!Z:Z,"Approved",'QA Log'!L:L,"*10. Antenatal Care (ANC)*"),
COUNTIFS('QA Log'!D:D,A311,'QA Log'!M:M,"QQC",'QA Log'!Z:Z,"Approved",'QA Log'!L:L,"*2. Hygiene and Sterilization*"),
COUNTIFS('QA Log'!D:D,A311,'QA Log'!M:M,"QQC",'QA Log'!Z:Z,"Approved",'QA Log'!L:L,"*4. Family Planning*")
))</f>
        <v/>
      </c>
      <c r="W311" s="105" t="str">
        <f>IF(A311&lt;&gt;"",COUNTIFS('QA Log'!D:D,A311,'QA Log'!M:M,"QQC",'QA Log'!L:L,"8. Maternity",'QA Log'!Z:Z,"Approved"),"")</f>
        <v/>
      </c>
      <c r="X311" s="105" t="str">
        <f>IF(A311&lt;&gt;"",COUNTIFS('QA Log'!D:D,A311,'QA Log'!M:M,"QQC",'QA Log'!L:L,"9. EPI and Pre-school Consultation",'QA Log'!Z:Z,"Approved"),"")</f>
        <v/>
      </c>
      <c r="Y311" s="105" t="str">
        <f>IF(A311&lt;&gt;"",COUNTIFS('QA Log'!D:D,A311,'QA Log'!M:M,"QQC",'QA Log'!L:L,"10. Antenatal Care (ANC)",'QA Log'!Z:Z,"Approved"),"")</f>
        <v/>
      </c>
      <c r="Z311" s="105" t="str">
        <f>IF(A311&lt;&gt;"",COUNTIFS('QA Log'!D:D,A311,'QA Log'!M:M,"QQC",'QA Log'!L:L,"2. Hygiene and Sterilization",'QA Log'!Z:Z,"Approved"),"")</f>
        <v/>
      </c>
      <c r="AA311" s="105" t="str">
        <f>IF(A311&lt;&gt;"",COUNTIFS('QA Log'!D:D,A311,'QA Log'!M:M,"QQC",'QA Log'!L:L,"4. Family Planning",'QA Log'!Z:Z,"Approved"),"")</f>
        <v/>
      </c>
      <c r="AB311" s="102" t="str">
        <f>IF(A311="","",
SUM(
COUNTIFS('QA Log'!D:D,A311,'QA Log'!M:M,"QQC",'QA Log'!Z:Z,"Rejected",'QA Log'!L:L,"*8. Maternity*"),
COUNTIFS('QA Log'!D:D,A311,'QA Log'!M:M,"QQC",'QA Log'!Z:Z,"Rejected",'QA Log'!L:L,"*9. EPI and Pre-school Consultation*"),
COUNTIFS('QA Log'!D:D,A311,'QA Log'!M:M,"QQC",'QA Log'!Z:Z,"Rejected",'QA Log'!L:L,"*10. Antenatal Care (ANC)*"),
COUNTIFS('QA Log'!D:D,A311,'QA Log'!M:M,"QQC",'QA Log'!Z:Z,"Rejected",'QA Log'!L:L,"*2. Hygiene and Sterilization*"),
COUNTIFS('QA Log'!D:D,A311,'QA Log'!M:M,"QQC",'QA Log'!Z:Z,"Rejected",'QA Log'!L:L,"*4. Family Planning*")
))</f>
        <v/>
      </c>
      <c r="AC311" s="102" t="str">
        <f t="shared" si="29"/>
        <v/>
      </c>
      <c r="AD311" s="103" t="str">
        <f t="shared" si="30"/>
        <v/>
      </c>
      <c r="AE311" s="102" t="str">
        <f>IF(A311="","",
SUM(
COUNTIFS('QA Log'!D:D,A311,'QA Log'!M:M,"Data Verification",'QA Log'!L:L,"*Medicine (section 2)*"),
COUNTIFS('QA Log'!D:D,A311,'QA Log'!M:M,"Data Verification",'QA Log'!L:L,"*Lab Testing Availability*"),
COUNTIFS('QA Log'!D:D,A311,'QA Log'!M:M,"Data Verification",'QA Log'!L:L,"*Other than P4P (section 6)*"),
COUNTIFS('QA Log'!D:D,A311,'QA Log'!M:M,"Data Verification",'QA Log'!L:L,"*Hospital Governance*")
))</f>
        <v/>
      </c>
      <c r="AF311" s="102" t="str">
        <f>IF(A311="","",
SUM(
COUNTIFS('QA Log'!D:D,A311,'QA Log'!M:M,"Data Verification",'QA Log'!Z:Z,"Approved",'QA Log'!L:L,"*Medicine (section 2)*"),
COUNTIFS('QA Log'!D:D,A311,'QA Log'!M:M,"Data Verification",'QA Log'!Z:Z,"Approved",'QA Log'!L:L,"*Lab Testing Availability*"),
COUNTIFS('QA Log'!D:D,A311,'QA Log'!M:M,"Data Verification",'QA Log'!Z:Z,"Approved",'QA Log'!L:L,"*Other than P4P (section 6)*"),
COUNTIFS('QA Log'!D:D,A311,'QA Log'!M:M,"Data Verification",'QA Log'!Z:Z,"Approved",'QA Log'!L:L,"*Hospital Governance*")
))</f>
        <v/>
      </c>
      <c r="AG311" s="105" t="str">
        <f>IF(A311&lt;&gt;"",COUNTIFS('QA Log'!D:D,A311,'QA Log'!M:M,"Data Verification",'QA Log'!L:L,"Medicine (section 2)",'QA Log'!Z:Z,"Approved"),"")</f>
        <v/>
      </c>
      <c r="AH311" s="105" t="str">
        <f>IF(A311&lt;&gt;"",COUNTIFS('QA Log'!D:D,A311,'QA Log'!M:M,"Data Verification",'QA Log'!L:L,"Lab Testing Availability",'QA Log'!Z:Z,"Approved"),"")</f>
        <v/>
      </c>
      <c r="AI311" s="105" t="str">
        <f>IF(A311&lt;&gt;"",COUNTIFS('QA Log'!D:D,A311,'QA Log'!M:M,"Data Verification",'QA Log'!L:L,"Other than P4P (section 6)",'QA Log'!Z:Z,"Approved"),"")</f>
        <v/>
      </c>
      <c r="AJ311" s="105" t="str">
        <f>IF(A311&lt;&gt;"",COUNTIFS('QA Log'!D:D,A311,'QA Log'!M:M,"Data Verification",'QA Log'!L:L,"Hospital Governance",'QA Log'!Z:Z,"Approved"),"")</f>
        <v/>
      </c>
      <c r="AK311" s="102" t="str">
        <f>IF(A311="","",
SUM(
COUNTIFS('QA Log'!D:D,A311,'QA Log'!M:M,"Data Verification",'QA Log'!Z:Z,"Rejected",'QA Log'!L:L,"*Medicine (section 2)*"),
COUNTIFS('QA Log'!D:D,A311,'QA Log'!M:M,"Data Verification",'QA Log'!Z:Z,"Rejected",'QA Log'!L:L,"*Lab Testing Availability*"),
COUNTIFS('QA Log'!D:D,A311,'QA Log'!M:M,"Data Verification",'QA Log'!Z:Z,"Rejected",'QA Log'!L:L,"*Other than P4P (section 6)*"),
COUNTIFS('QA Log'!D:D,A311,'QA Log'!M:M,"Data Verification",'QA Log'!Z:Z,"Rejected",'QA Log'!L:L,"*Hospital Governance*")
))</f>
        <v/>
      </c>
      <c r="AL311" s="106" t="str">
        <f t="shared" si="31"/>
        <v/>
      </c>
      <c r="AM311" s="102" t="str">
        <f t="shared" si="32"/>
        <v/>
      </c>
      <c r="AN311" s="102" t="str">
        <f>IF(A311="","",
SUM(
COUNTIFS('QA Log'!D:D,A311,'QA Log'!M:M,"Data Verification",'QA Log'!L:L,"*Personnel (section 1)*"),
COUNTIFS('QA Log'!D:D,A311,'QA Log'!M:M,"Data Verification",'QA Log'!L:L,"*Consumable (section 3)*"),
COUNTIFS('QA Log'!D:D,A311,'QA Log'!M:M,"Data Verification",'QA Log'!L:L,"*Equipments (section 4)*")
))</f>
        <v/>
      </c>
      <c r="AO311" s="102" t="str">
        <f>IF(A311="","",
SUM(
COUNTIFS('QA Log'!D:D,A311,'QA Log'!M:M,"Data Verification",'QA Log'!Z:Z,"Approved",'QA Log'!L:L,"*Personnel (section 1)*"),
COUNTIFS('QA Log'!D:D,A311,'QA Log'!M:M,"Data Verification",'QA Log'!Z:Z,"Approved",'QA Log'!L:L,"*Consumable (section 3)*"),
COUNTIFS('QA Log'!D:D,A311,'QA Log'!M:M,"Data Verification",'QA Log'!Z:Z,"Approved",'QA Log'!L:L,"*Equipments (section 4)*")
))</f>
        <v/>
      </c>
      <c r="AP311" s="105" t="str">
        <f>IF(A311&lt;&gt;"",COUNTIFS('QA Log'!D:D,A311,'QA Log'!M:M,"Data Verification",'QA Log'!L:L,"Personnel (section 1)",'QA Log'!Z:Z,"Approved"),"")</f>
        <v/>
      </c>
      <c r="AQ311" s="105" t="str">
        <f>IF(A311&lt;&gt;"",COUNTIFS('QA Log'!D:D,A311,'QA Log'!M:M,"Data Verification",'QA Log'!L:L,"Consumable (section 3)",'QA Log'!Z:Z,"Approved"),"")</f>
        <v/>
      </c>
      <c r="AR311" s="105" t="str">
        <f>IF(A311&lt;&gt;"",COUNTIFS('QA Log'!D:D,A311,'QA Log'!M:M,"Data Verification",'QA Log'!L:L,"Equipments (section 4)",'QA Log'!Z:Z,"Approved"),"")</f>
        <v/>
      </c>
      <c r="AS311" s="102" t="str">
        <f>IF(A311="","",
SUM(
COUNTIFS('QA Log'!D:D,A311,'QA Log'!M:M,"Data Verification",'QA Log'!Z:Z,"Rejected",'QA Log'!L:L,"*Personnel (section 1)*"),
COUNTIFS('QA Log'!D:D,A311,'QA Log'!M:M,"Data Verification",'QA Log'!Z:Z,"Rejected",'QA Log'!L:L,"*Consumable (section 3)*"),
COUNTIFS('QA Log'!D:D,A311,'QA Log'!M:M,"Data Verification",'QA Log'!Z:Z,"Rejected",'QA Log'!L:L,"*Equipments (section 4)*")
))</f>
        <v/>
      </c>
      <c r="AT311" s="102" t="str">
        <f t="shared" si="33"/>
        <v/>
      </c>
      <c r="AU311" s="103" t="str">
        <f t="shared" si="34"/>
        <v/>
      </c>
      <c r="AV311" s="102" t="str">
        <f>IF(A311="","",SUM(
COUNTIFS('QA Log'!D:D,A311,'QA Log'!M:M,"Vignette",'QA Log'!L:L,"*Vignette [1] Respiratory Infection: Pneumonia*"),
COUNTIFS('QA Log'!D:D,A311,'QA Log'!M:M,"Vignette",'QA Log'!L:L,"*Vignette [2]: Diarrhea with Cat B dehydration*"),
COUNTIFS('QA Log'!D:D,A311,'QA Log'!M:M,"Vignette",'QA Log'!L:L,"*Vignette [3] Growth Monitoring and Promotion*"),
COUNTIFS('QA Log'!D:D,A311,'QA Log'!M:M,"Vignette",'QA Log'!L:L,"*Vignette [4]: The management of presumptive TB patient*")
)
)</f>
        <v/>
      </c>
      <c r="AW311" s="102" t="str">
        <f>IF(
  A311="","",
  SUM(
    COUNTIFS('QA Log'!D:D,A311,'QA Log'!M:M,"Vignette",'QA Log'!Z:Z,"Approved",'QA Log'!L:L,"*Vignette [1] Respiratory Infection: Pneumonia*"),
    COUNTIFS('QA Log'!D:D,A311,'QA Log'!M:M,"Vignette",'QA Log'!Z:Z,"Approved",'QA Log'!L:L,"*Vignette [2]: Diarrhea with Cat B dehydration*"),
    COUNTIFS('QA Log'!D:D,A311,'QA Log'!M:M,"Vignette",'QA Log'!Z:Z,"Approved",'QA Log'!L:L,"*Vignette [3] Growth Monitoring and Promotion*"),
    COUNTIFS('QA Log'!D:D,A311,'QA Log'!M:M,"Vignette",'QA Log'!Z:Z,"Approved",'QA Log'!L:L,"*Vignette [4]: The management of presumptive TB patient*")
  )
)</f>
        <v/>
      </c>
      <c r="AX311" s="105" t="str">
        <f>IF(A311&lt;&gt;"",COUNTIFS('QA Log'!D:D,A311,'QA Log'!M:M,"Vignette",'QA Log'!L:L,"Vignette [1] Respiratory Infection: Pneumonia",'QA Log'!Z:Z,"Approved"),"")</f>
        <v/>
      </c>
      <c r="AY311" s="105" t="str">
        <f>IF(A311&lt;&gt;"",COUNTIFS('QA Log'!D:D,A311,'QA Log'!M:M,"Vignette",'QA Log'!L:L,"Vignette [2]: Diarrhea with Cat B dehydration",'QA Log'!Z:Z,"Approved"),"")</f>
        <v/>
      </c>
      <c r="AZ311" s="105" t="str">
        <f>IF(A311&lt;&gt;"",COUNTIFS('QA Log'!D:D,A311,'QA Log'!M:M,"Vignette",'QA Log'!L:L,"Vignette [3] Growth Monitoring and Promotion",'QA Log'!Z:Z,"Approved"),"")</f>
        <v/>
      </c>
      <c r="BA311" s="105" t="str">
        <f>IF(A311&lt;&gt;"",COUNTIFS('QA Log'!D:D,A311,'QA Log'!M:M,"Vignette",'QA Log'!L:L,"Vignette [4]: The management of presumptive TB patient",'QA Log'!Z:Z,"Approved"),"")</f>
        <v/>
      </c>
      <c r="BB311" s="102" t="str">
        <f>IF(A311="","",
  SUM(
    COUNTIFS('QA Log'!D:D,A311,'QA Log'!M:M,"Vignette",'QA Log'!Z:Z,"Rejected",'QA Log'!L:L,"*Vignette [1] Respiratory Infection: Pneumonia*"),
    COUNTIFS('QA Log'!D:D,A311,'QA Log'!M:M,"Vignette",'QA Log'!Z:Z,"Rejected",'QA Log'!L:L,"*Vignette [2]: Diarrhea with Cat B dehydration*"),
    COUNTIFS('QA Log'!D:D,A311,'QA Log'!M:M,"Vignette",'QA Log'!Z:Z,"Rejected",'QA Log'!L:L,"*Vignette [3] Growth Monitoring and Promotion*"),
    COUNTIFS('QA Log'!D:D,A311,'QA Log'!M:M,"Vignette",'QA Log'!Z:Z,"Rejected",'QA Log'!L:L,"*Vignette [4]: The management of presumptive TB patient*")
  )
)</f>
        <v/>
      </c>
      <c r="BC311" s="107" t="str">
        <f t="shared" si="35"/>
        <v/>
      </c>
      <c r="BD311" s="103" t="str">
        <f t="shared" si="36"/>
        <v/>
      </c>
      <c r="BE311" s="102" t="str">
        <f>IF(A311="","",SUM(
COUNTIFS('QA Log'!D:D,A311,'QA Log'!M:M,"Vignette",'QA Log'!L:L,"*Vignette [5] Labor*"),
COUNTIFS('QA Log'!D:D,A311,'QA Log'!M:M,"Vignette",'QA Log'!L:L,"*Vignette [6] PNC pre Discharge*"),
COUNTIFS('QA Log'!D:D,A311,'QA Log'!M:M,"Vignette",'QA Log'!L:L,"*Vignette [7] First ANC Visit*"),
COUNTIFS('QA Log'!D:D,A311,'QA Log'!M:M,"Vignette",'QA Log'!L:L,"*Vignette [8] Birth Spacing/ Family Planning :  FP Counselling*"),
COUNTIFS('QA Log'!D:D,A311,'QA Log'!M:M,"Vignette",'QA Log'!L:L,"*Vignette [9] Birth Spacing: Change FP method to Injectable*"),
COUNTIFS('QA Log'!D:D,A311,'QA Log'!M:M,"Vignette",'QA Log'!L:L,"*Vignette [10] Post Partum Haemorrhage - Atonic Uterus at Health Centre*"),
)
)</f>
        <v/>
      </c>
      <c r="BF311" s="102" t="str">
        <f>IF(A311="","",
  SUM(
    COUNTIFS('QA Log'!D:D,A311,'QA Log'!M:M,"Vignette",'QA Log'!Z:Z,"Approved",'QA Log'!L:L,"*Vignette [5] Labor*"),
    COUNTIFS('QA Log'!D:D,A311,'QA Log'!M:M,"Vignette",'QA Log'!Z:Z,"Approved",'QA Log'!L:L,"*Vignette [6] PNC pre Discharge*"),
    COUNTIFS('QA Log'!D:D,A311,'QA Log'!M:M,"Vignette",'QA Log'!Z:Z,"Approved",'QA Log'!L:L,"*Vignette [7] First ANC Visit*"),
    COUNTIFS('QA Log'!D:D,A311,'QA Log'!M:M,"Vignette",'QA Log'!Z:Z,"Approved",'QA Log'!L:L,"*Vignette [8] Birth Spacing/ Family Planning :  FP Counselling*"),
    COUNTIFS('QA Log'!D:D,A311,'QA Log'!M:M,"Vignette",'QA Log'!Z:Z,"Approved",'QA Log'!L:L,"*Vignette [9] Birth Spacing: Change FP method to Injectable*"),
    COUNTIFS('QA Log'!D:D,A311,'QA Log'!M:M,"Vignette",'QA Log'!Z:Z,"Approved",'QA Log'!L:L,"*Vignette [10] Post Partum Haemorrhage - Atonic Uterus at Health Centre*")
  )
)</f>
        <v/>
      </c>
      <c r="BG311" s="105" t="str">
        <f>IF(A311&lt;&gt;"",COUNTIFS('QA Log'!D:D,A311,'QA Log'!M:M,"Vignette",'QA Log'!L:L,"Vignette [5] Labor",'QA Log'!Z:Z,"Approved"),"")</f>
        <v/>
      </c>
      <c r="BH311" s="105" t="str">
        <f>IF(A311&lt;&gt;"",COUNTIFS('QA Log'!D:D,A311,'QA Log'!M:M,"Vignette",'QA Log'!L:L,"Vignette [6] PNC pre Discharge",'QA Log'!Z:Z,"Approved"),"")</f>
        <v/>
      </c>
      <c r="BI311" s="105" t="str">
        <f>IF(A311&lt;&gt;"",COUNTIFS('QA Log'!D:D,A311,'QA Log'!M:M,"Vignette",'QA Log'!L:L,"Vignette [7] First ANC Visit",'QA Log'!Z:Z,"Approved"),"")</f>
        <v/>
      </c>
      <c r="BJ311" s="105" t="str">
        <f>IF(A311&lt;&gt;"",COUNTIFS('QA Log'!D:D,A311,'QA Log'!M:M,"Vignette",'QA Log'!L:L,"Vignette [8] Birth Spacing/ Family Planning :  FP Counselling",'QA Log'!Z:Z,"Approved"),"")</f>
        <v/>
      </c>
      <c r="BK311" s="105" t="str">
        <f>IF(A311&lt;&gt;"",COUNTIFS('QA Log'!D:D,A311,'QA Log'!M:M,"Vignette",'QA Log'!L:L,"Vignette [9] Birth Spacing: Change FP method to Injectable",'QA Log'!Z:Z,"Approved"),"")</f>
        <v/>
      </c>
      <c r="BL311" s="105" t="str">
        <f>IF(A311&lt;&gt;"",COUNTIFS('QA Log'!D:D,A311,'QA Log'!M:M,"Vignette",'QA Log'!L:L,"Vignette [10] Post Partum Haemorrhage - Atonic Uterus at Health Centre",'QA Log'!Z:Z,"Approved"),"")</f>
        <v/>
      </c>
      <c r="BM311" s="102" t="str">
        <f>IF(A311="","",SUM(
    COUNTIFS('QA Log'!D:D,A311,'QA Log'!M:M,"Vignette",'QA Log'!Z:Z,"Rejected",'QA Log'!L:L,"*Vignette [5] Labor*"),
    COUNTIFS('QA Log'!D:D,A311,'QA Log'!M:M,"Vignette",'QA Log'!Z:Z,"Rejected",'QA Log'!L:L,"*Vignette [6] PNC pre Discharge*"),
    COUNTIFS('QA Log'!D:D,A311,'QA Log'!M:M,"Vignette",'QA Log'!Z:Z,"Rejected",'QA Log'!L:L,"*Vignette [7] First ANC Visit*"),
    COUNTIFS('QA Log'!D:D,A311,'QA Log'!M:M,"Vignette",'QA Log'!Z:Z,"Rejected",'QA Log'!L:L,"*Vignette [8] Birth Spacing/ Family Planning :  FP Counselling*"),
    COUNTIFS('QA Log'!D:D,A311,'QA Log'!M:M,"Vignette",'QA Log'!Z:Z,"Rejected",'QA Log'!L:L,"*Vignette [9] Birth Spacing: Change FP method to Injectable*"),
    COUNTIFS('QA Log'!D:D,A311,'QA Log'!M:M,"Vignette",'QA Log'!Z:Z,"Rejected",'QA Log'!L:L,"*Vignette [10] Post Partum Haemorrhage - Atonic Uterus at Health Centre*")
  )
)</f>
        <v/>
      </c>
      <c r="BN311" s="107" t="str">
        <f t="shared" si="37"/>
        <v/>
      </c>
      <c r="BO311" s="103" t="str">
        <f t="shared" si="38"/>
        <v/>
      </c>
      <c r="BP311" s="102" t="str">
        <f>IF(A311="","",SUM(
COUNTIFS('QA Log'!D:D,A311,'QA Log'!M:M,"Vignette",'QA Log'!L:L,"*Exit Interview 1*"),
COUNTIFS('QA Log'!D:D,A311,'QA Log'!M:M,"Vignette",'QA Log'!L:L,"*Exit Interview 2*"),
)
)</f>
        <v/>
      </c>
      <c r="BQ311" s="102" t="str">
        <f>IF(
  A311="","",
  SUM(
    COUNTIFS('QA Log'!D:D,A311,'QA Log'!M:M,"Vignette",'QA Log'!Z:Z,"Approved",'QA Log'!L:L,"*Exit Interview 1*"),
    COUNTIFS('QA Log'!D:D,A311,'QA Log'!M:M,"Vignette",'QA Log'!Z:Z,"Approved",'QA Log'!L:L,"*Exit Interview 2*")
  )
)</f>
        <v/>
      </c>
      <c r="BR311" s="105" t="str">
        <f>IF(A311&lt;&gt;"",COUNTIFS('QA Log'!D:D,A311,'QA Log'!M:M,"Vignette",'QA Log'!L:L,"Exit Interview 1",'QA Log'!Z:Z,"Approved"),"")</f>
        <v/>
      </c>
      <c r="BS311" s="105" t="str">
        <f>IF(A311&lt;&gt;"",COUNTIFS('QA Log'!D:D,A311,'QA Log'!M:M,"Vignette",'QA Log'!L:L,"Exit Interview 2",'QA Log'!Z:Z,"Approved"),"")</f>
        <v/>
      </c>
      <c r="BT311" s="102" t="str">
        <f>IF(
  A311="","",
  SUM(
    COUNTIFS('QA Log'!D:D,A311,'QA Log'!M:M,"Vignette",'QA Log'!Z:Z,"Rejected",'QA Log'!L:L,"*Exit Interview 1*"),
    COUNTIFS('QA Log'!D:D,A311,'QA Log'!M:M,"Vignette",'QA Log'!Z:Z,"Rejected",'QA Log'!L:L,"*Exit Interview 2*")
  )
)</f>
        <v/>
      </c>
      <c r="BU311" s="107" t="str">
        <f t="shared" si="39"/>
        <v/>
      </c>
      <c r="BV311" s="102" t="str">
        <f t="shared" si="40"/>
        <v/>
      </c>
      <c r="BW311" s="102" t="str">
        <f t="shared" si="41"/>
        <v/>
      </c>
      <c r="BX311" s="102" t="str">
        <f t="shared" si="42"/>
        <v/>
      </c>
      <c r="BY311" s="102" t="str">
        <f t="shared" si="43"/>
        <v/>
      </c>
      <c r="BZ311" s="107" t="str">
        <f t="shared" si="44"/>
        <v/>
      </c>
      <c r="CA311" s="108" t="str">
        <f t="shared" si="45"/>
        <v/>
      </c>
      <c r="CB311" s="108" t="str">
        <f t="shared" si="46"/>
        <v/>
      </c>
      <c r="CC311" s="109" t="str">
        <f t="shared" si="47"/>
        <v/>
      </c>
      <c r="CD311" s="108" t="str">
        <f t="shared" si="48"/>
        <v/>
      </c>
      <c r="CE311" s="108" t="str">
        <f t="shared" si="49"/>
        <v/>
      </c>
      <c r="CF311" s="109" t="str">
        <f t="shared" si="50"/>
        <v/>
      </c>
      <c r="CG311" s="110" t="str">
        <f t="shared" si="51"/>
        <v/>
      </c>
      <c r="CH311" s="111"/>
    </row>
    <row r="312" spans="1:86" ht="12.75">
      <c r="A312" s="101"/>
      <c r="B312" s="102" t="e">
        <f t="array" aca="1" ref="B312" ca="1">_xludf.XLOOKUP(A312,'QA Log'!D:D,'QA Log'!E:E,"")</f>
        <v>#NAME?</v>
      </c>
      <c r="C312" s="102" t="e">
        <f t="array" aca="1" ref="C312" ca="1">_xludf.XLOOKUP(A312,'QA Log'!D:D,'QA Log'!F:F,"")</f>
        <v>#NAME?</v>
      </c>
      <c r="D312" s="102" t="e">
        <f t="array" aca="1" ref="D312" ca="1">_xludf.XLOOKUP(A312,'QA Log'!D:D,'QA Log'!H:H,"")</f>
        <v>#NAME?</v>
      </c>
      <c r="E312" s="102" t="e">
        <f t="array" aca="1" ref="E312" ca="1">_xludf.XLOOKUP(A312,'QA Log'!D:D,'QA Log'!G:G,"")</f>
        <v>#NAME?</v>
      </c>
      <c r="F312" s="103"/>
      <c r="G312" s="104"/>
      <c r="H312" s="104"/>
      <c r="I312" s="103" t="str">
        <f t="shared" si="26"/>
        <v/>
      </c>
      <c r="J312" s="102" t="str">
        <f>IF(A312="","",SUM(
COUNTIFS('QA Log'!D:D,A312,'QA Log'!M:M,"QQC",'QA Log'!L:L,"*1. General Management*"),
COUNTIFS('QA Log'!D:D,A312,'QA Log'!M:M,"QQC",'QA Log'!L:L,"*3. Curative Consultation (OPD)*"),
COUNTIFS('QA Log'!D:D,A312,'QA Log'!M:M,"QQC",'QA Log'!L:L,"*5. Laboratory*"),
COUNTIFS('QA Log'!D:D,A312,'QA Log'!M:M,"QQC",'QA Log'!L:L,"*6. Essential Medicine Management*"),
COUNTIFS('QA Log'!D:D,A312,'QA Log'!M:M,"QQC",'QA Log'!L:L,"*7. Tracer Medicine*"),
COUNTIFS('QA Log'!D:D,A312,'QA Log'!M:M,"QQC",'QA Log'!L:L,"*11. Additional Questions*")))</f>
        <v/>
      </c>
      <c r="K312" s="102" t="str">
        <f>IF(A312="","",SUM(
COUNTIFS('QA Log'!D:D,A312,'QA Log'!M:M,"QQC",'QA Log'!Z:Z,"Approved",'QA Log'!L:L,"*1. General Management*"),
COUNTIFS('QA Log'!D:D,A312,'QA Log'!M:M,"QQC",'QA Log'!Z:Z,"Approved",'QA Log'!L:L,"*3. Curative Consultation (OPD)*"),
COUNTIFS('QA Log'!D:D,A312,'QA Log'!M:M,"QQC",'QA Log'!Z:Z,"Approved",'QA Log'!L:L,"*5. Laboratory*"),
COUNTIFS('QA Log'!D:D,A312,'QA Log'!M:M,"QQC",'QA Log'!Z:Z,"Approved",'QA Log'!L:L,"*6. Essential Medicine Management*"),
COUNTIFS('QA Log'!D:D,A312,'QA Log'!M:M,"QQC",'QA Log'!Z:Z,"Approved",'QA Log'!L:L,"*7. Tracer Medicine*"),
COUNTIFS('QA Log'!D:D,A312,'QA Log'!M:M,"QQC",'QA Log'!Z:Z,"Approved",'QA Log'!L:L,"*11. Additional Questions*")))</f>
        <v/>
      </c>
      <c r="L312" s="105" t="str">
        <f>IF(A312&lt;&gt;"",COUNTIFS('QA Log'!D:D,A312,'QA Log'!M:M,"QQC",'QA Log'!L:L,"1. General Management",'QA Log'!Z:Z,"Approved"),"")</f>
        <v/>
      </c>
      <c r="M312" s="105" t="str">
        <f>IF(A312&lt;&gt;"",COUNTIFS('QA Log'!D:D,A312,'QA Log'!M:M,"QQC",'QA Log'!L:L,"3. Curative Consultation (OPD)",'QA Log'!Z:Z,"Approved"),"")</f>
        <v/>
      </c>
      <c r="N312" s="105" t="str">
        <f>IF(A312&lt;&gt;"",COUNTIFS('QA Log'!D:D,A312,'QA Log'!M:M,"QQC",'QA Log'!L:L,"5. Laboratory",'QA Log'!Z:Z,"Approved"),"")</f>
        <v/>
      </c>
      <c r="O312" s="105" t="str">
        <f>IF(A312&lt;&gt;"",COUNTIFS('QA Log'!D:D,A312,'QA Log'!M:M,"QQC",'QA Log'!L:L,"6. Essential Medicine Management",'QA Log'!Z:Z,"Approved"),"")</f>
        <v/>
      </c>
      <c r="P312" s="105" t="str">
        <f>IF(A312&lt;&gt;"",COUNTIFS('QA Log'!D:D,A312,'QA Log'!M:M,"QQC",'QA Log'!L:L,"7. Tracer Medicine",'QA Log'!Z:Z,"Approved"),"")</f>
        <v/>
      </c>
      <c r="Q312" s="105" t="str">
        <f>IF(A312&lt;&gt;"",COUNTIFS('QA Log'!D:D,A312,'QA Log'!M:M,"QQC",'QA Log'!L:L,"11. Additional Questions",'QA Log'!Z:Z,"Approved"),"")</f>
        <v/>
      </c>
      <c r="R312" s="102" t="str">
        <f>IF(A312="","",SUM(
COUNTIFS('QA Log'!D:D,A312,'QA Log'!M:M,"QQC",'QA Log'!Z:Z,"Rejected",'QA Log'!L:L,"*8. Maternity*"),
COUNTIFS('QA Log'!D:D,A312,'QA Log'!M:M,"QQC",'QA Log'!Z:Z,"Rejected",'QA Log'!L:L,"*EPI*"),
COUNTIFS('QA Log'!D:D,A312,'QA Log'!M:M,"QQC",'QA Log'!Z:Z,"Rejected",'QA Log'!L:L,"*10. Antenatal Care (ANC)*"),
COUNTIFS('QA Log'!D:D,A312,'QA Log'!M:M,"QQC",'QA Log'!Z:Z,"Rejected",'QA Log'!L:L,"*2. Hygiene and Sterilization*"),
COUNTIFS('QA Log'!D:D,A312,'QA Log'!M:M,"QQC",'QA Log'!Z:Z,"Rejected",'QA Log'!L:L,"*Family Planning*")))</f>
        <v/>
      </c>
      <c r="S312" s="106" t="str">
        <f t="shared" si="27"/>
        <v/>
      </c>
      <c r="T312" s="102" t="str">
        <f t="shared" si="28"/>
        <v/>
      </c>
      <c r="U312" s="102" t="str">
        <f>IF(A312="","",
SUM(
COUNTIFS('QA Log'!D:D,A312,'QA Log'!M:M,"QQC",'QA Log'!L:L,"*8. Maternity*"),
COUNTIFS('QA Log'!D:D,A312,'QA Log'!M:M,"QQC",'QA Log'!L:L,"*9. EPI and Pre-school Consultation*"),
COUNTIFS('QA Log'!D:D,A312,'QA Log'!M:M,"QQC",'QA Log'!L:L,"*10. Antenatal Care (ANC)*"),
COUNTIFS('QA Log'!D:D,A312,'QA Log'!M:M,"QQC",'QA Log'!L:L,"*2. Hygiene and Sterilization*"),
COUNTIFS('QA Log'!D:D,A312,'QA Log'!M:M,"QQC",'QA Log'!L:L,"*4. Family Planning*")
))</f>
        <v/>
      </c>
      <c r="V312" s="102" t="str">
        <f>IF(A312="","",
SUM(
COUNTIFS('QA Log'!D:D,A312,'QA Log'!M:M,"QQC",'QA Log'!Z:Z,"Approved",'QA Log'!L:L,"*8. Maternity*"),
COUNTIFS('QA Log'!D:D,A312,'QA Log'!M:M,"QQC",'QA Log'!Z:Z,"Approved",'QA Log'!L:L,"*9. EPI and Pre-school Consultation*"),
COUNTIFS('QA Log'!D:D,A312,'QA Log'!M:M,"QQC",'QA Log'!Z:Z,"Approved",'QA Log'!L:L,"*10. Antenatal Care (ANC)*"),
COUNTIFS('QA Log'!D:D,A312,'QA Log'!M:M,"QQC",'QA Log'!Z:Z,"Approved",'QA Log'!L:L,"*2. Hygiene and Sterilization*"),
COUNTIFS('QA Log'!D:D,A312,'QA Log'!M:M,"QQC",'QA Log'!Z:Z,"Approved",'QA Log'!L:L,"*4. Family Planning*")
))</f>
        <v/>
      </c>
      <c r="W312" s="105" t="str">
        <f>IF(A312&lt;&gt;"",COUNTIFS('QA Log'!D:D,A312,'QA Log'!M:M,"QQC",'QA Log'!L:L,"8. Maternity",'QA Log'!Z:Z,"Approved"),"")</f>
        <v/>
      </c>
      <c r="X312" s="105" t="str">
        <f>IF(A312&lt;&gt;"",COUNTIFS('QA Log'!D:D,A312,'QA Log'!M:M,"QQC",'QA Log'!L:L,"9. EPI and Pre-school Consultation",'QA Log'!Z:Z,"Approved"),"")</f>
        <v/>
      </c>
      <c r="Y312" s="105" t="str">
        <f>IF(A312&lt;&gt;"",COUNTIFS('QA Log'!D:D,A312,'QA Log'!M:M,"QQC",'QA Log'!L:L,"10. Antenatal Care (ANC)",'QA Log'!Z:Z,"Approved"),"")</f>
        <v/>
      </c>
      <c r="Z312" s="105" t="str">
        <f>IF(A312&lt;&gt;"",COUNTIFS('QA Log'!D:D,A312,'QA Log'!M:M,"QQC",'QA Log'!L:L,"2. Hygiene and Sterilization",'QA Log'!Z:Z,"Approved"),"")</f>
        <v/>
      </c>
      <c r="AA312" s="105" t="str">
        <f>IF(A312&lt;&gt;"",COUNTIFS('QA Log'!D:D,A312,'QA Log'!M:M,"QQC",'QA Log'!L:L,"4. Family Planning",'QA Log'!Z:Z,"Approved"),"")</f>
        <v/>
      </c>
      <c r="AB312" s="102" t="str">
        <f>IF(A312="","",
SUM(
COUNTIFS('QA Log'!D:D,A312,'QA Log'!M:M,"QQC",'QA Log'!Z:Z,"Rejected",'QA Log'!L:L,"*8. Maternity*"),
COUNTIFS('QA Log'!D:D,A312,'QA Log'!M:M,"QQC",'QA Log'!Z:Z,"Rejected",'QA Log'!L:L,"*9. EPI and Pre-school Consultation*"),
COUNTIFS('QA Log'!D:D,A312,'QA Log'!M:M,"QQC",'QA Log'!Z:Z,"Rejected",'QA Log'!L:L,"*10. Antenatal Care (ANC)*"),
COUNTIFS('QA Log'!D:D,A312,'QA Log'!M:M,"QQC",'QA Log'!Z:Z,"Rejected",'QA Log'!L:L,"*2. Hygiene and Sterilization*"),
COUNTIFS('QA Log'!D:D,A312,'QA Log'!M:M,"QQC",'QA Log'!Z:Z,"Rejected",'QA Log'!L:L,"*4. Family Planning*")
))</f>
        <v/>
      </c>
      <c r="AC312" s="102" t="str">
        <f t="shared" si="29"/>
        <v/>
      </c>
      <c r="AD312" s="103" t="str">
        <f t="shared" si="30"/>
        <v/>
      </c>
      <c r="AE312" s="102" t="str">
        <f>IF(A312="","",
SUM(
COUNTIFS('QA Log'!D:D,A312,'QA Log'!M:M,"Data Verification",'QA Log'!L:L,"*Medicine (section 2)*"),
COUNTIFS('QA Log'!D:D,A312,'QA Log'!M:M,"Data Verification",'QA Log'!L:L,"*Lab Testing Availability*"),
COUNTIFS('QA Log'!D:D,A312,'QA Log'!M:M,"Data Verification",'QA Log'!L:L,"*Other than P4P (section 6)*"),
COUNTIFS('QA Log'!D:D,A312,'QA Log'!M:M,"Data Verification",'QA Log'!L:L,"*Hospital Governance*")
))</f>
        <v/>
      </c>
      <c r="AF312" s="102" t="str">
        <f>IF(A312="","",
SUM(
COUNTIFS('QA Log'!D:D,A312,'QA Log'!M:M,"Data Verification",'QA Log'!Z:Z,"Approved",'QA Log'!L:L,"*Medicine (section 2)*"),
COUNTIFS('QA Log'!D:D,A312,'QA Log'!M:M,"Data Verification",'QA Log'!Z:Z,"Approved",'QA Log'!L:L,"*Lab Testing Availability*"),
COUNTIFS('QA Log'!D:D,A312,'QA Log'!M:M,"Data Verification",'QA Log'!Z:Z,"Approved",'QA Log'!L:L,"*Other than P4P (section 6)*"),
COUNTIFS('QA Log'!D:D,A312,'QA Log'!M:M,"Data Verification",'QA Log'!Z:Z,"Approved",'QA Log'!L:L,"*Hospital Governance*")
))</f>
        <v/>
      </c>
      <c r="AG312" s="105" t="str">
        <f>IF(A312&lt;&gt;"",COUNTIFS('QA Log'!D:D,A312,'QA Log'!M:M,"Data Verification",'QA Log'!L:L,"Medicine (section 2)",'QA Log'!Z:Z,"Approved"),"")</f>
        <v/>
      </c>
      <c r="AH312" s="105" t="str">
        <f>IF(A312&lt;&gt;"",COUNTIFS('QA Log'!D:D,A312,'QA Log'!M:M,"Data Verification",'QA Log'!L:L,"Lab Testing Availability",'QA Log'!Z:Z,"Approved"),"")</f>
        <v/>
      </c>
      <c r="AI312" s="105" t="str">
        <f>IF(A312&lt;&gt;"",COUNTIFS('QA Log'!D:D,A312,'QA Log'!M:M,"Data Verification",'QA Log'!L:L,"Other than P4P (section 6)",'QA Log'!Z:Z,"Approved"),"")</f>
        <v/>
      </c>
      <c r="AJ312" s="105" t="str">
        <f>IF(A312&lt;&gt;"",COUNTIFS('QA Log'!D:D,A312,'QA Log'!M:M,"Data Verification",'QA Log'!L:L,"Hospital Governance",'QA Log'!Z:Z,"Approved"),"")</f>
        <v/>
      </c>
      <c r="AK312" s="102" t="str">
        <f>IF(A312="","",
SUM(
COUNTIFS('QA Log'!D:D,A312,'QA Log'!M:M,"Data Verification",'QA Log'!Z:Z,"Rejected",'QA Log'!L:L,"*Medicine (section 2)*"),
COUNTIFS('QA Log'!D:D,A312,'QA Log'!M:M,"Data Verification",'QA Log'!Z:Z,"Rejected",'QA Log'!L:L,"*Lab Testing Availability*"),
COUNTIFS('QA Log'!D:D,A312,'QA Log'!M:M,"Data Verification",'QA Log'!Z:Z,"Rejected",'QA Log'!L:L,"*Other than P4P (section 6)*"),
COUNTIFS('QA Log'!D:D,A312,'QA Log'!M:M,"Data Verification",'QA Log'!Z:Z,"Rejected",'QA Log'!L:L,"*Hospital Governance*")
))</f>
        <v/>
      </c>
      <c r="AL312" s="106" t="str">
        <f t="shared" si="31"/>
        <v/>
      </c>
      <c r="AM312" s="102" t="str">
        <f t="shared" si="32"/>
        <v/>
      </c>
      <c r="AN312" s="102" t="str">
        <f>IF(A312="","",
SUM(
COUNTIFS('QA Log'!D:D,A312,'QA Log'!M:M,"Data Verification",'QA Log'!L:L,"*Personnel (section 1)*"),
COUNTIFS('QA Log'!D:D,A312,'QA Log'!M:M,"Data Verification",'QA Log'!L:L,"*Consumable (section 3)*"),
COUNTIFS('QA Log'!D:D,A312,'QA Log'!M:M,"Data Verification",'QA Log'!L:L,"*Equipments (section 4)*")
))</f>
        <v/>
      </c>
      <c r="AO312" s="102" t="str">
        <f>IF(A312="","",
SUM(
COUNTIFS('QA Log'!D:D,A312,'QA Log'!M:M,"Data Verification",'QA Log'!Z:Z,"Approved",'QA Log'!L:L,"*Personnel (section 1)*"),
COUNTIFS('QA Log'!D:D,A312,'QA Log'!M:M,"Data Verification",'QA Log'!Z:Z,"Approved",'QA Log'!L:L,"*Consumable (section 3)*"),
COUNTIFS('QA Log'!D:D,A312,'QA Log'!M:M,"Data Verification",'QA Log'!Z:Z,"Approved",'QA Log'!L:L,"*Equipments (section 4)*")
))</f>
        <v/>
      </c>
      <c r="AP312" s="105" t="str">
        <f>IF(A312&lt;&gt;"",COUNTIFS('QA Log'!D:D,A312,'QA Log'!M:M,"Data Verification",'QA Log'!L:L,"Personnel (section 1)",'QA Log'!Z:Z,"Approved"),"")</f>
        <v/>
      </c>
      <c r="AQ312" s="105" t="str">
        <f>IF(A312&lt;&gt;"",COUNTIFS('QA Log'!D:D,A312,'QA Log'!M:M,"Data Verification",'QA Log'!L:L,"Consumable (section 3)",'QA Log'!Z:Z,"Approved"),"")</f>
        <v/>
      </c>
      <c r="AR312" s="105" t="str">
        <f>IF(A312&lt;&gt;"",COUNTIFS('QA Log'!D:D,A312,'QA Log'!M:M,"Data Verification",'QA Log'!L:L,"Equipments (section 4)",'QA Log'!Z:Z,"Approved"),"")</f>
        <v/>
      </c>
      <c r="AS312" s="102" t="str">
        <f>IF(A312="","",
SUM(
COUNTIFS('QA Log'!D:D,A312,'QA Log'!M:M,"Data Verification",'QA Log'!Z:Z,"Rejected",'QA Log'!L:L,"*Personnel (section 1)*"),
COUNTIFS('QA Log'!D:D,A312,'QA Log'!M:M,"Data Verification",'QA Log'!Z:Z,"Rejected",'QA Log'!L:L,"*Consumable (section 3)*"),
COUNTIFS('QA Log'!D:D,A312,'QA Log'!M:M,"Data Verification",'QA Log'!Z:Z,"Rejected",'QA Log'!L:L,"*Equipments (section 4)*")
))</f>
        <v/>
      </c>
      <c r="AT312" s="102" t="str">
        <f t="shared" si="33"/>
        <v/>
      </c>
      <c r="AU312" s="103" t="str">
        <f t="shared" si="34"/>
        <v/>
      </c>
      <c r="AV312" s="102" t="str">
        <f>IF(A312="","",SUM(
COUNTIFS('QA Log'!D:D,A312,'QA Log'!M:M,"Vignette",'QA Log'!L:L,"*Vignette [1] Respiratory Infection: Pneumonia*"),
COUNTIFS('QA Log'!D:D,A312,'QA Log'!M:M,"Vignette",'QA Log'!L:L,"*Vignette [2]: Diarrhea with Cat B dehydration*"),
COUNTIFS('QA Log'!D:D,A312,'QA Log'!M:M,"Vignette",'QA Log'!L:L,"*Vignette [3] Growth Monitoring and Promotion*"),
COUNTIFS('QA Log'!D:D,A312,'QA Log'!M:M,"Vignette",'QA Log'!L:L,"*Vignette [4]: The management of presumptive TB patient*")
)
)</f>
        <v/>
      </c>
      <c r="AW312" s="102" t="str">
        <f>IF(
  A312="","",
  SUM(
    COUNTIFS('QA Log'!D:D,A312,'QA Log'!M:M,"Vignette",'QA Log'!Z:Z,"Approved",'QA Log'!L:L,"*Vignette [1] Respiratory Infection: Pneumonia*"),
    COUNTIFS('QA Log'!D:D,A312,'QA Log'!M:M,"Vignette",'QA Log'!Z:Z,"Approved",'QA Log'!L:L,"*Vignette [2]: Diarrhea with Cat B dehydration*"),
    COUNTIFS('QA Log'!D:D,A312,'QA Log'!M:M,"Vignette",'QA Log'!Z:Z,"Approved",'QA Log'!L:L,"*Vignette [3] Growth Monitoring and Promotion*"),
    COUNTIFS('QA Log'!D:D,A312,'QA Log'!M:M,"Vignette",'QA Log'!Z:Z,"Approved",'QA Log'!L:L,"*Vignette [4]: The management of presumptive TB patient*")
  )
)</f>
        <v/>
      </c>
      <c r="AX312" s="105" t="str">
        <f>IF(A312&lt;&gt;"",COUNTIFS('QA Log'!D:D,A312,'QA Log'!M:M,"Vignette",'QA Log'!L:L,"Vignette [1] Respiratory Infection: Pneumonia",'QA Log'!Z:Z,"Approved"),"")</f>
        <v/>
      </c>
      <c r="AY312" s="105" t="str">
        <f>IF(A312&lt;&gt;"",COUNTIFS('QA Log'!D:D,A312,'QA Log'!M:M,"Vignette",'QA Log'!L:L,"Vignette [2]: Diarrhea with Cat B dehydration",'QA Log'!Z:Z,"Approved"),"")</f>
        <v/>
      </c>
      <c r="AZ312" s="105" t="str">
        <f>IF(A312&lt;&gt;"",COUNTIFS('QA Log'!D:D,A312,'QA Log'!M:M,"Vignette",'QA Log'!L:L,"Vignette [3] Growth Monitoring and Promotion",'QA Log'!Z:Z,"Approved"),"")</f>
        <v/>
      </c>
      <c r="BA312" s="105" t="str">
        <f>IF(A312&lt;&gt;"",COUNTIFS('QA Log'!D:D,A312,'QA Log'!M:M,"Vignette",'QA Log'!L:L,"Vignette [4]: The management of presumptive TB patient",'QA Log'!Z:Z,"Approved"),"")</f>
        <v/>
      </c>
      <c r="BB312" s="102" t="str">
        <f>IF(A312="","",
  SUM(
    COUNTIFS('QA Log'!D:D,A312,'QA Log'!M:M,"Vignette",'QA Log'!Z:Z,"Rejected",'QA Log'!L:L,"*Vignette [1] Respiratory Infection: Pneumonia*"),
    COUNTIFS('QA Log'!D:D,A312,'QA Log'!M:M,"Vignette",'QA Log'!Z:Z,"Rejected",'QA Log'!L:L,"*Vignette [2]: Diarrhea with Cat B dehydration*"),
    COUNTIFS('QA Log'!D:D,A312,'QA Log'!M:M,"Vignette",'QA Log'!Z:Z,"Rejected",'QA Log'!L:L,"*Vignette [3] Growth Monitoring and Promotion*"),
    COUNTIFS('QA Log'!D:D,A312,'QA Log'!M:M,"Vignette",'QA Log'!Z:Z,"Rejected",'QA Log'!L:L,"*Vignette [4]: The management of presumptive TB patient*")
  )
)</f>
        <v/>
      </c>
      <c r="BC312" s="107" t="str">
        <f t="shared" si="35"/>
        <v/>
      </c>
      <c r="BD312" s="103" t="str">
        <f t="shared" si="36"/>
        <v/>
      </c>
      <c r="BE312" s="102" t="str">
        <f>IF(A312="","",SUM(
COUNTIFS('QA Log'!D:D,A312,'QA Log'!M:M,"Vignette",'QA Log'!L:L,"*Vignette [5] Labor*"),
COUNTIFS('QA Log'!D:D,A312,'QA Log'!M:M,"Vignette",'QA Log'!L:L,"*Vignette [6] PNC pre Discharge*"),
COUNTIFS('QA Log'!D:D,A312,'QA Log'!M:M,"Vignette",'QA Log'!L:L,"*Vignette [7] First ANC Visit*"),
COUNTIFS('QA Log'!D:D,A312,'QA Log'!M:M,"Vignette",'QA Log'!L:L,"*Vignette [8] Birth Spacing/ Family Planning :  FP Counselling*"),
COUNTIFS('QA Log'!D:D,A312,'QA Log'!M:M,"Vignette",'QA Log'!L:L,"*Vignette [9] Birth Spacing: Change FP method to Injectable*"),
COUNTIFS('QA Log'!D:D,A312,'QA Log'!M:M,"Vignette",'QA Log'!L:L,"*Vignette [10] Post Partum Haemorrhage - Atonic Uterus at Health Centre*"),
)
)</f>
        <v/>
      </c>
      <c r="BF312" s="102" t="str">
        <f>IF(A312="","",
  SUM(
    COUNTIFS('QA Log'!D:D,A312,'QA Log'!M:M,"Vignette",'QA Log'!Z:Z,"Approved",'QA Log'!L:L,"*Vignette [5] Labor*"),
    COUNTIFS('QA Log'!D:D,A312,'QA Log'!M:M,"Vignette",'QA Log'!Z:Z,"Approved",'QA Log'!L:L,"*Vignette [6] PNC pre Discharge*"),
    COUNTIFS('QA Log'!D:D,A312,'QA Log'!M:M,"Vignette",'QA Log'!Z:Z,"Approved",'QA Log'!L:L,"*Vignette [7] First ANC Visit*"),
    COUNTIFS('QA Log'!D:D,A312,'QA Log'!M:M,"Vignette",'QA Log'!Z:Z,"Approved",'QA Log'!L:L,"*Vignette [8] Birth Spacing/ Family Planning :  FP Counselling*"),
    COUNTIFS('QA Log'!D:D,A312,'QA Log'!M:M,"Vignette",'QA Log'!Z:Z,"Approved",'QA Log'!L:L,"*Vignette [9] Birth Spacing: Change FP method to Injectable*"),
    COUNTIFS('QA Log'!D:D,A312,'QA Log'!M:M,"Vignette",'QA Log'!Z:Z,"Approved",'QA Log'!L:L,"*Vignette [10] Post Partum Haemorrhage - Atonic Uterus at Health Centre*")
  )
)</f>
        <v/>
      </c>
      <c r="BG312" s="105" t="str">
        <f>IF(A312&lt;&gt;"",COUNTIFS('QA Log'!D:D,A312,'QA Log'!M:M,"Vignette",'QA Log'!L:L,"Vignette [5] Labor",'QA Log'!Z:Z,"Approved"),"")</f>
        <v/>
      </c>
      <c r="BH312" s="105" t="str">
        <f>IF(A312&lt;&gt;"",COUNTIFS('QA Log'!D:D,A312,'QA Log'!M:M,"Vignette",'QA Log'!L:L,"Vignette [6] PNC pre Discharge",'QA Log'!Z:Z,"Approved"),"")</f>
        <v/>
      </c>
      <c r="BI312" s="105" t="str">
        <f>IF(A312&lt;&gt;"",COUNTIFS('QA Log'!D:D,A312,'QA Log'!M:M,"Vignette",'QA Log'!L:L,"Vignette [7] First ANC Visit",'QA Log'!Z:Z,"Approved"),"")</f>
        <v/>
      </c>
      <c r="BJ312" s="105" t="str">
        <f>IF(A312&lt;&gt;"",COUNTIFS('QA Log'!D:D,A312,'QA Log'!M:M,"Vignette",'QA Log'!L:L,"Vignette [8] Birth Spacing/ Family Planning :  FP Counselling",'QA Log'!Z:Z,"Approved"),"")</f>
        <v/>
      </c>
      <c r="BK312" s="105" t="str">
        <f>IF(A312&lt;&gt;"",COUNTIFS('QA Log'!D:D,A312,'QA Log'!M:M,"Vignette",'QA Log'!L:L,"Vignette [9] Birth Spacing: Change FP method to Injectable",'QA Log'!Z:Z,"Approved"),"")</f>
        <v/>
      </c>
      <c r="BL312" s="105" t="str">
        <f>IF(A312&lt;&gt;"",COUNTIFS('QA Log'!D:D,A312,'QA Log'!M:M,"Vignette",'QA Log'!L:L,"Vignette [10] Post Partum Haemorrhage - Atonic Uterus at Health Centre",'QA Log'!Z:Z,"Approved"),"")</f>
        <v/>
      </c>
      <c r="BM312" s="102" t="str">
        <f>IF(A312="","",SUM(
    COUNTIFS('QA Log'!D:D,A312,'QA Log'!M:M,"Vignette",'QA Log'!Z:Z,"Rejected",'QA Log'!L:L,"*Vignette [5] Labor*"),
    COUNTIFS('QA Log'!D:D,A312,'QA Log'!M:M,"Vignette",'QA Log'!Z:Z,"Rejected",'QA Log'!L:L,"*Vignette [6] PNC pre Discharge*"),
    COUNTIFS('QA Log'!D:D,A312,'QA Log'!M:M,"Vignette",'QA Log'!Z:Z,"Rejected",'QA Log'!L:L,"*Vignette [7] First ANC Visit*"),
    COUNTIFS('QA Log'!D:D,A312,'QA Log'!M:M,"Vignette",'QA Log'!Z:Z,"Rejected",'QA Log'!L:L,"*Vignette [8] Birth Spacing/ Family Planning :  FP Counselling*"),
    COUNTIFS('QA Log'!D:D,A312,'QA Log'!M:M,"Vignette",'QA Log'!Z:Z,"Rejected",'QA Log'!L:L,"*Vignette [9] Birth Spacing: Change FP method to Injectable*"),
    COUNTIFS('QA Log'!D:D,A312,'QA Log'!M:M,"Vignette",'QA Log'!Z:Z,"Rejected",'QA Log'!L:L,"*Vignette [10] Post Partum Haemorrhage - Atonic Uterus at Health Centre*")
  )
)</f>
        <v/>
      </c>
      <c r="BN312" s="107" t="str">
        <f t="shared" si="37"/>
        <v/>
      </c>
      <c r="BO312" s="103" t="str">
        <f t="shared" si="38"/>
        <v/>
      </c>
      <c r="BP312" s="102" t="str">
        <f>IF(A312="","",SUM(
COUNTIFS('QA Log'!D:D,A312,'QA Log'!M:M,"Vignette",'QA Log'!L:L,"*Exit Interview 1*"),
COUNTIFS('QA Log'!D:D,A312,'QA Log'!M:M,"Vignette",'QA Log'!L:L,"*Exit Interview 2*"),
)
)</f>
        <v/>
      </c>
      <c r="BQ312" s="102" t="str">
        <f>IF(
  A312="","",
  SUM(
    COUNTIFS('QA Log'!D:D,A312,'QA Log'!M:M,"Vignette",'QA Log'!Z:Z,"Approved",'QA Log'!L:L,"*Exit Interview 1*"),
    COUNTIFS('QA Log'!D:D,A312,'QA Log'!M:M,"Vignette",'QA Log'!Z:Z,"Approved",'QA Log'!L:L,"*Exit Interview 2*")
  )
)</f>
        <v/>
      </c>
      <c r="BR312" s="105" t="str">
        <f>IF(A312&lt;&gt;"",COUNTIFS('QA Log'!D:D,A312,'QA Log'!M:M,"Vignette",'QA Log'!L:L,"Exit Interview 1",'QA Log'!Z:Z,"Approved"),"")</f>
        <v/>
      </c>
      <c r="BS312" s="105" t="str">
        <f>IF(A312&lt;&gt;"",COUNTIFS('QA Log'!D:D,A312,'QA Log'!M:M,"Vignette",'QA Log'!L:L,"Exit Interview 2",'QA Log'!Z:Z,"Approved"),"")</f>
        <v/>
      </c>
      <c r="BT312" s="102" t="str">
        <f>IF(
  A312="","",
  SUM(
    COUNTIFS('QA Log'!D:D,A312,'QA Log'!M:M,"Vignette",'QA Log'!Z:Z,"Rejected",'QA Log'!L:L,"*Exit Interview 1*"),
    COUNTIFS('QA Log'!D:D,A312,'QA Log'!M:M,"Vignette",'QA Log'!Z:Z,"Rejected",'QA Log'!L:L,"*Exit Interview 2*")
  )
)</f>
        <v/>
      </c>
      <c r="BU312" s="107" t="str">
        <f t="shared" si="39"/>
        <v/>
      </c>
      <c r="BV312" s="102" t="str">
        <f t="shared" si="40"/>
        <v/>
      </c>
      <c r="BW312" s="102" t="str">
        <f t="shared" si="41"/>
        <v/>
      </c>
      <c r="BX312" s="102" t="str">
        <f t="shared" si="42"/>
        <v/>
      </c>
      <c r="BY312" s="102" t="str">
        <f t="shared" si="43"/>
        <v/>
      </c>
      <c r="BZ312" s="107" t="str">
        <f t="shared" si="44"/>
        <v/>
      </c>
      <c r="CA312" s="108" t="str">
        <f t="shared" si="45"/>
        <v/>
      </c>
      <c r="CB312" s="108" t="str">
        <f t="shared" si="46"/>
        <v/>
      </c>
      <c r="CC312" s="109" t="str">
        <f t="shared" si="47"/>
        <v/>
      </c>
      <c r="CD312" s="108" t="str">
        <f t="shared" si="48"/>
        <v/>
      </c>
      <c r="CE312" s="108" t="str">
        <f t="shared" si="49"/>
        <v/>
      </c>
      <c r="CF312" s="109" t="str">
        <f t="shared" si="50"/>
        <v/>
      </c>
      <c r="CG312" s="110" t="str">
        <f t="shared" si="51"/>
        <v/>
      </c>
      <c r="CH312" s="111"/>
    </row>
    <row r="313" spans="1:86" ht="12.75">
      <c r="A313" s="101"/>
      <c r="B313" s="102" t="e">
        <f t="array" aca="1" ref="B313" ca="1">_xludf.XLOOKUP(A313,'QA Log'!D:D,'QA Log'!E:E,"")</f>
        <v>#NAME?</v>
      </c>
      <c r="C313" s="102" t="e">
        <f t="array" aca="1" ref="C313" ca="1">_xludf.XLOOKUP(A313,'QA Log'!D:D,'QA Log'!F:F,"")</f>
        <v>#NAME?</v>
      </c>
      <c r="D313" s="102" t="e">
        <f t="array" aca="1" ref="D313" ca="1">_xludf.XLOOKUP(A313,'QA Log'!D:D,'QA Log'!H:H,"")</f>
        <v>#NAME?</v>
      </c>
      <c r="E313" s="102" t="e">
        <f t="array" aca="1" ref="E313" ca="1">_xludf.XLOOKUP(A313,'QA Log'!D:D,'QA Log'!G:G,"")</f>
        <v>#NAME?</v>
      </c>
      <c r="F313" s="103"/>
      <c r="G313" s="104"/>
      <c r="H313" s="104"/>
      <c r="I313" s="103" t="str">
        <f t="shared" si="26"/>
        <v/>
      </c>
      <c r="J313" s="102" t="str">
        <f>IF(A313="","",SUM(
COUNTIFS('QA Log'!D:D,A313,'QA Log'!M:M,"QQC",'QA Log'!L:L,"*1. General Management*"),
COUNTIFS('QA Log'!D:D,A313,'QA Log'!M:M,"QQC",'QA Log'!L:L,"*3. Curative Consultation (OPD)*"),
COUNTIFS('QA Log'!D:D,A313,'QA Log'!M:M,"QQC",'QA Log'!L:L,"*5. Laboratory*"),
COUNTIFS('QA Log'!D:D,A313,'QA Log'!M:M,"QQC",'QA Log'!L:L,"*6. Essential Medicine Management*"),
COUNTIFS('QA Log'!D:D,A313,'QA Log'!M:M,"QQC",'QA Log'!L:L,"*7. Tracer Medicine*"),
COUNTIFS('QA Log'!D:D,A313,'QA Log'!M:M,"QQC",'QA Log'!L:L,"*11. Additional Questions*")))</f>
        <v/>
      </c>
      <c r="K313" s="102" t="str">
        <f>IF(A313="","",SUM(
COUNTIFS('QA Log'!D:D,A313,'QA Log'!M:M,"QQC",'QA Log'!Z:Z,"Approved",'QA Log'!L:L,"*1. General Management*"),
COUNTIFS('QA Log'!D:D,A313,'QA Log'!M:M,"QQC",'QA Log'!Z:Z,"Approved",'QA Log'!L:L,"*3. Curative Consultation (OPD)*"),
COUNTIFS('QA Log'!D:D,A313,'QA Log'!M:M,"QQC",'QA Log'!Z:Z,"Approved",'QA Log'!L:L,"*5. Laboratory*"),
COUNTIFS('QA Log'!D:D,A313,'QA Log'!M:M,"QQC",'QA Log'!Z:Z,"Approved",'QA Log'!L:L,"*6. Essential Medicine Management*"),
COUNTIFS('QA Log'!D:D,A313,'QA Log'!M:M,"QQC",'QA Log'!Z:Z,"Approved",'QA Log'!L:L,"*7. Tracer Medicine*"),
COUNTIFS('QA Log'!D:D,A313,'QA Log'!M:M,"QQC",'QA Log'!Z:Z,"Approved",'QA Log'!L:L,"*11. Additional Questions*")))</f>
        <v/>
      </c>
      <c r="L313" s="105" t="str">
        <f>IF(A313&lt;&gt;"",COUNTIFS('QA Log'!D:D,A313,'QA Log'!M:M,"QQC",'QA Log'!L:L,"1. General Management",'QA Log'!Z:Z,"Approved"),"")</f>
        <v/>
      </c>
      <c r="M313" s="105" t="str">
        <f>IF(A313&lt;&gt;"",COUNTIFS('QA Log'!D:D,A313,'QA Log'!M:M,"QQC",'QA Log'!L:L,"3. Curative Consultation (OPD)",'QA Log'!Z:Z,"Approved"),"")</f>
        <v/>
      </c>
      <c r="N313" s="105" t="str">
        <f>IF(A313&lt;&gt;"",COUNTIFS('QA Log'!D:D,A313,'QA Log'!M:M,"QQC",'QA Log'!L:L,"5. Laboratory",'QA Log'!Z:Z,"Approved"),"")</f>
        <v/>
      </c>
      <c r="O313" s="105" t="str">
        <f>IF(A313&lt;&gt;"",COUNTIFS('QA Log'!D:D,A313,'QA Log'!M:M,"QQC",'QA Log'!L:L,"6. Essential Medicine Management",'QA Log'!Z:Z,"Approved"),"")</f>
        <v/>
      </c>
      <c r="P313" s="105" t="str">
        <f>IF(A313&lt;&gt;"",COUNTIFS('QA Log'!D:D,A313,'QA Log'!M:M,"QQC",'QA Log'!L:L,"7. Tracer Medicine",'QA Log'!Z:Z,"Approved"),"")</f>
        <v/>
      </c>
      <c r="Q313" s="105" t="str">
        <f>IF(A313&lt;&gt;"",COUNTIFS('QA Log'!D:D,A313,'QA Log'!M:M,"QQC",'QA Log'!L:L,"11. Additional Questions",'QA Log'!Z:Z,"Approved"),"")</f>
        <v/>
      </c>
      <c r="R313" s="102" t="str">
        <f>IF(A313="","",SUM(
COUNTIFS('QA Log'!D:D,A313,'QA Log'!M:M,"QQC",'QA Log'!Z:Z,"Rejected",'QA Log'!L:L,"*8. Maternity*"),
COUNTIFS('QA Log'!D:D,A313,'QA Log'!M:M,"QQC",'QA Log'!Z:Z,"Rejected",'QA Log'!L:L,"*EPI*"),
COUNTIFS('QA Log'!D:D,A313,'QA Log'!M:M,"QQC",'QA Log'!Z:Z,"Rejected",'QA Log'!L:L,"*10. Antenatal Care (ANC)*"),
COUNTIFS('QA Log'!D:D,A313,'QA Log'!M:M,"QQC",'QA Log'!Z:Z,"Rejected",'QA Log'!L:L,"*2. Hygiene and Sterilization*"),
COUNTIFS('QA Log'!D:D,A313,'QA Log'!M:M,"QQC",'QA Log'!Z:Z,"Rejected",'QA Log'!L:L,"*Family Planning*")))</f>
        <v/>
      </c>
      <c r="S313" s="106" t="str">
        <f t="shared" si="27"/>
        <v/>
      </c>
      <c r="T313" s="102" t="str">
        <f t="shared" si="28"/>
        <v/>
      </c>
      <c r="U313" s="102" t="str">
        <f>IF(A313="","",
SUM(
COUNTIFS('QA Log'!D:D,A313,'QA Log'!M:M,"QQC",'QA Log'!L:L,"*8. Maternity*"),
COUNTIFS('QA Log'!D:D,A313,'QA Log'!M:M,"QQC",'QA Log'!L:L,"*9. EPI and Pre-school Consultation*"),
COUNTIFS('QA Log'!D:D,A313,'QA Log'!M:M,"QQC",'QA Log'!L:L,"*10. Antenatal Care (ANC)*"),
COUNTIFS('QA Log'!D:D,A313,'QA Log'!M:M,"QQC",'QA Log'!L:L,"*2. Hygiene and Sterilization*"),
COUNTIFS('QA Log'!D:D,A313,'QA Log'!M:M,"QQC",'QA Log'!L:L,"*4. Family Planning*")
))</f>
        <v/>
      </c>
      <c r="V313" s="102" t="str">
        <f>IF(A313="","",
SUM(
COUNTIFS('QA Log'!D:D,A313,'QA Log'!M:M,"QQC",'QA Log'!Z:Z,"Approved",'QA Log'!L:L,"*8. Maternity*"),
COUNTIFS('QA Log'!D:D,A313,'QA Log'!M:M,"QQC",'QA Log'!Z:Z,"Approved",'QA Log'!L:L,"*9. EPI and Pre-school Consultation*"),
COUNTIFS('QA Log'!D:D,A313,'QA Log'!M:M,"QQC",'QA Log'!Z:Z,"Approved",'QA Log'!L:L,"*10. Antenatal Care (ANC)*"),
COUNTIFS('QA Log'!D:D,A313,'QA Log'!M:M,"QQC",'QA Log'!Z:Z,"Approved",'QA Log'!L:L,"*2. Hygiene and Sterilization*"),
COUNTIFS('QA Log'!D:D,A313,'QA Log'!M:M,"QQC",'QA Log'!Z:Z,"Approved",'QA Log'!L:L,"*4. Family Planning*")
))</f>
        <v/>
      </c>
      <c r="W313" s="105" t="str">
        <f>IF(A313&lt;&gt;"",COUNTIFS('QA Log'!D:D,A313,'QA Log'!M:M,"QQC",'QA Log'!L:L,"8. Maternity",'QA Log'!Z:Z,"Approved"),"")</f>
        <v/>
      </c>
      <c r="X313" s="105" t="str">
        <f>IF(A313&lt;&gt;"",COUNTIFS('QA Log'!D:D,A313,'QA Log'!M:M,"QQC",'QA Log'!L:L,"9. EPI and Pre-school Consultation",'QA Log'!Z:Z,"Approved"),"")</f>
        <v/>
      </c>
      <c r="Y313" s="105" t="str">
        <f>IF(A313&lt;&gt;"",COUNTIFS('QA Log'!D:D,A313,'QA Log'!M:M,"QQC",'QA Log'!L:L,"10. Antenatal Care (ANC)",'QA Log'!Z:Z,"Approved"),"")</f>
        <v/>
      </c>
      <c r="Z313" s="105" t="str">
        <f>IF(A313&lt;&gt;"",COUNTIFS('QA Log'!D:D,A313,'QA Log'!M:M,"QQC",'QA Log'!L:L,"2. Hygiene and Sterilization",'QA Log'!Z:Z,"Approved"),"")</f>
        <v/>
      </c>
      <c r="AA313" s="105" t="str">
        <f>IF(A313&lt;&gt;"",COUNTIFS('QA Log'!D:D,A313,'QA Log'!M:M,"QQC",'QA Log'!L:L,"4. Family Planning",'QA Log'!Z:Z,"Approved"),"")</f>
        <v/>
      </c>
      <c r="AB313" s="102" t="str">
        <f>IF(A313="","",
SUM(
COUNTIFS('QA Log'!D:D,A313,'QA Log'!M:M,"QQC",'QA Log'!Z:Z,"Rejected",'QA Log'!L:L,"*8. Maternity*"),
COUNTIFS('QA Log'!D:D,A313,'QA Log'!M:M,"QQC",'QA Log'!Z:Z,"Rejected",'QA Log'!L:L,"*9. EPI and Pre-school Consultation*"),
COUNTIFS('QA Log'!D:D,A313,'QA Log'!M:M,"QQC",'QA Log'!Z:Z,"Rejected",'QA Log'!L:L,"*10. Antenatal Care (ANC)*"),
COUNTIFS('QA Log'!D:D,A313,'QA Log'!M:M,"QQC",'QA Log'!Z:Z,"Rejected",'QA Log'!L:L,"*2. Hygiene and Sterilization*"),
COUNTIFS('QA Log'!D:D,A313,'QA Log'!M:M,"QQC",'QA Log'!Z:Z,"Rejected",'QA Log'!L:L,"*4. Family Planning*")
))</f>
        <v/>
      </c>
      <c r="AC313" s="102" t="str">
        <f t="shared" si="29"/>
        <v/>
      </c>
      <c r="AD313" s="103" t="str">
        <f t="shared" si="30"/>
        <v/>
      </c>
      <c r="AE313" s="102" t="str">
        <f>IF(A313="","",
SUM(
COUNTIFS('QA Log'!D:D,A313,'QA Log'!M:M,"Data Verification",'QA Log'!L:L,"*Medicine (section 2)*"),
COUNTIFS('QA Log'!D:D,A313,'QA Log'!M:M,"Data Verification",'QA Log'!L:L,"*Lab Testing Availability*"),
COUNTIFS('QA Log'!D:D,A313,'QA Log'!M:M,"Data Verification",'QA Log'!L:L,"*Other than P4P (section 6)*"),
COUNTIFS('QA Log'!D:D,A313,'QA Log'!M:M,"Data Verification",'QA Log'!L:L,"*Hospital Governance*")
))</f>
        <v/>
      </c>
      <c r="AF313" s="102" t="str">
        <f>IF(A313="","",
SUM(
COUNTIFS('QA Log'!D:D,A313,'QA Log'!M:M,"Data Verification",'QA Log'!Z:Z,"Approved",'QA Log'!L:L,"*Medicine (section 2)*"),
COUNTIFS('QA Log'!D:D,A313,'QA Log'!M:M,"Data Verification",'QA Log'!Z:Z,"Approved",'QA Log'!L:L,"*Lab Testing Availability*"),
COUNTIFS('QA Log'!D:D,A313,'QA Log'!M:M,"Data Verification",'QA Log'!Z:Z,"Approved",'QA Log'!L:L,"*Other than P4P (section 6)*"),
COUNTIFS('QA Log'!D:D,A313,'QA Log'!M:M,"Data Verification",'QA Log'!Z:Z,"Approved",'QA Log'!L:L,"*Hospital Governance*")
))</f>
        <v/>
      </c>
      <c r="AG313" s="105" t="str">
        <f>IF(A313&lt;&gt;"",COUNTIFS('QA Log'!D:D,A313,'QA Log'!M:M,"Data Verification",'QA Log'!L:L,"Medicine (section 2)",'QA Log'!Z:Z,"Approved"),"")</f>
        <v/>
      </c>
      <c r="AH313" s="105" t="str">
        <f>IF(A313&lt;&gt;"",COUNTIFS('QA Log'!D:D,A313,'QA Log'!M:M,"Data Verification",'QA Log'!L:L,"Lab Testing Availability",'QA Log'!Z:Z,"Approved"),"")</f>
        <v/>
      </c>
      <c r="AI313" s="105" t="str">
        <f>IF(A313&lt;&gt;"",COUNTIFS('QA Log'!D:D,A313,'QA Log'!M:M,"Data Verification",'QA Log'!L:L,"Other than P4P (section 6)",'QA Log'!Z:Z,"Approved"),"")</f>
        <v/>
      </c>
      <c r="AJ313" s="105" t="str">
        <f>IF(A313&lt;&gt;"",COUNTIFS('QA Log'!D:D,A313,'QA Log'!M:M,"Data Verification",'QA Log'!L:L,"Hospital Governance",'QA Log'!Z:Z,"Approved"),"")</f>
        <v/>
      </c>
      <c r="AK313" s="102" t="str">
        <f>IF(A313="","",
SUM(
COUNTIFS('QA Log'!D:D,A313,'QA Log'!M:M,"Data Verification",'QA Log'!Z:Z,"Rejected",'QA Log'!L:L,"*Medicine (section 2)*"),
COUNTIFS('QA Log'!D:D,A313,'QA Log'!M:M,"Data Verification",'QA Log'!Z:Z,"Rejected",'QA Log'!L:L,"*Lab Testing Availability*"),
COUNTIFS('QA Log'!D:D,A313,'QA Log'!M:M,"Data Verification",'QA Log'!Z:Z,"Rejected",'QA Log'!L:L,"*Other than P4P (section 6)*"),
COUNTIFS('QA Log'!D:D,A313,'QA Log'!M:M,"Data Verification",'QA Log'!Z:Z,"Rejected",'QA Log'!L:L,"*Hospital Governance*")
))</f>
        <v/>
      </c>
      <c r="AL313" s="106" t="str">
        <f t="shared" si="31"/>
        <v/>
      </c>
      <c r="AM313" s="102" t="str">
        <f t="shared" si="32"/>
        <v/>
      </c>
      <c r="AN313" s="102" t="str">
        <f>IF(A313="","",
SUM(
COUNTIFS('QA Log'!D:D,A313,'QA Log'!M:M,"Data Verification",'QA Log'!L:L,"*Personnel (section 1)*"),
COUNTIFS('QA Log'!D:D,A313,'QA Log'!M:M,"Data Verification",'QA Log'!L:L,"*Consumable (section 3)*"),
COUNTIFS('QA Log'!D:D,A313,'QA Log'!M:M,"Data Verification",'QA Log'!L:L,"*Equipments (section 4)*")
))</f>
        <v/>
      </c>
      <c r="AO313" s="102" t="str">
        <f>IF(A313="","",
SUM(
COUNTIFS('QA Log'!D:D,A313,'QA Log'!M:M,"Data Verification",'QA Log'!Z:Z,"Approved",'QA Log'!L:L,"*Personnel (section 1)*"),
COUNTIFS('QA Log'!D:D,A313,'QA Log'!M:M,"Data Verification",'QA Log'!Z:Z,"Approved",'QA Log'!L:L,"*Consumable (section 3)*"),
COUNTIFS('QA Log'!D:D,A313,'QA Log'!M:M,"Data Verification",'QA Log'!Z:Z,"Approved",'QA Log'!L:L,"*Equipments (section 4)*")
))</f>
        <v/>
      </c>
      <c r="AP313" s="105" t="str">
        <f>IF(A313&lt;&gt;"",COUNTIFS('QA Log'!D:D,A313,'QA Log'!M:M,"Data Verification",'QA Log'!L:L,"Personnel (section 1)",'QA Log'!Z:Z,"Approved"),"")</f>
        <v/>
      </c>
      <c r="AQ313" s="105" t="str">
        <f>IF(A313&lt;&gt;"",COUNTIFS('QA Log'!D:D,A313,'QA Log'!M:M,"Data Verification",'QA Log'!L:L,"Consumable (section 3)",'QA Log'!Z:Z,"Approved"),"")</f>
        <v/>
      </c>
      <c r="AR313" s="105" t="str">
        <f>IF(A313&lt;&gt;"",COUNTIFS('QA Log'!D:D,A313,'QA Log'!M:M,"Data Verification",'QA Log'!L:L,"Equipments (section 4)",'QA Log'!Z:Z,"Approved"),"")</f>
        <v/>
      </c>
      <c r="AS313" s="102" t="str">
        <f>IF(A313="","",
SUM(
COUNTIFS('QA Log'!D:D,A313,'QA Log'!M:M,"Data Verification",'QA Log'!Z:Z,"Rejected",'QA Log'!L:L,"*Personnel (section 1)*"),
COUNTIFS('QA Log'!D:D,A313,'QA Log'!M:M,"Data Verification",'QA Log'!Z:Z,"Rejected",'QA Log'!L:L,"*Consumable (section 3)*"),
COUNTIFS('QA Log'!D:D,A313,'QA Log'!M:M,"Data Verification",'QA Log'!Z:Z,"Rejected",'QA Log'!L:L,"*Equipments (section 4)*")
))</f>
        <v/>
      </c>
      <c r="AT313" s="102" t="str">
        <f t="shared" si="33"/>
        <v/>
      </c>
      <c r="AU313" s="103" t="str">
        <f t="shared" si="34"/>
        <v/>
      </c>
      <c r="AV313" s="102" t="str">
        <f>IF(A313="","",SUM(
COUNTIFS('QA Log'!D:D,A313,'QA Log'!M:M,"Vignette",'QA Log'!L:L,"*Vignette [1] Respiratory Infection: Pneumonia*"),
COUNTIFS('QA Log'!D:D,A313,'QA Log'!M:M,"Vignette",'QA Log'!L:L,"*Vignette [2]: Diarrhea with Cat B dehydration*"),
COUNTIFS('QA Log'!D:D,A313,'QA Log'!M:M,"Vignette",'QA Log'!L:L,"*Vignette [3] Growth Monitoring and Promotion*"),
COUNTIFS('QA Log'!D:D,A313,'QA Log'!M:M,"Vignette",'QA Log'!L:L,"*Vignette [4]: The management of presumptive TB patient*")
)
)</f>
        <v/>
      </c>
      <c r="AW313" s="102" t="str">
        <f>IF(
  A313="","",
  SUM(
    COUNTIFS('QA Log'!D:D,A313,'QA Log'!M:M,"Vignette",'QA Log'!Z:Z,"Approved",'QA Log'!L:L,"*Vignette [1] Respiratory Infection: Pneumonia*"),
    COUNTIFS('QA Log'!D:D,A313,'QA Log'!M:M,"Vignette",'QA Log'!Z:Z,"Approved",'QA Log'!L:L,"*Vignette [2]: Diarrhea with Cat B dehydration*"),
    COUNTIFS('QA Log'!D:D,A313,'QA Log'!M:M,"Vignette",'QA Log'!Z:Z,"Approved",'QA Log'!L:L,"*Vignette [3] Growth Monitoring and Promotion*"),
    COUNTIFS('QA Log'!D:D,A313,'QA Log'!M:M,"Vignette",'QA Log'!Z:Z,"Approved",'QA Log'!L:L,"*Vignette [4]: The management of presumptive TB patient*")
  )
)</f>
        <v/>
      </c>
      <c r="AX313" s="105" t="str">
        <f>IF(A313&lt;&gt;"",COUNTIFS('QA Log'!D:D,A313,'QA Log'!M:M,"Vignette",'QA Log'!L:L,"Vignette [1] Respiratory Infection: Pneumonia",'QA Log'!Z:Z,"Approved"),"")</f>
        <v/>
      </c>
      <c r="AY313" s="105" t="str">
        <f>IF(A313&lt;&gt;"",COUNTIFS('QA Log'!D:D,A313,'QA Log'!M:M,"Vignette",'QA Log'!L:L,"Vignette [2]: Diarrhea with Cat B dehydration",'QA Log'!Z:Z,"Approved"),"")</f>
        <v/>
      </c>
      <c r="AZ313" s="105" t="str">
        <f>IF(A313&lt;&gt;"",COUNTIFS('QA Log'!D:D,A313,'QA Log'!M:M,"Vignette",'QA Log'!L:L,"Vignette [3] Growth Monitoring and Promotion",'QA Log'!Z:Z,"Approved"),"")</f>
        <v/>
      </c>
      <c r="BA313" s="105" t="str">
        <f>IF(A313&lt;&gt;"",COUNTIFS('QA Log'!D:D,A313,'QA Log'!M:M,"Vignette",'QA Log'!L:L,"Vignette [4]: The management of presumptive TB patient",'QA Log'!Z:Z,"Approved"),"")</f>
        <v/>
      </c>
      <c r="BB313" s="102" t="str">
        <f>IF(A313="","",
  SUM(
    COUNTIFS('QA Log'!D:D,A313,'QA Log'!M:M,"Vignette",'QA Log'!Z:Z,"Rejected",'QA Log'!L:L,"*Vignette [1] Respiratory Infection: Pneumonia*"),
    COUNTIFS('QA Log'!D:D,A313,'QA Log'!M:M,"Vignette",'QA Log'!Z:Z,"Rejected",'QA Log'!L:L,"*Vignette [2]: Diarrhea with Cat B dehydration*"),
    COUNTIFS('QA Log'!D:D,A313,'QA Log'!M:M,"Vignette",'QA Log'!Z:Z,"Rejected",'QA Log'!L:L,"*Vignette [3] Growth Monitoring and Promotion*"),
    COUNTIFS('QA Log'!D:D,A313,'QA Log'!M:M,"Vignette",'QA Log'!Z:Z,"Rejected",'QA Log'!L:L,"*Vignette [4]: The management of presumptive TB patient*")
  )
)</f>
        <v/>
      </c>
      <c r="BC313" s="107" t="str">
        <f t="shared" si="35"/>
        <v/>
      </c>
      <c r="BD313" s="103" t="str">
        <f t="shared" si="36"/>
        <v/>
      </c>
      <c r="BE313" s="102" t="str">
        <f>IF(A313="","",SUM(
COUNTIFS('QA Log'!D:D,A313,'QA Log'!M:M,"Vignette",'QA Log'!L:L,"*Vignette [5] Labor*"),
COUNTIFS('QA Log'!D:D,A313,'QA Log'!M:M,"Vignette",'QA Log'!L:L,"*Vignette [6] PNC pre Discharge*"),
COUNTIFS('QA Log'!D:D,A313,'QA Log'!M:M,"Vignette",'QA Log'!L:L,"*Vignette [7] First ANC Visit*"),
COUNTIFS('QA Log'!D:D,A313,'QA Log'!M:M,"Vignette",'QA Log'!L:L,"*Vignette [8] Birth Spacing/ Family Planning :  FP Counselling*"),
COUNTIFS('QA Log'!D:D,A313,'QA Log'!M:M,"Vignette",'QA Log'!L:L,"*Vignette [9] Birth Spacing: Change FP method to Injectable*"),
COUNTIFS('QA Log'!D:D,A313,'QA Log'!M:M,"Vignette",'QA Log'!L:L,"*Vignette [10] Post Partum Haemorrhage - Atonic Uterus at Health Centre*"),
)
)</f>
        <v/>
      </c>
      <c r="BF313" s="102" t="str">
        <f>IF(A313="","",
  SUM(
    COUNTIFS('QA Log'!D:D,A313,'QA Log'!M:M,"Vignette",'QA Log'!Z:Z,"Approved",'QA Log'!L:L,"*Vignette [5] Labor*"),
    COUNTIFS('QA Log'!D:D,A313,'QA Log'!M:M,"Vignette",'QA Log'!Z:Z,"Approved",'QA Log'!L:L,"*Vignette [6] PNC pre Discharge*"),
    COUNTIFS('QA Log'!D:D,A313,'QA Log'!M:M,"Vignette",'QA Log'!Z:Z,"Approved",'QA Log'!L:L,"*Vignette [7] First ANC Visit*"),
    COUNTIFS('QA Log'!D:D,A313,'QA Log'!M:M,"Vignette",'QA Log'!Z:Z,"Approved",'QA Log'!L:L,"*Vignette [8] Birth Spacing/ Family Planning :  FP Counselling*"),
    COUNTIFS('QA Log'!D:D,A313,'QA Log'!M:M,"Vignette",'QA Log'!Z:Z,"Approved",'QA Log'!L:L,"*Vignette [9] Birth Spacing: Change FP method to Injectable*"),
    COUNTIFS('QA Log'!D:D,A313,'QA Log'!M:M,"Vignette",'QA Log'!Z:Z,"Approved",'QA Log'!L:L,"*Vignette [10] Post Partum Haemorrhage - Atonic Uterus at Health Centre*")
  )
)</f>
        <v/>
      </c>
      <c r="BG313" s="105" t="str">
        <f>IF(A313&lt;&gt;"",COUNTIFS('QA Log'!D:D,A313,'QA Log'!M:M,"Vignette",'QA Log'!L:L,"Vignette [5] Labor",'QA Log'!Z:Z,"Approved"),"")</f>
        <v/>
      </c>
      <c r="BH313" s="105" t="str">
        <f>IF(A313&lt;&gt;"",COUNTIFS('QA Log'!D:D,A313,'QA Log'!M:M,"Vignette",'QA Log'!L:L,"Vignette [6] PNC pre Discharge",'QA Log'!Z:Z,"Approved"),"")</f>
        <v/>
      </c>
      <c r="BI313" s="105" t="str">
        <f>IF(A313&lt;&gt;"",COUNTIFS('QA Log'!D:D,A313,'QA Log'!M:M,"Vignette",'QA Log'!L:L,"Vignette [7] First ANC Visit",'QA Log'!Z:Z,"Approved"),"")</f>
        <v/>
      </c>
      <c r="BJ313" s="105" t="str">
        <f>IF(A313&lt;&gt;"",COUNTIFS('QA Log'!D:D,A313,'QA Log'!M:M,"Vignette",'QA Log'!L:L,"Vignette [8] Birth Spacing/ Family Planning :  FP Counselling",'QA Log'!Z:Z,"Approved"),"")</f>
        <v/>
      </c>
      <c r="BK313" s="105" t="str">
        <f>IF(A313&lt;&gt;"",COUNTIFS('QA Log'!D:D,A313,'QA Log'!M:M,"Vignette",'QA Log'!L:L,"Vignette [9] Birth Spacing: Change FP method to Injectable",'QA Log'!Z:Z,"Approved"),"")</f>
        <v/>
      </c>
      <c r="BL313" s="105" t="str">
        <f>IF(A313&lt;&gt;"",COUNTIFS('QA Log'!D:D,A313,'QA Log'!M:M,"Vignette",'QA Log'!L:L,"Vignette [10] Post Partum Haemorrhage - Atonic Uterus at Health Centre",'QA Log'!Z:Z,"Approved"),"")</f>
        <v/>
      </c>
      <c r="BM313" s="102" t="str">
        <f>IF(A313="","",SUM(
    COUNTIFS('QA Log'!D:D,A313,'QA Log'!M:M,"Vignette",'QA Log'!Z:Z,"Rejected",'QA Log'!L:L,"*Vignette [5] Labor*"),
    COUNTIFS('QA Log'!D:D,A313,'QA Log'!M:M,"Vignette",'QA Log'!Z:Z,"Rejected",'QA Log'!L:L,"*Vignette [6] PNC pre Discharge*"),
    COUNTIFS('QA Log'!D:D,A313,'QA Log'!M:M,"Vignette",'QA Log'!Z:Z,"Rejected",'QA Log'!L:L,"*Vignette [7] First ANC Visit*"),
    COUNTIFS('QA Log'!D:D,A313,'QA Log'!M:M,"Vignette",'QA Log'!Z:Z,"Rejected",'QA Log'!L:L,"*Vignette [8] Birth Spacing/ Family Planning :  FP Counselling*"),
    COUNTIFS('QA Log'!D:D,A313,'QA Log'!M:M,"Vignette",'QA Log'!Z:Z,"Rejected",'QA Log'!L:L,"*Vignette [9] Birth Spacing: Change FP method to Injectable*"),
    COUNTIFS('QA Log'!D:D,A313,'QA Log'!M:M,"Vignette",'QA Log'!Z:Z,"Rejected",'QA Log'!L:L,"*Vignette [10] Post Partum Haemorrhage - Atonic Uterus at Health Centre*")
  )
)</f>
        <v/>
      </c>
      <c r="BN313" s="107" t="str">
        <f t="shared" si="37"/>
        <v/>
      </c>
      <c r="BO313" s="103" t="str">
        <f t="shared" si="38"/>
        <v/>
      </c>
      <c r="BP313" s="102" t="str">
        <f>IF(A313="","",SUM(
COUNTIFS('QA Log'!D:D,A313,'QA Log'!M:M,"Vignette",'QA Log'!L:L,"*Exit Interview 1*"),
COUNTIFS('QA Log'!D:D,A313,'QA Log'!M:M,"Vignette",'QA Log'!L:L,"*Exit Interview 2*"),
)
)</f>
        <v/>
      </c>
      <c r="BQ313" s="102" t="str">
        <f>IF(
  A313="","",
  SUM(
    COUNTIFS('QA Log'!D:D,A313,'QA Log'!M:M,"Vignette",'QA Log'!Z:Z,"Approved",'QA Log'!L:L,"*Exit Interview 1*"),
    COUNTIFS('QA Log'!D:D,A313,'QA Log'!M:M,"Vignette",'QA Log'!Z:Z,"Approved",'QA Log'!L:L,"*Exit Interview 2*")
  )
)</f>
        <v/>
      </c>
      <c r="BR313" s="105" t="str">
        <f>IF(A313&lt;&gt;"",COUNTIFS('QA Log'!D:D,A313,'QA Log'!M:M,"Vignette",'QA Log'!L:L,"Exit Interview 1",'QA Log'!Z:Z,"Approved"),"")</f>
        <v/>
      </c>
      <c r="BS313" s="105" t="str">
        <f>IF(A313&lt;&gt;"",COUNTIFS('QA Log'!D:D,A313,'QA Log'!M:M,"Vignette",'QA Log'!L:L,"Exit Interview 2",'QA Log'!Z:Z,"Approved"),"")</f>
        <v/>
      </c>
      <c r="BT313" s="102" t="str">
        <f>IF(
  A313="","",
  SUM(
    COUNTIFS('QA Log'!D:D,A313,'QA Log'!M:M,"Vignette",'QA Log'!Z:Z,"Rejected",'QA Log'!L:L,"*Exit Interview 1*"),
    COUNTIFS('QA Log'!D:D,A313,'QA Log'!M:M,"Vignette",'QA Log'!Z:Z,"Rejected",'QA Log'!L:L,"*Exit Interview 2*")
  )
)</f>
        <v/>
      </c>
      <c r="BU313" s="107" t="str">
        <f t="shared" si="39"/>
        <v/>
      </c>
      <c r="BV313" s="102" t="str">
        <f t="shared" si="40"/>
        <v/>
      </c>
      <c r="BW313" s="102" t="str">
        <f t="shared" si="41"/>
        <v/>
      </c>
      <c r="BX313" s="102" t="str">
        <f t="shared" si="42"/>
        <v/>
      </c>
      <c r="BY313" s="102" t="str">
        <f t="shared" si="43"/>
        <v/>
      </c>
      <c r="BZ313" s="107" t="str">
        <f t="shared" si="44"/>
        <v/>
      </c>
      <c r="CA313" s="108" t="str">
        <f t="shared" si="45"/>
        <v/>
      </c>
      <c r="CB313" s="108" t="str">
        <f t="shared" si="46"/>
        <v/>
      </c>
      <c r="CC313" s="109" t="str">
        <f t="shared" si="47"/>
        <v/>
      </c>
      <c r="CD313" s="108" t="str">
        <f t="shared" si="48"/>
        <v/>
      </c>
      <c r="CE313" s="108" t="str">
        <f t="shared" si="49"/>
        <v/>
      </c>
      <c r="CF313" s="109" t="str">
        <f t="shared" si="50"/>
        <v/>
      </c>
      <c r="CG313" s="110" t="str">
        <f t="shared" si="51"/>
        <v/>
      </c>
      <c r="CH313" s="111"/>
    </row>
    <row r="314" spans="1:86" ht="12.75">
      <c r="A314" s="101"/>
      <c r="B314" s="102" t="e">
        <f t="array" aca="1" ref="B314" ca="1">_xludf.XLOOKUP(A314,'QA Log'!D:D,'QA Log'!E:E,"")</f>
        <v>#NAME?</v>
      </c>
      <c r="C314" s="102" t="e">
        <f t="array" aca="1" ref="C314" ca="1">_xludf.XLOOKUP(A314,'QA Log'!D:D,'QA Log'!F:F,"")</f>
        <v>#NAME?</v>
      </c>
      <c r="D314" s="102" t="e">
        <f t="array" aca="1" ref="D314" ca="1">_xludf.XLOOKUP(A314,'QA Log'!D:D,'QA Log'!H:H,"")</f>
        <v>#NAME?</v>
      </c>
      <c r="E314" s="102" t="e">
        <f t="array" aca="1" ref="E314" ca="1">_xludf.XLOOKUP(A314,'QA Log'!D:D,'QA Log'!G:G,"")</f>
        <v>#NAME?</v>
      </c>
      <c r="F314" s="103"/>
      <c r="G314" s="104"/>
      <c r="H314" s="104"/>
      <c r="I314" s="103" t="str">
        <f t="shared" si="26"/>
        <v/>
      </c>
      <c r="J314" s="102" t="str">
        <f>IF(A314="","",SUM(
COUNTIFS('QA Log'!D:D,A314,'QA Log'!M:M,"QQC",'QA Log'!L:L,"*1. General Management*"),
COUNTIFS('QA Log'!D:D,A314,'QA Log'!M:M,"QQC",'QA Log'!L:L,"*3. Curative Consultation (OPD)*"),
COUNTIFS('QA Log'!D:D,A314,'QA Log'!M:M,"QQC",'QA Log'!L:L,"*5. Laboratory*"),
COUNTIFS('QA Log'!D:D,A314,'QA Log'!M:M,"QQC",'QA Log'!L:L,"*6. Essential Medicine Management*"),
COUNTIFS('QA Log'!D:D,A314,'QA Log'!M:M,"QQC",'QA Log'!L:L,"*7. Tracer Medicine*"),
COUNTIFS('QA Log'!D:D,A314,'QA Log'!M:M,"QQC",'QA Log'!L:L,"*11. Additional Questions*")))</f>
        <v/>
      </c>
      <c r="K314" s="102" t="str">
        <f>IF(A314="","",SUM(
COUNTIFS('QA Log'!D:D,A314,'QA Log'!M:M,"QQC",'QA Log'!Z:Z,"Approved",'QA Log'!L:L,"*1. General Management*"),
COUNTIFS('QA Log'!D:D,A314,'QA Log'!M:M,"QQC",'QA Log'!Z:Z,"Approved",'QA Log'!L:L,"*3. Curative Consultation (OPD)*"),
COUNTIFS('QA Log'!D:D,A314,'QA Log'!M:M,"QQC",'QA Log'!Z:Z,"Approved",'QA Log'!L:L,"*5. Laboratory*"),
COUNTIFS('QA Log'!D:D,A314,'QA Log'!M:M,"QQC",'QA Log'!Z:Z,"Approved",'QA Log'!L:L,"*6. Essential Medicine Management*"),
COUNTIFS('QA Log'!D:D,A314,'QA Log'!M:M,"QQC",'QA Log'!Z:Z,"Approved",'QA Log'!L:L,"*7. Tracer Medicine*"),
COUNTIFS('QA Log'!D:D,A314,'QA Log'!M:M,"QQC",'QA Log'!Z:Z,"Approved",'QA Log'!L:L,"*11. Additional Questions*")))</f>
        <v/>
      </c>
      <c r="L314" s="105" t="str">
        <f>IF(A314&lt;&gt;"",COUNTIFS('QA Log'!D:D,A314,'QA Log'!M:M,"QQC",'QA Log'!L:L,"1. General Management",'QA Log'!Z:Z,"Approved"),"")</f>
        <v/>
      </c>
      <c r="M314" s="105" t="str">
        <f>IF(A314&lt;&gt;"",COUNTIFS('QA Log'!D:D,A314,'QA Log'!M:M,"QQC",'QA Log'!L:L,"3. Curative Consultation (OPD)",'QA Log'!Z:Z,"Approved"),"")</f>
        <v/>
      </c>
      <c r="N314" s="105" t="str">
        <f>IF(A314&lt;&gt;"",COUNTIFS('QA Log'!D:D,A314,'QA Log'!M:M,"QQC",'QA Log'!L:L,"5. Laboratory",'QA Log'!Z:Z,"Approved"),"")</f>
        <v/>
      </c>
      <c r="O314" s="105" t="str">
        <f>IF(A314&lt;&gt;"",COUNTIFS('QA Log'!D:D,A314,'QA Log'!M:M,"QQC",'QA Log'!L:L,"6. Essential Medicine Management",'QA Log'!Z:Z,"Approved"),"")</f>
        <v/>
      </c>
      <c r="P314" s="105" t="str">
        <f>IF(A314&lt;&gt;"",COUNTIFS('QA Log'!D:D,A314,'QA Log'!M:M,"QQC",'QA Log'!L:L,"7. Tracer Medicine",'QA Log'!Z:Z,"Approved"),"")</f>
        <v/>
      </c>
      <c r="Q314" s="105" t="str">
        <f>IF(A314&lt;&gt;"",COUNTIFS('QA Log'!D:D,A314,'QA Log'!M:M,"QQC",'QA Log'!L:L,"11. Additional Questions",'QA Log'!Z:Z,"Approved"),"")</f>
        <v/>
      </c>
      <c r="R314" s="102" t="str">
        <f>IF(A314="","",SUM(
COUNTIFS('QA Log'!D:D,A314,'QA Log'!M:M,"QQC",'QA Log'!Z:Z,"Rejected",'QA Log'!L:L,"*8. Maternity*"),
COUNTIFS('QA Log'!D:D,A314,'QA Log'!M:M,"QQC",'QA Log'!Z:Z,"Rejected",'QA Log'!L:L,"*EPI*"),
COUNTIFS('QA Log'!D:D,A314,'QA Log'!M:M,"QQC",'QA Log'!Z:Z,"Rejected",'QA Log'!L:L,"*10. Antenatal Care (ANC)*"),
COUNTIFS('QA Log'!D:D,A314,'QA Log'!M:M,"QQC",'QA Log'!Z:Z,"Rejected",'QA Log'!L:L,"*2. Hygiene and Sterilization*"),
COUNTIFS('QA Log'!D:D,A314,'QA Log'!M:M,"QQC",'QA Log'!Z:Z,"Rejected",'QA Log'!L:L,"*Family Planning*")))</f>
        <v/>
      </c>
      <c r="S314" s="106" t="str">
        <f t="shared" si="27"/>
        <v/>
      </c>
      <c r="T314" s="102" t="str">
        <f t="shared" si="28"/>
        <v/>
      </c>
      <c r="U314" s="102" t="str">
        <f>IF(A314="","",
SUM(
COUNTIFS('QA Log'!D:D,A314,'QA Log'!M:M,"QQC",'QA Log'!L:L,"*8. Maternity*"),
COUNTIFS('QA Log'!D:D,A314,'QA Log'!M:M,"QQC",'QA Log'!L:L,"*9. EPI and Pre-school Consultation*"),
COUNTIFS('QA Log'!D:D,A314,'QA Log'!M:M,"QQC",'QA Log'!L:L,"*10. Antenatal Care (ANC)*"),
COUNTIFS('QA Log'!D:D,A314,'QA Log'!M:M,"QQC",'QA Log'!L:L,"*2. Hygiene and Sterilization*"),
COUNTIFS('QA Log'!D:D,A314,'QA Log'!M:M,"QQC",'QA Log'!L:L,"*4. Family Planning*")
))</f>
        <v/>
      </c>
      <c r="V314" s="102" t="str">
        <f>IF(A314="","",
SUM(
COUNTIFS('QA Log'!D:D,A314,'QA Log'!M:M,"QQC",'QA Log'!Z:Z,"Approved",'QA Log'!L:L,"*8. Maternity*"),
COUNTIFS('QA Log'!D:D,A314,'QA Log'!M:M,"QQC",'QA Log'!Z:Z,"Approved",'QA Log'!L:L,"*9. EPI and Pre-school Consultation*"),
COUNTIFS('QA Log'!D:D,A314,'QA Log'!M:M,"QQC",'QA Log'!Z:Z,"Approved",'QA Log'!L:L,"*10. Antenatal Care (ANC)*"),
COUNTIFS('QA Log'!D:D,A314,'QA Log'!M:M,"QQC",'QA Log'!Z:Z,"Approved",'QA Log'!L:L,"*2. Hygiene and Sterilization*"),
COUNTIFS('QA Log'!D:D,A314,'QA Log'!M:M,"QQC",'QA Log'!Z:Z,"Approved",'QA Log'!L:L,"*4. Family Planning*")
))</f>
        <v/>
      </c>
      <c r="W314" s="105" t="str">
        <f>IF(A314&lt;&gt;"",COUNTIFS('QA Log'!D:D,A314,'QA Log'!M:M,"QQC",'QA Log'!L:L,"8. Maternity",'QA Log'!Z:Z,"Approved"),"")</f>
        <v/>
      </c>
      <c r="X314" s="105" t="str">
        <f>IF(A314&lt;&gt;"",COUNTIFS('QA Log'!D:D,A314,'QA Log'!M:M,"QQC",'QA Log'!L:L,"9. EPI and Pre-school Consultation",'QA Log'!Z:Z,"Approved"),"")</f>
        <v/>
      </c>
      <c r="Y314" s="105" t="str">
        <f>IF(A314&lt;&gt;"",COUNTIFS('QA Log'!D:D,A314,'QA Log'!M:M,"QQC",'QA Log'!L:L,"10. Antenatal Care (ANC)",'QA Log'!Z:Z,"Approved"),"")</f>
        <v/>
      </c>
      <c r="Z314" s="105" t="str">
        <f>IF(A314&lt;&gt;"",COUNTIFS('QA Log'!D:D,A314,'QA Log'!M:M,"QQC",'QA Log'!L:L,"2. Hygiene and Sterilization",'QA Log'!Z:Z,"Approved"),"")</f>
        <v/>
      </c>
      <c r="AA314" s="105" t="str">
        <f>IF(A314&lt;&gt;"",COUNTIFS('QA Log'!D:D,A314,'QA Log'!M:M,"QQC",'QA Log'!L:L,"4. Family Planning",'QA Log'!Z:Z,"Approved"),"")</f>
        <v/>
      </c>
      <c r="AB314" s="102" t="str">
        <f>IF(A314="","",
SUM(
COUNTIFS('QA Log'!D:D,A314,'QA Log'!M:M,"QQC",'QA Log'!Z:Z,"Rejected",'QA Log'!L:L,"*8. Maternity*"),
COUNTIFS('QA Log'!D:D,A314,'QA Log'!M:M,"QQC",'QA Log'!Z:Z,"Rejected",'QA Log'!L:L,"*9. EPI and Pre-school Consultation*"),
COUNTIFS('QA Log'!D:D,A314,'QA Log'!M:M,"QQC",'QA Log'!Z:Z,"Rejected",'QA Log'!L:L,"*10. Antenatal Care (ANC)*"),
COUNTIFS('QA Log'!D:D,A314,'QA Log'!M:M,"QQC",'QA Log'!Z:Z,"Rejected",'QA Log'!L:L,"*2. Hygiene and Sterilization*"),
COUNTIFS('QA Log'!D:D,A314,'QA Log'!M:M,"QQC",'QA Log'!Z:Z,"Rejected",'QA Log'!L:L,"*4. Family Planning*")
))</f>
        <v/>
      </c>
      <c r="AC314" s="102" t="str">
        <f t="shared" si="29"/>
        <v/>
      </c>
      <c r="AD314" s="103" t="str">
        <f t="shared" si="30"/>
        <v/>
      </c>
      <c r="AE314" s="102" t="str">
        <f>IF(A314="","",
SUM(
COUNTIFS('QA Log'!D:D,A314,'QA Log'!M:M,"Data Verification",'QA Log'!L:L,"*Medicine (section 2)*"),
COUNTIFS('QA Log'!D:D,A314,'QA Log'!M:M,"Data Verification",'QA Log'!L:L,"*Lab Testing Availability*"),
COUNTIFS('QA Log'!D:D,A314,'QA Log'!M:M,"Data Verification",'QA Log'!L:L,"*Other than P4P (section 6)*"),
COUNTIFS('QA Log'!D:D,A314,'QA Log'!M:M,"Data Verification",'QA Log'!L:L,"*Hospital Governance*")
))</f>
        <v/>
      </c>
      <c r="AF314" s="102" t="str">
        <f>IF(A314="","",
SUM(
COUNTIFS('QA Log'!D:D,A314,'QA Log'!M:M,"Data Verification",'QA Log'!Z:Z,"Approved",'QA Log'!L:L,"*Medicine (section 2)*"),
COUNTIFS('QA Log'!D:D,A314,'QA Log'!M:M,"Data Verification",'QA Log'!Z:Z,"Approved",'QA Log'!L:L,"*Lab Testing Availability*"),
COUNTIFS('QA Log'!D:D,A314,'QA Log'!M:M,"Data Verification",'QA Log'!Z:Z,"Approved",'QA Log'!L:L,"*Other than P4P (section 6)*"),
COUNTIFS('QA Log'!D:D,A314,'QA Log'!M:M,"Data Verification",'QA Log'!Z:Z,"Approved",'QA Log'!L:L,"*Hospital Governance*")
))</f>
        <v/>
      </c>
      <c r="AG314" s="105" t="str">
        <f>IF(A314&lt;&gt;"",COUNTIFS('QA Log'!D:D,A314,'QA Log'!M:M,"Data Verification",'QA Log'!L:L,"Medicine (section 2)",'QA Log'!Z:Z,"Approved"),"")</f>
        <v/>
      </c>
      <c r="AH314" s="105" t="str">
        <f>IF(A314&lt;&gt;"",COUNTIFS('QA Log'!D:D,A314,'QA Log'!M:M,"Data Verification",'QA Log'!L:L,"Lab Testing Availability",'QA Log'!Z:Z,"Approved"),"")</f>
        <v/>
      </c>
      <c r="AI314" s="105" t="str">
        <f>IF(A314&lt;&gt;"",COUNTIFS('QA Log'!D:D,A314,'QA Log'!M:M,"Data Verification",'QA Log'!L:L,"Other than P4P (section 6)",'QA Log'!Z:Z,"Approved"),"")</f>
        <v/>
      </c>
      <c r="AJ314" s="105" t="str">
        <f>IF(A314&lt;&gt;"",COUNTIFS('QA Log'!D:D,A314,'QA Log'!M:M,"Data Verification",'QA Log'!L:L,"Hospital Governance",'QA Log'!Z:Z,"Approved"),"")</f>
        <v/>
      </c>
      <c r="AK314" s="102" t="str">
        <f>IF(A314="","",
SUM(
COUNTIFS('QA Log'!D:D,A314,'QA Log'!M:M,"Data Verification",'QA Log'!Z:Z,"Rejected",'QA Log'!L:L,"*Medicine (section 2)*"),
COUNTIFS('QA Log'!D:D,A314,'QA Log'!M:M,"Data Verification",'QA Log'!Z:Z,"Rejected",'QA Log'!L:L,"*Lab Testing Availability*"),
COUNTIFS('QA Log'!D:D,A314,'QA Log'!M:M,"Data Verification",'QA Log'!Z:Z,"Rejected",'QA Log'!L:L,"*Other than P4P (section 6)*"),
COUNTIFS('QA Log'!D:D,A314,'QA Log'!M:M,"Data Verification",'QA Log'!Z:Z,"Rejected",'QA Log'!L:L,"*Hospital Governance*")
))</f>
        <v/>
      </c>
      <c r="AL314" s="106" t="str">
        <f t="shared" si="31"/>
        <v/>
      </c>
      <c r="AM314" s="102" t="str">
        <f t="shared" si="32"/>
        <v/>
      </c>
      <c r="AN314" s="102" t="str">
        <f>IF(A314="","",
SUM(
COUNTIFS('QA Log'!D:D,A314,'QA Log'!M:M,"Data Verification",'QA Log'!L:L,"*Personnel (section 1)*"),
COUNTIFS('QA Log'!D:D,A314,'QA Log'!M:M,"Data Verification",'QA Log'!L:L,"*Consumable (section 3)*"),
COUNTIFS('QA Log'!D:D,A314,'QA Log'!M:M,"Data Verification",'QA Log'!L:L,"*Equipments (section 4)*")
))</f>
        <v/>
      </c>
      <c r="AO314" s="102" t="str">
        <f>IF(A314="","",
SUM(
COUNTIFS('QA Log'!D:D,A314,'QA Log'!M:M,"Data Verification",'QA Log'!Z:Z,"Approved",'QA Log'!L:L,"*Personnel (section 1)*"),
COUNTIFS('QA Log'!D:D,A314,'QA Log'!M:M,"Data Verification",'QA Log'!Z:Z,"Approved",'QA Log'!L:L,"*Consumable (section 3)*"),
COUNTIFS('QA Log'!D:D,A314,'QA Log'!M:M,"Data Verification",'QA Log'!Z:Z,"Approved",'QA Log'!L:L,"*Equipments (section 4)*")
))</f>
        <v/>
      </c>
      <c r="AP314" s="105" t="str">
        <f>IF(A314&lt;&gt;"",COUNTIFS('QA Log'!D:D,A314,'QA Log'!M:M,"Data Verification",'QA Log'!L:L,"Personnel (section 1)",'QA Log'!Z:Z,"Approved"),"")</f>
        <v/>
      </c>
      <c r="AQ314" s="105" t="str">
        <f>IF(A314&lt;&gt;"",COUNTIFS('QA Log'!D:D,A314,'QA Log'!M:M,"Data Verification",'QA Log'!L:L,"Consumable (section 3)",'QA Log'!Z:Z,"Approved"),"")</f>
        <v/>
      </c>
      <c r="AR314" s="105" t="str">
        <f>IF(A314&lt;&gt;"",COUNTIFS('QA Log'!D:D,A314,'QA Log'!M:M,"Data Verification",'QA Log'!L:L,"Equipments (section 4)",'QA Log'!Z:Z,"Approved"),"")</f>
        <v/>
      </c>
      <c r="AS314" s="102" t="str">
        <f>IF(A314="","",
SUM(
COUNTIFS('QA Log'!D:D,A314,'QA Log'!M:M,"Data Verification",'QA Log'!Z:Z,"Rejected",'QA Log'!L:L,"*Personnel (section 1)*"),
COUNTIFS('QA Log'!D:D,A314,'QA Log'!M:M,"Data Verification",'QA Log'!Z:Z,"Rejected",'QA Log'!L:L,"*Consumable (section 3)*"),
COUNTIFS('QA Log'!D:D,A314,'QA Log'!M:M,"Data Verification",'QA Log'!Z:Z,"Rejected",'QA Log'!L:L,"*Equipments (section 4)*")
))</f>
        <v/>
      </c>
      <c r="AT314" s="102" t="str">
        <f t="shared" si="33"/>
        <v/>
      </c>
      <c r="AU314" s="103" t="str">
        <f t="shared" si="34"/>
        <v/>
      </c>
      <c r="AV314" s="102" t="str">
        <f>IF(A314="","",SUM(
COUNTIFS('QA Log'!D:D,A314,'QA Log'!M:M,"Vignette",'QA Log'!L:L,"*Vignette [1] Respiratory Infection: Pneumonia*"),
COUNTIFS('QA Log'!D:D,A314,'QA Log'!M:M,"Vignette",'QA Log'!L:L,"*Vignette [2]: Diarrhea with Cat B dehydration*"),
COUNTIFS('QA Log'!D:D,A314,'QA Log'!M:M,"Vignette",'QA Log'!L:L,"*Vignette [3] Growth Monitoring and Promotion*"),
COUNTIFS('QA Log'!D:D,A314,'QA Log'!M:M,"Vignette",'QA Log'!L:L,"*Vignette [4]: The management of presumptive TB patient*")
)
)</f>
        <v/>
      </c>
      <c r="AW314" s="102" t="str">
        <f>IF(
  A314="","",
  SUM(
    COUNTIFS('QA Log'!D:D,A314,'QA Log'!M:M,"Vignette",'QA Log'!Z:Z,"Approved",'QA Log'!L:L,"*Vignette [1] Respiratory Infection: Pneumonia*"),
    COUNTIFS('QA Log'!D:D,A314,'QA Log'!M:M,"Vignette",'QA Log'!Z:Z,"Approved",'QA Log'!L:L,"*Vignette [2]: Diarrhea with Cat B dehydration*"),
    COUNTIFS('QA Log'!D:D,A314,'QA Log'!M:M,"Vignette",'QA Log'!Z:Z,"Approved",'QA Log'!L:L,"*Vignette [3] Growth Monitoring and Promotion*"),
    COUNTIFS('QA Log'!D:D,A314,'QA Log'!M:M,"Vignette",'QA Log'!Z:Z,"Approved",'QA Log'!L:L,"*Vignette [4]: The management of presumptive TB patient*")
  )
)</f>
        <v/>
      </c>
      <c r="AX314" s="105" t="str">
        <f>IF(A314&lt;&gt;"",COUNTIFS('QA Log'!D:D,A314,'QA Log'!M:M,"Vignette",'QA Log'!L:L,"Vignette [1] Respiratory Infection: Pneumonia",'QA Log'!Z:Z,"Approved"),"")</f>
        <v/>
      </c>
      <c r="AY314" s="105" t="str">
        <f>IF(A314&lt;&gt;"",COUNTIFS('QA Log'!D:D,A314,'QA Log'!M:M,"Vignette",'QA Log'!L:L,"Vignette [2]: Diarrhea with Cat B dehydration",'QA Log'!Z:Z,"Approved"),"")</f>
        <v/>
      </c>
      <c r="AZ314" s="105" t="str">
        <f>IF(A314&lt;&gt;"",COUNTIFS('QA Log'!D:D,A314,'QA Log'!M:M,"Vignette",'QA Log'!L:L,"Vignette [3] Growth Monitoring and Promotion",'QA Log'!Z:Z,"Approved"),"")</f>
        <v/>
      </c>
      <c r="BA314" s="105" t="str">
        <f>IF(A314&lt;&gt;"",COUNTIFS('QA Log'!D:D,A314,'QA Log'!M:M,"Vignette",'QA Log'!L:L,"Vignette [4]: The management of presumptive TB patient",'QA Log'!Z:Z,"Approved"),"")</f>
        <v/>
      </c>
      <c r="BB314" s="102" t="str">
        <f>IF(A314="","",
  SUM(
    COUNTIFS('QA Log'!D:D,A314,'QA Log'!M:M,"Vignette",'QA Log'!Z:Z,"Rejected",'QA Log'!L:L,"*Vignette [1] Respiratory Infection: Pneumonia*"),
    COUNTIFS('QA Log'!D:D,A314,'QA Log'!M:M,"Vignette",'QA Log'!Z:Z,"Rejected",'QA Log'!L:L,"*Vignette [2]: Diarrhea with Cat B dehydration*"),
    COUNTIFS('QA Log'!D:D,A314,'QA Log'!M:M,"Vignette",'QA Log'!Z:Z,"Rejected",'QA Log'!L:L,"*Vignette [3] Growth Monitoring and Promotion*"),
    COUNTIFS('QA Log'!D:D,A314,'QA Log'!M:M,"Vignette",'QA Log'!Z:Z,"Rejected",'QA Log'!L:L,"*Vignette [4]: The management of presumptive TB patient*")
  )
)</f>
        <v/>
      </c>
      <c r="BC314" s="107" t="str">
        <f t="shared" si="35"/>
        <v/>
      </c>
      <c r="BD314" s="103" t="str">
        <f t="shared" si="36"/>
        <v/>
      </c>
      <c r="BE314" s="102" t="str">
        <f>IF(A314="","",SUM(
COUNTIFS('QA Log'!D:D,A314,'QA Log'!M:M,"Vignette",'QA Log'!L:L,"*Vignette [5] Labor*"),
COUNTIFS('QA Log'!D:D,A314,'QA Log'!M:M,"Vignette",'QA Log'!L:L,"*Vignette [6] PNC pre Discharge*"),
COUNTIFS('QA Log'!D:D,A314,'QA Log'!M:M,"Vignette",'QA Log'!L:L,"*Vignette [7] First ANC Visit*"),
COUNTIFS('QA Log'!D:D,A314,'QA Log'!M:M,"Vignette",'QA Log'!L:L,"*Vignette [8] Birth Spacing/ Family Planning :  FP Counselling*"),
COUNTIFS('QA Log'!D:D,A314,'QA Log'!M:M,"Vignette",'QA Log'!L:L,"*Vignette [9] Birth Spacing: Change FP method to Injectable*"),
COUNTIFS('QA Log'!D:D,A314,'QA Log'!M:M,"Vignette",'QA Log'!L:L,"*Vignette [10] Post Partum Haemorrhage - Atonic Uterus at Health Centre*"),
)
)</f>
        <v/>
      </c>
      <c r="BF314" s="102" t="str">
        <f>IF(A314="","",
  SUM(
    COUNTIFS('QA Log'!D:D,A314,'QA Log'!M:M,"Vignette",'QA Log'!Z:Z,"Approved",'QA Log'!L:L,"*Vignette [5] Labor*"),
    COUNTIFS('QA Log'!D:D,A314,'QA Log'!M:M,"Vignette",'QA Log'!Z:Z,"Approved",'QA Log'!L:L,"*Vignette [6] PNC pre Discharge*"),
    COUNTIFS('QA Log'!D:D,A314,'QA Log'!M:M,"Vignette",'QA Log'!Z:Z,"Approved",'QA Log'!L:L,"*Vignette [7] First ANC Visit*"),
    COUNTIFS('QA Log'!D:D,A314,'QA Log'!M:M,"Vignette",'QA Log'!Z:Z,"Approved",'QA Log'!L:L,"*Vignette [8] Birth Spacing/ Family Planning :  FP Counselling*"),
    COUNTIFS('QA Log'!D:D,A314,'QA Log'!M:M,"Vignette",'QA Log'!Z:Z,"Approved",'QA Log'!L:L,"*Vignette [9] Birth Spacing: Change FP method to Injectable*"),
    COUNTIFS('QA Log'!D:D,A314,'QA Log'!M:M,"Vignette",'QA Log'!Z:Z,"Approved",'QA Log'!L:L,"*Vignette [10] Post Partum Haemorrhage - Atonic Uterus at Health Centre*")
  )
)</f>
        <v/>
      </c>
      <c r="BG314" s="105" t="str">
        <f>IF(A314&lt;&gt;"",COUNTIFS('QA Log'!D:D,A314,'QA Log'!M:M,"Vignette",'QA Log'!L:L,"Vignette [5] Labor",'QA Log'!Z:Z,"Approved"),"")</f>
        <v/>
      </c>
      <c r="BH314" s="105" t="str">
        <f>IF(A314&lt;&gt;"",COUNTIFS('QA Log'!D:D,A314,'QA Log'!M:M,"Vignette",'QA Log'!L:L,"Vignette [6] PNC pre Discharge",'QA Log'!Z:Z,"Approved"),"")</f>
        <v/>
      </c>
      <c r="BI314" s="105" t="str">
        <f>IF(A314&lt;&gt;"",COUNTIFS('QA Log'!D:D,A314,'QA Log'!M:M,"Vignette",'QA Log'!L:L,"Vignette [7] First ANC Visit",'QA Log'!Z:Z,"Approved"),"")</f>
        <v/>
      </c>
      <c r="BJ314" s="105" t="str">
        <f>IF(A314&lt;&gt;"",COUNTIFS('QA Log'!D:D,A314,'QA Log'!M:M,"Vignette",'QA Log'!L:L,"Vignette [8] Birth Spacing/ Family Planning :  FP Counselling",'QA Log'!Z:Z,"Approved"),"")</f>
        <v/>
      </c>
      <c r="BK314" s="105" t="str">
        <f>IF(A314&lt;&gt;"",COUNTIFS('QA Log'!D:D,A314,'QA Log'!M:M,"Vignette",'QA Log'!L:L,"Vignette [9] Birth Spacing: Change FP method to Injectable",'QA Log'!Z:Z,"Approved"),"")</f>
        <v/>
      </c>
      <c r="BL314" s="105" t="str">
        <f>IF(A314&lt;&gt;"",COUNTIFS('QA Log'!D:D,A314,'QA Log'!M:M,"Vignette",'QA Log'!L:L,"Vignette [10] Post Partum Haemorrhage - Atonic Uterus at Health Centre",'QA Log'!Z:Z,"Approved"),"")</f>
        <v/>
      </c>
      <c r="BM314" s="102" t="str">
        <f>IF(A314="","",SUM(
    COUNTIFS('QA Log'!D:D,A314,'QA Log'!M:M,"Vignette",'QA Log'!Z:Z,"Rejected",'QA Log'!L:L,"*Vignette [5] Labor*"),
    COUNTIFS('QA Log'!D:D,A314,'QA Log'!M:M,"Vignette",'QA Log'!Z:Z,"Rejected",'QA Log'!L:L,"*Vignette [6] PNC pre Discharge*"),
    COUNTIFS('QA Log'!D:D,A314,'QA Log'!M:M,"Vignette",'QA Log'!Z:Z,"Rejected",'QA Log'!L:L,"*Vignette [7] First ANC Visit*"),
    COUNTIFS('QA Log'!D:D,A314,'QA Log'!M:M,"Vignette",'QA Log'!Z:Z,"Rejected",'QA Log'!L:L,"*Vignette [8] Birth Spacing/ Family Planning :  FP Counselling*"),
    COUNTIFS('QA Log'!D:D,A314,'QA Log'!M:M,"Vignette",'QA Log'!Z:Z,"Rejected",'QA Log'!L:L,"*Vignette [9] Birth Spacing: Change FP method to Injectable*"),
    COUNTIFS('QA Log'!D:D,A314,'QA Log'!M:M,"Vignette",'QA Log'!Z:Z,"Rejected",'QA Log'!L:L,"*Vignette [10] Post Partum Haemorrhage - Atonic Uterus at Health Centre*")
  )
)</f>
        <v/>
      </c>
      <c r="BN314" s="107" t="str">
        <f t="shared" si="37"/>
        <v/>
      </c>
      <c r="BO314" s="103" t="str">
        <f t="shared" si="38"/>
        <v/>
      </c>
      <c r="BP314" s="102" t="str">
        <f>IF(A314="","",SUM(
COUNTIFS('QA Log'!D:D,A314,'QA Log'!M:M,"Vignette",'QA Log'!L:L,"*Exit Interview 1*"),
COUNTIFS('QA Log'!D:D,A314,'QA Log'!M:M,"Vignette",'QA Log'!L:L,"*Exit Interview 2*"),
)
)</f>
        <v/>
      </c>
      <c r="BQ314" s="102" t="str">
        <f>IF(
  A314="","",
  SUM(
    COUNTIFS('QA Log'!D:D,A314,'QA Log'!M:M,"Vignette",'QA Log'!Z:Z,"Approved",'QA Log'!L:L,"*Exit Interview 1*"),
    COUNTIFS('QA Log'!D:D,A314,'QA Log'!M:M,"Vignette",'QA Log'!Z:Z,"Approved",'QA Log'!L:L,"*Exit Interview 2*")
  )
)</f>
        <v/>
      </c>
      <c r="BR314" s="105" t="str">
        <f>IF(A314&lt;&gt;"",COUNTIFS('QA Log'!D:D,A314,'QA Log'!M:M,"Vignette",'QA Log'!L:L,"Exit Interview 1",'QA Log'!Z:Z,"Approved"),"")</f>
        <v/>
      </c>
      <c r="BS314" s="105" t="str">
        <f>IF(A314&lt;&gt;"",COUNTIFS('QA Log'!D:D,A314,'QA Log'!M:M,"Vignette",'QA Log'!L:L,"Exit Interview 2",'QA Log'!Z:Z,"Approved"),"")</f>
        <v/>
      </c>
      <c r="BT314" s="102" t="str">
        <f>IF(
  A314="","",
  SUM(
    COUNTIFS('QA Log'!D:D,A314,'QA Log'!M:M,"Vignette",'QA Log'!Z:Z,"Rejected",'QA Log'!L:L,"*Exit Interview 1*"),
    COUNTIFS('QA Log'!D:D,A314,'QA Log'!M:M,"Vignette",'QA Log'!Z:Z,"Rejected",'QA Log'!L:L,"*Exit Interview 2*")
  )
)</f>
        <v/>
      </c>
      <c r="BU314" s="107" t="str">
        <f t="shared" si="39"/>
        <v/>
      </c>
      <c r="BV314" s="102" t="str">
        <f t="shared" si="40"/>
        <v/>
      </c>
      <c r="BW314" s="102" t="str">
        <f t="shared" si="41"/>
        <v/>
      </c>
      <c r="BX314" s="102" t="str">
        <f t="shared" si="42"/>
        <v/>
      </c>
      <c r="BY314" s="102" t="str">
        <f t="shared" si="43"/>
        <v/>
      </c>
      <c r="BZ314" s="107" t="str">
        <f t="shared" si="44"/>
        <v/>
      </c>
      <c r="CA314" s="108" t="str">
        <f t="shared" si="45"/>
        <v/>
      </c>
      <c r="CB314" s="108" t="str">
        <f t="shared" si="46"/>
        <v/>
      </c>
      <c r="CC314" s="109" t="str">
        <f t="shared" si="47"/>
        <v/>
      </c>
      <c r="CD314" s="108" t="str">
        <f t="shared" si="48"/>
        <v/>
      </c>
      <c r="CE314" s="108" t="str">
        <f t="shared" si="49"/>
        <v/>
      </c>
      <c r="CF314" s="109" t="str">
        <f t="shared" si="50"/>
        <v/>
      </c>
      <c r="CG314" s="110" t="str">
        <f t="shared" si="51"/>
        <v/>
      </c>
      <c r="CH314" s="111"/>
    </row>
    <row r="315" spans="1:86" ht="12.75">
      <c r="A315" s="101"/>
      <c r="B315" s="102" t="e">
        <f t="array" aca="1" ref="B315" ca="1">_xludf.XLOOKUP(A315,'QA Log'!D:D,'QA Log'!E:E,"")</f>
        <v>#NAME?</v>
      </c>
      <c r="C315" s="102" t="e">
        <f t="array" aca="1" ref="C315" ca="1">_xludf.XLOOKUP(A315,'QA Log'!D:D,'QA Log'!F:F,"")</f>
        <v>#NAME?</v>
      </c>
      <c r="D315" s="102" t="e">
        <f t="array" aca="1" ref="D315" ca="1">_xludf.XLOOKUP(A315,'QA Log'!D:D,'QA Log'!H:H,"")</f>
        <v>#NAME?</v>
      </c>
      <c r="E315" s="102" t="e">
        <f t="array" aca="1" ref="E315" ca="1">_xludf.XLOOKUP(A315,'QA Log'!D:D,'QA Log'!G:G,"")</f>
        <v>#NAME?</v>
      </c>
      <c r="F315" s="103"/>
      <c r="G315" s="104"/>
      <c r="H315" s="104"/>
      <c r="I315" s="103" t="str">
        <f t="shared" si="26"/>
        <v/>
      </c>
      <c r="J315" s="102" t="str">
        <f>IF(A315="","",SUM(
COUNTIFS('QA Log'!D:D,A315,'QA Log'!M:M,"QQC",'QA Log'!L:L,"*1. General Management*"),
COUNTIFS('QA Log'!D:D,A315,'QA Log'!M:M,"QQC",'QA Log'!L:L,"*3. Curative Consultation (OPD)*"),
COUNTIFS('QA Log'!D:D,A315,'QA Log'!M:M,"QQC",'QA Log'!L:L,"*5. Laboratory*"),
COUNTIFS('QA Log'!D:D,A315,'QA Log'!M:M,"QQC",'QA Log'!L:L,"*6. Essential Medicine Management*"),
COUNTIFS('QA Log'!D:D,A315,'QA Log'!M:M,"QQC",'QA Log'!L:L,"*7. Tracer Medicine*"),
COUNTIFS('QA Log'!D:D,A315,'QA Log'!M:M,"QQC",'QA Log'!L:L,"*11. Additional Questions*")))</f>
        <v/>
      </c>
      <c r="K315" s="102" t="str">
        <f>IF(A315="","",SUM(
COUNTIFS('QA Log'!D:D,A315,'QA Log'!M:M,"QQC",'QA Log'!Z:Z,"Approved",'QA Log'!L:L,"*1. General Management*"),
COUNTIFS('QA Log'!D:D,A315,'QA Log'!M:M,"QQC",'QA Log'!Z:Z,"Approved",'QA Log'!L:L,"*3. Curative Consultation (OPD)*"),
COUNTIFS('QA Log'!D:D,A315,'QA Log'!M:M,"QQC",'QA Log'!Z:Z,"Approved",'QA Log'!L:L,"*5. Laboratory*"),
COUNTIFS('QA Log'!D:D,A315,'QA Log'!M:M,"QQC",'QA Log'!Z:Z,"Approved",'QA Log'!L:L,"*6. Essential Medicine Management*"),
COUNTIFS('QA Log'!D:D,A315,'QA Log'!M:M,"QQC",'QA Log'!Z:Z,"Approved",'QA Log'!L:L,"*7. Tracer Medicine*"),
COUNTIFS('QA Log'!D:D,A315,'QA Log'!M:M,"QQC",'QA Log'!Z:Z,"Approved",'QA Log'!L:L,"*11. Additional Questions*")))</f>
        <v/>
      </c>
      <c r="L315" s="105" t="str">
        <f>IF(A315&lt;&gt;"",COUNTIFS('QA Log'!D:D,A315,'QA Log'!M:M,"QQC",'QA Log'!L:L,"1. General Management",'QA Log'!Z:Z,"Approved"),"")</f>
        <v/>
      </c>
      <c r="M315" s="105" t="str">
        <f>IF(A315&lt;&gt;"",COUNTIFS('QA Log'!D:D,A315,'QA Log'!M:M,"QQC",'QA Log'!L:L,"3. Curative Consultation (OPD)",'QA Log'!Z:Z,"Approved"),"")</f>
        <v/>
      </c>
      <c r="N315" s="105" t="str">
        <f>IF(A315&lt;&gt;"",COUNTIFS('QA Log'!D:D,A315,'QA Log'!M:M,"QQC",'QA Log'!L:L,"5. Laboratory",'QA Log'!Z:Z,"Approved"),"")</f>
        <v/>
      </c>
      <c r="O315" s="105" t="str">
        <f>IF(A315&lt;&gt;"",COUNTIFS('QA Log'!D:D,A315,'QA Log'!M:M,"QQC",'QA Log'!L:L,"6. Essential Medicine Management",'QA Log'!Z:Z,"Approved"),"")</f>
        <v/>
      </c>
      <c r="P315" s="105" t="str">
        <f>IF(A315&lt;&gt;"",COUNTIFS('QA Log'!D:D,A315,'QA Log'!M:M,"QQC",'QA Log'!L:L,"7. Tracer Medicine",'QA Log'!Z:Z,"Approved"),"")</f>
        <v/>
      </c>
      <c r="Q315" s="105" t="str">
        <f>IF(A315&lt;&gt;"",COUNTIFS('QA Log'!D:D,A315,'QA Log'!M:M,"QQC",'QA Log'!L:L,"11. Additional Questions",'QA Log'!Z:Z,"Approved"),"")</f>
        <v/>
      </c>
      <c r="R315" s="102" t="str">
        <f>IF(A315="","",SUM(
COUNTIFS('QA Log'!D:D,A315,'QA Log'!M:M,"QQC",'QA Log'!Z:Z,"Rejected",'QA Log'!L:L,"*8. Maternity*"),
COUNTIFS('QA Log'!D:D,A315,'QA Log'!M:M,"QQC",'QA Log'!Z:Z,"Rejected",'QA Log'!L:L,"*EPI*"),
COUNTIFS('QA Log'!D:D,A315,'QA Log'!M:M,"QQC",'QA Log'!Z:Z,"Rejected",'QA Log'!L:L,"*10. Antenatal Care (ANC)*"),
COUNTIFS('QA Log'!D:D,A315,'QA Log'!M:M,"QQC",'QA Log'!Z:Z,"Rejected",'QA Log'!L:L,"*2. Hygiene and Sterilization*"),
COUNTIFS('QA Log'!D:D,A315,'QA Log'!M:M,"QQC",'QA Log'!Z:Z,"Rejected",'QA Log'!L:L,"*Family Planning*")))</f>
        <v/>
      </c>
      <c r="S315" s="106" t="str">
        <f t="shared" si="27"/>
        <v/>
      </c>
      <c r="T315" s="102" t="str">
        <f t="shared" si="28"/>
        <v/>
      </c>
      <c r="U315" s="102" t="str">
        <f>IF(A315="","",
SUM(
COUNTIFS('QA Log'!D:D,A315,'QA Log'!M:M,"QQC",'QA Log'!L:L,"*8. Maternity*"),
COUNTIFS('QA Log'!D:D,A315,'QA Log'!M:M,"QQC",'QA Log'!L:L,"*9. EPI and Pre-school Consultation*"),
COUNTIFS('QA Log'!D:D,A315,'QA Log'!M:M,"QQC",'QA Log'!L:L,"*10. Antenatal Care (ANC)*"),
COUNTIFS('QA Log'!D:D,A315,'QA Log'!M:M,"QQC",'QA Log'!L:L,"*2. Hygiene and Sterilization*"),
COUNTIFS('QA Log'!D:D,A315,'QA Log'!M:M,"QQC",'QA Log'!L:L,"*4. Family Planning*")
))</f>
        <v/>
      </c>
      <c r="V315" s="102" t="str">
        <f>IF(A315="","",
SUM(
COUNTIFS('QA Log'!D:D,A315,'QA Log'!M:M,"QQC",'QA Log'!Z:Z,"Approved",'QA Log'!L:L,"*8. Maternity*"),
COUNTIFS('QA Log'!D:D,A315,'QA Log'!M:M,"QQC",'QA Log'!Z:Z,"Approved",'QA Log'!L:L,"*9. EPI and Pre-school Consultation*"),
COUNTIFS('QA Log'!D:D,A315,'QA Log'!M:M,"QQC",'QA Log'!Z:Z,"Approved",'QA Log'!L:L,"*10. Antenatal Care (ANC)*"),
COUNTIFS('QA Log'!D:D,A315,'QA Log'!M:M,"QQC",'QA Log'!Z:Z,"Approved",'QA Log'!L:L,"*2. Hygiene and Sterilization*"),
COUNTIFS('QA Log'!D:D,A315,'QA Log'!M:M,"QQC",'QA Log'!Z:Z,"Approved",'QA Log'!L:L,"*4. Family Planning*")
))</f>
        <v/>
      </c>
      <c r="W315" s="105" t="str">
        <f>IF(A315&lt;&gt;"",COUNTIFS('QA Log'!D:D,A315,'QA Log'!M:M,"QQC",'QA Log'!L:L,"8. Maternity",'QA Log'!Z:Z,"Approved"),"")</f>
        <v/>
      </c>
      <c r="X315" s="105" t="str">
        <f>IF(A315&lt;&gt;"",COUNTIFS('QA Log'!D:D,A315,'QA Log'!M:M,"QQC",'QA Log'!L:L,"9. EPI and Pre-school Consultation",'QA Log'!Z:Z,"Approved"),"")</f>
        <v/>
      </c>
      <c r="Y315" s="105" t="str">
        <f>IF(A315&lt;&gt;"",COUNTIFS('QA Log'!D:D,A315,'QA Log'!M:M,"QQC",'QA Log'!L:L,"10. Antenatal Care (ANC)",'QA Log'!Z:Z,"Approved"),"")</f>
        <v/>
      </c>
      <c r="Z315" s="105" t="str">
        <f>IF(A315&lt;&gt;"",COUNTIFS('QA Log'!D:D,A315,'QA Log'!M:M,"QQC",'QA Log'!L:L,"2. Hygiene and Sterilization",'QA Log'!Z:Z,"Approved"),"")</f>
        <v/>
      </c>
      <c r="AA315" s="105" t="str">
        <f>IF(A315&lt;&gt;"",COUNTIFS('QA Log'!D:D,A315,'QA Log'!M:M,"QQC",'QA Log'!L:L,"4. Family Planning",'QA Log'!Z:Z,"Approved"),"")</f>
        <v/>
      </c>
      <c r="AB315" s="102" t="str">
        <f>IF(A315="","",
SUM(
COUNTIFS('QA Log'!D:D,A315,'QA Log'!M:M,"QQC",'QA Log'!Z:Z,"Rejected",'QA Log'!L:L,"*8. Maternity*"),
COUNTIFS('QA Log'!D:D,A315,'QA Log'!M:M,"QQC",'QA Log'!Z:Z,"Rejected",'QA Log'!L:L,"*9. EPI and Pre-school Consultation*"),
COUNTIFS('QA Log'!D:D,A315,'QA Log'!M:M,"QQC",'QA Log'!Z:Z,"Rejected",'QA Log'!L:L,"*10. Antenatal Care (ANC)*"),
COUNTIFS('QA Log'!D:D,A315,'QA Log'!M:M,"QQC",'QA Log'!Z:Z,"Rejected",'QA Log'!L:L,"*2. Hygiene and Sterilization*"),
COUNTIFS('QA Log'!D:D,A315,'QA Log'!M:M,"QQC",'QA Log'!Z:Z,"Rejected",'QA Log'!L:L,"*4. Family Planning*")
))</f>
        <v/>
      </c>
      <c r="AC315" s="102" t="str">
        <f t="shared" si="29"/>
        <v/>
      </c>
      <c r="AD315" s="103" t="str">
        <f t="shared" si="30"/>
        <v/>
      </c>
      <c r="AE315" s="102" t="str">
        <f>IF(A315="","",
SUM(
COUNTIFS('QA Log'!D:D,A315,'QA Log'!M:M,"Data Verification",'QA Log'!L:L,"*Medicine (section 2)*"),
COUNTIFS('QA Log'!D:D,A315,'QA Log'!M:M,"Data Verification",'QA Log'!L:L,"*Lab Testing Availability*"),
COUNTIFS('QA Log'!D:D,A315,'QA Log'!M:M,"Data Verification",'QA Log'!L:L,"*Other than P4P (section 6)*"),
COUNTIFS('QA Log'!D:D,A315,'QA Log'!M:M,"Data Verification",'QA Log'!L:L,"*Hospital Governance*")
))</f>
        <v/>
      </c>
      <c r="AF315" s="102" t="str">
        <f>IF(A315="","",
SUM(
COUNTIFS('QA Log'!D:D,A315,'QA Log'!M:M,"Data Verification",'QA Log'!Z:Z,"Approved",'QA Log'!L:L,"*Medicine (section 2)*"),
COUNTIFS('QA Log'!D:D,A315,'QA Log'!M:M,"Data Verification",'QA Log'!Z:Z,"Approved",'QA Log'!L:L,"*Lab Testing Availability*"),
COUNTIFS('QA Log'!D:D,A315,'QA Log'!M:M,"Data Verification",'QA Log'!Z:Z,"Approved",'QA Log'!L:L,"*Other than P4P (section 6)*"),
COUNTIFS('QA Log'!D:D,A315,'QA Log'!M:M,"Data Verification",'QA Log'!Z:Z,"Approved",'QA Log'!L:L,"*Hospital Governance*")
))</f>
        <v/>
      </c>
      <c r="AG315" s="105" t="str">
        <f>IF(A315&lt;&gt;"",COUNTIFS('QA Log'!D:D,A315,'QA Log'!M:M,"Data Verification",'QA Log'!L:L,"Medicine (section 2)",'QA Log'!Z:Z,"Approved"),"")</f>
        <v/>
      </c>
      <c r="AH315" s="105" t="str">
        <f>IF(A315&lt;&gt;"",COUNTIFS('QA Log'!D:D,A315,'QA Log'!M:M,"Data Verification",'QA Log'!L:L,"Lab Testing Availability",'QA Log'!Z:Z,"Approved"),"")</f>
        <v/>
      </c>
      <c r="AI315" s="105" t="str">
        <f>IF(A315&lt;&gt;"",COUNTIFS('QA Log'!D:D,A315,'QA Log'!M:M,"Data Verification",'QA Log'!L:L,"Other than P4P (section 6)",'QA Log'!Z:Z,"Approved"),"")</f>
        <v/>
      </c>
      <c r="AJ315" s="105" t="str">
        <f>IF(A315&lt;&gt;"",COUNTIFS('QA Log'!D:D,A315,'QA Log'!M:M,"Data Verification",'QA Log'!L:L,"Hospital Governance",'QA Log'!Z:Z,"Approved"),"")</f>
        <v/>
      </c>
      <c r="AK315" s="102" t="str">
        <f>IF(A315="","",
SUM(
COUNTIFS('QA Log'!D:D,A315,'QA Log'!M:M,"Data Verification",'QA Log'!Z:Z,"Rejected",'QA Log'!L:L,"*Medicine (section 2)*"),
COUNTIFS('QA Log'!D:D,A315,'QA Log'!M:M,"Data Verification",'QA Log'!Z:Z,"Rejected",'QA Log'!L:L,"*Lab Testing Availability*"),
COUNTIFS('QA Log'!D:D,A315,'QA Log'!M:M,"Data Verification",'QA Log'!Z:Z,"Rejected",'QA Log'!L:L,"*Other than P4P (section 6)*"),
COUNTIFS('QA Log'!D:D,A315,'QA Log'!M:M,"Data Verification",'QA Log'!Z:Z,"Rejected",'QA Log'!L:L,"*Hospital Governance*")
))</f>
        <v/>
      </c>
      <c r="AL315" s="106" t="str">
        <f t="shared" si="31"/>
        <v/>
      </c>
      <c r="AM315" s="102" t="str">
        <f t="shared" si="32"/>
        <v/>
      </c>
      <c r="AN315" s="102" t="str">
        <f>IF(A315="","",
SUM(
COUNTIFS('QA Log'!D:D,A315,'QA Log'!M:M,"Data Verification",'QA Log'!L:L,"*Personnel (section 1)*"),
COUNTIFS('QA Log'!D:D,A315,'QA Log'!M:M,"Data Verification",'QA Log'!L:L,"*Consumable (section 3)*"),
COUNTIFS('QA Log'!D:D,A315,'QA Log'!M:M,"Data Verification",'QA Log'!L:L,"*Equipments (section 4)*")
))</f>
        <v/>
      </c>
      <c r="AO315" s="102" t="str">
        <f>IF(A315="","",
SUM(
COUNTIFS('QA Log'!D:D,A315,'QA Log'!M:M,"Data Verification",'QA Log'!Z:Z,"Approved",'QA Log'!L:L,"*Personnel (section 1)*"),
COUNTIFS('QA Log'!D:D,A315,'QA Log'!M:M,"Data Verification",'QA Log'!Z:Z,"Approved",'QA Log'!L:L,"*Consumable (section 3)*"),
COUNTIFS('QA Log'!D:D,A315,'QA Log'!M:M,"Data Verification",'QA Log'!Z:Z,"Approved",'QA Log'!L:L,"*Equipments (section 4)*")
))</f>
        <v/>
      </c>
      <c r="AP315" s="105" t="str">
        <f>IF(A315&lt;&gt;"",COUNTIFS('QA Log'!D:D,A315,'QA Log'!M:M,"Data Verification",'QA Log'!L:L,"Personnel (section 1)",'QA Log'!Z:Z,"Approved"),"")</f>
        <v/>
      </c>
      <c r="AQ315" s="105" t="str">
        <f>IF(A315&lt;&gt;"",COUNTIFS('QA Log'!D:D,A315,'QA Log'!M:M,"Data Verification",'QA Log'!L:L,"Consumable (section 3)",'QA Log'!Z:Z,"Approved"),"")</f>
        <v/>
      </c>
      <c r="AR315" s="105" t="str">
        <f>IF(A315&lt;&gt;"",COUNTIFS('QA Log'!D:D,A315,'QA Log'!M:M,"Data Verification",'QA Log'!L:L,"Equipments (section 4)",'QA Log'!Z:Z,"Approved"),"")</f>
        <v/>
      </c>
      <c r="AS315" s="102" t="str">
        <f>IF(A315="","",
SUM(
COUNTIFS('QA Log'!D:D,A315,'QA Log'!M:M,"Data Verification",'QA Log'!Z:Z,"Rejected",'QA Log'!L:L,"*Personnel (section 1)*"),
COUNTIFS('QA Log'!D:D,A315,'QA Log'!M:M,"Data Verification",'QA Log'!Z:Z,"Rejected",'QA Log'!L:L,"*Consumable (section 3)*"),
COUNTIFS('QA Log'!D:D,A315,'QA Log'!M:M,"Data Verification",'QA Log'!Z:Z,"Rejected",'QA Log'!L:L,"*Equipments (section 4)*")
))</f>
        <v/>
      </c>
      <c r="AT315" s="102" t="str">
        <f t="shared" si="33"/>
        <v/>
      </c>
      <c r="AU315" s="103" t="str">
        <f t="shared" si="34"/>
        <v/>
      </c>
      <c r="AV315" s="102" t="str">
        <f>IF(A315="","",SUM(
COUNTIFS('QA Log'!D:D,A315,'QA Log'!M:M,"Vignette",'QA Log'!L:L,"*Vignette [1] Respiratory Infection: Pneumonia*"),
COUNTIFS('QA Log'!D:D,A315,'QA Log'!M:M,"Vignette",'QA Log'!L:L,"*Vignette [2]: Diarrhea with Cat B dehydration*"),
COUNTIFS('QA Log'!D:D,A315,'QA Log'!M:M,"Vignette",'QA Log'!L:L,"*Vignette [3] Growth Monitoring and Promotion*"),
COUNTIFS('QA Log'!D:D,A315,'QA Log'!M:M,"Vignette",'QA Log'!L:L,"*Vignette [4]: The management of presumptive TB patient*")
)
)</f>
        <v/>
      </c>
      <c r="AW315" s="102" t="str">
        <f>IF(
  A315="","",
  SUM(
    COUNTIFS('QA Log'!D:D,A315,'QA Log'!M:M,"Vignette",'QA Log'!Z:Z,"Approved",'QA Log'!L:L,"*Vignette [1] Respiratory Infection: Pneumonia*"),
    COUNTIFS('QA Log'!D:D,A315,'QA Log'!M:M,"Vignette",'QA Log'!Z:Z,"Approved",'QA Log'!L:L,"*Vignette [2]: Diarrhea with Cat B dehydration*"),
    COUNTIFS('QA Log'!D:D,A315,'QA Log'!M:M,"Vignette",'QA Log'!Z:Z,"Approved",'QA Log'!L:L,"*Vignette [3] Growth Monitoring and Promotion*"),
    COUNTIFS('QA Log'!D:D,A315,'QA Log'!M:M,"Vignette",'QA Log'!Z:Z,"Approved",'QA Log'!L:L,"*Vignette [4]: The management of presumptive TB patient*")
  )
)</f>
        <v/>
      </c>
      <c r="AX315" s="105" t="str">
        <f>IF(A315&lt;&gt;"",COUNTIFS('QA Log'!D:D,A315,'QA Log'!M:M,"Vignette",'QA Log'!L:L,"Vignette [1] Respiratory Infection: Pneumonia",'QA Log'!Z:Z,"Approved"),"")</f>
        <v/>
      </c>
      <c r="AY315" s="105" t="str">
        <f>IF(A315&lt;&gt;"",COUNTIFS('QA Log'!D:D,A315,'QA Log'!M:M,"Vignette",'QA Log'!L:L,"Vignette [2]: Diarrhea with Cat B dehydration",'QA Log'!Z:Z,"Approved"),"")</f>
        <v/>
      </c>
      <c r="AZ315" s="105" t="str">
        <f>IF(A315&lt;&gt;"",COUNTIFS('QA Log'!D:D,A315,'QA Log'!M:M,"Vignette",'QA Log'!L:L,"Vignette [3] Growth Monitoring and Promotion",'QA Log'!Z:Z,"Approved"),"")</f>
        <v/>
      </c>
      <c r="BA315" s="105" t="str">
        <f>IF(A315&lt;&gt;"",COUNTIFS('QA Log'!D:D,A315,'QA Log'!M:M,"Vignette",'QA Log'!L:L,"Vignette [4]: The management of presumptive TB patient",'QA Log'!Z:Z,"Approved"),"")</f>
        <v/>
      </c>
      <c r="BB315" s="102" t="str">
        <f>IF(A315="","",
  SUM(
    COUNTIFS('QA Log'!D:D,A315,'QA Log'!M:M,"Vignette",'QA Log'!Z:Z,"Rejected",'QA Log'!L:L,"*Vignette [1] Respiratory Infection: Pneumonia*"),
    COUNTIFS('QA Log'!D:D,A315,'QA Log'!M:M,"Vignette",'QA Log'!Z:Z,"Rejected",'QA Log'!L:L,"*Vignette [2]: Diarrhea with Cat B dehydration*"),
    COUNTIFS('QA Log'!D:D,A315,'QA Log'!M:M,"Vignette",'QA Log'!Z:Z,"Rejected",'QA Log'!L:L,"*Vignette [3] Growth Monitoring and Promotion*"),
    COUNTIFS('QA Log'!D:D,A315,'QA Log'!M:M,"Vignette",'QA Log'!Z:Z,"Rejected",'QA Log'!L:L,"*Vignette [4]: The management of presumptive TB patient*")
  )
)</f>
        <v/>
      </c>
      <c r="BC315" s="107" t="str">
        <f t="shared" si="35"/>
        <v/>
      </c>
      <c r="BD315" s="103" t="str">
        <f t="shared" si="36"/>
        <v/>
      </c>
      <c r="BE315" s="102" t="str">
        <f>IF(A315="","",SUM(
COUNTIFS('QA Log'!D:D,A315,'QA Log'!M:M,"Vignette",'QA Log'!L:L,"*Vignette [5] Labor*"),
COUNTIFS('QA Log'!D:D,A315,'QA Log'!M:M,"Vignette",'QA Log'!L:L,"*Vignette [6] PNC pre Discharge*"),
COUNTIFS('QA Log'!D:D,A315,'QA Log'!M:M,"Vignette",'QA Log'!L:L,"*Vignette [7] First ANC Visit*"),
COUNTIFS('QA Log'!D:D,A315,'QA Log'!M:M,"Vignette",'QA Log'!L:L,"*Vignette [8] Birth Spacing/ Family Planning :  FP Counselling*"),
COUNTIFS('QA Log'!D:D,A315,'QA Log'!M:M,"Vignette",'QA Log'!L:L,"*Vignette [9] Birth Spacing: Change FP method to Injectable*"),
COUNTIFS('QA Log'!D:D,A315,'QA Log'!M:M,"Vignette",'QA Log'!L:L,"*Vignette [10] Post Partum Haemorrhage - Atonic Uterus at Health Centre*"),
)
)</f>
        <v/>
      </c>
      <c r="BF315" s="102" t="str">
        <f>IF(A315="","",
  SUM(
    COUNTIFS('QA Log'!D:D,A315,'QA Log'!M:M,"Vignette",'QA Log'!Z:Z,"Approved",'QA Log'!L:L,"*Vignette [5] Labor*"),
    COUNTIFS('QA Log'!D:D,A315,'QA Log'!M:M,"Vignette",'QA Log'!Z:Z,"Approved",'QA Log'!L:L,"*Vignette [6] PNC pre Discharge*"),
    COUNTIFS('QA Log'!D:D,A315,'QA Log'!M:M,"Vignette",'QA Log'!Z:Z,"Approved",'QA Log'!L:L,"*Vignette [7] First ANC Visit*"),
    COUNTIFS('QA Log'!D:D,A315,'QA Log'!M:M,"Vignette",'QA Log'!Z:Z,"Approved",'QA Log'!L:L,"*Vignette [8] Birth Spacing/ Family Planning :  FP Counselling*"),
    COUNTIFS('QA Log'!D:D,A315,'QA Log'!M:M,"Vignette",'QA Log'!Z:Z,"Approved",'QA Log'!L:L,"*Vignette [9] Birth Spacing: Change FP method to Injectable*"),
    COUNTIFS('QA Log'!D:D,A315,'QA Log'!M:M,"Vignette",'QA Log'!Z:Z,"Approved",'QA Log'!L:L,"*Vignette [10] Post Partum Haemorrhage - Atonic Uterus at Health Centre*")
  )
)</f>
        <v/>
      </c>
      <c r="BG315" s="105" t="str">
        <f>IF(A315&lt;&gt;"",COUNTIFS('QA Log'!D:D,A315,'QA Log'!M:M,"Vignette",'QA Log'!L:L,"Vignette [5] Labor",'QA Log'!Z:Z,"Approved"),"")</f>
        <v/>
      </c>
      <c r="BH315" s="105" t="str">
        <f>IF(A315&lt;&gt;"",COUNTIFS('QA Log'!D:D,A315,'QA Log'!M:M,"Vignette",'QA Log'!L:L,"Vignette [6] PNC pre Discharge",'QA Log'!Z:Z,"Approved"),"")</f>
        <v/>
      </c>
      <c r="BI315" s="105" t="str">
        <f>IF(A315&lt;&gt;"",COUNTIFS('QA Log'!D:D,A315,'QA Log'!M:M,"Vignette",'QA Log'!L:L,"Vignette [7] First ANC Visit",'QA Log'!Z:Z,"Approved"),"")</f>
        <v/>
      </c>
      <c r="BJ315" s="105" t="str">
        <f>IF(A315&lt;&gt;"",COUNTIFS('QA Log'!D:D,A315,'QA Log'!M:M,"Vignette",'QA Log'!L:L,"Vignette [8] Birth Spacing/ Family Planning :  FP Counselling",'QA Log'!Z:Z,"Approved"),"")</f>
        <v/>
      </c>
      <c r="BK315" s="105" t="str">
        <f>IF(A315&lt;&gt;"",COUNTIFS('QA Log'!D:D,A315,'QA Log'!M:M,"Vignette",'QA Log'!L:L,"Vignette [9] Birth Spacing: Change FP method to Injectable",'QA Log'!Z:Z,"Approved"),"")</f>
        <v/>
      </c>
      <c r="BL315" s="105" t="str">
        <f>IF(A315&lt;&gt;"",COUNTIFS('QA Log'!D:D,A315,'QA Log'!M:M,"Vignette",'QA Log'!L:L,"Vignette [10] Post Partum Haemorrhage - Atonic Uterus at Health Centre",'QA Log'!Z:Z,"Approved"),"")</f>
        <v/>
      </c>
      <c r="BM315" s="102" t="str">
        <f>IF(A315="","",SUM(
    COUNTIFS('QA Log'!D:D,A315,'QA Log'!M:M,"Vignette",'QA Log'!Z:Z,"Rejected",'QA Log'!L:L,"*Vignette [5] Labor*"),
    COUNTIFS('QA Log'!D:D,A315,'QA Log'!M:M,"Vignette",'QA Log'!Z:Z,"Rejected",'QA Log'!L:L,"*Vignette [6] PNC pre Discharge*"),
    COUNTIFS('QA Log'!D:D,A315,'QA Log'!M:M,"Vignette",'QA Log'!Z:Z,"Rejected",'QA Log'!L:L,"*Vignette [7] First ANC Visit*"),
    COUNTIFS('QA Log'!D:D,A315,'QA Log'!M:M,"Vignette",'QA Log'!Z:Z,"Rejected",'QA Log'!L:L,"*Vignette [8] Birth Spacing/ Family Planning :  FP Counselling*"),
    COUNTIFS('QA Log'!D:D,A315,'QA Log'!M:M,"Vignette",'QA Log'!Z:Z,"Rejected",'QA Log'!L:L,"*Vignette [9] Birth Spacing: Change FP method to Injectable*"),
    COUNTIFS('QA Log'!D:D,A315,'QA Log'!M:M,"Vignette",'QA Log'!Z:Z,"Rejected",'QA Log'!L:L,"*Vignette [10] Post Partum Haemorrhage - Atonic Uterus at Health Centre*")
  )
)</f>
        <v/>
      </c>
      <c r="BN315" s="107" t="str">
        <f t="shared" si="37"/>
        <v/>
      </c>
      <c r="BO315" s="103" t="str">
        <f t="shared" si="38"/>
        <v/>
      </c>
      <c r="BP315" s="102" t="str">
        <f>IF(A315="","",SUM(
COUNTIFS('QA Log'!D:D,A315,'QA Log'!M:M,"Vignette",'QA Log'!L:L,"*Exit Interview 1*"),
COUNTIFS('QA Log'!D:D,A315,'QA Log'!M:M,"Vignette",'QA Log'!L:L,"*Exit Interview 2*"),
)
)</f>
        <v/>
      </c>
      <c r="BQ315" s="102" t="str">
        <f>IF(
  A315="","",
  SUM(
    COUNTIFS('QA Log'!D:D,A315,'QA Log'!M:M,"Vignette",'QA Log'!Z:Z,"Approved",'QA Log'!L:L,"*Exit Interview 1*"),
    COUNTIFS('QA Log'!D:D,A315,'QA Log'!M:M,"Vignette",'QA Log'!Z:Z,"Approved",'QA Log'!L:L,"*Exit Interview 2*")
  )
)</f>
        <v/>
      </c>
      <c r="BR315" s="105" t="str">
        <f>IF(A315&lt;&gt;"",COUNTIFS('QA Log'!D:D,A315,'QA Log'!M:M,"Vignette",'QA Log'!L:L,"Exit Interview 1",'QA Log'!Z:Z,"Approved"),"")</f>
        <v/>
      </c>
      <c r="BS315" s="105" t="str">
        <f>IF(A315&lt;&gt;"",COUNTIFS('QA Log'!D:D,A315,'QA Log'!M:M,"Vignette",'QA Log'!L:L,"Exit Interview 2",'QA Log'!Z:Z,"Approved"),"")</f>
        <v/>
      </c>
      <c r="BT315" s="102" t="str">
        <f>IF(
  A315="","",
  SUM(
    COUNTIFS('QA Log'!D:D,A315,'QA Log'!M:M,"Vignette",'QA Log'!Z:Z,"Rejected",'QA Log'!L:L,"*Exit Interview 1*"),
    COUNTIFS('QA Log'!D:D,A315,'QA Log'!M:M,"Vignette",'QA Log'!Z:Z,"Rejected",'QA Log'!L:L,"*Exit Interview 2*")
  )
)</f>
        <v/>
      </c>
      <c r="BU315" s="107" t="str">
        <f t="shared" si="39"/>
        <v/>
      </c>
      <c r="BV315" s="102" t="str">
        <f t="shared" si="40"/>
        <v/>
      </c>
      <c r="BW315" s="102" t="str">
        <f t="shared" si="41"/>
        <v/>
      </c>
      <c r="BX315" s="102" t="str">
        <f t="shared" si="42"/>
        <v/>
      </c>
      <c r="BY315" s="102" t="str">
        <f t="shared" si="43"/>
        <v/>
      </c>
      <c r="BZ315" s="107" t="str">
        <f t="shared" si="44"/>
        <v/>
      </c>
      <c r="CA315" s="108" t="str">
        <f t="shared" si="45"/>
        <v/>
      </c>
      <c r="CB315" s="108" t="str">
        <f t="shared" si="46"/>
        <v/>
      </c>
      <c r="CC315" s="109" t="str">
        <f t="shared" si="47"/>
        <v/>
      </c>
      <c r="CD315" s="108" t="str">
        <f t="shared" si="48"/>
        <v/>
      </c>
      <c r="CE315" s="108" t="str">
        <f t="shared" si="49"/>
        <v/>
      </c>
      <c r="CF315" s="109" t="str">
        <f t="shared" si="50"/>
        <v/>
      </c>
      <c r="CG315" s="110" t="str">
        <f t="shared" si="51"/>
        <v/>
      </c>
      <c r="CH315" s="111"/>
    </row>
    <row r="316" spans="1:86" ht="12.75">
      <c r="A316" s="101"/>
      <c r="B316" s="102" t="e">
        <f t="array" aca="1" ref="B316" ca="1">_xludf.XLOOKUP(A316,'QA Log'!D:D,'QA Log'!E:E,"")</f>
        <v>#NAME?</v>
      </c>
      <c r="C316" s="102" t="e">
        <f t="array" aca="1" ref="C316" ca="1">_xludf.XLOOKUP(A316,'QA Log'!D:D,'QA Log'!F:F,"")</f>
        <v>#NAME?</v>
      </c>
      <c r="D316" s="102" t="e">
        <f t="array" aca="1" ref="D316" ca="1">_xludf.XLOOKUP(A316,'QA Log'!D:D,'QA Log'!H:H,"")</f>
        <v>#NAME?</v>
      </c>
      <c r="E316" s="102" t="e">
        <f t="array" aca="1" ref="E316" ca="1">_xludf.XLOOKUP(A316,'QA Log'!D:D,'QA Log'!G:G,"")</f>
        <v>#NAME?</v>
      </c>
      <c r="F316" s="103"/>
      <c r="G316" s="104"/>
      <c r="H316" s="104"/>
      <c r="I316" s="103" t="str">
        <f t="shared" si="26"/>
        <v/>
      </c>
      <c r="J316" s="102" t="str">
        <f>IF(A316="","",SUM(
COUNTIFS('QA Log'!D:D,A316,'QA Log'!M:M,"QQC",'QA Log'!L:L,"*1. General Management*"),
COUNTIFS('QA Log'!D:D,A316,'QA Log'!M:M,"QQC",'QA Log'!L:L,"*3. Curative Consultation (OPD)*"),
COUNTIFS('QA Log'!D:D,A316,'QA Log'!M:M,"QQC",'QA Log'!L:L,"*5. Laboratory*"),
COUNTIFS('QA Log'!D:D,A316,'QA Log'!M:M,"QQC",'QA Log'!L:L,"*6. Essential Medicine Management*"),
COUNTIFS('QA Log'!D:D,A316,'QA Log'!M:M,"QQC",'QA Log'!L:L,"*7. Tracer Medicine*"),
COUNTIFS('QA Log'!D:D,A316,'QA Log'!M:M,"QQC",'QA Log'!L:L,"*11. Additional Questions*")))</f>
        <v/>
      </c>
      <c r="K316" s="102" t="str">
        <f>IF(A316="","",SUM(
COUNTIFS('QA Log'!D:D,A316,'QA Log'!M:M,"QQC",'QA Log'!Z:Z,"Approved",'QA Log'!L:L,"*1. General Management*"),
COUNTIFS('QA Log'!D:D,A316,'QA Log'!M:M,"QQC",'QA Log'!Z:Z,"Approved",'QA Log'!L:L,"*3. Curative Consultation (OPD)*"),
COUNTIFS('QA Log'!D:D,A316,'QA Log'!M:M,"QQC",'QA Log'!Z:Z,"Approved",'QA Log'!L:L,"*5. Laboratory*"),
COUNTIFS('QA Log'!D:D,A316,'QA Log'!M:M,"QQC",'QA Log'!Z:Z,"Approved",'QA Log'!L:L,"*6. Essential Medicine Management*"),
COUNTIFS('QA Log'!D:D,A316,'QA Log'!M:M,"QQC",'QA Log'!Z:Z,"Approved",'QA Log'!L:L,"*7. Tracer Medicine*"),
COUNTIFS('QA Log'!D:D,A316,'QA Log'!M:M,"QQC",'QA Log'!Z:Z,"Approved",'QA Log'!L:L,"*11. Additional Questions*")))</f>
        <v/>
      </c>
      <c r="L316" s="105" t="str">
        <f>IF(A316&lt;&gt;"",COUNTIFS('QA Log'!D:D,A316,'QA Log'!M:M,"QQC",'QA Log'!L:L,"1. General Management",'QA Log'!Z:Z,"Approved"),"")</f>
        <v/>
      </c>
      <c r="M316" s="105" t="str">
        <f>IF(A316&lt;&gt;"",COUNTIFS('QA Log'!D:D,A316,'QA Log'!M:M,"QQC",'QA Log'!L:L,"3. Curative Consultation (OPD)",'QA Log'!Z:Z,"Approved"),"")</f>
        <v/>
      </c>
      <c r="N316" s="105" t="str">
        <f>IF(A316&lt;&gt;"",COUNTIFS('QA Log'!D:D,A316,'QA Log'!M:M,"QQC",'QA Log'!L:L,"5. Laboratory",'QA Log'!Z:Z,"Approved"),"")</f>
        <v/>
      </c>
      <c r="O316" s="105" t="str">
        <f>IF(A316&lt;&gt;"",COUNTIFS('QA Log'!D:D,A316,'QA Log'!M:M,"QQC",'QA Log'!L:L,"6. Essential Medicine Management",'QA Log'!Z:Z,"Approved"),"")</f>
        <v/>
      </c>
      <c r="P316" s="105" t="str">
        <f>IF(A316&lt;&gt;"",COUNTIFS('QA Log'!D:D,A316,'QA Log'!M:M,"QQC",'QA Log'!L:L,"7. Tracer Medicine",'QA Log'!Z:Z,"Approved"),"")</f>
        <v/>
      </c>
      <c r="Q316" s="105" t="str">
        <f>IF(A316&lt;&gt;"",COUNTIFS('QA Log'!D:D,A316,'QA Log'!M:M,"QQC",'QA Log'!L:L,"11. Additional Questions",'QA Log'!Z:Z,"Approved"),"")</f>
        <v/>
      </c>
      <c r="R316" s="102" t="str">
        <f>IF(A316="","",SUM(
COUNTIFS('QA Log'!D:D,A316,'QA Log'!M:M,"QQC",'QA Log'!Z:Z,"Rejected",'QA Log'!L:L,"*8. Maternity*"),
COUNTIFS('QA Log'!D:D,A316,'QA Log'!M:M,"QQC",'QA Log'!Z:Z,"Rejected",'QA Log'!L:L,"*EPI*"),
COUNTIFS('QA Log'!D:D,A316,'QA Log'!M:M,"QQC",'QA Log'!Z:Z,"Rejected",'QA Log'!L:L,"*10. Antenatal Care (ANC)*"),
COUNTIFS('QA Log'!D:D,A316,'QA Log'!M:M,"QQC",'QA Log'!Z:Z,"Rejected",'QA Log'!L:L,"*2. Hygiene and Sterilization*"),
COUNTIFS('QA Log'!D:D,A316,'QA Log'!M:M,"QQC",'QA Log'!Z:Z,"Rejected",'QA Log'!L:L,"*Family Planning*")))</f>
        <v/>
      </c>
      <c r="S316" s="106" t="str">
        <f t="shared" si="27"/>
        <v/>
      </c>
      <c r="T316" s="102" t="str">
        <f t="shared" si="28"/>
        <v/>
      </c>
      <c r="U316" s="102" t="str">
        <f>IF(A316="","",
SUM(
COUNTIFS('QA Log'!D:D,A316,'QA Log'!M:M,"QQC",'QA Log'!L:L,"*8. Maternity*"),
COUNTIFS('QA Log'!D:D,A316,'QA Log'!M:M,"QQC",'QA Log'!L:L,"*9. EPI and Pre-school Consultation*"),
COUNTIFS('QA Log'!D:D,A316,'QA Log'!M:M,"QQC",'QA Log'!L:L,"*10. Antenatal Care (ANC)*"),
COUNTIFS('QA Log'!D:D,A316,'QA Log'!M:M,"QQC",'QA Log'!L:L,"*2. Hygiene and Sterilization*"),
COUNTIFS('QA Log'!D:D,A316,'QA Log'!M:M,"QQC",'QA Log'!L:L,"*4. Family Planning*")
))</f>
        <v/>
      </c>
      <c r="V316" s="102" t="str">
        <f>IF(A316="","",
SUM(
COUNTIFS('QA Log'!D:D,A316,'QA Log'!M:M,"QQC",'QA Log'!Z:Z,"Approved",'QA Log'!L:L,"*8. Maternity*"),
COUNTIFS('QA Log'!D:D,A316,'QA Log'!M:M,"QQC",'QA Log'!Z:Z,"Approved",'QA Log'!L:L,"*9. EPI and Pre-school Consultation*"),
COUNTIFS('QA Log'!D:D,A316,'QA Log'!M:M,"QQC",'QA Log'!Z:Z,"Approved",'QA Log'!L:L,"*10. Antenatal Care (ANC)*"),
COUNTIFS('QA Log'!D:D,A316,'QA Log'!M:M,"QQC",'QA Log'!Z:Z,"Approved",'QA Log'!L:L,"*2. Hygiene and Sterilization*"),
COUNTIFS('QA Log'!D:D,A316,'QA Log'!M:M,"QQC",'QA Log'!Z:Z,"Approved",'QA Log'!L:L,"*4. Family Planning*")
))</f>
        <v/>
      </c>
      <c r="W316" s="105" t="str">
        <f>IF(A316&lt;&gt;"",COUNTIFS('QA Log'!D:D,A316,'QA Log'!M:M,"QQC",'QA Log'!L:L,"8. Maternity",'QA Log'!Z:Z,"Approved"),"")</f>
        <v/>
      </c>
      <c r="X316" s="105" t="str">
        <f>IF(A316&lt;&gt;"",COUNTIFS('QA Log'!D:D,A316,'QA Log'!M:M,"QQC",'QA Log'!L:L,"9. EPI and Pre-school Consultation",'QA Log'!Z:Z,"Approved"),"")</f>
        <v/>
      </c>
      <c r="Y316" s="105" t="str">
        <f>IF(A316&lt;&gt;"",COUNTIFS('QA Log'!D:D,A316,'QA Log'!M:M,"QQC",'QA Log'!L:L,"10. Antenatal Care (ANC)",'QA Log'!Z:Z,"Approved"),"")</f>
        <v/>
      </c>
      <c r="Z316" s="105" t="str">
        <f>IF(A316&lt;&gt;"",COUNTIFS('QA Log'!D:D,A316,'QA Log'!M:M,"QQC",'QA Log'!L:L,"2. Hygiene and Sterilization",'QA Log'!Z:Z,"Approved"),"")</f>
        <v/>
      </c>
      <c r="AA316" s="105" t="str">
        <f>IF(A316&lt;&gt;"",COUNTIFS('QA Log'!D:D,A316,'QA Log'!M:M,"QQC",'QA Log'!L:L,"4. Family Planning",'QA Log'!Z:Z,"Approved"),"")</f>
        <v/>
      </c>
      <c r="AB316" s="102" t="str">
        <f>IF(A316="","",
SUM(
COUNTIFS('QA Log'!D:D,A316,'QA Log'!M:M,"QQC",'QA Log'!Z:Z,"Rejected",'QA Log'!L:L,"*8. Maternity*"),
COUNTIFS('QA Log'!D:D,A316,'QA Log'!M:M,"QQC",'QA Log'!Z:Z,"Rejected",'QA Log'!L:L,"*9. EPI and Pre-school Consultation*"),
COUNTIFS('QA Log'!D:D,A316,'QA Log'!M:M,"QQC",'QA Log'!Z:Z,"Rejected",'QA Log'!L:L,"*10. Antenatal Care (ANC)*"),
COUNTIFS('QA Log'!D:D,A316,'QA Log'!M:M,"QQC",'QA Log'!Z:Z,"Rejected",'QA Log'!L:L,"*2. Hygiene and Sterilization*"),
COUNTIFS('QA Log'!D:D,A316,'QA Log'!M:M,"QQC",'QA Log'!Z:Z,"Rejected",'QA Log'!L:L,"*4. Family Planning*")
))</f>
        <v/>
      </c>
      <c r="AC316" s="102" t="str">
        <f t="shared" si="29"/>
        <v/>
      </c>
      <c r="AD316" s="103" t="str">
        <f t="shared" si="30"/>
        <v/>
      </c>
      <c r="AE316" s="102" t="str">
        <f>IF(A316="","",
SUM(
COUNTIFS('QA Log'!D:D,A316,'QA Log'!M:M,"Data Verification",'QA Log'!L:L,"*Medicine (section 2)*"),
COUNTIFS('QA Log'!D:D,A316,'QA Log'!M:M,"Data Verification",'QA Log'!L:L,"*Lab Testing Availability*"),
COUNTIFS('QA Log'!D:D,A316,'QA Log'!M:M,"Data Verification",'QA Log'!L:L,"*Other than P4P (section 6)*"),
COUNTIFS('QA Log'!D:D,A316,'QA Log'!M:M,"Data Verification",'QA Log'!L:L,"*Hospital Governance*")
))</f>
        <v/>
      </c>
      <c r="AF316" s="102" t="str">
        <f>IF(A316="","",
SUM(
COUNTIFS('QA Log'!D:D,A316,'QA Log'!M:M,"Data Verification",'QA Log'!Z:Z,"Approved",'QA Log'!L:L,"*Medicine (section 2)*"),
COUNTIFS('QA Log'!D:D,A316,'QA Log'!M:M,"Data Verification",'QA Log'!Z:Z,"Approved",'QA Log'!L:L,"*Lab Testing Availability*"),
COUNTIFS('QA Log'!D:D,A316,'QA Log'!M:M,"Data Verification",'QA Log'!Z:Z,"Approved",'QA Log'!L:L,"*Other than P4P (section 6)*"),
COUNTIFS('QA Log'!D:D,A316,'QA Log'!M:M,"Data Verification",'QA Log'!Z:Z,"Approved",'QA Log'!L:L,"*Hospital Governance*")
))</f>
        <v/>
      </c>
      <c r="AG316" s="105" t="str">
        <f>IF(A316&lt;&gt;"",COUNTIFS('QA Log'!D:D,A316,'QA Log'!M:M,"Data Verification",'QA Log'!L:L,"Medicine (section 2)",'QA Log'!Z:Z,"Approved"),"")</f>
        <v/>
      </c>
      <c r="AH316" s="105" t="str">
        <f>IF(A316&lt;&gt;"",COUNTIFS('QA Log'!D:D,A316,'QA Log'!M:M,"Data Verification",'QA Log'!L:L,"Lab Testing Availability",'QA Log'!Z:Z,"Approved"),"")</f>
        <v/>
      </c>
      <c r="AI316" s="105" t="str">
        <f>IF(A316&lt;&gt;"",COUNTIFS('QA Log'!D:D,A316,'QA Log'!M:M,"Data Verification",'QA Log'!L:L,"Other than P4P (section 6)",'QA Log'!Z:Z,"Approved"),"")</f>
        <v/>
      </c>
      <c r="AJ316" s="105" t="str">
        <f>IF(A316&lt;&gt;"",COUNTIFS('QA Log'!D:D,A316,'QA Log'!M:M,"Data Verification",'QA Log'!L:L,"Hospital Governance",'QA Log'!Z:Z,"Approved"),"")</f>
        <v/>
      </c>
      <c r="AK316" s="102" t="str">
        <f>IF(A316="","",
SUM(
COUNTIFS('QA Log'!D:D,A316,'QA Log'!M:M,"Data Verification",'QA Log'!Z:Z,"Rejected",'QA Log'!L:L,"*Medicine (section 2)*"),
COUNTIFS('QA Log'!D:D,A316,'QA Log'!M:M,"Data Verification",'QA Log'!Z:Z,"Rejected",'QA Log'!L:L,"*Lab Testing Availability*"),
COUNTIFS('QA Log'!D:D,A316,'QA Log'!M:M,"Data Verification",'QA Log'!Z:Z,"Rejected",'QA Log'!L:L,"*Other than P4P (section 6)*"),
COUNTIFS('QA Log'!D:D,A316,'QA Log'!M:M,"Data Verification",'QA Log'!Z:Z,"Rejected",'QA Log'!L:L,"*Hospital Governance*")
))</f>
        <v/>
      </c>
      <c r="AL316" s="106" t="str">
        <f t="shared" si="31"/>
        <v/>
      </c>
      <c r="AM316" s="102" t="str">
        <f t="shared" si="32"/>
        <v/>
      </c>
      <c r="AN316" s="102" t="str">
        <f>IF(A316="","",
SUM(
COUNTIFS('QA Log'!D:D,A316,'QA Log'!M:M,"Data Verification",'QA Log'!L:L,"*Personnel (section 1)*"),
COUNTIFS('QA Log'!D:D,A316,'QA Log'!M:M,"Data Verification",'QA Log'!L:L,"*Consumable (section 3)*"),
COUNTIFS('QA Log'!D:D,A316,'QA Log'!M:M,"Data Verification",'QA Log'!L:L,"*Equipments (section 4)*")
))</f>
        <v/>
      </c>
      <c r="AO316" s="102" t="str">
        <f>IF(A316="","",
SUM(
COUNTIFS('QA Log'!D:D,A316,'QA Log'!M:M,"Data Verification",'QA Log'!Z:Z,"Approved",'QA Log'!L:L,"*Personnel (section 1)*"),
COUNTIFS('QA Log'!D:D,A316,'QA Log'!M:M,"Data Verification",'QA Log'!Z:Z,"Approved",'QA Log'!L:L,"*Consumable (section 3)*"),
COUNTIFS('QA Log'!D:D,A316,'QA Log'!M:M,"Data Verification",'QA Log'!Z:Z,"Approved",'QA Log'!L:L,"*Equipments (section 4)*")
))</f>
        <v/>
      </c>
      <c r="AP316" s="105" t="str">
        <f>IF(A316&lt;&gt;"",COUNTIFS('QA Log'!D:D,A316,'QA Log'!M:M,"Data Verification",'QA Log'!L:L,"Personnel (section 1)",'QA Log'!Z:Z,"Approved"),"")</f>
        <v/>
      </c>
      <c r="AQ316" s="105" t="str">
        <f>IF(A316&lt;&gt;"",COUNTIFS('QA Log'!D:D,A316,'QA Log'!M:M,"Data Verification",'QA Log'!L:L,"Consumable (section 3)",'QA Log'!Z:Z,"Approved"),"")</f>
        <v/>
      </c>
      <c r="AR316" s="105" t="str">
        <f>IF(A316&lt;&gt;"",COUNTIFS('QA Log'!D:D,A316,'QA Log'!M:M,"Data Verification",'QA Log'!L:L,"Equipments (section 4)",'QA Log'!Z:Z,"Approved"),"")</f>
        <v/>
      </c>
      <c r="AS316" s="102" t="str">
        <f>IF(A316="","",
SUM(
COUNTIFS('QA Log'!D:D,A316,'QA Log'!M:M,"Data Verification",'QA Log'!Z:Z,"Rejected",'QA Log'!L:L,"*Personnel (section 1)*"),
COUNTIFS('QA Log'!D:D,A316,'QA Log'!M:M,"Data Verification",'QA Log'!Z:Z,"Rejected",'QA Log'!L:L,"*Consumable (section 3)*"),
COUNTIFS('QA Log'!D:D,A316,'QA Log'!M:M,"Data Verification",'QA Log'!Z:Z,"Rejected",'QA Log'!L:L,"*Equipments (section 4)*")
))</f>
        <v/>
      </c>
      <c r="AT316" s="102" t="str">
        <f t="shared" si="33"/>
        <v/>
      </c>
      <c r="AU316" s="103" t="str">
        <f t="shared" si="34"/>
        <v/>
      </c>
      <c r="AV316" s="102" t="str">
        <f>IF(A316="","",SUM(
COUNTIFS('QA Log'!D:D,A316,'QA Log'!M:M,"Vignette",'QA Log'!L:L,"*Vignette [1] Respiratory Infection: Pneumonia*"),
COUNTIFS('QA Log'!D:D,A316,'QA Log'!M:M,"Vignette",'QA Log'!L:L,"*Vignette [2]: Diarrhea with Cat B dehydration*"),
COUNTIFS('QA Log'!D:D,A316,'QA Log'!M:M,"Vignette",'QA Log'!L:L,"*Vignette [3] Growth Monitoring and Promotion*"),
COUNTIFS('QA Log'!D:D,A316,'QA Log'!M:M,"Vignette",'QA Log'!L:L,"*Vignette [4]: The management of presumptive TB patient*")
)
)</f>
        <v/>
      </c>
      <c r="AW316" s="102" t="str">
        <f>IF(
  A316="","",
  SUM(
    COUNTIFS('QA Log'!D:D,A316,'QA Log'!M:M,"Vignette",'QA Log'!Z:Z,"Approved",'QA Log'!L:L,"*Vignette [1] Respiratory Infection: Pneumonia*"),
    COUNTIFS('QA Log'!D:D,A316,'QA Log'!M:M,"Vignette",'QA Log'!Z:Z,"Approved",'QA Log'!L:L,"*Vignette [2]: Diarrhea with Cat B dehydration*"),
    COUNTIFS('QA Log'!D:D,A316,'QA Log'!M:M,"Vignette",'QA Log'!Z:Z,"Approved",'QA Log'!L:L,"*Vignette [3] Growth Monitoring and Promotion*"),
    COUNTIFS('QA Log'!D:D,A316,'QA Log'!M:M,"Vignette",'QA Log'!Z:Z,"Approved",'QA Log'!L:L,"*Vignette [4]: The management of presumptive TB patient*")
  )
)</f>
        <v/>
      </c>
      <c r="AX316" s="105" t="str">
        <f>IF(A316&lt;&gt;"",COUNTIFS('QA Log'!D:D,A316,'QA Log'!M:M,"Vignette",'QA Log'!L:L,"Vignette [1] Respiratory Infection: Pneumonia",'QA Log'!Z:Z,"Approved"),"")</f>
        <v/>
      </c>
      <c r="AY316" s="105" t="str">
        <f>IF(A316&lt;&gt;"",COUNTIFS('QA Log'!D:D,A316,'QA Log'!M:M,"Vignette",'QA Log'!L:L,"Vignette [2]: Diarrhea with Cat B dehydration",'QA Log'!Z:Z,"Approved"),"")</f>
        <v/>
      </c>
      <c r="AZ316" s="105" t="str">
        <f>IF(A316&lt;&gt;"",COUNTIFS('QA Log'!D:D,A316,'QA Log'!M:M,"Vignette",'QA Log'!L:L,"Vignette [3] Growth Monitoring and Promotion",'QA Log'!Z:Z,"Approved"),"")</f>
        <v/>
      </c>
      <c r="BA316" s="105" t="str">
        <f>IF(A316&lt;&gt;"",COUNTIFS('QA Log'!D:D,A316,'QA Log'!M:M,"Vignette",'QA Log'!L:L,"Vignette [4]: The management of presumptive TB patient",'QA Log'!Z:Z,"Approved"),"")</f>
        <v/>
      </c>
      <c r="BB316" s="102" t="str">
        <f>IF(A316="","",
  SUM(
    COUNTIFS('QA Log'!D:D,A316,'QA Log'!M:M,"Vignette",'QA Log'!Z:Z,"Rejected",'QA Log'!L:L,"*Vignette [1] Respiratory Infection: Pneumonia*"),
    COUNTIFS('QA Log'!D:D,A316,'QA Log'!M:M,"Vignette",'QA Log'!Z:Z,"Rejected",'QA Log'!L:L,"*Vignette [2]: Diarrhea with Cat B dehydration*"),
    COUNTIFS('QA Log'!D:D,A316,'QA Log'!M:M,"Vignette",'QA Log'!Z:Z,"Rejected",'QA Log'!L:L,"*Vignette [3] Growth Monitoring and Promotion*"),
    COUNTIFS('QA Log'!D:D,A316,'QA Log'!M:M,"Vignette",'QA Log'!Z:Z,"Rejected",'QA Log'!L:L,"*Vignette [4]: The management of presumptive TB patient*")
  )
)</f>
        <v/>
      </c>
      <c r="BC316" s="107" t="str">
        <f t="shared" si="35"/>
        <v/>
      </c>
      <c r="BD316" s="103" t="str">
        <f t="shared" si="36"/>
        <v/>
      </c>
      <c r="BE316" s="102" t="str">
        <f>IF(A316="","",SUM(
COUNTIFS('QA Log'!D:D,A316,'QA Log'!M:M,"Vignette",'QA Log'!L:L,"*Vignette [5] Labor*"),
COUNTIFS('QA Log'!D:D,A316,'QA Log'!M:M,"Vignette",'QA Log'!L:L,"*Vignette [6] PNC pre Discharge*"),
COUNTIFS('QA Log'!D:D,A316,'QA Log'!M:M,"Vignette",'QA Log'!L:L,"*Vignette [7] First ANC Visit*"),
COUNTIFS('QA Log'!D:D,A316,'QA Log'!M:M,"Vignette",'QA Log'!L:L,"*Vignette [8] Birth Spacing/ Family Planning :  FP Counselling*"),
COUNTIFS('QA Log'!D:D,A316,'QA Log'!M:M,"Vignette",'QA Log'!L:L,"*Vignette [9] Birth Spacing: Change FP method to Injectable*"),
COUNTIFS('QA Log'!D:D,A316,'QA Log'!M:M,"Vignette",'QA Log'!L:L,"*Vignette [10] Post Partum Haemorrhage - Atonic Uterus at Health Centre*"),
)
)</f>
        <v/>
      </c>
      <c r="BF316" s="102" t="str">
        <f>IF(A316="","",
  SUM(
    COUNTIFS('QA Log'!D:D,A316,'QA Log'!M:M,"Vignette",'QA Log'!Z:Z,"Approved",'QA Log'!L:L,"*Vignette [5] Labor*"),
    COUNTIFS('QA Log'!D:D,A316,'QA Log'!M:M,"Vignette",'QA Log'!Z:Z,"Approved",'QA Log'!L:L,"*Vignette [6] PNC pre Discharge*"),
    COUNTIFS('QA Log'!D:D,A316,'QA Log'!M:M,"Vignette",'QA Log'!Z:Z,"Approved",'QA Log'!L:L,"*Vignette [7] First ANC Visit*"),
    COUNTIFS('QA Log'!D:D,A316,'QA Log'!M:M,"Vignette",'QA Log'!Z:Z,"Approved",'QA Log'!L:L,"*Vignette [8] Birth Spacing/ Family Planning :  FP Counselling*"),
    COUNTIFS('QA Log'!D:D,A316,'QA Log'!M:M,"Vignette",'QA Log'!Z:Z,"Approved",'QA Log'!L:L,"*Vignette [9] Birth Spacing: Change FP method to Injectable*"),
    COUNTIFS('QA Log'!D:D,A316,'QA Log'!M:M,"Vignette",'QA Log'!Z:Z,"Approved",'QA Log'!L:L,"*Vignette [10] Post Partum Haemorrhage - Atonic Uterus at Health Centre*")
  )
)</f>
        <v/>
      </c>
      <c r="BG316" s="105" t="str">
        <f>IF(A316&lt;&gt;"",COUNTIFS('QA Log'!D:D,A316,'QA Log'!M:M,"Vignette",'QA Log'!L:L,"Vignette [5] Labor",'QA Log'!Z:Z,"Approved"),"")</f>
        <v/>
      </c>
      <c r="BH316" s="105" t="str">
        <f>IF(A316&lt;&gt;"",COUNTIFS('QA Log'!D:D,A316,'QA Log'!M:M,"Vignette",'QA Log'!L:L,"Vignette [6] PNC pre Discharge",'QA Log'!Z:Z,"Approved"),"")</f>
        <v/>
      </c>
      <c r="BI316" s="105" t="str">
        <f>IF(A316&lt;&gt;"",COUNTIFS('QA Log'!D:D,A316,'QA Log'!M:M,"Vignette",'QA Log'!L:L,"Vignette [7] First ANC Visit",'QA Log'!Z:Z,"Approved"),"")</f>
        <v/>
      </c>
      <c r="BJ316" s="105" t="str">
        <f>IF(A316&lt;&gt;"",COUNTIFS('QA Log'!D:D,A316,'QA Log'!M:M,"Vignette",'QA Log'!L:L,"Vignette [8] Birth Spacing/ Family Planning :  FP Counselling",'QA Log'!Z:Z,"Approved"),"")</f>
        <v/>
      </c>
      <c r="BK316" s="105" t="str">
        <f>IF(A316&lt;&gt;"",COUNTIFS('QA Log'!D:D,A316,'QA Log'!M:M,"Vignette",'QA Log'!L:L,"Vignette [9] Birth Spacing: Change FP method to Injectable",'QA Log'!Z:Z,"Approved"),"")</f>
        <v/>
      </c>
      <c r="BL316" s="105" t="str">
        <f>IF(A316&lt;&gt;"",COUNTIFS('QA Log'!D:D,A316,'QA Log'!M:M,"Vignette",'QA Log'!L:L,"Vignette [10] Post Partum Haemorrhage - Atonic Uterus at Health Centre",'QA Log'!Z:Z,"Approved"),"")</f>
        <v/>
      </c>
      <c r="BM316" s="102" t="str">
        <f>IF(A316="","",SUM(
    COUNTIFS('QA Log'!D:D,A316,'QA Log'!M:M,"Vignette",'QA Log'!Z:Z,"Rejected",'QA Log'!L:L,"*Vignette [5] Labor*"),
    COUNTIFS('QA Log'!D:D,A316,'QA Log'!M:M,"Vignette",'QA Log'!Z:Z,"Rejected",'QA Log'!L:L,"*Vignette [6] PNC pre Discharge*"),
    COUNTIFS('QA Log'!D:D,A316,'QA Log'!M:M,"Vignette",'QA Log'!Z:Z,"Rejected",'QA Log'!L:L,"*Vignette [7] First ANC Visit*"),
    COUNTIFS('QA Log'!D:D,A316,'QA Log'!M:M,"Vignette",'QA Log'!Z:Z,"Rejected",'QA Log'!L:L,"*Vignette [8] Birth Spacing/ Family Planning :  FP Counselling*"),
    COUNTIFS('QA Log'!D:D,A316,'QA Log'!M:M,"Vignette",'QA Log'!Z:Z,"Rejected",'QA Log'!L:L,"*Vignette [9] Birth Spacing: Change FP method to Injectable*"),
    COUNTIFS('QA Log'!D:D,A316,'QA Log'!M:M,"Vignette",'QA Log'!Z:Z,"Rejected",'QA Log'!L:L,"*Vignette [10] Post Partum Haemorrhage - Atonic Uterus at Health Centre*")
  )
)</f>
        <v/>
      </c>
      <c r="BN316" s="107" t="str">
        <f t="shared" si="37"/>
        <v/>
      </c>
      <c r="BO316" s="103" t="str">
        <f t="shared" si="38"/>
        <v/>
      </c>
      <c r="BP316" s="102" t="str">
        <f>IF(A316="","",SUM(
COUNTIFS('QA Log'!D:D,A316,'QA Log'!M:M,"Vignette",'QA Log'!L:L,"*Exit Interview 1*"),
COUNTIFS('QA Log'!D:D,A316,'QA Log'!M:M,"Vignette",'QA Log'!L:L,"*Exit Interview 2*"),
)
)</f>
        <v/>
      </c>
      <c r="BQ316" s="102" t="str">
        <f>IF(
  A316="","",
  SUM(
    COUNTIFS('QA Log'!D:D,A316,'QA Log'!M:M,"Vignette",'QA Log'!Z:Z,"Approved",'QA Log'!L:L,"*Exit Interview 1*"),
    COUNTIFS('QA Log'!D:D,A316,'QA Log'!M:M,"Vignette",'QA Log'!Z:Z,"Approved",'QA Log'!L:L,"*Exit Interview 2*")
  )
)</f>
        <v/>
      </c>
      <c r="BR316" s="105" t="str">
        <f>IF(A316&lt;&gt;"",COUNTIFS('QA Log'!D:D,A316,'QA Log'!M:M,"Vignette",'QA Log'!L:L,"Exit Interview 1",'QA Log'!Z:Z,"Approved"),"")</f>
        <v/>
      </c>
      <c r="BS316" s="105" t="str">
        <f>IF(A316&lt;&gt;"",COUNTIFS('QA Log'!D:D,A316,'QA Log'!M:M,"Vignette",'QA Log'!L:L,"Exit Interview 2",'QA Log'!Z:Z,"Approved"),"")</f>
        <v/>
      </c>
      <c r="BT316" s="102" t="str">
        <f>IF(
  A316="","",
  SUM(
    COUNTIFS('QA Log'!D:D,A316,'QA Log'!M:M,"Vignette",'QA Log'!Z:Z,"Rejected",'QA Log'!L:L,"*Exit Interview 1*"),
    COUNTIFS('QA Log'!D:D,A316,'QA Log'!M:M,"Vignette",'QA Log'!Z:Z,"Rejected",'QA Log'!L:L,"*Exit Interview 2*")
  )
)</f>
        <v/>
      </c>
      <c r="BU316" s="107" t="str">
        <f t="shared" si="39"/>
        <v/>
      </c>
      <c r="BV316" s="102" t="str">
        <f t="shared" si="40"/>
        <v/>
      </c>
      <c r="BW316" s="102" t="str">
        <f t="shared" si="41"/>
        <v/>
      </c>
      <c r="BX316" s="102" t="str">
        <f t="shared" si="42"/>
        <v/>
      </c>
      <c r="BY316" s="102" t="str">
        <f t="shared" si="43"/>
        <v/>
      </c>
      <c r="BZ316" s="107" t="str">
        <f t="shared" si="44"/>
        <v/>
      </c>
      <c r="CA316" s="108" t="str">
        <f t="shared" si="45"/>
        <v/>
      </c>
      <c r="CB316" s="108" t="str">
        <f t="shared" si="46"/>
        <v/>
      </c>
      <c r="CC316" s="109" t="str">
        <f t="shared" si="47"/>
        <v/>
      </c>
      <c r="CD316" s="108" t="str">
        <f t="shared" si="48"/>
        <v/>
      </c>
      <c r="CE316" s="108" t="str">
        <f t="shared" si="49"/>
        <v/>
      </c>
      <c r="CF316" s="109" t="str">
        <f t="shared" si="50"/>
        <v/>
      </c>
      <c r="CG316" s="110" t="str">
        <f t="shared" si="51"/>
        <v/>
      </c>
      <c r="CH316" s="111"/>
    </row>
    <row r="317" spans="1:86" ht="12.75">
      <c r="A317" s="101"/>
      <c r="B317" s="102" t="e">
        <f t="array" aca="1" ref="B317" ca="1">_xludf.XLOOKUP(A317,'QA Log'!D:D,'QA Log'!E:E,"")</f>
        <v>#NAME?</v>
      </c>
      <c r="C317" s="102" t="e">
        <f t="array" aca="1" ref="C317" ca="1">_xludf.XLOOKUP(A317,'QA Log'!D:D,'QA Log'!F:F,"")</f>
        <v>#NAME?</v>
      </c>
      <c r="D317" s="102" t="e">
        <f t="array" aca="1" ref="D317" ca="1">_xludf.XLOOKUP(A317,'QA Log'!D:D,'QA Log'!H:H,"")</f>
        <v>#NAME?</v>
      </c>
      <c r="E317" s="102" t="e">
        <f t="array" aca="1" ref="E317" ca="1">_xludf.XLOOKUP(A317,'QA Log'!D:D,'QA Log'!G:G,"")</f>
        <v>#NAME?</v>
      </c>
      <c r="F317" s="103"/>
      <c r="G317" s="104"/>
      <c r="H317" s="104"/>
      <c r="I317" s="103" t="str">
        <f t="shared" si="26"/>
        <v/>
      </c>
      <c r="J317" s="102" t="str">
        <f>IF(A317="","",SUM(
COUNTIFS('QA Log'!D:D,A317,'QA Log'!M:M,"QQC",'QA Log'!L:L,"*1. General Management*"),
COUNTIFS('QA Log'!D:D,A317,'QA Log'!M:M,"QQC",'QA Log'!L:L,"*3. Curative Consultation (OPD)*"),
COUNTIFS('QA Log'!D:D,A317,'QA Log'!M:M,"QQC",'QA Log'!L:L,"*5. Laboratory*"),
COUNTIFS('QA Log'!D:D,A317,'QA Log'!M:M,"QQC",'QA Log'!L:L,"*6. Essential Medicine Management*"),
COUNTIFS('QA Log'!D:D,A317,'QA Log'!M:M,"QQC",'QA Log'!L:L,"*7. Tracer Medicine*"),
COUNTIFS('QA Log'!D:D,A317,'QA Log'!M:M,"QQC",'QA Log'!L:L,"*11. Additional Questions*")))</f>
        <v/>
      </c>
      <c r="K317" s="102" t="str">
        <f>IF(A317="","",SUM(
COUNTIFS('QA Log'!D:D,A317,'QA Log'!M:M,"QQC",'QA Log'!Z:Z,"Approved",'QA Log'!L:L,"*1. General Management*"),
COUNTIFS('QA Log'!D:D,A317,'QA Log'!M:M,"QQC",'QA Log'!Z:Z,"Approved",'QA Log'!L:L,"*3. Curative Consultation (OPD)*"),
COUNTIFS('QA Log'!D:D,A317,'QA Log'!M:M,"QQC",'QA Log'!Z:Z,"Approved",'QA Log'!L:L,"*5. Laboratory*"),
COUNTIFS('QA Log'!D:D,A317,'QA Log'!M:M,"QQC",'QA Log'!Z:Z,"Approved",'QA Log'!L:L,"*6. Essential Medicine Management*"),
COUNTIFS('QA Log'!D:D,A317,'QA Log'!M:M,"QQC",'QA Log'!Z:Z,"Approved",'QA Log'!L:L,"*7. Tracer Medicine*"),
COUNTIFS('QA Log'!D:D,A317,'QA Log'!M:M,"QQC",'QA Log'!Z:Z,"Approved",'QA Log'!L:L,"*11. Additional Questions*")))</f>
        <v/>
      </c>
      <c r="L317" s="105" t="str">
        <f>IF(A317&lt;&gt;"",COUNTIFS('QA Log'!D:D,A317,'QA Log'!M:M,"QQC",'QA Log'!L:L,"1. General Management",'QA Log'!Z:Z,"Approved"),"")</f>
        <v/>
      </c>
      <c r="M317" s="105" t="str">
        <f>IF(A317&lt;&gt;"",COUNTIFS('QA Log'!D:D,A317,'QA Log'!M:M,"QQC",'QA Log'!L:L,"3. Curative Consultation (OPD)",'QA Log'!Z:Z,"Approved"),"")</f>
        <v/>
      </c>
      <c r="N317" s="105" t="str">
        <f>IF(A317&lt;&gt;"",COUNTIFS('QA Log'!D:D,A317,'QA Log'!M:M,"QQC",'QA Log'!L:L,"5. Laboratory",'QA Log'!Z:Z,"Approved"),"")</f>
        <v/>
      </c>
      <c r="O317" s="105" t="str">
        <f>IF(A317&lt;&gt;"",COUNTIFS('QA Log'!D:D,A317,'QA Log'!M:M,"QQC",'QA Log'!L:L,"6. Essential Medicine Management",'QA Log'!Z:Z,"Approved"),"")</f>
        <v/>
      </c>
      <c r="P317" s="105" t="str">
        <f>IF(A317&lt;&gt;"",COUNTIFS('QA Log'!D:D,A317,'QA Log'!M:M,"QQC",'QA Log'!L:L,"7. Tracer Medicine",'QA Log'!Z:Z,"Approved"),"")</f>
        <v/>
      </c>
      <c r="Q317" s="105" t="str">
        <f>IF(A317&lt;&gt;"",COUNTIFS('QA Log'!D:D,A317,'QA Log'!M:M,"QQC",'QA Log'!L:L,"11. Additional Questions",'QA Log'!Z:Z,"Approved"),"")</f>
        <v/>
      </c>
      <c r="R317" s="102" t="str">
        <f>IF(A317="","",SUM(
COUNTIFS('QA Log'!D:D,A317,'QA Log'!M:M,"QQC",'QA Log'!Z:Z,"Rejected",'QA Log'!L:L,"*8. Maternity*"),
COUNTIFS('QA Log'!D:D,A317,'QA Log'!M:M,"QQC",'QA Log'!Z:Z,"Rejected",'QA Log'!L:L,"*EPI*"),
COUNTIFS('QA Log'!D:D,A317,'QA Log'!M:M,"QQC",'QA Log'!Z:Z,"Rejected",'QA Log'!L:L,"*10. Antenatal Care (ANC)*"),
COUNTIFS('QA Log'!D:D,A317,'QA Log'!M:M,"QQC",'QA Log'!Z:Z,"Rejected",'QA Log'!L:L,"*2. Hygiene and Sterilization*"),
COUNTIFS('QA Log'!D:D,A317,'QA Log'!M:M,"QQC",'QA Log'!Z:Z,"Rejected",'QA Log'!L:L,"*Family Planning*")))</f>
        <v/>
      </c>
      <c r="S317" s="106" t="str">
        <f t="shared" si="27"/>
        <v/>
      </c>
      <c r="T317" s="102" t="str">
        <f t="shared" si="28"/>
        <v/>
      </c>
      <c r="U317" s="102" t="str">
        <f>IF(A317="","",
SUM(
COUNTIFS('QA Log'!D:D,A317,'QA Log'!M:M,"QQC",'QA Log'!L:L,"*8. Maternity*"),
COUNTIFS('QA Log'!D:D,A317,'QA Log'!M:M,"QQC",'QA Log'!L:L,"*9. EPI and Pre-school Consultation*"),
COUNTIFS('QA Log'!D:D,A317,'QA Log'!M:M,"QQC",'QA Log'!L:L,"*10. Antenatal Care (ANC)*"),
COUNTIFS('QA Log'!D:D,A317,'QA Log'!M:M,"QQC",'QA Log'!L:L,"*2. Hygiene and Sterilization*"),
COUNTIFS('QA Log'!D:D,A317,'QA Log'!M:M,"QQC",'QA Log'!L:L,"*4. Family Planning*")
))</f>
        <v/>
      </c>
      <c r="V317" s="102" t="str">
        <f>IF(A317="","",
SUM(
COUNTIFS('QA Log'!D:D,A317,'QA Log'!M:M,"QQC",'QA Log'!Z:Z,"Approved",'QA Log'!L:L,"*8. Maternity*"),
COUNTIFS('QA Log'!D:D,A317,'QA Log'!M:M,"QQC",'QA Log'!Z:Z,"Approved",'QA Log'!L:L,"*9. EPI and Pre-school Consultation*"),
COUNTIFS('QA Log'!D:D,A317,'QA Log'!M:M,"QQC",'QA Log'!Z:Z,"Approved",'QA Log'!L:L,"*10. Antenatal Care (ANC)*"),
COUNTIFS('QA Log'!D:D,A317,'QA Log'!M:M,"QQC",'QA Log'!Z:Z,"Approved",'QA Log'!L:L,"*2. Hygiene and Sterilization*"),
COUNTIFS('QA Log'!D:D,A317,'QA Log'!M:M,"QQC",'QA Log'!Z:Z,"Approved",'QA Log'!L:L,"*4. Family Planning*")
))</f>
        <v/>
      </c>
      <c r="W317" s="105" t="str">
        <f>IF(A317&lt;&gt;"",COUNTIFS('QA Log'!D:D,A317,'QA Log'!M:M,"QQC",'QA Log'!L:L,"8. Maternity",'QA Log'!Z:Z,"Approved"),"")</f>
        <v/>
      </c>
      <c r="X317" s="105" t="str">
        <f>IF(A317&lt;&gt;"",COUNTIFS('QA Log'!D:D,A317,'QA Log'!M:M,"QQC",'QA Log'!L:L,"9. EPI and Pre-school Consultation",'QA Log'!Z:Z,"Approved"),"")</f>
        <v/>
      </c>
      <c r="Y317" s="105" t="str">
        <f>IF(A317&lt;&gt;"",COUNTIFS('QA Log'!D:D,A317,'QA Log'!M:M,"QQC",'QA Log'!L:L,"10. Antenatal Care (ANC)",'QA Log'!Z:Z,"Approved"),"")</f>
        <v/>
      </c>
      <c r="Z317" s="105" t="str">
        <f>IF(A317&lt;&gt;"",COUNTIFS('QA Log'!D:D,A317,'QA Log'!M:M,"QQC",'QA Log'!L:L,"2. Hygiene and Sterilization",'QA Log'!Z:Z,"Approved"),"")</f>
        <v/>
      </c>
      <c r="AA317" s="105" t="str">
        <f>IF(A317&lt;&gt;"",COUNTIFS('QA Log'!D:D,A317,'QA Log'!M:M,"QQC",'QA Log'!L:L,"4. Family Planning",'QA Log'!Z:Z,"Approved"),"")</f>
        <v/>
      </c>
      <c r="AB317" s="102" t="str">
        <f>IF(A317="","",
SUM(
COUNTIFS('QA Log'!D:D,A317,'QA Log'!M:M,"QQC",'QA Log'!Z:Z,"Rejected",'QA Log'!L:L,"*8. Maternity*"),
COUNTIFS('QA Log'!D:D,A317,'QA Log'!M:M,"QQC",'QA Log'!Z:Z,"Rejected",'QA Log'!L:L,"*9. EPI and Pre-school Consultation*"),
COUNTIFS('QA Log'!D:D,A317,'QA Log'!M:M,"QQC",'QA Log'!Z:Z,"Rejected",'QA Log'!L:L,"*10. Antenatal Care (ANC)*"),
COUNTIFS('QA Log'!D:D,A317,'QA Log'!M:M,"QQC",'QA Log'!Z:Z,"Rejected",'QA Log'!L:L,"*2. Hygiene and Sterilization*"),
COUNTIFS('QA Log'!D:D,A317,'QA Log'!M:M,"QQC",'QA Log'!Z:Z,"Rejected",'QA Log'!L:L,"*4. Family Planning*")
))</f>
        <v/>
      </c>
      <c r="AC317" s="102" t="str">
        <f t="shared" si="29"/>
        <v/>
      </c>
      <c r="AD317" s="103" t="str">
        <f t="shared" si="30"/>
        <v/>
      </c>
      <c r="AE317" s="102" t="str">
        <f>IF(A317="","",
SUM(
COUNTIFS('QA Log'!D:D,A317,'QA Log'!M:M,"Data Verification",'QA Log'!L:L,"*Medicine (section 2)*"),
COUNTIFS('QA Log'!D:D,A317,'QA Log'!M:M,"Data Verification",'QA Log'!L:L,"*Lab Testing Availability*"),
COUNTIFS('QA Log'!D:D,A317,'QA Log'!M:M,"Data Verification",'QA Log'!L:L,"*Other than P4P (section 6)*"),
COUNTIFS('QA Log'!D:D,A317,'QA Log'!M:M,"Data Verification",'QA Log'!L:L,"*Hospital Governance*")
))</f>
        <v/>
      </c>
      <c r="AF317" s="102" t="str">
        <f>IF(A317="","",
SUM(
COUNTIFS('QA Log'!D:D,A317,'QA Log'!M:M,"Data Verification",'QA Log'!Z:Z,"Approved",'QA Log'!L:L,"*Medicine (section 2)*"),
COUNTIFS('QA Log'!D:D,A317,'QA Log'!M:M,"Data Verification",'QA Log'!Z:Z,"Approved",'QA Log'!L:L,"*Lab Testing Availability*"),
COUNTIFS('QA Log'!D:D,A317,'QA Log'!M:M,"Data Verification",'QA Log'!Z:Z,"Approved",'QA Log'!L:L,"*Other than P4P (section 6)*"),
COUNTIFS('QA Log'!D:D,A317,'QA Log'!M:M,"Data Verification",'QA Log'!Z:Z,"Approved",'QA Log'!L:L,"*Hospital Governance*")
))</f>
        <v/>
      </c>
      <c r="AG317" s="105" t="str">
        <f>IF(A317&lt;&gt;"",COUNTIFS('QA Log'!D:D,A317,'QA Log'!M:M,"Data Verification",'QA Log'!L:L,"Medicine (section 2)",'QA Log'!Z:Z,"Approved"),"")</f>
        <v/>
      </c>
      <c r="AH317" s="105" t="str">
        <f>IF(A317&lt;&gt;"",COUNTIFS('QA Log'!D:D,A317,'QA Log'!M:M,"Data Verification",'QA Log'!L:L,"Lab Testing Availability",'QA Log'!Z:Z,"Approved"),"")</f>
        <v/>
      </c>
      <c r="AI317" s="105" t="str">
        <f>IF(A317&lt;&gt;"",COUNTIFS('QA Log'!D:D,A317,'QA Log'!M:M,"Data Verification",'QA Log'!L:L,"Other than P4P (section 6)",'QA Log'!Z:Z,"Approved"),"")</f>
        <v/>
      </c>
      <c r="AJ317" s="105" t="str">
        <f>IF(A317&lt;&gt;"",COUNTIFS('QA Log'!D:D,A317,'QA Log'!M:M,"Data Verification",'QA Log'!L:L,"Hospital Governance",'QA Log'!Z:Z,"Approved"),"")</f>
        <v/>
      </c>
      <c r="AK317" s="102" t="str">
        <f>IF(A317="","",
SUM(
COUNTIFS('QA Log'!D:D,A317,'QA Log'!M:M,"Data Verification",'QA Log'!Z:Z,"Rejected",'QA Log'!L:L,"*Medicine (section 2)*"),
COUNTIFS('QA Log'!D:D,A317,'QA Log'!M:M,"Data Verification",'QA Log'!Z:Z,"Rejected",'QA Log'!L:L,"*Lab Testing Availability*"),
COUNTIFS('QA Log'!D:D,A317,'QA Log'!M:M,"Data Verification",'QA Log'!Z:Z,"Rejected",'QA Log'!L:L,"*Other than P4P (section 6)*"),
COUNTIFS('QA Log'!D:D,A317,'QA Log'!M:M,"Data Verification",'QA Log'!Z:Z,"Rejected",'QA Log'!L:L,"*Hospital Governance*")
))</f>
        <v/>
      </c>
      <c r="AL317" s="106" t="str">
        <f t="shared" si="31"/>
        <v/>
      </c>
      <c r="AM317" s="102" t="str">
        <f t="shared" si="32"/>
        <v/>
      </c>
      <c r="AN317" s="102" t="str">
        <f>IF(A317="","",
SUM(
COUNTIFS('QA Log'!D:D,A317,'QA Log'!M:M,"Data Verification",'QA Log'!L:L,"*Personnel (section 1)*"),
COUNTIFS('QA Log'!D:D,A317,'QA Log'!M:M,"Data Verification",'QA Log'!L:L,"*Consumable (section 3)*"),
COUNTIFS('QA Log'!D:D,A317,'QA Log'!M:M,"Data Verification",'QA Log'!L:L,"*Equipments (section 4)*")
))</f>
        <v/>
      </c>
      <c r="AO317" s="102" t="str">
        <f>IF(A317="","",
SUM(
COUNTIFS('QA Log'!D:D,A317,'QA Log'!M:M,"Data Verification",'QA Log'!Z:Z,"Approved",'QA Log'!L:L,"*Personnel (section 1)*"),
COUNTIFS('QA Log'!D:D,A317,'QA Log'!M:M,"Data Verification",'QA Log'!Z:Z,"Approved",'QA Log'!L:L,"*Consumable (section 3)*"),
COUNTIFS('QA Log'!D:D,A317,'QA Log'!M:M,"Data Verification",'QA Log'!Z:Z,"Approved",'QA Log'!L:L,"*Equipments (section 4)*")
))</f>
        <v/>
      </c>
      <c r="AP317" s="105" t="str">
        <f>IF(A317&lt;&gt;"",COUNTIFS('QA Log'!D:D,A317,'QA Log'!M:M,"Data Verification",'QA Log'!L:L,"Personnel (section 1)",'QA Log'!Z:Z,"Approved"),"")</f>
        <v/>
      </c>
      <c r="AQ317" s="105" t="str">
        <f>IF(A317&lt;&gt;"",COUNTIFS('QA Log'!D:D,A317,'QA Log'!M:M,"Data Verification",'QA Log'!L:L,"Consumable (section 3)",'QA Log'!Z:Z,"Approved"),"")</f>
        <v/>
      </c>
      <c r="AR317" s="105" t="str">
        <f>IF(A317&lt;&gt;"",COUNTIFS('QA Log'!D:D,A317,'QA Log'!M:M,"Data Verification",'QA Log'!L:L,"Equipments (section 4)",'QA Log'!Z:Z,"Approved"),"")</f>
        <v/>
      </c>
      <c r="AS317" s="102" t="str">
        <f>IF(A317="","",
SUM(
COUNTIFS('QA Log'!D:D,A317,'QA Log'!M:M,"Data Verification",'QA Log'!Z:Z,"Rejected",'QA Log'!L:L,"*Personnel (section 1)*"),
COUNTIFS('QA Log'!D:D,A317,'QA Log'!M:M,"Data Verification",'QA Log'!Z:Z,"Rejected",'QA Log'!L:L,"*Consumable (section 3)*"),
COUNTIFS('QA Log'!D:D,A317,'QA Log'!M:M,"Data Verification",'QA Log'!Z:Z,"Rejected",'QA Log'!L:L,"*Equipments (section 4)*")
))</f>
        <v/>
      </c>
      <c r="AT317" s="102" t="str">
        <f t="shared" si="33"/>
        <v/>
      </c>
      <c r="AU317" s="103" t="str">
        <f t="shared" si="34"/>
        <v/>
      </c>
      <c r="AV317" s="102" t="str">
        <f>IF(A317="","",SUM(
COUNTIFS('QA Log'!D:D,A317,'QA Log'!M:M,"Vignette",'QA Log'!L:L,"*Vignette [1] Respiratory Infection: Pneumonia*"),
COUNTIFS('QA Log'!D:D,A317,'QA Log'!M:M,"Vignette",'QA Log'!L:L,"*Vignette [2]: Diarrhea with Cat B dehydration*"),
COUNTIFS('QA Log'!D:D,A317,'QA Log'!M:M,"Vignette",'QA Log'!L:L,"*Vignette [3] Growth Monitoring and Promotion*"),
COUNTIFS('QA Log'!D:D,A317,'QA Log'!M:M,"Vignette",'QA Log'!L:L,"*Vignette [4]: The management of presumptive TB patient*")
)
)</f>
        <v/>
      </c>
      <c r="AW317" s="102" t="str">
        <f>IF(
  A317="","",
  SUM(
    COUNTIFS('QA Log'!D:D,A317,'QA Log'!M:M,"Vignette",'QA Log'!Z:Z,"Approved",'QA Log'!L:L,"*Vignette [1] Respiratory Infection: Pneumonia*"),
    COUNTIFS('QA Log'!D:D,A317,'QA Log'!M:M,"Vignette",'QA Log'!Z:Z,"Approved",'QA Log'!L:L,"*Vignette [2]: Diarrhea with Cat B dehydration*"),
    COUNTIFS('QA Log'!D:D,A317,'QA Log'!M:M,"Vignette",'QA Log'!Z:Z,"Approved",'QA Log'!L:L,"*Vignette [3] Growth Monitoring and Promotion*"),
    COUNTIFS('QA Log'!D:D,A317,'QA Log'!M:M,"Vignette",'QA Log'!Z:Z,"Approved",'QA Log'!L:L,"*Vignette [4]: The management of presumptive TB patient*")
  )
)</f>
        <v/>
      </c>
      <c r="AX317" s="105" t="str">
        <f>IF(A317&lt;&gt;"",COUNTIFS('QA Log'!D:D,A317,'QA Log'!M:M,"Vignette",'QA Log'!L:L,"Vignette [1] Respiratory Infection: Pneumonia",'QA Log'!Z:Z,"Approved"),"")</f>
        <v/>
      </c>
      <c r="AY317" s="105" t="str">
        <f>IF(A317&lt;&gt;"",COUNTIFS('QA Log'!D:D,A317,'QA Log'!M:M,"Vignette",'QA Log'!L:L,"Vignette [2]: Diarrhea with Cat B dehydration",'QA Log'!Z:Z,"Approved"),"")</f>
        <v/>
      </c>
      <c r="AZ317" s="105" t="str">
        <f>IF(A317&lt;&gt;"",COUNTIFS('QA Log'!D:D,A317,'QA Log'!M:M,"Vignette",'QA Log'!L:L,"Vignette [3] Growth Monitoring and Promotion",'QA Log'!Z:Z,"Approved"),"")</f>
        <v/>
      </c>
      <c r="BA317" s="105" t="str">
        <f>IF(A317&lt;&gt;"",COUNTIFS('QA Log'!D:D,A317,'QA Log'!M:M,"Vignette",'QA Log'!L:L,"Vignette [4]: The management of presumptive TB patient",'QA Log'!Z:Z,"Approved"),"")</f>
        <v/>
      </c>
      <c r="BB317" s="102" t="str">
        <f>IF(A317="","",
  SUM(
    COUNTIFS('QA Log'!D:D,A317,'QA Log'!M:M,"Vignette",'QA Log'!Z:Z,"Rejected",'QA Log'!L:L,"*Vignette [1] Respiratory Infection: Pneumonia*"),
    COUNTIFS('QA Log'!D:D,A317,'QA Log'!M:M,"Vignette",'QA Log'!Z:Z,"Rejected",'QA Log'!L:L,"*Vignette [2]: Diarrhea with Cat B dehydration*"),
    COUNTIFS('QA Log'!D:D,A317,'QA Log'!M:M,"Vignette",'QA Log'!Z:Z,"Rejected",'QA Log'!L:L,"*Vignette [3] Growth Monitoring and Promotion*"),
    COUNTIFS('QA Log'!D:D,A317,'QA Log'!M:M,"Vignette",'QA Log'!Z:Z,"Rejected",'QA Log'!L:L,"*Vignette [4]: The management of presumptive TB patient*")
  )
)</f>
        <v/>
      </c>
      <c r="BC317" s="107" t="str">
        <f t="shared" si="35"/>
        <v/>
      </c>
      <c r="BD317" s="103" t="str">
        <f t="shared" si="36"/>
        <v/>
      </c>
      <c r="BE317" s="102" t="str">
        <f>IF(A317="","",SUM(
COUNTIFS('QA Log'!D:D,A317,'QA Log'!M:M,"Vignette",'QA Log'!L:L,"*Vignette [5] Labor*"),
COUNTIFS('QA Log'!D:D,A317,'QA Log'!M:M,"Vignette",'QA Log'!L:L,"*Vignette [6] PNC pre Discharge*"),
COUNTIFS('QA Log'!D:D,A317,'QA Log'!M:M,"Vignette",'QA Log'!L:L,"*Vignette [7] First ANC Visit*"),
COUNTIFS('QA Log'!D:D,A317,'QA Log'!M:M,"Vignette",'QA Log'!L:L,"*Vignette [8] Birth Spacing/ Family Planning :  FP Counselling*"),
COUNTIFS('QA Log'!D:D,A317,'QA Log'!M:M,"Vignette",'QA Log'!L:L,"*Vignette [9] Birth Spacing: Change FP method to Injectable*"),
COUNTIFS('QA Log'!D:D,A317,'QA Log'!M:M,"Vignette",'QA Log'!L:L,"*Vignette [10] Post Partum Haemorrhage - Atonic Uterus at Health Centre*"),
)
)</f>
        <v/>
      </c>
      <c r="BF317" s="102" t="str">
        <f>IF(A317="","",
  SUM(
    COUNTIFS('QA Log'!D:D,A317,'QA Log'!M:M,"Vignette",'QA Log'!Z:Z,"Approved",'QA Log'!L:L,"*Vignette [5] Labor*"),
    COUNTIFS('QA Log'!D:D,A317,'QA Log'!M:M,"Vignette",'QA Log'!Z:Z,"Approved",'QA Log'!L:L,"*Vignette [6] PNC pre Discharge*"),
    COUNTIFS('QA Log'!D:D,A317,'QA Log'!M:M,"Vignette",'QA Log'!Z:Z,"Approved",'QA Log'!L:L,"*Vignette [7] First ANC Visit*"),
    COUNTIFS('QA Log'!D:D,A317,'QA Log'!M:M,"Vignette",'QA Log'!Z:Z,"Approved",'QA Log'!L:L,"*Vignette [8] Birth Spacing/ Family Planning :  FP Counselling*"),
    COUNTIFS('QA Log'!D:D,A317,'QA Log'!M:M,"Vignette",'QA Log'!Z:Z,"Approved",'QA Log'!L:L,"*Vignette [9] Birth Spacing: Change FP method to Injectable*"),
    COUNTIFS('QA Log'!D:D,A317,'QA Log'!M:M,"Vignette",'QA Log'!Z:Z,"Approved",'QA Log'!L:L,"*Vignette [10] Post Partum Haemorrhage - Atonic Uterus at Health Centre*")
  )
)</f>
        <v/>
      </c>
      <c r="BG317" s="105" t="str">
        <f>IF(A317&lt;&gt;"",COUNTIFS('QA Log'!D:D,A317,'QA Log'!M:M,"Vignette",'QA Log'!L:L,"Vignette [5] Labor",'QA Log'!Z:Z,"Approved"),"")</f>
        <v/>
      </c>
      <c r="BH317" s="105" t="str">
        <f>IF(A317&lt;&gt;"",COUNTIFS('QA Log'!D:D,A317,'QA Log'!M:M,"Vignette",'QA Log'!L:L,"Vignette [6] PNC pre Discharge",'QA Log'!Z:Z,"Approved"),"")</f>
        <v/>
      </c>
      <c r="BI317" s="105" t="str">
        <f>IF(A317&lt;&gt;"",COUNTIFS('QA Log'!D:D,A317,'QA Log'!M:M,"Vignette",'QA Log'!L:L,"Vignette [7] First ANC Visit",'QA Log'!Z:Z,"Approved"),"")</f>
        <v/>
      </c>
      <c r="BJ317" s="105" t="str">
        <f>IF(A317&lt;&gt;"",COUNTIFS('QA Log'!D:D,A317,'QA Log'!M:M,"Vignette",'QA Log'!L:L,"Vignette [8] Birth Spacing/ Family Planning :  FP Counselling",'QA Log'!Z:Z,"Approved"),"")</f>
        <v/>
      </c>
      <c r="BK317" s="105" t="str">
        <f>IF(A317&lt;&gt;"",COUNTIFS('QA Log'!D:D,A317,'QA Log'!M:M,"Vignette",'QA Log'!L:L,"Vignette [9] Birth Spacing: Change FP method to Injectable",'QA Log'!Z:Z,"Approved"),"")</f>
        <v/>
      </c>
      <c r="BL317" s="105" t="str">
        <f>IF(A317&lt;&gt;"",COUNTIFS('QA Log'!D:D,A317,'QA Log'!M:M,"Vignette",'QA Log'!L:L,"Vignette [10] Post Partum Haemorrhage - Atonic Uterus at Health Centre",'QA Log'!Z:Z,"Approved"),"")</f>
        <v/>
      </c>
      <c r="BM317" s="102" t="str">
        <f>IF(A317="","",SUM(
    COUNTIFS('QA Log'!D:D,A317,'QA Log'!M:M,"Vignette",'QA Log'!Z:Z,"Rejected",'QA Log'!L:L,"*Vignette [5] Labor*"),
    COUNTIFS('QA Log'!D:D,A317,'QA Log'!M:M,"Vignette",'QA Log'!Z:Z,"Rejected",'QA Log'!L:L,"*Vignette [6] PNC pre Discharge*"),
    COUNTIFS('QA Log'!D:D,A317,'QA Log'!M:M,"Vignette",'QA Log'!Z:Z,"Rejected",'QA Log'!L:L,"*Vignette [7] First ANC Visit*"),
    COUNTIFS('QA Log'!D:D,A317,'QA Log'!M:M,"Vignette",'QA Log'!Z:Z,"Rejected",'QA Log'!L:L,"*Vignette [8] Birth Spacing/ Family Planning :  FP Counselling*"),
    COUNTIFS('QA Log'!D:D,A317,'QA Log'!M:M,"Vignette",'QA Log'!Z:Z,"Rejected",'QA Log'!L:L,"*Vignette [9] Birth Spacing: Change FP method to Injectable*"),
    COUNTIFS('QA Log'!D:D,A317,'QA Log'!M:M,"Vignette",'QA Log'!Z:Z,"Rejected",'QA Log'!L:L,"*Vignette [10] Post Partum Haemorrhage - Atonic Uterus at Health Centre*")
  )
)</f>
        <v/>
      </c>
      <c r="BN317" s="107" t="str">
        <f t="shared" si="37"/>
        <v/>
      </c>
      <c r="BO317" s="103" t="str">
        <f t="shared" si="38"/>
        <v/>
      </c>
      <c r="BP317" s="102" t="str">
        <f>IF(A317="","",SUM(
COUNTIFS('QA Log'!D:D,A317,'QA Log'!M:M,"Vignette",'QA Log'!L:L,"*Exit Interview 1*"),
COUNTIFS('QA Log'!D:D,A317,'QA Log'!M:M,"Vignette",'QA Log'!L:L,"*Exit Interview 2*"),
)
)</f>
        <v/>
      </c>
      <c r="BQ317" s="102" t="str">
        <f>IF(
  A317="","",
  SUM(
    COUNTIFS('QA Log'!D:D,A317,'QA Log'!M:M,"Vignette",'QA Log'!Z:Z,"Approved",'QA Log'!L:L,"*Exit Interview 1*"),
    COUNTIFS('QA Log'!D:D,A317,'QA Log'!M:M,"Vignette",'QA Log'!Z:Z,"Approved",'QA Log'!L:L,"*Exit Interview 2*")
  )
)</f>
        <v/>
      </c>
      <c r="BR317" s="105" t="str">
        <f>IF(A317&lt;&gt;"",COUNTIFS('QA Log'!D:D,A317,'QA Log'!M:M,"Vignette",'QA Log'!L:L,"Exit Interview 1",'QA Log'!Z:Z,"Approved"),"")</f>
        <v/>
      </c>
      <c r="BS317" s="105" t="str">
        <f>IF(A317&lt;&gt;"",COUNTIFS('QA Log'!D:D,A317,'QA Log'!M:M,"Vignette",'QA Log'!L:L,"Exit Interview 2",'QA Log'!Z:Z,"Approved"),"")</f>
        <v/>
      </c>
      <c r="BT317" s="102" t="str">
        <f>IF(
  A317="","",
  SUM(
    COUNTIFS('QA Log'!D:D,A317,'QA Log'!M:M,"Vignette",'QA Log'!Z:Z,"Rejected",'QA Log'!L:L,"*Exit Interview 1*"),
    COUNTIFS('QA Log'!D:D,A317,'QA Log'!M:M,"Vignette",'QA Log'!Z:Z,"Rejected",'QA Log'!L:L,"*Exit Interview 2*")
  )
)</f>
        <v/>
      </c>
      <c r="BU317" s="107" t="str">
        <f t="shared" si="39"/>
        <v/>
      </c>
      <c r="BV317" s="102" t="str">
        <f t="shared" si="40"/>
        <v/>
      </c>
      <c r="BW317" s="102" t="str">
        <f t="shared" si="41"/>
        <v/>
      </c>
      <c r="BX317" s="102" t="str">
        <f t="shared" si="42"/>
        <v/>
      </c>
      <c r="BY317" s="102" t="str">
        <f t="shared" si="43"/>
        <v/>
      </c>
      <c r="BZ317" s="107" t="str">
        <f t="shared" si="44"/>
        <v/>
      </c>
      <c r="CA317" s="108" t="str">
        <f t="shared" si="45"/>
        <v/>
      </c>
      <c r="CB317" s="108" t="str">
        <f t="shared" si="46"/>
        <v/>
      </c>
      <c r="CC317" s="109" t="str">
        <f t="shared" si="47"/>
        <v/>
      </c>
      <c r="CD317" s="108" t="str">
        <f t="shared" si="48"/>
        <v/>
      </c>
      <c r="CE317" s="108" t="str">
        <f t="shared" si="49"/>
        <v/>
      </c>
      <c r="CF317" s="109" t="str">
        <f t="shared" si="50"/>
        <v/>
      </c>
      <c r="CG317" s="110" t="str">
        <f t="shared" si="51"/>
        <v/>
      </c>
      <c r="CH317" s="111"/>
    </row>
    <row r="318" spans="1:86" ht="12.75">
      <c r="A318" s="101"/>
      <c r="B318" s="102" t="e">
        <f t="array" aca="1" ref="B318" ca="1">_xludf.XLOOKUP(A318,'QA Log'!D:D,'QA Log'!E:E,"")</f>
        <v>#NAME?</v>
      </c>
      <c r="C318" s="102" t="e">
        <f t="array" aca="1" ref="C318" ca="1">_xludf.XLOOKUP(A318,'QA Log'!D:D,'QA Log'!F:F,"")</f>
        <v>#NAME?</v>
      </c>
      <c r="D318" s="102" t="e">
        <f t="array" aca="1" ref="D318" ca="1">_xludf.XLOOKUP(A318,'QA Log'!D:D,'QA Log'!H:H,"")</f>
        <v>#NAME?</v>
      </c>
      <c r="E318" s="102" t="e">
        <f t="array" aca="1" ref="E318" ca="1">_xludf.XLOOKUP(A318,'QA Log'!D:D,'QA Log'!G:G,"")</f>
        <v>#NAME?</v>
      </c>
      <c r="F318" s="103"/>
      <c r="G318" s="104"/>
      <c r="H318" s="104"/>
      <c r="I318" s="103" t="str">
        <f t="shared" si="26"/>
        <v/>
      </c>
      <c r="J318" s="102" t="str">
        <f>IF(A318="","",SUM(
COUNTIFS('QA Log'!D:D,A318,'QA Log'!M:M,"QQC",'QA Log'!L:L,"*1. General Management*"),
COUNTIFS('QA Log'!D:D,A318,'QA Log'!M:M,"QQC",'QA Log'!L:L,"*3. Curative Consultation (OPD)*"),
COUNTIFS('QA Log'!D:D,A318,'QA Log'!M:M,"QQC",'QA Log'!L:L,"*5. Laboratory*"),
COUNTIFS('QA Log'!D:D,A318,'QA Log'!M:M,"QQC",'QA Log'!L:L,"*6. Essential Medicine Management*"),
COUNTIFS('QA Log'!D:D,A318,'QA Log'!M:M,"QQC",'QA Log'!L:L,"*7. Tracer Medicine*"),
COUNTIFS('QA Log'!D:D,A318,'QA Log'!M:M,"QQC",'QA Log'!L:L,"*11. Additional Questions*")))</f>
        <v/>
      </c>
      <c r="K318" s="102" t="str">
        <f>IF(A318="","",SUM(
COUNTIFS('QA Log'!D:D,A318,'QA Log'!M:M,"QQC",'QA Log'!Z:Z,"Approved",'QA Log'!L:L,"*1. General Management*"),
COUNTIFS('QA Log'!D:D,A318,'QA Log'!M:M,"QQC",'QA Log'!Z:Z,"Approved",'QA Log'!L:L,"*3. Curative Consultation (OPD)*"),
COUNTIFS('QA Log'!D:D,A318,'QA Log'!M:M,"QQC",'QA Log'!Z:Z,"Approved",'QA Log'!L:L,"*5. Laboratory*"),
COUNTIFS('QA Log'!D:D,A318,'QA Log'!M:M,"QQC",'QA Log'!Z:Z,"Approved",'QA Log'!L:L,"*6. Essential Medicine Management*"),
COUNTIFS('QA Log'!D:D,A318,'QA Log'!M:M,"QQC",'QA Log'!Z:Z,"Approved",'QA Log'!L:L,"*7. Tracer Medicine*"),
COUNTIFS('QA Log'!D:D,A318,'QA Log'!M:M,"QQC",'QA Log'!Z:Z,"Approved",'QA Log'!L:L,"*11. Additional Questions*")))</f>
        <v/>
      </c>
      <c r="L318" s="105" t="str">
        <f>IF(A318&lt;&gt;"",COUNTIFS('QA Log'!D:D,A318,'QA Log'!M:M,"QQC",'QA Log'!L:L,"1. General Management",'QA Log'!Z:Z,"Approved"),"")</f>
        <v/>
      </c>
      <c r="M318" s="105" t="str">
        <f>IF(A318&lt;&gt;"",COUNTIFS('QA Log'!D:D,A318,'QA Log'!M:M,"QQC",'QA Log'!L:L,"3. Curative Consultation (OPD)",'QA Log'!Z:Z,"Approved"),"")</f>
        <v/>
      </c>
      <c r="N318" s="105" t="str">
        <f>IF(A318&lt;&gt;"",COUNTIFS('QA Log'!D:D,A318,'QA Log'!M:M,"QQC",'QA Log'!L:L,"5. Laboratory",'QA Log'!Z:Z,"Approved"),"")</f>
        <v/>
      </c>
      <c r="O318" s="105" t="str">
        <f>IF(A318&lt;&gt;"",COUNTIFS('QA Log'!D:D,A318,'QA Log'!M:M,"QQC",'QA Log'!L:L,"6. Essential Medicine Management",'QA Log'!Z:Z,"Approved"),"")</f>
        <v/>
      </c>
      <c r="P318" s="105" t="str">
        <f>IF(A318&lt;&gt;"",COUNTIFS('QA Log'!D:D,A318,'QA Log'!M:M,"QQC",'QA Log'!L:L,"7. Tracer Medicine",'QA Log'!Z:Z,"Approved"),"")</f>
        <v/>
      </c>
      <c r="Q318" s="105" t="str">
        <f>IF(A318&lt;&gt;"",COUNTIFS('QA Log'!D:D,A318,'QA Log'!M:M,"QQC",'QA Log'!L:L,"11. Additional Questions",'QA Log'!Z:Z,"Approved"),"")</f>
        <v/>
      </c>
      <c r="R318" s="102" t="str">
        <f>IF(A318="","",SUM(
COUNTIFS('QA Log'!D:D,A318,'QA Log'!M:M,"QQC",'QA Log'!Z:Z,"Rejected",'QA Log'!L:L,"*8. Maternity*"),
COUNTIFS('QA Log'!D:D,A318,'QA Log'!M:M,"QQC",'QA Log'!Z:Z,"Rejected",'QA Log'!L:L,"*EPI*"),
COUNTIFS('QA Log'!D:D,A318,'QA Log'!M:M,"QQC",'QA Log'!Z:Z,"Rejected",'QA Log'!L:L,"*10. Antenatal Care (ANC)*"),
COUNTIFS('QA Log'!D:D,A318,'QA Log'!M:M,"QQC",'QA Log'!Z:Z,"Rejected",'QA Log'!L:L,"*2. Hygiene and Sterilization*"),
COUNTIFS('QA Log'!D:D,A318,'QA Log'!M:M,"QQC",'QA Log'!Z:Z,"Rejected",'QA Log'!L:L,"*Family Planning*")))</f>
        <v/>
      </c>
      <c r="S318" s="106" t="str">
        <f t="shared" si="27"/>
        <v/>
      </c>
      <c r="T318" s="102" t="str">
        <f t="shared" si="28"/>
        <v/>
      </c>
      <c r="U318" s="102" t="str">
        <f>IF(A318="","",
SUM(
COUNTIFS('QA Log'!D:D,A318,'QA Log'!M:M,"QQC",'QA Log'!L:L,"*8. Maternity*"),
COUNTIFS('QA Log'!D:D,A318,'QA Log'!M:M,"QQC",'QA Log'!L:L,"*9. EPI and Pre-school Consultation*"),
COUNTIFS('QA Log'!D:D,A318,'QA Log'!M:M,"QQC",'QA Log'!L:L,"*10. Antenatal Care (ANC)*"),
COUNTIFS('QA Log'!D:D,A318,'QA Log'!M:M,"QQC",'QA Log'!L:L,"*2. Hygiene and Sterilization*"),
COUNTIFS('QA Log'!D:D,A318,'QA Log'!M:M,"QQC",'QA Log'!L:L,"*4. Family Planning*")
))</f>
        <v/>
      </c>
      <c r="V318" s="102" t="str">
        <f>IF(A318="","",
SUM(
COUNTIFS('QA Log'!D:D,A318,'QA Log'!M:M,"QQC",'QA Log'!Z:Z,"Approved",'QA Log'!L:L,"*8. Maternity*"),
COUNTIFS('QA Log'!D:D,A318,'QA Log'!M:M,"QQC",'QA Log'!Z:Z,"Approved",'QA Log'!L:L,"*9. EPI and Pre-school Consultation*"),
COUNTIFS('QA Log'!D:D,A318,'QA Log'!M:M,"QQC",'QA Log'!Z:Z,"Approved",'QA Log'!L:L,"*10. Antenatal Care (ANC)*"),
COUNTIFS('QA Log'!D:D,A318,'QA Log'!M:M,"QQC",'QA Log'!Z:Z,"Approved",'QA Log'!L:L,"*2. Hygiene and Sterilization*"),
COUNTIFS('QA Log'!D:D,A318,'QA Log'!M:M,"QQC",'QA Log'!Z:Z,"Approved",'QA Log'!L:L,"*4. Family Planning*")
))</f>
        <v/>
      </c>
      <c r="W318" s="105" t="str">
        <f>IF(A318&lt;&gt;"",COUNTIFS('QA Log'!D:D,A318,'QA Log'!M:M,"QQC",'QA Log'!L:L,"8. Maternity",'QA Log'!Z:Z,"Approved"),"")</f>
        <v/>
      </c>
      <c r="X318" s="105" t="str">
        <f>IF(A318&lt;&gt;"",COUNTIFS('QA Log'!D:D,A318,'QA Log'!M:M,"QQC",'QA Log'!L:L,"9. EPI and Pre-school Consultation",'QA Log'!Z:Z,"Approved"),"")</f>
        <v/>
      </c>
      <c r="Y318" s="105" t="str">
        <f>IF(A318&lt;&gt;"",COUNTIFS('QA Log'!D:D,A318,'QA Log'!M:M,"QQC",'QA Log'!L:L,"10. Antenatal Care (ANC)",'QA Log'!Z:Z,"Approved"),"")</f>
        <v/>
      </c>
      <c r="Z318" s="105" t="str">
        <f>IF(A318&lt;&gt;"",COUNTIFS('QA Log'!D:D,A318,'QA Log'!M:M,"QQC",'QA Log'!L:L,"2. Hygiene and Sterilization",'QA Log'!Z:Z,"Approved"),"")</f>
        <v/>
      </c>
      <c r="AA318" s="105" t="str">
        <f>IF(A318&lt;&gt;"",COUNTIFS('QA Log'!D:D,A318,'QA Log'!M:M,"QQC",'QA Log'!L:L,"4. Family Planning",'QA Log'!Z:Z,"Approved"),"")</f>
        <v/>
      </c>
      <c r="AB318" s="102" t="str">
        <f>IF(A318="","",
SUM(
COUNTIFS('QA Log'!D:D,A318,'QA Log'!M:M,"QQC",'QA Log'!Z:Z,"Rejected",'QA Log'!L:L,"*8. Maternity*"),
COUNTIFS('QA Log'!D:D,A318,'QA Log'!M:M,"QQC",'QA Log'!Z:Z,"Rejected",'QA Log'!L:L,"*9. EPI and Pre-school Consultation*"),
COUNTIFS('QA Log'!D:D,A318,'QA Log'!M:M,"QQC",'QA Log'!Z:Z,"Rejected",'QA Log'!L:L,"*10. Antenatal Care (ANC)*"),
COUNTIFS('QA Log'!D:D,A318,'QA Log'!M:M,"QQC",'QA Log'!Z:Z,"Rejected",'QA Log'!L:L,"*2. Hygiene and Sterilization*"),
COUNTIFS('QA Log'!D:D,A318,'QA Log'!M:M,"QQC",'QA Log'!Z:Z,"Rejected",'QA Log'!L:L,"*4. Family Planning*")
))</f>
        <v/>
      </c>
      <c r="AC318" s="102" t="str">
        <f t="shared" si="29"/>
        <v/>
      </c>
      <c r="AD318" s="103" t="str">
        <f t="shared" si="30"/>
        <v/>
      </c>
      <c r="AE318" s="102" t="str">
        <f>IF(A318="","",
SUM(
COUNTIFS('QA Log'!D:D,A318,'QA Log'!M:M,"Data Verification",'QA Log'!L:L,"*Medicine (section 2)*"),
COUNTIFS('QA Log'!D:D,A318,'QA Log'!M:M,"Data Verification",'QA Log'!L:L,"*Lab Testing Availability*"),
COUNTIFS('QA Log'!D:D,A318,'QA Log'!M:M,"Data Verification",'QA Log'!L:L,"*Other than P4P (section 6)*"),
COUNTIFS('QA Log'!D:D,A318,'QA Log'!M:M,"Data Verification",'QA Log'!L:L,"*Hospital Governance*")
))</f>
        <v/>
      </c>
      <c r="AF318" s="102" t="str">
        <f>IF(A318="","",
SUM(
COUNTIFS('QA Log'!D:D,A318,'QA Log'!M:M,"Data Verification",'QA Log'!Z:Z,"Approved",'QA Log'!L:L,"*Medicine (section 2)*"),
COUNTIFS('QA Log'!D:D,A318,'QA Log'!M:M,"Data Verification",'QA Log'!Z:Z,"Approved",'QA Log'!L:L,"*Lab Testing Availability*"),
COUNTIFS('QA Log'!D:D,A318,'QA Log'!M:M,"Data Verification",'QA Log'!Z:Z,"Approved",'QA Log'!L:L,"*Other than P4P (section 6)*"),
COUNTIFS('QA Log'!D:D,A318,'QA Log'!M:M,"Data Verification",'QA Log'!Z:Z,"Approved",'QA Log'!L:L,"*Hospital Governance*")
))</f>
        <v/>
      </c>
      <c r="AG318" s="105" t="str">
        <f>IF(A318&lt;&gt;"",COUNTIFS('QA Log'!D:D,A318,'QA Log'!M:M,"Data Verification",'QA Log'!L:L,"Medicine (section 2)",'QA Log'!Z:Z,"Approved"),"")</f>
        <v/>
      </c>
      <c r="AH318" s="105" t="str">
        <f>IF(A318&lt;&gt;"",COUNTIFS('QA Log'!D:D,A318,'QA Log'!M:M,"Data Verification",'QA Log'!L:L,"Lab Testing Availability",'QA Log'!Z:Z,"Approved"),"")</f>
        <v/>
      </c>
      <c r="AI318" s="105" t="str">
        <f>IF(A318&lt;&gt;"",COUNTIFS('QA Log'!D:D,A318,'QA Log'!M:M,"Data Verification",'QA Log'!L:L,"Other than P4P (section 6)",'QA Log'!Z:Z,"Approved"),"")</f>
        <v/>
      </c>
      <c r="AJ318" s="105" t="str">
        <f>IF(A318&lt;&gt;"",COUNTIFS('QA Log'!D:D,A318,'QA Log'!M:M,"Data Verification",'QA Log'!L:L,"Hospital Governance",'QA Log'!Z:Z,"Approved"),"")</f>
        <v/>
      </c>
      <c r="AK318" s="102" t="str">
        <f>IF(A318="","",
SUM(
COUNTIFS('QA Log'!D:D,A318,'QA Log'!M:M,"Data Verification",'QA Log'!Z:Z,"Rejected",'QA Log'!L:L,"*Medicine (section 2)*"),
COUNTIFS('QA Log'!D:D,A318,'QA Log'!M:M,"Data Verification",'QA Log'!Z:Z,"Rejected",'QA Log'!L:L,"*Lab Testing Availability*"),
COUNTIFS('QA Log'!D:D,A318,'QA Log'!M:M,"Data Verification",'QA Log'!Z:Z,"Rejected",'QA Log'!L:L,"*Other than P4P (section 6)*"),
COUNTIFS('QA Log'!D:D,A318,'QA Log'!M:M,"Data Verification",'QA Log'!Z:Z,"Rejected",'QA Log'!L:L,"*Hospital Governance*")
))</f>
        <v/>
      </c>
      <c r="AL318" s="106" t="str">
        <f t="shared" si="31"/>
        <v/>
      </c>
      <c r="AM318" s="102" t="str">
        <f t="shared" si="32"/>
        <v/>
      </c>
      <c r="AN318" s="102" t="str">
        <f>IF(A318="","",
SUM(
COUNTIFS('QA Log'!D:D,A318,'QA Log'!M:M,"Data Verification",'QA Log'!L:L,"*Personnel (section 1)*"),
COUNTIFS('QA Log'!D:D,A318,'QA Log'!M:M,"Data Verification",'QA Log'!L:L,"*Consumable (section 3)*"),
COUNTIFS('QA Log'!D:D,A318,'QA Log'!M:M,"Data Verification",'QA Log'!L:L,"*Equipments (section 4)*")
))</f>
        <v/>
      </c>
      <c r="AO318" s="102" t="str">
        <f>IF(A318="","",
SUM(
COUNTIFS('QA Log'!D:D,A318,'QA Log'!M:M,"Data Verification",'QA Log'!Z:Z,"Approved",'QA Log'!L:L,"*Personnel (section 1)*"),
COUNTIFS('QA Log'!D:D,A318,'QA Log'!M:M,"Data Verification",'QA Log'!Z:Z,"Approved",'QA Log'!L:L,"*Consumable (section 3)*"),
COUNTIFS('QA Log'!D:D,A318,'QA Log'!M:M,"Data Verification",'QA Log'!Z:Z,"Approved",'QA Log'!L:L,"*Equipments (section 4)*")
))</f>
        <v/>
      </c>
      <c r="AP318" s="105" t="str">
        <f>IF(A318&lt;&gt;"",COUNTIFS('QA Log'!D:D,A318,'QA Log'!M:M,"Data Verification",'QA Log'!L:L,"Personnel (section 1)",'QA Log'!Z:Z,"Approved"),"")</f>
        <v/>
      </c>
      <c r="AQ318" s="105" t="str">
        <f>IF(A318&lt;&gt;"",COUNTIFS('QA Log'!D:D,A318,'QA Log'!M:M,"Data Verification",'QA Log'!L:L,"Consumable (section 3)",'QA Log'!Z:Z,"Approved"),"")</f>
        <v/>
      </c>
      <c r="AR318" s="105" t="str">
        <f>IF(A318&lt;&gt;"",COUNTIFS('QA Log'!D:D,A318,'QA Log'!M:M,"Data Verification",'QA Log'!L:L,"Equipments (section 4)",'QA Log'!Z:Z,"Approved"),"")</f>
        <v/>
      </c>
      <c r="AS318" s="102" t="str">
        <f>IF(A318="","",
SUM(
COUNTIFS('QA Log'!D:D,A318,'QA Log'!M:M,"Data Verification",'QA Log'!Z:Z,"Rejected",'QA Log'!L:L,"*Personnel (section 1)*"),
COUNTIFS('QA Log'!D:D,A318,'QA Log'!M:M,"Data Verification",'QA Log'!Z:Z,"Rejected",'QA Log'!L:L,"*Consumable (section 3)*"),
COUNTIFS('QA Log'!D:D,A318,'QA Log'!M:M,"Data Verification",'QA Log'!Z:Z,"Rejected",'QA Log'!L:L,"*Equipments (section 4)*")
))</f>
        <v/>
      </c>
      <c r="AT318" s="102" t="str">
        <f t="shared" si="33"/>
        <v/>
      </c>
      <c r="AU318" s="103" t="str">
        <f t="shared" si="34"/>
        <v/>
      </c>
      <c r="AV318" s="102" t="str">
        <f>IF(A318="","",SUM(
COUNTIFS('QA Log'!D:D,A318,'QA Log'!M:M,"Vignette",'QA Log'!L:L,"*Vignette [1] Respiratory Infection: Pneumonia*"),
COUNTIFS('QA Log'!D:D,A318,'QA Log'!M:M,"Vignette",'QA Log'!L:L,"*Vignette [2]: Diarrhea with Cat B dehydration*"),
COUNTIFS('QA Log'!D:D,A318,'QA Log'!M:M,"Vignette",'QA Log'!L:L,"*Vignette [3] Growth Monitoring and Promotion*"),
COUNTIFS('QA Log'!D:D,A318,'QA Log'!M:M,"Vignette",'QA Log'!L:L,"*Vignette [4]: The management of presumptive TB patient*")
)
)</f>
        <v/>
      </c>
      <c r="AW318" s="102" t="str">
        <f>IF(
  A318="","",
  SUM(
    COUNTIFS('QA Log'!D:D,A318,'QA Log'!M:M,"Vignette",'QA Log'!Z:Z,"Approved",'QA Log'!L:L,"*Vignette [1] Respiratory Infection: Pneumonia*"),
    COUNTIFS('QA Log'!D:D,A318,'QA Log'!M:M,"Vignette",'QA Log'!Z:Z,"Approved",'QA Log'!L:L,"*Vignette [2]: Diarrhea with Cat B dehydration*"),
    COUNTIFS('QA Log'!D:D,A318,'QA Log'!M:M,"Vignette",'QA Log'!Z:Z,"Approved",'QA Log'!L:L,"*Vignette [3] Growth Monitoring and Promotion*"),
    COUNTIFS('QA Log'!D:D,A318,'QA Log'!M:M,"Vignette",'QA Log'!Z:Z,"Approved",'QA Log'!L:L,"*Vignette [4]: The management of presumptive TB patient*")
  )
)</f>
        <v/>
      </c>
      <c r="AX318" s="105" t="str">
        <f>IF(A318&lt;&gt;"",COUNTIFS('QA Log'!D:D,A318,'QA Log'!M:M,"Vignette",'QA Log'!L:L,"Vignette [1] Respiratory Infection: Pneumonia",'QA Log'!Z:Z,"Approved"),"")</f>
        <v/>
      </c>
      <c r="AY318" s="105" t="str">
        <f>IF(A318&lt;&gt;"",COUNTIFS('QA Log'!D:D,A318,'QA Log'!M:M,"Vignette",'QA Log'!L:L,"Vignette [2]: Diarrhea with Cat B dehydration",'QA Log'!Z:Z,"Approved"),"")</f>
        <v/>
      </c>
      <c r="AZ318" s="105" t="str">
        <f>IF(A318&lt;&gt;"",COUNTIFS('QA Log'!D:D,A318,'QA Log'!M:M,"Vignette",'QA Log'!L:L,"Vignette [3] Growth Monitoring and Promotion",'QA Log'!Z:Z,"Approved"),"")</f>
        <v/>
      </c>
      <c r="BA318" s="105" t="str">
        <f>IF(A318&lt;&gt;"",COUNTIFS('QA Log'!D:D,A318,'QA Log'!M:M,"Vignette",'QA Log'!L:L,"Vignette [4]: The management of presumptive TB patient",'QA Log'!Z:Z,"Approved"),"")</f>
        <v/>
      </c>
      <c r="BB318" s="102" t="str">
        <f>IF(A318="","",
  SUM(
    COUNTIFS('QA Log'!D:D,A318,'QA Log'!M:M,"Vignette",'QA Log'!Z:Z,"Rejected",'QA Log'!L:L,"*Vignette [1] Respiratory Infection: Pneumonia*"),
    COUNTIFS('QA Log'!D:D,A318,'QA Log'!M:M,"Vignette",'QA Log'!Z:Z,"Rejected",'QA Log'!L:L,"*Vignette [2]: Diarrhea with Cat B dehydration*"),
    COUNTIFS('QA Log'!D:D,A318,'QA Log'!M:M,"Vignette",'QA Log'!Z:Z,"Rejected",'QA Log'!L:L,"*Vignette [3] Growth Monitoring and Promotion*"),
    COUNTIFS('QA Log'!D:D,A318,'QA Log'!M:M,"Vignette",'QA Log'!Z:Z,"Rejected",'QA Log'!L:L,"*Vignette [4]: The management of presumptive TB patient*")
  )
)</f>
        <v/>
      </c>
      <c r="BC318" s="107" t="str">
        <f t="shared" si="35"/>
        <v/>
      </c>
      <c r="BD318" s="103" t="str">
        <f t="shared" si="36"/>
        <v/>
      </c>
      <c r="BE318" s="102" t="str">
        <f>IF(A318="","",SUM(
COUNTIFS('QA Log'!D:D,A318,'QA Log'!M:M,"Vignette",'QA Log'!L:L,"*Vignette [5] Labor*"),
COUNTIFS('QA Log'!D:D,A318,'QA Log'!M:M,"Vignette",'QA Log'!L:L,"*Vignette [6] PNC pre Discharge*"),
COUNTIFS('QA Log'!D:D,A318,'QA Log'!M:M,"Vignette",'QA Log'!L:L,"*Vignette [7] First ANC Visit*"),
COUNTIFS('QA Log'!D:D,A318,'QA Log'!M:M,"Vignette",'QA Log'!L:L,"*Vignette [8] Birth Spacing/ Family Planning :  FP Counselling*"),
COUNTIFS('QA Log'!D:D,A318,'QA Log'!M:M,"Vignette",'QA Log'!L:L,"*Vignette [9] Birth Spacing: Change FP method to Injectable*"),
COUNTIFS('QA Log'!D:D,A318,'QA Log'!M:M,"Vignette",'QA Log'!L:L,"*Vignette [10] Post Partum Haemorrhage - Atonic Uterus at Health Centre*"),
)
)</f>
        <v/>
      </c>
      <c r="BF318" s="102" t="str">
        <f>IF(A318="","",
  SUM(
    COUNTIFS('QA Log'!D:D,A318,'QA Log'!M:M,"Vignette",'QA Log'!Z:Z,"Approved",'QA Log'!L:L,"*Vignette [5] Labor*"),
    COUNTIFS('QA Log'!D:D,A318,'QA Log'!M:M,"Vignette",'QA Log'!Z:Z,"Approved",'QA Log'!L:L,"*Vignette [6] PNC pre Discharge*"),
    COUNTIFS('QA Log'!D:D,A318,'QA Log'!M:M,"Vignette",'QA Log'!Z:Z,"Approved",'QA Log'!L:L,"*Vignette [7] First ANC Visit*"),
    COUNTIFS('QA Log'!D:D,A318,'QA Log'!M:M,"Vignette",'QA Log'!Z:Z,"Approved",'QA Log'!L:L,"*Vignette [8] Birth Spacing/ Family Planning :  FP Counselling*"),
    COUNTIFS('QA Log'!D:D,A318,'QA Log'!M:M,"Vignette",'QA Log'!Z:Z,"Approved",'QA Log'!L:L,"*Vignette [9] Birth Spacing: Change FP method to Injectable*"),
    COUNTIFS('QA Log'!D:D,A318,'QA Log'!M:M,"Vignette",'QA Log'!Z:Z,"Approved",'QA Log'!L:L,"*Vignette [10] Post Partum Haemorrhage - Atonic Uterus at Health Centre*")
  )
)</f>
        <v/>
      </c>
      <c r="BG318" s="105" t="str">
        <f>IF(A318&lt;&gt;"",COUNTIFS('QA Log'!D:D,A318,'QA Log'!M:M,"Vignette",'QA Log'!L:L,"Vignette [5] Labor",'QA Log'!Z:Z,"Approved"),"")</f>
        <v/>
      </c>
      <c r="BH318" s="105" t="str">
        <f>IF(A318&lt;&gt;"",COUNTIFS('QA Log'!D:D,A318,'QA Log'!M:M,"Vignette",'QA Log'!L:L,"Vignette [6] PNC pre Discharge",'QA Log'!Z:Z,"Approved"),"")</f>
        <v/>
      </c>
      <c r="BI318" s="105" t="str">
        <f>IF(A318&lt;&gt;"",COUNTIFS('QA Log'!D:D,A318,'QA Log'!M:M,"Vignette",'QA Log'!L:L,"Vignette [7] First ANC Visit",'QA Log'!Z:Z,"Approved"),"")</f>
        <v/>
      </c>
      <c r="BJ318" s="105" t="str">
        <f>IF(A318&lt;&gt;"",COUNTIFS('QA Log'!D:D,A318,'QA Log'!M:M,"Vignette",'QA Log'!L:L,"Vignette [8] Birth Spacing/ Family Planning :  FP Counselling",'QA Log'!Z:Z,"Approved"),"")</f>
        <v/>
      </c>
      <c r="BK318" s="105" t="str">
        <f>IF(A318&lt;&gt;"",COUNTIFS('QA Log'!D:D,A318,'QA Log'!M:M,"Vignette",'QA Log'!L:L,"Vignette [9] Birth Spacing: Change FP method to Injectable",'QA Log'!Z:Z,"Approved"),"")</f>
        <v/>
      </c>
      <c r="BL318" s="105" t="str">
        <f>IF(A318&lt;&gt;"",COUNTIFS('QA Log'!D:D,A318,'QA Log'!M:M,"Vignette",'QA Log'!L:L,"Vignette [10] Post Partum Haemorrhage - Atonic Uterus at Health Centre",'QA Log'!Z:Z,"Approved"),"")</f>
        <v/>
      </c>
      <c r="BM318" s="102" t="str">
        <f>IF(A318="","",SUM(
    COUNTIFS('QA Log'!D:D,A318,'QA Log'!M:M,"Vignette",'QA Log'!Z:Z,"Rejected",'QA Log'!L:L,"*Vignette [5] Labor*"),
    COUNTIFS('QA Log'!D:D,A318,'QA Log'!M:M,"Vignette",'QA Log'!Z:Z,"Rejected",'QA Log'!L:L,"*Vignette [6] PNC pre Discharge*"),
    COUNTIFS('QA Log'!D:D,A318,'QA Log'!M:M,"Vignette",'QA Log'!Z:Z,"Rejected",'QA Log'!L:L,"*Vignette [7] First ANC Visit*"),
    COUNTIFS('QA Log'!D:D,A318,'QA Log'!M:M,"Vignette",'QA Log'!Z:Z,"Rejected",'QA Log'!L:L,"*Vignette [8] Birth Spacing/ Family Planning :  FP Counselling*"),
    COUNTIFS('QA Log'!D:D,A318,'QA Log'!M:M,"Vignette",'QA Log'!Z:Z,"Rejected",'QA Log'!L:L,"*Vignette [9] Birth Spacing: Change FP method to Injectable*"),
    COUNTIFS('QA Log'!D:D,A318,'QA Log'!M:M,"Vignette",'QA Log'!Z:Z,"Rejected",'QA Log'!L:L,"*Vignette [10] Post Partum Haemorrhage - Atonic Uterus at Health Centre*")
  )
)</f>
        <v/>
      </c>
      <c r="BN318" s="107" t="str">
        <f t="shared" si="37"/>
        <v/>
      </c>
      <c r="BO318" s="103" t="str">
        <f t="shared" si="38"/>
        <v/>
      </c>
      <c r="BP318" s="102" t="str">
        <f>IF(A318="","",SUM(
COUNTIFS('QA Log'!D:D,A318,'QA Log'!M:M,"Vignette",'QA Log'!L:L,"*Exit Interview 1*"),
COUNTIFS('QA Log'!D:D,A318,'QA Log'!M:M,"Vignette",'QA Log'!L:L,"*Exit Interview 2*"),
)
)</f>
        <v/>
      </c>
      <c r="BQ318" s="102" t="str">
        <f>IF(
  A318="","",
  SUM(
    COUNTIFS('QA Log'!D:D,A318,'QA Log'!M:M,"Vignette",'QA Log'!Z:Z,"Approved",'QA Log'!L:L,"*Exit Interview 1*"),
    COUNTIFS('QA Log'!D:D,A318,'QA Log'!M:M,"Vignette",'QA Log'!Z:Z,"Approved",'QA Log'!L:L,"*Exit Interview 2*")
  )
)</f>
        <v/>
      </c>
      <c r="BR318" s="105" t="str">
        <f>IF(A318&lt;&gt;"",COUNTIFS('QA Log'!D:D,A318,'QA Log'!M:M,"Vignette",'QA Log'!L:L,"Exit Interview 1",'QA Log'!Z:Z,"Approved"),"")</f>
        <v/>
      </c>
      <c r="BS318" s="105" t="str">
        <f>IF(A318&lt;&gt;"",COUNTIFS('QA Log'!D:D,A318,'QA Log'!M:M,"Vignette",'QA Log'!L:L,"Exit Interview 2",'QA Log'!Z:Z,"Approved"),"")</f>
        <v/>
      </c>
      <c r="BT318" s="102" t="str">
        <f>IF(
  A318="","",
  SUM(
    COUNTIFS('QA Log'!D:D,A318,'QA Log'!M:M,"Vignette",'QA Log'!Z:Z,"Rejected",'QA Log'!L:L,"*Exit Interview 1*"),
    COUNTIFS('QA Log'!D:D,A318,'QA Log'!M:M,"Vignette",'QA Log'!Z:Z,"Rejected",'QA Log'!L:L,"*Exit Interview 2*")
  )
)</f>
        <v/>
      </c>
      <c r="BU318" s="107" t="str">
        <f t="shared" si="39"/>
        <v/>
      </c>
      <c r="BV318" s="102" t="str">
        <f t="shared" si="40"/>
        <v/>
      </c>
      <c r="BW318" s="102" t="str">
        <f t="shared" si="41"/>
        <v/>
      </c>
      <c r="BX318" s="102" t="str">
        <f t="shared" si="42"/>
        <v/>
      </c>
      <c r="BY318" s="102" t="str">
        <f t="shared" si="43"/>
        <v/>
      </c>
      <c r="BZ318" s="107" t="str">
        <f t="shared" si="44"/>
        <v/>
      </c>
      <c r="CA318" s="108" t="str">
        <f t="shared" si="45"/>
        <v/>
      </c>
      <c r="CB318" s="108" t="str">
        <f t="shared" si="46"/>
        <v/>
      </c>
      <c r="CC318" s="109" t="str">
        <f t="shared" si="47"/>
        <v/>
      </c>
      <c r="CD318" s="108" t="str">
        <f t="shared" si="48"/>
        <v/>
      </c>
      <c r="CE318" s="108" t="str">
        <f t="shared" si="49"/>
        <v/>
      </c>
      <c r="CF318" s="109" t="str">
        <f t="shared" si="50"/>
        <v/>
      </c>
      <c r="CG318" s="110" t="str">
        <f t="shared" si="51"/>
        <v/>
      </c>
      <c r="CH318" s="111"/>
    </row>
    <row r="319" spans="1:86" ht="12.75">
      <c r="A319" s="101"/>
      <c r="B319" s="102" t="e">
        <f t="array" aca="1" ref="B319" ca="1">_xludf.XLOOKUP(A319,'QA Log'!D:D,'QA Log'!E:E,"")</f>
        <v>#NAME?</v>
      </c>
      <c r="C319" s="102" t="e">
        <f t="array" aca="1" ref="C319" ca="1">_xludf.XLOOKUP(A319,'QA Log'!D:D,'QA Log'!F:F,"")</f>
        <v>#NAME?</v>
      </c>
      <c r="D319" s="102" t="e">
        <f t="array" aca="1" ref="D319" ca="1">_xludf.XLOOKUP(A319,'QA Log'!D:D,'QA Log'!H:H,"")</f>
        <v>#NAME?</v>
      </c>
      <c r="E319" s="102" t="e">
        <f t="array" aca="1" ref="E319" ca="1">_xludf.XLOOKUP(A319,'QA Log'!D:D,'QA Log'!G:G,"")</f>
        <v>#NAME?</v>
      </c>
      <c r="F319" s="103"/>
      <c r="G319" s="104"/>
      <c r="H319" s="104"/>
      <c r="I319" s="103" t="str">
        <f t="shared" si="26"/>
        <v/>
      </c>
      <c r="J319" s="102" t="str">
        <f>IF(A319="","",SUM(
COUNTIFS('QA Log'!D:D,A319,'QA Log'!M:M,"QQC",'QA Log'!L:L,"*1. General Management*"),
COUNTIFS('QA Log'!D:D,A319,'QA Log'!M:M,"QQC",'QA Log'!L:L,"*3. Curative Consultation (OPD)*"),
COUNTIFS('QA Log'!D:D,A319,'QA Log'!M:M,"QQC",'QA Log'!L:L,"*5. Laboratory*"),
COUNTIFS('QA Log'!D:D,A319,'QA Log'!M:M,"QQC",'QA Log'!L:L,"*6. Essential Medicine Management*"),
COUNTIFS('QA Log'!D:D,A319,'QA Log'!M:M,"QQC",'QA Log'!L:L,"*7. Tracer Medicine*"),
COUNTIFS('QA Log'!D:D,A319,'QA Log'!M:M,"QQC",'QA Log'!L:L,"*11. Additional Questions*")))</f>
        <v/>
      </c>
      <c r="K319" s="102" t="str">
        <f>IF(A319="","",SUM(
COUNTIFS('QA Log'!D:D,A319,'QA Log'!M:M,"QQC",'QA Log'!Z:Z,"Approved",'QA Log'!L:L,"*1. General Management*"),
COUNTIFS('QA Log'!D:D,A319,'QA Log'!M:M,"QQC",'QA Log'!Z:Z,"Approved",'QA Log'!L:L,"*3. Curative Consultation (OPD)*"),
COUNTIFS('QA Log'!D:D,A319,'QA Log'!M:M,"QQC",'QA Log'!Z:Z,"Approved",'QA Log'!L:L,"*5. Laboratory*"),
COUNTIFS('QA Log'!D:D,A319,'QA Log'!M:M,"QQC",'QA Log'!Z:Z,"Approved",'QA Log'!L:L,"*6. Essential Medicine Management*"),
COUNTIFS('QA Log'!D:D,A319,'QA Log'!M:M,"QQC",'QA Log'!Z:Z,"Approved",'QA Log'!L:L,"*7. Tracer Medicine*"),
COUNTIFS('QA Log'!D:D,A319,'QA Log'!M:M,"QQC",'QA Log'!Z:Z,"Approved",'QA Log'!L:L,"*11. Additional Questions*")))</f>
        <v/>
      </c>
      <c r="L319" s="105" t="str">
        <f>IF(A319&lt;&gt;"",COUNTIFS('QA Log'!D:D,A319,'QA Log'!M:M,"QQC",'QA Log'!L:L,"1. General Management",'QA Log'!Z:Z,"Approved"),"")</f>
        <v/>
      </c>
      <c r="M319" s="105" t="str">
        <f>IF(A319&lt;&gt;"",COUNTIFS('QA Log'!D:D,A319,'QA Log'!M:M,"QQC",'QA Log'!L:L,"3. Curative Consultation (OPD)",'QA Log'!Z:Z,"Approved"),"")</f>
        <v/>
      </c>
      <c r="N319" s="105" t="str">
        <f>IF(A319&lt;&gt;"",COUNTIFS('QA Log'!D:D,A319,'QA Log'!M:M,"QQC",'QA Log'!L:L,"5. Laboratory",'QA Log'!Z:Z,"Approved"),"")</f>
        <v/>
      </c>
      <c r="O319" s="105" t="str">
        <f>IF(A319&lt;&gt;"",COUNTIFS('QA Log'!D:D,A319,'QA Log'!M:M,"QQC",'QA Log'!L:L,"6. Essential Medicine Management",'QA Log'!Z:Z,"Approved"),"")</f>
        <v/>
      </c>
      <c r="P319" s="105" t="str">
        <f>IF(A319&lt;&gt;"",COUNTIFS('QA Log'!D:D,A319,'QA Log'!M:M,"QQC",'QA Log'!L:L,"7. Tracer Medicine",'QA Log'!Z:Z,"Approved"),"")</f>
        <v/>
      </c>
      <c r="Q319" s="105" t="str">
        <f>IF(A319&lt;&gt;"",COUNTIFS('QA Log'!D:D,A319,'QA Log'!M:M,"QQC",'QA Log'!L:L,"11. Additional Questions",'QA Log'!Z:Z,"Approved"),"")</f>
        <v/>
      </c>
      <c r="R319" s="102" t="str">
        <f>IF(A319="","",SUM(
COUNTIFS('QA Log'!D:D,A319,'QA Log'!M:M,"QQC",'QA Log'!Z:Z,"Rejected",'QA Log'!L:L,"*8. Maternity*"),
COUNTIFS('QA Log'!D:D,A319,'QA Log'!M:M,"QQC",'QA Log'!Z:Z,"Rejected",'QA Log'!L:L,"*EPI*"),
COUNTIFS('QA Log'!D:D,A319,'QA Log'!M:M,"QQC",'QA Log'!Z:Z,"Rejected",'QA Log'!L:L,"*10. Antenatal Care (ANC)*"),
COUNTIFS('QA Log'!D:D,A319,'QA Log'!M:M,"QQC",'QA Log'!Z:Z,"Rejected",'QA Log'!L:L,"*2. Hygiene and Sterilization*"),
COUNTIFS('QA Log'!D:D,A319,'QA Log'!M:M,"QQC",'QA Log'!Z:Z,"Rejected",'QA Log'!L:L,"*Family Planning*")))</f>
        <v/>
      </c>
      <c r="S319" s="106" t="str">
        <f t="shared" si="27"/>
        <v/>
      </c>
      <c r="T319" s="102" t="str">
        <f t="shared" si="28"/>
        <v/>
      </c>
      <c r="U319" s="102" t="str">
        <f>IF(A319="","",
SUM(
COUNTIFS('QA Log'!D:D,A319,'QA Log'!M:M,"QQC",'QA Log'!L:L,"*8. Maternity*"),
COUNTIFS('QA Log'!D:D,A319,'QA Log'!M:M,"QQC",'QA Log'!L:L,"*9. EPI and Pre-school Consultation*"),
COUNTIFS('QA Log'!D:D,A319,'QA Log'!M:M,"QQC",'QA Log'!L:L,"*10. Antenatal Care (ANC)*"),
COUNTIFS('QA Log'!D:D,A319,'QA Log'!M:M,"QQC",'QA Log'!L:L,"*2. Hygiene and Sterilization*"),
COUNTIFS('QA Log'!D:D,A319,'QA Log'!M:M,"QQC",'QA Log'!L:L,"*4. Family Planning*")
))</f>
        <v/>
      </c>
      <c r="V319" s="102" t="str">
        <f>IF(A319="","",
SUM(
COUNTIFS('QA Log'!D:D,A319,'QA Log'!M:M,"QQC",'QA Log'!Z:Z,"Approved",'QA Log'!L:L,"*8. Maternity*"),
COUNTIFS('QA Log'!D:D,A319,'QA Log'!M:M,"QQC",'QA Log'!Z:Z,"Approved",'QA Log'!L:L,"*9. EPI and Pre-school Consultation*"),
COUNTIFS('QA Log'!D:D,A319,'QA Log'!M:M,"QQC",'QA Log'!Z:Z,"Approved",'QA Log'!L:L,"*10. Antenatal Care (ANC)*"),
COUNTIFS('QA Log'!D:D,A319,'QA Log'!M:M,"QQC",'QA Log'!Z:Z,"Approved",'QA Log'!L:L,"*2. Hygiene and Sterilization*"),
COUNTIFS('QA Log'!D:D,A319,'QA Log'!M:M,"QQC",'QA Log'!Z:Z,"Approved",'QA Log'!L:L,"*4. Family Planning*")
))</f>
        <v/>
      </c>
      <c r="W319" s="105" t="str">
        <f>IF(A319&lt;&gt;"",COUNTIFS('QA Log'!D:D,A319,'QA Log'!M:M,"QQC",'QA Log'!L:L,"8. Maternity",'QA Log'!Z:Z,"Approved"),"")</f>
        <v/>
      </c>
      <c r="X319" s="105" t="str">
        <f>IF(A319&lt;&gt;"",COUNTIFS('QA Log'!D:D,A319,'QA Log'!M:M,"QQC",'QA Log'!L:L,"9. EPI and Pre-school Consultation",'QA Log'!Z:Z,"Approved"),"")</f>
        <v/>
      </c>
      <c r="Y319" s="105" t="str">
        <f>IF(A319&lt;&gt;"",COUNTIFS('QA Log'!D:D,A319,'QA Log'!M:M,"QQC",'QA Log'!L:L,"10. Antenatal Care (ANC)",'QA Log'!Z:Z,"Approved"),"")</f>
        <v/>
      </c>
      <c r="Z319" s="105" t="str">
        <f>IF(A319&lt;&gt;"",COUNTIFS('QA Log'!D:D,A319,'QA Log'!M:M,"QQC",'QA Log'!L:L,"2. Hygiene and Sterilization",'QA Log'!Z:Z,"Approved"),"")</f>
        <v/>
      </c>
      <c r="AA319" s="105" t="str">
        <f>IF(A319&lt;&gt;"",COUNTIFS('QA Log'!D:D,A319,'QA Log'!M:M,"QQC",'QA Log'!L:L,"4. Family Planning",'QA Log'!Z:Z,"Approved"),"")</f>
        <v/>
      </c>
      <c r="AB319" s="102" t="str">
        <f>IF(A319="","",
SUM(
COUNTIFS('QA Log'!D:D,A319,'QA Log'!M:M,"QQC",'QA Log'!Z:Z,"Rejected",'QA Log'!L:L,"*8. Maternity*"),
COUNTIFS('QA Log'!D:D,A319,'QA Log'!M:M,"QQC",'QA Log'!Z:Z,"Rejected",'QA Log'!L:L,"*9. EPI and Pre-school Consultation*"),
COUNTIFS('QA Log'!D:D,A319,'QA Log'!M:M,"QQC",'QA Log'!Z:Z,"Rejected",'QA Log'!L:L,"*10. Antenatal Care (ANC)*"),
COUNTIFS('QA Log'!D:D,A319,'QA Log'!M:M,"QQC",'QA Log'!Z:Z,"Rejected",'QA Log'!L:L,"*2. Hygiene and Sterilization*"),
COUNTIFS('QA Log'!D:D,A319,'QA Log'!M:M,"QQC",'QA Log'!Z:Z,"Rejected",'QA Log'!L:L,"*4. Family Planning*")
))</f>
        <v/>
      </c>
      <c r="AC319" s="102" t="str">
        <f t="shared" si="29"/>
        <v/>
      </c>
      <c r="AD319" s="103" t="str">
        <f t="shared" si="30"/>
        <v/>
      </c>
      <c r="AE319" s="102" t="str">
        <f>IF(A319="","",
SUM(
COUNTIFS('QA Log'!D:D,A319,'QA Log'!M:M,"Data Verification",'QA Log'!L:L,"*Medicine (section 2)*"),
COUNTIFS('QA Log'!D:D,A319,'QA Log'!M:M,"Data Verification",'QA Log'!L:L,"*Lab Testing Availability*"),
COUNTIFS('QA Log'!D:D,A319,'QA Log'!M:M,"Data Verification",'QA Log'!L:L,"*Other than P4P (section 6)*"),
COUNTIFS('QA Log'!D:D,A319,'QA Log'!M:M,"Data Verification",'QA Log'!L:L,"*Hospital Governance*")
))</f>
        <v/>
      </c>
      <c r="AF319" s="102" t="str">
        <f>IF(A319="","",
SUM(
COUNTIFS('QA Log'!D:D,A319,'QA Log'!M:M,"Data Verification",'QA Log'!Z:Z,"Approved",'QA Log'!L:L,"*Medicine (section 2)*"),
COUNTIFS('QA Log'!D:D,A319,'QA Log'!M:M,"Data Verification",'QA Log'!Z:Z,"Approved",'QA Log'!L:L,"*Lab Testing Availability*"),
COUNTIFS('QA Log'!D:D,A319,'QA Log'!M:M,"Data Verification",'QA Log'!Z:Z,"Approved",'QA Log'!L:L,"*Other than P4P (section 6)*"),
COUNTIFS('QA Log'!D:D,A319,'QA Log'!M:M,"Data Verification",'QA Log'!Z:Z,"Approved",'QA Log'!L:L,"*Hospital Governance*")
))</f>
        <v/>
      </c>
      <c r="AG319" s="105" t="str">
        <f>IF(A319&lt;&gt;"",COUNTIFS('QA Log'!D:D,A319,'QA Log'!M:M,"Data Verification",'QA Log'!L:L,"Medicine (section 2)",'QA Log'!Z:Z,"Approved"),"")</f>
        <v/>
      </c>
      <c r="AH319" s="105" t="str">
        <f>IF(A319&lt;&gt;"",COUNTIFS('QA Log'!D:D,A319,'QA Log'!M:M,"Data Verification",'QA Log'!L:L,"Lab Testing Availability",'QA Log'!Z:Z,"Approved"),"")</f>
        <v/>
      </c>
      <c r="AI319" s="105" t="str">
        <f>IF(A319&lt;&gt;"",COUNTIFS('QA Log'!D:D,A319,'QA Log'!M:M,"Data Verification",'QA Log'!L:L,"Other than P4P (section 6)",'QA Log'!Z:Z,"Approved"),"")</f>
        <v/>
      </c>
      <c r="AJ319" s="105" t="str">
        <f>IF(A319&lt;&gt;"",COUNTIFS('QA Log'!D:D,A319,'QA Log'!M:M,"Data Verification",'QA Log'!L:L,"Hospital Governance",'QA Log'!Z:Z,"Approved"),"")</f>
        <v/>
      </c>
      <c r="AK319" s="102" t="str">
        <f>IF(A319="","",
SUM(
COUNTIFS('QA Log'!D:D,A319,'QA Log'!M:M,"Data Verification",'QA Log'!Z:Z,"Rejected",'QA Log'!L:L,"*Medicine (section 2)*"),
COUNTIFS('QA Log'!D:D,A319,'QA Log'!M:M,"Data Verification",'QA Log'!Z:Z,"Rejected",'QA Log'!L:L,"*Lab Testing Availability*"),
COUNTIFS('QA Log'!D:D,A319,'QA Log'!M:M,"Data Verification",'QA Log'!Z:Z,"Rejected",'QA Log'!L:L,"*Other than P4P (section 6)*"),
COUNTIFS('QA Log'!D:D,A319,'QA Log'!M:M,"Data Verification",'QA Log'!Z:Z,"Rejected",'QA Log'!L:L,"*Hospital Governance*")
))</f>
        <v/>
      </c>
      <c r="AL319" s="106" t="str">
        <f t="shared" si="31"/>
        <v/>
      </c>
      <c r="AM319" s="102" t="str">
        <f t="shared" si="32"/>
        <v/>
      </c>
      <c r="AN319" s="102" t="str">
        <f>IF(A319="","",
SUM(
COUNTIFS('QA Log'!D:D,A319,'QA Log'!M:M,"Data Verification",'QA Log'!L:L,"*Personnel (section 1)*"),
COUNTIFS('QA Log'!D:D,A319,'QA Log'!M:M,"Data Verification",'QA Log'!L:L,"*Consumable (section 3)*"),
COUNTIFS('QA Log'!D:D,A319,'QA Log'!M:M,"Data Verification",'QA Log'!L:L,"*Equipments (section 4)*")
))</f>
        <v/>
      </c>
      <c r="AO319" s="102" t="str">
        <f>IF(A319="","",
SUM(
COUNTIFS('QA Log'!D:D,A319,'QA Log'!M:M,"Data Verification",'QA Log'!Z:Z,"Approved",'QA Log'!L:L,"*Personnel (section 1)*"),
COUNTIFS('QA Log'!D:D,A319,'QA Log'!M:M,"Data Verification",'QA Log'!Z:Z,"Approved",'QA Log'!L:L,"*Consumable (section 3)*"),
COUNTIFS('QA Log'!D:D,A319,'QA Log'!M:M,"Data Verification",'QA Log'!Z:Z,"Approved",'QA Log'!L:L,"*Equipments (section 4)*")
))</f>
        <v/>
      </c>
      <c r="AP319" s="105" t="str">
        <f>IF(A319&lt;&gt;"",COUNTIFS('QA Log'!D:D,A319,'QA Log'!M:M,"Data Verification",'QA Log'!L:L,"Personnel (section 1)",'QA Log'!Z:Z,"Approved"),"")</f>
        <v/>
      </c>
      <c r="AQ319" s="105" t="str">
        <f>IF(A319&lt;&gt;"",COUNTIFS('QA Log'!D:D,A319,'QA Log'!M:M,"Data Verification",'QA Log'!L:L,"Consumable (section 3)",'QA Log'!Z:Z,"Approved"),"")</f>
        <v/>
      </c>
      <c r="AR319" s="105" t="str">
        <f>IF(A319&lt;&gt;"",COUNTIFS('QA Log'!D:D,A319,'QA Log'!M:M,"Data Verification",'QA Log'!L:L,"Equipments (section 4)",'QA Log'!Z:Z,"Approved"),"")</f>
        <v/>
      </c>
      <c r="AS319" s="102" t="str">
        <f>IF(A319="","",
SUM(
COUNTIFS('QA Log'!D:D,A319,'QA Log'!M:M,"Data Verification",'QA Log'!Z:Z,"Rejected",'QA Log'!L:L,"*Personnel (section 1)*"),
COUNTIFS('QA Log'!D:D,A319,'QA Log'!M:M,"Data Verification",'QA Log'!Z:Z,"Rejected",'QA Log'!L:L,"*Consumable (section 3)*"),
COUNTIFS('QA Log'!D:D,A319,'QA Log'!M:M,"Data Verification",'QA Log'!Z:Z,"Rejected",'QA Log'!L:L,"*Equipments (section 4)*")
))</f>
        <v/>
      </c>
      <c r="AT319" s="102" t="str">
        <f t="shared" si="33"/>
        <v/>
      </c>
      <c r="AU319" s="103" t="str">
        <f t="shared" si="34"/>
        <v/>
      </c>
      <c r="AV319" s="102" t="str">
        <f>IF(A319="","",SUM(
COUNTIFS('QA Log'!D:D,A319,'QA Log'!M:M,"Vignette",'QA Log'!L:L,"*Vignette [1] Respiratory Infection: Pneumonia*"),
COUNTIFS('QA Log'!D:D,A319,'QA Log'!M:M,"Vignette",'QA Log'!L:L,"*Vignette [2]: Diarrhea with Cat B dehydration*"),
COUNTIFS('QA Log'!D:D,A319,'QA Log'!M:M,"Vignette",'QA Log'!L:L,"*Vignette [3] Growth Monitoring and Promotion*"),
COUNTIFS('QA Log'!D:D,A319,'QA Log'!M:M,"Vignette",'QA Log'!L:L,"*Vignette [4]: The management of presumptive TB patient*")
)
)</f>
        <v/>
      </c>
      <c r="AW319" s="102" t="str">
        <f>IF(
  A319="","",
  SUM(
    COUNTIFS('QA Log'!D:D,A319,'QA Log'!M:M,"Vignette",'QA Log'!Z:Z,"Approved",'QA Log'!L:L,"*Vignette [1] Respiratory Infection: Pneumonia*"),
    COUNTIFS('QA Log'!D:D,A319,'QA Log'!M:M,"Vignette",'QA Log'!Z:Z,"Approved",'QA Log'!L:L,"*Vignette [2]: Diarrhea with Cat B dehydration*"),
    COUNTIFS('QA Log'!D:D,A319,'QA Log'!M:M,"Vignette",'QA Log'!Z:Z,"Approved",'QA Log'!L:L,"*Vignette [3] Growth Monitoring and Promotion*"),
    COUNTIFS('QA Log'!D:D,A319,'QA Log'!M:M,"Vignette",'QA Log'!Z:Z,"Approved",'QA Log'!L:L,"*Vignette [4]: The management of presumptive TB patient*")
  )
)</f>
        <v/>
      </c>
      <c r="AX319" s="105" t="str">
        <f>IF(A319&lt;&gt;"",COUNTIFS('QA Log'!D:D,A319,'QA Log'!M:M,"Vignette",'QA Log'!L:L,"Vignette [1] Respiratory Infection: Pneumonia",'QA Log'!Z:Z,"Approved"),"")</f>
        <v/>
      </c>
      <c r="AY319" s="105" t="str">
        <f>IF(A319&lt;&gt;"",COUNTIFS('QA Log'!D:D,A319,'QA Log'!M:M,"Vignette",'QA Log'!L:L,"Vignette [2]: Diarrhea with Cat B dehydration",'QA Log'!Z:Z,"Approved"),"")</f>
        <v/>
      </c>
      <c r="AZ319" s="105" t="str">
        <f>IF(A319&lt;&gt;"",COUNTIFS('QA Log'!D:D,A319,'QA Log'!M:M,"Vignette",'QA Log'!L:L,"Vignette [3] Growth Monitoring and Promotion",'QA Log'!Z:Z,"Approved"),"")</f>
        <v/>
      </c>
      <c r="BA319" s="105" t="str">
        <f>IF(A319&lt;&gt;"",COUNTIFS('QA Log'!D:D,A319,'QA Log'!M:M,"Vignette",'QA Log'!L:L,"Vignette [4]: The management of presumptive TB patient",'QA Log'!Z:Z,"Approved"),"")</f>
        <v/>
      </c>
      <c r="BB319" s="102" t="str">
        <f>IF(A319="","",
  SUM(
    COUNTIFS('QA Log'!D:D,A319,'QA Log'!M:M,"Vignette",'QA Log'!Z:Z,"Rejected",'QA Log'!L:L,"*Vignette [1] Respiratory Infection: Pneumonia*"),
    COUNTIFS('QA Log'!D:D,A319,'QA Log'!M:M,"Vignette",'QA Log'!Z:Z,"Rejected",'QA Log'!L:L,"*Vignette [2]: Diarrhea with Cat B dehydration*"),
    COUNTIFS('QA Log'!D:D,A319,'QA Log'!M:M,"Vignette",'QA Log'!Z:Z,"Rejected",'QA Log'!L:L,"*Vignette [3] Growth Monitoring and Promotion*"),
    COUNTIFS('QA Log'!D:D,A319,'QA Log'!M:M,"Vignette",'QA Log'!Z:Z,"Rejected",'QA Log'!L:L,"*Vignette [4]: The management of presumptive TB patient*")
  )
)</f>
        <v/>
      </c>
      <c r="BC319" s="107" t="str">
        <f t="shared" si="35"/>
        <v/>
      </c>
      <c r="BD319" s="103" t="str">
        <f t="shared" si="36"/>
        <v/>
      </c>
      <c r="BE319" s="102" t="str">
        <f>IF(A319="","",SUM(
COUNTIFS('QA Log'!D:D,A319,'QA Log'!M:M,"Vignette",'QA Log'!L:L,"*Vignette [5] Labor*"),
COUNTIFS('QA Log'!D:D,A319,'QA Log'!M:M,"Vignette",'QA Log'!L:L,"*Vignette [6] PNC pre Discharge*"),
COUNTIFS('QA Log'!D:D,A319,'QA Log'!M:M,"Vignette",'QA Log'!L:L,"*Vignette [7] First ANC Visit*"),
COUNTIFS('QA Log'!D:D,A319,'QA Log'!M:M,"Vignette",'QA Log'!L:L,"*Vignette [8] Birth Spacing/ Family Planning :  FP Counselling*"),
COUNTIFS('QA Log'!D:D,A319,'QA Log'!M:M,"Vignette",'QA Log'!L:L,"*Vignette [9] Birth Spacing: Change FP method to Injectable*"),
COUNTIFS('QA Log'!D:D,A319,'QA Log'!M:M,"Vignette",'QA Log'!L:L,"*Vignette [10] Post Partum Haemorrhage - Atonic Uterus at Health Centre*"),
)
)</f>
        <v/>
      </c>
      <c r="BF319" s="102" t="str">
        <f>IF(A319="","",
  SUM(
    COUNTIFS('QA Log'!D:D,A319,'QA Log'!M:M,"Vignette",'QA Log'!Z:Z,"Approved",'QA Log'!L:L,"*Vignette [5] Labor*"),
    COUNTIFS('QA Log'!D:D,A319,'QA Log'!M:M,"Vignette",'QA Log'!Z:Z,"Approved",'QA Log'!L:L,"*Vignette [6] PNC pre Discharge*"),
    COUNTIFS('QA Log'!D:D,A319,'QA Log'!M:M,"Vignette",'QA Log'!Z:Z,"Approved",'QA Log'!L:L,"*Vignette [7] First ANC Visit*"),
    COUNTIFS('QA Log'!D:D,A319,'QA Log'!M:M,"Vignette",'QA Log'!Z:Z,"Approved",'QA Log'!L:L,"*Vignette [8] Birth Spacing/ Family Planning :  FP Counselling*"),
    COUNTIFS('QA Log'!D:D,A319,'QA Log'!M:M,"Vignette",'QA Log'!Z:Z,"Approved",'QA Log'!L:L,"*Vignette [9] Birth Spacing: Change FP method to Injectable*"),
    COUNTIFS('QA Log'!D:D,A319,'QA Log'!M:M,"Vignette",'QA Log'!Z:Z,"Approved",'QA Log'!L:L,"*Vignette [10] Post Partum Haemorrhage - Atonic Uterus at Health Centre*")
  )
)</f>
        <v/>
      </c>
      <c r="BG319" s="105" t="str">
        <f>IF(A319&lt;&gt;"",COUNTIFS('QA Log'!D:D,A319,'QA Log'!M:M,"Vignette",'QA Log'!L:L,"Vignette [5] Labor",'QA Log'!Z:Z,"Approved"),"")</f>
        <v/>
      </c>
      <c r="BH319" s="105" t="str">
        <f>IF(A319&lt;&gt;"",COUNTIFS('QA Log'!D:D,A319,'QA Log'!M:M,"Vignette",'QA Log'!L:L,"Vignette [6] PNC pre Discharge",'QA Log'!Z:Z,"Approved"),"")</f>
        <v/>
      </c>
      <c r="BI319" s="105" t="str">
        <f>IF(A319&lt;&gt;"",COUNTIFS('QA Log'!D:D,A319,'QA Log'!M:M,"Vignette",'QA Log'!L:L,"Vignette [7] First ANC Visit",'QA Log'!Z:Z,"Approved"),"")</f>
        <v/>
      </c>
      <c r="BJ319" s="105" t="str">
        <f>IF(A319&lt;&gt;"",COUNTIFS('QA Log'!D:D,A319,'QA Log'!M:M,"Vignette",'QA Log'!L:L,"Vignette [8] Birth Spacing/ Family Planning :  FP Counselling",'QA Log'!Z:Z,"Approved"),"")</f>
        <v/>
      </c>
      <c r="BK319" s="105" t="str">
        <f>IF(A319&lt;&gt;"",COUNTIFS('QA Log'!D:D,A319,'QA Log'!M:M,"Vignette",'QA Log'!L:L,"Vignette [9] Birth Spacing: Change FP method to Injectable",'QA Log'!Z:Z,"Approved"),"")</f>
        <v/>
      </c>
      <c r="BL319" s="105" t="str">
        <f>IF(A319&lt;&gt;"",COUNTIFS('QA Log'!D:D,A319,'QA Log'!M:M,"Vignette",'QA Log'!L:L,"Vignette [10] Post Partum Haemorrhage - Atonic Uterus at Health Centre",'QA Log'!Z:Z,"Approved"),"")</f>
        <v/>
      </c>
      <c r="BM319" s="102" t="str">
        <f>IF(A319="","",SUM(
    COUNTIFS('QA Log'!D:D,A319,'QA Log'!M:M,"Vignette",'QA Log'!Z:Z,"Rejected",'QA Log'!L:L,"*Vignette [5] Labor*"),
    COUNTIFS('QA Log'!D:D,A319,'QA Log'!M:M,"Vignette",'QA Log'!Z:Z,"Rejected",'QA Log'!L:L,"*Vignette [6] PNC pre Discharge*"),
    COUNTIFS('QA Log'!D:D,A319,'QA Log'!M:M,"Vignette",'QA Log'!Z:Z,"Rejected",'QA Log'!L:L,"*Vignette [7] First ANC Visit*"),
    COUNTIFS('QA Log'!D:D,A319,'QA Log'!M:M,"Vignette",'QA Log'!Z:Z,"Rejected",'QA Log'!L:L,"*Vignette [8] Birth Spacing/ Family Planning :  FP Counselling*"),
    COUNTIFS('QA Log'!D:D,A319,'QA Log'!M:M,"Vignette",'QA Log'!Z:Z,"Rejected",'QA Log'!L:L,"*Vignette [9] Birth Spacing: Change FP method to Injectable*"),
    COUNTIFS('QA Log'!D:D,A319,'QA Log'!M:M,"Vignette",'QA Log'!Z:Z,"Rejected",'QA Log'!L:L,"*Vignette [10] Post Partum Haemorrhage - Atonic Uterus at Health Centre*")
  )
)</f>
        <v/>
      </c>
      <c r="BN319" s="107" t="str">
        <f t="shared" si="37"/>
        <v/>
      </c>
      <c r="BO319" s="103" t="str">
        <f t="shared" si="38"/>
        <v/>
      </c>
      <c r="BP319" s="102" t="str">
        <f>IF(A319="","",SUM(
COUNTIFS('QA Log'!D:D,A319,'QA Log'!M:M,"Vignette",'QA Log'!L:L,"*Exit Interview 1*"),
COUNTIFS('QA Log'!D:D,A319,'QA Log'!M:M,"Vignette",'QA Log'!L:L,"*Exit Interview 2*"),
)
)</f>
        <v/>
      </c>
      <c r="BQ319" s="102" t="str">
        <f>IF(
  A319="","",
  SUM(
    COUNTIFS('QA Log'!D:D,A319,'QA Log'!M:M,"Vignette",'QA Log'!Z:Z,"Approved",'QA Log'!L:L,"*Exit Interview 1*"),
    COUNTIFS('QA Log'!D:D,A319,'QA Log'!M:M,"Vignette",'QA Log'!Z:Z,"Approved",'QA Log'!L:L,"*Exit Interview 2*")
  )
)</f>
        <v/>
      </c>
      <c r="BR319" s="105" t="str">
        <f>IF(A319&lt;&gt;"",COUNTIFS('QA Log'!D:D,A319,'QA Log'!M:M,"Vignette",'QA Log'!L:L,"Exit Interview 1",'QA Log'!Z:Z,"Approved"),"")</f>
        <v/>
      </c>
      <c r="BS319" s="105" t="str">
        <f>IF(A319&lt;&gt;"",COUNTIFS('QA Log'!D:D,A319,'QA Log'!M:M,"Vignette",'QA Log'!L:L,"Exit Interview 2",'QA Log'!Z:Z,"Approved"),"")</f>
        <v/>
      </c>
      <c r="BT319" s="102" t="str">
        <f>IF(
  A319="","",
  SUM(
    COUNTIFS('QA Log'!D:D,A319,'QA Log'!M:M,"Vignette",'QA Log'!Z:Z,"Rejected",'QA Log'!L:L,"*Exit Interview 1*"),
    COUNTIFS('QA Log'!D:D,A319,'QA Log'!M:M,"Vignette",'QA Log'!Z:Z,"Rejected",'QA Log'!L:L,"*Exit Interview 2*")
  )
)</f>
        <v/>
      </c>
      <c r="BU319" s="107" t="str">
        <f t="shared" si="39"/>
        <v/>
      </c>
      <c r="BV319" s="102" t="str">
        <f t="shared" si="40"/>
        <v/>
      </c>
      <c r="BW319" s="102" t="str">
        <f t="shared" si="41"/>
        <v/>
      </c>
      <c r="BX319" s="102" t="str">
        <f t="shared" si="42"/>
        <v/>
      </c>
      <c r="BY319" s="102" t="str">
        <f t="shared" si="43"/>
        <v/>
      </c>
      <c r="BZ319" s="107" t="str">
        <f t="shared" si="44"/>
        <v/>
      </c>
      <c r="CA319" s="108" t="str">
        <f t="shared" si="45"/>
        <v/>
      </c>
      <c r="CB319" s="108" t="str">
        <f t="shared" si="46"/>
        <v/>
      </c>
      <c r="CC319" s="109" t="str">
        <f t="shared" si="47"/>
        <v/>
      </c>
      <c r="CD319" s="108" t="str">
        <f t="shared" si="48"/>
        <v/>
      </c>
      <c r="CE319" s="108" t="str">
        <f t="shared" si="49"/>
        <v/>
      </c>
      <c r="CF319" s="109" t="str">
        <f t="shared" si="50"/>
        <v/>
      </c>
      <c r="CG319" s="110" t="str">
        <f t="shared" si="51"/>
        <v/>
      </c>
      <c r="CH319" s="111"/>
    </row>
    <row r="320" spans="1:86" ht="12.75">
      <c r="A320" s="101"/>
      <c r="B320" s="102" t="e">
        <f t="array" aca="1" ref="B320" ca="1">_xludf.XLOOKUP(A320,'QA Log'!D:D,'QA Log'!E:E,"")</f>
        <v>#NAME?</v>
      </c>
      <c r="C320" s="102" t="e">
        <f t="array" aca="1" ref="C320" ca="1">_xludf.XLOOKUP(A320,'QA Log'!D:D,'QA Log'!F:F,"")</f>
        <v>#NAME?</v>
      </c>
      <c r="D320" s="102" t="e">
        <f t="array" aca="1" ref="D320" ca="1">_xludf.XLOOKUP(A320,'QA Log'!D:D,'QA Log'!H:H,"")</f>
        <v>#NAME?</v>
      </c>
      <c r="E320" s="102" t="e">
        <f t="array" aca="1" ref="E320" ca="1">_xludf.XLOOKUP(A320,'QA Log'!D:D,'QA Log'!G:G,"")</f>
        <v>#NAME?</v>
      </c>
      <c r="F320" s="103"/>
      <c r="G320" s="104"/>
      <c r="H320" s="104"/>
      <c r="I320" s="103" t="str">
        <f t="shared" si="26"/>
        <v/>
      </c>
      <c r="J320" s="102" t="str">
        <f>IF(A320="","",SUM(
COUNTIFS('QA Log'!D:D,A320,'QA Log'!M:M,"QQC",'QA Log'!L:L,"*1. General Management*"),
COUNTIFS('QA Log'!D:D,A320,'QA Log'!M:M,"QQC",'QA Log'!L:L,"*3. Curative Consultation (OPD)*"),
COUNTIFS('QA Log'!D:D,A320,'QA Log'!M:M,"QQC",'QA Log'!L:L,"*5. Laboratory*"),
COUNTIFS('QA Log'!D:D,A320,'QA Log'!M:M,"QQC",'QA Log'!L:L,"*6. Essential Medicine Management*"),
COUNTIFS('QA Log'!D:D,A320,'QA Log'!M:M,"QQC",'QA Log'!L:L,"*7. Tracer Medicine*"),
COUNTIFS('QA Log'!D:D,A320,'QA Log'!M:M,"QQC",'QA Log'!L:L,"*11. Additional Questions*")))</f>
        <v/>
      </c>
      <c r="K320" s="102" t="str">
        <f>IF(A320="","",SUM(
COUNTIFS('QA Log'!D:D,A320,'QA Log'!M:M,"QQC",'QA Log'!Z:Z,"Approved",'QA Log'!L:L,"*1. General Management*"),
COUNTIFS('QA Log'!D:D,A320,'QA Log'!M:M,"QQC",'QA Log'!Z:Z,"Approved",'QA Log'!L:L,"*3. Curative Consultation (OPD)*"),
COUNTIFS('QA Log'!D:D,A320,'QA Log'!M:M,"QQC",'QA Log'!Z:Z,"Approved",'QA Log'!L:L,"*5. Laboratory*"),
COUNTIFS('QA Log'!D:D,A320,'QA Log'!M:M,"QQC",'QA Log'!Z:Z,"Approved",'QA Log'!L:L,"*6. Essential Medicine Management*"),
COUNTIFS('QA Log'!D:D,A320,'QA Log'!M:M,"QQC",'QA Log'!Z:Z,"Approved",'QA Log'!L:L,"*7. Tracer Medicine*"),
COUNTIFS('QA Log'!D:D,A320,'QA Log'!M:M,"QQC",'QA Log'!Z:Z,"Approved",'QA Log'!L:L,"*11. Additional Questions*")))</f>
        <v/>
      </c>
      <c r="L320" s="105" t="str">
        <f>IF(A320&lt;&gt;"",COUNTIFS('QA Log'!D:D,A320,'QA Log'!M:M,"QQC",'QA Log'!L:L,"1. General Management",'QA Log'!Z:Z,"Approved"),"")</f>
        <v/>
      </c>
      <c r="M320" s="105" t="str">
        <f>IF(A320&lt;&gt;"",COUNTIFS('QA Log'!D:D,A320,'QA Log'!M:M,"QQC",'QA Log'!L:L,"3. Curative Consultation (OPD)",'QA Log'!Z:Z,"Approved"),"")</f>
        <v/>
      </c>
      <c r="N320" s="105" t="str">
        <f>IF(A320&lt;&gt;"",COUNTIFS('QA Log'!D:D,A320,'QA Log'!M:M,"QQC",'QA Log'!L:L,"5. Laboratory",'QA Log'!Z:Z,"Approved"),"")</f>
        <v/>
      </c>
      <c r="O320" s="105" t="str">
        <f>IF(A320&lt;&gt;"",COUNTIFS('QA Log'!D:D,A320,'QA Log'!M:M,"QQC",'QA Log'!L:L,"6. Essential Medicine Management",'QA Log'!Z:Z,"Approved"),"")</f>
        <v/>
      </c>
      <c r="P320" s="105" t="str">
        <f>IF(A320&lt;&gt;"",COUNTIFS('QA Log'!D:D,A320,'QA Log'!M:M,"QQC",'QA Log'!L:L,"7. Tracer Medicine",'QA Log'!Z:Z,"Approved"),"")</f>
        <v/>
      </c>
      <c r="Q320" s="105" t="str">
        <f>IF(A320&lt;&gt;"",COUNTIFS('QA Log'!D:D,A320,'QA Log'!M:M,"QQC",'QA Log'!L:L,"11. Additional Questions",'QA Log'!Z:Z,"Approved"),"")</f>
        <v/>
      </c>
      <c r="R320" s="102" t="str">
        <f>IF(A320="","",SUM(
COUNTIFS('QA Log'!D:D,A320,'QA Log'!M:M,"QQC",'QA Log'!Z:Z,"Rejected",'QA Log'!L:L,"*8. Maternity*"),
COUNTIFS('QA Log'!D:D,A320,'QA Log'!M:M,"QQC",'QA Log'!Z:Z,"Rejected",'QA Log'!L:L,"*EPI*"),
COUNTIFS('QA Log'!D:D,A320,'QA Log'!M:M,"QQC",'QA Log'!Z:Z,"Rejected",'QA Log'!L:L,"*10. Antenatal Care (ANC)*"),
COUNTIFS('QA Log'!D:D,A320,'QA Log'!M:M,"QQC",'QA Log'!Z:Z,"Rejected",'QA Log'!L:L,"*2. Hygiene and Sterilization*"),
COUNTIFS('QA Log'!D:D,A320,'QA Log'!M:M,"QQC",'QA Log'!Z:Z,"Rejected",'QA Log'!L:L,"*Family Planning*")))</f>
        <v/>
      </c>
      <c r="S320" s="106" t="str">
        <f t="shared" si="27"/>
        <v/>
      </c>
      <c r="T320" s="102" t="str">
        <f t="shared" si="28"/>
        <v/>
      </c>
      <c r="U320" s="102" t="str">
        <f>IF(A320="","",
SUM(
COUNTIFS('QA Log'!D:D,A320,'QA Log'!M:M,"QQC",'QA Log'!L:L,"*8. Maternity*"),
COUNTIFS('QA Log'!D:D,A320,'QA Log'!M:M,"QQC",'QA Log'!L:L,"*9. EPI and Pre-school Consultation*"),
COUNTIFS('QA Log'!D:D,A320,'QA Log'!M:M,"QQC",'QA Log'!L:L,"*10. Antenatal Care (ANC)*"),
COUNTIFS('QA Log'!D:D,A320,'QA Log'!M:M,"QQC",'QA Log'!L:L,"*2. Hygiene and Sterilization*"),
COUNTIFS('QA Log'!D:D,A320,'QA Log'!M:M,"QQC",'QA Log'!L:L,"*4. Family Planning*")
))</f>
        <v/>
      </c>
      <c r="V320" s="102" t="str">
        <f>IF(A320="","",
SUM(
COUNTIFS('QA Log'!D:D,A320,'QA Log'!M:M,"QQC",'QA Log'!Z:Z,"Approved",'QA Log'!L:L,"*8. Maternity*"),
COUNTIFS('QA Log'!D:D,A320,'QA Log'!M:M,"QQC",'QA Log'!Z:Z,"Approved",'QA Log'!L:L,"*9. EPI and Pre-school Consultation*"),
COUNTIFS('QA Log'!D:D,A320,'QA Log'!M:M,"QQC",'QA Log'!Z:Z,"Approved",'QA Log'!L:L,"*10. Antenatal Care (ANC)*"),
COUNTIFS('QA Log'!D:D,A320,'QA Log'!M:M,"QQC",'QA Log'!Z:Z,"Approved",'QA Log'!L:L,"*2. Hygiene and Sterilization*"),
COUNTIFS('QA Log'!D:D,A320,'QA Log'!M:M,"QQC",'QA Log'!Z:Z,"Approved",'QA Log'!L:L,"*4. Family Planning*")
))</f>
        <v/>
      </c>
      <c r="W320" s="105" t="str">
        <f>IF(A320&lt;&gt;"",COUNTIFS('QA Log'!D:D,A320,'QA Log'!M:M,"QQC",'QA Log'!L:L,"8. Maternity",'QA Log'!Z:Z,"Approved"),"")</f>
        <v/>
      </c>
      <c r="X320" s="105" t="str">
        <f>IF(A320&lt;&gt;"",COUNTIFS('QA Log'!D:D,A320,'QA Log'!M:M,"QQC",'QA Log'!L:L,"9. EPI and Pre-school Consultation",'QA Log'!Z:Z,"Approved"),"")</f>
        <v/>
      </c>
      <c r="Y320" s="105" t="str">
        <f>IF(A320&lt;&gt;"",COUNTIFS('QA Log'!D:D,A320,'QA Log'!M:M,"QQC",'QA Log'!L:L,"10. Antenatal Care (ANC)",'QA Log'!Z:Z,"Approved"),"")</f>
        <v/>
      </c>
      <c r="Z320" s="105" t="str">
        <f>IF(A320&lt;&gt;"",COUNTIFS('QA Log'!D:D,A320,'QA Log'!M:M,"QQC",'QA Log'!L:L,"2. Hygiene and Sterilization",'QA Log'!Z:Z,"Approved"),"")</f>
        <v/>
      </c>
      <c r="AA320" s="105" t="str">
        <f>IF(A320&lt;&gt;"",COUNTIFS('QA Log'!D:D,A320,'QA Log'!M:M,"QQC",'QA Log'!L:L,"4. Family Planning",'QA Log'!Z:Z,"Approved"),"")</f>
        <v/>
      </c>
      <c r="AB320" s="102" t="str">
        <f>IF(A320="","",
SUM(
COUNTIFS('QA Log'!D:D,A320,'QA Log'!M:M,"QQC",'QA Log'!Z:Z,"Rejected",'QA Log'!L:L,"*8. Maternity*"),
COUNTIFS('QA Log'!D:D,A320,'QA Log'!M:M,"QQC",'QA Log'!Z:Z,"Rejected",'QA Log'!L:L,"*9. EPI and Pre-school Consultation*"),
COUNTIFS('QA Log'!D:D,A320,'QA Log'!M:M,"QQC",'QA Log'!Z:Z,"Rejected",'QA Log'!L:L,"*10. Antenatal Care (ANC)*"),
COUNTIFS('QA Log'!D:D,A320,'QA Log'!M:M,"QQC",'QA Log'!Z:Z,"Rejected",'QA Log'!L:L,"*2. Hygiene and Sterilization*"),
COUNTIFS('QA Log'!D:D,A320,'QA Log'!M:M,"QQC",'QA Log'!Z:Z,"Rejected",'QA Log'!L:L,"*4. Family Planning*")
))</f>
        <v/>
      </c>
      <c r="AC320" s="102" t="str">
        <f t="shared" si="29"/>
        <v/>
      </c>
      <c r="AD320" s="103" t="str">
        <f t="shared" si="30"/>
        <v/>
      </c>
      <c r="AE320" s="102" t="str">
        <f>IF(A320="","",
SUM(
COUNTIFS('QA Log'!D:D,A320,'QA Log'!M:M,"Data Verification",'QA Log'!L:L,"*Medicine (section 2)*"),
COUNTIFS('QA Log'!D:D,A320,'QA Log'!M:M,"Data Verification",'QA Log'!L:L,"*Lab Testing Availability*"),
COUNTIFS('QA Log'!D:D,A320,'QA Log'!M:M,"Data Verification",'QA Log'!L:L,"*Other than P4P (section 6)*"),
COUNTIFS('QA Log'!D:D,A320,'QA Log'!M:M,"Data Verification",'QA Log'!L:L,"*Hospital Governance*")
))</f>
        <v/>
      </c>
      <c r="AF320" s="102" t="str">
        <f>IF(A320="","",
SUM(
COUNTIFS('QA Log'!D:D,A320,'QA Log'!M:M,"Data Verification",'QA Log'!Z:Z,"Approved",'QA Log'!L:L,"*Medicine (section 2)*"),
COUNTIFS('QA Log'!D:D,A320,'QA Log'!M:M,"Data Verification",'QA Log'!Z:Z,"Approved",'QA Log'!L:L,"*Lab Testing Availability*"),
COUNTIFS('QA Log'!D:D,A320,'QA Log'!M:M,"Data Verification",'QA Log'!Z:Z,"Approved",'QA Log'!L:L,"*Other than P4P (section 6)*"),
COUNTIFS('QA Log'!D:D,A320,'QA Log'!M:M,"Data Verification",'QA Log'!Z:Z,"Approved",'QA Log'!L:L,"*Hospital Governance*")
))</f>
        <v/>
      </c>
      <c r="AG320" s="105" t="str">
        <f>IF(A320&lt;&gt;"",COUNTIFS('QA Log'!D:D,A320,'QA Log'!M:M,"Data Verification",'QA Log'!L:L,"Medicine (section 2)",'QA Log'!Z:Z,"Approved"),"")</f>
        <v/>
      </c>
      <c r="AH320" s="105" t="str">
        <f>IF(A320&lt;&gt;"",COUNTIFS('QA Log'!D:D,A320,'QA Log'!M:M,"Data Verification",'QA Log'!L:L,"Lab Testing Availability",'QA Log'!Z:Z,"Approved"),"")</f>
        <v/>
      </c>
      <c r="AI320" s="105" t="str">
        <f>IF(A320&lt;&gt;"",COUNTIFS('QA Log'!D:D,A320,'QA Log'!M:M,"Data Verification",'QA Log'!L:L,"Other than P4P (section 6)",'QA Log'!Z:Z,"Approved"),"")</f>
        <v/>
      </c>
      <c r="AJ320" s="105" t="str">
        <f>IF(A320&lt;&gt;"",COUNTIFS('QA Log'!D:D,A320,'QA Log'!M:M,"Data Verification",'QA Log'!L:L,"Hospital Governance",'QA Log'!Z:Z,"Approved"),"")</f>
        <v/>
      </c>
      <c r="AK320" s="102" t="str">
        <f>IF(A320="","",
SUM(
COUNTIFS('QA Log'!D:D,A320,'QA Log'!M:M,"Data Verification",'QA Log'!Z:Z,"Rejected",'QA Log'!L:L,"*Medicine (section 2)*"),
COUNTIFS('QA Log'!D:D,A320,'QA Log'!M:M,"Data Verification",'QA Log'!Z:Z,"Rejected",'QA Log'!L:L,"*Lab Testing Availability*"),
COUNTIFS('QA Log'!D:D,A320,'QA Log'!M:M,"Data Verification",'QA Log'!Z:Z,"Rejected",'QA Log'!L:L,"*Other than P4P (section 6)*"),
COUNTIFS('QA Log'!D:D,A320,'QA Log'!M:M,"Data Verification",'QA Log'!Z:Z,"Rejected",'QA Log'!L:L,"*Hospital Governance*")
))</f>
        <v/>
      </c>
      <c r="AL320" s="106" t="str">
        <f t="shared" si="31"/>
        <v/>
      </c>
      <c r="AM320" s="102" t="str">
        <f t="shared" si="32"/>
        <v/>
      </c>
      <c r="AN320" s="102" t="str">
        <f>IF(A320="","",
SUM(
COUNTIFS('QA Log'!D:D,A320,'QA Log'!M:M,"Data Verification",'QA Log'!L:L,"*Personnel (section 1)*"),
COUNTIFS('QA Log'!D:D,A320,'QA Log'!M:M,"Data Verification",'QA Log'!L:L,"*Consumable (section 3)*"),
COUNTIFS('QA Log'!D:D,A320,'QA Log'!M:M,"Data Verification",'QA Log'!L:L,"*Equipments (section 4)*")
))</f>
        <v/>
      </c>
      <c r="AO320" s="102" t="str">
        <f>IF(A320="","",
SUM(
COUNTIFS('QA Log'!D:D,A320,'QA Log'!M:M,"Data Verification",'QA Log'!Z:Z,"Approved",'QA Log'!L:L,"*Personnel (section 1)*"),
COUNTIFS('QA Log'!D:D,A320,'QA Log'!M:M,"Data Verification",'QA Log'!Z:Z,"Approved",'QA Log'!L:L,"*Consumable (section 3)*"),
COUNTIFS('QA Log'!D:D,A320,'QA Log'!M:M,"Data Verification",'QA Log'!Z:Z,"Approved",'QA Log'!L:L,"*Equipments (section 4)*")
))</f>
        <v/>
      </c>
      <c r="AP320" s="105" t="str">
        <f>IF(A320&lt;&gt;"",COUNTIFS('QA Log'!D:D,A320,'QA Log'!M:M,"Data Verification",'QA Log'!L:L,"Personnel (section 1)",'QA Log'!Z:Z,"Approved"),"")</f>
        <v/>
      </c>
      <c r="AQ320" s="105" t="str">
        <f>IF(A320&lt;&gt;"",COUNTIFS('QA Log'!D:D,A320,'QA Log'!M:M,"Data Verification",'QA Log'!L:L,"Consumable (section 3)",'QA Log'!Z:Z,"Approved"),"")</f>
        <v/>
      </c>
      <c r="AR320" s="105" t="str">
        <f>IF(A320&lt;&gt;"",COUNTIFS('QA Log'!D:D,A320,'QA Log'!M:M,"Data Verification",'QA Log'!L:L,"Equipments (section 4)",'QA Log'!Z:Z,"Approved"),"")</f>
        <v/>
      </c>
      <c r="AS320" s="102" t="str">
        <f>IF(A320="","",
SUM(
COUNTIFS('QA Log'!D:D,A320,'QA Log'!M:M,"Data Verification",'QA Log'!Z:Z,"Rejected",'QA Log'!L:L,"*Personnel (section 1)*"),
COUNTIFS('QA Log'!D:D,A320,'QA Log'!M:M,"Data Verification",'QA Log'!Z:Z,"Rejected",'QA Log'!L:L,"*Consumable (section 3)*"),
COUNTIFS('QA Log'!D:D,A320,'QA Log'!M:M,"Data Verification",'QA Log'!Z:Z,"Rejected",'QA Log'!L:L,"*Equipments (section 4)*")
))</f>
        <v/>
      </c>
      <c r="AT320" s="102" t="str">
        <f t="shared" si="33"/>
        <v/>
      </c>
      <c r="AU320" s="103" t="str">
        <f t="shared" si="34"/>
        <v/>
      </c>
      <c r="AV320" s="102" t="str">
        <f>IF(A320="","",SUM(
COUNTIFS('QA Log'!D:D,A320,'QA Log'!M:M,"Vignette",'QA Log'!L:L,"*Vignette [1] Respiratory Infection: Pneumonia*"),
COUNTIFS('QA Log'!D:D,A320,'QA Log'!M:M,"Vignette",'QA Log'!L:L,"*Vignette [2]: Diarrhea with Cat B dehydration*"),
COUNTIFS('QA Log'!D:D,A320,'QA Log'!M:M,"Vignette",'QA Log'!L:L,"*Vignette [3] Growth Monitoring and Promotion*"),
COUNTIFS('QA Log'!D:D,A320,'QA Log'!M:M,"Vignette",'QA Log'!L:L,"*Vignette [4]: The management of presumptive TB patient*")
)
)</f>
        <v/>
      </c>
      <c r="AW320" s="102" t="str">
        <f>IF(
  A320="","",
  SUM(
    COUNTIFS('QA Log'!D:D,A320,'QA Log'!M:M,"Vignette",'QA Log'!Z:Z,"Approved",'QA Log'!L:L,"*Vignette [1] Respiratory Infection: Pneumonia*"),
    COUNTIFS('QA Log'!D:D,A320,'QA Log'!M:M,"Vignette",'QA Log'!Z:Z,"Approved",'QA Log'!L:L,"*Vignette [2]: Diarrhea with Cat B dehydration*"),
    COUNTIFS('QA Log'!D:D,A320,'QA Log'!M:M,"Vignette",'QA Log'!Z:Z,"Approved",'QA Log'!L:L,"*Vignette [3] Growth Monitoring and Promotion*"),
    COUNTIFS('QA Log'!D:D,A320,'QA Log'!M:M,"Vignette",'QA Log'!Z:Z,"Approved",'QA Log'!L:L,"*Vignette [4]: The management of presumptive TB patient*")
  )
)</f>
        <v/>
      </c>
      <c r="AX320" s="105" t="str">
        <f>IF(A320&lt;&gt;"",COUNTIFS('QA Log'!D:D,A320,'QA Log'!M:M,"Vignette",'QA Log'!L:L,"Vignette [1] Respiratory Infection: Pneumonia",'QA Log'!Z:Z,"Approved"),"")</f>
        <v/>
      </c>
      <c r="AY320" s="105" t="str">
        <f>IF(A320&lt;&gt;"",COUNTIFS('QA Log'!D:D,A320,'QA Log'!M:M,"Vignette",'QA Log'!L:L,"Vignette [2]: Diarrhea with Cat B dehydration",'QA Log'!Z:Z,"Approved"),"")</f>
        <v/>
      </c>
      <c r="AZ320" s="105" t="str">
        <f>IF(A320&lt;&gt;"",COUNTIFS('QA Log'!D:D,A320,'QA Log'!M:M,"Vignette",'QA Log'!L:L,"Vignette [3] Growth Monitoring and Promotion",'QA Log'!Z:Z,"Approved"),"")</f>
        <v/>
      </c>
      <c r="BA320" s="105" t="str">
        <f>IF(A320&lt;&gt;"",COUNTIFS('QA Log'!D:D,A320,'QA Log'!M:M,"Vignette",'QA Log'!L:L,"Vignette [4]: The management of presumptive TB patient",'QA Log'!Z:Z,"Approved"),"")</f>
        <v/>
      </c>
      <c r="BB320" s="102" t="str">
        <f>IF(A320="","",
  SUM(
    COUNTIFS('QA Log'!D:D,A320,'QA Log'!M:M,"Vignette",'QA Log'!Z:Z,"Rejected",'QA Log'!L:L,"*Vignette [1] Respiratory Infection: Pneumonia*"),
    COUNTIFS('QA Log'!D:D,A320,'QA Log'!M:M,"Vignette",'QA Log'!Z:Z,"Rejected",'QA Log'!L:L,"*Vignette [2]: Diarrhea with Cat B dehydration*"),
    COUNTIFS('QA Log'!D:D,A320,'QA Log'!M:M,"Vignette",'QA Log'!Z:Z,"Rejected",'QA Log'!L:L,"*Vignette [3] Growth Monitoring and Promotion*"),
    COUNTIFS('QA Log'!D:D,A320,'QA Log'!M:M,"Vignette",'QA Log'!Z:Z,"Rejected",'QA Log'!L:L,"*Vignette [4]: The management of presumptive TB patient*")
  )
)</f>
        <v/>
      </c>
      <c r="BC320" s="107" t="str">
        <f t="shared" si="35"/>
        <v/>
      </c>
      <c r="BD320" s="103" t="str">
        <f t="shared" si="36"/>
        <v/>
      </c>
      <c r="BE320" s="102" t="str">
        <f>IF(A320="","",SUM(
COUNTIFS('QA Log'!D:D,A320,'QA Log'!M:M,"Vignette",'QA Log'!L:L,"*Vignette [5] Labor*"),
COUNTIFS('QA Log'!D:D,A320,'QA Log'!M:M,"Vignette",'QA Log'!L:L,"*Vignette [6] PNC pre Discharge*"),
COUNTIFS('QA Log'!D:D,A320,'QA Log'!M:M,"Vignette",'QA Log'!L:L,"*Vignette [7] First ANC Visit*"),
COUNTIFS('QA Log'!D:D,A320,'QA Log'!M:M,"Vignette",'QA Log'!L:L,"*Vignette [8] Birth Spacing/ Family Planning :  FP Counselling*"),
COUNTIFS('QA Log'!D:D,A320,'QA Log'!M:M,"Vignette",'QA Log'!L:L,"*Vignette [9] Birth Spacing: Change FP method to Injectable*"),
COUNTIFS('QA Log'!D:D,A320,'QA Log'!M:M,"Vignette",'QA Log'!L:L,"*Vignette [10] Post Partum Haemorrhage - Atonic Uterus at Health Centre*"),
)
)</f>
        <v/>
      </c>
      <c r="BF320" s="102" t="str">
        <f>IF(A320="","",
  SUM(
    COUNTIFS('QA Log'!D:D,A320,'QA Log'!M:M,"Vignette",'QA Log'!Z:Z,"Approved",'QA Log'!L:L,"*Vignette [5] Labor*"),
    COUNTIFS('QA Log'!D:D,A320,'QA Log'!M:M,"Vignette",'QA Log'!Z:Z,"Approved",'QA Log'!L:L,"*Vignette [6] PNC pre Discharge*"),
    COUNTIFS('QA Log'!D:D,A320,'QA Log'!M:M,"Vignette",'QA Log'!Z:Z,"Approved",'QA Log'!L:L,"*Vignette [7] First ANC Visit*"),
    COUNTIFS('QA Log'!D:D,A320,'QA Log'!M:M,"Vignette",'QA Log'!Z:Z,"Approved",'QA Log'!L:L,"*Vignette [8] Birth Spacing/ Family Planning :  FP Counselling*"),
    COUNTIFS('QA Log'!D:D,A320,'QA Log'!M:M,"Vignette",'QA Log'!Z:Z,"Approved",'QA Log'!L:L,"*Vignette [9] Birth Spacing: Change FP method to Injectable*"),
    COUNTIFS('QA Log'!D:D,A320,'QA Log'!M:M,"Vignette",'QA Log'!Z:Z,"Approved",'QA Log'!L:L,"*Vignette [10] Post Partum Haemorrhage - Atonic Uterus at Health Centre*")
  )
)</f>
        <v/>
      </c>
      <c r="BG320" s="105" t="str">
        <f>IF(A320&lt;&gt;"",COUNTIFS('QA Log'!D:D,A320,'QA Log'!M:M,"Vignette",'QA Log'!L:L,"Vignette [5] Labor",'QA Log'!Z:Z,"Approved"),"")</f>
        <v/>
      </c>
      <c r="BH320" s="105" t="str">
        <f>IF(A320&lt;&gt;"",COUNTIFS('QA Log'!D:D,A320,'QA Log'!M:M,"Vignette",'QA Log'!L:L,"Vignette [6] PNC pre Discharge",'QA Log'!Z:Z,"Approved"),"")</f>
        <v/>
      </c>
      <c r="BI320" s="105" t="str">
        <f>IF(A320&lt;&gt;"",COUNTIFS('QA Log'!D:D,A320,'QA Log'!M:M,"Vignette",'QA Log'!L:L,"Vignette [7] First ANC Visit",'QA Log'!Z:Z,"Approved"),"")</f>
        <v/>
      </c>
      <c r="BJ320" s="105" t="str">
        <f>IF(A320&lt;&gt;"",COUNTIFS('QA Log'!D:D,A320,'QA Log'!M:M,"Vignette",'QA Log'!L:L,"Vignette [8] Birth Spacing/ Family Planning :  FP Counselling",'QA Log'!Z:Z,"Approved"),"")</f>
        <v/>
      </c>
      <c r="BK320" s="105" t="str">
        <f>IF(A320&lt;&gt;"",COUNTIFS('QA Log'!D:D,A320,'QA Log'!M:M,"Vignette",'QA Log'!L:L,"Vignette [9] Birth Spacing: Change FP method to Injectable",'QA Log'!Z:Z,"Approved"),"")</f>
        <v/>
      </c>
      <c r="BL320" s="105" t="str">
        <f>IF(A320&lt;&gt;"",COUNTIFS('QA Log'!D:D,A320,'QA Log'!M:M,"Vignette",'QA Log'!L:L,"Vignette [10] Post Partum Haemorrhage - Atonic Uterus at Health Centre",'QA Log'!Z:Z,"Approved"),"")</f>
        <v/>
      </c>
      <c r="BM320" s="102" t="str">
        <f>IF(A320="","",SUM(
    COUNTIFS('QA Log'!D:D,A320,'QA Log'!M:M,"Vignette",'QA Log'!Z:Z,"Rejected",'QA Log'!L:L,"*Vignette [5] Labor*"),
    COUNTIFS('QA Log'!D:D,A320,'QA Log'!M:M,"Vignette",'QA Log'!Z:Z,"Rejected",'QA Log'!L:L,"*Vignette [6] PNC pre Discharge*"),
    COUNTIFS('QA Log'!D:D,A320,'QA Log'!M:M,"Vignette",'QA Log'!Z:Z,"Rejected",'QA Log'!L:L,"*Vignette [7] First ANC Visit*"),
    COUNTIFS('QA Log'!D:D,A320,'QA Log'!M:M,"Vignette",'QA Log'!Z:Z,"Rejected",'QA Log'!L:L,"*Vignette [8] Birth Spacing/ Family Planning :  FP Counselling*"),
    COUNTIFS('QA Log'!D:D,A320,'QA Log'!M:M,"Vignette",'QA Log'!Z:Z,"Rejected",'QA Log'!L:L,"*Vignette [9] Birth Spacing: Change FP method to Injectable*"),
    COUNTIFS('QA Log'!D:D,A320,'QA Log'!M:M,"Vignette",'QA Log'!Z:Z,"Rejected",'QA Log'!L:L,"*Vignette [10] Post Partum Haemorrhage - Atonic Uterus at Health Centre*")
  )
)</f>
        <v/>
      </c>
      <c r="BN320" s="107" t="str">
        <f t="shared" si="37"/>
        <v/>
      </c>
      <c r="BO320" s="103" t="str">
        <f t="shared" si="38"/>
        <v/>
      </c>
      <c r="BP320" s="102" t="str">
        <f>IF(A320="","",SUM(
COUNTIFS('QA Log'!D:D,A320,'QA Log'!M:M,"Vignette",'QA Log'!L:L,"*Exit Interview 1*"),
COUNTIFS('QA Log'!D:D,A320,'QA Log'!M:M,"Vignette",'QA Log'!L:L,"*Exit Interview 2*"),
)
)</f>
        <v/>
      </c>
      <c r="BQ320" s="102" t="str">
        <f>IF(
  A320="","",
  SUM(
    COUNTIFS('QA Log'!D:D,A320,'QA Log'!M:M,"Vignette",'QA Log'!Z:Z,"Approved",'QA Log'!L:L,"*Exit Interview 1*"),
    COUNTIFS('QA Log'!D:D,A320,'QA Log'!M:M,"Vignette",'QA Log'!Z:Z,"Approved",'QA Log'!L:L,"*Exit Interview 2*")
  )
)</f>
        <v/>
      </c>
      <c r="BR320" s="105" t="str">
        <f>IF(A320&lt;&gt;"",COUNTIFS('QA Log'!D:D,A320,'QA Log'!M:M,"Vignette",'QA Log'!L:L,"Exit Interview 1",'QA Log'!Z:Z,"Approved"),"")</f>
        <v/>
      </c>
      <c r="BS320" s="105" t="str">
        <f>IF(A320&lt;&gt;"",COUNTIFS('QA Log'!D:D,A320,'QA Log'!M:M,"Vignette",'QA Log'!L:L,"Exit Interview 2",'QA Log'!Z:Z,"Approved"),"")</f>
        <v/>
      </c>
      <c r="BT320" s="102" t="str">
        <f>IF(
  A320="","",
  SUM(
    COUNTIFS('QA Log'!D:D,A320,'QA Log'!M:M,"Vignette",'QA Log'!Z:Z,"Rejected",'QA Log'!L:L,"*Exit Interview 1*"),
    COUNTIFS('QA Log'!D:D,A320,'QA Log'!M:M,"Vignette",'QA Log'!Z:Z,"Rejected",'QA Log'!L:L,"*Exit Interview 2*")
  )
)</f>
        <v/>
      </c>
      <c r="BU320" s="107" t="str">
        <f t="shared" si="39"/>
        <v/>
      </c>
      <c r="BV320" s="102" t="str">
        <f t="shared" si="40"/>
        <v/>
      </c>
      <c r="BW320" s="102" t="str">
        <f t="shared" si="41"/>
        <v/>
      </c>
      <c r="BX320" s="102" t="str">
        <f t="shared" si="42"/>
        <v/>
      </c>
      <c r="BY320" s="102" t="str">
        <f t="shared" si="43"/>
        <v/>
      </c>
      <c r="BZ320" s="107" t="str">
        <f t="shared" si="44"/>
        <v/>
      </c>
      <c r="CA320" s="108" t="str">
        <f t="shared" si="45"/>
        <v/>
      </c>
      <c r="CB320" s="108" t="str">
        <f t="shared" si="46"/>
        <v/>
      </c>
      <c r="CC320" s="109" t="str">
        <f t="shared" si="47"/>
        <v/>
      </c>
      <c r="CD320" s="108" t="str">
        <f t="shared" si="48"/>
        <v/>
      </c>
      <c r="CE320" s="108" t="str">
        <f t="shared" si="49"/>
        <v/>
      </c>
      <c r="CF320" s="109" t="str">
        <f t="shared" si="50"/>
        <v/>
      </c>
      <c r="CG320" s="110" t="str">
        <f t="shared" si="51"/>
        <v/>
      </c>
      <c r="CH320" s="111"/>
    </row>
    <row r="321" spans="1:86" ht="12.75">
      <c r="A321" s="101"/>
      <c r="B321" s="102" t="e">
        <f t="array" aca="1" ref="B321" ca="1">_xludf.XLOOKUP(A321,'QA Log'!D:D,'QA Log'!E:E,"")</f>
        <v>#NAME?</v>
      </c>
      <c r="C321" s="102" t="e">
        <f t="array" aca="1" ref="C321" ca="1">_xludf.XLOOKUP(A321,'QA Log'!D:D,'QA Log'!F:F,"")</f>
        <v>#NAME?</v>
      </c>
      <c r="D321" s="102" t="e">
        <f t="array" aca="1" ref="D321" ca="1">_xludf.XLOOKUP(A321,'QA Log'!D:D,'QA Log'!H:H,"")</f>
        <v>#NAME?</v>
      </c>
      <c r="E321" s="102" t="e">
        <f t="array" aca="1" ref="E321" ca="1">_xludf.XLOOKUP(A321,'QA Log'!D:D,'QA Log'!G:G,"")</f>
        <v>#NAME?</v>
      </c>
      <c r="F321" s="103"/>
      <c r="G321" s="104"/>
      <c r="H321" s="104"/>
      <c r="I321" s="103" t="str">
        <f t="shared" si="26"/>
        <v/>
      </c>
      <c r="J321" s="102" t="str">
        <f>IF(A321="","",SUM(
COUNTIFS('QA Log'!D:D,A321,'QA Log'!M:M,"QQC",'QA Log'!L:L,"*1. General Management*"),
COUNTIFS('QA Log'!D:D,A321,'QA Log'!M:M,"QQC",'QA Log'!L:L,"*3. Curative Consultation (OPD)*"),
COUNTIFS('QA Log'!D:D,A321,'QA Log'!M:M,"QQC",'QA Log'!L:L,"*5. Laboratory*"),
COUNTIFS('QA Log'!D:D,A321,'QA Log'!M:M,"QQC",'QA Log'!L:L,"*6. Essential Medicine Management*"),
COUNTIFS('QA Log'!D:D,A321,'QA Log'!M:M,"QQC",'QA Log'!L:L,"*7. Tracer Medicine*"),
COUNTIFS('QA Log'!D:D,A321,'QA Log'!M:M,"QQC",'QA Log'!L:L,"*11. Additional Questions*")))</f>
        <v/>
      </c>
      <c r="K321" s="102" t="str">
        <f>IF(A321="","",SUM(
COUNTIFS('QA Log'!D:D,A321,'QA Log'!M:M,"QQC",'QA Log'!Z:Z,"Approved",'QA Log'!L:L,"*1. General Management*"),
COUNTIFS('QA Log'!D:D,A321,'QA Log'!M:M,"QQC",'QA Log'!Z:Z,"Approved",'QA Log'!L:L,"*3. Curative Consultation (OPD)*"),
COUNTIFS('QA Log'!D:D,A321,'QA Log'!M:M,"QQC",'QA Log'!Z:Z,"Approved",'QA Log'!L:L,"*5. Laboratory*"),
COUNTIFS('QA Log'!D:D,A321,'QA Log'!M:M,"QQC",'QA Log'!Z:Z,"Approved",'QA Log'!L:L,"*6. Essential Medicine Management*"),
COUNTIFS('QA Log'!D:D,A321,'QA Log'!M:M,"QQC",'QA Log'!Z:Z,"Approved",'QA Log'!L:L,"*7. Tracer Medicine*"),
COUNTIFS('QA Log'!D:D,A321,'QA Log'!M:M,"QQC",'QA Log'!Z:Z,"Approved",'QA Log'!L:L,"*11. Additional Questions*")))</f>
        <v/>
      </c>
      <c r="L321" s="105" t="str">
        <f>IF(A321&lt;&gt;"",COUNTIFS('QA Log'!D:D,A321,'QA Log'!M:M,"QQC",'QA Log'!L:L,"1. General Management",'QA Log'!Z:Z,"Approved"),"")</f>
        <v/>
      </c>
      <c r="M321" s="105" t="str">
        <f>IF(A321&lt;&gt;"",COUNTIFS('QA Log'!D:D,A321,'QA Log'!M:M,"QQC",'QA Log'!L:L,"3. Curative Consultation (OPD)",'QA Log'!Z:Z,"Approved"),"")</f>
        <v/>
      </c>
      <c r="N321" s="105" t="str">
        <f>IF(A321&lt;&gt;"",COUNTIFS('QA Log'!D:D,A321,'QA Log'!M:M,"QQC",'QA Log'!L:L,"5. Laboratory",'QA Log'!Z:Z,"Approved"),"")</f>
        <v/>
      </c>
      <c r="O321" s="105" t="str">
        <f>IF(A321&lt;&gt;"",COUNTIFS('QA Log'!D:D,A321,'QA Log'!M:M,"QQC",'QA Log'!L:L,"6. Essential Medicine Management",'QA Log'!Z:Z,"Approved"),"")</f>
        <v/>
      </c>
      <c r="P321" s="105" t="str">
        <f>IF(A321&lt;&gt;"",COUNTIFS('QA Log'!D:D,A321,'QA Log'!M:M,"QQC",'QA Log'!L:L,"7. Tracer Medicine",'QA Log'!Z:Z,"Approved"),"")</f>
        <v/>
      </c>
      <c r="Q321" s="105" t="str">
        <f>IF(A321&lt;&gt;"",COUNTIFS('QA Log'!D:D,A321,'QA Log'!M:M,"QQC",'QA Log'!L:L,"11. Additional Questions",'QA Log'!Z:Z,"Approved"),"")</f>
        <v/>
      </c>
      <c r="R321" s="102" t="str">
        <f>IF(A321="","",SUM(
COUNTIFS('QA Log'!D:D,A321,'QA Log'!M:M,"QQC",'QA Log'!Z:Z,"Rejected",'QA Log'!L:L,"*8. Maternity*"),
COUNTIFS('QA Log'!D:D,A321,'QA Log'!M:M,"QQC",'QA Log'!Z:Z,"Rejected",'QA Log'!L:L,"*EPI*"),
COUNTIFS('QA Log'!D:D,A321,'QA Log'!M:M,"QQC",'QA Log'!Z:Z,"Rejected",'QA Log'!L:L,"*10. Antenatal Care (ANC)*"),
COUNTIFS('QA Log'!D:D,A321,'QA Log'!M:M,"QQC",'QA Log'!Z:Z,"Rejected",'QA Log'!L:L,"*2. Hygiene and Sterilization*"),
COUNTIFS('QA Log'!D:D,A321,'QA Log'!M:M,"QQC",'QA Log'!Z:Z,"Rejected",'QA Log'!L:L,"*Family Planning*")))</f>
        <v/>
      </c>
      <c r="S321" s="106" t="str">
        <f t="shared" si="27"/>
        <v/>
      </c>
      <c r="T321" s="102" t="str">
        <f t="shared" si="28"/>
        <v/>
      </c>
      <c r="U321" s="102" t="str">
        <f>IF(A321="","",
SUM(
COUNTIFS('QA Log'!D:D,A321,'QA Log'!M:M,"QQC",'QA Log'!L:L,"*8. Maternity*"),
COUNTIFS('QA Log'!D:D,A321,'QA Log'!M:M,"QQC",'QA Log'!L:L,"*9. EPI and Pre-school Consultation*"),
COUNTIFS('QA Log'!D:D,A321,'QA Log'!M:M,"QQC",'QA Log'!L:L,"*10. Antenatal Care (ANC)*"),
COUNTIFS('QA Log'!D:D,A321,'QA Log'!M:M,"QQC",'QA Log'!L:L,"*2. Hygiene and Sterilization*"),
COUNTIFS('QA Log'!D:D,A321,'QA Log'!M:M,"QQC",'QA Log'!L:L,"*4. Family Planning*")
))</f>
        <v/>
      </c>
      <c r="V321" s="102" t="str">
        <f>IF(A321="","",
SUM(
COUNTIFS('QA Log'!D:D,A321,'QA Log'!M:M,"QQC",'QA Log'!Z:Z,"Approved",'QA Log'!L:L,"*8. Maternity*"),
COUNTIFS('QA Log'!D:D,A321,'QA Log'!M:M,"QQC",'QA Log'!Z:Z,"Approved",'QA Log'!L:L,"*9. EPI and Pre-school Consultation*"),
COUNTIFS('QA Log'!D:D,A321,'QA Log'!M:M,"QQC",'QA Log'!Z:Z,"Approved",'QA Log'!L:L,"*10. Antenatal Care (ANC)*"),
COUNTIFS('QA Log'!D:D,A321,'QA Log'!M:M,"QQC",'QA Log'!Z:Z,"Approved",'QA Log'!L:L,"*2. Hygiene and Sterilization*"),
COUNTIFS('QA Log'!D:D,A321,'QA Log'!M:M,"QQC",'QA Log'!Z:Z,"Approved",'QA Log'!L:L,"*4. Family Planning*")
))</f>
        <v/>
      </c>
      <c r="W321" s="105" t="str">
        <f>IF(A321&lt;&gt;"",COUNTIFS('QA Log'!D:D,A321,'QA Log'!M:M,"QQC",'QA Log'!L:L,"8. Maternity",'QA Log'!Z:Z,"Approved"),"")</f>
        <v/>
      </c>
      <c r="X321" s="105" t="str">
        <f>IF(A321&lt;&gt;"",COUNTIFS('QA Log'!D:D,A321,'QA Log'!M:M,"QQC",'QA Log'!L:L,"9. EPI and Pre-school Consultation",'QA Log'!Z:Z,"Approved"),"")</f>
        <v/>
      </c>
      <c r="Y321" s="105" t="str">
        <f>IF(A321&lt;&gt;"",COUNTIFS('QA Log'!D:D,A321,'QA Log'!M:M,"QQC",'QA Log'!L:L,"10. Antenatal Care (ANC)",'QA Log'!Z:Z,"Approved"),"")</f>
        <v/>
      </c>
      <c r="Z321" s="105" t="str">
        <f>IF(A321&lt;&gt;"",COUNTIFS('QA Log'!D:D,A321,'QA Log'!M:M,"QQC",'QA Log'!L:L,"2. Hygiene and Sterilization",'QA Log'!Z:Z,"Approved"),"")</f>
        <v/>
      </c>
      <c r="AA321" s="105" t="str">
        <f>IF(A321&lt;&gt;"",COUNTIFS('QA Log'!D:D,A321,'QA Log'!M:M,"QQC",'QA Log'!L:L,"4. Family Planning",'QA Log'!Z:Z,"Approved"),"")</f>
        <v/>
      </c>
      <c r="AB321" s="102" t="str">
        <f>IF(A321="","",
SUM(
COUNTIFS('QA Log'!D:D,A321,'QA Log'!M:M,"QQC",'QA Log'!Z:Z,"Rejected",'QA Log'!L:L,"*8. Maternity*"),
COUNTIFS('QA Log'!D:D,A321,'QA Log'!M:M,"QQC",'QA Log'!Z:Z,"Rejected",'QA Log'!L:L,"*9. EPI and Pre-school Consultation*"),
COUNTIFS('QA Log'!D:D,A321,'QA Log'!M:M,"QQC",'QA Log'!Z:Z,"Rejected",'QA Log'!L:L,"*10. Antenatal Care (ANC)*"),
COUNTIFS('QA Log'!D:D,A321,'QA Log'!M:M,"QQC",'QA Log'!Z:Z,"Rejected",'QA Log'!L:L,"*2. Hygiene and Sterilization*"),
COUNTIFS('QA Log'!D:D,A321,'QA Log'!M:M,"QQC",'QA Log'!Z:Z,"Rejected",'QA Log'!L:L,"*4. Family Planning*")
))</f>
        <v/>
      </c>
      <c r="AC321" s="102" t="str">
        <f t="shared" si="29"/>
        <v/>
      </c>
      <c r="AD321" s="103" t="str">
        <f t="shared" si="30"/>
        <v/>
      </c>
      <c r="AE321" s="102" t="str">
        <f>IF(A321="","",
SUM(
COUNTIFS('QA Log'!D:D,A321,'QA Log'!M:M,"Data Verification",'QA Log'!L:L,"*Medicine (section 2)*"),
COUNTIFS('QA Log'!D:D,A321,'QA Log'!M:M,"Data Verification",'QA Log'!L:L,"*Lab Testing Availability*"),
COUNTIFS('QA Log'!D:D,A321,'QA Log'!M:M,"Data Verification",'QA Log'!L:L,"*Other than P4P (section 6)*"),
COUNTIFS('QA Log'!D:D,A321,'QA Log'!M:M,"Data Verification",'QA Log'!L:L,"*Hospital Governance*")
))</f>
        <v/>
      </c>
      <c r="AF321" s="102" t="str">
        <f>IF(A321="","",
SUM(
COUNTIFS('QA Log'!D:D,A321,'QA Log'!M:M,"Data Verification",'QA Log'!Z:Z,"Approved",'QA Log'!L:L,"*Medicine (section 2)*"),
COUNTIFS('QA Log'!D:D,A321,'QA Log'!M:M,"Data Verification",'QA Log'!Z:Z,"Approved",'QA Log'!L:L,"*Lab Testing Availability*"),
COUNTIFS('QA Log'!D:D,A321,'QA Log'!M:M,"Data Verification",'QA Log'!Z:Z,"Approved",'QA Log'!L:L,"*Other than P4P (section 6)*"),
COUNTIFS('QA Log'!D:D,A321,'QA Log'!M:M,"Data Verification",'QA Log'!Z:Z,"Approved",'QA Log'!L:L,"*Hospital Governance*")
))</f>
        <v/>
      </c>
      <c r="AG321" s="105" t="str">
        <f>IF(A321&lt;&gt;"",COUNTIFS('QA Log'!D:D,A321,'QA Log'!M:M,"Data Verification",'QA Log'!L:L,"Medicine (section 2)",'QA Log'!Z:Z,"Approved"),"")</f>
        <v/>
      </c>
      <c r="AH321" s="105" t="str">
        <f>IF(A321&lt;&gt;"",COUNTIFS('QA Log'!D:D,A321,'QA Log'!M:M,"Data Verification",'QA Log'!L:L,"Lab Testing Availability",'QA Log'!Z:Z,"Approved"),"")</f>
        <v/>
      </c>
      <c r="AI321" s="105" t="str">
        <f>IF(A321&lt;&gt;"",COUNTIFS('QA Log'!D:D,A321,'QA Log'!M:M,"Data Verification",'QA Log'!L:L,"Other than P4P (section 6)",'QA Log'!Z:Z,"Approved"),"")</f>
        <v/>
      </c>
      <c r="AJ321" s="105" t="str">
        <f>IF(A321&lt;&gt;"",COUNTIFS('QA Log'!D:D,A321,'QA Log'!M:M,"Data Verification",'QA Log'!L:L,"Hospital Governance",'QA Log'!Z:Z,"Approved"),"")</f>
        <v/>
      </c>
      <c r="AK321" s="102" t="str">
        <f>IF(A321="","",
SUM(
COUNTIFS('QA Log'!D:D,A321,'QA Log'!M:M,"Data Verification",'QA Log'!Z:Z,"Rejected",'QA Log'!L:L,"*Medicine (section 2)*"),
COUNTIFS('QA Log'!D:D,A321,'QA Log'!M:M,"Data Verification",'QA Log'!Z:Z,"Rejected",'QA Log'!L:L,"*Lab Testing Availability*"),
COUNTIFS('QA Log'!D:D,A321,'QA Log'!M:M,"Data Verification",'QA Log'!Z:Z,"Rejected",'QA Log'!L:L,"*Other than P4P (section 6)*"),
COUNTIFS('QA Log'!D:D,A321,'QA Log'!M:M,"Data Verification",'QA Log'!Z:Z,"Rejected",'QA Log'!L:L,"*Hospital Governance*")
))</f>
        <v/>
      </c>
      <c r="AL321" s="106" t="str">
        <f t="shared" si="31"/>
        <v/>
      </c>
      <c r="AM321" s="102" t="str">
        <f t="shared" si="32"/>
        <v/>
      </c>
      <c r="AN321" s="102" t="str">
        <f>IF(A321="","",
SUM(
COUNTIFS('QA Log'!D:D,A321,'QA Log'!M:M,"Data Verification",'QA Log'!L:L,"*Personnel (section 1)*"),
COUNTIFS('QA Log'!D:D,A321,'QA Log'!M:M,"Data Verification",'QA Log'!L:L,"*Consumable (section 3)*"),
COUNTIFS('QA Log'!D:D,A321,'QA Log'!M:M,"Data Verification",'QA Log'!L:L,"*Equipments (section 4)*")
))</f>
        <v/>
      </c>
      <c r="AO321" s="102" t="str">
        <f>IF(A321="","",
SUM(
COUNTIFS('QA Log'!D:D,A321,'QA Log'!M:M,"Data Verification",'QA Log'!Z:Z,"Approved",'QA Log'!L:L,"*Personnel (section 1)*"),
COUNTIFS('QA Log'!D:D,A321,'QA Log'!M:M,"Data Verification",'QA Log'!Z:Z,"Approved",'QA Log'!L:L,"*Consumable (section 3)*"),
COUNTIFS('QA Log'!D:D,A321,'QA Log'!M:M,"Data Verification",'QA Log'!Z:Z,"Approved",'QA Log'!L:L,"*Equipments (section 4)*")
))</f>
        <v/>
      </c>
      <c r="AP321" s="105" t="str">
        <f>IF(A321&lt;&gt;"",COUNTIFS('QA Log'!D:D,A321,'QA Log'!M:M,"Data Verification",'QA Log'!L:L,"Personnel (section 1)",'QA Log'!Z:Z,"Approved"),"")</f>
        <v/>
      </c>
      <c r="AQ321" s="105" t="str">
        <f>IF(A321&lt;&gt;"",COUNTIFS('QA Log'!D:D,A321,'QA Log'!M:M,"Data Verification",'QA Log'!L:L,"Consumable (section 3)",'QA Log'!Z:Z,"Approved"),"")</f>
        <v/>
      </c>
      <c r="AR321" s="105" t="str">
        <f>IF(A321&lt;&gt;"",COUNTIFS('QA Log'!D:D,A321,'QA Log'!M:M,"Data Verification",'QA Log'!L:L,"Equipments (section 4)",'QA Log'!Z:Z,"Approved"),"")</f>
        <v/>
      </c>
      <c r="AS321" s="102" t="str">
        <f>IF(A321="","",
SUM(
COUNTIFS('QA Log'!D:D,A321,'QA Log'!M:M,"Data Verification",'QA Log'!Z:Z,"Rejected",'QA Log'!L:L,"*Personnel (section 1)*"),
COUNTIFS('QA Log'!D:D,A321,'QA Log'!M:M,"Data Verification",'QA Log'!Z:Z,"Rejected",'QA Log'!L:L,"*Consumable (section 3)*"),
COUNTIFS('QA Log'!D:D,A321,'QA Log'!M:M,"Data Verification",'QA Log'!Z:Z,"Rejected",'QA Log'!L:L,"*Equipments (section 4)*")
))</f>
        <v/>
      </c>
      <c r="AT321" s="102" t="str">
        <f t="shared" si="33"/>
        <v/>
      </c>
      <c r="AU321" s="103" t="str">
        <f t="shared" si="34"/>
        <v/>
      </c>
      <c r="AV321" s="102" t="str">
        <f>IF(A321="","",SUM(
COUNTIFS('QA Log'!D:D,A321,'QA Log'!M:M,"Vignette",'QA Log'!L:L,"*Vignette [1] Respiratory Infection: Pneumonia*"),
COUNTIFS('QA Log'!D:D,A321,'QA Log'!M:M,"Vignette",'QA Log'!L:L,"*Vignette [2]: Diarrhea with Cat B dehydration*"),
COUNTIFS('QA Log'!D:D,A321,'QA Log'!M:M,"Vignette",'QA Log'!L:L,"*Vignette [3] Growth Monitoring and Promotion*"),
COUNTIFS('QA Log'!D:D,A321,'QA Log'!M:M,"Vignette",'QA Log'!L:L,"*Vignette [4]: The management of presumptive TB patient*")
)
)</f>
        <v/>
      </c>
      <c r="AW321" s="102" t="str">
        <f>IF(
  A321="","",
  SUM(
    COUNTIFS('QA Log'!D:D,A321,'QA Log'!M:M,"Vignette",'QA Log'!Z:Z,"Approved",'QA Log'!L:L,"*Vignette [1] Respiratory Infection: Pneumonia*"),
    COUNTIFS('QA Log'!D:D,A321,'QA Log'!M:M,"Vignette",'QA Log'!Z:Z,"Approved",'QA Log'!L:L,"*Vignette [2]: Diarrhea with Cat B dehydration*"),
    COUNTIFS('QA Log'!D:D,A321,'QA Log'!M:M,"Vignette",'QA Log'!Z:Z,"Approved",'QA Log'!L:L,"*Vignette [3] Growth Monitoring and Promotion*"),
    COUNTIFS('QA Log'!D:D,A321,'QA Log'!M:M,"Vignette",'QA Log'!Z:Z,"Approved",'QA Log'!L:L,"*Vignette [4]: The management of presumptive TB patient*")
  )
)</f>
        <v/>
      </c>
      <c r="AX321" s="105" t="str">
        <f>IF(A321&lt;&gt;"",COUNTIFS('QA Log'!D:D,A321,'QA Log'!M:M,"Vignette",'QA Log'!L:L,"Vignette [1] Respiratory Infection: Pneumonia",'QA Log'!Z:Z,"Approved"),"")</f>
        <v/>
      </c>
      <c r="AY321" s="105" t="str">
        <f>IF(A321&lt;&gt;"",COUNTIFS('QA Log'!D:D,A321,'QA Log'!M:M,"Vignette",'QA Log'!L:L,"Vignette [2]: Diarrhea with Cat B dehydration",'QA Log'!Z:Z,"Approved"),"")</f>
        <v/>
      </c>
      <c r="AZ321" s="105" t="str">
        <f>IF(A321&lt;&gt;"",COUNTIFS('QA Log'!D:D,A321,'QA Log'!M:M,"Vignette",'QA Log'!L:L,"Vignette [3] Growth Monitoring and Promotion",'QA Log'!Z:Z,"Approved"),"")</f>
        <v/>
      </c>
      <c r="BA321" s="105" t="str">
        <f>IF(A321&lt;&gt;"",COUNTIFS('QA Log'!D:D,A321,'QA Log'!M:M,"Vignette",'QA Log'!L:L,"Vignette [4]: The management of presumptive TB patient",'QA Log'!Z:Z,"Approved"),"")</f>
        <v/>
      </c>
      <c r="BB321" s="102" t="str">
        <f>IF(A321="","",
  SUM(
    COUNTIFS('QA Log'!D:D,A321,'QA Log'!M:M,"Vignette",'QA Log'!Z:Z,"Rejected",'QA Log'!L:L,"*Vignette [1] Respiratory Infection: Pneumonia*"),
    COUNTIFS('QA Log'!D:D,A321,'QA Log'!M:M,"Vignette",'QA Log'!Z:Z,"Rejected",'QA Log'!L:L,"*Vignette [2]: Diarrhea with Cat B dehydration*"),
    COUNTIFS('QA Log'!D:D,A321,'QA Log'!M:M,"Vignette",'QA Log'!Z:Z,"Rejected",'QA Log'!L:L,"*Vignette [3] Growth Monitoring and Promotion*"),
    COUNTIFS('QA Log'!D:D,A321,'QA Log'!M:M,"Vignette",'QA Log'!Z:Z,"Rejected",'QA Log'!L:L,"*Vignette [4]: The management of presumptive TB patient*")
  )
)</f>
        <v/>
      </c>
      <c r="BC321" s="107" t="str">
        <f t="shared" si="35"/>
        <v/>
      </c>
      <c r="BD321" s="103" t="str">
        <f t="shared" si="36"/>
        <v/>
      </c>
      <c r="BE321" s="102" t="str">
        <f>IF(A321="","",SUM(
COUNTIFS('QA Log'!D:D,A321,'QA Log'!M:M,"Vignette",'QA Log'!L:L,"*Vignette [5] Labor*"),
COUNTIFS('QA Log'!D:D,A321,'QA Log'!M:M,"Vignette",'QA Log'!L:L,"*Vignette [6] PNC pre Discharge*"),
COUNTIFS('QA Log'!D:D,A321,'QA Log'!M:M,"Vignette",'QA Log'!L:L,"*Vignette [7] First ANC Visit*"),
COUNTIFS('QA Log'!D:D,A321,'QA Log'!M:M,"Vignette",'QA Log'!L:L,"*Vignette [8] Birth Spacing/ Family Planning :  FP Counselling*"),
COUNTIFS('QA Log'!D:D,A321,'QA Log'!M:M,"Vignette",'QA Log'!L:L,"*Vignette [9] Birth Spacing: Change FP method to Injectable*"),
COUNTIFS('QA Log'!D:D,A321,'QA Log'!M:M,"Vignette",'QA Log'!L:L,"*Vignette [10] Post Partum Haemorrhage - Atonic Uterus at Health Centre*"),
)
)</f>
        <v/>
      </c>
      <c r="BF321" s="102" t="str">
        <f>IF(A321="","",
  SUM(
    COUNTIFS('QA Log'!D:D,A321,'QA Log'!M:M,"Vignette",'QA Log'!Z:Z,"Approved",'QA Log'!L:L,"*Vignette [5] Labor*"),
    COUNTIFS('QA Log'!D:D,A321,'QA Log'!M:M,"Vignette",'QA Log'!Z:Z,"Approved",'QA Log'!L:L,"*Vignette [6] PNC pre Discharge*"),
    COUNTIFS('QA Log'!D:D,A321,'QA Log'!M:M,"Vignette",'QA Log'!Z:Z,"Approved",'QA Log'!L:L,"*Vignette [7] First ANC Visit*"),
    COUNTIFS('QA Log'!D:D,A321,'QA Log'!M:M,"Vignette",'QA Log'!Z:Z,"Approved",'QA Log'!L:L,"*Vignette [8] Birth Spacing/ Family Planning :  FP Counselling*"),
    COUNTIFS('QA Log'!D:D,A321,'QA Log'!M:M,"Vignette",'QA Log'!Z:Z,"Approved",'QA Log'!L:L,"*Vignette [9] Birth Spacing: Change FP method to Injectable*"),
    COUNTIFS('QA Log'!D:D,A321,'QA Log'!M:M,"Vignette",'QA Log'!Z:Z,"Approved",'QA Log'!L:L,"*Vignette [10] Post Partum Haemorrhage - Atonic Uterus at Health Centre*")
  )
)</f>
        <v/>
      </c>
      <c r="BG321" s="105" t="str">
        <f>IF(A321&lt;&gt;"",COUNTIFS('QA Log'!D:D,A321,'QA Log'!M:M,"Vignette",'QA Log'!L:L,"Vignette [5] Labor",'QA Log'!Z:Z,"Approved"),"")</f>
        <v/>
      </c>
      <c r="BH321" s="105" t="str">
        <f>IF(A321&lt;&gt;"",COUNTIFS('QA Log'!D:D,A321,'QA Log'!M:M,"Vignette",'QA Log'!L:L,"Vignette [6] PNC pre Discharge",'QA Log'!Z:Z,"Approved"),"")</f>
        <v/>
      </c>
      <c r="BI321" s="105" t="str">
        <f>IF(A321&lt;&gt;"",COUNTIFS('QA Log'!D:D,A321,'QA Log'!M:M,"Vignette",'QA Log'!L:L,"Vignette [7] First ANC Visit",'QA Log'!Z:Z,"Approved"),"")</f>
        <v/>
      </c>
      <c r="BJ321" s="105" t="str">
        <f>IF(A321&lt;&gt;"",COUNTIFS('QA Log'!D:D,A321,'QA Log'!M:M,"Vignette",'QA Log'!L:L,"Vignette [8] Birth Spacing/ Family Planning :  FP Counselling",'QA Log'!Z:Z,"Approved"),"")</f>
        <v/>
      </c>
      <c r="BK321" s="105" t="str">
        <f>IF(A321&lt;&gt;"",COUNTIFS('QA Log'!D:D,A321,'QA Log'!M:M,"Vignette",'QA Log'!L:L,"Vignette [9] Birth Spacing: Change FP method to Injectable",'QA Log'!Z:Z,"Approved"),"")</f>
        <v/>
      </c>
      <c r="BL321" s="105" t="str">
        <f>IF(A321&lt;&gt;"",COUNTIFS('QA Log'!D:D,A321,'QA Log'!M:M,"Vignette",'QA Log'!L:L,"Vignette [10] Post Partum Haemorrhage - Atonic Uterus at Health Centre",'QA Log'!Z:Z,"Approved"),"")</f>
        <v/>
      </c>
      <c r="BM321" s="102" t="str">
        <f>IF(A321="","",SUM(
    COUNTIFS('QA Log'!D:D,A321,'QA Log'!M:M,"Vignette",'QA Log'!Z:Z,"Rejected",'QA Log'!L:L,"*Vignette [5] Labor*"),
    COUNTIFS('QA Log'!D:D,A321,'QA Log'!M:M,"Vignette",'QA Log'!Z:Z,"Rejected",'QA Log'!L:L,"*Vignette [6] PNC pre Discharge*"),
    COUNTIFS('QA Log'!D:D,A321,'QA Log'!M:M,"Vignette",'QA Log'!Z:Z,"Rejected",'QA Log'!L:L,"*Vignette [7] First ANC Visit*"),
    COUNTIFS('QA Log'!D:D,A321,'QA Log'!M:M,"Vignette",'QA Log'!Z:Z,"Rejected",'QA Log'!L:L,"*Vignette [8] Birth Spacing/ Family Planning :  FP Counselling*"),
    COUNTIFS('QA Log'!D:D,A321,'QA Log'!M:M,"Vignette",'QA Log'!Z:Z,"Rejected",'QA Log'!L:L,"*Vignette [9] Birth Spacing: Change FP method to Injectable*"),
    COUNTIFS('QA Log'!D:D,A321,'QA Log'!M:M,"Vignette",'QA Log'!Z:Z,"Rejected",'QA Log'!L:L,"*Vignette [10] Post Partum Haemorrhage - Atonic Uterus at Health Centre*")
  )
)</f>
        <v/>
      </c>
      <c r="BN321" s="107" t="str">
        <f t="shared" si="37"/>
        <v/>
      </c>
      <c r="BO321" s="103" t="str">
        <f t="shared" si="38"/>
        <v/>
      </c>
      <c r="BP321" s="102" t="str">
        <f>IF(A321="","",SUM(
COUNTIFS('QA Log'!D:D,A321,'QA Log'!M:M,"Vignette",'QA Log'!L:L,"*Exit Interview 1*"),
COUNTIFS('QA Log'!D:D,A321,'QA Log'!M:M,"Vignette",'QA Log'!L:L,"*Exit Interview 2*"),
)
)</f>
        <v/>
      </c>
      <c r="BQ321" s="102" t="str">
        <f>IF(
  A321="","",
  SUM(
    COUNTIFS('QA Log'!D:D,A321,'QA Log'!M:M,"Vignette",'QA Log'!Z:Z,"Approved",'QA Log'!L:L,"*Exit Interview 1*"),
    COUNTIFS('QA Log'!D:D,A321,'QA Log'!M:M,"Vignette",'QA Log'!Z:Z,"Approved",'QA Log'!L:L,"*Exit Interview 2*")
  )
)</f>
        <v/>
      </c>
      <c r="BR321" s="105" t="str">
        <f>IF(A321&lt;&gt;"",COUNTIFS('QA Log'!D:D,A321,'QA Log'!M:M,"Vignette",'QA Log'!L:L,"Exit Interview 1",'QA Log'!Z:Z,"Approved"),"")</f>
        <v/>
      </c>
      <c r="BS321" s="105" t="str">
        <f>IF(A321&lt;&gt;"",COUNTIFS('QA Log'!D:D,A321,'QA Log'!M:M,"Vignette",'QA Log'!L:L,"Exit Interview 2",'QA Log'!Z:Z,"Approved"),"")</f>
        <v/>
      </c>
      <c r="BT321" s="102" t="str">
        <f>IF(
  A321="","",
  SUM(
    COUNTIFS('QA Log'!D:D,A321,'QA Log'!M:M,"Vignette",'QA Log'!Z:Z,"Rejected",'QA Log'!L:L,"*Exit Interview 1*"),
    COUNTIFS('QA Log'!D:D,A321,'QA Log'!M:M,"Vignette",'QA Log'!Z:Z,"Rejected",'QA Log'!L:L,"*Exit Interview 2*")
  )
)</f>
        <v/>
      </c>
      <c r="BU321" s="107" t="str">
        <f t="shared" si="39"/>
        <v/>
      </c>
      <c r="BV321" s="102" t="str">
        <f t="shared" si="40"/>
        <v/>
      </c>
      <c r="BW321" s="102" t="str">
        <f t="shared" si="41"/>
        <v/>
      </c>
      <c r="BX321" s="102" t="str">
        <f t="shared" si="42"/>
        <v/>
      </c>
      <c r="BY321" s="102" t="str">
        <f t="shared" si="43"/>
        <v/>
      </c>
      <c r="BZ321" s="107" t="str">
        <f t="shared" si="44"/>
        <v/>
      </c>
      <c r="CA321" s="108" t="str">
        <f t="shared" si="45"/>
        <v/>
      </c>
      <c r="CB321" s="108" t="str">
        <f t="shared" si="46"/>
        <v/>
      </c>
      <c r="CC321" s="109" t="str">
        <f t="shared" si="47"/>
        <v/>
      </c>
      <c r="CD321" s="108" t="str">
        <f t="shared" si="48"/>
        <v/>
      </c>
      <c r="CE321" s="108" t="str">
        <f t="shared" si="49"/>
        <v/>
      </c>
      <c r="CF321" s="109" t="str">
        <f t="shared" si="50"/>
        <v/>
      </c>
      <c r="CG321" s="110" t="str">
        <f t="shared" si="51"/>
        <v/>
      </c>
      <c r="CH321" s="111"/>
    </row>
    <row r="322" spans="1:86" ht="12.75">
      <c r="A322" s="101"/>
      <c r="B322" s="102" t="e">
        <f t="array" aca="1" ref="B322" ca="1">_xludf.XLOOKUP(A322,'QA Log'!D:D,'QA Log'!E:E,"")</f>
        <v>#NAME?</v>
      </c>
      <c r="C322" s="102" t="e">
        <f t="array" aca="1" ref="C322" ca="1">_xludf.XLOOKUP(A322,'QA Log'!D:D,'QA Log'!F:F,"")</f>
        <v>#NAME?</v>
      </c>
      <c r="D322" s="102" t="e">
        <f t="array" aca="1" ref="D322" ca="1">_xludf.XLOOKUP(A322,'QA Log'!D:D,'QA Log'!H:H,"")</f>
        <v>#NAME?</v>
      </c>
      <c r="E322" s="102" t="e">
        <f t="array" aca="1" ref="E322" ca="1">_xludf.XLOOKUP(A322,'QA Log'!D:D,'QA Log'!G:G,"")</f>
        <v>#NAME?</v>
      </c>
      <c r="F322" s="103"/>
      <c r="G322" s="104"/>
      <c r="H322" s="104"/>
      <c r="I322" s="103" t="str">
        <f t="shared" si="26"/>
        <v/>
      </c>
      <c r="J322" s="102" t="str">
        <f>IF(A322="","",SUM(
COUNTIFS('QA Log'!D:D,A322,'QA Log'!M:M,"QQC",'QA Log'!L:L,"*1. General Management*"),
COUNTIFS('QA Log'!D:D,A322,'QA Log'!M:M,"QQC",'QA Log'!L:L,"*3. Curative Consultation (OPD)*"),
COUNTIFS('QA Log'!D:D,A322,'QA Log'!M:M,"QQC",'QA Log'!L:L,"*5. Laboratory*"),
COUNTIFS('QA Log'!D:D,A322,'QA Log'!M:M,"QQC",'QA Log'!L:L,"*6. Essential Medicine Management*"),
COUNTIFS('QA Log'!D:D,A322,'QA Log'!M:M,"QQC",'QA Log'!L:L,"*7. Tracer Medicine*"),
COUNTIFS('QA Log'!D:D,A322,'QA Log'!M:M,"QQC",'QA Log'!L:L,"*11. Additional Questions*")))</f>
        <v/>
      </c>
      <c r="K322" s="102" t="str">
        <f>IF(A322="","",SUM(
COUNTIFS('QA Log'!D:D,A322,'QA Log'!M:M,"QQC",'QA Log'!Z:Z,"Approved",'QA Log'!L:L,"*1. General Management*"),
COUNTIFS('QA Log'!D:D,A322,'QA Log'!M:M,"QQC",'QA Log'!Z:Z,"Approved",'QA Log'!L:L,"*3. Curative Consultation (OPD)*"),
COUNTIFS('QA Log'!D:D,A322,'QA Log'!M:M,"QQC",'QA Log'!Z:Z,"Approved",'QA Log'!L:L,"*5. Laboratory*"),
COUNTIFS('QA Log'!D:D,A322,'QA Log'!M:M,"QQC",'QA Log'!Z:Z,"Approved",'QA Log'!L:L,"*6. Essential Medicine Management*"),
COUNTIFS('QA Log'!D:D,A322,'QA Log'!M:M,"QQC",'QA Log'!Z:Z,"Approved",'QA Log'!L:L,"*7. Tracer Medicine*"),
COUNTIFS('QA Log'!D:D,A322,'QA Log'!M:M,"QQC",'QA Log'!Z:Z,"Approved",'QA Log'!L:L,"*11. Additional Questions*")))</f>
        <v/>
      </c>
      <c r="L322" s="105" t="str">
        <f>IF(A322&lt;&gt;"",COUNTIFS('QA Log'!D:D,A322,'QA Log'!M:M,"QQC",'QA Log'!L:L,"1. General Management",'QA Log'!Z:Z,"Approved"),"")</f>
        <v/>
      </c>
      <c r="M322" s="105" t="str">
        <f>IF(A322&lt;&gt;"",COUNTIFS('QA Log'!D:D,A322,'QA Log'!M:M,"QQC",'QA Log'!L:L,"3. Curative Consultation (OPD)",'QA Log'!Z:Z,"Approved"),"")</f>
        <v/>
      </c>
      <c r="N322" s="105" t="str">
        <f>IF(A322&lt;&gt;"",COUNTIFS('QA Log'!D:D,A322,'QA Log'!M:M,"QQC",'QA Log'!L:L,"5. Laboratory",'QA Log'!Z:Z,"Approved"),"")</f>
        <v/>
      </c>
      <c r="O322" s="105" t="str">
        <f>IF(A322&lt;&gt;"",COUNTIFS('QA Log'!D:D,A322,'QA Log'!M:M,"QQC",'QA Log'!L:L,"6. Essential Medicine Management",'QA Log'!Z:Z,"Approved"),"")</f>
        <v/>
      </c>
      <c r="P322" s="105" t="str">
        <f>IF(A322&lt;&gt;"",COUNTIFS('QA Log'!D:D,A322,'QA Log'!M:M,"QQC",'QA Log'!L:L,"7. Tracer Medicine",'QA Log'!Z:Z,"Approved"),"")</f>
        <v/>
      </c>
      <c r="Q322" s="105" t="str">
        <f>IF(A322&lt;&gt;"",COUNTIFS('QA Log'!D:D,A322,'QA Log'!M:M,"QQC",'QA Log'!L:L,"11. Additional Questions",'QA Log'!Z:Z,"Approved"),"")</f>
        <v/>
      </c>
      <c r="R322" s="102" t="str">
        <f>IF(A322="","",SUM(
COUNTIFS('QA Log'!D:D,A322,'QA Log'!M:M,"QQC",'QA Log'!Z:Z,"Rejected",'QA Log'!L:L,"*8. Maternity*"),
COUNTIFS('QA Log'!D:D,A322,'QA Log'!M:M,"QQC",'QA Log'!Z:Z,"Rejected",'QA Log'!L:L,"*EPI*"),
COUNTIFS('QA Log'!D:D,A322,'QA Log'!M:M,"QQC",'QA Log'!Z:Z,"Rejected",'QA Log'!L:L,"*10. Antenatal Care (ANC)*"),
COUNTIFS('QA Log'!D:D,A322,'QA Log'!M:M,"QQC",'QA Log'!Z:Z,"Rejected",'QA Log'!L:L,"*2. Hygiene and Sterilization*"),
COUNTIFS('QA Log'!D:D,A322,'QA Log'!M:M,"QQC",'QA Log'!Z:Z,"Rejected",'QA Log'!L:L,"*Family Planning*")))</f>
        <v/>
      </c>
      <c r="S322" s="106" t="str">
        <f t="shared" si="27"/>
        <v/>
      </c>
      <c r="T322" s="102" t="str">
        <f t="shared" si="28"/>
        <v/>
      </c>
      <c r="U322" s="102" t="str">
        <f>IF(A322="","",
SUM(
COUNTIFS('QA Log'!D:D,A322,'QA Log'!M:M,"QQC",'QA Log'!L:L,"*8. Maternity*"),
COUNTIFS('QA Log'!D:D,A322,'QA Log'!M:M,"QQC",'QA Log'!L:L,"*9. EPI and Pre-school Consultation*"),
COUNTIFS('QA Log'!D:D,A322,'QA Log'!M:M,"QQC",'QA Log'!L:L,"*10. Antenatal Care (ANC)*"),
COUNTIFS('QA Log'!D:D,A322,'QA Log'!M:M,"QQC",'QA Log'!L:L,"*2. Hygiene and Sterilization*"),
COUNTIFS('QA Log'!D:D,A322,'QA Log'!M:M,"QQC",'QA Log'!L:L,"*4. Family Planning*")
))</f>
        <v/>
      </c>
      <c r="V322" s="102" t="str">
        <f>IF(A322="","",
SUM(
COUNTIFS('QA Log'!D:D,A322,'QA Log'!M:M,"QQC",'QA Log'!Z:Z,"Approved",'QA Log'!L:L,"*8. Maternity*"),
COUNTIFS('QA Log'!D:D,A322,'QA Log'!M:M,"QQC",'QA Log'!Z:Z,"Approved",'QA Log'!L:L,"*9. EPI and Pre-school Consultation*"),
COUNTIFS('QA Log'!D:D,A322,'QA Log'!M:M,"QQC",'QA Log'!Z:Z,"Approved",'QA Log'!L:L,"*10. Antenatal Care (ANC)*"),
COUNTIFS('QA Log'!D:D,A322,'QA Log'!M:M,"QQC",'QA Log'!Z:Z,"Approved",'QA Log'!L:L,"*2. Hygiene and Sterilization*"),
COUNTIFS('QA Log'!D:D,A322,'QA Log'!M:M,"QQC",'QA Log'!Z:Z,"Approved",'QA Log'!L:L,"*4. Family Planning*")
))</f>
        <v/>
      </c>
      <c r="W322" s="105" t="str">
        <f>IF(A322&lt;&gt;"",COUNTIFS('QA Log'!D:D,A322,'QA Log'!M:M,"QQC",'QA Log'!L:L,"8. Maternity",'QA Log'!Z:Z,"Approved"),"")</f>
        <v/>
      </c>
      <c r="X322" s="105" t="str">
        <f>IF(A322&lt;&gt;"",COUNTIFS('QA Log'!D:D,A322,'QA Log'!M:M,"QQC",'QA Log'!L:L,"9. EPI and Pre-school Consultation",'QA Log'!Z:Z,"Approved"),"")</f>
        <v/>
      </c>
      <c r="Y322" s="105" t="str">
        <f>IF(A322&lt;&gt;"",COUNTIFS('QA Log'!D:D,A322,'QA Log'!M:M,"QQC",'QA Log'!L:L,"10. Antenatal Care (ANC)",'QA Log'!Z:Z,"Approved"),"")</f>
        <v/>
      </c>
      <c r="Z322" s="105" t="str">
        <f>IF(A322&lt;&gt;"",COUNTIFS('QA Log'!D:D,A322,'QA Log'!M:M,"QQC",'QA Log'!L:L,"2. Hygiene and Sterilization",'QA Log'!Z:Z,"Approved"),"")</f>
        <v/>
      </c>
      <c r="AA322" s="105" t="str">
        <f>IF(A322&lt;&gt;"",COUNTIFS('QA Log'!D:D,A322,'QA Log'!M:M,"QQC",'QA Log'!L:L,"4. Family Planning",'QA Log'!Z:Z,"Approved"),"")</f>
        <v/>
      </c>
      <c r="AB322" s="102" t="str">
        <f>IF(A322="","",
SUM(
COUNTIFS('QA Log'!D:D,A322,'QA Log'!M:M,"QQC",'QA Log'!Z:Z,"Rejected",'QA Log'!L:L,"*8. Maternity*"),
COUNTIFS('QA Log'!D:D,A322,'QA Log'!M:M,"QQC",'QA Log'!Z:Z,"Rejected",'QA Log'!L:L,"*9. EPI and Pre-school Consultation*"),
COUNTIFS('QA Log'!D:D,A322,'QA Log'!M:M,"QQC",'QA Log'!Z:Z,"Rejected",'QA Log'!L:L,"*10. Antenatal Care (ANC)*"),
COUNTIFS('QA Log'!D:D,A322,'QA Log'!M:M,"QQC",'QA Log'!Z:Z,"Rejected",'QA Log'!L:L,"*2. Hygiene and Sterilization*"),
COUNTIFS('QA Log'!D:D,A322,'QA Log'!M:M,"QQC",'QA Log'!Z:Z,"Rejected",'QA Log'!L:L,"*4. Family Planning*")
))</f>
        <v/>
      </c>
      <c r="AC322" s="102" t="str">
        <f t="shared" si="29"/>
        <v/>
      </c>
      <c r="AD322" s="103" t="str">
        <f t="shared" si="30"/>
        <v/>
      </c>
      <c r="AE322" s="102" t="str">
        <f>IF(A322="","",
SUM(
COUNTIFS('QA Log'!D:D,A322,'QA Log'!M:M,"Data Verification",'QA Log'!L:L,"*Medicine (section 2)*"),
COUNTIFS('QA Log'!D:D,A322,'QA Log'!M:M,"Data Verification",'QA Log'!L:L,"*Lab Testing Availability*"),
COUNTIFS('QA Log'!D:D,A322,'QA Log'!M:M,"Data Verification",'QA Log'!L:L,"*Other than P4P (section 6)*"),
COUNTIFS('QA Log'!D:D,A322,'QA Log'!M:M,"Data Verification",'QA Log'!L:L,"*Hospital Governance*")
))</f>
        <v/>
      </c>
      <c r="AF322" s="102" t="str">
        <f>IF(A322="","",
SUM(
COUNTIFS('QA Log'!D:D,A322,'QA Log'!M:M,"Data Verification",'QA Log'!Z:Z,"Approved",'QA Log'!L:L,"*Medicine (section 2)*"),
COUNTIFS('QA Log'!D:D,A322,'QA Log'!M:M,"Data Verification",'QA Log'!Z:Z,"Approved",'QA Log'!L:L,"*Lab Testing Availability*"),
COUNTIFS('QA Log'!D:D,A322,'QA Log'!M:M,"Data Verification",'QA Log'!Z:Z,"Approved",'QA Log'!L:L,"*Other than P4P (section 6)*"),
COUNTIFS('QA Log'!D:D,A322,'QA Log'!M:M,"Data Verification",'QA Log'!Z:Z,"Approved",'QA Log'!L:L,"*Hospital Governance*")
))</f>
        <v/>
      </c>
      <c r="AG322" s="105" t="str">
        <f>IF(A322&lt;&gt;"",COUNTIFS('QA Log'!D:D,A322,'QA Log'!M:M,"Data Verification",'QA Log'!L:L,"Medicine (section 2)",'QA Log'!Z:Z,"Approved"),"")</f>
        <v/>
      </c>
      <c r="AH322" s="105" t="str">
        <f>IF(A322&lt;&gt;"",COUNTIFS('QA Log'!D:D,A322,'QA Log'!M:M,"Data Verification",'QA Log'!L:L,"Lab Testing Availability",'QA Log'!Z:Z,"Approved"),"")</f>
        <v/>
      </c>
      <c r="AI322" s="105" t="str">
        <f>IF(A322&lt;&gt;"",COUNTIFS('QA Log'!D:D,A322,'QA Log'!M:M,"Data Verification",'QA Log'!L:L,"Other than P4P (section 6)",'QA Log'!Z:Z,"Approved"),"")</f>
        <v/>
      </c>
      <c r="AJ322" s="105" t="str">
        <f>IF(A322&lt;&gt;"",COUNTIFS('QA Log'!D:D,A322,'QA Log'!M:M,"Data Verification",'QA Log'!L:L,"Hospital Governance",'QA Log'!Z:Z,"Approved"),"")</f>
        <v/>
      </c>
      <c r="AK322" s="102" t="str">
        <f>IF(A322="","",
SUM(
COUNTIFS('QA Log'!D:D,A322,'QA Log'!M:M,"Data Verification",'QA Log'!Z:Z,"Rejected",'QA Log'!L:L,"*Medicine (section 2)*"),
COUNTIFS('QA Log'!D:D,A322,'QA Log'!M:M,"Data Verification",'QA Log'!Z:Z,"Rejected",'QA Log'!L:L,"*Lab Testing Availability*"),
COUNTIFS('QA Log'!D:D,A322,'QA Log'!M:M,"Data Verification",'QA Log'!Z:Z,"Rejected",'QA Log'!L:L,"*Other than P4P (section 6)*"),
COUNTIFS('QA Log'!D:D,A322,'QA Log'!M:M,"Data Verification",'QA Log'!Z:Z,"Rejected",'QA Log'!L:L,"*Hospital Governance*")
))</f>
        <v/>
      </c>
      <c r="AL322" s="106" t="str">
        <f t="shared" si="31"/>
        <v/>
      </c>
      <c r="AM322" s="102" t="str">
        <f t="shared" si="32"/>
        <v/>
      </c>
      <c r="AN322" s="102" t="str">
        <f>IF(A322="","",
SUM(
COUNTIFS('QA Log'!D:D,A322,'QA Log'!M:M,"Data Verification",'QA Log'!L:L,"*Personnel (section 1)*"),
COUNTIFS('QA Log'!D:D,A322,'QA Log'!M:M,"Data Verification",'QA Log'!L:L,"*Consumable (section 3)*"),
COUNTIFS('QA Log'!D:D,A322,'QA Log'!M:M,"Data Verification",'QA Log'!L:L,"*Equipments (section 4)*")
))</f>
        <v/>
      </c>
      <c r="AO322" s="102" t="str">
        <f>IF(A322="","",
SUM(
COUNTIFS('QA Log'!D:D,A322,'QA Log'!M:M,"Data Verification",'QA Log'!Z:Z,"Approved",'QA Log'!L:L,"*Personnel (section 1)*"),
COUNTIFS('QA Log'!D:D,A322,'QA Log'!M:M,"Data Verification",'QA Log'!Z:Z,"Approved",'QA Log'!L:L,"*Consumable (section 3)*"),
COUNTIFS('QA Log'!D:D,A322,'QA Log'!M:M,"Data Verification",'QA Log'!Z:Z,"Approved",'QA Log'!L:L,"*Equipments (section 4)*")
))</f>
        <v/>
      </c>
      <c r="AP322" s="105" t="str">
        <f>IF(A322&lt;&gt;"",COUNTIFS('QA Log'!D:D,A322,'QA Log'!M:M,"Data Verification",'QA Log'!L:L,"Personnel (section 1)",'QA Log'!Z:Z,"Approved"),"")</f>
        <v/>
      </c>
      <c r="AQ322" s="105" t="str">
        <f>IF(A322&lt;&gt;"",COUNTIFS('QA Log'!D:D,A322,'QA Log'!M:M,"Data Verification",'QA Log'!L:L,"Consumable (section 3)",'QA Log'!Z:Z,"Approved"),"")</f>
        <v/>
      </c>
      <c r="AR322" s="105" t="str">
        <f>IF(A322&lt;&gt;"",COUNTIFS('QA Log'!D:D,A322,'QA Log'!M:M,"Data Verification",'QA Log'!L:L,"Equipments (section 4)",'QA Log'!Z:Z,"Approved"),"")</f>
        <v/>
      </c>
      <c r="AS322" s="102" t="str">
        <f>IF(A322="","",
SUM(
COUNTIFS('QA Log'!D:D,A322,'QA Log'!M:M,"Data Verification",'QA Log'!Z:Z,"Rejected",'QA Log'!L:L,"*Personnel (section 1)*"),
COUNTIFS('QA Log'!D:D,A322,'QA Log'!M:M,"Data Verification",'QA Log'!Z:Z,"Rejected",'QA Log'!L:L,"*Consumable (section 3)*"),
COUNTIFS('QA Log'!D:D,A322,'QA Log'!M:M,"Data Verification",'QA Log'!Z:Z,"Rejected",'QA Log'!L:L,"*Equipments (section 4)*")
))</f>
        <v/>
      </c>
      <c r="AT322" s="102" t="str">
        <f t="shared" si="33"/>
        <v/>
      </c>
      <c r="AU322" s="103" t="str">
        <f t="shared" si="34"/>
        <v/>
      </c>
      <c r="AV322" s="102" t="str">
        <f>IF(A322="","",SUM(
COUNTIFS('QA Log'!D:D,A322,'QA Log'!M:M,"Vignette",'QA Log'!L:L,"*Vignette [1] Respiratory Infection: Pneumonia*"),
COUNTIFS('QA Log'!D:D,A322,'QA Log'!M:M,"Vignette",'QA Log'!L:L,"*Vignette [2]: Diarrhea with Cat B dehydration*"),
COUNTIFS('QA Log'!D:D,A322,'QA Log'!M:M,"Vignette",'QA Log'!L:L,"*Vignette [3] Growth Monitoring and Promotion*"),
COUNTIFS('QA Log'!D:D,A322,'QA Log'!M:M,"Vignette",'QA Log'!L:L,"*Vignette [4]: The management of presumptive TB patient*")
)
)</f>
        <v/>
      </c>
      <c r="AW322" s="102" t="str">
        <f>IF(
  A322="","",
  SUM(
    COUNTIFS('QA Log'!D:D,A322,'QA Log'!M:M,"Vignette",'QA Log'!Z:Z,"Approved",'QA Log'!L:L,"*Vignette [1] Respiratory Infection: Pneumonia*"),
    COUNTIFS('QA Log'!D:D,A322,'QA Log'!M:M,"Vignette",'QA Log'!Z:Z,"Approved",'QA Log'!L:L,"*Vignette [2]: Diarrhea with Cat B dehydration*"),
    COUNTIFS('QA Log'!D:D,A322,'QA Log'!M:M,"Vignette",'QA Log'!Z:Z,"Approved",'QA Log'!L:L,"*Vignette [3] Growth Monitoring and Promotion*"),
    COUNTIFS('QA Log'!D:D,A322,'QA Log'!M:M,"Vignette",'QA Log'!Z:Z,"Approved",'QA Log'!L:L,"*Vignette [4]: The management of presumptive TB patient*")
  )
)</f>
        <v/>
      </c>
      <c r="AX322" s="105" t="str">
        <f>IF(A322&lt;&gt;"",COUNTIFS('QA Log'!D:D,A322,'QA Log'!M:M,"Vignette",'QA Log'!L:L,"Vignette [1] Respiratory Infection: Pneumonia",'QA Log'!Z:Z,"Approved"),"")</f>
        <v/>
      </c>
      <c r="AY322" s="105" t="str">
        <f>IF(A322&lt;&gt;"",COUNTIFS('QA Log'!D:D,A322,'QA Log'!M:M,"Vignette",'QA Log'!L:L,"Vignette [2]: Diarrhea with Cat B dehydration",'QA Log'!Z:Z,"Approved"),"")</f>
        <v/>
      </c>
      <c r="AZ322" s="105" t="str">
        <f>IF(A322&lt;&gt;"",COUNTIFS('QA Log'!D:D,A322,'QA Log'!M:M,"Vignette",'QA Log'!L:L,"Vignette [3] Growth Monitoring and Promotion",'QA Log'!Z:Z,"Approved"),"")</f>
        <v/>
      </c>
      <c r="BA322" s="105" t="str">
        <f>IF(A322&lt;&gt;"",COUNTIFS('QA Log'!D:D,A322,'QA Log'!M:M,"Vignette",'QA Log'!L:L,"Vignette [4]: The management of presumptive TB patient",'QA Log'!Z:Z,"Approved"),"")</f>
        <v/>
      </c>
      <c r="BB322" s="102" t="str">
        <f>IF(A322="","",
  SUM(
    COUNTIFS('QA Log'!D:D,A322,'QA Log'!M:M,"Vignette",'QA Log'!Z:Z,"Rejected",'QA Log'!L:L,"*Vignette [1] Respiratory Infection: Pneumonia*"),
    COUNTIFS('QA Log'!D:D,A322,'QA Log'!M:M,"Vignette",'QA Log'!Z:Z,"Rejected",'QA Log'!L:L,"*Vignette [2]: Diarrhea with Cat B dehydration*"),
    COUNTIFS('QA Log'!D:D,A322,'QA Log'!M:M,"Vignette",'QA Log'!Z:Z,"Rejected",'QA Log'!L:L,"*Vignette [3] Growth Monitoring and Promotion*"),
    COUNTIFS('QA Log'!D:D,A322,'QA Log'!M:M,"Vignette",'QA Log'!Z:Z,"Rejected",'QA Log'!L:L,"*Vignette [4]: The management of presumptive TB patient*")
  )
)</f>
        <v/>
      </c>
      <c r="BC322" s="107" t="str">
        <f t="shared" si="35"/>
        <v/>
      </c>
      <c r="BD322" s="103" t="str">
        <f t="shared" si="36"/>
        <v/>
      </c>
      <c r="BE322" s="102" t="str">
        <f>IF(A322="","",SUM(
COUNTIFS('QA Log'!D:D,A322,'QA Log'!M:M,"Vignette",'QA Log'!L:L,"*Vignette [5] Labor*"),
COUNTIFS('QA Log'!D:D,A322,'QA Log'!M:M,"Vignette",'QA Log'!L:L,"*Vignette [6] PNC pre Discharge*"),
COUNTIFS('QA Log'!D:D,A322,'QA Log'!M:M,"Vignette",'QA Log'!L:L,"*Vignette [7] First ANC Visit*"),
COUNTIFS('QA Log'!D:D,A322,'QA Log'!M:M,"Vignette",'QA Log'!L:L,"*Vignette [8] Birth Spacing/ Family Planning :  FP Counselling*"),
COUNTIFS('QA Log'!D:D,A322,'QA Log'!M:M,"Vignette",'QA Log'!L:L,"*Vignette [9] Birth Spacing: Change FP method to Injectable*"),
COUNTIFS('QA Log'!D:D,A322,'QA Log'!M:M,"Vignette",'QA Log'!L:L,"*Vignette [10] Post Partum Haemorrhage - Atonic Uterus at Health Centre*"),
)
)</f>
        <v/>
      </c>
      <c r="BF322" s="102" t="str">
        <f>IF(A322="","",
  SUM(
    COUNTIFS('QA Log'!D:D,A322,'QA Log'!M:M,"Vignette",'QA Log'!Z:Z,"Approved",'QA Log'!L:L,"*Vignette [5] Labor*"),
    COUNTIFS('QA Log'!D:D,A322,'QA Log'!M:M,"Vignette",'QA Log'!Z:Z,"Approved",'QA Log'!L:L,"*Vignette [6] PNC pre Discharge*"),
    COUNTIFS('QA Log'!D:D,A322,'QA Log'!M:M,"Vignette",'QA Log'!Z:Z,"Approved",'QA Log'!L:L,"*Vignette [7] First ANC Visit*"),
    COUNTIFS('QA Log'!D:D,A322,'QA Log'!M:M,"Vignette",'QA Log'!Z:Z,"Approved",'QA Log'!L:L,"*Vignette [8] Birth Spacing/ Family Planning :  FP Counselling*"),
    COUNTIFS('QA Log'!D:D,A322,'QA Log'!M:M,"Vignette",'QA Log'!Z:Z,"Approved",'QA Log'!L:L,"*Vignette [9] Birth Spacing: Change FP method to Injectable*"),
    COUNTIFS('QA Log'!D:D,A322,'QA Log'!M:M,"Vignette",'QA Log'!Z:Z,"Approved",'QA Log'!L:L,"*Vignette [10] Post Partum Haemorrhage - Atonic Uterus at Health Centre*")
  )
)</f>
        <v/>
      </c>
      <c r="BG322" s="105" t="str">
        <f>IF(A322&lt;&gt;"",COUNTIFS('QA Log'!D:D,A322,'QA Log'!M:M,"Vignette",'QA Log'!L:L,"Vignette [5] Labor",'QA Log'!Z:Z,"Approved"),"")</f>
        <v/>
      </c>
      <c r="BH322" s="105" t="str">
        <f>IF(A322&lt;&gt;"",COUNTIFS('QA Log'!D:D,A322,'QA Log'!M:M,"Vignette",'QA Log'!L:L,"Vignette [6] PNC pre Discharge",'QA Log'!Z:Z,"Approved"),"")</f>
        <v/>
      </c>
      <c r="BI322" s="105" t="str">
        <f>IF(A322&lt;&gt;"",COUNTIFS('QA Log'!D:D,A322,'QA Log'!M:M,"Vignette",'QA Log'!L:L,"Vignette [7] First ANC Visit",'QA Log'!Z:Z,"Approved"),"")</f>
        <v/>
      </c>
      <c r="BJ322" s="105" t="str">
        <f>IF(A322&lt;&gt;"",COUNTIFS('QA Log'!D:D,A322,'QA Log'!M:M,"Vignette",'QA Log'!L:L,"Vignette [8] Birth Spacing/ Family Planning :  FP Counselling",'QA Log'!Z:Z,"Approved"),"")</f>
        <v/>
      </c>
      <c r="BK322" s="105" t="str">
        <f>IF(A322&lt;&gt;"",COUNTIFS('QA Log'!D:D,A322,'QA Log'!M:M,"Vignette",'QA Log'!L:L,"Vignette [9] Birth Spacing: Change FP method to Injectable",'QA Log'!Z:Z,"Approved"),"")</f>
        <v/>
      </c>
      <c r="BL322" s="105" t="str">
        <f>IF(A322&lt;&gt;"",COUNTIFS('QA Log'!D:D,A322,'QA Log'!M:M,"Vignette",'QA Log'!L:L,"Vignette [10] Post Partum Haemorrhage - Atonic Uterus at Health Centre",'QA Log'!Z:Z,"Approved"),"")</f>
        <v/>
      </c>
      <c r="BM322" s="102" t="str">
        <f>IF(A322="","",SUM(
    COUNTIFS('QA Log'!D:D,A322,'QA Log'!M:M,"Vignette",'QA Log'!Z:Z,"Rejected",'QA Log'!L:L,"*Vignette [5] Labor*"),
    COUNTIFS('QA Log'!D:D,A322,'QA Log'!M:M,"Vignette",'QA Log'!Z:Z,"Rejected",'QA Log'!L:L,"*Vignette [6] PNC pre Discharge*"),
    COUNTIFS('QA Log'!D:D,A322,'QA Log'!M:M,"Vignette",'QA Log'!Z:Z,"Rejected",'QA Log'!L:L,"*Vignette [7] First ANC Visit*"),
    COUNTIFS('QA Log'!D:D,A322,'QA Log'!M:M,"Vignette",'QA Log'!Z:Z,"Rejected",'QA Log'!L:L,"*Vignette [8] Birth Spacing/ Family Planning :  FP Counselling*"),
    COUNTIFS('QA Log'!D:D,A322,'QA Log'!M:M,"Vignette",'QA Log'!Z:Z,"Rejected",'QA Log'!L:L,"*Vignette [9] Birth Spacing: Change FP method to Injectable*"),
    COUNTIFS('QA Log'!D:D,A322,'QA Log'!M:M,"Vignette",'QA Log'!Z:Z,"Rejected",'QA Log'!L:L,"*Vignette [10] Post Partum Haemorrhage - Atonic Uterus at Health Centre*")
  )
)</f>
        <v/>
      </c>
      <c r="BN322" s="107" t="str">
        <f t="shared" si="37"/>
        <v/>
      </c>
      <c r="BO322" s="103" t="str">
        <f t="shared" si="38"/>
        <v/>
      </c>
      <c r="BP322" s="102" t="str">
        <f>IF(A322="","",SUM(
COUNTIFS('QA Log'!D:D,A322,'QA Log'!M:M,"Vignette",'QA Log'!L:L,"*Exit Interview 1*"),
COUNTIFS('QA Log'!D:D,A322,'QA Log'!M:M,"Vignette",'QA Log'!L:L,"*Exit Interview 2*"),
)
)</f>
        <v/>
      </c>
      <c r="BQ322" s="102" t="str">
        <f>IF(
  A322="","",
  SUM(
    COUNTIFS('QA Log'!D:D,A322,'QA Log'!M:M,"Vignette",'QA Log'!Z:Z,"Approved",'QA Log'!L:L,"*Exit Interview 1*"),
    COUNTIFS('QA Log'!D:D,A322,'QA Log'!M:M,"Vignette",'QA Log'!Z:Z,"Approved",'QA Log'!L:L,"*Exit Interview 2*")
  )
)</f>
        <v/>
      </c>
      <c r="BR322" s="105" t="str">
        <f>IF(A322&lt;&gt;"",COUNTIFS('QA Log'!D:D,A322,'QA Log'!M:M,"Vignette",'QA Log'!L:L,"Exit Interview 1",'QA Log'!Z:Z,"Approved"),"")</f>
        <v/>
      </c>
      <c r="BS322" s="105" t="str">
        <f>IF(A322&lt;&gt;"",COUNTIFS('QA Log'!D:D,A322,'QA Log'!M:M,"Vignette",'QA Log'!L:L,"Exit Interview 2",'QA Log'!Z:Z,"Approved"),"")</f>
        <v/>
      </c>
      <c r="BT322" s="102" t="str">
        <f>IF(
  A322="","",
  SUM(
    COUNTIFS('QA Log'!D:D,A322,'QA Log'!M:M,"Vignette",'QA Log'!Z:Z,"Rejected",'QA Log'!L:L,"*Exit Interview 1*"),
    COUNTIFS('QA Log'!D:D,A322,'QA Log'!M:M,"Vignette",'QA Log'!Z:Z,"Rejected",'QA Log'!L:L,"*Exit Interview 2*")
  )
)</f>
        <v/>
      </c>
      <c r="BU322" s="107" t="str">
        <f t="shared" si="39"/>
        <v/>
      </c>
      <c r="BV322" s="102" t="str">
        <f t="shared" si="40"/>
        <v/>
      </c>
      <c r="BW322" s="102" t="str">
        <f t="shared" si="41"/>
        <v/>
      </c>
      <c r="BX322" s="102" t="str">
        <f t="shared" si="42"/>
        <v/>
      </c>
      <c r="BY322" s="102" t="str">
        <f t="shared" si="43"/>
        <v/>
      </c>
      <c r="BZ322" s="107" t="str">
        <f t="shared" si="44"/>
        <v/>
      </c>
      <c r="CA322" s="108" t="str">
        <f t="shared" si="45"/>
        <v/>
      </c>
      <c r="CB322" s="108" t="str">
        <f t="shared" si="46"/>
        <v/>
      </c>
      <c r="CC322" s="109" t="str">
        <f t="shared" si="47"/>
        <v/>
      </c>
      <c r="CD322" s="108" t="str">
        <f t="shared" si="48"/>
        <v/>
      </c>
      <c r="CE322" s="108" t="str">
        <f t="shared" si="49"/>
        <v/>
      </c>
      <c r="CF322" s="109" t="str">
        <f t="shared" si="50"/>
        <v/>
      </c>
      <c r="CG322" s="110" t="str">
        <f t="shared" si="51"/>
        <v/>
      </c>
      <c r="CH322" s="111"/>
    </row>
    <row r="323" spans="1:86" ht="12.75">
      <c r="A323" s="101"/>
      <c r="B323" s="102" t="e">
        <f t="array" aca="1" ref="B323" ca="1">_xludf.XLOOKUP(A323,'QA Log'!D:D,'QA Log'!E:E,"")</f>
        <v>#NAME?</v>
      </c>
      <c r="C323" s="102" t="e">
        <f t="array" aca="1" ref="C323" ca="1">_xludf.XLOOKUP(A323,'QA Log'!D:D,'QA Log'!F:F,"")</f>
        <v>#NAME?</v>
      </c>
      <c r="D323" s="102" t="e">
        <f t="array" aca="1" ref="D323" ca="1">_xludf.XLOOKUP(A323,'QA Log'!D:D,'QA Log'!H:H,"")</f>
        <v>#NAME?</v>
      </c>
      <c r="E323" s="102" t="e">
        <f t="array" aca="1" ref="E323" ca="1">_xludf.XLOOKUP(A323,'QA Log'!D:D,'QA Log'!G:G,"")</f>
        <v>#NAME?</v>
      </c>
      <c r="F323" s="103"/>
      <c r="G323" s="104"/>
      <c r="H323" s="104"/>
      <c r="I323" s="103" t="str">
        <f t="shared" si="26"/>
        <v/>
      </c>
      <c r="J323" s="102" t="str">
        <f>IF(A323="","",SUM(
COUNTIFS('QA Log'!D:D,A323,'QA Log'!M:M,"QQC",'QA Log'!L:L,"*1. General Management*"),
COUNTIFS('QA Log'!D:D,A323,'QA Log'!M:M,"QQC",'QA Log'!L:L,"*3. Curative Consultation (OPD)*"),
COUNTIFS('QA Log'!D:D,A323,'QA Log'!M:M,"QQC",'QA Log'!L:L,"*5. Laboratory*"),
COUNTIFS('QA Log'!D:D,A323,'QA Log'!M:M,"QQC",'QA Log'!L:L,"*6. Essential Medicine Management*"),
COUNTIFS('QA Log'!D:D,A323,'QA Log'!M:M,"QQC",'QA Log'!L:L,"*7. Tracer Medicine*"),
COUNTIFS('QA Log'!D:D,A323,'QA Log'!M:M,"QQC",'QA Log'!L:L,"*11. Additional Questions*")))</f>
        <v/>
      </c>
      <c r="K323" s="102" t="str">
        <f>IF(A323="","",SUM(
COUNTIFS('QA Log'!D:D,A323,'QA Log'!M:M,"QQC",'QA Log'!Z:Z,"Approved",'QA Log'!L:L,"*1. General Management*"),
COUNTIFS('QA Log'!D:D,A323,'QA Log'!M:M,"QQC",'QA Log'!Z:Z,"Approved",'QA Log'!L:L,"*3. Curative Consultation (OPD)*"),
COUNTIFS('QA Log'!D:D,A323,'QA Log'!M:M,"QQC",'QA Log'!Z:Z,"Approved",'QA Log'!L:L,"*5. Laboratory*"),
COUNTIFS('QA Log'!D:D,A323,'QA Log'!M:M,"QQC",'QA Log'!Z:Z,"Approved",'QA Log'!L:L,"*6. Essential Medicine Management*"),
COUNTIFS('QA Log'!D:D,A323,'QA Log'!M:M,"QQC",'QA Log'!Z:Z,"Approved",'QA Log'!L:L,"*7. Tracer Medicine*"),
COUNTIFS('QA Log'!D:D,A323,'QA Log'!M:M,"QQC",'QA Log'!Z:Z,"Approved",'QA Log'!L:L,"*11. Additional Questions*")))</f>
        <v/>
      </c>
      <c r="L323" s="105" t="str">
        <f>IF(A323&lt;&gt;"",COUNTIFS('QA Log'!D:D,A323,'QA Log'!M:M,"QQC",'QA Log'!L:L,"1. General Management",'QA Log'!Z:Z,"Approved"),"")</f>
        <v/>
      </c>
      <c r="M323" s="105" t="str">
        <f>IF(A323&lt;&gt;"",COUNTIFS('QA Log'!D:D,A323,'QA Log'!M:M,"QQC",'QA Log'!L:L,"3. Curative Consultation (OPD)",'QA Log'!Z:Z,"Approved"),"")</f>
        <v/>
      </c>
      <c r="N323" s="105" t="str">
        <f>IF(A323&lt;&gt;"",COUNTIFS('QA Log'!D:D,A323,'QA Log'!M:M,"QQC",'QA Log'!L:L,"5. Laboratory",'QA Log'!Z:Z,"Approved"),"")</f>
        <v/>
      </c>
      <c r="O323" s="105" t="str">
        <f>IF(A323&lt;&gt;"",COUNTIFS('QA Log'!D:D,A323,'QA Log'!M:M,"QQC",'QA Log'!L:L,"6. Essential Medicine Management",'QA Log'!Z:Z,"Approved"),"")</f>
        <v/>
      </c>
      <c r="P323" s="105" t="str">
        <f>IF(A323&lt;&gt;"",COUNTIFS('QA Log'!D:D,A323,'QA Log'!M:M,"QQC",'QA Log'!L:L,"7. Tracer Medicine",'QA Log'!Z:Z,"Approved"),"")</f>
        <v/>
      </c>
      <c r="Q323" s="105" t="str">
        <f>IF(A323&lt;&gt;"",COUNTIFS('QA Log'!D:D,A323,'QA Log'!M:M,"QQC",'QA Log'!L:L,"11. Additional Questions",'QA Log'!Z:Z,"Approved"),"")</f>
        <v/>
      </c>
      <c r="R323" s="102" t="str">
        <f>IF(A323="","",SUM(
COUNTIFS('QA Log'!D:D,A323,'QA Log'!M:M,"QQC",'QA Log'!Z:Z,"Rejected",'QA Log'!L:L,"*8. Maternity*"),
COUNTIFS('QA Log'!D:D,A323,'QA Log'!M:M,"QQC",'QA Log'!Z:Z,"Rejected",'QA Log'!L:L,"*EPI*"),
COUNTIFS('QA Log'!D:D,A323,'QA Log'!M:M,"QQC",'QA Log'!Z:Z,"Rejected",'QA Log'!L:L,"*10. Antenatal Care (ANC)*"),
COUNTIFS('QA Log'!D:D,A323,'QA Log'!M:M,"QQC",'QA Log'!Z:Z,"Rejected",'QA Log'!L:L,"*2. Hygiene and Sterilization*"),
COUNTIFS('QA Log'!D:D,A323,'QA Log'!M:M,"QQC",'QA Log'!Z:Z,"Rejected",'QA Log'!L:L,"*Family Planning*")))</f>
        <v/>
      </c>
      <c r="S323" s="106" t="str">
        <f t="shared" si="27"/>
        <v/>
      </c>
      <c r="T323" s="102" t="str">
        <f t="shared" si="28"/>
        <v/>
      </c>
      <c r="U323" s="102" t="str">
        <f>IF(A323="","",
SUM(
COUNTIFS('QA Log'!D:D,A323,'QA Log'!M:M,"QQC",'QA Log'!L:L,"*8. Maternity*"),
COUNTIFS('QA Log'!D:D,A323,'QA Log'!M:M,"QQC",'QA Log'!L:L,"*9. EPI and Pre-school Consultation*"),
COUNTIFS('QA Log'!D:D,A323,'QA Log'!M:M,"QQC",'QA Log'!L:L,"*10. Antenatal Care (ANC)*"),
COUNTIFS('QA Log'!D:D,A323,'QA Log'!M:M,"QQC",'QA Log'!L:L,"*2. Hygiene and Sterilization*"),
COUNTIFS('QA Log'!D:D,A323,'QA Log'!M:M,"QQC",'QA Log'!L:L,"*4. Family Planning*")
))</f>
        <v/>
      </c>
      <c r="V323" s="102" t="str">
        <f>IF(A323="","",
SUM(
COUNTIFS('QA Log'!D:D,A323,'QA Log'!M:M,"QQC",'QA Log'!Z:Z,"Approved",'QA Log'!L:L,"*8. Maternity*"),
COUNTIFS('QA Log'!D:D,A323,'QA Log'!M:M,"QQC",'QA Log'!Z:Z,"Approved",'QA Log'!L:L,"*9. EPI and Pre-school Consultation*"),
COUNTIFS('QA Log'!D:D,A323,'QA Log'!M:M,"QQC",'QA Log'!Z:Z,"Approved",'QA Log'!L:L,"*10. Antenatal Care (ANC)*"),
COUNTIFS('QA Log'!D:D,A323,'QA Log'!M:M,"QQC",'QA Log'!Z:Z,"Approved",'QA Log'!L:L,"*2. Hygiene and Sterilization*"),
COUNTIFS('QA Log'!D:D,A323,'QA Log'!M:M,"QQC",'QA Log'!Z:Z,"Approved",'QA Log'!L:L,"*4. Family Planning*")
))</f>
        <v/>
      </c>
      <c r="W323" s="105" t="str">
        <f>IF(A323&lt;&gt;"",COUNTIFS('QA Log'!D:D,A323,'QA Log'!M:M,"QQC",'QA Log'!L:L,"8. Maternity",'QA Log'!Z:Z,"Approved"),"")</f>
        <v/>
      </c>
      <c r="X323" s="105" t="str">
        <f>IF(A323&lt;&gt;"",COUNTIFS('QA Log'!D:D,A323,'QA Log'!M:M,"QQC",'QA Log'!L:L,"9. EPI and Pre-school Consultation",'QA Log'!Z:Z,"Approved"),"")</f>
        <v/>
      </c>
      <c r="Y323" s="105" t="str">
        <f>IF(A323&lt;&gt;"",COUNTIFS('QA Log'!D:D,A323,'QA Log'!M:M,"QQC",'QA Log'!L:L,"10. Antenatal Care (ANC)",'QA Log'!Z:Z,"Approved"),"")</f>
        <v/>
      </c>
      <c r="Z323" s="105" t="str">
        <f>IF(A323&lt;&gt;"",COUNTIFS('QA Log'!D:D,A323,'QA Log'!M:M,"QQC",'QA Log'!L:L,"2. Hygiene and Sterilization",'QA Log'!Z:Z,"Approved"),"")</f>
        <v/>
      </c>
      <c r="AA323" s="105" t="str">
        <f>IF(A323&lt;&gt;"",COUNTIFS('QA Log'!D:D,A323,'QA Log'!M:M,"QQC",'QA Log'!L:L,"4. Family Planning",'QA Log'!Z:Z,"Approved"),"")</f>
        <v/>
      </c>
      <c r="AB323" s="102" t="str">
        <f>IF(A323="","",
SUM(
COUNTIFS('QA Log'!D:D,A323,'QA Log'!M:M,"QQC",'QA Log'!Z:Z,"Rejected",'QA Log'!L:L,"*8. Maternity*"),
COUNTIFS('QA Log'!D:D,A323,'QA Log'!M:M,"QQC",'QA Log'!Z:Z,"Rejected",'QA Log'!L:L,"*9. EPI and Pre-school Consultation*"),
COUNTIFS('QA Log'!D:D,A323,'QA Log'!M:M,"QQC",'QA Log'!Z:Z,"Rejected",'QA Log'!L:L,"*10. Antenatal Care (ANC)*"),
COUNTIFS('QA Log'!D:D,A323,'QA Log'!M:M,"QQC",'QA Log'!Z:Z,"Rejected",'QA Log'!L:L,"*2. Hygiene and Sterilization*"),
COUNTIFS('QA Log'!D:D,A323,'QA Log'!M:M,"QQC",'QA Log'!Z:Z,"Rejected",'QA Log'!L:L,"*4. Family Planning*")
))</f>
        <v/>
      </c>
      <c r="AC323" s="102" t="str">
        <f t="shared" si="29"/>
        <v/>
      </c>
      <c r="AD323" s="103" t="str">
        <f t="shared" si="30"/>
        <v/>
      </c>
      <c r="AE323" s="102" t="str">
        <f>IF(A323="","",
SUM(
COUNTIFS('QA Log'!D:D,A323,'QA Log'!M:M,"Data Verification",'QA Log'!L:L,"*Medicine (section 2)*"),
COUNTIFS('QA Log'!D:D,A323,'QA Log'!M:M,"Data Verification",'QA Log'!L:L,"*Lab Testing Availability*"),
COUNTIFS('QA Log'!D:D,A323,'QA Log'!M:M,"Data Verification",'QA Log'!L:L,"*Other than P4P (section 6)*"),
COUNTIFS('QA Log'!D:D,A323,'QA Log'!M:M,"Data Verification",'QA Log'!L:L,"*Hospital Governance*")
))</f>
        <v/>
      </c>
      <c r="AF323" s="102" t="str">
        <f>IF(A323="","",
SUM(
COUNTIFS('QA Log'!D:D,A323,'QA Log'!M:M,"Data Verification",'QA Log'!Z:Z,"Approved",'QA Log'!L:L,"*Medicine (section 2)*"),
COUNTIFS('QA Log'!D:D,A323,'QA Log'!M:M,"Data Verification",'QA Log'!Z:Z,"Approved",'QA Log'!L:L,"*Lab Testing Availability*"),
COUNTIFS('QA Log'!D:D,A323,'QA Log'!M:M,"Data Verification",'QA Log'!Z:Z,"Approved",'QA Log'!L:L,"*Other than P4P (section 6)*"),
COUNTIFS('QA Log'!D:D,A323,'QA Log'!M:M,"Data Verification",'QA Log'!Z:Z,"Approved",'QA Log'!L:L,"*Hospital Governance*")
))</f>
        <v/>
      </c>
      <c r="AG323" s="105" t="str">
        <f>IF(A323&lt;&gt;"",COUNTIFS('QA Log'!D:D,A323,'QA Log'!M:M,"Data Verification",'QA Log'!L:L,"Medicine (section 2)",'QA Log'!Z:Z,"Approved"),"")</f>
        <v/>
      </c>
      <c r="AH323" s="105" t="str">
        <f>IF(A323&lt;&gt;"",COUNTIFS('QA Log'!D:D,A323,'QA Log'!M:M,"Data Verification",'QA Log'!L:L,"Lab Testing Availability",'QA Log'!Z:Z,"Approved"),"")</f>
        <v/>
      </c>
      <c r="AI323" s="105" t="str">
        <f>IF(A323&lt;&gt;"",COUNTIFS('QA Log'!D:D,A323,'QA Log'!M:M,"Data Verification",'QA Log'!L:L,"Other than P4P (section 6)",'QA Log'!Z:Z,"Approved"),"")</f>
        <v/>
      </c>
      <c r="AJ323" s="105" t="str">
        <f>IF(A323&lt;&gt;"",COUNTIFS('QA Log'!D:D,A323,'QA Log'!M:M,"Data Verification",'QA Log'!L:L,"Hospital Governance",'QA Log'!Z:Z,"Approved"),"")</f>
        <v/>
      </c>
      <c r="AK323" s="102" t="str">
        <f>IF(A323="","",
SUM(
COUNTIFS('QA Log'!D:D,A323,'QA Log'!M:M,"Data Verification",'QA Log'!Z:Z,"Rejected",'QA Log'!L:L,"*Medicine (section 2)*"),
COUNTIFS('QA Log'!D:D,A323,'QA Log'!M:M,"Data Verification",'QA Log'!Z:Z,"Rejected",'QA Log'!L:L,"*Lab Testing Availability*"),
COUNTIFS('QA Log'!D:D,A323,'QA Log'!M:M,"Data Verification",'QA Log'!Z:Z,"Rejected",'QA Log'!L:L,"*Other than P4P (section 6)*"),
COUNTIFS('QA Log'!D:D,A323,'QA Log'!M:M,"Data Verification",'QA Log'!Z:Z,"Rejected",'QA Log'!L:L,"*Hospital Governance*")
))</f>
        <v/>
      </c>
      <c r="AL323" s="106" t="str">
        <f t="shared" si="31"/>
        <v/>
      </c>
      <c r="AM323" s="102" t="str">
        <f t="shared" si="32"/>
        <v/>
      </c>
      <c r="AN323" s="102" t="str">
        <f>IF(A323="","",
SUM(
COUNTIFS('QA Log'!D:D,A323,'QA Log'!M:M,"Data Verification",'QA Log'!L:L,"*Personnel (section 1)*"),
COUNTIFS('QA Log'!D:D,A323,'QA Log'!M:M,"Data Verification",'QA Log'!L:L,"*Consumable (section 3)*"),
COUNTIFS('QA Log'!D:D,A323,'QA Log'!M:M,"Data Verification",'QA Log'!L:L,"*Equipments (section 4)*")
))</f>
        <v/>
      </c>
      <c r="AO323" s="102" t="str">
        <f>IF(A323="","",
SUM(
COUNTIFS('QA Log'!D:D,A323,'QA Log'!M:M,"Data Verification",'QA Log'!Z:Z,"Approved",'QA Log'!L:L,"*Personnel (section 1)*"),
COUNTIFS('QA Log'!D:D,A323,'QA Log'!M:M,"Data Verification",'QA Log'!Z:Z,"Approved",'QA Log'!L:L,"*Consumable (section 3)*"),
COUNTIFS('QA Log'!D:D,A323,'QA Log'!M:M,"Data Verification",'QA Log'!Z:Z,"Approved",'QA Log'!L:L,"*Equipments (section 4)*")
))</f>
        <v/>
      </c>
      <c r="AP323" s="105" t="str">
        <f>IF(A323&lt;&gt;"",COUNTIFS('QA Log'!D:D,A323,'QA Log'!M:M,"Data Verification",'QA Log'!L:L,"Personnel (section 1)",'QA Log'!Z:Z,"Approved"),"")</f>
        <v/>
      </c>
      <c r="AQ323" s="105" t="str">
        <f>IF(A323&lt;&gt;"",COUNTIFS('QA Log'!D:D,A323,'QA Log'!M:M,"Data Verification",'QA Log'!L:L,"Consumable (section 3)",'QA Log'!Z:Z,"Approved"),"")</f>
        <v/>
      </c>
      <c r="AR323" s="105" t="str">
        <f>IF(A323&lt;&gt;"",COUNTIFS('QA Log'!D:D,A323,'QA Log'!M:M,"Data Verification",'QA Log'!L:L,"Equipments (section 4)",'QA Log'!Z:Z,"Approved"),"")</f>
        <v/>
      </c>
      <c r="AS323" s="102" t="str">
        <f>IF(A323="","",
SUM(
COUNTIFS('QA Log'!D:D,A323,'QA Log'!M:M,"Data Verification",'QA Log'!Z:Z,"Rejected",'QA Log'!L:L,"*Personnel (section 1)*"),
COUNTIFS('QA Log'!D:D,A323,'QA Log'!M:M,"Data Verification",'QA Log'!Z:Z,"Rejected",'QA Log'!L:L,"*Consumable (section 3)*"),
COUNTIFS('QA Log'!D:D,A323,'QA Log'!M:M,"Data Verification",'QA Log'!Z:Z,"Rejected",'QA Log'!L:L,"*Equipments (section 4)*")
))</f>
        <v/>
      </c>
      <c r="AT323" s="102" t="str">
        <f t="shared" si="33"/>
        <v/>
      </c>
      <c r="AU323" s="103" t="str">
        <f t="shared" si="34"/>
        <v/>
      </c>
      <c r="AV323" s="102" t="str">
        <f>IF(A323="","",SUM(
COUNTIFS('QA Log'!D:D,A323,'QA Log'!M:M,"Vignette",'QA Log'!L:L,"*Vignette [1] Respiratory Infection: Pneumonia*"),
COUNTIFS('QA Log'!D:D,A323,'QA Log'!M:M,"Vignette",'QA Log'!L:L,"*Vignette [2]: Diarrhea with Cat B dehydration*"),
COUNTIFS('QA Log'!D:D,A323,'QA Log'!M:M,"Vignette",'QA Log'!L:L,"*Vignette [3] Growth Monitoring and Promotion*"),
COUNTIFS('QA Log'!D:D,A323,'QA Log'!M:M,"Vignette",'QA Log'!L:L,"*Vignette [4]: The management of presumptive TB patient*")
)
)</f>
        <v/>
      </c>
      <c r="AW323" s="102" t="str">
        <f>IF(
  A323="","",
  SUM(
    COUNTIFS('QA Log'!D:D,A323,'QA Log'!M:M,"Vignette",'QA Log'!Z:Z,"Approved",'QA Log'!L:L,"*Vignette [1] Respiratory Infection: Pneumonia*"),
    COUNTIFS('QA Log'!D:D,A323,'QA Log'!M:M,"Vignette",'QA Log'!Z:Z,"Approved",'QA Log'!L:L,"*Vignette [2]: Diarrhea with Cat B dehydration*"),
    COUNTIFS('QA Log'!D:D,A323,'QA Log'!M:M,"Vignette",'QA Log'!Z:Z,"Approved",'QA Log'!L:L,"*Vignette [3] Growth Monitoring and Promotion*"),
    COUNTIFS('QA Log'!D:D,A323,'QA Log'!M:M,"Vignette",'QA Log'!Z:Z,"Approved",'QA Log'!L:L,"*Vignette [4]: The management of presumptive TB patient*")
  )
)</f>
        <v/>
      </c>
      <c r="AX323" s="105" t="str">
        <f>IF(A323&lt;&gt;"",COUNTIFS('QA Log'!D:D,A323,'QA Log'!M:M,"Vignette",'QA Log'!L:L,"Vignette [1] Respiratory Infection: Pneumonia",'QA Log'!Z:Z,"Approved"),"")</f>
        <v/>
      </c>
      <c r="AY323" s="105" t="str">
        <f>IF(A323&lt;&gt;"",COUNTIFS('QA Log'!D:D,A323,'QA Log'!M:M,"Vignette",'QA Log'!L:L,"Vignette [2]: Diarrhea with Cat B dehydration",'QA Log'!Z:Z,"Approved"),"")</f>
        <v/>
      </c>
      <c r="AZ323" s="105" t="str">
        <f>IF(A323&lt;&gt;"",COUNTIFS('QA Log'!D:D,A323,'QA Log'!M:M,"Vignette",'QA Log'!L:L,"Vignette [3] Growth Monitoring and Promotion",'QA Log'!Z:Z,"Approved"),"")</f>
        <v/>
      </c>
      <c r="BA323" s="105" t="str">
        <f>IF(A323&lt;&gt;"",COUNTIFS('QA Log'!D:D,A323,'QA Log'!M:M,"Vignette",'QA Log'!L:L,"Vignette [4]: The management of presumptive TB patient",'QA Log'!Z:Z,"Approved"),"")</f>
        <v/>
      </c>
      <c r="BB323" s="102" t="str">
        <f>IF(A323="","",
  SUM(
    COUNTIFS('QA Log'!D:D,A323,'QA Log'!M:M,"Vignette",'QA Log'!Z:Z,"Rejected",'QA Log'!L:L,"*Vignette [1] Respiratory Infection: Pneumonia*"),
    COUNTIFS('QA Log'!D:D,A323,'QA Log'!M:M,"Vignette",'QA Log'!Z:Z,"Rejected",'QA Log'!L:L,"*Vignette [2]: Diarrhea with Cat B dehydration*"),
    COUNTIFS('QA Log'!D:D,A323,'QA Log'!M:M,"Vignette",'QA Log'!Z:Z,"Rejected",'QA Log'!L:L,"*Vignette [3] Growth Monitoring and Promotion*"),
    COUNTIFS('QA Log'!D:D,A323,'QA Log'!M:M,"Vignette",'QA Log'!Z:Z,"Rejected",'QA Log'!L:L,"*Vignette [4]: The management of presumptive TB patient*")
  )
)</f>
        <v/>
      </c>
      <c r="BC323" s="107" t="str">
        <f t="shared" si="35"/>
        <v/>
      </c>
      <c r="BD323" s="103" t="str">
        <f t="shared" si="36"/>
        <v/>
      </c>
      <c r="BE323" s="102" t="str">
        <f>IF(A323="","",SUM(
COUNTIFS('QA Log'!D:D,A323,'QA Log'!M:M,"Vignette",'QA Log'!L:L,"*Vignette [5] Labor*"),
COUNTIFS('QA Log'!D:D,A323,'QA Log'!M:M,"Vignette",'QA Log'!L:L,"*Vignette [6] PNC pre Discharge*"),
COUNTIFS('QA Log'!D:D,A323,'QA Log'!M:M,"Vignette",'QA Log'!L:L,"*Vignette [7] First ANC Visit*"),
COUNTIFS('QA Log'!D:D,A323,'QA Log'!M:M,"Vignette",'QA Log'!L:L,"*Vignette [8] Birth Spacing/ Family Planning :  FP Counselling*"),
COUNTIFS('QA Log'!D:D,A323,'QA Log'!M:M,"Vignette",'QA Log'!L:L,"*Vignette [9] Birth Spacing: Change FP method to Injectable*"),
COUNTIFS('QA Log'!D:D,A323,'QA Log'!M:M,"Vignette",'QA Log'!L:L,"*Vignette [10] Post Partum Haemorrhage - Atonic Uterus at Health Centre*"),
)
)</f>
        <v/>
      </c>
      <c r="BF323" s="102" t="str">
        <f>IF(A323="","",
  SUM(
    COUNTIFS('QA Log'!D:D,A323,'QA Log'!M:M,"Vignette",'QA Log'!Z:Z,"Approved",'QA Log'!L:L,"*Vignette [5] Labor*"),
    COUNTIFS('QA Log'!D:D,A323,'QA Log'!M:M,"Vignette",'QA Log'!Z:Z,"Approved",'QA Log'!L:L,"*Vignette [6] PNC pre Discharge*"),
    COUNTIFS('QA Log'!D:D,A323,'QA Log'!M:M,"Vignette",'QA Log'!Z:Z,"Approved",'QA Log'!L:L,"*Vignette [7] First ANC Visit*"),
    COUNTIFS('QA Log'!D:D,A323,'QA Log'!M:M,"Vignette",'QA Log'!Z:Z,"Approved",'QA Log'!L:L,"*Vignette [8] Birth Spacing/ Family Planning :  FP Counselling*"),
    COUNTIFS('QA Log'!D:D,A323,'QA Log'!M:M,"Vignette",'QA Log'!Z:Z,"Approved",'QA Log'!L:L,"*Vignette [9] Birth Spacing: Change FP method to Injectable*"),
    COUNTIFS('QA Log'!D:D,A323,'QA Log'!M:M,"Vignette",'QA Log'!Z:Z,"Approved",'QA Log'!L:L,"*Vignette [10] Post Partum Haemorrhage - Atonic Uterus at Health Centre*")
  )
)</f>
        <v/>
      </c>
      <c r="BG323" s="105" t="str">
        <f>IF(A323&lt;&gt;"",COUNTIFS('QA Log'!D:D,A323,'QA Log'!M:M,"Vignette",'QA Log'!L:L,"Vignette [5] Labor",'QA Log'!Z:Z,"Approved"),"")</f>
        <v/>
      </c>
      <c r="BH323" s="105" t="str">
        <f>IF(A323&lt;&gt;"",COUNTIFS('QA Log'!D:D,A323,'QA Log'!M:M,"Vignette",'QA Log'!L:L,"Vignette [6] PNC pre Discharge",'QA Log'!Z:Z,"Approved"),"")</f>
        <v/>
      </c>
      <c r="BI323" s="105" t="str">
        <f>IF(A323&lt;&gt;"",COUNTIFS('QA Log'!D:D,A323,'QA Log'!M:M,"Vignette",'QA Log'!L:L,"Vignette [7] First ANC Visit",'QA Log'!Z:Z,"Approved"),"")</f>
        <v/>
      </c>
      <c r="BJ323" s="105" t="str">
        <f>IF(A323&lt;&gt;"",COUNTIFS('QA Log'!D:D,A323,'QA Log'!M:M,"Vignette",'QA Log'!L:L,"Vignette [8] Birth Spacing/ Family Planning :  FP Counselling",'QA Log'!Z:Z,"Approved"),"")</f>
        <v/>
      </c>
      <c r="BK323" s="105" t="str">
        <f>IF(A323&lt;&gt;"",COUNTIFS('QA Log'!D:D,A323,'QA Log'!M:M,"Vignette",'QA Log'!L:L,"Vignette [9] Birth Spacing: Change FP method to Injectable",'QA Log'!Z:Z,"Approved"),"")</f>
        <v/>
      </c>
      <c r="BL323" s="105" t="str">
        <f>IF(A323&lt;&gt;"",COUNTIFS('QA Log'!D:D,A323,'QA Log'!M:M,"Vignette",'QA Log'!L:L,"Vignette [10] Post Partum Haemorrhage - Atonic Uterus at Health Centre",'QA Log'!Z:Z,"Approved"),"")</f>
        <v/>
      </c>
      <c r="BM323" s="102" t="str">
        <f>IF(A323="","",SUM(
    COUNTIFS('QA Log'!D:D,A323,'QA Log'!M:M,"Vignette",'QA Log'!Z:Z,"Rejected",'QA Log'!L:L,"*Vignette [5] Labor*"),
    COUNTIFS('QA Log'!D:D,A323,'QA Log'!M:M,"Vignette",'QA Log'!Z:Z,"Rejected",'QA Log'!L:L,"*Vignette [6] PNC pre Discharge*"),
    COUNTIFS('QA Log'!D:D,A323,'QA Log'!M:M,"Vignette",'QA Log'!Z:Z,"Rejected",'QA Log'!L:L,"*Vignette [7] First ANC Visit*"),
    COUNTIFS('QA Log'!D:D,A323,'QA Log'!M:M,"Vignette",'QA Log'!Z:Z,"Rejected",'QA Log'!L:L,"*Vignette [8] Birth Spacing/ Family Planning :  FP Counselling*"),
    COUNTIFS('QA Log'!D:D,A323,'QA Log'!M:M,"Vignette",'QA Log'!Z:Z,"Rejected",'QA Log'!L:L,"*Vignette [9] Birth Spacing: Change FP method to Injectable*"),
    COUNTIFS('QA Log'!D:D,A323,'QA Log'!M:M,"Vignette",'QA Log'!Z:Z,"Rejected",'QA Log'!L:L,"*Vignette [10] Post Partum Haemorrhage - Atonic Uterus at Health Centre*")
  )
)</f>
        <v/>
      </c>
      <c r="BN323" s="107" t="str">
        <f t="shared" si="37"/>
        <v/>
      </c>
      <c r="BO323" s="103" t="str">
        <f t="shared" si="38"/>
        <v/>
      </c>
      <c r="BP323" s="102" t="str">
        <f>IF(A323="","",SUM(
COUNTIFS('QA Log'!D:D,A323,'QA Log'!M:M,"Vignette",'QA Log'!L:L,"*Exit Interview 1*"),
COUNTIFS('QA Log'!D:D,A323,'QA Log'!M:M,"Vignette",'QA Log'!L:L,"*Exit Interview 2*"),
)
)</f>
        <v/>
      </c>
      <c r="BQ323" s="102" t="str">
        <f>IF(
  A323="","",
  SUM(
    COUNTIFS('QA Log'!D:D,A323,'QA Log'!M:M,"Vignette",'QA Log'!Z:Z,"Approved",'QA Log'!L:L,"*Exit Interview 1*"),
    COUNTIFS('QA Log'!D:D,A323,'QA Log'!M:M,"Vignette",'QA Log'!Z:Z,"Approved",'QA Log'!L:L,"*Exit Interview 2*")
  )
)</f>
        <v/>
      </c>
      <c r="BR323" s="105" t="str">
        <f>IF(A323&lt;&gt;"",COUNTIFS('QA Log'!D:D,A323,'QA Log'!M:M,"Vignette",'QA Log'!L:L,"Exit Interview 1",'QA Log'!Z:Z,"Approved"),"")</f>
        <v/>
      </c>
      <c r="BS323" s="105" t="str">
        <f>IF(A323&lt;&gt;"",COUNTIFS('QA Log'!D:D,A323,'QA Log'!M:M,"Vignette",'QA Log'!L:L,"Exit Interview 2",'QA Log'!Z:Z,"Approved"),"")</f>
        <v/>
      </c>
      <c r="BT323" s="102" t="str">
        <f>IF(
  A323="","",
  SUM(
    COUNTIFS('QA Log'!D:D,A323,'QA Log'!M:M,"Vignette",'QA Log'!Z:Z,"Rejected",'QA Log'!L:L,"*Exit Interview 1*"),
    COUNTIFS('QA Log'!D:D,A323,'QA Log'!M:M,"Vignette",'QA Log'!Z:Z,"Rejected",'QA Log'!L:L,"*Exit Interview 2*")
  )
)</f>
        <v/>
      </c>
      <c r="BU323" s="107" t="str">
        <f t="shared" si="39"/>
        <v/>
      </c>
      <c r="BV323" s="102" t="str">
        <f t="shared" si="40"/>
        <v/>
      </c>
      <c r="BW323" s="102" t="str">
        <f t="shared" si="41"/>
        <v/>
      </c>
      <c r="BX323" s="102" t="str">
        <f t="shared" si="42"/>
        <v/>
      </c>
      <c r="BY323" s="102" t="str">
        <f t="shared" si="43"/>
        <v/>
      </c>
      <c r="BZ323" s="107" t="str">
        <f t="shared" si="44"/>
        <v/>
      </c>
      <c r="CA323" s="108" t="str">
        <f t="shared" si="45"/>
        <v/>
      </c>
      <c r="CB323" s="108" t="str">
        <f t="shared" si="46"/>
        <v/>
      </c>
      <c r="CC323" s="109" t="str">
        <f t="shared" si="47"/>
        <v/>
      </c>
      <c r="CD323" s="108" t="str">
        <f t="shared" si="48"/>
        <v/>
      </c>
      <c r="CE323" s="108" t="str">
        <f t="shared" si="49"/>
        <v/>
      </c>
      <c r="CF323" s="109" t="str">
        <f t="shared" si="50"/>
        <v/>
      </c>
      <c r="CG323" s="110" t="str">
        <f t="shared" si="51"/>
        <v/>
      </c>
      <c r="CH323" s="111"/>
    </row>
    <row r="324" spans="1:86" ht="12.75">
      <c r="A324" s="101"/>
      <c r="B324" s="102" t="e">
        <f t="array" aca="1" ref="B324" ca="1">_xludf.XLOOKUP(A324,'QA Log'!D:D,'QA Log'!E:E,"")</f>
        <v>#NAME?</v>
      </c>
      <c r="C324" s="102" t="e">
        <f t="array" aca="1" ref="C324" ca="1">_xludf.XLOOKUP(A324,'QA Log'!D:D,'QA Log'!F:F,"")</f>
        <v>#NAME?</v>
      </c>
      <c r="D324" s="102" t="e">
        <f t="array" aca="1" ref="D324" ca="1">_xludf.XLOOKUP(A324,'QA Log'!D:D,'QA Log'!H:H,"")</f>
        <v>#NAME?</v>
      </c>
      <c r="E324" s="102" t="e">
        <f t="array" aca="1" ref="E324" ca="1">_xludf.XLOOKUP(A324,'QA Log'!D:D,'QA Log'!G:G,"")</f>
        <v>#NAME?</v>
      </c>
      <c r="F324" s="103"/>
      <c r="G324" s="104"/>
      <c r="H324" s="104"/>
      <c r="I324" s="103" t="str">
        <f t="shared" si="26"/>
        <v/>
      </c>
      <c r="J324" s="102" t="str">
        <f>IF(A324="","",SUM(
COUNTIFS('QA Log'!D:D,A324,'QA Log'!M:M,"QQC",'QA Log'!L:L,"*1. General Management*"),
COUNTIFS('QA Log'!D:D,A324,'QA Log'!M:M,"QQC",'QA Log'!L:L,"*3. Curative Consultation (OPD)*"),
COUNTIFS('QA Log'!D:D,A324,'QA Log'!M:M,"QQC",'QA Log'!L:L,"*5. Laboratory*"),
COUNTIFS('QA Log'!D:D,A324,'QA Log'!M:M,"QQC",'QA Log'!L:L,"*6. Essential Medicine Management*"),
COUNTIFS('QA Log'!D:D,A324,'QA Log'!M:M,"QQC",'QA Log'!L:L,"*7. Tracer Medicine*"),
COUNTIFS('QA Log'!D:D,A324,'QA Log'!M:M,"QQC",'QA Log'!L:L,"*11. Additional Questions*")))</f>
        <v/>
      </c>
      <c r="K324" s="102" t="str">
        <f>IF(A324="","",SUM(
COUNTIFS('QA Log'!D:D,A324,'QA Log'!M:M,"QQC",'QA Log'!Z:Z,"Approved",'QA Log'!L:L,"*1. General Management*"),
COUNTIFS('QA Log'!D:D,A324,'QA Log'!M:M,"QQC",'QA Log'!Z:Z,"Approved",'QA Log'!L:L,"*3. Curative Consultation (OPD)*"),
COUNTIFS('QA Log'!D:D,A324,'QA Log'!M:M,"QQC",'QA Log'!Z:Z,"Approved",'QA Log'!L:L,"*5. Laboratory*"),
COUNTIFS('QA Log'!D:D,A324,'QA Log'!M:M,"QQC",'QA Log'!Z:Z,"Approved",'QA Log'!L:L,"*6. Essential Medicine Management*"),
COUNTIFS('QA Log'!D:D,A324,'QA Log'!M:M,"QQC",'QA Log'!Z:Z,"Approved",'QA Log'!L:L,"*7. Tracer Medicine*"),
COUNTIFS('QA Log'!D:D,A324,'QA Log'!M:M,"QQC",'QA Log'!Z:Z,"Approved",'QA Log'!L:L,"*11. Additional Questions*")))</f>
        <v/>
      </c>
      <c r="L324" s="105" t="str">
        <f>IF(A324&lt;&gt;"",COUNTIFS('QA Log'!D:D,A324,'QA Log'!M:M,"QQC",'QA Log'!L:L,"1. General Management",'QA Log'!Z:Z,"Approved"),"")</f>
        <v/>
      </c>
      <c r="M324" s="105" t="str">
        <f>IF(A324&lt;&gt;"",COUNTIFS('QA Log'!D:D,A324,'QA Log'!M:M,"QQC",'QA Log'!L:L,"3. Curative Consultation (OPD)",'QA Log'!Z:Z,"Approved"),"")</f>
        <v/>
      </c>
      <c r="N324" s="105" t="str">
        <f>IF(A324&lt;&gt;"",COUNTIFS('QA Log'!D:D,A324,'QA Log'!M:M,"QQC",'QA Log'!L:L,"5. Laboratory",'QA Log'!Z:Z,"Approved"),"")</f>
        <v/>
      </c>
      <c r="O324" s="105" t="str">
        <f>IF(A324&lt;&gt;"",COUNTIFS('QA Log'!D:D,A324,'QA Log'!M:M,"QQC",'QA Log'!L:L,"6. Essential Medicine Management",'QA Log'!Z:Z,"Approved"),"")</f>
        <v/>
      </c>
      <c r="P324" s="105" t="str">
        <f>IF(A324&lt;&gt;"",COUNTIFS('QA Log'!D:D,A324,'QA Log'!M:M,"QQC",'QA Log'!L:L,"7. Tracer Medicine",'QA Log'!Z:Z,"Approved"),"")</f>
        <v/>
      </c>
      <c r="Q324" s="105" t="str">
        <f>IF(A324&lt;&gt;"",COUNTIFS('QA Log'!D:D,A324,'QA Log'!M:M,"QQC",'QA Log'!L:L,"11. Additional Questions",'QA Log'!Z:Z,"Approved"),"")</f>
        <v/>
      </c>
      <c r="R324" s="102" t="str">
        <f>IF(A324="","",SUM(
COUNTIFS('QA Log'!D:D,A324,'QA Log'!M:M,"QQC",'QA Log'!Z:Z,"Rejected",'QA Log'!L:L,"*8. Maternity*"),
COUNTIFS('QA Log'!D:D,A324,'QA Log'!M:M,"QQC",'QA Log'!Z:Z,"Rejected",'QA Log'!L:L,"*EPI*"),
COUNTIFS('QA Log'!D:D,A324,'QA Log'!M:M,"QQC",'QA Log'!Z:Z,"Rejected",'QA Log'!L:L,"*10. Antenatal Care (ANC)*"),
COUNTIFS('QA Log'!D:D,A324,'QA Log'!M:M,"QQC",'QA Log'!Z:Z,"Rejected",'QA Log'!L:L,"*2. Hygiene and Sterilization*"),
COUNTIFS('QA Log'!D:D,A324,'QA Log'!M:M,"QQC",'QA Log'!Z:Z,"Rejected",'QA Log'!L:L,"*Family Planning*")))</f>
        <v/>
      </c>
      <c r="S324" s="106" t="str">
        <f t="shared" si="27"/>
        <v/>
      </c>
      <c r="T324" s="102" t="str">
        <f t="shared" si="28"/>
        <v/>
      </c>
      <c r="U324" s="102" t="str">
        <f>IF(A324="","",
SUM(
COUNTIFS('QA Log'!D:D,A324,'QA Log'!M:M,"QQC",'QA Log'!L:L,"*8. Maternity*"),
COUNTIFS('QA Log'!D:D,A324,'QA Log'!M:M,"QQC",'QA Log'!L:L,"*9. EPI and Pre-school Consultation*"),
COUNTIFS('QA Log'!D:D,A324,'QA Log'!M:M,"QQC",'QA Log'!L:L,"*10. Antenatal Care (ANC)*"),
COUNTIFS('QA Log'!D:D,A324,'QA Log'!M:M,"QQC",'QA Log'!L:L,"*2. Hygiene and Sterilization*"),
COUNTIFS('QA Log'!D:D,A324,'QA Log'!M:M,"QQC",'QA Log'!L:L,"*4. Family Planning*")
))</f>
        <v/>
      </c>
      <c r="V324" s="102" t="str">
        <f>IF(A324="","",
SUM(
COUNTIFS('QA Log'!D:D,A324,'QA Log'!M:M,"QQC",'QA Log'!Z:Z,"Approved",'QA Log'!L:L,"*8. Maternity*"),
COUNTIFS('QA Log'!D:D,A324,'QA Log'!M:M,"QQC",'QA Log'!Z:Z,"Approved",'QA Log'!L:L,"*9. EPI and Pre-school Consultation*"),
COUNTIFS('QA Log'!D:D,A324,'QA Log'!M:M,"QQC",'QA Log'!Z:Z,"Approved",'QA Log'!L:L,"*10. Antenatal Care (ANC)*"),
COUNTIFS('QA Log'!D:D,A324,'QA Log'!M:M,"QQC",'QA Log'!Z:Z,"Approved",'QA Log'!L:L,"*2. Hygiene and Sterilization*"),
COUNTIFS('QA Log'!D:D,A324,'QA Log'!M:M,"QQC",'QA Log'!Z:Z,"Approved",'QA Log'!L:L,"*4. Family Planning*")
))</f>
        <v/>
      </c>
      <c r="W324" s="105" t="str">
        <f>IF(A324&lt;&gt;"",COUNTIFS('QA Log'!D:D,A324,'QA Log'!M:M,"QQC",'QA Log'!L:L,"8. Maternity",'QA Log'!Z:Z,"Approved"),"")</f>
        <v/>
      </c>
      <c r="X324" s="105" t="str">
        <f>IF(A324&lt;&gt;"",COUNTIFS('QA Log'!D:D,A324,'QA Log'!M:M,"QQC",'QA Log'!L:L,"9. EPI and Pre-school Consultation",'QA Log'!Z:Z,"Approved"),"")</f>
        <v/>
      </c>
      <c r="Y324" s="105" t="str">
        <f>IF(A324&lt;&gt;"",COUNTIFS('QA Log'!D:D,A324,'QA Log'!M:M,"QQC",'QA Log'!L:L,"10. Antenatal Care (ANC)",'QA Log'!Z:Z,"Approved"),"")</f>
        <v/>
      </c>
      <c r="Z324" s="105" t="str">
        <f>IF(A324&lt;&gt;"",COUNTIFS('QA Log'!D:D,A324,'QA Log'!M:M,"QQC",'QA Log'!L:L,"2. Hygiene and Sterilization",'QA Log'!Z:Z,"Approved"),"")</f>
        <v/>
      </c>
      <c r="AA324" s="105" t="str">
        <f>IF(A324&lt;&gt;"",COUNTIFS('QA Log'!D:D,A324,'QA Log'!M:M,"QQC",'QA Log'!L:L,"4. Family Planning",'QA Log'!Z:Z,"Approved"),"")</f>
        <v/>
      </c>
      <c r="AB324" s="102" t="str">
        <f>IF(A324="","",
SUM(
COUNTIFS('QA Log'!D:D,A324,'QA Log'!M:M,"QQC",'QA Log'!Z:Z,"Rejected",'QA Log'!L:L,"*8. Maternity*"),
COUNTIFS('QA Log'!D:D,A324,'QA Log'!M:M,"QQC",'QA Log'!Z:Z,"Rejected",'QA Log'!L:L,"*9. EPI and Pre-school Consultation*"),
COUNTIFS('QA Log'!D:D,A324,'QA Log'!M:M,"QQC",'QA Log'!Z:Z,"Rejected",'QA Log'!L:L,"*10. Antenatal Care (ANC)*"),
COUNTIFS('QA Log'!D:D,A324,'QA Log'!M:M,"QQC",'QA Log'!Z:Z,"Rejected",'QA Log'!L:L,"*2. Hygiene and Sterilization*"),
COUNTIFS('QA Log'!D:D,A324,'QA Log'!M:M,"QQC",'QA Log'!Z:Z,"Rejected",'QA Log'!L:L,"*4. Family Planning*")
))</f>
        <v/>
      </c>
      <c r="AC324" s="102" t="str">
        <f t="shared" si="29"/>
        <v/>
      </c>
      <c r="AD324" s="103" t="str">
        <f t="shared" si="30"/>
        <v/>
      </c>
      <c r="AE324" s="102" t="str">
        <f>IF(A324="","",
SUM(
COUNTIFS('QA Log'!D:D,A324,'QA Log'!M:M,"Data Verification",'QA Log'!L:L,"*Medicine (section 2)*"),
COUNTIFS('QA Log'!D:D,A324,'QA Log'!M:M,"Data Verification",'QA Log'!L:L,"*Lab Testing Availability*"),
COUNTIFS('QA Log'!D:D,A324,'QA Log'!M:M,"Data Verification",'QA Log'!L:L,"*Other than P4P (section 6)*"),
COUNTIFS('QA Log'!D:D,A324,'QA Log'!M:M,"Data Verification",'QA Log'!L:L,"*Hospital Governance*")
))</f>
        <v/>
      </c>
      <c r="AF324" s="102" t="str">
        <f>IF(A324="","",
SUM(
COUNTIFS('QA Log'!D:D,A324,'QA Log'!M:M,"Data Verification",'QA Log'!Z:Z,"Approved",'QA Log'!L:L,"*Medicine (section 2)*"),
COUNTIFS('QA Log'!D:D,A324,'QA Log'!M:M,"Data Verification",'QA Log'!Z:Z,"Approved",'QA Log'!L:L,"*Lab Testing Availability*"),
COUNTIFS('QA Log'!D:D,A324,'QA Log'!M:M,"Data Verification",'QA Log'!Z:Z,"Approved",'QA Log'!L:L,"*Other than P4P (section 6)*"),
COUNTIFS('QA Log'!D:D,A324,'QA Log'!M:M,"Data Verification",'QA Log'!Z:Z,"Approved",'QA Log'!L:L,"*Hospital Governance*")
))</f>
        <v/>
      </c>
      <c r="AG324" s="105" t="str">
        <f>IF(A324&lt;&gt;"",COUNTIFS('QA Log'!D:D,A324,'QA Log'!M:M,"Data Verification",'QA Log'!L:L,"Medicine (section 2)",'QA Log'!Z:Z,"Approved"),"")</f>
        <v/>
      </c>
      <c r="AH324" s="105" t="str">
        <f>IF(A324&lt;&gt;"",COUNTIFS('QA Log'!D:D,A324,'QA Log'!M:M,"Data Verification",'QA Log'!L:L,"Lab Testing Availability",'QA Log'!Z:Z,"Approved"),"")</f>
        <v/>
      </c>
      <c r="AI324" s="105" t="str">
        <f>IF(A324&lt;&gt;"",COUNTIFS('QA Log'!D:D,A324,'QA Log'!M:M,"Data Verification",'QA Log'!L:L,"Other than P4P (section 6)",'QA Log'!Z:Z,"Approved"),"")</f>
        <v/>
      </c>
      <c r="AJ324" s="105" t="str">
        <f>IF(A324&lt;&gt;"",COUNTIFS('QA Log'!D:D,A324,'QA Log'!M:M,"Data Verification",'QA Log'!L:L,"Hospital Governance",'QA Log'!Z:Z,"Approved"),"")</f>
        <v/>
      </c>
      <c r="AK324" s="102" t="str">
        <f>IF(A324="","",
SUM(
COUNTIFS('QA Log'!D:D,A324,'QA Log'!M:M,"Data Verification",'QA Log'!Z:Z,"Rejected",'QA Log'!L:L,"*Medicine (section 2)*"),
COUNTIFS('QA Log'!D:D,A324,'QA Log'!M:M,"Data Verification",'QA Log'!Z:Z,"Rejected",'QA Log'!L:L,"*Lab Testing Availability*"),
COUNTIFS('QA Log'!D:D,A324,'QA Log'!M:M,"Data Verification",'QA Log'!Z:Z,"Rejected",'QA Log'!L:L,"*Other than P4P (section 6)*"),
COUNTIFS('QA Log'!D:D,A324,'QA Log'!M:M,"Data Verification",'QA Log'!Z:Z,"Rejected",'QA Log'!L:L,"*Hospital Governance*")
))</f>
        <v/>
      </c>
      <c r="AL324" s="106" t="str">
        <f t="shared" si="31"/>
        <v/>
      </c>
      <c r="AM324" s="102" t="str">
        <f t="shared" si="32"/>
        <v/>
      </c>
      <c r="AN324" s="102" t="str">
        <f>IF(A324="","",
SUM(
COUNTIFS('QA Log'!D:D,A324,'QA Log'!M:M,"Data Verification",'QA Log'!L:L,"*Personnel (section 1)*"),
COUNTIFS('QA Log'!D:D,A324,'QA Log'!M:M,"Data Verification",'QA Log'!L:L,"*Consumable (section 3)*"),
COUNTIFS('QA Log'!D:D,A324,'QA Log'!M:M,"Data Verification",'QA Log'!L:L,"*Equipments (section 4)*")
))</f>
        <v/>
      </c>
      <c r="AO324" s="102" t="str">
        <f>IF(A324="","",
SUM(
COUNTIFS('QA Log'!D:D,A324,'QA Log'!M:M,"Data Verification",'QA Log'!Z:Z,"Approved",'QA Log'!L:L,"*Personnel (section 1)*"),
COUNTIFS('QA Log'!D:D,A324,'QA Log'!M:M,"Data Verification",'QA Log'!Z:Z,"Approved",'QA Log'!L:L,"*Consumable (section 3)*"),
COUNTIFS('QA Log'!D:D,A324,'QA Log'!M:M,"Data Verification",'QA Log'!Z:Z,"Approved",'QA Log'!L:L,"*Equipments (section 4)*")
))</f>
        <v/>
      </c>
      <c r="AP324" s="105" t="str">
        <f>IF(A324&lt;&gt;"",COUNTIFS('QA Log'!D:D,A324,'QA Log'!M:M,"Data Verification",'QA Log'!L:L,"Personnel (section 1)",'QA Log'!Z:Z,"Approved"),"")</f>
        <v/>
      </c>
      <c r="AQ324" s="105" t="str">
        <f>IF(A324&lt;&gt;"",COUNTIFS('QA Log'!D:D,A324,'QA Log'!M:M,"Data Verification",'QA Log'!L:L,"Consumable (section 3)",'QA Log'!Z:Z,"Approved"),"")</f>
        <v/>
      </c>
      <c r="AR324" s="105" t="str">
        <f>IF(A324&lt;&gt;"",COUNTIFS('QA Log'!D:D,A324,'QA Log'!M:M,"Data Verification",'QA Log'!L:L,"Equipments (section 4)",'QA Log'!Z:Z,"Approved"),"")</f>
        <v/>
      </c>
      <c r="AS324" s="102" t="str">
        <f>IF(A324="","",
SUM(
COUNTIFS('QA Log'!D:D,A324,'QA Log'!M:M,"Data Verification",'QA Log'!Z:Z,"Rejected",'QA Log'!L:L,"*Personnel (section 1)*"),
COUNTIFS('QA Log'!D:D,A324,'QA Log'!M:M,"Data Verification",'QA Log'!Z:Z,"Rejected",'QA Log'!L:L,"*Consumable (section 3)*"),
COUNTIFS('QA Log'!D:D,A324,'QA Log'!M:M,"Data Verification",'QA Log'!Z:Z,"Rejected",'QA Log'!L:L,"*Equipments (section 4)*")
))</f>
        <v/>
      </c>
      <c r="AT324" s="102" t="str">
        <f t="shared" si="33"/>
        <v/>
      </c>
      <c r="AU324" s="103" t="str">
        <f t="shared" si="34"/>
        <v/>
      </c>
      <c r="AV324" s="102" t="str">
        <f>IF(A324="","",SUM(
COUNTIFS('QA Log'!D:D,A324,'QA Log'!M:M,"Vignette",'QA Log'!L:L,"*Vignette [1] Respiratory Infection: Pneumonia*"),
COUNTIFS('QA Log'!D:D,A324,'QA Log'!M:M,"Vignette",'QA Log'!L:L,"*Vignette [2]: Diarrhea with Cat B dehydration*"),
COUNTIFS('QA Log'!D:D,A324,'QA Log'!M:M,"Vignette",'QA Log'!L:L,"*Vignette [3] Growth Monitoring and Promotion*"),
COUNTIFS('QA Log'!D:D,A324,'QA Log'!M:M,"Vignette",'QA Log'!L:L,"*Vignette [4]: The management of presumptive TB patient*")
)
)</f>
        <v/>
      </c>
      <c r="AW324" s="102" t="str">
        <f>IF(
  A324="","",
  SUM(
    COUNTIFS('QA Log'!D:D,A324,'QA Log'!M:M,"Vignette",'QA Log'!Z:Z,"Approved",'QA Log'!L:L,"*Vignette [1] Respiratory Infection: Pneumonia*"),
    COUNTIFS('QA Log'!D:D,A324,'QA Log'!M:M,"Vignette",'QA Log'!Z:Z,"Approved",'QA Log'!L:L,"*Vignette [2]: Diarrhea with Cat B dehydration*"),
    COUNTIFS('QA Log'!D:D,A324,'QA Log'!M:M,"Vignette",'QA Log'!Z:Z,"Approved",'QA Log'!L:L,"*Vignette [3] Growth Monitoring and Promotion*"),
    COUNTIFS('QA Log'!D:D,A324,'QA Log'!M:M,"Vignette",'QA Log'!Z:Z,"Approved",'QA Log'!L:L,"*Vignette [4]: The management of presumptive TB patient*")
  )
)</f>
        <v/>
      </c>
      <c r="AX324" s="105" t="str">
        <f>IF(A324&lt;&gt;"",COUNTIFS('QA Log'!D:D,A324,'QA Log'!M:M,"Vignette",'QA Log'!L:L,"Vignette [1] Respiratory Infection: Pneumonia",'QA Log'!Z:Z,"Approved"),"")</f>
        <v/>
      </c>
      <c r="AY324" s="105" t="str">
        <f>IF(A324&lt;&gt;"",COUNTIFS('QA Log'!D:D,A324,'QA Log'!M:M,"Vignette",'QA Log'!L:L,"Vignette [2]: Diarrhea with Cat B dehydration",'QA Log'!Z:Z,"Approved"),"")</f>
        <v/>
      </c>
      <c r="AZ324" s="105" t="str">
        <f>IF(A324&lt;&gt;"",COUNTIFS('QA Log'!D:D,A324,'QA Log'!M:M,"Vignette",'QA Log'!L:L,"Vignette [3] Growth Monitoring and Promotion",'QA Log'!Z:Z,"Approved"),"")</f>
        <v/>
      </c>
      <c r="BA324" s="105" t="str">
        <f>IF(A324&lt;&gt;"",COUNTIFS('QA Log'!D:D,A324,'QA Log'!M:M,"Vignette",'QA Log'!L:L,"Vignette [4]: The management of presumptive TB patient",'QA Log'!Z:Z,"Approved"),"")</f>
        <v/>
      </c>
      <c r="BB324" s="102" t="str">
        <f>IF(A324="","",
  SUM(
    COUNTIFS('QA Log'!D:D,A324,'QA Log'!M:M,"Vignette",'QA Log'!Z:Z,"Rejected",'QA Log'!L:L,"*Vignette [1] Respiratory Infection: Pneumonia*"),
    COUNTIFS('QA Log'!D:D,A324,'QA Log'!M:M,"Vignette",'QA Log'!Z:Z,"Rejected",'QA Log'!L:L,"*Vignette [2]: Diarrhea with Cat B dehydration*"),
    COUNTIFS('QA Log'!D:D,A324,'QA Log'!M:M,"Vignette",'QA Log'!Z:Z,"Rejected",'QA Log'!L:L,"*Vignette [3] Growth Monitoring and Promotion*"),
    COUNTIFS('QA Log'!D:D,A324,'QA Log'!M:M,"Vignette",'QA Log'!Z:Z,"Rejected",'QA Log'!L:L,"*Vignette [4]: The management of presumptive TB patient*")
  )
)</f>
        <v/>
      </c>
      <c r="BC324" s="107" t="str">
        <f t="shared" si="35"/>
        <v/>
      </c>
      <c r="BD324" s="103" t="str">
        <f t="shared" si="36"/>
        <v/>
      </c>
      <c r="BE324" s="102" t="str">
        <f>IF(A324="","",SUM(
COUNTIFS('QA Log'!D:D,A324,'QA Log'!M:M,"Vignette",'QA Log'!L:L,"*Vignette [5] Labor*"),
COUNTIFS('QA Log'!D:D,A324,'QA Log'!M:M,"Vignette",'QA Log'!L:L,"*Vignette [6] PNC pre Discharge*"),
COUNTIFS('QA Log'!D:D,A324,'QA Log'!M:M,"Vignette",'QA Log'!L:L,"*Vignette [7] First ANC Visit*"),
COUNTIFS('QA Log'!D:D,A324,'QA Log'!M:M,"Vignette",'QA Log'!L:L,"*Vignette [8] Birth Spacing/ Family Planning :  FP Counselling*"),
COUNTIFS('QA Log'!D:D,A324,'QA Log'!M:M,"Vignette",'QA Log'!L:L,"*Vignette [9] Birth Spacing: Change FP method to Injectable*"),
COUNTIFS('QA Log'!D:D,A324,'QA Log'!M:M,"Vignette",'QA Log'!L:L,"*Vignette [10] Post Partum Haemorrhage - Atonic Uterus at Health Centre*"),
)
)</f>
        <v/>
      </c>
      <c r="BF324" s="102" t="str">
        <f>IF(A324="","",
  SUM(
    COUNTIFS('QA Log'!D:D,A324,'QA Log'!M:M,"Vignette",'QA Log'!Z:Z,"Approved",'QA Log'!L:L,"*Vignette [5] Labor*"),
    COUNTIFS('QA Log'!D:D,A324,'QA Log'!M:M,"Vignette",'QA Log'!Z:Z,"Approved",'QA Log'!L:L,"*Vignette [6] PNC pre Discharge*"),
    COUNTIFS('QA Log'!D:D,A324,'QA Log'!M:M,"Vignette",'QA Log'!Z:Z,"Approved",'QA Log'!L:L,"*Vignette [7] First ANC Visit*"),
    COUNTIFS('QA Log'!D:D,A324,'QA Log'!M:M,"Vignette",'QA Log'!Z:Z,"Approved",'QA Log'!L:L,"*Vignette [8] Birth Spacing/ Family Planning :  FP Counselling*"),
    COUNTIFS('QA Log'!D:D,A324,'QA Log'!M:M,"Vignette",'QA Log'!Z:Z,"Approved",'QA Log'!L:L,"*Vignette [9] Birth Spacing: Change FP method to Injectable*"),
    COUNTIFS('QA Log'!D:D,A324,'QA Log'!M:M,"Vignette",'QA Log'!Z:Z,"Approved",'QA Log'!L:L,"*Vignette [10] Post Partum Haemorrhage - Atonic Uterus at Health Centre*")
  )
)</f>
        <v/>
      </c>
      <c r="BG324" s="105" t="str">
        <f>IF(A324&lt;&gt;"",COUNTIFS('QA Log'!D:D,A324,'QA Log'!M:M,"Vignette",'QA Log'!L:L,"Vignette [5] Labor",'QA Log'!Z:Z,"Approved"),"")</f>
        <v/>
      </c>
      <c r="BH324" s="105" t="str">
        <f>IF(A324&lt;&gt;"",COUNTIFS('QA Log'!D:D,A324,'QA Log'!M:M,"Vignette",'QA Log'!L:L,"Vignette [6] PNC pre Discharge",'QA Log'!Z:Z,"Approved"),"")</f>
        <v/>
      </c>
      <c r="BI324" s="105" t="str">
        <f>IF(A324&lt;&gt;"",COUNTIFS('QA Log'!D:D,A324,'QA Log'!M:M,"Vignette",'QA Log'!L:L,"Vignette [7] First ANC Visit",'QA Log'!Z:Z,"Approved"),"")</f>
        <v/>
      </c>
      <c r="BJ324" s="105" t="str">
        <f>IF(A324&lt;&gt;"",COUNTIFS('QA Log'!D:D,A324,'QA Log'!M:M,"Vignette",'QA Log'!L:L,"Vignette [8] Birth Spacing/ Family Planning :  FP Counselling",'QA Log'!Z:Z,"Approved"),"")</f>
        <v/>
      </c>
      <c r="BK324" s="105" t="str">
        <f>IF(A324&lt;&gt;"",COUNTIFS('QA Log'!D:D,A324,'QA Log'!M:M,"Vignette",'QA Log'!L:L,"Vignette [9] Birth Spacing: Change FP method to Injectable",'QA Log'!Z:Z,"Approved"),"")</f>
        <v/>
      </c>
      <c r="BL324" s="105" t="str">
        <f>IF(A324&lt;&gt;"",COUNTIFS('QA Log'!D:D,A324,'QA Log'!M:M,"Vignette",'QA Log'!L:L,"Vignette [10] Post Partum Haemorrhage - Atonic Uterus at Health Centre",'QA Log'!Z:Z,"Approved"),"")</f>
        <v/>
      </c>
      <c r="BM324" s="102" t="str">
        <f>IF(A324="","",SUM(
    COUNTIFS('QA Log'!D:D,A324,'QA Log'!M:M,"Vignette",'QA Log'!Z:Z,"Rejected",'QA Log'!L:L,"*Vignette [5] Labor*"),
    COUNTIFS('QA Log'!D:D,A324,'QA Log'!M:M,"Vignette",'QA Log'!Z:Z,"Rejected",'QA Log'!L:L,"*Vignette [6] PNC pre Discharge*"),
    COUNTIFS('QA Log'!D:D,A324,'QA Log'!M:M,"Vignette",'QA Log'!Z:Z,"Rejected",'QA Log'!L:L,"*Vignette [7] First ANC Visit*"),
    COUNTIFS('QA Log'!D:D,A324,'QA Log'!M:M,"Vignette",'QA Log'!Z:Z,"Rejected",'QA Log'!L:L,"*Vignette [8] Birth Spacing/ Family Planning :  FP Counselling*"),
    COUNTIFS('QA Log'!D:D,A324,'QA Log'!M:M,"Vignette",'QA Log'!Z:Z,"Rejected",'QA Log'!L:L,"*Vignette [9] Birth Spacing: Change FP method to Injectable*"),
    COUNTIFS('QA Log'!D:D,A324,'QA Log'!M:M,"Vignette",'QA Log'!Z:Z,"Rejected",'QA Log'!L:L,"*Vignette [10] Post Partum Haemorrhage - Atonic Uterus at Health Centre*")
  )
)</f>
        <v/>
      </c>
      <c r="BN324" s="107" t="str">
        <f t="shared" si="37"/>
        <v/>
      </c>
      <c r="BO324" s="103" t="str">
        <f t="shared" si="38"/>
        <v/>
      </c>
      <c r="BP324" s="102" t="str">
        <f>IF(A324="","",SUM(
COUNTIFS('QA Log'!D:D,A324,'QA Log'!M:M,"Vignette",'QA Log'!L:L,"*Exit Interview 1*"),
COUNTIFS('QA Log'!D:D,A324,'QA Log'!M:M,"Vignette",'QA Log'!L:L,"*Exit Interview 2*"),
)
)</f>
        <v/>
      </c>
      <c r="BQ324" s="102" t="str">
        <f>IF(
  A324="","",
  SUM(
    COUNTIFS('QA Log'!D:D,A324,'QA Log'!M:M,"Vignette",'QA Log'!Z:Z,"Approved",'QA Log'!L:L,"*Exit Interview 1*"),
    COUNTIFS('QA Log'!D:D,A324,'QA Log'!M:M,"Vignette",'QA Log'!Z:Z,"Approved",'QA Log'!L:L,"*Exit Interview 2*")
  )
)</f>
        <v/>
      </c>
      <c r="BR324" s="105" t="str">
        <f>IF(A324&lt;&gt;"",COUNTIFS('QA Log'!D:D,A324,'QA Log'!M:M,"Vignette",'QA Log'!L:L,"Exit Interview 1",'QA Log'!Z:Z,"Approved"),"")</f>
        <v/>
      </c>
      <c r="BS324" s="105" t="str">
        <f>IF(A324&lt;&gt;"",COUNTIFS('QA Log'!D:D,A324,'QA Log'!M:M,"Vignette",'QA Log'!L:L,"Exit Interview 2",'QA Log'!Z:Z,"Approved"),"")</f>
        <v/>
      </c>
      <c r="BT324" s="102" t="str">
        <f>IF(
  A324="","",
  SUM(
    COUNTIFS('QA Log'!D:D,A324,'QA Log'!M:M,"Vignette",'QA Log'!Z:Z,"Rejected",'QA Log'!L:L,"*Exit Interview 1*"),
    COUNTIFS('QA Log'!D:D,A324,'QA Log'!M:M,"Vignette",'QA Log'!Z:Z,"Rejected",'QA Log'!L:L,"*Exit Interview 2*")
  )
)</f>
        <v/>
      </c>
      <c r="BU324" s="107" t="str">
        <f t="shared" si="39"/>
        <v/>
      </c>
      <c r="BV324" s="102" t="str">
        <f t="shared" si="40"/>
        <v/>
      </c>
      <c r="BW324" s="102" t="str">
        <f t="shared" si="41"/>
        <v/>
      </c>
      <c r="BX324" s="102" t="str">
        <f t="shared" si="42"/>
        <v/>
      </c>
      <c r="BY324" s="102" t="str">
        <f t="shared" si="43"/>
        <v/>
      </c>
      <c r="BZ324" s="107" t="str">
        <f t="shared" si="44"/>
        <v/>
      </c>
      <c r="CA324" s="108" t="str">
        <f t="shared" si="45"/>
        <v/>
      </c>
      <c r="CB324" s="108" t="str">
        <f t="shared" si="46"/>
        <v/>
      </c>
      <c r="CC324" s="109" t="str">
        <f t="shared" si="47"/>
        <v/>
      </c>
      <c r="CD324" s="108" t="str">
        <f t="shared" si="48"/>
        <v/>
      </c>
      <c r="CE324" s="108" t="str">
        <f t="shared" si="49"/>
        <v/>
      </c>
      <c r="CF324" s="109" t="str">
        <f t="shared" si="50"/>
        <v/>
      </c>
      <c r="CG324" s="110" t="str">
        <f t="shared" si="51"/>
        <v/>
      </c>
      <c r="CH324" s="111"/>
    </row>
    <row r="325" spans="1:86" ht="12.75">
      <c r="A325" s="101"/>
      <c r="B325" s="102" t="e">
        <f t="array" aca="1" ref="B325" ca="1">_xludf.XLOOKUP(A325,'QA Log'!D:D,'QA Log'!E:E,"")</f>
        <v>#NAME?</v>
      </c>
      <c r="C325" s="102" t="e">
        <f t="array" aca="1" ref="C325" ca="1">_xludf.XLOOKUP(A325,'QA Log'!D:D,'QA Log'!F:F,"")</f>
        <v>#NAME?</v>
      </c>
      <c r="D325" s="102" t="e">
        <f t="array" aca="1" ref="D325" ca="1">_xludf.XLOOKUP(A325,'QA Log'!D:D,'QA Log'!H:H,"")</f>
        <v>#NAME?</v>
      </c>
      <c r="E325" s="102" t="e">
        <f t="array" aca="1" ref="E325" ca="1">_xludf.XLOOKUP(A325,'QA Log'!D:D,'QA Log'!G:G,"")</f>
        <v>#NAME?</v>
      </c>
      <c r="F325" s="103"/>
      <c r="G325" s="104"/>
      <c r="H325" s="104"/>
      <c r="I325" s="103" t="str">
        <f t="shared" si="26"/>
        <v/>
      </c>
      <c r="J325" s="102" t="str">
        <f>IF(A325="","",SUM(
COUNTIFS('QA Log'!D:D,A325,'QA Log'!M:M,"QQC",'QA Log'!L:L,"*1. General Management*"),
COUNTIFS('QA Log'!D:D,A325,'QA Log'!M:M,"QQC",'QA Log'!L:L,"*3. Curative Consultation (OPD)*"),
COUNTIFS('QA Log'!D:D,A325,'QA Log'!M:M,"QQC",'QA Log'!L:L,"*5. Laboratory*"),
COUNTIFS('QA Log'!D:D,A325,'QA Log'!M:M,"QQC",'QA Log'!L:L,"*6. Essential Medicine Management*"),
COUNTIFS('QA Log'!D:D,A325,'QA Log'!M:M,"QQC",'QA Log'!L:L,"*7. Tracer Medicine*"),
COUNTIFS('QA Log'!D:D,A325,'QA Log'!M:M,"QQC",'QA Log'!L:L,"*11. Additional Questions*")))</f>
        <v/>
      </c>
      <c r="K325" s="102" t="str">
        <f>IF(A325="","",SUM(
COUNTIFS('QA Log'!D:D,A325,'QA Log'!M:M,"QQC",'QA Log'!Z:Z,"Approved",'QA Log'!L:L,"*1. General Management*"),
COUNTIFS('QA Log'!D:D,A325,'QA Log'!M:M,"QQC",'QA Log'!Z:Z,"Approved",'QA Log'!L:L,"*3. Curative Consultation (OPD)*"),
COUNTIFS('QA Log'!D:D,A325,'QA Log'!M:M,"QQC",'QA Log'!Z:Z,"Approved",'QA Log'!L:L,"*5. Laboratory*"),
COUNTIFS('QA Log'!D:D,A325,'QA Log'!M:M,"QQC",'QA Log'!Z:Z,"Approved",'QA Log'!L:L,"*6. Essential Medicine Management*"),
COUNTIFS('QA Log'!D:D,A325,'QA Log'!M:M,"QQC",'QA Log'!Z:Z,"Approved",'QA Log'!L:L,"*7. Tracer Medicine*"),
COUNTIFS('QA Log'!D:D,A325,'QA Log'!M:M,"QQC",'QA Log'!Z:Z,"Approved",'QA Log'!L:L,"*11. Additional Questions*")))</f>
        <v/>
      </c>
      <c r="L325" s="105" t="str">
        <f>IF(A325&lt;&gt;"",COUNTIFS('QA Log'!D:D,A325,'QA Log'!M:M,"QQC",'QA Log'!L:L,"1. General Management",'QA Log'!Z:Z,"Approved"),"")</f>
        <v/>
      </c>
      <c r="M325" s="105" t="str">
        <f>IF(A325&lt;&gt;"",COUNTIFS('QA Log'!D:D,A325,'QA Log'!M:M,"QQC",'QA Log'!L:L,"3. Curative Consultation (OPD)",'QA Log'!Z:Z,"Approved"),"")</f>
        <v/>
      </c>
      <c r="N325" s="105" t="str">
        <f>IF(A325&lt;&gt;"",COUNTIFS('QA Log'!D:D,A325,'QA Log'!M:M,"QQC",'QA Log'!L:L,"5. Laboratory",'QA Log'!Z:Z,"Approved"),"")</f>
        <v/>
      </c>
      <c r="O325" s="105" t="str">
        <f>IF(A325&lt;&gt;"",COUNTIFS('QA Log'!D:D,A325,'QA Log'!M:M,"QQC",'QA Log'!L:L,"6. Essential Medicine Management",'QA Log'!Z:Z,"Approved"),"")</f>
        <v/>
      </c>
      <c r="P325" s="105" t="str">
        <f>IF(A325&lt;&gt;"",COUNTIFS('QA Log'!D:D,A325,'QA Log'!M:M,"QQC",'QA Log'!L:L,"7. Tracer Medicine",'QA Log'!Z:Z,"Approved"),"")</f>
        <v/>
      </c>
      <c r="Q325" s="105" t="str">
        <f>IF(A325&lt;&gt;"",COUNTIFS('QA Log'!D:D,A325,'QA Log'!M:M,"QQC",'QA Log'!L:L,"11. Additional Questions",'QA Log'!Z:Z,"Approved"),"")</f>
        <v/>
      </c>
      <c r="R325" s="102" t="str">
        <f>IF(A325="","",SUM(
COUNTIFS('QA Log'!D:D,A325,'QA Log'!M:M,"QQC",'QA Log'!Z:Z,"Rejected",'QA Log'!L:L,"*8. Maternity*"),
COUNTIFS('QA Log'!D:D,A325,'QA Log'!M:M,"QQC",'QA Log'!Z:Z,"Rejected",'QA Log'!L:L,"*EPI*"),
COUNTIFS('QA Log'!D:D,A325,'QA Log'!M:M,"QQC",'QA Log'!Z:Z,"Rejected",'QA Log'!L:L,"*10. Antenatal Care (ANC)*"),
COUNTIFS('QA Log'!D:D,A325,'QA Log'!M:M,"QQC",'QA Log'!Z:Z,"Rejected",'QA Log'!L:L,"*2. Hygiene and Sterilization*"),
COUNTIFS('QA Log'!D:D,A325,'QA Log'!M:M,"QQC",'QA Log'!Z:Z,"Rejected",'QA Log'!L:L,"*Family Planning*")))</f>
        <v/>
      </c>
      <c r="S325" s="106" t="str">
        <f t="shared" si="27"/>
        <v/>
      </c>
      <c r="T325" s="102" t="str">
        <f t="shared" si="28"/>
        <v/>
      </c>
      <c r="U325" s="102" t="str">
        <f>IF(A325="","",
SUM(
COUNTIFS('QA Log'!D:D,A325,'QA Log'!M:M,"QQC",'QA Log'!L:L,"*8. Maternity*"),
COUNTIFS('QA Log'!D:D,A325,'QA Log'!M:M,"QQC",'QA Log'!L:L,"*9. EPI and Pre-school Consultation*"),
COUNTIFS('QA Log'!D:D,A325,'QA Log'!M:M,"QQC",'QA Log'!L:L,"*10. Antenatal Care (ANC)*"),
COUNTIFS('QA Log'!D:D,A325,'QA Log'!M:M,"QQC",'QA Log'!L:L,"*2. Hygiene and Sterilization*"),
COUNTIFS('QA Log'!D:D,A325,'QA Log'!M:M,"QQC",'QA Log'!L:L,"*4. Family Planning*")
))</f>
        <v/>
      </c>
      <c r="V325" s="102" t="str">
        <f>IF(A325="","",
SUM(
COUNTIFS('QA Log'!D:D,A325,'QA Log'!M:M,"QQC",'QA Log'!Z:Z,"Approved",'QA Log'!L:L,"*8. Maternity*"),
COUNTIFS('QA Log'!D:D,A325,'QA Log'!M:M,"QQC",'QA Log'!Z:Z,"Approved",'QA Log'!L:L,"*9. EPI and Pre-school Consultation*"),
COUNTIFS('QA Log'!D:D,A325,'QA Log'!M:M,"QQC",'QA Log'!Z:Z,"Approved",'QA Log'!L:L,"*10. Antenatal Care (ANC)*"),
COUNTIFS('QA Log'!D:D,A325,'QA Log'!M:M,"QQC",'QA Log'!Z:Z,"Approved",'QA Log'!L:L,"*2. Hygiene and Sterilization*"),
COUNTIFS('QA Log'!D:D,A325,'QA Log'!M:M,"QQC",'QA Log'!Z:Z,"Approved",'QA Log'!L:L,"*4. Family Planning*")
))</f>
        <v/>
      </c>
      <c r="W325" s="105" t="str">
        <f>IF(A325&lt;&gt;"",COUNTIFS('QA Log'!D:D,A325,'QA Log'!M:M,"QQC",'QA Log'!L:L,"8. Maternity",'QA Log'!Z:Z,"Approved"),"")</f>
        <v/>
      </c>
      <c r="X325" s="105" t="str">
        <f>IF(A325&lt;&gt;"",COUNTIFS('QA Log'!D:D,A325,'QA Log'!M:M,"QQC",'QA Log'!L:L,"9. EPI and Pre-school Consultation",'QA Log'!Z:Z,"Approved"),"")</f>
        <v/>
      </c>
      <c r="Y325" s="105" t="str">
        <f>IF(A325&lt;&gt;"",COUNTIFS('QA Log'!D:D,A325,'QA Log'!M:M,"QQC",'QA Log'!L:L,"10. Antenatal Care (ANC)",'QA Log'!Z:Z,"Approved"),"")</f>
        <v/>
      </c>
      <c r="Z325" s="105" t="str">
        <f>IF(A325&lt;&gt;"",COUNTIFS('QA Log'!D:D,A325,'QA Log'!M:M,"QQC",'QA Log'!L:L,"2. Hygiene and Sterilization",'QA Log'!Z:Z,"Approved"),"")</f>
        <v/>
      </c>
      <c r="AA325" s="105" t="str">
        <f>IF(A325&lt;&gt;"",COUNTIFS('QA Log'!D:D,A325,'QA Log'!M:M,"QQC",'QA Log'!L:L,"4. Family Planning",'QA Log'!Z:Z,"Approved"),"")</f>
        <v/>
      </c>
      <c r="AB325" s="102" t="str">
        <f>IF(A325="","",
SUM(
COUNTIFS('QA Log'!D:D,A325,'QA Log'!M:M,"QQC",'QA Log'!Z:Z,"Rejected",'QA Log'!L:L,"*8. Maternity*"),
COUNTIFS('QA Log'!D:D,A325,'QA Log'!M:M,"QQC",'QA Log'!Z:Z,"Rejected",'QA Log'!L:L,"*9. EPI and Pre-school Consultation*"),
COUNTIFS('QA Log'!D:D,A325,'QA Log'!M:M,"QQC",'QA Log'!Z:Z,"Rejected",'QA Log'!L:L,"*10. Antenatal Care (ANC)*"),
COUNTIFS('QA Log'!D:D,A325,'QA Log'!M:M,"QQC",'QA Log'!Z:Z,"Rejected",'QA Log'!L:L,"*2. Hygiene and Sterilization*"),
COUNTIFS('QA Log'!D:D,A325,'QA Log'!M:M,"QQC",'QA Log'!Z:Z,"Rejected",'QA Log'!L:L,"*4. Family Planning*")
))</f>
        <v/>
      </c>
      <c r="AC325" s="102" t="str">
        <f t="shared" si="29"/>
        <v/>
      </c>
      <c r="AD325" s="103" t="str">
        <f t="shared" si="30"/>
        <v/>
      </c>
      <c r="AE325" s="102" t="str">
        <f>IF(A325="","",
SUM(
COUNTIFS('QA Log'!D:D,A325,'QA Log'!M:M,"Data Verification",'QA Log'!L:L,"*Medicine (section 2)*"),
COUNTIFS('QA Log'!D:D,A325,'QA Log'!M:M,"Data Verification",'QA Log'!L:L,"*Lab Testing Availability*"),
COUNTIFS('QA Log'!D:D,A325,'QA Log'!M:M,"Data Verification",'QA Log'!L:L,"*Other than P4P (section 6)*"),
COUNTIFS('QA Log'!D:D,A325,'QA Log'!M:M,"Data Verification",'QA Log'!L:L,"*Hospital Governance*")
))</f>
        <v/>
      </c>
      <c r="AF325" s="102" t="str">
        <f>IF(A325="","",
SUM(
COUNTIFS('QA Log'!D:D,A325,'QA Log'!M:M,"Data Verification",'QA Log'!Z:Z,"Approved",'QA Log'!L:L,"*Medicine (section 2)*"),
COUNTIFS('QA Log'!D:D,A325,'QA Log'!M:M,"Data Verification",'QA Log'!Z:Z,"Approved",'QA Log'!L:L,"*Lab Testing Availability*"),
COUNTIFS('QA Log'!D:D,A325,'QA Log'!M:M,"Data Verification",'QA Log'!Z:Z,"Approved",'QA Log'!L:L,"*Other than P4P (section 6)*"),
COUNTIFS('QA Log'!D:D,A325,'QA Log'!M:M,"Data Verification",'QA Log'!Z:Z,"Approved",'QA Log'!L:L,"*Hospital Governance*")
))</f>
        <v/>
      </c>
      <c r="AG325" s="105" t="str">
        <f>IF(A325&lt;&gt;"",COUNTIFS('QA Log'!D:D,A325,'QA Log'!M:M,"Data Verification",'QA Log'!L:L,"Medicine (section 2)",'QA Log'!Z:Z,"Approved"),"")</f>
        <v/>
      </c>
      <c r="AH325" s="105" t="str">
        <f>IF(A325&lt;&gt;"",COUNTIFS('QA Log'!D:D,A325,'QA Log'!M:M,"Data Verification",'QA Log'!L:L,"Lab Testing Availability",'QA Log'!Z:Z,"Approved"),"")</f>
        <v/>
      </c>
      <c r="AI325" s="105" t="str">
        <f>IF(A325&lt;&gt;"",COUNTIFS('QA Log'!D:D,A325,'QA Log'!M:M,"Data Verification",'QA Log'!L:L,"Other than P4P (section 6)",'QA Log'!Z:Z,"Approved"),"")</f>
        <v/>
      </c>
      <c r="AJ325" s="105" t="str">
        <f>IF(A325&lt;&gt;"",COUNTIFS('QA Log'!D:D,A325,'QA Log'!M:M,"Data Verification",'QA Log'!L:L,"Hospital Governance",'QA Log'!Z:Z,"Approved"),"")</f>
        <v/>
      </c>
      <c r="AK325" s="102" t="str">
        <f>IF(A325="","",
SUM(
COUNTIFS('QA Log'!D:D,A325,'QA Log'!M:M,"Data Verification",'QA Log'!Z:Z,"Rejected",'QA Log'!L:L,"*Medicine (section 2)*"),
COUNTIFS('QA Log'!D:D,A325,'QA Log'!M:M,"Data Verification",'QA Log'!Z:Z,"Rejected",'QA Log'!L:L,"*Lab Testing Availability*"),
COUNTIFS('QA Log'!D:D,A325,'QA Log'!M:M,"Data Verification",'QA Log'!Z:Z,"Rejected",'QA Log'!L:L,"*Other than P4P (section 6)*"),
COUNTIFS('QA Log'!D:D,A325,'QA Log'!M:M,"Data Verification",'QA Log'!Z:Z,"Rejected",'QA Log'!L:L,"*Hospital Governance*")
))</f>
        <v/>
      </c>
      <c r="AL325" s="106" t="str">
        <f t="shared" si="31"/>
        <v/>
      </c>
      <c r="AM325" s="102" t="str">
        <f t="shared" si="32"/>
        <v/>
      </c>
      <c r="AN325" s="102" t="str">
        <f>IF(A325="","",
SUM(
COUNTIFS('QA Log'!D:D,A325,'QA Log'!M:M,"Data Verification",'QA Log'!L:L,"*Personnel (section 1)*"),
COUNTIFS('QA Log'!D:D,A325,'QA Log'!M:M,"Data Verification",'QA Log'!L:L,"*Consumable (section 3)*"),
COUNTIFS('QA Log'!D:D,A325,'QA Log'!M:M,"Data Verification",'QA Log'!L:L,"*Equipments (section 4)*")
))</f>
        <v/>
      </c>
      <c r="AO325" s="102" t="str">
        <f>IF(A325="","",
SUM(
COUNTIFS('QA Log'!D:D,A325,'QA Log'!M:M,"Data Verification",'QA Log'!Z:Z,"Approved",'QA Log'!L:L,"*Personnel (section 1)*"),
COUNTIFS('QA Log'!D:D,A325,'QA Log'!M:M,"Data Verification",'QA Log'!Z:Z,"Approved",'QA Log'!L:L,"*Consumable (section 3)*"),
COUNTIFS('QA Log'!D:D,A325,'QA Log'!M:M,"Data Verification",'QA Log'!Z:Z,"Approved",'QA Log'!L:L,"*Equipments (section 4)*")
))</f>
        <v/>
      </c>
      <c r="AP325" s="105" t="str">
        <f>IF(A325&lt;&gt;"",COUNTIFS('QA Log'!D:D,A325,'QA Log'!M:M,"Data Verification",'QA Log'!L:L,"Personnel (section 1)",'QA Log'!Z:Z,"Approved"),"")</f>
        <v/>
      </c>
      <c r="AQ325" s="105" t="str">
        <f>IF(A325&lt;&gt;"",COUNTIFS('QA Log'!D:D,A325,'QA Log'!M:M,"Data Verification",'QA Log'!L:L,"Consumable (section 3)",'QA Log'!Z:Z,"Approved"),"")</f>
        <v/>
      </c>
      <c r="AR325" s="105" t="str">
        <f>IF(A325&lt;&gt;"",COUNTIFS('QA Log'!D:D,A325,'QA Log'!M:M,"Data Verification",'QA Log'!L:L,"Equipments (section 4)",'QA Log'!Z:Z,"Approved"),"")</f>
        <v/>
      </c>
      <c r="AS325" s="102" t="str">
        <f>IF(A325="","",
SUM(
COUNTIFS('QA Log'!D:D,A325,'QA Log'!M:M,"Data Verification",'QA Log'!Z:Z,"Rejected",'QA Log'!L:L,"*Personnel (section 1)*"),
COUNTIFS('QA Log'!D:D,A325,'QA Log'!M:M,"Data Verification",'QA Log'!Z:Z,"Rejected",'QA Log'!L:L,"*Consumable (section 3)*"),
COUNTIFS('QA Log'!D:D,A325,'QA Log'!M:M,"Data Verification",'QA Log'!Z:Z,"Rejected",'QA Log'!L:L,"*Equipments (section 4)*")
))</f>
        <v/>
      </c>
      <c r="AT325" s="102" t="str">
        <f t="shared" si="33"/>
        <v/>
      </c>
      <c r="AU325" s="103" t="str">
        <f t="shared" si="34"/>
        <v/>
      </c>
      <c r="AV325" s="102" t="str">
        <f>IF(A325="","",SUM(
COUNTIFS('QA Log'!D:D,A325,'QA Log'!M:M,"Vignette",'QA Log'!L:L,"*Vignette [1] Respiratory Infection: Pneumonia*"),
COUNTIFS('QA Log'!D:D,A325,'QA Log'!M:M,"Vignette",'QA Log'!L:L,"*Vignette [2]: Diarrhea with Cat B dehydration*"),
COUNTIFS('QA Log'!D:D,A325,'QA Log'!M:M,"Vignette",'QA Log'!L:L,"*Vignette [3] Growth Monitoring and Promotion*"),
COUNTIFS('QA Log'!D:D,A325,'QA Log'!M:M,"Vignette",'QA Log'!L:L,"*Vignette [4]: The management of presumptive TB patient*")
)
)</f>
        <v/>
      </c>
      <c r="AW325" s="102" t="str">
        <f>IF(
  A325="","",
  SUM(
    COUNTIFS('QA Log'!D:D,A325,'QA Log'!M:M,"Vignette",'QA Log'!Z:Z,"Approved",'QA Log'!L:L,"*Vignette [1] Respiratory Infection: Pneumonia*"),
    COUNTIFS('QA Log'!D:D,A325,'QA Log'!M:M,"Vignette",'QA Log'!Z:Z,"Approved",'QA Log'!L:L,"*Vignette [2]: Diarrhea with Cat B dehydration*"),
    COUNTIFS('QA Log'!D:D,A325,'QA Log'!M:M,"Vignette",'QA Log'!Z:Z,"Approved",'QA Log'!L:L,"*Vignette [3] Growth Monitoring and Promotion*"),
    COUNTIFS('QA Log'!D:D,A325,'QA Log'!M:M,"Vignette",'QA Log'!Z:Z,"Approved",'QA Log'!L:L,"*Vignette [4]: The management of presumptive TB patient*")
  )
)</f>
        <v/>
      </c>
      <c r="AX325" s="105" t="str">
        <f>IF(A325&lt;&gt;"",COUNTIFS('QA Log'!D:D,A325,'QA Log'!M:M,"Vignette",'QA Log'!L:L,"Vignette [1] Respiratory Infection: Pneumonia",'QA Log'!Z:Z,"Approved"),"")</f>
        <v/>
      </c>
      <c r="AY325" s="105" t="str">
        <f>IF(A325&lt;&gt;"",COUNTIFS('QA Log'!D:D,A325,'QA Log'!M:M,"Vignette",'QA Log'!L:L,"Vignette [2]: Diarrhea with Cat B dehydration",'QA Log'!Z:Z,"Approved"),"")</f>
        <v/>
      </c>
      <c r="AZ325" s="105" t="str">
        <f>IF(A325&lt;&gt;"",COUNTIFS('QA Log'!D:D,A325,'QA Log'!M:M,"Vignette",'QA Log'!L:L,"Vignette [3] Growth Monitoring and Promotion",'QA Log'!Z:Z,"Approved"),"")</f>
        <v/>
      </c>
      <c r="BA325" s="105" t="str">
        <f>IF(A325&lt;&gt;"",COUNTIFS('QA Log'!D:D,A325,'QA Log'!M:M,"Vignette",'QA Log'!L:L,"Vignette [4]: The management of presumptive TB patient",'QA Log'!Z:Z,"Approved"),"")</f>
        <v/>
      </c>
      <c r="BB325" s="102" t="str">
        <f>IF(A325="","",
  SUM(
    COUNTIFS('QA Log'!D:D,A325,'QA Log'!M:M,"Vignette",'QA Log'!Z:Z,"Rejected",'QA Log'!L:L,"*Vignette [1] Respiratory Infection: Pneumonia*"),
    COUNTIFS('QA Log'!D:D,A325,'QA Log'!M:M,"Vignette",'QA Log'!Z:Z,"Rejected",'QA Log'!L:L,"*Vignette [2]: Diarrhea with Cat B dehydration*"),
    COUNTIFS('QA Log'!D:D,A325,'QA Log'!M:M,"Vignette",'QA Log'!Z:Z,"Rejected",'QA Log'!L:L,"*Vignette [3] Growth Monitoring and Promotion*"),
    COUNTIFS('QA Log'!D:D,A325,'QA Log'!M:M,"Vignette",'QA Log'!Z:Z,"Rejected",'QA Log'!L:L,"*Vignette [4]: The management of presumptive TB patient*")
  )
)</f>
        <v/>
      </c>
      <c r="BC325" s="107" t="str">
        <f t="shared" si="35"/>
        <v/>
      </c>
      <c r="BD325" s="103" t="str">
        <f t="shared" si="36"/>
        <v/>
      </c>
      <c r="BE325" s="102" t="str">
        <f>IF(A325="","",SUM(
COUNTIFS('QA Log'!D:D,A325,'QA Log'!M:M,"Vignette",'QA Log'!L:L,"*Vignette [5] Labor*"),
COUNTIFS('QA Log'!D:D,A325,'QA Log'!M:M,"Vignette",'QA Log'!L:L,"*Vignette [6] PNC pre Discharge*"),
COUNTIFS('QA Log'!D:D,A325,'QA Log'!M:M,"Vignette",'QA Log'!L:L,"*Vignette [7] First ANC Visit*"),
COUNTIFS('QA Log'!D:D,A325,'QA Log'!M:M,"Vignette",'QA Log'!L:L,"*Vignette [8] Birth Spacing/ Family Planning :  FP Counselling*"),
COUNTIFS('QA Log'!D:D,A325,'QA Log'!M:M,"Vignette",'QA Log'!L:L,"*Vignette [9] Birth Spacing: Change FP method to Injectable*"),
COUNTIFS('QA Log'!D:D,A325,'QA Log'!M:M,"Vignette",'QA Log'!L:L,"*Vignette [10] Post Partum Haemorrhage - Atonic Uterus at Health Centre*"),
)
)</f>
        <v/>
      </c>
      <c r="BF325" s="102" t="str">
        <f>IF(A325="","",
  SUM(
    COUNTIFS('QA Log'!D:D,A325,'QA Log'!M:M,"Vignette",'QA Log'!Z:Z,"Approved",'QA Log'!L:L,"*Vignette [5] Labor*"),
    COUNTIFS('QA Log'!D:D,A325,'QA Log'!M:M,"Vignette",'QA Log'!Z:Z,"Approved",'QA Log'!L:L,"*Vignette [6] PNC pre Discharge*"),
    COUNTIFS('QA Log'!D:D,A325,'QA Log'!M:M,"Vignette",'QA Log'!Z:Z,"Approved",'QA Log'!L:L,"*Vignette [7] First ANC Visit*"),
    COUNTIFS('QA Log'!D:D,A325,'QA Log'!M:M,"Vignette",'QA Log'!Z:Z,"Approved",'QA Log'!L:L,"*Vignette [8] Birth Spacing/ Family Planning :  FP Counselling*"),
    COUNTIFS('QA Log'!D:D,A325,'QA Log'!M:M,"Vignette",'QA Log'!Z:Z,"Approved",'QA Log'!L:L,"*Vignette [9] Birth Spacing: Change FP method to Injectable*"),
    COUNTIFS('QA Log'!D:D,A325,'QA Log'!M:M,"Vignette",'QA Log'!Z:Z,"Approved",'QA Log'!L:L,"*Vignette [10] Post Partum Haemorrhage - Atonic Uterus at Health Centre*")
  )
)</f>
        <v/>
      </c>
      <c r="BG325" s="105" t="str">
        <f>IF(A325&lt;&gt;"",COUNTIFS('QA Log'!D:D,A325,'QA Log'!M:M,"Vignette",'QA Log'!L:L,"Vignette [5] Labor",'QA Log'!Z:Z,"Approved"),"")</f>
        <v/>
      </c>
      <c r="BH325" s="105" t="str">
        <f>IF(A325&lt;&gt;"",COUNTIFS('QA Log'!D:D,A325,'QA Log'!M:M,"Vignette",'QA Log'!L:L,"Vignette [6] PNC pre Discharge",'QA Log'!Z:Z,"Approved"),"")</f>
        <v/>
      </c>
      <c r="BI325" s="105" t="str">
        <f>IF(A325&lt;&gt;"",COUNTIFS('QA Log'!D:D,A325,'QA Log'!M:M,"Vignette",'QA Log'!L:L,"Vignette [7] First ANC Visit",'QA Log'!Z:Z,"Approved"),"")</f>
        <v/>
      </c>
      <c r="BJ325" s="105" t="str">
        <f>IF(A325&lt;&gt;"",COUNTIFS('QA Log'!D:D,A325,'QA Log'!M:M,"Vignette",'QA Log'!L:L,"Vignette [8] Birth Spacing/ Family Planning :  FP Counselling",'QA Log'!Z:Z,"Approved"),"")</f>
        <v/>
      </c>
      <c r="BK325" s="105" t="str">
        <f>IF(A325&lt;&gt;"",COUNTIFS('QA Log'!D:D,A325,'QA Log'!M:M,"Vignette",'QA Log'!L:L,"Vignette [9] Birth Spacing: Change FP method to Injectable",'QA Log'!Z:Z,"Approved"),"")</f>
        <v/>
      </c>
      <c r="BL325" s="105" t="str">
        <f>IF(A325&lt;&gt;"",COUNTIFS('QA Log'!D:D,A325,'QA Log'!M:M,"Vignette",'QA Log'!L:L,"Vignette [10] Post Partum Haemorrhage - Atonic Uterus at Health Centre",'QA Log'!Z:Z,"Approved"),"")</f>
        <v/>
      </c>
      <c r="BM325" s="102" t="str">
        <f>IF(A325="","",SUM(
    COUNTIFS('QA Log'!D:D,A325,'QA Log'!M:M,"Vignette",'QA Log'!Z:Z,"Rejected",'QA Log'!L:L,"*Vignette [5] Labor*"),
    COUNTIFS('QA Log'!D:D,A325,'QA Log'!M:M,"Vignette",'QA Log'!Z:Z,"Rejected",'QA Log'!L:L,"*Vignette [6] PNC pre Discharge*"),
    COUNTIFS('QA Log'!D:D,A325,'QA Log'!M:M,"Vignette",'QA Log'!Z:Z,"Rejected",'QA Log'!L:L,"*Vignette [7] First ANC Visit*"),
    COUNTIFS('QA Log'!D:D,A325,'QA Log'!M:M,"Vignette",'QA Log'!Z:Z,"Rejected",'QA Log'!L:L,"*Vignette [8] Birth Spacing/ Family Planning :  FP Counselling*"),
    COUNTIFS('QA Log'!D:D,A325,'QA Log'!M:M,"Vignette",'QA Log'!Z:Z,"Rejected",'QA Log'!L:L,"*Vignette [9] Birth Spacing: Change FP method to Injectable*"),
    COUNTIFS('QA Log'!D:D,A325,'QA Log'!M:M,"Vignette",'QA Log'!Z:Z,"Rejected",'QA Log'!L:L,"*Vignette [10] Post Partum Haemorrhage - Atonic Uterus at Health Centre*")
  )
)</f>
        <v/>
      </c>
      <c r="BN325" s="107" t="str">
        <f t="shared" si="37"/>
        <v/>
      </c>
      <c r="BO325" s="103" t="str">
        <f t="shared" si="38"/>
        <v/>
      </c>
      <c r="BP325" s="102" t="str">
        <f>IF(A325="","",SUM(
COUNTIFS('QA Log'!D:D,A325,'QA Log'!M:M,"Vignette",'QA Log'!L:L,"*Exit Interview 1*"),
COUNTIFS('QA Log'!D:D,A325,'QA Log'!M:M,"Vignette",'QA Log'!L:L,"*Exit Interview 2*"),
)
)</f>
        <v/>
      </c>
      <c r="BQ325" s="102" t="str">
        <f>IF(
  A325="","",
  SUM(
    COUNTIFS('QA Log'!D:D,A325,'QA Log'!M:M,"Vignette",'QA Log'!Z:Z,"Approved",'QA Log'!L:L,"*Exit Interview 1*"),
    COUNTIFS('QA Log'!D:D,A325,'QA Log'!M:M,"Vignette",'QA Log'!Z:Z,"Approved",'QA Log'!L:L,"*Exit Interview 2*")
  )
)</f>
        <v/>
      </c>
      <c r="BR325" s="105" t="str">
        <f>IF(A325&lt;&gt;"",COUNTIFS('QA Log'!D:D,A325,'QA Log'!M:M,"Vignette",'QA Log'!L:L,"Exit Interview 1",'QA Log'!Z:Z,"Approved"),"")</f>
        <v/>
      </c>
      <c r="BS325" s="105" t="str">
        <f>IF(A325&lt;&gt;"",COUNTIFS('QA Log'!D:D,A325,'QA Log'!M:M,"Vignette",'QA Log'!L:L,"Exit Interview 2",'QA Log'!Z:Z,"Approved"),"")</f>
        <v/>
      </c>
      <c r="BT325" s="102" t="str">
        <f>IF(
  A325="","",
  SUM(
    COUNTIFS('QA Log'!D:D,A325,'QA Log'!M:M,"Vignette",'QA Log'!Z:Z,"Rejected",'QA Log'!L:L,"*Exit Interview 1*"),
    COUNTIFS('QA Log'!D:D,A325,'QA Log'!M:M,"Vignette",'QA Log'!Z:Z,"Rejected",'QA Log'!L:L,"*Exit Interview 2*")
  )
)</f>
        <v/>
      </c>
      <c r="BU325" s="107" t="str">
        <f t="shared" si="39"/>
        <v/>
      </c>
      <c r="BV325" s="102" t="str">
        <f t="shared" si="40"/>
        <v/>
      </c>
      <c r="BW325" s="102" t="str">
        <f t="shared" si="41"/>
        <v/>
      </c>
      <c r="BX325" s="102" t="str">
        <f t="shared" si="42"/>
        <v/>
      </c>
      <c r="BY325" s="102" t="str">
        <f t="shared" si="43"/>
        <v/>
      </c>
      <c r="BZ325" s="107" t="str">
        <f t="shared" si="44"/>
        <v/>
      </c>
      <c r="CA325" s="108" t="str">
        <f t="shared" si="45"/>
        <v/>
      </c>
      <c r="CB325" s="108" t="str">
        <f t="shared" si="46"/>
        <v/>
      </c>
      <c r="CC325" s="109" t="str">
        <f t="shared" si="47"/>
        <v/>
      </c>
      <c r="CD325" s="108" t="str">
        <f t="shared" si="48"/>
        <v/>
      </c>
      <c r="CE325" s="108" t="str">
        <f t="shared" si="49"/>
        <v/>
      </c>
      <c r="CF325" s="109" t="str">
        <f t="shared" si="50"/>
        <v/>
      </c>
      <c r="CG325" s="110" t="str">
        <f t="shared" si="51"/>
        <v/>
      </c>
      <c r="CH325" s="111"/>
    </row>
    <row r="326" spans="1:86" ht="12.75">
      <c r="A326" s="101"/>
      <c r="B326" s="102" t="e">
        <f t="array" aca="1" ref="B326" ca="1">_xludf.XLOOKUP(A326,'QA Log'!D:D,'QA Log'!E:E,"")</f>
        <v>#NAME?</v>
      </c>
      <c r="C326" s="102" t="e">
        <f t="array" aca="1" ref="C326" ca="1">_xludf.XLOOKUP(A326,'QA Log'!D:D,'QA Log'!F:F,"")</f>
        <v>#NAME?</v>
      </c>
      <c r="D326" s="102" t="e">
        <f t="array" aca="1" ref="D326" ca="1">_xludf.XLOOKUP(A326,'QA Log'!D:D,'QA Log'!H:H,"")</f>
        <v>#NAME?</v>
      </c>
      <c r="E326" s="102" t="e">
        <f t="array" aca="1" ref="E326" ca="1">_xludf.XLOOKUP(A326,'QA Log'!D:D,'QA Log'!G:G,"")</f>
        <v>#NAME?</v>
      </c>
      <c r="F326" s="103"/>
      <c r="G326" s="104"/>
      <c r="H326" s="104"/>
      <c r="I326" s="103" t="str">
        <f t="shared" si="26"/>
        <v/>
      </c>
      <c r="J326" s="102" t="str">
        <f>IF(A326="","",SUM(
COUNTIFS('QA Log'!D:D,A326,'QA Log'!M:M,"QQC",'QA Log'!L:L,"*1. General Management*"),
COUNTIFS('QA Log'!D:D,A326,'QA Log'!M:M,"QQC",'QA Log'!L:L,"*3. Curative Consultation (OPD)*"),
COUNTIFS('QA Log'!D:D,A326,'QA Log'!M:M,"QQC",'QA Log'!L:L,"*5. Laboratory*"),
COUNTIFS('QA Log'!D:D,A326,'QA Log'!M:M,"QQC",'QA Log'!L:L,"*6. Essential Medicine Management*"),
COUNTIFS('QA Log'!D:D,A326,'QA Log'!M:M,"QQC",'QA Log'!L:L,"*7. Tracer Medicine*"),
COUNTIFS('QA Log'!D:D,A326,'QA Log'!M:M,"QQC",'QA Log'!L:L,"*11. Additional Questions*")))</f>
        <v/>
      </c>
      <c r="K326" s="102" t="str">
        <f>IF(A326="","",SUM(
COUNTIFS('QA Log'!D:D,A326,'QA Log'!M:M,"QQC",'QA Log'!Z:Z,"Approved",'QA Log'!L:L,"*1. General Management*"),
COUNTIFS('QA Log'!D:D,A326,'QA Log'!M:M,"QQC",'QA Log'!Z:Z,"Approved",'QA Log'!L:L,"*3. Curative Consultation (OPD)*"),
COUNTIFS('QA Log'!D:D,A326,'QA Log'!M:M,"QQC",'QA Log'!Z:Z,"Approved",'QA Log'!L:L,"*5. Laboratory*"),
COUNTIFS('QA Log'!D:D,A326,'QA Log'!M:M,"QQC",'QA Log'!Z:Z,"Approved",'QA Log'!L:L,"*6. Essential Medicine Management*"),
COUNTIFS('QA Log'!D:D,A326,'QA Log'!M:M,"QQC",'QA Log'!Z:Z,"Approved",'QA Log'!L:L,"*7. Tracer Medicine*"),
COUNTIFS('QA Log'!D:D,A326,'QA Log'!M:M,"QQC",'QA Log'!Z:Z,"Approved",'QA Log'!L:L,"*11. Additional Questions*")))</f>
        <v/>
      </c>
      <c r="L326" s="105" t="str">
        <f>IF(A326&lt;&gt;"",COUNTIFS('QA Log'!D:D,A326,'QA Log'!M:M,"QQC",'QA Log'!L:L,"1. General Management",'QA Log'!Z:Z,"Approved"),"")</f>
        <v/>
      </c>
      <c r="M326" s="105" t="str">
        <f>IF(A326&lt;&gt;"",COUNTIFS('QA Log'!D:D,A326,'QA Log'!M:M,"QQC",'QA Log'!L:L,"3. Curative Consultation (OPD)",'QA Log'!Z:Z,"Approved"),"")</f>
        <v/>
      </c>
      <c r="N326" s="105" t="str">
        <f>IF(A326&lt;&gt;"",COUNTIFS('QA Log'!D:D,A326,'QA Log'!M:M,"QQC",'QA Log'!L:L,"5. Laboratory",'QA Log'!Z:Z,"Approved"),"")</f>
        <v/>
      </c>
      <c r="O326" s="105" t="str">
        <f>IF(A326&lt;&gt;"",COUNTIFS('QA Log'!D:D,A326,'QA Log'!M:M,"QQC",'QA Log'!L:L,"6. Essential Medicine Management",'QA Log'!Z:Z,"Approved"),"")</f>
        <v/>
      </c>
      <c r="P326" s="105" t="str">
        <f>IF(A326&lt;&gt;"",COUNTIFS('QA Log'!D:D,A326,'QA Log'!M:M,"QQC",'QA Log'!L:L,"7. Tracer Medicine",'QA Log'!Z:Z,"Approved"),"")</f>
        <v/>
      </c>
      <c r="Q326" s="105" t="str">
        <f>IF(A326&lt;&gt;"",COUNTIFS('QA Log'!D:D,A326,'QA Log'!M:M,"QQC",'QA Log'!L:L,"11. Additional Questions",'QA Log'!Z:Z,"Approved"),"")</f>
        <v/>
      </c>
      <c r="R326" s="102" t="str">
        <f>IF(A326="","",SUM(
COUNTIFS('QA Log'!D:D,A326,'QA Log'!M:M,"QQC",'QA Log'!Z:Z,"Rejected",'QA Log'!L:L,"*8. Maternity*"),
COUNTIFS('QA Log'!D:D,A326,'QA Log'!M:M,"QQC",'QA Log'!Z:Z,"Rejected",'QA Log'!L:L,"*EPI*"),
COUNTIFS('QA Log'!D:D,A326,'QA Log'!M:M,"QQC",'QA Log'!Z:Z,"Rejected",'QA Log'!L:L,"*10. Antenatal Care (ANC)*"),
COUNTIFS('QA Log'!D:D,A326,'QA Log'!M:M,"QQC",'QA Log'!Z:Z,"Rejected",'QA Log'!L:L,"*2. Hygiene and Sterilization*"),
COUNTIFS('QA Log'!D:D,A326,'QA Log'!M:M,"QQC",'QA Log'!Z:Z,"Rejected",'QA Log'!L:L,"*Family Planning*")))</f>
        <v/>
      </c>
      <c r="S326" s="106" t="str">
        <f t="shared" si="27"/>
        <v/>
      </c>
      <c r="T326" s="102" t="str">
        <f t="shared" si="28"/>
        <v/>
      </c>
      <c r="U326" s="102" t="str">
        <f>IF(A326="","",
SUM(
COUNTIFS('QA Log'!D:D,A326,'QA Log'!M:M,"QQC",'QA Log'!L:L,"*8. Maternity*"),
COUNTIFS('QA Log'!D:D,A326,'QA Log'!M:M,"QQC",'QA Log'!L:L,"*9. EPI and Pre-school Consultation*"),
COUNTIFS('QA Log'!D:D,A326,'QA Log'!M:M,"QQC",'QA Log'!L:L,"*10. Antenatal Care (ANC)*"),
COUNTIFS('QA Log'!D:D,A326,'QA Log'!M:M,"QQC",'QA Log'!L:L,"*2. Hygiene and Sterilization*"),
COUNTIFS('QA Log'!D:D,A326,'QA Log'!M:M,"QQC",'QA Log'!L:L,"*4. Family Planning*")
))</f>
        <v/>
      </c>
      <c r="V326" s="102" t="str">
        <f>IF(A326="","",
SUM(
COUNTIFS('QA Log'!D:D,A326,'QA Log'!M:M,"QQC",'QA Log'!Z:Z,"Approved",'QA Log'!L:L,"*8. Maternity*"),
COUNTIFS('QA Log'!D:D,A326,'QA Log'!M:M,"QQC",'QA Log'!Z:Z,"Approved",'QA Log'!L:L,"*9. EPI and Pre-school Consultation*"),
COUNTIFS('QA Log'!D:D,A326,'QA Log'!M:M,"QQC",'QA Log'!Z:Z,"Approved",'QA Log'!L:L,"*10. Antenatal Care (ANC)*"),
COUNTIFS('QA Log'!D:D,A326,'QA Log'!M:M,"QQC",'QA Log'!Z:Z,"Approved",'QA Log'!L:L,"*2. Hygiene and Sterilization*"),
COUNTIFS('QA Log'!D:D,A326,'QA Log'!M:M,"QQC",'QA Log'!Z:Z,"Approved",'QA Log'!L:L,"*4. Family Planning*")
))</f>
        <v/>
      </c>
      <c r="W326" s="105" t="str">
        <f>IF(A326&lt;&gt;"",COUNTIFS('QA Log'!D:D,A326,'QA Log'!M:M,"QQC",'QA Log'!L:L,"8. Maternity",'QA Log'!Z:Z,"Approved"),"")</f>
        <v/>
      </c>
      <c r="X326" s="105" t="str">
        <f>IF(A326&lt;&gt;"",COUNTIFS('QA Log'!D:D,A326,'QA Log'!M:M,"QQC",'QA Log'!L:L,"9. EPI and Pre-school Consultation",'QA Log'!Z:Z,"Approved"),"")</f>
        <v/>
      </c>
      <c r="Y326" s="105" t="str">
        <f>IF(A326&lt;&gt;"",COUNTIFS('QA Log'!D:D,A326,'QA Log'!M:M,"QQC",'QA Log'!L:L,"10. Antenatal Care (ANC)",'QA Log'!Z:Z,"Approved"),"")</f>
        <v/>
      </c>
      <c r="Z326" s="105" t="str">
        <f>IF(A326&lt;&gt;"",COUNTIFS('QA Log'!D:D,A326,'QA Log'!M:M,"QQC",'QA Log'!L:L,"2. Hygiene and Sterilization",'QA Log'!Z:Z,"Approved"),"")</f>
        <v/>
      </c>
      <c r="AA326" s="105" t="str">
        <f>IF(A326&lt;&gt;"",COUNTIFS('QA Log'!D:D,A326,'QA Log'!M:M,"QQC",'QA Log'!L:L,"4. Family Planning",'QA Log'!Z:Z,"Approved"),"")</f>
        <v/>
      </c>
      <c r="AB326" s="102" t="str">
        <f>IF(A326="","",
SUM(
COUNTIFS('QA Log'!D:D,A326,'QA Log'!M:M,"QQC",'QA Log'!Z:Z,"Rejected",'QA Log'!L:L,"*8. Maternity*"),
COUNTIFS('QA Log'!D:D,A326,'QA Log'!M:M,"QQC",'QA Log'!Z:Z,"Rejected",'QA Log'!L:L,"*9. EPI and Pre-school Consultation*"),
COUNTIFS('QA Log'!D:D,A326,'QA Log'!M:M,"QQC",'QA Log'!Z:Z,"Rejected",'QA Log'!L:L,"*10. Antenatal Care (ANC)*"),
COUNTIFS('QA Log'!D:D,A326,'QA Log'!M:M,"QQC",'QA Log'!Z:Z,"Rejected",'QA Log'!L:L,"*2. Hygiene and Sterilization*"),
COUNTIFS('QA Log'!D:D,A326,'QA Log'!M:M,"QQC",'QA Log'!Z:Z,"Rejected",'QA Log'!L:L,"*4. Family Planning*")
))</f>
        <v/>
      </c>
      <c r="AC326" s="102" t="str">
        <f t="shared" si="29"/>
        <v/>
      </c>
      <c r="AD326" s="103" t="str">
        <f t="shared" si="30"/>
        <v/>
      </c>
      <c r="AE326" s="102" t="str">
        <f>IF(A326="","",
SUM(
COUNTIFS('QA Log'!D:D,A326,'QA Log'!M:M,"Data Verification",'QA Log'!L:L,"*Medicine (section 2)*"),
COUNTIFS('QA Log'!D:D,A326,'QA Log'!M:M,"Data Verification",'QA Log'!L:L,"*Lab Testing Availability*"),
COUNTIFS('QA Log'!D:D,A326,'QA Log'!M:M,"Data Verification",'QA Log'!L:L,"*Other than P4P (section 6)*"),
COUNTIFS('QA Log'!D:D,A326,'QA Log'!M:M,"Data Verification",'QA Log'!L:L,"*Hospital Governance*")
))</f>
        <v/>
      </c>
      <c r="AF326" s="102" t="str">
        <f>IF(A326="","",
SUM(
COUNTIFS('QA Log'!D:D,A326,'QA Log'!M:M,"Data Verification",'QA Log'!Z:Z,"Approved",'QA Log'!L:L,"*Medicine (section 2)*"),
COUNTIFS('QA Log'!D:D,A326,'QA Log'!M:M,"Data Verification",'QA Log'!Z:Z,"Approved",'QA Log'!L:L,"*Lab Testing Availability*"),
COUNTIFS('QA Log'!D:D,A326,'QA Log'!M:M,"Data Verification",'QA Log'!Z:Z,"Approved",'QA Log'!L:L,"*Other than P4P (section 6)*"),
COUNTIFS('QA Log'!D:D,A326,'QA Log'!M:M,"Data Verification",'QA Log'!Z:Z,"Approved",'QA Log'!L:L,"*Hospital Governance*")
))</f>
        <v/>
      </c>
      <c r="AG326" s="105" t="str">
        <f>IF(A326&lt;&gt;"",COUNTIFS('QA Log'!D:D,A326,'QA Log'!M:M,"Data Verification",'QA Log'!L:L,"Medicine (section 2)",'QA Log'!Z:Z,"Approved"),"")</f>
        <v/>
      </c>
      <c r="AH326" s="105" t="str">
        <f>IF(A326&lt;&gt;"",COUNTIFS('QA Log'!D:D,A326,'QA Log'!M:M,"Data Verification",'QA Log'!L:L,"Lab Testing Availability",'QA Log'!Z:Z,"Approved"),"")</f>
        <v/>
      </c>
      <c r="AI326" s="105" t="str">
        <f>IF(A326&lt;&gt;"",COUNTIFS('QA Log'!D:D,A326,'QA Log'!M:M,"Data Verification",'QA Log'!L:L,"Other than P4P (section 6)",'QA Log'!Z:Z,"Approved"),"")</f>
        <v/>
      </c>
      <c r="AJ326" s="105" t="str">
        <f>IF(A326&lt;&gt;"",COUNTIFS('QA Log'!D:D,A326,'QA Log'!M:M,"Data Verification",'QA Log'!L:L,"Hospital Governance",'QA Log'!Z:Z,"Approved"),"")</f>
        <v/>
      </c>
      <c r="AK326" s="102" t="str">
        <f>IF(A326="","",
SUM(
COUNTIFS('QA Log'!D:D,A326,'QA Log'!M:M,"Data Verification",'QA Log'!Z:Z,"Rejected",'QA Log'!L:L,"*Medicine (section 2)*"),
COUNTIFS('QA Log'!D:D,A326,'QA Log'!M:M,"Data Verification",'QA Log'!Z:Z,"Rejected",'QA Log'!L:L,"*Lab Testing Availability*"),
COUNTIFS('QA Log'!D:D,A326,'QA Log'!M:M,"Data Verification",'QA Log'!Z:Z,"Rejected",'QA Log'!L:L,"*Other than P4P (section 6)*"),
COUNTIFS('QA Log'!D:D,A326,'QA Log'!M:M,"Data Verification",'QA Log'!Z:Z,"Rejected",'QA Log'!L:L,"*Hospital Governance*")
))</f>
        <v/>
      </c>
      <c r="AL326" s="106" t="str">
        <f t="shared" si="31"/>
        <v/>
      </c>
      <c r="AM326" s="102" t="str">
        <f t="shared" si="32"/>
        <v/>
      </c>
      <c r="AN326" s="102" t="str">
        <f>IF(A326="","",
SUM(
COUNTIFS('QA Log'!D:D,A326,'QA Log'!M:M,"Data Verification",'QA Log'!L:L,"*Personnel (section 1)*"),
COUNTIFS('QA Log'!D:D,A326,'QA Log'!M:M,"Data Verification",'QA Log'!L:L,"*Consumable (section 3)*"),
COUNTIFS('QA Log'!D:D,A326,'QA Log'!M:M,"Data Verification",'QA Log'!L:L,"*Equipments (section 4)*")
))</f>
        <v/>
      </c>
      <c r="AO326" s="102" t="str">
        <f>IF(A326="","",
SUM(
COUNTIFS('QA Log'!D:D,A326,'QA Log'!M:M,"Data Verification",'QA Log'!Z:Z,"Approved",'QA Log'!L:L,"*Personnel (section 1)*"),
COUNTIFS('QA Log'!D:D,A326,'QA Log'!M:M,"Data Verification",'QA Log'!Z:Z,"Approved",'QA Log'!L:L,"*Consumable (section 3)*"),
COUNTIFS('QA Log'!D:D,A326,'QA Log'!M:M,"Data Verification",'QA Log'!Z:Z,"Approved",'QA Log'!L:L,"*Equipments (section 4)*")
))</f>
        <v/>
      </c>
      <c r="AP326" s="105" t="str">
        <f>IF(A326&lt;&gt;"",COUNTIFS('QA Log'!D:D,A326,'QA Log'!M:M,"Data Verification",'QA Log'!L:L,"Personnel (section 1)",'QA Log'!Z:Z,"Approved"),"")</f>
        <v/>
      </c>
      <c r="AQ326" s="105" t="str">
        <f>IF(A326&lt;&gt;"",COUNTIFS('QA Log'!D:D,A326,'QA Log'!M:M,"Data Verification",'QA Log'!L:L,"Consumable (section 3)",'QA Log'!Z:Z,"Approved"),"")</f>
        <v/>
      </c>
      <c r="AR326" s="105" t="str">
        <f>IF(A326&lt;&gt;"",COUNTIFS('QA Log'!D:D,A326,'QA Log'!M:M,"Data Verification",'QA Log'!L:L,"Equipments (section 4)",'QA Log'!Z:Z,"Approved"),"")</f>
        <v/>
      </c>
      <c r="AS326" s="102" t="str">
        <f>IF(A326="","",
SUM(
COUNTIFS('QA Log'!D:D,A326,'QA Log'!M:M,"Data Verification",'QA Log'!Z:Z,"Rejected",'QA Log'!L:L,"*Personnel (section 1)*"),
COUNTIFS('QA Log'!D:D,A326,'QA Log'!M:M,"Data Verification",'QA Log'!Z:Z,"Rejected",'QA Log'!L:L,"*Consumable (section 3)*"),
COUNTIFS('QA Log'!D:D,A326,'QA Log'!M:M,"Data Verification",'QA Log'!Z:Z,"Rejected",'QA Log'!L:L,"*Equipments (section 4)*")
))</f>
        <v/>
      </c>
      <c r="AT326" s="102" t="str">
        <f t="shared" si="33"/>
        <v/>
      </c>
      <c r="AU326" s="103" t="str">
        <f t="shared" si="34"/>
        <v/>
      </c>
      <c r="AV326" s="102" t="str">
        <f>IF(A326="","",SUM(
COUNTIFS('QA Log'!D:D,A326,'QA Log'!M:M,"Vignette",'QA Log'!L:L,"*Vignette [1] Respiratory Infection: Pneumonia*"),
COUNTIFS('QA Log'!D:D,A326,'QA Log'!M:M,"Vignette",'QA Log'!L:L,"*Vignette [2]: Diarrhea with Cat B dehydration*"),
COUNTIFS('QA Log'!D:D,A326,'QA Log'!M:M,"Vignette",'QA Log'!L:L,"*Vignette [3] Growth Monitoring and Promotion*"),
COUNTIFS('QA Log'!D:D,A326,'QA Log'!M:M,"Vignette",'QA Log'!L:L,"*Vignette [4]: The management of presumptive TB patient*")
)
)</f>
        <v/>
      </c>
      <c r="AW326" s="102" t="str">
        <f>IF(
  A326="","",
  SUM(
    COUNTIFS('QA Log'!D:D,A326,'QA Log'!M:M,"Vignette",'QA Log'!Z:Z,"Approved",'QA Log'!L:L,"*Vignette [1] Respiratory Infection: Pneumonia*"),
    COUNTIFS('QA Log'!D:D,A326,'QA Log'!M:M,"Vignette",'QA Log'!Z:Z,"Approved",'QA Log'!L:L,"*Vignette [2]: Diarrhea with Cat B dehydration*"),
    COUNTIFS('QA Log'!D:D,A326,'QA Log'!M:M,"Vignette",'QA Log'!Z:Z,"Approved",'QA Log'!L:L,"*Vignette [3] Growth Monitoring and Promotion*"),
    COUNTIFS('QA Log'!D:D,A326,'QA Log'!M:M,"Vignette",'QA Log'!Z:Z,"Approved",'QA Log'!L:L,"*Vignette [4]: The management of presumptive TB patient*")
  )
)</f>
        <v/>
      </c>
      <c r="AX326" s="105" t="str">
        <f>IF(A326&lt;&gt;"",COUNTIFS('QA Log'!D:D,A326,'QA Log'!M:M,"Vignette",'QA Log'!L:L,"Vignette [1] Respiratory Infection: Pneumonia",'QA Log'!Z:Z,"Approved"),"")</f>
        <v/>
      </c>
      <c r="AY326" s="105" t="str">
        <f>IF(A326&lt;&gt;"",COUNTIFS('QA Log'!D:D,A326,'QA Log'!M:M,"Vignette",'QA Log'!L:L,"Vignette [2]: Diarrhea with Cat B dehydration",'QA Log'!Z:Z,"Approved"),"")</f>
        <v/>
      </c>
      <c r="AZ326" s="105" t="str">
        <f>IF(A326&lt;&gt;"",COUNTIFS('QA Log'!D:D,A326,'QA Log'!M:M,"Vignette",'QA Log'!L:L,"Vignette [3] Growth Monitoring and Promotion",'QA Log'!Z:Z,"Approved"),"")</f>
        <v/>
      </c>
      <c r="BA326" s="105" t="str">
        <f>IF(A326&lt;&gt;"",COUNTIFS('QA Log'!D:D,A326,'QA Log'!M:M,"Vignette",'QA Log'!L:L,"Vignette [4]: The management of presumptive TB patient",'QA Log'!Z:Z,"Approved"),"")</f>
        <v/>
      </c>
      <c r="BB326" s="102" t="str">
        <f>IF(A326="","",
  SUM(
    COUNTIFS('QA Log'!D:D,A326,'QA Log'!M:M,"Vignette",'QA Log'!Z:Z,"Rejected",'QA Log'!L:L,"*Vignette [1] Respiratory Infection: Pneumonia*"),
    COUNTIFS('QA Log'!D:D,A326,'QA Log'!M:M,"Vignette",'QA Log'!Z:Z,"Rejected",'QA Log'!L:L,"*Vignette [2]: Diarrhea with Cat B dehydration*"),
    COUNTIFS('QA Log'!D:D,A326,'QA Log'!M:M,"Vignette",'QA Log'!Z:Z,"Rejected",'QA Log'!L:L,"*Vignette [3] Growth Monitoring and Promotion*"),
    COUNTIFS('QA Log'!D:D,A326,'QA Log'!M:M,"Vignette",'QA Log'!Z:Z,"Rejected",'QA Log'!L:L,"*Vignette [4]: The management of presumptive TB patient*")
  )
)</f>
        <v/>
      </c>
      <c r="BC326" s="107" t="str">
        <f t="shared" si="35"/>
        <v/>
      </c>
      <c r="BD326" s="103" t="str">
        <f t="shared" si="36"/>
        <v/>
      </c>
      <c r="BE326" s="102" t="str">
        <f>IF(A326="","",SUM(
COUNTIFS('QA Log'!D:D,A326,'QA Log'!M:M,"Vignette",'QA Log'!L:L,"*Vignette [5] Labor*"),
COUNTIFS('QA Log'!D:D,A326,'QA Log'!M:M,"Vignette",'QA Log'!L:L,"*Vignette [6] PNC pre Discharge*"),
COUNTIFS('QA Log'!D:D,A326,'QA Log'!M:M,"Vignette",'QA Log'!L:L,"*Vignette [7] First ANC Visit*"),
COUNTIFS('QA Log'!D:D,A326,'QA Log'!M:M,"Vignette",'QA Log'!L:L,"*Vignette [8] Birth Spacing/ Family Planning :  FP Counselling*"),
COUNTIFS('QA Log'!D:D,A326,'QA Log'!M:M,"Vignette",'QA Log'!L:L,"*Vignette [9] Birth Spacing: Change FP method to Injectable*"),
COUNTIFS('QA Log'!D:D,A326,'QA Log'!M:M,"Vignette",'QA Log'!L:L,"*Vignette [10] Post Partum Haemorrhage - Atonic Uterus at Health Centre*"),
)
)</f>
        <v/>
      </c>
      <c r="BF326" s="102" t="str">
        <f>IF(A326="","",
  SUM(
    COUNTIFS('QA Log'!D:D,A326,'QA Log'!M:M,"Vignette",'QA Log'!Z:Z,"Approved",'QA Log'!L:L,"*Vignette [5] Labor*"),
    COUNTIFS('QA Log'!D:D,A326,'QA Log'!M:M,"Vignette",'QA Log'!Z:Z,"Approved",'QA Log'!L:L,"*Vignette [6] PNC pre Discharge*"),
    COUNTIFS('QA Log'!D:D,A326,'QA Log'!M:M,"Vignette",'QA Log'!Z:Z,"Approved",'QA Log'!L:L,"*Vignette [7] First ANC Visit*"),
    COUNTIFS('QA Log'!D:D,A326,'QA Log'!M:M,"Vignette",'QA Log'!Z:Z,"Approved",'QA Log'!L:L,"*Vignette [8] Birth Spacing/ Family Planning :  FP Counselling*"),
    COUNTIFS('QA Log'!D:D,A326,'QA Log'!M:M,"Vignette",'QA Log'!Z:Z,"Approved",'QA Log'!L:L,"*Vignette [9] Birth Spacing: Change FP method to Injectable*"),
    COUNTIFS('QA Log'!D:D,A326,'QA Log'!M:M,"Vignette",'QA Log'!Z:Z,"Approved",'QA Log'!L:L,"*Vignette [10] Post Partum Haemorrhage - Atonic Uterus at Health Centre*")
  )
)</f>
        <v/>
      </c>
      <c r="BG326" s="105" t="str">
        <f>IF(A326&lt;&gt;"",COUNTIFS('QA Log'!D:D,A326,'QA Log'!M:M,"Vignette",'QA Log'!L:L,"Vignette [5] Labor",'QA Log'!Z:Z,"Approved"),"")</f>
        <v/>
      </c>
      <c r="BH326" s="105" t="str">
        <f>IF(A326&lt;&gt;"",COUNTIFS('QA Log'!D:D,A326,'QA Log'!M:M,"Vignette",'QA Log'!L:L,"Vignette [6] PNC pre Discharge",'QA Log'!Z:Z,"Approved"),"")</f>
        <v/>
      </c>
      <c r="BI326" s="105" t="str">
        <f>IF(A326&lt;&gt;"",COUNTIFS('QA Log'!D:D,A326,'QA Log'!M:M,"Vignette",'QA Log'!L:L,"Vignette [7] First ANC Visit",'QA Log'!Z:Z,"Approved"),"")</f>
        <v/>
      </c>
      <c r="BJ326" s="105" t="str">
        <f>IF(A326&lt;&gt;"",COUNTIFS('QA Log'!D:D,A326,'QA Log'!M:M,"Vignette",'QA Log'!L:L,"Vignette [8] Birth Spacing/ Family Planning :  FP Counselling",'QA Log'!Z:Z,"Approved"),"")</f>
        <v/>
      </c>
      <c r="BK326" s="105" t="str">
        <f>IF(A326&lt;&gt;"",COUNTIFS('QA Log'!D:D,A326,'QA Log'!M:M,"Vignette",'QA Log'!L:L,"Vignette [9] Birth Spacing: Change FP method to Injectable",'QA Log'!Z:Z,"Approved"),"")</f>
        <v/>
      </c>
      <c r="BL326" s="105" t="str">
        <f>IF(A326&lt;&gt;"",COUNTIFS('QA Log'!D:D,A326,'QA Log'!M:M,"Vignette",'QA Log'!L:L,"Vignette [10] Post Partum Haemorrhage - Atonic Uterus at Health Centre",'QA Log'!Z:Z,"Approved"),"")</f>
        <v/>
      </c>
      <c r="BM326" s="102" t="str">
        <f>IF(A326="","",SUM(
    COUNTIFS('QA Log'!D:D,A326,'QA Log'!M:M,"Vignette",'QA Log'!Z:Z,"Rejected",'QA Log'!L:L,"*Vignette [5] Labor*"),
    COUNTIFS('QA Log'!D:D,A326,'QA Log'!M:M,"Vignette",'QA Log'!Z:Z,"Rejected",'QA Log'!L:L,"*Vignette [6] PNC pre Discharge*"),
    COUNTIFS('QA Log'!D:D,A326,'QA Log'!M:M,"Vignette",'QA Log'!Z:Z,"Rejected",'QA Log'!L:L,"*Vignette [7] First ANC Visit*"),
    COUNTIFS('QA Log'!D:D,A326,'QA Log'!M:M,"Vignette",'QA Log'!Z:Z,"Rejected",'QA Log'!L:L,"*Vignette [8] Birth Spacing/ Family Planning :  FP Counselling*"),
    COUNTIFS('QA Log'!D:D,A326,'QA Log'!M:M,"Vignette",'QA Log'!Z:Z,"Rejected",'QA Log'!L:L,"*Vignette [9] Birth Spacing: Change FP method to Injectable*"),
    COUNTIFS('QA Log'!D:D,A326,'QA Log'!M:M,"Vignette",'QA Log'!Z:Z,"Rejected",'QA Log'!L:L,"*Vignette [10] Post Partum Haemorrhage - Atonic Uterus at Health Centre*")
  )
)</f>
        <v/>
      </c>
      <c r="BN326" s="107" t="str">
        <f t="shared" si="37"/>
        <v/>
      </c>
      <c r="BO326" s="103" t="str">
        <f t="shared" si="38"/>
        <v/>
      </c>
      <c r="BP326" s="102" t="str">
        <f>IF(A326="","",SUM(
COUNTIFS('QA Log'!D:D,A326,'QA Log'!M:M,"Vignette",'QA Log'!L:L,"*Exit Interview 1*"),
COUNTIFS('QA Log'!D:D,A326,'QA Log'!M:M,"Vignette",'QA Log'!L:L,"*Exit Interview 2*"),
)
)</f>
        <v/>
      </c>
      <c r="BQ326" s="102" t="str">
        <f>IF(
  A326="","",
  SUM(
    COUNTIFS('QA Log'!D:D,A326,'QA Log'!M:M,"Vignette",'QA Log'!Z:Z,"Approved",'QA Log'!L:L,"*Exit Interview 1*"),
    COUNTIFS('QA Log'!D:D,A326,'QA Log'!M:M,"Vignette",'QA Log'!Z:Z,"Approved",'QA Log'!L:L,"*Exit Interview 2*")
  )
)</f>
        <v/>
      </c>
      <c r="BR326" s="105" t="str">
        <f>IF(A326&lt;&gt;"",COUNTIFS('QA Log'!D:D,A326,'QA Log'!M:M,"Vignette",'QA Log'!L:L,"Exit Interview 1",'QA Log'!Z:Z,"Approved"),"")</f>
        <v/>
      </c>
      <c r="BS326" s="105" t="str">
        <f>IF(A326&lt;&gt;"",COUNTIFS('QA Log'!D:D,A326,'QA Log'!M:M,"Vignette",'QA Log'!L:L,"Exit Interview 2",'QA Log'!Z:Z,"Approved"),"")</f>
        <v/>
      </c>
      <c r="BT326" s="102" t="str">
        <f>IF(
  A326="","",
  SUM(
    COUNTIFS('QA Log'!D:D,A326,'QA Log'!M:M,"Vignette",'QA Log'!Z:Z,"Rejected",'QA Log'!L:L,"*Exit Interview 1*"),
    COUNTIFS('QA Log'!D:D,A326,'QA Log'!M:M,"Vignette",'QA Log'!Z:Z,"Rejected",'QA Log'!L:L,"*Exit Interview 2*")
  )
)</f>
        <v/>
      </c>
      <c r="BU326" s="107" t="str">
        <f t="shared" si="39"/>
        <v/>
      </c>
      <c r="BV326" s="102" t="str">
        <f t="shared" si="40"/>
        <v/>
      </c>
      <c r="BW326" s="102" t="str">
        <f t="shared" si="41"/>
        <v/>
      </c>
      <c r="BX326" s="102" t="str">
        <f t="shared" si="42"/>
        <v/>
      </c>
      <c r="BY326" s="102" t="str">
        <f t="shared" si="43"/>
        <v/>
      </c>
      <c r="BZ326" s="107" t="str">
        <f t="shared" si="44"/>
        <v/>
      </c>
      <c r="CA326" s="108" t="str">
        <f t="shared" si="45"/>
        <v/>
      </c>
      <c r="CB326" s="108" t="str">
        <f t="shared" si="46"/>
        <v/>
      </c>
      <c r="CC326" s="109" t="str">
        <f t="shared" si="47"/>
        <v/>
      </c>
      <c r="CD326" s="108" t="str">
        <f t="shared" si="48"/>
        <v/>
      </c>
      <c r="CE326" s="108" t="str">
        <f t="shared" si="49"/>
        <v/>
      </c>
      <c r="CF326" s="109" t="str">
        <f t="shared" si="50"/>
        <v/>
      </c>
      <c r="CG326" s="110" t="str">
        <f t="shared" si="51"/>
        <v/>
      </c>
      <c r="CH326" s="111"/>
    </row>
    <row r="327" spans="1:86" ht="12.75">
      <c r="A327" s="101"/>
      <c r="B327" s="102" t="e">
        <f t="array" aca="1" ref="B327" ca="1">_xludf.XLOOKUP(A327,'QA Log'!D:D,'QA Log'!E:E,"")</f>
        <v>#NAME?</v>
      </c>
      <c r="C327" s="102" t="e">
        <f t="array" aca="1" ref="C327" ca="1">_xludf.XLOOKUP(A327,'QA Log'!D:D,'QA Log'!F:F,"")</f>
        <v>#NAME?</v>
      </c>
      <c r="D327" s="102" t="e">
        <f t="array" aca="1" ref="D327" ca="1">_xludf.XLOOKUP(A327,'QA Log'!D:D,'QA Log'!H:H,"")</f>
        <v>#NAME?</v>
      </c>
      <c r="E327" s="102" t="e">
        <f t="array" aca="1" ref="E327" ca="1">_xludf.XLOOKUP(A327,'QA Log'!D:D,'QA Log'!G:G,"")</f>
        <v>#NAME?</v>
      </c>
      <c r="F327" s="103"/>
      <c r="G327" s="104"/>
      <c r="H327" s="104"/>
      <c r="I327" s="103" t="str">
        <f t="shared" si="26"/>
        <v/>
      </c>
      <c r="J327" s="102" t="str">
        <f>IF(A327="","",SUM(
COUNTIFS('QA Log'!D:D,A327,'QA Log'!M:M,"QQC",'QA Log'!L:L,"*1. General Management*"),
COUNTIFS('QA Log'!D:D,A327,'QA Log'!M:M,"QQC",'QA Log'!L:L,"*3. Curative Consultation (OPD)*"),
COUNTIFS('QA Log'!D:D,A327,'QA Log'!M:M,"QQC",'QA Log'!L:L,"*5. Laboratory*"),
COUNTIFS('QA Log'!D:D,A327,'QA Log'!M:M,"QQC",'QA Log'!L:L,"*6. Essential Medicine Management*"),
COUNTIFS('QA Log'!D:D,A327,'QA Log'!M:M,"QQC",'QA Log'!L:L,"*7. Tracer Medicine*"),
COUNTIFS('QA Log'!D:D,A327,'QA Log'!M:M,"QQC",'QA Log'!L:L,"*11. Additional Questions*")))</f>
        <v/>
      </c>
      <c r="K327" s="102" t="str">
        <f>IF(A327="","",SUM(
COUNTIFS('QA Log'!D:D,A327,'QA Log'!M:M,"QQC",'QA Log'!Z:Z,"Approved",'QA Log'!L:L,"*1. General Management*"),
COUNTIFS('QA Log'!D:D,A327,'QA Log'!M:M,"QQC",'QA Log'!Z:Z,"Approved",'QA Log'!L:L,"*3. Curative Consultation (OPD)*"),
COUNTIFS('QA Log'!D:D,A327,'QA Log'!M:M,"QQC",'QA Log'!Z:Z,"Approved",'QA Log'!L:L,"*5. Laboratory*"),
COUNTIFS('QA Log'!D:D,A327,'QA Log'!M:M,"QQC",'QA Log'!Z:Z,"Approved",'QA Log'!L:L,"*6. Essential Medicine Management*"),
COUNTIFS('QA Log'!D:D,A327,'QA Log'!M:M,"QQC",'QA Log'!Z:Z,"Approved",'QA Log'!L:L,"*7. Tracer Medicine*"),
COUNTIFS('QA Log'!D:D,A327,'QA Log'!M:M,"QQC",'QA Log'!Z:Z,"Approved",'QA Log'!L:L,"*11. Additional Questions*")))</f>
        <v/>
      </c>
      <c r="L327" s="105" t="str">
        <f>IF(A327&lt;&gt;"",COUNTIFS('QA Log'!D:D,A327,'QA Log'!M:M,"QQC",'QA Log'!L:L,"1. General Management",'QA Log'!Z:Z,"Approved"),"")</f>
        <v/>
      </c>
      <c r="M327" s="105" t="str">
        <f>IF(A327&lt;&gt;"",COUNTIFS('QA Log'!D:D,A327,'QA Log'!M:M,"QQC",'QA Log'!L:L,"3. Curative Consultation (OPD)",'QA Log'!Z:Z,"Approved"),"")</f>
        <v/>
      </c>
      <c r="N327" s="105" t="str">
        <f>IF(A327&lt;&gt;"",COUNTIFS('QA Log'!D:D,A327,'QA Log'!M:M,"QQC",'QA Log'!L:L,"5. Laboratory",'QA Log'!Z:Z,"Approved"),"")</f>
        <v/>
      </c>
      <c r="O327" s="105" t="str">
        <f>IF(A327&lt;&gt;"",COUNTIFS('QA Log'!D:D,A327,'QA Log'!M:M,"QQC",'QA Log'!L:L,"6. Essential Medicine Management",'QA Log'!Z:Z,"Approved"),"")</f>
        <v/>
      </c>
      <c r="P327" s="105" t="str">
        <f>IF(A327&lt;&gt;"",COUNTIFS('QA Log'!D:D,A327,'QA Log'!M:M,"QQC",'QA Log'!L:L,"7. Tracer Medicine",'QA Log'!Z:Z,"Approved"),"")</f>
        <v/>
      </c>
      <c r="Q327" s="105" t="str">
        <f>IF(A327&lt;&gt;"",COUNTIFS('QA Log'!D:D,A327,'QA Log'!M:M,"QQC",'QA Log'!L:L,"11. Additional Questions",'QA Log'!Z:Z,"Approved"),"")</f>
        <v/>
      </c>
      <c r="R327" s="102" t="str">
        <f>IF(A327="","",SUM(
COUNTIFS('QA Log'!D:D,A327,'QA Log'!M:M,"QQC",'QA Log'!Z:Z,"Rejected",'QA Log'!L:L,"*8. Maternity*"),
COUNTIFS('QA Log'!D:D,A327,'QA Log'!M:M,"QQC",'QA Log'!Z:Z,"Rejected",'QA Log'!L:L,"*EPI*"),
COUNTIFS('QA Log'!D:D,A327,'QA Log'!M:M,"QQC",'QA Log'!Z:Z,"Rejected",'QA Log'!L:L,"*10. Antenatal Care (ANC)*"),
COUNTIFS('QA Log'!D:D,A327,'QA Log'!M:M,"QQC",'QA Log'!Z:Z,"Rejected",'QA Log'!L:L,"*2. Hygiene and Sterilization*"),
COUNTIFS('QA Log'!D:D,A327,'QA Log'!M:M,"QQC",'QA Log'!Z:Z,"Rejected",'QA Log'!L:L,"*Family Planning*")))</f>
        <v/>
      </c>
      <c r="S327" s="106" t="str">
        <f t="shared" si="27"/>
        <v/>
      </c>
      <c r="T327" s="102" t="str">
        <f t="shared" si="28"/>
        <v/>
      </c>
      <c r="U327" s="102" t="str">
        <f>IF(A327="","",
SUM(
COUNTIFS('QA Log'!D:D,A327,'QA Log'!M:M,"QQC",'QA Log'!L:L,"*8. Maternity*"),
COUNTIFS('QA Log'!D:D,A327,'QA Log'!M:M,"QQC",'QA Log'!L:L,"*9. EPI and Pre-school Consultation*"),
COUNTIFS('QA Log'!D:D,A327,'QA Log'!M:M,"QQC",'QA Log'!L:L,"*10. Antenatal Care (ANC)*"),
COUNTIFS('QA Log'!D:D,A327,'QA Log'!M:M,"QQC",'QA Log'!L:L,"*2. Hygiene and Sterilization*"),
COUNTIFS('QA Log'!D:D,A327,'QA Log'!M:M,"QQC",'QA Log'!L:L,"*4. Family Planning*")
))</f>
        <v/>
      </c>
      <c r="V327" s="102" t="str">
        <f>IF(A327="","",
SUM(
COUNTIFS('QA Log'!D:D,A327,'QA Log'!M:M,"QQC",'QA Log'!Z:Z,"Approved",'QA Log'!L:L,"*8. Maternity*"),
COUNTIFS('QA Log'!D:D,A327,'QA Log'!M:M,"QQC",'QA Log'!Z:Z,"Approved",'QA Log'!L:L,"*9. EPI and Pre-school Consultation*"),
COUNTIFS('QA Log'!D:D,A327,'QA Log'!M:M,"QQC",'QA Log'!Z:Z,"Approved",'QA Log'!L:L,"*10. Antenatal Care (ANC)*"),
COUNTIFS('QA Log'!D:D,A327,'QA Log'!M:M,"QQC",'QA Log'!Z:Z,"Approved",'QA Log'!L:L,"*2. Hygiene and Sterilization*"),
COUNTIFS('QA Log'!D:D,A327,'QA Log'!M:M,"QQC",'QA Log'!Z:Z,"Approved",'QA Log'!L:L,"*4. Family Planning*")
))</f>
        <v/>
      </c>
      <c r="W327" s="105" t="str">
        <f>IF(A327&lt;&gt;"",COUNTIFS('QA Log'!D:D,A327,'QA Log'!M:M,"QQC",'QA Log'!L:L,"8. Maternity",'QA Log'!Z:Z,"Approved"),"")</f>
        <v/>
      </c>
      <c r="X327" s="105" t="str">
        <f>IF(A327&lt;&gt;"",COUNTIFS('QA Log'!D:D,A327,'QA Log'!M:M,"QQC",'QA Log'!L:L,"9. EPI and Pre-school Consultation",'QA Log'!Z:Z,"Approved"),"")</f>
        <v/>
      </c>
      <c r="Y327" s="105" t="str">
        <f>IF(A327&lt;&gt;"",COUNTIFS('QA Log'!D:D,A327,'QA Log'!M:M,"QQC",'QA Log'!L:L,"10. Antenatal Care (ANC)",'QA Log'!Z:Z,"Approved"),"")</f>
        <v/>
      </c>
      <c r="Z327" s="105" t="str">
        <f>IF(A327&lt;&gt;"",COUNTIFS('QA Log'!D:D,A327,'QA Log'!M:M,"QQC",'QA Log'!L:L,"2. Hygiene and Sterilization",'QA Log'!Z:Z,"Approved"),"")</f>
        <v/>
      </c>
      <c r="AA327" s="105" t="str">
        <f>IF(A327&lt;&gt;"",COUNTIFS('QA Log'!D:D,A327,'QA Log'!M:M,"QQC",'QA Log'!L:L,"4. Family Planning",'QA Log'!Z:Z,"Approved"),"")</f>
        <v/>
      </c>
      <c r="AB327" s="102" t="str">
        <f>IF(A327="","",
SUM(
COUNTIFS('QA Log'!D:D,A327,'QA Log'!M:M,"QQC",'QA Log'!Z:Z,"Rejected",'QA Log'!L:L,"*8. Maternity*"),
COUNTIFS('QA Log'!D:D,A327,'QA Log'!M:M,"QQC",'QA Log'!Z:Z,"Rejected",'QA Log'!L:L,"*9. EPI and Pre-school Consultation*"),
COUNTIFS('QA Log'!D:D,A327,'QA Log'!M:M,"QQC",'QA Log'!Z:Z,"Rejected",'QA Log'!L:L,"*10. Antenatal Care (ANC)*"),
COUNTIFS('QA Log'!D:D,A327,'QA Log'!M:M,"QQC",'QA Log'!Z:Z,"Rejected",'QA Log'!L:L,"*2. Hygiene and Sterilization*"),
COUNTIFS('QA Log'!D:D,A327,'QA Log'!M:M,"QQC",'QA Log'!Z:Z,"Rejected",'QA Log'!L:L,"*4. Family Planning*")
))</f>
        <v/>
      </c>
      <c r="AC327" s="102" t="str">
        <f t="shared" si="29"/>
        <v/>
      </c>
      <c r="AD327" s="103" t="str">
        <f t="shared" si="30"/>
        <v/>
      </c>
      <c r="AE327" s="102" t="str">
        <f>IF(A327="","",
SUM(
COUNTIFS('QA Log'!D:D,A327,'QA Log'!M:M,"Data Verification",'QA Log'!L:L,"*Medicine (section 2)*"),
COUNTIFS('QA Log'!D:D,A327,'QA Log'!M:M,"Data Verification",'QA Log'!L:L,"*Lab Testing Availability*"),
COUNTIFS('QA Log'!D:D,A327,'QA Log'!M:M,"Data Verification",'QA Log'!L:L,"*Other than P4P (section 6)*"),
COUNTIFS('QA Log'!D:D,A327,'QA Log'!M:M,"Data Verification",'QA Log'!L:L,"*Hospital Governance*")
))</f>
        <v/>
      </c>
      <c r="AF327" s="102" t="str">
        <f>IF(A327="","",
SUM(
COUNTIFS('QA Log'!D:D,A327,'QA Log'!M:M,"Data Verification",'QA Log'!Z:Z,"Approved",'QA Log'!L:L,"*Medicine (section 2)*"),
COUNTIFS('QA Log'!D:D,A327,'QA Log'!M:M,"Data Verification",'QA Log'!Z:Z,"Approved",'QA Log'!L:L,"*Lab Testing Availability*"),
COUNTIFS('QA Log'!D:D,A327,'QA Log'!M:M,"Data Verification",'QA Log'!Z:Z,"Approved",'QA Log'!L:L,"*Other than P4P (section 6)*"),
COUNTIFS('QA Log'!D:D,A327,'QA Log'!M:M,"Data Verification",'QA Log'!Z:Z,"Approved",'QA Log'!L:L,"*Hospital Governance*")
))</f>
        <v/>
      </c>
      <c r="AG327" s="105" t="str">
        <f>IF(A327&lt;&gt;"",COUNTIFS('QA Log'!D:D,A327,'QA Log'!M:M,"Data Verification",'QA Log'!L:L,"Medicine (section 2)",'QA Log'!Z:Z,"Approved"),"")</f>
        <v/>
      </c>
      <c r="AH327" s="105" t="str">
        <f>IF(A327&lt;&gt;"",COUNTIFS('QA Log'!D:D,A327,'QA Log'!M:M,"Data Verification",'QA Log'!L:L,"Lab Testing Availability",'QA Log'!Z:Z,"Approved"),"")</f>
        <v/>
      </c>
      <c r="AI327" s="105" t="str">
        <f>IF(A327&lt;&gt;"",COUNTIFS('QA Log'!D:D,A327,'QA Log'!M:M,"Data Verification",'QA Log'!L:L,"Other than P4P (section 6)",'QA Log'!Z:Z,"Approved"),"")</f>
        <v/>
      </c>
      <c r="AJ327" s="105" t="str">
        <f>IF(A327&lt;&gt;"",COUNTIFS('QA Log'!D:D,A327,'QA Log'!M:M,"Data Verification",'QA Log'!L:L,"Hospital Governance",'QA Log'!Z:Z,"Approved"),"")</f>
        <v/>
      </c>
      <c r="AK327" s="102" t="str">
        <f>IF(A327="","",
SUM(
COUNTIFS('QA Log'!D:D,A327,'QA Log'!M:M,"Data Verification",'QA Log'!Z:Z,"Rejected",'QA Log'!L:L,"*Medicine (section 2)*"),
COUNTIFS('QA Log'!D:D,A327,'QA Log'!M:M,"Data Verification",'QA Log'!Z:Z,"Rejected",'QA Log'!L:L,"*Lab Testing Availability*"),
COUNTIFS('QA Log'!D:D,A327,'QA Log'!M:M,"Data Verification",'QA Log'!Z:Z,"Rejected",'QA Log'!L:L,"*Other than P4P (section 6)*"),
COUNTIFS('QA Log'!D:D,A327,'QA Log'!M:M,"Data Verification",'QA Log'!Z:Z,"Rejected",'QA Log'!L:L,"*Hospital Governance*")
))</f>
        <v/>
      </c>
      <c r="AL327" s="106" t="str">
        <f t="shared" si="31"/>
        <v/>
      </c>
      <c r="AM327" s="102" t="str">
        <f t="shared" si="32"/>
        <v/>
      </c>
      <c r="AN327" s="102" t="str">
        <f>IF(A327="","",
SUM(
COUNTIFS('QA Log'!D:D,A327,'QA Log'!M:M,"Data Verification",'QA Log'!L:L,"*Personnel (section 1)*"),
COUNTIFS('QA Log'!D:D,A327,'QA Log'!M:M,"Data Verification",'QA Log'!L:L,"*Consumable (section 3)*"),
COUNTIFS('QA Log'!D:D,A327,'QA Log'!M:M,"Data Verification",'QA Log'!L:L,"*Equipments (section 4)*")
))</f>
        <v/>
      </c>
      <c r="AO327" s="102" t="str">
        <f>IF(A327="","",
SUM(
COUNTIFS('QA Log'!D:D,A327,'QA Log'!M:M,"Data Verification",'QA Log'!Z:Z,"Approved",'QA Log'!L:L,"*Personnel (section 1)*"),
COUNTIFS('QA Log'!D:D,A327,'QA Log'!M:M,"Data Verification",'QA Log'!Z:Z,"Approved",'QA Log'!L:L,"*Consumable (section 3)*"),
COUNTIFS('QA Log'!D:D,A327,'QA Log'!M:M,"Data Verification",'QA Log'!Z:Z,"Approved",'QA Log'!L:L,"*Equipments (section 4)*")
))</f>
        <v/>
      </c>
      <c r="AP327" s="105" t="str">
        <f>IF(A327&lt;&gt;"",COUNTIFS('QA Log'!D:D,A327,'QA Log'!M:M,"Data Verification",'QA Log'!L:L,"Personnel (section 1)",'QA Log'!Z:Z,"Approved"),"")</f>
        <v/>
      </c>
      <c r="AQ327" s="105" t="str">
        <f>IF(A327&lt;&gt;"",COUNTIFS('QA Log'!D:D,A327,'QA Log'!M:M,"Data Verification",'QA Log'!L:L,"Consumable (section 3)",'QA Log'!Z:Z,"Approved"),"")</f>
        <v/>
      </c>
      <c r="AR327" s="105" t="str">
        <f>IF(A327&lt;&gt;"",COUNTIFS('QA Log'!D:D,A327,'QA Log'!M:M,"Data Verification",'QA Log'!L:L,"Equipments (section 4)",'QA Log'!Z:Z,"Approved"),"")</f>
        <v/>
      </c>
      <c r="AS327" s="102" t="str">
        <f>IF(A327="","",
SUM(
COUNTIFS('QA Log'!D:D,A327,'QA Log'!M:M,"Data Verification",'QA Log'!Z:Z,"Rejected",'QA Log'!L:L,"*Personnel (section 1)*"),
COUNTIFS('QA Log'!D:D,A327,'QA Log'!M:M,"Data Verification",'QA Log'!Z:Z,"Rejected",'QA Log'!L:L,"*Consumable (section 3)*"),
COUNTIFS('QA Log'!D:D,A327,'QA Log'!M:M,"Data Verification",'QA Log'!Z:Z,"Rejected",'QA Log'!L:L,"*Equipments (section 4)*")
))</f>
        <v/>
      </c>
      <c r="AT327" s="102" t="str">
        <f t="shared" si="33"/>
        <v/>
      </c>
      <c r="AU327" s="103" t="str">
        <f t="shared" si="34"/>
        <v/>
      </c>
      <c r="AV327" s="102" t="str">
        <f>IF(A327="","",SUM(
COUNTIFS('QA Log'!D:D,A327,'QA Log'!M:M,"Vignette",'QA Log'!L:L,"*Vignette [1] Respiratory Infection: Pneumonia*"),
COUNTIFS('QA Log'!D:D,A327,'QA Log'!M:M,"Vignette",'QA Log'!L:L,"*Vignette [2]: Diarrhea with Cat B dehydration*"),
COUNTIFS('QA Log'!D:D,A327,'QA Log'!M:M,"Vignette",'QA Log'!L:L,"*Vignette [3] Growth Monitoring and Promotion*"),
COUNTIFS('QA Log'!D:D,A327,'QA Log'!M:M,"Vignette",'QA Log'!L:L,"*Vignette [4]: The management of presumptive TB patient*")
)
)</f>
        <v/>
      </c>
      <c r="AW327" s="102" t="str">
        <f>IF(
  A327="","",
  SUM(
    COUNTIFS('QA Log'!D:D,A327,'QA Log'!M:M,"Vignette",'QA Log'!Z:Z,"Approved",'QA Log'!L:L,"*Vignette [1] Respiratory Infection: Pneumonia*"),
    COUNTIFS('QA Log'!D:D,A327,'QA Log'!M:M,"Vignette",'QA Log'!Z:Z,"Approved",'QA Log'!L:L,"*Vignette [2]: Diarrhea with Cat B dehydration*"),
    COUNTIFS('QA Log'!D:D,A327,'QA Log'!M:M,"Vignette",'QA Log'!Z:Z,"Approved",'QA Log'!L:L,"*Vignette [3] Growth Monitoring and Promotion*"),
    COUNTIFS('QA Log'!D:D,A327,'QA Log'!M:M,"Vignette",'QA Log'!Z:Z,"Approved",'QA Log'!L:L,"*Vignette [4]: The management of presumptive TB patient*")
  )
)</f>
        <v/>
      </c>
      <c r="AX327" s="105" t="str">
        <f>IF(A327&lt;&gt;"",COUNTIFS('QA Log'!D:D,A327,'QA Log'!M:M,"Vignette",'QA Log'!L:L,"Vignette [1] Respiratory Infection: Pneumonia",'QA Log'!Z:Z,"Approved"),"")</f>
        <v/>
      </c>
      <c r="AY327" s="105" t="str">
        <f>IF(A327&lt;&gt;"",COUNTIFS('QA Log'!D:D,A327,'QA Log'!M:M,"Vignette",'QA Log'!L:L,"Vignette [2]: Diarrhea with Cat B dehydration",'QA Log'!Z:Z,"Approved"),"")</f>
        <v/>
      </c>
      <c r="AZ327" s="105" t="str">
        <f>IF(A327&lt;&gt;"",COUNTIFS('QA Log'!D:D,A327,'QA Log'!M:M,"Vignette",'QA Log'!L:L,"Vignette [3] Growth Monitoring and Promotion",'QA Log'!Z:Z,"Approved"),"")</f>
        <v/>
      </c>
      <c r="BA327" s="105" t="str">
        <f>IF(A327&lt;&gt;"",COUNTIFS('QA Log'!D:D,A327,'QA Log'!M:M,"Vignette",'QA Log'!L:L,"Vignette [4]: The management of presumptive TB patient",'QA Log'!Z:Z,"Approved"),"")</f>
        <v/>
      </c>
      <c r="BB327" s="102" t="str">
        <f>IF(A327="","",
  SUM(
    COUNTIFS('QA Log'!D:D,A327,'QA Log'!M:M,"Vignette",'QA Log'!Z:Z,"Rejected",'QA Log'!L:L,"*Vignette [1] Respiratory Infection: Pneumonia*"),
    COUNTIFS('QA Log'!D:D,A327,'QA Log'!M:M,"Vignette",'QA Log'!Z:Z,"Rejected",'QA Log'!L:L,"*Vignette [2]: Diarrhea with Cat B dehydration*"),
    COUNTIFS('QA Log'!D:D,A327,'QA Log'!M:M,"Vignette",'QA Log'!Z:Z,"Rejected",'QA Log'!L:L,"*Vignette [3] Growth Monitoring and Promotion*"),
    COUNTIFS('QA Log'!D:D,A327,'QA Log'!M:M,"Vignette",'QA Log'!Z:Z,"Rejected",'QA Log'!L:L,"*Vignette [4]: The management of presumptive TB patient*")
  )
)</f>
        <v/>
      </c>
      <c r="BC327" s="107" t="str">
        <f t="shared" si="35"/>
        <v/>
      </c>
      <c r="BD327" s="103" t="str">
        <f t="shared" si="36"/>
        <v/>
      </c>
      <c r="BE327" s="102" t="str">
        <f>IF(A327="","",SUM(
COUNTIFS('QA Log'!D:D,A327,'QA Log'!M:M,"Vignette",'QA Log'!L:L,"*Vignette [5] Labor*"),
COUNTIFS('QA Log'!D:D,A327,'QA Log'!M:M,"Vignette",'QA Log'!L:L,"*Vignette [6] PNC pre Discharge*"),
COUNTIFS('QA Log'!D:D,A327,'QA Log'!M:M,"Vignette",'QA Log'!L:L,"*Vignette [7] First ANC Visit*"),
COUNTIFS('QA Log'!D:D,A327,'QA Log'!M:M,"Vignette",'QA Log'!L:L,"*Vignette [8] Birth Spacing/ Family Planning :  FP Counselling*"),
COUNTIFS('QA Log'!D:D,A327,'QA Log'!M:M,"Vignette",'QA Log'!L:L,"*Vignette [9] Birth Spacing: Change FP method to Injectable*"),
COUNTIFS('QA Log'!D:D,A327,'QA Log'!M:M,"Vignette",'QA Log'!L:L,"*Vignette [10] Post Partum Haemorrhage - Atonic Uterus at Health Centre*"),
)
)</f>
        <v/>
      </c>
      <c r="BF327" s="102" t="str">
        <f>IF(A327="","",
  SUM(
    COUNTIFS('QA Log'!D:D,A327,'QA Log'!M:M,"Vignette",'QA Log'!Z:Z,"Approved",'QA Log'!L:L,"*Vignette [5] Labor*"),
    COUNTIFS('QA Log'!D:D,A327,'QA Log'!M:M,"Vignette",'QA Log'!Z:Z,"Approved",'QA Log'!L:L,"*Vignette [6] PNC pre Discharge*"),
    COUNTIFS('QA Log'!D:D,A327,'QA Log'!M:M,"Vignette",'QA Log'!Z:Z,"Approved",'QA Log'!L:L,"*Vignette [7] First ANC Visit*"),
    COUNTIFS('QA Log'!D:D,A327,'QA Log'!M:M,"Vignette",'QA Log'!Z:Z,"Approved",'QA Log'!L:L,"*Vignette [8] Birth Spacing/ Family Planning :  FP Counselling*"),
    COUNTIFS('QA Log'!D:D,A327,'QA Log'!M:M,"Vignette",'QA Log'!Z:Z,"Approved",'QA Log'!L:L,"*Vignette [9] Birth Spacing: Change FP method to Injectable*"),
    COUNTIFS('QA Log'!D:D,A327,'QA Log'!M:M,"Vignette",'QA Log'!Z:Z,"Approved",'QA Log'!L:L,"*Vignette [10] Post Partum Haemorrhage - Atonic Uterus at Health Centre*")
  )
)</f>
        <v/>
      </c>
      <c r="BG327" s="105" t="str">
        <f>IF(A327&lt;&gt;"",COUNTIFS('QA Log'!D:D,A327,'QA Log'!M:M,"Vignette",'QA Log'!L:L,"Vignette [5] Labor",'QA Log'!Z:Z,"Approved"),"")</f>
        <v/>
      </c>
      <c r="BH327" s="105" t="str">
        <f>IF(A327&lt;&gt;"",COUNTIFS('QA Log'!D:D,A327,'QA Log'!M:M,"Vignette",'QA Log'!L:L,"Vignette [6] PNC pre Discharge",'QA Log'!Z:Z,"Approved"),"")</f>
        <v/>
      </c>
      <c r="BI327" s="105" t="str">
        <f>IF(A327&lt;&gt;"",COUNTIFS('QA Log'!D:D,A327,'QA Log'!M:M,"Vignette",'QA Log'!L:L,"Vignette [7] First ANC Visit",'QA Log'!Z:Z,"Approved"),"")</f>
        <v/>
      </c>
      <c r="BJ327" s="105" t="str">
        <f>IF(A327&lt;&gt;"",COUNTIFS('QA Log'!D:D,A327,'QA Log'!M:M,"Vignette",'QA Log'!L:L,"Vignette [8] Birth Spacing/ Family Planning :  FP Counselling",'QA Log'!Z:Z,"Approved"),"")</f>
        <v/>
      </c>
      <c r="BK327" s="105" t="str">
        <f>IF(A327&lt;&gt;"",COUNTIFS('QA Log'!D:D,A327,'QA Log'!M:M,"Vignette",'QA Log'!L:L,"Vignette [9] Birth Spacing: Change FP method to Injectable",'QA Log'!Z:Z,"Approved"),"")</f>
        <v/>
      </c>
      <c r="BL327" s="105" t="str">
        <f>IF(A327&lt;&gt;"",COUNTIFS('QA Log'!D:D,A327,'QA Log'!M:M,"Vignette",'QA Log'!L:L,"Vignette [10] Post Partum Haemorrhage - Atonic Uterus at Health Centre",'QA Log'!Z:Z,"Approved"),"")</f>
        <v/>
      </c>
      <c r="BM327" s="102" t="str">
        <f>IF(A327="","",SUM(
    COUNTIFS('QA Log'!D:D,A327,'QA Log'!M:M,"Vignette",'QA Log'!Z:Z,"Rejected",'QA Log'!L:L,"*Vignette [5] Labor*"),
    COUNTIFS('QA Log'!D:D,A327,'QA Log'!M:M,"Vignette",'QA Log'!Z:Z,"Rejected",'QA Log'!L:L,"*Vignette [6] PNC pre Discharge*"),
    COUNTIFS('QA Log'!D:D,A327,'QA Log'!M:M,"Vignette",'QA Log'!Z:Z,"Rejected",'QA Log'!L:L,"*Vignette [7] First ANC Visit*"),
    COUNTIFS('QA Log'!D:D,A327,'QA Log'!M:M,"Vignette",'QA Log'!Z:Z,"Rejected",'QA Log'!L:L,"*Vignette [8] Birth Spacing/ Family Planning :  FP Counselling*"),
    COUNTIFS('QA Log'!D:D,A327,'QA Log'!M:M,"Vignette",'QA Log'!Z:Z,"Rejected",'QA Log'!L:L,"*Vignette [9] Birth Spacing: Change FP method to Injectable*"),
    COUNTIFS('QA Log'!D:D,A327,'QA Log'!M:M,"Vignette",'QA Log'!Z:Z,"Rejected",'QA Log'!L:L,"*Vignette [10] Post Partum Haemorrhage - Atonic Uterus at Health Centre*")
  )
)</f>
        <v/>
      </c>
      <c r="BN327" s="107" t="str">
        <f t="shared" si="37"/>
        <v/>
      </c>
      <c r="BO327" s="103" t="str">
        <f t="shared" si="38"/>
        <v/>
      </c>
      <c r="BP327" s="102" t="str">
        <f>IF(A327="","",SUM(
COUNTIFS('QA Log'!D:D,A327,'QA Log'!M:M,"Vignette",'QA Log'!L:L,"*Exit Interview 1*"),
COUNTIFS('QA Log'!D:D,A327,'QA Log'!M:M,"Vignette",'QA Log'!L:L,"*Exit Interview 2*"),
)
)</f>
        <v/>
      </c>
      <c r="BQ327" s="102" t="str">
        <f>IF(
  A327="","",
  SUM(
    COUNTIFS('QA Log'!D:D,A327,'QA Log'!M:M,"Vignette",'QA Log'!Z:Z,"Approved",'QA Log'!L:L,"*Exit Interview 1*"),
    COUNTIFS('QA Log'!D:D,A327,'QA Log'!M:M,"Vignette",'QA Log'!Z:Z,"Approved",'QA Log'!L:L,"*Exit Interview 2*")
  )
)</f>
        <v/>
      </c>
      <c r="BR327" s="105" t="str">
        <f>IF(A327&lt;&gt;"",COUNTIFS('QA Log'!D:D,A327,'QA Log'!M:M,"Vignette",'QA Log'!L:L,"Exit Interview 1",'QA Log'!Z:Z,"Approved"),"")</f>
        <v/>
      </c>
      <c r="BS327" s="105" t="str">
        <f>IF(A327&lt;&gt;"",COUNTIFS('QA Log'!D:D,A327,'QA Log'!M:M,"Vignette",'QA Log'!L:L,"Exit Interview 2",'QA Log'!Z:Z,"Approved"),"")</f>
        <v/>
      </c>
      <c r="BT327" s="102" t="str">
        <f>IF(
  A327="","",
  SUM(
    COUNTIFS('QA Log'!D:D,A327,'QA Log'!M:M,"Vignette",'QA Log'!Z:Z,"Rejected",'QA Log'!L:L,"*Exit Interview 1*"),
    COUNTIFS('QA Log'!D:D,A327,'QA Log'!M:M,"Vignette",'QA Log'!Z:Z,"Rejected",'QA Log'!L:L,"*Exit Interview 2*")
  )
)</f>
        <v/>
      </c>
      <c r="BU327" s="107" t="str">
        <f t="shared" si="39"/>
        <v/>
      </c>
      <c r="BV327" s="102" t="str">
        <f t="shared" si="40"/>
        <v/>
      </c>
      <c r="BW327" s="102" t="str">
        <f t="shared" si="41"/>
        <v/>
      </c>
      <c r="BX327" s="102" t="str">
        <f t="shared" si="42"/>
        <v/>
      </c>
      <c r="BY327" s="102" t="str">
        <f t="shared" si="43"/>
        <v/>
      </c>
      <c r="BZ327" s="107" t="str">
        <f t="shared" si="44"/>
        <v/>
      </c>
      <c r="CA327" s="108" t="str">
        <f t="shared" si="45"/>
        <v/>
      </c>
      <c r="CB327" s="108" t="str">
        <f t="shared" si="46"/>
        <v/>
      </c>
      <c r="CC327" s="109" t="str">
        <f t="shared" si="47"/>
        <v/>
      </c>
      <c r="CD327" s="108" t="str">
        <f t="shared" si="48"/>
        <v/>
      </c>
      <c r="CE327" s="108" t="str">
        <f t="shared" si="49"/>
        <v/>
      </c>
      <c r="CF327" s="109" t="str">
        <f t="shared" si="50"/>
        <v/>
      </c>
      <c r="CG327" s="110" t="str">
        <f t="shared" si="51"/>
        <v/>
      </c>
      <c r="CH327" s="111"/>
    </row>
    <row r="328" spans="1:86" ht="12.75">
      <c r="A328" s="101"/>
      <c r="B328" s="102" t="e">
        <f t="array" aca="1" ref="B328" ca="1">_xludf.XLOOKUP(A328,'QA Log'!D:D,'QA Log'!E:E,"")</f>
        <v>#NAME?</v>
      </c>
      <c r="C328" s="102" t="e">
        <f t="array" aca="1" ref="C328" ca="1">_xludf.XLOOKUP(A328,'QA Log'!D:D,'QA Log'!F:F,"")</f>
        <v>#NAME?</v>
      </c>
      <c r="D328" s="102" t="e">
        <f t="array" aca="1" ref="D328" ca="1">_xludf.XLOOKUP(A328,'QA Log'!D:D,'QA Log'!H:H,"")</f>
        <v>#NAME?</v>
      </c>
      <c r="E328" s="102" t="e">
        <f t="array" aca="1" ref="E328" ca="1">_xludf.XLOOKUP(A328,'QA Log'!D:D,'QA Log'!G:G,"")</f>
        <v>#NAME?</v>
      </c>
      <c r="F328" s="103"/>
      <c r="G328" s="104"/>
      <c r="H328" s="104"/>
      <c r="I328" s="103" t="str">
        <f t="shared" si="26"/>
        <v/>
      </c>
      <c r="J328" s="102" t="str">
        <f>IF(A328="","",SUM(
COUNTIFS('QA Log'!D:D,A328,'QA Log'!M:M,"QQC",'QA Log'!L:L,"*1. General Management*"),
COUNTIFS('QA Log'!D:D,A328,'QA Log'!M:M,"QQC",'QA Log'!L:L,"*3. Curative Consultation (OPD)*"),
COUNTIFS('QA Log'!D:D,A328,'QA Log'!M:M,"QQC",'QA Log'!L:L,"*5. Laboratory*"),
COUNTIFS('QA Log'!D:D,A328,'QA Log'!M:M,"QQC",'QA Log'!L:L,"*6. Essential Medicine Management*"),
COUNTIFS('QA Log'!D:D,A328,'QA Log'!M:M,"QQC",'QA Log'!L:L,"*7. Tracer Medicine*"),
COUNTIFS('QA Log'!D:D,A328,'QA Log'!M:M,"QQC",'QA Log'!L:L,"*11. Additional Questions*")))</f>
        <v/>
      </c>
      <c r="K328" s="102" t="str">
        <f>IF(A328="","",SUM(
COUNTIFS('QA Log'!D:D,A328,'QA Log'!M:M,"QQC",'QA Log'!Z:Z,"Approved",'QA Log'!L:L,"*1. General Management*"),
COUNTIFS('QA Log'!D:D,A328,'QA Log'!M:M,"QQC",'QA Log'!Z:Z,"Approved",'QA Log'!L:L,"*3. Curative Consultation (OPD)*"),
COUNTIFS('QA Log'!D:D,A328,'QA Log'!M:M,"QQC",'QA Log'!Z:Z,"Approved",'QA Log'!L:L,"*5. Laboratory*"),
COUNTIFS('QA Log'!D:D,A328,'QA Log'!M:M,"QQC",'QA Log'!Z:Z,"Approved",'QA Log'!L:L,"*6. Essential Medicine Management*"),
COUNTIFS('QA Log'!D:D,A328,'QA Log'!M:M,"QQC",'QA Log'!Z:Z,"Approved",'QA Log'!L:L,"*7. Tracer Medicine*"),
COUNTIFS('QA Log'!D:D,A328,'QA Log'!M:M,"QQC",'QA Log'!Z:Z,"Approved",'QA Log'!L:L,"*11. Additional Questions*")))</f>
        <v/>
      </c>
      <c r="L328" s="105" t="str">
        <f>IF(A328&lt;&gt;"",COUNTIFS('QA Log'!D:D,A328,'QA Log'!M:M,"QQC",'QA Log'!L:L,"1. General Management",'QA Log'!Z:Z,"Approved"),"")</f>
        <v/>
      </c>
      <c r="M328" s="105" t="str">
        <f>IF(A328&lt;&gt;"",COUNTIFS('QA Log'!D:D,A328,'QA Log'!M:M,"QQC",'QA Log'!L:L,"3. Curative Consultation (OPD)",'QA Log'!Z:Z,"Approved"),"")</f>
        <v/>
      </c>
      <c r="N328" s="105" t="str">
        <f>IF(A328&lt;&gt;"",COUNTIFS('QA Log'!D:D,A328,'QA Log'!M:M,"QQC",'QA Log'!L:L,"5. Laboratory",'QA Log'!Z:Z,"Approved"),"")</f>
        <v/>
      </c>
      <c r="O328" s="105" t="str">
        <f>IF(A328&lt;&gt;"",COUNTIFS('QA Log'!D:D,A328,'QA Log'!M:M,"QQC",'QA Log'!L:L,"6. Essential Medicine Management",'QA Log'!Z:Z,"Approved"),"")</f>
        <v/>
      </c>
      <c r="P328" s="105" t="str">
        <f>IF(A328&lt;&gt;"",COUNTIFS('QA Log'!D:D,A328,'QA Log'!M:M,"QQC",'QA Log'!L:L,"7. Tracer Medicine",'QA Log'!Z:Z,"Approved"),"")</f>
        <v/>
      </c>
      <c r="Q328" s="105" t="str">
        <f>IF(A328&lt;&gt;"",COUNTIFS('QA Log'!D:D,A328,'QA Log'!M:M,"QQC",'QA Log'!L:L,"11. Additional Questions",'QA Log'!Z:Z,"Approved"),"")</f>
        <v/>
      </c>
      <c r="R328" s="102" t="str">
        <f>IF(A328="","",SUM(
COUNTIFS('QA Log'!D:D,A328,'QA Log'!M:M,"QQC",'QA Log'!Z:Z,"Rejected",'QA Log'!L:L,"*8. Maternity*"),
COUNTIFS('QA Log'!D:D,A328,'QA Log'!M:M,"QQC",'QA Log'!Z:Z,"Rejected",'QA Log'!L:L,"*EPI*"),
COUNTIFS('QA Log'!D:D,A328,'QA Log'!M:M,"QQC",'QA Log'!Z:Z,"Rejected",'QA Log'!L:L,"*10. Antenatal Care (ANC)*"),
COUNTIFS('QA Log'!D:D,A328,'QA Log'!M:M,"QQC",'QA Log'!Z:Z,"Rejected",'QA Log'!L:L,"*2. Hygiene and Sterilization*"),
COUNTIFS('QA Log'!D:D,A328,'QA Log'!M:M,"QQC",'QA Log'!Z:Z,"Rejected",'QA Log'!L:L,"*Family Planning*")))</f>
        <v/>
      </c>
      <c r="S328" s="106" t="str">
        <f t="shared" si="27"/>
        <v/>
      </c>
      <c r="T328" s="102" t="str">
        <f t="shared" si="28"/>
        <v/>
      </c>
      <c r="U328" s="102" t="str">
        <f>IF(A328="","",
SUM(
COUNTIFS('QA Log'!D:D,A328,'QA Log'!M:M,"QQC",'QA Log'!L:L,"*8. Maternity*"),
COUNTIFS('QA Log'!D:D,A328,'QA Log'!M:M,"QQC",'QA Log'!L:L,"*9. EPI and Pre-school Consultation*"),
COUNTIFS('QA Log'!D:D,A328,'QA Log'!M:M,"QQC",'QA Log'!L:L,"*10. Antenatal Care (ANC)*"),
COUNTIFS('QA Log'!D:D,A328,'QA Log'!M:M,"QQC",'QA Log'!L:L,"*2. Hygiene and Sterilization*"),
COUNTIFS('QA Log'!D:D,A328,'QA Log'!M:M,"QQC",'QA Log'!L:L,"*4. Family Planning*")
))</f>
        <v/>
      </c>
      <c r="V328" s="102" t="str">
        <f>IF(A328="","",
SUM(
COUNTIFS('QA Log'!D:D,A328,'QA Log'!M:M,"QQC",'QA Log'!Z:Z,"Approved",'QA Log'!L:L,"*8. Maternity*"),
COUNTIFS('QA Log'!D:D,A328,'QA Log'!M:M,"QQC",'QA Log'!Z:Z,"Approved",'QA Log'!L:L,"*9. EPI and Pre-school Consultation*"),
COUNTIFS('QA Log'!D:D,A328,'QA Log'!M:M,"QQC",'QA Log'!Z:Z,"Approved",'QA Log'!L:L,"*10. Antenatal Care (ANC)*"),
COUNTIFS('QA Log'!D:D,A328,'QA Log'!M:M,"QQC",'QA Log'!Z:Z,"Approved",'QA Log'!L:L,"*2. Hygiene and Sterilization*"),
COUNTIFS('QA Log'!D:D,A328,'QA Log'!M:M,"QQC",'QA Log'!Z:Z,"Approved",'QA Log'!L:L,"*4. Family Planning*")
))</f>
        <v/>
      </c>
      <c r="W328" s="105" t="str">
        <f>IF(A328&lt;&gt;"",COUNTIFS('QA Log'!D:D,A328,'QA Log'!M:M,"QQC",'QA Log'!L:L,"8. Maternity",'QA Log'!Z:Z,"Approved"),"")</f>
        <v/>
      </c>
      <c r="X328" s="105" t="str">
        <f>IF(A328&lt;&gt;"",COUNTIFS('QA Log'!D:D,A328,'QA Log'!M:M,"QQC",'QA Log'!L:L,"9. EPI and Pre-school Consultation",'QA Log'!Z:Z,"Approved"),"")</f>
        <v/>
      </c>
      <c r="Y328" s="105" t="str">
        <f>IF(A328&lt;&gt;"",COUNTIFS('QA Log'!D:D,A328,'QA Log'!M:M,"QQC",'QA Log'!L:L,"10. Antenatal Care (ANC)",'QA Log'!Z:Z,"Approved"),"")</f>
        <v/>
      </c>
      <c r="Z328" s="105" t="str">
        <f>IF(A328&lt;&gt;"",COUNTIFS('QA Log'!D:D,A328,'QA Log'!M:M,"QQC",'QA Log'!L:L,"2. Hygiene and Sterilization",'QA Log'!Z:Z,"Approved"),"")</f>
        <v/>
      </c>
      <c r="AA328" s="105" t="str">
        <f>IF(A328&lt;&gt;"",COUNTIFS('QA Log'!D:D,A328,'QA Log'!M:M,"QQC",'QA Log'!L:L,"4. Family Planning",'QA Log'!Z:Z,"Approved"),"")</f>
        <v/>
      </c>
      <c r="AB328" s="102" t="str">
        <f>IF(A328="","",
SUM(
COUNTIFS('QA Log'!D:D,A328,'QA Log'!M:M,"QQC",'QA Log'!Z:Z,"Rejected",'QA Log'!L:L,"*8. Maternity*"),
COUNTIFS('QA Log'!D:D,A328,'QA Log'!M:M,"QQC",'QA Log'!Z:Z,"Rejected",'QA Log'!L:L,"*9. EPI and Pre-school Consultation*"),
COUNTIFS('QA Log'!D:D,A328,'QA Log'!M:M,"QQC",'QA Log'!Z:Z,"Rejected",'QA Log'!L:L,"*10. Antenatal Care (ANC)*"),
COUNTIFS('QA Log'!D:D,A328,'QA Log'!M:M,"QQC",'QA Log'!Z:Z,"Rejected",'QA Log'!L:L,"*2. Hygiene and Sterilization*"),
COUNTIFS('QA Log'!D:D,A328,'QA Log'!M:M,"QQC",'QA Log'!Z:Z,"Rejected",'QA Log'!L:L,"*4. Family Planning*")
))</f>
        <v/>
      </c>
      <c r="AC328" s="102" t="str">
        <f t="shared" si="29"/>
        <v/>
      </c>
      <c r="AD328" s="103" t="str">
        <f t="shared" si="30"/>
        <v/>
      </c>
      <c r="AE328" s="102" t="str">
        <f>IF(A328="","",
SUM(
COUNTIFS('QA Log'!D:D,A328,'QA Log'!M:M,"Data Verification",'QA Log'!L:L,"*Medicine (section 2)*"),
COUNTIFS('QA Log'!D:D,A328,'QA Log'!M:M,"Data Verification",'QA Log'!L:L,"*Lab Testing Availability*"),
COUNTIFS('QA Log'!D:D,A328,'QA Log'!M:M,"Data Verification",'QA Log'!L:L,"*Other than P4P (section 6)*"),
COUNTIFS('QA Log'!D:D,A328,'QA Log'!M:M,"Data Verification",'QA Log'!L:L,"*Hospital Governance*")
))</f>
        <v/>
      </c>
      <c r="AF328" s="102" t="str">
        <f>IF(A328="","",
SUM(
COUNTIFS('QA Log'!D:D,A328,'QA Log'!M:M,"Data Verification",'QA Log'!Z:Z,"Approved",'QA Log'!L:L,"*Medicine (section 2)*"),
COUNTIFS('QA Log'!D:D,A328,'QA Log'!M:M,"Data Verification",'QA Log'!Z:Z,"Approved",'QA Log'!L:L,"*Lab Testing Availability*"),
COUNTIFS('QA Log'!D:D,A328,'QA Log'!M:M,"Data Verification",'QA Log'!Z:Z,"Approved",'QA Log'!L:L,"*Other than P4P (section 6)*"),
COUNTIFS('QA Log'!D:D,A328,'QA Log'!M:M,"Data Verification",'QA Log'!Z:Z,"Approved",'QA Log'!L:L,"*Hospital Governance*")
))</f>
        <v/>
      </c>
      <c r="AG328" s="105" t="str">
        <f>IF(A328&lt;&gt;"",COUNTIFS('QA Log'!D:D,A328,'QA Log'!M:M,"Data Verification",'QA Log'!L:L,"Medicine (section 2)",'QA Log'!Z:Z,"Approved"),"")</f>
        <v/>
      </c>
      <c r="AH328" s="105" t="str">
        <f>IF(A328&lt;&gt;"",COUNTIFS('QA Log'!D:D,A328,'QA Log'!M:M,"Data Verification",'QA Log'!L:L,"Lab Testing Availability",'QA Log'!Z:Z,"Approved"),"")</f>
        <v/>
      </c>
      <c r="AI328" s="105" t="str">
        <f>IF(A328&lt;&gt;"",COUNTIFS('QA Log'!D:D,A328,'QA Log'!M:M,"Data Verification",'QA Log'!L:L,"Other than P4P (section 6)",'QA Log'!Z:Z,"Approved"),"")</f>
        <v/>
      </c>
      <c r="AJ328" s="105" t="str">
        <f>IF(A328&lt;&gt;"",COUNTIFS('QA Log'!D:D,A328,'QA Log'!M:M,"Data Verification",'QA Log'!L:L,"Hospital Governance",'QA Log'!Z:Z,"Approved"),"")</f>
        <v/>
      </c>
      <c r="AK328" s="102" t="str">
        <f>IF(A328="","",
SUM(
COUNTIFS('QA Log'!D:D,A328,'QA Log'!M:M,"Data Verification",'QA Log'!Z:Z,"Rejected",'QA Log'!L:L,"*Medicine (section 2)*"),
COUNTIFS('QA Log'!D:D,A328,'QA Log'!M:M,"Data Verification",'QA Log'!Z:Z,"Rejected",'QA Log'!L:L,"*Lab Testing Availability*"),
COUNTIFS('QA Log'!D:D,A328,'QA Log'!M:M,"Data Verification",'QA Log'!Z:Z,"Rejected",'QA Log'!L:L,"*Other than P4P (section 6)*"),
COUNTIFS('QA Log'!D:D,A328,'QA Log'!M:M,"Data Verification",'QA Log'!Z:Z,"Rejected",'QA Log'!L:L,"*Hospital Governance*")
))</f>
        <v/>
      </c>
      <c r="AL328" s="106" t="str">
        <f t="shared" si="31"/>
        <v/>
      </c>
      <c r="AM328" s="102" t="str">
        <f t="shared" si="32"/>
        <v/>
      </c>
      <c r="AN328" s="102" t="str">
        <f>IF(A328="","",
SUM(
COUNTIFS('QA Log'!D:D,A328,'QA Log'!M:M,"Data Verification",'QA Log'!L:L,"*Personnel (section 1)*"),
COUNTIFS('QA Log'!D:D,A328,'QA Log'!M:M,"Data Verification",'QA Log'!L:L,"*Consumable (section 3)*"),
COUNTIFS('QA Log'!D:D,A328,'QA Log'!M:M,"Data Verification",'QA Log'!L:L,"*Equipments (section 4)*")
))</f>
        <v/>
      </c>
      <c r="AO328" s="102" t="str">
        <f>IF(A328="","",
SUM(
COUNTIFS('QA Log'!D:D,A328,'QA Log'!M:M,"Data Verification",'QA Log'!Z:Z,"Approved",'QA Log'!L:L,"*Personnel (section 1)*"),
COUNTIFS('QA Log'!D:D,A328,'QA Log'!M:M,"Data Verification",'QA Log'!Z:Z,"Approved",'QA Log'!L:L,"*Consumable (section 3)*"),
COUNTIFS('QA Log'!D:D,A328,'QA Log'!M:M,"Data Verification",'QA Log'!Z:Z,"Approved",'QA Log'!L:L,"*Equipments (section 4)*")
))</f>
        <v/>
      </c>
      <c r="AP328" s="105" t="str">
        <f>IF(A328&lt;&gt;"",COUNTIFS('QA Log'!D:D,A328,'QA Log'!M:M,"Data Verification",'QA Log'!L:L,"Personnel (section 1)",'QA Log'!Z:Z,"Approved"),"")</f>
        <v/>
      </c>
      <c r="AQ328" s="105" t="str">
        <f>IF(A328&lt;&gt;"",COUNTIFS('QA Log'!D:D,A328,'QA Log'!M:M,"Data Verification",'QA Log'!L:L,"Consumable (section 3)",'QA Log'!Z:Z,"Approved"),"")</f>
        <v/>
      </c>
      <c r="AR328" s="105" t="str">
        <f>IF(A328&lt;&gt;"",COUNTIFS('QA Log'!D:D,A328,'QA Log'!M:M,"Data Verification",'QA Log'!L:L,"Equipments (section 4)",'QA Log'!Z:Z,"Approved"),"")</f>
        <v/>
      </c>
      <c r="AS328" s="102" t="str">
        <f>IF(A328="","",
SUM(
COUNTIFS('QA Log'!D:D,A328,'QA Log'!M:M,"Data Verification",'QA Log'!Z:Z,"Rejected",'QA Log'!L:L,"*Personnel (section 1)*"),
COUNTIFS('QA Log'!D:D,A328,'QA Log'!M:M,"Data Verification",'QA Log'!Z:Z,"Rejected",'QA Log'!L:L,"*Consumable (section 3)*"),
COUNTIFS('QA Log'!D:D,A328,'QA Log'!M:M,"Data Verification",'QA Log'!Z:Z,"Rejected",'QA Log'!L:L,"*Equipments (section 4)*")
))</f>
        <v/>
      </c>
      <c r="AT328" s="102" t="str">
        <f t="shared" si="33"/>
        <v/>
      </c>
      <c r="AU328" s="103" t="str">
        <f t="shared" si="34"/>
        <v/>
      </c>
      <c r="AV328" s="102" t="str">
        <f>IF(A328="","",SUM(
COUNTIFS('QA Log'!D:D,A328,'QA Log'!M:M,"Vignette",'QA Log'!L:L,"*Vignette [1] Respiratory Infection: Pneumonia*"),
COUNTIFS('QA Log'!D:D,A328,'QA Log'!M:M,"Vignette",'QA Log'!L:L,"*Vignette [2]: Diarrhea with Cat B dehydration*"),
COUNTIFS('QA Log'!D:D,A328,'QA Log'!M:M,"Vignette",'QA Log'!L:L,"*Vignette [3] Growth Monitoring and Promotion*"),
COUNTIFS('QA Log'!D:D,A328,'QA Log'!M:M,"Vignette",'QA Log'!L:L,"*Vignette [4]: The management of presumptive TB patient*")
)
)</f>
        <v/>
      </c>
      <c r="AW328" s="102" t="str">
        <f>IF(
  A328="","",
  SUM(
    COUNTIFS('QA Log'!D:D,A328,'QA Log'!M:M,"Vignette",'QA Log'!Z:Z,"Approved",'QA Log'!L:L,"*Vignette [1] Respiratory Infection: Pneumonia*"),
    COUNTIFS('QA Log'!D:D,A328,'QA Log'!M:M,"Vignette",'QA Log'!Z:Z,"Approved",'QA Log'!L:L,"*Vignette [2]: Diarrhea with Cat B dehydration*"),
    COUNTIFS('QA Log'!D:D,A328,'QA Log'!M:M,"Vignette",'QA Log'!Z:Z,"Approved",'QA Log'!L:L,"*Vignette [3] Growth Monitoring and Promotion*"),
    COUNTIFS('QA Log'!D:D,A328,'QA Log'!M:M,"Vignette",'QA Log'!Z:Z,"Approved",'QA Log'!L:L,"*Vignette [4]: The management of presumptive TB patient*")
  )
)</f>
        <v/>
      </c>
      <c r="AX328" s="105" t="str">
        <f>IF(A328&lt;&gt;"",COUNTIFS('QA Log'!D:D,A328,'QA Log'!M:M,"Vignette",'QA Log'!L:L,"Vignette [1] Respiratory Infection: Pneumonia",'QA Log'!Z:Z,"Approved"),"")</f>
        <v/>
      </c>
      <c r="AY328" s="105" t="str">
        <f>IF(A328&lt;&gt;"",COUNTIFS('QA Log'!D:D,A328,'QA Log'!M:M,"Vignette",'QA Log'!L:L,"Vignette [2]: Diarrhea with Cat B dehydration",'QA Log'!Z:Z,"Approved"),"")</f>
        <v/>
      </c>
      <c r="AZ328" s="105" t="str">
        <f>IF(A328&lt;&gt;"",COUNTIFS('QA Log'!D:D,A328,'QA Log'!M:M,"Vignette",'QA Log'!L:L,"Vignette [3] Growth Monitoring and Promotion",'QA Log'!Z:Z,"Approved"),"")</f>
        <v/>
      </c>
      <c r="BA328" s="105" t="str">
        <f>IF(A328&lt;&gt;"",COUNTIFS('QA Log'!D:D,A328,'QA Log'!M:M,"Vignette",'QA Log'!L:L,"Vignette [4]: The management of presumptive TB patient",'QA Log'!Z:Z,"Approved"),"")</f>
        <v/>
      </c>
      <c r="BB328" s="102" t="str">
        <f>IF(A328="","",
  SUM(
    COUNTIFS('QA Log'!D:D,A328,'QA Log'!M:M,"Vignette",'QA Log'!Z:Z,"Rejected",'QA Log'!L:L,"*Vignette [1] Respiratory Infection: Pneumonia*"),
    COUNTIFS('QA Log'!D:D,A328,'QA Log'!M:M,"Vignette",'QA Log'!Z:Z,"Rejected",'QA Log'!L:L,"*Vignette [2]: Diarrhea with Cat B dehydration*"),
    COUNTIFS('QA Log'!D:D,A328,'QA Log'!M:M,"Vignette",'QA Log'!Z:Z,"Rejected",'QA Log'!L:L,"*Vignette [3] Growth Monitoring and Promotion*"),
    COUNTIFS('QA Log'!D:D,A328,'QA Log'!M:M,"Vignette",'QA Log'!Z:Z,"Rejected",'QA Log'!L:L,"*Vignette [4]: The management of presumptive TB patient*")
  )
)</f>
        <v/>
      </c>
      <c r="BC328" s="107" t="str">
        <f t="shared" si="35"/>
        <v/>
      </c>
      <c r="BD328" s="103" t="str">
        <f t="shared" si="36"/>
        <v/>
      </c>
      <c r="BE328" s="102" t="str">
        <f>IF(A328="","",SUM(
COUNTIFS('QA Log'!D:D,A328,'QA Log'!M:M,"Vignette",'QA Log'!L:L,"*Vignette [5] Labor*"),
COUNTIFS('QA Log'!D:D,A328,'QA Log'!M:M,"Vignette",'QA Log'!L:L,"*Vignette [6] PNC pre Discharge*"),
COUNTIFS('QA Log'!D:D,A328,'QA Log'!M:M,"Vignette",'QA Log'!L:L,"*Vignette [7] First ANC Visit*"),
COUNTIFS('QA Log'!D:D,A328,'QA Log'!M:M,"Vignette",'QA Log'!L:L,"*Vignette [8] Birth Spacing/ Family Planning :  FP Counselling*"),
COUNTIFS('QA Log'!D:D,A328,'QA Log'!M:M,"Vignette",'QA Log'!L:L,"*Vignette [9] Birth Spacing: Change FP method to Injectable*"),
COUNTIFS('QA Log'!D:D,A328,'QA Log'!M:M,"Vignette",'QA Log'!L:L,"*Vignette [10] Post Partum Haemorrhage - Atonic Uterus at Health Centre*"),
)
)</f>
        <v/>
      </c>
      <c r="BF328" s="102" t="str">
        <f>IF(A328="","",
  SUM(
    COUNTIFS('QA Log'!D:D,A328,'QA Log'!M:M,"Vignette",'QA Log'!Z:Z,"Approved",'QA Log'!L:L,"*Vignette [5] Labor*"),
    COUNTIFS('QA Log'!D:D,A328,'QA Log'!M:M,"Vignette",'QA Log'!Z:Z,"Approved",'QA Log'!L:L,"*Vignette [6] PNC pre Discharge*"),
    COUNTIFS('QA Log'!D:D,A328,'QA Log'!M:M,"Vignette",'QA Log'!Z:Z,"Approved",'QA Log'!L:L,"*Vignette [7] First ANC Visit*"),
    COUNTIFS('QA Log'!D:D,A328,'QA Log'!M:M,"Vignette",'QA Log'!Z:Z,"Approved",'QA Log'!L:L,"*Vignette [8] Birth Spacing/ Family Planning :  FP Counselling*"),
    COUNTIFS('QA Log'!D:D,A328,'QA Log'!M:M,"Vignette",'QA Log'!Z:Z,"Approved",'QA Log'!L:L,"*Vignette [9] Birth Spacing: Change FP method to Injectable*"),
    COUNTIFS('QA Log'!D:D,A328,'QA Log'!M:M,"Vignette",'QA Log'!Z:Z,"Approved",'QA Log'!L:L,"*Vignette [10] Post Partum Haemorrhage - Atonic Uterus at Health Centre*")
  )
)</f>
        <v/>
      </c>
      <c r="BG328" s="105" t="str">
        <f>IF(A328&lt;&gt;"",COUNTIFS('QA Log'!D:D,A328,'QA Log'!M:M,"Vignette",'QA Log'!L:L,"Vignette [5] Labor",'QA Log'!Z:Z,"Approved"),"")</f>
        <v/>
      </c>
      <c r="BH328" s="105" t="str">
        <f>IF(A328&lt;&gt;"",COUNTIFS('QA Log'!D:D,A328,'QA Log'!M:M,"Vignette",'QA Log'!L:L,"Vignette [6] PNC pre Discharge",'QA Log'!Z:Z,"Approved"),"")</f>
        <v/>
      </c>
      <c r="BI328" s="105" t="str">
        <f>IF(A328&lt;&gt;"",COUNTIFS('QA Log'!D:D,A328,'QA Log'!M:M,"Vignette",'QA Log'!L:L,"Vignette [7] First ANC Visit",'QA Log'!Z:Z,"Approved"),"")</f>
        <v/>
      </c>
      <c r="BJ328" s="105" t="str">
        <f>IF(A328&lt;&gt;"",COUNTIFS('QA Log'!D:D,A328,'QA Log'!M:M,"Vignette",'QA Log'!L:L,"Vignette [8] Birth Spacing/ Family Planning :  FP Counselling",'QA Log'!Z:Z,"Approved"),"")</f>
        <v/>
      </c>
      <c r="BK328" s="105" t="str">
        <f>IF(A328&lt;&gt;"",COUNTIFS('QA Log'!D:D,A328,'QA Log'!M:M,"Vignette",'QA Log'!L:L,"Vignette [9] Birth Spacing: Change FP method to Injectable",'QA Log'!Z:Z,"Approved"),"")</f>
        <v/>
      </c>
      <c r="BL328" s="105" t="str">
        <f>IF(A328&lt;&gt;"",COUNTIFS('QA Log'!D:D,A328,'QA Log'!M:M,"Vignette",'QA Log'!L:L,"Vignette [10] Post Partum Haemorrhage - Atonic Uterus at Health Centre",'QA Log'!Z:Z,"Approved"),"")</f>
        <v/>
      </c>
      <c r="BM328" s="102" t="str">
        <f>IF(A328="","",SUM(
    COUNTIFS('QA Log'!D:D,A328,'QA Log'!M:M,"Vignette",'QA Log'!Z:Z,"Rejected",'QA Log'!L:L,"*Vignette [5] Labor*"),
    COUNTIFS('QA Log'!D:D,A328,'QA Log'!M:M,"Vignette",'QA Log'!Z:Z,"Rejected",'QA Log'!L:L,"*Vignette [6] PNC pre Discharge*"),
    COUNTIFS('QA Log'!D:D,A328,'QA Log'!M:M,"Vignette",'QA Log'!Z:Z,"Rejected",'QA Log'!L:L,"*Vignette [7] First ANC Visit*"),
    COUNTIFS('QA Log'!D:D,A328,'QA Log'!M:M,"Vignette",'QA Log'!Z:Z,"Rejected",'QA Log'!L:L,"*Vignette [8] Birth Spacing/ Family Planning :  FP Counselling*"),
    COUNTIFS('QA Log'!D:D,A328,'QA Log'!M:M,"Vignette",'QA Log'!Z:Z,"Rejected",'QA Log'!L:L,"*Vignette [9] Birth Spacing: Change FP method to Injectable*"),
    COUNTIFS('QA Log'!D:D,A328,'QA Log'!M:M,"Vignette",'QA Log'!Z:Z,"Rejected",'QA Log'!L:L,"*Vignette [10] Post Partum Haemorrhage - Atonic Uterus at Health Centre*")
  )
)</f>
        <v/>
      </c>
      <c r="BN328" s="107" t="str">
        <f t="shared" si="37"/>
        <v/>
      </c>
      <c r="BO328" s="103" t="str">
        <f t="shared" si="38"/>
        <v/>
      </c>
      <c r="BP328" s="102" t="str">
        <f>IF(A328="","",SUM(
COUNTIFS('QA Log'!D:D,A328,'QA Log'!M:M,"Vignette",'QA Log'!L:L,"*Exit Interview 1*"),
COUNTIFS('QA Log'!D:D,A328,'QA Log'!M:M,"Vignette",'QA Log'!L:L,"*Exit Interview 2*"),
)
)</f>
        <v/>
      </c>
      <c r="BQ328" s="102" t="str">
        <f>IF(
  A328="","",
  SUM(
    COUNTIFS('QA Log'!D:D,A328,'QA Log'!M:M,"Vignette",'QA Log'!Z:Z,"Approved",'QA Log'!L:L,"*Exit Interview 1*"),
    COUNTIFS('QA Log'!D:D,A328,'QA Log'!M:M,"Vignette",'QA Log'!Z:Z,"Approved",'QA Log'!L:L,"*Exit Interview 2*")
  )
)</f>
        <v/>
      </c>
      <c r="BR328" s="105" t="str">
        <f>IF(A328&lt;&gt;"",COUNTIFS('QA Log'!D:D,A328,'QA Log'!M:M,"Vignette",'QA Log'!L:L,"Exit Interview 1",'QA Log'!Z:Z,"Approved"),"")</f>
        <v/>
      </c>
      <c r="BS328" s="105" t="str">
        <f>IF(A328&lt;&gt;"",COUNTIFS('QA Log'!D:D,A328,'QA Log'!M:M,"Vignette",'QA Log'!L:L,"Exit Interview 2",'QA Log'!Z:Z,"Approved"),"")</f>
        <v/>
      </c>
      <c r="BT328" s="102" t="str">
        <f>IF(
  A328="","",
  SUM(
    COUNTIFS('QA Log'!D:D,A328,'QA Log'!M:M,"Vignette",'QA Log'!Z:Z,"Rejected",'QA Log'!L:L,"*Exit Interview 1*"),
    COUNTIFS('QA Log'!D:D,A328,'QA Log'!M:M,"Vignette",'QA Log'!Z:Z,"Rejected",'QA Log'!L:L,"*Exit Interview 2*")
  )
)</f>
        <v/>
      </c>
      <c r="BU328" s="107" t="str">
        <f t="shared" si="39"/>
        <v/>
      </c>
      <c r="BV328" s="102" t="str">
        <f t="shared" si="40"/>
        <v/>
      </c>
      <c r="BW328" s="102" t="str">
        <f t="shared" si="41"/>
        <v/>
      </c>
      <c r="BX328" s="102" t="str">
        <f t="shared" si="42"/>
        <v/>
      </c>
      <c r="BY328" s="102" t="str">
        <f t="shared" si="43"/>
        <v/>
      </c>
      <c r="BZ328" s="107" t="str">
        <f t="shared" si="44"/>
        <v/>
      </c>
      <c r="CA328" s="108" t="str">
        <f t="shared" si="45"/>
        <v/>
      </c>
      <c r="CB328" s="108" t="str">
        <f t="shared" si="46"/>
        <v/>
      </c>
      <c r="CC328" s="109" t="str">
        <f t="shared" si="47"/>
        <v/>
      </c>
      <c r="CD328" s="108" t="str">
        <f t="shared" si="48"/>
        <v/>
      </c>
      <c r="CE328" s="108" t="str">
        <f t="shared" si="49"/>
        <v/>
      </c>
      <c r="CF328" s="109" t="str">
        <f t="shared" si="50"/>
        <v/>
      </c>
      <c r="CG328" s="110" t="str">
        <f t="shared" si="51"/>
        <v/>
      </c>
      <c r="CH328" s="111"/>
    </row>
    <row r="329" spans="1:86" ht="12.75">
      <c r="A329" s="101"/>
      <c r="B329" s="102" t="e">
        <f t="array" aca="1" ref="B329" ca="1">_xludf.XLOOKUP(A329,'QA Log'!D:D,'QA Log'!E:E,"")</f>
        <v>#NAME?</v>
      </c>
      <c r="C329" s="102" t="e">
        <f t="array" aca="1" ref="C329" ca="1">_xludf.XLOOKUP(A329,'QA Log'!D:D,'QA Log'!F:F,"")</f>
        <v>#NAME?</v>
      </c>
      <c r="D329" s="102" t="e">
        <f t="array" aca="1" ref="D329" ca="1">_xludf.XLOOKUP(A329,'QA Log'!D:D,'QA Log'!H:H,"")</f>
        <v>#NAME?</v>
      </c>
      <c r="E329" s="102" t="e">
        <f t="array" aca="1" ref="E329" ca="1">_xludf.XLOOKUP(A329,'QA Log'!D:D,'QA Log'!G:G,"")</f>
        <v>#NAME?</v>
      </c>
      <c r="F329" s="103"/>
      <c r="G329" s="104"/>
      <c r="H329" s="104"/>
      <c r="I329" s="103" t="str">
        <f t="shared" si="26"/>
        <v/>
      </c>
      <c r="J329" s="102" t="str">
        <f>IF(A329="","",SUM(
COUNTIFS('QA Log'!D:D,A329,'QA Log'!M:M,"QQC",'QA Log'!L:L,"*1. General Management*"),
COUNTIFS('QA Log'!D:D,A329,'QA Log'!M:M,"QQC",'QA Log'!L:L,"*3. Curative Consultation (OPD)*"),
COUNTIFS('QA Log'!D:D,A329,'QA Log'!M:M,"QQC",'QA Log'!L:L,"*5. Laboratory*"),
COUNTIFS('QA Log'!D:D,A329,'QA Log'!M:M,"QQC",'QA Log'!L:L,"*6. Essential Medicine Management*"),
COUNTIFS('QA Log'!D:D,A329,'QA Log'!M:M,"QQC",'QA Log'!L:L,"*7. Tracer Medicine*"),
COUNTIFS('QA Log'!D:D,A329,'QA Log'!M:M,"QQC",'QA Log'!L:L,"*11. Additional Questions*")))</f>
        <v/>
      </c>
      <c r="K329" s="102" t="str">
        <f>IF(A329="","",SUM(
COUNTIFS('QA Log'!D:D,A329,'QA Log'!M:M,"QQC",'QA Log'!Z:Z,"Approved",'QA Log'!L:L,"*1. General Management*"),
COUNTIFS('QA Log'!D:D,A329,'QA Log'!M:M,"QQC",'QA Log'!Z:Z,"Approved",'QA Log'!L:L,"*3. Curative Consultation (OPD)*"),
COUNTIFS('QA Log'!D:D,A329,'QA Log'!M:M,"QQC",'QA Log'!Z:Z,"Approved",'QA Log'!L:L,"*5. Laboratory*"),
COUNTIFS('QA Log'!D:D,A329,'QA Log'!M:M,"QQC",'QA Log'!Z:Z,"Approved",'QA Log'!L:L,"*6. Essential Medicine Management*"),
COUNTIFS('QA Log'!D:D,A329,'QA Log'!M:M,"QQC",'QA Log'!Z:Z,"Approved",'QA Log'!L:L,"*7. Tracer Medicine*"),
COUNTIFS('QA Log'!D:D,A329,'QA Log'!M:M,"QQC",'QA Log'!Z:Z,"Approved",'QA Log'!L:L,"*11. Additional Questions*")))</f>
        <v/>
      </c>
      <c r="L329" s="105" t="str">
        <f>IF(A329&lt;&gt;"",COUNTIFS('QA Log'!D:D,A329,'QA Log'!M:M,"QQC",'QA Log'!L:L,"1. General Management",'QA Log'!Z:Z,"Approved"),"")</f>
        <v/>
      </c>
      <c r="M329" s="105" t="str">
        <f>IF(A329&lt;&gt;"",COUNTIFS('QA Log'!D:D,A329,'QA Log'!M:M,"QQC",'QA Log'!L:L,"3. Curative Consultation (OPD)",'QA Log'!Z:Z,"Approved"),"")</f>
        <v/>
      </c>
      <c r="N329" s="105" t="str">
        <f>IF(A329&lt;&gt;"",COUNTIFS('QA Log'!D:D,A329,'QA Log'!M:M,"QQC",'QA Log'!L:L,"5. Laboratory",'QA Log'!Z:Z,"Approved"),"")</f>
        <v/>
      </c>
      <c r="O329" s="105" t="str">
        <f>IF(A329&lt;&gt;"",COUNTIFS('QA Log'!D:D,A329,'QA Log'!M:M,"QQC",'QA Log'!L:L,"6. Essential Medicine Management",'QA Log'!Z:Z,"Approved"),"")</f>
        <v/>
      </c>
      <c r="P329" s="105" t="str">
        <f>IF(A329&lt;&gt;"",COUNTIFS('QA Log'!D:D,A329,'QA Log'!M:M,"QQC",'QA Log'!L:L,"7. Tracer Medicine",'QA Log'!Z:Z,"Approved"),"")</f>
        <v/>
      </c>
      <c r="Q329" s="105" t="str">
        <f>IF(A329&lt;&gt;"",COUNTIFS('QA Log'!D:D,A329,'QA Log'!M:M,"QQC",'QA Log'!L:L,"11. Additional Questions",'QA Log'!Z:Z,"Approved"),"")</f>
        <v/>
      </c>
      <c r="R329" s="102" t="str">
        <f>IF(A329="","",SUM(
COUNTIFS('QA Log'!D:D,A329,'QA Log'!M:M,"QQC",'QA Log'!Z:Z,"Rejected",'QA Log'!L:L,"*8. Maternity*"),
COUNTIFS('QA Log'!D:D,A329,'QA Log'!M:M,"QQC",'QA Log'!Z:Z,"Rejected",'QA Log'!L:L,"*EPI*"),
COUNTIFS('QA Log'!D:D,A329,'QA Log'!M:M,"QQC",'QA Log'!Z:Z,"Rejected",'QA Log'!L:L,"*10. Antenatal Care (ANC)*"),
COUNTIFS('QA Log'!D:D,A329,'QA Log'!M:M,"QQC",'QA Log'!Z:Z,"Rejected",'QA Log'!L:L,"*2. Hygiene and Sterilization*"),
COUNTIFS('QA Log'!D:D,A329,'QA Log'!M:M,"QQC",'QA Log'!Z:Z,"Rejected",'QA Log'!L:L,"*Family Planning*")))</f>
        <v/>
      </c>
      <c r="S329" s="106" t="str">
        <f t="shared" si="27"/>
        <v/>
      </c>
      <c r="T329" s="102" t="str">
        <f t="shared" si="28"/>
        <v/>
      </c>
      <c r="U329" s="102" t="str">
        <f>IF(A329="","",
SUM(
COUNTIFS('QA Log'!D:D,A329,'QA Log'!M:M,"QQC",'QA Log'!L:L,"*8. Maternity*"),
COUNTIFS('QA Log'!D:D,A329,'QA Log'!M:M,"QQC",'QA Log'!L:L,"*9. EPI and Pre-school Consultation*"),
COUNTIFS('QA Log'!D:D,A329,'QA Log'!M:M,"QQC",'QA Log'!L:L,"*10. Antenatal Care (ANC)*"),
COUNTIFS('QA Log'!D:D,A329,'QA Log'!M:M,"QQC",'QA Log'!L:L,"*2. Hygiene and Sterilization*"),
COUNTIFS('QA Log'!D:D,A329,'QA Log'!M:M,"QQC",'QA Log'!L:L,"*4. Family Planning*")
))</f>
        <v/>
      </c>
      <c r="V329" s="102" t="str">
        <f>IF(A329="","",
SUM(
COUNTIFS('QA Log'!D:D,A329,'QA Log'!M:M,"QQC",'QA Log'!Z:Z,"Approved",'QA Log'!L:L,"*8. Maternity*"),
COUNTIFS('QA Log'!D:D,A329,'QA Log'!M:M,"QQC",'QA Log'!Z:Z,"Approved",'QA Log'!L:L,"*9. EPI and Pre-school Consultation*"),
COUNTIFS('QA Log'!D:D,A329,'QA Log'!M:M,"QQC",'QA Log'!Z:Z,"Approved",'QA Log'!L:L,"*10. Antenatal Care (ANC)*"),
COUNTIFS('QA Log'!D:D,A329,'QA Log'!M:M,"QQC",'QA Log'!Z:Z,"Approved",'QA Log'!L:L,"*2. Hygiene and Sterilization*"),
COUNTIFS('QA Log'!D:D,A329,'QA Log'!M:M,"QQC",'QA Log'!Z:Z,"Approved",'QA Log'!L:L,"*4. Family Planning*")
))</f>
        <v/>
      </c>
      <c r="W329" s="105" t="str">
        <f>IF(A329&lt;&gt;"",COUNTIFS('QA Log'!D:D,A329,'QA Log'!M:M,"QQC",'QA Log'!L:L,"8. Maternity",'QA Log'!Z:Z,"Approved"),"")</f>
        <v/>
      </c>
      <c r="X329" s="105" t="str">
        <f>IF(A329&lt;&gt;"",COUNTIFS('QA Log'!D:D,A329,'QA Log'!M:M,"QQC",'QA Log'!L:L,"9. EPI and Pre-school Consultation",'QA Log'!Z:Z,"Approved"),"")</f>
        <v/>
      </c>
      <c r="Y329" s="105" t="str">
        <f>IF(A329&lt;&gt;"",COUNTIFS('QA Log'!D:D,A329,'QA Log'!M:M,"QQC",'QA Log'!L:L,"10. Antenatal Care (ANC)",'QA Log'!Z:Z,"Approved"),"")</f>
        <v/>
      </c>
      <c r="Z329" s="105" t="str">
        <f>IF(A329&lt;&gt;"",COUNTIFS('QA Log'!D:D,A329,'QA Log'!M:M,"QQC",'QA Log'!L:L,"2. Hygiene and Sterilization",'QA Log'!Z:Z,"Approved"),"")</f>
        <v/>
      </c>
      <c r="AA329" s="105" t="str">
        <f>IF(A329&lt;&gt;"",COUNTIFS('QA Log'!D:D,A329,'QA Log'!M:M,"QQC",'QA Log'!L:L,"4. Family Planning",'QA Log'!Z:Z,"Approved"),"")</f>
        <v/>
      </c>
      <c r="AB329" s="102" t="str">
        <f>IF(A329="","",
SUM(
COUNTIFS('QA Log'!D:D,A329,'QA Log'!M:M,"QQC",'QA Log'!Z:Z,"Rejected",'QA Log'!L:L,"*8. Maternity*"),
COUNTIFS('QA Log'!D:D,A329,'QA Log'!M:M,"QQC",'QA Log'!Z:Z,"Rejected",'QA Log'!L:L,"*9. EPI and Pre-school Consultation*"),
COUNTIFS('QA Log'!D:D,A329,'QA Log'!M:M,"QQC",'QA Log'!Z:Z,"Rejected",'QA Log'!L:L,"*10. Antenatal Care (ANC)*"),
COUNTIFS('QA Log'!D:D,A329,'QA Log'!M:M,"QQC",'QA Log'!Z:Z,"Rejected",'QA Log'!L:L,"*2. Hygiene and Sterilization*"),
COUNTIFS('QA Log'!D:D,A329,'QA Log'!M:M,"QQC",'QA Log'!Z:Z,"Rejected",'QA Log'!L:L,"*4. Family Planning*")
))</f>
        <v/>
      </c>
      <c r="AC329" s="102" t="str">
        <f t="shared" si="29"/>
        <v/>
      </c>
      <c r="AD329" s="103" t="str">
        <f t="shared" si="30"/>
        <v/>
      </c>
      <c r="AE329" s="102" t="str">
        <f>IF(A329="","",
SUM(
COUNTIFS('QA Log'!D:D,A329,'QA Log'!M:M,"Data Verification",'QA Log'!L:L,"*Medicine (section 2)*"),
COUNTIFS('QA Log'!D:D,A329,'QA Log'!M:M,"Data Verification",'QA Log'!L:L,"*Lab Testing Availability*"),
COUNTIFS('QA Log'!D:D,A329,'QA Log'!M:M,"Data Verification",'QA Log'!L:L,"*Other than P4P (section 6)*"),
COUNTIFS('QA Log'!D:D,A329,'QA Log'!M:M,"Data Verification",'QA Log'!L:L,"*Hospital Governance*")
))</f>
        <v/>
      </c>
      <c r="AF329" s="102" t="str">
        <f>IF(A329="","",
SUM(
COUNTIFS('QA Log'!D:D,A329,'QA Log'!M:M,"Data Verification",'QA Log'!Z:Z,"Approved",'QA Log'!L:L,"*Medicine (section 2)*"),
COUNTIFS('QA Log'!D:D,A329,'QA Log'!M:M,"Data Verification",'QA Log'!Z:Z,"Approved",'QA Log'!L:L,"*Lab Testing Availability*"),
COUNTIFS('QA Log'!D:D,A329,'QA Log'!M:M,"Data Verification",'QA Log'!Z:Z,"Approved",'QA Log'!L:L,"*Other than P4P (section 6)*"),
COUNTIFS('QA Log'!D:D,A329,'QA Log'!M:M,"Data Verification",'QA Log'!Z:Z,"Approved",'QA Log'!L:L,"*Hospital Governance*")
))</f>
        <v/>
      </c>
      <c r="AG329" s="105" t="str">
        <f>IF(A329&lt;&gt;"",COUNTIFS('QA Log'!D:D,A329,'QA Log'!M:M,"Data Verification",'QA Log'!L:L,"Medicine (section 2)",'QA Log'!Z:Z,"Approved"),"")</f>
        <v/>
      </c>
      <c r="AH329" s="105" t="str">
        <f>IF(A329&lt;&gt;"",COUNTIFS('QA Log'!D:D,A329,'QA Log'!M:M,"Data Verification",'QA Log'!L:L,"Lab Testing Availability",'QA Log'!Z:Z,"Approved"),"")</f>
        <v/>
      </c>
      <c r="AI329" s="105" t="str">
        <f>IF(A329&lt;&gt;"",COUNTIFS('QA Log'!D:D,A329,'QA Log'!M:M,"Data Verification",'QA Log'!L:L,"Other than P4P (section 6)",'QA Log'!Z:Z,"Approved"),"")</f>
        <v/>
      </c>
      <c r="AJ329" s="105" t="str">
        <f>IF(A329&lt;&gt;"",COUNTIFS('QA Log'!D:D,A329,'QA Log'!M:M,"Data Verification",'QA Log'!L:L,"Hospital Governance",'QA Log'!Z:Z,"Approved"),"")</f>
        <v/>
      </c>
      <c r="AK329" s="102" t="str">
        <f>IF(A329="","",
SUM(
COUNTIFS('QA Log'!D:D,A329,'QA Log'!M:M,"Data Verification",'QA Log'!Z:Z,"Rejected",'QA Log'!L:L,"*Medicine (section 2)*"),
COUNTIFS('QA Log'!D:D,A329,'QA Log'!M:M,"Data Verification",'QA Log'!Z:Z,"Rejected",'QA Log'!L:L,"*Lab Testing Availability*"),
COUNTIFS('QA Log'!D:D,A329,'QA Log'!M:M,"Data Verification",'QA Log'!Z:Z,"Rejected",'QA Log'!L:L,"*Other than P4P (section 6)*"),
COUNTIFS('QA Log'!D:D,A329,'QA Log'!M:M,"Data Verification",'QA Log'!Z:Z,"Rejected",'QA Log'!L:L,"*Hospital Governance*")
))</f>
        <v/>
      </c>
      <c r="AL329" s="106" t="str">
        <f t="shared" si="31"/>
        <v/>
      </c>
      <c r="AM329" s="102" t="str">
        <f t="shared" si="32"/>
        <v/>
      </c>
      <c r="AN329" s="102" t="str">
        <f>IF(A329="","",
SUM(
COUNTIFS('QA Log'!D:D,A329,'QA Log'!M:M,"Data Verification",'QA Log'!L:L,"*Personnel (section 1)*"),
COUNTIFS('QA Log'!D:D,A329,'QA Log'!M:M,"Data Verification",'QA Log'!L:L,"*Consumable (section 3)*"),
COUNTIFS('QA Log'!D:D,A329,'QA Log'!M:M,"Data Verification",'QA Log'!L:L,"*Equipments (section 4)*")
))</f>
        <v/>
      </c>
      <c r="AO329" s="102" t="str">
        <f>IF(A329="","",
SUM(
COUNTIFS('QA Log'!D:D,A329,'QA Log'!M:M,"Data Verification",'QA Log'!Z:Z,"Approved",'QA Log'!L:L,"*Personnel (section 1)*"),
COUNTIFS('QA Log'!D:D,A329,'QA Log'!M:M,"Data Verification",'QA Log'!Z:Z,"Approved",'QA Log'!L:L,"*Consumable (section 3)*"),
COUNTIFS('QA Log'!D:D,A329,'QA Log'!M:M,"Data Verification",'QA Log'!Z:Z,"Approved",'QA Log'!L:L,"*Equipments (section 4)*")
))</f>
        <v/>
      </c>
      <c r="AP329" s="105" t="str">
        <f>IF(A329&lt;&gt;"",COUNTIFS('QA Log'!D:D,A329,'QA Log'!M:M,"Data Verification",'QA Log'!L:L,"Personnel (section 1)",'QA Log'!Z:Z,"Approved"),"")</f>
        <v/>
      </c>
      <c r="AQ329" s="105" t="str">
        <f>IF(A329&lt;&gt;"",COUNTIFS('QA Log'!D:D,A329,'QA Log'!M:M,"Data Verification",'QA Log'!L:L,"Consumable (section 3)",'QA Log'!Z:Z,"Approved"),"")</f>
        <v/>
      </c>
      <c r="AR329" s="105" t="str">
        <f>IF(A329&lt;&gt;"",COUNTIFS('QA Log'!D:D,A329,'QA Log'!M:M,"Data Verification",'QA Log'!L:L,"Equipments (section 4)",'QA Log'!Z:Z,"Approved"),"")</f>
        <v/>
      </c>
      <c r="AS329" s="102" t="str">
        <f>IF(A329="","",
SUM(
COUNTIFS('QA Log'!D:D,A329,'QA Log'!M:M,"Data Verification",'QA Log'!Z:Z,"Rejected",'QA Log'!L:L,"*Personnel (section 1)*"),
COUNTIFS('QA Log'!D:D,A329,'QA Log'!M:M,"Data Verification",'QA Log'!Z:Z,"Rejected",'QA Log'!L:L,"*Consumable (section 3)*"),
COUNTIFS('QA Log'!D:D,A329,'QA Log'!M:M,"Data Verification",'QA Log'!Z:Z,"Rejected",'QA Log'!L:L,"*Equipments (section 4)*")
))</f>
        <v/>
      </c>
      <c r="AT329" s="102" t="str">
        <f t="shared" si="33"/>
        <v/>
      </c>
      <c r="AU329" s="103" t="str">
        <f t="shared" si="34"/>
        <v/>
      </c>
      <c r="AV329" s="102" t="str">
        <f>IF(A329="","",SUM(
COUNTIFS('QA Log'!D:D,A329,'QA Log'!M:M,"Vignette",'QA Log'!L:L,"*Vignette [1] Respiratory Infection: Pneumonia*"),
COUNTIFS('QA Log'!D:D,A329,'QA Log'!M:M,"Vignette",'QA Log'!L:L,"*Vignette [2]: Diarrhea with Cat B dehydration*"),
COUNTIFS('QA Log'!D:D,A329,'QA Log'!M:M,"Vignette",'QA Log'!L:L,"*Vignette [3] Growth Monitoring and Promotion*"),
COUNTIFS('QA Log'!D:D,A329,'QA Log'!M:M,"Vignette",'QA Log'!L:L,"*Vignette [4]: The management of presumptive TB patient*")
)
)</f>
        <v/>
      </c>
      <c r="AW329" s="102" t="str">
        <f>IF(
  A329="","",
  SUM(
    COUNTIFS('QA Log'!D:D,A329,'QA Log'!M:M,"Vignette",'QA Log'!Z:Z,"Approved",'QA Log'!L:L,"*Vignette [1] Respiratory Infection: Pneumonia*"),
    COUNTIFS('QA Log'!D:D,A329,'QA Log'!M:M,"Vignette",'QA Log'!Z:Z,"Approved",'QA Log'!L:L,"*Vignette [2]: Diarrhea with Cat B dehydration*"),
    COUNTIFS('QA Log'!D:D,A329,'QA Log'!M:M,"Vignette",'QA Log'!Z:Z,"Approved",'QA Log'!L:L,"*Vignette [3] Growth Monitoring and Promotion*"),
    COUNTIFS('QA Log'!D:D,A329,'QA Log'!M:M,"Vignette",'QA Log'!Z:Z,"Approved",'QA Log'!L:L,"*Vignette [4]: The management of presumptive TB patient*")
  )
)</f>
        <v/>
      </c>
      <c r="AX329" s="105" t="str">
        <f>IF(A329&lt;&gt;"",COUNTIFS('QA Log'!D:D,A329,'QA Log'!M:M,"Vignette",'QA Log'!L:L,"Vignette [1] Respiratory Infection: Pneumonia",'QA Log'!Z:Z,"Approved"),"")</f>
        <v/>
      </c>
      <c r="AY329" s="105" t="str">
        <f>IF(A329&lt;&gt;"",COUNTIFS('QA Log'!D:D,A329,'QA Log'!M:M,"Vignette",'QA Log'!L:L,"Vignette [2]: Diarrhea with Cat B dehydration",'QA Log'!Z:Z,"Approved"),"")</f>
        <v/>
      </c>
      <c r="AZ329" s="105" t="str">
        <f>IF(A329&lt;&gt;"",COUNTIFS('QA Log'!D:D,A329,'QA Log'!M:M,"Vignette",'QA Log'!L:L,"Vignette [3] Growth Monitoring and Promotion",'QA Log'!Z:Z,"Approved"),"")</f>
        <v/>
      </c>
      <c r="BA329" s="105" t="str">
        <f>IF(A329&lt;&gt;"",COUNTIFS('QA Log'!D:D,A329,'QA Log'!M:M,"Vignette",'QA Log'!L:L,"Vignette [4]: The management of presumptive TB patient",'QA Log'!Z:Z,"Approved"),"")</f>
        <v/>
      </c>
      <c r="BB329" s="102" t="str">
        <f>IF(A329="","",
  SUM(
    COUNTIFS('QA Log'!D:D,A329,'QA Log'!M:M,"Vignette",'QA Log'!Z:Z,"Rejected",'QA Log'!L:L,"*Vignette [1] Respiratory Infection: Pneumonia*"),
    COUNTIFS('QA Log'!D:D,A329,'QA Log'!M:M,"Vignette",'QA Log'!Z:Z,"Rejected",'QA Log'!L:L,"*Vignette [2]: Diarrhea with Cat B dehydration*"),
    COUNTIFS('QA Log'!D:D,A329,'QA Log'!M:M,"Vignette",'QA Log'!Z:Z,"Rejected",'QA Log'!L:L,"*Vignette [3] Growth Monitoring and Promotion*"),
    COUNTIFS('QA Log'!D:D,A329,'QA Log'!M:M,"Vignette",'QA Log'!Z:Z,"Rejected",'QA Log'!L:L,"*Vignette [4]: The management of presumptive TB patient*")
  )
)</f>
        <v/>
      </c>
      <c r="BC329" s="107" t="str">
        <f t="shared" si="35"/>
        <v/>
      </c>
      <c r="BD329" s="103" t="str">
        <f t="shared" si="36"/>
        <v/>
      </c>
      <c r="BE329" s="102" t="str">
        <f>IF(A329="","",SUM(
COUNTIFS('QA Log'!D:D,A329,'QA Log'!M:M,"Vignette",'QA Log'!L:L,"*Vignette [5] Labor*"),
COUNTIFS('QA Log'!D:D,A329,'QA Log'!M:M,"Vignette",'QA Log'!L:L,"*Vignette [6] PNC pre Discharge*"),
COUNTIFS('QA Log'!D:D,A329,'QA Log'!M:M,"Vignette",'QA Log'!L:L,"*Vignette [7] First ANC Visit*"),
COUNTIFS('QA Log'!D:D,A329,'QA Log'!M:M,"Vignette",'QA Log'!L:L,"*Vignette [8] Birth Spacing/ Family Planning :  FP Counselling*"),
COUNTIFS('QA Log'!D:D,A329,'QA Log'!M:M,"Vignette",'QA Log'!L:L,"*Vignette [9] Birth Spacing: Change FP method to Injectable*"),
COUNTIFS('QA Log'!D:D,A329,'QA Log'!M:M,"Vignette",'QA Log'!L:L,"*Vignette [10] Post Partum Haemorrhage - Atonic Uterus at Health Centre*"),
)
)</f>
        <v/>
      </c>
      <c r="BF329" s="102" t="str">
        <f>IF(A329="","",
  SUM(
    COUNTIFS('QA Log'!D:D,A329,'QA Log'!M:M,"Vignette",'QA Log'!Z:Z,"Approved",'QA Log'!L:L,"*Vignette [5] Labor*"),
    COUNTIFS('QA Log'!D:D,A329,'QA Log'!M:M,"Vignette",'QA Log'!Z:Z,"Approved",'QA Log'!L:L,"*Vignette [6] PNC pre Discharge*"),
    COUNTIFS('QA Log'!D:D,A329,'QA Log'!M:M,"Vignette",'QA Log'!Z:Z,"Approved",'QA Log'!L:L,"*Vignette [7] First ANC Visit*"),
    COUNTIFS('QA Log'!D:D,A329,'QA Log'!M:M,"Vignette",'QA Log'!Z:Z,"Approved",'QA Log'!L:L,"*Vignette [8] Birth Spacing/ Family Planning :  FP Counselling*"),
    COUNTIFS('QA Log'!D:D,A329,'QA Log'!M:M,"Vignette",'QA Log'!Z:Z,"Approved",'QA Log'!L:L,"*Vignette [9] Birth Spacing: Change FP method to Injectable*"),
    COUNTIFS('QA Log'!D:D,A329,'QA Log'!M:M,"Vignette",'QA Log'!Z:Z,"Approved",'QA Log'!L:L,"*Vignette [10] Post Partum Haemorrhage - Atonic Uterus at Health Centre*")
  )
)</f>
        <v/>
      </c>
      <c r="BG329" s="105" t="str">
        <f>IF(A329&lt;&gt;"",COUNTIFS('QA Log'!D:D,A329,'QA Log'!M:M,"Vignette",'QA Log'!L:L,"Vignette [5] Labor",'QA Log'!Z:Z,"Approved"),"")</f>
        <v/>
      </c>
      <c r="BH329" s="105" t="str">
        <f>IF(A329&lt;&gt;"",COUNTIFS('QA Log'!D:D,A329,'QA Log'!M:M,"Vignette",'QA Log'!L:L,"Vignette [6] PNC pre Discharge",'QA Log'!Z:Z,"Approved"),"")</f>
        <v/>
      </c>
      <c r="BI329" s="105" t="str">
        <f>IF(A329&lt;&gt;"",COUNTIFS('QA Log'!D:D,A329,'QA Log'!M:M,"Vignette",'QA Log'!L:L,"Vignette [7] First ANC Visit",'QA Log'!Z:Z,"Approved"),"")</f>
        <v/>
      </c>
      <c r="BJ329" s="105" t="str">
        <f>IF(A329&lt;&gt;"",COUNTIFS('QA Log'!D:D,A329,'QA Log'!M:M,"Vignette",'QA Log'!L:L,"Vignette [8] Birth Spacing/ Family Planning :  FP Counselling",'QA Log'!Z:Z,"Approved"),"")</f>
        <v/>
      </c>
      <c r="BK329" s="105" t="str">
        <f>IF(A329&lt;&gt;"",COUNTIFS('QA Log'!D:D,A329,'QA Log'!M:M,"Vignette",'QA Log'!L:L,"Vignette [9] Birth Spacing: Change FP method to Injectable",'QA Log'!Z:Z,"Approved"),"")</f>
        <v/>
      </c>
      <c r="BL329" s="105" t="str">
        <f>IF(A329&lt;&gt;"",COUNTIFS('QA Log'!D:D,A329,'QA Log'!M:M,"Vignette",'QA Log'!L:L,"Vignette [10] Post Partum Haemorrhage - Atonic Uterus at Health Centre",'QA Log'!Z:Z,"Approved"),"")</f>
        <v/>
      </c>
      <c r="BM329" s="102" t="str">
        <f>IF(A329="","",SUM(
    COUNTIFS('QA Log'!D:D,A329,'QA Log'!M:M,"Vignette",'QA Log'!Z:Z,"Rejected",'QA Log'!L:L,"*Vignette [5] Labor*"),
    COUNTIFS('QA Log'!D:D,A329,'QA Log'!M:M,"Vignette",'QA Log'!Z:Z,"Rejected",'QA Log'!L:L,"*Vignette [6] PNC pre Discharge*"),
    COUNTIFS('QA Log'!D:D,A329,'QA Log'!M:M,"Vignette",'QA Log'!Z:Z,"Rejected",'QA Log'!L:L,"*Vignette [7] First ANC Visit*"),
    COUNTIFS('QA Log'!D:D,A329,'QA Log'!M:M,"Vignette",'QA Log'!Z:Z,"Rejected",'QA Log'!L:L,"*Vignette [8] Birth Spacing/ Family Planning :  FP Counselling*"),
    COUNTIFS('QA Log'!D:D,A329,'QA Log'!M:M,"Vignette",'QA Log'!Z:Z,"Rejected",'QA Log'!L:L,"*Vignette [9] Birth Spacing: Change FP method to Injectable*"),
    COUNTIFS('QA Log'!D:D,A329,'QA Log'!M:M,"Vignette",'QA Log'!Z:Z,"Rejected",'QA Log'!L:L,"*Vignette [10] Post Partum Haemorrhage - Atonic Uterus at Health Centre*")
  )
)</f>
        <v/>
      </c>
      <c r="BN329" s="107" t="str">
        <f t="shared" si="37"/>
        <v/>
      </c>
      <c r="BO329" s="103" t="str">
        <f t="shared" si="38"/>
        <v/>
      </c>
      <c r="BP329" s="102" t="str">
        <f>IF(A329="","",SUM(
COUNTIFS('QA Log'!D:D,A329,'QA Log'!M:M,"Vignette",'QA Log'!L:L,"*Exit Interview 1*"),
COUNTIFS('QA Log'!D:D,A329,'QA Log'!M:M,"Vignette",'QA Log'!L:L,"*Exit Interview 2*"),
)
)</f>
        <v/>
      </c>
      <c r="BQ329" s="102" t="str">
        <f>IF(
  A329="","",
  SUM(
    COUNTIFS('QA Log'!D:D,A329,'QA Log'!M:M,"Vignette",'QA Log'!Z:Z,"Approved",'QA Log'!L:L,"*Exit Interview 1*"),
    COUNTIFS('QA Log'!D:D,A329,'QA Log'!M:M,"Vignette",'QA Log'!Z:Z,"Approved",'QA Log'!L:L,"*Exit Interview 2*")
  )
)</f>
        <v/>
      </c>
      <c r="BR329" s="105" t="str">
        <f>IF(A329&lt;&gt;"",COUNTIFS('QA Log'!D:D,A329,'QA Log'!M:M,"Vignette",'QA Log'!L:L,"Exit Interview 1",'QA Log'!Z:Z,"Approved"),"")</f>
        <v/>
      </c>
      <c r="BS329" s="105" t="str">
        <f>IF(A329&lt;&gt;"",COUNTIFS('QA Log'!D:D,A329,'QA Log'!M:M,"Vignette",'QA Log'!L:L,"Exit Interview 2",'QA Log'!Z:Z,"Approved"),"")</f>
        <v/>
      </c>
      <c r="BT329" s="102" t="str">
        <f>IF(
  A329="","",
  SUM(
    COUNTIFS('QA Log'!D:D,A329,'QA Log'!M:M,"Vignette",'QA Log'!Z:Z,"Rejected",'QA Log'!L:L,"*Exit Interview 1*"),
    COUNTIFS('QA Log'!D:D,A329,'QA Log'!M:M,"Vignette",'QA Log'!Z:Z,"Rejected",'QA Log'!L:L,"*Exit Interview 2*")
  )
)</f>
        <v/>
      </c>
      <c r="BU329" s="107" t="str">
        <f t="shared" si="39"/>
        <v/>
      </c>
      <c r="BV329" s="102" t="str">
        <f t="shared" si="40"/>
        <v/>
      </c>
      <c r="BW329" s="102" t="str">
        <f t="shared" si="41"/>
        <v/>
      </c>
      <c r="BX329" s="102" t="str">
        <f t="shared" si="42"/>
        <v/>
      </c>
      <c r="BY329" s="102" t="str">
        <f t="shared" si="43"/>
        <v/>
      </c>
      <c r="BZ329" s="107" t="str">
        <f t="shared" si="44"/>
        <v/>
      </c>
      <c r="CA329" s="108" t="str">
        <f t="shared" si="45"/>
        <v/>
      </c>
      <c r="CB329" s="108" t="str">
        <f t="shared" si="46"/>
        <v/>
      </c>
      <c r="CC329" s="109" t="str">
        <f t="shared" si="47"/>
        <v/>
      </c>
      <c r="CD329" s="108" t="str">
        <f t="shared" si="48"/>
        <v/>
      </c>
      <c r="CE329" s="108" t="str">
        <f t="shared" si="49"/>
        <v/>
      </c>
      <c r="CF329" s="109" t="str">
        <f t="shared" si="50"/>
        <v/>
      </c>
      <c r="CG329" s="110" t="str">
        <f t="shared" si="51"/>
        <v/>
      </c>
      <c r="CH329" s="111"/>
    </row>
    <row r="330" spans="1:86" ht="12.75">
      <c r="A330" s="101"/>
      <c r="B330" s="102" t="e">
        <f t="array" aca="1" ref="B330" ca="1">_xludf.XLOOKUP(A330,'QA Log'!D:D,'QA Log'!E:E,"")</f>
        <v>#NAME?</v>
      </c>
      <c r="C330" s="102" t="e">
        <f t="array" aca="1" ref="C330" ca="1">_xludf.XLOOKUP(A330,'QA Log'!D:D,'QA Log'!F:F,"")</f>
        <v>#NAME?</v>
      </c>
      <c r="D330" s="102" t="e">
        <f t="array" aca="1" ref="D330" ca="1">_xludf.XLOOKUP(A330,'QA Log'!D:D,'QA Log'!H:H,"")</f>
        <v>#NAME?</v>
      </c>
      <c r="E330" s="102" t="e">
        <f t="array" aca="1" ref="E330" ca="1">_xludf.XLOOKUP(A330,'QA Log'!D:D,'QA Log'!G:G,"")</f>
        <v>#NAME?</v>
      </c>
      <c r="F330" s="103"/>
      <c r="G330" s="104"/>
      <c r="H330" s="104"/>
      <c r="I330" s="103" t="str">
        <f t="shared" si="26"/>
        <v/>
      </c>
      <c r="J330" s="102" t="str">
        <f>IF(A330="","",SUM(
COUNTIFS('QA Log'!D:D,A330,'QA Log'!M:M,"QQC",'QA Log'!L:L,"*1. General Management*"),
COUNTIFS('QA Log'!D:D,A330,'QA Log'!M:M,"QQC",'QA Log'!L:L,"*3. Curative Consultation (OPD)*"),
COUNTIFS('QA Log'!D:D,A330,'QA Log'!M:M,"QQC",'QA Log'!L:L,"*5. Laboratory*"),
COUNTIFS('QA Log'!D:D,A330,'QA Log'!M:M,"QQC",'QA Log'!L:L,"*6. Essential Medicine Management*"),
COUNTIFS('QA Log'!D:D,A330,'QA Log'!M:M,"QQC",'QA Log'!L:L,"*7. Tracer Medicine*"),
COUNTIFS('QA Log'!D:D,A330,'QA Log'!M:M,"QQC",'QA Log'!L:L,"*11. Additional Questions*")))</f>
        <v/>
      </c>
      <c r="K330" s="102" t="str">
        <f>IF(A330="","",SUM(
COUNTIFS('QA Log'!D:D,A330,'QA Log'!M:M,"QQC",'QA Log'!Z:Z,"Approved",'QA Log'!L:L,"*1. General Management*"),
COUNTIFS('QA Log'!D:D,A330,'QA Log'!M:M,"QQC",'QA Log'!Z:Z,"Approved",'QA Log'!L:L,"*3. Curative Consultation (OPD)*"),
COUNTIFS('QA Log'!D:D,A330,'QA Log'!M:M,"QQC",'QA Log'!Z:Z,"Approved",'QA Log'!L:L,"*5. Laboratory*"),
COUNTIFS('QA Log'!D:D,A330,'QA Log'!M:M,"QQC",'QA Log'!Z:Z,"Approved",'QA Log'!L:L,"*6. Essential Medicine Management*"),
COUNTIFS('QA Log'!D:D,A330,'QA Log'!M:M,"QQC",'QA Log'!Z:Z,"Approved",'QA Log'!L:L,"*7. Tracer Medicine*"),
COUNTIFS('QA Log'!D:D,A330,'QA Log'!M:M,"QQC",'QA Log'!Z:Z,"Approved",'QA Log'!L:L,"*11. Additional Questions*")))</f>
        <v/>
      </c>
      <c r="L330" s="105" t="str">
        <f>IF(A330&lt;&gt;"",COUNTIFS('QA Log'!D:D,A330,'QA Log'!M:M,"QQC",'QA Log'!L:L,"1. General Management",'QA Log'!Z:Z,"Approved"),"")</f>
        <v/>
      </c>
      <c r="M330" s="105" t="str">
        <f>IF(A330&lt;&gt;"",COUNTIFS('QA Log'!D:D,A330,'QA Log'!M:M,"QQC",'QA Log'!L:L,"3. Curative Consultation (OPD)",'QA Log'!Z:Z,"Approved"),"")</f>
        <v/>
      </c>
      <c r="N330" s="105" t="str">
        <f>IF(A330&lt;&gt;"",COUNTIFS('QA Log'!D:D,A330,'QA Log'!M:M,"QQC",'QA Log'!L:L,"5. Laboratory",'QA Log'!Z:Z,"Approved"),"")</f>
        <v/>
      </c>
      <c r="O330" s="105" t="str">
        <f>IF(A330&lt;&gt;"",COUNTIFS('QA Log'!D:D,A330,'QA Log'!M:M,"QQC",'QA Log'!L:L,"6. Essential Medicine Management",'QA Log'!Z:Z,"Approved"),"")</f>
        <v/>
      </c>
      <c r="P330" s="105" t="str">
        <f>IF(A330&lt;&gt;"",COUNTIFS('QA Log'!D:D,A330,'QA Log'!M:M,"QQC",'QA Log'!L:L,"7. Tracer Medicine",'QA Log'!Z:Z,"Approved"),"")</f>
        <v/>
      </c>
      <c r="Q330" s="105" t="str">
        <f>IF(A330&lt;&gt;"",COUNTIFS('QA Log'!D:D,A330,'QA Log'!M:M,"QQC",'QA Log'!L:L,"11. Additional Questions",'QA Log'!Z:Z,"Approved"),"")</f>
        <v/>
      </c>
      <c r="R330" s="102" t="str">
        <f>IF(A330="","",SUM(
COUNTIFS('QA Log'!D:D,A330,'QA Log'!M:M,"QQC",'QA Log'!Z:Z,"Rejected",'QA Log'!L:L,"*8. Maternity*"),
COUNTIFS('QA Log'!D:D,A330,'QA Log'!M:M,"QQC",'QA Log'!Z:Z,"Rejected",'QA Log'!L:L,"*EPI*"),
COUNTIFS('QA Log'!D:D,A330,'QA Log'!M:M,"QQC",'QA Log'!Z:Z,"Rejected",'QA Log'!L:L,"*10. Antenatal Care (ANC)*"),
COUNTIFS('QA Log'!D:D,A330,'QA Log'!M:M,"QQC",'QA Log'!Z:Z,"Rejected",'QA Log'!L:L,"*2. Hygiene and Sterilization*"),
COUNTIFS('QA Log'!D:D,A330,'QA Log'!M:M,"QQC",'QA Log'!Z:Z,"Rejected",'QA Log'!L:L,"*Family Planning*")))</f>
        <v/>
      </c>
      <c r="S330" s="106" t="str">
        <f t="shared" si="27"/>
        <v/>
      </c>
      <c r="T330" s="102" t="str">
        <f t="shared" si="28"/>
        <v/>
      </c>
      <c r="U330" s="102" t="str">
        <f>IF(A330="","",
SUM(
COUNTIFS('QA Log'!D:D,A330,'QA Log'!M:M,"QQC",'QA Log'!L:L,"*8. Maternity*"),
COUNTIFS('QA Log'!D:D,A330,'QA Log'!M:M,"QQC",'QA Log'!L:L,"*9. EPI and Pre-school Consultation*"),
COUNTIFS('QA Log'!D:D,A330,'QA Log'!M:M,"QQC",'QA Log'!L:L,"*10. Antenatal Care (ANC)*"),
COUNTIFS('QA Log'!D:D,A330,'QA Log'!M:M,"QQC",'QA Log'!L:L,"*2. Hygiene and Sterilization*"),
COUNTIFS('QA Log'!D:D,A330,'QA Log'!M:M,"QQC",'QA Log'!L:L,"*4. Family Planning*")
))</f>
        <v/>
      </c>
      <c r="V330" s="102" t="str">
        <f>IF(A330="","",
SUM(
COUNTIFS('QA Log'!D:D,A330,'QA Log'!M:M,"QQC",'QA Log'!Z:Z,"Approved",'QA Log'!L:L,"*8. Maternity*"),
COUNTIFS('QA Log'!D:D,A330,'QA Log'!M:M,"QQC",'QA Log'!Z:Z,"Approved",'QA Log'!L:L,"*9. EPI and Pre-school Consultation*"),
COUNTIFS('QA Log'!D:D,A330,'QA Log'!M:M,"QQC",'QA Log'!Z:Z,"Approved",'QA Log'!L:L,"*10. Antenatal Care (ANC)*"),
COUNTIFS('QA Log'!D:D,A330,'QA Log'!M:M,"QQC",'QA Log'!Z:Z,"Approved",'QA Log'!L:L,"*2. Hygiene and Sterilization*"),
COUNTIFS('QA Log'!D:D,A330,'QA Log'!M:M,"QQC",'QA Log'!Z:Z,"Approved",'QA Log'!L:L,"*4. Family Planning*")
))</f>
        <v/>
      </c>
      <c r="W330" s="105" t="str">
        <f>IF(A330&lt;&gt;"",COUNTIFS('QA Log'!D:D,A330,'QA Log'!M:M,"QQC",'QA Log'!L:L,"8. Maternity",'QA Log'!Z:Z,"Approved"),"")</f>
        <v/>
      </c>
      <c r="X330" s="105" t="str">
        <f>IF(A330&lt;&gt;"",COUNTIFS('QA Log'!D:D,A330,'QA Log'!M:M,"QQC",'QA Log'!L:L,"9. EPI and Pre-school Consultation",'QA Log'!Z:Z,"Approved"),"")</f>
        <v/>
      </c>
      <c r="Y330" s="105" t="str">
        <f>IF(A330&lt;&gt;"",COUNTIFS('QA Log'!D:D,A330,'QA Log'!M:M,"QQC",'QA Log'!L:L,"10. Antenatal Care (ANC)",'QA Log'!Z:Z,"Approved"),"")</f>
        <v/>
      </c>
      <c r="Z330" s="105" t="str">
        <f>IF(A330&lt;&gt;"",COUNTIFS('QA Log'!D:D,A330,'QA Log'!M:M,"QQC",'QA Log'!L:L,"2. Hygiene and Sterilization",'QA Log'!Z:Z,"Approved"),"")</f>
        <v/>
      </c>
      <c r="AA330" s="105" t="str">
        <f>IF(A330&lt;&gt;"",COUNTIFS('QA Log'!D:D,A330,'QA Log'!M:M,"QQC",'QA Log'!L:L,"4. Family Planning",'QA Log'!Z:Z,"Approved"),"")</f>
        <v/>
      </c>
      <c r="AB330" s="102" t="str">
        <f>IF(A330="","",
SUM(
COUNTIFS('QA Log'!D:D,A330,'QA Log'!M:M,"QQC",'QA Log'!Z:Z,"Rejected",'QA Log'!L:L,"*8. Maternity*"),
COUNTIFS('QA Log'!D:D,A330,'QA Log'!M:M,"QQC",'QA Log'!Z:Z,"Rejected",'QA Log'!L:L,"*9. EPI and Pre-school Consultation*"),
COUNTIFS('QA Log'!D:D,A330,'QA Log'!M:M,"QQC",'QA Log'!Z:Z,"Rejected",'QA Log'!L:L,"*10. Antenatal Care (ANC)*"),
COUNTIFS('QA Log'!D:D,A330,'QA Log'!M:M,"QQC",'QA Log'!Z:Z,"Rejected",'QA Log'!L:L,"*2. Hygiene and Sterilization*"),
COUNTIFS('QA Log'!D:D,A330,'QA Log'!M:M,"QQC",'QA Log'!Z:Z,"Rejected",'QA Log'!L:L,"*4. Family Planning*")
))</f>
        <v/>
      </c>
      <c r="AC330" s="102" t="str">
        <f t="shared" si="29"/>
        <v/>
      </c>
      <c r="AD330" s="103" t="str">
        <f t="shared" si="30"/>
        <v/>
      </c>
      <c r="AE330" s="102" t="str">
        <f>IF(A330="","",
SUM(
COUNTIFS('QA Log'!D:D,A330,'QA Log'!M:M,"Data Verification",'QA Log'!L:L,"*Medicine (section 2)*"),
COUNTIFS('QA Log'!D:D,A330,'QA Log'!M:M,"Data Verification",'QA Log'!L:L,"*Lab Testing Availability*"),
COUNTIFS('QA Log'!D:D,A330,'QA Log'!M:M,"Data Verification",'QA Log'!L:L,"*Other than P4P (section 6)*"),
COUNTIFS('QA Log'!D:D,A330,'QA Log'!M:M,"Data Verification",'QA Log'!L:L,"*Hospital Governance*")
))</f>
        <v/>
      </c>
      <c r="AF330" s="102" t="str">
        <f>IF(A330="","",
SUM(
COUNTIFS('QA Log'!D:D,A330,'QA Log'!M:M,"Data Verification",'QA Log'!Z:Z,"Approved",'QA Log'!L:L,"*Medicine (section 2)*"),
COUNTIFS('QA Log'!D:D,A330,'QA Log'!M:M,"Data Verification",'QA Log'!Z:Z,"Approved",'QA Log'!L:L,"*Lab Testing Availability*"),
COUNTIFS('QA Log'!D:D,A330,'QA Log'!M:M,"Data Verification",'QA Log'!Z:Z,"Approved",'QA Log'!L:L,"*Other than P4P (section 6)*"),
COUNTIFS('QA Log'!D:D,A330,'QA Log'!M:M,"Data Verification",'QA Log'!Z:Z,"Approved",'QA Log'!L:L,"*Hospital Governance*")
))</f>
        <v/>
      </c>
      <c r="AG330" s="105" t="str">
        <f>IF(A330&lt;&gt;"",COUNTIFS('QA Log'!D:D,A330,'QA Log'!M:M,"Data Verification",'QA Log'!L:L,"Medicine (section 2)",'QA Log'!Z:Z,"Approved"),"")</f>
        <v/>
      </c>
      <c r="AH330" s="105" t="str">
        <f>IF(A330&lt;&gt;"",COUNTIFS('QA Log'!D:D,A330,'QA Log'!M:M,"Data Verification",'QA Log'!L:L,"Lab Testing Availability",'QA Log'!Z:Z,"Approved"),"")</f>
        <v/>
      </c>
      <c r="AI330" s="105" t="str">
        <f>IF(A330&lt;&gt;"",COUNTIFS('QA Log'!D:D,A330,'QA Log'!M:M,"Data Verification",'QA Log'!L:L,"Other than P4P (section 6)",'QA Log'!Z:Z,"Approved"),"")</f>
        <v/>
      </c>
      <c r="AJ330" s="105" t="str">
        <f>IF(A330&lt;&gt;"",COUNTIFS('QA Log'!D:D,A330,'QA Log'!M:M,"Data Verification",'QA Log'!L:L,"Hospital Governance",'QA Log'!Z:Z,"Approved"),"")</f>
        <v/>
      </c>
      <c r="AK330" s="102" t="str">
        <f>IF(A330="","",
SUM(
COUNTIFS('QA Log'!D:D,A330,'QA Log'!M:M,"Data Verification",'QA Log'!Z:Z,"Rejected",'QA Log'!L:L,"*Medicine (section 2)*"),
COUNTIFS('QA Log'!D:D,A330,'QA Log'!M:M,"Data Verification",'QA Log'!Z:Z,"Rejected",'QA Log'!L:L,"*Lab Testing Availability*"),
COUNTIFS('QA Log'!D:D,A330,'QA Log'!M:M,"Data Verification",'QA Log'!Z:Z,"Rejected",'QA Log'!L:L,"*Other than P4P (section 6)*"),
COUNTIFS('QA Log'!D:D,A330,'QA Log'!M:M,"Data Verification",'QA Log'!Z:Z,"Rejected",'QA Log'!L:L,"*Hospital Governance*")
))</f>
        <v/>
      </c>
      <c r="AL330" s="106" t="str">
        <f t="shared" si="31"/>
        <v/>
      </c>
      <c r="AM330" s="102" t="str">
        <f t="shared" si="32"/>
        <v/>
      </c>
      <c r="AN330" s="102" t="str">
        <f>IF(A330="","",
SUM(
COUNTIFS('QA Log'!D:D,A330,'QA Log'!M:M,"Data Verification",'QA Log'!L:L,"*Personnel (section 1)*"),
COUNTIFS('QA Log'!D:D,A330,'QA Log'!M:M,"Data Verification",'QA Log'!L:L,"*Consumable (section 3)*"),
COUNTIFS('QA Log'!D:D,A330,'QA Log'!M:M,"Data Verification",'QA Log'!L:L,"*Equipments (section 4)*")
))</f>
        <v/>
      </c>
      <c r="AO330" s="102" t="str">
        <f>IF(A330="","",
SUM(
COUNTIFS('QA Log'!D:D,A330,'QA Log'!M:M,"Data Verification",'QA Log'!Z:Z,"Approved",'QA Log'!L:L,"*Personnel (section 1)*"),
COUNTIFS('QA Log'!D:D,A330,'QA Log'!M:M,"Data Verification",'QA Log'!Z:Z,"Approved",'QA Log'!L:L,"*Consumable (section 3)*"),
COUNTIFS('QA Log'!D:D,A330,'QA Log'!M:M,"Data Verification",'QA Log'!Z:Z,"Approved",'QA Log'!L:L,"*Equipments (section 4)*")
))</f>
        <v/>
      </c>
      <c r="AP330" s="105" t="str">
        <f>IF(A330&lt;&gt;"",COUNTIFS('QA Log'!D:D,A330,'QA Log'!M:M,"Data Verification",'QA Log'!L:L,"Personnel (section 1)",'QA Log'!Z:Z,"Approved"),"")</f>
        <v/>
      </c>
      <c r="AQ330" s="105" t="str">
        <f>IF(A330&lt;&gt;"",COUNTIFS('QA Log'!D:D,A330,'QA Log'!M:M,"Data Verification",'QA Log'!L:L,"Consumable (section 3)",'QA Log'!Z:Z,"Approved"),"")</f>
        <v/>
      </c>
      <c r="AR330" s="105" t="str">
        <f>IF(A330&lt;&gt;"",COUNTIFS('QA Log'!D:D,A330,'QA Log'!M:M,"Data Verification",'QA Log'!L:L,"Equipments (section 4)",'QA Log'!Z:Z,"Approved"),"")</f>
        <v/>
      </c>
      <c r="AS330" s="102" t="str">
        <f>IF(A330="","",
SUM(
COUNTIFS('QA Log'!D:D,A330,'QA Log'!M:M,"Data Verification",'QA Log'!Z:Z,"Rejected",'QA Log'!L:L,"*Personnel (section 1)*"),
COUNTIFS('QA Log'!D:D,A330,'QA Log'!M:M,"Data Verification",'QA Log'!Z:Z,"Rejected",'QA Log'!L:L,"*Consumable (section 3)*"),
COUNTIFS('QA Log'!D:D,A330,'QA Log'!M:M,"Data Verification",'QA Log'!Z:Z,"Rejected",'QA Log'!L:L,"*Equipments (section 4)*")
))</f>
        <v/>
      </c>
      <c r="AT330" s="102" t="str">
        <f t="shared" si="33"/>
        <v/>
      </c>
      <c r="AU330" s="103" t="str">
        <f t="shared" si="34"/>
        <v/>
      </c>
      <c r="AV330" s="102" t="str">
        <f>IF(A330="","",SUM(
COUNTIFS('QA Log'!D:D,A330,'QA Log'!M:M,"Vignette",'QA Log'!L:L,"*Vignette [1] Respiratory Infection: Pneumonia*"),
COUNTIFS('QA Log'!D:D,A330,'QA Log'!M:M,"Vignette",'QA Log'!L:L,"*Vignette [2]: Diarrhea with Cat B dehydration*"),
COUNTIFS('QA Log'!D:D,A330,'QA Log'!M:M,"Vignette",'QA Log'!L:L,"*Vignette [3] Growth Monitoring and Promotion*"),
COUNTIFS('QA Log'!D:D,A330,'QA Log'!M:M,"Vignette",'QA Log'!L:L,"*Vignette [4]: The management of presumptive TB patient*")
)
)</f>
        <v/>
      </c>
      <c r="AW330" s="102" t="str">
        <f>IF(
  A330="","",
  SUM(
    COUNTIFS('QA Log'!D:D,A330,'QA Log'!M:M,"Vignette",'QA Log'!Z:Z,"Approved",'QA Log'!L:L,"*Vignette [1] Respiratory Infection: Pneumonia*"),
    COUNTIFS('QA Log'!D:D,A330,'QA Log'!M:M,"Vignette",'QA Log'!Z:Z,"Approved",'QA Log'!L:L,"*Vignette [2]: Diarrhea with Cat B dehydration*"),
    COUNTIFS('QA Log'!D:D,A330,'QA Log'!M:M,"Vignette",'QA Log'!Z:Z,"Approved",'QA Log'!L:L,"*Vignette [3] Growth Monitoring and Promotion*"),
    COUNTIFS('QA Log'!D:D,A330,'QA Log'!M:M,"Vignette",'QA Log'!Z:Z,"Approved",'QA Log'!L:L,"*Vignette [4]: The management of presumptive TB patient*")
  )
)</f>
        <v/>
      </c>
      <c r="AX330" s="105" t="str">
        <f>IF(A330&lt;&gt;"",COUNTIFS('QA Log'!D:D,A330,'QA Log'!M:M,"Vignette",'QA Log'!L:L,"Vignette [1] Respiratory Infection: Pneumonia",'QA Log'!Z:Z,"Approved"),"")</f>
        <v/>
      </c>
      <c r="AY330" s="105" t="str">
        <f>IF(A330&lt;&gt;"",COUNTIFS('QA Log'!D:D,A330,'QA Log'!M:M,"Vignette",'QA Log'!L:L,"Vignette [2]: Diarrhea with Cat B dehydration",'QA Log'!Z:Z,"Approved"),"")</f>
        <v/>
      </c>
      <c r="AZ330" s="105" t="str">
        <f>IF(A330&lt;&gt;"",COUNTIFS('QA Log'!D:D,A330,'QA Log'!M:M,"Vignette",'QA Log'!L:L,"Vignette [3] Growth Monitoring and Promotion",'QA Log'!Z:Z,"Approved"),"")</f>
        <v/>
      </c>
      <c r="BA330" s="105" t="str">
        <f>IF(A330&lt;&gt;"",COUNTIFS('QA Log'!D:D,A330,'QA Log'!M:M,"Vignette",'QA Log'!L:L,"Vignette [4]: The management of presumptive TB patient",'QA Log'!Z:Z,"Approved"),"")</f>
        <v/>
      </c>
      <c r="BB330" s="102" t="str">
        <f>IF(A330="","",
  SUM(
    COUNTIFS('QA Log'!D:D,A330,'QA Log'!M:M,"Vignette",'QA Log'!Z:Z,"Rejected",'QA Log'!L:L,"*Vignette [1] Respiratory Infection: Pneumonia*"),
    COUNTIFS('QA Log'!D:D,A330,'QA Log'!M:M,"Vignette",'QA Log'!Z:Z,"Rejected",'QA Log'!L:L,"*Vignette [2]: Diarrhea with Cat B dehydration*"),
    COUNTIFS('QA Log'!D:D,A330,'QA Log'!M:M,"Vignette",'QA Log'!Z:Z,"Rejected",'QA Log'!L:L,"*Vignette [3] Growth Monitoring and Promotion*"),
    COUNTIFS('QA Log'!D:D,A330,'QA Log'!M:M,"Vignette",'QA Log'!Z:Z,"Rejected",'QA Log'!L:L,"*Vignette [4]: The management of presumptive TB patient*")
  )
)</f>
        <v/>
      </c>
      <c r="BC330" s="107" t="str">
        <f t="shared" si="35"/>
        <v/>
      </c>
      <c r="BD330" s="103" t="str">
        <f t="shared" si="36"/>
        <v/>
      </c>
      <c r="BE330" s="102" t="str">
        <f>IF(A330="","",SUM(
COUNTIFS('QA Log'!D:D,A330,'QA Log'!M:M,"Vignette",'QA Log'!L:L,"*Vignette [5] Labor*"),
COUNTIFS('QA Log'!D:D,A330,'QA Log'!M:M,"Vignette",'QA Log'!L:L,"*Vignette [6] PNC pre Discharge*"),
COUNTIFS('QA Log'!D:D,A330,'QA Log'!M:M,"Vignette",'QA Log'!L:L,"*Vignette [7] First ANC Visit*"),
COUNTIFS('QA Log'!D:D,A330,'QA Log'!M:M,"Vignette",'QA Log'!L:L,"*Vignette [8] Birth Spacing/ Family Planning :  FP Counselling*"),
COUNTIFS('QA Log'!D:D,A330,'QA Log'!M:M,"Vignette",'QA Log'!L:L,"*Vignette [9] Birth Spacing: Change FP method to Injectable*"),
COUNTIFS('QA Log'!D:D,A330,'QA Log'!M:M,"Vignette",'QA Log'!L:L,"*Vignette [10] Post Partum Haemorrhage - Atonic Uterus at Health Centre*"),
)
)</f>
        <v/>
      </c>
      <c r="BF330" s="102" t="str">
        <f>IF(A330="","",
  SUM(
    COUNTIFS('QA Log'!D:D,A330,'QA Log'!M:M,"Vignette",'QA Log'!Z:Z,"Approved",'QA Log'!L:L,"*Vignette [5] Labor*"),
    COUNTIFS('QA Log'!D:D,A330,'QA Log'!M:M,"Vignette",'QA Log'!Z:Z,"Approved",'QA Log'!L:L,"*Vignette [6] PNC pre Discharge*"),
    COUNTIFS('QA Log'!D:D,A330,'QA Log'!M:M,"Vignette",'QA Log'!Z:Z,"Approved",'QA Log'!L:L,"*Vignette [7] First ANC Visit*"),
    COUNTIFS('QA Log'!D:D,A330,'QA Log'!M:M,"Vignette",'QA Log'!Z:Z,"Approved",'QA Log'!L:L,"*Vignette [8] Birth Spacing/ Family Planning :  FP Counselling*"),
    COUNTIFS('QA Log'!D:D,A330,'QA Log'!M:M,"Vignette",'QA Log'!Z:Z,"Approved",'QA Log'!L:L,"*Vignette [9] Birth Spacing: Change FP method to Injectable*"),
    COUNTIFS('QA Log'!D:D,A330,'QA Log'!M:M,"Vignette",'QA Log'!Z:Z,"Approved",'QA Log'!L:L,"*Vignette [10] Post Partum Haemorrhage - Atonic Uterus at Health Centre*")
  )
)</f>
        <v/>
      </c>
      <c r="BG330" s="105" t="str">
        <f>IF(A330&lt;&gt;"",COUNTIFS('QA Log'!D:D,A330,'QA Log'!M:M,"Vignette",'QA Log'!L:L,"Vignette [5] Labor",'QA Log'!Z:Z,"Approved"),"")</f>
        <v/>
      </c>
      <c r="BH330" s="105" t="str">
        <f>IF(A330&lt;&gt;"",COUNTIFS('QA Log'!D:D,A330,'QA Log'!M:M,"Vignette",'QA Log'!L:L,"Vignette [6] PNC pre Discharge",'QA Log'!Z:Z,"Approved"),"")</f>
        <v/>
      </c>
      <c r="BI330" s="105" t="str">
        <f>IF(A330&lt;&gt;"",COUNTIFS('QA Log'!D:D,A330,'QA Log'!M:M,"Vignette",'QA Log'!L:L,"Vignette [7] First ANC Visit",'QA Log'!Z:Z,"Approved"),"")</f>
        <v/>
      </c>
      <c r="BJ330" s="105" t="str">
        <f>IF(A330&lt;&gt;"",COUNTIFS('QA Log'!D:D,A330,'QA Log'!M:M,"Vignette",'QA Log'!L:L,"Vignette [8] Birth Spacing/ Family Planning :  FP Counselling",'QA Log'!Z:Z,"Approved"),"")</f>
        <v/>
      </c>
      <c r="BK330" s="105" t="str">
        <f>IF(A330&lt;&gt;"",COUNTIFS('QA Log'!D:D,A330,'QA Log'!M:M,"Vignette",'QA Log'!L:L,"Vignette [9] Birth Spacing: Change FP method to Injectable",'QA Log'!Z:Z,"Approved"),"")</f>
        <v/>
      </c>
      <c r="BL330" s="105" t="str">
        <f>IF(A330&lt;&gt;"",COUNTIFS('QA Log'!D:D,A330,'QA Log'!M:M,"Vignette",'QA Log'!L:L,"Vignette [10] Post Partum Haemorrhage - Atonic Uterus at Health Centre",'QA Log'!Z:Z,"Approved"),"")</f>
        <v/>
      </c>
      <c r="BM330" s="102" t="str">
        <f>IF(A330="","",SUM(
    COUNTIFS('QA Log'!D:D,A330,'QA Log'!M:M,"Vignette",'QA Log'!Z:Z,"Rejected",'QA Log'!L:L,"*Vignette [5] Labor*"),
    COUNTIFS('QA Log'!D:D,A330,'QA Log'!M:M,"Vignette",'QA Log'!Z:Z,"Rejected",'QA Log'!L:L,"*Vignette [6] PNC pre Discharge*"),
    COUNTIFS('QA Log'!D:D,A330,'QA Log'!M:M,"Vignette",'QA Log'!Z:Z,"Rejected",'QA Log'!L:L,"*Vignette [7] First ANC Visit*"),
    COUNTIFS('QA Log'!D:D,A330,'QA Log'!M:M,"Vignette",'QA Log'!Z:Z,"Rejected",'QA Log'!L:L,"*Vignette [8] Birth Spacing/ Family Planning :  FP Counselling*"),
    COUNTIFS('QA Log'!D:D,A330,'QA Log'!M:M,"Vignette",'QA Log'!Z:Z,"Rejected",'QA Log'!L:L,"*Vignette [9] Birth Spacing: Change FP method to Injectable*"),
    COUNTIFS('QA Log'!D:D,A330,'QA Log'!M:M,"Vignette",'QA Log'!Z:Z,"Rejected",'QA Log'!L:L,"*Vignette [10] Post Partum Haemorrhage - Atonic Uterus at Health Centre*")
  )
)</f>
        <v/>
      </c>
      <c r="BN330" s="107" t="str">
        <f t="shared" si="37"/>
        <v/>
      </c>
      <c r="BO330" s="103" t="str">
        <f t="shared" si="38"/>
        <v/>
      </c>
      <c r="BP330" s="102" t="str">
        <f>IF(A330="","",SUM(
COUNTIFS('QA Log'!D:D,A330,'QA Log'!M:M,"Vignette",'QA Log'!L:L,"*Exit Interview 1*"),
COUNTIFS('QA Log'!D:D,A330,'QA Log'!M:M,"Vignette",'QA Log'!L:L,"*Exit Interview 2*"),
)
)</f>
        <v/>
      </c>
      <c r="BQ330" s="102" t="str">
        <f>IF(
  A330="","",
  SUM(
    COUNTIFS('QA Log'!D:D,A330,'QA Log'!M:M,"Vignette",'QA Log'!Z:Z,"Approved",'QA Log'!L:L,"*Exit Interview 1*"),
    COUNTIFS('QA Log'!D:D,A330,'QA Log'!M:M,"Vignette",'QA Log'!Z:Z,"Approved",'QA Log'!L:L,"*Exit Interview 2*")
  )
)</f>
        <v/>
      </c>
      <c r="BR330" s="105" t="str">
        <f>IF(A330&lt;&gt;"",COUNTIFS('QA Log'!D:D,A330,'QA Log'!M:M,"Vignette",'QA Log'!L:L,"Exit Interview 1",'QA Log'!Z:Z,"Approved"),"")</f>
        <v/>
      </c>
      <c r="BS330" s="105" t="str">
        <f>IF(A330&lt;&gt;"",COUNTIFS('QA Log'!D:D,A330,'QA Log'!M:M,"Vignette",'QA Log'!L:L,"Exit Interview 2",'QA Log'!Z:Z,"Approved"),"")</f>
        <v/>
      </c>
      <c r="BT330" s="102" t="str">
        <f>IF(
  A330="","",
  SUM(
    COUNTIFS('QA Log'!D:D,A330,'QA Log'!M:M,"Vignette",'QA Log'!Z:Z,"Rejected",'QA Log'!L:L,"*Exit Interview 1*"),
    COUNTIFS('QA Log'!D:D,A330,'QA Log'!M:M,"Vignette",'QA Log'!Z:Z,"Rejected",'QA Log'!L:L,"*Exit Interview 2*")
  )
)</f>
        <v/>
      </c>
      <c r="BU330" s="107" t="str">
        <f t="shared" si="39"/>
        <v/>
      </c>
      <c r="BV330" s="102" t="str">
        <f t="shared" si="40"/>
        <v/>
      </c>
      <c r="BW330" s="102" t="str">
        <f t="shared" si="41"/>
        <v/>
      </c>
      <c r="BX330" s="102" t="str">
        <f t="shared" si="42"/>
        <v/>
      </c>
      <c r="BY330" s="102" t="str">
        <f t="shared" si="43"/>
        <v/>
      </c>
      <c r="BZ330" s="107" t="str">
        <f t="shared" si="44"/>
        <v/>
      </c>
      <c r="CA330" s="108" t="str">
        <f t="shared" si="45"/>
        <v/>
      </c>
      <c r="CB330" s="108" t="str">
        <f t="shared" si="46"/>
        <v/>
      </c>
      <c r="CC330" s="109" t="str">
        <f t="shared" si="47"/>
        <v/>
      </c>
      <c r="CD330" s="108" t="str">
        <f t="shared" si="48"/>
        <v/>
      </c>
      <c r="CE330" s="108" t="str">
        <f t="shared" si="49"/>
        <v/>
      </c>
      <c r="CF330" s="109" t="str">
        <f t="shared" si="50"/>
        <v/>
      </c>
      <c r="CG330" s="110" t="str">
        <f t="shared" si="51"/>
        <v/>
      </c>
      <c r="CH330" s="111"/>
    </row>
    <row r="331" spans="1:86" ht="12.75">
      <c r="A331" s="101"/>
      <c r="B331" s="102" t="e">
        <f t="array" aca="1" ref="B331" ca="1">_xludf.XLOOKUP(A331,'QA Log'!D:D,'QA Log'!E:E,"")</f>
        <v>#NAME?</v>
      </c>
      <c r="C331" s="102" t="e">
        <f t="array" aca="1" ref="C331" ca="1">_xludf.XLOOKUP(A331,'QA Log'!D:D,'QA Log'!F:F,"")</f>
        <v>#NAME?</v>
      </c>
      <c r="D331" s="102" t="e">
        <f t="array" aca="1" ref="D331" ca="1">_xludf.XLOOKUP(A331,'QA Log'!D:D,'QA Log'!H:H,"")</f>
        <v>#NAME?</v>
      </c>
      <c r="E331" s="102" t="e">
        <f t="array" aca="1" ref="E331" ca="1">_xludf.XLOOKUP(A331,'QA Log'!D:D,'QA Log'!G:G,"")</f>
        <v>#NAME?</v>
      </c>
      <c r="F331" s="103"/>
      <c r="G331" s="104"/>
      <c r="H331" s="104"/>
      <c r="I331" s="103" t="str">
        <f t="shared" si="26"/>
        <v/>
      </c>
      <c r="J331" s="102" t="str">
        <f>IF(A331="","",SUM(
COUNTIFS('QA Log'!D:D,A331,'QA Log'!M:M,"QQC",'QA Log'!L:L,"*1. General Management*"),
COUNTIFS('QA Log'!D:D,A331,'QA Log'!M:M,"QQC",'QA Log'!L:L,"*3. Curative Consultation (OPD)*"),
COUNTIFS('QA Log'!D:D,A331,'QA Log'!M:M,"QQC",'QA Log'!L:L,"*5. Laboratory*"),
COUNTIFS('QA Log'!D:D,A331,'QA Log'!M:M,"QQC",'QA Log'!L:L,"*6. Essential Medicine Management*"),
COUNTIFS('QA Log'!D:D,A331,'QA Log'!M:M,"QQC",'QA Log'!L:L,"*7. Tracer Medicine*"),
COUNTIFS('QA Log'!D:D,A331,'QA Log'!M:M,"QQC",'QA Log'!L:L,"*11. Additional Questions*")))</f>
        <v/>
      </c>
      <c r="K331" s="102" t="str">
        <f>IF(A331="","",SUM(
COUNTIFS('QA Log'!D:D,A331,'QA Log'!M:M,"QQC",'QA Log'!Z:Z,"Approved",'QA Log'!L:L,"*1. General Management*"),
COUNTIFS('QA Log'!D:D,A331,'QA Log'!M:M,"QQC",'QA Log'!Z:Z,"Approved",'QA Log'!L:L,"*3. Curative Consultation (OPD)*"),
COUNTIFS('QA Log'!D:D,A331,'QA Log'!M:M,"QQC",'QA Log'!Z:Z,"Approved",'QA Log'!L:L,"*5. Laboratory*"),
COUNTIFS('QA Log'!D:D,A331,'QA Log'!M:M,"QQC",'QA Log'!Z:Z,"Approved",'QA Log'!L:L,"*6. Essential Medicine Management*"),
COUNTIFS('QA Log'!D:D,A331,'QA Log'!M:M,"QQC",'QA Log'!Z:Z,"Approved",'QA Log'!L:L,"*7. Tracer Medicine*"),
COUNTIFS('QA Log'!D:D,A331,'QA Log'!M:M,"QQC",'QA Log'!Z:Z,"Approved",'QA Log'!L:L,"*11. Additional Questions*")))</f>
        <v/>
      </c>
      <c r="L331" s="105" t="str">
        <f>IF(A331&lt;&gt;"",COUNTIFS('QA Log'!D:D,A331,'QA Log'!M:M,"QQC",'QA Log'!L:L,"1. General Management",'QA Log'!Z:Z,"Approved"),"")</f>
        <v/>
      </c>
      <c r="M331" s="105" t="str">
        <f>IF(A331&lt;&gt;"",COUNTIFS('QA Log'!D:D,A331,'QA Log'!M:M,"QQC",'QA Log'!L:L,"3. Curative Consultation (OPD)",'QA Log'!Z:Z,"Approved"),"")</f>
        <v/>
      </c>
      <c r="N331" s="105" t="str">
        <f>IF(A331&lt;&gt;"",COUNTIFS('QA Log'!D:D,A331,'QA Log'!M:M,"QQC",'QA Log'!L:L,"5. Laboratory",'QA Log'!Z:Z,"Approved"),"")</f>
        <v/>
      </c>
      <c r="O331" s="105" t="str">
        <f>IF(A331&lt;&gt;"",COUNTIFS('QA Log'!D:D,A331,'QA Log'!M:M,"QQC",'QA Log'!L:L,"6. Essential Medicine Management",'QA Log'!Z:Z,"Approved"),"")</f>
        <v/>
      </c>
      <c r="P331" s="105" t="str">
        <f>IF(A331&lt;&gt;"",COUNTIFS('QA Log'!D:D,A331,'QA Log'!M:M,"QQC",'QA Log'!L:L,"7. Tracer Medicine",'QA Log'!Z:Z,"Approved"),"")</f>
        <v/>
      </c>
      <c r="Q331" s="105" t="str">
        <f>IF(A331&lt;&gt;"",COUNTIFS('QA Log'!D:D,A331,'QA Log'!M:M,"QQC",'QA Log'!L:L,"11. Additional Questions",'QA Log'!Z:Z,"Approved"),"")</f>
        <v/>
      </c>
      <c r="R331" s="102" t="str">
        <f>IF(A331="","",SUM(
COUNTIFS('QA Log'!D:D,A331,'QA Log'!M:M,"QQC",'QA Log'!Z:Z,"Rejected",'QA Log'!L:L,"*8. Maternity*"),
COUNTIFS('QA Log'!D:D,A331,'QA Log'!M:M,"QQC",'QA Log'!Z:Z,"Rejected",'QA Log'!L:L,"*EPI*"),
COUNTIFS('QA Log'!D:D,A331,'QA Log'!M:M,"QQC",'QA Log'!Z:Z,"Rejected",'QA Log'!L:L,"*10. Antenatal Care (ANC)*"),
COUNTIFS('QA Log'!D:D,A331,'QA Log'!M:M,"QQC",'QA Log'!Z:Z,"Rejected",'QA Log'!L:L,"*2. Hygiene and Sterilization*"),
COUNTIFS('QA Log'!D:D,A331,'QA Log'!M:M,"QQC",'QA Log'!Z:Z,"Rejected",'QA Log'!L:L,"*Family Planning*")))</f>
        <v/>
      </c>
      <c r="S331" s="106" t="str">
        <f t="shared" si="27"/>
        <v/>
      </c>
      <c r="T331" s="102" t="str">
        <f t="shared" si="28"/>
        <v/>
      </c>
      <c r="U331" s="102" t="str">
        <f>IF(A331="","",
SUM(
COUNTIFS('QA Log'!D:D,A331,'QA Log'!M:M,"QQC",'QA Log'!L:L,"*8. Maternity*"),
COUNTIFS('QA Log'!D:D,A331,'QA Log'!M:M,"QQC",'QA Log'!L:L,"*9. EPI and Pre-school Consultation*"),
COUNTIFS('QA Log'!D:D,A331,'QA Log'!M:M,"QQC",'QA Log'!L:L,"*10. Antenatal Care (ANC)*"),
COUNTIFS('QA Log'!D:D,A331,'QA Log'!M:M,"QQC",'QA Log'!L:L,"*2. Hygiene and Sterilization*"),
COUNTIFS('QA Log'!D:D,A331,'QA Log'!M:M,"QQC",'QA Log'!L:L,"*4. Family Planning*")
))</f>
        <v/>
      </c>
      <c r="V331" s="102" t="str">
        <f>IF(A331="","",
SUM(
COUNTIFS('QA Log'!D:D,A331,'QA Log'!M:M,"QQC",'QA Log'!Z:Z,"Approved",'QA Log'!L:L,"*8. Maternity*"),
COUNTIFS('QA Log'!D:D,A331,'QA Log'!M:M,"QQC",'QA Log'!Z:Z,"Approved",'QA Log'!L:L,"*9. EPI and Pre-school Consultation*"),
COUNTIFS('QA Log'!D:D,A331,'QA Log'!M:M,"QQC",'QA Log'!Z:Z,"Approved",'QA Log'!L:L,"*10. Antenatal Care (ANC)*"),
COUNTIFS('QA Log'!D:D,A331,'QA Log'!M:M,"QQC",'QA Log'!Z:Z,"Approved",'QA Log'!L:L,"*2. Hygiene and Sterilization*"),
COUNTIFS('QA Log'!D:D,A331,'QA Log'!M:M,"QQC",'QA Log'!Z:Z,"Approved",'QA Log'!L:L,"*4. Family Planning*")
))</f>
        <v/>
      </c>
      <c r="W331" s="105" t="str">
        <f>IF(A331&lt;&gt;"",COUNTIFS('QA Log'!D:D,A331,'QA Log'!M:M,"QQC",'QA Log'!L:L,"8. Maternity",'QA Log'!Z:Z,"Approved"),"")</f>
        <v/>
      </c>
      <c r="X331" s="105" t="str">
        <f>IF(A331&lt;&gt;"",COUNTIFS('QA Log'!D:D,A331,'QA Log'!M:M,"QQC",'QA Log'!L:L,"9. EPI and Pre-school Consultation",'QA Log'!Z:Z,"Approved"),"")</f>
        <v/>
      </c>
      <c r="Y331" s="105" t="str">
        <f>IF(A331&lt;&gt;"",COUNTIFS('QA Log'!D:D,A331,'QA Log'!M:M,"QQC",'QA Log'!L:L,"10. Antenatal Care (ANC)",'QA Log'!Z:Z,"Approved"),"")</f>
        <v/>
      </c>
      <c r="Z331" s="105" t="str">
        <f>IF(A331&lt;&gt;"",COUNTIFS('QA Log'!D:D,A331,'QA Log'!M:M,"QQC",'QA Log'!L:L,"2. Hygiene and Sterilization",'QA Log'!Z:Z,"Approved"),"")</f>
        <v/>
      </c>
      <c r="AA331" s="105" t="str">
        <f>IF(A331&lt;&gt;"",COUNTIFS('QA Log'!D:D,A331,'QA Log'!M:M,"QQC",'QA Log'!L:L,"4. Family Planning",'QA Log'!Z:Z,"Approved"),"")</f>
        <v/>
      </c>
      <c r="AB331" s="102" t="str">
        <f>IF(A331="","",
SUM(
COUNTIFS('QA Log'!D:D,A331,'QA Log'!M:M,"QQC",'QA Log'!Z:Z,"Rejected",'QA Log'!L:L,"*8. Maternity*"),
COUNTIFS('QA Log'!D:D,A331,'QA Log'!M:M,"QQC",'QA Log'!Z:Z,"Rejected",'QA Log'!L:L,"*9. EPI and Pre-school Consultation*"),
COUNTIFS('QA Log'!D:D,A331,'QA Log'!M:M,"QQC",'QA Log'!Z:Z,"Rejected",'QA Log'!L:L,"*10. Antenatal Care (ANC)*"),
COUNTIFS('QA Log'!D:D,A331,'QA Log'!M:M,"QQC",'QA Log'!Z:Z,"Rejected",'QA Log'!L:L,"*2. Hygiene and Sterilization*"),
COUNTIFS('QA Log'!D:D,A331,'QA Log'!M:M,"QQC",'QA Log'!Z:Z,"Rejected",'QA Log'!L:L,"*4. Family Planning*")
))</f>
        <v/>
      </c>
      <c r="AC331" s="102" t="str">
        <f t="shared" si="29"/>
        <v/>
      </c>
      <c r="AD331" s="103" t="str">
        <f t="shared" si="30"/>
        <v/>
      </c>
      <c r="AE331" s="102" t="str">
        <f>IF(A331="","",
SUM(
COUNTIFS('QA Log'!D:D,A331,'QA Log'!M:M,"Data Verification",'QA Log'!L:L,"*Medicine (section 2)*"),
COUNTIFS('QA Log'!D:D,A331,'QA Log'!M:M,"Data Verification",'QA Log'!L:L,"*Lab Testing Availability*"),
COUNTIFS('QA Log'!D:D,A331,'QA Log'!M:M,"Data Verification",'QA Log'!L:L,"*Other than P4P (section 6)*"),
COUNTIFS('QA Log'!D:D,A331,'QA Log'!M:M,"Data Verification",'QA Log'!L:L,"*Hospital Governance*")
))</f>
        <v/>
      </c>
      <c r="AF331" s="102" t="str">
        <f>IF(A331="","",
SUM(
COUNTIFS('QA Log'!D:D,A331,'QA Log'!M:M,"Data Verification",'QA Log'!Z:Z,"Approved",'QA Log'!L:L,"*Medicine (section 2)*"),
COUNTIFS('QA Log'!D:D,A331,'QA Log'!M:M,"Data Verification",'QA Log'!Z:Z,"Approved",'QA Log'!L:L,"*Lab Testing Availability*"),
COUNTIFS('QA Log'!D:D,A331,'QA Log'!M:M,"Data Verification",'QA Log'!Z:Z,"Approved",'QA Log'!L:L,"*Other than P4P (section 6)*"),
COUNTIFS('QA Log'!D:D,A331,'QA Log'!M:M,"Data Verification",'QA Log'!Z:Z,"Approved",'QA Log'!L:L,"*Hospital Governance*")
))</f>
        <v/>
      </c>
      <c r="AG331" s="105" t="str">
        <f>IF(A331&lt;&gt;"",COUNTIFS('QA Log'!D:D,A331,'QA Log'!M:M,"Data Verification",'QA Log'!L:L,"Medicine (section 2)",'QA Log'!Z:Z,"Approved"),"")</f>
        <v/>
      </c>
      <c r="AH331" s="105" t="str">
        <f>IF(A331&lt;&gt;"",COUNTIFS('QA Log'!D:D,A331,'QA Log'!M:M,"Data Verification",'QA Log'!L:L,"Lab Testing Availability",'QA Log'!Z:Z,"Approved"),"")</f>
        <v/>
      </c>
      <c r="AI331" s="105" t="str">
        <f>IF(A331&lt;&gt;"",COUNTIFS('QA Log'!D:D,A331,'QA Log'!M:M,"Data Verification",'QA Log'!L:L,"Other than P4P (section 6)",'QA Log'!Z:Z,"Approved"),"")</f>
        <v/>
      </c>
      <c r="AJ331" s="105" t="str">
        <f>IF(A331&lt;&gt;"",COUNTIFS('QA Log'!D:D,A331,'QA Log'!M:M,"Data Verification",'QA Log'!L:L,"Hospital Governance",'QA Log'!Z:Z,"Approved"),"")</f>
        <v/>
      </c>
      <c r="AK331" s="102" t="str">
        <f>IF(A331="","",
SUM(
COUNTIFS('QA Log'!D:D,A331,'QA Log'!M:M,"Data Verification",'QA Log'!Z:Z,"Rejected",'QA Log'!L:L,"*Medicine (section 2)*"),
COUNTIFS('QA Log'!D:D,A331,'QA Log'!M:M,"Data Verification",'QA Log'!Z:Z,"Rejected",'QA Log'!L:L,"*Lab Testing Availability*"),
COUNTIFS('QA Log'!D:D,A331,'QA Log'!M:M,"Data Verification",'QA Log'!Z:Z,"Rejected",'QA Log'!L:L,"*Other than P4P (section 6)*"),
COUNTIFS('QA Log'!D:D,A331,'QA Log'!M:M,"Data Verification",'QA Log'!Z:Z,"Rejected",'QA Log'!L:L,"*Hospital Governance*")
))</f>
        <v/>
      </c>
      <c r="AL331" s="106" t="str">
        <f t="shared" si="31"/>
        <v/>
      </c>
      <c r="AM331" s="102" t="str">
        <f t="shared" si="32"/>
        <v/>
      </c>
      <c r="AN331" s="102" t="str">
        <f>IF(A331="","",
SUM(
COUNTIFS('QA Log'!D:D,A331,'QA Log'!M:M,"Data Verification",'QA Log'!L:L,"*Personnel (section 1)*"),
COUNTIFS('QA Log'!D:D,A331,'QA Log'!M:M,"Data Verification",'QA Log'!L:L,"*Consumable (section 3)*"),
COUNTIFS('QA Log'!D:D,A331,'QA Log'!M:M,"Data Verification",'QA Log'!L:L,"*Equipments (section 4)*")
))</f>
        <v/>
      </c>
      <c r="AO331" s="102" t="str">
        <f>IF(A331="","",
SUM(
COUNTIFS('QA Log'!D:D,A331,'QA Log'!M:M,"Data Verification",'QA Log'!Z:Z,"Approved",'QA Log'!L:L,"*Personnel (section 1)*"),
COUNTIFS('QA Log'!D:D,A331,'QA Log'!M:M,"Data Verification",'QA Log'!Z:Z,"Approved",'QA Log'!L:L,"*Consumable (section 3)*"),
COUNTIFS('QA Log'!D:D,A331,'QA Log'!M:M,"Data Verification",'QA Log'!Z:Z,"Approved",'QA Log'!L:L,"*Equipments (section 4)*")
))</f>
        <v/>
      </c>
      <c r="AP331" s="105" t="str">
        <f>IF(A331&lt;&gt;"",COUNTIFS('QA Log'!D:D,A331,'QA Log'!M:M,"Data Verification",'QA Log'!L:L,"Personnel (section 1)",'QA Log'!Z:Z,"Approved"),"")</f>
        <v/>
      </c>
      <c r="AQ331" s="105" t="str">
        <f>IF(A331&lt;&gt;"",COUNTIFS('QA Log'!D:D,A331,'QA Log'!M:M,"Data Verification",'QA Log'!L:L,"Consumable (section 3)",'QA Log'!Z:Z,"Approved"),"")</f>
        <v/>
      </c>
      <c r="AR331" s="105" t="str">
        <f>IF(A331&lt;&gt;"",COUNTIFS('QA Log'!D:D,A331,'QA Log'!M:M,"Data Verification",'QA Log'!L:L,"Equipments (section 4)",'QA Log'!Z:Z,"Approved"),"")</f>
        <v/>
      </c>
      <c r="AS331" s="102" t="str">
        <f>IF(A331="","",
SUM(
COUNTIFS('QA Log'!D:D,A331,'QA Log'!M:M,"Data Verification",'QA Log'!Z:Z,"Rejected",'QA Log'!L:L,"*Personnel (section 1)*"),
COUNTIFS('QA Log'!D:D,A331,'QA Log'!M:M,"Data Verification",'QA Log'!Z:Z,"Rejected",'QA Log'!L:L,"*Consumable (section 3)*"),
COUNTIFS('QA Log'!D:D,A331,'QA Log'!M:M,"Data Verification",'QA Log'!Z:Z,"Rejected",'QA Log'!L:L,"*Equipments (section 4)*")
))</f>
        <v/>
      </c>
      <c r="AT331" s="102" t="str">
        <f t="shared" si="33"/>
        <v/>
      </c>
      <c r="AU331" s="103" t="str">
        <f t="shared" si="34"/>
        <v/>
      </c>
      <c r="AV331" s="102" t="str">
        <f>IF(A331="","",SUM(
COUNTIFS('QA Log'!D:D,A331,'QA Log'!M:M,"Vignette",'QA Log'!L:L,"*Vignette [1] Respiratory Infection: Pneumonia*"),
COUNTIFS('QA Log'!D:D,A331,'QA Log'!M:M,"Vignette",'QA Log'!L:L,"*Vignette [2]: Diarrhea with Cat B dehydration*"),
COUNTIFS('QA Log'!D:D,A331,'QA Log'!M:M,"Vignette",'QA Log'!L:L,"*Vignette [3] Growth Monitoring and Promotion*"),
COUNTIFS('QA Log'!D:D,A331,'QA Log'!M:M,"Vignette",'QA Log'!L:L,"*Vignette [4]: The management of presumptive TB patient*")
)
)</f>
        <v/>
      </c>
      <c r="AW331" s="102" t="str">
        <f>IF(
  A331="","",
  SUM(
    COUNTIFS('QA Log'!D:D,A331,'QA Log'!M:M,"Vignette",'QA Log'!Z:Z,"Approved",'QA Log'!L:L,"*Vignette [1] Respiratory Infection: Pneumonia*"),
    COUNTIFS('QA Log'!D:D,A331,'QA Log'!M:M,"Vignette",'QA Log'!Z:Z,"Approved",'QA Log'!L:L,"*Vignette [2]: Diarrhea with Cat B dehydration*"),
    COUNTIFS('QA Log'!D:D,A331,'QA Log'!M:M,"Vignette",'QA Log'!Z:Z,"Approved",'QA Log'!L:L,"*Vignette [3] Growth Monitoring and Promotion*"),
    COUNTIFS('QA Log'!D:D,A331,'QA Log'!M:M,"Vignette",'QA Log'!Z:Z,"Approved",'QA Log'!L:L,"*Vignette [4]: The management of presumptive TB patient*")
  )
)</f>
        <v/>
      </c>
      <c r="AX331" s="105" t="str">
        <f>IF(A331&lt;&gt;"",COUNTIFS('QA Log'!D:D,A331,'QA Log'!M:M,"Vignette",'QA Log'!L:L,"Vignette [1] Respiratory Infection: Pneumonia",'QA Log'!Z:Z,"Approved"),"")</f>
        <v/>
      </c>
      <c r="AY331" s="105" t="str">
        <f>IF(A331&lt;&gt;"",COUNTIFS('QA Log'!D:D,A331,'QA Log'!M:M,"Vignette",'QA Log'!L:L,"Vignette [2]: Diarrhea with Cat B dehydration",'QA Log'!Z:Z,"Approved"),"")</f>
        <v/>
      </c>
      <c r="AZ331" s="105" t="str">
        <f>IF(A331&lt;&gt;"",COUNTIFS('QA Log'!D:D,A331,'QA Log'!M:M,"Vignette",'QA Log'!L:L,"Vignette [3] Growth Monitoring and Promotion",'QA Log'!Z:Z,"Approved"),"")</f>
        <v/>
      </c>
      <c r="BA331" s="105" t="str">
        <f>IF(A331&lt;&gt;"",COUNTIFS('QA Log'!D:D,A331,'QA Log'!M:M,"Vignette",'QA Log'!L:L,"Vignette [4]: The management of presumptive TB patient",'QA Log'!Z:Z,"Approved"),"")</f>
        <v/>
      </c>
      <c r="BB331" s="102" t="str">
        <f>IF(A331="","",
  SUM(
    COUNTIFS('QA Log'!D:D,A331,'QA Log'!M:M,"Vignette",'QA Log'!Z:Z,"Rejected",'QA Log'!L:L,"*Vignette [1] Respiratory Infection: Pneumonia*"),
    COUNTIFS('QA Log'!D:D,A331,'QA Log'!M:M,"Vignette",'QA Log'!Z:Z,"Rejected",'QA Log'!L:L,"*Vignette [2]: Diarrhea with Cat B dehydration*"),
    COUNTIFS('QA Log'!D:D,A331,'QA Log'!M:M,"Vignette",'QA Log'!Z:Z,"Rejected",'QA Log'!L:L,"*Vignette [3] Growth Monitoring and Promotion*"),
    COUNTIFS('QA Log'!D:D,A331,'QA Log'!M:M,"Vignette",'QA Log'!Z:Z,"Rejected",'QA Log'!L:L,"*Vignette [4]: The management of presumptive TB patient*")
  )
)</f>
        <v/>
      </c>
      <c r="BC331" s="107" t="str">
        <f t="shared" si="35"/>
        <v/>
      </c>
      <c r="BD331" s="103" t="str">
        <f t="shared" si="36"/>
        <v/>
      </c>
      <c r="BE331" s="102" t="str">
        <f>IF(A331="","",SUM(
COUNTIFS('QA Log'!D:D,A331,'QA Log'!M:M,"Vignette",'QA Log'!L:L,"*Vignette [5] Labor*"),
COUNTIFS('QA Log'!D:D,A331,'QA Log'!M:M,"Vignette",'QA Log'!L:L,"*Vignette [6] PNC pre Discharge*"),
COUNTIFS('QA Log'!D:D,A331,'QA Log'!M:M,"Vignette",'QA Log'!L:L,"*Vignette [7] First ANC Visit*"),
COUNTIFS('QA Log'!D:D,A331,'QA Log'!M:M,"Vignette",'QA Log'!L:L,"*Vignette [8] Birth Spacing/ Family Planning :  FP Counselling*"),
COUNTIFS('QA Log'!D:D,A331,'QA Log'!M:M,"Vignette",'QA Log'!L:L,"*Vignette [9] Birth Spacing: Change FP method to Injectable*"),
COUNTIFS('QA Log'!D:D,A331,'QA Log'!M:M,"Vignette",'QA Log'!L:L,"*Vignette [10] Post Partum Haemorrhage - Atonic Uterus at Health Centre*"),
)
)</f>
        <v/>
      </c>
      <c r="BF331" s="102" t="str">
        <f>IF(A331="","",
  SUM(
    COUNTIFS('QA Log'!D:D,A331,'QA Log'!M:M,"Vignette",'QA Log'!Z:Z,"Approved",'QA Log'!L:L,"*Vignette [5] Labor*"),
    COUNTIFS('QA Log'!D:D,A331,'QA Log'!M:M,"Vignette",'QA Log'!Z:Z,"Approved",'QA Log'!L:L,"*Vignette [6] PNC pre Discharge*"),
    COUNTIFS('QA Log'!D:D,A331,'QA Log'!M:M,"Vignette",'QA Log'!Z:Z,"Approved",'QA Log'!L:L,"*Vignette [7] First ANC Visit*"),
    COUNTIFS('QA Log'!D:D,A331,'QA Log'!M:M,"Vignette",'QA Log'!Z:Z,"Approved",'QA Log'!L:L,"*Vignette [8] Birth Spacing/ Family Planning :  FP Counselling*"),
    COUNTIFS('QA Log'!D:D,A331,'QA Log'!M:M,"Vignette",'QA Log'!Z:Z,"Approved",'QA Log'!L:L,"*Vignette [9] Birth Spacing: Change FP method to Injectable*"),
    COUNTIFS('QA Log'!D:D,A331,'QA Log'!M:M,"Vignette",'QA Log'!Z:Z,"Approved",'QA Log'!L:L,"*Vignette [10] Post Partum Haemorrhage - Atonic Uterus at Health Centre*")
  )
)</f>
        <v/>
      </c>
      <c r="BG331" s="105" t="str">
        <f>IF(A331&lt;&gt;"",COUNTIFS('QA Log'!D:D,A331,'QA Log'!M:M,"Vignette",'QA Log'!L:L,"Vignette [5] Labor",'QA Log'!Z:Z,"Approved"),"")</f>
        <v/>
      </c>
      <c r="BH331" s="105" t="str">
        <f>IF(A331&lt;&gt;"",COUNTIFS('QA Log'!D:D,A331,'QA Log'!M:M,"Vignette",'QA Log'!L:L,"Vignette [6] PNC pre Discharge",'QA Log'!Z:Z,"Approved"),"")</f>
        <v/>
      </c>
      <c r="BI331" s="105" t="str">
        <f>IF(A331&lt;&gt;"",COUNTIFS('QA Log'!D:D,A331,'QA Log'!M:M,"Vignette",'QA Log'!L:L,"Vignette [7] First ANC Visit",'QA Log'!Z:Z,"Approved"),"")</f>
        <v/>
      </c>
      <c r="BJ331" s="105" t="str">
        <f>IF(A331&lt;&gt;"",COUNTIFS('QA Log'!D:D,A331,'QA Log'!M:M,"Vignette",'QA Log'!L:L,"Vignette [8] Birth Spacing/ Family Planning :  FP Counselling",'QA Log'!Z:Z,"Approved"),"")</f>
        <v/>
      </c>
      <c r="BK331" s="105" t="str">
        <f>IF(A331&lt;&gt;"",COUNTIFS('QA Log'!D:D,A331,'QA Log'!M:M,"Vignette",'QA Log'!L:L,"Vignette [9] Birth Spacing: Change FP method to Injectable",'QA Log'!Z:Z,"Approved"),"")</f>
        <v/>
      </c>
      <c r="BL331" s="105" t="str">
        <f>IF(A331&lt;&gt;"",COUNTIFS('QA Log'!D:D,A331,'QA Log'!M:M,"Vignette",'QA Log'!L:L,"Vignette [10] Post Partum Haemorrhage - Atonic Uterus at Health Centre",'QA Log'!Z:Z,"Approved"),"")</f>
        <v/>
      </c>
      <c r="BM331" s="102" t="str">
        <f>IF(A331="","",SUM(
    COUNTIFS('QA Log'!D:D,A331,'QA Log'!M:M,"Vignette",'QA Log'!Z:Z,"Rejected",'QA Log'!L:L,"*Vignette [5] Labor*"),
    COUNTIFS('QA Log'!D:D,A331,'QA Log'!M:M,"Vignette",'QA Log'!Z:Z,"Rejected",'QA Log'!L:L,"*Vignette [6] PNC pre Discharge*"),
    COUNTIFS('QA Log'!D:D,A331,'QA Log'!M:M,"Vignette",'QA Log'!Z:Z,"Rejected",'QA Log'!L:L,"*Vignette [7] First ANC Visit*"),
    COUNTIFS('QA Log'!D:D,A331,'QA Log'!M:M,"Vignette",'QA Log'!Z:Z,"Rejected",'QA Log'!L:L,"*Vignette [8] Birth Spacing/ Family Planning :  FP Counselling*"),
    COUNTIFS('QA Log'!D:D,A331,'QA Log'!M:M,"Vignette",'QA Log'!Z:Z,"Rejected",'QA Log'!L:L,"*Vignette [9] Birth Spacing: Change FP method to Injectable*"),
    COUNTIFS('QA Log'!D:D,A331,'QA Log'!M:M,"Vignette",'QA Log'!Z:Z,"Rejected",'QA Log'!L:L,"*Vignette [10] Post Partum Haemorrhage - Atonic Uterus at Health Centre*")
  )
)</f>
        <v/>
      </c>
      <c r="BN331" s="107" t="str">
        <f t="shared" si="37"/>
        <v/>
      </c>
      <c r="BO331" s="103" t="str">
        <f t="shared" si="38"/>
        <v/>
      </c>
      <c r="BP331" s="102" t="str">
        <f>IF(A331="","",SUM(
COUNTIFS('QA Log'!D:D,A331,'QA Log'!M:M,"Vignette",'QA Log'!L:L,"*Exit Interview 1*"),
COUNTIFS('QA Log'!D:D,A331,'QA Log'!M:M,"Vignette",'QA Log'!L:L,"*Exit Interview 2*"),
)
)</f>
        <v/>
      </c>
      <c r="BQ331" s="102" t="str">
        <f>IF(
  A331="","",
  SUM(
    COUNTIFS('QA Log'!D:D,A331,'QA Log'!M:M,"Vignette",'QA Log'!Z:Z,"Approved",'QA Log'!L:L,"*Exit Interview 1*"),
    COUNTIFS('QA Log'!D:D,A331,'QA Log'!M:M,"Vignette",'QA Log'!Z:Z,"Approved",'QA Log'!L:L,"*Exit Interview 2*")
  )
)</f>
        <v/>
      </c>
      <c r="BR331" s="105" t="str">
        <f>IF(A331&lt;&gt;"",COUNTIFS('QA Log'!D:D,A331,'QA Log'!M:M,"Vignette",'QA Log'!L:L,"Exit Interview 1",'QA Log'!Z:Z,"Approved"),"")</f>
        <v/>
      </c>
      <c r="BS331" s="105" t="str">
        <f>IF(A331&lt;&gt;"",COUNTIFS('QA Log'!D:D,A331,'QA Log'!M:M,"Vignette",'QA Log'!L:L,"Exit Interview 2",'QA Log'!Z:Z,"Approved"),"")</f>
        <v/>
      </c>
      <c r="BT331" s="102" t="str">
        <f>IF(
  A331="","",
  SUM(
    COUNTIFS('QA Log'!D:D,A331,'QA Log'!M:M,"Vignette",'QA Log'!Z:Z,"Rejected",'QA Log'!L:L,"*Exit Interview 1*"),
    COUNTIFS('QA Log'!D:D,A331,'QA Log'!M:M,"Vignette",'QA Log'!Z:Z,"Rejected",'QA Log'!L:L,"*Exit Interview 2*")
  )
)</f>
        <v/>
      </c>
      <c r="BU331" s="107" t="str">
        <f t="shared" si="39"/>
        <v/>
      </c>
      <c r="BV331" s="102" t="str">
        <f t="shared" si="40"/>
        <v/>
      </c>
      <c r="BW331" s="102" t="str">
        <f t="shared" si="41"/>
        <v/>
      </c>
      <c r="BX331" s="102" t="str">
        <f t="shared" si="42"/>
        <v/>
      </c>
      <c r="BY331" s="102" t="str">
        <f t="shared" si="43"/>
        <v/>
      </c>
      <c r="BZ331" s="107" t="str">
        <f t="shared" si="44"/>
        <v/>
      </c>
      <c r="CA331" s="108" t="str">
        <f t="shared" si="45"/>
        <v/>
      </c>
      <c r="CB331" s="108" t="str">
        <f t="shared" si="46"/>
        <v/>
      </c>
      <c r="CC331" s="109" t="str">
        <f t="shared" si="47"/>
        <v/>
      </c>
      <c r="CD331" s="108" t="str">
        <f t="shared" si="48"/>
        <v/>
      </c>
      <c r="CE331" s="108" t="str">
        <f t="shared" si="49"/>
        <v/>
      </c>
      <c r="CF331" s="109" t="str">
        <f t="shared" si="50"/>
        <v/>
      </c>
      <c r="CG331" s="110" t="str">
        <f t="shared" si="51"/>
        <v/>
      </c>
      <c r="CH331" s="111"/>
    </row>
    <row r="332" spans="1:86" ht="12.75">
      <c r="A332" s="101"/>
      <c r="B332" s="102" t="e">
        <f t="array" aca="1" ref="B332" ca="1">_xludf.XLOOKUP(A332,'QA Log'!D:D,'QA Log'!E:E,"")</f>
        <v>#NAME?</v>
      </c>
      <c r="C332" s="102" t="e">
        <f t="array" aca="1" ref="C332" ca="1">_xludf.XLOOKUP(A332,'QA Log'!D:D,'QA Log'!F:F,"")</f>
        <v>#NAME?</v>
      </c>
      <c r="D332" s="102" t="e">
        <f t="array" aca="1" ref="D332" ca="1">_xludf.XLOOKUP(A332,'QA Log'!D:D,'QA Log'!H:H,"")</f>
        <v>#NAME?</v>
      </c>
      <c r="E332" s="102" t="e">
        <f t="array" aca="1" ref="E332" ca="1">_xludf.XLOOKUP(A332,'QA Log'!D:D,'QA Log'!G:G,"")</f>
        <v>#NAME?</v>
      </c>
      <c r="F332" s="103"/>
      <c r="G332" s="104"/>
      <c r="H332" s="104"/>
      <c r="I332" s="103" t="str">
        <f t="shared" si="26"/>
        <v/>
      </c>
      <c r="J332" s="102" t="str">
        <f>IF(A332="","",SUM(
COUNTIFS('QA Log'!D:D,A332,'QA Log'!M:M,"QQC",'QA Log'!L:L,"*1. General Management*"),
COUNTIFS('QA Log'!D:D,A332,'QA Log'!M:M,"QQC",'QA Log'!L:L,"*3. Curative Consultation (OPD)*"),
COUNTIFS('QA Log'!D:D,A332,'QA Log'!M:M,"QQC",'QA Log'!L:L,"*5. Laboratory*"),
COUNTIFS('QA Log'!D:D,A332,'QA Log'!M:M,"QQC",'QA Log'!L:L,"*6. Essential Medicine Management*"),
COUNTIFS('QA Log'!D:D,A332,'QA Log'!M:M,"QQC",'QA Log'!L:L,"*7. Tracer Medicine*"),
COUNTIFS('QA Log'!D:D,A332,'QA Log'!M:M,"QQC",'QA Log'!L:L,"*11. Additional Questions*")))</f>
        <v/>
      </c>
      <c r="K332" s="102" t="str">
        <f>IF(A332="","",SUM(
COUNTIFS('QA Log'!D:D,A332,'QA Log'!M:M,"QQC",'QA Log'!Z:Z,"Approved",'QA Log'!L:L,"*1. General Management*"),
COUNTIFS('QA Log'!D:D,A332,'QA Log'!M:M,"QQC",'QA Log'!Z:Z,"Approved",'QA Log'!L:L,"*3. Curative Consultation (OPD)*"),
COUNTIFS('QA Log'!D:D,A332,'QA Log'!M:M,"QQC",'QA Log'!Z:Z,"Approved",'QA Log'!L:L,"*5. Laboratory*"),
COUNTIFS('QA Log'!D:D,A332,'QA Log'!M:M,"QQC",'QA Log'!Z:Z,"Approved",'QA Log'!L:L,"*6. Essential Medicine Management*"),
COUNTIFS('QA Log'!D:D,A332,'QA Log'!M:M,"QQC",'QA Log'!Z:Z,"Approved",'QA Log'!L:L,"*7. Tracer Medicine*"),
COUNTIFS('QA Log'!D:D,A332,'QA Log'!M:M,"QQC",'QA Log'!Z:Z,"Approved",'QA Log'!L:L,"*11. Additional Questions*")))</f>
        <v/>
      </c>
      <c r="L332" s="105" t="str">
        <f>IF(A332&lt;&gt;"",COUNTIFS('QA Log'!D:D,A332,'QA Log'!M:M,"QQC",'QA Log'!L:L,"1. General Management",'QA Log'!Z:Z,"Approved"),"")</f>
        <v/>
      </c>
      <c r="M332" s="105" t="str">
        <f>IF(A332&lt;&gt;"",COUNTIFS('QA Log'!D:D,A332,'QA Log'!M:M,"QQC",'QA Log'!L:L,"3. Curative Consultation (OPD)",'QA Log'!Z:Z,"Approved"),"")</f>
        <v/>
      </c>
      <c r="N332" s="105" t="str">
        <f>IF(A332&lt;&gt;"",COUNTIFS('QA Log'!D:D,A332,'QA Log'!M:M,"QQC",'QA Log'!L:L,"5. Laboratory",'QA Log'!Z:Z,"Approved"),"")</f>
        <v/>
      </c>
      <c r="O332" s="105" t="str">
        <f>IF(A332&lt;&gt;"",COUNTIFS('QA Log'!D:D,A332,'QA Log'!M:M,"QQC",'QA Log'!L:L,"6. Essential Medicine Management",'QA Log'!Z:Z,"Approved"),"")</f>
        <v/>
      </c>
      <c r="P332" s="105" t="str">
        <f>IF(A332&lt;&gt;"",COUNTIFS('QA Log'!D:D,A332,'QA Log'!M:M,"QQC",'QA Log'!L:L,"7. Tracer Medicine",'QA Log'!Z:Z,"Approved"),"")</f>
        <v/>
      </c>
      <c r="Q332" s="105" t="str">
        <f>IF(A332&lt;&gt;"",COUNTIFS('QA Log'!D:D,A332,'QA Log'!M:M,"QQC",'QA Log'!L:L,"11. Additional Questions",'QA Log'!Z:Z,"Approved"),"")</f>
        <v/>
      </c>
      <c r="R332" s="102" t="str">
        <f>IF(A332="","",SUM(
COUNTIFS('QA Log'!D:D,A332,'QA Log'!M:M,"QQC",'QA Log'!Z:Z,"Rejected",'QA Log'!L:L,"*8. Maternity*"),
COUNTIFS('QA Log'!D:D,A332,'QA Log'!M:M,"QQC",'QA Log'!Z:Z,"Rejected",'QA Log'!L:L,"*EPI*"),
COUNTIFS('QA Log'!D:D,A332,'QA Log'!M:M,"QQC",'QA Log'!Z:Z,"Rejected",'QA Log'!L:L,"*10. Antenatal Care (ANC)*"),
COUNTIFS('QA Log'!D:D,A332,'QA Log'!M:M,"QQC",'QA Log'!Z:Z,"Rejected",'QA Log'!L:L,"*2. Hygiene and Sterilization*"),
COUNTIFS('QA Log'!D:D,A332,'QA Log'!M:M,"QQC",'QA Log'!Z:Z,"Rejected",'QA Log'!L:L,"*Family Planning*")))</f>
        <v/>
      </c>
      <c r="S332" s="106" t="str">
        <f t="shared" si="27"/>
        <v/>
      </c>
      <c r="T332" s="102" t="str">
        <f t="shared" si="28"/>
        <v/>
      </c>
      <c r="U332" s="102" t="str">
        <f>IF(A332="","",
SUM(
COUNTIFS('QA Log'!D:D,A332,'QA Log'!M:M,"QQC",'QA Log'!L:L,"*8. Maternity*"),
COUNTIFS('QA Log'!D:D,A332,'QA Log'!M:M,"QQC",'QA Log'!L:L,"*9. EPI and Pre-school Consultation*"),
COUNTIFS('QA Log'!D:D,A332,'QA Log'!M:M,"QQC",'QA Log'!L:L,"*10. Antenatal Care (ANC)*"),
COUNTIFS('QA Log'!D:D,A332,'QA Log'!M:M,"QQC",'QA Log'!L:L,"*2. Hygiene and Sterilization*"),
COUNTIFS('QA Log'!D:D,A332,'QA Log'!M:M,"QQC",'QA Log'!L:L,"*4. Family Planning*")
))</f>
        <v/>
      </c>
      <c r="V332" s="102" t="str">
        <f>IF(A332="","",
SUM(
COUNTIFS('QA Log'!D:D,A332,'QA Log'!M:M,"QQC",'QA Log'!Z:Z,"Approved",'QA Log'!L:L,"*8. Maternity*"),
COUNTIFS('QA Log'!D:D,A332,'QA Log'!M:M,"QQC",'QA Log'!Z:Z,"Approved",'QA Log'!L:L,"*9. EPI and Pre-school Consultation*"),
COUNTIFS('QA Log'!D:D,A332,'QA Log'!M:M,"QQC",'QA Log'!Z:Z,"Approved",'QA Log'!L:L,"*10. Antenatal Care (ANC)*"),
COUNTIFS('QA Log'!D:D,A332,'QA Log'!M:M,"QQC",'QA Log'!Z:Z,"Approved",'QA Log'!L:L,"*2. Hygiene and Sterilization*"),
COUNTIFS('QA Log'!D:D,A332,'QA Log'!M:M,"QQC",'QA Log'!Z:Z,"Approved",'QA Log'!L:L,"*4. Family Planning*")
))</f>
        <v/>
      </c>
      <c r="W332" s="105" t="str">
        <f>IF(A332&lt;&gt;"",COUNTIFS('QA Log'!D:D,A332,'QA Log'!M:M,"QQC",'QA Log'!L:L,"8. Maternity",'QA Log'!Z:Z,"Approved"),"")</f>
        <v/>
      </c>
      <c r="X332" s="105" t="str">
        <f>IF(A332&lt;&gt;"",COUNTIFS('QA Log'!D:D,A332,'QA Log'!M:M,"QQC",'QA Log'!L:L,"9. EPI and Pre-school Consultation",'QA Log'!Z:Z,"Approved"),"")</f>
        <v/>
      </c>
      <c r="Y332" s="105" t="str">
        <f>IF(A332&lt;&gt;"",COUNTIFS('QA Log'!D:D,A332,'QA Log'!M:M,"QQC",'QA Log'!L:L,"10. Antenatal Care (ANC)",'QA Log'!Z:Z,"Approved"),"")</f>
        <v/>
      </c>
      <c r="Z332" s="105" t="str">
        <f>IF(A332&lt;&gt;"",COUNTIFS('QA Log'!D:D,A332,'QA Log'!M:M,"QQC",'QA Log'!L:L,"2. Hygiene and Sterilization",'QA Log'!Z:Z,"Approved"),"")</f>
        <v/>
      </c>
      <c r="AA332" s="105" t="str">
        <f>IF(A332&lt;&gt;"",COUNTIFS('QA Log'!D:D,A332,'QA Log'!M:M,"QQC",'QA Log'!L:L,"4. Family Planning",'QA Log'!Z:Z,"Approved"),"")</f>
        <v/>
      </c>
      <c r="AB332" s="102" t="str">
        <f>IF(A332="","",
SUM(
COUNTIFS('QA Log'!D:D,A332,'QA Log'!M:M,"QQC",'QA Log'!Z:Z,"Rejected",'QA Log'!L:L,"*8. Maternity*"),
COUNTIFS('QA Log'!D:D,A332,'QA Log'!M:M,"QQC",'QA Log'!Z:Z,"Rejected",'QA Log'!L:L,"*9. EPI and Pre-school Consultation*"),
COUNTIFS('QA Log'!D:D,A332,'QA Log'!M:M,"QQC",'QA Log'!Z:Z,"Rejected",'QA Log'!L:L,"*10. Antenatal Care (ANC)*"),
COUNTIFS('QA Log'!D:D,A332,'QA Log'!M:M,"QQC",'QA Log'!Z:Z,"Rejected",'QA Log'!L:L,"*2. Hygiene and Sterilization*"),
COUNTIFS('QA Log'!D:D,A332,'QA Log'!M:M,"QQC",'QA Log'!Z:Z,"Rejected",'QA Log'!L:L,"*4. Family Planning*")
))</f>
        <v/>
      </c>
      <c r="AC332" s="102" t="str">
        <f t="shared" si="29"/>
        <v/>
      </c>
      <c r="AD332" s="103" t="str">
        <f t="shared" si="30"/>
        <v/>
      </c>
      <c r="AE332" s="102" t="str">
        <f>IF(A332="","",
SUM(
COUNTIFS('QA Log'!D:D,A332,'QA Log'!M:M,"Data Verification",'QA Log'!L:L,"*Medicine (section 2)*"),
COUNTIFS('QA Log'!D:D,A332,'QA Log'!M:M,"Data Verification",'QA Log'!L:L,"*Lab Testing Availability*"),
COUNTIFS('QA Log'!D:D,A332,'QA Log'!M:M,"Data Verification",'QA Log'!L:L,"*Other than P4P (section 6)*"),
COUNTIFS('QA Log'!D:D,A332,'QA Log'!M:M,"Data Verification",'QA Log'!L:L,"*Hospital Governance*")
))</f>
        <v/>
      </c>
      <c r="AF332" s="102" t="str">
        <f>IF(A332="","",
SUM(
COUNTIFS('QA Log'!D:D,A332,'QA Log'!M:M,"Data Verification",'QA Log'!Z:Z,"Approved",'QA Log'!L:L,"*Medicine (section 2)*"),
COUNTIFS('QA Log'!D:D,A332,'QA Log'!M:M,"Data Verification",'QA Log'!Z:Z,"Approved",'QA Log'!L:L,"*Lab Testing Availability*"),
COUNTIFS('QA Log'!D:D,A332,'QA Log'!M:M,"Data Verification",'QA Log'!Z:Z,"Approved",'QA Log'!L:L,"*Other than P4P (section 6)*"),
COUNTIFS('QA Log'!D:D,A332,'QA Log'!M:M,"Data Verification",'QA Log'!Z:Z,"Approved",'QA Log'!L:L,"*Hospital Governance*")
))</f>
        <v/>
      </c>
      <c r="AG332" s="105" t="str">
        <f>IF(A332&lt;&gt;"",COUNTIFS('QA Log'!D:D,A332,'QA Log'!M:M,"Data Verification",'QA Log'!L:L,"Medicine (section 2)",'QA Log'!Z:Z,"Approved"),"")</f>
        <v/>
      </c>
      <c r="AH332" s="105" t="str">
        <f>IF(A332&lt;&gt;"",COUNTIFS('QA Log'!D:D,A332,'QA Log'!M:M,"Data Verification",'QA Log'!L:L,"Lab Testing Availability",'QA Log'!Z:Z,"Approved"),"")</f>
        <v/>
      </c>
      <c r="AI332" s="105" t="str">
        <f>IF(A332&lt;&gt;"",COUNTIFS('QA Log'!D:D,A332,'QA Log'!M:M,"Data Verification",'QA Log'!L:L,"Other than P4P (section 6)",'QA Log'!Z:Z,"Approved"),"")</f>
        <v/>
      </c>
      <c r="AJ332" s="105" t="str">
        <f>IF(A332&lt;&gt;"",COUNTIFS('QA Log'!D:D,A332,'QA Log'!M:M,"Data Verification",'QA Log'!L:L,"Hospital Governance",'QA Log'!Z:Z,"Approved"),"")</f>
        <v/>
      </c>
      <c r="AK332" s="102" t="str">
        <f>IF(A332="","",
SUM(
COUNTIFS('QA Log'!D:D,A332,'QA Log'!M:M,"Data Verification",'QA Log'!Z:Z,"Rejected",'QA Log'!L:L,"*Medicine (section 2)*"),
COUNTIFS('QA Log'!D:D,A332,'QA Log'!M:M,"Data Verification",'QA Log'!Z:Z,"Rejected",'QA Log'!L:L,"*Lab Testing Availability*"),
COUNTIFS('QA Log'!D:D,A332,'QA Log'!M:M,"Data Verification",'QA Log'!Z:Z,"Rejected",'QA Log'!L:L,"*Other than P4P (section 6)*"),
COUNTIFS('QA Log'!D:D,A332,'QA Log'!M:M,"Data Verification",'QA Log'!Z:Z,"Rejected",'QA Log'!L:L,"*Hospital Governance*")
))</f>
        <v/>
      </c>
      <c r="AL332" s="106" t="str">
        <f t="shared" si="31"/>
        <v/>
      </c>
      <c r="AM332" s="102" t="str">
        <f t="shared" si="32"/>
        <v/>
      </c>
      <c r="AN332" s="102" t="str">
        <f>IF(A332="","",
SUM(
COUNTIFS('QA Log'!D:D,A332,'QA Log'!M:M,"Data Verification",'QA Log'!L:L,"*Personnel (section 1)*"),
COUNTIFS('QA Log'!D:D,A332,'QA Log'!M:M,"Data Verification",'QA Log'!L:L,"*Consumable (section 3)*"),
COUNTIFS('QA Log'!D:D,A332,'QA Log'!M:M,"Data Verification",'QA Log'!L:L,"*Equipments (section 4)*")
))</f>
        <v/>
      </c>
      <c r="AO332" s="102" t="str">
        <f>IF(A332="","",
SUM(
COUNTIFS('QA Log'!D:D,A332,'QA Log'!M:M,"Data Verification",'QA Log'!Z:Z,"Approved",'QA Log'!L:L,"*Personnel (section 1)*"),
COUNTIFS('QA Log'!D:D,A332,'QA Log'!M:M,"Data Verification",'QA Log'!Z:Z,"Approved",'QA Log'!L:L,"*Consumable (section 3)*"),
COUNTIFS('QA Log'!D:D,A332,'QA Log'!M:M,"Data Verification",'QA Log'!Z:Z,"Approved",'QA Log'!L:L,"*Equipments (section 4)*")
))</f>
        <v/>
      </c>
      <c r="AP332" s="105" t="str">
        <f>IF(A332&lt;&gt;"",COUNTIFS('QA Log'!D:D,A332,'QA Log'!M:M,"Data Verification",'QA Log'!L:L,"Personnel (section 1)",'QA Log'!Z:Z,"Approved"),"")</f>
        <v/>
      </c>
      <c r="AQ332" s="105" t="str">
        <f>IF(A332&lt;&gt;"",COUNTIFS('QA Log'!D:D,A332,'QA Log'!M:M,"Data Verification",'QA Log'!L:L,"Consumable (section 3)",'QA Log'!Z:Z,"Approved"),"")</f>
        <v/>
      </c>
      <c r="AR332" s="105" t="str">
        <f>IF(A332&lt;&gt;"",COUNTIFS('QA Log'!D:D,A332,'QA Log'!M:M,"Data Verification",'QA Log'!L:L,"Equipments (section 4)",'QA Log'!Z:Z,"Approved"),"")</f>
        <v/>
      </c>
      <c r="AS332" s="102" t="str">
        <f>IF(A332="","",
SUM(
COUNTIFS('QA Log'!D:D,A332,'QA Log'!M:M,"Data Verification",'QA Log'!Z:Z,"Rejected",'QA Log'!L:L,"*Personnel (section 1)*"),
COUNTIFS('QA Log'!D:D,A332,'QA Log'!M:M,"Data Verification",'QA Log'!Z:Z,"Rejected",'QA Log'!L:L,"*Consumable (section 3)*"),
COUNTIFS('QA Log'!D:D,A332,'QA Log'!M:M,"Data Verification",'QA Log'!Z:Z,"Rejected",'QA Log'!L:L,"*Equipments (section 4)*")
))</f>
        <v/>
      </c>
      <c r="AT332" s="102" t="str">
        <f t="shared" si="33"/>
        <v/>
      </c>
      <c r="AU332" s="103" t="str">
        <f t="shared" si="34"/>
        <v/>
      </c>
      <c r="AV332" s="102" t="str">
        <f>IF(A332="","",SUM(
COUNTIFS('QA Log'!D:D,A332,'QA Log'!M:M,"Vignette",'QA Log'!L:L,"*Vignette [1] Respiratory Infection: Pneumonia*"),
COUNTIFS('QA Log'!D:D,A332,'QA Log'!M:M,"Vignette",'QA Log'!L:L,"*Vignette [2]: Diarrhea with Cat B dehydration*"),
COUNTIFS('QA Log'!D:D,A332,'QA Log'!M:M,"Vignette",'QA Log'!L:L,"*Vignette [3] Growth Monitoring and Promotion*"),
COUNTIFS('QA Log'!D:D,A332,'QA Log'!M:M,"Vignette",'QA Log'!L:L,"*Vignette [4]: The management of presumptive TB patient*")
)
)</f>
        <v/>
      </c>
      <c r="AW332" s="102" t="str">
        <f>IF(
  A332="","",
  SUM(
    COUNTIFS('QA Log'!D:D,A332,'QA Log'!M:M,"Vignette",'QA Log'!Z:Z,"Approved",'QA Log'!L:L,"*Vignette [1] Respiratory Infection: Pneumonia*"),
    COUNTIFS('QA Log'!D:D,A332,'QA Log'!M:M,"Vignette",'QA Log'!Z:Z,"Approved",'QA Log'!L:L,"*Vignette [2]: Diarrhea with Cat B dehydration*"),
    COUNTIFS('QA Log'!D:D,A332,'QA Log'!M:M,"Vignette",'QA Log'!Z:Z,"Approved",'QA Log'!L:L,"*Vignette [3] Growth Monitoring and Promotion*"),
    COUNTIFS('QA Log'!D:D,A332,'QA Log'!M:M,"Vignette",'QA Log'!Z:Z,"Approved",'QA Log'!L:L,"*Vignette [4]: The management of presumptive TB patient*")
  )
)</f>
        <v/>
      </c>
      <c r="AX332" s="105" t="str">
        <f>IF(A332&lt;&gt;"",COUNTIFS('QA Log'!D:D,A332,'QA Log'!M:M,"Vignette",'QA Log'!L:L,"Vignette [1] Respiratory Infection: Pneumonia",'QA Log'!Z:Z,"Approved"),"")</f>
        <v/>
      </c>
      <c r="AY332" s="105" t="str">
        <f>IF(A332&lt;&gt;"",COUNTIFS('QA Log'!D:D,A332,'QA Log'!M:M,"Vignette",'QA Log'!L:L,"Vignette [2]: Diarrhea with Cat B dehydration",'QA Log'!Z:Z,"Approved"),"")</f>
        <v/>
      </c>
      <c r="AZ332" s="105" t="str">
        <f>IF(A332&lt;&gt;"",COUNTIFS('QA Log'!D:D,A332,'QA Log'!M:M,"Vignette",'QA Log'!L:L,"Vignette [3] Growth Monitoring and Promotion",'QA Log'!Z:Z,"Approved"),"")</f>
        <v/>
      </c>
      <c r="BA332" s="105" t="str">
        <f>IF(A332&lt;&gt;"",COUNTIFS('QA Log'!D:D,A332,'QA Log'!M:M,"Vignette",'QA Log'!L:L,"Vignette [4]: The management of presumptive TB patient",'QA Log'!Z:Z,"Approved"),"")</f>
        <v/>
      </c>
      <c r="BB332" s="102" t="str">
        <f>IF(A332="","",
  SUM(
    COUNTIFS('QA Log'!D:D,A332,'QA Log'!M:M,"Vignette",'QA Log'!Z:Z,"Rejected",'QA Log'!L:L,"*Vignette [1] Respiratory Infection: Pneumonia*"),
    COUNTIFS('QA Log'!D:D,A332,'QA Log'!M:M,"Vignette",'QA Log'!Z:Z,"Rejected",'QA Log'!L:L,"*Vignette [2]: Diarrhea with Cat B dehydration*"),
    COUNTIFS('QA Log'!D:D,A332,'QA Log'!M:M,"Vignette",'QA Log'!Z:Z,"Rejected",'QA Log'!L:L,"*Vignette [3] Growth Monitoring and Promotion*"),
    COUNTIFS('QA Log'!D:D,A332,'QA Log'!M:M,"Vignette",'QA Log'!Z:Z,"Rejected",'QA Log'!L:L,"*Vignette [4]: The management of presumptive TB patient*")
  )
)</f>
        <v/>
      </c>
      <c r="BC332" s="107" t="str">
        <f t="shared" si="35"/>
        <v/>
      </c>
      <c r="BD332" s="103" t="str">
        <f t="shared" si="36"/>
        <v/>
      </c>
      <c r="BE332" s="102" t="str">
        <f>IF(A332="","",SUM(
COUNTIFS('QA Log'!D:D,A332,'QA Log'!M:M,"Vignette",'QA Log'!L:L,"*Vignette [5] Labor*"),
COUNTIFS('QA Log'!D:D,A332,'QA Log'!M:M,"Vignette",'QA Log'!L:L,"*Vignette [6] PNC pre Discharge*"),
COUNTIFS('QA Log'!D:D,A332,'QA Log'!M:M,"Vignette",'QA Log'!L:L,"*Vignette [7] First ANC Visit*"),
COUNTIFS('QA Log'!D:D,A332,'QA Log'!M:M,"Vignette",'QA Log'!L:L,"*Vignette [8] Birth Spacing/ Family Planning :  FP Counselling*"),
COUNTIFS('QA Log'!D:D,A332,'QA Log'!M:M,"Vignette",'QA Log'!L:L,"*Vignette [9] Birth Spacing: Change FP method to Injectable*"),
COUNTIFS('QA Log'!D:D,A332,'QA Log'!M:M,"Vignette",'QA Log'!L:L,"*Vignette [10] Post Partum Haemorrhage - Atonic Uterus at Health Centre*"),
)
)</f>
        <v/>
      </c>
      <c r="BF332" s="102" t="str">
        <f>IF(A332="","",
  SUM(
    COUNTIFS('QA Log'!D:D,A332,'QA Log'!M:M,"Vignette",'QA Log'!Z:Z,"Approved",'QA Log'!L:L,"*Vignette [5] Labor*"),
    COUNTIFS('QA Log'!D:D,A332,'QA Log'!M:M,"Vignette",'QA Log'!Z:Z,"Approved",'QA Log'!L:L,"*Vignette [6] PNC pre Discharge*"),
    COUNTIFS('QA Log'!D:D,A332,'QA Log'!M:M,"Vignette",'QA Log'!Z:Z,"Approved",'QA Log'!L:L,"*Vignette [7] First ANC Visit*"),
    COUNTIFS('QA Log'!D:D,A332,'QA Log'!M:M,"Vignette",'QA Log'!Z:Z,"Approved",'QA Log'!L:L,"*Vignette [8] Birth Spacing/ Family Planning :  FP Counselling*"),
    COUNTIFS('QA Log'!D:D,A332,'QA Log'!M:M,"Vignette",'QA Log'!Z:Z,"Approved",'QA Log'!L:L,"*Vignette [9] Birth Spacing: Change FP method to Injectable*"),
    COUNTIFS('QA Log'!D:D,A332,'QA Log'!M:M,"Vignette",'QA Log'!Z:Z,"Approved",'QA Log'!L:L,"*Vignette [10] Post Partum Haemorrhage - Atonic Uterus at Health Centre*")
  )
)</f>
        <v/>
      </c>
      <c r="BG332" s="105" t="str">
        <f>IF(A332&lt;&gt;"",COUNTIFS('QA Log'!D:D,A332,'QA Log'!M:M,"Vignette",'QA Log'!L:L,"Vignette [5] Labor",'QA Log'!Z:Z,"Approved"),"")</f>
        <v/>
      </c>
      <c r="BH332" s="105" t="str">
        <f>IF(A332&lt;&gt;"",COUNTIFS('QA Log'!D:D,A332,'QA Log'!M:M,"Vignette",'QA Log'!L:L,"Vignette [6] PNC pre Discharge",'QA Log'!Z:Z,"Approved"),"")</f>
        <v/>
      </c>
      <c r="BI332" s="105" t="str">
        <f>IF(A332&lt;&gt;"",COUNTIFS('QA Log'!D:D,A332,'QA Log'!M:M,"Vignette",'QA Log'!L:L,"Vignette [7] First ANC Visit",'QA Log'!Z:Z,"Approved"),"")</f>
        <v/>
      </c>
      <c r="BJ332" s="105" t="str">
        <f>IF(A332&lt;&gt;"",COUNTIFS('QA Log'!D:D,A332,'QA Log'!M:M,"Vignette",'QA Log'!L:L,"Vignette [8] Birth Spacing/ Family Planning :  FP Counselling",'QA Log'!Z:Z,"Approved"),"")</f>
        <v/>
      </c>
      <c r="BK332" s="105" t="str">
        <f>IF(A332&lt;&gt;"",COUNTIFS('QA Log'!D:D,A332,'QA Log'!M:M,"Vignette",'QA Log'!L:L,"Vignette [9] Birth Spacing: Change FP method to Injectable",'QA Log'!Z:Z,"Approved"),"")</f>
        <v/>
      </c>
      <c r="BL332" s="105" t="str">
        <f>IF(A332&lt;&gt;"",COUNTIFS('QA Log'!D:D,A332,'QA Log'!M:M,"Vignette",'QA Log'!L:L,"Vignette [10] Post Partum Haemorrhage - Atonic Uterus at Health Centre",'QA Log'!Z:Z,"Approved"),"")</f>
        <v/>
      </c>
      <c r="BM332" s="102" t="str">
        <f>IF(A332="","",SUM(
    COUNTIFS('QA Log'!D:D,A332,'QA Log'!M:M,"Vignette",'QA Log'!Z:Z,"Rejected",'QA Log'!L:L,"*Vignette [5] Labor*"),
    COUNTIFS('QA Log'!D:D,A332,'QA Log'!M:M,"Vignette",'QA Log'!Z:Z,"Rejected",'QA Log'!L:L,"*Vignette [6] PNC pre Discharge*"),
    COUNTIFS('QA Log'!D:D,A332,'QA Log'!M:M,"Vignette",'QA Log'!Z:Z,"Rejected",'QA Log'!L:L,"*Vignette [7] First ANC Visit*"),
    COUNTIFS('QA Log'!D:D,A332,'QA Log'!M:M,"Vignette",'QA Log'!Z:Z,"Rejected",'QA Log'!L:L,"*Vignette [8] Birth Spacing/ Family Planning :  FP Counselling*"),
    COUNTIFS('QA Log'!D:D,A332,'QA Log'!M:M,"Vignette",'QA Log'!Z:Z,"Rejected",'QA Log'!L:L,"*Vignette [9] Birth Spacing: Change FP method to Injectable*"),
    COUNTIFS('QA Log'!D:D,A332,'QA Log'!M:M,"Vignette",'QA Log'!Z:Z,"Rejected",'QA Log'!L:L,"*Vignette [10] Post Partum Haemorrhage - Atonic Uterus at Health Centre*")
  )
)</f>
        <v/>
      </c>
      <c r="BN332" s="107" t="str">
        <f t="shared" si="37"/>
        <v/>
      </c>
      <c r="BO332" s="103" t="str">
        <f t="shared" si="38"/>
        <v/>
      </c>
      <c r="BP332" s="102" t="str">
        <f>IF(A332="","",SUM(
COUNTIFS('QA Log'!D:D,A332,'QA Log'!M:M,"Vignette",'QA Log'!L:L,"*Exit Interview 1*"),
COUNTIFS('QA Log'!D:D,A332,'QA Log'!M:M,"Vignette",'QA Log'!L:L,"*Exit Interview 2*"),
)
)</f>
        <v/>
      </c>
      <c r="BQ332" s="102" t="str">
        <f>IF(
  A332="","",
  SUM(
    COUNTIFS('QA Log'!D:D,A332,'QA Log'!M:M,"Vignette",'QA Log'!Z:Z,"Approved",'QA Log'!L:L,"*Exit Interview 1*"),
    COUNTIFS('QA Log'!D:D,A332,'QA Log'!M:M,"Vignette",'QA Log'!Z:Z,"Approved",'QA Log'!L:L,"*Exit Interview 2*")
  )
)</f>
        <v/>
      </c>
      <c r="BR332" s="105" t="str">
        <f>IF(A332&lt;&gt;"",COUNTIFS('QA Log'!D:D,A332,'QA Log'!M:M,"Vignette",'QA Log'!L:L,"Exit Interview 1",'QA Log'!Z:Z,"Approved"),"")</f>
        <v/>
      </c>
      <c r="BS332" s="105" t="str">
        <f>IF(A332&lt;&gt;"",COUNTIFS('QA Log'!D:D,A332,'QA Log'!M:M,"Vignette",'QA Log'!L:L,"Exit Interview 2",'QA Log'!Z:Z,"Approved"),"")</f>
        <v/>
      </c>
      <c r="BT332" s="102" t="str">
        <f>IF(
  A332="","",
  SUM(
    COUNTIFS('QA Log'!D:D,A332,'QA Log'!M:M,"Vignette",'QA Log'!Z:Z,"Rejected",'QA Log'!L:L,"*Exit Interview 1*"),
    COUNTIFS('QA Log'!D:D,A332,'QA Log'!M:M,"Vignette",'QA Log'!Z:Z,"Rejected",'QA Log'!L:L,"*Exit Interview 2*")
  )
)</f>
        <v/>
      </c>
      <c r="BU332" s="107" t="str">
        <f t="shared" si="39"/>
        <v/>
      </c>
      <c r="BV332" s="102" t="str">
        <f t="shared" si="40"/>
        <v/>
      </c>
      <c r="BW332" s="102" t="str">
        <f t="shared" si="41"/>
        <v/>
      </c>
      <c r="BX332" s="102" t="str">
        <f t="shared" si="42"/>
        <v/>
      </c>
      <c r="BY332" s="102" t="str">
        <f t="shared" si="43"/>
        <v/>
      </c>
      <c r="BZ332" s="107" t="str">
        <f t="shared" si="44"/>
        <v/>
      </c>
      <c r="CA332" s="108" t="str">
        <f t="shared" si="45"/>
        <v/>
      </c>
      <c r="CB332" s="108" t="str">
        <f t="shared" si="46"/>
        <v/>
      </c>
      <c r="CC332" s="109" t="str">
        <f t="shared" si="47"/>
        <v/>
      </c>
      <c r="CD332" s="108" t="str">
        <f t="shared" si="48"/>
        <v/>
      </c>
      <c r="CE332" s="108" t="str">
        <f t="shared" si="49"/>
        <v/>
      </c>
      <c r="CF332" s="109" t="str">
        <f t="shared" si="50"/>
        <v/>
      </c>
      <c r="CG332" s="110" t="str">
        <f t="shared" si="51"/>
        <v/>
      </c>
      <c r="CH332" s="111"/>
    </row>
    <row r="333" spans="1:86" ht="12.75">
      <c r="A333" s="101"/>
      <c r="B333" s="102" t="e">
        <f t="array" aca="1" ref="B333" ca="1">_xludf.XLOOKUP(A333,'QA Log'!D:D,'QA Log'!E:E,"")</f>
        <v>#NAME?</v>
      </c>
      <c r="C333" s="102" t="e">
        <f t="array" aca="1" ref="C333" ca="1">_xludf.XLOOKUP(A333,'QA Log'!D:D,'QA Log'!F:F,"")</f>
        <v>#NAME?</v>
      </c>
      <c r="D333" s="102" t="e">
        <f t="array" aca="1" ref="D333" ca="1">_xludf.XLOOKUP(A333,'QA Log'!D:D,'QA Log'!H:H,"")</f>
        <v>#NAME?</v>
      </c>
      <c r="E333" s="102" t="e">
        <f t="array" aca="1" ref="E333" ca="1">_xludf.XLOOKUP(A333,'QA Log'!D:D,'QA Log'!G:G,"")</f>
        <v>#NAME?</v>
      </c>
      <c r="F333" s="103"/>
      <c r="G333" s="104"/>
      <c r="H333" s="104"/>
      <c r="I333" s="103" t="str">
        <f t="shared" si="26"/>
        <v/>
      </c>
      <c r="J333" s="102" t="str">
        <f>IF(A333="","",SUM(
COUNTIFS('QA Log'!D:D,A333,'QA Log'!M:M,"QQC",'QA Log'!L:L,"*1. General Management*"),
COUNTIFS('QA Log'!D:D,A333,'QA Log'!M:M,"QQC",'QA Log'!L:L,"*3. Curative Consultation (OPD)*"),
COUNTIFS('QA Log'!D:D,A333,'QA Log'!M:M,"QQC",'QA Log'!L:L,"*5. Laboratory*"),
COUNTIFS('QA Log'!D:D,A333,'QA Log'!M:M,"QQC",'QA Log'!L:L,"*6. Essential Medicine Management*"),
COUNTIFS('QA Log'!D:D,A333,'QA Log'!M:M,"QQC",'QA Log'!L:L,"*7. Tracer Medicine*"),
COUNTIFS('QA Log'!D:D,A333,'QA Log'!M:M,"QQC",'QA Log'!L:L,"*11. Additional Questions*")))</f>
        <v/>
      </c>
      <c r="K333" s="102" t="str">
        <f>IF(A333="","",SUM(
COUNTIFS('QA Log'!D:D,A333,'QA Log'!M:M,"QQC",'QA Log'!Z:Z,"Approved",'QA Log'!L:L,"*1. General Management*"),
COUNTIFS('QA Log'!D:D,A333,'QA Log'!M:M,"QQC",'QA Log'!Z:Z,"Approved",'QA Log'!L:L,"*3. Curative Consultation (OPD)*"),
COUNTIFS('QA Log'!D:D,A333,'QA Log'!M:M,"QQC",'QA Log'!Z:Z,"Approved",'QA Log'!L:L,"*5. Laboratory*"),
COUNTIFS('QA Log'!D:D,A333,'QA Log'!M:M,"QQC",'QA Log'!Z:Z,"Approved",'QA Log'!L:L,"*6. Essential Medicine Management*"),
COUNTIFS('QA Log'!D:D,A333,'QA Log'!M:M,"QQC",'QA Log'!Z:Z,"Approved",'QA Log'!L:L,"*7. Tracer Medicine*"),
COUNTIFS('QA Log'!D:D,A333,'QA Log'!M:M,"QQC",'QA Log'!Z:Z,"Approved",'QA Log'!L:L,"*11. Additional Questions*")))</f>
        <v/>
      </c>
      <c r="L333" s="105" t="str">
        <f>IF(A333&lt;&gt;"",COUNTIFS('QA Log'!D:D,A333,'QA Log'!M:M,"QQC",'QA Log'!L:L,"1. General Management",'QA Log'!Z:Z,"Approved"),"")</f>
        <v/>
      </c>
      <c r="M333" s="105" t="str">
        <f>IF(A333&lt;&gt;"",COUNTIFS('QA Log'!D:D,A333,'QA Log'!M:M,"QQC",'QA Log'!L:L,"3. Curative Consultation (OPD)",'QA Log'!Z:Z,"Approved"),"")</f>
        <v/>
      </c>
      <c r="N333" s="105" t="str">
        <f>IF(A333&lt;&gt;"",COUNTIFS('QA Log'!D:D,A333,'QA Log'!M:M,"QQC",'QA Log'!L:L,"5. Laboratory",'QA Log'!Z:Z,"Approved"),"")</f>
        <v/>
      </c>
      <c r="O333" s="105" t="str">
        <f>IF(A333&lt;&gt;"",COUNTIFS('QA Log'!D:D,A333,'QA Log'!M:M,"QQC",'QA Log'!L:L,"6. Essential Medicine Management",'QA Log'!Z:Z,"Approved"),"")</f>
        <v/>
      </c>
      <c r="P333" s="105" t="str">
        <f>IF(A333&lt;&gt;"",COUNTIFS('QA Log'!D:D,A333,'QA Log'!M:M,"QQC",'QA Log'!L:L,"7. Tracer Medicine",'QA Log'!Z:Z,"Approved"),"")</f>
        <v/>
      </c>
      <c r="Q333" s="105" t="str">
        <f>IF(A333&lt;&gt;"",COUNTIFS('QA Log'!D:D,A333,'QA Log'!M:M,"QQC",'QA Log'!L:L,"11. Additional Questions",'QA Log'!Z:Z,"Approved"),"")</f>
        <v/>
      </c>
      <c r="R333" s="102" t="str">
        <f>IF(A333="","",SUM(
COUNTIFS('QA Log'!D:D,A333,'QA Log'!M:M,"QQC",'QA Log'!Z:Z,"Rejected",'QA Log'!L:L,"*8. Maternity*"),
COUNTIFS('QA Log'!D:D,A333,'QA Log'!M:M,"QQC",'QA Log'!Z:Z,"Rejected",'QA Log'!L:L,"*EPI*"),
COUNTIFS('QA Log'!D:D,A333,'QA Log'!M:M,"QQC",'QA Log'!Z:Z,"Rejected",'QA Log'!L:L,"*10. Antenatal Care (ANC)*"),
COUNTIFS('QA Log'!D:D,A333,'QA Log'!M:M,"QQC",'QA Log'!Z:Z,"Rejected",'QA Log'!L:L,"*2. Hygiene and Sterilization*"),
COUNTIFS('QA Log'!D:D,A333,'QA Log'!M:M,"QQC",'QA Log'!Z:Z,"Rejected",'QA Log'!L:L,"*Family Planning*")))</f>
        <v/>
      </c>
      <c r="S333" s="106" t="str">
        <f t="shared" si="27"/>
        <v/>
      </c>
      <c r="T333" s="102" t="str">
        <f t="shared" si="28"/>
        <v/>
      </c>
      <c r="U333" s="102" t="str">
        <f>IF(A333="","",
SUM(
COUNTIFS('QA Log'!D:D,A333,'QA Log'!M:M,"QQC",'QA Log'!L:L,"*8. Maternity*"),
COUNTIFS('QA Log'!D:D,A333,'QA Log'!M:M,"QQC",'QA Log'!L:L,"*9. EPI and Pre-school Consultation*"),
COUNTIFS('QA Log'!D:D,A333,'QA Log'!M:M,"QQC",'QA Log'!L:L,"*10. Antenatal Care (ANC)*"),
COUNTIFS('QA Log'!D:D,A333,'QA Log'!M:M,"QQC",'QA Log'!L:L,"*2. Hygiene and Sterilization*"),
COUNTIFS('QA Log'!D:D,A333,'QA Log'!M:M,"QQC",'QA Log'!L:L,"*4. Family Planning*")
))</f>
        <v/>
      </c>
      <c r="V333" s="102" t="str">
        <f>IF(A333="","",
SUM(
COUNTIFS('QA Log'!D:D,A333,'QA Log'!M:M,"QQC",'QA Log'!Z:Z,"Approved",'QA Log'!L:L,"*8. Maternity*"),
COUNTIFS('QA Log'!D:D,A333,'QA Log'!M:M,"QQC",'QA Log'!Z:Z,"Approved",'QA Log'!L:L,"*9. EPI and Pre-school Consultation*"),
COUNTIFS('QA Log'!D:D,A333,'QA Log'!M:M,"QQC",'QA Log'!Z:Z,"Approved",'QA Log'!L:L,"*10. Antenatal Care (ANC)*"),
COUNTIFS('QA Log'!D:D,A333,'QA Log'!M:M,"QQC",'QA Log'!Z:Z,"Approved",'QA Log'!L:L,"*2. Hygiene and Sterilization*"),
COUNTIFS('QA Log'!D:D,A333,'QA Log'!M:M,"QQC",'QA Log'!Z:Z,"Approved",'QA Log'!L:L,"*4. Family Planning*")
))</f>
        <v/>
      </c>
      <c r="W333" s="105" t="str">
        <f>IF(A333&lt;&gt;"",COUNTIFS('QA Log'!D:D,A333,'QA Log'!M:M,"QQC",'QA Log'!L:L,"8. Maternity",'QA Log'!Z:Z,"Approved"),"")</f>
        <v/>
      </c>
      <c r="X333" s="105" t="str">
        <f>IF(A333&lt;&gt;"",COUNTIFS('QA Log'!D:D,A333,'QA Log'!M:M,"QQC",'QA Log'!L:L,"9. EPI and Pre-school Consultation",'QA Log'!Z:Z,"Approved"),"")</f>
        <v/>
      </c>
      <c r="Y333" s="105" t="str">
        <f>IF(A333&lt;&gt;"",COUNTIFS('QA Log'!D:D,A333,'QA Log'!M:M,"QQC",'QA Log'!L:L,"10. Antenatal Care (ANC)",'QA Log'!Z:Z,"Approved"),"")</f>
        <v/>
      </c>
      <c r="Z333" s="105" t="str">
        <f>IF(A333&lt;&gt;"",COUNTIFS('QA Log'!D:D,A333,'QA Log'!M:M,"QQC",'QA Log'!L:L,"2. Hygiene and Sterilization",'QA Log'!Z:Z,"Approved"),"")</f>
        <v/>
      </c>
      <c r="AA333" s="105" t="str">
        <f>IF(A333&lt;&gt;"",COUNTIFS('QA Log'!D:D,A333,'QA Log'!M:M,"QQC",'QA Log'!L:L,"4. Family Planning",'QA Log'!Z:Z,"Approved"),"")</f>
        <v/>
      </c>
      <c r="AB333" s="102" t="str">
        <f>IF(A333="","",
SUM(
COUNTIFS('QA Log'!D:D,A333,'QA Log'!M:M,"QQC",'QA Log'!Z:Z,"Rejected",'QA Log'!L:L,"*8. Maternity*"),
COUNTIFS('QA Log'!D:D,A333,'QA Log'!M:M,"QQC",'QA Log'!Z:Z,"Rejected",'QA Log'!L:L,"*9. EPI and Pre-school Consultation*"),
COUNTIFS('QA Log'!D:D,A333,'QA Log'!M:M,"QQC",'QA Log'!Z:Z,"Rejected",'QA Log'!L:L,"*10. Antenatal Care (ANC)*"),
COUNTIFS('QA Log'!D:D,A333,'QA Log'!M:M,"QQC",'QA Log'!Z:Z,"Rejected",'QA Log'!L:L,"*2. Hygiene and Sterilization*"),
COUNTIFS('QA Log'!D:D,A333,'QA Log'!M:M,"QQC",'QA Log'!Z:Z,"Rejected",'QA Log'!L:L,"*4. Family Planning*")
))</f>
        <v/>
      </c>
      <c r="AC333" s="102" t="str">
        <f t="shared" si="29"/>
        <v/>
      </c>
      <c r="AD333" s="103" t="str">
        <f t="shared" si="30"/>
        <v/>
      </c>
      <c r="AE333" s="102" t="str">
        <f>IF(A333="","",
SUM(
COUNTIFS('QA Log'!D:D,A333,'QA Log'!M:M,"Data Verification",'QA Log'!L:L,"*Medicine (section 2)*"),
COUNTIFS('QA Log'!D:D,A333,'QA Log'!M:M,"Data Verification",'QA Log'!L:L,"*Lab Testing Availability*"),
COUNTIFS('QA Log'!D:D,A333,'QA Log'!M:M,"Data Verification",'QA Log'!L:L,"*Other than P4P (section 6)*"),
COUNTIFS('QA Log'!D:D,A333,'QA Log'!M:M,"Data Verification",'QA Log'!L:L,"*Hospital Governance*")
))</f>
        <v/>
      </c>
      <c r="AF333" s="102" t="str">
        <f>IF(A333="","",
SUM(
COUNTIFS('QA Log'!D:D,A333,'QA Log'!M:M,"Data Verification",'QA Log'!Z:Z,"Approved",'QA Log'!L:L,"*Medicine (section 2)*"),
COUNTIFS('QA Log'!D:D,A333,'QA Log'!M:M,"Data Verification",'QA Log'!Z:Z,"Approved",'QA Log'!L:L,"*Lab Testing Availability*"),
COUNTIFS('QA Log'!D:D,A333,'QA Log'!M:M,"Data Verification",'QA Log'!Z:Z,"Approved",'QA Log'!L:L,"*Other than P4P (section 6)*"),
COUNTIFS('QA Log'!D:D,A333,'QA Log'!M:M,"Data Verification",'QA Log'!Z:Z,"Approved",'QA Log'!L:L,"*Hospital Governance*")
))</f>
        <v/>
      </c>
      <c r="AG333" s="105" t="str">
        <f>IF(A333&lt;&gt;"",COUNTIFS('QA Log'!D:D,A333,'QA Log'!M:M,"Data Verification",'QA Log'!L:L,"Medicine (section 2)",'QA Log'!Z:Z,"Approved"),"")</f>
        <v/>
      </c>
      <c r="AH333" s="105" t="str">
        <f>IF(A333&lt;&gt;"",COUNTIFS('QA Log'!D:D,A333,'QA Log'!M:M,"Data Verification",'QA Log'!L:L,"Lab Testing Availability",'QA Log'!Z:Z,"Approved"),"")</f>
        <v/>
      </c>
      <c r="AI333" s="105" t="str">
        <f>IF(A333&lt;&gt;"",COUNTIFS('QA Log'!D:D,A333,'QA Log'!M:M,"Data Verification",'QA Log'!L:L,"Other than P4P (section 6)",'QA Log'!Z:Z,"Approved"),"")</f>
        <v/>
      </c>
      <c r="AJ333" s="105" t="str">
        <f>IF(A333&lt;&gt;"",COUNTIFS('QA Log'!D:D,A333,'QA Log'!M:M,"Data Verification",'QA Log'!L:L,"Hospital Governance",'QA Log'!Z:Z,"Approved"),"")</f>
        <v/>
      </c>
      <c r="AK333" s="102" t="str">
        <f>IF(A333="","",
SUM(
COUNTIFS('QA Log'!D:D,A333,'QA Log'!M:M,"Data Verification",'QA Log'!Z:Z,"Rejected",'QA Log'!L:L,"*Medicine (section 2)*"),
COUNTIFS('QA Log'!D:D,A333,'QA Log'!M:M,"Data Verification",'QA Log'!Z:Z,"Rejected",'QA Log'!L:L,"*Lab Testing Availability*"),
COUNTIFS('QA Log'!D:D,A333,'QA Log'!M:M,"Data Verification",'QA Log'!Z:Z,"Rejected",'QA Log'!L:L,"*Other than P4P (section 6)*"),
COUNTIFS('QA Log'!D:D,A333,'QA Log'!M:M,"Data Verification",'QA Log'!Z:Z,"Rejected",'QA Log'!L:L,"*Hospital Governance*")
))</f>
        <v/>
      </c>
      <c r="AL333" s="106" t="str">
        <f t="shared" si="31"/>
        <v/>
      </c>
      <c r="AM333" s="102" t="str">
        <f t="shared" si="32"/>
        <v/>
      </c>
      <c r="AN333" s="102" t="str">
        <f>IF(A333="","",
SUM(
COUNTIFS('QA Log'!D:D,A333,'QA Log'!M:M,"Data Verification",'QA Log'!L:L,"*Personnel (section 1)*"),
COUNTIFS('QA Log'!D:D,A333,'QA Log'!M:M,"Data Verification",'QA Log'!L:L,"*Consumable (section 3)*"),
COUNTIFS('QA Log'!D:D,A333,'QA Log'!M:M,"Data Verification",'QA Log'!L:L,"*Equipments (section 4)*")
))</f>
        <v/>
      </c>
      <c r="AO333" s="102" t="str">
        <f>IF(A333="","",
SUM(
COUNTIFS('QA Log'!D:D,A333,'QA Log'!M:M,"Data Verification",'QA Log'!Z:Z,"Approved",'QA Log'!L:L,"*Personnel (section 1)*"),
COUNTIFS('QA Log'!D:D,A333,'QA Log'!M:M,"Data Verification",'QA Log'!Z:Z,"Approved",'QA Log'!L:L,"*Consumable (section 3)*"),
COUNTIFS('QA Log'!D:D,A333,'QA Log'!M:M,"Data Verification",'QA Log'!Z:Z,"Approved",'QA Log'!L:L,"*Equipments (section 4)*")
))</f>
        <v/>
      </c>
      <c r="AP333" s="105" t="str">
        <f>IF(A333&lt;&gt;"",COUNTIFS('QA Log'!D:D,A333,'QA Log'!M:M,"Data Verification",'QA Log'!L:L,"Personnel (section 1)",'QA Log'!Z:Z,"Approved"),"")</f>
        <v/>
      </c>
      <c r="AQ333" s="105" t="str">
        <f>IF(A333&lt;&gt;"",COUNTIFS('QA Log'!D:D,A333,'QA Log'!M:M,"Data Verification",'QA Log'!L:L,"Consumable (section 3)",'QA Log'!Z:Z,"Approved"),"")</f>
        <v/>
      </c>
      <c r="AR333" s="105" t="str">
        <f>IF(A333&lt;&gt;"",COUNTIFS('QA Log'!D:D,A333,'QA Log'!M:M,"Data Verification",'QA Log'!L:L,"Equipments (section 4)",'QA Log'!Z:Z,"Approved"),"")</f>
        <v/>
      </c>
      <c r="AS333" s="102" t="str">
        <f>IF(A333="","",
SUM(
COUNTIFS('QA Log'!D:D,A333,'QA Log'!M:M,"Data Verification",'QA Log'!Z:Z,"Rejected",'QA Log'!L:L,"*Personnel (section 1)*"),
COUNTIFS('QA Log'!D:D,A333,'QA Log'!M:M,"Data Verification",'QA Log'!Z:Z,"Rejected",'QA Log'!L:L,"*Consumable (section 3)*"),
COUNTIFS('QA Log'!D:D,A333,'QA Log'!M:M,"Data Verification",'QA Log'!Z:Z,"Rejected",'QA Log'!L:L,"*Equipments (section 4)*")
))</f>
        <v/>
      </c>
      <c r="AT333" s="102" t="str">
        <f t="shared" si="33"/>
        <v/>
      </c>
      <c r="AU333" s="103" t="str">
        <f t="shared" si="34"/>
        <v/>
      </c>
      <c r="AV333" s="102" t="str">
        <f>IF(A333="","",SUM(
COUNTIFS('QA Log'!D:D,A333,'QA Log'!M:M,"Vignette",'QA Log'!L:L,"*Vignette [1] Respiratory Infection: Pneumonia*"),
COUNTIFS('QA Log'!D:D,A333,'QA Log'!M:M,"Vignette",'QA Log'!L:L,"*Vignette [2]: Diarrhea with Cat B dehydration*"),
COUNTIFS('QA Log'!D:D,A333,'QA Log'!M:M,"Vignette",'QA Log'!L:L,"*Vignette [3] Growth Monitoring and Promotion*"),
COUNTIFS('QA Log'!D:D,A333,'QA Log'!M:M,"Vignette",'QA Log'!L:L,"*Vignette [4]: The management of presumptive TB patient*")
)
)</f>
        <v/>
      </c>
      <c r="AW333" s="102" t="str">
        <f>IF(
  A333="","",
  SUM(
    COUNTIFS('QA Log'!D:D,A333,'QA Log'!M:M,"Vignette",'QA Log'!Z:Z,"Approved",'QA Log'!L:L,"*Vignette [1] Respiratory Infection: Pneumonia*"),
    COUNTIFS('QA Log'!D:D,A333,'QA Log'!M:M,"Vignette",'QA Log'!Z:Z,"Approved",'QA Log'!L:L,"*Vignette [2]: Diarrhea with Cat B dehydration*"),
    COUNTIFS('QA Log'!D:D,A333,'QA Log'!M:M,"Vignette",'QA Log'!Z:Z,"Approved",'QA Log'!L:L,"*Vignette [3] Growth Monitoring and Promotion*"),
    COUNTIFS('QA Log'!D:D,A333,'QA Log'!M:M,"Vignette",'QA Log'!Z:Z,"Approved",'QA Log'!L:L,"*Vignette [4]: The management of presumptive TB patient*")
  )
)</f>
        <v/>
      </c>
      <c r="AX333" s="105" t="str">
        <f>IF(A333&lt;&gt;"",COUNTIFS('QA Log'!D:D,A333,'QA Log'!M:M,"Vignette",'QA Log'!L:L,"Vignette [1] Respiratory Infection: Pneumonia",'QA Log'!Z:Z,"Approved"),"")</f>
        <v/>
      </c>
      <c r="AY333" s="105" t="str">
        <f>IF(A333&lt;&gt;"",COUNTIFS('QA Log'!D:D,A333,'QA Log'!M:M,"Vignette",'QA Log'!L:L,"Vignette [2]: Diarrhea with Cat B dehydration",'QA Log'!Z:Z,"Approved"),"")</f>
        <v/>
      </c>
      <c r="AZ333" s="105" t="str">
        <f>IF(A333&lt;&gt;"",COUNTIFS('QA Log'!D:D,A333,'QA Log'!M:M,"Vignette",'QA Log'!L:L,"Vignette [3] Growth Monitoring and Promotion",'QA Log'!Z:Z,"Approved"),"")</f>
        <v/>
      </c>
      <c r="BA333" s="105" t="str">
        <f>IF(A333&lt;&gt;"",COUNTIFS('QA Log'!D:D,A333,'QA Log'!M:M,"Vignette",'QA Log'!L:L,"Vignette [4]: The management of presumptive TB patient",'QA Log'!Z:Z,"Approved"),"")</f>
        <v/>
      </c>
      <c r="BB333" s="102" t="str">
        <f>IF(A333="","",
  SUM(
    COUNTIFS('QA Log'!D:D,A333,'QA Log'!M:M,"Vignette",'QA Log'!Z:Z,"Rejected",'QA Log'!L:L,"*Vignette [1] Respiratory Infection: Pneumonia*"),
    COUNTIFS('QA Log'!D:D,A333,'QA Log'!M:M,"Vignette",'QA Log'!Z:Z,"Rejected",'QA Log'!L:L,"*Vignette [2]: Diarrhea with Cat B dehydration*"),
    COUNTIFS('QA Log'!D:D,A333,'QA Log'!M:M,"Vignette",'QA Log'!Z:Z,"Rejected",'QA Log'!L:L,"*Vignette [3] Growth Monitoring and Promotion*"),
    COUNTIFS('QA Log'!D:D,A333,'QA Log'!M:M,"Vignette",'QA Log'!Z:Z,"Rejected",'QA Log'!L:L,"*Vignette [4]: The management of presumptive TB patient*")
  )
)</f>
        <v/>
      </c>
      <c r="BC333" s="107" t="str">
        <f t="shared" si="35"/>
        <v/>
      </c>
      <c r="BD333" s="103" t="str">
        <f t="shared" si="36"/>
        <v/>
      </c>
      <c r="BE333" s="102" t="str">
        <f>IF(A333="","",SUM(
COUNTIFS('QA Log'!D:D,A333,'QA Log'!M:M,"Vignette",'QA Log'!L:L,"*Vignette [5] Labor*"),
COUNTIFS('QA Log'!D:D,A333,'QA Log'!M:M,"Vignette",'QA Log'!L:L,"*Vignette [6] PNC pre Discharge*"),
COUNTIFS('QA Log'!D:D,A333,'QA Log'!M:M,"Vignette",'QA Log'!L:L,"*Vignette [7] First ANC Visit*"),
COUNTIFS('QA Log'!D:D,A333,'QA Log'!M:M,"Vignette",'QA Log'!L:L,"*Vignette [8] Birth Spacing/ Family Planning :  FP Counselling*"),
COUNTIFS('QA Log'!D:D,A333,'QA Log'!M:M,"Vignette",'QA Log'!L:L,"*Vignette [9] Birth Spacing: Change FP method to Injectable*"),
COUNTIFS('QA Log'!D:D,A333,'QA Log'!M:M,"Vignette",'QA Log'!L:L,"*Vignette [10] Post Partum Haemorrhage - Atonic Uterus at Health Centre*"),
)
)</f>
        <v/>
      </c>
      <c r="BF333" s="102" t="str">
        <f>IF(A333="","",
  SUM(
    COUNTIFS('QA Log'!D:D,A333,'QA Log'!M:M,"Vignette",'QA Log'!Z:Z,"Approved",'QA Log'!L:L,"*Vignette [5] Labor*"),
    COUNTIFS('QA Log'!D:D,A333,'QA Log'!M:M,"Vignette",'QA Log'!Z:Z,"Approved",'QA Log'!L:L,"*Vignette [6] PNC pre Discharge*"),
    COUNTIFS('QA Log'!D:D,A333,'QA Log'!M:M,"Vignette",'QA Log'!Z:Z,"Approved",'QA Log'!L:L,"*Vignette [7] First ANC Visit*"),
    COUNTIFS('QA Log'!D:D,A333,'QA Log'!M:M,"Vignette",'QA Log'!Z:Z,"Approved",'QA Log'!L:L,"*Vignette [8] Birth Spacing/ Family Planning :  FP Counselling*"),
    COUNTIFS('QA Log'!D:D,A333,'QA Log'!M:M,"Vignette",'QA Log'!Z:Z,"Approved",'QA Log'!L:L,"*Vignette [9] Birth Spacing: Change FP method to Injectable*"),
    COUNTIFS('QA Log'!D:D,A333,'QA Log'!M:M,"Vignette",'QA Log'!Z:Z,"Approved",'QA Log'!L:L,"*Vignette [10] Post Partum Haemorrhage - Atonic Uterus at Health Centre*")
  )
)</f>
        <v/>
      </c>
      <c r="BG333" s="105" t="str">
        <f>IF(A333&lt;&gt;"",COUNTIFS('QA Log'!D:D,A333,'QA Log'!M:M,"Vignette",'QA Log'!L:L,"Vignette [5] Labor",'QA Log'!Z:Z,"Approved"),"")</f>
        <v/>
      </c>
      <c r="BH333" s="105" t="str">
        <f>IF(A333&lt;&gt;"",COUNTIFS('QA Log'!D:D,A333,'QA Log'!M:M,"Vignette",'QA Log'!L:L,"Vignette [6] PNC pre Discharge",'QA Log'!Z:Z,"Approved"),"")</f>
        <v/>
      </c>
      <c r="BI333" s="105" t="str">
        <f>IF(A333&lt;&gt;"",COUNTIFS('QA Log'!D:D,A333,'QA Log'!M:M,"Vignette",'QA Log'!L:L,"Vignette [7] First ANC Visit",'QA Log'!Z:Z,"Approved"),"")</f>
        <v/>
      </c>
      <c r="BJ333" s="105" t="str">
        <f>IF(A333&lt;&gt;"",COUNTIFS('QA Log'!D:D,A333,'QA Log'!M:M,"Vignette",'QA Log'!L:L,"Vignette [8] Birth Spacing/ Family Planning :  FP Counselling",'QA Log'!Z:Z,"Approved"),"")</f>
        <v/>
      </c>
      <c r="BK333" s="105" t="str">
        <f>IF(A333&lt;&gt;"",COUNTIFS('QA Log'!D:D,A333,'QA Log'!M:M,"Vignette",'QA Log'!L:L,"Vignette [9] Birth Spacing: Change FP method to Injectable",'QA Log'!Z:Z,"Approved"),"")</f>
        <v/>
      </c>
      <c r="BL333" s="105" t="str">
        <f>IF(A333&lt;&gt;"",COUNTIFS('QA Log'!D:D,A333,'QA Log'!M:M,"Vignette",'QA Log'!L:L,"Vignette [10] Post Partum Haemorrhage - Atonic Uterus at Health Centre",'QA Log'!Z:Z,"Approved"),"")</f>
        <v/>
      </c>
      <c r="BM333" s="102" t="str">
        <f>IF(A333="","",SUM(
    COUNTIFS('QA Log'!D:D,A333,'QA Log'!M:M,"Vignette",'QA Log'!Z:Z,"Rejected",'QA Log'!L:L,"*Vignette [5] Labor*"),
    COUNTIFS('QA Log'!D:D,A333,'QA Log'!M:M,"Vignette",'QA Log'!Z:Z,"Rejected",'QA Log'!L:L,"*Vignette [6] PNC pre Discharge*"),
    COUNTIFS('QA Log'!D:D,A333,'QA Log'!M:M,"Vignette",'QA Log'!Z:Z,"Rejected",'QA Log'!L:L,"*Vignette [7] First ANC Visit*"),
    COUNTIFS('QA Log'!D:D,A333,'QA Log'!M:M,"Vignette",'QA Log'!Z:Z,"Rejected",'QA Log'!L:L,"*Vignette [8] Birth Spacing/ Family Planning :  FP Counselling*"),
    COUNTIFS('QA Log'!D:D,A333,'QA Log'!M:M,"Vignette",'QA Log'!Z:Z,"Rejected",'QA Log'!L:L,"*Vignette [9] Birth Spacing: Change FP method to Injectable*"),
    COUNTIFS('QA Log'!D:D,A333,'QA Log'!M:M,"Vignette",'QA Log'!Z:Z,"Rejected",'QA Log'!L:L,"*Vignette [10] Post Partum Haemorrhage - Atonic Uterus at Health Centre*")
  )
)</f>
        <v/>
      </c>
      <c r="BN333" s="107" t="str">
        <f t="shared" si="37"/>
        <v/>
      </c>
      <c r="BO333" s="103" t="str">
        <f t="shared" si="38"/>
        <v/>
      </c>
      <c r="BP333" s="102" t="str">
        <f>IF(A333="","",SUM(
COUNTIFS('QA Log'!D:D,A333,'QA Log'!M:M,"Vignette",'QA Log'!L:L,"*Exit Interview 1*"),
COUNTIFS('QA Log'!D:D,A333,'QA Log'!M:M,"Vignette",'QA Log'!L:L,"*Exit Interview 2*"),
)
)</f>
        <v/>
      </c>
      <c r="BQ333" s="102" t="str">
        <f>IF(
  A333="","",
  SUM(
    COUNTIFS('QA Log'!D:D,A333,'QA Log'!M:M,"Vignette",'QA Log'!Z:Z,"Approved",'QA Log'!L:L,"*Exit Interview 1*"),
    COUNTIFS('QA Log'!D:D,A333,'QA Log'!M:M,"Vignette",'QA Log'!Z:Z,"Approved",'QA Log'!L:L,"*Exit Interview 2*")
  )
)</f>
        <v/>
      </c>
      <c r="BR333" s="105" t="str">
        <f>IF(A333&lt;&gt;"",COUNTIFS('QA Log'!D:D,A333,'QA Log'!M:M,"Vignette",'QA Log'!L:L,"Exit Interview 1",'QA Log'!Z:Z,"Approved"),"")</f>
        <v/>
      </c>
      <c r="BS333" s="105" t="str">
        <f>IF(A333&lt;&gt;"",COUNTIFS('QA Log'!D:D,A333,'QA Log'!M:M,"Vignette",'QA Log'!L:L,"Exit Interview 2",'QA Log'!Z:Z,"Approved"),"")</f>
        <v/>
      </c>
      <c r="BT333" s="102" t="str">
        <f>IF(
  A333="","",
  SUM(
    COUNTIFS('QA Log'!D:D,A333,'QA Log'!M:M,"Vignette",'QA Log'!Z:Z,"Rejected",'QA Log'!L:L,"*Exit Interview 1*"),
    COUNTIFS('QA Log'!D:D,A333,'QA Log'!M:M,"Vignette",'QA Log'!Z:Z,"Rejected",'QA Log'!L:L,"*Exit Interview 2*")
  )
)</f>
        <v/>
      </c>
      <c r="BU333" s="107" t="str">
        <f t="shared" si="39"/>
        <v/>
      </c>
      <c r="BV333" s="102" t="str">
        <f t="shared" si="40"/>
        <v/>
      </c>
      <c r="BW333" s="102" t="str">
        <f t="shared" si="41"/>
        <v/>
      </c>
      <c r="BX333" s="102" t="str">
        <f t="shared" si="42"/>
        <v/>
      </c>
      <c r="BY333" s="102" t="str">
        <f t="shared" si="43"/>
        <v/>
      </c>
      <c r="BZ333" s="107" t="str">
        <f t="shared" si="44"/>
        <v/>
      </c>
      <c r="CA333" s="108" t="str">
        <f t="shared" si="45"/>
        <v/>
      </c>
      <c r="CB333" s="108" t="str">
        <f t="shared" si="46"/>
        <v/>
      </c>
      <c r="CC333" s="109" t="str">
        <f t="shared" si="47"/>
        <v/>
      </c>
      <c r="CD333" s="108" t="str">
        <f t="shared" si="48"/>
        <v/>
      </c>
      <c r="CE333" s="108" t="str">
        <f t="shared" si="49"/>
        <v/>
      </c>
      <c r="CF333" s="109" t="str">
        <f t="shared" si="50"/>
        <v/>
      </c>
      <c r="CG333" s="110" t="str">
        <f t="shared" si="51"/>
        <v/>
      </c>
      <c r="CH333" s="111"/>
    </row>
    <row r="334" spans="1:86" ht="12.75">
      <c r="A334" s="101"/>
      <c r="B334" s="102" t="e">
        <f t="array" aca="1" ref="B334" ca="1">_xludf.XLOOKUP(A334,'QA Log'!D:D,'QA Log'!E:E,"")</f>
        <v>#NAME?</v>
      </c>
      <c r="C334" s="102" t="e">
        <f t="array" aca="1" ref="C334" ca="1">_xludf.XLOOKUP(A334,'QA Log'!D:D,'QA Log'!F:F,"")</f>
        <v>#NAME?</v>
      </c>
      <c r="D334" s="102" t="e">
        <f t="array" aca="1" ref="D334" ca="1">_xludf.XLOOKUP(A334,'QA Log'!D:D,'QA Log'!H:H,"")</f>
        <v>#NAME?</v>
      </c>
      <c r="E334" s="102" t="e">
        <f t="array" aca="1" ref="E334" ca="1">_xludf.XLOOKUP(A334,'QA Log'!D:D,'QA Log'!G:G,"")</f>
        <v>#NAME?</v>
      </c>
      <c r="F334" s="103"/>
      <c r="G334" s="104"/>
      <c r="H334" s="104"/>
      <c r="I334" s="103" t="str">
        <f t="shared" si="26"/>
        <v/>
      </c>
      <c r="J334" s="102" t="str">
        <f>IF(A334="","",SUM(
COUNTIFS('QA Log'!D:D,A334,'QA Log'!M:M,"QQC",'QA Log'!L:L,"*1. General Management*"),
COUNTIFS('QA Log'!D:D,A334,'QA Log'!M:M,"QQC",'QA Log'!L:L,"*3. Curative Consultation (OPD)*"),
COUNTIFS('QA Log'!D:D,A334,'QA Log'!M:M,"QQC",'QA Log'!L:L,"*5. Laboratory*"),
COUNTIFS('QA Log'!D:D,A334,'QA Log'!M:M,"QQC",'QA Log'!L:L,"*6. Essential Medicine Management*"),
COUNTIFS('QA Log'!D:D,A334,'QA Log'!M:M,"QQC",'QA Log'!L:L,"*7. Tracer Medicine*"),
COUNTIFS('QA Log'!D:D,A334,'QA Log'!M:M,"QQC",'QA Log'!L:L,"*11. Additional Questions*")))</f>
        <v/>
      </c>
      <c r="K334" s="102" t="str">
        <f>IF(A334="","",SUM(
COUNTIFS('QA Log'!D:D,A334,'QA Log'!M:M,"QQC",'QA Log'!Z:Z,"Approved",'QA Log'!L:L,"*1. General Management*"),
COUNTIFS('QA Log'!D:D,A334,'QA Log'!M:M,"QQC",'QA Log'!Z:Z,"Approved",'QA Log'!L:L,"*3. Curative Consultation (OPD)*"),
COUNTIFS('QA Log'!D:D,A334,'QA Log'!M:M,"QQC",'QA Log'!Z:Z,"Approved",'QA Log'!L:L,"*5. Laboratory*"),
COUNTIFS('QA Log'!D:D,A334,'QA Log'!M:M,"QQC",'QA Log'!Z:Z,"Approved",'QA Log'!L:L,"*6. Essential Medicine Management*"),
COUNTIFS('QA Log'!D:D,A334,'QA Log'!M:M,"QQC",'QA Log'!Z:Z,"Approved",'QA Log'!L:L,"*7. Tracer Medicine*"),
COUNTIFS('QA Log'!D:D,A334,'QA Log'!M:M,"QQC",'QA Log'!Z:Z,"Approved",'QA Log'!L:L,"*11. Additional Questions*")))</f>
        <v/>
      </c>
      <c r="L334" s="105" t="str">
        <f>IF(A334&lt;&gt;"",COUNTIFS('QA Log'!D:D,A334,'QA Log'!M:M,"QQC",'QA Log'!L:L,"1. General Management",'QA Log'!Z:Z,"Approved"),"")</f>
        <v/>
      </c>
      <c r="M334" s="105" t="str">
        <f>IF(A334&lt;&gt;"",COUNTIFS('QA Log'!D:D,A334,'QA Log'!M:M,"QQC",'QA Log'!L:L,"3. Curative Consultation (OPD)",'QA Log'!Z:Z,"Approved"),"")</f>
        <v/>
      </c>
      <c r="N334" s="105" t="str">
        <f>IF(A334&lt;&gt;"",COUNTIFS('QA Log'!D:D,A334,'QA Log'!M:M,"QQC",'QA Log'!L:L,"5. Laboratory",'QA Log'!Z:Z,"Approved"),"")</f>
        <v/>
      </c>
      <c r="O334" s="105" t="str">
        <f>IF(A334&lt;&gt;"",COUNTIFS('QA Log'!D:D,A334,'QA Log'!M:M,"QQC",'QA Log'!L:L,"6. Essential Medicine Management",'QA Log'!Z:Z,"Approved"),"")</f>
        <v/>
      </c>
      <c r="P334" s="105" t="str">
        <f>IF(A334&lt;&gt;"",COUNTIFS('QA Log'!D:D,A334,'QA Log'!M:M,"QQC",'QA Log'!L:L,"7. Tracer Medicine",'QA Log'!Z:Z,"Approved"),"")</f>
        <v/>
      </c>
      <c r="Q334" s="105" t="str">
        <f>IF(A334&lt;&gt;"",COUNTIFS('QA Log'!D:D,A334,'QA Log'!M:M,"QQC",'QA Log'!L:L,"11. Additional Questions",'QA Log'!Z:Z,"Approved"),"")</f>
        <v/>
      </c>
      <c r="R334" s="102" t="str">
        <f>IF(A334="","",SUM(
COUNTIFS('QA Log'!D:D,A334,'QA Log'!M:M,"QQC",'QA Log'!Z:Z,"Rejected",'QA Log'!L:L,"*8. Maternity*"),
COUNTIFS('QA Log'!D:D,A334,'QA Log'!M:M,"QQC",'QA Log'!Z:Z,"Rejected",'QA Log'!L:L,"*EPI*"),
COUNTIFS('QA Log'!D:D,A334,'QA Log'!M:M,"QQC",'QA Log'!Z:Z,"Rejected",'QA Log'!L:L,"*10. Antenatal Care (ANC)*"),
COUNTIFS('QA Log'!D:D,A334,'QA Log'!M:M,"QQC",'QA Log'!Z:Z,"Rejected",'QA Log'!L:L,"*2. Hygiene and Sterilization*"),
COUNTIFS('QA Log'!D:D,A334,'QA Log'!M:M,"QQC",'QA Log'!Z:Z,"Rejected",'QA Log'!L:L,"*Family Planning*")))</f>
        <v/>
      </c>
      <c r="S334" s="106" t="str">
        <f t="shared" si="27"/>
        <v/>
      </c>
      <c r="T334" s="102" t="str">
        <f t="shared" si="28"/>
        <v/>
      </c>
      <c r="U334" s="102" t="str">
        <f>IF(A334="","",
SUM(
COUNTIFS('QA Log'!D:D,A334,'QA Log'!M:M,"QQC",'QA Log'!L:L,"*8. Maternity*"),
COUNTIFS('QA Log'!D:D,A334,'QA Log'!M:M,"QQC",'QA Log'!L:L,"*9. EPI and Pre-school Consultation*"),
COUNTIFS('QA Log'!D:D,A334,'QA Log'!M:M,"QQC",'QA Log'!L:L,"*10. Antenatal Care (ANC)*"),
COUNTIFS('QA Log'!D:D,A334,'QA Log'!M:M,"QQC",'QA Log'!L:L,"*2. Hygiene and Sterilization*"),
COUNTIFS('QA Log'!D:D,A334,'QA Log'!M:M,"QQC",'QA Log'!L:L,"*4. Family Planning*")
))</f>
        <v/>
      </c>
      <c r="V334" s="102" t="str">
        <f>IF(A334="","",
SUM(
COUNTIFS('QA Log'!D:D,A334,'QA Log'!M:M,"QQC",'QA Log'!Z:Z,"Approved",'QA Log'!L:L,"*8. Maternity*"),
COUNTIFS('QA Log'!D:D,A334,'QA Log'!M:M,"QQC",'QA Log'!Z:Z,"Approved",'QA Log'!L:L,"*9. EPI and Pre-school Consultation*"),
COUNTIFS('QA Log'!D:D,A334,'QA Log'!M:M,"QQC",'QA Log'!Z:Z,"Approved",'QA Log'!L:L,"*10. Antenatal Care (ANC)*"),
COUNTIFS('QA Log'!D:D,A334,'QA Log'!M:M,"QQC",'QA Log'!Z:Z,"Approved",'QA Log'!L:L,"*2. Hygiene and Sterilization*"),
COUNTIFS('QA Log'!D:D,A334,'QA Log'!M:M,"QQC",'QA Log'!Z:Z,"Approved",'QA Log'!L:L,"*4. Family Planning*")
))</f>
        <v/>
      </c>
      <c r="W334" s="105" t="str">
        <f>IF(A334&lt;&gt;"",COUNTIFS('QA Log'!D:D,A334,'QA Log'!M:M,"QQC",'QA Log'!L:L,"8. Maternity",'QA Log'!Z:Z,"Approved"),"")</f>
        <v/>
      </c>
      <c r="X334" s="105" t="str">
        <f>IF(A334&lt;&gt;"",COUNTIFS('QA Log'!D:D,A334,'QA Log'!M:M,"QQC",'QA Log'!L:L,"9. EPI and Pre-school Consultation",'QA Log'!Z:Z,"Approved"),"")</f>
        <v/>
      </c>
      <c r="Y334" s="105" t="str">
        <f>IF(A334&lt;&gt;"",COUNTIFS('QA Log'!D:D,A334,'QA Log'!M:M,"QQC",'QA Log'!L:L,"10. Antenatal Care (ANC)",'QA Log'!Z:Z,"Approved"),"")</f>
        <v/>
      </c>
      <c r="Z334" s="105" t="str">
        <f>IF(A334&lt;&gt;"",COUNTIFS('QA Log'!D:D,A334,'QA Log'!M:M,"QQC",'QA Log'!L:L,"2. Hygiene and Sterilization",'QA Log'!Z:Z,"Approved"),"")</f>
        <v/>
      </c>
      <c r="AA334" s="105" t="str">
        <f>IF(A334&lt;&gt;"",COUNTIFS('QA Log'!D:D,A334,'QA Log'!M:M,"QQC",'QA Log'!L:L,"4. Family Planning",'QA Log'!Z:Z,"Approved"),"")</f>
        <v/>
      </c>
      <c r="AB334" s="102" t="str">
        <f>IF(A334="","",
SUM(
COUNTIFS('QA Log'!D:D,A334,'QA Log'!M:M,"QQC",'QA Log'!Z:Z,"Rejected",'QA Log'!L:L,"*8. Maternity*"),
COUNTIFS('QA Log'!D:D,A334,'QA Log'!M:M,"QQC",'QA Log'!Z:Z,"Rejected",'QA Log'!L:L,"*9. EPI and Pre-school Consultation*"),
COUNTIFS('QA Log'!D:D,A334,'QA Log'!M:M,"QQC",'QA Log'!Z:Z,"Rejected",'QA Log'!L:L,"*10. Antenatal Care (ANC)*"),
COUNTIFS('QA Log'!D:D,A334,'QA Log'!M:M,"QQC",'QA Log'!Z:Z,"Rejected",'QA Log'!L:L,"*2. Hygiene and Sterilization*"),
COUNTIFS('QA Log'!D:D,A334,'QA Log'!M:M,"QQC",'QA Log'!Z:Z,"Rejected",'QA Log'!L:L,"*4. Family Planning*")
))</f>
        <v/>
      </c>
      <c r="AC334" s="102" t="str">
        <f t="shared" si="29"/>
        <v/>
      </c>
      <c r="AD334" s="103" t="str">
        <f t="shared" si="30"/>
        <v/>
      </c>
      <c r="AE334" s="102" t="str">
        <f>IF(A334="","",
SUM(
COUNTIFS('QA Log'!D:D,A334,'QA Log'!M:M,"Data Verification",'QA Log'!L:L,"*Medicine (section 2)*"),
COUNTIFS('QA Log'!D:D,A334,'QA Log'!M:M,"Data Verification",'QA Log'!L:L,"*Lab Testing Availability*"),
COUNTIFS('QA Log'!D:D,A334,'QA Log'!M:M,"Data Verification",'QA Log'!L:L,"*Other than P4P (section 6)*"),
COUNTIFS('QA Log'!D:D,A334,'QA Log'!M:M,"Data Verification",'QA Log'!L:L,"*Hospital Governance*")
))</f>
        <v/>
      </c>
      <c r="AF334" s="102" t="str">
        <f>IF(A334="","",
SUM(
COUNTIFS('QA Log'!D:D,A334,'QA Log'!M:M,"Data Verification",'QA Log'!Z:Z,"Approved",'QA Log'!L:L,"*Medicine (section 2)*"),
COUNTIFS('QA Log'!D:D,A334,'QA Log'!M:M,"Data Verification",'QA Log'!Z:Z,"Approved",'QA Log'!L:L,"*Lab Testing Availability*"),
COUNTIFS('QA Log'!D:D,A334,'QA Log'!M:M,"Data Verification",'QA Log'!Z:Z,"Approved",'QA Log'!L:L,"*Other than P4P (section 6)*"),
COUNTIFS('QA Log'!D:D,A334,'QA Log'!M:M,"Data Verification",'QA Log'!Z:Z,"Approved",'QA Log'!L:L,"*Hospital Governance*")
))</f>
        <v/>
      </c>
      <c r="AG334" s="105" t="str">
        <f>IF(A334&lt;&gt;"",COUNTIFS('QA Log'!D:D,A334,'QA Log'!M:M,"Data Verification",'QA Log'!L:L,"Medicine (section 2)",'QA Log'!Z:Z,"Approved"),"")</f>
        <v/>
      </c>
      <c r="AH334" s="105" t="str">
        <f>IF(A334&lt;&gt;"",COUNTIFS('QA Log'!D:D,A334,'QA Log'!M:M,"Data Verification",'QA Log'!L:L,"Lab Testing Availability",'QA Log'!Z:Z,"Approved"),"")</f>
        <v/>
      </c>
      <c r="AI334" s="105" t="str">
        <f>IF(A334&lt;&gt;"",COUNTIFS('QA Log'!D:D,A334,'QA Log'!M:M,"Data Verification",'QA Log'!L:L,"Other than P4P (section 6)",'QA Log'!Z:Z,"Approved"),"")</f>
        <v/>
      </c>
      <c r="AJ334" s="105" t="str">
        <f>IF(A334&lt;&gt;"",COUNTIFS('QA Log'!D:D,A334,'QA Log'!M:M,"Data Verification",'QA Log'!L:L,"Hospital Governance",'QA Log'!Z:Z,"Approved"),"")</f>
        <v/>
      </c>
      <c r="AK334" s="102" t="str">
        <f>IF(A334="","",
SUM(
COUNTIFS('QA Log'!D:D,A334,'QA Log'!M:M,"Data Verification",'QA Log'!Z:Z,"Rejected",'QA Log'!L:L,"*Medicine (section 2)*"),
COUNTIFS('QA Log'!D:D,A334,'QA Log'!M:M,"Data Verification",'QA Log'!Z:Z,"Rejected",'QA Log'!L:L,"*Lab Testing Availability*"),
COUNTIFS('QA Log'!D:D,A334,'QA Log'!M:M,"Data Verification",'QA Log'!Z:Z,"Rejected",'QA Log'!L:L,"*Other than P4P (section 6)*"),
COUNTIFS('QA Log'!D:D,A334,'QA Log'!M:M,"Data Verification",'QA Log'!Z:Z,"Rejected",'QA Log'!L:L,"*Hospital Governance*")
))</f>
        <v/>
      </c>
      <c r="AL334" s="106" t="str">
        <f t="shared" si="31"/>
        <v/>
      </c>
      <c r="AM334" s="102" t="str">
        <f t="shared" si="32"/>
        <v/>
      </c>
      <c r="AN334" s="102" t="str">
        <f>IF(A334="","",
SUM(
COUNTIFS('QA Log'!D:D,A334,'QA Log'!M:M,"Data Verification",'QA Log'!L:L,"*Personnel (section 1)*"),
COUNTIFS('QA Log'!D:D,A334,'QA Log'!M:M,"Data Verification",'QA Log'!L:L,"*Consumable (section 3)*"),
COUNTIFS('QA Log'!D:D,A334,'QA Log'!M:M,"Data Verification",'QA Log'!L:L,"*Equipments (section 4)*")
))</f>
        <v/>
      </c>
      <c r="AO334" s="102" t="str">
        <f>IF(A334="","",
SUM(
COUNTIFS('QA Log'!D:D,A334,'QA Log'!M:M,"Data Verification",'QA Log'!Z:Z,"Approved",'QA Log'!L:L,"*Personnel (section 1)*"),
COUNTIFS('QA Log'!D:D,A334,'QA Log'!M:M,"Data Verification",'QA Log'!Z:Z,"Approved",'QA Log'!L:L,"*Consumable (section 3)*"),
COUNTIFS('QA Log'!D:D,A334,'QA Log'!M:M,"Data Verification",'QA Log'!Z:Z,"Approved",'QA Log'!L:L,"*Equipments (section 4)*")
))</f>
        <v/>
      </c>
      <c r="AP334" s="105" t="str">
        <f>IF(A334&lt;&gt;"",COUNTIFS('QA Log'!D:D,A334,'QA Log'!M:M,"Data Verification",'QA Log'!L:L,"Personnel (section 1)",'QA Log'!Z:Z,"Approved"),"")</f>
        <v/>
      </c>
      <c r="AQ334" s="105" t="str">
        <f>IF(A334&lt;&gt;"",COUNTIFS('QA Log'!D:D,A334,'QA Log'!M:M,"Data Verification",'QA Log'!L:L,"Consumable (section 3)",'QA Log'!Z:Z,"Approved"),"")</f>
        <v/>
      </c>
      <c r="AR334" s="105" t="str">
        <f>IF(A334&lt;&gt;"",COUNTIFS('QA Log'!D:D,A334,'QA Log'!M:M,"Data Verification",'QA Log'!L:L,"Equipments (section 4)",'QA Log'!Z:Z,"Approved"),"")</f>
        <v/>
      </c>
      <c r="AS334" s="102" t="str">
        <f>IF(A334="","",
SUM(
COUNTIFS('QA Log'!D:D,A334,'QA Log'!M:M,"Data Verification",'QA Log'!Z:Z,"Rejected",'QA Log'!L:L,"*Personnel (section 1)*"),
COUNTIFS('QA Log'!D:D,A334,'QA Log'!M:M,"Data Verification",'QA Log'!Z:Z,"Rejected",'QA Log'!L:L,"*Consumable (section 3)*"),
COUNTIFS('QA Log'!D:D,A334,'QA Log'!M:M,"Data Verification",'QA Log'!Z:Z,"Rejected",'QA Log'!L:L,"*Equipments (section 4)*")
))</f>
        <v/>
      </c>
      <c r="AT334" s="102" t="str">
        <f t="shared" si="33"/>
        <v/>
      </c>
      <c r="AU334" s="103" t="str">
        <f t="shared" si="34"/>
        <v/>
      </c>
      <c r="AV334" s="102" t="str">
        <f>IF(A334="","",SUM(
COUNTIFS('QA Log'!D:D,A334,'QA Log'!M:M,"Vignette",'QA Log'!L:L,"*Vignette [1] Respiratory Infection: Pneumonia*"),
COUNTIFS('QA Log'!D:D,A334,'QA Log'!M:M,"Vignette",'QA Log'!L:L,"*Vignette [2]: Diarrhea with Cat B dehydration*"),
COUNTIFS('QA Log'!D:D,A334,'QA Log'!M:M,"Vignette",'QA Log'!L:L,"*Vignette [3] Growth Monitoring and Promotion*"),
COUNTIFS('QA Log'!D:D,A334,'QA Log'!M:M,"Vignette",'QA Log'!L:L,"*Vignette [4]: The management of presumptive TB patient*")
)
)</f>
        <v/>
      </c>
      <c r="AW334" s="102" t="str">
        <f>IF(
  A334="","",
  SUM(
    COUNTIFS('QA Log'!D:D,A334,'QA Log'!M:M,"Vignette",'QA Log'!Z:Z,"Approved",'QA Log'!L:L,"*Vignette [1] Respiratory Infection: Pneumonia*"),
    COUNTIFS('QA Log'!D:D,A334,'QA Log'!M:M,"Vignette",'QA Log'!Z:Z,"Approved",'QA Log'!L:L,"*Vignette [2]: Diarrhea with Cat B dehydration*"),
    COUNTIFS('QA Log'!D:D,A334,'QA Log'!M:M,"Vignette",'QA Log'!Z:Z,"Approved",'QA Log'!L:L,"*Vignette [3] Growth Monitoring and Promotion*"),
    COUNTIFS('QA Log'!D:D,A334,'QA Log'!M:M,"Vignette",'QA Log'!Z:Z,"Approved",'QA Log'!L:L,"*Vignette [4]: The management of presumptive TB patient*")
  )
)</f>
        <v/>
      </c>
      <c r="AX334" s="105" t="str">
        <f>IF(A334&lt;&gt;"",COUNTIFS('QA Log'!D:D,A334,'QA Log'!M:M,"Vignette",'QA Log'!L:L,"Vignette [1] Respiratory Infection: Pneumonia",'QA Log'!Z:Z,"Approved"),"")</f>
        <v/>
      </c>
      <c r="AY334" s="105" t="str">
        <f>IF(A334&lt;&gt;"",COUNTIFS('QA Log'!D:D,A334,'QA Log'!M:M,"Vignette",'QA Log'!L:L,"Vignette [2]: Diarrhea with Cat B dehydration",'QA Log'!Z:Z,"Approved"),"")</f>
        <v/>
      </c>
      <c r="AZ334" s="105" t="str">
        <f>IF(A334&lt;&gt;"",COUNTIFS('QA Log'!D:D,A334,'QA Log'!M:M,"Vignette",'QA Log'!L:L,"Vignette [3] Growth Monitoring and Promotion",'QA Log'!Z:Z,"Approved"),"")</f>
        <v/>
      </c>
      <c r="BA334" s="105" t="str">
        <f>IF(A334&lt;&gt;"",COUNTIFS('QA Log'!D:D,A334,'QA Log'!M:M,"Vignette",'QA Log'!L:L,"Vignette [4]: The management of presumptive TB patient",'QA Log'!Z:Z,"Approved"),"")</f>
        <v/>
      </c>
      <c r="BB334" s="102" t="str">
        <f>IF(A334="","",
  SUM(
    COUNTIFS('QA Log'!D:D,A334,'QA Log'!M:M,"Vignette",'QA Log'!Z:Z,"Rejected",'QA Log'!L:L,"*Vignette [1] Respiratory Infection: Pneumonia*"),
    COUNTIFS('QA Log'!D:D,A334,'QA Log'!M:M,"Vignette",'QA Log'!Z:Z,"Rejected",'QA Log'!L:L,"*Vignette [2]: Diarrhea with Cat B dehydration*"),
    COUNTIFS('QA Log'!D:D,A334,'QA Log'!M:M,"Vignette",'QA Log'!Z:Z,"Rejected",'QA Log'!L:L,"*Vignette [3] Growth Monitoring and Promotion*"),
    COUNTIFS('QA Log'!D:D,A334,'QA Log'!M:M,"Vignette",'QA Log'!Z:Z,"Rejected",'QA Log'!L:L,"*Vignette [4]: The management of presumptive TB patient*")
  )
)</f>
        <v/>
      </c>
      <c r="BC334" s="107" t="str">
        <f t="shared" si="35"/>
        <v/>
      </c>
      <c r="BD334" s="103" t="str">
        <f t="shared" si="36"/>
        <v/>
      </c>
      <c r="BE334" s="102" t="str">
        <f>IF(A334="","",SUM(
COUNTIFS('QA Log'!D:D,A334,'QA Log'!M:M,"Vignette",'QA Log'!L:L,"*Vignette [5] Labor*"),
COUNTIFS('QA Log'!D:D,A334,'QA Log'!M:M,"Vignette",'QA Log'!L:L,"*Vignette [6] PNC pre Discharge*"),
COUNTIFS('QA Log'!D:D,A334,'QA Log'!M:M,"Vignette",'QA Log'!L:L,"*Vignette [7] First ANC Visit*"),
COUNTIFS('QA Log'!D:D,A334,'QA Log'!M:M,"Vignette",'QA Log'!L:L,"*Vignette [8] Birth Spacing/ Family Planning :  FP Counselling*"),
COUNTIFS('QA Log'!D:D,A334,'QA Log'!M:M,"Vignette",'QA Log'!L:L,"*Vignette [9] Birth Spacing: Change FP method to Injectable*"),
COUNTIFS('QA Log'!D:D,A334,'QA Log'!M:M,"Vignette",'QA Log'!L:L,"*Vignette [10] Post Partum Haemorrhage - Atonic Uterus at Health Centre*"),
)
)</f>
        <v/>
      </c>
      <c r="BF334" s="102" t="str">
        <f>IF(A334="","",
  SUM(
    COUNTIFS('QA Log'!D:D,A334,'QA Log'!M:M,"Vignette",'QA Log'!Z:Z,"Approved",'QA Log'!L:L,"*Vignette [5] Labor*"),
    COUNTIFS('QA Log'!D:D,A334,'QA Log'!M:M,"Vignette",'QA Log'!Z:Z,"Approved",'QA Log'!L:L,"*Vignette [6] PNC pre Discharge*"),
    COUNTIFS('QA Log'!D:D,A334,'QA Log'!M:M,"Vignette",'QA Log'!Z:Z,"Approved",'QA Log'!L:L,"*Vignette [7] First ANC Visit*"),
    COUNTIFS('QA Log'!D:D,A334,'QA Log'!M:M,"Vignette",'QA Log'!Z:Z,"Approved",'QA Log'!L:L,"*Vignette [8] Birth Spacing/ Family Planning :  FP Counselling*"),
    COUNTIFS('QA Log'!D:D,A334,'QA Log'!M:M,"Vignette",'QA Log'!Z:Z,"Approved",'QA Log'!L:L,"*Vignette [9] Birth Spacing: Change FP method to Injectable*"),
    COUNTIFS('QA Log'!D:D,A334,'QA Log'!M:M,"Vignette",'QA Log'!Z:Z,"Approved",'QA Log'!L:L,"*Vignette [10] Post Partum Haemorrhage - Atonic Uterus at Health Centre*")
  )
)</f>
        <v/>
      </c>
      <c r="BG334" s="105" t="str">
        <f>IF(A334&lt;&gt;"",COUNTIFS('QA Log'!D:D,A334,'QA Log'!M:M,"Vignette",'QA Log'!L:L,"Vignette [5] Labor",'QA Log'!Z:Z,"Approved"),"")</f>
        <v/>
      </c>
      <c r="BH334" s="105" t="str">
        <f>IF(A334&lt;&gt;"",COUNTIFS('QA Log'!D:D,A334,'QA Log'!M:M,"Vignette",'QA Log'!L:L,"Vignette [6] PNC pre Discharge",'QA Log'!Z:Z,"Approved"),"")</f>
        <v/>
      </c>
      <c r="BI334" s="105" t="str">
        <f>IF(A334&lt;&gt;"",COUNTIFS('QA Log'!D:D,A334,'QA Log'!M:M,"Vignette",'QA Log'!L:L,"Vignette [7] First ANC Visit",'QA Log'!Z:Z,"Approved"),"")</f>
        <v/>
      </c>
      <c r="BJ334" s="105" t="str">
        <f>IF(A334&lt;&gt;"",COUNTIFS('QA Log'!D:D,A334,'QA Log'!M:M,"Vignette",'QA Log'!L:L,"Vignette [8] Birth Spacing/ Family Planning :  FP Counselling",'QA Log'!Z:Z,"Approved"),"")</f>
        <v/>
      </c>
      <c r="BK334" s="105" t="str">
        <f>IF(A334&lt;&gt;"",COUNTIFS('QA Log'!D:D,A334,'QA Log'!M:M,"Vignette",'QA Log'!L:L,"Vignette [9] Birth Spacing: Change FP method to Injectable",'QA Log'!Z:Z,"Approved"),"")</f>
        <v/>
      </c>
      <c r="BL334" s="105" t="str">
        <f>IF(A334&lt;&gt;"",COUNTIFS('QA Log'!D:D,A334,'QA Log'!M:M,"Vignette",'QA Log'!L:L,"Vignette [10] Post Partum Haemorrhage - Atonic Uterus at Health Centre",'QA Log'!Z:Z,"Approved"),"")</f>
        <v/>
      </c>
      <c r="BM334" s="102" t="str">
        <f>IF(A334="","",SUM(
    COUNTIFS('QA Log'!D:D,A334,'QA Log'!M:M,"Vignette",'QA Log'!Z:Z,"Rejected",'QA Log'!L:L,"*Vignette [5] Labor*"),
    COUNTIFS('QA Log'!D:D,A334,'QA Log'!M:M,"Vignette",'QA Log'!Z:Z,"Rejected",'QA Log'!L:L,"*Vignette [6] PNC pre Discharge*"),
    COUNTIFS('QA Log'!D:D,A334,'QA Log'!M:M,"Vignette",'QA Log'!Z:Z,"Rejected",'QA Log'!L:L,"*Vignette [7] First ANC Visit*"),
    COUNTIFS('QA Log'!D:D,A334,'QA Log'!M:M,"Vignette",'QA Log'!Z:Z,"Rejected",'QA Log'!L:L,"*Vignette [8] Birth Spacing/ Family Planning :  FP Counselling*"),
    COUNTIFS('QA Log'!D:D,A334,'QA Log'!M:M,"Vignette",'QA Log'!Z:Z,"Rejected",'QA Log'!L:L,"*Vignette [9] Birth Spacing: Change FP method to Injectable*"),
    COUNTIFS('QA Log'!D:D,A334,'QA Log'!M:M,"Vignette",'QA Log'!Z:Z,"Rejected",'QA Log'!L:L,"*Vignette [10] Post Partum Haemorrhage - Atonic Uterus at Health Centre*")
  )
)</f>
        <v/>
      </c>
      <c r="BN334" s="107" t="str">
        <f t="shared" si="37"/>
        <v/>
      </c>
      <c r="BO334" s="103" t="str">
        <f t="shared" si="38"/>
        <v/>
      </c>
      <c r="BP334" s="102" t="str">
        <f>IF(A334="","",SUM(
COUNTIFS('QA Log'!D:D,A334,'QA Log'!M:M,"Vignette",'QA Log'!L:L,"*Exit Interview 1*"),
COUNTIFS('QA Log'!D:D,A334,'QA Log'!M:M,"Vignette",'QA Log'!L:L,"*Exit Interview 2*"),
)
)</f>
        <v/>
      </c>
      <c r="BQ334" s="102" t="str">
        <f>IF(
  A334="","",
  SUM(
    COUNTIFS('QA Log'!D:D,A334,'QA Log'!M:M,"Vignette",'QA Log'!Z:Z,"Approved",'QA Log'!L:L,"*Exit Interview 1*"),
    COUNTIFS('QA Log'!D:D,A334,'QA Log'!M:M,"Vignette",'QA Log'!Z:Z,"Approved",'QA Log'!L:L,"*Exit Interview 2*")
  )
)</f>
        <v/>
      </c>
      <c r="BR334" s="105" t="str">
        <f>IF(A334&lt;&gt;"",COUNTIFS('QA Log'!D:D,A334,'QA Log'!M:M,"Vignette",'QA Log'!L:L,"Exit Interview 1",'QA Log'!Z:Z,"Approved"),"")</f>
        <v/>
      </c>
      <c r="BS334" s="105" t="str">
        <f>IF(A334&lt;&gt;"",COUNTIFS('QA Log'!D:D,A334,'QA Log'!M:M,"Vignette",'QA Log'!L:L,"Exit Interview 2",'QA Log'!Z:Z,"Approved"),"")</f>
        <v/>
      </c>
      <c r="BT334" s="102" t="str">
        <f>IF(
  A334="","",
  SUM(
    COUNTIFS('QA Log'!D:D,A334,'QA Log'!M:M,"Vignette",'QA Log'!Z:Z,"Rejected",'QA Log'!L:L,"*Exit Interview 1*"),
    COUNTIFS('QA Log'!D:D,A334,'QA Log'!M:M,"Vignette",'QA Log'!Z:Z,"Rejected",'QA Log'!L:L,"*Exit Interview 2*")
  )
)</f>
        <v/>
      </c>
      <c r="BU334" s="107" t="str">
        <f t="shared" si="39"/>
        <v/>
      </c>
      <c r="BV334" s="102" t="str">
        <f t="shared" si="40"/>
        <v/>
      </c>
      <c r="BW334" s="102" t="str">
        <f t="shared" si="41"/>
        <v/>
      </c>
      <c r="BX334" s="102" t="str">
        <f t="shared" si="42"/>
        <v/>
      </c>
      <c r="BY334" s="102" t="str">
        <f t="shared" si="43"/>
        <v/>
      </c>
      <c r="BZ334" s="107" t="str">
        <f t="shared" si="44"/>
        <v/>
      </c>
      <c r="CA334" s="108" t="str">
        <f t="shared" si="45"/>
        <v/>
      </c>
      <c r="CB334" s="108" t="str">
        <f t="shared" si="46"/>
        <v/>
      </c>
      <c r="CC334" s="109" t="str">
        <f t="shared" si="47"/>
        <v/>
      </c>
      <c r="CD334" s="108" t="str">
        <f t="shared" si="48"/>
        <v/>
      </c>
      <c r="CE334" s="108" t="str">
        <f t="shared" si="49"/>
        <v/>
      </c>
      <c r="CF334" s="109" t="str">
        <f t="shared" si="50"/>
        <v/>
      </c>
      <c r="CG334" s="110" t="str">
        <f t="shared" si="51"/>
        <v/>
      </c>
      <c r="CH334" s="111"/>
    </row>
    <row r="335" spans="1:86" ht="12.75">
      <c r="A335" s="101"/>
      <c r="B335" s="102" t="e">
        <f t="array" aca="1" ref="B335" ca="1">_xludf.XLOOKUP(A335,'QA Log'!D:D,'QA Log'!E:E,"")</f>
        <v>#NAME?</v>
      </c>
      <c r="C335" s="102" t="e">
        <f t="array" aca="1" ref="C335" ca="1">_xludf.XLOOKUP(A335,'QA Log'!D:D,'QA Log'!F:F,"")</f>
        <v>#NAME?</v>
      </c>
      <c r="D335" s="102" t="e">
        <f t="array" aca="1" ref="D335" ca="1">_xludf.XLOOKUP(A335,'QA Log'!D:D,'QA Log'!H:H,"")</f>
        <v>#NAME?</v>
      </c>
      <c r="E335" s="102" t="e">
        <f t="array" aca="1" ref="E335" ca="1">_xludf.XLOOKUP(A335,'QA Log'!D:D,'QA Log'!G:G,"")</f>
        <v>#NAME?</v>
      </c>
      <c r="F335" s="103"/>
      <c r="G335" s="104"/>
      <c r="H335" s="104"/>
      <c r="I335" s="103" t="str">
        <f t="shared" si="26"/>
        <v/>
      </c>
      <c r="J335" s="102" t="str">
        <f>IF(A335="","",SUM(
COUNTIFS('QA Log'!D:D,A335,'QA Log'!M:M,"QQC",'QA Log'!L:L,"*1. General Management*"),
COUNTIFS('QA Log'!D:D,A335,'QA Log'!M:M,"QQC",'QA Log'!L:L,"*3. Curative Consultation (OPD)*"),
COUNTIFS('QA Log'!D:D,A335,'QA Log'!M:M,"QQC",'QA Log'!L:L,"*5. Laboratory*"),
COUNTIFS('QA Log'!D:D,A335,'QA Log'!M:M,"QQC",'QA Log'!L:L,"*6. Essential Medicine Management*"),
COUNTIFS('QA Log'!D:D,A335,'QA Log'!M:M,"QQC",'QA Log'!L:L,"*7. Tracer Medicine*"),
COUNTIFS('QA Log'!D:D,A335,'QA Log'!M:M,"QQC",'QA Log'!L:L,"*11. Additional Questions*")))</f>
        <v/>
      </c>
      <c r="K335" s="102" t="str">
        <f>IF(A335="","",SUM(
COUNTIFS('QA Log'!D:D,A335,'QA Log'!M:M,"QQC",'QA Log'!Z:Z,"Approved",'QA Log'!L:L,"*1. General Management*"),
COUNTIFS('QA Log'!D:D,A335,'QA Log'!M:M,"QQC",'QA Log'!Z:Z,"Approved",'QA Log'!L:L,"*3. Curative Consultation (OPD)*"),
COUNTIFS('QA Log'!D:D,A335,'QA Log'!M:M,"QQC",'QA Log'!Z:Z,"Approved",'QA Log'!L:L,"*5. Laboratory*"),
COUNTIFS('QA Log'!D:D,A335,'QA Log'!M:M,"QQC",'QA Log'!Z:Z,"Approved",'QA Log'!L:L,"*6. Essential Medicine Management*"),
COUNTIFS('QA Log'!D:D,A335,'QA Log'!M:M,"QQC",'QA Log'!Z:Z,"Approved",'QA Log'!L:L,"*7. Tracer Medicine*"),
COUNTIFS('QA Log'!D:D,A335,'QA Log'!M:M,"QQC",'QA Log'!Z:Z,"Approved",'QA Log'!L:L,"*11. Additional Questions*")))</f>
        <v/>
      </c>
      <c r="L335" s="105" t="str">
        <f>IF(A335&lt;&gt;"",COUNTIFS('QA Log'!D:D,A335,'QA Log'!M:M,"QQC",'QA Log'!L:L,"1. General Management",'QA Log'!Z:Z,"Approved"),"")</f>
        <v/>
      </c>
      <c r="M335" s="105" t="str">
        <f>IF(A335&lt;&gt;"",COUNTIFS('QA Log'!D:D,A335,'QA Log'!M:M,"QQC",'QA Log'!L:L,"3. Curative Consultation (OPD)",'QA Log'!Z:Z,"Approved"),"")</f>
        <v/>
      </c>
      <c r="N335" s="105" t="str">
        <f>IF(A335&lt;&gt;"",COUNTIFS('QA Log'!D:D,A335,'QA Log'!M:M,"QQC",'QA Log'!L:L,"5. Laboratory",'QA Log'!Z:Z,"Approved"),"")</f>
        <v/>
      </c>
      <c r="O335" s="105" t="str">
        <f>IF(A335&lt;&gt;"",COUNTIFS('QA Log'!D:D,A335,'QA Log'!M:M,"QQC",'QA Log'!L:L,"6. Essential Medicine Management",'QA Log'!Z:Z,"Approved"),"")</f>
        <v/>
      </c>
      <c r="P335" s="105" t="str">
        <f>IF(A335&lt;&gt;"",COUNTIFS('QA Log'!D:D,A335,'QA Log'!M:M,"QQC",'QA Log'!L:L,"7. Tracer Medicine",'QA Log'!Z:Z,"Approved"),"")</f>
        <v/>
      </c>
      <c r="Q335" s="105" t="str">
        <f>IF(A335&lt;&gt;"",COUNTIFS('QA Log'!D:D,A335,'QA Log'!M:M,"QQC",'QA Log'!L:L,"11. Additional Questions",'QA Log'!Z:Z,"Approved"),"")</f>
        <v/>
      </c>
      <c r="R335" s="102" t="str">
        <f>IF(A335="","",SUM(
COUNTIFS('QA Log'!D:D,A335,'QA Log'!M:M,"QQC",'QA Log'!Z:Z,"Rejected",'QA Log'!L:L,"*8. Maternity*"),
COUNTIFS('QA Log'!D:D,A335,'QA Log'!M:M,"QQC",'QA Log'!Z:Z,"Rejected",'QA Log'!L:L,"*EPI*"),
COUNTIFS('QA Log'!D:D,A335,'QA Log'!M:M,"QQC",'QA Log'!Z:Z,"Rejected",'QA Log'!L:L,"*10. Antenatal Care (ANC)*"),
COUNTIFS('QA Log'!D:D,A335,'QA Log'!M:M,"QQC",'QA Log'!Z:Z,"Rejected",'QA Log'!L:L,"*2. Hygiene and Sterilization*"),
COUNTIFS('QA Log'!D:D,A335,'QA Log'!M:M,"QQC",'QA Log'!Z:Z,"Rejected",'QA Log'!L:L,"*Family Planning*")))</f>
        <v/>
      </c>
      <c r="S335" s="106" t="str">
        <f t="shared" si="27"/>
        <v/>
      </c>
      <c r="T335" s="102" t="str">
        <f t="shared" si="28"/>
        <v/>
      </c>
      <c r="U335" s="102" t="str">
        <f>IF(A335="","",
SUM(
COUNTIFS('QA Log'!D:D,A335,'QA Log'!M:M,"QQC",'QA Log'!L:L,"*8. Maternity*"),
COUNTIFS('QA Log'!D:D,A335,'QA Log'!M:M,"QQC",'QA Log'!L:L,"*9. EPI and Pre-school Consultation*"),
COUNTIFS('QA Log'!D:D,A335,'QA Log'!M:M,"QQC",'QA Log'!L:L,"*10. Antenatal Care (ANC)*"),
COUNTIFS('QA Log'!D:D,A335,'QA Log'!M:M,"QQC",'QA Log'!L:L,"*2. Hygiene and Sterilization*"),
COUNTIFS('QA Log'!D:D,A335,'QA Log'!M:M,"QQC",'QA Log'!L:L,"*4. Family Planning*")
))</f>
        <v/>
      </c>
      <c r="V335" s="102" t="str">
        <f>IF(A335="","",
SUM(
COUNTIFS('QA Log'!D:D,A335,'QA Log'!M:M,"QQC",'QA Log'!Z:Z,"Approved",'QA Log'!L:L,"*8. Maternity*"),
COUNTIFS('QA Log'!D:D,A335,'QA Log'!M:M,"QQC",'QA Log'!Z:Z,"Approved",'QA Log'!L:L,"*9. EPI and Pre-school Consultation*"),
COUNTIFS('QA Log'!D:D,A335,'QA Log'!M:M,"QQC",'QA Log'!Z:Z,"Approved",'QA Log'!L:L,"*10. Antenatal Care (ANC)*"),
COUNTIFS('QA Log'!D:D,A335,'QA Log'!M:M,"QQC",'QA Log'!Z:Z,"Approved",'QA Log'!L:L,"*2. Hygiene and Sterilization*"),
COUNTIFS('QA Log'!D:D,A335,'QA Log'!M:M,"QQC",'QA Log'!Z:Z,"Approved",'QA Log'!L:L,"*4. Family Planning*")
))</f>
        <v/>
      </c>
      <c r="W335" s="105" t="str">
        <f>IF(A335&lt;&gt;"",COUNTIFS('QA Log'!D:D,A335,'QA Log'!M:M,"QQC",'QA Log'!L:L,"8. Maternity",'QA Log'!Z:Z,"Approved"),"")</f>
        <v/>
      </c>
      <c r="X335" s="105" t="str">
        <f>IF(A335&lt;&gt;"",COUNTIFS('QA Log'!D:D,A335,'QA Log'!M:M,"QQC",'QA Log'!L:L,"9. EPI and Pre-school Consultation",'QA Log'!Z:Z,"Approved"),"")</f>
        <v/>
      </c>
      <c r="Y335" s="105" t="str">
        <f>IF(A335&lt;&gt;"",COUNTIFS('QA Log'!D:D,A335,'QA Log'!M:M,"QQC",'QA Log'!L:L,"10. Antenatal Care (ANC)",'QA Log'!Z:Z,"Approved"),"")</f>
        <v/>
      </c>
      <c r="Z335" s="105" t="str">
        <f>IF(A335&lt;&gt;"",COUNTIFS('QA Log'!D:D,A335,'QA Log'!M:M,"QQC",'QA Log'!L:L,"2. Hygiene and Sterilization",'QA Log'!Z:Z,"Approved"),"")</f>
        <v/>
      </c>
      <c r="AA335" s="105" t="str">
        <f>IF(A335&lt;&gt;"",COUNTIFS('QA Log'!D:D,A335,'QA Log'!M:M,"QQC",'QA Log'!L:L,"4. Family Planning",'QA Log'!Z:Z,"Approved"),"")</f>
        <v/>
      </c>
      <c r="AB335" s="102" t="str">
        <f>IF(A335="","",
SUM(
COUNTIFS('QA Log'!D:D,A335,'QA Log'!M:M,"QQC",'QA Log'!Z:Z,"Rejected",'QA Log'!L:L,"*8. Maternity*"),
COUNTIFS('QA Log'!D:D,A335,'QA Log'!M:M,"QQC",'QA Log'!Z:Z,"Rejected",'QA Log'!L:L,"*9. EPI and Pre-school Consultation*"),
COUNTIFS('QA Log'!D:D,A335,'QA Log'!M:M,"QQC",'QA Log'!Z:Z,"Rejected",'QA Log'!L:L,"*10. Antenatal Care (ANC)*"),
COUNTIFS('QA Log'!D:D,A335,'QA Log'!M:M,"QQC",'QA Log'!Z:Z,"Rejected",'QA Log'!L:L,"*2. Hygiene and Sterilization*"),
COUNTIFS('QA Log'!D:D,A335,'QA Log'!M:M,"QQC",'QA Log'!Z:Z,"Rejected",'QA Log'!L:L,"*4. Family Planning*")
))</f>
        <v/>
      </c>
      <c r="AC335" s="102" t="str">
        <f t="shared" si="29"/>
        <v/>
      </c>
      <c r="AD335" s="103" t="str">
        <f t="shared" si="30"/>
        <v/>
      </c>
      <c r="AE335" s="102" t="str">
        <f>IF(A335="","",
SUM(
COUNTIFS('QA Log'!D:D,A335,'QA Log'!M:M,"Data Verification",'QA Log'!L:L,"*Medicine (section 2)*"),
COUNTIFS('QA Log'!D:D,A335,'QA Log'!M:M,"Data Verification",'QA Log'!L:L,"*Lab Testing Availability*"),
COUNTIFS('QA Log'!D:D,A335,'QA Log'!M:M,"Data Verification",'QA Log'!L:L,"*Other than P4P (section 6)*"),
COUNTIFS('QA Log'!D:D,A335,'QA Log'!M:M,"Data Verification",'QA Log'!L:L,"*Hospital Governance*")
))</f>
        <v/>
      </c>
      <c r="AF335" s="102" t="str">
        <f>IF(A335="","",
SUM(
COUNTIFS('QA Log'!D:D,A335,'QA Log'!M:M,"Data Verification",'QA Log'!Z:Z,"Approved",'QA Log'!L:L,"*Medicine (section 2)*"),
COUNTIFS('QA Log'!D:D,A335,'QA Log'!M:M,"Data Verification",'QA Log'!Z:Z,"Approved",'QA Log'!L:L,"*Lab Testing Availability*"),
COUNTIFS('QA Log'!D:D,A335,'QA Log'!M:M,"Data Verification",'QA Log'!Z:Z,"Approved",'QA Log'!L:L,"*Other than P4P (section 6)*"),
COUNTIFS('QA Log'!D:D,A335,'QA Log'!M:M,"Data Verification",'QA Log'!Z:Z,"Approved",'QA Log'!L:L,"*Hospital Governance*")
))</f>
        <v/>
      </c>
      <c r="AG335" s="105" t="str">
        <f>IF(A335&lt;&gt;"",COUNTIFS('QA Log'!D:D,A335,'QA Log'!M:M,"Data Verification",'QA Log'!L:L,"Medicine (section 2)",'QA Log'!Z:Z,"Approved"),"")</f>
        <v/>
      </c>
      <c r="AH335" s="105" t="str">
        <f>IF(A335&lt;&gt;"",COUNTIFS('QA Log'!D:D,A335,'QA Log'!M:M,"Data Verification",'QA Log'!L:L,"Lab Testing Availability",'QA Log'!Z:Z,"Approved"),"")</f>
        <v/>
      </c>
      <c r="AI335" s="105" t="str">
        <f>IF(A335&lt;&gt;"",COUNTIFS('QA Log'!D:D,A335,'QA Log'!M:M,"Data Verification",'QA Log'!L:L,"Other than P4P (section 6)",'QA Log'!Z:Z,"Approved"),"")</f>
        <v/>
      </c>
      <c r="AJ335" s="105" t="str">
        <f>IF(A335&lt;&gt;"",COUNTIFS('QA Log'!D:D,A335,'QA Log'!M:M,"Data Verification",'QA Log'!L:L,"Hospital Governance",'QA Log'!Z:Z,"Approved"),"")</f>
        <v/>
      </c>
      <c r="AK335" s="102" t="str">
        <f>IF(A335="","",
SUM(
COUNTIFS('QA Log'!D:D,A335,'QA Log'!M:M,"Data Verification",'QA Log'!Z:Z,"Rejected",'QA Log'!L:L,"*Medicine (section 2)*"),
COUNTIFS('QA Log'!D:D,A335,'QA Log'!M:M,"Data Verification",'QA Log'!Z:Z,"Rejected",'QA Log'!L:L,"*Lab Testing Availability*"),
COUNTIFS('QA Log'!D:D,A335,'QA Log'!M:M,"Data Verification",'QA Log'!Z:Z,"Rejected",'QA Log'!L:L,"*Other than P4P (section 6)*"),
COUNTIFS('QA Log'!D:D,A335,'QA Log'!M:M,"Data Verification",'QA Log'!Z:Z,"Rejected",'QA Log'!L:L,"*Hospital Governance*")
))</f>
        <v/>
      </c>
      <c r="AL335" s="106" t="str">
        <f t="shared" si="31"/>
        <v/>
      </c>
      <c r="AM335" s="102" t="str">
        <f t="shared" si="32"/>
        <v/>
      </c>
      <c r="AN335" s="102" t="str">
        <f>IF(A335="","",
SUM(
COUNTIFS('QA Log'!D:D,A335,'QA Log'!M:M,"Data Verification",'QA Log'!L:L,"*Personnel (section 1)*"),
COUNTIFS('QA Log'!D:D,A335,'QA Log'!M:M,"Data Verification",'QA Log'!L:L,"*Consumable (section 3)*"),
COUNTIFS('QA Log'!D:D,A335,'QA Log'!M:M,"Data Verification",'QA Log'!L:L,"*Equipments (section 4)*")
))</f>
        <v/>
      </c>
      <c r="AO335" s="102" t="str">
        <f>IF(A335="","",
SUM(
COUNTIFS('QA Log'!D:D,A335,'QA Log'!M:M,"Data Verification",'QA Log'!Z:Z,"Approved",'QA Log'!L:L,"*Personnel (section 1)*"),
COUNTIFS('QA Log'!D:D,A335,'QA Log'!M:M,"Data Verification",'QA Log'!Z:Z,"Approved",'QA Log'!L:L,"*Consumable (section 3)*"),
COUNTIFS('QA Log'!D:D,A335,'QA Log'!M:M,"Data Verification",'QA Log'!Z:Z,"Approved",'QA Log'!L:L,"*Equipments (section 4)*")
))</f>
        <v/>
      </c>
      <c r="AP335" s="105" t="str">
        <f>IF(A335&lt;&gt;"",COUNTIFS('QA Log'!D:D,A335,'QA Log'!M:M,"Data Verification",'QA Log'!L:L,"Personnel (section 1)",'QA Log'!Z:Z,"Approved"),"")</f>
        <v/>
      </c>
      <c r="AQ335" s="105" t="str">
        <f>IF(A335&lt;&gt;"",COUNTIFS('QA Log'!D:D,A335,'QA Log'!M:M,"Data Verification",'QA Log'!L:L,"Consumable (section 3)",'QA Log'!Z:Z,"Approved"),"")</f>
        <v/>
      </c>
      <c r="AR335" s="105" t="str">
        <f>IF(A335&lt;&gt;"",COUNTIFS('QA Log'!D:D,A335,'QA Log'!M:M,"Data Verification",'QA Log'!L:L,"Equipments (section 4)",'QA Log'!Z:Z,"Approved"),"")</f>
        <v/>
      </c>
      <c r="AS335" s="102" t="str">
        <f>IF(A335="","",
SUM(
COUNTIFS('QA Log'!D:D,A335,'QA Log'!M:M,"Data Verification",'QA Log'!Z:Z,"Rejected",'QA Log'!L:L,"*Personnel (section 1)*"),
COUNTIFS('QA Log'!D:D,A335,'QA Log'!M:M,"Data Verification",'QA Log'!Z:Z,"Rejected",'QA Log'!L:L,"*Consumable (section 3)*"),
COUNTIFS('QA Log'!D:D,A335,'QA Log'!M:M,"Data Verification",'QA Log'!Z:Z,"Rejected",'QA Log'!L:L,"*Equipments (section 4)*")
))</f>
        <v/>
      </c>
      <c r="AT335" s="102" t="str">
        <f t="shared" si="33"/>
        <v/>
      </c>
      <c r="AU335" s="103" t="str">
        <f t="shared" si="34"/>
        <v/>
      </c>
      <c r="AV335" s="102" t="str">
        <f>IF(A335="","",SUM(
COUNTIFS('QA Log'!D:D,A335,'QA Log'!M:M,"Vignette",'QA Log'!L:L,"*Vignette [1] Respiratory Infection: Pneumonia*"),
COUNTIFS('QA Log'!D:D,A335,'QA Log'!M:M,"Vignette",'QA Log'!L:L,"*Vignette [2]: Diarrhea with Cat B dehydration*"),
COUNTIFS('QA Log'!D:D,A335,'QA Log'!M:M,"Vignette",'QA Log'!L:L,"*Vignette [3] Growth Monitoring and Promotion*"),
COUNTIFS('QA Log'!D:D,A335,'QA Log'!M:M,"Vignette",'QA Log'!L:L,"*Vignette [4]: The management of presumptive TB patient*")
)
)</f>
        <v/>
      </c>
      <c r="AW335" s="102" t="str">
        <f>IF(
  A335="","",
  SUM(
    COUNTIFS('QA Log'!D:D,A335,'QA Log'!M:M,"Vignette",'QA Log'!Z:Z,"Approved",'QA Log'!L:L,"*Vignette [1] Respiratory Infection: Pneumonia*"),
    COUNTIFS('QA Log'!D:D,A335,'QA Log'!M:M,"Vignette",'QA Log'!Z:Z,"Approved",'QA Log'!L:L,"*Vignette [2]: Diarrhea with Cat B dehydration*"),
    COUNTIFS('QA Log'!D:D,A335,'QA Log'!M:M,"Vignette",'QA Log'!Z:Z,"Approved",'QA Log'!L:L,"*Vignette [3] Growth Monitoring and Promotion*"),
    COUNTIFS('QA Log'!D:D,A335,'QA Log'!M:M,"Vignette",'QA Log'!Z:Z,"Approved",'QA Log'!L:L,"*Vignette [4]: The management of presumptive TB patient*")
  )
)</f>
        <v/>
      </c>
      <c r="AX335" s="105" t="str">
        <f>IF(A335&lt;&gt;"",COUNTIFS('QA Log'!D:D,A335,'QA Log'!M:M,"Vignette",'QA Log'!L:L,"Vignette [1] Respiratory Infection: Pneumonia",'QA Log'!Z:Z,"Approved"),"")</f>
        <v/>
      </c>
      <c r="AY335" s="105" t="str">
        <f>IF(A335&lt;&gt;"",COUNTIFS('QA Log'!D:D,A335,'QA Log'!M:M,"Vignette",'QA Log'!L:L,"Vignette [2]: Diarrhea with Cat B dehydration",'QA Log'!Z:Z,"Approved"),"")</f>
        <v/>
      </c>
      <c r="AZ335" s="105" t="str">
        <f>IF(A335&lt;&gt;"",COUNTIFS('QA Log'!D:D,A335,'QA Log'!M:M,"Vignette",'QA Log'!L:L,"Vignette [3] Growth Monitoring and Promotion",'QA Log'!Z:Z,"Approved"),"")</f>
        <v/>
      </c>
      <c r="BA335" s="105" t="str">
        <f>IF(A335&lt;&gt;"",COUNTIFS('QA Log'!D:D,A335,'QA Log'!M:M,"Vignette",'QA Log'!L:L,"Vignette [4]: The management of presumptive TB patient",'QA Log'!Z:Z,"Approved"),"")</f>
        <v/>
      </c>
      <c r="BB335" s="102" t="str">
        <f>IF(A335="","",
  SUM(
    COUNTIFS('QA Log'!D:D,A335,'QA Log'!M:M,"Vignette",'QA Log'!Z:Z,"Rejected",'QA Log'!L:L,"*Vignette [1] Respiratory Infection: Pneumonia*"),
    COUNTIFS('QA Log'!D:D,A335,'QA Log'!M:M,"Vignette",'QA Log'!Z:Z,"Rejected",'QA Log'!L:L,"*Vignette [2]: Diarrhea with Cat B dehydration*"),
    COUNTIFS('QA Log'!D:D,A335,'QA Log'!M:M,"Vignette",'QA Log'!Z:Z,"Rejected",'QA Log'!L:L,"*Vignette [3] Growth Monitoring and Promotion*"),
    COUNTIFS('QA Log'!D:D,A335,'QA Log'!M:M,"Vignette",'QA Log'!Z:Z,"Rejected",'QA Log'!L:L,"*Vignette [4]: The management of presumptive TB patient*")
  )
)</f>
        <v/>
      </c>
      <c r="BC335" s="107" t="str">
        <f t="shared" si="35"/>
        <v/>
      </c>
      <c r="BD335" s="103" t="str">
        <f t="shared" si="36"/>
        <v/>
      </c>
      <c r="BE335" s="102" t="str">
        <f>IF(A335="","",SUM(
COUNTIFS('QA Log'!D:D,A335,'QA Log'!M:M,"Vignette",'QA Log'!L:L,"*Vignette [5] Labor*"),
COUNTIFS('QA Log'!D:D,A335,'QA Log'!M:M,"Vignette",'QA Log'!L:L,"*Vignette [6] PNC pre Discharge*"),
COUNTIFS('QA Log'!D:D,A335,'QA Log'!M:M,"Vignette",'QA Log'!L:L,"*Vignette [7] First ANC Visit*"),
COUNTIFS('QA Log'!D:D,A335,'QA Log'!M:M,"Vignette",'QA Log'!L:L,"*Vignette [8] Birth Spacing/ Family Planning :  FP Counselling*"),
COUNTIFS('QA Log'!D:D,A335,'QA Log'!M:M,"Vignette",'QA Log'!L:L,"*Vignette [9] Birth Spacing: Change FP method to Injectable*"),
COUNTIFS('QA Log'!D:D,A335,'QA Log'!M:M,"Vignette",'QA Log'!L:L,"*Vignette [10] Post Partum Haemorrhage - Atonic Uterus at Health Centre*"),
)
)</f>
        <v/>
      </c>
      <c r="BF335" s="102" t="str">
        <f>IF(A335="","",
  SUM(
    COUNTIFS('QA Log'!D:D,A335,'QA Log'!M:M,"Vignette",'QA Log'!Z:Z,"Approved",'QA Log'!L:L,"*Vignette [5] Labor*"),
    COUNTIFS('QA Log'!D:D,A335,'QA Log'!M:M,"Vignette",'QA Log'!Z:Z,"Approved",'QA Log'!L:L,"*Vignette [6] PNC pre Discharge*"),
    COUNTIFS('QA Log'!D:D,A335,'QA Log'!M:M,"Vignette",'QA Log'!Z:Z,"Approved",'QA Log'!L:L,"*Vignette [7] First ANC Visit*"),
    COUNTIFS('QA Log'!D:D,A335,'QA Log'!M:M,"Vignette",'QA Log'!Z:Z,"Approved",'QA Log'!L:L,"*Vignette [8] Birth Spacing/ Family Planning :  FP Counselling*"),
    COUNTIFS('QA Log'!D:D,A335,'QA Log'!M:M,"Vignette",'QA Log'!Z:Z,"Approved",'QA Log'!L:L,"*Vignette [9] Birth Spacing: Change FP method to Injectable*"),
    COUNTIFS('QA Log'!D:D,A335,'QA Log'!M:M,"Vignette",'QA Log'!Z:Z,"Approved",'QA Log'!L:L,"*Vignette [10] Post Partum Haemorrhage - Atonic Uterus at Health Centre*")
  )
)</f>
        <v/>
      </c>
      <c r="BG335" s="105" t="str">
        <f>IF(A335&lt;&gt;"",COUNTIFS('QA Log'!D:D,A335,'QA Log'!M:M,"Vignette",'QA Log'!L:L,"Vignette [5] Labor",'QA Log'!Z:Z,"Approved"),"")</f>
        <v/>
      </c>
      <c r="BH335" s="105" t="str">
        <f>IF(A335&lt;&gt;"",COUNTIFS('QA Log'!D:D,A335,'QA Log'!M:M,"Vignette",'QA Log'!L:L,"Vignette [6] PNC pre Discharge",'QA Log'!Z:Z,"Approved"),"")</f>
        <v/>
      </c>
      <c r="BI335" s="105" t="str">
        <f>IF(A335&lt;&gt;"",COUNTIFS('QA Log'!D:D,A335,'QA Log'!M:M,"Vignette",'QA Log'!L:L,"Vignette [7] First ANC Visit",'QA Log'!Z:Z,"Approved"),"")</f>
        <v/>
      </c>
      <c r="BJ335" s="105" t="str">
        <f>IF(A335&lt;&gt;"",COUNTIFS('QA Log'!D:D,A335,'QA Log'!M:M,"Vignette",'QA Log'!L:L,"Vignette [8] Birth Spacing/ Family Planning :  FP Counselling",'QA Log'!Z:Z,"Approved"),"")</f>
        <v/>
      </c>
      <c r="BK335" s="105" t="str">
        <f>IF(A335&lt;&gt;"",COUNTIFS('QA Log'!D:D,A335,'QA Log'!M:M,"Vignette",'QA Log'!L:L,"Vignette [9] Birth Spacing: Change FP method to Injectable",'QA Log'!Z:Z,"Approved"),"")</f>
        <v/>
      </c>
      <c r="BL335" s="105" t="str">
        <f>IF(A335&lt;&gt;"",COUNTIFS('QA Log'!D:D,A335,'QA Log'!M:M,"Vignette",'QA Log'!L:L,"Vignette [10] Post Partum Haemorrhage - Atonic Uterus at Health Centre",'QA Log'!Z:Z,"Approved"),"")</f>
        <v/>
      </c>
      <c r="BM335" s="102" t="str">
        <f>IF(A335="","",SUM(
    COUNTIFS('QA Log'!D:D,A335,'QA Log'!M:M,"Vignette",'QA Log'!Z:Z,"Rejected",'QA Log'!L:L,"*Vignette [5] Labor*"),
    COUNTIFS('QA Log'!D:D,A335,'QA Log'!M:M,"Vignette",'QA Log'!Z:Z,"Rejected",'QA Log'!L:L,"*Vignette [6] PNC pre Discharge*"),
    COUNTIFS('QA Log'!D:D,A335,'QA Log'!M:M,"Vignette",'QA Log'!Z:Z,"Rejected",'QA Log'!L:L,"*Vignette [7] First ANC Visit*"),
    COUNTIFS('QA Log'!D:D,A335,'QA Log'!M:M,"Vignette",'QA Log'!Z:Z,"Rejected",'QA Log'!L:L,"*Vignette [8] Birth Spacing/ Family Planning :  FP Counselling*"),
    COUNTIFS('QA Log'!D:D,A335,'QA Log'!M:M,"Vignette",'QA Log'!Z:Z,"Rejected",'QA Log'!L:L,"*Vignette [9] Birth Spacing: Change FP method to Injectable*"),
    COUNTIFS('QA Log'!D:D,A335,'QA Log'!M:M,"Vignette",'QA Log'!Z:Z,"Rejected",'QA Log'!L:L,"*Vignette [10] Post Partum Haemorrhage - Atonic Uterus at Health Centre*")
  )
)</f>
        <v/>
      </c>
      <c r="BN335" s="107" t="str">
        <f t="shared" si="37"/>
        <v/>
      </c>
      <c r="BO335" s="103" t="str">
        <f t="shared" si="38"/>
        <v/>
      </c>
      <c r="BP335" s="102" t="str">
        <f>IF(A335="","",SUM(
COUNTIFS('QA Log'!D:D,A335,'QA Log'!M:M,"Vignette",'QA Log'!L:L,"*Exit Interview 1*"),
COUNTIFS('QA Log'!D:D,A335,'QA Log'!M:M,"Vignette",'QA Log'!L:L,"*Exit Interview 2*"),
)
)</f>
        <v/>
      </c>
      <c r="BQ335" s="102" t="str">
        <f>IF(
  A335="","",
  SUM(
    COUNTIFS('QA Log'!D:D,A335,'QA Log'!M:M,"Vignette",'QA Log'!Z:Z,"Approved",'QA Log'!L:L,"*Exit Interview 1*"),
    COUNTIFS('QA Log'!D:D,A335,'QA Log'!M:M,"Vignette",'QA Log'!Z:Z,"Approved",'QA Log'!L:L,"*Exit Interview 2*")
  )
)</f>
        <v/>
      </c>
      <c r="BR335" s="105" t="str">
        <f>IF(A335&lt;&gt;"",COUNTIFS('QA Log'!D:D,A335,'QA Log'!M:M,"Vignette",'QA Log'!L:L,"Exit Interview 1",'QA Log'!Z:Z,"Approved"),"")</f>
        <v/>
      </c>
      <c r="BS335" s="105" t="str">
        <f>IF(A335&lt;&gt;"",COUNTIFS('QA Log'!D:D,A335,'QA Log'!M:M,"Vignette",'QA Log'!L:L,"Exit Interview 2",'QA Log'!Z:Z,"Approved"),"")</f>
        <v/>
      </c>
      <c r="BT335" s="102" t="str">
        <f>IF(
  A335="","",
  SUM(
    COUNTIFS('QA Log'!D:D,A335,'QA Log'!M:M,"Vignette",'QA Log'!Z:Z,"Rejected",'QA Log'!L:L,"*Exit Interview 1*"),
    COUNTIFS('QA Log'!D:D,A335,'QA Log'!M:M,"Vignette",'QA Log'!Z:Z,"Rejected",'QA Log'!L:L,"*Exit Interview 2*")
  )
)</f>
        <v/>
      </c>
      <c r="BU335" s="107" t="str">
        <f t="shared" si="39"/>
        <v/>
      </c>
      <c r="BV335" s="102" t="str">
        <f t="shared" si="40"/>
        <v/>
      </c>
      <c r="BW335" s="102" t="str">
        <f t="shared" si="41"/>
        <v/>
      </c>
      <c r="BX335" s="102" t="str">
        <f t="shared" si="42"/>
        <v/>
      </c>
      <c r="BY335" s="102" t="str">
        <f t="shared" si="43"/>
        <v/>
      </c>
      <c r="BZ335" s="107" t="str">
        <f t="shared" si="44"/>
        <v/>
      </c>
      <c r="CA335" s="108" t="str">
        <f t="shared" si="45"/>
        <v/>
      </c>
      <c r="CB335" s="108" t="str">
        <f t="shared" si="46"/>
        <v/>
      </c>
      <c r="CC335" s="109" t="str">
        <f t="shared" si="47"/>
        <v/>
      </c>
      <c r="CD335" s="108" t="str">
        <f t="shared" si="48"/>
        <v/>
      </c>
      <c r="CE335" s="108" t="str">
        <f t="shared" si="49"/>
        <v/>
      </c>
      <c r="CF335" s="109" t="str">
        <f t="shared" si="50"/>
        <v/>
      </c>
      <c r="CG335" s="110" t="str">
        <f t="shared" si="51"/>
        <v/>
      </c>
      <c r="CH335" s="111"/>
    </row>
    <row r="336" spans="1:86" ht="12.75">
      <c r="A336" s="101"/>
      <c r="B336" s="102" t="e">
        <f t="array" aca="1" ref="B336" ca="1">_xludf.XLOOKUP(A336,'QA Log'!D:D,'QA Log'!E:E,"")</f>
        <v>#NAME?</v>
      </c>
      <c r="C336" s="102" t="e">
        <f t="array" aca="1" ref="C336" ca="1">_xludf.XLOOKUP(A336,'QA Log'!D:D,'QA Log'!F:F,"")</f>
        <v>#NAME?</v>
      </c>
      <c r="D336" s="102" t="e">
        <f t="array" aca="1" ref="D336" ca="1">_xludf.XLOOKUP(A336,'QA Log'!D:D,'QA Log'!H:H,"")</f>
        <v>#NAME?</v>
      </c>
      <c r="E336" s="102" t="e">
        <f t="array" aca="1" ref="E336" ca="1">_xludf.XLOOKUP(A336,'QA Log'!D:D,'QA Log'!G:G,"")</f>
        <v>#NAME?</v>
      </c>
      <c r="F336" s="103"/>
      <c r="G336" s="104"/>
      <c r="H336" s="104"/>
      <c r="I336" s="103" t="str">
        <f t="shared" si="26"/>
        <v/>
      </c>
      <c r="J336" s="102" t="str">
        <f>IF(A336="","",SUM(
COUNTIFS('QA Log'!D:D,A336,'QA Log'!M:M,"QQC",'QA Log'!L:L,"*1. General Management*"),
COUNTIFS('QA Log'!D:D,A336,'QA Log'!M:M,"QQC",'QA Log'!L:L,"*3. Curative Consultation (OPD)*"),
COUNTIFS('QA Log'!D:D,A336,'QA Log'!M:M,"QQC",'QA Log'!L:L,"*5. Laboratory*"),
COUNTIFS('QA Log'!D:D,A336,'QA Log'!M:M,"QQC",'QA Log'!L:L,"*6. Essential Medicine Management*"),
COUNTIFS('QA Log'!D:D,A336,'QA Log'!M:M,"QQC",'QA Log'!L:L,"*7. Tracer Medicine*"),
COUNTIFS('QA Log'!D:D,A336,'QA Log'!M:M,"QQC",'QA Log'!L:L,"*11. Additional Questions*")))</f>
        <v/>
      </c>
      <c r="K336" s="102" t="str">
        <f>IF(A336="","",SUM(
COUNTIFS('QA Log'!D:D,A336,'QA Log'!M:M,"QQC",'QA Log'!Z:Z,"Approved",'QA Log'!L:L,"*1. General Management*"),
COUNTIFS('QA Log'!D:D,A336,'QA Log'!M:M,"QQC",'QA Log'!Z:Z,"Approved",'QA Log'!L:L,"*3. Curative Consultation (OPD)*"),
COUNTIFS('QA Log'!D:D,A336,'QA Log'!M:M,"QQC",'QA Log'!Z:Z,"Approved",'QA Log'!L:L,"*5. Laboratory*"),
COUNTIFS('QA Log'!D:D,A336,'QA Log'!M:M,"QQC",'QA Log'!Z:Z,"Approved",'QA Log'!L:L,"*6. Essential Medicine Management*"),
COUNTIFS('QA Log'!D:D,A336,'QA Log'!M:M,"QQC",'QA Log'!Z:Z,"Approved",'QA Log'!L:L,"*7. Tracer Medicine*"),
COUNTIFS('QA Log'!D:D,A336,'QA Log'!M:M,"QQC",'QA Log'!Z:Z,"Approved",'QA Log'!L:L,"*11. Additional Questions*")))</f>
        <v/>
      </c>
      <c r="L336" s="105" t="str">
        <f>IF(A336&lt;&gt;"",COUNTIFS('QA Log'!D:D,A336,'QA Log'!M:M,"QQC",'QA Log'!L:L,"1. General Management",'QA Log'!Z:Z,"Approved"),"")</f>
        <v/>
      </c>
      <c r="M336" s="105" t="str">
        <f>IF(A336&lt;&gt;"",COUNTIFS('QA Log'!D:D,A336,'QA Log'!M:M,"QQC",'QA Log'!L:L,"3. Curative Consultation (OPD)",'QA Log'!Z:Z,"Approved"),"")</f>
        <v/>
      </c>
      <c r="N336" s="105" t="str">
        <f>IF(A336&lt;&gt;"",COUNTIFS('QA Log'!D:D,A336,'QA Log'!M:M,"QQC",'QA Log'!L:L,"5. Laboratory",'QA Log'!Z:Z,"Approved"),"")</f>
        <v/>
      </c>
      <c r="O336" s="105" t="str">
        <f>IF(A336&lt;&gt;"",COUNTIFS('QA Log'!D:D,A336,'QA Log'!M:M,"QQC",'QA Log'!L:L,"6. Essential Medicine Management",'QA Log'!Z:Z,"Approved"),"")</f>
        <v/>
      </c>
      <c r="P336" s="105" t="str">
        <f>IF(A336&lt;&gt;"",COUNTIFS('QA Log'!D:D,A336,'QA Log'!M:M,"QQC",'QA Log'!L:L,"7. Tracer Medicine",'QA Log'!Z:Z,"Approved"),"")</f>
        <v/>
      </c>
      <c r="Q336" s="105" t="str">
        <f>IF(A336&lt;&gt;"",COUNTIFS('QA Log'!D:D,A336,'QA Log'!M:M,"QQC",'QA Log'!L:L,"11. Additional Questions",'QA Log'!Z:Z,"Approved"),"")</f>
        <v/>
      </c>
      <c r="R336" s="102" t="str">
        <f>IF(A336="","",SUM(
COUNTIFS('QA Log'!D:D,A336,'QA Log'!M:M,"QQC",'QA Log'!Z:Z,"Rejected",'QA Log'!L:L,"*8. Maternity*"),
COUNTIFS('QA Log'!D:D,A336,'QA Log'!M:M,"QQC",'QA Log'!Z:Z,"Rejected",'QA Log'!L:L,"*EPI*"),
COUNTIFS('QA Log'!D:D,A336,'QA Log'!M:M,"QQC",'QA Log'!Z:Z,"Rejected",'QA Log'!L:L,"*10. Antenatal Care (ANC)*"),
COUNTIFS('QA Log'!D:D,A336,'QA Log'!M:M,"QQC",'QA Log'!Z:Z,"Rejected",'QA Log'!L:L,"*2. Hygiene and Sterilization*"),
COUNTIFS('QA Log'!D:D,A336,'QA Log'!M:M,"QQC",'QA Log'!Z:Z,"Rejected",'QA Log'!L:L,"*Family Planning*")))</f>
        <v/>
      </c>
      <c r="S336" s="106" t="str">
        <f t="shared" si="27"/>
        <v/>
      </c>
      <c r="T336" s="102" t="str">
        <f t="shared" si="28"/>
        <v/>
      </c>
      <c r="U336" s="102" t="str">
        <f>IF(A336="","",
SUM(
COUNTIFS('QA Log'!D:D,A336,'QA Log'!M:M,"QQC",'QA Log'!L:L,"*8. Maternity*"),
COUNTIFS('QA Log'!D:D,A336,'QA Log'!M:M,"QQC",'QA Log'!L:L,"*9. EPI and Pre-school Consultation*"),
COUNTIFS('QA Log'!D:D,A336,'QA Log'!M:M,"QQC",'QA Log'!L:L,"*10. Antenatal Care (ANC)*"),
COUNTIFS('QA Log'!D:D,A336,'QA Log'!M:M,"QQC",'QA Log'!L:L,"*2. Hygiene and Sterilization*"),
COUNTIFS('QA Log'!D:D,A336,'QA Log'!M:M,"QQC",'QA Log'!L:L,"*4. Family Planning*")
))</f>
        <v/>
      </c>
      <c r="V336" s="102" t="str">
        <f>IF(A336="","",
SUM(
COUNTIFS('QA Log'!D:D,A336,'QA Log'!M:M,"QQC",'QA Log'!Z:Z,"Approved",'QA Log'!L:L,"*8. Maternity*"),
COUNTIFS('QA Log'!D:D,A336,'QA Log'!M:M,"QQC",'QA Log'!Z:Z,"Approved",'QA Log'!L:L,"*9. EPI and Pre-school Consultation*"),
COUNTIFS('QA Log'!D:D,A336,'QA Log'!M:M,"QQC",'QA Log'!Z:Z,"Approved",'QA Log'!L:L,"*10. Antenatal Care (ANC)*"),
COUNTIFS('QA Log'!D:D,A336,'QA Log'!M:M,"QQC",'QA Log'!Z:Z,"Approved",'QA Log'!L:L,"*2. Hygiene and Sterilization*"),
COUNTIFS('QA Log'!D:D,A336,'QA Log'!M:M,"QQC",'QA Log'!Z:Z,"Approved",'QA Log'!L:L,"*4. Family Planning*")
))</f>
        <v/>
      </c>
      <c r="W336" s="105" t="str">
        <f>IF(A336&lt;&gt;"",COUNTIFS('QA Log'!D:D,A336,'QA Log'!M:M,"QQC",'QA Log'!L:L,"8. Maternity",'QA Log'!Z:Z,"Approved"),"")</f>
        <v/>
      </c>
      <c r="X336" s="105" t="str">
        <f>IF(A336&lt;&gt;"",COUNTIFS('QA Log'!D:D,A336,'QA Log'!M:M,"QQC",'QA Log'!L:L,"9. EPI and Pre-school Consultation",'QA Log'!Z:Z,"Approved"),"")</f>
        <v/>
      </c>
      <c r="Y336" s="105" t="str">
        <f>IF(A336&lt;&gt;"",COUNTIFS('QA Log'!D:D,A336,'QA Log'!M:M,"QQC",'QA Log'!L:L,"10. Antenatal Care (ANC)",'QA Log'!Z:Z,"Approved"),"")</f>
        <v/>
      </c>
      <c r="Z336" s="105" t="str">
        <f>IF(A336&lt;&gt;"",COUNTIFS('QA Log'!D:D,A336,'QA Log'!M:M,"QQC",'QA Log'!L:L,"2. Hygiene and Sterilization",'QA Log'!Z:Z,"Approved"),"")</f>
        <v/>
      </c>
      <c r="AA336" s="105" t="str">
        <f>IF(A336&lt;&gt;"",COUNTIFS('QA Log'!D:D,A336,'QA Log'!M:M,"QQC",'QA Log'!L:L,"4. Family Planning",'QA Log'!Z:Z,"Approved"),"")</f>
        <v/>
      </c>
      <c r="AB336" s="102" t="str">
        <f>IF(A336="","",
SUM(
COUNTIFS('QA Log'!D:D,A336,'QA Log'!M:M,"QQC",'QA Log'!Z:Z,"Rejected",'QA Log'!L:L,"*8. Maternity*"),
COUNTIFS('QA Log'!D:D,A336,'QA Log'!M:M,"QQC",'QA Log'!Z:Z,"Rejected",'QA Log'!L:L,"*9. EPI and Pre-school Consultation*"),
COUNTIFS('QA Log'!D:D,A336,'QA Log'!M:M,"QQC",'QA Log'!Z:Z,"Rejected",'QA Log'!L:L,"*10. Antenatal Care (ANC)*"),
COUNTIFS('QA Log'!D:D,A336,'QA Log'!M:M,"QQC",'QA Log'!Z:Z,"Rejected",'QA Log'!L:L,"*2. Hygiene and Sterilization*"),
COUNTIFS('QA Log'!D:D,A336,'QA Log'!M:M,"QQC",'QA Log'!Z:Z,"Rejected",'QA Log'!L:L,"*4. Family Planning*")
))</f>
        <v/>
      </c>
      <c r="AC336" s="102" t="str">
        <f t="shared" si="29"/>
        <v/>
      </c>
      <c r="AD336" s="103" t="str">
        <f t="shared" si="30"/>
        <v/>
      </c>
      <c r="AE336" s="102" t="str">
        <f>IF(A336="","",
SUM(
COUNTIFS('QA Log'!D:D,A336,'QA Log'!M:M,"Data Verification",'QA Log'!L:L,"*Medicine (section 2)*"),
COUNTIFS('QA Log'!D:D,A336,'QA Log'!M:M,"Data Verification",'QA Log'!L:L,"*Lab Testing Availability*"),
COUNTIFS('QA Log'!D:D,A336,'QA Log'!M:M,"Data Verification",'QA Log'!L:L,"*Other than P4P (section 6)*"),
COUNTIFS('QA Log'!D:D,A336,'QA Log'!M:M,"Data Verification",'QA Log'!L:L,"*Hospital Governance*")
))</f>
        <v/>
      </c>
      <c r="AF336" s="102" t="str">
        <f>IF(A336="","",
SUM(
COUNTIFS('QA Log'!D:D,A336,'QA Log'!M:M,"Data Verification",'QA Log'!Z:Z,"Approved",'QA Log'!L:L,"*Medicine (section 2)*"),
COUNTIFS('QA Log'!D:D,A336,'QA Log'!M:M,"Data Verification",'QA Log'!Z:Z,"Approved",'QA Log'!L:L,"*Lab Testing Availability*"),
COUNTIFS('QA Log'!D:D,A336,'QA Log'!M:M,"Data Verification",'QA Log'!Z:Z,"Approved",'QA Log'!L:L,"*Other than P4P (section 6)*"),
COUNTIFS('QA Log'!D:D,A336,'QA Log'!M:M,"Data Verification",'QA Log'!Z:Z,"Approved",'QA Log'!L:L,"*Hospital Governance*")
))</f>
        <v/>
      </c>
      <c r="AG336" s="105" t="str">
        <f>IF(A336&lt;&gt;"",COUNTIFS('QA Log'!D:D,A336,'QA Log'!M:M,"Data Verification",'QA Log'!L:L,"Medicine (section 2)",'QA Log'!Z:Z,"Approved"),"")</f>
        <v/>
      </c>
      <c r="AH336" s="105" t="str">
        <f>IF(A336&lt;&gt;"",COUNTIFS('QA Log'!D:D,A336,'QA Log'!M:M,"Data Verification",'QA Log'!L:L,"Lab Testing Availability",'QA Log'!Z:Z,"Approved"),"")</f>
        <v/>
      </c>
      <c r="AI336" s="105" t="str">
        <f>IF(A336&lt;&gt;"",COUNTIFS('QA Log'!D:D,A336,'QA Log'!M:M,"Data Verification",'QA Log'!L:L,"Other than P4P (section 6)",'QA Log'!Z:Z,"Approved"),"")</f>
        <v/>
      </c>
      <c r="AJ336" s="105" t="str">
        <f>IF(A336&lt;&gt;"",COUNTIFS('QA Log'!D:D,A336,'QA Log'!M:M,"Data Verification",'QA Log'!L:L,"Hospital Governance",'QA Log'!Z:Z,"Approved"),"")</f>
        <v/>
      </c>
      <c r="AK336" s="102" t="str">
        <f>IF(A336="","",
SUM(
COUNTIFS('QA Log'!D:D,A336,'QA Log'!M:M,"Data Verification",'QA Log'!Z:Z,"Rejected",'QA Log'!L:L,"*Medicine (section 2)*"),
COUNTIFS('QA Log'!D:D,A336,'QA Log'!M:M,"Data Verification",'QA Log'!Z:Z,"Rejected",'QA Log'!L:L,"*Lab Testing Availability*"),
COUNTIFS('QA Log'!D:D,A336,'QA Log'!M:M,"Data Verification",'QA Log'!Z:Z,"Rejected",'QA Log'!L:L,"*Other than P4P (section 6)*"),
COUNTIFS('QA Log'!D:D,A336,'QA Log'!M:M,"Data Verification",'QA Log'!Z:Z,"Rejected",'QA Log'!L:L,"*Hospital Governance*")
))</f>
        <v/>
      </c>
      <c r="AL336" s="106" t="str">
        <f t="shared" si="31"/>
        <v/>
      </c>
      <c r="AM336" s="102" t="str">
        <f t="shared" si="32"/>
        <v/>
      </c>
      <c r="AN336" s="102" t="str">
        <f>IF(A336="","",
SUM(
COUNTIFS('QA Log'!D:D,A336,'QA Log'!M:M,"Data Verification",'QA Log'!L:L,"*Personnel (section 1)*"),
COUNTIFS('QA Log'!D:D,A336,'QA Log'!M:M,"Data Verification",'QA Log'!L:L,"*Consumable (section 3)*"),
COUNTIFS('QA Log'!D:D,A336,'QA Log'!M:M,"Data Verification",'QA Log'!L:L,"*Equipments (section 4)*")
))</f>
        <v/>
      </c>
      <c r="AO336" s="102" t="str">
        <f>IF(A336="","",
SUM(
COUNTIFS('QA Log'!D:D,A336,'QA Log'!M:M,"Data Verification",'QA Log'!Z:Z,"Approved",'QA Log'!L:L,"*Personnel (section 1)*"),
COUNTIFS('QA Log'!D:D,A336,'QA Log'!M:M,"Data Verification",'QA Log'!Z:Z,"Approved",'QA Log'!L:L,"*Consumable (section 3)*"),
COUNTIFS('QA Log'!D:D,A336,'QA Log'!M:M,"Data Verification",'QA Log'!Z:Z,"Approved",'QA Log'!L:L,"*Equipments (section 4)*")
))</f>
        <v/>
      </c>
      <c r="AP336" s="105" t="str">
        <f>IF(A336&lt;&gt;"",COUNTIFS('QA Log'!D:D,A336,'QA Log'!M:M,"Data Verification",'QA Log'!L:L,"Personnel (section 1)",'QA Log'!Z:Z,"Approved"),"")</f>
        <v/>
      </c>
      <c r="AQ336" s="105" t="str">
        <f>IF(A336&lt;&gt;"",COUNTIFS('QA Log'!D:D,A336,'QA Log'!M:M,"Data Verification",'QA Log'!L:L,"Consumable (section 3)",'QA Log'!Z:Z,"Approved"),"")</f>
        <v/>
      </c>
      <c r="AR336" s="105" t="str">
        <f>IF(A336&lt;&gt;"",COUNTIFS('QA Log'!D:D,A336,'QA Log'!M:M,"Data Verification",'QA Log'!L:L,"Equipments (section 4)",'QA Log'!Z:Z,"Approved"),"")</f>
        <v/>
      </c>
      <c r="AS336" s="102" t="str">
        <f>IF(A336="","",
SUM(
COUNTIFS('QA Log'!D:D,A336,'QA Log'!M:M,"Data Verification",'QA Log'!Z:Z,"Rejected",'QA Log'!L:L,"*Personnel (section 1)*"),
COUNTIFS('QA Log'!D:D,A336,'QA Log'!M:M,"Data Verification",'QA Log'!Z:Z,"Rejected",'QA Log'!L:L,"*Consumable (section 3)*"),
COUNTIFS('QA Log'!D:D,A336,'QA Log'!M:M,"Data Verification",'QA Log'!Z:Z,"Rejected",'QA Log'!L:L,"*Equipments (section 4)*")
))</f>
        <v/>
      </c>
      <c r="AT336" s="102" t="str">
        <f t="shared" si="33"/>
        <v/>
      </c>
      <c r="AU336" s="103" t="str">
        <f t="shared" si="34"/>
        <v/>
      </c>
      <c r="AV336" s="102" t="str">
        <f>IF(A336="","",SUM(
COUNTIFS('QA Log'!D:D,A336,'QA Log'!M:M,"Vignette",'QA Log'!L:L,"*Vignette [1] Respiratory Infection: Pneumonia*"),
COUNTIFS('QA Log'!D:D,A336,'QA Log'!M:M,"Vignette",'QA Log'!L:L,"*Vignette [2]: Diarrhea with Cat B dehydration*"),
COUNTIFS('QA Log'!D:D,A336,'QA Log'!M:M,"Vignette",'QA Log'!L:L,"*Vignette [3] Growth Monitoring and Promotion*"),
COUNTIFS('QA Log'!D:D,A336,'QA Log'!M:M,"Vignette",'QA Log'!L:L,"*Vignette [4]: The management of presumptive TB patient*")
)
)</f>
        <v/>
      </c>
      <c r="AW336" s="102" t="str">
        <f>IF(
  A336="","",
  SUM(
    COUNTIFS('QA Log'!D:D,A336,'QA Log'!M:M,"Vignette",'QA Log'!Z:Z,"Approved",'QA Log'!L:L,"*Vignette [1] Respiratory Infection: Pneumonia*"),
    COUNTIFS('QA Log'!D:D,A336,'QA Log'!M:M,"Vignette",'QA Log'!Z:Z,"Approved",'QA Log'!L:L,"*Vignette [2]: Diarrhea with Cat B dehydration*"),
    COUNTIFS('QA Log'!D:D,A336,'QA Log'!M:M,"Vignette",'QA Log'!Z:Z,"Approved",'QA Log'!L:L,"*Vignette [3] Growth Monitoring and Promotion*"),
    COUNTIFS('QA Log'!D:D,A336,'QA Log'!M:M,"Vignette",'QA Log'!Z:Z,"Approved",'QA Log'!L:L,"*Vignette [4]: The management of presumptive TB patient*")
  )
)</f>
        <v/>
      </c>
      <c r="AX336" s="105" t="str">
        <f>IF(A336&lt;&gt;"",COUNTIFS('QA Log'!D:D,A336,'QA Log'!M:M,"Vignette",'QA Log'!L:L,"Vignette [1] Respiratory Infection: Pneumonia",'QA Log'!Z:Z,"Approved"),"")</f>
        <v/>
      </c>
      <c r="AY336" s="105" t="str">
        <f>IF(A336&lt;&gt;"",COUNTIFS('QA Log'!D:D,A336,'QA Log'!M:M,"Vignette",'QA Log'!L:L,"Vignette [2]: Diarrhea with Cat B dehydration",'QA Log'!Z:Z,"Approved"),"")</f>
        <v/>
      </c>
      <c r="AZ336" s="105" t="str">
        <f>IF(A336&lt;&gt;"",COUNTIFS('QA Log'!D:D,A336,'QA Log'!M:M,"Vignette",'QA Log'!L:L,"Vignette [3] Growth Monitoring and Promotion",'QA Log'!Z:Z,"Approved"),"")</f>
        <v/>
      </c>
      <c r="BA336" s="105" t="str">
        <f>IF(A336&lt;&gt;"",COUNTIFS('QA Log'!D:D,A336,'QA Log'!M:M,"Vignette",'QA Log'!L:L,"Vignette [4]: The management of presumptive TB patient",'QA Log'!Z:Z,"Approved"),"")</f>
        <v/>
      </c>
      <c r="BB336" s="102" t="str">
        <f>IF(A336="","",
  SUM(
    COUNTIFS('QA Log'!D:D,A336,'QA Log'!M:M,"Vignette",'QA Log'!Z:Z,"Rejected",'QA Log'!L:L,"*Vignette [1] Respiratory Infection: Pneumonia*"),
    COUNTIFS('QA Log'!D:D,A336,'QA Log'!M:M,"Vignette",'QA Log'!Z:Z,"Rejected",'QA Log'!L:L,"*Vignette [2]: Diarrhea with Cat B dehydration*"),
    COUNTIFS('QA Log'!D:D,A336,'QA Log'!M:M,"Vignette",'QA Log'!Z:Z,"Rejected",'QA Log'!L:L,"*Vignette [3] Growth Monitoring and Promotion*"),
    COUNTIFS('QA Log'!D:D,A336,'QA Log'!M:M,"Vignette",'QA Log'!Z:Z,"Rejected",'QA Log'!L:L,"*Vignette [4]: The management of presumptive TB patient*")
  )
)</f>
        <v/>
      </c>
      <c r="BC336" s="107" t="str">
        <f t="shared" si="35"/>
        <v/>
      </c>
      <c r="BD336" s="103" t="str">
        <f t="shared" si="36"/>
        <v/>
      </c>
      <c r="BE336" s="102" t="str">
        <f>IF(A336="","",SUM(
COUNTIFS('QA Log'!D:D,A336,'QA Log'!M:M,"Vignette",'QA Log'!L:L,"*Vignette [5] Labor*"),
COUNTIFS('QA Log'!D:D,A336,'QA Log'!M:M,"Vignette",'QA Log'!L:L,"*Vignette [6] PNC pre Discharge*"),
COUNTIFS('QA Log'!D:D,A336,'QA Log'!M:M,"Vignette",'QA Log'!L:L,"*Vignette [7] First ANC Visit*"),
COUNTIFS('QA Log'!D:D,A336,'QA Log'!M:M,"Vignette",'QA Log'!L:L,"*Vignette [8] Birth Spacing/ Family Planning :  FP Counselling*"),
COUNTIFS('QA Log'!D:D,A336,'QA Log'!M:M,"Vignette",'QA Log'!L:L,"*Vignette [9] Birth Spacing: Change FP method to Injectable*"),
COUNTIFS('QA Log'!D:D,A336,'QA Log'!M:M,"Vignette",'QA Log'!L:L,"*Vignette [10] Post Partum Haemorrhage - Atonic Uterus at Health Centre*"),
)
)</f>
        <v/>
      </c>
      <c r="BF336" s="102" t="str">
        <f>IF(A336="","",
  SUM(
    COUNTIFS('QA Log'!D:D,A336,'QA Log'!M:M,"Vignette",'QA Log'!Z:Z,"Approved",'QA Log'!L:L,"*Vignette [5] Labor*"),
    COUNTIFS('QA Log'!D:D,A336,'QA Log'!M:M,"Vignette",'QA Log'!Z:Z,"Approved",'QA Log'!L:L,"*Vignette [6] PNC pre Discharge*"),
    COUNTIFS('QA Log'!D:D,A336,'QA Log'!M:M,"Vignette",'QA Log'!Z:Z,"Approved",'QA Log'!L:L,"*Vignette [7] First ANC Visit*"),
    COUNTIFS('QA Log'!D:D,A336,'QA Log'!M:M,"Vignette",'QA Log'!Z:Z,"Approved",'QA Log'!L:L,"*Vignette [8] Birth Spacing/ Family Planning :  FP Counselling*"),
    COUNTIFS('QA Log'!D:D,A336,'QA Log'!M:M,"Vignette",'QA Log'!Z:Z,"Approved",'QA Log'!L:L,"*Vignette [9] Birth Spacing: Change FP method to Injectable*"),
    COUNTIFS('QA Log'!D:D,A336,'QA Log'!M:M,"Vignette",'QA Log'!Z:Z,"Approved",'QA Log'!L:L,"*Vignette [10] Post Partum Haemorrhage - Atonic Uterus at Health Centre*")
  )
)</f>
        <v/>
      </c>
      <c r="BG336" s="105" t="str">
        <f>IF(A336&lt;&gt;"",COUNTIFS('QA Log'!D:D,A336,'QA Log'!M:M,"Vignette",'QA Log'!L:L,"Vignette [5] Labor",'QA Log'!Z:Z,"Approved"),"")</f>
        <v/>
      </c>
      <c r="BH336" s="105" t="str">
        <f>IF(A336&lt;&gt;"",COUNTIFS('QA Log'!D:D,A336,'QA Log'!M:M,"Vignette",'QA Log'!L:L,"Vignette [6] PNC pre Discharge",'QA Log'!Z:Z,"Approved"),"")</f>
        <v/>
      </c>
      <c r="BI336" s="105" t="str">
        <f>IF(A336&lt;&gt;"",COUNTIFS('QA Log'!D:D,A336,'QA Log'!M:M,"Vignette",'QA Log'!L:L,"Vignette [7] First ANC Visit",'QA Log'!Z:Z,"Approved"),"")</f>
        <v/>
      </c>
      <c r="BJ336" s="105" t="str">
        <f>IF(A336&lt;&gt;"",COUNTIFS('QA Log'!D:D,A336,'QA Log'!M:M,"Vignette",'QA Log'!L:L,"Vignette [8] Birth Spacing/ Family Planning :  FP Counselling",'QA Log'!Z:Z,"Approved"),"")</f>
        <v/>
      </c>
      <c r="BK336" s="105" t="str">
        <f>IF(A336&lt;&gt;"",COUNTIFS('QA Log'!D:D,A336,'QA Log'!M:M,"Vignette",'QA Log'!L:L,"Vignette [9] Birth Spacing: Change FP method to Injectable",'QA Log'!Z:Z,"Approved"),"")</f>
        <v/>
      </c>
      <c r="BL336" s="105" t="str">
        <f>IF(A336&lt;&gt;"",COUNTIFS('QA Log'!D:D,A336,'QA Log'!M:M,"Vignette",'QA Log'!L:L,"Vignette [10] Post Partum Haemorrhage - Atonic Uterus at Health Centre",'QA Log'!Z:Z,"Approved"),"")</f>
        <v/>
      </c>
      <c r="BM336" s="102" t="str">
        <f>IF(A336="","",SUM(
    COUNTIFS('QA Log'!D:D,A336,'QA Log'!M:M,"Vignette",'QA Log'!Z:Z,"Rejected",'QA Log'!L:L,"*Vignette [5] Labor*"),
    COUNTIFS('QA Log'!D:D,A336,'QA Log'!M:M,"Vignette",'QA Log'!Z:Z,"Rejected",'QA Log'!L:L,"*Vignette [6] PNC pre Discharge*"),
    COUNTIFS('QA Log'!D:D,A336,'QA Log'!M:M,"Vignette",'QA Log'!Z:Z,"Rejected",'QA Log'!L:L,"*Vignette [7] First ANC Visit*"),
    COUNTIFS('QA Log'!D:D,A336,'QA Log'!M:M,"Vignette",'QA Log'!Z:Z,"Rejected",'QA Log'!L:L,"*Vignette [8] Birth Spacing/ Family Planning :  FP Counselling*"),
    COUNTIFS('QA Log'!D:D,A336,'QA Log'!M:M,"Vignette",'QA Log'!Z:Z,"Rejected",'QA Log'!L:L,"*Vignette [9] Birth Spacing: Change FP method to Injectable*"),
    COUNTIFS('QA Log'!D:D,A336,'QA Log'!M:M,"Vignette",'QA Log'!Z:Z,"Rejected",'QA Log'!L:L,"*Vignette [10] Post Partum Haemorrhage - Atonic Uterus at Health Centre*")
  )
)</f>
        <v/>
      </c>
      <c r="BN336" s="107" t="str">
        <f t="shared" si="37"/>
        <v/>
      </c>
      <c r="BO336" s="103" t="str">
        <f t="shared" si="38"/>
        <v/>
      </c>
      <c r="BP336" s="102" t="str">
        <f>IF(A336="","",SUM(
COUNTIFS('QA Log'!D:D,A336,'QA Log'!M:M,"Vignette",'QA Log'!L:L,"*Exit Interview 1*"),
COUNTIFS('QA Log'!D:D,A336,'QA Log'!M:M,"Vignette",'QA Log'!L:L,"*Exit Interview 2*"),
)
)</f>
        <v/>
      </c>
      <c r="BQ336" s="102" t="str">
        <f>IF(
  A336="","",
  SUM(
    COUNTIFS('QA Log'!D:D,A336,'QA Log'!M:M,"Vignette",'QA Log'!Z:Z,"Approved",'QA Log'!L:L,"*Exit Interview 1*"),
    COUNTIFS('QA Log'!D:D,A336,'QA Log'!M:M,"Vignette",'QA Log'!Z:Z,"Approved",'QA Log'!L:L,"*Exit Interview 2*")
  )
)</f>
        <v/>
      </c>
      <c r="BR336" s="105" t="str">
        <f>IF(A336&lt;&gt;"",COUNTIFS('QA Log'!D:D,A336,'QA Log'!M:M,"Vignette",'QA Log'!L:L,"Exit Interview 1",'QA Log'!Z:Z,"Approved"),"")</f>
        <v/>
      </c>
      <c r="BS336" s="105" t="str">
        <f>IF(A336&lt;&gt;"",COUNTIFS('QA Log'!D:D,A336,'QA Log'!M:M,"Vignette",'QA Log'!L:L,"Exit Interview 2",'QA Log'!Z:Z,"Approved"),"")</f>
        <v/>
      </c>
      <c r="BT336" s="102" t="str">
        <f>IF(
  A336="","",
  SUM(
    COUNTIFS('QA Log'!D:D,A336,'QA Log'!M:M,"Vignette",'QA Log'!Z:Z,"Rejected",'QA Log'!L:L,"*Exit Interview 1*"),
    COUNTIFS('QA Log'!D:D,A336,'QA Log'!M:M,"Vignette",'QA Log'!Z:Z,"Rejected",'QA Log'!L:L,"*Exit Interview 2*")
  )
)</f>
        <v/>
      </c>
      <c r="BU336" s="107" t="str">
        <f t="shared" si="39"/>
        <v/>
      </c>
      <c r="BV336" s="102" t="str">
        <f t="shared" si="40"/>
        <v/>
      </c>
      <c r="BW336" s="102" t="str">
        <f t="shared" si="41"/>
        <v/>
      </c>
      <c r="BX336" s="102" t="str">
        <f t="shared" si="42"/>
        <v/>
      </c>
      <c r="BY336" s="102" t="str">
        <f t="shared" si="43"/>
        <v/>
      </c>
      <c r="BZ336" s="107" t="str">
        <f t="shared" si="44"/>
        <v/>
      </c>
      <c r="CA336" s="108" t="str">
        <f t="shared" si="45"/>
        <v/>
      </c>
      <c r="CB336" s="108" t="str">
        <f t="shared" si="46"/>
        <v/>
      </c>
      <c r="CC336" s="109" t="str">
        <f t="shared" si="47"/>
        <v/>
      </c>
      <c r="CD336" s="108" t="str">
        <f t="shared" si="48"/>
        <v/>
      </c>
      <c r="CE336" s="108" t="str">
        <f t="shared" si="49"/>
        <v/>
      </c>
      <c r="CF336" s="109" t="str">
        <f t="shared" si="50"/>
        <v/>
      </c>
      <c r="CG336" s="110" t="str">
        <f t="shared" si="51"/>
        <v/>
      </c>
      <c r="CH336" s="111"/>
    </row>
    <row r="337" spans="1:86" ht="12.75">
      <c r="A337" s="101"/>
      <c r="B337" s="102" t="e">
        <f t="array" aca="1" ref="B337" ca="1">_xludf.XLOOKUP(A337,'QA Log'!D:D,'QA Log'!E:E,"")</f>
        <v>#NAME?</v>
      </c>
      <c r="C337" s="102" t="e">
        <f t="array" aca="1" ref="C337" ca="1">_xludf.XLOOKUP(A337,'QA Log'!D:D,'QA Log'!F:F,"")</f>
        <v>#NAME?</v>
      </c>
      <c r="D337" s="102" t="e">
        <f t="array" aca="1" ref="D337" ca="1">_xludf.XLOOKUP(A337,'QA Log'!D:D,'QA Log'!H:H,"")</f>
        <v>#NAME?</v>
      </c>
      <c r="E337" s="102" t="e">
        <f t="array" aca="1" ref="E337" ca="1">_xludf.XLOOKUP(A337,'QA Log'!D:D,'QA Log'!G:G,"")</f>
        <v>#NAME?</v>
      </c>
      <c r="F337" s="103"/>
      <c r="G337" s="104"/>
      <c r="H337" s="104"/>
      <c r="I337" s="103" t="str">
        <f t="shared" si="26"/>
        <v/>
      </c>
      <c r="J337" s="102" t="str">
        <f>IF(A337="","",SUM(
COUNTIFS('QA Log'!D:D,A337,'QA Log'!M:M,"QQC",'QA Log'!L:L,"*1. General Management*"),
COUNTIFS('QA Log'!D:D,A337,'QA Log'!M:M,"QQC",'QA Log'!L:L,"*3. Curative Consultation (OPD)*"),
COUNTIFS('QA Log'!D:D,A337,'QA Log'!M:M,"QQC",'QA Log'!L:L,"*5. Laboratory*"),
COUNTIFS('QA Log'!D:D,A337,'QA Log'!M:M,"QQC",'QA Log'!L:L,"*6. Essential Medicine Management*"),
COUNTIFS('QA Log'!D:D,A337,'QA Log'!M:M,"QQC",'QA Log'!L:L,"*7. Tracer Medicine*"),
COUNTIFS('QA Log'!D:D,A337,'QA Log'!M:M,"QQC",'QA Log'!L:L,"*11. Additional Questions*")))</f>
        <v/>
      </c>
      <c r="K337" s="102" t="str">
        <f>IF(A337="","",SUM(
COUNTIFS('QA Log'!D:D,A337,'QA Log'!M:M,"QQC",'QA Log'!Z:Z,"Approved",'QA Log'!L:L,"*1. General Management*"),
COUNTIFS('QA Log'!D:D,A337,'QA Log'!M:M,"QQC",'QA Log'!Z:Z,"Approved",'QA Log'!L:L,"*3. Curative Consultation (OPD)*"),
COUNTIFS('QA Log'!D:D,A337,'QA Log'!M:M,"QQC",'QA Log'!Z:Z,"Approved",'QA Log'!L:L,"*5. Laboratory*"),
COUNTIFS('QA Log'!D:D,A337,'QA Log'!M:M,"QQC",'QA Log'!Z:Z,"Approved",'QA Log'!L:L,"*6. Essential Medicine Management*"),
COUNTIFS('QA Log'!D:D,A337,'QA Log'!M:M,"QQC",'QA Log'!Z:Z,"Approved",'QA Log'!L:L,"*7. Tracer Medicine*"),
COUNTIFS('QA Log'!D:D,A337,'QA Log'!M:M,"QQC",'QA Log'!Z:Z,"Approved",'QA Log'!L:L,"*11. Additional Questions*")))</f>
        <v/>
      </c>
      <c r="L337" s="105" t="str">
        <f>IF(A337&lt;&gt;"",COUNTIFS('QA Log'!D:D,A337,'QA Log'!M:M,"QQC",'QA Log'!L:L,"1. General Management",'QA Log'!Z:Z,"Approved"),"")</f>
        <v/>
      </c>
      <c r="M337" s="105" t="str">
        <f>IF(A337&lt;&gt;"",COUNTIFS('QA Log'!D:D,A337,'QA Log'!M:M,"QQC",'QA Log'!L:L,"3. Curative Consultation (OPD)",'QA Log'!Z:Z,"Approved"),"")</f>
        <v/>
      </c>
      <c r="N337" s="105" t="str">
        <f>IF(A337&lt;&gt;"",COUNTIFS('QA Log'!D:D,A337,'QA Log'!M:M,"QQC",'QA Log'!L:L,"5. Laboratory",'QA Log'!Z:Z,"Approved"),"")</f>
        <v/>
      </c>
      <c r="O337" s="105" t="str">
        <f>IF(A337&lt;&gt;"",COUNTIFS('QA Log'!D:D,A337,'QA Log'!M:M,"QQC",'QA Log'!L:L,"6. Essential Medicine Management",'QA Log'!Z:Z,"Approved"),"")</f>
        <v/>
      </c>
      <c r="P337" s="105" t="str">
        <f>IF(A337&lt;&gt;"",COUNTIFS('QA Log'!D:D,A337,'QA Log'!M:M,"QQC",'QA Log'!L:L,"7. Tracer Medicine",'QA Log'!Z:Z,"Approved"),"")</f>
        <v/>
      </c>
      <c r="Q337" s="105" t="str">
        <f>IF(A337&lt;&gt;"",COUNTIFS('QA Log'!D:D,A337,'QA Log'!M:M,"QQC",'QA Log'!L:L,"11. Additional Questions",'QA Log'!Z:Z,"Approved"),"")</f>
        <v/>
      </c>
      <c r="R337" s="102" t="str">
        <f>IF(A337="","",SUM(
COUNTIFS('QA Log'!D:D,A337,'QA Log'!M:M,"QQC",'QA Log'!Z:Z,"Rejected",'QA Log'!L:L,"*8. Maternity*"),
COUNTIFS('QA Log'!D:D,A337,'QA Log'!M:M,"QQC",'QA Log'!Z:Z,"Rejected",'QA Log'!L:L,"*EPI*"),
COUNTIFS('QA Log'!D:D,A337,'QA Log'!M:M,"QQC",'QA Log'!Z:Z,"Rejected",'QA Log'!L:L,"*10. Antenatal Care (ANC)*"),
COUNTIFS('QA Log'!D:D,A337,'QA Log'!M:M,"QQC",'QA Log'!Z:Z,"Rejected",'QA Log'!L:L,"*2. Hygiene and Sterilization*"),
COUNTIFS('QA Log'!D:D,A337,'QA Log'!M:M,"QQC",'QA Log'!Z:Z,"Rejected",'QA Log'!L:L,"*Family Planning*")))</f>
        <v/>
      </c>
      <c r="S337" s="106" t="str">
        <f t="shared" si="27"/>
        <v/>
      </c>
      <c r="T337" s="102" t="str">
        <f t="shared" si="28"/>
        <v/>
      </c>
      <c r="U337" s="102" t="str">
        <f>IF(A337="","",
SUM(
COUNTIFS('QA Log'!D:D,A337,'QA Log'!M:M,"QQC",'QA Log'!L:L,"*8. Maternity*"),
COUNTIFS('QA Log'!D:D,A337,'QA Log'!M:M,"QQC",'QA Log'!L:L,"*9. EPI and Pre-school Consultation*"),
COUNTIFS('QA Log'!D:D,A337,'QA Log'!M:M,"QQC",'QA Log'!L:L,"*10. Antenatal Care (ANC)*"),
COUNTIFS('QA Log'!D:D,A337,'QA Log'!M:M,"QQC",'QA Log'!L:L,"*2. Hygiene and Sterilization*"),
COUNTIFS('QA Log'!D:D,A337,'QA Log'!M:M,"QQC",'QA Log'!L:L,"*4. Family Planning*")
))</f>
        <v/>
      </c>
      <c r="V337" s="102" t="str">
        <f>IF(A337="","",
SUM(
COUNTIFS('QA Log'!D:D,A337,'QA Log'!M:M,"QQC",'QA Log'!Z:Z,"Approved",'QA Log'!L:L,"*8. Maternity*"),
COUNTIFS('QA Log'!D:D,A337,'QA Log'!M:M,"QQC",'QA Log'!Z:Z,"Approved",'QA Log'!L:L,"*9. EPI and Pre-school Consultation*"),
COUNTIFS('QA Log'!D:D,A337,'QA Log'!M:M,"QQC",'QA Log'!Z:Z,"Approved",'QA Log'!L:L,"*10. Antenatal Care (ANC)*"),
COUNTIFS('QA Log'!D:D,A337,'QA Log'!M:M,"QQC",'QA Log'!Z:Z,"Approved",'QA Log'!L:L,"*2. Hygiene and Sterilization*"),
COUNTIFS('QA Log'!D:D,A337,'QA Log'!M:M,"QQC",'QA Log'!Z:Z,"Approved",'QA Log'!L:L,"*4. Family Planning*")
))</f>
        <v/>
      </c>
      <c r="W337" s="105" t="str">
        <f>IF(A337&lt;&gt;"",COUNTIFS('QA Log'!D:D,A337,'QA Log'!M:M,"QQC",'QA Log'!L:L,"8. Maternity",'QA Log'!Z:Z,"Approved"),"")</f>
        <v/>
      </c>
      <c r="X337" s="105" t="str">
        <f>IF(A337&lt;&gt;"",COUNTIFS('QA Log'!D:D,A337,'QA Log'!M:M,"QQC",'QA Log'!L:L,"9. EPI and Pre-school Consultation",'QA Log'!Z:Z,"Approved"),"")</f>
        <v/>
      </c>
      <c r="Y337" s="105" t="str">
        <f>IF(A337&lt;&gt;"",COUNTIFS('QA Log'!D:D,A337,'QA Log'!M:M,"QQC",'QA Log'!L:L,"10. Antenatal Care (ANC)",'QA Log'!Z:Z,"Approved"),"")</f>
        <v/>
      </c>
      <c r="Z337" s="105" t="str">
        <f>IF(A337&lt;&gt;"",COUNTIFS('QA Log'!D:D,A337,'QA Log'!M:M,"QQC",'QA Log'!L:L,"2. Hygiene and Sterilization",'QA Log'!Z:Z,"Approved"),"")</f>
        <v/>
      </c>
      <c r="AA337" s="105" t="str">
        <f>IF(A337&lt;&gt;"",COUNTIFS('QA Log'!D:D,A337,'QA Log'!M:M,"QQC",'QA Log'!L:L,"4. Family Planning",'QA Log'!Z:Z,"Approved"),"")</f>
        <v/>
      </c>
      <c r="AB337" s="102" t="str">
        <f>IF(A337="","",
SUM(
COUNTIFS('QA Log'!D:D,A337,'QA Log'!M:M,"QQC",'QA Log'!Z:Z,"Rejected",'QA Log'!L:L,"*8. Maternity*"),
COUNTIFS('QA Log'!D:D,A337,'QA Log'!M:M,"QQC",'QA Log'!Z:Z,"Rejected",'QA Log'!L:L,"*9. EPI and Pre-school Consultation*"),
COUNTIFS('QA Log'!D:D,A337,'QA Log'!M:M,"QQC",'QA Log'!Z:Z,"Rejected",'QA Log'!L:L,"*10. Antenatal Care (ANC)*"),
COUNTIFS('QA Log'!D:D,A337,'QA Log'!M:M,"QQC",'QA Log'!Z:Z,"Rejected",'QA Log'!L:L,"*2. Hygiene and Sterilization*"),
COUNTIFS('QA Log'!D:D,A337,'QA Log'!M:M,"QQC",'QA Log'!Z:Z,"Rejected",'QA Log'!L:L,"*4. Family Planning*")
))</f>
        <v/>
      </c>
      <c r="AC337" s="102" t="str">
        <f t="shared" si="29"/>
        <v/>
      </c>
      <c r="AD337" s="103" t="str">
        <f t="shared" si="30"/>
        <v/>
      </c>
      <c r="AE337" s="102" t="str">
        <f>IF(A337="","",
SUM(
COUNTIFS('QA Log'!D:D,A337,'QA Log'!M:M,"Data Verification",'QA Log'!L:L,"*Medicine (section 2)*"),
COUNTIFS('QA Log'!D:D,A337,'QA Log'!M:M,"Data Verification",'QA Log'!L:L,"*Lab Testing Availability*"),
COUNTIFS('QA Log'!D:D,A337,'QA Log'!M:M,"Data Verification",'QA Log'!L:L,"*Other than P4P (section 6)*"),
COUNTIFS('QA Log'!D:D,A337,'QA Log'!M:M,"Data Verification",'QA Log'!L:L,"*Hospital Governance*")
))</f>
        <v/>
      </c>
      <c r="AF337" s="102" t="str">
        <f>IF(A337="","",
SUM(
COUNTIFS('QA Log'!D:D,A337,'QA Log'!M:M,"Data Verification",'QA Log'!Z:Z,"Approved",'QA Log'!L:L,"*Medicine (section 2)*"),
COUNTIFS('QA Log'!D:D,A337,'QA Log'!M:M,"Data Verification",'QA Log'!Z:Z,"Approved",'QA Log'!L:L,"*Lab Testing Availability*"),
COUNTIFS('QA Log'!D:D,A337,'QA Log'!M:M,"Data Verification",'QA Log'!Z:Z,"Approved",'QA Log'!L:L,"*Other than P4P (section 6)*"),
COUNTIFS('QA Log'!D:D,A337,'QA Log'!M:M,"Data Verification",'QA Log'!Z:Z,"Approved",'QA Log'!L:L,"*Hospital Governance*")
))</f>
        <v/>
      </c>
      <c r="AG337" s="105" t="str">
        <f>IF(A337&lt;&gt;"",COUNTIFS('QA Log'!D:D,A337,'QA Log'!M:M,"Data Verification",'QA Log'!L:L,"Medicine (section 2)",'QA Log'!Z:Z,"Approved"),"")</f>
        <v/>
      </c>
      <c r="AH337" s="105" t="str">
        <f>IF(A337&lt;&gt;"",COUNTIFS('QA Log'!D:D,A337,'QA Log'!M:M,"Data Verification",'QA Log'!L:L,"Lab Testing Availability",'QA Log'!Z:Z,"Approved"),"")</f>
        <v/>
      </c>
      <c r="AI337" s="105" t="str">
        <f>IF(A337&lt;&gt;"",COUNTIFS('QA Log'!D:D,A337,'QA Log'!M:M,"Data Verification",'QA Log'!L:L,"Other than P4P (section 6)",'QA Log'!Z:Z,"Approved"),"")</f>
        <v/>
      </c>
      <c r="AJ337" s="105" t="str">
        <f>IF(A337&lt;&gt;"",COUNTIFS('QA Log'!D:D,A337,'QA Log'!M:M,"Data Verification",'QA Log'!L:L,"Hospital Governance",'QA Log'!Z:Z,"Approved"),"")</f>
        <v/>
      </c>
      <c r="AK337" s="102" t="str">
        <f>IF(A337="","",
SUM(
COUNTIFS('QA Log'!D:D,A337,'QA Log'!M:M,"Data Verification",'QA Log'!Z:Z,"Rejected",'QA Log'!L:L,"*Medicine (section 2)*"),
COUNTIFS('QA Log'!D:D,A337,'QA Log'!M:M,"Data Verification",'QA Log'!Z:Z,"Rejected",'QA Log'!L:L,"*Lab Testing Availability*"),
COUNTIFS('QA Log'!D:D,A337,'QA Log'!M:M,"Data Verification",'QA Log'!Z:Z,"Rejected",'QA Log'!L:L,"*Other than P4P (section 6)*"),
COUNTIFS('QA Log'!D:D,A337,'QA Log'!M:M,"Data Verification",'QA Log'!Z:Z,"Rejected",'QA Log'!L:L,"*Hospital Governance*")
))</f>
        <v/>
      </c>
      <c r="AL337" s="106" t="str">
        <f t="shared" si="31"/>
        <v/>
      </c>
      <c r="AM337" s="102" t="str">
        <f t="shared" si="32"/>
        <v/>
      </c>
      <c r="AN337" s="102" t="str">
        <f>IF(A337="","",
SUM(
COUNTIFS('QA Log'!D:D,A337,'QA Log'!M:M,"Data Verification",'QA Log'!L:L,"*Personnel (section 1)*"),
COUNTIFS('QA Log'!D:D,A337,'QA Log'!M:M,"Data Verification",'QA Log'!L:L,"*Consumable (section 3)*"),
COUNTIFS('QA Log'!D:D,A337,'QA Log'!M:M,"Data Verification",'QA Log'!L:L,"*Equipments (section 4)*")
))</f>
        <v/>
      </c>
      <c r="AO337" s="102" t="str">
        <f>IF(A337="","",
SUM(
COUNTIFS('QA Log'!D:D,A337,'QA Log'!M:M,"Data Verification",'QA Log'!Z:Z,"Approved",'QA Log'!L:L,"*Personnel (section 1)*"),
COUNTIFS('QA Log'!D:D,A337,'QA Log'!M:M,"Data Verification",'QA Log'!Z:Z,"Approved",'QA Log'!L:L,"*Consumable (section 3)*"),
COUNTIFS('QA Log'!D:D,A337,'QA Log'!M:M,"Data Verification",'QA Log'!Z:Z,"Approved",'QA Log'!L:L,"*Equipments (section 4)*")
))</f>
        <v/>
      </c>
      <c r="AP337" s="105" t="str">
        <f>IF(A337&lt;&gt;"",COUNTIFS('QA Log'!D:D,A337,'QA Log'!M:M,"Data Verification",'QA Log'!L:L,"Personnel (section 1)",'QA Log'!Z:Z,"Approved"),"")</f>
        <v/>
      </c>
      <c r="AQ337" s="105" t="str">
        <f>IF(A337&lt;&gt;"",COUNTIFS('QA Log'!D:D,A337,'QA Log'!M:M,"Data Verification",'QA Log'!L:L,"Consumable (section 3)",'QA Log'!Z:Z,"Approved"),"")</f>
        <v/>
      </c>
      <c r="AR337" s="105" t="str">
        <f>IF(A337&lt;&gt;"",COUNTIFS('QA Log'!D:D,A337,'QA Log'!M:M,"Data Verification",'QA Log'!L:L,"Equipments (section 4)",'QA Log'!Z:Z,"Approved"),"")</f>
        <v/>
      </c>
      <c r="AS337" s="102" t="str">
        <f>IF(A337="","",
SUM(
COUNTIFS('QA Log'!D:D,A337,'QA Log'!M:M,"Data Verification",'QA Log'!Z:Z,"Rejected",'QA Log'!L:L,"*Personnel (section 1)*"),
COUNTIFS('QA Log'!D:D,A337,'QA Log'!M:M,"Data Verification",'QA Log'!Z:Z,"Rejected",'QA Log'!L:L,"*Consumable (section 3)*"),
COUNTIFS('QA Log'!D:D,A337,'QA Log'!M:M,"Data Verification",'QA Log'!Z:Z,"Rejected",'QA Log'!L:L,"*Equipments (section 4)*")
))</f>
        <v/>
      </c>
      <c r="AT337" s="102" t="str">
        <f t="shared" si="33"/>
        <v/>
      </c>
      <c r="AU337" s="103" t="str">
        <f t="shared" si="34"/>
        <v/>
      </c>
      <c r="AV337" s="102" t="str">
        <f>IF(A337="","",SUM(
COUNTIFS('QA Log'!D:D,A337,'QA Log'!M:M,"Vignette",'QA Log'!L:L,"*Vignette [1] Respiratory Infection: Pneumonia*"),
COUNTIFS('QA Log'!D:D,A337,'QA Log'!M:M,"Vignette",'QA Log'!L:L,"*Vignette [2]: Diarrhea with Cat B dehydration*"),
COUNTIFS('QA Log'!D:D,A337,'QA Log'!M:M,"Vignette",'QA Log'!L:L,"*Vignette [3] Growth Monitoring and Promotion*"),
COUNTIFS('QA Log'!D:D,A337,'QA Log'!M:M,"Vignette",'QA Log'!L:L,"*Vignette [4]: The management of presumptive TB patient*")
)
)</f>
        <v/>
      </c>
      <c r="AW337" s="102" t="str">
        <f>IF(
  A337="","",
  SUM(
    COUNTIFS('QA Log'!D:D,A337,'QA Log'!M:M,"Vignette",'QA Log'!Z:Z,"Approved",'QA Log'!L:L,"*Vignette [1] Respiratory Infection: Pneumonia*"),
    COUNTIFS('QA Log'!D:D,A337,'QA Log'!M:M,"Vignette",'QA Log'!Z:Z,"Approved",'QA Log'!L:L,"*Vignette [2]: Diarrhea with Cat B dehydration*"),
    COUNTIFS('QA Log'!D:D,A337,'QA Log'!M:M,"Vignette",'QA Log'!Z:Z,"Approved",'QA Log'!L:L,"*Vignette [3] Growth Monitoring and Promotion*"),
    COUNTIFS('QA Log'!D:D,A337,'QA Log'!M:M,"Vignette",'QA Log'!Z:Z,"Approved",'QA Log'!L:L,"*Vignette [4]: The management of presumptive TB patient*")
  )
)</f>
        <v/>
      </c>
      <c r="AX337" s="105" t="str">
        <f>IF(A337&lt;&gt;"",COUNTIFS('QA Log'!D:D,A337,'QA Log'!M:M,"Vignette",'QA Log'!L:L,"Vignette [1] Respiratory Infection: Pneumonia",'QA Log'!Z:Z,"Approved"),"")</f>
        <v/>
      </c>
      <c r="AY337" s="105" t="str">
        <f>IF(A337&lt;&gt;"",COUNTIFS('QA Log'!D:D,A337,'QA Log'!M:M,"Vignette",'QA Log'!L:L,"Vignette [2]: Diarrhea with Cat B dehydration",'QA Log'!Z:Z,"Approved"),"")</f>
        <v/>
      </c>
      <c r="AZ337" s="105" t="str">
        <f>IF(A337&lt;&gt;"",COUNTIFS('QA Log'!D:D,A337,'QA Log'!M:M,"Vignette",'QA Log'!L:L,"Vignette [3] Growth Monitoring and Promotion",'QA Log'!Z:Z,"Approved"),"")</f>
        <v/>
      </c>
      <c r="BA337" s="105" t="str">
        <f>IF(A337&lt;&gt;"",COUNTIFS('QA Log'!D:D,A337,'QA Log'!M:M,"Vignette",'QA Log'!L:L,"Vignette [4]: The management of presumptive TB patient",'QA Log'!Z:Z,"Approved"),"")</f>
        <v/>
      </c>
      <c r="BB337" s="102" t="str">
        <f>IF(A337="","",
  SUM(
    COUNTIFS('QA Log'!D:D,A337,'QA Log'!M:M,"Vignette",'QA Log'!Z:Z,"Rejected",'QA Log'!L:L,"*Vignette [1] Respiratory Infection: Pneumonia*"),
    COUNTIFS('QA Log'!D:D,A337,'QA Log'!M:M,"Vignette",'QA Log'!Z:Z,"Rejected",'QA Log'!L:L,"*Vignette [2]: Diarrhea with Cat B dehydration*"),
    COUNTIFS('QA Log'!D:D,A337,'QA Log'!M:M,"Vignette",'QA Log'!Z:Z,"Rejected",'QA Log'!L:L,"*Vignette [3] Growth Monitoring and Promotion*"),
    COUNTIFS('QA Log'!D:D,A337,'QA Log'!M:M,"Vignette",'QA Log'!Z:Z,"Rejected",'QA Log'!L:L,"*Vignette [4]: The management of presumptive TB patient*")
  )
)</f>
        <v/>
      </c>
      <c r="BC337" s="107" t="str">
        <f t="shared" si="35"/>
        <v/>
      </c>
      <c r="BD337" s="103" t="str">
        <f t="shared" si="36"/>
        <v/>
      </c>
      <c r="BE337" s="102" t="str">
        <f>IF(A337="","",SUM(
COUNTIFS('QA Log'!D:D,A337,'QA Log'!M:M,"Vignette",'QA Log'!L:L,"*Vignette [5] Labor*"),
COUNTIFS('QA Log'!D:D,A337,'QA Log'!M:M,"Vignette",'QA Log'!L:L,"*Vignette [6] PNC pre Discharge*"),
COUNTIFS('QA Log'!D:D,A337,'QA Log'!M:M,"Vignette",'QA Log'!L:L,"*Vignette [7] First ANC Visit*"),
COUNTIFS('QA Log'!D:D,A337,'QA Log'!M:M,"Vignette",'QA Log'!L:L,"*Vignette [8] Birth Spacing/ Family Planning :  FP Counselling*"),
COUNTIFS('QA Log'!D:D,A337,'QA Log'!M:M,"Vignette",'QA Log'!L:L,"*Vignette [9] Birth Spacing: Change FP method to Injectable*"),
COUNTIFS('QA Log'!D:D,A337,'QA Log'!M:M,"Vignette",'QA Log'!L:L,"*Vignette [10] Post Partum Haemorrhage - Atonic Uterus at Health Centre*"),
)
)</f>
        <v/>
      </c>
      <c r="BF337" s="102" t="str">
        <f>IF(A337="","",
  SUM(
    COUNTIFS('QA Log'!D:D,A337,'QA Log'!M:M,"Vignette",'QA Log'!Z:Z,"Approved",'QA Log'!L:L,"*Vignette [5] Labor*"),
    COUNTIFS('QA Log'!D:D,A337,'QA Log'!M:M,"Vignette",'QA Log'!Z:Z,"Approved",'QA Log'!L:L,"*Vignette [6] PNC pre Discharge*"),
    COUNTIFS('QA Log'!D:D,A337,'QA Log'!M:M,"Vignette",'QA Log'!Z:Z,"Approved",'QA Log'!L:L,"*Vignette [7] First ANC Visit*"),
    COUNTIFS('QA Log'!D:D,A337,'QA Log'!M:M,"Vignette",'QA Log'!Z:Z,"Approved",'QA Log'!L:L,"*Vignette [8] Birth Spacing/ Family Planning :  FP Counselling*"),
    COUNTIFS('QA Log'!D:D,A337,'QA Log'!M:M,"Vignette",'QA Log'!Z:Z,"Approved",'QA Log'!L:L,"*Vignette [9] Birth Spacing: Change FP method to Injectable*"),
    COUNTIFS('QA Log'!D:D,A337,'QA Log'!M:M,"Vignette",'QA Log'!Z:Z,"Approved",'QA Log'!L:L,"*Vignette [10] Post Partum Haemorrhage - Atonic Uterus at Health Centre*")
  )
)</f>
        <v/>
      </c>
      <c r="BG337" s="105" t="str">
        <f>IF(A337&lt;&gt;"",COUNTIFS('QA Log'!D:D,A337,'QA Log'!M:M,"Vignette",'QA Log'!L:L,"Vignette [5] Labor",'QA Log'!Z:Z,"Approved"),"")</f>
        <v/>
      </c>
      <c r="BH337" s="105" t="str">
        <f>IF(A337&lt;&gt;"",COUNTIFS('QA Log'!D:D,A337,'QA Log'!M:M,"Vignette",'QA Log'!L:L,"Vignette [6] PNC pre Discharge",'QA Log'!Z:Z,"Approved"),"")</f>
        <v/>
      </c>
      <c r="BI337" s="105" t="str">
        <f>IF(A337&lt;&gt;"",COUNTIFS('QA Log'!D:D,A337,'QA Log'!M:M,"Vignette",'QA Log'!L:L,"Vignette [7] First ANC Visit",'QA Log'!Z:Z,"Approved"),"")</f>
        <v/>
      </c>
      <c r="BJ337" s="105" t="str">
        <f>IF(A337&lt;&gt;"",COUNTIFS('QA Log'!D:D,A337,'QA Log'!M:M,"Vignette",'QA Log'!L:L,"Vignette [8] Birth Spacing/ Family Planning :  FP Counselling",'QA Log'!Z:Z,"Approved"),"")</f>
        <v/>
      </c>
      <c r="BK337" s="105" t="str">
        <f>IF(A337&lt;&gt;"",COUNTIFS('QA Log'!D:D,A337,'QA Log'!M:M,"Vignette",'QA Log'!L:L,"Vignette [9] Birth Spacing: Change FP method to Injectable",'QA Log'!Z:Z,"Approved"),"")</f>
        <v/>
      </c>
      <c r="BL337" s="105" t="str">
        <f>IF(A337&lt;&gt;"",COUNTIFS('QA Log'!D:D,A337,'QA Log'!M:M,"Vignette",'QA Log'!L:L,"Vignette [10] Post Partum Haemorrhage - Atonic Uterus at Health Centre",'QA Log'!Z:Z,"Approved"),"")</f>
        <v/>
      </c>
      <c r="BM337" s="102" t="str">
        <f>IF(A337="","",SUM(
    COUNTIFS('QA Log'!D:D,A337,'QA Log'!M:M,"Vignette",'QA Log'!Z:Z,"Rejected",'QA Log'!L:L,"*Vignette [5] Labor*"),
    COUNTIFS('QA Log'!D:D,A337,'QA Log'!M:M,"Vignette",'QA Log'!Z:Z,"Rejected",'QA Log'!L:L,"*Vignette [6] PNC pre Discharge*"),
    COUNTIFS('QA Log'!D:D,A337,'QA Log'!M:M,"Vignette",'QA Log'!Z:Z,"Rejected",'QA Log'!L:L,"*Vignette [7] First ANC Visit*"),
    COUNTIFS('QA Log'!D:D,A337,'QA Log'!M:M,"Vignette",'QA Log'!Z:Z,"Rejected",'QA Log'!L:L,"*Vignette [8] Birth Spacing/ Family Planning :  FP Counselling*"),
    COUNTIFS('QA Log'!D:D,A337,'QA Log'!M:M,"Vignette",'QA Log'!Z:Z,"Rejected",'QA Log'!L:L,"*Vignette [9] Birth Spacing: Change FP method to Injectable*"),
    COUNTIFS('QA Log'!D:D,A337,'QA Log'!M:M,"Vignette",'QA Log'!Z:Z,"Rejected",'QA Log'!L:L,"*Vignette [10] Post Partum Haemorrhage - Atonic Uterus at Health Centre*")
  )
)</f>
        <v/>
      </c>
      <c r="BN337" s="107" t="str">
        <f t="shared" si="37"/>
        <v/>
      </c>
      <c r="BO337" s="103" t="str">
        <f t="shared" si="38"/>
        <v/>
      </c>
      <c r="BP337" s="102" t="str">
        <f>IF(A337="","",SUM(
COUNTIFS('QA Log'!D:D,A337,'QA Log'!M:M,"Vignette",'QA Log'!L:L,"*Exit Interview 1*"),
COUNTIFS('QA Log'!D:D,A337,'QA Log'!M:M,"Vignette",'QA Log'!L:L,"*Exit Interview 2*"),
)
)</f>
        <v/>
      </c>
      <c r="BQ337" s="102" t="str">
        <f>IF(
  A337="","",
  SUM(
    COUNTIFS('QA Log'!D:D,A337,'QA Log'!M:M,"Vignette",'QA Log'!Z:Z,"Approved",'QA Log'!L:L,"*Exit Interview 1*"),
    COUNTIFS('QA Log'!D:D,A337,'QA Log'!M:M,"Vignette",'QA Log'!Z:Z,"Approved",'QA Log'!L:L,"*Exit Interview 2*")
  )
)</f>
        <v/>
      </c>
      <c r="BR337" s="105" t="str">
        <f>IF(A337&lt;&gt;"",COUNTIFS('QA Log'!D:D,A337,'QA Log'!M:M,"Vignette",'QA Log'!L:L,"Exit Interview 1",'QA Log'!Z:Z,"Approved"),"")</f>
        <v/>
      </c>
      <c r="BS337" s="105" t="str">
        <f>IF(A337&lt;&gt;"",COUNTIFS('QA Log'!D:D,A337,'QA Log'!M:M,"Vignette",'QA Log'!L:L,"Exit Interview 2",'QA Log'!Z:Z,"Approved"),"")</f>
        <v/>
      </c>
      <c r="BT337" s="102" t="str">
        <f>IF(
  A337="","",
  SUM(
    COUNTIFS('QA Log'!D:D,A337,'QA Log'!M:M,"Vignette",'QA Log'!Z:Z,"Rejected",'QA Log'!L:L,"*Exit Interview 1*"),
    COUNTIFS('QA Log'!D:D,A337,'QA Log'!M:M,"Vignette",'QA Log'!Z:Z,"Rejected",'QA Log'!L:L,"*Exit Interview 2*")
  )
)</f>
        <v/>
      </c>
      <c r="BU337" s="107" t="str">
        <f t="shared" si="39"/>
        <v/>
      </c>
      <c r="BV337" s="102" t="str">
        <f t="shared" si="40"/>
        <v/>
      </c>
      <c r="BW337" s="102" t="str">
        <f t="shared" si="41"/>
        <v/>
      </c>
      <c r="BX337" s="102" t="str">
        <f t="shared" si="42"/>
        <v/>
      </c>
      <c r="BY337" s="102" t="str">
        <f t="shared" si="43"/>
        <v/>
      </c>
      <c r="BZ337" s="107" t="str">
        <f t="shared" si="44"/>
        <v/>
      </c>
      <c r="CA337" s="108" t="str">
        <f t="shared" si="45"/>
        <v/>
      </c>
      <c r="CB337" s="108" t="str">
        <f t="shared" si="46"/>
        <v/>
      </c>
      <c r="CC337" s="109" t="str">
        <f t="shared" si="47"/>
        <v/>
      </c>
      <c r="CD337" s="108" t="str">
        <f t="shared" si="48"/>
        <v/>
      </c>
      <c r="CE337" s="108" t="str">
        <f t="shared" si="49"/>
        <v/>
      </c>
      <c r="CF337" s="109" t="str">
        <f t="shared" si="50"/>
        <v/>
      </c>
      <c r="CG337" s="110" t="str">
        <f t="shared" si="51"/>
        <v/>
      </c>
      <c r="CH337" s="111"/>
    </row>
    <row r="338" spans="1:86" ht="12.75">
      <c r="A338" s="101"/>
      <c r="B338" s="102" t="e">
        <f t="array" aca="1" ref="B338" ca="1">_xludf.XLOOKUP(A338,'QA Log'!D:D,'QA Log'!E:E,"")</f>
        <v>#NAME?</v>
      </c>
      <c r="C338" s="102" t="e">
        <f t="array" aca="1" ref="C338" ca="1">_xludf.XLOOKUP(A338,'QA Log'!D:D,'QA Log'!F:F,"")</f>
        <v>#NAME?</v>
      </c>
      <c r="D338" s="102" t="e">
        <f t="array" aca="1" ref="D338" ca="1">_xludf.XLOOKUP(A338,'QA Log'!D:D,'QA Log'!H:H,"")</f>
        <v>#NAME?</v>
      </c>
      <c r="E338" s="102" t="e">
        <f t="array" aca="1" ref="E338" ca="1">_xludf.XLOOKUP(A338,'QA Log'!D:D,'QA Log'!G:G,"")</f>
        <v>#NAME?</v>
      </c>
      <c r="F338" s="103"/>
      <c r="G338" s="104"/>
      <c r="H338" s="104"/>
      <c r="I338" s="103" t="str">
        <f t="shared" si="26"/>
        <v/>
      </c>
      <c r="J338" s="102" t="str">
        <f>IF(A338="","",SUM(
COUNTIFS('QA Log'!D:D,A338,'QA Log'!M:M,"QQC",'QA Log'!L:L,"*1. General Management*"),
COUNTIFS('QA Log'!D:D,A338,'QA Log'!M:M,"QQC",'QA Log'!L:L,"*3. Curative Consultation (OPD)*"),
COUNTIFS('QA Log'!D:D,A338,'QA Log'!M:M,"QQC",'QA Log'!L:L,"*5. Laboratory*"),
COUNTIFS('QA Log'!D:D,A338,'QA Log'!M:M,"QQC",'QA Log'!L:L,"*6. Essential Medicine Management*"),
COUNTIFS('QA Log'!D:D,A338,'QA Log'!M:M,"QQC",'QA Log'!L:L,"*7. Tracer Medicine*"),
COUNTIFS('QA Log'!D:D,A338,'QA Log'!M:M,"QQC",'QA Log'!L:L,"*11. Additional Questions*")))</f>
        <v/>
      </c>
      <c r="K338" s="102" t="str">
        <f>IF(A338="","",SUM(
COUNTIFS('QA Log'!D:D,A338,'QA Log'!M:M,"QQC",'QA Log'!Z:Z,"Approved",'QA Log'!L:L,"*1. General Management*"),
COUNTIFS('QA Log'!D:D,A338,'QA Log'!M:M,"QQC",'QA Log'!Z:Z,"Approved",'QA Log'!L:L,"*3. Curative Consultation (OPD)*"),
COUNTIFS('QA Log'!D:D,A338,'QA Log'!M:M,"QQC",'QA Log'!Z:Z,"Approved",'QA Log'!L:L,"*5. Laboratory*"),
COUNTIFS('QA Log'!D:D,A338,'QA Log'!M:M,"QQC",'QA Log'!Z:Z,"Approved",'QA Log'!L:L,"*6. Essential Medicine Management*"),
COUNTIFS('QA Log'!D:D,A338,'QA Log'!M:M,"QQC",'QA Log'!Z:Z,"Approved",'QA Log'!L:L,"*7. Tracer Medicine*"),
COUNTIFS('QA Log'!D:D,A338,'QA Log'!M:M,"QQC",'QA Log'!Z:Z,"Approved",'QA Log'!L:L,"*11. Additional Questions*")))</f>
        <v/>
      </c>
      <c r="L338" s="105" t="str">
        <f>IF(A338&lt;&gt;"",COUNTIFS('QA Log'!D:D,A338,'QA Log'!M:M,"QQC",'QA Log'!L:L,"1. General Management",'QA Log'!Z:Z,"Approved"),"")</f>
        <v/>
      </c>
      <c r="M338" s="105" t="str">
        <f>IF(A338&lt;&gt;"",COUNTIFS('QA Log'!D:D,A338,'QA Log'!M:M,"QQC",'QA Log'!L:L,"3. Curative Consultation (OPD)",'QA Log'!Z:Z,"Approved"),"")</f>
        <v/>
      </c>
      <c r="N338" s="105" t="str">
        <f>IF(A338&lt;&gt;"",COUNTIFS('QA Log'!D:D,A338,'QA Log'!M:M,"QQC",'QA Log'!L:L,"5. Laboratory",'QA Log'!Z:Z,"Approved"),"")</f>
        <v/>
      </c>
      <c r="O338" s="105" t="str">
        <f>IF(A338&lt;&gt;"",COUNTIFS('QA Log'!D:D,A338,'QA Log'!M:M,"QQC",'QA Log'!L:L,"6. Essential Medicine Management",'QA Log'!Z:Z,"Approved"),"")</f>
        <v/>
      </c>
      <c r="P338" s="105" t="str">
        <f>IF(A338&lt;&gt;"",COUNTIFS('QA Log'!D:D,A338,'QA Log'!M:M,"QQC",'QA Log'!L:L,"7. Tracer Medicine",'QA Log'!Z:Z,"Approved"),"")</f>
        <v/>
      </c>
      <c r="Q338" s="105" t="str">
        <f>IF(A338&lt;&gt;"",COUNTIFS('QA Log'!D:D,A338,'QA Log'!M:M,"QQC",'QA Log'!L:L,"11. Additional Questions",'QA Log'!Z:Z,"Approved"),"")</f>
        <v/>
      </c>
      <c r="R338" s="102" t="str">
        <f>IF(A338="","",SUM(
COUNTIFS('QA Log'!D:D,A338,'QA Log'!M:M,"QQC",'QA Log'!Z:Z,"Rejected",'QA Log'!L:L,"*8. Maternity*"),
COUNTIFS('QA Log'!D:D,A338,'QA Log'!M:M,"QQC",'QA Log'!Z:Z,"Rejected",'QA Log'!L:L,"*EPI*"),
COUNTIFS('QA Log'!D:D,A338,'QA Log'!M:M,"QQC",'QA Log'!Z:Z,"Rejected",'QA Log'!L:L,"*10. Antenatal Care (ANC)*"),
COUNTIFS('QA Log'!D:D,A338,'QA Log'!M:M,"QQC",'QA Log'!Z:Z,"Rejected",'QA Log'!L:L,"*2. Hygiene and Sterilization*"),
COUNTIFS('QA Log'!D:D,A338,'QA Log'!M:M,"QQC",'QA Log'!Z:Z,"Rejected",'QA Log'!L:L,"*Family Planning*")))</f>
        <v/>
      </c>
      <c r="S338" s="106" t="str">
        <f t="shared" si="27"/>
        <v/>
      </c>
      <c r="T338" s="102" t="str">
        <f t="shared" si="28"/>
        <v/>
      </c>
      <c r="U338" s="102" t="str">
        <f>IF(A338="","",
SUM(
COUNTIFS('QA Log'!D:D,A338,'QA Log'!M:M,"QQC",'QA Log'!L:L,"*8. Maternity*"),
COUNTIFS('QA Log'!D:D,A338,'QA Log'!M:M,"QQC",'QA Log'!L:L,"*9. EPI and Pre-school Consultation*"),
COUNTIFS('QA Log'!D:D,A338,'QA Log'!M:M,"QQC",'QA Log'!L:L,"*10. Antenatal Care (ANC)*"),
COUNTIFS('QA Log'!D:D,A338,'QA Log'!M:M,"QQC",'QA Log'!L:L,"*2. Hygiene and Sterilization*"),
COUNTIFS('QA Log'!D:D,A338,'QA Log'!M:M,"QQC",'QA Log'!L:L,"*4. Family Planning*")
))</f>
        <v/>
      </c>
      <c r="V338" s="102" t="str">
        <f>IF(A338="","",
SUM(
COUNTIFS('QA Log'!D:D,A338,'QA Log'!M:M,"QQC",'QA Log'!Z:Z,"Approved",'QA Log'!L:L,"*8. Maternity*"),
COUNTIFS('QA Log'!D:D,A338,'QA Log'!M:M,"QQC",'QA Log'!Z:Z,"Approved",'QA Log'!L:L,"*9. EPI and Pre-school Consultation*"),
COUNTIFS('QA Log'!D:D,A338,'QA Log'!M:M,"QQC",'QA Log'!Z:Z,"Approved",'QA Log'!L:L,"*10. Antenatal Care (ANC)*"),
COUNTIFS('QA Log'!D:D,A338,'QA Log'!M:M,"QQC",'QA Log'!Z:Z,"Approved",'QA Log'!L:L,"*2. Hygiene and Sterilization*"),
COUNTIFS('QA Log'!D:D,A338,'QA Log'!M:M,"QQC",'QA Log'!Z:Z,"Approved",'QA Log'!L:L,"*4. Family Planning*")
))</f>
        <v/>
      </c>
      <c r="W338" s="105" t="str">
        <f>IF(A338&lt;&gt;"",COUNTIFS('QA Log'!D:D,A338,'QA Log'!M:M,"QQC",'QA Log'!L:L,"8. Maternity",'QA Log'!Z:Z,"Approved"),"")</f>
        <v/>
      </c>
      <c r="X338" s="105" t="str">
        <f>IF(A338&lt;&gt;"",COUNTIFS('QA Log'!D:D,A338,'QA Log'!M:M,"QQC",'QA Log'!L:L,"9. EPI and Pre-school Consultation",'QA Log'!Z:Z,"Approved"),"")</f>
        <v/>
      </c>
      <c r="Y338" s="105" t="str">
        <f>IF(A338&lt;&gt;"",COUNTIFS('QA Log'!D:D,A338,'QA Log'!M:M,"QQC",'QA Log'!L:L,"10. Antenatal Care (ANC)",'QA Log'!Z:Z,"Approved"),"")</f>
        <v/>
      </c>
      <c r="Z338" s="105" t="str">
        <f>IF(A338&lt;&gt;"",COUNTIFS('QA Log'!D:D,A338,'QA Log'!M:M,"QQC",'QA Log'!L:L,"2. Hygiene and Sterilization",'QA Log'!Z:Z,"Approved"),"")</f>
        <v/>
      </c>
      <c r="AA338" s="105" t="str">
        <f>IF(A338&lt;&gt;"",COUNTIFS('QA Log'!D:D,A338,'QA Log'!M:M,"QQC",'QA Log'!L:L,"4. Family Planning",'QA Log'!Z:Z,"Approved"),"")</f>
        <v/>
      </c>
      <c r="AB338" s="102" t="str">
        <f>IF(A338="","",
SUM(
COUNTIFS('QA Log'!D:D,A338,'QA Log'!M:M,"QQC",'QA Log'!Z:Z,"Rejected",'QA Log'!L:L,"*8. Maternity*"),
COUNTIFS('QA Log'!D:D,A338,'QA Log'!M:M,"QQC",'QA Log'!Z:Z,"Rejected",'QA Log'!L:L,"*9. EPI and Pre-school Consultation*"),
COUNTIFS('QA Log'!D:D,A338,'QA Log'!M:M,"QQC",'QA Log'!Z:Z,"Rejected",'QA Log'!L:L,"*10. Antenatal Care (ANC)*"),
COUNTIFS('QA Log'!D:D,A338,'QA Log'!M:M,"QQC",'QA Log'!Z:Z,"Rejected",'QA Log'!L:L,"*2. Hygiene and Sterilization*"),
COUNTIFS('QA Log'!D:D,A338,'QA Log'!M:M,"QQC",'QA Log'!Z:Z,"Rejected",'QA Log'!L:L,"*4. Family Planning*")
))</f>
        <v/>
      </c>
      <c r="AC338" s="102" t="str">
        <f t="shared" si="29"/>
        <v/>
      </c>
      <c r="AD338" s="103" t="str">
        <f t="shared" si="30"/>
        <v/>
      </c>
      <c r="AE338" s="102" t="str">
        <f>IF(A338="","",
SUM(
COUNTIFS('QA Log'!D:D,A338,'QA Log'!M:M,"Data Verification",'QA Log'!L:L,"*Medicine (section 2)*"),
COUNTIFS('QA Log'!D:D,A338,'QA Log'!M:M,"Data Verification",'QA Log'!L:L,"*Lab Testing Availability*"),
COUNTIFS('QA Log'!D:D,A338,'QA Log'!M:M,"Data Verification",'QA Log'!L:L,"*Other than P4P (section 6)*"),
COUNTIFS('QA Log'!D:D,A338,'QA Log'!M:M,"Data Verification",'QA Log'!L:L,"*Hospital Governance*")
))</f>
        <v/>
      </c>
      <c r="AF338" s="102" t="str">
        <f>IF(A338="","",
SUM(
COUNTIFS('QA Log'!D:D,A338,'QA Log'!M:M,"Data Verification",'QA Log'!Z:Z,"Approved",'QA Log'!L:L,"*Medicine (section 2)*"),
COUNTIFS('QA Log'!D:D,A338,'QA Log'!M:M,"Data Verification",'QA Log'!Z:Z,"Approved",'QA Log'!L:L,"*Lab Testing Availability*"),
COUNTIFS('QA Log'!D:D,A338,'QA Log'!M:M,"Data Verification",'QA Log'!Z:Z,"Approved",'QA Log'!L:L,"*Other than P4P (section 6)*"),
COUNTIFS('QA Log'!D:D,A338,'QA Log'!M:M,"Data Verification",'QA Log'!Z:Z,"Approved",'QA Log'!L:L,"*Hospital Governance*")
))</f>
        <v/>
      </c>
      <c r="AG338" s="105" t="str">
        <f>IF(A338&lt;&gt;"",COUNTIFS('QA Log'!D:D,A338,'QA Log'!M:M,"Data Verification",'QA Log'!L:L,"Medicine (section 2)",'QA Log'!Z:Z,"Approved"),"")</f>
        <v/>
      </c>
      <c r="AH338" s="105" t="str">
        <f>IF(A338&lt;&gt;"",COUNTIFS('QA Log'!D:D,A338,'QA Log'!M:M,"Data Verification",'QA Log'!L:L,"Lab Testing Availability",'QA Log'!Z:Z,"Approved"),"")</f>
        <v/>
      </c>
      <c r="AI338" s="105" t="str">
        <f>IF(A338&lt;&gt;"",COUNTIFS('QA Log'!D:D,A338,'QA Log'!M:M,"Data Verification",'QA Log'!L:L,"Other than P4P (section 6)",'QA Log'!Z:Z,"Approved"),"")</f>
        <v/>
      </c>
      <c r="AJ338" s="105" t="str">
        <f>IF(A338&lt;&gt;"",COUNTIFS('QA Log'!D:D,A338,'QA Log'!M:M,"Data Verification",'QA Log'!L:L,"Hospital Governance",'QA Log'!Z:Z,"Approved"),"")</f>
        <v/>
      </c>
      <c r="AK338" s="102" t="str">
        <f>IF(A338="","",
SUM(
COUNTIFS('QA Log'!D:D,A338,'QA Log'!M:M,"Data Verification",'QA Log'!Z:Z,"Rejected",'QA Log'!L:L,"*Medicine (section 2)*"),
COUNTIFS('QA Log'!D:D,A338,'QA Log'!M:M,"Data Verification",'QA Log'!Z:Z,"Rejected",'QA Log'!L:L,"*Lab Testing Availability*"),
COUNTIFS('QA Log'!D:D,A338,'QA Log'!M:M,"Data Verification",'QA Log'!Z:Z,"Rejected",'QA Log'!L:L,"*Other than P4P (section 6)*"),
COUNTIFS('QA Log'!D:D,A338,'QA Log'!M:M,"Data Verification",'QA Log'!Z:Z,"Rejected",'QA Log'!L:L,"*Hospital Governance*")
))</f>
        <v/>
      </c>
      <c r="AL338" s="106" t="str">
        <f t="shared" si="31"/>
        <v/>
      </c>
      <c r="AM338" s="102" t="str">
        <f t="shared" si="32"/>
        <v/>
      </c>
      <c r="AN338" s="102" t="str">
        <f>IF(A338="","",
SUM(
COUNTIFS('QA Log'!D:D,A338,'QA Log'!M:M,"Data Verification",'QA Log'!L:L,"*Personnel (section 1)*"),
COUNTIFS('QA Log'!D:D,A338,'QA Log'!M:M,"Data Verification",'QA Log'!L:L,"*Consumable (section 3)*"),
COUNTIFS('QA Log'!D:D,A338,'QA Log'!M:M,"Data Verification",'QA Log'!L:L,"*Equipments (section 4)*")
))</f>
        <v/>
      </c>
      <c r="AO338" s="102" t="str">
        <f>IF(A338="","",
SUM(
COUNTIFS('QA Log'!D:D,A338,'QA Log'!M:M,"Data Verification",'QA Log'!Z:Z,"Approved",'QA Log'!L:L,"*Personnel (section 1)*"),
COUNTIFS('QA Log'!D:D,A338,'QA Log'!M:M,"Data Verification",'QA Log'!Z:Z,"Approved",'QA Log'!L:L,"*Consumable (section 3)*"),
COUNTIFS('QA Log'!D:D,A338,'QA Log'!M:M,"Data Verification",'QA Log'!Z:Z,"Approved",'QA Log'!L:L,"*Equipments (section 4)*")
))</f>
        <v/>
      </c>
      <c r="AP338" s="105" t="str">
        <f>IF(A338&lt;&gt;"",COUNTIFS('QA Log'!D:D,A338,'QA Log'!M:M,"Data Verification",'QA Log'!L:L,"Personnel (section 1)",'QA Log'!Z:Z,"Approved"),"")</f>
        <v/>
      </c>
      <c r="AQ338" s="105" t="str">
        <f>IF(A338&lt;&gt;"",COUNTIFS('QA Log'!D:D,A338,'QA Log'!M:M,"Data Verification",'QA Log'!L:L,"Consumable (section 3)",'QA Log'!Z:Z,"Approved"),"")</f>
        <v/>
      </c>
      <c r="AR338" s="105" t="str">
        <f>IF(A338&lt;&gt;"",COUNTIFS('QA Log'!D:D,A338,'QA Log'!M:M,"Data Verification",'QA Log'!L:L,"Equipments (section 4)",'QA Log'!Z:Z,"Approved"),"")</f>
        <v/>
      </c>
      <c r="AS338" s="102" t="str">
        <f>IF(A338="","",
SUM(
COUNTIFS('QA Log'!D:D,A338,'QA Log'!M:M,"Data Verification",'QA Log'!Z:Z,"Rejected",'QA Log'!L:L,"*Personnel (section 1)*"),
COUNTIFS('QA Log'!D:D,A338,'QA Log'!M:M,"Data Verification",'QA Log'!Z:Z,"Rejected",'QA Log'!L:L,"*Consumable (section 3)*"),
COUNTIFS('QA Log'!D:D,A338,'QA Log'!M:M,"Data Verification",'QA Log'!Z:Z,"Rejected",'QA Log'!L:L,"*Equipments (section 4)*")
))</f>
        <v/>
      </c>
      <c r="AT338" s="102" t="str">
        <f t="shared" si="33"/>
        <v/>
      </c>
      <c r="AU338" s="103" t="str">
        <f t="shared" si="34"/>
        <v/>
      </c>
      <c r="AV338" s="102" t="str">
        <f>IF(A338="","",SUM(
COUNTIFS('QA Log'!D:D,A338,'QA Log'!M:M,"Vignette",'QA Log'!L:L,"*Vignette [1] Respiratory Infection: Pneumonia*"),
COUNTIFS('QA Log'!D:D,A338,'QA Log'!M:M,"Vignette",'QA Log'!L:L,"*Vignette [2]: Diarrhea with Cat B dehydration*"),
COUNTIFS('QA Log'!D:D,A338,'QA Log'!M:M,"Vignette",'QA Log'!L:L,"*Vignette [3] Growth Monitoring and Promotion*"),
COUNTIFS('QA Log'!D:D,A338,'QA Log'!M:M,"Vignette",'QA Log'!L:L,"*Vignette [4]: The management of presumptive TB patient*")
)
)</f>
        <v/>
      </c>
      <c r="AW338" s="102" t="str">
        <f>IF(
  A338="","",
  SUM(
    COUNTIFS('QA Log'!D:D,A338,'QA Log'!M:M,"Vignette",'QA Log'!Z:Z,"Approved",'QA Log'!L:L,"*Vignette [1] Respiratory Infection: Pneumonia*"),
    COUNTIFS('QA Log'!D:D,A338,'QA Log'!M:M,"Vignette",'QA Log'!Z:Z,"Approved",'QA Log'!L:L,"*Vignette [2]: Diarrhea with Cat B dehydration*"),
    COUNTIFS('QA Log'!D:D,A338,'QA Log'!M:M,"Vignette",'QA Log'!Z:Z,"Approved",'QA Log'!L:L,"*Vignette [3] Growth Monitoring and Promotion*"),
    COUNTIFS('QA Log'!D:D,A338,'QA Log'!M:M,"Vignette",'QA Log'!Z:Z,"Approved",'QA Log'!L:L,"*Vignette [4]: The management of presumptive TB patient*")
  )
)</f>
        <v/>
      </c>
      <c r="AX338" s="105" t="str">
        <f>IF(A338&lt;&gt;"",COUNTIFS('QA Log'!D:D,A338,'QA Log'!M:M,"Vignette",'QA Log'!L:L,"Vignette [1] Respiratory Infection: Pneumonia",'QA Log'!Z:Z,"Approved"),"")</f>
        <v/>
      </c>
      <c r="AY338" s="105" t="str">
        <f>IF(A338&lt;&gt;"",COUNTIFS('QA Log'!D:D,A338,'QA Log'!M:M,"Vignette",'QA Log'!L:L,"Vignette [2]: Diarrhea with Cat B dehydration",'QA Log'!Z:Z,"Approved"),"")</f>
        <v/>
      </c>
      <c r="AZ338" s="105" t="str">
        <f>IF(A338&lt;&gt;"",COUNTIFS('QA Log'!D:D,A338,'QA Log'!M:M,"Vignette",'QA Log'!L:L,"Vignette [3] Growth Monitoring and Promotion",'QA Log'!Z:Z,"Approved"),"")</f>
        <v/>
      </c>
      <c r="BA338" s="105" t="str">
        <f>IF(A338&lt;&gt;"",COUNTIFS('QA Log'!D:D,A338,'QA Log'!M:M,"Vignette",'QA Log'!L:L,"Vignette [4]: The management of presumptive TB patient",'QA Log'!Z:Z,"Approved"),"")</f>
        <v/>
      </c>
      <c r="BB338" s="102" t="str">
        <f>IF(A338="","",
  SUM(
    COUNTIFS('QA Log'!D:D,A338,'QA Log'!M:M,"Vignette",'QA Log'!Z:Z,"Rejected",'QA Log'!L:L,"*Vignette [1] Respiratory Infection: Pneumonia*"),
    COUNTIFS('QA Log'!D:D,A338,'QA Log'!M:M,"Vignette",'QA Log'!Z:Z,"Rejected",'QA Log'!L:L,"*Vignette [2]: Diarrhea with Cat B dehydration*"),
    COUNTIFS('QA Log'!D:D,A338,'QA Log'!M:M,"Vignette",'QA Log'!Z:Z,"Rejected",'QA Log'!L:L,"*Vignette [3] Growth Monitoring and Promotion*"),
    COUNTIFS('QA Log'!D:D,A338,'QA Log'!M:M,"Vignette",'QA Log'!Z:Z,"Rejected",'QA Log'!L:L,"*Vignette [4]: The management of presumptive TB patient*")
  )
)</f>
        <v/>
      </c>
      <c r="BC338" s="107" t="str">
        <f t="shared" si="35"/>
        <v/>
      </c>
      <c r="BD338" s="103" t="str">
        <f t="shared" si="36"/>
        <v/>
      </c>
      <c r="BE338" s="102" t="str">
        <f>IF(A338="","",SUM(
COUNTIFS('QA Log'!D:D,A338,'QA Log'!M:M,"Vignette",'QA Log'!L:L,"*Vignette [5] Labor*"),
COUNTIFS('QA Log'!D:D,A338,'QA Log'!M:M,"Vignette",'QA Log'!L:L,"*Vignette [6] PNC pre Discharge*"),
COUNTIFS('QA Log'!D:D,A338,'QA Log'!M:M,"Vignette",'QA Log'!L:L,"*Vignette [7] First ANC Visit*"),
COUNTIFS('QA Log'!D:D,A338,'QA Log'!M:M,"Vignette",'QA Log'!L:L,"*Vignette [8] Birth Spacing/ Family Planning :  FP Counselling*"),
COUNTIFS('QA Log'!D:D,A338,'QA Log'!M:M,"Vignette",'QA Log'!L:L,"*Vignette [9] Birth Spacing: Change FP method to Injectable*"),
COUNTIFS('QA Log'!D:D,A338,'QA Log'!M:M,"Vignette",'QA Log'!L:L,"*Vignette [10] Post Partum Haemorrhage - Atonic Uterus at Health Centre*"),
)
)</f>
        <v/>
      </c>
      <c r="BF338" s="102" t="str">
        <f>IF(A338="","",
  SUM(
    COUNTIFS('QA Log'!D:D,A338,'QA Log'!M:M,"Vignette",'QA Log'!Z:Z,"Approved",'QA Log'!L:L,"*Vignette [5] Labor*"),
    COUNTIFS('QA Log'!D:D,A338,'QA Log'!M:M,"Vignette",'QA Log'!Z:Z,"Approved",'QA Log'!L:L,"*Vignette [6] PNC pre Discharge*"),
    COUNTIFS('QA Log'!D:D,A338,'QA Log'!M:M,"Vignette",'QA Log'!Z:Z,"Approved",'QA Log'!L:L,"*Vignette [7] First ANC Visit*"),
    COUNTIFS('QA Log'!D:D,A338,'QA Log'!M:M,"Vignette",'QA Log'!Z:Z,"Approved",'QA Log'!L:L,"*Vignette [8] Birth Spacing/ Family Planning :  FP Counselling*"),
    COUNTIFS('QA Log'!D:D,A338,'QA Log'!M:M,"Vignette",'QA Log'!Z:Z,"Approved",'QA Log'!L:L,"*Vignette [9] Birth Spacing: Change FP method to Injectable*"),
    COUNTIFS('QA Log'!D:D,A338,'QA Log'!M:M,"Vignette",'QA Log'!Z:Z,"Approved",'QA Log'!L:L,"*Vignette [10] Post Partum Haemorrhage - Atonic Uterus at Health Centre*")
  )
)</f>
        <v/>
      </c>
      <c r="BG338" s="105" t="str">
        <f>IF(A338&lt;&gt;"",COUNTIFS('QA Log'!D:D,A338,'QA Log'!M:M,"Vignette",'QA Log'!L:L,"Vignette [5] Labor",'QA Log'!Z:Z,"Approved"),"")</f>
        <v/>
      </c>
      <c r="BH338" s="105" t="str">
        <f>IF(A338&lt;&gt;"",COUNTIFS('QA Log'!D:D,A338,'QA Log'!M:M,"Vignette",'QA Log'!L:L,"Vignette [6] PNC pre Discharge",'QA Log'!Z:Z,"Approved"),"")</f>
        <v/>
      </c>
      <c r="BI338" s="105" t="str">
        <f>IF(A338&lt;&gt;"",COUNTIFS('QA Log'!D:D,A338,'QA Log'!M:M,"Vignette",'QA Log'!L:L,"Vignette [7] First ANC Visit",'QA Log'!Z:Z,"Approved"),"")</f>
        <v/>
      </c>
      <c r="BJ338" s="105" t="str">
        <f>IF(A338&lt;&gt;"",COUNTIFS('QA Log'!D:D,A338,'QA Log'!M:M,"Vignette",'QA Log'!L:L,"Vignette [8] Birth Spacing/ Family Planning :  FP Counselling",'QA Log'!Z:Z,"Approved"),"")</f>
        <v/>
      </c>
      <c r="BK338" s="105" t="str">
        <f>IF(A338&lt;&gt;"",COUNTIFS('QA Log'!D:D,A338,'QA Log'!M:M,"Vignette",'QA Log'!L:L,"Vignette [9] Birth Spacing: Change FP method to Injectable",'QA Log'!Z:Z,"Approved"),"")</f>
        <v/>
      </c>
      <c r="BL338" s="105" t="str">
        <f>IF(A338&lt;&gt;"",COUNTIFS('QA Log'!D:D,A338,'QA Log'!M:M,"Vignette",'QA Log'!L:L,"Vignette [10] Post Partum Haemorrhage - Atonic Uterus at Health Centre",'QA Log'!Z:Z,"Approved"),"")</f>
        <v/>
      </c>
      <c r="BM338" s="102" t="str">
        <f>IF(A338="","",SUM(
    COUNTIFS('QA Log'!D:D,A338,'QA Log'!M:M,"Vignette",'QA Log'!Z:Z,"Rejected",'QA Log'!L:L,"*Vignette [5] Labor*"),
    COUNTIFS('QA Log'!D:D,A338,'QA Log'!M:M,"Vignette",'QA Log'!Z:Z,"Rejected",'QA Log'!L:L,"*Vignette [6] PNC pre Discharge*"),
    COUNTIFS('QA Log'!D:D,A338,'QA Log'!M:M,"Vignette",'QA Log'!Z:Z,"Rejected",'QA Log'!L:L,"*Vignette [7] First ANC Visit*"),
    COUNTIFS('QA Log'!D:D,A338,'QA Log'!M:M,"Vignette",'QA Log'!Z:Z,"Rejected",'QA Log'!L:L,"*Vignette [8] Birth Spacing/ Family Planning :  FP Counselling*"),
    COUNTIFS('QA Log'!D:D,A338,'QA Log'!M:M,"Vignette",'QA Log'!Z:Z,"Rejected",'QA Log'!L:L,"*Vignette [9] Birth Spacing: Change FP method to Injectable*"),
    COUNTIFS('QA Log'!D:D,A338,'QA Log'!M:M,"Vignette",'QA Log'!Z:Z,"Rejected",'QA Log'!L:L,"*Vignette [10] Post Partum Haemorrhage - Atonic Uterus at Health Centre*")
  )
)</f>
        <v/>
      </c>
      <c r="BN338" s="107" t="str">
        <f t="shared" si="37"/>
        <v/>
      </c>
      <c r="BO338" s="103" t="str">
        <f t="shared" si="38"/>
        <v/>
      </c>
      <c r="BP338" s="102" t="str">
        <f>IF(A338="","",SUM(
COUNTIFS('QA Log'!D:D,A338,'QA Log'!M:M,"Vignette",'QA Log'!L:L,"*Exit Interview 1*"),
COUNTIFS('QA Log'!D:D,A338,'QA Log'!M:M,"Vignette",'QA Log'!L:L,"*Exit Interview 2*"),
)
)</f>
        <v/>
      </c>
      <c r="BQ338" s="102" t="str">
        <f>IF(
  A338="","",
  SUM(
    COUNTIFS('QA Log'!D:D,A338,'QA Log'!M:M,"Vignette",'QA Log'!Z:Z,"Approved",'QA Log'!L:L,"*Exit Interview 1*"),
    COUNTIFS('QA Log'!D:D,A338,'QA Log'!M:M,"Vignette",'QA Log'!Z:Z,"Approved",'QA Log'!L:L,"*Exit Interview 2*")
  )
)</f>
        <v/>
      </c>
      <c r="BR338" s="105" t="str">
        <f>IF(A338&lt;&gt;"",COUNTIFS('QA Log'!D:D,A338,'QA Log'!M:M,"Vignette",'QA Log'!L:L,"Exit Interview 1",'QA Log'!Z:Z,"Approved"),"")</f>
        <v/>
      </c>
      <c r="BS338" s="105" t="str">
        <f>IF(A338&lt;&gt;"",COUNTIFS('QA Log'!D:D,A338,'QA Log'!M:M,"Vignette",'QA Log'!L:L,"Exit Interview 2",'QA Log'!Z:Z,"Approved"),"")</f>
        <v/>
      </c>
      <c r="BT338" s="102" t="str">
        <f>IF(
  A338="","",
  SUM(
    COUNTIFS('QA Log'!D:D,A338,'QA Log'!M:M,"Vignette",'QA Log'!Z:Z,"Rejected",'QA Log'!L:L,"*Exit Interview 1*"),
    COUNTIFS('QA Log'!D:D,A338,'QA Log'!M:M,"Vignette",'QA Log'!Z:Z,"Rejected",'QA Log'!L:L,"*Exit Interview 2*")
  )
)</f>
        <v/>
      </c>
      <c r="BU338" s="107" t="str">
        <f t="shared" si="39"/>
        <v/>
      </c>
      <c r="BV338" s="102" t="str">
        <f t="shared" si="40"/>
        <v/>
      </c>
      <c r="BW338" s="102" t="str">
        <f t="shared" si="41"/>
        <v/>
      </c>
      <c r="BX338" s="102" t="str">
        <f t="shared" si="42"/>
        <v/>
      </c>
      <c r="BY338" s="102" t="str">
        <f t="shared" si="43"/>
        <v/>
      </c>
      <c r="BZ338" s="107" t="str">
        <f t="shared" si="44"/>
        <v/>
      </c>
      <c r="CA338" s="108" t="str">
        <f t="shared" si="45"/>
        <v/>
      </c>
      <c r="CB338" s="108" t="str">
        <f t="shared" si="46"/>
        <v/>
      </c>
      <c r="CC338" s="109" t="str">
        <f t="shared" si="47"/>
        <v/>
      </c>
      <c r="CD338" s="108" t="str">
        <f t="shared" si="48"/>
        <v/>
      </c>
      <c r="CE338" s="108" t="str">
        <f t="shared" si="49"/>
        <v/>
      </c>
      <c r="CF338" s="109" t="str">
        <f t="shared" si="50"/>
        <v/>
      </c>
      <c r="CG338" s="110" t="str">
        <f t="shared" si="51"/>
        <v/>
      </c>
      <c r="CH338" s="111"/>
    </row>
    <row r="339" spans="1:86" ht="12.75">
      <c r="A339" s="101"/>
      <c r="B339" s="102" t="e">
        <f t="array" aca="1" ref="B339" ca="1">_xludf.XLOOKUP(A339,'QA Log'!D:D,'QA Log'!E:E,"")</f>
        <v>#NAME?</v>
      </c>
      <c r="C339" s="102" t="e">
        <f t="array" aca="1" ref="C339" ca="1">_xludf.XLOOKUP(A339,'QA Log'!D:D,'QA Log'!F:F,"")</f>
        <v>#NAME?</v>
      </c>
      <c r="D339" s="102" t="e">
        <f t="array" aca="1" ref="D339" ca="1">_xludf.XLOOKUP(A339,'QA Log'!D:D,'QA Log'!H:H,"")</f>
        <v>#NAME?</v>
      </c>
      <c r="E339" s="102" t="e">
        <f t="array" aca="1" ref="E339" ca="1">_xludf.XLOOKUP(A339,'QA Log'!D:D,'QA Log'!G:G,"")</f>
        <v>#NAME?</v>
      </c>
      <c r="F339" s="103"/>
      <c r="G339" s="104"/>
      <c r="H339" s="104"/>
      <c r="I339" s="103" t="str">
        <f t="shared" si="26"/>
        <v/>
      </c>
      <c r="J339" s="102" t="str">
        <f>IF(A339="","",SUM(
COUNTIFS('QA Log'!D:D,A339,'QA Log'!M:M,"QQC",'QA Log'!L:L,"*1. General Management*"),
COUNTIFS('QA Log'!D:D,A339,'QA Log'!M:M,"QQC",'QA Log'!L:L,"*3. Curative Consultation (OPD)*"),
COUNTIFS('QA Log'!D:D,A339,'QA Log'!M:M,"QQC",'QA Log'!L:L,"*5. Laboratory*"),
COUNTIFS('QA Log'!D:D,A339,'QA Log'!M:M,"QQC",'QA Log'!L:L,"*6. Essential Medicine Management*"),
COUNTIFS('QA Log'!D:D,A339,'QA Log'!M:M,"QQC",'QA Log'!L:L,"*7. Tracer Medicine*"),
COUNTIFS('QA Log'!D:D,A339,'QA Log'!M:M,"QQC",'QA Log'!L:L,"*11. Additional Questions*")))</f>
        <v/>
      </c>
      <c r="K339" s="102" t="str">
        <f>IF(A339="","",SUM(
COUNTIFS('QA Log'!D:D,A339,'QA Log'!M:M,"QQC",'QA Log'!Z:Z,"Approved",'QA Log'!L:L,"*1. General Management*"),
COUNTIFS('QA Log'!D:D,A339,'QA Log'!M:M,"QQC",'QA Log'!Z:Z,"Approved",'QA Log'!L:L,"*3. Curative Consultation (OPD)*"),
COUNTIFS('QA Log'!D:D,A339,'QA Log'!M:M,"QQC",'QA Log'!Z:Z,"Approved",'QA Log'!L:L,"*5. Laboratory*"),
COUNTIFS('QA Log'!D:D,A339,'QA Log'!M:M,"QQC",'QA Log'!Z:Z,"Approved",'QA Log'!L:L,"*6. Essential Medicine Management*"),
COUNTIFS('QA Log'!D:D,A339,'QA Log'!M:M,"QQC",'QA Log'!Z:Z,"Approved",'QA Log'!L:L,"*7. Tracer Medicine*"),
COUNTIFS('QA Log'!D:D,A339,'QA Log'!M:M,"QQC",'QA Log'!Z:Z,"Approved",'QA Log'!L:L,"*11. Additional Questions*")))</f>
        <v/>
      </c>
      <c r="L339" s="105" t="str">
        <f>IF(A339&lt;&gt;"",COUNTIFS('QA Log'!D:D,A339,'QA Log'!M:M,"QQC",'QA Log'!L:L,"1. General Management",'QA Log'!Z:Z,"Approved"),"")</f>
        <v/>
      </c>
      <c r="M339" s="105" t="str">
        <f>IF(A339&lt;&gt;"",COUNTIFS('QA Log'!D:D,A339,'QA Log'!M:M,"QQC",'QA Log'!L:L,"3. Curative Consultation (OPD)",'QA Log'!Z:Z,"Approved"),"")</f>
        <v/>
      </c>
      <c r="N339" s="105" t="str">
        <f>IF(A339&lt;&gt;"",COUNTIFS('QA Log'!D:D,A339,'QA Log'!M:M,"QQC",'QA Log'!L:L,"5. Laboratory",'QA Log'!Z:Z,"Approved"),"")</f>
        <v/>
      </c>
      <c r="O339" s="105" t="str">
        <f>IF(A339&lt;&gt;"",COUNTIFS('QA Log'!D:D,A339,'QA Log'!M:M,"QQC",'QA Log'!L:L,"6. Essential Medicine Management",'QA Log'!Z:Z,"Approved"),"")</f>
        <v/>
      </c>
      <c r="P339" s="105" t="str">
        <f>IF(A339&lt;&gt;"",COUNTIFS('QA Log'!D:D,A339,'QA Log'!M:M,"QQC",'QA Log'!L:L,"7. Tracer Medicine",'QA Log'!Z:Z,"Approved"),"")</f>
        <v/>
      </c>
      <c r="Q339" s="105" t="str">
        <f>IF(A339&lt;&gt;"",COUNTIFS('QA Log'!D:D,A339,'QA Log'!M:M,"QQC",'QA Log'!L:L,"11. Additional Questions",'QA Log'!Z:Z,"Approved"),"")</f>
        <v/>
      </c>
      <c r="R339" s="102" t="str">
        <f>IF(A339="","",SUM(
COUNTIFS('QA Log'!D:D,A339,'QA Log'!M:M,"QQC",'QA Log'!Z:Z,"Rejected",'QA Log'!L:L,"*8. Maternity*"),
COUNTIFS('QA Log'!D:D,A339,'QA Log'!M:M,"QQC",'QA Log'!Z:Z,"Rejected",'QA Log'!L:L,"*EPI*"),
COUNTIFS('QA Log'!D:D,A339,'QA Log'!M:M,"QQC",'QA Log'!Z:Z,"Rejected",'QA Log'!L:L,"*10. Antenatal Care (ANC)*"),
COUNTIFS('QA Log'!D:D,A339,'QA Log'!M:M,"QQC",'QA Log'!Z:Z,"Rejected",'QA Log'!L:L,"*2. Hygiene and Sterilization*"),
COUNTIFS('QA Log'!D:D,A339,'QA Log'!M:M,"QQC",'QA Log'!Z:Z,"Rejected",'QA Log'!L:L,"*Family Planning*")))</f>
        <v/>
      </c>
      <c r="S339" s="106" t="str">
        <f t="shared" si="27"/>
        <v/>
      </c>
      <c r="T339" s="102" t="str">
        <f t="shared" si="28"/>
        <v/>
      </c>
      <c r="U339" s="102" t="str">
        <f>IF(A339="","",
SUM(
COUNTIFS('QA Log'!D:D,A339,'QA Log'!M:M,"QQC",'QA Log'!L:L,"*8. Maternity*"),
COUNTIFS('QA Log'!D:D,A339,'QA Log'!M:M,"QQC",'QA Log'!L:L,"*9. EPI and Pre-school Consultation*"),
COUNTIFS('QA Log'!D:D,A339,'QA Log'!M:M,"QQC",'QA Log'!L:L,"*10. Antenatal Care (ANC)*"),
COUNTIFS('QA Log'!D:D,A339,'QA Log'!M:M,"QQC",'QA Log'!L:L,"*2. Hygiene and Sterilization*"),
COUNTIFS('QA Log'!D:D,A339,'QA Log'!M:M,"QQC",'QA Log'!L:L,"*4. Family Planning*")
))</f>
        <v/>
      </c>
      <c r="V339" s="102" t="str">
        <f>IF(A339="","",
SUM(
COUNTIFS('QA Log'!D:D,A339,'QA Log'!M:M,"QQC",'QA Log'!Z:Z,"Approved",'QA Log'!L:L,"*8. Maternity*"),
COUNTIFS('QA Log'!D:D,A339,'QA Log'!M:M,"QQC",'QA Log'!Z:Z,"Approved",'QA Log'!L:L,"*9. EPI and Pre-school Consultation*"),
COUNTIFS('QA Log'!D:D,A339,'QA Log'!M:M,"QQC",'QA Log'!Z:Z,"Approved",'QA Log'!L:L,"*10. Antenatal Care (ANC)*"),
COUNTIFS('QA Log'!D:D,A339,'QA Log'!M:M,"QQC",'QA Log'!Z:Z,"Approved",'QA Log'!L:L,"*2. Hygiene and Sterilization*"),
COUNTIFS('QA Log'!D:D,A339,'QA Log'!M:M,"QQC",'QA Log'!Z:Z,"Approved",'QA Log'!L:L,"*4. Family Planning*")
))</f>
        <v/>
      </c>
      <c r="W339" s="105" t="str">
        <f>IF(A339&lt;&gt;"",COUNTIFS('QA Log'!D:D,A339,'QA Log'!M:M,"QQC",'QA Log'!L:L,"8. Maternity",'QA Log'!Z:Z,"Approved"),"")</f>
        <v/>
      </c>
      <c r="X339" s="105" t="str">
        <f>IF(A339&lt;&gt;"",COUNTIFS('QA Log'!D:D,A339,'QA Log'!M:M,"QQC",'QA Log'!L:L,"9. EPI and Pre-school Consultation",'QA Log'!Z:Z,"Approved"),"")</f>
        <v/>
      </c>
      <c r="Y339" s="105" t="str">
        <f>IF(A339&lt;&gt;"",COUNTIFS('QA Log'!D:D,A339,'QA Log'!M:M,"QQC",'QA Log'!L:L,"10. Antenatal Care (ANC)",'QA Log'!Z:Z,"Approved"),"")</f>
        <v/>
      </c>
      <c r="Z339" s="105" t="str">
        <f>IF(A339&lt;&gt;"",COUNTIFS('QA Log'!D:D,A339,'QA Log'!M:M,"QQC",'QA Log'!L:L,"2. Hygiene and Sterilization",'QA Log'!Z:Z,"Approved"),"")</f>
        <v/>
      </c>
      <c r="AA339" s="105" t="str">
        <f>IF(A339&lt;&gt;"",COUNTIFS('QA Log'!D:D,A339,'QA Log'!M:M,"QQC",'QA Log'!L:L,"4. Family Planning",'QA Log'!Z:Z,"Approved"),"")</f>
        <v/>
      </c>
      <c r="AB339" s="102" t="str">
        <f>IF(A339="","",
SUM(
COUNTIFS('QA Log'!D:D,A339,'QA Log'!M:M,"QQC",'QA Log'!Z:Z,"Rejected",'QA Log'!L:L,"*8. Maternity*"),
COUNTIFS('QA Log'!D:D,A339,'QA Log'!M:M,"QQC",'QA Log'!Z:Z,"Rejected",'QA Log'!L:L,"*9. EPI and Pre-school Consultation*"),
COUNTIFS('QA Log'!D:D,A339,'QA Log'!M:M,"QQC",'QA Log'!Z:Z,"Rejected",'QA Log'!L:L,"*10. Antenatal Care (ANC)*"),
COUNTIFS('QA Log'!D:D,A339,'QA Log'!M:M,"QQC",'QA Log'!Z:Z,"Rejected",'QA Log'!L:L,"*2. Hygiene and Sterilization*"),
COUNTIFS('QA Log'!D:D,A339,'QA Log'!M:M,"QQC",'QA Log'!Z:Z,"Rejected",'QA Log'!L:L,"*4. Family Planning*")
))</f>
        <v/>
      </c>
      <c r="AC339" s="102" t="str">
        <f t="shared" si="29"/>
        <v/>
      </c>
      <c r="AD339" s="103" t="str">
        <f t="shared" si="30"/>
        <v/>
      </c>
      <c r="AE339" s="102" t="str">
        <f>IF(A339="","",
SUM(
COUNTIFS('QA Log'!D:D,A339,'QA Log'!M:M,"Data Verification",'QA Log'!L:L,"*Medicine (section 2)*"),
COUNTIFS('QA Log'!D:D,A339,'QA Log'!M:M,"Data Verification",'QA Log'!L:L,"*Lab Testing Availability*"),
COUNTIFS('QA Log'!D:D,A339,'QA Log'!M:M,"Data Verification",'QA Log'!L:L,"*Other than P4P (section 6)*"),
COUNTIFS('QA Log'!D:D,A339,'QA Log'!M:M,"Data Verification",'QA Log'!L:L,"*Hospital Governance*")
))</f>
        <v/>
      </c>
      <c r="AF339" s="102" t="str">
        <f>IF(A339="","",
SUM(
COUNTIFS('QA Log'!D:D,A339,'QA Log'!M:M,"Data Verification",'QA Log'!Z:Z,"Approved",'QA Log'!L:L,"*Medicine (section 2)*"),
COUNTIFS('QA Log'!D:D,A339,'QA Log'!M:M,"Data Verification",'QA Log'!Z:Z,"Approved",'QA Log'!L:L,"*Lab Testing Availability*"),
COUNTIFS('QA Log'!D:D,A339,'QA Log'!M:M,"Data Verification",'QA Log'!Z:Z,"Approved",'QA Log'!L:L,"*Other than P4P (section 6)*"),
COUNTIFS('QA Log'!D:D,A339,'QA Log'!M:M,"Data Verification",'QA Log'!Z:Z,"Approved",'QA Log'!L:L,"*Hospital Governance*")
))</f>
        <v/>
      </c>
      <c r="AG339" s="105" t="str">
        <f>IF(A339&lt;&gt;"",COUNTIFS('QA Log'!D:D,A339,'QA Log'!M:M,"Data Verification",'QA Log'!L:L,"Medicine (section 2)",'QA Log'!Z:Z,"Approved"),"")</f>
        <v/>
      </c>
      <c r="AH339" s="105" t="str">
        <f>IF(A339&lt;&gt;"",COUNTIFS('QA Log'!D:D,A339,'QA Log'!M:M,"Data Verification",'QA Log'!L:L,"Lab Testing Availability",'QA Log'!Z:Z,"Approved"),"")</f>
        <v/>
      </c>
      <c r="AI339" s="105" t="str">
        <f>IF(A339&lt;&gt;"",COUNTIFS('QA Log'!D:D,A339,'QA Log'!M:M,"Data Verification",'QA Log'!L:L,"Other than P4P (section 6)",'QA Log'!Z:Z,"Approved"),"")</f>
        <v/>
      </c>
      <c r="AJ339" s="105" t="str">
        <f>IF(A339&lt;&gt;"",COUNTIFS('QA Log'!D:D,A339,'QA Log'!M:M,"Data Verification",'QA Log'!L:L,"Hospital Governance",'QA Log'!Z:Z,"Approved"),"")</f>
        <v/>
      </c>
      <c r="AK339" s="102" t="str">
        <f>IF(A339="","",
SUM(
COUNTIFS('QA Log'!D:D,A339,'QA Log'!M:M,"Data Verification",'QA Log'!Z:Z,"Rejected",'QA Log'!L:L,"*Medicine (section 2)*"),
COUNTIFS('QA Log'!D:D,A339,'QA Log'!M:M,"Data Verification",'QA Log'!Z:Z,"Rejected",'QA Log'!L:L,"*Lab Testing Availability*"),
COUNTIFS('QA Log'!D:D,A339,'QA Log'!M:M,"Data Verification",'QA Log'!Z:Z,"Rejected",'QA Log'!L:L,"*Other than P4P (section 6)*"),
COUNTIFS('QA Log'!D:D,A339,'QA Log'!M:M,"Data Verification",'QA Log'!Z:Z,"Rejected",'QA Log'!L:L,"*Hospital Governance*")
))</f>
        <v/>
      </c>
      <c r="AL339" s="106" t="str">
        <f t="shared" si="31"/>
        <v/>
      </c>
      <c r="AM339" s="102" t="str">
        <f t="shared" si="32"/>
        <v/>
      </c>
      <c r="AN339" s="102" t="str">
        <f>IF(A339="","",
SUM(
COUNTIFS('QA Log'!D:D,A339,'QA Log'!M:M,"Data Verification",'QA Log'!L:L,"*Personnel (section 1)*"),
COUNTIFS('QA Log'!D:D,A339,'QA Log'!M:M,"Data Verification",'QA Log'!L:L,"*Consumable (section 3)*"),
COUNTIFS('QA Log'!D:D,A339,'QA Log'!M:M,"Data Verification",'QA Log'!L:L,"*Equipments (section 4)*")
))</f>
        <v/>
      </c>
      <c r="AO339" s="102" t="str">
        <f>IF(A339="","",
SUM(
COUNTIFS('QA Log'!D:D,A339,'QA Log'!M:M,"Data Verification",'QA Log'!Z:Z,"Approved",'QA Log'!L:L,"*Personnel (section 1)*"),
COUNTIFS('QA Log'!D:D,A339,'QA Log'!M:M,"Data Verification",'QA Log'!Z:Z,"Approved",'QA Log'!L:L,"*Consumable (section 3)*"),
COUNTIFS('QA Log'!D:D,A339,'QA Log'!M:M,"Data Verification",'QA Log'!Z:Z,"Approved",'QA Log'!L:L,"*Equipments (section 4)*")
))</f>
        <v/>
      </c>
      <c r="AP339" s="105" t="str">
        <f>IF(A339&lt;&gt;"",COUNTIFS('QA Log'!D:D,A339,'QA Log'!M:M,"Data Verification",'QA Log'!L:L,"Personnel (section 1)",'QA Log'!Z:Z,"Approved"),"")</f>
        <v/>
      </c>
      <c r="AQ339" s="105" t="str">
        <f>IF(A339&lt;&gt;"",COUNTIFS('QA Log'!D:D,A339,'QA Log'!M:M,"Data Verification",'QA Log'!L:L,"Consumable (section 3)",'QA Log'!Z:Z,"Approved"),"")</f>
        <v/>
      </c>
      <c r="AR339" s="105" t="str">
        <f>IF(A339&lt;&gt;"",COUNTIFS('QA Log'!D:D,A339,'QA Log'!M:M,"Data Verification",'QA Log'!L:L,"Equipments (section 4)",'QA Log'!Z:Z,"Approved"),"")</f>
        <v/>
      </c>
      <c r="AS339" s="102" t="str">
        <f>IF(A339="","",
SUM(
COUNTIFS('QA Log'!D:D,A339,'QA Log'!M:M,"Data Verification",'QA Log'!Z:Z,"Rejected",'QA Log'!L:L,"*Personnel (section 1)*"),
COUNTIFS('QA Log'!D:D,A339,'QA Log'!M:M,"Data Verification",'QA Log'!Z:Z,"Rejected",'QA Log'!L:L,"*Consumable (section 3)*"),
COUNTIFS('QA Log'!D:D,A339,'QA Log'!M:M,"Data Verification",'QA Log'!Z:Z,"Rejected",'QA Log'!L:L,"*Equipments (section 4)*")
))</f>
        <v/>
      </c>
      <c r="AT339" s="102" t="str">
        <f t="shared" si="33"/>
        <v/>
      </c>
      <c r="AU339" s="103" t="str">
        <f t="shared" si="34"/>
        <v/>
      </c>
      <c r="AV339" s="102" t="str">
        <f>IF(A339="","",SUM(
COUNTIFS('QA Log'!D:D,A339,'QA Log'!M:M,"Vignette",'QA Log'!L:L,"*Vignette [1] Respiratory Infection: Pneumonia*"),
COUNTIFS('QA Log'!D:D,A339,'QA Log'!M:M,"Vignette",'QA Log'!L:L,"*Vignette [2]: Diarrhea with Cat B dehydration*"),
COUNTIFS('QA Log'!D:D,A339,'QA Log'!M:M,"Vignette",'QA Log'!L:L,"*Vignette [3] Growth Monitoring and Promotion*"),
COUNTIFS('QA Log'!D:D,A339,'QA Log'!M:M,"Vignette",'QA Log'!L:L,"*Vignette [4]: The management of presumptive TB patient*")
)
)</f>
        <v/>
      </c>
      <c r="AW339" s="102" t="str">
        <f>IF(
  A339="","",
  SUM(
    COUNTIFS('QA Log'!D:D,A339,'QA Log'!M:M,"Vignette",'QA Log'!Z:Z,"Approved",'QA Log'!L:L,"*Vignette [1] Respiratory Infection: Pneumonia*"),
    COUNTIFS('QA Log'!D:D,A339,'QA Log'!M:M,"Vignette",'QA Log'!Z:Z,"Approved",'QA Log'!L:L,"*Vignette [2]: Diarrhea with Cat B dehydration*"),
    COUNTIFS('QA Log'!D:D,A339,'QA Log'!M:M,"Vignette",'QA Log'!Z:Z,"Approved",'QA Log'!L:L,"*Vignette [3] Growth Monitoring and Promotion*"),
    COUNTIFS('QA Log'!D:D,A339,'QA Log'!M:M,"Vignette",'QA Log'!Z:Z,"Approved",'QA Log'!L:L,"*Vignette [4]: The management of presumptive TB patient*")
  )
)</f>
        <v/>
      </c>
      <c r="AX339" s="105" t="str">
        <f>IF(A339&lt;&gt;"",COUNTIFS('QA Log'!D:D,A339,'QA Log'!M:M,"Vignette",'QA Log'!L:L,"Vignette [1] Respiratory Infection: Pneumonia",'QA Log'!Z:Z,"Approved"),"")</f>
        <v/>
      </c>
      <c r="AY339" s="105" t="str">
        <f>IF(A339&lt;&gt;"",COUNTIFS('QA Log'!D:D,A339,'QA Log'!M:M,"Vignette",'QA Log'!L:L,"Vignette [2]: Diarrhea with Cat B dehydration",'QA Log'!Z:Z,"Approved"),"")</f>
        <v/>
      </c>
      <c r="AZ339" s="105" t="str">
        <f>IF(A339&lt;&gt;"",COUNTIFS('QA Log'!D:D,A339,'QA Log'!M:M,"Vignette",'QA Log'!L:L,"Vignette [3] Growth Monitoring and Promotion",'QA Log'!Z:Z,"Approved"),"")</f>
        <v/>
      </c>
      <c r="BA339" s="105" t="str">
        <f>IF(A339&lt;&gt;"",COUNTIFS('QA Log'!D:D,A339,'QA Log'!M:M,"Vignette",'QA Log'!L:L,"Vignette [4]: The management of presumptive TB patient",'QA Log'!Z:Z,"Approved"),"")</f>
        <v/>
      </c>
      <c r="BB339" s="102" t="str">
        <f>IF(A339="","",
  SUM(
    COUNTIFS('QA Log'!D:D,A339,'QA Log'!M:M,"Vignette",'QA Log'!Z:Z,"Rejected",'QA Log'!L:L,"*Vignette [1] Respiratory Infection: Pneumonia*"),
    COUNTIFS('QA Log'!D:D,A339,'QA Log'!M:M,"Vignette",'QA Log'!Z:Z,"Rejected",'QA Log'!L:L,"*Vignette [2]: Diarrhea with Cat B dehydration*"),
    COUNTIFS('QA Log'!D:D,A339,'QA Log'!M:M,"Vignette",'QA Log'!Z:Z,"Rejected",'QA Log'!L:L,"*Vignette [3] Growth Monitoring and Promotion*"),
    COUNTIFS('QA Log'!D:D,A339,'QA Log'!M:M,"Vignette",'QA Log'!Z:Z,"Rejected",'QA Log'!L:L,"*Vignette [4]: The management of presumptive TB patient*")
  )
)</f>
        <v/>
      </c>
      <c r="BC339" s="107" t="str">
        <f t="shared" si="35"/>
        <v/>
      </c>
      <c r="BD339" s="103" t="str">
        <f t="shared" si="36"/>
        <v/>
      </c>
      <c r="BE339" s="102" t="str">
        <f>IF(A339="","",SUM(
COUNTIFS('QA Log'!D:D,A339,'QA Log'!M:M,"Vignette",'QA Log'!L:L,"*Vignette [5] Labor*"),
COUNTIFS('QA Log'!D:D,A339,'QA Log'!M:M,"Vignette",'QA Log'!L:L,"*Vignette [6] PNC pre Discharge*"),
COUNTIFS('QA Log'!D:D,A339,'QA Log'!M:M,"Vignette",'QA Log'!L:L,"*Vignette [7] First ANC Visit*"),
COUNTIFS('QA Log'!D:D,A339,'QA Log'!M:M,"Vignette",'QA Log'!L:L,"*Vignette [8] Birth Spacing/ Family Planning :  FP Counselling*"),
COUNTIFS('QA Log'!D:D,A339,'QA Log'!M:M,"Vignette",'QA Log'!L:L,"*Vignette [9] Birth Spacing: Change FP method to Injectable*"),
COUNTIFS('QA Log'!D:D,A339,'QA Log'!M:M,"Vignette",'QA Log'!L:L,"*Vignette [10] Post Partum Haemorrhage - Atonic Uterus at Health Centre*"),
)
)</f>
        <v/>
      </c>
      <c r="BF339" s="102" t="str">
        <f>IF(A339="","",
  SUM(
    COUNTIFS('QA Log'!D:D,A339,'QA Log'!M:M,"Vignette",'QA Log'!Z:Z,"Approved",'QA Log'!L:L,"*Vignette [5] Labor*"),
    COUNTIFS('QA Log'!D:D,A339,'QA Log'!M:M,"Vignette",'QA Log'!Z:Z,"Approved",'QA Log'!L:L,"*Vignette [6] PNC pre Discharge*"),
    COUNTIFS('QA Log'!D:D,A339,'QA Log'!M:M,"Vignette",'QA Log'!Z:Z,"Approved",'QA Log'!L:L,"*Vignette [7] First ANC Visit*"),
    COUNTIFS('QA Log'!D:D,A339,'QA Log'!M:M,"Vignette",'QA Log'!Z:Z,"Approved",'QA Log'!L:L,"*Vignette [8] Birth Spacing/ Family Planning :  FP Counselling*"),
    COUNTIFS('QA Log'!D:D,A339,'QA Log'!M:M,"Vignette",'QA Log'!Z:Z,"Approved",'QA Log'!L:L,"*Vignette [9] Birth Spacing: Change FP method to Injectable*"),
    COUNTIFS('QA Log'!D:D,A339,'QA Log'!M:M,"Vignette",'QA Log'!Z:Z,"Approved",'QA Log'!L:L,"*Vignette [10] Post Partum Haemorrhage - Atonic Uterus at Health Centre*")
  )
)</f>
        <v/>
      </c>
      <c r="BG339" s="105" t="str">
        <f>IF(A339&lt;&gt;"",COUNTIFS('QA Log'!D:D,A339,'QA Log'!M:M,"Vignette",'QA Log'!L:L,"Vignette [5] Labor",'QA Log'!Z:Z,"Approved"),"")</f>
        <v/>
      </c>
      <c r="BH339" s="105" t="str">
        <f>IF(A339&lt;&gt;"",COUNTIFS('QA Log'!D:D,A339,'QA Log'!M:M,"Vignette",'QA Log'!L:L,"Vignette [6] PNC pre Discharge",'QA Log'!Z:Z,"Approved"),"")</f>
        <v/>
      </c>
      <c r="BI339" s="105" t="str">
        <f>IF(A339&lt;&gt;"",COUNTIFS('QA Log'!D:D,A339,'QA Log'!M:M,"Vignette",'QA Log'!L:L,"Vignette [7] First ANC Visit",'QA Log'!Z:Z,"Approved"),"")</f>
        <v/>
      </c>
      <c r="BJ339" s="105" t="str">
        <f>IF(A339&lt;&gt;"",COUNTIFS('QA Log'!D:D,A339,'QA Log'!M:M,"Vignette",'QA Log'!L:L,"Vignette [8] Birth Spacing/ Family Planning :  FP Counselling",'QA Log'!Z:Z,"Approved"),"")</f>
        <v/>
      </c>
      <c r="BK339" s="105" t="str">
        <f>IF(A339&lt;&gt;"",COUNTIFS('QA Log'!D:D,A339,'QA Log'!M:M,"Vignette",'QA Log'!L:L,"Vignette [9] Birth Spacing: Change FP method to Injectable",'QA Log'!Z:Z,"Approved"),"")</f>
        <v/>
      </c>
      <c r="BL339" s="105" t="str">
        <f>IF(A339&lt;&gt;"",COUNTIFS('QA Log'!D:D,A339,'QA Log'!M:M,"Vignette",'QA Log'!L:L,"Vignette [10] Post Partum Haemorrhage - Atonic Uterus at Health Centre",'QA Log'!Z:Z,"Approved"),"")</f>
        <v/>
      </c>
      <c r="BM339" s="102" t="str">
        <f>IF(A339="","",SUM(
    COUNTIFS('QA Log'!D:D,A339,'QA Log'!M:M,"Vignette",'QA Log'!Z:Z,"Rejected",'QA Log'!L:L,"*Vignette [5] Labor*"),
    COUNTIFS('QA Log'!D:D,A339,'QA Log'!M:M,"Vignette",'QA Log'!Z:Z,"Rejected",'QA Log'!L:L,"*Vignette [6] PNC pre Discharge*"),
    COUNTIFS('QA Log'!D:D,A339,'QA Log'!M:M,"Vignette",'QA Log'!Z:Z,"Rejected",'QA Log'!L:L,"*Vignette [7] First ANC Visit*"),
    COUNTIFS('QA Log'!D:D,A339,'QA Log'!M:M,"Vignette",'QA Log'!Z:Z,"Rejected",'QA Log'!L:L,"*Vignette [8] Birth Spacing/ Family Planning :  FP Counselling*"),
    COUNTIFS('QA Log'!D:D,A339,'QA Log'!M:M,"Vignette",'QA Log'!Z:Z,"Rejected",'QA Log'!L:L,"*Vignette [9] Birth Spacing: Change FP method to Injectable*"),
    COUNTIFS('QA Log'!D:D,A339,'QA Log'!M:M,"Vignette",'QA Log'!Z:Z,"Rejected",'QA Log'!L:L,"*Vignette [10] Post Partum Haemorrhage - Atonic Uterus at Health Centre*")
  )
)</f>
        <v/>
      </c>
      <c r="BN339" s="107" t="str">
        <f t="shared" si="37"/>
        <v/>
      </c>
      <c r="BO339" s="103" t="str">
        <f t="shared" si="38"/>
        <v/>
      </c>
      <c r="BP339" s="102" t="str">
        <f>IF(A339="","",SUM(
COUNTIFS('QA Log'!D:D,A339,'QA Log'!M:M,"Vignette",'QA Log'!L:L,"*Exit Interview 1*"),
COUNTIFS('QA Log'!D:D,A339,'QA Log'!M:M,"Vignette",'QA Log'!L:L,"*Exit Interview 2*"),
)
)</f>
        <v/>
      </c>
      <c r="BQ339" s="102" t="str">
        <f>IF(
  A339="","",
  SUM(
    COUNTIFS('QA Log'!D:D,A339,'QA Log'!M:M,"Vignette",'QA Log'!Z:Z,"Approved",'QA Log'!L:L,"*Exit Interview 1*"),
    COUNTIFS('QA Log'!D:D,A339,'QA Log'!M:M,"Vignette",'QA Log'!Z:Z,"Approved",'QA Log'!L:L,"*Exit Interview 2*")
  )
)</f>
        <v/>
      </c>
      <c r="BR339" s="105" t="str">
        <f>IF(A339&lt;&gt;"",COUNTIFS('QA Log'!D:D,A339,'QA Log'!M:M,"Vignette",'QA Log'!L:L,"Exit Interview 1",'QA Log'!Z:Z,"Approved"),"")</f>
        <v/>
      </c>
      <c r="BS339" s="105" t="str">
        <f>IF(A339&lt;&gt;"",COUNTIFS('QA Log'!D:D,A339,'QA Log'!M:M,"Vignette",'QA Log'!L:L,"Exit Interview 2",'QA Log'!Z:Z,"Approved"),"")</f>
        <v/>
      </c>
      <c r="BT339" s="102" t="str">
        <f>IF(
  A339="","",
  SUM(
    COUNTIFS('QA Log'!D:D,A339,'QA Log'!M:M,"Vignette",'QA Log'!Z:Z,"Rejected",'QA Log'!L:L,"*Exit Interview 1*"),
    COUNTIFS('QA Log'!D:D,A339,'QA Log'!M:M,"Vignette",'QA Log'!Z:Z,"Rejected",'QA Log'!L:L,"*Exit Interview 2*")
  )
)</f>
        <v/>
      </c>
      <c r="BU339" s="107" t="str">
        <f t="shared" si="39"/>
        <v/>
      </c>
      <c r="BV339" s="102" t="str">
        <f t="shared" si="40"/>
        <v/>
      </c>
      <c r="BW339" s="102" t="str">
        <f t="shared" si="41"/>
        <v/>
      </c>
      <c r="BX339" s="102" t="str">
        <f t="shared" si="42"/>
        <v/>
      </c>
      <c r="BY339" s="102" t="str">
        <f t="shared" si="43"/>
        <v/>
      </c>
      <c r="BZ339" s="107" t="str">
        <f t="shared" si="44"/>
        <v/>
      </c>
      <c r="CA339" s="108" t="str">
        <f t="shared" si="45"/>
        <v/>
      </c>
      <c r="CB339" s="108" t="str">
        <f t="shared" si="46"/>
        <v/>
      </c>
      <c r="CC339" s="109" t="str">
        <f t="shared" si="47"/>
        <v/>
      </c>
      <c r="CD339" s="108" t="str">
        <f t="shared" si="48"/>
        <v/>
      </c>
      <c r="CE339" s="108" t="str">
        <f t="shared" si="49"/>
        <v/>
      </c>
      <c r="CF339" s="109" t="str">
        <f t="shared" si="50"/>
        <v/>
      </c>
      <c r="CG339" s="110" t="str">
        <f t="shared" si="51"/>
        <v/>
      </c>
      <c r="CH339" s="111"/>
    </row>
    <row r="340" spans="1:86" ht="12.75">
      <c r="A340" s="101"/>
      <c r="B340" s="102" t="e">
        <f t="array" aca="1" ref="B340" ca="1">_xludf.XLOOKUP(A340,'QA Log'!D:D,'QA Log'!E:E,"")</f>
        <v>#NAME?</v>
      </c>
      <c r="C340" s="102" t="e">
        <f t="array" aca="1" ref="C340" ca="1">_xludf.XLOOKUP(A340,'QA Log'!D:D,'QA Log'!F:F,"")</f>
        <v>#NAME?</v>
      </c>
      <c r="D340" s="102" t="e">
        <f t="array" aca="1" ref="D340" ca="1">_xludf.XLOOKUP(A340,'QA Log'!D:D,'QA Log'!H:H,"")</f>
        <v>#NAME?</v>
      </c>
      <c r="E340" s="102" t="e">
        <f t="array" aca="1" ref="E340" ca="1">_xludf.XLOOKUP(A340,'QA Log'!D:D,'QA Log'!G:G,"")</f>
        <v>#NAME?</v>
      </c>
      <c r="F340" s="103"/>
      <c r="G340" s="104"/>
      <c r="H340" s="104"/>
      <c r="I340" s="103" t="str">
        <f t="shared" si="26"/>
        <v/>
      </c>
      <c r="J340" s="102" t="str">
        <f>IF(A340="","",SUM(
COUNTIFS('QA Log'!D:D,A340,'QA Log'!M:M,"QQC",'QA Log'!L:L,"*1. General Management*"),
COUNTIFS('QA Log'!D:D,A340,'QA Log'!M:M,"QQC",'QA Log'!L:L,"*3. Curative Consultation (OPD)*"),
COUNTIFS('QA Log'!D:D,A340,'QA Log'!M:M,"QQC",'QA Log'!L:L,"*5. Laboratory*"),
COUNTIFS('QA Log'!D:D,A340,'QA Log'!M:M,"QQC",'QA Log'!L:L,"*6. Essential Medicine Management*"),
COUNTIFS('QA Log'!D:D,A340,'QA Log'!M:M,"QQC",'QA Log'!L:L,"*7. Tracer Medicine*"),
COUNTIFS('QA Log'!D:D,A340,'QA Log'!M:M,"QQC",'QA Log'!L:L,"*11. Additional Questions*")))</f>
        <v/>
      </c>
      <c r="K340" s="102" t="str">
        <f>IF(A340="","",SUM(
COUNTIFS('QA Log'!D:D,A340,'QA Log'!M:M,"QQC",'QA Log'!Z:Z,"Approved",'QA Log'!L:L,"*1. General Management*"),
COUNTIFS('QA Log'!D:D,A340,'QA Log'!M:M,"QQC",'QA Log'!Z:Z,"Approved",'QA Log'!L:L,"*3. Curative Consultation (OPD)*"),
COUNTIFS('QA Log'!D:D,A340,'QA Log'!M:M,"QQC",'QA Log'!Z:Z,"Approved",'QA Log'!L:L,"*5. Laboratory*"),
COUNTIFS('QA Log'!D:D,A340,'QA Log'!M:M,"QQC",'QA Log'!Z:Z,"Approved",'QA Log'!L:L,"*6. Essential Medicine Management*"),
COUNTIFS('QA Log'!D:D,A340,'QA Log'!M:M,"QQC",'QA Log'!Z:Z,"Approved",'QA Log'!L:L,"*7. Tracer Medicine*"),
COUNTIFS('QA Log'!D:D,A340,'QA Log'!M:M,"QQC",'QA Log'!Z:Z,"Approved",'QA Log'!L:L,"*11. Additional Questions*")))</f>
        <v/>
      </c>
      <c r="L340" s="105" t="str">
        <f>IF(A340&lt;&gt;"",COUNTIFS('QA Log'!D:D,A340,'QA Log'!M:M,"QQC",'QA Log'!L:L,"1. General Management",'QA Log'!Z:Z,"Approved"),"")</f>
        <v/>
      </c>
      <c r="M340" s="105" t="str">
        <f>IF(A340&lt;&gt;"",COUNTIFS('QA Log'!D:D,A340,'QA Log'!M:M,"QQC",'QA Log'!L:L,"3. Curative Consultation (OPD)",'QA Log'!Z:Z,"Approved"),"")</f>
        <v/>
      </c>
      <c r="N340" s="105" t="str">
        <f>IF(A340&lt;&gt;"",COUNTIFS('QA Log'!D:D,A340,'QA Log'!M:M,"QQC",'QA Log'!L:L,"5. Laboratory",'QA Log'!Z:Z,"Approved"),"")</f>
        <v/>
      </c>
      <c r="O340" s="105" t="str">
        <f>IF(A340&lt;&gt;"",COUNTIFS('QA Log'!D:D,A340,'QA Log'!M:M,"QQC",'QA Log'!L:L,"6. Essential Medicine Management",'QA Log'!Z:Z,"Approved"),"")</f>
        <v/>
      </c>
      <c r="P340" s="105" t="str">
        <f>IF(A340&lt;&gt;"",COUNTIFS('QA Log'!D:D,A340,'QA Log'!M:M,"QQC",'QA Log'!L:L,"7. Tracer Medicine",'QA Log'!Z:Z,"Approved"),"")</f>
        <v/>
      </c>
      <c r="Q340" s="105" t="str">
        <f>IF(A340&lt;&gt;"",COUNTIFS('QA Log'!D:D,A340,'QA Log'!M:M,"QQC",'QA Log'!L:L,"11. Additional Questions",'QA Log'!Z:Z,"Approved"),"")</f>
        <v/>
      </c>
      <c r="R340" s="102" t="str">
        <f>IF(A340="","",SUM(
COUNTIFS('QA Log'!D:D,A340,'QA Log'!M:M,"QQC",'QA Log'!Z:Z,"Rejected",'QA Log'!L:L,"*8. Maternity*"),
COUNTIFS('QA Log'!D:D,A340,'QA Log'!M:M,"QQC",'QA Log'!Z:Z,"Rejected",'QA Log'!L:L,"*EPI*"),
COUNTIFS('QA Log'!D:D,A340,'QA Log'!M:M,"QQC",'QA Log'!Z:Z,"Rejected",'QA Log'!L:L,"*10. Antenatal Care (ANC)*"),
COUNTIFS('QA Log'!D:D,A340,'QA Log'!M:M,"QQC",'QA Log'!Z:Z,"Rejected",'QA Log'!L:L,"*2. Hygiene and Sterilization*"),
COUNTIFS('QA Log'!D:D,A340,'QA Log'!M:M,"QQC",'QA Log'!Z:Z,"Rejected",'QA Log'!L:L,"*Family Planning*")))</f>
        <v/>
      </c>
      <c r="S340" s="106" t="str">
        <f t="shared" si="27"/>
        <v/>
      </c>
      <c r="T340" s="102" t="str">
        <f t="shared" si="28"/>
        <v/>
      </c>
      <c r="U340" s="102" t="str">
        <f>IF(A340="","",
SUM(
COUNTIFS('QA Log'!D:D,A340,'QA Log'!M:M,"QQC",'QA Log'!L:L,"*8. Maternity*"),
COUNTIFS('QA Log'!D:D,A340,'QA Log'!M:M,"QQC",'QA Log'!L:L,"*9. EPI and Pre-school Consultation*"),
COUNTIFS('QA Log'!D:D,A340,'QA Log'!M:M,"QQC",'QA Log'!L:L,"*10. Antenatal Care (ANC)*"),
COUNTIFS('QA Log'!D:D,A340,'QA Log'!M:M,"QQC",'QA Log'!L:L,"*2. Hygiene and Sterilization*"),
COUNTIFS('QA Log'!D:D,A340,'QA Log'!M:M,"QQC",'QA Log'!L:L,"*4. Family Planning*")
))</f>
        <v/>
      </c>
      <c r="V340" s="102" t="str">
        <f>IF(A340="","",
SUM(
COUNTIFS('QA Log'!D:D,A340,'QA Log'!M:M,"QQC",'QA Log'!Z:Z,"Approved",'QA Log'!L:L,"*8. Maternity*"),
COUNTIFS('QA Log'!D:D,A340,'QA Log'!M:M,"QQC",'QA Log'!Z:Z,"Approved",'QA Log'!L:L,"*9. EPI and Pre-school Consultation*"),
COUNTIFS('QA Log'!D:D,A340,'QA Log'!M:M,"QQC",'QA Log'!Z:Z,"Approved",'QA Log'!L:L,"*10. Antenatal Care (ANC)*"),
COUNTIFS('QA Log'!D:D,A340,'QA Log'!M:M,"QQC",'QA Log'!Z:Z,"Approved",'QA Log'!L:L,"*2. Hygiene and Sterilization*"),
COUNTIFS('QA Log'!D:D,A340,'QA Log'!M:M,"QQC",'QA Log'!Z:Z,"Approved",'QA Log'!L:L,"*4. Family Planning*")
))</f>
        <v/>
      </c>
      <c r="W340" s="105" t="str">
        <f>IF(A340&lt;&gt;"",COUNTIFS('QA Log'!D:D,A340,'QA Log'!M:M,"QQC",'QA Log'!L:L,"8. Maternity",'QA Log'!Z:Z,"Approved"),"")</f>
        <v/>
      </c>
      <c r="X340" s="105" t="str">
        <f>IF(A340&lt;&gt;"",COUNTIFS('QA Log'!D:D,A340,'QA Log'!M:M,"QQC",'QA Log'!L:L,"9. EPI and Pre-school Consultation",'QA Log'!Z:Z,"Approved"),"")</f>
        <v/>
      </c>
      <c r="Y340" s="105" t="str">
        <f>IF(A340&lt;&gt;"",COUNTIFS('QA Log'!D:D,A340,'QA Log'!M:M,"QQC",'QA Log'!L:L,"10. Antenatal Care (ANC)",'QA Log'!Z:Z,"Approved"),"")</f>
        <v/>
      </c>
      <c r="Z340" s="105" t="str">
        <f>IF(A340&lt;&gt;"",COUNTIFS('QA Log'!D:D,A340,'QA Log'!M:M,"QQC",'QA Log'!L:L,"2. Hygiene and Sterilization",'QA Log'!Z:Z,"Approved"),"")</f>
        <v/>
      </c>
      <c r="AA340" s="105" t="str">
        <f>IF(A340&lt;&gt;"",COUNTIFS('QA Log'!D:D,A340,'QA Log'!M:M,"QQC",'QA Log'!L:L,"4. Family Planning",'QA Log'!Z:Z,"Approved"),"")</f>
        <v/>
      </c>
      <c r="AB340" s="102" t="str">
        <f>IF(A340="","",
SUM(
COUNTIFS('QA Log'!D:D,A340,'QA Log'!M:M,"QQC",'QA Log'!Z:Z,"Rejected",'QA Log'!L:L,"*8. Maternity*"),
COUNTIFS('QA Log'!D:D,A340,'QA Log'!M:M,"QQC",'QA Log'!Z:Z,"Rejected",'QA Log'!L:L,"*9. EPI and Pre-school Consultation*"),
COUNTIFS('QA Log'!D:D,A340,'QA Log'!M:M,"QQC",'QA Log'!Z:Z,"Rejected",'QA Log'!L:L,"*10. Antenatal Care (ANC)*"),
COUNTIFS('QA Log'!D:D,A340,'QA Log'!M:M,"QQC",'QA Log'!Z:Z,"Rejected",'QA Log'!L:L,"*2. Hygiene and Sterilization*"),
COUNTIFS('QA Log'!D:D,A340,'QA Log'!M:M,"QQC",'QA Log'!Z:Z,"Rejected",'QA Log'!L:L,"*4. Family Planning*")
))</f>
        <v/>
      </c>
      <c r="AC340" s="102" t="str">
        <f t="shared" si="29"/>
        <v/>
      </c>
      <c r="AD340" s="103" t="str">
        <f t="shared" si="30"/>
        <v/>
      </c>
      <c r="AE340" s="102" t="str">
        <f>IF(A340="","",
SUM(
COUNTIFS('QA Log'!D:D,A340,'QA Log'!M:M,"Data Verification",'QA Log'!L:L,"*Medicine (section 2)*"),
COUNTIFS('QA Log'!D:D,A340,'QA Log'!M:M,"Data Verification",'QA Log'!L:L,"*Lab Testing Availability*"),
COUNTIFS('QA Log'!D:D,A340,'QA Log'!M:M,"Data Verification",'QA Log'!L:L,"*Other than P4P (section 6)*"),
COUNTIFS('QA Log'!D:D,A340,'QA Log'!M:M,"Data Verification",'QA Log'!L:L,"*Hospital Governance*")
))</f>
        <v/>
      </c>
      <c r="AF340" s="102" t="str">
        <f>IF(A340="","",
SUM(
COUNTIFS('QA Log'!D:D,A340,'QA Log'!M:M,"Data Verification",'QA Log'!Z:Z,"Approved",'QA Log'!L:L,"*Medicine (section 2)*"),
COUNTIFS('QA Log'!D:D,A340,'QA Log'!M:M,"Data Verification",'QA Log'!Z:Z,"Approved",'QA Log'!L:L,"*Lab Testing Availability*"),
COUNTIFS('QA Log'!D:D,A340,'QA Log'!M:M,"Data Verification",'QA Log'!Z:Z,"Approved",'QA Log'!L:L,"*Other than P4P (section 6)*"),
COUNTIFS('QA Log'!D:D,A340,'QA Log'!M:M,"Data Verification",'QA Log'!Z:Z,"Approved",'QA Log'!L:L,"*Hospital Governance*")
))</f>
        <v/>
      </c>
      <c r="AG340" s="105" t="str">
        <f>IF(A340&lt;&gt;"",COUNTIFS('QA Log'!D:D,A340,'QA Log'!M:M,"Data Verification",'QA Log'!L:L,"Medicine (section 2)",'QA Log'!Z:Z,"Approved"),"")</f>
        <v/>
      </c>
      <c r="AH340" s="105" t="str">
        <f>IF(A340&lt;&gt;"",COUNTIFS('QA Log'!D:D,A340,'QA Log'!M:M,"Data Verification",'QA Log'!L:L,"Lab Testing Availability",'QA Log'!Z:Z,"Approved"),"")</f>
        <v/>
      </c>
      <c r="AI340" s="105" t="str">
        <f>IF(A340&lt;&gt;"",COUNTIFS('QA Log'!D:D,A340,'QA Log'!M:M,"Data Verification",'QA Log'!L:L,"Other than P4P (section 6)",'QA Log'!Z:Z,"Approved"),"")</f>
        <v/>
      </c>
      <c r="AJ340" s="105" t="str">
        <f>IF(A340&lt;&gt;"",COUNTIFS('QA Log'!D:D,A340,'QA Log'!M:M,"Data Verification",'QA Log'!L:L,"Hospital Governance",'QA Log'!Z:Z,"Approved"),"")</f>
        <v/>
      </c>
      <c r="AK340" s="102" t="str">
        <f>IF(A340="","",
SUM(
COUNTIFS('QA Log'!D:D,A340,'QA Log'!M:M,"Data Verification",'QA Log'!Z:Z,"Rejected",'QA Log'!L:L,"*Medicine (section 2)*"),
COUNTIFS('QA Log'!D:D,A340,'QA Log'!M:M,"Data Verification",'QA Log'!Z:Z,"Rejected",'QA Log'!L:L,"*Lab Testing Availability*"),
COUNTIFS('QA Log'!D:D,A340,'QA Log'!M:M,"Data Verification",'QA Log'!Z:Z,"Rejected",'QA Log'!L:L,"*Other than P4P (section 6)*"),
COUNTIFS('QA Log'!D:D,A340,'QA Log'!M:M,"Data Verification",'QA Log'!Z:Z,"Rejected",'QA Log'!L:L,"*Hospital Governance*")
))</f>
        <v/>
      </c>
      <c r="AL340" s="106" t="str">
        <f t="shared" si="31"/>
        <v/>
      </c>
      <c r="AM340" s="102" t="str">
        <f t="shared" si="32"/>
        <v/>
      </c>
      <c r="AN340" s="102" t="str">
        <f>IF(A340="","",
SUM(
COUNTIFS('QA Log'!D:D,A340,'QA Log'!M:M,"Data Verification",'QA Log'!L:L,"*Personnel (section 1)*"),
COUNTIFS('QA Log'!D:D,A340,'QA Log'!M:M,"Data Verification",'QA Log'!L:L,"*Consumable (section 3)*"),
COUNTIFS('QA Log'!D:D,A340,'QA Log'!M:M,"Data Verification",'QA Log'!L:L,"*Equipments (section 4)*")
))</f>
        <v/>
      </c>
      <c r="AO340" s="102" t="str">
        <f>IF(A340="","",
SUM(
COUNTIFS('QA Log'!D:D,A340,'QA Log'!M:M,"Data Verification",'QA Log'!Z:Z,"Approved",'QA Log'!L:L,"*Personnel (section 1)*"),
COUNTIFS('QA Log'!D:D,A340,'QA Log'!M:M,"Data Verification",'QA Log'!Z:Z,"Approved",'QA Log'!L:L,"*Consumable (section 3)*"),
COUNTIFS('QA Log'!D:D,A340,'QA Log'!M:M,"Data Verification",'QA Log'!Z:Z,"Approved",'QA Log'!L:L,"*Equipments (section 4)*")
))</f>
        <v/>
      </c>
      <c r="AP340" s="105" t="str">
        <f>IF(A340&lt;&gt;"",COUNTIFS('QA Log'!D:D,A340,'QA Log'!M:M,"Data Verification",'QA Log'!L:L,"Personnel (section 1)",'QA Log'!Z:Z,"Approved"),"")</f>
        <v/>
      </c>
      <c r="AQ340" s="105" t="str">
        <f>IF(A340&lt;&gt;"",COUNTIFS('QA Log'!D:D,A340,'QA Log'!M:M,"Data Verification",'QA Log'!L:L,"Consumable (section 3)",'QA Log'!Z:Z,"Approved"),"")</f>
        <v/>
      </c>
      <c r="AR340" s="105" t="str">
        <f>IF(A340&lt;&gt;"",COUNTIFS('QA Log'!D:D,A340,'QA Log'!M:M,"Data Verification",'QA Log'!L:L,"Equipments (section 4)",'QA Log'!Z:Z,"Approved"),"")</f>
        <v/>
      </c>
      <c r="AS340" s="102" t="str">
        <f>IF(A340="","",
SUM(
COUNTIFS('QA Log'!D:D,A340,'QA Log'!M:M,"Data Verification",'QA Log'!Z:Z,"Rejected",'QA Log'!L:L,"*Personnel (section 1)*"),
COUNTIFS('QA Log'!D:D,A340,'QA Log'!M:M,"Data Verification",'QA Log'!Z:Z,"Rejected",'QA Log'!L:L,"*Consumable (section 3)*"),
COUNTIFS('QA Log'!D:D,A340,'QA Log'!M:M,"Data Verification",'QA Log'!Z:Z,"Rejected",'QA Log'!L:L,"*Equipments (section 4)*")
))</f>
        <v/>
      </c>
      <c r="AT340" s="102" t="str">
        <f t="shared" si="33"/>
        <v/>
      </c>
      <c r="AU340" s="103" t="str">
        <f t="shared" si="34"/>
        <v/>
      </c>
      <c r="AV340" s="102" t="str">
        <f>IF(A340="","",SUM(
COUNTIFS('QA Log'!D:D,A340,'QA Log'!M:M,"Vignette",'QA Log'!L:L,"*Vignette [1] Respiratory Infection: Pneumonia*"),
COUNTIFS('QA Log'!D:D,A340,'QA Log'!M:M,"Vignette",'QA Log'!L:L,"*Vignette [2]: Diarrhea with Cat B dehydration*"),
COUNTIFS('QA Log'!D:D,A340,'QA Log'!M:M,"Vignette",'QA Log'!L:L,"*Vignette [3] Growth Monitoring and Promotion*"),
COUNTIFS('QA Log'!D:D,A340,'QA Log'!M:M,"Vignette",'QA Log'!L:L,"*Vignette [4]: The management of presumptive TB patient*")
)
)</f>
        <v/>
      </c>
      <c r="AW340" s="102" t="str">
        <f>IF(
  A340="","",
  SUM(
    COUNTIFS('QA Log'!D:D,A340,'QA Log'!M:M,"Vignette",'QA Log'!Z:Z,"Approved",'QA Log'!L:L,"*Vignette [1] Respiratory Infection: Pneumonia*"),
    COUNTIFS('QA Log'!D:D,A340,'QA Log'!M:M,"Vignette",'QA Log'!Z:Z,"Approved",'QA Log'!L:L,"*Vignette [2]: Diarrhea with Cat B dehydration*"),
    COUNTIFS('QA Log'!D:D,A340,'QA Log'!M:M,"Vignette",'QA Log'!Z:Z,"Approved",'QA Log'!L:L,"*Vignette [3] Growth Monitoring and Promotion*"),
    COUNTIFS('QA Log'!D:D,A340,'QA Log'!M:M,"Vignette",'QA Log'!Z:Z,"Approved",'QA Log'!L:L,"*Vignette [4]: The management of presumptive TB patient*")
  )
)</f>
        <v/>
      </c>
      <c r="AX340" s="105" t="str">
        <f>IF(A340&lt;&gt;"",COUNTIFS('QA Log'!D:D,A340,'QA Log'!M:M,"Vignette",'QA Log'!L:L,"Vignette [1] Respiratory Infection: Pneumonia",'QA Log'!Z:Z,"Approved"),"")</f>
        <v/>
      </c>
      <c r="AY340" s="105" t="str">
        <f>IF(A340&lt;&gt;"",COUNTIFS('QA Log'!D:D,A340,'QA Log'!M:M,"Vignette",'QA Log'!L:L,"Vignette [2]: Diarrhea with Cat B dehydration",'QA Log'!Z:Z,"Approved"),"")</f>
        <v/>
      </c>
      <c r="AZ340" s="105" t="str">
        <f>IF(A340&lt;&gt;"",COUNTIFS('QA Log'!D:D,A340,'QA Log'!M:M,"Vignette",'QA Log'!L:L,"Vignette [3] Growth Monitoring and Promotion",'QA Log'!Z:Z,"Approved"),"")</f>
        <v/>
      </c>
      <c r="BA340" s="105" t="str">
        <f>IF(A340&lt;&gt;"",COUNTIFS('QA Log'!D:D,A340,'QA Log'!M:M,"Vignette",'QA Log'!L:L,"Vignette [4]: The management of presumptive TB patient",'QA Log'!Z:Z,"Approved"),"")</f>
        <v/>
      </c>
      <c r="BB340" s="102" t="str">
        <f>IF(A340="","",
  SUM(
    COUNTIFS('QA Log'!D:D,A340,'QA Log'!M:M,"Vignette",'QA Log'!Z:Z,"Rejected",'QA Log'!L:L,"*Vignette [1] Respiratory Infection: Pneumonia*"),
    COUNTIFS('QA Log'!D:D,A340,'QA Log'!M:M,"Vignette",'QA Log'!Z:Z,"Rejected",'QA Log'!L:L,"*Vignette [2]: Diarrhea with Cat B dehydration*"),
    COUNTIFS('QA Log'!D:D,A340,'QA Log'!M:M,"Vignette",'QA Log'!Z:Z,"Rejected",'QA Log'!L:L,"*Vignette [3] Growth Monitoring and Promotion*"),
    COUNTIFS('QA Log'!D:D,A340,'QA Log'!M:M,"Vignette",'QA Log'!Z:Z,"Rejected",'QA Log'!L:L,"*Vignette [4]: The management of presumptive TB patient*")
  )
)</f>
        <v/>
      </c>
      <c r="BC340" s="107" t="str">
        <f t="shared" si="35"/>
        <v/>
      </c>
      <c r="BD340" s="103" t="str">
        <f t="shared" si="36"/>
        <v/>
      </c>
      <c r="BE340" s="102" t="str">
        <f>IF(A340="","",SUM(
COUNTIFS('QA Log'!D:D,A340,'QA Log'!M:M,"Vignette",'QA Log'!L:L,"*Vignette [5] Labor*"),
COUNTIFS('QA Log'!D:D,A340,'QA Log'!M:M,"Vignette",'QA Log'!L:L,"*Vignette [6] PNC pre Discharge*"),
COUNTIFS('QA Log'!D:D,A340,'QA Log'!M:M,"Vignette",'QA Log'!L:L,"*Vignette [7] First ANC Visit*"),
COUNTIFS('QA Log'!D:D,A340,'QA Log'!M:M,"Vignette",'QA Log'!L:L,"*Vignette [8] Birth Spacing/ Family Planning :  FP Counselling*"),
COUNTIFS('QA Log'!D:D,A340,'QA Log'!M:M,"Vignette",'QA Log'!L:L,"*Vignette [9] Birth Spacing: Change FP method to Injectable*"),
COUNTIFS('QA Log'!D:D,A340,'QA Log'!M:M,"Vignette",'QA Log'!L:L,"*Vignette [10] Post Partum Haemorrhage - Atonic Uterus at Health Centre*"),
)
)</f>
        <v/>
      </c>
      <c r="BF340" s="102" t="str">
        <f>IF(A340="","",
  SUM(
    COUNTIFS('QA Log'!D:D,A340,'QA Log'!M:M,"Vignette",'QA Log'!Z:Z,"Approved",'QA Log'!L:L,"*Vignette [5] Labor*"),
    COUNTIFS('QA Log'!D:D,A340,'QA Log'!M:M,"Vignette",'QA Log'!Z:Z,"Approved",'QA Log'!L:L,"*Vignette [6] PNC pre Discharge*"),
    COUNTIFS('QA Log'!D:D,A340,'QA Log'!M:M,"Vignette",'QA Log'!Z:Z,"Approved",'QA Log'!L:L,"*Vignette [7] First ANC Visit*"),
    COUNTIFS('QA Log'!D:D,A340,'QA Log'!M:M,"Vignette",'QA Log'!Z:Z,"Approved",'QA Log'!L:L,"*Vignette [8] Birth Spacing/ Family Planning :  FP Counselling*"),
    COUNTIFS('QA Log'!D:D,A340,'QA Log'!M:M,"Vignette",'QA Log'!Z:Z,"Approved",'QA Log'!L:L,"*Vignette [9] Birth Spacing: Change FP method to Injectable*"),
    COUNTIFS('QA Log'!D:D,A340,'QA Log'!M:M,"Vignette",'QA Log'!Z:Z,"Approved",'QA Log'!L:L,"*Vignette [10] Post Partum Haemorrhage - Atonic Uterus at Health Centre*")
  )
)</f>
        <v/>
      </c>
      <c r="BG340" s="105" t="str">
        <f>IF(A340&lt;&gt;"",COUNTIFS('QA Log'!D:D,A340,'QA Log'!M:M,"Vignette",'QA Log'!L:L,"Vignette [5] Labor",'QA Log'!Z:Z,"Approved"),"")</f>
        <v/>
      </c>
      <c r="BH340" s="105" t="str">
        <f>IF(A340&lt;&gt;"",COUNTIFS('QA Log'!D:D,A340,'QA Log'!M:M,"Vignette",'QA Log'!L:L,"Vignette [6] PNC pre Discharge",'QA Log'!Z:Z,"Approved"),"")</f>
        <v/>
      </c>
      <c r="BI340" s="105" t="str">
        <f>IF(A340&lt;&gt;"",COUNTIFS('QA Log'!D:D,A340,'QA Log'!M:M,"Vignette",'QA Log'!L:L,"Vignette [7] First ANC Visit",'QA Log'!Z:Z,"Approved"),"")</f>
        <v/>
      </c>
      <c r="BJ340" s="105" t="str">
        <f>IF(A340&lt;&gt;"",COUNTIFS('QA Log'!D:D,A340,'QA Log'!M:M,"Vignette",'QA Log'!L:L,"Vignette [8] Birth Spacing/ Family Planning :  FP Counselling",'QA Log'!Z:Z,"Approved"),"")</f>
        <v/>
      </c>
      <c r="BK340" s="105" t="str">
        <f>IF(A340&lt;&gt;"",COUNTIFS('QA Log'!D:D,A340,'QA Log'!M:M,"Vignette",'QA Log'!L:L,"Vignette [9] Birth Spacing: Change FP method to Injectable",'QA Log'!Z:Z,"Approved"),"")</f>
        <v/>
      </c>
      <c r="BL340" s="105" t="str">
        <f>IF(A340&lt;&gt;"",COUNTIFS('QA Log'!D:D,A340,'QA Log'!M:M,"Vignette",'QA Log'!L:L,"Vignette [10] Post Partum Haemorrhage - Atonic Uterus at Health Centre",'QA Log'!Z:Z,"Approved"),"")</f>
        <v/>
      </c>
      <c r="BM340" s="102" t="str">
        <f>IF(A340="","",SUM(
    COUNTIFS('QA Log'!D:D,A340,'QA Log'!M:M,"Vignette",'QA Log'!Z:Z,"Rejected",'QA Log'!L:L,"*Vignette [5] Labor*"),
    COUNTIFS('QA Log'!D:D,A340,'QA Log'!M:M,"Vignette",'QA Log'!Z:Z,"Rejected",'QA Log'!L:L,"*Vignette [6] PNC pre Discharge*"),
    COUNTIFS('QA Log'!D:D,A340,'QA Log'!M:M,"Vignette",'QA Log'!Z:Z,"Rejected",'QA Log'!L:L,"*Vignette [7] First ANC Visit*"),
    COUNTIFS('QA Log'!D:D,A340,'QA Log'!M:M,"Vignette",'QA Log'!Z:Z,"Rejected",'QA Log'!L:L,"*Vignette [8] Birth Spacing/ Family Planning :  FP Counselling*"),
    COUNTIFS('QA Log'!D:D,A340,'QA Log'!M:M,"Vignette",'QA Log'!Z:Z,"Rejected",'QA Log'!L:L,"*Vignette [9] Birth Spacing: Change FP method to Injectable*"),
    COUNTIFS('QA Log'!D:D,A340,'QA Log'!M:M,"Vignette",'QA Log'!Z:Z,"Rejected",'QA Log'!L:L,"*Vignette [10] Post Partum Haemorrhage - Atonic Uterus at Health Centre*")
  )
)</f>
        <v/>
      </c>
      <c r="BN340" s="107" t="str">
        <f t="shared" si="37"/>
        <v/>
      </c>
      <c r="BO340" s="103" t="str">
        <f t="shared" si="38"/>
        <v/>
      </c>
      <c r="BP340" s="102" t="str">
        <f>IF(A340="","",SUM(
COUNTIFS('QA Log'!D:D,A340,'QA Log'!M:M,"Vignette",'QA Log'!L:L,"*Exit Interview 1*"),
COUNTIFS('QA Log'!D:D,A340,'QA Log'!M:M,"Vignette",'QA Log'!L:L,"*Exit Interview 2*"),
)
)</f>
        <v/>
      </c>
      <c r="BQ340" s="102" t="str">
        <f>IF(
  A340="","",
  SUM(
    COUNTIFS('QA Log'!D:D,A340,'QA Log'!M:M,"Vignette",'QA Log'!Z:Z,"Approved",'QA Log'!L:L,"*Exit Interview 1*"),
    COUNTIFS('QA Log'!D:D,A340,'QA Log'!M:M,"Vignette",'QA Log'!Z:Z,"Approved",'QA Log'!L:L,"*Exit Interview 2*")
  )
)</f>
        <v/>
      </c>
      <c r="BR340" s="105" t="str">
        <f>IF(A340&lt;&gt;"",COUNTIFS('QA Log'!D:D,A340,'QA Log'!M:M,"Vignette",'QA Log'!L:L,"Exit Interview 1",'QA Log'!Z:Z,"Approved"),"")</f>
        <v/>
      </c>
      <c r="BS340" s="105" t="str">
        <f>IF(A340&lt;&gt;"",COUNTIFS('QA Log'!D:D,A340,'QA Log'!M:M,"Vignette",'QA Log'!L:L,"Exit Interview 2",'QA Log'!Z:Z,"Approved"),"")</f>
        <v/>
      </c>
      <c r="BT340" s="102" t="str">
        <f>IF(
  A340="","",
  SUM(
    COUNTIFS('QA Log'!D:D,A340,'QA Log'!M:M,"Vignette",'QA Log'!Z:Z,"Rejected",'QA Log'!L:L,"*Exit Interview 1*"),
    COUNTIFS('QA Log'!D:D,A340,'QA Log'!M:M,"Vignette",'QA Log'!Z:Z,"Rejected",'QA Log'!L:L,"*Exit Interview 2*")
  )
)</f>
        <v/>
      </c>
      <c r="BU340" s="107" t="str">
        <f t="shared" si="39"/>
        <v/>
      </c>
      <c r="BV340" s="102" t="str">
        <f t="shared" si="40"/>
        <v/>
      </c>
      <c r="BW340" s="102" t="str">
        <f t="shared" si="41"/>
        <v/>
      </c>
      <c r="BX340" s="102" t="str">
        <f t="shared" si="42"/>
        <v/>
      </c>
      <c r="BY340" s="102" t="str">
        <f t="shared" si="43"/>
        <v/>
      </c>
      <c r="BZ340" s="107" t="str">
        <f t="shared" si="44"/>
        <v/>
      </c>
      <c r="CA340" s="108" t="str">
        <f t="shared" si="45"/>
        <v/>
      </c>
      <c r="CB340" s="108" t="str">
        <f t="shared" si="46"/>
        <v/>
      </c>
      <c r="CC340" s="109" t="str">
        <f t="shared" si="47"/>
        <v/>
      </c>
      <c r="CD340" s="108" t="str">
        <f t="shared" si="48"/>
        <v/>
      </c>
      <c r="CE340" s="108" t="str">
        <f t="shared" si="49"/>
        <v/>
      </c>
      <c r="CF340" s="109" t="str">
        <f t="shared" si="50"/>
        <v/>
      </c>
      <c r="CG340" s="110" t="str">
        <f t="shared" si="51"/>
        <v/>
      </c>
      <c r="CH340" s="111"/>
    </row>
    <row r="341" spans="1:86" ht="12.75">
      <c r="A341" s="101"/>
      <c r="B341" s="102" t="e">
        <f t="array" aca="1" ref="B341" ca="1">_xludf.XLOOKUP(A341,'QA Log'!D:D,'QA Log'!E:E,"")</f>
        <v>#NAME?</v>
      </c>
      <c r="C341" s="102" t="e">
        <f t="array" aca="1" ref="C341" ca="1">_xludf.XLOOKUP(A341,'QA Log'!D:D,'QA Log'!F:F,"")</f>
        <v>#NAME?</v>
      </c>
      <c r="D341" s="102" t="e">
        <f t="array" aca="1" ref="D341" ca="1">_xludf.XLOOKUP(A341,'QA Log'!D:D,'QA Log'!H:H,"")</f>
        <v>#NAME?</v>
      </c>
      <c r="E341" s="102" t="e">
        <f t="array" aca="1" ref="E341" ca="1">_xludf.XLOOKUP(A341,'QA Log'!D:D,'QA Log'!G:G,"")</f>
        <v>#NAME?</v>
      </c>
      <c r="F341" s="103"/>
      <c r="G341" s="104"/>
      <c r="H341" s="104"/>
      <c r="I341" s="103" t="str">
        <f t="shared" si="26"/>
        <v/>
      </c>
      <c r="J341" s="102" t="str">
        <f>IF(A341="","",SUM(
COUNTIFS('QA Log'!D:D,A341,'QA Log'!M:M,"QQC",'QA Log'!L:L,"*1. General Management*"),
COUNTIFS('QA Log'!D:D,A341,'QA Log'!M:M,"QQC",'QA Log'!L:L,"*3. Curative Consultation (OPD)*"),
COUNTIFS('QA Log'!D:D,A341,'QA Log'!M:M,"QQC",'QA Log'!L:L,"*5. Laboratory*"),
COUNTIFS('QA Log'!D:D,A341,'QA Log'!M:M,"QQC",'QA Log'!L:L,"*6. Essential Medicine Management*"),
COUNTIFS('QA Log'!D:D,A341,'QA Log'!M:M,"QQC",'QA Log'!L:L,"*7. Tracer Medicine*"),
COUNTIFS('QA Log'!D:D,A341,'QA Log'!M:M,"QQC",'QA Log'!L:L,"*11. Additional Questions*")))</f>
        <v/>
      </c>
      <c r="K341" s="102" t="str">
        <f>IF(A341="","",SUM(
COUNTIFS('QA Log'!D:D,A341,'QA Log'!M:M,"QQC",'QA Log'!Z:Z,"Approved",'QA Log'!L:L,"*1. General Management*"),
COUNTIFS('QA Log'!D:D,A341,'QA Log'!M:M,"QQC",'QA Log'!Z:Z,"Approved",'QA Log'!L:L,"*3. Curative Consultation (OPD)*"),
COUNTIFS('QA Log'!D:D,A341,'QA Log'!M:M,"QQC",'QA Log'!Z:Z,"Approved",'QA Log'!L:L,"*5. Laboratory*"),
COUNTIFS('QA Log'!D:D,A341,'QA Log'!M:M,"QQC",'QA Log'!Z:Z,"Approved",'QA Log'!L:L,"*6. Essential Medicine Management*"),
COUNTIFS('QA Log'!D:D,A341,'QA Log'!M:M,"QQC",'QA Log'!Z:Z,"Approved",'QA Log'!L:L,"*7. Tracer Medicine*"),
COUNTIFS('QA Log'!D:D,A341,'QA Log'!M:M,"QQC",'QA Log'!Z:Z,"Approved",'QA Log'!L:L,"*11. Additional Questions*")))</f>
        <v/>
      </c>
      <c r="L341" s="105" t="str">
        <f>IF(A341&lt;&gt;"",COUNTIFS('QA Log'!D:D,A341,'QA Log'!M:M,"QQC",'QA Log'!L:L,"1. General Management",'QA Log'!Z:Z,"Approved"),"")</f>
        <v/>
      </c>
      <c r="M341" s="105" t="str">
        <f>IF(A341&lt;&gt;"",COUNTIFS('QA Log'!D:D,A341,'QA Log'!M:M,"QQC",'QA Log'!L:L,"3. Curative Consultation (OPD)",'QA Log'!Z:Z,"Approved"),"")</f>
        <v/>
      </c>
      <c r="N341" s="105" t="str">
        <f>IF(A341&lt;&gt;"",COUNTIFS('QA Log'!D:D,A341,'QA Log'!M:M,"QQC",'QA Log'!L:L,"5. Laboratory",'QA Log'!Z:Z,"Approved"),"")</f>
        <v/>
      </c>
      <c r="O341" s="105" t="str">
        <f>IF(A341&lt;&gt;"",COUNTIFS('QA Log'!D:D,A341,'QA Log'!M:M,"QQC",'QA Log'!L:L,"6. Essential Medicine Management",'QA Log'!Z:Z,"Approved"),"")</f>
        <v/>
      </c>
      <c r="P341" s="105" t="str">
        <f>IF(A341&lt;&gt;"",COUNTIFS('QA Log'!D:D,A341,'QA Log'!M:M,"QQC",'QA Log'!L:L,"7. Tracer Medicine",'QA Log'!Z:Z,"Approved"),"")</f>
        <v/>
      </c>
      <c r="Q341" s="105" t="str">
        <f>IF(A341&lt;&gt;"",COUNTIFS('QA Log'!D:D,A341,'QA Log'!M:M,"QQC",'QA Log'!L:L,"11. Additional Questions",'QA Log'!Z:Z,"Approved"),"")</f>
        <v/>
      </c>
      <c r="R341" s="102" t="str">
        <f>IF(A341="","",SUM(
COUNTIFS('QA Log'!D:D,A341,'QA Log'!M:M,"QQC",'QA Log'!Z:Z,"Rejected",'QA Log'!L:L,"*8. Maternity*"),
COUNTIFS('QA Log'!D:D,A341,'QA Log'!M:M,"QQC",'QA Log'!Z:Z,"Rejected",'QA Log'!L:L,"*EPI*"),
COUNTIFS('QA Log'!D:D,A341,'QA Log'!M:M,"QQC",'QA Log'!Z:Z,"Rejected",'QA Log'!L:L,"*10. Antenatal Care (ANC)*"),
COUNTIFS('QA Log'!D:D,A341,'QA Log'!M:M,"QQC",'QA Log'!Z:Z,"Rejected",'QA Log'!L:L,"*2. Hygiene and Sterilization*"),
COUNTIFS('QA Log'!D:D,A341,'QA Log'!M:M,"QQC",'QA Log'!Z:Z,"Rejected",'QA Log'!L:L,"*Family Planning*")))</f>
        <v/>
      </c>
      <c r="S341" s="106" t="str">
        <f t="shared" si="27"/>
        <v/>
      </c>
      <c r="T341" s="102" t="str">
        <f t="shared" si="28"/>
        <v/>
      </c>
      <c r="U341" s="102" t="str">
        <f>IF(A341="","",
SUM(
COUNTIFS('QA Log'!D:D,A341,'QA Log'!M:M,"QQC",'QA Log'!L:L,"*8. Maternity*"),
COUNTIFS('QA Log'!D:D,A341,'QA Log'!M:M,"QQC",'QA Log'!L:L,"*9. EPI and Pre-school Consultation*"),
COUNTIFS('QA Log'!D:D,A341,'QA Log'!M:M,"QQC",'QA Log'!L:L,"*10. Antenatal Care (ANC)*"),
COUNTIFS('QA Log'!D:D,A341,'QA Log'!M:M,"QQC",'QA Log'!L:L,"*2. Hygiene and Sterilization*"),
COUNTIFS('QA Log'!D:D,A341,'QA Log'!M:M,"QQC",'QA Log'!L:L,"*4. Family Planning*")
))</f>
        <v/>
      </c>
      <c r="V341" s="102" t="str">
        <f>IF(A341="","",
SUM(
COUNTIFS('QA Log'!D:D,A341,'QA Log'!M:M,"QQC",'QA Log'!Z:Z,"Approved",'QA Log'!L:L,"*8. Maternity*"),
COUNTIFS('QA Log'!D:D,A341,'QA Log'!M:M,"QQC",'QA Log'!Z:Z,"Approved",'QA Log'!L:L,"*9. EPI and Pre-school Consultation*"),
COUNTIFS('QA Log'!D:D,A341,'QA Log'!M:M,"QQC",'QA Log'!Z:Z,"Approved",'QA Log'!L:L,"*10. Antenatal Care (ANC)*"),
COUNTIFS('QA Log'!D:D,A341,'QA Log'!M:M,"QQC",'QA Log'!Z:Z,"Approved",'QA Log'!L:L,"*2. Hygiene and Sterilization*"),
COUNTIFS('QA Log'!D:D,A341,'QA Log'!M:M,"QQC",'QA Log'!Z:Z,"Approved",'QA Log'!L:L,"*4. Family Planning*")
))</f>
        <v/>
      </c>
      <c r="W341" s="105" t="str">
        <f>IF(A341&lt;&gt;"",COUNTIFS('QA Log'!D:D,A341,'QA Log'!M:M,"QQC",'QA Log'!L:L,"8. Maternity",'QA Log'!Z:Z,"Approved"),"")</f>
        <v/>
      </c>
      <c r="X341" s="105" t="str">
        <f>IF(A341&lt;&gt;"",COUNTIFS('QA Log'!D:D,A341,'QA Log'!M:M,"QQC",'QA Log'!L:L,"9. EPI and Pre-school Consultation",'QA Log'!Z:Z,"Approved"),"")</f>
        <v/>
      </c>
      <c r="Y341" s="105" t="str">
        <f>IF(A341&lt;&gt;"",COUNTIFS('QA Log'!D:D,A341,'QA Log'!M:M,"QQC",'QA Log'!L:L,"10. Antenatal Care (ANC)",'QA Log'!Z:Z,"Approved"),"")</f>
        <v/>
      </c>
      <c r="Z341" s="105" t="str">
        <f>IF(A341&lt;&gt;"",COUNTIFS('QA Log'!D:D,A341,'QA Log'!M:M,"QQC",'QA Log'!L:L,"2. Hygiene and Sterilization",'QA Log'!Z:Z,"Approved"),"")</f>
        <v/>
      </c>
      <c r="AA341" s="105" t="str">
        <f>IF(A341&lt;&gt;"",COUNTIFS('QA Log'!D:D,A341,'QA Log'!M:M,"QQC",'QA Log'!L:L,"4. Family Planning",'QA Log'!Z:Z,"Approved"),"")</f>
        <v/>
      </c>
      <c r="AB341" s="102" t="str">
        <f>IF(A341="","",
SUM(
COUNTIFS('QA Log'!D:D,A341,'QA Log'!M:M,"QQC",'QA Log'!Z:Z,"Rejected",'QA Log'!L:L,"*8. Maternity*"),
COUNTIFS('QA Log'!D:D,A341,'QA Log'!M:M,"QQC",'QA Log'!Z:Z,"Rejected",'QA Log'!L:L,"*9. EPI and Pre-school Consultation*"),
COUNTIFS('QA Log'!D:D,A341,'QA Log'!M:M,"QQC",'QA Log'!Z:Z,"Rejected",'QA Log'!L:L,"*10. Antenatal Care (ANC)*"),
COUNTIFS('QA Log'!D:D,A341,'QA Log'!M:M,"QQC",'QA Log'!Z:Z,"Rejected",'QA Log'!L:L,"*2. Hygiene and Sterilization*"),
COUNTIFS('QA Log'!D:D,A341,'QA Log'!M:M,"QQC",'QA Log'!Z:Z,"Rejected",'QA Log'!L:L,"*4. Family Planning*")
))</f>
        <v/>
      </c>
      <c r="AC341" s="102" t="str">
        <f t="shared" si="29"/>
        <v/>
      </c>
      <c r="AD341" s="103" t="str">
        <f t="shared" si="30"/>
        <v/>
      </c>
      <c r="AE341" s="102" t="str">
        <f>IF(A341="","",
SUM(
COUNTIFS('QA Log'!D:D,A341,'QA Log'!M:M,"Data Verification",'QA Log'!L:L,"*Medicine (section 2)*"),
COUNTIFS('QA Log'!D:D,A341,'QA Log'!M:M,"Data Verification",'QA Log'!L:L,"*Lab Testing Availability*"),
COUNTIFS('QA Log'!D:D,A341,'QA Log'!M:M,"Data Verification",'QA Log'!L:L,"*Other than P4P (section 6)*"),
COUNTIFS('QA Log'!D:D,A341,'QA Log'!M:M,"Data Verification",'QA Log'!L:L,"*Hospital Governance*")
))</f>
        <v/>
      </c>
      <c r="AF341" s="102" t="str">
        <f>IF(A341="","",
SUM(
COUNTIFS('QA Log'!D:D,A341,'QA Log'!M:M,"Data Verification",'QA Log'!Z:Z,"Approved",'QA Log'!L:L,"*Medicine (section 2)*"),
COUNTIFS('QA Log'!D:D,A341,'QA Log'!M:M,"Data Verification",'QA Log'!Z:Z,"Approved",'QA Log'!L:L,"*Lab Testing Availability*"),
COUNTIFS('QA Log'!D:D,A341,'QA Log'!M:M,"Data Verification",'QA Log'!Z:Z,"Approved",'QA Log'!L:L,"*Other than P4P (section 6)*"),
COUNTIFS('QA Log'!D:D,A341,'QA Log'!M:M,"Data Verification",'QA Log'!Z:Z,"Approved",'QA Log'!L:L,"*Hospital Governance*")
))</f>
        <v/>
      </c>
      <c r="AG341" s="105" t="str">
        <f>IF(A341&lt;&gt;"",COUNTIFS('QA Log'!D:D,A341,'QA Log'!M:M,"Data Verification",'QA Log'!L:L,"Medicine (section 2)",'QA Log'!Z:Z,"Approved"),"")</f>
        <v/>
      </c>
      <c r="AH341" s="105" t="str">
        <f>IF(A341&lt;&gt;"",COUNTIFS('QA Log'!D:D,A341,'QA Log'!M:M,"Data Verification",'QA Log'!L:L,"Lab Testing Availability",'QA Log'!Z:Z,"Approved"),"")</f>
        <v/>
      </c>
      <c r="AI341" s="105" t="str">
        <f>IF(A341&lt;&gt;"",COUNTIFS('QA Log'!D:D,A341,'QA Log'!M:M,"Data Verification",'QA Log'!L:L,"Other than P4P (section 6)",'QA Log'!Z:Z,"Approved"),"")</f>
        <v/>
      </c>
      <c r="AJ341" s="105" t="str">
        <f>IF(A341&lt;&gt;"",COUNTIFS('QA Log'!D:D,A341,'QA Log'!M:M,"Data Verification",'QA Log'!L:L,"Hospital Governance",'QA Log'!Z:Z,"Approved"),"")</f>
        <v/>
      </c>
      <c r="AK341" s="102" t="str">
        <f>IF(A341="","",
SUM(
COUNTIFS('QA Log'!D:D,A341,'QA Log'!M:M,"Data Verification",'QA Log'!Z:Z,"Rejected",'QA Log'!L:L,"*Medicine (section 2)*"),
COUNTIFS('QA Log'!D:D,A341,'QA Log'!M:M,"Data Verification",'QA Log'!Z:Z,"Rejected",'QA Log'!L:L,"*Lab Testing Availability*"),
COUNTIFS('QA Log'!D:D,A341,'QA Log'!M:M,"Data Verification",'QA Log'!Z:Z,"Rejected",'QA Log'!L:L,"*Other than P4P (section 6)*"),
COUNTIFS('QA Log'!D:D,A341,'QA Log'!M:M,"Data Verification",'QA Log'!Z:Z,"Rejected",'QA Log'!L:L,"*Hospital Governance*")
))</f>
        <v/>
      </c>
      <c r="AL341" s="106" t="str">
        <f t="shared" si="31"/>
        <v/>
      </c>
      <c r="AM341" s="102" t="str">
        <f t="shared" si="32"/>
        <v/>
      </c>
      <c r="AN341" s="102" t="str">
        <f>IF(A341="","",
SUM(
COUNTIFS('QA Log'!D:D,A341,'QA Log'!M:M,"Data Verification",'QA Log'!L:L,"*Personnel (section 1)*"),
COUNTIFS('QA Log'!D:D,A341,'QA Log'!M:M,"Data Verification",'QA Log'!L:L,"*Consumable (section 3)*"),
COUNTIFS('QA Log'!D:D,A341,'QA Log'!M:M,"Data Verification",'QA Log'!L:L,"*Equipments (section 4)*")
))</f>
        <v/>
      </c>
      <c r="AO341" s="102" t="str">
        <f>IF(A341="","",
SUM(
COUNTIFS('QA Log'!D:D,A341,'QA Log'!M:M,"Data Verification",'QA Log'!Z:Z,"Approved",'QA Log'!L:L,"*Personnel (section 1)*"),
COUNTIFS('QA Log'!D:D,A341,'QA Log'!M:M,"Data Verification",'QA Log'!Z:Z,"Approved",'QA Log'!L:L,"*Consumable (section 3)*"),
COUNTIFS('QA Log'!D:D,A341,'QA Log'!M:M,"Data Verification",'QA Log'!Z:Z,"Approved",'QA Log'!L:L,"*Equipments (section 4)*")
))</f>
        <v/>
      </c>
      <c r="AP341" s="105" t="str">
        <f>IF(A341&lt;&gt;"",COUNTIFS('QA Log'!D:D,A341,'QA Log'!M:M,"Data Verification",'QA Log'!L:L,"Personnel (section 1)",'QA Log'!Z:Z,"Approved"),"")</f>
        <v/>
      </c>
      <c r="AQ341" s="105" t="str">
        <f>IF(A341&lt;&gt;"",COUNTIFS('QA Log'!D:D,A341,'QA Log'!M:M,"Data Verification",'QA Log'!L:L,"Consumable (section 3)",'QA Log'!Z:Z,"Approved"),"")</f>
        <v/>
      </c>
      <c r="AR341" s="105" t="str">
        <f>IF(A341&lt;&gt;"",COUNTIFS('QA Log'!D:D,A341,'QA Log'!M:M,"Data Verification",'QA Log'!L:L,"Equipments (section 4)",'QA Log'!Z:Z,"Approved"),"")</f>
        <v/>
      </c>
      <c r="AS341" s="102" t="str">
        <f>IF(A341="","",
SUM(
COUNTIFS('QA Log'!D:D,A341,'QA Log'!M:M,"Data Verification",'QA Log'!Z:Z,"Rejected",'QA Log'!L:L,"*Personnel (section 1)*"),
COUNTIFS('QA Log'!D:D,A341,'QA Log'!M:M,"Data Verification",'QA Log'!Z:Z,"Rejected",'QA Log'!L:L,"*Consumable (section 3)*"),
COUNTIFS('QA Log'!D:D,A341,'QA Log'!M:M,"Data Verification",'QA Log'!Z:Z,"Rejected",'QA Log'!L:L,"*Equipments (section 4)*")
))</f>
        <v/>
      </c>
      <c r="AT341" s="102" t="str">
        <f t="shared" si="33"/>
        <v/>
      </c>
      <c r="AU341" s="103" t="str">
        <f t="shared" si="34"/>
        <v/>
      </c>
      <c r="AV341" s="102" t="str">
        <f>IF(A341="","",SUM(
COUNTIFS('QA Log'!D:D,A341,'QA Log'!M:M,"Vignette",'QA Log'!L:L,"*Vignette [1] Respiratory Infection: Pneumonia*"),
COUNTIFS('QA Log'!D:D,A341,'QA Log'!M:M,"Vignette",'QA Log'!L:L,"*Vignette [2]: Diarrhea with Cat B dehydration*"),
COUNTIFS('QA Log'!D:D,A341,'QA Log'!M:M,"Vignette",'QA Log'!L:L,"*Vignette [3] Growth Monitoring and Promotion*"),
COUNTIFS('QA Log'!D:D,A341,'QA Log'!M:M,"Vignette",'QA Log'!L:L,"*Vignette [4]: The management of presumptive TB patient*")
)
)</f>
        <v/>
      </c>
      <c r="AW341" s="102" t="str">
        <f>IF(
  A341="","",
  SUM(
    COUNTIFS('QA Log'!D:D,A341,'QA Log'!M:M,"Vignette",'QA Log'!Z:Z,"Approved",'QA Log'!L:L,"*Vignette [1] Respiratory Infection: Pneumonia*"),
    COUNTIFS('QA Log'!D:D,A341,'QA Log'!M:M,"Vignette",'QA Log'!Z:Z,"Approved",'QA Log'!L:L,"*Vignette [2]: Diarrhea with Cat B dehydration*"),
    COUNTIFS('QA Log'!D:D,A341,'QA Log'!M:M,"Vignette",'QA Log'!Z:Z,"Approved",'QA Log'!L:L,"*Vignette [3] Growth Monitoring and Promotion*"),
    COUNTIFS('QA Log'!D:D,A341,'QA Log'!M:M,"Vignette",'QA Log'!Z:Z,"Approved",'QA Log'!L:L,"*Vignette [4]: The management of presumptive TB patient*")
  )
)</f>
        <v/>
      </c>
      <c r="AX341" s="105" t="str">
        <f>IF(A341&lt;&gt;"",COUNTIFS('QA Log'!D:D,A341,'QA Log'!M:M,"Vignette",'QA Log'!L:L,"Vignette [1] Respiratory Infection: Pneumonia",'QA Log'!Z:Z,"Approved"),"")</f>
        <v/>
      </c>
      <c r="AY341" s="105" t="str">
        <f>IF(A341&lt;&gt;"",COUNTIFS('QA Log'!D:D,A341,'QA Log'!M:M,"Vignette",'QA Log'!L:L,"Vignette [2]: Diarrhea with Cat B dehydration",'QA Log'!Z:Z,"Approved"),"")</f>
        <v/>
      </c>
      <c r="AZ341" s="105" t="str">
        <f>IF(A341&lt;&gt;"",COUNTIFS('QA Log'!D:D,A341,'QA Log'!M:M,"Vignette",'QA Log'!L:L,"Vignette [3] Growth Monitoring and Promotion",'QA Log'!Z:Z,"Approved"),"")</f>
        <v/>
      </c>
      <c r="BA341" s="105" t="str">
        <f>IF(A341&lt;&gt;"",COUNTIFS('QA Log'!D:D,A341,'QA Log'!M:M,"Vignette",'QA Log'!L:L,"Vignette [4]: The management of presumptive TB patient",'QA Log'!Z:Z,"Approved"),"")</f>
        <v/>
      </c>
      <c r="BB341" s="102" t="str">
        <f>IF(A341="","",
  SUM(
    COUNTIFS('QA Log'!D:D,A341,'QA Log'!M:M,"Vignette",'QA Log'!Z:Z,"Rejected",'QA Log'!L:L,"*Vignette [1] Respiratory Infection: Pneumonia*"),
    COUNTIFS('QA Log'!D:D,A341,'QA Log'!M:M,"Vignette",'QA Log'!Z:Z,"Rejected",'QA Log'!L:L,"*Vignette [2]: Diarrhea with Cat B dehydration*"),
    COUNTIFS('QA Log'!D:D,A341,'QA Log'!M:M,"Vignette",'QA Log'!Z:Z,"Rejected",'QA Log'!L:L,"*Vignette [3] Growth Monitoring and Promotion*"),
    COUNTIFS('QA Log'!D:D,A341,'QA Log'!M:M,"Vignette",'QA Log'!Z:Z,"Rejected",'QA Log'!L:L,"*Vignette [4]: The management of presumptive TB patient*")
  )
)</f>
        <v/>
      </c>
      <c r="BC341" s="107" t="str">
        <f t="shared" si="35"/>
        <v/>
      </c>
      <c r="BD341" s="103" t="str">
        <f t="shared" si="36"/>
        <v/>
      </c>
      <c r="BE341" s="102" t="str">
        <f>IF(A341="","",SUM(
COUNTIFS('QA Log'!D:D,A341,'QA Log'!M:M,"Vignette",'QA Log'!L:L,"*Vignette [5] Labor*"),
COUNTIFS('QA Log'!D:D,A341,'QA Log'!M:M,"Vignette",'QA Log'!L:L,"*Vignette [6] PNC pre Discharge*"),
COUNTIFS('QA Log'!D:D,A341,'QA Log'!M:M,"Vignette",'QA Log'!L:L,"*Vignette [7] First ANC Visit*"),
COUNTIFS('QA Log'!D:D,A341,'QA Log'!M:M,"Vignette",'QA Log'!L:L,"*Vignette [8] Birth Spacing/ Family Planning :  FP Counselling*"),
COUNTIFS('QA Log'!D:D,A341,'QA Log'!M:M,"Vignette",'QA Log'!L:L,"*Vignette [9] Birth Spacing: Change FP method to Injectable*"),
COUNTIFS('QA Log'!D:D,A341,'QA Log'!M:M,"Vignette",'QA Log'!L:L,"*Vignette [10] Post Partum Haemorrhage - Atonic Uterus at Health Centre*"),
)
)</f>
        <v/>
      </c>
      <c r="BF341" s="102" t="str">
        <f>IF(A341="","",
  SUM(
    COUNTIFS('QA Log'!D:D,A341,'QA Log'!M:M,"Vignette",'QA Log'!Z:Z,"Approved",'QA Log'!L:L,"*Vignette [5] Labor*"),
    COUNTIFS('QA Log'!D:D,A341,'QA Log'!M:M,"Vignette",'QA Log'!Z:Z,"Approved",'QA Log'!L:L,"*Vignette [6] PNC pre Discharge*"),
    COUNTIFS('QA Log'!D:D,A341,'QA Log'!M:M,"Vignette",'QA Log'!Z:Z,"Approved",'QA Log'!L:L,"*Vignette [7] First ANC Visit*"),
    COUNTIFS('QA Log'!D:D,A341,'QA Log'!M:M,"Vignette",'QA Log'!Z:Z,"Approved",'QA Log'!L:L,"*Vignette [8] Birth Spacing/ Family Planning :  FP Counselling*"),
    COUNTIFS('QA Log'!D:D,A341,'QA Log'!M:M,"Vignette",'QA Log'!Z:Z,"Approved",'QA Log'!L:L,"*Vignette [9] Birth Spacing: Change FP method to Injectable*"),
    COUNTIFS('QA Log'!D:D,A341,'QA Log'!M:M,"Vignette",'QA Log'!Z:Z,"Approved",'QA Log'!L:L,"*Vignette [10] Post Partum Haemorrhage - Atonic Uterus at Health Centre*")
  )
)</f>
        <v/>
      </c>
      <c r="BG341" s="105" t="str">
        <f>IF(A341&lt;&gt;"",COUNTIFS('QA Log'!D:D,A341,'QA Log'!M:M,"Vignette",'QA Log'!L:L,"Vignette [5] Labor",'QA Log'!Z:Z,"Approved"),"")</f>
        <v/>
      </c>
      <c r="BH341" s="105" t="str">
        <f>IF(A341&lt;&gt;"",COUNTIFS('QA Log'!D:D,A341,'QA Log'!M:M,"Vignette",'QA Log'!L:L,"Vignette [6] PNC pre Discharge",'QA Log'!Z:Z,"Approved"),"")</f>
        <v/>
      </c>
      <c r="BI341" s="105" t="str">
        <f>IF(A341&lt;&gt;"",COUNTIFS('QA Log'!D:D,A341,'QA Log'!M:M,"Vignette",'QA Log'!L:L,"Vignette [7] First ANC Visit",'QA Log'!Z:Z,"Approved"),"")</f>
        <v/>
      </c>
      <c r="BJ341" s="105" t="str">
        <f>IF(A341&lt;&gt;"",COUNTIFS('QA Log'!D:D,A341,'QA Log'!M:M,"Vignette",'QA Log'!L:L,"Vignette [8] Birth Spacing/ Family Planning :  FP Counselling",'QA Log'!Z:Z,"Approved"),"")</f>
        <v/>
      </c>
      <c r="BK341" s="105" t="str">
        <f>IF(A341&lt;&gt;"",COUNTIFS('QA Log'!D:D,A341,'QA Log'!M:M,"Vignette",'QA Log'!L:L,"Vignette [9] Birth Spacing: Change FP method to Injectable",'QA Log'!Z:Z,"Approved"),"")</f>
        <v/>
      </c>
      <c r="BL341" s="105" t="str">
        <f>IF(A341&lt;&gt;"",COUNTIFS('QA Log'!D:D,A341,'QA Log'!M:M,"Vignette",'QA Log'!L:L,"Vignette [10] Post Partum Haemorrhage - Atonic Uterus at Health Centre",'QA Log'!Z:Z,"Approved"),"")</f>
        <v/>
      </c>
      <c r="BM341" s="102" t="str">
        <f>IF(A341="","",SUM(
    COUNTIFS('QA Log'!D:D,A341,'QA Log'!M:M,"Vignette",'QA Log'!Z:Z,"Rejected",'QA Log'!L:L,"*Vignette [5] Labor*"),
    COUNTIFS('QA Log'!D:D,A341,'QA Log'!M:M,"Vignette",'QA Log'!Z:Z,"Rejected",'QA Log'!L:L,"*Vignette [6] PNC pre Discharge*"),
    COUNTIFS('QA Log'!D:D,A341,'QA Log'!M:M,"Vignette",'QA Log'!Z:Z,"Rejected",'QA Log'!L:L,"*Vignette [7] First ANC Visit*"),
    COUNTIFS('QA Log'!D:D,A341,'QA Log'!M:M,"Vignette",'QA Log'!Z:Z,"Rejected",'QA Log'!L:L,"*Vignette [8] Birth Spacing/ Family Planning :  FP Counselling*"),
    COUNTIFS('QA Log'!D:D,A341,'QA Log'!M:M,"Vignette",'QA Log'!Z:Z,"Rejected",'QA Log'!L:L,"*Vignette [9] Birth Spacing: Change FP method to Injectable*"),
    COUNTIFS('QA Log'!D:D,A341,'QA Log'!M:M,"Vignette",'QA Log'!Z:Z,"Rejected",'QA Log'!L:L,"*Vignette [10] Post Partum Haemorrhage - Atonic Uterus at Health Centre*")
  )
)</f>
        <v/>
      </c>
      <c r="BN341" s="107" t="str">
        <f t="shared" si="37"/>
        <v/>
      </c>
      <c r="BO341" s="103" t="str">
        <f t="shared" si="38"/>
        <v/>
      </c>
      <c r="BP341" s="102" t="str">
        <f>IF(A341="","",SUM(
COUNTIFS('QA Log'!D:D,A341,'QA Log'!M:M,"Vignette",'QA Log'!L:L,"*Exit Interview 1*"),
COUNTIFS('QA Log'!D:D,A341,'QA Log'!M:M,"Vignette",'QA Log'!L:L,"*Exit Interview 2*"),
)
)</f>
        <v/>
      </c>
      <c r="BQ341" s="102" t="str">
        <f>IF(
  A341="","",
  SUM(
    COUNTIFS('QA Log'!D:D,A341,'QA Log'!M:M,"Vignette",'QA Log'!Z:Z,"Approved",'QA Log'!L:L,"*Exit Interview 1*"),
    COUNTIFS('QA Log'!D:D,A341,'QA Log'!M:M,"Vignette",'QA Log'!Z:Z,"Approved",'QA Log'!L:L,"*Exit Interview 2*")
  )
)</f>
        <v/>
      </c>
      <c r="BR341" s="105" t="str">
        <f>IF(A341&lt;&gt;"",COUNTIFS('QA Log'!D:D,A341,'QA Log'!M:M,"Vignette",'QA Log'!L:L,"Exit Interview 1",'QA Log'!Z:Z,"Approved"),"")</f>
        <v/>
      </c>
      <c r="BS341" s="105" t="str">
        <f>IF(A341&lt;&gt;"",COUNTIFS('QA Log'!D:D,A341,'QA Log'!M:M,"Vignette",'QA Log'!L:L,"Exit Interview 2",'QA Log'!Z:Z,"Approved"),"")</f>
        <v/>
      </c>
      <c r="BT341" s="102" t="str">
        <f>IF(
  A341="","",
  SUM(
    COUNTIFS('QA Log'!D:D,A341,'QA Log'!M:M,"Vignette",'QA Log'!Z:Z,"Rejected",'QA Log'!L:L,"*Exit Interview 1*"),
    COUNTIFS('QA Log'!D:D,A341,'QA Log'!M:M,"Vignette",'QA Log'!Z:Z,"Rejected",'QA Log'!L:L,"*Exit Interview 2*")
  )
)</f>
        <v/>
      </c>
      <c r="BU341" s="107" t="str">
        <f t="shared" si="39"/>
        <v/>
      </c>
      <c r="BV341" s="102" t="str">
        <f t="shared" si="40"/>
        <v/>
      </c>
      <c r="BW341" s="102" t="str">
        <f t="shared" si="41"/>
        <v/>
      </c>
      <c r="BX341" s="102" t="str">
        <f t="shared" si="42"/>
        <v/>
      </c>
      <c r="BY341" s="102" t="str">
        <f t="shared" si="43"/>
        <v/>
      </c>
      <c r="BZ341" s="107" t="str">
        <f t="shared" si="44"/>
        <v/>
      </c>
      <c r="CA341" s="108" t="str">
        <f t="shared" si="45"/>
        <v/>
      </c>
      <c r="CB341" s="108" t="str">
        <f t="shared" si="46"/>
        <v/>
      </c>
      <c r="CC341" s="109" t="str">
        <f t="shared" si="47"/>
        <v/>
      </c>
      <c r="CD341" s="108" t="str">
        <f t="shared" si="48"/>
        <v/>
      </c>
      <c r="CE341" s="108" t="str">
        <f t="shared" si="49"/>
        <v/>
      </c>
      <c r="CF341" s="109" t="str">
        <f t="shared" si="50"/>
        <v/>
      </c>
      <c r="CG341" s="110" t="str">
        <f t="shared" si="51"/>
        <v/>
      </c>
      <c r="CH341" s="111"/>
    </row>
    <row r="342" spans="1:86" ht="12.75">
      <c r="A342" s="101"/>
      <c r="B342" s="102" t="e">
        <f t="array" aca="1" ref="B342" ca="1">_xludf.XLOOKUP(A342,'QA Log'!D:D,'QA Log'!E:E,"")</f>
        <v>#NAME?</v>
      </c>
      <c r="C342" s="102" t="e">
        <f t="array" aca="1" ref="C342" ca="1">_xludf.XLOOKUP(A342,'QA Log'!D:D,'QA Log'!F:F,"")</f>
        <v>#NAME?</v>
      </c>
      <c r="D342" s="102" t="e">
        <f t="array" aca="1" ref="D342" ca="1">_xludf.XLOOKUP(A342,'QA Log'!D:D,'QA Log'!H:H,"")</f>
        <v>#NAME?</v>
      </c>
      <c r="E342" s="102" t="e">
        <f t="array" aca="1" ref="E342" ca="1">_xludf.XLOOKUP(A342,'QA Log'!D:D,'QA Log'!G:G,"")</f>
        <v>#NAME?</v>
      </c>
      <c r="F342" s="103"/>
      <c r="G342" s="104"/>
      <c r="H342" s="104"/>
      <c r="I342" s="103" t="str">
        <f t="shared" si="26"/>
        <v/>
      </c>
      <c r="J342" s="102" t="str">
        <f>IF(A342="","",SUM(
COUNTIFS('QA Log'!D:D,A342,'QA Log'!M:M,"QQC",'QA Log'!L:L,"*1. General Management*"),
COUNTIFS('QA Log'!D:D,A342,'QA Log'!M:M,"QQC",'QA Log'!L:L,"*3. Curative Consultation (OPD)*"),
COUNTIFS('QA Log'!D:D,A342,'QA Log'!M:M,"QQC",'QA Log'!L:L,"*5. Laboratory*"),
COUNTIFS('QA Log'!D:D,A342,'QA Log'!M:M,"QQC",'QA Log'!L:L,"*6. Essential Medicine Management*"),
COUNTIFS('QA Log'!D:D,A342,'QA Log'!M:M,"QQC",'QA Log'!L:L,"*7. Tracer Medicine*"),
COUNTIFS('QA Log'!D:D,A342,'QA Log'!M:M,"QQC",'QA Log'!L:L,"*11. Additional Questions*")))</f>
        <v/>
      </c>
      <c r="K342" s="102" t="str">
        <f>IF(A342="","",SUM(
COUNTIFS('QA Log'!D:D,A342,'QA Log'!M:M,"QQC",'QA Log'!Z:Z,"Approved",'QA Log'!L:L,"*1. General Management*"),
COUNTIFS('QA Log'!D:D,A342,'QA Log'!M:M,"QQC",'QA Log'!Z:Z,"Approved",'QA Log'!L:L,"*3. Curative Consultation (OPD)*"),
COUNTIFS('QA Log'!D:D,A342,'QA Log'!M:M,"QQC",'QA Log'!Z:Z,"Approved",'QA Log'!L:L,"*5. Laboratory*"),
COUNTIFS('QA Log'!D:D,A342,'QA Log'!M:M,"QQC",'QA Log'!Z:Z,"Approved",'QA Log'!L:L,"*6. Essential Medicine Management*"),
COUNTIFS('QA Log'!D:D,A342,'QA Log'!M:M,"QQC",'QA Log'!Z:Z,"Approved",'QA Log'!L:L,"*7. Tracer Medicine*"),
COUNTIFS('QA Log'!D:D,A342,'QA Log'!M:M,"QQC",'QA Log'!Z:Z,"Approved",'QA Log'!L:L,"*11. Additional Questions*")))</f>
        <v/>
      </c>
      <c r="L342" s="105" t="str">
        <f>IF(A342&lt;&gt;"",COUNTIFS('QA Log'!D:D,A342,'QA Log'!M:M,"QQC",'QA Log'!L:L,"1. General Management",'QA Log'!Z:Z,"Approved"),"")</f>
        <v/>
      </c>
      <c r="M342" s="105" t="str">
        <f>IF(A342&lt;&gt;"",COUNTIFS('QA Log'!D:D,A342,'QA Log'!M:M,"QQC",'QA Log'!L:L,"3. Curative Consultation (OPD)",'QA Log'!Z:Z,"Approved"),"")</f>
        <v/>
      </c>
      <c r="N342" s="105" t="str">
        <f>IF(A342&lt;&gt;"",COUNTIFS('QA Log'!D:D,A342,'QA Log'!M:M,"QQC",'QA Log'!L:L,"5. Laboratory",'QA Log'!Z:Z,"Approved"),"")</f>
        <v/>
      </c>
      <c r="O342" s="105" t="str">
        <f>IF(A342&lt;&gt;"",COUNTIFS('QA Log'!D:D,A342,'QA Log'!M:M,"QQC",'QA Log'!L:L,"6. Essential Medicine Management",'QA Log'!Z:Z,"Approved"),"")</f>
        <v/>
      </c>
      <c r="P342" s="105" t="str">
        <f>IF(A342&lt;&gt;"",COUNTIFS('QA Log'!D:D,A342,'QA Log'!M:M,"QQC",'QA Log'!L:L,"7. Tracer Medicine",'QA Log'!Z:Z,"Approved"),"")</f>
        <v/>
      </c>
      <c r="Q342" s="105" t="str">
        <f>IF(A342&lt;&gt;"",COUNTIFS('QA Log'!D:D,A342,'QA Log'!M:M,"QQC",'QA Log'!L:L,"11. Additional Questions",'QA Log'!Z:Z,"Approved"),"")</f>
        <v/>
      </c>
      <c r="R342" s="102" t="str">
        <f>IF(A342="","",SUM(
COUNTIFS('QA Log'!D:D,A342,'QA Log'!M:M,"QQC",'QA Log'!Z:Z,"Rejected",'QA Log'!L:L,"*8. Maternity*"),
COUNTIFS('QA Log'!D:D,A342,'QA Log'!M:M,"QQC",'QA Log'!Z:Z,"Rejected",'QA Log'!L:L,"*EPI*"),
COUNTIFS('QA Log'!D:D,A342,'QA Log'!M:M,"QQC",'QA Log'!Z:Z,"Rejected",'QA Log'!L:L,"*10. Antenatal Care (ANC)*"),
COUNTIFS('QA Log'!D:D,A342,'QA Log'!M:M,"QQC",'QA Log'!Z:Z,"Rejected",'QA Log'!L:L,"*2. Hygiene and Sterilization*"),
COUNTIFS('QA Log'!D:D,A342,'QA Log'!M:M,"QQC",'QA Log'!Z:Z,"Rejected",'QA Log'!L:L,"*Family Planning*")))</f>
        <v/>
      </c>
      <c r="S342" s="106" t="str">
        <f t="shared" si="27"/>
        <v/>
      </c>
      <c r="T342" s="102" t="str">
        <f t="shared" si="28"/>
        <v/>
      </c>
      <c r="U342" s="102" t="str">
        <f>IF(A342="","",
SUM(
COUNTIFS('QA Log'!D:D,A342,'QA Log'!M:M,"QQC",'QA Log'!L:L,"*8. Maternity*"),
COUNTIFS('QA Log'!D:D,A342,'QA Log'!M:M,"QQC",'QA Log'!L:L,"*9. EPI and Pre-school Consultation*"),
COUNTIFS('QA Log'!D:D,A342,'QA Log'!M:M,"QQC",'QA Log'!L:L,"*10. Antenatal Care (ANC)*"),
COUNTIFS('QA Log'!D:D,A342,'QA Log'!M:M,"QQC",'QA Log'!L:L,"*2. Hygiene and Sterilization*"),
COUNTIFS('QA Log'!D:D,A342,'QA Log'!M:M,"QQC",'QA Log'!L:L,"*4. Family Planning*")
))</f>
        <v/>
      </c>
      <c r="V342" s="102" t="str">
        <f>IF(A342="","",
SUM(
COUNTIFS('QA Log'!D:D,A342,'QA Log'!M:M,"QQC",'QA Log'!Z:Z,"Approved",'QA Log'!L:L,"*8. Maternity*"),
COUNTIFS('QA Log'!D:D,A342,'QA Log'!M:M,"QQC",'QA Log'!Z:Z,"Approved",'QA Log'!L:L,"*9. EPI and Pre-school Consultation*"),
COUNTIFS('QA Log'!D:D,A342,'QA Log'!M:M,"QQC",'QA Log'!Z:Z,"Approved",'QA Log'!L:L,"*10. Antenatal Care (ANC)*"),
COUNTIFS('QA Log'!D:D,A342,'QA Log'!M:M,"QQC",'QA Log'!Z:Z,"Approved",'QA Log'!L:L,"*2. Hygiene and Sterilization*"),
COUNTIFS('QA Log'!D:D,A342,'QA Log'!M:M,"QQC",'QA Log'!Z:Z,"Approved",'QA Log'!L:L,"*4. Family Planning*")
))</f>
        <v/>
      </c>
      <c r="W342" s="105" t="str">
        <f>IF(A342&lt;&gt;"",COUNTIFS('QA Log'!D:D,A342,'QA Log'!M:M,"QQC",'QA Log'!L:L,"8. Maternity",'QA Log'!Z:Z,"Approved"),"")</f>
        <v/>
      </c>
      <c r="X342" s="105" t="str">
        <f>IF(A342&lt;&gt;"",COUNTIFS('QA Log'!D:D,A342,'QA Log'!M:M,"QQC",'QA Log'!L:L,"9. EPI and Pre-school Consultation",'QA Log'!Z:Z,"Approved"),"")</f>
        <v/>
      </c>
      <c r="Y342" s="105" t="str">
        <f>IF(A342&lt;&gt;"",COUNTIFS('QA Log'!D:D,A342,'QA Log'!M:M,"QQC",'QA Log'!L:L,"10. Antenatal Care (ANC)",'QA Log'!Z:Z,"Approved"),"")</f>
        <v/>
      </c>
      <c r="Z342" s="105" t="str">
        <f>IF(A342&lt;&gt;"",COUNTIFS('QA Log'!D:D,A342,'QA Log'!M:M,"QQC",'QA Log'!L:L,"2. Hygiene and Sterilization",'QA Log'!Z:Z,"Approved"),"")</f>
        <v/>
      </c>
      <c r="AA342" s="105" t="str">
        <f>IF(A342&lt;&gt;"",COUNTIFS('QA Log'!D:D,A342,'QA Log'!M:M,"QQC",'QA Log'!L:L,"4. Family Planning",'QA Log'!Z:Z,"Approved"),"")</f>
        <v/>
      </c>
      <c r="AB342" s="102" t="str">
        <f>IF(A342="","",
SUM(
COUNTIFS('QA Log'!D:D,A342,'QA Log'!M:M,"QQC",'QA Log'!Z:Z,"Rejected",'QA Log'!L:L,"*8. Maternity*"),
COUNTIFS('QA Log'!D:D,A342,'QA Log'!M:M,"QQC",'QA Log'!Z:Z,"Rejected",'QA Log'!L:L,"*9. EPI and Pre-school Consultation*"),
COUNTIFS('QA Log'!D:D,A342,'QA Log'!M:M,"QQC",'QA Log'!Z:Z,"Rejected",'QA Log'!L:L,"*10. Antenatal Care (ANC)*"),
COUNTIFS('QA Log'!D:D,A342,'QA Log'!M:M,"QQC",'QA Log'!Z:Z,"Rejected",'QA Log'!L:L,"*2. Hygiene and Sterilization*"),
COUNTIFS('QA Log'!D:D,A342,'QA Log'!M:M,"QQC",'QA Log'!Z:Z,"Rejected",'QA Log'!L:L,"*4. Family Planning*")
))</f>
        <v/>
      </c>
      <c r="AC342" s="102" t="str">
        <f t="shared" si="29"/>
        <v/>
      </c>
      <c r="AD342" s="103" t="str">
        <f t="shared" si="30"/>
        <v/>
      </c>
      <c r="AE342" s="102" t="str">
        <f>IF(A342="","",
SUM(
COUNTIFS('QA Log'!D:D,A342,'QA Log'!M:M,"Data Verification",'QA Log'!L:L,"*Medicine (section 2)*"),
COUNTIFS('QA Log'!D:D,A342,'QA Log'!M:M,"Data Verification",'QA Log'!L:L,"*Lab Testing Availability*"),
COUNTIFS('QA Log'!D:D,A342,'QA Log'!M:M,"Data Verification",'QA Log'!L:L,"*Other than P4P (section 6)*"),
COUNTIFS('QA Log'!D:D,A342,'QA Log'!M:M,"Data Verification",'QA Log'!L:L,"*Hospital Governance*")
))</f>
        <v/>
      </c>
      <c r="AF342" s="102" t="str">
        <f>IF(A342="","",
SUM(
COUNTIFS('QA Log'!D:D,A342,'QA Log'!M:M,"Data Verification",'QA Log'!Z:Z,"Approved",'QA Log'!L:L,"*Medicine (section 2)*"),
COUNTIFS('QA Log'!D:D,A342,'QA Log'!M:M,"Data Verification",'QA Log'!Z:Z,"Approved",'QA Log'!L:L,"*Lab Testing Availability*"),
COUNTIFS('QA Log'!D:D,A342,'QA Log'!M:M,"Data Verification",'QA Log'!Z:Z,"Approved",'QA Log'!L:L,"*Other than P4P (section 6)*"),
COUNTIFS('QA Log'!D:D,A342,'QA Log'!M:M,"Data Verification",'QA Log'!Z:Z,"Approved",'QA Log'!L:L,"*Hospital Governance*")
))</f>
        <v/>
      </c>
      <c r="AG342" s="105" t="str">
        <f>IF(A342&lt;&gt;"",COUNTIFS('QA Log'!D:D,A342,'QA Log'!M:M,"Data Verification",'QA Log'!L:L,"Medicine (section 2)",'QA Log'!Z:Z,"Approved"),"")</f>
        <v/>
      </c>
      <c r="AH342" s="105" t="str">
        <f>IF(A342&lt;&gt;"",COUNTIFS('QA Log'!D:D,A342,'QA Log'!M:M,"Data Verification",'QA Log'!L:L,"Lab Testing Availability",'QA Log'!Z:Z,"Approved"),"")</f>
        <v/>
      </c>
      <c r="AI342" s="105" t="str">
        <f>IF(A342&lt;&gt;"",COUNTIFS('QA Log'!D:D,A342,'QA Log'!M:M,"Data Verification",'QA Log'!L:L,"Other than P4P (section 6)",'QA Log'!Z:Z,"Approved"),"")</f>
        <v/>
      </c>
      <c r="AJ342" s="105" t="str">
        <f>IF(A342&lt;&gt;"",COUNTIFS('QA Log'!D:D,A342,'QA Log'!M:M,"Data Verification",'QA Log'!L:L,"Hospital Governance",'QA Log'!Z:Z,"Approved"),"")</f>
        <v/>
      </c>
      <c r="AK342" s="102" t="str">
        <f>IF(A342="","",
SUM(
COUNTIFS('QA Log'!D:D,A342,'QA Log'!M:M,"Data Verification",'QA Log'!Z:Z,"Rejected",'QA Log'!L:L,"*Medicine (section 2)*"),
COUNTIFS('QA Log'!D:D,A342,'QA Log'!M:M,"Data Verification",'QA Log'!Z:Z,"Rejected",'QA Log'!L:L,"*Lab Testing Availability*"),
COUNTIFS('QA Log'!D:D,A342,'QA Log'!M:M,"Data Verification",'QA Log'!Z:Z,"Rejected",'QA Log'!L:L,"*Other than P4P (section 6)*"),
COUNTIFS('QA Log'!D:D,A342,'QA Log'!M:M,"Data Verification",'QA Log'!Z:Z,"Rejected",'QA Log'!L:L,"*Hospital Governance*")
))</f>
        <v/>
      </c>
      <c r="AL342" s="106" t="str">
        <f t="shared" si="31"/>
        <v/>
      </c>
      <c r="AM342" s="102" t="str">
        <f t="shared" si="32"/>
        <v/>
      </c>
      <c r="AN342" s="102" t="str">
        <f>IF(A342="","",
SUM(
COUNTIFS('QA Log'!D:D,A342,'QA Log'!M:M,"Data Verification",'QA Log'!L:L,"*Personnel (section 1)*"),
COUNTIFS('QA Log'!D:D,A342,'QA Log'!M:M,"Data Verification",'QA Log'!L:L,"*Consumable (section 3)*"),
COUNTIFS('QA Log'!D:D,A342,'QA Log'!M:M,"Data Verification",'QA Log'!L:L,"*Equipments (section 4)*")
))</f>
        <v/>
      </c>
      <c r="AO342" s="102" t="str">
        <f>IF(A342="","",
SUM(
COUNTIFS('QA Log'!D:D,A342,'QA Log'!M:M,"Data Verification",'QA Log'!Z:Z,"Approved",'QA Log'!L:L,"*Personnel (section 1)*"),
COUNTIFS('QA Log'!D:D,A342,'QA Log'!M:M,"Data Verification",'QA Log'!Z:Z,"Approved",'QA Log'!L:L,"*Consumable (section 3)*"),
COUNTIFS('QA Log'!D:D,A342,'QA Log'!M:M,"Data Verification",'QA Log'!Z:Z,"Approved",'QA Log'!L:L,"*Equipments (section 4)*")
))</f>
        <v/>
      </c>
      <c r="AP342" s="105" t="str">
        <f>IF(A342&lt;&gt;"",COUNTIFS('QA Log'!D:D,A342,'QA Log'!M:M,"Data Verification",'QA Log'!L:L,"Personnel (section 1)",'QA Log'!Z:Z,"Approved"),"")</f>
        <v/>
      </c>
      <c r="AQ342" s="105" t="str">
        <f>IF(A342&lt;&gt;"",COUNTIFS('QA Log'!D:D,A342,'QA Log'!M:M,"Data Verification",'QA Log'!L:L,"Consumable (section 3)",'QA Log'!Z:Z,"Approved"),"")</f>
        <v/>
      </c>
      <c r="AR342" s="105" t="str">
        <f>IF(A342&lt;&gt;"",COUNTIFS('QA Log'!D:D,A342,'QA Log'!M:M,"Data Verification",'QA Log'!L:L,"Equipments (section 4)",'QA Log'!Z:Z,"Approved"),"")</f>
        <v/>
      </c>
      <c r="AS342" s="102" t="str">
        <f>IF(A342="","",
SUM(
COUNTIFS('QA Log'!D:D,A342,'QA Log'!M:M,"Data Verification",'QA Log'!Z:Z,"Rejected",'QA Log'!L:L,"*Personnel (section 1)*"),
COUNTIFS('QA Log'!D:D,A342,'QA Log'!M:M,"Data Verification",'QA Log'!Z:Z,"Rejected",'QA Log'!L:L,"*Consumable (section 3)*"),
COUNTIFS('QA Log'!D:D,A342,'QA Log'!M:M,"Data Verification",'QA Log'!Z:Z,"Rejected",'QA Log'!L:L,"*Equipments (section 4)*")
))</f>
        <v/>
      </c>
      <c r="AT342" s="102" t="str">
        <f t="shared" si="33"/>
        <v/>
      </c>
      <c r="AU342" s="103" t="str">
        <f t="shared" si="34"/>
        <v/>
      </c>
      <c r="AV342" s="102" t="str">
        <f>IF(A342="","",SUM(
COUNTIFS('QA Log'!D:D,A342,'QA Log'!M:M,"Vignette",'QA Log'!L:L,"*Vignette [1] Respiratory Infection: Pneumonia*"),
COUNTIFS('QA Log'!D:D,A342,'QA Log'!M:M,"Vignette",'QA Log'!L:L,"*Vignette [2]: Diarrhea with Cat B dehydration*"),
COUNTIFS('QA Log'!D:D,A342,'QA Log'!M:M,"Vignette",'QA Log'!L:L,"*Vignette [3] Growth Monitoring and Promotion*"),
COUNTIFS('QA Log'!D:D,A342,'QA Log'!M:M,"Vignette",'QA Log'!L:L,"*Vignette [4]: The management of presumptive TB patient*")
)
)</f>
        <v/>
      </c>
      <c r="AW342" s="102" t="str">
        <f>IF(
  A342="","",
  SUM(
    COUNTIFS('QA Log'!D:D,A342,'QA Log'!M:M,"Vignette",'QA Log'!Z:Z,"Approved",'QA Log'!L:L,"*Vignette [1] Respiratory Infection: Pneumonia*"),
    COUNTIFS('QA Log'!D:D,A342,'QA Log'!M:M,"Vignette",'QA Log'!Z:Z,"Approved",'QA Log'!L:L,"*Vignette [2]: Diarrhea with Cat B dehydration*"),
    COUNTIFS('QA Log'!D:D,A342,'QA Log'!M:M,"Vignette",'QA Log'!Z:Z,"Approved",'QA Log'!L:L,"*Vignette [3] Growth Monitoring and Promotion*"),
    COUNTIFS('QA Log'!D:D,A342,'QA Log'!M:M,"Vignette",'QA Log'!Z:Z,"Approved",'QA Log'!L:L,"*Vignette [4]: The management of presumptive TB patient*")
  )
)</f>
        <v/>
      </c>
      <c r="AX342" s="105" t="str">
        <f>IF(A342&lt;&gt;"",COUNTIFS('QA Log'!D:D,A342,'QA Log'!M:M,"Vignette",'QA Log'!L:L,"Vignette [1] Respiratory Infection: Pneumonia",'QA Log'!Z:Z,"Approved"),"")</f>
        <v/>
      </c>
      <c r="AY342" s="105" t="str">
        <f>IF(A342&lt;&gt;"",COUNTIFS('QA Log'!D:D,A342,'QA Log'!M:M,"Vignette",'QA Log'!L:L,"Vignette [2]: Diarrhea with Cat B dehydration",'QA Log'!Z:Z,"Approved"),"")</f>
        <v/>
      </c>
      <c r="AZ342" s="105" t="str">
        <f>IF(A342&lt;&gt;"",COUNTIFS('QA Log'!D:D,A342,'QA Log'!M:M,"Vignette",'QA Log'!L:L,"Vignette [3] Growth Monitoring and Promotion",'QA Log'!Z:Z,"Approved"),"")</f>
        <v/>
      </c>
      <c r="BA342" s="105" t="str">
        <f>IF(A342&lt;&gt;"",COUNTIFS('QA Log'!D:D,A342,'QA Log'!M:M,"Vignette",'QA Log'!L:L,"Vignette [4]: The management of presumptive TB patient",'QA Log'!Z:Z,"Approved"),"")</f>
        <v/>
      </c>
      <c r="BB342" s="102" t="str">
        <f>IF(A342="","",
  SUM(
    COUNTIFS('QA Log'!D:D,A342,'QA Log'!M:M,"Vignette",'QA Log'!Z:Z,"Rejected",'QA Log'!L:L,"*Vignette [1] Respiratory Infection: Pneumonia*"),
    COUNTIFS('QA Log'!D:D,A342,'QA Log'!M:M,"Vignette",'QA Log'!Z:Z,"Rejected",'QA Log'!L:L,"*Vignette [2]: Diarrhea with Cat B dehydration*"),
    COUNTIFS('QA Log'!D:D,A342,'QA Log'!M:M,"Vignette",'QA Log'!Z:Z,"Rejected",'QA Log'!L:L,"*Vignette [3] Growth Monitoring and Promotion*"),
    COUNTIFS('QA Log'!D:D,A342,'QA Log'!M:M,"Vignette",'QA Log'!Z:Z,"Rejected",'QA Log'!L:L,"*Vignette [4]: The management of presumptive TB patient*")
  )
)</f>
        <v/>
      </c>
      <c r="BC342" s="107" t="str">
        <f t="shared" si="35"/>
        <v/>
      </c>
      <c r="BD342" s="103" t="str">
        <f t="shared" si="36"/>
        <v/>
      </c>
      <c r="BE342" s="102" t="str">
        <f>IF(A342="","",SUM(
COUNTIFS('QA Log'!D:D,A342,'QA Log'!M:M,"Vignette",'QA Log'!L:L,"*Vignette [5] Labor*"),
COUNTIFS('QA Log'!D:D,A342,'QA Log'!M:M,"Vignette",'QA Log'!L:L,"*Vignette [6] PNC pre Discharge*"),
COUNTIFS('QA Log'!D:D,A342,'QA Log'!M:M,"Vignette",'QA Log'!L:L,"*Vignette [7] First ANC Visit*"),
COUNTIFS('QA Log'!D:D,A342,'QA Log'!M:M,"Vignette",'QA Log'!L:L,"*Vignette [8] Birth Spacing/ Family Planning :  FP Counselling*"),
COUNTIFS('QA Log'!D:D,A342,'QA Log'!M:M,"Vignette",'QA Log'!L:L,"*Vignette [9] Birth Spacing: Change FP method to Injectable*"),
COUNTIFS('QA Log'!D:D,A342,'QA Log'!M:M,"Vignette",'QA Log'!L:L,"*Vignette [10] Post Partum Haemorrhage - Atonic Uterus at Health Centre*"),
)
)</f>
        <v/>
      </c>
      <c r="BF342" s="102" t="str">
        <f>IF(A342="","",
  SUM(
    COUNTIFS('QA Log'!D:D,A342,'QA Log'!M:M,"Vignette",'QA Log'!Z:Z,"Approved",'QA Log'!L:L,"*Vignette [5] Labor*"),
    COUNTIFS('QA Log'!D:D,A342,'QA Log'!M:M,"Vignette",'QA Log'!Z:Z,"Approved",'QA Log'!L:L,"*Vignette [6] PNC pre Discharge*"),
    COUNTIFS('QA Log'!D:D,A342,'QA Log'!M:M,"Vignette",'QA Log'!Z:Z,"Approved",'QA Log'!L:L,"*Vignette [7] First ANC Visit*"),
    COUNTIFS('QA Log'!D:D,A342,'QA Log'!M:M,"Vignette",'QA Log'!Z:Z,"Approved",'QA Log'!L:L,"*Vignette [8] Birth Spacing/ Family Planning :  FP Counselling*"),
    COUNTIFS('QA Log'!D:D,A342,'QA Log'!M:M,"Vignette",'QA Log'!Z:Z,"Approved",'QA Log'!L:L,"*Vignette [9] Birth Spacing: Change FP method to Injectable*"),
    COUNTIFS('QA Log'!D:D,A342,'QA Log'!M:M,"Vignette",'QA Log'!Z:Z,"Approved",'QA Log'!L:L,"*Vignette [10] Post Partum Haemorrhage - Atonic Uterus at Health Centre*")
  )
)</f>
        <v/>
      </c>
      <c r="BG342" s="105" t="str">
        <f>IF(A342&lt;&gt;"",COUNTIFS('QA Log'!D:D,A342,'QA Log'!M:M,"Vignette",'QA Log'!L:L,"Vignette [5] Labor",'QA Log'!Z:Z,"Approved"),"")</f>
        <v/>
      </c>
      <c r="BH342" s="105" t="str">
        <f>IF(A342&lt;&gt;"",COUNTIFS('QA Log'!D:D,A342,'QA Log'!M:M,"Vignette",'QA Log'!L:L,"Vignette [6] PNC pre Discharge",'QA Log'!Z:Z,"Approved"),"")</f>
        <v/>
      </c>
      <c r="BI342" s="105" t="str">
        <f>IF(A342&lt;&gt;"",COUNTIFS('QA Log'!D:D,A342,'QA Log'!M:M,"Vignette",'QA Log'!L:L,"Vignette [7] First ANC Visit",'QA Log'!Z:Z,"Approved"),"")</f>
        <v/>
      </c>
      <c r="BJ342" s="105" t="str">
        <f>IF(A342&lt;&gt;"",COUNTIFS('QA Log'!D:D,A342,'QA Log'!M:M,"Vignette",'QA Log'!L:L,"Vignette [8] Birth Spacing/ Family Planning :  FP Counselling",'QA Log'!Z:Z,"Approved"),"")</f>
        <v/>
      </c>
      <c r="BK342" s="105" t="str">
        <f>IF(A342&lt;&gt;"",COUNTIFS('QA Log'!D:D,A342,'QA Log'!M:M,"Vignette",'QA Log'!L:L,"Vignette [9] Birth Spacing: Change FP method to Injectable",'QA Log'!Z:Z,"Approved"),"")</f>
        <v/>
      </c>
      <c r="BL342" s="105" t="str">
        <f>IF(A342&lt;&gt;"",COUNTIFS('QA Log'!D:D,A342,'QA Log'!M:M,"Vignette",'QA Log'!L:L,"Vignette [10] Post Partum Haemorrhage - Atonic Uterus at Health Centre",'QA Log'!Z:Z,"Approved"),"")</f>
        <v/>
      </c>
      <c r="BM342" s="102" t="str">
        <f>IF(A342="","",SUM(
    COUNTIFS('QA Log'!D:D,A342,'QA Log'!M:M,"Vignette",'QA Log'!Z:Z,"Rejected",'QA Log'!L:L,"*Vignette [5] Labor*"),
    COUNTIFS('QA Log'!D:D,A342,'QA Log'!M:M,"Vignette",'QA Log'!Z:Z,"Rejected",'QA Log'!L:L,"*Vignette [6] PNC pre Discharge*"),
    COUNTIFS('QA Log'!D:D,A342,'QA Log'!M:M,"Vignette",'QA Log'!Z:Z,"Rejected",'QA Log'!L:L,"*Vignette [7] First ANC Visit*"),
    COUNTIFS('QA Log'!D:D,A342,'QA Log'!M:M,"Vignette",'QA Log'!Z:Z,"Rejected",'QA Log'!L:L,"*Vignette [8] Birth Spacing/ Family Planning :  FP Counselling*"),
    COUNTIFS('QA Log'!D:D,A342,'QA Log'!M:M,"Vignette",'QA Log'!Z:Z,"Rejected",'QA Log'!L:L,"*Vignette [9] Birth Spacing: Change FP method to Injectable*"),
    COUNTIFS('QA Log'!D:D,A342,'QA Log'!M:M,"Vignette",'QA Log'!Z:Z,"Rejected",'QA Log'!L:L,"*Vignette [10] Post Partum Haemorrhage - Atonic Uterus at Health Centre*")
  )
)</f>
        <v/>
      </c>
      <c r="BN342" s="107" t="str">
        <f t="shared" si="37"/>
        <v/>
      </c>
      <c r="BO342" s="103" t="str">
        <f t="shared" si="38"/>
        <v/>
      </c>
      <c r="BP342" s="102" t="str">
        <f>IF(A342="","",SUM(
COUNTIFS('QA Log'!D:D,A342,'QA Log'!M:M,"Vignette",'QA Log'!L:L,"*Exit Interview 1*"),
COUNTIFS('QA Log'!D:D,A342,'QA Log'!M:M,"Vignette",'QA Log'!L:L,"*Exit Interview 2*"),
)
)</f>
        <v/>
      </c>
      <c r="BQ342" s="102" t="str">
        <f>IF(
  A342="","",
  SUM(
    COUNTIFS('QA Log'!D:D,A342,'QA Log'!M:M,"Vignette",'QA Log'!Z:Z,"Approved",'QA Log'!L:L,"*Exit Interview 1*"),
    COUNTIFS('QA Log'!D:D,A342,'QA Log'!M:M,"Vignette",'QA Log'!Z:Z,"Approved",'QA Log'!L:L,"*Exit Interview 2*")
  )
)</f>
        <v/>
      </c>
      <c r="BR342" s="105" t="str">
        <f>IF(A342&lt;&gt;"",COUNTIFS('QA Log'!D:D,A342,'QA Log'!M:M,"Vignette",'QA Log'!L:L,"Exit Interview 1",'QA Log'!Z:Z,"Approved"),"")</f>
        <v/>
      </c>
      <c r="BS342" s="105" t="str">
        <f>IF(A342&lt;&gt;"",COUNTIFS('QA Log'!D:D,A342,'QA Log'!M:M,"Vignette",'QA Log'!L:L,"Exit Interview 2",'QA Log'!Z:Z,"Approved"),"")</f>
        <v/>
      </c>
      <c r="BT342" s="102" t="str">
        <f>IF(
  A342="","",
  SUM(
    COUNTIFS('QA Log'!D:D,A342,'QA Log'!M:M,"Vignette",'QA Log'!Z:Z,"Rejected",'QA Log'!L:L,"*Exit Interview 1*"),
    COUNTIFS('QA Log'!D:D,A342,'QA Log'!M:M,"Vignette",'QA Log'!Z:Z,"Rejected",'QA Log'!L:L,"*Exit Interview 2*")
  )
)</f>
        <v/>
      </c>
      <c r="BU342" s="107" t="str">
        <f t="shared" si="39"/>
        <v/>
      </c>
      <c r="BV342" s="102" t="str">
        <f t="shared" si="40"/>
        <v/>
      </c>
      <c r="BW342" s="102" t="str">
        <f t="shared" si="41"/>
        <v/>
      </c>
      <c r="BX342" s="102" t="str">
        <f t="shared" si="42"/>
        <v/>
      </c>
      <c r="BY342" s="102" t="str">
        <f t="shared" si="43"/>
        <v/>
      </c>
      <c r="BZ342" s="107" t="str">
        <f t="shared" si="44"/>
        <v/>
      </c>
      <c r="CA342" s="108" t="str">
        <f t="shared" si="45"/>
        <v/>
      </c>
      <c r="CB342" s="108" t="str">
        <f t="shared" si="46"/>
        <v/>
      </c>
      <c r="CC342" s="109" t="str">
        <f t="shared" si="47"/>
        <v/>
      </c>
      <c r="CD342" s="108" t="str">
        <f t="shared" si="48"/>
        <v/>
      </c>
      <c r="CE342" s="108" t="str">
        <f t="shared" si="49"/>
        <v/>
      </c>
      <c r="CF342" s="109" t="str">
        <f t="shared" si="50"/>
        <v/>
      </c>
      <c r="CG342" s="110" t="str">
        <f t="shared" si="51"/>
        <v/>
      </c>
      <c r="CH342" s="111"/>
    </row>
    <row r="343" spans="1:86" ht="12.75">
      <c r="A343" s="101"/>
      <c r="B343" s="102" t="e">
        <f t="array" aca="1" ref="B343" ca="1">_xludf.XLOOKUP(A343,'QA Log'!D:D,'QA Log'!E:E,"")</f>
        <v>#NAME?</v>
      </c>
      <c r="C343" s="102" t="e">
        <f t="array" aca="1" ref="C343" ca="1">_xludf.XLOOKUP(A343,'QA Log'!D:D,'QA Log'!F:F,"")</f>
        <v>#NAME?</v>
      </c>
      <c r="D343" s="102" t="e">
        <f t="array" aca="1" ref="D343" ca="1">_xludf.XLOOKUP(A343,'QA Log'!D:D,'QA Log'!H:H,"")</f>
        <v>#NAME?</v>
      </c>
      <c r="E343" s="102" t="e">
        <f t="array" aca="1" ref="E343" ca="1">_xludf.XLOOKUP(A343,'QA Log'!D:D,'QA Log'!G:G,"")</f>
        <v>#NAME?</v>
      </c>
      <c r="F343" s="103"/>
      <c r="G343" s="104"/>
      <c r="H343" s="104"/>
      <c r="I343" s="103" t="str">
        <f t="shared" si="26"/>
        <v/>
      </c>
      <c r="J343" s="102" t="str">
        <f>IF(A343="","",SUM(
COUNTIFS('QA Log'!D:D,A343,'QA Log'!M:M,"QQC",'QA Log'!L:L,"*1. General Management*"),
COUNTIFS('QA Log'!D:D,A343,'QA Log'!M:M,"QQC",'QA Log'!L:L,"*3. Curative Consultation (OPD)*"),
COUNTIFS('QA Log'!D:D,A343,'QA Log'!M:M,"QQC",'QA Log'!L:L,"*5. Laboratory*"),
COUNTIFS('QA Log'!D:D,A343,'QA Log'!M:M,"QQC",'QA Log'!L:L,"*6. Essential Medicine Management*"),
COUNTIFS('QA Log'!D:D,A343,'QA Log'!M:M,"QQC",'QA Log'!L:L,"*7. Tracer Medicine*"),
COUNTIFS('QA Log'!D:D,A343,'QA Log'!M:M,"QQC",'QA Log'!L:L,"*11. Additional Questions*")))</f>
        <v/>
      </c>
      <c r="K343" s="102" t="str">
        <f>IF(A343="","",SUM(
COUNTIFS('QA Log'!D:D,A343,'QA Log'!M:M,"QQC",'QA Log'!Z:Z,"Approved",'QA Log'!L:L,"*1. General Management*"),
COUNTIFS('QA Log'!D:D,A343,'QA Log'!M:M,"QQC",'QA Log'!Z:Z,"Approved",'QA Log'!L:L,"*3. Curative Consultation (OPD)*"),
COUNTIFS('QA Log'!D:D,A343,'QA Log'!M:M,"QQC",'QA Log'!Z:Z,"Approved",'QA Log'!L:L,"*5. Laboratory*"),
COUNTIFS('QA Log'!D:D,A343,'QA Log'!M:M,"QQC",'QA Log'!Z:Z,"Approved",'QA Log'!L:L,"*6. Essential Medicine Management*"),
COUNTIFS('QA Log'!D:D,A343,'QA Log'!M:M,"QQC",'QA Log'!Z:Z,"Approved",'QA Log'!L:L,"*7. Tracer Medicine*"),
COUNTIFS('QA Log'!D:D,A343,'QA Log'!M:M,"QQC",'QA Log'!Z:Z,"Approved",'QA Log'!L:L,"*11. Additional Questions*")))</f>
        <v/>
      </c>
      <c r="L343" s="105" t="str">
        <f>IF(A343&lt;&gt;"",COUNTIFS('QA Log'!D:D,A343,'QA Log'!M:M,"QQC",'QA Log'!L:L,"1. General Management",'QA Log'!Z:Z,"Approved"),"")</f>
        <v/>
      </c>
      <c r="M343" s="105" t="str">
        <f>IF(A343&lt;&gt;"",COUNTIFS('QA Log'!D:D,A343,'QA Log'!M:M,"QQC",'QA Log'!L:L,"3. Curative Consultation (OPD)",'QA Log'!Z:Z,"Approved"),"")</f>
        <v/>
      </c>
      <c r="N343" s="105" t="str">
        <f>IF(A343&lt;&gt;"",COUNTIFS('QA Log'!D:D,A343,'QA Log'!M:M,"QQC",'QA Log'!L:L,"5. Laboratory",'QA Log'!Z:Z,"Approved"),"")</f>
        <v/>
      </c>
      <c r="O343" s="105" t="str">
        <f>IF(A343&lt;&gt;"",COUNTIFS('QA Log'!D:D,A343,'QA Log'!M:M,"QQC",'QA Log'!L:L,"6. Essential Medicine Management",'QA Log'!Z:Z,"Approved"),"")</f>
        <v/>
      </c>
      <c r="P343" s="105" t="str">
        <f>IF(A343&lt;&gt;"",COUNTIFS('QA Log'!D:D,A343,'QA Log'!M:M,"QQC",'QA Log'!L:L,"7. Tracer Medicine",'QA Log'!Z:Z,"Approved"),"")</f>
        <v/>
      </c>
      <c r="Q343" s="105" t="str">
        <f>IF(A343&lt;&gt;"",COUNTIFS('QA Log'!D:D,A343,'QA Log'!M:M,"QQC",'QA Log'!L:L,"11. Additional Questions",'QA Log'!Z:Z,"Approved"),"")</f>
        <v/>
      </c>
      <c r="R343" s="102" t="str">
        <f>IF(A343="","",SUM(
COUNTIFS('QA Log'!D:D,A343,'QA Log'!M:M,"QQC",'QA Log'!Z:Z,"Rejected",'QA Log'!L:L,"*8. Maternity*"),
COUNTIFS('QA Log'!D:D,A343,'QA Log'!M:M,"QQC",'QA Log'!Z:Z,"Rejected",'QA Log'!L:L,"*EPI*"),
COUNTIFS('QA Log'!D:D,A343,'QA Log'!M:M,"QQC",'QA Log'!Z:Z,"Rejected",'QA Log'!L:L,"*10. Antenatal Care (ANC)*"),
COUNTIFS('QA Log'!D:D,A343,'QA Log'!M:M,"QQC",'QA Log'!Z:Z,"Rejected",'QA Log'!L:L,"*2. Hygiene and Sterilization*"),
COUNTIFS('QA Log'!D:D,A343,'QA Log'!M:M,"QQC",'QA Log'!Z:Z,"Rejected",'QA Log'!L:L,"*Family Planning*")))</f>
        <v/>
      </c>
      <c r="S343" s="106" t="str">
        <f t="shared" si="27"/>
        <v/>
      </c>
      <c r="T343" s="102" t="str">
        <f t="shared" si="28"/>
        <v/>
      </c>
      <c r="U343" s="102" t="str">
        <f>IF(A343="","",
SUM(
COUNTIFS('QA Log'!D:D,A343,'QA Log'!M:M,"QQC",'QA Log'!L:L,"*8. Maternity*"),
COUNTIFS('QA Log'!D:D,A343,'QA Log'!M:M,"QQC",'QA Log'!L:L,"*9. EPI and Pre-school Consultation*"),
COUNTIFS('QA Log'!D:D,A343,'QA Log'!M:M,"QQC",'QA Log'!L:L,"*10. Antenatal Care (ANC)*"),
COUNTIFS('QA Log'!D:D,A343,'QA Log'!M:M,"QQC",'QA Log'!L:L,"*2. Hygiene and Sterilization*"),
COUNTIFS('QA Log'!D:D,A343,'QA Log'!M:M,"QQC",'QA Log'!L:L,"*4. Family Planning*")
))</f>
        <v/>
      </c>
      <c r="V343" s="102" t="str">
        <f>IF(A343="","",
SUM(
COUNTIFS('QA Log'!D:D,A343,'QA Log'!M:M,"QQC",'QA Log'!Z:Z,"Approved",'QA Log'!L:L,"*8. Maternity*"),
COUNTIFS('QA Log'!D:D,A343,'QA Log'!M:M,"QQC",'QA Log'!Z:Z,"Approved",'QA Log'!L:L,"*9. EPI and Pre-school Consultation*"),
COUNTIFS('QA Log'!D:D,A343,'QA Log'!M:M,"QQC",'QA Log'!Z:Z,"Approved",'QA Log'!L:L,"*10. Antenatal Care (ANC)*"),
COUNTIFS('QA Log'!D:D,A343,'QA Log'!M:M,"QQC",'QA Log'!Z:Z,"Approved",'QA Log'!L:L,"*2. Hygiene and Sterilization*"),
COUNTIFS('QA Log'!D:D,A343,'QA Log'!M:M,"QQC",'QA Log'!Z:Z,"Approved",'QA Log'!L:L,"*4. Family Planning*")
))</f>
        <v/>
      </c>
      <c r="W343" s="105" t="str">
        <f>IF(A343&lt;&gt;"",COUNTIFS('QA Log'!D:D,A343,'QA Log'!M:M,"QQC",'QA Log'!L:L,"8. Maternity",'QA Log'!Z:Z,"Approved"),"")</f>
        <v/>
      </c>
      <c r="X343" s="105" t="str">
        <f>IF(A343&lt;&gt;"",COUNTIFS('QA Log'!D:D,A343,'QA Log'!M:M,"QQC",'QA Log'!L:L,"9. EPI and Pre-school Consultation",'QA Log'!Z:Z,"Approved"),"")</f>
        <v/>
      </c>
      <c r="Y343" s="105" t="str">
        <f>IF(A343&lt;&gt;"",COUNTIFS('QA Log'!D:D,A343,'QA Log'!M:M,"QQC",'QA Log'!L:L,"10. Antenatal Care (ANC)",'QA Log'!Z:Z,"Approved"),"")</f>
        <v/>
      </c>
      <c r="Z343" s="105" t="str">
        <f>IF(A343&lt;&gt;"",COUNTIFS('QA Log'!D:D,A343,'QA Log'!M:M,"QQC",'QA Log'!L:L,"2. Hygiene and Sterilization",'QA Log'!Z:Z,"Approved"),"")</f>
        <v/>
      </c>
      <c r="AA343" s="105" t="str">
        <f>IF(A343&lt;&gt;"",COUNTIFS('QA Log'!D:D,A343,'QA Log'!M:M,"QQC",'QA Log'!L:L,"4. Family Planning",'QA Log'!Z:Z,"Approved"),"")</f>
        <v/>
      </c>
      <c r="AB343" s="102" t="str">
        <f>IF(A343="","",
SUM(
COUNTIFS('QA Log'!D:D,A343,'QA Log'!M:M,"QQC",'QA Log'!Z:Z,"Rejected",'QA Log'!L:L,"*8. Maternity*"),
COUNTIFS('QA Log'!D:D,A343,'QA Log'!M:M,"QQC",'QA Log'!Z:Z,"Rejected",'QA Log'!L:L,"*9. EPI and Pre-school Consultation*"),
COUNTIFS('QA Log'!D:D,A343,'QA Log'!M:M,"QQC",'QA Log'!Z:Z,"Rejected",'QA Log'!L:L,"*10. Antenatal Care (ANC)*"),
COUNTIFS('QA Log'!D:D,A343,'QA Log'!M:M,"QQC",'QA Log'!Z:Z,"Rejected",'QA Log'!L:L,"*2. Hygiene and Sterilization*"),
COUNTIFS('QA Log'!D:D,A343,'QA Log'!M:M,"QQC",'QA Log'!Z:Z,"Rejected",'QA Log'!L:L,"*4. Family Planning*")
))</f>
        <v/>
      </c>
      <c r="AC343" s="102" t="str">
        <f t="shared" si="29"/>
        <v/>
      </c>
      <c r="AD343" s="103" t="str">
        <f t="shared" si="30"/>
        <v/>
      </c>
      <c r="AE343" s="102" t="str">
        <f>IF(A343="","",
SUM(
COUNTIFS('QA Log'!D:D,A343,'QA Log'!M:M,"Data Verification",'QA Log'!L:L,"*Medicine (section 2)*"),
COUNTIFS('QA Log'!D:D,A343,'QA Log'!M:M,"Data Verification",'QA Log'!L:L,"*Lab Testing Availability*"),
COUNTIFS('QA Log'!D:D,A343,'QA Log'!M:M,"Data Verification",'QA Log'!L:L,"*Other than P4P (section 6)*"),
COUNTIFS('QA Log'!D:D,A343,'QA Log'!M:M,"Data Verification",'QA Log'!L:L,"*Hospital Governance*")
))</f>
        <v/>
      </c>
      <c r="AF343" s="102" t="str">
        <f>IF(A343="","",
SUM(
COUNTIFS('QA Log'!D:D,A343,'QA Log'!M:M,"Data Verification",'QA Log'!Z:Z,"Approved",'QA Log'!L:L,"*Medicine (section 2)*"),
COUNTIFS('QA Log'!D:D,A343,'QA Log'!M:M,"Data Verification",'QA Log'!Z:Z,"Approved",'QA Log'!L:L,"*Lab Testing Availability*"),
COUNTIFS('QA Log'!D:D,A343,'QA Log'!M:M,"Data Verification",'QA Log'!Z:Z,"Approved",'QA Log'!L:L,"*Other than P4P (section 6)*"),
COUNTIFS('QA Log'!D:D,A343,'QA Log'!M:M,"Data Verification",'QA Log'!Z:Z,"Approved",'QA Log'!L:L,"*Hospital Governance*")
))</f>
        <v/>
      </c>
      <c r="AG343" s="105" t="str">
        <f>IF(A343&lt;&gt;"",COUNTIFS('QA Log'!D:D,A343,'QA Log'!M:M,"Data Verification",'QA Log'!L:L,"Medicine (section 2)",'QA Log'!Z:Z,"Approved"),"")</f>
        <v/>
      </c>
      <c r="AH343" s="105" t="str">
        <f>IF(A343&lt;&gt;"",COUNTIFS('QA Log'!D:D,A343,'QA Log'!M:M,"Data Verification",'QA Log'!L:L,"Lab Testing Availability",'QA Log'!Z:Z,"Approved"),"")</f>
        <v/>
      </c>
      <c r="AI343" s="105" t="str">
        <f>IF(A343&lt;&gt;"",COUNTIFS('QA Log'!D:D,A343,'QA Log'!M:M,"Data Verification",'QA Log'!L:L,"Other than P4P (section 6)",'QA Log'!Z:Z,"Approved"),"")</f>
        <v/>
      </c>
      <c r="AJ343" s="105" t="str">
        <f>IF(A343&lt;&gt;"",COUNTIFS('QA Log'!D:D,A343,'QA Log'!M:M,"Data Verification",'QA Log'!L:L,"Hospital Governance",'QA Log'!Z:Z,"Approved"),"")</f>
        <v/>
      </c>
      <c r="AK343" s="102" t="str">
        <f>IF(A343="","",
SUM(
COUNTIFS('QA Log'!D:D,A343,'QA Log'!M:M,"Data Verification",'QA Log'!Z:Z,"Rejected",'QA Log'!L:L,"*Medicine (section 2)*"),
COUNTIFS('QA Log'!D:D,A343,'QA Log'!M:M,"Data Verification",'QA Log'!Z:Z,"Rejected",'QA Log'!L:L,"*Lab Testing Availability*"),
COUNTIFS('QA Log'!D:D,A343,'QA Log'!M:M,"Data Verification",'QA Log'!Z:Z,"Rejected",'QA Log'!L:L,"*Other than P4P (section 6)*"),
COUNTIFS('QA Log'!D:D,A343,'QA Log'!M:M,"Data Verification",'QA Log'!Z:Z,"Rejected",'QA Log'!L:L,"*Hospital Governance*")
))</f>
        <v/>
      </c>
      <c r="AL343" s="106" t="str">
        <f t="shared" si="31"/>
        <v/>
      </c>
      <c r="AM343" s="102" t="str">
        <f t="shared" si="32"/>
        <v/>
      </c>
      <c r="AN343" s="102" t="str">
        <f>IF(A343="","",
SUM(
COUNTIFS('QA Log'!D:D,A343,'QA Log'!M:M,"Data Verification",'QA Log'!L:L,"*Personnel (section 1)*"),
COUNTIFS('QA Log'!D:D,A343,'QA Log'!M:M,"Data Verification",'QA Log'!L:L,"*Consumable (section 3)*"),
COUNTIFS('QA Log'!D:D,A343,'QA Log'!M:M,"Data Verification",'QA Log'!L:L,"*Equipments (section 4)*")
))</f>
        <v/>
      </c>
      <c r="AO343" s="102" t="str">
        <f>IF(A343="","",
SUM(
COUNTIFS('QA Log'!D:D,A343,'QA Log'!M:M,"Data Verification",'QA Log'!Z:Z,"Approved",'QA Log'!L:L,"*Personnel (section 1)*"),
COUNTIFS('QA Log'!D:D,A343,'QA Log'!M:M,"Data Verification",'QA Log'!Z:Z,"Approved",'QA Log'!L:L,"*Consumable (section 3)*"),
COUNTIFS('QA Log'!D:D,A343,'QA Log'!M:M,"Data Verification",'QA Log'!Z:Z,"Approved",'QA Log'!L:L,"*Equipments (section 4)*")
))</f>
        <v/>
      </c>
      <c r="AP343" s="105" t="str">
        <f>IF(A343&lt;&gt;"",COUNTIFS('QA Log'!D:D,A343,'QA Log'!M:M,"Data Verification",'QA Log'!L:L,"Personnel (section 1)",'QA Log'!Z:Z,"Approved"),"")</f>
        <v/>
      </c>
      <c r="AQ343" s="105" t="str">
        <f>IF(A343&lt;&gt;"",COUNTIFS('QA Log'!D:D,A343,'QA Log'!M:M,"Data Verification",'QA Log'!L:L,"Consumable (section 3)",'QA Log'!Z:Z,"Approved"),"")</f>
        <v/>
      </c>
      <c r="AR343" s="105" t="str">
        <f>IF(A343&lt;&gt;"",COUNTIFS('QA Log'!D:D,A343,'QA Log'!M:M,"Data Verification",'QA Log'!L:L,"Equipments (section 4)",'QA Log'!Z:Z,"Approved"),"")</f>
        <v/>
      </c>
      <c r="AS343" s="102" t="str">
        <f>IF(A343="","",
SUM(
COUNTIFS('QA Log'!D:D,A343,'QA Log'!M:M,"Data Verification",'QA Log'!Z:Z,"Rejected",'QA Log'!L:L,"*Personnel (section 1)*"),
COUNTIFS('QA Log'!D:D,A343,'QA Log'!M:M,"Data Verification",'QA Log'!Z:Z,"Rejected",'QA Log'!L:L,"*Consumable (section 3)*"),
COUNTIFS('QA Log'!D:D,A343,'QA Log'!M:M,"Data Verification",'QA Log'!Z:Z,"Rejected",'QA Log'!L:L,"*Equipments (section 4)*")
))</f>
        <v/>
      </c>
      <c r="AT343" s="102" t="str">
        <f t="shared" si="33"/>
        <v/>
      </c>
      <c r="AU343" s="103" t="str">
        <f t="shared" si="34"/>
        <v/>
      </c>
      <c r="AV343" s="102" t="str">
        <f>IF(A343="","",SUM(
COUNTIFS('QA Log'!D:D,A343,'QA Log'!M:M,"Vignette",'QA Log'!L:L,"*Vignette [1] Respiratory Infection: Pneumonia*"),
COUNTIFS('QA Log'!D:D,A343,'QA Log'!M:M,"Vignette",'QA Log'!L:L,"*Vignette [2]: Diarrhea with Cat B dehydration*"),
COUNTIFS('QA Log'!D:D,A343,'QA Log'!M:M,"Vignette",'QA Log'!L:L,"*Vignette [3] Growth Monitoring and Promotion*"),
COUNTIFS('QA Log'!D:D,A343,'QA Log'!M:M,"Vignette",'QA Log'!L:L,"*Vignette [4]: The management of presumptive TB patient*")
)
)</f>
        <v/>
      </c>
      <c r="AW343" s="102" t="str">
        <f>IF(
  A343="","",
  SUM(
    COUNTIFS('QA Log'!D:D,A343,'QA Log'!M:M,"Vignette",'QA Log'!Z:Z,"Approved",'QA Log'!L:L,"*Vignette [1] Respiratory Infection: Pneumonia*"),
    COUNTIFS('QA Log'!D:D,A343,'QA Log'!M:M,"Vignette",'QA Log'!Z:Z,"Approved",'QA Log'!L:L,"*Vignette [2]: Diarrhea with Cat B dehydration*"),
    COUNTIFS('QA Log'!D:D,A343,'QA Log'!M:M,"Vignette",'QA Log'!Z:Z,"Approved",'QA Log'!L:L,"*Vignette [3] Growth Monitoring and Promotion*"),
    COUNTIFS('QA Log'!D:D,A343,'QA Log'!M:M,"Vignette",'QA Log'!Z:Z,"Approved",'QA Log'!L:L,"*Vignette [4]: The management of presumptive TB patient*")
  )
)</f>
        <v/>
      </c>
      <c r="AX343" s="105" t="str">
        <f>IF(A343&lt;&gt;"",COUNTIFS('QA Log'!D:D,A343,'QA Log'!M:M,"Vignette",'QA Log'!L:L,"Vignette [1] Respiratory Infection: Pneumonia",'QA Log'!Z:Z,"Approved"),"")</f>
        <v/>
      </c>
      <c r="AY343" s="105" t="str">
        <f>IF(A343&lt;&gt;"",COUNTIFS('QA Log'!D:D,A343,'QA Log'!M:M,"Vignette",'QA Log'!L:L,"Vignette [2]: Diarrhea with Cat B dehydration",'QA Log'!Z:Z,"Approved"),"")</f>
        <v/>
      </c>
      <c r="AZ343" s="105" t="str">
        <f>IF(A343&lt;&gt;"",COUNTIFS('QA Log'!D:D,A343,'QA Log'!M:M,"Vignette",'QA Log'!L:L,"Vignette [3] Growth Monitoring and Promotion",'QA Log'!Z:Z,"Approved"),"")</f>
        <v/>
      </c>
      <c r="BA343" s="105" t="str">
        <f>IF(A343&lt;&gt;"",COUNTIFS('QA Log'!D:D,A343,'QA Log'!M:M,"Vignette",'QA Log'!L:L,"Vignette [4]: The management of presumptive TB patient",'QA Log'!Z:Z,"Approved"),"")</f>
        <v/>
      </c>
      <c r="BB343" s="102" t="str">
        <f>IF(A343="","",
  SUM(
    COUNTIFS('QA Log'!D:D,A343,'QA Log'!M:M,"Vignette",'QA Log'!Z:Z,"Rejected",'QA Log'!L:L,"*Vignette [1] Respiratory Infection: Pneumonia*"),
    COUNTIFS('QA Log'!D:D,A343,'QA Log'!M:M,"Vignette",'QA Log'!Z:Z,"Rejected",'QA Log'!L:L,"*Vignette [2]: Diarrhea with Cat B dehydration*"),
    COUNTIFS('QA Log'!D:D,A343,'QA Log'!M:M,"Vignette",'QA Log'!Z:Z,"Rejected",'QA Log'!L:L,"*Vignette [3] Growth Monitoring and Promotion*"),
    COUNTIFS('QA Log'!D:D,A343,'QA Log'!M:M,"Vignette",'QA Log'!Z:Z,"Rejected",'QA Log'!L:L,"*Vignette [4]: The management of presumptive TB patient*")
  )
)</f>
        <v/>
      </c>
      <c r="BC343" s="107" t="str">
        <f t="shared" si="35"/>
        <v/>
      </c>
      <c r="BD343" s="103" t="str">
        <f t="shared" si="36"/>
        <v/>
      </c>
      <c r="BE343" s="102" t="str">
        <f>IF(A343="","",SUM(
COUNTIFS('QA Log'!D:D,A343,'QA Log'!M:M,"Vignette",'QA Log'!L:L,"*Vignette [5] Labor*"),
COUNTIFS('QA Log'!D:D,A343,'QA Log'!M:M,"Vignette",'QA Log'!L:L,"*Vignette [6] PNC pre Discharge*"),
COUNTIFS('QA Log'!D:D,A343,'QA Log'!M:M,"Vignette",'QA Log'!L:L,"*Vignette [7] First ANC Visit*"),
COUNTIFS('QA Log'!D:D,A343,'QA Log'!M:M,"Vignette",'QA Log'!L:L,"*Vignette [8] Birth Spacing/ Family Planning :  FP Counselling*"),
COUNTIFS('QA Log'!D:D,A343,'QA Log'!M:M,"Vignette",'QA Log'!L:L,"*Vignette [9] Birth Spacing: Change FP method to Injectable*"),
COUNTIFS('QA Log'!D:D,A343,'QA Log'!M:M,"Vignette",'QA Log'!L:L,"*Vignette [10] Post Partum Haemorrhage - Atonic Uterus at Health Centre*"),
)
)</f>
        <v/>
      </c>
      <c r="BF343" s="102" t="str">
        <f>IF(A343="","",
  SUM(
    COUNTIFS('QA Log'!D:D,A343,'QA Log'!M:M,"Vignette",'QA Log'!Z:Z,"Approved",'QA Log'!L:L,"*Vignette [5] Labor*"),
    COUNTIFS('QA Log'!D:D,A343,'QA Log'!M:M,"Vignette",'QA Log'!Z:Z,"Approved",'QA Log'!L:L,"*Vignette [6] PNC pre Discharge*"),
    COUNTIFS('QA Log'!D:D,A343,'QA Log'!M:M,"Vignette",'QA Log'!Z:Z,"Approved",'QA Log'!L:L,"*Vignette [7] First ANC Visit*"),
    COUNTIFS('QA Log'!D:D,A343,'QA Log'!M:M,"Vignette",'QA Log'!Z:Z,"Approved",'QA Log'!L:L,"*Vignette [8] Birth Spacing/ Family Planning :  FP Counselling*"),
    COUNTIFS('QA Log'!D:D,A343,'QA Log'!M:M,"Vignette",'QA Log'!Z:Z,"Approved",'QA Log'!L:L,"*Vignette [9] Birth Spacing: Change FP method to Injectable*"),
    COUNTIFS('QA Log'!D:D,A343,'QA Log'!M:M,"Vignette",'QA Log'!Z:Z,"Approved",'QA Log'!L:L,"*Vignette [10] Post Partum Haemorrhage - Atonic Uterus at Health Centre*")
  )
)</f>
        <v/>
      </c>
      <c r="BG343" s="105" t="str">
        <f>IF(A343&lt;&gt;"",COUNTIFS('QA Log'!D:D,A343,'QA Log'!M:M,"Vignette",'QA Log'!L:L,"Vignette [5] Labor",'QA Log'!Z:Z,"Approved"),"")</f>
        <v/>
      </c>
      <c r="BH343" s="105" t="str">
        <f>IF(A343&lt;&gt;"",COUNTIFS('QA Log'!D:D,A343,'QA Log'!M:M,"Vignette",'QA Log'!L:L,"Vignette [6] PNC pre Discharge",'QA Log'!Z:Z,"Approved"),"")</f>
        <v/>
      </c>
      <c r="BI343" s="105" t="str">
        <f>IF(A343&lt;&gt;"",COUNTIFS('QA Log'!D:D,A343,'QA Log'!M:M,"Vignette",'QA Log'!L:L,"Vignette [7] First ANC Visit",'QA Log'!Z:Z,"Approved"),"")</f>
        <v/>
      </c>
      <c r="BJ343" s="105" t="str">
        <f>IF(A343&lt;&gt;"",COUNTIFS('QA Log'!D:D,A343,'QA Log'!M:M,"Vignette",'QA Log'!L:L,"Vignette [8] Birth Spacing/ Family Planning :  FP Counselling",'QA Log'!Z:Z,"Approved"),"")</f>
        <v/>
      </c>
      <c r="BK343" s="105" t="str">
        <f>IF(A343&lt;&gt;"",COUNTIFS('QA Log'!D:D,A343,'QA Log'!M:M,"Vignette",'QA Log'!L:L,"Vignette [9] Birth Spacing: Change FP method to Injectable",'QA Log'!Z:Z,"Approved"),"")</f>
        <v/>
      </c>
      <c r="BL343" s="105" t="str">
        <f>IF(A343&lt;&gt;"",COUNTIFS('QA Log'!D:D,A343,'QA Log'!M:M,"Vignette",'QA Log'!L:L,"Vignette [10] Post Partum Haemorrhage - Atonic Uterus at Health Centre",'QA Log'!Z:Z,"Approved"),"")</f>
        <v/>
      </c>
      <c r="BM343" s="102" t="str">
        <f>IF(A343="","",SUM(
    COUNTIFS('QA Log'!D:D,A343,'QA Log'!M:M,"Vignette",'QA Log'!Z:Z,"Rejected",'QA Log'!L:L,"*Vignette [5] Labor*"),
    COUNTIFS('QA Log'!D:D,A343,'QA Log'!M:M,"Vignette",'QA Log'!Z:Z,"Rejected",'QA Log'!L:L,"*Vignette [6] PNC pre Discharge*"),
    COUNTIFS('QA Log'!D:D,A343,'QA Log'!M:M,"Vignette",'QA Log'!Z:Z,"Rejected",'QA Log'!L:L,"*Vignette [7] First ANC Visit*"),
    COUNTIFS('QA Log'!D:D,A343,'QA Log'!M:M,"Vignette",'QA Log'!Z:Z,"Rejected",'QA Log'!L:L,"*Vignette [8] Birth Spacing/ Family Planning :  FP Counselling*"),
    COUNTIFS('QA Log'!D:D,A343,'QA Log'!M:M,"Vignette",'QA Log'!Z:Z,"Rejected",'QA Log'!L:L,"*Vignette [9] Birth Spacing: Change FP method to Injectable*"),
    COUNTIFS('QA Log'!D:D,A343,'QA Log'!M:M,"Vignette",'QA Log'!Z:Z,"Rejected",'QA Log'!L:L,"*Vignette [10] Post Partum Haemorrhage - Atonic Uterus at Health Centre*")
  )
)</f>
        <v/>
      </c>
      <c r="BN343" s="107" t="str">
        <f t="shared" si="37"/>
        <v/>
      </c>
      <c r="BO343" s="103" t="str">
        <f t="shared" si="38"/>
        <v/>
      </c>
      <c r="BP343" s="102" t="str">
        <f>IF(A343="","",SUM(
COUNTIFS('QA Log'!D:D,A343,'QA Log'!M:M,"Vignette",'QA Log'!L:L,"*Exit Interview 1*"),
COUNTIFS('QA Log'!D:D,A343,'QA Log'!M:M,"Vignette",'QA Log'!L:L,"*Exit Interview 2*"),
)
)</f>
        <v/>
      </c>
      <c r="BQ343" s="102" t="str">
        <f>IF(
  A343="","",
  SUM(
    COUNTIFS('QA Log'!D:D,A343,'QA Log'!M:M,"Vignette",'QA Log'!Z:Z,"Approved",'QA Log'!L:L,"*Exit Interview 1*"),
    COUNTIFS('QA Log'!D:D,A343,'QA Log'!M:M,"Vignette",'QA Log'!Z:Z,"Approved",'QA Log'!L:L,"*Exit Interview 2*")
  )
)</f>
        <v/>
      </c>
      <c r="BR343" s="105" t="str">
        <f>IF(A343&lt;&gt;"",COUNTIFS('QA Log'!D:D,A343,'QA Log'!M:M,"Vignette",'QA Log'!L:L,"Exit Interview 1",'QA Log'!Z:Z,"Approved"),"")</f>
        <v/>
      </c>
      <c r="BS343" s="105" t="str">
        <f>IF(A343&lt;&gt;"",COUNTIFS('QA Log'!D:D,A343,'QA Log'!M:M,"Vignette",'QA Log'!L:L,"Exit Interview 2",'QA Log'!Z:Z,"Approved"),"")</f>
        <v/>
      </c>
      <c r="BT343" s="102" t="str">
        <f>IF(
  A343="","",
  SUM(
    COUNTIFS('QA Log'!D:D,A343,'QA Log'!M:M,"Vignette",'QA Log'!Z:Z,"Rejected",'QA Log'!L:L,"*Exit Interview 1*"),
    COUNTIFS('QA Log'!D:D,A343,'QA Log'!M:M,"Vignette",'QA Log'!Z:Z,"Rejected",'QA Log'!L:L,"*Exit Interview 2*")
  )
)</f>
        <v/>
      </c>
      <c r="BU343" s="107" t="str">
        <f t="shared" si="39"/>
        <v/>
      </c>
      <c r="BV343" s="102" t="str">
        <f t="shared" si="40"/>
        <v/>
      </c>
      <c r="BW343" s="102" t="str">
        <f t="shared" si="41"/>
        <v/>
      </c>
      <c r="BX343" s="102" t="str">
        <f t="shared" si="42"/>
        <v/>
      </c>
      <c r="BY343" s="102" t="str">
        <f t="shared" si="43"/>
        <v/>
      </c>
      <c r="BZ343" s="107" t="str">
        <f t="shared" si="44"/>
        <v/>
      </c>
      <c r="CA343" s="108" t="str">
        <f t="shared" si="45"/>
        <v/>
      </c>
      <c r="CB343" s="108" t="str">
        <f t="shared" si="46"/>
        <v/>
      </c>
      <c r="CC343" s="109" t="str">
        <f t="shared" si="47"/>
        <v/>
      </c>
      <c r="CD343" s="108" t="str">
        <f t="shared" si="48"/>
        <v/>
      </c>
      <c r="CE343" s="108" t="str">
        <f t="shared" si="49"/>
        <v/>
      </c>
      <c r="CF343" s="109" t="str">
        <f t="shared" si="50"/>
        <v/>
      </c>
      <c r="CG343" s="110" t="str">
        <f t="shared" si="51"/>
        <v/>
      </c>
      <c r="CH343" s="111"/>
    </row>
    <row r="344" spans="1:86" ht="12.75">
      <c r="A344" s="101"/>
      <c r="B344" s="102" t="e">
        <f t="array" aca="1" ref="B344" ca="1">_xludf.XLOOKUP(A344,'QA Log'!D:D,'QA Log'!E:E,"")</f>
        <v>#NAME?</v>
      </c>
      <c r="C344" s="102" t="e">
        <f t="array" aca="1" ref="C344" ca="1">_xludf.XLOOKUP(A344,'QA Log'!D:D,'QA Log'!F:F,"")</f>
        <v>#NAME?</v>
      </c>
      <c r="D344" s="102" t="e">
        <f t="array" aca="1" ref="D344" ca="1">_xludf.XLOOKUP(A344,'QA Log'!D:D,'QA Log'!H:H,"")</f>
        <v>#NAME?</v>
      </c>
      <c r="E344" s="102" t="e">
        <f t="array" aca="1" ref="E344" ca="1">_xludf.XLOOKUP(A344,'QA Log'!D:D,'QA Log'!G:G,"")</f>
        <v>#NAME?</v>
      </c>
      <c r="F344" s="103"/>
      <c r="G344" s="104"/>
      <c r="H344" s="104"/>
      <c r="I344" s="103" t="str">
        <f t="shared" si="26"/>
        <v/>
      </c>
      <c r="J344" s="102" t="str">
        <f>IF(A344="","",SUM(
COUNTIFS('QA Log'!D:D,A344,'QA Log'!M:M,"QQC",'QA Log'!L:L,"*1. General Management*"),
COUNTIFS('QA Log'!D:D,A344,'QA Log'!M:M,"QQC",'QA Log'!L:L,"*3. Curative Consultation (OPD)*"),
COUNTIFS('QA Log'!D:D,A344,'QA Log'!M:M,"QQC",'QA Log'!L:L,"*5. Laboratory*"),
COUNTIFS('QA Log'!D:D,A344,'QA Log'!M:M,"QQC",'QA Log'!L:L,"*6. Essential Medicine Management*"),
COUNTIFS('QA Log'!D:D,A344,'QA Log'!M:M,"QQC",'QA Log'!L:L,"*7. Tracer Medicine*"),
COUNTIFS('QA Log'!D:D,A344,'QA Log'!M:M,"QQC",'QA Log'!L:L,"*11. Additional Questions*")))</f>
        <v/>
      </c>
      <c r="K344" s="102" t="str">
        <f>IF(A344="","",SUM(
COUNTIFS('QA Log'!D:D,A344,'QA Log'!M:M,"QQC",'QA Log'!Z:Z,"Approved",'QA Log'!L:L,"*1. General Management*"),
COUNTIFS('QA Log'!D:D,A344,'QA Log'!M:M,"QQC",'QA Log'!Z:Z,"Approved",'QA Log'!L:L,"*3. Curative Consultation (OPD)*"),
COUNTIFS('QA Log'!D:D,A344,'QA Log'!M:M,"QQC",'QA Log'!Z:Z,"Approved",'QA Log'!L:L,"*5. Laboratory*"),
COUNTIFS('QA Log'!D:D,A344,'QA Log'!M:M,"QQC",'QA Log'!Z:Z,"Approved",'QA Log'!L:L,"*6. Essential Medicine Management*"),
COUNTIFS('QA Log'!D:D,A344,'QA Log'!M:M,"QQC",'QA Log'!Z:Z,"Approved",'QA Log'!L:L,"*7. Tracer Medicine*"),
COUNTIFS('QA Log'!D:D,A344,'QA Log'!M:M,"QQC",'QA Log'!Z:Z,"Approved",'QA Log'!L:L,"*11. Additional Questions*")))</f>
        <v/>
      </c>
      <c r="L344" s="105" t="str">
        <f>IF(A344&lt;&gt;"",COUNTIFS('QA Log'!D:D,A344,'QA Log'!M:M,"QQC",'QA Log'!L:L,"1. General Management",'QA Log'!Z:Z,"Approved"),"")</f>
        <v/>
      </c>
      <c r="M344" s="105" t="str">
        <f>IF(A344&lt;&gt;"",COUNTIFS('QA Log'!D:D,A344,'QA Log'!M:M,"QQC",'QA Log'!L:L,"3. Curative Consultation (OPD)",'QA Log'!Z:Z,"Approved"),"")</f>
        <v/>
      </c>
      <c r="N344" s="105" t="str">
        <f>IF(A344&lt;&gt;"",COUNTIFS('QA Log'!D:D,A344,'QA Log'!M:M,"QQC",'QA Log'!L:L,"5. Laboratory",'QA Log'!Z:Z,"Approved"),"")</f>
        <v/>
      </c>
      <c r="O344" s="105" t="str">
        <f>IF(A344&lt;&gt;"",COUNTIFS('QA Log'!D:D,A344,'QA Log'!M:M,"QQC",'QA Log'!L:L,"6. Essential Medicine Management",'QA Log'!Z:Z,"Approved"),"")</f>
        <v/>
      </c>
      <c r="P344" s="105" t="str">
        <f>IF(A344&lt;&gt;"",COUNTIFS('QA Log'!D:D,A344,'QA Log'!M:M,"QQC",'QA Log'!L:L,"7. Tracer Medicine",'QA Log'!Z:Z,"Approved"),"")</f>
        <v/>
      </c>
      <c r="Q344" s="105" t="str">
        <f>IF(A344&lt;&gt;"",COUNTIFS('QA Log'!D:D,A344,'QA Log'!M:M,"QQC",'QA Log'!L:L,"11. Additional Questions",'QA Log'!Z:Z,"Approved"),"")</f>
        <v/>
      </c>
      <c r="R344" s="102" t="str">
        <f>IF(A344="","",SUM(
COUNTIFS('QA Log'!D:D,A344,'QA Log'!M:M,"QQC",'QA Log'!Z:Z,"Rejected",'QA Log'!L:L,"*8. Maternity*"),
COUNTIFS('QA Log'!D:D,A344,'QA Log'!M:M,"QQC",'QA Log'!Z:Z,"Rejected",'QA Log'!L:L,"*EPI*"),
COUNTIFS('QA Log'!D:D,A344,'QA Log'!M:M,"QQC",'QA Log'!Z:Z,"Rejected",'QA Log'!L:L,"*10. Antenatal Care (ANC)*"),
COUNTIFS('QA Log'!D:D,A344,'QA Log'!M:M,"QQC",'QA Log'!Z:Z,"Rejected",'QA Log'!L:L,"*2. Hygiene and Sterilization*"),
COUNTIFS('QA Log'!D:D,A344,'QA Log'!M:M,"QQC",'QA Log'!Z:Z,"Rejected",'QA Log'!L:L,"*Family Planning*")))</f>
        <v/>
      </c>
      <c r="S344" s="106" t="str">
        <f t="shared" si="27"/>
        <v/>
      </c>
      <c r="T344" s="102" t="str">
        <f t="shared" si="28"/>
        <v/>
      </c>
      <c r="U344" s="102" t="str">
        <f>IF(A344="","",
SUM(
COUNTIFS('QA Log'!D:D,A344,'QA Log'!M:M,"QQC",'QA Log'!L:L,"*8. Maternity*"),
COUNTIFS('QA Log'!D:D,A344,'QA Log'!M:M,"QQC",'QA Log'!L:L,"*9. EPI and Pre-school Consultation*"),
COUNTIFS('QA Log'!D:D,A344,'QA Log'!M:M,"QQC",'QA Log'!L:L,"*10. Antenatal Care (ANC)*"),
COUNTIFS('QA Log'!D:D,A344,'QA Log'!M:M,"QQC",'QA Log'!L:L,"*2. Hygiene and Sterilization*"),
COUNTIFS('QA Log'!D:D,A344,'QA Log'!M:M,"QQC",'QA Log'!L:L,"*4. Family Planning*")
))</f>
        <v/>
      </c>
      <c r="V344" s="102" t="str">
        <f>IF(A344="","",
SUM(
COUNTIFS('QA Log'!D:D,A344,'QA Log'!M:M,"QQC",'QA Log'!Z:Z,"Approved",'QA Log'!L:L,"*8. Maternity*"),
COUNTIFS('QA Log'!D:D,A344,'QA Log'!M:M,"QQC",'QA Log'!Z:Z,"Approved",'QA Log'!L:L,"*9. EPI and Pre-school Consultation*"),
COUNTIFS('QA Log'!D:D,A344,'QA Log'!M:M,"QQC",'QA Log'!Z:Z,"Approved",'QA Log'!L:L,"*10. Antenatal Care (ANC)*"),
COUNTIFS('QA Log'!D:D,A344,'QA Log'!M:M,"QQC",'QA Log'!Z:Z,"Approved",'QA Log'!L:L,"*2. Hygiene and Sterilization*"),
COUNTIFS('QA Log'!D:D,A344,'QA Log'!M:M,"QQC",'QA Log'!Z:Z,"Approved",'QA Log'!L:L,"*4. Family Planning*")
))</f>
        <v/>
      </c>
      <c r="W344" s="105" t="str">
        <f>IF(A344&lt;&gt;"",COUNTIFS('QA Log'!D:D,A344,'QA Log'!M:M,"QQC",'QA Log'!L:L,"8. Maternity",'QA Log'!Z:Z,"Approved"),"")</f>
        <v/>
      </c>
      <c r="X344" s="105" t="str">
        <f>IF(A344&lt;&gt;"",COUNTIFS('QA Log'!D:D,A344,'QA Log'!M:M,"QQC",'QA Log'!L:L,"9. EPI and Pre-school Consultation",'QA Log'!Z:Z,"Approved"),"")</f>
        <v/>
      </c>
      <c r="Y344" s="105" t="str">
        <f>IF(A344&lt;&gt;"",COUNTIFS('QA Log'!D:D,A344,'QA Log'!M:M,"QQC",'QA Log'!L:L,"10. Antenatal Care (ANC)",'QA Log'!Z:Z,"Approved"),"")</f>
        <v/>
      </c>
      <c r="Z344" s="105" t="str">
        <f>IF(A344&lt;&gt;"",COUNTIFS('QA Log'!D:D,A344,'QA Log'!M:M,"QQC",'QA Log'!L:L,"2. Hygiene and Sterilization",'QA Log'!Z:Z,"Approved"),"")</f>
        <v/>
      </c>
      <c r="AA344" s="105" t="str">
        <f>IF(A344&lt;&gt;"",COUNTIFS('QA Log'!D:D,A344,'QA Log'!M:M,"QQC",'QA Log'!L:L,"4. Family Planning",'QA Log'!Z:Z,"Approved"),"")</f>
        <v/>
      </c>
      <c r="AB344" s="102" t="str">
        <f>IF(A344="","",
SUM(
COUNTIFS('QA Log'!D:D,A344,'QA Log'!M:M,"QQC",'QA Log'!Z:Z,"Rejected",'QA Log'!L:L,"*8. Maternity*"),
COUNTIFS('QA Log'!D:D,A344,'QA Log'!M:M,"QQC",'QA Log'!Z:Z,"Rejected",'QA Log'!L:L,"*9. EPI and Pre-school Consultation*"),
COUNTIFS('QA Log'!D:D,A344,'QA Log'!M:M,"QQC",'QA Log'!Z:Z,"Rejected",'QA Log'!L:L,"*10. Antenatal Care (ANC)*"),
COUNTIFS('QA Log'!D:D,A344,'QA Log'!M:M,"QQC",'QA Log'!Z:Z,"Rejected",'QA Log'!L:L,"*2. Hygiene and Sterilization*"),
COUNTIFS('QA Log'!D:D,A344,'QA Log'!M:M,"QQC",'QA Log'!Z:Z,"Rejected",'QA Log'!L:L,"*4. Family Planning*")
))</f>
        <v/>
      </c>
      <c r="AC344" s="102" t="str">
        <f t="shared" si="29"/>
        <v/>
      </c>
      <c r="AD344" s="103" t="str">
        <f t="shared" si="30"/>
        <v/>
      </c>
      <c r="AE344" s="102" t="str">
        <f>IF(A344="","",
SUM(
COUNTIFS('QA Log'!D:D,A344,'QA Log'!M:M,"Data Verification",'QA Log'!L:L,"*Medicine (section 2)*"),
COUNTIFS('QA Log'!D:D,A344,'QA Log'!M:M,"Data Verification",'QA Log'!L:L,"*Lab Testing Availability*"),
COUNTIFS('QA Log'!D:D,A344,'QA Log'!M:M,"Data Verification",'QA Log'!L:L,"*Other than P4P (section 6)*"),
COUNTIFS('QA Log'!D:D,A344,'QA Log'!M:M,"Data Verification",'QA Log'!L:L,"*Hospital Governance*")
))</f>
        <v/>
      </c>
      <c r="AF344" s="102" t="str">
        <f>IF(A344="","",
SUM(
COUNTIFS('QA Log'!D:D,A344,'QA Log'!M:M,"Data Verification",'QA Log'!Z:Z,"Approved",'QA Log'!L:L,"*Medicine (section 2)*"),
COUNTIFS('QA Log'!D:D,A344,'QA Log'!M:M,"Data Verification",'QA Log'!Z:Z,"Approved",'QA Log'!L:L,"*Lab Testing Availability*"),
COUNTIFS('QA Log'!D:D,A344,'QA Log'!M:M,"Data Verification",'QA Log'!Z:Z,"Approved",'QA Log'!L:L,"*Other than P4P (section 6)*"),
COUNTIFS('QA Log'!D:D,A344,'QA Log'!M:M,"Data Verification",'QA Log'!Z:Z,"Approved",'QA Log'!L:L,"*Hospital Governance*")
))</f>
        <v/>
      </c>
      <c r="AG344" s="105" t="str">
        <f>IF(A344&lt;&gt;"",COUNTIFS('QA Log'!D:D,A344,'QA Log'!M:M,"Data Verification",'QA Log'!L:L,"Medicine (section 2)",'QA Log'!Z:Z,"Approved"),"")</f>
        <v/>
      </c>
      <c r="AH344" s="105" t="str">
        <f>IF(A344&lt;&gt;"",COUNTIFS('QA Log'!D:D,A344,'QA Log'!M:M,"Data Verification",'QA Log'!L:L,"Lab Testing Availability",'QA Log'!Z:Z,"Approved"),"")</f>
        <v/>
      </c>
      <c r="AI344" s="105" t="str">
        <f>IF(A344&lt;&gt;"",COUNTIFS('QA Log'!D:D,A344,'QA Log'!M:M,"Data Verification",'QA Log'!L:L,"Other than P4P (section 6)",'QA Log'!Z:Z,"Approved"),"")</f>
        <v/>
      </c>
      <c r="AJ344" s="105" t="str">
        <f>IF(A344&lt;&gt;"",COUNTIFS('QA Log'!D:D,A344,'QA Log'!M:M,"Data Verification",'QA Log'!L:L,"Hospital Governance",'QA Log'!Z:Z,"Approved"),"")</f>
        <v/>
      </c>
      <c r="AK344" s="102" t="str">
        <f>IF(A344="","",
SUM(
COUNTIFS('QA Log'!D:D,A344,'QA Log'!M:M,"Data Verification",'QA Log'!Z:Z,"Rejected",'QA Log'!L:L,"*Medicine (section 2)*"),
COUNTIFS('QA Log'!D:D,A344,'QA Log'!M:M,"Data Verification",'QA Log'!Z:Z,"Rejected",'QA Log'!L:L,"*Lab Testing Availability*"),
COUNTIFS('QA Log'!D:D,A344,'QA Log'!M:M,"Data Verification",'QA Log'!Z:Z,"Rejected",'QA Log'!L:L,"*Other than P4P (section 6)*"),
COUNTIFS('QA Log'!D:D,A344,'QA Log'!M:M,"Data Verification",'QA Log'!Z:Z,"Rejected",'QA Log'!L:L,"*Hospital Governance*")
))</f>
        <v/>
      </c>
      <c r="AL344" s="106" t="str">
        <f t="shared" si="31"/>
        <v/>
      </c>
      <c r="AM344" s="102" t="str">
        <f t="shared" si="32"/>
        <v/>
      </c>
      <c r="AN344" s="102" t="str">
        <f>IF(A344="","",
SUM(
COUNTIFS('QA Log'!D:D,A344,'QA Log'!M:M,"Data Verification",'QA Log'!L:L,"*Personnel (section 1)*"),
COUNTIFS('QA Log'!D:D,A344,'QA Log'!M:M,"Data Verification",'QA Log'!L:L,"*Consumable (section 3)*"),
COUNTIFS('QA Log'!D:D,A344,'QA Log'!M:M,"Data Verification",'QA Log'!L:L,"*Equipments (section 4)*")
))</f>
        <v/>
      </c>
      <c r="AO344" s="102" t="str">
        <f>IF(A344="","",
SUM(
COUNTIFS('QA Log'!D:D,A344,'QA Log'!M:M,"Data Verification",'QA Log'!Z:Z,"Approved",'QA Log'!L:L,"*Personnel (section 1)*"),
COUNTIFS('QA Log'!D:D,A344,'QA Log'!M:M,"Data Verification",'QA Log'!Z:Z,"Approved",'QA Log'!L:L,"*Consumable (section 3)*"),
COUNTIFS('QA Log'!D:D,A344,'QA Log'!M:M,"Data Verification",'QA Log'!Z:Z,"Approved",'QA Log'!L:L,"*Equipments (section 4)*")
))</f>
        <v/>
      </c>
      <c r="AP344" s="105" t="str">
        <f>IF(A344&lt;&gt;"",COUNTIFS('QA Log'!D:D,A344,'QA Log'!M:M,"Data Verification",'QA Log'!L:L,"Personnel (section 1)",'QA Log'!Z:Z,"Approved"),"")</f>
        <v/>
      </c>
      <c r="AQ344" s="105" t="str">
        <f>IF(A344&lt;&gt;"",COUNTIFS('QA Log'!D:D,A344,'QA Log'!M:M,"Data Verification",'QA Log'!L:L,"Consumable (section 3)",'QA Log'!Z:Z,"Approved"),"")</f>
        <v/>
      </c>
      <c r="AR344" s="105" t="str">
        <f>IF(A344&lt;&gt;"",COUNTIFS('QA Log'!D:D,A344,'QA Log'!M:M,"Data Verification",'QA Log'!L:L,"Equipments (section 4)",'QA Log'!Z:Z,"Approved"),"")</f>
        <v/>
      </c>
      <c r="AS344" s="102" t="str">
        <f>IF(A344="","",
SUM(
COUNTIFS('QA Log'!D:D,A344,'QA Log'!M:M,"Data Verification",'QA Log'!Z:Z,"Rejected",'QA Log'!L:L,"*Personnel (section 1)*"),
COUNTIFS('QA Log'!D:D,A344,'QA Log'!M:M,"Data Verification",'QA Log'!Z:Z,"Rejected",'QA Log'!L:L,"*Consumable (section 3)*"),
COUNTIFS('QA Log'!D:D,A344,'QA Log'!M:M,"Data Verification",'QA Log'!Z:Z,"Rejected",'QA Log'!L:L,"*Equipments (section 4)*")
))</f>
        <v/>
      </c>
      <c r="AT344" s="102" t="str">
        <f t="shared" si="33"/>
        <v/>
      </c>
      <c r="AU344" s="103" t="str">
        <f t="shared" si="34"/>
        <v/>
      </c>
      <c r="AV344" s="102" t="str">
        <f>IF(A344="","",SUM(
COUNTIFS('QA Log'!D:D,A344,'QA Log'!M:M,"Vignette",'QA Log'!L:L,"*Vignette [1] Respiratory Infection: Pneumonia*"),
COUNTIFS('QA Log'!D:D,A344,'QA Log'!M:M,"Vignette",'QA Log'!L:L,"*Vignette [2]: Diarrhea with Cat B dehydration*"),
COUNTIFS('QA Log'!D:D,A344,'QA Log'!M:M,"Vignette",'QA Log'!L:L,"*Vignette [3] Growth Monitoring and Promotion*"),
COUNTIFS('QA Log'!D:D,A344,'QA Log'!M:M,"Vignette",'QA Log'!L:L,"*Vignette [4]: The management of presumptive TB patient*")
)
)</f>
        <v/>
      </c>
      <c r="AW344" s="102" t="str">
        <f>IF(
  A344="","",
  SUM(
    COUNTIFS('QA Log'!D:D,A344,'QA Log'!M:M,"Vignette",'QA Log'!Z:Z,"Approved",'QA Log'!L:L,"*Vignette [1] Respiratory Infection: Pneumonia*"),
    COUNTIFS('QA Log'!D:D,A344,'QA Log'!M:M,"Vignette",'QA Log'!Z:Z,"Approved",'QA Log'!L:L,"*Vignette [2]: Diarrhea with Cat B dehydration*"),
    COUNTIFS('QA Log'!D:D,A344,'QA Log'!M:M,"Vignette",'QA Log'!Z:Z,"Approved",'QA Log'!L:L,"*Vignette [3] Growth Monitoring and Promotion*"),
    COUNTIFS('QA Log'!D:D,A344,'QA Log'!M:M,"Vignette",'QA Log'!Z:Z,"Approved",'QA Log'!L:L,"*Vignette [4]: The management of presumptive TB patient*")
  )
)</f>
        <v/>
      </c>
      <c r="AX344" s="105" t="str">
        <f>IF(A344&lt;&gt;"",COUNTIFS('QA Log'!D:D,A344,'QA Log'!M:M,"Vignette",'QA Log'!L:L,"Vignette [1] Respiratory Infection: Pneumonia",'QA Log'!Z:Z,"Approved"),"")</f>
        <v/>
      </c>
      <c r="AY344" s="105" t="str">
        <f>IF(A344&lt;&gt;"",COUNTIFS('QA Log'!D:D,A344,'QA Log'!M:M,"Vignette",'QA Log'!L:L,"Vignette [2]: Diarrhea with Cat B dehydration",'QA Log'!Z:Z,"Approved"),"")</f>
        <v/>
      </c>
      <c r="AZ344" s="105" t="str">
        <f>IF(A344&lt;&gt;"",COUNTIFS('QA Log'!D:D,A344,'QA Log'!M:M,"Vignette",'QA Log'!L:L,"Vignette [3] Growth Monitoring and Promotion",'QA Log'!Z:Z,"Approved"),"")</f>
        <v/>
      </c>
      <c r="BA344" s="105" t="str">
        <f>IF(A344&lt;&gt;"",COUNTIFS('QA Log'!D:D,A344,'QA Log'!M:M,"Vignette",'QA Log'!L:L,"Vignette [4]: The management of presumptive TB patient",'QA Log'!Z:Z,"Approved"),"")</f>
        <v/>
      </c>
      <c r="BB344" s="102" t="str">
        <f>IF(A344="","",
  SUM(
    COUNTIFS('QA Log'!D:D,A344,'QA Log'!M:M,"Vignette",'QA Log'!Z:Z,"Rejected",'QA Log'!L:L,"*Vignette [1] Respiratory Infection: Pneumonia*"),
    COUNTIFS('QA Log'!D:D,A344,'QA Log'!M:M,"Vignette",'QA Log'!Z:Z,"Rejected",'QA Log'!L:L,"*Vignette [2]: Diarrhea with Cat B dehydration*"),
    COUNTIFS('QA Log'!D:D,A344,'QA Log'!M:M,"Vignette",'QA Log'!Z:Z,"Rejected",'QA Log'!L:L,"*Vignette [3] Growth Monitoring and Promotion*"),
    COUNTIFS('QA Log'!D:D,A344,'QA Log'!M:M,"Vignette",'QA Log'!Z:Z,"Rejected",'QA Log'!L:L,"*Vignette [4]: The management of presumptive TB patient*")
  )
)</f>
        <v/>
      </c>
      <c r="BC344" s="107" t="str">
        <f t="shared" si="35"/>
        <v/>
      </c>
      <c r="BD344" s="103" t="str">
        <f t="shared" si="36"/>
        <v/>
      </c>
      <c r="BE344" s="102" t="str">
        <f>IF(A344="","",SUM(
COUNTIFS('QA Log'!D:D,A344,'QA Log'!M:M,"Vignette",'QA Log'!L:L,"*Vignette [5] Labor*"),
COUNTIFS('QA Log'!D:D,A344,'QA Log'!M:M,"Vignette",'QA Log'!L:L,"*Vignette [6] PNC pre Discharge*"),
COUNTIFS('QA Log'!D:D,A344,'QA Log'!M:M,"Vignette",'QA Log'!L:L,"*Vignette [7] First ANC Visit*"),
COUNTIFS('QA Log'!D:D,A344,'QA Log'!M:M,"Vignette",'QA Log'!L:L,"*Vignette [8] Birth Spacing/ Family Planning :  FP Counselling*"),
COUNTIFS('QA Log'!D:D,A344,'QA Log'!M:M,"Vignette",'QA Log'!L:L,"*Vignette [9] Birth Spacing: Change FP method to Injectable*"),
COUNTIFS('QA Log'!D:D,A344,'QA Log'!M:M,"Vignette",'QA Log'!L:L,"*Vignette [10] Post Partum Haemorrhage - Atonic Uterus at Health Centre*"),
)
)</f>
        <v/>
      </c>
      <c r="BF344" s="102" t="str">
        <f>IF(A344="","",
  SUM(
    COUNTIFS('QA Log'!D:D,A344,'QA Log'!M:M,"Vignette",'QA Log'!Z:Z,"Approved",'QA Log'!L:L,"*Vignette [5] Labor*"),
    COUNTIFS('QA Log'!D:D,A344,'QA Log'!M:M,"Vignette",'QA Log'!Z:Z,"Approved",'QA Log'!L:L,"*Vignette [6] PNC pre Discharge*"),
    COUNTIFS('QA Log'!D:D,A344,'QA Log'!M:M,"Vignette",'QA Log'!Z:Z,"Approved",'QA Log'!L:L,"*Vignette [7] First ANC Visit*"),
    COUNTIFS('QA Log'!D:D,A344,'QA Log'!M:M,"Vignette",'QA Log'!Z:Z,"Approved",'QA Log'!L:L,"*Vignette [8] Birth Spacing/ Family Planning :  FP Counselling*"),
    COUNTIFS('QA Log'!D:D,A344,'QA Log'!M:M,"Vignette",'QA Log'!Z:Z,"Approved",'QA Log'!L:L,"*Vignette [9] Birth Spacing: Change FP method to Injectable*"),
    COUNTIFS('QA Log'!D:D,A344,'QA Log'!M:M,"Vignette",'QA Log'!Z:Z,"Approved",'QA Log'!L:L,"*Vignette [10] Post Partum Haemorrhage - Atonic Uterus at Health Centre*")
  )
)</f>
        <v/>
      </c>
      <c r="BG344" s="105" t="str">
        <f>IF(A344&lt;&gt;"",COUNTIFS('QA Log'!D:D,A344,'QA Log'!M:M,"Vignette",'QA Log'!L:L,"Vignette [5] Labor",'QA Log'!Z:Z,"Approved"),"")</f>
        <v/>
      </c>
      <c r="BH344" s="105" t="str">
        <f>IF(A344&lt;&gt;"",COUNTIFS('QA Log'!D:D,A344,'QA Log'!M:M,"Vignette",'QA Log'!L:L,"Vignette [6] PNC pre Discharge",'QA Log'!Z:Z,"Approved"),"")</f>
        <v/>
      </c>
      <c r="BI344" s="105" t="str">
        <f>IF(A344&lt;&gt;"",COUNTIFS('QA Log'!D:D,A344,'QA Log'!M:M,"Vignette",'QA Log'!L:L,"Vignette [7] First ANC Visit",'QA Log'!Z:Z,"Approved"),"")</f>
        <v/>
      </c>
      <c r="BJ344" s="105" t="str">
        <f>IF(A344&lt;&gt;"",COUNTIFS('QA Log'!D:D,A344,'QA Log'!M:M,"Vignette",'QA Log'!L:L,"Vignette [8] Birth Spacing/ Family Planning :  FP Counselling",'QA Log'!Z:Z,"Approved"),"")</f>
        <v/>
      </c>
      <c r="BK344" s="105" t="str">
        <f>IF(A344&lt;&gt;"",COUNTIFS('QA Log'!D:D,A344,'QA Log'!M:M,"Vignette",'QA Log'!L:L,"Vignette [9] Birth Spacing: Change FP method to Injectable",'QA Log'!Z:Z,"Approved"),"")</f>
        <v/>
      </c>
      <c r="BL344" s="105" t="str">
        <f>IF(A344&lt;&gt;"",COUNTIFS('QA Log'!D:D,A344,'QA Log'!M:M,"Vignette",'QA Log'!L:L,"Vignette [10] Post Partum Haemorrhage - Atonic Uterus at Health Centre",'QA Log'!Z:Z,"Approved"),"")</f>
        <v/>
      </c>
      <c r="BM344" s="102" t="str">
        <f>IF(A344="","",SUM(
    COUNTIFS('QA Log'!D:D,A344,'QA Log'!M:M,"Vignette",'QA Log'!Z:Z,"Rejected",'QA Log'!L:L,"*Vignette [5] Labor*"),
    COUNTIFS('QA Log'!D:D,A344,'QA Log'!M:M,"Vignette",'QA Log'!Z:Z,"Rejected",'QA Log'!L:L,"*Vignette [6] PNC pre Discharge*"),
    COUNTIFS('QA Log'!D:D,A344,'QA Log'!M:M,"Vignette",'QA Log'!Z:Z,"Rejected",'QA Log'!L:L,"*Vignette [7] First ANC Visit*"),
    COUNTIFS('QA Log'!D:D,A344,'QA Log'!M:M,"Vignette",'QA Log'!Z:Z,"Rejected",'QA Log'!L:L,"*Vignette [8] Birth Spacing/ Family Planning :  FP Counselling*"),
    COUNTIFS('QA Log'!D:D,A344,'QA Log'!M:M,"Vignette",'QA Log'!Z:Z,"Rejected",'QA Log'!L:L,"*Vignette [9] Birth Spacing: Change FP method to Injectable*"),
    COUNTIFS('QA Log'!D:D,A344,'QA Log'!M:M,"Vignette",'QA Log'!Z:Z,"Rejected",'QA Log'!L:L,"*Vignette [10] Post Partum Haemorrhage - Atonic Uterus at Health Centre*")
  )
)</f>
        <v/>
      </c>
      <c r="BN344" s="107" t="str">
        <f t="shared" si="37"/>
        <v/>
      </c>
      <c r="BO344" s="103" t="str">
        <f t="shared" si="38"/>
        <v/>
      </c>
      <c r="BP344" s="102" t="str">
        <f>IF(A344="","",SUM(
COUNTIFS('QA Log'!D:D,A344,'QA Log'!M:M,"Vignette",'QA Log'!L:L,"*Exit Interview 1*"),
COUNTIFS('QA Log'!D:D,A344,'QA Log'!M:M,"Vignette",'QA Log'!L:L,"*Exit Interview 2*"),
)
)</f>
        <v/>
      </c>
      <c r="BQ344" s="102" t="str">
        <f>IF(
  A344="","",
  SUM(
    COUNTIFS('QA Log'!D:D,A344,'QA Log'!M:M,"Vignette",'QA Log'!Z:Z,"Approved",'QA Log'!L:L,"*Exit Interview 1*"),
    COUNTIFS('QA Log'!D:D,A344,'QA Log'!M:M,"Vignette",'QA Log'!Z:Z,"Approved",'QA Log'!L:L,"*Exit Interview 2*")
  )
)</f>
        <v/>
      </c>
      <c r="BR344" s="105" t="str">
        <f>IF(A344&lt;&gt;"",COUNTIFS('QA Log'!D:D,A344,'QA Log'!M:M,"Vignette",'QA Log'!L:L,"Exit Interview 1",'QA Log'!Z:Z,"Approved"),"")</f>
        <v/>
      </c>
      <c r="BS344" s="105" t="str">
        <f>IF(A344&lt;&gt;"",COUNTIFS('QA Log'!D:D,A344,'QA Log'!M:M,"Vignette",'QA Log'!L:L,"Exit Interview 2",'QA Log'!Z:Z,"Approved"),"")</f>
        <v/>
      </c>
      <c r="BT344" s="102" t="str">
        <f>IF(
  A344="","",
  SUM(
    COUNTIFS('QA Log'!D:D,A344,'QA Log'!M:M,"Vignette",'QA Log'!Z:Z,"Rejected",'QA Log'!L:L,"*Exit Interview 1*"),
    COUNTIFS('QA Log'!D:D,A344,'QA Log'!M:M,"Vignette",'QA Log'!Z:Z,"Rejected",'QA Log'!L:L,"*Exit Interview 2*")
  )
)</f>
        <v/>
      </c>
      <c r="BU344" s="107" t="str">
        <f t="shared" si="39"/>
        <v/>
      </c>
      <c r="BV344" s="102" t="str">
        <f t="shared" si="40"/>
        <v/>
      </c>
      <c r="BW344" s="102" t="str">
        <f t="shared" si="41"/>
        <v/>
      </c>
      <c r="BX344" s="102" t="str">
        <f t="shared" si="42"/>
        <v/>
      </c>
      <c r="BY344" s="102" t="str">
        <f t="shared" si="43"/>
        <v/>
      </c>
      <c r="BZ344" s="107" t="str">
        <f t="shared" si="44"/>
        <v/>
      </c>
      <c r="CA344" s="108" t="str">
        <f t="shared" si="45"/>
        <v/>
      </c>
      <c r="CB344" s="108" t="str">
        <f t="shared" si="46"/>
        <v/>
      </c>
      <c r="CC344" s="109" t="str">
        <f t="shared" si="47"/>
        <v/>
      </c>
      <c r="CD344" s="108" t="str">
        <f t="shared" si="48"/>
        <v/>
      </c>
      <c r="CE344" s="108" t="str">
        <f t="shared" si="49"/>
        <v/>
      </c>
      <c r="CF344" s="109" t="str">
        <f t="shared" si="50"/>
        <v/>
      </c>
      <c r="CG344" s="110" t="str">
        <f t="shared" si="51"/>
        <v/>
      </c>
      <c r="CH344" s="111"/>
    </row>
    <row r="345" spans="1:86" ht="12.75">
      <c r="A345" s="101"/>
      <c r="B345" s="102" t="e">
        <f t="array" aca="1" ref="B345" ca="1">_xludf.XLOOKUP(A345,'QA Log'!D:D,'QA Log'!E:E,"")</f>
        <v>#NAME?</v>
      </c>
      <c r="C345" s="102" t="e">
        <f t="array" aca="1" ref="C345" ca="1">_xludf.XLOOKUP(A345,'QA Log'!D:D,'QA Log'!F:F,"")</f>
        <v>#NAME?</v>
      </c>
      <c r="D345" s="102" t="e">
        <f t="array" aca="1" ref="D345" ca="1">_xludf.XLOOKUP(A345,'QA Log'!D:D,'QA Log'!H:H,"")</f>
        <v>#NAME?</v>
      </c>
      <c r="E345" s="102" t="e">
        <f t="array" aca="1" ref="E345" ca="1">_xludf.XLOOKUP(A345,'QA Log'!D:D,'QA Log'!G:G,"")</f>
        <v>#NAME?</v>
      </c>
      <c r="F345" s="103"/>
      <c r="G345" s="104"/>
      <c r="H345" s="104"/>
      <c r="I345" s="103" t="str">
        <f t="shared" si="26"/>
        <v/>
      </c>
      <c r="J345" s="102" t="str">
        <f>IF(A345="","",SUM(
COUNTIFS('QA Log'!D:D,A345,'QA Log'!M:M,"QQC",'QA Log'!L:L,"*1. General Management*"),
COUNTIFS('QA Log'!D:D,A345,'QA Log'!M:M,"QQC",'QA Log'!L:L,"*3. Curative Consultation (OPD)*"),
COUNTIFS('QA Log'!D:D,A345,'QA Log'!M:M,"QQC",'QA Log'!L:L,"*5. Laboratory*"),
COUNTIFS('QA Log'!D:D,A345,'QA Log'!M:M,"QQC",'QA Log'!L:L,"*6. Essential Medicine Management*"),
COUNTIFS('QA Log'!D:D,A345,'QA Log'!M:M,"QQC",'QA Log'!L:L,"*7. Tracer Medicine*"),
COUNTIFS('QA Log'!D:D,A345,'QA Log'!M:M,"QQC",'QA Log'!L:L,"*11. Additional Questions*")))</f>
        <v/>
      </c>
      <c r="K345" s="102" t="str">
        <f>IF(A345="","",SUM(
COUNTIFS('QA Log'!D:D,A345,'QA Log'!M:M,"QQC",'QA Log'!Z:Z,"Approved",'QA Log'!L:L,"*1. General Management*"),
COUNTIFS('QA Log'!D:D,A345,'QA Log'!M:M,"QQC",'QA Log'!Z:Z,"Approved",'QA Log'!L:L,"*3. Curative Consultation (OPD)*"),
COUNTIFS('QA Log'!D:D,A345,'QA Log'!M:M,"QQC",'QA Log'!Z:Z,"Approved",'QA Log'!L:L,"*5. Laboratory*"),
COUNTIFS('QA Log'!D:D,A345,'QA Log'!M:M,"QQC",'QA Log'!Z:Z,"Approved",'QA Log'!L:L,"*6. Essential Medicine Management*"),
COUNTIFS('QA Log'!D:D,A345,'QA Log'!M:M,"QQC",'QA Log'!Z:Z,"Approved",'QA Log'!L:L,"*7. Tracer Medicine*"),
COUNTIFS('QA Log'!D:D,A345,'QA Log'!M:M,"QQC",'QA Log'!Z:Z,"Approved",'QA Log'!L:L,"*11. Additional Questions*")))</f>
        <v/>
      </c>
      <c r="L345" s="105" t="str">
        <f>IF(A345&lt;&gt;"",COUNTIFS('QA Log'!D:D,A345,'QA Log'!M:M,"QQC",'QA Log'!L:L,"1. General Management",'QA Log'!Z:Z,"Approved"),"")</f>
        <v/>
      </c>
      <c r="M345" s="105" t="str">
        <f>IF(A345&lt;&gt;"",COUNTIFS('QA Log'!D:D,A345,'QA Log'!M:M,"QQC",'QA Log'!L:L,"3. Curative Consultation (OPD)",'QA Log'!Z:Z,"Approved"),"")</f>
        <v/>
      </c>
      <c r="N345" s="105" t="str">
        <f>IF(A345&lt;&gt;"",COUNTIFS('QA Log'!D:D,A345,'QA Log'!M:M,"QQC",'QA Log'!L:L,"5. Laboratory",'QA Log'!Z:Z,"Approved"),"")</f>
        <v/>
      </c>
      <c r="O345" s="105" t="str">
        <f>IF(A345&lt;&gt;"",COUNTIFS('QA Log'!D:D,A345,'QA Log'!M:M,"QQC",'QA Log'!L:L,"6. Essential Medicine Management",'QA Log'!Z:Z,"Approved"),"")</f>
        <v/>
      </c>
      <c r="P345" s="105" t="str">
        <f>IF(A345&lt;&gt;"",COUNTIFS('QA Log'!D:D,A345,'QA Log'!M:M,"QQC",'QA Log'!L:L,"7. Tracer Medicine",'QA Log'!Z:Z,"Approved"),"")</f>
        <v/>
      </c>
      <c r="Q345" s="105" t="str">
        <f>IF(A345&lt;&gt;"",COUNTIFS('QA Log'!D:D,A345,'QA Log'!M:M,"QQC",'QA Log'!L:L,"11. Additional Questions",'QA Log'!Z:Z,"Approved"),"")</f>
        <v/>
      </c>
      <c r="R345" s="102" t="str">
        <f>IF(A345="","",SUM(
COUNTIFS('QA Log'!D:D,A345,'QA Log'!M:M,"QQC",'QA Log'!Z:Z,"Rejected",'QA Log'!L:L,"*8. Maternity*"),
COUNTIFS('QA Log'!D:D,A345,'QA Log'!M:M,"QQC",'QA Log'!Z:Z,"Rejected",'QA Log'!L:L,"*EPI*"),
COUNTIFS('QA Log'!D:D,A345,'QA Log'!M:M,"QQC",'QA Log'!Z:Z,"Rejected",'QA Log'!L:L,"*10. Antenatal Care (ANC)*"),
COUNTIFS('QA Log'!D:D,A345,'QA Log'!M:M,"QQC",'QA Log'!Z:Z,"Rejected",'QA Log'!L:L,"*2. Hygiene and Sterilization*"),
COUNTIFS('QA Log'!D:D,A345,'QA Log'!M:M,"QQC",'QA Log'!Z:Z,"Rejected",'QA Log'!L:L,"*Family Planning*")))</f>
        <v/>
      </c>
      <c r="S345" s="106" t="str">
        <f t="shared" si="27"/>
        <v/>
      </c>
      <c r="T345" s="102" t="str">
        <f t="shared" si="28"/>
        <v/>
      </c>
      <c r="U345" s="102" t="str">
        <f>IF(A345="","",
SUM(
COUNTIFS('QA Log'!D:D,A345,'QA Log'!M:M,"QQC",'QA Log'!L:L,"*8. Maternity*"),
COUNTIFS('QA Log'!D:D,A345,'QA Log'!M:M,"QQC",'QA Log'!L:L,"*9. EPI and Pre-school Consultation*"),
COUNTIFS('QA Log'!D:D,A345,'QA Log'!M:M,"QQC",'QA Log'!L:L,"*10. Antenatal Care (ANC)*"),
COUNTIFS('QA Log'!D:D,A345,'QA Log'!M:M,"QQC",'QA Log'!L:L,"*2. Hygiene and Sterilization*"),
COUNTIFS('QA Log'!D:D,A345,'QA Log'!M:M,"QQC",'QA Log'!L:L,"*4. Family Planning*")
))</f>
        <v/>
      </c>
      <c r="V345" s="102" t="str">
        <f>IF(A345="","",
SUM(
COUNTIFS('QA Log'!D:D,A345,'QA Log'!M:M,"QQC",'QA Log'!Z:Z,"Approved",'QA Log'!L:L,"*8. Maternity*"),
COUNTIFS('QA Log'!D:D,A345,'QA Log'!M:M,"QQC",'QA Log'!Z:Z,"Approved",'QA Log'!L:L,"*9. EPI and Pre-school Consultation*"),
COUNTIFS('QA Log'!D:D,A345,'QA Log'!M:M,"QQC",'QA Log'!Z:Z,"Approved",'QA Log'!L:L,"*10. Antenatal Care (ANC)*"),
COUNTIFS('QA Log'!D:D,A345,'QA Log'!M:M,"QQC",'QA Log'!Z:Z,"Approved",'QA Log'!L:L,"*2. Hygiene and Sterilization*"),
COUNTIFS('QA Log'!D:D,A345,'QA Log'!M:M,"QQC",'QA Log'!Z:Z,"Approved",'QA Log'!L:L,"*4. Family Planning*")
))</f>
        <v/>
      </c>
      <c r="W345" s="105" t="str">
        <f>IF(A345&lt;&gt;"",COUNTIFS('QA Log'!D:D,A345,'QA Log'!M:M,"QQC",'QA Log'!L:L,"8. Maternity",'QA Log'!Z:Z,"Approved"),"")</f>
        <v/>
      </c>
      <c r="X345" s="105" t="str">
        <f>IF(A345&lt;&gt;"",COUNTIFS('QA Log'!D:D,A345,'QA Log'!M:M,"QQC",'QA Log'!L:L,"9. EPI and Pre-school Consultation",'QA Log'!Z:Z,"Approved"),"")</f>
        <v/>
      </c>
      <c r="Y345" s="105" t="str">
        <f>IF(A345&lt;&gt;"",COUNTIFS('QA Log'!D:D,A345,'QA Log'!M:M,"QQC",'QA Log'!L:L,"10. Antenatal Care (ANC)",'QA Log'!Z:Z,"Approved"),"")</f>
        <v/>
      </c>
      <c r="Z345" s="105" t="str">
        <f>IF(A345&lt;&gt;"",COUNTIFS('QA Log'!D:D,A345,'QA Log'!M:M,"QQC",'QA Log'!L:L,"2. Hygiene and Sterilization",'QA Log'!Z:Z,"Approved"),"")</f>
        <v/>
      </c>
      <c r="AA345" s="105" t="str">
        <f>IF(A345&lt;&gt;"",COUNTIFS('QA Log'!D:D,A345,'QA Log'!M:M,"QQC",'QA Log'!L:L,"4. Family Planning",'QA Log'!Z:Z,"Approved"),"")</f>
        <v/>
      </c>
      <c r="AB345" s="102" t="str">
        <f>IF(A345="","",
SUM(
COUNTIFS('QA Log'!D:D,A345,'QA Log'!M:M,"QQC",'QA Log'!Z:Z,"Rejected",'QA Log'!L:L,"*8. Maternity*"),
COUNTIFS('QA Log'!D:D,A345,'QA Log'!M:M,"QQC",'QA Log'!Z:Z,"Rejected",'QA Log'!L:L,"*9. EPI and Pre-school Consultation*"),
COUNTIFS('QA Log'!D:D,A345,'QA Log'!M:M,"QQC",'QA Log'!Z:Z,"Rejected",'QA Log'!L:L,"*10. Antenatal Care (ANC)*"),
COUNTIFS('QA Log'!D:D,A345,'QA Log'!M:M,"QQC",'QA Log'!Z:Z,"Rejected",'QA Log'!L:L,"*2. Hygiene and Sterilization*"),
COUNTIFS('QA Log'!D:D,A345,'QA Log'!M:M,"QQC",'QA Log'!Z:Z,"Rejected",'QA Log'!L:L,"*4. Family Planning*")
))</f>
        <v/>
      </c>
      <c r="AC345" s="102" t="str">
        <f t="shared" si="29"/>
        <v/>
      </c>
      <c r="AD345" s="103" t="str">
        <f t="shared" si="30"/>
        <v/>
      </c>
      <c r="AE345" s="102" t="str">
        <f>IF(A345="","",
SUM(
COUNTIFS('QA Log'!D:D,A345,'QA Log'!M:M,"Data Verification",'QA Log'!L:L,"*Medicine (section 2)*"),
COUNTIFS('QA Log'!D:D,A345,'QA Log'!M:M,"Data Verification",'QA Log'!L:L,"*Lab Testing Availability*"),
COUNTIFS('QA Log'!D:D,A345,'QA Log'!M:M,"Data Verification",'QA Log'!L:L,"*Other than P4P (section 6)*"),
COUNTIFS('QA Log'!D:D,A345,'QA Log'!M:M,"Data Verification",'QA Log'!L:L,"*Hospital Governance*")
))</f>
        <v/>
      </c>
      <c r="AF345" s="102" t="str">
        <f>IF(A345="","",
SUM(
COUNTIFS('QA Log'!D:D,A345,'QA Log'!M:M,"Data Verification",'QA Log'!Z:Z,"Approved",'QA Log'!L:L,"*Medicine (section 2)*"),
COUNTIFS('QA Log'!D:D,A345,'QA Log'!M:M,"Data Verification",'QA Log'!Z:Z,"Approved",'QA Log'!L:L,"*Lab Testing Availability*"),
COUNTIFS('QA Log'!D:D,A345,'QA Log'!M:M,"Data Verification",'QA Log'!Z:Z,"Approved",'QA Log'!L:L,"*Other than P4P (section 6)*"),
COUNTIFS('QA Log'!D:D,A345,'QA Log'!M:M,"Data Verification",'QA Log'!Z:Z,"Approved",'QA Log'!L:L,"*Hospital Governance*")
))</f>
        <v/>
      </c>
      <c r="AG345" s="105" t="str">
        <f>IF(A345&lt;&gt;"",COUNTIFS('QA Log'!D:D,A345,'QA Log'!M:M,"Data Verification",'QA Log'!L:L,"Medicine (section 2)",'QA Log'!Z:Z,"Approved"),"")</f>
        <v/>
      </c>
      <c r="AH345" s="105" t="str">
        <f>IF(A345&lt;&gt;"",COUNTIFS('QA Log'!D:D,A345,'QA Log'!M:M,"Data Verification",'QA Log'!L:L,"Lab Testing Availability",'QA Log'!Z:Z,"Approved"),"")</f>
        <v/>
      </c>
      <c r="AI345" s="105" t="str">
        <f>IF(A345&lt;&gt;"",COUNTIFS('QA Log'!D:D,A345,'QA Log'!M:M,"Data Verification",'QA Log'!L:L,"Other than P4P (section 6)",'QA Log'!Z:Z,"Approved"),"")</f>
        <v/>
      </c>
      <c r="AJ345" s="105" t="str">
        <f>IF(A345&lt;&gt;"",COUNTIFS('QA Log'!D:D,A345,'QA Log'!M:M,"Data Verification",'QA Log'!L:L,"Hospital Governance",'QA Log'!Z:Z,"Approved"),"")</f>
        <v/>
      </c>
      <c r="AK345" s="102" t="str">
        <f>IF(A345="","",
SUM(
COUNTIFS('QA Log'!D:D,A345,'QA Log'!M:M,"Data Verification",'QA Log'!Z:Z,"Rejected",'QA Log'!L:L,"*Medicine (section 2)*"),
COUNTIFS('QA Log'!D:D,A345,'QA Log'!M:M,"Data Verification",'QA Log'!Z:Z,"Rejected",'QA Log'!L:L,"*Lab Testing Availability*"),
COUNTIFS('QA Log'!D:D,A345,'QA Log'!M:M,"Data Verification",'QA Log'!Z:Z,"Rejected",'QA Log'!L:L,"*Other than P4P (section 6)*"),
COUNTIFS('QA Log'!D:D,A345,'QA Log'!M:M,"Data Verification",'QA Log'!Z:Z,"Rejected",'QA Log'!L:L,"*Hospital Governance*")
))</f>
        <v/>
      </c>
      <c r="AL345" s="106" t="str">
        <f t="shared" si="31"/>
        <v/>
      </c>
      <c r="AM345" s="102" t="str">
        <f t="shared" si="32"/>
        <v/>
      </c>
      <c r="AN345" s="102" t="str">
        <f>IF(A345="","",
SUM(
COUNTIFS('QA Log'!D:D,A345,'QA Log'!M:M,"Data Verification",'QA Log'!L:L,"*Personnel (section 1)*"),
COUNTIFS('QA Log'!D:D,A345,'QA Log'!M:M,"Data Verification",'QA Log'!L:L,"*Consumable (section 3)*"),
COUNTIFS('QA Log'!D:D,A345,'QA Log'!M:M,"Data Verification",'QA Log'!L:L,"*Equipments (section 4)*")
))</f>
        <v/>
      </c>
      <c r="AO345" s="102" t="str">
        <f>IF(A345="","",
SUM(
COUNTIFS('QA Log'!D:D,A345,'QA Log'!M:M,"Data Verification",'QA Log'!Z:Z,"Approved",'QA Log'!L:L,"*Personnel (section 1)*"),
COUNTIFS('QA Log'!D:D,A345,'QA Log'!M:M,"Data Verification",'QA Log'!Z:Z,"Approved",'QA Log'!L:L,"*Consumable (section 3)*"),
COUNTIFS('QA Log'!D:D,A345,'QA Log'!M:M,"Data Verification",'QA Log'!Z:Z,"Approved",'QA Log'!L:L,"*Equipments (section 4)*")
))</f>
        <v/>
      </c>
      <c r="AP345" s="105" t="str">
        <f>IF(A345&lt;&gt;"",COUNTIFS('QA Log'!D:D,A345,'QA Log'!M:M,"Data Verification",'QA Log'!L:L,"Personnel (section 1)",'QA Log'!Z:Z,"Approved"),"")</f>
        <v/>
      </c>
      <c r="AQ345" s="105" t="str">
        <f>IF(A345&lt;&gt;"",COUNTIFS('QA Log'!D:D,A345,'QA Log'!M:M,"Data Verification",'QA Log'!L:L,"Consumable (section 3)",'QA Log'!Z:Z,"Approved"),"")</f>
        <v/>
      </c>
      <c r="AR345" s="105" t="str">
        <f>IF(A345&lt;&gt;"",COUNTIFS('QA Log'!D:D,A345,'QA Log'!M:M,"Data Verification",'QA Log'!L:L,"Equipments (section 4)",'QA Log'!Z:Z,"Approved"),"")</f>
        <v/>
      </c>
      <c r="AS345" s="102" t="str">
        <f>IF(A345="","",
SUM(
COUNTIFS('QA Log'!D:D,A345,'QA Log'!M:M,"Data Verification",'QA Log'!Z:Z,"Rejected",'QA Log'!L:L,"*Personnel (section 1)*"),
COUNTIFS('QA Log'!D:D,A345,'QA Log'!M:M,"Data Verification",'QA Log'!Z:Z,"Rejected",'QA Log'!L:L,"*Consumable (section 3)*"),
COUNTIFS('QA Log'!D:D,A345,'QA Log'!M:M,"Data Verification",'QA Log'!Z:Z,"Rejected",'QA Log'!L:L,"*Equipments (section 4)*")
))</f>
        <v/>
      </c>
      <c r="AT345" s="102" t="str">
        <f t="shared" si="33"/>
        <v/>
      </c>
      <c r="AU345" s="103" t="str">
        <f t="shared" si="34"/>
        <v/>
      </c>
      <c r="AV345" s="102" t="str">
        <f>IF(A345="","",SUM(
COUNTIFS('QA Log'!D:D,A345,'QA Log'!M:M,"Vignette",'QA Log'!L:L,"*Vignette [1] Respiratory Infection: Pneumonia*"),
COUNTIFS('QA Log'!D:D,A345,'QA Log'!M:M,"Vignette",'QA Log'!L:L,"*Vignette [2]: Diarrhea with Cat B dehydration*"),
COUNTIFS('QA Log'!D:D,A345,'QA Log'!M:M,"Vignette",'QA Log'!L:L,"*Vignette [3] Growth Monitoring and Promotion*"),
COUNTIFS('QA Log'!D:D,A345,'QA Log'!M:M,"Vignette",'QA Log'!L:L,"*Vignette [4]: The management of presumptive TB patient*")
)
)</f>
        <v/>
      </c>
      <c r="AW345" s="102" t="str">
        <f>IF(
  A345="","",
  SUM(
    COUNTIFS('QA Log'!D:D,A345,'QA Log'!M:M,"Vignette",'QA Log'!Z:Z,"Approved",'QA Log'!L:L,"*Vignette [1] Respiratory Infection: Pneumonia*"),
    COUNTIFS('QA Log'!D:D,A345,'QA Log'!M:M,"Vignette",'QA Log'!Z:Z,"Approved",'QA Log'!L:L,"*Vignette [2]: Diarrhea with Cat B dehydration*"),
    COUNTIFS('QA Log'!D:D,A345,'QA Log'!M:M,"Vignette",'QA Log'!Z:Z,"Approved",'QA Log'!L:L,"*Vignette [3] Growth Monitoring and Promotion*"),
    COUNTIFS('QA Log'!D:D,A345,'QA Log'!M:M,"Vignette",'QA Log'!Z:Z,"Approved",'QA Log'!L:L,"*Vignette [4]: The management of presumptive TB patient*")
  )
)</f>
        <v/>
      </c>
      <c r="AX345" s="105" t="str">
        <f>IF(A345&lt;&gt;"",COUNTIFS('QA Log'!D:D,A345,'QA Log'!M:M,"Vignette",'QA Log'!L:L,"Vignette [1] Respiratory Infection: Pneumonia",'QA Log'!Z:Z,"Approved"),"")</f>
        <v/>
      </c>
      <c r="AY345" s="105" t="str">
        <f>IF(A345&lt;&gt;"",COUNTIFS('QA Log'!D:D,A345,'QA Log'!M:M,"Vignette",'QA Log'!L:L,"Vignette [2]: Diarrhea with Cat B dehydration",'QA Log'!Z:Z,"Approved"),"")</f>
        <v/>
      </c>
      <c r="AZ345" s="105" t="str">
        <f>IF(A345&lt;&gt;"",COUNTIFS('QA Log'!D:D,A345,'QA Log'!M:M,"Vignette",'QA Log'!L:L,"Vignette [3] Growth Monitoring and Promotion",'QA Log'!Z:Z,"Approved"),"")</f>
        <v/>
      </c>
      <c r="BA345" s="105" t="str">
        <f>IF(A345&lt;&gt;"",COUNTIFS('QA Log'!D:D,A345,'QA Log'!M:M,"Vignette",'QA Log'!L:L,"Vignette [4]: The management of presumptive TB patient",'QA Log'!Z:Z,"Approved"),"")</f>
        <v/>
      </c>
      <c r="BB345" s="102" t="str">
        <f>IF(A345="","",
  SUM(
    COUNTIFS('QA Log'!D:D,A345,'QA Log'!M:M,"Vignette",'QA Log'!Z:Z,"Rejected",'QA Log'!L:L,"*Vignette [1] Respiratory Infection: Pneumonia*"),
    COUNTIFS('QA Log'!D:D,A345,'QA Log'!M:M,"Vignette",'QA Log'!Z:Z,"Rejected",'QA Log'!L:L,"*Vignette [2]: Diarrhea with Cat B dehydration*"),
    COUNTIFS('QA Log'!D:D,A345,'QA Log'!M:M,"Vignette",'QA Log'!Z:Z,"Rejected",'QA Log'!L:L,"*Vignette [3] Growth Monitoring and Promotion*"),
    COUNTIFS('QA Log'!D:D,A345,'QA Log'!M:M,"Vignette",'QA Log'!Z:Z,"Rejected",'QA Log'!L:L,"*Vignette [4]: The management of presumptive TB patient*")
  )
)</f>
        <v/>
      </c>
      <c r="BC345" s="107" t="str">
        <f t="shared" si="35"/>
        <v/>
      </c>
      <c r="BD345" s="103" t="str">
        <f t="shared" si="36"/>
        <v/>
      </c>
      <c r="BE345" s="102" t="str">
        <f>IF(A345="","",SUM(
COUNTIFS('QA Log'!D:D,A345,'QA Log'!M:M,"Vignette",'QA Log'!L:L,"*Vignette [5] Labor*"),
COUNTIFS('QA Log'!D:D,A345,'QA Log'!M:M,"Vignette",'QA Log'!L:L,"*Vignette [6] PNC pre Discharge*"),
COUNTIFS('QA Log'!D:D,A345,'QA Log'!M:M,"Vignette",'QA Log'!L:L,"*Vignette [7] First ANC Visit*"),
COUNTIFS('QA Log'!D:D,A345,'QA Log'!M:M,"Vignette",'QA Log'!L:L,"*Vignette [8] Birth Spacing/ Family Planning :  FP Counselling*"),
COUNTIFS('QA Log'!D:D,A345,'QA Log'!M:M,"Vignette",'QA Log'!L:L,"*Vignette [9] Birth Spacing: Change FP method to Injectable*"),
COUNTIFS('QA Log'!D:D,A345,'QA Log'!M:M,"Vignette",'QA Log'!L:L,"*Vignette [10] Post Partum Haemorrhage - Atonic Uterus at Health Centre*"),
)
)</f>
        <v/>
      </c>
      <c r="BF345" s="102" t="str">
        <f>IF(A345="","",
  SUM(
    COUNTIFS('QA Log'!D:D,A345,'QA Log'!M:M,"Vignette",'QA Log'!Z:Z,"Approved",'QA Log'!L:L,"*Vignette [5] Labor*"),
    COUNTIFS('QA Log'!D:D,A345,'QA Log'!M:M,"Vignette",'QA Log'!Z:Z,"Approved",'QA Log'!L:L,"*Vignette [6] PNC pre Discharge*"),
    COUNTIFS('QA Log'!D:D,A345,'QA Log'!M:M,"Vignette",'QA Log'!Z:Z,"Approved",'QA Log'!L:L,"*Vignette [7] First ANC Visit*"),
    COUNTIFS('QA Log'!D:D,A345,'QA Log'!M:M,"Vignette",'QA Log'!Z:Z,"Approved",'QA Log'!L:L,"*Vignette [8] Birth Spacing/ Family Planning :  FP Counselling*"),
    COUNTIFS('QA Log'!D:D,A345,'QA Log'!M:M,"Vignette",'QA Log'!Z:Z,"Approved",'QA Log'!L:L,"*Vignette [9] Birth Spacing: Change FP method to Injectable*"),
    COUNTIFS('QA Log'!D:D,A345,'QA Log'!M:M,"Vignette",'QA Log'!Z:Z,"Approved",'QA Log'!L:L,"*Vignette [10] Post Partum Haemorrhage - Atonic Uterus at Health Centre*")
  )
)</f>
        <v/>
      </c>
      <c r="BG345" s="105" t="str">
        <f>IF(A345&lt;&gt;"",COUNTIFS('QA Log'!D:D,A345,'QA Log'!M:M,"Vignette",'QA Log'!L:L,"Vignette [5] Labor",'QA Log'!Z:Z,"Approved"),"")</f>
        <v/>
      </c>
      <c r="BH345" s="105" t="str">
        <f>IF(A345&lt;&gt;"",COUNTIFS('QA Log'!D:D,A345,'QA Log'!M:M,"Vignette",'QA Log'!L:L,"Vignette [6] PNC pre Discharge",'QA Log'!Z:Z,"Approved"),"")</f>
        <v/>
      </c>
      <c r="BI345" s="105" t="str">
        <f>IF(A345&lt;&gt;"",COUNTIFS('QA Log'!D:D,A345,'QA Log'!M:M,"Vignette",'QA Log'!L:L,"Vignette [7] First ANC Visit",'QA Log'!Z:Z,"Approved"),"")</f>
        <v/>
      </c>
      <c r="BJ345" s="105" t="str">
        <f>IF(A345&lt;&gt;"",COUNTIFS('QA Log'!D:D,A345,'QA Log'!M:M,"Vignette",'QA Log'!L:L,"Vignette [8] Birth Spacing/ Family Planning :  FP Counselling",'QA Log'!Z:Z,"Approved"),"")</f>
        <v/>
      </c>
      <c r="BK345" s="105" t="str">
        <f>IF(A345&lt;&gt;"",COUNTIFS('QA Log'!D:D,A345,'QA Log'!M:M,"Vignette",'QA Log'!L:L,"Vignette [9] Birth Spacing: Change FP method to Injectable",'QA Log'!Z:Z,"Approved"),"")</f>
        <v/>
      </c>
      <c r="BL345" s="105" t="str">
        <f>IF(A345&lt;&gt;"",COUNTIFS('QA Log'!D:D,A345,'QA Log'!M:M,"Vignette",'QA Log'!L:L,"Vignette [10] Post Partum Haemorrhage - Atonic Uterus at Health Centre",'QA Log'!Z:Z,"Approved"),"")</f>
        <v/>
      </c>
      <c r="BM345" s="102" t="str">
        <f>IF(A345="","",SUM(
    COUNTIFS('QA Log'!D:D,A345,'QA Log'!M:M,"Vignette",'QA Log'!Z:Z,"Rejected",'QA Log'!L:L,"*Vignette [5] Labor*"),
    COUNTIFS('QA Log'!D:D,A345,'QA Log'!M:M,"Vignette",'QA Log'!Z:Z,"Rejected",'QA Log'!L:L,"*Vignette [6] PNC pre Discharge*"),
    COUNTIFS('QA Log'!D:D,A345,'QA Log'!M:M,"Vignette",'QA Log'!Z:Z,"Rejected",'QA Log'!L:L,"*Vignette [7] First ANC Visit*"),
    COUNTIFS('QA Log'!D:D,A345,'QA Log'!M:M,"Vignette",'QA Log'!Z:Z,"Rejected",'QA Log'!L:L,"*Vignette [8] Birth Spacing/ Family Planning :  FP Counselling*"),
    COUNTIFS('QA Log'!D:D,A345,'QA Log'!M:M,"Vignette",'QA Log'!Z:Z,"Rejected",'QA Log'!L:L,"*Vignette [9] Birth Spacing: Change FP method to Injectable*"),
    COUNTIFS('QA Log'!D:D,A345,'QA Log'!M:M,"Vignette",'QA Log'!Z:Z,"Rejected",'QA Log'!L:L,"*Vignette [10] Post Partum Haemorrhage - Atonic Uterus at Health Centre*")
  )
)</f>
        <v/>
      </c>
      <c r="BN345" s="107" t="str">
        <f t="shared" si="37"/>
        <v/>
      </c>
      <c r="BO345" s="103" t="str">
        <f t="shared" si="38"/>
        <v/>
      </c>
      <c r="BP345" s="102" t="str">
        <f>IF(A345="","",SUM(
COUNTIFS('QA Log'!D:D,A345,'QA Log'!M:M,"Vignette",'QA Log'!L:L,"*Exit Interview 1*"),
COUNTIFS('QA Log'!D:D,A345,'QA Log'!M:M,"Vignette",'QA Log'!L:L,"*Exit Interview 2*"),
)
)</f>
        <v/>
      </c>
      <c r="BQ345" s="102" t="str">
        <f>IF(
  A345="","",
  SUM(
    COUNTIFS('QA Log'!D:D,A345,'QA Log'!M:M,"Vignette",'QA Log'!Z:Z,"Approved",'QA Log'!L:L,"*Exit Interview 1*"),
    COUNTIFS('QA Log'!D:D,A345,'QA Log'!M:M,"Vignette",'QA Log'!Z:Z,"Approved",'QA Log'!L:L,"*Exit Interview 2*")
  )
)</f>
        <v/>
      </c>
      <c r="BR345" s="105" t="str">
        <f>IF(A345&lt;&gt;"",COUNTIFS('QA Log'!D:D,A345,'QA Log'!M:M,"Vignette",'QA Log'!L:L,"Exit Interview 1",'QA Log'!Z:Z,"Approved"),"")</f>
        <v/>
      </c>
      <c r="BS345" s="105" t="str">
        <f>IF(A345&lt;&gt;"",COUNTIFS('QA Log'!D:D,A345,'QA Log'!M:M,"Vignette",'QA Log'!L:L,"Exit Interview 2",'QA Log'!Z:Z,"Approved"),"")</f>
        <v/>
      </c>
      <c r="BT345" s="102" t="str">
        <f>IF(
  A345="","",
  SUM(
    COUNTIFS('QA Log'!D:D,A345,'QA Log'!M:M,"Vignette",'QA Log'!Z:Z,"Rejected",'QA Log'!L:L,"*Exit Interview 1*"),
    COUNTIFS('QA Log'!D:D,A345,'QA Log'!M:M,"Vignette",'QA Log'!Z:Z,"Rejected",'QA Log'!L:L,"*Exit Interview 2*")
  )
)</f>
        <v/>
      </c>
      <c r="BU345" s="107" t="str">
        <f t="shared" si="39"/>
        <v/>
      </c>
      <c r="BV345" s="102" t="str">
        <f t="shared" si="40"/>
        <v/>
      </c>
      <c r="BW345" s="102" t="str">
        <f t="shared" si="41"/>
        <v/>
      </c>
      <c r="BX345" s="102" t="str">
        <f t="shared" si="42"/>
        <v/>
      </c>
      <c r="BY345" s="102" t="str">
        <f t="shared" si="43"/>
        <v/>
      </c>
      <c r="BZ345" s="107" t="str">
        <f t="shared" si="44"/>
        <v/>
      </c>
      <c r="CA345" s="108" t="str">
        <f t="shared" si="45"/>
        <v/>
      </c>
      <c r="CB345" s="108" t="str">
        <f t="shared" si="46"/>
        <v/>
      </c>
      <c r="CC345" s="109" t="str">
        <f t="shared" si="47"/>
        <v/>
      </c>
      <c r="CD345" s="108" t="str">
        <f t="shared" si="48"/>
        <v/>
      </c>
      <c r="CE345" s="108" t="str">
        <f t="shared" si="49"/>
        <v/>
      </c>
      <c r="CF345" s="109" t="str">
        <f t="shared" si="50"/>
        <v/>
      </c>
      <c r="CG345" s="110" t="str">
        <f t="shared" si="51"/>
        <v/>
      </c>
      <c r="CH345" s="111"/>
    </row>
    <row r="346" spans="1:86" ht="12.75">
      <c r="A346" s="101"/>
      <c r="B346" s="102" t="e">
        <f t="array" aca="1" ref="B346" ca="1">_xludf.XLOOKUP(A346,'QA Log'!D:D,'QA Log'!E:E,"")</f>
        <v>#NAME?</v>
      </c>
      <c r="C346" s="102" t="e">
        <f t="array" aca="1" ref="C346" ca="1">_xludf.XLOOKUP(A346,'QA Log'!D:D,'QA Log'!F:F,"")</f>
        <v>#NAME?</v>
      </c>
      <c r="D346" s="102" t="e">
        <f t="array" aca="1" ref="D346" ca="1">_xludf.XLOOKUP(A346,'QA Log'!D:D,'QA Log'!H:H,"")</f>
        <v>#NAME?</v>
      </c>
      <c r="E346" s="102" t="e">
        <f t="array" aca="1" ref="E346" ca="1">_xludf.XLOOKUP(A346,'QA Log'!D:D,'QA Log'!G:G,"")</f>
        <v>#NAME?</v>
      </c>
      <c r="F346" s="103"/>
      <c r="G346" s="104"/>
      <c r="H346" s="104"/>
      <c r="I346" s="103" t="str">
        <f t="shared" si="26"/>
        <v/>
      </c>
      <c r="J346" s="102" t="str">
        <f>IF(A346="","",SUM(
COUNTIFS('QA Log'!D:D,A346,'QA Log'!M:M,"QQC",'QA Log'!L:L,"*1. General Management*"),
COUNTIFS('QA Log'!D:D,A346,'QA Log'!M:M,"QQC",'QA Log'!L:L,"*3. Curative Consultation (OPD)*"),
COUNTIFS('QA Log'!D:D,A346,'QA Log'!M:M,"QQC",'QA Log'!L:L,"*5. Laboratory*"),
COUNTIFS('QA Log'!D:D,A346,'QA Log'!M:M,"QQC",'QA Log'!L:L,"*6. Essential Medicine Management*"),
COUNTIFS('QA Log'!D:D,A346,'QA Log'!M:M,"QQC",'QA Log'!L:L,"*7. Tracer Medicine*"),
COUNTIFS('QA Log'!D:D,A346,'QA Log'!M:M,"QQC",'QA Log'!L:L,"*11. Additional Questions*")))</f>
        <v/>
      </c>
      <c r="K346" s="102" t="str">
        <f>IF(A346="","",SUM(
COUNTIFS('QA Log'!D:D,A346,'QA Log'!M:M,"QQC",'QA Log'!Z:Z,"Approved",'QA Log'!L:L,"*1. General Management*"),
COUNTIFS('QA Log'!D:D,A346,'QA Log'!M:M,"QQC",'QA Log'!Z:Z,"Approved",'QA Log'!L:L,"*3. Curative Consultation (OPD)*"),
COUNTIFS('QA Log'!D:D,A346,'QA Log'!M:M,"QQC",'QA Log'!Z:Z,"Approved",'QA Log'!L:L,"*5. Laboratory*"),
COUNTIFS('QA Log'!D:D,A346,'QA Log'!M:M,"QQC",'QA Log'!Z:Z,"Approved",'QA Log'!L:L,"*6. Essential Medicine Management*"),
COUNTIFS('QA Log'!D:D,A346,'QA Log'!M:M,"QQC",'QA Log'!Z:Z,"Approved",'QA Log'!L:L,"*7. Tracer Medicine*"),
COUNTIFS('QA Log'!D:D,A346,'QA Log'!M:M,"QQC",'QA Log'!Z:Z,"Approved",'QA Log'!L:L,"*11. Additional Questions*")))</f>
        <v/>
      </c>
      <c r="L346" s="105" t="str">
        <f>IF(A346&lt;&gt;"",COUNTIFS('QA Log'!D:D,A346,'QA Log'!M:M,"QQC",'QA Log'!L:L,"1. General Management",'QA Log'!Z:Z,"Approved"),"")</f>
        <v/>
      </c>
      <c r="M346" s="105" t="str">
        <f>IF(A346&lt;&gt;"",COUNTIFS('QA Log'!D:D,A346,'QA Log'!M:M,"QQC",'QA Log'!L:L,"3. Curative Consultation (OPD)",'QA Log'!Z:Z,"Approved"),"")</f>
        <v/>
      </c>
      <c r="N346" s="105" t="str">
        <f>IF(A346&lt;&gt;"",COUNTIFS('QA Log'!D:D,A346,'QA Log'!M:M,"QQC",'QA Log'!L:L,"5. Laboratory",'QA Log'!Z:Z,"Approved"),"")</f>
        <v/>
      </c>
      <c r="O346" s="105" t="str">
        <f>IF(A346&lt;&gt;"",COUNTIFS('QA Log'!D:D,A346,'QA Log'!M:M,"QQC",'QA Log'!L:L,"6. Essential Medicine Management",'QA Log'!Z:Z,"Approved"),"")</f>
        <v/>
      </c>
      <c r="P346" s="105" t="str">
        <f>IF(A346&lt;&gt;"",COUNTIFS('QA Log'!D:D,A346,'QA Log'!M:M,"QQC",'QA Log'!L:L,"7. Tracer Medicine",'QA Log'!Z:Z,"Approved"),"")</f>
        <v/>
      </c>
      <c r="Q346" s="105" t="str">
        <f>IF(A346&lt;&gt;"",COUNTIFS('QA Log'!D:D,A346,'QA Log'!M:M,"QQC",'QA Log'!L:L,"11. Additional Questions",'QA Log'!Z:Z,"Approved"),"")</f>
        <v/>
      </c>
      <c r="R346" s="102" t="str">
        <f>IF(A346="","",SUM(
COUNTIFS('QA Log'!D:D,A346,'QA Log'!M:M,"QQC",'QA Log'!Z:Z,"Rejected",'QA Log'!L:L,"*8. Maternity*"),
COUNTIFS('QA Log'!D:D,A346,'QA Log'!M:M,"QQC",'QA Log'!Z:Z,"Rejected",'QA Log'!L:L,"*EPI*"),
COUNTIFS('QA Log'!D:D,A346,'QA Log'!M:M,"QQC",'QA Log'!Z:Z,"Rejected",'QA Log'!L:L,"*10. Antenatal Care (ANC)*"),
COUNTIFS('QA Log'!D:D,A346,'QA Log'!M:M,"QQC",'QA Log'!Z:Z,"Rejected",'QA Log'!L:L,"*2. Hygiene and Sterilization*"),
COUNTIFS('QA Log'!D:D,A346,'QA Log'!M:M,"QQC",'QA Log'!Z:Z,"Rejected",'QA Log'!L:L,"*Family Planning*")))</f>
        <v/>
      </c>
      <c r="S346" s="106" t="str">
        <f t="shared" si="27"/>
        <v/>
      </c>
      <c r="T346" s="102" t="str">
        <f t="shared" si="28"/>
        <v/>
      </c>
      <c r="U346" s="102" t="str">
        <f>IF(A346="","",
SUM(
COUNTIFS('QA Log'!D:D,A346,'QA Log'!M:M,"QQC",'QA Log'!L:L,"*8. Maternity*"),
COUNTIFS('QA Log'!D:D,A346,'QA Log'!M:M,"QQC",'QA Log'!L:L,"*9. EPI and Pre-school Consultation*"),
COUNTIFS('QA Log'!D:D,A346,'QA Log'!M:M,"QQC",'QA Log'!L:L,"*10. Antenatal Care (ANC)*"),
COUNTIFS('QA Log'!D:D,A346,'QA Log'!M:M,"QQC",'QA Log'!L:L,"*2. Hygiene and Sterilization*"),
COUNTIFS('QA Log'!D:D,A346,'QA Log'!M:M,"QQC",'QA Log'!L:L,"*4. Family Planning*")
))</f>
        <v/>
      </c>
      <c r="V346" s="102" t="str">
        <f>IF(A346="","",
SUM(
COUNTIFS('QA Log'!D:D,A346,'QA Log'!M:M,"QQC",'QA Log'!Z:Z,"Approved",'QA Log'!L:L,"*8. Maternity*"),
COUNTIFS('QA Log'!D:D,A346,'QA Log'!M:M,"QQC",'QA Log'!Z:Z,"Approved",'QA Log'!L:L,"*9. EPI and Pre-school Consultation*"),
COUNTIFS('QA Log'!D:D,A346,'QA Log'!M:M,"QQC",'QA Log'!Z:Z,"Approved",'QA Log'!L:L,"*10. Antenatal Care (ANC)*"),
COUNTIFS('QA Log'!D:D,A346,'QA Log'!M:M,"QQC",'QA Log'!Z:Z,"Approved",'QA Log'!L:L,"*2. Hygiene and Sterilization*"),
COUNTIFS('QA Log'!D:D,A346,'QA Log'!M:M,"QQC",'QA Log'!Z:Z,"Approved",'QA Log'!L:L,"*4. Family Planning*")
))</f>
        <v/>
      </c>
      <c r="W346" s="105" t="str">
        <f>IF(A346&lt;&gt;"",COUNTIFS('QA Log'!D:D,A346,'QA Log'!M:M,"QQC",'QA Log'!L:L,"8. Maternity",'QA Log'!Z:Z,"Approved"),"")</f>
        <v/>
      </c>
      <c r="X346" s="105" t="str">
        <f>IF(A346&lt;&gt;"",COUNTIFS('QA Log'!D:D,A346,'QA Log'!M:M,"QQC",'QA Log'!L:L,"9. EPI and Pre-school Consultation",'QA Log'!Z:Z,"Approved"),"")</f>
        <v/>
      </c>
      <c r="Y346" s="105" t="str">
        <f>IF(A346&lt;&gt;"",COUNTIFS('QA Log'!D:D,A346,'QA Log'!M:M,"QQC",'QA Log'!L:L,"10. Antenatal Care (ANC)",'QA Log'!Z:Z,"Approved"),"")</f>
        <v/>
      </c>
      <c r="Z346" s="105" t="str">
        <f>IF(A346&lt;&gt;"",COUNTIFS('QA Log'!D:D,A346,'QA Log'!M:M,"QQC",'QA Log'!L:L,"2. Hygiene and Sterilization",'QA Log'!Z:Z,"Approved"),"")</f>
        <v/>
      </c>
      <c r="AA346" s="105" t="str">
        <f>IF(A346&lt;&gt;"",COUNTIFS('QA Log'!D:D,A346,'QA Log'!M:M,"QQC",'QA Log'!L:L,"4. Family Planning",'QA Log'!Z:Z,"Approved"),"")</f>
        <v/>
      </c>
      <c r="AB346" s="102" t="str">
        <f>IF(A346="","",
SUM(
COUNTIFS('QA Log'!D:D,A346,'QA Log'!M:M,"QQC",'QA Log'!Z:Z,"Rejected",'QA Log'!L:L,"*8. Maternity*"),
COUNTIFS('QA Log'!D:D,A346,'QA Log'!M:M,"QQC",'QA Log'!Z:Z,"Rejected",'QA Log'!L:L,"*9. EPI and Pre-school Consultation*"),
COUNTIFS('QA Log'!D:D,A346,'QA Log'!M:M,"QQC",'QA Log'!Z:Z,"Rejected",'QA Log'!L:L,"*10. Antenatal Care (ANC)*"),
COUNTIFS('QA Log'!D:D,A346,'QA Log'!M:M,"QQC",'QA Log'!Z:Z,"Rejected",'QA Log'!L:L,"*2. Hygiene and Sterilization*"),
COUNTIFS('QA Log'!D:D,A346,'QA Log'!M:M,"QQC",'QA Log'!Z:Z,"Rejected",'QA Log'!L:L,"*4. Family Planning*")
))</f>
        <v/>
      </c>
      <c r="AC346" s="102" t="str">
        <f t="shared" si="29"/>
        <v/>
      </c>
      <c r="AD346" s="103" t="str">
        <f t="shared" si="30"/>
        <v/>
      </c>
      <c r="AE346" s="102" t="str">
        <f>IF(A346="","",
SUM(
COUNTIFS('QA Log'!D:D,A346,'QA Log'!M:M,"Data Verification",'QA Log'!L:L,"*Medicine (section 2)*"),
COUNTIFS('QA Log'!D:D,A346,'QA Log'!M:M,"Data Verification",'QA Log'!L:L,"*Lab Testing Availability*"),
COUNTIFS('QA Log'!D:D,A346,'QA Log'!M:M,"Data Verification",'QA Log'!L:L,"*Other than P4P (section 6)*"),
COUNTIFS('QA Log'!D:D,A346,'QA Log'!M:M,"Data Verification",'QA Log'!L:L,"*Hospital Governance*")
))</f>
        <v/>
      </c>
      <c r="AF346" s="102" t="str">
        <f>IF(A346="","",
SUM(
COUNTIFS('QA Log'!D:D,A346,'QA Log'!M:M,"Data Verification",'QA Log'!Z:Z,"Approved",'QA Log'!L:L,"*Medicine (section 2)*"),
COUNTIFS('QA Log'!D:D,A346,'QA Log'!M:M,"Data Verification",'QA Log'!Z:Z,"Approved",'QA Log'!L:L,"*Lab Testing Availability*"),
COUNTIFS('QA Log'!D:D,A346,'QA Log'!M:M,"Data Verification",'QA Log'!Z:Z,"Approved",'QA Log'!L:L,"*Other than P4P (section 6)*"),
COUNTIFS('QA Log'!D:D,A346,'QA Log'!M:M,"Data Verification",'QA Log'!Z:Z,"Approved",'QA Log'!L:L,"*Hospital Governance*")
))</f>
        <v/>
      </c>
      <c r="AG346" s="105" t="str">
        <f>IF(A346&lt;&gt;"",COUNTIFS('QA Log'!D:D,A346,'QA Log'!M:M,"Data Verification",'QA Log'!L:L,"Medicine (section 2)",'QA Log'!Z:Z,"Approved"),"")</f>
        <v/>
      </c>
      <c r="AH346" s="105" t="str">
        <f>IF(A346&lt;&gt;"",COUNTIFS('QA Log'!D:D,A346,'QA Log'!M:M,"Data Verification",'QA Log'!L:L,"Lab Testing Availability",'QA Log'!Z:Z,"Approved"),"")</f>
        <v/>
      </c>
      <c r="AI346" s="105" t="str">
        <f>IF(A346&lt;&gt;"",COUNTIFS('QA Log'!D:D,A346,'QA Log'!M:M,"Data Verification",'QA Log'!L:L,"Other than P4P (section 6)",'QA Log'!Z:Z,"Approved"),"")</f>
        <v/>
      </c>
      <c r="AJ346" s="105" t="str">
        <f>IF(A346&lt;&gt;"",COUNTIFS('QA Log'!D:D,A346,'QA Log'!M:M,"Data Verification",'QA Log'!L:L,"Hospital Governance",'QA Log'!Z:Z,"Approved"),"")</f>
        <v/>
      </c>
      <c r="AK346" s="102" t="str">
        <f>IF(A346="","",
SUM(
COUNTIFS('QA Log'!D:D,A346,'QA Log'!M:M,"Data Verification",'QA Log'!Z:Z,"Rejected",'QA Log'!L:L,"*Medicine (section 2)*"),
COUNTIFS('QA Log'!D:D,A346,'QA Log'!M:M,"Data Verification",'QA Log'!Z:Z,"Rejected",'QA Log'!L:L,"*Lab Testing Availability*"),
COUNTIFS('QA Log'!D:D,A346,'QA Log'!M:M,"Data Verification",'QA Log'!Z:Z,"Rejected",'QA Log'!L:L,"*Other than P4P (section 6)*"),
COUNTIFS('QA Log'!D:D,A346,'QA Log'!M:M,"Data Verification",'QA Log'!Z:Z,"Rejected",'QA Log'!L:L,"*Hospital Governance*")
))</f>
        <v/>
      </c>
      <c r="AL346" s="106" t="str">
        <f t="shared" si="31"/>
        <v/>
      </c>
      <c r="AM346" s="102" t="str">
        <f t="shared" si="32"/>
        <v/>
      </c>
      <c r="AN346" s="102" t="str">
        <f>IF(A346="","",
SUM(
COUNTIFS('QA Log'!D:D,A346,'QA Log'!M:M,"Data Verification",'QA Log'!L:L,"*Personnel (section 1)*"),
COUNTIFS('QA Log'!D:D,A346,'QA Log'!M:M,"Data Verification",'QA Log'!L:L,"*Consumable (section 3)*"),
COUNTIFS('QA Log'!D:D,A346,'QA Log'!M:M,"Data Verification",'QA Log'!L:L,"*Equipments (section 4)*")
))</f>
        <v/>
      </c>
      <c r="AO346" s="102" t="str">
        <f>IF(A346="","",
SUM(
COUNTIFS('QA Log'!D:D,A346,'QA Log'!M:M,"Data Verification",'QA Log'!Z:Z,"Approved",'QA Log'!L:L,"*Personnel (section 1)*"),
COUNTIFS('QA Log'!D:D,A346,'QA Log'!M:M,"Data Verification",'QA Log'!Z:Z,"Approved",'QA Log'!L:L,"*Consumable (section 3)*"),
COUNTIFS('QA Log'!D:D,A346,'QA Log'!M:M,"Data Verification",'QA Log'!Z:Z,"Approved",'QA Log'!L:L,"*Equipments (section 4)*")
))</f>
        <v/>
      </c>
      <c r="AP346" s="105" t="str">
        <f>IF(A346&lt;&gt;"",COUNTIFS('QA Log'!D:D,A346,'QA Log'!M:M,"Data Verification",'QA Log'!L:L,"Personnel (section 1)",'QA Log'!Z:Z,"Approved"),"")</f>
        <v/>
      </c>
      <c r="AQ346" s="105" t="str">
        <f>IF(A346&lt;&gt;"",COUNTIFS('QA Log'!D:D,A346,'QA Log'!M:M,"Data Verification",'QA Log'!L:L,"Consumable (section 3)",'QA Log'!Z:Z,"Approved"),"")</f>
        <v/>
      </c>
      <c r="AR346" s="105" t="str">
        <f>IF(A346&lt;&gt;"",COUNTIFS('QA Log'!D:D,A346,'QA Log'!M:M,"Data Verification",'QA Log'!L:L,"Equipments (section 4)",'QA Log'!Z:Z,"Approved"),"")</f>
        <v/>
      </c>
      <c r="AS346" s="102" t="str">
        <f>IF(A346="","",
SUM(
COUNTIFS('QA Log'!D:D,A346,'QA Log'!M:M,"Data Verification",'QA Log'!Z:Z,"Rejected",'QA Log'!L:L,"*Personnel (section 1)*"),
COUNTIFS('QA Log'!D:D,A346,'QA Log'!M:M,"Data Verification",'QA Log'!Z:Z,"Rejected",'QA Log'!L:L,"*Consumable (section 3)*"),
COUNTIFS('QA Log'!D:D,A346,'QA Log'!M:M,"Data Verification",'QA Log'!Z:Z,"Rejected",'QA Log'!L:L,"*Equipments (section 4)*")
))</f>
        <v/>
      </c>
      <c r="AT346" s="102" t="str">
        <f t="shared" si="33"/>
        <v/>
      </c>
      <c r="AU346" s="103" t="str">
        <f t="shared" si="34"/>
        <v/>
      </c>
      <c r="AV346" s="102" t="str">
        <f>IF(A346="","",SUM(
COUNTIFS('QA Log'!D:D,A346,'QA Log'!M:M,"Vignette",'QA Log'!L:L,"*Vignette [1] Respiratory Infection: Pneumonia*"),
COUNTIFS('QA Log'!D:D,A346,'QA Log'!M:M,"Vignette",'QA Log'!L:L,"*Vignette [2]: Diarrhea with Cat B dehydration*"),
COUNTIFS('QA Log'!D:D,A346,'QA Log'!M:M,"Vignette",'QA Log'!L:L,"*Vignette [3] Growth Monitoring and Promotion*"),
COUNTIFS('QA Log'!D:D,A346,'QA Log'!M:M,"Vignette",'QA Log'!L:L,"*Vignette [4]: The management of presumptive TB patient*")
)
)</f>
        <v/>
      </c>
      <c r="AW346" s="102" t="str">
        <f>IF(
  A346="","",
  SUM(
    COUNTIFS('QA Log'!D:D,A346,'QA Log'!M:M,"Vignette",'QA Log'!Z:Z,"Approved",'QA Log'!L:L,"*Vignette [1] Respiratory Infection: Pneumonia*"),
    COUNTIFS('QA Log'!D:D,A346,'QA Log'!M:M,"Vignette",'QA Log'!Z:Z,"Approved",'QA Log'!L:L,"*Vignette [2]: Diarrhea with Cat B dehydration*"),
    COUNTIFS('QA Log'!D:D,A346,'QA Log'!M:M,"Vignette",'QA Log'!Z:Z,"Approved",'QA Log'!L:L,"*Vignette [3] Growth Monitoring and Promotion*"),
    COUNTIFS('QA Log'!D:D,A346,'QA Log'!M:M,"Vignette",'QA Log'!Z:Z,"Approved",'QA Log'!L:L,"*Vignette [4]: The management of presumptive TB patient*")
  )
)</f>
        <v/>
      </c>
      <c r="AX346" s="105" t="str">
        <f>IF(A346&lt;&gt;"",COUNTIFS('QA Log'!D:D,A346,'QA Log'!M:M,"Vignette",'QA Log'!L:L,"Vignette [1] Respiratory Infection: Pneumonia",'QA Log'!Z:Z,"Approved"),"")</f>
        <v/>
      </c>
      <c r="AY346" s="105" t="str">
        <f>IF(A346&lt;&gt;"",COUNTIFS('QA Log'!D:D,A346,'QA Log'!M:M,"Vignette",'QA Log'!L:L,"Vignette [2]: Diarrhea with Cat B dehydration",'QA Log'!Z:Z,"Approved"),"")</f>
        <v/>
      </c>
      <c r="AZ346" s="105" t="str">
        <f>IF(A346&lt;&gt;"",COUNTIFS('QA Log'!D:D,A346,'QA Log'!M:M,"Vignette",'QA Log'!L:L,"Vignette [3] Growth Monitoring and Promotion",'QA Log'!Z:Z,"Approved"),"")</f>
        <v/>
      </c>
      <c r="BA346" s="105" t="str">
        <f>IF(A346&lt;&gt;"",COUNTIFS('QA Log'!D:D,A346,'QA Log'!M:M,"Vignette",'QA Log'!L:L,"Vignette [4]: The management of presumptive TB patient",'QA Log'!Z:Z,"Approved"),"")</f>
        <v/>
      </c>
      <c r="BB346" s="102" t="str">
        <f>IF(A346="","",
  SUM(
    COUNTIFS('QA Log'!D:D,A346,'QA Log'!M:M,"Vignette",'QA Log'!Z:Z,"Rejected",'QA Log'!L:L,"*Vignette [1] Respiratory Infection: Pneumonia*"),
    COUNTIFS('QA Log'!D:D,A346,'QA Log'!M:M,"Vignette",'QA Log'!Z:Z,"Rejected",'QA Log'!L:L,"*Vignette [2]: Diarrhea with Cat B dehydration*"),
    COUNTIFS('QA Log'!D:D,A346,'QA Log'!M:M,"Vignette",'QA Log'!Z:Z,"Rejected",'QA Log'!L:L,"*Vignette [3] Growth Monitoring and Promotion*"),
    COUNTIFS('QA Log'!D:D,A346,'QA Log'!M:M,"Vignette",'QA Log'!Z:Z,"Rejected",'QA Log'!L:L,"*Vignette [4]: The management of presumptive TB patient*")
  )
)</f>
        <v/>
      </c>
      <c r="BC346" s="107" t="str">
        <f t="shared" si="35"/>
        <v/>
      </c>
      <c r="BD346" s="103" t="str">
        <f t="shared" si="36"/>
        <v/>
      </c>
      <c r="BE346" s="102" t="str">
        <f>IF(A346="","",SUM(
COUNTIFS('QA Log'!D:D,A346,'QA Log'!M:M,"Vignette",'QA Log'!L:L,"*Vignette [5] Labor*"),
COUNTIFS('QA Log'!D:D,A346,'QA Log'!M:M,"Vignette",'QA Log'!L:L,"*Vignette [6] PNC pre Discharge*"),
COUNTIFS('QA Log'!D:D,A346,'QA Log'!M:M,"Vignette",'QA Log'!L:L,"*Vignette [7] First ANC Visit*"),
COUNTIFS('QA Log'!D:D,A346,'QA Log'!M:M,"Vignette",'QA Log'!L:L,"*Vignette [8] Birth Spacing/ Family Planning :  FP Counselling*"),
COUNTIFS('QA Log'!D:D,A346,'QA Log'!M:M,"Vignette",'QA Log'!L:L,"*Vignette [9] Birth Spacing: Change FP method to Injectable*"),
COUNTIFS('QA Log'!D:D,A346,'QA Log'!M:M,"Vignette",'QA Log'!L:L,"*Vignette [10] Post Partum Haemorrhage - Atonic Uterus at Health Centre*"),
)
)</f>
        <v/>
      </c>
      <c r="BF346" s="102" t="str">
        <f>IF(A346="","",
  SUM(
    COUNTIFS('QA Log'!D:D,A346,'QA Log'!M:M,"Vignette",'QA Log'!Z:Z,"Approved",'QA Log'!L:L,"*Vignette [5] Labor*"),
    COUNTIFS('QA Log'!D:D,A346,'QA Log'!M:M,"Vignette",'QA Log'!Z:Z,"Approved",'QA Log'!L:L,"*Vignette [6] PNC pre Discharge*"),
    COUNTIFS('QA Log'!D:D,A346,'QA Log'!M:M,"Vignette",'QA Log'!Z:Z,"Approved",'QA Log'!L:L,"*Vignette [7] First ANC Visit*"),
    COUNTIFS('QA Log'!D:D,A346,'QA Log'!M:M,"Vignette",'QA Log'!Z:Z,"Approved",'QA Log'!L:L,"*Vignette [8] Birth Spacing/ Family Planning :  FP Counselling*"),
    COUNTIFS('QA Log'!D:D,A346,'QA Log'!M:M,"Vignette",'QA Log'!Z:Z,"Approved",'QA Log'!L:L,"*Vignette [9] Birth Spacing: Change FP method to Injectable*"),
    COUNTIFS('QA Log'!D:D,A346,'QA Log'!M:M,"Vignette",'QA Log'!Z:Z,"Approved",'QA Log'!L:L,"*Vignette [10] Post Partum Haemorrhage - Atonic Uterus at Health Centre*")
  )
)</f>
        <v/>
      </c>
      <c r="BG346" s="105" t="str">
        <f>IF(A346&lt;&gt;"",COUNTIFS('QA Log'!D:D,A346,'QA Log'!M:M,"Vignette",'QA Log'!L:L,"Vignette [5] Labor",'QA Log'!Z:Z,"Approved"),"")</f>
        <v/>
      </c>
      <c r="BH346" s="105" t="str">
        <f>IF(A346&lt;&gt;"",COUNTIFS('QA Log'!D:D,A346,'QA Log'!M:M,"Vignette",'QA Log'!L:L,"Vignette [6] PNC pre Discharge",'QA Log'!Z:Z,"Approved"),"")</f>
        <v/>
      </c>
      <c r="BI346" s="105" t="str">
        <f>IF(A346&lt;&gt;"",COUNTIFS('QA Log'!D:D,A346,'QA Log'!M:M,"Vignette",'QA Log'!L:L,"Vignette [7] First ANC Visit",'QA Log'!Z:Z,"Approved"),"")</f>
        <v/>
      </c>
      <c r="BJ346" s="105" t="str">
        <f>IF(A346&lt;&gt;"",COUNTIFS('QA Log'!D:D,A346,'QA Log'!M:M,"Vignette",'QA Log'!L:L,"Vignette [8] Birth Spacing/ Family Planning :  FP Counselling",'QA Log'!Z:Z,"Approved"),"")</f>
        <v/>
      </c>
      <c r="BK346" s="105" t="str">
        <f>IF(A346&lt;&gt;"",COUNTIFS('QA Log'!D:D,A346,'QA Log'!M:M,"Vignette",'QA Log'!L:L,"Vignette [9] Birth Spacing: Change FP method to Injectable",'QA Log'!Z:Z,"Approved"),"")</f>
        <v/>
      </c>
      <c r="BL346" s="105" t="str">
        <f>IF(A346&lt;&gt;"",COUNTIFS('QA Log'!D:D,A346,'QA Log'!M:M,"Vignette",'QA Log'!L:L,"Vignette [10] Post Partum Haemorrhage - Atonic Uterus at Health Centre",'QA Log'!Z:Z,"Approved"),"")</f>
        <v/>
      </c>
      <c r="BM346" s="102" t="str">
        <f>IF(A346="","",SUM(
    COUNTIFS('QA Log'!D:D,A346,'QA Log'!M:M,"Vignette",'QA Log'!Z:Z,"Rejected",'QA Log'!L:L,"*Vignette [5] Labor*"),
    COUNTIFS('QA Log'!D:D,A346,'QA Log'!M:M,"Vignette",'QA Log'!Z:Z,"Rejected",'QA Log'!L:L,"*Vignette [6] PNC pre Discharge*"),
    COUNTIFS('QA Log'!D:D,A346,'QA Log'!M:M,"Vignette",'QA Log'!Z:Z,"Rejected",'QA Log'!L:L,"*Vignette [7] First ANC Visit*"),
    COUNTIFS('QA Log'!D:D,A346,'QA Log'!M:M,"Vignette",'QA Log'!Z:Z,"Rejected",'QA Log'!L:L,"*Vignette [8] Birth Spacing/ Family Planning :  FP Counselling*"),
    COUNTIFS('QA Log'!D:D,A346,'QA Log'!M:M,"Vignette",'QA Log'!Z:Z,"Rejected",'QA Log'!L:L,"*Vignette [9] Birth Spacing: Change FP method to Injectable*"),
    COUNTIFS('QA Log'!D:D,A346,'QA Log'!M:M,"Vignette",'QA Log'!Z:Z,"Rejected",'QA Log'!L:L,"*Vignette [10] Post Partum Haemorrhage - Atonic Uterus at Health Centre*")
  )
)</f>
        <v/>
      </c>
      <c r="BN346" s="107" t="str">
        <f t="shared" si="37"/>
        <v/>
      </c>
      <c r="BO346" s="103" t="str">
        <f t="shared" si="38"/>
        <v/>
      </c>
      <c r="BP346" s="102" t="str">
        <f>IF(A346="","",SUM(
COUNTIFS('QA Log'!D:D,A346,'QA Log'!M:M,"Vignette",'QA Log'!L:L,"*Exit Interview 1*"),
COUNTIFS('QA Log'!D:D,A346,'QA Log'!M:M,"Vignette",'QA Log'!L:L,"*Exit Interview 2*"),
)
)</f>
        <v/>
      </c>
      <c r="BQ346" s="102" t="str">
        <f>IF(
  A346="","",
  SUM(
    COUNTIFS('QA Log'!D:D,A346,'QA Log'!M:M,"Vignette",'QA Log'!Z:Z,"Approved",'QA Log'!L:L,"*Exit Interview 1*"),
    COUNTIFS('QA Log'!D:D,A346,'QA Log'!M:M,"Vignette",'QA Log'!Z:Z,"Approved",'QA Log'!L:L,"*Exit Interview 2*")
  )
)</f>
        <v/>
      </c>
      <c r="BR346" s="105" t="str">
        <f>IF(A346&lt;&gt;"",COUNTIFS('QA Log'!D:D,A346,'QA Log'!M:M,"Vignette",'QA Log'!L:L,"Exit Interview 1",'QA Log'!Z:Z,"Approved"),"")</f>
        <v/>
      </c>
      <c r="BS346" s="105" t="str">
        <f>IF(A346&lt;&gt;"",COUNTIFS('QA Log'!D:D,A346,'QA Log'!M:M,"Vignette",'QA Log'!L:L,"Exit Interview 2",'QA Log'!Z:Z,"Approved"),"")</f>
        <v/>
      </c>
      <c r="BT346" s="102" t="str">
        <f>IF(
  A346="","",
  SUM(
    COUNTIFS('QA Log'!D:D,A346,'QA Log'!M:M,"Vignette",'QA Log'!Z:Z,"Rejected",'QA Log'!L:L,"*Exit Interview 1*"),
    COUNTIFS('QA Log'!D:D,A346,'QA Log'!M:M,"Vignette",'QA Log'!Z:Z,"Rejected",'QA Log'!L:L,"*Exit Interview 2*")
  )
)</f>
        <v/>
      </c>
      <c r="BU346" s="107" t="str">
        <f t="shared" si="39"/>
        <v/>
      </c>
      <c r="BV346" s="102" t="str">
        <f t="shared" si="40"/>
        <v/>
      </c>
      <c r="BW346" s="102" t="str">
        <f t="shared" si="41"/>
        <v/>
      </c>
      <c r="BX346" s="102" t="str">
        <f t="shared" si="42"/>
        <v/>
      </c>
      <c r="BY346" s="102" t="str">
        <f t="shared" si="43"/>
        <v/>
      </c>
      <c r="BZ346" s="107" t="str">
        <f t="shared" si="44"/>
        <v/>
      </c>
      <c r="CA346" s="108" t="str">
        <f t="shared" si="45"/>
        <v/>
      </c>
      <c r="CB346" s="108" t="str">
        <f t="shared" si="46"/>
        <v/>
      </c>
      <c r="CC346" s="109" t="str">
        <f t="shared" si="47"/>
        <v/>
      </c>
      <c r="CD346" s="108" t="str">
        <f t="shared" si="48"/>
        <v/>
      </c>
      <c r="CE346" s="108" t="str">
        <f t="shared" si="49"/>
        <v/>
      </c>
      <c r="CF346" s="109" t="str">
        <f t="shared" si="50"/>
        <v/>
      </c>
      <c r="CG346" s="110" t="str">
        <f t="shared" si="51"/>
        <v/>
      </c>
      <c r="CH346" s="111"/>
    </row>
    <row r="347" spans="1:86" ht="12.75">
      <c r="A347" s="101"/>
      <c r="B347" s="102" t="e">
        <f t="array" aca="1" ref="B347" ca="1">_xludf.XLOOKUP(A347,'QA Log'!D:D,'QA Log'!E:E,"")</f>
        <v>#NAME?</v>
      </c>
      <c r="C347" s="102" t="e">
        <f t="array" aca="1" ref="C347" ca="1">_xludf.XLOOKUP(A347,'QA Log'!D:D,'QA Log'!F:F,"")</f>
        <v>#NAME?</v>
      </c>
      <c r="D347" s="102" t="e">
        <f t="array" aca="1" ref="D347" ca="1">_xludf.XLOOKUP(A347,'QA Log'!D:D,'QA Log'!H:H,"")</f>
        <v>#NAME?</v>
      </c>
      <c r="E347" s="102" t="e">
        <f t="array" aca="1" ref="E347" ca="1">_xludf.XLOOKUP(A347,'QA Log'!D:D,'QA Log'!G:G,"")</f>
        <v>#NAME?</v>
      </c>
      <c r="F347" s="103"/>
      <c r="G347" s="104"/>
      <c r="H347" s="104"/>
      <c r="I347" s="103" t="str">
        <f t="shared" si="26"/>
        <v/>
      </c>
      <c r="J347" s="102" t="str">
        <f>IF(A347="","",SUM(
COUNTIFS('QA Log'!D:D,A347,'QA Log'!M:M,"QQC",'QA Log'!L:L,"*1. General Management*"),
COUNTIFS('QA Log'!D:D,A347,'QA Log'!M:M,"QQC",'QA Log'!L:L,"*3. Curative Consultation (OPD)*"),
COUNTIFS('QA Log'!D:D,A347,'QA Log'!M:M,"QQC",'QA Log'!L:L,"*5. Laboratory*"),
COUNTIFS('QA Log'!D:D,A347,'QA Log'!M:M,"QQC",'QA Log'!L:L,"*6. Essential Medicine Management*"),
COUNTIFS('QA Log'!D:D,A347,'QA Log'!M:M,"QQC",'QA Log'!L:L,"*7. Tracer Medicine*"),
COUNTIFS('QA Log'!D:D,A347,'QA Log'!M:M,"QQC",'QA Log'!L:L,"*11. Additional Questions*")))</f>
        <v/>
      </c>
      <c r="K347" s="102" t="str">
        <f>IF(A347="","",SUM(
COUNTIFS('QA Log'!D:D,A347,'QA Log'!M:M,"QQC",'QA Log'!Z:Z,"Approved",'QA Log'!L:L,"*1. General Management*"),
COUNTIFS('QA Log'!D:D,A347,'QA Log'!M:M,"QQC",'QA Log'!Z:Z,"Approved",'QA Log'!L:L,"*3. Curative Consultation (OPD)*"),
COUNTIFS('QA Log'!D:D,A347,'QA Log'!M:M,"QQC",'QA Log'!Z:Z,"Approved",'QA Log'!L:L,"*5. Laboratory*"),
COUNTIFS('QA Log'!D:D,A347,'QA Log'!M:M,"QQC",'QA Log'!Z:Z,"Approved",'QA Log'!L:L,"*6. Essential Medicine Management*"),
COUNTIFS('QA Log'!D:D,A347,'QA Log'!M:M,"QQC",'QA Log'!Z:Z,"Approved",'QA Log'!L:L,"*7. Tracer Medicine*"),
COUNTIFS('QA Log'!D:D,A347,'QA Log'!M:M,"QQC",'QA Log'!Z:Z,"Approved",'QA Log'!L:L,"*11. Additional Questions*")))</f>
        <v/>
      </c>
      <c r="L347" s="105" t="str">
        <f>IF(A347&lt;&gt;"",COUNTIFS('QA Log'!D:D,A347,'QA Log'!M:M,"QQC",'QA Log'!L:L,"1. General Management",'QA Log'!Z:Z,"Approved"),"")</f>
        <v/>
      </c>
      <c r="M347" s="105" t="str">
        <f>IF(A347&lt;&gt;"",COUNTIFS('QA Log'!D:D,A347,'QA Log'!M:M,"QQC",'QA Log'!L:L,"3. Curative Consultation (OPD)",'QA Log'!Z:Z,"Approved"),"")</f>
        <v/>
      </c>
      <c r="N347" s="105" t="str">
        <f>IF(A347&lt;&gt;"",COUNTIFS('QA Log'!D:D,A347,'QA Log'!M:M,"QQC",'QA Log'!L:L,"5. Laboratory",'QA Log'!Z:Z,"Approved"),"")</f>
        <v/>
      </c>
      <c r="O347" s="105" t="str">
        <f>IF(A347&lt;&gt;"",COUNTIFS('QA Log'!D:D,A347,'QA Log'!M:M,"QQC",'QA Log'!L:L,"6. Essential Medicine Management",'QA Log'!Z:Z,"Approved"),"")</f>
        <v/>
      </c>
      <c r="P347" s="105" t="str">
        <f>IF(A347&lt;&gt;"",COUNTIFS('QA Log'!D:D,A347,'QA Log'!M:M,"QQC",'QA Log'!L:L,"7. Tracer Medicine",'QA Log'!Z:Z,"Approved"),"")</f>
        <v/>
      </c>
      <c r="Q347" s="105" t="str">
        <f>IF(A347&lt;&gt;"",COUNTIFS('QA Log'!D:D,A347,'QA Log'!M:M,"QQC",'QA Log'!L:L,"11. Additional Questions",'QA Log'!Z:Z,"Approved"),"")</f>
        <v/>
      </c>
      <c r="R347" s="102" t="str">
        <f>IF(A347="","",SUM(
COUNTIFS('QA Log'!D:D,A347,'QA Log'!M:M,"QQC",'QA Log'!Z:Z,"Rejected",'QA Log'!L:L,"*8. Maternity*"),
COUNTIFS('QA Log'!D:D,A347,'QA Log'!M:M,"QQC",'QA Log'!Z:Z,"Rejected",'QA Log'!L:L,"*EPI*"),
COUNTIFS('QA Log'!D:D,A347,'QA Log'!M:M,"QQC",'QA Log'!Z:Z,"Rejected",'QA Log'!L:L,"*10. Antenatal Care (ANC)*"),
COUNTIFS('QA Log'!D:D,A347,'QA Log'!M:M,"QQC",'QA Log'!Z:Z,"Rejected",'QA Log'!L:L,"*2. Hygiene and Sterilization*"),
COUNTIFS('QA Log'!D:D,A347,'QA Log'!M:M,"QQC",'QA Log'!Z:Z,"Rejected",'QA Log'!L:L,"*Family Planning*")))</f>
        <v/>
      </c>
      <c r="S347" s="106" t="str">
        <f t="shared" si="27"/>
        <v/>
      </c>
      <c r="T347" s="102" t="str">
        <f t="shared" si="28"/>
        <v/>
      </c>
      <c r="U347" s="102" t="str">
        <f>IF(A347="","",
SUM(
COUNTIFS('QA Log'!D:D,A347,'QA Log'!M:M,"QQC",'QA Log'!L:L,"*8. Maternity*"),
COUNTIFS('QA Log'!D:D,A347,'QA Log'!M:M,"QQC",'QA Log'!L:L,"*9. EPI and Pre-school Consultation*"),
COUNTIFS('QA Log'!D:D,A347,'QA Log'!M:M,"QQC",'QA Log'!L:L,"*10. Antenatal Care (ANC)*"),
COUNTIFS('QA Log'!D:D,A347,'QA Log'!M:M,"QQC",'QA Log'!L:L,"*2. Hygiene and Sterilization*"),
COUNTIFS('QA Log'!D:D,A347,'QA Log'!M:M,"QQC",'QA Log'!L:L,"*4. Family Planning*")
))</f>
        <v/>
      </c>
      <c r="V347" s="102" t="str">
        <f>IF(A347="","",
SUM(
COUNTIFS('QA Log'!D:D,A347,'QA Log'!M:M,"QQC",'QA Log'!Z:Z,"Approved",'QA Log'!L:L,"*8. Maternity*"),
COUNTIFS('QA Log'!D:D,A347,'QA Log'!M:M,"QQC",'QA Log'!Z:Z,"Approved",'QA Log'!L:L,"*9. EPI and Pre-school Consultation*"),
COUNTIFS('QA Log'!D:D,A347,'QA Log'!M:M,"QQC",'QA Log'!Z:Z,"Approved",'QA Log'!L:L,"*10. Antenatal Care (ANC)*"),
COUNTIFS('QA Log'!D:D,A347,'QA Log'!M:M,"QQC",'QA Log'!Z:Z,"Approved",'QA Log'!L:L,"*2. Hygiene and Sterilization*"),
COUNTIFS('QA Log'!D:D,A347,'QA Log'!M:M,"QQC",'QA Log'!Z:Z,"Approved",'QA Log'!L:L,"*4. Family Planning*")
))</f>
        <v/>
      </c>
      <c r="W347" s="105" t="str">
        <f>IF(A347&lt;&gt;"",COUNTIFS('QA Log'!D:D,A347,'QA Log'!M:M,"QQC",'QA Log'!L:L,"8. Maternity",'QA Log'!Z:Z,"Approved"),"")</f>
        <v/>
      </c>
      <c r="X347" s="105" t="str">
        <f>IF(A347&lt;&gt;"",COUNTIFS('QA Log'!D:D,A347,'QA Log'!M:M,"QQC",'QA Log'!L:L,"9. EPI and Pre-school Consultation",'QA Log'!Z:Z,"Approved"),"")</f>
        <v/>
      </c>
      <c r="Y347" s="105" t="str">
        <f>IF(A347&lt;&gt;"",COUNTIFS('QA Log'!D:D,A347,'QA Log'!M:M,"QQC",'QA Log'!L:L,"10. Antenatal Care (ANC)",'QA Log'!Z:Z,"Approved"),"")</f>
        <v/>
      </c>
      <c r="Z347" s="105" t="str">
        <f>IF(A347&lt;&gt;"",COUNTIFS('QA Log'!D:D,A347,'QA Log'!M:M,"QQC",'QA Log'!L:L,"2. Hygiene and Sterilization",'QA Log'!Z:Z,"Approved"),"")</f>
        <v/>
      </c>
      <c r="AA347" s="105" t="str">
        <f>IF(A347&lt;&gt;"",COUNTIFS('QA Log'!D:D,A347,'QA Log'!M:M,"QQC",'QA Log'!L:L,"4. Family Planning",'QA Log'!Z:Z,"Approved"),"")</f>
        <v/>
      </c>
      <c r="AB347" s="102" t="str">
        <f>IF(A347="","",
SUM(
COUNTIFS('QA Log'!D:D,A347,'QA Log'!M:M,"QQC",'QA Log'!Z:Z,"Rejected",'QA Log'!L:L,"*8. Maternity*"),
COUNTIFS('QA Log'!D:D,A347,'QA Log'!M:M,"QQC",'QA Log'!Z:Z,"Rejected",'QA Log'!L:L,"*9. EPI and Pre-school Consultation*"),
COUNTIFS('QA Log'!D:D,A347,'QA Log'!M:M,"QQC",'QA Log'!Z:Z,"Rejected",'QA Log'!L:L,"*10. Antenatal Care (ANC)*"),
COUNTIFS('QA Log'!D:D,A347,'QA Log'!M:M,"QQC",'QA Log'!Z:Z,"Rejected",'QA Log'!L:L,"*2. Hygiene and Sterilization*"),
COUNTIFS('QA Log'!D:D,A347,'QA Log'!M:M,"QQC",'QA Log'!Z:Z,"Rejected",'QA Log'!L:L,"*4. Family Planning*")
))</f>
        <v/>
      </c>
      <c r="AC347" s="102" t="str">
        <f t="shared" si="29"/>
        <v/>
      </c>
      <c r="AD347" s="103" t="str">
        <f t="shared" si="30"/>
        <v/>
      </c>
      <c r="AE347" s="102" t="str">
        <f>IF(A347="","",
SUM(
COUNTIFS('QA Log'!D:D,A347,'QA Log'!M:M,"Data Verification",'QA Log'!L:L,"*Medicine (section 2)*"),
COUNTIFS('QA Log'!D:D,A347,'QA Log'!M:M,"Data Verification",'QA Log'!L:L,"*Lab Testing Availability*"),
COUNTIFS('QA Log'!D:D,A347,'QA Log'!M:M,"Data Verification",'QA Log'!L:L,"*Other than P4P (section 6)*"),
COUNTIFS('QA Log'!D:D,A347,'QA Log'!M:M,"Data Verification",'QA Log'!L:L,"*Hospital Governance*")
))</f>
        <v/>
      </c>
      <c r="AF347" s="102" t="str">
        <f>IF(A347="","",
SUM(
COUNTIFS('QA Log'!D:D,A347,'QA Log'!M:M,"Data Verification",'QA Log'!Z:Z,"Approved",'QA Log'!L:L,"*Medicine (section 2)*"),
COUNTIFS('QA Log'!D:D,A347,'QA Log'!M:M,"Data Verification",'QA Log'!Z:Z,"Approved",'QA Log'!L:L,"*Lab Testing Availability*"),
COUNTIFS('QA Log'!D:D,A347,'QA Log'!M:M,"Data Verification",'QA Log'!Z:Z,"Approved",'QA Log'!L:L,"*Other than P4P (section 6)*"),
COUNTIFS('QA Log'!D:D,A347,'QA Log'!M:M,"Data Verification",'QA Log'!Z:Z,"Approved",'QA Log'!L:L,"*Hospital Governance*")
))</f>
        <v/>
      </c>
      <c r="AG347" s="105" t="str">
        <f>IF(A347&lt;&gt;"",COUNTIFS('QA Log'!D:D,A347,'QA Log'!M:M,"Data Verification",'QA Log'!L:L,"Medicine (section 2)",'QA Log'!Z:Z,"Approved"),"")</f>
        <v/>
      </c>
      <c r="AH347" s="105" t="str">
        <f>IF(A347&lt;&gt;"",COUNTIFS('QA Log'!D:D,A347,'QA Log'!M:M,"Data Verification",'QA Log'!L:L,"Lab Testing Availability",'QA Log'!Z:Z,"Approved"),"")</f>
        <v/>
      </c>
      <c r="AI347" s="105" t="str">
        <f>IF(A347&lt;&gt;"",COUNTIFS('QA Log'!D:D,A347,'QA Log'!M:M,"Data Verification",'QA Log'!L:L,"Other than P4P (section 6)",'QA Log'!Z:Z,"Approved"),"")</f>
        <v/>
      </c>
      <c r="AJ347" s="105" t="str">
        <f>IF(A347&lt;&gt;"",COUNTIFS('QA Log'!D:D,A347,'QA Log'!M:M,"Data Verification",'QA Log'!L:L,"Hospital Governance",'QA Log'!Z:Z,"Approved"),"")</f>
        <v/>
      </c>
      <c r="AK347" s="102" t="str">
        <f>IF(A347="","",
SUM(
COUNTIFS('QA Log'!D:D,A347,'QA Log'!M:M,"Data Verification",'QA Log'!Z:Z,"Rejected",'QA Log'!L:L,"*Medicine (section 2)*"),
COUNTIFS('QA Log'!D:D,A347,'QA Log'!M:M,"Data Verification",'QA Log'!Z:Z,"Rejected",'QA Log'!L:L,"*Lab Testing Availability*"),
COUNTIFS('QA Log'!D:D,A347,'QA Log'!M:M,"Data Verification",'QA Log'!Z:Z,"Rejected",'QA Log'!L:L,"*Other than P4P (section 6)*"),
COUNTIFS('QA Log'!D:D,A347,'QA Log'!M:M,"Data Verification",'QA Log'!Z:Z,"Rejected",'QA Log'!L:L,"*Hospital Governance*")
))</f>
        <v/>
      </c>
      <c r="AL347" s="106" t="str">
        <f t="shared" si="31"/>
        <v/>
      </c>
      <c r="AM347" s="102" t="str">
        <f t="shared" si="32"/>
        <v/>
      </c>
      <c r="AN347" s="102" t="str">
        <f>IF(A347="","",
SUM(
COUNTIFS('QA Log'!D:D,A347,'QA Log'!M:M,"Data Verification",'QA Log'!L:L,"*Personnel (section 1)*"),
COUNTIFS('QA Log'!D:D,A347,'QA Log'!M:M,"Data Verification",'QA Log'!L:L,"*Consumable (section 3)*"),
COUNTIFS('QA Log'!D:D,A347,'QA Log'!M:M,"Data Verification",'QA Log'!L:L,"*Equipments (section 4)*")
))</f>
        <v/>
      </c>
      <c r="AO347" s="102" t="str">
        <f>IF(A347="","",
SUM(
COUNTIFS('QA Log'!D:D,A347,'QA Log'!M:M,"Data Verification",'QA Log'!Z:Z,"Approved",'QA Log'!L:L,"*Personnel (section 1)*"),
COUNTIFS('QA Log'!D:D,A347,'QA Log'!M:M,"Data Verification",'QA Log'!Z:Z,"Approved",'QA Log'!L:L,"*Consumable (section 3)*"),
COUNTIFS('QA Log'!D:D,A347,'QA Log'!M:M,"Data Verification",'QA Log'!Z:Z,"Approved",'QA Log'!L:L,"*Equipments (section 4)*")
))</f>
        <v/>
      </c>
      <c r="AP347" s="105" t="str">
        <f>IF(A347&lt;&gt;"",COUNTIFS('QA Log'!D:D,A347,'QA Log'!M:M,"Data Verification",'QA Log'!L:L,"Personnel (section 1)",'QA Log'!Z:Z,"Approved"),"")</f>
        <v/>
      </c>
      <c r="AQ347" s="105" t="str">
        <f>IF(A347&lt;&gt;"",COUNTIFS('QA Log'!D:D,A347,'QA Log'!M:M,"Data Verification",'QA Log'!L:L,"Consumable (section 3)",'QA Log'!Z:Z,"Approved"),"")</f>
        <v/>
      </c>
      <c r="AR347" s="105" t="str">
        <f>IF(A347&lt;&gt;"",COUNTIFS('QA Log'!D:D,A347,'QA Log'!M:M,"Data Verification",'QA Log'!L:L,"Equipments (section 4)",'QA Log'!Z:Z,"Approved"),"")</f>
        <v/>
      </c>
      <c r="AS347" s="102" t="str">
        <f>IF(A347="","",
SUM(
COUNTIFS('QA Log'!D:D,A347,'QA Log'!M:M,"Data Verification",'QA Log'!Z:Z,"Rejected",'QA Log'!L:L,"*Personnel (section 1)*"),
COUNTIFS('QA Log'!D:D,A347,'QA Log'!M:M,"Data Verification",'QA Log'!Z:Z,"Rejected",'QA Log'!L:L,"*Consumable (section 3)*"),
COUNTIFS('QA Log'!D:D,A347,'QA Log'!M:M,"Data Verification",'QA Log'!Z:Z,"Rejected",'QA Log'!L:L,"*Equipments (section 4)*")
))</f>
        <v/>
      </c>
      <c r="AT347" s="102" t="str">
        <f t="shared" si="33"/>
        <v/>
      </c>
      <c r="AU347" s="103" t="str">
        <f t="shared" si="34"/>
        <v/>
      </c>
      <c r="AV347" s="102" t="str">
        <f>IF(A347="","",SUM(
COUNTIFS('QA Log'!D:D,A347,'QA Log'!M:M,"Vignette",'QA Log'!L:L,"*Vignette [1] Respiratory Infection: Pneumonia*"),
COUNTIFS('QA Log'!D:D,A347,'QA Log'!M:M,"Vignette",'QA Log'!L:L,"*Vignette [2]: Diarrhea with Cat B dehydration*"),
COUNTIFS('QA Log'!D:D,A347,'QA Log'!M:M,"Vignette",'QA Log'!L:L,"*Vignette [3] Growth Monitoring and Promotion*"),
COUNTIFS('QA Log'!D:D,A347,'QA Log'!M:M,"Vignette",'QA Log'!L:L,"*Vignette [4]: The management of presumptive TB patient*")
)
)</f>
        <v/>
      </c>
      <c r="AW347" s="102" t="str">
        <f>IF(
  A347="","",
  SUM(
    COUNTIFS('QA Log'!D:D,A347,'QA Log'!M:M,"Vignette",'QA Log'!Z:Z,"Approved",'QA Log'!L:L,"*Vignette [1] Respiratory Infection: Pneumonia*"),
    COUNTIFS('QA Log'!D:D,A347,'QA Log'!M:M,"Vignette",'QA Log'!Z:Z,"Approved",'QA Log'!L:L,"*Vignette [2]: Diarrhea with Cat B dehydration*"),
    COUNTIFS('QA Log'!D:D,A347,'QA Log'!M:M,"Vignette",'QA Log'!Z:Z,"Approved",'QA Log'!L:L,"*Vignette [3] Growth Monitoring and Promotion*"),
    COUNTIFS('QA Log'!D:D,A347,'QA Log'!M:M,"Vignette",'QA Log'!Z:Z,"Approved",'QA Log'!L:L,"*Vignette [4]: The management of presumptive TB patient*")
  )
)</f>
        <v/>
      </c>
      <c r="AX347" s="105" t="str">
        <f>IF(A347&lt;&gt;"",COUNTIFS('QA Log'!D:D,A347,'QA Log'!M:M,"Vignette",'QA Log'!L:L,"Vignette [1] Respiratory Infection: Pneumonia",'QA Log'!Z:Z,"Approved"),"")</f>
        <v/>
      </c>
      <c r="AY347" s="105" t="str">
        <f>IF(A347&lt;&gt;"",COUNTIFS('QA Log'!D:D,A347,'QA Log'!M:M,"Vignette",'QA Log'!L:L,"Vignette [2]: Diarrhea with Cat B dehydration",'QA Log'!Z:Z,"Approved"),"")</f>
        <v/>
      </c>
      <c r="AZ347" s="105" t="str">
        <f>IF(A347&lt;&gt;"",COUNTIFS('QA Log'!D:D,A347,'QA Log'!M:M,"Vignette",'QA Log'!L:L,"Vignette [3] Growth Monitoring and Promotion",'QA Log'!Z:Z,"Approved"),"")</f>
        <v/>
      </c>
      <c r="BA347" s="105" t="str">
        <f>IF(A347&lt;&gt;"",COUNTIFS('QA Log'!D:D,A347,'QA Log'!M:M,"Vignette",'QA Log'!L:L,"Vignette [4]: The management of presumptive TB patient",'QA Log'!Z:Z,"Approved"),"")</f>
        <v/>
      </c>
      <c r="BB347" s="102" t="str">
        <f>IF(A347="","",
  SUM(
    COUNTIFS('QA Log'!D:D,A347,'QA Log'!M:M,"Vignette",'QA Log'!Z:Z,"Rejected",'QA Log'!L:L,"*Vignette [1] Respiratory Infection: Pneumonia*"),
    COUNTIFS('QA Log'!D:D,A347,'QA Log'!M:M,"Vignette",'QA Log'!Z:Z,"Rejected",'QA Log'!L:L,"*Vignette [2]: Diarrhea with Cat B dehydration*"),
    COUNTIFS('QA Log'!D:D,A347,'QA Log'!M:M,"Vignette",'QA Log'!Z:Z,"Rejected",'QA Log'!L:L,"*Vignette [3] Growth Monitoring and Promotion*"),
    COUNTIFS('QA Log'!D:D,A347,'QA Log'!M:M,"Vignette",'QA Log'!Z:Z,"Rejected",'QA Log'!L:L,"*Vignette [4]: The management of presumptive TB patient*")
  )
)</f>
        <v/>
      </c>
      <c r="BC347" s="107" t="str">
        <f t="shared" si="35"/>
        <v/>
      </c>
      <c r="BD347" s="103" t="str">
        <f t="shared" si="36"/>
        <v/>
      </c>
      <c r="BE347" s="102" t="str">
        <f>IF(A347="","",SUM(
COUNTIFS('QA Log'!D:D,A347,'QA Log'!M:M,"Vignette",'QA Log'!L:L,"*Vignette [5] Labor*"),
COUNTIFS('QA Log'!D:D,A347,'QA Log'!M:M,"Vignette",'QA Log'!L:L,"*Vignette [6] PNC pre Discharge*"),
COUNTIFS('QA Log'!D:D,A347,'QA Log'!M:M,"Vignette",'QA Log'!L:L,"*Vignette [7] First ANC Visit*"),
COUNTIFS('QA Log'!D:D,A347,'QA Log'!M:M,"Vignette",'QA Log'!L:L,"*Vignette [8] Birth Spacing/ Family Planning :  FP Counselling*"),
COUNTIFS('QA Log'!D:D,A347,'QA Log'!M:M,"Vignette",'QA Log'!L:L,"*Vignette [9] Birth Spacing: Change FP method to Injectable*"),
COUNTIFS('QA Log'!D:D,A347,'QA Log'!M:M,"Vignette",'QA Log'!L:L,"*Vignette [10] Post Partum Haemorrhage - Atonic Uterus at Health Centre*"),
)
)</f>
        <v/>
      </c>
      <c r="BF347" s="102" t="str">
        <f>IF(A347="","",
  SUM(
    COUNTIFS('QA Log'!D:D,A347,'QA Log'!M:M,"Vignette",'QA Log'!Z:Z,"Approved",'QA Log'!L:L,"*Vignette [5] Labor*"),
    COUNTIFS('QA Log'!D:D,A347,'QA Log'!M:M,"Vignette",'QA Log'!Z:Z,"Approved",'QA Log'!L:L,"*Vignette [6] PNC pre Discharge*"),
    COUNTIFS('QA Log'!D:D,A347,'QA Log'!M:M,"Vignette",'QA Log'!Z:Z,"Approved",'QA Log'!L:L,"*Vignette [7] First ANC Visit*"),
    COUNTIFS('QA Log'!D:D,A347,'QA Log'!M:M,"Vignette",'QA Log'!Z:Z,"Approved",'QA Log'!L:L,"*Vignette [8] Birth Spacing/ Family Planning :  FP Counselling*"),
    COUNTIFS('QA Log'!D:D,A347,'QA Log'!M:M,"Vignette",'QA Log'!Z:Z,"Approved",'QA Log'!L:L,"*Vignette [9] Birth Spacing: Change FP method to Injectable*"),
    COUNTIFS('QA Log'!D:D,A347,'QA Log'!M:M,"Vignette",'QA Log'!Z:Z,"Approved",'QA Log'!L:L,"*Vignette [10] Post Partum Haemorrhage - Atonic Uterus at Health Centre*")
  )
)</f>
        <v/>
      </c>
      <c r="BG347" s="105" t="str">
        <f>IF(A347&lt;&gt;"",COUNTIFS('QA Log'!D:D,A347,'QA Log'!M:M,"Vignette",'QA Log'!L:L,"Vignette [5] Labor",'QA Log'!Z:Z,"Approved"),"")</f>
        <v/>
      </c>
      <c r="BH347" s="105" t="str">
        <f>IF(A347&lt;&gt;"",COUNTIFS('QA Log'!D:D,A347,'QA Log'!M:M,"Vignette",'QA Log'!L:L,"Vignette [6] PNC pre Discharge",'QA Log'!Z:Z,"Approved"),"")</f>
        <v/>
      </c>
      <c r="BI347" s="105" t="str">
        <f>IF(A347&lt;&gt;"",COUNTIFS('QA Log'!D:D,A347,'QA Log'!M:M,"Vignette",'QA Log'!L:L,"Vignette [7] First ANC Visit",'QA Log'!Z:Z,"Approved"),"")</f>
        <v/>
      </c>
      <c r="BJ347" s="105" t="str">
        <f>IF(A347&lt;&gt;"",COUNTIFS('QA Log'!D:D,A347,'QA Log'!M:M,"Vignette",'QA Log'!L:L,"Vignette [8] Birth Spacing/ Family Planning :  FP Counselling",'QA Log'!Z:Z,"Approved"),"")</f>
        <v/>
      </c>
      <c r="BK347" s="105" t="str">
        <f>IF(A347&lt;&gt;"",COUNTIFS('QA Log'!D:D,A347,'QA Log'!M:M,"Vignette",'QA Log'!L:L,"Vignette [9] Birth Spacing: Change FP method to Injectable",'QA Log'!Z:Z,"Approved"),"")</f>
        <v/>
      </c>
      <c r="BL347" s="105" t="str">
        <f>IF(A347&lt;&gt;"",COUNTIFS('QA Log'!D:D,A347,'QA Log'!M:M,"Vignette",'QA Log'!L:L,"Vignette [10] Post Partum Haemorrhage - Atonic Uterus at Health Centre",'QA Log'!Z:Z,"Approved"),"")</f>
        <v/>
      </c>
      <c r="BM347" s="102" t="str">
        <f>IF(A347="","",SUM(
    COUNTIFS('QA Log'!D:D,A347,'QA Log'!M:M,"Vignette",'QA Log'!Z:Z,"Rejected",'QA Log'!L:L,"*Vignette [5] Labor*"),
    COUNTIFS('QA Log'!D:D,A347,'QA Log'!M:M,"Vignette",'QA Log'!Z:Z,"Rejected",'QA Log'!L:L,"*Vignette [6] PNC pre Discharge*"),
    COUNTIFS('QA Log'!D:D,A347,'QA Log'!M:M,"Vignette",'QA Log'!Z:Z,"Rejected",'QA Log'!L:L,"*Vignette [7] First ANC Visit*"),
    COUNTIFS('QA Log'!D:D,A347,'QA Log'!M:M,"Vignette",'QA Log'!Z:Z,"Rejected",'QA Log'!L:L,"*Vignette [8] Birth Spacing/ Family Planning :  FP Counselling*"),
    COUNTIFS('QA Log'!D:D,A347,'QA Log'!M:M,"Vignette",'QA Log'!Z:Z,"Rejected",'QA Log'!L:L,"*Vignette [9] Birth Spacing: Change FP method to Injectable*"),
    COUNTIFS('QA Log'!D:D,A347,'QA Log'!M:M,"Vignette",'QA Log'!Z:Z,"Rejected",'QA Log'!L:L,"*Vignette [10] Post Partum Haemorrhage - Atonic Uterus at Health Centre*")
  )
)</f>
        <v/>
      </c>
      <c r="BN347" s="107" t="str">
        <f t="shared" si="37"/>
        <v/>
      </c>
      <c r="BO347" s="103" t="str">
        <f t="shared" si="38"/>
        <v/>
      </c>
      <c r="BP347" s="102" t="str">
        <f>IF(A347="","",SUM(
COUNTIFS('QA Log'!D:D,A347,'QA Log'!M:M,"Vignette",'QA Log'!L:L,"*Exit Interview 1*"),
COUNTIFS('QA Log'!D:D,A347,'QA Log'!M:M,"Vignette",'QA Log'!L:L,"*Exit Interview 2*"),
)
)</f>
        <v/>
      </c>
      <c r="BQ347" s="102" t="str">
        <f>IF(
  A347="","",
  SUM(
    COUNTIFS('QA Log'!D:D,A347,'QA Log'!M:M,"Vignette",'QA Log'!Z:Z,"Approved",'QA Log'!L:L,"*Exit Interview 1*"),
    COUNTIFS('QA Log'!D:D,A347,'QA Log'!M:M,"Vignette",'QA Log'!Z:Z,"Approved",'QA Log'!L:L,"*Exit Interview 2*")
  )
)</f>
        <v/>
      </c>
      <c r="BR347" s="105" t="str">
        <f>IF(A347&lt;&gt;"",COUNTIFS('QA Log'!D:D,A347,'QA Log'!M:M,"Vignette",'QA Log'!L:L,"Exit Interview 1",'QA Log'!Z:Z,"Approved"),"")</f>
        <v/>
      </c>
      <c r="BS347" s="105" t="str">
        <f>IF(A347&lt;&gt;"",COUNTIFS('QA Log'!D:D,A347,'QA Log'!M:M,"Vignette",'QA Log'!L:L,"Exit Interview 2",'QA Log'!Z:Z,"Approved"),"")</f>
        <v/>
      </c>
      <c r="BT347" s="102" t="str">
        <f>IF(
  A347="","",
  SUM(
    COUNTIFS('QA Log'!D:D,A347,'QA Log'!M:M,"Vignette",'QA Log'!Z:Z,"Rejected",'QA Log'!L:L,"*Exit Interview 1*"),
    COUNTIFS('QA Log'!D:D,A347,'QA Log'!M:M,"Vignette",'QA Log'!Z:Z,"Rejected",'QA Log'!L:L,"*Exit Interview 2*")
  )
)</f>
        <v/>
      </c>
      <c r="BU347" s="107" t="str">
        <f t="shared" si="39"/>
        <v/>
      </c>
      <c r="BV347" s="102" t="str">
        <f t="shared" si="40"/>
        <v/>
      </c>
      <c r="BW347" s="102" t="str">
        <f t="shared" si="41"/>
        <v/>
      </c>
      <c r="BX347" s="102" t="str">
        <f t="shared" si="42"/>
        <v/>
      </c>
      <c r="BY347" s="102" t="str">
        <f t="shared" si="43"/>
        <v/>
      </c>
      <c r="BZ347" s="107" t="str">
        <f t="shared" si="44"/>
        <v/>
      </c>
      <c r="CA347" s="108" t="str">
        <f t="shared" si="45"/>
        <v/>
      </c>
      <c r="CB347" s="108" t="str">
        <f t="shared" si="46"/>
        <v/>
      </c>
      <c r="CC347" s="109" t="str">
        <f t="shared" si="47"/>
        <v/>
      </c>
      <c r="CD347" s="108" t="str">
        <f t="shared" si="48"/>
        <v/>
      </c>
      <c r="CE347" s="108" t="str">
        <f t="shared" si="49"/>
        <v/>
      </c>
      <c r="CF347" s="109" t="str">
        <f t="shared" si="50"/>
        <v/>
      </c>
      <c r="CG347" s="110" t="str">
        <f t="shared" si="51"/>
        <v/>
      </c>
      <c r="CH347" s="111"/>
    </row>
    <row r="348" spans="1:86" ht="12.75">
      <c r="A348" s="101"/>
      <c r="B348" s="102" t="e">
        <f t="array" aca="1" ref="B348" ca="1">_xludf.XLOOKUP(A348,'QA Log'!D:D,'QA Log'!E:E,"")</f>
        <v>#NAME?</v>
      </c>
      <c r="C348" s="102" t="e">
        <f t="array" aca="1" ref="C348" ca="1">_xludf.XLOOKUP(A348,'QA Log'!D:D,'QA Log'!F:F,"")</f>
        <v>#NAME?</v>
      </c>
      <c r="D348" s="102" t="e">
        <f t="array" aca="1" ref="D348" ca="1">_xludf.XLOOKUP(A348,'QA Log'!D:D,'QA Log'!H:H,"")</f>
        <v>#NAME?</v>
      </c>
      <c r="E348" s="102" t="e">
        <f t="array" aca="1" ref="E348" ca="1">_xludf.XLOOKUP(A348,'QA Log'!D:D,'QA Log'!G:G,"")</f>
        <v>#NAME?</v>
      </c>
      <c r="F348" s="103"/>
      <c r="G348" s="104"/>
      <c r="H348" s="104"/>
      <c r="I348" s="103" t="str">
        <f t="shared" si="26"/>
        <v/>
      </c>
      <c r="J348" s="102" t="str">
        <f>IF(A348="","",SUM(
COUNTIFS('QA Log'!D:D,A348,'QA Log'!M:M,"QQC",'QA Log'!L:L,"*1. General Management*"),
COUNTIFS('QA Log'!D:D,A348,'QA Log'!M:M,"QQC",'QA Log'!L:L,"*3. Curative Consultation (OPD)*"),
COUNTIFS('QA Log'!D:D,A348,'QA Log'!M:M,"QQC",'QA Log'!L:L,"*5. Laboratory*"),
COUNTIFS('QA Log'!D:D,A348,'QA Log'!M:M,"QQC",'QA Log'!L:L,"*6. Essential Medicine Management*"),
COUNTIFS('QA Log'!D:D,A348,'QA Log'!M:M,"QQC",'QA Log'!L:L,"*7. Tracer Medicine*"),
COUNTIFS('QA Log'!D:D,A348,'QA Log'!M:M,"QQC",'QA Log'!L:L,"*11. Additional Questions*")))</f>
        <v/>
      </c>
      <c r="K348" s="102" t="str">
        <f>IF(A348="","",SUM(
COUNTIFS('QA Log'!D:D,A348,'QA Log'!M:M,"QQC",'QA Log'!Z:Z,"Approved",'QA Log'!L:L,"*1. General Management*"),
COUNTIFS('QA Log'!D:D,A348,'QA Log'!M:M,"QQC",'QA Log'!Z:Z,"Approved",'QA Log'!L:L,"*3. Curative Consultation (OPD)*"),
COUNTIFS('QA Log'!D:D,A348,'QA Log'!M:M,"QQC",'QA Log'!Z:Z,"Approved",'QA Log'!L:L,"*5. Laboratory*"),
COUNTIFS('QA Log'!D:D,A348,'QA Log'!M:M,"QQC",'QA Log'!Z:Z,"Approved",'QA Log'!L:L,"*6. Essential Medicine Management*"),
COUNTIFS('QA Log'!D:D,A348,'QA Log'!M:M,"QQC",'QA Log'!Z:Z,"Approved",'QA Log'!L:L,"*7. Tracer Medicine*"),
COUNTIFS('QA Log'!D:D,A348,'QA Log'!M:M,"QQC",'QA Log'!Z:Z,"Approved",'QA Log'!L:L,"*11. Additional Questions*")))</f>
        <v/>
      </c>
      <c r="L348" s="105" t="str">
        <f>IF(A348&lt;&gt;"",COUNTIFS('QA Log'!D:D,A348,'QA Log'!M:M,"QQC",'QA Log'!L:L,"1. General Management",'QA Log'!Z:Z,"Approved"),"")</f>
        <v/>
      </c>
      <c r="M348" s="105" t="str">
        <f>IF(A348&lt;&gt;"",COUNTIFS('QA Log'!D:D,A348,'QA Log'!M:M,"QQC",'QA Log'!L:L,"3. Curative Consultation (OPD)",'QA Log'!Z:Z,"Approved"),"")</f>
        <v/>
      </c>
      <c r="N348" s="105" t="str">
        <f>IF(A348&lt;&gt;"",COUNTIFS('QA Log'!D:D,A348,'QA Log'!M:M,"QQC",'QA Log'!L:L,"5. Laboratory",'QA Log'!Z:Z,"Approved"),"")</f>
        <v/>
      </c>
      <c r="O348" s="105" t="str">
        <f>IF(A348&lt;&gt;"",COUNTIFS('QA Log'!D:D,A348,'QA Log'!M:M,"QQC",'QA Log'!L:L,"6. Essential Medicine Management",'QA Log'!Z:Z,"Approved"),"")</f>
        <v/>
      </c>
      <c r="P348" s="105" t="str">
        <f>IF(A348&lt;&gt;"",COUNTIFS('QA Log'!D:D,A348,'QA Log'!M:M,"QQC",'QA Log'!L:L,"7. Tracer Medicine",'QA Log'!Z:Z,"Approved"),"")</f>
        <v/>
      </c>
      <c r="Q348" s="105" t="str">
        <f>IF(A348&lt;&gt;"",COUNTIFS('QA Log'!D:D,A348,'QA Log'!M:M,"QQC",'QA Log'!L:L,"11. Additional Questions",'QA Log'!Z:Z,"Approved"),"")</f>
        <v/>
      </c>
      <c r="R348" s="102" t="str">
        <f>IF(A348="","",SUM(
COUNTIFS('QA Log'!D:D,A348,'QA Log'!M:M,"QQC",'QA Log'!Z:Z,"Rejected",'QA Log'!L:L,"*8. Maternity*"),
COUNTIFS('QA Log'!D:D,A348,'QA Log'!M:M,"QQC",'QA Log'!Z:Z,"Rejected",'QA Log'!L:L,"*EPI*"),
COUNTIFS('QA Log'!D:D,A348,'QA Log'!M:M,"QQC",'QA Log'!Z:Z,"Rejected",'QA Log'!L:L,"*10. Antenatal Care (ANC)*"),
COUNTIFS('QA Log'!D:D,A348,'QA Log'!M:M,"QQC",'QA Log'!Z:Z,"Rejected",'QA Log'!L:L,"*2. Hygiene and Sterilization*"),
COUNTIFS('QA Log'!D:D,A348,'QA Log'!M:M,"QQC",'QA Log'!Z:Z,"Rejected",'QA Log'!L:L,"*Family Planning*")))</f>
        <v/>
      </c>
      <c r="S348" s="106" t="str">
        <f t="shared" si="27"/>
        <v/>
      </c>
      <c r="T348" s="102" t="str">
        <f t="shared" si="28"/>
        <v/>
      </c>
      <c r="U348" s="102" t="str">
        <f>IF(A348="","",
SUM(
COUNTIFS('QA Log'!D:D,A348,'QA Log'!M:M,"QQC",'QA Log'!L:L,"*8. Maternity*"),
COUNTIFS('QA Log'!D:D,A348,'QA Log'!M:M,"QQC",'QA Log'!L:L,"*9. EPI and Pre-school Consultation*"),
COUNTIFS('QA Log'!D:D,A348,'QA Log'!M:M,"QQC",'QA Log'!L:L,"*10. Antenatal Care (ANC)*"),
COUNTIFS('QA Log'!D:D,A348,'QA Log'!M:M,"QQC",'QA Log'!L:L,"*2. Hygiene and Sterilization*"),
COUNTIFS('QA Log'!D:D,A348,'QA Log'!M:M,"QQC",'QA Log'!L:L,"*4. Family Planning*")
))</f>
        <v/>
      </c>
      <c r="V348" s="102" t="str">
        <f>IF(A348="","",
SUM(
COUNTIFS('QA Log'!D:D,A348,'QA Log'!M:M,"QQC",'QA Log'!Z:Z,"Approved",'QA Log'!L:L,"*8. Maternity*"),
COUNTIFS('QA Log'!D:D,A348,'QA Log'!M:M,"QQC",'QA Log'!Z:Z,"Approved",'QA Log'!L:L,"*9. EPI and Pre-school Consultation*"),
COUNTIFS('QA Log'!D:D,A348,'QA Log'!M:M,"QQC",'QA Log'!Z:Z,"Approved",'QA Log'!L:L,"*10. Antenatal Care (ANC)*"),
COUNTIFS('QA Log'!D:D,A348,'QA Log'!M:M,"QQC",'QA Log'!Z:Z,"Approved",'QA Log'!L:L,"*2. Hygiene and Sterilization*"),
COUNTIFS('QA Log'!D:D,A348,'QA Log'!M:M,"QQC",'QA Log'!Z:Z,"Approved",'QA Log'!L:L,"*4. Family Planning*")
))</f>
        <v/>
      </c>
      <c r="W348" s="105" t="str">
        <f>IF(A348&lt;&gt;"",COUNTIFS('QA Log'!D:D,A348,'QA Log'!M:M,"QQC",'QA Log'!L:L,"8. Maternity",'QA Log'!Z:Z,"Approved"),"")</f>
        <v/>
      </c>
      <c r="X348" s="105" t="str">
        <f>IF(A348&lt;&gt;"",COUNTIFS('QA Log'!D:D,A348,'QA Log'!M:M,"QQC",'QA Log'!L:L,"9. EPI and Pre-school Consultation",'QA Log'!Z:Z,"Approved"),"")</f>
        <v/>
      </c>
      <c r="Y348" s="105" t="str">
        <f>IF(A348&lt;&gt;"",COUNTIFS('QA Log'!D:D,A348,'QA Log'!M:M,"QQC",'QA Log'!L:L,"10. Antenatal Care (ANC)",'QA Log'!Z:Z,"Approved"),"")</f>
        <v/>
      </c>
      <c r="Z348" s="105" t="str">
        <f>IF(A348&lt;&gt;"",COUNTIFS('QA Log'!D:D,A348,'QA Log'!M:M,"QQC",'QA Log'!L:L,"2. Hygiene and Sterilization",'QA Log'!Z:Z,"Approved"),"")</f>
        <v/>
      </c>
      <c r="AA348" s="105" t="str">
        <f>IF(A348&lt;&gt;"",COUNTIFS('QA Log'!D:D,A348,'QA Log'!M:M,"QQC",'QA Log'!L:L,"4. Family Planning",'QA Log'!Z:Z,"Approved"),"")</f>
        <v/>
      </c>
      <c r="AB348" s="102" t="str">
        <f>IF(A348="","",
SUM(
COUNTIFS('QA Log'!D:D,A348,'QA Log'!M:M,"QQC",'QA Log'!Z:Z,"Rejected",'QA Log'!L:L,"*8. Maternity*"),
COUNTIFS('QA Log'!D:D,A348,'QA Log'!M:M,"QQC",'QA Log'!Z:Z,"Rejected",'QA Log'!L:L,"*9. EPI and Pre-school Consultation*"),
COUNTIFS('QA Log'!D:D,A348,'QA Log'!M:M,"QQC",'QA Log'!Z:Z,"Rejected",'QA Log'!L:L,"*10. Antenatal Care (ANC)*"),
COUNTIFS('QA Log'!D:D,A348,'QA Log'!M:M,"QQC",'QA Log'!Z:Z,"Rejected",'QA Log'!L:L,"*2. Hygiene and Sterilization*"),
COUNTIFS('QA Log'!D:D,A348,'QA Log'!M:M,"QQC",'QA Log'!Z:Z,"Rejected",'QA Log'!L:L,"*4. Family Planning*")
))</f>
        <v/>
      </c>
      <c r="AC348" s="102" t="str">
        <f t="shared" si="29"/>
        <v/>
      </c>
      <c r="AD348" s="103" t="str">
        <f t="shared" si="30"/>
        <v/>
      </c>
      <c r="AE348" s="102" t="str">
        <f>IF(A348="","",
SUM(
COUNTIFS('QA Log'!D:D,A348,'QA Log'!M:M,"Data Verification",'QA Log'!L:L,"*Medicine (section 2)*"),
COUNTIFS('QA Log'!D:D,A348,'QA Log'!M:M,"Data Verification",'QA Log'!L:L,"*Lab Testing Availability*"),
COUNTIFS('QA Log'!D:D,A348,'QA Log'!M:M,"Data Verification",'QA Log'!L:L,"*Other than P4P (section 6)*"),
COUNTIFS('QA Log'!D:D,A348,'QA Log'!M:M,"Data Verification",'QA Log'!L:L,"*Hospital Governance*")
))</f>
        <v/>
      </c>
      <c r="AF348" s="102" t="str">
        <f>IF(A348="","",
SUM(
COUNTIFS('QA Log'!D:D,A348,'QA Log'!M:M,"Data Verification",'QA Log'!Z:Z,"Approved",'QA Log'!L:L,"*Medicine (section 2)*"),
COUNTIFS('QA Log'!D:D,A348,'QA Log'!M:M,"Data Verification",'QA Log'!Z:Z,"Approved",'QA Log'!L:L,"*Lab Testing Availability*"),
COUNTIFS('QA Log'!D:D,A348,'QA Log'!M:M,"Data Verification",'QA Log'!Z:Z,"Approved",'QA Log'!L:L,"*Other than P4P (section 6)*"),
COUNTIFS('QA Log'!D:D,A348,'QA Log'!M:M,"Data Verification",'QA Log'!Z:Z,"Approved",'QA Log'!L:L,"*Hospital Governance*")
))</f>
        <v/>
      </c>
      <c r="AG348" s="105" t="str">
        <f>IF(A348&lt;&gt;"",COUNTIFS('QA Log'!D:D,A348,'QA Log'!M:M,"Data Verification",'QA Log'!L:L,"Medicine (section 2)",'QA Log'!Z:Z,"Approved"),"")</f>
        <v/>
      </c>
      <c r="AH348" s="105" t="str">
        <f>IF(A348&lt;&gt;"",COUNTIFS('QA Log'!D:D,A348,'QA Log'!M:M,"Data Verification",'QA Log'!L:L,"Lab Testing Availability",'QA Log'!Z:Z,"Approved"),"")</f>
        <v/>
      </c>
      <c r="AI348" s="105" t="str">
        <f>IF(A348&lt;&gt;"",COUNTIFS('QA Log'!D:D,A348,'QA Log'!M:M,"Data Verification",'QA Log'!L:L,"Other than P4P (section 6)",'QA Log'!Z:Z,"Approved"),"")</f>
        <v/>
      </c>
      <c r="AJ348" s="105" t="str">
        <f>IF(A348&lt;&gt;"",COUNTIFS('QA Log'!D:D,A348,'QA Log'!M:M,"Data Verification",'QA Log'!L:L,"Hospital Governance",'QA Log'!Z:Z,"Approved"),"")</f>
        <v/>
      </c>
      <c r="AK348" s="102" t="str">
        <f>IF(A348="","",
SUM(
COUNTIFS('QA Log'!D:D,A348,'QA Log'!M:M,"Data Verification",'QA Log'!Z:Z,"Rejected",'QA Log'!L:L,"*Medicine (section 2)*"),
COUNTIFS('QA Log'!D:D,A348,'QA Log'!M:M,"Data Verification",'QA Log'!Z:Z,"Rejected",'QA Log'!L:L,"*Lab Testing Availability*"),
COUNTIFS('QA Log'!D:D,A348,'QA Log'!M:M,"Data Verification",'QA Log'!Z:Z,"Rejected",'QA Log'!L:L,"*Other than P4P (section 6)*"),
COUNTIFS('QA Log'!D:D,A348,'QA Log'!M:M,"Data Verification",'QA Log'!Z:Z,"Rejected",'QA Log'!L:L,"*Hospital Governance*")
))</f>
        <v/>
      </c>
      <c r="AL348" s="106" t="str">
        <f t="shared" si="31"/>
        <v/>
      </c>
      <c r="AM348" s="102" t="str">
        <f t="shared" si="32"/>
        <v/>
      </c>
      <c r="AN348" s="102" t="str">
        <f>IF(A348="","",
SUM(
COUNTIFS('QA Log'!D:D,A348,'QA Log'!M:M,"Data Verification",'QA Log'!L:L,"*Personnel (section 1)*"),
COUNTIFS('QA Log'!D:D,A348,'QA Log'!M:M,"Data Verification",'QA Log'!L:L,"*Consumable (section 3)*"),
COUNTIFS('QA Log'!D:D,A348,'QA Log'!M:M,"Data Verification",'QA Log'!L:L,"*Equipments (section 4)*")
))</f>
        <v/>
      </c>
      <c r="AO348" s="102" t="str">
        <f>IF(A348="","",
SUM(
COUNTIFS('QA Log'!D:D,A348,'QA Log'!M:M,"Data Verification",'QA Log'!Z:Z,"Approved",'QA Log'!L:L,"*Personnel (section 1)*"),
COUNTIFS('QA Log'!D:D,A348,'QA Log'!M:M,"Data Verification",'QA Log'!Z:Z,"Approved",'QA Log'!L:L,"*Consumable (section 3)*"),
COUNTIFS('QA Log'!D:D,A348,'QA Log'!M:M,"Data Verification",'QA Log'!Z:Z,"Approved",'QA Log'!L:L,"*Equipments (section 4)*")
))</f>
        <v/>
      </c>
      <c r="AP348" s="105" t="str">
        <f>IF(A348&lt;&gt;"",COUNTIFS('QA Log'!D:D,A348,'QA Log'!M:M,"Data Verification",'QA Log'!L:L,"Personnel (section 1)",'QA Log'!Z:Z,"Approved"),"")</f>
        <v/>
      </c>
      <c r="AQ348" s="105" t="str">
        <f>IF(A348&lt;&gt;"",COUNTIFS('QA Log'!D:D,A348,'QA Log'!M:M,"Data Verification",'QA Log'!L:L,"Consumable (section 3)",'QA Log'!Z:Z,"Approved"),"")</f>
        <v/>
      </c>
      <c r="AR348" s="105" t="str">
        <f>IF(A348&lt;&gt;"",COUNTIFS('QA Log'!D:D,A348,'QA Log'!M:M,"Data Verification",'QA Log'!L:L,"Equipments (section 4)",'QA Log'!Z:Z,"Approved"),"")</f>
        <v/>
      </c>
      <c r="AS348" s="102" t="str">
        <f>IF(A348="","",
SUM(
COUNTIFS('QA Log'!D:D,A348,'QA Log'!M:M,"Data Verification",'QA Log'!Z:Z,"Rejected",'QA Log'!L:L,"*Personnel (section 1)*"),
COUNTIFS('QA Log'!D:D,A348,'QA Log'!M:M,"Data Verification",'QA Log'!Z:Z,"Rejected",'QA Log'!L:L,"*Consumable (section 3)*"),
COUNTIFS('QA Log'!D:D,A348,'QA Log'!M:M,"Data Verification",'QA Log'!Z:Z,"Rejected",'QA Log'!L:L,"*Equipments (section 4)*")
))</f>
        <v/>
      </c>
      <c r="AT348" s="102" t="str">
        <f t="shared" si="33"/>
        <v/>
      </c>
      <c r="AU348" s="103" t="str">
        <f t="shared" si="34"/>
        <v/>
      </c>
      <c r="AV348" s="102" t="str">
        <f>IF(A348="","",SUM(
COUNTIFS('QA Log'!D:D,A348,'QA Log'!M:M,"Vignette",'QA Log'!L:L,"*Vignette [1] Respiratory Infection: Pneumonia*"),
COUNTIFS('QA Log'!D:D,A348,'QA Log'!M:M,"Vignette",'QA Log'!L:L,"*Vignette [2]: Diarrhea with Cat B dehydration*"),
COUNTIFS('QA Log'!D:D,A348,'QA Log'!M:M,"Vignette",'QA Log'!L:L,"*Vignette [3] Growth Monitoring and Promotion*"),
COUNTIFS('QA Log'!D:D,A348,'QA Log'!M:M,"Vignette",'QA Log'!L:L,"*Vignette [4]: The management of presumptive TB patient*")
)
)</f>
        <v/>
      </c>
      <c r="AW348" s="102" t="str">
        <f>IF(
  A348="","",
  SUM(
    COUNTIFS('QA Log'!D:D,A348,'QA Log'!M:M,"Vignette",'QA Log'!Z:Z,"Approved",'QA Log'!L:L,"*Vignette [1] Respiratory Infection: Pneumonia*"),
    COUNTIFS('QA Log'!D:D,A348,'QA Log'!M:M,"Vignette",'QA Log'!Z:Z,"Approved",'QA Log'!L:L,"*Vignette [2]: Diarrhea with Cat B dehydration*"),
    COUNTIFS('QA Log'!D:D,A348,'QA Log'!M:M,"Vignette",'QA Log'!Z:Z,"Approved",'QA Log'!L:L,"*Vignette [3] Growth Monitoring and Promotion*"),
    COUNTIFS('QA Log'!D:D,A348,'QA Log'!M:M,"Vignette",'QA Log'!Z:Z,"Approved",'QA Log'!L:L,"*Vignette [4]: The management of presumptive TB patient*")
  )
)</f>
        <v/>
      </c>
      <c r="AX348" s="105" t="str">
        <f>IF(A348&lt;&gt;"",COUNTIFS('QA Log'!D:D,A348,'QA Log'!M:M,"Vignette",'QA Log'!L:L,"Vignette [1] Respiratory Infection: Pneumonia",'QA Log'!Z:Z,"Approved"),"")</f>
        <v/>
      </c>
      <c r="AY348" s="105" t="str">
        <f>IF(A348&lt;&gt;"",COUNTIFS('QA Log'!D:D,A348,'QA Log'!M:M,"Vignette",'QA Log'!L:L,"Vignette [2]: Diarrhea with Cat B dehydration",'QA Log'!Z:Z,"Approved"),"")</f>
        <v/>
      </c>
      <c r="AZ348" s="105" t="str">
        <f>IF(A348&lt;&gt;"",COUNTIFS('QA Log'!D:D,A348,'QA Log'!M:M,"Vignette",'QA Log'!L:L,"Vignette [3] Growth Monitoring and Promotion",'QA Log'!Z:Z,"Approved"),"")</f>
        <v/>
      </c>
      <c r="BA348" s="105" t="str">
        <f>IF(A348&lt;&gt;"",COUNTIFS('QA Log'!D:D,A348,'QA Log'!M:M,"Vignette",'QA Log'!L:L,"Vignette [4]: The management of presumptive TB patient",'QA Log'!Z:Z,"Approved"),"")</f>
        <v/>
      </c>
      <c r="BB348" s="102" t="str">
        <f>IF(A348="","",
  SUM(
    COUNTIFS('QA Log'!D:D,A348,'QA Log'!M:M,"Vignette",'QA Log'!Z:Z,"Rejected",'QA Log'!L:L,"*Vignette [1] Respiratory Infection: Pneumonia*"),
    COUNTIFS('QA Log'!D:D,A348,'QA Log'!M:M,"Vignette",'QA Log'!Z:Z,"Rejected",'QA Log'!L:L,"*Vignette [2]: Diarrhea with Cat B dehydration*"),
    COUNTIFS('QA Log'!D:D,A348,'QA Log'!M:M,"Vignette",'QA Log'!Z:Z,"Rejected",'QA Log'!L:L,"*Vignette [3] Growth Monitoring and Promotion*"),
    COUNTIFS('QA Log'!D:D,A348,'QA Log'!M:M,"Vignette",'QA Log'!Z:Z,"Rejected",'QA Log'!L:L,"*Vignette [4]: The management of presumptive TB patient*")
  )
)</f>
        <v/>
      </c>
      <c r="BC348" s="107" t="str">
        <f t="shared" si="35"/>
        <v/>
      </c>
      <c r="BD348" s="103" t="str">
        <f t="shared" si="36"/>
        <v/>
      </c>
      <c r="BE348" s="102" t="str">
        <f>IF(A348="","",SUM(
COUNTIFS('QA Log'!D:D,A348,'QA Log'!M:M,"Vignette",'QA Log'!L:L,"*Vignette [5] Labor*"),
COUNTIFS('QA Log'!D:D,A348,'QA Log'!M:M,"Vignette",'QA Log'!L:L,"*Vignette [6] PNC pre Discharge*"),
COUNTIFS('QA Log'!D:D,A348,'QA Log'!M:M,"Vignette",'QA Log'!L:L,"*Vignette [7] First ANC Visit*"),
COUNTIFS('QA Log'!D:D,A348,'QA Log'!M:M,"Vignette",'QA Log'!L:L,"*Vignette [8] Birth Spacing/ Family Planning :  FP Counselling*"),
COUNTIFS('QA Log'!D:D,A348,'QA Log'!M:M,"Vignette",'QA Log'!L:L,"*Vignette [9] Birth Spacing: Change FP method to Injectable*"),
COUNTIFS('QA Log'!D:D,A348,'QA Log'!M:M,"Vignette",'QA Log'!L:L,"*Vignette [10] Post Partum Haemorrhage - Atonic Uterus at Health Centre*"),
)
)</f>
        <v/>
      </c>
      <c r="BF348" s="102" t="str">
        <f>IF(A348="","",
  SUM(
    COUNTIFS('QA Log'!D:D,A348,'QA Log'!M:M,"Vignette",'QA Log'!Z:Z,"Approved",'QA Log'!L:L,"*Vignette [5] Labor*"),
    COUNTIFS('QA Log'!D:D,A348,'QA Log'!M:M,"Vignette",'QA Log'!Z:Z,"Approved",'QA Log'!L:L,"*Vignette [6] PNC pre Discharge*"),
    COUNTIFS('QA Log'!D:D,A348,'QA Log'!M:M,"Vignette",'QA Log'!Z:Z,"Approved",'QA Log'!L:L,"*Vignette [7] First ANC Visit*"),
    COUNTIFS('QA Log'!D:D,A348,'QA Log'!M:M,"Vignette",'QA Log'!Z:Z,"Approved",'QA Log'!L:L,"*Vignette [8] Birth Spacing/ Family Planning :  FP Counselling*"),
    COUNTIFS('QA Log'!D:D,A348,'QA Log'!M:M,"Vignette",'QA Log'!Z:Z,"Approved",'QA Log'!L:L,"*Vignette [9] Birth Spacing: Change FP method to Injectable*"),
    COUNTIFS('QA Log'!D:D,A348,'QA Log'!M:M,"Vignette",'QA Log'!Z:Z,"Approved",'QA Log'!L:L,"*Vignette [10] Post Partum Haemorrhage - Atonic Uterus at Health Centre*")
  )
)</f>
        <v/>
      </c>
      <c r="BG348" s="105" t="str">
        <f>IF(A348&lt;&gt;"",COUNTIFS('QA Log'!D:D,A348,'QA Log'!M:M,"Vignette",'QA Log'!L:L,"Vignette [5] Labor",'QA Log'!Z:Z,"Approved"),"")</f>
        <v/>
      </c>
      <c r="BH348" s="105" t="str">
        <f>IF(A348&lt;&gt;"",COUNTIFS('QA Log'!D:D,A348,'QA Log'!M:M,"Vignette",'QA Log'!L:L,"Vignette [6] PNC pre Discharge",'QA Log'!Z:Z,"Approved"),"")</f>
        <v/>
      </c>
      <c r="BI348" s="105" t="str">
        <f>IF(A348&lt;&gt;"",COUNTIFS('QA Log'!D:D,A348,'QA Log'!M:M,"Vignette",'QA Log'!L:L,"Vignette [7] First ANC Visit",'QA Log'!Z:Z,"Approved"),"")</f>
        <v/>
      </c>
      <c r="BJ348" s="105" t="str">
        <f>IF(A348&lt;&gt;"",COUNTIFS('QA Log'!D:D,A348,'QA Log'!M:M,"Vignette",'QA Log'!L:L,"Vignette [8] Birth Spacing/ Family Planning :  FP Counselling",'QA Log'!Z:Z,"Approved"),"")</f>
        <v/>
      </c>
      <c r="BK348" s="105" t="str">
        <f>IF(A348&lt;&gt;"",COUNTIFS('QA Log'!D:D,A348,'QA Log'!M:M,"Vignette",'QA Log'!L:L,"Vignette [9] Birth Spacing: Change FP method to Injectable",'QA Log'!Z:Z,"Approved"),"")</f>
        <v/>
      </c>
      <c r="BL348" s="105" t="str">
        <f>IF(A348&lt;&gt;"",COUNTIFS('QA Log'!D:D,A348,'QA Log'!M:M,"Vignette",'QA Log'!L:L,"Vignette [10] Post Partum Haemorrhage - Atonic Uterus at Health Centre",'QA Log'!Z:Z,"Approved"),"")</f>
        <v/>
      </c>
      <c r="BM348" s="102" t="str">
        <f>IF(A348="","",SUM(
    COUNTIFS('QA Log'!D:D,A348,'QA Log'!M:M,"Vignette",'QA Log'!Z:Z,"Rejected",'QA Log'!L:L,"*Vignette [5] Labor*"),
    COUNTIFS('QA Log'!D:D,A348,'QA Log'!M:M,"Vignette",'QA Log'!Z:Z,"Rejected",'QA Log'!L:L,"*Vignette [6] PNC pre Discharge*"),
    COUNTIFS('QA Log'!D:D,A348,'QA Log'!M:M,"Vignette",'QA Log'!Z:Z,"Rejected",'QA Log'!L:L,"*Vignette [7] First ANC Visit*"),
    COUNTIFS('QA Log'!D:D,A348,'QA Log'!M:M,"Vignette",'QA Log'!Z:Z,"Rejected",'QA Log'!L:L,"*Vignette [8] Birth Spacing/ Family Planning :  FP Counselling*"),
    COUNTIFS('QA Log'!D:D,A348,'QA Log'!M:M,"Vignette",'QA Log'!Z:Z,"Rejected",'QA Log'!L:L,"*Vignette [9] Birth Spacing: Change FP method to Injectable*"),
    COUNTIFS('QA Log'!D:D,A348,'QA Log'!M:M,"Vignette",'QA Log'!Z:Z,"Rejected",'QA Log'!L:L,"*Vignette [10] Post Partum Haemorrhage - Atonic Uterus at Health Centre*")
  )
)</f>
        <v/>
      </c>
      <c r="BN348" s="107" t="str">
        <f t="shared" si="37"/>
        <v/>
      </c>
      <c r="BO348" s="103" t="str">
        <f t="shared" si="38"/>
        <v/>
      </c>
      <c r="BP348" s="102" t="str">
        <f>IF(A348="","",SUM(
COUNTIFS('QA Log'!D:D,A348,'QA Log'!M:M,"Vignette",'QA Log'!L:L,"*Exit Interview 1*"),
COUNTIFS('QA Log'!D:D,A348,'QA Log'!M:M,"Vignette",'QA Log'!L:L,"*Exit Interview 2*"),
)
)</f>
        <v/>
      </c>
      <c r="BQ348" s="102" t="str">
        <f>IF(
  A348="","",
  SUM(
    COUNTIFS('QA Log'!D:D,A348,'QA Log'!M:M,"Vignette",'QA Log'!Z:Z,"Approved",'QA Log'!L:L,"*Exit Interview 1*"),
    COUNTIFS('QA Log'!D:D,A348,'QA Log'!M:M,"Vignette",'QA Log'!Z:Z,"Approved",'QA Log'!L:L,"*Exit Interview 2*")
  )
)</f>
        <v/>
      </c>
      <c r="BR348" s="105" t="str">
        <f>IF(A348&lt;&gt;"",COUNTIFS('QA Log'!D:D,A348,'QA Log'!M:M,"Vignette",'QA Log'!L:L,"Exit Interview 1",'QA Log'!Z:Z,"Approved"),"")</f>
        <v/>
      </c>
      <c r="BS348" s="105" t="str">
        <f>IF(A348&lt;&gt;"",COUNTIFS('QA Log'!D:D,A348,'QA Log'!M:M,"Vignette",'QA Log'!L:L,"Exit Interview 2",'QA Log'!Z:Z,"Approved"),"")</f>
        <v/>
      </c>
      <c r="BT348" s="102" t="str">
        <f>IF(
  A348="","",
  SUM(
    COUNTIFS('QA Log'!D:D,A348,'QA Log'!M:M,"Vignette",'QA Log'!Z:Z,"Rejected",'QA Log'!L:L,"*Exit Interview 1*"),
    COUNTIFS('QA Log'!D:D,A348,'QA Log'!M:M,"Vignette",'QA Log'!Z:Z,"Rejected",'QA Log'!L:L,"*Exit Interview 2*")
  )
)</f>
        <v/>
      </c>
      <c r="BU348" s="107" t="str">
        <f t="shared" si="39"/>
        <v/>
      </c>
      <c r="BV348" s="102" t="str">
        <f t="shared" si="40"/>
        <v/>
      </c>
      <c r="BW348" s="102" t="str">
        <f t="shared" si="41"/>
        <v/>
      </c>
      <c r="BX348" s="102" t="str">
        <f t="shared" si="42"/>
        <v/>
      </c>
      <c r="BY348" s="102" t="str">
        <f t="shared" si="43"/>
        <v/>
      </c>
      <c r="BZ348" s="107" t="str">
        <f t="shared" si="44"/>
        <v/>
      </c>
      <c r="CA348" s="108" t="str">
        <f t="shared" si="45"/>
        <v/>
      </c>
      <c r="CB348" s="108" t="str">
        <f t="shared" si="46"/>
        <v/>
      </c>
      <c r="CC348" s="109" t="str">
        <f t="shared" si="47"/>
        <v/>
      </c>
      <c r="CD348" s="108" t="str">
        <f t="shared" si="48"/>
        <v/>
      </c>
      <c r="CE348" s="108" t="str">
        <f t="shared" si="49"/>
        <v/>
      </c>
      <c r="CF348" s="109" t="str">
        <f t="shared" si="50"/>
        <v/>
      </c>
      <c r="CG348" s="110" t="str">
        <f t="shared" si="51"/>
        <v/>
      </c>
      <c r="CH348" s="111"/>
    </row>
    <row r="349" spans="1:86" ht="12.75">
      <c r="A349" s="101"/>
      <c r="B349" s="102" t="e">
        <f t="array" aca="1" ref="B349" ca="1">_xludf.XLOOKUP(A349,'QA Log'!D:D,'QA Log'!E:E,"")</f>
        <v>#NAME?</v>
      </c>
      <c r="C349" s="102" t="e">
        <f t="array" aca="1" ref="C349" ca="1">_xludf.XLOOKUP(A349,'QA Log'!D:D,'QA Log'!F:F,"")</f>
        <v>#NAME?</v>
      </c>
      <c r="D349" s="102" t="e">
        <f t="array" aca="1" ref="D349" ca="1">_xludf.XLOOKUP(A349,'QA Log'!D:D,'QA Log'!H:H,"")</f>
        <v>#NAME?</v>
      </c>
      <c r="E349" s="102" t="e">
        <f t="array" aca="1" ref="E349" ca="1">_xludf.XLOOKUP(A349,'QA Log'!D:D,'QA Log'!G:G,"")</f>
        <v>#NAME?</v>
      </c>
      <c r="F349" s="103"/>
      <c r="G349" s="104"/>
      <c r="H349" s="104"/>
      <c r="I349" s="103" t="str">
        <f t="shared" si="26"/>
        <v/>
      </c>
      <c r="J349" s="102" t="str">
        <f>IF(A349="","",SUM(
COUNTIFS('QA Log'!D:D,A349,'QA Log'!M:M,"QQC",'QA Log'!L:L,"*1. General Management*"),
COUNTIFS('QA Log'!D:D,A349,'QA Log'!M:M,"QQC",'QA Log'!L:L,"*3. Curative Consultation (OPD)*"),
COUNTIFS('QA Log'!D:D,A349,'QA Log'!M:M,"QQC",'QA Log'!L:L,"*5. Laboratory*"),
COUNTIFS('QA Log'!D:D,A349,'QA Log'!M:M,"QQC",'QA Log'!L:L,"*6. Essential Medicine Management*"),
COUNTIFS('QA Log'!D:D,A349,'QA Log'!M:M,"QQC",'QA Log'!L:L,"*7. Tracer Medicine*"),
COUNTIFS('QA Log'!D:D,A349,'QA Log'!M:M,"QQC",'QA Log'!L:L,"*11. Additional Questions*")))</f>
        <v/>
      </c>
      <c r="K349" s="102" t="str">
        <f>IF(A349="","",SUM(
COUNTIFS('QA Log'!D:D,A349,'QA Log'!M:M,"QQC",'QA Log'!Z:Z,"Approved",'QA Log'!L:L,"*1. General Management*"),
COUNTIFS('QA Log'!D:D,A349,'QA Log'!M:M,"QQC",'QA Log'!Z:Z,"Approved",'QA Log'!L:L,"*3. Curative Consultation (OPD)*"),
COUNTIFS('QA Log'!D:D,A349,'QA Log'!M:M,"QQC",'QA Log'!Z:Z,"Approved",'QA Log'!L:L,"*5. Laboratory*"),
COUNTIFS('QA Log'!D:D,A349,'QA Log'!M:M,"QQC",'QA Log'!Z:Z,"Approved",'QA Log'!L:L,"*6. Essential Medicine Management*"),
COUNTIFS('QA Log'!D:D,A349,'QA Log'!M:M,"QQC",'QA Log'!Z:Z,"Approved",'QA Log'!L:L,"*7. Tracer Medicine*"),
COUNTIFS('QA Log'!D:D,A349,'QA Log'!M:M,"QQC",'QA Log'!Z:Z,"Approved",'QA Log'!L:L,"*11. Additional Questions*")))</f>
        <v/>
      </c>
      <c r="L349" s="105" t="str">
        <f>IF(A349&lt;&gt;"",COUNTIFS('QA Log'!D:D,A349,'QA Log'!M:M,"QQC",'QA Log'!L:L,"1. General Management",'QA Log'!Z:Z,"Approved"),"")</f>
        <v/>
      </c>
      <c r="M349" s="105" t="str">
        <f>IF(A349&lt;&gt;"",COUNTIFS('QA Log'!D:D,A349,'QA Log'!M:M,"QQC",'QA Log'!L:L,"3. Curative Consultation (OPD)",'QA Log'!Z:Z,"Approved"),"")</f>
        <v/>
      </c>
      <c r="N349" s="105" t="str">
        <f>IF(A349&lt;&gt;"",COUNTIFS('QA Log'!D:D,A349,'QA Log'!M:M,"QQC",'QA Log'!L:L,"5. Laboratory",'QA Log'!Z:Z,"Approved"),"")</f>
        <v/>
      </c>
      <c r="O349" s="105" t="str">
        <f>IF(A349&lt;&gt;"",COUNTIFS('QA Log'!D:D,A349,'QA Log'!M:M,"QQC",'QA Log'!L:L,"6. Essential Medicine Management",'QA Log'!Z:Z,"Approved"),"")</f>
        <v/>
      </c>
      <c r="P349" s="105" t="str">
        <f>IF(A349&lt;&gt;"",COUNTIFS('QA Log'!D:D,A349,'QA Log'!M:M,"QQC",'QA Log'!L:L,"7. Tracer Medicine",'QA Log'!Z:Z,"Approved"),"")</f>
        <v/>
      </c>
      <c r="Q349" s="105" t="str">
        <f>IF(A349&lt;&gt;"",COUNTIFS('QA Log'!D:D,A349,'QA Log'!M:M,"QQC",'QA Log'!L:L,"11. Additional Questions",'QA Log'!Z:Z,"Approved"),"")</f>
        <v/>
      </c>
      <c r="R349" s="102" t="str">
        <f>IF(A349="","",SUM(
COUNTIFS('QA Log'!D:D,A349,'QA Log'!M:M,"QQC",'QA Log'!Z:Z,"Rejected",'QA Log'!L:L,"*8. Maternity*"),
COUNTIFS('QA Log'!D:D,A349,'QA Log'!M:M,"QQC",'QA Log'!Z:Z,"Rejected",'QA Log'!L:L,"*EPI*"),
COUNTIFS('QA Log'!D:D,A349,'QA Log'!M:M,"QQC",'QA Log'!Z:Z,"Rejected",'QA Log'!L:L,"*10. Antenatal Care (ANC)*"),
COUNTIFS('QA Log'!D:D,A349,'QA Log'!M:M,"QQC",'QA Log'!Z:Z,"Rejected",'QA Log'!L:L,"*2. Hygiene and Sterilization*"),
COUNTIFS('QA Log'!D:D,A349,'QA Log'!M:M,"QQC",'QA Log'!Z:Z,"Rejected",'QA Log'!L:L,"*Family Planning*")))</f>
        <v/>
      </c>
      <c r="S349" s="106" t="str">
        <f t="shared" si="27"/>
        <v/>
      </c>
      <c r="T349" s="102" t="str">
        <f t="shared" si="28"/>
        <v/>
      </c>
      <c r="U349" s="102" t="str">
        <f>IF(A349="","",
SUM(
COUNTIFS('QA Log'!D:D,A349,'QA Log'!M:M,"QQC",'QA Log'!L:L,"*8. Maternity*"),
COUNTIFS('QA Log'!D:D,A349,'QA Log'!M:M,"QQC",'QA Log'!L:L,"*9. EPI and Pre-school Consultation*"),
COUNTIFS('QA Log'!D:D,A349,'QA Log'!M:M,"QQC",'QA Log'!L:L,"*10. Antenatal Care (ANC)*"),
COUNTIFS('QA Log'!D:D,A349,'QA Log'!M:M,"QQC",'QA Log'!L:L,"*2. Hygiene and Sterilization*"),
COUNTIFS('QA Log'!D:D,A349,'QA Log'!M:M,"QQC",'QA Log'!L:L,"*4. Family Planning*")
))</f>
        <v/>
      </c>
      <c r="V349" s="102" t="str">
        <f>IF(A349="","",
SUM(
COUNTIFS('QA Log'!D:D,A349,'QA Log'!M:M,"QQC",'QA Log'!Z:Z,"Approved",'QA Log'!L:L,"*8. Maternity*"),
COUNTIFS('QA Log'!D:D,A349,'QA Log'!M:M,"QQC",'QA Log'!Z:Z,"Approved",'QA Log'!L:L,"*9. EPI and Pre-school Consultation*"),
COUNTIFS('QA Log'!D:D,A349,'QA Log'!M:M,"QQC",'QA Log'!Z:Z,"Approved",'QA Log'!L:L,"*10. Antenatal Care (ANC)*"),
COUNTIFS('QA Log'!D:D,A349,'QA Log'!M:M,"QQC",'QA Log'!Z:Z,"Approved",'QA Log'!L:L,"*2. Hygiene and Sterilization*"),
COUNTIFS('QA Log'!D:D,A349,'QA Log'!M:M,"QQC",'QA Log'!Z:Z,"Approved",'QA Log'!L:L,"*4. Family Planning*")
))</f>
        <v/>
      </c>
      <c r="W349" s="105" t="str">
        <f>IF(A349&lt;&gt;"",COUNTIFS('QA Log'!D:D,A349,'QA Log'!M:M,"QQC",'QA Log'!L:L,"8. Maternity",'QA Log'!Z:Z,"Approved"),"")</f>
        <v/>
      </c>
      <c r="X349" s="105" t="str">
        <f>IF(A349&lt;&gt;"",COUNTIFS('QA Log'!D:D,A349,'QA Log'!M:M,"QQC",'QA Log'!L:L,"9. EPI and Pre-school Consultation",'QA Log'!Z:Z,"Approved"),"")</f>
        <v/>
      </c>
      <c r="Y349" s="105" t="str">
        <f>IF(A349&lt;&gt;"",COUNTIFS('QA Log'!D:D,A349,'QA Log'!M:M,"QQC",'QA Log'!L:L,"10. Antenatal Care (ANC)",'QA Log'!Z:Z,"Approved"),"")</f>
        <v/>
      </c>
      <c r="Z349" s="105" t="str">
        <f>IF(A349&lt;&gt;"",COUNTIFS('QA Log'!D:D,A349,'QA Log'!M:M,"QQC",'QA Log'!L:L,"2. Hygiene and Sterilization",'QA Log'!Z:Z,"Approved"),"")</f>
        <v/>
      </c>
      <c r="AA349" s="105" t="str">
        <f>IF(A349&lt;&gt;"",COUNTIFS('QA Log'!D:D,A349,'QA Log'!M:M,"QQC",'QA Log'!L:L,"4. Family Planning",'QA Log'!Z:Z,"Approved"),"")</f>
        <v/>
      </c>
      <c r="AB349" s="102" t="str">
        <f>IF(A349="","",
SUM(
COUNTIFS('QA Log'!D:D,A349,'QA Log'!M:M,"QQC",'QA Log'!Z:Z,"Rejected",'QA Log'!L:L,"*8. Maternity*"),
COUNTIFS('QA Log'!D:D,A349,'QA Log'!M:M,"QQC",'QA Log'!Z:Z,"Rejected",'QA Log'!L:L,"*9. EPI and Pre-school Consultation*"),
COUNTIFS('QA Log'!D:D,A349,'QA Log'!M:M,"QQC",'QA Log'!Z:Z,"Rejected",'QA Log'!L:L,"*10. Antenatal Care (ANC)*"),
COUNTIFS('QA Log'!D:D,A349,'QA Log'!M:M,"QQC",'QA Log'!Z:Z,"Rejected",'QA Log'!L:L,"*2. Hygiene and Sterilization*"),
COUNTIFS('QA Log'!D:D,A349,'QA Log'!M:M,"QQC",'QA Log'!Z:Z,"Rejected",'QA Log'!L:L,"*4. Family Planning*")
))</f>
        <v/>
      </c>
      <c r="AC349" s="102" t="str">
        <f t="shared" si="29"/>
        <v/>
      </c>
      <c r="AD349" s="103" t="str">
        <f t="shared" si="30"/>
        <v/>
      </c>
      <c r="AE349" s="102" t="str">
        <f>IF(A349="","",
SUM(
COUNTIFS('QA Log'!D:D,A349,'QA Log'!M:M,"Data Verification",'QA Log'!L:L,"*Medicine (section 2)*"),
COUNTIFS('QA Log'!D:D,A349,'QA Log'!M:M,"Data Verification",'QA Log'!L:L,"*Lab Testing Availability*"),
COUNTIFS('QA Log'!D:D,A349,'QA Log'!M:M,"Data Verification",'QA Log'!L:L,"*Other than P4P (section 6)*"),
COUNTIFS('QA Log'!D:D,A349,'QA Log'!M:M,"Data Verification",'QA Log'!L:L,"*Hospital Governance*")
))</f>
        <v/>
      </c>
      <c r="AF349" s="102" t="str">
        <f>IF(A349="","",
SUM(
COUNTIFS('QA Log'!D:D,A349,'QA Log'!M:M,"Data Verification",'QA Log'!Z:Z,"Approved",'QA Log'!L:L,"*Medicine (section 2)*"),
COUNTIFS('QA Log'!D:D,A349,'QA Log'!M:M,"Data Verification",'QA Log'!Z:Z,"Approved",'QA Log'!L:L,"*Lab Testing Availability*"),
COUNTIFS('QA Log'!D:D,A349,'QA Log'!M:M,"Data Verification",'QA Log'!Z:Z,"Approved",'QA Log'!L:L,"*Other than P4P (section 6)*"),
COUNTIFS('QA Log'!D:D,A349,'QA Log'!M:M,"Data Verification",'QA Log'!Z:Z,"Approved",'QA Log'!L:L,"*Hospital Governance*")
))</f>
        <v/>
      </c>
      <c r="AG349" s="105" t="str">
        <f>IF(A349&lt;&gt;"",COUNTIFS('QA Log'!D:D,A349,'QA Log'!M:M,"Data Verification",'QA Log'!L:L,"Medicine (section 2)",'QA Log'!Z:Z,"Approved"),"")</f>
        <v/>
      </c>
      <c r="AH349" s="105" t="str">
        <f>IF(A349&lt;&gt;"",COUNTIFS('QA Log'!D:D,A349,'QA Log'!M:M,"Data Verification",'QA Log'!L:L,"Lab Testing Availability",'QA Log'!Z:Z,"Approved"),"")</f>
        <v/>
      </c>
      <c r="AI349" s="105" t="str">
        <f>IF(A349&lt;&gt;"",COUNTIFS('QA Log'!D:D,A349,'QA Log'!M:M,"Data Verification",'QA Log'!L:L,"Other than P4P (section 6)",'QA Log'!Z:Z,"Approved"),"")</f>
        <v/>
      </c>
      <c r="AJ349" s="105" t="str">
        <f>IF(A349&lt;&gt;"",COUNTIFS('QA Log'!D:D,A349,'QA Log'!M:M,"Data Verification",'QA Log'!L:L,"Hospital Governance",'QA Log'!Z:Z,"Approved"),"")</f>
        <v/>
      </c>
      <c r="AK349" s="102" t="str">
        <f>IF(A349="","",
SUM(
COUNTIFS('QA Log'!D:D,A349,'QA Log'!M:M,"Data Verification",'QA Log'!Z:Z,"Rejected",'QA Log'!L:L,"*Medicine (section 2)*"),
COUNTIFS('QA Log'!D:D,A349,'QA Log'!M:M,"Data Verification",'QA Log'!Z:Z,"Rejected",'QA Log'!L:L,"*Lab Testing Availability*"),
COUNTIFS('QA Log'!D:D,A349,'QA Log'!M:M,"Data Verification",'QA Log'!Z:Z,"Rejected",'QA Log'!L:L,"*Other than P4P (section 6)*"),
COUNTIFS('QA Log'!D:D,A349,'QA Log'!M:M,"Data Verification",'QA Log'!Z:Z,"Rejected",'QA Log'!L:L,"*Hospital Governance*")
))</f>
        <v/>
      </c>
      <c r="AL349" s="106" t="str">
        <f t="shared" si="31"/>
        <v/>
      </c>
      <c r="AM349" s="102" t="str">
        <f t="shared" si="32"/>
        <v/>
      </c>
      <c r="AN349" s="102" t="str">
        <f>IF(A349="","",
SUM(
COUNTIFS('QA Log'!D:D,A349,'QA Log'!M:M,"Data Verification",'QA Log'!L:L,"*Personnel (section 1)*"),
COUNTIFS('QA Log'!D:D,A349,'QA Log'!M:M,"Data Verification",'QA Log'!L:L,"*Consumable (section 3)*"),
COUNTIFS('QA Log'!D:D,A349,'QA Log'!M:M,"Data Verification",'QA Log'!L:L,"*Equipments (section 4)*")
))</f>
        <v/>
      </c>
      <c r="AO349" s="102" t="str">
        <f>IF(A349="","",
SUM(
COUNTIFS('QA Log'!D:D,A349,'QA Log'!M:M,"Data Verification",'QA Log'!Z:Z,"Approved",'QA Log'!L:L,"*Personnel (section 1)*"),
COUNTIFS('QA Log'!D:D,A349,'QA Log'!M:M,"Data Verification",'QA Log'!Z:Z,"Approved",'QA Log'!L:L,"*Consumable (section 3)*"),
COUNTIFS('QA Log'!D:D,A349,'QA Log'!M:M,"Data Verification",'QA Log'!Z:Z,"Approved",'QA Log'!L:L,"*Equipments (section 4)*")
))</f>
        <v/>
      </c>
      <c r="AP349" s="105" t="str">
        <f>IF(A349&lt;&gt;"",COUNTIFS('QA Log'!D:D,A349,'QA Log'!M:M,"Data Verification",'QA Log'!L:L,"Personnel (section 1)",'QA Log'!Z:Z,"Approved"),"")</f>
        <v/>
      </c>
      <c r="AQ349" s="105" t="str">
        <f>IF(A349&lt;&gt;"",COUNTIFS('QA Log'!D:D,A349,'QA Log'!M:M,"Data Verification",'QA Log'!L:L,"Consumable (section 3)",'QA Log'!Z:Z,"Approved"),"")</f>
        <v/>
      </c>
      <c r="AR349" s="105" t="str">
        <f>IF(A349&lt;&gt;"",COUNTIFS('QA Log'!D:D,A349,'QA Log'!M:M,"Data Verification",'QA Log'!L:L,"Equipments (section 4)",'QA Log'!Z:Z,"Approved"),"")</f>
        <v/>
      </c>
      <c r="AS349" s="102" t="str">
        <f>IF(A349="","",
SUM(
COUNTIFS('QA Log'!D:D,A349,'QA Log'!M:M,"Data Verification",'QA Log'!Z:Z,"Rejected",'QA Log'!L:L,"*Personnel (section 1)*"),
COUNTIFS('QA Log'!D:D,A349,'QA Log'!M:M,"Data Verification",'QA Log'!Z:Z,"Rejected",'QA Log'!L:L,"*Consumable (section 3)*"),
COUNTIFS('QA Log'!D:D,A349,'QA Log'!M:M,"Data Verification",'QA Log'!Z:Z,"Rejected",'QA Log'!L:L,"*Equipments (section 4)*")
))</f>
        <v/>
      </c>
      <c r="AT349" s="102" t="str">
        <f t="shared" si="33"/>
        <v/>
      </c>
      <c r="AU349" s="103" t="str">
        <f t="shared" si="34"/>
        <v/>
      </c>
      <c r="AV349" s="102" t="str">
        <f>IF(A349="","",SUM(
COUNTIFS('QA Log'!D:D,A349,'QA Log'!M:M,"Vignette",'QA Log'!L:L,"*Vignette [1] Respiratory Infection: Pneumonia*"),
COUNTIFS('QA Log'!D:D,A349,'QA Log'!M:M,"Vignette",'QA Log'!L:L,"*Vignette [2]: Diarrhea with Cat B dehydration*"),
COUNTIFS('QA Log'!D:D,A349,'QA Log'!M:M,"Vignette",'QA Log'!L:L,"*Vignette [3] Growth Monitoring and Promotion*"),
COUNTIFS('QA Log'!D:D,A349,'QA Log'!M:M,"Vignette",'QA Log'!L:L,"*Vignette [4]: The management of presumptive TB patient*")
)
)</f>
        <v/>
      </c>
      <c r="AW349" s="102" t="str">
        <f>IF(
  A349="","",
  SUM(
    COUNTIFS('QA Log'!D:D,A349,'QA Log'!M:M,"Vignette",'QA Log'!Z:Z,"Approved",'QA Log'!L:L,"*Vignette [1] Respiratory Infection: Pneumonia*"),
    COUNTIFS('QA Log'!D:D,A349,'QA Log'!M:M,"Vignette",'QA Log'!Z:Z,"Approved",'QA Log'!L:L,"*Vignette [2]: Diarrhea with Cat B dehydration*"),
    COUNTIFS('QA Log'!D:D,A349,'QA Log'!M:M,"Vignette",'QA Log'!Z:Z,"Approved",'QA Log'!L:L,"*Vignette [3] Growth Monitoring and Promotion*"),
    COUNTIFS('QA Log'!D:D,A349,'QA Log'!M:M,"Vignette",'QA Log'!Z:Z,"Approved",'QA Log'!L:L,"*Vignette [4]: The management of presumptive TB patient*")
  )
)</f>
        <v/>
      </c>
      <c r="AX349" s="105" t="str">
        <f>IF(A349&lt;&gt;"",COUNTIFS('QA Log'!D:D,A349,'QA Log'!M:M,"Vignette",'QA Log'!L:L,"Vignette [1] Respiratory Infection: Pneumonia",'QA Log'!Z:Z,"Approved"),"")</f>
        <v/>
      </c>
      <c r="AY349" s="105" t="str">
        <f>IF(A349&lt;&gt;"",COUNTIFS('QA Log'!D:D,A349,'QA Log'!M:M,"Vignette",'QA Log'!L:L,"Vignette [2]: Diarrhea with Cat B dehydration",'QA Log'!Z:Z,"Approved"),"")</f>
        <v/>
      </c>
      <c r="AZ349" s="105" t="str">
        <f>IF(A349&lt;&gt;"",COUNTIFS('QA Log'!D:D,A349,'QA Log'!M:M,"Vignette",'QA Log'!L:L,"Vignette [3] Growth Monitoring and Promotion",'QA Log'!Z:Z,"Approved"),"")</f>
        <v/>
      </c>
      <c r="BA349" s="105" t="str">
        <f>IF(A349&lt;&gt;"",COUNTIFS('QA Log'!D:D,A349,'QA Log'!M:M,"Vignette",'QA Log'!L:L,"Vignette [4]: The management of presumptive TB patient",'QA Log'!Z:Z,"Approved"),"")</f>
        <v/>
      </c>
      <c r="BB349" s="102" t="str">
        <f>IF(A349="","",
  SUM(
    COUNTIFS('QA Log'!D:D,A349,'QA Log'!M:M,"Vignette",'QA Log'!Z:Z,"Rejected",'QA Log'!L:L,"*Vignette [1] Respiratory Infection: Pneumonia*"),
    COUNTIFS('QA Log'!D:D,A349,'QA Log'!M:M,"Vignette",'QA Log'!Z:Z,"Rejected",'QA Log'!L:L,"*Vignette [2]: Diarrhea with Cat B dehydration*"),
    COUNTIFS('QA Log'!D:D,A349,'QA Log'!M:M,"Vignette",'QA Log'!Z:Z,"Rejected",'QA Log'!L:L,"*Vignette [3] Growth Monitoring and Promotion*"),
    COUNTIFS('QA Log'!D:D,A349,'QA Log'!M:M,"Vignette",'QA Log'!Z:Z,"Rejected",'QA Log'!L:L,"*Vignette [4]: The management of presumptive TB patient*")
  )
)</f>
        <v/>
      </c>
      <c r="BC349" s="107" t="str">
        <f t="shared" si="35"/>
        <v/>
      </c>
      <c r="BD349" s="103" t="str">
        <f t="shared" si="36"/>
        <v/>
      </c>
      <c r="BE349" s="102" t="str">
        <f>IF(A349="","",SUM(
COUNTIFS('QA Log'!D:D,A349,'QA Log'!M:M,"Vignette",'QA Log'!L:L,"*Vignette [5] Labor*"),
COUNTIFS('QA Log'!D:D,A349,'QA Log'!M:M,"Vignette",'QA Log'!L:L,"*Vignette [6] PNC pre Discharge*"),
COUNTIFS('QA Log'!D:D,A349,'QA Log'!M:M,"Vignette",'QA Log'!L:L,"*Vignette [7] First ANC Visit*"),
COUNTIFS('QA Log'!D:D,A349,'QA Log'!M:M,"Vignette",'QA Log'!L:L,"*Vignette [8] Birth Spacing/ Family Planning :  FP Counselling*"),
COUNTIFS('QA Log'!D:D,A349,'QA Log'!M:M,"Vignette",'QA Log'!L:L,"*Vignette [9] Birth Spacing: Change FP method to Injectable*"),
COUNTIFS('QA Log'!D:D,A349,'QA Log'!M:M,"Vignette",'QA Log'!L:L,"*Vignette [10] Post Partum Haemorrhage - Atonic Uterus at Health Centre*"),
)
)</f>
        <v/>
      </c>
      <c r="BF349" s="102" t="str">
        <f>IF(A349="","",
  SUM(
    COUNTIFS('QA Log'!D:D,A349,'QA Log'!M:M,"Vignette",'QA Log'!Z:Z,"Approved",'QA Log'!L:L,"*Vignette [5] Labor*"),
    COUNTIFS('QA Log'!D:D,A349,'QA Log'!M:M,"Vignette",'QA Log'!Z:Z,"Approved",'QA Log'!L:L,"*Vignette [6] PNC pre Discharge*"),
    COUNTIFS('QA Log'!D:D,A349,'QA Log'!M:M,"Vignette",'QA Log'!Z:Z,"Approved",'QA Log'!L:L,"*Vignette [7] First ANC Visit*"),
    COUNTIFS('QA Log'!D:D,A349,'QA Log'!M:M,"Vignette",'QA Log'!Z:Z,"Approved",'QA Log'!L:L,"*Vignette [8] Birth Spacing/ Family Planning :  FP Counselling*"),
    COUNTIFS('QA Log'!D:D,A349,'QA Log'!M:M,"Vignette",'QA Log'!Z:Z,"Approved",'QA Log'!L:L,"*Vignette [9] Birth Spacing: Change FP method to Injectable*"),
    COUNTIFS('QA Log'!D:D,A349,'QA Log'!M:M,"Vignette",'QA Log'!Z:Z,"Approved",'QA Log'!L:L,"*Vignette [10] Post Partum Haemorrhage - Atonic Uterus at Health Centre*")
  )
)</f>
        <v/>
      </c>
      <c r="BG349" s="105" t="str">
        <f>IF(A349&lt;&gt;"",COUNTIFS('QA Log'!D:D,A349,'QA Log'!M:M,"Vignette",'QA Log'!L:L,"Vignette [5] Labor",'QA Log'!Z:Z,"Approved"),"")</f>
        <v/>
      </c>
      <c r="BH349" s="105" t="str">
        <f>IF(A349&lt;&gt;"",COUNTIFS('QA Log'!D:D,A349,'QA Log'!M:M,"Vignette",'QA Log'!L:L,"Vignette [6] PNC pre Discharge",'QA Log'!Z:Z,"Approved"),"")</f>
        <v/>
      </c>
      <c r="BI349" s="105" t="str">
        <f>IF(A349&lt;&gt;"",COUNTIFS('QA Log'!D:D,A349,'QA Log'!M:M,"Vignette",'QA Log'!L:L,"Vignette [7] First ANC Visit",'QA Log'!Z:Z,"Approved"),"")</f>
        <v/>
      </c>
      <c r="BJ349" s="105" t="str">
        <f>IF(A349&lt;&gt;"",COUNTIFS('QA Log'!D:D,A349,'QA Log'!M:M,"Vignette",'QA Log'!L:L,"Vignette [8] Birth Spacing/ Family Planning :  FP Counselling",'QA Log'!Z:Z,"Approved"),"")</f>
        <v/>
      </c>
      <c r="BK349" s="105" t="str">
        <f>IF(A349&lt;&gt;"",COUNTIFS('QA Log'!D:D,A349,'QA Log'!M:M,"Vignette",'QA Log'!L:L,"Vignette [9] Birth Spacing: Change FP method to Injectable",'QA Log'!Z:Z,"Approved"),"")</f>
        <v/>
      </c>
      <c r="BL349" s="105" t="str">
        <f>IF(A349&lt;&gt;"",COUNTIFS('QA Log'!D:D,A349,'QA Log'!M:M,"Vignette",'QA Log'!L:L,"Vignette [10] Post Partum Haemorrhage - Atonic Uterus at Health Centre",'QA Log'!Z:Z,"Approved"),"")</f>
        <v/>
      </c>
      <c r="BM349" s="102" t="str">
        <f>IF(A349="","",SUM(
    COUNTIFS('QA Log'!D:D,A349,'QA Log'!M:M,"Vignette",'QA Log'!Z:Z,"Rejected",'QA Log'!L:L,"*Vignette [5] Labor*"),
    COUNTIFS('QA Log'!D:D,A349,'QA Log'!M:M,"Vignette",'QA Log'!Z:Z,"Rejected",'QA Log'!L:L,"*Vignette [6] PNC pre Discharge*"),
    COUNTIFS('QA Log'!D:D,A349,'QA Log'!M:M,"Vignette",'QA Log'!Z:Z,"Rejected",'QA Log'!L:L,"*Vignette [7] First ANC Visit*"),
    COUNTIFS('QA Log'!D:D,A349,'QA Log'!M:M,"Vignette",'QA Log'!Z:Z,"Rejected",'QA Log'!L:L,"*Vignette [8] Birth Spacing/ Family Planning :  FP Counselling*"),
    COUNTIFS('QA Log'!D:D,A349,'QA Log'!M:M,"Vignette",'QA Log'!Z:Z,"Rejected",'QA Log'!L:L,"*Vignette [9] Birth Spacing: Change FP method to Injectable*"),
    COUNTIFS('QA Log'!D:D,A349,'QA Log'!M:M,"Vignette",'QA Log'!Z:Z,"Rejected",'QA Log'!L:L,"*Vignette [10] Post Partum Haemorrhage - Atonic Uterus at Health Centre*")
  )
)</f>
        <v/>
      </c>
      <c r="BN349" s="107" t="str">
        <f t="shared" si="37"/>
        <v/>
      </c>
      <c r="BO349" s="103" t="str">
        <f t="shared" si="38"/>
        <v/>
      </c>
      <c r="BP349" s="102" t="str">
        <f>IF(A349="","",SUM(
COUNTIFS('QA Log'!D:D,A349,'QA Log'!M:M,"Vignette",'QA Log'!L:L,"*Exit Interview 1*"),
COUNTIFS('QA Log'!D:D,A349,'QA Log'!M:M,"Vignette",'QA Log'!L:L,"*Exit Interview 2*"),
)
)</f>
        <v/>
      </c>
      <c r="BQ349" s="102" t="str">
        <f>IF(
  A349="","",
  SUM(
    COUNTIFS('QA Log'!D:D,A349,'QA Log'!M:M,"Vignette",'QA Log'!Z:Z,"Approved",'QA Log'!L:L,"*Exit Interview 1*"),
    COUNTIFS('QA Log'!D:D,A349,'QA Log'!M:M,"Vignette",'QA Log'!Z:Z,"Approved",'QA Log'!L:L,"*Exit Interview 2*")
  )
)</f>
        <v/>
      </c>
      <c r="BR349" s="105" t="str">
        <f>IF(A349&lt;&gt;"",COUNTIFS('QA Log'!D:D,A349,'QA Log'!M:M,"Vignette",'QA Log'!L:L,"Exit Interview 1",'QA Log'!Z:Z,"Approved"),"")</f>
        <v/>
      </c>
      <c r="BS349" s="105" t="str">
        <f>IF(A349&lt;&gt;"",COUNTIFS('QA Log'!D:D,A349,'QA Log'!M:M,"Vignette",'QA Log'!L:L,"Exit Interview 2",'QA Log'!Z:Z,"Approved"),"")</f>
        <v/>
      </c>
      <c r="BT349" s="102" t="str">
        <f>IF(
  A349="","",
  SUM(
    COUNTIFS('QA Log'!D:D,A349,'QA Log'!M:M,"Vignette",'QA Log'!Z:Z,"Rejected",'QA Log'!L:L,"*Exit Interview 1*"),
    COUNTIFS('QA Log'!D:D,A349,'QA Log'!M:M,"Vignette",'QA Log'!Z:Z,"Rejected",'QA Log'!L:L,"*Exit Interview 2*")
  )
)</f>
        <v/>
      </c>
      <c r="BU349" s="107" t="str">
        <f t="shared" si="39"/>
        <v/>
      </c>
      <c r="BV349" s="102" t="str">
        <f t="shared" si="40"/>
        <v/>
      </c>
      <c r="BW349" s="102" t="str">
        <f t="shared" si="41"/>
        <v/>
      </c>
      <c r="BX349" s="102" t="str">
        <f t="shared" si="42"/>
        <v/>
      </c>
      <c r="BY349" s="102" t="str">
        <f t="shared" si="43"/>
        <v/>
      </c>
      <c r="BZ349" s="107" t="str">
        <f t="shared" si="44"/>
        <v/>
      </c>
      <c r="CA349" s="108" t="str">
        <f t="shared" si="45"/>
        <v/>
      </c>
      <c r="CB349" s="108" t="str">
        <f t="shared" si="46"/>
        <v/>
      </c>
      <c r="CC349" s="109" t="str">
        <f t="shared" si="47"/>
        <v/>
      </c>
      <c r="CD349" s="108" t="str">
        <f t="shared" si="48"/>
        <v/>
      </c>
      <c r="CE349" s="108" t="str">
        <f t="shared" si="49"/>
        <v/>
      </c>
      <c r="CF349" s="109" t="str">
        <f t="shared" si="50"/>
        <v/>
      </c>
      <c r="CG349" s="110" t="str">
        <f t="shared" si="51"/>
        <v/>
      </c>
      <c r="CH349" s="111"/>
    </row>
    <row r="350" spans="1:86" ht="12.75">
      <c r="A350" s="101"/>
      <c r="B350" s="102" t="e">
        <f t="array" aca="1" ref="B350" ca="1">_xludf.XLOOKUP(A350,'QA Log'!D:D,'QA Log'!E:E,"")</f>
        <v>#NAME?</v>
      </c>
      <c r="C350" s="102" t="e">
        <f t="array" aca="1" ref="C350" ca="1">_xludf.XLOOKUP(A350,'QA Log'!D:D,'QA Log'!F:F,"")</f>
        <v>#NAME?</v>
      </c>
      <c r="D350" s="102" t="e">
        <f t="array" aca="1" ref="D350" ca="1">_xludf.XLOOKUP(A350,'QA Log'!D:D,'QA Log'!H:H,"")</f>
        <v>#NAME?</v>
      </c>
      <c r="E350" s="102" t="e">
        <f t="array" aca="1" ref="E350" ca="1">_xludf.XLOOKUP(A350,'QA Log'!D:D,'QA Log'!G:G,"")</f>
        <v>#NAME?</v>
      </c>
      <c r="F350" s="103"/>
      <c r="G350" s="104"/>
      <c r="H350" s="104"/>
      <c r="I350" s="103" t="str">
        <f t="shared" si="26"/>
        <v/>
      </c>
      <c r="J350" s="102" t="str">
        <f>IF(A350="","",SUM(
COUNTIFS('QA Log'!D:D,A350,'QA Log'!M:M,"QQC",'QA Log'!L:L,"*1. General Management*"),
COUNTIFS('QA Log'!D:D,A350,'QA Log'!M:M,"QQC",'QA Log'!L:L,"*3. Curative Consultation (OPD)*"),
COUNTIFS('QA Log'!D:D,A350,'QA Log'!M:M,"QQC",'QA Log'!L:L,"*5. Laboratory*"),
COUNTIFS('QA Log'!D:D,A350,'QA Log'!M:M,"QQC",'QA Log'!L:L,"*6. Essential Medicine Management*"),
COUNTIFS('QA Log'!D:D,A350,'QA Log'!M:M,"QQC",'QA Log'!L:L,"*7. Tracer Medicine*"),
COUNTIFS('QA Log'!D:D,A350,'QA Log'!M:M,"QQC",'QA Log'!L:L,"*11. Additional Questions*")))</f>
        <v/>
      </c>
      <c r="K350" s="102" t="str">
        <f>IF(A350="","",SUM(
COUNTIFS('QA Log'!D:D,A350,'QA Log'!M:M,"QQC",'QA Log'!Z:Z,"Approved",'QA Log'!L:L,"*1. General Management*"),
COUNTIFS('QA Log'!D:D,A350,'QA Log'!M:M,"QQC",'QA Log'!Z:Z,"Approved",'QA Log'!L:L,"*3. Curative Consultation (OPD)*"),
COUNTIFS('QA Log'!D:D,A350,'QA Log'!M:M,"QQC",'QA Log'!Z:Z,"Approved",'QA Log'!L:L,"*5. Laboratory*"),
COUNTIFS('QA Log'!D:D,A350,'QA Log'!M:M,"QQC",'QA Log'!Z:Z,"Approved",'QA Log'!L:L,"*6. Essential Medicine Management*"),
COUNTIFS('QA Log'!D:D,A350,'QA Log'!M:M,"QQC",'QA Log'!Z:Z,"Approved",'QA Log'!L:L,"*7. Tracer Medicine*"),
COUNTIFS('QA Log'!D:D,A350,'QA Log'!M:M,"QQC",'QA Log'!Z:Z,"Approved",'QA Log'!L:L,"*11. Additional Questions*")))</f>
        <v/>
      </c>
      <c r="L350" s="105" t="str">
        <f>IF(A350&lt;&gt;"",COUNTIFS('QA Log'!D:D,A350,'QA Log'!M:M,"QQC",'QA Log'!L:L,"1. General Management",'QA Log'!Z:Z,"Approved"),"")</f>
        <v/>
      </c>
      <c r="M350" s="105" t="str">
        <f>IF(A350&lt;&gt;"",COUNTIFS('QA Log'!D:D,A350,'QA Log'!M:M,"QQC",'QA Log'!L:L,"3. Curative Consultation (OPD)",'QA Log'!Z:Z,"Approved"),"")</f>
        <v/>
      </c>
      <c r="N350" s="105" t="str">
        <f>IF(A350&lt;&gt;"",COUNTIFS('QA Log'!D:D,A350,'QA Log'!M:M,"QQC",'QA Log'!L:L,"5. Laboratory",'QA Log'!Z:Z,"Approved"),"")</f>
        <v/>
      </c>
      <c r="O350" s="105" t="str">
        <f>IF(A350&lt;&gt;"",COUNTIFS('QA Log'!D:D,A350,'QA Log'!M:M,"QQC",'QA Log'!L:L,"6. Essential Medicine Management",'QA Log'!Z:Z,"Approved"),"")</f>
        <v/>
      </c>
      <c r="P350" s="105" t="str">
        <f>IF(A350&lt;&gt;"",COUNTIFS('QA Log'!D:D,A350,'QA Log'!M:M,"QQC",'QA Log'!L:L,"7. Tracer Medicine",'QA Log'!Z:Z,"Approved"),"")</f>
        <v/>
      </c>
      <c r="Q350" s="105" t="str">
        <f>IF(A350&lt;&gt;"",COUNTIFS('QA Log'!D:D,A350,'QA Log'!M:M,"QQC",'QA Log'!L:L,"11. Additional Questions",'QA Log'!Z:Z,"Approved"),"")</f>
        <v/>
      </c>
      <c r="R350" s="102" t="str">
        <f>IF(A350="","",SUM(
COUNTIFS('QA Log'!D:D,A350,'QA Log'!M:M,"QQC",'QA Log'!Z:Z,"Rejected",'QA Log'!L:L,"*8. Maternity*"),
COUNTIFS('QA Log'!D:D,A350,'QA Log'!M:M,"QQC",'QA Log'!Z:Z,"Rejected",'QA Log'!L:L,"*EPI*"),
COUNTIFS('QA Log'!D:D,A350,'QA Log'!M:M,"QQC",'QA Log'!Z:Z,"Rejected",'QA Log'!L:L,"*10. Antenatal Care (ANC)*"),
COUNTIFS('QA Log'!D:D,A350,'QA Log'!M:M,"QQC",'QA Log'!Z:Z,"Rejected",'QA Log'!L:L,"*2. Hygiene and Sterilization*"),
COUNTIFS('QA Log'!D:D,A350,'QA Log'!M:M,"QQC",'QA Log'!Z:Z,"Rejected",'QA Log'!L:L,"*Family Planning*")))</f>
        <v/>
      </c>
      <c r="S350" s="106" t="str">
        <f t="shared" si="27"/>
        <v/>
      </c>
      <c r="T350" s="102" t="str">
        <f t="shared" si="28"/>
        <v/>
      </c>
      <c r="U350" s="102" t="str">
        <f>IF(A350="","",
SUM(
COUNTIFS('QA Log'!D:D,A350,'QA Log'!M:M,"QQC",'QA Log'!L:L,"*8. Maternity*"),
COUNTIFS('QA Log'!D:D,A350,'QA Log'!M:M,"QQC",'QA Log'!L:L,"*9. EPI and Pre-school Consultation*"),
COUNTIFS('QA Log'!D:D,A350,'QA Log'!M:M,"QQC",'QA Log'!L:L,"*10. Antenatal Care (ANC)*"),
COUNTIFS('QA Log'!D:D,A350,'QA Log'!M:M,"QQC",'QA Log'!L:L,"*2. Hygiene and Sterilization*"),
COUNTIFS('QA Log'!D:D,A350,'QA Log'!M:M,"QQC",'QA Log'!L:L,"*4. Family Planning*")
))</f>
        <v/>
      </c>
      <c r="V350" s="102" t="str">
        <f>IF(A350="","",
SUM(
COUNTIFS('QA Log'!D:D,A350,'QA Log'!M:M,"QQC",'QA Log'!Z:Z,"Approved",'QA Log'!L:L,"*8. Maternity*"),
COUNTIFS('QA Log'!D:D,A350,'QA Log'!M:M,"QQC",'QA Log'!Z:Z,"Approved",'QA Log'!L:L,"*9. EPI and Pre-school Consultation*"),
COUNTIFS('QA Log'!D:D,A350,'QA Log'!M:M,"QQC",'QA Log'!Z:Z,"Approved",'QA Log'!L:L,"*10. Antenatal Care (ANC)*"),
COUNTIFS('QA Log'!D:D,A350,'QA Log'!M:M,"QQC",'QA Log'!Z:Z,"Approved",'QA Log'!L:L,"*2. Hygiene and Sterilization*"),
COUNTIFS('QA Log'!D:D,A350,'QA Log'!M:M,"QQC",'QA Log'!Z:Z,"Approved",'QA Log'!L:L,"*4. Family Planning*")
))</f>
        <v/>
      </c>
      <c r="W350" s="105" t="str">
        <f>IF(A350&lt;&gt;"",COUNTIFS('QA Log'!D:D,A350,'QA Log'!M:M,"QQC",'QA Log'!L:L,"8. Maternity",'QA Log'!Z:Z,"Approved"),"")</f>
        <v/>
      </c>
      <c r="X350" s="105" t="str">
        <f>IF(A350&lt;&gt;"",COUNTIFS('QA Log'!D:D,A350,'QA Log'!M:M,"QQC",'QA Log'!L:L,"9. EPI and Pre-school Consultation",'QA Log'!Z:Z,"Approved"),"")</f>
        <v/>
      </c>
      <c r="Y350" s="105" t="str">
        <f>IF(A350&lt;&gt;"",COUNTIFS('QA Log'!D:D,A350,'QA Log'!M:M,"QQC",'QA Log'!L:L,"10. Antenatal Care (ANC)",'QA Log'!Z:Z,"Approved"),"")</f>
        <v/>
      </c>
      <c r="Z350" s="105" t="str">
        <f>IF(A350&lt;&gt;"",COUNTIFS('QA Log'!D:D,A350,'QA Log'!M:M,"QQC",'QA Log'!L:L,"2. Hygiene and Sterilization",'QA Log'!Z:Z,"Approved"),"")</f>
        <v/>
      </c>
      <c r="AA350" s="105" t="str">
        <f>IF(A350&lt;&gt;"",COUNTIFS('QA Log'!D:D,A350,'QA Log'!M:M,"QQC",'QA Log'!L:L,"4. Family Planning",'QA Log'!Z:Z,"Approved"),"")</f>
        <v/>
      </c>
      <c r="AB350" s="102" t="str">
        <f>IF(A350="","",
SUM(
COUNTIFS('QA Log'!D:D,A350,'QA Log'!M:M,"QQC",'QA Log'!Z:Z,"Rejected",'QA Log'!L:L,"*8. Maternity*"),
COUNTIFS('QA Log'!D:D,A350,'QA Log'!M:M,"QQC",'QA Log'!Z:Z,"Rejected",'QA Log'!L:L,"*9. EPI and Pre-school Consultation*"),
COUNTIFS('QA Log'!D:D,A350,'QA Log'!M:M,"QQC",'QA Log'!Z:Z,"Rejected",'QA Log'!L:L,"*10. Antenatal Care (ANC)*"),
COUNTIFS('QA Log'!D:D,A350,'QA Log'!M:M,"QQC",'QA Log'!Z:Z,"Rejected",'QA Log'!L:L,"*2. Hygiene and Sterilization*"),
COUNTIFS('QA Log'!D:D,A350,'QA Log'!M:M,"QQC",'QA Log'!Z:Z,"Rejected",'QA Log'!L:L,"*4. Family Planning*")
))</f>
        <v/>
      </c>
      <c r="AC350" s="102" t="str">
        <f t="shared" si="29"/>
        <v/>
      </c>
      <c r="AD350" s="103" t="str">
        <f t="shared" si="30"/>
        <v/>
      </c>
      <c r="AE350" s="102" t="str">
        <f>IF(A350="","",
SUM(
COUNTIFS('QA Log'!D:D,A350,'QA Log'!M:M,"Data Verification",'QA Log'!L:L,"*Medicine (section 2)*"),
COUNTIFS('QA Log'!D:D,A350,'QA Log'!M:M,"Data Verification",'QA Log'!L:L,"*Lab Testing Availability*"),
COUNTIFS('QA Log'!D:D,A350,'QA Log'!M:M,"Data Verification",'QA Log'!L:L,"*Other than P4P (section 6)*"),
COUNTIFS('QA Log'!D:D,A350,'QA Log'!M:M,"Data Verification",'QA Log'!L:L,"*Hospital Governance*")
))</f>
        <v/>
      </c>
      <c r="AF350" s="102" t="str">
        <f>IF(A350="","",
SUM(
COUNTIFS('QA Log'!D:D,A350,'QA Log'!M:M,"Data Verification",'QA Log'!Z:Z,"Approved",'QA Log'!L:L,"*Medicine (section 2)*"),
COUNTIFS('QA Log'!D:D,A350,'QA Log'!M:M,"Data Verification",'QA Log'!Z:Z,"Approved",'QA Log'!L:L,"*Lab Testing Availability*"),
COUNTIFS('QA Log'!D:D,A350,'QA Log'!M:M,"Data Verification",'QA Log'!Z:Z,"Approved",'QA Log'!L:L,"*Other than P4P (section 6)*"),
COUNTIFS('QA Log'!D:D,A350,'QA Log'!M:M,"Data Verification",'QA Log'!Z:Z,"Approved",'QA Log'!L:L,"*Hospital Governance*")
))</f>
        <v/>
      </c>
      <c r="AG350" s="105" t="str">
        <f>IF(A350&lt;&gt;"",COUNTIFS('QA Log'!D:D,A350,'QA Log'!M:M,"Data Verification",'QA Log'!L:L,"Medicine (section 2)",'QA Log'!Z:Z,"Approved"),"")</f>
        <v/>
      </c>
      <c r="AH350" s="105" t="str">
        <f>IF(A350&lt;&gt;"",COUNTIFS('QA Log'!D:D,A350,'QA Log'!M:M,"Data Verification",'QA Log'!L:L,"Lab Testing Availability",'QA Log'!Z:Z,"Approved"),"")</f>
        <v/>
      </c>
      <c r="AI350" s="105" t="str">
        <f>IF(A350&lt;&gt;"",COUNTIFS('QA Log'!D:D,A350,'QA Log'!M:M,"Data Verification",'QA Log'!L:L,"Other than P4P (section 6)",'QA Log'!Z:Z,"Approved"),"")</f>
        <v/>
      </c>
      <c r="AJ350" s="105" t="str">
        <f>IF(A350&lt;&gt;"",COUNTIFS('QA Log'!D:D,A350,'QA Log'!M:M,"Data Verification",'QA Log'!L:L,"Hospital Governance",'QA Log'!Z:Z,"Approved"),"")</f>
        <v/>
      </c>
      <c r="AK350" s="102" t="str">
        <f>IF(A350="","",
SUM(
COUNTIFS('QA Log'!D:D,A350,'QA Log'!M:M,"Data Verification",'QA Log'!Z:Z,"Rejected",'QA Log'!L:L,"*Medicine (section 2)*"),
COUNTIFS('QA Log'!D:D,A350,'QA Log'!M:M,"Data Verification",'QA Log'!Z:Z,"Rejected",'QA Log'!L:L,"*Lab Testing Availability*"),
COUNTIFS('QA Log'!D:D,A350,'QA Log'!M:M,"Data Verification",'QA Log'!Z:Z,"Rejected",'QA Log'!L:L,"*Other than P4P (section 6)*"),
COUNTIFS('QA Log'!D:D,A350,'QA Log'!M:M,"Data Verification",'QA Log'!Z:Z,"Rejected",'QA Log'!L:L,"*Hospital Governance*")
))</f>
        <v/>
      </c>
      <c r="AL350" s="106" t="str">
        <f t="shared" si="31"/>
        <v/>
      </c>
      <c r="AM350" s="102" t="str">
        <f t="shared" si="32"/>
        <v/>
      </c>
      <c r="AN350" s="102" t="str">
        <f>IF(A350="","",
SUM(
COUNTIFS('QA Log'!D:D,A350,'QA Log'!M:M,"Data Verification",'QA Log'!L:L,"*Personnel (section 1)*"),
COUNTIFS('QA Log'!D:D,A350,'QA Log'!M:M,"Data Verification",'QA Log'!L:L,"*Consumable (section 3)*"),
COUNTIFS('QA Log'!D:D,A350,'QA Log'!M:M,"Data Verification",'QA Log'!L:L,"*Equipments (section 4)*")
))</f>
        <v/>
      </c>
      <c r="AO350" s="102" t="str">
        <f>IF(A350="","",
SUM(
COUNTIFS('QA Log'!D:D,A350,'QA Log'!M:M,"Data Verification",'QA Log'!Z:Z,"Approved",'QA Log'!L:L,"*Personnel (section 1)*"),
COUNTIFS('QA Log'!D:D,A350,'QA Log'!M:M,"Data Verification",'QA Log'!Z:Z,"Approved",'QA Log'!L:L,"*Consumable (section 3)*"),
COUNTIFS('QA Log'!D:D,A350,'QA Log'!M:M,"Data Verification",'QA Log'!Z:Z,"Approved",'QA Log'!L:L,"*Equipments (section 4)*")
))</f>
        <v/>
      </c>
      <c r="AP350" s="105" t="str">
        <f>IF(A350&lt;&gt;"",COUNTIFS('QA Log'!D:D,A350,'QA Log'!M:M,"Data Verification",'QA Log'!L:L,"Personnel (section 1)",'QA Log'!Z:Z,"Approved"),"")</f>
        <v/>
      </c>
      <c r="AQ350" s="105" t="str">
        <f>IF(A350&lt;&gt;"",COUNTIFS('QA Log'!D:D,A350,'QA Log'!M:M,"Data Verification",'QA Log'!L:L,"Consumable (section 3)",'QA Log'!Z:Z,"Approved"),"")</f>
        <v/>
      </c>
      <c r="AR350" s="105" t="str">
        <f>IF(A350&lt;&gt;"",COUNTIFS('QA Log'!D:D,A350,'QA Log'!M:M,"Data Verification",'QA Log'!L:L,"Equipments (section 4)",'QA Log'!Z:Z,"Approved"),"")</f>
        <v/>
      </c>
      <c r="AS350" s="102" t="str">
        <f>IF(A350="","",
SUM(
COUNTIFS('QA Log'!D:D,A350,'QA Log'!M:M,"Data Verification",'QA Log'!Z:Z,"Rejected",'QA Log'!L:L,"*Personnel (section 1)*"),
COUNTIFS('QA Log'!D:D,A350,'QA Log'!M:M,"Data Verification",'QA Log'!Z:Z,"Rejected",'QA Log'!L:L,"*Consumable (section 3)*"),
COUNTIFS('QA Log'!D:D,A350,'QA Log'!M:M,"Data Verification",'QA Log'!Z:Z,"Rejected",'QA Log'!L:L,"*Equipments (section 4)*")
))</f>
        <v/>
      </c>
      <c r="AT350" s="102" t="str">
        <f t="shared" si="33"/>
        <v/>
      </c>
      <c r="AU350" s="103" t="str">
        <f t="shared" si="34"/>
        <v/>
      </c>
      <c r="AV350" s="102" t="str">
        <f>IF(A350="","",SUM(
COUNTIFS('QA Log'!D:D,A350,'QA Log'!M:M,"Vignette",'QA Log'!L:L,"*Vignette [1] Respiratory Infection: Pneumonia*"),
COUNTIFS('QA Log'!D:D,A350,'QA Log'!M:M,"Vignette",'QA Log'!L:L,"*Vignette [2]: Diarrhea with Cat B dehydration*"),
COUNTIFS('QA Log'!D:D,A350,'QA Log'!M:M,"Vignette",'QA Log'!L:L,"*Vignette [3] Growth Monitoring and Promotion*"),
COUNTIFS('QA Log'!D:D,A350,'QA Log'!M:M,"Vignette",'QA Log'!L:L,"*Vignette [4]: The management of presumptive TB patient*")
)
)</f>
        <v/>
      </c>
      <c r="AW350" s="102" t="str">
        <f>IF(
  A350="","",
  SUM(
    COUNTIFS('QA Log'!D:D,A350,'QA Log'!M:M,"Vignette",'QA Log'!Z:Z,"Approved",'QA Log'!L:L,"*Vignette [1] Respiratory Infection: Pneumonia*"),
    COUNTIFS('QA Log'!D:D,A350,'QA Log'!M:M,"Vignette",'QA Log'!Z:Z,"Approved",'QA Log'!L:L,"*Vignette [2]: Diarrhea with Cat B dehydration*"),
    COUNTIFS('QA Log'!D:D,A350,'QA Log'!M:M,"Vignette",'QA Log'!Z:Z,"Approved",'QA Log'!L:L,"*Vignette [3] Growth Monitoring and Promotion*"),
    COUNTIFS('QA Log'!D:D,A350,'QA Log'!M:M,"Vignette",'QA Log'!Z:Z,"Approved",'QA Log'!L:L,"*Vignette [4]: The management of presumptive TB patient*")
  )
)</f>
        <v/>
      </c>
      <c r="AX350" s="105" t="str">
        <f>IF(A350&lt;&gt;"",COUNTIFS('QA Log'!D:D,A350,'QA Log'!M:M,"Vignette",'QA Log'!L:L,"Vignette [1] Respiratory Infection: Pneumonia",'QA Log'!Z:Z,"Approved"),"")</f>
        <v/>
      </c>
      <c r="AY350" s="105" t="str">
        <f>IF(A350&lt;&gt;"",COUNTIFS('QA Log'!D:D,A350,'QA Log'!M:M,"Vignette",'QA Log'!L:L,"Vignette [2]: Diarrhea with Cat B dehydration",'QA Log'!Z:Z,"Approved"),"")</f>
        <v/>
      </c>
      <c r="AZ350" s="105" t="str">
        <f>IF(A350&lt;&gt;"",COUNTIFS('QA Log'!D:D,A350,'QA Log'!M:M,"Vignette",'QA Log'!L:L,"Vignette [3] Growth Monitoring and Promotion",'QA Log'!Z:Z,"Approved"),"")</f>
        <v/>
      </c>
      <c r="BA350" s="105" t="str">
        <f>IF(A350&lt;&gt;"",COUNTIFS('QA Log'!D:D,A350,'QA Log'!M:M,"Vignette",'QA Log'!L:L,"Vignette [4]: The management of presumptive TB patient",'QA Log'!Z:Z,"Approved"),"")</f>
        <v/>
      </c>
      <c r="BB350" s="102" t="str">
        <f>IF(A350="","",
  SUM(
    COUNTIFS('QA Log'!D:D,A350,'QA Log'!M:M,"Vignette",'QA Log'!Z:Z,"Rejected",'QA Log'!L:L,"*Vignette [1] Respiratory Infection: Pneumonia*"),
    COUNTIFS('QA Log'!D:D,A350,'QA Log'!M:M,"Vignette",'QA Log'!Z:Z,"Rejected",'QA Log'!L:L,"*Vignette [2]: Diarrhea with Cat B dehydration*"),
    COUNTIFS('QA Log'!D:D,A350,'QA Log'!M:M,"Vignette",'QA Log'!Z:Z,"Rejected",'QA Log'!L:L,"*Vignette [3] Growth Monitoring and Promotion*"),
    COUNTIFS('QA Log'!D:D,A350,'QA Log'!M:M,"Vignette",'QA Log'!Z:Z,"Rejected",'QA Log'!L:L,"*Vignette [4]: The management of presumptive TB patient*")
  )
)</f>
        <v/>
      </c>
      <c r="BC350" s="107" t="str">
        <f t="shared" si="35"/>
        <v/>
      </c>
      <c r="BD350" s="103" t="str">
        <f t="shared" si="36"/>
        <v/>
      </c>
      <c r="BE350" s="102" t="str">
        <f>IF(A350="","",SUM(
COUNTIFS('QA Log'!D:D,A350,'QA Log'!M:M,"Vignette",'QA Log'!L:L,"*Vignette [5] Labor*"),
COUNTIFS('QA Log'!D:D,A350,'QA Log'!M:M,"Vignette",'QA Log'!L:L,"*Vignette [6] PNC pre Discharge*"),
COUNTIFS('QA Log'!D:D,A350,'QA Log'!M:M,"Vignette",'QA Log'!L:L,"*Vignette [7] First ANC Visit*"),
COUNTIFS('QA Log'!D:D,A350,'QA Log'!M:M,"Vignette",'QA Log'!L:L,"*Vignette [8] Birth Spacing/ Family Planning :  FP Counselling*"),
COUNTIFS('QA Log'!D:D,A350,'QA Log'!M:M,"Vignette",'QA Log'!L:L,"*Vignette [9] Birth Spacing: Change FP method to Injectable*"),
COUNTIFS('QA Log'!D:D,A350,'QA Log'!M:M,"Vignette",'QA Log'!L:L,"*Vignette [10] Post Partum Haemorrhage - Atonic Uterus at Health Centre*"),
)
)</f>
        <v/>
      </c>
      <c r="BF350" s="102" t="str">
        <f>IF(A350="","",
  SUM(
    COUNTIFS('QA Log'!D:D,A350,'QA Log'!M:M,"Vignette",'QA Log'!Z:Z,"Approved",'QA Log'!L:L,"*Vignette [5] Labor*"),
    COUNTIFS('QA Log'!D:D,A350,'QA Log'!M:M,"Vignette",'QA Log'!Z:Z,"Approved",'QA Log'!L:L,"*Vignette [6] PNC pre Discharge*"),
    COUNTIFS('QA Log'!D:D,A350,'QA Log'!M:M,"Vignette",'QA Log'!Z:Z,"Approved",'QA Log'!L:L,"*Vignette [7] First ANC Visit*"),
    COUNTIFS('QA Log'!D:D,A350,'QA Log'!M:M,"Vignette",'QA Log'!Z:Z,"Approved",'QA Log'!L:L,"*Vignette [8] Birth Spacing/ Family Planning :  FP Counselling*"),
    COUNTIFS('QA Log'!D:D,A350,'QA Log'!M:M,"Vignette",'QA Log'!Z:Z,"Approved",'QA Log'!L:L,"*Vignette [9] Birth Spacing: Change FP method to Injectable*"),
    COUNTIFS('QA Log'!D:D,A350,'QA Log'!M:M,"Vignette",'QA Log'!Z:Z,"Approved",'QA Log'!L:L,"*Vignette [10] Post Partum Haemorrhage - Atonic Uterus at Health Centre*")
  )
)</f>
        <v/>
      </c>
      <c r="BG350" s="105" t="str">
        <f>IF(A350&lt;&gt;"",COUNTIFS('QA Log'!D:D,A350,'QA Log'!M:M,"Vignette",'QA Log'!L:L,"Vignette [5] Labor",'QA Log'!Z:Z,"Approved"),"")</f>
        <v/>
      </c>
      <c r="BH350" s="105" t="str">
        <f>IF(A350&lt;&gt;"",COUNTIFS('QA Log'!D:D,A350,'QA Log'!M:M,"Vignette",'QA Log'!L:L,"Vignette [6] PNC pre Discharge",'QA Log'!Z:Z,"Approved"),"")</f>
        <v/>
      </c>
      <c r="BI350" s="105" t="str">
        <f>IF(A350&lt;&gt;"",COUNTIFS('QA Log'!D:D,A350,'QA Log'!M:M,"Vignette",'QA Log'!L:L,"Vignette [7] First ANC Visit",'QA Log'!Z:Z,"Approved"),"")</f>
        <v/>
      </c>
      <c r="BJ350" s="105" t="str">
        <f>IF(A350&lt;&gt;"",COUNTIFS('QA Log'!D:D,A350,'QA Log'!M:M,"Vignette",'QA Log'!L:L,"Vignette [8] Birth Spacing/ Family Planning :  FP Counselling",'QA Log'!Z:Z,"Approved"),"")</f>
        <v/>
      </c>
      <c r="BK350" s="105" t="str">
        <f>IF(A350&lt;&gt;"",COUNTIFS('QA Log'!D:D,A350,'QA Log'!M:M,"Vignette",'QA Log'!L:L,"Vignette [9] Birth Spacing: Change FP method to Injectable",'QA Log'!Z:Z,"Approved"),"")</f>
        <v/>
      </c>
      <c r="BL350" s="105" t="str">
        <f>IF(A350&lt;&gt;"",COUNTIFS('QA Log'!D:D,A350,'QA Log'!M:M,"Vignette",'QA Log'!L:L,"Vignette [10] Post Partum Haemorrhage - Atonic Uterus at Health Centre",'QA Log'!Z:Z,"Approved"),"")</f>
        <v/>
      </c>
      <c r="BM350" s="102" t="str">
        <f>IF(A350="","",SUM(
    COUNTIFS('QA Log'!D:D,A350,'QA Log'!M:M,"Vignette",'QA Log'!Z:Z,"Rejected",'QA Log'!L:L,"*Vignette [5] Labor*"),
    COUNTIFS('QA Log'!D:D,A350,'QA Log'!M:M,"Vignette",'QA Log'!Z:Z,"Rejected",'QA Log'!L:L,"*Vignette [6] PNC pre Discharge*"),
    COUNTIFS('QA Log'!D:D,A350,'QA Log'!M:M,"Vignette",'QA Log'!Z:Z,"Rejected",'QA Log'!L:L,"*Vignette [7] First ANC Visit*"),
    COUNTIFS('QA Log'!D:D,A350,'QA Log'!M:M,"Vignette",'QA Log'!Z:Z,"Rejected",'QA Log'!L:L,"*Vignette [8] Birth Spacing/ Family Planning :  FP Counselling*"),
    COUNTIFS('QA Log'!D:D,A350,'QA Log'!M:M,"Vignette",'QA Log'!Z:Z,"Rejected",'QA Log'!L:L,"*Vignette [9] Birth Spacing: Change FP method to Injectable*"),
    COUNTIFS('QA Log'!D:D,A350,'QA Log'!M:M,"Vignette",'QA Log'!Z:Z,"Rejected",'QA Log'!L:L,"*Vignette [10] Post Partum Haemorrhage - Atonic Uterus at Health Centre*")
  )
)</f>
        <v/>
      </c>
      <c r="BN350" s="107" t="str">
        <f t="shared" si="37"/>
        <v/>
      </c>
      <c r="BO350" s="103" t="str">
        <f t="shared" si="38"/>
        <v/>
      </c>
      <c r="BP350" s="102" t="str">
        <f>IF(A350="","",SUM(
COUNTIFS('QA Log'!D:D,A350,'QA Log'!M:M,"Vignette",'QA Log'!L:L,"*Exit Interview 1*"),
COUNTIFS('QA Log'!D:D,A350,'QA Log'!M:M,"Vignette",'QA Log'!L:L,"*Exit Interview 2*"),
)
)</f>
        <v/>
      </c>
      <c r="BQ350" s="102" t="str">
        <f>IF(
  A350="","",
  SUM(
    COUNTIFS('QA Log'!D:D,A350,'QA Log'!M:M,"Vignette",'QA Log'!Z:Z,"Approved",'QA Log'!L:L,"*Exit Interview 1*"),
    COUNTIFS('QA Log'!D:D,A350,'QA Log'!M:M,"Vignette",'QA Log'!Z:Z,"Approved",'QA Log'!L:L,"*Exit Interview 2*")
  )
)</f>
        <v/>
      </c>
      <c r="BR350" s="105" t="str">
        <f>IF(A350&lt;&gt;"",COUNTIFS('QA Log'!D:D,A350,'QA Log'!M:M,"Vignette",'QA Log'!L:L,"Exit Interview 1",'QA Log'!Z:Z,"Approved"),"")</f>
        <v/>
      </c>
      <c r="BS350" s="105" t="str">
        <f>IF(A350&lt;&gt;"",COUNTIFS('QA Log'!D:D,A350,'QA Log'!M:M,"Vignette",'QA Log'!L:L,"Exit Interview 2",'QA Log'!Z:Z,"Approved"),"")</f>
        <v/>
      </c>
      <c r="BT350" s="102" t="str">
        <f>IF(
  A350="","",
  SUM(
    COUNTIFS('QA Log'!D:D,A350,'QA Log'!M:M,"Vignette",'QA Log'!Z:Z,"Rejected",'QA Log'!L:L,"*Exit Interview 1*"),
    COUNTIFS('QA Log'!D:D,A350,'QA Log'!M:M,"Vignette",'QA Log'!Z:Z,"Rejected",'QA Log'!L:L,"*Exit Interview 2*")
  )
)</f>
        <v/>
      </c>
      <c r="BU350" s="107" t="str">
        <f t="shared" si="39"/>
        <v/>
      </c>
      <c r="BV350" s="102" t="str">
        <f t="shared" si="40"/>
        <v/>
      </c>
      <c r="BW350" s="102" t="str">
        <f t="shared" si="41"/>
        <v/>
      </c>
      <c r="BX350" s="102" t="str">
        <f t="shared" si="42"/>
        <v/>
      </c>
      <c r="BY350" s="102" t="str">
        <f t="shared" si="43"/>
        <v/>
      </c>
      <c r="BZ350" s="107" t="str">
        <f t="shared" si="44"/>
        <v/>
      </c>
      <c r="CA350" s="108" t="str">
        <f t="shared" si="45"/>
        <v/>
      </c>
      <c r="CB350" s="108" t="str">
        <f t="shared" si="46"/>
        <v/>
      </c>
      <c r="CC350" s="109" t="str">
        <f t="shared" si="47"/>
        <v/>
      </c>
      <c r="CD350" s="108" t="str">
        <f t="shared" si="48"/>
        <v/>
      </c>
      <c r="CE350" s="108" t="str">
        <f t="shared" si="49"/>
        <v/>
      </c>
      <c r="CF350" s="109" t="str">
        <f t="shared" si="50"/>
        <v/>
      </c>
      <c r="CG350" s="110" t="str">
        <f t="shared" si="51"/>
        <v/>
      </c>
      <c r="CH350" s="111"/>
    </row>
    <row r="351" spans="1:86" ht="12.75">
      <c r="A351" s="101"/>
      <c r="B351" s="102" t="e">
        <f t="array" aca="1" ref="B351" ca="1">_xludf.XLOOKUP(A351,'QA Log'!D:D,'QA Log'!E:E,"")</f>
        <v>#NAME?</v>
      </c>
      <c r="C351" s="102" t="e">
        <f t="array" aca="1" ref="C351" ca="1">_xludf.XLOOKUP(A351,'QA Log'!D:D,'QA Log'!F:F,"")</f>
        <v>#NAME?</v>
      </c>
      <c r="D351" s="102" t="e">
        <f t="array" aca="1" ref="D351" ca="1">_xludf.XLOOKUP(A351,'QA Log'!D:D,'QA Log'!H:H,"")</f>
        <v>#NAME?</v>
      </c>
      <c r="E351" s="102" t="e">
        <f t="array" aca="1" ref="E351" ca="1">_xludf.XLOOKUP(A351,'QA Log'!D:D,'QA Log'!G:G,"")</f>
        <v>#NAME?</v>
      </c>
      <c r="F351" s="103"/>
      <c r="G351" s="104"/>
      <c r="H351" s="104"/>
      <c r="I351" s="103" t="str">
        <f t="shared" si="26"/>
        <v/>
      </c>
      <c r="J351" s="102" t="str">
        <f>IF(A351="","",SUM(
COUNTIFS('QA Log'!D:D,A351,'QA Log'!M:M,"QQC",'QA Log'!L:L,"*1. General Management*"),
COUNTIFS('QA Log'!D:D,A351,'QA Log'!M:M,"QQC",'QA Log'!L:L,"*3. Curative Consultation (OPD)*"),
COUNTIFS('QA Log'!D:D,A351,'QA Log'!M:M,"QQC",'QA Log'!L:L,"*5. Laboratory*"),
COUNTIFS('QA Log'!D:D,A351,'QA Log'!M:M,"QQC",'QA Log'!L:L,"*6. Essential Medicine Management*"),
COUNTIFS('QA Log'!D:D,A351,'QA Log'!M:M,"QQC",'QA Log'!L:L,"*7. Tracer Medicine*"),
COUNTIFS('QA Log'!D:D,A351,'QA Log'!M:M,"QQC",'QA Log'!L:L,"*11. Additional Questions*")))</f>
        <v/>
      </c>
      <c r="K351" s="102" t="str">
        <f>IF(A351="","",SUM(
COUNTIFS('QA Log'!D:D,A351,'QA Log'!M:M,"QQC",'QA Log'!Z:Z,"Approved",'QA Log'!L:L,"*1. General Management*"),
COUNTIFS('QA Log'!D:D,A351,'QA Log'!M:M,"QQC",'QA Log'!Z:Z,"Approved",'QA Log'!L:L,"*3. Curative Consultation (OPD)*"),
COUNTIFS('QA Log'!D:D,A351,'QA Log'!M:M,"QQC",'QA Log'!Z:Z,"Approved",'QA Log'!L:L,"*5. Laboratory*"),
COUNTIFS('QA Log'!D:D,A351,'QA Log'!M:M,"QQC",'QA Log'!Z:Z,"Approved",'QA Log'!L:L,"*6. Essential Medicine Management*"),
COUNTIFS('QA Log'!D:D,A351,'QA Log'!M:M,"QQC",'QA Log'!Z:Z,"Approved",'QA Log'!L:L,"*7. Tracer Medicine*"),
COUNTIFS('QA Log'!D:D,A351,'QA Log'!M:M,"QQC",'QA Log'!Z:Z,"Approved",'QA Log'!L:L,"*11. Additional Questions*")))</f>
        <v/>
      </c>
      <c r="L351" s="105" t="str">
        <f>IF(A351&lt;&gt;"",COUNTIFS('QA Log'!D:D,A351,'QA Log'!M:M,"QQC",'QA Log'!L:L,"1. General Management",'QA Log'!Z:Z,"Approved"),"")</f>
        <v/>
      </c>
      <c r="M351" s="105" t="str">
        <f>IF(A351&lt;&gt;"",COUNTIFS('QA Log'!D:D,A351,'QA Log'!M:M,"QQC",'QA Log'!L:L,"3. Curative Consultation (OPD)",'QA Log'!Z:Z,"Approved"),"")</f>
        <v/>
      </c>
      <c r="N351" s="105" t="str">
        <f>IF(A351&lt;&gt;"",COUNTIFS('QA Log'!D:D,A351,'QA Log'!M:M,"QQC",'QA Log'!L:L,"5. Laboratory",'QA Log'!Z:Z,"Approved"),"")</f>
        <v/>
      </c>
      <c r="O351" s="105" t="str">
        <f>IF(A351&lt;&gt;"",COUNTIFS('QA Log'!D:D,A351,'QA Log'!M:M,"QQC",'QA Log'!L:L,"6. Essential Medicine Management",'QA Log'!Z:Z,"Approved"),"")</f>
        <v/>
      </c>
      <c r="P351" s="105" t="str">
        <f>IF(A351&lt;&gt;"",COUNTIFS('QA Log'!D:D,A351,'QA Log'!M:M,"QQC",'QA Log'!L:L,"7. Tracer Medicine",'QA Log'!Z:Z,"Approved"),"")</f>
        <v/>
      </c>
      <c r="Q351" s="105" t="str">
        <f>IF(A351&lt;&gt;"",COUNTIFS('QA Log'!D:D,A351,'QA Log'!M:M,"QQC",'QA Log'!L:L,"11. Additional Questions",'QA Log'!Z:Z,"Approved"),"")</f>
        <v/>
      </c>
      <c r="R351" s="102" t="str">
        <f>IF(A351="","",SUM(
COUNTIFS('QA Log'!D:D,A351,'QA Log'!M:M,"QQC",'QA Log'!Z:Z,"Rejected",'QA Log'!L:L,"*8. Maternity*"),
COUNTIFS('QA Log'!D:D,A351,'QA Log'!M:M,"QQC",'QA Log'!Z:Z,"Rejected",'QA Log'!L:L,"*EPI*"),
COUNTIFS('QA Log'!D:D,A351,'QA Log'!M:M,"QQC",'QA Log'!Z:Z,"Rejected",'QA Log'!L:L,"*10. Antenatal Care (ANC)*"),
COUNTIFS('QA Log'!D:D,A351,'QA Log'!M:M,"QQC",'QA Log'!Z:Z,"Rejected",'QA Log'!L:L,"*2. Hygiene and Sterilization*"),
COUNTIFS('QA Log'!D:D,A351,'QA Log'!M:M,"QQC",'QA Log'!Z:Z,"Rejected",'QA Log'!L:L,"*Family Planning*")))</f>
        <v/>
      </c>
      <c r="S351" s="106" t="str">
        <f t="shared" si="27"/>
        <v/>
      </c>
      <c r="T351" s="102" t="str">
        <f t="shared" si="28"/>
        <v/>
      </c>
      <c r="U351" s="102" t="str">
        <f>IF(A351="","",
SUM(
COUNTIFS('QA Log'!D:D,A351,'QA Log'!M:M,"QQC",'QA Log'!L:L,"*8. Maternity*"),
COUNTIFS('QA Log'!D:D,A351,'QA Log'!M:M,"QQC",'QA Log'!L:L,"*9. EPI and Pre-school Consultation*"),
COUNTIFS('QA Log'!D:D,A351,'QA Log'!M:M,"QQC",'QA Log'!L:L,"*10. Antenatal Care (ANC)*"),
COUNTIFS('QA Log'!D:D,A351,'QA Log'!M:M,"QQC",'QA Log'!L:L,"*2. Hygiene and Sterilization*"),
COUNTIFS('QA Log'!D:D,A351,'QA Log'!M:M,"QQC",'QA Log'!L:L,"*4. Family Planning*")
))</f>
        <v/>
      </c>
      <c r="V351" s="102" t="str">
        <f>IF(A351="","",
SUM(
COUNTIFS('QA Log'!D:D,A351,'QA Log'!M:M,"QQC",'QA Log'!Z:Z,"Approved",'QA Log'!L:L,"*8. Maternity*"),
COUNTIFS('QA Log'!D:D,A351,'QA Log'!M:M,"QQC",'QA Log'!Z:Z,"Approved",'QA Log'!L:L,"*9. EPI and Pre-school Consultation*"),
COUNTIFS('QA Log'!D:D,A351,'QA Log'!M:M,"QQC",'QA Log'!Z:Z,"Approved",'QA Log'!L:L,"*10. Antenatal Care (ANC)*"),
COUNTIFS('QA Log'!D:D,A351,'QA Log'!M:M,"QQC",'QA Log'!Z:Z,"Approved",'QA Log'!L:L,"*2. Hygiene and Sterilization*"),
COUNTIFS('QA Log'!D:D,A351,'QA Log'!M:M,"QQC",'QA Log'!Z:Z,"Approved",'QA Log'!L:L,"*4. Family Planning*")
))</f>
        <v/>
      </c>
      <c r="W351" s="105" t="str">
        <f>IF(A351&lt;&gt;"",COUNTIFS('QA Log'!D:D,A351,'QA Log'!M:M,"QQC",'QA Log'!L:L,"8. Maternity",'QA Log'!Z:Z,"Approved"),"")</f>
        <v/>
      </c>
      <c r="X351" s="105" t="str">
        <f>IF(A351&lt;&gt;"",COUNTIFS('QA Log'!D:D,A351,'QA Log'!M:M,"QQC",'QA Log'!L:L,"9. EPI and Pre-school Consultation",'QA Log'!Z:Z,"Approved"),"")</f>
        <v/>
      </c>
      <c r="Y351" s="105" t="str">
        <f>IF(A351&lt;&gt;"",COUNTIFS('QA Log'!D:D,A351,'QA Log'!M:M,"QQC",'QA Log'!L:L,"10. Antenatal Care (ANC)",'QA Log'!Z:Z,"Approved"),"")</f>
        <v/>
      </c>
      <c r="Z351" s="105" t="str">
        <f>IF(A351&lt;&gt;"",COUNTIFS('QA Log'!D:D,A351,'QA Log'!M:M,"QQC",'QA Log'!L:L,"2. Hygiene and Sterilization",'QA Log'!Z:Z,"Approved"),"")</f>
        <v/>
      </c>
      <c r="AA351" s="105" t="str">
        <f>IF(A351&lt;&gt;"",COUNTIFS('QA Log'!D:D,A351,'QA Log'!M:M,"QQC",'QA Log'!L:L,"4. Family Planning",'QA Log'!Z:Z,"Approved"),"")</f>
        <v/>
      </c>
      <c r="AB351" s="102" t="str">
        <f>IF(A351="","",
SUM(
COUNTIFS('QA Log'!D:D,A351,'QA Log'!M:M,"QQC",'QA Log'!Z:Z,"Rejected",'QA Log'!L:L,"*8. Maternity*"),
COUNTIFS('QA Log'!D:D,A351,'QA Log'!M:M,"QQC",'QA Log'!Z:Z,"Rejected",'QA Log'!L:L,"*9. EPI and Pre-school Consultation*"),
COUNTIFS('QA Log'!D:D,A351,'QA Log'!M:M,"QQC",'QA Log'!Z:Z,"Rejected",'QA Log'!L:L,"*10. Antenatal Care (ANC)*"),
COUNTIFS('QA Log'!D:D,A351,'QA Log'!M:M,"QQC",'QA Log'!Z:Z,"Rejected",'QA Log'!L:L,"*2. Hygiene and Sterilization*"),
COUNTIFS('QA Log'!D:D,A351,'QA Log'!M:M,"QQC",'QA Log'!Z:Z,"Rejected",'QA Log'!L:L,"*4. Family Planning*")
))</f>
        <v/>
      </c>
      <c r="AC351" s="102" t="str">
        <f t="shared" si="29"/>
        <v/>
      </c>
      <c r="AD351" s="103" t="str">
        <f t="shared" si="30"/>
        <v/>
      </c>
      <c r="AE351" s="102" t="str">
        <f>IF(A351="","",
SUM(
COUNTIFS('QA Log'!D:D,A351,'QA Log'!M:M,"Data Verification",'QA Log'!L:L,"*Medicine (section 2)*"),
COUNTIFS('QA Log'!D:D,A351,'QA Log'!M:M,"Data Verification",'QA Log'!L:L,"*Lab Testing Availability*"),
COUNTIFS('QA Log'!D:D,A351,'QA Log'!M:M,"Data Verification",'QA Log'!L:L,"*Other than P4P (section 6)*"),
COUNTIFS('QA Log'!D:D,A351,'QA Log'!M:M,"Data Verification",'QA Log'!L:L,"*Hospital Governance*")
))</f>
        <v/>
      </c>
      <c r="AF351" s="102" t="str">
        <f>IF(A351="","",
SUM(
COUNTIFS('QA Log'!D:D,A351,'QA Log'!M:M,"Data Verification",'QA Log'!Z:Z,"Approved",'QA Log'!L:L,"*Medicine (section 2)*"),
COUNTIFS('QA Log'!D:D,A351,'QA Log'!M:M,"Data Verification",'QA Log'!Z:Z,"Approved",'QA Log'!L:L,"*Lab Testing Availability*"),
COUNTIFS('QA Log'!D:D,A351,'QA Log'!M:M,"Data Verification",'QA Log'!Z:Z,"Approved",'QA Log'!L:L,"*Other than P4P (section 6)*"),
COUNTIFS('QA Log'!D:D,A351,'QA Log'!M:M,"Data Verification",'QA Log'!Z:Z,"Approved",'QA Log'!L:L,"*Hospital Governance*")
))</f>
        <v/>
      </c>
      <c r="AG351" s="105" t="str">
        <f>IF(A351&lt;&gt;"",COUNTIFS('QA Log'!D:D,A351,'QA Log'!M:M,"Data Verification",'QA Log'!L:L,"Medicine (section 2)",'QA Log'!Z:Z,"Approved"),"")</f>
        <v/>
      </c>
      <c r="AH351" s="105" t="str">
        <f>IF(A351&lt;&gt;"",COUNTIFS('QA Log'!D:D,A351,'QA Log'!M:M,"Data Verification",'QA Log'!L:L,"Lab Testing Availability",'QA Log'!Z:Z,"Approved"),"")</f>
        <v/>
      </c>
      <c r="AI351" s="105" t="str">
        <f>IF(A351&lt;&gt;"",COUNTIFS('QA Log'!D:D,A351,'QA Log'!M:M,"Data Verification",'QA Log'!L:L,"Other than P4P (section 6)",'QA Log'!Z:Z,"Approved"),"")</f>
        <v/>
      </c>
      <c r="AJ351" s="105" t="str">
        <f>IF(A351&lt;&gt;"",COUNTIFS('QA Log'!D:D,A351,'QA Log'!M:M,"Data Verification",'QA Log'!L:L,"Hospital Governance",'QA Log'!Z:Z,"Approved"),"")</f>
        <v/>
      </c>
      <c r="AK351" s="102" t="str">
        <f>IF(A351="","",
SUM(
COUNTIFS('QA Log'!D:D,A351,'QA Log'!M:M,"Data Verification",'QA Log'!Z:Z,"Rejected",'QA Log'!L:L,"*Medicine (section 2)*"),
COUNTIFS('QA Log'!D:D,A351,'QA Log'!M:M,"Data Verification",'QA Log'!Z:Z,"Rejected",'QA Log'!L:L,"*Lab Testing Availability*"),
COUNTIFS('QA Log'!D:D,A351,'QA Log'!M:M,"Data Verification",'QA Log'!Z:Z,"Rejected",'QA Log'!L:L,"*Other than P4P (section 6)*"),
COUNTIFS('QA Log'!D:D,A351,'QA Log'!M:M,"Data Verification",'QA Log'!Z:Z,"Rejected",'QA Log'!L:L,"*Hospital Governance*")
))</f>
        <v/>
      </c>
      <c r="AL351" s="106" t="str">
        <f t="shared" si="31"/>
        <v/>
      </c>
      <c r="AM351" s="102" t="str">
        <f t="shared" si="32"/>
        <v/>
      </c>
      <c r="AN351" s="102" t="str">
        <f>IF(A351="","",
SUM(
COUNTIFS('QA Log'!D:D,A351,'QA Log'!M:M,"Data Verification",'QA Log'!L:L,"*Personnel (section 1)*"),
COUNTIFS('QA Log'!D:D,A351,'QA Log'!M:M,"Data Verification",'QA Log'!L:L,"*Consumable (section 3)*"),
COUNTIFS('QA Log'!D:D,A351,'QA Log'!M:M,"Data Verification",'QA Log'!L:L,"*Equipments (section 4)*")
))</f>
        <v/>
      </c>
      <c r="AO351" s="102" t="str">
        <f>IF(A351="","",
SUM(
COUNTIFS('QA Log'!D:D,A351,'QA Log'!M:M,"Data Verification",'QA Log'!Z:Z,"Approved",'QA Log'!L:L,"*Personnel (section 1)*"),
COUNTIFS('QA Log'!D:D,A351,'QA Log'!M:M,"Data Verification",'QA Log'!Z:Z,"Approved",'QA Log'!L:L,"*Consumable (section 3)*"),
COUNTIFS('QA Log'!D:D,A351,'QA Log'!M:M,"Data Verification",'QA Log'!Z:Z,"Approved",'QA Log'!L:L,"*Equipments (section 4)*")
))</f>
        <v/>
      </c>
      <c r="AP351" s="105" t="str">
        <f>IF(A351&lt;&gt;"",COUNTIFS('QA Log'!D:D,A351,'QA Log'!M:M,"Data Verification",'QA Log'!L:L,"Personnel (section 1)",'QA Log'!Z:Z,"Approved"),"")</f>
        <v/>
      </c>
      <c r="AQ351" s="105" t="str">
        <f>IF(A351&lt;&gt;"",COUNTIFS('QA Log'!D:D,A351,'QA Log'!M:M,"Data Verification",'QA Log'!L:L,"Consumable (section 3)",'QA Log'!Z:Z,"Approved"),"")</f>
        <v/>
      </c>
      <c r="AR351" s="105" t="str">
        <f>IF(A351&lt;&gt;"",COUNTIFS('QA Log'!D:D,A351,'QA Log'!M:M,"Data Verification",'QA Log'!L:L,"Equipments (section 4)",'QA Log'!Z:Z,"Approved"),"")</f>
        <v/>
      </c>
      <c r="AS351" s="102" t="str">
        <f>IF(A351="","",
SUM(
COUNTIFS('QA Log'!D:D,A351,'QA Log'!M:M,"Data Verification",'QA Log'!Z:Z,"Rejected",'QA Log'!L:L,"*Personnel (section 1)*"),
COUNTIFS('QA Log'!D:D,A351,'QA Log'!M:M,"Data Verification",'QA Log'!Z:Z,"Rejected",'QA Log'!L:L,"*Consumable (section 3)*"),
COUNTIFS('QA Log'!D:D,A351,'QA Log'!M:M,"Data Verification",'QA Log'!Z:Z,"Rejected",'QA Log'!L:L,"*Equipments (section 4)*")
))</f>
        <v/>
      </c>
      <c r="AT351" s="102" t="str">
        <f t="shared" si="33"/>
        <v/>
      </c>
      <c r="AU351" s="103" t="str">
        <f t="shared" si="34"/>
        <v/>
      </c>
      <c r="AV351" s="102" t="str">
        <f>IF(A351="","",SUM(
COUNTIFS('QA Log'!D:D,A351,'QA Log'!M:M,"Vignette",'QA Log'!L:L,"*Vignette [1] Respiratory Infection: Pneumonia*"),
COUNTIFS('QA Log'!D:D,A351,'QA Log'!M:M,"Vignette",'QA Log'!L:L,"*Vignette [2]: Diarrhea with Cat B dehydration*"),
COUNTIFS('QA Log'!D:D,A351,'QA Log'!M:M,"Vignette",'QA Log'!L:L,"*Vignette [3] Growth Monitoring and Promotion*"),
COUNTIFS('QA Log'!D:D,A351,'QA Log'!M:M,"Vignette",'QA Log'!L:L,"*Vignette [4]: The management of presumptive TB patient*")
)
)</f>
        <v/>
      </c>
      <c r="AW351" s="102" t="str">
        <f>IF(
  A351="","",
  SUM(
    COUNTIFS('QA Log'!D:D,A351,'QA Log'!M:M,"Vignette",'QA Log'!Z:Z,"Approved",'QA Log'!L:L,"*Vignette [1] Respiratory Infection: Pneumonia*"),
    COUNTIFS('QA Log'!D:D,A351,'QA Log'!M:M,"Vignette",'QA Log'!Z:Z,"Approved",'QA Log'!L:L,"*Vignette [2]: Diarrhea with Cat B dehydration*"),
    COUNTIFS('QA Log'!D:D,A351,'QA Log'!M:M,"Vignette",'QA Log'!Z:Z,"Approved",'QA Log'!L:L,"*Vignette [3] Growth Monitoring and Promotion*"),
    COUNTIFS('QA Log'!D:D,A351,'QA Log'!M:M,"Vignette",'QA Log'!Z:Z,"Approved",'QA Log'!L:L,"*Vignette [4]: The management of presumptive TB patient*")
  )
)</f>
        <v/>
      </c>
      <c r="AX351" s="105" t="str">
        <f>IF(A351&lt;&gt;"",COUNTIFS('QA Log'!D:D,A351,'QA Log'!M:M,"Vignette",'QA Log'!L:L,"Vignette [1] Respiratory Infection: Pneumonia",'QA Log'!Z:Z,"Approved"),"")</f>
        <v/>
      </c>
      <c r="AY351" s="105" t="str">
        <f>IF(A351&lt;&gt;"",COUNTIFS('QA Log'!D:D,A351,'QA Log'!M:M,"Vignette",'QA Log'!L:L,"Vignette [2]: Diarrhea with Cat B dehydration",'QA Log'!Z:Z,"Approved"),"")</f>
        <v/>
      </c>
      <c r="AZ351" s="105" t="str">
        <f>IF(A351&lt;&gt;"",COUNTIFS('QA Log'!D:D,A351,'QA Log'!M:M,"Vignette",'QA Log'!L:L,"Vignette [3] Growth Monitoring and Promotion",'QA Log'!Z:Z,"Approved"),"")</f>
        <v/>
      </c>
      <c r="BA351" s="105" t="str">
        <f>IF(A351&lt;&gt;"",COUNTIFS('QA Log'!D:D,A351,'QA Log'!M:M,"Vignette",'QA Log'!L:L,"Vignette [4]: The management of presumptive TB patient",'QA Log'!Z:Z,"Approved"),"")</f>
        <v/>
      </c>
      <c r="BB351" s="102" t="str">
        <f>IF(A351="","",
  SUM(
    COUNTIFS('QA Log'!D:D,A351,'QA Log'!M:M,"Vignette",'QA Log'!Z:Z,"Rejected",'QA Log'!L:L,"*Vignette [1] Respiratory Infection: Pneumonia*"),
    COUNTIFS('QA Log'!D:D,A351,'QA Log'!M:M,"Vignette",'QA Log'!Z:Z,"Rejected",'QA Log'!L:L,"*Vignette [2]: Diarrhea with Cat B dehydration*"),
    COUNTIFS('QA Log'!D:D,A351,'QA Log'!M:M,"Vignette",'QA Log'!Z:Z,"Rejected",'QA Log'!L:L,"*Vignette [3] Growth Monitoring and Promotion*"),
    COUNTIFS('QA Log'!D:D,A351,'QA Log'!M:M,"Vignette",'QA Log'!Z:Z,"Rejected",'QA Log'!L:L,"*Vignette [4]: The management of presumptive TB patient*")
  )
)</f>
        <v/>
      </c>
      <c r="BC351" s="107" t="str">
        <f t="shared" si="35"/>
        <v/>
      </c>
      <c r="BD351" s="103" t="str">
        <f t="shared" si="36"/>
        <v/>
      </c>
      <c r="BE351" s="102" t="str">
        <f>IF(A351="","",SUM(
COUNTIFS('QA Log'!D:D,A351,'QA Log'!M:M,"Vignette",'QA Log'!L:L,"*Vignette [5] Labor*"),
COUNTIFS('QA Log'!D:D,A351,'QA Log'!M:M,"Vignette",'QA Log'!L:L,"*Vignette [6] PNC pre Discharge*"),
COUNTIFS('QA Log'!D:D,A351,'QA Log'!M:M,"Vignette",'QA Log'!L:L,"*Vignette [7] First ANC Visit*"),
COUNTIFS('QA Log'!D:D,A351,'QA Log'!M:M,"Vignette",'QA Log'!L:L,"*Vignette [8] Birth Spacing/ Family Planning :  FP Counselling*"),
COUNTIFS('QA Log'!D:D,A351,'QA Log'!M:M,"Vignette",'QA Log'!L:L,"*Vignette [9] Birth Spacing: Change FP method to Injectable*"),
COUNTIFS('QA Log'!D:D,A351,'QA Log'!M:M,"Vignette",'QA Log'!L:L,"*Vignette [10] Post Partum Haemorrhage - Atonic Uterus at Health Centre*"),
)
)</f>
        <v/>
      </c>
      <c r="BF351" s="102" t="str">
        <f>IF(A351="","",
  SUM(
    COUNTIFS('QA Log'!D:D,A351,'QA Log'!M:M,"Vignette",'QA Log'!Z:Z,"Approved",'QA Log'!L:L,"*Vignette [5] Labor*"),
    COUNTIFS('QA Log'!D:D,A351,'QA Log'!M:M,"Vignette",'QA Log'!Z:Z,"Approved",'QA Log'!L:L,"*Vignette [6] PNC pre Discharge*"),
    COUNTIFS('QA Log'!D:D,A351,'QA Log'!M:M,"Vignette",'QA Log'!Z:Z,"Approved",'QA Log'!L:L,"*Vignette [7] First ANC Visit*"),
    COUNTIFS('QA Log'!D:D,A351,'QA Log'!M:M,"Vignette",'QA Log'!Z:Z,"Approved",'QA Log'!L:L,"*Vignette [8] Birth Spacing/ Family Planning :  FP Counselling*"),
    COUNTIFS('QA Log'!D:D,A351,'QA Log'!M:M,"Vignette",'QA Log'!Z:Z,"Approved",'QA Log'!L:L,"*Vignette [9] Birth Spacing: Change FP method to Injectable*"),
    COUNTIFS('QA Log'!D:D,A351,'QA Log'!M:M,"Vignette",'QA Log'!Z:Z,"Approved",'QA Log'!L:L,"*Vignette [10] Post Partum Haemorrhage - Atonic Uterus at Health Centre*")
  )
)</f>
        <v/>
      </c>
      <c r="BG351" s="105" t="str">
        <f>IF(A351&lt;&gt;"",COUNTIFS('QA Log'!D:D,A351,'QA Log'!M:M,"Vignette",'QA Log'!L:L,"Vignette [5] Labor",'QA Log'!Z:Z,"Approved"),"")</f>
        <v/>
      </c>
      <c r="BH351" s="105" t="str">
        <f>IF(A351&lt;&gt;"",COUNTIFS('QA Log'!D:D,A351,'QA Log'!M:M,"Vignette",'QA Log'!L:L,"Vignette [6] PNC pre Discharge",'QA Log'!Z:Z,"Approved"),"")</f>
        <v/>
      </c>
      <c r="BI351" s="105" t="str">
        <f>IF(A351&lt;&gt;"",COUNTIFS('QA Log'!D:D,A351,'QA Log'!M:M,"Vignette",'QA Log'!L:L,"Vignette [7] First ANC Visit",'QA Log'!Z:Z,"Approved"),"")</f>
        <v/>
      </c>
      <c r="BJ351" s="105" t="str">
        <f>IF(A351&lt;&gt;"",COUNTIFS('QA Log'!D:D,A351,'QA Log'!M:M,"Vignette",'QA Log'!L:L,"Vignette [8] Birth Spacing/ Family Planning :  FP Counselling",'QA Log'!Z:Z,"Approved"),"")</f>
        <v/>
      </c>
      <c r="BK351" s="105" t="str">
        <f>IF(A351&lt;&gt;"",COUNTIFS('QA Log'!D:D,A351,'QA Log'!M:M,"Vignette",'QA Log'!L:L,"Vignette [9] Birth Spacing: Change FP method to Injectable",'QA Log'!Z:Z,"Approved"),"")</f>
        <v/>
      </c>
      <c r="BL351" s="105" t="str">
        <f>IF(A351&lt;&gt;"",COUNTIFS('QA Log'!D:D,A351,'QA Log'!M:M,"Vignette",'QA Log'!L:L,"Vignette [10] Post Partum Haemorrhage - Atonic Uterus at Health Centre",'QA Log'!Z:Z,"Approved"),"")</f>
        <v/>
      </c>
      <c r="BM351" s="102" t="str">
        <f>IF(A351="","",SUM(
    COUNTIFS('QA Log'!D:D,A351,'QA Log'!M:M,"Vignette",'QA Log'!Z:Z,"Rejected",'QA Log'!L:L,"*Vignette [5] Labor*"),
    COUNTIFS('QA Log'!D:D,A351,'QA Log'!M:M,"Vignette",'QA Log'!Z:Z,"Rejected",'QA Log'!L:L,"*Vignette [6] PNC pre Discharge*"),
    COUNTIFS('QA Log'!D:D,A351,'QA Log'!M:M,"Vignette",'QA Log'!Z:Z,"Rejected",'QA Log'!L:L,"*Vignette [7] First ANC Visit*"),
    COUNTIFS('QA Log'!D:D,A351,'QA Log'!M:M,"Vignette",'QA Log'!Z:Z,"Rejected",'QA Log'!L:L,"*Vignette [8] Birth Spacing/ Family Planning :  FP Counselling*"),
    COUNTIFS('QA Log'!D:D,A351,'QA Log'!M:M,"Vignette",'QA Log'!Z:Z,"Rejected",'QA Log'!L:L,"*Vignette [9] Birth Spacing: Change FP method to Injectable*"),
    COUNTIFS('QA Log'!D:D,A351,'QA Log'!M:M,"Vignette",'QA Log'!Z:Z,"Rejected",'QA Log'!L:L,"*Vignette [10] Post Partum Haemorrhage - Atonic Uterus at Health Centre*")
  )
)</f>
        <v/>
      </c>
      <c r="BN351" s="107" t="str">
        <f t="shared" si="37"/>
        <v/>
      </c>
      <c r="BO351" s="103" t="str">
        <f t="shared" si="38"/>
        <v/>
      </c>
      <c r="BP351" s="102" t="str">
        <f>IF(A351="","",SUM(
COUNTIFS('QA Log'!D:D,A351,'QA Log'!M:M,"Vignette",'QA Log'!L:L,"*Exit Interview 1*"),
COUNTIFS('QA Log'!D:D,A351,'QA Log'!M:M,"Vignette",'QA Log'!L:L,"*Exit Interview 2*"),
)
)</f>
        <v/>
      </c>
      <c r="BQ351" s="102" t="str">
        <f>IF(
  A351="","",
  SUM(
    COUNTIFS('QA Log'!D:D,A351,'QA Log'!M:M,"Vignette",'QA Log'!Z:Z,"Approved",'QA Log'!L:L,"*Exit Interview 1*"),
    COUNTIFS('QA Log'!D:D,A351,'QA Log'!M:M,"Vignette",'QA Log'!Z:Z,"Approved",'QA Log'!L:L,"*Exit Interview 2*")
  )
)</f>
        <v/>
      </c>
      <c r="BR351" s="105" t="str">
        <f>IF(A351&lt;&gt;"",COUNTIFS('QA Log'!D:D,A351,'QA Log'!M:M,"Vignette",'QA Log'!L:L,"Exit Interview 1",'QA Log'!Z:Z,"Approved"),"")</f>
        <v/>
      </c>
      <c r="BS351" s="105" t="str">
        <f>IF(A351&lt;&gt;"",COUNTIFS('QA Log'!D:D,A351,'QA Log'!M:M,"Vignette",'QA Log'!L:L,"Exit Interview 2",'QA Log'!Z:Z,"Approved"),"")</f>
        <v/>
      </c>
      <c r="BT351" s="102" t="str">
        <f>IF(
  A351="","",
  SUM(
    COUNTIFS('QA Log'!D:D,A351,'QA Log'!M:M,"Vignette",'QA Log'!Z:Z,"Rejected",'QA Log'!L:L,"*Exit Interview 1*"),
    COUNTIFS('QA Log'!D:D,A351,'QA Log'!M:M,"Vignette",'QA Log'!Z:Z,"Rejected",'QA Log'!L:L,"*Exit Interview 2*")
  )
)</f>
        <v/>
      </c>
      <c r="BU351" s="107" t="str">
        <f t="shared" si="39"/>
        <v/>
      </c>
      <c r="BV351" s="102" t="str">
        <f t="shared" si="40"/>
        <v/>
      </c>
      <c r="BW351" s="102" t="str">
        <f t="shared" si="41"/>
        <v/>
      </c>
      <c r="BX351" s="102" t="str">
        <f t="shared" si="42"/>
        <v/>
      </c>
      <c r="BY351" s="102" t="str">
        <f t="shared" si="43"/>
        <v/>
      </c>
      <c r="BZ351" s="107" t="str">
        <f t="shared" si="44"/>
        <v/>
      </c>
      <c r="CA351" s="108" t="str">
        <f t="shared" si="45"/>
        <v/>
      </c>
      <c r="CB351" s="108" t="str">
        <f t="shared" si="46"/>
        <v/>
      </c>
      <c r="CC351" s="109" t="str">
        <f t="shared" si="47"/>
        <v/>
      </c>
      <c r="CD351" s="108" t="str">
        <f t="shared" si="48"/>
        <v/>
      </c>
      <c r="CE351" s="108" t="str">
        <f t="shared" si="49"/>
        <v/>
      </c>
      <c r="CF351" s="109" t="str">
        <f t="shared" si="50"/>
        <v/>
      </c>
      <c r="CG351" s="110" t="str">
        <f t="shared" si="51"/>
        <v/>
      </c>
      <c r="CH351" s="111"/>
    </row>
    <row r="352" spans="1:86" ht="12.75">
      <c r="A352" s="101"/>
      <c r="B352" s="102" t="e">
        <f t="array" aca="1" ref="B352" ca="1">_xludf.XLOOKUP(A352,'QA Log'!D:D,'QA Log'!E:E,"")</f>
        <v>#NAME?</v>
      </c>
      <c r="C352" s="102" t="e">
        <f t="array" aca="1" ref="C352" ca="1">_xludf.XLOOKUP(A352,'QA Log'!D:D,'QA Log'!F:F,"")</f>
        <v>#NAME?</v>
      </c>
      <c r="D352" s="102" t="e">
        <f t="array" aca="1" ref="D352" ca="1">_xludf.XLOOKUP(A352,'QA Log'!D:D,'QA Log'!H:H,"")</f>
        <v>#NAME?</v>
      </c>
      <c r="E352" s="102" t="e">
        <f t="array" aca="1" ref="E352" ca="1">_xludf.XLOOKUP(A352,'QA Log'!D:D,'QA Log'!G:G,"")</f>
        <v>#NAME?</v>
      </c>
      <c r="F352" s="103"/>
      <c r="G352" s="104"/>
      <c r="H352" s="104"/>
      <c r="I352" s="103" t="str">
        <f t="shared" si="26"/>
        <v/>
      </c>
      <c r="J352" s="102" t="str">
        <f>IF(A352="","",SUM(
COUNTIFS('QA Log'!D:D,A352,'QA Log'!M:M,"QQC",'QA Log'!L:L,"*1. General Management*"),
COUNTIFS('QA Log'!D:D,A352,'QA Log'!M:M,"QQC",'QA Log'!L:L,"*3. Curative Consultation (OPD)*"),
COUNTIFS('QA Log'!D:D,A352,'QA Log'!M:M,"QQC",'QA Log'!L:L,"*5. Laboratory*"),
COUNTIFS('QA Log'!D:D,A352,'QA Log'!M:M,"QQC",'QA Log'!L:L,"*6. Essential Medicine Management*"),
COUNTIFS('QA Log'!D:D,A352,'QA Log'!M:M,"QQC",'QA Log'!L:L,"*7. Tracer Medicine*"),
COUNTIFS('QA Log'!D:D,A352,'QA Log'!M:M,"QQC",'QA Log'!L:L,"*11. Additional Questions*")))</f>
        <v/>
      </c>
      <c r="K352" s="102" t="str">
        <f>IF(A352="","",SUM(
COUNTIFS('QA Log'!D:D,A352,'QA Log'!M:M,"QQC",'QA Log'!Z:Z,"Approved",'QA Log'!L:L,"*1. General Management*"),
COUNTIFS('QA Log'!D:D,A352,'QA Log'!M:M,"QQC",'QA Log'!Z:Z,"Approved",'QA Log'!L:L,"*3. Curative Consultation (OPD)*"),
COUNTIFS('QA Log'!D:D,A352,'QA Log'!M:M,"QQC",'QA Log'!Z:Z,"Approved",'QA Log'!L:L,"*5. Laboratory*"),
COUNTIFS('QA Log'!D:D,A352,'QA Log'!M:M,"QQC",'QA Log'!Z:Z,"Approved",'QA Log'!L:L,"*6. Essential Medicine Management*"),
COUNTIFS('QA Log'!D:D,A352,'QA Log'!M:M,"QQC",'QA Log'!Z:Z,"Approved",'QA Log'!L:L,"*7. Tracer Medicine*"),
COUNTIFS('QA Log'!D:D,A352,'QA Log'!M:M,"QQC",'QA Log'!Z:Z,"Approved",'QA Log'!L:L,"*11. Additional Questions*")))</f>
        <v/>
      </c>
      <c r="L352" s="105" t="str">
        <f>IF(A352&lt;&gt;"",COUNTIFS('QA Log'!D:D,A352,'QA Log'!M:M,"QQC",'QA Log'!L:L,"1. General Management",'QA Log'!Z:Z,"Approved"),"")</f>
        <v/>
      </c>
      <c r="M352" s="105" t="str">
        <f>IF(A352&lt;&gt;"",COUNTIFS('QA Log'!D:D,A352,'QA Log'!M:M,"QQC",'QA Log'!L:L,"3. Curative Consultation (OPD)",'QA Log'!Z:Z,"Approved"),"")</f>
        <v/>
      </c>
      <c r="N352" s="105" t="str">
        <f>IF(A352&lt;&gt;"",COUNTIFS('QA Log'!D:D,A352,'QA Log'!M:M,"QQC",'QA Log'!L:L,"5. Laboratory",'QA Log'!Z:Z,"Approved"),"")</f>
        <v/>
      </c>
      <c r="O352" s="105" t="str">
        <f>IF(A352&lt;&gt;"",COUNTIFS('QA Log'!D:D,A352,'QA Log'!M:M,"QQC",'QA Log'!L:L,"6. Essential Medicine Management",'QA Log'!Z:Z,"Approved"),"")</f>
        <v/>
      </c>
      <c r="P352" s="105" t="str">
        <f>IF(A352&lt;&gt;"",COUNTIFS('QA Log'!D:D,A352,'QA Log'!M:M,"QQC",'QA Log'!L:L,"7. Tracer Medicine",'QA Log'!Z:Z,"Approved"),"")</f>
        <v/>
      </c>
      <c r="Q352" s="105" t="str">
        <f>IF(A352&lt;&gt;"",COUNTIFS('QA Log'!D:D,A352,'QA Log'!M:M,"QQC",'QA Log'!L:L,"11. Additional Questions",'QA Log'!Z:Z,"Approved"),"")</f>
        <v/>
      </c>
      <c r="R352" s="102" t="str">
        <f>IF(A352="","",SUM(
COUNTIFS('QA Log'!D:D,A352,'QA Log'!M:M,"QQC",'QA Log'!Z:Z,"Rejected",'QA Log'!L:L,"*8. Maternity*"),
COUNTIFS('QA Log'!D:D,A352,'QA Log'!M:M,"QQC",'QA Log'!Z:Z,"Rejected",'QA Log'!L:L,"*EPI*"),
COUNTIFS('QA Log'!D:D,A352,'QA Log'!M:M,"QQC",'QA Log'!Z:Z,"Rejected",'QA Log'!L:L,"*10. Antenatal Care (ANC)*"),
COUNTIFS('QA Log'!D:D,A352,'QA Log'!M:M,"QQC",'QA Log'!Z:Z,"Rejected",'QA Log'!L:L,"*2. Hygiene and Sterilization*"),
COUNTIFS('QA Log'!D:D,A352,'QA Log'!M:M,"QQC",'QA Log'!Z:Z,"Rejected",'QA Log'!L:L,"*Family Planning*")))</f>
        <v/>
      </c>
      <c r="S352" s="106" t="str">
        <f t="shared" si="27"/>
        <v/>
      </c>
      <c r="T352" s="102" t="str">
        <f t="shared" si="28"/>
        <v/>
      </c>
      <c r="U352" s="102" t="str">
        <f>IF(A352="","",
SUM(
COUNTIFS('QA Log'!D:D,A352,'QA Log'!M:M,"QQC",'QA Log'!L:L,"*8. Maternity*"),
COUNTIFS('QA Log'!D:D,A352,'QA Log'!M:M,"QQC",'QA Log'!L:L,"*9. EPI and Pre-school Consultation*"),
COUNTIFS('QA Log'!D:D,A352,'QA Log'!M:M,"QQC",'QA Log'!L:L,"*10. Antenatal Care (ANC)*"),
COUNTIFS('QA Log'!D:D,A352,'QA Log'!M:M,"QQC",'QA Log'!L:L,"*2. Hygiene and Sterilization*"),
COUNTIFS('QA Log'!D:D,A352,'QA Log'!M:M,"QQC",'QA Log'!L:L,"*4. Family Planning*")
))</f>
        <v/>
      </c>
      <c r="V352" s="102" t="str">
        <f>IF(A352="","",
SUM(
COUNTIFS('QA Log'!D:D,A352,'QA Log'!M:M,"QQC",'QA Log'!Z:Z,"Approved",'QA Log'!L:L,"*8. Maternity*"),
COUNTIFS('QA Log'!D:D,A352,'QA Log'!M:M,"QQC",'QA Log'!Z:Z,"Approved",'QA Log'!L:L,"*9. EPI and Pre-school Consultation*"),
COUNTIFS('QA Log'!D:D,A352,'QA Log'!M:M,"QQC",'QA Log'!Z:Z,"Approved",'QA Log'!L:L,"*10. Antenatal Care (ANC)*"),
COUNTIFS('QA Log'!D:D,A352,'QA Log'!M:M,"QQC",'QA Log'!Z:Z,"Approved",'QA Log'!L:L,"*2. Hygiene and Sterilization*"),
COUNTIFS('QA Log'!D:D,A352,'QA Log'!M:M,"QQC",'QA Log'!Z:Z,"Approved",'QA Log'!L:L,"*4. Family Planning*")
))</f>
        <v/>
      </c>
      <c r="W352" s="105" t="str">
        <f>IF(A352&lt;&gt;"",COUNTIFS('QA Log'!D:D,A352,'QA Log'!M:M,"QQC",'QA Log'!L:L,"8. Maternity",'QA Log'!Z:Z,"Approved"),"")</f>
        <v/>
      </c>
      <c r="X352" s="105" t="str">
        <f>IF(A352&lt;&gt;"",COUNTIFS('QA Log'!D:D,A352,'QA Log'!M:M,"QQC",'QA Log'!L:L,"9. EPI and Pre-school Consultation",'QA Log'!Z:Z,"Approved"),"")</f>
        <v/>
      </c>
      <c r="Y352" s="105" t="str">
        <f>IF(A352&lt;&gt;"",COUNTIFS('QA Log'!D:D,A352,'QA Log'!M:M,"QQC",'QA Log'!L:L,"10. Antenatal Care (ANC)",'QA Log'!Z:Z,"Approved"),"")</f>
        <v/>
      </c>
      <c r="Z352" s="105" t="str">
        <f>IF(A352&lt;&gt;"",COUNTIFS('QA Log'!D:D,A352,'QA Log'!M:M,"QQC",'QA Log'!L:L,"2. Hygiene and Sterilization",'QA Log'!Z:Z,"Approved"),"")</f>
        <v/>
      </c>
      <c r="AA352" s="105" t="str">
        <f>IF(A352&lt;&gt;"",COUNTIFS('QA Log'!D:D,A352,'QA Log'!M:M,"QQC",'QA Log'!L:L,"4. Family Planning",'QA Log'!Z:Z,"Approved"),"")</f>
        <v/>
      </c>
      <c r="AB352" s="102" t="str">
        <f>IF(A352="","",
SUM(
COUNTIFS('QA Log'!D:D,A352,'QA Log'!M:M,"QQC",'QA Log'!Z:Z,"Rejected",'QA Log'!L:L,"*8. Maternity*"),
COUNTIFS('QA Log'!D:D,A352,'QA Log'!M:M,"QQC",'QA Log'!Z:Z,"Rejected",'QA Log'!L:L,"*9. EPI and Pre-school Consultation*"),
COUNTIFS('QA Log'!D:D,A352,'QA Log'!M:M,"QQC",'QA Log'!Z:Z,"Rejected",'QA Log'!L:L,"*10. Antenatal Care (ANC)*"),
COUNTIFS('QA Log'!D:D,A352,'QA Log'!M:M,"QQC",'QA Log'!Z:Z,"Rejected",'QA Log'!L:L,"*2. Hygiene and Sterilization*"),
COUNTIFS('QA Log'!D:D,A352,'QA Log'!M:M,"QQC",'QA Log'!Z:Z,"Rejected",'QA Log'!L:L,"*4. Family Planning*")
))</f>
        <v/>
      </c>
      <c r="AC352" s="102" t="str">
        <f t="shared" si="29"/>
        <v/>
      </c>
      <c r="AD352" s="103" t="str">
        <f t="shared" si="30"/>
        <v/>
      </c>
      <c r="AE352" s="102" t="str">
        <f>IF(A352="","",
SUM(
COUNTIFS('QA Log'!D:D,A352,'QA Log'!M:M,"Data Verification",'QA Log'!L:L,"*Medicine (section 2)*"),
COUNTIFS('QA Log'!D:D,A352,'QA Log'!M:M,"Data Verification",'QA Log'!L:L,"*Lab Testing Availability*"),
COUNTIFS('QA Log'!D:D,A352,'QA Log'!M:M,"Data Verification",'QA Log'!L:L,"*Other than P4P (section 6)*"),
COUNTIFS('QA Log'!D:D,A352,'QA Log'!M:M,"Data Verification",'QA Log'!L:L,"*Hospital Governance*")
))</f>
        <v/>
      </c>
      <c r="AF352" s="102" t="str">
        <f>IF(A352="","",
SUM(
COUNTIFS('QA Log'!D:D,A352,'QA Log'!M:M,"Data Verification",'QA Log'!Z:Z,"Approved",'QA Log'!L:L,"*Medicine (section 2)*"),
COUNTIFS('QA Log'!D:D,A352,'QA Log'!M:M,"Data Verification",'QA Log'!Z:Z,"Approved",'QA Log'!L:L,"*Lab Testing Availability*"),
COUNTIFS('QA Log'!D:D,A352,'QA Log'!M:M,"Data Verification",'QA Log'!Z:Z,"Approved",'QA Log'!L:L,"*Other than P4P (section 6)*"),
COUNTIFS('QA Log'!D:D,A352,'QA Log'!M:M,"Data Verification",'QA Log'!Z:Z,"Approved",'QA Log'!L:L,"*Hospital Governance*")
))</f>
        <v/>
      </c>
      <c r="AG352" s="105" t="str">
        <f>IF(A352&lt;&gt;"",COUNTIFS('QA Log'!D:D,A352,'QA Log'!M:M,"Data Verification",'QA Log'!L:L,"Medicine (section 2)",'QA Log'!Z:Z,"Approved"),"")</f>
        <v/>
      </c>
      <c r="AH352" s="105" t="str">
        <f>IF(A352&lt;&gt;"",COUNTIFS('QA Log'!D:D,A352,'QA Log'!M:M,"Data Verification",'QA Log'!L:L,"Lab Testing Availability",'QA Log'!Z:Z,"Approved"),"")</f>
        <v/>
      </c>
      <c r="AI352" s="105" t="str">
        <f>IF(A352&lt;&gt;"",COUNTIFS('QA Log'!D:D,A352,'QA Log'!M:M,"Data Verification",'QA Log'!L:L,"Other than P4P (section 6)",'QA Log'!Z:Z,"Approved"),"")</f>
        <v/>
      </c>
      <c r="AJ352" s="105" t="str">
        <f>IF(A352&lt;&gt;"",COUNTIFS('QA Log'!D:D,A352,'QA Log'!M:M,"Data Verification",'QA Log'!L:L,"Hospital Governance",'QA Log'!Z:Z,"Approved"),"")</f>
        <v/>
      </c>
      <c r="AK352" s="102" t="str">
        <f>IF(A352="","",
SUM(
COUNTIFS('QA Log'!D:D,A352,'QA Log'!M:M,"Data Verification",'QA Log'!Z:Z,"Rejected",'QA Log'!L:L,"*Medicine (section 2)*"),
COUNTIFS('QA Log'!D:D,A352,'QA Log'!M:M,"Data Verification",'QA Log'!Z:Z,"Rejected",'QA Log'!L:L,"*Lab Testing Availability*"),
COUNTIFS('QA Log'!D:D,A352,'QA Log'!M:M,"Data Verification",'QA Log'!Z:Z,"Rejected",'QA Log'!L:L,"*Other than P4P (section 6)*"),
COUNTIFS('QA Log'!D:D,A352,'QA Log'!M:M,"Data Verification",'QA Log'!Z:Z,"Rejected",'QA Log'!L:L,"*Hospital Governance*")
))</f>
        <v/>
      </c>
      <c r="AL352" s="106" t="str">
        <f t="shared" si="31"/>
        <v/>
      </c>
      <c r="AM352" s="102" t="str">
        <f t="shared" si="32"/>
        <v/>
      </c>
      <c r="AN352" s="102" t="str">
        <f>IF(A352="","",
SUM(
COUNTIFS('QA Log'!D:D,A352,'QA Log'!M:M,"Data Verification",'QA Log'!L:L,"*Personnel (section 1)*"),
COUNTIFS('QA Log'!D:D,A352,'QA Log'!M:M,"Data Verification",'QA Log'!L:L,"*Consumable (section 3)*"),
COUNTIFS('QA Log'!D:D,A352,'QA Log'!M:M,"Data Verification",'QA Log'!L:L,"*Equipments (section 4)*")
))</f>
        <v/>
      </c>
      <c r="AO352" s="102" t="str">
        <f>IF(A352="","",
SUM(
COUNTIFS('QA Log'!D:D,A352,'QA Log'!M:M,"Data Verification",'QA Log'!Z:Z,"Approved",'QA Log'!L:L,"*Personnel (section 1)*"),
COUNTIFS('QA Log'!D:D,A352,'QA Log'!M:M,"Data Verification",'QA Log'!Z:Z,"Approved",'QA Log'!L:L,"*Consumable (section 3)*"),
COUNTIFS('QA Log'!D:D,A352,'QA Log'!M:M,"Data Verification",'QA Log'!Z:Z,"Approved",'QA Log'!L:L,"*Equipments (section 4)*")
))</f>
        <v/>
      </c>
      <c r="AP352" s="105" t="str">
        <f>IF(A352&lt;&gt;"",COUNTIFS('QA Log'!D:D,A352,'QA Log'!M:M,"Data Verification",'QA Log'!L:L,"Personnel (section 1)",'QA Log'!Z:Z,"Approved"),"")</f>
        <v/>
      </c>
      <c r="AQ352" s="105" t="str">
        <f>IF(A352&lt;&gt;"",COUNTIFS('QA Log'!D:D,A352,'QA Log'!M:M,"Data Verification",'QA Log'!L:L,"Consumable (section 3)",'QA Log'!Z:Z,"Approved"),"")</f>
        <v/>
      </c>
      <c r="AR352" s="105" t="str">
        <f>IF(A352&lt;&gt;"",COUNTIFS('QA Log'!D:D,A352,'QA Log'!M:M,"Data Verification",'QA Log'!L:L,"Equipments (section 4)",'QA Log'!Z:Z,"Approved"),"")</f>
        <v/>
      </c>
      <c r="AS352" s="102" t="str">
        <f>IF(A352="","",
SUM(
COUNTIFS('QA Log'!D:D,A352,'QA Log'!M:M,"Data Verification",'QA Log'!Z:Z,"Rejected",'QA Log'!L:L,"*Personnel (section 1)*"),
COUNTIFS('QA Log'!D:D,A352,'QA Log'!M:M,"Data Verification",'QA Log'!Z:Z,"Rejected",'QA Log'!L:L,"*Consumable (section 3)*"),
COUNTIFS('QA Log'!D:D,A352,'QA Log'!M:M,"Data Verification",'QA Log'!Z:Z,"Rejected",'QA Log'!L:L,"*Equipments (section 4)*")
))</f>
        <v/>
      </c>
      <c r="AT352" s="102" t="str">
        <f t="shared" si="33"/>
        <v/>
      </c>
      <c r="AU352" s="103" t="str">
        <f t="shared" si="34"/>
        <v/>
      </c>
      <c r="AV352" s="102" t="str">
        <f>IF(A352="","",SUM(
COUNTIFS('QA Log'!D:D,A352,'QA Log'!M:M,"Vignette",'QA Log'!L:L,"*Vignette [1] Respiratory Infection: Pneumonia*"),
COUNTIFS('QA Log'!D:D,A352,'QA Log'!M:M,"Vignette",'QA Log'!L:L,"*Vignette [2]: Diarrhea with Cat B dehydration*"),
COUNTIFS('QA Log'!D:D,A352,'QA Log'!M:M,"Vignette",'QA Log'!L:L,"*Vignette [3] Growth Monitoring and Promotion*"),
COUNTIFS('QA Log'!D:D,A352,'QA Log'!M:M,"Vignette",'QA Log'!L:L,"*Vignette [4]: The management of presumptive TB patient*")
)
)</f>
        <v/>
      </c>
      <c r="AW352" s="102" t="str">
        <f>IF(
  A352="","",
  SUM(
    COUNTIFS('QA Log'!D:D,A352,'QA Log'!M:M,"Vignette",'QA Log'!Z:Z,"Approved",'QA Log'!L:L,"*Vignette [1] Respiratory Infection: Pneumonia*"),
    COUNTIFS('QA Log'!D:D,A352,'QA Log'!M:M,"Vignette",'QA Log'!Z:Z,"Approved",'QA Log'!L:L,"*Vignette [2]: Diarrhea with Cat B dehydration*"),
    COUNTIFS('QA Log'!D:D,A352,'QA Log'!M:M,"Vignette",'QA Log'!Z:Z,"Approved",'QA Log'!L:L,"*Vignette [3] Growth Monitoring and Promotion*"),
    COUNTIFS('QA Log'!D:D,A352,'QA Log'!M:M,"Vignette",'QA Log'!Z:Z,"Approved",'QA Log'!L:L,"*Vignette [4]: The management of presumptive TB patient*")
  )
)</f>
        <v/>
      </c>
      <c r="AX352" s="105" t="str">
        <f>IF(A352&lt;&gt;"",COUNTIFS('QA Log'!D:D,A352,'QA Log'!M:M,"Vignette",'QA Log'!L:L,"Vignette [1] Respiratory Infection: Pneumonia",'QA Log'!Z:Z,"Approved"),"")</f>
        <v/>
      </c>
      <c r="AY352" s="105" t="str">
        <f>IF(A352&lt;&gt;"",COUNTIFS('QA Log'!D:D,A352,'QA Log'!M:M,"Vignette",'QA Log'!L:L,"Vignette [2]: Diarrhea with Cat B dehydration",'QA Log'!Z:Z,"Approved"),"")</f>
        <v/>
      </c>
      <c r="AZ352" s="105" t="str">
        <f>IF(A352&lt;&gt;"",COUNTIFS('QA Log'!D:D,A352,'QA Log'!M:M,"Vignette",'QA Log'!L:L,"Vignette [3] Growth Monitoring and Promotion",'QA Log'!Z:Z,"Approved"),"")</f>
        <v/>
      </c>
      <c r="BA352" s="105" t="str">
        <f>IF(A352&lt;&gt;"",COUNTIFS('QA Log'!D:D,A352,'QA Log'!M:M,"Vignette",'QA Log'!L:L,"Vignette [4]: The management of presumptive TB patient",'QA Log'!Z:Z,"Approved"),"")</f>
        <v/>
      </c>
      <c r="BB352" s="102" t="str">
        <f>IF(A352="","",
  SUM(
    COUNTIFS('QA Log'!D:D,A352,'QA Log'!M:M,"Vignette",'QA Log'!Z:Z,"Rejected",'QA Log'!L:L,"*Vignette [1] Respiratory Infection: Pneumonia*"),
    COUNTIFS('QA Log'!D:D,A352,'QA Log'!M:M,"Vignette",'QA Log'!Z:Z,"Rejected",'QA Log'!L:L,"*Vignette [2]: Diarrhea with Cat B dehydration*"),
    COUNTIFS('QA Log'!D:D,A352,'QA Log'!M:M,"Vignette",'QA Log'!Z:Z,"Rejected",'QA Log'!L:L,"*Vignette [3] Growth Monitoring and Promotion*"),
    COUNTIFS('QA Log'!D:D,A352,'QA Log'!M:M,"Vignette",'QA Log'!Z:Z,"Rejected",'QA Log'!L:L,"*Vignette [4]: The management of presumptive TB patient*")
  )
)</f>
        <v/>
      </c>
      <c r="BC352" s="107" t="str">
        <f t="shared" si="35"/>
        <v/>
      </c>
      <c r="BD352" s="103" t="str">
        <f t="shared" si="36"/>
        <v/>
      </c>
      <c r="BE352" s="102" t="str">
        <f>IF(A352="","",SUM(
COUNTIFS('QA Log'!D:D,A352,'QA Log'!M:M,"Vignette",'QA Log'!L:L,"*Vignette [5] Labor*"),
COUNTIFS('QA Log'!D:D,A352,'QA Log'!M:M,"Vignette",'QA Log'!L:L,"*Vignette [6] PNC pre Discharge*"),
COUNTIFS('QA Log'!D:D,A352,'QA Log'!M:M,"Vignette",'QA Log'!L:L,"*Vignette [7] First ANC Visit*"),
COUNTIFS('QA Log'!D:D,A352,'QA Log'!M:M,"Vignette",'QA Log'!L:L,"*Vignette [8] Birth Spacing/ Family Planning :  FP Counselling*"),
COUNTIFS('QA Log'!D:D,A352,'QA Log'!M:M,"Vignette",'QA Log'!L:L,"*Vignette [9] Birth Spacing: Change FP method to Injectable*"),
COUNTIFS('QA Log'!D:D,A352,'QA Log'!M:M,"Vignette",'QA Log'!L:L,"*Vignette [10] Post Partum Haemorrhage - Atonic Uterus at Health Centre*"),
)
)</f>
        <v/>
      </c>
      <c r="BF352" s="102" t="str">
        <f>IF(A352="","",
  SUM(
    COUNTIFS('QA Log'!D:D,A352,'QA Log'!M:M,"Vignette",'QA Log'!Z:Z,"Approved",'QA Log'!L:L,"*Vignette [5] Labor*"),
    COUNTIFS('QA Log'!D:D,A352,'QA Log'!M:M,"Vignette",'QA Log'!Z:Z,"Approved",'QA Log'!L:L,"*Vignette [6] PNC pre Discharge*"),
    COUNTIFS('QA Log'!D:D,A352,'QA Log'!M:M,"Vignette",'QA Log'!Z:Z,"Approved",'QA Log'!L:L,"*Vignette [7] First ANC Visit*"),
    COUNTIFS('QA Log'!D:D,A352,'QA Log'!M:M,"Vignette",'QA Log'!Z:Z,"Approved",'QA Log'!L:L,"*Vignette [8] Birth Spacing/ Family Planning :  FP Counselling*"),
    COUNTIFS('QA Log'!D:D,A352,'QA Log'!M:M,"Vignette",'QA Log'!Z:Z,"Approved",'QA Log'!L:L,"*Vignette [9] Birth Spacing: Change FP method to Injectable*"),
    COUNTIFS('QA Log'!D:D,A352,'QA Log'!M:M,"Vignette",'QA Log'!Z:Z,"Approved",'QA Log'!L:L,"*Vignette [10] Post Partum Haemorrhage - Atonic Uterus at Health Centre*")
  )
)</f>
        <v/>
      </c>
      <c r="BG352" s="105" t="str">
        <f>IF(A352&lt;&gt;"",COUNTIFS('QA Log'!D:D,A352,'QA Log'!M:M,"Vignette",'QA Log'!L:L,"Vignette [5] Labor",'QA Log'!Z:Z,"Approved"),"")</f>
        <v/>
      </c>
      <c r="BH352" s="105" t="str">
        <f>IF(A352&lt;&gt;"",COUNTIFS('QA Log'!D:D,A352,'QA Log'!M:M,"Vignette",'QA Log'!L:L,"Vignette [6] PNC pre Discharge",'QA Log'!Z:Z,"Approved"),"")</f>
        <v/>
      </c>
      <c r="BI352" s="105" t="str">
        <f>IF(A352&lt;&gt;"",COUNTIFS('QA Log'!D:D,A352,'QA Log'!M:M,"Vignette",'QA Log'!L:L,"Vignette [7] First ANC Visit",'QA Log'!Z:Z,"Approved"),"")</f>
        <v/>
      </c>
      <c r="BJ352" s="105" t="str">
        <f>IF(A352&lt;&gt;"",COUNTIFS('QA Log'!D:D,A352,'QA Log'!M:M,"Vignette",'QA Log'!L:L,"Vignette [8] Birth Spacing/ Family Planning :  FP Counselling",'QA Log'!Z:Z,"Approved"),"")</f>
        <v/>
      </c>
      <c r="BK352" s="105" t="str">
        <f>IF(A352&lt;&gt;"",COUNTIFS('QA Log'!D:D,A352,'QA Log'!M:M,"Vignette",'QA Log'!L:L,"Vignette [9] Birth Spacing: Change FP method to Injectable",'QA Log'!Z:Z,"Approved"),"")</f>
        <v/>
      </c>
      <c r="BL352" s="105" t="str">
        <f>IF(A352&lt;&gt;"",COUNTIFS('QA Log'!D:D,A352,'QA Log'!M:M,"Vignette",'QA Log'!L:L,"Vignette [10] Post Partum Haemorrhage - Atonic Uterus at Health Centre",'QA Log'!Z:Z,"Approved"),"")</f>
        <v/>
      </c>
      <c r="BM352" s="102" t="str">
        <f>IF(A352="","",SUM(
    COUNTIFS('QA Log'!D:D,A352,'QA Log'!M:M,"Vignette",'QA Log'!Z:Z,"Rejected",'QA Log'!L:L,"*Vignette [5] Labor*"),
    COUNTIFS('QA Log'!D:D,A352,'QA Log'!M:M,"Vignette",'QA Log'!Z:Z,"Rejected",'QA Log'!L:L,"*Vignette [6] PNC pre Discharge*"),
    COUNTIFS('QA Log'!D:D,A352,'QA Log'!M:M,"Vignette",'QA Log'!Z:Z,"Rejected",'QA Log'!L:L,"*Vignette [7] First ANC Visit*"),
    COUNTIFS('QA Log'!D:D,A352,'QA Log'!M:M,"Vignette",'QA Log'!Z:Z,"Rejected",'QA Log'!L:L,"*Vignette [8] Birth Spacing/ Family Planning :  FP Counselling*"),
    COUNTIFS('QA Log'!D:D,A352,'QA Log'!M:M,"Vignette",'QA Log'!Z:Z,"Rejected",'QA Log'!L:L,"*Vignette [9] Birth Spacing: Change FP method to Injectable*"),
    COUNTIFS('QA Log'!D:D,A352,'QA Log'!M:M,"Vignette",'QA Log'!Z:Z,"Rejected",'QA Log'!L:L,"*Vignette [10] Post Partum Haemorrhage - Atonic Uterus at Health Centre*")
  )
)</f>
        <v/>
      </c>
      <c r="BN352" s="107" t="str">
        <f t="shared" si="37"/>
        <v/>
      </c>
      <c r="BO352" s="103" t="str">
        <f t="shared" si="38"/>
        <v/>
      </c>
      <c r="BP352" s="102" t="str">
        <f>IF(A352="","",SUM(
COUNTIFS('QA Log'!D:D,A352,'QA Log'!M:M,"Vignette",'QA Log'!L:L,"*Exit Interview 1*"),
COUNTIFS('QA Log'!D:D,A352,'QA Log'!M:M,"Vignette",'QA Log'!L:L,"*Exit Interview 2*"),
)
)</f>
        <v/>
      </c>
      <c r="BQ352" s="102" t="str">
        <f>IF(
  A352="","",
  SUM(
    COUNTIFS('QA Log'!D:D,A352,'QA Log'!M:M,"Vignette",'QA Log'!Z:Z,"Approved",'QA Log'!L:L,"*Exit Interview 1*"),
    COUNTIFS('QA Log'!D:D,A352,'QA Log'!M:M,"Vignette",'QA Log'!Z:Z,"Approved",'QA Log'!L:L,"*Exit Interview 2*")
  )
)</f>
        <v/>
      </c>
      <c r="BR352" s="105" t="str">
        <f>IF(A352&lt;&gt;"",COUNTIFS('QA Log'!D:D,A352,'QA Log'!M:M,"Vignette",'QA Log'!L:L,"Exit Interview 1",'QA Log'!Z:Z,"Approved"),"")</f>
        <v/>
      </c>
      <c r="BS352" s="105" t="str">
        <f>IF(A352&lt;&gt;"",COUNTIFS('QA Log'!D:D,A352,'QA Log'!M:M,"Vignette",'QA Log'!L:L,"Exit Interview 2",'QA Log'!Z:Z,"Approved"),"")</f>
        <v/>
      </c>
      <c r="BT352" s="102" t="str">
        <f>IF(
  A352="","",
  SUM(
    COUNTIFS('QA Log'!D:D,A352,'QA Log'!M:M,"Vignette",'QA Log'!Z:Z,"Rejected",'QA Log'!L:L,"*Exit Interview 1*"),
    COUNTIFS('QA Log'!D:D,A352,'QA Log'!M:M,"Vignette",'QA Log'!Z:Z,"Rejected",'QA Log'!L:L,"*Exit Interview 2*")
  )
)</f>
        <v/>
      </c>
      <c r="BU352" s="107" t="str">
        <f t="shared" si="39"/>
        <v/>
      </c>
      <c r="BV352" s="102" t="str">
        <f t="shared" si="40"/>
        <v/>
      </c>
      <c r="BW352" s="102" t="str">
        <f t="shared" si="41"/>
        <v/>
      </c>
      <c r="BX352" s="102" t="str">
        <f t="shared" si="42"/>
        <v/>
      </c>
      <c r="BY352" s="102" t="str">
        <f t="shared" si="43"/>
        <v/>
      </c>
      <c r="BZ352" s="107" t="str">
        <f t="shared" si="44"/>
        <v/>
      </c>
      <c r="CA352" s="108" t="str">
        <f t="shared" si="45"/>
        <v/>
      </c>
      <c r="CB352" s="108" t="str">
        <f t="shared" si="46"/>
        <v/>
      </c>
      <c r="CC352" s="109" t="str">
        <f t="shared" si="47"/>
        <v/>
      </c>
      <c r="CD352" s="108" t="str">
        <f t="shared" si="48"/>
        <v/>
      </c>
      <c r="CE352" s="108" t="str">
        <f t="shared" si="49"/>
        <v/>
      </c>
      <c r="CF352" s="109" t="str">
        <f t="shared" si="50"/>
        <v/>
      </c>
      <c r="CG352" s="110" t="str">
        <f t="shared" si="51"/>
        <v/>
      </c>
      <c r="CH352" s="111"/>
    </row>
    <row r="353" spans="1:86" ht="12.75">
      <c r="A353" s="101"/>
      <c r="B353" s="102" t="e">
        <f t="array" aca="1" ref="B353" ca="1">_xludf.XLOOKUP(A353,'QA Log'!D:D,'QA Log'!E:E,"")</f>
        <v>#NAME?</v>
      </c>
      <c r="C353" s="102" t="e">
        <f t="array" aca="1" ref="C353" ca="1">_xludf.XLOOKUP(A353,'QA Log'!D:D,'QA Log'!F:F,"")</f>
        <v>#NAME?</v>
      </c>
      <c r="D353" s="102" t="e">
        <f t="array" aca="1" ref="D353" ca="1">_xludf.XLOOKUP(A353,'QA Log'!D:D,'QA Log'!H:H,"")</f>
        <v>#NAME?</v>
      </c>
      <c r="E353" s="102" t="e">
        <f t="array" aca="1" ref="E353" ca="1">_xludf.XLOOKUP(A353,'QA Log'!D:D,'QA Log'!G:G,"")</f>
        <v>#NAME?</v>
      </c>
      <c r="F353" s="103"/>
      <c r="G353" s="104"/>
      <c r="H353" s="104"/>
      <c r="I353" s="103" t="str">
        <f t="shared" si="26"/>
        <v/>
      </c>
      <c r="J353" s="102" t="str">
        <f>IF(A353="","",SUM(
COUNTIFS('QA Log'!D:D,A353,'QA Log'!M:M,"QQC",'QA Log'!L:L,"*1. General Management*"),
COUNTIFS('QA Log'!D:D,A353,'QA Log'!M:M,"QQC",'QA Log'!L:L,"*3. Curative Consultation (OPD)*"),
COUNTIFS('QA Log'!D:D,A353,'QA Log'!M:M,"QQC",'QA Log'!L:L,"*5. Laboratory*"),
COUNTIFS('QA Log'!D:D,A353,'QA Log'!M:M,"QQC",'QA Log'!L:L,"*6. Essential Medicine Management*"),
COUNTIFS('QA Log'!D:D,A353,'QA Log'!M:M,"QQC",'QA Log'!L:L,"*7. Tracer Medicine*"),
COUNTIFS('QA Log'!D:D,A353,'QA Log'!M:M,"QQC",'QA Log'!L:L,"*11. Additional Questions*")))</f>
        <v/>
      </c>
      <c r="K353" s="102" t="str">
        <f>IF(A353="","",SUM(
COUNTIFS('QA Log'!D:D,A353,'QA Log'!M:M,"QQC",'QA Log'!Z:Z,"Approved",'QA Log'!L:L,"*1. General Management*"),
COUNTIFS('QA Log'!D:D,A353,'QA Log'!M:M,"QQC",'QA Log'!Z:Z,"Approved",'QA Log'!L:L,"*3. Curative Consultation (OPD)*"),
COUNTIFS('QA Log'!D:D,A353,'QA Log'!M:M,"QQC",'QA Log'!Z:Z,"Approved",'QA Log'!L:L,"*5. Laboratory*"),
COUNTIFS('QA Log'!D:D,A353,'QA Log'!M:M,"QQC",'QA Log'!Z:Z,"Approved",'QA Log'!L:L,"*6. Essential Medicine Management*"),
COUNTIFS('QA Log'!D:D,A353,'QA Log'!M:M,"QQC",'QA Log'!Z:Z,"Approved",'QA Log'!L:L,"*7. Tracer Medicine*"),
COUNTIFS('QA Log'!D:D,A353,'QA Log'!M:M,"QQC",'QA Log'!Z:Z,"Approved",'QA Log'!L:L,"*11. Additional Questions*")))</f>
        <v/>
      </c>
      <c r="L353" s="105" t="str">
        <f>IF(A353&lt;&gt;"",COUNTIFS('QA Log'!D:D,A353,'QA Log'!M:M,"QQC",'QA Log'!L:L,"1. General Management",'QA Log'!Z:Z,"Approved"),"")</f>
        <v/>
      </c>
      <c r="M353" s="105" t="str">
        <f>IF(A353&lt;&gt;"",COUNTIFS('QA Log'!D:D,A353,'QA Log'!M:M,"QQC",'QA Log'!L:L,"3. Curative Consultation (OPD)",'QA Log'!Z:Z,"Approved"),"")</f>
        <v/>
      </c>
      <c r="N353" s="105" t="str">
        <f>IF(A353&lt;&gt;"",COUNTIFS('QA Log'!D:D,A353,'QA Log'!M:M,"QQC",'QA Log'!L:L,"5. Laboratory",'QA Log'!Z:Z,"Approved"),"")</f>
        <v/>
      </c>
      <c r="O353" s="105" t="str">
        <f>IF(A353&lt;&gt;"",COUNTIFS('QA Log'!D:D,A353,'QA Log'!M:M,"QQC",'QA Log'!L:L,"6. Essential Medicine Management",'QA Log'!Z:Z,"Approved"),"")</f>
        <v/>
      </c>
      <c r="P353" s="105" t="str">
        <f>IF(A353&lt;&gt;"",COUNTIFS('QA Log'!D:D,A353,'QA Log'!M:M,"QQC",'QA Log'!L:L,"7. Tracer Medicine",'QA Log'!Z:Z,"Approved"),"")</f>
        <v/>
      </c>
      <c r="Q353" s="105" t="str">
        <f>IF(A353&lt;&gt;"",COUNTIFS('QA Log'!D:D,A353,'QA Log'!M:M,"QQC",'QA Log'!L:L,"11. Additional Questions",'QA Log'!Z:Z,"Approved"),"")</f>
        <v/>
      </c>
      <c r="R353" s="102" t="str">
        <f>IF(A353="","",SUM(
COUNTIFS('QA Log'!D:D,A353,'QA Log'!M:M,"QQC",'QA Log'!Z:Z,"Rejected",'QA Log'!L:L,"*8. Maternity*"),
COUNTIFS('QA Log'!D:D,A353,'QA Log'!M:M,"QQC",'QA Log'!Z:Z,"Rejected",'QA Log'!L:L,"*EPI*"),
COUNTIFS('QA Log'!D:D,A353,'QA Log'!M:M,"QQC",'QA Log'!Z:Z,"Rejected",'QA Log'!L:L,"*10. Antenatal Care (ANC)*"),
COUNTIFS('QA Log'!D:D,A353,'QA Log'!M:M,"QQC",'QA Log'!Z:Z,"Rejected",'QA Log'!L:L,"*2. Hygiene and Sterilization*"),
COUNTIFS('QA Log'!D:D,A353,'QA Log'!M:M,"QQC",'QA Log'!Z:Z,"Rejected",'QA Log'!L:L,"*Family Planning*")))</f>
        <v/>
      </c>
      <c r="S353" s="106" t="str">
        <f t="shared" si="27"/>
        <v/>
      </c>
      <c r="T353" s="102" t="str">
        <f t="shared" si="28"/>
        <v/>
      </c>
      <c r="U353" s="102" t="str">
        <f>IF(A353="","",
SUM(
COUNTIFS('QA Log'!D:D,A353,'QA Log'!M:M,"QQC",'QA Log'!L:L,"*8. Maternity*"),
COUNTIFS('QA Log'!D:D,A353,'QA Log'!M:M,"QQC",'QA Log'!L:L,"*9. EPI and Pre-school Consultation*"),
COUNTIFS('QA Log'!D:D,A353,'QA Log'!M:M,"QQC",'QA Log'!L:L,"*10. Antenatal Care (ANC)*"),
COUNTIFS('QA Log'!D:D,A353,'QA Log'!M:M,"QQC",'QA Log'!L:L,"*2. Hygiene and Sterilization*"),
COUNTIFS('QA Log'!D:D,A353,'QA Log'!M:M,"QQC",'QA Log'!L:L,"*4. Family Planning*")
))</f>
        <v/>
      </c>
      <c r="V353" s="102" t="str">
        <f>IF(A353="","",
SUM(
COUNTIFS('QA Log'!D:D,A353,'QA Log'!M:M,"QQC",'QA Log'!Z:Z,"Approved",'QA Log'!L:L,"*8. Maternity*"),
COUNTIFS('QA Log'!D:D,A353,'QA Log'!M:M,"QQC",'QA Log'!Z:Z,"Approved",'QA Log'!L:L,"*9. EPI and Pre-school Consultation*"),
COUNTIFS('QA Log'!D:D,A353,'QA Log'!M:M,"QQC",'QA Log'!Z:Z,"Approved",'QA Log'!L:L,"*10. Antenatal Care (ANC)*"),
COUNTIFS('QA Log'!D:D,A353,'QA Log'!M:M,"QQC",'QA Log'!Z:Z,"Approved",'QA Log'!L:L,"*2. Hygiene and Sterilization*"),
COUNTIFS('QA Log'!D:D,A353,'QA Log'!M:M,"QQC",'QA Log'!Z:Z,"Approved",'QA Log'!L:L,"*4. Family Planning*")
))</f>
        <v/>
      </c>
      <c r="W353" s="105" t="str">
        <f>IF(A353&lt;&gt;"",COUNTIFS('QA Log'!D:D,A353,'QA Log'!M:M,"QQC",'QA Log'!L:L,"8. Maternity",'QA Log'!Z:Z,"Approved"),"")</f>
        <v/>
      </c>
      <c r="X353" s="105" t="str">
        <f>IF(A353&lt;&gt;"",COUNTIFS('QA Log'!D:D,A353,'QA Log'!M:M,"QQC",'QA Log'!L:L,"9. EPI and Pre-school Consultation",'QA Log'!Z:Z,"Approved"),"")</f>
        <v/>
      </c>
      <c r="Y353" s="105" t="str">
        <f>IF(A353&lt;&gt;"",COUNTIFS('QA Log'!D:D,A353,'QA Log'!M:M,"QQC",'QA Log'!L:L,"10. Antenatal Care (ANC)",'QA Log'!Z:Z,"Approved"),"")</f>
        <v/>
      </c>
      <c r="Z353" s="105" t="str">
        <f>IF(A353&lt;&gt;"",COUNTIFS('QA Log'!D:D,A353,'QA Log'!M:M,"QQC",'QA Log'!L:L,"2. Hygiene and Sterilization",'QA Log'!Z:Z,"Approved"),"")</f>
        <v/>
      </c>
      <c r="AA353" s="105" t="str">
        <f>IF(A353&lt;&gt;"",COUNTIFS('QA Log'!D:D,A353,'QA Log'!M:M,"QQC",'QA Log'!L:L,"4. Family Planning",'QA Log'!Z:Z,"Approved"),"")</f>
        <v/>
      </c>
      <c r="AB353" s="102" t="str">
        <f>IF(A353="","",
SUM(
COUNTIFS('QA Log'!D:D,A353,'QA Log'!M:M,"QQC",'QA Log'!Z:Z,"Rejected",'QA Log'!L:L,"*8. Maternity*"),
COUNTIFS('QA Log'!D:D,A353,'QA Log'!M:M,"QQC",'QA Log'!Z:Z,"Rejected",'QA Log'!L:L,"*9. EPI and Pre-school Consultation*"),
COUNTIFS('QA Log'!D:D,A353,'QA Log'!M:M,"QQC",'QA Log'!Z:Z,"Rejected",'QA Log'!L:L,"*10. Antenatal Care (ANC)*"),
COUNTIFS('QA Log'!D:D,A353,'QA Log'!M:M,"QQC",'QA Log'!Z:Z,"Rejected",'QA Log'!L:L,"*2. Hygiene and Sterilization*"),
COUNTIFS('QA Log'!D:D,A353,'QA Log'!M:M,"QQC",'QA Log'!Z:Z,"Rejected",'QA Log'!L:L,"*4. Family Planning*")
))</f>
        <v/>
      </c>
      <c r="AC353" s="102" t="str">
        <f t="shared" si="29"/>
        <v/>
      </c>
      <c r="AD353" s="103" t="str">
        <f t="shared" si="30"/>
        <v/>
      </c>
      <c r="AE353" s="102" t="str">
        <f>IF(A353="","",
SUM(
COUNTIFS('QA Log'!D:D,A353,'QA Log'!M:M,"Data Verification",'QA Log'!L:L,"*Medicine (section 2)*"),
COUNTIFS('QA Log'!D:D,A353,'QA Log'!M:M,"Data Verification",'QA Log'!L:L,"*Lab Testing Availability*"),
COUNTIFS('QA Log'!D:D,A353,'QA Log'!M:M,"Data Verification",'QA Log'!L:L,"*Other than P4P (section 6)*"),
COUNTIFS('QA Log'!D:D,A353,'QA Log'!M:M,"Data Verification",'QA Log'!L:L,"*Hospital Governance*")
))</f>
        <v/>
      </c>
      <c r="AF353" s="102" t="str">
        <f>IF(A353="","",
SUM(
COUNTIFS('QA Log'!D:D,A353,'QA Log'!M:M,"Data Verification",'QA Log'!Z:Z,"Approved",'QA Log'!L:L,"*Medicine (section 2)*"),
COUNTIFS('QA Log'!D:D,A353,'QA Log'!M:M,"Data Verification",'QA Log'!Z:Z,"Approved",'QA Log'!L:L,"*Lab Testing Availability*"),
COUNTIFS('QA Log'!D:D,A353,'QA Log'!M:M,"Data Verification",'QA Log'!Z:Z,"Approved",'QA Log'!L:L,"*Other than P4P (section 6)*"),
COUNTIFS('QA Log'!D:D,A353,'QA Log'!M:M,"Data Verification",'QA Log'!Z:Z,"Approved",'QA Log'!L:L,"*Hospital Governance*")
))</f>
        <v/>
      </c>
      <c r="AG353" s="105" t="str">
        <f>IF(A353&lt;&gt;"",COUNTIFS('QA Log'!D:D,A353,'QA Log'!M:M,"Data Verification",'QA Log'!L:L,"Medicine (section 2)",'QA Log'!Z:Z,"Approved"),"")</f>
        <v/>
      </c>
      <c r="AH353" s="105" t="str">
        <f>IF(A353&lt;&gt;"",COUNTIFS('QA Log'!D:D,A353,'QA Log'!M:M,"Data Verification",'QA Log'!L:L,"Lab Testing Availability",'QA Log'!Z:Z,"Approved"),"")</f>
        <v/>
      </c>
      <c r="AI353" s="105" t="str">
        <f>IF(A353&lt;&gt;"",COUNTIFS('QA Log'!D:D,A353,'QA Log'!M:M,"Data Verification",'QA Log'!L:L,"Other than P4P (section 6)",'QA Log'!Z:Z,"Approved"),"")</f>
        <v/>
      </c>
      <c r="AJ353" s="105" t="str">
        <f>IF(A353&lt;&gt;"",COUNTIFS('QA Log'!D:D,A353,'QA Log'!M:M,"Data Verification",'QA Log'!L:L,"Hospital Governance",'QA Log'!Z:Z,"Approved"),"")</f>
        <v/>
      </c>
      <c r="AK353" s="102" t="str">
        <f>IF(A353="","",
SUM(
COUNTIFS('QA Log'!D:D,A353,'QA Log'!M:M,"Data Verification",'QA Log'!Z:Z,"Rejected",'QA Log'!L:L,"*Medicine (section 2)*"),
COUNTIFS('QA Log'!D:D,A353,'QA Log'!M:M,"Data Verification",'QA Log'!Z:Z,"Rejected",'QA Log'!L:L,"*Lab Testing Availability*"),
COUNTIFS('QA Log'!D:D,A353,'QA Log'!M:M,"Data Verification",'QA Log'!Z:Z,"Rejected",'QA Log'!L:L,"*Other than P4P (section 6)*"),
COUNTIFS('QA Log'!D:D,A353,'QA Log'!M:M,"Data Verification",'QA Log'!Z:Z,"Rejected",'QA Log'!L:L,"*Hospital Governance*")
))</f>
        <v/>
      </c>
      <c r="AL353" s="106" t="str">
        <f t="shared" si="31"/>
        <v/>
      </c>
      <c r="AM353" s="102" t="str">
        <f t="shared" si="32"/>
        <v/>
      </c>
      <c r="AN353" s="102" t="str">
        <f>IF(A353="","",
SUM(
COUNTIFS('QA Log'!D:D,A353,'QA Log'!M:M,"Data Verification",'QA Log'!L:L,"*Personnel (section 1)*"),
COUNTIFS('QA Log'!D:D,A353,'QA Log'!M:M,"Data Verification",'QA Log'!L:L,"*Consumable (section 3)*"),
COUNTIFS('QA Log'!D:D,A353,'QA Log'!M:M,"Data Verification",'QA Log'!L:L,"*Equipments (section 4)*")
))</f>
        <v/>
      </c>
      <c r="AO353" s="102" t="str">
        <f>IF(A353="","",
SUM(
COUNTIFS('QA Log'!D:D,A353,'QA Log'!M:M,"Data Verification",'QA Log'!Z:Z,"Approved",'QA Log'!L:L,"*Personnel (section 1)*"),
COUNTIFS('QA Log'!D:D,A353,'QA Log'!M:M,"Data Verification",'QA Log'!Z:Z,"Approved",'QA Log'!L:L,"*Consumable (section 3)*"),
COUNTIFS('QA Log'!D:D,A353,'QA Log'!M:M,"Data Verification",'QA Log'!Z:Z,"Approved",'QA Log'!L:L,"*Equipments (section 4)*")
))</f>
        <v/>
      </c>
      <c r="AP353" s="105" t="str">
        <f>IF(A353&lt;&gt;"",COUNTIFS('QA Log'!D:D,A353,'QA Log'!M:M,"Data Verification",'QA Log'!L:L,"Personnel (section 1)",'QA Log'!Z:Z,"Approved"),"")</f>
        <v/>
      </c>
      <c r="AQ353" s="105" t="str">
        <f>IF(A353&lt;&gt;"",COUNTIFS('QA Log'!D:D,A353,'QA Log'!M:M,"Data Verification",'QA Log'!L:L,"Consumable (section 3)",'QA Log'!Z:Z,"Approved"),"")</f>
        <v/>
      </c>
      <c r="AR353" s="105" t="str">
        <f>IF(A353&lt;&gt;"",COUNTIFS('QA Log'!D:D,A353,'QA Log'!M:M,"Data Verification",'QA Log'!L:L,"Equipments (section 4)",'QA Log'!Z:Z,"Approved"),"")</f>
        <v/>
      </c>
      <c r="AS353" s="102" t="str">
        <f>IF(A353="","",
SUM(
COUNTIFS('QA Log'!D:D,A353,'QA Log'!M:M,"Data Verification",'QA Log'!Z:Z,"Rejected",'QA Log'!L:L,"*Personnel (section 1)*"),
COUNTIFS('QA Log'!D:D,A353,'QA Log'!M:M,"Data Verification",'QA Log'!Z:Z,"Rejected",'QA Log'!L:L,"*Consumable (section 3)*"),
COUNTIFS('QA Log'!D:D,A353,'QA Log'!M:M,"Data Verification",'QA Log'!Z:Z,"Rejected",'QA Log'!L:L,"*Equipments (section 4)*")
))</f>
        <v/>
      </c>
      <c r="AT353" s="102" t="str">
        <f t="shared" si="33"/>
        <v/>
      </c>
      <c r="AU353" s="103" t="str">
        <f t="shared" si="34"/>
        <v/>
      </c>
      <c r="AV353" s="102" t="str">
        <f>IF(A353="","",SUM(
COUNTIFS('QA Log'!D:D,A353,'QA Log'!M:M,"Vignette",'QA Log'!L:L,"*Vignette [1] Respiratory Infection: Pneumonia*"),
COUNTIFS('QA Log'!D:D,A353,'QA Log'!M:M,"Vignette",'QA Log'!L:L,"*Vignette [2]: Diarrhea with Cat B dehydration*"),
COUNTIFS('QA Log'!D:D,A353,'QA Log'!M:M,"Vignette",'QA Log'!L:L,"*Vignette [3] Growth Monitoring and Promotion*"),
COUNTIFS('QA Log'!D:D,A353,'QA Log'!M:M,"Vignette",'QA Log'!L:L,"*Vignette [4]: The management of presumptive TB patient*")
)
)</f>
        <v/>
      </c>
      <c r="AW353" s="102" t="str">
        <f>IF(
  A353="","",
  SUM(
    COUNTIFS('QA Log'!D:D,A353,'QA Log'!M:M,"Vignette",'QA Log'!Z:Z,"Approved",'QA Log'!L:L,"*Vignette [1] Respiratory Infection: Pneumonia*"),
    COUNTIFS('QA Log'!D:D,A353,'QA Log'!M:M,"Vignette",'QA Log'!Z:Z,"Approved",'QA Log'!L:L,"*Vignette [2]: Diarrhea with Cat B dehydration*"),
    COUNTIFS('QA Log'!D:D,A353,'QA Log'!M:M,"Vignette",'QA Log'!Z:Z,"Approved",'QA Log'!L:L,"*Vignette [3] Growth Monitoring and Promotion*"),
    COUNTIFS('QA Log'!D:D,A353,'QA Log'!M:M,"Vignette",'QA Log'!Z:Z,"Approved",'QA Log'!L:L,"*Vignette [4]: The management of presumptive TB patient*")
  )
)</f>
        <v/>
      </c>
      <c r="AX353" s="105" t="str">
        <f>IF(A353&lt;&gt;"",COUNTIFS('QA Log'!D:D,A353,'QA Log'!M:M,"Vignette",'QA Log'!L:L,"Vignette [1] Respiratory Infection: Pneumonia",'QA Log'!Z:Z,"Approved"),"")</f>
        <v/>
      </c>
      <c r="AY353" s="105" t="str">
        <f>IF(A353&lt;&gt;"",COUNTIFS('QA Log'!D:D,A353,'QA Log'!M:M,"Vignette",'QA Log'!L:L,"Vignette [2]: Diarrhea with Cat B dehydration",'QA Log'!Z:Z,"Approved"),"")</f>
        <v/>
      </c>
      <c r="AZ353" s="105" t="str">
        <f>IF(A353&lt;&gt;"",COUNTIFS('QA Log'!D:D,A353,'QA Log'!M:M,"Vignette",'QA Log'!L:L,"Vignette [3] Growth Monitoring and Promotion",'QA Log'!Z:Z,"Approved"),"")</f>
        <v/>
      </c>
      <c r="BA353" s="105" t="str">
        <f>IF(A353&lt;&gt;"",COUNTIFS('QA Log'!D:D,A353,'QA Log'!M:M,"Vignette",'QA Log'!L:L,"Vignette [4]: The management of presumptive TB patient",'QA Log'!Z:Z,"Approved"),"")</f>
        <v/>
      </c>
      <c r="BB353" s="102" t="str">
        <f>IF(A353="","",
  SUM(
    COUNTIFS('QA Log'!D:D,A353,'QA Log'!M:M,"Vignette",'QA Log'!Z:Z,"Rejected",'QA Log'!L:L,"*Vignette [1] Respiratory Infection: Pneumonia*"),
    COUNTIFS('QA Log'!D:D,A353,'QA Log'!M:M,"Vignette",'QA Log'!Z:Z,"Rejected",'QA Log'!L:L,"*Vignette [2]: Diarrhea with Cat B dehydration*"),
    COUNTIFS('QA Log'!D:D,A353,'QA Log'!M:M,"Vignette",'QA Log'!Z:Z,"Rejected",'QA Log'!L:L,"*Vignette [3] Growth Monitoring and Promotion*"),
    COUNTIFS('QA Log'!D:D,A353,'QA Log'!M:M,"Vignette",'QA Log'!Z:Z,"Rejected",'QA Log'!L:L,"*Vignette [4]: The management of presumptive TB patient*")
  )
)</f>
        <v/>
      </c>
      <c r="BC353" s="107" t="str">
        <f t="shared" si="35"/>
        <v/>
      </c>
      <c r="BD353" s="103" t="str">
        <f t="shared" si="36"/>
        <v/>
      </c>
      <c r="BE353" s="102" t="str">
        <f>IF(A353="","",SUM(
COUNTIFS('QA Log'!D:D,A353,'QA Log'!M:M,"Vignette",'QA Log'!L:L,"*Vignette [5] Labor*"),
COUNTIFS('QA Log'!D:D,A353,'QA Log'!M:M,"Vignette",'QA Log'!L:L,"*Vignette [6] PNC pre Discharge*"),
COUNTIFS('QA Log'!D:D,A353,'QA Log'!M:M,"Vignette",'QA Log'!L:L,"*Vignette [7] First ANC Visit*"),
COUNTIFS('QA Log'!D:D,A353,'QA Log'!M:M,"Vignette",'QA Log'!L:L,"*Vignette [8] Birth Spacing/ Family Planning :  FP Counselling*"),
COUNTIFS('QA Log'!D:D,A353,'QA Log'!M:M,"Vignette",'QA Log'!L:L,"*Vignette [9] Birth Spacing: Change FP method to Injectable*"),
COUNTIFS('QA Log'!D:D,A353,'QA Log'!M:M,"Vignette",'QA Log'!L:L,"*Vignette [10] Post Partum Haemorrhage - Atonic Uterus at Health Centre*"),
)
)</f>
        <v/>
      </c>
      <c r="BF353" s="102" t="str">
        <f>IF(A353="","",
  SUM(
    COUNTIFS('QA Log'!D:D,A353,'QA Log'!M:M,"Vignette",'QA Log'!Z:Z,"Approved",'QA Log'!L:L,"*Vignette [5] Labor*"),
    COUNTIFS('QA Log'!D:D,A353,'QA Log'!M:M,"Vignette",'QA Log'!Z:Z,"Approved",'QA Log'!L:L,"*Vignette [6] PNC pre Discharge*"),
    COUNTIFS('QA Log'!D:D,A353,'QA Log'!M:M,"Vignette",'QA Log'!Z:Z,"Approved",'QA Log'!L:L,"*Vignette [7] First ANC Visit*"),
    COUNTIFS('QA Log'!D:D,A353,'QA Log'!M:M,"Vignette",'QA Log'!Z:Z,"Approved",'QA Log'!L:L,"*Vignette [8] Birth Spacing/ Family Planning :  FP Counselling*"),
    COUNTIFS('QA Log'!D:D,A353,'QA Log'!M:M,"Vignette",'QA Log'!Z:Z,"Approved",'QA Log'!L:L,"*Vignette [9] Birth Spacing: Change FP method to Injectable*"),
    COUNTIFS('QA Log'!D:D,A353,'QA Log'!M:M,"Vignette",'QA Log'!Z:Z,"Approved",'QA Log'!L:L,"*Vignette [10] Post Partum Haemorrhage - Atonic Uterus at Health Centre*")
  )
)</f>
        <v/>
      </c>
      <c r="BG353" s="105" t="str">
        <f>IF(A353&lt;&gt;"",COUNTIFS('QA Log'!D:D,A353,'QA Log'!M:M,"Vignette",'QA Log'!L:L,"Vignette [5] Labor",'QA Log'!Z:Z,"Approved"),"")</f>
        <v/>
      </c>
      <c r="BH353" s="105" t="str">
        <f>IF(A353&lt;&gt;"",COUNTIFS('QA Log'!D:D,A353,'QA Log'!M:M,"Vignette",'QA Log'!L:L,"Vignette [6] PNC pre Discharge",'QA Log'!Z:Z,"Approved"),"")</f>
        <v/>
      </c>
      <c r="BI353" s="105" t="str">
        <f>IF(A353&lt;&gt;"",COUNTIFS('QA Log'!D:D,A353,'QA Log'!M:M,"Vignette",'QA Log'!L:L,"Vignette [7] First ANC Visit",'QA Log'!Z:Z,"Approved"),"")</f>
        <v/>
      </c>
      <c r="BJ353" s="105" t="str">
        <f>IF(A353&lt;&gt;"",COUNTIFS('QA Log'!D:D,A353,'QA Log'!M:M,"Vignette",'QA Log'!L:L,"Vignette [8] Birth Spacing/ Family Planning :  FP Counselling",'QA Log'!Z:Z,"Approved"),"")</f>
        <v/>
      </c>
      <c r="BK353" s="105" t="str">
        <f>IF(A353&lt;&gt;"",COUNTIFS('QA Log'!D:D,A353,'QA Log'!M:M,"Vignette",'QA Log'!L:L,"Vignette [9] Birth Spacing: Change FP method to Injectable",'QA Log'!Z:Z,"Approved"),"")</f>
        <v/>
      </c>
      <c r="BL353" s="105" t="str">
        <f>IF(A353&lt;&gt;"",COUNTIFS('QA Log'!D:D,A353,'QA Log'!M:M,"Vignette",'QA Log'!L:L,"Vignette [10] Post Partum Haemorrhage - Atonic Uterus at Health Centre",'QA Log'!Z:Z,"Approved"),"")</f>
        <v/>
      </c>
      <c r="BM353" s="102" t="str">
        <f>IF(A353="","",SUM(
    COUNTIFS('QA Log'!D:D,A353,'QA Log'!M:M,"Vignette",'QA Log'!Z:Z,"Rejected",'QA Log'!L:L,"*Vignette [5] Labor*"),
    COUNTIFS('QA Log'!D:D,A353,'QA Log'!M:M,"Vignette",'QA Log'!Z:Z,"Rejected",'QA Log'!L:L,"*Vignette [6] PNC pre Discharge*"),
    COUNTIFS('QA Log'!D:D,A353,'QA Log'!M:M,"Vignette",'QA Log'!Z:Z,"Rejected",'QA Log'!L:L,"*Vignette [7] First ANC Visit*"),
    COUNTIFS('QA Log'!D:D,A353,'QA Log'!M:M,"Vignette",'QA Log'!Z:Z,"Rejected",'QA Log'!L:L,"*Vignette [8] Birth Spacing/ Family Planning :  FP Counselling*"),
    COUNTIFS('QA Log'!D:D,A353,'QA Log'!M:M,"Vignette",'QA Log'!Z:Z,"Rejected",'QA Log'!L:L,"*Vignette [9] Birth Spacing: Change FP method to Injectable*"),
    COUNTIFS('QA Log'!D:D,A353,'QA Log'!M:M,"Vignette",'QA Log'!Z:Z,"Rejected",'QA Log'!L:L,"*Vignette [10] Post Partum Haemorrhage - Atonic Uterus at Health Centre*")
  )
)</f>
        <v/>
      </c>
      <c r="BN353" s="107" t="str">
        <f t="shared" si="37"/>
        <v/>
      </c>
      <c r="BO353" s="103" t="str">
        <f t="shared" si="38"/>
        <v/>
      </c>
      <c r="BP353" s="102" t="str">
        <f>IF(A353="","",SUM(
COUNTIFS('QA Log'!D:D,A353,'QA Log'!M:M,"Vignette",'QA Log'!L:L,"*Exit Interview 1*"),
COUNTIFS('QA Log'!D:D,A353,'QA Log'!M:M,"Vignette",'QA Log'!L:L,"*Exit Interview 2*"),
)
)</f>
        <v/>
      </c>
      <c r="BQ353" s="102" t="str">
        <f>IF(
  A353="","",
  SUM(
    COUNTIFS('QA Log'!D:D,A353,'QA Log'!M:M,"Vignette",'QA Log'!Z:Z,"Approved",'QA Log'!L:L,"*Exit Interview 1*"),
    COUNTIFS('QA Log'!D:D,A353,'QA Log'!M:M,"Vignette",'QA Log'!Z:Z,"Approved",'QA Log'!L:L,"*Exit Interview 2*")
  )
)</f>
        <v/>
      </c>
      <c r="BR353" s="105" t="str">
        <f>IF(A353&lt;&gt;"",COUNTIFS('QA Log'!D:D,A353,'QA Log'!M:M,"Vignette",'QA Log'!L:L,"Exit Interview 1",'QA Log'!Z:Z,"Approved"),"")</f>
        <v/>
      </c>
      <c r="BS353" s="105" t="str">
        <f>IF(A353&lt;&gt;"",COUNTIFS('QA Log'!D:D,A353,'QA Log'!M:M,"Vignette",'QA Log'!L:L,"Exit Interview 2",'QA Log'!Z:Z,"Approved"),"")</f>
        <v/>
      </c>
      <c r="BT353" s="102" t="str">
        <f>IF(
  A353="","",
  SUM(
    COUNTIFS('QA Log'!D:D,A353,'QA Log'!M:M,"Vignette",'QA Log'!Z:Z,"Rejected",'QA Log'!L:L,"*Exit Interview 1*"),
    COUNTIFS('QA Log'!D:D,A353,'QA Log'!M:M,"Vignette",'QA Log'!Z:Z,"Rejected",'QA Log'!L:L,"*Exit Interview 2*")
  )
)</f>
        <v/>
      </c>
      <c r="BU353" s="107" t="str">
        <f t="shared" si="39"/>
        <v/>
      </c>
      <c r="BV353" s="102" t="str">
        <f t="shared" si="40"/>
        <v/>
      </c>
      <c r="BW353" s="102" t="str">
        <f t="shared" si="41"/>
        <v/>
      </c>
      <c r="BX353" s="102" t="str">
        <f t="shared" si="42"/>
        <v/>
      </c>
      <c r="BY353" s="102" t="str">
        <f t="shared" si="43"/>
        <v/>
      </c>
      <c r="BZ353" s="107" t="str">
        <f t="shared" si="44"/>
        <v/>
      </c>
      <c r="CA353" s="108" t="str">
        <f t="shared" si="45"/>
        <v/>
      </c>
      <c r="CB353" s="108" t="str">
        <f t="shared" si="46"/>
        <v/>
      </c>
      <c r="CC353" s="109" t="str">
        <f t="shared" si="47"/>
        <v/>
      </c>
      <c r="CD353" s="108" t="str">
        <f t="shared" si="48"/>
        <v/>
      </c>
      <c r="CE353" s="108" t="str">
        <f t="shared" si="49"/>
        <v/>
      </c>
      <c r="CF353" s="109" t="str">
        <f t="shared" si="50"/>
        <v/>
      </c>
      <c r="CG353" s="110" t="str">
        <f t="shared" si="51"/>
        <v/>
      </c>
      <c r="CH353" s="111"/>
    </row>
    <row r="354" spans="1:86" ht="12.75">
      <c r="A354" s="101"/>
      <c r="B354" s="102" t="e">
        <f t="array" aca="1" ref="B354" ca="1">_xludf.XLOOKUP(A354,'QA Log'!D:D,'QA Log'!E:E,"")</f>
        <v>#NAME?</v>
      </c>
      <c r="C354" s="102" t="e">
        <f t="array" aca="1" ref="C354" ca="1">_xludf.XLOOKUP(A354,'QA Log'!D:D,'QA Log'!F:F,"")</f>
        <v>#NAME?</v>
      </c>
      <c r="D354" s="102" t="e">
        <f t="array" aca="1" ref="D354" ca="1">_xludf.XLOOKUP(A354,'QA Log'!D:D,'QA Log'!H:H,"")</f>
        <v>#NAME?</v>
      </c>
      <c r="E354" s="102" t="e">
        <f t="array" aca="1" ref="E354" ca="1">_xludf.XLOOKUP(A354,'QA Log'!D:D,'QA Log'!G:G,"")</f>
        <v>#NAME?</v>
      </c>
      <c r="F354" s="103"/>
      <c r="G354" s="104"/>
      <c r="H354" s="104"/>
      <c r="I354" s="103" t="str">
        <f t="shared" si="26"/>
        <v/>
      </c>
      <c r="J354" s="102" t="str">
        <f>IF(A354="","",SUM(
COUNTIFS('QA Log'!D:D,A354,'QA Log'!M:M,"QQC",'QA Log'!L:L,"*1. General Management*"),
COUNTIFS('QA Log'!D:D,A354,'QA Log'!M:M,"QQC",'QA Log'!L:L,"*3. Curative Consultation (OPD)*"),
COUNTIFS('QA Log'!D:D,A354,'QA Log'!M:M,"QQC",'QA Log'!L:L,"*5. Laboratory*"),
COUNTIFS('QA Log'!D:D,A354,'QA Log'!M:M,"QQC",'QA Log'!L:L,"*6. Essential Medicine Management*"),
COUNTIFS('QA Log'!D:D,A354,'QA Log'!M:M,"QQC",'QA Log'!L:L,"*7. Tracer Medicine*"),
COUNTIFS('QA Log'!D:D,A354,'QA Log'!M:M,"QQC",'QA Log'!L:L,"*11. Additional Questions*")))</f>
        <v/>
      </c>
      <c r="K354" s="102" t="str">
        <f>IF(A354="","",SUM(
COUNTIFS('QA Log'!D:D,A354,'QA Log'!M:M,"QQC",'QA Log'!Z:Z,"Approved",'QA Log'!L:L,"*1. General Management*"),
COUNTIFS('QA Log'!D:D,A354,'QA Log'!M:M,"QQC",'QA Log'!Z:Z,"Approved",'QA Log'!L:L,"*3. Curative Consultation (OPD)*"),
COUNTIFS('QA Log'!D:D,A354,'QA Log'!M:M,"QQC",'QA Log'!Z:Z,"Approved",'QA Log'!L:L,"*5. Laboratory*"),
COUNTIFS('QA Log'!D:D,A354,'QA Log'!M:M,"QQC",'QA Log'!Z:Z,"Approved",'QA Log'!L:L,"*6. Essential Medicine Management*"),
COUNTIFS('QA Log'!D:D,A354,'QA Log'!M:M,"QQC",'QA Log'!Z:Z,"Approved",'QA Log'!L:L,"*7. Tracer Medicine*"),
COUNTIFS('QA Log'!D:D,A354,'QA Log'!M:M,"QQC",'QA Log'!Z:Z,"Approved",'QA Log'!L:L,"*11. Additional Questions*")))</f>
        <v/>
      </c>
      <c r="L354" s="105" t="str">
        <f>IF(A354&lt;&gt;"",COUNTIFS('QA Log'!D:D,A354,'QA Log'!M:M,"QQC",'QA Log'!L:L,"1. General Management",'QA Log'!Z:Z,"Approved"),"")</f>
        <v/>
      </c>
      <c r="M354" s="105" t="str">
        <f>IF(A354&lt;&gt;"",COUNTIFS('QA Log'!D:D,A354,'QA Log'!M:M,"QQC",'QA Log'!L:L,"3. Curative Consultation (OPD)",'QA Log'!Z:Z,"Approved"),"")</f>
        <v/>
      </c>
      <c r="N354" s="105" t="str">
        <f>IF(A354&lt;&gt;"",COUNTIFS('QA Log'!D:D,A354,'QA Log'!M:M,"QQC",'QA Log'!L:L,"5. Laboratory",'QA Log'!Z:Z,"Approved"),"")</f>
        <v/>
      </c>
      <c r="O354" s="105" t="str">
        <f>IF(A354&lt;&gt;"",COUNTIFS('QA Log'!D:D,A354,'QA Log'!M:M,"QQC",'QA Log'!L:L,"6. Essential Medicine Management",'QA Log'!Z:Z,"Approved"),"")</f>
        <v/>
      </c>
      <c r="P354" s="105" t="str">
        <f>IF(A354&lt;&gt;"",COUNTIFS('QA Log'!D:D,A354,'QA Log'!M:M,"QQC",'QA Log'!L:L,"7. Tracer Medicine",'QA Log'!Z:Z,"Approved"),"")</f>
        <v/>
      </c>
      <c r="Q354" s="105" t="str">
        <f>IF(A354&lt;&gt;"",COUNTIFS('QA Log'!D:D,A354,'QA Log'!M:M,"QQC",'QA Log'!L:L,"11. Additional Questions",'QA Log'!Z:Z,"Approved"),"")</f>
        <v/>
      </c>
      <c r="R354" s="102" t="str">
        <f>IF(A354="","",SUM(
COUNTIFS('QA Log'!D:D,A354,'QA Log'!M:M,"QQC",'QA Log'!Z:Z,"Rejected",'QA Log'!L:L,"*8. Maternity*"),
COUNTIFS('QA Log'!D:D,A354,'QA Log'!M:M,"QQC",'QA Log'!Z:Z,"Rejected",'QA Log'!L:L,"*EPI*"),
COUNTIFS('QA Log'!D:D,A354,'QA Log'!M:M,"QQC",'QA Log'!Z:Z,"Rejected",'QA Log'!L:L,"*10. Antenatal Care (ANC)*"),
COUNTIFS('QA Log'!D:D,A354,'QA Log'!M:M,"QQC",'QA Log'!Z:Z,"Rejected",'QA Log'!L:L,"*2. Hygiene and Sterilization*"),
COUNTIFS('QA Log'!D:D,A354,'QA Log'!M:M,"QQC",'QA Log'!Z:Z,"Rejected",'QA Log'!L:L,"*Family Planning*")))</f>
        <v/>
      </c>
      <c r="S354" s="106" t="str">
        <f t="shared" si="27"/>
        <v/>
      </c>
      <c r="T354" s="102" t="str">
        <f t="shared" si="28"/>
        <v/>
      </c>
      <c r="U354" s="102" t="str">
        <f>IF(A354="","",
SUM(
COUNTIFS('QA Log'!D:D,A354,'QA Log'!M:M,"QQC",'QA Log'!L:L,"*8. Maternity*"),
COUNTIFS('QA Log'!D:D,A354,'QA Log'!M:M,"QQC",'QA Log'!L:L,"*9. EPI and Pre-school Consultation*"),
COUNTIFS('QA Log'!D:D,A354,'QA Log'!M:M,"QQC",'QA Log'!L:L,"*10. Antenatal Care (ANC)*"),
COUNTIFS('QA Log'!D:D,A354,'QA Log'!M:M,"QQC",'QA Log'!L:L,"*2. Hygiene and Sterilization*"),
COUNTIFS('QA Log'!D:D,A354,'QA Log'!M:M,"QQC",'QA Log'!L:L,"*4. Family Planning*")
))</f>
        <v/>
      </c>
      <c r="V354" s="102" t="str">
        <f>IF(A354="","",
SUM(
COUNTIFS('QA Log'!D:D,A354,'QA Log'!M:M,"QQC",'QA Log'!Z:Z,"Approved",'QA Log'!L:L,"*8. Maternity*"),
COUNTIFS('QA Log'!D:D,A354,'QA Log'!M:M,"QQC",'QA Log'!Z:Z,"Approved",'QA Log'!L:L,"*9. EPI and Pre-school Consultation*"),
COUNTIFS('QA Log'!D:D,A354,'QA Log'!M:M,"QQC",'QA Log'!Z:Z,"Approved",'QA Log'!L:L,"*10. Antenatal Care (ANC)*"),
COUNTIFS('QA Log'!D:D,A354,'QA Log'!M:M,"QQC",'QA Log'!Z:Z,"Approved",'QA Log'!L:L,"*2. Hygiene and Sterilization*"),
COUNTIFS('QA Log'!D:D,A354,'QA Log'!M:M,"QQC",'QA Log'!Z:Z,"Approved",'QA Log'!L:L,"*4. Family Planning*")
))</f>
        <v/>
      </c>
      <c r="W354" s="105" t="str">
        <f>IF(A354&lt;&gt;"",COUNTIFS('QA Log'!D:D,A354,'QA Log'!M:M,"QQC",'QA Log'!L:L,"8. Maternity",'QA Log'!Z:Z,"Approved"),"")</f>
        <v/>
      </c>
      <c r="X354" s="105" t="str">
        <f>IF(A354&lt;&gt;"",COUNTIFS('QA Log'!D:D,A354,'QA Log'!M:M,"QQC",'QA Log'!L:L,"9. EPI and Pre-school Consultation",'QA Log'!Z:Z,"Approved"),"")</f>
        <v/>
      </c>
      <c r="Y354" s="105" t="str">
        <f>IF(A354&lt;&gt;"",COUNTIFS('QA Log'!D:D,A354,'QA Log'!M:M,"QQC",'QA Log'!L:L,"10. Antenatal Care (ANC)",'QA Log'!Z:Z,"Approved"),"")</f>
        <v/>
      </c>
      <c r="Z354" s="105" t="str">
        <f>IF(A354&lt;&gt;"",COUNTIFS('QA Log'!D:D,A354,'QA Log'!M:M,"QQC",'QA Log'!L:L,"2. Hygiene and Sterilization",'QA Log'!Z:Z,"Approved"),"")</f>
        <v/>
      </c>
      <c r="AA354" s="105" t="str">
        <f>IF(A354&lt;&gt;"",COUNTIFS('QA Log'!D:D,A354,'QA Log'!M:M,"QQC",'QA Log'!L:L,"4. Family Planning",'QA Log'!Z:Z,"Approved"),"")</f>
        <v/>
      </c>
      <c r="AB354" s="102" t="str">
        <f>IF(A354="","",
SUM(
COUNTIFS('QA Log'!D:D,A354,'QA Log'!M:M,"QQC",'QA Log'!Z:Z,"Rejected",'QA Log'!L:L,"*8. Maternity*"),
COUNTIFS('QA Log'!D:D,A354,'QA Log'!M:M,"QQC",'QA Log'!Z:Z,"Rejected",'QA Log'!L:L,"*9. EPI and Pre-school Consultation*"),
COUNTIFS('QA Log'!D:D,A354,'QA Log'!M:M,"QQC",'QA Log'!Z:Z,"Rejected",'QA Log'!L:L,"*10. Antenatal Care (ANC)*"),
COUNTIFS('QA Log'!D:D,A354,'QA Log'!M:M,"QQC",'QA Log'!Z:Z,"Rejected",'QA Log'!L:L,"*2. Hygiene and Sterilization*"),
COUNTIFS('QA Log'!D:D,A354,'QA Log'!M:M,"QQC",'QA Log'!Z:Z,"Rejected",'QA Log'!L:L,"*4. Family Planning*")
))</f>
        <v/>
      </c>
      <c r="AC354" s="102" t="str">
        <f t="shared" si="29"/>
        <v/>
      </c>
      <c r="AD354" s="103" t="str">
        <f t="shared" si="30"/>
        <v/>
      </c>
      <c r="AE354" s="102" t="str">
        <f>IF(A354="","",
SUM(
COUNTIFS('QA Log'!D:D,A354,'QA Log'!M:M,"Data Verification",'QA Log'!L:L,"*Medicine (section 2)*"),
COUNTIFS('QA Log'!D:D,A354,'QA Log'!M:M,"Data Verification",'QA Log'!L:L,"*Lab Testing Availability*"),
COUNTIFS('QA Log'!D:D,A354,'QA Log'!M:M,"Data Verification",'QA Log'!L:L,"*Other than P4P (section 6)*"),
COUNTIFS('QA Log'!D:D,A354,'QA Log'!M:M,"Data Verification",'QA Log'!L:L,"*Hospital Governance*")
))</f>
        <v/>
      </c>
      <c r="AF354" s="102" t="str">
        <f>IF(A354="","",
SUM(
COUNTIFS('QA Log'!D:D,A354,'QA Log'!M:M,"Data Verification",'QA Log'!Z:Z,"Approved",'QA Log'!L:L,"*Medicine (section 2)*"),
COUNTIFS('QA Log'!D:D,A354,'QA Log'!M:M,"Data Verification",'QA Log'!Z:Z,"Approved",'QA Log'!L:L,"*Lab Testing Availability*"),
COUNTIFS('QA Log'!D:D,A354,'QA Log'!M:M,"Data Verification",'QA Log'!Z:Z,"Approved",'QA Log'!L:L,"*Other than P4P (section 6)*"),
COUNTIFS('QA Log'!D:D,A354,'QA Log'!M:M,"Data Verification",'QA Log'!Z:Z,"Approved",'QA Log'!L:L,"*Hospital Governance*")
))</f>
        <v/>
      </c>
      <c r="AG354" s="105" t="str">
        <f>IF(A354&lt;&gt;"",COUNTIFS('QA Log'!D:D,A354,'QA Log'!M:M,"Data Verification",'QA Log'!L:L,"Medicine (section 2)",'QA Log'!Z:Z,"Approved"),"")</f>
        <v/>
      </c>
      <c r="AH354" s="105" t="str">
        <f>IF(A354&lt;&gt;"",COUNTIFS('QA Log'!D:D,A354,'QA Log'!M:M,"Data Verification",'QA Log'!L:L,"Lab Testing Availability",'QA Log'!Z:Z,"Approved"),"")</f>
        <v/>
      </c>
      <c r="AI354" s="105" t="str">
        <f>IF(A354&lt;&gt;"",COUNTIFS('QA Log'!D:D,A354,'QA Log'!M:M,"Data Verification",'QA Log'!L:L,"Other than P4P (section 6)",'QA Log'!Z:Z,"Approved"),"")</f>
        <v/>
      </c>
      <c r="AJ354" s="105" t="str">
        <f>IF(A354&lt;&gt;"",COUNTIFS('QA Log'!D:D,A354,'QA Log'!M:M,"Data Verification",'QA Log'!L:L,"Hospital Governance",'QA Log'!Z:Z,"Approved"),"")</f>
        <v/>
      </c>
      <c r="AK354" s="102" t="str">
        <f>IF(A354="","",
SUM(
COUNTIFS('QA Log'!D:D,A354,'QA Log'!M:M,"Data Verification",'QA Log'!Z:Z,"Rejected",'QA Log'!L:L,"*Medicine (section 2)*"),
COUNTIFS('QA Log'!D:D,A354,'QA Log'!M:M,"Data Verification",'QA Log'!Z:Z,"Rejected",'QA Log'!L:L,"*Lab Testing Availability*"),
COUNTIFS('QA Log'!D:D,A354,'QA Log'!M:M,"Data Verification",'QA Log'!Z:Z,"Rejected",'QA Log'!L:L,"*Other than P4P (section 6)*"),
COUNTIFS('QA Log'!D:D,A354,'QA Log'!M:M,"Data Verification",'QA Log'!Z:Z,"Rejected",'QA Log'!L:L,"*Hospital Governance*")
))</f>
        <v/>
      </c>
      <c r="AL354" s="106" t="str">
        <f t="shared" si="31"/>
        <v/>
      </c>
      <c r="AM354" s="102" t="str">
        <f t="shared" si="32"/>
        <v/>
      </c>
      <c r="AN354" s="102" t="str">
        <f>IF(A354="","",
SUM(
COUNTIFS('QA Log'!D:D,A354,'QA Log'!M:M,"Data Verification",'QA Log'!L:L,"*Personnel (section 1)*"),
COUNTIFS('QA Log'!D:D,A354,'QA Log'!M:M,"Data Verification",'QA Log'!L:L,"*Consumable (section 3)*"),
COUNTIFS('QA Log'!D:D,A354,'QA Log'!M:M,"Data Verification",'QA Log'!L:L,"*Equipments (section 4)*")
))</f>
        <v/>
      </c>
      <c r="AO354" s="102" t="str">
        <f>IF(A354="","",
SUM(
COUNTIFS('QA Log'!D:D,A354,'QA Log'!M:M,"Data Verification",'QA Log'!Z:Z,"Approved",'QA Log'!L:L,"*Personnel (section 1)*"),
COUNTIFS('QA Log'!D:D,A354,'QA Log'!M:M,"Data Verification",'QA Log'!Z:Z,"Approved",'QA Log'!L:L,"*Consumable (section 3)*"),
COUNTIFS('QA Log'!D:D,A354,'QA Log'!M:M,"Data Verification",'QA Log'!Z:Z,"Approved",'QA Log'!L:L,"*Equipments (section 4)*")
))</f>
        <v/>
      </c>
      <c r="AP354" s="105" t="str">
        <f>IF(A354&lt;&gt;"",COUNTIFS('QA Log'!D:D,A354,'QA Log'!M:M,"Data Verification",'QA Log'!L:L,"Personnel (section 1)",'QA Log'!Z:Z,"Approved"),"")</f>
        <v/>
      </c>
      <c r="AQ354" s="105" t="str">
        <f>IF(A354&lt;&gt;"",COUNTIFS('QA Log'!D:D,A354,'QA Log'!M:M,"Data Verification",'QA Log'!L:L,"Consumable (section 3)",'QA Log'!Z:Z,"Approved"),"")</f>
        <v/>
      </c>
      <c r="AR354" s="105" t="str">
        <f>IF(A354&lt;&gt;"",COUNTIFS('QA Log'!D:D,A354,'QA Log'!M:M,"Data Verification",'QA Log'!L:L,"Equipments (section 4)",'QA Log'!Z:Z,"Approved"),"")</f>
        <v/>
      </c>
      <c r="AS354" s="102" t="str">
        <f>IF(A354="","",
SUM(
COUNTIFS('QA Log'!D:D,A354,'QA Log'!M:M,"Data Verification",'QA Log'!Z:Z,"Rejected",'QA Log'!L:L,"*Personnel (section 1)*"),
COUNTIFS('QA Log'!D:D,A354,'QA Log'!M:M,"Data Verification",'QA Log'!Z:Z,"Rejected",'QA Log'!L:L,"*Consumable (section 3)*"),
COUNTIFS('QA Log'!D:D,A354,'QA Log'!M:M,"Data Verification",'QA Log'!Z:Z,"Rejected",'QA Log'!L:L,"*Equipments (section 4)*")
))</f>
        <v/>
      </c>
      <c r="AT354" s="102" t="str">
        <f t="shared" si="33"/>
        <v/>
      </c>
      <c r="AU354" s="103" t="str">
        <f t="shared" si="34"/>
        <v/>
      </c>
      <c r="AV354" s="102" t="str">
        <f>IF(A354="","",SUM(
COUNTIFS('QA Log'!D:D,A354,'QA Log'!M:M,"Vignette",'QA Log'!L:L,"*Vignette [1] Respiratory Infection: Pneumonia*"),
COUNTIFS('QA Log'!D:D,A354,'QA Log'!M:M,"Vignette",'QA Log'!L:L,"*Vignette [2]: Diarrhea with Cat B dehydration*"),
COUNTIFS('QA Log'!D:D,A354,'QA Log'!M:M,"Vignette",'QA Log'!L:L,"*Vignette [3] Growth Monitoring and Promotion*"),
COUNTIFS('QA Log'!D:D,A354,'QA Log'!M:M,"Vignette",'QA Log'!L:L,"*Vignette [4]: The management of presumptive TB patient*")
)
)</f>
        <v/>
      </c>
      <c r="AW354" s="102" t="str">
        <f>IF(
  A354="","",
  SUM(
    COUNTIFS('QA Log'!D:D,A354,'QA Log'!M:M,"Vignette",'QA Log'!Z:Z,"Approved",'QA Log'!L:L,"*Vignette [1] Respiratory Infection: Pneumonia*"),
    COUNTIFS('QA Log'!D:D,A354,'QA Log'!M:M,"Vignette",'QA Log'!Z:Z,"Approved",'QA Log'!L:L,"*Vignette [2]: Diarrhea with Cat B dehydration*"),
    COUNTIFS('QA Log'!D:D,A354,'QA Log'!M:M,"Vignette",'QA Log'!Z:Z,"Approved",'QA Log'!L:L,"*Vignette [3] Growth Monitoring and Promotion*"),
    COUNTIFS('QA Log'!D:D,A354,'QA Log'!M:M,"Vignette",'QA Log'!Z:Z,"Approved",'QA Log'!L:L,"*Vignette [4]: The management of presumptive TB patient*")
  )
)</f>
        <v/>
      </c>
      <c r="AX354" s="105" t="str">
        <f>IF(A354&lt;&gt;"",COUNTIFS('QA Log'!D:D,A354,'QA Log'!M:M,"Vignette",'QA Log'!L:L,"Vignette [1] Respiratory Infection: Pneumonia",'QA Log'!Z:Z,"Approved"),"")</f>
        <v/>
      </c>
      <c r="AY354" s="105" t="str">
        <f>IF(A354&lt;&gt;"",COUNTIFS('QA Log'!D:D,A354,'QA Log'!M:M,"Vignette",'QA Log'!L:L,"Vignette [2]: Diarrhea with Cat B dehydration",'QA Log'!Z:Z,"Approved"),"")</f>
        <v/>
      </c>
      <c r="AZ354" s="105" t="str">
        <f>IF(A354&lt;&gt;"",COUNTIFS('QA Log'!D:D,A354,'QA Log'!M:M,"Vignette",'QA Log'!L:L,"Vignette [3] Growth Monitoring and Promotion",'QA Log'!Z:Z,"Approved"),"")</f>
        <v/>
      </c>
      <c r="BA354" s="105" t="str">
        <f>IF(A354&lt;&gt;"",COUNTIFS('QA Log'!D:D,A354,'QA Log'!M:M,"Vignette",'QA Log'!L:L,"Vignette [4]: The management of presumptive TB patient",'QA Log'!Z:Z,"Approved"),"")</f>
        <v/>
      </c>
      <c r="BB354" s="102" t="str">
        <f>IF(A354="","",
  SUM(
    COUNTIFS('QA Log'!D:D,A354,'QA Log'!M:M,"Vignette",'QA Log'!Z:Z,"Rejected",'QA Log'!L:L,"*Vignette [1] Respiratory Infection: Pneumonia*"),
    COUNTIFS('QA Log'!D:D,A354,'QA Log'!M:M,"Vignette",'QA Log'!Z:Z,"Rejected",'QA Log'!L:L,"*Vignette [2]: Diarrhea with Cat B dehydration*"),
    COUNTIFS('QA Log'!D:D,A354,'QA Log'!M:M,"Vignette",'QA Log'!Z:Z,"Rejected",'QA Log'!L:L,"*Vignette [3] Growth Monitoring and Promotion*"),
    COUNTIFS('QA Log'!D:D,A354,'QA Log'!M:M,"Vignette",'QA Log'!Z:Z,"Rejected",'QA Log'!L:L,"*Vignette [4]: The management of presumptive TB patient*")
  )
)</f>
        <v/>
      </c>
      <c r="BC354" s="107" t="str">
        <f t="shared" si="35"/>
        <v/>
      </c>
      <c r="BD354" s="103" t="str">
        <f t="shared" si="36"/>
        <v/>
      </c>
      <c r="BE354" s="102" t="str">
        <f>IF(A354="","",SUM(
COUNTIFS('QA Log'!D:D,A354,'QA Log'!M:M,"Vignette",'QA Log'!L:L,"*Vignette [5] Labor*"),
COUNTIFS('QA Log'!D:D,A354,'QA Log'!M:M,"Vignette",'QA Log'!L:L,"*Vignette [6] PNC pre Discharge*"),
COUNTIFS('QA Log'!D:D,A354,'QA Log'!M:M,"Vignette",'QA Log'!L:L,"*Vignette [7] First ANC Visit*"),
COUNTIFS('QA Log'!D:D,A354,'QA Log'!M:M,"Vignette",'QA Log'!L:L,"*Vignette [8] Birth Spacing/ Family Planning :  FP Counselling*"),
COUNTIFS('QA Log'!D:D,A354,'QA Log'!M:M,"Vignette",'QA Log'!L:L,"*Vignette [9] Birth Spacing: Change FP method to Injectable*"),
COUNTIFS('QA Log'!D:D,A354,'QA Log'!M:M,"Vignette",'QA Log'!L:L,"*Vignette [10] Post Partum Haemorrhage - Atonic Uterus at Health Centre*"),
)
)</f>
        <v/>
      </c>
      <c r="BF354" s="102" t="str">
        <f>IF(A354="","",
  SUM(
    COUNTIFS('QA Log'!D:D,A354,'QA Log'!M:M,"Vignette",'QA Log'!Z:Z,"Approved",'QA Log'!L:L,"*Vignette [5] Labor*"),
    COUNTIFS('QA Log'!D:D,A354,'QA Log'!M:M,"Vignette",'QA Log'!Z:Z,"Approved",'QA Log'!L:L,"*Vignette [6] PNC pre Discharge*"),
    COUNTIFS('QA Log'!D:D,A354,'QA Log'!M:M,"Vignette",'QA Log'!Z:Z,"Approved",'QA Log'!L:L,"*Vignette [7] First ANC Visit*"),
    COUNTIFS('QA Log'!D:D,A354,'QA Log'!M:M,"Vignette",'QA Log'!Z:Z,"Approved",'QA Log'!L:L,"*Vignette [8] Birth Spacing/ Family Planning :  FP Counselling*"),
    COUNTIFS('QA Log'!D:D,A354,'QA Log'!M:M,"Vignette",'QA Log'!Z:Z,"Approved",'QA Log'!L:L,"*Vignette [9] Birth Spacing: Change FP method to Injectable*"),
    COUNTIFS('QA Log'!D:D,A354,'QA Log'!M:M,"Vignette",'QA Log'!Z:Z,"Approved",'QA Log'!L:L,"*Vignette [10] Post Partum Haemorrhage - Atonic Uterus at Health Centre*")
  )
)</f>
        <v/>
      </c>
      <c r="BG354" s="105" t="str">
        <f>IF(A354&lt;&gt;"",COUNTIFS('QA Log'!D:D,A354,'QA Log'!M:M,"Vignette",'QA Log'!L:L,"Vignette [5] Labor",'QA Log'!Z:Z,"Approved"),"")</f>
        <v/>
      </c>
      <c r="BH354" s="105" t="str">
        <f>IF(A354&lt;&gt;"",COUNTIFS('QA Log'!D:D,A354,'QA Log'!M:M,"Vignette",'QA Log'!L:L,"Vignette [6] PNC pre Discharge",'QA Log'!Z:Z,"Approved"),"")</f>
        <v/>
      </c>
      <c r="BI354" s="105" t="str">
        <f>IF(A354&lt;&gt;"",COUNTIFS('QA Log'!D:D,A354,'QA Log'!M:M,"Vignette",'QA Log'!L:L,"Vignette [7] First ANC Visit",'QA Log'!Z:Z,"Approved"),"")</f>
        <v/>
      </c>
      <c r="BJ354" s="105" t="str">
        <f>IF(A354&lt;&gt;"",COUNTIFS('QA Log'!D:D,A354,'QA Log'!M:M,"Vignette",'QA Log'!L:L,"Vignette [8] Birth Spacing/ Family Planning :  FP Counselling",'QA Log'!Z:Z,"Approved"),"")</f>
        <v/>
      </c>
      <c r="BK354" s="105" t="str">
        <f>IF(A354&lt;&gt;"",COUNTIFS('QA Log'!D:D,A354,'QA Log'!M:M,"Vignette",'QA Log'!L:L,"Vignette [9] Birth Spacing: Change FP method to Injectable",'QA Log'!Z:Z,"Approved"),"")</f>
        <v/>
      </c>
      <c r="BL354" s="105" t="str">
        <f>IF(A354&lt;&gt;"",COUNTIFS('QA Log'!D:D,A354,'QA Log'!M:M,"Vignette",'QA Log'!L:L,"Vignette [10] Post Partum Haemorrhage - Atonic Uterus at Health Centre",'QA Log'!Z:Z,"Approved"),"")</f>
        <v/>
      </c>
      <c r="BM354" s="102" t="str">
        <f>IF(A354="","",SUM(
    COUNTIFS('QA Log'!D:D,A354,'QA Log'!M:M,"Vignette",'QA Log'!Z:Z,"Rejected",'QA Log'!L:L,"*Vignette [5] Labor*"),
    COUNTIFS('QA Log'!D:D,A354,'QA Log'!M:M,"Vignette",'QA Log'!Z:Z,"Rejected",'QA Log'!L:L,"*Vignette [6] PNC pre Discharge*"),
    COUNTIFS('QA Log'!D:D,A354,'QA Log'!M:M,"Vignette",'QA Log'!Z:Z,"Rejected",'QA Log'!L:L,"*Vignette [7] First ANC Visit*"),
    COUNTIFS('QA Log'!D:D,A354,'QA Log'!M:M,"Vignette",'QA Log'!Z:Z,"Rejected",'QA Log'!L:L,"*Vignette [8] Birth Spacing/ Family Planning :  FP Counselling*"),
    COUNTIFS('QA Log'!D:D,A354,'QA Log'!M:M,"Vignette",'QA Log'!Z:Z,"Rejected",'QA Log'!L:L,"*Vignette [9] Birth Spacing: Change FP method to Injectable*"),
    COUNTIFS('QA Log'!D:D,A354,'QA Log'!M:M,"Vignette",'QA Log'!Z:Z,"Rejected",'QA Log'!L:L,"*Vignette [10] Post Partum Haemorrhage - Atonic Uterus at Health Centre*")
  )
)</f>
        <v/>
      </c>
      <c r="BN354" s="107" t="str">
        <f t="shared" si="37"/>
        <v/>
      </c>
      <c r="BO354" s="103" t="str">
        <f t="shared" si="38"/>
        <v/>
      </c>
      <c r="BP354" s="102" t="str">
        <f>IF(A354="","",SUM(
COUNTIFS('QA Log'!D:D,A354,'QA Log'!M:M,"Vignette",'QA Log'!L:L,"*Exit Interview 1*"),
COUNTIFS('QA Log'!D:D,A354,'QA Log'!M:M,"Vignette",'QA Log'!L:L,"*Exit Interview 2*"),
)
)</f>
        <v/>
      </c>
      <c r="BQ354" s="102" t="str">
        <f>IF(
  A354="","",
  SUM(
    COUNTIFS('QA Log'!D:D,A354,'QA Log'!M:M,"Vignette",'QA Log'!Z:Z,"Approved",'QA Log'!L:L,"*Exit Interview 1*"),
    COUNTIFS('QA Log'!D:D,A354,'QA Log'!M:M,"Vignette",'QA Log'!Z:Z,"Approved",'QA Log'!L:L,"*Exit Interview 2*")
  )
)</f>
        <v/>
      </c>
      <c r="BR354" s="105" t="str">
        <f>IF(A354&lt;&gt;"",COUNTIFS('QA Log'!D:D,A354,'QA Log'!M:M,"Vignette",'QA Log'!L:L,"Exit Interview 1",'QA Log'!Z:Z,"Approved"),"")</f>
        <v/>
      </c>
      <c r="BS354" s="105" t="str">
        <f>IF(A354&lt;&gt;"",COUNTIFS('QA Log'!D:D,A354,'QA Log'!M:M,"Vignette",'QA Log'!L:L,"Exit Interview 2",'QA Log'!Z:Z,"Approved"),"")</f>
        <v/>
      </c>
      <c r="BT354" s="102" t="str">
        <f>IF(
  A354="","",
  SUM(
    COUNTIFS('QA Log'!D:D,A354,'QA Log'!M:M,"Vignette",'QA Log'!Z:Z,"Rejected",'QA Log'!L:L,"*Exit Interview 1*"),
    COUNTIFS('QA Log'!D:D,A354,'QA Log'!M:M,"Vignette",'QA Log'!Z:Z,"Rejected",'QA Log'!L:L,"*Exit Interview 2*")
  )
)</f>
        <v/>
      </c>
      <c r="BU354" s="107" t="str">
        <f t="shared" si="39"/>
        <v/>
      </c>
      <c r="BV354" s="102" t="str">
        <f t="shared" si="40"/>
        <v/>
      </c>
      <c r="BW354" s="102" t="str">
        <f t="shared" si="41"/>
        <v/>
      </c>
      <c r="BX354" s="102" t="str">
        <f t="shared" si="42"/>
        <v/>
      </c>
      <c r="BY354" s="102" t="str">
        <f t="shared" si="43"/>
        <v/>
      </c>
      <c r="BZ354" s="107" t="str">
        <f t="shared" si="44"/>
        <v/>
      </c>
      <c r="CA354" s="108" t="str">
        <f t="shared" si="45"/>
        <v/>
      </c>
      <c r="CB354" s="108" t="str">
        <f t="shared" si="46"/>
        <v/>
      </c>
      <c r="CC354" s="109" t="str">
        <f t="shared" si="47"/>
        <v/>
      </c>
      <c r="CD354" s="108" t="str">
        <f t="shared" si="48"/>
        <v/>
      </c>
      <c r="CE354" s="108" t="str">
        <f t="shared" si="49"/>
        <v/>
      </c>
      <c r="CF354" s="109" t="str">
        <f t="shared" si="50"/>
        <v/>
      </c>
      <c r="CG354" s="110" t="str">
        <f t="shared" si="51"/>
        <v/>
      </c>
      <c r="CH354" s="111"/>
    </row>
    <row r="355" spans="1:86" ht="12.75">
      <c r="A355" s="101"/>
      <c r="B355" s="102" t="e">
        <f t="array" aca="1" ref="B355" ca="1">_xludf.XLOOKUP(A355,'QA Log'!D:D,'QA Log'!E:E,"")</f>
        <v>#NAME?</v>
      </c>
      <c r="C355" s="102" t="e">
        <f t="array" aca="1" ref="C355" ca="1">_xludf.XLOOKUP(A355,'QA Log'!D:D,'QA Log'!F:F,"")</f>
        <v>#NAME?</v>
      </c>
      <c r="D355" s="102" t="e">
        <f t="array" aca="1" ref="D355" ca="1">_xludf.XLOOKUP(A355,'QA Log'!D:D,'QA Log'!H:H,"")</f>
        <v>#NAME?</v>
      </c>
      <c r="E355" s="102" t="e">
        <f t="array" aca="1" ref="E355" ca="1">_xludf.XLOOKUP(A355,'QA Log'!D:D,'QA Log'!G:G,"")</f>
        <v>#NAME?</v>
      </c>
      <c r="F355" s="103"/>
      <c r="G355" s="104"/>
      <c r="H355" s="104"/>
      <c r="I355" s="103" t="str">
        <f t="shared" si="26"/>
        <v/>
      </c>
      <c r="J355" s="102" t="str">
        <f>IF(A355="","",SUM(
COUNTIFS('QA Log'!D:D,A355,'QA Log'!M:M,"QQC",'QA Log'!L:L,"*1. General Management*"),
COUNTIFS('QA Log'!D:D,A355,'QA Log'!M:M,"QQC",'QA Log'!L:L,"*3. Curative Consultation (OPD)*"),
COUNTIFS('QA Log'!D:D,A355,'QA Log'!M:M,"QQC",'QA Log'!L:L,"*5. Laboratory*"),
COUNTIFS('QA Log'!D:D,A355,'QA Log'!M:M,"QQC",'QA Log'!L:L,"*6. Essential Medicine Management*"),
COUNTIFS('QA Log'!D:D,A355,'QA Log'!M:M,"QQC",'QA Log'!L:L,"*7. Tracer Medicine*"),
COUNTIFS('QA Log'!D:D,A355,'QA Log'!M:M,"QQC",'QA Log'!L:L,"*11. Additional Questions*")))</f>
        <v/>
      </c>
      <c r="K355" s="102" t="str">
        <f>IF(A355="","",SUM(
COUNTIFS('QA Log'!D:D,A355,'QA Log'!M:M,"QQC",'QA Log'!Z:Z,"Approved",'QA Log'!L:L,"*1. General Management*"),
COUNTIFS('QA Log'!D:D,A355,'QA Log'!M:M,"QQC",'QA Log'!Z:Z,"Approved",'QA Log'!L:L,"*3. Curative Consultation (OPD)*"),
COUNTIFS('QA Log'!D:D,A355,'QA Log'!M:M,"QQC",'QA Log'!Z:Z,"Approved",'QA Log'!L:L,"*5. Laboratory*"),
COUNTIFS('QA Log'!D:D,A355,'QA Log'!M:M,"QQC",'QA Log'!Z:Z,"Approved",'QA Log'!L:L,"*6. Essential Medicine Management*"),
COUNTIFS('QA Log'!D:D,A355,'QA Log'!M:M,"QQC",'QA Log'!Z:Z,"Approved",'QA Log'!L:L,"*7. Tracer Medicine*"),
COUNTIFS('QA Log'!D:D,A355,'QA Log'!M:M,"QQC",'QA Log'!Z:Z,"Approved",'QA Log'!L:L,"*11. Additional Questions*")))</f>
        <v/>
      </c>
      <c r="L355" s="105" t="str">
        <f>IF(A355&lt;&gt;"",COUNTIFS('QA Log'!D:D,A355,'QA Log'!M:M,"QQC",'QA Log'!L:L,"1. General Management",'QA Log'!Z:Z,"Approved"),"")</f>
        <v/>
      </c>
      <c r="M355" s="105" t="str">
        <f>IF(A355&lt;&gt;"",COUNTIFS('QA Log'!D:D,A355,'QA Log'!M:M,"QQC",'QA Log'!L:L,"3. Curative Consultation (OPD)",'QA Log'!Z:Z,"Approved"),"")</f>
        <v/>
      </c>
      <c r="N355" s="105" t="str">
        <f>IF(A355&lt;&gt;"",COUNTIFS('QA Log'!D:D,A355,'QA Log'!M:M,"QQC",'QA Log'!L:L,"5. Laboratory",'QA Log'!Z:Z,"Approved"),"")</f>
        <v/>
      </c>
      <c r="O355" s="105" t="str">
        <f>IF(A355&lt;&gt;"",COUNTIFS('QA Log'!D:D,A355,'QA Log'!M:M,"QQC",'QA Log'!L:L,"6. Essential Medicine Management",'QA Log'!Z:Z,"Approved"),"")</f>
        <v/>
      </c>
      <c r="P355" s="105" t="str">
        <f>IF(A355&lt;&gt;"",COUNTIFS('QA Log'!D:D,A355,'QA Log'!M:M,"QQC",'QA Log'!L:L,"7. Tracer Medicine",'QA Log'!Z:Z,"Approved"),"")</f>
        <v/>
      </c>
      <c r="Q355" s="105" t="str">
        <f>IF(A355&lt;&gt;"",COUNTIFS('QA Log'!D:D,A355,'QA Log'!M:M,"QQC",'QA Log'!L:L,"11. Additional Questions",'QA Log'!Z:Z,"Approved"),"")</f>
        <v/>
      </c>
      <c r="R355" s="102" t="str">
        <f>IF(A355="","",SUM(
COUNTIFS('QA Log'!D:D,A355,'QA Log'!M:M,"QQC",'QA Log'!Z:Z,"Rejected",'QA Log'!L:L,"*8. Maternity*"),
COUNTIFS('QA Log'!D:D,A355,'QA Log'!M:M,"QQC",'QA Log'!Z:Z,"Rejected",'QA Log'!L:L,"*EPI*"),
COUNTIFS('QA Log'!D:D,A355,'QA Log'!M:M,"QQC",'QA Log'!Z:Z,"Rejected",'QA Log'!L:L,"*10. Antenatal Care (ANC)*"),
COUNTIFS('QA Log'!D:D,A355,'QA Log'!M:M,"QQC",'QA Log'!Z:Z,"Rejected",'QA Log'!L:L,"*2. Hygiene and Sterilization*"),
COUNTIFS('QA Log'!D:D,A355,'QA Log'!M:M,"QQC",'QA Log'!Z:Z,"Rejected",'QA Log'!L:L,"*Family Planning*")))</f>
        <v/>
      </c>
      <c r="S355" s="106" t="str">
        <f t="shared" si="27"/>
        <v/>
      </c>
      <c r="T355" s="102" t="str">
        <f t="shared" si="28"/>
        <v/>
      </c>
      <c r="U355" s="102" t="str">
        <f>IF(A355="","",
SUM(
COUNTIFS('QA Log'!D:D,A355,'QA Log'!M:M,"QQC",'QA Log'!L:L,"*8. Maternity*"),
COUNTIFS('QA Log'!D:D,A355,'QA Log'!M:M,"QQC",'QA Log'!L:L,"*9. EPI and Pre-school Consultation*"),
COUNTIFS('QA Log'!D:D,A355,'QA Log'!M:M,"QQC",'QA Log'!L:L,"*10. Antenatal Care (ANC)*"),
COUNTIFS('QA Log'!D:D,A355,'QA Log'!M:M,"QQC",'QA Log'!L:L,"*2. Hygiene and Sterilization*"),
COUNTIFS('QA Log'!D:D,A355,'QA Log'!M:M,"QQC",'QA Log'!L:L,"*4. Family Planning*")
))</f>
        <v/>
      </c>
      <c r="V355" s="102" t="str">
        <f>IF(A355="","",
SUM(
COUNTIFS('QA Log'!D:D,A355,'QA Log'!M:M,"QQC",'QA Log'!Z:Z,"Approved",'QA Log'!L:L,"*8. Maternity*"),
COUNTIFS('QA Log'!D:D,A355,'QA Log'!M:M,"QQC",'QA Log'!Z:Z,"Approved",'QA Log'!L:L,"*9. EPI and Pre-school Consultation*"),
COUNTIFS('QA Log'!D:D,A355,'QA Log'!M:M,"QQC",'QA Log'!Z:Z,"Approved",'QA Log'!L:L,"*10. Antenatal Care (ANC)*"),
COUNTIFS('QA Log'!D:D,A355,'QA Log'!M:M,"QQC",'QA Log'!Z:Z,"Approved",'QA Log'!L:L,"*2. Hygiene and Sterilization*"),
COUNTIFS('QA Log'!D:D,A355,'QA Log'!M:M,"QQC",'QA Log'!Z:Z,"Approved",'QA Log'!L:L,"*4. Family Planning*")
))</f>
        <v/>
      </c>
      <c r="W355" s="105" t="str">
        <f>IF(A355&lt;&gt;"",COUNTIFS('QA Log'!D:D,A355,'QA Log'!M:M,"QQC",'QA Log'!L:L,"8. Maternity",'QA Log'!Z:Z,"Approved"),"")</f>
        <v/>
      </c>
      <c r="X355" s="105" t="str">
        <f>IF(A355&lt;&gt;"",COUNTIFS('QA Log'!D:D,A355,'QA Log'!M:M,"QQC",'QA Log'!L:L,"9. EPI and Pre-school Consultation",'QA Log'!Z:Z,"Approved"),"")</f>
        <v/>
      </c>
      <c r="Y355" s="105" t="str">
        <f>IF(A355&lt;&gt;"",COUNTIFS('QA Log'!D:D,A355,'QA Log'!M:M,"QQC",'QA Log'!L:L,"10. Antenatal Care (ANC)",'QA Log'!Z:Z,"Approved"),"")</f>
        <v/>
      </c>
      <c r="Z355" s="105" t="str">
        <f>IF(A355&lt;&gt;"",COUNTIFS('QA Log'!D:D,A355,'QA Log'!M:M,"QQC",'QA Log'!L:L,"2. Hygiene and Sterilization",'QA Log'!Z:Z,"Approved"),"")</f>
        <v/>
      </c>
      <c r="AA355" s="105" t="str">
        <f>IF(A355&lt;&gt;"",COUNTIFS('QA Log'!D:D,A355,'QA Log'!M:M,"QQC",'QA Log'!L:L,"4. Family Planning",'QA Log'!Z:Z,"Approved"),"")</f>
        <v/>
      </c>
      <c r="AB355" s="102" t="str">
        <f>IF(A355="","",
SUM(
COUNTIFS('QA Log'!D:D,A355,'QA Log'!M:M,"QQC",'QA Log'!Z:Z,"Rejected",'QA Log'!L:L,"*8. Maternity*"),
COUNTIFS('QA Log'!D:D,A355,'QA Log'!M:M,"QQC",'QA Log'!Z:Z,"Rejected",'QA Log'!L:L,"*9. EPI and Pre-school Consultation*"),
COUNTIFS('QA Log'!D:D,A355,'QA Log'!M:M,"QQC",'QA Log'!Z:Z,"Rejected",'QA Log'!L:L,"*10. Antenatal Care (ANC)*"),
COUNTIFS('QA Log'!D:D,A355,'QA Log'!M:M,"QQC",'QA Log'!Z:Z,"Rejected",'QA Log'!L:L,"*2. Hygiene and Sterilization*"),
COUNTIFS('QA Log'!D:D,A355,'QA Log'!M:M,"QQC",'QA Log'!Z:Z,"Rejected",'QA Log'!L:L,"*4. Family Planning*")
))</f>
        <v/>
      </c>
      <c r="AC355" s="102" t="str">
        <f t="shared" si="29"/>
        <v/>
      </c>
      <c r="AD355" s="103" t="str">
        <f t="shared" si="30"/>
        <v/>
      </c>
      <c r="AE355" s="102" t="str">
        <f>IF(A355="","",
SUM(
COUNTIFS('QA Log'!D:D,A355,'QA Log'!M:M,"Data Verification",'QA Log'!L:L,"*Medicine (section 2)*"),
COUNTIFS('QA Log'!D:D,A355,'QA Log'!M:M,"Data Verification",'QA Log'!L:L,"*Lab Testing Availability*"),
COUNTIFS('QA Log'!D:D,A355,'QA Log'!M:M,"Data Verification",'QA Log'!L:L,"*Other than P4P (section 6)*"),
COUNTIFS('QA Log'!D:D,A355,'QA Log'!M:M,"Data Verification",'QA Log'!L:L,"*Hospital Governance*")
))</f>
        <v/>
      </c>
      <c r="AF355" s="102" t="str">
        <f>IF(A355="","",
SUM(
COUNTIFS('QA Log'!D:D,A355,'QA Log'!M:M,"Data Verification",'QA Log'!Z:Z,"Approved",'QA Log'!L:L,"*Medicine (section 2)*"),
COUNTIFS('QA Log'!D:D,A355,'QA Log'!M:M,"Data Verification",'QA Log'!Z:Z,"Approved",'QA Log'!L:L,"*Lab Testing Availability*"),
COUNTIFS('QA Log'!D:D,A355,'QA Log'!M:M,"Data Verification",'QA Log'!Z:Z,"Approved",'QA Log'!L:L,"*Other than P4P (section 6)*"),
COUNTIFS('QA Log'!D:D,A355,'QA Log'!M:M,"Data Verification",'QA Log'!Z:Z,"Approved",'QA Log'!L:L,"*Hospital Governance*")
))</f>
        <v/>
      </c>
      <c r="AG355" s="105" t="str">
        <f>IF(A355&lt;&gt;"",COUNTIFS('QA Log'!D:D,A355,'QA Log'!M:M,"Data Verification",'QA Log'!L:L,"Medicine (section 2)",'QA Log'!Z:Z,"Approved"),"")</f>
        <v/>
      </c>
      <c r="AH355" s="105" t="str">
        <f>IF(A355&lt;&gt;"",COUNTIFS('QA Log'!D:D,A355,'QA Log'!M:M,"Data Verification",'QA Log'!L:L,"Lab Testing Availability",'QA Log'!Z:Z,"Approved"),"")</f>
        <v/>
      </c>
      <c r="AI355" s="105" t="str">
        <f>IF(A355&lt;&gt;"",COUNTIFS('QA Log'!D:D,A355,'QA Log'!M:M,"Data Verification",'QA Log'!L:L,"Other than P4P (section 6)",'QA Log'!Z:Z,"Approved"),"")</f>
        <v/>
      </c>
      <c r="AJ355" s="105" t="str">
        <f>IF(A355&lt;&gt;"",COUNTIFS('QA Log'!D:D,A355,'QA Log'!M:M,"Data Verification",'QA Log'!L:L,"Hospital Governance",'QA Log'!Z:Z,"Approved"),"")</f>
        <v/>
      </c>
      <c r="AK355" s="102" t="str">
        <f>IF(A355="","",
SUM(
COUNTIFS('QA Log'!D:D,A355,'QA Log'!M:M,"Data Verification",'QA Log'!Z:Z,"Rejected",'QA Log'!L:L,"*Medicine (section 2)*"),
COUNTIFS('QA Log'!D:D,A355,'QA Log'!M:M,"Data Verification",'QA Log'!Z:Z,"Rejected",'QA Log'!L:L,"*Lab Testing Availability*"),
COUNTIFS('QA Log'!D:D,A355,'QA Log'!M:M,"Data Verification",'QA Log'!Z:Z,"Rejected",'QA Log'!L:L,"*Other than P4P (section 6)*"),
COUNTIFS('QA Log'!D:D,A355,'QA Log'!M:M,"Data Verification",'QA Log'!Z:Z,"Rejected",'QA Log'!L:L,"*Hospital Governance*")
))</f>
        <v/>
      </c>
      <c r="AL355" s="106" t="str">
        <f t="shared" si="31"/>
        <v/>
      </c>
      <c r="AM355" s="102" t="str">
        <f t="shared" si="32"/>
        <v/>
      </c>
      <c r="AN355" s="102" t="str">
        <f>IF(A355="","",
SUM(
COUNTIFS('QA Log'!D:D,A355,'QA Log'!M:M,"Data Verification",'QA Log'!L:L,"*Personnel (section 1)*"),
COUNTIFS('QA Log'!D:D,A355,'QA Log'!M:M,"Data Verification",'QA Log'!L:L,"*Consumable (section 3)*"),
COUNTIFS('QA Log'!D:D,A355,'QA Log'!M:M,"Data Verification",'QA Log'!L:L,"*Equipments (section 4)*")
))</f>
        <v/>
      </c>
      <c r="AO355" s="102" t="str">
        <f>IF(A355="","",
SUM(
COUNTIFS('QA Log'!D:D,A355,'QA Log'!M:M,"Data Verification",'QA Log'!Z:Z,"Approved",'QA Log'!L:L,"*Personnel (section 1)*"),
COUNTIFS('QA Log'!D:D,A355,'QA Log'!M:M,"Data Verification",'QA Log'!Z:Z,"Approved",'QA Log'!L:L,"*Consumable (section 3)*"),
COUNTIFS('QA Log'!D:D,A355,'QA Log'!M:M,"Data Verification",'QA Log'!Z:Z,"Approved",'QA Log'!L:L,"*Equipments (section 4)*")
))</f>
        <v/>
      </c>
      <c r="AP355" s="105" t="str">
        <f>IF(A355&lt;&gt;"",COUNTIFS('QA Log'!D:D,A355,'QA Log'!M:M,"Data Verification",'QA Log'!L:L,"Personnel (section 1)",'QA Log'!Z:Z,"Approved"),"")</f>
        <v/>
      </c>
      <c r="AQ355" s="105" t="str">
        <f>IF(A355&lt;&gt;"",COUNTIFS('QA Log'!D:D,A355,'QA Log'!M:M,"Data Verification",'QA Log'!L:L,"Consumable (section 3)",'QA Log'!Z:Z,"Approved"),"")</f>
        <v/>
      </c>
      <c r="AR355" s="105" t="str">
        <f>IF(A355&lt;&gt;"",COUNTIFS('QA Log'!D:D,A355,'QA Log'!M:M,"Data Verification",'QA Log'!L:L,"Equipments (section 4)",'QA Log'!Z:Z,"Approved"),"")</f>
        <v/>
      </c>
      <c r="AS355" s="102" t="str">
        <f>IF(A355="","",
SUM(
COUNTIFS('QA Log'!D:D,A355,'QA Log'!M:M,"Data Verification",'QA Log'!Z:Z,"Rejected",'QA Log'!L:L,"*Personnel (section 1)*"),
COUNTIFS('QA Log'!D:D,A355,'QA Log'!M:M,"Data Verification",'QA Log'!Z:Z,"Rejected",'QA Log'!L:L,"*Consumable (section 3)*"),
COUNTIFS('QA Log'!D:D,A355,'QA Log'!M:M,"Data Verification",'QA Log'!Z:Z,"Rejected",'QA Log'!L:L,"*Equipments (section 4)*")
))</f>
        <v/>
      </c>
      <c r="AT355" s="102" t="str">
        <f t="shared" si="33"/>
        <v/>
      </c>
      <c r="AU355" s="103" t="str">
        <f t="shared" si="34"/>
        <v/>
      </c>
      <c r="AV355" s="102" t="str">
        <f>IF(A355="","",SUM(
COUNTIFS('QA Log'!D:D,A355,'QA Log'!M:M,"Vignette",'QA Log'!L:L,"*Vignette [1] Respiratory Infection: Pneumonia*"),
COUNTIFS('QA Log'!D:D,A355,'QA Log'!M:M,"Vignette",'QA Log'!L:L,"*Vignette [2]: Diarrhea with Cat B dehydration*"),
COUNTIFS('QA Log'!D:D,A355,'QA Log'!M:M,"Vignette",'QA Log'!L:L,"*Vignette [3] Growth Monitoring and Promotion*"),
COUNTIFS('QA Log'!D:D,A355,'QA Log'!M:M,"Vignette",'QA Log'!L:L,"*Vignette [4]: The management of presumptive TB patient*")
)
)</f>
        <v/>
      </c>
      <c r="AW355" s="102" t="str">
        <f>IF(
  A355="","",
  SUM(
    COUNTIFS('QA Log'!D:D,A355,'QA Log'!M:M,"Vignette",'QA Log'!Z:Z,"Approved",'QA Log'!L:L,"*Vignette [1] Respiratory Infection: Pneumonia*"),
    COUNTIFS('QA Log'!D:D,A355,'QA Log'!M:M,"Vignette",'QA Log'!Z:Z,"Approved",'QA Log'!L:L,"*Vignette [2]: Diarrhea with Cat B dehydration*"),
    COUNTIFS('QA Log'!D:D,A355,'QA Log'!M:M,"Vignette",'QA Log'!Z:Z,"Approved",'QA Log'!L:L,"*Vignette [3] Growth Monitoring and Promotion*"),
    COUNTIFS('QA Log'!D:D,A355,'QA Log'!M:M,"Vignette",'QA Log'!Z:Z,"Approved",'QA Log'!L:L,"*Vignette [4]: The management of presumptive TB patient*")
  )
)</f>
        <v/>
      </c>
      <c r="AX355" s="105" t="str">
        <f>IF(A355&lt;&gt;"",COUNTIFS('QA Log'!D:D,A355,'QA Log'!M:M,"Vignette",'QA Log'!L:L,"Vignette [1] Respiratory Infection: Pneumonia",'QA Log'!Z:Z,"Approved"),"")</f>
        <v/>
      </c>
      <c r="AY355" s="105" t="str">
        <f>IF(A355&lt;&gt;"",COUNTIFS('QA Log'!D:D,A355,'QA Log'!M:M,"Vignette",'QA Log'!L:L,"Vignette [2]: Diarrhea with Cat B dehydration",'QA Log'!Z:Z,"Approved"),"")</f>
        <v/>
      </c>
      <c r="AZ355" s="105" t="str">
        <f>IF(A355&lt;&gt;"",COUNTIFS('QA Log'!D:D,A355,'QA Log'!M:M,"Vignette",'QA Log'!L:L,"Vignette [3] Growth Monitoring and Promotion",'QA Log'!Z:Z,"Approved"),"")</f>
        <v/>
      </c>
      <c r="BA355" s="105" t="str">
        <f>IF(A355&lt;&gt;"",COUNTIFS('QA Log'!D:D,A355,'QA Log'!M:M,"Vignette",'QA Log'!L:L,"Vignette [4]: The management of presumptive TB patient",'QA Log'!Z:Z,"Approved"),"")</f>
        <v/>
      </c>
      <c r="BB355" s="102" t="str">
        <f>IF(A355="","",
  SUM(
    COUNTIFS('QA Log'!D:D,A355,'QA Log'!M:M,"Vignette",'QA Log'!Z:Z,"Rejected",'QA Log'!L:L,"*Vignette [1] Respiratory Infection: Pneumonia*"),
    COUNTIFS('QA Log'!D:D,A355,'QA Log'!M:M,"Vignette",'QA Log'!Z:Z,"Rejected",'QA Log'!L:L,"*Vignette [2]: Diarrhea with Cat B dehydration*"),
    COUNTIFS('QA Log'!D:D,A355,'QA Log'!M:M,"Vignette",'QA Log'!Z:Z,"Rejected",'QA Log'!L:L,"*Vignette [3] Growth Monitoring and Promotion*"),
    COUNTIFS('QA Log'!D:D,A355,'QA Log'!M:M,"Vignette",'QA Log'!Z:Z,"Rejected",'QA Log'!L:L,"*Vignette [4]: The management of presumptive TB patient*")
  )
)</f>
        <v/>
      </c>
      <c r="BC355" s="107" t="str">
        <f t="shared" si="35"/>
        <v/>
      </c>
      <c r="BD355" s="103" t="str">
        <f t="shared" si="36"/>
        <v/>
      </c>
      <c r="BE355" s="102" t="str">
        <f>IF(A355="","",SUM(
COUNTIFS('QA Log'!D:D,A355,'QA Log'!M:M,"Vignette",'QA Log'!L:L,"*Vignette [5] Labor*"),
COUNTIFS('QA Log'!D:D,A355,'QA Log'!M:M,"Vignette",'QA Log'!L:L,"*Vignette [6] PNC pre Discharge*"),
COUNTIFS('QA Log'!D:D,A355,'QA Log'!M:M,"Vignette",'QA Log'!L:L,"*Vignette [7] First ANC Visit*"),
COUNTIFS('QA Log'!D:D,A355,'QA Log'!M:M,"Vignette",'QA Log'!L:L,"*Vignette [8] Birth Spacing/ Family Planning :  FP Counselling*"),
COUNTIFS('QA Log'!D:D,A355,'QA Log'!M:M,"Vignette",'QA Log'!L:L,"*Vignette [9] Birth Spacing: Change FP method to Injectable*"),
COUNTIFS('QA Log'!D:D,A355,'QA Log'!M:M,"Vignette",'QA Log'!L:L,"*Vignette [10] Post Partum Haemorrhage - Atonic Uterus at Health Centre*"),
)
)</f>
        <v/>
      </c>
      <c r="BF355" s="102" t="str">
        <f>IF(A355="","",
  SUM(
    COUNTIFS('QA Log'!D:D,A355,'QA Log'!M:M,"Vignette",'QA Log'!Z:Z,"Approved",'QA Log'!L:L,"*Vignette [5] Labor*"),
    COUNTIFS('QA Log'!D:D,A355,'QA Log'!M:M,"Vignette",'QA Log'!Z:Z,"Approved",'QA Log'!L:L,"*Vignette [6] PNC pre Discharge*"),
    COUNTIFS('QA Log'!D:D,A355,'QA Log'!M:M,"Vignette",'QA Log'!Z:Z,"Approved",'QA Log'!L:L,"*Vignette [7] First ANC Visit*"),
    COUNTIFS('QA Log'!D:D,A355,'QA Log'!M:M,"Vignette",'QA Log'!Z:Z,"Approved",'QA Log'!L:L,"*Vignette [8] Birth Spacing/ Family Planning :  FP Counselling*"),
    COUNTIFS('QA Log'!D:D,A355,'QA Log'!M:M,"Vignette",'QA Log'!Z:Z,"Approved",'QA Log'!L:L,"*Vignette [9] Birth Spacing: Change FP method to Injectable*"),
    COUNTIFS('QA Log'!D:D,A355,'QA Log'!M:M,"Vignette",'QA Log'!Z:Z,"Approved",'QA Log'!L:L,"*Vignette [10] Post Partum Haemorrhage - Atonic Uterus at Health Centre*")
  )
)</f>
        <v/>
      </c>
      <c r="BG355" s="105" t="str">
        <f>IF(A355&lt;&gt;"",COUNTIFS('QA Log'!D:D,A355,'QA Log'!M:M,"Vignette",'QA Log'!L:L,"Vignette [5] Labor",'QA Log'!Z:Z,"Approved"),"")</f>
        <v/>
      </c>
      <c r="BH355" s="105" t="str">
        <f>IF(A355&lt;&gt;"",COUNTIFS('QA Log'!D:D,A355,'QA Log'!M:M,"Vignette",'QA Log'!L:L,"Vignette [6] PNC pre Discharge",'QA Log'!Z:Z,"Approved"),"")</f>
        <v/>
      </c>
      <c r="BI355" s="105" t="str">
        <f>IF(A355&lt;&gt;"",COUNTIFS('QA Log'!D:D,A355,'QA Log'!M:M,"Vignette",'QA Log'!L:L,"Vignette [7] First ANC Visit",'QA Log'!Z:Z,"Approved"),"")</f>
        <v/>
      </c>
      <c r="BJ355" s="105" t="str">
        <f>IF(A355&lt;&gt;"",COUNTIFS('QA Log'!D:D,A355,'QA Log'!M:M,"Vignette",'QA Log'!L:L,"Vignette [8] Birth Spacing/ Family Planning :  FP Counselling",'QA Log'!Z:Z,"Approved"),"")</f>
        <v/>
      </c>
      <c r="BK355" s="105" t="str">
        <f>IF(A355&lt;&gt;"",COUNTIFS('QA Log'!D:D,A355,'QA Log'!M:M,"Vignette",'QA Log'!L:L,"Vignette [9] Birth Spacing: Change FP method to Injectable",'QA Log'!Z:Z,"Approved"),"")</f>
        <v/>
      </c>
      <c r="BL355" s="105" t="str">
        <f>IF(A355&lt;&gt;"",COUNTIFS('QA Log'!D:D,A355,'QA Log'!M:M,"Vignette",'QA Log'!L:L,"Vignette [10] Post Partum Haemorrhage - Atonic Uterus at Health Centre",'QA Log'!Z:Z,"Approved"),"")</f>
        <v/>
      </c>
      <c r="BM355" s="102" t="str">
        <f>IF(A355="","",SUM(
    COUNTIFS('QA Log'!D:D,A355,'QA Log'!M:M,"Vignette",'QA Log'!Z:Z,"Rejected",'QA Log'!L:L,"*Vignette [5] Labor*"),
    COUNTIFS('QA Log'!D:D,A355,'QA Log'!M:M,"Vignette",'QA Log'!Z:Z,"Rejected",'QA Log'!L:L,"*Vignette [6] PNC pre Discharge*"),
    COUNTIFS('QA Log'!D:D,A355,'QA Log'!M:M,"Vignette",'QA Log'!Z:Z,"Rejected",'QA Log'!L:L,"*Vignette [7] First ANC Visit*"),
    COUNTIFS('QA Log'!D:D,A355,'QA Log'!M:M,"Vignette",'QA Log'!Z:Z,"Rejected",'QA Log'!L:L,"*Vignette [8] Birth Spacing/ Family Planning :  FP Counselling*"),
    COUNTIFS('QA Log'!D:D,A355,'QA Log'!M:M,"Vignette",'QA Log'!Z:Z,"Rejected",'QA Log'!L:L,"*Vignette [9] Birth Spacing: Change FP method to Injectable*"),
    COUNTIFS('QA Log'!D:D,A355,'QA Log'!M:M,"Vignette",'QA Log'!Z:Z,"Rejected",'QA Log'!L:L,"*Vignette [10] Post Partum Haemorrhage - Atonic Uterus at Health Centre*")
  )
)</f>
        <v/>
      </c>
      <c r="BN355" s="107" t="str">
        <f t="shared" si="37"/>
        <v/>
      </c>
      <c r="BO355" s="103" t="str">
        <f t="shared" si="38"/>
        <v/>
      </c>
      <c r="BP355" s="102" t="str">
        <f>IF(A355="","",SUM(
COUNTIFS('QA Log'!D:D,A355,'QA Log'!M:M,"Vignette",'QA Log'!L:L,"*Exit Interview 1*"),
COUNTIFS('QA Log'!D:D,A355,'QA Log'!M:M,"Vignette",'QA Log'!L:L,"*Exit Interview 2*"),
)
)</f>
        <v/>
      </c>
      <c r="BQ355" s="102" t="str">
        <f>IF(
  A355="","",
  SUM(
    COUNTIFS('QA Log'!D:D,A355,'QA Log'!M:M,"Vignette",'QA Log'!Z:Z,"Approved",'QA Log'!L:L,"*Exit Interview 1*"),
    COUNTIFS('QA Log'!D:D,A355,'QA Log'!M:M,"Vignette",'QA Log'!Z:Z,"Approved",'QA Log'!L:L,"*Exit Interview 2*")
  )
)</f>
        <v/>
      </c>
      <c r="BR355" s="105" t="str">
        <f>IF(A355&lt;&gt;"",COUNTIFS('QA Log'!D:D,A355,'QA Log'!M:M,"Vignette",'QA Log'!L:L,"Exit Interview 1",'QA Log'!Z:Z,"Approved"),"")</f>
        <v/>
      </c>
      <c r="BS355" s="105" t="str">
        <f>IF(A355&lt;&gt;"",COUNTIFS('QA Log'!D:D,A355,'QA Log'!M:M,"Vignette",'QA Log'!L:L,"Exit Interview 2",'QA Log'!Z:Z,"Approved"),"")</f>
        <v/>
      </c>
      <c r="BT355" s="102" t="str">
        <f>IF(
  A355="","",
  SUM(
    COUNTIFS('QA Log'!D:D,A355,'QA Log'!M:M,"Vignette",'QA Log'!Z:Z,"Rejected",'QA Log'!L:L,"*Exit Interview 1*"),
    COUNTIFS('QA Log'!D:D,A355,'QA Log'!M:M,"Vignette",'QA Log'!Z:Z,"Rejected",'QA Log'!L:L,"*Exit Interview 2*")
  )
)</f>
        <v/>
      </c>
      <c r="BU355" s="107" t="str">
        <f t="shared" si="39"/>
        <v/>
      </c>
      <c r="BV355" s="102" t="str">
        <f t="shared" si="40"/>
        <v/>
      </c>
      <c r="BW355" s="102" t="str">
        <f t="shared" si="41"/>
        <v/>
      </c>
      <c r="BX355" s="102" t="str">
        <f t="shared" si="42"/>
        <v/>
      </c>
      <c r="BY355" s="102" t="str">
        <f t="shared" si="43"/>
        <v/>
      </c>
      <c r="BZ355" s="107" t="str">
        <f t="shared" si="44"/>
        <v/>
      </c>
      <c r="CA355" s="108" t="str">
        <f t="shared" si="45"/>
        <v/>
      </c>
      <c r="CB355" s="108" t="str">
        <f t="shared" si="46"/>
        <v/>
      </c>
      <c r="CC355" s="109" t="str">
        <f t="shared" si="47"/>
        <v/>
      </c>
      <c r="CD355" s="108" t="str">
        <f t="shared" si="48"/>
        <v/>
      </c>
      <c r="CE355" s="108" t="str">
        <f t="shared" si="49"/>
        <v/>
      </c>
      <c r="CF355" s="109" t="str">
        <f t="shared" si="50"/>
        <v/>
      </c>
      <c r="CG355" s="110" t="str">
        <f t="shared" si="51"/>
        <v/>
      </c>
      <c r="CH355" s="111"/>
    </row>
    <row r="356" spans="1:86" ht="12.75">
      <c r="A356" s="101"/>
      <c r="B356" s="102" t="e">
        <f t="array" aca="1" ref="B356" ca="1">_xludf.XLOOKUP(A356,'QA Log'!D:D,'QA Log'!E:E,"")</f>
        <v>#NAME?</v>
      </c>
      <c r="C356" s="102" t="e">
        <f t="array" aca="1" ref="C356" ca="1">_xludf.XLOOKUP(A356,'QA Log'!D:D,'QA Log'!F:F,"")</f>
        <v>#NAME?</v>
      </c>
      <c r="D356" s="102" t="e">
        <f t="array" aca="1" ref="D356" ca="1">_xludf.XLOOKUP(A356,'QA Log'!D:D,'QA Log'!H:H,"")</f>
        <v>#NAME?</v>
      </c>
      <c r="E356" s="102" t="e">
        <f t="array" aca="1" ref="E356" ca="1">_xludf.XLOOKUP(A356,'QA Log'!D:D,'QA Log'!G:G,"")</f>
        <v>#NAME?</v>
      </c>
      <c r="F356" s="103"/>
      <c r="G356" s="104"/>
      <c r="H356" s="104"/>
      <c r="I356" s="103" t="str">
        <f t="shared" si="26"/>
        <v/>
      </c>
      <c r="J356" s="102" t="str">
        <f>IF(A356="","",SUM(
COUNTIFS('QA Log'!D:D,A356,'QA Log'!M:M,"QQC",'QA Log'!L:L,"*1. General Management*"),
COUNTIFS('QA Log'!D:D,A356,'QA Log'!M:M,"QQC",'QA Log'!L:L,"*3. Curative Consultation (OPD)*"),
COUNTIFS('QA Log'!D:D,A356,'QA Log'!M:M,"QQC",'QA Log'!L:L,"*5. Laboratory*"),
COUNTIFS('QA Log'!D:D,A356,'QA Log'!M:M,"QQC",'QA Log'!L:L,"*6. Essential Medicine Management*"),
COUNTIFS('QA Log'!D:D,A356,'QA Log'!M:M,"QQC",'QA Log'!L:L,"*7. Tracer Medicine*"),
COUNTIFS('QA Log'!D:D,A356,'QA Log'!M:M,"QQC",'QA Log'!L:L,"*11. Additional Questions*")))</f>
        <v/>
      </c>
      <c r="K356" s="102" t="str">
        <f>IF(A356="","",SUM(
COUNTIFS('QA Log'!D:D,A356,'QA Log'!M:M,"QQC",'QA Log'!Z:Z,"Approved",'QA Log'!L:L,"*1. General Management*"),
COUNTIFS('QA Log'!D:D,A356,'QA Log'!M:M,"QQC",'QA Log'!Z:Z,"Approved",'QA Log'!L:L,"*3. Curative Consultation (OPD)*"),
COUNTIFS('QA Log'!D:D,A356,'QA Log'!M:M,"QQC",'QA Log'!Z:Z,"Approved",'QA Log'!L:L,"*5. Laboratory*"),
COUNTIFS('QA Log'!D:D,A356,'QA Log'!M:M,"QQC",'QA Log'!Z:Z,"Approved",'QA Log'!L:L,"*6. Essential Medicine Management*"),
COUNTIFS('QA Log'!D:D,A356,'QA Log'!M:M,"QQC",'QA Log'!Z:Z,"Approved",'QA Log'!L:L,"*7. Tracer Medicine*"),
COUNTIFS('QA Log'!D:D,A356,'QA Log'!M:M,"QQC",'QA Log'!Z:Z,"Approved",'QA Log'!L:L,"*11. Additional Questions*")))</f>
        <v/>
      </c>
      <c r="L356" s="105" t="str">
        <f>IF(A356&lt;&gt;"",COUNTIFS('QA Log'!D:D,A356,'QA Log'!M:M,"QQC",'QA Log'!L:L,"1. General Management",'QA Log'!Z:Z,"Approved"),"")</f>
        <v/>
      </c>
      <c r="M356" s="105" t="str">
        <f>IF(A356&lt;&gt;"",COUNTIFS('QA Log'!D:D,A356,'QA Log'!M:M,"QQC",'QA Log'!L:L,"3. Curative Consultation (OPD)",'QA Log'!Z:Z,"Approved"),"")</f>
        <v/>
      </c>
      <c r="N356" s="105" t="str">
        <f>IF(A356&lt;&gt;"",COUNTIFS('QA Log'!D:D,A356,'QA Log'!M:M,"QQC",'QA Log'!L:L,"5. Laboratory",'QA Log'!Z:Z,"Approved"),"")</f>
        <v/>
      </c>
      <c r="O356" s="105" t="str">
        <f>IF(A356&lt;&gt;"",COUNTIFS('QA Log'!D:D,A356,'QA Log'!M:M,"QQC",'QA Log'!L:L,"6. Essential Medicine Management",'QA Log'!Z:Z,"Approved"),"")</f>
        <v/>
      </c>
      <c r="P356" s="105" t="str">
        <f>IF(A356&lt;&gt;"",COUNTIFS('QA Log'!D:D,A356,'QA Log'!M:M,"QQC",'QA Log'!L:L,"7. Tracer Medicine",'QA Log'!Z:Z,"Approved"),"")</f>
        <v/>
      </c>
      <c r="Q356" s="105" t="str">
        <f>IF(A356&lt;&gt;"",COUNTIFS('QA Log'!D:D,A356,'QA Log'!M:M,"QQC",'QA Log'!L:L,"11. Additional Questions",'QA Log'!Z:Z,"Approved"),"")</f>
        <v/>
      </c>
      <c r="R356" s="102" t="str">
        <f>IF(A356="","",SUM(
COUNTIFS('QA Log'!D:D,A356,'QA Log'!M:M,"QQC",'QA Log'!Z:Z,"Rejected",'QA Log'!L:L,"*8. Maternity*"),
COUNTIFS('QA Log'!D:D,A356,'QA Log'!M:M,"QQC",'QA Log'!Z:Z,"Rejected",'QA Log'!L:L,"*EPI*"),
COUNTIFS('QA Log'!D:D,A356,'QA Log'!M:M,"QQC",'QA Log'!Z:Z,"Rejected",'QA Log'!L:L,"*10. Antenatal Care (ANC)*"),
COUNTIFS('QA Log'!D:D,A356,'QA Log'!M:M,"QQC",'QA Log'!Z:Z,"Rejected",'QA Log'!L:L,"*2. Hygiene and Sterilization*"),
COUNTIFS('QA Log'!D:D,A356,'QA Log'!M:M,"QQC",'QA Log'!Z:Z,"Rejected",'QA Log'!L:L,"*Family Planning*")))</f>
        <v/>
      </c>
      <c r="S356" s="106" t="str">
        <f t="shared" si="27"/>
        <v/>
      </c>
      <c r="T356" s="102" t="str">
        <f t="shared" si="28"/>
        <v/>
      </c>
      <c r="U356" s="102" t="str">
        <f>IF(A356="","",
SUM(
COUNTIFS('QA Log'!D:D,A356,'QA Log'!M:M,"QQC",'QA Log'!L:L,"*8. Maternity*"),
COUNTIFS('QA Log'!D:D,A356,'QA Log'!M:M,"QQC",'QA Log'!L:L,"*9. EPI and Pre-school Consultation*"),
COUNTIFS('QA Log'!D:D,A356,'QA Log'!M:M,"QQC",'QA Log'!L:L,"*10. Antenatal Care (ANC)*"),
COUNTIFS('QA Log'!D:D,A356,'QA Log'!M:M,"QQC",'QA Log'!L:L,"*2. Hygiene and Sterilization*"),
COUNTIFS('QA Log'!D:D,A356,'QA Log'!M:M,"QQC",'QA Log'!L:L,"*4. Family Planning*")
))</f>
        <v/>
      </c>
      <c r="V356" s="102" t="str">
        <f>IF(A356="","",
SUM(
COUNTIFS('QA Log'!D:D,A356,'QA Log'!M:M,"QQC",'QA Log'!Z:Z,"Approved",'QA Log'!L:L,"*8. Maternity*"),
COUNTIFS('QA Log'!D:D,A356,'QA Log'!M:M,"QQC",'QA Log'!Z:Z,"Approved",'QA Log'!L:L,"*9. EPI and Pre-school Consultation*"),
COUNTIFS('QA Log'!D:D,A356,'QA Log'!M:M,"QQC",'QA Log'!Z:Z,"Approved",'QA Log'!L:L,"*10. Antenatal Care (ANC)*"),
COUNTIFS('QA Log'!D:D,A356,'QA Log'!M:M,"QQC",'QA Log'!Z:Z,"Approved",'QA Log'!L:L,"*2. Hygiene and Sterilization*"),
COUNTIFS('QA Log'!D:D,A356,'QA Log'!M:M,"QQC",'QA Log'!Z:Z,"Approved",'QA Log'!L:L,"*4. Family Planning*")
))</f>
        <v/>
      </c>
      <c r="W356" s="105" t="str">
        <f>IF(A356&lt;&gt;"",COUNTIFS('QA Log'!D:D,A356,'QA Log'!M:M,"QQC",'QA Log'!L:L,"8. Maternity",'QA Log'!Z:Z,"Approved"),"")</f>
        <v/>
      </c>
      <c r="X356" s="105" t="str">
        <f>IF(A356&lt;&gt;"",COUNTIFS('QA Log'!D:D,A356,'QA Log'!M:M,"QQC",'QA Log'!L:L,"9. EPI and Pre-school Consultation",'QA Log'!Z:Z,"Approved"),"")</f>
        <v/>
      </c>
      <c r="Y356" s="105" t="str">
        <f>IF(A356&lt;&gt;"",COUNTIFS('QA Log'!D:D,A356,'QA Log'!M:M,"QQC",'QA Log'!L:L,"10. Antenatal Care (ANC)",'QA Log'!Z:Z,"Approved"),"")</f>
        <v/>
      </c>
      <c r="Z356" s="105" t="str">
        <f>IF(A356&lt;&gt;"",COUNTIFS('QA Log'!D:D,A356,'QA Log'!M:M,"QQC",'QA Log'!L:L,"2. Hygiene and Sterilization",'QA Log'!Z:Z,"Approved"),"")</f>
        <v/>
      </c>
      <c r="AA356" s="105" t="str">
        <f>IF(A356&lt;&gt;"",COUNTIFS('QA Log'!D:D,A356,'QA Log'!M:M,"QQC",'QA Log'!L:L,"4. Family Planning",'QA Log'!Z:Z,"Approved"),"")</f>
        <v/>
      </c>
      <c r="AB356" s="102" t="str">
        <f>IF(A356="","",
SUM(
COUNTIFS('QA Log'!D:D,A356,'QA Log'!M:M,"QQC",'QA Log'!Z:Z,"Rejected",'QA Log'!L:L,"*8. Maternity*"),
COUNTIFS('QA Log'!D:D,A356,'QA Log'!M:M,"QQC",'QA Log'!Z:Z,"Rejected",'QA Log'!L:L,"*9. EPI and Pre-school Consultation*"),
COUNTIFS('QA Log'!D:D,A356,'QA Log'!M:M,"QQC",'QA Log'!Z:Z,"Rejected",'QA Log'!L:L,"*10. Antenatal Care (ANC)*"),
COUNTIFS('QA Log'!D:D,A356,'QA Log'!M:M,"QQC",'QA Log'!Z:Z,"Rejected",'QA Log'!L:L,"*2. Hygiene and Sterilization*"),
COUNTIFS('QA Log'!D:D,A356,'QA Log'!M:M,"QQC",'QA Log'!Z:Z,"Rejected",'QA Log'!L:L,"*4. Family Planning*")
))</f>
        <v/>
      </c>
      <c r="AC356" s="102" t="str">
        <f t="shared" si="29"/>
        <v/>
      </c>
      <c r="AD356" s="103" t="str">
        <f t="shared" si="30"/>
        <v/>
      </c>
      <c r="AE356" s="102" t="str">
        <f>IF(A356="","",
SUM(
COUNTIFS('QA Log'!D:D,A356,'QA Log'!M:M,"Data Verification",'QA Log'!L:L,"*Medicine (section 2)*"),
COUNTIFS('QA Log'!D:D,A356,'QA Log'!M:M,"Data Verification",'QA Log'!L:L,"*Lab Testing Availability*"),
COUNTIFS('QA Log'!D:D,A356,'QA Log'!M:M,"Data Verification",'QA Log'!L:L,"*Other than P4P (section 6)*"),
COUNTIFS('QA Log'!D:D,A356,'QA Log'!M:M,"Data Verification",'QA Log'!L:L,"*Hospital Governance*")
))</f>
        <v/>
      </c>
      <c r="AF356" s="102" t="str">
        <f>IF(A356="","",
SUM(
COUNTIFS('QA Log'!D:D,A356,'QA Log'!M:M,"Data Verification",'QA Log'!Z:Z,"Approved",'QA Log'!L:L,"*Medicine (section 2)*"),
COUNTIFS('QA Log'!D:D,A356,'QA Log'!M:M,"Data Verification",'QA Log'!Z:Z,"Approved",'QA Log'!L:L,"*Lab Testing Availability*"),
COUNTIFS('QA Log'!D:D,A356,'QA Log'!M:M,"Data Verification",'QA Log'!Z:Z,"Approved",'QA Log'!L:L,"*Other than P4P (section 6)*"),
COUNTIFS('QA Log'!D:D,A356,'QA Log'!M:M,"Data Verification",'QA Log'!Z:Z,"Approved",'QA Log'!L:L,"*Hospital Governance*")
))</f>
        <v/>
      </c>
      <c r="AG356" s="105" t="str">
        <f>IF(A356&lt;&gt;"",COUNTIFS('QA Log'!D:D,A356,'QA Log'!M:M,"Data Verification",'QA Log'!L:L,"Medicine (section 2)",'QA Log'!Z:Z,"Approved"),"")</f>
        <v/>
      </c>
      <c r="AH356" s="105" t="str">
        <f>IF(A356&lt;&gt;"",COUNTIFS('QA Log'!D:D,A356,'QA Log'!M:M,"Data Verification",'QA Log'!L:L,"Lab Testing Availability",'QA Log'!Z:Z,"Approved"),"")</f>
        <v/>
      </c>
      <c r="AI356" s="105" t="str">
        <f>IF(A356&lt;&gt;"",COUNTIFS('QA Log'!D:D,A356,'QA Log'!M:M,"Data Verification",'QA Log'!L:L,"Other than P4P (section 6)",'QA Log'!Z:Z,"Approved"),"")</f>
        <v/>
      </c>
      <c r="AJ356" s="105" t="str">
        <f>IF(A356&lt;&gt;"",COUNTIFS('QA Log'!D:D,A356,'QA Log'!M:M,"Data Verification",'QA Log'!L:L,"Hospital Governance",'QA Log'!Z:Z,"Approved"),"")</f>
        <v/>
      </c>
      <c r="AK356" s="102" t="str">
        <f>IF(A356="","",
SUM(
COUNTIFS('QA Log'!D:D,A356,'QA Log'!M:M,"Data Verification",'QA Log'!Z:Z,"Rejected",'QA Log'!L:L,"*Medicine (section 2)*"),
COUNTIFS('QA Log'!D:D,A356,'QA Log'!M:M,"Data Verification",'QA Log'!Z:Z,"Rejected",'QA Log'!L:L,"*Lab Testing Availability*"),
COUNTIFS('QA Log'!D:D,A356,'QA Log'!M:M,"Data Verification",'QA Log'!Z:Z,"Rejected",'QA Log'!L:L,"*Other than P4P (section 6)*"),
COUNTIFS('QA Log'!D:D,A356,'QA Log'!M:M,"Data Verification",'QA Log'!Z:Z,"Rejected",'QA Log'!L:L,"*Hospital Governance*")
))</f>
        <v/>
      </c>
      <c r="AL356" s="106" t="str">
        <f t="shared" si="31"/>
        <v/>
      </c>
      <c r="AM356" s="102" t="str">
        <f t="shared" si="32"/>
        <v/>
      </c>
      <c r="AN356" s="102" t="str">
        <f>IF(A356="","",
SUM(
COUNTIFS('QA Log'!D:D,A356,'QA Log'!M:M,"Data Verification",'QA Log'!L:L,"*Personnel (section 1)*"),
COUNTIFS('QA Log'!D:D,A356,'QA Log'!M:M,"Data Verification",'QA Log'!L:L,"*Consumable (section 3)*"),
COUNTIFS('QA Log'!D:D,A356,'QA Log'!M:M,"Data Verification",'QA Log'!L:L,"*Equipments (section 4)*")
))</f>
        <v/>
      </c>
      <c r="AO356" s="102" t="str">
        <f>IF(A356="","",
SUM(
COUNTIFS('QA Log'!D:D,A356,'QA Log'!M:M,"Data Verification",'QA Log'!Z:Z,"Approved",'QA Log'!L:L,"*Personnel (section 1)*"),
COUNTIFS('QA Log'!D:D,A356,'QA Log'!M:M,"Data Verification",'QA Log'!Z:Z,"Approved",'QA Log'!L:L,"*Consumable (section 3)*"),
COUNTIFS('QA Log'!D:D,A356,'QA Log'!M:M,"Data Verification",'QA Log'!Z:Z,"Approved",'QA Log'!L:L,"*Equipments (section 4)*")
))</f>
        <v/>
      </c>
      <c r="AP356" s="105" t="str">
        <f>IF(A356&lt;&gt;"",COUNTIFS('QA Log'!D:D,A356,'QA Log'!M:M,"Data Verification",'QA Log'!L:L,"Personnel (section 1)",'QA Log'!Z:Z,"Approved"),"")</f>
        <v/>
      </c>
      <c r="AQ356" s="105" t="str">
        <f>IF(A356&lt;&gt;"",COUNTIFS('QA Log'!D:D,A356,'QA Log'!M:M,"Data Verification",'QA Log'!L:L,"Consumable (section 3)",'QA Log'!Z:Z,"Approved"),"")</f>
        <v/>
      </c>
      <c r="AR356" s="105" t="str">
        <f>IF(A356&lt;&gt;"",COUNTIFS('QA Log'!D:D,A356,'QA Log'!M:M,"Data Verification",'QA Log'!L:L,"Equipments (section 4)",'QA Log'!Z:Z,"Approved"),"")</f>
        <v/>
      </c>
      <c r="AS356" s="102" t="str">
        <f>IF(A356="","",
SUM(
COUNTIFS('QA Log'!D:D,A356,'QA Log'!M:M,"Data Verification",'QA Log'!Z:Z,"Rejected",'QA Log'!L:L,"*Personnel (section 1)*"),
COUNTIFS('QA Log'!D:D,A356,'QA Log'!M:M,"Data Verification",'QA Log'!Z:Z,"Rejected",'QA Log'!L:L,"*Consumable (section 3)*"),
COUNTIFS('QA Log'!D:D,A356,'QA Log'!M:M,"Data Verification",'QA Log'!Z:Z,"Rejected",'QA Log'!L:L,"*Equipments (section 4)*")
))</f>
        <v/>
      </c>
      <c r="AT356" s="102" t="str">
        <f t="shared" si="33"/>
        <v/>
      </c>
      <c r="AU356" s="103" t="str">
        <f t="shared" si="34"/>
        <v/>
      </c>
      <c r="AV356" s="102" t="str">
        <f>IF(A356="","",SUM(
COUNTIFS('QA Log'!D:D,A356,'QA Log'!M:M,"Vignette",'QA Log'!L:L,"*Vignette [1] Respiratory Infection: Pneumonia*"),
COUNTIFS('QA Log'!D:D,A356,'QA Log'!M:M,"Vignette",'QA Log'!L:L,"*Vignette [2]: Diarrhea with Cat B dehydration*"),
COUNTIFS('QA Log'!D:D,A356,'QA Log'!M:M,"Vignette",'QA Log'!L:L,"*Vignette [3] Growth Monitoring and Promotion*"),
COUNTIFS('QA Log'!D:D,A356,'QA Log'!M:M,"Vignette",'QA Log'!L:L,"*Vignette [4]: The management of presumptive TB patient*")
)
)</f>
        <v/>
      </c>
      <c r="AW356" s="102" t="str">
        <f>IF(
  A356="","",
  SUM(
    COUNTIFS('QA Log'!D:D,A356,'QA Log'!M:M,"Vignette",'QA Log'!Z:Z,"Approved",'QA Log'!L:L,"*Vignette [1] Respiratory Infection: Pneumonia*"),
    COUNTIFS('QA Log'!D:D,A356,'QA Log'!M:M,"Vignette",'QA Log'!Z:Z,"Approved",'QA Log'!L:L,"*Vignette [2]: Diarrhea with Cat B dehydration*"),
    COUNTIFS('QA Log'!D:D,A356,'QA Log'!M:M,"Vignette",'QA Log'!Z:Z,"Approved",'QA Log'!L:L,"*Vignette [3] Growth Monitoring and Promotion*"),
    COUNTIFS('QA Log'!D:D,A356,'QA Log'!M:M,"Vignette",'QA Log'!Z:Z,"Approved",'QA Log'!L:L,"*Vignette [4]: The management of presumptive TB patient*")
  )
)</f>
        <v/>
      </c>
      <c r="AX356" s="105" t="str">
        <f>IF(A356&lt;&gt;"",COUNTIFS('QA Log'!D:D,A356,'QA Log'!M:M,"Vignette",'QA Log'!L:L,"Vignette [1] Respiratory Infection: Pneumonia",'QA Log'!Z:Z,"Approved"),"")</f>
        <v/>
      </c>
      <c r="AY356" s="105" t="str">
        <f>IF(A356&lt;&gt;"",COUNTIFS('QA Log'!D:D,A356,'QA Log'!M:M,"Vignette",'QA Log'!L:L,"Vignette [2]: Diarrhea with Cat B dehydration",'QA Log'!Z:Z,"Approved"),"")</f>
        <v/>
      </c>
      <c r="AZ356" s="105" t="str">
        <f>IF(A356&lt;&gt;"",COUNTIFS('QA Log'!D:D,A356,'QA Log'!M:M,"Vignette",'QA Log'!L:L,"Vignette [3] Growth Monitoring and Promotion",'QA Log'!Z:Z,"Approved"),"")</f>
        <v/>
      </c>
      <c r="BA356" s="105" t="str">
        <f>IF(A356&lt;&gt;"",COUNTIFS('QA Log'!D:D,A356,'QA Log'!M:M,"Vignette",'QA Log'!L:L,"Vignette [4]: The management of presumptive TB patient",'QA Log'!Z:Z,"Approved"),"")</f>
        <v/>
      </c>
      <c r="BB356" s="102" t="str">
        <f>IF(A356="","",
  SUM(
    COUNTIFS('QA Log'!D:D,A356,'QA Log'!M:M,"Vignette",'QA Log'!Z:Z,"Rejected",'QA Log'!L:L,"*Vignette [1] Respiratory Infection: Pneumonia*"),
    COUNTIFS('QA Log'!D:D,A356,'QA Log'!M:M,"Vignette",'QA Log'!Z:Z,"Rejected",'QA Log'!L:L,"*Vignette [2]: Diarrhea with Cat B dehydration*"),
    COUNTIFS('QA Log'!D:D,A356,'QA Log'!M:M,"Vignette",'QA Log'!Z:Z,"Rejected",'QA Log'!L:L,"*Vignette [3] Growth Monitoring and Promotion*"),
    COUNTIFS('QA Log'!D:D,A356,'QA Log'!M:M,"Vignette",'QA Log'!Z:Z,"Rejected",'QA Log'!L:L,"*Vignette [4]: The management of presumptive TB patient*")
  )
)</f>
        <v/>
      </c>
      <c r="BC356" s="107" t="str">
        <f t="shared" si="35"/>
        <v/>
      </c>
      <c r="BD356" s="103" t="str">
        <f t="shared" si="36"/>
        <v/>
      </c>
      <c r="BE356" s="102" t="str">
        <f>IF(A356="","",SUM(
COUNTIFS('QA Log'!D:D,A356,'QA Log'!M:M,"Vignette",'QA Log'!L:L,"*Vignette [5] Labor*"),
COUNTIFS('QA Log'!D:D,A356,'QA Log'!M:M,"Vignette",'QA Log'!L:L,"*Vignette [6] PNC pre Discharge*"),
COUNTIFS('QA Log'!D:D,A356,'QA Log'!M:M,"Vignette",'QA Log'!L:L,"*Vignette [7] First ANC Visit*"),
COUNTIFS('QA Log'!D:D,A356,'QA Log'!M:M,"Vignette",'QA Log'!L:L,"*Vignette [8] Birth Spacing/ Family Planning :  FP Counselling*"),
COUNTIFS('QA Log'!D:D,A356,'QA Log'!M:M,"Vignette",'QA Log'!L:L,"*Vignette [9] Birth Spacing: Change FP method to Injectable*"),
COUNTIFS('QA Log'!D:D,A356,'QA Log'!M:M,"Vignette",'QA Log'!L:L,"*Vignette [10] Post Partum Haemorrhage - Atonic Uterus at Health Centre*"),
)
)</f>
        <v/>
      </c>
      <c r="BF356" s="102" t="str">
        <f>IF(A356="","",
  SUM(
    COUNTIFS('QA Log'!D:D,A356,'QA Log'!M:M,"Vignette",'QA Log'!Z:Z,"Approved",'QA Log'!L:L,"*Vignette [5] Labor*"),
    COUNTIFS('QA Log'!D:D,A356,'QA Log'!M:M,"Vignette",'QA Log'!Z:Z,"Approved",'QA Log'!L:L,"*Vignette [6] PNC pre Discharge*"),
    COUNTIFS('QA Log'!D:D,A356,'QA Log'!M:M,"Vignette",'QA Log'!Z:Z,"Approved",'QA Log'!L:L,"*Vignette [7] First ANC Visit*"),
    COUNTIFS('QA Log'!D:D,A356,'QA Log'!M:M,"Vignette",'QA Log'!Z:Z,"Approved",'QA Log'!L:L,"*Vignette [8] Birth Spacing/ Family Planning :  FP Counselling*"),
    COUNTIFS('QA Log'!D:D,A356,'QA Log'!M:M,"Vignette",'QA Log'!Z:Z,"Approved",'QA Log'!L:L,"*Vignette [9] Birth Spacing: Change FP method to Injectable*"),
    COUNTIFS('QA Log'!D:D,A356,'QA Log'!M:M,"Vignette",'QA Log'!Z:Z,"Approved",'QA Log'!L:L,"*Vignette [10] Post Partum Haemorrhage - Atonic Uterus at Health Centre*")
  )
)</f>
        <v/>
      </c>
      <c r="BG356" s="105" t="str">
        <f>IF(A356&lt;&gt;"",COUNTIFS('QA Log'!D:D,A356,'QA Log'!M:M,"Vignette",'QA Log'!L:L,"Vignette [5] Labor",'QA Log'!Z:Z,"Approved"),"")</f>
        <v/>
      </c>
      <c r="BH356" s="105" t="str">
        <f>IF(A356&lt;&gt;"",COUNTIFS('QA Log'!D:D,A356,'QA Log'!M:M,"Vignette",'QA Log'!L:L,"Vignette [6] PNC pre Discharge",'QA Log'!Z:Z,"Approved"),"")</f>
        <v/>
      </c>
      <c r="BI356" s="105" t="str">
        <f>IF(A356&lt;&gt;"",COUNTIFS('QA Log'!D:D,A356,'QA Log'!M:M,"Vignette",'QA Log'!L:L,"Vignette [7] First ANC Visit",'QA Log'!Z:Z,"Approved"),"")</f>
        <v/>
      </c>
      <c r="BJ356" s="105" t="str">
        <f>IF(A356&lt;&gt;"",COUNTIFS('QA Log'!D:D,A356,'QA Log'!M:M,"Vignette",'QA Log'!L:L,"Vignette [8] Birth Spacing/ Family Planning :  FP Counselling",'QA Log'!Z:Z,"Approved"),"")</f>
        <v/>
      </c>
      <c r="BK356" s="105" t="str">
        <f>IF(A356&lt;&gt;"",COUNTIFS('QA Log'!D:D,A356,'QA Log'!M:M,"Vignette",'QA Log'!L:L,"Vignette [9] Birth Spacing: Change FP method to Injectable",'QA Log'!Z:Z,"Approved"),"")</f>
        <v/>
      </c>
      <c r="BL356" s="105" t="str">
        <f>IF(A356&lt;&gt;"",COUNTIFS('QA Log'!D:D,A356,'QA Log'!M:M,"Vignette",'QA Log'!L:L,"Vignette [10] Post Partum Haemorrhage - Atonic Uterus at Health Centre",'QA Log'!Z:Z,"Approved"),"")</f>
        <v/>
      </c>
      <c r="BM356" s="102" t="str">
        <f>IF(A356="","",SUM(
    COUNTIFS('QA Log'!D:D,A356,'QA Log'!M:M,"Vignette",'QA Log'!Z:Z,"Rejected",'QA Log'!L:L,"*Vignette [5] Labor*"),
    COUNTIFS('QA Log'!D:D,A356,'QA Log'!M:M,"Vignette",'QA Log'!Z:Z,"Rejected",'QA Log'!L:L,"*Vignette [6] PNC pre Discharge*"),
    COUNTIFS('QA Log'!D:D,A356,'QA Log'!M:M,"Vignette",'QA Log'!Z:Z,"Rejected",'QA Log'!L:L,"*Vignette [7] First ANC Visit*"),
    COUNTIFS('QA Log'!D:D,A356,'QA Log'!M:M,"Vignette",'QA Log'!Z:Z,"Rejected",'QA Log'!L:L,"*Vignette [8] Birth Spacing/ Family Planning :  FP Counselling*"),
    COUNTIFS('QA Log'!D:D,A356,'QA Log'!M:M,"Vignette",'QA Log'!Z:Z,"Rejected",'QA Log'!L:L,"*Vignette [9] Birth Spacing: Change FP method to Injectable*"),
    COUNTIFS('QA Log'!D:D,A356,'QA Log'!M:M,"Vignette",'QA Log'!Z:Z,"Rejected",'QA Log'!L:L,"*Vignette [10] Post Partum Haemorrhage - Atonic Uterus at Health Centre*")
  )
)</f>
        <v/>
      </c>
      <c r="BN356" s="107" t="str">
        <f t="shared" si="37"/>
        <v/>
      </c>
      <c r="BO356" s="103" t="str">
        <f t="shared" si="38"/>
        <v/>
      </c>
      <c r="BP356" s="102" t="str">
        <f>IF(A356="","",SUM(
COUNTIFS('QA Log'!D:D,A356,'QA Log'!M:M,"Vignette",'QA Log'!L:L,"*Exit Interview 1*"),
COUNTIFS('QA Log'!D:D,A356,'QA Log'!M:M,"Vignette",'QA Log'!L:L,"*Exit Interview 2*"),
)
)</f>
        <v/>
      </c>
      <c r="BQ356" s="102" t="str">
        <f>IF(
  A356="","",
  SUM(
    COUNTIFS('QA Log'!D:D,A356,'QA Log'!M:M,"Vignette",'QA Log'!Z:Z,"Approved",'QA Log'!L:L,"*Exit Interview 1*"),
    COUNTIFS('QA Log'!D:D,A356,'QA Log'!M:M,"Vignette",'QA Log'!Z:Z,"Approved",'QA Log'!L:L,"*Exit Interview 2*")
  )
)</f>
        <v/>
      </c>
      <c r="BR356" s="105" t="str">
        <f>IF(A356&lt;&gt;"",COUNTIFS('QA Log'!D:D,A356,'QA Log'!M:M,"Vignette",'QA Log'!L:L,"Exit Interview 1",'QA Log'!Z:Z,"Approved"),"")</f>
        <v/>
      </c>
      <c r="BS356" s="105" t="str">
        <f>IF(A356&lt;&gt;"",COUNTIFS('QA Log'!D:D,A356,'QA Log'!M:M,"Vignette",'QA Log'!L:L,"Exit Interview 2",'QA Log'!Z:Z,"Approved"),"")</f>
        <v/>
      </c>
      <c r="BT356" s="102" t="str">
        <f>IF(
  A356="","",
  SUM(
    COUNTIFS('QA Log'!D:D,A356,'QA Log'!M:M,"Vignette",'QA Log'!Z:Z,"Rejected",'QA Log'!L:L,"*Exit Interview 1*"),
    COUNTIFS('QA Log'!D:D,A356,'QA Log'!M:M,"Vignette",'QA Log'!Z:Z,"Rejected",'QA Log'!L:L,"*Exit Interview 2*")
  )
)</f>
        <v/>
      </c>
      <c r="BU356" s="107" t="str">
        <f t="shared" si="39"/>
        <v/>
      </c>
      <c r="BV356" s="102" t="str">
        <f t="shared" si="40"/>
        <v/>
      </c>
      <c r="BW356" s="102" t="str">
        <f t="shared" si="41"/>
        <v/>
      </c>
      <c r="BX356" s="102" t="str">
        <f t="shared" si="42"/>
        <v/>
      </c>
      <c r="BY356" s="102" t="str">
        <f t="shared" si="43"/>
        <v/>
      </c>
      <c r="BZ356" s="107" t="str">
        <f t="shared" si="44"/>
        <v/>
      </c>
      <c r="CA356" s="108" t="str">
        <f t="shared" si="45"/>
        <v/>
      </c>
      <c r="CB356" s="108" t="str">
        <f t="shared" si="46"/>
        <v/>
      </c>
      <c r="CC356" s="109" t="str">
        <f t="shared" si="47"/>
        <v/>
      </c>
      <c r="CD356" s="108" t="str">
        <f t="shared" si="48"/>
        <v/>
      </c>
      <c r="CE356" s="108" t="str">
        <f t="shared" si="49"/>
        <v/>
      </c>
      <c r="CF356" s="109" t="str">
        <f t="shared" si="50"/>
        <v/>
      </c>
      <c r="CG356" s="110" t="str">
        <f t="shared" si="51"/>
        <v/>
      </c>
      <c r="CH356" s="111"/>
    </row>
    <row r="357" spans="1:86" ht="12.75">
      <c r="A357" s="101"/>
      <c r="B357" s="102" t="e">
        <f t="array" aca="1" ref="B357" ca="1">_xludf.XLOOKUP(A357,'QA Log'!D:D,'QA Log'!E:E,"")</f>
        <v>#NAME?</v>
      </c>
      <c r="C357" s="102" t="e">
        <f t="array" aca="1" ref="C357" ca="1">_xludf.XLOOKUP(A357,'QA Log'!D:D,'QA Log'!F:F,"")</f>
        <v>#NAME?</v>
      </c>
      <c r="D357" s="102" t="e">
        <f t="array" aca="1" ref="D357" ca="1">_xludf.XLOOKUP(A357,'QA Log'!D:D,'QA Log'!H:H,"")</f>
        <v>#NAME?</v>
      </c>
      <c r="E357" s="102" t="e">
        <f t="array" aca="1" ref="E357" ca="1">_xludf.XLOOKUP(A357,'QA Log'!D:D,'QA Log'!G:G,"")</f>
        <v>#NAME?</v>
      </c>
      <c r="F357" s="103"/>
      <c r="G357" s="104"/>
      <c r="H357" s="104"/>
      <c r="I357" s="103" t="str">
        <f t="shared" si="26"/>
        <v/>
      </c>
      <c r="J357" s="102" t="str">
        <f>IF(A357="","",SUM(
COUNTIFS('QA Log'!D:D,A357,'QA Log'!M:M,"QQC",'QA Log'!L:L,"*1. General Management*"),
COUNTIFS('QA Log'!D:D,A357,'QA Log'!M:M,"QQC",'QA Log'!L:L,"*3. Curative Consultation (OPD)*"),
COUNTIFS('QA Log'!D:D,A357,'QA Log'!M:M,"QQC",'QA Log'!L:L,"*5. Laboratory*"),
COUNTIFS('QA Log'!D:D,A357,'QA Log'!M:M,"QQC",'QA Log'!L:L,"*6. Essential Medicine Management*"),
COUNTIFS('QA Log'!D:D,A357,'QA Log'!M:M,"QQC",'QA Log'!L:L,"*7. Tracer Medicine*"),
COUNTIFS('QA Log'!D:D,A357,'QA Log'!M:M,"QQC",'QA Log'!L:L,"*11. Additional Questions*")))</f>
        <v/>
      </c>
      <c r="K357" s="102" t="str">
        <f>IF(A357="","",SUM(
COUNTIFS('QA Log'!D:D,A357,'QA Log'!M:M,"QQC",'QA Log'!Z:Z,"Approved",'QA Log'!L:L,"*1. General Management*"),
COUNTIFS('QA Log'!D:D,A357,'QA Log'!M:M,"QQC",'QA Log'!Z:Z,"Approved",'QA Log'!L:L,"*3. Curative Consultation (OPD)*"),
COUNTIFS('QA Log'!D:D,A357,'QA Log'!M:M,"QQC",'QA Log'!Z:Z,"Approved",'QA Log'!L:L,"*5. Laboratory*"),
COUNTIFS('QA Log'!D:D,A357,'QA Log'!M:M,"QQC",'QA Log'!Z:Z,"Approved",'QA Log'!L:L,"*6. Essential Medicine Management*"),
COUNTIFS('QA Log'!D:D,A357,'QA Log'!M:M,"QQC",'QA Log'!Z:Z,"Approved",'QA Log'!L:L,"*7. Tracer Medicine*"),
COUNTIFS('QA Log'!D:D,A357,'QA Log'!M:M,"QQC",'QA Log'!Z:Z,"Approved",'QA Log'!L:L,"*11. Additional Questions*")))</f>
        <v/>
      </c>
      <c r="L357" s="105" t="str">
        <f>IF(A357&lt;&gt;"",COUNTIFS('QA Log'!D:D,A357,'QA Log'!M:M,"QQC",'QA Log'!L:L,"1. General Management",'QA Log'!Z:Z,"Approved"),"")</f>
        <v/>
      </c>
      <c r="M357" s="105" t="str">
        <f>IF(A357&lt;&gt;"",COUNTIFS('QA Log'!D:D,A357,'QA Log'!M:M,"QQC",'QA Log'!L:L,"3. Curative Consultation (OPD)",'QA Log'!Z:Z,"Approved"),"")</f>
        <v/>
      </c>
      <c r="N357" s="105" t="str">
        <f>IF(A357&lt;&gt;"",COUNTIFS('QA Log'!D:D,A357,'QA Log'!M:M,"QQC",'QA Log'!L:L,"5. Laboratory",'QA Log'!Z:Z,"Approved"),"")</f>
        <v/>
      </c>
      <c r="O357" s="105" t="str">
        <f>IF(A357&lt;&gt;"",COUNTIFS('QA Log'!D:D,A357,'QA Log'!M:M,"QQC",'QA Log'!L:L,"6. Essential Medicine Management",'QA Log'!Z:Z,"Approved"),"")</f>
        <v/>
      </c>
      <c r="P357" s="105" t="str">
        <f>IF(A357&lt;&gt;"",COUNTIFS('QA Log'!D:D,A357,'QA Log'!M:M,"QQC",'QA Log'!L:L,"7. Tracer Medicine",'QA Log'!Z:Z,"Approved"),"")</f>
        <v/>
      </c>
      <c r="Q357" s="105" t="str">
        <f>IF(A357&lt;&gt;"",COUNTIFS('QA Log'!D:D,A357,'QA Log'!M:M,"QQC",'QA Log'!L:L,"11. Additional Questions",'QA Log'!Z:Z,"Approved"),"")</f>
        <v/>
      </c>
      <c r="R357" s="102" t="str">
        <f>IF(A357="","",SUM(
COUNTIFS('QA Log'!D:D,A357,'QA Log'!M:M,"QQC",'QA Log'!Z:Z,"Rejected",'QA Log'!L:L,"*8. Maternity*"),
COUNTIFS('QA Log'!D:D,A357,'QA Log'!M:M,"QQC",'QA Log'!Z:Z,"Rejected",'QA Log'!L:L,"*EPI*"),
COUNTIFS('QA Log'!D:D,A357,'QA Log'!M:M,"QQC",'QA Log'!Z:Z,"Rejected",'QA Log'!L:L,"*10. Antenatal Care (ANC)*"),
COUNTIFS('QA Log'!D:D,A357,'QA Log'!M:M,"QQC",'QA Log'!Z:Z,"Rejected",'QA Log'!L:L,"*2. Hygiene and Sterilization*"),
COUNTIFS('QA Log'!D:D,A357,'QA Log'!M:M,"QQC",'QA Log'!Z:Z,"Rejected",'QA Log'!L:L,"*Family Planning*")))</f>
        <v/>
      </c>
      <c r="S357" s="106" t="str">
        <f t="shared" si="27"/>
        <v/>
      </c>
      <c r="T357" s="102" t="str">
        <f t="shared" si="28"/>
        <v/>
      </c>
      <c r="U357" s="102" t="str">
        <f>IF(A357="","",
SUM(
COUNTIFS('QA Log'!D:D,A357,'QA Log'!M:M,"QQC",'QA Log'!L:L,"*8. Maternity*"),
COUNTIFS('QA Log'!D:D,A357,'QA Log'!M:M,"QQC",'QA Log'!L:L,"*9. EPI and Pre-school Consultation*"),
COUNTIFS('QA Log'!D:D,A357,'QA Log'!M:M,"QQC",'QA Log'!L:L,"*10. Antenatal Care (ANC)*"),
COUNTIFS('QA Log'!D:D,A357,'QA Log'!M:M,"QQC",'QA Log'!L:L,"*2. Hygiene and Sterilization*"),
COUNTIFS('QA Log'!D:D,A357,'QA Log'!M:M,"QQC",'QA Log'!L:L,"*4. Family Planning*")
))</f>
        <v/>
      </c>
      <c r="V357" s="102" t="str">
        <f>IF(A357="","",
SUM(
COUNTIFS('QA Log'!D:D,A357,'QA Log'!M:M,"QQC",'QA Log'!Z:Z,"Approved",'QA Log'!L:L,"*8. Maternity*"),
COUNTIFS('QA Log'!D:D,A357,'QA Log'!M:M,"QQC",'QA Log'!Z:Z,"Approved",'QA Log'!L:L,"*9. EPI and Pre-school Consultation*"),
COUNTIFS('QA Log'!D:D,A357,'QA Log'!M:M,"QQC",'QA Log'!Z:Z,"Approved",'QA Log'!L:L,"*10. Antenatal Care (ANC)*"),
COUNTIFS('QA Log'!D:D,A357,'QA Log'!M:M,"QQC",'QA Log'!Z:Z,"Approved",'QA Log'!L:L,"*2. Hygiene and Sterilization*"),
COUNTIFS('QA Log'!D:D,A357,'QA Log'!M:M,"QQC",'QA Log'!Z:Z,"Approved",'QA Log'!L:L,"*4. Family Planning*")
))</f>
        <v/>
      </c>
      <c r="W357" s="105" t="str">
        <f>IF(A357&lt;&gt;"",COUNTIFS('QA Log'!D:D,A357,'QA Log'!M:M,"QQC",'QA Log'!L:L,"8. Maternity",'QA Log'!Z:Z,"Approved"),"")</f>
        <v/>
      </c>
      <c r="X357" s="105" t="str">
        <f>IF(A357&lt;&gt;"",COUNTIFS('QA Log'!D:D,A357,'QA Log'!M:M,"QQC",'QA Log'!L:L,"9. EPI and Pre-school Consultation",'QA Log'!Z:Z,"Approved"),"")</f>
        <v/>
      </c>
      <c r="Y357" s="105" t="str">
        <f>IF(A357&lt;&gt;"",COUNTIFS('QA Log'!D:D,A357,'QA Log'!M:M,"QQC",'QA Log'!L:L,"10. Antenatal Care (ANC)",'QA Log'!Z:Z,"Approved"),"")</f>
        <v/>
      </c>
      <c r="Z357" s="105" t="str">
        <f>IF(A357&lt;&gt;"",COUNTIFS('QA Log'!D:D,A357,'QA Log'!M:M,"QQC",'QA Log'!L:L,"2. Hygiene and Sterilization",'QA Log'!Z:Z,"Approved"),"")</f>
        <v/>
      </c>
      <c r="AA357" s="105" t="str">
        <f>IF(A357&lt;&gt;"",COUNTIFS('QA Log'!D:D,A357,'QA Log'!M:M,"QQC",'QA Log'!L:L,"4. Family Planning",'QA Log'!Z:Z,"Approved"),"")</f>
        <v/>
      </c>
      <c r="AB357" s="102" t="str">
        <f>IF(A357="","",
SUM(
COUNTIFS('QA Log'!D:D,A357,'QA Log'!M:M,"QQC",'QA Log'!Z:Z,"Rejected",'QA Log'!L:L,"*8. Maternity*"),
COUNTIFS('QA Log'!D:D,A357,'QA Log'!M:M,"QQC",'QA Log'!Z:Z,"Rejected",'QA Log'!L:L,"*9. EPI and Pre-school Consultation*"),
COUNTIFS('QA Log'!D:D,A357,'QA Log'!M:M,"QQC",'QA Log'!Z:Z,"Rejected",'QA Log'!L:L,"*10. Antenatal Care (ANC)*"),
COUNTIFS('QA Log'!D:D,A357,'QA Log'!M:M,"QQC",'QA Log'!Z:Z,"Rejected",'QA Log'!L:L,"*2. Hygiene and Sterilization*"),
COUNTIFS('QA Log'!D:D,A357,'QA Log'!M:M,"QQC",'QA Log'!Z:Z,"Rejected",'QA Log'!L:L,"*4. Family Planning*")
))</f>
        <v/>
      </c>
      <c r="AC357" s="102" t="str">
        <f t="shared" si="29"/>
        <v/>
      </c>
      <c r="AD357" s="103" t="str">
        <f t="shared" si="30"/>
        <v/>
      </c>
      <c r="AE357" s="102" t="str">
        <f>IF(A357="","",
SUM(
COUNTIFS('QA Log'!D:D,A357,'QA Log'!M:M,"Data Verification",'QA Log'!L:L,"*Medicine (section 2)*"),
COUNTIFS('QA Log'!D:D,A357,'QA Log'!M:M,"Data Verification",'QA Log'!L:L,"*Lab Testing Availability*"),
COUNTIFS('QA Log'!D:D,A357,'QA Log'!M:M,"Data Verification",'QA Log'!L:L,"*Other than P4P (section 6)*"),
COUNTIFS('QA Log'!D:D,A357,'QA Log'!M:M,"Data Verification",'QA Log'!L:L,"*Hospital Governance*")
))</f>
        <v/>
      </c>
      <c r="AF357" s="102" t="str">
        <f>IF(A357="","",
SUM(
COUNTIFS('QA Log'!D:D,A357,'QA Log'!M:M,"Data Verification",'QA Log'!Z:Z,"Approved",'QA Log'!L:L,"*Medicine (section 2)*"),
COUNTIFS('QA Log'!D:D,A357,'QA Log'!M:M,"Data Verification",'QA Log'!Z:Z,"Approved",'QA Log'!L:L,"*Lab Testing Availability*"),
COUNTIFS('QA Log'!D:D,A357,'QA Log'!M:M,"Data Verification",'QA Log'!Z:Z,"Approved",'QA Log'!L:L,"*Other than P4P (section 6)*"),
COUNTIFS('QA Log'!D:D,A357,'QA Log'!M:M,"Data Verification",'QA Log'!Z:Z,"Approved",'QA Log'!L:L,"*Hospital Governance*")
))</f>
        <v/>
      </c>
      <c r="AG357" s="105" t="str">
        <f>IF(A357&lt;&gt;"",COUNTIFS('QA Log'!D:D,A357,'QA Log'!M:M,"Data Verification",'QA Log'!L:L,"Medicine (section 2)",'QA Log'!Z:Z,"Approved"),"")</f>
        <v/>
      </c>
      <c r="AH357" s="105" t="str">
        <f>IF(A357&lt;&gt;"",COUNTIFS('QA Log'!D:D,A357,'QA Log'!M:M,"Data Verification",'QA Log'!L:L,"Lab Testing Availability",'QA Log'!Z:Z,"Approved"),"")</f>
        <v/>
      </c>
      <c r="AI357" s="105" t="str">
        <f>IF(A357&lt;&gt;"",COUNTIFS('QA Log'!D:D,A357,'QA Log'!M:M,"Data Verification",'QA Log'!L:L,"Other than P4P (section 6)",'QA Log'!Z:Z,"Approved"),"")</f>
        <v/>
      </c>
      <c r="AJ357" s="105" t="str">
        <f>IF(A357&lt;&gt;"",COUNTIFS('QA Log'!D:D,A357,'QA Log'!M:M,"Data Verification",'QA Log'!L:L,"Hospital Governance",'QA Log'!Z:Z,"Approved"),"")</f>
        <v/>
      </c>
      <c r="AK357" s="102" t="str">
        <f>IF(A357="","",
SUM(
COUNTIFS('QA Log'!D:D,A357,'QA Log'!M:M,"Data Verification",'QA Log'!Z:Z,"Rejected",'QA Log'!L:L,"*Medicine (section 2)*"),
COUNTIFS('QA Log'!D:D,A357,'QA Log'!M:M,"Data Verification",'QA Log'!Z:Z,"Rejected",'QA Log'!L:L,"*Lab Testing Availability*"),
COUNTIFS('QA Log'!D:D,A357,'QA Log'!M:M,"Data Verification",'QA Log'!Z:Z,"Rejected",'QA Log'!L:L,"*Other than P4P (section 6)*"),
COUNTIFS('QA Log'!D:D,A357,'QA Log'!M:M,"Data Verification",'QA Log'!Z:Z,"Rejected",'QA Log'!L:L,"*Hospital Governance*")
))</f>
        <v/>
      </c>
      <c r="AL357" s="106" t="str">
        <f t="shared" si="31"/>
        <v/>
      </c>
      <c r="AM357" s="102" t="str">
        <f t="shared" si="32"/>
        <v/>
      </c>
      <c r="AN357" s="102" t="str">
        <f>IF(A357="","",
SUM(
COUNTIFS('QA Log'!D:D,A357,'QA Log'!M:M,"Data Verification",'QA Log'!L:L,"*Personnel (section 1)*"),
COUNTIFS('QA Log'!D:D,A357,'QA Log'!M:M,"Data Verification",'QA Log'!L:L,"*Consumable (section 3)*"),
COUNTIFS('QA Log'!D:D,A357,'QA Log'!M:M,"Data Verification",'QA Log'!L:L,"*Equipments (section 4)*")
))</f>
        <v/>
      </c>
      <c r="AO357" s="102" t="str">
        <f>IF(A357="","",
SUM(
COUNTIFS('QA Log'!D:D,A357,'QA Log'!M:M,"Data Verification",'QA Log'!Z:Z,"Approved",'QA Log'!L:L,"*Personnel (section 1)*"),
COUNTIFS('QA Log'!D:D,A357,'QA Log'!M:M,"Data Verification",'QA Log'!Z:Z,"Approved",'QA Log'!L:L,"*Consumable (section 3)*"),
COUNTIFS('QA Log'!D:D,A357,'QA Log'!M:M,"Data Verification",'QA Log'!Z:Z,"Approved",'QA Log'!L:L,"*Equipments (section 4)*")
))</f>
        <v/>
      </c>
      <c r="AP357" s="105" t="str">
        <f>IF(A357&lt;&gt;"",COUNTIFS('QA Log'!D:D,A357,'QA Log'!M:M,"Data Verification",'QA Log'!L:L,"Personnel (section 1)",'QA Log'!Z:Z,"Approved"),"")</f>
        <v/>
      </c>
      <c r="AQ357" s="105" t="str">
        <f>IF(A357&lt;&gt;"",COUNTIFS('QA Log'!D:D,A357,'QA Log'!M:M,"Data Verification",'QA Log'!L:L,"Consumable (section 3)",'QA Log'!Z:Z,"Approved"),"")</f>
        <v/>
      </c>
      <c r="AR357" s="105" t="str">
        <f>IF(A357&lt;&gt;"",COUNTIFS('QA Log'!D:D,A357,'QA Log'!M:M,"Data Verification",'QA Log'!L:L,"Equipments (section 4)",'QA Log'!Z:Z,"Approved"),"")</f>
        <v/>
      </c>
      <c r="AS357" s="102" t="str">
        <f>IF(A357="","",
SUM(
COUNTIFS('QA Log'!D:D,A357,'QA Log'!M:M,"Data Verification",'QA Log'!Z:Z,"Rejected",'QA Log'!L:L,"*Personnel (section 1)*"),
COUNTIFS('QA Log'!D:D,A357,'QA Log'!M:M,"Data Verification",'QA Log'!Z:Z,"Rejected",'QA Log'!L:L,"*Consumable (section 3)*"),
COUNTIFS('QA Log'!D:D,A357,'QA Log'!M:M,"Data Verification",'QA Log'!Z:Z,"Rejected",'QA Log'!L:L,"*Equipments (section 4)*")
))</f>
        <v/>
      </c>
      <c r="AT357" s="102" t="str">
        <f t="shared" si="33"/>
        <v/>
      </c>
      <c r="AU357" s="103" t="str">
        <f t="shared" si="34"/>
        <v/>
      </c>
      <c r="AV357" s="102" t="str">
        <f>IF(A357="","",SUM(
COUNTIFS('QA Log'!D:D,A357,'QA Log'!M:M,"Vignette",'QA Log'!L:L,"*Vignette [1] Respiratory Infection: Pneumonia*"),
COUNTIFS('QA Log'!D:D,A357,'QA Log'!M:M,"Vignette",'QA Log'!L:L,"*Vignette [2]: Diarrhea with Cat B dehydration*"),
COUNTIFS('QA Log'!D:D,A357,'QA Log'!M:M,"Vignette",'QA Log'!L:L,"*Vignette [3] Growth Monitoring and Promotion*"),
COUNTIFS('QA Log'!D:D,A357,'QA Log'!M:M,"Vignette",'QA Log'!L:L,"*Vignette [4]: The management of presumptive TB patient*")
)
)</f>
        <v/>
      </c>
      <c r="AW357" s="102" t="str">
        <f>IF(
  A357="","",
  SUM(
    COUNTIFS('QA Log'!D:D,A357,'QA Log'!M:M,"Vignette",'QA Log'!Z:Z,"Approved",'QA Log'!L:L,"*Vignette [1] Respiratory Infection: Pneumonia*"),
    COUNTIFS('QA Log'!D:D,A357,'QA Log'!M:M,"Vignette",'QA Log'!Z:Z,"Approved",'QA Log'!L:L,"*Vignette [2]: Diarrhea with Cat B dehydration*"),
    COUNTIFS('QA Log'!D:D,A357,'QA Log'!M:M,"Vignette",'QA Log'!Z:Z,"Approved",'QA Log'!L:L,"*Vignette [3] Growth Monitoring and Promotion*"),
    COUNTIFS('QA Log'!D:D,A357,'QA Log'!M:M,"Vignette",'QA Log'!Z:Z,"Approved",'QA Log'!L:L,"*Vignette [4]: The management of presumptive TB patient*")
  )
)</f>
        <v/>
      </c>
      <c r="AX357" s="105" t="str">
        <f>IF(A357&lt;&gt;"",COUNTIFS('QA Log'!D:D,A357,'QA Log'!M:M,"Vignette",'QA Log'!L:L,"Vignette [1] Respiratory Infection: Pneumonia",'QA Log'!Z:Z,"Approved"),"")</f>
        <v/>
      </c>
      <c r="AY357" s="105" t="str">
        <f>IF(A357&lt;&gt;"",COUNTIFS('QA Log'!D:D,A357,'QA Log'!M:M,"Vignette",'QA Log'!L:L,"Vignette [2]: Diarrhea with Cat B dehydration",'QA Log'!Z:Z,"Approved"),"")</f>
        <v/>
      </c>
      <c r="AZ357" s="105" t="str">
        <f>IF(A357&lt;&gt;"",COUNTIFS('QA Log'!D:D,A357,'QA Log'!M:M,"Vignette",'QA Log'!L:L,"Vignette [3] Growth Monitoring and Promotion",'QA Log'!Z:Z,"Approved"),"")</f>
        <v/>
      </c>
      <c r="BA357" s="105" t="str">
        <f>IF(A357&lt;&gt;"",COUNTIFS('QA Log'!D:D,A357,'QA Log'!M:M,"Vignette",'QA Log'!L:L,"Vignette [4]: The management of presumptive TB patient",'QA Log'!Z:Z,"Approved"),"")</f>
        <v/>
      </c>
      <c r="BB357" s="102" t="str">
        <f>IF(A357="","",
  SUM(
    COUNTIFS('QA Log'!D:D,A357,'QA Log'!M:M,"Vignette",'QA Log'!Z:Z,"Rejected",'QA Log'!L:L,"*Vignette [1] Respiratory Infection: Pneumonia*"),
    COUNTIFS('QA Log'!D:D,A357,'QA Log'!M:M,"Vignette",'QA Log'!Z:Z,"Rejected",'QA Log'!L:L,"*Vignette [2]: Diarrhea with Cat B dehydration*"),
    COUNTIFS('QA Log'!D:D,A357,'QA Log'!M:M,"Vignette",'QA Log'!Z:Z,"Rejected",'QA Log'!L:L,"*Vignette [3] Growth Monitoring and Promotion*"),
    COUNTIFS('QA Log'!D:D,A357,'QA Log'!M:M,"Vignette",'QA Log'!Z:Z,"Rejected",'QA Log'!L:L,"*Vignette [4]: The management of presumptive TB patient*")
  )
)</f>
        <v/>
      </c>
      <c r="BC357" s="107" t="str">
        <f t="shared" si="35"/>
        <v/>
      </c>
      <c r="BD357" s="103" t="str">
        <f t="shared" si="36"/>
        <v/>
      </c>
      <c r="BE357" s="102" t="str">
        <f>IF(A357="","",SUM(
COUNTIFS('QA Log'!D:D,A357,'QA Log'!M:M,"Vignette",'QA Log'!L:L,"*Vignette [5] Labor*"),
COUNTIFS('QA Log'!D:D,A357,'QA Log'!M:M,"Vignette",'QA Log'!L:L,"*Vignette [6] PNC pre Discharge*"),
COUNTIFS('QA Log'!D:D,A357,'QA Log'!M:M,"Vignette",'QA Log'!L:L,"*Vignette [7] First ANC Visit*"),
COUNTIFS('QA Log'!D:D,A357,'QA Log'!M:M,"Vignette",'QA Log'!L:L,"*Vignette [8] Birth Spacing/ Family Planning :  FP Counselling*"),
COUNTIFS('QA Log'!D:D,A357,'QA Log'!M:M,"Vignette",'QA Log'!L:L,"*Vignette [9] Birth Spacing: Change FP method to Injectable*"),
COUNTIFS('QA Log'!D:D,A357,'QA Log'!M:M,"Vignette",'QA Log'!L:L,"*Vignette [10] Post Partum Haemorrhage - Atonic Uterus at Health Centre*"),
)
)</f>
        <v/>
      </c>
      <c r="BF357" s="102" t="str">
        <f>IF(A357="","",
  SUM(
    COUNTIFS('QA Log'!D:D,A357,'QA Log'!M:M,"Vignette",'QA Log'!Z:Z,"Approved",'QA Log'!L:L,"*Vignette [5] Labor*"),
    COUNTIFS('QA Log'!D:D,A357,'QA Log'!M:M,"Vignette",'QA Log'!Z:Z,"Approved",'QA Log'!L:L,"*Vignette [6] PNC pre Discharge*"),
    COUNTIFS('QA Log'!D:D,A357,'QA Log'!M:M,"Vignette",'QA Log'!Z:Z,"Approved",'QA Log'!L:L,"*Vignette [7] First ANC Visit*"),
    COUNTIFS('QA Log'!D:D,A357,'QA Log'!M:M,"Vignette",'QA Log'!Z:Z,"Approved",'QA Log'!L:L,"*Vignette [8] Birth Spacing/ Family Planning :  FP Counselling*"),
    COUNTIFS('QA Log'!D:D,A357,'QA Log'!M:M,"Vignette",'QA Log'!Z:Z,"Approved",'QA Log'!L:L,"*Vignette [9] Birth Spacing: Change FP method to Injectable*"),
    COUNTIFS('QA Log'!D:D,A357,'QA Log'!M:M,"Vignette",'QA Log'!Z:Z,"Approved",'QA Log'!L:L,"*Vignette [10] Post Partum Haemorrhage - Atonic Uterus at Health Centre*")
  )
)</f>
        <v/>
      </c>
      <c r="BG357" s="105" t="str">
        <f>IF(A357&lt;&gt;"",COUNTIFS('QA Log'!D:D,A357,'QA Log'!M:M,"Vignette",'QA Log'!L:L,"Vignette [5] Labor",'QA Log'!Z:Z,"Approved"),"")</f>
        <v/>
      </c>
      <c r="BH357" s="105" t="str">
        <f>IF(A357&lt;&gt;"",COUNTIFS('QA Log'!D:D,A357,'QA Log'!M:M,"Vignette",'QA Log'!L:L,"Vignette [6] PNC pre Discharge",'QA Log'!Z:Z,"Approved"),"")</f>
        <v/>
      </c>
      <c r="BI357" s="105" t="str">
        <f>IF(A357&lt;&gt;"",COUNTIFS('QA Log'!D:D,A357,'QA Log'!M:M,"Vignette",'QA Log'!L:L,"Vignette [7] First ANC Visit",'QA Log'!Z:Z,"Approved"),"")</f>
        <v/>
      </c>
      <c r="BJ357" s="105" t="str">
        <f>IF(A357&lt;&gt;"",COUNTIFS('QA Log'!D:D,A357,'QA Log'!M:M,"Vignette",'QA Log'!L:L,"Vignette [8] Birth Spacing/ Family Planning :  FP Counselling",'QA Log'!Z:Z,"Approved"),"")</f>
        <v/>
      </c>
      <c r="BK357" s="105" t="str">
        <f>IF(A357&lt;&gt;"",COUNTIFS('QA Log'!D:D,A357,'QA Log'!M:M,"Vignette",'QA Log'!L:L,"Vignette [9] Birth Spacing: Change FP method to Injectable",'QA Log'!Z:Z,"Approved"),"")</f>
        <v/>
      </c>
      <c r="BL357" s="105" t="str">
        <f>IF(A357&lt;&gt;"",COUNTIFS('QA Log'!D:D,A357,'QA Log'!M:M,"Vignette",'QA Log'!L:L,"Vignette [10] Post Partum Haemorrhage - Atonic Uterus at Health Centre",'QA Log'!Z:Z,"Approved"),"")</f>
        <v/>
      </c>
      <c r="BM357" s="102" t="str">
        <f>IF(A357="","",SUM(
    COUNTIFS('QA Log'!D:D,A357,'QA Log'!M:M,"Vignette",'QA Log'!Z:Z,"Rejected",'QA Log'!L:L,"*Vignette [5] Labor*"),
    COUNTIFS('QA Log'!D:D,A357,'QA Log'!M:M,"Vignette",'QA Log'!Z:Z,"Rejected",'QA Log'!L:L,"*Vignette [6] PNC pre Discharge*"),
    COUNTIFS('QA Log'!D:D,A357,'QA Log'!M:M,"Vignette",'QA Log'!Z:Z,"Rejected",'QA Log'!L:L,"*Vignette [7] First ANC Visit*"),
    COUNTIFS('QA Log'!D:D,A357,'QA Log'!M:M,"Vignette",'QA Log'!Z:Z,"Rejected",'QA Log'!L:L,"*Vignette [8] Birth Spacing/ Family Planning :  FP Counselling*"),
    COUNTIFS('QA Log'!D:D,A357,'QA Log'!M:M,"Vignette",'QA Log'!Z:Z,"Rejected",'QA Log'!L:L,"*Vignette [9] Birth Spacing: Change FP method to Injectable*"),
    COUNTIFS('QA Log'!D:D,A357,'QA Log'!M:M,"Vignette",'QA Log'!Z:Z,"Rejected",'QA Log'!L:L,"*Vignette [10] Post Partum Haemorrhage - Atonic Uterus at Health Centre*")
  )
)</f>
        <v/>
      </c>
      <c r="BN357" s="107" t="str">
        <f t="shared" si="37"/>
        <v/>
      </c>
      <c r="BO357" s="103" t="str">
        <f t="shared" si="38"/>
        <v/>
      </c>
      <c r="BP357" s="102" t="str">
        <f>IF(A357="","",SUM(
COUNTIFS('QA Log'!D:D,A357,'QA Log'!M:M,"Vignette",'QA Log'!L:L,"*Exit Interview 1*"),
COUNTIFS('QA Log'!D:D,A357,'QA Log'!M:M,"Vignette",'QA Log'!L:L,"*Exit Interview 2*"),
)
)</f>
        <v/>
      </c>
      <c r="BQ357" s="102" t="str">
        <f>IF(
  A357="","",
  SUM(
    COUNTIFS('QA Log'!D:D,A357,'QA Log'!M:M,"Vignette",'QA Log'!Z:Z,"Approved",'QA Log'!L:L,"*Exit Interview 1*"),
    COUNTIFS('QA Log'!D:D,A357,'QA Log'!M:M,"Vignette",'QA Log'!Z:Z,"Approved",'QA Log'!L:L,"*Exit Interview 2*")
  )
)</f>
        <v/>
      </c>
      <c r="BR357" s="105" t="str">
        <f>IF(A357&lt;&gt;"",COUNTIFS('QA Log'!D:D,A357,'QA Log'!M:M,"Vignette",'QA Log'!L:L,"Exit Interview 1",'QA Log'!Z:Z,"Approved"),"")</f>
        <v/>
      </c>
      <c r="BS357" s="105" t="str">
        <f>IF(A357&lt;&gt;"",COUNTIFS('QA Log'!D:D,A357,'QA Log'!M:M,"Vignette",'QA Log'!L:L,"Exit Interview 2",'QA Log'!Z:Z,"Approved"),"")</f>
        <v/>
      </c>
      <c r="BT357" s="102" t="str">
        <f>IF(
  A357="","",
  SUM(
    COUNTIFS('QA Log'!D:D,A357,'QA Log'!M:M,"Vignette",'QA Log'!Z:Z,"Rejected",'QA Log'!L:L,"*Exit Interview 1*"),
    COUNTIFS('QA Log'!D:D,A357,'QA Log'!M:M,"Vignette",'QA Log'!Z:Z,"Rejected",'QA Log'!L:L,"*Exit Interview 2*")
  )
)</f>
        <v/>
      </c>
      <c r="BU357" s="107" t="str">
        <f t="shared" si="39"/>
        <v/>
      </c>
      <c r="BV357" s="102" t="str">
        <f t="shared" si="40"/>
        <v/>
      </c>
      <c r="BW357" s="102" t="str">
        <f t="shared" si="41"/>
        <v/>
      </c>
      <c r="BX357" s="102" t="str">
        <f t="shared" si="42"/>
        <v/>
      </c>
      <c r="BY357" s="102" t="str">
        <f t="shared" si="43"/>
        <v/>
      </c>
      <c r="BZ357" s="107" t="str">
        <f t="shared" si="44"/>
        <v/>
      </c>
      <c r="CA357" s="108" t="str">
        <f t="shared" si="45"/>
        <v/>
      </c>
      <c r="CB357" s="108" t="str">
        <f t="shared" si="46"/>
        <v/>
      </c>
      <c r="CC357" s="109" t="str">
        <f t="shared" si="47"/>
        <v/>
      </c>
      <c r="CD357" s="108" t="str">
        <f t="shared" si="48"/>
        <v/>
      </c>
      <c r="CE357" s="108" t="str">
        <f t="shared" si="49"/>
        <v/>
      </c>
      <c r="CF357" s="109" t="str">
        <f t="shared" si="50"/>
        <v/>
      </c>
      <c r="CG357" s="110" t="str">
        <f t="shared" si="51"/>
        <v/>
      </c>
      <c r="CH357" s="111"/>
    </row>
    <row r="358" spans="1:86" ht="12.75">
      <c r="A358" s="101"/>
      <c r="B358" s="102" t="e">
        <f t="array" aca="1" ref="B358" ca="1">_xludf.XLOOKUP(A358,'QA Log'!D:D,'QA Log'!E:E,"")</f>
        <v>#NAME?</v>
      </c>
      <c r="C358" s="102" t="e">
        <f t="array" aca="1" ref="C358" ca="1">_xludf.XLOOKUP(A358,'QA Log'!D:D,'QA Log'!F:F,"")</f>
        <v>#NAME?</v>
      </c>
      <c r="D358" s="102" t="e">
        <f t="array" aca="1" ref="D358" ca="1">_xludf.XLOOKUP(A358,'QA Log'!D:D,'QA Log'!H:H,"")</f>
        <v>#NAME?</v>
      </c>
      <c r="E358" s="102" t="e">
        <f t="array" aca="1" ref="E358" ca="1">_xludf.XLOOKUP(A358,'QA Log'!D:D,'QA Log'!G:G,"")</f>
        <v>#NAME?</v>
      </c>
      <c r="F358" s="103"/>
      <c r="G358" s="104"/>
      <c r="H358" s="104"/>
      <c r="I358" s="103" t="str">
        <f t="shared" si="26"/>
        <v/>
      </c>
      <c r="J358" s="102" t="str">
        <f>IF(A358="","",SUM(
COUNTIFS('QA Log'!D:D,A358,'QA Log'!M:M,"QQC",'QA Log'!L:L,"*1. General Management*"),
COUNTIFS('QA Log'!D:D,A358,'QA Log'!M:M,"QQC",'QA Log'!L:L,"*3. Curative Consultation (OPD)*"),
COUNTIFS('QA Log'!D:D,A358,'QA Log'!M:M,"QQC",'QA Log'!L:L,"*5. Laboratory*"),
COUNTIFS('QA Log'!D:D,A358,'QA Log'!M:M,"QQC",'QA Log'!L:L,"*6. Essential Medicine Management*"),
COUNTIFS('QA Log'!D:D,A358,'QA Log'!M:M,"QQC",'QA Log'!L:L,"*7. Tracer Medicine*"),
COUNTIFS('QA Log'!D:D,A358,'QA Log'!M:M,"QQC",'QA Log'!L:L,"*11. Additional Questions*")))</f>
        <v/>
      </c>
      <c r="K358" s="102" t="str">
        <f>IF(A358="","",SUM(
COUNTIFS('QA Log'!D:D,A358,'QA Log'!M:M,"QQC",'QA Log'!Z:Z,"Approved",'QA Log'!L:L,"*1. General Management*"),
COUNTIFS('QA Log'!D:D,A358,'QA Log'!M:M,"QQC",'QA Log'!Z:Z,"Approved",'QA Log'!L:L,"*3. Curative Consultation (OPD)*"),
COUNTIFS('QA Log'!D:D,A358,'QA Log'!M:M,"QQC",'QA Log'!Z:Z,"Approved",'QA Log'!L:L,"*5. Laboratory*"),
COUNTIFS('QA Log'!D:D,A358,'QA Log'!M:M,"QQC",'QA Log'!Z:Z,"Approved",'QA Log'!L:L,"*6. Essential Medicine Management*"),
COUNTIFS('QA Log'!D:D,A358,'QA Log'!M:M,"QQC",'QA Log'!Z:Z,"Approved",'QA Log'!L:L,"*7. Tracer Medicine*"),
COUNTIFS('QA Log'!D:D,A358,'QA Log'!M:M,"QQC",'QA Log'!Z:Z,"Approved",'QA Log'!L:L,"*11. Additional Questions*")))</f>
        <v/>
      </c>
      <c r="L358" s="105" t="str">
        <f>IF(A358&lt;&gt;"",COUNTIFS('QA Log'!D:D,A358,'QA Log'!M:M,"QQC",'QA Log'!L:L,"1. General Management",'QA Log'!Z:Z,"Approved"),"")</f>
        <v/>
      </c>
      <c r="M358" s="105" t="str">
        <f>IF(A358&lt;&gt;"",COUNTIFS('QA Log'!D:D,A358,'QA Log'!M:M,"QQC",'QA Log'!L:L,"3. Curative Consultation (OPD)",'QA Log'!Z:Z,"Approved"),"")</f>
        <v/>
      </c>
      <c r="N358" s="105" t="str">
        <f>IF(A358&lt;&gt;"",COUNTIFS('QA Log'!D:D,A358,'QA Log'!M:M,"QQC",'QA Log'!L:L,"5. Laboratory",'QA Log'!Z:Z,"Approved"),"")</f>
        <v/>
      </c>
      <c r="O358" s="105" t="str">
        <f>IF(A358&lt;&gt;"",COUNTIFS('QA Log'!D:D,A358,'QA Log'!M:M,"QQC",'QA Log'!L:L,"6. Essential Medicine Management",'QA Log'!Z:Z,"Approved"),"")</f>
        <v/>
      </c>
      <c r="P358" s="105" t="str">
        <f>IF(A358&lt;&gt;"",COUNTIFS('QA Log'!D:D,A358,'QA Log'!M:M,"QQC",'QA Log'!L:L,"7. Tracer Medicine",'QA Log'!Z:Z,"Approved"),"")</f>
        <v/>
      </c>
      <c r="Q358" s="105" t="str">
        <f>IF(A358&lt;&gt;"",COUNTIFS('QA Log'!D:D,A358,'QA Log'!M:M,"QQC",'QA Log'!L:L,"11. Additional Questions",'QA Log'!Z:Z,"Approved"),"")</f>
        <v/>
      </c>
      <c r="R358" s="102" t="str">
        <f>IF(A358="","",SUM(
COUNTIFS('QA Log'!D:D,A358,'QA Log'!M:M,"QQC",'QA Log'!Z:Z,"Rejected",'QA Log'!L:L,"*8. Maternity*"),
COUNTIFS('QA Log'!D:D,A358,'QA Log'!M:M,"QQC",'QA Log'!Z:Z,"Rejected",'QA Log'!L:L,"*EPI*"),
COUNTIFS('QA Log'!D:D,A358,'QA Log'!M:M,"QQC",'QA Log'!Z:Z,"Rejected",'QA Log'!L:L,"*10. Antenatal Care (ANC)*"),
COUNTIFS('QA Log'!D:D,A358,'QA Log'!M:M,"QQC",'QA Log'!Z:Z,"Rejected",'QA Log'!L:L,"*2. Hygiene and Sterilization*"),
COUNTIFS('QA Log'!D:D,A358,'QA Log'!M:M,"QQC",'QA Log'!Z:Z,"Rejected",'QA Log'!L:L,"*Family Planning*")))</f>
        <v/>
      </c>
      <c r="S358" s="106" t="str">
        <f t="shared" si="27"/>
        <v/>
      </c>
      <c r="T358" s="102" t="str">
        <f t="shared" si="28"/>
        <v/>
      </c>
      <c r="U358" s="102" t="str">
        <f>IF(A358="","",
SUM(
COUNTIFS('QA Log'!D:D,A358,'QA Log'!M:M,"QQC",'QA Log'!L:L,"*8. Maternity*"),
COUNTIFS('QA Log'!D:D,A358,'QA Log'!M:M,"QQC",'QA Log'!L:L,"*9. EPI and Pre-school Consultation*"),
COUNTIFS('QA Log'!D:D,A358,'QA Log'!M:M,"QQC",'QA Log'!L:L,"*10. Antenatal Care (ANC)*"),
COUNTIFS('QA Log'!D:D,A358,'QA Log'!M:M,"QQC",'QA Log'!L:L,"*2. Hygiene and Sterilization*"),
COUNTIFS('QA Log'!D:D,A358,'QA Log'!M:M,"QQC",'QA Log'!L:L,"*4. Family Planning*")
))</f>
        <v/>
      </c>
      <c r="V358" s="102" t="str">
        <f>IF(A358="","",
SUM(
COUNTIFS('QA Log'!D:D,A358,'QA Log'!M:M,"QQC",'QA Log'!Z:Z,"Approved",'QA Log'!L:L,"*8. Maternity*"),
COUNTIFS('QA Log'!D:D,A358,'QA Log'!M:M,"QQC",'QA Log'!Z:Z,"Approved",'QA Log'!L:L,"*9. EPI and Pre-school Consultation*"),
COUNTIFS('QA Log'!D:D,A358,'QA Log'!M:M,"QQC",'QA Log'!Z:Z,"Approved",'QA Log'!L:L,"*10. Antenatal Care (ANC)*"),
COUNTIFS('QA Log'!D:D,A358,'QA Log'!M:M,"QQC",'QA Log'!Z:Z,"Approved",'QA Log'!L:L,"*2. Hygiene and Sterilization*"),
COUNTIFS('QA Log'!D:D,A358,'QA Log'!M:M,"QQC",'QA Log'!Z:Z,"Approved",'QA Log'!L:L,"*4. Family Planning*")
))</f>
        <v/>
      </c>
      <c r="W358" s="105" t="str">
        <f>IF(A358&lt;&gt;"",COUNTIFS('QA Log'!D:D,A358,'QA Log'!M:M,"QQC",'QA Log'!L:L,"8. Maternity",'QA Log'!Z:Z,"Approved"),"")</f>
        <v/>
      </c>
      <c r="X358" s="105" t="str">
        <f>IF(A358&lt;&gt;"",COUNTIFS('QA Log'!D:D,A358,'QA Log'!M:M,"QQC",'QA Log'!L:L,"9. EPI and Pre-school Consultation",'QA Log'!Z:Z,"Approved"),"")</f>
        <v/>
      </c>
      <c r="Y358" s="105" t="str">
        <f>IF(A358&lt;&gt;"",COUNTIFS('QA Log'!D:D,A358,'QA Log'!M:M,"QQC",'QA Log'!L:L,"10. Antenatal Care (ANC)",'QA Log'!Z:Z,"Approved"),"")</f>
        <v/>
      </c>
      <c r="Z358" s="105" t="str">
        <f>IF(A358&lt;&gt;"",COUNTIFS('QA Log'!D:D,A358,'QA Log'!M:M,"QQC",'QA Log'!L:L,"2. Hygiene and Sterilization",'QA Log'!Z:Z,"Approved"),"")</f>
        <v/>
      </c>
      <c r="AA358" s="105" t="str">
        <f>IF(A358&lt;&gt;"",COUNTIFS('QA Log'!D:D,A358,'QA Log'!M:M,"QQC",'QA Log'!L:L,"4. Family Planning",'QA Log'!Z:Z,"Approved"),"")</f>
        <v/>
      </c>
      <c r="AB358" s="102" t="str">
        <f>IF(A358="","",
SUM(
COUNTIFS('QA Log'!D:D,A358,'QA Log'!M:M,"QQC",'QA Log'!Z:Z,"Rejected",'QA Log'!L:L,"*8. Maternity*"),
COUNTIFS('QA Log'!D:D,A358,'QA Log'!M:M,"QQC",'QA Log'!Z:Z,"Rejected",'QA Log'!L:L,"*9. EPI and Pre-school Consultation*"),
COUNTIFS('QA Log'!D:D,A358,'QA Log'!M:M,"QQC",'QA Log'!Z:Z,"Rejected",'QA Log'!L:L,"*10. Antenatal Care (ANC)*"),
COUNTIFS('QA Log'!D:D,A358,'QA Log'!M:M,"QQC",'QA Log'!Z:Z,"Rejected",'QA Log'!L:L,"*2. Hygiene and Sterilization*"),
COUNTIFS('QA Log'!D:D,A358,'QA Log'!M:M,"QQC",'QA Log'!Z:Z,"Rejected",'QA Log'!L:L,"*4. Family Planning*")
))</f>
        <v/>
      </c>
      <c r="AC358" s="102" t="str">
        <f t="shared" si="29"/>
        <v/>
      </c>
      <c r="AD358" s="103" t="str">
        <f t="shared" si="30"/>
        <v/>
      </c>
      <c r="AE358" s="102" t="str">
        <f>IF(A358="","",
SUM(
COUNTIFS('QA Log'!D:D,A358,'QA Log'!M:M,"Data Verification",'QA Log'!L:L,"*Medicine (section 2)*"),
COUNTIFS('QA Log'!D:D,A358,'QA Log'!M:M,"Data Verification",'QA Log'!L:L,"*Lab Testing Availability*"),
COUNTIFS('QA Log'!D:D,A358,'QA Log'!M:M,"Data Verification",'QA Log'!L:L,"*Other than P4P (section 6)*"),
COUNTIFS('QA Log'!D:D,A358,'QA Log'!M:M,"Data Verification",'QA Log'!L:L,"*Hospital Governance*")
))</f>
        <v/>
      </c>
      <c r="AF358" s="102" t="str">
        <f>IF(A358="","",
SUM(
COUNTIFS('QA Log'!D:D,A358,'QA Log'!M:M,"Data Verification",'QA Log'!Z:Z,"Approved",'QA Log'!L:L,"*Medicine (section 2)*"),
COUNTIFS('QA Log'!D:D,A358,'QA Log'!M:M,"Data Verification",'QA Log'!Z:Z,"Approved",'QA Log'!L:L,"*Lab Testing Availability*"),
COUNTIFS('QA Log'!D:D,A358,'QA Log'!M:M,"Data Verification",'QA Log'!Z:Z,"Approved",'QA Log'!L:L,"*Other than P4P (section 6)*"),
COUNTIFS('QA Log'!D:D,A358,'QA Log'!M:M,"Data Verification",'QA Log'!Z:Z,"Approved",'QA Log'!L:L,"*Hospital Governance*")
))</f>
        <v/>
      </c>
      <c r="AG358" s="105" t="str">
        <f>IF(A358&lt;&gt;"",COUNTIFS('QA Log'!D:D,A358,'QA Log'!M:M,"Data Verification",'QA Log'!L:L,"Medicine (section 2)",'QA Log'!Z:Z,"Approved"),"")</f>
        <v/>
      </c>
      <c r="AH358" s="105" t="str">
        <f>IF(A358&lt;&gt;"",COUNTIFS('QA Log'!D:D,A358,'QA Log'!M:M,"Data Verification",'QA Log'!L:L,"Lab Testing Availability",'QA Log'!Z:Z,"Approved"),"")</f>
        <v/>
      </c>
      <c r="AI358" s="105" t="str">
        <f>IF(A358&lt;&gt;"",COUNTIFS('QA Log'!D:D,A358,'QA Log'!M:M,"Data Verification",'QA Log'!L:L,"Other than P4P (section 6)",'QA Log'!Z:Z,"Approved"),"")</f>
        <v/>
      </c>
      <c r="AJ358" s="105" t="str">
        <f>IF(A358&lt;&gt;"",COUNTIFS('QA Log'!D:D,A358,'QA Log'!M:M,"Data Verification",'QA Log'!L:L,"Hospital Governance",'QA Log'!Z:Z,"Approved"),"")</f>
        <v/>
      </c>
      <c r="AK358" s="102" t="str">
        <f>IF(A358="","",
SUM(
COUNTIFS('QA Log'!D:D,A358,'QA Log'!M:M,"Data Verification",'QA Log'!Z:Z,"Rejected",'QA Log'!L:L,"*Medicine (section 2)*"),
COUNTIFS('QA Log'!D:D,A358,'QA Log'!M:M,"Data Verification",'QA Log'!Z:Z,"Rejected",'QA Log'!L:L,"*Lab Testing Availability*"),
COUNTIFS('QA Log'!D:D,A358,'QA Log'!M:M,"Data Verification",'QA Log'!Z:Z,"Rejected",'QA Log'!L:L,"*Other than P4P (section 6)*"),
COUNTIFS('QA Log'!D:D,A358,'QA Log'!M:M,"Data Verification",'QA Log'!Z:Z,"Rejected",'QA Log'!L:L,"*Hospital Governance*")
))</f>
        <v/>
      </c>
      <c r="AL358" s="106" t="str">
        <f t="shared" si="31"/>
        <v/>
      </c>
      <c r="AM358" s="102" t="str">
        <f t="shared" si="32"/>
        <v/>
      </c>
      <c r="AN358" s="102" t="str">
        <f>IF(A358="","",
SUM(
COUNTIFS('QA Log'!D:D,A358,'QA Log'!M:M,"Data Verification",'QA Log'!L:L,"*Personnel (section 1)*"),
COUNTIFS('QA Log'!D:D,A358,'QA Log'!M:M,"Data Verification",'QA Log'!L:L,"*Consumable (section 3)*"),
COUNTIFS('QA Log'!D:D,A358,'QA Log'!M:M,"Data Verification",'QA Log'!L:L,"*Equipments (section 4)*")
))</f>
        <v/>
      </c>
      <c r="AO358" s="102" t="str">
        <f>IF(A358="","",
SUM(
COUNTIFS('QA Log'!D:D,A358,'QA Log'!M:M,"Data Verification",'QA Log'!Z:Z,"Approved",'QA Log'!L:L,"*Personnel (section 1)*"),
COUNTIFS('QA Log'!D:D,A358,'QA Log'!M:M,"Data Verification",'QA Log'!Z:Z,"Approved",'QA Log'!L:L,"*Consumable (section 3)*"),
COUNTIFS('QA Log'!D:D,A358,'QA Log'!M:M,"Data Verification",'QA Log'!Z:Z,"Approved",'QA Log'!L:L,"*Equipments (section 4)*")
))</f>
        <v/>
      </c>
      <c r="AP358" s="105" t="str">
        <f>IF(A358&lt;&gt;"",COUNTIFS('QA Log'!D:D,A358,'QA Log'!M:M,"Data Verification",'QA Log'!L:L,"Personnel (section 1)",'QA Log'!Z:Z,"Approved"),"")</f>
        <v/>
      </c>
      <c r="AQ358" s="105" t="str">
        <f>IF(A358&lt;&gt;"",COUNTIFS('QA Log'!D:D,A358,'QA Log'!M:M,"Data Verification",'QA Log'!L:L,"Consumable (section 3)",'QA Log'!Z:Z,"Approved"),"")</f>
        <v/>
      </c>
      <c r="AR358" s="105" t="str">
        <f>IF(A358&lt;&gt;"",COUNTIFS('QA Log'!D:D,A358,'QA Log'!M:M,"Data Verification",'QA Log'!L:L,"Equipments (section 4)",'QA Log'!Z:Z,"Approved"),"")</f>
        <v/>
      </c>
      <c r="AS358" s="102" t="str">
        <f>IF(A358="","",
SUM(
COUNTIFS('QA Log'!D:D,A358,'QA Log'!M:M,"Data Verification",'QA Log'!Z:Z,"Rejected",'QA Log'!L:L,"*Personnel (section 1)*"),
COUNTIFS('QA Log'!D:D,A358,'QA Log'!M:M,"Data Verification",'QA Log'!Z:Z,"Rejected",'QA Log'!L:L,"*Consumable (section 3)*"),
COUNTIFS('QA Log'!D:D,A358,'QA Log'!M:M,"Data Verification",'QA Log'!Z:Z,"Rejected",'QA Log'!L:L,"*Equipments (section 4)*")
))</f>
        <v/>
      </c>
      <c r="AT358" s="102" t="str">
        <f t="shared" si="33"/>
        <v/>
      </c>
      <c r="AU358" s="103" t="str">
        <f t="shared" si="34"/>
        <v/>
      </c>
      <c r="AV358" s="102" t="str">
        <f>IF(A358="","",SUM(
COUNTIFS('QA Log'!D:D,A358,'QA Log'!M:M,"Vignette",'QA Log'!L:L,"*Vignette [1] Respiratory Infection: Pneumonia*"),
COUNTIFS('QA Log'!D:D,A358,'QA Log'!M:M,"Vignette",'QA Log'!L:L,"*Vignette [2]: Diarrhea with Cat B dehydration*"),
COUNTIFS('QA Log'!D:D,A358,'QA Log'!M:M,"Vignette",'QA Log'!L:L,"*Vignette [3] Growth Monitoring and Promotion*"),
COUNTIFS('QA Log'!D:D,A358,'QA Log'!M:M,"Vignette",'QA Log'!L:L,"*Vignette [4]: The management of presumptive TB patient*")
)
)</f>
        <v/>
      </c>
      <c r="AW358" s="102" t="str">
        <f>IF(
  A358="","",
  SUM(
    COUNTIFS('QA Log'!D:D,A358,'QA Log'!M:M,"Vignette",'QA Log'!Z:Z,"Approved",'QA Log'!L:L,"*Vignette [1] Respiratory Infection: Pneumonia*"),
    COUNTIFS('QA Log'!D:D,A358,'QA Log'!M:M,"Vignette",'QA Log'!Z:Z,"Approved",'QA Log'!L:L,"*Vignette [2]: Diarrhea with Cat B dehydration*"),
    COUNTIFS('QA Log'!D:D,A358,'QA Log'!M:M,"Vignette",'QA Log'!Z:Z,"Approved",'QA Log'!L:L,"*Vignette [3] Growth Monitoring and Promotion*"),
    COUNTIFS('QA Log'!D:D,A358,'QA Log'!M:M,"Vignette",'QA Log'!Z:Z,"Approved",'QA Log'!L:L,"*Vignette [4]: The management of presumptive TB patient*")
  )
)</f>
        <v/>
      </c>
      <c r="AX358" s="105" t="str">
        <f>IF(A358&lt;&gt;"",COUNTIFS('QA Log'!D:D,A358,'QA Log'!M:M,"Vignette",'QA Log'!L:L,"Vignette [1] Respiratory Infection: Pneumonia",'QA Log'!Z:Z,"Approved"),"")</f>
        <v/>
      </c>
      <c r="AY358" s="105" t="str">
        <f>IF(A358&lt;&gt;"",COUNTIFS('QA Log'!D:D,A358,'QA Log'!M:M,"Vignette",'QA Log'!L:L,"Vignette [2]: Diarrhea with Cat B dehydration",'QA Log'!Z:Z,"Approved"),"")</f>
        <v/>
      </c>
      <c r="AZ358" s="105" t="str">
        <f>IF(A358&lt;&gt;"",COUNTIFS('QA Log'!D:D,A358,'QA Log'!M:M,"Vignette",'QA Log'!L:L,"Vignette [3] Growth Monitoring and Promotion",'QA Log'!Z:Z,"Approved"),"")</f>
        <v/>
      </c>
      <c r="BA358" s="105" t="str">
        <f>IF(A358&lt;&gt;"",COUNTIFS('QA Log'!D:D,A358,'QA Log'!M:M,"Vignette",'QA Log'!L:L,"Vignette [4]: The management of presumptive TB patient",'QA Log'!Z:Z,"Approved"),"")</f>
        <v/>
      </c>
      <c r="BB358" s="102" t="str">
        <f>IF(A358="","",
  SUM(
    COUNTIFS('QA Log'!D:D,A358,'QA Log'!M:M,"Vignette",'QA Log'!Z:Z,"Rejected",'QA Log'!L:L,"*Vignette [1] Respiratory Infection: Pneumonia*"),
    COUNTIFS('QA Log'!D:D,A358,'QA Log'!M:M,"Vignette",'QA Log'!Z:Z,"Rejected",'QA Log'!L:L,"*Vignette [2]: Diarrhea with Cat B dehydration*"),
    COUNTIFS('QA Log'!D:D,A358,'QA Log'!M:M,"Vignette",'QA Log'!Z:Z,"Rejected",'QA Log'!L:L,"*Vignette [3] Growth Monitoring and Promotion*"),
    COUNTIFS('QA Log'!D:D,A358,'QA Log'!M:M,"Vignette",'QA Log'!Z:Z,"Rejected",'QA Log'!L:L,"*Vignette [4]: The management of presumptive TB patient*")
  )
)</f>
        <v/>
      </c>
      <c r="BC358" s="107" t="str">
        <f t="shared" si="35"/>
        <v/>
      </c>
      <c r="BD358" s="103" t="str">
        <f t="shared" si="36"/>
        <v/>
      </c>
      <c r="BE358" s="102" t="str">
        <f>IF(A358="","",SUM(
COUNTIFS('QA Log'!D:D,A358,'QA Log'!M:M,"Vignette",'QA Log'!L:L,"*Vignette [5] Labor*"),
COUNTIFS('QA Log'!D:D,A358,'QA Log'!M:M,"Vignette",'QA Log'!L:L,"*Vignette [6] PNC pre Discharge*"),
COUNTIFS('QA Log'!D:D,A358,'QA Log'!M:M,"Vignette",'QA Log'!L:L,"*Vignette [7] First ANC Visit*"),
COUNTIFS('QA Log'!D:D,A358,'QA Log'!M:M,"Vignette",'QA Log'!L:L,"*Vignette [8] Birth Spacing/ Family Planning :  FP Counselling*"),
COUNTIFS('QA Log'!D:D,A358,'QA Log'!M:M,"Vignette",'QA Log'!L:L,"*Vignette [9] Birth Spacing: Change FP method to Injectable*"),
COUNTIFS('QA Log'!D:D,A358,'QA Log'!M:M,"Vignette",'QA Log'!L:L,"*Vignette [10] Post Partum Haemorrhage - Atonic Uterus at Health Centre*"),
)
)</f>
        <v/>
      </c>
      <c r="BF358" s="102" t="str">
        <f>IF(A358="","",
  SUM(
    COUNTIFS('QA Log'!D:D,A358,'QA Log'!M:M,"Vignette",'QA Log'!Z:Z,"Approved",'QA Log'!L:L,"*Vignette [5] Labor*"),
    COUNTIFS('QA Log'!D:D,A358,'QA Log'!M:M,"Vignette",'QA Log'!Z:Z,"Approved",'QA Log'!L:L,"*Vignette [6] PNC pre Discharge*"),
    COUNTIFS('QA Log'!D:D,A358,'QA Log'!M:M,"Vignette",'QA Log'!Z:Z,"Approved",'QA Log'!L:L,"*Vignette [7] First ANC Visit*"),
    COUNTIFS('QA Log'!D:D,A358,'QA Log'!M:M,"Vignette",'QA Log'!Z:Z,"Approved",'QA Log'!L:L,"*Vignette [8] Birth Spacing/ Family Planning :  FP Counselling*"),
    COUNTIFS('QA Log'!D:D,A358,'QA Log'!M:M,"Vignette",'QA Log'!Z:Z,"Approved",'QA Log'!L:L,"*Vignette [9] Birth Spacing: Change FP method to Injectable*"),
    COUNTIFS('QA Log'!D:D,A358,'QA Log'!M:M,"Vignette",'QA Log'!Z:Z,"Approved",'QA Log'!L:L,"*Vignette [10] Post Partum Haemorrhage - Atonic Uterus at Health Centre*")
  )
)</f>
        <v/>
      </c>
      <c r="BG358" s="105" t="str">
        <f>IF(A358&lt;&gt;"",COUNTIFS('QA Log'!D:D,A358,'QA Log'!M:M,"Vignette",'QA Log'!L:L,"Vignette [5] Labor",'QA Log'!Z:Z,"Approved"),"")</f>
        <v/>
      </c>
      <c r="BH358" s="105" t="str">
        <f>IF(A358&lt;&gt;"",COUNTIFS('QA Log'!D:D,A358,'QA Log'!M:M,"Vignette",'QA Log'!L:L,"Vignette [6] PNC pre Discharge",'QA Log'!Z:Z,"Approved"),"")</f>
        <v/>
      </c>
      <c r="BI358" s="105" t="str">
        <f>IF(A358&lt;&gt;"",COUNTIFS('QA Log'!D:D,A358,'QA Log'!M:M,"Vignette",'QA Log'!L:L,"Vignette [7] First ANC Visit",'QA Log'!Z:Z,"Approved"),"")</f>
        <v/>
      </c>
      <c r="BJ358" s="105" t="str">
        <f>IF(A358&lt;&gt;"",COUNTIFS('QA Log'!D:D,A358,'QA Log'!M:M,"Vignette",'QA Log'!L:L,"Vignette [8] Birth Spacing/ Family Planning :  FP Counselling",'QA Log'!Z:Z,"Approved"),"")</f>
        <v/>
      </c>
      <c r="BK358" s="105" t="str">
        <f>IF(A358&lt;&gt;"",COUNTIFS('QA Log'!D:D,A358,'QA Log'!M:M,"Vignette",'QA Log'!L:L,"Vignette [9] Birth Spacing: Change FP method to Injectable",'QA Log'!Z:Z,"Approved"),"")</f>
        <v/>
      </c>
      <c r="BL358" s="105" t="str">
        <f>IF(A358&lt;&gt;"",COUNTIFS('QA Log'!D:D,A358,'QA Log'!M:M,"Vignette",'QA Log'!L:L,"Vignette [10] Post Partum Haemorrhage - Atonic Uterus at Health Centre",'QA Log'!Z:Z,"Approved"),"")</f>
        <v/>
      </c>
      <c r="BM358" s="102" t="str">
        <f>IF(A358="","",SUM(
    COUNTIFS('QA Log'!D:D,A358,'QA Log'!M:M,"Vignette",'QA Log'!Z:Z,"Rejected",'QA Log'!L:L,"*Vignette [5] Labor*"),
    COUNTIFS('QA Log'!D:D,A358,'QA Log'!M:M,"Vignette",'QA Log'!Z:Z,"Rejected",'QA Log'!L:L,"*Vignette [6] PNC pre Discharge*"),
    COUNTIFS('QA Log'!D:D,A358,'QA Log'!M:M,"Vignette",'QA Log'!Z:Z,"Rejected",'QA Log'!L:L,"*Vignette [7] First ANC Visit*"),
    COUNTIFS('QA Log'!D:D,A358,'QA Log'!M:M,"Vignette",'QA Log'!Z:Z,"Rejected",'QA Log'!L:L,"*Vignette [8] Birth Spacing/ Family Planning :  FP Counselling*"),
    COUNTIFS('QA Log'!D:D,A358,'QA Log'!M:M,"Vignette",'QA Log'!Z:Z,"Rejected",'QA Log'!L:L,"*Vignette [9] Birth Spacing: Change FP method to Injectable*"),
    COUNTIFS('QA Log'!D:D,A358,'QA Log'!M:M,"Vignette",'QA Log'!Z:Z,"Rejected",'QA Log'!L:L,"*Vignette [10] Post Partum Haemorrhage - Atonic Uterus at Health Centre*")
  )
)</f>
        <v/>
      </c>
      <c r="BN358" s="107" t="str">
        <f t="shared" si="37"/>
        <v/>
      </c>
      <c r="BO358" s="103" t="str">
        <f t="shared" si="38"/>
        <v/>
      </c>
      <c r="BP358" s="102" t="str">
        <f>IF(A358="","",SUM(
COUNTIFS('QA Log'!D:D,A358,'QA Log'!M:M,"Vignette",'QA Log'!L:L,"*Exit Interview 1*"),
COUNTIFS('QA Log'!D:D,A358,'QA Log'!M:M,"Vignette",'QA Log'!L:L,"*Exit Interview 2*"),
)
)</f>
        <v/>
      </c>
      <c r="BQ358" s="102" t="str">
        <f>IF(
  A358="","",
  SUM(
    COUNTIFS('QA Log'!D:D,A358,'QA Log'!M:M,"Vignette",'QA Log'!Z:Z,"Approved",'QA Log'!L:L,"*Exit Interview 1*"),
    COUNTIFS('QA Log'!D:D,A358,'QA Log'!M:M,"Vignette",'QA Log'!Z:Z,"Approved",'QA Log'!L:L,"*Exit Interview 2*")
  )
)</f>
        <v/>
      </c>
      <c r="BR358" s="105" t="str">
        <f>IF(A358&lt;&gt;"",COUNTIFS('QA Log'!D:D,A358,'QA Log'!M:M,"Vignette",'QA Log'!L:L,"Exit Interview 1",'QA Log'!Z:Z,"Approved"),"")</f>
        <v/>
      </c>
      <c r="BS358" s="105" t="str">
        <f>IF(A358&lt;&gt;"",COUNTIFS('QA Log'!D:D,A358,'QA Log'!M:M,"Vignette",'QA Log'!L:L,"Exit Interview 2",'QA Log'!Z:Z,"Approved"),"")</f>
        <v/>
      </c>
      <c r="BT358" s="102" t="str">
        <f>IF(
  A358="","",
  SUM(
    COUNTIFS('QA Log'!D:D,A358,'QA Log'!M:M,"Vignette",'QA Log'!Z:Z,"Rejected",'QA Log'!L:L,"*Exit Interview 1*"),
    COUNTIFS('QA Log'!D:D,A358,'QA Log'!M:M,"Vignette",'QA Log'!Z:Z,"Rejected",'QA Log'!L:L,"*Exit Interview 2*")
  )
)</f>
        <v/>
      </c>
      <c r="BU358" s="107" t="str">
        <f t="shared" si="39"/>
        <v/>
      </c>
      <c r="BV358" s="102" t="str">
        <f t="shared" si="40"/>
        <v/>
      </c>
      <c r="BW358" s="102" t="str">
        <f t="shared" si="41"/>
        <v/>
      </c>
      <c r="BX358" s="102" t="str">
        <f t="shared" si="42"/>
        <v/>
      </c>
      <c r="BY358" s="102" t="str">
        <f t="shared" si="43"/>
        <v/>
      </c>
      <c r="BZ358" s="107" t="str">
        <f t="shared" si="44"/>
        <v/>
      </c>
      <c r="CA358" s="108" t="str">
        <f t="shared" si="45"/>
        <v/>
      </c>
      <c r="CB358" s="108" t="str">
        <f t="shared" si="46"/>
        <v/>
      </c>
      <c r="CC358" s="109" t="str">
        <f t="shared" si="47"/>
        <v/>
      </c>
      <c r="CD358" s="108" t="str">
        <f t="shared" si="48"/>
        <v/>
      </c>
      <c r="CE358" s="108" t="str">
        <f t="shared" si="49"/>
        <v/>
      </c>
      <c r="CF358" s="109" t="str">
        <f t="shared" si="50"/>
        <v/>
      </c>
      <c r="CG358" s="110" t="str">
        <f t="shared" si="51"/>
        <v/>
      </c>
      <c r="CH358" s="111"/>
    </row>
    <row r="359" spans="1:86" ht="12.75">
      <c r="A359" s="101"/>
      <c r="B359" s="102" t="e">
        <f t="array" aca="1" ref="B359" ca="1">_xludf.XLOOKUP(A359,'QA Log'!D:D,'QA Log'!E:E,"")</f>
        <v>#NAME?</v>
      </c>
      <c r="C359" s="102" t="e">
        <f t="array" aca="1" ref="C359" ca="1">_xludf.XLOOKUP(A359,'QA Log'!D:D,'QA Log'!F:F,"")</f>
        <v>#NAME?</v>
      </c>
      <c r="D359" s="102" t="e">
        <f t="array" aca="1" ref="D359" ca="1">_xludf.XLOOKUP(A359,'QA Log'!D:D,'QA Log'!H:H,"")</f>
        <v>#NAME?</v>
      </c>
      <c r="E359" s="102" t="e">
        <f t="array" aca="1" ref="E359" ca="1">_xludf.XLOOKUP(A359,'QA Log'!D:D,'QA Log'!G:G,"")</f>
        <v>#NAME?</v>
      </c>
      <c r="F359" s="103"/>
      <c r="G359" s="104"/>
      <c r="H359" s="104"/>
      <c r="I359" s="103" t="str">
        <f t="shared" si="26"/>
        <v/>
      </c>
      <c r="J359" s="102" t="str">
        <f>IF(A359="","",SUM(
COUNTIFS('QA Log'!D:D,A359,'QA Log'!M:M,"QQC",'QA Log'!L:L,"*1. General Management*"),
COUNTIFS('QA Log'!D:D,A359,'QA Log'!M:M,"QQC",'QA Log'!L:L,"*3. Curative Consultation (OPD)*"),
COUNTIFS('QA Log'!D:D,A359,'QA Log'!M:M,"QQC",'QA Log'!L:L,"*5. Laboratory*"),
COUNTIFS('QA Log'!D:D,A359,'QA Log'!M:M,"QQC",'QA Log'!L:L,"*6. Essential Medicine Management*"),
COUNTIFS('QA Log'!D:D,A359,'QA Log'!M:M,"QQC",'QA Log'!L:L,"*7. Tracer Medicine*"),
COUNTIFS('QA Log'!D:D,A359,'QA Log'!M:M,"QQC",'QA Log'!L:L,"*11. Additional Questions*")))</f>
        <v/>
      </c>
      <c r="K359" s="102" t="str">
        <f>IF(A359="","",SUM(
COUNTIFS('QA Log'!D:D,A359,'QA Log'!M:M,"QQC",'QA Log'!Z:Z,"Approved",'QA Log'!L:L,"*1. General Management*"),
COUNTIFS('QA Log'!D:D,A359,'QA Log'!M:M,"QQC",'QA Log'!Z:Z,"Approved",'QA Log'!L:L,"*3. Curative Consultation (OPD)*"),
COUNTIFS('QA Log'!D:D,A359,'QA Log'!M:M,"QQC",'QA Log'!Z:Z,"Approved",'QA Log'!L:L,"*5. Laboratory*"),
COUNTIFS('QA Log'!D:D,A359,'QA Log'!M:M,"QQC",'QA Log'!Z:Z,"Approved",'QA Log'!L:L,"*6. Essential Medicine Management*"),
COUNTIFS('QA Log'!D:D,A359,'QA Log'!M:M,"QQC",'QA Log'!Z:Z,"Approved",'QA Log'!L:L,"*7. Tracer Medicine*"),
COUNTIFS('QA Log'!D:D,A359,'QA Log'!M:M,"QQC",'QA Log'!Z:Z,"Approved",'QA Log'!L:L,"*11. Additional Questions*")))</f>
        <v/>
      </c>
      <c r="L359" s="105" t="str">
        <f>IF(A359&lt;&gt;"",COUNTIFS('QA Log'!D:D,A359,'QA Log'!M:M,"QQC",'QA Log'!L:L,"1. General Management",'QA Log'!Z:Z,"Approved"),"")</f>
        <v/>
      </c>
      <c r="M359" s="105" t="str">
        <f>IF(A359&lt;&gt;"",COUNTIFS('QA Log'!D:D,A359,'QA Log'!M:M,"QQC",'QA Log'!L:L,"3. Curative Consultation (OPD)",'QA Log'!Z:Z,"Approved"),"")</f>
        <v/>
      </c>
      <c r="N359" s="105" t="str">
        <f>IF(A359&lt;&gt;"",COUNTIFS('QA Log'!D:D,A359,'QA Log'!M:M,"QQC",'QA Log'!L:L,"5. Laboratory",'QA Log'!Z:Z,"Approved"),"")</f>
        <v/>
      </c>
      <c r="O359" s="105" t="str">
        <f>IF(A359&lt;&gt;"",COUNTIFS('QA Log'!D:D,A359,'QA Log'!M:M,"QQC",'QA Log'!L:L,"6. Essential Medicine Management",'QA Log'!Z:Z,"Approved"),"")</f>
        <v/>
      </c>
      <c r="P359" s="105" t="str">
        <f>IF(A359&lt;&gt;"",COUNTIFS('QA Log'!D:D,A359,'QA Log'!M:M,"QQC",'QA Log'!L:L,"7. Tracer Medicine",'QA Log'!Z:Z,"Approved"),"")</f>
        <v/>
      </c>
      <c r="Q359" s="105" t="str">
        <f>IF(A359&lt;&gt;"",COUNTIFS('QA Log'!D:D,A359,'QA Log'!M:M,"QQC",'QA Log'!L:L,"11. Additional Questions",'QA Log'!Z:Z,"Approved"),"")</f>
        <v/>
      </c>
      <c r="R359" s="102" t="str">
        <f>IF(A359="","",SUM(
COUNTIFS('QA Log'!D:D,A359,'QA Log'!M:M,"QQC",'QA Log'!Z:Z,"Rejected",'QA Log'!L:L,"*8. Maternity*"),
COUNTIFS('QA Log'!D:D,A359,'QA Log'!M:M,"QQC",'QA Log'!Z:Z,"Rejected",'QA Log'!L:L,"*EPI*"),
COUNTIFS('QA Log'!D:D,A359,'QA Log'!M:M,"QQC",'QA Log'!Z:Z,"Rejected",'QA Log'!L:L,"*10. Antenatal Care (ANC)*"),
COUNTIFS('QA Log'!D:D,A359,'QA Log'!M:M,"QQC",'QA Log'!Z:Z,"Rejected",'QA Log'!L:L,"*2. Hygiene and Sterilization*"),
COUNTIFS('QA Log'!D:D,A359,'QA Log'!M:M,"QQC",'QA Log'!Z:Z,"Rejected",'QA Log'!L:L,"*Family Planning*")))</f>
        <v/>
      </c>
      <c r="S359" s="106" t="str">
        <f t="shared" si="27"/>
        <v/>
      </c>
      <c r="T359" s="102" t="str">
        <f t="shared" si="28"/>
        <v/>
      </c>
      <c r="U359" s="102" t="str">
        <f>IF(A359="","",
SUM(
COUNTIFS('QA Log'!D:D,A359,'QA Log'!M:M,"QQC",'QA Log'!L:L,"*8. Maternity*"),
COUNTIFS('QA Log'!D:D,A359,'QA Log'!M:M,"QQC",'QA Log'!L:L,"*9. EPI and Pre-school Consultation*"),
COUNTIFS('QA Log'!D:D,A359,'QA Log'!M:M,"QQC",'QA Log'!L:L,"*10. Antenatal Care (ANC)*"),
COUNTIFS('QA Log'!D:D,A359,'QA Log'!M:M,"QQC",'QA Log'!L:L,"*2. Hygiene and Sterilization*"),
COUNTIFS('QA Log'!D:D,A359,'QA Log'!M:M,"QQC",'QA Log'!L:L,"*4. Family Planning*")
))</f>
        <v/>
      </c>
      <c r="V359" s="102" t="str">
        <f>IF(A359="","",
SUM(
COUNTIFS('QA Log'!D:D,A359,'QA Log'!M:M,"QQC",'QA Log'!Z:Z,"Approved",'QA Log'!L:L,"*8. Maternity*"),
COUNTIFS('QA Log'!D:D,A359,'QA Log'!M:M,"QQC",'QA Log'!Z:Z,"Approved",'QA Log'!L:L,"*9. EPI and Pre-school Consultation*"),
COUNTIFS('QA Log'!D:D,A359,'QA Log'!M:M,"QQC",'QA Log'!Z:Z,"Approved",'QA Log'!L:L,"*10. Antenatal Care (ANC)*"),
COUNTIFS('QA Log'!D:D,A359,'QA Log'!M:M,"QQC",'QA Log'!Z:Z,"Approved",'QA Log'!L:L,"*2. Hygiene and Sterilization*"),
COUNTIFS('QA Log'!D:D,A359,'QA Log'!M:M,"QQC",'QA Log'!Z:Z,"Approved",'QA Log'!L:L,"*4. Family Planning*")
))</f>
        <v/>
      </c>
      <c r="W359" s="105" t="str">
        <f>IF(A359&lt;&gt;"",COUNTIFS('QA Log'!D:D,A359,'QA Log'!M:M,"QQC",'QA Log'!L:L,"8. Maternity",'QA Log'!Z:Z,"Approved"),"")</f>
        <v/>
      </c>
      <c r="X359" s="105" t="str">
        <f>IF(A359&lt;&gt;"",COUNTIFS('QA Log'!D:D,A359,'QA Log'!M:M,"QQC",'QA Log'!L:L,"9. EPI and Pre-school Consultation",'QA Log'!Z:Z,"Approved"),"")</f>
        <v/>
      </c>
      <c r="Y359" s="105" t="str">
        <f>IF(A359&lt;&gt;"",COUNTIFS('QA Log'!D:D,A359,'QA Log'!M:M,"QQC",'QA Log'!L:L,"10. Antenatal Care (ANC)",'QA Log'!Z:Z,"Approved"),"")</f>
        <v/>
      </c>
      <c r="Z359" s="105" t="str">
        <f>IF(A359&lt;&gt;"",COUNTIFS('QA Log'!D:D,A359,'QA Log'!M:M,"QQC",'QA Log'!L:L,"2. Hygiene and Sterilization",'QA Log'!Z:Z,"Approved"),"")</f>
        <v/>
      </c>
      <c r="AA359" s="105" t="str">
        <f>IF(A359&lt;&gt;"",COUNTIFS('QA Log'!D:D,A359,'QA Log'!M:M,"QQC",'QA Log'!L:L,"4. Family Planning",'QA Log'!Z:Z,"Approved"),"")</f>
        <v/>
      </c>
      <c r="AB359" s="102" t="str">
        <f>IF(A359="","",
SUM(
COUNTIFS('QA Log'!D:D,A359,'QA Log'!M:M,"QQC",'QA Log'!Z:Z,"Rejected",'QA Log'!L:L,"*8. Maternity*"),
COUNTIFS('QA Log'!D:D,A359,'QA Log'!M:M,"QQC",'QA Log'!Z:Z,"Rejected",'QA Log'!L:L,"*9. EPI and Pre-school Consultation*"),
COUNTIFS('QA Log'!D:D,A359,'QA Log'!M:M,"QQC",'QA Log'!Z:Z,"Rejected",'QA Log'!L:L,"*10. Antenatal Care (ANC)*"),
COUNTIFS('QA Log'!D:D,A359,'QA Log'!M:M,"QQC",'QA Log'!Z:Z,"Rejected",'QA Log'!L:L,"*2. Hygiene and Sterilization*"),
COUNTIFS('QA Log'!D:D,A359,'QA Log'!M:M,"QQC",'QA Log'!Z:Z,"Rejected",'QA Log'!L:L,"*4. Family Planning*")
))</f>
        <v/>
      </c>
      <c r="AC359" s="102" t="str">
        <f t="shared" si="29"/>
        <v/>
      </c>
      <c r="AD359" s="103" t="str">
        <f t="shared" si="30"/>
        <v/>
      </c>
      <c r="AE359" s="102" t="str">
        <f>IF(A359="","",
SUM(
COUNTIFS('QA Log'!D:D,A359,'QA Log'!M:M,"Data Verification",'QA Log'!L:L,"*Medicine (section 2)*"),
COUNTIFS('QA Log'!D:D,A359,'QA Log'!M:M,"Data Verification",'QA Log'!L:L,"*Lab Testing Availability*"),
COUNTIFS('QA Log'!D:D,A359,'QA Log'!M:M,"Data Verification",'QA Log'!L:L,"*Other than P4P (section 6)*"),
COUNTIFS('QA Log'!D:D,A359,'QA Log'!M:M,"Data Verification",'QA Log'!L:L,"*Hospital Governance*")
))</f>
        <v/>
      </c>
      <c r="AF359" s="102" t="str">
        <f>IF(A359="","",
SUM(
COUNTIFS('QA Log'!D:D,A359,'QA Log'!M:M,"Data Verification",'QA Log'!Z:Z,"Approved",'QA Log'!L:L,"*Medicine (section 2)*"),
COUNTIFS('QA Log'!D:D,A359,'QA Log'!M:M,"Data Verification",'QA Log'!Z:Z,"Approved",'QA Log'!L:L,"*Lab Testing Availability*"),
COUNTIFS('QA Log'!D:D,A359,'QA Log'!M:M,"Data Verification",'QA Log'!Z:Z,"Approved",'QA Log'!L:L,"*Other than P4P (section 6)*"),
COUNTIFS('QA Log'!D:D,A359,'QA Log'!M:M,"Data Verification",'QA Log'!Z:Z,"Approved",'QA Log'!L:L,"*Hospital Governance*")
))</f>
        <v/>
      </c>
      <c r="AG359" s="105" t="str">
        <f>IF(A359&lt;&gt;"",COUNTIFS('QA Log'!D:D,A359,'QA Log'!M:M,"Data Verification",'QA Log'!L:L,"Medicine (section 2)",'QA Log'!Z:Z,"Approved"),"")</f>
        <v/>
      </c>
      <c r="AH359" s="105" t="str">
        <f>IF(A359&lt;&gt;"",COUNTIFS('QA Log'!D:D,A359,'QA Log'!M:M,"Data Verification",'QA Log'!L:L,"Lab Testing Availability",'QA Log'!Z:Z,"Approved"),"")</f>
        <v/>
      </c>
      <c r="AI359" s="105" t="str">
        <f>IF(A359&lt;&gt;"",COUNTIFS('QA Log'!D:D,A359,'QA Log'!M:M,"Data Verification",'QA Log'!L:L,"Other than P4P (section 6)",'QA Log'!Z:Z,"Approved"),"")</f>
        <v/>
      </c>
      <c r="AJ359" s="105" t="str">
        <f>IF(A359&lt;&gt;"",COUNTIFS('QA Log'!D:D,A359,'QA Log'!M:M,"Data Verification",'QA Log'!L:L,"Hospital Governance",'QA Log'!Z:Z,"Approved"),"")</f>
        <v/>
      </c>
      <c r="AK359" s="102" t="str">
        <f>IF(A359="","",
SUM(
COUNTIFS('QA Log'!D:D,A359,'QA Log'!M:M,"Data Verification",'QA Log'!Z:Z,"Rejected",'QA Log'!L:L,"*Medicine (section 2)*"),
COUNTIFS('QA Log'!D:D,A359,'QA Log'!M:M,"Data Verification",'QA Log'!Z:Z,"Rejected",'QA Log'!L:L,"*Lab Testing Availability*"),
COUNTIFS('QA Log'!D:D,A359,'QA Log'!M:M,"Data Verification",'QA Log'!Z:Z,"Rejected",'QA Log'!L:L,"*Other than P4P (section 6)*"),
COUNTIFS('QA Log'!D:D,A359,'QA Log'!M:M,"Data Verification",'QA Log'!Z:Z,"Rejected",'QA Log'!L:L,"*Hospital Governance*")
))</f>
        <v/>
      </c>
      <c r="AL359" s="106" t="str">
        <f t="shared" si="31"/>
        <v/>
      </c>
      <c r="AM359" s="102" t="str">
        <f t="shared" si="32"/>
        <v/>
      </c>
      <c r="AN359" s="102" t="str">
        <f>IF(A359="","",
SUM(
COUNTIFS('QA Log'!D:D,A359,'QA Log'!M:M,"Data Verification",'QA Log'!L:L,"*Personnel (section 1)*"),
COUNTIFS('QA Log'!D:D,A359,'QA Log'!M:M,"Data Verification",'QA Log'!L:L,"*Consumable (section 3)*"),
COUNTIFS('QA Log'!D:D,A359,'QA Log'!M:M,"Data Verification",'QA Log'!L:L,"*Equipments (section 4)*")
))</f>
        <v/>
      </c>
      <c r="AO359" s="102" t="str">
        <f>IF(A359="","",
SUM(
COUNTIFS('QA Log'!D:D,A359,'QA Log'!M:M,"Data Verification",'QA Log'!Z:Z,"Approved",'QA Log'!L:L,"*Personnel (section 1)*"),
COUNTIFS('QA Log'!D:D,A359,'QA Log'!M:M,"Data Verification",'QA Log'!Z:Z,"Approved",'QA Log'!L:L,"*Consumable (section 3)*"),
COUNTIFS('QA Log'!D:D,A359,'QA Log'!M:M,"Data Verification",'QA Log'!Z:Z,"Approved",'QA Log'!L:L,"*Equipments (section 4)*")
))</f>
        <v/>
      </c>
      <c r="AP359" s="105" t="str">
        <f>IF(A359&lt;&gt;"",COUNTIFS('QA Log'!D:D,A359,'QA Log'!M:M,"Data Verification",'QA Log'!L:L,"Personnel (section 1)",'QA Log'!Z:Z,"Approved"),"")</f>
        <v/>
      </c>
      <c r="AQ359" s="105" t="str">
        <f>IF(A359&lt;&gt;"",COUNTIFS('QA Log'!D:D,A359,'QA Log'!M:M,"Data Verification",'QA Log'!L:L,"Consumable (section 3)",'QA Log'!Z:Z,"Approved"),"")</f>
        <v/>
      </c>
      <c r="AR359" s="105" t="str">
        <f>IF(A359&lt;&gt;"",COUNTIFS('QA Log'!D:D,A359,'QA Log'!M:M,"Data Verification",'QA Log'!L:L,"Equipments (section 4)",'QA Log'!Z:Z,"Approved"),"")</f>
        <v/>
      </c>
      <c r="AS359" s="102" t="str">
        <f>IF(A359="","",
SUM(
COUNTIFS('QA Log'!D:D,A359,'QA Log'!M:M,"Data Verification",'QA Log'!Z:Z,"Rejected",'QA Log'!L:L,"*Personnel (section 1)*"),
COUNTIFS('QA Log'!D:D,A359,'QA Log'!M:M,"Data Verification",'QA Log'!Z:Z,"Rejected",'QA Log'!L:L,"*Consumable (section 3)*"),
COUNTIFS('QA Log'!D:D,A359,'QA Log'!M:M,"Data Verification",'QA Log'!Z:Z,"Rejected",'QA Log'!L:L,"*Equipments (section 4)*")
))</f>
        <v/>
      </c>
      <c r="AT359" s="102" t="str">
        <f t="shared" si="33"/>
        <v/>
      </c>
      <c r="AU359" s="103" t="str">
        <f t="shared" si="34"/>
        <v/>
      </c>
      <c r="AV359" s="102" t="str">
        <f>IF(A359="","",SUM(
COUNTIFS('QA Log'!D:D,A359,'QA Log'!M:M,"Vignette",'QA Log'!L:L,"*Vignette [1] Respiratory Infection: Pneumonia*"),
COUNTIFS('QA Log'!D:D,A359,'QA Log'!M:M,"Vignette",'QA Log'!L:L,"*Vignette [2]: Diarrhea with Cat B dehydration*"),
COUNTIFS('QA Log'!D:D,A359,'QA Log'!M:M,"Vignette",'QA Log'!L:L,"*Vignette [3] Growth Monitoring and Promotion*"),
COUNTIFS('QA Log'!D:D,A359,'QA Log'!M:M,"Vignette",'QA Log'!L:L,"*Vignette [4]: The management of presumptive TB patient*")
)
)</f>
        <v/>
      </c>
      <c r="AW359" s="102" t="str">
        <f>IF(
  A359="","",
  SUM(
    COUNTIFS('QA Log'!D:D,A359,'QA Log'!M:M,"Vignette",'QA Log'!Z:Z,"Approved",'QA Log'!L:L,"*Vignette [1] Respiratory Infection: Pneumonia*"),
    COUNTIFS('QA Log'!D:D,A359,'QA Log'!M:M,"Vignette",'QA Log'!Z:Z,"Approved",'QA Log'!L:L,"*Vignette [2]: Diarrhea with Cat B dehydration*"),
    COUNTIFS('QA Log'!D:D,A359,'QA Log'!M:M,"Vignette",'QA Log'!Z:Z,"Approved",'QA Log'!L:L,"*Vignette [3] Growth Monitoring and Promotion*"),
    COUNTIFS('QA Log'!D:D,A359,'QA Log'!M:M,"Vignette",'QA Log'!Z:Z,"Approved",'QA Log'!L:L,"*Vignette [4]: The management of presumptive TB patient*")
  )
)</f>
        <v/>
      </c>
      <c r="AX359" s="105" t="str">
        <f>IF(A359&lt;&gt;"",COUNTIFS('QA Log'!D:D,A359,'QA Log'!M:M,"Vignette",'QA Log'!L:L,"Vignette [1] Respiratory Infection: Pneumonia",'QA Log'!Z:Z,"Approved"),"")</f>
        <v/>
      </c>
      <c r="AY359" s="105" t="str">
        <f>IF(A359&lt;&gt;"",COUNTIFS('QA Log'!D:D,A359,'QA Log'!M:M,"Vignette",'QA Log'!L:L,"Vignette [2]: Diarrhea with Cat B dehydration",'QA Log'!Z:Z,"Approved"),"")</f>
        <v/>
      </c>
      <c r="AZ359" s="105" t="str">
        <f>IF(A359&lt;&gt;"",COUNTIFS('QA Log'!D:D,A359,'QA Log'!M:M,"Vignette",'QA Log'!L:L,"Vignette [3] Growth Monitoring and Promotion",'QA Log'!Z:Z,"Approved"),"")</f>
        <v/>
      </c>
      <c r="BA359" s="105" t="str">
        <f>IF(A359&lt;&gt;"",COUNTIFS('QA Log'!D:D,A359,'QA Log'!M:M,"Vignette",'QA Log'!L:L,"Vignette [4]: The management of presumptive TB patient",'QA Log'!Z:Z,"Approved"),"")</f>
        <v/>
      </c>
      <c r="BB359" s="102" t="str">
        <f>IF(A359="","",
  SUM(
    COUNTIFS('QA Log'!D:D,A359,'QA Log'!M:M,"Vignette",'QA Log'!Z:Z,"Rejected",'QA Log'!L:L,"*Vignette [1] Respiratory Infection: Pneumonia*"),
    COUNTIFS('QA Log'!D:D,A359,'QA Log'!M:M,"Vignette",'QA Log'!Z:Z,"Rejected",'QA Log'!L:L,"*Vignette [2]: Diarrhea with Cat B dehydration*"),
    COUNTIFS('QA Log'!D:D,A359,'QA Log'!M:M,"Vignette",'QA Log'!Z:Z,"Rejected",'QA Log'!L:L,"*Vignette [3] Growth Monitoring and Promotion*"),
    COUNTIFS('QA Log'!D:D,A359,'QA Log'!M:M,"Vignette",'QA Log'!Z:Z,"Rejected",'QA Log'!L:L,"*Vignette [4]: The management of presumptive TB patient*")
  )
)</f>
        <v/>
      </c>
      <c r="BC359" s="107" t="str">
        <f t="shared" si="35"/>
        <v/>
      </c>
      <c r="BD359" s="103" t="str">
        <f t="shared" si="36"/>
        <v/>
      </c>
      <c r="BE359" s="102" t="str">
        <f>IF(A359="","",SUM(
COUNTIFS('QA Log'!D:D,A359,'QA Log'!M:M,"Vignette",'QA Log'!L:L,"*Vignette [5] Labor*"),
COUNTIFS('QA Log'!D:D,A359,'QA Log'!M:M,"Vignette",'QA Log'!L:L,"*Vignette [6] PNC pre Discharge*"),
COUNTIFS('QA Log'!D:D,A359,'QA Log'!M:M,"Vignette",'QA Log'!L:L,"*Vignette [7] First ANC Visit*"),
COUNTIFS('QA Log'!D:D,A359,'QA Log'!M:M,"Vignette",'QA Log'!L:L,"*Vignette [8] Birth Spacing/ Family Planning :  FP Counselling*"),
COUNTIFS('QA Log'!D:D,A359,'QA Log'!M:M,"Vignette",'QA Log'!L:L,"*Vignette [9] Birth Spacing: Change FP method to Injectable*"),
COUNTIFS('QA Log'!D:D,A359,'QA Log'!M:M,"Vignette",'QA Log'!L:L,"*Vignette [10] Post Partum Haemorrhage - Atonic Uterus at Health Centre*"),
)
)</f>
        <v/>
      </c>
      <c r="BF359" s="102" t="str">
        <f>IF(A359="","",
  SUM(
    COUNTIFS('QA Log'!D:D,A359,'QA Log'!M:M,"Vignette",'QA Log'!Z:Z,"Approved",'QA Log'!L:L,"*Vignette [5] Labor*"),
    COUNTIFS('QA Log'!D:D,A359,'QA Log'!M:M,"Vignette",'QA Log'!Z:Z,"Approved",'QA Log'!L:L,"*Vignette [6] PNC pre Discharge*"),
    COUNTIFS('QA Log'!D:D,A359,'QA Log'!M:M,"Vignette",'QA Log'!Z:Z,"Approved",'QA Log'!L:L,"*Vignette [7] First ANC Visit*"),
    COUNTIFS('QA Log'!D:D,A359,'QA Log'!M:M,"Vignette",'QA Log'!Z:Z,"Approved",'QA Log'!L:L,"*Vignette [8] Birth Spacing/ Family Planning :  FP Counselling*"),
    COUNTIFS('QA Log'!D:D,A359,'QA Log'!M:M,"Vignette",'QA Log'!Z:Z,"Approved",'QA Log'!L:L,"*Vignette [9] Birth Spacing: Change FP method to Injectable*"),
    COUNTIFS('QA Log'!D:D,A359,'QA Log'!M:M,"Vignette",'QA Log'!Z:Z,"Approved",'QA Log'!L:L,"*Vignette [10] Post Partum Haemorrhage - Atonic Uterus at Health Centre*")
  )
)</f>
        <v/>
      </c>
      <c r="BG359" s="105" t="str">
        <f>IF(A359&lt;&gt;"",COUNTIFS('QA Log'!D:D,A359,'QA Log'!M:M,"Vignette",'QA Log'!L:L,"Vignette [5] Labor",'QA Log'!Z:Z,"Approved"),"")</f>
        <v/>
      </c>
      <c r="BH359" s="105" t="str">
        <f>IF(A359&lt;&gt;"",COUNTIFS('QA Log'!D:D,A359,'QA Log'!M:M,"Vignette",'QA Log'!L:L,"Vignette [6] PNC pre Discharge",'QA Log'!Z:Z,"Approved"),"")</f>
        <v/>
      </c>
      <c r="BI359" s="105" t="str">
        <f>IF(A359&lt;&gt;"",COUNTIFS('QA Log'!D:D,A359,'QA Log'!M:M,"Vignette",'QA Log'!L:L,"Vignette [7] First ANC Visit",'QA Log'!Z:Z,"Approved"),"")</f>
        <v/>
      </c>
      <c r="BJ359" s="105" t="str">
        <f>IF(A359&lt;&gt;"",COUNTIFS('QA Log'!D:D,A359,'QA Log'!M:M,"Vignette",'QA Log'!L:L,"Vignette [8] Birth Spacing/ Family Planning :  FP Counselling",'QA Log'!Z:Z,"Approved"),"")</f>
        <v/>
      </c>
      <c r="BK359" s="105" t="str">
        <f>IF(A359&lt;&gt;"",COUNTIFS('QA Log'!D:D,A359,'QA Log'!M:M,"Vignette",'QA Log'!L:L,"Vignette [9] Birth Spacing: Change FP method to Injectable",'QA Log'!Z:Z,"Approved"),"")</f>
        <v/>
      </c>
      <c r="BL359" s="105" t="str">
        <f>IF(A359&lt;&gt;"",COUNTIFS('QA Log'!D:D,A359,'QA Log'!M:M,"Vignette",'QA Log'!L:L,"Vignette [10] Post Partum Haemorrhage - Atonic Uterus at Health Centre",'QA Log'!Z:Z,"Approved"),"")</f>
        <v/>
      </c>
      <c r="BM359" s="102" t="str">
        <f>IF(A359="","",SUM(
    COUNTIFS('QA Log'!D:D,A359,'QA Log'!M:M,"Vignette",'QA Log'!Z:Z,"Rejected",'QA Log'!L:L,"*Vignette [5] Labor*"),
    COUNTIFS('QA Log'!D:D,A359,'QA Log'!M:M,"Vignette",'QA Log'!Z:Z,"Rejected",'QA Log'!L:L,"*Vignette [6] PNC pre Discharge*"),
    COUNTIFS('QA Log'!D:D,A359,'QA Log'!M:M,"Vignette",'QA Log'!Z:Z,"Rejected",'QA Log'!L:L,"*Vignette [7] First ANC Visit*"),
    COUNTIFS('QA Log'!D:D,A359,'QA Log'!M:M,"Vignette",'QA Log'!Z:Z,"Rejected",'QA Log'!L:L,"*Vignette [8] Birth Spacing/ Family Planning :  FP Counselling*"),
    COUNTIFS('QA Log'!D:D,A359,'QA Log'!M:M,"Vignette",'QA Log'!Z:Z,"Rejected",'QA Log'!L:L,"*Vignette [9] Birth Spacing: Change FP method to Injectable*"),
    COUNTIFS('QA Log'!D:D,A359,'QA Log'!M:M,"Vignette",'QA Log'!Z:Z,"Rejected",'QA Log'!L:L,"*Vignette [10] Post Partum Haemorrhage - Atonic Uterus at Health Centre*")
  )
)</f>
        <v/>
      </c>
      <c r="BN359" s="107" t="str">
        <f t="shared" si="37"/>
        <v/>
      </c>
      <c r="BO359" s="103" t="str">
        <f t="shared" si="38"/>
        <v/>
      </c>
      <c r="BP359" s="102" t="str">
        <f>IF(A359="","",SUM(
COUNTIFS('QA Log'!D:D,A359,'QA Log'!M:M,"Vignette",'QA Log'!L:L,"*Exit Interview 1*"),
COUNTIFS('QA Log'!D:D,A359,'QA Log'!M:M,"Vignette",'QA Log'!L:L,"*Exit Interview 2*"),
)
)</f>
        <v/>
      </c>
      <c r="BQ359" s="102" t="str">
        <f>IF(
  A359="","",
  SUM(
    COUNTIFS('QA Log'!D:D,A359,'QA Log'!M:M,"Vignette",'QA Log'!Z:Z,"Approved",'QA Log'!L:L,"*Exit Interview 1*"),
    COUNTIFS('QA Log'!D:D,A359,'QA Log'!M:M,"Vignette",'QA Log'!Z:Z,"Approved",'QA Log'!L:L,"*Exit Interview 2*")
  )
)</f>
        <v/>
      </c>
      <c r="BR359" s="105" t="str">
        <f>IF(A359&lt;&gt;"",COUNTIFS('QA Log'!D:D,A359,'QA Log'!M:M,"Vignette",'QA Log'!L:L,"Exit Interview 1",'QA Log'!Z:Z,"Approved"),"")</f>
        <v/>
      </c>
      <c r="BS359" s="105" t="str">
        <f>IF(A359&lt;&gt;"",COUNTIFS('QA Log'!D:D,A359,'QA Log'!M:M,"Vignette",'QA Log'!L:L,"Exit Interview 2",'QA Log'!Z:Z,"Approved"),"")</f>
        <v/>
      </c>
      <c r="BT359" s="102" t="str">
        <f>IF(
  A359="","",
  SUM(
    COUNTIFS('QA Log'!D:D,A359,'QA Log'!M:M,"Vignette",'QA Log'!Z:Z,"Rejected",'QA Log'!L:L,"*Exit Interview 1*"),
    COUNTIFS('QA Log'!D:D,A359,'QA Log'!M:M,"Vignette",'QA Log'!Z:Z,"Rejected",'QA Log'!L:L,"*Exit Interview 2*")
  )
)</f>
        <v/>
      </c>
      <c r="BU359" s="107" t="str">
        <f t="shared" si="39"/>
        <v/>
      </c>
      <c r="BV359" s="102" t="str">
        <f t="shared" si="40"/>
        <v/>
      </c>
      <c r="BW359" s="102" t="str">
        <f t="shared" si="41"/>
        <v/>
      </c>
      <c r="BX359" s="102" t="str">
        <f t="shared" si="42"/>
        <v/>
      </c>
      <c r="BY359" s="102" t="str">
        <f t="shared" si="43"/>
        <v/>
      </c>
      <c r="BZ359" s="107" t="str">
        <f t="shared" si="44"/>
        <v/>
      </c>
      <c r="CA359" s="108" t="str">
        <f t="shared" si="45"/>
        <v/>
      </c>
      <c r="CB359" s="108" t="str">
        <f t="shared" si="46"/>
        <v/>
      </c>
      <c r="CC359" s="109" t="str">
        <f t="shared" si="47"/>
        <v/>
      </c>
      <c r="CD359" s="108" t="str">
        <f t="shared" si="48"/>
        <v/>
      </c>
      <c r="CE359" s="108" t="str">
        <f t="shared" si="49"/>
        <v/>
      </c>
      <c r="CF359" s="109" t="str">
        <f t="shared" si="50"/>
        <v/>
      </c>
      <c r="CG359" s="110" t="str">
        <f t="shared" si="51"/>
        <v/>
      </c>
      <c r="CH359" s="111"/>
    </row>
    <row r="360" spans="1:86" ht="12.75">
      <c r="A360" s="101"/>
      <c r="B360" s="102" t="e">
        <f t="array" aca="1" ref="B360" ca="1">_xludf.XLOOKUP(A360,'QA Log'!D:D,'QA Log'!E:E,"")</f>
        <v>#NAME?</v>
      </c>
      <c r="C360" s="102" t="e">
        <f t="array" aca="1" ref="C360" ca="1">_xludf.XLOOKUP(A360,'QA Log'!D:D,'QA Log'!F:F,"")</f>
        <v>#NAME?</v>
      </c>
      <c r="D360" s="102" t="e">
        <f t="array" aca="1" ref="D360" ca="1">_xludf.XLOOKUP(A360,'QA Log'!D:D,'QA Log'!H:H,"")</f>
        <v>#NAME?</v>
      </c>
      <c r="E360" s="102" t="e">
        <f t="array" aca="1" ref="E360" ca="1">_xludf.XLOOKUP(A360,'QA Log'!D:D,'QA Log'!G:G,"")</f>
        <v>#NAME?</v>
      </c>
      <c r="F360" s="103"/>
      <c r="G360" s="104"/>
      <c r="H360" s="104"/>
      <c r="I360" s="103" t="str">
        <f t="shared" si="26"/>
        <v/>
      </c>
      <c r="J360" s="102" t="str">
        <f>IF(A360="","",SUM(
COUNTIFS('QA Log'!D:D,A360,'QA Log'!M:M,"QQC",'QA Log'!L:L,"*1. General Management*"),
COUNTIFS('QA Log'!D:D,A360,'QA Log'!M:M,"QQC",'QA Log'!L:L,"*3. Curative Consultation (OPD)*"),
COUNTIFS('QA Log'!D:D,A360,'QA Log'!M:M,"QQC",'QA Log'!L:L,"*5. Laboratory*"),
COUNTIFS('QA Log'!D:D,A360,'QA Log'!M:M,"QQC",'QA Log'!L:L,"*6. Essential Medicine Management*"),
COUNTIFS('QA Log'!D:D,A360,'QA Log'!M:M,"QQC",'QA Log'!L:L,"*7. Tracer Medicine*"),
COUNTIFS('QA Log'!D:D,A360,'QA Log'!M:M,"QQC",'QA Log'!L:L,"*11. Additional Questions*")))</f>
        <v/>
      </c>
      <c r="K360" s="102" t="str">
        <f>IF(A360="","",SUM(
COUNTIFS('QA Log'!D:D,A360,'QA Log'!M:M,"QQC",'QA Log'!Z:Z,"Approved",'QA Log'!L:L,"*1. General Management*"),
COUNTIFS('QA Log'!D:D,A360,'QA Log'!M:M,"QQC",'QA Log'!Z:Z,"Approved",'QA Log'!L:L,"*3. Curative Consultation (OPD)*"),
COUNTIFS('QA Log'!D:D,A360,'QA Log'!M:M,"QQC",'QA Log'!Z:Z,"Approved",'QA Log'!L:L,"*5. Laboratory*"),
COUNTIFS('QA Log'!D:D,A360,'QA Log'!M:M,"QQC",'QA Log'!Z:Z,"Approved",'QA Log'!L:L,"*6. Essential Medicine Management*"),
COUNTIFS('QA Log'!D:D,A360,'QA Log'!M:M,"QQC",'QA Log'!Z:Z,"Approved",'QA Log'!L:L,"*7. Tracer Medicine*"),
COUNTIFS('QA Log'!D:D,A360,'QA Log'!M:M,"QQC",'QA Log'!Z:Z,"Approved",'QA Log'!L:L,"*11. Additional Questions*")))</f>
        <v/>
      </c>
      <c r="L360" s="105" t="str">
        <f>IF(A360&lt;&gt;"",COUNTIFS('QA Log'!D:D,A360,'QA Log'!M:M,"QQC",'QA Log'!L:L,"1. General Management",'QA Log'!Z:Z,"Approved"),"")</f>
        <v/>
      </c>
      <c r="M360" s="105" t="str">
        <f>IF(A360&lt;&gt;"",COUNTIFS('QA Log'!D:D,A360,'QA Log'!M:M,"QQC",'QA Log'!L:L,"3. Curative Consultation (OPD)",'QA Log'!Z:Z,"Approved"),"")</f>
        <v/>
      </c>
      <c r="N360" s="105" t="str">
        <f>IF(A360&lt;&gt;"",COUNTIFS('QA Log'!D:D,A360,'QA Log'!M:M,"QQC",'QA Log'!L:L,"5. Laboratory",'QA Log'!Z:Z,"Approved"),"")</f>
        <v/>
      </c>
      <c r="O360" s="105" t="str">
        <f>IF(A360&lt;&gt;"",COUNTIFS('QA Log'!D:D,A360,'QA Log'!M:M,"QQC",'QA Log'!L:L,"6. Essential Medicine Management",'QA Log'!Z:Z,"Approved"),"")</f>
        <v/>
      </c>
      <c r="P360" s="105" t="str">
        <f>IF(A360&lt;&gt;"",COUNTIFS('QA Log'!D:D,A360,'QA Log'!M:M,"QQC",'QA Log'!L:L,"7. Tracer Medicine",'QA Log'!Z:Z,"Approved"),"")</f>
        <v/>
      </c>
      <c r="Q360" s="105" t="str">
        <f>IF(A360&lt;&gt;"",COUNTIFS('QA Log'!D:D,A360,'QA Log'!M:M,"QQC",'QA Log'!L:L,"11. Additional Questions",'QA Log'!Z:Z,"Approved"),"")</f>
        <v/>
      </c>
      <c r="R360" s="102" t="str">
        <f>IF(A360="","",SUM(
COUNTIFS('QA Log'!D:D,A360,'QA Log'!M:M,"QQC",'QA Log'!Z:Z,"Rejected",'QA Log'!L:L,"*8. Maternity*"),
COUNTIFS('QA Log'!D:D,A360,'QA Log'!M:M,"QQC",'QA Log'!Z:Z,"Rejected",'QA Log'!L:L,"*EPI*"),
COUNTIFS('QA Log'!D:D,A360,'QA Log'!M:M,"QQC",'QA Log'!Z:Z,"Rejected",'QA Log'!L:L,"*10. Antenatal Care (ANC)*"),
COUNTIFS('QA Log'!D:D,A360,'QA Log'!M:M,"QQC",'QA Log'!Z:Z,"Rejected",'QA Log'!L:L,"*2. Hygiene and Sterilization*"),
COUNTIFS('QA Log'!D:D,A360,'QA Log'!M:M,"QQC",'QA Log'!Z:Z,"Rejected",'QA Log'!L:L,"*Family Planning*")))</f>
        <v/>
      </c>
      <c r="S360" s="106" t="str">
        <f t="shared" si="27"/>
        <v/>
      </c>
      <c r="T360" s="102" t="str">
        <f t="shared" si="28"/>
        <v/>
      </c>
      <c r="U360" s="102" t="str">
        <f>IF(A360="","",
SUM(
COUNTIFS('QA Log'!D:D,A360,'QA Log'!M:M,"QQC",'QA Log'!L:L,"*8. Maternity*"),
COUNTIFS('QA Log'!D:D,A360,'QA Log'!M:M,"QQC",'QA Log'!L:L,"*9. EPI and Pre-school Consultation*"),
COUNTIFS('QA Log'!D:D,A360,'QA Log'!M:M,"QQC",'QA Log'!L:L,"*10. Antenatal Care (ANC)*"),
COUNTIFS('QA Log'!D:D,A360,'QA Log'!M:M,"QQC",'QA Log'!L:L,"*2. Hygiene and Sterilization*"),
COUNTIFS('QA Log'!D:D,A360,'QA Log'!M:M,"QQC",'QA Log'!L:L,"*4. Family Planning*")
))</f>
        <v/>
      </c>
      <c r="V360" s="102" t="str">
        <f>IF(A360="","",
SUM(
COUNTIFS('QA Log'!D:D,A360,'QA Log'!M:M,"QQC",'QA Log'!Z:Z,"Approved",'QA Log'!L:L,"*8. Maternity*"),
COUNTIFS('QA Log'!D:D,A360,'QA Log'!M:M,"QQC",'QA Log'!Z:Z,"Approved",'QA Log'!L:L,"*9. EPI and Pre-school Consultation*"),
COUNTIFS('QA Log'!D:D,A360,'QA Log'!M:M,"QQC",'QA Log'!Z:Z,"Approved",'QA Log'!L:L,"*10. Antenatal Care (ANC)*"),
COUNTIFS('QA Log'!D:D,A360,'QA Log'!M:M,"QQC",'QA Log'!Z:Z,"Approved",'QA Log'!L:L,"*2. Hygiene and Sterilization*"),
COUNTIFS('QA Log'!D:D,A360,'QA Log'!M:M,"QQC",'QA Log'!Z:Z,"Approved",'QA Log'!L:L,"*4. Family Planning*")
))</f>
        <v/>
      </c>
      <c r="W360" s="105" t="str">
        <f>IF(A360&lt;&gt;"",COUNTIFS('QA Log'!D:D,A360,'QA Log'!M:M,"QQC",'QA Log'!L:L,"8. Maternity",'QA Log'!Z:Z,"Approved"),"")</f>
        <v/>
      </c>
      <c r="X360" s="105" t="str">
        <f>IF(A360&lt;&gt;"",COUNTIFS('QA Log'!D:D,A360,'QA Log'!M:M,"QQC",'QA Log'!L:L,"9. EPI and Pre-school Consultation",'QA Log'!Z:Z,"Approved"),"")</f>
        <v/>
      </c>
      <c r="Y360" s="105" t="str">
        <f>IF(A360&lt;&gt;"",COUNTIFS('QA Log'!D:D,A360,'QA Log'!M:M,"QQC",'QA Log'!L:L,"10. Antenatal Care (ANC)",'QA Log'!Z:Z,"Approved"),"")</f>
        <v/>
      </c>
      <c r="Z360" s="105" t="str">
        <f>IF(A360&lt;&gt;"",COUNTIFS('QA Log'!D:D,A360,'QA Log'!M:M,"QQC",'QA Log'!L:L,"2. Hygiene and Sterilization",'QA Log'!Z:Z,"Approved"),"")</f>
        <v/>
      </c>
      <c r="AA360" s="105" t="str">
        <f>IF(A360&lt;&gt;"",COUNTIFS('QA Log'!D:D,A360,'QA Log'!M:M,"QQC",'QA Log'!L:L,"4. Family Planning",'QA Log'!Z:Z,"Approved"),"")</f>
        <v/>
      </c>
      <c r="AB360" s="102" t="str">
        <f>IF(A360="","",
SUM(
COUNTIFS('QA Log'!D:D,A360,'QA Log'!M:M,"QQC",'QA Log'!Z:Z,"Rejected",'QA Log'!L:L,"*8. Maternity*"),
COUNTIFS('QA Log'!D:D,A360,'QA Log'!M:M,"QQC",'QA Log'!Z:Z,"Rejected",'QA Log'!L:L,"*9. EPI and Pre-school Consultation*"),
COUNTIFS('QA Log'!D:D,A360,'QA Log'!M:M,"QQC",'QA Log'!Z:Z,"Rejected",'QA Log'!L:L,"*10. Antenatal Care (ANC)*"),
COUNTIFS('QA Log'!D:D,A360,'QA Log'!M:M,"QQC",'QA Log'!Z:Z,"Rejected",'QA Log'!L:L,"*2. Hygiene and Sterilization*"),
COUNTIFS('QA Log'!D:D,A360,'QA Log'!M:M,"QQC",'QA Log'!Z:Z,"Rejected",'QA Log'!L:L,"*4. Family Planning*")
))</f>
        <v/>
      </c>
      <c r="AC360" s="102" t="str">
        <f t="shared" si="29"/>
        <v/>
      </c>
      <c r="AD360" s="103" t="str">
        <f t="shared" si="30"/>
        <v/>
      </c>
      <c r="AE360" s="102" t="str">
        <f>IF(A360="","",
SUM(
COUNTIFS('QA Log'!D:D,A360,'QA Log'!M:M,"Data Verification",'QA Log'!L:L,"*Medicine (section 2)*"),
COUNTIFS('QA Log'!D:D,A360,'QA Log'!M:M,"Data Verification",'QA Log'!L:L,"*Lab Testing Availability*"),
COUNTIFS('QA Log'!D:D,A360,'QA Log'!M:M,"Data Verification",'QA Log'!L:L,"*Other than P4P (section 6)*"),
COUNTIFS('QA Log'!D:D,A360,'QA Log'!M:M,"Data Verification",'QA Log'!L:L,"*Hospital Governance*")
))</f>
        <v/>
      </c>
      <c r="AF360" s="102" t="str">
        <f>IF(A360="","",
SUM(
COUNTIFS('QA Log'!D:D,A360,'QA Log'!M:M,"Data Verification",'QA Log'!Z:Z,"Approved",'QA Log'!L:L,"*Medicine (section 2)*"),
COUNTIFS('QA Log'!D:D,A360,'QA Log'!M:M,"Data Verification",'QA Log'!Z:Z,"Approved",'QA Log'!L:L,"*Lab Testing Availability*"),
COUNTIFS('QA Log'!D:D,A360,'QA Log'!M:M,"Data Verification",'QA Log'!Z:Z,"Approved",'QA Log'!L:L,"*Other than P4P (section 6)*"),
COUNTIFS('QA Log'!D:D,A360,'QA Log'!M:M,"Data Verification",'QA Log'!Z:Z,"Approved",'QA Log'!L:L,"*Hospital Governance*")
))</f>
        <v/>
      </c>
      <c r="AG360" s="105" t="str">
        <f>IF(A360&lt;&gt;"",COUNTIFS('QA Log'!D:D,A360,'QA Log'!M:M,"Data Verification",'QA Log'!L:L,"Medicine (section 2)",'QA Log'!Z:Z,"Approved"),"")</f>
        <v/>
      </c>
      <c r="AH360" s="105" t="str">
        <f>IF(A360&lt;&gt;"",COUNTIFS('QA Log'!D:D,A360,'QA Log'!M:M,"Data Verification",'QA Log'!L:L,"Lab Testing Availability",'QA Log'!Z:Z,"Approved"),"")</f>
        <v/>
      </c>
      <c r="AI360" s="105" t="str">
        <f>IF(A360&lt;&gt;"",COUNTIFS('QA Log'!D:D,A360,'QA Log'!M:M,"Data Verification",'QA Log'!L:L,"Other than P4P (section 6)",'QA Log'!Z:Z,"Approved"),"")</f>
        <v/>
      </c>
      <c r="AJ360" s="105" t="str">
        <f>IF(A360&lt;&gt;"",COUNTIFS('QA Log'!D:D,A360,'QA Log'!M:M,"Data Verification",'QA Log'!L:L,"Hospital Governance",'QA Log'!Z:Z,"Approved"),"")</f>
        <v/>
      </c>
      <c r="AK360" s="102" t="str">
        <f>IF(A360="","",
SUM(
COUNTIFS('QA Log'!D:D,A360,'QA Log'!M:M,"Data Verification",'QA Log'!Z:Z,"Rejected",'QA Log'!L:L,"*Medicine (section 2)*"),
COUNTIFS('QA Log'!D:D,A360,'QA Log'!M:M,"Data Verification",'QA Log'!Z:Z,"Rejected",'QA Log'!L:L,"*Lab Testing Availability*"),
COUNTIFS('QA Log'!D:D,A360,'QA Log'!M:M,"Data Verification",'QA Log'!Z:Z,"Rejected",'QA Log'!L:L,"*Other than P4P (section 6)*"),
COUNTIFS('QA Log'!D:D,A360,'QA Log'!M:M,"Data Verification",'QA Log'!Z:Z,"Rejected",'QA Log'!L:L,"*Hospital Governance*")
))</f>
        <v/>
      </c>
      <c r="AL360" s="106" t="str">
        <f t="shared" si="31"/>
        <v/>
      </c>
      <c r="AM360" s="102" t="str">
        <f t="shared" si="32"/>
        <v/>
      </c>
      <c r="AN360" s="102" t="str">
        <f>IF(A360="","",
SUM(
COUNTIFS('QA Log'!D:D,A360,'QA Log'!M:M,"Data Verification",'QA Log'!L:L,"*Personnel (section 1)*"),
COUNTIFS('QA Log'!D:D,A360,'QA Log'!M:M,"Data Verification",'QA Log'!L:L,"*Consumable (section 3)*"),
COUNTIFS('QA Log'!D:D,A360,'QA Log'!M:M,"Data Verification",'QA Log'!L:L,"*Equipments (section 4)*")
))</f>
        <v/>
      </c>
      <c r="AO360" s="102" t="str">
        <f>IF(A360="","",
SUM(
COUNTIFS('QA Log'!D:D,A360,'QA Log'!M:M,"Data Verification",'QA Log'!Z:Z,"Approved",'QA Log'!L:L,"*Personnel (section 1)*"),
COUNTIFS('QA Log'!D:D,A360,'QA Log'!M:M,"Data Verification",'QA Log'!Z:Z,"Approved",'QA Log'!L:L,"*Consumable (section 3)*"),
COUNTIFS('QA Log'!D:D,A360,'QA Log'!M:M,"Data Verification",'QA Log'!Z:Z,"Approved",'QA Log'!L:L,"*Equipments (section 4)*")
))</f>
        <v/>
      </c>
      <c r="AP360" s="105" t="str">
        <f>IF(A360&lt;&gt;"",COUNTIFS('QA Log'!D:D,A360,'QA Log'!M:M,"Data Verification",'QA Log'!L:L,"Personnel (section 1)",'QA Log'!Z:Z,"Approved"),"")</f>
        <v/>
      </c>
      <c r="AQ360" s="105" t="str">
        <f>IF(A360&lt;&gt;"",COUNTIFS('QA Log'!D:D,A360,'QA Log'!M:M,"Data Verification",'QA Log'!L:L,"Consumable (section 3)",'QA Log'!Z:Z,"Approved"),"")</f>
        <v/>
      </c>
      <c r="AR360" s="105" t="str">
        <f>IF(A360&lt;&gt;"",COUNTIFS('QA Log'!D:D,A360,'QA Log'!M:M,"Data Verification",'QA Log'!L:L,"Equipments (section 4)",'QA Log'!Z:Z,"Approved"),"")</f>
        <v/>
      </c>
      <c r="AS360" s="102" t="str">
        <f>IF(A360="","",
SUM(
COUNTIFS('QA Log'!D:D,A360,'QA Log'!M:M,"Data Verification",'QA Log'!Z:Z,"Rejected",'QA Log'!L:L,"*Personnel (section 1)*"),
COUNTIFS('QA Log'!D:D,A360,'QA Log'!M:M,"Data Verification",'QA Log'!Z:Z,"Rejected",'QA Log'!L:L,"*Consumable (section 3)*"),
COUNTIFS('QA Log'!D:D,A360,'QA Log'!M:M,"Data Verification",'QA Log'!Z:Z,"Rejected",'QA Log'!L:L,"*Equipments (section 4)*")
))</f>
        <v/>
      </c>
      <c r="AT360" s="102" t="str">
        <f t="shared" si="33"/>
        <v/>
      </c>
      <c r="AU360" s="103" t="str">
        <f t="shared" si="34"/>
        <v/>
      </c>
      <c r="AV360" s="102" t="str">
        <f>IF(A360="","",SUM(
COUNTIFS('QA Log'!D:D,A360,'QA Log'!M:M,"Vignette",'QA Log'!L:L,"*Vignette [1] Respiratory Infection: Pneumonia*"),
COUNTIFS('QA Log'!D:D,A360,'QA Log'!M:M,"Vignette",'QA Log'!L:L,"*Vignette [2]: Diarrhea with Cat B dehydration*"),
COUNTIFS('QA Log'!D:D,A360,'QA Log'!M:M,"Vignette",'QA Log'!L:L,"*Vignette [3] Growth Monitoring and Promotion*"),
COUNTIFS('QA Log'!D:D,A360,'QA Log'!M:M,"Vignette",'QA Log'!L:L,"*Vignette [4]: The management of presumptive TB patient*")
)
)</f>
        <v/>
      </c>
      <c r="AW360" s="102" t="str">
        <f>IF(
  A360="","",
  SUM(
    COUNTIFS('QA Log'!D:D,A360,'QA Log'!M:M,"Vignette",'QA Log'!Z:Z,"Approved",'QA Log'!L:L,"*Vignette [1] Respiratory Infection: Pneumonia*"),
    COUNTIFS('QA Log'!D:D,A360,'QA Log'!M:M,"Vignette",'QA Log'!Z:Z,"Approved",'QA Log'!L:L,"*Vignette [2]: Diarrhea with Cat B dehydration*"),
    COUNTIFS('QA Log'!D:D,A360,'QA Log'!M:M,"Vignette",'QA Log'!Z:Z,"Approved",'QA Log'!L:L,"*Vignette [3] Growth Monitoring and Promotion*"),
    COUNTIFS('QA Log'!D:D,A360,'QA Log'!M:M,"Vignette",'QA Log'!Z:Z,"Approved",'QA Log'!L:L,"*Vignette [4]: The management of presumptive TB patient*")
  )
)</f>
        <v/>
      </c>
      <c r="AX360" s="105" t="str">
        <f>IF(A360&lt;&gt;"",COUNTIFS('QA Log'!D:D,A360,'QA Log'!M:M,"Vignette",'QA Log'!L:L,"Vignette [1] Respiratory Infection: Pneumonia",'QA Log'!Z:Z,"Approved"),"")</f>
        <v/>
      </c>
      <c r="AY360" s="105" t="str">
        <f>IF(A360&lt;&gt;"",COUNTIFS('QA Log'!D:D,A360,'QA Log'!M:M,"Vignette",'QA Log'!L:L,"Vignette [2]: Diarrhea with Cat B dehydration",'QA Log'!Z:Z,"Approved"),"")</f>
        <v/>
      </c>
      <c r="AZ360" s="105" t="str">
        <f>IF(A360&lt;&gt;"",COUNTIFS('QA Log'!D:D,A360,'QA Log'!M:M,"Vignette",'QA Log'!L:L,"Vignette [3] Growth Monitoring and Promotion",'QA Log'!Z:Z,"Approved"),"")</f>
        <v/>
      </c>
      <c r="BA360" s="105" t="str">
        <f>IF(A360&lt;&gt;"",COUNTIFS('QA Log'!D:D,A360,'QA Log'!M:M,"Vignette",'QA Log'!L:L,"Vignette [4]: The management of presumptive TB patient",'QA Log'!Z:Z,"Approved"),"")</f>
        <v/>
      </c>
      <c r="BB360" s="102" t="str">
        <f>IF(A360="","",
  SUM(
    COUNTIFS('QA Log'!D:D,A360,'QA Log'!M:M,"Vignette",'QA Log'!Z:Z,"Rejected",'QA Log'!L:L,"*Vignette [1] Respiratory Infection: Pneumonia*"),
    COUNTIFS('QA Log'!D:D,A360,'QA Log'!M:M,"Vignette",'QA Log'!Z:Z,"Rejected",'QA Log'!L:L,"*Vignette [2]: Diarrhea with Cat B dehydration*"),
    COUNTIFS('QA Log'!D:D,A360,'QA Log'!M:M,"Vignette",'QA Log'!Z:Z,"Rejected",'QA Log'!L:L,"*Vignette [3] Growth Monitoring and Promotion*"),
    COUNTIFS('QA Log'!D:D,A360,'QA Log'!M:M,"Vignette",'QA Log'!Z:Z,"Rejected",'QA Log'!L:L,"*Vignette [4]: The management of presumptive TB patient*")
  )
)</f>
        <v/>
      </c>
      <c r="BC360" s="107" t="str">
        <f t="shared" si="35"/>
        <v/>
      </c>
      <c r="BD360" s="103" t="str">
        <f t="shared" si="36"/>
        <v/>
      </c>
      <c r="BE360" s="102" t="str">
        <f>IF(A360="","",SUM(
COUNTIFS('QA Log'!D:D,A360,'QA Log'!M:M,"Vignette",'QA Log'!L:L,"*Vignette [5] Labor*"),
COUNTIFS('QA Log'!D:D,A360,'QA Log'!M:M,"Vignette",'QA Log'!L:L,"*Vignette [6] PNC pre Discharge*"),
COUNTIFS('QA Log'!D:D,A360,'QA Log'!M:M,"Vignette",'QA Log'!L:L,"*Vignette [7] First ANC Visit*"),
COUNTIFS('QA Log'!D:D,A360,'QA Log'!M:M,"Vignette",'QA Log'!L:L,"*Vignette [8] Birth Spacing/ Family Planning :  FP Counselling*"),
COUNTIFS('QA Log'!D:D,A360,'QA Log'!M:M,"Vignette",'QA Log'!L:L,"*Vignette [9] Birth Spacing: Change FP method to Injectable*"),
COUNTIFS('QA Log'!D:D,A360,'QA Log'!M:M,"Vignette",'QA Log'!L:L,"*Vignette [10] Post Partum Haemorrhage - Atonic Uterus at Health Centre*"),
)
)</f>
        <v/>
      </c>
      <c r="BF360" s="102" t="str">
        <f>IF(A360="","",
  SUM(
    COUNTIFS('QA Log'!D:D,A360,'QA Log'!M:M,"Vignette",'QA Log'!Z:Z,"Approved",'QA Log'!L:L,"*Vignette [5] Labor*"),
    COUNTIFS('QA Log'!D:D,A360,'QA Log'!M:M,"Vignette",'QA Log'!Z:Z,"Approved",'QA Log'!L:L,"*Vignette [6] PNC pre Discharge*"),
    COUNTIFS('QA Log'!D:D,A360,'QA Log'!M:M,"Vignette",'QA Log'!Z:Z,"Approved",'QA Log'!L:L,"*Vignette [7] First ANC Visit*"),
    COUNTIFS('QA Log'!D:D,A360,'QA Log'!M:M,"Vignette",'QA Log'!Z:Z,"Approved",'QA Log'!L:L,"*Vignette [8] Birth Spacing/ Family Planning :  FP Counselling*"),
    COUNTIFS('QA Log'!D:D,A360,'QA Log'!M:M,"Vignette",'QA Log'!Z:Z,"Approved",'QA Log'!L:L,"*Vignette [9] Birth Spacing: Change FP method to Injectable*"),
    COUNTIFS('QA Log'!D:D,A360,'QA Log'!M:M,"Vignette",'QA Log'!Z:Z,"Approved",'QA Log'!L:L,"*Vignette [10] Post Partum Haemorrhage - Atonic Uterus at Health Centre*")
  )
)</f>
        <v/>
      </c>
      <c r="BG360" s="105" t="str">
        <f>IF(A360&lt;&gt;"",COUNTIFS('QA Log'!D:D,A360,'QA Log'!M:M,"Vignette",'QA Log'!L:L,"Vignette [5] Labor",'QA Log'!Z:Z,"Approved"),"")</f>
        <v/>
      </c>
      <c r="BH360" s="105" t="str">
        <f>IF(A360&lt;&gt;"",COUNTIFS('QA Log'!D:D,A360,'QA Log'!M:M,"Vignette",'QA Log'!L:L,"Vignette [6] PNC pre Discharge",'QA Log'!Z:Z,"Approved"),"")</f>
        <v/>
      </c>
      <c r="BI360" s="105" t="str">
        <f>IF(A360&lt;&gt;"",COUNTIFS('QA Log'!D:D,A360,'QA Log'!M:M,"Vignette",'QA Log'!L:L,"Vignette [7] First ANC Visit",'QA Log'!Z:Z,"Approved"),"")</f>
        <v/>
      </c>
      <c r="BJ360" s="105" t="str">
        <f>IF(A360&lt;&gt;"",COUNTIFS('QA Log'!D:D,A360,'QA Log'!M:M,"Vignette",'QA Log'!L:L,"Vignette [8] Birth Spacing/ Family Planning :  FP Counselling",'QA Log'!Z:Z,"Approved"),"")</f>
        <v/>
      </c>
      <c r="BK360" s="105" t="str">
        <f>IF(A360&lt;&gt;"",COUNTIFS('QA Log'!D:D,A360,'QA Log'!M:M,"Vignette",'QA Log'!L:L,"Vignette [9] Birth Spacing: Change FP method to Injectable",'QA Log'!Z:Z,"Approved"),"")</f>
        <v/>
      </c>
      <c r="BL360" s="105" t="str">
        <f>IF(A360&lt;&gt;"",COUNTIFS('QA Log'!D:D,A360,'QA Log'!M:M,"Vignette",'QA Log'!L:L,"Vignette [10] Post Partum Haemorrhage - Atonic Uterus at Health Centre",'QA Log'!Z:Z,"Approved"),"")</f>
        <v/>
      </c>
      <c r="BM360" s="102" t="str">
        <f>IF(A360="","",SUM(
    COUNTIFS('QA Log'!D:D,A360,'QA Log'!M:M,"Vignette",'QA Log'!Z:Z,"Rejected",'QA Log'!L:L,"*Vignette [5] Labor*"),
    COUNTIFS('QA Log'!D:D,A360,'QA Log'!M:M,"Vignette",'QA Log'!Z:Z,"Rejected",'QA Log'!L:L,"*Vignette [6] PNC pre Discharge*"),
    COUNTIFS('QA Log'!D:D,A360,'QA Log'!M:M,"Vignette",'QA Log'!Z:Z,"Rejected",'QA Log'!L:L,"*Vignette [7] First ANC Visit*"),
    COUNTIFS('QA Log'!D:D,A360,'QA Log'!M:M,"Vignette",'QA Log'!Z:Z,"Rejected",'QA Log'!L:L,"*Vignette [8] Birth Spacing/ Family Planning :  FP Counselling*"),
    COUNTIFS('QA Log'!D:D,A360,'QA Log'!M:M,"Vignette",'QA Log'!Z:Z,"Rejected",'QA Log'!L:L,"*Vignette [9] Birth Spacing: Change FP method to Injectable*"),
    COUNTIFS('QA Log'!D:D,A360,'QA Log'!M:M,"Vignette",'QA Log'!Z:Z,"Rejected",'QA Log'!L:L,"*Vignette [10] Post Partum Haemorrhage - Atonic Uterus at Health Centre*")
  )
)</f>
        <v/>
      </c>
      <c r="BN360" s="107" t="str">
        <f t="shared" si="37"/>
        <v/>
      </c>
      <c r="BO360" s="103" t="str">
        <f t="shared" si="38"/>
        <v/>
      </c>
      <c r="BP360" s="102" t="str">
        <f>IF(A360="","",SUM(
COUNTIFS('QA Log'!D:D,A360,'QA Log'!M:M,"Vignette",'QA Log'!L:L,"*Exit Interview 1*"),
COUNTIFS('QA Log'!D:D,A360,'QA Log'!M:M,"Vignette",'QA Log'!L:L,"*Exit Interview 2*"),
)
)</f>
        <v/>
      </c>
      <c r="BQ360" s="102" t="str">
        <f>IF(
  A360="","",
  SUM(
    COUNTIFS('QA Log'!D:D,A360,'QA Log'!M:M,"Vignette",'QA Log'!Z:Z,"Approved",'QA Log'!L:L,"*Exit Interview 1*"),
    COUNTIFS('QA Log'!D:D,A360,'QA Log'!M:M,"Vignette",'QA Log'!Z:Z,"Approved",'QA Log'!L:L,"*Exit Interview 2*")
  )
)</f>
        <v/>
      </c>
      <c r="BR360" s="105" t="str">
        <f>IF(A360&lt;&gt;"",COUNTIFS('QA Log'!D:D,A360,'QA Log'!M:M,"Vignette",'QA Log'!L:L,"Exit Interview 1",'QA Log'!Z:Z,"Approved"),"")</f>
        <v/>
      </c>
      <c r="BS360" s="105" t="str">
        <f>IF(A360&lt;&gt;"",COUNTIFS('QA Log'!D:D,A360,'QA Log'!M:M,"Vignette",'QA Log'!L:L,"Exit Interview 2",'QA Log'!Z:Z,"Approved"),"")</f>
        <v/>
      </c>
      <c r="BT360" s="102" t="str">
        <f>IF(
  A360="","",
  SUM(
    COUNTIFS('QA Log'!D:D,A360,'QA Log'!M:M,"Vignette",'QA Log'!Z:Z,"Rejected",'QA Log'!L:L,"*Exit Interview 1*"),
    COUNTIFS('QA Log'!D:D,A360,'QA Log'!M:M,"Vignette",'QA Log'!Z:Z,"Rejected",'QA Log'!L:L,"*Exit Interview 2*")
  )
)</f>
        <v/>
      </c>
      <c r="BU360" s="107" t="str">
        <f t="shared" si="39"/>
        <v/>
      </c>
      <c r="BV360" s="102" t="str">
        <f t="shared" si="40"/>
        <v/>
      </c>
      <c r="BW360" s="102" t="str">
        <f t="shared" si="41"/>
        <v/>
      </c>
      <c r="BX360" s="102" t="str">
        <f t="shared" si="42"/>
        <v/>
      </c>
      <c r="BY360" s="102" t="str">
        <f t="shared" si="43"/>
        <v/>
      </c>
      <c r="BZ360" s="107" t="str">
        <f t="shared" si="44"/>
        <v/>
      </c>
      <c r="CA360" s="108" t="str">
        <f t="shared" si="45"/>
        <v/>
      </c>
      <c r="CB360" s="108" t="str">
        <f t="shared" si="46"/>
        <v/>
      </c>
      <c r="CC360" s="109" t="str">
        <f t="shared" si="47"/>
        <v/>
      </c>
      <c r="CD360" s="108" t="str">
        <f t="shared" si="48"/>
        <v/>
      </c>
      <c r="CE360" s="108" t="str">
        <f t="shared" si="49"/>
        <v/>
      </c>
      <c r="CF360" s="109" t="str">
        <f t="shared" si="50"/>
        <v/>
      </c>
      <c r="CG360" s="110" t="str">
        <f t="shared" si="51"/>
        <v/>
      </c>
      <c r="CH360" s="111"/>
    </row>
    <row r="361" spans="1:86" ht="12.75">
      <c r="A361" s="101"/>
      <c r="B361" s="102" t="e">
        <f t="array" aca="1" ref="B361" ca="1">_xludf.XLOOKUP(A361,'QA Log'!D:D,'QA Log'!E:E,"")</f>
        <v>#NAME?</v>
      </c>
      <c r="C361" s="102" t="e">
        <f t="array" aca="1" ref="C361" ca="1">_xludf.XLOOKUP(A361,'QA Log'!D:D,'QA Log'!F:F,"")</f>
        <v>#NAME?</v>
      </c>
      <c r="D361" s="102" t="e">
        <f t="array" aca="1" ref="D361" ca="1">_xludf.XLOOKUP(A361,'QA Log'!D:D,'QA Log'!H:H,"")</f>
        <v>#NAME?</v>
      </c>
      <c r="E361" s="102" t="e">
        <f t="array" aca="1" ref="E361" ca="1">_xludf.XLOOKUP(A361,'QA Log'!D:D,'QA Log'!G:G,"")</f>
        <v>#NAME?</v>
      </c>
      <c r="F361" s="103"/>
      <c r="G361" s="104"/>
      <c r="H361" s="104"/>
      <c r="I361" s="103" t="str">
        <f t="shared" si="26"/>
        <v/>
      </c>
      <c r="J361" s="102" t="str">
        <f>IF(A361="","",SUM(
COUNTIFS('QA Log'!D:D,A361,'QA Log'!M:M,"QQC",'QA Log'!L:L,"*1. General Management*"),
COUNTIFS('QA Log'!D:D,A361,'QA Log'!M:M,"QQC",'QA Log'!L:L,"*3. Curative Consultation (OPD)*"),
COUNTIFS('QA Log'!D:D,A361,'QA Log'!M:M,"QQC",'QA Log'!L:L,"*5. Laboratory*"),
COUNTIFS('QA Log'!D:D,A361,'QA Log'!M:M,"QQC",'QA Log'!L:L,"*6. Essential Medicine Management*"),
COUNTIFS('QA Log'!D:D,A361,'QA Log'!M:M,"QQC",'QA Log'!L:L,"*7. Tracer Medicine*"),
COUNTIFS('QA Log'!D:D,A361,'QA Log'!M:M,"QQC",'QA Log'!L:L,"*11. Additional Questions*")))</f>
        <v/>
      </c>
      <c r="K361" s="102" t="str">
        <f>IF(A361="","",SUM(
COUNTIFS('QA Log'!D:D,A361,'QA Log'!M:M,"QQC",'QA Log'!Z:Z,"Approved",'QA Log'!L:L,"*1. General Management*"),
COUNTIFS('QA Log'!D:D,A361,'QA Log'!M:M,"QQC",'QA Log'!Z:Z,"Approved",'QA Log'!L:L,"*3. Curative Consultation (OPD)*"),
COUNTIFS('QA Log'!D:D,A361,'QA Log'!M:M,"QQC",'QA Log'!Z:Z,"Approved",'QA Log'!L:L,"*5. Laboratory*"),
COUNTIFS('QA Log'!D:D,A361,'QA Log'!M:M,"QQC",'QA Log'!Z:Z,"Approved",'QA Log'!L:L,"*6. Essential Medicine Management*"),
COUNTIFS('QA Log'!D:D,A361,'QA Log'!M:M,"QQC",'QA Log'!Z:Z,"Approved",'QA Log'!L:L,"*7. Tracer Medicine*"),
COUNTIFS('QA Log'!D:D,A361,'QA Log'!M:M,"QQC",'QA Log'!Z:Z,"Approved",'QA Log'!L:L,"*11. Additional Questions*")))</f>
        <v/>
      </c>
      <c r="L361" s="105" t="str">
        <f>IF(A361&lt;&gt;"",COUNTIFS('QA Log'!D:D,A361,'QA Log'!M:M,"QQC",'QA Log'!L:L,"1. General Management",'QA Log'!Z:Z,"Approved"),"")</f>
        <v/>
      </c>
      <c r="M361" s="105" t="str">
        <f>IF(A361&lt;&gt;"",COUNTIFS('QA Log'!D:D,A361,'QA Log'!M:M,"QQC",'QA Log'!L:L,"3. Curative Consultation (OPD)",'QA Log'!Z:Z,"Approved"),"")</f>
        <v/>
      </c>
      <c r="N361" s="105" t="str">
        <f>IF(A361&lt;&gt;"",COUNTIFS('QA Log'!D:D,A361,'QA Log'!M:M,"QQC",'QA Log'!L:L,"5. Laboratory",'QA Log'!Z:Z,"Approved"),"")</f>
        <v/>
      </c>
      <c r="O361" s="105" t="str">
        <f>IF(A361&lt;&gt;"",COUNTIFS('QA Log'!D:D,A361,'QA Log'!M:M,"QQC",'QA Log'!L:L,"6. Essential Medicine Management",'QA Log'!Z:Z,"Approved"),"")</f>
        <v/>
      </c>
      <c r="P361" s="105" t="str">
        <f>IF(A361&lt;&gt;"",COUNTIFS('QA Log'!D:D,A361,'QA Log'!M:M,"QQC",'QA Log'!L:L,"7. Tracer Medicine",'QA Log'!Z:Z,"Approved"),"")</f>
        <v/>
      </c>
      <c r="Q361" s="105" t="str">
        <f>IF(A361&lt;&gt;"",COUNTIFS('QA Log'!D:D,A361,'QA Log'!M:M,"QQC",'QA Log'!L:L,"11. Additional Questions",'QA Log'!Z:Z,"Approved"),"")</f>
        <v/>
      </c>
      <c r="R361" s="102" t="str">
        <f>IF(A361="","",SUM(
COUNTIFS('QA Log'!D:D,A361,'QA Log'!M:M,"QQC",'QA Log'!Z:Z,"Rejected",'QA Log'!L:L,"*8. Maternity*"),
COUNTIFS('QA Log'!D:D,A361,'QA Log'!M:M,"QQC",'QA Log'!Z:Z,"Rejected",'QA Log'!L:L,"*EPI*"),
COUNTIFS('QA Log'!D:D,A361,'QA Log'!M:M,"QQC",'QA Log'!Z:Z,"Rejected",'QA Log'!L:L,"*10. Antenatal Care (ANC)*"),
COUNTIFS('QA Log'!D:D,A361,'QA Log'!M:M,"QQC",'QA Log'!Z:Z,"Rejected",'QA Log'!L:L,"*2. Hygiene and Sterilization*"),
COUNTIFS('QA Log'!D:D,A361,'QA Log'!M:M,"QQC",'QA Log'!Z:Z,"Rejected",'QA Log'!L:L,"*Family Planning*")))</f>
        <v/>
      </c>
      <c r="S361" s="106" t="str">
        <f t="shared" si="27"/>
        <v/>
      </c>
      <c r="T361" s="102" t="str">
        <f t="shared" si="28"/>
        <v/>
      </c>
      <c r="U361" s="102" t="str">
        <f>IF(A361="","",
SUM(
COUNTIFS('QA Log'!D:D,A361,'QA Log'!M:M,"QQC",'QA Log'!L:L,"*8. Maternity*"),
COUNTIFS('QA Log'!D:D,A361,'QA Log'!M:M,"QQC",'QA Log'!L:L,"*9. EPI and Pre-school Consultation*"),
COUNTIFS('QA Log'!D:D,A361,'QA Log'!M:M,"QQC",'QA Log'!L:L,"*10. Antenatal Care (ANC)*"),
COUNTIFS('QA Log'!D:D,A361,'QA Log'!M:M,"QQC",'QA Log'!L:L,"*2. Hygiene and Sterilization*"),
COUNTIFS('QA Log'!D:D,A361,'QA Log'!M:M,"QQC",'QA Log'!L:L,"*4. Family Planning*")
))</f>
        <v/>
      </c>
      <c r="V361" s="102" t="str">
        <f>IF(A361="","",
SUM(
COUNTIFS('QA Log'!D:D,A361,'QA Log'!M:M,"QQC",'QA Log'!Z:Z,"Approved",'QA Log'!L:L,"*8. Maternity*"),
COUNTIFS('QA Log'!D:D,A361,'QA Log'!M:M,"QQC",'QA Log'!Z:Z,"Approved",'QA Log'!L:L,"*9. EPI and Pre-school Consultation*"),
COUNTIFS('QA Log'!D:D,A361,'QA Log'!M:M,"QQC",'QA Log'!Z:Z,"Approved",'QA Log'!L:L,"*10. Antenatal Care (ANC)*"),
COUNTIFS('QA Log'!D:D,A361,'QA Log'!M:M,"QQC",'QA Log'!Z:Z,"Approved",'QA Log'!L:L,"*2. Hygiene and Sterilization*"),
COUNTIFS('QA Log'!D:D,A361,'QA Log'!M:M,"QQC",'QA Log'!Z:Z,"Approved",'QA Log'!L:L,"*4. Family Planning*")
))</f>
        <v/>
      </c>
      <c r="W361" s="105" t="str">
        <f>IF(A361&lt;&gt;"",COUNTIFS('QA Log'!D:D,A361,'QA Log'!M:M,"QQC",'QA Log'!L:L,"8. Maternity",'QA Log'!Z:Z,"Approved"),"")</f>
        <v/>
      </c>
      <c r="X361" s="105" t="str">
        <f>IF(A361&lt;&gt;"",COUNTIFS('QA Log'!D:D,A361,'QA Log'!M:M,"QQC",'QA Log'!L:L,"9. EPI and Pre-school Consultation",'QA Log'!Z:Z,"Approved"),"")</f>
        <v/>
      </c>
      <c r="Y361" s="105" t="str">
        <f>IF(A361&lt;&gt;"",COUNTIFS('QA Log'!D:D,A361,'QA Log'!M:M,"QQC",'QA Log'!L:L,"10. Antenatal Care (ANC)",'QA Log'!Z:Z,"Approved"),"")</f>
        <v/>
      </c>
      <c r="Z361" s="105" t="str">
        <f>IF(A361&lt;&gt;"",COUNTIFS('QA Log'!D:D,A361,'QA Log'!M:M,"QQC",'QA Log'!L:L,"2. Hygiene and Sterilization",'QA Log'!Z:Z,"Approved"),"")</f>
        <v/>
      </c>
      <c r="AA361" s="105" t="str">
        <f>IF(A361&lt;&gt;"",COUNTIFS('QA Log'!D:D,A361,'QA Log'!M:M,"QQC",'QA Log'!L:L,"4. Family Planning",'QA Log'!Z:Z,"Approved"),"")</f>
        <v/>
      </c>
      <c r="AB361" s="102" t="str">
        <f>IF(A361="","",
SUM(
COUNTIFS('QA Log'!D:D,A361,'QA Log'!M:M,"QQC",'QA Log'!Z:Z,"Rejected",'QA Log'!L:L,"*8. Maternity*"),
COUNTIFS('QA Log'!D:D,A361,'QA Log'!M:M,"QQC",'QA Log'!Z:Z,"Rejected",'QA Log'!L:L,"*9. EPI and Pre-school Consultation*"),
COUNTIFS('QA Log'!D:D,A361,'QA Log'!M:M,"QQC",'QA Log'!Z:Z,"Rejected",'QA Log'!L:L,"*10. Antenatal Care (ANC)*"),
COUNTIFS('QA Log'!D:D,A361,'QA Log'!M:M,"QQC",'QA Log'!Z:Z,"Rejected",'QA Log'!L:L,"*2. Hygiene and Sterilization*"),
COUNTIFS('QA Log'!D:D,A361,'QA Log'!M:M,"QQC",'QA Log'!Z:Z,"Rejected",'QA Log'!L:L,"*4. Family Planning*")
))</f>
        <v/>
      </c>
      <c r="AC361" s="102" t="str">
        <f t="shared" si="29"/>
        <v/>
      </c>
      <c r="AD361" s="103" t="str">
        <f t="shared" si="30"/>
        <v/>
      </c>
      <c r="AE361" s="102" t="str">
        <f>IF(A361="","",
SUM(
COUNTIFS('QA Log'!D:D,A361,'QA Log'!M:M,"Data Verification",'QA Log'!L:L,"*Medicine (section 2)*"),
COUNTIFS('QA Log'!D:D,A361,'QA Log'!M:M,"Data Verification",'QA Log'!L:L,"*Lab Testing Availability*"),
COUNTIFS('QA Log'!D:D,A361,'QA Log'!M:M,"Data Verification",'QA Log'!L:L,"*Other than P4P (section 6)*"),
COUNTIFS('QA Log'!D:D,A361,'QA Log'!M:M,"Data Verification",'QA Log'!L:L,"*Hospital Governance*")
))</f>
        <v/>
      </c>
      <c r="AF361" s="102" t="str">
        <f>IF(A361="","",
SUM(
COUNTIFS('QA Log'!D:D,A361,'QA Log'!M:M,"Data Verification",'QA Log'!Z:Z,"Approved",'QA Log'!L:L,"*Medicine (section 2)*"),
COUNTIFS('QA Log'!D:D,A361,'QA Log'!M:M,"Data Verification",'QA Log'!Z:Z,"Approved",'QA Log'!L:L,"*Lab Testing Availability*"),
COUNTIFS('QA Log'!D:D,A361,'QA Log'!M:M,"Data Verification",'QA Log'!Z:Z,"Approved",'QA Log'!L:L,"*Other than P4P (section 6)*"),
COUNTIFS('QA Log'!D:D,A361,'QA Log'!M:M,"Data Verification",'QA Log'!Z:Z,"Approved",'QA Log'!L:L,"*Hospital Governance*")
))</f>
        <v/>
      </c>
      <c r="AG361" s="105" t="str">
        <f>IF(A361&lt;&gt;"",COUNTIFS('QA Log'!D:D,A361,'QA Log'!M:M,"Data Verification",'QA Log'!L:L,"Medicine (section 2)",'QA Log'!Z:Z,"Approved"),"")</f>
        <v/>
      </c>
      <c r="AH361" s="105" t="str">
        <f>IF(A361&lt;&gt;"",COUNTIFS('QA Log'!D:D,A361,'QA Log'!M:M,"Data Verification",'QA Log'!L:L,"Lab Testing Availability",'QA Log'!Z:Z,"Approved"),"")</f>
        <v/>
      </c>
      <c r="AI361" s="105" t="str">
        <f>IF(A361&lt;&gt;"",COUNTIFS('QA Log'!D:D,A361,'QA Log'!M:M,"Data Verification",'QA Log'!L:L,"Other than P4P (section 6)",'QA Log'!Z:Z,"Approved"),"")</f>
        <v/>
      </c>
      <c r="AJ361" s="105" t="str">
        <f>IF(A361&lt;&gt;"",COUNTIFS('QA Log'!D:D,A361,'QA Log'!M:M,"Data Verification",'QA Log'!L:L,"Hospital Governance",'QA Log'!Z:Z,"Approved"),"")</f>
        <v/>
      </c>
      <c r="AK361" s="102" t="str">
        <f>IF(A361="","",
SUM(
COUNTIFS('QA Log'!D:D,A361,'QA Log'!M:M,"Data Verification",'QA Log'!Z:Z,"Rejected",'QA Log'!L:L,"*Medicine (section 2)*"),
COUNTIFS('QA Log'!D:D,A361,'QA Log'!M:M,"Data Verification",'QA Log'!Z:Z,"Rejected",'QA Log'!L:L,"*Lab Testing Availability*"),
COUNTIFS('QA Log'!D:D,A361,'QA Log'!M:M,"Data Verification",'QA Log'!Z:Z,"Rejected",'QA Log'!L:L,"*Other than P4P (section 6)*"),
COUNTIFS('QA Log'!D:D,A361,'QA Log'!M:M,"Data Verification",'QA Log'!Z:Z,"Rejected",'QA Log'!L:L,"*Hospital Governance*")
))</f>
        <v/>
      </c>
      <c r="AL361" s="106" t="str">
        <f t="shared" si="31"/>
        <v/>
      </c>
      <c r="AM361" s="102" t="str">
        <f t="shared" si="32"/>
        <v/>
      </c>
      <c r="AN361" s="102" t="str">
        <f>IF(A361="","",
SUM(
COUNTIFS('QA Log'!D:D,A361,'QA Log'!M:M,"Data Verification",'QA Log'!L:L,"*Personnel (section 1)*"),
COUNTIFS('QA Log'!D:D,A361,'QA Log'!M:M,"Data Verification",'QA Log'!L:L,"*Consumable (section 3)*"),
COUNTIFS('QA Log'!D:D,A361,'QA Log'!M:M,"Data Verification",'QA Log'!L:L,"*Equipments (section 4)*")
))</f>
        <v/>
      </c>
      <c r="AO361" s="102" t="str">
        <f>IF(A361="","",
SUM(
COUNTIFS('QA Log'!D:D,A361,'QA Log'!M:M,"Data Verification",'QA Log'!Z:Z,"Approved",'QA Log'!L:L,"*Personnel (section 1)*"),
COUNTIFS('QA Log'!D:D,A361,'QA Log'!M:M,"Data Verification",'QA Log'!Z:Z,"Approved",'QA Log'!L:L,"*Consumable (section 3)*"),
COUNTIFS('QA Log'!D:D,A361,'QA Log'!M:M,"Data Verification",'QA Log'!Z:Z,"Approved",'QA Log'!L:L,"*Equipments (section 4)*")
))</f>
        <v/>
      </c>
      <c r="AP361" s="105" t="str">
        <f>IF(A361&lt;&gt;"",COUNTIFS('QA Log'!D:D,A361,'QA Log'!M:M,"Data Verification",'QA Log'!L:L,"Personnel (section 1)",'QA Log'!Z:Z,"Approved"),"")</f>
        <v/>
      </c>
      <c r="AQ361" s="105" t="str">
        <f>IF(A361&lt;&gt;"",COUNTIFS('QA Log'!D:D,A361,'QA Log'!M:M,"Data Verification",'QA Log'!L:L,"Consumable (section 3)",'QA Log'!Z:Z,"Approved"),"")</f>
        <v/>
      </c>
      <c r="AR361" s="105" t="str">
        <f>IF(A361&lt;&gt;"",COUNTIFS('QA Log'!D:D,A361,'QA Log'!M:M,"Data Verification",'QA Log'!L:L,"Equipments (section 4)",'QA Log'!Z:Z,"Approved"),"")</f>
        <v/>
      </c>
      <c r="AS361" s="102" t="str">
        <f>IF(A361="","",
SUM(
COUNTIFS('QA Log'!D:D,A361,'QA Log'!M:M,"Data Verification",'QA Log'!Z:Z,"Rejected",'QA Log'!L:L,"*Personnel (section 1)*"),
COUNTIFS('QA Log'!D:D,A361,'QA Log'!M:M,"Data Verification",'QA Log'!Z:Z,"Rejected",'QA Log'!L:L,"*Consumable (section 3)*"),
COUNTIFS('QA Log'!D:D,A361,'QA Log'!M:M,"Data Verification",'QA Log'!Z:Z,"Rejected",'QA Log'!L:L,"*Equipments (section 4)*")
))</f>
        <v/>
      </c>
      <c r="AT361" s="102" t="str">
        <f t="shared" si="33"/>
        <v/>
      </c>
      <c r="AU361" s="103" t="str">
        <f t="shared" si="34"/>
        <v/>
      </c>
      <c r="AV361" s="102" t="str">
        <f>IF(A361="","",SUM(
COUNTIFS('QA Log'!D:D,A361,'QA Log'!M:M,"Vignette",'QA Log'!L:L,"*Vignette [1] Respiratory Infection: Pneumonia*"),
COUNTIFS('QA Log'!D:D,A361,'QA Log'!M:M,"Vignette",'QA Log'!L:L,"*Vignette [2]: Diarrhea with Cat B dehydration*"),
COUNTIFS('QA Log'!D:D,A361,'QA Log'!M:M,"Vignette",'QA Log'!L:L,"*Vignette [3] Growth Monitoring and Promotion*"),
COUNTIFS('QA Log'!D:D,A361,'QA Log'!M:M,"Vignette",'QA Log'!L:L,"*Vignette [4]: The management of presumptive TB patient*")
)
)</f>
        <v/>
      </c>
      <c r="AW361" s="102" t="str">
        <f>IF(
  A361="","",
  SUM(
    COUNTIFS('QA Log'!D:D,A361,'QA Log'!M:M,"Vignette",'QA Log'!Z:Z,"Approved",'QA Log'!L:L,"*Vignette [1] Respiratory Infection: Pneumonia*"),
    COUNTIFS('QA Log'!D:D,A361,'QA Log'!M:M,"Vignette",'QA Log'!Z:Z,"Approved",'QA Log'!L:L,"*Vignette [2]: Diarrhea with Cat B dehydration*"),
    COUNTIFS('QA Log'!D:D,A361,'QA Log'!M:M,"Vignette",'QA Log'!Z:Z,"Approved",'QA Log'!L:L,"*Vignette [3] Growth Monitoring and Promotion*"),
    COUNTIFS('QA Log'!D:D,A361,'QA Log'!M:M,"Vignette",'QA Log'!Z:Z,"Approved",'QA Log'!L:L,"*Vignette [4]: The management of presumptive TB patient*")
  )
)</f>
        <v/>
      </c>
      <c r="AX361" s="105" t="str">
        <f>IF(A361&lt;&gt;"",COUNTIFS('QA Log'!D:D,A361,'QA Log'!M:M,"Vignette",'QA Log'!L:L,"Vignette [1] Respiratory Infection: Pneumonia",'QA Log'!Z:Z,"Approved"),"")</f>
        <v/>
      </c>
      <c r="AY361" s="105" t="str">
        <f>IF(A361&lt;&gt;"",COUNTIFS('QA Log'!D:D,A361,'QA Log'!M:M,"Vignette",'QA Log'!L:L,"Vignette [2]: Diarrhea with Cat B dehydration",'QA Log'!Z:Z,"Approved"),"")</f>
        <v/>
      </c>
      <c r="AZ361" s="105" t="str">
        <f>IF(A361&lt;&gt;"",COUNTIFS('QA Log'!D:D,A361,'QA Log'!M:M,"Vignette",'QA Log'!L:L,"Vignette [3] Growth Monitoring and Promotion",'QA Log'!Z:Z,"Approved"),"")</f>
        <v/>
      </c>
      <c r="BA361" s="105" t="str">
        <f>IF(A361&lt;&gt;"",COUNTIFS('QA Log'!D:D,A361,'QA Log'!M:M,"Vignette",'QA Log'!L:L,"Vignette [4]: The management of presumptive TB patient",'QA Log'!Z:Z,"Approved"),"")</f>
        <v/>
      </c>
      <c r="BB361" s="102" t="str">
        <f>IF(A361="","",
  SUM(
    COUNTIFS('QA Log'!D:D,A361,'QA Log'!M:M,"Vignette",'QA Log'!Z:Z,"Rejected",'QA Log'!L:L,"*Vignette [1] Respiratory Infection: Pneumonia*"),
    COUNTIFS('QA Log'!D:D,A361,'QA Log'!M:M,"Vignette",'QA Log'!Z:Z,"Rejected",'QA Log'!L:L,"*Vignette [2]: Diarrhea with Cat B dehydration*"),
    COUNTIFS('QA Log'!D:D,A361,'QA Log'!M:M,"Vignette",'QA Log'!Z:Z,"Rejected",'QA Log'!L:L,"*Vignette [3] Growth Monitoring and Promotion*"),
    COUNTIFS('QA Log'!D:D,A361,'QA Log'!M:M,"Vignette",'QA Log'!Z:Z,"Rejected",'QA Log'!L:L,"*Vignette [4]: The management of presumptive TB patient*")
  )
)</f>
        <v/>
      </c>
      <c r="BC361" s="107" t="str">
        <f t="shared" si="35"/>
        <v/>
      </c>
      <c r="BD361" s="103" t="str">
        <f t="shared" si="36"/>
        <v/>
      </c>
      <c r="BE361" s="102" t="str">
        <f>IF(A361="","",SUM(
COUNTIFS('QA Log'!D:D,A361,'QA Log'!M:M,"Vignette",'QA Log'!L:L,"*Vignette [5] Labor*"),
COUNTIFS('QA Log'!D:D,A361,'QA Log'!M:M,"Vignette",'QA Log'!L:L,"*Vignette [6] PNC pre Discharge*"),
COUNTIFS('QA Log'!D:D,A361,'QA Log'!M:M,"Vignette",'QA Log'!L:L,"*Vignette [7] First ANC Visit*"),
COUNTIFS('QA Log'!D:D,A361,'QA Log'!M:M,"Vignette",'QA Log'!L:L,"*Vignette [8] Birth Spacing/ Family Planning :  FP Counselling*"),
COUNTIFS('QA Log'!D:D,A361,'QA Log'!M:M,"Vignette",'QA Log'!L:L,"*Vignette [9] Birth Spacing: Change FP method to Injectable*"),
COUNTIFS('QA Log'!D:D,A361,'QA Log'!M:M,"Vignette",'QA Log'!L:L,"*Vignette [10] Post Partum Haemorrhage - Atonic Uterus at Health Centre*"),
)
)</f>
        <v/>
      </c>
      <c r="BF361" s="102" t="str">
        <f>IF(A361="","",
  SUM(
    COUNTIFS('QA Log'!D:D,A361,'QA Log'!M:M,"Vignette",'QA Log'!Z:Z,"Approved",'QA Log'!L:L,"*Vignette [5] Labor*"),
    COUNTIFS('QA Log'!D:D,A361,'QA Log'!M:M,"Vignette",'QA Log'!Z:Z,"Approved",'QA Log'!L:L,"*Vignette [6] PNC pre Discharge*"),
    COUNTIFS('QA Log'!D:D,A361,'QA Log'!M:M,"Vignette",'QA Log'!Z:Z,"Approved",'QA Log'!L:L,"*Vignette [7] First ANC Visit*"),
    COUNTIFS('QA Log'!D:D,A361,'QA Log'!M:M,"Vignette",'QA Log'!Z:Z,"Approved",'QA Log'!L:L,"*Vignette [8] Birth Spacing/ Family Planning :  FP Counselling*"),
    COUNTIFS('QA Log'!D:D,A361,'QA Log'!M:M,"Vignette",'QA Log'!Z:Z,"Approved",'QA Log'!L:L,"*Vignette [9] Birth Spacing: Change FP method to Injectable*"),
    COUNTIFS('QA Log'!D:D,A361,'QA Log'!M:M,"Vignette",'QA Log'!Z:Z,"Approved",'QA Log'!L:L,"*Vignette [10] Post Partum Haemorrhage - Atonic Uterus at Health Centre*")
  )
)</f>
        <v/>
      </c>
      <c r="BG361" s="105" t="str">
        <f>IF(A361&lt;&gt;"",COUNTIFS('QA Log'!D:D,A361,'QA Log'!M:M,"Vignette",'QA Log'!L:L,"Vignette [5] Labor",'QA Log'!Z:Z,"Approved"),"")</f>
        <v/>
      </c>
      <c r="BH361" s="105" t="str">
        <f>IF(A361&lt;&gt;"",COUNTIFS('QA Log'!D:D,A361,'QA Log'!M:M,"Vignette",'QA Log'!L:L,"Vignette [6] PNC pre Discharge",'QA Log'!Z:Z,"Approved"),"")</f>
        <v/>
      </c>
      <c r="BI361" s="105" t="str">
        <f>IF(A361&lt;&gt;"",COUNTIFS('QA Log'!D:D,A361,'QA Log'!M:M,"Vignette",'QA Log'!L:L,"Vignette [7] First ANC Visit",'QA Log'!Z:Z,"Approved"),"")</f>
        <v/>
      </c>
      <c r="BJ361" s="105" t="str">
        <f>IF(A361&lt;&gt;"",COUNTIFS('QA Log'!D:D,A361,'QA Log'!M:M,"Vignette",'QA Log'!L:L,"Vignette [8] Birth Spacing/ Family Planning :  FP Counselling",'QA Log'!Z:Z,"Approved"),"")</f>
        <v/>
      </c>
      <c r="BK361" s="105" t="str">
        <f>IF(A361&lt;&gt;"",COUNTIFS('QA Log'!D:D,A361,'QA Log'!M:M,"Vignette",'QA Log'!L:L,"Vignette [9] Birth Spacing: Change FP method to Injectable",'QA Log'!Z:Z,"Approved"),"")</f>
        <v/>
      </c>
      <c r="BL361" s="105" t="str">
        <f>IF(A361&lt;&gt;"",COUNTIFS('QA Log'!D:D,A361,'QA Log'!M:M,"Vignette",'QA Log'!L:L,"Vignette [10] Post Partum Haemorrhage - Atonic Uterus at Health Centre",'QA Log'!Z:Z,"Approved"),"")</f>
        <v/>
      </c>
      <c r="BM361" s="102" t="str">
        <f>IF(A361="","",SUM(
    COUNTIFS('QA Log'!D:D,A361,'QA Log'!M:M,"Vignette",'QA Log'!Z:Z,"Rejected",'QA Log'!L:L,"*Vignette [5] Labor*"),
    COUNTIFS('QA Log'!D:D,A361,'QA Log'!M:M,"Vignette",'QA Log'!Z:Z,"Rejected",'QA Log'!L:L,"*Vignette [6] PNC pre Discharge*"),
    COUNTIFS('QA Log'!D:D,A361,'QA Log'!M:M,"Vignette",'QA Log'!Z:Z,"Rejected",'QA Log'!L:L,"*Vignette [7] First ANC Visit*"),
    COUNTIFS('QA Log'!D:D,A361,'QA Log'!M:M,"Vignette",'QA Log'!Z:Z,"Rejected",'QA Log'!L:L,"*Vignette [8] Birth Spacing/ Family Planning :  FP Counselling*"),
    COUNTIFS('QA Log'!D:D,A361,'QA Log'!M:M,"Vignette",'QA Log'!Z:Z,"Rejected",'QA Log'!L:L,"*Vignette [9] Birth Spacing: Change FP method to Injectable*"),
    COUNTIFS('QA Log'!D:D,A361,'QA Log'!M:M,"Vignette",'QA Log'!Z:Z,"Rejected",'QA Log'!L:L,"*Vignette [10] Post Partum Haemorrhage - Atonic Uterus at Health Centre*")
  )
)</f>
        <v/>
      </c>
      <c r="BN361" s="107" t="str">
        <f t="shared" si="37"/>
        <v/>
      </c>
      <c r="BO361" s="103" t="str">
        <f t="shared" si="38"/>
        <v/>
      </c>
      <c r="BP361" s="102" t="str">
        <f>IF(A361="","",SUM(
COUNTIFS('QA Log'!D:D,A361,'QA Log'!M:M,"Vignette",'QA Log'!L:L,"*Exit Interview 1*"),
COUNTIFS('QA Log'!D:D,A361,'QA Log'!M:M,"Vignette",'QA Log'!L:L,"*Exit Interview 2*"),
)
)</f>
        <v/>
      </c>
      <c r="BQ361" s="102" t="str">
        <f>IF(
  A361="","",
  SUM(
    COUNTIFS('QA Log'!D:D,A361,'QA Log'!M:M,"Vignette",'QA Log'!Z:Z,"Approved",'QA Log'!L:L,"*Exit Interview 1*"),
    COUNTIFS('QA Log'!D:D,A361,'QA Log'!M:M,"Vignette",'QA Log'!Z:Z,"Approved",'QA Log'!L:L,"*Exit Interview 2*")
  )
)</f>
        <v/>
      </c>
      <c r="BR361" s="105" t="str">
        <f>IF(A361&lt;&gt;"",COUNTIFS('QA Log'!D:D,A361,'QA Log'!M:M,"Vignette",'QA Log'!L:L,"Exit Interview 1",'QA Log'!Z:Z,"Approved"),"")</f>
        <v/>
      </c>
      <c r="BS361" s="105" t="str">
        <f>IF(A361&lt;&gt;"",COUNTIFS('QA Log'!D:D,A361,'QA Log'!M:M,"Vignette",'QA Log'!L:L,"Exit Interview 2",'QA Log'!Z:Z,"Approved"),"")</f>
        <v/>
      </c>
      <c r="BT361" s="102" t="str">
        <f>IF(
  A361="","",
  SUM(
    COUNTIFS('QA Log'!D:D,A361,'QA Log'!M:M,"Vignette",'QA Log'!Z:Z,"Rejected",'QA Log'!L:L,"*Exit Interview 1*"),
    COUNTIFS('QA Log'!D:D,A361,'QA Log'!M:M,"Vignette",'QA Log'!Z:Z,"Rejected",'QA Log'!L:L,"*Exit Interview 2*")
  )
)</f>
        <v/>
      </c>
      <c r="BU361" s="107" t="str">
        <f t="shared" si="39"/>
        <v/>
      </c>
      <c r="BV361" s="102" t="str">
        <f t="shared" si="40"/>
        <v/>
      </c>
      <c r="BW361" s="102" t="str">
        <f t="shared" si="41"/>
        <v/>
      </c>
      <c r="BX361" s="102" t="str">
        <f t="shared" si="42"/>
        <v/>
      </c>
      <c r="BY361" s="102" t="str">
        <f t="shared" si="43"/>
        <v/>
      </c>
      <c r="BZ361" s="107" t="str">
        <f t="shared" si="44"/>
        <v/>
      </c>
      <c r="CA361" s="108" t="str">
        <f t="shared" si="45"/>
        <v/>
      </c>
      <c r="CB361" s="108" t="str">
        <f t="shared" si="46"/>
        <v/>
      </c>
      <c r="CC361" s="109" t="str">
        <f t="shared" si="47"/>
        <v/>
      </c>
      <c r="CD361" s="108" t="str">
        <f t="shared" si="48"/>
        <v/>
      </c>
      <c r="CE361" s="108" t="str">
        <f t="shared" si="49"/>
        <v/>
      </c>
      <c r="CF361" s="109" t="str">
        <f t="shared" si="50"/>
        <v/>
      </c>
      <c r="CG361" s="110" t="str">
        <f t="shared" si="51"/>
        <v/>
      </c>
      <c r="CH361" s="111"/>
    </row>
    <row r="362" spans="1:86" ht="12.75">
      <c r="A362" s="101"/>
      <c r="B362" s="102" t="e">
        <f t="array" aca="1" ref="B362" ca="1">_xludf.XLOOKUP(A362,'QA Log'!D:D,'QA Log'!E:E,"")</f>
        <v>#NAME?</v>
      </c>
      <c r="C362" s="102" t="e">
        <f t="array" aca="1" ref="C362" ca="1">_xludf.XLOOKUP(A362,'QA Log'!D:D,'QA Log'!F:F,"")</f>
        <v>#NAME?</v>
      </c>
      <c r="D362" s="102" t="e">
        <f t="array" aca="1" ref="D362" ca="1">_xludf.XLOOKUP(A362,'QA Log'!D:D,'QA Log'!H:H,"")</f>
        <v>#NAME?</v>
      </c>
      <c r="E362" s="102" t="e">
        <f t="array" aca="1" ref="E362" ca="1">_xludf.XLOOKUP(A362,'QA Log'!D:D,'QA Log'!G:G,"")</f>
        <v>#NAME?</v>
      </c>
      <c r="F362" s="103"/>
      <c r="G362" s="104"/>
      <c r="H362" s="104"/>
      <c r="I362" s="103" t="str">
        <f t="shared" si="26"/>
        <v/>
      </c>
      <c r="J362" s="102" t="str">
        <f>IF(A362="","",SUM(
COUNTIFS('QA Log'!D:D,A362,'QA Log'!M:M,"QQC",'QA Log'!L:L,"*1. General Management*"),
COUNTIFS('QA Log'!D:D,A362,'QA Log'!M:M,"QQC",'QA Log'!L:L,"*3. Curative Consultation (OPD)*"),
COUNTIFS('QA Log'!D:D,A362,'QA Log'!M:M,"QQC",'QA Log'!L:L,"*5. Laboratory*"),
COUNTIFS('QA Log'!D:D,A362,'QA Log'!M:M,"QQC",'QA Log'!L:L,"*6. Essential Medicine Management*"),
COUNTIFS('QA Log'!D:D,A362,'QA Log'!M:M,"QQC",'QA Log'!L:L,"*7. Tracer Medicine*"),
COUNTIFS('QA Log'!D:D,A362,'QA Log'!M:M,"QQC",'QA Log'!L:L,"*11. Additional Questions*")))</f>
        <v/>
      </c>
      <c r="K362" s="102" t="str">
        <f>IF(A362="","",SUM(
COUNTIFS('QA Log'!D:D,A362,'QA Log'!M:M,"QQC",'QA Log'!Z:Z,"Approved",'QA Log'!L:L,"*1. General Management*"),
COUNTIFS('QA Log'!D:D,A362,'QA Log'!M:M,"QQC",'QA Log'!Z:Z,"Approved",'QA Log'!L:L,"*3. Curative Consultation (OPD)*"),
COUNTIFS('QA Log'!D:D,A362,'QA Log'!M:M,"QQC",'QA Log'!Z:Z,"Approved",'QA Log'!L:L,"*5. Laboratory*"),
COUNTIFS('QA Log'!D:D,A362,'QA Log'!M:M,"QQC",'QA Log'!Z:Z,"Approved",'QA Log'!L:L,"*6. Essential Medicine Management*"),
COUNTIFS('QA Log'!D:D,A362,'QA Log'!M:M,"QQC",'QA Log'!Z:Z,"Approved",'QA Log'!L:L,"*7. Tracer Medicine*"),
COUNTIFS('QA Log'!D:D,A362,'QA Log'!M:M,"QQC",'QA Log'!Z:Z,"Approved",'QA Log'!L:L,"*11. Additional Questions*")))</f>
        <v/>
      </c>
      <c r="L362" s="105" t="str">
        <f>IF(A362&lt;&gt;"",COUNTIFS('QA Log'!D:D,A362,'QA Log'!M:M,"QQC",'QA Log'!L:L,"1. General Management",'QA Log'!Z:Z,"Approved"),"")</f>
        <v/>
      </c>
      <c r="M362" s="105" t="str">
        <f>IF(A362&lt;&gt;"",COUNTIFS('QA Log'!D:D,A362,'QA Log'!M:M,"QQC",'QA Log'!L:L,"3. Curative Consultation (OPD)",'QA Log'!Z:Z,"Approved"),"")</f>
        <v/>
      </c>
      <c r="N362" s="105" t="str">
        <f>IF(A362&lt;&gt;"",COUNTIFS('QA Log'!D:D,A362,'QA Log'!M:M,"QQC",'QA Log'!L:L,"5. Laboratory",'QA Log'!Z:Z,"Approved"),"")</f>
        <v/>
      </c>
      <c r="O362" s="105" t="str">
        <f>IF(A362&lt;&gt;"",COUNTIFS('QA Log'!D:D,A362,'QA Log'!M:M,"QQC",'QA Log'!L:L,"6. Essential Medicine Management",'QA Log'!Z:Z,"Approved"),"")</f>
        <v/>
      </c>
      <c r="P362" s="105" t="str">
        <f>IF(A362&lt;&gt;"",COUNTIFS('QA Log'!D:D,A362,'QA Log'!M:M,"QQC",'QA Log'!L:L,"7. Tracer Medicine",'QA Log'!Z:Z,"Approved"),"")</f>
        <v/>
      </c>
      <c r="Q362" s="105" t="str">
        <f>IF(A362&lt;&gt;"",COUNTIFS('QA Log'!D:D,A362,'QA Log'!M:M,"QQC",'QA Log'!L:L,"11. Additional Questions",'QA Log'!Z:Z,"Approved"),"")</f>
        <v/>
      </c>
      <c r="R362" s="102" t="str">
        <f>IF(A362="","",SUM(
COUNTIFS('QA Log'!D:D,A362,'QA Log'!M:M,"QQC",'QA Log'!Z:Z,"Rejected",'QA Log'!L:L,"*8. Maternity*"),
COUNTIFS('QA Log'!D:D,A362,'QA Log'!M:M,"QQC",'QA Log'!Z:Z,"Rejected",'QA Log'!L:L,"*EPI*"),
COUNTIFS('QA Log'!D:D,A362,'QA Log'!M:M,"QQC",'QA Log'!Z:Z,"Rejected",'QA Log'!L:L,"*10. Antenatal Care (ANC)*"),
COUNTIFS('QA Log'!D:D,A362,'QA Log'!M:M,"QQC",'QA Log'!Z:Z,"Rejected",'QA Log'!L:L,"*2. Hygiene and Sterilization*"),
COUNTIFS('QA Log'!D:D,A362,'QA Log'!M:M,"QQC",'QA Log'!Z:Z,"Rejected",'QA Log'!L:L,"*Family Planning*")))</f>
        <v/>
      </c>
      <c r="S362" s="106" t="str">
        <f t="shared" si="27"/>
        <v/>
      </c>
      <c r="T362" s="102" t="str">
        <f t="shared" si="28"/>
        <v/>
      </c>
      <c r="U362" s="102" t="str">
        <f>IF(A362="","",
SUM(
COUNTIFS('QA Log'!D:D,A362,'QA Log'!M:M,"QQC",'QA Log'!L:L,"*8. Maternity*"),
COUNTIFS('QA Log'!D:D,A362,'QA Log'!M:M,"QQC",'QA Log'!L:L,"*9. EPI and Pre-school Consultation*"),
COUNTIFS('QA Log'!D:D,A362,'QA Log'!M:M,"QQC",'QA Log'!L:L,"*10. Antenatal Care (ANC)*"),
COUNTIFS('QA Log'!D:D,A362,'QA Log'!M:M,"QQC",'QA Log'!L:L,"*2. Hygiene and Sterilization*"),
COUNTIFS('QA Log'!D:D,A362,'QA Log'!M:M,"QQC",'QA Log'!L:L,"*4. Family Planning*")
))</f>
        <v/>
      </c>
      <c r="V362" s="102" t="str">
        <f>IF(A362="","",
SUM(
COUNTIFS('QA Log'!D:D,A362,'QA Log'!M:M,"QQC",'QA Log'!Z:Z,"Approved",'QA Log'!L:L,"*8. Maternity*"),
COUNTIFS('QA Log'!D:D,A362,'QA Log'!M:M,"QQC",'QA Log'!Z:Z,"Approved",'QA Log'!L:L,"*9. EPI and Pre-school Consultation*"),
COUNTIFS('QA Log'!D:D,A362,'QA Log'!M:M,"QQC",'QA Log'!Z:Z,"Approved",'QA Log'!L:L,"*10. Antenatal Care (ANC)*"),
COUNTIFS('QA Log'!D:D,A362,'QA Log'!M:M,"QQC",'QA Log'!Z:Z,"Approved",'QA Log'!L:L,"*2. Hygiene and Sterilization*"),
COUNTIFS('QA Log'!D:D,A362,'QA Log'!M:M,"QQC",'QA Log'!Z:Z,"Approved",'QA Log'!L:L,"*4. Family Planning*")
))</f>
        <v/>
      </c>
      <c r="W362" s="105" t="str">
        <f>IF(A362&lt;&gt;"",COUNTIFS('QA Log'!D:D,A362,'QA Log'!M:M,"QQC",'QA Log'!L:L,"8. Maternity",'QA Log'!Z:Z,"Approved"),"")</f>
        <v/>
      </c>
      <c r="X362" s="105" t="str">
        <f>IF(A362&lt;&gt;"",COUNTIFS('QA Log'!D:D,A362,'QA Log'!M:M,"QQC",'QA Log'!L:L,"9. EPI and Pre-school Consultation",'QA Log'!Z:Z,"Approved"),"")</f>
        <v/>
      </c>
      <c r="Y362" s="105" t="str">
        <f>IF(A362&lt;&gt;"",COUNTIFS('QA Log'!D:D,A362,'QA Log'!M:M,"QQC",'QA Log'!L:L,"10. Antenatal Care (ANC)",'QA Log'!Z:Z,"Approved"),"")</f>
        <v/>
      </c>
      <c r="Z362" s="105" t="str">
        <f>IF(A362&lt;&gt;"",COUNTIFS('QA Log'!D:D,A362,'QA Log'!M:M,"QQC",'QA Log'!L:L,"2. Hygiene and Sterilization",'QA Log'!Z:Z,"Approved"),"")</f>
        <v/>
      </c>
      <c r="AA362" s="105" t="str">
        <f>IF(A362&lt;&gt;"",COUNTIFS('QA Log'!D:D,A362,'QA Log'!M:M,"QQC",'QA Log'!L:L,"4. Family Planning",'QA Log'!Z:Z,"Approved"),"")</f>
        <v/>
      </c>
      <c r="AB362" s="102" t="str">
        <f>IF(A362="","",
SUM(
COUNTIFS('QA Log'!D:D,A362,'QA Log'!M:M,"QQC",'QA Log'!Z:Z,"Rejected",'QA Log'!L:L,"*8. Maternity*"),
COUNTIFS('QA Log'!D:D,A362,'QA Log'!M:M,"QQC",'QA Log'!Z:Z,"Rejected",'QA Log'!L:L,"*9. EPI and Pre-school Consultation*"),
COUNTIFS('QA Log'!D:D,A362,'QA Log'!M:M,"QQC",'QA Log'!Z:Z,"Rejected",'QA Log'!L:L,"*10. Antenatal Care (ANC)*"),
COUNTIFS('QA Log'!D:D,A362,'QA Log'!M:M,"QQC",'QA Log'!Z:Z,"Rejected",'QA Log'!L:L,"*2. Hygiene and Sterilization*"),
COUNTIFS('QA Log'!D:D,A362,'QA Log'!M:M,"QQC",'QA Log'!Z:Z,"Rejected",'QA Log'!L:L,"*4. Family Planning*")
))</f>
        <v/>
      </c>
      <c r="AC362" s="102" t="str">
        <f t="shared" si="29"/>
        <v/>
      </c>
      <c r="AD362" s="103" t="str">
        <f t="shared" si="30"/>
        <v/>
      </c>
      <c r="AE362" s="102" t="str">
        <f>IF(A362="","",
SUM(
COUNTIFS('QA Log'!D:D,A362,'QA Log'!M:M,"Data Verification",'QA Log'!L:L,"*Medicine (section 2)*"),
COUNTIFS('QA Log'!D:D,A362,'QA Log'!M:M,"Data Verification",'QA Log'!L:L,"*Lab Testing Availability*"),
COUNTIFS('QA Log'!D:D,A362,'QA Log'!M:M,"Data Verification",'QA Log'!L:L,"*Other than P4P (section 6)*"),
COUNTIFS('QA Log'!D:D,A362,'QA Log'!M:M,"Data Verification",'QA Log'!L:L,"*Hospital Governance*")
))</f>
        <v/>
      </c>
      <c r="AF362" s="102" t="str">
        <f>IF(A362="","",
SUM(
COUNTIFS('QA Log'!D:D,A362,'QA Log'!M:M,"Data Verification",'QA Log'!Z:Z,"Approved",'QA Log'!L:L,"*Medicine (section 2)*"),
COUNTIFS('QA Log'!D:D,A362,'QA Log'!M:M,"Data Verification",'QA Log'!Z:Z,"Approved",'QA Log'!L:L,"*Lab Testing Availability*"),
COUNTIFS('QA Log'!D:D,A362,'QA Log'!M:M,"Data Verification",'QA Log'!Z:Z,"Approved",'QA Log'!L:L,"*Other than P4P (section 6)*"),
COUNTIFS('QA Log'!D:D,A362,'QA Log'!M:M,"Data Verification",'QA Log'!Z:Z,"Approved",'QA Log'!L:L,"*Hospital Governance*")
))</f>
        <v/>
      </c>
      <c r="AG362" s="105" t="str">
        <f>IF(A362&lt;&gt;"",COUNTIFS('QA Log'!D:D,A362,'QA Log'!M:M,"Data Verification",'QA Log'!L:L,"Medicine (section 2)",'QA Log'!Z:Z,"Approved"),"")</f>
        <v/>
      </c>
      <c r="AH362" s="105" t="str">
        <f>IF(A362&lt;&gt;"",COUNTIFS('QA Log'!D:D,A362,'QA Log'!M:M,"Data Verification",'QA Log'!L:L,"Lab Testing Availability",'QA Log'!Z:Z,"Approved"),"")</f>
        <v/>
      </c>
      <c r="AI362" s="105" t="str">
        <f>IF(A362&lt;&gt;"",COUNTIFS('QA Log'!D:D,A362,'QA Log'!M:M,"Data Verification",'QA Log'!L:L,"Other than P4P (section 6)",'QA Log'!Z:Z,"Approved"),"")</f>
        <v/>
      </c>
      <c r="AJ362" s="105" t="str">
        <f>IF(A362&lt;&gt;"",COUNTIFS('QA Log'!D:D,A362,'QA Log'!M:M,"Data Verification",'QA Log'!L:L,"Hospital Governance",'QA Log'!Z:Z,"Approved"),"")</f>
        <v/>
      </c>
      <c r="AK362" s="102" t="str">
        <f>IF(A362="","",
SUM(
COUNTIFS('QA Log'!D:D,A362,'QA Log'!M:M,"Data Verification",'QA Log'!Z:Z,"Rejected",'QA Log'!L:L,"*Medicine (section 2)*"),
COUNTIFS('QA Log'!D:D,A362,'QA Log'!M:M,"Data Verification",'QA Log'!Z:Z,"Rejected",'QA Log'!L:L,"*Lab Testing Availability*"),
COUNTIFS('QA Log'!D:D,A362,'QA Log'!M:M,"Data Verification",'QA Log'!Z:Z,"Rejected",'QA Log'!L:L,"*Other than P4P (section 6)*"),
COUNTIFS('QA Log'!D:D,A362,'QA Log'!M:M,"Data Verification",'QA Log'!Z:Z,"Rejected",'QA Log'!L:L,"*Hospital Governance*")
))</f>
        <v/>
      </c>
      <c r="AL362" s="106" t="str">
        <f t="shared" si="31"/>
        <v/>
      </c>
      <c r="AM362" s="102" t="str">
        <f t="shared" si="32"/>
        <v/>
      </c>
      <c r="AN362" s="102" t="str">
        <f>IF(A362="","",
SUM(
COUNTIFS('QA Log'!D:D,A362,'QA Log'!M:M,"Data Verification",'QA Log'!L:L,"*Personnel (section 1)*"),
COUNTIFS('QA Log'!D:D,A362,'QA Log'!M:M,"Data Verification",'QA Log'!L:L,"*Consumable (section 3)*"),
COUNTIFS('QA Log'!D:D,A362,'QA Log'!M:M,"Data Verification",'QA Log'!L:L,"*Equipments (section 4)*")
))</f>
        <v/>
      </c>
      <c r="AO362" s="102" t="str">
        <f>IF(A362="","",
SUM(
COUNTIFS('QA Log'!D:D,A362,'QA Log'!M:M,"Data Verification",'QA Log'!Z:Z,"Approved",'QA Log'!L:L,"*Personnel (section 1)*"),
COUNTIFS('QA Log'!D:D,A362,'QA Log'!M:M,"Data Verification",'QA Log'!Z:Z,"Approved",'QA Log'!L:L,"*Consumable (section 3)*"),
COUNTIFS('QA Log'!D:D,A362,'QA Log'!M:M,"Data Verification",'QA Log'!Z:Z,"Approved",'QA Log'!L:L,"*Equipments (section 4)*")
))</f>
        <v/>
      </c>
      <c r="AP362" s="105" t="str">
        <f>IF(A362&lt;&gt;"",COUNTIFS('QA Log'!D:D,A362,'QA Log'!M:M,"Data Verification",'QA Log'!L:L,"Personnel (section 1)",'QA Log'!Z:Z,"Approved"),"")</f>
        <v/>
      </c>
      <c r="AQ362" s="105" t="str">
        <f>IF(A362&lt;&gt;"",COUNTIFS('QA Log'!D:D,A362,'QA Log'!M:M,"Data Verification",'QA Log'!L:L,"Consumable (section 3)",'QA Log'!Z:Z,"Approved"),"")</f>
        <v/>
      </c>
      <c r="AR362" s="105" t="str">
        <f>IF(A362&lt;&gt;"",COUNTIFS('QA Log'!D:D,A362,'QA Log'!M:M,"Data Verification",'QA Log'!L:L,"Equipments (section 4)",'QA Log'!Z:Z,"Approved"),"")</f>
        <v/>
      </c>
      <c r="AS362" s="102" t="str">
        <f>IF(A362="","",
SUM(
COUNTIFS('QA Log'!D:D,A362,'QA Log'!M:M,"Data Verification",'QA Log'!Z:Z,"Rejected",'QA Log'!L:L,"*Personnel (section 1)*"),
COUNTIFS('QA Log'!D:D,A362,'QA Log'!M:M,"Data Verification",'QA Log'!Z:Z,"Rejected",'QA Log'!L:L,"*Consumable (section 3)*"),
COUNTIFS('QA Log'!D:D,A362,'QA Log'!M:M,"Data Verification",'QA Log'!Z:Z,"Rejected",'QA Log'!L:L,"*Equipments (section 4)*")
))</f>
        <v/>
      </c>
      <c r="AT362" s="102" t="str">
        <f t="shared" si="33"/>
        <v/>
      </c>
      <c r="AU362" s="103" t="str">
        <f t="shared" si="34"/>
        <v/>
      </c>
      <c r="AV362" s="102" t="str">
        <f>IF(A362="","",SUM(
COUNTIFS('QA Log'!D:D,A362,'QA Log'!M:M,"Vignette",'QA Log'!L:L,"*Vignette [1] Respiratory Infection: Pneumonia*"),
COUNTIFS('QA Log'!D:D,A362,'QA Log'!M:M,"Vignette",'QA Log'!L:L,"*Vignette [2]: Diarrhea with Cat B dehydration*"),
COUNTIFS('QA Log'!D:D,A362,'QA Log'!M:M,"Vignette",'QA Log'!L:L,"*Vignette [3] Growth Monitoring and Promotion*"),
COUNTIFS('QA Log'!D:D,A362,'QA Log'!M:M,"Vignette",'QA Log'!L:L,"*Vignette [4]: The management of presumptive TB patient*")
)
)</f>
        <v/>
      </c>
      <c r="AW362" s="102" t="str">
        <f>IF(
  A362="","",
  SUM(
    COUNTIFS('QA Log'!D:D,A362,'QA Log'!M:M,"Vignette",'QA Log'!Z:Z,"Approved",'QA Log'!L:L,"*Vignette [1] Respiratory Infection: Pneumonia*"),
    COUNTIFS('QA Log'!D:D,A362,'QA Log'!M:M,"Vignette",'QA Log'!Z:Z,"Approved",'QA Log'!L:L,"*Vignette [2]: Diarrhea with Cat B dehydration*"),
    COUNTIFS('QA Log'!D:D,A362,'QA Log'!M:M,"Vignette",'QA Log'!Z:Z,"Approved",'QA Log'!L:L,"*Vignette [3] Growth Monitoring and Promotion*"),
    COUNTIFS('QA Log'!D:D,A362,'QA Log'!M:M,"Vignette",'QA Log'!Z:Z,"Approved",'QA Log'!L:L,"*Vignette [4]: The management of presumptive TB patient*")
  )
)</f>
        <v/>
      </c>
      <c r="AX362" s="105" t="str">
        <f>IF(A362&lt;&gt;"",COUNTIFS('QA Log'!D:D,A362,'QA Log'!M:M,"Vignette",'QA Log'!L:L,"Vignette [1] Respiratory Infection: Pneumonia",'QA Log'!Z:Z,"Approved"),"")</f>
        <v/>
      </c>
      <c r="AY362" s="105" t="str">
        <f>IF(A362&lt;&gt;"",COUNTIFS('QA Log'!D:D,A362,'QA Log'!M:M,"Vignette",'QA Log'!L:L,"Vignette [2]: Diarrhea with Cat B dehydration",'QA Log'!Z:Z,"Approved"),"")</f>
        <v/>
      </c>
      <c r="AZ362" s="105" t="str">
        <f>IF(A362&lt;&gt;"",COUNTIFS('QA Log'!D:D,A362,'QA Log'!M:M,"Vignette",'QA Log'!L:L,"Vignette [3] Growth Monitoring and Promotion",'QA Log'!Z:Z,"Approved"),"")</f>
        <v/>
      </c>
      <c r="BA362" s="105" t="str">
        <f>IF(A362&lt;&gt;"",COUNTIFS('QA Log'!D:D,A362,'QA Log'!M:M,"Vignette",'QA Log'!L:L,"Vignette [4]: The management of presumptive TB patient",'QA Log'!Z:Z,"Approved"),"")</f>
        <v/>
      </c>
      <c r="BB362" s="102" t="str">
        <f>IF(A362="","",
  SUM(
    COUNTIFS('QA Log'!D:D,A362,'QA Log'!M:M,"Vignette",'QA Log'!Z:Z,"Rejected",'QA Log'!L:L,"*Vignette [1] Respiratory Infection: Pneumonia*"),
    COUNTIFS('QA Log'!D:D,A362,'QA Log'!M:M,"Vignette",'QA Log'!Z:Z,"Rejected",'QA Log'!L:L,"*Vignette [2]: Diarrhea with Cat B dehydration*"),
    COUNTIFS('QA Log'!D:D,A362,'QA Log'!M:M,"Vignette",'QA Log'!Z:Z,"Rejected",'QA Log'!L:L,"*Vignette [3] Growth Monitoring and Promotion*"),
    COUNTIFS('QA Log'!D:D,A362,'QA Log'!M:M,"Vignette",'QA Log'!Z:Z,"Rejected",'QA Log'!L:L,"*Vignette [4]: The management of presumptive TB patient*")
  )
)</f>
        <v/>
      </c>
      <c r="BC362" s="107" t="str">
        <f t="shared" si="35"/>
        <v/>
      </c>
      <c r="BD362" s="103" t="str">
        <f t="shared" si="36"/>
        <v/>
      </c>
      <c r="BE362" s="102" t="str">
        <f>IF(A362="","",SUM(
COUNTIFS('QA Log'!D:D,A362,'QA Log'!M:M,"Vignette",'QA Log'!L:L,"*Vignette [5] Labor*"),
COUNTIFS('QA Log'!D:D,A362,'QA Log'!M:M,"Vignette",'QA Log'!L:L,"*Vignette [6] PNC pre Discharge*"),
COUNTIFS('QA Log'!D:D,A362,'QA Log'!M:M,"Vignette",'QA Log'!L:L,"*Vignette [7] First ANC Visit*"),
COUNTIFS('QA Log'!D:D,A362,'QA Log'!M:M,"Vignette",'QA Log'!L:L,"*Vignette [8] Birth Spacing/ Family Planning :  FP Counselling*"),
COUNTIFS('QA Log'!D:D,A362,'QA Log'!M:M,"Vignette",'QA Log'!L:L,"*Vignette [9] Birth Spacing: Change FP method to Injectable*"),
COUNTIFS('QA Log'!D:D,A362,'QA Log'!M:M,"Vignette",'QA Log'!L:L,"*Vignette [10] Post Partum Haemorrhage - Atonic Uterus at Health Centre*"),
)
)</f>
        <v/>
      </c>
      <c r="BF362" s="102" t="str">
        <f>IF(A362="","",
  SUM(
    COUNTIFS('QA Log'!D:D,A362,'QA Log'!M:M,"Vignette",'QA Log'!Z:Z,"Approved",'QA Log'!L:L,"*Vignette [5] Labor*"),
    COUNTIFS('QA Log'!D:D,A362,'QA Log'!M:M,"Vignette",'QA Log'!Z:Z,"Approved",'QA Log'!L:L,"*Vignette [6] PNC pre Discharge*"),
    COUNTIFS('QA Log'!D:D,A362,'QA Log'!M:M,"Vignette",'QA Log'!Z:Z,"Approved",'QA Log'!L:L,"*Vignette [7] First ANC Visit*"),
    COUNTIFS('QA Log'!D:D,A362,'QA Log'!M:M,"Vignette",'QA Log'!Z:Z,"Approved",'QA Log'!L:L,"*Vignette [8] Birth Spacing/ Family Planning :  FP Counselling*"),
    COUNTIFS('QA Log'!D:D,A362,'QA Log'!M:M,"Vignette",'QA Log'!Z:Z,"Approved",'QA Log'!L:L,"*Vignette [9] Birth Spacing: Change FP method to Injectable*"),
    COUNTIFS('QA Log'!D:D,A362,'QA Log'!M:M,"Vignette",'QA Log'!Z:Z,"Approved",'QA Log'!L:L,"*Vignette [10] Post Partum Haemorrhage - Atonic Uterus at Health Centre*")
  )
)</f>
        <v/>
      </c>
      <c r="BG362" s="105" t="str">
        <f>IF(A362&lt;&gt;"",COUNTIFS('QA Log'!D:D,A362,'QA Log'!M:M,"Vignette",'QA Log'!L:L,"Vignette [5] Labor",'QA Log'!Z:Z,"Approved"),"")</f>
        <v/>
      </c>
      <c r="BH362" s="105" t="str">
        <f>IF(A362&lt;&gt;"",COUNTIFS('QA Log'!D:D,A362,'QA Log'!M:M,"Vignette",'QA Log'!L:L,"Vignette [6] PNC pre Discharge",'QA Log'!Z:Z,"Approved"),"")</f>
        <v/>
      </c>
      <c r="BI362" s="105" t="str">
        <f>IF(A362&lt;&gt;"",COUNTIFS('QA Log'!D:D,A362,'QA Log'!M:M,"Vignette",'QA Log'!L:L,"Vignette [7] First ANC Visit",'QA Log'!Z:Z,"Approved"),"")</f>
        <v/>
      </c>
      <c r="BJ362" s="105" t="str">
        <f>IF(A362&lt;&gt;"",COUNTIFS('QA Log'!D:D,A362,'QA Log'!M:M,"Vignette",'QA Log'!L:L,"Vignette [8] Birth Spacing/ Family Planning :  FP Counselling",'QA Log'!Z:Z,"Approved"),"")</f>
        <v/>
      </c>
      <c r="BK362" s="105" t="str">
        <f>IF(A362&lt;&gt;"",COUNTIFS('QA Log'!D:D,A362,'QA Log'!M:M,"Vignette",'QA Log'!L:L,"Vignette [9] Birth Spacing: Change FP method to Injectable",'QA Log'!Z:Z,"Approved"),"")</f>
        <v/>
      </c>
      <c r="BL362" s="105" t="str">
        <f>IF(A362&lt;&gt;"",COUNTIFS('QA Log'!D:D,A362,'QA Log'!M:M,"Vignette",'QA Log'!L:L,"Vignette [10] Post Partum Haemorrhage - Atonic Uterus at Health Centre",'QA Log'!Z:Z,"Approved"),"")</f>
        <v/>
      </c>
      <c r="BM362" s="102" t="str">
        <f>IF(A362="","",SUM(
    COUNTIFS('QA Log'!D:D,A362,'QA Log'!M:M,"Vignette",'QA Log'!Z:Z,"Rejected",'QA Log'!L:L,"*Vignette [5] Labor*"),
    COUNTIFS('QA Log'!D:D,A362,'QA Log'!M:M,"Vignette",'QA Log'!Z:Z,"Rejected",'QA Log'!L:L,"*Vignette [6] PNC pre Discharge*"),
    COUNTIFS('QA Log'!D:D,A362,'QA Log'!M:M,"Vignette",'QA Log'!Z:Z,"Rejected",'QA Log'!L:L,"*Vignette [7] First ANC Visit*"),
    COUNTIFS('QA Log'!D:D,A362,'QA Log'!M:M,"Vignette",'QA Log'!Z:Z,"Rejected",'QA Log'!L:L,"*Vignette [8] Birth Spacing/ Family Planning :  FP Counselling*"),
    COUNTIFS('QA Log'!D:D,A362,'QA Log'!M:M,"Vignette",'QA Log'!Z:Z,"Rejected",'QA Log'!L:L,"*Vignette [9] Birth Spacing: Change FP method to Injectable*"),
    COUNTIFS('QA Log'!D:D,A362,'QA Log'!M:M,"Vignette",'QA Log'!Z:Z,"Rejected",'QA Log'!L:L,"*Vignette [10] Post Partum Haemorrhage - Atonic Uterus at Health Centre*")
  )
)</f>
        <v/>
      </c>
      <c r="BN362" s="107" t="str">
        <f t="shared" si="37"/>
        <v/>
      </c>
      <c r="BO362" s="103" t="str">
        <f t="shared" si="38"/>
        <v/>
      </c>
      <c r="BP362" s="102" t="str">
        <f>IF(A362="","",SUM(
COUNTIFS('QA Log'!D:D,A362,'QA Log'!M:M,"Vignette",'QA Log'!L:L,"*Exit Interview 1*"),
COUNTIFS('QA Log'!D:D,A362,'QA Log'!M:M,"Vignette",'QA Log'!L:L,"*Exit Interview 2*"),
)
)</f>
        <v/>
      </c>
      <c r="BQ362" s="102" t="str">
        <f>IF(
  A362="","",
  SUM(
    COUNTIFS('QA Log'!D:D,A362,'QA Log'!M:M,"Vignette",'QA Log'!Z:Z,"Approved",'QA Log'!L:L,"*Exit Interview 1*"),
    COUNTIFS('QA Log'!D:D,A362,'QA Log'!M:M,"Vignette",'QA Log'!Z:Z,"Approved",'QA Log'!L:L,"*Exit Interview 2*")
  )
)</f>
        <v/>
      </c>
      <c r="BR362" s="105" t="str">
        <f>IF(A362&lt;&gt;"",COUNTIFS('QA Log'!D:D,A362,'QA Log'!M:M,"Vignette",'QA Log'!L:L,"Exit Interview 1",'QA Log'!Z:Z,"Approved"),"")</f>
        <v/>
      </c>
      <c r="BS362" s="105" t="str">
        <f>IF(A362&lt;&gt;"",COUNTIFS('QA Log'!D:D,A362,'QA Log'!M:M,"Vignette",'QA Log'!L:L,"Exit Interview 2",'QA Log'!Z:Z,"Approved"),"")</f>
        <v/>
      </c>
      <c r="BT362" s="102" t="str">
        <f>IF(
  A362="","",
  SUM(
    COUNTIFS('QA Log'!D:D,A362,'QA Log'!M:M,"Vignette",'QA Log'!Z:Z,"Rejected",'QA Log'!L:L,"*Exit Interview 1*"),
    COUNTIFS('QA Log'!D:D,A362,'QA Log'!M:M,"Vignette",'QA Log'!Z:Z,"Rejected",'QA Log'!L:L,"*Exit Interview 2*")
  )
)</f>
        <v/>
      </c>
      <c r="BU362" s="107" t="str">
        <f t="shared" si="39"/>
        <v/>
      </c>
      <c r="BV362" s="102" t="str">
        <f t="shared" si="40"/>
        <v/>
      </c>
      <c r="BW362" s="102" t="str">
        <f t="shared" si="41"/>
        <v/>
      </c>
      <c r="BX362" s="102" t="str">
        <f t="shared" si="42"/>
        <v/>
      </c>
      <c r="BY362" s="102" t="str">
        <f t="shared" si="43"/>
        <v/>
      </c>
      <c r="BZ362" s="107" t="str">
        <f t="shared" si="44"/>
        <v/>
      </c>
      <c r="CA362" s="108" t="str">
        <f t="shared" si="45"/>
        <v/>
      </c>
      <c r="CB362" s="108" t="str">
        <f t="shared" si="46"/>
        <v/>
      </c>
      <c r="CC362" s="109" t="str">
        <f t="shared" si="47"/>
        <v/>
      </c>
      <c r="CD362" s="108" t="str">
        <f t="shared" si="48"/>
        <v/>
      </c>
      <c r="CE362" s="108" t="str">
        <f t="shared" si="49"/>
        <v/>
      </c>
      <c r="CF362" s="109" t="str">
        <f t="shared" si="50"/>
        <v/>
      </c>
      <c r="CG362" s="110" t="str">
        <f t="shared" si="51"/>
        <v/>
      </c>
      <c r="CH362" s="111"/>
    </row>
    <row r="363" spans="1:86" ht="12.75">
      <c r="A363" s="101"/>
      <c r="B363" s="102" t="e">
        <f t="array" aca="1" ref="B363" ca="1">_xludf.XLOOKUP(A363,'QA Log'!D:D,'QA Log'!E:E,"")</f>
        <v>#NAME?</v>
      </c>
      <c r="C363" s="102" t="e">
        <f t="array" aca="1" ref="C363" ca="1">_xludf.XLOOKUP(A363,'QA Log'!D:D,'QA Log'!F:F,"")</f>
        <v>#NAME?</v>
      </c>
      <c r="D363" s="102" t="e">
        <f t="array" aca="1" ref="D363" ca="1">_xludf.XLOOKUP(A363,'QA Log'!D:D,'QA Log'!H:H,"")</f>
        <v>#NAME?</v>
      </c>
      <c r="E363" s="102" t="e">
        <f t="array" aca="1" ref="E363" ca="1">_xludf.XLOOKUP(A363,'QA Log'!D:D,'QA Log'!G:G,"")</f>
        <v>#NAME?</v>
      </c>
      <c r="F363" s="103"/>
      <c r="G363" s="104"/>
      <c r="H363" s="104"/>
      <c r="I363" s="103" t="str">
        <f t="shared" si="26"/>
        <v/>
      </c>
      <c r="J363" s="102" t="str">
        <f>IF(A363="","",SUM(
COUNTIFS('QA Log'!D:D,A363,'QA Log'!M:M,"QQC",'QA Log'!L:L,"*1. General Management*"),
COUNTIFS('QA Log'!D:D,A363,'QA Log'!M:M,"QQC",'QA Log'!L:L,"*3. Curative Consultation (OPD)*"),
COUNTIFS('QA Log'!D:D,A363,'QA Log'!M:M,"QQC",'QA Log'!L:L,"*5. Laboratory*"),
COUNTIFS('QA Log'!D:D,A363,'QA Log'!M:M,"QQC",'QA Log'!L:L,"*6. Essential Medicine Management*"),
COUNTIFS('QA Log'!D:D,A363,'QA Log'!M:M,"QQC",'QA Log'!L:L,"*7. Tracer Medicine*"),
COUNTIFS('QA Log'!D:D,A363,'QA Log'!M:M,"QQC",'QA Log'!L:L,"*11. Additional Questions*")))</f>
        <v/>
      </c>
      <c r="K363" s="102" t="str">
        <f>IF(A363="","",SUM(
COUNTIFS('QA Log'!D:D,A363,'QA Log'!M:M,"QQC",'QA Log'!Z:Z,"Approved",'QA Log'!L:L,"*1. General Management*"),
COUNTIFS('QA Log'!D:D,A363,'QA Log'!M:M,"QQC",'QA Log'!Z:Z,"Approved",'QA Log'!L:L,"*3. Curative Consultation (OPD)*"),
COUNTIFS('QA Log'!D:D,A363,'QA Log'!M:M,"QQC",'QA Log'!Z:Z,"Approved",'QA Log'!L:L,"*5. Laboratory*"),
COUNTIFS('QA Log'!D:D,A363,'QA Log'!M:M,"QQC",'QA Log'!Z:Z,"Approved",'QA Log'!L:L,"*6. Essential Medicine Management*"),
COUNTIFS('QA Log'!D:D,A363,'QA Log'!M:M,"QQC",'QA Log'!Z:Z,"Approved",'QA Log'!L:L,"*7. Tracer Medicine*"),
COUNTIFS('QA Log'!D:D,A363,'QA Log'!M:M,"QQC",'QA Log'!Z:Z,"Approved",'QA Log'!L:L,"*11. Additional Questions*")))</f>
        <v/>
      </c>
      <c r="L363" s="105" t="str">
        <f>IF(A363&lt;&gt;"",COUNTIFS('QA Log'!D:D,A363,'QA Log'!M:M,"QQC",'QA Log'!L:L,"1. General Management",'QA Log'!Z:Z,"Approved"),"")</f>
        <v/>
      </c>
      <c r="M363" s="105" t="str">
        <f>IF(A363&lt;&gt;"",COUNTIFS('QA Log'!D:D,A363,'QA Log'!M:M,"QQC",'QA Log'!L:L,"3. Curative Consultation (OPD)",'QA Log'!Z:Z,"Approved"),"")</f>
        <v/>
      </c>
      <c r="N363" s="105" t="str">
        <f>IF(A363&lt;&gt;"",COUNTIFS('QA Log'!D:D,A363,'QA Log'!M:M,"QQC",'QA Log'!L:L,"5. Laboratory",'QA Log'!Z:Z,"Approved"),"")</f>
        <v/>
      </c>
      <c r="O363" s="105" t="str">
        <f>IF(A363&lt;&gt;"",COUNTIFS('QA Log'!D:D,A363,'QA Log'!M:M,"QQC",'QA Log'!L:L,"6. Essential Medicine Management",'QA Log'!Z:Z,"Approved"),"")</f>
        <v/>
      </c>
      <c r="P363" s="105" t="str">
        <f>IF(A363&lt;&gt;"",COUNTIFS('QA Log'!D:D,A363,'QA Log'!M:M,"QQC",'QA Log'!L:L,"7. Tracer Medicine",'QA Log'!Z:Z,"Approved"),"")</f>
        <v/>
      </c>
      <c r="Q363" s="105" t="str">
        <f>IF(A363&lt;&gt;"",COUNTIFS('QA Log'!D:D,A363,'QA Log'!M:M,"QQC",'QA Log'!L:L,"11. Additional Questions",'QA Log'!Z:Z,"Approved"),"")</f>
        <v/>
      </c>
      <c r="R363" s="102" t="str">
        <f>IF(A363="","",SUM(
COUNTIFS('QA Log'!D:D,A363,'QA Log'!M:M,"QQC",'QA Log'!Z:Z,"Rejected",'QA Log'!L:L,"*8. Maternity*"),
COUNTIFS('QA Log'!D:D,A363,'QA Log'!M:M,"QQC",'QA Log'!Z:Z,"Rejected",'QA Log'!L:L,"*EPI*"),
COUNTIFS('QA Log'!D:D,A363,'QA Log'!M:M,"QQC",'QA Log'!Z:Z,"Rejected",'QA Log'!L:L,"*10. Antenatal Care (ANC)*"),
COUNTIFS('QA Log'!D:D,A363,'QA Log'!M:M,"QQC",'QA Log'!Z:Z,"Rejected",'QA Log'!L:L,"*2. Hygiene and Sterilization*"),
COUNTIFS('QA Log'!D:D,A363,'QA Log'!M:M,"QQC",'QA Log'!Z:Z,"Rejected",'QA Log'!L:L,"*Family Planning*")))</f>
        <v/>
      </c>
      <c r="S363" s="106" t="str">
        <f t="shared" si="27"/>
        <v/>
      </c>
      <c r="T363" s="102" t="str">
        <f t="shared" si="28"/>
        <v/>
      </c>
      <c r="U363" s="102" t="str">
        <f>IF(A363="","",
SUM(
COUNTIFS('QA Log'!D:D,A363,'QA Log'!M:M,"QQC",'QA Log'!L:L,"*8. Maternity*"),
COUNTIFS('QA Log'!D:D,A363,'QA Log'!M:M,"QQC",'QA Log'!L:L,"*9. EPI and Pre-school Consultation*"),
COUNTIFS('QA Log'!D:D,A363,'QA Log'!M:M,"QQC",'QA Log'!L:L,"*10. Antenatal Care (ANC)*"),
COUNTIFS('QA Log'!D:D,A363,'QA Log'!M:M,"QQC",'QA Log'!L:L,"*2. Hygiene and Sterilization*"),
COUNTIFS('QA Log'!D:D,A363,'QA Log'!M:M,"QQC",'QA Log'!L:L,"*4. Family Planning*")
))</f>
        <v/>
      </c>
      <c r="V363" s="102" t="str">
        <f>IF(A363="","",
SUM(
COUNTIFS('QA Log'!D:D,A363,'QA Log'!M:M,"QQC",'QA Log'!Z:Z,"Approved",'QA Log'!L:L,"*8. Maternity*"),
COUNTIFS('QA Log'!D:D,A363,'QA Log'!M:M,"QQC",'QA Log'!Z:Z,"Approved",'QA Log'!L:L,"*9. EPI and Pre-school Consultation*"),
COUNTIFS('QA Log'!D:D,A363,'QA Log'!M:M,"QQC",'QA Log'!Z:Z,"Approved",'QA Log'!L:L,"*10. Antenatal Care (ANC)*"),
COUNTIFS('QA Log'!D:D,A363,'QA Log'!M:M,"QQC",'QA Log'!Z:Z,"Approved",'QA Log'!L:L,"*2. Hygiene and Sterilization*"),
COUNTIFS('QA Log'!D:D,A363,'QA Log'!M:M,"QQC",'QA Log'!Z:Z,"Approved",'QA Log'!L:L,"*4. Family Planning*")
))</f>
        <v/>
      </c>
      <c r="W363" s="105" t="str">
        <f>IF(A363&lt;&gt;"",COUNTIFS('QA Log'!D:D,A363,'QA Log'!M:M,"QQC",'QA Log'!L:L,"8. Maternity",'QA Log'!Z:Z,"Approved"),"")</f>
        <v/>
      </c>
      <c r="X363" s="105" t="str">
        <f>IF(A363&lt;&gt;"",COUNTIFS('QA Log'!D:D,A363,'QA Log'!M:M,"QQC",'QA Log'!L:L,"9. EPI and Pre-school Consultation",'QA Log'!Z:Z,"Approved"),"")</f>
        <v/>
      </c>
      <c r="Y363" s="105" t="str">
        <f>IF(A363&lt;&gt;"",COUNTIFS('QA Log'!D:D,A363,'QA Log'!M:M,"QQC",'QA Log'!L:L,"10. Antenatal Care (ANC)",'QA Log'!Z:Z,"Approved"),"")</f>
        <v/>
      </c>
      <c r="Z363" s="105" t="str">
        <f>IF(A363&lt;&gt;"",COUNTIFS('QA Log'!D:D,A363,'QA Log'!M:M,"QQC",'QA Log'!L:L,"2. Hygiene and Sterilization",'QA Log'!Z:Z,"Approved"),"")</f>
        <v/>
      </c>
      <c r="AA363" s="105" t="str">
        <f>IF(A363&lt;&gt;"",COUNTIFS('QA Log'!D:D,A363,'QA Log'!M:M,"QQC",'QA Log'!L:L,"4. Family Planning",'QA Log'!Z:Z,"Approved"),"")</f>
        <v/>
      </c>
      <c r="AB363" s="102" t="str">
        <f>IF(A363="","",
SUM(
COUNTIFS('QA Log'!D:D,A363,'QA Log'!M:M,"QQC",'QA Log'!Z:Z,"Rejected",'QA Log'!L:L,"*8. Maternity*"),
COUNTIFS('QA Log'!D:D,A363,'QA Log'!M:M,"QQC",'QA Log'!Z:Z,"Rejected",'QA Log'!L:L,"*9. EPI and Pre-school Consultation*"),
COUNTIFS('QA Log'!D:D,A363,'QA Log'!M:M,"QQC",'QA Log'!Z:Z,"Rejected",'QA Log'!L:L,"*10. Antenatal Care (ANC)*"),
COUNTIFS('QA Log'!D:D,A363,'QA Log'!M:M,"QQC",'QA Log'!Z:Z,"Rejected",'QA Log'!L:L,"*2. Hygiene and Sterilization*"),
COUNTIFS('QA Log'!D:D,A363,'QA Log'!M:M,"QQC",'QA Log'!Z:Z,"Rejected",'QA Log'!L:L,"*4. Family Planning*")
))</f>
        <v/>
      </c>
      <c r="AC363" s="102" t="str">
        <f t="shared" si="29"/>
        <v/>
      </c>
      <c r="AD363" s="103" t="str">
        <f t="shared" si="30"/>
        <v/>
      </c>
      <c r="AE363" s="102" t="str">
        <f>IF(A363="","",
SUM(
COUNTIFS('QA Log'!D:D,A363,'QA Log'!M:M,"Data Verification",'QA Log'!L:L,"*Medicine (section 2)*"),
COUNTIFS('QA Log'!D:D,A363,'QA Log'!M:M,"Data Verification",'QA Log'!L:L,"*Lab Testing Availability*"),
COUNTIFS('QA Log'!D:D,A363,'QA Log'!M:M,"Data Verification",'QA Log'!L:L,"*Other than P4P (section 6)*"),
COUNTIFS('QA Log'!D:D,A363,'QA Log'!M:M,"Data Verification",'QA Log'!L:L,"*Hospital Governance*")
))</f>
        <v/>
      </c>
      <c r="AF363" s="102" t="str">
        <f>IF(A363="","",
SUM(
COUNTIFS('QA Log'!D:D,A363,'QA Log'!M:M,"Data Verification",'QA Log'!Z:Z,"Approved",'QA Log'!L:L,"*Medicine (section 2)*"),
COUNTIFS('QA Log'!D:D,A363,'QA Log'!M:M,"Data Verification",'QA Log'!Z:Z,"Approved",'QA Log'!L:L,"*Lab Testing Availability*"),
COUNTIFS('QA Log'!D:D,A363,'QA Log'!M:M,"Data Verification",'QA Log'!Z:Z,"Approved",'QA Log'!L:L,"*Other than P4P (section 6)*"),
COUNTIFS('QA Log'!D:D,A363,'QA Log'!M:M,"Data Verification",'QA Log'!Z:Z,"Approved",'QA Log'!L:L,"*Hospital Governance*")
))</f>
        <v/>
      </c>
      <c r="AG363" s="105" t="str">
        <f>IF(A363&lt;&gt;"",COUNTIFS('QA Log'!D:D,A363,'QA Log'!M:M,"Data Verification",'QA Log'!L:L,"Medicine (section 2)",'QA Log'!Z:Z,"Approved"),"")</f>
        <v/>
      </c>
      <c r="AH363" s="105" t="str">
        <f>IF(A363&lt;&gt;"",COUNTIFS('QA Log'!D:D,A363,'QA Log'!M:M,"Data Verification",'QA Log'!L:L,"Lab Testing Availability",'QA Log'!Z:Z,"Approved"),"")</f>
        <v/>
      </c>
      <c r="AI363" s="105" t="str">
        <f>IF(A363&lt;&gt;"",COUNTIFS('QA Log'!D:D,A363,'QA Log'!M:M,"Data Verification",'QA Log'!L:L,"Other than P4P (section 6)",'QA Log'!Z:Z,"Approved"),"")</f>
        <v/>
      </c>
      <c r="AJ363" s="105" t="str">
        <f>IF(A363&lt;&gt;"",COUNTIFS('QA Log'!D:D,A363,'QA Log'!M:M,"Data Verification",'QA Log'!L:L,"Hospital Governance",'QA Log'!Z:Z,"Approved"),"")</f>
        <v/>
      </c>
      <c r="AK363" s="102" t="str">
        <f>IF(A363="","",
SUM(
COUNTIFS('QA Log'!D:D,A363,'QA Log'!M:M,"Data Verification",'QA Log'!Z:Z,"Rejected",'QA Log'!L:L,"*Medicine (section 2)*"),
COUNTIFS('QA Log'!D:D,A363,'QA Log'!M:M,"Data Verification",'QA Log'!Z:Z,"Rejected",'QA Log'!L:L,"*Lab Testing Availability*"),
COUNTIFS('QA Log'!D:D,A363,'QA Log'!M:M,"Data Verification",'QA Log'!Z:Z,"Rejected",'QA Log'!L:L,"*Other than P4P (section 6)*"),
COUNTIFS('QA Log'!D:D,A363,'QA Log'!M:M,"Data Verification",'QA Log'!Z:Z,"Rejected",'QA Log'!L:L,"*Hospital Governance*")
))</f>
        <v/>
      </c>
      <c r="AL363" s="106" t="str">
        <f t="shared" si="31"/>
        <v/>
      </c>
      <c r="AM363" s="102" t="str">
        <f t="shared" si="32"/>
        <v/>
      </c>
      <c r="AN363" s="102" t="str">
        <f>IF(A363="","",
SUM(
COUNTIFS('QA Log'!D:D,A363,'QA Log'!M:M,"Data Verification",'QA Log'!L:L,"*Personnel (section 1)*"),
COUNTIFS('QA Log'!D:D,A363,'QA Log'!M:M,"Data Verification",'QA Log'!L:L,"*Consumable (section 3)*"),
COUNTIFS('QA Log'!D:D,A363,'QA Log'!M:M,"Data Verification",'QA Log'!L:L,"*Equipments (section 4)*")
))</f>
        <v/>
      </c>
      <c r="AO363" s="102" t="str">
        <f>IF(A363="","",
SUM(
COUNTIFS('QA Log'!D:D,A363,'QA Log'!M:M,"Data Verification",'QA Log'!Z:Z,"Approved",'QA Log'!L:L,"*Personnel (section 1)*"),
COUNTIFS('QA Log'!D:D,A363,'QA Log'!M:M,"Data Verification",'QA Log'!Z:Z,"Approved",'QA Log'!L:L,"*Consumable (section 3)*"),
COUNTIFS('QA Log'!D:D,A363,'QA Log'!M:M,"Data Verification",'QA Log'!Z:Z,"Approved",'QA Log'!L:L,"*Equipments (section 4)*")
))</f>
        <v/>
      </c>
      <c r="AP363" s="105" t="str">
        <f>IF(A363&lt;&gt;"",COUNTIFS('QA Log'!D:D,A363,'QA Log'!M:M,"Data Verification",'QA Log'!L:L,"Personnel (section 1)",'QA Log'!Z:Z,"Approved"),"")</f>
        <v/>
      </c>
      <c r="AQ363" s="105" t="str">
        <f>IF(A363&lt;&gt;"",COUNTIFS('QA Log'!D:D,A363,'QA Log'!M:M,"Data Verification",'QA Log'!L:L,"Consumable (section 3)",'QA Log'!Z:Z,"Approved"),"")</f>
        <v/>
      </c>
      <c r="AR363" s="105" t="str">
        <f>IF(A363&lt;&gt;"",COUNTIFS('QA Log'!D:D,A363,'QA Log'!M:M,"Data Verification",'QA Log'!L:L,"Equipments (section 4)",'QA Log'!Z:Z,"Approved"),"")</f>
        <v/>
      </c>
      <c r="AS363" s="102" t="str">
        <f>IF(A363="","",
SUM(
COUNTIFS('QA Log'!D:D,A363,'QA Log'!M:M,"Data Verification",'QA Log'!Z:Z,"Rejected",'QA Log'!L:L,"*Personnel (section 1)*"),
COUNTIFS('QA Log'!D:D,A363,'QA Log'!M:M,"Data Verification",'QA Log'!Z:Z,"Rejected",'QA Log'!L:L,"*Consumable (section 3)*"),
COUNTIFS('QA Log'!D:D,A363,'QA Log'!M:M,"Data Verification",'QA Log'!Z:Z,"Rejected",'QA Log'!L:L,"*Equipments (section 4)*")
))</f>
        <v/>
      </c>
      <c r="AT363" s="102" t="str">
        <f t="shared" si="33"/>
        <v/>
      </c>
      <c r="AU363" s="103" t="str">
        <f t="shared" si="34"/>
        <v/>
      </c>
      <c r="AV363" s="102" t="str">
        <f>IF(A363="","",SUM(
COUNTIFS('QA Log'!D:D,A363,'QA Log'!M:M,"Vignette",'QA Log'!L:L,"*Vignette [1] Respiratory Infection: Pneumonia*"),
COUNTIFS('QA Log'!D:D,A363,'QA Log'!M:M,"Vignette",'QA Log'!L:L,"*Vignette [2]: Diarrhea with Cat B dehydration*"),
COUNTIFS('QA Log'!D:D,A363,'QA Log'!M:M,"Vignette",'QA Log'!L:L,"*Vignette [3] Growth Monitoring and Promotion*"),
COUNTIFS('QA Log'!D:D,A363,'QA Log'!M:M,"Vignette",'QA Log'!L:L,"*Vignette [4]: The management of presumptive TB patient*")
)
)</f>
        <v/>
      </c>
      <c r="AW363" s="102" t="str">
        <f>IF(
  A363="","",
  SUM(
    COUNTIFS('QA Log'!D:D,A363,'QA Log'!M:M,"Vignette",'QA Log'!Z:Z,"Approved",'QA Log'!L:L,"*Vignette [1] Respiratory Infection: Pneumonia*"),
    COUNTIFS('QA Log'!D:D,A363,'QA Log'!M:M,"Vignette",'QA Log'!Z:Z,"Approved",'QA Log'!L:L,"*Vignette [2]: Diarrhea with Cat B dehydration*"),
    COUNTIFS('QA Log'!D:D,A363,'QA Log'!M:M,"Vignette",'QA Log'!Z:Z,"Approved",'QA Log'!L:L,"*Vignette [3] Growth Monitoring and Promotion*"),
    COUNTIFS('QA Log'!D:D,A363,'QA Log'!M:M,"Vignette",'QA Log'!Z:Z,"Approved",'QA Log'!L:L,"*Vignette [4]: The management of presumptive TB patient*")
  )
)</f>
        <v/>
      </c>
      <c r="AX363" s="105" t="str">
        <f>IF(A363&lt;&gt;"",COUNTIFS('QA Log'!D:D,A363,'QA Log'!M:M,"Vignette",'QA Log'!L:L,"Vignette [1] Respiratory Infection: Pneumonia",'QA Log'!Z:Z,"Approved"),"")</f>
        <v/>
      </c>
      <c r="AY363" s="105" t="str">
        <f>IF(A363&lt;&gt;"",COUNTIFS('QA Log'!D:D,A363,'QA Log'!M:M,"Vignette",'QA Log'!L:L,"Vignette [2]: Diarrhea with Cat B dehydration",'QA Log'!Z:Z,"Approved"),"")</f>
        <v/>
      </c>
      <c r="AZ363" s="105" t="str">
        <f>IF(A363&lt;&gt;"",COUNTIFS('QA Log'!D:D,A363,'QA Log'!M:M,"Vignette",'QA Log'!L:L,"Vignette [3] Growth Monitoring and Promotion",'QA Log'!Z:Z,"Approved"),"")</f>
        <v/>
      </c>
      <c r="BA363" s="105" t="str">
        <f>IF(A363&lt;&gt;"",COUNTIFS('QA Log'!D:D,A363,'QA Log'!M:M,"Vignette",'QA Log'!L:L,"Vignette [4]: The management of presumptive TB patient",'QA Log'!Z:Z,"Approved"),"")</f>
        <v/>
      </c>
      <c r="BB363" s="102" t="str">
        <f>IF(A363="","",
  SUM(
    COUNTIFS('QA Log'!D:D,A363,'QA Log'!M:M,"Vignette",'QA Log'!Z:Z,"Rejected",'QA Log'!L:L,"*Vignette [1] Respiratory Infection: Pneumonia*"),
    COUNTIFS('QA Log'!D:D,A363,'QA Log'!M:M,"Vignette",'QA Log'!Z:Z,"Rejected",'QA Log'!L:L,"*Vignette [2]: Diarrhea with Cat B dehydration*"),
    COUNTIFS('QA Log'!D:D,A363,'QA Log'!M:M,"Vignette",'QA Log'!Z:Z,"Rejected",'QA Log'!L:L,"*Vignette [3] Growth Monitoring and Promotion*"),
    COUNTIFS('QA Log'!D:D,A363,'QA Log'!M:M,"Vignette",'QA Log'!Z:Z,"Rejected",'QA Log'!L:L,"*Vignette [4]: The management of presumptive TB patient*")
  )
)</f>
        <v/>
      </c>
      <c r="BC363" s="107" t="str">
        <f t="shared" si="35"/>
        <v/>
      </c>
      <c r="BD363" s="103" t="str">
        <f t="shared" si="36"/>
        <v/>
      </c>
      <c r="BE363" s="102" t="str">
        <f>IF(A363="","",SUM(
COUNTIFS('QA Log'!D:D,A363,'QA Log'!M:M,"Vignette",'QA Log'!L:L,"*Vignette [5] Labor*"),
COUNTIFS('QA Log'!D:D,A363,'QA Log'!M:M,"Vignette",'QA Log'!L:L,"*Vignette [6] PNC pre Discharge*"),
COUNTIFS('QA Log'!D:D,A363,'QA Log'!M:M,"Vignette",'QA Log'!L:L,"*Vignette [7] First ANC Visit*"),
COUNTIFS('QA Log'!D:D,A363,'QA Log'!M:M,"Vignette",'QA Log'!L:L,"*Vignette [8] Birth Spacing/ Family Planning :  FP Counselling*"),
COUNTIFS('QA Log'!D:D,A363,'QA Log'!M:M,"Vignette",'QA Log'!L:L,"*Vignette [9] Birth Spacing: Change FP method to Injectable*"),
COUNTIFS('QA Log'!D:D,A363,'QA Log'!M:M,"Vignette",'QA Log'!L:L,"*Vignette [10] Post Partum Haemorrhage - Atonic Uterus at Health Centre*"),
)
)</f>
        <v/>
      </c>
      <c r="BF363" s="102" t="str">
        <f>IF(A363="","",
  SUM(
    COUNTIFS('QA Log'!D:D,A363,'QA Log'!M:M,"Vignette",'QA Log'!Z:Z,"Approved",'QA Log'!L:L,"*Vignette [5] Labor*"),
    COUNTIFS('QA Log'!D:D,A363,'QA Log'!M:M,"Vignette",'QA Log'!Z:Z,"Approved",'QA Log'!L:L,"*Vignette [6] PNC pre Discharge*"),
    COUNTIFS('QA Log'!D:D,A363,'QA Log'!M:M,"Vignette",'QA Log'!Z:Z,"Approved",'QA Log'!L:L,"*Vignette [7] First ANC Visit*"),
    COUNTIFS('QA Log'!D:D,A363,'QA Log'!M:M,"Vignette",'QA Log'!Z:Z,"Approved",'QA Log'!L:L,"*Vignette [8] Birth Spacing/ Family Planning :  FP Counselling*"),
    COUNTIFS('QA Log'!D:D,A363,'QA Log'!M:M,"Vignette",'QA Log'!Z:Z,"Approved",'QA Log'!L:L,"*Vignette [9] Birth Spacing: Change FP method to Injectable*"),
    COUNTIFS('QA Log'!D:D,A363,'QA Log'!M:M,"Vignette",'QA Log'!Z:Z,"Approved",'QA Log'!L:L,"*Vignette [10] Post Partum Haemorrhage - Atonic Uterus at Health Centre*")
  )
)</f>
        <v/>
      </c>
      <c r="BG363" s="105" t="str">
        <f>IF(A363&lt;&gt;"",COUNTIFS('QA Log'!D:D,A363,'QA Log'!M:M,"Vignette",'QA Log'!L:L,"Vignette [5] Labor",'QA Log'!Z:Z,"Approved"),"")</f>
        <v/>
      </c>
      <c r="BH363" s="105" t="str">
        <f>IF(A363&lt;&gt;"",COUNTIFS('QA Log'!D:D,A363,'QA Log'!M:M,"Vignette",'QA Log'!L:L,"Vignette [6] PNC pre Discharge",'QA Log'!Z:Z,"Approved"),"")</f>
        <v/>
      </c>
      <c r="BI363" s="105" t="str">
        <f>IF(A363&lt;&gt;"",COUNTIFS('QA Log'!D:D,A363,'QA Log'!M:M,"Vignette",'QA Log'!L:L,"Vignette [7] First ANC Visit",'QA Log'!Z:Z,"Approved"),"")</f>
        <v/>
      </c>
      <c r="BJ363" s="105" t="str">
        <f>IF(A363&lt;&gt;"",COUNTIFS('QA Log'!D:D,A363,'QA Log'!M:M,"Vignette",'QA Log'!L:L,"Vignette [8] Birth Spacing/ Family Planning :  FP Counselling",'QA Log'!Z:Z,"Approved"),"")</f>
        <v/>
      </c>
      <c r="BK363" s="105" t="str">
        <f>IF(A363&lt;&gt;"",COUNTIFS('QA Log'!D:D,A363,'QA Log'!M:M,"Vignette",'QA Log'!L:L,"Vignette [9] Birth Spacing: Change FP method to Injectable",'QA Log'!Z:Z,"Approved"),"")</f>
        <v/>
      </c>
      <c r="BL363" s="105" t="str">
        <f>IF(A363&lt;&gt;"",COUNTIFS('QA Log'!D:D,A363,'QA Log'!M:M,"Vignette",'QA Log'!L:L,"Vignette [10] Post Partum Haemorrhage - Atonic Uterus at Health Centre",'QA Log'!Z:Z,"Approved"),"")</f>
        <v/>
      </c>
      <c r="BM363" s="102" t="str">
        <f>IF(A363="","",SUM(
    COUNTIFS('QA Log'!D:D,A363,'QA Log'!M:M,"Vignette",'QA Log'!Z:Z,"Rejected",'QA Log'!L:L,"*Vignette [5] Labor*"),
    COUNTIFS('QA Log'!D:D,A363,'QA Log'!M:M,"Vignette",'QA Log'!Z:Z,"Rejected",'QA Log'!L:L,"*Vignette [6] PNC pre Discharge*"),
    COUNTIFS('QA Log'!D:D,A363,'QA Log'!M:M,"Vignette",'QA Log'!Z:Z,"Rejected",'QA Log'!L:L,"*Vignette [7] First ANC Visit*"),
    COUNTIFS('QA Log'!D:D,A363,'QA Log'!M:M,"Vignette",'QA Log'!Z:Z,"Rejected",'QA Log'!L:L,"*Vignette [8] Birth Spacing/ Family Planning :  FP Counselling*"),
    COUNTIFS('QA Log'!D:D,A363,'QA Log'!M:M,"Vignette",'QA Log'!Z:Z,"Rejected",'QA Log'!L:L,"*Vignette [9] Birth Spacing: Change FP method to Injectable*"),
    COUNTIFS('QA Log'!D:D,A363,'QA Log'!M:M,"Vignette",'QA Log'!Z:Z,"Rejected",'QA Log'!L:L,"*Vignette [10] Post Partum Haemorrhage - Atonic Uterus at Health Centre*")
  )
)</f>
        <v/>
      </c>
      <c r="BN363" s="107" t="str">
        <f t="shared" si="37"/>
        <v/>
      </c>
      <c r="BO363" s="103" t="str">
        <f t="shared" si="38"/>
        <v/>
      </c>
      <c r="BP363" s="102" t="str">
        <f>IF(A363="","",SUM(
COUNTIFS('QA Log'!D:D,A363,'QA Log'!M:M,"Vignette",'QA Log'!L:L,"*Exit Interview 1*"),
COUNTIFS('QA Log'!D:D,A363,'QA Log'!M:M,"Vignette",'QA Log'!L:L,"*Exit Interview 2*"),
)
)</f>
        <v/>
      </c>
      <c r="BQ363" s="102" t="str">
        <f>IF(
  A363="","",
  SUM(
    COUNTIFS('QA Log'!D:D,A363,'QA Log'!M:M,"Vignette",'QA Log'!Z:Z,"Approved",'QA Log'!L:L,"*Exit Interview 1*"),
    COUNTIFS('QA Log'!D:D,A363,'QA Log'!M:M,"Vignette",'QA Log'!Z:Z,"Approved",'QA Log'!L:L,"*Exit Interview 2*")
  )
)</f>
        <v/>
      </c>
      <c r="BR363" s="105" t="str">
        <f>IF(A363&lt;&gt;"",COUNTIFS('QA Log'!D:D,A363,'QA Log'!M:M,"Vignette",'QA Log'!L:L,"Exit Interview 1",'QA Log'!Z:Z,"Approved"),"")</f>
        <v/>
      </c>
      <c r="BS363" s="105" t="str">
        <f>IF(A363&lt;&gt;"",COUNTIFS('QA Log'!D:D,A363,'QA Log'!M:M,"Vignette",'QA Log'!L:L,"Exit Interview 2",'QA Log'!Z:Z,"Approved"),"")</f>
        <v/>
      </c>
      <c r="BT363" s="102" t="str">
        <f>IF(
  A363="","",
  SUM(
    COUNTIFS('QA Log'!D:D,A363,'QA Log'!M:M,"Vignette",'QA Log'!Z:Z,"Rejected",'QA Log'!L:L,"*Exit Interview 1*"),
    COUNTIFS('QA Log'!D:D,A363,'QA Log'!M:M,"Vignette",'QA Log'!Z:Z,"Rejected",'QA Log'!L:L,"*Exit Interview 2*")
  )
)</f>
        <v/>
      </c>
      <c r="BU363" s="107" t="str">
        <f t="shared" si="39"/>
        <v/>
      </c>
      <c r="BV363" s="102" t="str">
        <f t="shared" si="40"/>
        <v/>
      </c>
      <c r="BW363" s="102" t="str">
        <f t="shared" si="41"/>
        <v/>
      </c>
      <c r="BX363" s="102" t="str">
        <f t="shared" si="42"/>
        <v/>
      </c>
      <c r="BY363" s="102" t="str">
        <f t="shared" si="43"/>
        <v/>
      </c>
      <c r="BZ363" s="107" t="str">
        <f t="shared" si="44"/>
        <v/>
      </c>
      <c r="CA363" s="108" t="str">
        <f t="shared" si="45"/>
        <v/>
      </c>
      <c r="CB363" s="108" t="str">
        <f t="shared" si="46"/>
        <v/>
      </c>
      <c r="CC363" s="109" t="str">
        <f t="shared" si="47"/>
        <v/>
      </c>
      <c r="CD363" s="108" t="str">
        <f t="shared" si="48"/>
        <v/>
      </c>
      <c r="CE363" s="108" t="str">
        <f t="shared" si="49"/>
        <v/>
      </c>
      <c r="CF363" s="109" t="str">
        <f t="shared" si="50"/>
        <v/>
      </c>
      <c r="CG363" s="110" t="str">
        <f t="shared" si="51"/>
        <v/>
      </c>
      <c r="CH363" s="111"/>
    </row>
    <row r="364" spans="1:86" ht="12.75">
      <c r="A364" s="101"/>
      <c r="B364" s="102" t="e">
        <f t="array" aca="1" ref="B364" ca="1">_xludf.XLOOKUP(A364,'QA Log'!D:D,'QA Log'!E:E,"")</f>
        <v>#NAME?</v>
      </c>
      <c r="C364" s="102" t="e">
        <f t="array" aca="1" ref="C364" ca="1">_xludf.XLOOKUP(A364,'QA Log'!D:D,'QA Log'!F:F,"")</f>
        <v>#NAME?</v>
      </c>
      <c r="D364" s="102" t="e">
        <f t="array" aca="1" ref="D364" ca="1">_xludf.XLOOKUP(A364,'QA Log'!D:D,'QA Log'!H:H,"")</f>
        <v>#NAME?</v>
      </c>
      <c r="E364" s="102" t="e">
        <f t="array" aca="1" ref="E364" ca="1">_xludf.XLOOKUP(A364,'QA Log'!D:D,'QA Log'!G:G,"")</f>
        <v>#NAME?</v>
      </c>
      <c r="F364" s="103"/>
      <c r="G364" s="104"/>
      <c r="H364" s="104"/>
      <c r="I364" s="103" t="str">
        <f t="shared" si="26"/>
        <v/>
      </c>
      <c r="J364" s="102" t="str">
        <f>IF(A364="","",SUM(
COUNTIFS('QA Log'!D:D,A364,'QA Log'!M:M,"QQC",'QA Log'!L:L,"*1. General Management*"),
COUNTIFS('QA Log'!D:D,A364,'QA Log'!M:M,"QQC",'QA Log'!L:L,"*3. Curative Consultation (OPD)*"),
COUNTIFS('QA Log'!D:D,A364,'QA Log'!M:M,"QQC",'QA Log'!L:L,"*5. Laboratory*"),
COUNTIFS('QA Log'!D:D,A364,'QA Log'!M:M,"QQC",'QA Log'!L:L,"*6. Essential Medicine Management*"),
COUNTIFS('QA Log'!D:D,A364,'QA Log'!M:M,"QQC",'QA Log'!L:L,"*7. Tracer Medicine*"),
COUNTIFS('QA Log'!D:D,A364,'QA Log'!M:M,"QQC",'QA Log'!L:L,"*11. Additional Questions*")))</f>
        <v/>
      </c>
      <c r="K364" s="102" t="str">
        <f>IF(A364="","",SUM(
COUNTIFS('QA Log'!D:D,A364,'QA Log'!M:M,"QQC",'QA Log'!Z:Z,"Approved",'QA Log'!L:L,"*1. General Management*"),
COUNTIFS('QA Log'!D:D,A364,'QA Log'!M:M,"QQC",'QA Log'!Z:Z,"Approved",'QA Log'!L:L,"*3. Curative Consultation (OPD)*"),
COUNTIFS('QA Log'!D:D,A364,'QA Log'!M:M,"QQC",'QA Log'!Z:Z,"Approved",'QA Log'!L:L,"*5. Laboratory*"),
COUNTIFS('QA Log'!D:D,A364,'QA Log'!M:M,"QQC",'QA Log'!Z:Z,"Approved",'QA Log'!L:L,"*6. Essential Medicine Management*"),
COUNTIFS('QA Log'!D:D,A364,'QA Log'!M:M,"QQC",'QA Log'!Z:Z,"Approved",'QA Log'!L:L,"*7. Tracer Medicine*"),
COUNTIFS('QA Log'!D:D,A364,'QA Log'!M:M,"QQC",'QA Log'!Z:Z,"Approved",'QA Log'!L:L,"*11. Additional Questions*")))</f>
        <v/>
      </c>
      <c r="L364" s="105" t="str">
        <f>IF(A364&lt;&gt;"",COUNTIFS('QA Log'!D:D,A364,'QA Log'!M:M,"QQC",'QA Log'!L:L,"1. General Management",'QA Log'!Z:Z,"Approved"),"")</f>
        <v/>
      </c>
      <c r="M364" s="105" t="str">
        <f>IF(A364&lt;&gt;"",COUNTIFS('QA Log'!D:D,A364,'QA Log'!M:M,"QQC",'QA Log'!L:L,"3. Curative Consultation (OPD)",'QA Log'!Z:Z,"Approved"),"")</f>
        <v/>
      </c>
      <c r="N364" s="105" t="str">
        <f>IF(A364&lt;&gt;"",COUNTIFS('QA Log'!D:D,A364,'QA Log'!M:M,"QQC",'QA Log'!L:L,"5. Laboratory",'QA Log'!Z:Z,"Approved"),"")</f>
        <v/>
      </c>
      <c r="O364" s="105" t="str">
        <f>IF(A364&lt;&gt;"",COUNTIFS('QA Log'!D:D,A364,'QA Log'!M:M,"QQC",'QA Log'!L:L,"6. Essential Medicine Management",'QA Log'!Z:Z,"Approved"),"")</f>
        <v/>
      </c>
      <c r="P364" s="105" t="str">
        <f>IF(A364&lt;&gt;"",COUNTIFS('QA Log'!D:D,A364,'QA Log'!M:M,"QQC",'QA Log'!L:L,"7. Tracer Medicine",'QA Log'!Z:Z,"Approved"),"")</f>
        <v/>
      </c>
      <c r="Q364" s="105" t="str">
        <f>IF(A364&lt;&gt;"",COUNTIFS('QA Log'!D:D,A364,'QA Log'!M:M,"QQC",'QA Log'!L:L,"11. Additional Questions",'QA Log'!Z:Z,"Approved"),"")</f>
        <v/>
      </c>
      <c r="R364" s="102" t="str">
        <f>IF(A364="","",SUM(
COUNTIFS('QA Log'!D:D,A364,'QA Log'!M:M,"QQC",'QA Log'!Z:Z,"Rejected",'QA Log'!L:L,"*8. Maternity*"),
COUNTIFS('QA Log'!D:D,A364,'QA Log'!M:M,"QQC",'QA Log'!Z:Z,"Rejected",'QA Log'!L:L,"*EPI*"),
COUNTIFS('QA Log'!D:D,A364,'QA Log'!M:M,"QQC",'QA Log'!Z:Z,"Rejected",'QA Log'!L:L,"*10. Antenatal Care (ANC)*"),
COUNTIFS('QA Log'!D:D,A364,'QA Log'!M:M,"QQC",'QA Log'!Z:Z,"Rejected",'QA Log'!L:L,"*2. Hygiene and Sterilization*"),
COUNTIFS('QA Log'!D:D,A364,'QA Log'!M:M,"QQC",'QA Log'!Z:Z,"Rejected",'QA Log'!L:L,"*Family Planning*")))</f>
        <v/>
      </c>
      <c r="S364" s="106" t="str">
        <f t="shared" si="27"/>
        <v/>
      </c>
      <c r="T364" s="102" t="str">
        <f t="shared" si="28"/>
        <v/>
      </c>
      <c r="U364" s="102" t="str">
        <f>IF(A364="","",
SUM(
COUNTIFS('QA Log'!D:D,A364,'QA Log'!M:M,"QQC",'QA Log'!L:L,"*8. Maternity*"),
COUNTIFS('QA Log'!D:D,A364,'QA Log'!M:M,"QQC",'QA Log'!L:L,"*9. EPI and Pre-school Consultation*"),
COUNTIFS('QA Log'!D:D,A364,'QA Log'!M:M,"QQC",'QA Log'!L:L,"*10. Antenatal Care (ANC)*"),
COUNTIFS('QA Log'!D:D,A364,'QA Log'!M:M,"QQC",'QA Log'!L:L,"*2. Hygiene and Sterilization*"),
COUNTIFS('QA Log'!D:D,A364,'QA Log'!M:M,"QQC",'QA Log'!L:L,"*4. Family Planning*")
))</f>
        <v/>
      </c>
      <c r="V364" s="102" t="str">
        <f>IF(A364="","",
SUM(
COUNTIFS('QA Log'!D:D,A364,'QA Log'!M:M,"QQC",'QA Log'!Z:Z,"Approved",'QA Log'!L:L,"*8. Maternity*"),
COUNTIFS('QA Log'!D:D,A364,'QA Log'!M:M,"QQC",'QA Log'!Z:Z,"Approved",'QA Log'!L:L,"*9. EPI and Pre-school Consultation*"),
COUNTIFS('QA Log'!D:D,A364,'QA Log'!M:M,"QQC",'QA Log'!Z:Z,"Approved",'QA Log'!L:L,"*10. Antenatal Care (ANC)*"),
COUNTIFS('QA Log'!D:D,A364,'QA Log'!M:M,"QQC",'QA Log'!Z:Z,"Approved",'QA Log'!L:L,"*2. Hygiene and Sterilization*"),
COUNTIFS('QA Log'!D:D,A364,'QA Log'!M:M,"QQC",'QA Log'!Z:Z,"Approved",'QA Log'!L:L,"*4. Family Planning*")
))</f>
        <v/>
      </c>
      <c r="W364" s="105" t="str">
        <f>IF(A364&lt;&gt;"",COUNTIFS('QA Log'!D:D,A364,'QA Log'!M:M,"QQC",'QA Log'!L:L,"8. Maternity",'QA Log'!Z:Z,"Approved"),"")</f>
        <v/>
      </c>
      <c r="X364" s="105" t="str">
        <f>IF(A364&lt;&gt;"",COUNTIFS('QA Log'!D:D,A364,'QA Log'!M:M,"QQC",'QA Log'!L:L,"9. EPI and Pre-school Consultation",'QA Log'!Z:Z,"Approved"),"")</f>
        <v/>
      </c>
      <c r="Y364" s="105" t="str">
        <f>IF(A364&lt;&gt;"",COUNTIFS('QA Log'!D:D,A364,'QA Log'!M:M,"QQC",'QA Log'!L:L,"10. Antenatal Care (ANC)",'QA Log'!Z:Z,"Approved"),"")</f>
        <v/>
      </c>
      <c r="Z364" s="105" t="str">
        <f>IF(A364&lt;&gt;"",COUNTIFS('QA Log'!D:D,A364,'QA Log'!M:M,"QQC",'QA Log'!L:L,"2. Hygiene and Sterilization",'QA Log'!Z:Z,"Approved"),"")</f>
        <v/>
      </c>
      <c r="AA364" s="105" t="str">
        <f>IF(A364&lt;&gt;"",COUNTIFS('QA Log'!D:D,A364,'QA Log'!M:M,"QQC",'QA Log'!L:L,"4. Family Planning",'QA Log'!Z:Z,"Approved"),"")</f>
        <v/>
      </c>
      <c r="AB364" s="102" t="str">
        <f>IF(A364="","",
SUM(
COUNTIFS('QA Log'!D:D,A364,'QA Log'!M:M,"QQC",'QA Log'!Z:Z,"Rejected",'QA Log'!L:L,"*8. Maternity*"),
COUNTIFS('QA Log'!D:D,A364,'QA Log'!M:M,"QQC",'QA Log'!Z:Z,"Rejected",'QA Log'!L:L,"*9. EPI and Pre-school Consultation*"),
COUNTIFS('QA Log'!D:D,A364,'QA Log'!M:M,"QQC",'QA Log'!Z:Z,"Rejected",'QA Log'!L:L,"*10. Antenatal Care (ANC)*"),
COUNTIFS('QA Log'!D:D,A364,'QA Log'!M:M,"QQC",'QA Log'!Z:Z,"Rejected",'QA Log'!L:L,"*2. Hygiene and Sterilization*"),
COUNTIFS('QA Log'!D:D,A364,'QA Log'!M:M,"QQC",'QA Log'!Z:Z,"Rejected",'QA Log'!L:L,"*4. Family Planning*")
))</f>
        <v/>
      </c>
      <c r="AC364" s="102" t="str">
        <f t="shared" si="29"/>
        <v/>
      </c>
      <c r="AD364" s="103" t="str">
        <f t="shared" si="30"/>
        <v/>
      </c>
      <c r="AE364" s="102" t="str">
        <f>IF(A364="","",
SUM(
COUNTIFS('QA Log'!D:D,A364,'QA Log'!M:M,"Data Verification",'QA Log'!L:L,"*Medicine (section 2)*"),
COUNTIFS('QA Log'!D:D,A364,'QA Log'!M:M,"Data Verification",'QA Log'!L:L,"*Lab Testing Availability*"),
COUNTIFS('QA Log'!D:D,A364,'QA Log'!M:M,"Data Verification",'QA Log'!L:L,"*Other than P4P (section 6)*"),
COUNTIFS('QA Log'!D:D,A364,'QA Log'!M:M,"Data Verification",'QA Log'!L:L,"*Hospital Governance*")
))</f>
        <v/>
      </c>
      <c r="AF364" s="102" t="str">
        <f>IF(A364="","",
SUM(
COUNTIFS('QA Log'!D:D,A364,'QA Log'!M:M,"Data Verification",'QA Log'!Z:Z,"Approved",'QA Log'!L:L,"*Medicine (section 2)*"),
COUNTIFS('QA Log'!D:D,A364,'QA Log'!M:M,"Data Verification",'QA Log'!Z:Z,"Approved",'QA Log'!L:L,"*Lab Testing Availability*"),
COUNTIFS('QA Log'!D:D,A364,'QA Log'!M:M,"Data Verification",'QA Log'!Z:Z,"Approved",'QA Log'!L:L,"*Other than P4P (section 6)*"),
COUNTIFS('QA Log'!D:D,A364,'QA Log'!M:M,"Data Verification",'QA Log'!Z:Z,"Approved",'QA Log'!L:L,"*Hospital Governance*")
))</f>
        <v/>
      </c>
      <c r="AG364" s="105" t="str">
        <f>IF(A364&lt;&gt;"",COUNTIFS('QA Log'!D:D,A364,'QA Log'!M:M,"Data Verification",'QA Log'!L:L,"Medicine (section 2)",'QA Log'!Z:Z,"Approved"),"")</f>
        <v/>
      </c>
      <c r="AH364" s="105" t="str">
        <f>IF(A364&lt;&gt;"",COUNTIFS('QA Log'!D:D,A364,'QA Log'!M:M,"Data Verification",'QA Log'!L:L,"Lab Testing Availability",'QA Log'!Z:Z,"Approved"),"")</f>
        <v/>
      </c>
      <c r="AI364" s="105" t="str">
        <f>IF(A364&lt;&gt;"",COUNTIFS('QA Log'!D:D,A364,'QA Log'!M:M,"Data Verification",'QA Log'!L:L,"Other than P4P (section 6)",'QA Log'!Z:Z,"Approved"),"")</f>
        <v/>
      </c>
      <c r="AJ364" s="105" t="str">
        <f>IF(A364&lt;&gt;"",COUNTIFS('QA Log'!D:D,A364,'QA Log'!M:M,"Data Verification",'QA Log'!L:L,"Hospital Governance",'QA Log'!Z:Z,"Approved"),"")</f>
        <v/>
      </c>
      <c r="AK364" s="102" t="str">
        <f>IF(A364="","",
SUM(
COUNTIFS('QA Log'!D:D,A364,'QA Log'!M:M,"Data Verification",'QA Log'!Z:Z,"Rejected",'QA Log'!L:L,"*Medicine (section 2)*"),
COUNTIFS('QA Log'!D:D,A364,'QA Log'!M:M,"Data Verification",'QA Log'!Z:Z,"Rejected",'QA Log'!L:L,"*Lab Testing Availability*"),
COUNTIFS('QA Log'!D:D,A364,'QA Log'!M:M,"Data Verification",'QA Log'!Z:Z,"Rejected",'QA Log'!L:L,"*Other than P4P (section 6)*"),
COUNTIFS('QA Log'!D:D,A364,'QA Log'!M:M,"Data Verification",'QA Log'!Z:Z,"Rejected",'QA Log'!L:L,"*Hospital Governance*")
))</f>
        <v/>
      </c>
      <c r="AL364" s="106" t="str">
        <f t="shared" si="31"/>
        <v/>
      </c>
      <c r="AM364" s="102" t="str">
        <f t="shared" si="32"/>
        <v/>
      </c>
      <c r="AN364" s="102" t="str">
        <f>IF(A364="","",
SUM(
COUNTIFS('QA Log'!D:D,A364,'QA Log'!M:M,"Data Verification",'QA Log'!L:L,"*Personnel (section 1)*"),
COUNTIFS('QA Log'!D:D,A364,'QA Log'!M:M,"Data Verification",'QA Log'!L:L,"*Consumable (section 3)*"),
COUNTIFS('QA Log'!D:D,A364,'QA Log'!M:M,"Data Verification",'QA Log'!L:L,"*Equipments (section 4)*")
))</f>
        <v/>
      </c>
      <c r="AO364" s="102" t="str">
        <f>IF(A364="","",
SUM(
COUNTIFS('QA Log'!D:D,A364,'QA Log'!M:M,"Data Verification",'QA Log'!Z:Z,"Approved",'QA Log'!L:L,"*Personnel (section 1)*"),
COUNTIFS('QA Log'!D:D,A364,'QA Log'!M:M,"Data Verification",'QA Log'!Z:Z,"Approved",'QA Log'!L:L,"*Consumable (section 3)*"),
COUNTIFS('QA Log'!D:D,A364,'QA Log'!M:M,"Data Verification",'QA Log'!Z:Z,"Approved",'QA Log'!L:L,"*Equipments (section 4)*")
))</f>
        <v/>
      </c>
      <c r="AP364" s="105" t="str">
        <f>IF(A364&lt;&gt;"",COUNTIFS('QA Log'!D:D,A364,'QA Log'!M:M,"Data Verification",'QA Log'!L:L,"Personnel (section 1)",'QA Log'!Z:Z,"Approved"),"")</f>
        <v/>
      </c>
      <c r="AQ364" s="105" t="str">
        <f>IF(A364&lt;&gt;"",COUNTIFS('QA Log'!D:D,A364,'QA Log'!M:M,"Data Verification",'QA Log'!L:L,"Consumable (section 3)",'QA Log'!Z:Z,"Approved"),"")</f>
        <v/>
      </c>
      <c r="AR364" s="105" t="str">
        <f>IF(A364&lt;&gt;"",COUNTIFS('QA Log'!D:D,A364,'QA Log'!M:M,"Data Verification",'QA Log'!L:L,"Equipments (section 4)",'QA Log'!Z:Z,"Approved"),"")</f>
        <v/>
      </c>
      <c r="AS364" s="102" t="str">
        <f>IF(A364="","",
SUM(
COUNTIFS('QA Log'!D:D,A364,'QA Log'!M:M,"Data Verification",'QA Log'!Z:Z,"Rejected",'QA Log'!L:L,"*Personnel (section 1)*"),
COUNTIFS('QA Log'!D:D,A364,'QA Log'!M:M,"Data Verification",'QA Log'!Z:Z,"Rejected",'QA Log'!L:L,"*Consumable (section 3)*"),
COUNTIFS('QA Log'!D:D,A364,'QA Log'!M:M,"Data Verification",'QA Log'!Z:Z,"Rejected",'QA Log'!L:L,"*Equipments (section 4)*")
))</f>
        <v/>
      </c>
      <c r="AT364" s="102" t="str">
        <f t="shared" si="33"/>
        <v/>
      </c>
      <c r="AU364" s="103" t="str">
        <f t="shared" si="34"/>
        <v/>
      </c>
      <c r="AV364" s="102" t="str">
        <f>IF(A364="","",SUM(
COUNTIFS('QA Log'!D:D,A364,'QA Log'!M:M,"Vignette",'QA Log'!L:L,"*Vignette [1] Respiratory Infection: Pneumonia*"),
COUNTIFS('QA Log'!D:D,A364,'QA Log'!M:M,"Vignette",'QA Log'!L:L,"*Vignette [2]: Diarrhea with Cat B dehydration*"),
COUNTIFS('QA Log'!D:D,A364,'QA Log'!M:M,"Vignette",'QA Log'!L:L,"*Vignette [3] Growth Monitoring and Promotion*"),
COUNTIFS('QA Log'!D:D,A364,'QA Log'!M:M,"Vignette",'QA Log'!L:L,"*Vignette [4]: The management of presumptive TB patient*")
)
)</f>
        <v/>
      </c>
      <c r="AW364" s="102" t="str">
        <f>IF(
  A364="","",
  SUM(
    COUNTIFS('QA Log'!D:D,A364,'QA Log'!M:M,"Vignette",'QA Log'!Z:Z,"Approved",'QA Log'!L:L,"*Vignette [1] Respiratory Infection: Pneumonia*"),
    COUNTIFS('QA Log'!D:D,A364,'QA Log'!M:M,"Vignette",'QA Log'!Z:Z,"Approved",'QA Log'!L:L,"*Vignette [2]: Diarrhea with Cat B dehydration*"),
    COUNTIFS('QA Log'!D:D,A364,'QA Log'!M:M,"Vignette",'QA Log'!Z:Z,"Approved",'QA Log'!L:L,"*Vignette [3] Growth Monitoring and Promotion*"),
    COUNTIFS('QA Log'!D:D,A364,'QA Log'!M:M,"Vignette",'QA Log'!Z:Z,"Approved",'QA Log'!L:L,"*Vignette [4]: The management of presumptive TB patient*")
  )
)</f>
        <v/>
      </c>
      <c r="AX364" s="105" t="str">
        <f>IF(A364&lt;&gt;"",COUNTIFS('QA Log'!D:D,A364,'QA Log'!M:M,"Vignette",'QA Log'!L:L,"Vignette [1] Respiratory Infection: Pneumonia",'QA Log'!Z:Z,"Approved"),"")</f>
        <v/>
      </c>
      <c r="AY364" s="105" t="str">
        <f>IF(A364&lt;&gt;"",COUNTIFS('QA Log'!D:D,A364,'QA Log'!M:M,"Vignette",'QA Log'!L:L,"Vignette [2]: Diarrhea with Cat B dehydration",'QA Log'!Z:Z,"Approved"),"")</f>
        <v/>
      </c>
      <c r="AZ364" s="105" t="str">
        <f>IF(A364&lt;&gt;"",COUNTIFS('QA Log'!D:D,A364,'QA Log'!M:M,"Vignette",'QA Log'!L:L,"Vignette [3] Growth Monitoring and Promotion",'QA Log'!Z:Z,"Approved"),"")</f>
        <v/>
      </c>
      <c r="BA364" s="105" t="str">
        <f>IF(A364&lt;&gt;"",COUNTIFS('QA Log'!D:D,A364,'QA Log'!M:M,"Vignette",'QA Log'!L:L,"Vignette [4]: The management of presumptive TB patient",'QA Log'!Z:Z,"Approved"),"")</f>
        <v/>
      </c>
      <c r="BB364" s="102" t="str">
        <f>IF(A364="","",
  SUM(
    COUNTIFS('QA Log'!D:D,A364,'QA Log'!M:M,"Vignette",'QA Log'!Z:Z,"Rejected",'QA Log'!L:L,"*Vignette [1] Respiratory Infection: Pneumonia*"),
    COUNTIFS('QA Log'!D:D,A364,'QA Log'!M:M,"Vignette",'QA Log'!Z:Z,"Rejected",'QA Log'!L:L,"*Vignette [2]: Diarrhea with Cat B dehydration*"),
    COUNTIFS('QA Log'!D:D,A364,'QA Log'!M:M,"Vignette",'QA Log'!Z:Z,"Rejected",'QA Log'!L:L,"*Vignette [3] Growth Monitoring and Promotion*"),
    COUNTIFS('QA Log'!D:D,A364,'QA Log'!M:M,"Vignette",'QA Log'!Z:Z,"Rejected",'QA Log'!L:L,"*Vignette [4]: The management of presumptive TB patient*")
  )
)</f>
        <v/>
      </c>
      <c r="BC364" s="107" t="str">
        <f t="shared" si="35"/>
        <v/>
      </c>
      <c r="BD364" s="103" t="str">
        <f t="shared" si="36"/>
        <v/>
      </c>
      <c r="BE364" s="102" t="str">
        <f>IF(A364="","",SUM(
COUNTIFS('QA Log'!D:D,A364,'QA Log'!M:M,"Vignette",'QA Log'!L:L,"*Vignette [5] Labor*"),
COUNTIFS('QA Log'!D:D,A364,'QA Log'!M:M,"Vignette",'QA Log'!L:L,"*Vignette [6] PNC pre Discharge*"),
COUNTIFS('QA Log'!D:D,A364,'QA Log'!M:M,"Vignette",'QA Log'!L:L,"*Vignette [7] First ANC Visit*"),
COUNTIFS('QA Log'!D:D,A364,'QA Log'!M:M,"Vignette",'QA Log'!L:L,"*Vignette [8] Birth Spacing/ Family Planning :  FP Counselling*"),
COUNTIFS('QA Log'!D:D,A364,'QA Log'!M:M,"Vignette",'QA Log'!L:L,"*Vignette [9] Birth Spacing: Change FP method to Injectable*"),
COUNTIFS('QA Log'!D:D,A364,'QA Log'!M:M,"Vignette",'QA Log'!L:L,"*Vignette [10] Post Partum Haemorrhage - Atonic Uterus at Health Centre*"),
)
)</f>
        <v/>
      </c>
      <c r="BF364" s="102" t="str">
        <f>IF(A364="","",
  SUM(
    COUNTIFS('QA Log'!D:D,A364,'QA Log'!M:M,"Vignette",'QA Log'!Z:Z,"Approved",'QA Log'!L:L,"*Vignette [5] Labor*"),
    COUNTIFS('QA Log'!D:D,A364,'QA Log'!M:M,"Vignette",'QA Log'!Z:Z,"Approved",'QA Log'!L:L,"*Vignette [6] PNC pre Discharge*"),
    COUNTIFS('QA Log'!D:D,A364,'QA Log'!M:M,"Vignette",'QA Log'!Z:Z,"Approved",'QA Log'!L:L,"*Vignette [7] First ANC Visit*"),
    COUNTIFS('QA Log'!D:D,A364,'QA Log'!M:M,"Vignette",'QA Log'!Z:Z,"Approved",'QA Log'!L:L,"*Vignette [8] Birth Spacing/ Family Planning :  FP Counselling*"),
    COUNTIFS('QA Log'!D:D,A364,'QA Log'!M:M,"Vignette",'QA Log'!Z:Z,"Approved",'QA Log'!L:L,"*Vignette [9] Birth Spacing: Change FP method to Injectable*"),
    COUNTIFS('QA Log'!D:D,A364,'QA Log'!M:M,"Vignette",'QA Log'!Z:Z,"Approved",'QA Log'!L:L,"*Vignette [10] Post Partum Haemorrhage - Atonic Uterus at Health Centre*")
  )
)</f>
        <v/>
      </c>
      <c r="BG364" s="105" t="str">
        <f>IF(A364&lt;&gt;"",COUNTIFS('QA Log'!D:D,A364,'QA Log'!M:M,"Vignette",'QA Log'!L:L,"Vignette [5] Labor",'QA Log'!Z:Z,"Approved"),"")</f>
        <v/>
      </c>
      <c r="BH364" s="105" t="str">
        <f>IF(A364&lt;&gt;"",COUNTIFS('QA Log'!D:D,A364,'QA Log'!M:M,"Vignette",'QA Log'!L:L,"Vignette [6] PNC pre Discharge",'QA Log'!Z:Z,"Approved"),"")</f>
        <v/>
      </c>
      <c r="BI364" s="105" t="str">
        <f>IF(A364&lt;&gt;"",COUNTIFS('QA Log'!D:D,A364,'QA Log'!M:M,"Vignette",'QA Log'!L:L,"Vignette [7] First ANC Visit",'QA Log'!Z:Z,"Approved"),"")</f>
        <v/>
      </c>
      <c r="BJ364" s="105" t="str">
        <f>IF(A364&lt;&gt;"",COUNTIFS('QA Log'!D:D,A364,'QA Log'!M:M,"Vignette",'QA Log'!L:L,"Vignette [8] Birth Spacing/ Family Planning :  FP Counselling",'QA Log'!Z:Z,"Approved"),"")</f>
        <v/>
      </c>
      <c r="BK364" s="105" t="str">
        <f>IF(A364&lt;&gt;"",COUNTIFS('QA Log'!D:D,A364,'QA Log'!M:M,"Vignette",'QA Log'!L:L,"Vignette [9] Birth Spacing: Change FP method to Injectable",'QA Log'!Z:Z,"Approved"),"")</f>
        <v/>
      </c>
      <c r="BL364" s="105" t="str">
        <f>IF(A364&lt;&gt;"",COUNTIFS('QA Log'!D:D,A364,'QA Log'!M:M,"Vignette",'QA Log'!L:L,"Vignette [10] Post Partum Haemorrhage - Atonic Uterus at Health Centre",'QA Log'!Z:Z,"Approved"),"")</f>
        <v/>
      </c>
      <c r="BM364" s="102" t="str">
        <f>IF(A364="","",SUM(
    COUNTIFS('QA Log'!D:D,A364,'QA Log'!M:M,"Vignette",'QA Log'!Z:Z,"Rejected",'QA Log'!L:L,"*Vignette [5] Labor*"),
    COUNTIFS('QA Log'!D:D,A364,'QA Log'!M:M,"Vignette",'QA Log'!Z:Z,"Rejected",'QA Log'!L:L,"*Vignette [6] PNC pre Discharge*"),
    COUNTIFS('QA Log'!D:D,A364,'QA Log'!M:M,"Vignette",'QA Log'!Z:Z,"Rejected",'QA Log'!L:L,"*Vignette [7] First ANC Visit*"),
    COUNTIFS('QA Log'!D:D,A364,'QA Log'!M:M,"Vignette",'QA Log'!Z:Z,"Rejected",'QA Log'!L:L,"*Vignette [8] Birth Spacing/ Family Planning :  FP Counselling*"),
    COUNTIFS('QA Log'!D:D,A364,'QA Log'!M:M,"Vignette",'QA Log'!Z:Z,"Rejected",'QA Log'!L:L,"*Vignette [9] Birth Spacing: Change FP method to Injectable*"),
    COUNTIFS('QA Log'!D:D,A364,'QA Log'!M:M,"Vignette",'QA Log'!Z:Z,"Rejected",'QA Log'!L:L,"*Vignette [10] Post Partum Haemorrhage - Atonic Uterus at Health Centre*")
  )
)</f>
        <v/>
      </c>
      <c r="BN364" s="107" t="str">
        <f t="shared" si="37"/>
        <v/>
      </c>
      <c r="BO364" s="103" t="str">
        <f t="shared" si="38"/>
        <v/>
      </c>
      <c r="BP364" s="102" t="str">
        <f>IF(A364="","",SUM(
COUNTIFS('QA Log'!D:D,A364,'QA Log'!M:M,"Vignette",'QA Log'!L:L,"*Exit Interview 1*"),
COUNTIFS('QA Log'!D:D,A364,'QA Log'!M:M,"Vignette",'QA Log'!L:L,"*Exit Interview 2*"),
)
)</f>
        <v/>
      </c>
      <c r="BQ364" s="102" t="str">
        <f>IF(
  A364="","",
  SUM(
    COUNTIFS('QA Log'!D:D,A364,'QA Log'!M:M,"Vignette",'QA Log'!Z:Z,"Approved",'QA Log'!L:L,"*Exit Interview 1*"),
    COUNTIFS('QA Log'!D:D,A364,'QA Log'!M:M,"Vignette",'QA Log'!Z:Z,"Approved",'QA Log'!L:L,"*Exit Interview 2*")
  )
)</f>
        <v/>
      </c>
      <c r="BR364" s="105" t="str">
        <f>IF(A364&lt;&gt;"",COUNTIFS('QA Log'!D:D,A364,'QA Log'!M:M,"Vignette",'QA Log'!L:L,"Exit Interview 1",'QA Log'!Z:Z,"Approved"),"")</f>
        <v/>
      </c>
      <c r="BS364" s="105" t="str">
        <f>IF(A364&lt;&gt;"",COUNTIFS('QA Log'!D:D,A364,'QA Log'!M:M,"Vignette",'QA Log'!L:L,"Exit Interview 2",'QA Log'!Z:Z,"Approved"),"")</f>
        <v/>
      </c>
      <c r="BT364" s="102" t="str">
        <f>IF(
  A364="","",
  SUM(
    COUNTIFS('QA Log'!D:D,A364,'QA Log'!M:M,"Vignette",'QA Log'!Z:Z,"Rejected",'QA Log'!L:L,"*Exit Interview 1*"),
    COUNTIFS('QA Log'!D:D,A364,'QA Log'!M:M,"Vignette",'QA Log'!Z:Z,"Rejected",'QA Log'!L:L,"*Exit Interview 2*")
  )
)</f>
        <v/>
      </c>
      <c r="BU364" s="107" t="str">
        <f t="shared" si="39"/>
        <v/>
      </c>
      <c r="BV364" s="102" t="str">
        <f t="shared" si="40"/>
        <v/>
      </c>
      <c r="BW364" s="102" t="str">
        <f t="shared" si="41"/>
        <v/>
      </c>
      <c r="BX364" s="102" t="str">
        <f t="shared" si="42"/>
        <v/>
      </c>
      <c r="BY364" s="102" t="str">
        <f t="shared" si="43"/>
        <v/>
      </c>
      <c r="BZ364" s="107" t="str">
        <f t="shared" si="44"/>
        <v/>
      </c>
      <c r="CA364" s="108" t="str">
        <f t="shared" si="45"/>
        <v/>
      </c>
      <c r="CB364" s="108" t="str">
        <f t="shared" si="46"/>
        <v/>
      </c>
      <c r="CC364" s="109" t="str">
        <f t="shared" si="47"/>
        <v/>
      </c>
      <c r="CD364" s="108" t="str">
        <f t="shared" si="48"/>
        <v/>
      </c>
      <c r="CE364" s="108" t="str">
        <f t="shared" si="49"/>
        <v/>
      </c>
      <c r="CF364" s="109" t="str">
        <f t="shared" si="50"/>
        <v/>
      </c>
      <c r="CG364" s="110" t="str">
        <f t="shared" si="51"/>
        <v/>
      </c>
      <c r="CH364" s="111"/>
    </row>
    <row r="365" spans="1:86" ht="12.75">
      <c r="A365" s="101"/>
      <c r="B365" s="102" t="e">
        <f t="array" aca="1" ref="B365" ca="1">_xludf.XLOOKUP(A365,'QA Log'!D:D,'QA Log'!E:E,"")</f>
        <v>#NAME?</v>
      </c>
      <c r="C365" s="102" t="e">
        <f t="array" aca="1" ref="C365" ca="1">_xludf.XLOOKUP(A365,'QA Log'!D:D,'QA Log'!F:F,"")</f>
        <v>#NAME?</v>
      </c>
      <c r="D365" s="102" t="e">
        <f t="array" aca="1" ref="D365" ca="1">_xludf.XLOOKUP(A365,'QA Log'!D:D,'QA Log'!H:H,"")</f>
        <v>#NAME?</v>
      </c>
      <c r="E365" s="102" t="e">
        <f t="array" aca="1" ref="E365" ca="1">_xludf.XLOOKUP(A365,'QA Log'!D:D,'QA Log'!G:G,"")</f>
        <v>#NAME?</v>
      </c>
      <c r="F365" s="103"/>
      <c r="G365" s="104"/>
      <c r="H365" s="104"/>
      <c r="I365" s="103" t="str">
        <f t="shared" si="26"/>
        <v/>
      </c>
      <c r="J365" s="102" t="str">
        <f>IF(A365="","",SUM(
COUNTIFS('QA Log'!D:D,A365,'QA Log'!M:M,"QQC",'QA Log'!L:L,"*1. General Management*"),
COUNTIFS('QA Log'!D:D,A365,'QA Log'!M:M,"QQC",'QA Log'!L:L,"*3. Curative Consultation (OPD)*"),
COUNTIFS('QA Log'!D:D,A365,'QA Log'!M:M,"QQC",'QA Log'!L:L,"*5. Laboratory*"),
COUNTIFS('QA Log'!D:D,A365,'QA Log'!M:M,"QQC",'QA Log'!L:L,"*6. Essential Medicine Management*"),
COUNTIFS('QA Log'!D:D,A365,'QA Log'!M:M,"QQC",'QA Log'!L:L,"*7. Tracer Medicine*"),
COUNTIFS('QA Log'!D:D,A365,'QA Log'!M:M,"QQC",'QA Log'!L:L,"*11. Additional Questions*")))</f>
        <v/>
      </c>
      <c r="K365" s="102" t="str">
        <f>IF(A365="","",SUM(
COUNTIFS('QA Log'!D:D,A365,'QA Log'!M:M,"QQC",'QA Log'!Z:Z,"Approved",'QA Log'!L:L,"*1. General Management*"),
COUNTIFS('QA Log'!D:D,A365,'QA Log'!M:M,"QQC",'QA Log'!Z:Z,"Approved",'QA Log'!L:L,"*3. Curative Consultation (OPD)*"),
COUNTIFS('QA Log'!D:D,A365,'QA Log'!M:M,"QQC",'QA Log'!Z:Z,"Approved",'QA Log'!L:L,"*5. Laboratory*"),
COUNTIFS('QA Log'!D:D,A365,'QA Log'!M:M,"QQC",'QA Log'!Z:Z,"Approved",'QA Log'!L:L,"*6. Essential Medicine Management*"),
COUNTIFS('QA Log'!D:D,A365,'QA Log'!M:M,"QQC",'QA Log'!Z:Z,"Approved",'QA Log'!L:L,"*7. Tracer Medicine*"),
COUNTIFS('QA Log'!D:D,A365,'QA Log'!M:M,"QQC",'QA Log'!Z:Z,"Approved",'QA Log'!L:L,"*11. Additional Questions*")))</f>
        <v/>
      </c>
      <c r="L365" s="105" t="str">
        <f>IF(A365&lt;&gt;"",COUNTIFS('QA Log'!D:D,A365,'QA Log'!M:M,"QQC",'QA Log'!L:L,"1. General Management",'QA Log'!Z:Z,"Approved"),"")</f>
        <v/>
      </c>
      <c r="M365" s="105" t="str">
        <f>IF(A365&lt;&gt;"",COUNTIFS('QA Log'!D:D,A365,'QA Log'!M:M,"QQC",'QA Log'!L:L,"3. Curative Consultation (OPD)",'QA Log'!Z:Z,"Approved"),"")</f>
        <v/>
      </c>
      <c r="N365" s="105" t="str">
        <f>IF(A365&lt;&gt;"",COUNTIFS('QA Log'!D:D,A365,'QA Log'!M:M,"QQC",'QA Log'!L:L,"5. Laboratory",'QA Log'!Z:Z,"Approved"),"")</f>
        <v/>
      </c>
      <c r="O365" s="105" t="str">
        <f>IF(A365&lt;&gt;"",COUNTIFS('QA Log'!D:D,A365,'QA Log'!M:M,"QQC",'QA Log'!L:L,"6. Essential Medicine Management",'QA Log'!Z:Z,"Approved"),"")</f>
        <v/>
      </c>
      <c r="P365" s="105" t="str">
        <f>IF(A365&lt;&gt;"",COUNTIFS('QA Log'!D:D,A365,'QA Log'!M:M,"QQC",'QA Log'!L:L,"7. Tracer Medicine",'QA Log'!Z:Z,"Approved"),"")</f>
        <v/>
      </c>
      <c r="Q365" s="105" t="str">
        <f>IF(A365&lt;&gt;"",COUNTIFS('QA Log'!D:D,A365,'QA Log'!M:M,"QQC",'QA Log'!L:L,"11. Additional Questions",'QA Log'!Z:Z,"Approved"),"")</f>
        <v/>
      </c>
      <c r="R365" s="102" t="str">
        <f>IF(A365="","",SUM(
COUNTIFS('QA Log'!D:D,A365,'QA Log'!M:M,"QQC",'QA Log'!Z:Z,"Rejected",'QA Log'!L:L,"*8. Maternity*"),
COUNTIFS('QA Log'!D:D,A365,'QA Log'!M:M,"QQC",'QA Log'!Z:Z,"Rejected",'QA Log'!L:L,"*EPI*"),
COUNTIFS('QA Log'!D:D,A365,'QA Log'!M:M,"QQC",'QA Log'!Z:Z,"Rejected",'QA Log'!L:L,"*10. Antenatal Care (ANC)*"),
COUNTIFS('QA Log'!D:D,A365,'QA Log'!M:M,"QQC",'QA Log'!Z:Z,"Rejected",'QA Log'!L:L,"*2. Hygiene and Sterilization*"),
COUNTIFS('QA Log'!D:D,A365,'QA Log'!M:M,"QQC",'QA Log'!Z:Z,"Rejected",'QA Log'!L:L,"*Family Planning*")))</f>
        <v/>
      </c>
      <c r="S365" s="106" t="str">
        <f t="shared" si="27"/>
        <v/>
      </c>
      <c r="T365" s="102" t="str">
        <f t="shared" si="28"/>
        <v/>
      </c>
      <c r="U365" s="102" t="str">
        <f>IF(A365="","",
SUM(
COUNTIFS('QA Log'!D:D,A365,'QA Log'!M:M,"QQC",'QA Log'!L:L,"*8. Maternity*"),
COUNTIFS('QA Log'!D:D,A365,'QA Log'!M:M,"QQC",'QA Log'!L:L,"*9. EPI and Pre-school Consultation*"),
COUNTIFS('QA Log'!D:D,A365,'QA Log'!M:M,"QQC",'QA Log'!L:L,"*10. Antenatal Care (ANC)*"),
COUNTIFS('QA Log'!D:D,A365,'QA Log'!M:M,"QQC",'QA Log'!L:L,"*2. Hygiene and Sterilization*"),
COUNTIFS('QA Log'!D:D,A365,'QA Log'!M:M,"QQC",'QA Log'!L:L,"*4. Family Planning*")
))</f>
        <v/>
      </c>
      <c r="V365" s="102" t="str">
        <f>IF(A365="","",
SUM(
COUNTIFS('QA Log'!D:D,A365,'QA Log'!M:M,"QQC",'QA Log'!Z:Z,"Approved",'QA Log'!L:L,"*8. Maternity*"),
COUNTIFS('QA Log'!D:D,A365,'QA Log'!M:M,"QQC",'QA Log'!Z:Z,"Approved",'QA Log'!L:L,"*9. EPI and Pre-school Consultation*"),
COUNTIFS('QA Log'!D:D,A365,'QA Log'!M:M,"QQC",'QA Log'!Z:Z,"Approved",'QA Log'!L:L,"*10. Antenatal Care (ANC)*"),
COUNTIFS('QA Log'!D:D,A365,'QA Log'!M:M,"QQC",'QA Log'!Z:Z,"Approved",'QA Log'!L:L,"*2. Hygiene and Sterilization*"),
COUNTIFS('QA Log'!D:D,A365,'QA Log'!M:M,"QQC",'QA Log'!Z:Z,"Approved",'QA Log'!L:L,"*4. Family Planning*")
))</f>
        <v/>
      </c>
      <c r="W365" s="105" t="str">
        <f>IF(A365&lt;&gt;"",COUNTIFS('QA Log'!D:D,A365,'QA Log'!M:M,"QQC",'QA Log'!L:L,"8. Maternity",'QA Log'!Z:Z,"Approved"),"")</f>
        <v/>
      </c>
      <c r="X365" s="105" t="str">
        <f>IF(A365&lt;&gt;"",COUNTIFS('QA Log'!D:D,A365,'QA Log'!M:M,"QQC",'QA Log'!L:L,"9. EPI and Pre-school Consultation",'QA Log'!Z:Z,"Approved"),"")</f>
        <v/>
      </c>
      <c r="Y365" s="105" t="str">
        <f>IF(A365&lt;&gt;"",COUNTIFS('QA Log'!D:D,A365,'QA Log'!M:M,"QQC",'QA Log'!L:L,"10. Antenatal Care (ANC)",'QA Log'!Z:Z,"Approved"),"")</f>
        <v/>
      </c>
      <c r="Z365" s="105" t="str">
        <f>IF(A365&lt;&gt;"",COUNTIFS('QA Log'!D:D,A365,'QA Log'!M:M,"QQC",'QA Log'!L:L,"2. Hygiene and Sterilization",'QA Log'!Z:Z,"Approved"),"")</f>
        <v/>
      </c>
      <c r="AA365" s="105" t="str">
        <f>IF(A365&lt;&gt;"",COUNTIFS('QA Log'!D:D,A365,'QA Log'!M:M,"QQC",'QA Log'!L:L,"4. Family Planning",'QA Log'!Z:Z,"Approved"),"")</f>
        <v/>
      </c>
      <c r="AB365" s="102" t="str">
        <f>IF(A365="","",
SUM(
COUNTIFS('QA Log'!D:D,A365,'QA Log'!M:M,"QQC",'QA Log'!Z:Z,"Rejected",'QA Log'!L:L,"*8. Maternity*"),
COUNTIFS('QA Log'!D:D,A365,'QA Log'!M:M,"QQC",'QA Log'!Z:Z,"Rejected",'QA Log'!L:L,"*9. EPI and Pre-school Consultation*"),
COUNTIFS('QA Log'!D:D,A365,'QA Log'!M:M,"QQC",'QA Log'!Z:Z,"Rejected",'QA Log'!L:L,"*10. Antenatal Care (ANC)*"),
COUNTIFS('QA Log'!D:D,A365,'QA Log'!M:M,"QQC",'QA Log'!Z:Z,"Rejected",'QA Log'!L:L,"*2. Hygiene and Sterilization*"),
COUNTIFS('QA Log'!D:D,A365,'QA Log'!M:M,"QQC",'QA Log'!Z:Z,"Rejected",'QA Log'!L:L,"*4. Family Planning*")
))</f>
        <v/>
      </c>
      <c r="AC365" s="102" t="str">
        <f t="shared" si="29"/>
        <v/>
      </c>
      <c r="AD365" s="103" t="str">
        <f t="shared" si="30"/>
        <v/>
      </c>
      <c r="AE365" s="102" t="str">
        <f>IF(A365="","",
SUM(
COUNTIFS('QA Log'!D:D,A365,'QA Log'!M:M,"Data Verification",'QA Log'!L:L,"*Medicine (section 2)*"),
COUNTIFS('QA Log'!D:D,A365,'QA Log'!M:M,"Data Verification",'QA Log'!L:L,"*Lab Testing Availability*"),
COUNTIFS('QA Log'!D:D,A365,'QA Log'!M:M,"Data Verification",'QA Log'!L:L,"*Other than P4P (section 6)*"),
COUNTIFS('QA Log'!D:D,A365,'QA Log'!M:M,"Data Verification",'QA Log'!L:L,"*Hospital Governance*")
))</f>
        <v/>
      </c>
      <c r="AF365" s="102" t="str">
        <f>IF(A365="","",
SUM(
COUNTIFS('QA Log'!D:D,A365,'QA Log'!M:M,"Data Verification",'QA Log'!Z:Z,"Approved",'QA Log'!L:L,"*Medicine (section 2)*"),
COUNTIFS('QA Log'!D:D,A365,'QA Log'!M:M,"Data Verification",'QA Log'!Z:Z,"Approved",'QA Log'!L:L,"*Lab Testing Availability*"),
COUNTIFS('QA Log'!D:D,A365,'QA Log'!M:M,"Data Verification",'QA Log'!Z:Z,"Approved",'QA Log'!L:L,"*Other than P4P (section 6)*"),
COUNTIFS('QA Log'!D:D,A365,'QA Log'!M:M,"Data Verification",'QA Log'!Z:Z,"Approved",'QA Log'!L:L,"*Hospital Governance*")
))</f>
        <v/>
      </c>
      <c r="AG365" s="105" t="str">
        <f>IF(A365&lt;&gt;"",COUNTIFS('QA Log'!D:D,A365,'QA Log'!M:M,"Data Verification",'QA Log'!L:L,"Medicine (section 2)",'QA Log'!Z:Z,"Approved"),"")</f>
        <v/>
      </c>
      <c r="AH365" s="105" t="str">
        <f>IF(A365&lt;&gt;"",COUNTIFS('QA Log'!D:D,A365,'QA Log'!M:M,"Data Verification",'QA Log'!L:L,"Lab Testing Availability",'QA Log'!Z:Z,"Approved"),"")</f>
        <v/>
      </c>
      <c r="AI365" s="105" t="str">
        <f>IF(A365&lt;&gt;"",COUNTIFS('QA Log'!D:D,A365,'QA Log'!M:M,"Data Verification",'QA Log'!L:L,"Other than P4P (section 6)",'QA Log'!Z:Z,"Approved"),"")</f>
        <v/>
      </c>
      <c r="AJ365" s="105" t="str">
        <f>IF(A365&lt;&gt;"",COUNTIFS('QA Log'!D:D,A365,'QA Log'!M:M,"Data Verification",'QA Log'!L:L,"Hospital Governance",'QA Log'!Z:Z,"Approved"),"")</f>
        <v/>
      </c>
      <c r="AK365" s="102" t="str">
        <f>IF(A365="","",
SUM(
COUNTIFS('QA Log'!D:D,A365,'QA Log'!M:M,"Data Verification",'QA Log'!Z:Z,"Rejected",'QA Log'!L:L,"*Medicine (section 2)*"),
COUNTIFS('QA Log'!D:D,A365,'QA Log'!M:M,"Data Verification",'QA Log'!Z:Z,"Rejected",'QA Log'!L:L,"*Lab Testing Availability*"),
COUNTIFS('QA Log'!D:D,A365,'QA Log'!M:M,"Data Verification",'QA Log'!Z:Z,"Rejected",'QA Log'!L:L,"*Other than P4P (section 6)*"),
COUNTIFS('QA Log'!D:D,A365,'QA Log'!M:M,"Data Verification",'QA Log'!Z:Z,"Rejected",'QA Log'!L:L,"*Hospital Governance*")
))</f>
        <v/>
      </c>
      <c r="AL365" s="106" t="str">
        <f t="shared" si="31"/>
        <v/>
      </c>
      <c r="AM365" s="102" t="str">
        <f t="shared" si="32"/>
        <v/>
      </c>
      <c r="AN365" s="102" t="str">
        <f>IF(A365="","",
SUM(
COUNTIFS('QA Log'!D:D,A365,'QA Log'!M:M,"Data Verification",'QA Log'!L:L,"*Personnel (section 1)*"),
COUNTIFS('QA Log'!D:D,A365,'QA Log'!M:M,"Data Verification",'QA Log'!L:L,"*Consumable (section 3)*"),
COUNTIFS('QA Log'!D:D,A365,'QA Log'!M:M,"Data Verification",'QA Log'!L:L,"*Equipments (section 4)*")
))</f>
        <v/>
      </c>
      <c r="AO365" s="102" t="str">
        <f>IF(A365="","",
SUM(
COUNTIFS('QA Log'!D:D,A365,'QA Log'!M:M,"Data Verification",'QA Log'!Z:Z,"Approved",'QA Log'!L:L,"*Personnel (section 1)*"),
COUNTIFS('QA Log'!D:D,A365,'QA Log'!M:M,"Data Verification",'QA Log'!Z:Z,"Approved",'QA Log'!L:L,"*Consumable (section 3)*"),
COUNTIFS('QA Log'!D:D,A365,'QA Log'!M:M,"Data Verification",'QA Log'!Z:Z,"Approved",'QA Log'!L:L,"*Equipments (section 4)*")
))</f>
        <v/>
      </c>
      <c r="AP365" s="105" t="str">
        <f>IF(A365&lt;&gt;"",COUNTIFS('QA Log'!D:D,A365,'QA Log'!M:M,"Data Verification",'QA Log'!L:L,"Personnel (section 1)",'QA Log'!Z:Z,"Approved"),"")</f>
        <v/>
      </c>
      <c r="AQ365" s="105" t="str">
        <f>IF(A365&lt;&gt;"",COUNTIFS('QA Log'!D:D,A365,'QA Log'!M:M,"Data Verification",'QA Log'!L:L,"Consumable (section 3)",'QA Log'!Z:Z,"Approved"),"")</f>
        <v/>
      </c>
      <c r="AR365" s="105" t="str">
        <f>IF(A365&lt;&gt;"",COUNTIFS('QA Log'!D:D,A365,'QA Log'!M:M,"Data Verification",'QA Log'!L:L,"Equipments (section 4)",'QA Log'!Z:Z,"Approved"),"")</f>
        <v/>
      </c>
      <c r="AS365" s="102" t="str">
        <f>IF(A365="","",
SUM(
COUNTIFS('QA Log'!D:D,A365,'QA Log'!M:M,"Data Verification",'QA Log'!Z:Z,"Rejected",'QA Log'!L:L,"*Personnel (section 1)*"),
COUNTIFS('QA Log'!D:D,A365,'QA Log'!M:M,"Data Verification",'QA Log'!Z:Z,"Rejected",'QA Log'!L:L,"*Consumable (section 3)*"),
COUNTIFS('QA Log'!D:D,A365,'QA Log'!M:M,"Data Verification",'QA Log'!Z:Z,"Rejected",'QA Log'!L:L,"*Equipments (section 4)*")
))</f>
        <v/>
      </c>
      <c r="AT365" s="102" t="str">
        <f t="shared" si="33"/>
        <v/>
      </c>
      <c r="AU365" s="103" t="str">
        <f t="shared" si="34"/>
        <v/>
      </c>
      <c r="AV365" s="102" t="str">
        <f>IF(A365="","",SUM(
COUNTIFS('QA Log'!D:D,A365,'QA Log'!M:M,"Vignette",'QA Log'!L:L,"*Vignette [1] Respiratory Infection: Pneumonia*"),
COUNTIFS('QA Log'!D:D,A365,'QA Log'!M:M,"Vignette",'QA Log'!L:L,"*Vignette [2]: Diarrhea with Cat B dehydration*"),
COUNTIFS('QA Log'!D:D,A365,'QA Log'!M:M,"Vignette",'QA Log'!L:L,"*Vignette [3] Growth Monitoring and Promotion*"),
COUNTIFS('QA Log'!D:D,A365,'QA Log'!M:M,"Vignette",'QA Log'!L:L,"*Vignette [4]: The management of presumptive TB patient*")
)
)</f>
        <v/>
      </c>
      <c r="AW365" s="102" t="str">
        <f>IF(
  A365="","",
  SUM(
    COUNTIFS('QA Log'!D:D,A365,'QA Log'!M:M,"Vignette",'QA Log'!Z:Z,"Approved",'QA Log'!L:L,"*Vignette [1] Respiratory Infection: Pneumonia*"),
    COUNTIFS('QA Log'!D:D,A365,'QA Log'!M:M,"Vignette",'QA Log'!Z:Z,"Approved",'QA Log'!L:L,"*Vignette [2]: Diarrhea with Cat B dehydration*"),
    COUNTIFS('QA Log'!D:D,A365,'QA Log'!M:M,"Vignette",'QA Log'!Z:Z,"Approved",'QA Log'!L:L,"*Vignette [3] Growth Monitoring and Promotion*"),
    COUNTIFS('QA Log'!D:D,A365,'QA Log'!M:M,"Vignette",'QA Log'!Z:Z,"Approved",'QA Log'!L:L,"*Vignette [4]: The management of presumptive TB patient*")
  )
)</f>
        <v/>
      </c>
      <c r="AX365" s="105" t="str">
        <f>IF(A365&lt;&gt;"",COUNTIFS('QA Log'!D:D,A365,'QA Log'!M:M,"Vignette",'QA Log'!L:L,"Vignette [1] Respiratory Infection: Pneumonia",'QA Log'!Z:Z,"Approved"),"")</f>
        <v/>
      </c>
      <c r="AY365" s="105" t="str">
        <f>IF(A365&lt;&gt;"",COUNTIFS('QA Log'!D:D,A365,'QA Log'!M:M,"Vignette",'QA Log'!L:L,"Vignette [2]: Diarrhea with Cat B dehydration",'QA Log'!Z:Z,"Approved"),"")</f>
        <v/>
      </c>
      <c r="AZ365" s="105" t="str">
        <f>IF(A365&lt;&gt;"",COUNTIFS('QA Log'!D:D,A365,'QA Log'!M:M,"Vignette",'QA Log'!L:L,"Vignette [3] Growth Monitoring and Promotion",'QA Log'!Z:Z,"Approved"),"")</f>
        <v/>
      </c>
      <c r="BA365" s="105" t="str">
        <f>IF(A365&lt;&gt;"",COUNTIFS('QA Log'!D:D,A365,'QA Log'!M:M,"Vignette",'QA Log'!L:L,"Vignette [4]: The management of presumptive TB patient",'QA Log'!Z:Z,"Approved"),"")</f>
        <v/>
      </c>
      <c r="BB365" s="102" t="str">
        <f>IF(A365="","",
  SUM(
    COUNTIFS('QA Log'!D:D,A365,'QA Log'!M:M,"Vignette",'QA Log'!Z:Z,"Rejected",'QA Log'!L:L,"*Vignette [1] Respiratory Infection: Pneumonia*"),
    COUNTIFS('QA Log'!D:D,A365,'QA Log'!M:M,"Vignette",'QA Log'!Z:Z,"Rejected",'QA Log'!L:L,"*Vignette [2]: Diarrhea with Cat B dehydration*"),
    COUNTIFS('QA Log'!D:D,A365,'QA Log'!M:M,"Vignette",'QA Log'!Z:Z,"Rejected",'QA Log'!L:L,"*Vignette [3] Growth Monitoring and Promotion*"),
    COUNTIFS('QA Log'!D:D,A365,'QA Log'!M:M,"Vignette",'QA Log'!Z:Z,"Rejected",'QA Log'!L:L,"*Vignette [4]: The management of presumptive TB patient*")
  )
)</f>
        <v/>
      </c>
      <c r="BC365" s="107" t="str">
        <f t="shared" si="35"/>
        <v/>
      </c>
      <c r="BD365" s="103" t="str">
        <f t="shared" si="36"/>
        <v/>
      </c>
      <c r="BE365" s="102" t="str">
        <f>IF(A365="","",SUM(
COUNTIFS('QA Log'!D:D,A365,'QA Log'!M:M,"Vignette",'QA Log'!L:L,"*Vignette [5] Labor*"),
COUNTIFS('QA Log'!D:D,A365,'QA Log'!M:M,"Vignette",'QA Log'!L:L,"*Vignette [6] PNC pre Discharge*"),
COUNTIFS('QA Log'!D:D,A365,'QA Log'!M:M,"Vignette",'QA Log'!L:L,"*Vignette [7] First ANC Visit*"),
COUNTIFS('QA Log'!D:D,A365,'QA Log'!M:M,"Vignette",'QA Log'!L:L,"*Vignette [8] Birth Spacing/ Family Planning :  FP Counselling*"),
COUNTIFS('QA Log'!D:D,A365,'QA Log'!M:M,"Vignette",'QA Log'!L:L,"*Vignette [9] Birth Spacing: Change FP method to Injectable*"),
COUNTIFS('QA Log'!D:D,A365,'QA Log'!M:M,"Vignette",'QA Log'!L:L,"*Vignette [10] Post Partum Haemorrhage - Atonic Uterus at Health Centre*"),
)
)</f>
        <v/>
      </c>
      <c r="BF365" s="102" t="str">
        <f>IF(A365="","",
  SUM(
    COUNTIFS('QA Log'!D:D,A365,'QA Log'!M:M,"Vignette",'QA Log'!Z:Z,"Approved",'QA Log'!L:L,"*Vignette [5] Labor*"),
    COUNTIFS('QA Log'!D:D,A365,'QA Log'!M:M,"Vignette",'QA Log'!Z:Z,"Approved",'QA Log'!L:L,"*Vignette [6] PNC pre Discharge*"),
    COUNTIFS('QA Log'!D:D,A365,'QA Log'!M:M,"Vignette",'QA Log'!Z:Z,"Approved",'QA Log'!L:L,"*Vignette [7] First ANC Visit*"),
    COUNTIFS('QA Log'!D:D,A365,'QA Log'!M:M,"Vignette",'QA Log'!Z:Z,"Approved",'QA Log'!L:L,"*Vignette [8] Birth Spacing/ Family Planning :  FP Counselling*"),
    COUNTIFS('QA Log'!D:D,A365,'QA Log'!M:M,"Vignette",'QA Log'!Z:Z,"Approved",'QA Log'!L:L,"*Vignette [9] Birth Spacing: Change FP method to Injectable*"),
    COUNTIFS('QA Log'!D:D,A365,'QA Log'!M:M,"Vignette",'QA Log'!Z:Z,"Approved",'QA Log'!L:L,"*Vignette [10] Post Partum Haemorrhage - Atonic Uterus at Health Centre*")
  )
)</f>
        <v/>
      </c>
      <c r="BG365" s="105" t="str">
        <f>IF(A365&lt;&gt;"",COUNTIFS('QA Log'!D:D,A365,'QA Log'!M:M,"Vignette",'QA Log'!L:L,"Vignette [5] Labor",'QA Log'!Z:Z,"Approved"),"")</f>
        <v/>
      </c>
      <c r="BH365" s="105" t="str">
        <f>IF(A365&lt;&gt;"",COUNTIFS('QA Log'!D:D,A365,'QA Log'!M:M,"Vignette",'QA Log'!L:L,"Vignette [6] PNC pre Discharge",'QA Log'!Z:Z,"Approved"),"")</f>
        <v/>
      </c>
      <c r="BI365" s="105" t="str">
        <f>IF(A365&lt;&gt;"",COUNTIFS('QA Log'!D:D,A365,'QA Log'!M:M,"Vignette",'QA Log'!L:L,"Vignette [7] First ANC Visit",'QA Log'!Z:Z,"Approved"),"")</f>
        <v/>
      </c>
      <c r="BJ365" s="105" t="str">
        <f>IF(A365&lt;&gt;"",COUNTIFS('QA Log'!D:D,A365,'QA Log'!M:M,"Vignette",'QA Log'!L:L,"Vignette [8] Birth Spacing/ Family Planning :  FP Counselling",'QA Log'!Z:Z,"Approved"),"")</f>
        <v/>
      </c>
      <c r="BK365" s="105" t="str">
        <f>IF(A365&lt;&gt;"",COUNTIFS('QA Log'!D:D,A365,'QA Log'!M:M,"Vignette",'QA Log'!L:L,"Vignette [9] Birth Spacing: Change FP method to Injectable",'QA Log'!Z:Z,"Approved"),"")</f>
        <v/>
      </c>
      <c r="BL365" s="105" t="str">
        <f>IF(A365&lt;&gt;"",COUNTIFS('QA Log'!D:D,A365,'QA Log'!M:M,"Vignette",'QA Log'!L:L,"Vignette [10] Post Partum Haemorrhage - Atonic Uterus at Health Centre",'QA Log'!Z:Z,"Approved"),"")</f>
        <v/>
      </c>
      <c r="BM365" s="102" t="str">
        <f>IF(A365="","",SUM(
    COUNTIFS('QA Log'!D:D,A365,'QA Log'!M:M,"Vignette",'QA Log'!Z:Z,"Rejected",'QA Log'!L:L,"*Vignette [5] Labor*"),
    COUNTIFS('QA Log'!D:D,A365,'QA Log'!M:M,"Vignette",'QA Log'!Z:Z,"Rejected",'QA Log'!L:L,"*Vignette [6] PNC pre Discharge*"),
    COUNTIFS('QA Log'!D:D,A365,'QA Log'!M:M,"Vignette",'QA Log'!Z:Z,"Rejected",'QA Log'!L:L,"*Vignette [7] First ANC Visit*"),
    COUNTIFS('QA Log'!D:D,A365,'QA Log'!M:M,"Vignette",'QA Log'!Z:Z,"Rejected",'QA Log'!L:L,"*Vignette [8] Birth Spacing/ Family Planning :  FP Counselling*"),
    COUNTIFS('QA Log'!D:D,A365,'QA Log'!M:M,"Vignette",'QA Log'!Z:Z,"Rejected",'QA Log'!L:L,"*Vignette [9] Birth Spacing: Change FP method to Injectable*"),
    COUNTIFS('QA Log'!D:D,A365,'QA Log'!M:M,"Vignette",'QA Log'!Z:Z,"Rejected",'QA Log'!L:L,"*Vignette [10] Post Partum Haemorrhage - Atonic Uterus at Health Centre*")
  )
)</f>
        <v/>
      </c>
      <c r="BN365" s="107" t="str">
        <f t="shared" si="37"/>
        <v/>
      </c>
      <c r="BO365" s="103" t="str">
        <f t="shared" si="38"/>
        <v/>
      </c>
      <c r="BP365" s="102" t="str">
        <f>IF(A365="","",SUM(
COUNTIFS('QA Log'!D:D,A365,'QA Log'!M:M,"Vignette",'QA Log'!L:L,"*Exit Interview 1*"),
COUNTIFS('QA Log'!D:D,A365,'QA Log'!M:M,"Vignette",'QA Log'!L:L,"*Exit Interview 2*"),
)
)</f>
        <v/>
      </c>
      <c r="BQ365" s="102" t="str">
        <f>IF(
  A365="","",
  SUM(
    COUNTIFS('QA Log'!D:D,A365,'QA Log'!M:M,"Vignette",'QA Log'!Z:Z,"Approved",'QA Log'!L:L,"*Exit Interview 1*"),
    COUNTIFS('QA Log'!D:D,A365,'QA Log'!M:M,"Vignette",'QA Log'!Z:Z,"Approved",'QA Log'!L:L,"*Exit Interview 2*")
  )
)</f>
        <v/>
      </c>
      <c r="BR365" s="105" t="str">
        <f>IF(A365&lt;&gt;"",COUNTIFS('QA Log'!D:D,A365,'QA Log'!M:M,"Vignette",'QA Log'!L:L,"Exit Interview 1",'QA Log'!Z:Z,"Approved"),"")</f>
        <v/>
      </c>
      <c r="BS365" s="105" t="str">
        <f>IF(A365&lt;&gt;"",COUNTIFS('QA Log'!D:D,A365,'QA Log'!M:M,"Vignette",'QA Log'!L:L,"Exit Interview 2",'QA Log'!Z:Z,"Approved"),"")</f>
        <v/>
      </c>
      <c r="BT365" s="102" t="str">
        <f>IF(
  A365="","",
  SUM(
    COUNTIFS('QA Log'!D:D,A365,'QA Log'!M:M,"Vignette",'QA Log'!Z:Z,"Rejected",'QA Log'!L:L,"*Exit Interview 1*"),
    COUNTIFS('QA Log'!D:D,A365,'QA Log'!M:M,"Vignette",'QA Log'!Z:Z,"Rejected",'QA Log'!L:L,"*Exit Interview 2*")
  )
)</f>
        <v/>
      </c>
      <c r="BU365" s="107" t="str">
        <f t="shared" si="39"/>
        <v/>
      </c>
      <c r="BV365" s="102" t="str">
        <f t="shared" si="40"/>
        <v/>
      </c>
      <c r="BW365" s="102" t="str">
        <f t="shared" si="41"/>
        <v/>
      </c>
      <c r="BX365" s="102" t="str">
        <f t="shared" si="42"/>
        <v/>
      </c>
      <c r="BY365" s="102" t="str">
        <f t="shared" si="43"/>
        <v/>
      </c>
      <c r="BZ365" s="107" t="str">
        <f t="shared" si="44"/>
        <v/>
      </c>
      <c r="CA365" s="108" t="str">
        <f t="shared" si="45"/>
        <v/>
      </c>
      <c r="CB365" s="108" t="str">
        <f t="shared" si="46"/>
        <v/>
      </c>
      <c r="CC365" s="109" t="str">
        <f t="shared" si="47"/>
        <v/>
      </c>
      <c r="CD365" s="108" t="str">
        <f t="shared" si="48"/>
        <v/>
      </c>
      <c r="CE365" s="108" t="str">
        <f t="shared" si="49"/>
        <v/>
      </c>
      <c r="CF365" s="109" t="str">
        <f t="shared" si="50"/>
        <v/>
      </c>
      <c r="CG365" s="110" t="str">
        <f t="shared" si="51"/>
        <v/>
      </c>
      <c r="CH365" s="111"/>
    </row>
    <row r="366" spans="1:86" ht="12.75">
      <c r="A366" s="101"/>
      <c r="B366" s="102" t="e">
        <f t="array" aca="1" ref="B366" ca="1">_xludf.XLOOKUP(A366,'QA Log'!D:D,'QA Log'!E:E,"")</f>
        <v>#NAME?</v>
      </c>
      <c r="C366" s="102" t="e">
        <f t="array" aca="1" ref="C366" ca="1">_xludf.XLOOKUP(A366,'QA Log'!D:D,'QA Log'!F:F,"")</f>
        <v>#NAME?</v>
      </c>
      <c r="D366" s="102" t="e">
        <f t="array" aca="1" ref="D366" ca="1">_xludf.XLOOKUP(A366,'QA Log'!D:D,'QA Log'!H:H,"")</f>
        <v>#NAME?</v>
      </c>
      <c r="E366" s="102" t="e">
        <f t="array" aca="1" ref="E366" ca="1">_xludf.XLOOKUP(A366,'QA Log'!D:D,'QA Log'!G:G,"")</f>
        <v>#NAME?</v>
      </c>
      <c r="F366" s="103"/>
      <c r="G366" s="104"/>
      <c r="H366" s="104"/>
      <c r="I366" s="103" t="str">
        <f t="shared" si="26"/>
        <v/>
      </c>
      <c r="J366" s="102" t="str">
        <f>IF(A366="","",SUM(
COUNTIFS('QA Log'!D:D,A366,'QA Log'!M:M,"QQC",'QA Log'!L:L,"*1. General Management*"),
COUNTIFS('QA Log'!D:D,A366,'QA Log'!M:M,"QQC",'QA Log'!L:L,"*3. Curative Consultation (OPD)*"),
COUNTIFS('QA Log'!D:D,A366,'QA Log'!M:M,"QQC",'QA Log'!L:L,"*5. Laboratory*"),
COUNTIFS('QA Log'!D:D,A366,'QA Log'!M:M,"QQC",'QA Log'!L:L,"*6. Essential Medicine Management*"),
COUNTIFS('QA Log'!D:D,A366,'QA Log'!M:M,"QQC",'QA Log'!L:L,"*7. Tracer Medicine*"),
COUNTIFS('QA Log'!D:D,A366,'QA Log'!M:M,"QQC",'QA Log'!L:L,"*11. Additional Questions*")))</f>
        <v/>
      </c>
      <c r="K366" s="102" t="str">
        <f>IF(A366="","",SUM(
COUNTIFS('QA Log'!D:D,A366,'QA Log'!M:M,"QQC",'QA Log'!Z:Z,"Approved",'QA Log'!L:L,"*1. General Management*"),
COUNTIFS('QA Log'!D:D,A366,'QA Log'!M:M,"QQC",'QA Log'!Z:Z,"Approved",'QA Log'!L:L,"*3. Curative Consultation (OPD)*"),
COUNTIFS('QA Log'!D:D,A366,'QA Log'!M:M,"QQC",'QA Log'!Z:Z,"Approved",'QA Log'!L:L,"*5. Laboratory*"),
COUNTIFS('QA Log'!D:D,A366,'QA Log'!M:M,"QQC",'QA Log'!Z:Z,"Approved",'QA Log'!L:L,"*6. Essential Medicine Management*"),
COUNTIFS('QA Log'!D:D,A366,'QA Log'!M:M,"QQC",'QA Log'!Z:Z,"Approved",'QA Log'!L:L,"*7. Tracer Medicine*"),
COUNTIFS('QA Log'!D:D,A366,'QA Log'!M:M,"QQC",'QA Log'!Z:Z,"Approved",'QA Log'!L:L,"*11. Additional Questions*")))</f>
        <v/>
      </c>
      <c r="L366" s="105" t="str">
        <f>IF(A366&lt;&gt;"",COUNTIFS('QA Log'!D:D,A366,'QA Log'!M:M,"QQC",'QA Log'!L:L,"1. General Management",'QA Log'!Z:Z,"Approved"),"")</f>
        <v/>
      </c>
      <c r="M366" s="105" t="str">
        <f>IF(A366&lt;&gt;"",COUNTIFS('QA Log'!D:D,A366,'QA Log'!M:M,"QQC",'QA Log'!L:L,"3. Curative Consultation (OPD)",'QA Log'!Z:Z,"Approved"),"")</f>
        <v/>
      </c>
      <c r="N366" s="105" t="str">
        <f>IF(A366&lt;&gt;"",COUNTIFS('QA Log'!D:D,A366,'QA Log'!M:M,"QQC",'QA Log'!L:L,"5. Laboratory",'QA Log'!Z:Z,"Approved"),"")</f>
        <v/>
      </c>
      <c r="O366" s="105" t="str">
        <f>IF(A366&lt;&gt;"",COUNTIFS('QA Log'!D:D,A366,'QA Log'!M:M,"QQC",'QA Log'!L:L,"6. Essential Medicine Management",'QA Log'!Z:Z,"Approved"),"")</f>
        <v/>
      </c>
      <c r="P366" s="105" t="str">
        <f>IF(A366&lt;&gt;"",COUNTIFS('QA Log'!D:D,A366,'QA Log'!M:M,"QQC",'QA Log'!L:L,"7. Tracer Medicine",'QA Log'!Z:Z,"Approved"),"")</f>
        <v/>
      </c>
      <c r="Q366" s="105" t="str">
        <f>IF(A366&lt;&gt;"",COUNTIFS('QA Log'!D:D,A366,'QA Log'!M:M,"QQC",'QA Log'!L:L,"11. Additional Questions",'QA Log'!Z:Z,"Approved"),"")</f>
        <v/>
      </c>
      <c r="R366" s="102" t="str">
        <f>IF(A366="","",SUM(
COUNTIFS('QA Log'!D:D,A366,'QA Log'!M:M,"QQC",'QA Log'!Z:Z,"Rejected",'QA Log'!L:L,"*8. Maternity*"),
COUNTIFS('QA Log'!D:D,A366,'QA Log'!M:M,"QQC",'QA Log'!Z:Z,"Rejected",'QA Log'!L:L,"*EPI*"),
COUNTIFS('QA Log'!D:D,A366,'QA Log'!M:M,"QQC",'QA Log'!Z:Z,"Rejected",'QA Log'!L:L,"*10. Antenatal Care (ANC)*"),
COUNTIFS('QA Log'!D:D,A366,'QA Log'!M:M,"QQC",'QA Log'!Z:Z,"Rejected",'QA Log'!L:L,"*2. Hygiene and Sterilization*"),
COUNTIFS('QA Log'!D:D,A366,'QA Log'!M:M,"QQC",'QA Log'!Z:Z,"Rejected",'QA Log'!L:L,"*Family Planning*")))</f>
        <v/>
      </c>
      <c r="S366" s="106" t="str">
        <f t="shared" si="27"/>
        <v/>
      </c>
      <c r="T366" s="102" t="str">
        <f t="shared" si="28"/>
        <v/>
      </c>
      <c r="U366" s="102" t="str">
        <f>IF(A366="","",
SUM(
COUNTIFS('QA Log'!D:D,A366,'QA Log'!M:M,"QQC",'QA Log'!L:L,"*8. Maternity*"),
COUNTIFS('QA Log'!D:D,A366,'QA Log'!M:M,"QQC",'QA Log'!L:L,"*9. EPI and Pre-school Consultation*"),
COUNTIFS('QA Log'!D:D,A366,'QA Log'!M:M,"QQC",'QA Log'!L:L,"*10. Antenatal Care (ANC)*"),
COUNTIFS('QA Log'!D:D,A366,'QA Log'!M:M,"QQC",'QA Log'!L:L,"*2. Hygiene and Sterilization*"),
COUNTIFS('QA Log'!D:D,A366,'QA Log'!M:M,"QQC",'QA Log'!L:L,"*4. Family Planning*")
))</f>
        <v/>
      </c>
      <c r="V366" s="102" t="str">
        <f>IF(A366="","",
SUM(
COUNTIFS('QA Log'!D:D,A366,'QA Log'!M:M,"QQC",'QA Log'!Z:Z,"Approved",'QA Log'!L:L,"*8. Maternity*"),
COUNTIFS('QA Log'!D:D,A366,'QA Log'!M:M,"QQC",'QA Log'!Z:Z,"Approved",'QA Log'!L:L,"*9. EPI and Pre-school Consultation*"),
COUNTIFS('QA Log'!D:D,A366,'QA Log'!M:M,"QQC",'QA Log'!Z:Z,"Approved",'QA Log'!L:L,"*10. Antenatal Care (ANC)*"),
COUNTIFS('QA Log'!D:D,A366,'QA Log'!M:M,"QQC",'QA Log'!Z:Z,"Approved",'QA Log'!L:L,"*2. Hygiene and Sterilization*"),
COUNTIFS('QA Log'!D:D,A366,'QA Log'!M:M,"QQC",'QA Log'!Z:Z,"Approved",'QA Log'!L:L,"*4. Family Planning*")
))</f>
        <v/>
      </c>
      <c r="W366" s="105" t="str">
        <f>IF(A366&lt;&gt;"",COUNTIFS('QA Log'!D:D,A366,'QA Log'!M:M,"QQC",'QA Log'!L:L,"8. Maternity",'QA Log'!Z:Z,"Approved"),"")</f>
        <v/>
      </c>
      <c r="X366" s="105" t="str">
        <f>IF(A366&lt;&gt;"",COUNTIFS('QA Log'!D:D,A366,'QA Log'!M:M,"QQC",'QA Log'!L:L,"9. EPI and Pre-school Consultation",'QA Log'!Z:Z,"Approved"),"")</f>
        <v/>
      </c>
      <c r="Y366" s="105" t="str">
        <f>IF(A366&lt;&gt;"",COUNTIFS('QA Log'!D:D,A366,'QA Log'!M:M,"QQC",'QA Log'!L:L,"10. Antenatal Care (ANC)",'QA Log'!Z:Z,"Approved"),"")</f>
        <v/>
      </c>
      <c r="Z366" s="105" t="str">
        <f>IF(A366&lt;&gt;"",COUNTIFS('QA Log'!D:D,A366,'QA Log'!M:M,"QQC",'QA Log'!L:L,"2. Hygiene and Sterilization",'QA Log'!Z:Z,"Approved"),"")</f>
        <v/>
      </c>
      <c r="AA366" s="105" t="str">
        <f>IF(A366&lt;&gt;"",COUNTIFS('QA Log'!D:D,A366,'QA Log'!M:M,"QQC",'QA Log'!L:L,"4. Family Planning",'QA Log'!Z:Z,"Approved"),"")</f>
        <v/>
      </c>
      <c r="AB366" s="102" t="str">
        <f>IF(A366="","",
SUM(
COUNTIFS('QA Log'!D:D,A366,'QA Log'!M:M,"QQC",'QA Log'!Z:Z,"Rejected",'QA Log'!L:L,"*8. Maternity*"),
COUNTIFS('QA Log'!D:D,A366,'QA Log'!M:M,"QQC",'QA Log'!Z:Z,"Rejected",'QA Log'!L:L,"*9. EPI and Pre-school Consultation*"),
COUNTIFS('QA Log'!D:D,A366,'QA Log'!M:M,"QQC",'QA Log'!Z:Z,"Rejected",'QA Log'!L:L,"*10. Antenatal Care (ANC)*"),
COUNTIFS('QA Log'!D:D,A366,'QA Log'!M:M,"QQC",'QA Log'!Z:Z,"Rejected",'QA Log'!L:L,"*2. Hygiene and Sterilization*"),
COUNTIFS('QA Log'!D:D,A366,'QA Log'!M:M,"QQC",'QA Log'!Z:Z,"Rejected",'QA Log'!L:L,"*4. Family Planning*")
))</f>
        <v/>
      </c>
      <c r="AC366" s="102" t="str">
        <f t="shared" si="29"/>
        <v/>
      </c>
      <c r="AD366" s="103" t="str">
        <f t="shared" si="30"/>
        <v/>
      </c>
      <c r="AE366" s="102" t="str">
        <f>IF(A366="","",
SUM(
COUNTIFS('QA Log'!D:D,A366,'QA Log'!M:M,"Data Verification",'QA Log'!L:L,"*Medicine (section 2)*"),
COUNTIFS('QA Log'!D:D,A366,'QA Log'!M:M,"Data Verification",'QA Log'!L:L,"*Lab Testing Availability*"),
COUNTIFS('QA Log'!D:D,A366,'QA Log'!M:M,"Data Verification",'QA Log'!L:L,"*Other than P4P (section 6)*"),
COUNTIFS('QA Log'!D:D,A366,'QA Log'!M:M,"Data Verification",'QA Log'!L:L,"*Hospital Governance*")
))</f>
        <v/>
      </c>
      <c r="AF366" s="102" t="str">
        <f>IF(A366="","",
SUM(
COUNTIFS('QA Log'!D:D,A366,'QA Log'!M:M,"Data Verification",'QA Log'!Z:Z,"Approved",'QA Log'!L:L,"*Medicine (section 2)*"),
COUNTIFS('QA Log'!D:D,A366,'QA Log'!M:M,"Data Verification",'QA Log'!Z:Z,"Approved",'QA Log'!L:L,"*Lab Testing Availability*"),
COUNTIFS('QA Log'!D:D,A366,'QA Log'!M:M,"Data Verification",'QA Log'!Z:Z,"Approved",'QA Log'!L:L,"*Other than P4P (section 6)*"),
COUNTIFS('QA Log'!D:D,A366,'QA Log'!M:M,"Data Verification",'QA Log'!Z:Z,"Approved",'QA Log'!L:L,"*Hospital Governance*")
))</f>
        <v/>
      </c>
      <c r="AG366" s="105" t="str">
        <f>IF(A366&lt;&gt;"",COUNTIFS('QA Log'!D:D,A366,'QA Log'!M:M,"Data Verification",'QA Log'!L:L,"Medicine (section 2)",'QA Log'!Z:Z,"Approved"),"")</f>
        <v/>
      </c>
      <c r="AH366" s="105" t="str">
        <f>IF(A366&lt;&gt;"",COUNTIFS('QA Log'!D:D,A366,'QA Log'!M:M,"Data Verification",'QA Log'!L:L,"Lab Testing Availability",'QA Log'!Z:Z,"Approved"),"")</f>
        <v/>
      </c>
      <c r="AI366" s="105" t="str">
        <f>IF(A366&lt;&gt;"",COUNTIFS('QA Log'!D:D,A366,'QA Log'!M:M,"Data Verification",'QA Log'!L:L,"Other than P4P (section 6)",'QA Log'!Z:Z,"Approved"),"")</f>
        <v/>
      </c>
      <c r="AJ366" s="105" t="str">
        <f>IF(A366&lt;&gt;"",COUNTIFS('QA Log'!D:D,A366,'QA Log'!M:M,"Data Verification",'QA Log'!L:L,"Hospital Governance",'QA Log'!Z:Z,"Approved"),"")</f>
        <v/>
      </c>
      <c r="AK366" s="102" t="str">
        <f>IF(A366="","",
SUM(
COUNTIFS('QA Log'!D:D,A366,'QA Log'!M:M,"Data Verification",'QA Log'!Z:Z,"Rejected",'QA Log'!L:L,"*Medicine (section 2)*"),
COUNTIFS('QA Log'!D:D,A366,'QA Log'!M:M,"Data Verification",'QA Log'!Z:Z,"Rejected",'QA Log'!L:L,"*Lab Testing Availability*"),
COUNTIFS('QA Log'!D:D,A366,'QA Log'!M:M,"Data Verification",'QA Log'!Z:Z,"Rejected",'QA Log'!L:L,"*Other than P4P (section 6)*"),
COUNTIFS('QA Log'!D:D,A366,'QA Log'!M:M,"Data Verification",'QA Log'!Z:Z,"Rejected",'QA Log'!L:L,"*Hospital Governance*")
))</f>
        <v/>
      </c>
      <c r="AL366" s="106" t="str">
        <f t="shared" si="31"/>
        <v/>
      </c>
      <c r="AM366" s="102" t="str">
        <f t="shared" si="32"/>
        <v/>
      </c>
      <c r="AN366" s="102" t="str">
        <f>IF(A366="","",
SUM(
COUNTIFS('QA Log'!D:D,A366,'QA Log'!M:M,"Data Verification",'QA Log'!L:L,"*Personnel (section 1)*"),
COUNTIFS('QA Log'!D:D,A366,'QA Log'!M:M,"Data Verification",'QA Log'!L:L,"*Consumable (section 3)*"),
COUNTIFS('QA Log'!D:D,A366,'QA Log'!M:M,"Data Verification",'QA Log'!L:L,"*Equipments (section 4)*")
))</f>
        <v/>
      </c>
      <c r="AO366" s="102" t="str">
        <f>IF(A366="","",
SUM(
COUNTIFS('QA Log'!D:D,A366,'QA Log'!M:M,"Data Verification",'QA Log'!Z:Z,"Approved",'QA Log'!L:L,"*Personnel (section 1)*"),
COUNTIFS('QA Log'!D:D,A366,'QA Log'!M:M,"Data Verification",'QA Log'!Z:Z,"Approved",'QA Log'!L:L,"*Consumable (section 3)*"),
COUNTIFS('QA Log'!D:D,A366,'QA Log'!M:M,"Data Verification",'QA Log'!Z:Z,"Approved",'QA Log'!L:L,"*Equipments (section 4)*")
))</f>
        <v/>
      </c>
      <c r="AP366" s="105" t="str">
        <f>IF(A366&lt;&gt;"",COUNTIFS('QA Log'!D:D,A366,'QA Log'!M:M,"Data Verification",'QA Log'!L:L,"Personnel (section 1)",'QA Log'!Z:Z,"Approved"),"")</f>
        <v/>
      </c>
      <c r="AQ366" s="105" t="str">
        <f>IF(A366&lt;&gt;"",COUNTIFS('QA Log'!D:D,A366,'QA Log'!M:M,"Data Verification",'QA Log'!L:L,"Consumable (section 3)",'QA Log'!Z:Z,"Approved"),"")</f>
        <v/>
      </c>
      <c r="AR366" s="105" t="str">
        <f>IF(A366&lt;&gt;"",COUNTIFS('QA Log'!D:D,A366,'QA Log'!M:M,"Data Verification",'QA Log'!L:L,"Equipments (section 4)",'QA Log'!Z:Z,"Approved"),"")</f>
        <v/>
      </c>
      <c r="AS366" s="102" t="str">
        <f>IF(A366="","",
SUM(
COUNTIFS('QA Log'!D:D,A366,'QA Log'!M:M,"Data Verification",'QA Log'!Z:Z,"Rejected",'QA Log'!L:L,"*Personnel (section 1)*"),
COUNTIFS('QA Log'!D:D,A366,'QA Log'!M:M,"Data Verification",'QA Log'!Z:Z,"Rejected",'QA Log'!L:L,"*Consumable (section 3)*"),
COUNTIFS('QA Log'!D:D,A366,'QA Log'!M:M,"Data Verification",'QA Log'!Z:Z,"Rejected",'QA Log'!L:L,"*Equipments (section 4)*")
))</f>
        <v/>
      </c>
      <c r="AT366" s="102" t="str">
        <f t="shared" si="33"/>
        <v/>
      </c>
      <c r="AU366" s="103" t="str">
        <f t="shared" si="34"/>
        <v/>
      </c>
      <c r="AV366" s="102" t="str">
        <f>IF(A366="","",SUM(
COUNTIFS('QA Log'!D:D,A366,'QA Log'!M:M,"Vignette",'QA Log'!L:L,"*Vignette [1] Respiratory Infection: Pneumonia*"),
COUNTIFS('QA Log'!D:D,A366,'QA Log'!M:M,"Vignette",'QA Log'!L:L,"*Vignette [2]: Diarrhea with Cat B dehydration*"),
COUNTIFS('QA Log'!D:D,A366,'QA Log'!M:M,"Vignette",'QA Log'!L:L,"*Vignette [3] Growth Monitoring and Promotion*"),
COUNTIFS('QA Log'!D:D,A366,'QA Log'!M:M,"Vignette",'QA Log'!L:L,"*Vignette [4]: The management of presumptive TB patient*")
)
)</f>
        <v/>
      </c>
      <c r="AW366" s="102" t="str">
        <f>IF(
  A366="","",
  SUM(
    COUNTIFS('QA Log'!D:D,A366,'QA Log'!M:M,"Vignette",'QA Log'!Z:Z,"Approved",'QA Log'!L:L,"*Vignette [1] Respiratory Infection: Pneumonia*"),
    COUNTIFS('QA Log'!D:D,A366,'QA Log'!M:M,"Vignette",'QA Log'!Z:Z,"Approved",'QA Log'!L:L,"*Vignette [2]: Diarrhea with Cat B dehydration*"),
    COUNTIFS('QA Log'!D:D,A366,'QA Log'!M:M,"Vignette",'QA Log'!Z:Z,"Approved",'QA Log'!L:L,"*Vignette [3] Growth Monitoring and Promotion*"),
    COUNTIFS('QA Log'!D:D,A366,'QA Log'!M:M,"Vignette",'QA Log'!Z:Z,"Approved",'QA Log'!L:L,"*Vignette [4]: The management of presumptive TB patient*")
  )
)</f>
        <v/>
      </c>
      <c r="AX366" s="105" t="str">
        <f>IF(A366&lt;&gt;"",COUNTIFS('QA Log'!D:D,A366,'QA Log'!M:M,"Vignette",'QA Log'!L:L,"Vignette [1] Respiratory Infection: Pneumonia",'QA Log'!Z:Z,"Approved"),"")</f>
        <v/>
      </c>
      <c r="AY366" s="105" t="str">
        <f>IF(A366&lt;&gt;"",COUNTIFS('QA Log'!D:D,A366,'QA Log'!M:M,"Vignette",'QA Log'!L:L,"Vignette [2]: Diarrhea with Cat B dehydration",'QA Log'!Z:Z,"Approved"),"")</f>
        <v/>
      </c>
      <c r="AZ366" s="105" t="str">
        <f>IF(A366&lt;&gt;"",COUNTIFS('QA Log'!D:D,A366,'QA Log'!M:M,"Vignette",'QA Log'!L:L,"Vignette [3] Growth Monitoring and Promotion",'QA Log'!Z:Z,"Approved"),"")</f>
        <v/>
      </c>
      <c r="BA366" s="105" t="str">
        <f>IF(A366&lt;&gt;"",COUNTIFS('QA Log'!D:D,A366,'QA Log'!M:M,"Vignette",'QA Log'!L:L,"Vignette [4]: The management of presumptive TB patient",'QA Log'!Z:Z,"Approved"),"")</f>
        <v/>
      </c>
      <c r="BB366" s="102" t="str">
        <f>IF(A366="","",
  SUM(
    COUNTIFS('QA Log'!D:D,A366,'QA Log'!M:M,"Vignette",'QA Log'!Z:Z,"Rejected",'QA Log'!L:L,"*Vignette [1] Respiratory Infection: Pneumonia*"),
    COUNTIFS('QA Log'!D:D,A366,'QA Log'!M:M,"Vignette",'QA Log'!Z:Z,"Rejected",'QA Log'!L:L,"*Vignette [2]: Diarrhea with Cat B dehydration*"),
    COUNTIFS('QA Log'!D:D,A366,'QA Log'!M:M,"Vignette",'QA Log'!Z:Z,"Rejected",'QA Log'!L:L,"*Vignette [3] Growth Monitoring and Promotion*"),
    COUNTIFS('QA Log'!D:D,A366,'QA Log'!M:M,"Vignette",'QA Log'!Z:Z,"Rejected",'QA Log'!L:L,"*Vignette [4]: The management of presumptive TB patient*")
  )
)</f>
        <v/>
      </c>
      <c r="BC366" s="107" t="str">
        <f t="shared" si="35"/>
        <v/>
      </c>
      <c r="BD366" s="103" t="str">
        <f t="shared" si="36"/>
        <v/>
      </c>
      <c r="BE366" s="102" t="str">
        <f>IF(A366="","",SUM(
COUNTIFS('QA Log'!D:D,A366,'QA Log'!M:M,"Vignette",'QA Log'!L:L,"*Vignette [5] Labor*"),
COUNTIFS('QA Log'!D:D,A366,'QA Log'!M:M,"Vignette",'QA Log'!L:L,"*Vignette [6] PNC pre Discharge*"),
COUNTIFS('QA Log'!D:D,A366,'QA Log'!M:M,"Vignette",'QA Log'!L:L,"*Vignette [7] First ANC Visit*"),
COUNTIFS('QA Log'!D:D,A366,'QA Log'!M:M,"Vignette",'QA Log'!L:L,"*Vignette [8] Birth Spacing/ Family Planning :  FP Counselling*"),
COUNTIFS('QA Log'!D:D,A366,'QA Log'!M:M,"Vignette",'QA Log'!L:L,"*Vignette [9] Birth Spacing: Change FP method to Injectable*"),
COUNTIFS('QA Log'!D:D,A366,'QA Log'!M:M,"Vignette",'QA Log'!L:L,"*Vignette [10] Post Partum Haemorrhage - Atonic Uterus at Health Centre*"),
)
)</f>
        <v/>
      </c>
      <c r="BF366" s="102" t="str">
        <f>IF(A366="","",
  SUM(
    COUNTIFS('QA Log'!D:D,A366,'QA Log'!M:M,"Vignette",'QA Log'!Z:Z,"Approved",'QA Log'!L:L,"*Vignette [5] Labor*"),
    COUNTIFS('QA Log'!D:D,A366,'QA Log'!M:M,"Vignette",'QA Log'!Z:Z,"Approved",'QA Log'!L:L,"*Vignette [6] PNC pre Discharge*"),
    COUNTIFS('QA Log'!D:D,A366,'QA Log'!M:M,"Vignette",'QA Log'!Z:Z,"Approved",'QA Log'!L:L,"*Vignette [7] First ANC Visit*"),
    COUNTIFS('QA Log'!D:D,A366,'QA Log'!M:M,"Vignette",'QA Log'!Z:Z,"Approved",'QA Log'!L:L,"*Vignette [8] Birth Spacing/ Family Planning :  FP Counselling*"),
    COUNTIFS('QA Log'!D:D,A366,'QA Log'!M:M,"Vignette",'QA Log'!Z:Z,"Approved",'QA Log'!L:L,"*Vignette [9] Birth Spacing: Change FP method to Injectable*"),
    COUNTIFS('QA Log'!D:D,A366,'QA Log'!M:M,"Vignette",'QA Log'!Z:Z,"Approved",'QA Log'!L:L,"*Vignette [10] Post Partum Haemorrhage - Atonic Uterus at Health Centre*")
  )
)</f>
        <v/>
      </c>
      <c r="BG366" s="105" t="str">
        <f>IF(A366&lt;&gt;"",COUNTIFS('QA Log'!D:D,A366,'QA Log'!M:M,"Vignette",'QA Log'!L:L,"Vignette [5] Labor",'QA Log'!Z:Z,"Approved"),"")</f>
        <v/>
      </c>
      <c r="BH366" s="105" t="str">
        <f>IF(A366&lt;&gt;"",COUNTIFS('QA Log'!D:D,A366,'QA Log'!M:M,"Vignette",'QA Log'!L:L,"Vignette [6] PNC pre Discharge",'QA Log'!Z:Z,"Approved"),"")</f>
        <v/>
      </c>
      <c r="BI366" s="105" t="str">
        <f>IF(A366&lt;&gt;"",COUNTIFS('QA Log'!D:D,A366,'QA Log'!M:M,"Vignette",'QA Log'!L:L,"Vignette [7] First ANC Visit",'QA Log'!Z:Z,"Approved"),"")</f>
        <v/>
      </c>
      <c r="BJ366" s="105" t="str">
        <f>IF(A366&lt;&gt;"",COUNTIFS('QA Log'!D:D,A366,'QA Log'!M:M,"Vignette",'QA Log'!L:L,"Vignette [8] Birth Spacing/ Family Planning :  FP Counselling",'QA Log'!Z:Z,"Approved"),"")</f>
        <v/>
      </c>
      <c r="BK366" s="105" t="str">
        <f>IF(A366&lt;&gt;"",COUNTIFS('QA Log'!D:D,A366,'QA Log'!M:M,"Vignette",'QA Log'!L:L,"Vignette [9] Birth Spacing: Change FP method to Injectable",'QA Log'!Z:Z,"Approved"),"")</f>
        <v/>
      </c>
      <c r="BL366" s="105" t="str">
        <f>IF(A366&lt;&gt;"",COUNTIFS('QA Log'!D:D,A366,'QA Log'!M:M,"Vignette",'QA Log'!L:L,"Vignette [10] Post Partum Haemorrhage - Atonic Uterus at Health Centre",'QA Log'!Z:Z,"Approved"),"")</f>
        <v/>
      </c>
      <c r="BM366" s="102" t="str">
        <f>IF(A366="","",SUM(
    COUNTIFS('QA Log'!D:D,A366,'QA Log'!M:M,"Vignette",'QA Log'!Z:Z,"Rejected",'QA Log'!L:L,"*Vignette [5] Labor*"),
    COUNTIFS('QA Log'!D:D,A366,'QA Log'!M:M,"Vignette",'QA Log'!Z:Z,"Rejected",'QA Log'!L:L,"*Vignette [6] PNC pre Discharge*"),
    COUNTIFS('QA Log'!D:D,A366,'QA Log'!M:M,"Vignette",'QA Log'!Z:Z,"Rejected",'QA Log'!L:L,"*Vignette [7] First ANC Visit*"),
    COUNTIFS('QA Log'!D:D,A366,'QA Log'!M:M,"Vignette",'QA Log'!Z:Z,"Rejected",'QA Log'!L:L,"*Vignette [8] Birth Spacing/ Family Planning :  FP Counselling*"),
    COUNTIFS('QA Log'!D:D,A366,'QA Log'!M:M,"Vignette",'QA Log'!Z:Z,"Rejected",'QA Log'!L:L,"*Vignette [9] Birth Spacing: Change FP method to Injectable*"),
    COUNTIFS('QA Log'!D:D,A366,'QA Log'!M:M,"Vignette",'QA Log'!Z:Z,"Rejected",'QA Log'!L:L,"*Vignette [10] Post Partum Haemorrhage - Atonic Uterus at Health Centre*")
  )
)</f>
        <v/>
      </c>
      <c r="BN366" s="107" t="str">
        <f t="shared" si="37"/>
        <v/>
      </c>
      <c r="BO366" s="103" t="str">
        <f t="shared" si="38"/>
        <v/>
      </c>
      <c r="BP366" s="102" t="str">
        <f>IF(A366="","",SUM(
COUNTIFS('QA Log'!D:D,A366,'QA Log'!M:M,"Vignette",'QA Log'!L:L,"*Exit Interview 1*"),
COUNTIFS('QA Log'!D:D,A366,'QA Log'!M:M,"Vignette",'QA Log'!L:L,"*Exit Interview 2*"),
)
)</f>
        <v/>
      </c>
      <c r="BQ366" s="102" t="str">
        <f>IF(
  A366="","",
  SUM(
    COUNTIFS('QA Log'!D:D,A366,'QA Log'!M:M,"Vignette",'QA Log'!Z:Z,"Approved",'QA Log'!L:L,"*Exit Interview 1*"),
    COUNTIFS('QA Log'!D:D,A366,'QA Log'!M:M,"Vignette",'QA Log'!Z:Z,"Approved",'QA Log'!L:L,"*Exit Interview 2*")
  )
)</f>
        <v/>
      </c>
      <c r="BR366" s="105" t="str">
        <f>IF(A366&lt;&gt;"",COUNTIFS('QA Log'!D:D,A366,'QA Log'!M:M,"Vignette",'QA Log'!L:L,"Exit Interview 1",'QA Log'!Z:Z,"Approved"),"")</f>
        <v/>
      </c>
      <c r="BS366" s="105" t="str">
        <f>IF(A366&lt;&gt;"",COUNTIFS('QA Log'!D:D,A366,'QA Log'!M:M,"Vignette",'QA Log'!L:L,"Exit Interview 2",'QA Log'!Z:Z,"Approved"),"")</f>
        <v/>
      </c>
      <c r="BT366" s="102" t="str">
        <f>IF(
  A366="","",
  SUM(
    COUNTIFS('QA Log'!D:D,A366,'QA Log'!M:M,"Vignette",'QA Log'!Z:Z,"Rejected",'QA Log'!L:L,"*Exit Interview 1*"),
    COUNTIFS('QA Log'!D:D,A366,'QA Log'!M:M,"Vignette",'QA Log'!Z:Z,"Rejected",'QA Log'!L:L,"*Exit Interview 2*")
  )
)</f>
        <v/>
      </c>
      <c r="BU366" s="107" t="str">
        <f t="shared" si="39"/>
        <v/>
      </c>
      <c r="BV366" s="102" t="str">
        <f t="shared" si="40"/>
        <v/>
      </c>
      <c r="BW366" s="102" t="str">
        <f t="shared" si="41"/>
        <v/>
      </c>
      <c r="BX366" s="102" t="str">
        <f t="shared" si="42"/>
        <v/>
      </c>
      <c r="BY366" s="102" t="str">
        <f t="shared" si="43"/>
        <v/>
      </c>
      <c r="BZ366" s="107" t="str">
        <f t="shared" si="44"/>
        <v/>
      </c>
      <c r="CA366" s="108" t="str">
        <f t="shared" si="45"/>
        <v/>
      </c>
      <c r="CB366" s="108" t="str">
        <f t="shared" si="46"/>
        <v/>
      </c>
      <c r="CC366" s="109" t="str">
        <f t="shared" si="47"/>
        <v/>
      </c>
      <c r="CD366" s="108" t="str">
        <f t="shared" si="48"/>
        <v/>
      </c>
      <c r="CE366" s="108" t="str">
        <f t="shared" si="49"/>
        <v/>
      </c>
      <c r="CF366" s="109" t="str">
        <f t="shared" si="50"/>
        <v/>
      </c>
      <c r="CG366" s="110" t="str">
        <f t="shared" si="51"/>
        <v/>
      </c>
      <c r="CH366" s="111"/>
    </row>
    <row r="367" spans="1:86" ht="12.75">
      <c r="A367" s="101"/>
      <c r="B367" s="102" t="e">
        <f t="array" aca="1" ref="B367" ca="1">_xludf.XLOOKUP(A367,'QA Log'!D:D,'QA Log'!E:E,"")</f>
        <v>#NAME?</v>
      </c>
      <c r="C367" s="102" t="e">
        <f t="array" aca="1" ref="C367" ca="1">_xludf.XLOOKUP(A367,'QA Log'!D:D,'QA Log'!F:F,"")</f>
        <v>#NAME?</v>
      </c>
      <c r="D367" s="102" t="e">
        <f t="array" aca="1" ref="D367" ca="1">_xludf.XLOOKUP(A367,'QA Log'!D:D,'QA Log'!H:H,"")</f>
        <v>#NAME?</v>
      </c>
      <c r="E367" s="102" t="e">
        <f t="array" aca="1" ref="E367" ca="1">_xludf.XLOOKUP(A367,'QA Log'!D:D,'QA Log'!G:G,"")</f>
        <v>#NAME?</v>
      </c>
      <c r="F367" s="103"/>
      <c r="G367" s="104"/>
      <c r="H367" s="104"/>
      <c r="I367" s="103" t="str">
        <f t="shared" si="26"/>
        <v/>
      </c>
      <c r="J367" s="102" t="str">
        <f>IF(A367="","",SUM(
COUNTIFS('QA Log'!D:D,A367,'QA Log'!M:M,"QQC",'QA Log'!L:L,"*1. General Management*"),
COUNTIFS('QA Log'!D:D,A367,'QA Log'!M:M,"QQC",'QA Log'!L:L,"*3. Curative Consultation (OPD)*"),
COUNTIFS('QA Log'!D:D,A367,'QA Log'!M:M,"QQC",'QA Log'!L:L,"*5. Laboratory*"),
COUNTIFS('QA Log'!D:D,A367,'QA Log'!M:M,"QQC",'QA Log'!L:L,"*6. Essential Medicine Management*"),
COUNTIFS('QA Log'!D:D,A367,'QA Log'!M:M,"QQC",'QA Log'!L:L,"*7. Tracer Medicine*"),
COUNTIFS('QA Log'!D:D,A367,'QA Log'!M:M,"QQC",'QA Log'!L:L,"*11. Additional Questions*")))</f>
        <v/>
      </c>
      <c r="K367" s="102" t="str">
        <f>IF(A367="","",SUM(
COUNTIFS('QA Log'!D:D,A367,'QA Log'!M:M,"QQC",'QA Log'!Z:Z,"Approved",'QA Log'!L:L,"*1. General Management*"),
COUNTIFS('QA Log'!D:D,A367,'QA Log'!M:M,"QQC",'QA Log'!Z:Z,"Approved",'QA Log'!L:L,"*3. Curative Consultation (OPD)*"),
COUNTIFS('QA Log'!D:D,A367,'QA Log'!M:M,"QQC",'QA Log'!Z:Z,"Approved",'QA Log'!L:L,"*5. Laboratory*"),
COUNTIFS('QA Log'!D:D,A367,'QA Log'!M:M,"QQC",'QA Log'!Z:Z,"Approved",'QA Log'!L:L,"*6. Essential Medicine Management*"),
COUNTIFS('QA Log'!D:D,A367,'QA Log'!M:M,"QQC",'QA Log'!Z:Z,"Approved",'QA Log'!L:L,"*7. Tracer Medicine*"),
COUNTIFS('QA Log'!D:D,A367,'QA Log'!M:M,"QQC",'QA Log'!Z:Z,"Approved",'QA Log'!L:L,"*11. Additional Questions*")))</f>
        <v/>
      </c>
      <c r="L367" s="105" t="str">
        <f>IF(A367&lt;&gt;"",COUNTIFS('QA Log'!D:D,A367,'QA Log'!M:M,"QQC",'QA Log'!L:L,"1. General Management",'QA Log'!Z:Z,"Approved"),"")</f>
        <v/>
      </c>
      <c r="M367" s="105" t="str">
        <f>IF(A367&lt;&gt;"",COUNTIFS('QA Log'!D:D,A367,'QA Log'!M:M,"QQC",'QA Log'!L:L,"3. Curative Consultation (OPD)",'QA Log'!Z:Z,"Approved"),"")</f>
        <v/>
      </c>
      <c r="N367" s="105" t="str">
        <f>IF(A367&lt;&gt;"",COUNTIFS('QA Log'!D:D,A367,'QA Log'!M:M,"QQC",'QA Log'!L:L,"5. Laboratory",'QA Log'!Z:Z,"Approved"),"")</f>
        <v/>
      </c>
      <c r="O367" s="105" t="str">
        <f>IF(A367&lt;&gt;"",COUNTIFS('QA Log'!D:D,A367,'QA Log'!M:M,"QQC",'QA Log'!L:L,"6. Essential Medicine Management",'QA Log'!Z:Z,"Approved"),"")</f>
        <v/>
      </c>
      <c r="P367" s="105" t="str">
        <f>IF(A367&lt;&gt;"",COUNTIFS('QA Log'!D:D,A367,'QA Log'!M:M,"QQC",'QA Log'!L:L,"7. Tracer Medicine",'QA Log'!Z:Z,"Approved"),"")</f>
        <v/>
      </c>
      <c r="Q367" s="105" t="str">
        <f>IF(A367&lt;&gt;"",COUNTIFS('QA Log'!D:D,A367,'QA Log'!M:M,"QQC",'QA Log'!L:L,"11. Additional Questions",'QA Log'!Z:Z,"Approved"),"")</f>
        <v/>
      </c>
      <c r="R367" s="102" t="str">
        <f>IF(A367="","",SUM(
COUNTIFS('QA Log'!D:D,A367,'QA Log'!M:M,"QQC",'QA Log'!Z:Z,"Rejected",'QA Log'!L:L,"*8. Maternity*"),
COUNTIFS('QA Log'!D:D,A367,'QA Log'!M:M,"QQC",'QA Log'!Z:Z,"Rejected",'QA Log'!L:L,"*EPI*"),
COUNTIFS('QA Log'!D:D,A367,'QA Log'!M:M,"QQC",'QA Log'!Z:Z,"Rejected",'QA Log'!L:L,"*10. Antenatal Care (ANC)*"),
COUNTIFS('QA Log'!D:D,A367,'QA Log'!M:M,"QQC",'QA Log'!Z:Z,"Rejected",'QA Log'!L:L,"*2. Hygiene and Sterilization*"),
COUNTIFS('QA Log'!D:D,A367,'QA Log'!M:M,"QQC",'QA Log'!Z:Z,"Rejected",'QA Log'!L:L,"*Family Planning*")))</f>
        <v/>
      </c>
      <c r="S367" s="106" t="str">
        <f t="shared" si="27"/>
        <v/>
      </c>
      <c r="T367" s="102" t="str">
        <f t="shared" si="28"/>
        <v/>
      </c>
      <c r="U367" s="102" t="str">
        <f>IF(A367="","",
SUM(
COUNTIFS('QA Log'!D:D,A367,'QA Log'!M:M,"QQC",'QA Log'!L:L,"*8. Maternity*"),
COUNTIFS('QA Log'!D:D,A367,'QA Log'!M:M,"QQC",'QA Log'!L:L,"*9. EPI and Pre-school Consultation*"),
COUNTIFS('QA Log'!D:D,A367,'QA Log'!M:M,"QQC",'QA Log'!L:L,"*10. Antenatal Care (ANC)*"),
COUNTIFS('QA Log'!D:D,A367,'QA Log'!M:M,"QQC",'QA Log'!L:L,"*2. Hygiene and Sterilization*"),
COUNTIFS('QA Log'!D:D,A367,'QA Log'!M:M,"QQC",'QA Log'!L:L,"*4. Family Planning*")
))</f>
        <v/>
      </c>
      <c r="V367" s="102" t="str">
        <f>IF(A367="","",
SUM(
COUNTIFS('QA Log'!D:D,A367,'QA Log'!M:M,"QQC",'QA Log'!Z:Z,"Approved",'QA Log'!L:L,"*8. Maternity*"),
COUNTIFS('QA Log'!D:D,A367,'QA Log'!M:M,"QQC",'QA Log'!Z:Z,"Approved",'QA Log'!L:L,"*9. EPI and Pre-school Consultation*"),
COUNTIFS('QA Log'!D:D,A367,'QA Log'!M:M,"QQC",'QA Log'!Z:Z,"Approved",'QA Log'!L:L,"*10. Antenatal Care (ANC)*"),
COUNTIFS('QA Log'!D:D,A367,'QA Log'!M:M,"QQC",'QA Log'!Z:Z,"Approved",'QA Log'!L:L,"*2. Hygiene and Sterilization*"),
COUNTIFS('QA Log'!D:D,A367,'QA Log'!M:M,"QQC",'QA Log'!Z:Z,"Approved",'QA Log'!L:L,"*4. Family Planning*")
))</f>
        <v/>
      </c>
      <c r="W367" s="105" t="str">
        <f>IF(A367&lt;&gt;"",COUNTIFS('QA Log'!D:D,A367,'QA Log'!M:M,"QQC",'QA Log'!L:L,"8. Maternity",'QA Log'!Z:Z,"Approved"),"")</f>
        <v/>
      </c>
      <c r="X367" s="105" t="str">
        <f>IF(A367&lt;&gt;"",COUNTIFS('QA Log'!D:D,A367,'QA Log'!M:M,"QQC",'QA Log'!L:L,"9. EPI and Pre-school Consultation",'QA Log'!Z:Z,"Approved"),"")</f>
        <v/>
      </c>
      <c r="Y367" s="105" t="str">
        <f>IF(A367&lt;&gt;"",COUNTIFS('QA Log'!D:D,A367,'QA Log'!M:M,"QQC",'QA Log'!L:L,"10. Antenatal Care (ANC)",'QA Log'!Z:Z,"Approved"),"")</f>
        <v/>
      </c>
      <c r="Z367" s="105" t="str">
        <f>IF(A367&lt;&gt;"",COUNTIFS('QA Log'!D:D,A367,'QA Log'!M:M,"QQC",'QA Log'!L:L,"2. Hygiene and Sterilization",'QA Log'!Z:Z,"Approved"),"")</f>
        <v/>
      </c>
      <c r="AA367" s="105" t="str">
        <f>IF(A367&lt;&gt;"",COUNTIFS('QA Log'!D:D,A367,'QA Log'!M:M,"QQC",'QA Log'!L:L,"4. Family Planning",'QA Log'!Z:Z,"Approved"),"")</f>
        <v/>
      </c>
      <c r="AB367" s="102" t="str">
        <f>IF(A367="","",
SUM(
COUNTIFS('QA Log'!D:D,A367,'QA Log'!M:M,"QQC",'QA Log'!Z:Z,"Rejected",'QA Log'!L:L,"*8. Maternity*"),
COUNTIFS('QA Log'!D:D,A367,'QA Log'!M:M,"QQC",'QA Log'!Z:Z,"Rejected",'QA Log'!L:L,"*9. EPI and Pre-school Consultation*"),
COUNTIFS('QA Log'!D:D,A367,'QA Log'!M:M,"QQC",'QA Log'!Z:Z,"Rejected",'QA Log'!L:L,"*10. Antenatal Care (ANC)*"),
COUNTIFS('QA Log'!D:D,A367,'QA Log'!M:M,"QQC",'QA Log'!Z:Z,"Rejected",'QA Log'!L:L,"*2. Hygiene and Sterilization*"),
COUNTIFS('QA Log'!D:D,A367,'QA Log'!M:M,"QQC",'QA Log'!Z:Z,"Rejected",'QA Log'!L:L,"*4. Family Planning*")
))</f>
        <v/>
      </c>
      <c r="AC367" s="102" t="str">
        <f t="shared" si="29"/>
        <v/>
      </c>
      <c r="AD367" s="103" t="str">
        <f t="shared" si="30"/>
        <v/>
      </c>
      <c r="AE367" s="102" t="str">
        <f>IF(A367="","",
SUM(
COUNTIFS('QA Log'!D:D,A367,'QA Log'!M:M,"Data Verification",'QA Log'!L:L,"*Medicine (section 2)*"),
COUNTIFS('QA Log'!D:D,A367,'QA Log'!M:M,"Data Verification",'QA Log'!L:L,"*Lab Testing Availability*"),
COUNTIFS('QA Log'!D:D,A367,'QA Log'!M:M,"Data Verification",'QA Log'!L:L,"*Other than P4P (section 6)*"),
COUNTIFS('QA Log'!D:D,A367,'QA Log'!M:M,"Data Verification",'QA Log'!L:L,"*Hospital Governance*")
))</f>
        <v/>
      </c>
      <c r="AF367" s="102" t="str">
        <f>IF(A367="","",
SUM(
COUNTIFS('QA Log'!D:D,A367,'QA Log'!M:M,"Data Verification",'QA Log'!Z:Z,"Approved",'QA Log'!L:L,"*Medicine (section 2)*"),
COUNTIFS('QA Log'!D:D,A367,'QA Log'!M:M,"Data Verification",'QA Log'!Z:Z,"Approved",'QA Log'!L:L,"*Lab Testing Availability*"),
COUNTIFS('QA Log'!D:D,A367,'QA Log'!M:M,"Data Verification",'QA Log'!Z:Z,"Approved",'QA Log'!L:L,"*Other than P4P (section 6)*"),
COUNTIFS('QA Log'!D:D,A367,'QA Log'!M:M,"Data Verification",'QA Log'!Z:Z,"Approved",'QA Log'!L:L,"*Hospital Governance*")
))</f>
        <v/>
      </c>
      <c r="AG367" s="105" t="str">
        <f>IF(A367&lt;&gt;"",COUNTIFS('QA Log'!D:D,A367,'QA Log'!M:M,"Data Verification",'QA Log'!L:L,"Medicine (section 2)",'QA Log'!Z:Z,"Approved"),"")</f>
        <v/>
      </c>
      <c r="AH367" s="105" t="str">
        <f>IF(A367&lt;&gt;"",COUNTIFS('QA Log'!D:D,A367,'QA Log'!M:M,"Data Verification",'QA Log'!L:L,"Lab Testing Availability",'QA Log'!Z:Z,"Approved"),"")</f>
        <v/>
      </c>
      <c r="AI367" s="105" t="str">
        <f>IF(A367&lt;&gt;"",COUNTIFS('QA Log'!D:D,A367,'QA Log'!M:M,"Data Verification",'QA Log'!L:L,"Other than P4P (section 6)",'QA Log'!Z:Z,"Approved"),"")</f>
        <v/>
      </c>
      <c r="AJ367" s="105" t="str">
        <f>IF(A367&lt;&gt;"",COUNTIFS('QA Log'!D:D,A367,'QA Log'!M:M,"Data Verification",'QA Log'!L:L,"Hospital Governance",'QA Log'!Z:Z,"Approved"),"")</f>
        <v/>
      </c>
      <c r="AK367" s="102" t="str">
        <f>IF(A367="","",
SUM(
COUNTIFS('QA Log'!D:D,A367,'QA Log'!M:M,"Data Verification",'QA Log'!Z:Z,"Rejected",'QA Log'!L:L,"*Medicine (section 2)*"),
COUNTIFS('QA Log'!D:D,A367,'QA Log'!M:M,"Data Verification",'QA Log'!Z:Z,"Rejected",'QA Log'!L:L,"*Lab Testing Availability*"),
COUNTIFS('QA Log'!D:D,A367,'QA Log'!M:M,"Data Verification",'QA Log'!Z:Z,"Rejected",'QA Log'!L:L,"*Other than P4P (section 6)*"),
COUNTIFS('QA Log'!D:D,A367,'QA Log'!M:M,"Data Verification",'QA Log'!Z:Z,"Rejected",'QA Log'!L:L,"*Hospital Governance*")
))</f>
        <v/>
      </c>
      <c r="AL367" s="106" t="str">
        <f t="shared" si="31"/>
        <v/>
      </c>
      <c r="AM367" s="102" t="str">
        <f t="shared" si="32"/>
        <v/>
      </c>
      <c r="AN367" s="102" t="str">
        <f>IF(A367="","",
SUM(
COUNTIFS('QA Log'!D:D,A367,'QA Log'!M:M,"Data Verification",'QA Log'!L:L,"*Personnel (section 1)*"),
COUNTIFS('QA Log'!D:D,A367,'QA Log'!M:M,"Data Verification",'QA Log'!L:L,"*Consumable (section 3)*"),
COUNTIFS('QA Log'!D:D,A367,'QA Log'!M:M,"Data Verification",'QA Log'!L:L,"*Equipments (section 4)*")
))</f>
        <v/>
      </c>
      <c r="AO367" s="102" t="str">
        <f>IF(A367="","",
SUM(
COUNTIFS('QA Log'!D:D,A367,'QA Log'!M:M,"Data Verification",'QA Log'!Z:Z,"Approved",'QA Log'!L:L,"*Personnel (section 1)*"),
COUNTIFS('QA Log'!D:D,A367,'QA Log'!M:M,"Data Verification",'QA Log'!Z:Z,"Approved",'QA Log'!L:L,"*Consumable (section 3)*"),
COUNTIFS('QA Log'!D:D,A367,'QA Log'!M:M,"Data Verification",'QA Log'!Z:Z,"Approved",'QA Log'!L:L,"*Equipments (section 4)*")
))</f>
        <v/>
      </c>
      <c r="AP367" s="105" t="str">
        <f>IF(A367&lt;&gt;"",COUNTIFS('QA Log'!D:D,A367,'QA Log'!M:M,"Data Verification",'QA Log'!L:L,"Personnel (section 1)",'QA Log'!Z:Z,"Approved"),"")</f>
        <v/>
      </c>
      <c r="AQ367" s="105" t="str">
        <f>IF(A367&lt;&gt;"",COUNTIFS('QA Log'!D:D,A367,'QA Log'!M:M,"Data Verification",'QA Log'!L:L,"Consumable (section 3)",'QA Log'!Z:Z,"Approved"),"")</f>
        <v/>
      </c>
      <c r="AR367" s="105" t="str">
        <f>IF(A367&lt;&gt;"",COUNTIFS('QA Log'!D:D,A367,'QA Log'!M:M,"Data Verification",'QA Log'!L:L,"Equipments (section 4)",'QA Log'!Z:Z,"Approved"),"")</f>
        <v/>
      </c>
      <c r="AS367" s="102" t="str">
        <f>IF(A367="","",
SUM(
COUNTIFS('QA Log'!D:D,A367,'QA Log'!M:M,"Data Verification",'QA Log'!Z:Z,"Rejected",'QA Log'!L:L,"*Personnel (section 1)*"),
COUNTIFS('QA Log'!D:D,A367,'QA Log'!M:M,"Data Verification",'QA Log'!Z:Z,"Rejected",'QA Log'!L:L,"*Consumable (section 3)*"),
COUNTIFS('QA Log'!D:D,A367,'QA Log'!M:M,"Data Verification",'QA Log'!Z:Z,"Rejected",'QA Log'!L:L,"*Equipments (section 4)*")
))</f>
        <v/>
      </c>
      <c r="AT367" s="102" t="str">
        <f t="shared" si="33"/>
        <v/>
      </c>
      <c r="AU367" s="103" t="str">
        <f t="shared" si="34"/>
        <v/>
      </c>
      <c r="AV367" s="102" t="str">
        <f>IF(A367="","",SUM(
COUNTIFS('QA Log'!D:D,A367,'QA Log'!M:M,"Vignette",'QA Log'!L:L,"*Vignette [1] Respiratory Infection: Pneumonia*"),
COUNTIFS('QA Log'!D:D,A367,'QA Log'!M:M,"Vignette",'QA Log'!L:L,"*Vignette [2]: Diarrhea with Cat B dehydration*"),
COUNTIFS('QA Log'!D:D,A367,'QA Log'!M:M,"Vignette",'QA Log'!L:L,"*Vignette [3] Growth Monitoring and Promotion*"),
COUNTIFS('QA Log'!D:D,A367,'QA Log'!M:M,"Vignette",'QA Log'!L:L,"*Vignette [4]: The management of presumptive TB patient*")
)
)</f>
        <v/>
      </c>
      <c r="AW367" s="102" t="str">
        <f>IF(
  A367="","",
  SUM(
    COUNTIFS('QA Log'!D:D,A367,'QA Log'!M:M,"Vignette",'QA Log'!Z:Z,"Approved",'QA Log'!L:L,"*Vignette [1] Respiratory Infection: Pneumonia*"),
    COUNTIFS('QA Log'!D:D,A367,'QA Log'!M:M,"Vignette",'QA Log'!Z:Z,"Approved",'QA Log'!L:L,"*Vignette [2]: Diarrhea with Cat B dehydration*"),
    COUNTIFS('QA Log'!D:D,A367,'QA Log'!M:M,"Vignette",'QA Log'!Z:Z,"Approved",'QA Log'!L:L,"*Vignette [3] Growth Monitoring and Promotion*"),
    COUNTIFS('QA Log'!D:D,A367,'QA Log'!M:M,"Vignette",'QA Log'!Z:Z,"Approved",'QA Log'!L:L,"*Vignette [4]: The management of presumptive TB patient*")
  )
)</f>
        <v/>
      </c>
      <c r="AX367" s="105" t="str">
        <f>IF(A367&lt;&gt;"",COUNTIFS('QA Log'!D:D,A367,'QA Log'!M:M,"Vignette",'QA Log'!L:L,"Vignette [1] Respiratory Infection: Pneumonia",'QA Log'!Z:Z,"Approved"),"")</f>
        <v/>
      </c>
      <c r="AY367" s="105" t="str">
        <f>IF(A367&lt;&gt;"",COUNTIFS('QA Log'!D:D,A367,'QA Log'!M:M,"Vignette",'QA Log'!L:L,"Vignette [2]: Diarrhea with Cat B dehydration",'QA Log'!Z:Z,"Approved"),"")</f>
        <v/>
      </c>
      <c r="AZ367" s="105" t="str">
        <f>IF(A367&lt;&gt;"",COUNTIFS('QA Log'!D:D,A367,'QA Log'!M:M,"Vignette",'QA Log'!L:L,"Vignette [3] Growth Monitoring and Promotion",'QA Log'!Z:Z,"Approved"),"")</f>
        <v/>
      </c>
      <c r="BA367" s="105" t="str">
        <f>IF(A367&lt;&gt;"",COUNTIFS('QA Log'!D:D,A367,'QA Log'!M:M,"Vignette",'QA Log'!L:L,"Vignette [4]: The management of presumptive TB patient",'QA Log'!Z:Z,"Approved"),"")</f>
        <v/>
      </c>
      <c r="BB367" s="102" t="str">
        <f>IF(A367="","",
  SUM(
    COUNTIFS('QA Log'!D:D,A367,'QA Log'!M:M,"Vignette",'QA Log'!Z:Z,"Rejected",'QA Log'!L:L,"*Vignette [1] Respiratory Infection: Pneumonia*"),
    COUNTIFS('QA Log'!D:D,A367,'QA Log'!M:M,"Vignette",'QA Log'!Z:Z,"Rejected",'QA Log'!L:L,"*Vignette [2]: Diarrhea with Cat B dehydration*"),
    COUNTIFS('QA Log'!D:D,A367,'QA Log'!M:M,"Vignette",'QA Log'!Z:Z,"Rejected",'QA Log'!L:L,"*Vignette [3] Growth Monitoring and Promotion*"),
    COUNTIFS('QA Log'!D:D,A367,'QA Log'!M:M,"Vignette",'QA Log'!Z:Z,"Rejected",'QA Log'!L:L,"*Vignette [4]: The management of presumptive TB patient*")
  )
)</f>
        <v/>
      </c>
      <c r="BC367" s="107" t="str">
        <f t="shared" si="35"/>
        <v/>
      </c>
      <c r="BD367" s="103" t="str">
        <f t="shared" si="36"/>
        <v/>
      </c>
      <c r="BE367" s="102" t="str">
        <f>IF(A367="","",SUM(
COUNTIFS('QA Log'!D:D,A367,'QA Log'!M:M,"Vignette",'QA Log'!L:L,"*Vignette [5] Labor*"),
COUNTIFS('QA Log'!D:D,A367,'QA Log'!M:M,"Vignette",'QA Log'!L:L,"*Vignette [6] PNC pre Discharge*"),
COUNTIFS('QA Log'!D:D,A367,'QA Log'!M:M,"Vignette",'QA Log'!L:L,"*Vignette [7] First ANC Visit*"),
COUNTIFS('QA Log'!D:D,A367,'QA Log'!M:M,"Vignette",'QA Log'!L:L,"*Vignette [8] Birth Spacing/ Family Planning :  FP Counselling*"),
COUNTIFS('QA Log'!D:D,A367,'QA Log'!M:M,"Vignette",'QA Log'!L:L,"*Vignette [9] Birth Spacing: Change FP method to Injectable*"),
COUNTIFS('QA Log'!D:D,A367,'QA Log'!M:M,"Vignette",'QA Log'!L:L,"*Vignette [10] Post Partum Haemorrhage - Atonic Uterus at Health Centre*"),
)
)</f>
        <v/>
      </c>
      <c r="BF367" s="102" t="str">
        <f>IF(A367="","",
  SUM(
    COUNTIFS('QA Log'!D:D,A367,'QA Log'!M:M,"Vignette",'QA Log'!Z:Z,"Approved",'QA Log'!L:L,"*Vignette [5] Labor*"),
    COUNTIFS('QA Log'!D:D,A367,'QA Log'!M:M,"Vignette",'QA Log'!Z:Z,"Approved",'QA Log'!L:L,"*Vignette [6] PNC pre Discharge*"),
    COUNTIFS('QA Log'!D:D,A367,'QA Log'!M:M,"Vignette",'QA Log'!Z:Z,"Approved",'QA Log'!L:L,"*Vignette [7] First ANC Visit*"),
    COUNTIFS('QA Log'!D:D,A367,'QA Log'!M:M,"Vignette",'QA Log'!Z:Z,"Approved",'QA Log'!L:L,"*Vignette [8] Birth Spacing/ Family Planning :  FP Counselling*"),
    COUNTIFS('QA Log'!D:D,A367,'QA Log'!M:M,"Vignette",'QA Log'!Z:Z,"Approved",'QA Log'!L:L,"*Vignette [9] Birth Spacing: Change FP method to Injectable*"),
    COUNTIFS('QA Log'!D:D,A367,'QA Log'!M:M,"Vignette",'QA Log'!Z:Z,"Approved",'QA Log'!L:L,"*Vignette [10] Post Partum Haemorrhage - Atonic Uterus at Health Centre*")
  )
)</f>
        <v/>
      </c>
      <c r="BG367" s="105" t="str">
        <f>IF(A367&lt;&gt;"",COUNTIFS('QA Log'!D:D,A367,'QA Log'!M:M,"Vignette",'QA Log'!L:L,"Vignette [5] Labor",'QA Log'!Z:Z,"Approved"),"")</f>
        <v/>
      </c>
      <c r="BH367" s="105" t="str">
        <f>IF(A367&lt;&gt;"",COUNTIFS('QA Log'!D:D,A367,'QA Log'!M:M,"Vignette",'QA Log'!L:L,"Vignette [6] PNC pre Discharge",'QA Log'!Z:Z,"Approved"),"")</f>
        <v/>
      </c>
      <c r="BI367" s="105" t="str">
        <f>IF(A367&lt;&gt;"",COUNTIFS('QA Log'!D:D,A367,'QA Log'!M:M,"Vignette",'QA Log'!L:L,"Vignette [7] First ANC Visit",'QA Log'!Z:Z,"Approved"),"")</f>
        <v/>
      </c>
      <c r="BJ367" s="105" t="str">
        <f>IF(A367&lt;&gt;"",COUNTIFS('QA Log'!D:D,A367,'QA Log'!M:M,"Vignette",'QA Log'!L:L,"Vignette [8] Birth Spacing/ Family Planning :  FP Counselling",'QA Log'!Z:Z,"Approved"),"")</f>
        <v/>
      </c>
      <c r="BK367" s="105" t="str">
        <f>IF(A367&lt;&gt;"",COUNTIFS('QA Log'!D:D,A367,'QA Log'!M:M,"Vignette",'QA Log'!L:L,"Vignette [9] Birth Spacing: Change FP method to Injectable",'QA Log'!Z:Z,"Approved"),"")</f>
        <v/>
      </c>
      <c r="BL367" s="105" t="str">
        <f>IF(A367&lt;&gt;"",COUNTIFS('QA Log'!D:D,A367,'QA Log'!M:M,"Vignette",'QA Log'!L:L,"Vignette [10] Post Partum Haemorrhage - Atonic Uterus at Health Centre",'QA Log'!Z:Z,"Approved"),"")</f>
        <v/>
      </c>
      <c r="BM367" s="102" t="str">
        <f>IF(A367="","",SUM(
    COUNTIFS('QA Log'!D:D,A367,'QA Log'!M:M,"Vignette",'QA Log'!Z:Z,"Rejected",'QA Log'!L:L,"*Vignette [5] Labor*"),
    COUNTIFS('QA Log'!D:D,A367,'QA Log'!M:M,"Vignette",'QA Log'!Z:Z,"Rejected",'QA Log'!L:L,"*Vignette [6] PNC pre Discharge*"),
    COUNTIFS('QA Log'!D:D,A367,'QA Log'!M:M,"Vignette",'QA Log'!Z:Z,"Rejected",'QA Log'!L:L,"*Vignette [7] First ANC Visit*"),
    COUNTIFS('QA Log'!D:D,A367,'QA Log'!M:M,"Vignette",'QA Log'!Z:Z,"Rejected",'QA Log'!L:L,"*Vignette [8] Birth Spacing/ Family Planning :  FP Counselling*"),
    COUNTIFS('QA Log'!D:D,A367,'QA Log'!M:M,"Vignette",'QA Log'!Z:Z,"Rejected",'QA Log'!L:L,"*Vignette [9] Birth Spacing: Change FP method to Injectable*"),
    COUNTIFS('QA Log'!D:D,A367,'QA Log'!M:M,"Vignette",'QA Log'!Z:Z,"Rejected",'QA Log'!L:L,"*Vignette [10] Post Partum Haemorrhage - Atonic Uterus at Health Centre*")
  )
)</f>
        <v/>
      </c>
      <c r="BN367" s="107" t="str">
        <f t="shared" si="37"/>
        <v/>
      </c>
      <c r="BO367" s="103" t="str">
        <f t="shared" si="38"/>
        <v/>
      </c>
      <c r="BP367" s="102" t="str">
        <f>IF(A367="","",SUM(
COUNTIFS('QA Log'!D:D,A367,'QA Log'!M:M,"Vignette",'QA Log'!L:L,"*Exit Interview 1*"),
COUNTIFS('QA Log'!D:D,A367,'QA Log'!M:M,"Vignette",'QA Log'!L:L,"*Exit Interview 2*"),
)
)</f>
        <v/>
      </c>
      <c r="BQ367" s="102" t="str">
        <f>IF(
  A367="","",
  SUM(
    COUNTIFS('QA Log'!D:D,A367,'QA Log'!M:M,"Vignette",'QA Log'!Z:Z,"Approved",'QA Log'!L:L,"*Exit Interview 1*"),
    COUNTIFS('QA Log'!D:D,A367,'QA Log'!M:M,"Vignette",'QA Log'!Z:Z,"Approved",'QA Log'!L:L,"*Exit Interview 2*")
  )
)</f>
        <v/>
      </c>
      <c r="BR367" s="105" t="str">
        <f>IF(A367&lt;&gt;"",COUNTIFS('QA Log'!D:D,A367,'QA Log'!M:M,"Vignette",'QA Log'!L:L,"Exit Interview 1",'QA Log'!Z:Z,"Approved"),"")</f>
        <v/>
      </c>
      <c r="BS367" s="105" t="str">
        <f>IF(A367&lt;&gt;"",COUNTIFS('QA Log'!D:D,A367,'QA Log'!M:M,"Vignette",'QA Log'!L:L,"Exit Interview 2",'QA Log'!Z:Z,"Approved"),"")</f>
        <v/>
      </c>
      <c r="BT367" s="102" t="str">
        <f>IF(
  A367="","",
  SUM(
    COUNTIFS('QA Log'!D:D,A367,'QA Log'!M:M,"Vignette",'QA Log'!Z:Z,"Rejected",'QA Log'!L:L,"*Exit Interview 1*"),
    COUNTIFS('QA Log'!D:D,A367,'QA Log'!M:M,"Vignette",'QA Log'!Z:Z,"Rejected",'QA Log'!L:L,"*Exit Interview 2*")
  )
)</f>
        <v/>
      </c>
      <c r="BU367" s="107" t="str">
        <f t="shared" si="39"/>
        <v/>
      </c>
      <c r="BV367" s="102" t="str">
        <f t="shared" si="40"/>
        <v/>
      </c>
      <c r="BW367" s="102" t="str">
        <f t="shared" si="41"/>
        <v/>
      </c>
      <c r="BX367" s="102" t="str">
        <f t="shared" si="42"/>
        <v/>
      </c>
      <c r="BY367" s="102" t="str">
        <f t="shared" si="43"/>
        <v/>
      </c>
      <c r="BZ367" s="107" t="str">
        <f t="shared" si="44"/>
        <v/>
      </c>
      <c r="CA367" s="108" t="str">
        <f t="shared" si="45"/>
        <v/>
      </c>
      <c r="CB367" s="108" t="str">
        <f t="shared" si="46"/>
        <v/>
      </c>
      <c r="CC367" s="109" t="str">
        <f t="shared" si="47"/>
        <v/>
      </c>
      <c r="CD367" s="108" t="str">
        <f t="shared" si="48"/>
        <v/>
      </c>
      <c r="CE367" s="108" t="str">
        <f t="shared" si="49"/>
        <v/>
      </c>
      <c r="CF367" s="109" t="str">
        <f t="shared" si="50"/>
        <v/>
      </c>
      <c r="CG367" s="110" t="str">
        <f t="shared" si="51"/>
        <v/>
      </c>
      <c r="CH367" s="111"/>
    </row>
    <row r="368" spans="1:86" ht="12.75">
      <c r="A368" s="101"/>
      <c r="B368" s="102" t="e">
        <f t="array" aca="1" ref="B368" ca="1">_xludf.XLOOKUP(A368,'QA Log'!D:D,'QA Log'!E:E,"")</f>
        <v>#NAME?</v>
      </c>
      <c r="C368" s="102" t="e">
        <f t="array" aca="1" ref="C368" ca="1">_xludf.XLOOKUP(A368,'QA Log'!D:D,'QA Log'!F:F,"")</f>
        <v>#NAME?</v>
      </c>
      <c r="D368" s="102" t="e">
        <f t="array" aca="1" ref="D368" ca="1">_xludf.XLOOKUP(A368,'QA Log'!D:D,'QA Log'!H:H,"")</f>
        <v>#NAME?</v>
      </c>
      <c r="E368" s="102" t="e">
        <f t="array" aca="1" ref="E368" ca="1">_xludf.XLOOKUP(A368,'QA Log'!D:D,'QA Log'!G:G,"")</f>
        <v>#NAME?</v>
      </c>
      <c r="F368" s="103"/>
      <c r="G368" s="104"/>
      <c r="H368" s="104"/>
      <c r="I368" s="103" t="str">
        <f t="shared" si="26"/>
        <v/>
      </c>
      <c r="J368" s="102" t="str">
        <f>IF(A368="","",SUM(
COUNTIFS('QA Log'!D:D,A368,'QA Log'!M:M,"QQC",'QA Log'!L:L,"*1. General Management*"),
COUNTIFS('QA Log'!D:D,A368,'QA Log'!M:M,"QQC",'QA Log'!L:L,"*3. Curative Consultation (OPD)*"),
COUNTIFS('QA Log'!D:D,A368,'QA Log'!M:M,"QQC",'QA Log'!L:L,"*5. Laboratory*"),
COUNTIFS('QA Log'!D:D,A368,'QA Log'!M:M,"QQC",'QA Log'!L:L,"*6. Essential Medicine Management*"),
COUNTIFS('QA Log'!D:D,A368,'QA Log'!M:M,"QQC",'QA Log'!L:L,"*7. Tracer Medicine*"),
COUNTIFS('QA Log'!D:D,A368,'QA Log'!M:M,"QQC",'QA Log'!L:L,"*11. Additional Questions*")))</f>
        <v/>
      </c>
      <c r="K368" s="102" t="str">
        <f>IF(A368="","",SUM(
COUNTIFS('QA Log'!D:D,A368,'QA Log'!M:M,"QQC",'QA Log'!Z:Z,"Approved",'QA Log'!L:L,"*1. General Management*"),
COUNTIFS('QA Log'!D:D,A368,'QA Log'!M:M,"QQC",'QA Log'!Z:Z,"Approved",'QA Log'!L:L,"*3. Curative Consultation (OPD)*"),
COUNTIFS('QA Log'!D:D,A368,'QA Log'!M:M,"QQC",'QA Log'!Z:Z,"Approved",'QA Log'!L:L,"*5. Laboratory*"),
COUNTIFS('QA Log'!D:D,A368,'QA Log'!M:M,"QQC",'QA Log'!Z:Z,"Approved",'QA Log'!L:L,"*6. Essential Medicine Management*"),
COUNTIFS('QA Log'!D:D,A368,'QA Log'!M:M,"QQC",'QA Log'!Z:Z,"Approved",'QA Log'!L:L,"*7. Tracer Medicine*"),
COUNTIFS('QA Log'!D:D,A368,'QA Log'!M:M,"QQC",'QA Log'!Z:Z,"Approved",'QA Log'!L:L,"*11. Additional Questions*")))</f>
        <v/>
      </c>
      <c r="L368" s="102" t="str">
        <f>IF(A368&lt;&gt;"",COUNTIFS('QA Log'!D:D,A368,'QA Log'!M:M,"QQC",'QA Log'!L:L,"1. General Management",'QA Log'!Z:Z,"Approved"),"")</f>
        <v/>
      </c>
      <c r="M368" s="102" t="str">
        <f>IF(A368&lt;&gt;"",COUNTIFS('QA Log'!D:D,A368,'QA Log'!M:M,"QQC",'QA Log'!L:L,"3. Curative Consultation (OPD)",'QA Log'!Z:Z,"Approved"),"")</f>
        <v/>
      </c>
      <c r="N368" s="102" t="str">
        <f>IF(A368&lt;&gt;"",COUNTIFS('QA Log'!D:D,A368,'QA Log'!M:M,"QQC",'QA Log'!L:L,"5. Laboratory",'QA Log'!Z:Z,"Approved"),"")</f>
        <v/>
      </c>
      <c r="O368" s="102" t="str">
        <f>IF(A368&lt;&gt;"",COUNTIFS('QA Log'!D:D,A368,'QA Log'!M:M,"QQC",'QA Log'!L:L,"6. Essential Medicine Management",'QA Log'!Z:Z,"Approved"),"")</f>
        <v/>
      </c>
      <c r="P368" s="102" t="str">
        <f>IF(A368&lt;&gt;"",COUNTIFS('QA Log'!D:D,A368,'QA Log'!M:M,"QQC",'QA Log'!L:L,"7. Tracer Medicine",'QA Log'!Z:Z,"Approved"),"")</f>
        <v/>
      </c>
      <c r="Q368" s="102" t="str">
        <f>IF(A368&lt;&gt;"",COUNTIFS('QA Log'!D:D,A368,'QA Log'!M:M,"QQC",'QA Log'!L:L,"11. Additional Questions",'QA Log'!Z:Z,"Approved"),"")</f>
        <v/>
      </c>
      <c r="R368" s="102" t="str">
        <f>IF(A368="","",SUM(
COUNTIFS('QA Log'!D:D,A368,'QA Log'!M:M,"QQC",'QA Log'!Z:Z,"Rejected",'QA Log'!L:L,"*8. Maternity*"),
COUNTIFS('QA Log'!D:D,A368,'QA Log'!M:M,"QQC",'QA Log'!Z:Z,"Rejected",'QA Log'!L:L,"*EPI*"),
COUNTIFS('QA Log'!D:D,A368,'QA Log'!M:M,"QQC",'QA Log'!Z:Z,"Rejected",'QA Log'!L:L,"*10. Antenatal Care (ANC)*"),
COUNTIFS('QA Log'!D:D,A368,'QA Log'!M:M,"QQC",'QA Log'!Z:Z,"Rejected",'QA Log'!L:L,"*2. Hygiene and Sterilization*"),
COUNTIFS('QA Log'!D:D,A368,'QA Log'!M:M,"QQC",'QA Log'!Z:Z,"Rejected",'QA Log'!L:L,"*Family Planning*")))</f>
        <v/>
      </c>
      <c r="S368" s="106" t="str">
        <f t="shared" si="27"/>
        <v/>
      </c>
      <c r="T368" s="102" t="str">
        <f t="shared" si="28"/>
        <v/>
      </c>
      <c r="U368" s="102" t="str">
        <f>IF(A368="","",
SUM(
COUNTIFS('QA Log'!D:D,A368,'QA Log'!M:M,"QQC",'QA Log'!L:L,"*8. Maternity*"),
COUNTIFS('QA Log'!D:D,A368,'QA Log'!M:M,"QQC",'QA Log'!L:L,"*9. EPI and Pre-school Consultation*"),
COUNTIFS('QA Log'!D:D,A368,'QA Log'!M:M,"QQC",'QA Log'!L:L,"*10. Antenatal Care (ANC)*"),
COUNTIFS('QA Log'!D:D,A368,'QA Log'!M:M,"QQC",'QA Log'!L:L,"*2. Hygiene and Sterilization*"),
COUNTIFS('QA Log'!D:D,A368,'QA Log'!M:M,"QQC",'QA Log'!L:L,"*4. Family Planning*")
))</f>
        <v/>
      </c>
      <c r="V368" s="102" t="str">
        <f>IF(A368="","",
SUM(
COUNTIFS('QA Log'!D:D,A368,'QA Log'!M:M,"QQC",'QA Log'!Z:Z,"Approved",'QA Log'!L:L,"*8. Maternity*"),
COUNTIFS('QA Log'!D:D,A368,'QA Log'!M:M,"QQC",'QA Log'!Z:Z,"Approved",'QA Log'!L:L,"*9. EPI and Pre-school Consultation*"),
COUNTIFS('QA Log'!D:D,A368,'QA Log'!M:M,"QQC",'QA Log'!Z:Z,"Approved",'QA Log'!L:L,"*10. Antenatal Care (ANC)*"),
COUNTIFS('QA Log'!D:D,A368,'QA Log'!M:M,"QQC",'QA Log'!Z:Z,"Approved",'QA Log'!L:L,"*2. Hygiene and Sterilization*"),
COUNTIFS('QA Log'!D:D,A368,'QA Log'!M:M,"QQC",'QA Log'!Z:Z,"Approved",'QA Log'!L:L,"*4. Family Planning*")
))</f>
        <v/>
      </c>
      <c r="W368" s="105" t="str">
        <f>IF(A368&lt;&gt;"",COUNTIFS('QA Log'!D:D,A368,'QA Log'!M:M,"QQC",'QA Log'!L:L,"8. Maternity",'QA Log'!Z:Z,"Approved"),"")</f>
        <v/>
      </c>
      <c r="X368" s="105" t="str">
        <f>IF(A368&lt;&gt;"",COUNTIFS('QA Log'!D:D,A368,'QA Log'!M:M,"QQC",'QA Log'!L:L,"9. EPI and Pre-school Consultation",'QA Log'!Z:Z,"Approved"),"")</f>
        <v/>
      </c>
      <c r="Y368" s="105" t="str">
        <f>IF(A368&lt;&gt;"",COUNTIFS('QA Log'!D:D,A368,'QA Log'!M:M,"QQC",'QA Log'!L:L,"10. Antenatal Care (ANC)",'QA Log'!Z:Z,"Approved"),"")</f>
        <v/>
      </c>
      <c r="Z368" s="105" t="str">
        <f>IF(A368&lt;&gt;"",COUNTIFS('QA Log'!D:D,A368,'QA Log'!M:M,"QQC",'QA Log'!L:L,"2. Hygiene and Sterilization",'QA Log'!Z:Z,"Approved"),"")</f>
        <v/>
      </c>
      <c r="AA368" s="105" t="str">
        <f>IF(A368&lt;&gt;"",COUNTIFS('QA Log'!D:D,A368,'QA Log'!M:M,"QQC",'QA Log'!L:L,"4. Family Planning",'QA Log'!Z:Z,"Approved"),"")</f>
        <v/>
      </c>
      <c r="AB368" s="102" t="str">
        <f>IF(A368="","",
SUM(
COUNTIFS('QA Log'!D:D,A368,'QA Log'!M:M,"QQC",'QA Log'!Z:Z,"Rejected",'QA Log'!L:L,"*8. Maternity*"),
COUNTIFS('QA Log'!D:D,A368,'QA Log'!M:M,"QQC",'QA Log'!Z:Z,"Rejected",'QA Log'!L:L,"*9. EPI and Pre-school Consultation*"),
COUNTIFS('QA Log'!D:D,A368,'QA Log'!M:M,"QQC",'QA Log'!Z:Z,"Rejected",'QA Log'!L:L,"*10. Antenatal Care (ANC)*"),
COUNTIFS('QA Log'!D:D,A368,'QA Log'!M:M,"QQC",'QA Log'!Z:Z,"Rejected",'QA Log'!L:L,"*2. Hygiene and Sterilization*"),
COUNTIFS('QA Log'!D:D,A368,'QA Log'!M:M,"QQC",'QA Log'!Z:Z,"Rejected",'QA Log'!L:L,"*4. Family Planning*")
))</f>
        <v/>
      </c>
      <c r="AC368" s="102" t="str">
        <f t="shared" si="29"/>
        <v/>
      </c>
      <c r="AD368" s="103" t="str">
        <f t="shared" si="30"/>
        <v/>
      </c>
      <c r="AE368" s="102" t="str">
        <f>IF(A368="","",
SUM(
COUNTIFS('QA Log'!D:D,A368,'QA Log'!M:M,"Data Verification",'QA Log'!L:L,"*Medicine (section 2)*"),
COUNTIFS('QA Log'!D:D,A368,'QA Log'!M:M,"Data Verification",'QA Log'!L:L,"*Lab Testing Availability*"),
COUNTIFS('QA Log'!D:D,A368,'QA Log'!M:M,"Data Verification",'QA Log'!L:L,"*Other than P4P (section 6)*"),
COUNTIFS('QA Log'!D:D,A368,'QA Log'!M:M,"Data Verification",'QA Log'!L:L,"*Hospital Governance*")
))</f>
        <v/>
      </c>
      <c r="AF368" s="102" t="str">
        <f>IF(A368="","",
SUM(
COUNTIFS('QA Log'!D:D,A368,'QA Log'!M:M,"Data Verification",'QA Log'!Z:Z,"Approved",'QA Log'!L:L,"*Medicine (section 2)*"),
COUNTIFS('QA Log'!D:D,A368,'QA Log'!M:M,"Data Verification",'QA Log'!Z:Z,"Approved",'QA Log'!L:L,"*Lab Testing Availability*"),
COUNTIFS('QA Log'!D:D,A368,'QA Log'!M:M,"Data Verification",'QA Log'!Z:Z,"Approved",'QA Log'!L:L,"*Other than P4P (section 6)*"),
COUNTIFS('QA Log'!D:D,A368,'QA Log'!M:M,"Data Verification",'QA Log'!Z:Z,"Approved",'QA Log'!L:L,"*Hospital Governance*")
))</f>
        <v/>
      </c>
      <c r="AG368" s="105" t="str">
        <f>IF(A368&lt;&gt;"",COUNTIFS('QA Log'!D:D,A368,'QA Log'!M:M,"Data Verification",'QA Log'!L:L,"Medicine (section 2)",'QA Log'!Z:Z,"Approved"),"")</f>
        <v/>
      </c>
      <c r="AH368" s="105" t="str">
        <f>IF(A368&lt;&gt;"",COUNTIFS('QA Log'!D:D,A368,'QA Log'!M:M,"Data Verification",'QA Log'!L:L,"Lab Testing Availability",'QA Log'!Z:Z,"Approved"),"")</f>
        <v/>
      </c>
      <c r="AI368" s="105" t="str">
        <f>IF(A368&lt;&gt;"",COUNTIFS('QA Log'!D:D,A368,'QA Log'!M:M,"Data Verification",'QA Log'!L:L,"Other than P4P (section 6)",'QA Log'!Z:Z,"Approved"),"")</f>
        <v/>
      </c>
      <c r="AJ368" s="105" t="str">
        <f>IF(A368&lt;&gt;"",COUNTIFS('QA Log'!D:D,A368,'QA Log'!M:M,"Data Verification",'QA Log'!L:L,"Hospital Governance",'QA Log'!Z:Z,"Approved"),"")</f>
        <v/>
      </c>
      <c r="AK368" s="102" t="str">
        <f>IF(A368="","",
SUM(
COUNTIFS('QA Log'!D:D,A368,'QA Log'!M:M,"Data Verification",'QA Log'!Z:Z,"Rejected",'QA Log'!L:L,"*Medicine (section 2)*"),
COUNTIFS('QA Log'!D:D,A368,'QA Log'!M:M,"Data Verification",'QA Log'!Z:Z,"Rejected",'QA Log'!L:L,"*Lab Testing Availability*"),
COUNTIFS('QA Log'!D:D,A368,'QA Log'!M:M,"Data Verification",'QA Log'!Z:Z,"Rejected",'QA Log'!L:L,"*Other than P4P (section 6)*"),
COUNTIFS('QA Log'!D:D,A368,'QA Log'!M:M,"Data Verification",'QA Log'!Z:Z,"Rejected",'QA Log'!L:L,"*Hospital Governance*")
))</f>
        <v/>
      </c>
      <c r="AL368" s="106" t="str">
        <f t="shared" si="31"/>
        <v/>
      </c>
      <c r="AM368" s="102" t="str">
        <f t="shared" si="32"/>
        <v/>
      </c>
      <c r="AN368" s="102" t="str">
        <f>IF(A368="","",
SUM(
COUNTIFS('QA Log'!D:D,A368,'QA Log'!M:M,"Data Verification",'QA Log'!L:L,"*Personnel (section 1)*"),
COUNTIFS('QA Log'!D:D,A368,'QA Log'!M:M,"Data Verification",'QA Log'!L:L,"*Consumable (section 3)*"),
COUNTIFS('QA Log'!D:D,A368,'QA Log'!M:M,"Data Verification",'QA Log'!L:L,"*Equipments (section 4)*")
))</f>
        <v/>
      </c>
      <c r="AO368" s="102" t="str">
        <f>IF(A368="","",
SUM(
COUNTIFS('QA Log'!D:D,A368,'QA Log'!M:M,"Data Verification",'QA Log'!Z:Z,"Approved",'QA Log'!L:L,"*Personnel (section 1)*"),
COUNTIFS('QA Log'!D:D,A368,'QA Log'!M:M,"Data Verification",'QA Log'!Z:Z,"Approved",'QA Log'!L:L,"*Consumable (section 3)*"),
COUNTIFS('QA Log'!D:D,A368,'QA Log'!M:M,"Data Verification",'QA Log'!Z:Z,"Approved",'QA Log'!L:L,"*Equipments (section 4)*")
))</f>
        <v/>
      </c>
      <c r="AP368" s="105" t="str">
        <f>IF(A368&lt;&gt;"",COUNTIFS('QA Log'!D:D,A368,'QA Log'!M:M,"Data Verification",'QA Log'!L:L,"Personnel (section 1)",'QA Log'!Z:Z,"Approved"),"")</f>
        <v/>
      </c>
      <c r="AQ368" s="105" t="str">
        <f>IF(A368&lt;&gt;"",COUNTIFS('QA Log'!D:D,A368,'QA Log'!M:M,"Data Verification",'QA Log'!L:L,"Consumable (section 3)",'QA Log'!Z:Z,"Approved"),"")</f>
        <v/>
      </c>
      <c r="AR368" s="105" t="str">
        <f>IF(A368&lt;&gt;"",COUNTIFS('QA Log'!D:D,A368,'QA Log'!M:M,"Data Verification",'QA Log'!L:L,"Equipments (section 4)",'QA Log'!Z:Z,"Approved"),"")</f>
        <v/>
      </c>
      <c r="AS368" s="102" t="str">
        <f>IF(A368="","",
SUM(
COUNTIFS('QA Log'!D:D,A368,'QA Log'!M:M,"Data Verification",'QA Log'!Z:Z,"Rejected",'QA Log'!L:L,"*Personnel (section 1)*"),
COUNTIFS('QA Log'!D:D,A368,'QA Log'!M:M,"Data Verification",'QA Log'!Z:Z,"Rejected",'QA Log'!L:L,"*Consumable (section 3)*"),
COUNTIFS('QA Log'!D:D,A368,'QA Log'!M:M,"Data Verification",'QA Log'!Z:Z,"Rejected",'QA Log'!L:L,"*Equipments (section 4)*")
))</f>
        <v/>
      </c>
      <c r="AT368" s="102" t="str">
        <f t="shared" si="33"/>
        <v/>
      </c>
      <c r="AU368" s="103" t="str">
        <f t="shared" si="34"/>
        <v/>
      </c>
      <c r="AV368" s="102" t="str">
        <f>IF(A368="","",SUM(
COUNTIFS('QA Log'!D:D,A368,'QA Log'!M:M,"Vignette",'QA Log'!L:L,"*Vignette [1] Respiratory Infection: Pneumonia*"),
COUNTIFS('QA Log'!D:D,A368,'QA Log'!M:M,"Vignette",'QA Log'!L:L,"*Vignette [2]: Diarrhea with Cat B dehydration*"),
COUNTIFS('QA Log'!D:D,A368,'QA Log'!M:M,"Vignette",'QA Log'!L:L,"*Vignette [3] Growth Monitoring and Promotion*"),
COUNTIFS('QA Log'!D:D,A368,'QA Log'!M:M,"Vignette",'QA Log'!L:L,"*Vignette [4]: The management of presumptive TB patient*")
)
)</f>
        <v/>
      </c>
      <c r="AW368" s="102" t="str">
        <f>IF(
  A368="","",
  SUM(
    COUNTIFS('QA Log'!D:D,A368,'QA Log'!M:M,"Vignette",'QA Log'!Z:Z,"Approved",'QA Log'!L:L,"*Vignette [1] Respiratory Infection: Pneumonia*"),
    COUNTIFS('QA Log'!D:D,A368,'QA Log'!M:M,"Vignette",'QA Log'!Z:Z,"Approved",'QA Log'!L:L,"*Vignette [2]: Diarrhea with Cat B dehydration*"),
    COUNTIFS('QA Log'!D:D,A368,'QA Log'!M:M,"Vignette",'QA Log'!Z:Z,"Approved",'QA Log'!L:L,"*Vignette [3] Growth Monitoring and Promotion*"),
    COUNTIFS('QA Log'!D:D,A368,'QA Log'!M:M,"Vignette",'QA Log'!Z:Z,"Approved",'QA Log'!L:L,"*Vignette [4]: The management of presumptive TB patient*")
  )
)</f>
        <v/>
      </c>
      <c r="AX368" s="105" t="str">
        <f>IF(A368&lt;&gt;"",COUNTIFS('QA Log'!D:D,A368,'QA Log'!M:M,"Vignette",'QA Log'!L:L,"Vignette [1] Respiratory Infection: Pneumonia",'QA Log'!Z:Z,"Approved"),"")</f>
        <v/>
      </c>
      <c r="AY368" s="105" t="str">
        <f>IF(A368&lt;&gt;"",COUNTIFS('QA Log'!D:D,A368,'QA Log'!M:M,"Vignette",'QA Log'!L:L,"Vignette [2]: Diarrhea with Cat B dehydration",'QA Log'!Z:Z,"Approved"),"")</f>
        <v/>
      </c>
      <c r="AZ368" s="105" t="str">
        <f>IF(A368&lt;&gt;"",COUNTIFS('QA Log'!D:D,A368,'QA Log'!M:M,"Vignette",'QA Log'!L:L,"Vignette [3] Growth Monitoring and Promotion",'QA Log'!Z:Z,"Approved"),"")</f>
        <v/>
      </c>
      <c r="BA368" s="105" t="str">
        <f>IF(A368&lt;&gt;"",COUNTIFS('QA Log'!D:D,A368,'QA Log'!M:M,"Vignette",'QA Log'!L:L,"Vignette [4]: The management of presumptive TB patient",'QA Log'!Z:Z,"Approved"),"")</f>
        <v/>
      </c>
      <c r="BB368" s="102" t="str">
        <f>IF(A368="","",
  SUM(
    COUNTIFS('QA Log'!D:D,A368,'QA Log'!M:M,"Vignette",'QA Log'!Z:Z,"Rejected",'QA Log'!L:L,"*Vignette [1] Respiratory Infection: Pneumonia*"),
    COUNTIFS('QA Log'!D:D,A368,'QA Log'!M:M,"Vignette",'QA Log'!Z:Z,"Rejected",'QA Log'!L:L,"*Vignette [2]: Diarrhea with Cat B dehydration*"),
    COUNTIFS('QA Log'!D:D,A368,'QA Log'!M:M,"Vignette",'QA Log'!Z:Z,"Rejected",'QA Log'!L:L,"*Vignette [3] Growth Monitoring and Promotion*"),
    COUNTIFS('QA Log'!D:D,A368,'QA Log'!M:M,"Vignette",'QA Log'!Z:Z,"Rejected",'QA Log'!L:L,"*Vignette [4]: The management of presumptive TB patient*")
  )
)</f>
        <v/>
      </c>
      <c r="BC368" s="107" t="str">
        <f t="shared" si="35"/>
        <v/>
      </c>
      <c r="BD368" s="103" t="str">
        <f t="shared" si="36"/>
        <v/>
      </c>
      <c r="BE368" s="102" t="str">
        <f>IF(A368="","",SUM(
COUNTIFS('QA Log'!D:D,A368,'QA Log'!M:M,"Vignette",'QA Log'!L:L,"*Vignette [5] Labor*"),
COUNTIFS('QA Log'!D:D,A368,'QA Log'!M:M,"Vignette",'QA Log'!L:L,"*Vignette [6] PNC pre Discharge*"),
COUNTIFS('QA Log'!D:D,A368,'QA Log'!M:M,"Vignette",'QA Log'!L:L,"*Vignette [7] First ANC Visit*"),
COUNTIFS('QA Log'!D:D,A368,'QA Log'!M:M,"Vignette",'QA Log'!L:L,"*Vignette [8] Birth Spacing/ Family Planning :  FP Counselling*"),
COUNTIFS('QA Log'!D:D,A368,'QA Log'!M:M,"Vignette",'QA Log'!L:L,"*Vignette [9] Birth Spacing: Change FP method to Injectable*"),
COUNTIFS('QA Log'!D:D,A368,'QA Log'!M:M,"Vignette",'QA Log'!L:L,"*Vignette [10] Post Partum Haemorrhage - Atonic Uterus at Health Centre*"),
)
)</f>
        <v/>
      </c>
      <c r="BF368" s="102" t="str">
        <f>IF(A368="","",
  SUM(
    COUNTIFS('QA Log'!D:D,A368,'QA Log'!M:M,"Vignette",'QA Log'!Z:Z,"Approved",'QA Log'!L:L,"*Vignette [5] Labor*"),
    COUNTIFS('QA Log'!D:D,A368,'QA Log'!M:M,"Vignette",'QA Log'!Z:Z,"Approved",'QA Log'!L:L,"*Vignette [6] PNC pre Discharge*"),
    COUNTIFS('QA Log'!D:D,A368,'QA Log'!M:M,"Vignette",'QA Log'!Z:Z,"Approved",'QA Log'!L:L,"*Vignette [7] First ANC Visit*"),
    COUNTIFS('QA Log'!D:D,A368,'QA Log'!M:M,"Vignette",'QA Log'!Z:Z,"Approved",'QA Log'!L:L,"*Vignette [8] Birth Spacing/ Family Planning :  FP Counselling*"),
    COUNTIFS('QA Log'!D:D,A368,'QA Log'!M:M,"Vignette",'QA Log'!Z:Z,"Approved",'QA Log'!L:L,"*Vignette [9] Birth Spacing: Change FP method to Injectable*"),
    COUNTIFS('QA Log'!D:D,A368,'QA Log'!M:M,"Vignette",'QA Log'!Z:Z,"Approved",'QA Log'!L:L,"*Vignette [10] Post Partum Haemorrhage - Atonic Uterus at Health Centre*")
  )
)</f>
        <v/>
      </c>
      <c r="BG368" s="105" t="str">
        <f>IF(A368&lt;&gt;"",COUNTIFS('QA Log'!D:D,A368,'QA Log'!M:M,"Vignette",'QA Log'!L:L,"Vignette [5] Labor",'QA Log'!Z:Z,"Approved"),"")</f>
        <v/>
      </c>
      <c r="BH368" s="105" t="str">
        <f>IF(A368&lt;&gt;"",COUNTIFS('QA Log'!D:D,A368,'QA Log'!M:M,"Vignette",'QA Log'!L:L,"Vignette [6] PNC pre Discharge",'QA Log'!Z:Z,"Approved"),"")</f>
        <v/>
      </c>
      <c r="BI368" s="105" t="str">
        <f>IF(A368&lt;&gt;"",COUNTIFS('QA Log'!D:D,A368,'QA Log'!M:M,"Vignette",'QA Log'!L:L,"Vignette [7] First ANC Visit",'QA Log'!Z:Z,"Approved"),"")</f>
        <v/>
      </c>
      <c r="BJ368" s="105" t="str">
        <f>IF(A368&lt;&gt;"",COUNTIFS('QA Log'!D:D,A368,'QA Log'!M:M,"Vignette",'QA Log'!L:L,"Vignette [8] Birth Spacing/ Family Planning :  FP Counselling",'QA Log'!Z:Z,"Approved"),"")</f>
        <v/>
      </c>
      <c r="BK368" s="105" t="str">
        <f>IF(A368&lt;&gt;"",COUNTIFS('QA Log'!D:D,A368,'QA Log'!M:M,"Vignette",'QA Log'!L:L,"Vignette [9] Birth Spacing: Change FP method to Injectable",'QA Log'!Z:Z,"Approved"),"")</f>
        <v/>
      </c>
      <c r="BL368" s="105" t="str">
        <f>IF(A368&lt;&gt;"",COUNTIFS('QA Log'!D:D,A368,'QA Log'!M:M,"Vignette",'QA Log'!L:L,"Vignette [10] Post Partum Haemorrhage - Atonic Uterus at Health Centre",'QA Log'!Z:Z,"Approved"),"")</f>
        <v/>
      </c>
      <c r="BM368" s="102" t="str">
        <f>IF(A368="","",SUM(
    COUNTIFS('QA Log'!D:D,A368,'QA Log'!M:M,"Vignette",'QA Log'!Z:Z,"Rejected",'QA Log'!L:L,"*Vignette [5] Labor*"),
    COUNTIFS('QA Log'!D:D,A368,'QA Log'!M:M,"Vignette",'QA Log'!Z:Z,"Rejected",'QA Log'!L:L,"*Vignette [6] PNC pre Discharge*"),
    COUNTIFS('QA Log'!D:D,A368,'QA Log'!M:M,"Vignette",'QA Log'!Z:Z,"Rejected",'QA Log'!L:L,"*Vignette [7] First ANC Visit*"),
    COUNTIFS('QA Log'!D:D,A368,'QA Log'!M:M,"Vignette",'QA Log'!Z:Z,"Rejected",'QA Log'!L:L,"*Vignette [8] Birth Spacing/ Family Planning :  FP Counselling*"),
    COUNTIFS('QA Log'!D:D,A368,'QA Log'!M:M,"Vignette",'QA Log'!Z:Z,"Rejected",'QA Log'!L:L,"*Vignette [9] Birth Spacing: Change FP method to Injectable*"),
    COUNTIFS('QA Log'!D:D,A368,'QA Log'!M:M,"Vignette",'QA Log'!Z:Z,"Rejected",'QA Log'!L:L,"*Vignette [10] Post Partum Haemorrhage - Atonic Uterus at Health Centre*")
  )
)</f>
        <v/>
      </c>
      <c r="BN368" s="107" t="str">
        <f t="shared" si="37"/>
        <v/>
      </c>
      <c r="BO368" s="103" t="str">
        <f t="shared" si="38"/>
        <v/>
      </c>
      <c r="BP368" s="102" t="str">
        <f>IF(A368="","",SUM(
COUNTIFS('QA Log'!D:D,A368,'QA Log'!M:M,"Vignette",'QA Log'!L:L,"*Exit Interview 1*"),
COUNTIFS('QA Log'!D:D,A368,'QA Log'!M:M,"Vignette",'QA Log'!L:L,"*Exit Interview 2*"),
)
)</f>
        <v/>
      </c>
      <c r="BQ368" s="102" t="str">
        <f>IF(
  A368="","",
  SUM(
    COUNTIFS('QA Log'!D:D,A368,'QA Log'!M:M,"Vignette",'QA Log'!Z:Z,"Approved",'QA Log'!L:L,"*Exit Interview 1*"),
    COUNTIFS('QA Log'!D:D,A368,'QA Log'!M:M,"Vignette",'QA Log'!Z:Z,"Approved",'QA Log'!L:L,"*Exit Interview 2*")
  )
)</f>
        <v/>
      </c>
      <c r="BR368" s="105" t="str">
        <f>IF(A368&lt;&gt;"",COUNTIFS('QA Log'!D:D,A368,'QA Log'!M:M,"Vignette",'QA Log'!L:L,"Exit Interview 1",'QA Log'!Z:Z,"Approved"),"")</f>
        <v/>
      </c>
      <c r="BS368" s="105" t="str">
        <f>IF(A368&lt;&gt;"",COUNTIFS('QA Log'!D:D,A368,'QA Log'!M:M,"Vignette",'QA Log'!L:L,"Exit Interview 2",'QA Log'!Z:Z,"Approved"),"")</f>
        <v/>
      </c>
      <c r="BT368" s="102" t="str">
        <f>IF(
  A368="","",
  SUM(
    COUNTIFS('QA Log'!D:D,A368,'QA Log'!M:M,"Vignette",'QA Log'!Z:Z,"Rejected",'QA Log'!L:L,"*Exit Interview 1*"),
    COUNTIFS('QA Log'!D:D,A368,'QA Log'!M:M,"Vignette",'QA Log'!Z:Z,"Rejected",'QA Log'!L:L,"*Exit Interview 2*")
  )
)</f>
        <v/>
      </c>
      <c r="BU368" s="107" t="str">
        <f t="shared" si="39"/>
        <v/>
      </c>
      <c r="BV368" s="102" t="str">
        <f t="shared" si="40"/>
        <v/>
      </c>
      <c r="BW368" s="102" t="str">
        <f t="shared" si="41"/>
        <v/>
      </c>
      <c r="BX368" s="102" t="str">
        <f t="shared" si="42"/>
        <v/>
      </c>
      <c r="BY368" s="102" t="str">
        <f t="shared" si="43"/>
        <v/>
      </c>
      <c r="BZ368" s="107" t="str">
        <f t="shared" si="44"/>
        <v/>
      </c>
      <c r="CA368" s="108" t="str">
        <f t="shared" si="45"/>
        <v/>
      </c>
      <c r="CB368" s="108" t="str">
        <f t="shared" si="46"/>
        <v/>
      </c>
      <c r="CC368" s="109" t="str">
        <f t="shared" si="47"/>
        <v/>
      </c>
      <c r="CD368" s="108" t="str">
        <f t="shared" si="48"/>
        <v/>
      </c>
      <c r="CE368" s="108" t="str">
        <f t="shared" si="49"/>
        <v/>
      </c>
      <c r="CF368" s="109" t="str">
        <f t="shared" si="50"/>
        <v/>
      </c>
      <c r="CG368" s="110" t="str">
        <f t="shared" si="51"/>
        <v/>
      </c>
      <c r="CH368" s="111"/>
    </row>
    <row r="369" spans="1:86" ht="12.75">
      <c r="A369" s="101"/>
      <c r="B369" s="102" t="e">
        <f t="array" aca="1" ref="B369" ca="1">_xludf.XLOOKUP(A369,'QA Log'!D:D,'QA Log'!E:E,"")</f>
        <v>#NAME?</v>
      </c>
      <c r="C369" s="102" t="e">
        <f t="array" aca="1" ref="C369" ca="1">_xludf.XLOOKUP(A369,'QA Log'!D:D,'QA Log'!F:F,"")</f>
        <v>#NAME?</v>
      </c>
      <c r="D369" s="102" t="e">
        <f t="array" aca="1" ref="D369" ca="1">_xludf.XLOOKUP(A369,'QA Log'!D:D,'QA Log'!H:H,"")</f>
        <v>#NAME?</v>
      </c>
      <c r="E369" s="102" t="e">
        <f t="array" aca="1" ref="E369" ca="1">_xludf.XLOOKUP(A369,'QA Log'!D:D,'QA Log'!G:G,"")</f>
        <v>#NAME?</v>
      </c>
      <c r="F369" s="103"/>
      <c r="G369" s="104"/>
      <c r="H369" s="104"/>
      <c r="I369" s="103" t="str">
        <f t="shared" si="26"/>
        <v/>
      </c>
      <c r="J369" s="102" t="str">
        <f>IF(A369="","",SUM(
COUNTIFS('QA Log'!D:D,A369,'QA Log'!M:M,"QQC",'QA Log'!L:L,"*1. General Management*"),
COUNTIFS('QA Log'!D:D,A369,'QA Log'!M:M,"QQC",'QA Log'!L:L,"*3. Curative Consultation (OPD)*"),
COUNTIFS('QA Log'!D:D,A369,'QA Log'!M:M,"QQC",'QA Log'!L:L,"*5. Laboratory*"),
COUNTIFS('QA Log'!D:D,A369,'QA Log'!M:M,"QQC",'QA Log'!L:L,"*6. Essential Medicine Management*"),
COUNTIFS('QA Log'!D:D,A369,'QA Log'!M:M,"QQC",'QA Log'!L:L,"*7. Tracer Medicine*"),
COUNTIFS('QA Log'!D:D,A369,'QA Log'!M:M,"QQC",'QA Log'!L:L,"*11. Additional Questions*")))</f>
        <v/>
      </c>
      <c r="K369" s="102" t="str">
        <f>IF(A369="","",SUM(
COUNTIFS('QA Log'!D:D,A369,'QA Log'!M:M,"QQC",'QA Log'!Z:Z,"Approved",'QA Log'!L:L,"*1. General Management*"),
COUNTIFS('QA Log'!D:D,A369,'QA Log'!M:M,"QQC",'QA Log'!Z:Z,"Approved",'QA Log'!L:L,"*3. Curative Consultation (OPD)*"),
COUNTIFS('QA Log'!D:D,A369,'QA Log'!M:M,"QQC",'QA Log'!Z:Z,"Approved",'QA Log'!L:L,"*5. Laboratory*"),
COUNTIFS('QA Log'!D:D,A369,'QA Log'!M:M,"QQC",'QA Log'!Z:Z,"Approved",'QA Log'!L:L,"*6. Essential Medicine Management*"),
COUNTIFS('QA Log'!D:D,A369,'QA Log'!M:M,"QQC",'QA Log'!Z:Z,"Approved",'QA Log'!L:L,"*7. Tracer Medicine*"),
COUNTIFS('QA Log'!D:D,A369,'QA Log'!M:M,"QQC",'QA Log'!Z:Z,"Approved",'QA Log'!L:L,"*11. Additional Questions*")))</f>
        <v/>
      </c>
      <c r="L369" s="102" t="str">
        <f>IF(A369&lt;&gt;"",COUNTIFS('QA Log'!D:D,A369,'QA Log'!M:M,"QQC",'QA Log'!L:L,"1. General Management",'QA Log'!Z:Z,"Approved"),"")</f>
        <v/>
      </c>
      <c r="M369" s="102" t="str">
        <f>IF(A369&lt;&gt;"",COUNTIFS('QA Log'!D:D,A369,'QA Log'!M:M,"QQC",'QA Log'!L:L,"3. Curative Consultation (OPD)",'QA Log'!Z:Z,"Approved"),"")</f>
        <v/>
      </c>
      <c r="N369" s="102" t="str">
        <f>IF(A369&lt;&gt;"",COUNTIFS('QA Log'!D:D,A369,'QA Log'!M:M,"QQC",'QA Log'!L:L,"5. Laboratory",'QA Log'!Z:Z,"Approved"),"")</f>
        <v/>
      </c>
      <c r="O369" s="102" t="str">
        <f>IF(A369&lt;&gt;"",COUNTIFS('QA Log'!D:D,A369,'QA Log'!M:M,"QQC",'QA Log'!L:L,"6. Essential Medicine Management",'QA Log'!Z:Z,"Approved"),"")</f>
        <v/>
      </c>
      <c r="P369" s="102" t="str">
        <f>IF(A369&lt;&gt;"",COUNTIFS('QA Log'!D:D,A369,'QA Log'!M:M,"QQC",'QA Log'!L:L,"7. Tracer Medicine",'QA Log'!Z:Z,"Approved"),"")</f>
        <v/>
      </c>
      <c r="Q369" s="102" t="str">
        <f>IF(A369&lt;&gt;"",COUNTIFS('QA Log'!D:D,A369,'QA Log'!M:M,"QQC",'QA Log'!L:L,"11. Additional Questions",'QA Log'!Z:Z,"Approved"),"")</f>
        <v/>
      </c>
      <c r="R369" s="102" t="str">
        <f>IF(A369="","",SUM(
COUNTIFS('QA Log'!D:D,A369,'QA Log'!M:M,"QQC",'QA Log'!Z:Z,"Rejected",'QA Log'!L:L,"*8. Maternity*"),
COUNTIFS('QA Log'!D:D,A369,'QA Log'!M:M,"QQC",'QA Log'!Z:Z,"Rejected",'QA Log'!L:L,"*EPI*"),
COUNTIFS('QA Log'!D:D,A369,'QA Log'!M:M,"QQC",'QA Log'!Z:Z,"Rejected",'QA Log'!L:L,"*10. Antenatal Care (ANC)*"),
COUNTIFS('QA Log'!D:D,A369,'QA Log'!M:M,"QQC",'QA Log'!Z:Z,"Rejected",'QA Log'!L:L,"*2. Hygiene and Sterilization*"),
COUNTIFS('QA Log'!D:D,A369,'QA Log'!M:M,"QQC",'QA Log'!Z:Z,"Rejected",'QA Log'!L:L,"*Family Planning*")))</f>
        <v/>
      </c>
      <c r="S369" s="106" t="str">
        <f t="shared" si="27"/>
        <v/>
      </c>
      <c r="T369" s="102" t="str">
        <f t="shared" si="28"/>
        <v/>
      </c>
      <c r="U369" s="102" t="str">
        <f>IF(A369="","",
SUM(
COUNTIFS('QA Log'!D:D,A369,'QA Log'!M:M,"QQC",'QA Log'!L:L,"*8. Maternity*"),
COUNTIFS('QA Log'!D:D,A369,'QA Log'!M:M,"QQC",'QA Log'!L:L,"*9. EPI and Pre-school Consultation*"),
COUNTIFS('QA Log'!D:D,A369,'QA Log'!M:M,"QQC",'QA Log'!L:L,"*10. Antenatal Care (ANC)*"),
COUNTIFS('QA Log'!D:D,A369,'QA Log'!M:M,"QQC",'QA Log'!L:L,"*2. Hygiene and Sterilization*"),
COUNTIFS('QA Log'!D:D,A369,'QA Log'!M:M,"QQC",'QA Log'!L:L,"*4. Family Planning*")
))</f>
        <v/>
      </c>
      <c r="V369" s="102" t="str">
        <f>IF(A369="","",
SUM(
COUNTIFS('QA Log'!D:D,A369,'QA Log'!M:M,"QQC",'QA Log'!Z:Z,"Approved",'QA Log'!L:L,"*8. Maternity*"),
COUNTIFS('QA Log'!D:D,A369,'QA Log'!M:M,"QQC",'QA Log'!Z:Z,"Approved",'QA Log'!L:L,"*9. EPI and Pre-school Consultation*"),
COUNTIFS('QA Log'!D:D,A369,'QA Log'!M:M,"QQC",'QA Log'!Z:Z,"Approved",'QA Log'!L:L,"*10. Antenatal Care (ANC)*"),
COUNTIFS('QA Log'!D:D,A369,'QA Log'!M:M,"QQC",'QA Log'!Z:Z,"Approved",'QA Log'!L:L,"*2. Hygiene and Sterilization*"),
COUNTIFS('QA Log'!D:D,A369,'QA Log'!M:M,"QQC",'QA Log'!Z:Z,"Approved",'QA Log'!L:L,"*4. Family Planning*")
))</f>
        <v/>
      </c>
      <c r="W369" s="105" t="str">
        <f>IF(A369&lt;&gt;"",COUNTIFS('QA Log'!D:D,A369,'QA Log'!M:M,"QQC",'QA Log'!L:L,"8. Maternity",'QA Log'!Z:Z,"Approved"),"")</f>
        <v/>
      </c>
      <c r="X369" s="105" t="str">
        <f>IF(A369&lt;&gt;"",COUNTIFS('QA Log'!D:D,A369,'QA Log'!M:M,"QQC",'QA Log'!L:L,"9. EPI and Pre-school Consultation",'QA Log'!Z:Z,"Approved"),"")</f>
        <v/>
      </c>
      <c r="Y369" s="105" t="str">
        <f>IF(A369&lt;&gt;"",COUNTIFS('QA Log'!D:D,A369,'QA Log'!M:M,"QQC",'QA Log'!L:L,"10. Antenatal Care (ANC)",'QA Log'!Z:Z,"Approved"),"")</f>
        <v/>
      </c>
      <c r="Z369" s="105" t="str">
        <f>IF(A369&lt;&gt;"",COUNTIFS('QA Log'!D:D,A369,'QA Log'!M:M,"QQC",'QA Log'!L:L,"2. Hygiene and Sterilization",'QA Log'!Z:Z,"Approved"),"")</f>
        <v/>
      </c>
      <c r="AA369" s="105" t="str">
        <f>IF(A369&lt;&gt;"",COUNTIFS('QA Log'!D:D,A369,'QA Log'!M:M,"QQC",'QA Log'!L:L,"4. Family Planning",'QA Log'!Z:Z,"Approved"),"")</f>
        <v/>
      </c>
      <c r="AB369" s="102" t="str">
        <f>IF(A369="","",
SUM(
COUNTIFS('QA Log'!D:D,A369,'QA Log'!M:M,"QQC",'QA Log'!Z:Z,"Rejected",'QA Log'!L:L,"*8. Maternity*"),
COUNTIFS('QA Log'!D:D,A369,'QA Log'!M:M,"QQC",'QA Log'!Z:Z,"Rejected",'QA Log'!L:L,"*9. EPI and Pre-school Consultation*"),
COUNTIFS('QA Log'!D:D,A369,'QA Log'!M:M,"QQC",'QA Log'!Z:Z,"Rejected",'QA Log'!L:L,"*10. Antenatal Care (ANC)*"),
COUNTIFS('QA Log'!D:D,A369,'QA Log'!M:M,"QQC",'QA Log'!Z:Z,"Rejected",'QA Log'!L:L,"*2. Hygiene and Sterilization*"),
COUNTIFS('QA Log'!D:D,A369,'QA Log'!M:M,"QQC",'QA Log'!Z:Z,"Rejected",'QA Log'!L:L,"*4. Family Planning*")
))</f>
        <v/>
      </c>
      <c r="AC369" s="102" t="str">
        <f t="shared" si="29"/>
        <v/>
      </c>
      <c r="AD369" s="103" t="str">
        <f t="shared" si="30"/>
        <v/>
      </c>
      <c r="AE369" s="102" t="str">
        <f>IF(A369="","",
SUM(
COUNTIFS('QA Log'!D:D,A369,'QA Log'!M:M,"Data Verification",'QA Log'!L:L,"*Medicine (section 2)*"),
COUNTIFS('QA Log'!D:D,A369,'QA Log'!M:M,"Data Verification",'QA Log'!L:L,"*Lab Testing Availability*"),
COUNTIFS('QA Log'!D:D,A369,'QA Log'!M:M,"Data Verification",'QA Log'!L:L,"*Other than P4P (section 6)*"),
COUNTIFS('QA Log'!D:D,A369,'QA Log'!M:M,"Data Verification",'QA Log'!L:L,"*Hospital Governance*")
))</f>
        <v/>
      </c>
      <c r="AF369" s="102" t="str">
        <f>IF(A369="","",
SUM(
COUNTIFS('QA Log'!D:D,A369,'QA Log'!M:M,"Data Verification",'QA Log'!Z:Z,"Approved",'QA Log'!L:L,"*Medicine (section 2)*"),
COUNTIFS('QA Log'!D:D,A369,'QA Log'!M:M,"Data Verification",'QA Log'!Z:Z,"Approved",'QA Log'!L:L,"*Lab Testing Availability*"),
COUNTIFS('QA Log'!D:D,A369,'QA Log'!M:M,"Data Verification",'QA Log'!Z:Z,"Approved",'QA Log'!L:L,"*Other than P4P (section 6)*"),
COUNTIFS('QA Log'!D:D,A369,'QA Log'!M:M,"Data Verification",'QA Log'!Z:Z,"Approved",'QA Log'!L:L,"*Hospital Governance*")
))</f>
        <v/>
      </c>
      <c r="AG369" s="105" t="str">
        <f>IF(A369&lt;&gt;"",COUNTIFS('QA Log'!D:D,A369,'QA Log'!M:M,"Data Verification",'QA Log'!L:L,"Medicine (section 2)",'QA Log'!Z:Z,"Approved"),"")</f>
        <v/>
      </c>
      <c r="AH369" s="105" t="str">
        <f>IF(A369&lt;&gt;"",COUNTIFS('QA Log'!D:D,A369,'QA Log'!M:M,"Data Verification",'QA Log'!L:L,"Lab Testing Availability",'QA Log'!Z:Z,"Approved"),"")</f>
        <v/>
      </c>
      <c r="AI369" s="105" t="str">
        <f>IF(A369&lt;&gt;"",COUNTIFS('QA Log'!D:D,A369,'QA Log'!M:M,"Data Verification",'QA Log'!L:L,"Other than P4P (section 6)",'QA Log'!Z:Z,"Approved"),"")</f>
        <v/>
      </c>
      <c r="AJ369" s="105" t="str">
        <f>IF(A369&lt;&gt;"",COUNTIFS('QA Log'!D:D,A369,'QA Log'!M:M,"Data Verification",'QA Log'!L:L,"Hospital Governance",'QA Log'!Z:Z,"Approved"),"")</f>
        <v/>
      </c>
      <c r="AK369" s="102" t="str">
        <f>IF(A369="","",
SUM(
COUNTIFS('QA Log'!D:D,A369,'QA Log'!M:M,"Data Verification",'QA Log'!Z:Z,"Rejected",'QA Log'!L:L,"*Medicine (section 2)*"),
COUNTIFS('QA Log'!D:D,A369,'QA Log'!M:M,"Data Verification",'QA Log'!Z:Z,"Rejected",'QA Log'!L:L,"*Lab Testing Availability*"),
COUNTIFS('QA Log'!D:D,A369,'QA Log'!M:M,"Data Verification",'QA Log'!Z:Z,"Rejected",'QA Log'!L:L,"*Other than P4P (section 6)*"),
COUNTIFS('QA Log'!D:D,A369,'QA Log'!M:M,"Data Verification",'QA Log'!Z:Z,"Rejected",'QA Log'!L:L,"*Hospital Governance*")
))</f>
        <v/>
      </c>
      <c r="AL369" s="106" t="str">
        <f t="shared" si="31"/>
        <v/>
      </c>
      <c r="AM369" s="102" t="str">
        <f t="shared" si="32"/>
        <v/>
      </c>
      <c r="AN369" s="102" t="str">
        <f>IF(A369="","",
SUM(
COUNTIFS('QA Log'!D:D,A369,'QA Log'!M:M,"Data Verification",'QA Log'!L:L,"*Personnel (section 1)*"),
COUNTIFS('QA Log'!D:D,A369,'QA Log'!M:M,"Data Verification",'QA Log'!L:L,"*Consumable (section 3)*"),
COUNTIFS('QA Log'!D:D,A369,'QA Log'!M:M,"Data Verification",'QA Log'!L:L,"*Equipments (section 4)*")
))</f>
        <v/>
      </c>
      <c r="AO369" s="102" t="str">
        <f>IF(A369="","",
SUM(
COUNTIFS('QA Log'!D:D,A369,'QA Log'!M:M,"Data Verification",'QA Log'!Z:Z,"Approved",'QA Log'!L:L,"*Personnel (section 1)*"),
COUNTIFS('QA Log'!D:D,A369,'QA Log'!M:M,"Data Verification",'QA Log'!Z:Z,"Approved",'QA Log'!L:L,"*Consumable (section 3)*"),
COUNTIFS('QA Log'!D:D,A369,'QA Log'!M:M,"Data Verification",'QA Log'!Z:Z,"Approved",'QA Log'!L:L,"*Equipments (section 4)*")
))</f>
        <v/>
      </c>
      <c r="AP369" s="105" t="str">
        <f>IF(A369&lt;&gt;"",COUNTIFS('QA Log'!D:D,A369,'QA Log'!M:M,"Data Verification",'QA Log'!L:L,"Personnel (section 1)",'QA Log'!Z:Z,"Approved"),"")</f>
        <v/>
      </c>
      <c r="AQ369" s="105" t="str">
        <f>IF(A369&lt;&gt;"",COUNTIFS('QA Log'!D:D,A369,'QA Log'!M:M,"Data Verification",'QA Log'!L:L,"Consumable (section 3)",'QA Log'!Z:Z,"Approved"),"")</f>
        <v/>
      </c>
      <c r="AR369" s="105" t="str">
        <f>IF(A369&lt;&gt;"",COUNTIFS('QA Log'!D:D,A369,'QA Log'!M:M,"Data Verification",'QA Log'!L:L,"Equipments (section 4)",'QA Log'!Z:Z,"Approved"),"")</f>
        <v/>
      </c>
      <c r="AS369" s="102" t="str">
        <f>IF(A369="","",
SUM(
COUNTIFS('QA Log'!D:D,A369,'QA Log'!M:M,"Data Verification",'QA Log'!Z:Z,"Rejected",'QA Log'!L:L,"*Personnel (section 1)*"),
COUNTIFS('QA Log'!D:D,A369,'QA Log'!M:M,"Data Verification",'QA Log'!Z:Z,"Rejected",'QA Log'!L:L,"*Consumable (section 3)*"),
COUNTIFS('QA Log'!D:D,A369,'QA Log'!M:M,"Data Verification",'QA Log'!Z:Z,"Rejected",'QA Log'!L:L,"*Equipments (section 4)*")
))</f>
        <v/>
      </c>
      <c r="AT369" s="102" t="str">
        <f t="shared" si="33"/>
        <v/>
      </c>
      <c r="AU369" s="103" t="str">
        <f t="shared" si="34"/>
        <v/>
      </c>
      <c r="AV369" s="102" t="str">
        <f>IF(A369="","",SUM(
COUNTIFS('QA Log'!D:D,A369,'QA Log'!M:M,"Vignette",'QA Log'!L:L,"*Vignette [1] Respiratory Infection: Pneumonia*"),
COUNTIFS('QA Log'!D:D,A369,'QA Log'!M:M,"Vignette",'QA Log'!L:L,"*Vignette [2]: Diarrhea with Cat B dehydration*"),
COUNTIFS('QA Log'!D:D,A369,'QA Log'!M:M,"Vignette",'QA Log'!L:L,"*Vignette [3] Growth Monitoring and Promotion*"),
COUNTIFS('QA Log'!D:D,A369,'QA Log'!M:M,"Vignette",'QA Log'!L:L,"*Vignette [4]: The management of presumptive TB patient*")
)
)</f>
        <v/>
      </c>
      <c r="AW369" s="102" t="str">
        <f>IF(
  A369="","",
  SUM(
    COUNTIFS('QA Log'!D:D,A369,'QA Log'!M:M,"Vignette",'QA Log'!Z:Z,"Approved",'QA Log'!L:L,"*Vignette [1] Respiratory Infection: Pneumonia*"),
    COUNTIFS('QA Log'!D:D,A369,'QA Log'!M:M,"Vignette",'QA Log'!Z:Z,"Approved",'QA Log'!L:L,"*Vignette [2]: Diarrhea with Cat B dehydration*"),
    COUNTIFS('QA Log'!D:D,A369,'QA Log'!M:M,"Vignette",'QA Log'!Z:Z,"Approved",'QA Log'!L:L,"*Vignette [3] Growth Monitoring and Promotion*"),
    COUNTIFS('QA Log'!D:D,A369,'QA Log'!M:M,"Vignette",'QA Log'!Z:Z,"Approved",'QA Log'!L:L,"*Vignette [4]: The management of presumptive TB patient*")
  )
)</f>
        <v/>
      </c>
      <c r="AX369" s="105" t="str">
        <f>IF(A369&lt;&gt;"",COUNTIFS('QA Log'!D:D,A369,'QA Log'!M:M,"Vignette",'QA Log'!L:L,"Vignette [1] Respiratory Infection: Pneumonia",'QA Log'!Z:Z,"Approved"),"")</f>
        <v/>
      </c>
      <c r="AY369" s="105" t="str">
        <f>IF(A369&lt;&gt;"",COUNTIFS('QA Log'!D:D,A369,'QA Log'!M:M,"Vignette",'QA Log'!L:L,"Vignette [2]: Diarrhea with Cat B dehydration",'QA Log'!Z:Z,"Approved"),"")</f>
        <v/>
      </c>
      <c r="AZ369" s="105" t="str">
        <f>IF(A369&lt;&gt;"",COUNTIFS('QA Log'!D:D,A369,'QA Log'!M:M,"Vignette",'QA Log'!L:L,"Vignette [3] Growth Monitoring and Promotion",'QA Log'!Z:Z,"Approved"),"")</f>
        <v/>
      </c>
      <c r="BA369" s="105" t="str">
        <f>IF(A369&lt;&gt;"",COUNTIFS('QA Log'!D:D,A369,'QA Log'!M:M,"Vignette",'QA Log'!L:L,"Vignette [4]: The management of presumptive TB patient",'QA Log'!Z:Z,"Approved"),"")</f>
        <v/>
      </c>
      <c r="BB369" s="102" t="str">
        <f>IF(A369="","",
  SUM(
    COUNTIFS('QA Log'!D:D,A369,'QA Log'!M:M,"Vignette",'QA Log'!Z:Z,"Rejected",'QA Log'!L:L,"*Vignette [1] Respiratory Infection: Pneumonia*"),
    COUNTIFS('QA Log'!D:D,A369,'QA Log'!M:M,"Vignette",'QA Log'!Z:Z,"Rejected",'QA Log'!L:L,"*Vignette [2]: Diarrhea with Cat B dehydration*"),
    COUNTIFS('QA Log'!D:D,A369,'QA Log'!M:M,"Vignette",'QA Log'!Z:Z,"Rejected",'QA Log'!L:L,"*Vignette [3] Growth Monitoring and Promotion*"),
    COUNTIFS('QA Log'!D:D,A369,'QA Log'!M:M,"Vignette",'QA Log'!Z:Z,"Rejected",'QA Log'!L:L,"*Vignette [4]: The management of presumptive TB patient*")
  )
)</f>
        <v/>
      </c>
      <c r="BC369" s="107" t="str">
        <f t="shared" si="35"/>
        <v/>
      </c>
      <c r="BD369" s="103" t="str">
        <f t="shared" si="36"/>
        <v/>
      </c>
      <c r="BE369" s="102" t="str">
        <f>IF(A369="","",SUM(
COUNTIFS('QA Log'!D:D,A369,'QA Log'!M:M,"Vignette",'QA Log'!L:L,"*Vignette [5] Labor*"),
COUNTIFS('QA Log'!D:D,A369,'QA Log'!M:M,"Vignette",'QA Log'!L:L,"*Vignette [6] PNC pre Discharge*"),
COUNTIFS('QA Log'!D:D,A369,'QA Log'!M:M,"Vignette",'QA Log'!L:L,"*Vignette [7] First ANC Visit*"),
COUNTIFS('QA Log'!D:D,A369,'QA Log'!M:M,"Vignette",'QA Log'!L:L,"*Vignette [8] Birth Spacing/ Family Planning :  FP Counselling*"),
COUNTIFS('QA Log'!D:D,A369,'QA Log'!M:M,"Vignette",'QA Log'!L:L,"*Vignette [9] Birth Spacing: Change FP method to Injectable*"),
COUNTIFS('QA Log'!D:D,A369,'QA Log'!M:M,"Vignette",'QA Log'!L:L,"*Vignette [10] Post Partum Haemorrhage - Atonic Uterus at Health Centre*"),
)
)</f>
        <v/>
      </c>
      <c r="BF369" s="102" t="str">
        <f>IF(A369="","",
  SUM(
    COUNTIFS('QA Log'!D:D,A369,'QA Log'!M:M,"Vignette",'QA Log'!Z:Z,"Approved",'QA Log'!L:L,"*Vignette [5] Labor*"),
    COUNTIFS('QA Log'!D:D,A369,'QA Log'!M:M,"Vignette",'QA Log'!Z:Z,"Approved",'QA Log'!L:L,"*Vignette [6] PNC pre Discharge*"),
    COUNTIFS('QA Log'!D:D,A369,'QA Log'!M:M,"Vignette",'QA Log'!Z:Z,"Approved",'QA Log'!L:L,"*Vignette [7] First ANC Visit*"),
    COUNTIFS('QA Log'!D:D,A369,'QA Log'!M:M,"Vignette",'QA Log'!Z:Z,"Approved",'QA Log'!L:L,"*Vignette [8] Birth Spacing/ Family Planning :  FP Counselling*"),
    COUNTIFS('QA Log'!D:D,A369,'QA Log'!M:M,"Vignette",'QA Log'!Z:Z,"Approved",'QA Log'!L:L,"*Vignette [9] Birth Spacing: Change FP method to Injectable*"),
    COUNTIFS('QA Log'!D:D,A369,'QA Log'!M:M,"Vignette",'QA Log'!Z:Z,"Approved",'QA Log'!L:L,"*Vignette [10] Post Partum Haemorrhage - Atonic Uterus at Health Centre*")
  )
)</f>
        <v/>
      </c>
      <c r="BG369" s="105" t="str">
        <f>IF(A369&lt;&gt;"",COUNTIFS('QA Log'!D:D,A369,'QA Log'!M:M,"Vignette",'QA Log'!L:L,"Vignette [5] Labor",'QA Log'!Z:Z,"Approved"),"")</f>
        <v/>
      </c>
      <c r="BH369" s="105" t="str">
        <f>IF(A369&lt;&gt;"",COUNTIFS('QA Log'!D:D,A369,'QA Log'!M:M,"Vignette",'QA Log'!L:L,"Vignette [6] PNC pre Discharge",'QA Log'!Z:Z,"Approved"),"")</f>
        <v/>
      </c>
      <c r="BI369" s="105" t="str">
        <f>IF(A369&lt;&gt;"",COUNTIFS('QA Log'!D:D,A369,'QA Log'!M:M,"Vignette",'QA Log'!L:L,"Vignette [7] First ANC Visit",'QA Log'!Z:Z,"Approved"),"")</f>
        <v/>
      </c>
      <c r="BJ369" s="105" t="str">
        <f>IF(A369&lt;&gt;"",COUNTIFS('QA Log'!D:D,A369,'QA Log'!M:M,"Vignette",'QA Log'!L:L,"Vignette [8] Birth Spacing/ Family Planning :  FP Counselling",'QA Log'!Z:Z,"Approved"),"")</f>
        <v/>
      </c>
      <c r="BK369" s="105" t="str">
        <f>IF(A369&lt;&gt;"",COUNTIFS('QA Log'!D:D,A369,'QA Log'!M:M,"Vignette",'QA Log'!L:L,"Vignette [9] Birth Spacing: Change FP method to Injectable",'QA Log'!Z:Z,"Approved"),"")</f>
        <v/>
      </c>
      <c r="BL369" s="105" t="str">
        <f>IF(A369&lt;&gt;"",COUNTIFS('QA Log'!D:D,A369,'QA Log'!M:M,"Vignette",'QA Log'!L:L,"Vignette [10] Post Partum Haemorrhage - Atonic Uterus at Health Centre",'QA Log'!Z:Z,"Approved"),"")</f>
        <v/>
      </c>
      <c r="BM369" s="102" t="str">
        <f>IF(A369="","",SUM(
    COUNTIFS('QA Log'!D:D,A369,'QA Log'!M:M,"Vignette",'QA Log'!Z:Z,"Rejected",'QA Log'!L:L,"*Vignette [5] Labor*"),
    COUNTIFS('QA Log'!D:D,A369,'QA Log'!M:M,"Vignette",'QA Log'!Z:Z,"Rejected",'QA Log'!L:L,"*Vignette [6] PNC pre Discharge*"),
    COUNTIFS('QA Log'!D:D,A369,'QA Log'!M:M,"Vignette",'QA Log'!Z:Z,"Rejected",'QA Log'!L:L,"*Vignette [7] First ANC Visit*"),
    COUNTIFS('QA Log'!D:D,A369,'QA Log'!M:M,"Vignette",'QA Log'!Z:Z,"Rejected",'QA Log'!L:L,"*Vignette [8] Birth Spacing/ Family Planning :  FP Counselling*"),
    COUNTIFS('QA Log'!D:D,A369,'QA Log'!M:M,"Vignette",'QA Log'!Z:Z,"Rejected",'QA Log'!L:L,"*Vignette [9] Birth Spacing: Change FP method to Injectable*"),
    COUNTIFS('QA Log'!D:D,A369,'QA Log'!M:M,"Vignette",'QA Log'!Z:Z,"Rejected",'QA Log'!L:L,"*Vignette [10] Post Partum Haemorrhage - Atonic Uterus at Health Centre*")
  )
)</f>
        <v/>
      </c>
      <c r="BN369" s="107" t="str">
        <f t="shared" si="37"/>
        <v/>
      </c>
      <c r="BO369" s="103" t="str">
        <f t="shared" si="38"/>
        <v/>
      </c>
      <c r="BP369" s="102" t="str">
        <f>IF(A369="","",SUM(
COUNTIFS('QA Log'!D:D,A369,'QA Log'!M:M,"Vignette",'QA Log'!L:L,"*Exit Interview 1*"),
COUNTIFS('QA Log'!D:D,A369,'QA Log'!M:M,"Vignette",'QA Log'!L:L,"*Exit Interview 2*"),
)
)</f>
        <v/>
      </c>
      <c r="BQ369" s="102" t="str">
        <f>IF(
  A369="","",
  SUM(
    COUNTIFS('QA Log'!D:D,A369,'QA Log'!M:M,"Vignette",'QA Log'!Z:Z,"Approved",'QA Log'!L:L,"*Exit Interview 1*"),
    COUNTIFS('QA Log'!D:D,A369,'QA Log'!M:M,"Vignette",'QA Log'!Z:Z,"Approved",'QA Log'!L:L,"*Exit Interview 2*")
  )
)</f>
        <v/>
      </c>
      <c r="BR369" s="105" t="str">
        <f>IF(A369&lt;&gt;"",COUNTIFS('QA Log'!D:D,A369,'QA Log'!M:M,"Vignette",'QA Log'!L:L,"Exit Interview 1",'QA Log'!Z:Z,"Approved"),"")</f>
        <v/>
      </c>
      <c r="BS369" s="105" t="str">
        <f>IF(A369&lt;&gt;"",COUNTIFS('QA Log'!D:D,A369,'QA Log'!M:M,"Vignette",'QA Log'!L:L,"Exit Interview 2",'QA Log'!Z:Z,"Approved"),"")</f>
        <v/>
      </c>
      <c r="BT369" s="102" t="str">
        <f>IF(
  A369="","",
  SUM(
    COUNTIFS('QA Log'!D:D,A369,'QA Log'!M:M,"Vignette",'QA Log'!Z:Z,"Rejected",'QA Log'!L:L,"*Exit Interview 1*"),
    COUNTIFS('QA Log'!D:D,A369,'QA Log'!M:M,"Vignette",'QA Log'!Z:Z,"Rejected",'QA Log'!L:L,"*Exit Interview 2*")
  )
)</f>
        <v/>
      </c>
      <c r="BU369" s="107" t="str">
        <f t="shared" si="39"/>
        <v/>
      </c>
      <c r="BV369" s="102" t="str">
        <f t="shared" si="40"/>
        <v/>
      </c>
      <c r="BW369" s="102" t="str">
        <f t="shared" si="41"/>
        <v/>
      </c>
      <c r="BX369" s="102" t="str">
        <f t="shared" si="42"/>
        <v/>
      </c>
      <c r="BY369" s="102" t="str">
        <f t="shared" si="43"/>
        <v/>
      </c>
      <c r="BZ369" s="107" t="str">
        <f t="shared" si="44"/>
        <v/>
      </c>
      <c r="CA369" s="108" t="str">
        <f t="shared" si="45"/>
        <v/>
      </c>
      <c r="CB369" s="108" t="str">
        <f t="shared" si="46"/>
        <v/>
      </c>
      <c r="CC369" s="109" t="str">
        <f t="shared" si="47"/>
        <v/>
      </c>
      <c r="CD369" s="108" t="str">
        <f t="shared" si="48"/>
        <v/>
      </c>
      <c r="CE369" s="108" t="str">
        <f t="shared" si="49"/>
        <v/>
      </c>
      <c r="CF369" s="109" t="str">
        <f t="shared" si="50"/>
        <v/>
      </c>
      <c r="CG369" s="110" t="str">
        <f t="shared" si="51"/>
        <v/>
      </c>
      <c r="CH369" s="111"/>
    </row>
    <row r="370" spans="1:86" ht="12.75">
      <c r="A370" s="101"/>
      <c r="B370" s="102" t="e">
        <f t="array" aca="1" ref="B370" ca="1">_xludf.XLOOKUP(A370,'QA Log'!D:D,'QA Log'!E:E,"")</f>
        <v>#NAME?</v>
      </c>
      <c r="C370" s="102" t="e">
        <f t="array" aca="1" ref="C370" ca="1">_xludf.XLOOKUP(A370,'QA Log'!D:D,'QA Log'!F:F,"")</f>
        <v>#NAME?</v>
      </c>
      <c r="D370" s="102" t="e">
        <f t="array" aca="1" ref="D370" ca="1">_xludf.XLOOKUP(A370,'QA Log'!D:D,'QA Log'!H:H,"")</f>
        <v>#NAME?</v>
      </c>
      <c r="E370" s="102" t="e">
        <f t="array" aca="1" ref="E370" ca="1">_xludf.XLOOKUP(A370,'QA Log'!D:D,'QA Log'!G:G,"")</f>
        <v>#NAME?</v>
      </c>
      <c r="F370" s="103"/>
      <c r="G370" s="104"/>
      <c r="H370" s="104"/>
      <c r="I370" s="103" t="str">
        <f t="shared" si="26"/>
        <v/>
      </c>
      <c r="J370" s="102" t="str">
        <f>IF(A370="","",SUM(
COUNTIFS('QA Log'!D:D,A370,'QA Log'!M:M,"QQC",'QA Log'!L:L,"*1. General Management*"),
COUNTIFS('QA Log'!D:D,A370,'QA Log'!M:M,"QQC",'QA Log'!L:L,"*3. Curative Consultation (OPD)*"),
COUNTIFS('QA Log'!D:D,A370,'QA Log'!M:M,"QQC",'QA Log'!L:L,"*5. Laboratory*"),
COUNTIFS('QA Log'!D:D,A370,'QA Log'!M:M,"QQC",'QA Log'!L:L,"*6. Essential Medicine Management*"),
COUNTIFS('QA Log'!D:D,A370,'QA Log'!M:M,"QQC",'QA Log'!L:L,"*7. Tracer Medicine*"),
COUNTIFS('QA Log'!D:D,A370,'QA Log'!M:M,"QQC",'QA Log'!L:L,"*11. Additional Questions*")))</f>
        <v/>
      </c>
      <c r="K370" s="102" t="str">
        <f>IF(A370="","",SUM(
COUNTIFS('QA Log'!D:D,A370,'QA Log'!M:M,"QQC",'QA Log'!Z:Z,"Approved",'QA Log'!L:L,"*1. General Management*"),
COUNTIFS('QA Log'!D:D,A370,'QA Log'!M:M,"QQC",'QA Log'!Z:Z,"Approved",'QA Log'!L:L,"*3. Curative Consultation (OPD)*"),
COUNTIFS('QA Log'!D:D,A370,'QA Log'!M:M,"QQC",'QA Log'!Z:Z,"Approved",'QA Log'!L:L,"*5. Laboratory*"),
COUNTIFS('QA Log'!D:D,A370,'QA Log'!M:M,"QQC",'QA Log'!Z:Z,"Approved",'QA Log'!L:L,"*6. Essential Medicine Management*"),
COUNTIFS('QA Log'!D:D,A370,'QA Log'!M:M,"QQC",'QA Log'!Z:Z,"Approved",'QA Log'!L:L,"*7. Tracer Medicine*"),
COUNTIFS('QA Log'!D:D,A370,'QA Log'!M:M,"QQC",'QA Log'!Z:Z,"Approved",'QA Log'!L:L,"*11. Additional Questions*")))</f>
        <v/>
      </c>
      <c r="L370" s="102" t="str">
        <f>IF(A370&lt;&gt;"",COUNTIFS('QA Log'!D:D,A370,'QA Log'!M:M,"QQC",'QA Log'!L:L,"1. General Management",'QA Log'!Z:Z,"Approved"),"")</f>
        <v/>
      </c>
      <c r="M370" s="102" t="str">
        <f>IF(A370&lt;&gt;"",COUNTIFS('QA Log'!D:D,A370,'QA Log'!M:M,"QQC",'QA Log'!L:L,"3. Curative Consultation (OPD)",'QA Log'!Z:Z,"Approved"),"")</f>
        <v/>
      </c>
      <c r="N370" s="102" t="str">
        <f>IF(A370&lt;&gt;"",COUNTIFS('QA Log'!D:D,A370,'QA Log'!M:M,"QQC",'QA Log'!L:L,"5. Laboratory",'QA Log'!Z:Z,"Approved"),"")</f>
        <v/>
      </c>
      <c r="O370" s="102" t="str">
        <f>IF(A370&lt;&gt;"",COUNTIFS('QA Log'!D:D,A370,'QA Log'!M:M,"QQC",'QA Log'!L:L,"6. Essential Medicine Management",'QA Log'!Z:Z,"Approved"),"")</f>
        <v/>
      </c>
      <c r="P370" s="102" t="str">
        <f>IF(A370&lt;&gt;"",COUNTIFS('QA Log'!D:D,A370,'QA Log'!M:M,"QQC",'QA Log'!L:L,"7. Tracer Medicine",'QA Log'!Z:Z,"Approved"),"")</f>
        <v/>
      </c>
      <c r="Q370" s="102" t="str">
        <f>IF(A370&lt;&gt;"",COUNTIFS('QA Log'!D:D,A370,'QA Log'!M:M,"QQC",'QA Log'!L:L,"11. Additional Questions",'QA Log'!Z:Z,"Approved"),"")</f>
        <v/>
      </c>
      <c r="R370" s="102" t="str">
        <f>IF(A370="","",SUM(
COUNTIFS('QA Log'!D:D,A370,'QA Log'!M:M,"QQC",'QA Log'!Z:Z,"Rejected",'QA Log'!L:L,"*8. Maternity*"),
COUNTIFS('QA Log'!D:D,A370,'QA Log'!M:M,"QQC",'QA Log'!Z:Z,"Rejected",'QA Log'!L:L,"*EPI*"),
COUNTIFS('QA Log'!D:D,A370,'QA Log'!M:M,"QQC",'QA Log'!Z:Z,"Rejected",'QA Log'!L:L,"*10. Antenatal Care (ANC)*"),
COUNTIFS('QA Log'!D:D,A370,'QA Log'!M:M,"QQC",'QA Log'!Z:Z,"Rejected",'QA Log'!L:L,"*2. Hygiene and Sterilization*"),
COUNTIFS('QA Log'!D:D,A370,'QA Log'!M:M,"QQC",'QA Log'!Z:Z,"Rejected",'QA Log'!L:L,"*Family Planning*")))</f>
        <v/>
      </c>
      <c r="S370" s="106" t="str">
        <f t="shared" si="27"/>
        <v/>
      </c>
      <c r="T370" s="102" t="str">
        <f t="shared" si="28"/>
        <v/>
      </c>
      <c r="U370" s="102" t="str">
        <f>IF(A370="","",
SUM(
COUNTIFS('QA Log'!D:D,A370,'QA Log'!M:M,"QQC",'QA Log'!L:L,"*8. Maternity*"),
COUNTIFS('QA Log'!D:D,A370,'QA Log'!M:M,"QQC",'QA Log'!L:L,"*9. EPI and Pre-school Consultation*"),
COUNTIFS('QA Log'!D:D,A370,'QA Log'!M:M,"QQC",'QA Log'!L:L,"*10. Antenatal Care (ANC)*"),
COUNTIFS('QA Log'!D:D,A370,'QA Log'!M:M,"QQC",'QA Log'!L:L,"*2. Hygiene and Sterilization*"),
COUNTIFS('QA Log'!D:D,A370,'QA Log'!M:M,"QQC",'QA Log'!L:L,"*4. Family Planning*")
))</f>
        <v/>
      </c>
      <c r="V370" s="102" t="str">
        <f>IF(A370="","",
SUM(
COUNTIFS('QA Log'!D:D,A370,'QA Log'!M:M,"QQC",'QA Log'!Z:Z,"Approved",'QA Log'!L:L,"*8. Maternity*"),
COUNTIFS('QA Log'!D:D,A370,'QA Log'!M:M,"QQC",'QA Log'!Z:Z,"Approved",'QA Log'!L:L,"*9. EPI and Pre-school Consultation*"),
COUNTIFS('QA Log'!D:D,A370,'QA Log'!M:M,"QQC",'QA Log'!Z:Z,"Approved",'QA Log'!L:L,"*10. Antenatal Care (ANC)*"),
COUNTIFS('QA Log'!D:D,A370,'QA Log'!M:M,"QQC",'QA Log'!Z:Z,"Approved",'QA Log'!L:L,"*2. Hygiene and Sterilization*"),
COUNTIFS('QA Log'!D:D,A370,'QA Log'!M:M,"QQC",'QA Log'!Z:Z,"Approved",'QA Log'!L:L,"*4. Family Planning*")
))</f>
        <v/>
      </c>
      <c r="W370" s="105" t="str">
        <f>IF(A370&lt;&gt;"",COUNTIFS('QA Log'!D:D,A370,'QA Log'!M:M,"QQC",'QA Log'!L:L,"8. Maternity",'QA Log'!Z:Z,"Approved"),"")</f>
        <v/>
      </c>
      <c r="X370" s="105" t="str">
        <f>IF(A370&lt;&gt;"",COUNTIFS('QA Log'!D:D,A370,'QA Log'!M:M,"QQC",'QA Log'!L:L,"9. EPI and Pre-school Consultation",'QA Log'!Z:Z,"Approved"),"")</f>
        <v/>
      </c>
      <c r="Y370" s="105" t="str">
        <f>IF(A370&lt;&gt;"",COUNTIFS('QA Log'!D:D,A370,'QA Log'!M:M,"QQC",'QA Log'!L:L,"10. Antenatal Care (ANC)",'QA Log'!Z:Z,"Approved"),"")</f>
        <v/>
      </c>
      <c r="Z370" s="105" t="str">
        <f>IF(A370&lt;&gt;"",COUNTIFS('QA Log'!D:D,A370,'QA Log'!M:M,"QQC",'QA Log'!L:L,"2. Hygiene and Sterilization",'QA Log'!Z:Z,"Approved"),"")</f>
        <v/>
      </c>
      <c r="AA370" s="105" t="str">
        <f>IF(A370&lt;&gt;"",COUNTIFS('QA Log'!D:D,A370,'QA Log'!M:M,"QQC",'QA Log'!L:L,"4. Family Planning",'QA Log'!Z:Z,"Approved"),"")</f>
        <v/>
      </c>
      <c r="AB370" s="102" t="str">
        <f>IF(A370="","",
SUM(
COUNTIFS('QA Log'!D:D,A370,'QA Log'!M:M,"QQC",'QA Log'!Z:Z,"Rejected",'QA Log'!L:L,"*8. Maternity*"),
COUNTIFS('QA Log'!D:D,A370,'QA Log'!M:M,"QQC",'QA Log'!Z:Z,"Rejected",'QA Log'!L:L,"*9. EPI and Pre-school Consultation*"),
COUNTIFS('QA Log'!D:D,A370,'QA Log'!M:M,"QQC",'QA Log'!Z:Z,"Rejected",'QA Log'!L:L,"*10. Antenatal Care (ANC)*"),
COUNTIFS('QA Log'!D:D,A370,'QA Log'!M:M,"QQC",'QA Log'!Z:Z,"Rejected",'QA Log'!L:L,"*2. Hygiene and Sterilization*"),
COUNTIFS('QA Log'!D:D,A370,'QA Log'!M:M,"QQC",'QA Log'!Z:Z,"Rejected",'QA Log'!L:L,"*4. Family Planning*")
))</f>
        <v/>
      </c>
      <c r="AC370" s="102" t="str">
        <f t="shared" si="29"/>
        <v/>
      </c>
      <c r="AD370" s="103" t="str">
        <f t="shared" si="30"/>
        <v/>
      </c>
      <c r="AE370" s="102" t="str">
        <f>IF(A370="","",
SUM(
COUNTIFS('QA Log'!D:D,A370,'QA Log'!M:M,"Data Verification",'QA Log'!L:L,"*Medicine (section 2)*"),
COUNTIFS('QA Log'!D:D,A370,'QA Log'!M:M,"Data Verification",'QA Log'!L:L,"*Lab Testing Availability*"),
COUNTIFS('QA Log'!D:D,A370,'QA Log'!M:M,"Data Verification",'QA Log'!L:L,"*Other than P4P (section 6)*"),
COUNTIFS('QA Log'!D:D,A370,'QA Log'!M:M,"Data Verification",'QA Log'!L:L,"*Hospital Governance*")
))</f>
        <v/>
      </c>
      <c r="AF370" s="102" t="str">
        <f>IF(A370="","",
SUM(
COUNTIFS('QA Log'!D:D,A370,'QA Log'!M:M,"Data Verification",'QA Log'!Z:Z,"Approved",'QA Log'!L:L,"*Medicine (section 2)*"),
COUNTIFS('QA Log'!D:D,A370,'QA Log'!M:M,"Data Verification",'QA Log'!Z:Z,"Approved",'QA Log'!L:L,"*Lab Testing Availability*"),
COUNTIFS('QA Log'!D:D,A370,'QA Log'!M:M,"Data Verification",'QA Log'!Z:Z,"Approved",'QA Log'!L:L,"*Other than P4P (section 6)*"),
COUNTIFS('QA Log'!D:D,A370,'QA Log'!M:M,"Data Verification",'QA Log'!Z:Z,"Approved",'QA Log'!L:L,"*Hospital Governance*")
))</f>
        <v/>
      </c>
      <c r="AG370" s="105" t="str">
        <f>IF(A370&lt;&gt;"",COUNTIFS('QA Log'!D:D,A370,'QA Log'!M:M,"Data Verification",'QA Log'!L:L,"Medicine (section 2)",'QA Log'!Z:Z,"Approved"),"")</f>
        <v/>
      </c>
      <c r="AH370" s="105" t="str">
        <f>IF(A370&lt;&gt;"",COUNTIFS('QA Log'!D:D,A370,'QA Log'!M:M,"Data Verification",'QA Log'!L:L,"Lab Testing Availability",'QA Log'!Z:Z,"Approved"),"")</f>
        <v/>
      </c>
      <c r="AI370" s="105" t="str">
        <f>IF(A370&lt;&gt;"",COUNTIFS('QA Log'!D:D,A370,'QA Log'!M:M,"Data Verification",'QA Log'!L:L,"Other than P4P (section 6)",'QA Log'!Z:Z,"Approved"),"")</f>
        <v/>
      </c>
      <c r="AJ370" s="105" t="str">
        <f>IF(A370&lt;&gt;"",COUNTIFS('QA Log'!D:D,A370,'QA Log'!M:M,"Data Verification",'QA Log'!L:L,"Hospital Governance",'QA Log'!Z:Z,"Approved"),"")</f>
        <v/>
      </c>
      <c r="AK370" s="102" t="str">
        <f>IF(A370="","",
SUM(
COUNTIFS('QA Log'!D:D,A370,'QA Log'!M:M,"Data Verification",'QA Log'!Z:Z,"Rejected",'QA Log'!L:L,"*Medicine (section 2)*"),
COUNTIFS('QA Log'!D:D,A370,'QA Log'!M:M,"Data Verification",'QA Log'!Z:Z,"Rejected",'QA Log'!L:L,"*Lab Testing Availability*"),
COUNTIFS('QA Log'!D:D,A370,'QA Log'!M:M,"Data Verification",'QA Log'!Z:Z,"Rejected",'QA Log'!L:L,"*Other than P4P (section 6)*"),
COUNTIFS('QA Log'!D:D,A370,'QA Log'!M:M,"Data Verification",'QA Log'!Z:Z,"Rejected",'QA Log'!L:L,"*Hospital Governance*")
))</f>
        <v/>
      </c>
      <c r="AL370" s="106" t="str">
        <f t="shared" si="31"/>
        <v/>
      </c>
      <c r="AM370" s="102" t="str">
        <f t="shared" si="32"/>
        <v/>
      </c>
      <c r="AN370" s="102" t="str">
        <f>IF(A370="","",
SUM(
COUNTIFS('QA Log'!D:D,A370,'QA Log'!M:M,"Data Verification",'QA Log'!L:L,"*Personnel (section 1)*"),
COUNTIFS('QA Log'!D:D,A370,'QA Log'!M:M,"Data Verification",'QA Log'!L:L,"*Consumable (section 3)*"),
COUNTIFS('QA Log'!D:D,A370,'QA Log'!M:M,"Data Verification",'QA Log'!L:L,"*Equipments (section 4)*")
))</f>
        <v/>
      </c>
      <c r="AO370" s="102" t="str">
        <f>IF(A370="","",
SUM(
COUNTIFS('QA Log'!D:D,A370,'QA Log'!M:M,"Data Verification",'QA Log'!Z:Z,"Approved",'QA Log'!L:L,"*Personnel (section 1)*"),
COUNTIFS('QA Log'!D:D,A370,'QA Log'!M:M,"Data Verification",'QA Log'!Z:Z,"Approved",'QA Log'!L:L,"*Consumable (section 3)*"),
COUNTIFS('QA Log'!D:D,A370,'QA Log'!M:M,"Data Verification",'QA Log'!Z:Z,"Approved",'QA Log'!L:L,"*Equipments (section 4)*")
))</f>
        <v/>
      </c>
      <c r="AP370" s="105" t="str">
        <f>IF(A370&lt;&gt;"",COUNTIFS('QA Log'!D:D,A370,'QA Log'!M:M,"Data Verification",'QA Log'!L:L,"Personnel (section 1)",'QA Log'!Z:Z,"Approved"),"")</f>
        <v/>
      </c>
      <c r="AQ370" s="105" t="str">
        <f>IF(A370&lt;&gt;"",COUNTIFS('QA Log'!D:D,A370,'QA Log'!M:M,"Data Verification",'QA Log'!L:L,"Consumable (section 3)",'QA Log'!Z:Z,"Approved"),"")</f>
        <v/>
      </c>
      <c r="AR370" s="105" t="str">
        <f>IF(A370&lt;&gt;"",COUNTIFS('QA Log'!D:D,A370,'QA Log'!M:M,"Data Verification",'QA Log'!L:L,"Equipments (section 4)",'QA Log'!Z:Z,"Approved"),"")</f>
        <v/>
      </c>
      <c r="AS370" s="102" t="str">
        <f>IF(A370="","",
SUM(
COUNTIFS('QA Log'!D:D,A370,'QA Log'!M:M,"Data Verification",'QA Log'!Z:Z,"Rejected",'QA Log'!L:L,"*Personnel (section 1)*"),
COUNTIFS('QA Log'!D:D,A370,'QA Log'!M:M,"Data Verification",'QA Log'!Z:Z,"Rejected",'QA Log'!L:L,"*Consumable (section 3)*"),
COUNTIFS('QA Log'!D:D,A370,'QA Log'!M:M,"Data Verification",'QA Log'!Z:Z,"Rejected",'QA Log'!L:L,"*Equipments (section 4)*")
))</f>
        <v/>
      </c>
      <c r="AT370" s="102" t="str">
        <f t="shared" si="33"/>
        <v/>
      </c>
      <c r="AU370" s="103" t="str">
        <f t="shared" si="34"/>
        <v/>
      </c>
      <c r="AV370" s="102" t="str">
        <f>IF(A370="","",SUM(
COUNTIFS('QA Log'!D:D,A370,'QA Log'!M:M,"Vignette",'QA Log'!L:L,"*Vignette [1] Respiratory Infection: Pneumonia*"),
COUNTIFS('QA Log'!D:D,A370,'QA Log'!M:M,"Vignette",'QA Log'!L:L,"*Vignette [2]: Diarrhea with Cat B dehydration*"),
COUNTIFS('QA Log'!D:D,A370,'QA Log'!M:M,"Vignette",'QA Log'!L:L,"*Vignette [3] Growth Monitoring and Promotion*"),
COUNTIFS('QA Log'!D:D,A370,'QA Log'!M:M,"Vignette",'QA Log'!L:L,"*Vignette [4]: The management of presumptive TB patient*")
)
)</f>
        <v/>
      </c>
      <c r="AW370" s="102" t="str">
        <f>IF(
  A370="","",
  SUM(
    COUNTIFS('QA Log'!D:D,A370,'QA Log'!M:M,"Vignette",'QA Log'!Z:Z,"Approved",'QA Log'!L:L,"*Vignette [1] Respiratory Infection: Pneumonia*"),
    COUNTIFS('QA Log'!D:D,A370,'QA Log'!M:M,"Vignette",'QA Log'!Z:Z,"Approved",'QA Log'!L:L,"*Vignette [2]: Diarrhea with Cat B dehydration*"),
    COUNTIFS('QA Log'!D:D,A370,'QA Log'!M:M,"Vignette",'QA Log'!Z:Z,"Approved",'QA Log'!L:L,"*Vignette [3] Growth Monitoring and Promotion*"),
    COUNTIFS('QA Log'!D:D,A370,'QA Log'!M:M,"Vignette",'QA Log'!Z:Z,"Approved",'QA Log'!L:L,"*Vignette [4]: The management of presumptive TB patient*")
  )
)</f>
        <v/>
      </c>
      <c r="AX370" s="105" t="str">
        <f>IF(A370&lt;&gt;"",COUNTIFS('QA Log'!D:D,A370,'QA Log'!M:M,"Vignette",'QA Log'!L:L,"Vignette [1] Respiratory Infection: Pneumonia",'QA Log'!Z:Z,"Approved"),"")</f>
        <v/>
      </c>
      <c r="AY370" s="105" t="str">
        <f>IF(A370&lt;&gt;"",COUNTIFS('QA Log'!D:D,A370,'QA Log'!M:M,"Vignette",'QA Log'!L:L,"Vignette [2]: Diarrhea with Cat B dehydration",'QA Log'!Z:Z,"Approved"),"")</f>
        <v/>
      </c>
      <c r="AZ370" s="105" t="str">
        <f>IF(A370&lt;&gt;"",COUNTIFS('QA Log'!D:D,A370,'QA Log'!M:M,"Vignette",'QA Log'!L:L,"Vignette [3] Growth Monitoring and Promotion",'QA Log'!Z:Z,"Approved"),"")</f>
        <v/>
      </c>
      <c r="BA370" s="105" t="str">
        <f>IF(A370&lt;&gt;"",COUNTIFS('QA Log'!D:D,A370,'QA Log'!M:M,"Vignette",'QA Log'!L:L,"Vignette [4]: The management of presumptive TB patient",'QA Log'!Z:Z,"Approved"),"")</f>
        <v/>
      </c>
      <c r="BB370" s="102" t="str">
        <f>IF(A370="","",
  SUM(
    COUNTIFS('QA Log'!D:D,A370,'QA Log'!M:M,"Vignette",'QA Log'!Z:Z,"Rejected",'QA Log'!L:L,"*Vignette [1] Respiratory Infection: Pneumonia*"),
    COUNTIFS('QA Log'!D:D,A370,'QA Log'!M:M,"Vignette",'QA Log'!Z:Z,"Rejected",'QA Log'!L:L,"*Vignette [2]: Diarrhea with Cat B dehydration*"),
    COUNTIFS('QA Log'!D:D,A370,'QA Log'!M:M,"Vignette",'QA Log'!Z:Z,"Rejected",'QA Log'!L:L,"*Vignette [3] Growth Monitoring and Promotion*"),
    COUNTIFS('QA Log'!D:D,A370,'QA Log'!M:M,"Vignette",'QA Log'!Z:Z,"Rejected",'QA Log'!L:L,"*Vignette [4]: The management of presumptive TB patient*")
  )
)</f>
        <v/>
      </c>
      <c r="BC370" s="107" t="str">
        <f t="shared" si="35"/>
        <v/>
      </c>
      <c r="BD370" s="103" t="str">
        <f t="shared" si="36"/>
        <v/>
      </c>
      <c r="BE370" s="102" t="str">
        <f>IF(A370="","",SUM(
COUNTIFS('QA Log'!D:D,A370,'QA Log'!M:M,"Vignette",'QA Log'!L:L,"*Vignette [5] Labor*"),
COUNTIFS('QA Log'!D:D,A370,'QA Log'!M:M,"Vignette",'QA Log'!L:L,"*Vignette [6] PNC pre Discharge*"),
COUNTIFS('QA Log'!D:D,A370,'QA Log'!M:M,"Vignette",'QA Log'!L:L,"*Vignette [7] First ANC Visit*"),
COUNTIFS('QA Log'!D:D,A370,'QA Log'!M:M,"Vignette",'QA Log'!L:L,"*Vignette [8] Birth Spacing/ Family Planning :  FP Counselling*"),
COUNTIFS('QA Log'!D:D,A370,'QA Log'!M:M,"Vignette",'QA Log'!L:L,"*Vignette [9] Birth Spacing: Change FP method to Injectable*"),
COUNTIFS('QA Log'!D:D,A370,'QA Log'!M:M,"Vignette",'QA Log'!L:L,"*Vignette [10] Post Partum Haemorrhage - Atonic Uterus at Health Centre*"),
)
)</f>
        <v/>
      </c>
      <c r="BF370" s="102" t="str">
        <f>IF(A370="","",
  SUM(
    COUNTIFS('QA Log'!D:D,A370,'QA Log'!M:M,"Vignette",'QA Log'!Z:Z,"Approved",'QA Log'!L:L,"*Vignette [5] Labor*"),
    COUNTIFS('QA Log'!D:D,A370,'QA Log'!M:M,"Vignette",'QA Log'!Z:Z,"Approved",'QA Log'!L:L,"*Vignette [6] PNC pre Discharge*"),
    COUNTIFS('QA Log'!D:D,A370,'QA Log'!M:M,"Vignette",'QA Log'!Z:Z,"Approved",'QA Log'!L:L,"*Vignette [7] First ANC Visit*"),
    COUNTIFS('QA Log'!D:D,A370,'QA Log'!M:M,"Vignette",'QA Log'!Z:Z,"Approved",'QA Log'!L:L,"*Vignette [8] Birth Spacing/ Family Planning :  FP Counselling*"),
    COUNTIFS('QA Log'!D:D,A370,'QA Log'!M:M,"Vignette",'QA Log'!Z:Z,"Approved",'QA Log'!L:L,"*Vignette [9] Birth Spacing: Change FP method to Injectable*"),
    COUNTIFS('QA Log'!D:D,A370,'QA Log'!M:M,"Vignette",'QA Log'!Z:Z,"Approved",'QA Log'!L:L,"*Vignette [10] Post Partum Haemorrhage - Atonic Uterus at Health Centre*")
  )
)</f>
        <v/>
      </c>
      <c r="BG370" s="105" t="str">
        <f>IF(A370&lt;&gt;"",COUNTIFS('QA Log'!D:D,A370,'QA Log'!M:M,"Vignette",'QA Log'!L:L,"Vignette [5] Labor",'QA Log'!Z:Z,"Approved"),"")</f>
        <v/>
      </c>
      <c r="BH370" s="105" t="str">
        <f>IF(A370&lt;&gt;"",COUNTIFS('QA Log'!D:D,A370,'QA Log'!M:M,"Vignette",'QA Log'!L:L,"Vignette [6] PNC pre Discharge",'QA Log'!Z:Z,"Approved"),"")</f>
        <v/>
      </c>
      <c r="BI370" s="105" t="str">
        <f>IF(A370&lt;&gt;"",COUNTIFS('QA Log'!D:D,A370,'QA Log'!M:M,"Vignette",'QA Log'!L:L,"Vignette [7] First ANC Visit",'QA Log'!Z:Z,"Approved"),"")</f>
        <v/>
      </c>
      <c r="BJ370" s="105" t="str">
        <f>IF(A370&lt;&gt;"",COUNTIFS('QA Log'!D:D,A370,'QA Log'!M:M,"Vignette",'QA Log'!L:L,"Vignette [8] Birth Spacing/ Family Planning :  FP Counselling",'QA Log'!Z:Z,"Approved"),"")</f>
        <v/>
      </c>
      <c r="BK370" s="105" t="str">
        <f>IF(A370&lt;&gt;"",COUNTIFS('QA Log'!D:D,A370,'QA Log'!M:M,"Vignette",'QA Log'!L:L,"Vignette [9] Birth Spacing: Change FP method to Injectable",'QA Log'!Z:Z,"Approved"),"")</f>
        <v/>
      </c>
      <c r="BL370" s="105" t="str">
        <f>IF(A370&lt;&gt;"",COUNTIFS('QA Log'!D:D,A370,'QA Log'!M:M,"Vignette",'QA Log'!L:L,"Vignette [10] Post Partum Haemorrhage - Atonic Uterus at Health Centre",'QA Log'!Z:Z,"Approved"),"")</f>
        <v/>
      </c>
      <c r="BM370" s="102" t="str">
        <f>IF(A370="","",SUM(
    COUNTIFS('QA Log'!D:D,A370,'QA Log'!M:M,"Vignette",'QA Log'!Z:Z,"Rejected",'QA Log'!L:L,"*Vignette [5] Labor*"),
    COUNTIFS('QA Log'!D:D,A370,'QA Log'!M:M,"Vignette",'QA Log'!Z:Z,"Rejected",'QA Log'!L:L,"*Vignette [6] PNC pre Discharge*"),
    COUNTIFS('QA Log'!D:D,A370,'QA Log'!M:M,"Vignette",'QA Log'!Z:Z,"Rejected",'QA Log'!L:L,"*Vignette [7] First ANC Visit*"),
    COUNTIFS('QA Log'!D:D,A370,'QA Log'!M:M,"Vignette",'QA Log'!Z:Z,"Rejected",'QA Log'!L:L,"*Vignette [8] Birth Spacing/ Family Planning :  FP Counselling*"),
    COUNTIFS('QA Log'!D:D,A370,'QA Log'!M:M,"Vignette",'QA Log'!Z:Z,"Rejected",'QA Log'!L:L,"*Vignette [9] Birth Spacing: Change FP method to Injectable*"),
    COUNTIFS('QA Log'!D:D,A370,'QA Log'!M:M,"Vignette",'QA Log'!Z:Z,"Rejected",'QA Log'!L:L,"*Vignette [10] Post Partum Haemorrhage - Atonic Uterus at Health Centre*")
  )
)</f>
        <v/>
      </c>
      <c r="BN370" s="107" t="str">
        <f t="shared" si="37"/>
        <v/>
      </c>
      <c r="BO370" s="103" t="str">
        <f t="shared" si="38"/>
        <v/>
      </c>
      <c r="BP370" s="102" t="str">
        <f>IF(A370="","",SUM(
COUNTIFS('QA Log'!D:D,A370,'QA Log'!M:M,"Vignette",'QA Log'!L:L,"*Exit Interview 1*"),
COUNTIFS('QA Log'!D:D,A370,'QA Log'!M:M,"Vignette",'QA Log'!L:L,"*Exit Interview 2*"),
)
)</f>
        <v/>
      </c>
      <c r="BQ370" s="102" t="str">
        <f>IF(
  A370="","",
  SUM(
    COUNTIFS('QA Log'!D:D,A370,'QA Log'!M:M,"Vignette",'QA Log'!Z:Z,"Approved",'QA Log'!L:L,"*Exit Interview 1*"),
    COUNTIFS('QA Log'!D:D,A370,'QA Log'!M:M,"Vignette",'QA Log'!Z:Z,"Approved",'QA Log'!L:L,"*Exit Interview 2*")
  )
)</f>
        <v/>
      </c>
      <c r="BR370" s="105" t="str">
        <f>IF(A370&lt;&gt;"",COUNTIFS('QA Log'!D:D,A370,'QA Log'!M:M,"Vignette",'QA Log'!L:L,"Exit Interview 1",'QA Log'!Z:Z,"Approved"),"")</f>
        <v/>
      </c>
      <c r="BS370" s="105" t="str">
        <f>IF(A370&lt;&gt;"",COUNTIFS('QA Log'!D:D,A370,'QA Log'!M:M,"Vignette",'QA Log'!L:L,"Exit Interview 2",'QA Log'!Z:Z,"Approved"),"")</f>
        <v/>
      </c>
      <c r="BT370" s="102" t="str">
        <f>IF(
  A370="","",
  SUM(
    COUNTIFS('QA Log'!D:D,A370,'QA Log'!M:M,"Vignette",'QA Log'!Z:Z,"Rejected",'QA Log'!L:L,"*Exit Interview 1*"),
    COUNTIFS('QA Log'!D:D,A370,'QA Log'!M:M,"Vignette",'QA Log'!Z:Z,"Rejected",'QA Log'!L:L,"*Exit Interview 2*")
  )
)</f>
        <v/>
      </c>
      <c r="BU370" s="107" t="str">
        <f t="shared" si="39"/>
        <v/>
      </c>
      <c r="BV370" s="102" t="str">
        <f t="shared" si="40"/>
        <v/>
      </c>
      <c r="BW370" s="102" t="str">
        <f t="shared" si="41"/>
        <v/>
      </c>
      <c r="BX370" s="102" t="str">
        <f t="shared" si="42"/>
        <v/>
      </c>
      <c r="BY370" s="102" t="str">
        <f t="shared" si="43"/>
        <v/>
      </c>
      <c r="BZ370" s="107" t="str">
        <f t="shared" si="44"/>
        <v/>
      </c>
      <c r="CA370" s="108" t="str">
        <f t="shared" si="45"/>
        <v/>
      </c>
      <c r="CB370" s="108" t="str">
        <f t="shared" si="46"/>
        <v/>
      </c>
      <c r="CC370" s="109" t="str">
        <f t="shared" si="47"/>
        <v/>
      </c>
      <c r="CD370" s="108" t="str">
        <f t="shared" si="48"/>
        <v/>
      </c>
      <c r="CE370" s="108" t="str">
        <f t="shared" si="49"/>
        <v/>
      </c>
      <c r="CF370" s="109" t="str">
        <f t="shared" si="50"/>
        <v/>
      </c>
      <c r="CG370" s="110" t="str">
        <f t="shared" si="51"/>
        <v/>
      </c>
      <c r="CH370" s="111"/>
    </row>
    <row r="371" spans="1:86" ht="12.75">
      <c r="A371" s="101"/>
      <c r="B371" s="102" t="e">
        <f t="array" aca="1" ref="B371" ca="1">_xludf.XLOOKUP(A371,'QA Log'!D:D,'QA Log'!E:E,"")</f>
        <v>#NAME?</v>
      </c>
      <c r="C371" s="102" t="e">
        <f t="array" aca="1" ref="C371" ca="1">_xludf.XLOOKUP(A371,'QA Log'!D:D,'QA Log'!F:F,"")</f>
        <v>#NAME?</v>
      </c>
      <c r="D371" s="102" t="e">
        <f t="array" aca="1" ref="D371" ca="1">_xludf.XLOOKUP(A371,'QA Log'!D:D,'QA Log'!H:H,"")</f>
        <v>#NAME?</v>
      </c>
      <c r="E371" s="102" t="e">
        <f t="array" aca="1" ref="E371" ca="1">_xludf.XLOOKUP(A371,'QA Log'!D:D,'QA Log'!G:G,"")</f>
        <v>#NAME?</v>
      </c>
      <c r="F371" s="103"/>
      <c r="G371" s="104"/>
      <c r="H371" s="104"/>
      <c r="I371" s="103" t="str">
        <f t="shared" si="26"/>
        <v/>
      </c>
      <c r="J371" s="102" t="str">
        <f>IF(A371="","",SUM(
COUNTIFS('QA Log'!D:D,A371,'QA Log'!M:M,"QQC",'QA Log'!L:L,"*1. General Management*"),
COUNTIFS('QA Log'!D:D,A371,'QA Log'!M:M,"QQC",'QA Log'!L:L,"*3. Curative Consultation (OPD)*"),
COUNTIFS('QA Log'!D:D,A371,'QA Log'!M:M,"QQC",'QA Log'!L:L,"*5. Laboratory*"),
COUNTIFS('QA Log'!D:D,A371,'QA Log'!M:M,"QQC",'QA Log'!L:L,"*6. Essential Medicine Management*"),
COUNTIFS('QA Log'!D:D,A371,'QA Log'!M:M,"QQC",'QA Log'!L:L,"*7. Tracer Medicine*"),
COUNTIFS('QA Log'!D:D,A371,'QA Log'!M:M,"QQC",'QA Log'!L:L,"*11. Additional Questions*")))</f>
        <v/>
      </c>
      <c r="K371" s="102" t="str">
        <f>IF(A371="","",SUM(
COUNTIFS('QA Log'!D:D,A371,'QA Log'!M:M,"QQC",'QA Log'!Z:Z,"Approved",'QA Log'!L:L,"*1. General Management*"),
COUNTIFS('QA Log'!D:D,A371,'QA Log'!M:M,"QQC",'QA Log'!Z:Z,"Approved",'QA Log'!L:L,"*3. Curative Consultation (OPD)*"),
COUNTIFS('QA Log'!D:D,A371,'QA Log'!M:M,"QQC",'QA Log'!Z:Z,"Approved",'QA Log'!L:L,"*5. Laboratory*"),
COUNTIFS('QA Log'!D:D,A371,'QA Log'!M:M,"QQC",'QA Log'!Z:Z,"Approved",'QA Log'!L:L,"*6. Essential Medicine Management*"),
COUNTIFS('QA Log'!D:D,A371,'QA Log'!M:M,"QQC",'QA Log'!Z:Z,"Approved",'QA Log'!L:L,"*7. Tracer Medicine*"),
COUNTIFS('QA Log'!D:D,A371,'QA Log'!M:M,"QQC",'QA Log'!Z:Z,"Approved",'QA Log'!L:L,"*11. Additional Questions*")))</f>
        <v/>
      </c>
      <c r="L371" s="102" t="str">
        <f>IF(A371&lt;&gt;"",COUNTIFS('QA Log'!D:D,A371,'QA Log'!M:M,"QQC",'QA Log'!L:L,"1. General Management",'QA Log'!Z:Z,"Approved"),"")</f>
        <v/>
      </c>
      <c r="M371" s="102" t="str">
        <f>IF(A371&lt;&gt;"",COUNTIFS('QA Log'!D:D,A371,'QA Log'!M:M,"QQC",'QA Log'!L:L,"3. Curative Consultation (OPD)",'QA Log'!Z:Z,"Approved"),"")</f>
        <v/>
      </c>
      <c r="N371" s="102" t="str">
        <f>IF(A371&lt;&gt;"",COUNTIFS('QA Log'!D:D,A371,'QA Log'!M:M,"QQC",'QA Log'!L:L,"5. Laboratory",'QA Log'!Z:Z,"Approved"),"")</f>
        <v/>
      </c>
      <c r="O371" s="102" t="str">
        <f>IF(A371&lt;&gt;"",COUNTIFS('QA Log'!D:D,A371,'QA Log'!M:M,"QQC",'QA Log'!L:L,"6. Essential Medicine Management",'QA Log'!Z:Z,"Approved"),"")</f>
        <v/>
      </c>
      <c r="P371" s="102" t="str">
        <f>IF(A371&lt;&gt;"",COUNTIFS('QA Log'!D:D,A371,'QA Log'!M:M,"QQC",'QA Log'!L:L,"7. Tracer Medicine",'QA Log'!Z:Z,"Approved"),"")</f>
        <v/>
      </c>
      <c r="Q371" s="102" t="str">
        <f>IF(A371&lt;&gt;"",COUNTIFS('QA Log'!D:D,A371,'QA Log'!M:M,"QQC",'QA Log'!L:L,"11. Additional Questions",'QA Log'!Z:Z,"Approved"),"")</f>
        <v/>
      </c>
      <c r="R371" s="102" t="str">
        <f>IF(A371="","",SUM(
COUNTIFS('QA Log'!D:D,A371,'QA Log'!M:M,"QQC",'QA Log'!Z:Z,"Rejected",'QA Log'!L:L,"*8. Maternity*"),
COUNTIFS('QA Log'!D:D,A371,'QA Log'!M:M,"QQC",'QA Log'!Z:Z,"Rejected",'QA Log'!L:L,"*EPI*"),
COUNTIFS('QA Log'!D:D,A371,'QA Log'!M:M,"QQC",'QA Log'!Z:Z,"Rejected",'QA Log'!L:L,"*10. Antenatal Care (ANC)*"),
COUNTIFS('QA Log'!D:D,A371,'QA Log'!M:M,"QQC",'QA Log'!Z:Z,"Rejected",'QA Log'!L:L,"*2. Hygiene and Sterilization*"),
COUNTIFS('QA Log'!D:D,A371,'QA Log'!M:M,"QQC",'QA Log'!Z:Z,"Rejected",'QA Log'!L:L,"*Family Planning*")))</f>
        <v/>
      </c>
      <c r="S371" s="106" t="str">
        <f t="shared" si="27"/>
        <v/>
      </c>
      <c r="T371" s="102" t="str">
        <f t="shared" si="28"/>
        <v/>
      </c>
      <c r="U371" s="102" t="str">
        <f>IF(A371="","",
SUM(
COUNTIFS('QA Log'!D:D,A371,'QA Log'!M:M,"QQC",'QA Log'!L:L,"*8. Maternity*"),
COUNTIFS('QA Log'!D:D,A371,'QA Log'!M:M,"QQC",'QA Log'!L:L,"*9. EPI and Pre-school Consultation*"),
COUNTIFS('QA Log'!D:D,A371,'QA Log'!M:M,"QQC",'QA Log'!L:L,"*10. Antenatal Care (ANC)*"),
COUNTIFS('QA Log'!D:D,A371,'QA Log'!M:M,"QQC",'QA Log'!L:L,"*2. Hygiene and Sterilization*"),
COUNTIFS('QA Log'!D:D,A371,'QA Log'!M:M,"QQC",'QA Log'!L:L,"*4. Family Planning*")
))</f>
        <v/>
      </c>
      <c r="V371" s="102" t="str">
        <f>IF(A371="","",
SUM(
COUNTIFS('QA Log'!D:D,A371,'QA Log'!M:M,"QQC",'QA Log'!Z:Z,"Approved",'QA Log'!L:L,"*8. Maternity*"),
COUNTIFS('QA Log'!D:D,A371,'QA Log'!M:M,"QQC",'QA Log'!Z:Z,"Approved",'QA Log'!L:L,"*9. EPI and Pre-school Consultation*"),
COUNTIFS('QA Log'!D:D,A371,'QA Log'!M:M,"QQC",'QA Log'!Z:Z,"Approved",'QA Log'!L:L,"*10. Antenatal Care (ANC)*"),
COUNTIFS('QA Log'!D:D,A371,'QA Log'!M:M,"QQC",'QA Log'!Z:Z,"Approved",'QA Log'!L:L,"*2. Hygiene and Sterilization*"),
COUNTIFS('QA Log'!D:D,A371,'QA Log'!M:M,"QQC",'QA Log'!Z:Z,"Approved",'QA Log'!L:L,"*4. Family Planning*")
))</f>
        <v/>
      </c>
      <c r="W371" s="105" t="str">
        <f>IF(A371&lt;&gt;"",COUNTIFS('QA Log'!D:D,A371,'QA Log'!M:M,"QQC",'QA Log'!L:L,"8. Maternity",'QA Log'!Z:Z,"Approved"),"")</f>
        <v/>
      </c>
      <c r="X371" s="105" t="str">
        <f>IF(A371&lt;&gt;"",COUNTIFS('QA Log'!D:D,A371,'QA Log'!M:M,"QQC",'QA Log'!L:L,"9. EPI and Pre-school Consultation",'QA Log'!Z:Z,"Approved"),"")</f>
        <v/>
      </c>
      <c r="Y371" s="105" t="str">
        <f>IF(A371&lt;&gt;"",COUNTIFS('QA Log'!D:D,A371,'QA Log'!M:M,"QQC",'QA Log'!L:L,"10. Antenatal Care (ANC)",'QA Log'!Z:Z,"Approved"),"")</f>
        <v/>
      </c>
      <c r="Z371" s="105" t="str">
        <f>IF(A371&lt;&gt;"",COUNTIFS('QA Log'!D:D,A371,'QA Log'!M:M,"QQC",'QA Log'!L:L,"2. Hygiene and Sterilization",'QA Log'!Z:Z,"Approved"),"")</f>
        <v/>
      </c>
      <c r="AA371" s="105" t="str">
        <f>IF(A371&lt;&gt;"",COUNTIFS('QA Log'!D:D,A371,'QA Log'!M:M,"QQC",'QA Log'!L:L,"4. Family Planning",'QA Log'!Z:Z,"Approved"),"")</f>
        <v/>
      </c>
      <c r="AB371" s="102" t="str">
        <f>IF(A371="","",
SUM(
COUNTIFS('QA Log'!D:D,A371,'QA Log'!M:M,"QQC",'QA Log'!Z:Z,"Rejected",'QA Log'!L:L,"*8. Maternity*"),
COUNTIFS('QA Log'!D:D,A371,'QA Log'!M:M,"QQC",'QA Log'!Z:Z,"Rejected",'QA Log'!L:L,"*9. EPI and Pre-school Consultation*"),
COUNTIFS('QA Log'!D:D,A371,'QA Log'!M:M,"QQC",'QA Log'!Z:Z,"Rejected",'QA Log'!L:L,"*10. Antenatal Care (ANC)*"),
COUNTIFS('QA Log'!D:D,A371,'QA Log'!M:M,"QQC",'QA Log'!Z:Z,"Rejected",'QA Log'!L:L,"*2. Hygiene and Sterilization*"),
COUNTIFS('QA Log'!D:D,A371,'QA Log'!M:M,"QQC",'QA Log'!Z:Z,"Rejected",'QA Log'!L:L,"*4. Family Planning*")
))</f>
        <v/>
      </c>
      <c r="AC371" s="102" t="str">
        <f t="shared" si="29"/>
        <v/>
      </c>
      <c r="AD371" s="103" t="str">
        <f t="shared" si="30"/>
        <v/>
      </c>
      <c r="AE371" s="102" t="str">
        <f>IF(A371="","",
SUM(
COUNTIFS('QA Log'!D:D,A371,'QA Log'!M:M,"Data Verification",'QA Log'!L:L,"*Medicine (section 2)*"),
COUNTIFS('QA Log'!D:D,A371,'QA Log'!M:M,"Data Verification",'QA Log'!L:L,"*Lab Testing Availability*"),
COUNTIFS('QA Log'!D:D,A371,'QA Log'!M:M,"Data Verification",'QA Log'!L:L,"*Other than P4P (section 6)*"),
COUNTIFS('QA Log'!D:D,A371,'QA Log'!M:M,"Data Verification",'QA Log'!L:L,"*Hospital Governance*")
))</f>
        <v/>
      </c>
      <c r="AF371" s="102" t="str">
        <f>IF(A371="","",
SUM(
COUNTIFS('QA Log'!D:D,A371,'QA Log'!M:M,"Data Verification",'QA Log'!Z:Z,"Approved",'QA Log'!L:L,"*Medicine (section 2)*"),
COUNTIFS('QA Log'!D:D,A371,'QA Log'!M:M,"Data Verification",'QA Log'!Z:Z,"Approved",'QA Log'!L:L,"*Lab Testing Availability*"),
COUNTIFS('QA Log'!D:D,A371,'QA Log'!M:M,"Data Verification",'QA Log'!Z:Z,"Approved",'QA Log'!L:L,"*Other than P4P (section 6)*"),
COUNTIFS('QA Log'!D:D,A371,'QA Log'!M:M,"Data Verification",'QA Log'!Z:Z,"Approved",'QA Log'!L:L,"*Hospital Governance*")
))</f>
        <v/>
      </c>
      <c r="AG371" s="105" t="str">
        <f>IF(A371&lt;&gt;"",COUNTIFS('QA Log'!D:D,A371,'QA Log'!M:M,"Data Verification",'QA Log'!L:L,"Medicine (section 2)",'QA Log'!Z:Z,"Approved"),"")</f>
        <v/>
      </c>
      <c r="AH371" s="105" t="str">
        <f>IF(A371&lt;&gt;"",COUNTIFS('QA Log'!D:D,A371,'QA Log'!M:M,"Data Verification",'QA Log'!L:L,"Lab Testing Availability",'QA Log'!Z:Z,"Approved"),"")</f>
        <v/>
      </c>
      <c r="AI371" s="105" t="str">
        <f>IF(A371&lt;&gt;"",COUNTIFS('QA Log'!D:D,A371,'QA Log'!M:M,"Data Verification",'QA Log'!L:L,"Other than P4P (section 6)",'QA Log'!Z:Z,"Approved"),"")</f>
        <v/>
      </c>
      <c r="AJ371" s="105" t="str">
        <f>IF(A371&lt;&gt;"",COUNTIFS('QA Log'!D:D,A371,'QA Log'!M:M,"Data Verification",'QA Log'!L:L,"Hospital Governance",'QA Log'!Z:Z,"Approved"),"")</f>
        <v/>
      </c>
      <c r="AK371" s="102" t="str">
        <f>IF(A371="","",
SUM(
COUNTIFS('QA Log'!D:D,A371,'QA Log'!M:M,"Data Verification",'QA Log'!Z:Z,"Rejected",'QA Log'!L:L,"*Medicine (section 2)*"),
COUNTIFS('QA Log'!D:D,A371,'QA Log'!M:M,"Data Verification",'QA Log'!Z:Z,"Rejected",'QA Log'!L:L,"*Lab Testing Availability*"),
COUNTIFS('QA Log'!D:D,A371,'QA Log'!M:M,"Data Verification",'QA Log'!Z:Z,"Rejected",'QA Log'!L:L,"*Other than P4P (section 6)*"),
COUNTIFS('QA Log'!D:D,A371,'QA Log'!M:M,"Data Verification",'QA Log'!Z:Z,"Rejected",'QA Log'!L:L,"*Hospital Governance*")
))</f>
        <v/>
      </c>
      <c r="AL371" s="106" t="str">
        <f t="shared" si="31"/>
        <v/>
      </c>
      <c r="AM371" s="102" t="str">
        <f t="shared" si="32"/>
        <v/>
      </c>
      <c r="AN371" s="102" t="str">
        <f>IF(A371="","",
SUM(
COUNTIFS('QA Log'!D:D,A371,'QA Log'!M:M,"Data Verification",'QA Log'!L:L,"*Personnel (section 1)*"),
COUNTIFS('QA Log'!D:D,A371,'QA Log'!M:M,"Data Verification",'QA Log'!L:L,"*Consumable (section 3)*"),
COUNTIFS('QA Log'!D:D,A371,'QA Log'!M:M,"Data Verification",'QA Log'!L:L,"*Equipments (section 4)*")
))</f>
        <v/>
      </c>
      <c r="AO371" s="102" t="str">
        <f>IF(A371="","",
SUM(
COUNTIFS('QA Log'!D:D,A371,'QA Log'!M:M,"Data Verification",'QA Log'!Z:Z,"Approved",'QA Log'!L:L,"*Personnel (section 1)*"),
COUNTIFS('QA Log'!D:D,A371,'QA Log'!M:M,"Data Verification",'QA Log'!Z:Z,"Approved",'QA Log'!L:L,"*Consumable (section 3)*"),
COUNTIFS('QA Log'!D:D,A371,'QA Log'!M:M,"Data Verification",'QA Log'!Z:Z,"Approved",'QA Log'!L:L,"*Equipments (section 4)*")
))</f>
        <v/>
      </c>
      <c r="AP371" s="105" t="str">
        <f>IF(A371&lt;&gt;"",COUNTIFS('QA Log'!D:D,A371,'QA Log'!M:M,"Data Verification",'QA Log'!L:L,"Personnel (section 1)",'QA Log'!Z:Z,"Approved"),"")</f>
        <v/>
      </c>
      <c r="AQ371" s="105" t="str">
        <f>IF(A371&lt;&gt;"",COUNTIFS('QA Log'!D:D,A371,'QA Log'!M:M,"Data Verification",'QA Log'!L:L,"Consumable (section 3)",'QA Log'!Z:Z,"Approved"),"")</f>
        <v/>
      </c>
      <c r="AR371" s="105" t="str">
        <f>IF(A371&lt;&gt;"",COUNTIFS('QA Log'!D:D,A371,'QA Log'!M:M,"Data Verification",'QA Log'!L:L,"Equipments (section 4)",'QA Log'!Z:Z,"Approved"),"")</f>
        <v/>
      </c>
      <c r="AS371" s="102" t="str">
        <f>IF(A371="","",
SUM(
COUNTIFS('QA Log'!D:D,A371,'QA Log'!M:M,"Data Verification",'QA Log'!Z:Z,"Rejected",'QA Log'!L:L,"*Personnel (section 1)*"),
COUNTIFS('QA Log'!D:D,A371,'QA Log'!M:M,"Data Verification",'QA Log'!Z:Z,"Rejected",'QA Log'!L:L,"*Consumable (section 3)*"),
COUNTIFS('QA Log'!D:D,A371,'QA Log'!M:M,"Data Verification",'QA Log'!Z:Z,"Rejected",'QA Log'!L:L,"*Equipments (section 4)*")
))</f>
        <v/>
      </c>
      <c r="AT371" s="102" t="str">
        <f t="shared" si="33"/>
        <v/>
      </c>
      <c r="AU371" s="103" t="str">
        <f t="shared" si="34"/>
        <v/>
      </c>
      <c r="AV371" s="102" t="str">
        <f>IF(A371="","",SUM(
COUNTIFS('QA Log'!D:D,A371,'QA Log'!M:M,"Vignette",'QA Log'!L:L,"*Vignette [1] Respiratory Infection: Pneumonia*"),
COUNTIFS('QA Log'!D:D,A371,'QA Log'!M:M,"Vignette",'QA Log'!L:L,"*Vignette [2]: Diarrhea with Cat B dehydration*"),
COUNTIFS('QA Log'!D:D,A371,'QA Log'!M:M,"Vignette",'QA Log'!L:L,"*Vignette [3] Growth Monitoring and Promotion*"),
COUNTIFS('QA Log'!D:D,A371,'QA Log'!M:M,"Vignette",'QA Log'!L:L,"*Vignette [4]: The management of presumptive TB patient*")
)
)</f>
        <v/>
      </c>
      <c r="AW371" s="102" t="str">
        <f>IF(
  A371="","",
  SUM(
    COUNTIFS('QA Log'!D:D,A371,'QA Log'!M:M,"Vignette",'QA Log'!Z:Z,"Approved",'QA Log'!L:L,"*Vignette [1] Respiratory Infection: Pneumonia*"),
    COUNTIFS('QA Log'!D:D,A371,'QA Log'!M:M,"Vignette",'QA Log'!Z:Z,"Approved",'QA Log'!L:L,"*Vignette [2]: Diarrhea with Cat B dehydration*"),
    COUNTIFS('QA Log'!D:D,A371,'QA Log'!M:M,"Vignette",'QA Log'!Z:Z,"Approved",'QA Log'!L:L,"*Vignette [3] Growth Monitoring and Promotion*"),
    COUNTIFS('QA Log'!D:D,A371,'QA Log'!M:M,"Vignette",'QA Log'!Z:Z,"Approved",'QA Log'!L:L,"*Vignette [4]: The management of presumptive TB patient*")
  )
)</f>
        <v/>
      </c>
      <c r="AX371" s="105" t="str">
        <f>IF(A371&lt;&gt;"",COUNTIFS('QA Log'!D:D,A371,'QA Log'!M:M,"Vignette",'QA Log'!L:L,"Vignette [1] Respiratory Infection: Pneumonia",'QA Log'!Z:Z,"Approved"),"")</f>
        <v/>
      </c>
      <c r="AY371" s="105" t="str">
        <f>IF(A371&lt;&gt;"",COUNTIFS('QA Log'!D:D,A371,'QA Log'!M:M,"Vignette",'QA Log'!L:L,"Vignette [2]: Diarrhea with Cat B dehydration",'QA Log'!Z:Z,"Approved"),"")</f>
        <v/>
      </c>
      <c r="AZ371" s="105" t="str">
        <f>IF(A371&lt;&gt;"",COUNTIFS('QA Log'!D:D,A371,'QA Log'!M:M,"Vignette",'QA Log'!L:L,"Vignette [3] Growth Monitoring and Promotion",'QA Log'!Z:Z,"Approved"),"")</f>
        <v/>
      </c>
      <c r="BA371" s="105" t="str">
        <f>IF(A371&lt;&gt;"",COUNTIFS('QA Log'!D:D,A371,'QA Log'!M:M,"Vignette",'QA Log'!L:L,"Vignette [4]: The management of presumptive TB patient",'QA Log'!Z:Z,"Approved"),"")</f>
        <v/>
      </c>
      <c r="BB371" s="102" t="str">
        <f>IF(A371="","",
  SUM(
    COUNTIFS('QA Log'!D:D,A371,'QA Log'!M:M,"Vignette",'QA Log'!Z:Z,"Rejected",'QA Log'!L:L,"*Vignette [1] Respiratory Infection: Pneumonia*"),
    COUNTIFS('QA Log'!D:D,A371,'QA Log'!M:M,"Vignette",'QA Log'!Z:Z,"Rejected",'QA Log'!L:L,"*Vignette [2]: Diarrhea with Cat B dehydration*"),
    COUNTIFS('QA Log'!D:D,A371,'QA Log'!M:M,"Vignette",'QA Log'!Z:Z,"Rejected",'QA Log'!L:L,"*Vignette [3] Growth Monitoring and Promotion*"),
    COUNTIFS('QA Log'!D:D,A371,'QA Log'!M:M,"Vignette",'QA Log'!Z:Z,"Rejected",'QA Log'!L:L,"*Vignette [4]: The management of presumptive TB patient*")
  )
)</f>
        <v/>
      </c>
      <c r="BC371" s="107" t="str">
        <f t="shared" si="35"/>
        <v/>
      </c>
      <c r="BD371" s="103" t="str">
        <f t="shared" si="36"/>
        <v/>
      </c>
      <c r="BE371" s="102" t="str">
        <f>IF(A371="","",SUM(
COUNTIFS('QA Log'!D:D,A371,'QA Log'!M:M,"Vignette",'QA Log'!L:L,"*Vignette [5] Labor*"),
COUNTIFS('QA Log'!D:D,A371,'QA Log'!M:M,"Vignette",'QA Log'!L:L,"*Vignette [6] PNC pre Discharge*"),
COUNTIFS('QA Log'!D:D,A371,'QA Log'!M:M,"Vignette",'QA Log'!L:L,"*Vignette [7] First ANC Visit*"),
COUNTIFS('QA Log'!D:D,A371,'QA Log'!M:M,"Vignette",'QA Log'!L:L,"*Vignette [8] Birth Spacing/ Family Planning :  FP Counselling*"),
COUNTIFS('QA Log'!D:D,A371,'QA Log'!M:M,"Vignette",'QA Log'!L:L,"*Vignette [9] Birth Spacing: Change FP method to Injectable*"),
COUNTIFS('QA Log'!D:D,A371,'QA Log'!M:M,"Vignette",'QA Log'!L:L,"*Vignette [10] Post Partum Haemorrhage - Atonic Uterus at Health Centre*"),
)
)</f>
        <v/>
      </c>
      <c r="BF371" s="102" t="str">
        <f>IF(A371="","",
  SUM(
    COUNTIFS('QA Log'!D:D,A371,'QA Log'!M:M,"Vignette",'QA Log'!Z:Z,"Approved",'QA Log'!L:L,"*Vignette [5] Labor*"),
    COUNTIFS('QA Log'!D:D,A371,'QA Log'!M:M,"Vignette",'QA Log'!Z:Z,"Approved",'QA Log'!L:L,"*Vignette [6] PNC pre Discharge*"),
    COUNTIFS('QA Log'!D:D,A371,'QA Log'!M:M,"Vignette",'QA Log'!Z:Z,"Approved",'QA Log'!L:L,"*Vignette [7] First ANC Visit*"),
    COUNTIFS('QA Log'!D:D,A371,'QA Log'!M:M,"Vignette",'QA Log'!Z:Z,"Approved",'QA Log'!L:L,"*Vignette [8] Birth Spacing/ Family Planning :  FP Counselling*"),
    COUNTIFS('QA Log'!D:D,A371,'QA Log'!M:M,"Vignette",'QA Log'!Z:Z,"Approved",'QA Log'!L:L,"*Vignette [9] Birth Spacing: Change FP method to Injectable*"),
    COUNTIFS('QA Log'!D:D,A371,'QA Log'!M:M,"Vignette",'QA Log'!Z:Z,"Approved",'QA Log'!L:L,"*Vignette [10] Post Partum Haemorrhage - Atonic Uterus at Health Centre*")
  )
)</f>
        <v/>
      </c>
      <c r="BG371" s="105" t="str">
        <f>IF(A371&lt;&gt;"",COUNTIFS('QA Log'!D:D,A371,'QA Log'!M:M,"Vignette",'QA Log'!L:L,"Vignette [5] Labor",'QA Log'!Z:Z,"Approved"),"")</f>
        <v/>
      </c>
      <c r="BH371" s="105" t="str">
        <f>IF(A371&lt;&gt;"",COUNTIFS('QA Log'!D:D,A371,'QA Log'!M:M,"Vignette",'QA Log'!L:L,"Vignette [6] PNC pre Discharge",'QA Log'!Z:Z,"Approved"),"")</f>
        <v/>
      </c>
      <c r="BI371" s="105" t="str">
        <f>IF(A371&lt;&gt;"",COUNTIFS('QA Log'!D:D,A371,'QA Log'!M:M,"Vignette",'QA Log'!L:L,"Vignette [7] First ANC Visit",'QA Log'!Z:Z,"Approved"),"")</f>
        <v/>
      </c>
      <c r="BJ371" s="105" t="str">
        <f>IF(A371&lt;&gt;"",COUNTIFS('QA Log'!D:D,A371,'QA Log'!M:M,"Vignette",'QA Log'!L:L,"Vignette [8] Birth Spacing/ Family Planning :  FP Counselling",'QA Log'!Z:Z,"Approved"),"")</f>
        <v/>
      </c>
      <c r="BK371" s="105" t="str">
        <f>IF(A371&lt;&gt;"",COUNTIFS('QA Log'!D:D,A371,'QA Log'!M:M,"Vignette",'QA Log'!L:L,"Vignette [9] Birth Spacing: Change FP method to Injectable",'QA Log'!Z:Z,"Approved"),"")</f>
        <v/>
      </c>
      <c r="BL371" s="105" t="str">
        <f>IF(A371&lt;&gt;"",COUNTIFS('QA Log'!D:D,A371,'QA Log'!M:M,"Vignette",'QA Log'!L:L,"Vignette [10] Post Partum Haemorrhage - Atonic Uterus at Health Centre",'QA Log'!Z:Z,"Approved"),"")</f>
        <v/>
      </c>
      <c r="BM371" s="102" t="str">
        <f>IF(A371="","",SUM(
    COUNTIFS('QA Log'!D:D,A371,'QA Log'!M:M,"Vignette",'QA Log'!Z:Z,"Rejected",'QA Log'!L:L,"*Vignette [5] Labor*"),
    COUNTIFS('QA Log'!D:D,A371,'QA Log'!M:M,"Vignette",'QA Log'!Z:Z,"Rejected",'QA Log'!L:L,"*Vignette [6] PNC pre Discharge*"),
    COUNTIFS('QA Log'!D:D,A371,'QA Log'!M:M,"Vignette",'QA Log'!Z:Z,"Rejected",'QA Log'!L:L,"*Vignette [7] First ANC Visit*"),
    COUNTIFS('QA Log'!D:D,A371,'QA Log'!M:M,"Vignette",'QA Log'!Z:Z,"Rejected",'QA Log'!L:L,"*Vignette [8] Birth Spacing/ Family Planning :  FP Counselling*"),
    COUNTIFS('QA Log'!D:D,A371,'QA Log'!M:M,"Vignette",'QA Log'!Z:Z,"Rejected",'QA Log'!L:L,"*Vignette [9] Birth Spacing: Change FP method to Injectable*"),
    COUNTIFS('QA Log'!D:D,A371,'QA Log'!M:M,"Vignette",'QA Log'!Z:Z,"Rejected",'QA Log'!L:L,"*Vignette [10] Post Partum Haemorrhage - Atonic Uterus at Health Centre*")
  )
)</f>
        <v/>
      </c>
      <c r="BN371" s="107" t="str">
        <f t="shared" si="37"/>
        <v/>
      </c>
      <c r="BO371" s="103" t="str">
        <f t="shared" si="38"/>
        <v/>
      </c>
      <c r="BP371" s="102" t="str">
        <f>IF(A371="","",SUM(
COUNTIFS('QA Log'!D:D,A371,'QA Log'!M:M,"Vignette",'QA Log'!L:L,"*Exit Interview 1*"),
COUNTIFS('QA Log'!D:D,A371,'QA Log'!M:M,"Vignette",'QA Log'!L:L,"*Exit Interview 2*"),
)
)</f>
        <v/>
      </c>
      <c r="BQ371" s="102" t="str">
        <f>IF(
  A371="","",
  SUM(
    COUNTIFS('QA Log'!D:D,A371,'QA Log'!M:M,"Vignette",'QA Log'!Z:Z,"Approved",'QA Log'!L:L,"*Exit Interview 1*"),
    COUNTIFS('QA Log'!D:D,A371,'QA Log'!M:M,"Vignette",'QA Log'!Z:Z,"Approved",'QA Log'!L:L,"*Exit Interview 2*")
  )
)</f>
        <v/>
      </c>
      <c r="BR371" s="105" t="str">
        <f>IF(A371&lt;&gt;"",COUNTIFS('QA Log'!D:D,A371,'QA Log'!M:M,"Vignette",'QA Log'!L:L,"Exit Interview 1",'QA Log'!Z:Z,"Approved"),"")</f>
        <v/>
      </c>
      <c r="BS371" s="105" t="str">
        <f>IF(A371&lt;&gt;"",COUNTIFS('QA Log'!D:D,A371,'QA Log'!M:M,"Vignette",'QA Log'!L:L,"Exit Interview 2",'QA Log'!Z:Z,"Approved"),"")</f>
        <v/>
      </c>
      <c r="BT371" s="102" t="str">
        <f>IF(
  A371="","",
  SUM(
    COUNTIFS('QA Log'!D:D,A371,'QA Log'!M:M,"Vignette",'QA Log'!Z:Z,"Rejected",'QA Log'!L:L,"*Exit Interview 1*"),
    COUNTIFS('QA Log'!D:D,A371,'QA Log'!M:M,"Vignette",'QA Log'!Z:Z,"Rejected",'QA Log'!L:L,"*Exit Interview 2*")
  )
)</f>
        <v/>
      </c>
      <c r="BU371" s="107" t="str">
        <f t="shared" si="39"/>
        <v/>
      </c>
      <c r="BV371" s="102" t="str">
        <f t="shared" si="40"/>
        <v/>
      </c>
      <c r="BW371" s="102" t="str">
        <f t="shared" si="41"/>
        <v/>
      </c>
      <c r="BX371" s="102" t="str">
        <f t="shared" si="42"/>
        <v/>
      </c>
      <c r="BY371" s="102" t="str">
        <f t="shared" si="43"/>
        <v/>
      </c>
      <c r="BZ371" s="107" t="str">
        <f t="shared" si="44"/>
        <v/>
      </c>
      <c r="CA371" s="108" t="str">
        <f t="shared" si="45"/>
        <v/>
      </c>
      <c r="CB371" s="108" t="str">
        <f t="shared" si="46"/>
        <v/>
      </c>
      <c r="CC371" s="109" t="str">
        <f t="shared" si="47"/>
        <v/>
      </c>
      <c r="CD371" s="108" t="str">
        <f t="shared" si="48"/>
        <v/>
      </c>
      <c r="CE371" s="108" t="str">
        <f t="shared" si="49"/>
        <v/>
      </c>
      <c r="CF371" s="109" t="str">
        <f t="shared" si="50"/>
        <v/>
      </c>
      <c r="CG371" s="110" t="str">
        <f t="shared" si="51"/>
        <v/>
      </c>
      <c r="CH371" s="111"/>
    </row>
    <row r="372" spans="1:86" ht="12.75">
      <c r="A372" s="101"/>
      <c r="B372" s="102" t="e">
        <f t="array" aca="1" ref="B372" ca="1">_xludf.XLOOKUP(A372,'QA Log'!D:D,'QA Log'!E:E,"")</f>
        <v>#NAME?</v>
      </c>
      <c r="C372" s="102" t="e">
        <f t="array" aca="1" ref="C372" ca="1">_xludf.XLOOKUP(A372,'QA Log'!D:D,'QA Log'!F:F,"")</f>
        <v>#NAME?</v>
      </c>
      <c r="D372" s="102" t="e">
        <f t="array" aca="1" ref="D372" ca="1">_xludf.XLOOKUP(A372,'QA Log'!D:D,'QA Log'!H:H,"")</f>
        <v>#NAME?</v>
      </c>
      <c r="E372" s="102" t="e">
        <f t="array" aca="1" ref="E372" ca="1">_xludf.XLOOKUP(A372,'QA Log'!D:D,'QA Log'!G:G,"")</f>
        <v>#NAME?</v>
      </c>
      <c r="F372" s="103"/>
      <c r="G372" s="104"/>
      <c r="H372" s="104"/>
      <c r="I372" s="103" t="str">
        <f t="shared" si="26"/>
        <v/>
      </c>
      <c r="J372" s="102" t="str">
        <f>IF(A372="","",SUM(
COUNTIFS('QA Log'!D:D,A372,'QA Log'!M:M,"QQC",'QA Log'!L:L,"*1. General Management*"),
COUNTIFS('QA Log'!D:D,A372,'QA Log'!M:M,"QQC",'QA Log'!L:L,"*3. Curative Consultation (OPD)*"),
COUNTIFS('QA Log'!D:D,A372,'QA Log'!M:M,"QQC",'QA Log'!L:L,"*5. Laboratory*"),
COUNTIFS('QA Log'!D:D,A372,'QA Log'!M:M,"QQC",'QA Log'!L:L,"*6. Essential Medicine Management*"),
COUNTIFS('QA Log'!D:D,A372,'QA Log'!M:M,"QQC",'QA Log'!L:L,"*7. Tracer Medicine*"),
COUNTIFS('QA Log'!D:D,A372,'QA Log'!M:M,"QQC",'QA Log'!L:L,"*11. Additional Questions*")))</f>
        <v/>
      </c>
      <c r="K372" s="102" t="str">
        <f>IF(A372="","",SUM(
COUNTIFS('QA Log'!D:D,A372,'QA Log'!M:M,"QQC",'QA Log'!Z:Z,"Approved",'QA Log'!L:L,"*1. General Management*"),
COUNTIFS('QA Log'!D:D,A372,'QA Log'!M:M,"QQC",'QA Log'!Z:Z,"Approved",'QA Log'!L:L,"*3. Curative Consultation (OPD)*"),
COUNTIFS('QA Log'!D:D,A372,'QA Log'!M:M,"QQC",'QA Log'!Z:Z,"Approved",'QA Log'!L:L,"*5. Laboratory*"),
COUNTIFS('QA Log'!D:D,A372,'QA Log'!M:M,"QQC",'QA Log'!Z:Z,"Approved",'QA Log'!L:L,"*6. Essential Medicine Management*"),
COUNTIFS('QA Log'!D:D,A372,'QA Log'!M:M,"QQC",'QA Log'!Z:Z,"Approved",'QA Log'!L:L,"*7. Tracer Medicine*"),
COUNTIFS('QA Log'!D:D,A372,'QA Log'!M:M,"QQC",'QA Log'!Z:Z,"Approved",'QA Log'!L:L,"*11. Additional Questions*")))</f>
        <v/>
      </c>
      <c r="L372" s="102" t="str">
        <f>IF(A372&lt;&gt;"",COUNTIFS('QA Log'!D:D,A372,'QA Log'!M:M,"QQC",'QA Log'!L:L,"1. General Management",'QA Log'!Z:Z,"Approved"),"")</f>
        <v/>
      </c>
      <c r="M372" s="102" t="str">
        <f>IF(A372&lt;&gt;"",COUNTIFS('QA Log'!D:D,A372,'QA Log'!M:M,"QQC",'QA Log'!L:L,"3. Curative Consultation (OPD)",'QA Log'!Z:Z,"Approved"),"")</f>
        <v/>
      </c>
      <c r="N372" s="102" t="str">
        <f>IF(A372&lt;&gt;"",COUNTIFS('QA Log'!D:D,A372,'QA Log'!M:M,"QQC",'QA Log'!L:L,"5. Laboratory",'QA Log'!Z:Z,"Approved"),"")</f>
        <v/>
      </c>
      <c r="O372" s="102" t="str">
        <f>IF(A372&lt;&gt;"",COUNTIFS('QA Log'!D:D,A372,'QA Log'!M:M,"QQC",'QA Log'!L:L,"6. Essential Medicine Management",'QA Log'!Z:Z,"Approved"),"")</f>
        <v/>
      </c>
      <c r="P372" s="102" t="str">
        <f>IF(A372&lt;&gt;"",COUNTIFS('QA Log'!D:D,A372,'QA Log'!M:M,"QQC",'QA Log'!L:L,"7. Tracer Medicine",'QA Log'!Z:Z,"Approved"),"")</f>
        <v/>
      </c>
      <c r="Q372" s="102" t="str">
        <f>IF(A372&lt;&gt;"",COUNTIFS('QA Log'!D:D,A372,'QA Log'!M:M,"QQC",'QA Log'!L:L,"11. Additional Questions",'QA Log'!Z:Z,"Approved"),"")</f>
        <v/>
      </c>
      <c r="R372" s="102" t="str">
        <f>IF(A372="","",SUM(
COUNTIFS('QA Log'!D:D,A372,'QA Log'!M:M,"QQC",'QA Log'!Z:Z,"Rejected",'QA Log'!L:L,"*8. Maternity*"),
COUNTIFS('QA Log'!D:D,A372,'QA Log'!M:M,"QQC",'QA Log'!Z:Z,"Rejected",'QA Log'!L:L,"*EPI*"),
COUNTIFS('QA Log'!D:D,A372,'QA Log'!M:M,"QQC",'QA Log'!Z:Z,"Rejected",'QA Log'!L:L,"*10. Antenatal Care (ANC)*"),
COUNTIFS('QA Log'!D:D,A372,'QA Log'!M:M,"QQC",'QA Log'!Z:Z,"Rejected",'QA Log'!L:L,"*2. Hygiene and Sterilization*"),
COUNTIFS('QA Log'!D:D,A372,'QA Log'!M:M,"QQC",'QA Log'!Z:Z,"Rejected",'QA Log'!L:L,"*Family Planning*")))</f>
        <v/>
      </c>
      <c r="S372" s="106" t="str">
        <f t="shared" si="27"/>
        <v/>
      </c>
      <c r="T372" s="102" t="str">
        <f t="shared" si="28"/>
        <v/>
      </c>
      <c r="U372" s="102" t="str">
        <f>IF(A372="","",
SUM(
COUNTIFS('QA Log'!D:D,A372,'QA Log'!M:M,"QQC",'QA Log'!L:L,"*8. Maternity*"),
COUNTIFS('QA Log'!D:D,A372,'QA Log'!M:M,"QQC",'QA Log'!L:L,"*9. EPI and Pre-school Consultation*"),
COUNTIFS('QA Log'!D:D,A372,'QA Log'!M:M,"QQC",'QA Log'!L:L,"*10. Antenatal Care (ANC)*"),
COUNTIFS('QA Log'!D:D,A372,'QA Log'!M:M,"QQC",'QA Log'!L:L,"*2. Hygiene and Sterilization*"),
COUNTIFS('QA Log'!D:D,A372,'QA Log'!M:M,"QQC",'QA Log'!L:L,"*4. Family Planning*")
))</f>
        <v/>
      </c>
      <c r="V372" s="102" t="str">
        <f>IF(A372="","",
SUM(
COUNTIFS('QA Log'!D:D,A372,'QA Log'!M:M,"QQC",'QA Log'!Z:Z,"Approved",'QA Log'!L:L,"*8. Maternity*"),
COUNTIFS('QA Log'!D:D,A372,'QA Log'!M:M,"QQC",'QA Log'!Z:Z,"Approved",'QA Log'!L:L,"*9. EPI and Pre-school Consultation*"),
COUNTIFS('QA Log'!D:D,A372,'QA Log'!M:M,"QQC",'QA Log'!Z:Z,"Approved",'QA Log'!L:L,"*10. Antenatal Care (ANC)*"),
COUNTIFS('QA Log'!D:D,A372,'QA Log'!M:M,"QQC",'QA Log'!Z:Z,"Approved",'QA Log'!L:L,"*2. Hygiene and Sterilization*"),
COUNTIFS('QA Log'!D:D,A372,'QA Log'!M:M,"QQC",'QA Log'!Z:Z,"Approved",'QA Log'!L:L,"*4. Family Planning*")
))</f>
        <v/>
      </c>
      <c r="W372" s="105" t="str">
        <f>IF(A372&lt;&gt;"",COUNTIFS('QA Log'!D:D,A372,'QA Log'!M:M,"QQC",'QA Log'!L:L,"8. Maternity",'QA Log'!Z:Z,"Approved"),"")</f>
        <v/>
      </c>
      <c r="X372" s="105" t="str">
        <f>IF(A372&lt;&gt;"",COUNTIFS('QA Log'!D:D,A372,'QA Log'!M:M,"QQC",'QA Log'!L:L,"9. EPI and Pre-school Consultation",'QA Log'!Z:Z,"Approved"),"")</f>
        <v/>
      </c>
      <c r="Y372" s="105" t="str">
        <f>IF(A372&lt;&gt;"",COUNTIFS('QA Log'!D:D,A372,'QA Log'!M:M,"QQC",'QA Log'!L:L,"10. Antenatal Care (ANC)",'QA Log'!Z:Z,"Approved"),"")</f>
        <v/>
      </c>
      <c r="Z372" s="105" t="str">
        <f>IF(A372&lt;&gt;"",COUNTIFS('QA Log'!D:D,A372,'QA Log'!M:M,"QQC",'QA Log'!L:L,"2. Hygiene and Sterilization",'QA Log'!Z:Z,"Approved"),"")</f>
        <v/>
      </c>
      <c r="AA372" s="105" t="str">
        <f>IF(A372&lt;&gt;"",COUNTIFS('QA Log'!D:D,A372,'QA Log'!M:M,"QQC",'QA Log'!L:L,"4. Family Planning",'QA Log'!Z:Z,"Approved"),"")</f>
        <v/>
      </c>
      <c r="AB372" s="102" t="str">
        <f>IF(A372="","",
SUM(
COUNTIFS('QA Log'!D:D,A372,'QA Log'!M:M,"QQC",'QA Log'!Z:Z,"Rejected",'QA Log'!L:L,"*8. Maternity*"),
COUNTIFS('QA Log'!D:D,A372,'QA Log'!M:M,"QQC",'QA Log'!Z:Z,"Rejected",'QA Log'!L:L,"*9. EPI and Pre-school Consultation*"),
COUNTIFS('QA Log'!D:D,A372,'QA Log'!M:M,"QQC",'QA Log'!Z:Z,"Rejected",'QA Log'!L:L,"*10. Antenatal Care (ANC)*"),
COUNTIFS('QA Log'!D:D,A372,'QA Log'!M:M,"QQC",'QA Log'!Z:Z,"Rejected",'QA Log'!L:L,"*2. Hygiene and Sterilization*"),
COUNTIFS('QA Log'!D:D,A372,'QA Log'!M:M,"QQC",'QA Log'!Z:Z,"Rejected",'QA Log'!L:L,"*4. Family Planning*")
))</f>
        <v/>
      </c>
      <c r="AC372" s="102" t="str">
        <f t="shared" si="29"/>
        <v/>
      </c>
      <c r="AD372" s="103" t="str">
        <f t="shared" si="30"/>
        <v/>
      </c>
      <c r="AE372" s="102" t="str">
        <f>IF(A372="","",
SUM(
COUNTIFS('QA Log'!D:D,A372,'QA Log'!M:M,"Data Verification",'QA Log'!L:L,"*Medicine (section 2)*"),
COUNTIFS('QA Log'!D:D,A372,'QA Log'!M:M,"Data Verification",'QA Log'!L:L,"*Lab Testing Availability*"),
COUNTIFS('QA Log'!D:D,A372,'QA Log'!M:M,"Data Verification",'QA Log'!L:L,"*Other than P4P (section 6)*"),
COUNTIFS('QA Log'!D:D,A372,'QA Log'!M:M,"Data Verification",'QA Log'!L:L,"*Hospital Governance*")
))</f>
        <v/>
      </c>
      <c r="AF372" s="102" t="str">
        <f>IF(A372="","",
SUM(
COUNTIFS('QA Log'!D:D,A372,'QA Log'!M:M,"Data Verification",'QA Log'!Z:Z,"Approved",'QA Log'!L:L,"*Medicine (section 2)*"),
COUNTIFS('QA Log'!D:D,A372,'QA Log'!M:M,"Data Verification",'QA Log'!Z:Z,"Approved",'QA Log'!L:L,"*Lab Testing Availability*"),
COUNTIFS('QA Log'!D:D,A372,'QA Log'!M:M,"Data Verification",'QA Log'!Z:Z,"Approved",'QA Log'!L:L,"*Other than P4P (section 6)*"),
COUNTIFS('QA Log'!D:D,A372,'QA Log'!M:M,"Data Verification",'QA Log'!Z:Z,"Approved",'QA Log'!L:L,"*Hospital Governance*")
))</f>
        <v/>
      </c>
      <c r="AG372" s="105" t="str">
        <f>IF(A372&lt;&gt;"",COUNTIFS('QA Log'!D:D,A372,'QA Log'!M:M,"Data Verification",'QA Log'!L:L,"Medicine (section 2)",'QA Log'!Z:Z,"Approved"),"")</f>
        <v/>
      </c>
      <c r="AH372" s="105" t="str">
        <f>IF(A372&lt;&gt;"",COUNTIFS('QA Log'!D:D,A372,'QA Log'!M:M,"Data Verification",'QA Log'!L:L,"Lab Testing Availability",'QA Log'!Z:Z,"Approved"),"")</f>
        <v/>
      </c>
      <c r="AI372" s="105" t="str">
        <f>IF(A372&lt;&gt;"",COUNTIFS('QA Log'!D:D,A372,'QA Log'!M:M,"Data Verification",'QA Log'!L:L,"Other than P4P (section 6)",'QA Log'!Z:Z,"Approved"),"")</f>
        <v/>
      </c>
      <c r="AJ372" s="105" t="str">
        <f>IF(A372&lt;&gt;"",COUNTIFS('QA Log'!D:D,A372,'QA Log'!M:M,"Data Verification",'QA Log'!L:L,"Hospital Governance",'QA Log'!Z:Z,"Approved"),"")</f>
        <v/>
      </c>
      <c r="AK372" s="102" t="str">
        <f>IF(A372="","",
SUM(
COUNTIFS('QA Log'!D:D,A372,'QA Log'!M:M,"Data Verification",'QA Log'!Z:Z,"Rejected",'QA Log'!L:L,"*Medicine (section 2)*"),
COUNTIFS('QA Log'!D:D,A372,'QA Log'!M:M,"Data Verification",'QA Log'!Z:Z,"Rejected",'QA Log'!L:L,"*Lab Testing Availability*"),
COUNTIFS('QA Log'!D:D,A372,'QA Log'!M:M,"Data Verification",'QA Log'!Z:Z,"Rejected",'QA Log'!L:L,"*Other than P4P (section 6)*"),
COUNTIFS('QA Log'!D:D,A372,'QA Log'!M:M,"Data Verification",'QA Log'!Z:Z,"Rejected",'QA Log'!L:L,"*Hospital Governance*")
))</f>
        <v/>
      </c>
      <c r="AL372" s="106" t="str">
        <f t="shared" si="31"/>
        <v/>
      </c>
      <c r="AM372" s="102" t="str">
        <f t="shared" si="32"/>
        <v/>
      </c>
      <c r="AN372" s="102" t="str">
        <f>IF(A372="","",
SUM(
COUNTIFS('QA Log'!D:D,A372,'QA Log'!M:M,"Data Verification",'QA Log'!L:L,"*Personnel (section 1)*"),
COUNTIFS('QA Log'!D:D,A372,'QA Log'!M:M,"Data Verification",'QA Log'!L:L,"*Consumable (section 3)*"),
COUNTIFS('QA Log'!D:D,A372,'QA Log'!M:M,"Data Verification",'QA Log'!L:L,"*Equipments (section 4)*")
))</f>
        <v/>
      </c>
      <c r="AO372" s="102" t="str">
        <f>IF(A372="","",
SUM(
COUNTIFS('QA Log'!D:D,A372,'QA Log'!M:M,"Data Verification",'QA Log'!Z:Z,"Approved",'QA Log'!L:L,"*Personnel (section 1)*"),
COUNTIFS('QA Log'!D:D,A372,'QA Log'!M:M,"Data Verification",'QA Log'!Z:Z,"Approved",'QA Log'!L:L,"*Consumable (section 3)*"),
COUNTIFS('QA Log'!D:D,A372,'QA Log'!M:M,"Data Verification",'QA Log'!Z:Z,"Approved",'QA Log'!L:L,"*Equipments (section 4)*")
))</f>
        <v/>
      </c>
      <c r="AP372" s="105" t="str">
        <f>IF(A372&lt;&gt;"",COUNTIFS('QA Log'!D:D,A372,'QA Log'!M:M,"Data Verification",'QA Log'!L:L,"Personnel (section 1)",'QA Log'!Z:Z,"Approved"),"")</f>
        <v/>
      </c>
      <c r="AQ372" s="105" t="str">
        <f>IF(A372&lt;&gt;"",COUNTIFS('QA Log'!D:D,A372,'QA Log'!M:M,"Data Verification",'QA Log'!L:L,"Consumable (section 3)",'QA Log'!Z:Z,"Approved"),"")</f>
        <v/>
      </c>
      <c r="AR372" s="105" t="str">
        <f>IF(A372&lt;&gt;"",COUNTIFS('QA Log'!D:D,A372,'QA Log'!M:M,"Data Verification",'QA Log'!L:L,"Equipments (section 4)",'QA Log'!Z:Z,"Approved"),"")</f>
        <v/>
      </c>
      <c r="AS372" s="102" t="str">
        <f>IF(A372="","",
SUM(
COUNTIFS('QA Log'!D:D,A372,'QA Log'!M:M,"Data Verification",'QA Log'!Z:Z,"Rejected",'QA Log'!L:L,"*Personnel (section 1)*"),
COUNTIFS('QA Log'!D:D,A372,'QA Log'!M:M,"Data Verification",'QA Log'!Z:Z,"Rejected",'QA Log'!L:L,"*Consumable (section 3)*"),
COUNTIFS('QA Log'!D:D,A372,'QA Log'!M:M,"Data Verification",'QA Log'!Z:Z,"Rejected",'QA Log'!L:L,"*Equipments (section 4)*")
))</f>
        <v/>
      </c>
      <c r="AT372" s="102" t="str">
        <f t="shared" si="33"/>
        <v/>
      </c>
      <c r="AU372" s="103" t="str">
        <f t="shared" si="34"/>
        <v/>
      </c>
      <c r="AV372" s="102" t="str">
        <f>IF(A372="","",SUM(
COUNTIFS('QA Log'!D:D,A372,'QA Log'!M:M,"Vignette",'QA Log'!L:L,"*Vignette [1] Respiratory Infection: Pneumonia*"),
COUNTIFS('QA Log'!D:D,A372,'QA Log'!M:M,"Vignette",'QA Log'!L:L,"*Vignette [2]: Diarrhea with Cat B dehydration*"),
COUNTIFS('QA Log'!D:D,A372,'QA Log'!M:M,"Vignette",'QA Log'!L:L,"*Vignette [3] Growth Monitoring and Promotion*"),
COUNTIFS('QA Log'!D:D,A372,'QA Log'!M:M,"Vignette",'QA Log'!L:L,"*Vignette [4]: The management of presumptive TB patient*")
)
)</f>
        <v/>
      </c>
      <c r="AW372" s="102" t="str">
        <f>IF(
  A372="","",
  SUM(
    COUNTIFS('QA Log'!D:D,A372,'QA Log'!M:M,"Vignette",'QA Log'!Z:Z,"Approved",'QA Log'!L:L,"*Vignette [1] Respiratory Infection: Pneumonia*"),
    COUNTIFS('QA Log'!D:D,A372,'QA Log'!M:M,"Vignette",'QA Log'!Z:Z,"Approved",'QA Log'!L:L,"*Vignette [2]: Diarrhea with Cat B dehydration*"),
    COUNTIFS('QA Log'!D:D,A372,'QA Log'!M:M,"Vignette",'QA Log'!Z:Z,"Approved",'QA Log'!L:L,"*Vignette [3] Growth Monitoring and Promotion*"),
    COUNTIFS('QA Log'!D:D,A372,'QA Log'!M:M,"Vignette",'QA Log'!Z:Z,"Approved",'QA Log'!L:L,"*Vignette [4]: The management of presumptive TB patient*")
  )
)</f>
        <v/>
      </c>
      <c r="AX372" s="105" t="str">
        <f>IF(A372&lt;&gt;"",COUNTIFS('QA Log'!D:D,A372,'QA Log'!M:M,"Vignette",'QA Log'!L:L,"Vignette [1] Respiratory Infection: Pneumonia",'QA Log'!Z:Z,"Approved"),"")</f>
        <v/>
      </c>
      <c r="AY372" s="105" t="str">
        <f>IF(A372&lt;&gt;"",COUNTIFS('QA Log'!D:D,A372,'QA Log'!M:M,"Vignette",'QA Log'!L:L,"Vignette [2]: Diarrhea with Cat B dehydration",'QA Log'!Z:Z,"Approved"),"")</f>
        <v/>
      </c>
      <c r="AZ372" s="105" t="str">
        <f>IF(A372&lt;&gt;"",COUNTIFS('QA Log'!D:D,A372,'QA Log'!M:M,"Vignette",'QA Log'!L:L,"Vignette [3] Growth Monitoring and Promotion",'QA Log'!Z:Z,"Approved"),"")</f>
        <v/>
      </c>
      <c r="BA372" s="105" t="str">
        <f>IF(A372&lt;&gt;"",COUNTIFS('QA Log'!D:D,A372,'QA Log'!M:M,"Vignette",'QA Log'!L:L,"Vignette [4]: The management of presumptive TB patient",'QA Log'!Z:Z,"Approved"),"")</f>
        <v/>
      </c>
      <c r="BB372" s="102" t="str">
        <f>IF(A372="","",
  SUM(
    COUNTIFS('QA Log'!D:D,A372,'QA Log'!M:M,"Vignette",'QA Log'!Z:Z,"Rejected",'QA Log'!L:L,"*Vignette [1] Respiratory Infection: Pneumonia*"),
    COUNTIFS('QA Log'!D:D,A372,'QA Log'!M:M,"Vignette",'QA Log'!Z:Z,"Rejected",'QA Log'!L:L,"*Vignette [2]: Diarrhea with Cat B dehydration*"),
    COUNTIFS('QA Log'!D:D,A372,'QA Log'!M:M,"Vignette",'QA Log'!Z:Z,"Rejected",'QA Log'!L:L,"*Vignette [3] Growth Monitoring and Promotion*"),
    COUNTIFS('QA Log'!D:D,A372,'QA Log'!M:M,"Vignette",'QA Log'!Z:Z,"Rejected",'QA Log'!L:L,"*Vignette [4]: The management of presumptive TB patient*")
  )
)</f>
        <v/>
      </c>
      <c r="BC372" s="107" t="str">
        <f t="shared" si="35"/>
        <v/>
      </c>
      <c r="BD372" s="103" t="str">
        <f t="shared" si="36"/>
        <v/>
      </c>
      <c r="BE372" s="102" t="str">
        <f>IF(A372="","",SUM(
COUNTIFS('QA Log'!D:D,A372,'QA Log'!M:M,"Vignette",'QA Log'!L:L,"*Vignette [5] Labor*"),
COUNTIFS('QA Log'!D:D,A372,'QA Log'!M:M,"Vignette",'QA Log'!L:L,"*Vignette [6] PNC pre Discharge*"),
COUNTIFS('QA Log'!D:D,A372,'QA Log'!M:M,"Vignette",'QA Log'!L:L,"*Vignette [7] First ANC Visit*"),
COUNTIFS('QA Log'!D:D,A372,'QA Log'!M:M,"Vignette",'QA Log'!L:L,"*Vignette [8] Birth Spacing/ Family Planning :  FP Counselling*"),
COUNTIFS('QA Log'!D:D,A372,'QA Log'!M:M,"Vignette",'QA Log'!L:L,"*Vignette [9] Birth Spacing: Change FP method to Injectable*"),
COUNTIFS('QA Log'!D:D,A372,'QA Log'!M:M,"Vignette",'QA Log'!L:L,"*Vignette [10] Post Partum Haemorrhage - Atonic Uterus at Health Centre*"),
)
)</f>
        <v/>
      </c>
      <c r="BF372" s="102" t="str">
        <f>IF(A372="","",
  SUM(
    COUNTIFS('QA Log'!D:D,A372,'QA Log'!M:M,"Vignette",'QA Log'!Z:Z,"Approved",'QA Log'!L:L,"*Vignette [5] Labor*"),
    COUNTIFS('QA Log'!D:D,A372,'QA Log'!M:M,"Vignette",'QA Log'!Z:Z,"Approved",'QA Log'!L:L,"*Vignette [6] PNC pre Discharge*"),
    COUNTIFS('QA Log'!D:D,A372,'QA Log'!M:M,"Vignette",'QA Log'!Z:Z,"Approved",'QA Log'!L:L,"*Vignette [7] First ANC Visit*"),
    COUNTIFS('QA Log'!D:D,A372,'QA Log'!M:M,"Vignette",'QA Log'!Z:Z,"Approved",'QA Log'!L:L,"*Vignette [8] Birth Spacing/ Family Planning :  FP Counselling*"),
    COUNTIFS('QA Log'!D:D,A372,'QA Log'!M:M,"Vignette",'QA Log'!Z:Z,"Approved",'QA Log'!L:L,"*Vignette [9] Birth Spacing: Change FP method to Injectable*"),
    COUNTIFS('QA Log'!D:D,A372,'QA Log'!M:M,"Vignette",'QA Log'!Z:Z,"Approved",'QA Log'!L:L,"*Vignette [10] Post Partum Haemorrhage - Atonic Uterus at Health Centre*")
  )
)</f>
        <v/>
      </c>
      <c r="BG372" s="105" t="str">
        <f>IF(A372&lt;&gt;"",COUNTIFS('QA Log'!D:D,A372,'QA Log'!M:M,"Vignette",'QA Log'!L:L,"Vignette [5] Labor",'QA Log'!Z:Z,"Approved"),"")</f>
        <v/>
      </c>
      <c r="BH372" s="105" t="str">
        <f>IF(A372&lt;&gt;"",COUNTIFS('QA Log'!D:D,A372,'QA Log'!M:M,"Vignette",'QA Log'!L:L,"Vignette [6] PNC pre Discharge",'QA Log'!Z:Z,"Approved"),"")</f>
        <v/>
      </c>
      <c r="BI372" s="105" t="str">
        <f>IF(A372&lt;&gt;"",COUNTIFS('QA Log'!D:D,A372,'QA Log'!M:M,"Vignette",'QA Log'!L:L,"Vignette [7] First ANC Visit",'QA Log'!Z:Z,"Approved"),"")</f>
        <v/>
      </c>
      <c r="BJ372" s="105" t="str">
        <f>IF(A372&lt;&gt;"",COUNTIFS('QA Log'!D:D,A372,'QA Log'!M:M,"Vignette",'QA Log'!L:L,"Vignette [8] Birth Spacing/ Family Planning :  FP Counselling",'QA Log'!Z:Z,"Approved"),"")</f>
        <v/>
      </c>
      <c r="BK372" s="105" t="str">
        <f>IF(A372&lt;&gt;"",COUNTIFS('QA Log'!D:D,A372,'QA Log'!M:M,"Vignette",'QA Log'!L:L,"Vignette [9] Birth Spacing: Change FP method to Injectable",'QA Log'!Z:Z,"Approved"),"")</f>
        <v/>
      </c>
      <c r="BL372" s="105" t="str">
        <f>IF(A372&lt;&gt;"",COUNTIFS('QA Log'!D:D,A372,'QA Log'!M:M,"Vignette",'QA Log'!L:L,"Vignette [10] Post Partum Haemorrhage - Atonic Uterus at Health Centre",'QA Log'!Z:Z,"Approved"),"")</f>
        <v/>
      </c>
      <c r="BM372" s="102" t="str">
        <f>IF(A372="","",SUM(
    COUNTIFS('QA Log'!D:D,A372,'QA Log'!M:M,"Vignette",'QA Log'!Z:Z,"Rejected",'QA Log'!L:L,"*Vignette [5] Labor*"),
    COUNTIFS('QA Log'!D:D,A372,'QA Log'!M:M,"Vignette",'QA Log'!Z:Z,"Rejected",'QA Log'!L:L,"*Vignette [6] PNC pre Discharge*"),
    COUNTIFS('QA Log'!D:D,A372,'QA Log'!M:M,"Vignette",'QA Log'!Z:Z,"Rejected",'QA Log'!L:L,"*Vignette [7] First ANC Visit*"),
    COUNTIFS('QA Log'!D:D,A372,'QA Log'!M:M,"Vignette",'QA Log'!Z:Z,"Rejected",'QA Log'!L:L,"*Vignette [8] Birth Spacing/ Family Planning :  FP Counselling*"),
    COUNTIFS('QA Log'!D:D,A372,'QA Log'!M:M,"Vignette",'QA Log'!Z:Z,"Rejected",'QA Log'!L:L,"*Vignette [9] Birth Spacing: Change FP method to Injectable*"),
    COUNTIFS('QA Log'!D:D,A372,'QA Log'!M:M,"Vignette",'QA Log'!Z:Z,"Rejected",'QA Log'!L:L,"*Vignette [10] Post Partum Haemorrhage - Atonic Uterus at Health Centre*")
  )
)</f>
        <v/>
      </c>
      <c r="BN372" s="107" t="str">
        <f t="shared" si="37"/>
        <v/>
      </c>
      <c r="BO372" s="103" t="str">
        <f t="shared" si="38"/>
        <v/>
      </c>
      <c r="BP372" s="102" t="str">
        <f>IF(A372="","",SUM(
COUNTIFS('QA Log'!D:D,A372,'QA Log'!M:M,"Vignette",'QA Log'!L:L,"*Exit Interview 1*"),
COUNTIFS('QA Log'!D:D,A372,'QA Log'!M:M,"Vignette",'QA Log'!L:L,"*Exit Interview 2*"),
)
)</f>
        <v/>
      </c>
      <c r="BQ372" s="102" t="str">
        <f>IF(
  A372="","",
  SUM(
    COUNTIFS('QA Log'!D:D,A372,'QA Log'!M:M,"Vignette",'QA Log'!Z:Z,"Approved",'QA Log'!L:L,"*Exit Interview 1*"),
    COUNTIFS('QA Log'!D:D,A372,'QA Log'!M:M,"Vignette",'QA Log'!Z:Z,"Approved",'QA Log'!L:L,"*Exit Interview 2*")
  )
)</f>
        <v/>
      </c>
      <c r="BR372" s="105" t="str">
        <f>IF(A372&lt;&gt;"",COUNTIFS('QA Log'!D:D,A372,'QA Log'!M:M,"Vignette",'QA Log'!L:L,"Exit Interview 1",'QA Log'!Z:Z,"Approved"),"")</f>
        <v/>
      </c>
      <c r="BS372" s="105" t="str">
        <f>IF(A372&lt;&gt;"",COUNTIFS('QA Log'!D:D,A372,'QA Log'!M:M,"Vignette",'QA Log'!L:L,"Exit Interview 2",'QA Log'!Z:Z,"Approved"),"")</f>
        <v/>
      </c>
      <c r="BT372" s="102" t="str">
        <f>IF(
  A372="","",
  SUM(
    COUNTIFS('QA Log'!D:D,A372,'QA Log'!M:M,"Vignette",'QA Log'!Z:Z,"Rejected",'QA Log'!L:L,"*Exit Interview 1*"),
    COUNTIFS('QA Log'!D:D,A372,'QA Log'!M:M,"Vignette",'QA Log'!Z:Z,"Rejected",'QA Log'!L:L,"*Exit Interview 2*")
  )
)</f>
        <v/>
      </c>
      <c r="BU372" s="107" t="str">
        <f t="shared" si="39"/>
        <v/>
      </c>
      <c r="BV372" s="102" t="str">
        <f t="shared" si="40"/>
        <v/>
      </c>
      <c r="BW372" s="102" t="str">
        <f t="shared" si="41"/>
        <v/>
      </c>
      <c r="BX372" s="102" t="str">
        <f t="shared" si="42"/>
        <v/>
      </c>
      <c r="BY372" s="102" t="str">
        <f t="shared" si="43"/>
        <v/>
      </c>
      <c r="BZ372" s="107" t="str">
        <f t="shared" si="44"/>
        <v/>
      </c>
      <c r="CA372" s="108" t="str">
        <f t="shared" si="45"/>
        <v/>
      </c>
      <c r="CB372" s="108" t="str">
        <f t="shared" si="46"/>
        <v/>
      </c>
      <c r="CC372" s="109" t="str">
        <f t="shared" si="47"/>
        <v/>
      </c>
      <c r="CD372" s="108" t="str">
        <f t="shared" si="48"/>
        <v/>
      </c>
      <c r="CE372" s="108" t="str">
        <f t="shared" si="49"/>
        <v/>
      </c>
      <c r="CF372" s="109" t="str">
        <f t="shared" si="50"/>
        <v/>
      </c>
      <c r="CG372" s="110" t="str">
        <f t="shared" si="51"/>
        <v/>
      </c>
      <c r="CH372" s="111"/>
    </row>
    <row r="373" spans="1:86" ht="12.75">
      <c r="A373" s="101"/>
      <c r="B373" s="102" t="e">
        <f t="array" aca="1" ref="B373" ca="1">_xludf.XLOOKUP(A373,'QA Log'!D:D,'QA Log'!E:E,"")</f>
        <v>#NAME?</v>
      </c>
      <c r="C373" s="102" t="e">
        <f t="array" aca="1" ref="C373" ca="1">_xludf.XLOOKUP(A373,'QA Log'!D:D,'QA Log'!F:F,"")</f>
        <v>#NAME?</v>
      </c>
      <c r="D373" s="102" t="e">
        <f t="array" aca="1" ref="D373" ca="1">_xludf.XLOOKUP(A373,'QA Log'!D:D,'QA Log'!H:H,"")</f>
        <v>#NAME?</v>
      </c>
      <c r="E373" s="102" t="e">
        <f t="array" aca="1" ref="E373" ca="1">_xludf.XLOOKUP(A373,'QA Log'!D:D,'QA Log'!G:G,"")</f>
        <v>#NAME?</v>
      </c>
      <c r="F373" s="103"/>
      <c r="G373" s="104"/>
      <c r="H373" s="104"/>
      <c r="I373" s="103" t="str">
        <f t="shared" si="26"/>
        <v/>
      </c>
      <c r="J373" s="102" t="str">
        <f>IF(A373="","",SUM(
COUNTIFS('QA Log'!D:D,A373,'QA Log'!M:M,"QQC",'QA Log'!L:L,"*1. General Management*"),
COUNTIFS('QA Log'!D:D,A373,'QA Log'!M:M,"QQC",'QA Log'!L:L,"*3. Curative Consultation (OPD)*"),
COUNTIFS('QA Log'!D:D,A373,'QA Log'!M:M,"QQC",'QA Log'!L:L,"*5. Laboratory*"),
COUNTIFS('QA Log'!D:D,A373,'QA Log'!M:M,"QQC",'QA Log'!L:L,"*6. Essential Medicine Management*"),
COUNTIFS('QA Log'!D:D,A373,'QA Log'!M:M,"QQC",'QA Log'!L:L,"*7. Tracer Medicine*"),
COUNTIFS('QA Log'!D:D,A373,'QA Log'!M:M,"QQC",'QA Log'!L:L,"*11. Additional Questions*")))</f>
        <v/>
      </c>
      <c r="K373" s="102" t="str">
        <f>IF(A373="","",SUM(
COUNTIFS('QA Log'!D:D,A373,'QA Log'!M:M,"QQC",'QA Log'!Z:Z,"Approved",'QA Log'!L:L,"*1. General Management*"),
COUNTIFS('QA Log'!D:D,A373,'QA Log'!M:M,"QQC",'QA Log'!Z:Z,"Approved",'QA Log'!L:L,"*3. Curative Consultation (OPD)*"),
COUNTIFS('QA Log'!D:D,A373,'QA Log'!M:M,"QQC",'QA Log'!Z:Z,"Approved",'QA Log'!L:L,"*5. Laboratory*"),
COUNTIFS('QA Log'!D:D,A373,'QA Log'!M:M,"QQC",'QA Log'!Z:Z,"Approved",'QA Log'!L:L,"*6. Essential Medicine Management*"),
COUNTIFS('QA Log'!D:D,A373,'QA Log'!M:M,"QQC",'QA Log'!Z:Z,"Approved",'QA Log'!L:L,"*7. Tracer Medicine*"),
COUNTIFS('QA Log'!D:D,A373,'QA Log'!M:M,"QQC",'QA Log'!Z:Z,"Approved",'QA Log'!L:L,"*11. Additional Questions*")))</f>
        <v/>
      </c>
      <c r="L373" s="102" t="str">
        <f>IF(A373&lt;&gt;"",COUNTIFS('QA Log'!D:D,A373,'QA Log'!M:M,"QQC",'QA Log'!L:L,"1. General Management",'QA Log'!Z:Z,"Approved"),"")</f>
        <v/>
      </c>
      <c r="M373" s="102" t="str">
        <f>IF(A373&lt;&gt;"",COUNTIFS('QA Log'!D:D,A373,'QA Log'!M:M,"QQC",'QA Log'!L:L,"3. Curative Consultation (OPD)",'QA Log'!Z:Z,"Approved"),"")</f>
        <v/>
      </c>
      <c r="N373" s="102" t="str">
        <f>IF(A373&lt;&gt;"",COUNTIFS('QA Log'!D:D,A373,'QA Log'!M:M,"QQC",'QA Log'!L:L,"5. Laboratory",'QA Log'!Z:Z,"Approved"),"")</f>
        <v/>
      </c>
      <c r="O373" s="102" t="str">
        <f>IF(A373&lt;&gt;"",COUNTIFS('QA Log'!D:D,A373,'QA Log'!M:M,"QQC",'QA Log'!L:L,"6. Essential Medicine Management",'QA Log'!Z:Z,"Approved"),"")</f>
        <v/>
      </c>
      <c r="P373" s="102" t="str">
        <f>IF(A373&lt;&gt;"",COUNTIFS('QA Log'!D:D,A373,'QA Log'!M:M,"QQC",'QA Log'!L:L,"7. Tracer Medicine",'QA Log'!Z:Z,"Approved"),"")</f>
        <v/>
      </c>
      <c r="Q373" s="102" t="str">
        <f>IF(A373&lt;&gt;"",COUNTIFS('QA Log'!D:D,A373,'QA Log'!M:M,"QQC",'QA Log'!L:L,"11. Additional Questions",'QA Log'!Z:Z,"Approved"),"")</f>
        <v/>
      </c>
      <c r="R373" s="102" t="str">
        <f>IF(A373="","",SUM(
COUNTIFS('QA Log'!D:D,A373,'QA Log'!M:M,"QQC",'QA Log'!Z:Z,"Rejected",'QA Log'!L:L,"*8. Maternity*"),
COUNTIFS('QA Log'!D:D,A373,'QA Log'!M:M,"QQC",'QA Log'!Z:Z,"Rejected",'QA Log'!L:L,"*EPI*"),
COUNTIFS('QA Log'!D:D,A373,'QA Log'!M:M,"QQC",'QA Log'!Z:Z,"Rejected",'QA Log'!L:L,"*10. Antenatal Care (ANC)*"),
COUNTIFS('QA Log'!D:D,A373,'QA Log'!M:M,"QQC",'QA Log'!Z:Z,"Rejected",'QA Log'!L:L,"*2. Hygiene and Sterilization*"),
COUNTIFS('QA Log'!D:D,A373,'QA Log'!M:M,"QQC",'QA Log'!Z:Z,"Rejected",'QA Log'!L:L,"*Family Planning*")))</f>
        <v/>
      </c>
      <c r="S373" s="106" t="str">
        <f t="shared" si="27"/>
        <v/>
      </c>
      <c r="T373" s="102" t="str">
        <f t="shared" si="28"/>
        <v/>
      </c>
      <c r="U373" s="102" t="str">
        <f>IF(A373="","",
SUM(
COUNTIFS('QA Log'!D:D,A373,'QA Log'!M:M,"QQC",'QA Log'!L:L,"*8. Maternity*"),
COUNTIFS('QA Log'!D:D,A373,'QA Log'!M:M,"QQC",'QA Log'!L:L,"*9. EPI and Pre-school Consultation*"),
COUNTIFS('QA Log'!D:D,A373,'QA Log'!M:M,"QQC",'QA Log'!L:L,"*10. Antenatal Care (ANC)*"),
COUNTIFS('QA Log'!D:D,A373,'QA Log'!M:M,"QQC",'QA Log'!L:L,"*2. Hygiene and Sterilization*"),
COUNTIFS('QA Log'!D:D,A373,'QA Log'!M:M,"QQC",'QA Log'!L:L,"*4. Family Planning*")
))</f>
        <v/>
      </c>
      <c r="V373" s="102" t="str">
        <f>IF(A373="","",
SUM(
COUNTIFS('QA Log'!D:D,A373,'QA Log'!M:M,"QQC",'QA Log'!Z:Z,"Approved",'QA Log'!L:L,"*8. Maternity*"),
COUNTIFS('QA Log'!D:D,A373,'QA Log'!M:M,"QQC",'QA Log'!Z:Z,"Approved",'QA Log'!L:L,"*9. EPI and Pre-school Consultation*"),
COUNTIFS('QA Log'!D:D,A373,'QA Log'!M:M,"QQC",'QA Log'!Z:Z,"Approved",'QA Log'!L:L,"*10. Antenatal Care (ANC)*"),
COUNTIFS('QA Log'!D:D,A373,'QA Log'!M:M,"QQC",'QA Log'!Z:Z,"Approved",'QA Log'!L:L,"*2. Hygiene and Sterilization*"),
COUNTIFS('QA Log'!D:D,A373,'QA Log'!M:M,"QQC",'QA Log'!Z:Z,"Approved",'QA Log'!L:L,"*4. Family Planning*")
))</f>
        <v/>
      </c>
      <c r="W373" s="105" t="str">
        <f>IF(A373&lt;&gt;"",COUNTIFS('QA Log'!D:D,A373,'QA Log'!M:M,"QQC",'QA Log'!L:L,"8. Maternity",'QA Log'!Z:Z,"Approved"),"")</f>
        <v/>
      </c>
      <c r="X373" s="105" t="str">
        <f>IF(A373&lt;&gt;"",COUNTIFS('QA Log'!D:D,A373,'QA Log'!M:M,"QQC",'QA Log'!L:L,"9. EPI and Pre-school Consultation",'QA Log'!Z:Z,"Approved"),"")</f>
        <v/>
      </c>
      <c r="Y373" s="105" t="str">
        <f>IF(A373&lt;&gt;"",COUNTIFS('QA Log'!D:D,A373,'QA Log'!M:M,"QQC",'QA Log'!L:L,"10. Antenatal Care (ANC)",'QA Log'!Z:Z,"Approved"),"")</f>
        <v/>
      </c>
      <c r="Z373" s="105" t="str">
        <f>IF(A373&lt;&gt;"",COUNTIFS('QA Log'!D:D,A373,'QA Log'!M:M,"QQC",'QA Log'!L:L,"2. Hygiene and Sterilization",'QA Log'!Z:Z,"Approved"),"")</f>
        <v/>
      </c>
      <c r="AA373" s="105" t="str">
        <f>IF(A373&lt;&gt;"",COUNTIFS('QA Log'!D:D,A373,'QA Log'!M:M,"QQC",'QA Log'!L:L,"4. Family Planning",'QA Log'!Z:Z,"Approved"),"")</f>
        <v/>
      </c>
      <c r="AB373" s="102" t="str">
        <f>IF(A373="","",
SUM(
COUNTIFS('QA Log'!D:D,A373,'QA Log'!M:M,"QQC",'QA Log'!Z:Z,"Rejected",'QA Log'!L:L,"*8. Maternity*"),
COUNTIFS('QA Log'!D:D,A373,'QA Log'!M:M,"QQC",'QA Log'!Z:Z,"Rejected",'QA Log'!L:L,"*9. EPI and Pre-school Consultation*"),
COUNTIFS('QA Log'!D:D,A373,'QA Log'!M:M,"QQC",'QA Log'!Z:Z,"Rejected",'QA Log'!L:L,"*10. Antenatal Care (ANC)*"),
COUNTIFS('QA Log'!D:D,A373,'QA Log'!M:M,"QQC",'QA Log'!Z:Z,"Rejected",'QA Log'!L:L,"*2. Hygiene and Sterilization*"),
COUNTIFS('QA Log'!D:D,A373,'QA Log'!M:M,"QQC",'QA Log'!Z:Z,"Rejected",'QA Log'!L:L,"*4. Family Planning*")
))</f>
        <v/>
      </c>
      <c r="AC373" s="102" t="str">
        <f t="shared" si="29"/>
        <v/>
      </c>
      <c r="AD373" s="103" t="str">
        <f t="shared" si="30"/>
        <v/>
      </c>
      <c r="AE373" s="102" t="str">
        <f>IF(A373="","",
SUM(
COUNTIFS('QA Log'!D:D,A373,'QA Log'!M:M,"Data Verification",'QA Log'!L:L,"*Medicine (section 2)*"),
COUNTIFS('QA Log'!D:D,A373,'QA Log'!M:M,"Data Verification",'QA Log'!L:L,"*Lab Testing Availability*"),
COUNTIFS('QA Log'!D:D,A373,'QA Log'!M:M,"Data Verification",'QA Log'!L:L,"*Other than P4P (section 6)*"),
COUNTIFS('QA Log'!D:D,A373,'QA Log'!M:M,"Data Verification",'QA Log'!L:L,"*Hospital Governance*")
))</f>
        <v/>
      </c>
      <c r="AF373" s="102" t="str">
        <f>IF(A373="","",
SUM(
COUNTIFS('QA Log'!D:D,A373,'QA Log'!M:M,"Data Verification",'QA Log'!Z:Z,"Approved",'QA Log'!L:L,"*Medicine (section 2)*"),
COUNTIFS('QA Log'!D:D,A373,'QA Log'!M:M,"Data Verification",'QA Log'!Z:Z,"Approved",'QA Log'!L:L,"*Lab Testing Availability*"),
COUNTIFS('QA Log'!D:D,A373,'QA Log'!M:M,"Data Verification",'QA Log'!Z:Z,"Approved",'QA Log'!L:L,"*Other than P4P (section 6)*"),
COUNTIFS('QA Log'!D:D,A373,'QA Log'!M:M,"Data Verification",'QA Log'!Z:Z,"Approved",'QA Log'!L:L,"*Hospital Governance*")
))</f>
        <v/>
      </c>
      <c r="AG373" s="105" t="str">
        <f>IF(A373&lt;&gt;"",COUNTIFS('QA Log'!D:D,A373,'QA Log'!M:M,"Data Verification",'QA Log'!L:L,"Medicine (section 2)",'QA Log'!Z:Z,"Approved"),"")</f>
        <v/>
      </c>
      <c r="AH373" s="105" t="str">
        <f>IF(A373&lt;&gt;"",COUNTIFS('QA Log'!D:D,A373,'QA Log'!M:M,"Data Verification",'QA Log'!L:L,"Lab Testing Availability",'QA Log'!Z:Z,"Approved"),"")</f>
        <v/>
      </c>
      <c r="AI373" s="105" t="str">
        <f>IF(A373&lt;&gt;"",COUNTIFS('QA Log'!D:D,A373,'QA Log'!M:M,"Data Verification",'QA Log'!L:L,"Other than P4P (section 6)",'QA Log'!Z:Z,"Approved"),"")</f>
        <v/>
      </c>
      <c r="AJ373" s="105" t="str">
        <f>IF(A373&lt;&gt;"",COUNTIFS('QA Log'!D:D,A373,'QA Log'!M:M,"Data Verification",'QA Log'!L:L,"Hospital Governance",'QA Log'!Z:Z,"Approved"),"")</f>
        <v/>
      </c>
      <c r="AK373" s="102" t="str">
        <f>IF(A373="","",
SUM(
COUNTIFS('QA Log'!D:D,A373,'QA Log'!M:M,"Data Verification",'QA Log'!Z:Z,"Rejected",'QA Log'!L:L,"*Medicine (section 2)*"),
COUNTIFS('QA Log'!D:D,A373,'QA Log'!M:M,"Data Verification",'QA Log'!Z:Z,"Rejected",'QA Log'!L:L,"*Lab Testing Availability*"),
COUNTIFS('QA Log'!D:D,A373,'QA Log'!M:M,"Data Verification",'QA Log'!Z:Z,"Rejected",'QA Log'!L:L,"*Other than P4P (section 6)*"),
COUNTIFS('QA Log'!D:D,A373,'QA Log'!M:M,"Data Verification",'QA Log'!Z:Z,"Rejected",'QA Log'!L:L,"*Hospital Governance*")
))</f>
        <v/>
      </c>
      <c r="AL373" s="106" t="str">
        <f t="shared" si="31"/>
        <v/>
      </c>
      <c r="AM373" s="102" t="str">
        <f t="shared" si="32"/>
        <v/>
      </c>
      <c r="AN373" s="102" t="str">
        <f>IF(A373="","",
SUM(
COUNTIFS('QA Log'!D:D,A373,'QA Log'!M:M,"Data Verification",'QA Log'!L:L,"*Personnel (section 1)*"),
COUNTIFS('QA Log'!D:D,A373,'QA Log'!M:M,"Data Verification",'QA Log'!L:L,"*Consumable (section 3)*"),
COUNTIFS('QA Log'!D:D,A373,'QA Log'!M:M,"Data Verification",'QA Log'!L:L,"*Equipments (section 4)*")
))</f>
        <v/>
      </c>
      <c r="AO373" s="102" t="str">
        <f>IF(A373="","",
SUM(
COUNTIFS('QA Log'!D:D,A373,'QA Log'!M:M,"Data Verification",'QA Log'!Z:Z,"Approved",'QA Log'!L:L,"*Personnel (section 1)*"),
COUNTIFS('QA Log'!D:D,A373,'QA Log'!M:M,"Data Verification",'QA Log'!Z:Z,"Approved",'QA Log'!L:L,"*Consumable (section 3)*"),
COUNTIFS('QA Log'!D:D,A373,'QA Log'!M:M,"Data Verification",'QA Log'!Z:Z,"Approved",'QA Log'!L:L,"*Equipments (section 4)*")
))</f>
        <v/>
      </c>
      <c r="AP373" s="105" t="str">
        <f>IF(A373&lt;&gt;"",COUNTIFS('QA Log'!D:D,A373,'QA Log'!M:M,"Data Verification",'QA Log'!L:L,"Personnel (section 1)",'QA Log'!Z:Z,"Approved"),"")</f>
        <v/>
      </c>
      <c r="AQ373" s="105" t="str">
        <f>IF(A373&lt;&gt;"",COUNTIFS('QA Log'!D:D,A373,'QA Log'!M:M,"Data Verification",'QA Log'!L:L,"Consumable (section 3)",'QA Log'!Z:Z,"Approved"),"")</f>
        <v/>
      </c>
      <c r="AR373" s="105" t="str">
        <f>IF(A373&lt;&gt;"",COUNTIFS('QA Log'!D:D,A373,'QA Log'!M:M,"Data Verification",'QA Log'!L:L,"Equipments (section 4)",'QA Log'!Z:Z,"Approved"),"")</f>
        <v/>
      </c>
      <c r="AS373" s="102" t="str">
        <f>IF(A373="","",
SUM(
COUNTIFS('QA Log'!D:D,A373,'QA Log'!M:M,"Data Verification",'QA Log'!Z:Z,"Rejected",'QA Log'!L:L,"*Personnel (section 1)*"),
COUNTIFS('QA Log'!D:D,A373,'QA Log'!M:M,"Data Verification",'QA Log'!Z:Z,"Rejected",'QA Log'!L:L,"*Consumable (section 3)*"),
COUNTIFS('QA Log'!D:D,A373,'QA Log'!M:M,"Data Verification",'QA Log'!Z:Z,"Rejected",'QA Log'!L:L,"*Equipments (section 4)*")
))</f>
        <v/>
      </c>
      <c r="AT373" s="102" t="str">
        <f t="shared" si="33"/>
        <v/>
      </c>
      <c r="AU373" s="103" t="str">
        <f t="shared" si="34"/>
        <v/>
      </c>
      <c r="AV373" s="102" t="str">
        <f>IF(A373="","",SUM(
COUNTIFS('QA Log'!D:D,A373,'QA Log'!M:M,"Vignette",'QA Log'!L:L,"*Vignette [1] Respiratory Infection: Pneumonia*"),
COUNTIFS('QA Log'!D:D,A373,'QA Log'!M:M,"Vignette",'QA Log'!L:L,"*Vignette [2]: Diarrhea with Cat B dehydration*"),
COUNTIFS('QA Log'!D:D,A373,'QA Log'!M:M,"Vignette",'QA Log'!L:L,"*Vignette [3] Growth Monitoring and Promotion*"),
COUNTIFS('QA Log'!D:D,A373,'QA Log'!M:M,"Vignette",'QA Log'!L:L,"*Vignette [4]: The management of presumptive TB patient*")
)
)</f>
        <v/>
      </c>
      <c r="AW373" s="102" t="str">
        <f>IF(
  A373="","",
  SUM(
    COUNTIFS('QA Log'!D:D,A373,'QA Log'!M:M,"Vignette",'QA Log'!Z:Z,"Approved",'QA Log'!L:L,"*Vignette [1] Respiratory Infection: Pneumonia*"),
    COUNTIFS('QA Log'!D:D,A373,'QA Log'!M:M,"Vignette",'QA Log'!Z:Z,"Approved",'QA Log'!L:L,"*Vignette [2]: Diarrhea with Cat B dehydration*"),
    COUNTIFS('QA Log'!D:D,A373,'QA Log'!M:M,"Vignette",'QA Log'!Z:Z,"Approved",'QA Log'!L:L,"*Vignette [3] Growth Monitoring and Promotion*"),
    COUNTIFS('QA Log'!D:D,A373,'QA Log'!M:M,"Vignette",'QA Log'!Z:Z,"Approved",'QA Log'!L:L,"*Vignette [4]: The management of presumptive TB patient*")
  )
)</f>
        <v/>
      </c>
      <c r="AX373" s="105" t="str">
        <f>IF(A373&lt;&gt;"",COUNTIFS('QA Log'!D:D,A373,'QA Log'!M:M,"Vignette",'QA Log'!L:L,"Vignette [1] Respiratory Infection: Pneumonia",'QA Log'!Z:Z,"Approved"),"")</f>
        <v/>
      </c>
      <c r="AY373" s="105" t="str">
        <f>IF(A373&lt;&gt;"",COUNTIFS('QA Log'!D:D,A373,'QA Log'!M:M,"Vignette",'QA Log'!L:L,"Vignette [2]: Diarrhea with Cat B dehydration",'QA Log'!Z:Z,"Approved"),"")</f>
        <v/>
      </c>
      <c r="AZ373" s="105" t="str">
        <f>IF(A373&lt;&gt;"",COUNTIFS('QA Log'!D:D,A373,'QA Log'!M:M,"Vignette",'QA Log'!L:L,"Vignette [3] Growth Monitoring and Promotion",'QA Log'!Z:Z,"Approved"),"")</f>
        <v/>
      </c>
      <c r="BA373" s="105" t="str">
        <f>IF(A373&lt;&gt;"",COUNTIFS('QA Log'!D:D,A373,'QA Log'!M:M,"Vignette",'QA Log'!L:L,"Vignette [4]: The management of presumptive TB patient",'QA Log'!Z:Z,"Approved"),"")</f>
        <v/>
      </c>
      <c r="BB373" s="102" t="str">
        <f>IF(A373="","",
  SUM(
    COUNTIFS('QA Log'!D:D,A373,'QA Log'!M:M,"Vignette",'QA Log'!Z:Z,"Rejected",'QA Log'!L:L,"*Vignette [1] Respiratory Infection: Pneumonia*"),
    COUNTIFS('QA Log'!D:D,A373,'QA Log'!M:M,"Vignette",'QA Log'!Z:Z,"Rejected",'QA Log'!L:L,"*Vignette [2]: Diarrhea with Cat B dehydration*"),
    COUNTIFS('QA Log'!D:D,A373,'QA Log'!M:M,"Vignette",'QA Log'!Z:Z,"Rejected",'QA Log'!L:L,"*Vignette [3] Growth Monitoring and Promotion*"),
    COUNTIFS('QA Log'!D:D,A373,'QA Log'!M:M,"Vignette",'QA Log'!Z:Z,"Rejected",'QA Log'!L:L,"*Vignette [4]: The management of presumptive TB patient*")
  )
)</f>
        <v/>
      </c>
      <c r="BC373" s="107" t="str">
        <f t="shared" si="35"/>
        <v/>
      </c>
      <c r="BD373" s="103" t="str">
        <f t="shared" si="36"/>
        <v/>
      </c>
      <c r="BE373" s="102" t="str">
        <f>IF(A373="","",SUM(
COUNTIFS('QA Log'!D:D,A373,'QA Log'!M:M,"Vignette",'QA Log'!L:L,"*Vignette [5] Labor*"),
COUNTIFS('QA Log'!D:D,A373,'QA Log'!M:M,"Vignette",'QA Log'!L:L,"*Vignette [6] PNC pre Discharge*"),
COUNTIFS('QA Log'!D:D,A373,'QA Log'!M:M,"Vignette",'QA Log'!L:L,"*Vignette [7] First ANC Visit*"),
COUNTIFS('QA Log'!D:D,A373,'QA Log'!M:M,"Vignette",'QA Log'!L:L,"*Vignette [8] Birth Spacing/ Family Planning :  FP Counselling*"),
COUNTIFS('QA Log'!D:D,A373,'QA Log'!M:M,"Vignette",'QA Log'!L:L,"*Vignette [9] Birth Spacing: Change FP method to Injectable*"),
COUNTIFS('QA Log'!D:D,A373,'QA Log'!M:M,"Vignette",'QA Log'!L:L,"*Vignette [10] Post Partum Haemorrhage - Atonic Uterus at Health Centre*"),
)
)</f>
        <v/>
      </c>
      <c r="BF373" s="102" t="str">
        <f>IF(A373="","",
  SUM(
    COUNTIFS('QA Log'!D:D,A373,'QA Log'!M:M,"Vignette",'QA Log'!Z:Z,"Approved",'QA Log'!L:L,"*Vignette [5] Labor*"),
    COUNTIFS('QA Log'!D:D,A373,'QA Log'!M:M,"Vignette",'QA Log'!Z:Z,"Approved",'QA Log'!L:L,"*Vignette [6] PNC pre Discharge*"),
    COUNTIFS('QA Log'!D:D,A373,'QA Log'!M:M,"Vignette",'QA Log'!Z:Z,"Approved",'QA Log'!L:L,"*Vignette [7] First ANC Visit*"),
    COUNTIFS('QA Log'!D:D,A373,'QA Log'!M:M,"Vignette",'QA Log'!Z:Z,"Approved",'QA Log'!L:L,"*Vignette [8] Birth Spacing/ Family Planning :  FP Counselling*"),
    COUNTIFS('QA Log'!D:D,A373,'QA Log'!M:M,"Vignette",'QA Log'!Z:Z,"Approved",'QA Log'!L:L,"*Vignette [9] Birth Spacing: Change FP method to Injectable*"),
    COUNTIFS('QA Log'!D:D,A373,'QA Log'!M:M,"Vignette",'QA Log'!Z:Z,"Approved",'QA Log'!L:L,"*Vignette [10] Post Partum Haemorrhage - Atonic Uterus at Health Centre*")
  )
)</f>
        <v/>
      </c>
      <c r="BG373" s="105" t="str">
        <f>IF(A373&lt;&gt;"",COUNTIFS('QA Log'!D:D,A373,'QA Log'!M:M,"Vignette",'QA Log'!L:L,"Vignette [5] Labor",'QA Log'!Z:Z,"Approved"),"")</f>
        <v/>
      </c>
      <c r="BH373" s="105" t="str">
        <f>IF(A373&lt;&gt;"",COUNTIFS('QA Log'!D:D,A373,'QA Log'!M:M,"Vignette",'QA Log'!L:L,"Vignette [6] PNC pre Discharge",'QA Log'!Z:Z,"Approved"),"")</f>
        <v/>
      </c>
      <c r="BI373" s="105" t="str">
        <f>IF(A373&lt;&gt;"",COUNTIFS('QA Log'!D:D,A373,'QA Log'!M:M,"Vignette",'QA Log'!L:L,"Vignette [7] First ANC Visit",'QA Log'!Z:Z,"Approved"),"")</f>
        <v/>
      </c>
      <c r="BJ373" s="105" t="str">
        <f>IF(A373&lt;&gt;"",COUNTIFS('QA Log'!D:D,A373,'QA Log'!M:M,"Vignette",'QA Log'!L:L,"Vignette [8] Birth Spacing/ Family Planning :  FP Counselling",'QA Log'!Z:Z,"Approved"),"")</f>
        <v/>
      </c>
      <c r="BK373" s="105" t="str">
        <f>IF(A373&lt;&gt;"",COUNTIFS('QA Log'!D:D,A373,'QA Log'!M:M,"Vignette",'QA Log'!L:L,"Vignette [9] Birth Spacing: Change FP method to Injectable",'QA Log'!Z:Z,"Approved"),"")</f>
        <v/>
      </c>
      <c r="BL373" s="105" t="str">
        <f>IF(A373&lt;&gt;"",COUNTIFS('QA Log'!D:D,A373,'QA Log'!M:M,"Vignette",'QA Log'!L:L,"Vignette [10] Post Partum Haemorrhage - Atonic Uterus at Health Centre",'QA Log'!Z:Z,"Approved"),"")</f>
        <v/>
      </c>
      <c r="BM373" s="102" t="str">
        <f>IF(A373="","",SUM(
    COUNTIFS('QA Log'!D:D,A373,'QA Log'!M:M,"Vignette",'QA Log'!Z:Z,"Rejected",'QA Log'!L:L,"*Vignette [5] Labor*"),
    COUNTIFS('QA Log'!D:D,A373,'QA Log'!M:M,"Vignette",'QA Log'!Z:Z,"Rejected",'QA Log'!L:L,"*Vignette [6] PNC pre Discharge*"),
    COUNTIFS('QA Log'!D:D,A373,'QA Log'!M:M,"Vignette",'QA Log'!Z:Z,"Rejected",'QA Log'!L:L,"*Vignette [7] First ANC Visit*"),
    COUNTIFS('QA Log'!D:D,A373,'QA Log'!M:M,"Vignette",'QA Log'!Z:Z,"Rejected",'QA Log'!L:L,"*Vignette [8] Birth Spacing/ Family Planning :  FP Counselling*"),
    COUNTIFS('QA Log'!D:D,A373,'QA Log'!M:M,"Vignette",'QA Log'!Z:Z,"Rejected",'QA Log'!L:L,"*Vignette [9] Birth Spacing: Change FP method to Injectable*"),
    COUNTIFS('QA Log'!D:D,A373,'QA Log'!M:M,"Vignette",'QA Log'!Z:Z,"Rejected",'QA Log'!L:L,"*Vignette [10] Post Partum Haemorrhage - Atonic Uterus at Health Centre*")
  )
)</f>
        <v/>
      </c>
      <c r="BN373" s="107" t="str">
        <f t="shared" si="37"/>
        <v/>
      </c>
      <c r="BO373" s="103" t="str">
        <f t="shared" si="38"/>
        <v/>
      </c>
      <c r="BP373" s="102" t="str">
        <f>IF(A373="","",SUM(
COUNTIFS('QA Log'!D:D,A373,'QA Log'!M:M,"Vignette",'QA Log'!L:L,"*Exit Interview 1*"),
COUNTIFS('QA Log'!D:D,A373,'QA Log'!M:M,"Vignette",'QA Log'!L:L,"*Exit Interview 2*"),
)
)</f>
        <v/>
      </c>
      <c r="BQ373" s="102" t="str">
        <f>IF(
  A373="","",
  SUM(
    COUNTIFS('QA Log'!D:D,A373,'QA Log'!M:M,"Vignette",'QA Log'!Z:Z,"Approved",'QA Log'!L:L,"*Exit Interview 1*"),
    COUNTIFS('QA Log'!D:D,A373,'QA Log'!M:M,"Vignette",'QA Log'!Z:Z,"Approved",'QA Log'!L:L,"*Exit Interview 2*")
  )
)</f>
        <v/>
      </c>
      <c r="BR373" s="105" t="str">
        <f>IF(A373&lt;&gt;"",COUNTIFS('QA Log'!D:D,A373,'QA Log'!M:M,"Vignette",'QA Log'!L:L,"Exit Interview 1",'QA Log'!Z:Z,"Approved"),"")</f>
        <v/>
      </c>
      <c r="BS373" s="105" t="str">
        <f>IF(A373&lt;&gt;"",COUNTIFS('QA Log'!D:D,A373,'QA Log'!M:M,"Vignette",'QA Log'!L:L,"Exit Interview 2",'QA Log'!Z:Z,"Approved"),"")</f>
        <v/>
      </c>
      <c r="BT373" s="102" t="str">
        <f>IF(
  A373="","",
  SUM(
    COUNTIFS('QA Log'!D:D,A373,'QA Log'!M:M,"Vignette",'QA Log'!Z:Z,"Rejected",'QA Log'!L:L,"*Exit Interview 1*"),
    COUNTIFS('QA Log'!D:D,A373,'QA Log'!M:M,"Vignette",'QA Log'!Z:Z,"Rejected",'QA Log'!L:L,"*Exit Interview 2*")
  )
)</f>
        <v/>
      </c>
      <c r="BU373" s="107" t="str">
        <f t="shared" si="39"/>
        <v/>
      </c>
      <c r="BV373" s="102" t="str">
        <f t="shared" si="40"/>
        <v/>
      </c>
      <c r="BW373" s="102" t="str">
        <f t="shared" si="41"/>
        <v/>
      </c>
      <c r="BX373" s="102" t="str">
        <f t="shared" si="42"/>
        <v/>
      </c>
      <c r="BY373" s="102" t="str">
        <f t="shared" si="43"/>
        <v/>
      </c>
      <c r="BZ373" s="107" t="str">
        <f t="shared" si="44"/>
        <v/>
      </c>
      <c r="CA373" s="108" t="str">
        <f t="shared" si="45"/>
        <v/>
      </c>
      <c r="CB373" s="108" t="str">
        <f t="shared" si="46"/>
        <v/>
      </c>
      <c r="CC373" s="109" t="str">
        <f t="shared" si="47"/>
        <v/>
      </c>
      <c r="CD373" s="108" t="str">
        <f t="shared" si="48"/>
        <v/>
      </c>
      <c r="CE373" s="108" t="str">
        <f t="shared" si="49"/>
        <v/>
      </c>
      <c r="CF373" s="109" t="str">
        <f t="shared" si="50"/>
        <v/>
      </c>
      <c r="CG373" s="110" t="str">
        <f t="shared" si="51"/>
        <v/>
      </c>
      <c r="CH373" s="111"/>
    </row>
    <row r="374" spans="1:86" ht="12.75">
      <c r="A374" s="101"/>
      <c r="B374" s="102" t="e">
        <f t="array" aca="1" ref="B374" ca="1">_xludf.XLOOKUP(A374,'QA Log'!D:D,'QA Log'!E:E,"")</f>
        <v>#NAME?</v>
      </c>
      <c r="C374" s="102" t="e">
        <f t="array" aca="1" ref="C374" ca="1">_xludf.XLOOKUP(A374,'QA Log'!D:D,'QA Log'!F:F,"")</f>
        <v>#NAME?</v>
      </c>
      <c r="D374" s="102" t="e">
        <f t="array" aca="1" ref="D374" ca="1">_xludf.XLOOKUP(A374,'QA Log'!D:D,'QA Log'!H:H,"")</f>
        <v>#NAME?</v>
      </c>
      <c r="E374" s="102" t="e">
        <f t="array" aca="1" ref="E374" ca="1">_xludf.XLOOKUP(A374,'QA Log'!D:D,'QA Log'!G:G,"")</f>
        <v>#NAME?</v>
      </c>
      <c r="F374" s="103"/>
      <c r="G374" s="104"/>
      <c r="H374" s="104"/>
      <c r="I374" s="103" t="str">
        <f t="shared" si="26"/>
        <v/>
      </c>
      <c r="J374" s="102" t="str">
        <f>IF(A374="","",SUM(
COUNTIFS('QA Log'!D:D,A374,'QA Log'!M:M,"QQC",'QA Log'!L:L,"*1. General Management*"),
COUNTIFS('QA Log'!D:D,A374,'QA Log'!M:M,"QQC",'QA Log'!L:L,"*3. Curative Consultation (OPD)*"),
COUNTIFS('QA Log'!D:D,A374,'QA Log'!M:M,"QQC",'QA Log'!L:L,"*5. Laboratory*"),
COUNTIFS('QA Log'!D:D,A374,'QA Log'!M:M,"QQC",'QA Log'!L:L,"*6. Essential Medicine Management*"),
COUNTIFS('QA Log'!D:D,A374,'QA Log'!M:M,"QQC",'QA Log'!L:L,"*7. Tracer Medicine*"),
COUNTIFS('QA Log'!D:D,A374,'QA Log'!M:M,"QQC",'QA Log'!L:L,"*11. Additional Questions*")))</f>
        <v/>
      </c>
      <c r="K374" s="102" t="str">
        <f>IF(A374="","",SUM(
COUNTIFS('QA Log'!D:D,A374,'QA Log'!M:M,"QQC",'QA Log'!Z:Z,"Approved",'QA Log'!L:L,"*1. General Management*"),
COUNTIFS('QA Log'!D:D,A374,'QA Log'!M:M,"QQC",'QA Log'!Z:Z,"Approved",'QA Log'!L:L,"*3. Curative Consultation (OPD)*"),
COUNTIFS('QA Log'!D:D,A374,'QA Log'!M:M,"QQC",'QA Log'!Z:Z,"Approved",'QA Log'!L:L,"*5. Laboratory*"),
COUNTIFS('QA Log'!D:D,A374,'QA Log'!M:M,"QQC",'QA Log'!Z:Z,"Approved",'QA Log'!L:L,"*6. Essential Medicine Management*"),
COUNTIFS('QA Log'!D:D,A374,'QA Log'!M:M,"QQC",'QA Log'!Z:Z,"Approved",'QA Log'!L:L,"*7. Tracer Medicine*"),
COUNTIFS('QA Log'!D:D,A374,'QA Log'!M:M,"QQC",'QA Log'!Z:Z,"Approved",'QA Log'!L:L,"*11. Additional Questions*")))</f>
        <v/>
      </c>
      <c r="L374" s="102" t="str">
        <f>IF(A374&lt;&gt;"",COUNTIFS('QA Log'!D:D,A374,'QA Log'!M:M,"QQC",'QA Log'!L:L,"1. General Management",'QA Log'!Z:Z,"Approved"),"")</f>
        <v/>
      </c>
      <c r="M374" s="102" t="str">
        <f>IF(A374&lt;&gt;"",COUNTIFS('QA Log'!D:D,A374,'QA Log'!M:M,"QQC",'QA Log'!L:L,"3. Curative Consultation (OPD)",'QA Log'!Z:Z,"Approved"),"")</f>
        <v/>
      </c>
      <c r="N374" s="102" t="str">
        <f>IF(A374&lt;&gt;"",COUNTIFS('QA Log'!D:D,A374,'QA Log'!M:M,"QQC",'QA Log'!L:L,"5. Laboratory",'QA Log'!Z:Z,"Approved"),"")</f>
        <v/>
      </c>
      <c r="O374" s="102" t="str">
        <f>IF(A374&lt;&gt;"",COUNTIFS('QA Log'!D:D,A374,'QA Log'!M:M,"QQC",'QA Log'!L:L,"6. Essential Medicine Management",'QA Log'!Z:Z,"Approved"),"")</f>
        <v/>
      </c>
      <c r="P374" s="102" t="str">
        <f>IF(A374&lt;&gt;"",COUNTIFS('QA Log'!D:D,A374,'QA Log'!M:M,"QQC",'QA Log'!L:L,"7. Tracer Medicine",'QA Log'!Z:Z,"Approved"),"")</f>
        <v/>
      </c>
      <c r="Q374" s="102" t="str">
        <f>IF(A374&lt;&gt;"",COUNTIFS('QA Log'!D:D,A374,'QA Log'!M:M,"QQC",'QA Log'!L:L,"11. Additional Questions",'QA Log'!Z:Z,"Approved"),"")</f>
        <v/>
      </c>
      <c r="R374" s="102" t="str">
        <f>IF(A374="","",SUM(
COUNTIFS('QA Log'!D:D,A374,'QA Log'!M:M,"QQC",'QA Log'!Z:Z,"Rejected",'QA Log'!L:L,"*8. Maternity*"),
COUNTIFS('QA Log'!D:D,A374,'QA Log'!M:M,"QQC",'QA Log'!Z:Z,"Rejected",'QA Log'!L:L,"*EPI*"),
COUNTIFS('QA Log'!D:D,A374,'QA Log'!M:M,"QQC",'QA Log'!Z:Z,"Rejected",'QA Log'!L:L,"*10. Antenatal Care (ANC)*"),
COUNTIFS('QA Log'!D:D,A374,'QA Log'!M:M,"QQC",'QA Log'!Z:Z,"Rejected",'QA Log'!L:L,"*2. Hygiene and Sterilization*"),
COUNTIFS('QA Log'!D:D,A374,'QA Log'!M:M,"QQC",'QA Log'!Z:Z,"Rejected",'QA Log'!L:L,"*Family Planning*")))</f>
        <v/>
      </c>
      <c r="S374" s="106" t="str">
        <f t="shared" si="27"/>
        <v/>
      </c>
      <c r="T374" s="102" t="str">
        <f t="shared" si="28"/>
        <v/>
      </c>
      <c r="U374" s="102" t="str">
        <f>IF(A374="","",
SUM(
COUNTIFS('QA Log'!D:D,A374,'QA Log'!M:M,"QQC",'QA Log'!L:L,"*8. Maternity*"),
COUNTIFS('QA Log'!D:D,A374,'QA Log'!M:M,"QQC",'QA Log'!L:L,"*9. EPI and Pre-school Consultation*"),
COUNTIFS('QA Log'!D:D,A374,'QA Log'!M:M,"QQC",'QA Log'!L:L,"*10. Antenatal Care (ANC)*"),
COUNTIFS('QA Log'!D:D,A374,'QA Log'!M:M,"QQC",'QA Log'!L:L,"*2. Hygiene and Sterilization*"),
COUNTIFS('QA Log'!D:D,A374,'QA Log'!M:M,"QQC",'QA Log'!L:L,"*4. Family Planning*")
))</f>
        <v/>
      </c>
      <c r="V374" s="102" t="str">
        <f>IF(A374="","",
SUM(
COUNTIFS('QA Log'!D:D,A374,'QA Log'!M:M,"QQC",'QA Log'!Z:Z,"Approved",'QA Log'!L:L,"*8. Maternity*"),
COUNTIFS('QA Log'!D:D,A374,'QA Log'!M:M,"QQC",'QA Log'!Z:Z,"Approved",'QA Log'!L:L,"*9. EPI and Pre-school Consultation*"),
COUNTIFS('QA Log'!D:D,A374,'QA Log'!M:M,"QQC",'QA Log'!Z:Z,"Approved",'QA Log'!L:L,"*10. Antenatal Care (ANC)*"),
COUNTIFS('QA Log'!D:D,A374,'QA Log'!M:M,"QQC",'QA Log'!Z:Z,"Approved",'QA Log'!L:L,"*2. Hygiene and Sterilization*"),
COUNTIFS('QA Log'!D:D,A374,'QA Log'!M:M,"QQC",'QA Log'!Z:Z,"Approved",'QA Log'!L:L,"*4. Family Planning*")
))</f>
        <v/>
      </c>
      <c r="W374" s="105" t="str">
        <f>IF(A374&lt;&gt;"",COUNTIFS('QA Log'!D:D,A374,'QA Log'!M:M,"QQC",'QA Log'!L:L,"8. Maternity",'QA Log'!Z:Z,"Approved"),"")</f>
        <v/>
      </c>
      <c r="X374" s="105" t="str">
        <f>IF(A374&lt;&gt;"",COUNTIFS('QA Log'!D:D,A374,'QA Log'!M:M,"QQC",'QA Log'!L:L,"9. EPI and Pre-school Consultation",'QA Log'!Z:Z,"Approved"),"")</f>
        <v/>
      </c>
      <c r="Y374" s="105" t="str">
        <f>IF(A374&lt;&gt;"",COUNTIFS('QA Log'!D:D,A374,'QA Log'!M:M,"QQC",'QA Log'!L:L,"10. Antenatal Care (ANC)",'QA Log'!Z:Z,"Approved"),"")</f>
        <v/>
      </c>
      <c r="Z374" s="105" t="str">
        <f>IF(A374&lt;&gt;"",COUNTIFS('QA Log'!D:D,A374,'QA Log'!M:M,"QQC",'QA Log'!L:L,"2. Hygiene and Sterilization",'QA Log'!Z:Z,"Approved"),"")</f>
        <v/>
      </c>
      <c r="AA374" s="105" t="str">
        <f>IF(A374&lt;&gt;"",COUNTIFS('QA Log'!D:D,A374,'QA Log'!M:M,"QQC",'QA Log'!L:L,"4. Family Planning",'QA Log'!Z:Z,"Approved"),"")</f>
        <v/>
      </c>
      <c r="AB374" s="102" t="str">
        <f>IF(A374="","",
SUM(
COUNTIFS('QA Log'!D:D,A374,'QA Log'!M:M,"QQC",'QA Log'!Z:Z,"Rejected",'QA Log'!L:L,"*8. Maternity*"),
COUNTIFS('QA Log'!D:D,A374,'QA Log'!M:M,"QQC",'QA Log'!Z:Z,"Rejected",'QA Log'!L:L,"*9. EPI and Pre-school Consultation*"),
COUNTIFS('QA Log'!D:D,A374,'QA Log'!M:M,"QQC",'QA Log'!Z:Z,"Rejected",'QA Log'!L:L,"*10. Antenatal Care (ANC)*"),
COUNTIFS('QA Log'!D:D,A374,'QA Log'!M:M,"QQC",'QA Log'!Z:Z,"Rejected",'QA Log'!L:L,"*2. Hygiene and Sterilization*"),
COUNTIFS('QA Log'!D:D,A374,'QA Log'!M:M,"QQC",'QA Log'!Z:Z,"Rejected",'QA Log'!L:L,"*4. Family Planning*")
))</f>
        <v/>
      </c>
      <c r="AC374" s="102" t="str">
        <f t="shared" si="29"/>
        <v/>
      </c>
      <c r="AD374" s="103" t="str">
        <f t="shared" si="30"/>
        <v/>
      </c>
      <c r="AE374" s="102" t="str">
        <f>IF(A374="","",
SUM(
COUNTIFS('QA Log'!D:D,A374,'QA Log'!M:M,"Data Verification",'QA Log'!L:L,"*Medicine (section 2)*"),
COUNTIFS('QA Log'!D:D,A374,'QA Log'!M:M,"Data Verification",'QA Log'!L:L,"*Lab Testing Availability*"),
COUNTIFS('QA Log'!D:D,A374,'QA Log'!M:M,"Data Verification",'QA Log'!L:L,"*Other than P4P (section 6)*"),
COUNTIFS('QA Log'!D:D,A374,'QA Log'!M:M,"Data Verification",'QA Log'!L:L,"*Hospital Governance*")
))</f>
        <v/>
      </c>
      <c r="AF374" s="102" t="str">
        <f>IF(A374="","",
SUM(
COUNTIFS('QA Log'!D:D,A374,'QA Log'!M:M,"Data Verification",'QA Log'!Z:Z,"Approved",'QA Log'!L:L,"*Medicine (section 2)*"),
COUNTIFS('QA Log'!D:D,A374,'QA Log'!M:M,"Data Verification",'QA Log'!Z:Z,"Approved",'QA Log'!L:L,"*Lab Testing Availability*"),
COUNTIFS('QA Log'!D:D,A374,'QA Log'!M:M,"Data Verification",'QA Log'!Z:Z,"Approved",'QA Log'!L:L,"*Other than P4P (section 6)*"),
COUNTIFS('QA Log'!D:D,A374,'QA Log'!M:M,"Data Verification",'QA Log'!Z:Z,"Approved",'QA Log'!L:L,"*Hospital Governance*")
))</f>
        <v/>
      </c>
      <c r="AG374" s="105" t="str">
        <f>IF(A374&lt;&gt;"",COUNTIFS('QA Log'!D:D,A374,'QA Log'!M:M,"Data Verification",'QA Log'!L:L,"Medicine (section 2)",'QA Log'!Z:Z,"Approved"),"")</f>
        <v/>
      </c>
      <c r="AH374" s="105" t="str">
        <f>IF(A374&lt;&gt;"",COUNTIFS('QA Log'!D:D,A374,'QA Log'!M:M,"Data Verification",'QA Log'!L:L,"Lab Testing Availability",'QA Log'!Z:Z,"Approved"),"")</f>
        <v/>
      </c>
      <c r="AI374" s="105" t="str">
        <f>IF(A374&lt;&gt;"",COUNTIFS('QA Log'!D:D,A374,'QA Log'!M:M,"Data Verification",'QA Log'!L:L,"Other than P4P (section 6)",'QA Log'!Z:Z,"Approved"),"")</f>
        <v/>
      </c>
      <c r="AJ374" s="105" t="str">
        <f>IF(A374&lt;&gt;"",COUNTIFS('QA Log'!D:D,A374,'QA Log'!M:M,"Data Verification",'QA Log'!L:L,"Hospital Governance",'QA Log'!Z:Z,"Approved"),"")</f>
        <v/>
      </c>
      <c r="AK374" s="102" t="str">
        <f>IF(A374="","",
SUM(
COUNTIFS('QA Log'!D:D,A374,'QA Log'!M:M,"Data Verification",'QA Log'!Z:Z,"Rejected",'QA Log'!L:L,"*Medicine (section 2)*"),
COUNTIFS('QA Log'!D:D,A374,'QA Log'!M:M,"Data Verification",'QA Log'!Z:Z,"Rejected",'QA Log'!L:L,"*Lab Testing Availability*"),
COUNTIFS('QA Log'!D:D,A374,'QA Log'!M:M,"Data Verification",'QA Log'!Z:Z,"Rejected",'QA Log'!L:L,"*Other than P4P (section 6)*"),
COUNTIFS('QA Log'!D:D,A374,'QA Log'!M:M,"Data Verification",'QA Log'!Z:Z,"Rejected",'QA Log'!L:L,"*Hospital Governance*")
))</f>
        <v/>
      </c>
      <c r="AL374" s="106" t="str">
        <f t="shared" si="31"/>
        <v/>
      </c>
      <c r="AM374" s="102" t="str">
        <f t="shared" si="32"/>
        <v/>
      </c>
      <c r="AN374" s="102" t="str">
        <f>IF(A374="","",
SUM(
COUNTIFS('QA Log'!D:D,A374,'QA Log'!M:M,"Data Verification",'QA Log'!L:L,"*Personnel (section 1)*"),
COUNTIFS('QA Log'!D:D,A374,'QA Log'!M:M,"Data Verification",'QA Log'!L:L,"*Consumable (section 3)*"),
COUNTIFS('QA Log'!D:D,A374,'QA Log'!M:M,"Data Verification",'QA Log'!L:L,"*Equipments (section 4)*")
))</f>
        <v/>
      </c>
      <c r="AO374" s="102" t="str">
        <f>IF(A374="","",
SUM(
COUNTIFS('QA Log'!D:D,A374,'QA Log'!M:M,"Data Verification",'QA Log'!Z:Z,"Approved",'QA Log'!L:L,"*Personnel (section 1)*"),
COUNTIFS('QA Log'!D:D,A374,'QA Log'!M:M,"Data Verification",'QA Log'!Z:Z,"Approved",'QA Log'!L:L,"*Consumable (section 3)*"),
COUNTIFS('QA Log'!D:D,A374,'QA Log'!M:M,"Data Verification",'QA Log'!Z:Z,"Approved",'QA Log'!L:L,"*Equipments (section 4)*")
))</f>
        <v/>
      </c>
      <c r="AP374" s="105" t="str">
        <f>IF(A374&lt;&gt;"",COUNTIFS('QA Log'!D:D,A374,'QA Log'!M:M,"Data Verification",'QA Log'!L:L,"Personnel (section 1)",'QA Log'!Z:Z,"Approved"),"")</f>
        <v/>
      </c>
      <c r="AQ374" s="105" t="str">
        <f>IF(A374&lt;&gt;"",COUNTIFS('QA Log'!D:D,A374,'QA Log'!M:M,"Data Verification",'QA Log'!L:L,"Consumable (section 3)",'QA Log'!Z:Z,"Approved"),"")</f>
        <v/>
      </c>
      <c r="AR374" s="105" t="str">
        <f>IF(A374&lt;&gt;"",COUNTIFS('QA Log'!D:D,A374,'QA Log'!M:M,"Data Verification",'QA Log'!L:L,"Equipments (section 4)",'QA Log'!Z:Z,"Approved"),"")</f>
        <v/>
      </c>
      <c r="AS374" s="102" t="str">
        <f>IF(A374="","",
SUM(
COUNTIFS('QA Log'!D:D,A374,'QA Log'!M:M,"Data Verification",'QA Log'!Z:Z,"Rejected",'QA Log'!L:L,"*Personnel (section 1)*"),
COUNTIFS('QA Log'!D:D,A374,'QA Log'!M:M,"Data Verification",'QA Log'!Z:Z,"Rejected",'QA Log'!L:L,"*Consumable (section 3)*"),
COUNTIFS('QA Log'!D:D,A374,'QA Log'!M:M,"Data Verification",'QA Log'!Z:Z,"Rejected",'QA Log'!L:L,"*Equipments (section 4)*")
))</f>
        <v/>
      </c>
      <c r="AT374" s="102" t="str">
        <f t="shared" si="33"/>
        <v/>
      </c>
      <c r="AU374" s="103" t="str">
        <f t="shared" si="34"/>
        <v/>
      </c>
      <c r="AV374" s="102" t="str">
        <f>IF(A374="","",SUM(
COUNTIFS('QA Log'!D:D,A374,'QA Log'!M:M,"Vignette",'QA Log'!L:L,"*Vignette [1] Respiratory Infection: Pneumonia*"),
COUNTIFS('QA Log'!D:D,A374,'QA Log'!M:M,"Vignette",'QA Log'!L:L,"*Vignette [2]: Diarrhea with Cat B dehydration*"),
COUNTIFS('QA Log'!D:D,A374,'QA Log'!M:M,"Vignette",'QA Log'!L:L,"*Vignette [3] Growth Monitoring and Promotion*"),
COUNTIFS('QA Log'!D:D,A374,'QA Log'!M:M,"Vignette",'QA Log'!L:L,"*Vignette [4]: The management of presumptive TB patient*")
)
)</f>
        <v/>
      </c>
      <c r="AW374" s="102" t="str">
        <f>IF(
  A374="","",
  SUM(
    COUNTIFS('QA Log'!D:D,A374,'QA Log'!M:M,"Vignette",'QA Log'!Z:Z,"Approved",'QA Log'!L:L,"*Vignette [1] Respiratory Infection: Pneumonia*"),
    COUNTIFS('QA Log'!D:D,A374,'QA Log'!M:M,"Vignette",'QA Log'!Z:Z,"Approved",'QA Log'!L:L,"*Vignette [2]: Diarrhea with Cat B dehydration*"),
    COUNTIFS('QA Log'!D:D,A374,'QA Log'!M:M,"Vignette",'QA Log'!Z:Z,"Approved",'QA Log'!L:L,"*Vignette [3] Growth Monitoring and Promotion*"),
    COUNTIFS('QA Log'!D:D,A374,'QA Log'!M:M,"Vignette",'QA Log'!Z:Z,"Approved",'QA Log'!L:L,"*Vignette [4]: The management of presumptive TB patient*")
  )
)</f>
        <v/>
      </c>
      <c r="AX374" s="105" t="str">
        <f>IF(A374&lt;&gt;"",COUNTIFS('QA Log'!D:D,A374,'QA Log'!M:M,"Vignette",'QA Log'!L:L,"Vignette [1] Respiratory Infection: Pneumonia",'QA Log'!Z:Z,"Approved"),"")</f>
        <v/>
      </c>
      <c r="AY374" s="105" t="str">
        <f>IF(A374&lt;&gt;"",COUNTIFS('QA Log'!D:D,A374,'QA Log'!M:M,"Vignette",'QA Log'!L:L,"Vignette [2]: Diarrhea with Cat B dehydration",'QA Log'!Z:Z,"Approved"),"")</f>
        <v/>
      </c>
      <c r="AZ374" s="105" t="str">
        <f>IF(A374&lt;&gt;"",COUNTIFS('QA Log'!D:D,A374,'QA Log'!M:M,"Vignette",'QA Log'!L:L,"Vignette [3] Growth Monitoring and Promotion",'QA Log'!Z:Z,"Approved"),"")</f>
        <v/>
      </c>
      <c r="BA374" s="105" t="str">
        <f>IF(A374&lt;&gt;"",COUNTIFS('QA Log'!D:D,A374,'QA Log'!M:M,"Vignette",'QA Log'!L:L,"Vignette [4]: The management of presumptive TB patient",'QA Log'!Z:Z,"Approved"),"")</f>
        <v/>
      </c>
      <c r="BB374" s="102" t="str">
        <f>IF(A374="","",
  SUM(
    COUNTIFS('QA Log'!D:D,A374,'QA Log'!M:M,"Vignette",'QA Log'!Z:Z,"Rejected",'QA Log'!L:L,"*Vignette [1] Respiratory Infection: Pneumonia*"),
    COUNTIFS('QA Log'!D:D,A374,'QA Log'!M:M,"Vignette",'QA Log'!Z:Z,"Rejected",'QA Log'!L:L,"*Vignette [2]: Diarrhea with Cat B dehydration*"),
    COUNTIFS('QA Log'!D:D,A374,'QA Log'!M:M,"Vignette",'QA Log'!Z:Z,"Rejected",'QA Log'!L:L,"*Vignette [3] Growth Monitoring and Promotion*"),
    COUNTIFS('QA Log'!D:D,A374,'QA Log'!M:M,"Vignette",'QA Log'!Z:Z,"Rejected",'QA Log'!L:L,"*Vignette [4]: The management of presumptive TB patient*")
  )
)</f>
        <v/>
      </c>
      <c r="BC374" s="107" t="str">
        <f t="shared" si="35"/>
        <v/>
      </c>
      <c r="BD374" s="103" t="str">
        <f t="shared" si="36"/>
        <v/>
      </c>
      <c r="BE374" s="102" t="str">
        <f>IF(A374="","",SUM(
COUNTIFS('QA Log'!D:D,A374,'QA Log'!M:M,"Vignette",'QA Log'!L:L,"*Vignette [5] Labor*"),
COUNTIFS('QA Log'!D:D,A374,'QA Log'!M:M,"Vignette",'QA Log'!L:L,"*Vignette [6] PNC pre Discharge*"),
COUNTIFS('QA Log'!D:D,A374,'QA Log'!M:M,"Vignette",'QA Log'!L:L,"*Vignette [7] First ANC Visit*"),
COUNTIFS('QA Log'!D:D,A374,'QA Log'!M:M,"Vignette",'QA Log'!L:L,"*Vignette [8] Birth Spacing/ Family Planning :  FP Counselling*"),
COUNTIFS('QA Log'!D:D,A374,'QA Log'!M:M,"Vignette",'QA Log'!L:L,"*Vignette [9] Birth Spacing: Change FP method to Injectable*"),
COUNTIFS('QA Log'!D:D,A374,'QA Log'!M:M,"Vignette",'QA Log'!L:L,"*Vignette [10] Post Partum Haemorrhage - Atonic Uterus at Health Centre*"),
)
)</f>
        <v/>
      </c>
      <c r="BF374" s="102" t="str">
        <f>IF(A374="","",
  SUM(
    COUNTIFS('QA Log'!D:D,A374,'QA Log'!M:M,"Vignette",'QA Log'!Z:Z,"Approved",'QA Log'!L:L,"*Vignette [5] Labor*"),
    COUNTIFS('QA Log'!D:D,A374,'QA Log'!M:M,"Vignette",'QA Log'!Z:Z,"Approved",'QA Log'!L:L,"*Vignette [6] PNC pre Discharge*"),
    COUNTIFS('QA Log'!D:D,A374,'QA Log'!M:M,"Vignette",'QA Log'!Z:Z,"Approved",'QA Log'!L:L,"*Vignette [7] First ANC Visit*"),
    COUNTIFS('QA Log'!D:D,A374,'QA Log'!M:M,"Vignette",'QA Log'!Z:Z,"Approved",'QA Log'!L:L,"*Vignette [8] Birth Spacing/ Family Planning :  FP Counselling*"),
    COUNTIFS('QA Log'!D:D,A374,'QA Log'!M:M,"Vignette",'QA Log'!Z:Z,"Approved",'QA Log'!L:L,"*Vignette [9] Birth Spacing: Change FP method to Injectable*"),
    COUNTIFS('QA Log'!D:D,A374,'QA Log'!M:M,"Vignette",'QA Log'!Z:Z,"Approved",'QA Log'!L:L,"*Vignette [10] Post Partum Haemorrhage - Atonic Uterus at Health Centre*")
  )
)</f>
        <v/>
      </c>
      <c r="BG374" s="105" t="str">
        <f>IF(A374&lt;&gt;"",COUNTIFS('QA Log'!D:D,A374,'QA Log'!M:M,"Vignette",'QA Log'!L:L,"Vignette [5] Labor",'QA Log'!Z:Z,"Approved"),"")</f>
        <v/>
      </c>
      <c r="BH374" s="105" t="str">
        <f>IF(A374&lt;&gt;"",COUNTIFS('QA Log'!D:D,A374,'QA Log'!M:M,"Vignette",'QA Log'!L:L,"Vignette [6] PNC pre Discharge",'QA Log'!Z:Z,"Approved"),"")</f>
        <v/>
      </c>
      <c r="BI374" s="105" t="str">
        <f>IF(A374&lt;&gt;"",COUNTIFS('QA Log'!D:D,A374,'QA Log'!M:M,"Vignette",'QA Log'!L:L,"Vignette [7] First ANC Visit",'QA Log'!Z:Z,"Approved"),"")</f>
        <v/>
      </c>
      <c r="BJ374" s="105" t="str">
        <f>IF(A374&lt;&gt;"",COUNTIFS('QA Log'!D:D,A374,'QA Log'!M:M,"Vignette",'QA Log'!L:L,"Vignette [8] Birth Spacing/ Family Planning :  FP Counselling",'QA Log'!Z:Z,"Approved"),"")</f>
        <v/>
      </c>
      <c r="BK374" s="105" t="str">
        <f>IF(A374&lt;&gt;"",COUNTIFS('QA Log'!D:D,A374,'QA Log'!M:M,"Vignette",'QA Log'!L:L,"Vignette [9] Birth Spacing: Change FP method to Injectable",'QA Log'!Z:Z,"Approved"),"")</f>
        <v/>
      </c>
      <c r="BL374" s="105" t="str">
        <f>IF(A374&lt;&gt;"",COUNTIFS('QA Log'!D:D,A374,'QA Log'!M:M,"Vignette",'QA Log'!L:L,"Vignette [10] Post Partum Haemorrhage - Atonic Uterus at Health Centre",'QA Log'!Z:Z,"Approved"),"")</f>
        <v/>
      </c>
      <c r="BM374" s="102" t="str">
        <f>IF(A374="","",SUM(
    COUNTIFS('QA Log'!D:D,A374,'QA Log'!M:M,"Vignette",'QA Log'!Z:Z,"Rejected",'QA Log'!L:L,"*Vignette [5] Labor*"),
    COUNTIFS('QA Log'!D:D,A374,'QA Log'!M:M,"Vignette",'QA Log'!Z:Z,"Rejected",'QA Log'!L:L,"*Vignette [6] PNC pre Discharge*"),
    COUNTIFS('QA Log'!D:D,A374,'QA Log'!M:M,"Vignette",'QA Log'!Z:Z,"Rejected",'QA Log'!L:L,"*Vignette [7] First ANC Visit*"),
    COUNTIFS('QA Log'!D:D,A374,'QA Log'!M:M,"Vignette",'QA Log'!Z:Z,"Rejected",'QA Log'!L:L,"*Vignette [8] Birth Spacing/ Family Planning :  FP Counselling*"),
    COUNTIFS('QA Log'!D:D,A374,'QA Log'!M:M,"Vignette",'QA Log'!Z:Z,"Rejected",'QA Log'!L:L,"*Vignette [9] Birth Spacing: Change FP method to Injectable*"),
    COUNTIFS('QA Log'!D:D,A374,'QA Log'!M:M,"Vignette",'QA Log'!Z:Z,"Rejected",'QA Log'!L:L,"*Vignette [10] Post Partum Haemorrhage - Atonic Uterus at Health Centre*")
  )
)</f>
        <v/>
      </c>
      <c r="BN374" s="107" t="str">
        <f t="shared" si="37"/>
        <v/>
      </c>
      <c r="BO374" s="103" t="str">
        <f t="shared" si="38"/>
        <v/>
      </c>
      <c r="BP374" s="102" t="str">
        <f>IF(A374="","",SUM(
COUNTIFS('QA Log'!D:D,A374,'QA Log'!M:M,"Vignette",'QA Log'!L:L,"*Exit Interview 1*"),
COUNTIFS('QA Log'!D:D,A374,'QA Log'!M:M,"Vignette",'QA Log'!L:L,"*Exit Interview 2*"),
)
)</f>
        <v/>
      </c>
      <c r="BQ374" s="102" t="str">
        <f>IF(
  A374="","",
  SUM(
    COUNTIFS('QA Log'!D:D,A374,'QA Log'!M:M,"Vignette",'QA Log'!Z:Z,"Approved",'QA Log'!L:L,"*Exit Interview 1*"),
    COUNTIFS('QA Log'!D:D,A374,'QA Log'!M:M,"Vignette",'QA Log'!Z:Z,"Approved",'QA Log'!L:L,"*Exit Interview 2*")
  )
)</f>
        <v/>
      </c>
      <c r="BR374" s="105" t="str">
        <f>IF(A374&lt;&gt;"",COUNTIFS('QA Log'!D:D,A374,'QA Log'!M:M,"Vignette",'QA Log'!L:L,"Exit Interview 1",'QA Log'!Z:Z,"Approved"),"")</f>
        <v/>
      </c>
      <c r="BS374" s="105" t="str">
        <f>IF(A374&lt;&gt;"",COUNTIFS('QA Log'!D:D,A374,'QA Log'!M:M,"Vignette",'QA Log'!L:L,"Exit Interview 2",'QA Log'!Z:Z,"Approved"),"")</f>
        <v/>
      </c>
      <c r="BT374" s="102" t="str">
        <f>IF(
  A374="","",
  SUM(
    COUNTIFS('QA Log'!D:D,A374,'QA Log'!M:M,"Vignette",'QA Log'!Z:Z,"Rejected",'QA Log'!L:L,"*Exit Interview 1*"),
    COUNTIFS('QA Log'!D:D,A374,'QA Log'!M:M,"Vignette",'QA Log'!Z:Z,"Rejected",'QA Log'!L:L,"*Exit Interview 2*")
  )
)</f>
        <v/>
      </c>
      <c r="BU374" s="107" t="str">
        <f t="shared" si="39"/>
        <v/>
      </c>
      <c r="BV374" s="102" t="str">
        <f t="shared" si="40"/>
        <v/>
      </c>
      <c r="BW374" s="102" t="str">
        <f t="shared" si="41"/>
        <v/>
      </c>
      <c r="BX374" s="102" t="str">
        <f t="shared" si="42"/>
        <v/>
      </c>
      <c r="BY374" s="102" t="str">
        <f t="shared" si="43"/>
        <v/>
      </c>
      <c r="BZ374" s="107" t="str">
        <f t="shared" si="44"/>
        <v/>
      </c>
      <c r="CA374" s="108" t="str">
        <f t="shared" si="45"/>
        <v/>
      </c>
      <c r="CB374" s="108" t="str">
        <f t="shared" si="46"/>
        <v/>
      </c>
      <c r="CC374" s="109" t="str">
        <f t="shared" si="47"/>
        <v/>
      </c>
      <c r="CD374" s="108" t="str">
        <f t="shared" si="48"/>
        <v/>
      </c>
      <c r="CE374" s="108" t="str">
        <f t="shared" si="49"/>
        <v/>
      </c>
      <c r="CF374" s="109" t="str">
        <f t="shared" si="50"/>
        <v/>
      </c>
      <c r="CG374" s="110" t="str">
        <f t="shared" si="51"/>
        <v/>
      </c>
      <c r="CH374" s="111"/>
    </row>
    <row r="375" spans="1:86" ht="12.75">
      <c r="A375" s="101"/>
      <c r="B375" s="102" t="e">
        <f t="array" aca="1" ref="B375" ca="1">_xludf.XLOOKUP(A375,'QA Log'!D:D,'QA Log'!E:E,"")</f>
        <v>#NAME?</v>
      </c>
      <c r="C375" s="102" t="e">
        <f t="array" aca="1" ref="C375" ca="1">_xludf.XLOOKUP(A375,'QA Log'!D:D,'QA Log'!F:F,"")</f>
        <v>#NAME?</v>
      </c>
      <c r="D375" s="102" t="e">
        <f t="array" aca="1" ref="D375" ca="1">_xludf.XLOOKUP(A375,'QA Log'!D:D,'QA Log'!H:H,"")</f>
        <v>#NAME?</v>
      </c>
      <c r="E375" s="102" t="e">
        <f t="array" aca="1" ref="E375" ca="1">_xludf.XLOOKUP(A375,'QA Log'!D:D,'QA Log'!G:G,"")</f>
        <v>#NAME?</v>
      </c>
      <c r="F375" s="103"/>
      <c r="G375" s="104"/>
      <c r="H375" s="104"/>
      <c r="I375" s="103" t="str">
        <f t="shared" si="26"/>
        <v/>
      </c>
      <c r="J375" s="102" t="str">
        <f>IF(A375="","",SUM(
COUNTIFS('QA Log'!D:D,A375,'QA Log'!M:M,"QQC",'QA Log'!L:L,"*1. General Management*"),
COUNTIFS('QA Log'!D:D,A375,'QA Log'!M:M,"QQC",'QA Log'!L:L,"*3. Curative Consultation (OPD)*"),
COUNTIFS('QA Log'!D:D,A375,'QA Log'!M:M,"QQC",'QA Log'!L:L,"*5. Laboratory*"),
COUNTIFS('QA Log'!D:D,A375,'QA Log'!M:M,"QQC",'QA Log'!L:L,"*6. Essential Medicine Management*"),
COUNTIFS('QA Log'!D:D,A375,'QA Log'!M:M,"QQC",'QA Log'!L:L,"*7. Tracer Medicine*"),
COUNTIFS('QA Log'!D:D,A375,'QA Log'!M:M,"QQC",'QA Log'!L:L,"*11. Additional Questions*")))</f>
        <v/>
      </c>
      <c r="K375" s="102" t="str">
        <f>IF(A375="","",SUM(
COUNTIFS('QA Log'!D:D,A375,'QA Log'!M:M,"QQC",'QA Log'!Z:Z,"Approved",'QA Log'!L:L,"*1. General Management*"),
COUNTIFS('QA Log'!D:D,A375,'QA Log'!M:M,"QQC",'QA Log'!Z:Z,"Approved",'QA Log'!L:L,"*3. Curative Consultation (OPD)*"),
COUNTIFS('QA Log'!D:D,A375,'QA Log'!M:M,"QQC",'QA Log'!Z:Z,"Approved",'QA Log'!L:L,"*5. Laboratory*"),
COUNTIFS('QA Log'!D:D,A375,'QA Log'!M:M,"QQC",'QA Log'!Z:Z,"Approved",'QA Log'!L:L,"*6. Essential Medicine Management*"),
COUNTIFS('QA Log'!D:D,A375,'QA Log'!M:M,"QQC",'QA Log'!Z:Z,"Approved",'QA Log'!L:L,"*7. Tracer Medicine*"),
COUNTIFS('QA Log'!D:D,A375,'QA Log'!M:M,"QQC",'QA Log'!Z:Z,"Approved",'QA Log'!L:L,"*11. Additional Questions*")))</f>
        <v/>
      </c>
      <c r="L375" s="102" t="str">
        <f>IF(A375&lt;&gt;"",COUNTIFS('QA Log'!D:D,A375,'QA Log'!M:M,"QQC",'QA Log'!L:L,"1. General Management",'QA Log'!Z:Z,"Approved"),"")</f>
        <v/>
      </c>
      <c r="M375" s="102" t="str">
        <f>IF(A375&lt;&gt;"",COUNTIFS('QA Log'!D:D,A375,'QA Log'!M:M,"QQC",'QA Log'!L:L,"3. Curative Consultation (OPD)",'QA Log'!Z:Z,"Approved"),"")</f>
        <v/>
      </c>
      <c r="N375" s="102" t="str">
        <f>IF(A375&lt;&gt;"",COUNTIFS('QA Log'!D:D,A375,'QA Log'!M:M,"QQC",'QA Log'!L:L,"5. Laboratory",'QA Log'!Z:Z,"Approved"),"")</f>
        <v/>
      </c>
      <c r="O375" s="102" t="str">
        <f>IF(A375&lt;&gt;"",COUNTIFS('QA Log'!D:D,A375,'QA Log'!M:M,"QQC",'QA Log'!L:L,"6. Essential Medicine Management",'QA Log'!Z:Z,"Approved"),"")</f>
        <v/>
      </c>
      <c r="P375" s="102" t="str">
        <f>IF(A375&lt;&gt;"",COUNTIFS('QA Log'!D:D,A375,'QA Log'!M:M,"QQC",'QA Log'!L:L,"7. Tracer Medicine",'QA Log'!Z:Z,"Approved"),"")</f>
        <v/>
      </c>
      <c r="Q375" s="102" t="str">
        <f>IF(A375&lt;&gt;"",COUNTIFS('QA Log'!D:D,A375,'QA Log'!M:M,"QQC",'QA Log'!L:L,"11. Additional Questions",'QA Log'!Z:Z,"Approved"),"")</f>
        <v/>
      </c>
      <c r="R375" s="102" t="str">
        <f>IF(A375="","",SUM(
COUNTIFS('QA Log'!D:D,A375,'QA Log'!M:M,"QQC",'QA Log'!Z:Z,"Rejected",'QA Log'!L:L,"*8. Maternity*"),
COUNTIFS('QA Log'!D:D,A375,'QA Log'!M:M,"QQC",'QA Log'!Z:Z,"Rejected",'QA Log'!L:L,"*EPI*"),
COUNTIFS('QA Log'!D:D,A375,'QA Log'!M:M,"QQC",'QA Log'!Z:Z,"Rejected",'QA Log'!L:L,"*10. Antenatal Care (ANC)*"),
COUNTIFS('QA Log'!D:D,A375,'QA Log'!M:M,"QQC",'QA Log'!Z:Z,"Rejected",'QA Log'!L:L,"*2. Hygiene and Sterilization*"),
COUNTIFS('QA Log'!D:D,A375,'QA Log'!M:M,"QQC",'QA Log'!Z:Z,"Rejected",'QA Log'!L:L,"*Family Planning*")))</f>
        <v/>
      </c>
      <c r="S375" s="106" t="str">
        <f t="shared" si="27"/>
        <v/>
      </c>
      <c r="T375" s="102" t="str">
        <f t="shared" si="28"/>
        <v/>
      </c>
      <c r="U375" s="102" t="str">
        <f>IF(A375="","",
SUM(
COUNTIFS('QA Log'!D:D,A375,'QA Log'!M:M,"QQC",'QA Log'!L:L,"*8. Maternity*"),
COUNTIFS('QA Log'!D:D,A375,'QA Log'!M:M,"QQC",'QA Log'!L:L,"*9. EPI and Pre-school Consultation*"),
COUNTIFS('QA Log'!D:D,A375,'QA Log'!M:M,"QQC",'QA Log'!L:L,"*10. Antenatal Care (ANC)*"),
COUNTIFS('QA Log'!D:D,A375,'QA Log'!M:M,"QQC",'QA Log'!L:L,"*2. Hygiene and Sterilization*"),
COUNTIFS('QA Log'!D:D,A375,'QA Log'!M:M,"QQC",'QA Log'!L:L,"*4. Family Planning*")
))</f>
        <v/>
      </c>
      <c r="V375" s="102" t="str">
        <f>IF(A375="","",
SUM(
COUNTIFS('QA Log'!D:D,A375,'QA Log'!M:M,"QQC",'QA Log'!Z:Z,"Approved",'QA Log'!L:L,"*8. Maternity*"),
COUNTIFS('QA Log'!D:D,A375,'QA Log'!M:M,"QQC",'QA Log'!Z:Z,"Approved",'QA Log'!L:L,"*9. EPI and Pre-school Consultation*"),
COUNTIFS('QA Log'!D:D,A375,'QA Log'!M:M,"QQC",'QA Log'!Z:Z,"Approved",'QA Log'!L:L,"*10. Antenatal Care (ANC)*"),
COUNTIFS('QA Log'!D:D,A375,'QA Log'!M:M,"QQC",'QA Log'!Z:Z,"Approved",'QA Log'!L:L,"*2. Hygiene and Sterilization*"),
COUNTIFS('QA Log'!D:D,A375,'QA Log'!M:M,"QQC",'QA Log'!Z:Z,"Approved",'QA Log'!L:L,"*4. Family Planning*")
))</f>
        <v/>
      </c>
      <c r="W375" s="105" t="str">
        <f>IF(A375&lt;&gt;"",COUNTIFS('QA Log'!D:D,A375,'QA Log'!M:M,"QQC",'QA Log'!L:L,"8. Maternity",'QA Log'!Z:Z,"Approved"),"")</f>
        <v/>
      </c>
      <c r="X375" s="105" t="str">
        <f>IF(A375&lt;&gt;"",COUNTIFS('QA Log'!D:D,A375,'QA Log'!M:M,"QQC",'QA Log'!L:L,"9. EPI and Pre-school Consultation",'QA Log'!Z:Z,"Approved"),"")</f>
        <v/>
      </c>
      <c r="Y375" s="105" t="str">
        <f>IF(A375&lt;&gt;"",COUNTIFS('QA Log'!D:D,A375,'QA Log'!M:M,"QQC",'QA Log'!L:L,"10. Antenatal Care (ANC)",'QA Log'!Z:Z,"Approved"),"")</f>
        <v/>
      </c>
      <c r="Z375" s="105" t="str">
        <f>IF(A375&lt;&gt;"",COUNTIFS('QA Log'!D:D,A375,'QA Log'!M:M,"QQC",'QA Log'!L:L,"2. Hygiene and Sterilization",'QA Log'!Z:Z,"Approved"),"")</f>
        <v/>
      </c>
      <c r="AA375" s="105" t="str">
        <f>IF(A375&lt;&gt;"",COUNTIFS('QA Log'!D:D,A375,'QA Log'!M:M,"QQC",'QA Log'!L:L,"4. Family Planning",'QA Log'!Z:Z,"Approved"),"")</f>
        <v/>
      </c>
      <c r="AB375" s="102" t="str">
        <f>IF(A375="","",
SUM(
COUNTIFS('QA Log'!D:D,A375,'QA Log'!M:M,"QQC",'QA Log'!Z:Z,"Rejected",'QA Log'!L:L,"*8. Maternity*"),
COUNTIFS('QA Log'!D:D,A375,'QA Log'!M:M,"QQC",'QA Log'!Z:Z,"Rejected",'QA Log'!L:L,"*9. EPI and Pre-school Consultation*"),
COUNTIFS('QA Log'!D:D,A375,'QA Log'!M:M,"QQC",'QA Log'!Z:Z,"Rejected",'QA Log'!L:L,"*10. Antenatal Care (ANC)*"),
COUNTIFS('QA Log'!D:D,A375,'QA Log'!M:M,"QQC",'QA Log'!Z:Z,"Rejected",'QA Log'!L:L,"*2. Hygiene and Sterilization*"),
COUNTIFS('QA Log'!D:D,A375,'QA Log'!M:M,"QQC",'QA Log'!Z:Z,"Rejected",'QA Log'!L:L,"*4. Family Planning*")
))</f>
        <v/>
      </c>
      <c r="AC375" s="102" t="str">
        <f t="shared" si="29"/>
        <v/>
      </c>
      <c r="AD375" s="103" t="str">
        <f t="shared" si="30"/>
        <v/>
      </c>
      <c r="AE375" s="102" t="str">
        <f>IF(A375="","",
SUM(
COUNTIFS('QA Log'!D:D,A375,'QA Log'!M:M,"Data Verification",'QA Log'!L:L,"*Medicine (section 2)*"),
COUNTIFS('QA Log'!D:D,A375,'QA Log'!M:M,"Data Verification",'QA Log'!L:L,"*Lab Testing Availability*"),
COUNTIFS('QA Log'!D:D,A375,'QA Log'!M:M,"Data Verification",'QA Log'!L:L,"*Other than P4P (section 6)*"),
COUNTIFS('QA Log'!D:D,A375,'QA Log'!M:M,"Data Verification",'QA Log'!L:L,"*Hospital Governance*")
))</f>
        <v/>
      </c>
      <c r="AF375" s="102" t="str">
        <f>IF(A375="","",
SUM(
COUNTIFS('QA Log'!D:D,A375,'QA Log'!M:M,"Data Verification",'QA Log'!Z:Z,"Approved",'QA Log'!L:L,"*Medicine (section 2)*"),
COUNTIFS('QA Log'!D:D,A375,'QA Log'!M:M,"Data Verification",'QA Log'!Z:Z,"Approved",'QA Log'!L:L,"*Lab Testing Availability*"),
COUNTIFS('QA Log'!D:D,A375,'QA Log'!M:M,"Data Verification",'QA Log'!Z:Z,"Approved",'QA Log'!L:L,"*Other than P4P (section 6)*"),
COUNTIFS('QA Log'!D:D,A375,'QA Log'!M:M,"Data Verification",'QA Log'!Z:Z,"Approved",'QA Log'!L:L,"*Hospital Governance*")
))</f>
        <v/>
      </c>
      <c r="AG375" s="105" t="str">
        <f>IF(A375&lt;&gt;"",COUNTIFS('QA Log'!D:D,A375,'QA Log'!M:M,"Data Verification",'QA Log'!L:L,"Medicine (section 2)",'QA Log'!Z:Z,"Approved"),"")</f>
        <v/>
      </c>
      <c r="AH375" s="105" t="str">
        <f>IF(A375&lt;&gt;"",COUNTIFS('QA Log'!D:D,A375,'QA Log'!M:M,"Data Verification",'QA Log'!L:L,"Lab Testing Availability",'QA Log'!Z:Z,"Approved"),"")</f>
        <v/>
      </c>
      <c r="AI375" s="105" t="str">
        <f>IF(A375&lt;&gt;"",COUNTIFS('QA Log'!D:D,A375,'QA Log'!M:M,"Data Verification",'QA Log'!L:L,"Other than P4P (section 6)",'QA Log'!Z:Z,"Approved"),"")</f>
        <v/>
      </c>
      <c r="AJ375" s="105" t="str">
        <f>IF(A375&lt;&gt;"",COUNTIFS('QA Log'!D:D,A375,'QA Log'!M:M,"Data Verification",'QA Log'!L:L,"Hospital Governance",'QA Log'!Z:Z,"Approved"),"")</f>
        <v/>
      </c>
      <c r="AK375" s="102" t="str">
        <f>IF(A375="","",
SUM(
COUNTIFS('QA Log'!D:D,A375,'QA Log'!M:M,"Data Verification",'QA Log'!Z:Z,"Rejected",'QA Log'!L:L,"*Medicine (section 2)*"),
COUNTIFS('QA Log'!D:D,A375,'QA Log'!M:M,"Data Verification",'QA Log'!Z:Z,"Rejected",'QA Log'!L:L,"*Lab Testing Availability*"),
COUNTIFS('QA Log'!D:D,A375,'QA Log'!M:M,"Data Verification",'QA Log'!Z:Z,"Rejected",'QA Log'!L:L,"*Other than P4P (section 6)*"),
COUNTIFS('QA Log'!D:D,A375,'QA Log'!M:M,"Data Verification",'QA Log'!Z:Z,"Rejected",'QA Log'!L:L,"*Hospital Governance*")
))</f>
        <v/>
      </c>
      <c r="AL375" s="106" t="str">
        <f t="shared" si="31"/>
        <v/>
      </c>
      <c r="AM375" s="102" t="str">
        <f t="shared" si="32"/>
        <v/>
      </c>
      <c r="AN375" s="102" t="str">
        <f>IF(A375="","",
SUM(
COUNTIFS('QA Log'!D:D,A375,'QA Log'!M:M,"Data Verification",'QA Log'!L:L,"*Personnel (section 1)*"),
COUNTIFS('QA Log'!D:D,A375,'QA Log'!M:M,"Data Verification",'QA Log'!L:L,"*Consumable (section 3)*"),
COUNTIFS('QA Log'!D:D,A375,'QA Log'!M:M,"Data Verification",'QA Log'!L:L,"*Equipments (section 4)*")
))</f>
        <v/>
      </c>
      <c r="AO375" s="102" t="str">
        <f>IF(A375="","",
SUM(
COUNTIFS('QA Log'!D:D,A375,'QA Log'!M:M,"Data Verification",'QA Log'!Z:Z,"Approved",'QA Log'!L:L,"*Personnel (section 1)*"),
COUNTIFS('QA Log'!D:D,A375,'QA Log'!M:M,"Data Verification",'QA Log'!Z:Z,"Approved",'QA Log'!L:L,"*Consumable (section 3)*"),
COUNTIFS('QA Log'!D:D,A375,'QA Log'!M:M,"Data Verification",'QA Log'!Z:Z,"Approved",'QA Log'!L:L,"*Equipments (section 4)*")
))</f>
        <v/>
      </c>
      <c r="AP375" s="105" t="str">
        <f>IF(A375&lt;&gt;"",COUNTIFS('QA Log'!D:D,A375,'QA Log'!M:M,"Data Verification",'QA Log'!L:L,"Personnel (section 1)",'QA Log'!Z:Z,"Approved"),"")</f>
        <v/>
      </c>
      <c r="AQ375" s="105" t="str">
        <f>IF(A375&lt;&gt;"",COUNTIFS('QA Log'!D:D,A375,'QA Log'!M:M,"Data Verification",'QA Log'!L:L,"Consumable (section 3)",'QA Log'!Z:Z,"Approved"),"")</f>
        <v/>
      </c>
      <c r="AR375" s="105" t="str">
        <f>IF(A375&lt;&gt;"",COUNTIFS('QA Log'!D:D,A375,'QA Log'!M:M,"Data Verification",'QA Log'!L:L,"Equipments (section 4)",'QA Log'!Z:Z,"Approved"),"")</f>
        <v/>
      </c>
      <c r="AS375" s="102" t="str">
        <f>IF(A375="","",
SUM(
COUNTIFS('QA Log'!D:D,A375,'QA Log'!M:M,"Data Verification",'QA Log'!Z:Z,"Rejected",'QA Log'!L:L,"*Personnel (section 1)*"),
COUNTIFS('QA Log'!D:D,A375,'QA Log'!M:M,"Data Verification",'QA Log'!Z:Z,"Rejected",'QA Log'!L:L,"*Consumable (section 3)*"),
COUNTIFS('QA Log'!D:D,A375,'QA Log'!M:M,"Data Verification",'QA Log'!Z:Z,"Rejected",'QA Log'!L:L,"*Equipments (section 4)*")
))</f>
        <v/>
      </c>
      <c r="AT375" s="102" t="str">
        <f t="shared" si="33"/>
        <v/>
      </c>
      <c r="AU375" s="103" t="str">
        <f t="shared" si="34"/>
        <v/>
      </c>
      <c r="AV375" s="102" t="str">
        <f>IF(A375="","",SUM(
COUNTIFS('QA Log'!D:D,A375,'QA Log'!M:M,"Vignette",'QA Log'!L:L,"*Vignette [1] Respiratory Infection: Pneumonia*"),
COUNTIFS('QA Log'!D:D,A375,'QA Log'!M:M,"Vignette",'QA Log'!L:L,"*Vignette [2]: Diarrhea with Cat B dehydration*"),
COUNTIFS('QA Log'!D:D,A375,'QA Log'!M:M,"Vignette",'QA Log'!L:L,"*Vignette [3] Growth Monitoring and Promotion*"),
COUNTIFS('QA Log'!D:D,A375,'QA Log'!M:M,"Vignette",'QA Log'!L:L,"*Vignette [4]: The management of presumptive TB patient*")
)
)</f>
        <v/>
      </c>
      <c r="AW375" s="102" t="str">
        <f>IF(
  A375="","",
  SUM(
    COUNTIFS('QA Log'!D:D,A375,'QA Log'!M:M,"Vignette",'QA Log'!Z:Z,"Approved",'QA Log'!L:L,"*Vignette [1] Respiratory Infection: Pneumonia*"),
    COUNTIFS('QA Log'!D:D,A375,'QA Log'!M:M,"Vignette",'QA Log'!Z:Z,"Approved",'QA Log'!L:L,"*Vignette [2]: Diarrhea with Cat B dehydration*"),
    COUNTIFS('QA Log'!D:D,A375,'QA Log'!M:M,"Vignette",'QA Log'!Z:Z,"Approved",'QA Log'!L:L,"*Vignette [3] Growth Monitoring and Promotion*"),
    COUNTIFS('QA Log'!D:D,A375,'QA Log'!M:M,"Vignette",'QA Log'!Z:Z,"Approved",'QA Log'!L:L,"*Vignette [4]: The management of presumptive TB patient*")
  )
)</f>
        <v/>
      </c>
      <c r="AX375" s="105" t="str">
        <f>IF(A375&lt;&gt;"",COUNTIFS('QA Log'!D:D,A375,'QA Log'!M:M,"Vignette",'QA Log'!L:L,"Vignette [1] Respiratory Infection: Pneumonia",'QA Log'!Z:Z,"Approved"),"")</f>
        <v/>
      </c>
      <c r="AY375" s="105" t="str">
        <f>IF(A375&lt;&gt;"",COUNTIFS('QA Log'!D:D,A375,'QA Log'!M:M,"Vignette",'QA Log'!L:L,"Vignette [2]: Diarrhea with Cat B dehydration",'QA Log'!Z:Z,"Approved"),"")</f>
        <v/>
      </c>
      <c r="AZ375" s="105" t="str">
        <f>IF(A375&lt;&gt;"",COUNTIFS('QA Log'!D:D,A375,'QA Log'!M:M,"Vignette",'QA Log'!L:L,"Vignette [3] Growth Monitoring and Promotion",'QA Log'!Z:Z,"Approved"),"")</f>
        <v/>
      </c>
      <c r="BA375" s="105" t="str">
        <f>IF(A375&lt;&gt;"",COUNTIFS('QA Log'!D:D,A375,'QA Log'!M:M,"Vignette",'QA Log'!L:L,"Vignette [4]: The management of presumptive TB patient",'QA Log'!Z:Z,"Approved"),"")</f>
        <v/>
      </c>
      <c r="BB375" s="102" t="str">
        <f>IF(A375="","",
  SUM(
    COUNTIFS('QA Log'!D:D,A375,'QA Log'!M:M,"Vignette",'QA Log'!Z:Z,"Rejected",'QA Log'!L:L,"*Vignette [1] Respiratory Infection: Pneumonia*"),
    COUNTIFS('QA Log'!D:D,A375,'QA Log'!M:M,"Vignette",'QA Log'!Z:Z,"Rejected",'QA Log'!L:L,"*Vignette [2]: Diarrhea with Cat B dehydration*"),
    COUNTIFS('QA Log'!D:D,A375,'QA Log'!M:M,"Vignette",'QA Log'!Z:Z,"Rejected",'QA Log'!L:L,"*Vignette [3] Growth Monitoring and Promotion*"),
    COUNTIFS('QA Log'!D:D,A375,'QA Log'!M:M,"Vignette",'QA Log'!Z:Z,"Rejected",'QA Log'!L:L,"*Vignette [4]: The management of presumptive TB patient*")
  )
)</f>
        <v/>
      </c>
      <c r="BC375" s="107" t="str">
        <f t="shared" si="35"/>
        <v/>
      </c>
      <c r="BD375" s="103" t="str">
        <f t="shared" si="36"/>
        <v/>
      </c>
      <c r="BE375" s="102" t="str">
        <f>IF(A375="","",SUM(
COUNTIFS('QA Log'!D:D,A375,'QA Log'!M:M,"Vignette",'QA Log'!L:L,"*Vignette [5] Labor*"),
COUNTIFS('QA Log'!D:D,A375,'QA Log'!M:M,"Vignette",'QA Log'!L:L,"*Vignette [6] PNC pre Discharge*"),
COUNTIFS('QA Log'!D:D,A375,'QA Log'!M:M,"Vignette",'QA Log'!L:L,"*Vignette [7] First ANC Visit*"),
COUNTIFS('QA Log'!D:D,A375,'QA Log'!M:M,"Vignette",'QA Log'!L:L,"*Vignette [8] Birth Spacing/ Family Planning :  FP Counselling*"),
COUNTIFS('QA Log'!D:D,A375,'QA Log'!M:M,"Vignette",'QA Log'!L:L,"*Vignette [9] Birth Spacing: Change FP method to Injectable*"),
COUNTIFS('QA Log'!D:D,A375,'QA Log'!M:M,"Vignette",'QA Log'!L:L,"*Vignette [10] Post Partum Haemorrhage - Atonic Uterus at Health Centre*"),
)
)</f>
        <v/>
      </c>
      <c r="BF375" s="102" t="str">
        <f>IF(A375="","",
  SUM(
    COUNTIFS('QA Log'!D:D,A375,'QA Log'!M:M,"Vignette",'QA Log'!Z:Z,"Approved",'QA Log'!L:L,"*Vignette [5] Labor*"),
    COUNTIFS('QA Log'!D:D,A375,'QA Log'!M:M,"Vignette",'QA Log'!Z:Z,"Approved",'QA Log'!L:L,"*Vignette [6] PNC pre Discharge*"),
    COUNTIFS('QA Log'!D:D,A375,'QA Log'!M:M,"Vignette",'QA Log'!Z:Z,"Approved",'QA Log'!L:L,"*Vignette [7] First ANC Visit*"),
    COUNTIFS('QA Log'!D:D,A375,'QA Log'!M:M,"Vignette",'QA Log'!Z:Z,"Approved",'QA Log'!L:L,"*Vignette [8] Birth Spacing/ Family Planning :  FP Counselling*"),
    COUNTIFS('QA Log'!D:D,A375,'QA Log'!M:M,"Vignette",'QA Log'!Z:Z,"Approved",'QA Log'!L:L,"*Vignette [9] Birth Spacing: Change FP method to Injectable*"),
    COUNTIFS('QA Log'!D:D,A375,'QA Log'!M:M,"Vignette",'QA Log'!Z:Z,"Approved",'QA Log'!L:L,"*Vignette [10] Post Partum Haemorrhage - Atonic Uterus at Health Centre*")
  )
)</f>
        <v/>
      </c>
      <c r="BG375" s="105" t="str">
        <f>IF(A375&lt;&gt;"",COUNTIFS('QA Log'!D:D,A375,'QA Log'!M:M,"Vignette",'QA Log'!L:L,"Vignette [5] Labor",'QA Log'!Z:Z,"Approved"),"")</f>
        <v/>
      </c>
      <c r="BH375" s="105" t="str">
        <f>IF(A375&lt;&gt;"",COUNTIFS('QA Log'!D:D,A375,'QA Log'!M:M,"Vignette",'QA Log'!L:L,"Vignette [6] PNC pre Discharge",'QA Log'!Z:Z,"Approved"),"")</f>
        <v/>
      </c>
      <c r="BI375" s="105" t="str">
        <f>IF(A375&lt;&gt;"",COUNTIFS('QA Log'!D:D,A375,'QA Log'!M:M,"Vignette",'QA Log'!L:L,"Vignette [7] First ANC Visit",'QA Log'!Z:Z,"Approved"),"")</f>
        <v/>
      </c>
      <c r="BJ375" s="105" t="str">
        <f>IF(A375&lt;&gt;"",COUNTIFS('QA Log'!D:D,A375,'QA Log'!M:M,"Vignette",'QA Log'!L:L,"Vignette [8] Birth Spacing/ Family Planning :  FP Counselling",'QA Log'!Z:Z,"Approved"),"")</f>
        <v/>
      </c>
      <c r="BK375" s="105" t="str">
        <f>IF(A375&lt;&gt;"",COUNTIFS('QA Log'!D:D,A375,'QA Log'!M:M,"Vignette",'QA Log'!L:L,"Vignette [9] Birth Spacing: Change FP method to Injectable",'QA Log'!Z:Z,"Approved"),"")</f>
        <v/>
      </c>
      <c r="BL375" s="105" t="str">
        <f>IF(A375&lt;&gt;"",COUNTIFS('QA Log'!D:D,A375,'QA Log'!M:M,"Vignette",'QA Log'!L:L,"Vignette [10] Post Partum Haemorrhage - Atonic Uterus at Health Centre",'QA Log'!Z:Z,"Approved"),"")</f>
        <v/>
      </c>
      <c r="BM375" s="102" t="str">
        <f>IF(A375="","",SUM(
    COUNTIFS('QA Log'!D:D,A375,'QA Log'!M:M,"Vignette",'QA Log'!Z:Z,"Rejected",'QA Log'!L:L,"*Vignette [5] Labor*"),
    COUNTIFS('QA Log'!D:D,A375,'QA Log'!M:M,"Vignette",'QA Log'!Z:Z,"Rejected",'QA Log'!L:L,"*Vignette [6] PNC pre Discharge*"),
    COUNTIFS('QA Log'!D:D,A375,'QA Log'!M:M,"Vignette",'QA Log'!Z:Z,"Rejected",'QA Log'!L:L,"*Vignette [7] First ANC Visit*"),
    COUNTIFS('QA Log'!D:D,A375,'QA Log'!M:M,"Vignette",'QA Log'!Z:Z,"Rejected",'QA Log'!L:L,"*Vignette [8] Birth Spacing/ Family Planning :  FP Counselling*"),
    COUNTIFS('QA Log'!D:D,A375,'QA Log'!M:M,"Vignette",'QA Log'!Z:Z,"Rejected",'QA Log'!L:L,"*Vignette [9] Birth Spacing: Change FP method to Injectable*"),
    COUNTIFS('QA Log'!D:D,A375,'QA Log'!M:M,"Vignette",'QA Log'!Z:Z,"Rejected",'QA Log'!L:L,"*Vignette [10] Post Partum Haemorrhage - Atonic Uterus at Health Centre*")
  )
)</f>
        <v/>
      </c>
      <c r="BN375" s="107" t="str">
        <f t="shared" si="37"/>
        <v/>
      </c>
      <c r="BO375" s="103" t="str">
        <f t="shared" si="38"/>
        <v/>
      </c>
      <c r="BP375" s="102" t="str">
        <f>IF(A375="","",SUM(
COUNTIFS('QA Log'!D:D,A375,'QA Log'!M:M,"Vignette",'QA Log'!L:L,"*Exit Interview 1*"),
COUNTIFS('QA Log'!D:D,A375,'QA Log'!M:M,"Vignette",'QA Log'!L:L,"*Exit Interview 2*"),
)
)</f>
        <v/>
      </c>
      <c r="BQ375" s="102" t="str">
        <f>IF(
  A375="","",
  SUM(
    COUNTIFS('QA Log'!D:D,A375,'QA Log'!M:M,"Vignette",'QA Log'!Z:Z,"Approved",'QA Log'!L:L,"*Exit Interview 1*"),
    COUNTIFS('QA Log'!D:D,A375,'QA Log'!M:M,"Vignette",'QA Log'!Z:Z,"Approved",'QA Log'!L:L,"*Exit Interview 2*")
  )
)</f>
        <v/>
      </c>
      <c r="BR375" s="105" t="str">
        <f>IF(A375&lt;&gt;"",COUNTIFS('QA Log'!D:D,A375,'QA Log'!M:M,"Vignette",'QA Log'!L:L,"Exit Interview 1",'QA Log'!Z:Z,"Approved"),"")</f>
        <v/>
      </c>
      <c r="BS375" s="105" t="str">
        <f>IF(A375&lt;&gt;"",COUNTIFS('QA Log'!D:D,A375,'QA Log'!M:M,"Vignette",'QA Log'!L:L,"Exit Interview 2",'QA Log'!Z:Z,"Approved"),"")</f>
        <v/>
      </c>
      <c r="BT375" s="102" t="str">
        <f>IF(
  A375="","",
  SUM(
    COUNTIFS('QA Log'!D:D,A375,'QA Log'!M:M,"Vignette",'QA Log'!Z:Z,"Rejected",'QA Log'!L:L,"*Exit Interview 1*"),
    COUNTIFS('QA Log'!D:D,A375,'QA Log'!M:M,"Vignette",'QA Log'!Z:Z,"Rejected",'QA Log'!L:L,"*Exit Interview 2*")
  )
)</f>
        <v/>
      </c>
      <c r="BU375" s="107" t="str">
        <f t="shared" si="39"/>
        <v/>
      </c>
      <c r="BV375" s="102" t="str">
        <f t="shared" si="40"/>
        <v/>
      </c>
      <c r="BW375" s="102" t="str">
        <f t="shared" si="41"/>
        <v/>
      </c>
      <c r="BX375" s="102" t="str">
        <f t="shared" si="42"/>
        <v/>
      </c>
      <c r="BY375" s="102" t="str">
        <f t="shared" si="43"/>
        <v/>
      </c>
      <c r="BZ375" s="107" t="str">
        <f t="shared" si="44"/>
        <v/>
      </c>
      <c r="CA375" s="108" t="str">
        <f t="shared" si="45"/>
        <v/>
      </c>
      <c r="CB375" s="108" t="str">
        <f t="shared" si="46"/>
        <v/>
      </c>
      <c r="CC375" s="109" t="str">
        <f t="shared" si="47"/>
        <v/>
      </c>
      <c r="CD375" s="108" t="str">
        <f t="shared" si="48"/>
        <v/>
      </c>
      <c r="CE375" s="108" t="str">
        <f t="shared" si="49"/>
        <v/>
      </c>
      <c r="CF375" s="109" t="str">
        <f t="shared" si="50"/>
        <v/>
      </c>
      <c r="CG375" s="110" t="str">
        <f t="shared" si="51"/>
        <v/>
      </c>
      <c r="CH375" s="111"/>
    </row>
    <row r="376" spans="1:86" ht="12.75">
      <c r="A376" s="101"/>
      <c r="B376" s="102" t="e">
        <f t="array" aca="1" ref="B376" ca="1">_xludf.XLOOKUP(A376,'QA Log'!D:D,'QA Log'!E:E,"")</f>
        <v>#NAME?</v>
      </c>
      <c r="C376" s="102" t="e">
        <f t="array" aca="1" ref="C376" ca="1">_xludf.XLOOKUP(A376,'QA Log'!D:D,'QA Log'!F:F,"")</f>
        <v>#NAME?</v>
      </c>
      <c r="D376" s="102" t="e">
        <f t="array" aca="1" ref="D376" ca="1">_xludf.XLOOKUP(A376,'QA Log'!D:D,'QA Log'!H:H,"")</f>
        <v>#NAME?</v>
      </c>
      <c r="E376" s="102" t="e">
        <f t="array" aca="1" ref="E376" ca="1">_xludf.XLOOKUP(A376,'QA Log'!D:D,'QA Log'!G:G,"")</f>
        <v>#NAME?</v>
      </c>
      <c r="F376" s="103"/>
      <c r="G376" s="104"/>
      <c r="H376" s="104"/>
      <c r="I376" s="103" t="str">
        <f t="shared" si="26"/>
        <v/>
      </c>
      <c r="J376" s="102" t="str">
        <f>IF(A376="","",SUM(
COUNTIFS('QA Log'!D:D,A376,'QA Log'!M:M,"QQC",'QA Log'!L:L,"*1. General Management*"),
COUNTIFS('QA Log'!D:D,A376,'QA Log'!M:M,"QQC",'QA Log'!L:L,"*3. Curative Consultation (OPD)*"),
COUNTIFS('QA Log'!D:D,A376,'QA Log'!M:M,"QQC",'QA Log'!L:L,"*5. Laboratory*"),
COUNTIFS('QA Log'!D:D,A376,'QA Log'!M:M,"QQC",'QA Log'!L:L,"*6. Essential Medicine Management*"),
COUNTIFS('QA Log'!D:D,A376,'QA Log'!M:M,"QQC",'QA Log'!L:L,"*7. Tracer Medicine*"),
COUNTIFS('QA Log'!D:D,A376,'QA Log'!M:M,"QQC",'QA Log'!L:L,"*11. Additional Questions*")))</f>
        <v/>
      </c>
      <c r="K376" s="102" t="str">
        <f>IF(A376="","",SUM(
COUNTIFS('QA Log'!D:D,A376,'QA Log'!M:M,"QQC",'QA Log'!Z:Z,"Approved",'QA Log'!L:L,"*1. General Management*"),
COUNTIFS('QA Log'!D:D,A376,'QA Log'!M:M,"QQC",'QA Log'!Z:Z,"Approved",'QA Log'!L:L,"*3. Curative Consultation (OPD)*"),
COUNTIFS('QA Log'!D:D,A376,'QA Log'!M:M,"QQC",'QA Log'!Z:Z,"Approved",'QA Log'!L:L,"*5. Laboratory*"),
COUNTIFS('QA Log'!D:D,A376,'QA Log'!M:M,"QQC",'QA Log'!Z:Z,"Approved",'QA Log'!L:L,"*6. Essential Medicine Management*"),
COUNTIFS('QA Log'!D:D,A376,'QA Log'!M:M,"QQC",'QA Log'!Z:Z,"Approved",'QA Log'!L:L,"*7. Tracer Medicine*"),
COUNTIFS('QA Log'!D:D,A376,'QA Log'!M:M,"QQC",'QA Log'!Z:Z,"Approved",'QA Log'!L:L,"*11. Additional Questions*")))</f>
        <v/>
      </c>
      <c r="L376" s="102" t="str">
        <f>IF(A376&lt;&gt;"",COUNTIFS('QA Log'!D:D,A376,'QA Log'!M:M,"QQC",'QA Log'!L:L,"1. General Management",'QA Log'!Z:Z,"Approved"),"")</f>
        <v/>
      </c>
      <c r="M376" s="102" t="str">
        <f>IF(A376&lt;&gt;"",COUNTIFS('QA Log'!D:D,A376,'QA Log'!M:M,"QQC",'QA Log'!L:L,"3. Curative Consultation (OPD)",'QA Log'!Z:Z,"Approved"),"")</f>
        <v/>
      </c>
      <c r="N376" s="102" t="str">
        <f>IF(A376&lt;&gt;"",COUNTIFS('QA Log'!D:D,A376,'QA Log'!M:M,"QQC",'QA Log'!L:L,"5. Laboratory",'QA Log'!Z:Z,"Approved"),"")</f>
        <v/>
      </c>
      <c r="O376" s="102" t="str">
        <f>IF(A376&lt;&gt;"",COUNTIFS('QA Log'!D:D,A376,'QA Log'!M:M,"QQC",'QA Log'!L:L,"6. Essential Medicine Management",'QA Log'!Z:Z,"Approved"),"")</f>
        <v/>
      </c>
      <c r="P376" s="102" t="str">
        <f>IF(A376&lt;&gt;"",COUNTIFS('QA Log'!D:D,A376,'QA Log'!M:M,"QQC",'QA Log'!L:L,"7. Tracer Medicine",'QA Log'!Z:Z,"Approved"),"")</f>
        <v/>
      </c>
      <c r="Q376" s="102" t="str">
        <f>IF(A376&lt;&gt;"",COUNTIFS('QA Log'!D:D,A376,'QA Log'!M:M,"QQC",'QA Log'!L:L,"11. Additional Questions",'QA Log'!Z:Z,"Approved"),"")</f>
        <v/>
      </c>
      <c r="R376" s="102" t="str">
        <f>IF(A376="","",SUM(
COUNTIFS('QA Log'!D:D,A376,'QA Log'!M:M,"QQC",'QA Log'!Z:Z,"Rejected",'QA Log'!L:L,"*8. Maternity*"),
COUNTIFS('QA Log'!D:D,A376,'QA Log'!M:M,"QQC",'QA Log'!Z:Z,"Rejected",'QA Log'!L:L,"*EPI*"),
COUNTIFS('QA Log'!D:D,A376,'QA Log'!M:M,"QQC",'QA Log'!Z:Z,"Rejected",'QA Log'!L:L,"*10. Antenatal Care (ANC)*"),
COUNTIFS('QA Log'!D:D,A376,'QA Log'!M:M,"QQC",'QA Log'!Z:Z,"Rejected",'QA Log'!L:L,"*2. Hygiene and Sterilization*"),
COUNTIFS('QA Log'!D:D,A376,'QA Log'!M:M,"QQC",'QA Log'!Z:Z,"Rejected",'QA Log'!L:L,"*Family Planning*")))</f>
        <v/>
      </c>
      <c r="S376" s="106" t="str">
        <f t="shared" si="27"/>
        <v/>
      </c>
      <c r="T376" s="102" t="str">
        <f t="shared" si="28"/>
        <v/>
      </c>
      <c r="U376" s="102" t="str">
        <f>IF(A376="","",
SUM(
COUNTIFS('QA Log'!D:D,A376,'QA Log'!M:M,"QQC",'QA Log'!L:L,"*8. Maternity*"),
COUNTIFS('QA Log'!D:D,A376,'QA Log'!M:M,"QQC",'QA Log'!L:L,"*9. EPI and Pre-school Consultation*"),
COUNTIFS('QA Log'!D:D,A376,'QA Log'!M:M,"QQC",'QA Log'!L:L,"*10. Antenatal Care (ANC)*"),
COUNTIFS('QA Log'!D:D,A376,'QA Log'!M:M,"QQC",'QA Log'!L:L,"*2. Hygiene and Sterilization*"),
COUNTIFS('QA Log'!D:D,A376,'QA Log'!M:M,"QQC",'QA Log'!L:L,"*4. Family Planning*")
))</f>
        <v/>
      </c>
      <c r="V376" s="102" t="str">
        <f>IF(A376="","",
SUM(
COUNTIFS('QA Log'!D:D,A376,'QA Log'!M:M,"QQC",'QA Log'!Z:Z,"Approved",'QA Log'!L:L,"*8. Maternity*"),
COUNTIFS('QA Log'!D:D,A376,'QA Log'!M:M,"QQC",'QA Log'!Z:Z,"Approved",'QA Log'!L:L,"*9. EPI and Pre-school Consultation*"),
COUNTIFS('QA Log'!D:D,A376,'QA Log'!M:M,"QQC",'QA Log'!Z:Z,"Approved",'QA Log'!L:L,"*10. Antenatal Care (ANC)*"),
COUNTIFS('QA Log'!D:D,A376,'QA Log'!M:M,"QQC",'QA Log'!Z:Z,"Approved",'QA Log'!L:L,"*2. Hygiene and Sterilization*"),
COUNTIFS('QA Log'!D:D,A376,'QA Log'!M:M,"QQC",'QA Log'!Z:Z,"Approved",'QA Log'!L:L,"*4. Family Planning*")
))</f>
        <v/>
      </c>
      <c r="W376" s="105" t="str">
        <f>IF(A376&lt;&gt;"",COUNTIFS('QA Log'!D:D,A376,'QA Log'!M:M,"QQC",'QA Log'!L:L,"8. Maternity",'QA Log'!Z:Z,"Approved"),"")</f>
        <v/>
      </c>
      <c r="X376" s="105" t="str">
        <f>IF(A376&lt;&gt;"",COUNTIFS('QA Log'!D:D,A376,'QA Log'!M:M,"QQC",'QA Log'!L:L,"9. EPI and Pre-school Consultation",'QA Log'!Z:Z,"Approved"),"")</f>
        <v/>
      </c>
      <c r="Y376" s="105" t="str">
        <f>IF(A376&lt;&gt;"",COUNTIFS('QA Log'!D:D,A376,'QA Log'!M:M,"QQC",'QA Log'!L:L,"10. Antenatal Care (ANC)",'QA Log'!Z:Z,"Approved"),"")</f>
        <v/>
      </c>
      <c r="Z376" s="105" t="str">
        <f>IF(A376&lt;&gt;"",COUNTIFS('QA Log'!D:D,A376,'QA Log'!M:M,"QQC",'QA Log'!L:L,"2. Hygiene and Sterilization",'QA Log'!Z:Z,"Approved"),"")</f>
        <v/>
      </c>
      <c r="AA376" s="105" t="str">
        <f>IF(A376&lt;&gt;"",COUNTIFS('QA Log'!D:D,A376,'QA Log'!M:M,"QQC",'QA Log'!L:L,"4. Family Planning",'QA Log'!Z:Z,"Approved"),"")</f>
        <v/>
      </c>
      <c r="AB376" s="102" t="str">
        <f>IF(A376="","",
SUM(
COUNTIFS('QA Log'!D:D,A376,'QA Log'!M:M,"QQC",'QA Log'!Z:Z,"Rejected",'QA Log'!L:L,"*8. Maternity*"),
COUNTIFS('QA Log'!D:D,A376,'QA Log'!M:M,"QQC",'QA Log'!Z:Z,"Rejected",'QA Log'!L:L,"*9. EPI and Pre-school Consultation*"),
COUNTIFS('QA Log'!D:D,A376,'QA Log'!M:M,"QQC",'QA Log'!Z:Z,"Rejected",'QA Log'!L:L,"*10. Antenatal Care (ANC)*"),
COUNTIFS('QA Log'!D:D,A376,'QA Log'!M:M,"QQC",'QA Log'!Z:Z,"Rejected",'QA Log'!L:L,"*2. Hygiene and Sterilization*"),
COUNTIFS('QA Log'!D:D,A376,'QA Log'!M:M,"QQC",'QA Log'!Z:Z,"Rejected",'QA Log'!L:L,"*4. Family Planning*")
))</f>
        <v/>
      </c>
      <c r="AC376" s="102" t="str">
        <f t="shared" si="29"/>
        <v/>
      </c>
      <c r="AD376" s="103" t="str">
        <f t="shared" si="30"/>
        <v/>
      </c>
      <c r="AE376" s="102" t="str">
        <f>IF(A376="","",
SUM(
COUNTIFS('QA Log'!D:D,A376,'QA Log'!M:M,"Data Verification",'QA Log'!L:L,"*Medicine (section 2)*"),
COUNTIFS('QA Log'!D:D,A376,'QA Log'!M:M,"Data Verification",'QA Log'!L:L,"*Lab Testing Availability*"),
COUNTIFS('QA Log'!D:D,A376,'QA Log'!M:M,"Data Verification",'QA Log'!L:L,"*Other than P4P (section 6)*"),
COUNTIFS('QA Log'!D:D,A376,'QA Log'!M:M,"Data Verification",'QA Log'!L:L,"*Hospital Governance*")
))</f>
        <v/>
      </c>
      <c r="AF376" s="102" t="str">
        <f>IF(A376="","",
SUM(
COUNTIFS('QA Log'!D:D,A376,'QA Log'!M:M,"Data Verification",'QA Log'!Z:Z,"Approved",'QA Log'!L:L,"*Medicine (section 2)*"),
COUNTIFS('QA Log'!D:D,A376,'QA Log'!M:M,"Data Verification",'QA Log'!Z:Z,"Approved",'QA Log'!L:L,"*Lab Testing Availability*"),
COUNTIFS('QA Log'!D:D,A376,'QA Log'!M:M,"Data Verification",'QA Log'!Z:Z,"Approved",'QA Log'!L:L,"*Other than P4P (section 6)*"),
COUNTIFS('QA Log'!D:D,A376,'QA Log'!M:M,"Data Verification",'QA Log'!Z:Z,"Approved",'QA Log'!L:L,"*Hospital Governance*")
))</f>
        <v/>
      </c>
      <c r="AG376" s="105" t="str">
        <f>IF(A376&lt;&gt;"",COUNTIFS('QA Log'!D:D,A376,'QA Log'!M:M,"Data Verification",'QA Log'!L:L,"Medicine (section 2)",'QA Log'!Z:Z,"Approved"),"")</f>
        <v/>
      </c>
      <c r="AH376" s="105" t="str">
        <f>IF(A376&lt;&gt;"",COUNTIFS('QA Log'!D:D,A376,'QA Log'!M:M,"Data Verification",'QA Log'!L:L,"Lab Testing Availability",'QA Log'!Z:Z,"Approved"),"")</f>
        <v/>
      </c>
      <c r="AI376" s="105" t="str">
        <f>IF(A376&lt;&gt;"",COUNTIFS('QA Log'!D:D,A376,'QA Log'!M:M,"Data Verification",'QA Log'!L:L,"Other than P4P (section 6)",'QA Log'!Z:Z,"Approved"),"")</f>
        <v/>
      </c>
      <c r="AJ376" s="105" t="str">
        <f>IF(A376&lt;&gt;"",COUNTIFS('QA Log'!D:D,A376,'QA Log'!M:M,"Data Verification",'QA Log'!L:L,"Hospital Governance",'QA Log'!Z:Z,"Approved"),"")</f>
        <v/>
      </c>
      <c r="AK376" s="102" t="str">
        <f>IF(A376="","",
SUM(
COUNTIFS('QA Log'!D:D,A376,'QA Log'!M:M,"Data Verification",'QA Log'!Z:Z,"Rejected",'QA Log'!L:L,"*Medicine (section 2)*"),
COUNTIFS('QA Log'!D:D,A376,'QA Log'!M:M,"Data Verification",'QA Log'!Z:Z,"Rejected",'QA Log'!L:L,"*Lab Testing Availability*"),
COUNTIFS('QA Log'!D:D,A376,'QA Log'!M:M,"Data Verification",'QA Log'!Z:Z,"Rejected",'QA Log'!L:L,"*Other than P4P (section 6)*"),
COUNTIFS('QA Log'!D:D,A376,'QA Log'!M:M,"Data Verification",'QA Log'!Z:Z,"Rejected",'QA Log'!L:L,"*Hospital Governance*")
))</f>
        <v/>
      </c>
      <c r="AL376" s="106" t="str">
        <f t="shared" si="31"/>
        <v/>
      </c>
      <c r="AM376" s="102" t="str">
        <f t="shared" si="32"/>
        <v/>
      </c>
      <c r="AN376" s="102" t="str">
        <f>IF(A376="","",
SUM(
COUNTIFS('QA Log'!D:D,A376,'QA Log'!M:M,"Data Verification",'QA Log'!L:L,"*Personnel (section 1)*"),
COUNTIFS('QA Log'!D:D,A376,'QA Log'!M:M,"Data Verification",'QA Log'!L:L,"*Consumable (section 3)*"),
COUNTIFS('QA Log'!D:D,A376,'QA Log'!M:M,"Data Verification",'QA Log'!L:L,"*Equipments (section 4)*")
))</f>
        <v/>
      </c>
      <c r="AO376" s="102" t="str">
        <f>IF(A376="","",
SUM(
COUNTIFS('QA Log'!D:D,A376,'QA Log'!M:M,"Data Verification",'QA Log'!Z:Z,"Approved",'QA Log'!L:L,"*Personnel (section 1)*"),
COUNTIFS('QA Log'!D:D,A376,'QA Log'!M:M,"Data Verification",'QA Log'!Z:Z,"Approved",'QA Log'!L:L,"*Consumable (section 3)*"),
COUNTIFS('QA Log'!D:D,A376,'QA Log'!M:M,"Data Verification",'QA Log'!Z:Z,"Approved",'QA Log'!L:L,"*Equipments (section 4)*")
))</f>
        <v/>
      </c>
      <c r="AP376" s="105" t="str">
        <f>IF(A376&lt;&gt;"",COUNTIFS('QA Log'!D:D,A376,'QA Log'!M:M,"Data Verification",'QA Log'!L:L,"Personnel (section 1)",'QA Log'!Z:Z,"Approved"),"")</f>
        <v/>
      </c>
      <c r="AQ376" s="105" t="str">
        <f>IF(A376&lt;&gt;"",COUNTIFS('QA Log'!D:D,A376,'QA Log'!M:M,"Data Verification",'QA Log'!L:L,"Consumable (section 3)",'QA Log'!Z:Z,"Approved"),"")</f>
        <v/>
      </c>
      <c r="AR376" s="105" t="str">
        <f>IF(A376&lt;&gt;"",COUNTIFS('QA Log'!D:D,A376,'QA Log'!M:M,"Data Verification",'QA Log'!L:L,"Equipments (section 4)",'QA Log'!Z:Z,"Approved"),"")</f>
        <v/>
      </c>
      <c r="AS376" s="102" t="str">
        <f>IF(A376="","",
SUM(
COUNTIFS('QA Log'!D:D,A376,'QA Log'!M:M,"Data Verification",'QA Log'!Z:Z,"Rejected",'QA Log'!L:L,"*Personnel (section 1)*"),
COUNTIFS('QA Log'!D:D,A376,'QA Log'!M:M,"Data Verification",'QA Log'!Z:Z,"Rejected",'QA Log'!L:L,"*Consumable (section 3)*"),
COUNTIFS('QA Log'!D:D,A376,'QA Log'!M:M,"Data Verification",'QA Log'!Z:Z,"Rejected",'QA Log'!L:L,"*Equipments (section 4)*")
))</f>
        <v/>
      </c>
      <c r="AT376" s="102" t="str">
        <f t="shared" si="33"/>
        <v/>
      </c>
      <c r="AU376" s="103" t="str">
        <f t="shared" si="34"/>
        <v/>
      </c>
      <c r="AV376" s="102" t="str">
        <f>IF(A376="","",SUM(
COUNTIFS('QA Log'!D:D,A376,'QA Log'!M:M,"Vignette",'QA Log'!L:L,"*Vignette [1] Respiratory Infection: Pneumonia*"),
COUNTIFS('QA Log'!D:D,A376,'QA Log'!M:M,"Vignette",'QA Log'!L:L,"*Vignette [2]: Diarrhea with Cat B dehydration*"),
COUNTIFS('QA Log'!D:D,A376,'QA Log'!M:M,"Vignette",'QA Log'!L:L,"*Vignette [3] Growth Monitoring and Promotion*"),
COUNTIFS('QA Log'!D:D,A376,'QA Log'!M:M,"Vignette",'QA Log'!L:L,"*Vignette [4]: The management of presumptive TB patient*")
)
)</f>
        <v/>
      </c>
      <c r="AW376" s="102" t="str">
        <f>IF(
  A376="","",
  SUM(
    COUNTIFS('QA Log'!D:D,A376,'QA Log'!M:M,"Vignette",'QA Log'!Z:Z,"Approved",'QA Log'!L:L,"*Vignette [1] Respiratory Infection: Pneumonia*"),
    COUNTIFS('QA Log'!D:D,A376,'QA Log'!M:M,"Vignette",'QA Log'!Z:Z,"Approved",'QA Log'!L:L,"*Vignette [2]: Diarrhea with Cat B dehydration*"),
    COUNTIFS('QA Log'!D:D,A376,'QA Log'!M:M,"Vignette",'QA Log'!Z:Z,"Approved",'QA Log'!L:L,"*Vignette [3] Growth Monitoring and Promotion*"),
    COUNTIFS('QA Log'!D:D,A376,'QA Log'!M:M,"Vignette",'QA Log'!Z:Z,"Approved",'QA Log'!L:L,"*Vignette [4]: The management of presumptive TB patient*")
  )
)</f>
        <v/>
      </c>
      <c r="AX376" s="105" t="str">
        <f>IF(A376&lt;&gt;"",COUNTIFS('QA Log'!D:D,A376,'QA Log'!M:M,"Vignette",'QA Log'!L:L,"Vignette [1] Respiratory Infection: Pneumonia",'QA Log'!Z:Z,"Approved"),"")</f>
        <v/>
      </c>
      <c r="AY376" s="105" t="str">
        <f>IF(A376&lt;&gt;"",COUNTIFS('QA Log'!D:D,A376,'QA Log'!M:M,"Vignette",'QA Log'!L:L,"Vignette [2]: Diarrhea with Cat B dehydration",'QA Log'!Z:Z,"Approved"),"")</f>
        <v/>
      </c>
      <c r="AZ376" s="105" t="str">
        <f>IF(A376&lt;&gt;"",COUNTIFS('QA Log'!D:D,A376,'QA Log'!M:M,"Vignette",'QA Log'!L:L,"Vignette [3] Growth Monitoring and Promotion",'QA Log'!Z:Z,"Approved"),"")</f>
        <v/>
      </c>
      <c r="BA376" s="105" t="str">
        <f>IF(A376&lt;&gt;"",COUNTIFS('QA Log'!D:D,A376,'QA Log'!M:M,"Vignette",'QA Log'!L:L,"Vignette [4]: The management of presumptive TB patient",'QA Log'!Z:Z,"Approved"),"")</f>
        <v/>
      </c>
      <c r="BB376" s="102" t="str">
        <f>IF(A376="","",
  SUM(
    COUNTIFS('QA Log'!D:D,A376,'QA Log'!M:M,"Vignette",'QA Log'!Z:Z,"Rejected",'QA Log'!L:L,"*Vignette [1] Respiratory Infection: Pneumonia*"),
    COUNTIFS('QA Log'!D:D,A376,'QA Log'!M:M,"Vignette",'QA Log'!Z:Z,"Rejected",'QA Log'!L:L,"*Vignette [2]: Diarrhea with Cat B dehydration*"),
    COUNTIFS('QA Log'!D:D,A376,'QA Log'!M:M,"Vignette",'QA Log'!Z:Z,"Rejected",'QA Log'!L:L,"*Vignette [3] Growth Monitoring and Promotion*"),
    COUNTIFS('QA Log'!D:D,A376,'QA Log'!M:M,"Vignette",'QA Log'!Z:Z,"Rejected",'QA Log'!L:L,"*Vignette [4]: The management of presumptive TB patient*")
  )
)</f>
        <v/>
      </c>
      <c r="BC376" s="107" t="str">
        <f t="shared" si="35"/>
        <v/>
      </c>
      <c r="BD376" s="103" t="str">
        <f t="shared" si="36"/>
        <v/>
      </c>
      <c r="BE376" s="102" t="str">
        <f>IF(A376="","",SUM(
COUNTIFS('QA Log'!D:D,A376,'QA Log'!M:M,"Vignette",'QA Log'!L:L,"*Vignette [5] Labor*"),
COUNTIFS('QA Log'!D:D,A376,'QA Log'!M:M,"Vignette",'QA Log'!L:L,"*Vignette [6] PNC pre Discharge*"),
COUNTIFS('QA Log'!D:D,A376,'QA Log'!M:M,"Vignette",'QA Log'!L:L,"*Vignette [7] First ANC Visit*"),
COUNTIFS('QA Log'!D:D,A376,'QA Log'!M:M,"Vignette",'QA Log'!L:L,"*Vignette [8] Birth Spacing/ Family Planning :  FP Counselling*"),
COUNTIFS('QA Log'!D:D,A376,'QA Log'!M:M,"Vignette",'QA Log'!L:L,"*Vignette [9] Birth Spacing: Change FP method to Injectable*"),
COUNTIFS('QA Log'!D:D,A376,'QA Log'!M:M,"Vignette",'QA Log'!L:L,"*Vignette [10] Post Partum Haemorrhage - Atonic Uterus at Health Centre*"),
)
)</f>
        <v/>
      </c>
      <c r="BF376" s="102" t="str">
        <f>IF(A376="","",
  SUM(
    COUNTIFS('QA Log'!D:D,A376,'QA Log'!M:M,"Vignette",'QA Log'!Z:Z,"Approved",'QA Log'!L:L,"*Vignette [5] Labor*"),
    COUNTIFS('QA Log'!D:D,A376,'QA Log'!M:M,"Vignette",'QA Log'!Z:Z,"Approved",'QA Log'!L:L,"*Vignette [6] PNC pre Discharge*"),
    COUNTIFS('QA Log'!D:D,A376,'QA Log'!M:M,"Vignette",'QA Log'!Z:Z,"Approved",'QA Log'!L:L,"*Vignette [7] First ANC Visit*"),
    COUNTIFS('QA Log'!D:D,A376,'QA Log'!M:M,"Vignette",'QA Log'!Z:Z,"Approved",'QA Log'!L:L,"*Vignette [8] Birth Spacing/ Family Planning :  FP Counselling*"),
    COUNTIFS('QA Log'!D:D,A376,'QA Log'!M:M,"Vignette",'QA Log'!Z:Z,"Approved",'QA Log'!L:L,"*Vignette [9] Birth Spacing: Change FP method to Injectable*"),
    COUNTIFS('QA Log'!D:D,A376,'QA Log'!M:M,"Vignette",'QA Log'!Z:Z,"Approved",'QA Log'!L:L,"*Vignette [10] Post Partum Haemorrhage - Atonic Uterus at Health Centre*")
  )
)</f>
        <v/>
      </c>
      <c r="BG376" s="105" t="str">
        <f>IF(A376&lt;&gt;"",COUNTIFS('QA Log'!D:D,A376,'QA Log'!M:M,"Vignette",'QA Log'!L:L,"Vignette [5] Labor",'QA Log'!Z:Z,"Approved"),"")</f>
        <v/>
      </c>
      <c r="BH376" s="105" t="str">
        <f>IF(A376&lt;&gt;"",COUNTIFS('QA Log'!D:D,A376,'QA Log'!M:M,"Vignette",'QA Log'!L:L,"Vignette [6] PNC pre Discharge",'QA Log'!Z:Z,"Approved"),"")</f>
        <v/>
      </c>
      <c r="BI376" s="105" t="str">
        <f>IF(A376&lt;&gt;"",COUNTIFS('QA Log'!D:D,A376,'QA Log'!M:M,"Vignette",'QA Log'!L:L,"Vignette [7] First ANC Visit",'QA Log'!Z:Z,"Approved"),"")</f>
        <v/>
      </c>
      <c r="BJ376" s="105" t="str">
        <f>IF(A376&lt;&gt;"",COUNTIFS('QA Log'!D:D,A376,'QA Log'!M:M,"Vignette",'QA Log'!L:L,"Vignette [8] Birth Spacing/ Family Planning :  FP Counselling",'QA Log'!Z:Z,"Approved"),"")</f>
        <v/>
      </c>
      <c r="BK376" s="105" t="str">
        <f>IF(A376&lt;&gt;"",COUNTIFS('QA Log'!D:D,A376,'QA Log'!M:M,"Vignette",'QA Log'!L:L,"Vignette [9] Birth Spacing: Change FP method to Injectable",'QA Log'!Z:Z,"Approved"),"")</f>
        <v/>
      </c>
      <c r="BL376" s="105" t="str">
        <f>IF(A376&lt;&gt;"",COUNTIFS('QA Log'!D:D,A376,'QA Log'!M:M,"Vignette",'QA Log'!L:L,"Vignette [10] Post Partum Haemorrhage - Atonic Uterus at Health Centre",'QA Log'!Z:Z,"Approved"),"")</f>
        <v/>
      </c>
      <c r="BM376" s="102" t="str">
        <f>IF(A376="","",SUM(
    COUNTIFS('QA Log'!D:D,A376,'QA Log'!M:M,"Vignette",'QA Log'!Z:Z,"Rejected",'QA Log'!L:L,"*Vignette [5] Labor*"),
    COUNTIFS('QA Log'!D:D,A376,'QA Log'!M:M,"Vignette",'QA Log'!Z:Z,"Rejected",'QA Log'!L:L,"*Vignette [6] PNC pre Discharge*"),
    COUNTIFS('QA Log'!D:D,A376,'QA Log'!M:M,"Vignette",'QA Log'!Z:Z,"Rejected",'QA Log'!L:L,"*Vignette [7] First ANC Visit*"),
    COUNTIFS('QA Log'!D:D,A376,'QA Log'!M:M,"Vignette",'QA Log'!Z:Z,"Rejected",'QA Log'!L:L,"*Vignette [8] Birth Spacing/ Family Planning :  FP Counselling*"),
    COUNTIFS('QA Log'!D:D,A376,'QA Log'!M:M,"Vignette",'QA Log'!Z:Z,"Rejected",'QA Log'!L:L,"*Vignette [9] Birth Spacing: Change FP method to Injectable*"),
    COUNTIFS('QA Log'!D:D,A376,'QA Log'!M:M,"Vignette",'QA Log'!Z:Z,"Rejected",'QA Log'!L:L,"*Vignette [10] Post Partum Haemorrhage - Atonic Uterus at Health Centre*")
  )
)</f>
        <v/>
      </c>
      <c r="BN376" s="107" t="str">
        <f t="shared" si="37"/>
        <v/>
      </c>
      <c r="BO376" s="103" t="str">
        <f t="shared" si="38"/>
        <v/>
      </c>
      <c r="BP376" s="102" t="str">
        <f>IF(A376="","",SUM(
COUNTIFS('QA Log'!D:D,A376,'QA Log'!M:M,"Vignette",'QA Log'!L:L,"*Exit Interview 1*"),
COUNTIFS('QA Log'!D:D,A376,'QA Log'!M:M,"Vignette",'QA Log'!L:L,"*Exit Interview 2*"),
)
)</f>
        <v/>
      </c>
      <c r="BQ376" s="102" t="str">
        <f>IF(
  A376="","",
  SUM(
    COUNTIFS('QA Log'!D:D,A376,'QA Log'!M:M,"Vignette",'QA Log'!Z:Z,"Approved",'QA Log'!L:L,"*Exit Interview 1*"),
    COUNTIFS('QA Log'!D:D,A376,'QA Log'!M:M,"Vignette",'QA Log'!Z:Z,"Approved",'QA Log'!L:L,"*Exit Interview 2*")
  )
)</f>
        <v/>
      </c>
      <c r="BR376" s="105" t="str">
        <f>IF(A376&lt;&gt;"",COUNTIFS('QA Log'!D:D,A376,'QA Log'!M:M,"Vignette",'QA Log'!L:L,"Exit Interview 1",'QA Log'!Z:Z,"Approved"),"")</f>
        <v/>
      </c>
      <c r="BS376" s="105" t="str">
        <f>IF(A376&lt;&gt;"",COUNTIFS('QA Log'!D:D,A376,'QA Log'!M:M,"Vignette",'QA Log'!L:L,"Exit Interview 2",'QA Log'!Z:Z,"Approved"),"")</f>
        <v/>
      </c>
      <c r="BT376" s="102" t="str">
        <f>IF(
  A376="","",
  SUM(
    COUNTIFS('QA Log'!D:D,A376,'QA Log'!M:M,"Vignette",'QA Log'!Z:Z,"Rejected",'QA Log'!L:L,"*Exit Interview 1*"),
    COUNTIFS('QA Log'!D:D,A376,'QA Log'!M:M,"Vignette",'QA Log'!Z:Z,"Rejected",'QA Log'!L:L,"*Exit Interview 2*")
  )
)</f>
        <v/>
      </c>
      <c r="BU376" s="107" t="str">
        <f t="shared" si="39"/>
        <v/>
      </c>
      <c r="BV376" s="102" t="str">
        <f t="shared" si="40"/>
        <v/>
      </c>
      <c r="BW376" s="102" t="str">
        <f t="shared" si="41"/>
        <v/>
      </c>
      <c r="BX376" s="102" t="str">
        <f t="shared" si="42"/>
        <v/>
      </c>
      <c r="BY376" s="102" t="str">
        <f t="shared" si="43"/>
        <v/>
      </c>
      <c r="BZ376" s="107" t="str">
        <f t="shared" si="44"/>
        <v/>
      </c>
      <c r="CA376" s="108" t="str">
        <f t="shared" si="45"/>
        <v/>
      </c>
      <c r="CB376" s="108" t="str">
        <f t="shared" si="46"/>
        <v/>
      </c>
      <c r="CC376" s="109" t="str">
        <f t="shared" si="47"/>
        <v/>
      </c>
      <c r="CD376" s="108" t="str">
        <f t="shared" si="48"/>
        <v/>
      </c>
      <c r="CE376" s="108" t="str">
        <f t="shared" si="49"/>
        <v/>
      </c>
      <c r="CF376" s="109" t="str">
        <f t="shared" si="50"/>
        <v/>
      </c>
      <c r="CG376" s="110" t="str">
        <f t="shared" si="51"/>
        <v/>
      </c>
      <c r="CH376" s="111"/>
    </row>
    <row r="377" spans="1:86" ht="12.75">
      <c r="A377" s="101"/>
      <c r="B377" s="102" t="e">
        <f t="array" aca="1" ref="B377" ca="1">_xludf.XLOOKUP(A377,'QA Log'!D:D,'QA Log'!E:E,"")</f>
        <v>#NAME?</v>
      </c>
      <c r="C377" s="102" t="e">
        <f t="array" aca="1" ref="C377" ca="1">_xludf.XLOOKUP(A377,'QA Log'!D:D,'QA Log'!F:F,"")</f>
        <v>#NAME?</v>
      </c>
      <c r="D377" s="102" t="e">
        <f t="array" aca="1" ref="D377" ca="1">_xludf.XLOOKUP(A377,'QA Log'!D:D,'QA Log'!H:H,"")</f>
        <v>#NAME?</v>
      </c>
      <c r="E377" s="102" t="e">
        <f t="array" aca="1" ref="E377" ca="1">_xludf.XLOOKUP(A377,'QA Log'!D:D,'QA Log'!G:G,"")</f>
        <v>#NAME?</v>
      </c>
      <c r="F377" s="103"/>
      <c r="G377" s="104"/>
      <c r="H377" s="104"/>
      <c r="I377" s="103" t="str">
        <f t="shared" si="26"/>
        <v/>
      </c>
      <c r="J377" s="102" t="str">
        <f>IF(A377="","",SUM(
COUNTIFS('QA Log'!D:D,A377,'QA Log'!M:M,"QQC",'QA Log'!L:L,"*1. General Management*"),
COUNTIFS('QA Log'!D:D,A377,'QA Log'!M:M,"QQC",'QA Log'!L:L,"*3. Curative Consultation (OPD)*"),
COUNTIFS('QA Log'!D:D,A377,'QA Log'!M:M,"QQC",'QA Log'!L:L,"*5. Laboratory*"),
COUNTIFS('QA Log'!D:D,A377,'QA Log'!M:M,"QQC",'QA Log'!L:L,"*6. Essential Medicine Management*"),
COUNTIFS('QA Log'!D:D,A377,'QA Log'!M:M,"QQC",'QA Log'!L:L,"*7. Tracer Medicine*"),
COUNTIFS('QA Log'!D:D,A377,'QA Log'!M:M,"QQC",'QA Log'!L:L,"*11. Additional Questions*")))</f>
        <v/>
      </c>
      <c r="K377" s="102" t="str">
        <f>IF(A377="","",SUM(
COUNTIFS('QA Log'!D:D,A377,'QA Log'!M:M,"QQC",'QA Log'!Z:Z,"Approved",'QA Log'!L:L,"*1. General Management*"),
COUNTIFS('QA Log'!D:D,A377,'QA Log'!M:M,"QQC",'QA Log'!Z:Z,"Approved",'QA Log'!L:L,"*3. Curative Consultation (OPD)*"),
COUNTIFS('QA Log'!D:D,A377,'QA Log'!M:M,"QQC",'QA Log'!Z:Z,"Approved",'QA Log'!L:L,"*5. Laboratory*"),
COUNTIFS('QA Log'!D:D,A377,'QA Log'!M:M,"QQC",'QA Log'!Z:Z,"Approved",'QA Log'!L:L,"*6. Essential Medicine Management*"),
COUNTIFS('QA Log'!D:D,A377,'QA Log'!M:M,"QQC",'QA Log'!Z:Z,"Approved",'QA Log'!L:L,"*7. Tracer Medicine*"),
COUNTIFS('QA Log'!D:D,A377,'QA Log'!M:M,"QQC",'QA Log'!Z:Z,"Approved",'QA Log'!L:L,"*11. Additional Questions*")))</f>
        <v/>
      </c>
      <c r="L377" s="102" t="str">
        <f>IF(A377&lt;&gt;"",COUNTIFS('QA Log'!D:D,A377,'QA Log'!M:M,"QQC",'QA Log'!L:L,"1. General Management",'QA Log'!Z:Z,"Approved"),"")</f>
        <v/>
      </c>
      <c r="M377" s="102" t="str">
        <f>IF(A377&lt;&gt;"",COUNTIFS('QA Log'!D:D,A377,'QA Log'!M:M,"QQC",'QA Log'!L:L,"3. Curative Consultation (OPD)",'QA Log'!Z:Z,"Approved"),"")</f>
        <v/>
      </c>
      <c r="N377" s="102" t="str">
        <f>IF(A377&lt;&gt;"",COUNTIFS('QA Log'!D:D,A377,'QA Log'!M:M,"QQC",'QA Log'!L:L,"5. Laboratory",'QA Log'!Z:Z,"Approved"),"")</f>
        <v/>
      </c>
      <c r="O377" s="102" t="str">
        <f>IF(A377&lt;&gt;"",COUNTIFS('QA Log'!D:D,A377,'QA Log'!M:M,"QQC",'QA Log'!L:L,"6. Essential Medicine Management",'QA Log'!Z:Z,"Approved"),"")</f>
        <v/>
      </c>
      <c r="P377" s="102" t="str">
        <f>IF(A377&lt;&gt;"",COUNTIFS('QA Log'!D:D,A377,'QA Log'!M:M,"QQC",'QA Log'!L:L,"7. Tracer Medicine",'QA Log'!Z:Z,"Approved"),"")</f>
        <v/>
      </c>
      <c r="Q377" s="102" t="str">
        <f>IF(A377&lt;&gt;"",COUNTIFS('QA Log'!D:D,A377,'QA Log'!M:M,"QQC",'QA Log'!L:L,"11. Additional Questions",'QA Log'!Z:Z,"Approved"),"")</f>
        <v/>
      </c>
      <c r="R377" s="102" t="str">
        <f>IF(A377="","",SUM(
COUNTIFS('QA Log'!D:D,A377,'QA Log'!M:M,"QQC",'QA Log'!Z:Z,"Rejected",'QA Log'!L:L,"*8. Maternity*"),
COUNTIFS('QA Log'!D:D,A377,'QA Log'!M:M,"QQC",'QA Log'!Z:Z,"Rejected",'QA Log'!L:L,"*EPI*"),
COUNTIFS('QA Log'!D:D,A377,'QA Log'!M:M,"QQC",'QA Log'!Z:Z,"Rejected",'QA Log'!L:L,"*10. Antenatal Care (ANC)*"),
COUNTIFS('QA Log'!D:D,A377,'QA Log'!M:M,"QQC",'QA Log'!Z:Z,"Rejected",'QA Log'!L:L,"*2. Hygiene and Sterilization*"),
COUNTIFS('QA Log'!D:D,A377,'QA Log'!M:M,"QQC",'QA Log'!Z:Z,"Rejected",'QA Log'!L:L,"*Family Planning*")))</f>
        <v/>
      </c>
      <c r="S377" s="106" t="str">
        <f t="shared" si="27"/>
        <v/>
      </c>
      <c r="T377" s="102" t="str">
        <f t="shared" si="28"/>
        <v/>
      </c>
      <c r="U377" s="102" t="str">
        <f>IF(A377="","",
SUM(
COUNTIFS('QA Log'!D:D,A377,'QA Log'!M:M,"QQC",'QA Log'!L:L,"*8. Maternity*"),
COUNTIFS('QA Log'!D:D,A377,'QA Log'!M:M,"QQC",'QA Log'!L:L,"*9. EPI and Pre-school Consultation*"),
COUNTIFS('QA Log'!D:D,A377,'QA Log'!M:M,"QQC",'QA Log'!L:L,"*10. Antenatal Care (ANC)*"),
COUNTIFS('QA Log'!D:D,A377,'QA Log'!M:M,"QQC",'QA Log'!L:L,"*2. Hygiene and Sterilization*"),
COUNTIFS('QA Log'!D:D,A377,'QA Log'!M:M,"QQC",'QA Log'!L:L,"*4. Family Planning*")
))</f>
        <v/>
      </c>
      <c r="V377" s="102" t="str">
        <f>IF(A377="","",
SUM(
COUNTIFS('QA Log'!D:D,A377,'QA Log'!M:M,"QQC",'QA Log'!Z:Z,"Approved",'QA Log'!L:L,"*8. Maternity*"),
COUNTIFS('QA Log'!D:D,A377,'QA Log'!M:M,"QQC",'QA Log'!Z:Z,"Approved",'QA Log'!L:L,"*9. EPI and Pre-school Consultation*"),
COUNTIFS('QA Log'!D:D,A377,'QA Log'!M:M,"QQC",'QA Log'!Z:Z,"Approved",'QA Log'!L:L,"*10. Antenatal Care (ANC)*"),
COUNTIFS('QA Log'!D:D,A377,'QA Log'!M:M,"QQC",'QA Log'!Z:Z,"Approved",'QA Log'!L:L,"*2. Hygiene and Sterilization*"),
COUNTIFS('QA Log'!D:D,A377,'QA Log'!M:M,"QQC",'QA Log'!Z:Z,"Approved",'QA Log'!L:L,"*4. Family Planning*")
))</f>
        <v/>
      </c>
      <c r="W377" s="105" t="str">
        <f>IF(A377&lt;&gt;"",COUNTIFS('QA Log'!D:D,A377,'QA Log'!M:M,"QQC",'QA Log'!L:L,"8. Maternity",'QA Log'!Z:Z,"Approved"),"")</f>
        <v/>
      </c>
      <c r="X377" s="105" t="str">
        <f>IF(A377&lt;&gt;"",COUNTIFS('QA Log'!D:D,A377,'QA Log'!M:M,"QQC",'QA Log'!L:L,"9. EPI and Pre-school Consultation",'QA Log'!Z:Z,"Approved"),"")</f>
        <v/>
      </c>
      <c r="Y377" s="105" t="str">
        <f>IF(A377&lt;&gt;"",COUNTIFS('QA Log'!D:D,A377,'QA Log'!M:M,"QQC",'QA Log'!L:L,"10. Antenatal Care (ANC)",'QA Log'!Z:Z,"Approved"),"")</f>
        <v/>
      </c>
      <c r="Z377" s="105" t="str">
        <f>IF(A377&lt;&gt;"",COUNTIFS('QA Log'!D:D,A377,'QA Log'!M:M,"QQC",'QA Log'!L:L,"2. Hygiene and Sterilization",'QA Log'!Z:Z,"Approved"),"")</f>
        <v/>
      </c>
      <c r="AA377" s="105" t="str">
        <f>IF(A377&lt;&gt;"",COUNTIFS('QA Log'!D:D,A377,'QA Log'!M:M,"QQC",'QA Log'!L:L,"4. Family Planning",'QA Log'!Z:Z,"Approved"),"")</f>
        <v/>
      </c>
      <c r="AB377" s="102" t="str">
        <f>IF(A377="","",
SUM(
COUNTIFS('QA Log'!D:D,A377,'QA Log'!M:M,"QQC",'QA Log'!Z:Z,"Rejected",'QA Log'!L:L,"*8. Maternity*"),
COUNTIFS('QA Log'!D:D,A377,'QA Log'!M:M,"QQC",'QA Log'!Z:Z,"Rejected",'QA Log'!L:L,"*9. EPI and Pre-school Consultation*"),
COUNTIFS('QA Log'!D:D,A377,'QA Log'!M:M,"QQC",'QA Log'!Z:Z,"Rejected",'QA Log'!L:L,"*10. Antenatal Care (ANC)*"),
COUNTIFS('QA Log'!D:D,A377,'QA Log'!M:M,"QQC",'QA Log'!Z:Z,"Rejected",'QA Log'!L:L,"*2. Hygiene and Sterilization*"),
COUNTIFS('QA Log'!D:D,A377,'QA Log'!M:M,"QQC",'QA Log'!Z:Z,"Rejected",'QA Log'!L:L,"*4. Family Planning*")
))</f>
        <v/>
      </c>
      <c r="AC377" s="102" t="str">
        <f t="shared" si="29"/>
        <v/>
      </c>
      <c r="AD377" s="103" t="str">
        <f t="shared" si="30"/>
        <v/>
      </c>
      <c r="AE377" s="102" t="str">
        <f>IF(A377="","",
SUM(
COUNTIFS('QA Log'!D:D,A377,'QA Log'!M:M,"Data Verification",'QA Log'!L:L,"*Medicine (section 2)*"),
COUNTIFS('QA Log'!D:D,A377,'QA Log'!M:M,"Data Verification",'QA Log'!L:L,"*Lab Testing Availability*"),
COUNTIFS('QA Log'!D:D,A377,'QA Log'!M:M,"Data Verification",'QA Log'!L:L,"*Other than P4P (section 6)*"),
COUNTIFS('QA Log'!D:D,A377,'QA Log'!M:M,"Data Verification",'QA Log'!L:L,"*Hospital Governance*")
))</f>
        <v/>
      </c>
      <c r="AF377" s="102" t="str">
        <f>IF(A377="","",
SUM(
COUNTIFS('QA Log'!D:D,A377,'QA Log'!M:M,"Data Verification",'QA Log'!Z:Z,"Approved",'QA Log'!L:L,"*Medicine (section 2)*"),
COUNTIFS('QA Log'!D:D,A377,'QA Log'!M:M,"Data Verification",'QA Log'!Z:Z,"Approved",'QA Log'!L:L,"*Lab Testing Availability*"),
COUNTIFS('QA Log'!D:D,A377,'QA Log'!M:M,"Data Verification",'QA Log'!Z:Z,"Approved",'QA Log'!L:L,"*Other than P4P (section 6)*"),
COUNTIFS('QA Log'!D:D,A377,'QA Log'!M:M,"Data Verification",'QA Log'!Z:Z,"Approved",'QA Log'!L:L,"*Hospital Governance*")
))</f>
        <v/>
      </c>
      <c r="AG377" s="105" t="str">
        <f>IF(A377&lt;&gt;"",COUNTIFS('QA Log'!D:D,A377,'QA Log'!M:M,"Data Verification",'QA Log'!L:L,"Medicine (section 2)",'QA Log'!Z:Z,"Approved"),"")</f>
        <v/>
      </c>
      <c r="AH377" s="105" t="str">
        <f>IF(A377&lt;&gt;"",COUNTIFS('QA Log'!D:D,A377,'QA Log'!M:M,"Data Verification",'QA Log'!L:L,"Lab Testing Availability",'QA Log'!Z:Z,"Approved"),"")</f>
        <v/>
      </c>
      <c r="AI377" s="105" t="str">
        <f>IF(A377&lt;&gt;"",COUNTIFS('QA Log'!D:D,A377,'QA Log'!M:M,"Data Verification",'QA Log'!L:L,"Other than P4P (section 6)",'QA Log'!Z:Z,"Approved"),"")</f>
        <v/>
      </c>
      <c r="AJ377" s="105" t="str">
        <f>IF(A377&lt;&gt;"",COUNTIFS('QA Log'!D:D,A377,'QA Log'!M:M,"Data Verification",'QA Log'!L:L,"Hospital Governance",'QA Log'!Z:Z,"Approved"),"")</f>
        <v/>
      </c>
      <c r="AK377" s="102" t="str">
        <f>IF(A377="","",
SUM(
COUNTIFS('QA Log'!D:D,A377,'QA Log'!M:M,"Data Verification",'QA Log'!Z:Z,"Rejected",'QA Log'!L:L,"*Medicine (section 2)*"),
COUNTIFS('QA Log'!D:D,A377,'QA Log'!M:M,"Data Verification",'QA Log'!Z:Z,"Rejected",'QA Log'!L:L,"*Lab Testing Availability*"),
COUNTIFS('QA Log'!D:D,A377,'QA Log'!M:M,"Data Verification",'QA Log'!Z:Z,"Rejected",'QA Log'!L:L,"*Other than P4P (section 6)*"),
COUNTIFS('QA Log'!D:D,A377,'QA Log'!M:M,"Data Verification",'QA Log'!Z:Z,"Rejected",'QA Log'!L:L,"*Hospital Governance*")
))</f>
        <v/>
      </c>
      <c r="AL377" s="106" t="str">
        <f t="shared" si="31"/>
        <v/>
      </c>
      <c r="AM377" s="102" t="str">
        <f t="shared" si="32"/>
        <v/>
      </c>
      <c r="AN377" s="102" t="str">
        <f>IF(A377="","",
SUM(
COUNTIFS('QA Log'!D:D,A377,'QA Log'!M:M,"Data Verification",'QA Log'!L:L,"*Personnel (section 1)*"),
COUNTIFS('QA Log'!D:D,A377,'QA Log'!M:M,"Data Verification",'QA Log'!L:L,"*Consumable (section 3)*"),
COUNTIFS('QA Log'!D:D,A377,'QA Log'!M:M,"Data Verification",'QA Log'!L:L,"*Equipments (section 4)*")
))</f>
        <v/>
      </c>
      <c r="AO377" s="102" t="str">
        <f>IF(A377="","",
SUM(
COUNTIFS('QA Log'!D:D,A377,'QA Log'!M:M,"Data Verification",'QA Log'!Z:Z,"Approved",'QA Log'!L:L,"*Personnel (section 1)*"),
COUNTIFS('QA Log'!D:D,A377,'QA Log'!M:M,"Data Verification",'QA Log'!Z:Z,"Approved",'QA Log'!L:L,"*Consumable (section 3)*"),
COUNTIFS('QA Log'!D:D,A377,'QA Log'!M:M,"Data Verification",'QA Log'!Z:Z,"Approved",'QA Log'!L:L,"*Equipments (section 4)*")
))</f>
        <v/>
      </c>
      <c r="AP377" s="105" t="str">
        <f>IF(A377&lt;&gt;"",COUNTIFS('QA Log'!D:D,A377,'QA Log'!M:M,"Data Verification",'QA Log'!L:L,"Personnel (section 1)",'QA Log'!Z:Z,"Approved"),"")</f>
        <v/>
      </c>
      <c r="AQ377" s="105" t="str">
        <f>IF(A377&lt;&gt;"",COUNTIFS('QA Log'!D:D,A377,'QA Log'!M:M,"Data Verification",'QA Log'!L:L,"Consumable (section 3)",'QA Log'!Z:Z,"Approved"),"")</f>
        <v/>
      </c>
      <c r="AR377" s="105" t="str">
        <f>IF(A377&lt;&gt;"",COUNTIFS('QA Log'!D:D,A377,'QA Log'!M:M,"Data Verification",'QA Log'!L:L,"Equipments (section 4)",'QA Log'!Z:Z,"Approved"),"")</f>
        <v/>
      </c>
      <c r="AS377" s="102" t="str">
        <f>IF(A377="","",
SUM(
COUNTIFS('QA Log'!D:D,A377,'QA Log'!M:M,"Data Verification",'QA Log'!Z:Z,"Rejected",'QA Log'!L:L,"*Personnel (section 1)*"),
COUNTIFS('QA Log'!D:D,A377,'QA Log'!M:M,"Data Verification",'QA Log'!Z:Z,"Rejected",'QA Log'!L:L,"*Consumable (section 3)*"),
COUNTIFS('QA Log'!D:D,A377,'QA Log'!M:M,"Data Verification",'QA Log'!Z:Z,"Rejected",'QA Log'!L:L,"*Equipments (section 4)*")
))</f>
        <v/>
      </c>
      <c r="AT377" s="102" t="str">
        <f t="shared" si="33"/>
        <v/>
      </c>
      <c r="AU377" s="103" t="str">
        <f t="shared" si="34"/>
        <v/>
      </c>
      <c r="AV377" s="102" t="str">
        <f>IF(A377="","",SUM(
COUNTIFS('QA Log'!D:D,A377,'QA Log'!M:M,"Vignette",'QA Log'!L:L,"*Vignette [1] Respiratory Infection: Pneumonia*"),
COUNTIFS('QA Log'!D:D,A377,'QA Log'!M:M,"Vignette",'QA Log'!L:L,"*Vignette [2]: Diarrhea with Cat B dehydration*"),
COUNTIFS('QA Log'!D:D,A377,'QA Log'!M:M,"Vignette",'QA Log'!L:L,"*Vignette [3] Growth Monitoring and Promotion*"),
COUNTIFS('QA Log'!D:D,A377,'QA Log'!M:M,"Vignette",'QA Log'!L:L,"*Vignette [4]: The management of presumptive TB patient*")
)
)</f>
        <v/>
      </c>
      <c r="AW377" s="102" t="str">
        <f>IF(
  A377="","",
  SUM(
    COUNTIFS('QA Log'!D:D,A377,'QA Log'!M:M,"Vignette",'QA Log'!Z:Z,"Approved",'QA Log'!L:L,"*Vignette [1] Respiratory Infection: Pneumonia*"),
    COUNTIFS('QA Log'!D:D,A377,'QA Log'!M:M,"Vignette",'QA Log'!Z:Z,"Approved",'QA Log'!L:L,"*Vignette [2]: Diarrhea with Cat B dehydration*"),
    COUNTIFS('QA Log'!D:D,A377,'QA Log'!M:M,"Vignette",'QA Log'!Z:Z,"Approved",'QA Log'!L:L,"*Vignette [3] Growth Monitoring and Promotion*"),
    COUNTIFS('QA Log'!D:D,A377,'QA Log'!M:M,"Vignette",'QA Log'!Z:Z,"Approved",'QA Log'!L:L,"*Vignette [4]: The management of presumptive TB patient*")
  )
)</f>
        <v/>
      </c>
      <c r="AX377" s="105" t="str">
        <f>IF(A377&lt;&gt;"",COUNTIFS('QA Log'!D:D,A377,'QA Log'!M:M,"Vignette",'QA Log'!L:L,"Vignette [1] Respiratory Infection: Pneumonia",'QA Log'!Z:Z,"Approved"),"")</f>
        <v/>
      </c>
      <c r="AY377" s="105" t="str">
        <f>IF(A377&lt;&gt;"",COUNTIFS('QA Log'!D:D,A377,'QA Log'!M:M,"Vignette",'QA Log'!L:L,"Vignette [2]: Diarrhea with Cat B dehydration",'QA Log'!Z:Z,"Approved"),"")</f>
        <v/>
      </c>
      <c r="AZ377" s="105" t="str">
        <f>IF(A377&lt;&gt;"",COUNTIFS('QA Log'!D:D,A377,'QA Log'!M:M,"Vignette",'QA Log'!L:L,"Vignette [3] Growth Monitoring and Promotion",'QA Log'!Z:Z,"Approved"),"")</f>
        <v/>
      </c>
      <c r="BA377" s="105" t="str">
        <f>IF(A377&lt;&gt;"",COUNTIFS('QA Log'!D:D,A377,'QA Log'!M:M,"Vignette",'QA Log'!L:L,"Vignette [4]: The management of presumptive TB patient",'QA Log'!Z:Z,"Approved"),"")</f>
        <v/>
      </c>
      <c r="BB377" s="102" t="str">
        <f>IF(A377="","",
  SUM(
    COUNTIFS('QA Log'!D:D,A377,'QA Log'!M:M,"Vignette",'QA Log'!Z:Z,"Rejected",'QA Log'!L:L,"*Vignette [1] Respiratory Infection: Pneumonia*"),
    COUNTIFS('QA Log'!D:D,A377,'QA Log'!M:M,"Vignette",'QA Log'!Z:Z,"Rejected",'QA Log'!L:L,"*Vignette [2]: Diarrhea with Cat B dehydration*"),
    COUNTIFS('QA Log'!D:D,A377,'QA Log'!M:M,"Vignette",'QA Log'!Z:Z,"Rejected",'QA Log'!L:L,"*Vignette [3] Growth Monitoring and Promotion*"),
    COUNTIFS('QA Log'!D:D,A377,'QA Log'!M:M,"Vignette",'QA Log'!Z:Z,"Rejected",'QA Log'!L:L,"*Vignette [4]: The management of presumptive TB patient*")
  )
)</f>
        <v/>
      </c>
      <c r="BC377" s="107" t="str">
        <f t="shared" si="35"/>
        <v/>
      </c>
      <c r="BD377" s="103" t="str">
        <f t="shared" si="36"/>
        <v/>
      </c>
      <c r="BE377" s="102" t="str">
        <f>IF(A377="","",SUM(
COUNTIFS('QA Log'!D:D,A377,'QA Log'!M:M,"Vignette",'QA Log'!L:L,"*Vignette [5] Labor*"),
COUNTIFS('QA Log'!D:D,A377,'QA Log'!M:M,"Vignette",'QA Log'!L:L,"*Vignette [6] PNC pre Discharge*"),
COUNTIFS('QA Log'!D:D,A377,'QA Log'!M:M,"Vignette",'QA Log'!L:L,"*Vignette [7] First ANC Visit*"),
COUNTIFS('QA Log'!D:D,A377,'QA Log'!M:M,"Vignette",'QA Log'!L:L,"*Vignette [8] Birth Spacing/ Family Planning :  FP Counselling*"),
COUNTIFS('QA Log'!D:D,A377,'QA Log'!M:M,"Vignette",'QA Log'!L:L,"*Vignette [9] Birth Spacing: Change FP method to Injectable*"),
COUNTIFS('QA Log'!D:D,A377,'QA Log'!M:M,"Vignette",'QA Log'!L:L,"*Vignette [10] Post Partum Haemorrhage - Atonic Uterus at Health Centre*"),
)
)</f>
        <v/>
      </c>
      <c r="BF377" s="102" t="str">
        <f>IF(A377="","",
  SUM(
    COUNTIFS('QA Log'!D:D,A377,'QA Log'!M:M,"Vignette",'QA Log'!Z:Z,"Approved",'QA Log'!L:L,"*Vignette [5] Labor*"),
    COUNTIFS('QA Log'!D:D,A377,'QA Log'!M:M,"Vignette",'QA Log'!Z:Z,"Approved",'QA Log'!L:L,"*Vignette [6] PNC pre Discharge*"),
    COUNTIFS('QA Log'!D:D,A377,'QA Log'!M:M,"Vignette",'QA Log'!Z:Z,"Approved",'QA Log'!L:L,"*Vignette [7] First ANC Visit*"),
    COUNTIFS('QA Log'!D:D,A377,'QA Log'!M:M,"Vignette",'QA Log'!Z:Z,"Approved",'QA Log'!L:L,"*Vignette [8] Birth Spacing/ Family Planning :  FP Counselling*"),
    COUNTIFS('QA Log'!D:D,A377,'QA Log'!M:M,"Vignette",'QA Log'!Z:Z,"Approved",'QA Log'!L:L,"*Vignette [9] Birth Spacing: Change FP method to Injectable*"),
    COUNTIFS('QA Log'!D:D,A377,'QA Log'!M:M,"Vignette",'QA Log'!Z:Z,"Approved",'QA Log'!L:L,"*Vignette [10] Post Partum Haemorrhage - Atonic Uterus at Health Centre*")
  )
)</f>
        <v/>
      </c>
      <c r="BG377" s="105" t="str">
        <f>IF(A377&lt;&gt;"",COUNTIFS('QA Log'!D:D,A377,'QA Log'!M:M,"Vignette",'QA Log'!L:L,"Vignette [5] Labor",'QA Log'!Z:Z,"Approved"),"")</f>
        <v/>
      </c>
      <c r="BH377" s="105" t="str">
        <f>IF(A377&lt;&gt;"",COUNTIFS('QA Log'!D:D,A377,'QA Log'!M:M,"Vignette",'QA Log'!L:L,"Vignette [6] PNC pre Discharge",'QA Log'!Z:Z,"Approved"),"")</f>
        <v/>
      </c>
      <c r="BI377" s="105" t="str">
        <f>IF(A377&lt;&gt;"",COUNTIFS('QA Log'!D:D,A377,'QA Log'!M:M,"Vignette",'QA Log'!L:L,"Vignette [7] First ANC Visit",'QA Log'!Z:Z,"Approved"),"")</f>
        <v/>
      </c>
      <c r="BJ377" s="105" t="str">
        <f>IF(A377&lt;&gt;"",COUNTIFS('QA Log'!D:D,A377,'QA Log'!M:M,"Vignette",'QA Log'!L:L,"Vignette [8] Birth Spacing/ Family Planning :  FP Counselling",'QA Log'!Z:Z,"Approved"),"")</f>
        <v/>
      </c>
      <c r="BK377" s="105" t="str">
        <f>IF(A377&lt;&gt;"",COUNTIFS('QA Log'!D:D,A377,'QA Log'!M:M,"Vignette",'QA Log'!L:L,"Vignette [9] Birth Spacing: Change FP method to Injectable",'QA Log'!Z:Z,"Approved"),"")</f>
        <v/>
      </c>
      <c r="BL377" s="105" t="str">
        <f>IF(A377&lt;&gt;"",COUNTIFS('QA Log'!D:D,A377,'QA Log'!M:M,"Vignette",'QA Log'!L:L,"Vignette [10] Post Partum Haemorrhage - Atonic Uterus at Health Centre",'QA Log'!Z:Z,"Approved"),"")</f>
        <v/>
      </c>
      <c r="BM377" s="102" t="str">
        <f>IF(A377="","",SUM(
    COUNTIFS('QA Log'!D:D,A377,'QA Log'!M:M,"Vignette",'QA Log'!Z:Z,"Rejected",'QA Log'!L:L,"*Vignette [5] Labor*"),
    COUNTIFS('QA Log'!D:D,A377,'QA Log'!M:M,"Vignette",'QA Log'!Z:Z,"Rejected",'QA Log'!L:L,"*Vignette [6] PNC pre Discharge*"),
    COUNTIFS('QA Log'!D:D,A377,'QA Log'!M:M,"Vignette",'QA Log'!Z:Z,"Rejected",'QA Log'!L:L,"*Vignette [7] First ANC Visit*"),
    COUNTIFS('QA Log'!D:D,A377,'QA Log'!M:M,"Vignette",'QA Log'!Z:Z,"Rejected",'QA Log'!L:L,"*Vignette [8] Birth Spacing/ Family Planning :  FP Counselling*"),
    COUNTIFS('QA Log'!D:D,A377,'QA Log'!M:M,"Vignette",'QA Log'!Z:Z,"Rejected",'QA Log'!L:L,"*Vignette [9] Birth Spacing: Change FP method to Injectable*"),
    COUNTIFS('QA Log'!D:D,A377,'QA Log'!M:M,"Vignette",'QA Log'!Z:Z,"Rejected",'QA Log'!L:L,"*Vignette [10] Post Partum Haemorrhage - Atonic Uterus at Health Centre*")
  )
)</f>
        <v/>
      </c>
      <c r="BN377" s="107" t="str">
        <f t="shared" si="37"/>
        <v/>
      </c>
      <c r="BO377" s="103" t="str">
        <f t="shared" si="38"/>
        <v/>
      </c>
      <c r="BP377" s="102" t="str">
        <f>IF(A377="","",SUM(
COUNTIFS('QA Log'!D:D,A377,'QA Log'!M:M,"Vignette",'QA Log'!L:L,"*Exit Interview 1*"),
COUNTIFS('QA Log'!D:D,A377,'QA Log'!M:M,"Vignette",'QA Log'!L:L,"*Exit Interview 2*"),
)
)</f>
        <v/>
      </c>
      <c r="BQ377" s="102" t="str">
        <f>IF(
  A377="","",
  SUM(
    COUNTIFS('QA Log'!D:D,A377,'QA Log'!M:M,"Vignette",'QA Log'!Z:Z,"Approved",'QA Log'!L:L,"*Exit Interview 1*"),
    COUNTIFS('QA Log'!D:D,A377,'QA Log'!M:M,"Vignette",'QA Log'!Z:Z,"Approved",'QA Log'!L:L,"*Exit Interview 2*")
  )
)</f>
        <v/>
      </c>
      <c r="BR377" s="105" t="str">
        <f>IF(A377&lt;&gt;"",COUNTIFS('QA Log'!D:D,A377,'QA Log'!M:M,"Vignette",'QA Log'!L:L,"Exit Interview 1",'QA Log'!Z:Z,"Approved"),"")</f>
        <v/>
      </c>
      <c r="BS377" s="105" t="str">
        <f>IF(A377&lt;&gt;"",COUNTIFS('QA Log'!D:D,A377,'QA Log'!M:M,"Vignette",'QA Log'!L:L,"Exit Interview 2",'QA Log'!Z:Z,"Approved"),"")</f>
        <v/>
      </c>
      <c r="BT377" s="102" t="str">
        <f>IF(
  A377="","",
  SUM(
    COUNTIFS('QA Log'!D:D,A377,'QA Log'!M:M,"Vignette",'QA Log'!Z:Z,"Rejected",'QA Log'!L:L,"*Exit Interview 1*"),
    COUNTIFS('QA Log'!D:D,A377,'QA Log'!M:M,"Vignette",'QA Log'!Z:Z,"Rejected",'QA Log'!L:L,"*Exit Interview 2*")
  )
)</f>
        <v/>
      </c>
      <c r="BU377" s="107" t="str">
        <f t="shared" si="39"/>
        <v/>
      </c>
      <c r="BV377" s="102" t="str">
        <f t="shared" si="40"/>
        <v/>
      </c>
      <c r="BW377" s="102" t="str">
        <f t="shared" si="41"/>
        <v/>
      </c>
      <c r="BX377" s="102" t="str">
        <f t="shared" si="42"/>
        <v/>
      </c>
      <c r="BY377" s="102" t="str">
        <f t="shared" si="43"/>
        <v/>
      </c>
      <c r="BZ377" s="107" t="str">
        <f t="shared" si="44"/>
        <v/>
      </c>
      <c r="CA377" s="108" t="str">
        <f t="shared" si="45"/>
        <v/>
      </c>
      <c r="CB377" s="108" t="str">
        <f t="shared" si="46"/>
        <v/>
      </c>
      <c r="CC377" s="109" t="str">
        <f t="shared" si="47"/>
        <v/>
      </c>
      <c r="CD377" s="108" t="str">
        <f t="shared" si="48"/>
        <v/>
      </c>
      <c r="CE377" s="108" t="str">
        <f t="shared" si="49"/>
        <v/>
      </c>
      <c r="CF377" s="109" t="str">
        <f t="shared" si="50"/>
        <v/>
      </c>
      <c r="CG377" s="110" t="str">
        <f t="shared" si="51"/>
        <v/>
      </c>
      <c r="CH377" s="111"/>
    </row>
    <row r="378" spans="1:86" ht="12.75">
      <c r="A378" s="101"/>
      <c r="B378" s="102" t="e">
        <f t="array" aca="1" ref="B378" ca="1">_xludf.XLOOKUP(A378,'QA Log'!D:D,'QA Log'!E:E,"")</f>
        <v>#NAME?</v>
      </c>
      <c r="C378" s="102" t="e">
        <f t="array" aca="1" ref="C378" ca="1">_xludf.XLOOKUP(A378,'QA Log'!D:D,'QA Log'!F:F,"")</f>
        <v>#NAME?</v>
      </c>
      <c r="D378" s="102" t="e">
        <f t="array" aca="1" ref="D378" ca="1">_xludf.XLOOKUP(A378,'QA Log'!D:D,'QA Log'!H:H,"")</f>
        <v>#NAME?</v>
      </c>
      <c r="E378" s="102" t="e">
        <f t="array" aca="1" ref="E378" ca="1">_xludf.XLOOKUP(A378,'QA Log'!D:D,'QA Log'!G:G,"")</f>
        <v>#NAME?</v>
      </c>
      <c r="F378" s="103"/>
      <c r="G378" s="104"/>
      <c r="H378" s="104"/>
      <c r="I378" s="103" t="str">
        <f t="shared" si="26"/>
        <v/>
      </c>
      <c r="J378" s="102" t="str">
        <f>IF(A378="","",SUM(
COUNTIFS('QA Log'!D:D,A378,'QA Log'!M:M,"QQC",'QA Log'!L:L,"*1. General Management*"),
COUNTIFS('QA Log'!D:D,A378,'QA Log'!M:M,"QQC",'QA Log'!L:L,"*3. Curative Consultation (OPD)*"),
COUNTIFS('QA Log'!D:D,A378,'QA Log'!M:M,"QQC",'QA Log'!L:L,"*5. Laboratory*"),
COUNTIFS('QA Log'!D:D,A378,'QA Log'!M:M,"QQC",'QA Log'!L:L,"*6. Essential Medicine Management*"),
COUNTIFS('QA Log'!D:D,A378,'QA Log'!M:M,"QQC",'QA Log'!L:L,"*7. Tracer Medicine*"),
COUNTIFS('QA Log'!D:D,A378,'QA Log'!M:M,"QQC",'QA Log'!L:L,"*11. Additional Questions*")))</f>
        <v/>
      </c>
      <c r="K378" s="102" t="str">
        <f>IF(A378="","",SUM(
COUNTIFS('QA Log'!D:D,A378,'QA Log'!M:M,"QQC",'QA Log'!Z:Z,"Approved",'QA Log'!L:L,"*1. General Management*"),
COUNTIFS('QA Log'!D:D,A378,'QA Log'!M:M,"QQC",'QA Log'!Z:Z,"Approved",'QA Log'!L:L,"*3. Curative Consultation (OPD)*"),
COUNTIFS('QA Log'!D:D,A378,'QA Log'!M:M,"QQC",'QA Log'!Z:Z,"Approved",'QA Log'!L:L,"*5. Laboratory*"),
COUNTIFS('QA Log'!D:D,A378,'QA Log'!M:M,"QQC",'QA Log'!Z:Z,"Approved",'QA Log'!L:L,"*6. Essential Medicine Management*"),
COUNTIFS('QA Log'!D:D,A378,'QA Log'!M:M,"QQC",'QA Log'!Z:Z,"Approved",'QA Log'!L:L,"*7. Tracer Medicine*"),
COUNTIFS('QA Log'!D:D,A378,'QA Log'!M:M,"QQC",'QA Log'!Z:Z,"Approved",'QA Log'!L:L,"*11. Additional Questions*")))</f>
        <v/>
      </c>
      <c r="L378" s="102" t="str">
        <f>IF(A378&lt;&gt;"",COUNTIFS('QA Log'!D:D,A378,'QA Log'!M:M,"QQC",'QA Log'!L:L,"1. General Management",'QA Log'!Z:Z,"Approved"),"")</f>
        <v/>
      </c>
      <c r="M378" s="102" t="str">
        <f>IF(A378&lt;&gt;"",COUNTIFS('QA Log'!D:D,A378,'QA Log'!M:M,"QQC",'QA Log'!L:L,"3. Curative Consultation (OPD)",'QA Log'!Z:Z,"Approved"),"")</f>
        <v/>
      </c>
      <c r="N378" s="102" t="str">
        <f>IF(A378&lt;&gt;"",COUNTIFS('QA Log'!D:D,A378,'QA Log'!M:M,"QQC",'QA Log'!L:L,"5. Laboratory",'QA Log'!Z:Z,"Approved"),"")</f>
        <v/>
      </c>
      <c r="O378" s="102" t="str">
        <f>IF(A378&lt;&gt;"",COUNTIFS('QA Log'!D:D,A378,'QA Log'!M:M,"QQC",'QA Log'!L:L,"6. Essential Medicine Management",'QA Log'!Z:Z,"Approved"),"")</f>
        <v/>
      </c>
      <c r="P378" s="102" t="str">
        <f>IF(A378&lt;&gt;"",COUNTIFS('QA Log'!D:D,A378,'QA Log'!M:M,"QQC",'QA Log'!L:L,"7. Tracer Medicine",'QA Log'!Z:Z,"Approved"),"")</f>
        <v/>
      </c>
      <c r="Q378" s="102" t="str">
        <f>IF(A378&lt;&gt;"",COUNTIFS('QA Log'!D:D,A378,'QA Log'!M:M,"QQC",'QA Log'!L:L,"11. Additional Questions",'QA Log'!Z:Z,"Approved"),"")</f>
        <v/>
      </c>
      <c r="R378" s="102" t="str">
        <f>IF(A378="","",SUM(
COUNTIFS('QA Log'!D:D,A378,'QA Log'!M:M,"QQC",'QA Log'!Z:Z,"Rejected",'QA Log'!L:L,"*8. Maternity*"),
COUNTIFS('QA Log'!D:D,A378,'QA Log'!M:M,"QQC",'QA Log'!Z:Z,"Rejected",'QA Log'!L:L,"*EPI*"),
COUNTIFS('QA Log'!D:D,A378,'QA Log'!M:M,"QQC",'QA Log'!Z:Z,"Rejected",'QA Log'!L:L,"*10. Antenatal Care (ANC)*"),
COUNTIFS('QA Log'!D:D,A378,'QA Log'!M:M,"QQC",'QA Log'!Z:Z,"Rejected",'QA Log'!L:L,"*2. Hygiene and Sterilization*"),
COUNTIFS('QA Log'!D:D,A378,'QA Log'!M:M,"QQC",'QA Log'!Z:Z,"Rejected",'QA Log'!L:L,"*Family Planning*")))</f>
        <v/>
      </c>
      <c r="S378" s="106" t="str">
        <f t="shared" si="27"/>
        <v/>
      </c>
      <c r="T378" s="102" t="str">
        <f t="shared" si="28"/>
        <v/>
      </c>
      <c r="U378" s="102" t="str">
        <f>IF(A378="","",
SUM(
COUNTIFS('QA Log'!D:D,A378,'QA Log'!M:M,"QQC",'QA Log'!L:L,"*8. Maternity*"),
COUNTIFS('QA Log'!D:D,A378,'QA Log'!M:M,"QQC",'QA Log'!L:L,"*9. EPI and Pre-school Consultation*"),
COUNTIFS('QA Log'!D:D,A378,'QA Log'!M:M,"QQC",'QA Log'!L:L,"*10. Antenatal Care (ANC)*"),
COUNTIFS('QA Log'!D:D,A378,'QA Log'!M:M,"QQC",'QA Log'!L:L,"*2. Hygiene and Sterilization*"),
COUNTIFS('QA Log'!D:D,A378,'QA Log'!M:M,"QQC",'QA Log'!L:L,"*4. Family Planning*")
))</f>
        <v/>
      </c>
      <c r="V378" s="102" t="str">
        <f>IF(A378="","",
SUM(
COUNTIFS('QA Log'!D:D,A378,'QA Log'!M:M,"QQC",'QA Log'!Z:Z,"Approved",'QA Log'!L:L,"*8. Maternity*"),
COUNTIFS('QA Log'!D:D,A378,'QA Log'!M:M,"QQC",'QA Log'!Z:Z,"Approved",'QA Log'!L:L,"*9. EPI and Pre-school Consultation*"),
COUNTIFS('QA Log'!D:D,A378,'QA Log'!M:M,"QQC",'QA Log'!Z:Z,"Approved",'QA Log'!L:L,"*10. Antenatal Care (ANC)*"),
COUNTIFS('QA Log'!D:D,A378,'QA Log'!M:M,"QQC",'QA Log'!Z:Z,"Approved",'QA Log'!L:L,"*2. Hygiene and Sterilization*"),
COUNTIFS('QA Log'!D:D,A378,'QA Log'!M:M,"QQC",'QA Log'!Z:Z,"Approved",'QA Log'!L:L,"*4. Family Planning*")
))</f>
        <v/>
      </c>
      <c r="W378" s="105" t="str">
        <f>IF(A378&lt;&gt;"",COUNTIFS('QA Log'!D:D,A378,'QA Log'!M:M,"QQC",'QA Log'!L:L,"8. Maternity",'QA Log'!Z:Z,"Approved"),"")</f>
        <v/>
      </c>
      <c r="X378" s="105" t="str">
        <f>IF(A378&lt;&gt;"",COUNTIFS('QA Log'!D:D,A378,'QA Log'!M:M,"QQC",'QA Log'!L:L,"9. EPI and Pre-school Consultation",'QA Log'!Z:Z,"Approved"),"")</f>
        <v/>
      </c>
      <c r="Y378" s="105" t="str">
        <f>IF(A378&lt;&gt;"",COUNTIFS('QA Log'!D:D,A378,'QA Log'!M:M,"QQC",'QA Log'!L:L,"10. Antenatal Care (ANC)",'QA Log'!Z:Z,"Approved"),"")</f>
        <v/>
      </c>
      <c r="Z378" s="105" t="str">
        <f>IF(A378&lt;&gt;"",COUNTIFS('QA Log'!D:D,A378,'QA Log'!M:M,"QQC",'QA Log'!L:L,"2. Hygiene and Sterilization",'QA Log'!Z:Z,"Approved"),"")</f>
        <v/>
      </c>
      <c r="AA378" s="105" t="str">
        <f>IF(A378&lt;&gt;"",COUNTIFS('QA Log'!D:D,A378,'QA Log'!M:M,"QQC",'QA Log'!L:L,"4. Family Planning",'QA Log'!Z:Z,"Approved"),"")</f>
        <v/>
      </c>
      <c r="AB378" s="102" t="str">
        <f>IF(A378="","",
SUM(
COUNTIFS('QA Log'!D:D,A378,'QA Log'!M:M,"QQC",'QA Log'!Z:Z,"Rejected",'QA Log'!L:L,"*8. Maternity*"),
COUNTIFS('QA Log'!D:D,A378,'QA Log'!M:M,"QQC",'QA Log'!Z:Z,"Rejected",'QA Log'!L:L,"*9. EPI and Pre-school Consultation*"),
COUNTIFS('QA Log'!D:D,A378,'QA Log'!M:M,"QQC",'QA Log'!Z:Z,"Rejected",'QA Log'!L:L,"*10. Antenatal Care (ANC)*"),
COUNTIFS('QA Log'!D:D,A378,'QA Log'!M:M,"QQC",'QA Log'!Z:Z,"Rejected",'QA Log'!L:L,"*2. Hygiene and Sterilization*"),
COUNTIFS('QA Log'!D:D,A378,'QA Log'!M:M,"QQC",'QA Log'!Z:Z,"Rejected",'QA Log'!L:L,"*4. Family Planning*")
))</f>
        <v/>
      </c>
      <c r="AC378" s="102" t="str">
        <f t="shared" si="29"/>
        <v/>
      </c>
      <c r="AD378" s="103" t="str">
        <f t="shared" si="30"/>
        <v/>
      </c>
      <c r="AE378" s="102" t="str">
        <f>IF(A378="","",
SUM(
COUNTIFS('QA Log'!D:D,A378,'QA Log'!M:M,"Data Verification",'QA Log'!L:L,"*Medicine (section 2)*"),
COUNTIFS('QA Log'!D:D,A378,'QA Log'!M:M,"Data Verification",'QA Log'!L:L,"*Lab Testing Availability*"),
COUNTIFS('QA Log'!D:D,A378,'QA Log'!M:M,"Data Verification",'QA Log'!L:L,"*Other than P4P (section 6)*"),
COUNTIFS('QA Log'!D:D,A378,'QA Log'!M:M,"Data Verification",'QA Log'!L:L,"*Hospital Governance*")
))</f>
        <v/>
      </c>
      <c r="AF378" s="102" t="str">
        <f>IF(A378="","",
SUM(
COUNTIFS('QA Log'!D:D,A378,'QA Log'!M:M,"Data Verification",'QA Log'!Z:Z,"Approved",'QA Log'!L:L,"*Medicine (section 2)*"),
COUNTIFS('QA Log'!D:D,A378,'QA Log'!M:M,"Data Verification",'QA Log'!Z:Z,"Approved",'QA Log'!L:L,"*Lab Testing Availability*"),
COUNTIFS('QA Log'!D:D,A378,'QA Log'!M:M,"Data Verification",'QA Log'!Z:Z,"Approved",'QA Log'!L:L,"*Other than P4P (section 6)*"),
COUNTIFS('QA Log'!D:D,A378,'QA Log'!M:M,"Data Verification",'QA Log'!Z:Z,"Approved",'QA Log'!L:L,"*Hospital Governance*")
))</f>
        <v/>
      </c>
      <c r="AG378" s="105" t="str">
        <f>IF(A378&lt;&gt;"",COUNTIFS('QA Log'!D:D,A378,'QA Log'!M:M,"Data Verification",'QA Log'!L:L,"Medicine (section 2)",'QA Log'!Z:Z,"Approved"),"")</f>
        <v/>
      </c>
      <c r="AH378" s="105" t="str">
        <f>IF(A378&lt;&gt;"",COUNTIFS('QA Log'!D:D,A378,'QA Log'!M:M,"Data Verification",'QA Log'!L:L,"Lab Testing Availability",'QA Log'!Z:Z,"Approved"),"")</f>
        <v/>
      </c>
      <c r="AI378" s="105" t="str">
        <f>IF(A378&lt;&gt;"",COUNTIFS('QA Log'!D:D,A378,'QA Log'!M:M,"Data Verification",'QA Log'!L:L,"Other than P4P (section 6)",'QA Log'!Z:Z,"Approved"),"")</f>
        <v/>
      </c>
      <c r="AJ378" s="105" t="str">
        <f>IF(A378&lt;&gt;"",COUNTIFS('QA Log'!D:D,A378,'QA Log'!M:M,"Data Verification",'QA Log'!L:L,"Hospital Governance",'QA Log'!Z:Z,"Approved"),"")</f>
        <v/>
      </c>
      <c r="AK378" s="102" t="str">
        <f>IF(A378="","",
SUM(
COUNTIFS('QA Log'!D:D,A378,'QA Log'!M:M,"Data Verification",'QA Log'!Z:Z,"Rejected",'QA Log'!L:L,"*Medicine (section 2)*"),
COUNTIFS('QA Log'!D:D,A378,'QA Log'!M:M,"Data Verification",'QA Log'!Z:Z,"Rejected",'QA Log'!L:L,"*Lab Testing Availability*"),
COUNTIFS('QA Log'!D:D,A378,'QA Log'!M:M,"Data Verification",'QA Log'!Z:Z,"Rejected",'QA Log'!L:L,"*Other than P4P (section 6)*"),
COUNTIFS('QA Log'!D:D,A378,'QA Log'!M:M,"Data Verification",'QA Log'!Z:Z,"Rejected",'QA Log'!L:L,"*Hospital Governance*")
))</f>
        <v/>
      </c>
      <c r="AL378" s="106" t="str">
        <f t="shared" si="31"/>
        <v/>
      </c>
      <c r="AM378" s="102" t="str">
        <f t="shared" si="32"/>
        <v/>
      </c>
      <c r="AN378" s="102" t="str">
        <f>IF(A378="","",
SUM(
COUNTIFS('QA Log'!D:D,A378,'QA Log'!M:M,"Data Verification",'QA Log'!L:L,"*Personnel (section 1)*"),
COUNTIFS('QA Log'!D:D,A378,'QA Log'!M:M,"Data Verification",'QA Log'!L:L,"*Consumable (section 3)*"),
COUNTIFS('QA Log'!D:D,A378,'QA Log'!M:M,"Data Verification",'QA Log'!L:L,"*Equipments (section 4)*")
))</f>
        <v/>
      </c>
      <c r="AO378" s="102" t="str">
        <f>IF(A378="","",
SUM(
COUNTIFS('QA Log'!D:D,A378,'QA Log'!M:M,"Data Verification",'QA Log'!Z:Z,"Approved",'QA Log'!L:L,"*Personnel (section 1)*"),
COUNTIFS('QA Log'!D:D,A378,'QA Log'!M:M,"Data Verification",'QA Log'!Z:Z,"Approved",'QA Log'!L:L,"*Consumable (section 3)*"),
COUNTIFS('QA Log'!D:D,A378,'QA Log'!M:M,"Data Verification",'QA Log'!Z:Z,"Approved",'QA Log'!L:L,"*Equipments (section 4)*")
))</f>
        <v/>
      </c>
      <c r="AP378" s="105" t="str">
        <f>IF(A378&lt;&gt;"",COUNTIFS('QA Log'!D:D,A378,'QA Log'!M:M,"Data Verification",'QA Log'!L:L,"Personnel (section 1)",'QA Log'!Z:Z,"Approved"),"")</f>
        <v/>
      </c>
      <c r="AQ378" s="105" t="str">
        <f>IF(A378&lt;&gt;"",COUNTIFS('QA Log'!D:D,A378,'QA Log'!M:M,"Data Verification",'QA Log'!L:L,"Consumable (section 3)",'QA Log'!Z:Z,"Approved"),"")</f>
        <v/>
      </c>
      <c r="AR378" s="105" t="str">
        <f>IF(A378&lt;&gt;"",COUNTIFS('QA Log'!D:D,A378,'QA Log'!M:M,"Data Verification",'QA Log'!L:L,"Equipments (section 4)",'QA Log'!Z:Z,"Approved"),"")</f>
        <v/>
      </c>
      <c r="AS378" s="102" t="str">
        <f>IF(A378="","",
SUM(
COUNTIFS('QA Log'!D:D,A378,'QA Log'!M:M,"Data Verification",'QA Log'!Z:Z,"Rejected",'QA Log'!L:L,"*Personnel (section 1)*"),
COUNTIFS('QA Log'!D:D,A378,'QA Log'!M:M,"Data Verification",'QA Log'!Z:Z,"Rejected",'QA Log'!L:L,"*Consumable (section 3)*"),
COUNTIFS('QA Log'!D:D,A378,'QA Log'!M:M,"Data Verification",'QA Log'!Z:Z,"Rejected",'QA Log'!L:L,"*Equipments (section 4)*")
))</f>
        <v/>
      </c>
      <c r="AT378" s="102" t="str">
        <f t="shared" si="33"/>
        <v/>
      </c>
      <c r="AU378" s="103" t="str">
        <f t="shared" si="34"/>
        <v/>
      </c>
      <c r="AV378" s="102" t="str">
        <f>IF(A378="","",SUM(
COUNTIFS('QA Log'!D:D,A378,'QA Log'!M:M,"Vignette",'QA Log'!L:L,"*Vignette [1] Respiratory Infection: Pneumonia*"),
COUNTIFS('QA Log'!D:D,A378,'QA Log'!M:M,"Vignette",'QA Log'!L:L,"*Vignette [2]: Diarrhea with Cat B dehydration*"),
COUNTIFS('QA Log'!D:D,A378,'QA Log'!M:M,"Vignette",'QA Log'!L:L,"*Vignette [3] Growth Monitoring and Promotion*"),
COUNTIFS('QA Log'!D:D,A378,'QA Log'!M:M,"Vignette",'QA Log'!L:L,"*Vignette [4]: The management of presumptive TB patient*")
)
)</f>
        <v/>
      </c>
      <c r="AW378" s="102" t="str">
        <f>IF(
  A378="","",
  SUM(
    COUNTIFS('QA Log'!D:D,A378,'QA Log'!M:M,"Vignette",'QA Log'!Z:Z,"Approved",'QA Log'!L:L,"*Vignette [1] Respiratory Infection: Pneumonia*"),
    COUNTIFS('QA Log'!D:D,A378,'QA Log'!M:M,"Vignette",'QA Log'!Z:Z,"Approved",'QA Log'!L:L,"*Vignette [2]: Diarrhea with Cat B dehydration*"),
    COUNTIFS('QA Log'!D:D,A378,'QA Log'!M:M,"Vignette",'QA Log'!Z:Z,"Approved",'QA Log'!L:L,"*Vignette [3] Growth Monitoring and Promotion*"),
    COUNTIFS('QA Log'!D:D,A378,'QA Log'!M:M,"Vignette",'QA Log'!Z:Z,"Approved",'QA Log'!L:L,"*Vignette [4]: The management of presumptive TB patient*")
  )
)</f>
        <v/>
      </c>
      <c r="AX378" s="105" t="str">
        <f>IF(A378&lt;&gt;"",COUNTIFS('QA Log'!D:D,A378,'QA Log'!M:M,"Vignette",'QA Log'!L:L,"Vignette [1] Respiratory Infection: Pneumonia",'QA Log'!Z:Z,"Approved"),"")</f>
        <v/>
      </c>
      <c r="AY378" s="105" t="str">
        <f>IF(A378&lt;&gt;"",COUNTIFS('QA Log'!D:D,A378,'QA Log'!M:M,"Vignette",'QA Log'!L:L,"Vignette [2]: Diarrhea with Cat B dehydration",'QA Log'!Z:Z,"Approved"),"")</f>
        <v/>
      </c>
      <c r="AZ378" s="105" t="str">
        <f>IF(A378&lt;&gt;"",COUNTIFS('QA Log'!D:D,A378,'QA Log'!M:M,"Vignette",'QA Log'!L:L,"Vignette [3] Growth Monitoring and Promotion",'QA Log'!Z:Z,"Approved"),"")</f>
        <v/>
      </c>
      <c r="BA378" s="105" t="str">
        <f>IF(A378&lt;&gt;"",COUNTIFS('QA Log'!D:D,A378,'QA Log'!M:M,"Vignette",'QA Log'!L:L,"Vignette [4]: The management of presumptive TB patient",'QA Log'!Z:Z,"Approved"),"")</f>
        <v/>
      </c>
      <c r="BB378" s="102" t="str">
        <f>IF(A378="","",
  SUM(
    COUNTIFS('QA Log'!D:D,A378,'QA Log'!M:M,"Vignette",'QA Log'!Z:Z,"Rejected",'QA Log'!L:L,"*Vignette [1] Respiratory Infection: Pneumonia*"),
    COUNTIFS('QA Log'!D:D,A378,'QA Log'!M:M,"Vignette",'QA Log'!Z:Z,"Rejected",'QA Log'!L:L,"*Vignette [2]: Diarrhea with Cat B dehydration*"),
    COUNTIFS('QA Log'!D:D,A378,'QA Log'!M:M,"Vignette",'QA Log'!Z:Z,"Rejected",'QA Log'!L:L,"*Vignette [3] Growth Monitoring and Promotion*"),
    COUNTIFS('QA Log'!D:D,A378,'QA Log'!M:M,"Vignette",'QA Log'!Z:Z,"Rejected",'QA Log'!L:L,"*Vignette [4]: The management of presumptive TB patient*")
  )
)</f>
        <v/>
      </c>
      <c r="BC378" s="107" t="str">
        <f t="shared" si="35"/>
        <v/>
      </c>
      <c r="BD378" s="103" t="str">
        <f t="shared" si="36"/>
        <v/>
      </c>
      <c r="BE378" s="102" t="str">
        <f>IF(A378="","",SUM(
COUNTIFS('QA Log'!D:D,A378,'QA Log'!M:M,"Vignette",'QA Log'!L:L,"*Vignette [5] Labor*"),
COUNTIFS('QA Log'!D:D,A378,'QA Log'!M:M,"Vignette",'QA Log'!L:L,"*Vignette [6] PNC pre Discharge*"),
COUNTIFS('QA Log'!D:D,A378,'QA Log'!M:M,"Vignette",'QA Log'!L:L,"*Vignette [7] First ANC Visit*"),
COUNTIFS('QA Log'!D:D,A378,'QA Log'!M:M,"Vignette",'QA Log'!L:L,"*Vignette [8] Birth Spacing/ Family Planning :  FP Counselling*"),
COUNTIFS('QA Log'!D:D,A378,'QA Log'!M:M,"Vignette",'QA Log'!L:L,"*Vignette [9] Birth Spacing: Change FP method to Injectable*"),
COUNTIFS('QA Log'!D:D,A378,'QA Log'!M:M,"Vignette",'QA Log'!L:L,"*Vignette [10] Post Partum Haemorrhage - Atonic Uterus at Health Centre*"),
)
)</f>
        <v/>
      </c>
      <c r="BF378" s="102" t="str">
        <f>IF(A378="","",
  SUM(
    COUNTIFS('QA Log'!D:D,A378,'QA Log'!M:M,"Vignette",'QA Log'!Z:Z,"Approved",'QA Log'!L:L,"*Vignette [5] Labor*"),
    COUNTIFS('QA Log'!D:D,A378,'QA Log'!M:M,"Vignette",'QA Log'!Z:Z,"Approved",'QA Log'!L:L,"*Vignette [6] PNC pre Discharge*"),
    COUNTIFS('QA Log'!D:D,A378,'QA Log'!M:M,"Vignette",'QA Log'!Z:Z,"Approved",'QA Log'!L:L,"*Vignette [7] First ANC Visit*"),
    COUNTIFS('QA Log'!D:D,A378,'QA Log'!M:M,"Vignette",'QA Log'!Z:Z,"Approved",'QA Log'!L:L,"*Vignette [8] Birth Spacing/ Family Planning :  FP Counselling*"),
    COUNTIFS('QA Log'!D:D,A378,'QA Log'!M:M,"Vignette",'QA Log'!Z:Z,"Approved",'QA Log'!L:L,"*Vignette [9] Birth Spacing: Change FP method to Injectable*"),
    COUNTIFS('QA Log'!D:D,A378,'QA Log'!M:M,"Vignette",'QA Log'!Z:Z,"Approved",'QA Log'!L:L,"*Vignette [10] Post Partum Haemorrhage - Atonic Uterus at Health Centre*")
  )
)</f>
        <v/>
      </c>
      <c r="BG378" s="105" t="str">
        <f>IF(A378&lt;&gt;"",COUNTIFS('QA Log'!D:D,A378,'QA Log'!M:M,"Vignette",'QA Log'!L:L,"Vignette [5] Labor",'QA Log'!Z:Z,"Approved"),"")</f>
        <v/>
      </c>
      <c r="BH378" s="105" t="str">
        <f>IF(A378&lt;&gt;"",COUNTIFS('QA Log'!D:D,A378,'QA Log'!M:M,"Vignette",'QA Log'!L:L,"Vignette [6] PNC pre Discharge",'QA Log'!Z:Z,"Approved"),"")</f>
        <v/>
      </c>
      <c r="BI378" s="105" t="str">
        <f>IF(A378&lt;&gt;"",COUNTIFS('QA Log'!D:D,A378,'QA Log'!M:M,"Vignette",'QA Log'!L:L,"Vignette [7] First ANC Visit",'QA Log'!Z:Z,"Approved"),"")</f>
        <v/>
      </c>
      <c r="BJ378" s="105" t="str">
        <f>IF(A378&lt;&gt;"",COUNTIFS('QA Log'!D:D,A378,'QA Log'!M:M,"Vignette",'QA Log'!L:L,"Vignette [8] Birth Spacing/ Family Planning :  FP Counselling",'QA Log'!Z:Z,"Approved"),"")</f>
        <v/>
      </c>
      <c r="BK378" s="105" t="str">
        <f>IF(A378&lt;&gt;"",COUNTIFS('QA Log'!D:D,A378,'QA Log'!M:M,"Vignette",'QA Log'!L:L,"Vignette [9] Birth Spacing: Change FP method to Injectable",'QA Log'!Z:Z,"Approved"),"")</f>
        <v/>
      </c>
      <c r="BL378" s="105" t="str">
        <f>IF(A378&lt;&gt;"",COUNTIFS('QA Log'!D:D,A378,'QA Log'!M:M,"Vignette",'QA Log'!L:L,"Vignette [10] Post Partum Haemorrhage - Atonic Uterus at Health Centre",'QA Log'!Z:Z,"Approved"),"")</f>
        <v/>
      </c>
      <c r="BM378" s="102" t="str">
        <f>IF(A378="","",SUM(
    COUNTIFS('QA Log'!D:D,A378,'QA Log'!M:M,"Vignette",'QA Log'!Z:Z,"Rejected",'QA Log'!L:L,"*Vignette [5] Labor*"),
    COUNTIFS('QA Log'!D:D,A378,'QA Log'!M:M,"Vignette",'QA Log'!Z:Z,"Rejected",'QA Log'!L:L,"*Vignette [6] PNC pre Discharge*"),
    COUNTIFS('QA Log'!D:D,A378,'QA Log'!M:M,"Vignette",'QA Log'!Z:Z,"Rejected",'QA Log'!L:L,"*Vignette [7] First ANC Visit*"),
    COUNTIFS('QA Log'!D:D,A378,'QA Log'!M:M,"Vignette",'QA Log'!Z:Z,"Rejected",'QA Log'!L:L,"*Vignette [8] Birth Spacing/ Family Planning :  FP Counselling*"),
    COUNTIFS('QA Log'!D:D,A378,'QA Log'!M:M,"Vignette",'QA Log'!Z:Z,"Rejected",'QA Log'!L:L,"*Vignette [9] Birth Spacing: Change FP method to Injectable*"),
    COUNTIFS('QA Log'!D:D,A378,'QA Log'!M:M,"Vignette",'QA Log'!Z:Z,"Rejected",'QA Log'!L:L,"*Vignette [10] Post Partum Haemorrhage - Atonic Uterus at Health Centre*")
  )
)</f>
        <v/>
      </c>
      <c r="BN378" s="107" t="str">
        <f t="shared" si="37"/>
        <v/>
      </c>
      <c r="BO378" s="103" t="str">
        <f t="shared" si="38"/>
        <v/>
      </c>
      <c r="BP378" s="102" t="str">
        <f>IF(A378="","",SUM(
COUNTIFS('QA Log'!D:D,A378,'QA Log'!M:M,"Vignette",'QA Log'!L:L,"*Exit Interview 1*"),
COUNTIFS('QA Log'!D:D,A378,'QA Log'!M:M,"Vignette",'QA Log'!L:L,"*Exit Interview 2*"),
)
)</f>
        <v/>
      </c>
      <c r="BQ378" s="102" t="str">
        <f>IF(
  A378="","",
  SUM(
    COUNTIFS('QA Log'!D:D,A378,'QA Log'!M:M,"Vignette",'QA Log'!Z:Z,"Approved",'QA Log'!L:L,"*Exit Interview 1*"),
    COUNTIFS('QA Log'!D:D,A378,'QA Log'!M:M,"Vignette",'QA Log'!Z:Z,"Approved",'QA Log'!L:L,"*Exit Interview 2*")
  )
)</f>
        <v/>
      </c>
      <c r="BR378" s="105" t="str">
        <f>IF(A378&lt;&gt;"",COUNTIFS('QA Log'!D:D,A378,'QA Log'!M:M,"Vignette",'QA Log'!L:L,"Exit Interview 1",'QA Log'!Z:Z,"Approved"),"")</f>
        <v/>
      </c>
      <c r="BS378" s="105" t="str">
        <f>IF(A378&lt;&gt;"",COUNTIFS('QA Log'!D:D,A378,'QA Log'!M:M,"Vignette",'QA Log'!L:L,"Exit Interview 2",'QA Log'!Z:Z,"Approved"),"")</f>
        <v/>
      </c>
      <c r="BT378" s="102" t="str">
        <f>IF(
  A378="","",
  SUM(
    COUNTIFS('QA Log'!D:D,A378,'QA Log'!M:M,"Vignette",'QA Log'!Z:Z,"Rejected",'QA Log'!L:L,"*Exit Interview 1*"),
    COUNTIFS('QA Log'!D:D,A378,'QA Log'!M:M,"Vignette",'QA Log'!Z:Z,"Rejected",'QA Log'!L:L,"*Exit Interview 2*")
  )
)</f>
        <v/>
      </c>
      <c r="BU378" s="107" t="str">
        <f t="shared" si="39"/>
        <v/>
      </c>
      <c r="BV378" s="102" t="str">
        <f t="shared" si="40"/>
        <v/>
      </c>
      <c r="BW378" s="102" t="str">
        <f t="shared" si="41"/>
        <v/>
      </c>
      <c r="BX378" s="102" t="str">
        <f t="shared" si="42"/>
        <v/>
      </c>
      <c r="BY378" s="102" t="str">
        <f t="shared" si="43"/>
        <v/>
      </c>
      <c r="BZ378" s="107" t="str">
        <f t="shared" si="44"/>
        <v/>
      </c>
      <c r="CA378" s="108" t="str">
        <f t="shared" si="45"/>
        <v/>
      </c>
      <c r="CB378" s="108" t="str">
        <f t="shared" si="46"/>
        <v/>
      </c>
      <c r="CC378" s="109" t="str">
        <f t="shared" si="47"/>
        <v/>
      </c>
      <c r="CD378" s="108" t="str">
        <f t="shared" si="48"/>
        <v/>
      </c>
      <c r="CE378" s="108" t="str">
        <f t="shared" si="49"/>
        <v/>
      </c>
      <c r="CF378" s="109" t="str">
        <f t="shared" si="50"/>
        <v/>
      </c>
      <c r="CG378" s="110" t="str">
        <f t="shared" si="51"/>
        <v/>
      </c>
      <c r="CH378" s="111"/>
    </row>
    <row r="379" spans="1:86" ht="12.75">
      <c r="A379" s="101"/>
      <c r="B379" s="102" t="e">
        <f t="array" aca="1" ref="B379" ca="1">_xludf.XLOOKUP(A379,'QA Log'!D:D,'QA Log'!E:E,"")</f>
        <v>#NAME?</v>
      </c>
      <c r="C379" s="102" t="e">
        <f t="array" aca="1" ref="C379" ca="1">_xludf.XLOOKUP(A379,'QA Log'!D:D,'QA Log'!F:F,"")</f>
        <v>#NAME?</v>
      </c>
      <c r="D379" s="102" t="e">
        <f t="array" aca="1" ref="D379" ca="1">_xludf.XLOOKUP(A379,'QA Log'!D:D,'QA Log'!H:H,"")</f>
        <v>#NAME?</v>
      </c>
      <c r="E379" s="102" t="e">
        <f t="array" aca="1" ref="E379" ca="1">_xludf.XLOOKUP(A379,'QA Log'!D:D,'QA Log'!G:G,"")</f>
        <v>#NAME?</v>
      </c>
      <c r="F379" s="103"/>
      <c r="G379" s="104"/>
      <c r="H379" s="104"/>
      <c r="I379" s="103" t="str">
        <f t="shared" si="26"/>
        <v/>
      </c>
      <c r="J379" s="102" t="str">
        <f>IF(A379="","",SUM(
COUNTIFS('QA Log'!D:D,A379,'QA Log'!M:M,"QQC",'QA Log'!L:L,"*1. General Management*"),
COUNTIFS('QA Log'!D:D,A379,'QA Log'!M:M,"QQC",'QA Log'!L:L,"*3. Curative Consultation (OPD)*"),
COUNTIFS('QA Log'!D:D,A379,'QA Log'!M:M,"QQC",'QA Log'!L:L,"*5. Laboratory*"),
COUNTIFS('QA Log'!D:D,A379,'QA Log'!M:M,"QQC",'QA Log'!L:L,"*6. Essential Medicine Management*"),
COUNTIFS('QA Log'!D:D,A379,'QA Log'!M:M,"QQC",'QA Log'!L:L,"*7. Tracer Medicine*"),
COUNTIFS('QA Log'!D:D,A379,'QA Log'!M:M,"QQC",'QA Log'!L:L,"*11. Additional Questions*")))</f>
        <v/>
      </c>
      <c r="K379" s="102" t="str">
        <f>IF(A379="","",SUM(
COUNTIFS('QA Log'!D:D,A379,'QA Log'!M:M,"QQC",'QA Log'!Z:Z,"Approved",'QA Log'!L:L,"*1. General Management*"),
COUNTIFS('QA Log'!D:D,A379,'QA Log'!M:M,"QQC",'QA Log'!Z:Z,"Approved",'QA Log'!L:L,"*3. Curative Consultation (OPD)*"),
COUNTIFS('QA Log'!D:D,A379,'QA Log'!M:M,"QQC",'QA Log'!Z:Z,"Approved",'QA Log'!L:L,"*5. Laboratory*"),
COUNTIFS('QA Log'!D:D,A379,'QA Log'!M:M,"QQC",'QA Log'!Z:Z,"Approved",'QA Log'!L:L,"*6. Essential Medicine Management*"),
COUNTIFS('QA Log'!D:D,A379,'QA Log'!M:M,"QQC",'QA Log'!Z:Z,"Approved",'QA Log'!L:L,"*7. Tracer Medicine*"),
COUNTIFS('QA Log'!D:D,A379,'QA Log'!M:M,"QQC",'QA Log'!Z:Z,"Approved",'QA Log'!L:L,"*11. Additional Questions*")))</f>
        <v/>
      </c>
      <c r="L379" s="102" t="str">
        <f>IF(A379&lt;&gt;"",COUNTIFS('QA Log'!D:D,A379,'QA Log'!M:M,"QQC",'QA Log'!L:L,"1. General Management",'QA Log'!Z:Z,"Approved"),"")</f>
        <v/>
      </c>
      <c r="M379" s="102" t="str">
        <f>IF(A379&lt;&gt;"",COUNTIFS('QA Log'!D:D,A379,'QA Log'!M:M,"QQC",'QA Log'!L:L,"3. Curative Consultation (OPD)",'QA Log'!Z:Z,"Approved"),"")</f>
        <v/>
      </c>
      <c r="N379" s="102" t="str">
        <f>IF(A379&lt;&gt;"",COUNTIFS('QA Log'!D:D,A379,'QA Log'!M:M,"QQC",'QA Log'!L:L,"5. Laboratory",'QA Log'!Z:Z,"Approved"),"")</f>
        <v/>
      </c>
      <c r="O379" s="102" t="str">
        <f>IF(A379&lt;&gt;"",COUNTIFS('QA Log'!D:D,A379,'QA Log'!M:M,"QQC",'QA Log'!L:L,"6. Essential Medicine Management",'QA Log'!Z:Z,"Approved"),"")</f>
        <v/>
      </c>
      <c r="P379" s="102" t="str">
        <f>IF(A379&lt;&gt;"",COUNTIFS('QA Log'!D:D,A379,'QA Log'!M:M,"QQC",'QA Log'!L:L,"7. Tracer Medicine",'QA Log'!Z:Z,"Approved"),"")</f>
        <v/>
      </c>
      <c r="Q379" s="102" t="str">
        <f>IF(A379&lt;&gt;"",COUNTIFS('QA Log'!D:D,A379,'QA Log'!M:M,"QQC",'QA Log'!L:L,"11. Additional Questions",'QA Log'!Z:Z,"Approved"),"")</f>
        <v/>
      </c>
      <c r="R379" s="102" t="str">
        <f>IF(A379="","",SUM(
COUNTIFS('QA Log'!D:D,A379,'QA Log'!M:M,"QQC",'QA Log'!Z:Z,"Rejected",'QA Log'!L:L,"*8. Maternity*"),
COUNTIFS('QA Log'!D:D,A379,'QA Log'!M:M,"QQC",'QA Log'!Z:Z,"Rejected",'QA Log'!L:L,"*EPI*"),
COUNTIFS('QA Log'!D:D,A379,'QA Log'!M:M,"QQC",'QA Log'!Z:Z,"Rejected",'QA Log'!L:L,"*10. Antenatal Care (ANC)*"),
COUNTIFS('QA Log'!D:D,A379,'QA Log'!M:M,"QQC",'QA Log'!Z:Z,"Rejected",'QA Log'!L:L,"*2. Hygiene and Sterilization*"),
COUNTIFS('QA Log'!D:D,A379,'QA Log'!M:M,"QQC",'QA Log'!Z:Z,"Rejected",'QA Log'!L:L,"*Family Planning*")))</f>
        <v/>
      </c>
      <c r="S379" s="106" t="str">
        <f t="shared" si="27"/>
        <v/>
      </c>
      <c r="T379" s="102" t="str">
        <f t="shared" si="28"/>
        <v/>
      </c>
      <c r="U379" s="102" t="str">
        <f>IF(A379="","",
SUM(
COUNTIFS('QA Log'!D:D,A379,'QA Log'!M:M,"QQC",'QA Log'!L:L,"*8. Maternity*"),
COUNTIFS('QA Log'!D:D,A379,'QA Log'!M:M,"QQC",'QA Log'!L:L,"*9. EPI and Pre-school Consultation*"),
COUNTIFS('QA Log'!D:D,A379,'QA Log'!M:M,"QQC",'QA Log'!L:L,"*10. Antenatal Care (ANC)*"),
COUNTIFS('QA Log'!D:D,A379,'QA Log'!M:M,"QQC",'QA Log'!L:L,"*2. Hygiene and Sterilization*"),
COUNTIFS('QA Log'!D:D,A379,'QA Log'!M:M,"QQC",'QA Log'!L:L,"*4. Family Planning*")
))</f>
        <v/>
      </c>
      <c r="V379" s="102" t="str">
        <f>IF(A379="","",
SUM(
COUNTIFS('QA Log'!D:D,A379,'QA Log'!M:M,"QQC",'QA Log'!Z:Z,"Approved",'QA Log'!L:L,"*8. Maternity*"),
COUNTIFS('QA Log'!D:D,A379,'QA Log'!M:M,"QQC",'QA Log'!Z:Z,"Approved",'QA Log'!L:L,"*9. EPI and Pre-school Consultation*"),
COUNTIFS('QA Log'!D:D,A379,'QA Log'!M:M,"QQC",'QA Log'!Z:Z,"Approved",'QA Log'!L:L,"*10. Antenatal Care (ANC)*"),
COUNTIFS('QA Log'!D:D,A379,'QA Log'!M:M,"QQC",'QA Log'!Z:Z,"Approved",'QA Log'!L:L,"*2. Hygiene and Sterilization*"),
COUNTIFS('QA Log'!D:D,A379,'QA Log'!M:M,"QQC",'QA Log'!Z:Z,"Approved",'QA Log'!L:L,"*4. Family Planning*")
))</f>
        <v/>
      </c>
      <c r="W379" s="105" t="str">
        <f>IF(A379&lt;&gt;"",COUNTIFS('QA Log'!D:D,A379,'QA Log'!M:M,"QQC",'QA Log'!L:L,"8. Maternity",'QA Log'!Z:Z,"Approved"),"")</f>
        <v/>
      </c>
      <c r="X379" s="105" t="str">
        <f>IF(A379&lt;&gt;"",COUNTIFS('QA Log'!D:D,A379,'QA Log'!M:M,"QQC",'QA Log'!L:L,"9. EPI and Pre-school Consultation",'QA Log'!Z:Z,"Approved"),"")</f>
        <v/>
      </c>
      <c r="Y379" s="105" t="str">
        <f>IF(A379&lt;&gt;"",COUNTIFS('QA Log'!D:D,A379,'QA Log'!M:M,"QQC",'QA Log'!L:L,"10. Antenatal Care (ANC)",'QA Log'!Z:Z,"Approved"),"")</f>
        <v/>
      </c>
      <c r="Z379" s="105" t="str">
        <f>IF(A379&lt;&gt;"",COUNTIFS('QA Log'!D:D,A379,'QA Log'!M:M,"QQC",'QA Log'!L:L,"2. Hygiene and Sterilization",'QA Log'!Z:Z,"Approved"),"")</f>
        <v/>
      </c>
      <c r="AA379" s="105" t="str">
        <f>IF(A379&lt;&gt;"",COUNTIFS('QA Log'!D:D,A379,'QA Log'!M:M,"QQC",'QA Log'!L:L,"4. Family Planning",'QA Log'!Z:Z,"Approved"),"")</f>
        <v/>
      </c>
      <c r="AB379" s="102" t="str">
        <f>IF(A379="","",
SUM(
COUNTIFS('QA Log'!D:D,A379,'QA Log'!M:M,"QQC",'QA Log'!Z:Z,"Rejected",'QA Log'!L:L,"*8. Maternity*"),
COUNTIFS('QA Log'!D:D,A379,'QA Log'!M:M,"QQC",'QA Log'!Z:Z,"Rejected",'QA Log'!L:L,"*9. EPI and Pre-school Consultation*"),
COUNTIFS('QA Log'!D:D,A379,'QA Log'!M:M,"QQC",'QA Log'!Z:Z,"Rejected",'QA Log'!L:L,"*10. Antenatal Care (ANC)*"),
COUNTIFS('QA Log'!D:D,A379,'QA Log'!M:M,"QQC",'QA Log'!Z:Z,"Rejected",'QA Log'!L:L,"*2. Hygiene and Sterilization*"),
COUNTIFS('QA Log'!D:D,A379,'QA Log'!M:M,"QQC",'QA Log'!Z:Z,"Rejected",'QA Log'!L:L,"*4. Family Planning*")
))</f>
        <v/>
      </c>
      <c r="AC379" s="102" t="str">
        <f t="shared" si="29"/>
        <v/>
      </c>
      <c r="AD379" s="103" t="str">
        <f t="shared" si="30"/>
        <v/>
      </c>
      <c r="AE379" s="102" t="str">
        <f>IF(A379="","",
SUM(
COUNTIFS('QA Log'!D:D,A379,'QA Log'!M:M,"Data Verification",'QA Log'!L:L,"*Medicine (section 2)*"),
COUNTIFS('QA Log'!D:D,A379,'QA Log'!M:M,"Data Verification",'QA Log'!L:L,"*Lab Testing Availability*"),
COUNTIFS('QA Log'!D:D,A379,'QA Log'!M:M,"Data Verification",'QA Log'!L:L,"*Other than P4P (section 6)*"),
COUNTIFS('QA Log'!D:D,A379,'QA Log'!M:M,"Data Verification",'QA Log'!L:L,"*Hospital Governance*")
))</f>
        <v/>
      </c>
      <c r="AF379" s="102" t="str">
        <f>IF(A379="","",
SUM(
COUNTIFS('QA Log'!D:D,A379,'QA Log'!M:M,"Data Verification",'QA Log'!Z:Z,"Approved",'QA Log'!L:L,"*Medicine (section 2)*"),
COUNTIFS('QA Log'!D:D,A379,'QA Log'!M:M,"Data Verification",'QA Log'!Z:Z,"Approved",'QA Log'!L:L,"*Lab Testing Availability*"),
COUNTIFS('QA Log'!D:D,A379,'QA Log'!M:M,"Data Verification",'QA Log'!Z:Z,"Approved",'QA Log'!L:L,"*Other than P4P (section 6)*"),
COUNTIFS('QA Log'!D:D,A379,'QA Log'!M:M,"Data Verification",'QA Log'!Z:Z,"Approved",'QA Log'!L:L,"*Hospital Governance*")
))</f>
        <v/>
      </c>
      <c r="AG379" s="105" t="str">
        <f>IF(A379&lt;&gt;"",COUNTIFS('QA Log'!D:D,A379,'QA Log'!M:M,"Data Verification",'QA Log'!L:L,"Medicine (section 2)",'QA Log'!Z:Z,"Approved"),"")</f>
        <v/>
      </c>
      <c r="AH379" s="105" t="str">
        <f>IF(A379&lt;&gt;"",COUNTIFS('QA Log'!D:D,A379,'QA Log'!M:M,"Data Verification",'QA Log'!L:L,"Lab Testing Availability",'QA Log'!Z:Z,"Approved"),"")</f>
        <v/>
      </c>
      <c r="AI379" s="105" t="str">
        <f>IF(A379&lt;&gt;"",COUNTIFS('QA Log'!D:D,A379,'QA Log'!M:M,"Data Verification",'QA Log'!L:L,"Other than P4P (section 6)",'QA Log'!Z:Z,"Approved"),"")</f>
        <v/>
      </c>
      <c r="AJ379" s="105" t="str">
        <f>IF(A379&lt;&gt;"",COUNTIFS('QA Log'!D:D,A379,'QA Log'!M:M,"Data Verification",'QA Log'!L:L,"Hospital Governance",'QA Log'!Z:Z,"Approved"),"")</f>
        <v/>
      </c>
      <c r="AK379" s="102" t="str">
        <f>IF(A379="","",
SUM(
COUNTIFS('QA Log'!D:D,A379,'QA Log'!M:M,"Data Verification",'QA Log'!Z:Z,"Rejected",'QA Log'!L:L,"*Medicine (section 2)*"),
COUNTIFS('QA Log'!D:D,A379,'QA Log'!M:M,"Data Verification",'QA Log'!Z:Z,"Rejected",'QA Log'!L:L,"*Lab Testing Availability*"),
COUNTIFS('QA Log'!D:D,A379,'QA Log'!M:M,"Data Verification",'QA Log'!Z:Z,"Rejected",'QA Log'!L:L,"*Other than P4P (section 6)*"),
COUNTIFS('QA Log'!D:D,A379,'QA Log'!M:M,"Data Verification",'QA Log'!Z:Z,"Rejected",'QA Log'!L:L,"*Hospital Governance*")
))</f>
        <v/>
      </c>
      <c r="AL379" s="106" t="str">
        <f t="shared" si="31"/>
        <v/>
      </c>
      <c r="AM379" s="102" t="str">
        <f t="shared" si="32"/>
        <v/>
      </c>
      <c r="AN379" s="102" t="str">
        <f>IF(A379="","",
SUM(
COUNTIFS('QA Log'!D:D,A379,'QA Log'!M:M,"Data Verification",'QA Log'!L:L,"*Personnel (section 1)*"),
COUNTIFS('QA Log'!D:D,A379,'QA Log'!M:M,"Data Verification",'QA Log'!L:L,"*Consumable (section 3)*"),
COUNTIFS('QA Log'!D:D,A379,'QA Log'!M:M,"Data Verification",'QA Log'!L:L,"*Equipments (section 4)*")
))</f>
        <v/>
      </c>
      <c r="AO379" s="102" t="str">
        <f>IF(A379="","",
SUM(
COUNTIFS('QA Log'!D:D,A379,'QA Log'!M:M,"Data Verification",'QA Log'!Z:Z,"Approved",'QA Log'!L:L,"*Personnel (section 1)*"),
COUNTIFS('QA Log'!D:D,A379,'QA Log'!M:M,"Data Verification",'QA Log'!Z:Z,"Approved",'QA Log'!L:L,"*Consumable (section 3)*"),
COUNTIFS('QA Log'!D:D,A379,'QA Log'!M:M,"Data Verification",'QA Log'!Z:Z,"Approved",'QA Log'!L:L,"*Equipments (section 4)*")
))</f>
        <v/>
      </c>
      <c r="AP379" s="105" t="str">
        <f>IF(A379&lt;&gt;"",COUNTIFS('QA Log'!D:D,A379,'QA Log'!M:M,"Data Verification",'QA Log'!L:L,"Personnel (section 1)",'QA Log'!Z:Z,"Approved"),"")</f>
        <v/>
      </c>
      <c r="AQ379" s="105" t="str">
        <f>IF(A379&lt;&gt;"",COUNTIFS('QA Log'!D:D,A379,'QA Log'!M:M,"Data Verification",'QA Log'!L:L,"Consumable (section 3)",'QA Log'!Z:Z,"Approved"),"")</f>
        <v/>
      </c>
      <c r="AR379" s="105" t="str">
        <f>IF(A379&lt;&gt;"",COUNTIFS('QA Log'!D:D,A379,'QA Log'!M:M,"Data Verification",'QA Log'!L:L,"Equipments (section 4)",'QA Log'!Z:Z,"Approved"),"")</f>
        <v/>
      </c>
      <c r="AS379" s="102" t="str">
        <f>IF(A379="","",
SUM(
COUNTIFS('QA Log'!D:D,A379,'QA Log'!M:M,"Data Verification",'QA Log'!Z:Z,"Rejected",'QA Log'!L:L,"*Personnel (section 1)*"),
COUNTIFS('QA Log'!D:D,A379,'QA Log'!M:M,"Data Verification",'QA Log'!Z:Z,"Rejected",'QA Log'!L:L,"*Consumable (section 3)*"),
COUNTIFS('QA Log'!D:D,A379,'QA Log'!M:M,"Data Verification",'QA Log'!Z:Z,"Rejected",'QA Log'!L:L,"*Equipments (section 4)*")
))</f>
        <v/>
      </c>
      <c r="AT379" s="102" t="str">
        <f t="shared" si="33"/>
        <v/>
      </c>
      <c r="AU379" s="103" t="str">
        <f t="shared" si="34"/>
        <v/>
      </c>
      <c r="AV379" s="102" t="str">
        <f>IF(A379="","",SUM(
COUNTIFS('QA Log'!D:D,A379,'QA Log'!M:M,"Vignette",'QA Log'!L:L,"*Vignette [1] Respiratory Infection: Pneumonia*"),
COUNTIFS('QA Log'!D:D,A379,'QA Log'!M:M,"Vignette",'QA Log'!L:L,"*Vignette [2]: Diarrhea with Cat B dehydration*"),
COUNTIFS('QA Log'!D:D,A379,'QA Log'!M:M,"Vignette",'QA Log'!L:L,"*Vignette [3] Growth Monitoring and Promotion*"),
COUNTIFS('QA Log'!D:D,A379,'QA Log'!M:M,"Vignette",'QA Log'!L:L,"*Vignette [4]: The management of presumptive TB patient*")
)
)</f>
        <v/>
      </c>
      <c r="AW379" s="102" t="str">
        <f>IF(
  A379="","",
  SUM(
    COUNTIFS('QA Log'!D:D,A379,'QA Log'!M:M,"Vignette",'QA Log'!Z:Z,"Approved",'QA Log'!L:L,"*Vignette [1] Respiratory Infection: Pneumonia*"),
    COUNTIFS('QA Log'!D:D,A379,'QA Log'!M:M,"Vignette",'QA Log'!Z:Z,"Approved",'QA Log'!L:L,"*Vignette [2]: Diarrhea with Cat B dehydration*"),
    COUNTIFS('QA Log'!D:D,A379,'QA Log'!M:M,"Vignette",'QA Log'!Z:Z,"Approved",'QA Log'!L:L,"*Vignette [3] Growth Monitoring and Promotion*"),
    COUNTIFS('QA Log'!D:D,A379,'QA Log'!M:M,"Vignette",'QA Log'!Z:Z,"Approved",'QA Log'!L:L,"*Vignette [4]: The management of presumptive TB patient*")
  )
)</f>
        <v/>
      </c>
      <c r="AX379" s="105" t="str">
        <f>IF(A379&lt;&gt;"",COUNTIFS('QA Log'!D:D,A379,'QA Log'!M:M,"Vignette",'QA Log'!L:L,"Vignette [1] Respiratory Infection: Pneumonia",'QA Log'!Z:Z,"Approved"),"")</f>
        <v/>
      </c>
      <c r="AY379" s="105" t="str">
        <f>IF(A379&lt;&gt;"",COUNTIFS('QA Log'!D:D,A379,'QA Log'!M:M,"Vignette",'QA Log'!L:L,"Vignette [2]: Diarrhea with Cat B dehydration",'QA Log'!Z:Z,"Approved"),"")</f>
        <v/>
      </c>
      <c r="AZ379" s="105" t="str">
        <f>IF(A379&lt;&gt;"",COUNTIFS('QA Log'!D:D,A379,'QA Log'!M:M,"Vignette",'QA Log'!L:L,"Vignette [3] Growth Monitoring and Promotion",'QA Log'!Z:Z,"Approved"),"")</f>
        <v/>
      </c>
      <c r="BA379" s="105" t="str">
        <f>IF(A379&lt;&gt;"",COUNTIFS('QA Log'!D:D,A379,'QA Log'!M:M,"Vignette",'QA Log'!L:L,"Vignette [4]: The management of presumptive TB patient",'QA Log'!Z:Z,"Approved"),"")</f>
        <v/>
      </c>
      <c r="BB379" s="102" t="str">
        <f>IF(A379="","",
  SUM(
    COUNTIFS('QA Log'!D:D,A379,'QA Log'!M:M,"Vignette",'QA Log'!Z:Z,"Rejected",'QA Log'!L:L,"*Vignette [1] Respiratory Infection: Pneumonia*"),
    COUNTIFS('QA Log'!D:D,A379,'QA Log'!M:M,"Vignette",'QA Log'!Z:Z,"Rejected",'QA Log'!L:L,"*Vignette [2]: Diarrhea with Cat B dehydration*"),
    COUNTIFS('QA Log'!D:D,A379,'QA Log'!M:M,"Vignette",'QA Log'!Z:Z,"Rejected",'QA Log'!L:L,"*Vignette [3] Growth Monitoring and Promotion*"),
    COUNTIFS('QA Log'!D:D,A379,'QA Log'!M:M,"Vignette",'QA Log'!Z:Z,"Rejected",'QA Log'!L:L,"*Vignette [4]: The management of presumptive TB patient*")
  )
)</f>
        <v/>
      </c>
      <c r="BC379" s="107" t="str">
        <f t="shared" si="35"/>
        <v/>
      </c>
      <c r="BD379" s="103" t="str">
        <f t="shared" si="36"/>
        <v/>
      </c>
      <c r="BE379" s="102" t="str">
        <f>IF(A379="","",SUM(
COUNTIFS('QA Log'!D:D,A379,'QA Log'!M:M,"Vignette",'QA Log'!L:L,"*Vignette [5] Labor*"),
COUNTIFS('QA Log'!D:D,A379,'QA Log'!M:M,"Vignette",'QA Log'!L:L,"*Vignette [6] PNC pre Discharge*"),
COUNTIFS('QA Log'!D:D,A379,'QA Log'!M:M,"Vignette",'QA Log'!L:L,"*Vignette [7] First ANC Visit*"),
COUNTIFS('QA Log'!D:D,A379,'QA Log'!M:M,"Vignette",'QA Log'!L:L,"*Vignette [8] Birth Spacing/ Family Planning :  FP Counselling*"),
COUNTIFS('QA Log'!D:D,A379,'QA Log'!M:M,"Vignette",'QA Log'!L:L,"*Vignette [9] Birth Spacing: Change FP method to Injectable*"),
COUNTIFS('QA Log'!D:D,A379,'QA Log'!M:M,"Vignette",'QA Log'!L:L,"*Vignette [10] Post Partum Haemorrhage - Atonic Uterus at Health Centre*"),
)
)</f>
        <v/>
      </c>
      <c r="BF379" s="102" t="str">
        <f>IF(A379="","",
  SUM(
    COUNTIFS('QA Log'!D:D,A379,'QA Log'!M:M,"Vignette",'QA Log'!Z:Z,"Approved",'QA Log'!L:L,"*Vignette [5] Labor*"),
    COUNTIFS('QA Log'!D:D,A379,'QA Log'!M:M,"Vignette",'QA Log'!Z:Z,"Approved",'QA Log'!L:L,"*Vignette [6] PNC pre Discharge*"),
    COUNTIFS('QA Log'!D:D,A379,'QA Log'!M:M,"Vignette",'QA Log'!Z:Z,"Approved",'QA Log'!L:L,"*Vignette [7] First ANC Visit*"),
    COUNTIFS('QA Log'!D:D,A379,'QA Log'!M:M,"Vignette",'QA Log'!Z:Z,"Approved",'QA Log'!L:L,"*Vignette [8] Birth Spacing/ Family Planning :  FP Counselling*"),
    COUNTIFS('QA Log'!D:D,A379,'QA Log'!M:M,"Vignette",'QA Log'!Z:Z,"Approved",'QA Log'!L:L,"*Vignette [9] Birth Spacing: Change FP method to Injectable*"),
    COUNTIFS('QA Log'!D:D,A379,'QA Log'!M:M,"Vignette",'QA Log'!Z:Z,"Approved",'QA Log'!L:L,"*Vignette [10] Post Partum Haemorrhage - Atonic Uterus at Health Centre*")
  )
)</f>
        <v/>
      </c>
      <c r="BG379" s="105" t="str">
        <f>IF(A379&lt;&gt;"",COUNTIFS('QA Log'!D:D,A379,'QA Log'!M:M,"Vignette",'QA Log'!L:L,"Vignette [5] Labor",'QA Log'!Z:Z,"Approved"),"")</f>
        <v/>
      </c>
      <c r="BH379" s="105" t="str">
        <f>IF(A379&lt;&gt;"",COUNTIFS('QA Log'!D:D,A379,'QA Log'!M:M,"Vignette",'QA Log'!L:L,"Vignette [6] PNC pre Discharge",'QA Log'!Z:Z,"Approved"),"")</f>
        <v/>
      </c>
      <c r="BI379" s="105" t="str">
        <f>IF(A379&lt;&gt;"",COUNTIFS('QA Log'!D:D,A379,'QA Log'!M:M,"Vignette",'QA Log'!L:L,"Vignette [7] First ANC Visit",'QA Log'!Z:Z,"Approved"),"")</f>
        <v/>
      </c>
      <c r="BJ379" s="105" t="str">
        <f>IF(A379&lt;&gt;"",COUNTIFS('QA Log'!D:D,A379,'QA Log'!M:M,"Vignette",'QA Log'!L:L,"Vignette [8] Birth Spacing/ Family Planning :  FP Counselling",'QA Log'!Z:Z,"Approved"),"")</f>
        <v/>
      </c>
      <c r="BK379" s="105" t="str">
        <f>IF(A379&lt;&gt;"",COUNTIFS('QA Log'!D:D,A379,'QA Log'!M:M,"Vignette",'QA Log'!L:L,"Vignette [9] Birth Spacing: Change FP method to Injectable",'QA Log'!Z:Z,"Approved"),"")</f>
        <v/>
      </c>
      <c r="BL379" s="105" t="str">
        <f>IF(A379&lt;&gt;"",COUNTIFS('QA Log'!D:D,A379,'QA Log'!M:M,"Vignette",'QA Log'!L:L,"Vignette [10] Post Partum Haemorrhage - Atonic Uterus at Health Centre",'QA Log'!Z:Z,"Approved"),"")</f>
        <v/>
      </c>
      <c r="BM379" s="102" t="str">
        <f>IF(A379="","",SUM(
    COUNTIFS('QA Log'!D:D,A379,'QA Log'!M:M,"Vignette",'QA Log'!Z:Z,"Rejected",'QA Log'!L:L,"*Vignette [5] Labor*"),
    COUNTIFS('QA Log'!D:D,A379,'QA Log'!M:M,"Vignette",'QA Log'!Z:Z,"Rejected",'QA Log'!L:L,"*Vignette [6] PNC pre Discharge*"),
    COUNTIFS('QA Log'!D:D,A379,'QA Log'!M:M,"Vignette",'QA Log'!Z:Z,"Rejected",'QA Log'!L:L,"*Vignette [7] First ANC Visit*"),
    COUNTIFS('QA Log'!D:D,A379,'QA Log'!M:M,"Vignette",'QA Log'!Z:Z,"Rejected",'QA Log'!L:L,"*Vignette [8] Birth Spacing/ Family Planning :  FP Counselling*"),
    COUNTIFS('QA Log'!D:D,A379,'QA Log'!M:M,"Vignette",'QA Log'!Z:Z,"Rejected",'QA Log'!L:L,"*Vignette [9] Birth Spacing: Change FP method to Injectable*"),
    COUNTIFS('QA Log'!D:D,A379,'QA Log'!M:M,"Vignette",'QA Log'!Z:Z,"Rejected",'QA Log'!L:L,"*Vignette [10] Post Partum Haemorrhage - Atonic Uterus at Health Centre*")
  )
)</f>
        <v/>
      </c>
      <c r="BN379" s="107" t="str">
        <f t="shared" si="37"/>
        <v/>
      </c>
      <c r="BO379" s="103" t="str">
        <f t="shared" si="38"/>
        <v/>
      </c>
      <c r="BP379" s="102" t="str">
        <f>IF(A379="","",SUM(
COUNTIFS('QA Log'!D:D,A379,'QA Log'!M:M,"Vignette",'QA Log'!L:L,"*Exit Interview 1*"),
COUNTIFS('QA Log'!D:D,A379,'QA Log'!M:M,"Vignette",'QA Log'!L:L,"*Exit Interview 2*"),
)
)</f>
        <v/>
      </c>
      <c r="BQ379" s="102" t="str">
        <f>IF(
  A379="","",
  SUM(
    COUNTIFS('QA Log'!D:D,A379,'QA Log'!M:M,"Vignette",'QA Log'!Z:Z,"Approved",'QA Log'!L:L,"*Exit Interview 1*"),
    COUNTIFS('QA Log'!D:D,A379,'QA Log'!M:M,"Vignette",'QA Log'!Z:Z,"Approved",'QA Log'!L:L,"*Exit Interview 2*")
  )
)</f>
        <v/>
      </c>
      <c r="BR379" s="105" t="str">
        <f>IF(A379&lt;&gt;"",COUNTIFS('QA Log'!D:D,A379,'QA Log'!M:M,"Vignette",'QA Log'!L:L,"Exit Interview 1",'QA Log'!Z:Z,"Approved"),"")</f>
        <v/>
      </c>
      <c r="BS379" s="105" t="str">
        <f>IF(A379&lt;&gt;"",COUNTIFS('QA Log'!D:D,A379,'QA Log'!M:M,"Vignette",'QA Log'!L:L,"Exit Interview 2",'QA Log'!Z:Z,"Approved"),"")</f>
        <v/>
      </c>
      <c r="BT379" s="102" t="str">
        <f>IF(
  A379="","",
  SUM(
    COUNTIFS('QA Log'!D:D,A379,'QA Log'!M:M,"Vignette",'QA Log'!Z:Z,"Rejected",'QA Log'!L:L,"*Exit Interview 1*"),
    COUNTIFS('QA Log'!D:D,A379,'QA Log'!M:M,"Vignette",'QA Log'!Z:Z,"Rejected",'QA Log'!L:L,"*Exit Interview 2*")
  )
)</f>
        <v/>
      </c>
      <c r="BU379" s="107" t="str">
        <f t="shared" si="39"/>
        <v/>
      </c>
      <c r="BV379" s="102" t="str">
        <f t="shared" si="40"/>
        <v/>
      </c>
      <c r="BW379" s="102" t="str">
        <f t="shared" si="41"/>
        <v/>
      </c>
      <c r="BX379" s="102" t="str">
        <f t="shared" si="42"/>
        <v/>
      </c>
      <c r="BY379" s="102" t="str">
        <f t="shared" si="43"/>
        <v/>
      </c>
      <c r="BZ379" s="107" t="str">
        <f t="shared" si="44"/>
        <v/>
      </c>
      <c r="CA379" s="108" t="str">
        <f t="shared" si="45"/>
        <v/>
      </c>
      <c r="CB379" s="108" t="str">
        <f t="shared" si="46"/>
        <v/>
      </c>
      <c r="CC379" s="109" t="str">
        <f t="shared" si="47"/>
        <v/>
      </c>
      <c r="CD379" s="108" t="str">
        <f t="shared" si="48"/>
        <v/>
      </c>
      <c r="CE379" s="108" t="str">
        <f t="shared" si="49"/>
        <v/>
      </c>
      <c r="CF379" s="109" t="str">
        <f t="shared" si="50"/>
        <v/>
      </c>
      <c r="CG379" s="110" t="str">
        <f t="shared" si="51"/>
        <v/>
      </c>
      <c r="CH379" s="111"/>
    </row>
    <row r="380" spans="1:86" ht="12.75">
      <c r="A380" s="101"/>
      <c r="B380" s="102" t="e">
        <f t="array" aca="1" ref="B380" ca="1">_xludf.XLOOKUP(A380,'QA Log'!D:D,'QA Log'!E:E,"")</f>
        <v>#NAME?</v>
      </c>
      <c r="C380" s="102" t="e">
        <f t="array" aca="1" ref="C380" ca="1">_xludf.XLOOKUP(A380,'QA Log'!D:D,'QA Log'!F:F,"")</f>
        <v>#NAME?</v>
      </c>
      <c r="D380" s="102" t="e">
        <f t="array" aca="1" ref="D380" ca="1">_xludf.XLOOKUP(A380,'QA Log'!D:D,'QA Log'!H:H,"")</f>
        <v>#NAME?</v>
      </c>
      <c r="E380" s="102" t="e">
        <f t="array" aca="1" ref="E380" ca="1">_xludf.XLOOKUP(A380,'QA Log'!D:D,'QA Log'!G:G,"")</f>
        <v>#NAME?</v>
      </c>
      <c r="F380" s="103"/>
      <c r="G380" s="104"/>
      <c r="H380" s="104"/>
      <c r="I380" s="103" t="str">
        <f t="shared" si="26"/>
        <v/>
      </c>
      <c r="J380" s="102" t="str">
        <f>IF(A380="","",SUM(
COUNTIFS('QA Log'!D:D,A380,'QA Log'!M:M,"QQC",'QA Log'!L:L,"*1. General Management*"),
COUNTIFS('QA Log'!D:D,A380,'QA Log'!M:M,"QQC",'QA Log'!L:L,"*3. Curative Consultation (OPD)*"),
COUNTIFS('QA Log'!D:D,A380,'QA Log'!M:M,"QQC",'QA Log'!L:L,"*5. Laboratory*"),
COUNTIFS('QA Log'!D:D,A380,'QA Log'!M:M,"QQC",'QA Log'!L:L,"*6. Essential Medicine Management*"),
COUNTIFS('QA Log'!D:D,A380,'QA Log'!M:M,"QQC",'QA Log'!L:L,"*7. Tracer Medicine*"),
COUNTIFS('QA Log'!D:D,A380,'QA Log'!M:M,"QQC",'QA Log'!L:L,"*11. Additional Questions*")))</f>
        <v/>
      </c>
      <c r="K380" s="102" t="str">
        <f>IF(A380="","",SUM(
COUNTIFS('QA Log'!D:D,A380,'QA Log'!M:M,"QQC",'QA Log'!Z:Z,"Approved",'QA Log'!L:L,"*1. General Management*"),
COUNTIFS('QA Log'!D:D,A380,'QA Log'!M:M,"QQC",'QA Log'!Z:Z,"Approved",'QA Log'!L:L,"*3. Curative Consultation (OPD)*"),
COUNTIFS('QA Log'!D:D,A380,'QA Log'!M:M,"QQC",'QA Log'!Z:Z,"Approved",'QA Log'!L:L,"*5. Laboratory*"),
COUNTIFS('QA Log'!D:D,A380,'QA Log'!M:M,"QQC",'QA Log'!Z:Z,"Approved",'QA Log'!L:L,"*6. Essential Medicine Management*"),
COUNTIFS('QA Log'!D:D,A380,'QA Log'!M:M,"QQC",'QA Log'!Z:Z,"Approved",'QA Log'!L:L,"*7. Tracer Medicine*"),
COUNTIFS('QA Log'!D:D,A380,'QA Log'!M:M,"QQC",'QA Log'!Z:Z,"Approved",'QA Log'!L:L,"*11. Additional Questions*")))</f>
        <v/>
      </c>
      <c r="L380" s="102" t="str">
        <f>IF(A380&lt;&gt;"",COUNTIFS('QA Log'!D:D,A380,'QA Log'!M:M,"QQC",'QA Log'!L:L,"1. General Management",'QA Log'!Z:Z,"Approved"),"")</f>
        <v/>
      </c>
      <c r="M380" s="102" t="str">
        <f>IF(A380&lt;&gt;"",COUNTIFS('QA Log'!D:D,A380,'QA Log'!M:M,"QQC",'QA Log'!L:L,"3. Curative Consultation (OPD)",'QA Log'!Z:Z,"Approved"),"")</f>
        <v/>
      </c>
      <c r="N380" s="102" t="str">
        <f>IF(A380&lt;&gt;"",COUNTIFS('QA Log'!D:D,A380,'QA Log'!M:M,"QQC",'QA Log'!L:L,"5. Laboratory",'QA Log'!Z:Z,"Approved"),"")</f>
        <v/>
      </c>
      <c r="O380" s="102" t="str">
        <f>IF(A380&lt;&gt;"",COUNTIFS('QA Log'!D:D,A380,'QA Log'!M:M,"QQC",'QA Log'!L:L,"6. Essential Medicine Management",'QA Log'!Z:Z,"Approved"),"")</f>
        <v/>
      </c>
      <c r="P380" s="102" t="str">
        <f>IF(A380&lt;&gt;"",COUNTIFS('QA Log'!D:D,A380,'QA Log'!M:M,"QQC",'QA Log'!L:L,"7. Tracer Medicine",'QA Log'!Z:Z,"Approved"),"")</f>
        <v/>
      </c>
      <c r="Q380" s="102" t="str">
        <f>IF(A380&lt;&gt;"",COUNTIFS('QA Log'!D:D,A380,'QA Log'!M:M,"QQC",'QA Log'!L:L,"11. Additional Questions",'QA Log'!Z:Z,"Approved"),"")</f>
        <v/>
      </c>
      <c r="R380" s="102" t="str">
        <f>IF(A380="","",SUM(
COUNTIFS('QA Log'!D:D,A380,'QA Log'!M:M,"QQC",'QA Log'!Z:Z,"Rejected",'QA Log'!L:L,"*8. Maternity*"),
COUNTIFS('QA Log'!D:D,A380,'QA Log'!M:M,"QQC",'QA Log'!Z:Z,"Rejected",'QA Log'!L:L,"*EPI*"),
COUNTIFS('QA Log'!D:D,A380,'QA Log'!M:M,"QQC",'QA Log'!Z:Z,"Rejected",'QA Log'!L:L,"*10. Antenatal Care (ANC)*"),
COUNTIFS('QA Log'!D:D,A380,'QA Log'!M:M,"QQC",'QA Log'!Z:Z,"Rejected",'QA Log'!L:L,"*2. Hygiene and Sterilization*"),
COUNTIFS('QA Log'!D:D,A380,'QA Log'!M:M,"QQC",'QA Log'!Z:Z,"Rejected",'QA Log'!L:L,"*Family Planning*")))</f>
        <v/>
      </c>
      <c r="S380" s="106" t="str">
        <f t="shared" si="27"/>
        <v/>
      </c>
      <c r="T380" s="102" t="str">
        <f t="shared" si="28"/>
        <v/>
      </c>
      <c r="U380" s="102" t="str">
        <f>IF(A380="","",
SUM(
COUNTIFS('QA Log'!D:D,A380,'QA Log'!M:M,"QQC",'QA Log'!L:L,"*8. Maternity*"),
COUNTIFS('QA Log'!D:D,A380,'QA Log'!M:M,"QQC",'QA Log'!L:L,"*9. EPI and Pre-school Consultation*"),
COUNTIFS('QA Log'!D:D,A380,'QA Log'!M:M,"QQC",'QA Log'!L:L,"*10. Antenatal Care (ANC)*"),
COUNTIFS('QA Log'!D:D,A380,'QA Log'!M:M,"QQC",'QA Log'!L:L,"*2. Hygiene and Sterilization*"),
COUNTIFS('QA Log'!D:D,A380,'QA Log'!M:M,"QQC",'QA Log'!L:L,"*4. Family Planning*")
))</f>
        <v/>
      </c>
      <c r="V380" s="102" t="str">
        <f>IF(A380="","",
SUM(
COUNTIFS('QA Log'!D:D,A380,'QA Log'!M:M,"QQC",'QA Log'!Z:Z,"Approved",'QA Log'!L:L,"*8. Maternity*"),
COUNTIFS('QA Log'!D:D,A380,'QA Log'!M:M,"QQC",'QA Log'!Z:Z,"Approved",'QA Log'!L:L,"*9. EPI and Pre-school Consultation*"),
COUNTIFS('QA Log'!D:D,A380,'QA Log'!M:M,"QQC",'QA Log'!Z:Z,"Approved",'QA Log'!L:L,"*10. Antenatal Care (ANC)*"),
COUNTIFS('QA Log'!D:D,A380,'QA Log'!M:M,"QQC",'QA Log'!Z:Z,"Approved",'QA Log'!L:L,"*2. Hygiene and Sterilization*"),
COUNTIFS('QA Log'!D:D,A380,'QA Log'!M:M,"QQC",'QA Log'!Z:Z,"Approved",'QA Log'!L:L,"*4. Family Planning*")
))</f>
        <v/>
      </c>
      <c r="W380" s="102" t="str">
        <f>IF(A380&lt;&gt;"",COUNTIFS('QA Log'!D:D,A380,'QA Log'!M:M,"QQC",'QA Log'!L:L,"8. Maternity",'QA Log'!Z:Z,"Approved"),"")</f>
        <v/>
      </c>
      <c r="X380" s="105" t="str">
        <f>IF(A380&lt;&gt;"",COUNTIFS('QA Log'!D:D,A380,'QA Log'!M:M,"QQC",'QA Log'!L:L,"9. EPI and Pre-school Consultation",'QA Log'!Z:Z,"Approved"),"")</f>
        <v/>
      </c>
      <c r="Y380" s="102" t="str">
        <f>IF(A380&lt;&gt;"",COUNTIFS('QA Log'!D:D,A380,'QA Log'!M:M,"QQC",'QA Log'!L:L,"10. Antenatal Care (ANC)",'QA Log'!Z:Z,"Approved"),"")</f>
        <v/>
      </c>
      <c r="Z380" s="102" t="str">
        <f>IF(A380&lt;&gt;"",COUNTIFS('QA Log'!D:D,A380,'QA Log'!M:M,"QQC",'QA Log'!L:L,"2. Hygiene and Sterilization",'QA Log'!Z:Z,"Approved"),"")</f>
        <v/>
      </c>
      <c r="AA380" s="105" t="str">
        <f>IF(A380&lt;&gt;"",COUNTIFS('QA Log'!D:D,A380,'QA Log'!M:M,"QQC",'QA Log'!L:L,"4. Family Planning",'QA Log'!Z:Z,"Approved"),"")</f>
        <v/>
      </c>
      <c r="AB380" s="102" t="str">
        <f>IF(A380="","",
SUM(
COUNTIFS('QA Log'!D:D,A380,'QA Log'!M:M,"QQC",'QA Log'!Z:Z,"Rejected",'QA Log'!L:L,"*8. Maternity*"),
COUNTIFS('QA Log'!D:D,A380,'QA Log'!M:M,"QQC",'QA Log'!Z:Z,"Rejected",'QA Log'!L:L,"*9. EPI and Pre-school Consultation*"),
COUNTIFS('QA Log'!D:D,A380,'QA Log'!M:M,"QQC",'QA Log'!Z:Z,"Rejected",'QA Log'!L:L,"*10. Antenatal Care (ANC)*"),
COUNTIFS('QA Log'!D:D,A380,'QA Log'!M:M,"QQC",'QA Log'!Z:Z,"Rejected",'QA Log'!L:L,"*2. Hygiene and Sterilization*"),
COUNTIFS('QA Log'!D:D,A380,'QA Log'!M:M,"QQC",'QA Log'!Z:Z,"Rejected",'QA Log'!L:L,"*4. Family Planning*")
))</f>
        <v/>
      </c>
      <c r="AC380" s="102" t="str">
        <f t="shared" si="29"/>
        <v/>
      </c>
      <c r="AD380" s="103" t="str">
        <f t="shared" si="30"/>
        <v/>
      </c>
      <c r="AE380" s="102" t="str">
        <f>IF(A380="","",
SUM(
COUNTIFS('QA Log'!D:D,A380,'QA Log'!M:M,"Data Verification",'QA Log'!L:L,"*Medicine (section 2)*"),
COUNTIFS('QA Log'!D:D,A380,'QA Log'!M:M,"Data Verification",'QA Log'!L:L,"*Lab Testing Availability*"),
COUNTIFS('QA Log'!D:D,A380,'QA Log'!M:M,"Data Verification",'QA Log'!L:L,"*Other than P4P (section 6)*"),
COUNTIFS('QA Log'!D:D,A380,'QA Log'!M:M,"Data Verification",'QA Log'!L:L,"*Hospital Governance*")
))</f>
        <v/>
      </c>
      <c r="AF380" s="102" t="str">
        <f>IF(A380="","",
SUM(
COUNTIFS('QA Log'!D:D,A380,'QA Log'!M:M,"Data Verification",'QA Log'!Z:Z,"Approved",'QA Log'!L:L,"*Medicine (section 2)*"),
COUNTIFS('QA Log'!D:D,A380,'QA Log'!M:M,"Data Verification",'QA Log'!Z:Z,"Approved",'QA Log'!L:L,"*Lab Testing Availability*"),
COUNTIFS('QA Log'!D:D,A380,'QA Log'!M:M,"Data Verification",'QA Log'!Z:Z,"Approved",'QA Log'!L:L,"*Other than P4P (section 6)*"),
COUNTIFS('QA Log'!D:D,A380,'QA Log'!M:M,"Data Verification",'QA Log'!Z:Z,"Approved",'QA Log'!L:L,"*Hospital Governance*")
))</f>
        <v/>
      </c>
      <c r="AG380" s="105" t="str">
        <f>IF(A380&lt;&gt;"",COUNTIFS('QA Log'!D:D,A380,'QA Log'!M:M,"Data Verification",'QA Log'!L:L,"Medicine (section 2)",'QA Log'!Z:Z,"Approved"),"")</f>
        <v/>
      </c>
      <c r="AH380" s="105" t="str">
        <f>IF(A380&lt;&gt;"",COUNTIFS('QA Log'!D:D,A380,'QA Log'!M:M,"Data Verification",'QA Log'!L:L,"Lab Testing Availability",'QA Log'!Z:Z,"Approved"),"")</f>
        <v/>
      </c>
      <c r="AI380" s="105" t="str">
        <f>IF(A380&lt;&gt;"",COUNTIFS('QA Log'!D:D,A380,'QA Log'!M:M,"Data Verification",'QA Log'!L:L,"Other than P4P (section 6)",'QA Log'!Z:Z,"Approved"),"")</f>
        <v/>
      </c>
      <c r="AJ380" s="105" t="str">
        <f>IF(A380&lt;&gt;"",COUNTIFS('QA Log'!D:D,A380,'QA Log'!M:M,"Data Verification",'QA Log'!L:L,"Hospital Governance",'QA Log'!Z:Z,"Approved"),"")</f>
        <v/>
      </c>
      <c r="AK380" s="102" t="str">
        <f>IF(A380="","",
SUM(
COUNTIFS('QA Log'!D:D,A380,'QA Log'!M:M,"Data Verification",'QA Log'!Z:Z,"Rejected",'QA Log'!L:L,"*Medicine (section 2)*"),
COUNTIFS('QA Log'!D:D,A380,'QA Log'!M:M,"Data Verification",'QA Log'!Z:Z,"Rejected",'QA Log'!L:L,"*Lab Testing Availability*"),
COUNTIFS('QA Log'!D:D,A380,'QA Log'!M:M,"Data Verification",'QA Log'!Z:Z,"Rejected",'QA Log'!L:L,"*Other than P4P (section 6)*"),
COUNTIFS('QA Log'!D:D,A380,'QA Log'!M:M,"Data Verification",'QA Log'!Z:Z,"Rejected",'QA Log'!L:L,"*Hospital Governance*")
))</f>
        <v/>
      </c>
      <c r="AL380" s="106" t="str">
        <f t="shared" si="31"/>
        <v/>
      </c>
      <c r="AM380" s="102" t="str">
        <f t="shared" si="32"/>
        <v/>
      </c>
      <c r="AN380" s="102" t="str">
        <f>IF(A380="","",
SUM(
COUNTIFS('QA Log'!D:D,A380,'QA Log'!M:M,"Data Verification",'QA Log'!L:L,"*Personnel (section 1)*"),
COUNTIFS('QA Log'!D:D,A380,'QA Log'!M:M,"Data Verification",'QA Log'!L:L,"*Consumable (section 3)*"),
COUNTIFS('QA Log'!D:D,A380,'QA Log'!M:M,"Data Verification",'QA Log'!L:L,"*Equipments (section 4)*")
))</f>
        <v/>
      </c>
      <c r="AO380" s="102" t="str">
        <f>IF(A380="","",
SUM(
COUNTIFS('QA Log'!D:D,A380,'QA Log'!M:M,"Data Verification",'QA Log'!Z:Z,"Approved",'QA Log'!L:L,"*Personnel (section 1)*"),
COUNTIFS('QA Log'!D:D,A380,'QA Log'!M:M,"Data Verification",'QA Log'!Z:Z,"Approved",'QA Log'!L:L,"*Consumable (section 3)*"),
COUNTIFS('QA Log'!D:D,A380,'QA Log'!M:M,"Data Verification",'QA Log'!Z:Z,"Approved",'QA Log'!L:L,"*Equipments (section 4)*")
))</f>
        <v/>
      </c>
      <c r="AP380" s="105" t="str">
        <f>IF(A380&lt;&gt;"",COUNTIFS('QA Log'!D:D,A380,'QA Log'!M:M,"Data Verification",'QA Log'!L:L,"Personnel (section 1)",'QA Log'!Z:Z,"Approved"),"")</f>
        <v/>
      </c>
      <c r="AQ380" s="105" t="str">
        <f>IF(A380&lt;&gt;"",COUNTIFS('QA Log'!D:D,A380,'QA Log'!M:M,"Data Verification",'QA Log'!L:L,"Consumable (section 3)",'QA Log'!Z:Z,"Approved"),"")</f>
        <v/>
      </c>
      <c r="AR380" s="105" t="str">
        <f>IF(A380&lt;&gt;"",COUNTIFS('QA Log'!D:D,A380,'QA Log'!M:M,"Data Verification",'QA Log'!L:L,"Equipments (section 4)",'QA Log'!Z:Z,"Approved"),"")</f>
        <v/>
      </c>
      <c r="AS380" s="102" t="str">
        <f>IF(A380="","",
SUM(
COUNTIFS('QA Log'!D:D,A380,'QA Log'!M:M,"Data Verification",'QA Log'!Z:Z,"Rejected",'QA Log'!L:L,"*Personnel (section 1)*"),
COUNTIFS('QA Log'!D:D,A380,'QA Log'!M:M,"Data Verification",'QA Log'!Z:Z,"Rejected",'QA Log'!L:L,"*Consumable (section 3)*"),
COUNTIFS('QA Log'!D:D,A380,'QA Log'!M:M,"Data Verification",'QA Log'!Z:Z,"Rejected",'QA Log'!L:L,"*Equipments (section 4)*")
))</f>
        <v/>
      </c>
      <c r="AT380" s="102" t="str">
        <f t="shared" si="33"/>
        <v/>
      </c>
      <c r="AU380" s="103" t="str">
        <f t="shared" si="34"/>
        <v/>
      </c>
      <c r="AV380" s="102" t="str">
        <f>IF(A380="","",SUM(
COUNTIFS('QA Log'!D:D,A380,'QA Log'!M:M,"Vignette",'QA Log'!L:L,"*Vignette [1] Respiratory Infection: Pneumonia*"),
COUNTIFS('QA Log'!D:D,A380,'QA Log'!M:M,"Vignette",'QA Log'!L:L,"*Vignette [2]: Diarrhea with Cat B dehydration*"),
COUNTIFS('QA Log'!D:D,A380,'QA Log'!M:M,"Vignette",'QA Log'!L:L,"*Vignette [3] Growth Monitoring and Promotion*"),
COUNTIFS('QA Log'!D:D,A380,'QA Log'!M:M,"Vignette",'QA Log'!L:L,"*Vignette [4]: The management of presumptive TB patient*")
)
)</f>
        <v/>
      </c>
      <c r="AW380" s="102" t="str">
        <f>IF(
  A380="","",
  SUM(
    COUNTIFS('QA Log'!D:D,A380,'QA Log'!M:M,"Vignette",'QA Log'!Z:Z,"Approved",'QA Log'!L:L,"*Vignette [1] Respiratory Infection: Pneumonia*"),
    COUNTIFS('QA Log'!D:D,A380,'QA Log'!M:M,"Vignette",'QA Log'!Z:Z,"Approved",'QA Log'!L:L,"*Vignette [2]: Diarrhea with Cat B dehydration*"),
    COUNTIFS('QA Log'!D:D,A380,'QA Log'!M:M,"Vignette",'QA Log'!Z:Z,"Approved",'QA Log'!L:L,"*Vignette [3] Growth Monitoring and Promotion*"),
    COUNTIFS('QA Log'!D:D,A380,'QA Log'!M:M,"Vignette",'QA Log'!Z:Z,"Approved",'QA Log'!L:L,"*Vignette [4]: The management of presumptive TB patient*")
  )
)</f>
        <v/>
      </c>
      <c r="AX380" s="105" t="str">
        <f>IF(A380&lt;&gt;"",COUNTIFS('QA Log'!D:D,A380,'QA Log'!M:M,"Vignette",'QA Log'!L:L,"Vignette [1] Respiratory Infection: Pneumonia",'QA Log'!Z:Z,"Approved"),"")</f>
        <v/>
      </c>
      <c r="AY380" s="105" t="str">
        <f>IF(A380&lt;&gt;"",COUNTIFS('QA Log'!D:D,A380,'QA Log'!M:M,"Vignette",'QA Log'!L:L,"Vignette [2]: Diarrhea with Cat B dehydration",'QA Log'!Z:Z,"Approved"),"")</f>
        <v/>
      </c>
      <c r="AZ380" s="105" t="str">
        <f>IF(A380&lt;&gt;"",COUNTIFS('QA Log'!D:D,A380,'QA Log'!M:M,"Vignette",'QA Log'!L:L,"Vignette [3] Growth Monitoring and Promotion",'QA Log'!Z:Z,"Approved"),"")</f>
        <v/>
      </c>
      <c r="BA380" s="105" t="str">
        <f>IF(A380&lt;&gt;"",COUNTIFS('QA Log'!D:D,A380,'QA Log'!M:M,"Vignette",'QA Log'!L:L,"Vignette [4]: The management of presumptive TB patient",'QA Log'!Z:Z,"Approved"),"")</f>
        <v/>
      </c>
      <c r="BB380" s="102" t="str">
        <f>IF(A380="","",
  SUM(
    COUNTIFS('QA Log'!D:D,A380,'QA Log'!M:M,"Vignette",'QA Log'!Z:Z,"Rejected",'QA Log'!L:L,"*Vignette [1] Respiratory Infection: Pneumonia*"),
    COUNTIFS('QA Log'!D:D,A380,'QA Log'!M:M,"Vignette",'QA Log'!Z:Z,"Rejected",'QA Log'!L:L,"*Vignette [2]: Diarrhea with Cat B dehydration*"),
    COUNTIFS('QA Log'!D:D,A380,'QA Log'!M:M,"Vignette",'QA Log'!Z:Z,"Rejected",'QA Log'!L:L,"*Vignette [3] Growth Monitoring and Promotion*"),
    COUNTIFS('QA Log'!D:D,A380,'QA Log'!M:M,"Vignette",'QA Log'!Z:Z,"Rejected",'QA Log'!L:L,"*Vignette [4]: The management of presumptive TB patient*")
  )
)</f>
        <v/>
      </c>
      <c r="BC380" s="107" t="str">
        <f t="shared" si="35"/>
        <v/>
      </c>
      <c r="BD380" s="103" t="str">
        <f t="shared" si="36"/>
        <v/>
      </c>
      <c r="BE380" s="102" t="str">
        <f>IF(A380="","",SUM(
COUNTIFS('QA Log'!D:D,A380,'QA Log'!M:M,"Vignette",'QA Log'!L:L,"*Vignette [5] Labor*"),
COUNTIFS('QA Log'!D:D,A380,'QA Log'!M:M,"Vignette",'QA Log'!L:L,"*Vignette [6] PNC pre Discharge*"),
COUNTIFS('QA Log'!D:D,A380,'QA Log'!M:M,"Vignette",'QA Log'!L:L,"*Vignette [7] First ANC Visit*"),
COUNTIFS('QA Log'!D:D,A380,'QA Log'!M:M,"Vignette",'QA Log'!L:L,"*Vignette [8] Birth Spacing/ Family Planning :  FP Counselling*"),
COUNTIFS('QA Log'!D:D,A380,'QA Log'!M:M,"Vignette",'QA Log'!L:L,"*Vignette [9] Birth Spacing: Change FP method to Injectable*"),
COUNTIFS('QA Log'!D:D,A380,'QA Log'!M:M,"Vignette",'QA Log'!L:L,"*Vignette [10] Post Partum Haemorrhage - Atonic Uterus at Health Centre*"),
)
)</f>
        <v/>
      </c>
      <c r="BF380" s="102" t="str">
        <f>IF(A380="","",
  SUM(
    COUNTIFS('QA Log'!D:D,A380,'QA Log'!M:M,"Vignette",'QA Log'!Z:Z,"Approved",'QA Log'!L:L,"*Vignette [5] Labor*"),
    COUNTIFS('QA Log'!D:D,A380,'QA Log'!M:M,"Vignette",'QA Log'!Z:Z,"Approved",'QA Log'!L:L,"*Vignette [6] PNC pre Discharge*"),
    COUNTIFS('QA Log'!D:D,A380,'QA Log'!M:M,"Vignette",'QA Log'!Z:Z,"Approved",'QA Log'!L:L,"*Vignette [7] First ANC Visit*"),
    COUNTIFS('QA Log'!D:D,A380,'QA Log'!M:M,"Vignette",'QA Log'!Z:Z,"Approved",'QA Log'!L:L,"*Vignette [8] Birth Spacing/ Family Planning :  FP Counselling*"),
    COUNTIFS('QA Log'!D:D,A380,'QA Log'!M:M,"Vignette",'QA Log'!Z:Z,"Approved",'QA Log'!L:L,"*Vignette [9] Birth Spacing: Change FP method to Injectable*"),
    COUNTIFS('QA Log'!D:D,A380,'QA Log'!M:M,"Vignette",'QA Log'!Z:Z,"Approved",'QA Log'!L:L,"*Vignette [10] Post Partum Haemorrhage - Atonic Uterus at Health Centre*")
  )
)</f>
        <v/>
      </c>
      <c r="BG380" s="105" t="str">
        <f>IF(A380&lt;&gt;"",COUNTIFS('QA Log'!D:D,A380,'QA Log'!M:M,"Vignette",'QA Log'!L:L,"Vignette [5] Labor",'QA Log'!Z:Z,"Approved"),"")</f>
        <v/>
      </c>
      <c r="BH380" s="105" t="str">
        <f>IF(A380&lt;&gt;"",COUNTIFS('QA Log'!D:D,A380,'QA Log'!M:M,"Vignette",'QA Log'!L:L,"Vignette [6] PNC pre Discharge",'QA Log'!Z:Z,"Approved"),"")</f>
        <v/>
      </c>
      <c r="BI380" s="105" t="str">
        <f>IF(A380&lt;&gt;"",COUNTIFS('QA Log'!D:D,A380,'QA Log'!M:M,"Vignette",'QA Log'!L:L,"Vignette [7] First ANC Visit",'QA Log'!Z:Z,"Approved"),"")</f>
        <v/>
      </c>
      <c r="BJ380" s="105" t="str">
        <f>IF(A380&lt;&gt;"",COUNTIFS('QA Log'!D:D,A380,'QA Log'!M:M,"Vignette",'QA Log'!L:L,"Vignette [8] Birth Spacing/ Family Planning :  FP Counselling",'QA Log'!Z:Z,"Approved"),"")</f>
        <v/>
      </c>
      <c r="BK380" s="105" t="str">
        <f>IF(A380&lt;&gt;"",COUNTIFS('QA Log'!D:D,A380,'QA Log'!M:M,"Vignette",'QA Log'!L:L,"Vignette [9] Birth Spacing: Change FP method to Injectable",'QA Log'!Z:Z,"Approved"),"")</f>
        <v/>
      </c>
      <c r="BL380" s="105" t="str">
        <f>IF(A380&lt;&gt;"",COUNTIFS('QA Log'!D:D,A380,'QA Log'!M:M,"Vignette",'QA Log'!L:L,"Vignette [10] Post Partum Haemorrhage - Atonic Uterus at Health Centre",'QA Log'!Z:Z,"Approved"),"")</f>
        <v/>
      </c>
      <c r="BM380" s="102" t="str">
        <f>IF(A380="","",SUM(
    COUNTIFS('QA Log'!D:D,A380,'QA Log'!M:M,"Vignette",'QA Log'!Z:Z,"Rejected",'QA Log'!L:L,"*Vignette [5] Labor*"),
    COUNTIFS('QA Log'!D:D,A380,'QA Log'!M:M,"Vignette",'QA Log'!Z:Z,"Rejected",'QA Log'!L:L,"*Vignette [6] PNC pre Discharge*"),
    COUNTIFS('QA Log'!D:D,A380,'QA Log'!M:M,"Vignette",'QA Log'!Z:Z,"Rejected",'QA Log'!L:L,"*Vignette [7] First ANC Visit*"),
    COUNTIFS('QA Log'!D:D,A380,'QA Log'!M:M,"Vignette",'QA Log'!Z:Z,"Rejected",'QA Log'!L:L,"*Vignette [8] Birth Spacing/ Family Planning :  FP Counselling*"),
    COUNTIFS('QA Log'!D:D,A380,'QA Log'!M:M,"Vignette",'QA Log'!Z:Z,"Rejected",'QA Log'!L:L,"*Vignette [9] Birth Spacing: Change FP method to Injectable*"),
    COUNTIFS('QA Log'!D:D,A380,'QA Log'!M:M,"Vignette",'QA Log'!Z:Z,"Rejected",'QA Log'!L:L,"*Vignette [10] Post Partum Haemorrhage - Atonic Uterus at Health Centre*")
  )
)</f>
        <v/>
      </c>
      <c r="BN380" s="107" t="str">
        <f t="shared" si="37"/>
        <v/>
      </c>
      <c r="BO380" s="103" t="str">
        <f t="shared" si="38"/>
        <v/>
      </c>
      <c r="BP380" s="102" t="str">
        <f>IF(A380="","",SUM(
COUNTIFS('QA Log'!D:D,A380,'QA Log'!M:M,"Vignette",'QA Log'!L:L,"*Exit Interview 1*"),
COUNTIFS('QA Log'!D:D,A380,'QA Log'!M:M,"Vignette",'QA Log'!L:L,"*Exit Interview 2*"),
)
)</f>
        <v/>
      </c>
      <c r="BQ380" s="102" t="str">
        <f>IF(
  A380="","",
  SUM(
    COUNTIFS('QA Log'!D:D,A380,'QA Log'!M:M,"Vignette",'QA Log'!Z:Z,"Approved",'QA Log'!L:L,"*Exit Interview 1*"),
    COUNTIFS('QA Log'!D:D,A380,'QA Log'!M:M,"Vignette",'QA Log'!Z:Z,"Approved",'QA Log'!L:L,"*Exit Interview 2*")
  )
)</f>
        <v/>
      </c>
      <c r="BR380" s="105" t="str">
        <f>IF(A380&lt;&gt;"",COUNTIFS('QA Log'!D:D,A380,'QA Log'!M:M,"Vignette",'QA Log'!L:L,"Exit Interview 1",'QA Log'!Z:Z,"Approved"),"")</f>
        <v/>
      </c>
      <c r="BS380" s="105" t="str">
        <f>IF(A380&lt;&gt;"",COUNTIFS('QA Log'!D:D,A380,'QA Log'!M:M,"Vignette",'QA Log'!L:L,"Exit Interview 2",'QA Log'!Z:Z,"Approved"),"")</f>
        <v/>
      </c>
      <c r="BT380" s="102" t="str">
        <f>IF(
  A380="","",
  SUM(
    COUNTIFS('QA Log'!D:D,A380,'QA Log'!M:M,"Vignette",'QA Log'!Z:Z,"Rejected",'QA Log'!L:L,"*Exit Interview 1*"),
    COUNTIFS('QA Log'!D:D,A380,'QA Log'!M:M,"Vignette",'QA Log'!Z:Z,"Rejected",'QA Log'!L:L,"*Exit Interview 2*")
  )
)</f>
        <v/>
      </c>
      <c r="BU380" s="107" t="str">
        <f t="shared" si="39"/>
        <v/>
      </c>
      <c r="BV380" s="102" t="str">
        <f t="shared" si="40"/>
        <v/>
      </c>
      <c r="BW380" s="102" t="str">
        <f t="shared" si="41"/>
        <v/>
      </c>
      <c r="BX380" s="102" t="str">
        <f t="shared" si="42"/>
        <v/>
      </c>
      <c r="BY380" s="102" t="str">
        <f t="shared" si="43"/>
        <v/>
      </c>
      <c r="BZ380" s="107" t="str">
        <f t="shared" si="44"/>
        <v/>
      </c>
      <c r="CA380" s="108" t="str">
        <f t="shared" si="45"/>
        <v/>
      </c>
      <c r="CB380" s="108" t="str">
        <f t="shared" si="46"/>
        <v/>
      </c>
      <c r="CC380" s="109" t="str">
        <f t="shared" si="47"/>
        <v/>
      </c>
      <c r="CD380" s="108" t="str">
        <f t="shared" si="48"/>
        <v/>
      </c>
      <c r="CE380" s="108" t="str">
        <f t="shared" si="49"/>
        <v/>
      </c>
      <c r="CF380" s="109" t="str">
        <f t="shared" si="50"/>
        <v/>
      </c>
      <c r="CG380" s="110" t="str">
        <f t="shared" si="51"/>
        <v/>
      </c>
      <c r="CH380" s="111"/>
    </row>
    <row r="381" spans="1:86" ht="12.75">
      <c r="A381" s="101"/>
      <c r="B381" s="102" t="e">
        <f t="array" aca="1" ref="B381" ca="1">_xludf.XLOOKUP(A381,'QA Log'!D:D,'QA Log'!E:E,"")</f>
        <v>#NAME?</v>
      </c>
      <c r="C381" s="102" t="e">
        <f t="array" aca="1" ref="C381" ca="1">_xludf.XLOOKUP(A381,'QA Log'!D:D,'QA Log'!F:F,"")</f>
        <v>#NAME?</v>
      </c>
      <c r="D381" s="102" t="e">
        <f t="array" aca="1" ref="D381" ca="1">_xludf.XLOOKUP(A381,'QA Log'!D:D,'QA Log'!H:H,"")</f>
        <v>#NAME?</v>
      </c>
      <c r="E381" s="102" t="e">
        <f t="array" aca="1" ref="E381" ca="1">_xludf.XLOOKUP(A381,'QA Log'!D:D,'QA Log'!G:G,"")</f>
        <v>#NAME?</v>
      </c>
      <c r="F381" s="103"/>
      <c r="G381" s="104"/>
      <c r="H381" s="104"/>
      <c r="I381" s="103" t="str">
        <f t="shared" si="26"/>
        <v/>
      </c>
      <c r="J381" s="102" t="str">
        <f>IF(A381="","",SUM(
COUNTIFS('QA Log'!D:D,A381,'QA Log'!M:M,"QQC",'QA Log'!L:L,"*1. General Management*"),
COUNTIFS('QA Log'!D:D,A381,'QA Log'!M:M,"QQC",'QA Log'!L:L,"*3. Curative Consultation (OPD)*"),
COUNTIFS('QA Log'!D:D,A381,'QA Log'!M:M,"QQC",'QA Log'!L:L,"*5. Laboratory*"),
COUNTIFS('QA Log'!D:D,A381,'QA Log'!M:M,"QQC",'QA Log'!L:L,"*6. Essential Medicine Management*"),
COUNTIFS('QA Log'!D:D,A381,'QA Log'!M:M,"QQC",'QA Log'!L:L,"*7. Tracer Medicine*"),
COUNTIFS('QA Log'!D:D,A381,'QA Log'!M:M,"QQC",'QA Log'!L:L,"*11. Additional Questions*")))</f>
        <v/>
      </c>
      <c r="K381" s="102" t="str">
        <f>IF(A381="","",SUM(
COUNTIFS('QA Log'!D:D,A381,'QA Log'!M:M,"QQC",'QA Log'!Z:Z,"Approved",'QA Log'!L:L,"*1. General Management*"),
COUNTIFS('QA Log'!D:D,A381,'QA Log'!M:M,"QQC",'QA Log'!Z:Z,"Approved",'QA Log'!L:L,"*3. Curative Consultation (OPD)*"),
COUNTIFS('QA Log'!D:D,A381,'QA Log'!M:M,"QQC",'QA Log'!Z:Z,"Approved",'QA Log'!L:L,"*5. Laboratory*"),
COUNTIFS('QA Log'!D:D,A381,'QA Log'!M:M,"QQC",'QA Log'!Z:Z,"Approved",'QA Log'!L:L,"*6. Essential Medicine Management*"),
COUNTIFS('QA Log'!D:D,A381,'QA Log'!M:M,"QQC",'QA Log'!Z:Z,"Approved",'QA Log'!L:L,"*7. Tracer Medicine*"),
COUNTIFS('QA Log'!D:D,A381,'QA Log'!M:M,"QQC",'QA Log'!Z:Z,"Approved",'QA Log'!L:L,"*11. Additional Questions*")))</f>
        <v/>
      </c>
      <c r="L381" s="102" t="str">
        <f>IF(A381&lt;&gt;"",COUNTIFS('QA Log'!D:D,A381,'QA Log'!M:M,"QQC",'QA Log'!L:L,"1. General Management",'QA Log'!Z:Z,"Approved"),"")</f>
        <v/>
      </c>
      <c r="M381" s="102" t="str">
        <f>IF(A381&lt;&gt;"",COUNTIFS('QA Log'!D:D,A381,'QA Log'!M:M,"QQC",'QA Log'!L:L,"3. Curative Consultation (OPD)",'QA Log'!Z:Z,"Approved"),"")</f>
        <v/>
      </c>
      <c r="N381" s="102" t="str">
        <f>IF(A381&lt;&gt;"",COUNTIFS('QA Log'!D:D,A381,'QA Log'!M:M,"QQC",'QA Log'!L:L,"5. Laboratory",'QA Log'!Z:Z,"Approved"),"")</f>
        <v/>
      </c>
      <c r="O381" s="102" t="str">
        <f>IF(A381&lt;&gt;"",COUNTIFS('QA Log'!D:D,A381,'QA Log'!M:M,"QQC",'QA Log'!L:L,"6. Essential Medicine Management",'QA Log'!Z:Z,"Approved"),"")</f>
        <v/>
      </c>
      <c r="P381" s="102" t="str">
        <f>IF(A381&lt;&gt;"",COUNTIFS('QA Log'!D:D,A381,'QA Log'!M:M,"QQC",'QA Log'!L:L,"7. Tracer Medicine",'QA Log'!Z:Z,"Approved"),"")</f>
        <v/>
      </c>
      <c r="Q381" s="102" t="str">
        <f>IF(A381&lt;&gt;"",COUNTIFS('QA Log'!D:D,A381,'QA Log'!M:M,"QQC",'QA Log'!L:L,"11. Additional Questions",'QA Log'!Z:Z,"Approved"),"")</f>
        <v/>
      </c>
      <c r="R381" s="102" t="str">
        <f>IF(A381="","",SUM(
COUNTIFS('QA Log'!D:D,A381,'QA Log'!M:M,"QQC",'QA Log'!Z:Z,"Rejected",'QA Log'!L:L,"*8. Maternity*"),
COUNTIFS('QA Log'!D:D,A381,'QA Log'!M:M,"QQC",'QA Log'!Z:Z,"Rejected",'QA Log'!L:L,"*EPI*"),
COUNTIFS('QA Log'!D:D,A381,'QA Log'!M:M,"QQC",'QA Log'!Z:Z,"Rejected",'QA Log'!L:L,"*10. Antenatal Care (ANC)*"),
COUNTIFS('QA Log'!D:D,A381,'QA Log'!M:M,"QQC",'QA Log'!Z:Z,"Rejected",'QA Log'!L:L,"*2. Hygiene and Sterilization*"),
COUNTIFS('QA Log'!D:D,A381,'QA Log'!M:M,"QQC",'QA Log'!Z:Z,"Rejected",'QA Log'!L:L,"*Family Planning*")))</f>
        <v/>
      </c>
      <c r="S381" s="106" t="str">
        <f t="shared" si="27"/>
        <v/>
      </c>
      <c r="T381" s="102" t="str">
        <f t="shared" si="28"/>
        <v/>
      </c>
      <c r="U381" s="102" t="str">
        <f>IF(A381="","",
SUM(
COUNTIFS('QA Log'!D:D,A381,'QA Log'!M:M,"QQC",'QA Log'!L:L,"*8. Maternity*"),
COUNTIFS('QA Log'!D:D,A381,'QA Log'!M:M,"QQC",'QA Log'!L:L,"*9. EPI and Pre-school Consultation*"),
COUNTIFS('QA Log'!D:D,A381,'QA Log'!M:M,"QQC",'QA Log'!L:L,"*10. Antenatal Care (ANC)*"),
COUNTIFS('QA Log'!D:D,A381,'QA Log'!M:M,"QQC",'QA Log'!L:L,"*2. Hygiene and Sterilization*"),
COUNTIFS('QA Log'!D:D,A381,'QA Log'!M:M,"QQC",'QA Log'!L:L,"*4. Family Planning*")
))</f>
        <v/>
      </c>
      <c r="V381" s="102" t="str">
        <f>IF(A381="","",
SUM(
COUNTIFS('QA Log'!D:D,A381,'QA Log'!M:M,"QQC",'QA Log'!Z:Z,"Approved",'QA Log'!L:L,"*8. Maternity*"),
COUNTIFS('QA Log'!D:D,A381,'QA Log'!M:M,"QQC",'QA Log'!Z:Z,"Approved",'QA Log'!L:L,"*9. EPI and Pre-school Consultation*"),
COUNTIFS('QA Log'!D:D,A381,'QA Log'!M:M,"QQC",'QA Log'!Z:Z,"Approved",'QA Log'!L:L,"*10. Antenatal Care (ANC)*"),
COUNTIFS('QA Log'!D:D,A381,'QA Log'!M:M,"QQC",'QA Log'!Z:Z,"Approved",'QA Log'!L:L,"*2. Hygiene and Sterilization*"),
COUNTIFS('QA Log'!D:D,A381,'QA Log'!M:M,"QQC",'QA Log'!Z:Z,"Approved",'QA Log'!L:L,"*4. Family Planning*")
))</f>
        <v/>
      </c>
      <c r="W381" s="102" t="str">
        <f>IF(A381&lt;&gt;"",COUNTIFS('QA Log'!D:D,A381,'QA Log'!M:M,"QQC",'QA Log'!L:L,"8. Maternity",'QA Log'!Z:Z,"Approved"),"")</f>
        <v/>
      </c>
      <c r="X381" s="105" t="str">
        <f>IF(A381&lt;&gt;"",COUNTIFS('QA Log'!D:D,A381,'QA Log'!M:M,"QQC",'QA Log'!L:L,"9. EPI and Pre-school Consultation",'QA Log'!Z:Z,"Approved"),"")</f>
        <v/>
      </c>
      <c r="Y381" s="102" t="str">
        <f>IF(A381&lt;&gt;"",COUNTIFS('QA Log'!D:D,A381,'QA Log'!M:M,"QQC",'QA Log'!L:L,"10. Antenatal Care (ANC)",'QA Log'!Z:Z,"Approved"),"")</f>
        <v/>
      </c>
      <c r="Z381" s="102" t="str">
        <f>IF(A381&lt;&gt;"",COUNTIFS('QA Log'!D:D,A381,'QA Log'!M:M,"QQC",'QA Log'!L:L,"2. Hygiene and Sterilization",'QA Log'!Z:Z,"Approved"),"")</f>
        <v/>
      </c>
      <c r="AA381" s="105" t="str">
        <f>IF(A381&lt;&gt;"",COUNTIFS('QA Log'!D:D,A381,'QA Log'!M:M,"QQC",'QA Log'!L:L,"4. Family Planning",'QA Log'!Z:Z,"Approved"),"")</f>
        <v/>
      </c>
      <c r="AB381" s="102" t="str">
        <f>IF(A381="","",
SUM(
COUNTIFS('QA Log'!D:D,A381,'QA Log'!M:M,"QQC",'QA Log'!Z:Z,"Rejected",'QA Log'!L:L,"*8. Maternity*"),
COUNTIFS('QA Log'!D:D,A381,'QA Log'!M:M,"QQC",'QA Log'!Z:Z,"Rejected",'QA Log'!L:L,"*9. EPI and Pre-school Consultation*"),
COUNTIFS('QA Log'!D:D,A381,'QA Log'!M:M,"QQC",'QA Log'!Z:Z,"Rejected",'QA Log'!L:L,"*10. Antenatal Care (ANC)*"),
COUNTIFS('QA Log'!D:D,A381,'QA Log'!M:M,"QQC",'QA Log'!Z:Z,"Rejected",'QA Log'!L:L,"*2. Hygiene and Sterilization*"),
COUNTIFS('QA Log'!D:D,A381,'QA Log'!M:M,"QQC",'QA Log'!Z:Z,"Rejected",'QA Log'!L:L,"*4. Family Planning*")
))</f>
        <v/>
      </c>
      <c r="AC381" s="102" t="str">
        <f t="shared" si="29"/>
        <v/>
      </c>
      <c r="AD381" s="103" t="str">
        <f t="shared" si="30"/>
        <v/>
      </c>
      <c r="AE381" s="102" t="str">
        <f>IF(A381="","",
SUM(
COUNTIFS('QA Log'!D:D,A381,'QA Log'!M:M,"Data Verification",'QA Log'!L:L,"*Medicine (section 2)*"),
COUNTIFS('QA Log'!D:D,A381,'QA Log'!M:M,"Data Verification",'QA Log'!L:L,"*Lab Testing Availability*"),
COUNTIFS('QA Log'!D:D,A381,'QA Log'!M:M,"Data Verification",'QA Log'!L:L,"*Other than P4P (section 6)*"),
COUNTIFS('QA Log'!D:D,A381,'QA Log'!M:M,"Data Verification",'QA Log'!L:L,"*Hospital Governance*")
))</f>
        <v/>
      </c>
      <c r="AF381" s="102" t="str">
        <f>IF(A381="","",
SUM(
COUNTIFS('QA Log'!D:D,A381,'QA Log'!M:M,"Data Verification",'QA Log'!Z:Z,"Approved",'QA Log'!L:L,"*Medicine (section 2)*"),
COUNTIFS('QA Log'!D:D,A381,'QA Log'!M:M,"Data Verification",'QA Log'!Z:Z,"Approved",'QA Log'!L:L,"*Lab Testing Availability*"),
COUNTIFS('QA Log'!D:D,A381,'QA Log'!M:M,"Data Verification",'QA Log'!Z:Z,"Approved",'QA Log'!L:L,"*Other than P4P (section 6)*"),
COUNTIFS('QA Log'!D:D,A381,'QA Log'!M:M,"Data Verification",'QA Log'!Z:Z,"Approved",'QA Log'!L:L,"*Hospital Governance*")
))</f>
        <v/>
      </c>
      <c r="AG381" s="105" t="str">
        <f>IF(A381&lt;&gt;"",COUNTIFS('QA Log'!D:D,A381,'QA Log'!M:M,"Data Verification",'QA Log'!L:L,"Medicine (section 2)",'QA Log'!Z:Z,"Approved"),"")</f>
        <v/>
      </c>
      <c r="AH381" s="105" t="str">
        <f>IF(A381&lt;&gt;"",COUNTIFS('QA Log'!D:D,A381,'QA Log'!M:M,"Data Verification",'QA Log'!L:L,"Lab Testing Availability",'QA Log'!Z:Z,"Approved"),"")</f>
        <v/>
      </c>
      <c r="AI381" s="105" t="str">
        <f>IF(A381&lt;&gt;"",COUNTIFS('QA Log'!D:D,A381,'QA Log'!M:M,"Data Verification",'QA Log'!L:L,"Other than P4P (section 6)",'QA Log'!Z:Z,"Approved"),"")</f>
        <v/>
      </c>
      <c r="AJ381" s="105" t="str">
        <f>IF(A381&lt;&gt;"",COUNTIFS('QA Log'!D:D,A381,'QA Log'!M:M,"Data Verification",'QA Log'!L:L,"Hospital Governance",'QA Log'!Z:Z,"Approved"),"")</f>
        <v/>
      </c>
      <c r="AK381" s="102" t="str">
        <f>IF(A381="","",
SUM(
COUNTIFS('QA Log'!D:D,A381,'QA Log'!M:M,"Data Verification",'QA Log'!Z:Z,"Rejected",'QA Log'!L:L,"*Medicine (section 2)*"),
COUNTIFS('QA Log'!D:D,A381,'QA Log'!M:M,"Data Verification",'QA Log'!Z:Z,"Rejected",'QA Log'!L:L,"*Lab Testing Availability*"),
COUNTIFS('QA Log'!D:D,A381,'QA Log'!M:M,"Data Verification",'QA Log'!Z:Z,"Rejected",'QA Log'!L:L,"*Other than P4P (section 6)*"),
COUNTIFS('QA Log'!D:D,A381,'QA Log'!M:M,"Data Verification",'QA Log'!Z:Z,"Rejected",'QA Log'!L:L,"*Hospital Governance*")
))</f>
        <v/>
      </c>
      <c r="AL381" s="106" t="str">
        <f t="shared" si="31"/>
        <v/>
      </c>
      <c r="AM381" s="102" t="str">
        <f t="shared" si="32"/>
        <v/>
      </c>
      <c r="AN381" s="102" t="str">
        <f>IF(A381="","",
SUM(
COUNTIFS('QA Log'!D:D,A381,'QA Log'!M:M,"Data Verification",'QA Log'!L:L,"*Personnel (section 1)*"),
COUNTIFS('QA Log'!D:D,A381,'QA Log'!M:M,"Data Verification",'QA Log'!L:L,"*Consumable (section 3)*"),
COUNTIFS('QA Log'!D:D,A381,'QA Log'!M:M,"Data Verification",'QA Log'!L:L,"*Equipments (section 4)*")
))</f>
        <v/>
      </c>
      <c r="AO381" s="102" t="str">
        <f>IF(A381="","",
SUM(
COUNTIFS('QA Log'!D:D,A381,'QA Log'!M:M,"Data Verification",'QA Log'!Z:Z,"Approved",'QA Log'!L:L,"*Personnel (section 1)*"),
COUNTIFS('QA Log'!D:D,A381,'QA Log'!M:M,"Data Verification",'QA Log'!Z:Z,"Approved",'QA Log'!L:L,"*Consumable (section 3)*"),
COUNTIFS('QA Log'!D:D,A381,'QA Log'!M:M,"Data Verification",'QA Log'!Z:Z,"Approved",'QA Log'!L:L,"*Equipments (section 4)*")
))</f>
        <v/>
      </c>
      <c r="AP381" s="105" t="str">
        <f>IF(A381&lt;&gt;"",COUNTIFS('QA Log'!D:D,A381,'QA Log'!M:M,"Data Verification",'QA Log'!L:L,"Personnel (section 1)",'QA Log'!Z:Z,"Approved"),"")</f>
        <v/>
      </c>
      <c r="AQ381" s="105" t="str">
        <f>IF(A381&lt;&gt;"",COUNTIFS('QA Log'!D:D,A381,'QA Log'!M:M,"Data Verification",'QA Log'!L:L,"Consumable (section 3)",'QA Log'!Z:Z,"Approved"),"")</f>
        <v/>
      </c>
      <c r="AR381" s="105" t="str">
        <f>IF(A381&lt;&gt;"",COUNTIFS('QA Log'!D:D,A381,'QA Log'!M:M,"Data Verification",'QA Log'!L:L,"Equipments (section 4)",'QA Log'!Z:Z,"Approved"),"")</f>
        <v/>
      </c>
      <c r="AS381" s="102" t="str">
        <f>IF(A381="","",
SUM(
COUNTIFS('QA Log'!D:D,A381,'QA Log'!M:M,"Data Verification",'QA Log'!Z:Z,"Rejected",'QA Log'!L:L,"*Personnel (section 1)*"),
COUNTIFS('QA Log'!D:D,A381,'QA Log'!M:M,"Data Verification",'QA Log'!Z:Z,"Rejected",'QA Log'!L:L,"*Consumable (section 3)*"),
COUNTIFS('QA Log'!D:D,A381,'QA Log'!M:M,"Data Verification",'QA Log'!Z:Z,"Rejected",'QA Log'!L:L,"*Equipments (section 4)*")
))</f>
        <v/>
      </c>
      <c r="AT381" s="102" t="str">
        <f t="shared" si="33"/>
        <v/>
      </c>
      <c r="AU381" s="103" t="str">
        <f t="shared" si="34"/>
        <v/>
      </c>
      <c r="AV381" s="102" t="str">
        <f>IF(A381="","",SUM(
COUNTIFS('QA Log'!D:D,A381,'QA Log'!M:M,"Vignette",'QA Log'!L:L,"*Vignette [1] Respiratory Infection: Pneumonia*"),
COUNTIFS('QA Log'!D:D,A381,'QA Log'!M:M,"Vignette",'QA Log'!L:L,"*Vignette [2]: Diarrhea with Cat B dehydration*"),
COUNTIFS('QA Log'!D:D,A381,'QA Log'!M:M,"Vignette",'QA Log'!L:L,"*Vignette [3] Growth Monitoring and Promotion*"),
COUNTIFS('QA Log'!D:D,A381,'QA Log'!M:M,"Vignette",'QA Log'!L:L,"*Vignette [4]: The management of presumptive TB patient*")
)
)</f>
        <v/>
      </c>
      <c r="AW381" s="102" t="str">
        <f>IF(
  A381="","",
  SUM(
    COUNTIFS('QA Log'!D:D,A381,'QA Log'!M:M,"Vignette",'QA Log'!Z:Z,"Approved",'QA Log'!L:L,"*Vignette [1] Respiratory Infection: Pneumonia*"),
    COUNTIFS('QA Log'!D:D,A381,'QA Log'!M:M,"Vignette",'QA Log'!Z:Z,"Approved",'QA Log'!L:L,"*Vignette [2]: Diarrhea with Cat B dehydration*"),
    COUNTIFS('QA Log'!D:D,A381,'QA Log'!M:M,"Vignette",'QA Log'!Z:Z,"Approved",'QA Log'!L:L,"*Vignette [3] Growth Monitoring and Promotion*"),
    COUNTIFS('QA Log'!D:D,A381,'QA Log'!M:M,"Vignette",'QA Log'!Z:Z,"Approved",'QA Log'!L:L,"*Vignette [4]: The management of presumptive TB patient*")
  )
)</f>
        <v/>
      </c>
      <c r="AX381" s="105" t="str">
        <f>IF(A381&lt;&gt;"",COUNTIFS('QA Log'!D:D,A381,'QA Log'!M:M,"Vignette",'QA Log'!L:L,"Vignette [1] Respiratory Infection: Pneumonia",'QA Log'!Z:Z,"Approved"),"")</f>
        <v/>
      </c>
      <c r="AY381" s="105" t="str">
        <f>IF(A381&lt;&gt;"",COUNTIFS('QA Log'!D:D,A381,'QA Log'!M:M,"Vignette",'QA Log'!L:L,"Vignette [2]: Diarrhea with Cat B dehydration",'QA Log'!Z:Z,"Approved"),"")</f>
        <v/>
      </c>
      <c r="AZ381" s="105" t="str">
        <f>IF(A381&lt;&gt;"",COUNTIFS('QA Log'!D:D,A381,'QA Log'!M:M,"Vignette",'QA Log'!L:L,"Vignette [3] Growth Monitoring and Promotion",'QA Log'!Z:Z,"Approved"),"")</f>
        <v/>
      </c>
      <c r="BA381" s="105" t="str">
        <f>IF(A381&lt;&gt;"",COUNTIFS('QA Log'!D:D,A381,'QA Log'!M:M,"Vignette",'QA Log'!L:L,"Vignette [4]: The management of presumptive TB patient",'QA Log'!Z:Z,"Approved"),"")</f>
        <v/>
      </c>
      <c r="BB381" s="102" t="str">
        <f>IF(A381="","",
  SUM(
    COUNTIFS('QA Log'!D:D,A381,'QA Log'!M:M,"Vignette",'QA Log'!Z:Z,"Rejected",'QA Log'!L:L,"*Vignette [1] Respiratory Infection: Pneumonia*"),
    COUNTIFS('QA Log'!D:D,A381,'QA Log'!M:M,"Vignette",'QA Log'!Z:Z,"Rejected",'QA Log'!L:L,"*Vignette [2]: Diarrhea with Cat B dehydration*"),
    COUNTIFS('QA Log'!D:D,A381,'QA Log'!M:M,"Vignette",'QA Log'!Z:Z,"Rejected",'QA Log'!L:L,"*Vignette [3] Growth Monitoring and Promotion*"),
    COUNTIFS('QA Log'!D:D,A381,'QA Log'!M:M,"Vignette",'QA Log'!Z:Z,"Rejected",'QA Log'!L:L,"*Vignette [4]: The management of presumptive TB patient*")
  )
)</f>
        <v/>
      </c>
      <c r="BC381" s="107" t="str">
        <f t="shared" si="35"/>
        <v/>
      </c>
      <c r="BD381" s="103" t="str">
        <f t="shared" si="36"/>
        <v/>
      </c>
      <c r="BE381" s="102" t="str">
        <f>IF(A381="","",SUM(
COUNTIFS('QA Log'!D:D,A381,'QA Log'!M:M,"Vignette",'QA Log'!L:L,"*Vignette [5] Labor*"),
COUNTIFS('QA Log'!D:D,A381,'QA Log'!M:M,"Vignette",'QA Log'!L:L,"*Vignette [6] PNC pre Discharge*"),
COUNTIFS('QA Log'!D:D,A381,'QA Log'!M:M,"Vignette",'QA Log'!L:L,"*Vignette [7] First ANC Visit*"),
COUNTIFS('QA Log'!D:D,A381,'QA Log'!M:M,"Vignette",'QA Log'!L:L,"*Vignette [8] Birth Spacing/ Family Planning :  FP Counselling*"),
COUNTIFS('QA Log'!D:D,A381,'QA Log'!M:M,"Vignette",'QA Log'!L:L,"*Vignette [9] Birth Spacing: Change FP method to Injectable*"),
COUNTIFS('QA Log'!D:D,A381,'QA Log'!M:M,"Vignette",'QA Log'!L:L,"*Vignette [10] Post Partum Haemorrhage - Atonic Uterus at Health Centre*"),
)
)</f>
        <v/>
      </c>
      <c r="BF381" s="102" t="str">
        <f>IF(A381="","",
  SUM(
    COUNTIFS('QA Log'!D:D,A381,'QA Log'!M:M,"Vignette",'QA Log'!Z:Z,"Approved",'QA Log'!L:L,"*Vignette [5] Labor*"),
    COUNTIFS('QA Log'!D:D,A381,'QA Log'!M:M,"Vignette",'QA Log'!Z:Z,"Approved",'QA Log'!L:L,"*Vignette [6] PNC pre Discharge*"),
    COUNTIFS('QA Log'!D:D,A381,'QA Log'!M:M,"Vignette",'QA Log'!Z:Z,"Approved",'QA Log'!L:L,"*Vignette [7] First ANC Visit*"),
    COUNTIFS('QA Log'!D:D,A381,'QA Log'!M:M,"Vignette",'QA Log'!Z:Z,"Approved",'QA Log'!L:L,"*Vignette [8] Birth Spacing/ Family Planning :  FP Counselling*"),
    COUNTIFS('QA Log'!D:D,A381,'QA Log'!M:M,"Vignette",'QA Log'!Z:Z,"Approved",'QA Log'!L:L,"*Vignette [9] Birth Spacing: Change FP method to Injectable*"),
    COUNTIFS('QA Log'!D:D,A381,'QA Log'!M:M,"Vignette",'QA Log'!Z:Z,"Approved",'QA Log'!L:L,"*Vignette [10] Post Partum Haemorrhage - Atonic Uterus at Health Centre*")
  )
)</f>
        <v/>
      </c>
      <c r="BG381" s="105" t="str">
        <f>IF(A381&lt;&gt;"",COUNTIFS('QA Log'!D:D,A381,'QA Log'!M:M,"Vignette",'QA Log'!L:L,"Vignette [5] Labor",'QA Log'!Z:Z,"Approved"),"")</f>
        <v/>
      </c>
      <c r="BH381" s="105" t="str">
        <f>IF(A381&lt;&gt;"",COUNTIFS('QA Log'!D:D,A381,'QA Log'!M:M,"Vignette",'QA Log'!L:L,"Vignette [6] PNC pre Discharge",'QA Log'!Z:Z,"Approved"),"")</f>
        <v/>
      </c>
      <c r="BI381" s="105" t="str">
        <f>IF(A381&lt;&gt;"",COUNTIFS('QA Log'!D:D,A381,'QA Log'!M:M,"Vignette",'QA Log'!L:L,"Vignette [7] First ANC Visit",'QA Log'!Z:Z,"Approved"),"")</f>
        <v/>
      </c>
      <c r="BJ381" s="105" t="str">
        <f>IF(A381&lt;&gt;"",COUNTIFS('QA Log'!D:D,A381,'QA Log'!M:M,"Vignette",'QA Log'!L:L,"Vignette [8] Birth Spacing/ Family Planning :  FP Counselling",'QA Log'!Z:Z,"Approved"),"")</f>
        <v/>
      </c>
      <c r="BK381" s="105" t="str">
        <f>IF(A381&lt;&gt;"",COUNTIFS('QA Log'!D:D,A381,'QA Log'!M:M,"Vignette",'QA Log'!L:L,"Vignette [9] Birth Spacing: Change FP method to Injectable",'QA Log'!Z:Z,"Approved"),"")</f>
        <v/>
      </c>
      <c r="BL381" s="105" t="str">
        <f>IF(A381&lt;&gt;"",COUNTIFS('QA Log'!D:D,A381,'QA Log'!M:M,"Vignette",'QA Log'!L:L,"Vignette [10] Post Partum Haemorrhage - Atonic Uterus at Health Centre",'QA Log'!Z:Z,"Approved"),"")</f>
        <v/>
      </c>
      <c r="BM381" s="102" t="str">
        <f>IF(A381="","",SUM(
    COUNTIFS('QA Log'!D:D,A381,'QA Log'!M:M,"Vignette",'QA Log'!Z:Z,"Rejected",'QA Log'!L:L,"*Vignette [5] Labor*"),
    COUNTIFS('QA Log'!D:D,A381,'QA Log'!M:M,"Vignette",'QA Log'!Z:Z,"Rejected",'QA Log'!L:L,"*Vignette [6] PNC pre Discharge*"),
    COUNTIFS('QA Log'!D:D,A381,'QA Log'!M:M,"Vignette",'QA Log'!Z:Z,"Rejected",'QA Log'!L:L,"*Vignette [7] First ANC Visit*"),
    COUNTIFS('QA Log'!D:D,A381,'QA Log'!M:M,"Vignette",'QA Log'!Z:Z,"Rejected",'QA Log'!L:L,"*Vignette [8] Birth Spacing/ Family Planning :  FP Counselling*"),
    COUNTIFS('QA Log'!D:D,A381,'QA Log'!M:M,"Vignette",'QA Log'!Z:Z,"Rejected",'QA Log'!L:L,"*Vignette [9] Birth Spacing: Change FP method to Injectable*"),
    COUNTIFS('QA Log'!D:D,A381,'QA Log'!M:M,"Vignette",'QA Log'!Z:Z,"Rejected",'QA Log'!L:L,"*Vignette [10] Post Partum Haemorrhage - Atonic Uterus at Health Centre*")
  )
)</f>
        <v/>
      </c>
      <c r="BN381" s="107" t="str">
        <f t="shared" si="37"/>
        <v/>
      </c>
      <c r="BO381" s="103" t="str">
        <f t="shared" si="38"/>
        <v/>
      </c>
      <c r="BP381" s="102" t="str">
        <f>IF(A381="","",SUM(
COUNTIFS('QA Log'!D:D,A381,'QA Log'!M:M,"Vignette",'QA Log'!L:L,"*Exit Interview 1*"),
COUNTIFS('QA Log'!D:D,A381,'QA Log'!M:M,"Vignette",'QA Log'!L:L,"*Exit Interview 2*"),
)
)</f>
        <v/>
      </c>
      <c r="BQ381" s="102" t="str">
        <f>IF(
  A381="","",
  SUM(
    COUNTIFS('QA Log'!D:D,A381,'QA Log'!M:M,"Vignette",'QA Log'!Z:Z,"Approved",'QA Log'!L:L,"*Exit Interview 1*"),
    COUNTIFS('QA Log'!D:D,A381,'QA Log'!M:M,"Vignette",'QA Log'!Z:Z,"Approved",'QA Log'!L:L,"*Exit Interview 2*")
  )
)</f>
        <v/>
      </c>
      <c r="BR381" s="105" t="str">
        <f>IF(A381&lt;&gt;"",COUNTIFS('QA Log'!D:D,A381,'QA Log'!M:M,"Vignette",'QA Log'!L:L,"Exit Interview 1",'QA Log'!Z:Z,"Approved"),"")</f>
        <v/>
      </c>
      <c r="BS381" s="105" t="str">
        <f>IF(A381&lt;&gt;"",COUNTIFS('QA Log'!D:D,A381,'QA Log'!M:M,"Vignette",'QA Log'!L:L,"Exit Interview 2",'QA Log'!Z:Z,"Approved"),"")</f>
        <v/>
      </c>
      <c r="BT381" s="102" t="str">
        <f>IF(
  A381="","",
  SUM(
    COUNTIFS('QA Log'!D:D,A381,'QA Log'!M:M,"Vignette",'QA Log'!Z:Z,"Rejected",'QA Log'!L:L,"*Exit Interview 1*"),
    COUNTIFS('QA Log'!D:D,A381,'QA Log'!M:M,"Vignette",'QA Log'!Z:Z,"Rejected",'QA Log'!L:L,"*Exit Interview 2*")
  )
)</f>
        <v/>
      </c>
      <c r="BU381" s="107" t="str">
        <f t="shared" si="39"/>
        <v/>
      </c>
      <c r="BV381" s="102" t="str">
        <f t="shared" si="40"/>
        <v/>
      </c>
      <c r="BW381" s="102" t="str">
        <f t="shared" si="41"/>
        <v/>
      </c>
      <c r="BX381" s="102" t="str">
        <f t="shared" si="42"/>
        <v/>
      </c>
      <c r="BY381" s="102" t="str">
        <f t="shared" si="43"/>
        <v/>
      </c>
      <c r="BZ381" s="107" t="str">
        <f t="shared" si="44"/>
        <v/>
      </c>
      <c r="CA381" s="108" t="str">
        <f t="shared" si="45"/>
        <v/>
      </c>
      <c r="CB381" s="108" t="str">
        <f t="shared" si="46"/>
        <v/>
      </c>
      <c r="CC381" s="109" t="str">
        <f t="shared" si="47"/>
        <v/>
      </c>
      <c r="CD381" s="108" t="str">
        <f t="shared" si="48"/>
        <v/>
      </c>
      <c r="CE381" s="108" t="str">
        <f t="shared" si="49"/>
        <v/>
      </c>
      <c r="CF381" s="109" t="str">
        <f t="shared" si="50"/>
        <v/>
      </c>
      <c r="CG381" s="110" t="str">
        <f t="shared" si="51"/>
        <v/>
      </c>
      <c r="CH381" s="111"/>
    </row>
    <row r="382" spans="1:86" ht="12.75">
      <c r="A382" s="101"/>
      <c r="B382" s="102" t="e">
        <f t="array" aca="1" ref="B382" ca="1">_xludf.XLOOKUP(A382,'QA Log'!D:D,'QA Log'!E:E,"")</f>
        <v>#NAME?</v>
      </c>
      <c r="C382" s="102" t="e">
        <f t="array" aca="1" ref="C382" ca="1">_xludf.XLOOKUP(A382,'QA Log'!D:D,'QA Log'!F:F,"")</f>
        <v>#NAME?</v>
      </c>
      <c r="D382" s="102" t="e">
        <f t="array" aca="1" ref="D382" ca="1">_xludf.XLOOKUP(A382,'QA Log'!D:D,'QA Log'!H:H,"")</f>
        <v>#NAME?</v>
      </c>
      <c r="E382" s="102" t="e">
        <f t="array" aca="1" ref="E382" ca="1">_xludf.XLOOKUP(A382,'QA Log'!D:D,'QA Log'!G:G,"")</f>
        <v>#NAME?</v>
      </c>
      <c r="F382" s="103"/>
      <c r="G382" s="104"/>
      <c r="H382" s="104"/>
      <c r="I382" s="103" t="str">
        <f t="shared" si="26"/>
        <v/>
      </c>
      <c r="J382" s="102" t="str">
        <f>IF(A382="","",SUM(
COUNTIFS('QA Log'!D:D,A382,'QA Log'!M:M,"QQC",'QA Log'!L:L,"*1. General Management*"),
COUNTIFS('QA Log'!D:D,A382,'QA Log'!M:M,"QQC",'QA Log'!L:L,"*3. Curative Consultation (OPD)*"),
COUNTIFS('QA Log'!D:D,A382,'QA Log'!M:M,"QQC",'QA Log'!L:L,"*5. Laboratory*"),
COUNTIFS('QA Log'!D:D,A382,'QA Log'!M:M,"QQC",'QA Log'!L:L,"*6. Essential Medicine Management*"),
COUNTIFS('QA Log'!D:D,A382,'QA Log'!M:M,"QQC",'QA Log'!L:L,"*7. Tracer Medicine*"),
COUNTIFS('QA Log'!D:D,A382,'QA Log'!M:M,"QQC",'QA Log'!L:L,"*11. Additional Questions*")))</f>
        <v/>
      </c>
      <c r="K382" s="102" t="str">
        <f>IF(A382="","",SUM(
COUNTIFS('QA Log'!D:D,A382,'QA Log'!M:M,"QQC",'QA Log'!Z:Z,"Approved",'QA Log'!L:L,"*1. General Management*"),
COUNTIFS('QA Log'!D:D,A382,'QA Log'!M:M,"QQC",'QA Log'!Z:Z,"Approved",'QA Log'!L:L,"*3. Curative Consultation (OPD)*"),
COUNTIFS('QA Log'!D:D,A382,'QA Log'!M:M,"QQC",'QA Log'!Z:Z,"Approved",'QA Log'!L:L,"*5. Laboratory*"),
COUNTIFS('QA Log'!D:D,A382,'QA Log'!M:M,"QQC",'QA Log'!Z:Z,"Approved",'QA Log'!L:L,"*6. Essential Medicine Management*"),
COUNTIFS('QA Log'!D:D,A382,'QA Log'!M:M,"QQC",'QA Log'!Z:Z,"Approved",'QA Log'!L:L,"*7. Tracer Medicine*"),
COUNTIFS('QA Log'!D:D,A382,'QA Log'!M:M,"QQC",'QA Log'!Z:Z,"Approved",'QA Log'!L:L,"*11. Additional Questions*")))</f>
        <v/>
      </c>
      <c r="L382" s="102" t="str">
        <f>IF(A382&lt;&gt;"",COUNTIFS('QA Log'!D:D,A382,'QA Log'!M:M,"QQC",'QA Log'!L:L,"1. General Management",'QA Log'!Z:Z,"Approved"),"")</f>
        <v/>
      </c>
      <c r="M382" s="102" t="str">
        <f>IF(A382&lt;&gt;"",COUNTIFS('QA Log'!D:D,A382,'QA Log'!M:M,"QQC",'QA Log'!L:L,"3. Curative Consultation (OPD)",'QA Log'!Z:Z,"Approved"),"")</f>
        <v/>
      </c>
      <c r="N382" s="102" t="str">
        <f>IF(A382&lt;&gt;"",COUNTIFS('QA Log'!D:D,A382,'QA Log'!M:M,"QQC",'QA Log'!L:L,"5. Laboratory",'QA Log'!Z:Z,"Approved"),"")</f>
        <v/>
      </c>
      <c r="O382" s="102" t="str">
        <f>IF(A382&lt;&gt;"",COUNTIFS('QA Log'!D:D,A382,'QA Log'!M:M,"QQC",'QA Log'!L:L,"6. Essential Medicine Management",'QA Log'!Z:Z,"Approved"),"")</f>
        <v/>
      </c>
      <c r="P382" s="102" t="str">
        <f>IF(A382&lt;&gt;"",COUNTIFS('QA Log'!D:D,A382,'QA Log'!M:M,"QQC",'QA Log'!L:L,"7. Tracer Medicine",'QA Log'!Z:Z,"Approved"),"")</f>
        <v/>
      </c>
      <c r="Q382" s="102" t="str">
        <f>IF(A382&lt;&gt;"",COUNTIFS('QA Log'!D:D,A382,'QA Log'!M:M,"QQC",'QA Log'!L:L,"11. Additional Questions",'QA Log'!Z:Z,"Approved"),"")</f>
        <v/>
      </c>
      <c r="R382" s="102" t="str">
        <f>IF(A382="","",SUM(
COUNTIFS('QA Log'!D:D,A382,'QA Log'!M:M,"QQC",'QA Log'!Z:Z,"Rejected",'QA Log'!L:L,"*8. Maternity*"),
COUNTIFS('QA Log'!D:D,A382,'QA Log'!M:M,"QQC",'QA Log'!Z:Z,"Rejected",'QA Log'!L:L,"*EPI*"),
COUNTIFS('QA Log'!D:D,A382,'QA Log'!M:M,"QQC",'QA Log'!Z:Z,"Rejected",'QA Log'!L:L,"*10. Antenatal Care (ANC)*"),
COUNTIFS('QA Log'!D:D,A382,'QA Log'!M:M,"QQC",'QA Log'!Z:Z,"Rejected",'QA Log'!L:L,"*2. Hygiene and Sterilization*"),
COUNTIFS('QA Log'!D:D,A382,'QA Log'!M:M,"QQC",'QA Log'!Z:Z,"Rejected",'QA Log'!L:L,"*Family Planning*")))</f>
        <v/>
      </c>
      <c r="S382" s="106" t="str">
        <f t="shared" si="27"/>
        <v/>
      </c>
      <c r="T382" s="102" t="str">
        <f t="shared" si="28"/>
        <v/>
      </c>
      <c r="U382" s="102" t="str">
        <f>IF(A382="","",
SUM(
COUNTIFS('QA Log'!D:D,A382,'QA Log'!M:M,"QQC",'QA Log'!L:L,"*8. Maternity*"),
COUNTIFS('QA Log'!D:D,A382,'QA Log'!M:M,"QQC",'QA Log'!L:L,"*9. EPI and Pre-school Consultation*"),
COUNTIFS('QA Log'!D:D,A382,'QA Log'!M:M,"QQC",'QA Log'!L:L,"*10. Antenatal Care (ANC)*"),
COUNTIFS('QA Log'!D:D,A382,'QA Log'!M:M,"QQC",'QA Log'!L:L,"*2. Hygiene and Sterilization*"),
COUNTIFS('QA Log'!D:D,A382,'QA Log'!M:M,"QQC",'QA Log'!L:L,"*4. Family Planning*")
))</f>
        <v/>
      </c>
      <c r="V382" s="102" t="str">
        <f>IF(A382="","",
SUM(
COUNTIFS('QA Log'!D:D,A382,'QA Log'!M:M,"QQC",'QA Log'!Z:Z,"Approved",'QA Log'!L:L,"*8. Maternity*"),
COUNTIFS('QA Log'!D:D,A382,'QA Log'!M:M,"QQC",'QA Log'!Z:Z,"Approved",'QA Log'!L:L,"*9. EPI and Pre-school Consultation*"),
COUNTIFS('QA Log'!D:D,A382,'QA Log'!M:M,"QQC",'QA Log'!Z:Z,"Approved",'QA Log'!L:L,"*10. Antenatal Care (ANC)*"),
COUNTIFS('QA Log'!D:D,A382,'QA Log'!M:M,"QQC",'QA Log'!Z:Z,"Approved",'QA Log'!L:L,"*2. Hygiene and Sterilization*"),
COUNTIFS('QA Log'!D:D,A382,'QA Log'!M:M,"QQC",'QA Log'!Z:Z,"Approved",'QA Log'!L:L,"*4. Family Planning*")
))</f>
        <v/>
      </c>
      <c r="W382" s="102" t="str">
        <f>IF(A382&lt;&gt;"",COUNTIFS('QA Log'!D:D,A382,'QA Log'!M:M,"QQC",'QA Log'!L:L,"8. Maternity",'QA Log'!Z:Z,"Approved"),"")</f>
        <v/>
      </c>
      <c r="X382" s="105" t="str">
        <f>IF(A382&lt;&gt;"",COUNTIFS('QA Log'!D:D,A382,'QA Log'!M:M,"QQC",'QA Log'!L:L,"9. EPI and Pre-school Consultation",'QA Log'!Z:Z,"Approved"),"")</f>
        <v/>
      </c>
      <c r="Y382" s="102" t="str">
        <f>IF(A382&lt;&gt;"",COUNTIFS('QA Log'!D:D,A382,'QA Log'!M:M,"QQC",'QA Log'!L:L,"10. Antenatal Care (ANC)",'QA Log'!Z:Z,"Approved"),"")</f>
        <v/>
      </c>
      <c r="Z382" s="102" t="str">
        <f>IF(A382&lt;&gt;"",COUNTIFS('QA Log'!D:D,A382,'QA Log'!M:M,"QQC",'QA Log'!L:L,"2. Hygiene and Sterilization",'QA Log'!Z:Z,"Approved"),"")</f>
        <v/>
      </c>
      <c r="AA382" s="105" t="str">
        <f>IF(A382&lt;&gt;"",COUNTIFS('QA Log'!D:D,A382,'QA Log'!M:M,"QQC",'QA Log'!L:L,"4. Family Planning",'QA Log'!Z:Z,"Approved"),"")</f>
        <v/>
      </c>
      <c r="AB382" s="102" t="str">
        <f>IF(A382="","",
SUM(
COUNTIFS('QA Log'!D:D,A382,'QA Log'!M:M,"QQC",'QA Log'!Z:Z,"Rejected",'QA Log'!L:L,"*8. Maternity*"),
COUNTIFS('QA Log'!D:D,A382,'QA Log'!M:M,"QQC",'QA Log'!Z:Z,"Rejected",'QA Log'!L:L,"*9. EPI and Pre-school Consultation*"),
COUNTIFS('QA Log'!D:D,A382,'QA Log'!M:M,"QQC",'QA Log'!Z:Z,"Rejected",'QA Log'!L:L,"*10. Antenatal Care (ANC)*"),
COUNTIFS('QA Log'!D:D,A382,'QA Log'!M:M,"QQC",'QA Log'!Z:Z,"Rejected",'QA Log'!L:L,"*2. Hygiene and Sterilization*"),
COUNTIFS('QA Log'!D:D,A382,'QA Log'!M:M,"QQC",'QA Log'!Z:Z,"Rejected",'QA Log'!L:L,"*4. Family Planning*")
))</f>
        <v/>
      </c>
      <c r="AC382" s="102" t="str">
        <f t="shared" si="29"/>
        <v/>
      </c>
      <c r="AD382" s="103" t="str">
        <f t="shared" si="30"/>
        <v/>
      </c>
      <c r="AE382" s="102" t="str">
        <f>IF(A382="","",
SUM(
COUNTIFS('QA Log'!D:D,A382,'QA Log'!M:M,"Data Verification",'QA Log'!L:L,"*Medicine (section 2)*"),
COUNTIFS('QA Log'!D:D,A382,'QA Log'!M:M,"Data Verification",'QA Log'!L:L,"*Lab Testing Availability*"),
COUNTIFS('QA Log'!D:D,A382,'QA Log'!M:M,"Data Verification",'QA Log'!L:L,"*Other than P4P (section 6)*"),
COUNTIFS('QA Log'!D:D,A382,'QA Log'!M:M,"Data Verification",'QA Log'!L:L,"*Hospital Governance*")
))</f>
        <v/>
      </c>
      <c r="AF382" s="102" t="str">
        <f>IF(A382="","",
SUM(
COUNTIFS('QA Log'!D:D,A382,'QA Log'!M:M,"Data Verification",'QA Log'!Z:Z,"Approved",'QA Log'!L:L,"*Medicine (section 2)*"),
COUNTIFS('QA Log'!D:D,A382,'QA Log'!M:M,"Data Verification",'QA Log'!Z:Z,"Approved",'QA Log'!L:L,"*Lab Testing Availability*"),
COUNTIFS('QA Log'!D:D,A382,'QA Log'!M:M,"Data Verification",'QA Log'!Z:Z,"Approved",'QA Log'!L:L,"*Other than P4P (section 6)*"),
COUNTIFS('QA Log'!D:D,A382,'QA Log'!M:M,"Data Verification",'QA Log'!Z:Z,"Approved",'QA Log'!L:L,"*Hospital Governance*")
))</f>
        <v/>
      </c>
      <c r="AG382" s="105" t="str">
        <f>IF(A382&lt;&gt;"",COUNTIFS('QA Log'!D:D,A382,'QA Log'!M:M,"Data Verification",'QA Log'!L:L,"Medicine (section 2)",'QA Log'!Z:Z,"Approved"),"")</f>
        <v/>
      </c>
      <c r="AH382" s="105" t="str">
        <f>IF(A382&lt;&gt;"",COUNTIFS('QA Log'!D:D,A382,'QA Log'!M:M,"Data Verification",'QA Log'!L:L,"Lab Testing Availability",'QA Log'!Z:Z,"Approved"),"")</f>
        <v/>
      </c>
      <c r="AI382" s="105" t="str">
        <f>IF(A382&lt;&gt;"",COUNTIFS('QA Log'!D:D,A382,'QA Log'!M:M,"Data Verification",'QA Log'!L:L,"Other than P4P (section 6)",'QA Log'!Z:Z,"Approved"),"")</f>
        <v/>
      </c>
      <c r="AJ382" s="105" t="str">
        <f>IF(A382&lt;&gt;"",COUNTIFS('QA Log'!D:D,A382,'QA Log'!M:M,"Data Verification",'QA Log'!L:L,"Hospital Governance",'QA Log'!Z:Z,"Approved"),"")</f>
        <v/>
      </c>
      <c r="AK382" s="102" t="str">
        <f>IF(A382="","",
SUM(
COUNTIFS('QA Log'!D:D,A382,'QA Log'!M:M,"Data Verification",'QA Log'!Z:Z,"Rejected",'QA Log'!L:L,"*Medicine (section 2)*"),
COUNTIFS('QA Log'!D:D,A382,'QA Log'!M:M,"Data Verification",'QA Log'!Z:Z,"Rejected",'QA Log'!L:L,"*Lab Testing Availability*"),
COUNTIFS('QA Log'!D:D,A382,'QA Log'!M:M,"Data Verification",'QA Log'!Z:Z,"Rejected",'QA Log'!L:L,"*Other than P4P (section 6)*"),
COUNTIFS('QA Log'!D:D,A382,'QA Log'!M:M,"Data Verification",'QA Log'!Z:Z,"Rejected",'QA Log'!L:L,"*Hospital Governance*")
))</f>
        <v/>
      </c>
      <c r="AL382" s="106" t="str">
        <f t="shared" si="31"/>
        <v/>
      </c>
      <c r="AM382" s="102" t="str">
        <f t="shared" si="32"/>
        <v/>
      </c>
      <c r="AN382" s="102" t="str">
        <f>IF(A382="","",
SUM(
COUNTIFS('QA Log'!D:D,A382,'QA Log'!M:M,"Data Verification",'QA Log'!L:L,"*Personnel (section 1)*"),
COUNTIFS('QA Log'!D:D,A382,'QA Log'!M:M,"Data Verification",'QA Log'!L:L,"*Consumable (section 3)*"),
COUNTIFS('QA Log'!D:D,A382,'QA Log'!M:M,"Data Verification",'QA Log'!L:L,"*Equipments (section 4)*")
))</f>
        <v/>
      </c>
      <c r="AO382" s="102" t="str">
        <f>IF(A382="","",
SUM(
COUNTIFS('QA Log'!D:D,A382,'QA Log'!M:M,"Data Verification",'QA Log'!Z:Z,"Approved",'QA Log'!L:L,"*Personnel (section 1)*"),
COUNTIFS('QA Log'!D:D,A382,'QA Log'!M:M,"Data Verification",'QA Log'!Z:Z,"Approved",'QA Log'!L:L,"*Consumable (section 3)*"),
COUNTIFS('QA Log'!D:D,A382,'QA Log'!M:M,"Data Verification",'QA Log'!Z:Z,"Approved",'QA Log'!L:L,"*Equipments (section 4)*")
))</f>
        <v/>
      </c>
      <c r="AP382" s="105" t="str">
        <f>IF(A382&lt;&gt;"",COUNTIFS('QA Log'!D:D,A382,'QA Log'!M:M,"Data Verification",'QA Log'!L:L,"Personnel (section 1)",'QA Log'!Z:Z,"Approved"),"")</f>
        <v/>
      </c>
      <c r="AQ382" s="105" t="str">
        <f>IF(A382&lt;&gt;"",COUNTIFS('QA Log'!D:D,A382,'QA Log'!M:M,"Data Verification",'QA Log'!L:L,"Consumable (section 3)",'QA Log'!Z:Z,"Approved"),"")</f>
        <v/>
      </c>
      <c r="AR382" s="105" t="str">
        <f>IF(A382&lt;&gt;"",COUNTIFS('QA Log'!D:D,A382,'QA Log'!M:M,"Data Verification",'QA Log'!L:L,"Equipments (section 4)",'QA Log'!Z:Z,"Approved"),"")</f>
        <v/>
      </c>
      <c r="AS382" s="102" t="str">
        <f>IF(A382="","",
SUM(
COUNTIFS('QA Log'!D:D,A382,'QA Log'!M:M,"Data Verification",'QA Log'!Z:Z,"Rejected",'QA Log'!L:L,"*Personnel (section 1)*"),
COUNTIFS('QA Log'!D:D,A382,'QA Log'!M:M,"Data Verification",'QA Log'!Z:Z,"Rejected",'QA Log'!L:L,"*Consumable (section 3)*"),
COUNTIFS('QA Log'!D:D,A382,'QA Log'!M:M,"Data Verification",'QA Log'!Z:Z,"Rejected",'QA Log'!L:L,"*Equipments (section 4)*")
))</f>
        <v/>
      </c>
      <c r="AT382" s="102" t="str">
        <f t="shared" si="33"/>
        <v/>
      </c>
      <c r="AU382" s="103" t="str">
        <f t="shared" si="34"/>
        <v/>
      </c>
      <c r="AV382" s="102" t="str">
        <f>IF(A382="","",SUM(
COUNTIFS('QA Log'!D:D,A382,'QA Log'!M:M,"Vignette",'QA Log'!L:L,"*Vignette [1] Respiratory Infection: Pneumonia*"),
COUNTIFS('QA Log'!D:D,A382,'QA Log'!M:M,"Vignette",'QA Log'!L:L,"*Vignette [2]: Diarrhea with Cat B dehydration*"),
COUNTIFS('QA Log'!D:D,A382,'QA Log'!M:M,"Vignette",'QA Log'!L:L,"*Vignette [3] Growth Monitoring and Promotion*"),
COUNTIFS('QA Log'!D:D,A382,'QA Log'!M:M,"Vignette",'QA Log'!L:L,"*Vignette [4]: The management of presumptive TB patient*")
)
)</f>
        <v/>
      </c>
      <c r="AW382" s="102" t="str">
        <f>IF(
  A382="","",
  SUM(
    COUNTIFS('QA Log'!D:D,A382,'QA Log'!M:M,"Vignette",'QA Log'!Z:Z,"Approved",'QA Log'!L:L,"*Vignette [1] Respiratory Infection: Pneumonia*"),
    COUNTIFS('QA Log'!D:D,A382,'QA Log'!M:M,"Vignette",'QA Log'!Z:Z,"Approved",'QA Log'!L:L,"*Vignette [2]: Diarrhea with Cat B dehydration*"),
    COUNTIFS('QA Log'!D:D,A382,'QA Log'!M:M,"Vignette",'QA Log'!Z:Z,"Approved",'QA Log'!L:L,"*Vignette [3] Growth Monitoring and Promotion*"),
    COUNTIFS('QA Log'!D:D,A382,'QA Log'!M:M,"Vignette",'QA Log'!Z:Z,"Approved",'QA Log'!L:L,"*Vignette [4]: The management of presumptive TB patient*")
  )
)</f>
        <v/>
      </c>
      <c r="AX382" s="105" t="str">
        <f>IF(A382&lt;&gt;"",COUNTIFS('QA Log'!D:D,A382,'QA Log'!M:M,"Vignette",'QA Log'!L:L,"Vignette [1] Respiratory Infection: Pneumonia",'QA Log'!Z:Z,"Approved"),"")</f>
        <v/>
      </c>
      <c r="AY382" s="105" t="str">
        <f>IF(A382&lt;&gt;"",COUNTIFS('QA Log'!D:D,A382,'QA Log'!M:M,"Vignette",'QA Log'!L:L,"Vignette [2]: Diarrhea with Cat B dehydration",'QA Log'!Z:Z,"Approved"),"")</f>
        <v/>
      </c>
      <c r="AZ382" s="105" t="str">
        <f>IF(A382&lt;&gt;"",COUNTIFS('QA Log'!D:D,A382,'QA Log'!M:M,"Vignette",'QA Log'!L:L,"Vignette [3] Growth Monitoring and Promotion",'QA Log'!Z:Z,"Approved"),"")</f>
        <v/>
      </c>
      <c r="BA382" s="105" t="str">
        <f>IF(A382&lt;&gt;"",COUNTIFS('QA Log'!D:D,A382,'QA Log'!M:M,"Vignette",'QA Log'!L:L,"Vignette [4]: The management of presumptive TB patient",'QA Log'!Z:Z,"Approved"),"")</f>
        <v/>
      </c>
      <c r="BB382" s="102" t="str">
        <f>IF(A382="","",
  SUM(
    COUNTIFS('QA Log'!D:D,A382,'QA Log'!M:M,"Vignette",'QA Log'!Z:Z,"Rejected",'QA Log'!L:L,"*Vignette [1] Respiratory Infection: Pneumonia*"),
    COUNTIFS('QA Log'!D:D,A382,'QA Log'!M:M,"Vignette",'QA Log'!Z:Z,"Rejected",'QA Log'!L:L,"*Vignette [2]: Diarrhea with Cat B dehydration*"),
    COUNTIFS('QA Log'!D:D,A382,'QA Log'!M:M,"Vignette",'QA Log'!Z:Z,"Rejected",'QA Log'!L:L,"*Vignette [3] Growth Monitoring and Promotion*"),
    COUNTIFS('QA Log'!D:D,A382,'QA Log'!M:M,"Vignette",'QA Log'!Z:Z,"Rejected",'QA Log'!L:L,"*Vignette [4]: The management of presumptive TB patient*")
  )
)</f>
        <v/>
      </c>
      <c r="BC382" s="107" t="str">
        <f t="shared" si="35"/>
        <v/>
      </c>
      <c r="BD382" s="103" t="str">
        <f t="shared" si="36"/>
        <v/>
      </c>
      <c r="BE382" s="102" t="str">
        <f>IF(A382="","",SUM(
COUNTIFS('QA Log'!D:D,A382,'QA Log'!M:M,"Vignette",'QA Log'!L:L,"*Vignette [5] Labor*"),
COUNTIFS('QA Log'!D:D,A382,'QA Log'!M:M,"Vignette",'QA Log'!L:L,"*Vignette [6] PNC pre Discharge*"),
COUNTIFS('QA Log'!D:D,A382,'QA Log'!M:M,"Vignette",'QA Log'!L:L,"*Vignette [7] First ANC Visit*"),
COUNTIFS('QA Log'!D:D,A382,'QA Log'!M:M,"Vignette",'QA Log'!L:L,"*Vignette [8] Birth Spacing/ Family Planning :  FP Counselling*"),
COUNTIFS('QA Log'!D:D,A382,'QA Log'!M:M,"Vignette",'QA Log'!L:L,"*Vignette [9] Birth Spacing: Change FP method to Injectable*"),
COUNTIFS('QA Log'!D:D,A382,'QA Log'!M:M,"Vignette",'QA Log'!L:L,"*Vignette [10] Post Partum Haemorrhage - Atonic Uterus at Health Centre*"),
)
)</f>
        <v/>
      </c>
      <c r="BF382" s="102" t="str">
        <f>IF(A382="","",
  SUM(
    COUNTIFS('QA Log'!D:D,A382,'QA Log'!M:M,"Vignette",'QA Log'!Z:Z,"Approved",'QA Log'!L:L,"*Vignette [5] Labor*"),
    COUNTIFS('QA Log'!D:D,A382,'QA Log'!M:M,"Vignette",'QA Log'!Z:Z,"Approved",'QA Log'!L:L,"*Vignette [6] PNC pre Discharge*"),
    COUNTIFS('QA Log'!D:D,A382,'QA Log'!M:M,"Vignette",'QA Log'!Z:Z,"Approved",'QA Log'!L:L,"*Vignette [7] First ANC Visit*"),
    COUNTIFS('QA Log'!D:D,A382,'QA Log'!M:M,"Vignette",'QA Log'!Z:Z,"Approved",'QA Log'!L:L,"*Vignette [8] Birth Spacing/ Family Planning :  FP Counselling*"),
    COUNTIFS('QA Log'!D:D,A382,'QA Log'!M:M,"Vignette",'QA Log'!Z:Z,"Approved",'QA Log'!L:L,"*Vignette [9] Birth Spacing: Change FP method to Injectable*"),
    COUNTIFS('QA Log'!D:D,A382,'QA Log'!M:M,"Vignette",'QA Log'!Z:Z,"Approved",'QA Log'!L:L,"*Vignette [10] Post Partum Haemorrhage - Atonic Uterus at Health Centre*")
  )
)</f>
        <v/>
      </c>
      <c r="BG382" s="105" t="str">
        <f>IF(A382&lt;&gt;"",COUNTIFS('QA Log'!D:D,A382,'QA Log'!M:M,"Vignette",'QA Log'!L:L,"Vignette [5] Labor",'QA Log'!Z:Z,"Approved"),"")</f>
        <v/>
      </c>
      <c r="BH382" s="105" t="str">
        <f>IF(A382&lt;&gt;"",COUNTIFS('QA Log'!D:D,A382,'QA Log'!M:M,"Vignette",'QA Log'!L:L,"Vignette [6] PNC pre Discharge",'QA Log'!Z:Z,"Approved"),"")</f>
        <v/>
      </c>
      <c r="BI382" s="105" t="str">
        <f>IF(A382&lt;&gt;"",COUNTIFS('QA Log'!D:D,A382,'QA Log'!M:M,"Vignette",'QA Log'!L:L,"Vignette [7] First ANC Visit",'QA Log'!Z:Z,"Approved"),"")</f>
        <v/>
      </c>
      <c r="BJ382" s="105" t="str">
        <f>IF(A382&lt;&gt;"",COUNTIFS('QA Log'!D:D,A382,'QA Log'!M:M,"Vignette",'QA Log'!L:L,"Vignette [8] Birth Spacing/ Family Planning :  FP Counselling",'QA Log'!Z:Z,"Approved"),"")</f>
        <v/>
      </c>
      <c r="BK382" s="105" t="str">
        <f>IF(A382&lt;&gt;"",COUNTIFS('QA Log'!D:D,A382,'QA Log'!M:M,"Vignette",'QA Log'!L:L,"Vignette [9] Birth Spacing: Change FP method to Injectable",'QA Log'!Z:Z,"Approved"),"")</f>
        <v/>
      </c>
      <c r="BL382" s="105" t="str">
        <f>IF(A382&lt;&gt;"",COUNTIFS('QA Log'!D:D,A382,'QA Log'!M:M,"Vignette",'QA Log'!L:L,"Vignette [10] Post Partum Haemorrhage - Atonic Uterus at Health Centre",'QA Log'!Z:Z,"Approved"),"")</f>
        <v/>
      </c>
      <c r="BM382" s="102" t="str">
        <f>IF(A382="","",SUM(
    COUNTIFS('QA Log'!D:D,A382,'QA Log'!M:M,"Vignette",'QA Log'!Z:Z,"Rejected",'QA Log'!L:L,"*Vignette [5] Labor*"),
    COUNTIFS('QA Log'!D:D,A382,'QA Log'!M:M,"Vignette",'QA Log'!Z:Z,"Rejected",'QA Log'!L:L,"*Vignette [6] PNC pre Discharge*"),
    COUNTIFS('QA Log'!D:D,A382,'QA Log'!M:M,"Vignette",'QA Log'!Z:Z,"Rejected",'QA Log'!L:L,"*Vignette [7] First ANC Visit*"),
    COUNTIFS('QA Log'!D:D,A382,'QA Log'!M:M,"Vignette",'QA Log'!Z:Z,"Rejected",'QA Log'!L:L,"*Vignette [8] Birth Spacing/ Family Planning :  FP Counselling*"),
    COUNTIFS('QA Log'!D:D,A382,'QA Log'!M:M,"Vignette",'QA Log'!Z:Z,"Rejected",'QA Log'!L:L,"*Vignette [9] Birth Spacing: Change FP method to Injectable*"),
    COUNTIFS('QA Log'!D:D,A382,'QA Log'!M:M,"Vignette",'QA Log'!Z:Z,"Rejected",'QA Log'!L:L,"*Vignette [10] Post Partum Haemorrhage - Atonic Uterus at Health Centre*")
  )
)</f>
        <v/>
      </c>
      <c r="BN382" s="107" t="str">
        <f t="shared" si="37"/>
        <v/>
      </c>
      <c r="BO382" s="103" t="str">
        <f t="shared" si="38"/>
        <v/>
      </c>
      <c r="BP382" s="102" t="str">
        <f>IF(A382="","",SUM(
COUNTIFS('QA Log'!D:D,A382,'QA Log'!M:M,"Vignette",'QA Log'!L:L,"*Exit Interview 1*"),
COUNTIFS('QA Log'!D:D,A382,'QA Log'!M:M,"Vignette",'QA Log'!L:L,"*Exit Interview 2*"),
)
)</f>
        <v/>
      </c>
      <c r="BQ382" s="102" t="str">
        <f>IF(
  A382="","",
  SUM(
    COUNTIFS('QA Log'!D:D,A382,'QA Log'!M:M,"Vignette",'QA Log'!Z:Z,"Approved",'QA Log'!L:L,"*Exit Interview 1*"),
    COUNTIFS('QA Log'!D:D,A382,'QA Log'!M:M,"Vignette",'QA Log'!Z:Z,"Approved",'QA Log'!L:L,"*Exit Interview 2*")
  )
)</f>
        <v/>
      </c>
      <c r="BR382" s="105" t="str">
        <f>IF(A382&lt;&gt;"",COUNTIFS('QA Log'!D:D,A382,'QA Log'!M:M,"Vignette",'QA Log'!L:L,"Exit Interview 1",'QA Log'!Z:Z,"Approved"),"")</f>
        <v/>
      </c>
      <c r="BS382" s="105" t="str">
        <f>IF(A382&lt;&gt;"",COUNTIFS('QA Log'!D:D,A382,'QA Log'!M:M,"Vignette",'QA Log'!L:L,"Exit Interview 2",'QA Log'!Z:Z,"Approved"),"")</f>
        <v/>
      </c>
      <c r="BT382" s="102" t="str">
        <f>IF(
  A382="","",
  SUM(
    COUNTIFS('QA Log'!D:D,A382,'QA Log'!M:M,"Vignette",'QA Log'!Z:Z,"Rejected",'QA Log'!L:L,"*Exit Interview 1*"),
    COUNTIFS('QA Log'!D:D,A382,'QA Log'!M:M,"Vignette",'QA Log'!Z:Z,"Rejected",'QA Log'!L:L,"*Exit Interview 2*")
  )
)</f>
        <v/>
      </c>
      <c r="BU382" s="107" t="str">
        <f t="shared" si="39"/>
        <v/>
      </c>
      <c r="BV382" s="102" t="str">
        <f t="shared" si="40"/>
        <v/>
      </c>
      <c r="BW382" s="102" t="str">
        <f t="shared" si="41"/>
        <v/>
      </c>
      <c r="BX382" s="102" t="str">
        <f t="shared" si="42"/>
        <v/>
      </c>
      <c r="BY382" s="102" t="str">
        <f t="shared" si="43"/>
        <v/>
      </c>
      <c r="BZ382" s="107" t="str">
        <f t="shared" si="44"/>
        <v/>
      </c>
      <c r="CA382" s="108" t="str">
        <f t="shared" si="45"/>
        <v/>
      </c>
      <c r="CB382" s="108" t="str">
        <f t="shared" si="46"/>
        <v/>
      </c>
      <c r="CC382" s="109" t="str">
        <f t="shared" si="47"/>
        <v/>
      </c>
      <c r="CD382" s="108" t="str">
        <f t="shared" si="48"/>
        <v/>
      </c>
      <c r="CE382" s="108" t="str">
        <f t="shared" si="49"/>
        <v/>
      </c>
      <c r="CF382" s="109" t="str">
        <f t="shared" si="50"/>
        <v/>
      </c>
      <c r="CG382" s="110" t="str">
        <f t="shared" si="51"/>
        <v/>
      </c>
      <c r="CH382" s="111"/>
    </row>
    <row r="383" spans="1:86" ht="12.75">
      <c r="A383" s="101"/>
      <c r="B383" s="102" t="e">
        <f t="array" aca="1" ref="B383" ca="1">_xludf.XLOOKUP(A383,'QA Log'!D:D,'QA Log'!E:E,"")</f>
        <v>#NAME?</v>
      </c>
      <c r="C383" s="102" t="e">
        <f t="array" aca="1" ref="C383" ca="1">_xludf.XLOOKUP(A383,'QA Log'!D:D,'QA Log'!F:F,"")</f>
        <v>#NAME?</v>
      </c>
      <c r="D383" s="102" t="e">
        <f t="array" aca="1" ref="D383" ca="1">_xludf.XLOOKUP(A383,'QA Log'!D:D,'QA Log'!H:H,"")</f>
        <v>#NAME?</v>
      </c>
      <c r="E383" s="102" t="e">
        <f t="array" aca="1" ref="E383" ca="1">_xludf.XLOOKUP(A383,'QA Log'!D:D,'QA Log'!G:G,"")</f>
        <v>#NAME?</v>
      </c>
      <c r="F383" s="103"/>
      <c r="G383" s="104"/>
      <c r="H383" s="104"/>
      <c r="I383" s="103" t="str">
        <f t="shared" si="26"/>
        <v/>
      </c>
      <c r="J383" s="102" t="str">
        <f>IF(A383="","",SUM(
COUNTIFS('QA Log'!D:D,A383,'QA Log'!M:M,"QQC",'QA Log'!L:L,"*1. General Management*"),
COUNTIFS('QA Log'!D:D,A383,'QA Log'!M:M,"QQC",'QA Log'!L:L,"*3. Curative Consultation (OPD)*"),
COUNTIFS('QA Log'!D:D,A383,'QA Log'!M:M,"QQC",'QA Log'!L:L,"*5. Laboratory*"),
COUNTIFS('QA Log'!D:D,A383,'QA Log'!M:M,"QQC",'QA Log'!L:L,"*6. Essential Medicine Management*"),
COUNTIFS('QA Log'!D:D,A383,'QA Log'!M:M,"QQC",'QA Log'!L:L,"*7. Tracer Medicine*"),
COUNTIFS('QA Log'!D:D,A383,'QA Log'!M:M,"QQC",'QA Log'!L:L,"*11. Additional Questions*")))</f>
        <v/>
      </c>
      <c r="K383" s="102" t="str">
        <f>IF(A383="","",SUM(
COUNTIFS('QA Log'!D:D,A383,'QA Log'!M:M,"QQC",'QA Log'!Z:Z,"Approved",'QA Log'!L:L,"*1. General Management*"),
COUNTIFS('QA Log'!D:D,A383,'QA Log'!M:M,"QQC",'QA Log'!Z:Z,"Approved",'QA Log'!L:L,"*3. Curative Consultation (OPD)*"),
COUNTIFS('QA Log'!D:D,A383,'QA Log'!M:M,"QQC",'QA Log'!Z:Z,"Approved",'QA Log'!L:L,"*5. Laboratory*"),
COUNTIFS('QA Log'!D:D,A383,'QA Log'!M:M,"QQC",'QA Log'!Z:Z,"Approved",'QA Log'!L:L,"*6. Essential Medicine Management*"),
COUNTIFS('QA Log'!D:D,A383,'QA Log'!M:M,"QQC",'QA Log'!Z:Z,"Approved",'QA Log'!L:L,"*7. Tracer Medicine*"),
COUNTIFS('QA Log'!D:D,A383,'QA Log'!M:M,"QQC",'QA Log'!Z:Z,"Approved",'QA Log'!L:L,"*11. Additional Questions*")))</f>
        <v/>
      </c>
      <c r="L383" s="102" t="str">
        <f>IF(A383&lt;&gt;"",COUNTIFS('QA Log'!D:D,A383,'QA Log'!M:M,"QQC",'QA Log'!L:L,"1. General Management",'QA Log'!Z:Z,"Approved"),"")</f>
        <v/>
      </c>
      <c r="M383" s="102" t="str">
        <f>IF(A383&lt;&gt;"",COUNTIFS('QA Log'!D:D,A383,'QA Log'!M:M,"QQC",'QA Log'!L:L,"3. Curative Consultation (OPD)",'QA Log'!Z:Z,"Approved"),"")</f>
        <v/>
      </c>
      <c r="N383" s="102" t="str">
        <f>IF(A383&lt;&gt;"",COUNTIFS('QA Log'!D:D,A383,'QA Log'!M:M,"QQC",'QA Log'!L:L,"5. Laboratory",'QA Log'!Z:Z,"Approved"),"")</f>
        <v/>
      </c>
      <c r="O383" s="102" t="str">
        <f>IF(A383&lt;&gt;"",COUNTIFS('QA Log'!D:D,A383,'QA Log'!M:M,"QQC",'QA Log'!L:L,"6. Essential Medicine Management",'QA Log'!Z:Z,"Approved"),"")</f>
        <v/>
      </c>
      <c r="P383" s="102" t="str">
        <f>IF(A383&lt;&gt;"",COUNTIFS('QA Log'!D:D,A383,'QA Log'!M:M,"QQC",'QA Log'!L:L,"7. Tracer Medicine",'QA Log'!Z:Z,"Approved"),"")</f>
        <v/>
      </c>
      <c r="Q383" s="102" t="str">
        <f>IF(A383&lt;&gt;"",COUNTIFS('QA Log'!D:D,A383,'QA Log'!M:M,"QQC",'QA Log'!L:L,"11. Additional Questions",'QA Log'!Z:Z,"Approved"),"")</f>
        <v/>
      </c>
      <c r="R383" s="102" t="str">
        <f>IF(A383="","",SUM(
COUNTIFS('QA Log'!D:D,A383,'QA Log'!M:M,"QQC",'QA Log'!Z:Z,"Rejected",'QA Log'!L:L,"*8. Maternity*"),
COUNTIFS('QA Log'!D:D,A383,'QA Log'!M:M,"QQC",'QA Log'!Z:Z,"Rejected",'QA Log'!L:L,"*EPI*"),
COUNTIFS('QA Log'!D:D,A383,'QA Log'!M:M,"QQC",'QA Log'!Z:Z,"Rejected",'QA Log'!L:L,"*10. Antenatal Care (ANC)*"),
COUNTIFS('QA Log'!D:D,A383,'QA Log'!M:M,"QQC",'QA Log'!Z:Z,"Rejected",'QA Log'!L:L,"*2. Hygiene and Sterilization*"),
COUNTIFS('QA Log'!D:D,A383,'QA Log'!M:M,"QQC",'QA Log'!Z:Z,"Rejected",'QA Log'!L:L,"*Family Planning*")))</f>
        <v/>
      </c>
      <c r="S383" s="106" t="str">
        <f t="shared" si="27"/>
        <v/>
      </c>
      <c r="T383" s="102" t="str">
        <f t="shared" si="28"/>
        <v/>
      </c>
      <c r="U383" s="102" t="str">
        <f>IF(A383="","",
SUM(
COUNTIFS('QA Log'!D:D,A383,'QA Log'!M:M,"QQC",'QA Log'!L:L,"*8. Maternity*"),
COUNTIFS('QA Log'!D:D,A383,'QA Log'!M:M,"QQC",'QA Log'!L:L,"*9. EPI and Pre-school Consultation*"),
COUNTIFS('QA Log'!D:D,A383,'QA Log'!M:M,"QQC",'QA Log'!L:L,"*10. Antenatal Care (ANC)*"),
COUNTIFS('QA Log'!D:D,A383,'QA Log'!M:M,"QQC",'QA Log'!L:L,"*2. Hygiene and Sterilization*"),
COUNTIFS('QA Log'!D:D,A383,'QA Log'!M:M,"QQC",'QA Log'!L:L,"*4. Family Planning*")
))</f>
        <v/>
      </c>
      <c r="V383" s="102" t="str">
        <f>IF(A383="","",
SUM(
COUNTIFS('QA Log'!D:D,A383,'QA Log'!M:M,"QQC",'QA Log'!Z:Z,"Approved",'QA Log'!L:L,"*8. Maternity*"),
COUNTIFS('QA Log'!D:D,A383,'QA Log'!M:M,"QQC",'QA Log'!Z:Z,"Approved",'QA Log'!L:L,"*9. EPI and Pre-school Consultation*"),
COUNTIFS('QA Log'!D:D,A383,'QA Log'!M:M,"QQC",'QA Log'!Z:Z,"Approved",'QA Log'!L:L,"*10. Antenatal Care (ANC)*"),
COUNTIFS('QA Log'!D:D,A383,'QA Log'!M:M,"QQC",'QA Log'!Z:Z,"Approved",'QA Log'!L:L,"*2. Hygiene and Sterilization*"),
COUNTIFS('QA Log'!D:D,A383,'QA Log'!M:M,"QQC",'QA Log'!Z:Z,"Approved",'QA Log'!L:L,"*4. Family Planning*")
))</f>
        <v/>
      </c>
      <c r="W383" s="102" t="str">
        <f>IF(A383&lt;&gt;"",COUNTIFS('QA Log'!D:D,A383,'QA Log'!M:M,"QQC",'QA Log'!L:L,"8. Maternity",'QA Log'!Z:Z,"Approved"),"")</f>
        <v/>
      </c>
      <c r="X383" s="105" t="str">
        <f>IF(A383&lt;&gt;"",COUNTIFS('QA Log'!D:D,A383,'QA Log'!M:M,"QQC",'QA Log'!L:L,"9. EPI and Pre-school Consultation",'QA Log'!Z:Z,"Approved"),"")</f>
        <v/>
      </c>
      <c r="Y383" s="102" t="str">
        <f>IF(A383&lt;&gt;"",COUNTIFS('QA Log'!D:D,A383,'QA Log'!M:M,"QQC",'QA Log'!L:L,"10. Antenatal Care (ANC)",'QA Log'!Z:Z,"Approved"),"")</f>
        <v/>
      </c>
      <c r="Z383" s="102" t="str">
        <f>IF(A383&lt;&gt;"",COUNTIFS('QA Log'!D:D,A383,'QA Log'!M:M,"QQC",'QA Log'!L:L,"2. Hygiene and Sterilization",'QA Log'!Z:Z,"Approved"),"")</f>
        <v/>
      </c>
      <c r="AA383" s="105" t="str">
        <f>IF(A383&lt;&gt;"",COUNTIFS('QA Log'!D:D,A383,'QA Log'!M:M,"QQC",'QA Log'!L:L,"4. Family Planning",'QA Log'!Z:Z,"Approved"),"")</f>
        <v/>
      </c>
      <c r="AB383" s="102" t="str">
        <f>IF(A383="","",
SUM(
COUNTIFS('QA Log'!D:D,A383,'QA Log'!M:M,"QQC",'QA Log'!Z:Z,"Rejected",'QA Log'!L:L,"*8. Maternity*"),
COUNTIFS('QA Log'!D:D,A383,'QA Log'!M:M,"QQC",'QA Log'!Z:Z,"Rejected",'QA Log'!L:L,"*9. EPI and Pre-school Consultation*"),
COUNTIFS('QA Log'!D:D,A383,'QA Log'!M:M,"QQC",'QA Log'!Z:Z,"Rejected",'QA Log'!L:L,"*10. Antenatal Care (ANC)*"),
COUNTIFS('QA Log'!D:D,A383,'QA Log'!M:M,"QQC",'QA Log'!Z:Z,"Rejected",'QA Log'!L:L,"*2. Hygiene and Sterilization*"),
COUNTIFS('QA Log'!D:D,A383,'QA Log'!M:M,"QQC",'QA Log'!Z:Z,"Rejected",'QA Log'!L:L,"*4. Family Planning*")
))</f>
        <v/>
      </c>
      <c r="AC383" s="102" t="str">
        <f t="shared" si="29"/>
        <v/>
      </c>
      <c r="AD383" s="103" t="str">
        <f t="shared" si="30"/>
        <v/>
      </c>
      <c r="AE383" s="102" t="str">
        <f>IF(A383="","",
SUM(
COUNTIFS('QA Log'!D:D,A383,'QA Log'!M:M,"Data Verification",'QA Log'!L:L,"*Medicine (section 2)*"),
COUNTIFS('QA Log'!D:D,A383,'QA Log'!M:M,"Data Verification",'QA Log'!L:L,"*Lab Testing Availability*"),
COUNTIFS('QA Log'!D:D,A383,'QA Log'!M:M,"Data Verification",'QA Log'!L:L,"*Other than P4P (section 6)*"),
COUNTIFS('QA Log'!D:D,A383,'QA Log'!M:M,"Data Verification",'QA Log'!L:L,"*Hospital Governance*")
))</f>
        <v/>
      </c>
      <c r="AF383" s="102" t="str">
        <f>IF(A383="","",
SUM(
COUNTIFS('QA Log'!D:D,A383,'QA Log'!M:M,"Data Verification",'QA Log'!Z:Z,"Approved",'QA Log'!L:L,"*Medicine (section 2)*"),
COUNTIFS('QA Log'!D:D,A383,'QA Log'!M:M,"Data Verification",'QA Log'!Z:Z,"Approved",'QA Log'!L:L,"*Lab Testing Availability*"),
COUNTIFS('QA Log'!D:D,A383,'QA Log'!M:M,"Data Verification",'QA Log'!Z:Z,"Approved",'QA Log'!L:L,"*Other than P4P (section 6)*"),
COUNTIFS('QA Log'!D:D,A383,'QA Log'!M:M,"Data Verification",'QA Log'!Z:Z,"Approved",'QA Log'!L:L,"*Hospital Governance*")
))</f>
        <v/>
      </c>
      <c r="AG383" s="105" t="str">
        <f>IF(A383&lt;&gt;"",COUNTIFS('QA Log'!D:D,A383,'QA Log'!M:M,"Data Verification",'QA Log'!L:L,"Medicine (section 2)",'QA Log'!Z:Z,"Approved"),"")</f>
        <v/>
      </c>
      <c r="AH383" s="105" t="str">
        <f>IF(A383&lt;&gt;"",COUNTIFS('QA Log'!D:D,A383,'QA Log'!M:M,"Data Verification",'QA Log'!L:L,"Lab Testing Availability",'QA Log'!Z:Z,"Approved"),"")</f>
        <v/>
      </c>
      <c r="AI383" s="105" t="str">
        <f>IF(A383&lt;&gt;"",COUNTIFS('QA Log'!D:D,A383,'QA Log'!M:M,"Data Verification",'QA Log'!L:L,"Other than P4P (section 6)",'QA Log'!Z:Z,"Approved"),"")</f>
        <v/>
      </c>
      <c r="AJ383" s="105" t="str">
        <f>IF(A383&lt;&gt;"",COUNTIFS('QA Log'!D:D,A383,'QA Log'!M:M,"Data Verification",'QA Log'!L:L,"Hospital Governance",'QA Log'!Z:Z,"Approved"),"")</f>
        <v/>
      </c>
      <c r="AK383" s="102" t="str">
        <f>IF(A383="","",
SUM(
COUNTIFS('QA Log'!D:D,A383,'QA Log'!M:M,"Data Verification",'QA Log'!Z:Z,"Rejected",'QA Log'!L:L,"*Medicine (section 2)*"),
COUNTIFS('QA Log'!D:D,A383,'QA Log'!M:M,"Data Verification",'QA Log'!Z:Z,"Rejected",'QA Log'!L:L,"*Lab Testing Availability*"),
COUNTIFS('QA Log'!D:D,A383,'QA Log'!M:M,"Data Verification",'QA Log'!Z:Z,"Rejected",'QA Log'!L:L,"*Other than P4P (section 6)*"),
COUNTIFS('QA Log'!D:D,A383,'QA Log'!M:M,"Data Verification",'QA Log'!Z:Z,"Rejected",'QA Log'!L:L,"*Hospital Governance*")
))</f>
        <v/>
      </c>
      <c r="AL383" s="106" t="str">
        <f t="shared" si="31"/>
        <v/>
      </c>
      <c r="AM383" s="102" t="str">
        <f t="shared" si="32"/>
        <v/>
      </c>
      <c r="AN383" s="102" t="str">
        <f>IF(A383="","",
SUM(
COUNTIFS('QA Log'!D:D,A383,'QA Log'!M:M,"Data Verification",'QA Log'!L:L,"*Personnel (section 1)*"),
COUNTIFS('QA Log'!D:D,A383,'QA Log'!M:M,"Data Verification",'QA Log'!L:L,"*Consumable (section 3)*"),
COUNTIFS('QA Log'!D:D,A383,'QA Log'!M:M,"Data Verification",'QA Log'!L:L,"*Equipments (section 4)*")
))</f>
        <v/>
      </c>
      <c r="AO383" s="102" t="str">
        <f>IF(A383="","",
SUM(
COUNTIFS('QA Log'!D:D,A383,'QA Log'!M:M,"Data Verification",'QA Log'!Z:Z,"Approved",'QA Log'!L:L,"*Personnel (section 1)*"),
COUNTIFS('QA Log'!D:D,A383,'QA Log'!M:M,"Data Verification",'QA Log'!Z:Z,"Approved",'QA Log'!L:L,"*Consumable (section 3)*"),
COUNTIFS('QA Log'!D:D,A383,'QA Log'!M:M,"Data Verification",'QA Log'!Z:Z,"Approved",'QA Log'!L:L,"*Equipments (section 4)*")
))</f>
        <v/>
      </c>
      <c r="AP383" s="105" t="str">
        <f>IF(A383&lt;&gt;"",COUNTIFS('QA Log'!D:D,A383,'QA Log'!M:M,"Data Verification",'QA Log'!L:L,"Personnel (section 1)",'QA Log'!Z:Z,"Approved"),"")</f>
        <v/>
      </c>
      <c r="AQ383" s="105" t="str">
        <f>IF(A383&lt;&gt;"",COUNTIFS('QA Log'!D:D,A383,'QA Log'!M:M,"Data Verification",'QA Log'!L:L,"Consumable (section 3)",'QA Log'!Z:Z,"Approved"),"")</f>
        <v/>
      </c>
      <c r="AR383" s="105" t="str">
        <f>IF(A383&lt;&gt;"",COUNTIFS('QA Log'!D:D,A383,'QA Log'!M:M,"Data Verification",'QA Log'!L:L,"Equipments (section 4)",'QA Log'!Z:Z,"Approved"),"")</f>
        <v/>
      </c>
      <c r="AS383" s="102" t="str">
        <f>IF(A383="","",
SUM(
COUNTIFS('QA Log'!D:D,A383,'QA Log'!M:M,"Data Verification",'QA Log'!Z:Z,"Rejected",'QA Log'!L:L,"*Personnel (section 1)*"),
COUNTIFS('QA Log'!D:D,A383,'QA Log'!M:M,"Data Verification",'QA Log'!Z:Z,"Rejected",'QA Log'!L:L,"*Consumable (section 3)*"),
COUNTIFS('QA Log'!D:D,A383,'QA Log'!M:M,"Data Verification",'QA Log'!Z:Z,"Rejected",'QA Log'!L:L,"*Equipments (section 4)*")
))</f>
        <v/>
      </c>
      <c r="AT383" s="102" t="str">
        <f t="shared" si="33"/>
        <v/>
      </c>
      <c r="AU383" s="103" t="str">
        <f t="shared" si="34"/>
        <v/>
      </c>
      <c r="AV383" s="102" t="str">
        <f>IF(A383="","",SUM(
COUNTIFS('QA Log'!D:D,A383,'QA Log'!M:M,"Vignette",'QA Log'!L:L,"*Vignette [1] Respiratory Infection: Pneumonia*"),
COUNTIFS('QA Log'!D:D,A383,'QA Log'!M:M,"Vignette",'QA Log'!L:L,"*Vignette [2]: Diarrhea with Cat B dehydration*"),
COUNTIFS('QA Log'!D:D,A383,'QA Log'!M:M,"Vignette",'QA Log'!L:L,"*Vignette [3] Growth Monitoring and Promotion*"),
COUNTIFS('QA Log'!D:D,A383,'QA Log'!M:M,"Vignette",'QA Log'!L:L,"*Vignette [4]: The management of presumptive TB patient*")
)
)</f>
        <v/>
      </c>
      <c r="AW383" s="102" t="str">
        <f>IF(
  A383="","",
  SUM(
    COUNTIFS('QA Log'!D:D,A383,'QA Log'!M:M,"Vignette",'QA Log'!Z:Z,"Approved",'QA Log'!L:L,"*Vignette [1] Respiratory Infection: Pneumonia*"),
    COUNTIFS('QA Log'!D:D,A383,'QA Log'!M:M,"Vignette",'QA Log'!Z:Z,"Approved",'QA Log'!L:L,"*Vignette [2]: Diarrhea with Cat B dehydration*"),
    COUNTIFS('QA Log'!D:D,A383,'QA Log'!M:M,"Vignette",'QA Log'!Z:Z,"Approved",'QA Log'!L:L,"*Vignette [3] Growth Monitoring and Promotion*"),
    COUNTIFS('QA Log'!D:D,A383,'QA Log'!M:M,"Vignette",'QA Log'!Z:Z,"Approved",'QA Log'!L:L,"*Vignette [4]: The management of presumptive TB patient*")
  )
)</f>
        <v/>
      </c>
      <c r="AX383" s="105" t="str">
        <f>IF(A383&lt;&gt;"",COUNTIFS('QA Log'!D:D,A383,'QA Log'!M:M,"Vignette",'QA Log'!L:L,"Vignette [1] Respiratory Infection: Pneumonia",'QA Log'!Z:Z,"Approved"),"")</f>
        <v/>
      </c>
      <c r="AY383" s="105" t="str">
        <f>IF(A383&lt;&gt;"",COUNTIFS('QA Log'!D:D,A383,'QA Log'!M:M,"Vignette",'QA Log'!L:L,"Vignette [2]: Diarrhea with Cat B dehydration",'QA Log'!Z:Z,"Approved"),"")</f>
        <v/>
      </c>
      <c r="AZ383" s="105" t="str">
        <f>IF(A383&lt;&gt;"",COUNTIFS('QA Log'!D:D,A383,'QA Log'!M:M,"Vignette",'QA Log'!L:L,"Vignette [3] Growth Monitoring and Promotion",'QA Log'!Z:Z,"Approved"),"")</f>
        <v/>
      </c>
      <c r="BA383" s="105" t="str">
        <f>IF(A383&lt;&gt;"",COUNTIFS('QA Log'!D:D,A383,'QA Log'!M:M,"Vignette",'QA Log'!L:L,"Vignette [4]: The management of presumptive TB patient",'QA Log'!Z:Z,"Approved"),"")</f>
        <v/>
      </c>
      <c r="BB383" s="102" t="str">
        <f>IF(A383="","",
  SUM(
    COUNTIFS('QA Log'!D:D,A383,'QA Log'!M:M,"Vignette",'QA Log'!Z:Z,"Rejected",'QA Log'!L:L,"*Vignette [1] Respiratory Infection: Pneumonia*"),
    COUNTIFS('QA Log'!D:D,A383,'QA Log'!M:M,"Vignette",'QA Log'!Z:Z,"Rejected",'QA Log'!L:L,"*Vignette [2]: Diarrhea with Cat B dehydration*"),
    COUNTIFS('QA Log'!D:D,A383,'QA Log'!M:M,"Vignette",'QA Log'!Z:Z,"Rejected",'QA Log'!L:L,"*Vignette [3] Growth Monitoring and Promotion*"),
    COUNTIFS('QA Log'!D:D,A383,'QA Log'!M:M,"Vignette",'QA Log'!Z:Z,"Rejected",'QA Log'!L:L,"*Vignette [4]: The management of presumptive TB patient*")
  )
)</f>
        <v/>
      </c>
      <c r="BC383" s="107" t="str">
        <f t="shared" si="35"/>
        <v/>
      </c>
      <c r="BD383" s="103" t="str">
        <f t="shared" si="36"/>
        <v/>
      </c>
      <c r="BE383" s="102" t="str">
        <f>IF(A383="","",SUM(
COUNTIFS('QA Log'!D:D,A383,'QA Log'!M:M,"Vignette",'QA Log'!L:L,"*Vignette [5] Labor*"),
COUNTIFS('QA Log'!D:D,A383,'QA Log'!M:M,"Vignette",'QA Log'!L:L,"*Vignette [6] PNC pre Discharge*"),
COUNTIFS('QA Log'!D:D,A383,'QA Log'!M:M,"Vignette",'QA Log'!L:L,"*Vignette [7] First ANC Visit*"),
COUNTIFS('QA Log'!D:D,A383,'QA Log'!M:M,"Vignette",'QA Log'!L:L,"*Vignette [8] Birth Spacing/ Family Planning :  FP Counselling*"),
COUNTIFS('QA Log'!D:D,A383,'QA Log'!M:M,"Vignette",'QA Log'!L:L,"*Vignette [9] Birth Spacing: Change FP method to Injectable*"),
COUNTIFS('QA Log'!D:D,A383,'QA Log'!M:M,"Vignette",'QA Log'!L:L,"*Vignette [10] Post Partum Haemorrhage - Atonic Uterus at Health Centre*"),
)
)</f>
        <v/>
      </c>
      <c r="BF383" s="102" t="str">
        <f>IF(A383="","",
  SUM(
    COUNTIFS('QA Log'!D:D,A383,'QA Log'!M:M,"Vignette",'QA Log'!Z:Z,"Approved",'QA Log'!L:L,"*Vignette [5] Labor*"),
    COUNTIFS('QA Log'!D:D,A383,'QA Log'!M:M,"Vignette",'QA Log'!Z:Z,"Approved",'QA Log'!L:L,"*Vignette [6] PNC pre Discharge*"),
    COUNTIFS('QA Log'!D:D,A383,'QA Log'!M:M,"Vignette",'QA Log'!Z:Z,"Approved",'QA Log'!L:L,"*Vignette [7] First ANC Visit*"),
    COUNTIFS('QA Log'!D:D,A383,'QA Log'!M:M,"Vignette",'QA Log'!Z:Z,"Approved",'QA Log'!L:L,"*Vignette [8] Birth Spacing/ Family Planning :  FP Counselling*"),
    COUNTIFS('QA Log'!D:D,A383,'QA Log'!M:M,"Vignette",'QA Log'!Z:Z,"Approved",'QA Log'!L:L,"*Vignette [9] Birth Spacing: Change FP method to Injectable*"),
    COUNTIFS('QA Log'!D:D,A383,'QA Log'!M:M,"Vignette",'QA Log'!Z:Z,"Approved",'QA Log'!L:L,"*Vignette [10] Post Partum Haemorrhage - Atonic Uterus at Health Centre*")
  )
)</f>
        <v/>
      </c>
      <c r="BG383" s="105" t="str">
        <f>IF(A383&lt;&gt;"",COUNTIFS('QA Log'!D:D,A383,'QA Log'!M:M,"Vignette",'QA Log'!L:L,"Vignette [5] Labor",'QA Log'!Z:Z,"Approved"),"")</f>
        <v/>
      </c>
      <c r="BH383" s="105" t="str">
        <f>IF(A383&lt;&gt;"",COUNTIFS('QA Log'!D:D,A383,'QA Log'!M:M,"Vignette",'QA Log'!L:L,"Vignette [6] PNC pre Discharge",'QA Log'!Z:Z,"Approved"),"")</f>
        <v/>
      </c>
      <c r="BI383" s="105" t="str">
        <f>IF(A383&lt;&gt;"",COUNTIFS('QA Log'!D:D,A383,'QA Log'!M:M,"Vignette",'QA Log'!L:L,"Vignette [7] First ANC Visit",'QA Log'!Z:Z,"Approved"),"")</f>
        <v/>
      </c>
      <c r="BJ383" s="105" t="str">
        <f>IF(A383&lt;&gt;"",COUNTIFS('QA Log'!D:D,A383,'QA Log'!M:M,"Vignette",'QA Log'!L:L,"Vignette [8] Birth Spacing/ Family Planning :  FP Counselling",'QA Log'!Z:Z,"Approved"),"")</f>
        <v/>
      </c>
      <c r="BK383" s="105" t="str">
        <f>IF(A383&lt;&gt;"",COUNTIFS('QA Log'!D:D,A383,'QA Log'!M:M,"Vignette",'QA Log'!L:L,"Vignette [9] Birth Spacing: Change FP method to Injectable",'QA Log'!Z:Z,"Approved"),"")</f>
        <v/>
      </c>
      <c r="BL383" s="105" t="str">
        <f>IF(A383&lt;&gt;"",COUNTIFS('QA Log'!D:D,A383,'QA Log'!M:M,"Vignette",'QA Log'!L:L,"Vignette [10] Post Partum Haemorrhage - Atonic Uterus at Health Centre",'QA Log'!Z:Z,"Approved"),"")</f>
        <v/>
      </c>
      <c r="BM383" s="102" t="str">
        <f>IF(A383="","",SUM(
    COUNTIFS('QA Log'!D:D,A383,'QA Log'!M:M,"Vignette",'QA Log'!Z:Z,"Rejected",'QA Log'!L:L,"*Vignette [5] Labor*"),
    COUNTIFS('QA Log'!D:D,A383,'QA Log'!M:M,"Vignette",'QA Log'!Z:Z,"Rejected",'QA Log'!L:L,"*Vignette [6] PNC pre Discharge*"),
    COUNTIFS('QA Log'!D:D,A383,'QA Log'!M:M,"Vignette",'QA Log'!Z:Z,"Rejected",'QA Log'!L:L,"*Vignette [7] First ANC Visit*"),
    COUNTIFS('QA Log'!D:D,A383,'QA Log'!M:M,"Vignette",'QA Log'!Z:Z,"Rejected",'QA Log'!L:L,"*Vignette [8] Birth Spacing/ Family Planning :  FP Counselling*"),
    COUNTIFS('QA Log'!D:D,A383,'QA Log'!M:M,"Vignette",'QA Log'!Z:Z,"Rejected",'QA Log'!L:L,"*Vignette [9] Birth Spacing: Change FP method to Injectable*"),
    COUNTIFS('QA Log'!D:D,A383,'QA Log'!M:M,"Vignette",'QA Log'!Z:Z,"Rejected",'QA Log'!L:L,"*Vignette [10] Post Partum Haemorrhage - Atonic Uterus at Health Centre*")
  )
)</f>
        <v/>
      </c>
      <c r="BN383" s="107" t="str">
        <f t="shared" si="37"/>
        <v/>
      </c>
      <c r="BO383" s="103" t="str">
        <f t="shared" si="38"/>
        <v/>
      </c>
      <c r="BP383" s="102" t="str">
        <f>IF(A383="","",SUM(
COUNTIFS('QA Log'!D:D,A383,'QA Log'!M:M,"Vignette",'QA Log'!L:L,"*Exit Interview 1*"),
COUNTIFS('QA Log'!D:D,A383,'QA Log'!M:M,"Vignette",'QA Log'!L:L,"*Exit Interview 2*"),
)
)</f>
        <v/>
      </c>
      <c r="BQ383" s="102" t="str">
        <f>IF(
  A383="","",
  SUM(
    COUNTIFS('QA Log'!D:D,A383,'QA Log'!M:M,"Vignette",'QA Log'!Z:Z,"Approved",'QA Log'!L:L,"*Exit Interview 1*"),
    COUNTIFS('QA Log'!D:D,A383,'QA Log'!M:M,"Vignette",'QA Log'!Z:Z,"Approved",'QA Log'!L:L,"*Exit Interview 2*")
  )
)</f>
        <v/>
      </c>
      <c r="BR383" s="105" t="str">
        <f>IF(A383&lt;&gt;"",COUNTIFS('QA Log'!D:D,A383,'QA Log'!M:M,"Vignette",'QA Log'!L:L,"Exit Interview 1",'QA Log'!Z:Z,"Approved"),"")</f>
        <v/>
      </c>
      <c r="BS383" s="105" t="str">
        <f>IF(A383&lt;&gt;"",COUNTIFS('QA Log'!D:D,A383,'QA Log'!M:M,"Vignette",'QA Log'!L:L,"Exit Interview 2",'QA Log'!Z:Z,"Approved"),"")</f>
        <v/>
      </c>
      <c r="BT383" s="102" t="str">
        <f>IF(
  A383="","",
  SUM(
    COUNTIFS('QA Log'!D:D,A383,'QA Log'!M:M,"Vignette",'QA Log'!Z:Z,"Rejected",'QA Log'!L:L,"*Exit Interview 1*"),
    COUNTIFS('QA Log'!D:D,A383,'QA Log'!M:M,"Vignette",'QA Log'!Z:Z,"Rejected",'QA Log'!L:L,"*Exit Interview 2*")
  )
)</f>
        <v/>
      </c>
      <c r="BU383" s="107" t="str">
        <f t="shared" si="39"/>
        <v/>
      </c>
      <c r="BV383" s="102" t="str">
        <f t="shared" si="40"/>
        <v/>
      </c>
      <c r="BW383" s="102" t="str">
        <f t="shared" si="41"/>
        <v/>
      </c>
      <c r="BX383" s="102" t="str">
        <f t="shared" si="42"/>
        <v/>
      </c>
      <c r="BY383" s="102" t="str">
        <f t="shared" si="43"/>
        <v/>
      </c>
      <c r="BZ383" s="107" t="str">
        <f t="shared" si="44"/>
        <v/>
      </c>
      <c r="CA383" s="108" t="str">
        <f t="shared" si="45"/>
        <v/>
      </c>
      <c r="CB383" s="108" t="str">
        <f t="shared" si="46"/>
        <v/>
      </c>
      <c r="CC383" s="109" t="str">
        <f t="shared" si="47"/>
        <v/>
      </c>
      <c r="CD383" s="108" t="str">
        <f t="shared" si="48"/>
        <v/>
      </c>
      <c r="CE383" s="108" t="str">
        <f t="shared" si="49"/>
        <v/>
      </c>
      <c r="CF383" s="109" t="str">
        <f t="shared" si="50"/>
        <v/>
      </c>
      <c r="CG383" s="110" t="str">
        <f t="shared" si="51"/>
        <v/>
      </c>
      <c r="CH383" s="111"/>
    </row>
    <row r="384" spans="1:86" ht="12.75">
      <c r="A384" s="101"/>
      <c r="B384" s="102" t="e">
        <f t="array" aca="1" ref="B384" ca="1">_xludf.XLOOKUP(A384,'QA Log'!D:D,'QA Log'!E:E,"")</f>
        <v>#NAME?</v>
      </c>
      <c r="C384" s="102" t="e">
        <f t="array" aca="1" ref="C384" ca="1">_xludf.XLOOKUP(A384,'QA Log'!D:D,'QA Log'!F:F,"")</f>
        <v>#NAME?</v>
      </c>
      <c r="D384" s="102" t="e">
        <f t="array" aca="1" ref="D384" ca="1">_xludf.XLOOKUP(A384,'QA Log'!D:D,'QA Log'!H:H,"")</f>
        <v>#NAME?</v>
      </c>
      <c r="E384" s="102" t="e">
        <f t="array" aca="1" ref="E384" ca="1">_xludf.XLOOKUP(A384,'QA Log'!D:D,'QA Log'!G:G,"")</f>
        <v>#NAME?</v>
      </c>
      <c r="F384" s="103"/>
      <c r="G384" s="104"/>
      <c r="H384" s="104"/>
      <c r="I384" s="103" t="str">
        <f t="shared" si="26"/>
        <v/>
      </c>
      <c r="J384" s="102" t="str">
        <f>IF(A384="","",SUM(
COUNTIFS('QA Log'!D:D,A384,'QA Log'!M:M,"QQC",'QA Log'!L:L,"*1. General Management*"),
COUNTIFS('QA Log'!D:D,A384,'QA Log'!M:M,"QQC",'QA Log'!L:L,"*3. Curative Consultation (OPD)*"),
COUNTIFS('QA Log'!D:D,A384,'QA Log'!M:M,"QQC",'QA Log'!L:L,"*5. Laboratory*"),
COUNTIFS('QA Log'!D:D,A384,'QA Log'!M:M,"QQC",'QA Log'!L:L,"*6. Essential Medicine Management*"),
COUNTIFS('QA Log'!D:D,A384,'QA Log'!M:M,"QQC",'QA Log'!L:L,"*7. Tracer Medicine*"),
COUNTIFS('QA Log'!D:D,A384,'QA Log'!M:M,"QQC",'QA Log'!L:L,"*11. Additional Questions*")))</f>
        <v/>
      </c>
      <c r="K384" s="102" t="str">
        <f>IF(A384="","",SUM(
COUNTIFS('QA Log'!D:D,A384,'QA Log'!M:M,"QQC",'QA Log'!Z:Z,"Approved",'QA Log'!L:L,"*1. General Management*"),
COUNTIFS('QA Log'!D:D,A384,'QA Log'!M:M,"QQC",'QA Log'!Z:Z,"Approved",'QA Log'!L:L,"*3. Curative Consultation (OPD)*"),
COUNTIFS('QA Log'!D:D,A384,'QA Log'!M:M,"QQC",'QA Log'!Z:Z,"Approved",'QA Log'!L:L,"*5. Laboratory*"),
COUNTIFS('QA Log'!D:D,A384,'QA Log'!M:M,"QQC",'QA Log'!Z:Z,"Approved",'QA Log'!L:L,"*6. Essential Medicine Management*"),
COUNTIFS('QA Log'!D:D,A384,'QA Log'!M:M,"QQC",'QA Log'!Z:Z,"Approved",'QA Log'!L:L,"*7. Tracer Medicine*"),
COUNTIFS('QA Log'!D:D,A384,'QA Log'!M:M,"QQC",'QA Log'!Z:Z,"Approved",'QA Log'!L:L,"*11. Additional Questions*")))</f>
        <v/>
      </c>
      <c r="L384" s="102" t="str">
        <f>IF(A384&lt;&gt;"",COUNTIFS('QA Log'!D:D,A384,'QA Log'!M:M,"QQC",'QA Log'!L:L,"1. General Management",'QA Log'!Z:Z,"Approved"),"")</f>
        <v/>
      </c>
      <c r="M384" s="102" t="str">
        <f>IF(A384&lt;&gt;"",COUNTIFS('QA Log'!D:D,A384,'QA Log'!M:M,"QQC",'QA Log'!L:L,"3. Curative Consultation (OPD)",'QA Log'!Z:Z,"Approved"),"")</f>
        <v/>
      </c>
      <c r="N384" s="102" t="str">
        <f>IF(A384&lt;&gt;"",COUNTIFS('QA Log'!D:D,A384,'QA Log'!M:M,"QQC",'QA Log'!L:L,"5. Laboratory",'QA Log'!Z:Z,"Approved"),"")</f>
        <v/>
      </c>
      <c r="O384" s="102" t="str">
        <f>IF(A384&lt;&gt;"",COUNTIFS('QA Log'!D:D,A384,'QA Log'!M:M,"QQC",'QA Log'!L:L,"6. Essential Medicine Management",'QA Log'!Z:Z,"Approved"),"")</f>
        <v/>
      </c>
      <c r="P384" s="102" t="str">
        <f>IF(A384&lt;&gt;"",COUNTIFS('QA Log'!D:D,A384,'QA Log'!M:M,"QQC",'QA Log'!L:L,"7. Tracer Medicine",'QA Log'!Z:Z,"Approved"),"")</f>
        <v/>
      </c>
      <c r="Q384" s="102" t="str">
        <f>IF(A384&lt;&gt;"",COUNTIFS('QA Log'!D:D,A384,'QA Log'!M:M,"QQC",'QA Log'!L:L,"11. Additional Questions",'QA Log'!Z:Z,"Approved"),"")</f>
        <v/>
      </c>
      <c r="R384" s="102" t="str">
        <f>IF(A384="","",SUM(
COUNTIFS('QA Log'!D:D,A384,'QA Log'!M:M,"QQC",'QA Log'!Z:Z,"Rejected",'QA Log'!L:L,"*8. Maternity*"),
COUNTIFS('QA Log'!D:D,A384,'QA Log'!M:M,"QQC",'QA Log'!Z:Z,"Rejected",'QA Log'!L:L,"*EPI*"),
COUNTIFS('QA Log'!D:D,A384,'QA Log'!M:M,"QQC",'QA Log'!Z:Z,"Rejected",'QA Log'!L:L,"*10. Antenatal Care (ANC)*"),
COUNTIFS('QA Log'!D:D,A384,'QA Log'!M:M,"QQC",'QA Log'!Z:Z,"Rejected",'QA Log'!L:L,"*2. Hygiene and Sterilization*"),
COUNTIFS('QA Log'!D:D,A384,'QA Log'!M:M,"QQC",'QA Log'!Z:Z,"Rejected",'QA Log'!L:L,"*Family Planning*")))</f>
        <v/>
      </c>
      <c r="S384" s="106" t="str">
        <f t="shared" si="27"/>
        <v/>
      </c>
      <c r="T384" s="102" t="str">
        <f t="shared" si="28"/>
        <v/>
      </c>
      <c r="U384" s="102" t="str">
        <f>IF(A384="","",
SUM(
COUNTIFS('QA Log'!D:D,A384,'QA Log'!M:M,"QQC",'QA Log'!L:L,"*8. Maternity*"),
COUNTIFS('QA Log'!D:D,A384,'QA Log'!M:M,"QQC",'QA Log'!L:L,"*9. EPI and Pre-school Consultation*"),
COUNTIFS('QA Log'!D:D,A384,'QA Log'!M:M,"QQC",'QA Log'!L:L,"*10. Antenatal Care (ANC)*"),
COUNTIFS('QA Log'!D:D,A384,'QA Log'!M:M,"QQC",'QA Log'!L:L,"*2. Hygiene and Sterilization*"),
COUNTIFS('QA Log'!D:D,A384,'QA Log'!M:M,"QQC",'QA Log'!L:L,"*4. Family Planning*")
))</f>
        <v/>
      </c>
      <c r="V384" s="102" t="str">
        <f>IF(A384="","",
SUM(
COUNTIFS('QA Log'!D:D,A384,'QA Log'!M:M,"QQC",'QA Log'!Z:Z,"Approved",'QA Log'!L:L,"*8. Maternity*"),
COUNTIFS('QA Log'!D:D,A384,'QA Log'!M:M,"QQC",'QA Log'!Z:Z,"Approved",'QA Log'!L:L,"*9. EPI and Pre-school Consultation*"),
COUNTIFS('QA Log'!D:D,A384,'QA Log'!M:M,"QQC",'QA Log'!Z:Z,"Approved",'QA Log'!L:L,"*10. Antenatal Care (ANC)*"),
COUNTIFS('QA Log'!D:D,A384,'QA Log'!M:M,"QQC",'QA Log'!Z:Z,"Approved",'QA Log'!L:L,"*2. Hygiene and Sterilization*"),
COUNTIFS('QA Log'!D:D,A384,'QA Log'!M:M,"QQC",'QA Log'!Z:Z,"Approved",'QA Log'!L:L,"*4. Family Planning*")
))</f>
        <v/>
      </c>
      <c r="W384" s="102" t="str">
        <f>IF(A384&lt;&gt;"",COUNTIFS('QA Log'!D:D,A384,'QA Log'!M:M,"QQC",'QA Log'!L:L,"8. Maternity",'QA Log'!Z:Z,"Approved"),"")</f>
        <v/>
      </c>
      <c r="X384" s="105" t="str">
        <f>IF(A384&lt;&gt;"",COUNTIFS('QA Log'!D:D,A384,'QA Log'!M:M,"QQC",'QA Log'!L:L,"9. EPI and Pre-school Consultation",'QA Log'!Z:Z,"Approved"),"")</f>
        <v/>
      </c>
      <c r="Y384" s="102" t="str">
        <f>IF(A384&lt;&gt;"",COUNTIFS('QA Log'!D:D,A384,'QA Log'!M:M,"QQC",'QA Log'!L:L,"10. Antenatal Care (ANC)",'QA Log'!Z:Z,"Approved"),"")</f>
        <v/>
      </c>
      <c r="Z384" s="102" t="str">
        <f>IF(A384&lt;&gt;"",COUNTIFS('QA Log'!D:D,A384,'QA Log'!M:M,"QQC",'QA Log'!L:L,"2. Hygiene and Sterilization",'QA Log'!Z:Z,"Approved"),"")</f>
        <v/>
      </c>
      <c r="AA384" s="105" t="str">
        <f>IF(A384&lt;&gt;"",COUNTIFS('QA Log'!D:D,A384,'QA Log'!M:M,"QQC",'QA Log'!L:L,"4. Family Planning",'QA Log'!Z:Z,"Approved"),"")</f>
        <v/>
      </c>
      <c r="AB384" s="102" t="str">
        <f>IF(A384="","",
SUM(
COUNTIFS('QA Log'!D:D,A384,'QA Log'!M:M,"QQC",'QA Log'!Z:Z,"Rejected",'QA Log'!L:L,"*8. Maternity*"),
COUNTIFS('QA Log'!D:D,A384,'QA Log'!M:M,"QQC",'QA Log'!Z:Z,"Rejected",'QA Log'!L:L,"*9. EPI and Pre-school Consultation*"),
COUNTIFS('QA Log'!D:D,A384,'QA Log'!M:M,"QQC",'QA Log'!Z:Z,"Rejected",'QA Log'!L:L,"*10. Antenatal Care (ANC)*"),
COUNTIFS('QA Log'!D:D,A384,'QA Log'!M:M,"QQC",'QA Log'!Z:Z,"Rejected",'QA Log'!L:L,"*2. Hygiene and Sterilization*"),
COUNTIFS('QA Log'!D:D,A384,'QA Log'!M:M,"QQC",'QA Log'!Z:Z,"Rejected",'QA Log'!L:L,"*4. Family Planning*")
))</f>
        <v/>
      </c>
      <c r="AC384" s="102" t="str">
        <f t="shared" si="29"/>
        <v/>
      </c>
      <c r="AD384" s="103" t="str">
        <f t="shared" si="30"/>
        <v/>
      </c>
      <c r="AE384" s="102" t="str">
        <f>IF(A384="","",
SUM(
COUNTIFS('QA Log'!D:D,A384,'QA Log'!M:M,"Data Verification",'QA Log'!L:L,"*Medicine (section 2)*"),
COUNTIFS('QA Log'!D:D,A384,'QA Log'!M:M,"Data Verification",'QA Log'!L:L,"*Lab Testing Availability*"),
COUNTIFS('QA Log'!D:D,A384,'QA Log'!M:M,"Data Verification",'QA Log'!L:L,"*Other than P4P (section 6)*"),
COUNTIFS('QA Log'!D:D,A384,'QA Log'!M:M,"Data Verification",'QA Log'!L:L,"*Hospital Governance*")
))</f>
        <v/>
      </c>
      <c r="AF384" s="102" t="str">
        <f>IF(A384="","",
SUM(
COUNTIFS('QA Log'!D:D,A384,'QA Log'!M:M,"Data Verification",'QA Log'!Z:Z,"Approved",'QA Log'!L:L,"*Medicine (section 2)*"),
COUNTIFS('QA Log'!D:D,A384,'QA Log'!M:M,"Data Verification",'QA Log'!Z:Z,"Approved",'QA Log'!L:L,"*Lab Testing Availability*"),
COUNTIFS('QA Log'!D:D,A384,'QA Log'!M:M,"Data Verification",'QA Log'!Z:Z,"Approved",'QA Log'!L:L,"*Other than P4P (section 6)*"),
COUNTIFS('QA Log'!D:D,A384,'QA Log'!M:M,"Data Verification",'QA Log'!Z:Z,"Approved",'QA Log'!L:L,"*Hospital Governance*")
))</f>
        <v/>
      </c>
      <c r="AG384" s="105" t="str">
        <f>IF(A384&lt;&gt;"",COUNTIFS('QA Log'!D:D,A384,'QA Log'!M:M,"Data Verification",'QA Log'!L:L,"Medicine (section 2)",'QA Log'!Z:Z,"Approved"),"")</f>
        <v/>
      </c>
      <c r="AH384" s="105" t="str">
        <f>IF(A384&lt;&gt;"",COUNTIFS('QA Log'!D:D,A384,'QA Log'!M:M,"Data Verification",'QA Log'!L:L,"Lab Testing Availability",'QA Log'!Z:Z,"Approved"),"")</f>
        <v/>
      </c>
      <c r="AI384" s="105" t="str">
        <f>IF(A384&lt;&gt;"",COUNTIFS('QA Log'!D:D,A384,'QA Log'!M:M,"Data Verification",'QA Log'!L:L,"Other than P4P (section 6)",'QA Log'!Z:Z,"Approved"),"")</f>
        <v/>
      </c>
      <c r="AJ384" s="105" t="str">
        <f>IF(A384&lt;&gt;"",COUNTIFS('QA Log'!D:D,A384,'QA Log'!M:M,"Data Verification",'QA Log'!L:L,"Hospital Governance",'QA Log'!Z:Z,"Approved"),"")</f>
        <v/>
      </c>
      <c r="AK384" s="102" t="str">
        <f>IF(A384="","",
SUM(
COUNTIFS('QA Log'!D:D,A384,'QA Log'!M:M,"Data Verification",'QA Log'!Z:Z,"Rejected",'QA Log'!L:L,"*Medicine (section 2)*"),
COUNTIFS('QA Log'!D:D,A384,'QA Log'!M:M,"Data Verification",'QA Log'!Z:Z,"Rejected",'QA Log'!L:L,"*Lab Testing Availability*"),
COUNTIFS('QA Log'!D:D,A384,'QA Log'!M:M,"Data Verification",'QA Log'!Z:Z,"Rejected",'QA Log'!L:L,"*Other than P4P (section 6)*"),
COUNTIFS('QA Log'!D:D,A384,'QA Log'!M:M,"Data Verification",'QA Log'!Z:Z,"Rejected",'QA Log'!L:L,"*Hospital Governance*")
))</f>
        <v/>
      </c>
      <c r="AL384" s="106" t="str">
        <f t="shared" si="31"/>
        <v/>
      </c>
      <c r="AM384" s="102" t="str">
        <f t="shared" si="32"/>
        <v/>
      </c>
      <c r="AN384" s="102" t="str">
        <f>IF(A384="","",
SUM(
COUNTIFS('QA Log'!D:D,A384,'QA Log'!M:M,"Data Verification",'QA Log'!L:L,"*Personnel (section 1)*"),
COUNTIFS('QA Log'!D:D,A384,'QA Log'!M:M,"Data Verification",'QA Log'!L:L,"*Consumable (section 3)*"),
COUNTIFS('QA Log'!D:D,A384,'QA Log'!M:M,"Data Verification",'QA Log'!L:L,"*Equipments (section 4)*")
))</f>
        <v/>
      </c>
      <c r="AO384" s="102" t="str">
        <f>IF(A384="","",
SUM(
COUNTIFS('QA Log'!D:D,A384,'QA Log'!M:M,"Data Verification",'QA Log'!Z:Z,"Approved",'QA Log'!L:L,"*Personnel (section 1)*"),
COUNTIFS('QA Log'!D:D,A384,'QA Log'!M:M,"Data Verification",'QA Log'!Z:Z,"Approved",'QA Log'!L:L,"*Consumable (section 3)*"),
COUNTIFS('QA Log'!D:D,A384,'QA Log'!M:M,"Data Verification",'QA Log'!Z:Z,"Approved",'QA Log'!L:L,"*Equipments (section 4)*")
))</f>
        <v/>
      </c>
      <c r="AP384" s="105" t="str">
        <f>IF(A384&lt;&gt;"",COUNTIFS('QA Log'!D:D,A384,'QA Log'!M:M,"Data Verification",'QA Log'!L:L,"Personnel (section 1)",'QA Log'!Z:Z,"Approved"),"")</f>
        <v/>
      </c>
      <c r="AQ384" s="105" t="str">
        <f>IF(A384&lt;&gt;"",COUNTIFS('QA Log'!D:D,A384,'QA Log'!M:M,"Data Verification",'QA Log'!L:L,"Consumable (section 3)",'QA Log'!Z:Z,"Approved"),"")</f>
        <v/>
      </c>
      <c r="AR384" s="105" t="str">
        <f>IF(A384&lt;&gt;"",COUNTIFS('QA Log'!D:D,A384,'QA Log'!M:M,"Data Verification",'QA Log'!L:L,"Equipments (section 4)",'QA Log'!Z:Z,"Approved"),"")</f>
        <v/>
      </c>
      <c r="AS384" s="102" t="str">
        <f>IF(A384="","",
SUM(
COUNTIFS('QA Log'!D:D,A384,'QA Log'!M:M,"Data Verification",'QA Log'!Z:Z,"Rejected",'QA Log'!L:L,"*Personnel (section 1)*"),
COUNTIFS('QA Log'!D:D,A384,'QA Log'!M:M,"Data Verification",'QA Log'!Z:Z,"Rejected",'QA Log'!L:L,"*Consumable (section 3)*"),
COUNTIFS('QA Log'!D:D,A384,'QA Log'!M:M,"Data Verification",'QA Log'!Z:Z,"Rejected",'QA Log'!L:L,"*Equipments (section 4)*")
))</f>
        <v/>
      </c>
      <c r="AT384" s="102" t="str">
        <f t="shared" si="33"/>
        <v/>
      </c>
      <c r="AU384" s="103" t="str">
        <f t="shared" si="34"/>
        <v/>
      </c>
      <c r="AV384" s="102" t="str">
        <f>IF(A384="","",SUM(
COUNTIFS('QA Log'!D:D,A384,'QA Log'!M:M,"Vignette",'QA Log'!L:L,"*Vignette [1] Respiratory Infection: Pneumonia*"),
COUNTIFS('QA Log'!D:D,A384,'QA Log'!M:M,"Vignette",'QA Log'!L:L,"*Vignette [2]: Diarrhea with Cat B dehydration*"),
COUNTIFS('QA Log'!D:D,A384,'QA Log'!M:M,"Vignette",'QA Log'!L:L,"*Vignette [3] Growth Monitoring and Promotion*"),
COUNTIFS('QA Log'!D:D,A384,'QA Log'!M:M,"Vignette",'QA Log'!L:L,"*Vignette [4]: The management of presumptive TB patient*")
)
)</f>
        <v/>
      </c>
      <c r="AW384" s="102" t="str">
        <f>IF(
  A384="","",
  SUM(
    COUNTIFS('QA Log'!D:D,A384,'QA Log'!M:M,"Vignette",'QA Log'!Z:Z,"Approved",'QA Log'!L:L,"*Vignette [1] Respiratory Infection: Pneumonia*"),
    COUNTIFS('QA Log'!D:D,A384,'QA Log'!M:M,"Vignette",'QA Log'!Z:Z,"Approved",'QA Log'!L:L,"*Vignette [2]: Diarrhea with Cat B dehydration*"),
    COUNTIFS('QA Log'!D:D,A384,'QA Log'!M:M,"Vignette",'QA Log'!Z:Z,"Approved",'QA Log'!L:L,"*Vignette [3] Growth Monitoring and Promotion*"),
    COUNTIFS('QA Log'!D:D,A384,'QA Log'!M:M,"Vignette",'QA Log'!Z:Z,"Approved",'QA Log'!L:L,"*Vignette [4]: The management of presumptive TB patient*")
  )
)</f>
        <v/>
      </c>
      <c r="AX384" s="105" t="str">
        <f>IF(A384&lt;&gt;"",COUNTIFS('QA Log'!D:D,A384,'QA Log'!M:M,"Vignette",'QA Log'!L:L,"Vignette [1] Respiratory Infection: Pneumonia",'QA Log'!Z:Z,"Approved"),"")</f>
        <v/>
      </c>
      <c r="AY384" s="105" t="str">
        <f>IF(A384&lt;&gt;"",COUNTIFS('QA Log'!D:D,A384,'QA Log'!M:M,"Vignette",'QA Log'!L:L,"Vignette [2]: Diarrhea with Cat B dehydration",'QA Log'!Z:Z,"Approved"),"")</f>
        <v/>
      </c>
      <c r="AZ384" s="105" t="str">
        <f>IF(A384&lt;&gt;"",COUNTIFS('QA Log'!D:D,A384,'QA Log'!M:M,"Vignette",'QA Log'!L:L,"Vignette [3] Growth Monitoring and Promotion",'QA Log'!Z:Z,"Approved"),"")</f>
        <v/>
      </c>
      <c r="BA384" s="105" t="str">
        <f>IF(A384&lt;&gt;"",COUNTIFS('QA Log'!D:D,A384,'QA Log'!M:M,"Vignette",'QA Log'!L:L,"Vignette [4]: The management of presumptive TB patient",'QA Log'!Z:Z,"Approved"),"")</f>
        <v/>
      </c>
      <c r="BB384" s="102" t="str">
        <f>IF(A384="","",
  SUM(
    COUNTIFS('QA Log'!D:D,A384,'QA Log'!M:M,"Vignette",'QA Log'!Z:Z,"Rejected",'QA Log'!L:L,"*Vignette [1] Respiratory Infection: Pneumonia*"),
    COUNTIFS('QA Log'!D:D,A384,'QA Log'!M:M,"Vignette",'QA Log'!Z:Z,"Rejected",'QA Log'!L:L,"*Vignette [2]: Diarrhea with Cat B dehydration*"),
    COUNTIFS('QA Log'!D:D,A384,'QA Log'!M:M,"Vignette",'QA Log'!Z:Z,"Rejected",'QA Log'!L:L,"*Vignette [3] Growth Monitoring and Promotion*"),
    COUNTIFS('QA Log'!D:D,A384,'QA Log'!M:M,"Vignette",'QA Log'!Z:Z,"Rejected",'QA Log'!L:L,"*Vignette [4]: The management of presumptive TB patient*")
  )
)</f>
        <v/>
      </c>
      <c r="BC384" s="107" t="str">
        <f t="shared" si="35"/>
        <v/>
      </c>
      <c r="BD384" s="103" t="str">
        <f t="shared" si="36"/>
        <v/>
      </c>
      <c r="BE384" s="102" t="str">
        <f>IF(A384="","",SUM(
COUNTIFS('QA Log'!D:D,A384,'QA Log'!M:M,"Vignette",'QA Log'!L:L,"*Vignette [5] Labor*"),
COUNTIFS('QA Log'!D:D,A384,'QA Log'!M:M,"Vignette",'QA Log'!L:L,"*Vignette [6] PNC pre Discharge*"),
COUNTIFS('QA Log'!D:D,A384,'QA Log'!M:M,"Vignette",'QA Log'!L:L,"*Vignette [7] First ANC Visit*"),
COUNTIFS('QA Log'!D:D,A384,'QA Log'!M:M,"Vignette",'QA Log'!L:L,"*Vignette [8] Birth Spacing/ Family Planning :  FP Counselling*"),
COUNTIFS('QA Log'!D:D,A384,'QA Log'!M:M,"Vignette",'QA Log'!L:L,"*Vignette [9] Birth Spacing: Change FP method to Injectable*"),
COUNTIFS('QA Log'!D:D,A384,'QA Log'!M:M,"Vignette",'QA Log'!L:L,"*Vignette [10] Post Partum Haemorrhage - Atonic Uterus at Health Centre*"),
)
)</f>
        <v/>
      </c>
      <c r="BF384" s="102" t="str">
        <f>IF(A384="","",
  SUM(
    COUNTIFS('QA Log'!D:D,A384,'QA Log'!M:M,"Vignette",'QA Log'!Z:Z,"Approved",'QA Log'!L:L,"*Vignette [5] Labor*"),
    COUNTIFS('QA Log'!D:D,A384,'QA Log'!M:M,"Vignette",'QA Log'!Z:Z,"Approved",'QA Log'!L:L,"*Vignette [6] PNC pre Discharge*"),
    COUNTIFS('QA Log'!D:D,A384,'QA Log'!M:M,"Vignette",'QA Log'!Z:Z,"Approved",'QA Log'!L:L,"*Vignette [7] First ANC Visit*"),
    COUNTIFS('QA Log'!D:D,A384,'QA Log'!M:M,"Vignette",'QA Log'!Z:Z,"Approved",'QA Log'!L:L,"*Vignette [8] Birth Spacing/ Family Planning :  FP Counselling*"),
    COUNTIFS('QA Log'!D:D,A384,'QA Log'!M:M,"Vignette",'QA Log'!Z:Z,"Approved",'QA Log'!L:L,"*Vignette [9] Birth Spacing: Change FP method to Injectable*"),
    COUNTIFS('QA Log'!D:D,A384,'QA Log'!M:M,"Vignette",'QA Log'!Z:Z,"Approved",'QA Log'!L:L,"*Vignette [10] Post Partum Haemorrhage - Atonic Uterus at Health Centre*")
  )
)</f>
        <v/>
      </c>
      <c r="BG384" s="105" t="str">
        <f>IF(A384&lt;&gt;"",COUNTIFS('QA Log'!D:D,A384,'QA Log'!M:M,"Vignette",'QA Log'!L:L,"Vignette [5] Labor",'QA Log'!Z:Z,"Approved"),"")</f>
        <v/>
      </c>
      <c r="BH384" s="105" t="str">
        <f>IF(A384&lt;&gt;"",COUNTIFS('QA Log'!D:D,A384,'QA Log'!M:M,"Vignette",'QA Log'!L:L,"Vignette [6] PNC pre Discharge",'QA Log'!Z:Z,"Approved"),"")</f>
        <v/>
      </c>
      <c r="BI384" s="105" t="str">
        <f>IF(A384&lt;&gt;"",COUNTIFS('QA Log'!D:D,A384,'QA Log'!M:M,"Vignette",'QA Log'!L:L,"Vignette [7] First ANC Visit",'QA Log'!Z:Z,"Approved"),"")</f>
        <v/>
      </c>
      <c r="BJ384" s="105" t="str">
        <f>IF(A384&lt;&gt;"",COUNTIFS('QA Log'!D:D,A384,'QA Log'!M:M,"Vignette",'QA Log'!L:L,"Vignette [8] Birth Spacing/ Family Planning :  FP Counselling",'QA Log'!Z:Z,"Approved"),"")</f>
        <v/>
      </c>
      <c r="BK384" s="105" t="str">
        <f>IF(A384&lt;&gt;"",COUNTIFS('QA Log'!D:D,A384,'QA Log'!M:M,"Vignette",'QA Log'!L:L,"Vignette [9] Birth Spacing: Change FP method to Injectable",'QA Log'!Z:Z,"Approved"),"")</f>
        <v/>
      </c>
      <c r="BL384" s="105" t="str">
        <f>IF(A384&lt;&gt;"",COUNTIFS('QA Log'!D:D,A384,'QA Log'!M:M,"Vignette",'QA Log'!L:L,"Vignette [10] Post Partum Haemorrhage - Atonic Uterus at Health Centre",'QA Log'!Z:Z,"Approved"),"")</f>
        <v/>
      </c>
      <c r="BM384" s="102" t="str">
        <f>IF(A384="","",SUM(
    COUNTIFS('QA Log'!D:D,A384,'QA Log'!M:M,"Vignette",'QA Log'!Z:Z,"Rejected",'QA Log'!L:L,"*Vignette [5] Labor*"),
    COUNTIFS('QA Log'!D:D,A384,'QA Log'!M:M,"Vignette",'QA Log'!Z:Z,"Rejected",'QA Log'!L:L,"*Vignette [6] PNC pre Discharge*"),
    COUNTIFS('QA Log'!D:D,A384,'QA Log'!M:M,"Vignette",'QA Log'!Z:Z,"Rejected",'QA Log'!L:L,"*Vignette [7] First ANC Visit*"),
    COUNTIFS('QA Log'!D:D,A384,'QA Log'!M:M,"Vignette",'QA Log'!Z:Z,"Rejected",'QA Log'!L:L,"*Vignette [8] Birth Spacing/ Family Planning :  FP Counselling*"),
    COUNTIFS('QA Log'!D:D,A384,'QA Log'!M:M,"Vignette",'QA Log'!Z:Z,"Rejected",'QA Log'!L:L,"*Vignette [9] Birth Spacing: Change FP method to Injectable*"),
    COUNTIFS('QA Log'!D:D,A384,'QA Log'!M:M,"Vignette",'QA Log'!Z:Z,"Rejected",'QA Log'!L:L,"*Vignette [10] Post Partum Haemorrhage - Atonic Uterus at Health Centre*")
  )
)</f>
        <v/>
      </c>
      <c r="BN384" s="107" t="str">
        <f t="shared" si="37"/>
        <v/>
      </c>
      <c r="BO384" s="103" t="str">
        <f t="shared" si="38"/>
        <v/>
      </c>
      <c r="BP384" s="102" t="str">
        <f>IF(A384="","",SUM(
COUNTIFS('QA Log'!D:D,A384,'QA Log'!M:M,"Vignette",'QA Log'!L:L,"*Exit Interview 1*"),
COUNTIFS('QA Log'!D:D,A384,'QA Log'!M:M,"Vignette",'QA Log'!L:L,"*Exit Interview 2*"),
)
)</f>
        <v/>
      </c>
      <c r="BQ384" s="102" t="str">
        <f>IF(
  A384="","",
  SUM(
    COUNTIFS('QA Log'!D:D,A384,'QA Log'!M:M,"Vignette",'QA Log'!Z:Z,"Approved",'QA Log'!L:L,"*Exit Interview 1*"),
    COUNTIFS('QA Log'!D:D,A384,'QA Log'!M:M,"Vignette",'QA Log'!Z:Z,"Approved",'QA Log'!L:L,"*Exit Interview 2*")
  )
)</f>
        <v/>
      </c>
      <c r="BR384" s="105" t="str">
        <f>IF(A384&lt;&gt;"",COUNTIFS('QA Log'!D:D,A384,'QA Log'!M:M,"Vignette",'QA Log'!L:L,"Exit Interview 1",'QA Log'!Z:Z,"Approved"),"")</f>
        <v/>
      </c>
      <c r="BS384" s="105" t="str">
        <f>IF(A384&lt;&gt;"",COUNTIFS('QA Log'!D:D,A384,'QA Log'!M:M,"Vignette",'QA Log'!L:L,"Exit Interview 2",'QA Log'!Z:Z,"Approved"),"")</f>
        <v/>
      </c>
      <c r="BT384" s="102" t="str">
        <f>IF(
  A384="","",
  SUM(
    COUNTIFS('QA Log'!D:D,A384,'QA Log'!M:M,"Vignette",'QA Log'!Z:Z,"Rejected",'QA Log'!L:L,"*Exit Interview 1*"),
    COUNTIFS('QA Log'!D:D,A384,'QA Log'!M:M,"Vignette",'QA Log'!Z:Z,"Rejected",'QA Log'!L:L,"*Exit Interview 2*")
  )
)</f>
        <v/>
      </c>
      <c r="BU384" s="107" t="str">
        <f t="shared" si="39"/>
        <v/>
      </c>
      <c r="BV384" s="102" t="str">
        <f t="shared" si="40"/>
        <v/>
      </c>
      <c r="BW384" s="102" t="str">
        <f t="shared" si="41"/>
        <v/>
      </c>
      <c r="BX384" s="102" t="str">
        <f t="shared" si="42"/>
        <v/>
      </c>
      <c r="BY384" s="102" t="str">
        <f t="shared" si="43"/>
        <v/>
      </c>
      <c r="BZ384" s="107" t="str">
        <f t="shared" si="44"/>
        <v/>
      </c>
      <c r="CA384" s="108" t="str">
        <f t="shared" si="45"/>
        <v/>
      </c>
      <c r="CB384" s="108" t="str">
        <f t="shared" si="46"/>
        <v/>
      </c>
      <c r="CC384" s="109" t="str">
        <f t="shared" si="47"/>
        <v/>
      </c>
      <c r="CD384" s="108" t="str">
        <f t="shared" si="48"/>
        <v/>
      </c>
      <c r="CE384" s="108" t="str">
        <f t="shared" si="49"/>
        <v/>
      </c>
      <c r="CF384" s="109" t="str">
        <f t="shared" si="50"/>
        <v/>
      </c>
      <c r="CG384" s="110" t="str">
        <f t="shared" si="51"/>
        <v/>
      </c>
      <c r="CH384" s="111"/>
    </row>
    <row r="385" spans="1:86" ht="12.75">
      <c r="A385" s="101"/>
      <c r="B385" s="102" t="e">
        <f t="array" aca="1" ref="B385" ca="1">_xludf.XLOOKUP(A385,'QA Log'!D:D,'QA Log'!E:E,"")</f>
        <v>#NAME?</v>
      </c>
      <c r="C385" s="102" t="e">
        <f t="array" aca="1" ref="C385" ca="1">_xludf.XLOOKUP(A385,'QA Log'!D:D,'QA Log'!F:F,"")</f>
        <v>#NAME?</v>
      </c>
      <c r="D385" s="102" t="e">
        <f t="array" aca="1" ref="D385" ca="1">_xludf.XLOOKUP(A385,'QA Log'!D:D,'QA Log'!H:H,"")</f>
        <v>#NAME?</v>
      </c>
      <c r="E385" s="102" t="e">
        <f t="array" aca="1" ref="E385" ca="1">_xludf.XLOOKUP(A385,'QA Log'!D:D,'QA Log'!G:G,"")</f>
        <v>#NAME?</v>
      </c>
      <c r="F385" s="103"/>
      <c r="G385" s="104"/>
      <c r="H385" s="104"/>
      <c r="I385" s="103" t="str">
        <f t="shared" si="26"/>
        <v/>
      </c>
      <c r="J385" s="102" t="str">
        <f>IF(A385="","",SUM(
COUNTIFS('QA Log'!D:D,A385,'QA Log'!M:M,"QQC",'QA Log'!L:L,"*1. General Management*"),
COUNTIFS('QA Log'!D:D,A385,'QA Log'!M:M,"QQC",'QA Log'!L:L,"*3. Curative Consultation (OPD)*"),
COUNTIFS('QA Log'!D:D,A385,'QA Log'!M:M,"QQC",'QA Log'!L:L,"*5. Laboratory*"),
COUNTIFS('QA Log'!D:D,A385,'QA Log'!M:M,"QQC",'QA Log'!L:L,"*6. Essential Medicine Management*"),
COUNTIFS('QA Log'!D:D,A385,'QA Log'!M:M,"QQC",'QA Log'!L:L,"*7. Tracer Medicine*"),
COUNTIFS('QA Log'!D:D,A385,'QA Log'!M:M,"QQC",'QA Log'!L:L,"*11. Additional Questions*")))</f>
        <v/>
      </c>
      <c r="K385" s="102" t="str">
        <f>IF(A385="","",SUM(
COUNTIFS('QA Log'!D:D,A385,'QA Log'!M:M,"QQC",'QA Log'!Z:Z,"Approved",'QA Log'!L:L,"*1. General Management*"),
COUNTIFS('QA Log'!D:D,A385,'QA Log'!M:M,"QQC",'QA Log'!Z:Z,"Approved",'QA Log'!L:L,"*3. Curative Consultation (OPD)*"),
COUNTIFS('QA Log'!D:D,A385,'QA Log'!M:M,"QQC",'QA Log'!Z:Z,"Approved",'QA Log'!L:L,"*5. Laboratory*"),
COUNTIFS('QA Log'!D:D,A385,'QA Log'!M:M,"QQC",'QA Log'!Z:Z,"Approved",'QA Log'!L:L,"*6. Essential Medicine Management*"),
COUNTIFS('QA Log'!D:D,A385,'QA Log'!M:M,"QQC",'QA Log'!Z:Z,"Approved",'QA Log'!L:L,"*7. Tracer Medicine*"),
COUNTIFS('QA Log'!D:D,A385,'QA Log'!M:M,"QQC",'QA Log'!Z:Z,"Approved",'QA Log'!L:L,"*11. Additional Questions*")))</f>
        <v/>
      </c>
      <c r="L385" s="102" t="str">
        <f>IF(A385&lt;&gt;"",COUNTIFS('QA Log'!D:D,A385,'QA Log'!M:M,"QQC",'QA Log'!L:L,"1. General Management",'QA Log'!Z:Z,"Approved"),"")</f>
        <v/>
      </c>
      <c r="M385" s="102" t="str">
        <f>IF(A385&lt;&gt;"",COUNTIFS('QA Log'!D:D,A385,'QA Log'!M:M,"QQC",'QA Log'!L:L,"3. Curative Consultation (OPD)",'QA Log'!Z:Z,"Approved"),"")</f>
        <v/>
      </c>
      <c r="N385" s="102" t="str">
        <f>IF(A385&lt;&gt;"",COUNTIFS('QA Log'!D:D,A385,'QA Log'!M:M,"QQC",'QA Log'!L:L,"5. Laboratory",'QA Log'!Z:Z,"Approved"),"")</f>
        <v/>
      </c>
      <c r="O385" s="102" t="str">
        <f>IF(A385&lt;&gt;"",COUNTIFS('QA Log'!D:D,A385,'QA Log'!M:M,"QQC",'QA Log'!L:L,"6. Essential Medicine Management",'QA Log'!Z:Z,"Approved"),"")</f>
        <v/>
      </c>
      <c r="P385" s="102" t="str">
        <f>IF(A385&lt;&gt;"",COUNTIFS('QA Log'!D:D,A385,'QA Log'!M:M,"QQC",'QA Log'!L:L,"7. Tracer Medicine",'QA Log'!Z:Z,"Approved"),"")</f>
        <v/>
      </c>
      <c r="Q385" s="102" t="str">
        <f>IF(A385&lt;&gt;"",COUNTIFS('QA Log'!D:D,A385,'QA Log'!M:M,"QQC",'QA Log'!L:L,"11. Additional Questions",'QA Log'!Z:Z,"Approved"),"")</f>
        <v/>
      </c>
      <c r="R385" s="102" t="str">
        <f>IF(A385="","",SUM(
COUNTIFS('QA Log'!D:D,A385,'QA Log'!M:M,"QQC",'QA Log'!Z:Z,"Rejected",'QA Log'!L:L,"*8. Maternity*"),
COUNTIFS('QA Log'!D:D,A385,'QA Log'!M:M,"QQC",'QA Log'!Z:Z,"Rejected",'QA Log'!L:L,"*EPI*"),
COUNTIFS('QA Log'!D:D,A385,'QA Log'!M:M,"QQC",'QA Log'!Z:Z,"Rejected",'QA Log'!L:L,"*10. Antenatal Care (ANC)*"),
COUNTIFS('QA Log'!D:D,A385,'QA Log'!M:M,"QQC",'QA Log'!Z:Z,"Rejected",'QA Log'!L:L,"*2. Hygiene and Sterilization*"),
COUNTIFS('QA Log'!D:D,A385,'QA Log'!M:M,"QQC",'QA Log'!Z:Z,"Rejected",'QA Log'!L:L,"*Family Planning*")))</f>
        <v/>
      </c>
      <c r="S385" s="106" t="str">
        <f t="shared" si="27"/>
        <v/>
      </c>
      <c r="T385" s="102" t="str">
        <f t="shared" si="28"/>
        <v/>
      </c>
      <c r="U385" s="102" t="str">
        <f>IF(A385="","",
SUM(
COUNTIFS('QA Log'!D:D,A385,'QA Log'!M:M,"QQC",'QA Log'!L:L,"*8. Maternity*"),
COUNTIFS('QA Log'!D:D,A385,'QA Log'!M:M,"QQC",'QA Log'!L:L,"*9. EPI and Pre-school Consultation*"),
COUNTIFS('QA Log'!D:D,A385,'QA Log'!M:M,"QQC",'QA Log'!L:L,"*10. Antenatal Care (ANC)*"),
COUNTIFS('QA Log'!D:D,A385,'QA Log'!M:M,"QQC",'QA Log'!L:L,"*2. Hygiene and Sterilization*"),
COUNTIFS('QA Log'!D:D,A385,'QA Log'!M:M,"QQC",'QA Log'!L:L,"*4. Family Planning*")
))</f>
        <v/>
      </c>
      <c r="V385" s="102" t="str">
        <f>IF(A385="","",
SUM(
COUNTIFS('QA Log'!D:D,A385,'QA Log'!M:M,"QQC",'QA Log'!Z:Z,"Approved",'QA Log'!L:L,"*8. Maternity*"),
COUNTIFS('QA Log'!D:D,A385,'QA Log'!M:M,"QQC",'QA Log'!Z:Z,"Approved",'QA Log'!L:L,"*9. EPI and Pre-school Consultation*"),
COUNTIFS('QA Log'!D:D,A385,'QA Log'!M:M,"QQC",'QA Log'!Z:Z,"Approved",'QA Log'!L:L,"*10. Antenatal Care (ANC)*"),
COUNTIFS('QA Log'!D:D,A385,'QA Log'!M:M,"QQC",'QA Log'!Z:Z,"Approved",'QA Log'!L:L,"*2. Hygiene and Sterilization*"),
COUNTIFS('QA Log'!D:D,A385,'QA Log'!M:M,"QQC",'QA Log'!Z:Z,"Approved",'QA Log'!L:L,"*4. Family Planning*")
))</f>
        <v/>
      </c>
      <c r="W385" s="102" t="str">
        <f>IF(A385&lt;&gt;"",COUNTIFS('QA Log'!D:D,A385,'QA Log'!M:M,"QQC",'QA Log'!L:L,"8. Maternity",'QA Log'!Z:Z,"Approved"),"")</f>
        <v/>
      </c>
      <c r="X385" s="105" t="str">
        <f>IF(A385&lt;&gt;"",COUNTIFS('QA Log'!D:D,A385,'QA Log'!M:M,"QQC",'QA Log'!L:L,"9. EPI and Pre-school Consultation",'QA Log'!Z:Z,"Approved"),"")</f>
        <v/>
      </c>
      <c r="Y385" s="102" t="str">
        <f>IF(A385&lt;&gt;"",COUNTIFS('QA Log'!D:D,A385,'QA Log'!M:M,"QQC",'QA Log'!L:L,"10. Antenatal Care (ANC)",'QA Log'!Z:Z,"Approved"),"")</f>
        <v/>
      </c>
      <c r="Z385" s="102" t="str">
        <f>IF(A385&lt;&gt;"",COUNTIFS('QA Log'!D:D,A385,'QA Log'!M:M,"QQC",'QA Log'!L:L,"2. Hygiene and Sterilization",'QA Log'!Z:Z,"Approved"),"")</f>
        <v/>
      </c>
      <c r="AA385" s="105" t="str">
        <f>IF(A385&lt;&gt;"",COUNTIFS('QA Log'!D:D,A385,'QA Log'!M:M,"QQC",'QA Log'!L:L,"4. Family Planning",'QA Log'!Z:Z,"Approved"),"")</f>
        <v/>
      </c>
      <c r="AB385" s="102" t="str">
        <f>IF(A385="","",
SUM(
COUNTIFS('QA Log'!D:D,A385,'QA Log'!M:M,"QQC",'QA Log'!Z:Z,"Rejected",'QA Log'!L:L,"*8. Maternity*"),
COUNTIFS('QA Log'!D:D,A385,'QA Log'!M:M,"QQC",'QA Log'!Z:Z,"Rejected",'QA Log'!L:L,"*9. EPI and Pre-school Consultation*"),
COUNTIFS('QA Log'!D:D,A385,'QA Log'!M:M,"QQC",'QA Log'!Z:Z,"Rejected",'QA Log'!L:L,"*10. Antenatal Care (ANC)*"),
COUNTIFS('QA Log'!D:D,A385,'QA Log'!M:M,"QQC",'QA Log'!Z:Z,"Rejected",'QA Log'!L:L,"*2. Hygiene and Sterilization*"),
COUNTIFS('QA Log'!D:D,A385,'QA Log'!M:M,"QQC",'QA Log'!Z:Z,"Rejected",'QA Log'!L:L,"*4. Family Planning*")
))</f>
        <v/>
      </c>
      <c r="AC385" s="102" t="str">
        <f t="shared" si="29"/>
        <v/>
      </c>
      <c r="AD385" s="103" t="str">
        <f t="shared" si="30"/>
        <v/>
      </c>
      <c r="AE385" s="102" t="str">
        <f>IF(A385="","",
SUM(
COUNTIFS('QA Log'!D:D,A385,'QA Log'!M:M,"Data Verification",'QA Log'!L:L,"*Medicine (section 2)*"),
COUNTIFS('QA Log'!D:D,A385,'QA Log'!M:M,"Data Verification",'QA Log'!L:L,"*Lab Testing Availability*"),
COUNTIFS('QA Log'!D:D,A385,'QA Log'!M:M,"Data Verification",'QA Log'!L:L,"*Other than P4P (section 6)*"),
COUNTIFS('QA Log'!D:D,A385,'QA Log'!M:M,"Data Verification",'QA Log'!L:L,"*Hospital Governance*")
))</f>
        <v/>
      </c>
      <c r="AF385" s="102" t="str">
        <f>IF(A385="","",
SUM(
COUNTIFS('QA Log'!D:D,A385,'QA Log'!M:M,"Data Verification",'QA Log'!Z:Z,"Approved",'QA Log'!L:L,"*Medicine (section 2)*"),
COUNTIFS('QA Log'!D:D,A385,'QA Log'!M:M,"Data Verification",'QA Log'!Z:Z,"Approved",'QA Log'!L:L,"*Lab Testing Availability*"),
COUNTIFS('QA Log'!D:D,A385,'QA Log'!M:M,"Data Verification",'QA Log'!Z:Z,"Approved",'QA Log'!L:L,"*Other than P4P (section 6)*"),
COUNTIFS('QA Log'!D:D,A385,'QA Log'!M:M,"Data Verification",'QA Log'!Z:Z,"Approved",'QA Log'!L:L,"*Hospital Governance*")
))</f>
        <v/>
      </c>
      <c r="AG385" s="105" t="str">
        <f>IF(A385&lt;&gt;"",COUNTIFS('QA Log'!D:D,A385,'QA Log'!M:M,"Data Verification",'QA Log'!L:L,"Medicine (section 2)",'QA Log'!Z:Z,"Approved"),"")</f>
        <v/>
      </c>
      <c r="AH385" s="105" t="str">
        <f>IF(A385&lt;&gt;"",COUNTIFS('QA Log'!D:D,A385,'QA Log'!M:M,"Data Verification",'QA Log'!L:L,"Lab Testing Availability",'QA Log'!Z:Z,"Approved"),"")</f>
        <v/>
      </c>
      <c r="AI385" s="105" t="str">
        <f>IF(A385&lt;&gt;"",COUNTIFS('QA Log'!D:D,A385,'QA Log'!M:M,"Data Verification",'QA Log'!L:L,"Other than P4P (section 6)",'QA Log'!Z:Z,"Approved"),"")</f>
        <v/>
      </c>
      <c r="AJ385" s="105" t="str">
        <f>IF(A385&lt;&gt;"",COUNTIFS('QA Log'!D:D,A385,'QA Log'!M:M,"Data Verification",'QA Log'!L:L,"Hospital Governance",'QA Log'!Z:Z,"Approved"),"")</f>
        <v/>
      </c>
      <c r="AK385" s="102" t="str">
        <f>IF(A385="","",
SUM(
COUNTIFS('QA Log'!D:D,A385,'QA Log'!M:M,"Data Verification",'QA Log'!Z:Z,"Rejected",'QA Log'!L:L,"*Medicine (section 2)*"),
COUNTIFS('QA Log'!D:D,A385,'QA Log'!M:M,"Data Verification",'QA Log'!Z:Z,"Rejected",'QA Log'!L:L,"*Lab Testing Availability*"),
COUNTIFS('QA Log'!D:D,A385,'QA Log'!M:M,"Data Verification",'QA Log'!Z:Z,"Rejected",'QA Log'!L:L,"*Other than P4P (section 6)*"),
COUNTIFS('QA Log'!D:D,A385,'QA Log'!M:M,"Data Verification",'QA Log'!Z:Z,"Rejected",'QA Log'!L:L,"*Hospital Governance*")
))</f>
        <v/>
      </c>
      <c r="AL385" s="106" t="str">
        <f t="shared" si="31"/>
        <v/>
      </c>
      <c r="AM385" s="102" t="str">
        <f t="shared" si="32"/>
        <v/>
      </c>
      <c r="AN385" s="102" t="str">
        <f>IF(A385="","",
SUM(
COUNTIFS('QA Log'!D:D,A385,'QA Log'!M:M,"Data Verification",'QA Log'!L:L,"*Personnel (section 1)*"),
COUNTIFS('QA Log'!D:D,A385,'QA Log'!M:M,"Data Verification",'QA Log'!L:L,"*Consumable (section 3)*"),
COUNTIFS('QA Log'!D:D,A385,'QA Log'!M:M,"Data Verification",'QA Log'!L:L,"*Equipments (section 4)*")
))</f>
        <v/>
      </c>
      <c r="AO385" s="102" t="str">
        <f>IF(A385="","",
SUM(
COUNTIFS('QA Log'!D:D,A385,'QA Log'!M:M,"Data Verification",'QA Log'!Z:Z,"Approved",'QA Log'!L:L,"*Personnel (section 1)*"),
COUNTIFS('QA Log'!D:D,A385,'QA Log'!M:M,"Data Verification",'QA Log'!Z:Z,"Approved",'QA Log'!L:L,"*Consumable (section 3)*"),
COUNTIFS('QA Log'!D:D,A385,'QA Log'!M:M,"Data Verification",'QA Log'!Z:Z,"Approved",'QA Log'!L:L,"*Equipments (section 4)*")
))</f>
        <v/>
      </c>
      <c r="AP385" s="105" t="str">
        <f>IF(A385&lt;&gt;"",COUNTIFS('QA Log'!D:D,A385,'QA Log'!M:M,"Data Verification",'QA Log'!L:L,"Personnel (section 1)",'QA Log'!Z:Z,"Approved"),"")</f>
        <v/>
      </c>
      <c r="AQ385" s="105" t="str">
        <f>IF(A385&lt;&gt;"",COUNTIFS('QA Log'!D:D,A385,'QA Log'!M:M,"Data Verification",'QA Log'!L:L,"Consumable (section 3)",'QA Log'!Z:Z,"Approved"),"")</f>
        <v/>
      </c>
      <c r="AR385" s="105" t="str">
        <f>IF(A385&lt;&gt;"",COUNTIFS('QA Log'!D:D,A385,'QA Log'!M:M,"Data Verification",'QA Log'!L:L,"Equipments (section 4)",'QA Log'!Z:Z,"Approved"),"")</f>
        <v/>
      </c>
      <c r="AS385" s="102" t="str">
        <f>IF(A385="","",
SUM(
COUNTIFS('QA Log'!D:D,A385,'QA Log'!M:M,"Data Verification",'QA Log'!Z:Z,"Rejected",'QA Log'!L:L,"*Personnel (section 1)*"),
COUNTIFS('QA Log'!D:D,A385,'QA Log'!M:M,"Data Verification",'QA Log'!Z:Z,"Rejected",'QA Log'!L:L,"*Consumable (section 3)*"),
COUNTIFS('QA Log'!D:D,A385,'QA Log'!M:M,"Data Verification",'QA Log'!Z:Z,"Rejected",'QA Log'!L:L,"*Equipments (section 4)*")
))</f>
        <v/>
      </c>
      <c r="AT385" s="102" t="str">
        <f t="shared" si="33"/>
        <v/>
      </c>
      <c r="AU385" s="103" t="str">
        <f t="shared" si="34"/>
        <v/>
      </c>
      <c r="AV385" s="102" t="str">
        <f>IF(A385="","",SUM(
COUNTIFS('QA Log'!D:D,A385,'QA Log'!M:M,"Vignette",'QA Log'!L:L,"*Vignette [1] Respiratory Infection: Pneumonia*"),
COUNTIFS('QA Log'!D:D,A385,'QA Log'!M:M,"Vignette",'QA Log'!L:L,"*Vignette [2]: Diarrhea with Cat B dehydration*"),
COUNTIFS('QA Log'!D:D,A385,'QA Log'!M:M,"Vignette",'QA Log'!L:L,"*Vignette [3] Growth Monitoring and Promotion*"),
COUNTIFS('QA Log'!D:D,A385,'QA Log'!M:M,"Vignette",'QA Log'!L:L,"*Vignette [4]: The management of presumptive TB patient*")
)
)</f>
        <v/>
      </c>
      <c r="AW385" s="102" t="str">
        <f>IF(
  A385="","",
  SUM(
    COUNTIFS('QA Log'!D:D,A385,'QA Log'!M:M,"Vignette",'QA Log'!Z:Z,"Approved",'QA Log'!L:L,"*Vignette [1] Respiratory Infection: Pneumonia*"),
    COUNTIFS('QA Log'!D:D,A385,'QA Log'!M:M,"Vignette",'QA Log'!Z:Z,"Approved",'QA Log'!L:L,"*Vignette [2]: Diarrhea with Cat B dehydration*"),
    COUNTIFS('QA Log'!D:D,A385,'QA Log'!M:M,"Vignette",'QA Log'!Z:Z,"Approved",'QA Log'!L:L,"*Vignette [3] Growth Monitoring and Promotion*"),
    COUNTIFS('QA Log'!D:D,A385,'QA Log'!M:M,"Vignette",'QA Log'!Z:Z,"Approved",'QA Log'!L:L,"*Vignette [4]: The management of presumptive TB patient*")
  )
)</f>
        <v/>
      </c>
      <c r="AX385" s="105" t="str">
        <f>IF(A385&lt;&gt;"",COUNTIFS('QA Log'!D:D,A385,'QA Log'!M:M,"Vignette",'QA Log'!L:L,"Vignette [1] Respiratory Infection: Pneumonia",'QA Log'!Z:Z,"Approved"),"")</f>
        <v/>
      </c>
      <c r="AY385" s="105" t="str">
        <f>IF(A385&lt;&gt;"",COUNTIFS('QA Log'!D:D,A385,'QA Log'!M:M,"Vignette",'QA Log'!L:L,"Vignette [2]: Diarrhea with Cat B dehydration",'QA Log'!Z:Z,"Approved"),"")</f>
        <v/>
      </c>
      <c r="AZ385" s="105" t="str">
        <f>IF(A385&lt;&gt;"",COUNTIFS('QA Log'!D:D,A385,'QA Log'!M:M,"Vignette",'QA Log'!L:L,"Vignette [3] Growth Monitoring and Promotion",'QA Log'!Z:Z,"Approved"),"")</f>
        <v/>
      </c>
      <c r="BA385" s="105" t="str">
        <f>IF(A385&lt;&gt;"",COUNTIFS('QA Log'!D:D,A385,'QA Log'!M:M,"Vignette",'QA Log'!L:L,"Vignette [4]: The management of presumptive TB patient",'QA Log'!Z:Z,"Approved"),"")</f>
        <v/>
      </c>
      <c r="BB385" s="102" t="str">
        <f>IF(A385="","",
  SUM(
    COUNTIFS('QA Log'!D:D,A385,'QA Log'!M:M,"Vignette",'QA Log'!Z:Z,"Rejected",'QA Log'!L:L,"*Vignette [1] Respiratory Infection: Pneumonia*"),
    COUNTIFS('QA Log'!D:D,A385,'QA Log'!M:M,"Vignette",'QA Log'!Z:Z,"Rejected",'QA Log'!L:L,"*Vignette [2]: Diarrhea with Cat B dehydration*"),
    COUNTIFS('QA Log'!D:D,A385,'QA Log'!M:M,"Vignette",'QA Log'!Z:Z,"Rejected",'QA Log'!L:L,"*Vignette [3] Growth Monitoring and Promotion*"),
    COUNTIFS('QA Log'!D:D,A385,'QA Log'!M:M,"Vignette",'QA Log'!Z:Z,"Rejected",'QA Log'!L:L,"*Vignette [4]: The management of presumptive TB patient*")
  )
)</f>
        <v/>
      </c>
      <c r="BC385" s="107" t="str">
        <f t="shared" si="35"/>
        <v/>
      </c>
      <c r="BD385" s="103" t="str">
        <f t="shared" si="36"/>
        <v/>
      </c>
      <c r="BE385" s="102" t="str">
        <f>IF(A385="","",SUM(
COUNTIFS('QA Log'!D:D,A385,'QA Log'!M:M,"Vignette",'QA Log'!L:L,"*Vignette [5] Labor*"),
COUNTIFS('QA Log'!D:D,A385,'QA Log'!M:M,"Vignette",'QA Log'!L:L,"*Vignette [6] PNC pre Discharge*"),
COUNTIFS('QA Log'!D:D,A385,'QA Log'!M:M,"Vignette",'QA Log'!L:L,"*Vignette [7] First ANC Visit*"),
COUNTIFS('QA Log'!D:D,A385,'QA Log'!M:M,"Vignette",'QA Log'!L:L,"*Vignette [8] Birth Spacing/ Family Planning :  FP Counselling*"),
COUNTIFS('QA Log'!D:D,A385,'QA Log'!M:M,"Vignette",'QA Log'!L:L,"*Vignette [9] Birth Spacing: Change FP method to Injectable*"),
COUNTIFS('QA Log'!D:D,A385,'QA Log'!M:M,"Vignette",'QA Log'!L:L,"*Vignette [10] Post Partum Haemorrhage - Atonic Uterus at Health Centre*"),
)
)</f>
        <v/>
      </c>
      <c r="BF385" s="102" t="str">
        <f>IF(A385="","",
  SUM(
    COUNTIFS('QA Log'!D:D,A385,'QA Log'!M:M,"Vignette",'QA Log'!Z:Z,"Approved",'QA Log'!L:L,"*Vignette [5] Labor*"),
    COUNTIFS('QA Log'!D:D,A385,'QA Log'!M:M,"Vignette",'QA Log'!Z:Z,"Approved",'QA Log'!L:L,"*Vignette [6] PNC pre Discharge*"),
    COUNTIFS('QA Log'!D:D,A385,'QA Log'!M:M,"Vignette",'QA Log'!Z:Z,"Approved",'QA Log'!L:L,"*Vignette [7] First ANC Visit*"),
    COUNTIFS('QA Log'!D:D,A385,'QA Log'!M:M,"Vignette",'QA Log'!Z:Z,"Approved",'QA Log'!L:L,"*Vignette [8] Birth Spacing/ Family Planning :  FP Counselling*"),
    COUNTIFS('QA Log'!D:D,A385,'QA Log'!M:M,"Vignette",'QA Log'!Z:Z,"Approved",'QA Log'!L:L,"*Vignette [9] Birth Spacing: Change FP method to Injectable*"),
    COUNTIFS('QA Log'!D:D,A385,'QA Log'!M:M,"Vignette",'QA Log'!Z:Z,"Approved",'QA Log'!L:L,"*Vignette [10] Post Partum Haemorrhage - Atonic Uterus at Health Centre*")
  )
)</f>
        <v/>
      </c>
      <c r="BG385" s="105" t="str">
        <f>IF(A385&lt;&gt;"",COUNTIFS('QA Log'!D:D,A385,'QA Log'!M:M,"Vignette",'QA Log'!L:L,"Vignette [5] Labor",'QA Log'!Z:Z,"Approved"),"")</f>
        <v/>
      </c>
      <c r="BH385" s="105" t="str">
        <f>IF(A385&lt;&gt;"",COUNTIFS('QA Log'!D:D,A385,'QA Log'!M:M,"Vignette",'QA Log'!L:L,"Vignette [6] PNC pre Discharge",'QA Log'!Z:Z,"Approved"),"")</f>
        <v/>
      </c>
      <c r="BI385" s="105" t="str">
        <f>IF(A385&lt;&gt;"",COUNTIFS('QA Log'!D:D,A385,'QA Log'!M:M,"Vignette",'QA Log'!L:L,"Vignette [7] First ANC Visit",'QA Log'!Z:Z,"Approved"),"")</f>
        <v/>
      </c>
      <c r="BJ385" s="105" t="str">
        <f>IF(A385&lt;&gt;"",COUNTIFS('QA Log'!D:D,A385,'QA Log'!M:M,"Vignette",'QA Log'!L:L,"Vignette [8] Birth Spacing/ Family Planning :  FP Counselling",'QA Log'!Z:Z,"Approved"),"")</f>
        <v/>
      </c>
      <c r="BK385" s="105" t="str">
        <f>IF(A385&lt;&gt;"",COUNTIFS('QA Log'!D:D,A385,'QA Log'!M:M,"Vignette",'QA Log'!L:L,"Vignette [9] Birth Spacing: Change FP method to Injectable",'QA Log'!Z:Z,"Approved"),"")</f>
        <v/>
      </c>
      <c r="BL385" s="105" t="str">
        <f>IF(A385&lt;&gt;"",COUNTIFS('QA Log'!D:D,A385,'QA Log'!M:M,"Vignette",'QA Log'!L:L,"Vignette [10] Post Partum Haemorrhage - Atonic Uterus at Health Centre",'QA Log'!Z:Z,"Approved"),"")</f>
        <v/>
      </c>
      <c r="BM385" s="102" t="str">
        <f>IF(A385="","",SUM(
    COUNTIFS('QA Log'!D:D,A385,'QA Log'!M:M,"Vignette",'QA Log'!Z:Z,"Rejected",'QA Log'!L:L,"*Vignette [5] Labor*"),
    COUNTIFS('QA Log'!D:D,A385,'QA Log'!M:M,"Vignette",'QA Log'!Z:Z,"Rejected",'QA Log'!L:L,"*Vignette [6] PNC pre Discharge*"),
    COUNTIFS('QA Log'!D:D,A385,'QA Log'!M:M,"Vignette",'QA Log'!Z:Z,"Rejected",'QA Log'!L:L,"*Vignette [7] First ANC Visit*"),
    COUNTIFS('QA Log'!D:D,A385,'QA Log'!M:M,"Vignette",'QA Log'!Z:Z,"Rejected",'QA Log'!L:L,"*Vignette [8] Birth Spacing/ Family Planning :  FP Counselling*"),
    COUNTIFS('QA Log'!D:D,A385,'QA Log'!M:M,"Vignette",'QA Log'!Z:Z,"Rejected",'QA Log'!L:L,"*Vignette [9] Birth Spacing: Change FP method to Injectable*"),
    COUNTIFS('QA Log'!D:D,A385,'QA Log'!M:M,"Vignette",'QA Log'!Z:Z,"Rejected",'QA Log'!L:L,"*Vignette [10] Post Partum Haemorrhage - Atonic Uterus at Health Centre*")
  )
)</f>
        <v/>
      </c>
      <c r="BN385" s="107" t="str">
        <f t="shared" si="37"/>
        <v/>
      </c>
      <c r="BO385" s="103" t="str">
        <f t="shared" si="38"/>
        <v/>
      </c>
      <c r="BP385" s="102" t="str">
        <f>IF(A385="","",SUM(
COUNTIFS('QA Log'!D:D,A385,'QA Log'!M:M,"Vignette",'QA Log'!L:L,"*Exit Interview 1*"),
COUNTIFS('QA Log'!D:D,A385,'QA Log'!M:M,"Vignette",'QA Log'!L:L,"*Exit Interview 2*"),
)
)</f>
        <v/>
      </c>
      <c r="BQ385" s="102" t="str">
        <f>IF(
  A385="","",
  SUM(
    COUNTIFS('QA Log'!D:D,A385,'QA Log'!M:M,"Vignette",'QA Log'!Z:Z,"Approved",'QA Log'!L:L,"*Exit Interview 1*"),
    COUNTIFS('QA Log'!D:D,A385,'QA Log'!M:M,"Vignette",'QA Log'!Z:Z,"Approved",'QA Log'!L:L,"*Exit Interview 2*")
  )
)</f>
        <v/>
      </c>
      <c r="BR385" s="105" t="str">
        <f>IF(A385&lt;&gt;"",COUNTIFS('QA Log'!D:D,A385,'QA Log'!M:M,"Vignette",'QA Log'!L:L,"Exit Interview 1",'QA Log'!Z:Z,"Approved"),"")</f>
        <v/>
      </c>
      <c r="BS385" s="105" t="str">
        <f>IF(A385&lt;&gt;"",COUNTIFS('QA Log'!D:D,A385,'QA Log'!M:M,"Vignette",'QA Log'!L:L,"Exit Interview 2",'QA Log'!Z:Z,"Approved"),"")</f>
        <v/>
      </c>
      <c r="BT385" s="102" t="str">
        <f>IF(
  A385="","",
  SUM(
    COUNTIFS('QA Log'!D:D,A385,'QA Log'!M:M,"Vignette",'QA Log'!Z:Z,"Rejected",'QA Log'!L:L,"*Exit Interview 1*"),
    COUNTIFS('QA Log'!D:D,A385,'QA Log'!M:M,"Vignette",'QA Log'!Z:Z,"Rejected",'QA Log'!L:L,"*Exit Interview 2*")
  )
)</f>
        <v/>
      </c>
      <c r="BU385" s="107" t="str">
        <f t="shared" si="39"/>
        <v/>
      </c>
      <c r="BV385" s="102" t="str">
        <f t="shared" si="40"/>
        <v/>
      </c>
      <c r="BW385" s="102" t="str">
        <f t="shared" si="41"/>
        <v/>
      </c>
      <c r="BX385" s="102" t="str">
        <f t="shared" si="42"/>
        <v/>
      </c>
      <c r="BY385" s="102" t="str">
        <f t="shared" si="43"/>
        <v/>
      </c>
      <c r="BZ385" s="107" t="str">
        <f t="shared" si="44"/>
        <v/>
      </c>
      <c r="CA385" s="108" t="str">
        <f t="shared" si="45"/>
        <v/>
      </c>
      <c r="CB385" s="108" t="str">
        <f t="shared" si="46"/>
        <v/>
      </c>
      <c r="CC385" s="109" t="str">
        <f t="shared" si="47"/>
        <v/>
      </c>
      <c r="CD385" s="108" t="str">
        <f t="shared" si="48"/>
        <v/>
      </c>
      <c r="CE385" s="108" t="str">
        <f t="shared" si="49"/>
        <v/>
      </c>
      <c r="CF385" s="109" t="str">
        <f t="shared" si="50"/>
        <v/>
      </c>
      <c r="CG385" s="110" t="str">
        <f t="shared" si="51"/>
        <v/>
      </c>
      <c r="CH385" s="111"/>
    </row>
    <row r="386" spans="1:86" ht="12.75">
      <c r="A386" s="101"/>
      <c r="B386" s="102" t="e">
        <f t="array" aca="1" ref="B386" ca="1">_xludf.XLOOKUP(A386,'QA Log'!D:D,'QA Log'!E:E,"")</f>
        <v>#NAME?</v>
      </c>
      <c r="C386" s="102" t="e">
        <f t="array" aca="1" ref="C386" ca="1">_xludf.XLOOKUP(A386,'QA Log'!D:D,'QA Log'!F:F,"")</f>
        <v>#NAME?</v>
      </c>
      <c r="D386" s="102" t="e">
        <f t="array" aca="1" ref="D386" ca="1">_xludf.XLOOKUP(A386,'QA Log'!D:D,'QA Log'!H:H,"")</f>
        <v>#NAME?</v>
      </c>
      <c r="E386" s="102" t="e">
        <f t="array" aca="1" ref="E386" ca="1">_xludf.XLOOKUP(A386,'QA Log'!D:D,'QA Log'!G:G,"")</f>
        <v>#NAME?</v>
      </c>
      <c r="F386" s="103"/>
      <c r="G386" s="104"/>
      <c r="H386" s="104"/>
      <c r="I386" s="103" t="str">
        <f t="shared" si="26"/>
        <v/>
      </c>
      <c r="J386" s="102" t="str">
        <f>IF(A386="","",SUM(
COUNTIFS('QA Log'!D:D,A386,'QA Log'!M:M,"QQC",'QA Log'!L:L,"*1. General Management*"),
COUNTIFS('QA Log'!D:D,A386,'QA Log'!M:M,"QQC",'QA Log'!L:L,"*3. Curative Consultation (OPD)*"),
COUNTIFS('QA Log'!D:D,A386,'QA Log'!M:M,"QQC",'QA Log'!L:L,"*5. Laboratory*"),
COUNTIFS('QA Log'!D:D,A386,'QA Log'!M:M,"QQC",'QA Log'!L:L,"*6. Essential Medicine Management*"),
COUNTIFS('QA Log'!D:D,A386,'QA Log'!M:M,"QQC",'QA Log'!L:L,"*7. Tracer Medicine*"),
COUNTIFS('QA Log'!D:D,A386,'QA Log'!M:M,"QQC",'QA Log'!L:L,"*11. Additional Questions*")))</f>
        <v/>
      </c>
      <c r="K386" s="102" t="str">
        <f>IF(A386="","",SUM(
COUNTIFS('QA Log'!D:D,A386,'QA Log'!M:M,"QQC",'QA Log'!Z:Z,"Approved",'QA Log'!L:L,"*1. General Management*"),
COUNTIFS('QA Log'!D:D,A386,'QA Log'!M:M,"QQC",'QA Log'!Z:Z,"Approved",'QA Log'!L:L,"*3. Curative Consultation (OPD)*"),
COUNTIFS('QA Log'!D:D,A386,'QA Log'!M:M,"QQC",'QA Log'!Z:Z,"Approved",'QA Log'!L:L,"*5. Laboratory*"),
COUNTIFS('QA Log'!D:D,A386,'QA Log'!M:M,"QQC",'QA Log'!Z:Z,"Approved",'QA Log'!L:L,"*6. Essential Medicine Management*"),
COUNTIFS('QA Log'!D:D,A386,'QA Log'!M:M,"QQC",'QA Log'!Z:Z,"Approved",'QA Log'!L:L,"*7. Tracer Medicine*"),
COUNTIFS('QA Log'!D:D,A386,'QA Log'!M:M,"QQC",'QA Log'!Z:Z,"Approved",'QA Log'!L:L,"*11. Additional Questions*")))</f>
        <v/>
      </c>
      <c r="L386" s="102" t="str">
        <f>IF(A386&lt;&gt;"",COUNTIFS('QA Log'!D:D,A386,'QA Log'!M:M,"QQC",'QA Log'!L:L,"1. General Management",'QA Log'!Z:Z,"Approved"),"")</f>
        <v/>
      </c>
      <c r="M386" s="102" t="str">
        <f>IF(A386&lt;&gt;"",COUNTIFS('QA Log'!D:D,A386,'QA Log'!M:M,"QQC",'QA Log'!L:L,"3. Curative Consultation (OPD)",'QA Log'!Z:Z,"Approved"),"")</f>
        <v/>
      </c>
      <c r="N386" s="102" t="str">
        <f>IF(A386&lt;&gt;"",COUNTIFS('QA Log'!D:D,A386,'QA Log'!M:M,"QQC",'QA Log'!L:L,"5. Laboratory",'QA Log'!Z:Z,"Approved"),"")</f>
        <v/>
      </c>
      <c r="O386" s="102" t="str">
        <f>IF(A386&lt;&gt;"",COUNTIFS('QA Log'!D:D,A386,'QA Log'!M:M,"QQC",'QA Log'!L:L,"6. Essential Medicine Management",'QA Log'!Z:Z,"Approved"),"")</f>
        <v/>
      </c>
      <c r="P386" s="102" t="str">
        <f>IF(A386&lt;&gt;"",COUNTIFS('QA Log'!D:D,A386,'QA Log'!M:M,"QQC",'QA Log'!L:L,"7. Tracer Medicine",'QA Log'!Z:Z,"Approved"),"")</f>
        <v/>
      </c>
      <c r="Q386" s="102" t="str">
        <f>IF(A386&lt;&gt;"",COUNTIFS('QA Log'!D:D,A386,'QA Log'!M:M,"QQC",'QA Log'!L:L,"11. Additional Questions",'QA Log'!Z:Z,"Approved"),"")</f>
        <v/>
      </c>
      <c r="R386" s="102" t="str">
        <f>IF(A386="","",SUM(
COUNTIFS('QA Log'!D:D,A386,'QA Log'!M:M,"QQC",'QA Log'!Z:Z,"Rejected",'QA Log'!L:L,"*8. Maternity*"),
COUNTIFS('QA Log'!D:D,A386,'QA Log'!M:M,"QQC",'QA Log'!Z:Z,"Rejected",'QA Log'!L:L,"*EPI*"),
COUNTIFS('QA Log'!D:D,A386,'QA Log'!M:M,"QQC",'QA Log'!Z:Z,"Rejected",'QA Log'!L:L,"*10. Antenatal Care (ANC)*"),
COUNTIFS('QA Log'!D:D,A386,'QA Log'!M:M,"QQC",'QA Log'!Z:Z,"Rejected",'QA Log'!L:L,"*2. Hygiene and Sterilization*"),
COUNTIFS('QA Log'!D:D,A386,'QA Log'!M:M,"QQC",'QA Log'!Z:Z,"Rejected",'QA Log'!L:L,"*Family Planning*")))</f>
        <v/>
      </c>
      <c r="S386" s="106" t="str">
        <f t="shared" si="27"/>
        <v/>
      </c>
      <c r="T386" s="102" t="str">
        <f t="shared" si="28"/>
        <v/>
      </c>
      <c r="U386" s="102" t="str">
        <f>IF(A386="","",
SUM(
COUNTIFS('QA Log'!D:D,A386,'QA Log'!M:M,"QQC",'QA Log'!L:L,"*8. Maternity*"),
COUNTIFS('QA Log'!D:D,A386,'QA Log'!M:M,"QQC",'QA Log'!L:L,"*9. EPI and Pre-school Consultation*"),
COUNTIFS('QA Log'!D:D,A386,'QA Log'!M:M,"QQC",'QA Log'!L:L,"*10. Antenatal Care (ANC)*"),
COUNTIFS('QA Log'!D:D,A386,'QA Log'!M:M,"QQC",'QA Log'!L:L,"*2. Hygiene and Sterilization*"),
COUNTIFS('QA Log'!D:D,A386,'QA Log'!M:M,"QQC",'QA Log'!L:L,"*4. Family Planning*")
))</f>
        <v/>
      </c>
      <c r="V386" s="102" t="str">
        <f>IF(A386="","",
SUM(
COUNTIFS('QA Log'!D:D,A386,'QA Log'!M:M,"QQC",'QA Log'!Z:Z,"Approved",'QA Log'!L:L,"*8. Maternity*"),
COUNTIFS('QA Log'!D:D,A386,'QA Log'!M:M,"QQC",'QA Log'!Z:Z,"Approved",'QA Log'!L:L,"*9. EPI and Pre-school Consultation*"),
COUNTIFS('QA Log'!D:D,A386,'QA Log'!M:M,"QQC",'QA Log'!Z:Z,"Approved",'QA Log'!L:L,"*10. Antenatal Care (ANC)*"),
COUNTIFS('QA Log'!D:D,A386,'QA Log'!M:M,"QQC",'QA Log'!Z:Z,"Approved",'QA Log'!L:L,"*2. Hygiene and Sterilization*"),
COUNTIFS('QA Log'!D:D,A386,'QA Log'!M:M,"QQC",'QA Log'!Z:Z,"Approved",'QA Log'!L:L,"*4. Family Planning*")
))</f>
        <v/>
      </c>
      <c r="W386" s="102" t="str">
        <f>IF(A386&lt;&gt;"",COUNTIFS('QA Log'!D:D,A386,'QA Log'!M:M,"QQC",'QA Log'!L:L,"8. Maternity",'QA Log'!Z:Z,"Approved"),"")</f>
        <v/>
      </c>
      <c r="X386" s="105" t="str">
        <f>IF(A386&lt;&gt;"",COUNTIFS('QA Log'!D:D,A386,'QA Log'!M:M,"QQC",'QA Log'!L:L,"9. EPI and Pre-school Consultation",'QA Log'!Z:Z,"Approved"),"")</f>
        <v/>
      </c>
      <c r="Y386" s="102" t="str">
        <f>IF(A386&lt;&gt;"",COUNTIFS('QA Log'!D:D,A386,'QA Log'!M:M,"QQC",'QA Log'!L:L,"10. Antenatal Care (ANC)",'QA Log'!Z:Z,"Approved"),"")</f>
        <v/>
      </c>
      <c r="Z386" s="102" t="str">
        <f>IF(A386&lt;&gt;"",COUNTIFS('QA Log'!D:D,A386,'QA Log'!M:M,"QQC",'QA Log'!L:L,"2. Hygiene and Sterilization",'QA Log'!Z:Z,"Approved"),"")</f>
        <v/>
      </c>
      <c r="AA386" s="105" t="str">
        <f>IF(A386&lt;&gt;"",COUNTIFS('QA Log'!D:D,A386,'QA Log'!M:M,"QQC",'QA Log'!L:L,"4. Family Planning",'QA Log'!Z:Z,"Approved"),"")</f>
        <v/>
      </c>
      <c r="AB386" s="102" t="str">
        <f>IF(A386="","",
SUM(
COUNTIFS('QA Log'!D:D,A386,'QA Log'!M:M,"QQC",'QA Log'!Z:Z,"Rejected",'QA Log'!L:L,"*8. Maternity*"),
COUNTIFS('QA Log'!D:D,A386,'QA Log'!M:M,"QQC",'QA Log'!Z:Z,"Rejected",'QA Log'!L:L,"*9. EPI and Pre-school Consultation*"),
COUNTIFS('QA Log'!D:D,A386,'QA Log'!M:M,"QQC",'QA Log'!Z:Z,"Rejected",'QA Log'!L:L,"*10. Antenatal Care (ANC)*"),
COUNTIFS('QA Log'!D:D,A386,'QA Log'!M:M,"QQC",'QA Log'!Z:Z,"Rejected",'QA Log'!L:L,"*2. Hygiene and Sterilization*"),
COUNTIFS('QA Log'!D:D,A386,'QA Log'!M:M,"QQC",'QA Log'!Z:Z,"Rejected",'QA Log'!L:L,"*4. Family Planning*")
))</f>
        <v/>
      </c>
      <c r="AC386" s="102" t="str">
        <f t="shared" si="29"/>
        <v/>
      </c>
      <c r="AD386" s="103" t="str">
        <f t="shared" si="30"/>
        <v/>
      </c>
      <c r="AE386" s="102" t="str">
        <f>IF(A386="","",
SUM(
COUNTIFS('QA Log'!D:D,A386,'QA Log'!M:M,"Data Verification",'QA Log'!L:L,"*Medicine (section 2)*"),
COUNTIFS('QA Log'!D:D,A386,'QA Log'!M:M,"Data Verification",'QA Log'!L:L,"*Lab Testing Availability*"),
COUNTIFS('QA Log'!D:D,A386,'QA Log'!M:M,"Data Verification",'QA Log'!L:L,"*Other than P4P (section 6)*"),
COUNTIFS('QA Log'!D:D,A386,'QA Log'!M:M,"Data Verification",'QA Log'!L:L,"*Hospital Governance*")
))</f>
        <v/>
      </c>
      <c r="AF386" s="102" t="str">
        <f>IF(A386="","",
SUM(
COUNTIFS('QA Log'!D:D,A386,'QA Log'!M:M,"Data Verification",'QA Log'!Z:Z,"Approved",'QA Log'!L:L,"*Medicine (section 2)*"),
COUNTIFS('QA Log'!D:D,A386,'QA Log'!M:M,"Data Verification",'QA Log'!Z:Z,"Approved",'QA Log'!L:L,"*Lab Testing Availability*"),
COUNTIFS('QA Log'!D:D,A386,'QA Log'!M:M,"Data Verification",'QA Log'!Z:Z,"Approved",'QA Log'!L:L,"*Other than P4P (section 6)*"),
COUNTIFS('QA Log'!D:D,A386,'QA Log'!M:M,"Data Verification",'QA Log'!Z:Z,"Approved",'QA Log'!L:L,"*Hospital Governance*")
))</f>
        <v/>
      </c>
      <c r="AG386" s="105" t="str">
        <f>IF(A386&lt;&gt;"",COUNTIFS('QA Log'!D:D,A386,'QA Log'!M:M,"Data Verification",'QA Log'!L:L,"Medicine (section 2)",'QA Log'!Z:Z,"Approved"),"")</f>
        <v/>
      </c>
      <c r="AH386" s="105" t="str">
        <f>IF(A386&lt;&gt;"",COUNTIFS('QA Log'!D:D,A386,'QA Log'!M:M,"Data Verification",'QA Log'!L:L,"Lab Testing Availability",'QA Log'!Z:Z,"Approved"),"")</f>
        <v/>
      </c>
      <c r="AI386" s="105" t="str">
        <f>IF(A386&lt;&gt;"",COUNTIFS('QA Log'!D:D,A386,'QA Log'!M:M,"Data Verification",'QA Log'!L:L,"Other than P4P (section 6)",'QA Log'!Z:Z,"Approved"),"")</f>
        <v/>
      </c>
      <c r="AJ386" s="105" t="str">
        <f>IF(A386&lt;&gt;"",COUNTIFS('QA Log'!D:D,A386,'QA Log'!M:M,"Data Verification",'QA Log'!L:L,"Hospital Governance",'QA Log'!Z:Z,"Approved"),"")</f>
        <v/>
      </c>
      <c r="AK386" s="102" t="str">
        <f>IF(A386="","",
SUM(
COUNTIFS('QA Log'!D:D,A386,'QA Log'!M:M,"Data Verification",'QA Log'!Z:Z,"Rejected",'QA Log'!L:L,"*Medicine (section 2)*"),
COUNTIFS('QA Log'!D:D,A386,'QA Log'!M:M,"Data Verification",'QA Log'!Z:Z,"Rejected",'QA Log'!L:L,"*Lab Testing Availability*"),
COUNTIFS('QA Log'!D:D,A386,'QA Log'!M:M,"Data Verification",'QA Log'!Z:Z,"Rejected",'QA Log'!L:L,"*Other than P4P (section 6)*"),
COUNTIFS('QA Log'!D:D,A386,'QA Log'!M:M,"Data Verification",'QA Log'!Z:Z,"Rejected",'QA Log'!L:L,"*Hospital Governance*")
))</f>
        <v/>
      </c>
      <c r="AL386" s="106" t="str">
        <f t="shared" si="31"/>
        <v/>
      </c>
      <c r="AM386" s="102" t="str">
        <f t="shared" si="32"/>
        <v/>
      </c>
      <c r="AN386" s="102" t="str">
        <f>IF(A386="","",
SUM(
COUNTIFS('QA Log'!D:D,A386,'QA Log'!M:M,"Data Verification",'QA Log'!L:L,"*Personnel (section 1)*"),
COUNTIFS('QA Log'!D:D,A386,'QA Log'!M:M,"Data Verification",'QA Log'!L:L,"*Consumable (section 3)*"),
COUNTIFS('QA Log'!D:D,A386,'QA Log'!M:M,"Data Verification",'QA Log'!L:L,"*Equipments (section 4)*")
))</f>
        <v/>
      </c>
      <c r="AO386" s="102" t="str">
        <f>IF(A386="","",
SUM(
COUNTIFS('QA Log'!D:D,A386,'QA Log'!M:M,"Data Verification",'QA Log'!Z:Z,"Approved",'QA Log'!L:L,"*Personnel (section 1)*"),
COUNTIFS('QA Log'!D:D,A386,'QA Log'!M:M,"Data Verification",'QA Log'!Z:Z,"Approved",'QA Log'!L:L,"*Consumable (section 3)*"),
COUNTIFS('QA Log'!D:D,A386,'QA Log'!M:M,"Data Verification",'QA Log'!Z:Z,"Approved",'QA Log'!L:L,"*Equipments (section 4)*")
))</f>
        <v/>
      </c>
      <c r="AP386" s="105" t="str">
        <f>IF(A386&lt;&gt;"",COUNTIFS('QA Log'!D:D,A386,'QA Log'!M:M,"Data Verification",'QA Log'!L:L,"Personnel (section 1)",'QA Log'!Z:Z,"Approved"),"")</f>
        <v/>
      </c>
      <c r="AQ386" s="105" t="str">
        <f>IF(A386&lt;&gt;"",COUNTIFS('QA Log'!D:D,A386,'QA Log'!M:M,"Data Verification",'QA Log'!L:L,"Consumable (section 3)",'QA Log'!Z:Z,"Approved"),"")</f>
        <v/>
      </c>
      <c r="AR386" s="105" t="str">
        <f>IF(A386&lt;&gt;"",COUNTIFS('QA Log'!D:D,A386,'QA Log'!M:M,"Data Verification",'QA Log'!L:L,"Equipments (section 4)",'QA Log'!Z:Z,"Approved"),"")</f>
        <v/>
      </c>
      <c r="AS386" s="102" t="str">
        <f>IF(A386="","",
SUM(
COUNTIFS('QA Log'!D:D,A386,'QA Log'!M:M,"Data Verification",'QA Log'!Z:Z,"Rejected",'QA Log'!L:L,"*Personnel (section 1)*"),
COUNTIFS('QA Log'!D:D,A386,'QA Log'!M:M,"Data Verification",'QA Log'!Z:Z,"Rejected",'QA Log'!L:L,"*Consumable (section 3)*"),
COUNTIFS('QA Log'!D:D,A386,'QA Log'!M:M,"Data Verification",'QA Log'!Z:Z,"Rejected",'QA Log'!L:L,"*Equipments (section 4)*")
))</f>
        <v/>
      </c>
      <c r="AT386" s="102" t="str">
        <f t="shared" si="33"/>
        <v/>
      </c>
      <c r="AU386" s="103" t="str">
        <f t="shared" si="34"/>
        <v/>
      </c>
      <c r="AV386" s="102" t="str">
        <f>IF(A386="","",SUM(
COUNTIFS('QA Log'!D:D,A386,'QA Log'!M:M,"Vignette",'QA Log'!L:L,"*Vignette [1] Respiratory Infection: Pneumonia*"),
COUNTIFS('QA Log'!D:D,A386,'QA Log'!M:M,"Vignette",'QA Log'!L:L,"*Vignette [2]: Diarrhea with Cat B dehydration*"),
COUNTIFS('QA Log'!D:D,A386,'QA Log'!M:M,"Vignette",'QA Log'!L:L,"*Vignette [3] Growth Monitoring and Promotion*"),
COUNTIFS('QA Log'!D:D,A386,'QA Log'!M:M,"Vignette",'QA Log'!L:L,"*Vignette [4]: The management of presumptive TB patient*")
)
)</f>
        <v/>
      </c>
      <c r="AW386" s="102" t="str">
        <f>IF(
  A386="","",
  SUM(
    COUNTIFS('QA Log'!D:D,A386,'QA Log'!M:M,"Vignette",'QA Log'!Z:Z,"Approved",'QA Log'!L:L,"*Vignette [1] Respiratory Infection: Pneumonia*"),
    COUNTIFS('QA Log'!D:D,A386,'QA Log'!M:M,"Vignette",'QA Log'!Z:Z,"Approved",'QA Log'!L:L,"*Vignette [2]: Diarrhea with Cat B dehydration*"),
    COUNTIFS('QA Log'!D:D,A386,'QA Log'!M:M,"Vignette",'QA Log'!Z:Z,"Approved",'QA Log'!L:L,"*Vignette [3] Growth Monitoring and Promotion*"),
    COUNTIFS('QA Log'!D:D,A386,'QA Log'!M:M,"Vignette",'QA Log'!Z:Z,"Approved",'QA Log'!L:L,"*Vignette [4]: The management of presumptive TB patient*")
  )
)</f>
        <v/>
      </c>
      <c r="AX386" s="105" t="str">
        <f>IF(A386&lt;&gt;"",COUNTIFS('QA Log'!D:D,A386,'QA Log'!M:M,"Vignette",'QA Log'!L:L,"Vignette [1] Respiratory Infection: Pneumonia",'QA Log'!Z:Z,"Approved"),"")</f>
        <v/>
      </c>
      <c r="AY386" s="105" t="str">
        <f>IF(A386&lt;&gt;"",COUNTIFS('QA Log'!D:D,A386,'QA Log'!M:M,"Vignette",'QA Log'!L:L,"Vignette [2]: Diarrhea with Cat B dehydration",'QA Log'!Z:Z,"Approved"),"")</f>
        <v/>
      </c>
      <c r="AZ386" s="105" t="str">
        <f>IF(A386&lt;&gt;"",COUNTIFS('QA Log'!D:D,A386,'QA Log'!M:M,"Vignette",'QA Log'!L:L,"Vignette [3] Growth Monitoring and Promotion",'QA Log'!Z:Z,"Approved"),"")</f>
        <v/>
      </c>
      <c r="BA386" s="105" t="str">
        <f>IF(A386&lt;&gt;"",COUNTIFS('QA Log'!D:D,A386,'QA Log'!M:M,"Vignette",'QA Log'!L:L,"Vignette [4]: The management of presumptive TB patient",'QA Log'!Z:Z,"Approved"),"")</f>
        <v/>
      </c>
      <c r="BB386" s="102" t="str">
        <f>IF(A386="","",
  SUM(
    COUNTIFS('QA Log'!D:D,A386,'QA Log'!M:M,"Vignette",'QA Log'!Z:Z,"Rejected",'QA Log'!L:L,"*Vignette [1] Respiratory Infection: Pneumonia*"),
    COUNTIFS('QA Log'!D:D,A386,'QA Log'!M:M,"Vignette",'QA Log'!Z:Z,"Rejected",'QA Log'!L:L,"*Vignette [2]: Diarrhea with Cat B dehydration*"),
    COUNTIFS('QA Log'!D:D,A386,'QA Log'!M:M,"Vignette",'QA Log'!Z:Z,"Rejected",'QA Log'!L:L,"*Vignette [3] Growth Monitoring and Promotion*"),
    COUNTIFS('QA Log'!D:D,A386,'QA Log'!M:M,"Vignette",'QA Log'!Z:Z,"Rejected",'QA Log'!L:L,"*Vignette [4]: The management of presumptive TB patient*")
  )
)</f>
        <v/>
      </c>
      <c r="BC386" s="107" t="str">
        <f t="shared" si="35"/>
        <v/>
      </c>
      <c r="BD386" s="103" t="str">
        <f t="shared" si="36"/>
        <v/>
      </c>
      <c r="BE386" s="102" t="str">
        <f>IF(A386="","",SUM(
COUNTIFS('QA Log'!D:D,A386,'QA Log'!M:M,"Vignette",'QA Log'!L:L,"*Vignette [5] Labor*"),
COUNTIFS('QA Log'!D:D,A386,'QA Log'!M:M,"Vignette",'QA Log'!L:L,"*Vignette [6] PNC pre Discharge*"),
COUNTIFS('QA Log'!D:D,A386,'QA Log'!M:M,"Vignette",'QA Log'!L:L,"*Vignette [7] First ANC Visit*"),
COUNTIFS('QA Log'!D:D,A386,'QA Log'!M:M,"Vignette",'QA Log'!L:L,"*Vignette [8] Birth Spacing/ Family Planning :  FP Counselling*"),
COUNTIFS('QA Log'!D:D,A386,'QA Log'!M:M,"Vignette",'QA Log'!L:L,"*Vignette [9] Birth Spacing: Change FP method to Injectable*"),
COUNTIFS('QA Log'!D:D,A386,'QA Log'!M:M,"Vignette",'QA Log'!L:L,"*Vignette [10] Post Partum Haemorrhage - Atonic Uterus at Health Centre*"),
)
)</f>
        <v/>
      </c>
      <c r="BF386" s="102" t="str">
        <f>IF(A386="","",
  SUM(
    COUNTIFS('QA Log'!D:D,A386,'QA Log'!M:M,"Vignette",'QA Log'!Z:Z,"Approved",'QA Log'!L:L,"*Vignette [5] Labor*"),
    COUNTIFS('QA Log'!D:D,A386,'QA Log'!M:M,"Vignette",'QA Log'!Z:Z,"Approved",'QA Log'!L:L,"*Vignette [6] PNC pre Discharge*"),
    COUNTIFS('QA Log'!D:D,A386,'QA Log'!M:M,"Vignette",'QA Log'!Z:Z,"Approved",'QA Log'!L:L,"*Vignette [7] First ANC Visit*"),
    COUNTIFS('QA Log'!D:D,A386,'QA Log'!M:M,"Vignette",'QA Log'!Z:Z,"Approved",'QA Log'!L:L,"*Vignette [8] Birth Spacing/ Family Planning :  FP Counselling*"),
    COUNTIFS('QA Log'!D:D,A386,'QA Log'!M:M,"Vignette",'QA Log'!Z:Z,"Approved",'QA Log'!L:L,"*Vignette [9] Birth Spacing: Change FP method to Injectable*"),
    COUNTIFS('QA Log'!D:D,A386,'QA Log'!M:M,"Vignette",'QA Log'!Z:Z,"Approved",'QA Log'!L:L,"*Vignette [10] Post Partum Haemorrhage - Atonic Uterus at Health Centre*")
  )
)</f>
        <v/>
      </c>
      <c r="BG386" s="105" t="str">
        <f>IF(A386&lt;&gt;"",COUNTIFS('QA Log'!D:D,A386,'QA Log'!M:M,"Vignette",'QA Log'!L:L,"Vignette [5] Labor",'QA Log'!Z:Z,"Approved"),"")</f>
        <v/>
      </c>
      <c r="BH386" s="105" t="str">
        <f>IF(A386&lt;&gt;"",COUNTIFS('QA Log'!D:D,A386,'QA Log'!M:M,"Vignette",'QA Log'!L:L,"Vignette [6] PNC pre Discharge",'QA Log'!Z:Z,"Approved"),"")</f>
        <v/>
      </c>
      <c r="BI386" s="105" t="str">
        <f>IF(A386&lt;&gt;"",COUNTIFS('QA Log'!D:D,A386,'QA Log'!M:M,"Vignette",'QA Log'!L:L,"Vignette [7] First ANC Visit",'QA Log'!Z:Z,"Approved"),"")</f>
        <v/>
      </c>
      <c r="BJ386" s="105" t="str">
        <f>IF(A386&lt;&gt;"",COUNTIFS('QA Log'!D:D,A386,'QA Log'!M:M,"Vignette",'QA Log'!L:L,"Vignette [8] Birth Spacing/ Family Planning :  FP Counselling",'QA Log'!Z:Z,"Approved"),"")</f>
        <v/>
      </c>
      <c r="BK386" s="105" t="str">
        <f>IF(A386&lt;&gt;"",COUNTIFS('QA Log'!D:D,A386,'QA Log'!M:M,"Vignette",'QA Log'!L:L,"Vignette [9] Birth Spacing: Change FP method to Injectable",'QA Log'!Z:Z,"Approved"),"")</f>
        <v/>
      </c>
      <c r="BL386" s="105" t="str">
        <f>IF(A386&lt;&gt;"",COUNTIFS('QA Log'!D:D,A386,'QA Log'!M:M,"Vignette",'QA Log'!L:L,"Vignette [10] Post Partum Haemorrhage - Atonic Uterus at Health Centre",'QA Log'!Z:Z,"Approved"),"")</f>
        <v/>
      </c>
      <c r="BM386" s="102" t="str">
        <f>IF(A386="","",SUM(
    COUNTIFS('QA Log'!D:D,A386,'QA Log'!M:M,"Vignette",'QA Log'!Z:Z,"Rejected",'QA Log'!L:L,"*Vignette [5] Labor*"),
    COUNTIFS('QA Log'!D:D,A386,'QA Log'!M:M,"Vignette",'QA Log'!Z:Z,"Rejected",'QA Log'!L:L,"*Vignette [6] PNC pre Discharge*"),
    COUNTIFS('QA Log'!D:D,A386,'QA Log'!M:M,"Vignette",'QA Log'!Z:Z,"Rejected",'QA Log'!L:L,"*Vignette [7] First ANC Visit*"),
    COUNTIFS('QA Log'!D:D,A386,'QA Log'!M:M,"Vignette",'QA Log'!Z:Z,"Rejected",'QA Log'!L:L,"*Vignette [8] Birth Spacing/ Family Planning :  FP Counselling*"),
    COUNTIFS('QA Log'!D:D,A386,'QA Log'!M:M,"Vignette",'QA Log'!Z:Z,"Rejected",'QA Log'!L:L,"*Vignette [9] Birth Spacing: Change FP method to Injectable*"),
    COUNTIFS('QA Log'!D:D,A386,'QA Log'!M:M,"Vignette",'QA Log'!Z:Z,"Rejected",'QA Log'!L:L,"*Vignette [10] Post Partum Haemorrhage - Atonic Uterus at Health Centre*")
  )
)</f>
        <v/>
      </c>
      <c r="BN386" s="107" t="str">
        <f t="shared" si="37"/>
        <v/>
      </c>
      <c r="BO386" s="103" t="str">
        <f t="shared" si="38"/>
        <v/>
      </c>
      <c r="BP386" s="102" t="str">
        <f>IF(A386="","",SUM(
COUNTIFS('QA Log'!D:D,A386,'QA Log'!M:M,"Vignette",'QA Log'!L:L,"*Exit Interview 1*"),
COUNTIFS('QA Log'!D:D,A386,'QA Log'!M:M,"Vignette",'QA Log'!L:L,"*Exit Interview 2*"),
)
)</f>
        <v/>
      </c>
      <c r="BQ386" s="102" t="str">
        <f>IF(
  A386="","",
  SUM(
    COUNTIFS('QA Log'!D:D,A386,'QA Log'!M:M,"Vignette",'QA Log'!Z:Z,"Approved",'QA Log'!L:L,"*Exit Interview 1*"),
    COUNTIFS('QA Log'!D:D,A386,'QA Log'!M:M,"Vignette",'QA Log'!Z:Z,"Approved",'QA Log'!L:L,"*Exit Interview 2*")
  )
)</f>
        <v/>
      </c>
      <c r="BR386" s="105" t="str">
        <f>IF(A386&lt;&gt;"",COUNTIFS('QA Log'!D:D,A386,'QA Log'!M:M,"Vignette",'QA Log'!L:L,"Exit Interview 1",'QA Log'!Z:Z,"Approved"),"")</f>
        <v/>
      </c>
      <c r="BS386" s="105" t="str">
        <f>IF(A386&lt;&gt;"",COUNTIFS('QA Log'!D:D,A386,'QA Log'!M:M,"Vignette",'QA Log'!L:L,"Exit Interview 2",'QA Log'!Z:Z,"Approved"),"")</f>
        <v/>
      </c>
      <c r="BT386" s="102" t="str">
        <f>IF(
  A386="","",
  SUM(
    COUNTIFS('QA Log'!D:D,A386,'QA Log'!M:M,"Vignette",'QA Log'!Z:Z,"Rejected",'QA Log'!L:L,"*Exit Interview 1*"),
    COUNTIFS('QA Log'!D:D,A386,'QA Log'!M:M,"Vignette",'QA Log'!Z:Z,"Rejected",'QA Log'!L:L,"*Exit Interview 2*")
  )
)</f>
        <v/>
      </c>
      <c r="BU386" s="107" t="str">
        <f t="shared" si="39"/>
        <v/>
      </c>
      <c r="BV386" s="102" t="str">
        <f t="shared" si="40"/>
        <v/>
      </c>
      <c r="BW386" s="102" t="str">
        <f t="shared" si="41"/>
        <v/>
      </c>
      <c r="BX386" s="102" t="str">
        <f t="shared" si="42"/>
        <v/>
      </c>
      <c r="BY386" s="102" t="str">
        <f t="shared" si="43"/>
        <v/>
      </c>
      <c r="BZ386" s="107" t="str">
        <f t="shared" si="44"/>
        <v/>
      </c>
      <c r="CA386" s="108" t="str">
        <f t="shared" si="45"/>
        <v/>
      </c>
      <c r="CB386" s="108" t="str">
        <f t="shared" si="46"/>
        <v/>
      </c>
      <c r="CC386" s="109" t="str">
        <f t="shared" si="47"/>
        <v/>
      </c>
      <c r="CD386" s="108" t="str">
        <f t="shared" si="48"/>
        <v/>
      </c>
      <c r="CE386" s="108" t="str">
        <f t="shared" si="49"/>
        <v/>
      </c>
      <c r="CF386" s="109" t="str">
        <f t="shared" si="50"/>
        <v/>
      </c>
      <c r="CG386" s="110" t="str">
        <f t="shared" si="51"/>
        <v/>
      </c>
      <c r="CH386" s="111"/>
    </row>
    <row r="387" spans="1:86" ht="12.75">
      <c r="A387" s="101"/>
      <c r="B387" s="102" t="e">
        <f t="array" aca="1" ref="B387" ca="1">_xludf.XLOOKUP(A387,'QA Log'!D:D,'QA Log'!E:E,"")</f>
        <v>#NAME?</v>
      </c>
      <c r="C387" s="102" t="e">
        <f t="array" aca="1" ref="C387" ca="1">_xludf.XLOOKUP(A387,'QA Log'!D:D,'QA Log'!F:F,"")</f>
        <v>#NAME?</v>
      </c>
      <c r="D387" s="102" t="e">
        <f t="array" aca="1" ref="D387" ca="1">_xludf.XLOOKUP(A387,'QA Log'!D:D,'QA Log'!H:H,"")</f>
        <v>#NAME?</v>
      </c>
      <c r="E387" s="102" t="e">
        <f t="array" aca="1" ref="E387" ca="1">_xludf.XLOOKUP(A387,'QA Log'!D:D,'QA Log'!G:G,"")</f>
        <v>#NAME?</v>
      </c>
      <c r="F387" s="103"/>
      <c r="G387" s="104"/>
      <c r="H387" s="104"/>
      <c r="I387" s="103" t="str">
        <f t="shared" si="26"/>
        <v/>
      </c>
      <c r="J387" s="102" t="str">
        <f>IF(A387="","",SUM(
COUNTIFS('QA Log'!D:D,A387,'QA Log'!M:M,"QQC",'QA Log'!L:L,"*1. General Management*"),
COUNTIFS('QA Log'!D:D,A387,'QA Log'!M:M,"QQC",'QA Log'!L:L,"*3. Curative Consultation (OPD)*"),
COUNTIFS('QA Log'!D:D,A387,'QA Log'!M:M,"QQC",'QA Log'!L:L,"*5. Laboratory*"),
COUNTIFS('QA Log'!D:D,A387,'QA Log'!M:M,"QQC",'QA Log'!L:L,"*6. Essential Medicine Management*"),
COUNTIFS('QA Log'!D:D,A387,'QA Log'!M:M,"QQC",'QA Log'!L:L,"*7. Tracer Medicine*"),
COUNTIFS('QA Log'!D:D,A387,'QA Log'!M:M,"QQC",'QA Log'!L:L,"*11. Additional Questions*")))</f>
        <v/>
      </c>
      <c r="K387" s="102" t="str">
        <f>IF(A387="","",SUM(
COUNTIFS('QA Log'!D:D,A387,'QA Log'!M:M,"QQC",'QA Log'!Z:Z,"Approved",'QA Log'!L:L,"*1. General Management*"),
COUNTIFS('QA Log'!D:D,A387,'QA Log'!M:M,"QQC",'QA Log'!Z:Z,"Approved",'QA Log'!L:L,"*3. Curative Consultation (OPD)*"),
COUNTIFS('QA Log'!D:D,A387,'QA Log'!M:M,"QQC",'QA Log'!Z:Z,"Approved",'QA Log'!L:L,"*5. Laboratory*"),
COUNTIFS('QA Log'!D:D,A387,'QA Log'!M:M,"QQC",'QA Log'!Z:Z,"Approved",'QA Log'!L:L,"*6. Essential Medicine Management*"),
COUNTIFS('QA Log'!D:D,A387,'QA Log'!M:M,"QQC",'QA Log'!Z:Z,"Approved",'QA Log'!L:L,"*7. Tracer Medicine*"),
COUNTIFS('QA Log'!D:D,A387,'QA Log'!M:M,"QQC",'QA Log'!Z:Z,"Approved",'QA Log'!L:L,"*11. Additional Questions*")))</f>
        <v/>
      </c>
      <c r="L387" s="102" t="str">
        <f>IF(A387&lt;&gt;"",COUNTIFS('QA Log'!D:D,A387,'QA Log'!M:M,"QQC",'QA Log'!L:L,"1. General Management",'QA Log'!Z:Z,"Approved"),"")</f>
        <v/>
      </c>
      <c r="M387" s="102" t="str">
        <f>IF(A387&lt;&gt;"",COUNTIFS('QA Log'!D:D,A387,'QA Log'!M:M,"QQC",'QA Log'!L:L,"3. Curative Consultation (OPD)",'QA Log'!Z:Z,"Approved"),"")</f>
        <v/>
      </c>
      <c r="N387" s="102" t="str">
        <f>IF(A387&lt;&gt;"",COUNTIFS('QA Log'!D:D,A387,'QA Log'!M:M,"QQC",'QA Log'!L:L,"5. Laboratory",'QA Log'!Z:Z,"Approved"),"")</f>
        <v/>
      </c>
      <c r="O387" s="102" t="str">
        <f>IF(A387&lt;&gt;"",COUNTIFS('QA Log'!D:D,A387,'QA Log'!M:M,"QQC",'QA Log'!L:L,"6. Essential Medicine Management",'QA Log'!Z:Z,"Approved"),"")</f>
        <v/>
      </c>
      <c r="P387" s="102" t="str">
        <f>IF(A387&lt;&gt;"",COUNTIFS('QA Log'!D:D,A387,'QA Log'!M:M,"QQC",'QA Log'!L:L,"7. Tracer Medicine",'QA Log'!Z:Z,"Approved"),"")</f>
        <v/>
      </c>
      <c r="Q387" s="102" t="str">
        <f>IF(A387&lt;&gt;"",COUNTIFS('QA Log'!D:D,A387,'QA Log'!M:M,"QQC",'QA Log'!L:L,"11. Additional Questions",'QA Log'!Z:Z,"Approved"),"")</f>
        <v/>
      </c>
      <c r="R387" s="102" t="str">
        <f>IF(A387="","",SUM(
COUNTIFS('QA Log'!D:D,A387,'QA Log'!M:M,"QQC",'QA Log'!Z:Z,"Rejected",'QA Log'!L:L,"*8. Maternity*"),
COUNTIFS('QA Log'!D:D,A387,'QA Log'!M:M,"QQC",'QA Log'!Z:Z,"Rejected",'QA Log'!L:L,"*EPI*"),
COUNTIFS('QA Log'!D:D,A387,'QA Log'!M:M,"QQC",'QA Log'!Z:Z,"Rejected",'QA Log'!L:L,"*10. Antenatal Care (ANC)*"),
COUNTIFS('QA Log'!D:D,A387,'QA Log'!M:M,"QQC",'QA Log'!Z:Z,"Rejected",'QA Log'!L:L,"*2. Hygiene and Sterilization*"),
COUNTIFS('QA Log'!D:D,A387,'QA Log'!M:M,"QQC",'QA Log'!Z:Z,"Rejected",'QA Log'!L:L,"*Family Planning*")))</f>
        <v/>
      </c>
      <c r="S387" s="106" t="str">
        <f t="shared" si="27"/>
        <v/>
      </c>
      <c r="T387" s="102" t="str">
        <f t="shared" si="28"/>
        <v/>
      </c>
      <c r="U387" s="102" t="str">
        <f>IF(A387="","",
SUM(
COUNTIFS('QA Log'!D:D,A387,'QA Log'!M:M,"QQC",'QA Log'!L:L,"*8. Maternity*"),
COUNTIFS('QA Log'!D:D,A387,'QA Log'!M:M,"QQC",'QA Log'!L:L,"*9. EPI and Pre-school Consultation*"),
COUNTIFS('QA Log'!D:D,A387,'QA Log'!M:M,"QQC",'QA Log'!L:L,"*10. Antenatal Care (ANC)*"),
COUNTIFS('QA Log'!D:D,A387,'QA Log'!M:M,"QQC",'QA Log'!L:L,"*2. Hygiene and Sterilization*"),
COUNTIFS('QA Log'!D:D,A387,'QA Log'!M:M,"QQC",'QA Log'!L:L,"*4. Family Planning*")
))</f>
        <v/>
      </c>
      <c r="V387" s="102" t="str">
        <f>IF(A387="","",
SUM(
COUNTIFS('QA Log'!D:D,A387,'QA Log'!M:M,"QQC",'QA Log'!Z:Z,"Approved",'QA Log'!L:L,"*8. Maternity*"),
COUNTIFS('QA Log'!D:D,A387,'QA Log'!M:M,"QQC",'QA Log'!Z:Z,"Approved",'QA Log'!L:L,"*9. EPI and Pre-school Consultation*"),
COUNTIFS('QA Log'!D:D,A387,'QA Log'!M:M,"QQC",'QA Log'!Z:Z,"Approved",'QA Log'!L:L,"*10. Antenatal Care (ANC)*"),
COUNTIFS('QA Log'!D:D,A387,'QA Log'!M:M,"QQC",'QA Log'!Z:Z,"Approved",'QA Log'!L:L,"*2. Hygiene and Sterilization*"),
COUNTIFS('QA Log'!D:D,A387,'QA Log'!M:M,"QQC",'QA Log'!Z:Z,"Approved",'QA Log'!L:L,"*4. Family Planning*")
))</f>
        <v/>
      </c>
      <c r="W387" s="102" t="str">
        <f>IF(A387&lt;&gt;"",COUNTIFS('QA Log'!D:D,A387,'QA Log'!M:M,"QQC",'QA Log'!L:L,"8. Maternity",'QA Log'!Z:Z,"Approved"),"")</f>
        <v/>
      </c>
      <c r="X387" s="105" t="str">
        <f>IF(A387&lt;&gt;"",COUNTIFS('QA Log'!D:D,A387,'QA Log'!M:M,"QQC",'QA Log'!L:L,"9. EPI and Pre-school Consultation",'QA Log'!Z:Z,"Approved"),"")</f>
        <v/>
      </c>
      <c r="Y387" s="102" t="str">
        <f>IF(A387&lt;&gt;"",COUNTIFS('QA Log'!D:D,A387,'QA Log'!M:M,"QQC",'QA Log'!L:L,"10. Antenatal Care (ANC)",'QA Log'!Z:Z,"Approved"),"")</f>
        <v/>
      </c>
      <c r="Z387" s="102" t="str">
        <f>IF(A387&lt;&gt;"",COUNTIFS('QA Log'!D:D,A387,'QA Log'!M:M,"QQC",'QA Log'!L:L,"2. Hygiene and Sterilization",'QA Log'!Z:Z,"Approved"),"")</f>
        <v/>
      </c>
      <c r="AA387" s="105" t="str">
        <f>IF(A387&lt;&gt;"",COUNTIFS('QA Log'!D:D,A387,'QA Log'!M:M,"QQC",'QA Log'!L:L,"4. Family Planning",'QA Log'!Z:Z,"Approved"),"")</f>
        <v/>
      </c>
      <c r="AB387" s="102" t="str">
        <f>IF(A387="","",
SUM(
COUNTIFS('QA Log'!D:D,A387,'QA Log'!M:M,"QQC",'QA Log'!Z:Z,"Rejected",'QA Log'!L:L,"*8. Maternity*"),
COUNTIFS('QA Log'!D:D,A387,'QA Log'!M:M,"QQC",'QA Log'!Z:Z,"Rejected",'QA Log'!L:L,"*9. EPI and Pre-school Consultation*"),
COUNTIFS('QA Log'!D:D,A387,'QA Log'!M:M,"QQC",'QA Log'!Z:Z,"Rejected",'QA Log'!L:L,"*10. Antenatal Care (ANC)*"),
COUNTIFS('QA Log'!D:D,A387,'QA Log'!M:M,"QQC",'QA Log'!Z:Z,"Rejected",'QA Log'!L:L,"*2. Hygiene and Sterilization*"),
COUNTIFS('QA Log'!D:D,A387,'QA Log'!M:M,"QQC",'QA Log'!Z:Z,"Rejected",'QA Log'!L:L,"*4. Family Planning*")
))</f>
        <v/>
      </c>
      <c r="AC387" s="102" t="str">
        <f t="shared" si="29"/>
        <v/>
      </c>
      <c r="AD387" s="103" t="str">
        <f t="shared" si="30"/>
        <v/>
      </c>
      <c r="AE387" s="102" t="str">
        <f>IF(A387="","",
SUM(
COUNTIFS('QA Log'!D:D,A387,'QA Log'!M:M,"Data Verification",'QA Log'!L:L,"*Medicine (section 2)*"),
COUNTIFS('QA Log'!D:D,A387,'QA Log'!M:M,"Data Verification",'QA Log'!L:L,"*Lab Testing Availability*"),
COUNTIFS('QA Log'!D:D,A387,'QA Log'!M:M,"Data Verification",'QA Log'!L:L,"*Other than P4P (section 6)*"),
COUNTIFS('QA Log'!D:D,A387,'QA Log'!M:M,"Data Verification",'QA Log'!L:L,"*Hospital Governance*")
))</f>
        <v/>
      </c>
      <c r="AF387" s="102" t="str">
        <f>IF(A387="","",
SUM(
COUNTIFS('QA Log'!D:D,A387,'QA Log'!M:M,"Data Verification",'QA Log'!Z:Z,"Approved",'QA Log'!L:L,"*Medicine (section 2)*"),
COUNTIFS('QA Log'!D:D,A387,'QA Log'!M:M,"Data Verification",'QA Log'!Z:Z,"Approved",'QA Log'!L:L,"*Lab Testing Availability*"),
COUNTIFS('QA Log'!D:D,A387,'QA Log'!M:M,"Data Verification",'QA Log'!Z:Z,"Approved",'QA Log'!L:L,"*Other than P4P (section 6)*"),
COUNTIFS('QA Log'!D:D,A387,'QA Log'!M:M,"Data Verification",'QA Log'!Z:Z,"Approved",'QA Log'!L:L,"*Hospital Governance*")
))</f>
        <v/>
      </c>
      <c r="AG387" s="105" t="str">
        <f>IF(A387&lt;&gt;"",COUNTIFS('QA Log'!D:D,A387,'QA Log'!M:M,"Data Verification",'QA Log'!L:L,"Medicine (section 2)",'QA Log'!Z:Z,"Approved"),"")</f>
        <v/>
      </c>
      <c r="AH387" s="105" t="str">
        <f>IF(A387&lt;&gt;"",COUNTIFS('QA Log'!D:D,A387,'QA Log'!M:M,"Data Verification",'QA Log'!L:L,"Lab Testing Availability",'QA Log'!Z:Z,"Approved"),"")</f>
        <v/>
      </c>
      <c r="AI387" s="105" t="str">
        <f>IF(A387&lt;&gt;"",COUNTIFS('QA Log'!D:D,A387,'QA Log'!M:M,"Data Verification",'QA Log'!L:L,"Other than P4P (section 6)",'QA Log'!Z:Z,"Approved"),"")</f>
        <v/>
      </c>
      <c r="AJ387" s="105" t="str">
        <f>IF(A387&lt;&gt;"",COUNTIFS('QA Log'!D:D,A387,'QA Log'!M:M,"Data Verification",'QA Log'!L:L,"Hospital Governance",'QA Log'!Z:Z,"Approved"),"")</f>
        <v/>
      </c>
      <c r="AK387" s="102" t="str">
        <f>IF(A387="","",
SUM(
COUNTIFS('QA Log'!D:D,A387,'QA Log'!M:M,"Data Verification",'QA Log'!Z:Z,"Rejected",'QA Log'!L:L,"*Medicine (section 2)*"),
COUNTIFS('QA Log'!D:D,A387,'QA Log'!M:M,"Data Verification",'QA Log'!Z:Z,"Rejected",'QA Log'!L:L,"*Lab Testing Availability*"),
COUNTIFS('QA Log'!D:D,A387,'QA Log'!M:M,"Data Verification",'QA Log'!Z:Z,"Rejected",'QA Log'!L:L,"*Other than P4P (section 6)*"),
COUNTIFS('QA Log'!D:D,A387,'QA Log'!M:M,"Data Verification",'QA Log'!Z:Z,"Rejected",'QA Log'!L:L,"*Hospital Governance*")
))</f>
        <v/>
      </c>
      <c r="AL387" s="106" t="str">
        <f t="shared" si="31"/>
        <v/>
      </c>
      <c r="AM387" s="102" t="str">
        <f t="shared" si="32"/>
        <v/>
      </c>
      <c r="AN387" s="102" t="str">
        <f>IF(A387="","",
SUM(
COUNTIFS('QA Log'!D:D,A387,'QA Log'!M:M,"Data Verification",'QA Log'!L:L,"*Personnel (section 1)*"),
COUNTIFS('QA Log'!D:D,A387,'QA Log'!M:M,"Data Verification",'QA Log'!L:L,"*Consumable (section 3)*"),
COUNTIFS('QA Log'!D:D,A387,'QA Log'!M:M,"Data Verification",'QA Log'!L:L,"*Equipments (section 4)*")
))</f>
        <v/>
      </c>
      <c r="AO387" s="102" t="str">
        <f>IF(A387="","",
SUM(
COUNTIFS('QA Log'!D:D,A387,'QA Log'!M:M,"Data Verification",'QA Log'!Z:Z,"Approved",'QA Log'!L:L,"*Personnel (section 1)*"),
COUNTIFS('QA Log'!D:D,A387,'QA Log'!M:M,"Data Verification",'QA Log'!Z:Z,"Approved",'QA Log'!L:L,"*Consumable (section 3)*"),
COUNTIFS('QA Log'!D:D,A387,'QA Log'!M:M,"Data Verification",'QA Log'!Z:Z,"Approved",'QA Log'!L:L,"*Equipments (section 4)*")
))</f>
        <v/>
      </c>
      <c r="AP387" s="105" t="str">
        <f>IF(A387&lt;&gt;"",COUNTIFS('QA Log'!D:D,A387,'QA Log'!M:M,"Data Verification",'QA Log'!L:L,"Personnel (section 1)",'QA Log'!Z:Z,"Approved"),"")</f>
        <v/>
      </c>
      <c r="AQ387" s="105" t="str">
        <f>IF(A387&lt;&gt;"",COUNTIFS('QA Log'!D:D,A387,'QA Log'!M:M,"Data Verification",'QA Log'!L:L,"Consumable (section 3)",'QA Log'!Z:Z,"Approved"),"")</f>
        <v/>
      </c>
      <c r="AR387" s="105" t="str">
        <f>IF(A387&lt;&gt;"",COUNTIFS('QA Log'!D:D,A387,'QA Log'!M:M,"Data Verification",'QA Log'!L:L,"Equipments (section 4)",'QA Log'!Z:Z,"Approved"),"")</f>
        <v/>
      </c>
      <c r="AS387" s="102" t="str">
        <f>IF(A387="","",
SUM(
COUNTIFS('QA Log'!D:D,A387,'QA Log'!M:M,"Data Verification",'QA Log'!Z:Z,"Rejected",'QA Log'!L:L,"*Personnel (section 1)*"),
COUNTIFS('QA Log'!D:D,A387,'QA Log'!M:M,"Data Verification",'QA Log'!Z:Z,"Rejected",'QA Log'!L:L,"*Consumable (section 3)*"),
COUNTIFS('QA Log'!D:D,A387,'QA Log'!M:M,"Data Verification",'QA Log'!Z:Z,"Rejected",'QA Log'!L:L,"*Equipments (section 4)*")
))</f>
        <v/>
      </c>
      <c r="AT387" s="102" t="str">
        <f t="shared" si="33"/>
        <v/>
      </c>
      <c r="AU387" s="103" t="str">
        <f t="shared" si="34"/>
        <v/>
      </c>
      <c r="AV387" s="102" t="str">
        <f>IF(A387="","",SUM(
COUNTIFS('QA Log'!D:D,A387,'QA Log'!M:M,"Vignette",'QA Log'!L:L,"*Vignette [1] Respiratory Infection: Pneumonia*"),
COUNTIFS('QA Log'!D:D,A387,'QA Log'!M:M,"Vignette",'QA Log'!L:L,"*Vignette [2]: Diarrhea with Cat B dehydration*"),
COUNTIFS('QA Log'!D:D,A387,'QA Log'!M:M,"Vignette",'QA Log'!L:L,"*Vignette [3] Growth Monitoring and Promotion*"),
COUNTIFS('QA Log'!D:D,A387,'QA Log'!M:M,"Vignette",'QA Log'!L:L,"*Vignette [4]: The management of presumptive TB patient*")
)
)</f>
        <v/>
      </c>
      <c r="AW387" s="102" t="str">
        <f>IF(
  A387="","",
  SUM(
    COUNTIFS('QA Log'!D:D,A387,'QA Log'!M:M,"Vignette",'QA Log'!Z:Z,"Approved",'QA Log'!L:L,"*Vignette [1] Respiratory Infection: Pneumonia*"),
    COUNTIFS('QA Log'!D:D,A387,'QA Log'!M:M,"Vignette",'QA Log'!Z:Z,"Approved",'QA Log'!L:L,"*Vignette [2]: Diarrhea with Cat B dehydration*"),
    COUNTIFS('QA Log'!D:D,A387,'QA Log'!M:M,"Vignette",'QA Log'!Z:Z,"Approved",'QA Log'!L:L,"*Vignette [3] Growth Monitoring and Promotion*"),
    COUNTIFS('QA Log'!D:D,A387,'QA Log'!M:M,"Vignette",'QA Log'!Z:Z,"Approved",'QA Log'!L:L,"*Vignette [4]: The management of presumptive TB patient*")
  )
)</f>
        <v/>
      </c>
      <c r="AX387" s="105" t="str">
        <f>IF(A387&lt;&gt;"",COUNTIFS('QA Log'!D:D,A387,'QA Log'!M:M,"Vignette",'QA Log'!L:L,"Vignette [1] Respiratory Infection: Pneumonia",'QA Log'!Z:Z,"Approved"),"")</f>
        <v/>
      </c>
      <c r="AY387" s="105" t="str">
        <f>IF(A387&lt;&gt;"",COUNTIFS('QA Log'!D:D,A387,'QA Log'!M:M,"Vignette",'QA Log'!L:L,"Vignette [2]: Diarrhea with Cat B dehydration",'QA Log'!Z:Z,"Approved"),"")</f>
        <v/>
      </c>
      <c r="AZ387" s="105" t="str">
        <f>IF(A387&lt;&gt;"",COUNTIFS('QA Log'!D:D,A387,'QA Log'!M:M,"Vignette",'QA Log'!L:L,"Vignette [3] Growth Monitoring and Promotion",'QA Log'!Z:Z,"Approved"),"")</f>
        <v/>
      </c>
      <c r="BA387" s="105" t="str">
        <f>IF(A387&lt;&gt;"",COUNTIFS('QA Log'!D:D,A387,'QA Log'!M:M,"Vignette",'QA Log'!L:L,"Vignette [4]: The management of presumptive TB patient",'QA Log'!Z:Z,"Approved"),"")</f>
        <v/>
      </c>
      <c r="BB387" s="102" t="str">
        <f>IF(A387="","",
  SUM(
    COUNTIFS('QA Log'!D:D,A387,'QA Log'!M:M,"Vignette",'QA Log'!Z:Z,"Rejected",'QA Log'!L:L,"*Vignette [1] Respiratory Infection: Pneumonia*"),
    COUNTIFS('QA Log'!D:D,A387,'QA Log'!M:M,"Vignette",'QA Log'!Z:Z,"Rejected",'QA Log'!L:L,"*Vignette [2]: Diarrhea with Cat B dehydration*"),
    COUNTIFS('QA Log'!D:D,A387,'QA Log'!M:M,"Vignette",'QA Log'!Z:Z,"Rejected",'QA Log'!L:L,"*Vignette [3] Growth Monitoring and Promotion*"),
    COUNTIFS('QA Log'!D:D,A387,'QA Log'!M:M,"Vignette",'QA Log'!Z:Z,"Rejected",'QA Log'!L:L,"*Vignette [4]: The management of presumptive TB patient*")
  )
)</f>
        <v/>
      </c>
      <c r="BC387" s="107" t="str">
        <f t="shared" si="35"/>
        <v/>
      </c>
      <c r="BD387" s="103" t="str">
        <f t="shared" si="36"/>
        <v/>
      </c>
      <c r="BE387" s="102" t="str">
        <f>IF(A387="","",SUM(
COUNTIFS('QA Log'!D:D,A387,'QA Log'!M:M,"Vignette",'QA Log'!L:L,"*Vignette [5] Labor*"),
COUNTIFS('QA Log'!D:D,A387,'QA Log'!M:M,"Vignette",'QA Log'!L:L,"*Vignette [6] PNC pre Discharge*"),
COUNTIFS('QA Log'!D:D,A387,'QA Log'!M:M,"Vignette",'QA Log'!L:L,"*Vignette [7] First ANC Visit*"),
COUNTIFS('QA Log'!D:D,A387,'QA Log'!M:M,"Vignette",'QA Log'!L:L,"*Vignette [8] Birth Spacing/ Family Planning :  FP Counselling*"),
COUNTIFS('QA Log'!D:D,A387,'QA Log'!M:M,"Vignette",'QA Log'!L:L,"*Vignette [9] Birth Spacing: Change FP method to Injectable*"),
COUNTIFS('QA Log'!D:D,A387,'QA Log'!M:M,"Vignette",'QA Log'!L:L,"*Vignette [10] Post Partum Haemorrhage - Atonic Uterus at Health Centre*"),
)
)</f>
        <v/>
      </c>
      <c r="BF387" s="102" t="str">
        <f>IF(A387="","",
  SUM(
    COUNTIFS('QA Log'!D:D,A387,'QA Log'!M:M,"Vignette",'QA Log'!Z:Z,"Approved",'QA Log'!L:L,"*Vignette [5] Labor*"),
    COUNTIFS('QA Log'!D:D,A387,'QA Log'!M:M,"Vignette",'QA Log'!Z:Z,"Approved",'QA Log'!L:L,"*Vignette [6] PNC pre Discharge*"),
    COUNTIFS('QA Log'!D:D,A387,'QA Log'!M:M,"Vignette",'QA Log'!Z:Z,"Approved",'QA Log'!L:L,"*Vignette [7] First ANC Visit*"),
    COUNTIFS('QA Log'!D:D,A387,'QA Log'!M:M,"Vignette",'QA Log'!Z:Z,"Approved",'QA Log'!L:L,"*Vignette [8] Birth Spacing/ Family Planning :  FP Counselling*"),
    COUNTIFS('QA Log'!D:D,A387,'QA Log'!M:M,"Vignette",'QA Log'!Z:Z,"Approved",'QA Log'!L:L,"*Vignette [9] Birth Spacing: Change FP method to Injectable*"),
    COUNTIFS('QA Log'!D:D,A387,'QA Log'!M:M,"Vignette",'QA Log'!Z:Z,"Approved",'QA Log'!L:L,"*Vignette [10] Post Partum Haemorrhage - Atonic Uterus at Health Centre*")
  )
)</f>
        <v/>
      </c>
      <c r="BG387" s="105" t="str">
        <f>IF(A387&lt;&gt;"",COUNTIFS('QA Log'!D:D,A387,'QA Log'!M:M,"Vignette",'QA Log'!L:L,"Vignette [5] Labor",'QA Log'!Z:Z,"Approved"),"")</f>
        <v/>
      </c>
      <c r="BH387" s="105" t="str">
        <f>IF(A387&lt;&gt;"",COUNTIFS('QA Log'!D:D,A387,'QA Log'!M:M,"Vignette",'QA Log'!L:L,"Vignette [6] PNC pre Discharge",'QA Log'!Z:Z,"Approved"),"")</f>
        <v/>
      </c>
      <c r="BI387" s="105" t="str">
        <f>IF(A387&lt;&gt;"",COUNTIFS('QA Log'!D:D,A387,'QA Log'!M:M,"Vignette",'QA Log'!L:L,"Vignette [7] First ANC Visit",'QA Log'!Z:Z,"Approved"),"")</f>
        <v/>
      </c>
      <c r="BJ387" s="105" t="str">
        <f>IF(A387&lt;&gt;"",COUNTIFS('QA Log'!D:D,A387,'QA Log'!M:M,"Vignette",'QA Log'!L:L,"Vignette [8] Birth Spacing/ Family Planning :  FP Counselling",'QA Log'!Z:Z,"Approved"),"")</f>
        <v/>
      </c>
      <c r="BK387" s="105" t="str">
        <f>IF(A387&lt;&gt;"",COUNTIFS('QA Log'!D:D,A387,'QA Log'!M:M,"Vignette",'QA Log'!L:L,"Vignette [9] Birth Spacing: Change FP method to Injectable",'QA Log'!Z:Z,"Approved"),"")</f>
        <v/>
      </c>
      <c r="BL387" s="105" t="str">
        <f>IF(A387&lt;&gt;"",COUNTIFS('QA Log'!D:D,A387,'QA Log'!M:M,"Vignette",'QA Log'!L:L,"Vignette [10] Post Partum Haemorrhage - Atonic Uterus at Health Centre",'QA Log'!Z:Z,"Approved"),"")</f>
        <v/>
      </c>
      <c r="BM387" s="102" t="str">
        <f>IF(A387="","",SUM(
    COUNTIFS('QA Log'!D:D,A387,'QA Log'!M:M,"Vignette",'QA Log'!Z:Z,"Rejected",'QA Log'!L:L,"*Vignette [5] Labor*"),
    COUNTIFS('QA Log'!D:D,A387,'QA Log'!M:M,"Vignette",'QA Log'!Z:Z,"Rejected",'QA Log'!L:L,"*Vignette [6] PNC pre Discharge*"),
    COUNTIFS('QA Log'!D:D,A387,'QA Log'!M:M,"Vignette",'QA Log'!Z:Z,"Rejected",'QA Log'!L:L,"*Vignette [7] First ANC Visit*"),
    COUNTIFS('QA Log'!D:D,A387,'QA Log'!M:M,"Vignette",'QA Log'!Z:Z,"Rejected",'QA Log'!L:L,"*Vignette [8] Birth Spacing/ Family Planning :  FP Counselling*"),
    COUNTIFS('QA Log'!D:D,A387,'QA Log'!M:M,"Vignette",'QA Log'!Z:Z,"Rejected",'QA Log'!L:L,"*Vignette [9] Birth Spacing: Change FP method to Injectable*"),
    COUNTIFS('QA Log'!D:D,A387,'QA Log'!M:M,"Vignette",'QA Log'!Z:Z,"Rejected",'QA Log'!L:L,"*Vignette [10] Post Partum Haemorrhage - Atonic Uterus at Health Centre*")
  )
)</f>
        <v/>
      </c>
      <c r="BN387" s="107" t="str">
        <f t="shared" si="37"/>
        <v/>
      </c>
      <c r="BO387" s="103" t="str">
        <f t="shared" si="38"/>
        <v/>
      </c>
      <c r="BP387" s="102" t="str">
        <f>IF(A387="","",SUM(
COUNTIFS('QA Log'!D:D,A387,'QA Log'!M:M,"Vignette",'QA Log'!L:L,"*Exit Interview 1*"),
COUNTIFS('QA Log'!D:D,A387,'QA Log'!M:M,"Vignette",'QA Log'!L:L,"*Exit Interview 2*"),
)
)</f>
        <v/>
      </c>
      <c r="BQ387" s="102" t="str">
        <f>IF(
  A387="","",
  SUM(
    COUNTIFS('QA Log'!D:D,A387,'QA Log'!M:M,"Vignette",'QA Log'!Z:Z,"Approved",'QA Log'!L:L,"*Exit Interview 1*"),
    COUNTIFS('QA Log'!D:D,A387,'QA Log'!M:M,"Vignette",'QA Log'!Z:Z,"Approved",'QA Log'!L:L,"*Exit Interview 2*")
  )
)</f>
        <v/>
      </c>
      <c r="BR387" s="105" t="str">
        <f>IF(A387&lt;&gt;"",COUNTIFS('QA Log'!D:D,A387,'QA Log'!M:M,"Vignette",'QA Log'!L:L,"Exit Interview 1",'QA Log'!Z:Z,"Approved"),"")</f>
        <v/>
      </c>
      <c r="BS387" s="105" t="str">
        <f>IF(A387&lt;&gt;"",COUNTIFS('QA Log'!D:D,A387,'QA Log'!M:M,"Vignette",'QA Log'!L:L,"Exit Interview 2",'QA Log'!Z:Z,"Approved"),"")</f>
        <v/>
      </c>
      <c r="BT387" s="102" t="str">
        <f>IF(
  A387="","",
  SUM(
    COUNTIFS('QA Log'!D:D,A387,'QA Log'!M:M,"Vignette",'QA Log'!Z:Z,"Rejected",'QA Log'!L:L,"*Exit Interview 1*"),
    COUNTIFS('QA Log'!D:D,A387,'QA Log'!M:M,"Vignette",'QA Log'!Z:Z,"Rejected",'QA Log'!L:L,"*Exit Interview 2*")
  )
)</f>
        <v/>
      </c>
      <c r="BU387" s="107" t="str">
        <f t="shared" si="39"/>
        <v/>
      </c>
      <c r="BV387" s="102" t="str">
        <f t="shared" si="40"/>
        <v/>
      </c>
      <c r="BW387" s="102" t="str">
        <f t="shared" si="41"/>
        <v/>
      </c>
      <c r="BX387" s="102" t="str">
        <f t="shared" si="42"/>
        <v/>
      </c>
      <c r="BY387" s="102" t="str">
        <f t="shared" si="43"/>
        <v/>
      </c>
      <c r="BZ387" s="107" t="str">
        <f t="shared" si="44"/>
        <v/>
      </c>
      <c r="CA387" s="108" t="str">
        <f t="shared" si="45"/>
        <v/>
      </c>
      <c r="CB387" s="108" t="str">
        <f t="shared" si="46"/>
        <v/>
      </c>
      <c r="CC387" s="109" t="str">
        <f t="shared" si="47"/>
        <v/>
      </c>
      <c r="CD387" s="108" t="str">
        <f t="shared" si="48"/>
        <v/>
      </c>
      <c r="CE387" s="108" t="str">
        <f t="shared" si="49"/>
        <v/>
      </c>
      <c r="CF387" s="109" t="str">
        <f t="shared" si="50"/>
        <v/>
      </c>
      <c r="CG387" s="110" t="str">
        <f t="shared" si="51"/>
        <v/>
      </c>
      <c r="CH387" s="111"/>
    </row>
    <row r="388" spans="1:86" ht="12.75">
      <c r="A388" s="101"/>
      <c r="B388" s="102" t="e">
        <f t="array" aca="1" ref="B388" ca="1">_xludf.XLOOKUP(A388,'QA Log'!D:D,'QA Log'!E:E,"")</f>
        <v>#NAME?</v>
      </c>
      <c r="C388" s="102" t="e">
        <f t="array" aca="1" ref="C388" ca="1">_xludf.XLOOKUP(A388,'QA Log'!D:D,'QA Log'!F:F,"")</f>
        <v>#NAME?</v>
      </c>
      <c r="D388" s="102" t="e">
        <f t="array" aca="1" ref="D388" ca="1">_xludf.XLOOKUP(A388,'QA Log'!D:D,'QA Log'!H:H,"")</f>
        <v>#NAME?</v>
      </c>
      <c r="E388" s="102" t="e">
        <f t="array" aca="1" ref="E388" ca="1">_xludf.XLOOKUP(A388,'QA Log'!D:D,'QA Log'!G:G,"")</f>
        <v>#NAME?</v>
      </c>
      <c r="F388" s="103"/>
      <c r="G388" s="104"/>
      <c r="H388" s="104"/>
      <c r="I388" s="103" t="str">
        <f t="shared" si="26"/>
        <v/>
      </c>
      <c r="J388" s="102" t="str">
        <f>IF(A388="","",SUM(
COUNTIFS('QA Log'!D:D,A388,'QA Log'!M:M,"QQC",'QA Log'!L:L,"*1. General Management*"),
COUNTIFS('QA Log'!D:D,A388,'QA Log'!M:M,"QQC",'QA Log'!L:L,"*3. Curative Consultation (OPD)*"),
COUNTIFS('QA Log'!D:D,A388,'QA Log'!M:M,"QQC",'QA Log'!L:L,"*5. Laboratory*"),
COUNTIFS('QA Log'!D:D,A388,'QA Log'!M:M,"QQC",'QA Log'!L:L,"*6. Essential Medicine Management*"),
COUNTIFS('QA Log'!D:D,A388,'QA Log'!M:M,"QQC",'QA Log'!L:L,"*7. Tracer Medicine*"),
COUNTIFS('QA Log'!D:D,A388,'QA Log'!M:M,"QQC",'QA Log'!L:L,"*11. Additional Questions*")))</f>
        <v/>
      </c>
      <c r="K388" s="102" t="str">
        <f>IF(A388="","",SUM(
COUNTIFS('QA Log'!D:D,A388,'QA Log'!M:M,"QQC",'QA Log'!Z:Z,"Approved",'QA Log'!L:L,"*1. General Management*"),
COUNTIFS('QA Log'!D:D,A388,'QA Log'!M:M,"QQC",'QA Log'!Z:Z,"Approved",'QA Log'!L:L,"*3. Curative Consultation (OPD)*"),
COUNTIFS('QA Log'!D:D,A388,'QA Log'!M:M,"QQC",'QA Log'!Z:Z,"Approved",'QA Log'!L:L,"*5. Laboratory*"),
COUNTIFS('QA Log'!D:D,A388,'QA Log'!M:M,"QQC",'QA Log'!Z:Z,"Approved",'QA Log'!L:L,"*6. Essential Medicine Management*"),
COUNTIFS('QA Log'!D:D,A388,'QA Log'!M:M,"QQC",'QA Log'!Z:Z,"Approved",'QA Log'!L:L,"*7. Tracer Medicine*"),
COUNTIFS('QA Log'!D:D,A388,'QA Log'!M:M,"QQC",'QA Log'!Z:Z,"Approved",'QA Log'!L:L,"*11. Additional Questions*")))</f>
        <v/>
      </c>
      <c r="L388" s="102" t="str">
        <f>IF(A388&lt;&gt;"",COUNTIFS('QA Log'!D:D,A388,'QA Log'!M:M,"QQC",'QA Log'!L:L,"1. General Management",'QA Log'!Z:Z,"Approved"),"")</f>
        <v/>
      </c>
      <c r="M388" s="102" t="str">
        <f>IF(A388&lt;&gt;"",COUNTIFS('QA Log'!D:D,A388,'QA Log'!M:M,"QQC",'QA Log'!L:L,"3. Curative Consultation (OPD)",'QA Log'!Z:Z,"Approved"),"")</f>
        <v/>
      </c>
      <c r="N388" s="102" t="str">
        <f>IF(A388&lt;&gt;"",COUNTIFS('QA Log'!D:D,A388,'QA Log'!M:M,"QQC",'QA Log'!L:L,"5. Laboratory",'QA Log'!Z:Z,"Approved"),"")</f>
        <v/>
      </c>
      <c r="O388" s="102" t="str">
        <f>IF(A388&lt;&gt;"",COUNTIFS('QA Log'!D:D,A388,'QA Log'!M:M,"QQC",'QA Log'!L:L,"6. Essential Medicine Management",'QA Log'!Z:Z,"Approved"),"")</f>
        <v/>
      </c>
      <c r="P388" s="102" t="str">
        <f>IF(A388&lt;&gt;"",COUNTIFS('QA Log'!D:D,A388,'QA Log'!M:M,"QQC",'QA Log'!L:L,"7. Tracer Medicine",'QA Log'!Z:Z,"Approved"),"")</f>
        <v/>
      </c>
      <c r="Q388" s="102" t="str">
        <f>IF(A388&lt;&gt;"",COUNTIFS('QA Log'!D:D,A388,'QA Log'!M:M,"QQC",'QA Log'!L:L,"11. Additional Questions",'QA Log'!Z:Z,"Approved"),"")</f>
        <v/>
      </c>
      <c r="R388" s="102" t="str">
        <f>IF(A388="","",SUM(
COUNTIFS('QA Log'!D:D,A388,'QA Log'!M:M,"QQC",'QA Log'!Z:Z,"Rejected",'QA Log'!L:L,"*8. Maternity*"),
COUNTIFS('QA Log'!D:D,A388,'QA Log'!M:M,"QQC",'QA Log'!Z:Z,"Rejected",'QA Log'!L:L,"*EPI*"),
COUNTIFS('QA Log'!D:D,A388,'QA Log'!M:M,"QQC",'QA Log'!Z:Z,"Rejected",'QA Log'!L:L,"*10. Antenatal Care (ANC)*"),
COUNTIFS('QA Log'!D:D,A388,'QA Log'!M:M,"QQC",'QA Log'!Z:Z,"Rejected",'QA Log'!L:L,"*2. Hygiene and Sterilization*"),
COUNTIFS('QA Log'!D:D,A388,'QA Log'!M:M,"QQC",'QA Log'!Z:Z,"Rejected",'QA Log'!L:L,"*Family Planning*")))</f>
        <v/>
      </c>
      <c r="S388" s="106" t="str">
        <f t="shared" si="27"/>
        <v/>
      </c>
      <c r="T388" s="102" t="str">
        <f t="shared" si="28"/>
        <v/>
      </c>
      <c r="U388" s="102" t="str">
        <f>IF(A388="","",
SUM(
COUNTIFS('QA Log'!D:D,A388,'QA Log'!M:M,"QQC",'QA Log'!L:L,"*8. Maternity*"),
COUNTIFS('QA Log'!D:D,A388,'QA Log'!M:M,"QQC",'QA Log'!L:L,"*9. EPI and Pre-school Consultation*"),
COUNTIFS('QA Log'!D:D,A388,'QA Log'!M:M,"QQC",'QA Log'!L:L,"*10. Antenatal Care (ANC)*"),
COUNTIFS('QA Log'!D:D,A388,'QA Log'!M:M,"QQC",'QA Log'!L:L,"*2. Hygiene and Sterilization*"),
COUNTIFS('QA Log'!D:D,A388,'QA Log'!M:M,"QQC",'QA Log'!L:L,"*4. Family Planning*")
))</f>
        <v/>
      </c>
      <c r="V388" s="102" t="str">
        <f>IF(A388="","",
SUM(
COUNTIFS('QA Log'!D:D,A388,'QA Log'!M:M,"QQC",'QA Log'!Z:Z,"Approved",'QA Log'!L:L,"*8. Maternity*"),
COUNTIFS('QA Log'!D:D,A388,'QA Log'!M:M,"QQC",'QA Log'!Z:Z,"Approved",'QA Log'!L:L,"*9. EPI and Pre-school Consultation*"),
COUNTIFS('QA Log'!D:D,A388,'QA Log'!M:M,"QQC",'QA Log'!Z:Z,"Approved",'QA Log'!L:L,"*10. Antenatal Care (ANC)*"),
COUNTIFS('QA Log'!D:D,A388,'QA Log'!M:M,"QQC",'QA Log'!Z:Z,"Approved",'QA Log'!L:L,"*2. Hygiene and Sterilization*"),
COUNTIFS('QA Log'!D:D,A388,'QA Log'!M:M,"QQC",'QA Log'!Z:Z,"Approved",'QA Log'!L:L,"*4. Family Planning*")
))</f>
        <v/>
      </c>
      <c r="W388" s="102" t="str">
        <f>IF(A388&lt;&gt;"",COUNTIFS('QA Log'!D:D,A388,'QA Log'!M:M,"QQC",'QA Log'!L:L,"8. Maternity",'QA Log'!Z:Z,"Approved"),"")</f>
        <v/>
      </c>
      <c r="X388" s="105" t="str">
        <f>IF(A388&lt;&gt;"",COUNTIFS('QA Log'!D:D,A388,'QA Log'!M:M,"QQC",'QA Log'!L:L,"9. EPI and Pre-school Consultation",'QA Log'!Z:Z,"Approved"),"")</f>
        <v/>
      </c>
      <c r="Y388" s="102" t="str">
        <f>IF(A388&lt;&gt;"",COUNTIFS('QA Log'!D:D,A388,'QA Log'!M:M,"QQC",'QA Log'!L:L,"10. Antenatal Care (ANC)",'QA Log'!Z:Z,"Approved"),"")</f>
        <v/>
      </c>
      <c r="Z388" s="102" t="str">
        <f>IF(A388&lt;&gt;"",COUNTIFS('QA Log'!D:D,A388,'QA Log'!M:M,"QQC",'QA Log'!L:L,"2. Hygiene and Sterilization",'QA Log'!Z:Z,"Approved"),"")</f>
        <v/>
      </c>
      <c r="AA388" s="105" t="str">
        <f>IF(A388&lt;&gt;"",COUNTIFS('QA Log'!D:D,A388,'QA Log'!M:M,"QQC",'QA Log'!L:L,"4. Family Planning",'QA Log'!Z:Z,"Approved"),"")</f>
        <v/>
      </c>
      <c r="AB388" s="102" t="str">
        <f>IF(A388="","",
SUM(
COUNTIFS('QA Log'!D:D,A388,'QA Log'!M:M,"QQC",'QA Log'!Z:Z,"Rejected",'QA Log'!L:L,"*8. Maternity*"),
COUNTIFS('QA Log'!D:D,A388,'QA Log'!M:M,"QQC",'QA Log'!Z:Z,"Rejected",'QA Log'!L:L,"*9. EPI and Pre-school Consultation*"),
COUNTIFS('QA Log'!D:D,A388,'QA Log'!M:M,"QQC",'QA Log'!Z:Z,"Rejected",'QA Log'!L:L,"*10. Antenatal Care (ANC)*"),
COUNTIFS('QA Log'!D:D,A388,'QA Log'!M:M,"QQC",'QA Log'!Z:Z,"Rejected",'QA Log'!L:L,"*2. Hygiene and Sterilization*"),
COUNTIFS('QA Log'!D:D,A388,'QA Log'!M:M,"QQC",'QA Log'!Z:Z,"Rejected",'QA Log'!L:L,"*4. Family Planning*")
))</f>
        <v/>
      </c>
      <c r="AC388" s="102" t="str">
        <f t="shared" si="29"/>
        <v/>
      </c>
      <c r="AD388" s="103" t="str">
        <f t="shared" si="30"/>
        <v/>
      </c>
      <c r="AE388" s="102" t="str">
        <f>IF(A388="","",
SUM(
COUNTIFS('QA Log'!D:D,A388,'QA Log'!M:M,"Data Verification",'QA Log'!L:L,"*Medicine (section 2)*"),
COUNTIFS('QA Log'!D:D,A388,'QA Log'!M:M,"Data Verification",'QA Log'!L:L,"*Lab Testing Availability*"),
COUNTIFS('QA Log'!D:D,A388,'QA Log'!M:M,"Data Verification",'QA Log'!L:L,"*Other than P4P (section 6)*"),
COUNTIFS('QA Log'!D:D,A388,'QA Log'!M:M,"Data Verification",'QA Log'!L:L,"*Hospital Governance*")
))</f>
        <v/>
      </c>
      <c r="AF388" s="102" t="str">
        <f>IF(A388="","",
SUM(
COUNTIFS('QA Log'!D:D,A388,'QA Log'!M:M,"Data Verification",'QA Log'!Z:Z,"Approved",'QA Log'!L:L,"*Medicine (section 2)*"),
COUNTIFS('QA Log'!D:D,A388,'QA Log'!M:M,"Data Verification",'QA Log'!Z:Z,"Approved",'QA Log'!L:L,"*Lab Testing Availability*"),
COUNTIFS('QA Log'!D:D,A388,'QA Log'!M:M,"Data Verification",'QA Log'!Z:Z,"Approved",'QA Log'!L:L,"*Other than P4P (section 6)*"),
COUNTIFS('QA Log'!D:D,A388,'QA Log'!M:M,"Data Verification",'QA Log'!Z:Z,"Approved",'QA Log'!L:L,"*Hospital Governance*")
))</f>
        <v/>
      </c>
      <c r="AG388" s="105" t="str">
        <f>IF(A388&lt;&gt;"",COUNTIFS('QA Log'!D:D,A388,'QA Log'!M:M,"Data Verification",'QA Log'!L:L,"Medicine (section 2)",'QA Log'!Z:Z,"Approved"),"")</f>
        <v/>
      </c>
      <c r="AH388" s="105" t="str">
        <f>IF(A388&lt;&gt;"",COUNTIFS('QA Log'!D:D,A388,'QA Log'!M:M,"Data Verification",'QA Log'!L:L,"Lab Testing Availability",'QA Log'!Z:Z,"Approved"),"")</f>
        <v/>
      </c>
      <c r="AI388" s="105" t="str">
        <f>IF(A388&lt;&gt;"",COUNTIFS('QA Log'!D:D,A388,'QA Log'!M:M,"Data Verification",'QA Log'!L:L,"Other than P4P (section 6)",'QA Log'!Z:Z,"Approved"),"")</f>
        <v/>
      </c>
      <c r="AJ388" s="105" t="str">
        <f>IF(A388&lt;&gt;"",COUNTIFS('QA Log'!D:D,A388,'QA Log'!M:M,"Data Verification",'QA Log'!L:L,"Hospital Governance",'QA Log'!Z:Z,"Approved"),"")</f>
        <v/>
      </c>
      <c r="AK388" s="102" t="str">
        <f>IF(A388="","",
SUM(
COUNTIFS('QA Log'!D:D,A388,'QA Log'!M:M,"Data Verification",'QA Log'!Z:Z,"Rejected",'QA Log'!L:L,"*Medicine (section 2)*"),
COUNTIFS('QA Log'!D:D,A388,'QA Log'!M:M,"Data Verification",'QA Log'!Z:Z,"Rejected",'QA Log'!L:L,"*Lab Testing Availability*"),
COUNTIFS('QA Log'!D:D,A388,'QA Log'!M:M,"Data Verification",'QA Log'!Z:Z,"Rejected",'QA Log'!L:L,"*Other than P4P (section 6)*"),
COUNTIFS('QA Log'!D:D,A388,'QA Log'!M:M,"Data Verification",'QA Log'!Z:Z,"Rejected",'QA Log'!L:L,"*Hospital Governance*")
))</f>
        <v/>
      </c>
      <c r="AL388" s="106" t="str">
        <f t="shared" si="31"/>
        <v/>
      </c>
      <c r="AM388" s="102" t="str">
        <f t="shared" si="32"/>
        <v/>
      </c>
      <c r="AN388" s="102" t="str">
        <f>IF(A388="","",
SUM(
COUNTIFS('QA Log'!D:D,A388,'QA Log'!M:M,"Data Verification",'QA Log'!L:L,"*Personnel (section 1)*"),
COUNTIFS('QA Log'!D:D,A388,'QA Log'!M:M,"Data Verification",'QA Log'!L:L,"*Consumable (section 3)*"),
COUNTIFS('QA Log'!D:D,A388,'QA Log'!M:M,"Data Verification",'QA Log'!L:L,"*Equipments (section 4)*")
))</f>
        <v/>
      </c>
      <c r="AO388" s="102" t="str">
        <f>IF(A388="","",
SUM(
COUNTIFS('QA Log'!D:D,A388,'QA Log'!M:M,"Data Verification",'QA Log'!Z:Z,"Approved",'QA Log'!L:L,"*Personnel (section 1)*"),
COUNTIFS('QA Log'!D:D,A388,'QA Log'!M:M,"Data Verification",'QA Log'!Z:Z,"Approved",'QA Log'!L:L,"*Consumable (section 3)*"),
COUNTIFS('QA Log'!D:D,A388,'QA Log'!M:M,"Data Verification",'QA Log'!Z:Z,"Approved",'QA Log'!L:L,"*Equipments (section 4)*")
))</f>
        <v/>
      </c>
      <c r="AP388" s="105" t="str">
        <f>IF(A388&lt;&gt;"",COUNTIFS('QA Log'!D:D,A388,'QA Log'!M:M,"Data Verification",'QA Log'!L:L,"Personnel (section 1)",'QA Log'!Z:Z,"Approved"),"")</f>
        <v/>
      </c>
      <c r="AQ388" s="105" t="str">
        <f>IF(A388&lt;&gt;"",COUNTIFS('QA Log'!D:D,A388,'QA Log'!M:M,"Data Verification",'QA Log'!L:L,"Consumable (section 3)",'QA Log'!Z:Z,"Approved"),"")</f>
        <v/>
      </c>
      <c r="AR388" s="105" t="str">
        <f>IF(A388&lt;&gt;"",COUNTIFS('QA Log'!D:D,A388,'QA Log'!M:M,"Data Verification",'QA Log'!L:L,"Equipments (section 4)",'QA Log'!Z:Z,"Approved"),"")</f>
        <v/>
      </c>
      <c r="AS388" s="102" t="str">
        <f>IF(A388="","",
SUM(
COUNTIFS('QA Log'!D:D,A388,'QA Log'!M:M,"Data Verification",'QA Log'!Z:Z,"Rejected",'QA Log'!L:L,"*Personnel (section 1)*"),
COUNTIFS('QA Log'!D:D,A388,'QA Log'!M:M,"Data Verification",'QA Log'!Z:Z,"Rejected",'QA Log'!L:L,"*Consumable (section 3)*"),
COUNTIFS('QA Log'!D:D,A388,'QA Log'!M:M,"Data Verification",'QA Log'!Z:Z,"Rejected",'QA Log'!L:L,"*Equipments (section 4)*")
))</f>
        <v/>
      </c>
      <c r="AT388" s="102" t="str">
        <f t="shared" si="33"/>
        <v/>
      </c>
      <c r="AU388" s="103" t="str">
        <f t="shared" si="34"/>
        <v/>
      </c>
      <c r="AV388" s="102" t="str">
        <f>IF(A388="","",SUM(
COUNTIFS('QA Log'!D:D,A388,'QA Log'!M:M,"Vignette",'QA Log'!L:L,"*Vignette [1] Respiratory Infection: Pneumonia*"),
COUNTIFS('QA Log'!D:D,A388,'QA Log'!M:M,"Vignette",'QA Log'!L:L,"*Vignette [2]: Diarrhea with Cat B dehydration*"),
COUNTIFS('QA Log'!D:D,A388,'QA Log'!M:M,"Vignette",'QA Log'!L:L,"*Vignette [3] Growth Monitoring and Promotion*"),
COUNTIFS('QA Log'!D:D,A388,'QA Log'!M:M,"Vignette",'QA Log'!L:L,"*Vignette [4]: The management of presumptive TB patient*")
)
)</f>
        <v/>
      </c>
      <c r="AW388" s="102" t="str">
        <f>IF(
  A388="","",
  SUM(
    COUNTIFS('QA Log'!D:D,A388,'QA Log'!M:M,"Vignette",'QA Log'!Z:Z,"Approved",'QA Log'!L:L,"*Vignette [1] Respiratory Infection: Pneumonia*"),
    COUNTIFS('QA Log'!D:D,A388,'QA Log'!M:M,"Vignette",'QA Log'!Z:Z,"Approved",'QA Log'!L:L,"*Vignette [2]: Diarrhea with Cat B dehydration*"),
    COUNTIFS('QA Log'!D:D,A388,'QA Log'!M:M,"Vignette",'QA Log'!Z:Z,"Approved",'QA Log'!L:L,"*Vignette [3] Growth Monitoring and Promotion*"),
    COUNTIFS('QA Log'!D:D,A388,'QA Log'!M:M,"Vignette",'QA Log'!Z:Z,"Approved",'QA Log'!L:L,"*Vignette [4]: The management of presumptive TB patient*")
  )
)</f>
        <v/>
      </c>
      <c r="AX388" s="105" t="str">
        <f>IF(A388&lt;&gt;"",COUNTIFS('QA Log'!D:D,A388,'QA Log'!M:M,"Vignette",'QA Log'!L:L,"Vignette [1] Respiratory Infection: Pneumonia",'QA Log'!Z:Z,"Approved"),"")</f>
        <v/>
      </c>
      <c r="AY388" s="105" t="str">
        <f>IF(A388&lt;&gt;"",COUNTIFS('QA Log'!D:D,A388,'QA Log'!M:M,"Vignette",'QA Log'!L:L,"Vignette [2]: Diarrhea with Cat B dehydration",'QA Log'!Z:Z,"Approved"),"")</f>
        <v/>
      </c>
      <c r="AZ388" s="105" t="str">
        <f>IF(A388&lt;&gt;"",COUNTIFS('QA Log'!D:D,A388,'QA Log'!M:M,"Vignette",'QA Log'!L:L,"Vignette [3] Growth Monitoring and Promotion",'QA Log'!Z:Z,"Approved"),"")</f>
        <v/>
      </c>
      <c r="BA388" s="105" t="str">
        <f>IF(A388&lt;&gt;"",COUNTIFS('QA Log'!D:D,A388,'QA Log'!M:M,"Vignette",'QA Log'!L:L,"Vignette [4]: The management of presumptive TB patient",'QA Log'!Z:Z,"Approved"),"")</f>
        <v/>
      </c>
      <c r="BB388" s="102" t="str">
        <f>IF(A388="","",
  SUM(
    COUNTIFS('QA Log'!D:D,A388,'QA Log'!M:M,"Vignette",'QA Log'!Z:Z,"Rejected",'QA Log'!L:L,"*Vignette [1] Respiratory Infection: Pneumonia*"),
    COUNTIFS('QA Log'!D:D,A388,'QA Log'!M:M,"Vignette",'QA Log'!Z:Z,"Rejected",'QA Log'!L:L,"*Vignette [2]: Diarrhea with Cat B dehydration*"),
    COUNTIFS('QA Log'!D:D,A388,'QA Log'!M:M,"Vignette",'QA Log'!Z:Z,"Rejected",'QA Log'!L:L,"*Vignette [3] Growth Monitoring and Promotion*"),
    COUNTIFS('QA Log'!D:D,A388,'QA Log'!M:M,"Vignette",'QA Log'!Z:Z,"Rejected",'QA Log'!L:L,"*Vignette [4]: The management of presumptive TB patient*")
  )
)</f>
        <v/>
      </c>
      <c r="BC388" s="107" t="str">
        <f t="shared" si="35"/>
        <v/>
      </c>
      <c r="BD388" s="103" t="str">
        <f t="shared" si="36"/>
        <v/>
      </c>
      <c r="BE388" s="102" t="str">
        <f>IF(A388="","",SUM(
COUNTIFS('QA Log'!D:D,A388,'QA Log'!M:M,"Vignette",'QA Log'!L:L,"*Vignette [5] Labor*"),
COUNTIFS('QA Log'!D:D,A388,'QA Log'!M:M,"Vignette",'QA Log'!L:L,"*Vignette [6] PNC pre Discharge*"),
COUNTIFS('QA Log'!D:D,A388,'QA Log'!M:M,"Vignette",'QA Log'!L:L,"*Vignette [7] First ANC Visit*"),
COUNTIFS('QA Log'!D:D,A388,'QA Log'!M:M,"Vignette",'QA Log'!L:L,"*Vignette [8] Birth Spacing/ Family Planning :  FP Counselling*"),
COUNTIFS('QA Log'!D:D,A388,'QA Log'!M:M,"Vignette",'QA Log'!L:L,"*Vignette [9] Birth Spacing: Change FP method to Injectable*"),
COUNTIFS('QA Log'!D:D,A388,'QA Log'!M:M,"Vignette",'QA Log'!L:L,"*Vignette [10] Post Partum Haemorrhage - Atonic Uterus at Health Centre*"),
)
)</f>
        <v/>
      </c>
      <c r="BF388" s="102" t="str">
        <f>IF(A388="","",
  SUM(
    COUNTIFS('QA Log'!D:D,A388,'QA Log'!M:M,"Vignette",'QA Log'!Z:Z,"Approved",'QA Log'!L:L,"*Vignette [5] Labor*"),
    COUNTIFS('QA Log'!D:D,A388,'QA Log'!M:M,"Vignette",'QA Log'!Z:Z,"Approved",'QA Log'!L:L,"*Vignette [6] PNC pre Discharge*"),
    COUNTIFS('QA Log'!D:D,A388,'QA Log'!M:M,"Vignette",'QA Log'!Z:Z,"Approved",'QA Log'!L:L,"*Vignette [7] First ANC Visit*"),
    COUNTIFS('QA Log'!D:D,A388,'QA Log'!M:M,"Vignette",'QA Log'!Z:Z,"Approved",'QA Log'!L:L,"*Vignette [8] Birth Spacing/ Family Planning :  FP Counselling*"),
    COUNTIFS('QA Log'!D:D,A388,'QA Log'!M:M,"Vignette",'QA Log'!Z:Z,"Approved",'QA Log'!L:L,"*Vignette [9] Birth Spacing: Change FP method to Injectable*"),
    COUNTIFS('QA Log'!D:D,A388,'QA Log'!M:M,"Vignette",'QA Log'!Z:Z,"Approved",'QA Log'!L:L,"*Vignette [10] Post Partum Haemorrhage - Atonic Uterus at Health Centre*")
  )
)</f>
        <v/>
      </c>
      <c r="BG388" s="105" t="str">
        <f>IF(A388&lt;&gt;"",COUNTIFS('QA Log'!D:D,A388,'QA Log'!M:M,"Vignette",'QA Log'!L:L,"Vignette [5] Labor",'QA Log'!Z:Z,"Approved"),"")</f>
        <v/>
      </c>
      <c r="BH388" s="105" t="str">
        <f>IF(A388&lt;&gt;"",COUNTIFS('QA Log'!D:D,A388,'QA Log'!M:M,"Vignette",'QA Log'!L:L,"Vignette [6] PNC pre Discharge",'QA Log'!Z:Z,"Approved"),"")</f>
        <v/>
      </c>
      <c r="BI388" s="105" t="str">
        <f>IF(A388&lt;&gt;"",COUNTIFS('QA Log'!D:D,A388,'QA Log'!M:M,"Vignette",'QA Log'!L:L,"Vignette [7] First ANC Visit",'QA Log'!Z:Z,"Approved"),"")</f>
        <v/>
      </c>
      <c r="BJ388" s="105" t="str">
        <f>IF(A388&lt;&gt;"",COUNTIFS('QA Log'!D:D,A388,'QA Log'!M:M,"Vignette",'QA Log'!L:L,"Vignette [8] Birth Spacing/ Family Planning :  FP Counselling",'QA Log'!Z:Z,"Approved"),"")</f>
        <v/>
      </c>
      <c r="BK388" s="105" t="str">
        <f>IF(A388&lt;&gt;"",COUNTIFS('QA Log'!D:D,A388,'QA Log'!M:M,"Vignette",'QA Log'!L:L,"Vignette [9] Birth Spacing: Change FP method to Injectable",'QA Log'!Z:Z,"Approved"),"")</f>
        <v/>
      </c>
      <c r="BL388" s="105" t="str">
        <f>IF(A388&lt;&gt;"",COUNTIFS('QA Log'!D:D,A388,'QA Log'!M:M,"Vignette",'QA Log'!L:L,"Vignette [10] Post Partum Haemorrhage - Atonic Uterus at Health Centre",'QA Log'!Z:Z,"Approved"),"")</f>
        <v/>
      </c>
      <c r="BM388" s="102" t="str">
        <f>IF(A388="","",SUM(
    COUNTIFS('QA Log'!D:D,A388,'QA Log'!M:M,"Vignette",'QA Log'!Z:Z,"Rejected",'QA Log'!L:L,"*Vignette [5] Labor*"),
    COUNTIFS('QA Log'!D:D,A388,'QA Log'!M:M,"Vignette",'QA Log'!Z:Z,"Rejected",'QA Log'!L:L,"*Vignette [6] PNC pre Discharge*"),
    COUNTIFS('QA Log'!D:D,A388,'QA Log'!M:M,"Vignette",'QA Log'!Z:Z,"Rejected",'QA Log'!L:L,"*Vignette [7] First ANC Visit*"),
    COUNTIFS('QA Log'!D:D,A388,'QA Log'!M:M,"Vignette",'QA Log'!Z:Z,"Rejected",'QA Log'!L:L,"*Vignette [8] Birth Spacing/ Family Planning :  FP Counselling*"),
    COUNTIFS('QA Log'!D:D,A388,'QA Log'!M:M,"Vignette",'QA Log'!Z:Z,"Rejected",'QA Log'!L:L,"*Vignette [9] Birth Spacing: Change FP method to Injectable*"),
    COUNTIFS('QA Log'!D:D,A388,'QA Log'!M:M,"Vignette",'QA Log'!Z:Z,"Rejected",'QA Log'!L:L,"*Vignette [10] Post Partum Haemorrhage - Atonic Uterus at Health Centre*")
  )
)</f>
        <v/>
      </c>
      <c r="BN388" s="107" t="str">
        <f t="shared" si="37"/>
        <v/>
      </c>
      <c r="BO388" s="103" t="str">
        <f t="shared" si="38"/>
        <v/>
      </c>
      <c r="BP388" s="102" t="str">
        <f>IF(A388="","",SUM(
COUNTIFS('QA Log'!D:D,A388,'QA Log'!M:M,"Vignette",'QA Log'!L:L,"*Exit Interview 1*"),
COUNTIFS('QA Log'!D:D,A388,'QA Log'!M:M,"Vignette",'QA Log'!L:L,"*Exit Interview 2*"),
)
)</f>
        <v/>
      </c>
      <c r="BQ388" s="102" t="str">
        <f>IF(
  A388="","",
  SUM(
    COUNTIFS('QA Log'!D:D,A388,'QA Log'!M:M,"Vignette",'QA Log'!Z:Z,"Approved",'QA Log'!L:L,"*Exit Interview 1*"),
    COUNTIFS('QA Log'!D:D,A388,'QA Log'!M:M,"Vignette",'QA Log'!Z:Z,"Approved",'QA Log'!L:L,"*Exit Interview 2*")
  )
)</f>
        <v/>
      </c>
      <c r="BR388" s="105" t="str">
        <f>IF(A388&lt;&gt;"",COUNTIFS('QA Log'!D:D,A388,'QA Log'!M:M,"Vignette",'QA Log'!L:L,"Exit Interview 1",'QA Log'!Z:Z,"Approved"),"")</f>
        <v/>
      </c>
      <c r="BS388" s="105" t="str">
        <f>IF(A388&lt;&gt;"",COUNTIFS('QA Log'!D:D,A388,'QA Log'!M:M,"Vignette",'QA Log'!L:L,"Exit Interview 2",'QA Log'!Z:Z,"Approved"),"")</f>
        <v/>
      </c>
      <c r="BT388" s="102" t="str">
        <f>IF(
  A388="","",
  SUM(
    COUNTIFS('QA Log'!D:D,A388,'QA Log'!M:M,"Vignette",'QA Log'!Z:Z,"Rejected",'QA Log'!L:L,"*Exit Interview 1*"),
    COUNTIFS('QA Log'!D:D,A388,'QA Log'!M:M,"Vignette",'QA Log'!Z:Z,"Rejected",'QA Log'!L:L,"*Exit Interview 2*")
  )
)</f>
        <v/>
      </c>
      <c r="BU388" s="107" t="str">
        <f t="shared" si="39"/>
        <v/>
      </c>
      <c r="BV388" s="102" t="str">
        <f t="shared" si="40"/>
        <v/>
      </c>
      <c r="BW388" s="102" t="str">
        <f t="shared" si="41"/>
        <v/>
      </c>
      <c r="BX388" s="102" t="str">
        <f t="shared" si="42"/>
        <v/>
      </c>
      <c r="BY388" s="102" t="str">
        <f t="shared" si="43"/>
        <v/>
      </c>
      <c r="BZ388" s="107" t="str">
        <f t="shared" si="44"/>
        <v/>
      </c>
      <c r="CA388" s="108" t="str">
        <f t="shared" si="45"/>
        <v/>
      </c>
      <c r="CB388" s="108" t="str">
        <f t="shared" si="46"/>
        <v/>
      </c>
      <c r="CC388" s="109" t="str">
        <f t="shared" si="47"/>
        <v/>
      </c>
      <c r="CD388" s="108" t="str">
        <f t="shared" si="48"/>
        <v/>
      </c>
      <c r="CE388" s="108" t="str">
        <f t="shared" si="49"/>
        <v/>
      </c>
      <c r="CF388" s="109" t="str">
        <f t="shared" si="50"/>
        <v/>
      </c>
      <c r="CG388" s="110" t="str">
        <f t="shared" si="51"/>
        <v/>
      </c>
      <c r="CH388" s="111"/>
    </row>
    <row r="389" spans="1:86" ht="12.75">
      <c r="A389" s="101"/>
      <c r="B389" s="102" t="e">
        <f t="array" aca="1" ref="B389" ca="1">_xludf.XLOOKUP(A389,'QA Log'!D:D,'QA Log'!E:E,"")</f>
        <v>#NAME?</v>
      </c>
      <c r="C389" s="102" t="e">
        <f t="array" aca="1" ref="C389" ca="1">_xludf.XLOOKUP(A389,'QA Log'!D:D,'QA Log'!F:F,"")</f>
        <v>#NAME?</v>
      </c>
      <c r="D389" s="102" t="e">
        <f t="array" aca="1" ref="D389" ca="1">_xludf.XLOOKUP(A389,'QA Log'!D:D,'QA Log'!H:H,"")</f>
        <v>#NAME?</v>
      </c>
      <c r="E389" s="102" t="e">
        <f t="array" aca="1" ref="E389" ca="1">_xludf.XLOOKUP(A389,'QA Log'!D:D,'QA Log'!G:G,"")</f>
        <v>#NAME?</v>
      </c>
      <c r="F389" s="103"/>
      <c r="G389" s="104"/>
      <c r="H389" s="104"/>
      <c r="I389" s="103" t="str">
        <f t="shared" si="26"/>
        <v/>
      </c>
      <c r="J389" s="102" t="str">
        <f>IF(A389="","",SUM(
COUNTIFS('QA Log'!D:D,A389,'QA Log'!M:M,"QQC",'QA Log'!L:L,"*1. General Management*"),
COUNTIFS('QA Log'!D:D,A389,'QA Log'!M:M,"QQC",'QA Log'!L:L,"*3. Curative Consultation (OPD)*"),
COUNTIFS('QA Log'!D:D,A389,'QA Log'!M:M,"QQC",'QA Log'!L:L,"*5. Laboratory*"),
COUNTIFS('QA Log'!D:D,A389,'QA Log'!M:M,"QQC",'QA Log'!L:L,"*6. Essential Medicine Management*"),
COUNTIFS('QA Log'!D:D,A389,'QA Log'!M:M,"QQC",'QA Log'!L:L,"*7. Tracer Medicine*"),
COUNTIFS('QA Log'!D:D,A389,'QA Log'!M:M,"QQC",'QA Log'!L:L,"*11. Additional Questions*")))</f>
        <v/>
      </c>
      <c r="K389" s="102" t="str">
        <f>IF(A389="","",SUM(
COUNTIFS('QA Log'!D:D,A389,'QA Log'!M:M,"QQC",'QA Log'!Z:Z,"Approved",'QA Log'!L:L,"*1. General Management*"),
COUNTIFS('QA Log'!D:D,A389,'QA Log'!M:M,"QQC",'QA Log'!Z:Z,"Approved",'QA Log'!L:L,"*3. Curative Consultation (OPD)*"),
COUNTIFS('QA Log'!D:D,A389,'QA Log'!M:M,"QQC",'QA Log'!Z:Z,"Approved",'QA Log'!L:L,"*5. Laboratory*"),
COUNTIFS('QA Log'!D:D,A389,'QA Log'!M:M,"QQC",'QA Log'!Z:Z,"Approved",'QA Log'!L:L,"*6. Essential Medicine Management*"),
COUNTIFS('QA Log'!D:D,A389,'QA Log'!M:M,"QQC",'QA Log'!Z:Z,"Approved",'QA Log'!L:L,"*7. Tracer Medicine*"),
COUNTIFS('QA Log'!D:D,A389,'QA Log'!M:M,"QQC",'QA Log'!Z:Z,"Approved",'QA Log'!L:L,"*11. Additional Questions*")))</f>
        <v/>
      </c>
      <c r="L389" s="102" t="str">
        <f>IF(A389&lt;&gt;"",COUNTIFS('QA Log'!D:D,A389,'QA Log'!M:M,"QQC",'QA Log'!L:L,"1. General Management",'QA Log'!Z:Z,"Approved"),"")</f>
        <v/>
      </c>
      <c r="M389" s="102" t="str">
        <f>IF(A389&lt;&gt;"",COUNTIFS('QA Log'!D:D,A389,'QA Log'!M:M,"QQC",'QA Log'!L:L,"3. Curative Consultation (OPD)",'QA Log'!Z:Z,"Approved"),"")</f>
        <v/>
      </c>
      <c r="N389" s="102" t="str">
        <f>IF(A389&lt;&gt;"",COUNTIFS('QA Log'!D:D,A389,'QA Log'!M:M,"QQC",'QA Log'!L:L,"5. Laboratory",'QA Log'!Z:Z,"Approved"),"")</f>
        <v/>
      </c>
      <c r="O389" s="102" t="str">
        <f>IF(A389&lt;&gt;"",COUNTIFS('QA Log'!D:D,A389,'QA Log'!M:M,"QQC",'QA Log'!L:L,"6. Essential Medicine Management",'QA Log'!Z:Z,"Approved"),"")</f>
        <v/>
      </c>
      <c r="P389" s="102" t="str">
        <f>IF(A389&lt;&gt;"",COUNTIFS('QA Log'!D:D,A389,'QA Log'!M:M,"QQC",'QA Log'!L:L,"7. Tracer Medicine",'QA Log'!Z:Z,"Approved"),"")</f>
        <v/>
      </c>
      <c r="Q389" s="102" t="str">
        <f>IF(A389&lt;&gt;"",COUNTIFS('QA Log'!D:D,A389,'QA Log'!M:M,"QQC",'QA Log'!L:L,"11. Additional Questions",'QA Log'!Z:Z,"Approved"),"")</f>
        <v/>
      </c>
      <c r="R389" s="102" t="str">
        <f>IF(A389="","",SUM(
COUNTIFS('QA Log'!D:D,A389,'QA Log'!M:M,"QQC",'QA Log'!Z:Z,"Rejected",'QA Log'!L:L,"*8. Maternity*"),
COUNTIFS('QA Log'!D:D,A389,'QA Log'!M:M,"QQC",'QA Log'!Z:Z,"Rejected",'QA Log'!L:L,"*EPI*"),
COUNTIFS('QA Log'!D:D,A389,'QA Log'!M:M,"QQC",'QA Log'!Z:Z,"Rejected",'QA Log'!L:L,"*10. Antenatal Care (ANC)*"),
COUNTIFS('QA Log'!D:D,A389,'QA Log'!M:M,"QQC",'QA Log'!Z:Z,"Rejected",'QA Log'!L:L,"*2. Hygiene and Sterilization*"),
COUNTIFS('QA Log'!D:D,A389,'QA Log'!M:M,"QQC",'QA Log'!Z:Z,"Rejected",'QA Log'!L:L,"*Family Planning*")))</f>
        <v/>
      </c>
      <c r="S389" s="106" t="str">
        <f t="shared" si="27"/>
        <v/>
      </c>
      <c r="T389" s="102" t="str">
        <f t="shared" si="28"/>
        <v/>
      </c>
      <c r="U389" s="102" t="str">
        <f>IF(A389="","",
SUM(
COUNTIFS('QA Log'!D:D,A389,'QA Log'!M:M,"QQC",'QA Log'!L:L,"*8. Maternity*"),
COUNTIFS('QA Log'!D:D,A389,'QA Log'!M:M,"QQC",'QA Log'!L:L,"*9. EPI and Pre-school Consultation*"),
COUNTIFS('QA Log'!D:D,A389,'QA Log'!M:M,"QQC",'QA Log'!L:L,"*10. Antenatal Care (ANC)*"),
COUNTIFS('QA Log'!D:D,A389,'QA Log'!M:M,"QQC",'QA Log'!L:L,"*2. Hygiene and Sterilization*"),
COUNTIFS('QA Log'!D:D,A389,'QA Log'!M:M,"QQC",'QA Log'!L:L,"*4. Family Planning*")
))</f>
        <v/>
      </c>
      <c r="V389" s="102" t="str">
        <f>IF(A389="","",
SUM(
COUNTIFS('QA Log'!D:D,A389,'QA Log'!M:M,"QQC",'QA Log'!Z:Z,"Approved",'QA Log'!L:L,"*8. Maternity*"),
COUNTIFS('QA Log'!D:D,A389,'QA Log'!M:M,"QQC",'QA Log'!Z:Z,"Approved",'QA Log'!L:L,"*9. EPI and Pre-school Consultation*"),
COUNTIFS('QA Log'!D:D,A389,'QA Log'!M:M,"QQC",'QA Log'!Z:Z,"Approved",'QA Log'!L:L,"*10. Antenatal Care (ANC)*"),
COUNTIFS('QA Log'!D:D,A389,'QA Log'!M:M,"QQC",'QA Log'!Z:Z,"Approved",'QA Log'!L:L,"*2. Hygiene and Sterilization*"),
COUNTIFS('QA Log'!D:D,A389,'QA Log'!M:M,"QQC",'QA Log'!Z:Z,"Approved",'QA Log'!L:L,"*4. Family Planning*")
))</f>
        <v/>
      </c>
      <c r="W389" s="102" t="str">
        <f>IF(A389&lt;&gt;"",COUNTIFS('QA Log'!D:D,A389,'QA Log'!M:M,"QQC",'QA Log'!L:L,"8. Maternity",'QA Log'!Z:Z,"Approved"),"")</f>
        <v/>
      </c>
      <c r="X389" s="105" t="str">
        <f>IF(A389&lt;&gt;"",COUNTIFS('QA Log'!D:D,A389,'QA Log'!M:M,"QQC",'QA Log'!L:L,"9. EPI and Pre-school Consultation",'QA Log'!Z:Z,"Approved"),"")</f>
        <v/>
      </c>
      <c r="Y389" s="102" t="str">
        <f>IF(A389&lt;&gt;"",COUNTIFS('QA Log'!D:D,A389,'QA Log'!M:M,"QQC",'QA Log'!L:L,"10. Antenatal Care (ANC)",'QA Log'!Z:Z,"Approved"),"")</f>
        <v/>
      </c>
      <c r="Z389" s="102" t="str">
        <f>IF(A389&lt;&gt;"",COUNTIFS('QA Log'!D:D,A389,'QA Log'!M:M,"QQC",'QA Log'!L:L,"2. Hygiene and Sterilization",'QA Log'!Z:Z,"Approved"),"")</f>
        <v/>
      </c>
      <c r="AA389" s="105" t="str">
        <f>IF(A389&lt;&gt;"",COUNTIFS('QA Log'!D:D,A389,'QA Log'!M:M,"QQC",'QA Log'!L:L,"4. Family Planning",'QA Log'!Z:Z,"Approved"),"")</f>
        <v/>
      </c>
      <c r="AB389" s="102" t="str">
        <f>IF(A389="","",
SUM(
COUNTIFS('QA Log'!D:D,A389,'QA Log'!M:M,"QQC",'QA Log'!Z:Z,"Rejected",'QA Log'!L:L,"*8. Maternity*"),
COUNTIFS('QA Log'!D:D,A389,'QA Log'!M:M,"QQC",'QA Log'!Z:Z,"Rejected",'QA Log'!L:L,"*9. EPI and Pre-school Consultation*"),
COUNTIFS('QA Log'!D:D,A389,'QA Log'!M:M,"QQC",'QA Log'!Z:Z,"Rejected",'QA Log'!L:L,"*10. Antenatal Care (ANC)*"),
COUNTIFS('QA Log'!D:D,A389,'QA Log'!M:M,"QQC",'QA Log'!Z:Z,"Rejected",'QA Log'!L:L,"*2. Hygiene and Sterilization*"),
COUNTIFS('QA Log'!D:D,A389,'QA Log'!M:M,"QQC",'QA Log'!Z:Z,"Rejected",'QA Log'!L:L,"*4. Family Planning*")
))</f>
        <v/>
      </c>
      <c r="AC389" s="102" t="str">
        <f t="shared" si="29"/>
        <v/>
      </c>
      <c r="AD389" s="103" t="str">
        <f t="shared" si="30"/>
        <v/>
      </c>
      <c r="AE389" s="102" t="str">
        <f>IF(A389="","",
SUM(
COUNTIFS('QA Log'!D:D,A389,'QA Log'!M:M,"Data Verification",'QA Log'!L:L,"*Medicine (section 2)*"),
COUNTIFS('QA Log'!D:D,A389,'QA Log'!M:M,"Data Verification",'QA Log'!L:L,"*Lab Testing Availability*"),
COUNTIFS('QA Log'!D:D,A389,'QA Log'!M:M,"Data Verification",'QA Log'!L:L,"*Other than P4P (section 6)*"),
COUNTIFS('QA Log'!D:D,A389,'QA Log'!M:M,"Data Verification",'QA Log'!L:L,"*Hospital Governance*")
))</f>
        <v/>
      </c>
      <c r="AF389" s="102" t="str">
        <f>IF(A389="","",
SUM(
COUNTIFS('QA Log'!D:D,A389,'QA Log'!M:M,"Data Verification",'QA Log'!Z:Z,"Approved",'QA Log'!L:L,"*Medicine (section 2)*"),
COUNTIFS('QA Log'!D:D,A389,'QA Log'!M:M,"Data Verification",'QA Log'!Z:Z,"Approved",'QA Log'!L:L,"*Lab Testing Availability*"),
COUNTIFS('QA Log'!D:D,A389,'QA Log'!M:M,"Data Verification",'QA Log'!Z:Z,"Approved",'QA Log'!L:L,"*Other than P4P (section 6)*"),
COUNTIFS('QA Log'!D:D,A389,'QA Log'!M:M,"Data Verification",'QA Log'!Z:Z,"Approved",'QA Log'!L:L,"*Hospital Governance*")
))</f>
        <v/>
      </c>
      <c r="AG389" s="105" t="str">
        <f>IF(A389&lt;&gt;"",COUNTIFS('QA Log'!D:D,A389,'QA Log'!M:M,"Data Verification",'QA Log'!L:L,"Medicine (section 2)",'QA Log'!Z:Z,"Approved"),"")</f>
        <v/>
      </c>
      <c r="AH389" s="105" t="str">
        <f>IF(A389&lt;&gt;"",COUNTIFS('QA Log'!D:D,A389,'QA Log'!M:M,"Data Verification",'QA Log'!L:L,"Lab Testing Availability",'QA Log'!Z:Z,"Approved"),"")</f>
        <v/>
      </c>
      <c r="AI389" s="105" t="str">
        <f>IF(A389&lt;&gt;"",COUNTIFS('QA Log'!D:D,A389,'QA Log'!M:M,"Data Verification",'QA Log'!L:L,"Other than P4P (section 6)",'QA Log'!Z:Z,"Approved"),"")</f>
        <v/>
      </c>
      <c r="AJ389" s="105" t="str">
        <f>IF(A389&lt;&gt;"",COUNTIFS('QA Log'!D:D,A389,'QA Log'!M:M,"Data Verification",'QA Log'!L:L,"Hospital Governance",'QA Log'!Z:Z,"Approved"),"")</f>
        <v/>
      </c>
      <c r="AK389" s="102" t="str">
        <f>IF(A389="","",
SUM(
COUNTIFS('QA Log'!D:D,A389,'QA Log'!M:M,"Data Verification",'QA Log'!Z:Z,"Rejected",'QA Log'!L:L,"*Medicine (section 2)*"),
COUNTIFS('QA Log'!D:D,A389,'QA Log'!M:M,"Data Verification",'QA Log'!Z:Z,"Rejected",'QA Log'!L:L,"*Lab Testing Availability*"),
COUNTIFS('QA Log'!D:D,A389,'QA Log'!M:M,"Data Verification",'QA Log'!Z:Z,"Rejected",'QA Log'!L:L,"*Other than P4P (section 6)*"),
COUNTIFS('QA Log'!D:D,A389,'QA Log'!M:M,"Data Verification",'QA Log'!Z:Z,"Rejected",'QA Log'!L:L,"*Hospital Governance*")
))</f>
        <v/>
      </c>
      <c r="AL389" s="106" t="str">
        <f t="shared" si="31"/>
        <v/>
      </c>
      <c r="AM389" s="102" t="str">
        <f t="shared" si="32"/>
        <v/>
      </c>
      <c r="AN389" s="102" t="str">
        <f>IF(A389="","",
SUM(
COUNTIFS('QA Log'!D:D,A389,'QA Log'!M:M,"Data Verification",'QA Log'!L:L,"*Personnel (section 1)*"),
COUNTIFS('QA Log'!D:D,A389,'QA Log'!M:M,"Data Verification",'QA Log'!L:L,"*Consumable (section 3)*"),
COUNTIFS('QA Log'!D:D,A389,'QA Log'!M:M,"Data Verification",'QA Log'!L:L,"*Equipments (section 4)*")
))</f>
        <v/>
      </c>
      <c r="AO389" s="102" t="str">
        <f>IF(A389="","",
SUM(
COUNTIFS('QA Log'!D:D,A389,'QA Log'!M:M,"Data Verification",'QA Log'!Z:Z,"Approved",'QA Log'!L:L,"*Personnel (section 1)*"),
COUNTIFS('QA Log'!D:D,A389,'QA Log'!M:M,"Data Verification",'QA Log'!Z:Z,"Approved",'QA Log'!L:L,"*Consumable (section 3)*"),
COUNTIFS('QA Log'!D:D,A389,'QA Log'!M:M,"Data Verification",'QA Log'!Z:Z,"Approved",'QA Log'!L:L,"*Equipments (section 4)*")
))</f>
        <v/>
      </c>
      <c r="AP389" s="105" t="str">
        <f>IF(A389&lt;&gt;"",COUNTIFS('QA Log'!D:D,A389,'QA Log'!M:M,"Data Verification",'QA Log'!L:L,"Personnel (section 1)",'QA Log'!Z:Z,"Approved"),"")</f>
        <v/>
      </c>
      <c r="AQ389" s="105" t="str">
        <f>IF(A389&lt;&gt;"",COUNTIFS('QA Log'!D:D,A389,'QA Log'!M:M,"Data Verification",'QA Log'!L:L,"Consumable (section 3)",'QA Log'!Z:Z,"Approved"),"")</f>
        <v/>
      </c>
      <c r="AR389" s="105" t="str">
        <f>IF(A389&lt;&gt;"",COUNTIFS('QA Log'!D:D,A389,'QA Log'!M:M,"Data Verification",'QA Log'!L:L,"Equipments (section 4)",'QA Log'!Z:Z,"Approved"),"")</f>
        <v/>
      </c>
      <c r="AS389" s="102" t="str">
        <f>IF(A389="","",
SUM(
COUNTIFS('QA Log'!D:D,A389,'QA Log'!M:M,"Data Verification",'QA Log'!Z:Z,"Rejected",'QA Log'!L:L,"*Personnel (section 1)*"),
COUNTIFS('QA Log'!D:D,A389,'QA Log'!M:M,"Data Verification",'QA Log'!Z:Z,"Rejected",'QA Log'!L:L,"*Consumable (section 3)*"),
COUNTIFS('QA Log'!D:D,A389,'QA Log'!M:M,"Data Verification",'QA Log'!Z:Z,"Rejected",'QA Log'!L:L,"*Equipments (section 4)*")
))</f>
        <v/>
      </c>
      <c r="AT389" s="102" t="str">
        <f t="shared" si="33"/>
        <v/>
      </c>
      <c r="AU389" s="103" t="str">
        <f t="shared" si="34"/>
        <v/>
      </c>
      <c r="AV389" s="102" t="str">
        <f>IF(A389="","",SUM(
COUNTIFS('QA Log'!D:D,A389,'QA Log'!M:M,"Vignette",'QA Log'!L:L,"*Vignette [1] Respiratory Infection: Pneumonia*"),
COUNTIFS('QA Log'!D:D,A389,'QA Log'!M:M,"Vignette",'QA Log'!L:L,"*Vignette [2]: Diarrhea with Cat B dehydration*"),
COUNTIFS('QA Log'!D:D,A389,'QA Log'!M:M,"Vignette",'QA Log'!L:L,"*Vignette [3] Growth Monitoring and Promotion*"),
COUNTIFS('QA Log'!D:D,A389,'QA Log'!M:M,"Vignette",'QA Log'!L:L,"*Vignette [4]: The management of presumptive TB patient*")
)
)</f>
        <v/>
      </c>
      <c r="AW389" s="102" t="str">
        <f>IF(
  A389="","",
  SUM(
    COUNTIFS('QA Log'!D:D,A389,'QA Log'!M:M,"Vignette",'QA Log'!Z:Z,"Approved",'QA Log'!L:L,"*Vignette [1] Respiratory Infection: Pneumonia*"),
    COUNTIFS('QA Log'!D:D,A389,'QA Log'!M:M,"Vignette",'QA Log'!Z:Z,"Approved",'QA Log'!L:L,"*Vignette [2]: Diarrhea with Cat B dehydration*"),
    COUNTIFS('QA Log'!D:D,A389,'QA Log'!M:M,"Vignette",'QA Log'!Z:Z,"Approved",'QA Log'!L:L,"*Vignette [3] Growth Monitoring and Promotion*"),
    COUNTIFS('QA Log'!D:D,A389,'QA Log'!M:M,"Vignette",'QA Log'!Z:Z,"Approved",'QA Log'!L:L,"*Vignette [4]: The management of presumptive TB patient*")
  )
)</f>
        <v/>
      </c>
      <c r="AX389" s="105" t="str">
        <f>IF(A389&lt;&gt;"",COUNTIFS('QA Log'!D:D,A389,'QA Log'!M:M,"Vignette",'QA Log'!L:L,"Vignette [1] Respiratory Infection: Pneumonia",'QA Log'!Z:Z,"Approved"),"")</f>
        <v/>
      </c>
      <c r="AY389" s="105" t="str">
        <f>IF(A389&lt;&gt;"",COUNTIFS('QA Log'!D:D,A389,'QA Log'!M:M,"Vignette",'QA Log'!L:L,"Vignette [2]: Diarrhea with Cat B dehydration",'QA Log'!Z:Z,"Approved"),"")</f>
        <v/>
      </c>
      <c r="AZ389" s="105" t="str">
        <f>IF(A389&lt;&gt;"",COUNTIFS('QA Log'!D:D,A389,'QA Log'!M:M,"Vignette",'QA Log'!L:L,"Vignette [3] Growth Monitoring and Promotion",'QA Log'!Z:Z,"Approved"),"")</f>
        <v/>
      </c>
      <c r="BA389" s="105" t="str">
        <f>IF(A389&lt;&gt;"",COUNTIFS('QA Log'!D:D,A389,'QA Log'!M:M,"Vignette",'QA Log'!L:L,"Vignette [4]: The management of presumptive TB patient",'QA Log'!Z:Z,"Approved"),"")</f>
        <v/>
      </c>
      <c r="BB389" s="102" t="str">
        <f>IF(A389="","",
  SUM(
    COUNTIFS('QA Log'!D:D,A389,'QA Log'!M:M,"Vignette",'QA Log'!Z:Z,"Rejected",'QA Log'!L:L,"*Vignette [1] Respiratory Infection: Pneumonia*"),
    COUNTIFS('QA Log'!D:D,A389,'QA Log'!M:M,"Vignette",'QA Log'!Z:Z,"Rejected",'QA Log'!L:L,"*Vignette [2]: Diarrhea with Cat B dehydration*"),
    COUNTIFS('QA Log'!D:D,A389,'QA Log'!M:M,"Vignette",'QA Log'!Z:Z,"Rejected",'QA Log'!L:L,"*Vignette [3] Growth Monitoring and Promotion*"),
    COUNTIFS('QA Log'!D:D,A389,'QA Log'!M:M,"Vignette",'QA Log'!Z:Z,"Rejected",'QA Log'!L:L,"*Vignette [4]: The management of presumptive TB patient*")
  )
)</f>
        <v/>
      </c>
      <c r="BC389" s="107" t="str">
        <f t="shared" si="35"/>
        <v/>
      </c>
      <c r="BD389" s="103" t="str">
        <f t="shared" si="36"/>
        <v/>
      </c>
      <c r="BE389" s="102" t="str">
        <f>IF(A389="","",SUM(
COUNTIFS('QA Log'!D:D,A389,'QA Log'!M:M,"Vignette",'QA Log'!L:L,"*Vignette [5] Labor*"),
COUNTIFS('QA Log'!D:D,A389,'QA Log'!M:M,"Vignette",'QA Log'!L:L,"*Vignette [6] PNC pre Discharge*"),
COUNTIFS('QA Log'!D:D,A389,'QA Log'!M:M,"Vignette",'QA Log'!L:L,"*Vignette [7] First ANC Visit*"),
COUNTIFS('QA Log'!D:D,A389,'QA Log'!M:M,"Vignette",'QA Log'!L:L,"*Vignette [8] Birth Spacing/ Family Planning :  FP Counselling*"),
COUNTIFS('QA Log'!D:D,A389,'QA Log'!M:M,"Vignette",'QA Log'!L:L,"*Vignette [9] Birth Spacing: Change FP method to Injectable*"),
COUNTIFS('QA Log'!D:D,A389,'QA Log'!M:M,"Vignette",'QA Log'!L:L,"*Vignette [10] Post Partum Haemorrhage - Atonic Uterus at Health Centre*"),
)
)</f>
        <v/>
      </c>
      <c r="BF389" s="102" t="str">
        <f>IF(A389="","",
  SUM(
    COUNTIFS('QA Log'!D:D,A389,'QA Log'!M:M,"Vignette",'QA Log'!Z:Z,"Approved",'QA Log'!L:L,"*Vignette [5] Labor*"),
    COUNTIFS('QA Log'!D:D,A389,'QA Log'!M:M,"Vignette",'QA Log'!Z:Z,"Approved",'QA Log'!L:L,"*Vignette [6] PNC pre Discharge*"),
    COUNTIFS('QA Log'!D:D,A389,'QA Log'!M:M,"Vignette",'QA Log'!Z:Z,"Approved",'QA Log'!L:L,"*Vignette [7] First ANC Visit*"),
    COUNTIFS('QA Log'!D:D,A389,'QA Log'!M:M,"Vignette",'QA Log'!Z:Z,"Approved",'QA Log'!L:L,"*Vignette [8] Birth Spacing/ Family Planning :  FP Counselling*"),
    COUNTIFS('QA Log'!D:D,A389,'QA Log'!M:M,"Vignette",'QA Log'!Z:Z,"Approved",'QA Log'!L:L,"*Vignette [9] Birth Spacing: Change FP method to Injectable*"),
    COUNTIFS('QA Log'!D:D,A389,'QA Log'!M:M,"Vignette",'QA Log'!Z:Z,"Approved",'QA Log'!L:L,"*Vignette [10] Post Partum Haemorrhage - Atonic Uterus at Health Centre*")
  )
)</f>
        <v/>
      </c>
      <c r="BG389" s="105" t="str">
        <f>IF(A389&lt;&gt;"",COUNTIFS('QA Log'!D:D,A389,'QA Log'!M:M,"Vignette",'QA Log'!L:L,"Vignette [5] Labor",'QA Log'!Z:Z,"Approved"),"")</f>
        <v/>
      </c>
      <c r="BH389" s="105" t="str">
        <f>IF(A389&lt;&gt;"",COUNTIFS('QA Log'!D:D,A389,'QA Log'!M:M,"Vignette",'QA Log'!L:L,"Vignette [6] PNC pre Discharge",'QA Log'!Z:Z,"Approved"),"")</f>
        <v/>
      </c>
      <c r="BI389" s="105" t="str">
        <f>IF(A389&lt;&gt;"",COUNTIFS('QA Log'!D:D,A389,'QA Log'!M:M,"Vignette",'QA Log'!L:L,"Vignette [7] First ANC Visit",'QA Log'!Z:Z,"Approved"),"")</f>
        <v/>
      </c>
      <c r="BJ389" s="105" t="str">
        <f>IF(A389&lt;&gt;"",COUNTIFS('QA Log'!D:D,A389,'QA Log'!M:M,"Vignette",'QA Log'!L:L,"Vignette [8] Birth Spacing/ Family Planning :  FP Counselling",'QA Log'!Z:Z,"Approved"),"")</f>
        <v/>
      </c>
      <c r="BK389" s="105" t="str">
        <f>IF(A389&lt;&gt;"",COUNTIFS('QA Log'!D:D,A389,'QA Log'!M:M,"Vignette",'QA Log'!L:L,"Vignette [9] Birth Spacing: Change FP method to Injectable",'QA Log'!Z:Z,"Approved"),"")</f>
        <v/>
      </c>
      <c r="BL389" s="105" t="str">
        <f>IF(A389&lt;&gt;"",COUNTIFS('QA Log'!D:D,A389,'QA Log'!M:M,"Vignette",'QA Log'!L:L,"Vignette [10] Post Partum Haemorrhage - Atonic Uterus at Health Centre",'QA Log'!Z:Z,"Approved"),"")</f>
        <v/>
      </c>
      <c r="BM389" s="102" t="str">
        <f>IF(A389="","",SUM(
    COUNTIFS('QA Log'!D:D,A389,'QA Log'!M:M,"Vignette",'QA Log'!Z:Z,"Rejected",'QA Log'!L:L,"*Vignette [5] Labor*"),
    COUNTIFS('QA Log'!D:D,A389,'QA Log'!M:M,"Vignette",'QA Log'!Z:Z,"Rejected",'QA Log'!L:L,"*Vignette [6] PNC pre Discharge*"),
    COUNTIFS('QA Log'!D:D,A389,'QA Log'!M:M,"Vignette",'QA Log'!Z:Z,"Rejected",'QA Log'!L:L,"*Vignette [7] First ANC Visit*"),
    COUNTIFS('QA Log'!D:D,A389,'QA Log'!M:M,"Vignette",'QA Log'!Z:Z,"Rejected",'QA Log'!L:L,"*Vignette [8] Birth Spacing/ Family Planning :  FP Counselling*"),
    COUNTIFS('QA Log'!D:D,A389,'QA Log'!M:M,"Vignette",'QA Log'!Z:Z,"Rejected",'QA Log'!L:L,"*Vignette [9] Birth Spacing: Change FP method to Injectable*"),
    COUNTIFS('QA Log'!D:D,A389,'QA Log'!M:M,"Vignette",'QA Log'!Z:Z,"Rejected",'QA Log'!L:L,"*Vignette [10] Post Partum Haemorrhage - Atonic Uterus at Health Centre*")
  )
)</f>
        <v/>
      </c>
      <c r="BN389" s="107" t="str">
        <f t="shared" si="37"/>
        <v/>
      </c>
      <c r="BO389" s="103" t="str">
        <f t="shared" si="38"/>
        <v/>
      </c>
      <c r="BP389" s="102" t="str">
        <f>IF(A389="","",SUM(
COUNTIFS('QA Log'!D:D,A389,'QA Log'!M:M,"Vignette",'QA Log'!L:L,"*Exit Interview 1*"),
COUNTIFS('QA Log'!D:D,A389,'QA Log'!M:M,"Vignette",'QA Log'!L:L,"*Exit Interview 2*"),
)
)</f>
        <v/>
      </c>
      <c r="BQ389" s="102" t="str">
        <f>IF(
  A389="","",
  SUM(
    COUNTIFS('QA Log'!D:D,A389,'QA Log'!M:M,"Vignette",'QA Log'!Z:Z,"Approved",'QA Log'!L:L,"*Exit Interview 1*"),
    COUNTIFS('QA Log'!D:D,A389,'QA Log'!M:M,"Vignette",'QA Log'!Z:Z,"Approved",'QA Log'!L:L,"*Exit Interview 2*")
  )
)</f>
        <v/>
      </c>
      <c r="BR389" s="105" t="str">
        <f>IF(A389&lt;&gt;"",COUNTIFS('QA Log'!D:D,A389,'QA Log'!M:M,"Vignette",'QA Log'!L:L,"Exit Interview 1",'QA Log'!Z:Z,"Approved"),"")</f>
        <v/>
      </c>
      <c r="BS389" s="105" t="str">
        <f>IF(A389&lt;&gt;"",COUNTIFS('QA Log'!D:D,A389,'QA Log'!M:M,"Vignette",'QA Log'!L:L,"Exit Interview 2",'QA Log'!Z:Z,"Approved"),"")</f>
        <v/>
      </c>
      <c r="BT389" s="102" t="str">
        <f>IF(
  A389="","",
  SUM(
    COUNTIFS('QA Log'!D:D,A389,'QA Log'!M:M,"Vignette",'QA Log'!Z:Z,"Rejected",'QA Log'!L:L,"*Exit Interview 1*"),
    COUNTIFS('QA Log'!D:D,A389,'QA Log'!M:M,"Vignette",'QA Log'!Z:Z,"Rejected",'QA Log'!L:L,"*Exit Interview 2*")
  )
)</f>
        <v/>
      </c>
      <c r="BU389" s="107" t="str">
        <f t="shared" si="39"/>
        <v/>
      </c>
      <c r="BV389" s="102" t="str">
        <f t="shared" si="40"/>
        <v/>
      </c>
      <c r="BW389" s="102" t="str">
        <f t="shared" si="41"/>
        <v/>
      </c>
      <c r="BX389" s="102" t="str">
        <f t="shared" si="42"/>
        <v/>
      </c>
      <c r="BY389" s="102" t="str">
        <f t="shared" si="43"/>
        <v/>
      </c>
      <c r="BZ389" s="107" t="str">
        <f t="shared" si="44"/>
        <v/>
      </c>
      <c r="CA389" s="108" t="str">
        <f t="shared" si="45"/>
        <v/>
      </c>
      <c r="CB389" s="108" t="str">
        <f t="shared" si="46"/>
        <v/>
      </c>
      <c r="CC389" s="109" t="str">
        <f t="shared" si="47"/>
        <v/>
      </c>
      <c r="CD389" s="108" t="str">
        <f t="shared" si="48"/>
        <v/>
      </c>
      <c r="CE389" s="108" t="str">
        <f t="shared" si="49"/>
        <v/>
      </c>
      <c r="CF389" s="109" t="str">
        <f t="shared" si="50"/>
        <v/>
      </c>
      <c r="CG389" s="110" t="str">
        <f t="shared" si="51"/>
        <v/>
      </c>
      <c r="CH389" s="111"/>
    </row>
    <row r="390" spans="1:86" ht="12.75">
      <c r="A390" s="101"/>
      <c r="B390" s="102" t="e">
        <f t="array" aca="1" ref="B390" ca="1">_xludf.XLOOKUP(A390,'QA Log'!D:D,'QA Log'!E:E,"")</f>
        <v>#NAME?</v>
      </c>
      <c r="C390" s="102" t="e">
        <f t="array" aca="1" ref="C390" ca="1">_xludf.XLOOKUP(A390,'QA Log'!D:D,'QA Log'!F:F,"")</f>
        <v>#NAME?</v>
      </c>
      <c r="D390" s="102" t="e">
        <f t="array" aca="1" ref="D390" ca="1">_xludf.XLOOKUP(A390,'QA Log'!D:D,'QA Log'!H:H,"")</f>
        <v>#NAME?</v>
      </c>
      <c r="E390" s="102" t="e">
        <f t="array" aca="1" ref="E390" ca="1">_xludf.XLOOKUP(A390,'QA Log'!D:D,'QA Log'!G:G,"")</f>
        <v>#NAME?</v>
      </c>
      <c r="F390" s="103"/>
      <c r="G390" s="104"/>
      <c r="H390" s="104"/>
      <c r="I390" s="103" t="str">
        <f t="shared" si="26"/>
        <v/>
      </c>
      <c r="J390" s="102" t="str">
        <f>IF(A390="","",SUM(
COUNTIFS('QA Log'!D:D,A390,'QA Log'!M:M,"QQC",'QA Log'!L:L,"*1. General Management*"),
COUNTIFS('QA Log'!D:D,A390,'QA Log'!M:M,"QQC",'QA Log'!L:L,"*3. Curative Consultation (OPD)*"),
COUNTIFS('QA Log'!D:D,A390,'QA Log'!M:M,"QQC",'QA Log'!L:L,"*5. Laboratory*"),
COUNTIFS('QA Log'!D:D,A390,'QA Log'!M:M,"QQC",'QA Log'!L:L,"*6. Essential Medicine Management*"),
COUNTIFS('QA Log'!D:D,A390,'QA Log'!M:M,"QQC",'QA Log'!L:L,"*7. Tracer Medicine*"),
COUNTIFS('QA Log'!D:D,A390,'QA Log'!M:M,"QQC",'QA Log'!L:L,"*11. Additional Questions*")))</f>
        <v/>
      </c>
      <c r="K390" s="102" t="str">
        <f>IF(A390="","",SUM(
COUNTIFS('QA Log'!D:D,A390,'QA Log'!M:M,"QQC",'QA Log'!Z:Z,"Approved",'QA Log'!L:L,"*1. General Management*"),
COUNTIFS('QA Log'!D:D,A390,'QA Log'!M:M,"QQC",'QA Log'!Z:Z,"Approved",'QA Log'!L:L,"*3. Curative Consultation (OPD)*"),
COUNTIFS('QA Log'!D:D,A390,'QA Log'!M:M,"QQC",'QA Log'!Z:Z,"Approved",'QA Log'!L:L,"*5. Laboratory*"),
COUNTIFS('QA Log'!D:D,A390,'QA Log'!M:M,"QQC",'QA Log'!Z:Z,"Approved",'QA Log'!L:L,"*6. Essential Medicine Management*"),
COUNTIFS('QA Log'!D:D,A390,'QA Log'!M:M,"QQC",'QA Log'!Z:Z,"Approved",'QA Log'!L:L,"*7. Tracer Medicine*"),
COUNTIFS('QA Log'!D:D,A390,'QA Log'!M:M,"QQC",'QA Log'!Z:Z,"Approved",'QA Log'!L:L,"*11. Additional Questions*")))</f>
        <v/>
      </c>
      <c r="L390" s="102" t="str">
        <f>IF(A390&lt;&gt;"",COUNTIFS('QA Log'!D:D,A390,'QA Log'!M:M,"QQC",'QA Log'!L:L,"1. General Management",'QA Log'!Z:Z,"Approved"),"")</f>
        <v/>
      </c>
      <c r="M390" s="102" t="str">
        <f>IF(A390&lt;&gt;"",COUNTIFS('QA Log'!D:D,A390,'QA Log'!M:M,"QQC",'QA Log'!L:L,"3. Curative Consultation (OPD)",'QA Log'!Z:Z,"Approved"),"")</f>
        <v/>
      </c>
      <c r="N390" s="102" t="str">
        <f>IF(A390&lt;&gt;"",COUNTIFS('QA Log'!D:D,A390,'QA Log'!M:M,"QQC",'QA Log'!L:L,"5. Laboratory",'QA Log'!Z:Z,"Approved"),"")</f>
        <v/>
      </c>
      <c r="O390" s="102" t="str">
        <f>IF(A390&lt;&gt;"",COUNTIFS('QA Log'!D:D,A390,'QA Log'!M:M,"QQC",'QA Log'!L:L,"6. Essential Medicine Management",'QA Log'!Z:Z,"Approved"),"")</f>
        <v/>
      </c>
      <c r="P390" s="102" t="str">
        <f>IF(A390&lt;&gt;"",COUNTIFS('QA Log'!D:D,A390,'QA Log'!M:M,"QQC",'QA Log'!L:L,"7. Tracer Medicine",'QA Log'!Z:Z,"Approved"),"")</f>
        <v/>
      </c>
      <c r="Q390" s="102" t="str">
        <f>IF(A390&lt;&gt;"",COUNTIFS('QA Log'!D:D,A390,'QA Log'!M:M,"QQC",'QA Log'!L:L,"11. Additional Questions",'QA Log'!Z:Z,"Approved"),"")</f>
        <v/>
      </c>
      <c r="R390" s="102" t="str">
        <f>IF(A390="","",SUM(
COUNTIFS('QA Log'!D:D,A390,'QA Log'!M:M,"QQC",'QA Log'!Z:Z,"Rejected",'QA Log'!L:L,"*8. Maternity*"),
COUNTIFS('QA Log'!D:D,A390,'QA Log'!M:M,"QQC",'QA Log'!Z:Z,"Rejected",'QA Log'!L:L,"*EPI*"),
COUNTIFS('QA Log'!D:D,A390,'QA Log'!M:M,"QQC",'QA Log'!Z:Z,"Rejected",'QA Log'!L:L,"*10. Antenatal Care (ANC)*"),
COUNTIFS('QA Log'!D:D,A390,'QA Log'!M:M,"QQC",'QA Log'!Z:Z,"Rejected",'QA Log'!L:L,"*2. Hygiene and Sterilization*"),
COUNTIFS('QA Log'!D:D,A390,'QA Log'!M:M,"QQC",'QA Log'!Z:Z,"Rejected",'QA Log'!L:L,"*Family Planning*")))</f>
        <v/>
      </c>
      <c r="S390" s="106" t="str">
        <f t="shared" si="27"/>
        <v/>
      </c>
      <c r="T390" s="102" t="str">
        <f t="shared" si="28"/>
        <v/>
      </c>
      <c r="U390" s="102" t="str">
        <f>IF(A390="","",
SUM(
COUNTIFS('QA Log'!D:D,A390,'QA Log'!M:M,"QQC",'QA Log'!L:L,"*8. Maternity*"),
COUNTIFS('QA Log'!D:D,A390,'QA Log'!M:M,"QQC",'QA Log'!L:L,"*9. EPI and Pre-school Consultation*"),
COUNTIFS('QA Log'!D:D,A390,'QA Log'!M:M,"QQC",'QA Log'!L:L,"*10. Antenatal Care (ANC)*"),
COUNTIFS('QA Log'!D:D,A390,'QA Log'!M:M,"QQC",'QA Log'!L:L,"*2. Hygiene and Sterilization*"),
COUNTIFS('QA Log'!D:D,A390,'QA Log'!M:M,"QQC",'QA Log'!L:L,"*4. Family Planning*")
))</f>
        <v/>
      </c>
      <c r="V390" s="102" t="str">
        <f>IF(A390="","",
SUM(
COUNTIFS('QA Log'!D:D,A390,'QA Log'!M:M,"QQC",'QA Log'!Z:Z,"Approved",'QA Log'!L:L,"*8. Maternity*"),
COUNTIFS('QA Log'!D:D,A390,'QA Log'!M:M,"QQC",'QA Log'!Z:Z,"Approved",'QA Log'!L:L,"*9. EPI and Pre-school Consultation*"),
COUNTIFS('QA Log'!D:D,A390,'QA Log'!M:M,"QQC",'QA Log'!Z:Z,"Approved",'QA Log'!L:L,"*10. Antenatal Care (ANC)*"),
COUNTIFS('QA Log'!D:D,A390,'QA Log'!M:M,"QQC",'QA Log'!Z:Z,"Approved",'QA Log'!L:L,"*2. Hygiene and Sterilization*"),
COUNTIFS('QA Log'!D:D,A390,'QA Log'!M:M,"QQC",'QA Log'!Z:Z,"Approved",'QA Log'!L:L,"*4. Family Planning*")
))</f>
        <v/>
      </c>
      <c r="W390" s="102" t="str">
        <f>IF(A390&lt;&gt;"",COUNTIFS('QA Log'!D:D,A390,'QA Log'!M:M,"QQC",'QA Log'!L:L,"8. Maternity",'QA Log'!Z:Z,"Approved"),"")</f>
        <v/>
      </c>
      <c r="X390" s="105" t="str">
        <f>IF(A390&lt;&gt;"",COUNTIFS('QA Log'!D:D,A390,'QA Log'!M:M,"QQC",'QA Log'!L:L,"9. EPI and Pre-school Consultation",'QA Log'!Z:Z,"Approved"),"")</f>
        <v/>
      </c>
      <c r="Y390" s="102" t="str">
        <f>IF(A390&lt;&gt;"",COUNTIFS('QA Log'!D:D,A390,'QA Log'!M:M,"QQC",'QA Log'!L:L,"10. Antenatal Care (ANC)",'QA Log'!Z:Z,"Approved"),"")</f>
        <v/>
      </c>
      <c r="Z390" s="102" t="str">
        <f>IF(A390&lt;&gt;"",COUNTIFS('QA Log'!D:D,A390,'QA Log'!M:M,"QQC",'QA Log'!L:L,"2. Hygiene and Sterilization",'QA Log'!Z:Z,"Approved"),"")</f>
        <v/>
      </c>
      <c r="AA390" s="105" t="str">
        <f>IF(A390&lt;&gt;"",COUNTIFS('QA Log'!D:D,A390,'QA Log'!M:M,"QQC",'QA Log'!L:L,"4. Family Planning",'QA Log'!Z:Z,"Approved"),"")</f>
        <v/>
      </c>
      <c r="AB390" s="102" t="str">
        <f>IF(A390="","",
SUM(
COUNTIFS('QA Log'!D:D,A390,'QA Log'!M:M,"QQC",'QA Log'!Z:Z,"Rejected",'QA Log'!L:L,"*8. Maternity*"),
COUNTIFS('QA Log'!D:D,A390,'QA Log'!M:M,"QQC",'QA Log'!Z:Z,"Rejected",'QA Log'!L:L,"*9. EPI and Pre-school Consultation*"),
COUNTIFS('QA Log'!D:D,A390,'QA Log'!M:M,"QQC",'QA Log'!Z:Z,"Rejected",'QA Log'!L:L,"*10. Antenatal Care (ANC)*"),
COUNTIFS('QA Log'!D:D,A390,'QA Log'!M:M,"QQC",'QA Log'!Z:Z,"Rejected",'QA Log'!L:L,"*2. Hygiene and Sterilization*"),
COUNTIFS('QA Log'!D:D,A390,'QA Log'!M:M,"QQC",'QA Log'!Z:Z,"Rejected",'QA Log'!L:L,"*4. Family Planning*")
))</f>
        <v/>
      </c>
      <c r="AC390" s="102" t="str">
        <f t="shared" si="29"/>
        <v/>
      </c>
      <c r="AD390" s="103" t="str">
        <f t="shared" si="30"/>
        <v/>
      </c>
      <c r="AE390" s="102" t="str">
        <f>IF(A390="","",
SUM(
COUNTIFS('QA Log'!D:D,A390,'QA Log'!M:M,"Data Verification",'QA Log'!L:L,"*Medicine (section 2)*"),
COUNTIFS('QA Log'!D:D,A390,'QA Log'!M:M,"Data Verification",'QA Log'!L:L,"*Lab Testing Availability*"),
COUNTIFS('QA Log'!D:D,A390,'QA Log'!M:M,"Data Verification",'QA Log'!L:L,"*Other than P4P (section 6)*"),
COUNTIFS('QA Log'!D:D,A390,'QA Log'!M:M,"Data Verification",'QA Log'!L:L,"*Hospital Governance*")
))</f>
        <v/>
      </c>
      <c r="AF390" s="102" t="str">
        <f>IF(A390="","",
SUM(
COUNTIFS('QA Log'!D:D,A390,'QA Log'!M:M,"Data Verification",'QA Log'!Z:Z,"Approved",'QA Log'!L:L,"*Medicine (section 2)*"),
COUNTIFS('QA Log'!D:D,A390,'QA Log'!M:M,"Data Verification",'QA Log'!Z:Z,"Approved",'QA Log'!L:L,"*Lab Testing Availability*"),
COUNTIFS('QA Log'!D:D,A390,'QA Log'!M:M,"Data Verification",'QA Log'!Z:Z,"Approved",'QA Log'!L:L,"*Other than P4P (section 6)*"),
COUNTIFS('QA Log'!D:D,A390,'QA Log'!M:M,"Data Verification",'QA Log'!Z:Z,"Approved",'QA Log'!L:L,"*Hospital Governance*")
))</f>
        <v/>
      </c>
      <c r="AG390" s="105" t="str">
        <f>IF(A390&lt;&gt;"",COUNTIFS('QA Log'!D:D,A390,'QA Log'!M:M,"Data Verification",'QA Log'!L:L,"Medicine (section 2)",'QA Log'!Z:Z,"Approved"),"")</f>
        <v/>
      </c>
      <c r="AH390" s="105" t="str">
        <f>IF(A390&lt;&gt;"",COUNTIFS('QA Log'!D:D,A390,'QA Log'!M:M,"Data Verification",'QA Log'!L:L,"Lab Testing Availability",'QA Log'!Z:Z,"Approved"),"")</f>
        <v/>
      </c>
      <c r="AI390" s="105" t="str">
        <f>IF(A390&lt;&gt;"",COUNTIFS('QA Log'!D:D,A390,'QA Log'!M:M,"Data Verification",'QA Log'!L:L,"Other than P4P (section 6)",'QA Log'!Z:Z,"Approved"),"")</f>
        <v/>
      </c>
      <c r="AJ390" s="105" t="str">
        <f>IF(A390&lt;&gt;"",COUNTIFS('QA Log'!D:D,A390,'QA Log'!M:M,"Data Verification",'QA Log'!L:L,"Hospital Governance",'QA Log'!Z:Z,"Approved"),"")</f>
        <v/>
      </c>
      <c r="AK390" s="102" t="str">
        <f>IF(A390="","",
SUM(
COUNTIFS('QA Log'!D:D,A390,'QA Log'!M:M,"Data Verification",'QA Log'!Z:Z,"Rejected",'QA Log'!L:L,"*Medicine (section 2)*"),
COUNTIFS('QA Log'!D:D,A390,'QA Log'!M:M,"Data Verification",'QA Log'!Z:Z,"Rejected",'QA Log'!L:L,"*Lab Testing Availability*"),
COUNTIFS('QA Log'!D:D,A390,'QA Log'!M:M,"Data Verification",'QA Log'!Z:Z,"Rejected",'QA Log'!L:L,"*Other than P4P (section 6)*"),
COUNTIFS('QA Log'!D:D,A390,'QA Log'!M:M,"Data Verification",'QA Log'!Z:Z,"Rejected",'QA Log'!L:L,"*Hospital Governance*")
))</f>
        <v/>
      </c>
      <c r="AL390" s="106" t="str">
        <f t="shared" si="31"/>
        <v/>
      </c>
      <c r="AM390" s="102" t="str">
        <f t="shared" si="32"/>
        <v/>
      </c>
      <c r="AN390" s="102" t="str">
        <f>IF(A390="","",
SUM(
COUNTIFS('QA Log'!D:D,A390,'QA Log'!M:M,"Data Verification",'QA Log'!L:L,"*Personnel (section 1)*"),
COUNTIFS('QA Log'!D:D,A390,'QA Log'!M:M,"Data Verification",'QA Log'!L:L,"*Consumable (section 3)*"),
COUNTIFS('QA Log'!D:D,A390,'QA Log'!M:M,"Data Verification",'QA Log'!L:L,"*Equipments (section 4)*")
))</f>
        <v/>
      </c>
      <c r="AO390" s="102" t="str">
        <f>IF(A390="","",
SUM(
COUNTIFS('QA Log'!D:D,A390,'QA Log'!M:M,"Data Verification",'QA Log'!Z:Z,"Approved",'QA Log'!L:L,"*Personnel (section 1)*"),
COUNTIFS('QA Log'!D:D,A390,'QA Log'!M:M,"Data Verification",'QA Log'!Z:Z,"Approved",'QA Log'!L:L,"*Consumable (section 3)*"),
COUNTIFS('QA Log'!D:D,A390,'QA Log'!M:M,"Data Verification",'QA Log'!Z:Z,"Approved",'QA Log'!L:L,"*Equipments (section 4)*")
))</f>
        <v/>
      </c>
      <c r="AP390" s="105" t="str">
        <f>IF(A390&lt;&gt;"",COUNTIFS('QA Log'!D:D,A390,'QA Log'!M:M,"Data Verification",'QA Log'!L:L,"Personnel (section 1)",'QA Log'!Z:Z,"Approved"),"")</f>
        <v/>
      </c>
      <c r="AQ390" s="105" t="str">
        <f>IF(A390&lt;&gt;"",COUNTIFS('QA Log'!D:D,A390,'QA Log'!M:M,"Data Verification",'QA Log'!L:L,"Consumable (section 3)",'QA Log'!Z:Z,"Approved"),"")</f>
        <v/>
      </c>
      <c r="AR390" s="105" t="str">
        <f>IF(A390&lt;&gt;"",COUNTIFS('QA Log'!D:D,A390,'QA Log'!M:M,"Data Verification",'QA Log'!L:L,"Equipments (section 4)",'QA Log'!Z:Z,"Approved"),"")</f>
        <v/>
      </c>
      <c r="AS390" s="102" t="str">
        <f>IF(A390="","",
SUM(
COUNTIFS('QA Log'!D:D,A390,'QA Log'!M:M,"Data Verification",'QA Log'!Z:Z,"Rejected",'QA Log'!L:L,"*Personnel (section 1)*"),
COUNTIFS('QA Log'!D:D,A390,'QA Log'!M:M,"Data Verification",'QA Log'!Z:Z,"Rejected",'QA Log'!L:L,"*Consumable (section 3)*"),
COUNTIFS('QA Log'!D:D,A390,'QA Log'!M:M,"Data Verification",'QA Log'!Z:Z,"Rejected",'QA Log'!L:L,"*Equipments (section 4)*")
))</f>
        <v/>
      </c>
      <c r="AT390" s="102" t="str">
        <f t="shared" si="33"/>
        <v/>
      </c>
      <c r="AU390" s="103" t="str">
        <f t="shared" si="34"/>
        <v/>
      </c>
      <c r="AV390" s="102" t="str">
        <f>IF(A390="","",SUM(
COUNTIFS('QA Log'!D:D,A390,'QA Log'!M:M,"Vignette",'QA Log'!L:L,"*Vignette [1] Respiratory Infection: Pneumonia*"),
COUNTIFS('QA Log'!D:D,A390,'QA Log'!M:M,"Vignette",'QA Log'!L:L,"*Vignette [2]: Diarrhea with Cat B dehydration*"),
COUNTIFS('QA Log'!D:D,A390,'QA Log'!M:M,"Vignette",'QA Log'!L:L,"*Vignette [3] Growth Monitoring and Promotion*"),
COUNTIFS('QA Log'!D:D,A390,'QA Log'!M:M,"Vignette",'QA Log'!L:L,"*Vignette [4]: The management of presumptive TB patient*")
)
)</f>
        <v/>
      </c>
      <c r="AW390" s="102" t="str">
        <f>IF(
  A390="","",
  SUM(
    COUNTIFS('QA Log'!D:D,A390,'QA Log'!M:M,"Vignette",'QA Log'!Z:Z,"Approved",'QA Log'!L:L,"*Vignette [1] Respiratory Infection: Pneumonia*"),
    COUNTIFS('QA Log'!D:D,A390,'QA Log'!M:M,"Vignette",'QA Log'!Z:Z,"Approved",'QA Log'!L:L,"*Vignette [2]: Diarrhea with Cat B dehydration*"),
    COUNTIFS('QA Log'!D:D,A390,'QA Log'!M:M,"Vignette",'QA Log'!Z:Z,"Approved",'QA Log'!L:L,"*Vignette [3] Growth Monitoring and Promotion*"),
    COUNTIFS('QA Log'!D:D,A390,'QA Log'!M:M,"Vignette",'QA Log'!Z:Z,"Approved",'QA Log'!L:L,"*Vignette [4]: The management of presumptive TB patient*")
  )
)</f>
        <v/>
      </c>
      <c r="AX390" s="105" t="str">
        <f>IF(A390&lt;&gt;"",COUNTIFS('QA Log'!D:D,A390,'QA Log'!M:M,"Vignette",'QA Log'!L:L,"Vignette [1] Respiratory Infection: Pneumonia",'QA Log'!Z:Z,"Approved"),"")</f>
        <v/>
      </c>
      <c r="AY390" s="105" t="str">
        <f>IF(A390&lt;&gt;"",COUNTIFS('QA Log'!D:D,A390,'QA Log'!M:M,"Vignette",'QA Log'!L:L,"Vignette [2]: Diarrhea with Cat B dehydration",'QA Log'!Z:Z,"Approved"),"")</f>
        <v/>
      </c>
      <c r="AZ390" s="105" t="str">
        <f>IF(A390&lt;&gt;"",COUNTIFS('QA Log'!D:D,A390,'QA Log'!M:M,"Vignette",'QA Log'!L:L,"Vignette [3] Growth Monitoring and Promotion",'QA Log'!Z:Z,"Approved"),"")</f>
        <v/>
      </c>
      <c r="BA390" s="105" t="str">
        <f>IF(A390&lt;&gt;"",COUNTIFS('QA Log'!D:D,A390,'QA Log'!M:M,"Vignette",'QA Log'!L:L,"Vignette [4]: The management of presumptive TB patient",'QA Log'!Z:Z,"Approved"),"")</f>
        <v/>
      </c>
      <c r="BB390" s="102" t="str">
        <f>IF(A390="","",
  SUM(
    COUNTIFS('QA Log'!D:D,A390,'QA Log'!M:M,"Vignette",'QA Log'!Z:Z,"Rejected",'QA Log'!L:L,"*Vignette [1] Respiratory Infection: Pneumonia*"),
    COUNTIFS('QA Log'!D:D,A390,'QA Log'!M:M,"Vignette",'QA Log'!Z:Z,"Rejected",'QA Log'!L:L,"*Vignette [2]: Diarrhea with Cat B dehydration*"),
    COUNTIFS('QA Log'!D:D,A390,'QA Log'!M:M,"Vignette",'QA Log'!Z:Z,"Rejected",'QA Log'!L:L,"*Vignette [3] Growth Monitoring and Promotion*"),
    COUNTIFS('QA Log'!D:D,A390,'QA Log'!M:M,"Vignette",'QA Log'!Z:Z,"Rejected",'QA Log'!L:L,"*Vignette [4]: The management of presumptive TB patient*")
  )
)</f>
        <v/>
      </c>
      <c r="BC390" s="107" t="str">
        <f t="shared" si="35"/>
        <v/>
      </c>
      <c r="BD390" s="103" t="str">
        <f t="shared" si="36"/>
        <v/>
      </c>
      <c r="BE390" s="102" t="str">
        <f>IF(A390="","",SUM(
COUNTIFS('QA Log'!D:D,A390,'QA Log'!M:M,"Vignette",'QA Log'!L:L,"*Vignette [5] Labor*"),
COUNTIFS('QA Log'!D:D,A390,'QA Log'!M:M,"Vignette",'QA Log'!L:L,"*Vignette [6] PNC pre Discharge*"),
COUNTIFS('QA Log'!D:D,A390,'QA Log'!M:M,"Vignette",'QA Log'!L:L,"*Vignette [7] First ANC Visit*"),
COUNTIFS('QA Log'!D:D,A390,'QA Log'!M:M,"Vignette",'QA Log'!L:L,"*Vignette [8] Birth Spacing/ Family Planning :  FP Counselling*"),
COUNTIFS('QA Log'!D:D,A390,'QA Log'!M:M,"Vignette",'QA Log'!L:L,"*Vignette [9] Birth Spacing: Change FP method to Injectable*"),
COUNTIFS('QA Log'!D:D,A390,'QA Log'!M:M,"Vignette",'QA Log'!L:L,"*Vignette [10] Post Partum Haemorrhage - Atonic Uterus at Health Centre*"),
)
)</f>
        <v/>
      </c>
      <c r="BF390" s="102" t="str">
        <f>IF(A390="","",
  SUM(
    COUNTIFS('QA Log'!D:D,A390,'QA Log'!M:M,"Vignette",'QA Log'!Z:Z,"Approved",'QA Log'!L:L,"*Vignette [5] Labor*"),
    COUNTIFS('QA Log'!D:D,A390,'QA Log'!M:M,"Vignette",'QA Log'!Z:Z,"Approved",'QA Log'!L:L,"*Vignette [6] PNC pre Discharge*"),
    COUNTIFS('QA Log'!D:D,A390,'QA Log'!M:M,"Vignette",'QA Log'!Z:Z,"Approved",'QA Log'!L:L,"*Vignette [7] First ANC Visit*"),
    COUNTIFS('QA Log'!D:D,A390,'QA Log'!M:M,"Vignette",'QA Log'!Z:Z,"Approved",'QA Log'!L:L,"*Vignette [8] Birth Spacing/ Family Planning :  FP Counselling*"),
    COUNTIFS('QA Log'!D:D,A390,'QA Log'!M:M,"Vignette",'QA Log'!Z:Z,"Approved",'QA Log'!L:L,"*Vignette [9] Birth Spacing: Change FP method to Injectable*"),
    COUNTIFS('QA Log'!D:D,A390,'QA Log'!M:M,"Vignette",'QA Log'!Z:Z,"Approved",'QA Log'!L:L,"*Vignette [10] Post Partum Haemorrhage - Atonic Uterus at Health Centre*")
  )
)</f>
        <v/>
      </c>
      <c r="BG390" s="105" t="str">
        <f>IF(A390&lt;&gt;"",COUNTIFS('QA Log'!D:D,A390,'QA Log'!M:M,"Vignette",'QA Log'!L:L,"Vignette [5] Labor",'QA Log'!Z:Z,"Approved"),"")</f>
        <v/>
      </c>
      <c r="BH390" s="105" t="str">
        <f>IF(A390&lt;&gt;"",COUNTIFS('QA Log'!D:D,A390,'QA Log'!M:M,"Vignette",'QA Log'!L:L,"Vignette [6] PNC pre Discharge",'QA Log'!Z:Z,"Approved"),"")</f>
        <v/>
      </c>
      <c r="BI390" s="105" t="str">
        <f>IF(A390&lt;&gt;"",COUNTIFS('QA Log'!D:D,A390,'QA Log'!M:M,"Vignette",'QA Log'!L:L,"Vignette [7] First ANC Visit",'QA Log'!Z:Z,"Approved"),"")</f>
        <v/>
      </c>
      <c r="BJ390" s="105" t="str">
        <f>IF(A390&lt;&gt;"",COUNTIFS('QA Log'!D:D,A390,'QA Log'!M:M,"Vignette",'QA Log'!L:L,"Vignette [8] Birth Spacing/ Family Planning :  FP Counselling",'QA Log'!Z:Z,"Approved"),"")</f>
        <v/>
      </c>
      <c r="BK390" s="105" t="str">
        <f>IF(A390&lt;&gt;"",COUNTIFS('QA Log'!D:D,A390,'QA Log'!M:M,"Vignette",'QA Log'!L:L,"Vignette [9] Birth Spacing: Change FP method to Injectable",'QA Log'!Z:Z,"Approved"),"")</f>
        <v/>
      </c>
      <c r="BL390" s="105" t="str">
        <f>IF(A390&lt;&gt;"",COUNTIFS('QA Log'!D:D,A390,'QA Log'!M:M,"Vignette",'QA Log'!L:L,"Vignette [10] Post Partum Haemorrhage - Atonic Uterus at Health Centre",'QA Log'!Z:Z,"Approved"),"")</f>
        <v/>
      </c>
      <c r="BM390" s="102" t="str">
        <f>IF(A390="","",SUM(
    COUNTIFS('QA Log'!D:D,A390,'QA Log'!M:M,"Vignette",'QA Log'!Z:Z,"Rejected",'QA Log'!L:L,"*Vignette [5] Labor*"),
    COUNTIFS('QA Log'!D:D,A390,'QA Log'!M:M,"Vignette",'QA Log'!Z:Z,"Rejected",'QA Log'!L:L,"*Vignette [6] PNC pre Discharge*"),
    COUNTIFS('QA Log'!D:D,A390,'QA Log'!M:M,"Vignette",'QA Log'!Z:Z,"Rejected",'QA Log'!L:L,"*Vignette [7] First ANC Visit*"),
    COUNTIFS('QA Log'!D:D,A390,'QA Log'!M:M,"Vignette",'QA Log'!Z:Z,"Rejected",'QA Log'!L:L,"*Vignette [8] Birth Spacing/ Family Planning :  FP Counselling*"),
    COUNTIFS('QA Log'!D:D,A390,'QA Log'!M:M,"Vignette",'QA Log'!Z:Z,"Rejected",'QA Log'!L:L,"*Vignette [9] Birth Spacing: Change FP method to Injectable*"),
    COUNTIFS('QA Log'!D:D,A390,'QA Log'!M:M,"Vignette",'QA Log'!Z:Z,"Rejected",'QA Log'!L:L,"*Vignette [10] Post Partum Haemorrhage - Atonic Uterus at Health Centre*")
  )
)</f>
        <v/>
      </c>
      <c r="BN390" s="107" t="str">
        <f t="shared" si="37"/>
        <v/>
      </c>
      <c r="BO390" s="103" t="str">
        <f t="shared" si="38"/>
        <v/>
      </c>
      <c r="BP390" s="102" t="str">
        <f>IF(A390="","",SUM(
COUNTIFS('QA Log'!D:D,A390,'QA Log'!M:M,"Vignette",'QA Log'!L:L,"*Exit Interview 1*"),
COUNTIFS('QA Log'!D:D,A390,'QA Log'!M:M,"Vignette",'QA Log'!L:L,"*Exit Interview 2*"),
)
)</f>
        <v/>
      </c>
      <c r="BQ390" s="102" t="str">
        <f>IF(
  A390="","",
  SUM(
    COUNTIFS('QA Log'!D:D,A390,'QA Log'!M:M,"Vignette",'QA Log'!Z:Z,"Approved",'QA Log'!L:L,"*Exit Interview 1*"),
    COUNTIFS('QA Log'!D:D,A390,'QA Log'!M:M,"Vignette",'QA Log'!Z:Z,"Approved",'QA Log'!L:L,"*Exit Interview 2*")
  )
)</f>
        <v/>
      </c>
      <c r="BR390" s="105" t="str">
        <f>IF(A390&lt;&gt;"",COUNTIFS('QA Log'!D:D,A390,'QA Log'!M:M,"Vignette",'QA Log'!L:L,"Exit Interview 1",'QA Log'!Z:Z,"Approved"),"")</f>
        <v/>
      </c>
      <c r="BS390" s="105" t="str">
        <f>IF(A390&lt;&gt;"",COUNTIFS('QA Log'!D:D,A390,'QA Log'!M:M,"Vignette",'QA Log'!L:L,"Exit Interview 2",'QA Log'!Z:Z,"Approved"),"")</f>
        <v/>
      </c>
      <c r="BT390" s="102" t="str">
        <f>IF(
  A390="","",
  SUM(
    COUNTIFS('QA Log'!D:D,A390,'QA Log'!M:M,"Vignette",'QA Log'!Z:Z,"Rejected",'QA Log'!L:L,"*Exit Interview 1*"),
    COUNTIFS('QA Log'!D:D,A390,'QA Log'!M:M,"Vignette",'QA Log'!Z:Z,"Rejected",'QA Log'!L:L,"*Exit Interview 2*")
  )
)</f>
        <v/>
      </c>
      <c r="BU390" s="107" t="str">
        <f t="shared" si="39"/>
        <v/>
      </c>
      <c r="BV390" s="102" t="str">
        <f t="shared" si="40"/>
        <v/>
      </c>
      <c r="BW390" s="102" t="str">
        <f t="shared" si="41"/>
        <v/>
      </c>
      <c r="BX390" s="102" t="str">
        <f t="shared" si="42"/>
        <v/>
      </c>
      <c r="BY390" s="102" t="str">
        <f t="shared" si="43"/>
        <v/>
      </c>
      <c r="BZ390" s="107" t="str">
        <f t="shared" si="44"/>
        <v/>
      </c>
      <c r="CA390" s="108" t="str">
        <f t="shared" si="45"/>
        <v/>
      </c>
      <c r="CB390" s="108" t="str">
        <f t="shared" si="46"/>
        <v/>
      </c>
      <c r="CC390" s="109" t="str">
        <f t="shared" si="47"/>
        <v/>
      </c>
      <c r="CD390" s="108" t="str">
        <f t="shared" si="48"/>
        <v/>
      </c>
      <c r="CE390" s="108" t="str">
        <f t="shared" si="49"/>
        <v/>
      </c>
      <c r="CF390" s="109" t="str">
        <f t="shared" si="50"/>
        <v/>
      </c>
      <c r="CG390" s="110" t="str">
        <f t="shared" si="51"/>
        <v/>
      </c>
      <c r="CH390" s="111"/>
    </row>
    <row r="391" spans="1:86" ht="12.75">
      <c r="A391" s="101"/>
      <c r="B391" s="102" t="e">
        <f t="array" aca="1" ref="B391" ca="1">_xludf.XLOOKUP(A391,'QA Log'!D:D,'QA Log'!E:E,"")</f>
        <v>#NAME?</v>
      </c>
      <c r="C391" s="102" t="e">
        <f t="array" aca="1" ref="C391" ca="1">_xludf.XLOOKUP(A391,'QA Log'!D:D,'QA Log'!F:F,"")</f>
        <v>#NAME?</v>
      </c>
      <c r="D391" s="102" t="e">
        <f t="array" aca="1" ref="D391" ca="1">_xludf.XLOOKUP(A391,'QA Log'!D:D,'QA Log'!H:H,"")</f>
        <v>#NAME?</v>
      </c>
      <c r="E391" s="102" t="e">
        <f t="array" aca="1" ref="E391" ca="1">_xludf.XLOOKUP(A391,'QA Log'!D:D,'QA Log'!G:G,"")</f>
        <v>#NAME?</v>
      </c>
      <c r="F391" s="103"/>
      <c r="G391" s="104"/>
      <c r="H391" s="104"/>
      <c r="I391" s="103" t="str">
        <f t="shared" si="26"/>
        <v/>
      </c>
      <c r="J391" s="102" t="str">
        <f>IF(A391="","",SUM(
COUNTIFS('QA Log'!D:D,A391,'QA Log'!M:M,"QQC",'QA Log'!L:L,"*1. General Management*"),
COUNTIFS('QA Log'!D:D,A391,'QA Log'!M:M,"QQC",'QA Log'!L:L,"*3. Curative Consultation (OPD)*"),
COUNTIFS('QA Log'!D:D,A391,'QA Log'!M:M,"QQC",'QA Log'!L:L,"*5. Laboratory*"),
COUNTIFS('QA Log'!D:D,A391,'QA Log'!M:M,"QQC",'QA Log'!L:L,"*6. Essential Medicine Management*"),
COUNTIFS('QA Log'!D:D,A391,'QA Log'!M:M,"QQC",'QA Log'!L:L,"*7. Tracer Medicine*"),
COUNTIFS('QA Log'!D:D,A391,'QA Log'!M:M,"QQC",'QA Log'!L:L,"*11. Additional Questions*")))</f>
        <v/>
      </c>
      <c r="K391" s="102" t="str">
        <f>IF(A391="","",SUM(
COUNTIFS('QA Log'!D:D,A391,'QA Log'!M:M,"QQC",'QA Log'!Z:Z,"Approved",'QA Log'!L:L,"*1. General Management*"),
COUNTIFS('QA Log'!D:D,A391,'QA Log'!M:M,"QQC",'QA Log'!Z:Z,"Approved",'QA Log'!L:L,"*3. Curative Consultation (OPD)*"),
COUNTIFS('QA Log'!D:D,A391,'QA Log'!M:M,"QQC",'QA Log'!Z:Z,"Approved",'QA Log'!L:L,"*5. Laboratory*"),
COUNTIFS('QA Log'!D:D,A391,'QA Log'!M:M,"QQC",'QA Log'!Z:Z,"Approved",'QA Log'!L:L,"*6. Essential Medicine Management*"),
COUNTIFS('QA Log'!D:D,A391,'QA Log'!M:M,"QQC",'QA Log'!Z:Z,"Approved",'QA Log'!L:L,"*7. Tracer Medicine*"),
COUNTIFS('QA Log'!D:D,A391,'QA Log'!M:M,"QQC",'QA Log'!Z:Z,"Approved",'QA Log'!L:L,"*11. Additional Questions*")))</f>
        <v/>
      </c>
      <c r="L391" s="102" t="str">
        <f>IF(A391&lt;&gt;"",COUNTIFS('QA Log'!D:D,A391,'QA Log'!M:M,"QQC",'QA Log'!L:L,"1. General Management",'QA Log'!Z:Z,"Approved"),"")</f>
        <v/>
      </c>
      <c r="M391" s="102" t="str">
        <f>IF(A391&lt;&gt;"",COUNTIFS('QA Log'!D:D,A391,'QA Log'!M:M,"QQC",'QA Log'!L:L,"3. Curative Consultation (OPD)",'QA Log'!Z:Z,"Approved"),"")</f>
        <v/>
      </c>
      <c r="N391" s="102" t="str">
        <f>IF(A391&lt;&gt;"",COUNTIFS('QA Log'!D:D,A391,'QA Log'!M:M,"QQC",'QA Log'!L:L,"5. Laboratory",'QA Log'!Z:Z,"Approved"),"")</f>
        <v/>
      </c>
      <c r="O391" s="102" t="str">
        <f>IF(A391&lt;&gt;"",COUNTIFS('QA Log'!D:D,A391,'QA Log'!M:M,"QQC",'QA Log'!L:L,"6. Essential Medicine Management",'QA Log'!Z:Z,"Approved"),"")</f>
        <v/>
      </c>
      <c r="P391" s="102" t="str">
        <f>IF(A391&lt;&gt;"",COUNTIFS('QA Log'!D:D,A391,'QA Log'!M:M,"QQC",'QA Log'!L:L,"7. Tracer Medicine",'QA Log'!Z:Z,"Approved"),"")</f>
        <v/>
      </c>
      <c r="Q391" s="102" t="str">
        <f>IF(A391&lt;&gt;"",COUNTIFS('QA Log'!D:D,A391,'QA Log'!M:M,"QQC",'QA Log'!L:L,"11. Additional Questions",'QA Log'!Z:Z,"Approved"),"")</f>
        <v/>
      </c>
      <c r="R391" s="102" t="str">
        <f>IF(A391="","",SUM(
COUNTIFS('QA Log'!D:D,A391,'QA Log'!M:M,"QQC",'QA Log'!Z:Z,"Rejected",'QA Log'!L:L,"*8. Maternity*"),
COUNTIFS('QA Log'!D:D,A391,'QA Log'!M:M,"QQC",'QA Log'!Z:Z,"Rejected",'QA Log'!L:L,"*EPI*"),
COUNTIFS('QA Log'!D:D,A391,'QA Log'!M:M,"QQC",'QA Log'!Z:Z,"Rejected",'QA Log'!L:L,"*10. Antenatal Care (ANC)*"),
COUNTIFS('QA Log'!D:D,A391,'QA Log'!M:M,"QQC",'QA Log'!Z:Z,"Rejected",'QA Log'!L:L,"*2. Hygiene and Sterilization*"),
COUNTIFS('QA Log'!D:D,A391,'QA Log'!M:M,"QQC",'QA Log'!Z:Z,"Rejected",'QA Log'!L:L,"*Family Planning*")))</f>
        <v/>
      </c>
      <c r="S391" s="106" t="str">
        <f t="shared" si="27"/>
        <v/>
      </c>
      <c r="T391" s="102" t="str">
        <f t="shared" si="28"/>
        <v/>
      </c>
      <c r="U391" s="102" t="str">
        <f>IF(A391="","",
SUM(
COUNTIFS('QA Log'!D:D,A391,'QA Log'!M:M,"QQC",'QA Log'!L:L,"*8. Maternity*"),
COUNTIFS('QA Log'!D:D,A391,'QA Log'!M:M,"QQC",'QA Log'!L:L,"*9. EPI and Pre-school Consultation*"),
COUNTIFS('QA Log'!D:D,A391,'QA Log'!M:M,"QQC",'QA Log'!L:L,"*10. Antenatal Care (ANC)*"),
COUNTIFS('QA Log'!D:D,A391,'QA Log'!M:M,"QQC",'QA Log'!L:L,"*2. Hygiene and Sterilization*"),
COUNTIFS('QA Log'!D:D,A391,'QA Log'!M:M,"QQC",'QA Log'!L:L,"*4. Family Planning*")
))</f>
        <v/>
      </c>
      <c r="V391" s="102" t="str">
        <f>IF(A391="","",
SUM(
COUNTIFS('QA Log'!D:D,A391,'QA Log'!M:M,"QQC",'QA Log'!Z:Z,"Approved",'QA Log'!L:L,"*8. Maternity*"),
COUNTIFS('QA Log'!D:D,A391,'QA Log'!M:M,"QQC",'QA Log'!Z:Z,"Approved",'QA Log'!L:L,"*9. EPI and Pre-school Consultation*"),
COUNTIFS('QA Log'!D:D,A391,'QA Log'!M:M,"QQC",'QA Log'!Z:Z,"Approved",'QA Log'!L:L,"*10. Antenatal Care (ANC)*"),
COUNTIFS('QA Log'!D:D,A391,'QA Log'!M:M,"QQC",'QA Log'!Z:Z,"Approved",'QA Log'!L:L,"*2. Hygiene and Sterilization*"),
COUNTIFS('QA Log'!D:D,A391,'QA Log'!M:M,"QQC",'QA Log'!Z:Z,"Approved",'QA Log'!L:L,"*4. Family Planning*")
))</f>
        <v/>
      </c>
      <c r="W391" s="102" t="str">
        <f>IF(A391&lt;&gt;"",COUNTIFS('QA Log'!D:D,A391,'QA Log'!M:M,"QQC",'QA Log'!L:L,"8. Maternity",'QA Log'!Z:Z,"Approved"),"")</f>
        <v/>
      </c>
      <c r="X391" s="105" t="str">
        <f>IF(A391&lt;&gt;"",COUNTIFS('QA Log'!D:D,A391,'QA Log'!M:M,"QQC",'QA Log'!L:L,"9. EPI and Pre-school Consultation",'QA Log'!Z:Z,"Approved"),"")</f>
        <v/>
      </c>
      <c r="Y391" s="102" t="str">
        <f>IF(A391&lt;&gt;"",COUNTIFS('QA Log'!D:D,A391,'QA Log'!M:M,"QQC",'QA Log'!L:L,"10. Antenatal Care (ANC)",'QA Log'!Z:Z,"Approved"),"")</f>
        <v/>
      </c>
      <c r="Z391" s="102" t="str">
        <f>IF(A391&lt;&gt;"",COUNTIFS('QA Log'!D:D,A391,'QA Log'!M:M,"QQC",'QA Log'!L:L,"2. Hygiene and Sterilization",'QA Log'!Z:Z,"Approved"),"")</f>
        <v/>
      </c>
      <c r="AA391" s="105" t="str">
        <f>IF(A391&lt;&gt;"",COUNTIFS('QA Log'!D:D,A391,'QA Log'!M:M,"QQC",'QA Log'!L:L,"4. Family Planning",'QA Log'!Z:Z,"Approved"),"")</f>
        <v/>
      </c>
      <c r="AB391" s="102" t="str">
        <f>IF(A391="","",
SUM(
COUNTIFS('QA Log'!D:D,A391,'QA Log'!M:M,"QQC",'QA Log'!Z:Z,"Rejected",'QA Log'!L:L,"*8. Maternity*"),
COUNTIFS('QA Log'!D:D,A391,'QA Log'!M:M,"QQC",'QA Log'!Z:Z,"Rejected",'QA Log'!L:L,"*9. EPI and Pre-school Consultation*"),
COUNTIFS('QA Log'!D:D,A391,'QA Log'!M:M,"QQC",'QA Log'!Z:Z,"Rejected",'QA Log'!L:L,"*10. Antenatal Care (ANC)*"),
COUNTIFS('QA Log'!D:D,A391,'QA Log'!M:M,"QQC",'QA Log'!Z:Z,"Rejected",'QA Log'!L:L,"*2. Hygiene and Sterilization*"),
COUNTIFS('QA Log'!D:D,A391,'QA Log'!M:M,"QQC",'QA Log'!Z:Z,"Rejected",'QA Log'!L:L,"*4. Family Planning*")
))</f>
        <v/>
      </c>
      <c r="AC391" s="102" t="str">
        <f t="shared" si="29"/>
        <v/>
      </c>
      <c r="AD391" s="103" t="str">
        <f t="shared" si="30"/>
        <v/>
      </c>
      <c r="AE391" s="102" t="str">
        <f>IF(A391="","",
SUM(
COUNTIFS('QA Log'!D:D,A391,'QA Log'!M:M,"Data Verification",'QA Log'!L:L,"*Medicine (section 2)*"),
COUNTIFS('QA Log'!D:D,A391,'QA Log'!M:M,"Data Verification",'QA Log'!L:L,"*Lab Testing Availability*"),
COUNTIFS('QA Log'!D:D,A391,'QA Log'!M:M,"Data Verification",'QA Log'!L:L,"*Other than P4P (section 6)*"),
COUNTIFS('QA Log'!D:D,A391,'QA Log'!M:M,"Data Verification",'QA Log'!L:L,"*Hospital Governance*")
))</f>
        <v/>
      </c>
      <c r="AF391" s="102" t="str">
        <f>IF(A391="","",
SUM(
COUNTIFS('QA Log'!D:D,A391,'QA Log'!M:M,"Data Verification",'QA Log'!Z:Z,"Approved",'QA Log'!L:L,"*Medicine (section 2)*"),
COUNTIFS('QA Log'!D:D,A391,'QA Log'!M:M,"Data Verification",'QA Log'!Z:Z,"Approved",'QA Log'!L:L,"*Lab Testing Availability*"),
COUNTIFS('QA Log'!D:D,A391,'QA Log'!M:M,"Data Verification",'QA Log'!Z:Z,"Approved",'QA Log'!L:L,"*Other than P4P (section 6)*"),
COUNTIFS('QA Log'!D:D,A391,'QA Log'!M:M,"Data Verification",'QA Log'!Z:Z,"Approved",'QA Log'!L:L,"*Hospital Governance*")
))</f>
        <v/>
      </c>
      <c r="AG391" s="105" t="str">
        <f>IF(A391&lt;&gt;"",COUNTIFS('QA Log'!D:D,A391,'QA Log'!M:M,"Data Verification",'QA Log'!L:L,"Medicine (section 2)",'QA Log'!Z:Z,"Approved"),"")</f>
        <v/>
      </c>
      <c r="AH391" s="105" t="str">
        <f>IF(A391&lt;&gt;"",COUNTIFS('QA Log'!D:D,A391,'QA Log'!M:M,"Data Verification",'QA Log'!L:L,"Lab Testing Availability",'QA Log'!Z:Z,"Approved"),"")</f>
        <v/>
      </c>
      <c r="AI391" s="105" t="str">
        <f>IF(A391&lt;&gt;"",COUNTIFS('QA Log'!D:D,A391,'QA Log'!M:M,"Data Verification",'QA Log'!L:L,"Other than P4P (section 6)",'QA Log'!Z:Z,"Approved"),"")</f>
        <v/>
      </c>
      <c r="AJ391" s="105" t="str">
        <f>IF(A391&lt;&gt;"",COUNTIFS('QA Log'!D:D,A391,'QA Log'!M:M,"Data Verification",'QA Log'!L:L,"Hospital Governance",'QA Log'!Z:Z,"Approved"),"")</f>
        <v/>
      </c>
      <c r="AK391" s="102" t="str">
        <f>IF(A391="","",
SUM(
COUNTIFS('QA Log'!D:D,A391,'QA Log'!M:M,"Data Verification",'QA Log'!Z:Z,"Rejected",'QA Log'!L:L,"*Medicine (section 2)*"),
COUNTIFS('QA Log'!D:D,A391,'QA Log'!M:M,"Data Verification",'QA Log'!Z:Z,"Rejected",'QA Log'!L:L,"*Lab Testing Availability*"),
COUNTIFS('QA Log'!D:D,A391,'QA Log'!M:M,"Data Verification",'QA Log'!Z:Z,"Rejected",'QA Log'!L:L,"*Other than P4P (section 6)*"),
COUNTIFS('QA Log'!D:D,A391,'QA Log'!M:M,"Data Verification",'QA Log'!Z:Z,"Rejected",'QA Log'!L:L,"*Hospital Governance*")
))</f>
        <v/>
      </c>
      <c r="AL391" s="106" t="str">
        <f t="shared" si="31"/>
        <v/>
      </c>
      <c r="AM391" s="102" t="str">
        <f t="shared" si="32"/>
        <v/>
      </c>
      <c r="AN391" s="102" t="str">
        <f>IF(A391="","",
SUM(
COUNTIFS('QA Log'!D:D,A391,'QA Log'!M:M,"Data Verification",'QA Log'!L:L,"*Personnel (section 1)*"),
COUNTIFS('QA Log'!D:D,A391,'QA Log'!M:M,"Data Verification",'QA Log'!L:L,"*Consumable (section 3)*"),
COUNTIFS('QA Log'!D:D,A391,'QA Log'!M:M,"Data Verification",'QA Log'!L:L,"*Equipments (section 4)*")
))</f>
        <v/>
      </c>
      <c r="AO391" s="102" t="str">
        <f>IF(A391="","",
SUM(
COUNTIFS('QA Log'!D:D,A391,'QA Log'!M:M,"Data Verification",'QA Log'!Z:Z,"Approved",'QA Log'!L:L,"*Personnel (section 1)*"),
COUNTIFS('QA Log'!D:D,A391,'QA Log'!M:M,"Data Verification",'QA Log'!Z:Z,"Approved",'QA Log'!L:L,"*Consumable (section 3)*"),
COUNTIFS('QA Log'!D:D,A391,'QA Log'!M:M,"Data Verification",'QA Log'!Z:Z,"Approved",'QA Log'!L:L,"*Equipments (section 4)*")
))</f>
        <v/>
      </c>
      <c r="AP391" s="105" t="str">
        <f>IF(A391&lt;&gt;"",COUNTIFS('QA Log'!D:D,A391,'QA Log'!M:M,"Data Verification",'QA Log'!L:L,"Personnel (section 1)",'QA Log'!Z:Z,"Approved"),"")</f>
        <v/>
      </c>
      <c r="AQ391" s="105" t="str">
        <f>IF(A391&lt;&gt;"",COUNTIFS('QA Log'!D:D,A391,'QA Log'!M:M,"Data Verification",'QA Log'!L:L,"Consumable (section 3)",'QA Log'!Z:Z,"Approved"),"")</f>
        <v/>
      </c>
      <c r="AR391" s="105" t="str">
        <f>IF(A391&lt;&gt;"",COUNTIFS('QA Log'!D:D,A391,'QA Log'!M:M,"Data Verification",'QA Log'!L:L,"Equipments (section 4)",'QA Log'!Z:Z,"Approved"),"")</f>
        <v/>
      </c>
      <c r="AS391" s="102" t="str">
        <f>IF(A391="","",
SUM(
COUNTIFS('QA Log'!D:D,A391,'QA Log'!M:M,"Data Verification",'QA Log'!Z:Z,"Rejected",'QA Log'!L:L,"*Personnel (section 1)*"),
COUNTIFS('QA Log'!D:D,A391,'QA Log'!M:M,"Data Verification",'QA Log'!Z:Z,"Rejected",'QA Log'!L:L,"*Consumable (section 3)*"),
COUNTIFS('QA Log'!D:D,A391,'QA Log'!M:M,"Data Verification",'QA Log'!Z:Z,"Rejected",'QA Log'!L:L,"*Equipments (section 4)*")
))</f>
        <v/>
      </c>
      <c r="AT391" s="102" t="str">
        <f t="shared" si="33"/>
        <v/>
      </c>
      <c r="AU391" s="103" t="str">
        <f t="shared" si="34"/>
        <v/>
      </c>
      <c r="AV391" s="102" t="str">
        <f>IF(A391="","",SUM(
COUNTIFS('QA Log'!D:D,A391,'QA Log'!M:M,"Vignette",'QA Log'!L:L,"*Vignette [1] Respiratory Infection: Pneumonia*"),
COUNTIFS('QA Log'!D:D,A391,'QA Log'!M:M,"Vignette",'QA Log'!L:L,"*Vignette [2]: Diarrhea with Cat B dehydration*"),
COUNTIFS('QA Log'!D:D,A391,'QA Log'!M:M,"Vignette",'QA Log'!L:L,"*Vignette [3] Growth Monitoring and Promotion*"),
COUNTIFS('QA Log'!D:D,A391,'QA Log'!M:M,"Vignette",'QA Log'!L:L,"*Vignette [4]: The management of presumptive TB patient*")
)
)</f>
        <v/>
      </c>
      <c r="AW391" s="102" t="str">
        <f>IF(
  A391="","",
  SUM(
    COUNTIFS('QA Log'!D:D,A391,'QA Log'!M:M,"Vignette",'QA Log'!Z:Z,"Approved",'QA Log'!L:L,"*Vignette [1] Respiratory Infection: Pneumonia*"),
    COUNTIFS('QA Log'!D:D,A391,'QA Log'!M:M,"Vignette",'QA Log'!Z:Z,"Approved",'QA Log'!L:L,"*Vignette [2]: Diarrhea with Cat B dehydration*"),
    COUNTIFS('QA Log'!D:D,A391,'QA Log'!M:M,"Vignette",'QA Log'!Z:Z,"Approved",'QA Log'!L:L,"*Vignette [3] Growth Monitoring and Promotion*"),
    COUNTIFS('QA Log'!D:D,A391,'QA Log'!M:M,"Vignette",'QA Log'!Z:Z,"Approved",'QA Log'!L:L,"*Vignette [4]: The management of presumptive TB patient*")
  )
)</f>
        <v/>
      </c>
      <c r="AX391" s="105" t="str">
        <f>IF(A391&lt;&gt;"",COUNTIFS('QA Log'!D:D,A391,'QA Log'!M:M,"Vignette",'QA Log'!L:L,"Vignette [1] Respiratory Infection: Pneumonia",'QA Log'!Z:Z,"Approved"),"")</f>
        <v/>
      </c>
      <c r="AY391" s="105" t="str">
        <f>IF(A391&lt;&gt;"",COUNTIFS('QA Log'!D:D,A391,'QA Log'!M:M,"Vignette",'QA Log'!L:L,"Vignette [2]: Diarrhea with Cat B dehydration",'QA Log'!Z:Z,"Approved"),"")</f>
        <v/>
      </c>
      <c r="AZ391" s="105" t="str">
        <f>IF(A391&lt;&gt;"",COUNTIFS('QA Log'!D:D,A391,'QA Log'!M:M,"Vignette",'QA Log'!L:L,"Vignette [3] Growth Monitoring and Promotion",'QA Log'!Z:Z,"Approved"),"")</f>
        <v/>
      </c>
      <c r="BA391" s="105" t="str">
        <f>IF(A391&lt;&gt;"",COUNTIFS('QA Log'!D:D,A391,'QA Log'!M:M,"Vignette",'QA Log'!L:L,"Vignette [4]: The management of presumptive TB patient",'QA Log'!Z:Z,"Approved"),"")</f>
        <v/>
      </c>
      <c r="BB391" s="102" t="str">
        <f>IF(A391="","",
  SUM(
    COUNTIFS('QA Log'!D:D,A391,'QA Log'!M:M,"Vignette",'QA Log'!Z:Z,"Rejected",'QA Log'!L:L,"*Vignette [1] Respiratory Infection: Pneumonia*"),
    COUNTIFS('QA Log'!D:D,A391,'QA Log'!M:M,"Vignette",'QA Log'!Z:Z,"Rejected",'QA Log'!L:L,"*Vignette [2]: Diarrhea with Cat B dehydration*"),
    COUNTIFS('QA Log'!D:D,A391,'QA Log'!M:M,"Vignette",'QA Log'!Z:Z,"Rejected",'QA Log'!L:L,"*Vignette [3] Growth Monitoring and Promotion*"),
    COUNTIFS('QA Log'!D:D,A391,'QA Log'!M:M,"Vignette",'QA Log'!Z:Z,"Rejected",'QA Log'!L:L,"*Vignette [4]: The management of presumptive TB patient*")
  )
)</f>
        <v/>
      </c>
      <c r="BC391" s="107" t="str">
        <f t="shared" si="35"/>
        <v/>
      </c>
      <c r="BD391" s="103" t="str">
        <f t="shared" si="36"/>
        <v/>
      </c>
      <c r="BE391" s="102" t="str">
        <f>IF(A391="","",SUM(
COUNTIFS('QA Log'!D:D,A391,'QA Log'!M:M,"Vignette",'QA Log'!L:L,"*Vignette [5] Labor*"),
COUNTIFS('QA Log'!D:D,A391,'QA Log'!M:M,"Vignette",'QA Log'!L:L,"*Vignette [6] PNC pre Discharge*"),
COUNTIFS('QA Log'!D:D,A391,'QA Log'!M:M,"Vignette",'QA Log'!L:L,"*Vignette [7] First ANC Visit*"),
COUNTIFS('QA Log'!D:D,A391,'QA Log'!M:M,"Vignette",'QA Log'!L:L,"*Vignette [8] Birth Spacing/ Family Planning :  FP Counselling*"),
COUNTIFS('QA Log'!D:D,A391,'QA Log'!M:M,"Vignette",'QA Log'!L:L,"*Vignette [9] Birth Spacing: Change FP method to Injectable*"),
COUNTIFS('QA Log'!D:D,A391,'QA Log'!M:M,"Vignette",'QA Log'!L:L,"*Vignette [10] Post Partum Haemorrhage - Atonic Uterus at Health Centre*"),
)
)</f>
        <v/>
      </c>
      <c r="BF391" s="102" t="str">
        <f>IF(A391="","",
  SUM(
    COUNTIFS('QA Log'!D:D,A391,'QA Log'!M:M,"Vignette",'QA Log'!Z:Z,"Approved",'QA Log'!L:L,"*Vignette [5] Labor*"),
    COUNTIFS('QA Log'!D:D,A391,'QA Log'!M:M,"Vignette",'QA Log'!Z:Z,"Approved",'QA Log'!L:L,"*Vignette [6] PNC pre Discharge*"),
    COUNTIFS('QA Log'!D:D,A391,'QA Log'!M:M,"Vignette",'QA Log'!Z:Z,"Approved",'QA Log'!L:L,"*Vignette [7] First ANC Visit*"),
    COUNTIFS('QA Log'!D:D,A391,'QA Log'!M:M,"Vignette",'QA Log'!Z:Z,"Approved",'QA Log'!L:L,"*Vignette [8] Birth Spacing/ Family Planning :  FP Counselling*"),
    COUNTIFS('QA Log'!D:D,A391,'QA Log'!M:M,"Vignette",'QA Log'!Z:Z,"Approved",'QA Log'!L:L,"*Vignette [9] Birth Spacing: Change FP method to Injectable*"),
    COUNTIFS('QA Log'!D:D,A391,'QA Log'!M:M,"Vignette",'QA Log'!Z:Z,"Approved",'QA Log'!L:L,"*Vignette [10] Post Partum Haemorrhage - Atonic Uterus at Health Centre*")
  )
)</f>
        <v/>
      </c>
      <c r="BG391" s="105" t="str">
        <f>IF(A391&lt;&gt;"",COUNTIFS('QA Log'!D:D,A391,'QA Log'!M:M,"Vignette",'QA Log'!L:L,"Vignette [5] Labor",'QA Log'!Z:Z,"Approved"),"")</f>
        <v/>
      </c>
      <c r="BH391" s="105" t="str">
        <f>IF(A391&lt;&gt;"",COUNTIFS('QA Log'!D:D,A391,'QA Log'!M:M,"Vignette",'QA Log'!L:L,"Vignette [6] PNC pre Discharge",'QA Log'!Z:Z,"Approved"),"")</f>
        <v/>
      </c>
      <c r="BI391" s="105" t="str">
        <f>IF(A391&lt;&gt;"",COUNTIFS('QA Log'!D:D,A391,'QA Log'!M:M,"Vignette",'QA Log'!L:L,"Vignette [7] First ANC Visit",'QA Log'!Z:Z,"Approved"),"")</f>
        <v/>
      </c>
      <c r="BJ391" s="105" t="str">
        <f>IF(A391&lt;&gt;"",COUNTIFS('QA Log'!D:D,A391,'QA Log'!M:M,"Vignette",'QA Log'!L:L,"Vignette [8] Birth Spacing/ Family Planning :  FP Counselling",'QA Log'!Z:Z,"Approved"),"")</f>
        <v/>
      </c>
      <c r="BK391" s="105" t="str">
        <f>IF(A391&lt;&gt;"",COUNTIFS('QA Log'!D:D,A391,'QA Log'!M:M,"Vignette",'QA Log'!L:L,"Vignette [9] Birth Spacing: Change FP method to Injectable",'QA Log'!Z:Z,"Approved"),"")</f>
        <v/>
      </c>
      <c r="BL391" s="105" t="str">
        <f>IF(A391&lt;&gt;"",COUNTIFS('QA Log'!D:D,A391,'QA Log'!M:M,"Vignette",'QA Log'!L:L,"Vignette [10] Post Partum Haemorrhage - Atonic Uterus at Health Centre",'QA Log'!Z:Z,"Approved"),"")</f>
        <v/>
      </c>
      <c r="BM391" s="102" t="str">
        <f>IF(A391="","",SUM(
    COUNTIFS('QA Log'!D:D,A391,'QA Log'!M:M,"Vignette",'QA Log'!Z:Z,"Rejected",'QA Log'!L:L,"*Vignette [5] Labor*"),
    COUNTIFS('QA Log'!D:D,A391,'QA Log'!M:M,"Vignette",'QA Log'!Z:Z,"Rejected",'QA Log'!L:L,"*Vignette [6] PNC pre Discharge*"),
    COUNTIFS('QA Log'!D:D,A391,'QA Log'!M:M,"Vignette",'QA Log'!Z:Z,"Rejected",'QA Log'!L:L,"*Vignette [7] First ANC Visit*"),
    COUNTIFS('QA Log'!D:D,A391,'QA Log'!M:M,"Vignette",'QA Log'!Z:Z,"Rejected",'QA Log'!L:L,"*Vignette [8] Birth Spacing/ Family Planning :  FP Counselling*"),
    COUNTIFS('QA Log'!D:D,A391,'QA Log'!M:M,"Vignette",'QA Log'!Z:Z,"Rejected",'QA Log'!L:L,"*Vignette [9] Birth Spacing: Change FP method to Injectable*"),
    COUNTIFS('QA Log'!D:D,A391,'QA Log'!M:M,"Vignette",'QA Log'!Z:Z,"Rejected",'QA Log'!L:L,"*Vignette [10] Post Partum Haemorrhage - Atonic Uterus at Health Centre*")
  )
)</f>
        <v/>
      </c>
      <c r="BN391" s="107" t="str">
        <f t="shared" si="37"/>
        <v/>
      </c>
      <c r="BO391" s="103" t="str">
        <f t="shared" si="38"/>
        <v/>
      </c>
      <c r="BP391" s="102" t="str">
        <f>IF(A391="","",SUM(
COUNTIFS('QA Log'!D:D,A391,'QA Log'!M:M,"Vignette",'QA Log'!L:L,"*Exit Interview 1*"),
COUNTIFS('QA Log'!D:D,A391,'QA Log'!M:M,"Vignette",'QA Log'!L:L,"*Exit Interview 2*"),
)
)</f>
        <v/>
      </c>
      <c r="BQ391" s="102" t="str">
        <f>IF(
  A391="","",
  SUM(
    COUNTIFS('QA Log'!D:D,A391,'QA Log'!M:M,"Vignette",'QA Log'!Z:Z,"Approved",'QA Log'!L:L,"*Exit Interview 1*"),
    COUNTIFS('QA Log'!D:D,A391,'QA Log'!M:M,"Vignette",'QA Log'!Z:Z,"Approved",'QA Log'!L:L,"*Exit Interview 2*")
  )
)</f>
        <v/>
      </c>
      <c r="BR391" s="105" t="str">
        <f>IF(A391&lt;&gt;"",COUNTIFS('QA Log'!D:D,A391,'QA Log'!M:M,"Vignette",'QA Log'!L:L,"Exit Interview 1",'QA Log'!Z:Z,"Approved"),"")</f>
        <v/>
      </c>
      <c r="BS391" s="105" t="str">
        <f>IF(A391&lt;&gt;"",COUNTIFS('QA Log'!D:D,A391,'QA Log'!M:M,"Vignette",'QA Log'!L:L,"Exit Interview 2",'QA Log'!Z:Z,"Approved"),"")</f>
        <v/>
      </c>
      <c r="BT391" s="102" t="str">
        <f>IF(
  A391="","",
  SUM(
    COUNTIFS('QA Log'!D:D,A391,'QA Log'!M:M,"Vignette",'QA Log'!Z:Z,"Rejected",'QA Log'!L:L,"*Exit Interview 1*"),
    COUNTIFS('QA Log'!D:D,A391,'QA Log'!M:M,"Vignette",'QA Log'!Z:Z,"Rejected",'QA Log'!L:L,"*Exit Interview 2*")
  )
)</f>
        <v/>
      </c>
      <c r="BU391" s="107" t="str">
        <f t="shared" si="39"/>
        <v/>
      </c>
      <c r="BV391" s="102" t="str">
        <f t="shared" si="40"/>
        <v/>
      </c>
      <c r="BW391" s="102" t="str">
        <f t="shared" si="41"/>
        <v/>
      </c>
      <c r="BX391" s="102" t="str">
        <f t="shared" si="42"/>
        <v/>
      </c>
      <c r="BY391" s="102" t="str">
        <f t="shared" si="43"/>
        <v/>
      </c>
      <c r="BZ391" s="107" t="str">
        <f t="shared" si="44"/>
        <v/>
      </c>
      <c r="CA391" s="108" t="str">
        <f t="shared" si="45"/>
        <v/>
      </c>
      <c r="CB391" s="108" t="str">
        <f t="shared" si="46"/>
        <v/>
      </c>
      <c r="CC391" s="109" t="str">
        <f t="shared" si="47"/>
        <v/>
      </c>
      <c r="CD391" s="108" t="str">
        <f t="shared" si="48"/>
        <v/>
      </c>
      <c r="CE391" s="108" t="str">
        <f t="shared" si="49"/>
        <v/>
      </c>
      <c r="CF391" s="109" t="str">
        <f t="shared" si="50"/>
        <v/>
      </c>
      <c r="CG391" s="110" t="str">
        <f t="shared" si="51"/>
        <v/>
      </c>
      <c r="CH391" s="111"/>
    </row>
    <row r="392" spans="1:86" ht="12.75">
      <c r="A392" s="101"/>
      <c r="B392" s="102" t="e">
        <f t="array" aca="1" ref="B392" ca="1">_xludf.XLOOKUP(A392,'QA Log'!D:D,'QA Log'!E:E,"")</f>
        <v>#NAME?</v>
      </c>
      <c r="C392" s="102" t="e">
        <f t="array" aca="1" ref="C392" ca="1">_xludf.XLOOKUP(A392,'QA Log'!D:D,'QA Log'!F:F,"")</f>
        <v>#NAME?</v>
      </c>
      <c r="D392" s="102" t="e">
        <f t="array" aca="1" ref="D392" ca="1">_xludf.XLOOKUP(A392,'QA Log'!D:D,'QA Log'!H:H,"")</f>
        <v>#NAME?</v>
      </c>
      <c r="E392" s="102" t="e">
        <f t="array" aca="1" ref="E392" ca="1">_xludf.XLOOKUP(A392,'QA Log'!D:D,'QA Log'!G:G,"")</f>
        <v>#NAME?</v>
      </c>
      <c r="F392" s="103"/>
      <c r="G392" s="104"/>
      <c r="H392" s="104"/>
      <c r="I392" s="103" t="str">
        <f t="shared" si="26"/>
        <v/>
      </c>
      <c r="J392" s="102" t="str">
        <f>IF(A392="","",SUM(
COUNTIFS('QA Log'!D:D,A392,'QA Log'!M:M,"QQC",'QA Log'!L:L,"*1. General Management*"),
COUNTIFS('QA Log'!D:D,A392,'QA Log'!M:M,"QQC",'QA Log'!L:L,"*3. Curative Consultation (OPD)*"),
COUNTIFS('QA Log'!D:D,A392,'QA Log'!M:M,"QQC",'QA Log'!L:L,"*5. Laboratory*"),
COUNTIFS('QA Log'!D:D,A392,'QA Log'!M:M,"QQC",'QA Log'!L:L,"*6. Essential Medicine Management*"),
COUNTIFS('QA Log'!D:D,A392,'QA Log'!M:M,"QQC",'QA Log'!L:L,"*7. Tracer Medicine*"),
COUNTIFS('QA Log'!D:D,A392,'QA Log'!M:M,"QQC",'QA Log'!L:L,"*11. Additional Questions*")))</f>
        <v/>
      </c>
      <c r="K392" s="102" t="str">
        <f>IF(A392="","",SUM(
COUNTIFS('QA Log'!D:D,A392,'QA Log'!M:M,"QQC",'QA Log'!Z:Z,"Approved",'QA Log'!L:L,"*1. General Management*"),
COUNTIFS('QA Log'!D:D,A392,'QA Log'!M:M,"QQC",'QA Log'!Z:Z,"Approved",'QA Log'!L:L,"*3. Curative Consultation (OPD)*"),
COUNTIFS('QA Log'!D:D,A392,'QA Log'!M:M,"QQC",'QA Log'!Z:Z,"Approved",'QA Log'!L:L,"*5. Laboratory*"),
COUNTIFS('QA Log'!D:D,A392,'QA Log'!M:M,"QQC",'QA Log'!Z:Z,"Approved",'QA Log'!L:L,"*6. Essential Medicine Management*"),
COUNTIFS('QA Log'!D:D,A392,'QA Log'!M:M,"QQC",'QA Log'!Z:Z,"Approved",'QA Log'!L:L,"*7. Tracer Medicine*"),
COUNTIFS('QA Log'!D:D,A392,'QA Log'!M:M,"QQC",'QA Log'!Z:Z,"Approved",'QA Log'!L:L,"*11. Additional Questions*")))</f>
        <v/>
      </c>
      <c r="L392" s="102" t="str">
        <f>IF(A392&lt;&gt;"",COUNTIFS('QA Log'!D:D,A392,'QA Log'!M:M,"QQC",'QA Log'!L:L,"1. General Management",'QA Log'!Z:Z,"Approved"),"")</f>
        <v/>
      </c>
      <c r="M392" s="102" t="str">
        <f>IF(A392&lt;&gt;"",COUNTIFS('QA Log'!D:D,A392,'QA Log'!M:M,"QQC",'QA Log'!L:L,"3. Curative Consultation (OPD)",'QA Log'!Z:Z,"Approved"),"")</f>
        <v/>
      </c>
      <c r="N392" s="102" t="str">
        <f>IF(A392&lt;&gt;"",COUNTIFS('QA Log'!D:D,A392,'QA Log'!M:M,"QQC",'QA Log'!L:L,"5. Laboratory",'QA Log'!Z:Z,"Approved"),"")</f>
        <v/>
      </c>
      <c r="O392" s="102" t="str">
        <f>IF(A392&lt;&gt;"",COUNTIFS('QA Log'!D:D,A392,'QA Log'!M:M,"QQC",'QA Log'!L:L,"6. Essential Medicine Management",'QA Log'!Z:Z,"Approved"),"")</f>
        <v/>
      </c>
      <c r="P392" s="102" t="str">
        <f>IF(A392&lt;&gt;"",COUNTIFS('QA Log'!D:D,A392,'QA Log'!M:M,"QQC",'QA Log'!L:L,"7. Tracer Medicine",'QA Log'!Z:Z,"Approved"),"")</f>
        <v/>
      </c>
      <c r="Q392" s="102" t="str">
        <f>IF(A392&lt;&gt;"",COUNTIFS('QA Log'!D:D,A392,'QA Log'!M:M,"QQC",'QA Log'!L:L,"11. Additional Questions",'QA Log'!Z:Z,"Approved"),"")</f>
        <v/>
      </c>
      <c r="R392" s="102" t="str">
        <f>IF(A392="","",SUM(
COUNTIFS('QA Log'!D:D,A392,'QA Log'!M:M,"QQC",'QA Log'!Z:Z,"Rejected",'QA Log'!L:L,"*8. Maternity*"),
COUNTIFS('QA Log'!D:D,A392,'QA Log'!M:M,"QQC",'QA Log'!Z:Z,"Rejected",'QA Log'!L:L,"*EPI*"),
COUNTIFS('QA Log'!D:D,A392,'QA Log'!M:M,"QQC",'QA Log'!Z:Z,"Rejected",'QA Log'!L:L,"*10. Antenatal Care (ANC)*"),
COUNTIFS('QA Log'!D:D,A392,'QA Log'!M:M,"QQC",'QA Log'!Z:Z,"Rejected",'QA Log'!L:L,"*2. Hygiene and Sterilization*"),
COUNTIFS('QA Log'!D:D,A392,'QA Log'!M:M,"QQC",'QA Log'!Z:Z,"Rejected",'QA Log'!L:L,"*Family Planning*")))</f>
        <v/>
      </c>
      <c r="S392" s="106" t="str">
        <f t="shared" si="27"/>
        <v/>
      </c>
      <c r="T392" s="102" t="str">
        <f t="shared" si="28"/>
        <v/>
      </c>
      <c r="U392" s="102" t="str">
        <f>IF(A392="","",
SUM(
COUNTIFS('QA Log'!D:D,A392,'QA Log'!M:M,"QQC",'QA Log'!L:L,"*8. Maternity*"),
COUNTIFS('QA Log'!D:D,A392,'QA Log'!M:M,"QQC",'QA Log'!L:L,"*9. EPI and Pre-school Consultation*"),
COUNTIFS('QA Log'!D:D,A392,'QA Log'!M:M,"QQC",'QA Log'!L:L,"*10. Antenatal Care (ANC)*"),
COUNTIFS('QA Log'!D:D,A392,'QA Log'!M:M,"QQC",'QA Log'!L:L,"*2. Hygiene and Sterilization*"),
COUNTIFS('QA Log'!D:D,A392,'QA Log'!M:M,"QQC",'QA Log'!L:L,"*4. Family Planning*")
))</f>
        <v/>
      </c>
      <c r="V392" s="102" t="str">
        <f>IF(A392="","",
SUM(
COUNTIFS('QA Log'!D:D,A392,'QA Log'!M:M,"QQC",'QA Log'!Z:Z,"Approved",'QA Log'!L:L,"*8. Maternity*"),
COUNTIFS('QA Log'!D:D,A392,'QA Log'!M:M,"QQC",'QA Log'!Z:Z,"Approved",'QA Log'!L:L,"*9. EPI and Pre-school Consultation*"),
COUNTIFS('QA Log'!D:D,A392,'QA Log'!M:M,"QQC",'QA Log'!Z:Z,"Approved",'QA Log'!L:L,"*10. Antenatal Care (ANC)*"),
COUNTIFS('QA Log'!D:D,A392,'QA Log'!M:M,"QQC",'QA Log'!Z:Z,"Approved",'QA Log'!L:L,"*2. Hygiene and Sterilization*"),
COUNTIFS('QA Log'!D:D,A392,'QA Log'!M:M,"QQC",'QA Log'!Z:Z,"Approved",'QA Log'!L:L,"*4. Family Planning*")
))</f>
        <v/>
      </c>
      <c r="W392" s="102" t="str">
        <f>IF(A392&lt;&gt;"",COUNTIFS('QA Log'!D:D,A392,'QA Log'!M:M,"QQC",'QA Log'!L:L,"8. Maternity",'QA Log'!Z:Z,"Approved"),"")</f>
        <v/>
      </c>
      <c r="X392" s="105" t="str">
        <f>IF(A392&lt;&gt;"",COUNTIFS('QA Log'!D:D,A392,'QA Log'!M:M,"QQC",'QA Log'!L:L,"9. EPI and Pre-school Consultation",'QA Log'!Z:Z,"Approved"),"")</f>
        <v/>
      </c>
      <c r="Y392" s="102" t="str">
        <f>IF(A392&lt;&gt;"",COUNTIFS('QA Log'!D:D,A392,'QA Log'!M:M,"QQC",'QA Log'!L:L,"10. Antenatal Care (ANC)",'QA Log'!Z:Z,"Approved"),"")</f>
        <v/>
      </c>
      <c r="Z392" s="102" t="str">
        <f>IF(A392&lt;&gt;"",COUNTIFS('QA Log'!D:D,A392,'QA Log'!M:M,"QQC",'QA Log'!L:L,"2. Hygiene and Sterilization",'QA Log'!Z:Z,"Approved"),"")</f>
        <v/>
      </c>
      <c r="AA392" s="105" t="str">
        <f>IF(A392&lt;&gt;"",COUNTIFS('QA Log'!D:D,A392,'QA Log'!M:M,"QQC",'QA Log'!L:L,"4. Family Planning",'QA Log'!Z:Z,"Approved"),"")</f>
        <v/>
      </c>
      <c r="AB392" s="102" t="str">
        <f>IF(A392="","",
SUM(
COUNTIFS('QA Log'!D:D,A392,'QA Log'!M:M,"QQC",'QA Log'!Z:Z,"Rejected",'QA Log'!L:L,"*8. Maternity*"),
COUNTIFS('QA Log'!D:D,A392,'QA Log'!M:M,"QQC",'QA Log'!Z:Z,"Rejected",'QA Log'!L:L,"*9. EPI and Pre-school Consultation*"),
COUNTIFS('QA Log'!D:D,A392,'QA Log'!M:M,"QQC",'QA Log'!Z:Z,"Rejected",'QA Log'!L:L,"*10. Antenatal Care (ANC)*"),
COUNTIFS('QA Log'!D:D,A392,'QA Log'!M:M,"QQC",'QA Log'!Z:Z,"Rejected",'QA Log'!L:L,"*2. Hygiene and Sterilization*"),
COUNTIFS('QA Log'!D:D,A392,'QA Log'!M:M,"QQC",'QA Log'!Z:Z,"Rejected",'QA Log'!L:L,"*4. Family Planning*")
))</f>
        <v/>
      </c>
      <c r="AC392" s="102" t="str">
        <f t="shared" si="29"/>
        <v/>
      </c>
      <c r="AD392" s="103" t="str">
        <f t="shared" si="30"/>
        <v/>
      </c>
      <c r="AE392" s="102" t="str">
        <f>IF(A392="","",
SUM(
COUNTIFS('QA Log'!D:D,A392,'QA Log'!M:M,"Data Verification",'QA Log'!L:L,"*Medicine (section 2)*"),
COUNTIFS('QA Log'!D:D,A392,'QA Log'!M:M,"Data Verification",'QA Log'!L:L,"*Lab Testing Availability*"),
COUNTIFS('QA Log'!D:D,A392,'QA Log'!M:M,"Data Verification",'QA Log'!L:L,"*Other than P4P (section 6)*"),
COUNTIFS('QA Log'!D:D,A392,'QA Log'!M:M,"Data Verification",'QA Log'!L:L,"*Hospital Governance*")
))</f>
        <v/>
      </c>
      <c r="AF392" s="102" t="str">
        <f>IF(A392="","",
SUM(
COUNTIFS('QA Log'!D:D,A392,'QA Log'!M:M,"Data Verification",'QA Log'!Z:Z,"Approved",'QA Log'!L:L,"*Medicine (section 2)*"),
COUNTIFS('QA Log'!D:D,A392,'QA Log'!M:M,"Data Verification",'QA Log'!Z:Z,"Approved",'QA Log'!L:L,"*Lab Testing Availability*"),
COUNTIFS('QA Log'!D:D,A392,'QA Log'!M:M,"Data Verification",'QA Log'!Z:Z,"Approved",'QA Log'!L:L,"*Other than P4P (section 6)*"),
COUNTIFS('QA Log'!D:D,A392,'QA Log'!M:M,"Data Verification",'QA Log'!Z:Z,"Approved",'QA Log'!L:L,"*Hospital Governance*")
))</f>
        <v/>
      </c>
      <c r="AG392" s="105" t="str">
        <f>IF(A392&lt;&gt;"",COUNTIFS('QA Log'!D:D,A392,'QA Log'!M:M,"Data Verification",'QA Log'!L:L,"Medicine (section 2)",'QA Log'!Z:Z,"Approved"),"")</f>
        <v/>
      </c>
      <c r="AH392" s="105" t="str">
        <f>IF(A392&lt;&gt;"",COUNTIFS('QA Log'!D:D,A392,'QA Log'!M:M,"Data Verification",'QA Log'!L:L,"Lab Testing Availability",'QA Log'!Z:Z,"Approved"),"")</f>
        <v/>
      </c>
      <c r="AI392" s="105" t="str">
        <f>IF(A392&lt;&gt;"",COUNTIFS('QA Log'!D:D,A392,'QA Log'!M:M,"Data Verification",'QA Log'!L:L,"Other than P4P (section 6)",'QA Log'!Z:Z,"Approved"),"")</f>
        <v/>
      </c>
      <c r="AJ392" s="105" t="str">
        <f>IF(A392&lt;&gt;"",COUNTIFS('QA Log'!D:D,A392,'QA Log'!M:M,"Data Verification",'QA Log'!L:L,"Hospital Governance",'QA Log'!Z:Z,"Approved"),"")</f>
        <v/>
      </c>
      <c r="AK392" s="102" t="str">
        <f>IF(A392="","",
SUM(
COUNTIFS('QA Log'!D:D,A392,'QA Log'!M:M,"Data Verification",'QA Log'!Z:Z,"Rejected",'QA Log'!L:L,"*Medicine (section 2)*"),
COUNTIFS('QA Log'!D:D,A392,'QA Log'!M:M,"Data Verification",'QA Log'!Z:Z,"Rejected",'QA Log'!L:L,"*Lab Testing Availability*"),
COUNTIFS('QA Log'!D:D,A392,'QA Log'!M:M,"Data Verification",'QA Log'!Z:Z,"Rejected",'QA Log'!L:L,"*Other than P4P (section 6)*"),
COUNTIFS('QA Log'!D:D,A392,'QA Log'!M:M,"Data Verification",'QA Log'!Z:Z,"Rejected",'QA Log'!L:L,"*Hospital Governance*")
))</f>
        <v/>
      </c>
      <c r="AL392" s="106" t="str">
        <f t="shared" si="31"/>
        <v/>
      </c>
      <c r="AM392" s="102" t="str">
        <f t="shared" si="32"/>
        <v/>
      </c>
      <c r="AN392" s="102" t="str">
        <f>IF(A392="","",
SUM(
COUNTIFS('QA Log'!D:D,A392,'QA Log'!M:M,"Data Verification",'QA Log'!L:L,"*Personnel (section 1)*"),
COUNTIFS('QA Log'!D:D,A392,'QA Log'!M:M,"Data Verification",'QA Log'!L:L,"*Consumable (section 3)*"),
COUNTIFS('QA Log'!D:D,A392,'QA Log'!M:M,"Data Verification",'QA Log'!L:L,"*Equipments (section 4)*")
))</f>
        <v/>
      </c>
      <c r="AO392" s="102" t="str">
        <f>IF(A392="","",
SUM(
COUNTIFS('QA Log'!D:D,A392,'QA Log'!M:M,"Data Verification",'QA Log'!Z:Z,"Approved",'QA Log'!L:L,"*Personnel (section 1)*"),
COUNTIFS('QA Log'!D:D,A392,'QA Log'!M:M,"Data Verification",'QA Log'!Z:Z,"Approved",'QA Log'!L:L,"*Consumable (section 3)*"),
COUNTIFS('QA Log'!D:D,A392,'QA Log'!M:M,"Data Verification",'QA Log'!Z:Z,"Approved",'QA Log'!L:L,"*Equipments (section 4)*")
))</f>
        <v/>
      </c>
      <c r="AP392" s="105" t="str">
        <f>IF(A392&lt;&gt;"",COUNTIFS('QA Log'!D:D,A392,'QA Log'!M:M,"Data Verification",'QA Log'!L:L,"Personnel (section 1)",'QA Log'!Z:Z,"Approved"),"")</f>
        <v/>
      </c>
      <c r="AQ392" s="105" t="str">
        <f>IF(A392&lt;&gt;"",COUNTIFS('QA Log'!D:D,A392,'QA Log'!M:M,"Data Verification",'QA Log'!L:L,"Consumable (section 3)",'QA Log'!Z:Z,"Approved"),"")</f>
        <v/>
      </c>
      <c r="AR392" s="105" t="str">
        <f>IF(A392&lt;&gt;"",COUNTIFS('QA Log'!D:D,A392,'QA Log'!M:M,"Data Verification",'QA Log'!L:L,"Equipments (section 4)",'QA Log'!Z:Z,"Approved"),"")</f>
        <v/>
      </c>
      <c r="AS392" s="102" t="str">
        <f>IF(A392="","",
SUM(
COUNTIFS('QA Log'!D:D,A392,'QA Log'!M:M,"Data Verification",'QA Log'!Z:Z,"Rejected",'QA Log'!L:L,"*Personnel (section 1)*"),
COUNTIFS('QA Log'!D:D,A392,'QA Log'!M:M,"Data Verification",'QA Log'!Z:Z,"Rejected",'QA Log'!L:L,"*Consumable (section 3)*"),
COUNTIFS('QA Log'!D:D,A392,'QA Log'!M:M,"Data Verification",'QA Log'!Z:Z,"Rejected",'QA Log'!L:L,"*Equipments (section 4)*")
))</f>
        <v/>
      </c>
      <c r="AT392" s="102" t="str">
        <f t="shared" si="33"/>
        <v/>
      </c>
      <c r="AU392" s="103" t="str">
        <f t="shared" si="34"/>
        <v/>
      </c>
      <c r="AV392" s="102" t="str">
        <f>IF(A392="","",SUM(
COUNTIFS('QA Log'!D:D,A392,'QA Log'!M:M,"Vignette",'QA Log'!L:L,"*Vignette [1] Respiratory Infection: Pneumonia*"),
COUNTIFS('QA Log'!D:D,A392,'QA Log'!M:M,"Vignette",'QA Log'!L:L,"*Vignette [2]: Diarrhea with Cat B dehydration*"),
COUNTIFS('QA Log'!D:D,A392,'QA Log'!M:M,"Vignette",'QA Log'!L:L,"*Vignette [3] Growth Monitoring and Promotion*"),
COUNTIFS('QA Log'!D:D,A392,'QA Log'!M:M,"Vignette",'QA Log'!L:L,"*Vignette [4]: The management of presumptive TB patient*")
)
)</f>
        <v/>
      </c>
      <c r="AW392" s="102" t="str">
        <f>IF(
  A392="","",
  SUM(
    COUNTIFS('QA Log'!D:D,A392,'QA Log'!M:M,"Vignette",'QA Log'!Z:Z,"Approved",'QA Log'!L:L,"*Vignette [1] Respiratory Infection: Pneumonia*"),
    COUNTIFS('QA Log'!D:D,A392,'QA Log'!M:M,"Vignette",'QA Log'!Z:Z,"Approved",'QA Log'!L:L,"*Vignette [2]: Diarrhea with Cat B dehydration*"),
    COUNTIFS('QA Log'!D:D,A392,'QA Log'!M:M,"Vignette",'QA Log'!Z:Z,"Approved",'QA Log'!L:L,"*Vignette [3] Growth Monitoring and Promotion*"),
    COUNTIFS('QA Log'!D:D,A392,'QA Log'!M:M,"Vignette",'QA Log'!Z:Z,"Approved",'QA Log'!L:L,"*Vignette [4]: The management of presumptive TB patient*")
  )
)</f>
        <v/>
      </c>
      <c r="AX392" s="105" t="str">
        <f>IF(A392&lt;&gt;"",COUNTIFS('QA Log'!D:D,A392,'QA Log'!M:M,"Vignette",'QA Log'!L:L,"Vignette [1] Respiratory Infection: Pneumonia",'QA Log'!Z:Z,"Approved"),"")</f>
        <v/>
      </c>
      <c r="AY392" s="105" t="str">
        <f>IF(A392&lt;&gt;"",COUNTIFS('QA Log'!D:D,A392,'QA Log'!M:M,"Vignette",'QA Log'!L:L,"Vignette [2]: Diarrhea with Cat B dehydration",'QA Log'!Z:Z,"Approved"),"")</f>
        <v/>
      </c>
      <c r="AZ392" s="105" t="str">
        <f>IF(A392&lt;&gt;"",COUNTIFS('QA Log'!D:D,A392,'QA Log'!M:M,"Vignette",'QA Log'!L:L,"Vignette [3] Growth Monitoring and Promotion",'QA Log'!Z:Z,"Approved"),"")</f>
        <v/>
      </c>
      <c r="BA392" s="105" t="str">
        <f>IF(A392&lt;&gt;"",COUNTIFS('QA Log'!D:D,A392,'QA Log'!M:M,"Vignette",'QA Log'!L:L,"Vignette [4]: The management of presumptive TB patient",'QA Log'!Z:Z,"Approved"),"")</f>
        <v/>
      </c>
      <c r="BB392" s="102" t="str">
        <f>IF(A392="","",
  SUM(
    COUNTIFS('QA Log'!D:D,A392,'QA Log'!M:M,"Vignette",'QA Log'!Z:Z,"Rejected",'QA Log'!L:L,"*Vignette [1] Respiratory Infection: Pneumonia*"),
    COUNTIFS('QA Log'!D:D,A392,'QA Log'!M:M,"Vignette",'QA Log'!Z:Z,"Rejected",'QA Log'!L:L,"*Vignette [2]: Diarrhea with Cat B dehydration*"),
    COUNTIFS('QA Log'!D:D,A392,'QA Log'!M:M,"Vignette",'QA Log'!Z:Z,"Rejected",'QA Log'!L:L,"*Vignette [3] Growth Monitoring and Promotion*"),
    COUNTIFS('QA Log'!D:D,A392,'QA Log'!M:M,"Vignette",'QA Log'!Z:Z,"Rejected",'QA Log'!L:L,"*Vignette [4]: The management of presumptive TB patient*")
  )
)</f>
        <v/>
      </c>
      <c r="BC392" s="107" t="str">
        <f t="shared" si="35"/>
        <v/>
      </c>
      <c r="BD392" s="103" t="str">
        <f t="shared" si="36"/>
        <v/>
      </c>
      <c r="BE392" s="102" t="str">
        <f>IF(A392="","",SUM(
COUNTIFS('QA Log'!D:D,A392,'QA Log'!M:M,"Vignette",'QA Log'!L:L,"*Vignette [5] Labor*"),
COUNTIFS('QA Log'!D:D,A392,'QA Log'!M:M,"Vignette",'QA Log'!L:L,"*Vignette [6] PNC pre Discharge*"),
COUNTIFS('QA Log'!D:D,A392,'QA Log'!M:M,"Vignette",'QA Log'!L:L,"*Vignette [7] First ANC Visit*"),
COUNTIFS('QA Log'!D:D,A392,'QA Log'!M:M,"Vignette",'QA Log'!L:L,"*Vignette [8] Birth Spacing/ Family Planning :  FP Counselling*"),
COUNTIFS('QA Log'!D:D,A392,'QA Log'!M:M,"Vignette",'QA Log'!L:L,"*Vignette [9] Birth Spacing: Change FP method to Injectable*"),
COUNTIFS('QA Log'!D:D,A392,'QA Log'!M:M,"Vignette",'QA Log'!L:L,"*Vignette [10] Post Partum Haemorrhage - Atonic Uterus at Health Centre*"),
)
)</f>
        <v/>
      </c>
      <c r="BF392" s="102" t="str">
        <f>IF(A392="","",
  SUM(
    COUNTIFS('QA Log'!D:D,A392,'QA Log'!M:M,"Vignette",'QA Log'!Z:Z,"Approved",'QA Log'!L:L,"*Vignette [5] Labor*"),
    COUNTIFS('QA Log'!D:D,A392,'QA Log'!M:M,"Vignette",'QA Log'!Z:Z,"Approved",'QA Log'!L:L,"*Vignette [6] PNC pre Discharge*"),
    COUNTIFS('QA Log'!D:D,A392,'QA Log'!M:M,"Vignette",'QA Log'!Z:Z,"Approved",'QA Log'!L:L,"*Vignette [7] First ANC Visit*"),
    COUNTIFS('QA Log'!D:D,A392,'QA Log'!M:M,"Vignette",'QA Log'!Z:Z,"Approved",'QA Log'!L:L,"*Vignette [8] Birth Spacing/ Family Planning :  FP Counselling*"),
    COUNTIFS('QA Log'!D:D,A392,'QA Log'!M:M,"Vignette",'QA Log'!Z:Z,"Approved",'QA Log'!L:L,"*Vignette [9] Birth Spacing: Change FP method to Injectable*"),
    COUNTIFS('QA Log'!D:D,A392,'QA Log'!M:M,"Vignette",'QA Log'!Z:Z,"Approved",'QA Log'!L:L,"*Vignette [10] Post Partum Haemorrhage - Atonic Uterus at Health Centre*")
  )
)</f>
        <v/>
      </c>
      <c r="BG392" s="105" t="str">
        <f>IF(A392&lt;&gt;"",COUNTIFS('QA Log'!D:D,A392,'QA Log'!M:M,"Vignette",'QA Log'!L:L,"Vignette [5] Labor",'QA Log'!Z:Z,"Approved"),"")</f>
        <v/>
      </c>
      <c r="BH392" s="105" t="str">
        <f>IF(A392&lt;&gt;"",COUNTIFS('QA Log'!D:D,A392,'QA Log'!M:M,"Vignette",'QA Log'!L:L,"Vignette [6] PNC pre Discharge",'QA Log'!Z:Z,"Approved"),"")</f>
        <v/>
      </c>
      <c r="BI392" s="105" t="str">
        <f>IF(A392&lt;&gt;"",COUNTIFS('QA Log'!D:D,A392,'QA Log'!M:M,"Vignette",'QA Log'!L:L,"Vignette [7] First ANC Visit",'QA Log'!Z:Z,"Approved"),"")</f>
        <v/>
      </c>
      <c r="BJ392" s="105" t="str">
        <f>IF(A392&lt;&gt;"",COUNTIFS('QA Log'!D:D,A392,'QA Log'!M:M,"Vignette",'QA Log'!L:L,"Vignette [8] Birth Spacing/ Family Planning :  FP Counselling",'QA Log'!Z:Z,"Approved"),"")</f>
        <v/>
      </c>
      <c r="BK392" s="105" t="str">
        <f>IF(A392&lt;&gt;"",COUNTIFS('QA Log'!D:D,A392,'QA Log'!M:M,"Vignette",'QA Log'!L:L,"Vignette [9] Birth Spacing: Change FP method to Injectable",'QA Log'!Z:Z,"Approved"),"")</f>
        <v/>
      </c>
      <c r="BL392" s="105" t="str">
        <f>IF(A392&lt;&gt;"",COUNTIFS('QA Log'!D:D,A392,'QA Log'!M:M,"Vignette",'QA Log'!L:L,"Vignette [10] Post Partum Haemorrhage - Atonic Uterus at Health Centre",'QA Log'!Z:Z,"Approved"),"")</f>
        <v/>
      </c>
      <c r="BM392" s="102" t="str">
        <f>IF(A392="","",SUM(
    COUNTIFS('QA Log'!D:D,A392,'QA Log'!M:M,"Vignette",'QA Log'!Z:Z,"Rejected",'QA Log'!L:L,"*Vignette [5] Labor*"),
    COUNTIFS('QA Log'!D:D,A392,'QA Log'!M:M,"Vignette",'QA Log'!Z:Z,"Rejected",'QA Log'!L:L,"*Vignette [6] PNC pre Discharge*"),
    COUNTIFS('QA Log'!D:D,A392,'QA Log'!M:M,"Vignette",'QA Log'!Z:Z,"Rejected",'QA Log'!L:L,"*Vignette [7] First ANC Visit*"),
    COUNTIFS('QA Log'!D:D,A392,'QA Log'!M:M,"Vignette",'QA Log'!Z:Z,"Rejected",'QA Log'!L:L,"*Vignette [8] Birth Spacing/ Family Planning :  FP Counselling*"),
    COUNTIFS('QA Log'!D:D,A392,'QA Log'!M:M,"Vignette",'QA Log'!Z:Z,"Rejected",'QA Log'!L:L,"*Vignette [9] Birth Spacing: Change FP method to Injectable*"),
    COUNTIFS('QA Log'!D:D,A392,'QA Log'!M:M,"Vignette",'QA Log'!Z:Z,"Rejected",'QA Log'!L:L,"*Vignette [10] Post Partum Haemorrhage - Atonic Uterus at Health Centre*")
  )
)</f>
        <v/>
      </c>
      <c r="BN392" s="107" t="str">
        <f t="shared" si="37"/>
        <v/>
      </c>
      <c r="BO392" s="103" t="str">
        <f t="shared" si="38"/>
        <v/>
      </c>
      <c r="BP392" s="102" t="str">
        <f>IF(A392="","",SUM(
COUNTIFS('QA Log'!D:D,A392,'QA Log'!M:M,"Vignette",'QA Log'!L:L,"*Exit Interview 1*"),
COUNTIFS('QA Log'!D:D,A392,'QA Log'!M:M,"Vignette",'QA Log'!L:L,"*Exit Interview 2*"),
)
)</f>
        <v/>
      </c>
      <c r="BQ392" s="102" t="str">
        <f>IF(
  A392="","",
  SUM(
    COUNTIFS('QA Log'!D:D,A392,'QA Log'!M:M,"Vignette",'QA Log'!Z:Z,"Approved",'QA Log'!L:L,"*Exit Interview 1*"),
    COUNTIFS('QA Log'!D:D,A392,'QA Log'!M:M,"Vignette",'QA Log'!Z:Z,"Approved",'QA Log'!L:L,"*Exit Interview 2*")
  )
)</f>
        <v/>
      </c>
      <c r="BR392" s="105" t="str">
        <f>IF(A392&lt;&gt;"",COUNTIFS('QA Log'!D:D,A392,'QA Log'!M:M,"Vignette",'QA Log'!L:L,"Exit Interview 1",'QA Log'!Z:Z,"Approved"),"")</f>
        <v/>
      </c>
      <c r="BS392" s="105" t="str">
        <f>IF(A392&lt;&gt;"",COUNTIFS('QA Log'!D:D,A392,'QA Log'!M:M,"Vignette",'QA Log'!L:L,"Exit Interview 2",'QA Log'!Z:Z,"Approved"),"")</f>
        <v/>
      </c>
      <c r="BT392" s="102" t="str">
        <f>IF(
  A392="","",
  SUM(
    COUNTIFS('QA Log'!D:D,A392,'QA Log'!M:M,"Vignette",'QA Log'!Z:Z,"Rejected",'QA Log'!L:L,"*Exit Interview 1*"),
    COUNTIFS('QA Log'!D:D,A392,'QA Log'!M:M,"Vignette",'QA Log'!Z:Z,"Rejected",'QA Log'!L:L,"*Exit Interview 2*")
  )
)</f>
        <v/>
      </c>
      <c r="BU392" s="107" t="str">
        <f t="shared" si="39"/>
        <v/>
      </c>
      <c r="BV392" s="102" t="str">
        <f t="shared" si="40"/>
        <v/>
      </c>
      <c r="BW392" s="102" t="str">
        <f t="shared" si="41"/>
        <v/>
      </c>
      <c r="BX392" s="102" t="str">
        <f t="shared" si="42"/>
        <v/>
      </c>
      <c r="BY392" s="102" t="str">
        <f t="shared" si="43"/>
        <v/>
      </c>
      <c r="BZ392" s="107" t="str">
        <f t="shared" si="44"/>
        <v/>
      </c>
      <c r="CA392" s="108" t="str">
        <f t="shared" si="45"/>
        <v/>
      </c>
      <c r="CB392" s="108" t="str">
        <f t="shared" si="46"/>
        <v/>
      </c>
      <c r="CC392" s="109" t="str">
        <f t="shared" si="47"/>
        <v/>
      </c>
      <c r="CD392" s="108" t="str">
        <f t="shared" si="48"/>
        <v/>
      </c>
      <c r="CE392" s="108" t="str">
        <f t="shared" si="49"/>
        <v/>
      </c>
      <c r="CF392" s="109" t="str">
        <f t="shared" si="50"/>
        <v/>
      </c>
      <c r="CG392" s="110" t="str">
        <f t="shared" si="51"/>
        <v/>
      </c>
      <c r="CH392" s="111"/>
    </row>
    <row r="393" spans="1:86" ht="12.75">
      <c r="A393" s="101"/>
      <c r="B393" s="102" t="e">
        <f t="array" aca="1" ref="B393" ca="1">_xludf.XLOOKUP(A393,'QA Log'!D:D,'QA Log'!E:E,"")</f>
        <v>#NAME?</v>
      </c>
      <c r="C393" s="102" t="e">
        <f t="array" aca="1" ref="C393" ca="1">_xludf.XLOOKUP(A393,'QA Log'!D:D,'QA Log'!F:F,"")</f>
        <v>#NAME?</v>
      </c>
      <c r="D393" s="102" t="e">
        <f t="array" aca="1" ref="D393" ca="1">_xludf.XLOOKUP(A393,'QA Log'!D:D,'QA Log'!H:H,"")</f>
        <v>#NAME?</v>
      </c>
      <c r="E393" s="102" t="e">
        <f t="array" aca="1" ref="E393" ca="1">_xludf.XLOOKUP(A393,'QA Log'!D:D,'QA Log'!G:G,"")</f>
        <v>#NAME?</v>
      </c>
      <c r="F393" s="103"/>
      <c r="G393" s="104"/>
      <c r="H393" s="104"/>
      <c r="I393" s="103" t="str">
        <f t="shared" si="26"/>
        <v/>
      </c>
      <c r="J393" s="102" t="str">
        <f>IF(A393="","",SUM(
COUNTIFS('QA Log'!D:D,A393,'QA Log'!M:M,"QQC",'QA Log'!L:L,"*1. General Management*"),
COUNTIFS('QA Log'!D:D,A393,'QA Log'!M:M,"QQC",'QA Log'!L:L,"*3. Curative Consultation (OPD)*"),
COUNTIFS('QA Log'!D:D,A393,'QA Log'!M:M,"QQC",'QA Log'!L:L,"*5. Laboratory*"),
COUNTIFS('QA Log'!D:D,A393,'QA Log'!M:M,"QQC",'QA Log'!L:L,"*6. Essential Medicine Management*"),
COUNTIFS('QA Log'!D:D,A393,'QA Log'!M:M,"QQC",'QA Log'!L:L,"*7. Tracer Medicine*"),
COUNTIFS('QA Log'!D:D,A393,'QA Log'!M:M,"QQC",'QA Log'!L:L,"*11. Additional Questions*")))</f>
        <v/>
      </c>
      <c r="K393" s="102" t="str">
        <f>IF(A393="","",SUM(
COUNTIFS('QA Log'!D:D,A393,'QA Log'!M:M,"QQC",'QA Log'!Z:Z,"Approved",'QA Log'!L:L,"*1. General Management*"),
COUNTIFS('QA Log'!D:D,A393,'QA Log'!M:M,"QQC",'QA Log'!Z:Z,"Approved",'QA Log'!L:L,"*3. Curative Consultation (OPD)*"),
COUNTIFS('QA Log'!D:D,A393,'QA Log'!M:M,"QQC",'QA Log'!Z:Z,"Approved",'QA Log'!L:L,"*5. Laboratory*"),
COUNTIFS('QA Log'!D:D,A393,'QA Log'!M:M,"QQC",'QA Log'!Z:Z,"Approved",'QA Log'!L:L,"*6. Essential Medicine Management*"),
COUNTIFS('QA Log'!D:D,A393,'QA Log'!M:M,"QQC",'QA Log'!Z:Z,"Approved",'QA Log'!L:L,"*7. Tracer Medicine*"),
COUNTIFS('QA Log'!D:D,A393,'QA Log'!M:M,"QQC",'QA Log'!Z:Z,"Approved",'QA Log'!L:L,"*11. Additional Questions*")))</f>
        <v/>
      </c>
      <c r="L393" s="102" t="str">
        <f>IF(A393&lt;&gt;"",COUNTIFS('QA Log'!D:D,A393,'QA Log'!M:M,"QQC",'QA Log'!L:L,"1. General Management",'QA Log'!Z:Z,"Approved"),"")</f>
        <v/>
      </c>
      <c r="M393" s="102" t="str">
        <f>IF(A393&lt;&gt;"",COUNTIFS('QA Log'!D:D,A393,'QA Log'!M:M,"QQC",'QA Log'!L:L,"3. Curative Consultation (OPD)",'QA Log'!Z:Z,"Approved"),"")</f>
        <v/>
      </c>
      <c r="N393" s="102" t="str">
        <f>IF(A393&lt;&gt;"",COUNTIFS('QA Log'!D:D,A393,'QA Log'!M:M,"QQC",'QA Log'!L:L,"5. Laboratory",'QA Log'!Z:Z,"Approved"),"")</f>
        <v/>
      </c>
      <c r="O393" s="102" t="str">
        <f>IF(A393&lt;&gt;"",COUNTIFS('QA Log'!D:D,A393,'QA Log'!M:M,"QQC",'QA Log'!L:L,"6. Essential Medicine Management",'QA Log'!Z:Z,"Approved"),"")</f>
        <v/>
      </c>
      <c r="P393" s="102" t="str">
        <f>IF(A393&lt;&gt;"",COUNTIFS('QA Log'!D:D,A393,'QA Log'!M:M,"QQC",'QA Log'!L:L,"7. Tracer Medicine",'QA Log'!Z:Z,"Approved"),"")</f>
        <v/>
      </c>
      <c r="Q393" s="102" t="str">
        <f>IF(A393&lt;&gt;"",COUNTIFS('QA Log'!D:D,A393,'QA Log'!M:M,"QQC",'QA Log'!L:L,"11. Additional Questions",'QA Log'!Z:Z,"Approved"),"")</f>
        <v/>
      </c>
      <c r="R393" s="102" t="str">
        <f>IF(A393="","",SUM(
COUNTIFS('QA Log'!D:D,A393,'QA Log'!M:M,"QQC",'QA Log'!Z:Z,"Rejected",'QA Log'!L:L,"*8. Maternity*"),
COUNTIFS('QA Log'!D:D,A393,'QA Log'!M:M,"QQC",'QA Log'!Z:Z,"Rejected",'QA Log'!L:L,"*EPI*"),
COUNTIFS('QA Log'!D:D,A393,'QA Log'!M:M,"QQC",'QA Log'!Z:Z,"Rejected",'QA Log'!L:L,"*10. Antenatal Care (ANC)*"),
COUNTIFS('QA Log'!D:D,A393,'QA Log'!M:M,"QQC",'QA Log'!Z:Z,"Rejected",'QA Log'!L:L,"*2. Hygiene and Sterilization*"),
COUNTIFS('QA Log'!D:D,A393,'QA Log'!M:M,"QQC",'QA Log'!Z:Z,"Rejected",'QA Log'!L:L,"*Family Planning*")))</f>
        <v/>
      </c>
      <c r="S393" s="106" t="str">
        <f t="shared" si="27"/>
        <v/>
      </c>
      <c r="T393" s="102" t="str">
        <f t="shared" si="28"/>
        <v/>
      </c>
      <c r="U393" s="102" t="str">
        <f>IF(A393="","",
SUM(
COUNTIFS('QA Log'!D:D,A393,'QA Log'!M:M,"QQC",'QA Log'!L:L,"*8. Maternity*"),
COUNTIFS('QA Log'!D:D,A393,'QA Log'!M:M,"QQC",'QA Log'!L:L,"*9. EPI and Pre-school Consultation*"),
COUNTIFS('QA Log'!D:D,A393,'QA Log'!M:M,"QQC",'QA Log'!L:L,"*10. Antenatal Care (ANC)*"),
COUNTIFS('QA Log'!D:D,A393,'QA Log'!M:M,"QQC",'QA Log'!L:L,"*2. Hygiene and Sterilization*"),
COUNTIFS('QA Log'!D:D,A393,'QA Log'!M:M,"QQC",'QA Log'!L:L,"*4. Family Planning*")
))</f>
        <v/>
      </c>
      <c r="V393" s="102" t="str">
        <f>IF(A393="","",
SUM(
COUNTIFS('QA Log'!D:D,A393,'QA Log'!M:M,"QQC",'QA Log'!Z:Z,"Approved",'QA Log'!L:L,"*8. Maternity*"),
COUNTIFS('QA Log'!D:D,A393,'QA Log'!M:M,"QQC",'QA Log'!Z:Z,"Approved",'QA Log'!L:L,"*9. EPI and Pre-school Consultation*"),
COUNTIFS('QA Log'!D:D,A393,'QA Log'!M:M,"QQC",'QA Log'!Z:Z,"Approved",'QA Log'!L:L,"*10. Antenatal Care (ANC)*"),
COUNTIFS('QA Log'!D:D,A393,'QA Log'!M:M,"QQC",'QA Log'!Z:Z,"Approved",'QA Log'!L:L,"*2. Hygiene and Sterilization*"),
COUNTIFS('QA Log'!D:D,A393,'QA Log'!M:M,"QQC",'QA Log'!Z:Z,"Approved",'QA Log'!L:L,"*4. Family Planning*")
))</f>
        <v/>
      </c>
      <c r="W393" s="102" t="str">
        <f>IF(A393&lt;&gt;"",COUNTIFS('QA Log'!D:D,A393,'QA Log'!M:M,"QQC",'QA Log'!L:L,"8. Maternity",'QA Log'!Z:Z,"Approved"),"")</f>
        <v/>
      </c>
      <c r="X393" s="105" t="str">
        <f>IF(A393&lt;&gt;"",COUNTIFS('QA Log'!D:D,A393,'QA Log'!M:M,"QQC",'QA Log'!L:L,"9. EPI and Pre-school Consultation",'QA Log'!Z:Z,"Approved"),"")</f>
        <v/>
      </c>
      <c r="Y393" s="102" t="str">
        <f>IF(A393&lt;&gt;"",COUNTIFS('QA Log'!D:D,A393,'QA Log'!M:M,"QQC",'QA Log'!L:L,"10. Antenatal Care (ANC)",'QA Log'!Z:Z,"Approved"),"")</f>
        <v/>
      </c>
      <c r="Z393" s="102" t="str">
        <f>IF(A393&lt;&gt;"",COUNTIFS('QA Log'!D:D,A393,'QA Log'!M:M,"QQC",'QA Log'!L:L,"2. Hygiene and Sterilization",'QA Log'!Z:Z,"Approved"),"")</f>
        <v/>
      </c>
      <c r="AA393" s="105" t="str">
        <f>IF(A393&lt;&gt;"",COUNTIFS('QA Log'!D:D,A393,'QA Log'!M:M,"QQC",'QA Log'!L:L,"4. Family Planning",'QA Log'!Z:Z,"Approved"),"")</f>
        <v/>
      </c>
      <c r="AB393" s="102" t="str">
        <f>IF(A393="","",
SUM(
COUNTIFS('QA Log'!D:D,A393,'QA Log'!M:M,"QQC",'QA Log'!Z:Z,"Rejected",'QA Log'!L:L,"*8. Maternity*"),
COUNTIFS('QA Log'!D:D,A393,'QA Log'!M:M,"QQC",'QA Log'!Z:Z,"Rejected",'QA Log'!L:L,"*9. EPI and Pre-school Consultation*"),
COUNTIFS('QA Log'!D:D,A393,'QA Log'!M:M,"QQC",'QA Log'!Z:Z,"Rejected",'QA Log'!L:L,"*10. Antenatal Care (ANC)*"),
COUNTIFS('QA Log'!D:D,A393,'QA Log'!M:M,"QQC",'QA Log'!Z:Z,"Rejected",'QA Log'!L:L,"*2. Hygiene and Sterilization*"),
COUNTIFS('QA Log'!D:D,A393,'QA Log'!M:M,"QQC",'QA Log'!Z:Z,"Rejected",'QA Log'!L:L,"*4. Family Planning*")
))</f>
        <v/>
      </c>
      <c r="AC393" s="102" t="str">
        <f t="shared" si="29"/>
        <v/>
      </c>
      <c r="AD393" s="103" t="str">
        <f t="shared" si="30"/>
        <v/>
      </c>
      <c r="AE393" s="102" t="str">
        <f>IF(A393="","",
SUM(
COUNTIFS('QA Log'!D:D,A393,'QA Log'!M:M,"Data Verification",'QA Log'!L:L,"*Medicine (section 2)*"),
COUNTIFS('QA Log'!D:D,A393,'QA Log'!M:M,"Data Verification",'QA Log'!L:L,"*Lab Testing Availability*"),
COUNTIFS('QA Log'!D:D,A393,'QA Log'!M:M,"Data Verification",'QA Log'!L:L,"*Other than P4P (section 6)*"),
COUNTIFS('QA Log'!D:D,A393,'QA Log'!M:M,"Data Verification",'QA Log'!L:L,"*Hospital Governance*")
))</f>
        <v/>
      </c>
      <c r="AF393" s="102" t="str">
        <f>IF(A393="","",
SUM(
COUNTIFS('QA Log'!D:D,A393,'QA Log'!M:M,"Data Verification",'QA Log'!Z:Z,"Approved",'QA Log'!L:L,"*Medicine (section 2)*"),
COUNTIFS('QA Log'!D:D,A393,'QA Log'!M:M,"Data Verification",'QA Log'!Z:Z,"Approved",'QA Log'!L:L,"*Lab Testing Availability*"),
COUNTIFS('QA Log'!D:D,A393,'QA Log'!M:M,"Data Verification",'QA Log'!Z:Z,"Approved",'QA Log'!L:L,"*Other than P4P (section 6)*"),
COUNTIFS('QA Log'!D:D,A393,'QA Log'!M:M,"Data Verification",'QA Log'!Z:Z,"Approved",'QA Log'!L:L,"*Hospital Governance*")
))</f>
        <v/>
      </c>
      <c r="AG393" s="105" t="str">
        <f>IF(A393&lt;&gt;"",COUNTIFS('QA Log'!D:D,A393,'QA Log'!M:M,"Data Verification",'QA Log'!L:L,"Medicine (section 2)",'QA Log'!Z:Z,"Approved"),"")</f>
        <v/>
      </c>
      <c r="AH393" s="105" t="str">
        <f>IF(A393&lt;&gt;"",COUNTIFS('QA Log'!D:D,A393,'QA Log'!M:M,"Data Verification",'QA Log'!L:L,"Lab Testing Availability",'QA Log'!Z:Z,"Approved"),"")</f>
        <v/>
      </c>
      <c r="AI393" s="105" t="str">
        <f>IF(A393&lt;&gt;"",COUNTIFS('QA Log'!D:D,A393,'QA Log'!M:M,"Data Verification",'QA Log'!L:L,"Other than P4P (section 6)",'QA Log'!Z:Z,"Approved"),"")</f>
        <v/>
      </c>
      <c r="AJ393" s="105" t="str">
        <f>IF(A393&lt;&gt;"",COUNTIFS('QA Log'!D:D,A393,'QA Log'!M:M,"Data Verification",'QA Log'!L:L,"Hospital Governance",'QA Log'!Z:Z,"Approved"),"")</f>
        <v/>
      </c>
      <c r="AK393" s="102" t="str">
        <f>IF(A393="","",
SUM(
COUNTIFS('QA Log'!D:D,A393,'QA Log'!M:M,"Data Verification",'QA Log'!Z:Z,"Rejected",'QA Log'!L:L,"*Medicine (section 2)*"),
COUNTIFS('QA Log'!D:D,A393,'QA Log'!M:M,"Data Verification",'QA Log'!Z:Z,"Rejected",'QA Log'!L:L,"*Lab Testing Availability*"),
COUNTIFS('QA Log'!D:D,A393,'QA Log'!M:M,"Data Verification",'QA Log'!Z:Z,"Rejected",'QA Log'!L:L,"*Other than P4P (section 6)*"),
COUNTIFS('QA Log'!D:D,A393,'QA Log'!M:M,"Data Verification",'QA Log'!Z:Z,"Rejected",'QA Log'!L:L,"*Hospital Governance*")
))</f>
        <v/>
      </c>
      <c r="AL393" s="106" t="str">
        <f t="shared" si="31"/>
        <v/>
      </c>
      <c r="AM393" s="102" t="str">
        <f t="shared" si="32"/>
        <v/>
      </c>
      <c r="AN393" s="102" t="str">
        <f>IF(A393="","",
SUM(
COUNTIFS('QA Log'!D:D,A393,'QA Log'!M:M,"Data Verification",'QA Log'!L:L,"*Personnel (section 1)*"),
COUNTIFS('QA Log'!D:D,A393,'QA Log'!M:M,"Data Verification",'QA Log'!L:L,"*Consumable (section 3)*"),
COUNTIFS('QA Log'!D:D,A393,'QA Log'!M:M,"Data Verification",'QA Log'!L:L,"*Equipments (section 4)*")
))</f>
        <v/>
      </c>
      <c r="AO393" s="102" t="str">
        <f>IF(A393="","",
SUM(
COUNTIFS('QA Log'!D:D,A393,'QA Log'!M:M,"Data Verification",'QA Log'!Z:Z,"Approved",'QA Log'!L:L,"*Personnel (section 1)*"),
COUNTIFS('QA Log'!D:D,A393,'QA Log'!M:M,"Data Verification",'QA Log'!Z:Z,"Approved",'QA Log'!L:L,"*Consumable (section 3)*"),
COUNTIFS('QA Log'!D:D,A393,'QA Log'!M:M,"Data Verification",'QA Log'!Z:Z,"Approved",'QA Log'!L:L,"*Equipments (section 4)*")
))</f>
        <v/>
      </c>
      <c r="AP393" s="105" t="str">
        <f>IF(A393&lt;&gt;"",COUNTIFS('QA Log'!D:D,A393,'QA Log'!M:M,"Data Verification",'QA Log'!L:L,"Personnel (section 1)",'QA Log'!Z:Z,"Approved"),"")</f>
        <v/>
      </c>
      <c r="AQ393" s="105" t="str">
        <f>IF(A393&lt;&gt;"",COUNTIFS('QA Log'!D:D,A393,'QA Log'!M:M,"Data Verification",'QA Log'!L:L,"Consumable (section 3)",'QA Log'!Z:Z,"Approved"),"")</f>
        <v/>
      </c>
      <c r="AR393" s="105" t="str">
        <f>IF(A393&lt;&gt;"",COUNTIFS('QA Log'!D:D,A393,'QA Log'!M:M,"Data Verification",'QA Log'!L:L,"Equipments (section 4)",'QA Log'!Z:Z,"Approved"),"")</f>
        <v/>
      </c>
      <c r="AS393" s="102" t="str">
        <f>IF(A393="","",
SUM(
COUNTIFS('QA Log'!D:D,A393,'QA Log'!M:M,"Data Verification",'QA Log'!Z:Z,"Rejected",'QA Log'!L:L,"*Personnel (section 1)*"),
COUNTIFS('QA Log'!D:D,A393,'QA Log'!M:M,"Data Verification",'QA Log'!Z:Z,"Rejected",'QA Log'!L:L,"*Consumable (section 3)*"),
COUNTIFS('QA Log'!D:D,A393,'QA Log'!M:M,"Data Verification",'QA Log'!Z:Z,"Rejected",'QA Log'!L:L,"*Equipments (section 4)*")
))</f>
        <v/>
      </c>
      <c r="AT393" s="102" t="str">
        <f t="shared" si="33"/>
        <v/>
      </c>
      <c r="AU393" s="103" t="str">
        <f t="shared" si="34"/>
        <v/>
      </c>
      <c r="AV393" s="102" t="str">
        <f>IF(A393="","",SUM(
COUNTIFS('QA Log'!D:D,A393,'QA Log'!M:M,"Vignette",'QA Log'!L:L,"*Vignette [1] Respiratory Infection: Pneumonia*"),
COUNTIFS('QA Log'!D:D,A393,'QA Log'!M:M,"Vignette",'QA Log'!L:L,"*Vignette [2]: Diarrhea with Cat B dehydration*"),
COUNTIFS('QA Log'!D:D,A393,'QA Log'!M:M,"Vignette",'QA Log'!L:L,"*Vignette [3] Growth Monitoring and Promotion*"),
COUNTIFS('QA Log'!D:D,A393,'QA Log'!M:M,"Vignette",'QA Log'!L:L,"*Vignette [4]: The management of presumptive TB patient*")
)
)</f>
        <v/>
      </c>
      <c r="AW393" s="102" t="str">
        <f>IF(
  A393="","",
  SUM(
    COUNTIFS('QA Log'!D:D,A393,'QA Log'!M:M,"Vignette",'QA Log'!Z:Z,"Approved",'QA Log'!L:L,"*Vignette [1] Respiratory Infection: Pneumonia*"),
    COUNTIFS('QA Log'!D:D,A393,'QA Log'!M:M,"Vignette",'QA Log'!Z:Z,"Approved",'QA Log'!L:L,"*Vignette [2]: Diarrhea with Cat B dehydration*"),
    COUNTIFS('QA Log'!D:D,A393,'QA Log'!M:M,"Vignette",'QA Log'!Z:Z,"Approved",'QA Log'!L:L,"*Vignette [3] Growth Monitoring and Promotion*"),
    COUNTIFS('QA Log'!D:D,A393,'QA Log'!M:M,"Vignette",'QA Log'!Z:Z,"Approved",'QA Log'!L:L,"*Vignette [4]: The management of presumptive TB patient*")
  )
)</f>
        <v/>
      </c>
      <c r="AX393" s="105" t="str">
        <f>IF(A393&lt;&gt;"",COUNTIFS('QA Log'!D:D,A393,'QA Log'!M:M,"Vignette",'QA Log'!L:L,"Vignette [1] Respiratory Infection: Pneumonia",'QA Log'!Z:Z,"Approved"),"")</f>
        <v/>
      </c>
      <c r="AY393" s="105" t="str">
        <f>IF(A393&lt;&gt;"",COUNTIFS('QA Log'!D:D,A393,'QA Log'!M:M,"Vignette",'QA Log'!L:L,"Vignette [2]: Diarrhea with Cat B dehydration",'QA Log'!Z:Z,"Approved"),"")</f>
        <v/>
      </c>
      <c r="AZ393" s="105" t="str">
        <f>IF(A393&lt;&gt;"",COUNTIFS('QA Log'!D:D,A393,'QA Log'!M:M,"Vignette",'QA Log'!L:L,"Vignette [3] Growth Monitoring and Promotion",'QA Log'!Z:Z,"Approved"),"")</f>
        <v/>
      </c>
      <c r="BA393" s="105" t="str">
        <f>IF(A393&lt;&gt;"",COUNTIFS('QA Log'!D:D,A393,'QA Log'!M:M,"Vignette",'QA Log'!L:L,"Vignette [4]: The management of presumptive TB patient",'QA Log'!Z:Z,"Approved"),"")</f>
        <v/>
      </c>
      <c r="BB393" s="102" t="str">
        <f>IF(A393="","",
  SUM(
    COUNTIFS('QA Log'!D:D,A393,'QA Log'!M:M,"Vignette",'QA Log'!Z:Z,"Rejected",'QA Log'!L:L,"*Vignette [1] Respiratory Infection: Pneumonia*"),
    COUNTIFS('QA Log'!D:D,A393,'QA Log'!M:M,"Vignette",'QA Log'!Z:Z,"Rejected",'QA Log'!L:L,"*Vignette [2]: Diarrhea with Cat B dehydration*"),
    COUNTIFS('QA Log'!D:D,A393,'QA Log'!M:M,"Vignette",'QA Log'!Z:Z,"Rejected",'QA Log'!L:L,"*Vignette [3] Growth Monitoring and Promotion*"),
    COUNTIFS('QA Log'!D:D,A393,'QA Log'!M:M,"Vignette",'QA Log'!Z:Z,"Rejected",'QA Log'!L:L,"*Vignette [4]: The management of presumptive TB patient*")
  )
)</f>
        <v/>
      </c>
      <c r="BC393" s="107" t="str">
        <f t="shared" si="35"/>
        <v/>
      </c>
      <c r="BD393" s="103" t="str">
        <f t="shared" si="36"/>
        <v/>
      </c>
      <c r="BE393" s="102" t="str">
        <f>IF(A393="","",SUM(
COUNTIFS('QA Log'!D:D,A393,'QA Log'!M:M,"Vignette",'QA Log'!L:L,"*Vignette [5] Labor*"),
COUNTIFS('QA Log'!D:D,A393,'QA Log'!M:M,"Vignette",'QA Log'!L:L,"*Vignette [6] PNC pre Discharge*"),
COUNTIFS('QA Log'!D:D,A393,'QA Log'!M:M,"Vignette",'QA Log'!L:L,"*Vignette [7] First ANC Visit*"),
COUNTIFS('QA Log'!D:D,A393,'QA Log'!M:M,"Vignette",'QA Log'!L:L,"*Vignette [8] Birth Spacing/ Family Planning :  FP Counselling*"),
COUNTIFS('QA Log'!D:D,A393,'QA Log'!M:M,"Vignette",'QA Log'!L:L,"*Vignette [9] Birth Spacing: Change FP method to Injectable*"),
COUNTIFS('QA Log'!D:D,A393,'QA Log'!M:M,"Vignette",'QA Log'!L:L,"*Vignette [10] Post Partum Haemorrhage - Atonic Uterus at Health Centre*"),
)
)</f>
        <v/>
      </c>
      <c r="BF393" s="102" t="str">
        <f>IF(A393="","",
  SUM(
    COUNTIFS('QA Log'!D:D,A393,'QA Log'!M:M,"Vignette",'QA Log'!Z:Z,"Approved",'QA Log'!L:L,"*Vignette [5] Labor*"),
    COUNTIFS('QA Log'!D:D,A393,'QA Log'!M:M,"Vignette",'QA Log'!Z:Z,"Approved",'QA Log'!L:L,"*Vignette [6] PNC pre Discharge*"),
    COUNTIFS('QA Log'!D:D,A393,'QA Log'!M:M,"Vignette",'QA Log'!Z:Z,"Approved",'QA Log'!L:L,"*Vignette [7] First ANC Visit*"),
    COUNTIFS('QA Log'!D:D,A393,'QA Log'!M:M,"Vignette",'QA Log'!Z:Z,"Approved",'QA Log'!L:L,"*Vignette [8] Birth Spacing/ Family Planning :  FP Counselling*"),
    COUNTIFS('QA Log'!D:D,A393,'QA Log'!M:M,"Vignette",'QA Log'!Z:Z,"Approved",'QA Log'!L:L,"*Vignette [9] Birth Spacing: Change FP method to Injectable*"),
    COUNTIFS('QA Log'!D:D,A393,'QA Log'!M:M,"Vignette",'QA Log'!Z:Z,"Approved",'QA Log'!L:L,"*Vignette [10] Post Partum Haemorrhage - Atonic Uterus at Health Centre*")
  )
)</f>
        <v/>
      </c>
      <c r="BG393" s="105" t="str">
        <f>IF(A393&lt;&gt;"",COUNTIFS('QA Log'!D:D,A393,'QA Log'!M:M,"Vignette",'QA Log'!L:L,"Vignette [5] Labor",'QA Log'!Z:Z,"Approved"),"")</f>
        <v/>
      </c>
      <c r="BH393" s="105" t="str">
        <f>IF(A393&lt;&gt;"",COUNTIFS('QA Log'!D:D,A393,'QA Log'!M:M,"Vignette",'QA Log'!L:L,"Vignette [6] PNC pre Discharge",'QA Log'!Z:Z,"Approved"),"")</f>
        <v/>
      </c>
      <c r="BI393" s="105" t="str">
        <f>IF(A393&lt;&gt;"",COUNTIFS('QA Log'!D:D,A393,'QA Log'!M:M,"Vignette",'QA Log'!L:L,"Vignette [7] First ANC Visit",'QA Log'!Z:Z,"Approved"),"")</f>
        <v/>
      </c>
      <c r="BJ393" s="105" t="str">
        <f>IF(A393&lt;&gt;"",COUNTIFS('QA Log'!D:D,A393,'QA Log'!M:M,"Vignette",'QA Log'!L:L,"Vignette [8] Birth Spacing/ Family Planning :  FP Counselling",'QA Log'!Z:Z,"Approved"),"")</f>
        <v/>
      </c>
      <c r="BK393" s="105" t="str">
        <f>IF(A393&lt;&gt;"",COUNTIFS('QA Log'!D:D,A393,'QA Log'!M:M,"Vignette",'QA Log'!L:L,"Vignette [9] Birth Spacing: Change FP method to Injectable",'QA Log'!Z:Z,"Approved"),"")</f>
        <v/>
      </c>
      <c r="BL393" s="105" t="str">
        <f>IF(A393&lt;&gt;"",COUNTIFS('QA Log'!D:D,A393,'QA Log'!M:M,"Vignette",'QA Log'!L:L,"Vignette [10] Post Partum Haemorrhage - Atonic Uterus at Health Centre",'QA Log'!Z:Z,"Approved"),"")</f>
        <v/>
      </c>
      <c r="BM393" s="102" t="str">
        <f>IF(A393="","",SUM(
    COUNTIFS('QA Log'!D:D,A393,'QA Log'!M:M,"Vignette",'QA Log'!Z:Z,"Rejected",'QA Log'!L:L,"*Vignette [5] Labor*"),
    COUNTIFS('QA Log'!D:D,A393,'QA Log'!M:M,"Vignette",'QA Log'!Z:Z,"Rejected",'QA Log'!L:L,"*Vignette [6] PNC pre Discharge*"),
    COUNTIFS('QA Log'!D:D,A393,'QA Log'!M:M,"Vignette",'QA Log'!Z:Z,"Rejected",'QA Log'!L:L,"*Vignette [7] First ANC Visit*"),
    COUNTIFS('QA Log'!D:D,A393,'QA Log'!M:M,"Vignette",'QA Log'!Z:Z,"Rejected",'QA Log'!L:L,"*Vignette [8] Birth Spacing/ Family Planning :  FP Counselling*"),
    COUNTIFS('QA Log'!D:D,A393,'QA Log'!M:M,"Vignette",'QA Log'!Z:Z,"Rejected",'QA Log'!L:L,"*Vignette [9] Birth Spacing: Change FP method to Injectable*"),
    COUNTIFS('QA Log'!D:D,A393,'QA Log'!M:M,"Vignette",'QA Log'!Z:Z,"Rejected",'QA Log'!L:L,"*Vignette [10] Post Partum Haemorrhage - Atonic Uterus at Health Centre*")
  )
)</f>
        <v/>
      </c>
      <c r="BN393" s="107" t="str">
        <f t="shared" si="37"/>
        <v/>
      </c>
      <c r="BO393" s="103" t="str">
        <f t="shared" si="38"/>
        <v/>
      </c>
      <c r="BP393" s="102" t="str">
        <f>IF(A393="","",SUM(
COUNTIFS('QA Log'!D:D,A393,'QA Log'!M:M,"Vignette",'QA Log'!L:L,"*Exit Interview 1*"),
COUNTIFS('QA Log'!D:D,A393,'QA Log'!M:M,"Vignette",'QA Log'!L:L,"*Exit Interview 2*"),
)
)</f>
        <v/>
      </c>
      <c r="BQ393" s="102" t="str">
        <f>IF(
  A393="","",
  SUM(
    COUNTIFS('QA Log'!D:D,A393,'QA Log'!M:M,"Vignette",'QA Log'!Z:Z,"Approved",'QA Log'!L:L,"*Exit Interview 1*"),
    COUNTIFS('QA Log'!D:D,A393,'QA Log'!M:M,"Vignette",'QA Log'!Z:Z,"Approved",'QA Log'!L:L,"*Exit Interview 2*")
  )
)</f>
        <v/>
      </c>
      <c r="BR393" s="105" t="str">
        <f>IF(A393&lt;&gt;"",COUNTIFS('QA Log'!D:D,A393,'QA Log'!M:M,"Vignette",'QA Log'!L:L,"Exit Interview 1",'QA Log'!Z:Z,"Approved"),"")</f>
        <v/>
      </c>
      <c r="BS393" s="105" t="str">
        <f>IF(A393&lt;&gt;"",COUNTIFS('QA Log'!D:D,A393,'QA Log'!M:M,"Vignette",'QA Log'!L:L,"Exit Interview 2",'QA Log'!Z:Z,"Approved"),"")</f>
        <v/>
      </c>
      <c r="BT393" s="102" t="str">
        <f>IF(
  A393="","",
  SUM(
    COUNTIFS('QA Log'!D:D,A393,'QA Log'!M:M,"Vignette",'QA Log'!Z:Z,"Rejected",'QA Log'!L:L,"*Exit Interview 1*"),
    COUNTIFS('QA Log'!D:D,A393,'QA Log'!M:M,"Vignette",'QA Log'!Z:Z,"Rejected",'QA Log'!L:L,"*Exit Interview 2*")
  )
)</f>
        <v/>
      </c>
      <c r="BU393" s="107" t="str">
        <f t="shared" si="39"/>
        <v/>
      </c>
      <c r="BV393" s="102" t="str">
        <f t="shared" si="40"/>
        <v/>
      </c>
      <c r="BW393" s="102" t="str">
        <f t="shared" si="41"/>
        <v/>
      </c>
      <c r="BX393" s="102" t="str">
        <f t="shared" si="42"/>
        <v/>
      </c>
      <c r="BY393" s="102" t="str">
        <f t="shared" si="43"/>
        <v/>
      </c>
      <c r="BZ393" s="107" t="str">
        <f t="shared" si="44"/>
        <v/>
      </c>
      <c r="CA393" s="108" t="str">
        <f t="shared" si="45"/>
        <v/>
      </c>
      <c r="CB393" s="108" t="str">
        <f t="shared" si="46"/>
        <v/>
      </c>
      <c r="CC393" s="109" t="str">
        <f t="shared" si="47"/>
        <v/>
      </c>
      <c r="CD393" s="108" t="str">
        <f t="shared" si="48"/>
        <v/>
      </c>
      <c r="CE393" s="108" t="str">
        <f t="shared" si="49"/>
        <v/>
      </c>
      <c r="CF393" s="109" t="str">
        <f t="shared" si="50"/>
        <v/>
      </c>
      <c r="CG393" s="110" t="str">
        <f t="shared" si="51"/>
        <v/>
      </c>
      <c r="CH393" s="111"/>
    </row>
    <row r="394" spans="1:86" ht="12.75">
      <c r="A394" s="101"/>
      <c r="B394" s="102" t="e">
        <f t="array" aca="1" ref="B394" ca="1">_xludf.XLOOKUP(A394,'QA Log'!D:D,'QA Log'!E:E,"")</f>
        <v>#NAME?</v>
      </c>
      <c r="C394" s="102" t="e">
        <f t="array" aca="1" ref="C394" ca="1">_xludf.XLOOKUP(A394,'QA Log'!D:D,'QA Log'!F:F,"")</f>
        <v>#NAME?</v>
      </c>
      <c r="D394" s="102" t="e">
        <f t="array" aca="1" ref="D394" ca="1">_xludf.XLOOKUP(A394,'QA Log'!D:D,'QA Log'!H:H,"")</f>
        <v>#NAME?</v>
      </c>
      <c r="E394" s="102" t="e">
        <f t="array" aca="1" ref="E394" ca="1">_xludf.XLOOKUP(A394,'QA Log'!D:D,'QA Log'!G:G,"")</f>
        <v>#NAME?</v>
      </c>
      <c r="F394" s="103"/>
      <c r="G394" s="104"/>
      <c r="H394" s="104"/>
      <c r="I394" s="103" t="str">
        <f t="shared" si="26"/>
        <v/>
      </c>
      <c r="J394" s="102" t="str">
        <f>IF(A394="","",SUM(
COUNTIFS('QA Log'!D:D,A394,'QA Log'!M:M,"QQC",'QA Log'!L:L,"*1. General Management*"),
COUNTIFS('QA Log'!D:D,A394,'QA Log'!M:M,"QQC",'QA Log'!L:L,"*3. Curative Consultation (OPD)*"),
COUNTIFS('QA Log'!D:D,A394,'QA Log'!M:M,"QQC",'QA Log'!L:L,"*5. Laboratory*"),
COUNTIFS('QA Log'!D:D,A394,'QA Log'!M:M,"QQC",'QA Log'!L:L,"*6. Essential Medicine Management*"),
COUNTIFS('QA Log'!D:D,A394,'QA Log'!M:M,"QQC",'QA Log'!L:L,"*7. Tracer Medicine*"),
COUNTIFS('QA Log'!D:D,A394,'QA Log'!M:M,"QQC",'QA Log'!L:L,"*11. Additional Questions*")))</f>
        <v/>
      </c>
      <c r="K394" s="102" t="str">
        <f>IF(A394="","",SUM(
COUNTIFS('QA Log'!D:D,A394,'QA Log'!M:M,"QQC",'QA Log'!Z:Z,"Approved",'QA Log'!L:L,"*1. General Management*"),
COUNTIFS('QA Log'!D:D,A394,'QA Log'!M:M,"QQC",'QA Log'!Z:Z,"Approved",'QA Log'!L:L,"*3. Curative Consultation (OPD)*"),
COUNTIFS('QA Log'!D:D,A394,'QA Log'!M:M,"QQC",'QA Log'!Z:Z,"Approved",'QA Log'!L:L,"*5. Laboratory*"),
COUNTIFS('QA Log'!D:D,A394,'QA Log'!M:M,"QQC",'QA Log'!Z:Z,"Approved",'QA Log'!L:L,"*6. Essential Medicine Management*"),
COUNTIFS('QA Log'!D:D,A394,'QA Log'!M:M,"QQC",'QA Log'!Z:Z,"Approved",'QA Log'!L:L,"*7. Tracer Medicine*"),
COUNTIFS('QA Log'!D:D,A394,'QA Log'!M:M,"QQC",'QA Log'!Z:Z,"Approved",'QA Log'!L:L,"*11. Additional Questions*")))</f>
        <v/>
      </c>
      <c r="L394" s="102" t="str">
        <f>IF(A394&lt;&gt;"",COUNTIFS('QA Log'!D:D,A394,'QA Log'!M:M,"QQC",'QA Log'!L:L,"1. General Management",'QA Log'!Z:Z,"Approved"),"")</f>
        <v/>
      </c>
      <c r="M394" s="102" t="str">
        <f>IF(A394&lt;&gt;"",COUNTIFS('QA Log'!D:D,A394,'QA Log'!M:M,"QQC",'QA Log'!L:L,"3. Curative Consultation (OPD)",'QA Log'!Z:Z,"Approved"),"")</f>
        <v/>
      </c>
      <c r="N394" s="102" t="str">
        <f>IF(A394&lt;&gt;"",COUNTIFS('QA Log'!D:D,A394,'QA Log'!M:M,"QQC",'QA Log'!L:L,"5. Laboratory",'QA Log'!Z:Z,"Approved"),"")</f>
        <v/>
      </c>
      <c r="O394" s="102" t="str">
        <f>IF(A394&lt;&gt;"",COUNTIFS('QA Log'!D:D,A394,'QA Log'!M:M,"QQC",'QA Log'!L:L,"6. Essential Medicine Management",'QA Log'!Z:Z,"Approved"),"")</f>
        <v/>
      </c>
      <c r="P394" s="102" t="str">
        <f>IF(A394&lt;&gt;"",COUNTIFS('QA Log'!D:D,A394,'QA Log'!M:M,"QQC",'QA Log'!L:L,"7. Tracer Medicine",'QA Log'!Z:Z,"Approved"),"")</f>
        <v/>
      </c>
      <c r="Q394" s="102" t="str">
        <f>IF(A394&lt;&gt;"",COUNTIFS('QA Log'!D:D,A394,'QA Log'!M:M,"QQC",'QA Log'!L:L,"11. Additional Questions",'QA Log'!Z:Z,"Approved"),"")</f>
        <v/>
      </c>
      <c r="R394" s="102" t="str">
        <f>IF(A394="","",SUM(
COUNTIFS('QA Log'!D:D,A394,'QA Log'!M:M,"QQC",'QA Log'!Z:Z,"Rejected",'QA Log'!L:L,"*8. Maternity*"),
COUNTIFS('QA Log'!D:D,A394,'QA Log'!M:M,"QQC",'QA Log'!Z:Z,"Rejected",'QA Log'!L:L,"*EPI*"),
COUNTIFS('QA Log'!D:D,A394,'QA Log'!M:M,"QQC",'QA Log'!Z:Z,"Rejected",'QA Log'!L:L,"*10. Antenatal Care (ANC)*"),
COUNTIFS('QA Log'!D:D,A394,'QA Log'!M:M,"QQC",'QA Log'!Z:Z,"Rejected",'QA Log'!L:L,"*2. Hygiene and Sterilization*"),
COUNTIFS('QA Log'!D:D,A394,'QA Log'!M:M,"QQC",'QA Log'!Z:Z,"Rejected",'QA Log'!L:L,"*Family Planning*")))</f>
        <v/>
      </c>
      <c r="S394" s="106" t="str">
        <f t="shared" si="27"/>
        <v/>
      </c>
      <c r="T394" s="102" t="str">
        <f t="shared" si="28"/>
        <v/>
      </c>
      <c r="U394" s="102" t="str">
        <f>IF(A394="","",
SUM(
COUNTIFS('QA Log'!D:D,A394,'QA Log'!M:M,"QQC",'QA Log'!L:L,"*8. Maternity*"),
COUNTIFS('QA Log'!D:D,A394,'QA Log'!M:M,"QQC",'QA Log'!L:L,"*9. EPI and Pre-school Consultation*"),
COUNTIFS('QA Log'!D:D,A394,'QA Log'!M:M,"QQC",'QA Log'!L:L,"*10. Antenatal Care (ANC)*"),
COUNTIFS('QA Log'!D:D,A394,'QA Log'!M:M,"QQC",'QA Log'!L:L,"*2. Hygiene and Sterilization*"),
COUNTIFS('QA Log'!D:D,A394,'QA Log'!M:M,"QQC",'QA Log'!L:L,"*4. Family Planning*")
))</f>
        <v/>
      </c>
      <c r="V394" s="102" t="str">
        <f>IF(A394="","",
SUM(
COUNTIFS('QA Log'!D:D,A394,'QA Log'!M:M,"QQC",'QA Log'!Z:Z,"Approved",'QA Log'!L:L,"*8. Maternity*"),
COUNTIFS('QA Log'!D:D,A394,'QA Log'!M:M,"QQC",'QA Log'!Z:Z,"Approved",'QA Log'!L:L,"*9. EPI and Pre-school Consultation*"),
COUNTIFS('QA Log'!D:D,A394,'QA Log'!M:M,"QQC",'QA Log'!Z:Z,"Approved",'QA Log'!L:L,"*10. Antenatal Care (ANC)*"),
COUNTIFS('QA Log'!D:D,A394,'QA Log'!M:M,"QQC",'QA Log'!Z:Z,"Approved",'QA Log'!L:L,"*2. Hygiene and Sterilization*"),
COUNTIFS('QA Log'!D:D,A394,'QA Log'!M:M,"QQC",'QA Log'!Z:Z,"Approved",'QA Log'!L:L,"*4. Family Planning*")
))</f>
        <v/>
      </c>
      <c r="W394" s="102" t="str">
        <f>IF(A394&lt;&gt;"",COUNTIFS('QA Log'!D:D,A394,'QA Log'!M:M,"QQC",'QA Log'!L:L,"8. Maternity",'QA Log'!Z:Z,"Approved"),"")</f>
        <v/>
      </c>
      <c r="X394" s="105" t="str">
        <f>IF(A394&lt;&gt;"",COUNTIFS('QA Log'!D:D,A394,'QA Log'!M:M,"QQC",'QA Log'!L:L,"9. EPI and Pre-school Consultation",'QA Log'!Z:Z,"Approved"),"")</f>
        <v/>
      </c>
      <c r="Y394" s="102" t="str">
        <f>IF(A394&lt;&gt;"",COUNTIFS('QA Log'!D:D,A394,'QA Log'!M:M,"QQC",'QA Log'!L:L,"10. Antenatal Care (ANC)",'QA Log'!Z:Z,"Approved"),"")</f>
        <v/>
      </c>
      <c r="Z394" s="102" t="str">
        <f>IF(A394&lt;&gt;"",COUNTIFS('QA Log'!D:D,A394,'QA Log'!M:M,"QQC",'QA Log'!L:L,"2. Hygiene and Sterilization",'QA Log'!Z:Z,"Approved"),"")</f>
        <v/>
      </c>
      <c r="AA394" s="105" t="str">
        <f>IF(A394&lt;&gt;"",COUNTIFS('QA Log'!D:D,A394,'QA Log'!M:M,"QQC",'QA Log'!L:L,"4. Family Planning",'QA Log'!Z:Z,"Approved"),"")</f>
        <v/>
      </c>
      <c r="AB394" s="102" t="str">
        <f>IF(A394="","",
SUM(
COUNTIFS('QA Log'!D:D,A394,'QA Log'!M:M,"QQC",'QA Log'!Z:Z,"Rejected",'QA Log'!L:L,"*8. Maternity*"),
COUNTIFS('QA Log'!D:D,A394,'QA Log'!M:M,"QQC",'QA Log'!Z:Z,"Rejected",'QA Log'!L:L,"*9. EPI and Pre-school Consultation*"),
COUNTIFS('QA Log'!D:D,A394,'QA Log'!M:M,"QQC",'QA Log'!Z:Z,"Rejected",'QA Log'!L:L,"*10. Antenatal Care (ANC)*"),
COUNTIFS('QA Log'!D:D,A394,'QA Log'!M:M,"QQC",'QA Log'!Z:Z,"Rejected",'QA Log'!L:L,"*2. Hygiene and Sterilization*"),
COUNTIFS('QA Log'!D:D,A394,'QA Log'!M:M,"QQC",'QA Log'!Z:Z,"Rejected",'QA Log'!L:L,"*4. Family Planning*")
))</f>
        <v/>
      </c>
      <c r="AC394" s="102" t="str">
        <f t="shared" si="29"/>
        <v/>
      </c>
      <c r="AD394" s="103" t="str">
        <f t="shared" si="30"/>
        <v/>
      </c>
      <c r="AE394" s="102" t="str">
        <f>IF(A394="","",
SUM(
COUNTIFS('QA Log'!D:D,A394,'QA Log'!M:M,"Data Verification",'QA Log'!L:L,"*Medicine (section 2)*"),
COUNTIFS('QA Log'!D:D,A394,'QA Log'!M:M,"Data Verification",'QA Log'!L:L,"*Lab Testing Availability*"),
COUNTIFS('QA Log'!D:D,A394,'QA Log'!M:M,"Data Verification",'QA Log'!L:L,"*Other than P4P (section 6)*"),
COUNTIFS('QA Log'!D:D,A394,'QA Log'!M:M,"Data Verification",'QA Log'!L:L,"*Hospital Governance*")
))</f>
        <v/>
      </c>
      <c r="AF394" s="102" t="str">
        <f>IF(A394="","",
SUM(
COUNTIFS('QA Log'!D:D,A394,'QA Log'!M:M,"Data Verification",'QA Log'!Z:Z,"Approved",'QA Log'!L:L,"*Medicine (section 2)*"),
COUNTIFS('QA Log'!D:D,A394,'QA Log'!M:M,"Data Verification",'QA Log'!Z:Z,"Approved",'QA Log'!L:L,"*Lab Testing Availability*"),
COUNTIFS('QA Log'!D:D,A394,'QA Log'!M:M,"Data Verification",'QA Log'!Z:Z,"Approved",'QA Log'!L:L,"*Other than P4P (section 6)*"),
COUNTIFS('QA Log'!D:D,A394,'QA Log'!M:M,"Data Verification",'QA Log'!Z:Z,"Approved",'QA Log'!L:L,"*Hospital Governance*")
))</f>
        <v/>
      </c>
      <c r="AG394" s="105" t="str">
        <f>IF(A394&lt;&gt;"",COUNTIFS('QA Log'!D:D,A394,'QA Log'!M:M,"Data Verification",'QA Log'!L:L,"Medicine (section 2)",'QA Log'!Z:Z,"Approved"),"")</f>
        <v/>
      </c>
      <c r="AH394" s="105" t="str">
        <f>IF(A394&lt;&gt;"",COUNTIFS('QA Log'!D:D,A394,'QA Log'!M:M,"Data Verification",'QA Log'!L:L,"Lab Testing Availability",'QA Log'!Z:Z,"Approved"),"")</f>
        <v/>
      </c>
      <c r="AI394" s="105" t="str">
        <f>IF(A394&lt;&gt;"",COUNTIFS('QA Log'!D:D,A394,'QA Log'!M:M,"Data Verification",'QA Log'!L:L,"Other than P4P (section 6)",'QA Log'!Z:Z,"Approved"),"")</f>
        <v/>
      </c>
      <c r="AJ394" s="105" t="str">
        <f>IF(A394&lt;&gt;"",COUNTIFS('QA Log'!D:D,A394,'QA Log'!M:M,"Data Verification",'QA Log'!L:L,"Hospital Governance",'QA Log'!Z:Z,"Approved"),"")</f>
        <v/>
      </c>
      <c r="AK394" s="102" t="str">
        <f>IF(A394="","",
SUM(
COUNTIFS('QA Log'!D:D,A394,'QA Log'!M:M,"Data Verification",'QA Log'!Z:Z,"Rejected",'QA Log'!L:L,"*Medicine (section 2)*"),
COUNTIFS('QA Log'!D:D,A394,'QA Log'!M:M,"Data Verification",'QA Log'!Z:Z,"Rejected",'QA Log'!L:L,"*Lab Testing Availability*"),
COUNTIFS('QA Log'!D:D,A394,'QA Log'!M:M,"Data Verification",'QA Log'!Z:Z,"Rejected",'QA Log'!L:L,"*Other than P4P (section 6)*"),
COUNTIFS('QA Log'!D:D,A394,'QA Log'!M:M,"Data Verification",'QA Log'!Z:Z,"Rejected",'QA Log'!L:L,"*Hospital Governance*")
))</f>
        <v/>
      </c>
      <c r="AL394" s="106" t="str">
        <f t="shared" si="31"/>
        <v/>
      </c>
      <c r="AM394" s="102" t="str">
        <f t="shared" si="32"/>
        <v/>
      </c>
      <c r="AN394" s="102" t="str">
        <f>IF(A394="","",
SUM(
COUNTIFS('QA Log'!D:D,A394,'QA Log'!M:M,"Data Verification",'QA Log'!L:L,"*Personnel (section 1)*"),
COUNTIFS('QA Log'!D:D,A394,'QA Log'!M:M,"Data Verification",'QA Log'!L:L,"*Consumable (section 3)*"),
COUNTIFS('QA Log'!D:D,A394,'QA Log'!M:M,"Data Verification",'QA Log'!L:L,"*Equipments (section 4)*")
))</f>
        <v/>
      </c>
      <c r="AO394" s="102" t="str">
        <f>IF(A394="","",
SUM(
COUNTIFS('QA Log'!D:D,A394,'QA Log'!M:M,"Data Verification",'QA Log'!Z:Z,"Approved",'QA Log'!L:L,"*Personnel (section 1)*"),
COUNTIFS('QA Log'!D:D,A394,'QA Log'!M:M,"Data Verification",'QA Log'!Z:Z,"Approved",'QA Log'!L:L,"*Consumable (section 3)*"),
COUNTIFS('QA Log'!D:D,A394,'QA Log'!M:M,"Data Verification",'QA Log'!Z:Z,"Approved",'QA Log'!L:L,"*Equipments (section 4)*")
))</f>
        <v/>
      </c>
      <c r="AP394" s="105" t="str">
        <f>IF(A394&lt;&gt;"",COUNTIFS('QA Log'!D:D,A394,'QA Log'!M:M,"Data Verification",'QA Log'!L:L,"Personnel (section 1)",'QA Log'!Z:Z,"Approved"),"")</f>
        <v/>
      </c>
      <c r="AQ394" s="105" t="str">
        <f>IF(A394&lt;&gt;"",COUNTIFS('QA Log'!D:D,A394,'QA Log'!M:M,"Data Verification",'QA Log'!L:L,"Consumable (section 3)",'QA Log'!Z:Z,"Approved"),"")</f>
        <v/>
      </c>
      <c r="AR394" s="105" t="str">
        <f>IF(A394&lt;&gt;"",COUNTIFS('QA Log'!D:D,A394,'QA Log'!M:M,"Data Verification",'QA Log'!L:L,"Equipments (section 4)",'QA Log'!Z:Z,"Approved"),"")</f>
        <v/>
      </c>
      <c r="AS394" s="102" t="str">
        <f>IF(A394="","",
SUM(
COUNTIFS('QA Log'!D:D,A394,'QA Log'!M:M,"Data Verification",'QA Log'!Z:Z,"Rejected",'QA Log'!L:L,"*Personnel (section 1)*"),
COUNTIFS('QA Log'!D:D,A394,'QA Log'!M:M,"Data Verification",'QA Log'!Z:Z,"Rejected",'QA Log'!L:L,"*Consumable (section 3)*"),
COUNTIFS('QA Log'!D:D,A394,'QA Log'!M:M,"Data Verification",'QA Log'!Z:Z,"Rejected",'QA Log'!L:L,"*Equipments (section 4)*")
))</f>
        <v/>
      </c>
      <c r="AT394" s="102" t="str">
        <f t="shared" si="33"/>
        <v/>
      </c>
      <c r="AU394" s="103" t="str">
        <f t="shared" si="34"/>
        <v/>
      </c>
      <c r="AV394" s="102" t="str">
        <f>IF(A394="","",SUM(
COUNTIFS('QA Log'!D:D,A394,'QA Log'!M:M,"Vignette",'QA Log'!L:L,"*Vignette [1] Respiratory Infection: Pneumonia*"),
COUNTIFS('QA Log'!D:D,A394,'QA Log'!M:M,"Vignette",'QA Log'!L:L,"*Vignette [2]: Diarrhea with Cat B dehydration*"),
COUNTIFS('QA Log'!D:D,A394,'QA Log'!M:M,"Vignette",'QA Log'!L:L,"*Vignette [3] Growth Monitoring and Promotion*"),
COUNTIFS('QA Log'!D:D,A394,'QA Log'!M:M,"Vignette",'QA Log'!L:L,"*Vignette [4]: The management of presumptive TB patient*")
)
)</f>
        <v/>
      </c>
      <c r="AW394" s="102" t="str">
        <f>IF(
  A394="","",
  SUM(
    COUNTIFS('QA Log'!D:D,A394,'QA Log'!M:M,"Vignette",'QA Log'!Z:Z,"Approved",'QA Log'!L:L,"*Vignette [1] Respiratory Infection: Pneumonia*"),
    COUNTIFS('QA Log'!D:D,A394,'QA Log'!M:M,"Vignette",'QA Log'!Z:Z,"Approved",'QA Log'!L:L,"*Vignette [2]: Diarrhea with Cat B dehydration*"),
    COUNTIFS('QA Log'!D:D,A394,'QA Log'!M:M,"Vignette",'QA Log'!Z:Z,"Approved",'QA Log'!L:L,"*Vignette [3] Growth Monitoring and Promotion*"),
    COUNTIFS('QA Log'!D:D,A394,'QA Log'!M:M,"Vignette",'QA Log'!Z:Z,"Approved",'QA Log'!L:L,"*Vignette [4]: The management of presumptive TB patient*")
  )
)</f>
        <v/>
      </c>
      <c r="AX394" s="105" t="str">
        <f>IF(A394&lt;&gt;"",COUNTIFS('QA Log'!D:D,A394,'QA Log'!M:M,"Vignette",'QA Log'!L:L,"Vignette [1] Respiratory Infection: Pneumonia",'QA Log'!Z:Z,"Approved"),"")</f>
        <v/>
      </c>
      <c r="AY394" s="105" t="str">
        <f>IF(A394&lt;&gt;"",COUNTIFS('QA Log'!D:D,A394,'QA Log'!M:M,"Vignette",'QA Log'!L:L,"Vignette [2]: Diarrhea with Cat B dehydration",'QA Log'!Z:Z,"Approved"),"")</f>
        <v/>
      </c>
      <c r="AZ394" s="105" t="str">
        <f>IF(A394&lt;&gt;"",COUNTIFS('QA Log'!D:D,A394,'QA Log'!M:M,"Vignette",'QA Log'!L:L,"Vignette [3] Growth Monitoring and Promotion",'QA Log'!Z:Z,"Approved"),"")</f>
        <v/>
      </c>
      <c r="BA394" s="105" t="str">
        <f>IF(A394&lt;&gt;"",COUNTIFS('QA Log'!D:D,A394,'QA Log'!M:M,"Vignette",'QA Log'!L:L,"Vignette [4]: The management of presumptive TB patient",'QA Log'!Z:Z,"Approved"),"")</f>
        <v/>
      </c>
      <c r="BB394" s="102" t="str">
        <f>IF(A394="","",
  SUM(
    COUNTIFS('QA Log'!D:D,A394,'QA Log'!M:M,"Vignette",'QA Log'!Z:Z,"Rejected",'QA Log'!L:L,"*Vignette [1] Respiratory Infection: Pneumonia*"),
    COUNTIFS('QA Log'!D:D,A394,'QA Log'!M:M,"Vignette",'QA Log'!Z:Z,"Rejected",'QA Log'!L:L,"*Vignette [2]: Diarrhea with Cat B dehydration*"),
    COUNTIFS('QA Log'!D:D,A394,'QA Log'!M:M,"Vignette",'QA Log'!Z:Z,"Rejected",'QA Log'!L:L,"*Vignette [3] Growth Monitoring and Promotion*"),
    COUNTIFS('QA Log'!D:D,A394,'QA Log'!M:M,"Vignette",'QA Log'!Z:Z,"Rejected",'QA Log'!L:L,"*Vignette [4]: The management of presumptive TB patient*")
  )
)</f>
        <v/>
      </c>
      <c r="BC394" s="107" t="str">
        <f t="shared" si="35"/>
        <v/>
      </c>
      <c r="BD394" s="103" t="str">
        <f t="shared" si="36"/>
        <v/>
      </c>
      <c r="BE394" s="102" t="str">
        <f>IF(A394="","",SUM(
COUNTIFS('QA Log'!D:D,A394,'QA Log'!M:M,"Vignette",'QA Log'!L:L,"*Vignette [5] Labor*"),
COUNTIFS('QA Log'!D:D,A394,'QA Log'!M:M,"Vignette",'QA Log'!L:L,"*Vignette [6] PNC pre Discharge*"),
COUNTIFS('QA Log'!D:D,A394,'QA Log'!M:M,"Vignette",'QA Log'!L:L,"*Vignette [7] First ANC Visit*"),
COUNTIFS('QA Log'!D:D,A394,'QA Log'!M:M,"Vignette",'QA Log'!L:L,"*Vignette [8] Birth Spacing/ Family Planning :  FP Counselling*"),
COUNTIFS('QA Log'!D:D,A394,'QA Log'!M:M,"Vignette",'QA Log'!L:L,"*Vignette [9] Birth Spacing: Change FP method to Injectable*"),
COUNTIFS('QA Log'!D:D,A394,'QA Log'!M:M,"Vignette",'QA Log'!L:L,"*Vignette [10] Post Partum Haemorrhage - Atonic Uterus at Health Centre*"),
)
)</f>
        <v/>
      </c>
      <c r="BF394" s="102" t="str">
        <f>IF(A394="","",
  SUM(
    COUNTIFS('QA Log'!D:D,A394,'QA Log'!M:M,"Vignette",'QA Log'!Z:Z,"Approved",'QA Log'!L:L,"*Vignette [5] Labor*"),
    COUNTIFS('QA Log'!D:D,A394,'QA Log'!M:M,"Vignette",'QA Log'!Z:Z,"Approved",'QA Log'!L:L,"*Vignette [6] PNC pre Discharge*"),
    COUNTIFS('QA Log'!D:D,A394,'QA Log'!M:M,"Vignette",'QA Log'!Z:Z,"Approved",'QA Log'!L:L,"*Vignette [7] First ANC Visit*"),
    COUNTIFS('QA Log'!D:D,A394,'QA Log'!M:M,"Vignette",'QA Log'!Z:Z,"Approved",'QA Log'!L:L,"*Vignette [8] Birth Spacing/ Family Planning :  FP Counselling*"),
    COUNTIFS('QA Log'!D:D,A394,'QA Log'!M:M,"Vignette",'QA Log'!Z:Z,"Approved",'QA Log'!L:L,"*Vignette [9] Birth Spacing: Change FP method to Injectable*"),
    COUNTIFS('QA Log'!D:D,A394,'QA Log'!M:M,"Vignette",'QA Log'!Z:Z,"Approved",'QA Log'!L:L,"*Vignette [10] Post Partum Haemorrhage - Atonic Uterus at Health Centre*")
  )
)</f>
        <v/>
      </c>
      <c r="BG394" s="105" t="str">
        <f>IF(A394&lt;&gt;"",COUNTIFS('QA Log'!D:D,A394,'QA Log'!M:M,"Vignette",'QA Log'!L:L,"Vignette [5] Labor",'QA Log'!Z:Z,"Approved"),"")</f>
        <v/>
      </c>
      <c r="BH394" s="105" t="str">
        <f>IF(A394&lt;&gt;"",COUNTIFS('QA Log'!D:D,A394,'QA Log'!M:M,"Vignette",'QA Log'!L:L,"Vignette [6] PNC pre Discharge",'QA Log'!Z:Z,"Approved"),"")</f>
        <v/>
      </c>
      <c r="BI394" s="105" t="str">
        <f>IF(A394&lt;&gt;"",COUNTIFS('QA Log'!D:D,A394,'QA Log'!M:M,"Vignette",'QA Log'!L:L,"Vignette [7] First ANC Visit",'QA Log'!Z:Z,"Approved"),"")</f>
        <v/>
      </c>
      <c r="BJ394" s="105" t="str">
        <f>IF(A394&lt;&gt;"",COUNTIFS('QA Log'!D:D,A394,'QA Log'!M:M,"Vignette",'QA Log'!L:L,"Vignette [8] Birth Spacing/ Family Planning :  FP Counselling",'QA Log'!Z:Z,"Approved"),"")</f>
        <v/>
      </c>
      <c r="BK394" s="105" t="str">
        <f>IF(A394&lt;&gt;"",COUNTIFS('QA Log'!D:D,A394,'QA Log'!M:M,"Vignette",'QA Log'!L:L,"Vignette [9] Birth Spacing: Change FP method to Injectable",'QA Log'!Z:Z,"Approved"),"")</f>
        <v/>
      </c>
      <c r="BL394" s="105" t="str">
        <f>IF(A394&lt;&gt;"",COUNTIFS('QA Log'!D:D,A394,'QA Log'!M:M,"Vignette",'QA Log'!L:L,"Vignette [10] Post Partum Haemorrhage - Atonic Uterus at Health Centre",'QA Log'!Z:Z,"Approved"),"")</f>
        <v/>
      </c>
      <c r="BM394" s="102" t="str">
        <f>IF(A394="","",SUM(
    COUNTIFS('QA Log'!D:D,A394,'QA Log'!M:M,"Vignette",'QA Log'!Z:Z,"Rejected",'QA Log'!L:L,"*Vignette [5] Labor*"),
    COUNTIFS('QA Log'!D:D,A394,'QA Log'!M:M,"Vignette",'QA Log'!Z:Z,"Rejected",'QA Log'!L:L,"*Vignette [6] PNC pre Discharge*"),
    COUNTIFS('QA Log'!D:D,A394,'QA Log'!M:M,"Vignette",'QA Log'!Z:Z,"Rejected",'QA Log'!L:L,"*Vignette [7] First ANC Visit*"),
    COUNTIFS('QA Log'!D:D,A394,'QA Log'!M:M,"Vignette",'QA Log'!Z:Z,"Rejected",'QA Log'!L:L,"*Vignette [8] Birth Spacing/ Family Planning :  FP Counselling*"),
    COUNTIFS('QA Log'!D:D,A394,'QA Log'!M:M,"Vignette",'QA Log'!Z:Z,"Rejected",'QA Log'!L:L,"*Vignette [9] Birth Spacing: Change FP method to Injectable*"),
    COUNTIFS('QA Log'!D:D,A394,'QA Log'!M:M,"Vignette",'QA Log'!Z:Z,"Rejected",'QA Log'!L:L,"*Vignette [10] Post Partum Haemorrhage - Atonic Uterus at Health Centre*")
  )
)</f>
        <v/>
      </c>
      <c r="BN394" s="107" t="str">
        <f t="shared" si="37"/>
        <v/>
      </c>
      <c r="BO394" s="103" t="str">
        <f t="shared" si="38"/>
        <v/>
      </c>
      <c r="BP394" s="102" t="str">
        <f>IF(A394="","",SUM(
COUNTIFS('QA Log'!D:D,A394,'QA Log'!M:M,"Vignette",'QA Log'!L:L,"*Exit Interview 1*"),
COUNTIFS('QA Log'!D:D,A394,'QA Log'!M:M,"Vignette",'QA Log'!L:L,"*Exit Interview 2*"),
)
)</f>
        <v/>
      </c>
      <c r="BQ394" s="102" t="str">
        <f>IF(
  A394="","",
  SUM(
    COUNTIFS('QA Log'!D:D,A394,'QA Log'!M:M,"Vignette",'QA Log'!Z:Z,"Approved",'QA Log'!L:L,"*Exit Interview 1*"),
    COUNTIFS('QA Log'!D:D,A394,'QA Log'!M:M,"Vignette",'QA Log'!Z:Z,"Approved",'QA Log'!L:L,"*Exit Interview 2*")
  )
)</f>
        <v/>
      </c>
      <c r="BR394" s="105" t="str">
        <f>IF(A394&lt;&gt;"",COUNTIFS('QA Log'!D:D,A394,'QA Log'!M:M,"Vignette",'QA Log'!L:L,"Exit Interview 1",'QA Log'!Z:Z,"Approved"),"")</f>
        <v/>
      </c>
      <c r="BS394" s="105" t="str">
        <f>IF(A394&lt;&gt;"",COUNTIFS('QA Log'!D:D,A394,'QA Log'!M:M,"Vignette",'QA Log'!L:L,"Exit Interview 2",'QA Log'!Z:Z,"Approved"),"")</f>
        <v/>
      </c>
      <c r="BT394" s="102" t="str">
        <f>IF(
  A394="","",
  SUM(
    COUNTIFS('QA Log'!D:D,A394,'QA Log'!M:M,"Vignette",'QA Log'!Z:Z,"Rejected",'QA Log'!L:L,"*Exit Interview 1*"),
    COUNTIFS('QA Log'!D:D,A394,'QA Log'!M:M,"Vignette",'QA Log'!Z:Z,"Rejected",'QA Log'!L:L,"*Exit Interview 2*")
  )
)</f>
        <v/>
      </c>
      <c r="BU394" s="107" t="str">
        <f t="shared" si="39"/>
        <v/>
      </c>
      <c r="BV394" s="102" t="str">
        <f t="shared" si="40"/>
        <v/>
      </c>
      <c r="BW394" s="102" t="str">
        <f t="shared" si="41"/>
        <v/>
      </c>
      <c r="BX394" s="102" t="str">
        <f t="shared" si="42"/>
        <v/>
      </c>
      <c r="BY394" s="102" t="str">
        <f t="shared" si="43"/>
        <v/>
      </c>
      <c r="BZ394" s="107" t="str">
        <f t="shared" si="44"/>
        <v/>
      </c>
      <c r="CA394" s="108" t="str">
        <f t="shared" si="45"/>
        <v/>
      </c>
      <c r="CB394" s="108" t="str">
        <f t="shared" si="46"/>
        <v/>
      </c>
      <c r="CC394" s="109" t="str">
        <f t="shared" si="47"/>
        <v/>
      </c>
      <c r="CD394" s="108" t="str">
        <f t="shared" si="48"/>
        <v/>
      </c>
      <c r="CE394" s="108" t="str">
        <f t="shared" si="49"/>
        <v/>
      </c>
      <c r="CF394" s="109" t="str">
        <f t="shared" si="50"/>
        <v/>
      </c>
      <c r="CG394" s="110" t="str">
        <f t="shared" si="51"/>
        <v/>
      </c>
      <c r="CH394" s="111"/>
    </row>
    <row r="395" spans="1:86" ht="12.75">
      <c r="A395" s="101"/>
      <c r="B395" s="102" t="e">
        <f t="array" aca="1" ref="B395" ca="1">_xludf.XLOOKUP(A395,'QA Log'!D:D,'QA Log'!E:E,"")</f>
        <v>#NAME?</v>
      </c>
      <c r="C395" s="102" t="e">
        <f t="array" aca="1" ref="C395" ca="1">_xludf.XLOOKUP(A395,'QA Log'!D:D,'QA Log'!F:F,"")</f>
        <v>#NAME?</v>
      </c>
      <c r="D395" s="102" t="e">
        <f t="array" aca="1" ref="D395" ca="1">_xludf.XLOOKUP(A395,'QA Log'!D:D,'QA Log'!H:H,"")</f>
        <v>#NAME?</v>
      </c>
      <c r="E395" s="102" t="e">
        <f t="array" aca="1" ref="E395" ca="1">_xludf.XLOOKUP(A395,'QA Log'!D:D,'QA Log'!G:G,"")</f>
        <v>#NAME?</v>
      </c>
      <c r="F395" s="103"/>
      <c r="G395" s="104"/>
      <c r="H395" s="104"/>
      <c r="I395" s="103" t="str">
        <f t="shared" si="26"/>
        <v/>
      </c>
      <c r="J395" s="102" t="str">
        <f>IF(A395="","",SUM(
COUNTIFS('QA Log'!D:D,A395,'QA Log'!M:M,"QQC",'QA Log'!L:L,"*1. General Management*"),
COUNTIFS('QA Log'!D:D,A395,'QA Log'!M:M,"QQC",'QA Log'!L:L,"*3. Curative Consultation (OPD)*"),
COUNTIFS('QA Log'!D:D,A395,'QA Log'!M:M,"QQC",'QA Log'!L:L,"*5. Laboratory*"),
COUNTIFS('QA Log'!D:D,A395,'QA Log'!M:M,"QQC",'QA Log'!L:L,"*6. Essential Medicine Management*"),
COUNTIFS('QA Log'!D:D,A395,'QA Log'!M:M,"QQC",'QA Log'!L:L,"*7. Tracer Medicine*"),
COUNTIFS('QA Log'!D:D,A395,'QA Log'!M:M,"QQC",'QA Log'!L:L,"*11. Additional Questions*")))</f>
        <v/>
      </c>
      <c r="K395" s="102" t="str">
        <f>IF(A395="","",SUM(
COUNTIFS('QA Log'!D:D,A395,'QA Log'!M:M,"QQC",'QA Log'!Z:Z,"Approved",'QA Log'!L:L,"*1. General Management*"),
COUNTIFS('QA Log'!D:D,A395,'QA Log'!M:M,"QQC",'QA Log'!Z:Z,"Approved",'QA Log'!L:L,"*3. Curative Consultation (OPD)*"),
COUNTIFS('QA Log'!D:D,A395,'QA Log'!M:M,"QQC",'QA Log'!Z:Z,"Approved",'QA Log'!L:L,"*5. Laboratory*"),
COUNTIFS('QA Log'!D:D,A395,'QA Log'!M:M,"QQC",'QA Log'!Z:Z,"Approved",'QA Log'!L:L,"*6. Essential Medicine Management*"),
COUNTIFS('QA Log'!D:D,A395,'QA Log'!M:M,"QQC",'QA Log'!Z:Z,"Approved",'QA Log'!L:L,"*7. Tracer Medicine*"),
COUNTIFS('QA Log'!D:D,A395,'QA Log'!M:M,"QQC",'QA Log'!Z:Z,"Approved",'QA Log'!L:L,"*11. Additional Questions*")))</f>
        <v/>
      </c>
      <c r="L395" s="102" t="str">
        <f>IF(A395&lt;&gt;"",COUNTIFS('QA Log'!D:D,A395,'QA Log'!M:M,"QQC",'QA Log'!L:L,"1. General Management",'QA Log'!Z:Z,"Approved"),"")</f>
        <v/>
      </c>
      <c r="M395" s="102" t="str">
        <f>IF(A395&lt;&gt;"",COUNTIFS('QA Log'!D:D,A395,'QA Log'!M:M,"QQC",'QA Log'!L:L,"3. Curative Consultation (OPD)",'QA Log'!Z:Z,"Approved"),"")</f>
        <v/>
      </c>
      <c r="N395" s="102" t="str">
        <f>IF(A395&lt;&gt;"",COUNTIFS('QA Log'!D:D,A395,'QA Log'!M:M,"QQC",'QA Log'!L:L,"5. Laboratory",'QA Log'!Z:Z,"Approved"),"")</f>
        <v/>
      </c>
      <c r="O395" s="102" t="str">
        <f>IF(A395&lt;&gt;"",COUNTIFS('QA Log'!D:D,A395,'QA Log'!M:M,"QQC",'QA Log'!L:L,"6. Essential Medicine Management",'QA Log'!Z:Z,"Approved"),"")</f>
        <v/>
      </c>
      <c r="P395" s="102" t="str">
        <f>IF(A395&lt;&gt;"",COUNTIFS('QA Log'!D:D,A395,'QA Log'!M:M,"QQC",'QA Log'!L:L,"7. Tracer Medicine",'QA Log'!Z:Z,"Approved"),"")</f>
        <v/>
      </c>
      <c r="Q395" s="102" t="str">
        <f>IF(A395&lt;&gt;"",COUNTIFS('QA Log'!D:D,A395,'QA Log'!M:M,"QQC",'QA Log'!L:L,"11. Additional Questions",'QA Log'!Z:Z,"Approved"),"")</f>
        <v/>
      </c>
      <c r="R395" s="102" t="str">
        <f>IF(A395="","",SUM(
COUNTIFS('QA Log'!D:D,A395,'QA Log'!M:M,"QQC",'QA Log'!Z:Z,"Rejected",'QA Log'!L:L,"*8. Maternity*"),
COUNTIFS('QA Log'!D:D,A395,'QA Log'!M:M,"QQC",'QA Log'!Z:Z,"Rejected",'QA Log'!L:L,"*EPI*"),
COUNTIFS('QA Log'!D:D,A395,'QA Log'!M:M,"QQC",'QA Log'!Z:Z,"Rejected",'QA Log'!L:L,"*10. Antenatal Care (ANC)*"),
COUNTIFS('QA Log'!D:D,A395,'QA Log'!M:M,"QQC",'QA Log'!Z:Z,"Rejected",'QA Log'!L:L,"*2. Hygiene and Sterilization*"),
COUNTIFS('QA Log'!D:D,A395,'QA Log'!M:M,"QQC",'QA Log'!Z:Z,"Rejected",'QA Log'!L:L,"*Family Planning*")))</f>
        <v/>
      </c>
      <c r="S395" s="106" t="str">
        <f t="shared" si="27"/>
        <v/>
      </c>
      <c r="T395" s="102" t="str">
        <f t="shared" si="28"/>
        <v/>
      </c>
      <c r="U395" s="102" t="str">
        <f>IF(A395="","",
SUM(
COUNTIFS('QA Log'!D:D,A395,'QA Log'!M:M,"QQC",'QA Log'!L:L,"*8. Maternity*"),
COUNTIFS('QA Log'!D:D,A395,'QA Log'!M:M,"QQC",'QA Log'!L:L,"*9. EPI and Pre-school Consultation*"),
COUNTIFS('QA Log'!D:D,A395,'QA Log'!M:M,"QQC",'QA Log'!L:L,"*10. Antenatal Care (ANC)*"),
COUNTIFS('QA Log'!D:D,A395,'QA Log'!M:M,"QQC",'QA Log'!L:L,"*2. Hygiene and Sterilization*"),
COUNTIFS('QA Log'!D:D,A395,'QA Log'!M:M,"QQC",'QA Log'!L:L,"*4. Family Planning*")
))</f>
        <v/>
      </c>
      <c r="V395" s="102" t="str">
        <f>IF(A395="","",
SUM(
COUNTIFS('QA Log'!D:D,A395,'QA Log'!M:M,"QQC",'QA Log'!Z:Z,"Approved",'QA Log'!L:L,"*8. Maternity*"),
COUNTIFS('QA Log'!D:D,A395,'QA Log'!M:M,"QQC",'QA Log'!Z:Z,"Approved",'QA Log'!L:L,"*9. EPI and Pre-school Consultation*"),
COUNTIFS('QA Log'!D:D,A395,'QA Log'!M:M,"QQC",'QA Log'!Z:Z,"Approved",'QA Log'!L:L,"*10. Antenatal Care (ANC)*"),
COUNTIFS('QA Log'!D:D,A395,'QA Log'!M:M,"QQC",'QA Log'!Z:Z,"Approved",'QA Log'!L:L,"*2. Hygiene and Sterilization*"),
COUNTIFS('QA Log'!D:D,A395,'QA Log'!M:M,"QQC",'QA Log'!Z:Z,"Approved",'QA Log'!L:L,"*4. Family Planning*")
))</f>
        <v/>
      </c>
      <c r="W395" s="102" t="str">
        <f>IF(A395&lt;&gt;"",COUNTIFS('QA Log'!D:D,A395,'QA Log'!M:M,"QQC",'QA Log'!L:L,"8. Maternity",'QA Log'!Z:Z,"Approved"),"")</f>
        <v/>
      </c>
      <c r="X395" s="105" t="str">
        <f>IF(A395&lt;&gt;"",COUNTIFS('QA Log'!D:D,A395,'QA Log'!M:M,"QQC",'QA Log'!L:L,"9. EPI and Pre-school Consultation",'QA Log'!Z:Z,"Approved"),"")</f>
        <v/>
      </c>
      <c r="Y395" s="102" t="str">
        <f>IF(A395&lt;&gt;"",COUNTIFS('QA Log'!D:D,A395,'QA Log'!M:M,"QQC",'QA Log'!L:L,"10. Antenatal Care (ANC)",'QA Log'!Z:Z,"Approved"),"")</f>
        <v/>
      </c>
      <c r="Z395" s="102" t="str">
        <f>IF(A395&lt;&gt;"",COUNTIFS('QA Log'!D:D,A395,'QA Log'!M:M,"QQC",'QA Log'!L:L,"2. Hygiene and Sterilization",'QA Log'!Z:Z,"Approved"),"")</f>
        <v/>
      </c>
      <c r="AA395" s="105" t="str">
        <f>IF(A395&lt;&gt;"",COUNTIFS('QA Log'!D:D,A395,'QA Log'!M:M,"QQC",'QA Log'!L:L,"4. Family Planning",'QA Log'!Z:Z,"Approved"),"")</f>
        <v/>
      </c>
      <c r="AB395" s="102" t="str">
        <f>IF(A395="","",
SUM(
COUNTIFS('QA Log'!D:D,A395,'QA Log'!M:M,"QQC",'QA Log'!Z:Z,"Rejected",'QA Log'!L:L,"*8. Maternity*"),
COUNTIFS('QA Log'!D:D,A395,'QA Log'!M:M,"QQC",'QA Log'!Z:Z,"Rejected",'QA Log'!L:L,"*9. EPI and Pre-school Consultation*"),
COUNTIFS('QA Log'!D:D,A395,'QA Log'!M:M,"QQC",'QA Log'!Z:Z,"Rejected",'QA Log'!L:L,"*10. Antenatal Care (ANC)*"),
COUNTIFS('QA Log'!D:D,A395,'QA Log'!M:M,"QQC",'QA Log'!Z:Z,"Rejected",'QA Log'!L:L,"*2. Hygiene and Sterilization*"),
COUNTIFS('QA Log'!D:D,A395,'QA Log'!M:M,"QQC",'QA Log'!Z:Z,"Rejected",'QA Log'!L:L,"*4. Family Planning*")
))</f>
        <v/>
      </c>
      <c r="AC395" s="102" t="str">
        <f t="shared" si="29"/>
        <v/>
      </c>
      <c r="AD395" s="103" t="str">
        <f t="shared" si="30"/>
        <v/>
      </c>
      <c r="AE395" s="102" t="str">
        <f>IF(A395="","",
SUM(
COUNTIFS('QA Log'!D:D,A395,'QA Log'!M:M,"Data Verification",'QA Log'!L:L,"*Medicine (section 2)*"),
COUNTIFS('QA Log'!D:D,A395,'QA Log'!M:M,"Data Verification",'QA Log'!L:L,"*Lab Testing Availability*"),
COUNTIFS('QA Log'!D:D,A395,'QA Log'!M:M,"Data Verification",'QA Log'!L:L,"*Other than P4P (section 6)*"),
COUNTIFS('QA Log'!D:D,A395,'QA Log'!M:M,"Data Verification",'QA Log'!L:L,"*Hospital Governance*")
))</f>
        <v/>
      </c>
      <c r="AF395" s="102" t="str">
        <f>IF(A395="","",
SUM(
COUNTIFS('QA Log'!D:D,A395,'QA Log'!M:M,"Data Verification",'QA Log'!Z:Z,"Approved",'QA Log'!L:L,"*Medicine (section 2)*"),
COUNTIFS('QA Log'!D:D,A395,'QA Log'!M:M,"Data Verification",'QA Log'!Z:Z,"Approved",'QA Log'!L:L,"*Lab Testing Availability*"),
COUNTIFS('QA Log'!D:D,A395,'QA Log'!M:M,"Data Verification",'QA Log'!Z:Z,"Approved",'QA Log'!L:L,"*Other than P4P (section 6)*"),
COUNTIFS('QA Log'!D:D,A395,'QA Log'!M:M,"Data Verification",'QA Log'!Z:Z,"Approved",'QA Log'!L:L,"*Hospital Governance*")
))</f>
        <v/>
      </c>
      <c r="AG395" s="105" t="str">
        <f>IF(A395&lt;&gt;"",COUNTIFS('QA Log'!D:D,A395,'QA Log'!M:M,"Data Verification",'QA Log'!L:L,"Medicine (section 2)",'QA Log'!Z:Z,"Approved"),"")</f>
        <v/>
      </c>
      <c r="AH395" s="105" t="str">
        <f>IF(A395&lt;&gt;"",COUNTIFS('QA Log'!D:D,A395,'QA Log'!M:M,"Data Verification",'QA Log'!L:L,"Lab Testing Availability",'QA Log'!Z:Z,"Approved"),"")</f>
        <v/>
      </c>
      <c r="AI395" s="105" t="str">
        <f>IF(A395&lt;&gt;"",COUNTIFS('QA Log'!D:D,A395,'QA Log'!M:M,"Data Verification",'QA Log'!L:L,"Other than P4P (section 6)",'QA Log'!Z:Z,"Approved"),"")</f>
        <v/>
      </c>
      <c r="AJ395" s="105" t="str">
        <f>IF(A395&lt;&gt;"",COUNTIFS('QA Log'!D:D,A395,'QA Log'!M:M,"Data Verification",'QA Log'!L:L,"Hospital Governance",'QA Log'!Z:Z,"Approved"),"")</f>
        <v/>
      </c>
      <c r="AK395" s="102" t="str">
        <f>IF(A395="","",
SUM(
COUNTIFS('QA Log'!D:D,A395,'QA Log'!M:M,"Data Verification",'QA Log'!Z:Z,"Rejected",'QA Log'!L:L,"*Medicine (section 2)*"),
COUNTIFS('QA Log'!D:D,A395,'QA Log'!M:M,"Data Verification",'QA Log'!Z:Z,"Rejected",'QA Log'!L:L,"*Lab Testing Availability*"),
COUNTIFS('QA Log'!D:D,A395,'QA Log'!M:M,"Data Verification",'QA Log'!Z:Z,"Rejected",'QA Log'!L:L,"*Other than P4P (section 6)*"),
COUNTIFS('QA Log'!D:D,A395,'QA Log'!M:M,"Data Verification",'QA Log'!Z:Z,"Rejected",'QA Log'!L:L,"*Hospital Governance*")
))</f>
        <v/>
      </c>
      <c r="AL395" s="106" t="str">
        <f t="shared" si="31"/>
        <v/>
      </c>
      <c r="AM395" s="102" t="str">
        <f t="shared" si="32"/>
        <v/>
      </c>
      <c r="AN395" s="102" t="str">
        <f>IF(A395="","",
SUM(
COUNTIFS('QA Log'!D:D,A395,'QA Log'!M:M,"Data Verification",'QA Log'!L:L,"*Personnel (section 1)*"),
COUNTIFS('QA Log'!D:D,A395,'QA Log'!M:M,"Data Verification",'QA Log'!L:L,"*Consumable (section 3)*"),
COUNTIFS('QA Log'!D:D,A395,'QA Log'!M:M,"Data Verification",'QA Log'!L:L,"*Equipments (section 4)*")
))</f>
        <v/>
      </c>
      <c r="AO395" s="102" t="str">
        <f>IF(A395="","",
SUM(
COUNTIFS('QA Log'!D:D,A395,'QA Log'!M:M,"Data Verification",'QA Log'!Z:Z,"Approved",'QA Log'!L:L,"*Personnel (section 1)*"),
COUNTIFS('QA Log'!D:D,A395,'QA Log'!M:M,"Data Verification",'QA Log'!Z:Z,"Approved",'QA Log'!L:L,"*Consumable (section 3)*"),
COUNTIFS('QA Log'!D:D,A395,'QA Log'!M:M,"Data Verification",'QA Log'!Z:Z,"Approved",'QA Log'!L:L,"*Equipments (section 4)*")
))</f>
        <v/>
      </c>
      <c r="AP395" s="105" t="str">
        <f>IF(A395&lt;&gt;"",COUNTIFS('QA Log'!D:D,A395,'QA Log'!M:M,"Data Verification",'QA Log'!L:L,"Personnel (section 1)",'QA Log'!Z:Z,"Approved"),"")</f>
        <v/>
      </c>
      <c r="AQ395" s="105" t="str">
        <f>IF(A395&lt;&gt;"",COUNTIFS('QA Log'!D:D,A395,'QA Log'!M:M,"Data Verification",'QA Log'!L:L,"Consumable (section 3)",'QA Log'!Z:Z,"Approved"),"")</f>
        <v/>
      </c>
      <c r="AR395" s="105" t="str">
        <f>IF(A395&lt;&gt;"",COUNTIFS('QA Log'!D:D,A395,'QA Log'!M:M,"Data Verification",'QA Log'!L:L,"Equipments (section 4)",'QA Log'!Z:Z,"Approved"),"")</f>
        <v/>
      </c>
      <c r="AS395" s="102" t="str">
        <f>IF(A395="","",
SUM(
COUNTIFS('QA Log'!D:D,A395,'QA Log'!M:M,"Data Verification",'QA Log'!Z:Z,"Rejected",'QA Log'!L:L,"*Personnel (section 1)*"),
COUNTIFS('QA Log'!D:D,A395,'QA Log'!M:M,"Data Verification",'QA Log'!Z:Z,"Rejected",'QA Log'!L:L,"*Consumable (section 3)*"),
COUNTIFS('QA Log'!D:D,A395,'QA Log'!M:M,"Data Verification",'QA Log'!Z:Z,"Rejected",'QA Log'!L:L,"*Equipments (section 4)*")
))</f>
        <v/>
      </c>
      <c r="AT395" s="102" t="str">
        <f t="shared" si="33"/>
        <v/>
      </c>
      <c r="AU395" s="103" t="str">
        <f t="shared" si="34"/>
        <v/>
      </c>
      <c r="AV395" s="102" t="str">
        <f>IF(A395="","",SUM(
COUNTIFS('QA Log'!D:D,A395,'QA Log'!M:M,"Vignette",'QA Log'!L:L,"*Vignette [1] Respiratory Infection: Pneumonia*"),
COUNTIFS('QA Log'!D:D,A395,'QA Log'!M:M,"Vignette",'QA Log'!L:L,"*Vignette [2]: Diarrhea with Cat B dehydration*"),
COUNTIFS('QA Log'!D:D,A395,'QA Log'!M:M,"Vignette",'QA Log'!L:L,"*Vignette [3] Growth Monitoring and Promotion*"),
COUNTIFS('QA Log'!D:D,A395,'QA Log'!M:M,"Vignette",'QA Log'!L:L,"*Vignette [4]: The management of presumptive TB patient*")
)
)</f>
        <v/>
      </c>
      <c r="AW395" s="102" t="str">
        <f>IF(
  A395="","",
  SUM(
    COUNTIFS('QA Log'!D:D,A395,'QA Log'!M:M,"Vignette",'QA Log'!Z:Z,"Approved",'QA Log'!L:L,"*Vignette [1] Respiratory Infection: Pneumonia*"),
    COUNTIFS('QA Log'!D:D,A395,'QA Log'!M:M,"Vignette",'QA Log'!Z:Z,"Approved",'QA Log'!L:L,"*Vignette [2]: Diarrhea with Cat B dehydration*"),
    COUNTIFS('QA Log'!D:D,A395,'QA Log'!M:M,"Vignette",'QA Log'!Z:Z,"Approved",'QA Log'!L:L,"*Vignette [3] Growth Monitoring and Promotion*"),
    COUNTIFS('QA Log'!D:D,A395,'QA Log'!M:M,"Vignette",'QA Log'!Z:Z,"Approved",'QA Log'!L:L,"*Vignette [4]: The management of presumptive TB patient*")
  )
)</f>
        <v/>
      </c>
      <c r="AX395" s="105" t="str">
        <f>IF(A395&lt;&gt;"",COUNTIFS('QA Log'!D:D,A395,'QA Log'!M:M,"Vignette",'QA Log'!L:L,"Vignette [1] Respiratory Infection: Pneumonia",'QA Log'!Z:Z,"Approved"),"")</f>
        <v/>
      </c>
      <c r="AY395" s="105" t="str">
        <f>IF(A395&lt;&gt;"",COUNTIFS('QA Log'!D:D,A395,'QA Log'!M:M,"Vignette",'QA Log'!L:L,"Vignette [2]: Diarrhea with Cat B dehydration",'QA Log'!Z:Z,"Approved"),"")</f>
        <v/>
      </c>
      <c r="AZ395" s="105" t="str">
        <f>IF(A395&lt;&gt;"",COUNTIFS('QA Log'!D:D,A395,'QA Log'!M:M,"Vignette",'QA Log'!L:L,"Vignette [3] Growth Monitoring and Promotion",'QA Log'!Z:Z,"Approved"),"")</f>
        <v/>
      </c>
      <c r="BA395" s="105" t="str">
        <f>IF(A395&lt;&gt;"",COUNTIFS('QA Log'!D:D,A395,'QA Log'!M:M,"Vignette",'QA Log'!L:L,"Vignette [4]: The management of presumptive TB patient",'QA Log'!Z:Z,"Approved"),"")</f>
        <v/>
      </c>
      <c r="BB395" s="102" t="str">
        <f>IF(A395="","",
  SUM(
    COUNTIFS('QA Log'!D:D,A395,'QA Log'!M:M,"Vignette",'QA Log'!Z:Z,"Rejected",'QA Log'!L:L,"*Vignette [1] Respiratory Infection: Pneumonia*"),
    COUNTIFS('QA Log'!D:D,A395,'QA Log'!M:M,"Vignette",'QA Log'!Z:Z,"Rejected",'QA Log'!L:L,"*Vignette [2]: Diarrhea with Cat B dehydration*"),
    COUNTIFS('QA Log'!D:D,A395,'QA Log'!M:M,"Vignette",'QA Log'!Z:Z,"Rejected",'QA Log'!L:L,"*Vignette [3] Growth Monitoring and Promotion*"),
    COUNTIFS('QA Log'!D:D,A395,'QA Log'!M:M,"Vignette",'QA Log'!Z:Z,"Rejected",'QA Log'!L:L,"*Vignette [4]: The management of presumptive TB patient*")
  )
)</f>
        <v/>
      </c>
      <c r="BC395" s="107" t="str">
        <f t="shared" si="35"/>
        <v/>
      </c>
      <c r="BD395" s="103" t="str">
        <f t="shared" si="36"/>
        <v/>
      </c>
      <c r="BE395" s="102" t="str">
        <f>IF(A395="","",SUM(
COUNTIFS('QA Log'!D:D,A395,'QA Log'!M:M,"Vignette",'QA Log'!L:L,"*Vignette [5] Labor*"),
COUNTIFS('QA Log'!D:D,A395,'QA Log'!M:M,"Vignette",'QA Log'!L:L,"*Vignette [6] PNC pre Discharge*"),
COUNTIFS('QA Log'!D:D,A395,'QA Log'!M:M,"Vignette",'QA Log'!L:L,"*Vignette [7] First ANC Visit*"),
COUNTIFS('QA Log'!D:D,A395,'QA Log'!M:M,"Vignette",'QA Log'!L:L,"*Vignette [8] Birth Spacing/ Family Planning :  FP Counselling*"),
COUNTIFS('QA Log'!D:D,A395,'QA Log'!M:M,"Vignette",'QA Log'!L:L,"*Vignette [9] Birth Spacing: Change FP method to Injectable*"),
COUNTIFS('QA Log'!D:D,A395,'QA Log'!M:M,"Vignette",'QA Log'!L:L,"*Vignette [10] Post Partum Haemorrhage - Atonic Uterus at Health Centre*"),
)
)</f>
        <v/>
      </c>
      <c r="BF395" s="102" t="str">
        <f>IF(A395="","",
  SUM(
    COUNTIFS('QA Log'!D:D,A395,'QA Log'!M:M,"Vignette",'QA Log'!Z:Z,"Approved",'QA Log'!L:L,"*Vignette [5] Labor*"),
    COUNTIFS('QA Log'!D:D,A395,'QA Log'!M:M,"Vignette",'QA Log'!Z:Z,"Approved",'QA Log'!L:L,"*Vignette [6] PNC pre Discharge*"),
    COUNTIFS('QA Log'!D:D,A395,'QA Log'!M:M,"Vignette",'QA Log'!Z:Z,"Approved",'QA Log'!L:L,"*Vignette [7] First ANC Visit*"),
    COUNTIFS('QA Log'!D:D,A395,'QA Log'!M:M,"Vignette",'QA Log'!Z:Z,"Approved",'QA Log'!L:L,"*Vignette [8] Birth Spacing/ Family Planning :  FP Counselling*"),
    COUNTIFS('QA Log'!D:D,A395,'QA Log'!M:M,"Vignette",'QA Log'!Z:Z,"Approved",'QA Log'!L:L,"*Vignette [9] Birth Spacing: Change FP method to Injectable*"),
    COUNTIFS('QA Log'!D:D,A395,'QA Log'!M:M,"Vignette",'QA Log'!Z:Z,"Approved",'QA Log'!L:L,"*Vignette [10] Post Partum Haemorrhage - Atonic Uterus at Health Centre*")
  )
)</f>
        <v/>
      </c>
      <c r="BG395" s="105" t="str">
        <f>IF(A395&lt;&gt;"",COUNTIFS('QA Log'!D:D,A395,'QA Log'!M:M,"Vignette",'QA Log'!L:L,"Vignette [5] Labor",'QA Log'!Z:Z,"Approved"),"")</f>
        <v/>
      </c>
      <c r="BH395" s="105" t="str">
        <f>IF(A395&lt;&gt;"",COUNTIFS('QA Log'!D:D,A395,'QA Log'!M:M,"Vignette",'QA Log'!L:L,"Vignette [6] PNC pre Discharge",'QA Log'!Z:Z,"Approved"),"")</f>
        <v/>
      </c>
      <c r="BI395" s="105" t="str">
        <f>IF(A395&lt;&gt;"",COUNTIFS('QA Log'!D:D,A395,'QA Log'!M:M,"Vignette",'QA Log'!L:L,"Vignette [7] First ANC Visit",'QA Log'!Z:Z,"Approved"),"")</f>
        <v/>
      </c>
      <c r="BJ395" s="105" t="str">
        <f>IF(A395&lt;&gt;"",COUNTIFS('QA Log'!D:D,A395,'QA Log'!M:M,"Vignette",'QA Log'!L:L,"Vignette [8] Birth Spacing/ Family Planning :  FP Counselling",'QA Log'!Z:Z,"Approved"),"")</f>
        <v/>
      </c>
      <c r="BK395" s="105" t="str">
        <f>IF(A395&lt;&gt;"",COUNTIFS('QA Log'!D:D,A395,'QA Log'!M:M,"Vignette",'QA Log'!L:L,"Vignette [9] Birth Spacing: Change FP method to Injectable",'QA Log'!Z:Z,"Approved"),"")</f>
        <v/>
      </c>
      <c r="BL395" s="105" t="str">
        <f>IF(A395&lt;&gt;"",COUNTIFS('QA Log'!D:D,A395,'QA Log'!M:M,"Vignette",'QA Log'!L:L,"Vignette [10] Post Partum Haemorrhage - Atonic Uterus at Health Centre",'QA Log'!Z:Z,"Approved"),"")</f>
        <v/>
      </c>
      <c r="BM395" s="102" t="str">
        <f>IF(A395="","",SUM(
    COUNTIFS('QA Log'!D:D,A395,'QA Log'!M:M,"Vignette",'QA Log'!Z:Z,"Rejected",'QA Log'!L:L,"*Vignette [5] Labor*"),
    COUNTIFS('QA Log'!D:D,A395,'QA Log'!M:M,"Vignette",'QA Log'!Z:Z,"Rejected",'QA Log'!L:L,"*Vignette [6] PNC pre Discharge*"),
    COUNTIFS('QA Log'!D:D,A395,'QA Log'!M:M,"Vignette",'QA Log'!Z:Z,"Rejected",'QA Log'!L:L,"*Vignette [7] First ANC Visit*"),
    COUNTIFS('QA Log'!D:D,A395,'QA Log'!M:M,"Vignette",'QA Log'!Z:Z,"Rejected",'QA Log'!L:L,"*Vignette [8] Birth Spacing/ Family Planning :  FP Counselling*"),
    COUNTIFS('QA Log'!D:D,A395,'QA Log'!M:M,"Vignette",'QA Log'!Z:Z,"Rejected",'QA Log'!L:L,"*Vignette [9] Birth Spacing: Change FP method to Injectable*"),
    COUNTIFS('QA Log'!D:D,A395,'QA Log'!M:M,"Vignette",'QA Log'!Z:Z,"Rejected",'QA Log'!L:L,"*Vignette [10] Post Partum Haemorrhage - Atonic Uterus at Health Centre*")
  )
)</f>
        <v/>
      </c>
      <c r="BN395" s="107" t="str">
        <f t="shared" si="37"/>
        <v/>
      </c>
      <c r="BO395" s="103" t="str">
        <f t="shared" si="38"/>
        <v/>
      </c>
      <c r="BP395" s="102" t="str">
        <f>IF(A395="","",SUM(
COUNTIFS('QA Log'!D:D,A395,'QA Log'!M:M,"Vignette",'QA Log'!L:L,"*Exit Interview 1*"),
COUNTIFS('QA Log'!D:D,A395,'QA Log'!M:M,"Vignette",'QA Log'!L:L,"*Exit Interview 2*"),
)
)</f>
        <v/>
      </c>
      <c r="BQ395" s="102" t="str">
        <f>IF(
  A395="","",
  SUM(
    COUNTIFS('QA Log'!D:D,A395,'QA Log'!M:M,"Vignette",'QA Log'!Z:Z,"Approved",'QA Log'!L:L,"*Exit Interview 1*"),
    COUNTIFS('QA Log'!D:D,A395,'QA Log'!M:M,"Vignette",'QA Log'!Z:Z,"Approved",'QA Log'!L:L,"*Exit Interview 2*")
  )
)</f>
        <v/>
      </c>
      <c r="BR395" s="105" t="str">
        <f>IF(A395&lt;&gt;"",COUNTIFS('QA Log'!D:D,A395,'QA Log'!M:M,"Vignette",'QA Log'!L:L,"Exit Interview 1",'QA Log'!Z:Z,"Approved"),"")</f>
        <v/>
      </c>
      <c r="BS395" s="105" t="str">
        <f>IF(A395&lt;&gt;"",COUNTIFS('QA Log'!D:D,A395,'QA Log'!M:M,"Vignette",'QA Log'!L:L,"Exit Interview 2",'QA Log'!Z:Z,"Approved"),"")</f>
        <v/>
      </c>
      <c r="BT395" s="102" t="str">
        <f>IF(
  A395="","",
  SUM(
    COUNTIFS('QA Log'!D:D,A395,'QA Log'!M:M,"Vignette",'QA Log'!Z:Z,"Rejected",'QA Log'!L:L,"*Exit Interview 1*"),
    COUNTIFS('QA Log'!D:D,A395,'QA Log'!M:M,"Vignette",'QA Log'!Z:Z,"Rejected",'QA Log'!L:L,"*Exit Interview 2*")
  )
)</f>
        <v/>
      </c>
      <c r="BU395" s="107" t="str">
        <f t="shared" si="39"/>
        <v/>
      </c>
      <c r="BV395" s="102" t="str">
        <f t="shared" si="40"/>
        <v/>
      </c>
      <c r="BW395" s="102" t="str">
        <f t="shared" si="41"/>
        <v/>
      </c>
      <c r="BX395" s="102" t="str">
        <f t="shared" si="42"/>
        <v/>
      </c>
      <c r="BY395" s="102" t="str">
        <f t="shared" si="43"/>
        <v/>
      </c>
      <c r="BZ395" s="107" t="str">
        <f t="shared" si="44"/>
        <v/>
      </c>
      <c r="CA395" s="108" t="str">
        <f t="shared" si="45"/>
        <v/>
      </c>
      <c r="CB395" s="108" t="str">
        <f t="shared" si="46"/>
        <v/>
      </c>
      <c r="CC395" s="109" t="str">
        <f t="shared" si="47"/>
        <v/>
      </c>
      <c r="CD395" s="108" t="str">
        <f t="shared" si="48"/>
        <v/>
      </c>
      <c r="CE395" s="108" t="str">
        <f t="shared" si="49"/>
        <v/>
      </c>
      <c r="CF395" s="109" t="str">
        <f t="shared" si="50"/>
        <v/>
      </c>
      <c r="CG395" s="110" t="str">
        <f t="shared" si="51"/>
        <v/>
      </c>
      <c r="CH395" s="111"/>
    </row>
    <row r="396" spans="1:86" ht="12.75">
      <c r="A396" s="101"/>
      <c r="B396" s="102" t="e">
        <f t="array" aca="1" ref="B396" ca="1">_xludf.XLOOKUP(A396,'QA Log'!D:D,'QA Log'!E:E,"")</f>
        <v>#NAME?</v>
      </c>
      <c r="C396" s="102" t="e">
        <f t="array" aca="1" ref="C396" ca="1">_xludf.XLOOKUP(A396,'QA Log'!D:D,'QA Log'!F:F,"")</f>
        <v>#NAME?</v>
      </c>
      <c r="D396" s="102" t="e">
        <f t="array" aca="1" ref="D396" ca="1">_xludf.XLOOKUP(A396,'QA Log'!D:D,'QA Log'!H:H,"")</f>
        <v>#NAME?</v>
      </c>
      <c r="E396" s="102" t="e">
        <f t="array" aca="1" ref="E396" ca="1">_xludf.XLOOKUP(A396,'QA Log'!D:D,'QA Log'!G:G,"")</f>
        <v>#NAME?</v>
      </c>
      <c r="F396" s="103"/>
      <c r="G396" s="104"/>
      <c r="H396" s="104"/>
      <c r="I396" s="103" t="str">
        <f t="shared" si="26"/>
        <v/>
      </c>
      <c r="J396" s="102" t="str">
        <f>IF(A396="","",SUM(
COUNTIFS('QA Log'!D:D,A396,'QA Log'!M:M,"QQC",'QA Log'!L:L,"*1. General Management*"),
COUNTIFS('QA Log'!D:D,A396,'QA Log'!M:M,"QQC",'QA Log'!L:L,"*3. Curative Consultation (OPD)*"),
COUNTIFS('QA Log'!D:D,A396,'QA Log'!M:M,"QQC",'QA Log'!L:L,"*5. Laboratory*"),
COUNTIFS('QA Log'!D:D,A396,'QA Log'!M:M,"QQC",'QA Log'!L:L,"*6. Essential Medicine Management*"),
COUNTIFS('QA Log'!D:D,A396,'QA Log'!M:M,"QQC",'QA Log'!L:L,"*7. Tracer Medicine*"),
COUNTIFS('QA Log'!D:D,A396,'QA Log'!M:M,"QQC",'QA Log'!L:L,"*11. Additional Questions*")))</f>
        <v/>
      </c>
      <c r="K396" s="102" t="str">
        <f>IF(A396="","",SUM(
COUNTIFS('QA Log'!D:D,A396,'QA Log'!M:M,"QQC",'QA Log'!Z:Z,"Approved",'QA Log'!L:L,"*1. General Management*"),
COUNTIFS('QA Log'!D:D,A396,'QA Log'!M:M,"QQC",'QA Log'!Z:Z,"Approved",'QA Log'!L:L,"*3. Curative Consultation (OPD)*"),
COUNTIFS('QA Log'!D:D,A396,'QA Log'!M:M,"QQC",'QA Log'!Z:Z,"Approved",'QA Log'!L:L,"*5. Laboratory*"),
COUNTIFS('QA Log'!D:D,A396,'QA Log'!M:M,"QQC",'QA Log'!Z:Z,"Approved",'QA Log'!L:L,"*6. Essential Medicine Management*"),
COUNTIFS('QA Log'!D:D,A396,'QA Log'!M:M,"QQC",'QA Log'!Z:Z,"Approved",'QA Log'!L:L,"*7. Tracer Medicine*"),
COUNTIFS('QA Log'!D:D,A396,'QA Log'!M:M,"QQC",'QA Log'!Z:Z,"Approved",'QA Log'!L:L,"*11. Additional Questions*")))</f>
        <v/>
      </c>
      <c r="L396" s="102" t="str">
        <f>IF(A396&lt;&gt;"",COUNTIFS('QA Log'!D:D,A396,'QA Log'!M:M,"QQC",'QA Log'!L:L,"1. General Management",'QA Log'!Z:Z,"Approved"),"")</f>
        <v/>
      </c>
      <c r="M396" s="102" t="str">
        <f>IF(A396&lt;&gt;"",COUNTIFS('QA Log'!D:D,A396,'QA Log'!M:M,"QQC",'QA Log'!L:L,"3. Curative Consultation (OPD)",'QA Log'!Z:Z,"Approved"),"")</f>
        <v/>
      </c>
      <c r="N396" s="102" t="str">
        <f>IF(A396&lt;&gt;"",COUNTIFS('QA Log'!D:D,A396,'QA Log'!M:M,"QQC",'QA Log'!L:L,"5. Laboratory",'QA Log'!Z:Z,"Approved"),"")</f>
        <v/>
      </c>
      <c r="O396" s="102" t="str">
        <f>IF(A396&lt;&gt;"",COUNTIFS('QA Log'!D:D,A396,'QA Log'!M:M,"QQC",'QA Log'!L:L,"6. Essential Medicine Management",'QA Log'!Z:Z,"Approved"),"")</f>
        <v/>
      </c>
      <c r="P396" s="102" t="str">
        <f>IF(A396&lt;&gt;"",COUNTIFS('QA Log'!D:D,A396,'QA Log'!M:M,"QQC",'QA Log'!L:L,"7. Tracer Medicine",'QA Log'!Z:Z,"Approved"),"")</f>
        <v/>
      </c>
      <c r="Q396" s="102" t="str">
        <f>IF(A396&lt;&gt;"",COUNTIFS('QA Log'!D:D,A396,'QA Log'!M:M,"QQC",'QA Log'!L:L,"11. Additional Questions",'QA Log'!Z:Z,"Approved"),"")</f>
        <v/>
      </c>
      <c r="R396" s="102" t="str">
        <f>IF(A396="","",SUM(
COUNTIFS('QA Log'!D:D,A396,'QA Log'!M:M,"QQC",'QA Log'!Z:Z,"Rejected",'QA Log'!L:L,"*8. Maternity*"),
COUNTIFS('QA Log'!D:D,A396,'QA Log'!M:M,"QQC",'QA Log'!Z:Z,"Rejected",'QA Log'!L:L,"*EPI*"),
COUNTIFS('QA Log'!D:D,A396,'QA Log'!M:M,"QQC",'QA Log'!Z:Z,"Rejected",'QA Log'!L:L,"*10. Antenatal Care (ANC)*"),
COUNTIFS('QA Log'!D:D,A396,'QA Log'!M:M,"QQC",'QA Log'!Z:Z,"Rejected",'QA Log'!L:L,"*2. Hygiene and Sterilization*"),
COUNTIFS('QA Log'!D:D,A396,'QA Log'!M:M,"QQC",'QA Log'!Z:Z,"Rejected",'QA Log'!L:L,"*Family Planning*")))</f>
        <v/>
      </c>
      <c r="S396" s="106" t="str">
        <f t="shared" si="27"/>
        <v/>
      </c>
      <c r="T396" s="102" t="str">
        <f t="shared" si="28"/>
        <v/>
      </c>
      <c r="U396" s="102" t="str">
        <f>IF(A396="","",
SUM(
COUNTIFS('QA Log'!D:D,A396,'QA Log'!M:M,"QQC",'QA Log'!L:L,"*8. Maternity*"),
COUNTIFS('QA Log'!D:D,A396,'QA Log'!M:M,"QQC",'QA Log'!L:L,"*9. EPI and Pre-school Consultation*"),
COUNTIFS('QA Log'!D:D,A396,'QA Log'!M:M,"QQC",'QA Log'!L:L,"*10. Antenatal Care (ANC)*"),
COUNTIFS('QA Log'!D:D,A396,'QA Log'!M:M,"QQC",'QA Log'!L:L,"*2. Hygiene and Sterilization*"),
COUNTIFS('QA Log'!D:D,A396,'QA Log'!M:M,"QQC",'QA Log'!L:L,"*4. Family Planning*")
))</f>
        <v/>
      </c>
      <c r="V396" s="102" t="str">
        <f>IF(A396="","",
SUM(
COUNTIFS('QA Log'!D:D,A396,'QA Log'!M:M,"QQC",'QA Log'!Z:Z,"Approved",'QA Log'!L:L,"*8. Maternity*"),
COUNTIFS('QA Log'!D:D,A396,'QA Log'!M:M,"QQC",'QA Log'!Z:Z,"Approved",'QA Log'!L:L,"*9. EPI and Pre-school Consultation*"),
COUNTIFS('QA Log'!D:D,A396,'QA Log'!M:M,"QQC",'QA Log'!Z:Z,"Approved",'QA Log'!L:L,"*10. Antenatal Care (ANC)*"),
COUNTIFS('QA Log'!D:D,A396,'QA Log'!M:M,"QQC",'QA Log'!Z:Z,"Approved",'QA Log'!L:L,"*2. Hygiene and Sterilization*"),
COUNTIFS('QA Log'!D:D,A396,'QA Log'!M:M,"QQC",'QA Log'!Z:Z,"Approved",'QA Log'!L:L,"*4. Family Planning*")
))</f>
        <v/>
      </c>
      <c r="W396" s="102" t="str">
        <f>IF(A396&lt;&gt;"",COUNTIFS('QA Log'!D:D,A396,'QA Log'!M:M,"QQC",'QA Log'!L:L,"8. Maternity",'QA Log'!Z:Z,"Approved"),"")</f>
        <v/>
      </c>
      <c r="X396" s="105" t="str">
        <f>IF(A396&lt;&gt;"",COUNTIFS('QA Log'!D:D,A396,'QA Log'!M:M,"QQC",'QA Log'!L:L,"9. EPI and Pre-school Consultation",'QA Log'!Z:Z,"Approved"),"")</f>
        <v/>
      </c>
      <c r="Y396" s="102" t="str">
        <f>IF(A396&lt;&gt;"",COUNTIFS('QA Log'!D:D,A396,'QA Log'!M:M,"QQC",'QA Log'!L:L,"10. Antenatal Care (ANC)",'QA Log'!Z:Z,"Approved"),"")</f>
        <v/>
      </c>
      <c r="Z396" s="102" t="str">
        <f>IF(A396&lt;&gt;"",COUNTIFS('QA Log'!D:D,A396,'QA Log'!M:M,"QQC",'QA Log'!L:L,"2. Hygiene and Sterilization",'QA Log'!Z:Z,"Approved"),"")</f>
        <v/>
      </c>
      <c r="AA396" s="105" t="str">
        <f>IF(A396&lt;&gt;"",COUNTIFS('QA Log'!D:D,A396,'QA Log'!M:M,"QQC",'QA Log'!L:L,"4. Family Planning",'QA Log'!Z:Z,"Approved"),"")</f>
        <v/>
      </c>
      <c r="AB396" s="102" t="str">
        <f>IF(A396="","",
SUM(
COUNTIFS('QA Log'!D:D,A396,'QA Log'!M:M,"QQC",'QA Log'!Z:Z,"Rejected",'QA Log'!L:L,"*8. Maternity*"),
COUNTIFS('QA Log'!D:D,A396,'QA Log'!M:M,"QQC",'QA Log'!Z:Z,"Rejected",'QA Log'!L:L,"*9. EPI and Pre-school Consultation*"),
COUNTIFS('QA Log'!D:D,A396,'QA Log'!M:M,"QQC",'QA Log'!Z:Z,"Rejected",'QA Log'!L:L,"*10. Antenatal Care (ANC)*"),
COUNTIFS('QA Log'!D:D,A396,'QA Log'!M:M,"QQC",'QA Log'!Z:Z,"Rejected",'QA Log'!L:L,"*2. Hygiene and Sterilization*"),
COUNTIFS('QA Log'!D:D,A396,'QA Log'!M:M,"QQC",'QA Log'!Z:Z,"Rejected",'QA Log'!L:L,"*4. Family Planning*")
))</f>
        <v/>
      </c>
      <c r="AC396" s="102" t="str">
        <f t="shared" si="29"/>
        <v/>
      </c>
      <c r="AD396" s="103" t="str">
        <f t="shared" si="30"/>
        <v/>
      </c>
      <c r="AE396" s="102" t="str">
        <f>IF(A396="","",
SUM(
COUNTIFS('QA Log'!D:D,A396,'QA Log'!M:M,"Data Verification",'QA Log'!L:L,"*Medicine (section 2)*"),
COUNTIFS('QA Log'!D:D,A396,'QA Log'!M:M,"Data Verification",'QA Log'!L:L,"*Lab Testing Availability*"),
COUNTIFS('QA Log'!D:D,A396,'QA Log'!M:M,"Data Verification",'QA Log'!L:L,"*Other than P4P (section 6)*"),
COUNTIFS('QA Log'!D:D,A396,'QA Log'!M:M,"Data Verification",'QA Log'!L:L,"*Hospital Governance*")
))</f>
        <v/>
      </c>
      <c r="AF396" s="102" t="str">
        <f>IF(A396="","",
SUM(
COUNTIFS('QA Log'!D:D,A396,'QA Log'!M:M,"Data Verification",'QA Log'!Z:Z,"Approved",'QA Log'!L:L,"*Medicine (section 2)*"),
COUNTIFS('QA Log'!D:D,A396,'QA Log'!M:M,"Data Verification",'QA Log'!Z:Z,"Approved",'QA Log'!L:L,"*Lab Testing Availability*"),
COUNTIFS('QA Log'!D:D,A396,'QA Log'!M:M,"Data Verification",'QA Log'!Z:Z,"Approved",'QA Log'!L:L,"*Other than P4P (section 6)*"),
COUNTIFS('QA Log'!D:D,A396,'QA Log'!M:M,"Data Verification",'QA Log'!Z:Z,"Approved",'QA Log'!L:L,"*Hospital Governance*")
))</f>
        <v/>
      </c>
      <c r="AG396" s="105" t="str">
        <f>IF(A396&lt;&gt;"",COUNTIFS('QA Log'!D:D,A396,'QA Log'!M:M,"Data Verification",'QA Log'!L:L,"Medicine (section 2)",'QA Log'!Z:Z,"Approved"),"")</f>
        <v/>
      </c>
      <c r="AH396" s="105" t="str">
        <f>IF(A396&lt;&gt;"",COUNTIFS('QA Log'!D:D,A396,'QA Log'!M:M,"Data Verification",'QA Log'!L:L,"Lab Testing Availability",'QA Log'!Z:Z,"Approved"),"")</f>
        <v/>
      </c>
      <c r="AI396" s="105" t="str">
        <f>IF(A396&lt;&gt;"",COUNTIFS('QA Log'!D:D,A396,'QA Log'!M:M,"Data Verification",'QA Log'!L:L,"Other than P4P (section 6)",'QA Log'!Z:Z,"Approved"),"")</f>
        <v/>
      </c>
      <c r="AJ396" s="105" t="str">
        <f>IF(A396&lt;&gt;"",COUNTIFS('QA Log'!D:D,A396,'QA Log'!M:M,"Data Verification",'QA Log'!L:L,"Hospital Governance",'QA Log'!Z:Z,"Approved"),"")</f>
        <v/>
      </c>
      <c r="AK396" s="102" t="str">
        <f>IF(A396="","",
SUM(
COUNTIFS('QA Log'!D:D,A396,'QA Log'!M:M,"Data Verification",'QA Log'!Z:Z,"Rejected",'QA Log'!L:L,"*Medicine (section 2)*"),
COUNTIFS('QA Log'!D:D,A396,'QA Log'!M:M,"Data Verification",'QA Log'!Z:Z,"Rejected",'QA Log'!L:L,"*Lab Testing Availability*"),
COUNTIFS('QA Log'!D:D,A396,'QA Log'!M:M,"Data Verification",'QA Log'!Z:Z,"Rejected",'QA Log'!L:L,"*Other than P4P (section 6)*"),
COUNTIFS('QA Log'!D:D,A396,'QA Log'!M:M,"Data Verification",'QA Log'!Z:Z,"Rejected",'QA Log'!L:L,"*Hospital Governance*")
))</f>
        <v/>
      </c>
      <c r="AL396" s="106" t="str">
        <f t="shared" si="31"/>
        <v/>
      </c>
      <c r="AM396" s="102" t="str">
        <f t="shared" si="32"/>
        <v/>
      </c>
      <c r="AN396" s="102" t="str">
        <f>IF(A396="","",
SUM(
COUNTIFS('QA Log'!D:D,A396,'QA Log'!M:M,"Data Verification",'QA Log'!L:L,"*Personnel (section 1)*"),
COUNTIFS('QA Log'!D:D,A396,'QA Log'!M:M,"Data Verification",'QA Log'!L:L,"*Consumable (section 3)*"),
COUNTIFS('QA Log'!D:D,A396,'QA Log'!M:M,"Data Verification",'QA Log'!L:L,"*Equipments (section 4)*")
))</f>
        <v/>
      </c>
      <c r="AO396" s="102" t="str">
        <f>IF(A396="","",
SUM(
COUNTIFS('QA Log'!D:D,A396,'QA Log'!M:M,"Data Verification",'QA Log'!Z:Z,"Approved",'QA Log'!L:L,"*Personnel (section 1)*"),
COUNTIFS('QA Log'!D:D,A396,'QA Log'!M:M,"Data Verification",'QA Log'!Z:Z,"Approved",'QA Log'!L:L,"*Consumable (section 3)*"),
COUNTIFS('QA Log'!D:D,A396,'QA Log'!M:M,"Data Verification",'QA Log'!Z:Z,"Approved",'QA Log'!L:L,"*Equipments (section 4)*")
))</f>
        <v/>
      </c>
      <c r="AP396" s="105" t="str">
        <f>IF(A396&lt;&gt;"",COUNTIFS('QA Log'!D:D,A396,'QA Log'!M:M,"Data Verification",'QA Log'!L:L,"Personnel (section 1)",'QA Log'!Z:Z,"Approved"),"")</f>
        <v/>
      </c>
      <c r="AQ396" s="105" t="str">
        <f>IF(A396&lt;&gt;"",COUNTIFS('QA Log'!D:D,A396,'QA Log'!M:M,"Data Verification",'QA Log'!L:L,"Consumable (section 3)",'QA Log'!Z:Z,"Approved"),"")</f>
        <v/>
      </c>
      <c r="AR396" s="105" t="str">
        <f>IF(A396&lt;&gt;"",COUNTIFS('QA Log'!D:D,A396,'QA Log'!M:M,"Data Verification",'QA Log'!L:L,"Equipments (section 4)",'QA Log'!Z:Z,"Approved"),"")</f>
        <v/>
      </c>
      <c r="AS396" s="102" t="str">
        <f>IF(A396="","",
SUM(
COUNTIFS('QA Log'!D:D,A396,'QA Log'!M:M,"Data Verification",'QA Log'!Z:Z,"Rejected",'QA Log'!L:L,"*Personnel (section 1)*"),
COUNTIFS('QA Log'!D:D,A396,'QA Log'!M:M,"Data Verification",'QA Log'!Z:Z,"Rejected",'QA Log'!L:L,"*Consumable (section 3)*"),
COUNTIFS('QA Log'!D:D,A396,'QA Log'!M:M,"Data Verification",'QA Log'!Z:Z,"Rejected",'QA Log'!L:L,"*Equipments (section 4)*")
))</f>
        <v/>
      </c>
      <c r="AT396" s="102" t="str">
        <f t="shared" si="33"/>
        <v/>
      </c>
      <c r="AU396" s="103" t="str">
        <f t="shared" si="34"/>
        <v/>
      </c>
      <c r="AV396" s="102" t="str">
        <f>IF(A396="","",SUM(
COUNTIFS('QA Log'!D:D,A396,'QA Log'!M:M,"Vignette",'QA Log'!L:L,"*Vignette [1] Respiratory Infection: Pneumonia*"),
COUNTIFS('QA Log'!D:D,A396,'QA Log'!M:M,"Vignette",'QA Log'!L:L,"*Vignette [2]: Diarrhea with Cat B dehydration*"),
COUNTIFS('QA Log'!D:D,A396,'QA Log'!M:M,"Vignette",'QA Log'!L:L,"*Vignette [3] Growth Monitoring and Promotion*"),
COUNTIFS('QA Log'!D:D,A396,'QA Log'!M:M,"Vignette",'QA Log'!L:L,"*Vignette [4]: The management of presumptive TB patient*")
)
)</f>
        <v/>
      </c>
      <c r="AW396" s="102" t="str">
        <f>IF(
  A396="","",
  SUM(
    COUNTIFS('QA Log'!D:D,A396,'QA Log'!M:M,"Vignette",'QA Log'!Z:Z,"Approved",'QA Log'!L:L,"*Vignette [1] Respiratory Infection: Pneumonia*"),
    COUNTIFS('QA Log'!D:D,A396,'QA Log'!M:M,"Vignette",'QA Log'!Z:Z,"Approved",'QA Log'!L:L,"*Vignette [2]: Diarrhea with Cat B dehydration*"),
    COUNTIFS('QA Log'!D:D,A396,'QA Log'!M:M,"Vignette",'QA Log'!Z:Z,"Approved",'QA Log'!L:L,"*Vignette [3] Growth Monitoring and Promotion*"),
    COUNTIFS('QA Log'!D:D,A396,'QA Log'!M:M,"Vignette",'QA Log'!Z:Z,"Approved",'QA Log'!L:L,"*Vignette [4]: The management of presumptive TB patient*")
  )
)</f>
        <v/>
      </c>
      <c r="AX396" s="105" t="str">
        <f>IF(A396&lt;&gt;"",COUNTIFS('QA Log'!D:D,A396,'QA Log'!M:M,"Vignette",'QA Log'!L:L,"Vignette [1] Respiratory Infection: Pneumonia",'QA Log'!Z:Z,"Approved"),"")</f>
        <v/>
      </c>
      <c r="AY396" s="105" t="str">
        <f>IF(A396&lt;&gt;"",COUNTIFS('QA Log'!D:D,A396,'QA Log'!M:M,"Vignette",'QA Log'!L:L,"Vignette [2]: Diarrhea with Cat B dehydration",'QA Log'!Z:Z,"Approved"),"")</f>
        <v/>
      </c>
      <c r="AZ396" s="105" t="str">
        <f>IF(A396&lt;&gt;"",COUNTIFS('QA Log'!D:D,A396,'QA Log'!M:M,"Vignette",'QA Log'!L:L,"Vignette [3] Growth Monitoring and Promotion",'QA Log'!Z:Z,"Approved"),"")</f>
        <v/>
      </c>
      <c r="BA396" s="105" t="str">
        <f>IF(A396&lt;&gt;"",COUNTIFS('QA Log'!D:D,A396,'QA Log'!M:M,"Vignette",'QA Log'!L:L,"Vignette [4]: The management of presumptive TB patient",'QA Log'!Z:Z,"Approved"),"")</f>
        <v/>
      </c>
      <c r="BB396" s="102" t="str">
        <f>IF(A396="","",
  SUM(
    COUNTIFS('QA Log'!D:D,A396,'QA Log'!M:M,"Vignette",'QA Log'!Z:Z,"Rejected",'QA Log'!L:L,"*Vignette [1] Respiratory Infection: Pneumonia*"),
    COUNTIFS('QA Log'!D:D,A396,'QA Log'!M:M,"Vignette",'QA Log'!Z:Z,"Rejected",'QA Log'!L:L,"*Vignette [2]: Diarrhea with Cat B dehydration*"),
    COUNTIFS('QA Log'!D:D,A396,'QA Log'!M:M,"Vignette",'QA Log'!Z:Z,"Rejected",'QA Log'!L:L,"*Vignette [3] Growth Monitoring and Promotion*"),
    COUNTIFS('QA Log'!D:D,A396,'QA Log'!M:M,"Vignette",'QA Log'!Z:Z,"Rejected",'QA Log'!L:L,"*Vignette [4]: The management of presumptive TB patient*")
  )
)</f>
        <v/>
      </c>
      <c r="BC396" s="107" t="str">
        <f t="shared" si="35"/>
        <v/>
      </c>
      <c r="BD396" s="103" t="str">
        <f t="shared" si="36"/>
        <v/>
      </c>
      <c r="BE396" s="102" t="str">
        <f>IF(A396="","",SUM(
COUNTIFS('QA Log'!D:D,A396,'QA Log'!M:M,"Vignette",'QA Log'!L:L,"*Vignette [5] Labor*"),
COUNTIFS('QA Log'!D:D,A396,'QA Log'!M:M,"Vignette",'QA Log'!L:L,"*Vignette [6] PNC pre Discharge*"),
COUNTIFS('QA Log'!D:D,A396,'QA Log'!M:M,"Vignette",'QA Log'!L:L,"*Vignette [7] First ANC Visit*"),
COUNTIFS('QA Log'!D:D,A396,'QA Log'!M:M,"Vignette",'QA Log'!L:L,"*Vignette [8] Birth Spacing/ Family Planning :  FP Counselling*"),
COUNTIFS('QA Log'!D:D,A396,'QA Log'!M:M,"Vignette",'QA Log'!L:L,"*Vignette [9] Birth Spacing: Change FP method to Injectable*"),
COUNTIFS('QA Log'!D:D,A396,'QA Log'!M:M,"Vignette",'QA Log'!L:L,"*Vignette [10] Post Partum Haemorrhage - Atonic Uterus at Health Centre*"),
)
)</f>
        <v/>
      </c>
      <c r="BF396" s="102" t="str">
        <f>IF(A396="","",
  SUM(
    COUNTIFS('QA Log'!D:D,A396,'QA Log'!M:M,"Vignette",'QA Log'!Z:Z,"Approved",'QA Log'!L:L,"*Vignette [5] Labor*"),
    COUNTIFS('QA Log'!D:D,A396,'QA Log'!M:M,"Vignette",'QA Log'!Z:Z,"Approved",'QA Log'!L:L,"*Vignette [6] PNC pre Discharge*"),
    COUNTIFS('QA Log'!D:D,A396,'QA Log'!M:M,"Vignette",'QA Log'!Z:Z,"Approved",'QA Log'!L:L,"*Vignette [7] First ANC Visit*"),
    COUNTIFS('QA Log'!D:D,A396,'QA Log'!M:M,"Vignette",'QA Log'!Z:Z,"Approved",'QA Log'!L:L,"*Vignette [8] Birth Spacing/ Family Planning :  FP Counselling*"),
    COUNTIFS('QA Log'!D:D,A396,'QA Log'!M:M,"Vignette",'QA Log'!Z:Z,"Approved",'QA Log'!L:L,"*Vignette [9] Birth Spacing: Change FP method to Injectable*"),
    COUNTIFS('QA Log'!D:D,A396,'QA Log'!M:M,"Vignette",'QA Log'!Z:Z,"Approved",'QA Log'!L:L,"*Vignette [10] Post Partum Haemorrhage - Atonic Uterus at Health Centre*")
  )
)</f>
        <v/>
      </c>
      <c r="BG396" s="105" t="str">
        <f>IF(A396&lt;&gt;"",COUNTIFS('QA Log'!D:D,A396,'QA Log'!M:M,"Vignette",'QA Log'!L:L,"Vignette [5] Labor",'QA Log'!Z:Z,"Approved"),"")</f>
        <v/>
      </c>
      <c r="BH396" s="105" t="str">
        <f>IF(A396&lt;&gt;"",COUNTIFS('QA Log'!D:D,A396,'QA Log'!M:M,"Vignette",'QA Log'!L:L,"Vignette [6] PNC pre Discharge",'QA Log'!Z:Z,"Approved"),"")</f>
        <v/>
      </c>
      <c r="BI396" s="105" t="str">
        <f>IF(A396&lt;&gt;"",COUNTIFS('QA Log'!D:D,A396,'QA Log'!M:M,"Vignette",'QA Log'!L:L,"Vignette [7] First ANC Visit",'QA Log'!Z:Z,"Approved"),"")</f>
        <v/>
      </c>
      <c r="BJ396" s="105" t="str">
        <f>IF(A396&lt;&gt;"",COUNTIFS('QA Log'!D:D,A396,'QA Log'!M:M,"Vignette",'QA Log'!L:L,"Vignette [8] Birth Spacing/ Family Planning :  FP Counselling",'QA Log'!Z:Z,"Approved"),"")</f>
        <v/>
      </c>
      <c r="BK396" s="105" t="str">
        <f>IF(A396&lt;&gt;"",COUNTIFS('QA Log'!D:D,A396,'QA Log'!M:M,"Vignette",'QA Log'!L:L,"Vignette [9] Birth Spacing: Change FP method to Injectable",'QA Log'!Z:Z,"Approved"),"")</f>
        <v/>
      </c>
      <c r="BL396" s="105" t="str">
        <f>IF(A396&lt;&gt;"",COUNTIFS('QA Log'!D:D,A396,'QA Log'!M:M,"Vignette",'QA Log'!L:L,"Vignette [10] Post Partum Haemorrhage - Atonic Uterus at Health Centre",'QA Log'!Z:Z,"Approved"),"")</f>
        <v/>
      </c>
      <c r="BM396" s="102" t="str">
        <f>IF(A396="","",SUM(
    COUNTIFS('QA Log'!D:D,A396,'QA Log'!M:M,"Vignette",'QA Log'!Z:Z,"Rejected",'QA Log'!L:L,"*Vignette [5] Labor*"),
    COUNTIFS('QA Log'!D:D,A396,'QA Log'!M:M,"Vignette",'QA Log'!Z:Z,"Rejected",'QA Log'!L:L,"*Vignette [6] PNC pre Discharge*"),
    COUNTIFS('QA Log'!D:D,A396,'QA Log'!M:M,"Vignette",'QA Log'!Z:Z,"Rejected",'QA Log'!L:L,"*Vignette [7] First ANC Visit*"),
    COUNTIFS('QA Log'!D:D,A396,'QA Log'!M:M,"Vignette",'QA Log'!Z:Z,"Rejected",'QA Log'!L:L,"*Vignette [8] Birth Spacing/ Family Planning :  FP Counselling*"),
    COUNTIFS('QA Log'!D:D,A396,'QA Log'!M:M,"Vignette",'QA Log'!Z:Z,"Rejected",'QA Log'!L:L,"*Vignette [9] Birth Spacing: Change FP method to Injectable*"),
    COUNTIFS('QA Log'!D:D,A396,'QA Log'!M:M,"Vignette",'QA Log'!Z:Z,"Rejected",'QA Log'!L:L,"*Vignette [10] Post Partum Haemorrhage - Atonic Uterus at Health Centre*")
  )
)</f>
        <v/>
      </c>
      <c r="BN396" s="107" t="str">
        <f t="shared" si="37"/>
        <v/>
      </c>
      <c r="BO396" s="103" t="str">
        <f t="shared" si="38"/>
        <v/>
      </c>
      <c r="BP396" s="102" t="str">
        <f>IF(A396="","",SUM(
COUNTIFS('QA Log'!D:D,A396,'QA Log'!M:M,"Vignette",'QA Log'!L:L,"*Exit Interview 1*"),
COUNTIFS('QA Log'!D:D,A396,'QA Log'!M:M,"Vignette",'QA Log'!L:L,"*Exit Interview 2*"),
)
)</f>
        <v/>
      </c>
      <c r="BQ396" s="102" t="str">
        <f>IF(
  A396="","",
  SUM(
    COUNTIFS('QA Log'!D:D,A396,'QA Log'!M:M,"Vignette",'QA Log'!Z:Z,"Approved",'QA Log'!L:L,"*Exit Interview 1*"),
    COUNTIFS('QA Log'!D:D,A396,'QA Log'!M:M,"Vignette",'QA Log'!Z:Z,"Approved",'QA Log'!L:L,"*Exit Interview 2*")
  )
)</f>
        <v/>
      </c>
      <c r="BR396" s="105" t="str">
        <f>IF(A396&lt;&gt;"",COUNTIFS('QA Log'!D:D,A396,'QA Log'!M:M,"Vignette",'QA Log'!L:L,"Exit Interview 1",'QA Log'!Z:Z,"Approved"),"")</f>
        <v/>
      </c>
      <c r="BS396" s="105" t="str">
        <f>IF(A396&lt;&gt;"",COUNTIFS('QA Log'!D:D,A396,'QA Log'!M:M,"Vignette",'QA Log'!L:L,"Exit Interview 2",'QA Log'!Z:Z,"Approved"),"")</f>
        <v/>
      </c>
      <c r="BT396" s="102" t="str">
        <f>IF(
  A396="","",
  SUM(
    COUNTIFS('QA Log'!D:D,A396,'QA Log'!M:M,"Vignette",'QA Log'!Z:Z,"Rejected",'QA Log'!L:L,"*Exit Interview 1*"),
    COUNTIFS('QA Log'!D:D,A396,'QA Log'!M:M,"Vignette",'QA Log'!Z:Z,"Rejected",'QA Log'!L:L,"*Exit Interview 2*")
  )
)</f>
        <v/>
      </c>
      <c r="BU396" s="107" t="str">
        <f t="shared" si="39"/>
        <v/>
      </c>
      <c r="BV396" s="102" t="str">
        <f t="shared" si="40"/>
        <v/>
      </c>
      <c r="BW396" s="102" t="str">
        <f t="shared" si="41"/>
        <v/>
      </c>
      <c r="BX396" s="102" t="str">
        <f t="shared" si="42"/>
        <v/>
      </c>
      <c r="BY396" s="102" t="str">
        <f t="shared" si="43"/>
        <v/>
      </c>
      <c r="BZ396" s="107" t="str">
        <f t="shared" si="44"/>
        <v/>
      </c>
      <c r="CA396" s="108" t="str">
        <f t="shared" si="45"/>
        <v/>
      </c>
      <c r="CB396" s="108" t="str">
        <f t="shared" si="46"/>
        <v/>
      </c>
      <c r="CC396" s="109" t="str">
        <f t="shared" si="47"/>
        <v/>
      </c>
      <c r="CD396" s="108" t="str">
        <f t="shared" si="48"/>
        <v/>
      </c>
      <c r="CE396" s="108" t="str">
        <f t="shared" si="49"/>
        <v/>
      </c>
      <c r="CF396" s="109" t="str">
        <f t="shared" si="50"/>
        <v/>
      </c>
      <c r="CG396" s="110" t="str">
        <f t="shared" si="51"/>
        <v/>
      </c>
      <c r="CH396" s="111"/>
    </row>
    <row r="397" spans="1:86" ht="12.75">
      <c r="A397" s="101"/>
      <c r="B397" s="102" t="e">
        <f t="array" aca="1" ref="B397" ca="1">_xludf.XLOOKUP(A397,'QA Log'!D:D,'QA Log'!E:E,"")</f>
        <v>#NAME?</v>
      </c>
      <c r="C397" s="102" t="e">
        <f t="array" aca="1" ref="C397" ca="1">_xludf.XLOOKUP(A397,'QA Log'!D:D,'QA Log'!F:F,"")</f>
        <v>#NAME?</v>
      </c>
      <c r="D397" s="102" t="e">
        <f t="array" aca="1" ref="D397" ca="1">_xludf.XLOOKUP(A397,'QA Log'!D:D,'QA Log'!H:H,"")</f>
        <v>#NAME?</v>
      </c>
      <c r="E397" s="102" t="e">
        <f t="array" aca="1" ref="E397" ca="1">_xludf.XLOOKUP(A397,'QA Log'!D:D,'QA Log'!G:G,"")</f>
        <v>#NAME?</v>
      </c>
      <c r="F397" s="103"/>
      <c r="G397" s="104"/>
      <c r="H397" s="104"/>
      <c r="I397" s="103" t="str">
        <f t="shared" si="26"/>
        <v/>
      </c>
      <c r="J397" s="102" t="str">
        <f>IF(A397="","",SUM(
COUNTIFS('QA Log'!D:D,A397,'QA Log'!M:M,"QQC",'QA Log'!L:L,"*1. General Management*"),
COUNTIFS('QA Log'!D:D,A397,'QA Log'!M:M,"QQC",'QA Log'!L:L,"*3. Curative Consultation (OPD)*"),
COUNTIFS('QA Log'!D:D,A397,'QA Log'!M:M,"QQC",'QA Log'!L:L,"*5. Laboratory*"),
COUNTIFS('QA Log'!D:D,A397,'QA Log'!M:M,"QQC",'QA Log'!L:L,"*6. Essential Medicine Management*"),
COUNTIFS('QA Log'!D:D,A397,'QA Log'!M:M,"QQC",'QA Log'!L:L,"*7. Tracer Medicine*"),
COUNTIFS('QA Log'!D:D,A397,'QA Log'!M:M,"QQC",'QA Log'!L:L,"*11. Additional Questions*")))</f>
        <v/>
      </c>
      <c r="K397" s="102" t="str">
        <f>IF(A397="","",SUM(
COUNTIFS('QA Log'!D:D,A397,'QA Log'!M:M,"QQC",'QA Log'!Z:Z,"Approved",'QA Log'!L:L,"*1. General Management*"),
COUNTIFS('QA Log'!D:D,A397,'QA Log'!M:M,"QQC",'QA Log'!Z:Z,"Approved",'QA Log'!L:L,"*3. Curative Consultation (OPD)*"),
COUNTIFS('QA Log'!D:D,A397,'QA Log'!M:M,"QQC",'QA Log'!Z:Z,"Approved",'QA Log'!L:L,"*5. Laboratory*"),
COUNTIFS('QA Log'!D:D,A397,'QA Log'!M:M,"QQC",'QA Log'!Z:Z,"Approved",'QA Log'!L:L,"*6. Essential Medicine Management*"),
COUNTIFS('QA Log'!D:D,A397,'QA Log'!M:M,"QQC",'QA Log'!Z:Z,"Approved",'QA Log'!L:L,"*7. Tracer Medicine*"),
COUNTIFS('QA Log'!D:D,A397,'QA Log'!M:M,"QQC",'QA Log'!Z:Z,"Approved",'QA Log'!L:L,"*11. Additional Questions*")))</f>
        <v/>
      </c>
      <c r="L397" s="102" t="str">
        <f>IF(A397&lt;&gt;"",COUNTIFS('QA Log'!D:D,A397,'QA Log'!M:M,"QQC",'QA Log'!L:L,"1. General Management",'QA Log'!Z:Z,"Approved"),"")</f>
        <v/>
      </c>
      <c r="M397" s="102" t="str">
        <f>IF(A397&lt;&gt;"",COUNTIFS('QA Log'!D:D,A397,'QA Log'!M:M,"QQC",'QA Log'!L:L,"3. Curative Consultation (OPD)",'QA Log'!Z:Z,"Approved"),"")</f>
        <v/>
      </c>
      <c r="N397" s="102" t="str">
        <f>IF(A397&lt;&gt;"",COUNTIFS('QA Log'!D:D,A397,'QA Log'!M:M,"QQC",'QA Log'!L:L,"5. Laboratory",'QA Log'!Z:Z,"Approved"),"")</f>
        <v/>
      </c>
      <c r="O397" s="102" t="str">
        <f>IF(A397&lt;&gt;"",COUNTIFS('QA Log'!D:D,A397,'QA Log'!M:M,"QQC",'QA Log'!L:L,"6. Essential Medicine Management",'QA Log'!Z:Z,"Approved"),"")</f>
        <v/>
      </c>
      <c r="P397" s="102" t="str">
        <f>IF(A397&lt;&gt;"",COUNTIFS('QA Log'!D:D,A397,'QA Log'!M:M,"QQC",'QA Log'!L:L,"7. Tracer Medicine",'QA Log'!Z:Z,"Approved"),"")</f>
        <v/>
      </c>
      <c r="Q397" s="102" t="str">
        <f>IF(A397&lt;&gt;"",COUNTIFS('QA Log'!D:D,A397,'QA Log'!M:M,"QQC",'QA Log'!L:L,"11. Additional Questions",'QA Log'!Z:Z,"Approved"),"")</f>
        <v/>
      </c>
      <c r="R397" s="102" t="str">
        <f>IF(A397="","",SUM(
COUNTIFS('QA Log'!D:D,A397,'QA Log'!M:M,"QQC",'QA Log'!Z:Z,"Rejected",'QA Log'!L:L,"*8. Maternity*"),
COUNTIFS('QA Log'!D:D,A397,'QA Log'!M:M,"QQC",'QA Log'!Z:Z,"Rejected",'QA Log'!L:L,"*EPI*"),
COUNTIFS('QA Log'!D:D,A397,'QA Log'!M:M,"QQC",'QA Log'!Z:Z,"Rejected",'QA Log'!L:L,"*10. Antenatal Care (ANC)*"),
COUNTIFS('QA Log'!D:D,A397,'QA Log'!M:M,"QQC",'QA Log'!Z:Z,"Rejected",'QA Log'!L:L,"*2. Hygiene and Sterilization*"),
COUNTIFS('QA Log'!D:D,A397,'QA Log'!M:M,"QQC",'QA Log'!Z:Z,"Rejected",'QA Log'!L:L,"*Family Planning*")))</f>
        <v/>
      </c>
      <c r="S397" s="106" t="str">
        <f t="shared" si="27"/>
        <v/>
      </c>
      <c r="T397" s="102" t="str">
        <f t="shared" si="28"/>
        <v/>
      </c>
      <c r="U397" s="102" t="str">
        <f>IF(A397="","",
SUM(
COUNTIFS('QA Log'!D:D,A397,'QA Log'!M:M,"QQC",'QA Log'!L:L,"*8. Maternity*"),
COUNTIFS('QA Log'!D:D,A397,'QA Log'!M:M,"QQC",'QA Log'!L:L,"*9. EPI and Pre-school Consultation*"),
COUNTIFS('QA Log'!D:D,A397,'QA Log'!M:M,"QQC",'QA Log'!L:L,"*10. Antenatal Care (ANC)*"),
COUNTIFS('QA Log'!D:D,A397,'QA Log'!M:M,"QQC",'QA Log'!L:L,"*2. Hygiene and Sterilization*"),
COUNTIFS('QA Log'!D:D,A397,'QA Log'!M:M,"QQC",'QA Log'!L:L,"*4. Family Planning*")
))</f>
        <v/>
      </c>
      <c r="V397" s="102" t="str">
        <f>IF(A397="","",
SUM(
COUNTIFS('QA Log'!D:D,A397,'QA Log'!M:M,"QQC",'QA Log'!Z:Z,"Approved",'QA Log'!L:L,"*8. Maternity*"),
COUNTIFS('QA Log'!D:D,A397,'QA Log'!M:M,"QQC",'QA Log'!Z:Z,"Approved",'QA Log'!L:L,"*9. EPI and Pre-school Consultation*"),
COUNTIFS('QA Log'!D:D,A397,'QA Log'!M:M,"QQC",'QA Log'!Z:Z,"Approved",'QA Log'!L:L,"*10. Antenatal Care (ANC)*"),
COUNTIFS('QA Log'!D:D,A397,'QA Log'!M:M,"QQC",'QA Log'!Z:Z,"Approved",'QA Log'!L:L,"*2. Hygiene and Sterilization*"),
COUNTIFS('QA Log'!D:D,A397,'QA Log'!M:M,"QQC",'QA Log'!Z:Z,"Approved",'QA Log'!L:L,"*4. Family Planning*")
))</f>
        <v/>
      </c>
      <c r="W397" s="102" t="str">
        <f>IF(A397&lt;&gt;"",COUNTIFS('QA Log'!D:D,A397,'QA Log'!M:M,"QQC",'QA Log'!L:L,"8. Maternity",'QA Log'!Z:Z,"Approved"),"")</f>
        <v/>
      </c>
      <c r="X397" s="105" t="str">
        <f>IF(A397&lt;&gt;"",COUNTIFS('QA Log'!D:D,A397,'QA Log'!M:M,"QQC",'QA Log'!L:L,"9. EPI and Pre-school Consultation",'QA Log'!Z:Z,"Approved"),"")</f>
        <v/>
      </c>
      <c r="Y397" s="102" t="str">
        <f>IF(A397&lt;&gt;"",COUNTIFS('QA Log'!D:D,A397,'QA Log'!M:M,"QQC",'QA Log'!L:L,"10. Antenatal Care (ANC)",'QA Log'!Z:Z,"Approved"),"")</f>
        <v/>
      </c>
      <c r="Z397" s="102" t="str">
        <f>IF(A397&lt;&gt;"",COUNTIFS('QA Log'!D:D,A397,'QA Log'!M:M,"QQC",'QA Log'!L:L,"2. Hygiene and Sterilization",'QA Log'!Z:Z,"Approved"),"")</f>
        <v/>
      </c>
      <c r="AA397" s="105" t="str">
        <f>IF(A397&lt;&gt;"",COUNTIFS('QA Log'!D:D,A397,'QA Log'!M:M,"QQC",'QA Log'!L:L,"4. Family Planning",'QA Log'!Z:Z,"Approved"),"")</f>
        <v/>
      </c>
      <c r="AB397" s="102" t="str">
        <f>IF(A397="","",
SUM(
COUNTIFS('QA Log'!D:D,A397,'QA Log'!M:M,"QQC",'QA Log'!Z:Z,"Rejected",'QA Log'!L:L,"*8. Maternity*"),
COUNTIFS('QA Log'!D:D,A397,'QA Log'!M:M,"QQC",'QA Log'!Z:Z,"Rejected",'QA Log'!L:L,"*9. EPI and Pre-school Consultation*"),
COUNTIFS('QA Log'!D:D,A397,'QA Log'!M:M,"QQC",'QA Log'!Z:Z,"Rejected",'QA Log'!L:L,"*10. Antenatal Care (ANC)*"),
COUNTIFS('QA Log'!D:D,A397,'QA Log'!M:M,"QQC",'QA Log'!Z:Z,"Rejected",'QA Log'!L:L,"*2. Hygiene and Sterilization*"),
COUNTIFS('QA Log'!D:D,A397,'QA Log'!M:M,"QQC",'QA Log'!Z:Z,"Rejected",'QA Log'!L:L,"*4. Family Planning*")
))</f>
        <v/>
      </c>
      <c r="AC397" s="102" t="str">
        <f t="shared" si="29"/>
        <v/>
      </c>
      <c r="AD397" s="103" t="str">
        <f t="shared" si="30"/>
        <v/>
      </c>
      <c r="AE397" s="102" t="str">
        <f>IF(A397="","",
SUM(
COUNTIFS('QA Log'!D:D,A397,'QA Log'!M:M,"Data Verification",'QA Log'!L:L,"*Medicine (section 2)*"),
COUNTIFS('QA Log'!D:D,A397,'QA Log'!M:M,"Data Verification",'QA Log'!L:L,"*Lab Testing Availability*"),
COUNTIFS('QA Log'!D:D,A397,'QA Log'!M:M,"Data Verification",'QA Log'!L:L,"*Other than P4P (section 6)*"),
COUNTIFS('QA Log'!D:D,A397,'QA Log'!M:M,"Data Verification",'QA Log'!L:L,"*Hospital Governance*")
))</f>
        <v/>
      </c>
      <c r="AF397" s="102" t="str">
        <f>IF(A397="","",
SUM(
COUNTIFS('QA Log'!D:D,A397,'QA Log'!M:M,"Data Verification",'QA Log'!Z:Z,"Approved",'QA Log'!L:L,"*Medicine (section 2)*"),
COUNTIFS('QA Log'!D:D,A397,'QA Log'!M:M,"Data Verification",'QA Log'!Z:Z,"Approved",'QA Log'!L:L,"*Lab Testing Availability*"),
COUNTIFS('QA Log'!D:D,A397,'QA Log'!M:M,"Data Verification",'QA Log'!Z:Z,"Approved",'QA Log'!L:L,"*Other than P4P (section 6)*"),
COUNTIFS('QA Log'!D:D,A397,'QA Log'!M:M,"Data Verification",'QA Log'!Z:Z,"Approved",'QA Log'!L:L,"*Hospital Governance*")
))</f>
        <v/>
      </c>
      <c r="AG397" s="105" t="str">
        <f>IF(A397&lt;&gt;"",COUNTIFS('QA Log'!D:D,A397,'QA Log'!M:M,"Data Verification",'QA Log'!L:L,"Medicine (section 2)",'QA Log'!Z:Z,"Approved"),"")</f>
        <v/>
      </c>
      <c r="AH397" s="105" t="str">
        <f>IF(A397&lt;&gt;"",COUNTIFS('QA Log'!D:D,A397,'QA Log'!M:M,"Data Verification",'QA Log'!L:L,"Lab Testing Availability",'QA Log'!Z:Z,"Approved"),"")</f>
        <v/>
      </c>
      <c r="AI397" s="105" t="str">
        <f>IF(A397&lt;&gt;"",COUNTIFS('QA Log'!D:D,A397,'QA Log'!M:M,"Data Verification",'QA Log'!L:L,"Other than P4P (section 6)",'QA Log'!Z:Z,"Approved"),"")</f>
        <v/>
      </c>
      <c r="AJ397" s="105" t="str">
        <f>IF(A397&lt;&gt;"",COUNTIFS('QA Log'!D:D,A397,'QA Log'!M:M,"Data Verification",'QA Log'!L:L,"Hospital Governance",'QA Log'!Z:Z,"Approved"),"")</f>
        <v/>
      </c>
      <c r="AK397" s="102" t="str">
        <f>IF(A397="","",
SUM(
COUNTIFS('QA Log'!D:D,A397,'QA Log'!M:M,"Data Verification",'QA Log'!Z:Z,"Rejected",'QA Log'!L:L,"*Medicine (section 2)*"),
COUNTIFS('QA Log'!D:D,A397,'QA Log'!M:M,"Data Verification",'QA Log'!Z:Z,"Rejected",'QA Log'!L:L,"*Lab Testing Availability*"),
COUNTIFS('QA Log'!D:D,A397,'QA Log'!M:M,"Data Verification",'QA Log'!Z:Z,"Rejected",'QA Log'!L:L,"*Other than P4P (section 6)*"),
COUNTIFS('QA Log'!D:D,A397,'QA Log'!M:M,"Data Verification",'QA Log'!Z:Z,"Rejected",'QA Log'!L:L,"*Hospital Governance*")
))</f>
        <v/>
      </c>
      <c r="AL397" s="106" t="str">
        <f t="shared" si="31"/>
        <v/>
      </c>
      <c r="AM397" s="102" t="str">
        <f t="shared" si="32"/>
        <v/>
      </c>
      <c r="AN397" s="102" t="str">
        <f>IF(A397="","",
SUM(
COUNTIFS('QA Log'!D:D,A397,'QA Log'!M:M,"Data Verification",'QA Log'!L:L,"*Personnel (section 1)*"),
COUNTIFS('QA Log'!D:D,A397,'QA Log'!M:M,"Data Verification",'QA Log'!L:L,"*Consumable (section 3)*"),
COUNTIFS('QA Log'!D:D,A397,'QA Log'!M:M,"Data Verification",'QA Log'!L:L,"*Equipments (section 4)*")
))</f>
        <v/>
      </c>
      <c r="AO397" s="102" t="str">
        <f>IF(A397="","",
SUM(
COUNTIFS('QA Log'!D:D,A397,'QA Log'!M:M,"Data Verification",'QA Log'!Z:Z,"Approved",'QA Log'!L:L,"*Personnel (section 1)*"),
COUNTIFS('QA Log'!D:D,A397,'QA Log'!M:M,"Data Verification",'QA Log'!Z:Z,"Approved",'QA Log'!L:L,"*Consumable (section 3)*"),
COUNTIFS('QA Log'!D:D,A397,'QA Log'!M:M,"Data Verification",'QA Log'!Z:Z,"Approved",'QA Log'!L:L,"*Equipments (section 4)*")
))</f>
        <v/>
      </c>
      <c r="AP397" s="105" t="str">
        <f>IF(A397&lt;&gt;"",COUNTIFS('QA Log'!D:D,A397,'QA Log'!M:M,"Data Verification",'QA Log'!L:L,"Personnel (section 1)",'QA Log'!Z:Z,"Approved"),"")</f>
        <v/>
      </c>
      <c r="AQ397" s="105" t="str">
        <f>IF(A397&lt;&gt;"",COUNTIFS('QA Log'!D:D,A397,'QA Log'!M:M,"Data Verification",'QA Log'!L:L,"Consumable (section 3)",'QA Log'!Z:Z,"Approved"),"")</f>
        <v/>
      </c>
      <c r="AR397" s="105" t="str">
        <f>IF(A397&lt;&gt;"",COUNTIFS('QA Log'!D:D,A397,'QA Log'!M:M,"Data Verification",'QA Log'!L:L,"Equipments (section 4)",'QA Log'!Z:Z,"Approved"),"")</f>
        <v/>
      </c>
      <c r="AS397" s="102" t="str">
        <f>IF(A397="","",
SUM(
COUNTIFS('QA Log'!D:D,A397,'QA Log'!M:M,"Data Verification",'QA Log'!Z:Z,"Rejected",'QA Log'!L:L,"*Personnel (section 1)*"),
COUNTIFS('QA Log'!D:D,A397,'QA Log'!M:M,"Data Verification",'QA Log'!Z:Z,"Rejected",'QA Log'!L:L,"*Consumable (section 3)*"),
COUNTIFS('QA Log'!D:D,A397,'QA Log'!M:M,"Data Verification",'QA Log'!Z:Z,"Rejected",'QA Log'!L:L,"*Equipments (section 4)*")
))</f>
        <v/>
      </c>
      <c r="AT397" s="102" t="str">
        <f t="shared" si="33"/>
        <v/>
      </c>
      <c r="AU397" s="103" t="str">
        <f t="shared" si="34"/>
        <v/>
      </c>
      <c r="AV397" s="102" t="str">
        <f>IF(A397="","",SUM(
COUNTIFS('QA Log'!D:D,A397,'QA Log'!M:M,"Vignette",'QA Log'!L:L,"*Vignette [1] Respiratory Infection: Pneumonia*"),
COUNTIFS('QA Log'!D:D,A397,'QA Log'!M:M,"Vignette",'QA Log'!L:L,"*Vignette [2]: Diarrhea with Cat B dehydration*"),
COUNTIFS('QA Log'!D:D,A397,'QA Log'!M:M,"Vignette",'QA Log'!L:L,"*Vignette [3] Growth Monitoring and Promotion*"),
COUNTIFS('QA Log'!D:D,A397,'QA Log'!M:M,"Vignette",'QA Log'!L:L,"*Vignette [4]: The management of presumptive TB patient*")
)
)</f>
        <v/>
      </c>
      <c r="AW397" s="102" t="str">
        <f>IF(
  A397="","",
  SUM(
    COUNTIFS('QA Log'!D:D,A397,'QA Log'!M:M,"Vignette",'QA Log'!Z:Z,"Approved",'QA Log'!L:L,"*Vignette [1] Respiratory Infection: Pneumonia*"),
    COUNTIFS('QA Log'!D:D,A397,'QA Log'!M:M,"Vignette",'QA Log'!Z:Z,"Approved",'QA Log'!L:L,"*Vignette [2]: Diarrhea with Cat B dehydration*"),
    COUNTIFS('QA Log'!D:D,A397,'QA Log'!M:M,"Vignette",'QA Log'!Z:Z,"Approved",'QA Log'!L:L,"*Vignette [3] Growth Monitoring and Promotion*"),
    COUNTIFS('QA Log'!D:D,A397,'QA Log'!M:M,"Vignette",'QA Log'!Z:Z,"Approved",'QA Log'!L:L,"*Vignette [4]: The management of presumptive TB patient*")
  )
)</f>
        <v/>
      </c>
      <c r="AX397" s="105" t="str">
        <f>IF(A397&lt;&gt;"",COUNTIFS('QA Log'!D:D,A397,'QA Log'!M:M,"Vignette",'QA Log'!L:L,"Vignette [1] Respiratory Infection: Pneumonia",'QA Log'!Z:Z,"Approved"),"")</f>
        <v/>
      </c>
      <c r="AY397" s="105" t="str">
        <f>IF(A397&lt;&gt;"",COUNTIFS('QA Log'!D:D,A397,'QA Log'!M:M,"Vignette",'QA Log'!L:L,"Vignette [2]: Diarrhea with Cat B dehydration",'QA Log'!Z:Z,"Approved"),"")</f>
        <v/>
      </c>
      <c r="AZ397" s="105" t="str">
        <f>IF(A397&lt;&gt;"",COUNTIFS('QA Log'!D:D,A397,'QA Log'!M:M,"Vignette",'QA Log'!L:L,"Vignette [3] Growth Monitoring and Promotion",'QA Log'!Z:Z,"Approved"),"")</f>
        <v/>
      </c>
      <c r="BA397" s="105" t="str">
        <f>IF(A397&lt;&gt;"",COUNTIFS('QA Log'!D:D,A397,'QA Log'!M:M,"Vignette",'QA Log'!L:L,"Vignette [4]: The management of presumptive TB patient",'QA Log'!Z:Z,"Approved"),"")</f>
        <v/>
      </c>
      <c r="BB397" s="102" t="str">
        <f>IF(A397="","",
  SUM(
    COUNTIFS('QA Log'!D:D,A397,'QA Log'!M:M,"Vignette",'QA Log'!Z:Z,"Rejected",'QA Log'!L:L,"*Vignette [1] Respiratory Infection: Pneumonia*"),
    COUNTIFS('QA Log'!D:D,A397,'QA Log'!M:M,"Vignette",'QA Log'!Z:Z,"Rejected",'QA Log'!L:L,"*Vignette [2]: Diarrhea with Cat B dehydration*"),
    COUNTIFS('QA Log'!D:D,A397,'QA Log'!M:M,"Vignette",'QA Log'!Z:Z,"Rejected",'QA Log'!L:L,"*Vignette [3] Growth Monitoring and Promotion*"),
    COUNTIFS('QA Log'!D:D,A397,'QA Log'!M:M,"Vignette",'QA Log'!Z:Z,"Rejected",'QA Log'!L:L,"*Vignette [4]: The management of presumptive TB patient*")
  )
)</f>
        <v/>
      </c>
      <c r="BC397" s="107" t="str">
        <f t="shared" si="35"/>
        <v/>
      </c>
      <c r="BD397" s="103" t="str">
        <f t="shared" si="36"/>
        <v/>
      </c>
      <c r="BE397" s="102" t="str">
        <f>IF(A397="","",SUM(
COUNTIFS('QA Log'!D:D,A397,'QA Log'!M:M,"Vignette",'QA Log'!L:L,"*Vignette [5] Labor*"),
COUNTIFS('QA Log'!D:D,A397,'QA Log'!M:M,"Vignette",'QA Log'!L:L,"*Vignette [6] PNC pre Discharge*"),
COUNTIFS('QA Log'!D:D,A397,'QA Log'!M:M,"Vignette",'QA Log'!L:L,"*Vignette [7] First ANC Visit*"),
COUNTIFS('QA Log'!D:D,A397,'QA Log'!M:M,"Vignette",'QA Log'!L:L,"*Vignette [8] Birth Spacing/ Family Planning :  FP Counselling*"),
COUNTIFS('QA Log'!D:D,A397,'QA Log'!M:M,"Vignette",'QA Log'!L:L,"*Vignette [9] Birth Spacing: Change FP method to Injectable*"),
COUNTIFS('QA Log'!D:D,A397,'QA Log'!M:M,"Vignette",'QA Log'!L:L,"*Vignette [10] Post Partum Haemorrhage - Atonic Uterus at Health Centre*"),
)
)</f>
        <v/>
      </c>
      <c r="BF397" s="102" t="str">
        <f>IF(A397="","",
  SUM(
    COUNTIFS('QA Log'!D:D,A397,'QA Log'!M:M,"Vignette",'QA Log'!Z:Z,"Approved",'QA Log'!L:L,"*Vignette [5] Labor*"),
    COUNTIFS('QA Log'!D:D,A397,'QA Log'!M:M,"Vignette",'QA Log'!Z:Z,"Approved",'QA Log'!L:L,"*Vignette [6] PNC pre Discharge*"),
    COUNTIFS('QA Log'!D:D,A397,'QA Log'!M:M,"Vignette",'QA Log'!Z:Z,"Approved",'QA Log'!L:L,"*Vignette [7] First ANC Visit*"),
    COUNTIFS('QA Log'!D:D,A397,'QA Log'!M:M,"Vignette",'QA Log'!Z:Z,"Approved",'QA Log'!L:L,"*Vignette [8] Birth Spacing/ Family Planning :  FP Counselling*"),
    COUNTIFS('QA Log'!D:D,A397,'QA Log'!M:M,"Vignette",'QA Log'!Z:Z,"Approved",'QA Log'!L:L,"*Vignette [9] Birth Spacing: Change FP method to Injectable*"),
    COUNTIFS('QA Log'!D:D,A397,'QA Log'!M:M,"Vignette",'QA Log'!Z:Z,"Approved",'QA Log'!L:L,"*Vignette [10] Post Partum Haemorrhage - Atonic Uterus at Health Centre*")
  )
)</f>
        <v/>
      </c>
      <c r="BG397" s="105" t="str">
        <f>IF(A397&lt;&gt;"",COUNTIFS('QA Log'!D:D,A397,'QA Log'!M:M,"Vignette",'QA Log'!L:L,"Vignette [5] Labor",'QA Log'!Z:Z,"Approved"),"")</f>
        <v/>
      </c>
      <c r="BH397" s="105" t="str">
        <f>IF(A397&lt;&gt;"",COUNTIFS('QA Log'!D:D,A397,'QA Log'!M:M,"Vignette",'QA Log'!L:L,"Vignette [6] PNC pre Discharge",'QA Log'!Z:Z,"Approved"),"")</f>
        <v/>
      </c>
      <c r="BI397" s="105" t="str">
        <f>IF(A397&lt;&gt;"",COUNTIFS('QA Log'!D:D,A397,'QA Log'!M:M,"Vignette",'QA Log'!L:L,"Vignette [7] First ANC Visit",'QA Log'!Z:Z,"Approved"),"")</f>
        <v/>
      </c>
      <c r="BJ397" s="105" t="str">
        <f>IF(A397&lt;&gt;"",COUNTIFS('QA Log'!D:D,A397,'QA Log'!M:M,"Vignette",'QA Log'!L:L,"Vignette [8] Birth Spacing/ Family Planning :  FP Counselling",'QA Log'!Z:Z,"Approved"),"")</f>
        <v/>
      </c>
      <c r="BK397" s="105" t="str">
        <f>IF(A397&lt;&gt;"",COUNTIFS('QA Log'!D:D,A397,'QA Log'!M:M,"Vignette",'QA Log'!L:L,"Vignette [9] Birth Spacing: Change FP method to Injectable",'QA Log'!Z:Z,"Approved"),"")</f>
        <v/>
      </c>
      <c r="BL397" s="105" t="str">
        <f>IF(A397&lt;&gt;"",COUNTIFS('QA Log'!D:D,A397,'QA Log'!M:M,"Vignette",'QA Log'!L:L,"Vignette [10] Post Partum Haemorrhage - Atonic Uterus at Health Centre",'QA Log'!Z:Z,"Approved"),"")</f>
        <v/>
      </c>
      <c r="BM397" s="102" t="str">
        <f>IF(A397="","",SUM(
    COUNTIFS('QA Log'!D:D,A397,'QA Log'!M:M,"Vignette",'QA Log'!Z:Z,"Rejected",'QA Log'!L:L,"*Vignette [5] Labor*"),
    COUNTIFS('QA Log'!D:D,A397,'QA Log'!M:M,"Vignette",'QA Log'!Z:Z,"Rejected",'QA Log'!L:L,"*Vignette [6] PNC pre Discharge*"),
    COUNTIFS('QA Log'!D:D,A397,'QA Log'!M:M,"Vignette",'QA Log'!Z:Z,"Rejected",'QA Log'!L:L,"*Vignette [7] First ANC Visit*"),
    COUNTIFS('QA Log'!D:D,A397,'QA Log'!M:M,"Vignette",'QA Log'!Z:Z,"Rejected",'QA Log'!L:L,"*Vignette [8] Birth Spacing/ Family Planning :  FP Counselling*"),
    COUNTIFS('QA Log'!D:D,A397,'QA Log'!M:M,"Vignette",'QA Log'!Z:Z,"Rejected",'QA Log'!L:L,"*Vignette [9] Birth Spacing: Change FP method to Injectable*"),
    COUNTIFS('QA Log'!D:D,A397,'QA Log'!M:M,"Vignette",'QA Log'!Z:Z,"Rejected",'QA Log'!L:L,"*Vignette [10] Post Partum Haemorrhage - Atonic Uterus at Health Centre*")
  )
)</f>
        <v/>
      </c>
      <c r="BN397" s="107" t="str">
        <f t="shared" si="37"/>
        <v/>
      </c>
      <c r="BO397" s="103" t="str">
        <f t="shared" si="38"/>
        <v/>
      </c>
      <c r="BP397" s="102" t="str">
        <f>IF(A397="","",SUM(
COUNTIFS('QA Log'!D:D,A397,'QA Log'!M:M,"Vignette",'QA Log'!L:L,"*Exit Interview 1*"),
COUNTIFS('QA Log'!D:D,A397,'QA Log'!M:M,"Vignette",'QA Log'!L:L,"*Exit Interview 2*"),
)
)</f>
        <v/>
      </c>
      <c r="BQ397" s="102" t="str">
        <f>IF(
  A397="","",
  SUM(
    COUNTIFS('QA Log'!D:D,A397,'QA Log'!M:M,"Vignette",'QA Log'!Z:Z,"Approved",'QA Log'!L:L,"*Exit Interview 1*"),
    COUNTIFS('QA Log'!D:D,A397,'QA Log'!M:M,"Vignette",'QA Log'!Z:Z,"Approved",'QA Log'!L:L,"*Exit Interview 2*")
  )
)</f>
        <v/>
      </c>
      <c r="BR397" s="105" t="str">
        <f>IF(A397&lt;&gt;"",COUNTIFS('QA Log'!D:D,A397,'QA Log'!M:M,"Vignette",'QA Log'!L:L,"Exit Interview 1",'QA Log'!Z:Z,"Approved"),"")</f>
        <v/>
      </c>
      <c r="BS397" s="105" t="str">
        <f>IF(A397&lt;&gt;"",COUNTIFS('QA Log'!D:D,A397,'QA Log'!M:M,"Vignette",'QA Log'!L:L,"Exit Interview 2",'QA Log'!Z:Z,"Approved"),"")</f>
        <v/>
      </c>
      <c r="BT397" s="102" t="str">
        <f>IF(
  A397="","",
  SUM(
    COUNTIFS('QA Log'!D:D,A397,'QA Log'!M:M,"Vignette",'QA Log'!Z:Z,"Rejected",'QA Log'!L:L,"*Exit Interview 1*"),
    COUNTIFS('QA Log'!D:D,A397,'QA Log'!M:M,"Vignette",'QA Log'!Z:Z,"Rejected",'QA Log'!L:L,"*Exit Interview 2*")
  )
)</f>
        <v/>
      </c>
      <c r="BU397" s="107" t="str">
        <f t="shared" si="39"/>
        <v/>
      </c>
      <c r="BV397" s="102" t="str">
        <f t="shared" si="40"/>
        <v/>
      </c>
      <c r="BW397" s="102" t="str">
        <f t="shared" si="41"/>
        <v/>
      </c>
      <c r="BX397" s="102" t="str">
        <f t="shared" si="42"/>
        <v/>
      </c>
      <c r="BY397" s="102" t="str">
        <f t="shared" si="43"/>
        <v/>
      </c>
      <c r="BZ397" s="107" t="str">
        <f t="shared" si="44"/>
        <v/>
      </c>
      <c r="CA397" s="108" t="str">
        <f t="shared" si="45"/>
        <v/>
      </c>
      <c r="CB397" s="108" t="str">
        <f t="shared" si="46"/>
        <v/>
      </c>
      <c r="CC397" s="109" t="str">
        <f t="shared" si="47"/>
        <v/>
      </c>
      <c r="CD397" s="108" t="str">
        <f t="shared" si="48"/>
        <v/>
      </c>
      <c r="CE397" s="108" t="str">
        <f t="shared" si="49"/>
        <v/>
      </c>
      <c r="CF397" s="109" t="str">
        <f t="shared" si="50"/>
        <v/>
      </c>
      <c r="CG397" s="110" t="str">
        <f t="shared" si="51"/>
        <v/>
      </c>
      <c r="CH397" s="111"/>
    </row>
    <row r="398" spans="1:86" ht="12.75">
      <c r="A398" s="101"/>
      <c r="B398" s="102" t="e">
        <f t="array" aca="1" ref="B398" ca="1">_xludf.XLOOKUP(A398,'QA Log'!D:D,'QA Log'!E:E,"")</f>
        <v>#NAME?</v>
      </c>
      <c r="C398" s="102" t="e">
        <f t="array" aca="1" ref="C398" ca="1">_xludf.XLOOKUP(A398,'QA Log'!D:D,'QA Log'!F:F,"")</f>
        <v>#NAME?</v>
      </c>
      <c r="D398" s="102" t="e">
        <f t="array" aca="1" ref="D398" ca="1">_xludf.XLOOKUP(A398,'QA Log'!D:D,'QA Log'!H:H,"")</f>
        <v>#NAME?</v>
      </c>
      <c r="E398" s="102" t="e">
        <f t="array" aca="1" ref="E398" ca="1">_xludf.XLOOKUP(A398,'QA Log'!D:D,'QA Log'!G:G,"")</f>
        <v>#NAME?</v>
      </c>
      <c r="F398" s="103"/>
      <c r="G398" s="104"/>
      <c r="H398" s="104"/>
      <c r="I398" s="103" t="str">
        <f t="shared" si="26"/>
        <v/>
      </c>
      <c r="J398" s="102" t="str">
        <f>IF(A398="","",SUM(
COUNTIFS('QA Log'!D:D,A398,'QA Log'!M:M,"QQC",'QA Log'!L:L,"*1. General Management*"),
COUNTIFS('QA Log'!D:D,A398,'QA Log'!M:M,"QQC",'QA Log'!L:L,"*3. Curative Consultation (OPD)*"),
COUNTIFS('QA Log'!D:D,A398,'QA Log'!M:M,"QQC",'QA Log'!L:L,"*5. Laboratory*"),
COUNTIFS('QA Log'!D:D,A398,'QA Log'!M:M,"QQC",'QA Log'!L:L,"*6. Essential Medicine Management*"),
COUNTIFS('QA Log'!D:D,A398,'QA Log'!M:M,"QQC",'QA Log'!L:L,"*7. Tracer Medicine*"),
COUNTIFS('QA Log'!D:D,A398,'QA Log'!M:M,"QQC",'QA Log'!L:L,"*11. Additional Questions*")))</f>
        <v/>
      </c>
      <c r="K398" s="102" t="str">
        <f>IF(A398="","",SUM(
COUNTIFS('QA Log'!D:D,A398,'QA Log'!M:M,"QQC",'QA Log'!Z:Z,"Approved",'QA Log'!L:L,"*1. General Management*"),
COUNTIFS('QA Log'!D:D,A398,'QA Log'!M:M,"QQC",'QA Log'!Z:Z,"Approved",'QA Log'!L:L,"*3. Curative Consultation (OPD)*"),
COUNTIFS('QA Log'!D:D,A398,'QA Log'!M:M,"QQC",'QA Log'!Z:Z,"Approved",'QA Log'!L:L,"*5. Laboratory*"),
COUNTIFS('QA Log'!D:D,A398,'QA Log'!M:M,"QQC",'QA Log'!Z:Z,"Approved",'QA Log'!L:L,"*6. Essential Medicine Management*"),
COUNTIFS('QA Log'!D:D,A398,'QA Log'!M:M,"QQC",'QA Log'!Z:Z,"Approved",'QA Log'!L:L,"*7. Tracer Medicine*"),
COUNTIFS('QA Log'!D:D,A398,'QA Log'!M:M,"QQC",'QA Log'!Z:Z,"Approved",'QA Log'!L:L,"*11. Additional Questions*")))</f>
        <v/>
      </c>
      <c r="L398" s="102" t="str">
        <f>IF(A398&lt;&gt;"",COUNTIFS('QA Log'!D:D,A398,'QA Log'!M:M,"QQC",'QA Log'!L:L,"1. General Management",'QA Log'!Z:Z,"Approved"),"")</f>
        <v/>
      </c>
      <c r="M398" s="102" t="str">
        <f>IF(A398&lt;&gt;"",COUNTIFS('QA Log'!D:D,A398,'QA Log'!M:M,"QQC",'QA Log'!L:L,"3. Curative Consultation (OPD)",'QA Log'!Z:Z,"Approved"),"")</f>
        <v/>
      </c>
      <c r="N398" s="102" t="str">
        <f>IF(A398&lt;&gt;"",COUNTIFS('QA Log'!D:D,A398,'QA Log'!M:M,"QQC",'QA Log'!L:L,"5. Laboratory",'QA Log'!Z:Z,"Approved"),"")</f>
        <v/>
      </c>
      <c r="O398" s="102" t="str">
        <f>IF(A398&lt;&gt;"",COUNTIFS('QA Log'!D:D,A398,'QA Log'!M:M,"QQC",'QA Log'!L:L,"6. Essential Medicine Management",'QA Log'!Z:Z,"Approved"),"")</f>
        <v/>
      </c>
      <c r="P398" s="102" t="str">
        <f>IF(A398&lt;&gt;"",COUNTIFS('QA Log'!D:D,A398,'QA Log'!M:M,"QQC",'QA Log'!L:L,"7. Tracer Medicine",'QA Log'!Z:Z,"Approved"),"")</f>
        <v/>
      </c>
      <c r="Q398" s="102" t="str">
        <f>IF(A398&lt;&gt;"",COUNTIFS('QA Log'!D:D,A398,'QA Log'!M:M,"QQC",'QA Log'!L:L,"11. Additional Questions",'QA Log'!Z:Z,"Approved"),"")</f>
        <v/>
      </c>
      <c r="R398" s="102" t="str">
        <f>IF(A398="","",SUM(
COUNTIFS('QA Log'!D:D,A398,'QA Log'!M:M,"QQC",'QA Log'!Z:Z,"Rejected",'QA Log'!L:L,"*8. Maternity*"),
COUNTIFS('QA Log'!D:D,A398,'QA Log'!M:M,"QQC",'QA Log'!Z:Z,"Rejected",'QA Log'!L:L,"*EPI*"),
COUNTIFS('QA Log'!D:D,A398,'QA Log'!M:M,"QQC",'QA Log'!Z:Z,"Rejected",'QA Log'!L:L,"*10. Antenatal Care (ANC)*"),
COUNTIFS('QA Log'!D:D,A398,'QA Log'!M:M,"QQC",'QA Log'!Z:Z,"Rejected",'QA Log'!L:L,"*2. Hygiene and Sterilization*"),
COUNTIFS('QA Log'!D:D,A398,'QA Log'!M:M,"QQC",'QA Log'!Z:Z,"Rejected",'QA Log'!L:L,"*Family Planning*")))</f>
        <v/>
      </c>
      <c r="S398" s="106" t="str">
        <f t="shared" si="27"/>
        <v/>
      </c>
      <c r="T398" s="102" t="str">
        <f t="shared" si="28"/>
        <v/>
      </c>
      <c r="U398" s="102" t="str">
        <f>IF(A398="","",
SUM(
COUNTIFS('QA Log'!D:D,A398,'QA Log'!M:M,"QQC",'QA Log'!L:L,"*8. Maternity*"),
COUNTIFS('QA Log'!D:D,A398,'QA Log'!M:M,"QQC",'QA Log'!L:L,"*9. EPI and Pre-school Consultation*"),
COUNTIFS('QA Log'!D:D,A398,'QA Log'!M:M,"QQC",'QA Log'!L:L,"*10. Antenatal Care (ANC)*"),
COUNTIFS('QA Log'!D:D,A398,'QA Log'!M:M,"QQC",'QA Log'!L:L,"*2. Hygiene and Sterilization*"),
COUNTIFS('QA Log'!D:D,A398,'QA Log'!M:M,"QQC",'QA Log'!L:L,"*4. Family Planning*")
))</f>
        <v/>
      </c>
      <c r="V398" s="102" t="str">
        <f>IF(A398="","",
SUM(
COUNTIFS('QA Log'!D:D,A398,'QA Log'!M:M,"QQC",'QA Log'!Z:Z,"Approved",'QA Log'!L:L,"*8. Maternity*"),
COUNTIFS('QA Log'!D:D,A398,'QA Log'!M:M,"QQC",'QA Log'!Z:Z,"Approved",'QA Log'!L:L,"*9. EPI and Pre-school Consultation*"),
COUNTIFS('QA Log'!D:D,A398,'QA Log'!M:M,"QQC",'QA Log'!Z:Z,"Approved",'QA Log'!L:L,"*10. Antenatal Care (ANC)*"),
COUNTIFS('QA Log'!D:D,A398,'QA Log'!M:M,"QQC",'QA Log'!Z:Z,"Approved",'QA Log'!L:L,"*2. Hygiene and Sterilization*"),
COUNTIFS('QA Log'!D:D,A398,'QA Log'!M:M,"QQC",'QA Log'!Z:Z,"Approved",'QA Log'!L:L,"*4. Family Planning*")
))</f>
        <v/>
      </c>
      <c r="W398" s="102" t="str">
        <f>IF(A398&lt;&gt;"",COUNTIFS('QA Log'!D:D,A398,'QA Log'!M:M,"QQC",'QA Log'!L:L,"8. Maternity",'QA Log'!Z:Z,"Approved"),"")</f>
        <v/>
      </c>
      <c r="X398" s="105" t="str">
        <f>IF(A398&lt;&gt;"",COUNTIFS('QA Log'!D:D,A398,'QA Log'!M:M,"QQC",'QA Log'!L:L,"9. EPI and Pre-school Consultation",'QA Log'!Z:Z,"Approved"),"")</f>
        <v/>
      </c>
      <c r="Y398" s="102" t="str">
        <f>IF(A398&lt;&gt;"",COUNTIFS('QA Log'!D:D,A398,'QA Log'!M:M,"QQC",'QA Log'!L:L,"10. Antenatal Care (ANC)",'QA Log'!Z:Z,"Approved"),"")</f>
        <v/>
      </c>
      <c r="Z398" s="102" t="str">
        <f>IF(A398&lt;&gt;"",COUNTIFS('QA Log'!D:D,A398,'QA Log'!M:M,"QQC",'QA Log'!L:L,"2. Hygiene and Sterilization",'QA Log'!Z:Z,"Approved"),"")</f>
        <v/>
      </c>
      <c r="AA398" s="105" t="str">
        <f>IF(A398&lt;&gt;"",COUNTIFS('QA Log'!D:D,A398,'QA Log'!M:M,"QQC",'QA Log'!L:L,"4. Family Planning",'QA Log'!Z:Z,"Approved"),"")</f>
        <v/>
      </c>
      <c r="AB398" s="102" t="str">
        <f>IF(A398="","",
SUM(
COUNTIFS('QA Log'!D:D,A398,'QA Log'!M:M,"QQC",'QA Log'!Z:Z,"Rejected",'QA Log'!L:L,"*8. Maternity*"),
COUNTIFS('QA Log'!D:D,A398,'QA Log'!M:M,"QQC",'QA Log'!Z:Z,"Rejected",'QA Log'!L:L,"*9. EPI and Pre-school Consultation*"),
COUNTIFS('QA Log'!D:D,A398,'QA Log'!M:M,"QQC",'QA Log'!Z:Z,"Rejected",'QA Log'!L:L,"*10. Antenatal Care (ANC)*"),
COUNTIFS('QA Log'!D:D,A398,'QA Log'!M:M,"QQC",'QA Log'!Z:Z,"Rejected",'QA Log'!L:L,"*2. Hygiene and Sterilization*"),
COUNTIFS('QA Log'!D:D,A398,'QA Log'!M:M,"QQC",'QA Log'!Z:Z,"Rejected",'QA Log'!L:L,"*4. Family Planning*")
))</f>
        <v/>
      </c>
      <c r="AC398" s="102" t="str">
        <f t="shared" si="29"/>
        <v/>
      </c>
      <c r="AD398" s="103" t="str">
        <f t="shared" si="30"/>
        <v/>
      </c>
      <c r="AE398" s="102" t="str">
        <f>IF(A398="","",
SUM(
COUNTIFS('QA Log'!D:D,A398,'QA Log'!M:M,"Data Verification",'QA Log'!L:L,"*Medicine (section 2)*"),
COUNTIFS('QA Log'!D:D,A398,'QA Log'!M:M,"Data Verification",'QA Log'!L:L,"*Lab Testing Availability*"),
COUNTIFS('QA Log'!D:D,A398,'QA Log'!M:M,"Data Verification",'QA Log'!L:L,"*Other than P4P (section 6)*"),
COUNTIFS('QA Log'!D:D,A398,'QA Log'!M:M,"Data Verification",'QA Log'!L:L,"*Hospital Governance*")
))</f>
        <v/>
      </c>
      <c r="AF398" s="102" t="str">
        <f>IF(A398="","",
SUM(
COUNTIFS('QA Log'!D:D,A398,'QA Log'!M:M,"Data Verification",'QA Log'!Z:Z,"Approved",'QA Log'!L:L,"*Medicine (section 2)*"),
COUNTIFS('QA Log'!D:D,A398,'QA Log'!M:M,"Data Verification",'QA Log'!Z:Z,"Approved",'QA Log'!L:L,"*Lab Testing Availability*"),
COUNTIFS('QA Log'!D:D,A398,'QA Log'!M:M,"Data Verification",'QA Log'!Z:Z,"Approved",'QA Log'!L:L,"*Other than P4P (section 6)*"),
COUNTIFS('QA Log'!D:D,A398,'QA Log'!M:M,"Data Verification",'QA Log'!Z:Z,"Approved",'QA Log'!L:L,"*Hospital Governance*")
))</f>
        <v/>
      </c>
      <c r="AG398" s="105" t="str">
        <f>IF(A398&lt;&gt;"",COUNTIFS('QA Log'!D:D,A398,'QA Log'!M:M,"Data Verification",'QA Log'!L:L,"Medicine (section 2)",'QA Log'!Z:Z,"Approved"),"")</f>
        <v/>
      </c>
      <c r="AH398" s="105" t="str">
        <f>IF(A398&lt;&gt;"",COUNTIFS('QA Log'!D:D,A398,'QA Log'!M:M,"Data Verification",'QA Log'!L:L,"Lab Testing Availability",'QA Log'!Z:Z,"Approved"),"")</f>
        <v/>
      </c>
      <c r="AI398" s="105" t="str">
        <f>IF(A398&lt;&gt;"",COUNTIFS('QA Log'!D:D,A398,'QA Log'!M:M,"Data Verification",'QA Log'!L:L,"Other than P4P (section 6)",'QA Log'!Z:Z,"Approved"),"")</f>
        <v/>
      </c>
      <c r="AJ398" s="105" t="str">
        <f>IF(A398&lt;&gt;"",COUNTIFS('QA Log'!D:D,A398,'QA Log'!M:M,"Data Verification",'QA Log'!L:L,"Hospital Governance",'QA Log'!Z:Z,"Approved"),"")</f>
        <v/>
      </c>
      <c r="AK398" s="102" t="str">
        <f>IF(A398="","",
SUM(
COUNTIFS('QA Log'!D:D,A398,'QA Log'!M:M,"Data Verification",'QA Log'!Z:Z,"Rejected",'QA Log'!L:L,"*Medicine (section 2)*"),
COUNTIFS('QA Log'!D:D,A398,'QA Log'!M:M,"Data Verification",'QA Log'!Z:Z,"Rejected",'QA Log'!L:L,"*Lab Testing Availability*"),
COUNTIFS('QA Log'!D:D,A398,'QA Log'!M:M,"Data Verification",'QA Log'!Z:Z,"Rejected",'QA Log'!L:L,"*Other than P4P (section 6)*"),
COUNTIFS('QA Log'!D:D,A398,'QA Log'!M:M,"Data Verification",'QA Log'!Z:Z,"Rejected",'QA Log'!L:L,"*Hospital Governance*")
))</f>
        <v/>
      </c>
      <c r="AL398" s="106" t="str">
        <f t="shared" si="31"/>
        <v/>
      </c>
      <c r="AM398" s="102" t="str">
        <f t="shared" si="32"/>
        <v/>
      </c>
      <c r="AN398" s="102" t="str">
        <f>IF(A398="","",
SUM(
COUNTIFS('QA Log'!D:D,A398,'QA Log'!M:M,"Data Verification",'QA Log'!L:L,"*Personnel (section 1)*"),
COUNTIFS('QA Log'!D:D,A398,'QA Log'!M:M,"Data Verification",'QA Log'!L:L,"*Consumable (section 3)*"),
COUNTIFS('QA Log'!D:D,A398,'QA Log'!M:M,"Data Verification",'QA Log'!L:L,"*Equipments (section 4)*")
))</f>
        <v/>
      </c>
      <c r="AO398" s="102" t="str">
        <f>IF(A398="","",
SUM(
COUNTIFS('QA Log'!D:D,A398,'QA Log'!M:M,"Data Verification",'QA Log'!Z:Z,"Approved",'QA Log'!L:L,"*Personnel (section 1)*"),
COUNTIFS('QA Log'!D:D,A398,'QA Log'!M:M,"Data Verification",'QA Log'!Z:Z,"Approved",'QA Log'!L:L,"*Consumable (section 3)*"),
COUNTIFS('QA Log'!D:D,A398,'QA Log'!M:M,"Data Verification",'QA Log'!Z:Z,"Approved",'QA Log'!L:L,"*Equipments (section 4)*")
))</f>
        <v/>
      </c>
      <c r="AP398" s="105" t="str">
        <f>IF(A398&lt;&gt;"",COUNTIFS('QA Log'!D:D,A398,'QA Log'!M:M,"Data Verification",'QA Log'!L:L,"Personnel (section 1)",'QA Log'!Z:Z,"Approved"),"")</f>
        <v/>
      </c>
      <c r="AQ398" s="105" t="str">
        <f>IF(A398&lt;&gt;"",COUNTIFS('QA Log'!D:D,A398,'QA Log'!M:M,"Data Verification",'QA Log'!L:L,"Consumable (section 3)",'QA Log'!Z:Z,"Approved"),"")</f>
        <v/>
      </c>
      <c r="AR398" s="105" t="str">
        <f>IF(A398&lt;&gt;"",COUNTIFS('QA Log'!D:D,A398,'QA Log'!M:M,"Data Verification",'QA Log'!L:L,"Equipments (section 4)",'QA Log'!Z:Z,"Approved"),"")</f>
        <v/>
      </c>
      <c r="AS398" s="102" t="str">
        <f>IF(A398="","",
SUM(
COUNTIFS('QA Log'!D:D,A398,'QA Log'!M:M,"Data Verification",'QA Log'!Z:Z,"Rejected",'QA Log'!L:L,"*Personnel (section 1)*"),
COUNTIFS('QA Log'!D:D,A398,'QA Log'!M:M,"Data Verification",'QA Log'!Z:Z,"Rejected",'QA Log'!L:L,"*Consumable (section 3)*"),
COUNTIFS('QA Log'!D:D,A398,'QA Log'!M:M,"Data Verification",'QA Log'!Z:Z,"Rejected",'QA Log'!L:L,"*Equipments (section 4)*")
))</f>
        <v/>
      </c>
      <c r="AT398" s="102" t="str">
        <f t="shared" si="33"/>
        <v/>
      </c>
      <c r="AU398" s="103" t="str">
        <f t="shared" si="34"/>
        <v/>
      </c>
      <c r="AV398" s="102" t="str">
        <f>IF(A398="","",SUM(
COUNTIFS('QA Log'!D:D,A398,'QA Log'!M:M,"Vignette",'QA Log'!L:L,"*Vignette [1] Respiratory Infection: Pneumonia*"),
COUNTIFS('QA Log'!D:D,A398,'QA Log'!M:M,"Vignette",'QA Log'!L:L,"*Vignette [2]: Diarrhea with Cat B dehydration*"),
COUNTIFS('QA Log'!D:D,A398,'QA Log'!M:M,"Vignette",'QA Log'!L:L,"*Vignette [3] Growth Monitoring and Promotion*"),
COUNTIFS('QA Log'!D:D,A398,'QA Log'!M:M,"Vignette",'QA Log'!L:L,"*Vignette [4]: The management of presumptive TB patient*")
)
)</f>
        <v/>
      </c>
      <c r="AW398" s="102" t="str">
        <f>IF(
  A398="","",
  SUM(
    COUNTIFS('QA Log'!D:D,A398,'QA Log'!M:M,"Vignette",'QA Log'!Z:Z,"Approved",'QA Log'!L:L,"*Vignette [1] Respiratory Infection: Pneumonia*"),
    COUNTIFS('QA Log'!D:D,A398,'QA Log'!M:M,"Vignette",'QA Log'!Z:Z,"Approved",'QA Log'!L:L,"*Vignette [2]: Diarrhea with Cat B dehydration*"),
    COUNTIFS('QA Log'!D:D,A398,'QA Log'!M:M,"Vignette",'QA Log'!Z:Z,"Approved",'QA Log'!L:L,"*Vignette [3] Growth Monitoring and Promotion*"),
    COUNTIFS('QA Log'!D:D,A398,'QA Log'!M:M,"Vignette",'QA Log'!Z:Z,"Approved",'QA Log'!L:L,"*Vignette [4]: The management of presumptive TB patient*")
  )
)</f>
        <v/>
      </c>
      <c r="AX398" s="105" t="str">
        <f>IF(A398&lt;&gt;"",COUNTIFS('QA Log'!D:D,A398,'QA Log'!M:M,"Vignette",'QA Log'!L:L,"Vignette [1] Respiratory Infection: Pneumonia",'QA Log'!Z:Z,"Approved"),"")</f>
        <v/>
      </c>
      <c r="AY398" s="105" t="str">
        <f>IF(A398&lt;&gt;"",COUNTIFS('QA Log'!D:D,A398,'QA Log'!M:M,"Vignette",'QA Log'!L:L,"Vignette [2]: Diarrhea with Cat B dehydration",'QA Log'!Z:Z,"Approved"),"")</f>
        <v/>
      </c>
      <c r="AZ398" s="105" t="str">
        <f>IF(A398&lt;&gt;"",COUNTIFS('QA Log'!D:D,A398,'QA Log'!M:M,"Vignette",'QA Log'!L:L,"Vignette [3] Growth Monitoring and Promotion",'QA Log'!Z:Z,"Approved"),"")</f>
        <v/>
      </c>
      <c r="BA398" s="105" t="str">
        <f>IF(A398&lt;&gt;"",COUNTIFS('QA Log'!D:D,A398,'QA Log'!M:M,"Vignette",'QA Log'!L:L,"Vignette [4]: The management of presumptive TB patient",'QA Log'!Z:Z,"Approved"),"")</f>
        <v/>
      </c>
      <c r="BB398" s="102" t="str">
        <f>IF(A398="","",
  SUM(
    COUNTIFS('QA Log'!D:D,A398,'QA Log'!M:M,"Vignette",'QA Log'!Z:Z,"Rejected",'QA Log'!L:L,"*Vignette [1] Respiratory Infection: Pneumonia*"),
    COUNTIFS('QA Log'!D:D,A398,'QA Log'!M:M,"Vignette",'QA Log'!Z:Z,"Rejected",'QA Log'!L:L,"*Vignette [2]: Diarrhea with Cat B dehydration*"),
    COUNTIFS('QA Log'!D:D,A398,'QA Log'!M:M,"Vignette",'QA Log'!Z:Z,"Rejected",'QA Log'!L:L,"*Vignette [3] Growth Monitoring and Promotion*"),
    COUNTIFS('QA Log'!D:D,A398,'QA Log'!M:M,"Vignette",'QA Log'!Z:Z,"Rejected",'QA Log'!L:L,"*Vignette [4]: The management of presumptive TB patient*")
  )
)</f>
        <v/>
      </c>
      <c r="BC398" s="107" t="str">
        <f t="shared" si="35"/>
        <v/>
      </c>
      <c r="BD398" s="103" t="str">
        <f t="shared" si="36"/>
        <v/>
      </c>
      <c r="BE398" s="102" t="str">
        <f>IF(A398="","",SUM(
COUNTIFS('QA Log'!D:D,A398,'QA Log'!M:M,"Vignette",'QA Log'!L:L,"*Vignette [5] Labor*"),
COUNTIFS('QA Log'!D:D,A398,'QA Log'!M:M,"Vignette",'QA Log'!L:L,"*Vignette [6] PNC pre Discharge*"),
COUNTIFS('QA Log'!D:D,A398,'QA Log'!M:M,"Vignette",'QA Log'!L:L,"*Vignette [7] First ANC Visit*"),
COUNTIFS('QA Log'!D:D,A398,'QA Log'!M:M,"Vignette",'QA Log'!L:L,"*Vignette [8] Birth Spacing/ Family Planning :  FP Counselling*"),
COUNTIFS('QA Log'!D:D,A398,'QA Log'!M:M,"Vignette",'QA Log'!L:L,"*Vignette [9] Birth Spacing: Change FP method to Injectable*"),
COUNTIFS('QA Log'!D:D,A398,'QA Log'!M:M,"Vignette",'QA Log'!L:L,"*Vignette [10] Post Partum Haemorrhage - Atonic Uterus at Health Centre*"),
)
)</f>
        <v/>
      </c>
      <c r="BF398" s="102" t="str">
        <f>IF(A398="","",
  SUM(
    COUNTIFS('QA Log'!D:D,A398,'QA Log'!M:M,"Vignette",'QA Log'!Z:Z,"Approved",'QA Log'!L:L,"*Vignette [5] Labor*"),
    COUNTIFS('QA Log'!D:D,A398,'QA Log'!M:M,"Vignette",'QA Log'!Z:Z,"Approved",'QA Log'!L:L,"*Vignette [6] PNC pre Discharge*"),
    COUNTIFS('QA Log'!D:D,A398,'QA Log'!M:M,"Vignette",'QA Log'!Z:Z,"Approved",'QA Log'!L:L,"*Vignette [7] First ANC Visit*"),
    COUNTIFS('QA Log'!D:D,A398,'QA Log'!M:M,"Vignette",'QA Log'!Z:Z,"Approved",'QA Log'!L:L,"*Vignette [8] Birth Spacing/ Family Planning :  FP Counselling*"),
    COUNTIFS('QA Log'!D:D,A398,'QA Log'!M:M,"Vignette",'QA Log'!Z:Z,"Approved",'QA Log'!L:L,"*Vignette [9] Birth Spacing: Change FP method to Injectable*"),
    COUNTIFS('QA Log'!D:D,A398,'QA Log'!M:M,"Vignette",'QA Log'!Z:Z,"Approved",'QA Log'!L:L,"*Vignette [10] Post Partum Haemorrhage - Atonic Uterus at Health Centre*")
  )
)</f>
        <v/>
      </c>
      <c r="BG398" s="105" t="str">
        <f>IF(A398&lt;&gt;"",COUNTIFS('QA Log'!D:D,A398,'QA Log'!M:M,"Vignette",'QA Log'!L:L,"Vignette [5] Labor",'QA Log'!Z:Z,"Approved"),"")</f>
        <v/>
      </c>
      <c r="BH398" s="105" t="str">
        <f>IF(A398&lt;&gt;"",COUNTIFS('QA Log'!D:D,A398,'QA Log'!M:M,"Vignette",'QA Log'!L:L,"Vignette [6] PNC pre Discharge",'QA Log'!Z:Z,"Approved"),"")</f>
        <v/>
      </c>
      <c r="BI398" s="105" t="str">
        <f>IF(A398&lt;&gt;"",COUNTIFS('QA Log'!D:D,A398,'QA Log'!M:M,"Vignette",'QA Log'!L:L,"Vignette [7] First ANC Visit",'QA Log'!Z:Z,"Approved"),"")</f>
        <v/>
      </c>
      <c r="BJ398" s="105" t="str">
        <f>IF(A398&lt;&gt;"",COUNTIFS('QA Log'!D:D,A398,'QA Log'!M:M,"Vignette",'QA Log'!L:L,"Vignette [8] Birth Spacing/ Family Planning :  FP Counselling",'QA Log'!Z:Z,"Approved"),"")</f>
        <v/>
      </c>
      <c r="BK398" s="105" t="str">
        <f>IF(A398&lt;&gt;"",COUNTIFS('QA Log'!D:D,A398,'QA Log'!M:M,"Vignette",'QA Log'!L:L,"Vignette [9] Birth Spacing: Change FP method to Injectable",'QA Log'!Z:Z,"Approved"),"")</f>
        <v/>
      </c>
      <c r="BL398" s="105" t="str">
        <f>IF(A398&lt;&gt;"",COUNTIFS('QA Log'!D:D,A398,'QA Log'!M:M,"Vignette",'QA Log'!L:L,"Vignette [10] Post Partum Haemorrhage - Atonic Uterus at Health Centre",'QA Log'!Z:Z,"Approved"),"")</f>
        <v/>
      </c>
      <c r="BM398" s="102" t="str">
        <f>IF(A398="","",SUM(
    COUNTIFS('QA Log'!D:D,A398,'QA Log'!M:M,"Vignette",'QA Log'!Z:Z,"Rejected",'QA Log'!L:L,"*Vignette [5] Labor*"),
    COUNTIFS('QA Log'!D:D,A398,'QA Log'!M:M,"Vignette",'QA Log'!Z:Z,"Rejected",'QA Log'!L:L,"*Vignette [6] PNC pre Discharge*"),
    COUNTIFS('QA Log'!D:D,A398,'QA Log'!M:M,"Vignette",'QA Log'!Z:Z,"Rejected",'QA Log'!L:L,"*Vignette [7] First ANC Visit*"),
    COUNTIFS('QA Log'!D:D,A398,'QA Log'!M:M,"Vignette",'QA Log'!Z:Z,"Rejected",'QA Log'!L:L,"*Vignette [8] Birth Spacing/ Family Planning :  FP Counselling*"),
    COUNTIFS('QA Log'!D:D,A398,'QA Log'!M:M,"Vignette",'QA Log'!Z:Z,"Rejected",'QA Log'!L:L,"*Vignette [9] Birth Spacing: Change FP method to Injectable*"),
    COUNTIFS('QA Log'!D:D,A398,'QA Log'!M:M,"Vignette",'QA Log'!Z:Z,"Rejected",'QA Log'!L:L,"*Vignette [10] Post Partum Haemorrhage - Atonic Uterus at Health Centre*")
  )
)</f>
        <v/>
      </c>
      <c r="BN398" s="107" t="str">
        <f t="shared" si="37"/>
        <v/>
      </c>
      <c r="BO398" s="103" t="str">
        <f t="shared" si="38"/>
        <v/>
      </c>
      <c r="BP398" s="102" t="str">
        <f>IF(A398="","",SUM(
COUNTIFS('QA Log'!D:D,A398,'QA Log'!M:M,"Vignette",'QA Log'!L:L,"*Exit Interview 1*"),
COUNTIFS('QA Log'!D:D,A398,'QA Log'!M:M,"Vignette",'QA Log'!L:L,"*Exit Interview 2*"),
)
)</f>
        <v/>
      </c>
      <c r="BQ398" s="102" t="str">
        <f>IF(
  A398="","",
  SUM(
    COUNTIFS('QA Log'!D:D,A398,'QA Log'!M:M,"Vignette",'QA Log'!Z:Z,"Approved",'QA Log'!L:L,"*Exit Interview 1*"),
    COUNTIFS('QA Log'!D:D,A398,'QA Log'!M:M,"Vignette",'QA Log'!Z:Z,"Approved",'QA Log'!L:L,"*Exit Interview 2*")
  )
)</f>
        <v/>
      </c>
      <c r="BR398" s="105" t="str">
        <f>IF(A398&lt;&gt;"",COUNTIFS('QA Log'!D:D,A398,'QA Log'!M:M,"Vignette",'QA Log'!L:L,"Exit Interview 1",'QA Log'!Z:Z,"Approved"),"")</f>
        <v/>
      </c>
      <c r="BS398" s="105" t="str">
        <f>IF(A398&lt;&gt;"",COUNTIFS('QA Log'!D:D,A398,'QA Log'!M:M,"Vignette",'QA Log'!L:L,"Exit Interview 2",'QA Log'!Z:Z,"Approved"),"")</f>
        <v/>
      </c>
      <c r="BT398" s="102" t="str">
        <f>IF(
  A398="","",
  SUM(
    COUNTIFS('QA Log'!D:D,A398,'QA Log'!M:M,"Vignette",'QA Log'!Z:Z,"Rejected",'QA Log'!L:L,"*Exit Interview 1*"),
    COUNTIFS('QA Log'!D:D,A398,'QA Log'!M:M,"Vignette",'QA Log'!Z:Z,"Rejected",'QA Log'!L:L,"*Exit Interview 2*")
  )
)</f>
        <v/>
      </c>
      <c r="BU398" s="107" t="str">
        <f t="shared" si="39"/>
        <v/>
      </c>
      <c r="BV398" s="102" t="str">
        <f t="shared" si="40"/>
        <v/>
      </c>
      <c r="BW398" s="102" t="str">
        <f t="shared" si="41"/>
        <v/>
      </c>
      <c r="BX398" s="102" t="str">
        <f t="shared" si="42"/>
        <v/>
      </c>
      <c r="BY398" s="102" t="str">
        <f t="shared" si="43"/>
        <v/>
      </c>
      <c r="BZ398" s="107" t="str">
        <f t="shared" si="44"/>
        <v/>
      </c>
      <c r="CA398" s="108" t="str">
        <f t="shared" si="45"/>
        <v/>
      </c>
      <c r="CB398" s="108" t="str">
        <f t="shared" si="46"/>
        <v/>
      </c>
      <c r="CC398" s="109" t="str">
        <f t="shared" si="47"/>
        <v/>
      </c>
      <c r="CD398" s="108" t="str">
        <f t="shared" si="48"/>
        <v/>
      </c>
      <c r="CE398" s="108" t="str">
        <f t="shared" si="49"/>
        <v/>
      </c>
      <c r="CF398" s="109" t="str">
        <f t="shared" si="50"/>
        <v/>
      </c>
      <c r="CG398" s="110" t="str">
        <f t="shared" si="51"/>
        <v/>
      </c>
      <c r="CH398" s="111"/>
    </row>
    <row r="399" spans="1:86" ht="12.75">
      <c r="A399" s="101"/>
      <c r="B399" s="102" t="e">
        <f t="array" aca="1" ref="B399" ca="1">_xludf.XLOOKUP(A399,'QA Log'!D:D,'QA Log'!E:E,"")</f>
        <v>#NAME?</v>
      </c>
      <c r="C399" s="102" t="e">
        <f t="array" aca="1" ref="C399" ca="1">_xludf.XLOOKUP(A399,'QA Log'!D:D,'QA Log'!F:F,"")</f>
        <v>#NAME?</v>
      </c>
      <c r="D399" s="102" t="e">
        <f t="array" aca="1" ref="D399" ca="1">_xludf.XLOOKUP(A399,'QA Log'!D:D,'QA Log'!H:H,"")</f>
        <v>#NAME?</v>
      </c>
      <c r="E399" s="102" t="e">
        <f t="array" aca="1" ref="E399" ca="1">_xludf.XLOOKUP(A399,'QA Log'!D:D,'QA Log'!G:G,"")</f>
        <v>#NAME?</v>
      </c>
      <c r="F399" s="103"/>
      <c r="G399" s="104"/>
      <c r="H399" s="104"/>
      <c r="I399" s="103" t="str">
        <f t="shared" si="26"/>
        <v/>
      </c>
      <c r="J399" s="102" t="str">
        <f>IF(A399="","",SUM(
COUNTIFS('QA Log'!D:D,A399,'QA Log'!M:M,"QQC",'QA Log'!L:L,"*1. General Management*"),
COUNTIFS('QA Log'!D:D,A399,'QA Log'!M:M,"QQC",'QA Log'!L:L,"*3. Curative Consultation (OPD)*"),
COUNTIFS('QA Log'!D:D,A399,'QA Log'!M:M,"QQC",'QA Log'!L:L,"*5. Laboratory*"),
COUNTIFS('QA Log'!D:D,A399,'QA Log'!M:M,"QQC",'QA Log'!L:L,"*6. Essential Medicine Management*"),
COUNTIFS('QA Log'!D:D,A399,'QA Log'!M:M,"QQC",'QA Log'!L:L,"*7. Tracer Medicine*"),
COUNTIFS('QA Log'!D:D,A399,'QA Log'!M:M,"QQC",'QA Log'!L:L,"*11. Additional Questions*")))</f>
        <v/>
      </c>
      <c r="K399" s="102" t="str">
        <f>IF(A399="","",SUM(
COUNTIFS('QA Log'!D:D,A399,'QA Log'!M:M,"QQC",'QA Log'!Z:Z,"Approved",'QA Log'!L:L,"*1. General Management*"),
COUNTIFS('QA Log'!D:D,A399,'QA Log'!M:M,"QQC",'QA Log'!Z:Z,"Approved",'QA Log'!L:L,"*3. Curative Consultation (OPD)*"),
COUNTIFS('QA Log'!D:D,A399,'QA Log'!M:M,"QQC",'QA Log'!Z:Z,"Approved",'QA Log'!L:L,"*5. Laboratory*"),
COUNTIFS('QA Log'!D:D,A399,'QA Log'!M:M,"QQC",'QA Log'!Z:Z,"Approved",'QA Log'!L:L,"*6. Essential Medicine Management*"),
COUNTIFS('QA Log'!D:D,A399,'QA Log'!M:M,"QQC",'QA Log'!Z:Z,"Approved",'QA Log'!L:L,"*7. Tracer Medicine*"),
COUNTIFS('QA Log'!D:D,A399,'QA Log'!M:M,"QQC",'QA Log'!Z:Z,"Approved",'QA Log'!L:L,"*11. Additional Questions*")))</f>
        <v/>
      </c>
      <c r="L399" s="102" t="str">
        <f>IF(A399&lt;&gt;"",COUNTIFS('QA Log'!D:D,A399,'QA Log'!M:M,"QQC",'QA Log'!L:L,"1. General Management",'QA Log'!Z:Z,"Approved"),"")</f>
        <v/>
      </c>
      <c r="M399" s="102" t="str">
        <f>IF(A399&lt;&gt;"",COUNTIFS('QA Log'!D:D,A399,'QA Log'!M:M,"QQC",'QA Log'!L:L,"3. Curative Consultation (OPD)",'QA Log'!Z:Z,"Approved"),"")</f>
        <v/>
      </c>
      <c r="N399" s="102" t="str">
        <f>IF(A399&lt;&gt;"",COUNTIFS('QA Log'!D:D,A399,'QA Log'!M:M,"QQC",'QA Log'!L:L,"5. Laboratory",'QA Log'!Z:Z,"Approved"),"")</f>
        <v/>
      </c>
      <c r="O399" s="102" t="str">
        <f>IF(A399&lt;&gt;"",COUNTIFS('QA Log'!D:D,A399,'QA Log'!M:M,"QQC",'QA Log'!L:L,"6. Essential Medicine Management",'QA Log'!Z:Z,"Approved"),"")</f>
        <v/>
      </c>
      <c r="P399" s="102" t="str">
        <f>IF(A399&lt;&gt;"",COUNTIFS('QA Log'!D:D,A399,'QA Log'!M:M,"QQC",'QA Log'!L:L,"7. Tracer Medicine",'QA Log'!Z:Z,"Approved"),"")</f>
        <v/>
      </c>
      <c r="Q399" s="102" t="str">
        <f>IF(A399&lt;&gt;"",COUNTIFS('QA Log'!D:D,A399,'QA Log'!M:M,"QQC",'QA Log'!L:L,"11. Additional Questions",'QA Log'!Z:Z,"Approved"),"")</f>
        <v/>
      </c>
      <c r="R399" s="102" t="str">
        <f>IF(A399="","",SUM(
COUNTIFS('QA Log'!D:D,A399,'QA Log'!M:M,"QQC",'QA Log'!Z:Z,"Rejected",'QA Log'!L:L,"*8. Maternity*"),
COUNTIFS('QA Log'!D:D,A399,'QA Log'!M:M,"QQC",'QA Log'!Z:Z,"Rejected",'QA Log'!L:L,"*EPI*"),
COUNTIFS('QA Log'!D:D,A399,'QA Log'!M:M,"QQC",'QA Log'!Z:Z,"Rejected",'QA Log'!L:L,"*10. Antenatal Care (ANC)*"),
COUNTIFS('QA Log'!D:D,A399,'QA Log'!M:M,"QQC",'QA Log'!Z:Z,"Rejected",'QA Log'!L:L,"*2. Hygiene and Sterilization*"),
COUNTIFS('QA Log'!D:D,A399,'QA Log'!M:M,"QQC",'QA Log'!Z:Z,"Rejected",'QA Log'!L:L,"*Family Planning*")))</f>
        <v/>
      </c>
      <c r="S399" s="106" t="str">
        <f t="shared" si="27"/>
        <v/>
      </c>
      <c r="T399" s="102" t="str">
        <f t="shared" si="28"/>
        <v/>
      </c>
      <c r="U399" s="102" t="str">
        <f>IF(A399="","",
SUM(
COUNTIFS('QA Log'!D:D,A399,'QA Log'!M:M,"QQC",'QA Log'!L:L,"*8. Maternity*"),
COUNTIFS('QA Log'!D:D,A399,'QA Log'!M:M,"QQC",'QA Log'!L:L,"*9. EPI and Pre-school Consultation*"),
COUNTIFS('QA Log'!D:D,A399,'QA Log'!M:M,"QQC",'QA Log'!L:L,"*10. Antenatal Care (ANC)*"),
COUNTIFS('QA Log'!D:D,A399,'QA Log'!M:M,"QQC",'QA Log'!L:L,"*2. Hygiene and Sterilization*"),
COUNTIFS('QA Log'!D:D,A399,'QA Log'!M:M,"QQC",'QA Log'!L:L,"*4. Family Planning*")
))</f>
        <v/>
      </c>
      <c r="V399" s="102" t="str">
        <f>IF(A399="","",
SUM(
COUNTIFS('QA Log'!D:D,A399,'QA Log'!M:M,"QQC",'QA Log'!Z:Z,"Approved",'QA Log'!L:L,"*8. Maternity*"),
COUNTIFS('QA Log'!D:D,A399,'QA Log'!M:M,"QQC",'QA Log'!Z:Z,"Approved",'QA Log'!L:L,"*9. EPI and Pre-school Consultation*"),
COUNTIFS('QA Log'!D:D,A399,'QA Log'!M:M,"QQC",'QA Log'!Z:Z,"Approved",'QA Log'!L:L,"*10. Antenatal Care (ANC)*"),
COUNTIFS('QA Log'!D:D,A399,'QA Log'!M:M,"QQC",'QA Log'!Z:Z,"Approved",'QA Log'!L:L,"*2. Hygiene and Sterilization*"),
COUNTIFS('QA Log'!D:D,A399,'QA Log'!M:M,"QQC",'QA Log'!Z:Z,"Approved",'QA Log'!L:L,"*4. Family Planning*")
))</f>
        <v/>
      </c>
      <c r="W399" s="102" t="str">
        <f>IF(A399&lt;&gt;"",COUNTIFS('QA Log'!D:D,A399,'QA Log'!M:M,"QQC",'QA Log'!L:L,"8. Maternity",'QA Log'!Z:Z,"Approved"),"")</f>
        <v/>
      </c>
      <c r="X399" s="105" t="str">
        <f>IF(A399&lt;&gt;"",COUNTIFS('QA Log'!D:D,A399,'QA Log'!M:M,"QQC",'QA Log'!L:L,"9. EPI and Pre-school Consultation",'QA Log'!Z:Z,"Approved"),"")</f>
        <v/>
      </c>
      <c r="Y399" s="102" t="str">
        <f>IF(A399&lt;&gt;"",COUNTIFS('QA Log'!D:D,A399,'QA Log'!M:M,"QQC",'QA Log'!L:L,"10. Antenatal Care (ANC)",'QA Log'!Z:Z,"Approved"),"")</f>
        <v/>
      </c>
      <c r="Z399" s="102" t="str">
        <f>IF(A399&lt;&gt;"",COUNTIFS('QA Log'!D:D,A399,'QA Log'!M:M,"QQC",'QA Log'!L:L,"2. Hygiene and Sterilization",'QA Log'!Z:Z,"Approved"),"")</f>
        <v/>
      </c>
      <c r="AA399" s="105" t="str">
        <f>IF(A399&lt;&gt;"",COUNTIFS('QA Log'!D:D,A399,'QA Log'!M:M,"QQC",'QA Log'!L:L,"4. Family Planning",'QA Log'!Z:Z,"Approved"),"")</f>
        <v/>
      </c>
      <c r="AB399" s="102" t="str">
        <f>IF(A399="","",
SUM(
COUNTIFS('QA Log'!D:D,A399,'QA Log'!M:M,"QQC",'QA Log'!Z:Z,"Rejected",'QA Log'!L:L,"*8. Maternity*"),
COUNTIFS('QA Log'!D:D,A399,'QA Log'!M:M,"QQC",'QA Log'!Z:Z,"Rejected",'QA Log'!L:L,"*9. EPI and Pre-school Consultation*"),
COUNTIFS('QA Log'!D:D,A399,'QA Log'!M:M,"QQC",'QA Log'!Z:Z,"Rejected",'QA Log'!L:L,"*10. Antenatal Care (ANC)*"),
COUNTIFS('QA Log'!D:D,A399,'QA Log'!M:M,"QQC",'QA Log'!Z:Z,"Rejected",'QA Log'!L:L,"*2. Hygiene and Sterilization*"),
COUNTIFS('QA Log'!D:D,A399,'QA Log'!M:M,"QQC",'QA Log'!Z:Z,"Rejected",'QA Log'!L:L,"*4. Family Planning*")
))</f>
        <v/>
      </c>
      <c r="AC399" s="102" t="str">
        <f t="shared" si="29"/>
        <v/>
      </c>
      <c r="AD399" s="103" t="str">
        <f t="shared" si="30"/>
        <v/>
      </c>
      <c r="AE399" s="102" t="str">
        <f>IF(A399="","",
SUM(
COUNTIFS('QA Log'!D:D,A399,'QA Log'!M:M,"Data Verification",'QA Log'!L:L,"*Medicine (section 2)*"),
COUNTIFS('QA Log'!D:D,A399,'QA Log'!M:M,"Data Verification",'QA Log'!L:L,"*Lab Testing Availability*"),
COUNTIFS('QA Log'!D:D,A399,'QA Log'!M:M,"Data Verification",'QA Log'!L:L,"*Other than P4P (section 6)*"),
COUNTIFS('QA Log'!D:D,A399,'QA Log'!M:M,"Data Verification",'QA Log'!L:L,"*Hospital Governance*")
))</f>
        <v/>
      </c>
      <c r="AF399" s="102" t="str">
        <f>IF(A399="","",
SUM(
COUNTIFS('QA Log'!D:D,A399,'QA Log'!M:M,"Data Verification",'QA Log'!Z:Z,"Approved",'QA Log'!L:L,"*Medicine (section 2)*"),
COUNTIFS('QA Log'!D:D,A399,'QA Log'!M:M,"Data Verification",'QA Log'!Z:Z,"Approved",'QA Log'!L:L,"*Lab Testing Availability*"),
COUNTIFS('QA Log'!D:D,A399,'QA Log'!M:M,"Data Verification",'QA Log'!Z:Z,"Approved",'QA Log'!L:L,"*Other than P4P (section 6)*"),
COUNTIFS('QA Log'!D:D,A399,'QA Log'!M:M,"Data Verification",'QA Log'!Z:Z,"Approved",'QA Log'!L:L,"*Hospital Governance*")
))</f>
        <v/>
      </c>
      <c r="AG399" s="105" t="str">
        <f>IF(A399&lt;&gt;"",COUNTIFS('QA Log'!D:D,A399,'QA Log'!M:M,"Data Verification",'QA Log'!L:L,"Medicine (section 2)",'QA Log'!Z:Z,"Approved"),"")</f>
        <v/>
      </c>
      <c r="AH399" s="105" t="str">
        <f>IF(A399&lt;&gt;"",COUNTIFS('QA Log'!D:D,A399,'QA Log'!M:M,"Data Verification",'QA Log'!L:L,"Lab Testing Availability",'QA Log'!Z:Z,"Approved"),"")</f>
        <v/>
      </c>
      <c r="AI399" s="105" t="str">
        <f>IF(A399&lt;&gt;"",COUNTIFS('QA Log'!D:D,A399,'QA Log'!M:M,"Data Verification",'QA Log'!L:L,"Other than P4P (section 6)",'QA Log'!Z:Z,"Approved"),"")</f>
        <v/>
      </c>
      <c r="AJ399" s="105" t="str">
        <f>IF(A399&lt;&gt;"",COUNTIFS('QA Log'!D:D,A399,'QA Log'!M:M,"Data Verification",'QA Log'!L:L,"Hospital Governance",'QA Log'!Z:Z,"Approved"),"")</f>
        <v/>
      </c>
      <c r="AK399" s="102" t="str">
        <f>IF(A399="","",
SUM(
COUNTIFS('QA Log'!D:D,A399,'QA Log'!M:M,"Data Verification",'QA Log'!Z:Z,"Rejected",'QA Log'!L:L,"*Medicine (section 2)*"),
COUNTIFS('QA Log'!D:D,A399,'QA Log'!M:M,"Data Verification",'QA Log'!Z:Z,"Rejected",'QA Log'!L:L,"*Lab Testing Availability*"),
COUNTIFS('QA Log'!D:D,A399,'QA Log'!M:M,"Data Verification",'QA Log'!Z:Z,"Rejected",'QA Log'!L:L,"*Other than P4P (section 6)*"),
COUNTIFS('QA Log'!D:D,A399,'QA Log'!M:M,"Data Verification",'QA Log'!Z:Z,"Rejected",'QA Log'!L:L,"*Hospital Governance*")
))</f>
        <v/>
      </c>
      <c r="AL399" s="106" t="str">
        <f t="shared" si="31"/>
        <v/>
      </c>
      <c r="AM399" s="102" t="str">
        <f t="shared" si="32"/>
        <v/>
      </c>
      <c r="AN399" s="102" t="str">
        <f>IF(A399="","",
SUM(
COUNTIFS('QA Log'!D:D,A399,'QA Log'!M:M,"Data Verification",'QA Log'!L:L,"*Personnel (section 1)*"),
COUNTIFS('QA Log'!D:D,A399,'QA Log'!M:M,"Data Verification",'QA Log'!L:L,"*Consumable (section 3)*"),
COUNTIFS('QA Log'!D:D,A399,'QA Log'!M:M,"Data Verification",'QA Log'!L:L,"*Equipments (section 4)*")
))</f>
        <v/>
      </c>
      <c r="AO399" s="102" t="str">
        <f>IF(A399="","",
SUM(
COUNTIFS('QA Log'!D:D,A399,'QA Log'!M:M,"Data Verification",'QA Log'!Z:Z,"Approved",'QA Log'!L:L,"*Personnel (section 1)*"),
COUNTIFS('QA Log'!D:D,A399,'QA Log'!M:M,"Data Verification",'QA Log'!Z:Z,"Approved",'QA Log'!L:L,"*Consumable (section 3)*"),
COUNTIFS('QA Log'!D:D,A399,'QA Log'!M:M,"Data Verification",'QA Log'!Z:Z,"Approved",'QA Log'!L:L,"*Equipments (section 4)*")
))</f>
        <v/>
      </c>
      <c r="AP399" s="105" t="str">
        <f>IF(A399&lt;&gt;"",COUNTIFS('QA Log'!D:D,A399,'QA Log'!M:M,"Data Verification",'QA Log'!L:L,"Personnel (section 1)",'QA Log'!Z:Z,"Approved"),"")</f>
        <v/>
      </c>
      <c r="AQ399" s="105" t="str">
        <f>IF(A399&lt;&gt;"",COUNTIFS('QA Log'!D:D,A399,'QA Log'!M:M,"Data Verification",'QA Log'!L:L,"Consumable (section 3)",'QA Log'!Z:Z,"Approved"),"")</f>
        <v/>
      </c>
      <c r="AR399" s="105" t="str">
        <f>IF(A399&lt;&gt;"",COUNTIFS('QA Log'!D:D,A399,'QA Log'!M:M,"Data Verification",'QA Log'!L:L,"Equipments (section 4)",'QA Log'!Z:Z,"Approved"),"")</f>
        <v/>
      </c>
      <c r="AS399" s="102" t="str">
        <f>IF(A399="","",
SUM(
COUNTIFS('QA Log'!D:D,A399,'QA Log'!M:M,"Data Verification",'QA Log'!Z:Z,"Rejected",'QA Log'!L:L,"*Personnel (section 1)*"),
COUNTIFS('QA Log'!D:D,A399,'QA Log'!M:M,"Data Verification",'QA Log'!Z:Z,"Rejected",'QA Log'!L:L,"*Consumable (section 3)*"),
COUNTIFS('QA Log'!D:D,A399,'QA Log'!M:M,"Data Verification",'QA Log'!Z:Z,"Rejected",'QA Log'!L:L,"*Equipments (section 4)*")
))</f>
        <v/>
      </c>
      <c r="AT399" s="102" t="str">
        <f t="shared" si="33"/>
        <v/>
      </c>
      <c r="AU399" s="103" t="str">
        <f t="shared" si="34"/>
        <v/>
      </c>
      <c r="AV399" s="102" t="str">
        <f>IF(A399="","",SUM(
COUNTIFS('QA Log'!D:D,A399,'QA Log'!M:M,"Vignette",'QA Log'!L:L,"*Vignette [1] Respiratory Infection: Pneumonia*"),
COUNTIFS('QA Log'!D:D,A399,'QA Log'!M:M,"Vignette",'QA Log'!L:L,"*Vignette [2]: Diarrhea with Cat B dehydration*"),
COUNTIFS('QA Log'!D:D,A399,'QA Log'!M:M,"Vignette",'QA Log'!L:L,"*Vignette [3] Growth Monitoring and Promotion*"),
COUNTIFS('QA Log'!D:D,A399,'QA Log'!M:M,"Vignette",'QA Log'!L:L,"*Vignette [4]: The management of presumptive TB patient*")
)
)</f>
        <v/>
      </c>
      <c r="AW399" s="102" t="str">
        <f>IF(
  A399="","",
  SUM(
    COUNTIFS('QA Log'!D:D,A399,'QA Log'!M:M,"Vignette",'QA Log'!Z:Z,"Approved",'QA Log'!L:L,"*Vignette [1] Respiratory Infection: Pneumonia*"),
    COUNTIFS('QA Log'!D:D,A399,'QA Log'!M:M,"Vignette",'QA Log'!Z:Z,"Approved",'QA Log'!L:L,"*Vignette [2]: Diarrhea with Cat B dehydration*"),
    COUNTIFS('QA Log'!D:D,A399,'QA Log'!M:M,"Vignette",'QA Log'!Z:Z,"Approved",'QA Log'!L:L,"*Vignette [3] Growth Monitoring and Promotion*"),
    COUNTIFS('QA Log'!D:D,A399,'QA Log'!M:M,"Vignette",'QA Log'!Z:Z,"Approved",'QA Log'!L:L,"*Vignette [4]: The management of presumptive TB patient*")
  )
)</f>
        <v/>
      </c>
      <c r="AX399" s="105" t="str">
        <f>IF(A399&lt;&gt;"",COUNTIFS('QA Log'!D:D,A399,'QA Log'!M:M,"Vignette",'QA Log'!L:L,"Vignette [1] Respiratory Infection: Pneumonia",'QA Log'!Z:Z,"Approved"),"")</f>
        <v/>
      </c>
      <c r="AY399" s="105" t="str">
        <f>IF(A399&lt;&gt;"",COUNTIFS('QA Log'!D:D,A399,'QA Log'!M:M,"Vignette",'QA Log'!L:L,"Vignette [2]: Diarrhea with Cat B dehydration",'QA Log'!Z:Z,"Approved"),"")</f>
        <v/>
      </c>
      <c r="AZ399" s="105" t="str">
        <f>IF(A399&lt;&gt;"",COUNTIFS('QA Log'!D:D,A399,'QA Log'!M:M,"Vignette",'QA Log'!L:L,"Vignette [3] Growth Monitoring and Promotion",'QA Log'!Z:Z,"Approved"),"")</f>
        <v/>
      </c>
      <c r="BA399" s="105" t="str">
        <f>IF(A399&lt;&gt;"",COUNTIFS('QA Log'!D:D,A399,'QA Log'!M:M,"Vignette",'QA Log'!L:L,"Vignette [4]: The management of presumptive TB patient",'QA Log'!Z:Z,"Approved"),"")</f>
        <v/>
      </c>
      <c r="BB399" s="102" t="str">
        <f>IF(A399="","",
  SUM(
    COUNTIFS('QA Log'!D:D,A399,'QA Log'!M:M,"Vignette",'QA Log'!Z:Z,"Rejected",'QA Log'!L:L,"*Vignette [1] Respiratory Infection: Pneumonia*"),
    COUNTIFS('QA Log'!D:D,A399,'QA Log'!M:M,"Vignette",'QA Log'!Z:Z,"Rejected",'QA Log'!L:L,"*Vignette [2]: Diarrhea with Cat B dehydration*"),
    COUNTIFS('QA Log'!D:D,A399,'QA Log'!M:M,"Vignette",'QA Log'!Z:Z,"Rejected",'QA Log'!L:L,"*Vignette [3] Growth Monitoring and Promotion*"),
    COUNTIFS('QA Log'!D:D,A399,'QA Log'!M:M,"Vignette",'QA Log'!Z:Z,"Rejected",'QA Log'!L:L,"*Vignette [4]: The management of presumptive TB patient*")
  )
)</f>
        <v/>
      </c>
      <c r="BC399" s="107" t="str">
        <f t="shared" si="35"/>
        <v/>
      </c>
      <c r="BD399" s="103" t="str">
        <f t="shared" si="36"/>
        <v/>
      </c>
      <c r="BE399" s="102" t="str">
        <f>IF(A399="","",SUM(
COUNTIFS('QA Log'!D:D,A399,'QA Log'!M:M,"Vignette",'QA Log'!L:L,"*Vignette [5] Labor*"),
COUNTIFS('QA Log'!D:D,A399,'QA Log'!M:M,"Vignette",'QA Log'!L:L,"*Vignette [6] PNC pre Discharge*"),
COUNTIFS('QA Log'!D:D,A399,'QA Log'!M:M,"Vignette",'QA Log'!L:L,"*Vignette [7] First ANC Visit*"),
COUNTIFS('QA Log'!D:D,A399,'QA Log'!M:M,"Vignette",'QA Log'!L:L,"*Vignette [8] Birth Spacing/ Family Planning :  FP Counselling*"),
COUNTIFS('QA Log'!D:D,A399,'QA Log'!M:M,"Vignette",'QA Log'!L:L,"*Vignette [9] Birth Spacing: Change FP method to Injectable*"),
COUNTIFS('QA Log'!D:D,A399,'QA Log'!M:M,"Vignette",'QA Log'!L:L,"*Vignette [10] Post Partum Haemorrhage - Atonic Uterus at Health Centre*"),
)
)</f>
        <v/>
      </c>
      <c r="BF399" s="102" t="str">
        <f>IF(A399="","",
  SUM(
    COUNTIFS('QA Log'!D:D,A399,'QA Log'!M:M,"Vignette",'QA Log'!Z:Z,"Approved",'QA Log'!L:L,"*Vignette [5] Labor*"),
    COUNTIFS('QA Log'!D:D,A399,'QA Log'!M:M,"Vignette",'QA Log'!Z:Z,"Approved",'QA Log'!L:L,"*Vignette [6] PNC pre Discharge*"),
    COUNTIFS('QA Log'!D:D,A399,'QA Log'!M:M,"Vignette",'QA Log'!Z:Z,"Approved",'QA Log'!L:L,"*Vignette [7] First ANC Visit*"),
    COUNTIFS('QA Log'!D:D,A399,'QA Log'!M:M,"Vignette",'QA Log'!Z:Z,"Approved",'QA Log'!L:L,"*Vignette [8] Birth Spacing/ Family Planning :  FP Counselling*"),
    COUNTIFS('QA Log'!D:D,A399,'QA Log'!M:M,"Vignette",'QA Log'!Z:Z,"Approved",'QA Log'!L:L,"*Vignette [9] Birth Spacing: Change FP method to Injectable*"),
    COUNTIFS('QA Log'!D:D,A399,'QA Log'!M:M,"Vignette",'QA Log'!Z:Z,"Approved",'QA Log'!L:L,"*Vignette [10] Post Partum Haemorrhage - Atonic Uterus at Health Centre*")
  )
)</f>
        <v/>
      </c>
      <c r="BG399" s="105" t="str">
        <f>IF(A399&lt;&gt;"",COUNTIFS('QA Log'!D:D,A399,'QA Log'!M:M,"Vignette",'QA Log'!L:L,"Vignette [5] Labor",'QA Log'!Z:Z,"Approved"),"")</f>
        <v/>
      </c>
      <c r="BH399" s="105" t="str">
        <f>IF(A399&lt;&gt;"",COUNTIFS('QA Log'!D:D,A399,'QA Log'!M:M,"Vignette",'QA Log'!L:L,"Vignette [6] PNC pre Discharge",'QA Log'!Z:Z,"Approved"),"")</f>
        <v/>
      </c>
      <c r="BI399" s="105" t="str">
        <f>IF(A399&lt;&gt;"",COUNTIFS('QA Log'!D:D,A399,'QA Log'!M:M,"Vignette",'QA Log'!L:L,"Vignette [7] First ANC Visit",'QA Log'!Z:Z,"Approved"),"")</f>
        <v/>
      </c>
      <c r="BJ399" s="105" t="str">
        <f>IF(A399&lt;&gt;"",COUNTIFS('QA Log'!D:D,A399,'QA Log'!M:M,"Vignette",'QA Log'!L:L,"Vignette [8] Birth Spacing/ Family Planning :  FP Counselling",'QA Log'!Z:Z,"Approved"),"")</f>
        <v/>
      </c>
      <c r="BK399" s="105" t="str">
        <f>IF(A399&lt;&gt;"",COUNTIFS('QA Log'!D:D,A399,'QA Log'!M:M,"Vignette",'QA Log'!L:L,"Vignette [9] Birth Spacing: Change FP method to Injectable",'QA Log'!Z:Z,"Approved"),"")</f>
        <v/>
      </c>
      <c r="BL399" s="105" t="str">
        <f>IF(A399&lt;&gt;"",COUNTIFS('QA Log'!D:D,A399,'QA Log'!M:M,"Vignette",'QA Log'!L:L,"Vignette [10] Post Partum Haemorrhage - Atonic Uterus at Health Centre",'QA Log'!Z:Z,"Approved"),"")</f>
        <v/>
      </c>
      <c r="BM399" s="102" t="str">
        <f>IF(A399="","",SUM(
    COUNTIFS('QA Log'!D:D,A399,'QA Log'!M:M,"Vignette",'QA Log'!Z:Z,"Rejected",'QA Log'!L:L,"*Vignette [5] Labor*"),
    COUNTIFS('QA Log'!D:D,A399,'QA Log'!M:M,"Vignette",'QA Log'!Z:Z,"Rejected",'QA Log'!L:L,"*Vignette [6] PNC pre Discharge*"),
    COUNTIFS('QA Log'!D:D,A399,'QA Log'!M:M,"Vignette",'QA Log'!Z:Z,"Rejected",'QA Log'!L:L,"*Vignette [7] First ANC Visit*"),
    COUNTIFS('QA Log'!D:D,A399,'QA Log'!M:M,"Vignette",'QA Log'!Z:Z,"Rejected",'QA Log'!L:L,"*Vignette [8] Birth Spacing/ Family Planning :  FP Counselling*"),
    COUNTIFS('QA Log'!D:D,A399,'QA Log'!M:M,"Vignette",'QA Log'!Z:Z,"Rejected",'QA Log'!L:L,"*Vignette [9] Birth Spacing: Change FP method to Injectable*"),
    COUNTIFS('QA Log'!D:D,A399,'QA Log'!M:M,"Vignette",'QA Log'!Z:Z,"Rejected",'QA Log'!L:L,"*Vignette [10] Post Partum Haemorrhage - Atonic Uterus at Health Centre*")
  )
)</f>
        <v/>
      </c>
      <c r="BN399" s="107" t="str">
        <f t="shared" si="37"/>
        <v/>
      </c>
      <c r="BO399" s="103" t="str">
        <f t="shared" si="38"/>
        <v/>
      </c>
      <c r="BP399" s="102" t="str">
        <f>IF(A399="","",SUM(
COUNTIFS('QA Log'!D:D,A399,'QA Log'!M:M,"Vignette",'QA Log'!L:L,"*Exit Interview 1*"),
COUNTIFS('QA Log'!D:D,A399,'QA Log'!M:M,"Vignette",'QA Log'!L:L,"*Exit Interview 2*"),
)
)</f>
        <v/>
      </c>
      <c r="BQ399" s="102" t="str">
        <f>IF(
  A399="","",
  SUM(
    COUNTIFS('QA Log'!D:D,A399,'QA Log'!M:M,"Vignette",'QA Log'!Z:Z,"Approved",'QA Log'!L:L,"*Exit Interview 1*"),
    COUNTIFS('QA Log'!D:D,A399,'QA Log'!M:M,"Vignette",'QA Log'!Z:Z,"Approved",'QA Log'!L:L,"*Exit Interview 2*")
  )
)</f>
        <v/>
      </c>
      <c r="BR399" s="105" t="str">
        <f>IF(A399&lt;&gt;"",COUNTIFS('QA Log'!D:D,A399,'QA Log'!M:M,"Vignette",'QA Log'!L:L,"Exit Interview 1",'QA Log'!Z:Z,"Approved"),"")</f>
        <v/>
      </c>
      <c r="BS399" s="105" t="str">
        <f>IF(A399&lt;&gt;"",COUNTIFS('QA Log'!D:D,A399,'QA Log'!M:M,"Vignette",'QA Log'!L:L,"Exit Interview 2",'QA Log'!Z:Z,"Approved"),"")</f>
        <v/>
      </c>
      <c r="BT399" s="102" t="str">
        <f>IF(
  A399="","",
  SUM(
    COUNTIFS('QA Log'!D:D,A399,'QA Log'!M:M,"Vignette",'QA Log'!Z:Z,"Rejected",'QA Log'!L:L,"*Exit Interview 1*"),
    COUNTIFS('QA Log'!D:D,A399,'QA Log'!M:M,"Vignette",'QA Log'!Z:Z,"Rejected",'QA Log'!L:L,"*Exit Interview 2*")
  )
)</f>
        <v/>
      </c>
      <c r="BU399" s="107" t="str">
        <f t="shared" si="39"/>
        <v/>
      </c>
      <c r="BV399" s="102" t="str">
        <f t="shared" si="40"/>
        <v/>
      </c>
      <c r="BW399" s="102" t="str">
        <f t="shared" si="41"/>
        <v/>
      </c>
      <c r="BX399" s="102" t="str">
        <f t="shared" si="42"/>
        <v/>
      </c>
      <c r="BY399" s="102" t="str">
        <f t="shared" si="43"/>
        <v/>
      </c>
      <c r="BZ399" s="107" t="str">
        <f t="shared" si="44"/>
        <v/>
      </c>
      <c r="CA399" s="108" t="str">
        <f t="shared" si="45"/>
        <v/>
      </c>
      <c r="CB399" s="108" t="str">
        <f t="shared" si="46"/>
        <v/>
      </c>
      <c r="CC399" s="109" t="str">
        <f t="shared" si="47"/>
        <v/>
      </c>
      <c r="CD399" s="108" t="str">
        <f t="shared" si="48"/>
        <v/>
      </c>
      <c r="CE399" s="108" t="str">
        <f t="shared" si="49"/>
        <v/>
      </c>
      <c r="CF399" s="109" t="str">
        <f t="shared" si="50"/>
        <v/>
      </c>
      <c r="CG399" s="110" t="str">
        <f t="shared" si="51"/>
        <v/>
      </c>
      <c r="CH399" s="111"/>
    </row>
    <row r="400" spans="1:86" ht="12.75">
      <c r="A400" s="101"/>
      <c r="B400" s="102" t="e">
        <f t="array" aca="1" ref="B400" ca="1">_xludf.XLOOKUP(A400,'QA Log'!D:D,'QA Log'!E:E,"")</f>
        <v>#NAME?</v>
      </c>
      <c r="C400" s="102" t="e">
        <f t="array" aca="1" ref="C400" ca="1">_xludf.XLOOKUP(A400,'QA Log'!D:D,'QA Log'!F:F,"")</f>
        <v>#NAME?</v>
      </c>
      <c r="D400" s="102" t="e">
        <f t="array" aca="1" ref="D400" ca="1">_xludf.XLOOKUP(A400,'QA Log'!D:D,'QA Log'!H:H,"")</f>
        <v>#NAME?</v>
      </c>
      <c r="E400" s="102" t="e">
        <f t="array" aca="1" ref="E400" ca="1">_xludf.XLOOKUP(A400,'QA Log'!D:D,'QA Log'!G:G,"")</f>
        <v>#NAME?</v>
      </c>
      <c r="F400" s="103"/>
      <c r="G400" s="104"/>
      <c r="H400" s="104"/>
      <c r="I400" s="103" t="str">
        <f t="shared" si="26"/>
        <v/>
      </c>
      <c r="J400" s="102" t="str">
        <f>IF(A400="","",SUM(
COUNTIFS('QA Log'!D:D,A400,'QA Log'!M:M,"QQC",'QA Log'!L:L,"*1. General Management*"),
COUNTIFS('QA Log'!D:D,A400,'QA Log'!M:M,"QQC",'QA Log'!L:L,"*3. Curative Consultation (OPD)*"),
COUNTIFS('QA Log'!D:D,A400,'QA Log'!M:M,"QQC",'QA Log'!L:L,"*5. Laboratory*"),
COUNTIFS('QA Log'!D:D,A400,'QA Log'!M:M,"QQC",'QA Log'!L:L,"*6. Essential Medicine Management*"),
COUNTIFS('QA Log'!D:D,A400,'QA Log'!M:M,"QQC",'QA Log'!L:L,"*7. Tracer Medicine*"),
COUNTIFS('QA Log'!D:D,A400,'QA Log'!M:M,"QQC",'QA Log'!L:L,"*11. Additional Questions*")))</f>
        <v/>
      </c>
      <c r="K400" s="102" t="str">
        <f>IF(A400="","",SUM(
COUNTIFS('QA Log'!D:D,A400,'QA Log'!M:M,"QQC",'QA Log'!Z:Z,"Approved",'QA Log'!L:L,"*1. General Management*"),
COUNTIFS('QA Log'!D:D,A400,'QA Log'!M:M,"QQC",'QA Log'!Z:Z,"Approved",'QA Log'!L:L,"*3. Curative Consultation (OPD)*"),
COUNTIFS('QA Log'!D:D,A400,'QA Log'!M:M,"QQC",'QA Log'!Z:Z,"Approved",'QA Log'!L:L,"*5. Laboratory*"),
COUNTIFS('QA Log'!D:D,A400,'QA Log'!M:M,"QQC",'QA Log'!Z:Z,"Approved",'QA Log'!L:L,"*6. Essential Medicine Management*"),
COUNTIFS('QA Log'!D:D,A400,'QA Log'!M:M,"QQC",'QA Log'!Z:Z,"Approved",'QA Log'!L:L,"*7. Tracer Medicine*"),
COUNTIFS('QA Log'!D:D,A400,'QA Log'!M:M,"QQC",'QA Log'!Z:Z,"Approved",'QA Log'!L:L,"*11. Additional Questions*")))</f>
        <v/>
      </c>
      <c r="L400" s="102" t="str">
        <f>IF(A400&lt;&gt;"",COUNTIFS('QA Log'!D:D,A400,'QA Log'!M:M,"QQC",'QA Log'!L:L,"1. General Management",'QA Log'!Z:Z,"Approved"),"")</f>
        <v/>
      </c>
      <c r="M400" s="102" t="str">
        <f>IF(A400&lt;&gt;"",COUNTIFS('QA Log'!D:D,A400,'QA Log'!M:M,"QQC",'QA Log'!L:L,"3. Curative Consultation (OPD)",'QA Log'!Z:Z,"Approved"),"")</f>
        <v/>
      </c>
      <c r="N400" s="102" t="str">
        <f>IF(A400&lt;&gt;"",COUNTIFS('QA Log'!D:D,A400,'QA Log'!M:M,"QQC",'QA Log'!L:L,"5. Laboratory",'QA Log'!Z:Z,"Approved"),"")</f>
        <v/>
      </c>
      <c r="O400" s="102" t="str">
        <f>IF(A400&lt;&gt;"",COUNTIFS('QA Log'!D:D,A400,'QA Log'!M:M,"QQC",'QA Log'!L:L,"6. Essential Medicine Management",'QA Log'!Z:Z,"Approved"),"")</f>
        <v/>
      </c>
      <c r="P400" s="102" t="str">
        <f>IF(A400&lt;&gt;"",COUNTIFS('QA Log'!D:D,A400,'QA Log'!M:M,"QQC",'QA Log'!L:L,"7. Tracer Medicine",'QA Log'!Z:Z,"Approved"),"")</f>
        <v/>
      </c>
      <c r="Q400" s="102" t="str">
        <f>IF(A400&lt;&gt;"",COUNTIFS('QA Log'!D:D,A400,'QA Log'!M:M,"QQC",'QA Log'!L:L,"11. Additional Questions",'QA Log'!Z:Z,"Approved"),"")</f>
        <v/>
      </c>
      <c r="R400" s="102" t="str">
        <f>IF(A400="","",SUM(
COUNTIFS('QA Log'!D:D,A400,'QA Log'!M:M,"QQC",'QA Log'!Z:Z,"Rejected",'QA Log'!L:L,"*8. Maternity*"),
COUNTIFS('QA Log'!D:D,A400,'QA Log'!M:M,"QQC",'QA Log'!Z:Z,"Rejected",'QA Log'!L:L,"*EPI*"),
COUNTIFS('QA Log'!D:D,A400,'QA Log'!M:M,"QQC",'QA Log'!Z:Z,"Rejected",'QA Log'!L:L,"*10. Antenatal Care (ANC)*"),
COUNTIFS('QA Log'!D:D,A400,'QA Log'!M:M,"QQC",'QA Log'!Z:Z,"Rejected",'QA Log'!L:L,"*2. Hygiene and Sterilization*"),
COUNTIFS('QA Log'!D:D,A400,'QA Log'!M:M,"QQC",'QA Log'!Z:Z,"Rejected",'QA Log'!L:L,"*Family Planning*")))</f>
        <v/>
      </c>
      <c r="S400" s="106" t="str">
        <f t="shared" si="27"/>
        <v/>
      </c>
      <c r="T400" s="102" t="str">
        <f t="shared" si="28"/>
        <v/>
      </c>
      <c r="U400" s="102" t="str">
        <f>IF(A400="","",
SUM(
COUNTIFS('QA Log'!D:D,A400,'QA Log'!M:M,"QQC",'QA Log'!L:L,"*8. Maternity*"),
COUNTIFS('QA Log'!D:D,A400,'QA Log'!M:M,"QQC",'QA Log'!L:L,"*9. EPI and Pre-school Consultation*"),
COUNTIFS('QA Log'!D:D,A400,'QA Log'!M:M,"QQC",'QA Log'!L:L,"*10. Antenatal Care (ANC)*"),
COUNTIFS('QA Log'!D:D,A400,'QA Log'!M:M,"QQC",'QA Log'!L:L,"*2. Hygiene and Sterilization*"),
COUNTIFS('QA Log'!D:D,A400,'QA Log'!M:M,"QQC",'QA Log'!L:L,"*4. Family Planning*")
))</f>
        <v/>
      </c>
      <c r="V400" s="102" t="str">
        <f>IF(A400="","",
SUM(
COUNTIFS('QA Log'!D:D,A400,'QA Log'!M:M,"QQC",'QA Log'!Z:Z,"Approved",'QA Log'!L:L,"*8. Maternity*"),
COUNTIFS('QA Log'!D:D,A400,'QA Log'!M:M,"QQC",'QA Log'!Z:Z,"Approved",'QA Log'!L:L,"*9. EPI and Pre-school Consultation*"),
COUNTIFS('QA Log'!D:D,A400,'QA Log'!M:M,"QQC",'QA Log'!Z:Z,"Approved",'QA Log'!L:L,"*10. Antenatal Care (ANC)*"),
COUNTIFS('QA Log'!D:D,A400,'QA Log'!M:M,"QQC",'QA Log'!Z:Z,"Approved",'QA Log'!L:L,"*2. Hygiene and Sterilization*"),
COUNTIFS('QA Log'!D:D,A400,'QA Log'!M:M,"QQC",'QA Log'!Z:Z,"Approved",'QA Log'!L:L,"*4. Family Planning*")
))</f>
        <v/>
      </c>
      <c r="W400" s="102" t="str">
        <f>IF(A400&lt;&gt;"",COUNTIFS('QA Log'!D:D,A400,'QA Log'!M:M,"QQC",'QA Log'!L:L,"8. Maternity",'QA Log'!Z:Z,"Approved"),"")</f>
        <v/>
      </c>
      <c r="X400" s="105" t="str">
        <f>IF(A400&lt;&gt;"",COUNTIFS('QA Log'!D:D,A400,'QA Log'!M:M,"QQC",'QA Log'!L:L,"9. EPI and Pre-school Consultation",'QA Log'!Z:Z,"Approved"),"")</f>
        <v/>
      </c>
      <c r="Y400" s="102" t="str">
        <f>IF(A400&lt;&gt;"",COUNTIFS('QA Log'!D:D,A400,'QA Log'!M:M,"QQC",'QA Log'!L:L,"10. Antenatal Care (ANC)",'QA Log'!Z:Z,"Approved"),"")</f>
        <v/>
      </c>
      <c r="Z400" s="102" t="str">
        <f>IF(A400&lt;&gt;"",COUNTIFS('QA Log'!D:D,A400,'QA Log'!M:M,"QQC",'QA Log'!L:L,"2. Hygiene and Sterilization",'QA Log'!Z:Z,"Approved"),"")</f>
        <v/>
      </c>
      <c r="AA400" s="105" t="str">
        <f>IF(A400&lt;&gt;"",COUNTIFS('QA Log'!D:D,A400,'QA Log'!M:M,"QQC",'QA Log'!L:L,"4. Family Planning",'QA Log'!Z:Z,"Approved"),"")</f>
        <v/>
      </c>
      <c r="AB400" s="102" t="str">
        <f>IF(A400="","",
SUM(
COUNTIFS('QA Log'!D:D,A400,'QA Log'!M:M,"QQC",'QA Log'!Z:Z,"Rejected",'QA Log'!L:L,"*8. Maternity*"),
COUNTIFS('QA Log'!D:D,A400,'QA Log'!M:M,"QQC",'QA Log'!Z:Z,"Rejected",'QA Log'!L:L,"*9. EPI and Pre-school Consultation*"),
COUNTIFS('QA Log'!D:D,A400,'QA Log'!M:M,"QQC",'QA Log'!Z:Z,"Rejected",'QA Log'!L:L,"*10. Antenatal Care (ANC)*"),
COUNTIFS('QA Log'!D:D,A400,'QA Log'!M:M,"QQC",'QA Log'!Z:Z,"Rejected",'QA Log'!L:L,"*2. Hygiene and Sterilization*"),
COUNTIFS('QA Log'!D:D,A400,'QA Log'!M:M,"QQC",'QA Log'!Z:Z,"Rejected",'QA Log'!L:L,"*4. Family Planning*")
))</f>
        <v/>
      </c>
      <c r="AC400" s="102" t="str">
        <f t="shared" si="29"/>
        <v/>
      </c>
      <c r="AD400" s="103" t="str">
        <f t="shared" si="30"/>
        <v/>
      </c>
      <c r="AE400" s="102" t="str">
        <f>IF(A400="","",
SUM(
COUNTIFS('QA Log'!D:D,A400,'QA Log'!M:M,"Data Verification",'QA Log'!L:L,"*Medicine (section 2)*"),
COUNTIFS('QA Log'!D:D,A400,'QA Log'!M:M,"Data Verification",'QA Log'!L:L,"*Lab Testing Availability*"),
COUNTIFS('QA Log'!D:D,A400,'QA Log'!M:M,"Data Verification",'QA Log'!L:L,"*Other than P4P (section 6)*"),
COUNTIFS('QA Log'!D:D,A400,'QA Log'!M:M,"Data Verification",'QA Log'!L:L,"*Hospital Governance*")
))</f>
        <v/>
      </c>
      <c r="AF400" s="102" t="str">
        <f>IF(A400="","",
SUM(
COUNTIFS('QA Log'!D:D,A400,'QA Log'!M:M,"Data Verification",'QA Log'!Z:Z,"Approved",'QA Log'!L:L,"*Medicine (section 2)*"),
COUNTIFS('QA Log'!D:D,A400,'QA Log'!M:M,"Data Verification",'QA Log'!Z:Z,"Approved",'QA Log'!L:L,"*Lab Testing Availability*"),
COUNTIFS('QA Log'!D:D,A400,'QA Log'!M:M,"Data Verification",'QA Log'!Z:Z,"Approved",'QA Log'!L:L,"*Other than P4P (section 6)*"),
COUNTIFS('QA Log'!D:D,A400,'QA Log'!M:M,"Data Verification",'QA Log'!Z:Z,"Approved",'QA Log'!L:L,"*Hospital Governance*")
))</f>
        <v/>
      </c>
      <c r="AG400" s="105" t="str">
        <f>IF(A400&lt;&gt;"",COUNTIFS('QA Log'!D:D,A400,'QA Log'!M:M,"Data Verification",'QA Log'!L:L,"Medicine (section 2)",'QA Log'!Z:Z,"Approved"),"")</f>
        <v/>
      </c>
      <c r="AH400" s="105" t="str">
        <f>IF(A400&lt;&gt;"",COUNTIFS('QA Log'!D:D,A400,'QA Log'!M:M,"Data Verification",'QA Log'!L:L,"Lab Testing Availability",'QA Log'!Z:Z,"Approved"),"")</f>
        <v/>
      </c>
      <c r="AI400" s="105" t="str">
        <f>IF(A400&lt;&gt;"",COUNTIFS('QA Log'!D:D,A400,'QA Log'!M:M,"Data Verification",'QA Log'!L:L,"Other than P4P (section 6)",'QA Log'!Z:Z,"Approved"),"")</f>
        <v/>
      </c>
      <c r="AJ400" s="105" t="str">
        <f>IF(A400&lt;&gt;"",COUNTIFS('QA Log'!D:D,A400,'QA Log'!M:M,"Data Verification",'QA Log'!L:L,"Hospital Governance",'QA Log'!Z:Z,"Approved"),"")</f>
        <v/>
      </c>
      <c r="AK400" s="102" t="str">
        <f>IF(A400="","",
SUM(
COUNTIFS('QA Log'!D:D,A400,'QA Log'!M:M,"Data Verification",'QA Log'!Z:Z,"Rejected",'QA Log'!L:L,"*Medicine (section 2)*"),
COUNTIFS('QA Log'!D:D,A400,'QA Log'!M:M,"Data Verification",'QA Log'!Z:Z,"Rejected",'QA Log'!L:L,"*Lab Testing Availability*"),
COUNTIFS('QA Log'!D:D,A400,'QA Log'!M:M,"Data Verification",'QA Log'!Z:Z,"Rejected",'QA Log'!L:L,"*Other than P4P (section 6)*"),
COUNTIFS('QA Log'!D:D,A400,'QA Log'!M:M,"Data Verification",'QA Log'!Z:Z,"Rejected",'QA Log'!L:L,"*Hospital Governance*")
))</f>
        <v/>
      </c>
      <c r="AL400" s="106" t="str">
        <f t="shared" si="31"/>
        <v/>
      </c>
      <c r="AM400" s="102" t="str">
        <f t="shared" si="32"/>
        <v/>
      </c>
      <c r="AN400" s="102" t="str">
        <f>IF(A400="","",
SUM(
COUNTIFS('QA Log'!D:D,A400,'QA Log'!M:M,"Data Verification",'QA Log'!L:L,"*Personnel (section 1)*"),
COUNTIFS('QA Log'!D:D,A400,'QA Log'!M:M,"Data Verification",'QA Log'!L:L,"*Consumable (section 3)*"),
COUNTIFS('QA Log'!D:D,A400,'QA Log'!M:M,"Data Verification",'QA Log'!L:L,"*Equipments (section 4)*")
))</f>
        <v/>
      </c>
      <c r="AO400" s="102" t="str">
        <f>IF(A400="","",
SUM(
COUNTIFS('QA Log'!D:D,A400,'QA Log'!M:M,"Data Verification",'QA Log'!Z:Z,"Approved",'QA Log'!L:L,"*Personnel (section 1)*"),
COUNTIFS('QA Log'!D:D,A400,'QA Log'!M:M,"Data Verification",'QA Log'!Z:Z,"Approved",'QA Log'!L:L,"*Consumable (section 3)*"),
COUNTIFS('QA Log'!D:D,A400,'QA Log'!M:M,"Data Verification",'QA Log'!Z:Z,"Approved",'QA Log'!L:L,"*Equipments (section 4)*")
))</f>
        <v/>
      </c>
      <c r="AP400" s="105" t="str">
        <f>IF(A400&lt;&gt;"",COUNTIFS('QA Log'!D:D,A400,'QA Log'!M:M,"Data Verification",'QA Log'!L:L,"Personnel (section 1)",'QA Log'!Z:Z,"Approved"),"")</f>
        <v/>
      </c>
      <c r="AQ400" s="105" t="str">
        <f>IF(A400&lt;&gt;"",COUNTIFS('QA Log'!D:D,A400,'QA Log'!M:M,"Data Verification",'QA Log'!L:L,"Consumable (section 3)",'QA Log'!Z:Z,"Approved"),"")</f>
        <v/>
      </c>
      <c r="AR400" s="105" t="str">
        <f>IF(A400&lt;&gt;"",COUNTIFS('QA Log'!D:D,A400,'QA Log'!M:M,"Data Verification",'QA Log'!L:L,"Equipments (section 4)",'QA Log'!Z:Z,"Approved"),"")</f>
        <v/>
      </c>
      <c r="AS400" s="102" t="str">
        <f>IF(A400="","",
SUM(
COUNTIFS('QA Log'!D:D,A400,'QA Log'!M:M,"Data Verification",'QA Log'!Z:Z,"Rejected",'QA Log'!L:L,"*Personnel (section 1)*"),
COUNTIFS('QA Log'!D:D,A400,'QA Log'!M:M,"Data Verification",'QA Log'!Z:Z,"Rejected",'QA Log'!L:L,"*Consumable (section 3)*"),
COUNTIFS('QA Log'!D:D,A400,'QA Log'!M:M,"Data Verification",'QA Log'!Z:Z,"Rejected",'QA Log'!L:L,"*Equipments (section 4)*")
))</f>
        <v/>
      </c>
      <c r="AT400" s="102" t="str">
        <f t="shared" si="33"/>
        <v/>
      </c>
      <c r="AU400" s="103" t="str">
        <f t="shared" si="34"/>
        <v/>
      </c>
      <c r="AV400" s="102" t="str">
        <f>IF(A400="","",SUM(
COUNTIFS('QA Log'!D:D,A400,'QA Log'!M:M,"Vignette",'QA Log'!L:L,"*Vignette [1] Respiratory Infection: Pneumonia*"),
COUNTIFS('QA Log'!D:D,A400,'QA Log'!M:M,"Vignette",'QA Log'!L:L,"*Vignette [2]: Diarrhea with Cat B dehydration*"),
COUNTIFS('QA Log'!D:D,A400,'QA Log'!M:M,"Vignette",'QA Log'!L:L,"*Vignette [3] Growth Monitoring and Promotion*"),
COUNTIFS('QA Log'!D:D,A400,'QA Log'!M:M,"Vignette",'QA Log'!L:L,"*Vignette [4]: The management of presumptive TB patient*")
)
)</f>
        <v/>
      </c>
      <c r="AW400" s="102" t="str">
        <f>IF(
  A400="","",
  SUM(
    COUNTIFS('QA Log'!D:D,A400,'QA Log'!M:M,"Vignette",'QA Log'!Z:Z,"Approved",'QA Log'!L:L,"*Vignette [1] Respiratory Infection: Pneumonia*"),
    COUNTIFS('QA Log'!D:D,A400,'QA Log'!M:M,"Vignette",'QA Log'!Z:Z,"Approved",'QA Log'!L:L,"*Vignette [2]: Diarrhea with Cat B dehydration*"),
    COUNTIFS('QA Log'!D:D,A400,'QA Log'!M:M,"Vignette",'QA Log'!Z:Z,"Approved",'QA Log'!L:L,"*Vignette [3] Growth Monitoring and Promotion*"),
    COUNTIFS('QA Log'!D:D,A400,'QA Log'!M:M,"Vignette",'QA Log'!Z:Z,"Approved",'QA Log'!L:L,"*Vignette [4]: The management of presumptive TB patient*")
  )
)</f>
        <v/>
      </c>
      <c r="AX400" s="105" t="str">
        <f>IF(A400&lt;&gt;"",COUNTIFS('QA Log'!D:D,A400,'QA Log'!M:M,"Vignette",'QA Log'!L:L,"Vignette [1] Respiratory Infection: Pneumonia",'QA Log'!Z:Z,"Approved"),"")</f>
        <v/>
      </c>
      <c r="AY400" s="105" t="str">
        <f>IF(A400&lt;&gt;"",COUNTIFS('QA Log'!D:D,A400,'QA Log'!M:M,"Vignette",'QA Log'!L:L,"Vignette [2]: Diarrhea with Cat B dehydration",'QA Log'!Z:Z,"Approved"),"")</f>
        <v/>
      </c>
      <c r="AZ400" s="105" t="str">
        <f>IF(A400&lt;&gt;"",COUNTIFS('QA Log'!D:D,A400,'QA Log'!M:M,"Vignette",'QA Log'!L:L,"Vignette [3] Growth Monitoring and Promotion",'QA Log'!Z:Z,"Approved"),"")</f>
        <v/>
      </c>
      <c r="BA400" s="105" t="str">
        <f>IF(A400&lt;&gt;"",COUNTIFS('QA Log'!D:D,A400,'QA Log'!M:M,"Vignette",'QA Log'!L:L,"Vignette [4]: The management of presumptive TB patient",'QA Log'!Z:Z,"Approved"),"")</f>
        <v/>
      </c>
      <c r="BB400" s="102" t="str">
        <f>IF(A400="","",
  SUM(
    COUNTIFS('QA Log'!D:D,A400,'QA Log'!M:M,"Vignette",'QA Log'!Z:Z,"Rejected",'QA Log'!L:L,"*Vignette [1] Respiratory Infection: Pneumonia*"),
    COUNTIFS('QA Log'!D:D,A400,'QA Log'!M:M,"Vignette",'QA Log'!Z:Z,"Rejected",'QA Log'!L:L,"*Vignette [2]: Diarrhea with Cat B dehydration*"),
    COUNTIFS('QA Log'!D:D,A400,'QA Log'!M:M,"Vignette",'QA Log'!Z:Z,"Rejected",'QA Log'!L:L,"*Vignette [3] Growth Monitoring and Promotion*"),
    COUNTIFS('QA Log'!D:D,A400,'QA Log'!M:M,"Vignette",'QA Log'!Z:Z,"Rejected",'QA Log'!L:L,"*Vignette [4]: The management of presumptive TB patient*")
  )
)</f>
        <v/>
      </c>
      <c r="BC400" s="107" t="str">
        <f t="shared" si="35"/>
        <v/>
      </c>
      <c r="BD400" s="103" t="str">
        <f t="shared" si="36"/>
        <v/>
      </c>
      <c r="BE400" s="102" t="str">
        <f>IF(A400="","",SUM(
COUNTIFS('QA Log'!D:D,A400,'QA Log'!M:M,"Vignette",'QA Log'!L:L,"*Vignette [5] Labor*"),
COUNTIFS('QA Log'!D:D,A400,'QA Log'!M:M,"Vignette",'QA Log'!L:L,"*Vignette [6] PNC pre Discharge*"),
COUNTIFS('QA Log'!D:D,A400,'QA Log'!M:M,"Vignette",'QA Log'!L:L,"*Vignette [7] First ANC Visit*"),
COUNTIFS('QA Log'!D:D,A400,'QA Log'!M:M,"Vignette",'QA Log'!L:L,"*Vignette [8] Birth Spacing/ Family Planning :  FP Counselling*"),
COUNTIFS('QA Log'!D:D,A400,'QA Log'!M:M,"Vignette",'QA Log'!L:L,"*Vignette [9] Birth Spacing: Change FP method to Injectable*"),
COUNTIFS('QA Log'!D:D,A400,'QA Log'!M:M,"Vignette",'QA Log'!L:L,"*Vignette [10] Post Partum Haemorrhage - Atonic Uterus at Health Centre*"),
)
)</f>
        <v/>
      </c>
      <c r="BF400" s="102" t="str">
        <f>IF(A400="","",
  SUM(
    COUNTIFS('QA Log'!D:D,A400,'QA Log'!M:M,"Vignette",'QA Log'!Z:Z,"Approved",'QA Log'!L:L,"*Vignette [5] Labor*"),
    COUNTIFS('QA Log'!D:D,A400,'QA Log'!M:M,"Vignette",'QA Log'!Z:Z,"Approved",'QA Log'!L:L,"*Vignette [6] PNC pre Discharge*"),
    COUNTIFS('QA Log'!D:D,A400,'QA Log'!M:M,"Vignette",'QA Log'!Z:Z,"Approved",'QA Log'!L:L,"*Vignette [7] First ANC Visit*"),
    COUNTIFS('QA Log'!D:D,A400,'QA Log'!M:M,"Vignette",'QA Log'!Z:Z,"Approved",'QA Log'!L:L,"*Vignette [8] Birth Spacing/ Family Planning :  FP Counselling*"),
    COUNTIFS('QA Log'!D:D,A400,'QA Log'!M:M,"Vignette",'QA Log'!Z:Z,"Approved",'QA Log'!L:L,"*Vignette [9] Birth Spacing: Change FP method to Injectable*"),
    COUNTIFS('QA Log'!D:D,A400,'QA Log'!M:M,"Vignette",'QA Log'!Z:Z,"Approved",'QA Log'!L:L,"*Vignette [10] Post Partum Haemorrhage - Atonic Uterus at Health Centre*")
  )
)</f>
        <v/>
      </c>
      <c r="BG400" s="105" t="str">
        <f>IF(A400&lt;&gt;"",COUNTIFS('QA Log'!D:D,A400,'QA Log'!M:M,"Vignette",'QA Log'!L:L,"Vignette [5] Labor",'QA Log'!Z:Z,"Approved"),"")</f>
        <v/>
      </c>
      <c r="BH400" s="105" t="str">
        <f>IF(A400&lt;&gt;"",COUNTIFS('QA Log'!D:D,A400,'QA Log'!M:M,"Vignette",'QA Log'!L:L,"Vignette [6] PNC pre Discharge",'QA Log'!Z:Z,"Approved"),"")</f>
        <v/>
      </c>
      <c r="BI400" s="105" t="str">
        <f>IF(A400&lt;&gt;"",COUNTIFS('QA Log'!D:D,A400,'QA Log'!M:M,"Vignette",'QA Log'!L:L,"Vignette [7] First ANC Visit",'QA Log'!Z:Z,"Approved"),"")</f>
        <v/>
      </c>
      <c r="BJ400" s="105" t="str">
        <f>IF(A400&lt;&gt;"",COUNTIFS('QA Log'!D:D,A400,'QA Log'!M:M,"Vignette",'QA Log'!L:L,"Vignette [8] Birth Spacing/ Family Planning :  FP Counselling",'QA Log'!Z:Z,"Approved"),"")</f>
        <v/>
      </c>
      <c r="BK400" s="105" t="str">
        <f>IF(A400&lt;&gt;"",COUNTIFS('QA Log'!D:D,A400,'QA Log'!M:M,"Vignette",'QA Log'!L:L,"Vignette [9] Birth Spacing: Change FP method to Injectable",'QA Log'!Z:Z,"Approved"),"")</f>
        <v/>
      </c>
      <c r="BL400" s="105" t="str">
        <f>IF(A400&lt;&gt;"",COUNTIFS('QA Log'!D:D,A400,'QA Log'!M:M,"Vignette",'QA Log'!L:L,"Vignette [10] Post Partum Haemorrhage - Atonic Uterus at Health Centre",'QA Log'!Z:Z,"Approved"),"")</f>
        <v/>
      </c>
      <c r="BM400" s="102" t="str">
        <f>IF(A400="","",SUM(
    COUNTIFS('QA Log'!D:D,A400,'QA Log'!M:M,"Vignette",'QA Log'!Z:Z,"Rejected",'QA Log'!L:L,"*Vignette [5] Labor*"),
    COUNTIFS('QA Log'!D:D,A400,'QA Log'!M:M,"Vignette",'QA Log'!Z:Z,"Rejected",'QA Log'!L:L,"*Vignette [6] PNC pre Discharge*"),
    COUNTIFS('QA Log'!D:D,A400,'QA Log'!M:M,"Vignette",'QA Log'!Z:Z,"Rejected",'QA Log'!L:L,"*Vignette [7] First ANC Visit*"),
    COUNTIFS('QA Log'!D:D,A400,'QA Log'!M:M,"Vignette",'QA Log'!Z:Z,"Rejected",'QA Log'!L:L,"*Vignette [8] Birth Spacing/ Family Planning :  FP Counselling*"),
    COUNTIFS('QA Log'!D:D,A400,'QA Log'!M:M,"Vignette",'QA Log'!Z:Z,"Rejected",'QA Log'!L:L,"*Vignette [9] Birth Spacing: Change FP method to Injectable*"),
    COUNTIFS('QA Log'!D:D,A400,'QA Log'!M:M,"Vignette",'QA Log'!Z:Z,"Rejected",'QA Log'!L:L,"*Vignette [10] Post Partum Haemorrhage - Atonic Uterus at Health Centre*")
  )
)</f>
        <v/>
      </c>
      <c r="BN400" s="107" t="str">
        <f t="shared" si="37"/>
        <v/>
      </c>
      <c r="BO400" s="103" t="str">
        <f t="shared" si="38"/>
        <v/>
      </c>
      <c r="BP400" s="102" t="str">
        <f>IF(A400="","",SUM(
COUNTIFS('QA Log'!D:D,A400,'QA Log'!M:M,"Vignette",'QA Log'!L:L,"*Exit Interview 1*"),
COUNTIFS('QA Log'!D:D,A400,'QA Log'!M:M,"Vignette",'QA Log'!L:L,"*Exit Interview 2*"),
)
)</f>
        <v/>
      </c>
      <c r="BQ400" s="102" t="str">
        <f>IF(
  A400="","",
  SUM(
    COUNTIFS('QA Log'!D:D,A400,'QA Log'!M:M,"Vignette",'QA Log'!Z:Z,"Approved",'QA Log'!L:L,"*Exit Interview 1*"),
    COUNTIFS('QA Log'!D:D,A400,'QA Log'!M:M,"Vignette",'QA Log'!Z:Z,"Approved",'QA Log'!L:L,"*Exit Interview 2*")
  )
)</f>
        <v/>
      </c>
      <c r="BR400" s="105" t="str">
        <f>IF(A400&lt;&gt;"",COUNTIFS('QA Log'!D:D,A400,'QA Log'!M:M,"Vignette",'QA Log'!L:L,"Exit Interview 1",'QA Log'!Z:Z,"Approved"),"")</f>
        <v/>
      </c>
      <c r="BS400" s="105" t="str">
        <f>IF(A400&lt;&gt;"",COUNTIFS('QA Log'!D:D,A400,'QA Log'!M:M,"Vignette",'QA Log'!L:L,"Exit Interview 2",'QA Log'!Z:Z,"Approved"),"")</f>
        <v/>
      </c>
      <c r="BT400" s="102" t="str">
        <f>IF(
  A400="","",
  SUM(
    COUNTIFS('QA Log'!D:D,A400,'QA Log'!M:M,"Vignette",'QA Log'!Z:Z,"Rejected",'QA Log'!L:L,"*Exit Interview 1*"),
    COUNTIFS('QA Log'!D:D,A400,'QA Log'!M:M,"Vignette",'QA Log'!Z:Z,"Rejected",'QA Log'!L:L,"*Exit Interview 2*")
  )
)</f>
        <v/>
      </c>
      <c r="BU400" s="107" t="str">
        <f t="shared" si="39"/>
        <v/>
      </c>
      <c r="BV400" s="102" t="str">
        <f t="shared" si="40"/>
        <v/>
      </c>
      <c r="BW400" s="102" t="str">
        <f t="shared" si="41"/>
        <v/>
      </c>
      <c r="BX400" s="102" t="str">
        <f t="shared" si="42"/>
        <v/>
      </c>
      <c r="BY400" s="102" t="str">
        <f t="shared" si="43"/>
        <v/>
      </c>
      <c r="BZ400" s="107" t="str">
        <f t="shared" si="44"/>
        <v/>
      </c>
      <c r="CA400" s="108" t="str">
        <f t="shared" si="45"/>
        <v/>
      </c>
      <c r="CB400" s="108" t="str">
        <f t="shared" si="46"/>
        <v/>
      </c>
      <c r="CC400" s="109" t="str">
        <f t="shared" si="47"/>
        <v/>
      </c>
      <c r="CD400" s="108" t="str">
        <f t="shared" si="48"/>
        <v/>
      </c>
      <c r="CE400" s="108" t="str">
        <f t="shared" si="49"/>
        <v/>
      </c>
      <c r="CF400" s="109" t="str">
        <f t="shared" si="50"/>
        <v/>
      </c>
      <c r="CG400" s="110" t="str">
        <f t="shared" si="51"/>
        <v/>
      </c>
      <c r="CH400" s="111"/>
    </row>
    <row r="401" spans="1:86" ht="12.75">
      <c r="A401" s="101"/>
      <c r="B401" s="102" t="e">
        <f t="array" aca="1" ref="B401" ca="1">_xludf.XLOOKUP(A401,'QA Log'!D:D,'QA Log'!E:E,"")</f>
        <v>#NAME?</v>
      </c>
      <c r="C401" s="102" t="e">
        <f t="array" aca="1" ref="C401" ca="1">_xludf.XLOOKUP(A401,'QA Log'!D:D,'QA Log'!F:F,"")</f>
        <v>#NAME?</v>
      </c>
      <c r="D401" s="102" t="e">
        <f t="array" aca="1" ref="D401" ca="1">_xludf.XLOOKUP(A401,'QA Log'!D:D,'QA Log'!H:H,"")</f>
        <v>#NAME?</v>
      </c>
      <c r="E401" s="102" t="e">
        <f t="array" aca="1" ref="E401" ca="1">_xludf.XLOOKUP(A401,'QA Log'!D:D,'QA Log'!G:G,"")</f>
        <v>#NAME?</v>
      </c>
      <c r="F401" s="103"/>
      <c r="G401" s="104"/>
      <c r="H401" s="104"/>
      <c r="I401" s="103" t="str">
        <f t="shared" si="26"/>
        <v/>
      </c>
      <c r="J401" s="102" t="str">
        <f>IF(A401="","",SUM(
COUNTIFS('QA Log'!D:D,A401,'QA Log'!M:M,"QQC",'QA Log'!L:L,"*1. General Management*"),
COUNTIFS('QA Log'!D:D,A401,'QA Log'!M:M,"QQC",'QA Log'!L:L,"*3. Curative Consultation (OPD)*"),
COUNTIFS('QA Log'!D:D,A401,'QA Log'!M:M,"QQC",'QA Log'!L:L,"*5. Laboratory*"),
COUNTIFS('QA Log'!D:D,A401,'QA Log'!M:M,"QQC",'QA Log'!L:L,"*6. Essential Medicine Management*"),
COUNTIFS('QA Log'!D:D,A401,'QA Log'!M:M,"QQC",'QA Log'!L:L,"*7. Tracer Medicine*"),
COUNTIFS('QA Log'!D:D,A401,'QA Log'!M:M,"QQC",'QA Log'!L:L,"*11. Additional Questions*")))</f>
        <v/>
      </c>
      <c r="K401" s="102" t="str">
        <f>IF(A401="","",SUM(
COUNTIFS('QA Log'!D:D,A401,'QA Log'!M:M,"QQC",'QA Log'!Z:Z,"Approved",'QA Log'!L:L,"*1. General Management*"),
COUNTIFS('QA Log'!D:D,A401,'QA Log'!M:M,"QQC",'QA Log'!Z:Z,"Approved",'QA Log'!L:L,"*3. Curative Consultation (OPD)*"),
COUNTIFS('QA Log'!D:D,A401,'QA Log'!M:M,"QQC",'QA Log'!Z:Z,"Approved",'QA Log'!L:L,"*5. Laboratory*"),
COUNTIFS('QA Log'!D:D,A401,'QA Log'!M:M,"QQC",'QA Log'!Z:Z,"Approved",'QA Log'!L:L,"*6. Essential Medicine Management*"),
COUNTIFS('QA Log'!D:D,A401,'QA Log'!M:M,"QQC",'QA Log'!Z:Z,"Approved",'QA Log'!L:L,"*7. Tracer Medicine*"),
COUNTIFS('QA Log'!D:D,A401,'QA Log'!M:M,"QQC",'QA Log'!Z:Z,"Approved",'QA Log'!L:L,"*11. Additional Questions*")))</f>
        <v/>
      </c>
      <c r="L401" s="102" t="str">
        <f>IF(A401&lt;&gt;"",COUNTIFS('QA Log'!D:D,A401,'QA Log'!M:M,"QQC",'QA Log'!L:L,"1. General Management",'QA Log'!Z:Z,"Approved"),"")</f>
        <v/>
      </c>
      <c r="M401" s="102" t="str">
        <f>IF(A401&lt;&gt;"",COUNTIFS('QA Log'!D:D,A401,'QA Log'!M:M,"QQC",'QA Log'!L:L,"3. Curative Consultation (OPD)",'QA Log'!Z:Z,"Approved"),"")</f>
        <v/>
      </c>
      <c r="N401" s="102" t="str">
        <f>IF(A401&lt;&gt;"",COUNTIFS('QA Log'!D:D,A401,'QA Log'!M:M,"QQC",'QA Log'!L:L,"5. Laboratory",'QA Log'!Z:Z,"Approved"),"")</f>
        <v/>
      </c>
      <c r="O401" s="102" t="str">
        <f>IF(A401&lt;&gt;"",COUNTIFS('QA Log'!D:D,A401,'QA Log'!M:M,"QQC",'QA Log'!L:L,"6. Essential Medicine Management",'QA Log'!Z:Z,"Approved"),"")</f>
        <v/>
      </c>
      <c r="P401" s="102" t="str">
        <f>IF(A401&lt;&gt;"",COUNTIFS('QA Log'!D:D,A401,'QA Log'!M:M,"QQC",'QA Log'!L:L,"7. Tracer Medicine",'QA Log'!Z:Z,"Approved"),"")</f>
        <v/>
      </c>
      <c r="Q401" s="102" t="str">
        <f>IF(A401&lt;&gt;"",COUNTIFS('QA Log'!D:D,A401,'QA Log'!M:M,"QQC",'QA Log'!L:L,"11. Additional Questions",'QA Log'!Z:Z,"Approved"),"")</f>
        <v/>
      </c>
      <c r="R401" s="102" t="str">
        <f>IF(A401="","",SUM(
COUNTIFS('QA Log'!D:D,A401,'QA Log'!M:M,"QQC",'QA Log'!Z:Z,"Rejected",'QA Log'!L:L,"*8. Maternity*"),
COUNTIFS('QA Log'!D:D,A401,'QA Log'!M:M,"QQC",'QA Log'!Z:Z,"Rejected",'QA Log'!L:L,"*EPI*"),
COUNTIFS('QA Log'!D:D,A401,'QA Log'!M:M,"QQC",'QA Log'!Z:Z,"Rejected",'QA Log'!L:L,"*10. Antenatal Care (ANC)*"),
COUNTIFS('QA Log'!D:D,A401,'QA Log'!M:M,"QQC",'QA Log'!Z:Z,"Rejected",'QA Log'!L:L,"*2. Hygiene and Sterilization*"),
COUNTIFS('QA Log'!D:D,A401,'QA Log'!M:M,"QQC",'QA Log'!Z:Z,"Rejected",'QA Log'!L:L,"*Family Planning*")))</f>
        <v/>
      </c>
      <c r="S401" s="106" t="str">
        <f t="shared" si="27"/>
        <v/>
      </c>
      <c r="T401" s="102" t="str">
        <f t="shared" si="28"/>
        <v/>
      </c>
      <c r="U401" s="102" t="str">
        <f>IF(A401="","",
SUM(
COUNTIFS('QA Log'!D:D,A401,'QA Log'!M:M,"QQC",'QA Log'!L:L,"*8. Maternity*"),
COUNTIFS('QA Log'!D:D,A401,'QA Log'!M:M,"QQC",'QA Log'!L:L,"*9. EPI and Pre-school Consultation*"),
COUNTIFS('QA Log'!D:D,A401,'QA Log'!M:M,"QQC",'QA Log'!L:L,"*10. Antenatal Care (ANC)*"),
COUNTIFS('QA Log'!D:D,A401,'QA Log'!M:M,"QQC",'QA Log'!L:L,"*2. Hygiene and Sterilization*"),
COUNTIFS('QA Log'!D:D,A401,'QA Log'!M:M,"QQC",'QA Log'!L:L,"*4. Family Planning*")
))</f>
        <v/>
      </c>
      <c r="V401" s="102" t="str">
        <f>IF(A401="","",
SUM(
COUNTIFS('QA Log'!D:D,A401,'QA Log'!M:M,"QQC",'QA Log'!Z:Z,"Approved",'QA Log'!L:L,"*8. Maternity*"),
COUNTIFS('QA Log'!D:D,A401,'QA Log'!M:M,"QQC",'QA Log'!Z:Z,"Approved",'QA Log'!L:L,"*9. EPI and Pre-school Consultation*"),
COUNTIFS('QA Log'!D:D,A401,'QA Log'!M:M,"QQC",'QA Log'!Z:Z,"Approved",'QA Log'!L:L,"*10. Antenatal Care (ANC)*"),
COUNTIFS('QA Log'!D:D,A401,'QA Log'!M:M,"QQC",'QA Log'!Z:Z,"Approved",'QA Log'!L:L,"*2. Hygiene and Sterilization*"),
COUNTIFS('QA Log'!D:D,A401,'QA Log'!M:M,"QQC",'QA Log'!Z:Z,"Approved",'QA Log'!L:L,"*4. Family Planning*")
))</f>
        <v/>
      </c>
      <c r="W401" s="102" t="str">
        <f>IF(A401&lt;&gt;"",COUNTIFS('QA Log'!D:D,A401,'QA Log'!M:M,"QQC",'QA Log'!L:L,"8. Maternity",'QA Log'!Z:Z,"Approved"),"")</f>
        <v/>
      </c>
      <c r="X401" s="105" t="str">
        <f>IF(A401&lt;&gt;"",COUNTIFS('QA Log'!D:D,A401,'QA Log'!M:M,"QQC",'QA Log'!L:L,"9. EPI and Pre-school Consultation",'QA Log'!Z:Z,"Approved"),"")</f>
        <v/>
      </c>
      <c r="Y401" s="102" t="str">
        <f>IF(A401&lt;&gt;"",COUNTIFS('QA Log'!D:D,A401,'QA Log'!M:M,"QQC",'QA Log'!L:L,"10. Antenatal Care (ANC)",'QA Log'!Z:Z,"Approved"),"")</f>
        <v/>
      </c>
      <c r="Z401" s="102" t="str">
        <f>IF(A401&lt;&gt;"",COUNTIFS('QA Log'!D:D,A401,'QA Log'!M:M,"QQC",'QA Log'!L:L,"2. Hygiene and Sterilization",'QA Log'!Z:Z,"Approved"),"")</f>
        <v/>
      </c>
      <c r="AA401" s="105" t="str">
        <f>IF(A401&lt;&gt;"",COUNTIFS('QA Log'!D:D,A401,'QA Log'!M:M,"QQC",'QA Log'!L:L,"4. Family Planning",'QA Log'!Z:Z,"Approved"),"")</f>
        <v/>
      </c>
      <c r="AB401" s="102" t="str">
        <f>IF(A401="","",
SUM(
COUNTIFS('QA Log'!D:D,A401,'QA Log'!M:M,"QQC",'QA Log'!Z:Z,"Rejected",'QA Log'!L:L,"*8. Maternity*"),
COUNTIFS('QA Log'!D:D,A401,'QA Log'!M:M,"QQC",'QA Log'!Z:Z,"Rejected",'QA Log'!L:L,"*9. EPI and Pre-school Consultation*"),
COUNTIFS('QA Log'!D:D,A401,'QA Log'!M:M,"QQC",'QA Log'!Z:Z,"Rejected",'QA Log'!L:L,"*10. Antenatal Care (ANC)*"),
COUNTIFS('QA Log'!D:D,A401,'QA Log'!M:M,"QQC",'QA Log'!Z:Z,"Rejected",'QA Log'!L:L,"*2. Hygiene and Sterilization*"),
COUNTIFS('QA Log'!D:D,A401,'QA Log'!M:M,"QQC",'QA Log'!Z:Z,"Rejected",'QA Log'!L:L,"*4. Family Planning*")
))</f>
        <v/>
      </c>
      <c r="AC401" s="102" t="str">
        <f t="shared" si="29"/>
        <v/>
      </c>
      <c r="AD401" s="103" t="str">
        <f t="shared" si="30"/>
        <v/>
      </c>
      <c r="AE401" s="102" t="str">
        <f>IF(A401="","",
SUM(
COUNTIFS('QA Log'!D:D,A401,'QA Log'!M:M,"Data Verification",'QA Log'!L:L,"*Medicine (section 2)*"),
COUNTIFS('QA Log'!D:D,A401,'QA Log'!M:M,"Data Verification",'QA Log'!L:L,"*Lab Testing Availability*"),
COUNTIFS('QA Log'!D:D,A401,'QA Log'!M:M,"Data Verification",'QA Log'!L:L,"*Other than P4P (section 6)*"),
COUNTIFS('QA Log'!D:D,A401,'QA Log'!M:M,"Data Verification",'QA Log'!L:L,"*Hospital Governance*")
))</f>
        <v/>
      </c>
      <c r="AF401" s="102" t="str">
        <f>IF(A401="","",
SUM(
COUNTIFS('QA Log'!D:D,A401,'QA Log'!M:M,"Data Verification",'QA Log'!Z:Z,"Approved",'QA Log'!L:L,"*Medicine (section 2)*"),
COUNTIFS('QA Log'!D:D,A401,'QA Log'!M:M,"Data Verification",'QA Log'!Z:Z,"Approved",'QA Log'!L:L,"*Lab Testing Availability*"),
COUNTIFS('QA Log'!D:D,A401,'QA Log'!M:M,"Data Verification",'QA Log'!Z:Z,"Approved",'QA Log'!L:L,"*Other than P4P (section 6)*"),
COUNTIFS('QA Log'!D:D,A401,'QA Log'!M:M,"Data Verification",'QA Log'!Z:Z,"Approved",'QA Log'!L:L,"*Hospital Governance*")
))</f>
        <v/>
      </c>
      <c r="AG401" s="105" t="str">
        <f>IF(A401&lt;&gt;"",COUNTIFS('QA Log'!D:D,A401,'QA Log'!M:M,"Data Verification",'QA Log'!L:L,"Medicine (section 2)",'QA Log'!Z:Z,"Approved"),"")</f>
        <v/>
      </c>
      <c r="AH401" s="105" t="str">
        <f>IF(A401&lt;&gt;"",COUNTIFS('QA Log'!D:D,A401,'QA Log'!M:M,"Data Verification",'QA Log'!L:L,"Lab Testing Availability",'QA Log'!Z:Z,"Approved"),"")</f>
        <v/>
      </c>
      <c r="AI401" s="105" t="str">
        <f>IF(A401&lt;&gt;"",COUNTIFS('QA Log'!D:D,A401,'QA Log'!M:M,"Data Verification",'QA Log'!L:L,"Other than P4P (section 6)",'QA Log'!Z:Z,"Approved"),"")</f>
        <v/>
      </c>
      <c r="AJ401" s="105" t="str">
        <f>IF(A401&lt;&gt;"",COUNTIFS('QA Log'!D:D,A401,'QA Log'!M:M,"Data Verification",'QA Log'!L:L,"Hospital Governance",'QA Log'!Z:Z,"Approved"),"")</f>
        <v/>
      </c>
      <c r="AK401" s="102" t="str">
        <f>IF(A401="","",
SUM(
COUNTIFS('QA Log'!D:D,A401,'QA Log'!M:M,"Data Verification",'QA Log'!Z:Z,"Rejected",'QA Log'!L:L,"*Medicine (section 2)*"),
COUNTIFS('QA Log'!D:D,A401,'QA Log'!M:M,"Data Verification",'QA Log'!Z:Z,"Rejected",'QA Log'!L:L,"*Lab Testing Availability*"),
COUNTIFS('QA Log'!D:D,A401,'QA Log'!M:M,"Data Verification",'QA Log'!Z:Z,"Rejected",'QA Log'!L:L,"*Other than P4P (section 6)*"),
COUNTIFS('QA Log'!D:D,A401,'QA Log'!M:M,"Data Verification",'QA Log'!Z:Z,"Rejected",'QA Log'!L:L,"*Hospital Governance*")
))</f>
        <v/>
      </c>
      <c r="AL401" s="106" t="str">
        <f t="shared" si="31"/>
        <v/>
      </c>
      <c r="AM401" s="102" t="str">
        <f t="shared" si="32"/>
        <v/>
      </c>
      <c r="AN401" s="102" t="str">
        <f>IF(A401="","",
SUM(
COUNTIFS('QA Log'!D:D,A401,'QA Log'!M:M,"Data Verification",'QA Log'!L:L,"*Personnel (section 1)*"),
COUNTIFS('QA Log'!D:D,A401,'QA Log'!M:M,"Data Verification",'QA Log'!L:L,"*Consumable (section 3)*"),
COUNTIFS('QA Log'!D:D,A401,'QA Log'!M:M,"Data Verification",'QA Log'!L:L,"*Equipments (section 4)*")
))</f>
        <v/>
      </c>
      <c r="AO401" s="102" t="str">
        <f>IF(A401="","",
SUM(
COUNTIFS('QA Log'!D:D,A401,'QA Log'!M:M,"Data Verification",'QA Log'!Z:Z,"Approved",'QA Log'!L:L,"*Personnel (section 1)*"),
COUNTIFS('QA Log'!D:D,A401,'QA Log'!M:M,"Data Verification",'QA Log'!Z:Z,"Approved",'QA Log'!L:L,"*Consumable (section 3)*"),
COUNTIFS('QA Log'!D:D,A401,'QA Log'!M:M,"Data Verification",'QA Log'!Z:Z,"Approved",'QA Log'!L:L,"*Equipments (section 4)*")
))</f>
        <v/>
      </c>
      <c r="AP401" s="105" t="str">
        <f>IF(A401&lt;&gt;"",COUNTIFS('QA Log'!D:D,A401,'QA Log'!M:M,"Data Verification",'QA Log'!L:L,"Personnel (section 1)",'QA Log'!Z:Z,"Approved"),"")</f>
        <v/>
      </c>
      <c r="AQ401" s="105" t="str">
        <f>IF(A401&lt;&gt;"",COUNTIFS('QA Log'!D:D,A401,'QA Log'!M:M,"Data Verification",'QA Log'!L:L,"Consumable (section 3)",'QA Log'!Z:Z,"Approved"),"")</f>
        <v/>
      </c>
      <c r="AR401" s="105" t="str">
        <f>IF(A401&lt;&gt;"",COUNTIFS('QA Log'!D:D,A401,'QA Log'!M:M,"Data Verification",'QA Log'!L:L,"Equipments (section 4)",'QA Log'!Z:Z,"Approved"),"")</f>
        <v/>
      </c>
      <c r="AS401" s="102" t="str">
        <f>IF(A401="","",
SUM(
COUNTIFS('QA Log'!D:D,A401,'QA Log'!M:M,"Data Verification",'QA Log'!Z:Z,"Rejected",'QA Log'!L:L,"*Personnel (section 1)*"),
COUNTIFS('QA Log'!D:D,A401,'QA Log'!M:M,"Data Verification",'QA Log'!Z:Z,"Rejected",'QA Log'!L:L,"*Consumable (section 3)*"),
COUNTIFS('QA Log'!D:D,A401,'QA Log'!M:M,"Data Verification",'QA Log'!Z:Z,"Rejected",'QA Log'!L:L,"*Equipments (section 4)*")
))</f>
        <v/>
      </c>
      <c r="AT401" s="102" t="str">
        <f t="shared" si="33"/>
        <v/>
      </c>
      <c r="AU401" s="103" t="str">
        <f t="shared" si="34"/>
        <v/>
      </c>
      <c r="AV401" s="102" t="str">
        <f>IF(A401="","",SUM(
COUNTIFS('QA Log'!D:D,A401,'QA Log'!M:M,"Vignette",'QA Log'!L:L,"*Vignette [1] Respiratory Infection: Pneumonia*"),
COUNTIFS('QA Log'!D:D,A401,'QA Log'!M:M,"Vignette",'QA Log'!L:L,"*Vignette [2]: Diarrhea with Cat B dehydration*"),
COUNTIFS('QA Log'!D:D,A401,'QA Log'!M:M,"Vignette",'QA Log'!L:L,"*Vignette [3] Growth Monitoring and Promotion*"),
COUNTIFS('QA Log'!D:D,A401,'QA Log'!M:M,"Vignette",'QA Log'!L:L,"*Vignette [4]: The management of presumptive TB patient*")
)
)</f>
        <v/>
      </c>
      <c r="AW401" s="102" t="str">
        <f>IF(
  A401="","",
  SUM(
    COUNTIFS('QA Log'!D:D,A401,'QA Log'!M:M,"Vignette",'QA Log'!Z:Z,"Approved",'QA Log'!L:L,"*Vignette [1] Respiratory Infection: Pneumonia*"),
    COUNTIFS('QA Log'!D:D,A401,'QA Log'!M:M,"Vignette",'QA Log'!Z:Z,"Approved",'QA Log'!L:L,"*Vignette [2]: Diarrhea with Cat B dehydration*"),
    COUNTIFS('QA Log'!D:D,A401,'QA Log'!M:M,"Vignette",'QA Log'!Z:Z,"Approved",'QA Log'!L:L,"*Vignette [3] Growth Monitoring and Promotion*"),
    COUNTIFS('QA Log'!D:D,A401,'QA Log'!M:M,"Vignette",'QA Log'!Z:Z,"Approved",'QA Log'!L:L,"*Vignette [4]: The management of presumptive TB patient*")
  )
)</f>
        <v/>
      </c>
      <c r="AX401" s="105" t="str">
        <f>IF(A401&lt;&gt;"",COUNTIFS('QA Log'!D:D,A401,'QA Log'!M:M,"Vignette",'QA Log'!L:L,"Vignette [1] Respiratory Infection: Pneumonia",'QA Log'!Z:Z,"Approved"),"")</f>
        <v/>
      </c>
      <c r="AY401" s="105" t="str">
        <f>IF(A401&lt;&gt;"",COUNTIFS('QA Log'!D:D,A401,'QA Log'!M:M,"Vignette",'QA Log'!L:L,"Vignette [2]: Diarrhea with Cat B dehydration",'QA Log'!Z:Z,"Approved"),"")</f>
        <v/>
      </c>
      <c r="AZ401" s="105" t="str">
        <f>IF(A401&lt;&gt;"",COUNTIFS('QA Log'!D:D,A401,'QA Log'!M:M,"Vignette",'QA Log'!L:L,"Vignette [3] Growth Monitoring and Promotion",'QA Log'!Z:Z,"Approved"),"")</f>
        <v/>
      </c>
      <c r="BA401" s="105" t="str">
        <f>IF(A401&lt;&gt;"",COUNTIFS('QA Log'!D:D,A401,'QA Log'!M:M,"Vignette",'QA Log'!L:L,"Vignette [4]: The management of presumptive TB patient",'QA Log'!Z:Z,"Approved"),"")</f>
        <v/>
      </c>
      <c r="BB401" s="102" t="str">
        <f>IF(A401="","",
  SUM(
    COUNTIFS('QA Log'!D:D,A401,'QA Log'!M:M,"Vignette",'QA Log'!Z:Z,"Rejected",'QA Log'!L:L,"*Vignette [1] Respiratory Infection: Pneumonia*"),
    COUNTIFS('QA Log'!D:D,A401,'QA Log'!M:M,"Vignette",'QA Log'!Z:Z,"Rejected",'QA Log'!L:L,"*Vignette [2]: Diarrhea with Cat B dehydration*"),
    COUNTIFS('QA Log'!D:D,A401,'QA Log'!M:M,"Vignette",'QA Log'!Z:Z,"Rejected",'QA Log'!L:L,"*Vignette [3] Growth Monitoring and Promotion*"),
    COUNTIFS('QA Log'!D:D,A401,'QA Log'!M:M,"Vignette",'QA Log'!Z:Z,"Rejected",'QA Log'!L:L,"*Vignette [4]: The management of presumptive TB patient*")
  )
)</f>
        <v/>
      </c>
      <c r="BC401" s="107" t="str">
        <f t="shared" si="35"/>
        <v/>
      </c>
      <c r="BD401" s="103" t="str">
        <f t="shared" si="36"/>
        <v/>
      </c>
      <c r="BE401" s="102" t="str">
        <f>IF(A401="","",SUM(
COUNTIFS('QA Log'!D:D,A401,'QA Log'!M:M,"Vignette",'QA Log'!L:L,"*Vignette [5] Labor*"),
COUNTIFS('QA Log'!D:D,A401,'QA Log'!M:M,"Vignette",'QA Log'!L:L,"*Vignette [6] PNC pre Discharge*"),
COUNTIFS('QA Log'!D:D,A401,'QA Log'!M:M,"Vignette",'QA Log'!L:L,"*Vignette [7] First ANC Visit*"),
COUNTIFS('QA Log'!D:D,A401,'QA Log'!M:M,"Vignette",'QA Log'!L:L,"*Vignette [8] Birth Spacing/ Family Planning :  FP Counselling*"),
COUNTIFS('QA Log'!D:D,A401,'QA Log'!M:M,"Vignette",'QA Log'!L:L,"*Vignette [9] Birth Spacing: Change FP method to Injectable*"),
COUNTIFS('QA Log'!D:D,A401,'QA Log'!M:M,"Vignette",'QA Log'!L:L,"*Vignette [10] Post Partum Haemorrhage - Atonic Uterus at Health Centre*"),
)
)</f>
        <v/>
      </c>
      <c r="BF401" s="102" t="str">
        <f>IF(A401="","",
  SUM(
    COUNTIFS('QA Log'!D:D,A401,'QA Log'!M:M,"Vignette",'QA Log'!Z:Z,"Approved",'QA Log'!L:L,"*Vignette [5] Labor*"),
    COUNTIFS('QA Log'!D:D,A401,'QA Log'!M:M,"Vignette",'QA Log'!Z:Z,"Approved",'QA Log'!L:L,"*Vignette [6] PNC pre Discharge*"),
    COUNTIFS('QA Log'!D:D,A401,'QA Log'!M:M,"Vignette",'QA Log'!Z:Z,"Approved",'QA Log'!L:L,"*Vignette [7] First ANC Visit*"),
    COUNTIFS('QA Log'!D:D,A401,'QA Log'!M:M,"Vignette",'QA Log'!Z:Z,"Approved",'QA Log'!L:L,"*Vignette [8] Birth Spacing/ Family Planning :  FP Counselling*"),
    COUNTIFS('QA Log'!D:D,A401,'QA Log'!M:M,"Vignette",'QA Log'!Z:Z,"Approved",'QA Log'!L:L,"*Vignette [9] Birth Spacing: Change FP method to Injectable*"),
    COUNTIFS('QA Log'!D:D,A401,'QA Log'!M:M,"Vignette",'QA Log'!Z:Z,"Approved",'QA Log'!L:L,"*Vignette [10] Post Partum Haemorrhage - Atonic Uterus at Health Centre*")
  )
)</f>
        <v/>
      </c>
      <c r="BG401" s="105" t="str">
        <f>IF(A401&lt;&gt;"",COUNTIFS('QA Log'!D:D,A401,'QA Log'!M:M,"Vignette",'QA Log'!L:L,"Vignette [5] Labor",'QA Log'!Z:Z,"Approved"),"")</f>
        <v/>
      </c>
      <c r="BH401" s="105" t="str">
        <f>IF(A401&lt;&gt;"",COUNTIFS('QA Log'!D:D,A401,'QA Log'!M:M,"Vignette",'QA Log'!L:L,"Vignette [6] PNC pre Discharge",'QA Log'!Z:Z,"Approved"),"")</f>
        <v/>
      </c>
      <c r="BI401" s="105" t="str">
        <f>IF(A401&lt;&gt;"",COUNTIFS('QA Log'!D:D,A401,'QA Log'!M:M,"Vignette",'QA Log'!L:L,"Vignette [7] First ANC Visit",'QA Log'!Z:Z,"Approved"),"")</f>
        <v/>
      </c>
      <c r="BJ401" s="105" t="str">
        <f>IF(A401&lt;&gt;"",COUNTIFS('QA Log'!D:D,A401,'QA Log'!M:M,"Vignette",'QA Log'!L:L,"Vignette [8] Birth Spacing/ Family Planning :  FP Counselling",'QA Log'!Z:Z,"Approved"),"")</f>
        <v/>
      </c>
      <c r="BK401" s="105" t="str">
        <f>IF(A401&lt;&gt;"",COUNTIFS('QA Log'!D:D,A401,'QA Log'!M:M,"Vignette",'QA Log'!L:L,"Vignette [9] Birth Spacing: Change FP method to Injectable",'QA Log'!Z:Z,"Approved"),"")</f>
        <v/>
      </c>
      <c r="BL401" s="105" t="str">
        <f>IF(A401&lt;&gt;"",COUNTIFS('QA Log'!D:D,A401,'QA Log'!M:M,"Vignette",'QA Log'!L:L,"Vignette [10] Post Partum Haemorrhage - Atonic Uterus at Health Centre",'QA Log'!Z:Z,"Approved"),"")</f>
        <v/>
      </c>
      <c r="BM401" s="102" t="str">
        <f>IF(A401="","",SUM(
    COUNTIFS('QA Log'!D:D,A401,'QA Log'!M:M,"Vignette",'QA Log'!Z:Z,"Rejected",'QA Log'!L:L,"*Vignette [5] Labor*"),
    COUNTIFS('QA Log'!D:D,A401,'QA Log'!M:M,"Vignette",'QA Log'!Z:Z,"Rejected",'QA Log'!L:L,"*Vignette [6] PNC pre Discharge*"),
    COUNTIFS('QA Log'!D:D,A401,'QA Log'!M:M,"Vignette",'QA Log'!Z:Z,"Rejected",'QA Log'!L:L,"*Vignette [7] First ANC Visit*"),
    COUNTIFS('QA Log'!D:D,A401,'QA Log'!M:M,"Vignette",'QA Log'!Z:Z,"Rejected",'QA Log'!L:L,"*Vignette [8] Birth Spacing/ Family Planning :  FP Counselling*"),
    COUNTIFS('QA Log'!D:D,A401,'QA Log'!M:M,"Vignette",'QA Log'!Z:Z,"Rejected",'QA Log'!L:L,"*Vignette [9] Birth Spacing: Change FP method to Injectable*"),
    COUNTIFS('QA Log'!D:D,A401,'QA Log'!M:M,"Vignette",'QA Log'!Z:Z,"Rejected",'QA Log'!L:L,"*Vignette [10] Post Partum Haemorrhage - Atonic Uterus at Health Centre*")
  )
)</f>
        <v/>
      </c>
      <c r="BN401" s="107" t="str">
        <f t="shared" si="37"/>
        <v/>
      </c>
      <c r="BO401" s="103" t="str">
        <f t="shared" si="38"/>
        <v/>
      </c>
      <c r="BP401" s="102" t="str">
        <f>IF(A401="","",SUM(
COUNTIFS('QA Log'!D:D,A401,'QA Log'!M:M,"Vignette",'QA Log'!L:L,"*Exit Interview 1*"),
COUNTIFS('QA Log'!D:D,A401,'QA Log'!M:M,"Vignette",'QA Log'!L:L,"*Exit Interview 2*"),
)
)</f>
        <v/>
      </c>
      <c r="BQ401" s="102" t="str">
        <f>IF(
  A401="","",
  SUM(
    COUNTIFS('QA Log'!D:D,A401,'QA Log'!M:M,"Vignette",'QA Log'!Z:Z,"Approved",'QA Log'!L:L,"*Exit Interview 1*"),
    COUNTIFS('QA Log'!D:D,A401,'QA Log'!M:M,"Vignette",'QA Log'!Z:Z,"Approved",'QA Log'!L:L,"*Exit Interview 2*")
  )
)</f>
        <v/>
      </c>
      <c r="BR401" s="105" t="str">
        <f>IF(A401&lt;&gt;"",COUNTIFS('QA Log'!D:D,A401,'QA Log'!M:M,"Vignette",'QA Log'!L:L,"Exit Interview 1",'QA Log'!Z:Z,"Approved"),"")</f>
        <v/>
      </c>
      <c r="BS401" s="105" t="str">
        <f>IF(A401&lt;&gt;"",COUNTIFS('QA Log'!D:D,A401,'QA Log'!M:M,"Vignette",'QA Log'!L:L,"Exit Interview 2",'QA Log'!Z:Z,"Approved"),"")</f>
        <v/>
      </c>
      <c r="BT401" s="102" t="str">
        <f>IF(
  A401="","",
  SUM(
    COUNTIFS('QA Log'!D:D,A401,'QA Log'!M:M,"Vignette",'QA Log'!Z:Z,"Rejected",'QA Log'!L:L,"*Exit Interview 1*"),
    COUNTIFS('QA Log'!D:D,A401,'QA Log'!M:M,"Vignette",'QA Log'!Z:Z,"Rejected",'QA Log'!L:L,"*Exit Interview 2*")
  )
)</f>
        <v/>
      </c>
      <c r="BU401" s="107" t="str">
        <f t="shared" si="39"/>
        <v/>
      </c>
      <c r="BV401" s="102" t="str">
        <f t="shared" si="40"/>
        <v/>
      </c>
      <c r="BW401" s="102" t="str">
        <f t="shared" si="41"/>
        <v/>
      </c>
      <c r="BX401" s="102" t="str">
        <f t="shared" si="42"/>
        <v/>
      </c>
      <c r="BY401" s="102" t="str">
        <f t="shared" si="43"/>
        <v/>
      </c>
      <c r="BZ401" s="107" t="str">
        <f t="shared" si="44"/>
        <v/>
      </c>
      <c r="CA401" s="108" t="str">
        <f t="shared" si="45"/>
        <v/>
      </c>
      <c r="CB401" s="108" t="str">
        <f t="shared" si="46"/>
        <v/>
      </c>
      <c r="CC401" s="109" t="str">
        <f t="shared" si="47"/>
        <v/>
      </c>
      <c r="CD401" s="108" t="str">
        <f t="shared" si="48"/>
        <v/>
      </c>
      <c r="CE401" s="108" t="str">
        <f t="shared" si="49"/>
        <v/>
      </c>
      <c r="CF401" s="109" t="str">
        <f t="shared" si="50"/>
        <v/>
      </c>
      <c r="CG401" s="110" t="str">
        <f t="shared" si="51"/>
        <v/>
      </c>
      <c r="CH401" s="111"/>
    </row>
    <row r="402" spans="1:86" ht="12.75">
      <c r="A402" s="101"/>
      <c r="B402" s="102" t="e">
        <f t="array" aca="1" ref="B402" ca="1">_xludf.XLOOKUP(A402,'QA Log'!D:D,'QA Log'!E:E,"")</f>
        <v>#NAME?</v>
      </c>
      <c r="C402" s="102" t="e">
        <f t="array" aca="1" ref="C402" ca="1">_xludf.XLOOKUP(A402,'QA Log'!D:D,'QA Log'!F:F,"")</f>
        <v>#NAME?</v>
      </c>
      <c r="D402" s="102" t="e">
        <f t="array" aca="1" ref="D402" ca="1">_xludf.XLOOKUP(A402,'QA Log'!D:D,'QA Log'!H:H,"")</f>
        <v>#NAME?</v>
      </c>
      <c r="E402" s="102" t="e">
        <f t="array" aca="1" ref="E402" ca="1">_xludf.XLOOKUP(A402,'QA Log'!D:D,'QA Log'!G:G,"")</f>
        <v>#NAME?</v>
      </c>
      <c r="F402" s="103"/>
      <c r="G402" s="104"/>
      <c r="H402" s="104"/>
      <c r="I402" s="103" t="str">
        <f t="shared" si="26"/>
        <v/>
      </c>
      <c r="J402" s="102" t="str">
        <f>IF(A402="","",SUM(
COUNTIFS('QA Log'!D:D,A402,'QA Log'!M:M,"QQC",'QA Log'!L:L,"*1. General Management*"),
COUNTIFS('QA Log'!D:D,A402,'QA Log'!M:M,"QQC",'QA Log'!L:L,"*3. Curative Consultation (OPD)*"),
COUNTIFS('QA Log'!D:D,A402,'QA Log'!M:M,"QQC",'QA Log'!L:L,"*5. Laboratory*"),
COUNTIFS('QA Log'!D:D,A402,'QA Log'!M:M,"QQC",'QA Log'!L:L,"*6. Essential Medicine Management*"),
COUNTIFS('QA Log'!D:D,A402,'QA Log'!M:M,"QQC",'QA Log'!L:L,"*7. Tracer Medicine*"),
COUNTIFS('QA Log'!D:D,A402,'QA Log'!M:M,"QQC",'QA Log'!L:L,"*11. Additional Questions*")))</f>
        <v/>
      </c>
      <c r="K402" s="102" t="str">
        <f>IF(A402="","",SUM(
COUNTIFS('QA Log'!D:D,A402,'QA Log'!M:M,"QQC",'QA Log'!Z:Z,"Approved",'QA Log'!L:L,"*1. General Management*"),
COUNTIFS('QA Log'!D:D,A402,'QA Log'!M:M,"QQC",'QA Log'!Z:Z,"Approved",'QA Log'!L:L,"*3. Curative Consultation (OPD)*"),
COUNTIFS('QA Log'!D:D,A402,'QA Log'!M:M,"QQC",'QA Log'!Z:Z,"Approved",'QA Log'!L:L,"*5. Laboratory*"),
COUNTIFS('QA Log'!D:D,A402,'QA Log'!M:M,"QQC",'QA Log'!Z:Z,"Approved",'QA Log'!L:L,"*6. Essential Medicine Management*"),
COUNTIFS('QA Log'!D:D,A402,'QA Log'!M:M,"QQC",'QA Log'!Z:Z,"Approved",'QA Log'!L:L,"*7. Tracer Medicine*"),
COUNTIFS('QA Log'!D:D,A402,'QA Log'!M:M,"QQC",'QA Log'!Z:Z,"Approved",'QA Log'!L:L,"*11. Additional Questions*")))</f>
        <v/>
      </c>
      <c r="L402" s="102" t="str">
        <f>IF(A402&lt;&gt;"",COUNTIFS('QA Log'!D:D,A402,'QA Log'!M:M,"QQC",'QA Log'!L:L,"1. General Management",'QA Log'!Z:Z,"Approved"),"")</f>
        <v/>
      </c>
      <c r="M402" s="102" t="str">
        <f>IF(A402&lt;&gt;"",COUNTIFS('QA Log'!D:D,A402,'QA Log'!M:M,"QQC",'QA Log'!L:L,"3. Curative Consultation (OPD)",'QA Log'!Z:Z,"Approved"),"")</f>
        <v/>
      </c>
      <c r="N402" s="102" t="str">
        <f>IF(A402&lt;&gt;"",COUNTIFS('QA Log'!D:D,A402,'QA Log'!M:M,"QQC",'QA Log'!L:L,"5. Laboratory",'QA Log'!Z:Z,"Approved"),"")</f>
        <v/>
      </c>
      <c r="O402" s="102" t="str">
        <f>IF(A402&lt;&gt;"",COUNTIFS('QA Log'!D:D,A402,'QA Log'!M:M,"QQC",'QA Log'!L:L,"6. Essential Medicine Management",'QA Log'!Z:Z,"Approved"),"")</f>
        <v/>
      </c>
      <c r="P402" s="102" t="str">
        <f>IF(A402&lt;&gt;"",COUNTIFS('QA Log'!D:D,A402,'QA Log'!M:M,"QQC",'QA Log'!L:L,"7. Tracer Medicine",'QA Log'!Z:Z,"Approved"),"")</f>
        <v/>
      </c>
      <c r="Q402" s="102" t="str">
        <f>IF(A402&lt;&gt;"",COUNTIFS('QA Log'!D:D,A402,'QA Log'!M:M,"QQC",'QA Log'!L:L,"11. Additional Questions",'QA Log'!Z:Z,"Approved"),"")</f>
        <v/>
      </c>
      <c r="R402" s="102" t="str">
        <f>IF(A402="","",SUM(
COUNTIFS('QA Log'!D:D,A402,'QA Log'!M:M,"QQC",'QA Log'!Z:Z,"Rejected",'QA Log'!L:L,"*8. Maternity*"),
COUNTIFS('QA Log'!D:D,A402,'QA Log'!M:M,"QQC",'QA Log'!Z:Z,"Rejected",'QA Log'!L:L,"*EPI*"),
COUNTIFS('QA Log'!D:D,A402,'QA Log'!M:M,"QQC",'QA Log'!Z:Z,"Rejected",'QA Log'!L:L,"*10. Antenatal Care (ANC)*"),
COUNTIFS('QA Log'!D:D,A402,'QA Log'!M:M,"QQC",'QA Log'!Z:Z,"Rejected",'QA Log'!L:L,"*2. Hygiene and Sterilization*"),
COUNTIFS('QA Log'!D:D,A402,'QA Log'!M:M,"QQC",'QA Log'!Z:Z,"Rejected",'QA Log'!L:L,"*Family Planning*")))</f>
        <v/>
      </c>
      <c r="S402" s="106" t="str">
        <f t="shared" si="27"/>
        <v/>
      </c>
      <c r="T402" s="102" t="str">
        <f t="shared" si="28"/>
        <v/>
      </c>
      <c r="U402" s="102" t="str">
        <f>IF(A402="","",
SUM(
COUNTIFS('QA Log'!D:D,A402,'QA Log'!M:M,"QQC",'QA Log'!L:L,"*8. Maternity*"),
COUNTIFS('QA Log'!D:D,A402,'QA Log'!M:M,"QQC",'QA Log'!L:L,"*9. EPI and Pre-school Consultation*"),
COUNTIFS('QA Log'!D:D,A402,'QA Log'!M:M,"QQC",'QA Log'!L:L,"*10. Antenatal Care (ANC)*"),
COUNTIFS('QA Log'!D:D,A402,'QA Log'!M:M,"QQC",'QA Log'!L:L,"*2. Hygiene and Sterilization*"),
COUNTIFS('QA Log'!D:D,A402,'QA Log'!M:M,"QQC",'QA Log'!L:L,"*4. Family Planning*")
))</f>
        <v/>
      </c>
      <c r="V402" s="102" t="str">
        <f>IF(A402="","",
SUM(
COUNTIFS('QA Log'!D:D,A402,'QA Log'!M:M,"QQC",'QA Log'!Z:Z,"Approved",'QA Log'!L:L,"*8. Maternity*"),
COUNTIFS('QA Log'!D:D,A402,'QA Log'!M:M,"QQC",'QA Log'!Z:Z,"Approved",'QA Log'!L:L,"*9. EPI and Pre-school Consultation*"),
COUNTIFS('QA Log'!D:D,A402,'QA Log'!M:M,"QQC",'QA Log'!Z:Z,"Approved",'QA Log'!L:L,"*10. Antenatal Care (ANC)*"),
COUNTIFS('QA Log'!D:D,A402,'QA Log'!M:M,"QQC",'QA Log'!Z:Z,"Approved",'QA Log'!L:L,"*2. Hygiene and Sterilization*"),
COUNTIFS('QA Log'!D:D,A402,'QA Log'!M:M,"QQC",'QA Log'!Z:Z,"Approved",'QA Log'!L:L,"*4. Family Planning*")
))</f>
        <v/>
      </c>
      <c r="W402" s="102" t="str">
        <f>IF(A402&lt;&gt;"",COUNTIFS('QA Log'!D:D,A402,'QA Log'!M:M,"QQC",'QA Log'!L:L,"8. Maternity",'QA Log'!Z:Z,"Approved"),"")</f>
        <v/>
      </c>
      <c r="X402" s="105" t="str">
        <f>IF(A402&lt;&gt;"",COUNTIFS('QA Log'!D:D,A402,'QA Log'!M:M,"QQC",'QA Log'!L:L,"9. EPI and Pre-school Consultation",'QA Log'!Z:Z,"Approved"),"")</f>
        <v/>
      </c>
      <c r="Y402" s="102" t="str">
        <f>IF(A402&lt;&gt;"",COUNTIFS('QA Log'!D:D,A402,'QA Log'!M:M,"QQC",'QA Log'!L:L,"10. Antenatal Care (ANC)",'QA Log'!Z:Z,"Approved"),"")</f>
        <v/>
      </c>
      <c r="Z402" s="102" t="str">
        <f>IF(A402&lt;&gt;"",COUNTIFS('QA Log'!D:D,A402,'QA Log'!M:M,"QQC",'QA Log'!L:L,"2. Hygiene and Sterilization",'QA Log'!Z:Z,"Approved"),"")</f>
        <v/>
      </c>
      <c r="AA402" s="105" t="str">
        <f>IF(A402&lt;&gt;"",COUNTIFS('QA Log'!D:D,A402,'QA Log'!M:M,"QQC",'QA Log'!L:L,"4. Family Planning",'QA Log'!Z:Z,"Approved"),"")</f>
        <v/>
      </c>
      <c r="AB402" s="102" t="str">
        <f>IF(A402="","",
SUM(
COUNTIFS('QA Log'!D:D,A402,'QA Log'!M:M,"QQC",'QA Log'!Z:Z,"Rejected",'QA Log'!L:L,"*8. Maternity*"),
COUNTIFS('QA Log'!D:D,A402,'QA Log'!M:M,"QQC",'QA Log'!Z:Z,"Rejected",'QA Log'!L:L,"*9. EPI and Pre-school Consultation*"),
COUNTIFS('QA Log'!D:D,A402,'QA Log'!M:M,"QQC",'QA Log'!Z:Z,"Rejected",'QA Log'!L:L,"*10. Antenatal Care (ANC)*"),
COUNTIFS('QA Log'!D:D,A402,'QA Log'!M:M,"QQC",'QA Log'!Z:Z,"Rejected",'QA Log'!L:L,"*2. Hygiene and Sterilization*"),
COUNTIFS('QA Log'!D:D,A402,'QA Log'!M:M,"QQC",'QA Log'!Z:Z,"Rejected",'QA Log'!L:L,"*4. Family Planning*")
))</f>
        <v/>
      </c>
      <c r="AC402" s="102" t="str">
        <f t="shared" si="29"/>
        <v/>
      </c>
      <c r="AD402" s="103" t="str">
        <f t="shared" si="30"/>
        <v/>
      </c>
      <c r="AE402" s="102" t="str">
        <f>IF(A402="","",
SUM(
COUNTIFS('QA Log'!D:D,A402,'QA Log'!M:M,"Data Verification",'QA Log'!L:L,"*Medicine (section 2)*"),
COUNTIFS('QA Log'!D:D,A402,'QA Log'!M:M,"Data Verification",'QA Log'!L:L,"*Lab Testing Availability*"),
COUNTIFS('QA Log'!D:D,A402,'QA Log'!M:M,"Data Verification",'QA Log'!L:L,"*Other than P4P (section 6)*"),
COUNTIFS('QA Log'!D:D,A402,'QA Log'!M:M,"Data Verification",'QA Log'!L:L,"*Hospital Governance*")
))</f>
        <v/>
      </c>
      <c r="AF402" s="102" t="str">
        <f>IF(A402="","",
SUM(
COUNTIFS('QA Log'!D:D,A402,'QA Log'!M:M,"Data Verification",'QA Log'!Z:Z,"Approved",'QA Log'!L:L,"*Medicine (section 2)*"),
COUNTIFS('QA Log'!D:D,A402,'QA Log'!M:M,"Data Verification",'QA Log'!Z:Z,"Approved",'QA Log'!L:L,"*Lab Testing Availability*"),
COUNTIFS('QA Log'!D:D,A402,'QA Log'!M:M,"Data Verification",'QA Log'!Z:Z,"Approved",'QA Log'!L:L,"*Other than P4P (section 6)*"),
COUNTIFS('QA Log'!D:D,A402,'QA Log'!M:M,"Data Verification",'QA Log'!Z:Z,"Approved",'QA Log'!L:L,"*Hospital Governance*")
))</f>
        <v/>
      </c>
      <c r="AG402" s="105" t="str">
        <f>IF(A402&lt;&gt;"",COUNTIFS('QA Log'!D:D,A402,'QA Log'!M:M,"Data Verification",'QA Log'!L:L,"Medicine (section 2)",'QA Log'!Z:Z,"Approved"),"")</f>
        <v/>
      </c>
      <c r="AH402" s="105" t="str">
        <f>IF(A402&lt;&gt;"",COUNTIFS('QA Log'!D:D,A402,'QA Log'!M:M,"Data Verification",'QA Log'!L:L,"Lab Testing Availability",'QA Log'!Z:Z,"Approved"),"")</f>
        <v/>
      </c>
      <c r="AI402" s="105" t="str">
        <f>IF(A402&lt;&gt;"",COUNTIFS('QA Log'!D:D,A402,'QA Log'!M:M,"Data Verification",'QA Log'!L:L,"Other than P4P (section 6)",'QA Log'!Z:Z,"Approved"),"")</f>
        <v/>
      </c>
      <c r="AJ402" s="105" t="str">
        <f>IF(A402&lt;&gt;"",COUNTIFS('QA Log'!D:D,A402,'QA Log'!M:M,"Data Verification",'QA Log'!L:L,"Hospital Governance",'QA Log'!Z:Z,"Approved"),"")</f>
        <v/>
      </c>
      <c r="AK402" s="102" t="str">
        <f>IF(A402="","",
SUM(
COUNTIFS('QA Log'!D:D,A402,'QA Log'!M:M,"Data Verification",'QA Log'!Z:Z,"Rejected",'QA Log'!L:L,"*Medicine (section 2)*"),
COUNTIFS('QA Log'!D:D,A402,'QA Log'!M:M,"Data Verification",'QA Log'!Z:Z,"Rejected",'QA Log'!L:L,"*Lab Testing Availability*"),
COUNTIFS('QA Log'!D:D,A402,'QA Log'!M:M,"Data Verification",'QA Log'!Z:Z,"Rejected",'QA Log'!L:L,"*Other than P4P (section 6)*"),
COUNTIFS('QA Log'!D:D,A402,'QA Log'!M:M,"Data Verification",'QA Log'!Z:Z,"Rejected",'QA Log'!L:L,"*Hospital Governance*")
))</f>
        <v/>
      </c>
      <c r="AL402" s="106" t="str">
        <f t="shared" si="31"/>
        <v/>
      </c>
      <c r="AM402" s="102" t="str">
        <f t="shared" si="32"/>
        <v/>
      </c>
      <c r="AN402" s="102" t="str">
        <f>IF(A402="","",
SUM(
COUNTIFS('QA Log'!D:D,A402,'QA Log'!M:M,"Data Verification",'QA Log'!L:L,"*Personnel (section 1)*"),
COUNTIFS('QA Log'!D:D,A402,'QA Log'!M:M,"Data Verification",'QA Log'!L:L,"*Consumable (section 3)*"),
COUNTIFS('QA Log'!D:D,A402,'QA Log'!M:M,"Data Verification",'QA Log'!L:L,"*Equipments (section 4)*")
))</f>
        <v/>
      </c>
      <c r="AO402" s="102" t="str">
        <f>IF(A402="","",
SUM(
COUNTIFS('QA Log'!D:D,A402,'QA Log'!M:M,"Data Verification",'QA Log'!Z:Z,"Approved",'QA Log'!L:L,"*Personnel (section 1)*"),
COUNTIFS('QA Log'!D:D,A402,'QA Log'!M:M,"Data Verification",'QA Log'!Z:Z,"Approved",'QA Log'!L:L,"*Consumable (section 3)*"),
COUNTIFS('QA Log'!D:D,A402,'QA Log'!M:M,"Data Verification",'QA Log'!Z:Z,"Approved",'QA Log'!L:L,"*Equipments (section 4)*")
))</f>
        <v/>
      </c>
      <c r="AP402" s="105" t="str">
        <f>IF(A402&lt;&gt;"",COUNTIFS('QA Log'!D:D,A402,'QA Log'!M:M,"Data Verification",'QA Log'!L:L,"Personnel (section 1)",'QA Log'!Z:Z,"Approved"),"")</f>
        <v/>
      </c>
      <c r="AQ402" s="105" t="str">
        <f>IF(A402&lt;&gt;"",COUNTIFS('QA Log'!D:D,A402,'QA Log'!M:M,"Data Verification",'QA Log'!L:L,"Consumable (section 3)",'QA Log'!Z:Z,"Approved"),"")</f>
        <v/>
      </c>
      <c r="AR402" s="105" t="str">
        <f>IF(A402&lt;&gt;"",COUNTIFS('QA Log'!D:D,A402,'QA Log'!M:M,"Data Verification",'QA Log'!L:L,"Equipments (section 4)",'QA Log'!Z:Z,"Approved"),"")</f>
        <v/>
      </c>
      <c r="AS402" s="102" t="str">
        <f>IF(A402="","",
SUM(
COUNTIFS('QA Log'!D:D,A402,'QA Log'!M:M,"Data Verification",'QA Log'!Z:Z,"Rejected",'QA Log'!L:L,"*Personnel (section 1)*"),
COUNTIFS('QA Log'!D:D,A402,'QA Log'!M:M,"Data Verification",'QA Log'!Z:Z,"Rejected",'QA Log'!L:L,"*Consumable (section 3)*"),
COUNTIFS('QA Log'!D:D,A402,'QA Log'!M:M,"Data Verification",'QA Log'!Z:Z,"Rejected",'QA Log'!L:L,"*Equipments (section 4)*")
))</f>
        <v/>
      </c>
      <c r="AT402" s="102" t="str">
        <f t="shared" si="33"/>
        <v/>
      </c>
      <c r="AU402" s="103" t="str">
        <f t="shared" si="34"/>
        <v/>
      </c>
      <c r="AV402" s="102" t="str">
        <f>IF(A402="","",SUM(
COUNTIFS('QA Log'!D:D,A402,'QA Log'!M:M,"Vignette",'QA Log'!L:L,"*Vignette [1] Respiratory Infection: Pneumonia*"),
COUNTIFS('QA Log'!D:D,A402,'QA Log'!M:M,"Vignette",'QA Log'!L:L,"*Vignette [2]: Diarrhea with Cat B dehydration*"),
COUNTIFS('QA Log'!D:D,A402,'QA Log'!M:M,"Vignette",'QA Log'!L:L,"*Vignette [3] Growth Monitoring and Promotion*"),
COUNTIFS('QA Log'!D:D,A402,'QA Log'!M:M,"Vignette",'QA Log'!L:L,"*Vignette [4]: The management of presumptive TB patient*")
)
)</f>
        <v/>
      </c>
      <c r="AW402" s="102" t="str">
        <f>IF(
  A402="","",
  SUM(
    COUNTIFS('QA Log'!D:D,A402,'QA Log'!M:M,"Vignette",'QA Log'!Z:Z,"Approved",'QA Log'!L:L,"*Vignette [1] Respiratory Infection: Pneumonia*"),
    COUNTIFS('QA Log'!D:D,A402,'QA Log'!M:M,"Vignette",'QA Log'!Z:Z,"Approved",'QA Log'!L:L,"*Vignette [2]: Diarrhea with Cat B dehydration*"),
    COUNTIFS('QA Log'!D:D,A402,'QA Log'!M:M,"Vignette",'QA Log'!Z:Z,"Approved",'QA Log'!L:L,"*Vignette [3] Growth Monitoring and Promotion*"),
    COUNTIFS('QA Log'!D:D,A402,'QA Log'!M:M,"Vignette",'QA Log'!Z:Z,"Approved",'QA Log'!L:L,"*Vignette [4]: The management of presumptive TB patient*")
  )
)</f>
        <v/>
      </c>
      <c r="AX402" s="105" t="str">
        <f>IF(A402&lt;&gt;"",COUNTIFS('QA Log'!D:D,A402,'QA Log'!M:M,"Vignette",'QA Log'!L:L,"Vignette [1] Respiratory Infection: Pneumonia",'QA Log'!Z:Z,"Approved"),"")</f>
        <v/>
      </c>
      <c r="AY402" s="105" t="str">
        <f>IF(A402&lt;&gt;"",COUNTIFS('QA Log'!D:D,A402,'QA Log'!M:M,"Vignette",'QA Log'!L:L,"Vignette [2]: Diarrhea with Cat B dehydration",'QA Log'!Z:Z,"Approved"),"")</f>
        <v/>
      </c>
      <c r="AZ402" s="105" t="str">
        <f>IF(A402&lt;&gt;"",COUNTIFS('QA Log'!D:D,A402,'QA Log'!M:M,"Vignette",'QA Log'!L:L,"Vignette [3] Growth Monitoring and Promotion",'QA Log'!Z:Z,"Approved"),"")</f>
        <v/>
      </c>
      <c r="BA402" s="105" t="str">
        <f>IF(A402&lt;&gt;"",COUNTIFS('QA Log'!D:D,A402,'QA Log'!M:M,"Vignette",'QA Log'!L:L,"Vignette [4]: The management of presumptive TB patient",'QA Log'!Z:Z,"Approved"),"")</f>
        <v/>
      </c>
      <c r="BB402" s="102" t="str">
        <f>IF(A402="","",
  SUM(
    COUNTIFS('QA Log'!D:D,A402,'QA Log'!M:M,"Vignette",'QA Log'!Z:Z,"Rejected",'QA Log'!L:L,"*Vignette [1] Respiratory Infection: Pneumonia*"),
    COUNTIFS('QA Log'!D:D,A402,'QA Log'!M:M,"Vignette",'QA Log'!Z:Z,"Rejected",'QA Log'!L:L,"*Vignette [2]: Diarrhea with Cat B dehydration*"),
    COUNTIFS('QA Log'!D:D,A402,'QA Log'!M:M,"Vignette",'QA Log'!Z:Z,"Rejected",'QA Log'!L:L,"*Vignette [3] Growth Monitoring and Promotion*"),
    COUNTIFS('QA Log'!D:D,A402,'QA Log'!M:M,"Vignette",'QA Log'!Z:Z,"Rejected",'QA Log'!L:L,"*Vignette [4]: The management of presumptive TB patient*")
  )
)</f>
        <v/>
      </c>
      <c r="BC402" s="107" t="str">
        <f t="shared" si="35"/>
        <v/>
      </c>
      <c r="BD402" s="103" t="str">
        <f t="shared" si="36"/>
        <v/>
      </c>
      <c r="BE402" s="102" t="str">
        <f>IF(A402="","",SUM(
COUNTIFS('QA Log'!D:D,A402,'QA Log'!M:M,"Vignette",'QA Log'!L:L,"*Vignette [5] Labor*"),
COUNTIFS('QA Log'!D:D,A402,'QA Log'!M:M,"Vignette",'QA Log'!L:L,"*Vignette [6] PNC pre Discharge*"),
COUNTIFS('QA Log'!D:D,A402,'QA Log'!M:M,"Vignette",'QA Log'!L:L,"*Vignette [7] First ANC Visit*"),
COUNTIFS('QA Log'!D:D,A402,'QA Log'!M:M,"Vignette",'QA Log'!L:L,"*Vignette [8] Birth Spacing/ Family Planning :  FP Counselling*"),
COUNTIFS('QA Log'!D:D,A402,'QA Log'!M:M,"Vignette",'QA Log'!L:L,"*Vignette [9] Birth Spacing: Change FP method to Injectable*"),
COUNTIFS('QA Log'!D:D,A402,'QA Log'!M:M,"Vignette",'QA Log'!L:L,"*Vignette [10] Post Partum Haemorrhage - Atonic Uterus at Health Centre*"),
)
)</f>
        <v/>
      </c>
      <c r="BF402" s="102" t="str">
        <f>IF(A402="","",
  SUM(
    COUNTIFS('QA Log'!D:D,A402,'QA Log'!M:M,"Vignette",'QA Log'!Z:Z,"Approved",'QA Log'!L:L,"*Vignette [5] Labor*"),
    COUNTIFS('QA Log'!D:D,A402,'QA Log'!M:M,"Vignette",'QA Log'!Z:Z,"Approved",'QA Log'!L:L,"*Vignette [6] PNC pre Discharge*"),
    COUNTIFS('QA Log'!D:D,A402,'QA Log'!M:M,"Vignette",'QA Log'!Z:Z,"Approved",'QA Log'!L:L,"*Vignette [7] First ANC Visit*"),
    COUNTIFS('QA Log'!D:D,A402,'QA Log'!M:M,"Vignette",'QA Log'!Z:Z,"Approved",'QA Log'!L:L,"*Vignette [8] Birth Spacing/ Family Planning :  FP Counselling*"),
    COUNTIFS('QA Log'!D:D,A402,'QA Log'!M:M,"Vignette",'QA Log'!Z:Z,"Approved",'QA Log'!L:L,"*Vignette [9] Birth Spacing: Change FP method to Injectable*"),
    COUNTIFS('QA Log'!D:D,A402,'QA Log'!M:M,"Vignette",'QA Log'!Z:Z,"Approved",'QA Log'!L:L,"*Vignette [10] Post Partum Haemorrhage - Atonic Uterus at Health Centre*")
  )
)</f>
        <v/>
      </c>
      <c r="BG402" s="105" t="str">
        <f>IF(A402&lt;&gt;"",COUNTIFS('QA Log'!D:D,A402,'QA Log'!M:M,"Vignette",'QA Log'!L:L,"Vignette [5] Labor",'QA Log'!Z:Z,"Approved"),"")</f>
        <v/>
      </c>
      <c r="BH402" s="105" t="str">
        <f>IF(A402&lt;&gt;"",COUNTIFS('QA Log'!D:D,A402,'QA Log'!M:M,"Vignette",'QA Log'!L:L,"Vignette [6] PNC pre Discharge",'QA Log'!Z:Z,"Approved"),"")</f>
        <v/>
      </c>
      <c r="BI402" s="105" t="str">
        <f>IF(A402&lt;&gt;"",COUNTIFS('QA Log'!D:D,A402,'QA Log'!M:M,"Vignette",'QA Log'!L:L,"Vignette [7] First ANC Visit",'QA Log'!Z:Z,"Approved"),"")</f>
        <v/>
      </c>
      <c r="BJ402" s="105" t="str">
        <f>IF(A402&lt;&gt;"",COUNTIFS('QA Log'!D:D,A402,'QA Log'!M:M,"Vignette",'QA Log'!L:L,"Vignette [8] Birth Spacing/ Family Planning :  FP Counselling",'QA Log'!Z:Z,"Approved"),"")</f>
        <v/>
      </c>
      <c r="BK402" s="105" t="str">
        <f>IF(A402&lt;&gt;"",COUNTIFS('QA Log'!D:D,A402,'QA Log'!M:M,"Vignette",'QA Log'!L:L,"Vignette [9] Birth Spacing: Change FP method to Injectable",'QA Log'!Z:Z,"Approved"),"")</f>
        <v/>
      </c>
      <c r="BL402" s="105" t="str">
        <f>IF(A402&lt;&gt;"",COUNTIFS('QA Log'!D:D,A402,'QA Log'!M:M,"Vignette",'QA Log'!L:L,"Vignette [10] Post Partum Haemorrhage - Atonic Uterus at Health Centre",'QA Log'!Z:Z,"Approved"),"")</f>
        <v/>
      </c>
      <c r="BM402" s="102" t="str">
        <f>IF(A402="","",SUM(
    COUNTIFS('QA Log'!D:D,A402,'QA Log'!M:M,"Vignette",'QA Log'!Z:Z,"Rejected",'QA Log'!L:L,"*Vignette [5] Labor*"),
    COUNTIFS('QA Log'!D:D,A402,'QA Log'!M:M,"Vignette",'QA Log'!Z:Z,"Rejected",'QA Log'!L:L,"*Vignette [6] PNC pre Discharge*"),
    COUNTIFS('QA Log'!D:D,A402,'QA Log'!M:M,"Vignette",'QA Log'!Z:Z,"Rejected",'QA Log'!L:L,"*Vignette [7] First ANC Visit*"),
    COUNTIFS('QA Log'!D:D,A402,'QA Log'!M:M,"Vignette",'QA Log'!Z:Z,"Rejected",'QA Log'!L:L,"*Vignette [8] Birth Spacing/ Family Planning :  FP Counselling*"),
    COUNTIFS('QA Log'!D:D,A402,'QA Log'!M:M,"Vignette",'QA Log'!Z:Z,"Rejected",'QA Log'!L:L,"*Vignette [9] Birth Spacing: Change FP method to Injectable*"),
    COUNTIFS('QA Log'!D:D,A402,'QA Log'!M:M,"Vignette",'QA Log'!Z:Z,"Rejected",'QA Log'!L:L,"*Vignette [10] Post Partum Haemorrhage - Atonic Uterus at Health Centre*")
  )
)</f>
        <v/>
      </c>
      <c r="BN402" s="107" t="str">
        <f t="shared" si="37"/>
        <v/>
      </c>
      <c r="BO402" s="103" t="str">
        <f t="shared" si="38"/>
        <v/>
      </c>
      <c r="BP402" s="102" t="str">
        <f>IF(A402="","",SUM(
COUNTIFS('QA Log'!D:D,A402,'QA Log'!M:M,"Vignette",'QA Log'!L:L,"*Exit Interview 1*"),
COUNTIFS('QA Log'!D:D,A402,'QA Log'!M:M,"Vignette",'QA Log'!L:L,"*Exit Interview 2*"),
)
)</f>
        <v/>
      </c>
      <c r="BQ402" s="102" t="str">
        <f>IF(
  A402="","",
  SUM(
    COUNTIFS('QA Log'!D:D,A402,'QA Log'!M:M,"Vignette",'QA Log'!Z:Z,"Approved",'QA Log'!L:L,"*Exit Interview 1*"),
    COUNTIFS('QA Log'!D:D,A402,'QA Log'!M:M,"Vignette",'QA Log'!Z:Z,"Approved",'QA Log'!L:L,"*Exit Interview 2*")
  )
)</f>
        <v/>
      </c>
      <c r="BR402" s="105" t="str">
        <f>IF(A402&lt;&gt;"",COUNTIFS('QA Log'!D:D,A402,'QA Log'!M:M,"Vignette",'QA Log'!L:L,"Exit Interview 1",'QA Log'!Z:Z,"Approved"),"")</f>
        <v/>
      </c>
      <c r="BS402" s="105" t="str">
        <f>IF(A402&lt;&gt;"",COUNTIFS('QA Log'!D:D,A402,'QA Log'!M:M,"Vignette",'QA Log'!L:L,"Exit Interview 2",'QA Log'!Z:Z,"Approved"),"")</f>
        <v/>
      </c>
      <c r="BT402" s="102" t="str">
        <f>IF(
  A402="","",
  SUM(
    COUNTIFS('QA Log'!D:D,A402,'QA Log'!M:M,"Vignette",'QA Log'!Z:Z,"Rejected",'QA Log'!L:L,"*Exit Interview 1*"),
    COUNTIFS('QA Log'!D:D,A402,'QA Log'!M:M,"Vignette",'QA Log'!Z:Z,"Rejected",'QA Log'!L:L,"*Exit Interview 2*")
  )
)</f>
        <v/>
      </c>
      <c r="BU402" s="107" t="str">
        <f t="shared" si="39"/>
        <v/>
      </c>
      <c r="BV402" s="102" t="str">
        <f t="shared" si="40"/>
        <v/>
      </c>
      <c r="BW402" s="102" t="str">
        <f t="shared" si="41"/>
        <v/>
      </c>
      <c r="BX402" s="102" t="str">
        <f t="shared" si="42"/>
        <v/>
      </c>
      <c r="BY402" s="102" t="str">
        <f t="shared" si="43"/>
        <v/>
      </c>
      <c r="BZ402" s="107" t="str">
        <f t="shared" si="44"/>
        <v/>
      </c>
      <c r="CA402" s="108" t="str">
        <f t="shared" si="45"/>
        <v/>
      </c>
      <c r="CB402" s="108" t="str">
        <f t="shared" si="46"/>
        <v/>
      </c>
      <c r="CC402" s="109" t="str">
        <f t="shared" si="47"/>
        <v/>
      </c>
      <c r="CD402" s="108" t="str">
        <f t="shared" si="48"/>
        <v/>
      </c>
      <c r="CE402" s="108" t="str">
        <f t="shared" si="49"/>
        <v/>
      </c>
      <c r="CF402" s="109" t="str">
        <f t="shared" si="50"/>
        <v/>
      </c>
      <c r="CG402" s="110" t="str">
        <f t="shared" si="51"/>
        <v/>
      </c>
      <c r="CH402" s="111"/>
    </row>
    <row r="403" spans="1:86" ht="12.75">
      <c r="A403" s="101"/>
      <c r="B403" s="102" t="e">
        <f t="array" aca="1" ref="B403" ca="1">_xludf.XLOOKUP(A403,'QA Log'!D:D,'QA Log'!E:E,"")</f>
        <v>#NAME?</v>
      </c>
      <c r="C403" s="102" t="e">
        <f t="array" aca="1" ref="C403" ca="1">_xludf.XLOOKUP(A403,'QA Log'!D:D,'QA Log'!F:F,"")</f>
        <v>#NAME?</v>
      </c>
      <c r="D403" s="102" t="e">
        <f t="array" aca="1" ref="D403" ca="1">_xludf.XLOOKUP(A403,'QA Log'!D:D,'QA Log'!H:H,"")</f>
        <v>#NAME?</v>
      </c>
      <c r="E403" s="102" t="e">
        <f t="array" aca="1" ref="E403" ca="1">_xludf.XLOOKUP(A403,'QA Log'!D:D,'QA Log'!G:G,"")</f>
        <v>#NAME?</v>
      </c>
      <c r="F403" s="103"/>
      <c r="G403" s="104"/>
      <c r="H403" s="104"/>
      <c r="I403" s="103" t="str">
        <f t="shared" si="26"/>
        <v/>
      </c>
      <c r="J403" s="102" t="str">
        <f>IF(A403="","",SUM(
COUNTIFS('QA Log'!D:D,A403,'QA Log'!M:M,"QQC",'QA Log'!L:L,"*1. General Management*"),
COUNTIFS('QA Log'!D:D,A403,'QA Log'!M:M,"QQC",'QA Log'!L:L,"*3. Curative Consultation (OPD)*"),
COUNTIFS('QA Log'!D:D,A403,'QA Log'!M:M,"QQC",'QA Log'!L:L,"*5. Laboratory*"),
COUNTIFS('QA Log'!D:D,A403,'QA Log'!M:M,"QQC",'QA Log'!L:L,"*6. Essential Medicine Management*"),
COUNTIFS('QA Log'!D:D,A403,'QA Log'!M:M,"QQC",'QA Log'!L:L,"*7. Tracer Medicine*"),
COUNTIFS('QA Log'!D:D,A403,'QA Log'!M:M,"QQC",'QA Log'!L:L,"*11. Additional Questions*")))</f>
        <v/>
      </c>
      <c r="K403" s="102" t="str">
        <f>IF(A403="","",SUM(
COUNTIFS('QA Log'!D:D,A403,'QA Log'!M:M,"QQC",'QA Log'!Z:Z,"Approved",'QA Log'!L:L,"*1. General Management*"),
COUNTIFS('QA Log'!D:D,A403,'QA Log'!M:M,"QQC",'QA Log'!Z:Z,"Approved",'QA Log'!L:L,"*3. Curative Consultation (OPD)*"),
COUNTIFS('QA Log'!D:D,A403,'QA Log'!M:M,"QQC",'QA Log'!Z:Z,"Approved",'QA Log'!L:L,"*5. Laboratory*"),
COUNTIFS('QA Log'!D:D,A403,'QA Log'!M:M,"QQC",'QA Log'!Z:Z,"Approved",'QA Log'!L:L,"*6. Essential Medicine Management*"),
COUNTIFS('QA Log'!D:D,A403,'QA Log'!M:M,"QQC",'QA Log'!Z:Z,"Approved",'QA Log'!L:L,"*7. Tracer Medicine*"),
COUNTIFS('QA Log'!D:D,A403,'QA Log'!M:M,"QQC",'QA Log'!Z:Z,"Approved",'QA Log'!L:L,"*11. Additional Questions*")))</f>
        <v/>
      </c>
      <c r="L403" s="102" t="str">
        <f>IF(A403&lt;&gt;"",COUNTIFS('QA Log'!D:D,A403,'QA Log'!M:M,"QQC",'QA Log'!L:L,"1. General Management",'QA Log'!Z:Z,"Approved"),"")</f>
        <v/>
      </c>
      <c r="M403" s="102" t="str">
        <f>IF(A403&lt;&gt;"",COUNTIFS('QA Log'!D:D,A403,'QA Log'!M:M,"QQC",'QA Log'!L:L,"3. Curative Consultation (OPD)",'QA Log'!Z:Z,"Approved"),"")</f>
        <v/>
      </c>
      <c r="N403" s="102" t="str">
        <f>IF(A403&lt;&gt;"",COUNTIFS('QA Log'!D:D,A403,'QA Log'!M:M,"QQC",'QA Log'!L:L,"5. Laboratory",'QA Log'!Z:Z,"Approved"),"")</f>
        <v/>
      </c>
      <c r="O403" s="102" t="str">
        <f>IF(A403&lt;&gt;"",COUNTIFS('QA Log'!D:D,A403,'QA Log'!M:M,"QQC",'QA Log'!L:L,"6. Essential Medicine Management",'QA Log'!Z:Z,"Approved"),"")</f>
        <v/>
      </c>
      <c r="P403" s="102" t="str">
        <f>IF(A403&lt;&gt;"",COUNTIFS('QA Log'!D:D,A403,'QA Log'!M:M,"QQC",'QA Log'!L:L,"7. Tracer Medicine",'QA Log'!Z:Z,"Approved"),"")</f>
        <v/>
      </c>
      <c r="Q403" s="102" t="str">
        <f>IF(A403&lt;&gt;"",COUNTIFS('QA Log'!D:D,A403,'QA Log'!M:M,"QQC",'QA Log'!L:L,"11. Additional Questions",'QA Log'!Z:Z,"Approved"),"")</f>
        <v/>
      </c>
      <c r="R403" s="102" t="str">
        <f>IF(A403="","",SUM(
COUNTIFS('QA Log'!D:D,A403,'QA Log'!M:M,"QQC",'QA Log'!Z:Z,"Rejected",'QA Log'!L:L,"*8. Maternity*"),
COUNTIFS('QA Log'!D:D,A403,'QA Log'!M:M,"QQC",'QA Log'!Z:Z,"Rejected",'QA Log'!L:L,"*EPI*"),
COUNTIFS('QA Log'!D:D,A403,'QA Log'!M:M,"QQC",'QA Log'!Z:Z,"Rejected",'QA Log'!L:L,"*10. Antenatal Care (ANC)*"),
COUNTIFS('QA Log'!D:D,A403,'QA Log'!M:M,"QQC",'QA Log'!Z:Z,"Rejected",'QA Log'!L:L,"*2. Hygiene and Sterilization*"),
COUNTIFS('QA Log'!D:D,A403,'QA Log'!M:M,"QQC",'QA Log'!Z:Z,"Rejected",'QA Log'!L:L,"*Family Planning*")))</f>
        <v/>
      </c>
      <c r="S403" s="106" t="str">
        <f t="shared" si="27"/>
        <v/>
      </c>
      <c r="T403" s="102" t="str">
        <f t="shared" si="28"/>
        <v/>
      </c>
      <c r="U403" s="102" t="str">
        <f>IF(A403="","",
SUM(
COUNTIFS('QA Log'!D:D,A403,'QA Log'!M:M,"QQC",'QA Log'!L:L,"*8. Maternity*"),
COUNTIFS('QA Log'!D:D,A403,'QA Log'!M:M,"QQC",'QA Log'!L:L,"*9. EPI and Pre-school Consultation*"),
COUNTIFS('QA Log'!D:D,A403,'QA Log'!M:M,"QQC",'QA Log'!L:L,"*10. Antenatal Care (ANC)*"),
COUNTIFS('QA Log'!D:D,A403,'QA Log'!M:M,"QQC",'QA Log'!L:L,"*2. Hygiene and Sterilization*"),
COUNTIFS('QA Log'!D:D,A403,'QA Log'!M:M,"QQC",'QA Log'!L:L,"*4. Family Planning*")
))</f>
        <v/>
      </c>
      <c r="V403" s="102" t="str">
        <f>IF(A403="","",
SUM(
COUNTIFS('QA Log'!D:D,A403,'QA Log'!M:M,"QQC",'QA Log'!Z:Z,"Approved",'QA Log'!L:L,"*8. Maternity*"),
COUNTIFS('QA Log'!D:D,A403,'QA Log'!M:M,"QQC",'QA Log'!Z:Z,"Approved",'QA Log'!L:L,"*9. EPI and Pre-school Consultation*"),
COUNTIFS('QA Log'!D:D,A403,'QA Log'!M:M,"QQC",'QA Log'!Z:Z,"Approved",'QA Log'!L:L,"*10. Antenatal Care (ANC)*"),
COUNTIFS('QA Log'!D:D,A403,'QA Log'!M:M,"QQC",'QA Log'!Z:Z,"Approved",'QA Log'!L:L,"*2. Hygiene and Sterilization*"),
COUNTIFS('QA Log'!D:D,A403,'QA Log'!M:M,"QQC",'QA Log'!Z:Z,"Approved",'QA Log'!L:L,"*4. Family Planning*")
))</f>
        <v/>
      </c>
      <c r="W403" s="102" t="str">
        <f>IF(A403&lt;&gt;"",COUNTIFS('QA Log'!D:D,A403,'QA Log'!M:M,"QQC",'QA Log'!L:L,"8. Maternity",'QA Log'!Z:Z,"Approved"),"")</f>
        <v/>
      </c>
      <c r="X403" s="105" t="str">
        <f>IF(A403&lt;&gt;"",COUNTIFS('QA Log'!D:D,A403,'QA Log'!M:M,"QQC",'QA Log'!L:L,"9. EPI and Pre-school Consultation",'QA Log'!Z:Z,"Approved"),"")</f>
        <v/>
      </c>
      <c r="Y403" s="102" t="str">
        <f>IF(A403&lt;&gt;"",COUNTIFS('QA Log'!D:D,A403,'QA Log'!M:M,"QQC",'QA Log'!L:L,"10. Antenatal Care (ANC)",'QA Log'!Z:Z,"Approved"),"")</f>
        <v/>
      </c>
      <c r="Z403" s="102" t="str">
        <f>IF(A403&lt;&gt;"",COUNTIFS('QA Log'!D:D,A403,'QA Log'!M:M,"QQC",'QA Log'!L:L,"2. Hygiene and Sterilization",'QA Log'!Z:Z,"Approved"),"")</f>
        <v/>
      </c>
      <c r="AA403" s="105" t="str">
        <f>IF(A403&lt;&gt;"",COUNTIFS('QA Log'!D:D,A403,'QA Log'!M:M,"QQC",'QA Log'!L:L,"4. Family Planning",'QA Log'!Z:Z,"Approved"),"")</f>
        <v/>
      </c>
      <c r="AB403" s="102" t="str">
        <f>IF(A403="","",
SUM(
COUNTIFS('QA Log'!D:D,A403,'QA Log'!M:M,"QQC",'QA Log'!Z:Z,"Rejected",'QA Log'!L:L,"*8. Maternity*"),
COUNTIFS('QA Log'!D:D,A403,'QA Log'!M:M,"QQC",'QA Log'!Z:Z,"Rejected",'QA Log'!L:L,"*9. EPI and Pre-school Consultation*"),
COUNTIFS('QA Log'!D:D,A403,'QA Log'!M:M,"QQC",'QA Log'!Z:Z,"Rejected",'QA Log'!L:L,"*10. Antenatal Care (ANC)*"),
COUNTIFS('QA Log'!D:D,A403,'QA Log'!M:M,"QQC",'QA Log'!Z:Z,"Rejected",'QA Log'!L:L,"*2. Hygiene and Sterilization*"),
COUNTIFS('QA Log'!D:D,A403,'QA Log'!M:M,"QQC",'QA Log'!Z:Z,"Rejected",'QA Log'!L:L,"*4. Family Planning*")
))</f>
        <v/>
      </c>
      <c r="AC403" s="102" t="str">
        <f t="shared" si="29"/>
        <v/>
      </c>
      <c r="AD403" s="103" t="str">
        <f t="shared" si="30"/>
        <v/>
      </c>
      <c r="AE403" s="102" t="str">
        <f>IF(A403="","",
SUM(
COUNTIFS('QA Log'!D:D,A403,'QA Log'!M:M,"Data Verification",'QA Log'!L:L,"*Medicine (section 2)*"),
COUNTIFS('QA Log'!D:D,A403,'QA Log'!M:M,"Data Verification",'QA Log'!L:L,"*Lab Testing Availability*"),
COUNTIFS('QA Log'!D:D,A403,'QA Log'!M:M,"Data Verification",'QA Log'!L:L,"*Other than P4P (section 6)*"),
COUNTIFS('QA Log'!D:D,A403,'QA Log'!M:M,"Data Verification",'QA Log'!L:L,"*Hospital Governance*")
))</f>
        <v/>
      </c>
      <c r="AF403" s="102" t="str">
        <f>IF(A403="","",
SUM(
COUNTIFS('QA Log'!D:D,A403,'QA Log'!M:M,"Data Verification",'QA Log'!Z:Z,"Approved",'QA Log'!L:L,"*Medicine (section 2)*"),
COUNTIFS('QA Log'!D:D,A403,'QA Log'!M:M,"Data Verification",'QA Log'!Z:Z,"Approved",'QA Log'!L:L,"*Lab Testing Availability*"),
COUNTIFS('QA Log'!D:D,A403,'QA Log'!M:M,"Data Verification",'QA Log'!Z:Z,"Approved",'QA Log'!L:L,"*Other than P4P (section 6)*"),
COUNTIFS('QA Log'!D:D,A403,'QA Log'!M:M,"Data Verification",'QA Log'!Z:Z,"Approved",'QA Log'!L:L,"*Hospital Governance*")
))</f>
        <v/>
      </c>
      <c r="AG403" s="105" t="str">
        <f>IF(A403&lt;&gt;"",COUNTIFS('QA Log'!D:D,A403,'QA Log'!M:M,"Data Verification",'QA Log'!L:L,"Medicine (section 2)",'QA Log'!Z:Z,"Approved"),"")</f>
        <v/>
      </c>
      <c r="AH403" s="105" t="str">
        <f>IF(A403&lt;&gt;"",COUNTIFS('QA Log'!D:D,A403,'QA Log'!M:M,"Data Verification",'QA Log'!L:L,"Lab Testing Availability",'QA Log'!Z:Z,"Approved"),"")</f>
        <v/>
      </c>
      <c r="AI403" s="105" t="str">
        <f>IF(A403&lt;&gt;"",COUNTIFS('QA Log'!D:D,A403,'QA Log'!M:M,"Data Verification",'QA Log'!L:L,"Other than P4P (section 6)",'QA Log'!Z:Z,"Approved"),"")</f>
        <v/>
      </c>
      <c r="AJ403" s="105" t="str">
        <f>IF(A403&lt;&gt;"",COUNTIFS('QA Log'!D:D,A403,'QA Log'!M:M,"Data Verification",'QA Log'!L:L,"Hospital Governance",'QA Log'!Z:Z,"Approved"),"")</f>
        <v/>
      </c>
      <c r="AK403" s="102" t="str">
        <f>IF(A403="","",
SUM(
COUNTIFS('QA Log'!D:D,A403,'QA Log'!M:M,"Data Verification",'QA Log'!Z:Z,"Rejected",'QA Log'!L:L,"*Medicine (section 2)*"),
COUNTIFS('QA Log'!D:D,A403,'QA Log'!M:M,"Data Verification",'QA Log'!Z:Z,"Rejected",'QA Log'!L:L,"*Lab Testing Availability*"),
COUNTIFS('QA Log'!D:D,A403,'QA Log'!M:M,"Data Verification",'QA Log'!Z:Z,"Rejected",'QA Log'!L:L,"*Other than P4P (section 6)*"),
COUNTIFS('QA Log'!D:D,A403,'QA Log'!M:M,"Data Verification",'QA Log'!Z:Z,"Rejected",'QA Log'!L:L,"*Hospital Governance*")
))</f>
        <v/>
      </c>
      <c r="AL403" s="106" t="str">
        <f t="shared" si="31"/>
        <v/>
      </c>
      <c r="AM403" s="102" t="str">
        <f t="shared" si="32"/>
        <v/>
      </c>
      <c r="AN403" s="102" t="str">
        <f>IF(A403="","",
SUM(
COUNTIFS('QA Log'!D:D,A403,'QA Log'!M:M,"Data Verification",'QA Log'!L:L,"*Personnel (section 1)*"),
COUNTIFS('QA Log'!D:D,A403,'QA Log'!M:M,"Data Verification",'QA Log'!L:L,"*Consumable (section 3)*"),
COUNTIFS('QA Log'!D:D,A403,'QA Log'!M:M,"Data Verification",'QA Log'!L:L,"*Equipments (section 4)*")
))</f>
        <v/>
      </c>
      <c r="AO403" s="102" t="str">
        <f>IF(A403="","",
SUM(
COUNTIFS('QA Log'!D:D,A403,'QA Log'!M:M,"Data Verification",'QA Log'!Z:Z,"Approved",'QA Log'!L:L,"*Personnel (section 1)*"),
COUNTIFS('QA Log'!D:D,A403,'QA Log'!M:M,"Data Verification",'QA Log'!Z:Z,"Approved",'QA Log'!L:L,"*Consumable (section 3)*"),
COUNTIFS('QA Log'!D:D,A403,'QA Log'!M:M,"Data Verification",'QA Log'!Z:Z,"Approved",'QA Log'!L:L,"*Equipments (section 4)*")
))</f>
        <v/>
      </c>
      <c r="AP403" s="105" t="str">
        <f>IF(A403&lt;&gt;"",COUNTIFS('QA Log'!D:D,A403,'QA Log'!M:M,"Data Verification",'QA Log'!L:L,"Personnel (section 1)",'QA Log'!Z:Z,"Approved"),"")</f>
        <v/>
      </c>
      <c r="AQ403" s="105" t="str">
        <f>IF(A403&lt;&gt;"",COUNTIFS('QA Log'!D:D,A403,'QA Log'!M:M,"Data Verification",'QA Log'!L:L,"Consumable (section 3)",'QA Log'!Z:Z,"Approved"),"")</f>
        <v/>
      </c>
      <c r="AR403" s="105" t="str">
        <f>IF(A403&lt;&gt;"",COUNTIFS('QA Log'!D:D,A403,'QA Log'!M:M,"Data Verification",'QA Log'!L:L,"Equipments (section 4)",'QA Log'!Z:Z,"Approved"),"")</f>
        <v/>
      </c>
      <c r="AS403" s="102" t="str">
        <f>IF(A403="","",
SUM(
COUNTIFS('QA Log'!D:D,A403,'QA Log'!M:M,"Data Verification",'QA Log'!Z:Z,"Rejected",'QA Log'!L:L,"*Personnel (section 1)*"),
COUNTIFS('QA Log'!D:D,A403,'QA Log'!M:M,"Data Verification",'QA Log'!Z:Z,"Rejected",'QA Log'!L:L,"*Consumable (section 3)*"),
COUNTIFS('QA Log'!D:D,A403,'QA Log'!M:M,"Data Verification",'QA Log'!Z:Z,"Rejected",'QA Log'!L:L,"*Equipments (section 4)*")
))</f>
        <v/>
      </c>
      <c r="AT403" s="102" t="str">
        <f t="shared" si="33"/>
        <v/>
      </c>
      <c r="AU403" s="103" t="str">
        <f t="shared" si="34"/>
        <v/>
      </c>
      <c r="AV403" s="102" t="str">
        <f>IF(A403="","",SUM(
COUNTIFS('QA Log'!D:D,A403,'QA Log'!M:M,"Vignette",'QA Log'!L:L,"*Vignette [1] Respiratory Infection: Pneumonia*"),
COUNTIFS('QA Log'!D:D,A403,'QA Log'!M:M,"Vignette",'QA Log'!L:L,"*Vignette [2]: Diarrhea with Cat B dehydration*"),
COUNTIFS('QA Log'!D:D,A403,'QA Log'!M:M,"Vignette",'QA Log'!L:L,"*Vignette [3] Growth Monitoring and Promotion*"),
COUNTIFS('QA Log'!D:D,A403,'QA Log'!M:M,"Vignette",'QA Log'!L:L,"*Vignette [4]: The management of presumptive TB patient*")
)
)</f>
        <v/>
      </c>
      <c r="AW403" s="102" t="str">
        <f>IF(
  A403="","",
  SUM(
    COUNTIFS('QA Log'!D:D,A403,'QA Log'!M:M,"Vignette",'QA Log'!Z:Z,"Approved",'QA Log'!L:L,"*Vignette [1] Respiratory Infection: Pneumonia*"),
    COUNTIFS('QA Log'!D:D,A403,'QA Log'!M:M,"Vignette",'QA Log'!Z:Z,"Approved",'QA Log'!L:L,"*Vignette [2]: Diarrhea with Cat B dehydration*"),
    COUNTIFS('QA Log'!D:D,A403,'QA Log'!M:M,"Vignette",'QA Log'!Z:Z,"Approved",'QA Log'!L:L,"*Vignette [3] Growth Monitoring and Promotion*"),
    COUNTIFS('QA Log'!D:D,A403,'QA Log'!M:M,"Vignette",'QA Log'!Z:Z,"Approved",'QA Log'!L:L,"*Vignette [4]: The management of presumptive TB patient*")
  )
)</f>
        <v/>
      </c>
      <c r="AX403" s="105" t="str">
        <f>IF(A403&lt;&gt;"",COUNTIFS('QA Log'!D:D,A403,'QA Log'!M:M,"Vignette",'QA Log'!L:L,"Vignette [1] Respiratory Infection: Pneumonia",'QA Log'!Z:Z,"Approved"),"")</f>
        <v/>
      </c>
      <c r="AY403" s="105" t="str">
        <f>IF(A403&lt;&gt;"",COUNTIFS('QA Log'!D:D,A403,'QA Log'!M:M,"Vignette",'QA Log'!L:L,"Vignette [2]: Diarrhea with Cat B dehydration",'QA Log'!Z:Z,"Approved"),"")</f>
        <v/>
      </c>
      <c r="AZ403" s="105" t="str">
        <f>IF(A403&lt;&gt;"",COUNTIFS('QA Log'!D:D,A403,'QA Log'!M:M,"Vignette",'QA Log'!L:L,"Vignette [3] Growth Monitoring and Promotion",'QA Log'!Z:Z,"Approved"),"")</f>
        <v/>
      </c>
      <c r="BA403" s="105" t="str">
        <f>IF(A403&lt;&gt;"",COUNTIFS('QA Log'!D:D,A403,'QA Log'!M:M,"Vignette",'QA Log'!L:L,"Vignette [4]: The management of presumptive TB patient",'QA Log'!Z:Z,"Approved"),"")</f>
        <v/>
      </c>
      <c r="BB403" s="102" t="str">
        <f>IF(A403="","",
  SUM(
    COUNTIFS('QA Log'!D:D,A403,'QA Log'!M:M,"Vignette",'QA Log'!Z:Z,"Rejected",'QA Log'!L:L,"*Vignette [1] Respiratory Infection: Pneumonia*"),
    COUNTIFS('QA Log'!D:D,A403,'QA Log'!M:M,"Vignette",'QA Log'!Z:Z,"Rejected",'QA Log'!L:L,"*Vignette [2]: Diarrhea with Cat B dehydration*"),
    COUNTIFS('QA Log'!D:D,A403,'QA Log'!M:M,"Vignette",'QA Log'!Z:Z,"Rejected",'QA Log'!L:L,"*Vignette [3] Growth Monitoring and Promotion*"),
    COUNTIFS('QA Log'!D:D,A403,'QA Log'!M:M,"Vignette",'QA Log'!Z:Z,"Rejected",'QA Log'!L:L,"*Vignette [4]: The management of presumptive TB patient*")
  )
)</f>
        <v/>
      </c>
      <c r="BC403" s="107" t="str">
        <f t="shared" si="35"/>
        <v/>
      </c>
      <c r="BD403" s="103" t="str">
        <f t="shared" si="36"/>
        <v/>
      </c>
      <c r="BE403" s="102" t="str">
        <f>IF(A403="","",SUM(
COUNTIFS('QA Log'!D:D,A403,'QA Log'!M:M,"Vignette",'QA Log'!L:L,"*Vignette [5] Labor*"),
COUNTIFS('QA Log'!D:D,A403,'QA Log'!M:M,"Vignette",'QA Log'!L:L,"*Vignette [6] PNC pre Discharge*"),
COUNTIFS('QA Log'!D:D,A403,'QA Log'!M:M,"Vignette",'QA Log'!L:L,"*Vignette [7] First ANC Visit*"),
COUNTIFS('QA Log'!D:D,A403,'QA Log'!M:M,"Vignette",'QA Log'!L:L,"*Vignette [8] Birth Spacing/ Family Planning :  FP Counselling*"),
COUNTIFS('QA Log'!D:D,A403,'QA Log'!M:M,"Vignette",'QA Log'!L:L,"*Vignette [9] Birth Spacing: Change FP method to Injectable*"),
COUNTIFS('QA Log'!D:D,A403,'QA Log'!M:M,"Vignette",'QA Log'!L:L,"*Vignette [10] Post Partum Haemorrhage - Atonic Uterus at Health Centre*"),
)
)</f>
        <v/>
      </c>
      <c r="BF403" s="102" t="str">
        <f>IF(A403="","",
  SUM(
    COUNTIFS('QA Log'!D:D,A403,'QA Log'!M:M,"Vignette",'QA Log'!Z:Z,"Approved",'QA Log'!L:L,"*Vignette [5] Labor*"),
    COUNTIFS('QA Log'!D:D,A403,'QA Log'!M:M,"Vignette",'QA Log'!Z:Z,"Approved",'QA Log'!L:L,"*Vignette [6] PNC pre Discharge*"),
    COUNTIFS('QA Log'!D:D,A403,'QA Log'!M:M,"Vignette",'QA Log'!Z:Z,"Approved",'QA Log'!L:L,"*Vignette [7] First ANC Visit*"),
    COUNTIFS('QA Log'!D:D,A403,'QA Log'!M:M,"Vignette",'QA Log'!Z:Z,"Approved",'QA Log'!L:L,"*Vignette [8] Birth Spacing/ Family Planning :  FP Counselling*"),
    COUNTIFS('QA Log'!D:D,A403,'QA Log'!M:M,"Vignette",'QA Log'!Z:Z,"Approved",'QA Log'!L:L,"*Vignette [9] Birth Spacing: Change FP method to Injectable*"),
    COUNTIFS('QA Log'!D:D,A403,'QA Log'!M:M,"Vignette",'QA Log'!Z:Z,"Approved",'QA Log'!L:L,"*Vignette [10] Post Partum Haemorrhage - Atonic Uterus at Health Centre*")
  )
)</f>
        <v/>
      </c>
      <c r="BG403" s="105" t="str">
        <f>IF(A403&lt;&gt;"",COUNTIFS('QA Log'!D:D,A403,'QA Log'!M:M,"Vignette",'QA Log'!L:L,"Vignette [5] Labor",'QA Log'!Z:Z,"Approved"),"")</f>
        <v/>
      </c>
      <c r="BH403" s="105" t="str">
        <f>IF(A403&lt;&gt;"",COUNTIFS('QA Log'!D:D,A403,'QA Log'!M:M,"Vignette",'QA Log'!L:L,"Vignette [6] PNC pre Discharge",'QA Log'!Z:Z,"Approved"),"")</f>
        <v/>
      </c>
      <c r="BI403" s="105" t="str">
        <f>IF(A403&lt;&gt;"",COUNTIFS('QA Log'!D:D,A403,'QA Log'!M:M,"Vignette",'QA Log'!L:L,"Vignette [7] First ANC Visit",'QA Log'!Z:Z,"Approved"),"")</f>
        <v/>
      </c>
      <c r="BJ403" s="105" t="str">
        <f>IF(A403&lt;&gt;"",COUNTIFS('QA Log'!D:D,A403,'QA Log'!M:M,"Vignette",'QA Log'!L:L,"Vignette [8] Birth Spacing/ Family Planning :  FP Counselling",'QA Log'!Z:Z,"Approved"),"")</f>
        <v/>
      </c>
      <c r="BK403" s="105" t="str">
        <f>IF(A403&lt;&gt;"",COUNTIFS('QA Log'!D:D,A403,'QA Log'!M:M,"Vignette",'QA Log'!L:L,"Vignette [9] Birth Spacing: Change FP method to Injectable",'QA Log'!Z:Z,"Approved"),"")</f>
        <v/>
      </c>
      <c r="BL403" s="105" t="str">
        <f>IF(A403&lt;&gt;"",COUNTIFS('QA Log'!D:D,A403,'QA Log'!M:M,"Vignette",'QA Log'!L:L,"Vignette [10] Post Partum Haemorrhage - Atonic Uterus at Health Centre",'QA Log'!Z:Z,"Approved"),"")</f>
        <v/>
      </c>
      <c r="BM403" s="102" t="str">
        <f>IF(A403="","",SUM(
    COUNTIFS('QA Log'!D:D,A403,'QA Log'!M:M,"Vignette",'QA Log'!Z:Z,"Rejected",'QA Log'!L:L,"*Vignette [5] Labor*"),
    COUNTIFS('QA Log'!D:D,A403,'QA Log'!M:M,"Vignette",'QA Log'!Z:Z,"Rejected",'QA Log'!L:L,"*Vignette [6] PNC pre Discharge*"),
    COUNTIFS('QA Log'!D:D,A403,'QA Log'!M:M,"Vignette",'QA Log'!Z:Z,"Rejected",'QA Log'!L:L,"*Vignette [7] First ANC Visit*"),
    COUNTIFS('QA Log'!D:D,A403,'QA Log'!M:M,"Vignette",'QA Log'!Z:Z,"Rejected",'QA Log'!L:L,"*Vignette [8] Birth Spacing/ Family Planning :  FP Counselling*"),
    COUNTIFS('QA Log'!D:D,A403,'QA Log'!M:M,"Vignette",'QA Log'!Z:Z,"Rejected",'QA Log'!L:L,"*Vignette [9] Birth Spacing: Change FP method to Injectable*"),
    COUNTIFS('QA Log'!D:D,A403,'QA Log'!M:M,"Vignette",'QA Log'!Z:Z,"Rejected",'QA Log'!L:L,"*Vignette [10] Post Partum Haemorrhage - Atonic Uterus at Health Centre*")
  )
)</f>
        <v/>
      </c>
      <c r="BN403" s="107" t="str">
        <f t="shared" si="37"/>
        <v/>
      </c>
      <c r="BO403" s="103" t="str">
        <f t="shared" si="38"/>
        <v/>
      </c>
      <c r="BP403" s="102" t="str">
        <f>IF(A403="","",SUM(
COUNTIFS('QA Log'!D:D,A403,'QA Log'!M:M,"Vignette",'QA Log'!L:L,"*Exit Interview 1*"),
COUNTIFS('QA Log'!D:D,A403,'QA Log'!M:M,"Vignette",'QA Log'!L:L,"*Exit Interview 2*"),
)
)</f>
        <v/>
      </c>
      <c r="BQ403" s="102" t="str">
        <f>IF(
  A403="","",
  SUM(
    COUNTIFS('QA Log'!D:D,A403,'QA Log'!M:M,"Vignette",'QA Log'!Z:Z,"Approved",'QA Log'!L:L,"*Exit Interview 1*"),
    COUNTIFS('QA Log'!D:D,A403,'QA Log'!M:M,"Vignette",'QA Log'!Z:Z,"Approved",'QA Log'!L:L,"*Exit Interview 2*")
  )
)</f>
        <v/>
      </c>
      <c r="BR403" s="105" t="str">
        <f>IF(A403&lt;&gt;"",COUNTIFS('QA Log'!D:D,A403,'QA Log'!M:M,"Vignette",'QA Log'!L:L,"Exit Interview 1",'QA Log'!Z:Z,"Approved"),"")</f>
        <v/>
      </c>
      <c r="BS403" s="105" t="str">
        <f>IF(A403&lt;&gt;"",COUNTIFS('QA Log'!D:D,A403,'QA Log'!M:M,"Vignette",'QA Log'!L:L,"Exit Interview 2",'QA Log'!Z:Z,"Approved"),"")</f>
        <v/>
      </c>
      <c r="BT403" s="102" t="str">
        <f>IF(
  A403="","",
  SUM(
    COUNTIFS('QA Log'!D:D,A403,'QA Log'!M:M,"Vignette",'QA Log'!Z:Z,"Rejected",'QA Log'!L:L,"*Exit Interview 1*"),
    COUNTIFS('QA Log'!D:D,A403,'QA Log'!M:M,"Vignette",'QA Log'!Z:Z,"Rejected",'QA Log'!L:L,"*Exit Interview 2*")
  )
)</f>
        <v/>
      </c>
      <c r="BU403" s="107" t="str">
        <f t="shared" si="39"/>
        <v/>
      </c>
      <c r="BV403" s="102" t="str">
        <f t="shared" si="40"/>
        <v/>
      </c>
      <c r="BW403" s="102" t="str">
        <f t="shared" si="41"/>
        <v/>
      </c>
      <c r="BX403" s="102" t="str">
        <f t="shared" si="42"/>
        <v/>
      </c>
      <c r="BY403" s="102" t="str">
        <f t="shared" si="43"/>
        <v/>
      </c>
      <c r="BZ403" s="107" t="str">
        <f t="shared" si="44"/>
        <v/>
      </c>
      <c r="CA403" s="108" t="str">
        <f t="shared" si="45"/>
        <v/>
      </c>
      <c r="CB403" s="108" t="str">
        <f t="shared" si="46"/>
        <v/>
      </c>
      <c r="CC403" s="109" t="str">
        <f t="shared" si="47"/>
        <v/>
      </c>
      <c r="CD403" s="108" t="str">
        <f t="shared" si="48"/>
        <v/>
      </c>
      <c r="CE403" s="108" t="str">
        <f t="shared" si="49"/>
        <v/>
      </c>
      <c r="CF403" s="109" t="str">
        <f t="shared" si="50"/>
        <v/>
      </c>
      <c r="CG403" s="110" t="str">
        <f t="shared" si="51"/>
        <v/>
      </c>
      <c r="CH403" s="111"/>
    </row>
    <row r="404" spans="1:86" ht="12.75">
      <c r="A404" s="101"/>
      <c r="B404" s="102" t="e">
        <f t="array" aca="1" ref="B404" ca="1">_xludf.XLOOKUP(A404,'QA Log'!D:D,'QA Log'!E:E,"")</f>
        <v>#NAME?</v>
      </c>
      <c r="C404" s="102" t="e">
        <f t="array" aca="1" ref="C404" ca="1">_xludf.XLOOKUP(A404,'QA Log'!D:D,'QA Log'!F:F,"")</f>
        <v>#NAME?</v>
      </c>
      <c r="D404" s="102" t="e">
        <f t="array" aca="1" ref="D404" ca="1">_xludf.XLOOKUP(A404,'QA Log'!D:D,'QA Log'!H:H,"")</f>
        <v>#NAME?</v>
      </c>
      <c r="E404" s="102" t="e">
        <f t="array" aca="1" ref="E404" ca="1">_xludf.XLOOKUP(A404,'QA Log'!D:D,'QA Log'!G:G,"")</f>
        <v>#NAME?</v>
      </c>
      <c r="F404" s="103"/>
      <c r="G404" s="104"/>
      <c r="H404" s="104"/>
      <c r="I404" s="103" t="str">
        <f t="shared" si="26"/>
        <v/>
      </c>
      <c r="J404" s="102" t="str">
        <f>IF(A404="","",SUM(
COUNTIFS('QA Log'!D:D,A404,'QA Log'!M:M,"QQC",'QA Log'!L:L,"*1. General Management*"),
COUNTIFS('QA Log'!D:D,A404,'QA Log'!M:M,"QQC",'QA Log'!L:L,"*3. Curative Consultation (OPD)*"),
COUNTIFS('QA Log'!D:D,A404,'QA Log'!M:M,"QQC",'QA Log'!L:L,"*5. Laboratory*"),
COUNTIFS('QA Log'!D:D,A404,'QA Log'!M:M,"QQC",'QA Log'!L:L,"*6. Essential Medicine Management*"),
COUNTIFS('QA Log'!D:D,A404,'QA Log'!M:M,"QQC",'QA Log'!L:L,"*7. Tracer Medicine*"),
COUNTIFS('QA Log'!D:D,A404,'QA Log'!M:M,"QQC",'QA Log'!L:L,"*11. Additional Questions*")))</f>
        <v/>
      </c>
      <c r="K404" s="102" t="str">
        <f>IF(A404="","",SUM(
COUNTIFS('QA Log'!D:D,A404,'QA Log'!M:M,"QQC",'QA Log'!Z:Z,"Approved",'QA Log'!L:L,"*1. General Management*"),
COUNTIFS('QA Log'!D:D,A404,'QA Log'!M:M,"QQC",'QA Log'!Z:Z,"Approved",'QA Log'!L:L,"*3. Curative Consultation (OPD)*"),
COUNTIFS('QA Log'!D:D,A404,'QA Log'!M:M,"QQC",'QA Log'!Z:Z,"Approved",'QA Log'!L:L,"*5. Laboratory*"),
COUNTIFS('QA Log'!D:D,A404,'QA Log'!M:M,"QQC",'QA Log'!Z:Z,"Approved",'QA Log'!L:L,"*6. Essential Medicine Management*"),
COUNTIFS('QA Log'!D:D,A404,'QA Log'!M:M,"QQC",'QA Log'!Z:Z,"Approved",'QA Log'!L:L,"*7. Tracer Medicine*"),
COUNTIFS('QA Log'!D:D,A404,'QA Log'!M:M,"QQC",'QA Log'!Z:Z,"Approved",'QA Log'!L:L,"*11. Additional Questions*")))</f>
        <v/>
      </c>
      <c r="L404" s="102" t="str">
        <f>IF(A404&lt;&gt;"",COUNTIFS('QA Log'!D:D,A404,'QA Log'!M:M,"QQC",'QA Log'!L:L,"1. General Management",'QA Log'!Z:Z,"Approved"),"")</f>
        <v/>
      </c>
      <c r="M404" s="102" t="str">
        <f>IF(A404&lt;&gt;"",COUNTIFS('QA Log'!D:D,A404,'QA Log'!M:M,"QQC",'QA Log'!L:L,"3. Curative Consultation (OPD)",'QA Log'!Z:Z,"Approved"),"")</f>
        <v/>
      </c>
      <c r="N404" s="102" t="str">
        <f>IF(A404&lt;&gt;"",COUNTIFS('QA Log'!D:D,A404,'QA Log'!M:M,"QQC",'QA Log'!L:L,"5. Laboratory",'QA Log'!Z:Z,"Approved"),"")</f>
        <v/>
      </c>
      <c r="O404" s="102" t="str">
        <f>IF(A404&lt;&gt;"",COUNTIFS('QA Log'!D:D,A404,'QA Log'!M:M,"QQC",'QA Log'!L:L,"6. Essential Medicine Management",'QA Log'!Z:Z,"Approved"),"")</f>
        <v/>
      </c>
      <c r="P404" s="102" t="str">
        <f>IF(A404&lt;&gt;"",COUNTIFS('QA Log'!D:D,A404,'QA Log'!M:M,"QQC",'QA Log'!L:L,"7. Tracer Medicine",'QA Log'!Z:Z,"Approved"),"")</f>
        <v/>
      </c>
      <c r="Q404" s="102" t="str">
        <f>IF(A404&lt;&gt;"",COUNTIFS('QA Log'!D:D,A404,'QA Log'!M:M,"QQC",'QA Log'!L:L,"11. Additional Questions",'QA Log'!Z:Z,"Approved"),"")</f>
        <v/>
      </c>
      <c r="R404" s="102" t="str">
        <f>IF(A404="","",SUM(
COUNTIFS('QA Log'!D:D,A404,'QA Log'!M:M,"QQC",'QA Log'!Z:Z,"Rejected",'QA Log'!L:L,"*8. Maternity*"),
COUNTIFS('QA Log'!D:D,A404,'QA Log'!M:M,"QQC",'QA Log'!Z:Z,"Rejected",'QA Log'!L:L,"*EPI*"),
COUNTIFS('QA Log'!D:D,A404,'QA Log'!M:M,"QQC",'QA Log'!Z:Z,"Rejected",'QA Log'!L:L,"*10. Antenatal Care (ANC)*"),
COUNTIFS('QA Log'!D:D,A404,'QA Log'!M:M,"QQC",'QA Log'!Z:Z,"Rejected",'QA Log'!L:L,"*2. Hygiene and Sterilization*"),
COUNTIFS('QA Log'!D:D,A404,'QA Log'!M:M,"QQC",'QA Log'!Z:Z,"Rejected",'QA Log'!L:L,"*Family Planning*")))</f>
        <v/>
      </c>
      <c r="S404" s="106" t="str">
        <f t="shared" si="27"/>
        <v/>
      </c>
      <c r="T404" s="102" t="str">
        <f t="shared" si="28"/>
        <v/>
      </c>
      <c r="U404" s="102" t="str">
        <f>IF(A404="","",
SUM(
COUNTIFS('QA Log'!D:D,A404,'QA Log'!M:M,"QQC",'QA Log'!L:L,"*8. Maternity*"),
COUNTIFS('QA Log'!D:D,A404,'QA Log'!M:M,"QQC",'QA Log'!L:L,"*9. EPI and Pre-school Consultation*"),
COUNTIFS('QA Log'!D:D,A404,'QA Log'!M:M,"QQC",'QA Log'!L:L,"*10. Antenatal Care (ANC)*"),
COUNTIFS('QA Log'!D:D,A404,'QA Log'!M:M,"QQC",'QA Log'!L:L,"*2. Hygiene and Sterilization*"),
COUNTIFS('QA Log'!D:D,A404,'QA Log'!M:M,"QQC",'QA Log'!L:L,"*4. Family Planning*")
))</f>
        <v/>
      </c>
      <c r="V404" s="102" t="str">
        <f>IF(A404="","",
SUM(
COUNTIFS('QA Log'!D:D,A404,'QA Log'!M:M,"QQC",'QA Log'!Z:Z,"Approved",'QA Log'!L:L,"*8. Maternity*"),
COUNTIFS('QA Log'!D:D,A404,'QA Log'!M:M,"QQC",'QA Log'!Z:Z,"Approved",'QA Log'!L:L,"*9. EPI and Pre-school Consultation*"),
COUNTIFS('QA Log'!D:D,A404,'QA Log'!M:M,"QQC",'QA Log'!Z:Z,"Approved",'QA Log'!L:L,"*10. Antenatal Care (ANC)*"),
COUNTIFS('QA Log'!D:D,A404,'QA Log'!M:M,"QQC",'QA Log'!Z:Z,"Approved",'QA Log'!L:L,"*2. Hygiene and Sterilization*"),
COUNTIFS('QA Log'!D:D,A404,'QA Log'!M:M,"QQC",'QA Log'!Z:Z,"Approved",'QA Log'!L:L,"*4. Family Planning*")
))</f>
        <v/>
      </c>
      <c r="W404" s="102" t="str">
        <f>IF(A404&lt;&gt;"",COUNTIFS('QA Log'!D:D,A404,'QA Log'!M:M,"QQC",'QA Log'!L:L,"8. Maternity",'QA Log'!Z:Z,"Approved"),"")</f>
        <v/>
      </c>
      <c r="X404" s="105" t="str">
        <f>IF(A404&lt;&gt;"",COUNTIFS('QA Log'!D:D,A404,'QA Log'!M:M,"QQC",'QA Log'!L:L,"9. EPI and Pre-school Consultation",'QA Log'!Z:Z,"Approved"),"")</f>
        <v/>
      </c>
      <c r="Y404" s="102" t="str">
        <f>IF(A404&lt;&gt;"",COUNTIFS('QA Log'!D:D,A404,'QA Log'!M:M,"QQC",'QA Log'!L:L,"10. Antenatal Care (ANC)",'QA Log'!Z:Z,"Approved"),"")</f>
        <v/>
      </c>
      <c r="Z404" s="102" t="str">
        <f>IF(A404&lt;&gt;"",COUNTIFS('QA Log'!D:D,A404,'QA Log'!M:M,"QQC",'QA Log'!L:L,"2. Hygiene and Sterilization",'QA Log'!Z:Z,"Approved"),"")</f>
        <v/>
      </c>
      <c r="AA404" s="105" t="str">
        <f>IF(A404&lt;&gt;"",COUNTIFS('QA Log'!D:D,A404,'QA Log'!M:M,"QQC",'QA Log'!L:L,"4. Family Planning",'QA Log'!Z:Z,"Approved"),"")</f>
        <v/>
      </c>
      <c r="AB404" s="102" t="str">
        <f>IF(A404="","",
SUM(
COUNTIFS('QA Log'!D:D,A404,'QA Log'!M:M,"QQC",'QA Log'!Z:Z,"Rejected",'QA Log'!L:L,"*8. Maternity*"),
COUNTIFS('QA Log'!D:D,A404,'QA Log'!M:M,"QQC",'QA Log'!Z:Z,"Rejected",'QA Log'!L:L,"*9. EPI and Pre-school Consultation*"),
COUNTIFS('QA Log'!D:D,A404,'QA Log'!M:M,"QQC",'QA Log'!Z:Z,"Rejected",'QA Log'!L:L,"*10. Antenatal Care (ANC)*"),
COUNTIFS('QA Log'!D:D,A404,'QA Log'!M:M,"QQC",'QA Log'!Z:Z,"Rejected",'QA Log'!L:L,"*2. Hygiene and Sterilization*"),
COUNTIFS('QA Log'!D:D,A404,'QA Log'!M:M,"QQC",'QA Log'!Z:Z,"Rejected",'QA Log'!L:L,"*4. Family Planning*")
))</f>
        <v/>
      </c>
      <c r="AC404" s="102" t="str">
        <f t="shared" si="29"/>
        <v/>
      </c>
      <c r="AD404" s="103" t="str">
        <f t="shared" si="30"/>
        <v/>
      </c>
      <c r="AE404" s="102" t="str">
        <f>IF(A404="","",
SUM(
COUNTIFS('QA Log'!D:D,A404,'QA Log'!M:M,"Data Verification",'QA Log'!L:L,"*Medicine (section 2)*"),
COUNTIFS('QA Log'!D:D,A404,'QA Log'!M:M,"Data Verification",'QA Log'!L:L,"*Lab Testing Availability*"),
COUNTIFS('QA Log'!D:D,A404,'QA Log'!M:M,"Data Verification",'QA Log'!L:L,"*Other than P4P (section 6)*"),
COUNTIFS('QA Log'!D:D,A404,'QA Log'!M:M,"Data Verification",'QA Log'!L:L,"*Hospital Governance*")
))</f>
        <v/>
      </c>
      <c r="AF404" s="102" t="str">
        <f>IF(A404="","",
SUM(
COUNTIFS('QA Log'!D:D,A404,'QA Log'!M:M,"Data Verification",'QA Log'!Z:Z,"Approved",'QA Log'!L:L,"*Medicine (section 2)*"),
COUNTIFS('QA Log'!D:D,A404,'QA Log'!M:M,"Data Verification",'QA Log'!Z:Z,"Approved",'QA Log'!L:L,"*Lab Testing Availability*"),
COUNTIFS('QA Log'!D:D,A404,'QA Log'!M:M,"Data Verification",'QA Log'!Z:Z,"Approved",'QA Log'!L:L,"*Other than P4P (section 6)*"),
COUNTIFS('QA Log'!D:D,A404,'QA Log'!M:M,"Data Verification",'QA Log'!Z:Z,"Approved",'QA Log'!L:L,"*Hospital Governance*")
))</f>
        <v/>
      </c>
      <c r="AG404" s="105" t="str">
        <f>IF(A404&lt;&gt;"",COUNTIFS('QA Log'!D:D,A404,'QA Log'!M:M,"Data Verification",'QA Log'!L:L,"Medicine (section 2)",'QA Log'!Z:Z,"Approved"),"")</f>
        <v/>
      </c>
      <c r="AH404" s="105" t="str">
        <f>IF(A404&lt;&gt;"",COUNTIFS('QA Log'!D:D,A404,'QA Log'!M:M,"Data Verification",'QA Log'!L:L,"Lab Testing Availability",'QA Log'!Z:Z,"Approved"),"")</f>
        <v/>
      </c>
      <c r="AI404" s="105" t="str">
        <f>IF(A404&lt;&gt;"",COUNTIFS('QA Log'!D:D,A404,'QA Log'!M:M,"Data Verification",'QA Log'!L:L,"Other than P4P (section 6)",'QA Log'!Z:Z,"Approved"),"")</f>
        <v/>
      </c>
      <c r="AJ404" s="105" t="str">
        <f>IF(A404&lt;&gt;"",COUNTIFS('QA Log'!D:D,A404,'QA Log'!M:M,"Data Verification",'QA Log'!L:L,"Hospital Governance",'QA Log'!Z:Z,"Approved"),"")</f>
        <v/>
      </c>
      <c r="AK404" s="102" t="str">
        <f>IF(A404="","",
SUM(
COUNTIFS('QA Log'!D:D,A404,'QA Log'!M:M,"Data Verification",'QA Log'!Z:Z,"Rejected",'QA Log'!L:L,"*Medicine (section 2)*"),
COUNTIFS('QA Log'!D:D,A404,'QA Log'!M:M,"Data Verification",'QA Log'!Z:Z,"Rejected",'QA Log'!L:L,"*Lab Testing Availability*"),
COUNTIFS('QA Log'!D:D,A404,'QA Log'!M:M,"Data Verification",'QA Log'!Z:Z,"Rejected",'QA Log'!L:L,"*Other than P4P (section 6)*"),
COUNTIFS('QA Log'!D:D,A404,'QA Log'!M:M,"Data Verification",'QA Log'!Z:Z,"Rejected",'QA Log'!L:L,"*Hospital Governance*")
))</f>
        <v/>
      </c>
      <c r="AL404" s="106" t="str">
        <f t="shared" si="31"/>
        <v/>
      </c>
      <c r="AM404" s="102" t="str">
        <f t="shared" si="32"/>
        <v/>
      </c>
      <c r="AN404" s="102" t="str">
        <f>IF(A404="","",
SUM(
COUNTIFS('QA Log'!D:D,A404,'QA Log'!M:M,"Data Verification",'QA Log'!L:L,"*Personnel (section 1)*"),
COUNTIFS('QA Log'!D:D,A404,'QA Log'!M:M,"Data Verification",'QA Log'!L:L,"*Consumable (section 3)*"),
COUNTIFS('QA Log'!D:D,A404,'QA Log'!M:M,"Data Verification",'QA Log'!L:L,"*Equipments (section 4)*")
))</f>
        <v/>
      </c>
      <c r="AO404" s="102" t="str">
        <f>IF(A404="","",
SUM(
COUNTIFS('QA Log'!D:D,A404,'QA Log'!M:M,"Data Verification",'QA Log'!Z:Z,"Approved",'QA Log'!L:L,"*Personnel (section 1)*"),
COUNTIFS('QA Log'!D:D,A404,'QA Log'!M:M,"Data Verification",'QA Log'!Z:Z,"Approved",'QA Log'!L:L,"*Consumable (section 3)*"),
COUNTIFS('QA Log'!D:D,A404,'QA Log'!M:M,"Data Verification",'QA Log'!Z:Z,"Approved",'QA Log'!L:L,"*Equipments (section 4)*")
))</f>
        <v/>
      </c>
      <c r="AP404" s="105" t="str">
        <f>IF(A404&lt;&gt;"",COUNTIFS('QA Log'!D:D,A404,'QA Log'!M:M,"Data Verification",'QA Log'!L:L,"Personnel (section 1)",'QA Log'!Z:Z,"Approved"),"")</f>
        <v/>
      </c>
      <c r="AQ404" s="105" t="str">
        <f>IF(A404&lt;&gt;"",COUNTIFS('QA Log'!D:D,A404,'QA Log'!M:M,"Data Verification",'QA Log'!L:L,"Consumable (section 3)",'QA Log'!Z:Z,"Approved"),"")</f>
        <v/>
      </c>
      <c r="AR404" s="105" t="str">
        <f>IF(A404&lt;&gt;"",COUNTIFS('QA Log'!D:D,A404,'QA Log'!M:M,"Data Verification",'QA Log'!L:L,"Equipments (section 4)",'QA Log'!Z:Z,"Approved"),"")</f>
        <v/>
      </c>
      <c r="AS404" s="102" t="str">
        <f>IF(A404="","",
SUM(
COUNTIFS('QA Log'!D:D,A404,'QA Log'!M:M,"Data Verification",'QA Log'!Z:Z,"Rejected",'QA Log'!L:L,"*Personnel (section 1)*"),
COUNTIFS('QA Log'!D:D,A404,'QA Log'!M:M,"Data Verification",'QA Log'!Z:Z,"Rejected",'QA Log'!L:L,"*Consumable (section 3)*"),
COUNTIFS('QA Log'!D:D,A404,'QA Log'!M:M,"Data Verification",'QA Log'!Z:Z,"Rejected",'QA Log'!L:L,"*Equipments (section 4)*")
))</f>
        <v/>
      </c>
      <c r="AT404" s="102" t="str">
        <f t="shared" si="33"/>
        <v/>
      </c>
      <c r="AU404" s="103" t="str">
        <f t="shared" si="34"/>
        <v/>
      </c>
      <c r="AV404" s="102" t="str">
        <f>IF(A404="","",SUM(
COUNTIFS('QA Log'!D:D,A404,'QA Log'!M:M,"Vignette",'QA Log'!L:L,"*Vignette [1] Respiratory Infection: Pneumonia*"),
COUNTIFS('QA Log'!D:D,A404,'QA Log'!M:M,"Vignette",'QA Log'!L:L,"*Vignette [2]: Diarrhea with Cat B dehydration*"),
COUNTIFS('QA Log'!D:D,A404,'QA Log'!M:M,"Vignette",'QA Log'!L:L,"*Vignette [3] Growth Monitoring and Promotion*"),
COUNTIFS('QA Log'!D:D,A404,'QA Log'!M:M,"Vignette",'QA Log'!L:L,"*Vignette [4]: The management of presumptive TB patient*")
)
)</f>
        <v/>
      </c>
      <c r="AW404" s="102" t="str">
        <f>IF(
  A404="","",
  SUM(
    COUNTIFS('QA Log'!D:D,A404,'QA Log'!M:M,"Vignette",'QA Log'!Z:Z,"Approved",'QA Log'!L:L,"*Vignette [1] Respiratory Infection: Pneumonia*"),
    COUNTIFS('QA Log'!D:D,A404,'QA Log'!M:M,"Vignette",'QA Log'!Z:Z,"Approved",'QA Log'!L:L,"*Vignette [2]: Diarrhea with Cat B dehydration*"),
    COUNTIFS('QA Log'!D:D,A404,'QA Log'!M:M,"Vignette",'QA Log'!Z:Z,"Approved",'QA Log'!L:L,"*Vignette [3] Growth Monitoring and Promotion*"),
    COUNTIFS('QA Log'!D:D,A404,'QA Log'!M:M,"Vignette",'QA Log'!Z:Z,"Approved",'QA Log'!L:L,"*Vignette [4]: The management of presumptive TB patient*")
  )
)</f>
        <v/>
      </c>
      <c r="AX404" s="105" t="str">
        <f>IF(A404&lt;&gt;"",COUNTIFS('QA Log'!D:D,A404,'QA Log'!M:M,"Vignette",'QA Log'!L:L,"Vignette [1] Respiratory Infection: Pneumonia",'QA Log'!Z:Z,"Approved"),"")</f>
        <v/>
      </c>
      <c r="AY404" s="105" t="str">
        <f>IF(A404&lt;&gt;"",COUNTIFS('QA Log'!D:D,A404,'QA Log'!M:M,"Vignette",'QA Log'!L:L,"Vignette [2]: Diarrhea with Cat B dehydration",'QA Log'!Z:Z,"Approved"),"")</f>
        <v/>
      </c>
      <c r="AZ404" s="105" t="str">
        <f>IF(A404&lt;&gt;"",COUNTIFS('QA Log'!D:D,A404,'QA Log'!M:M,"Vignette",'QA Log'!L:L,"Vignette [3] Growth Monitoring and Promotion",'QA Log'!Z:Z,"Approved"),"")</f>
        <v/>
      </c>
      <c r="BA404" s="105" t="str">
        <f>IF(A404&lt;&gt;"",COUNTIFS('QA Log'!D:D,A404,'QA Log'!M:M,"Vignette",'QA Log'!L:L,"Vignette [4]: The management of presumptive TB patient",'QA Log'!Z:Z,"Approved"),"")</f>
        <v/>
      </c>
      <c r="BB404" s="102" t="str">
        <f>IF(A404="","",
  SUM(
    COUNTIFS('QA Log'!D:D,A404,'QA Log'!M:M,"Vignette",'QA Log'!Z:Z,"Rejected",'QA Log'!L:L,"*Vignette [1] Respiratory Infection: Pneumonia*"),
    COUNTIFS('QA Log'!D:D,A404,'QA Log'!M:M,"Vignette",'QA Log'!Z:Z,"Rejected",'QA Log'!L:L,"*Vignette [2]: Diarrhea with Cat B dehydration*"),
    COUNTIFS('QA Log'!D:D,A404,'QA Log'!M:M,"Vignette",'QA Log'!Z:Z,"Rejected",'QA Log'!L:L,"*Vignette [3] Growth Monitoring and Promotion*"),
    COUNTIFS('QA Log'!D:D,A404,'QA Log'!M:M,"Vignette",'QA Log'!Z:Z,"Rejected",'QA Log'!L:L,"*Vignette [4]: The management of presumptive TB patient*")
  )
)</f>
        <v/>
      </c>
      <c r="BC404" s="107" t="str">
        <f t="shared" si="35"/>
        <v/>
      </c>
      <c r="BD404" s="103" t="str">
        <f t="shared" si="36"/>
        <v/>
      </c>
      <c r="BE404" s="102" t="str">
        <f>IF(A404="","",SUM(
COUNTIFS('QA Log'!D:D,A404,'QA Log'!M:M,"Vignette",'QA Log'!L:L,"*Vignette [5] Labor*"),
COUNTIFS('QA Log'!D:D,A404,'QA Log'!M:M,"Vignette",'QA Log'!L:L,"*Vignette [6] PNC pre Discharge*"),
COUNTIFS('QA Log'!D:D,A404,'QA Log'!M:M,"Vignette",'QA Log'!L:L,"*Vignette [7] First ANC Visit*"),
COUNTIFS('QA Log'!D:D,A404,'QA Log'!M:M,"Vignette",'QA Log'!L:L,"*Vignette [8] Birth Spacing/ Family Planning :  FP Counselling*"),
COUNTIFS('QA Log'!D:D,A404,'QA Log'!M:M,"Vignette",'QA Log'!L:L,"*Vignette [9] Birth Spacing: Change FP method to Injectable*"),
COUNTIFS('QA Log'!D:D,A404,'QA Log'!M:M,"Vignette",'QA Log'!L:L,"*Vignette [10] Post Partum Haemorrhage - Atonic Uterus at Health Centre*"),
)
)</f>
        <v/>
      </c>
      <c r="BF404" s="102" t="str">
        <f>IF(A404="","",
  SUM(
    COUNTIFS('QA Log'!D:D,A404,'QA Log'!M:M,"Vignette",'QA Log'!Z:Z,"Approved",'QA Log'!L:L,"*Vignette [5] Labor*"),
    COUNTIFS('QA Log'!D:D,A404,'QA Log'!M:M,"Vignette",'QA Log'!Z:Z,"Approved",'QA Log'!L:L,"*Vignette [6] PNC pre Discharge*"),
    COUNTIFS('QA Log'!D:D,A404,'QA Log'!M:M,"Vignette",'QA Log'!Z:Z,"Approved",'QA Log'!L:L,"*Vignette [7] First ANC Visit*"),
    COUNTIFS('QA Log'!D:D,A404,'QA Log'!M:M,"Vignette",'QA Log'!Z:Z,"Approved",'QA Log'!L:L,"*Vignette [8] Birth Spacing/ Family Planning :  FP Counselling*"),
    COUNTIFS('QA Log'!D:D,A404,'QA Log'!M:M,"Vignette",'QA Log'!Z:Z,"Approved",'QA Log'!L:L,"*Vignette [9] Birth Spacing: Change FP method to Injectable*"),
    COUNTIFS('QA Log'!D:D,A404,'QA Log'!M:M,"Vignette",'QA Log'!Z:Z,"Approved",'QA Log'!L:L,"*Vignette [10] Post Partum Haemorrhage - Atonic Uterus at Health Centre*")
  )
)</f>
        <v/>
      </c>
      <c r="BG404" s="105" t="str">
        <f>IF(A404&lt;&gt;"",COUNTIFS('QA Log'!D:D,A404,'QA Log'!M:M,"Vignette",'QA Log'!L:L,"Vignette [5] Labor",'QA Log'!Z:Z,"Approved"),"")</f>
        <v/>
      </c>
      <c r="BH404" s="105" t="str">
        <f>IF(A404&lt;&gt;"",COUNTIFS('QA Log'!D:D,A404,'QA Log'!M:M,"Vignette",'QA Log'!L:L,"Vignette [6] PNC pre Discharge",'QA Log'!Z:Z,"Approved"),"")</f>
        <v/>
      </c>
      <c r="BI404" s="105" t="str">
        <f>IF(A404&lt;&gt;"",COUNTIFS('QA Log'!D:D,A404,'QA Log'!M:M,"Vignette",'QA Log'!L:L,"Vignette [7] First ANC Visit",'QA Log'!Z:Z,"Approved"),"")</f>
        <v/>
      </c>
      <c r="BJ404" s="105" t="str">
        <f>IF(A404&lt;&gt;"",COUNTIFS('QA Log'!D:D,A404,'QA Log'!M:M,"Vignette",'QA Log'!L:L,"Vignette [8] Birth Spacing/ Family Planning :  FP Counselling",'QA Log'!Z:Z,"Approved"),"")</f>
        <v/>
      </c>
      <c r="BK404" s="105" t="str">
        <f>IF(A404&lt;&gt;"",COUNTIFS('QA Log'!D:D,A404,'QA Log'!M:M,"Vignette",'QA Log'!L:L,"Vignette [9] Birth Spacing: Change FP method to Injectable",'QA Log'!Z:Z,"Approved"),"")</f>
        <v/>
      </c>
      <c r="BL404" s="105" t="str">
        <f>IF(A404&lt;&gt;"",COUNTIFS('QA Log'!D:D,A404,'QA Log'!M:M,"Vignette",'QA Log'!L:L,"Vignette [10] Post Partum Haemorrhage - Atonic Uterus at Health Centre",'QA Log'!Z:Z,"Approved"),"")</f>
        <v/>
      </c>
      <c r="BM404" s="102" t="str">
        <f>IF(A404="","",SUM(
    COUNTIFS('QA Log'!D:D,A404,'QA Log'!M:M,"Vignette",'QA Log'!Z:Z,"Rejected",'QA Log'!L:L,"*Vignette [5] Labor*"),
    COUNTIFS('QA Log'!D:D,A404,'QA Log'!M:M,"Vignette",'QA Log'!Z:Z,"Rejected",'QA Log'!L:L,"*Vignette [6] PNC pre Discharge*"),
    COUNTIFS('QA Log'!D:D,A404,'QA Log'!M:M,"Vignette",'QA Log'!Z:Z,"Rejected",'QA Log'!L:L,"*Vignette [7] First ANC Visit*"),
    COUNTIFS('QA Log'!D:D,A404,'QA Log'!M:M,"Vignette",'QA Log'!Z:Z,"Rejected",'QA Log'!L:L,"*Vignette [8] Birth Spacing/ Family Planning :  FP Counselling*"),
    COUNTIFS('QA Log'!D:D,A404,'QA Log'!M:M,"Vignette",'QA Log'!Z:Z,"Rejected",'QA Log'!L:L,"*Vignette [9] Birth Spacing: Change FP method to Injectable*"),
    COUNTIFS('QA Log'!D:D,A404,'QA Log'!M:M,"Vignette",'QA Log'!Z:Z,"Rejected",'QA Log'!L:L,"*Vignette [10] Post Partum Haemorrhage - Atonic Uterus at Health Centre*")
  )
)</f>
        <v/>
      </c>
      <c r="BN404" s="107" t="str">
        <f t="shared" si="37"/>
        <v/>
      </c>
      <c r="BO404" s="103" t="str">
        <f t="shared" si="38"/>
        <v/>
      </c>
      <c r="BP404" s="102" t="str">
        <f>IF(A404="","",SUM(
COUNTIFS('QA Log'!D:D,A404,'QA Log'!M:M,"Vignette",'QA Log'!L:L,"*Exit Interview 1*"),
COUNTIFS('QA Log'!D:D,A404,'QA Log'!M:M,"Vignette",'QA Log'!L:L,"*Exit Interview 2*"),
)
)</f>
        <v/>
      </c>
      <c r="BQ404" s="102" t="str">
        <f>IF(
  A404="","",
  SUM(
    COUNTIFS('QA Log'!D:D,A404,'QA Log'!M:M,"Vignette",'QA Log'!Z:Z,"Approved",'QA Log'!L:L,"*Exit Interview 1*"),
    COUNTIFS('QA Log'!D:D,A404,'QA Log'!M:M,"Vignette",'QA Log'!Z:Z,"Approved",'QA Log'!L:L,"*Exit Interview 2*")
  )
)</f>
        <v/>
      </c>
      <c r="BR404" s="105" t="str">
        <f>IF(A404&lt;&gt;"",COUNTIFS('QA Log'!D:D,A404,'QA Log'!M:M,"Vignette",'QA Log'!L:L,"Exit Interview 1",'QA Log'!Z:Z,"Approved"),"")</f>
        <v/>
      </c>
      <c r="BS404" s="105" t="str">
        <f>IF(A404&lt;&gt;"",COUNTIFS('QA Log'!D:D,A404,'QA Log'!M:M,"Vignette",'QA Log'!L:L,"Exit Interview 2",'QA Log'!Z:Z,"Approved"),"")</f>
        <v/>
      </c>
      <c r="BT404" s="102" t="str">
        <f>IF(
  A404="","",
  SUM(
    COUNTIFS('QA Log'!D:D,A404,'QA Log'!M:M,"Vignette",'QA Log'!Z:Z,"Rejected",'QA Log'!L:L,"*Exit Interview 1*"),
    COUNTIFS('QA Log'!D:D,A404,'QA Log'!M:M,"Vignette",'QA Log'!Z:Z,"Rejected",'QA Log'!L:L,"*Exit Interview 2*")
  )
)</f>
        <v/>
      </c>
      <c r="BU404" s="107" t="str">
        <f t="shared" si="39"/>
        <v/>
      </c>
      <c r="BV404" s="102" t="str">
        <f t="shared" si="40"/>
        <v/>
      </c>
      <c r="BW404" s="102" t="str">
        <f t="shared" si="41"/>
        <v/>
      </c>
      <c r="BX404" s="102" t="str">
        <f t="shared" si="42"/>
        <v/>
      </c>
      <c r="BY404" s="102" t="str">
        <f t="shared" si="43"/>
        <v/>
      </c>
      <c r="BZ404" s="107" t="str">
        <f t="shared" si="44"/>
        <v/>
      </c>
      <c r="CA404" s="108" t="str">
        <f t="shared" si="45"/>
        <v/>
      </c>
      <c r="CB404" s="108" t="str">
        <f t="shared" si="46"/>
        <v/>
      </c>
      <c r="CC404" s="109" t="str">
        <f t="shared" si="47"/>
        <v/>
      </c>
      <c r="CD404" s="108" t="str">
        <f t="shared" si="48"/>
        <v/>
      </c>
      <c r="CE404" s="108" t="str">
        <f t="shared" si="49"/>
        <v/>
      </c>
      <c r="CF404" s="109" t="str">
        <f t="shared" si="50"/>
        <v/>
      </c>
      <c r="CG404" s="110" t="str">
        <f t="shared" si="51"/>
        <v/>
      </c>
      <c r="CH404" s="111"/>
    </row>
    <row r="405" spans="1:86" ht="12.75">
      <c r="A405" s="101"/>
      <c r="B405" s="102" t="e">
        <f t="array" aca="1" ref="B405" ca="1">_xludf.XLOOKUP(A405,'QA Log'!D:D,'QA Log'!E:E,"")</f>
        <v>#NAME?</v>
      </c>
      <c r="C405" s="102" t="e">
        <f t="array" aca="1" ref="C405" ca="1">_xludf.XLOOKUP(A405,'QA Log'!D:D,'QA Log'!F:F,"")</f>
        <v>#NAME?</v>
      </c>
      <c r="D405" s="102" t="e">
        <f t="array" aca="1" ref="D405" ca="1">_xludf.XLOOKUP(A405,'QA Log'!D:D,'QA Log'!H:H,"")</f>
        <v>#NAME?</v>
      </c>
      <c r="E405" s="102" t="e">
        <f t="array" aca="1" ref="E405" ca="1">_xludf.XLOOKUP(A405,'QA Log'!D:D,'QA Log'!G:G,"")</f>
        <v>#NAME?</v>
      </c>
      <c r="F405" s="103"/>
      <c r="G405" s="104"/>
      <c r="H405" s="104"/>
      <c r="I405" s="103" t="str">
        <f t="shared" si="26"/>
        <v/>
      </c>
      <c r="J405" s="102" t="str">
        <f>IF(A405="","",SUM(
COUNTIFS('QA Log'!D:D,A405,'QA Log'!M:M,"QQC",'QA Log'!L:L,"*1. General Management*"),
COUNTIFS('QA Log'!D:D,A405,'QA Log'!M:M,"QQC",'QA Log'!L:L,"*3. Curative Consultation (OPD)*"),
COUNTIFS('QA Log'!D:D,A405,'QA Log'!M:M,"QQC",'QA Log'!L:L,"*5. Laboratory*"),
COUNTIFS('QA Log'!D:D,A405,'QA Log'!M:M,"QQC",'QA Log'!L:L,"*6. Essential Medicine Management*"),
COUNTIFS('QA Log'!D:D,A405,'QA Log'!M:M,"QQC",'QA Log'!L:L,"*7. Tracer Medicine*"),
COUNTIFS('QA Log'!D:D,A405,'QA Log'!M:M,"QQC",'QA Log'!L:L,"*11. Additional Questions*")))</f>
        <v/>
      </c>
      <c r="K405" s="102" t="str">
        <f>IF(A405="","",SUM(
COUNTIFS('QA Log'!D:D,A405,'QA Log'!M:M,"QQC",'QA Log'!Z:Z,"Approved",'QA Log'!L:L,"*1. General Management*"),
COUNTIFS('QA Log'!D:D,A405,'QA Log'!M:M,"QQC",'QA Log'!Z:Z,"Approved",'QA Log'!L:L,"*3. Curative Consultation (OPD)*"),
COUNTIFS('QA Log'!D:D,A405,'QA Log'!M:M,"QQC",'QA Log'!Z:Z,"Approved",'QA Log'!L:L,"*5. Laboratory*"),
COUNTIFS('QA Log'!D:D,A405,'QA Log'!M:M,"QQC",'QA Log'!Z:Z,"Approved",'QA Log'!L:L,"*6. Essential Medicine Management*"),
COUNTIFS('QA Log'!D:D,A405,'QA Log'!M:M,"QQC",'QA Log'!Z:Z,"Approved",'QA Log'!L:L,"*7. Tracer Medicine*"),
COUNTIFS('QA Log'!D:D,A405,'QA Log'!M:M,"QQC",'QA Log'!Z:Z,"Approved",'QA Log'!L:L,"*11. Additional Questions*")))</f>
        <v/>
      </c>
      <c r="L405" s="102" t="str">
        <f>IF(A405&lt;&gt;"",COUNTIFS('QA Log'!D:D,A405,'QA Log'!M:M,"QQC",'QA Log'!L:L,"1. General Management",'QA Log'!Z:Z,"Approved"),"")</f>
        <v/>
      </c>
      <c r="M405" s="102" t="str">
        <f>IF(A405&lt;&gt;"",COUNTIFS('QA Log'!D:D,A405,'QA Log'!M:M,"QQC",'QA Log'!L:L,"3. Curative Consultation (OPD)",'QA Log'!Z:Z,"Approved"),"")</f>
        <v/>
      </c>
      <c r="N405" s="102" t="str">
        <f>IF(A405&lt;&gt;"",COUNTIFS('QA Log'!D:D,A405,'QA Log'!M:M,"QQC",'QA Log'!L:L,"5. Laboratory",'QA Log'!Z:Z,"Approved"),"")</f>
        <v/>
      </c>
      <c r="O405" s="102" t="str">
        <f>IF(A405&lt;&gt;"",COUNTIFS('QA Log'!D:D,A405,'QA Log'!M:M,"QQC",'QA Log'!L:L,"6. Essential Medicine Management",'QA Log'!Z:Z,"Approved"),"")</f>
        <v/>
      </c>
      <c r="P405" s="102" t="str">
        <f>IF(A405&lt;&gt;"",COUNTIFS('QA Log'!D:D,A405,'QA Log'!M:M,"QQC",'QA Log'!L:L,"7. Tracer Medicine",'QA Log'!Z:Z,"Approved"),"")</f>
        <v/>
      </c>
      <c r="Q405" s="102" t="str">
        <f>IF(A405&lt;&gt;"",COUNTIFS('QA Log'!D:D,A405,'QA Log'!M:M,"QQC",'QA Log'!L:L,"11. Additional Questions",'QA Log'!Z:Z,"Approved"),"")</f>
        <v/>
      </c>
      <c r="R405" s="102" t="str">
        <f>IF(A405="","",SUM(
COUNTIFS('QA Log'!D:D,A405,'QA Log'!M:M,"QQC",'QA Log'!Z:Z,"Rejected",'QA Log'!L:L,"*8. Maternity*"),
COUNTIFS('QA Log'!D:D,A405,'QA Log'!M:M,"QQC",'QA Log'!Z:Z,"Rejected",'QA Log'!L:L,"*EPI*"),
COUNTIFS('QA Log'!D:D,A405,'QA Log'!M:M,"QQC",'QA Log'!Z:Z,"Rejected",'QA Log'!L:L,"*10. Antenatal Care (ANC)*"),
COUNTIFS('QA Log'!D:D,A405,'QA Log'!M:M,"QQC",'QA Log'!Z:Z,"Rejected",'QA Log'!L:L,"*2. Hygiene and Sterilization*"),
COUNTIFS('QA Log'!D:D,A405,'QA Log'!M:M,"QQC",'QA Log'!Z:Z,"Rejected",'QA Log'!L:L,"*Family Planning*")))</f>
        <v/>
      </c>
      <c r="S405" s="106" t="str">
        <f t="shared" si="27"/>
        <v/>
      </c>
      <c r="T405" s="102" t="str">
        <f t="shared" si="28"/>
        <v/>
      </c>
      <c r="U405" s="102" t="str">
        <f>IF(A405="","",
SUM(
COUNTIFS('QA Log'!D:D,A405,'QA Log'!M:M,"QQC",'QA Log'!L:L,"*8. Maternity*"),
COUNTIFS('QA Log'!D:D,A405,'QA Log'!M:M,"QQC",'QA Log'!L:L,"*9. EPI and Pre-school Consultation*"),
COUNTIFS('QA Log'!D:D,A405,'QA Log'!M:M,"QQC",'QA Log'!L:L,"*10. Antenatal Care (ANC)*"),
COUNTIFS('QA Log'!D:D,A405,'QA Log'!M:M,"QQC",'QA Log'!L:L,"*2. Hygiene and Sterilization*"),
COUNTIFS('QA Log'!D:D,A405,'QA Log'!M:M,"QQC",'QA Log'!L:L,"*4. Family Planning*")
))</f>
        <v/>
      </c>
      <c r="V405" s="102" t="str">
        <f>IF(A405="","",
SUM(
COUNTIFS('QA Log'!D:D,A405,'QA Log'!M:M,"QQC",'QA Log'!Z:Z,"Approved",'QA Log'!L:L,"*8. Maternity*"),
COUNTIFS('QA Log'!D:D,A405,'QA Log'!M:M,"QQC",'QA Log'!Z:Z,"Approved",'QA Log'!L:L,"*9. EPI and Pre-school Consultation*"),
COUNTIFS('QA Log'!D:D,A405,'QA Log'!M:M,"QQC",'QA Log'!Z:Z,"Approved",'QA Log'!L:L,"*10. Antenatal Care (ANC)*"),
COUNTIFS('QA Log'!D:D,A405,'QA Log'!M:M,"QQC",'QA Log'!Z:Z,"Approved",'QA Log'!L:L,"*2. Hygiene and Sterilization*"),
COUNTIFS('QA Log'!D:D,A405,'QA Log'!M:M,"QQC",'QA Log'!Z:Z,"Approved",'QA Log'!L:L,"*4. Family Planning*")
))</f>
        <v/>
      </c>
      <c r="W405" s="102" t="str">
        <f>IF(A405&lt;&gt;"",COUNTIFS('QA Log'!D:D,A405,'QA Log'!M:M,"QQC",'QA Log'!L:L,"8. Maternity",'QA Log'!Z:Z,"Approved"),"")</f>
        <v/>
      </c>
      <c r="X405" s="105" t="str">
        <f>IF(A405&lt;&gt;"",COUNTIFS('QA Log'!D:D,A405,'QA Log'!M:M,"QQC",'QA Log'!L:L,"9. EPI and Pre-school Consultation",'QA Log'!Z:Z,"Approved"),"")</f>
        <v/>
      </c>
      <c r="Y405" s="102" t="str">
        <f>IF(A405&lt;&gt;"",COUNTIFS('QA Log'!D:D,A405,'QA Log'!M:M,"QQC",'QA Log'!L:L,"10. Antenatal Care (ANC)",'QA Log'!Z:Z,"Approved"),"")</f>
        <v/>
      </c>
      <c r="Z405" s="102" t="str">
        <f>IF(A405&lt;&gt;"",COUNTIFS('QA Log'!D:D,A405,'QA Log'!M:M,"QQC",'QA Log'!L:L,"2. Hygiene and Sterilization",'QA Log'!Z:Z,"Approved"),"")</f>
        <v/>
      </c>
      <c r="AA405" s="105" t="str">
        <f>IF(A405&lt;&gt;"",COUNTIFS('QA Log'!D:D,A405,'QA Log'!M:M,"QQC",'QA Log'!L:L,"4. Family Planning",'QA Log'!Z:Z,"Approved"),"")</f>
        <v/>
      </c>
      <c r="AB405" s="102" t="str">
        <f>IF(A405="","",
SUM(
COUNTIFS('QA Log'!D:D,A405,'QA Log'!M:M,"QQC",'QA Log'!Z:Z,"Rejected",'QA Log'!L:L,"*8. Maternity*"),
COUNTIFS('QA Log'!D:D,A405,'QA Log'!M:M,"QQC",'QA Log'!Z:Z,"Rejected",'QA Log'!L:L,"*9. EPI and Pre-school Consultation*"),
COUNTIFS('QA Log'!D:D,A405,'QA Log'!M:M,"QQC",'QA Log'!Z:Z,"Rejected",'QA Log'!L:L,"*10. Antenatal Care (ANC)*"),
COUNTIFS('QA Log'!D:D,A405,'QA Log'!M:M,"QQC",'QA Log'!Z:Z,"Rejected",'QA Log'!L:L,"*2. Hygiene and Sterilization*"),
COUNTIFS('QA Log'!D:D,A405,'QA Log'!M:M,"QQC",'QA Log'!Z:Z,"Rejected",'QA Log'!L:L,"*4. Family Planning*")
))</f>
        <v/>
      </c>
      <c r="AC405" s="102" t="str">
        <f t="shared" si="29"/>
        <v/>
      </c>
      <c r="AD405" s="103" t="str">
        <f t="shared" si="30"/>
        <v/>
      </c>
      <c r="AE405" s="102" t="str">
        <f>IF(A405="","",
SUM(
COUNTIFS('QA Log'!D:D,A405,'QA Log'!M:M,"Data Verification",'QA Log'!L:L,"*Medicine (section 2)*"),
COUNTIFS('QA Log'!D:D,A405,'QA Log'!M:M,"Data Verification",'QA Log'!L:L,"*Lab Testing Availability*"),
COUNTIFS('QA Log'!D:D,A405,'QA Log'!M:M,"Data Verification",'QA Log'!L:L,"*Other than P4P (section 6)*"),
COUNTIFS('QA Log'!D:D,A405,'QA Log'!M:M,"Data Verification",'QA Log'!L:L,"*Hospital Governance*")
))</f>
        <v/>
      </c>
      <c r="AF405" s="102" t="str">
        <f>IF(A405="","",
SUM(
COUNTIFS('QA Log'!D:D,A405,'QA Log'!M:M,"Data Verification",'QA Log'!Z:Z,"Approved",'QA Log'!L:L,"*Medicine (section 2)*"),
COUNTIFS('QA Log'!D:D,A405,'QA Log'!M:M,"Data Verification",'QA Log'!Z:Z,"Approved",'QA Log'!L:L,"*Lab Testing Availability*"),
COUNTIFS('QA Log'!D:D,A405,'QA Log'!M:M,"Data Verification",'QA Log'!Z:Z,"Approved",'QA Log'!L:L,"*Other than P4P (section 6)*"),
COUNTIFS('QA Log'!D:D,A405,'QA Log'!M:M,"Data Verification",'QA Log'!Z:Z,"Approved",'QA Log'!L:L,"*Hospital Governance*")
))</f>
        <v/>
      </c>
      <c r="AG405" s="105" t="str">
        <f>IF(A405&lt;&gt;"",COUNTIFS('QA Log'!D:D,A405,'QA Log'!M:M,"Data Verification",'QA Log'!L:L,"Medicine (section 2)",'QA Log'!Z:Z,"Approved"),"")</f>
        <v/>
      </c>
      <c r="AH405" s="105" t="str">
        <f>IF(A405&lt;&gt;"",COUNTIFS('QA Log'!D:D,A405,'QA Log'!M:M,"Data Verification",'QA Log'!L:L,"Lab Testing Availability",'QA Log'!Z:Z,"Approved"),"")</f>
        <v/>
      </c>
      <c r="AI405" s="105" t="str">
        <f>IF(A405&lt;&gt;"",COUNTIFS('QA Log'!D:D,A405,'QA Log'!M:M,"Data Verification",'QA Log'!L:L,"Other than P4P (section 6)",'QA Log'!Z:Z,"Approved"),"")</f>
        <v/>
      </c>
      <c r="AJ405" s="105" t="str">
        <f>IF(A405&lt;&gt;"",COUNTIFS('QA Log'!D:D,A405,'QA Log'!M:M,"Data Verification",'QA Log'!L:L,"Hospital Governance",'QA Log'!Z:Z,"Approved"),"")</f>
        <v/>
      </c>
      <c r="AK405" s="102" t="str">
        <f>IF(A405="","",
SUM(
COUNTIFS('QA Log'!D:D,A405,'QA Log'!M:M,"Data Verification",'QA Log'!Z:Z,"Rejected",'QA Log'!L:L,"*Medicine (section 2)*"),
COUNTIFS('QA Log'!D:D,A405,'QA Log'!M:M,"Data Verification",'QA Log'!Z:Z,"Rejected",'QA Log'!L:L,"*Lab Testing Availability*"),
COUNTIFS('QA Log'!D:D,A405,'QA Log'!M:M,"Data Verification",'QA Log'!Z:Z,"Rejected",'QA Log'!L:L,"*Other than P4P (section 6)*"),
COUNTIFS('QA Log'!D:D,A405,'QA Log'!M:M,"Data Verification",'QA Log'!Z:Z,"Rejected",'QA Log'!L:L,"*Hospital Governance*")
))</f>
        <v/>
      </c>
      <c r="AL405" s="106" t="str">
        <f t="shared" si="31"/>
        <v/>
      </c>
      <c r="AM405" s="102" t="str">
        <f t="shared" si="32"/>
        <v/>
      </c>
      <c r="AN405" s="102" t="str">
        <f>IF(A405="","",
SUM(
COUNTIFS('QA Log'!D:D,A405,'QA Log'!M:M,"Data Verification",'QA Log'!L:L,"*Personnel (section 1)*"),
COUNTIFS('QA Log'!D:D,A405,'QA Log'!M:M,"Data Verification",'QA Log'!L:L,"*Consumable (section 3)*"),
COUNTIFS('QA Log'!D:D,A405,'QA Log'!M:M,"Data Verification",'QA Log'!L:L,"*Equipments (section 4)*")
))</f>
        <v/>
      </c>
      <c r="AO405" s="102" t="str">
        <f>IF(A405="","",
SUM(
COUNTIFS('QA Log'!D:D,A405,'QA Log'!M:M,"Data Verification",'QA Log'!Z:Z,"Approved",'QA Log'!L:L,"*Personnel (section 1)*"),
COUNTIFS('QA Log'!D:D,A405,'QA Log'!M:M,"Data Verification",'QA Log'!Z:Z,"Approved",'QA Log'!L:L,"*Consumable (section 3)*"),
COUNTIFS('QA Log'!D:D,A405,'QA Log'!M:M,"Data Verification",'QA Log'!Z:Z,"Approved",'QA Log'!L:L,"*Equipments (section 4)*")
))</f>
        <v/>
      </c>
      <c r="AP405" s="105" t="str">
        <f>IF(A405&lt;&gt;"",COUNTIFS('QA Log'!D:D,A405,'QA Log'!M:M,"Data Verification",'QA Log'!L:L,"Personnel (section 1)",'QA Log'!Z:Z,"Approved"),"")</f>
        <v/>
      </c>
      <c r="AQ405" s="105" t="str">
        <f>IF(A405&lt;&gt;"",COUNTIFS('QA Log'!D:D,A405,'QA Log'!M:M,"Data Verification",'QA Log'!L:L,"Consumable (section 3)",'QA Log'!Z:Z,"Approved"),"")</f>
        <v/>
      </c>
      <c r="AR405" s="105" t="str">
        <f>IF(A405&lt;&gt;"",COUNTIFS('QA Log'!D:D,A405,'QA Log'!M:M,"Data Verification",'QA Log'!L:L,"Equipments (section 4)",'QA Log'!Z:Z,"Approved"),"")</f>
        <v/>
      </c>
      <c r="AS405" s="102" t="str">
        <f>IF(A405="","",
SUM(
COUNTIFS('QA Log'!D:D,A405,'QA Log'!M:M,"Data Verification",'QA Log'!Z:Z,"Rejected",'QA Log'!L:L,"*Personnel (section 1)*"),
COUNTIFS('QA Log'!D:D,A405,'QA Log'!M:M,"Data Verification",'QA Log'!Z:Z,"Rejected",'QA Log'!L:L,"*Consumable (section 3)*"),
COUNTIFS('QA Log'!D:D,A405,'QA Log'!M:M,"Data Verification",'QA Log'!Z:Z,"Rejected",'QA Log'!L:L,"*Equipments (section 4)*")
))</f>
        <v/>
      </c>
      <c r="AT405" s="102" t="str">
        <f t="shared" si="33"/>
        <v/>
      </c>
      <c r="AU405" s="103" t="str">
        <f t="shared" si="34"/>
        <v/>
      </c>
      <c r="AV405" s="102" t="str">
        <f>IF(A405="","",SUM(
COUNTIFS('QA Log'!D:D,A405,'QA Log'!M:M,"Vignette",'QA Log'!L:L,"*Vignette [1] Respiratory Infection: Pneumonia*"),
COUNTIFS('QA Log'!D:D,A405,'QA Log'!M:M,"Vignette",'QA Log'!L:L,"*Vignette [2]: Diarrhea with Cat B dehydration*"),
COUNTIFS('QA Log'!D:D,A405,'QA Log'!M:M,"Vignette",'QA Log'!L:L,"*Vignette [3] Growth Monitoring and Promotion*"),
COUNTIFS('QA Log'!D:D,A405,'QA Log'!M:M,"Vignette",'QA Log'!L:L,"*Vignette [4]: The management of presumptive TB patient*")
)
)</f>
        <v/>
      </c>
      <c r="AW405" s="102" t="str">
        <f>IF(
  A405="","",
  SUM(
    COUNTIFS('QA Log'!D:D,A405,'QA Log'!M:M,"Vignette",'QA Log'!Z:Z,"Approved",'QA Log'!L:L,"*Vignette [1] Respiratory Infection: Pneumonia*"),
    COUNTIFS('QA Log'!D:D,A405,'QA Log'!M:M,"Vignette",'QA Log'!Z:Z,"Approved",'QA Log'!L:L,"*Vignette [2]: Diarrhea with Cat B dehydration*"),
    COUNTIFS('QA Log'!D:D,A405,'QA Log'!M:M,"Vignette",'QA Log'!Z:Z,"Approved",'QA Log'!L:L,"*Vignette [3] Growth Monitoring and Promotion*"),
    COUNTIFS('QA Log'!D:D,A405,'QA Log'!M:M,"Vignette",'QA Log'!Z:Z,"Approved",'QA Log'!L:L,"*Vignette [4]: The management of presumptive TB patient*")
  )
)</f>
        <v/>
      </c>
      <c r="AX405" s="105" t="str">
        <f>IF(A405&lt;&gt;"",COUNTIFS('QA Log'!D:D,A405,'QA Log'!M:M,"Vignette",'QA Log'!L:L,"Vignette [1] Respiratory Infection: Pneumonia",'QA Log'!Z:Z,"Approved"),"")</f>
        <v/>
      </c>
      <c r="AY405" s="105" t="str">
        <f>IF(A405&lt;&gt;"",COUNTIFS('QA Log'!D:D,A405,'QA Log'!M:M,"Vignette",'QA Log'!L:L,"Vignette [2]: Diarrhea with Cat B dehydration",'QA Log'!Z:Z,"Approved"),"")</f>
        <v/>
      </c>
      <c r="AZ405" s="105" t="str">
        <f>IF(A405&lt;&gt;"",COUNTIFS('QA Log'!D:D,A405,'QA Log'!M:M,"Vignette",'QA Log'!L:L,"Vignette [3] Growth Monitoring and Promotion",'QA Log'!Z:Z,"Approved"),"")</f>
        <v/>
      </c>
      <c r="BA405" s="105" t="str">
        <f>IF(A405&lt;&gt;"",COUNTIFS('QA Log'!D:D,A405,'QA Log'!M:M,"Vignette",'QA Log'!L:L,"Vignette [4]: The management of presumptive TB patient",'QA Log'!Z:Z,"Approved"),"")</f>
        <v/>
      </c>
      <c r="BB405" s="102" t="str">
        <f>IF(A405="","",
  SUM(
    COUNTIFS('QA Log'!D:D,A405,'QA Log'!M:M,"Vignette",'QA Log'!Z:Z,"Rejected",'QA Log'!L:L,"*Vignette [1] Respiratory Infection: Pneumonia*"),
    COUNTIFS('QA Log'!D:D,A405,'QA Log'!M:M,"Vignette",'QA Log'!Z:Z,"Rejected",'QA Log'!L:L,"*Vignette [2]: Diarrhea with Cat B dehydration*"),
    COUNTIFS('QA Log'!D:D,A405,'QA Log'!M:M,"Vignette",'QA Log'!Z:Z,"Rejected",'QA Log'!L:L,"*Vignette [3] Growth Monitoring and Promotion*"),
    COUNTIFS('QA Log'!D:D,A405,'QA Log'!M:M,"Vignette",'QA Log'!Z:Z,"Rejected",'QA Log'!L:L,"*Vignette [4]: The management of presumptive TB patient*")
  )
)</f>
        <v/>
      </c>
      <c r="BC405" s="107" t="str">
        <f t="shared" si="35"/>
        <v/>
      </c>
      <c r="BD405" s="103" t="str">
        <f t="shared" si="36"/>
        <v/>
      </c>
      <c r="BE405" s="102" t="str">
        <f>IF(A405="","",SUM(
COUNTIFS('QA Log'!D:D,A405,'QA Log'!M:M,"Vignette",'QA Log'!L:L,"*Vignette [5] Labor*"),
COUNTIFS('QA Log'!D:D,A405,'QA Log'!M:M,"Vignette",'QA Log'!L:L,"*Vignette [6] PNC pre Discharge*"),
COUNTIFS('QA Log'!D:D,A405,'QA Log'!M:M,"Vignette",'QA Log'!L:L,"*Vignette [7] First ANC Visit*"),
COUNTIFS('QA Log'!D:D,A405,'QA Log'!M:M,"Vignette",'QA Log'!L:L,"*Vignette [8] Birth Spacing/ Family Planning :  FP Counselling*"),
COUNTIFS('QA Log'!D:D,A405,'QA Log'!M:M,"Vignette",'QA Log'!L:L,"*Vignette [9] Birth Spacing: Change FP method to Injectable*"),
COUNTIFS('QA Log'!D:D,A405,'QA Log'!M:M,"Vignette",'QA Log'!L:L,"*Vignette [10] Post Partum Haemorrhage - Atonic Uterus at Health Centre*"),
)
)</f>
        <v/>
      </c>
      <c r="BF405" s="102" t="str">
        <f>IF(A405="","",
  SUM(
    COUNTIFS('QA Log'!D:D,A405,'QA Log'!M:M,"Vignette",'QA Log'!Z:Z,"Approved",'QA Log'!L:L,"*Vignette [5] Labor*"),
    COUNTIFS('QA Log'!D:D,A405,'QA Log'!M:M,"Vignette",'QA Log'!Z:Z,"Approved",'QA Log'!L:L,"*Vignette [6] PNC pre Discharge*"),
    COUNTIFS('QA Log'!D:D,A405,'QA Log'!M:M,"Vignette",'QA Log'!Z:Z,"Approved",'QA Log'!L:L,"*Vignette [7] First ANC Visit*"),
    COUNTIFS('QA Log'!D:D,A405,'QA Log'!M:M,"Vignette",'QA Log'!Z:Z,"Approved",'QA Log'!L:L,"*Vignette [8] Birth Spacing/ Family Planning :  FP Counselling*"),
    COUNTIFS('QA Log'!D:D,A405,'QA Log'!M:M,"Vignette",'QA Log'!Z:Z,"Approved",'QA Log'!L:L,"*Vignette [9] Birth Spacing: Change FP method to Injectable*"),
    COUNTIFS('QA Log'!D:D,A405,'QA Log'!M:M,"Vignette",'QA Log'!Z:Z,"Approved",'QA Log'!L:L,"*Vignette [10] Post Partum Haemorrhage - Atonic Uterus at Health Centre*")
  )
)</f>
        <v/>
      </c>
      <c r="BG405" s="105" t="str">
        <f>IF(A405&lt;&gt;"",COUNTIFS('QA Log'!D:D,A405,'QA Log'!M:M,"Vignette",'QA Log'!L:L,"Vignette [5] Labor",'QA Log'!Z:Z,"Approved"),"")</f>
        <v/>
      </c>
      <c r="BH405" s="105" t="str">
        <f>IF(A405&lt;&gt;"",COUNTIFS('QA Log'!D:D,A405,'QA Log'!M:M,"Vignette",'QA Log'!L:L,"Vignette [6] PNC pre Discharge",'QA Log'!Z:Z,"Approved"),"")</f>
        <v/>
      </c>
      <c r="BI405" s="105" t="str">
        <f>IF(A405&lt;&gt;"",COUNTIFS('QA Log'!D:D,A405,'QA Log'!M:M,"Vignette",'QA Log'!L:L,"Vignette [7] First ANC Visit",'QA Log'!Z:Z,"Approved"),"")</f>
        <v/>
      </c>
      <c r="BJ405" s="105" t="str">
        <f>IF(A405&lt;&gt;"",COUNTIFS('QA Log'!D:D,A405,'QA Log'!M:M,"Vignette",'QA Log'!L:L,"Vignette [8] Birth Spacing/ Family Planning :  FP Counselling",'QA Log'!Z:Z,"Approved"),"")</f>
        <v/>
      </c>
      <c r="BK405" s="105" t="str">
        <f>IF(A405&lt;&gt;"",COUNTIFS('QA Log'!D:D,A405,'QA Log'!M:M,"Vignette",'QA Log'!L:L,"Vignette [9] Birth Spacing: Change FP method to Injectable",'QA Log'!Z:Z,"Approved"),"")</f>
        <v/>
      </c>
      <c r="BL405" s="105" t="str">
        <f>IF(A405&lt;&gt;"",COUNTIFS('QA Log'!D:D,A405,'QA Log'!M:M,"Vignette",'QA Log'!L:L,"Vignette [10] Post Partum Haemorrhage - Atonic Uterus at Health Centre",'QA Log'!Z:Z,"Approved"),"")</f>
        <v/>
      </c>
      <c r="BM405" s="102" t="str">
        <f>IF(A405="","",SUM(
    COUNTIFS('QA Log'!D:D,A405,'QA Log'!M:M,"Vignette",'QA Log'!Z:Z,"Rejected",'QA Log'!L:L,"*Vignette [5] Labor*"),
    COUNTIFS('QA Log'!D:D,A405,'QA Log'!M:M,"Vignette",'QA Log'!Z:Z,"Rejected",'QA Log'!L:L,"*Vignette [6] PNC pre Discharge*"),
    COUNTIFS('QA Log'!D:D,A405,'QA Log'!M:M,"Vignette",'QA Log'!Z:Z,"Rejected",'QA Log'!L:L,"*Vignette [7] First ANC Visit*"),
    COUNTIFS('QA Log'!D:D,A405,'QA Log'!M:M,"Vignette",'QA Log'!Z:Z,"Rejected",'QA Log'!L:L,"*Vignette [8] Birth Spacing/ Family Planning :  FP Counselling*"),
    COUNTIFS('QA Log'!D:D,A405,'QA Log'!M:M,"Vignette",'QA Log'!Z:Z,"Rejected",'QA Log'!L:L,"*Vignette [9] Birth Spacing: Change FP method to Injectable*"),
    COUNTIFS('QA Log'!D:D,A405,'QA Log'!M:M,"Vignette",'QA Log'!Z:Z,"Rejected",'QA Log'!L:L,"*Vignette [10] Post Partum Haemorrhage - Atonic Uterus at Health Centre*")
  )
)</f>
        <v/>
      </c>
      <c r="BN405" s="107" t="str">
        <f t="shared" si="37"/>
        <v/>
      </c>
      <c r="BO405" s="103" t="str">
        <f t="shared" si="38"/>
        <v/>
      </c>
      <c r="BP405" s="102" t="str">
        <f>IF(A405="","",SUM(
COUNTIFS('QA Log'!D:D,A405,'QA Log'!M:M,"Vignette",'QA Log'!L:L,"*Exit Interview 1*"),
COUNTIFS('QA Log'!D:D,A405,'QA Log'!M:M,"Vignette",'QA Log'!L:L,"*Exit Interview 2*"),
)
)</f>
        <v/>
      </c>
      <c r="BQ405" s="102" t="str">
        <f>IF(
  A405="","",
  SUM(
    COUNTIFS('QA Log'!D:D,A405,'QA Log'!M:M,"Vignette",'QA Log'!Z:Z,"Approved",'QA Log'!L:L,"*Exit Interview 1*"),
    COUNTIFS('QA Log'!D:D,A405,'QA Log'!M:M,"Vignette",'QA Log'!Z:Z,"Approved",'QA Log'!L:L,"*Exit Interview 2*")
  )
)</f>
        <v/>
      </c>
      <c r="BR405" s="105" t="str">
        <f>IF(A405&lt;&gt;"",COUNTIFS('QA Log'!D:D,A405,'QA Log'!M:M,"Vignette",'QA Log'!L:L,"Exit Interview 1",'QA Log'!Z:Z,"Approved"),"")</f>
        <v/>
      </c>
      <c r="BS405" s="105" t="str">
        <f>IF(A405&lt;&gt;"",COUNTIFS('QA Log'!D:D,A405,'QA Log'!M:M,"Vignette",'QA Log'!L:L,"Exit Interview 2",'QA Log'!Z:Z,"Approved"),"")</f>
        <v/>
      </c>
      <c r="BT405" s="102" t="str">
        <f>IF(
  A405="","",
  SUM(
    COUNTIFS('QA Log'!D:D,A405,'QA Log'!M:M,"Vignette",'QA Log'!Z:Z,"Rejected",'QA Log'!L:L,"*Exit Interview 1*"),
    COUNTIFS('QA Log'!D:D,A405,'QA Log'!M:M,"Vignette",'QA Log'!Z:Z,"Rejected",'QA Log'!L:L,"*Exit Interview 2*")
  )
)</f>
        <v/>
      </c>
      <c r="BU405" s="107" t="str">
        <f t="shared" si="39"/>
        <v/>
      </c>
      <c r="BV405" s="102" t="str">
        <f t="shared" si="40"/>
        <v/>
      </c>
      <c r="BW405" s="102" t="str">
        <f t="shared" si="41"/>
        <v/>
      </c>
      <c r="BX405" s="102" t="str">
        <f t="shared" si="42"/>
        <v/>
      </c>
      <c r="BY405" s="102" t="str">
        <f t="shared" si="43"/>
        <v/>
      </c>
      <c r="BZ405" s="107" t="str">
        <f t="shared" si="44"/>
        <v/>
      </c>
      <c r="CA405" s="108" t="str">
        <f t="shared" si="45"/>
        <v/>
      </c>
      <c r="CB405" s="108" t="str">
        <f t="shared" si="46"/>
        <v/>
      </c>
      <c r="CC405" s="109" t="str">
        <f t="shared" si="47"/>
        <v/>
      </c>
      <c r="CD405" s="108" t="str">
        <f t="shared" si="48"/>
        <v/>
      </c>
      <c r="CE405" s="108" t="str">
        <f t="shared" si="49"/>
        <v/>
      </c>
      <c r="CF405" s="109" t="str">
        <f t="shared" si="50"/>
        <v/>
      </c>
      <c r="CG405" s="110" t="str">
        <f t="shared" si="51"/>
        <v/>
      </c>
      <c r="CH405" s="111"/>
    </row>
    <row r="406" spans="1:86" ht="12.75">
      <c r="A406" s="101"/>
      <c r="B406" s="102" t="e">
        <f t="array" aca="1" ref="B406" ca="1">_xludf.XLOOKUP(A406,'QA Log'!D:D,'QA Log'!E:E,"")</f>
        <v>#NAME?</v>
      </c>
      <c r="C406" s="102" t="e">
        <f t="array" aca="1" ref="C406" ca="1">_xludf.XLOOKUP(A406,'QA Log'!D:D,'QA Log'!F:F,"")</f>
        <v>#NAME?</v>
      </c>
      <c r="D406" s="102" t="e">
        <f t="array" aca="1" ref="D406" ca="1">_xludf.XLOOKUP(A406,'QA Log'!D:D,'QA Log'!H:H,"")</f>
        <v>#NAME?</v>
      </c>
      <c r="E406" s="102" t="e">
        <f t="array" aca="1" ref="E406" ca="1">_xludf.XLOOKUP(A406,'QA Log'!D:D,'QA Log'!G:G,"")</f>
        <v>#NAME?</v>
      </c>
      <c r="F406" s="103"/>
      <c r="G406" s="104"/>
      <c r="H406" s="104"/>
      <c r="I406" s="103" t="str">
        <f t="shared" si="26"/>
        <v/>
      </c>
      <c r="J406" s="102" t="str">
        <f>IF(A406="","",SUM(
COUNTIFS('QA Log'!D:D,A406,'QA Log'!M:M,"QQC",'QA Log'!L:L,"*1. General Management*"),
COUNTIFS('QA Log'!D:D,A406,'QA Log'!M:M,"QQC",'QA Log'!L:L,"*3. Curative Consultation (OPD)*"),
COUNTIFS('QA Log'!D:D,A406,'QA Log'!M:M,"QQC",'QA Log'!L:L,"*5. Laboratory*"),
COUNTIFS('QA Log'!D:D,A406,'QA Log'!M:M,"QQC",'QA Log'!L:L,"*6. Essential Medicine Management*"),
COUNTIFS('QA Log'!D:D,A406,'QA Log'!M:M,"QQC",'QA Log'!L:L,"*7. Tracer Medicine*"),
COUNTIFS('QA Log'!D:D,A406,'QA Log'!M:M,"QQC",'QA Log'!L:L,"*11. Additional Questions*")))</f>
        <v/>
      </c>
      <c r="K406" s="102" t="str">
        <f>IF(A406="","",SUM(
COUNTIFS('QA Log'!D:D,A406,'QA Log'!M:M,"QQC",'QA Log'!Z:Z,"Approved",'QA Log'!L:L,"*1. General Management*"),
COUNTIFS('QA Log'!D:D,A406,'QA Log'!M:M,"QQC",'QA Log'!Z:Z,"Approved",'QA Log'!L:L,"*3. Curative Consultation (OPD)*"),
COUNTIFS('QA Log'!D:D,A406,'QA Log'!M:M,"QQC",'QA Log'!Z:Z,"Approved",'QA Log'!L:L,"*5. Laboratory*"),
COUNTIFS('QA Log'!D:D,A406,'QA Log'!M:M,"QQC",'QA Log'!Z:Z,"Approved",'QA Log'!L:L,"*6. Essential Medicine Management*"),
COUNTIFS('QA Log'!D:D,A406,'QA Log'!M:M,"QQC",'QA Log'!Z:Z,"Approved",'QA Log'!L:L,"*7. Tracer Medicine*"),
COUNTIFS('QA Log'!D:D,A406,'QA Log'!M:M,"QQC",'QA Log'!Z:Z,"Approved",'QA Log'!L:L,"*11. Additional Questions*")))</f>
        <v/>
      </c>
      <c r="L406" s="102" t="str">
        <f>IF(A406&lt;&gt;"",COUNTIFS('QA Log'!D:D,A406,'QA Log'!M:M,"QQC",'QA Log'!L:L,"1. General Management",'QA Log'!Z:Z,"Approved"),"")</f>
        <v/>
      </c>
      <c r="M406" s="102" t="str">
        <f>IF(A406&lt;&gt;"",COUNTIFS('QA Log'!D:D,A406,'QA Log'!M:M,"QQC",'QA Log'!L:L,"3. Curative Consultation (OPD)",'QA Log'!Z:Z,"Approved"),"")</f>
        <v/>
      </c>
      <c r="N406" s="102" t="str">
        <f>IF(A406&lt;&gt;"",COUNTIFS('QA Log'!D:D,A406,'QA Log'!M:M,"QQC",'QA Log'!L:L,"5. Laboratory",'QA Log'!Z:Z,"Approved"),"")</f>
        <v/>
      </c>
      <c r="O406" s="102" t="str">
        <f>IF(A406&lt;&gt;"",COUNTIFS('QA Log'!D:D,A406,'QA Log'!M:M,"QQC",'QA Log'!L:L,"6. Essential Medicine Management",'QA Log'!Z:Z,"Approved"),"")</f>
        <v/>
      </c>
      <c r="P406" s="102" t="str">
        <f>IF(A406&lt;&gt;"",COUNTIFS('QA Log'!D:D,A406,'QA Log'!M:M,"QQC",'QA Log'!L:L,"7. Tracer Medicine",'QA Log'!Z:Z,"Approved"),"")</f>
        <v/>
      </c>
      <c r="Q406" s="102" t="str">
        <f>IF(A406&lt;&gt;"",COUNTIFS('QA Log'!D:D,A406,'QA Log'!M:M,"QQC",'QA Log'!L:L,"11. Additional Questions",'QA Log'!Z:Z,"Approved"),"")</f>
        <v/>
      </c>
      <c r="R406" s="102" t="str">
        <f>IF(A406="","",SUM(
COUNTIFS('QA Log'!D:D,A406,'QA Log'!M:M,"QQC",'QA Log'!Z:Z,"Rejected",'QA Log'!L:L,"*8. Maternity*"),
COUNTIFS('QA Log'!D:D,A406,'QA Log'!M:M,"QQC",'QA Log'!Z:Z,"Rejected",'QA Log'!L:L,"*EPI*"),
COUNTIFS('QA Log'!D:D,A406,'QA Log'!M:M,"QQC",'QA Log'!Z:Z,"Rejected",'QA Log'!L:L,"*10. Antenatal Care (ANC)*"),
COUNTIFS('QA Log'!D:D,A406,'QA Log'!M:M,"QQC",'QA Log'!Z:Z,"Rejected",'QA Log'!L:L,"*2. Hygiene and Sterilization*"),
COUNTIFS('QA Log'!D:D,A406,'QA Log'!M:M,"QQC",'QA Log'!Z:Z,"Rejected",'QA Log'!L:L,"*Family Planning*")))</f>
        <v/>
      </c>
      <c r="S406" s="106" t="str">
        <f t="shared" si="27"/>
        <v/>
      </c>
      <c r="T406" s="102" t="str">
        <f t="shared" si="28"/>
        <v/>
      </c>
      <c r="U406" s="102" t="str">
        <f>IF(A406="","",
SUM(
COUNTIFS('QA Log'!D:D,A406,'QA Log'!M:M,"QQC",'QA Log'!L:L,"*8. Maternity*"),
COUNTIFS('QA Log'!D:D,A406,'QA Log'!M:M,"QQC",'QA Log'!L:L,"*9. EPI and Pre-school Consultation*"),
COUNTIFS('QA Log'!D:D,A406,'QA Log'!M:M,"QQC",'QA Log'!L:L,"*10. Antenatal Care (ANC)*"),
COUNTIFS('QA Log'!D:D,A406,'QA Log'!M:M,"QQC",'QA Log'!L:L,"*2. Hygiene and Sterilization*"),
COUNTIFS('QA Log'!D:D,A406,'QA Log'!M:M,"QQC",'QA Log'!L:L,"*4. Family Planning*")
))</f>
        <v/>
      </c>
      <c r="V406" s="102" t="str">
        <f>IF(A406="","",
SUM(
COUNTIFS('QA Log'!D:D,A406,'QA Log'!M:M,"QQC",'QA Log'!Z:Z,"Approved",'QA Log'!L:L,"*8. Maternity*"),
COUNTIFS('QA Log'!D:D,A406,'QA Log'!M:M,"QQC",'QA Log'!Z:Z,"Approved",'QA Log'!L:L,"*9. EPI and Pre-school Consultation*"),
COUNTIFS('QA Log'!D:D,A406,'QA Log'!M:M,"QQC",'QA Log'!Z:Z,"Approved",'QA Log'!L:L,"*10. Antenatal Care (ANC)*"),
COUNTIFS('QA Log'!D:D,A406,'QA Log'!M:M,"QQC",'QA Log'!Z:Z,"Approved",'QA Log'!L:L,"*2. Hygiene and Sterilization*"),
COUNTIFS('QA Log'!D:D,A406,'QA Log'!M:M,"QQC",'QA Log'!Z:Z,"Approved",'QA Log'!L:L,"*4. Family Planning*")
))</f>
        <v/>
      </c>
      <c r="W406" s="102" t="str">
        <f>IF(A406&lt;&gt;"",COUNTIFS('QA Log'!D:D,A406,'QA Log'!M:M,"QQC",'QA Log'!L:L,"8. Maternity",'QA Log'!Z:Z,"Approved"),"")</f>
        <v/>
      </c>
      <c r="X406" s="105" t="str">
        <f>IF(A406&lt;&gt;"",COUNTIFS('QA Log'!D:D,A406,'QA Log'!M:M,"QQC",'QA Log'!L:L,"9. EPI and Pre-school Consultation",'QA Log'!Z:Z,"Approved"),"")</f>
        <v/>
      </c>
      <c r="Y406" s="102" t="str">
        <f>IF(A406&lt;&gt;"",COUNTIFS('QA Log'!D:D,A406,'QA Log'!M:M,"QQC",'QA Log'!L:L,"10. Antenatal Care (ANC)",'QA Log'!Z:Z,"Approved"),"")</f>
        <v/>
      </c>
      <c r="Z406" s="102" t="str">
        <f>IF(A406&lt;&gt;"",COUNTIFS('QA Log'!D:D,A406,'QA Log'!M:M,"QQC",'QA Log'!L:L,"2. Hygiene and Sterilization",'QA Log'!Z:Z,"Approved"),"")</f>
        <v/>
      </c>
      <c r="AA406" s="105" t="str">
        <f>IF(A406&lt;&gt;"",COUNTIFS('QA Log'!D:D,A406,'QA Log'!M:M,"QQC",'QA Log'!L:L,"4. Family Planning",'QA Log'!Z:Z,"Approved"),"")</f>
        <v/>
      </c>
      <c r="AB406" s="102" t="str">
        <f>IF(A406="","",
SUM(
COUNTIFS('QA Log'!D:D,A406,'QA Log'!M:M,"QQC",'QA Log'!Z:Z,"Rejected",'QA Log'!L:L,"*8. Maternity*"),
COUNTIFS('QA Log'!D:D,A406,'QA Log'!M:M,"QQC",'QA Log'!Z:Z,"Rejected",'QA Log'!L:L,"*9. EPI and Pre-school Consultation*"),
COUNTIFS('QA Log'!D:D,A406,'QA Log'!M:M,"QQC",'QA Log'!Z:Z,"Rejected",'QA Log'!L:L,"*10. Antenatal Care (ANC)*"),
COUNTIFS('QA Log'!D:D,A406,'QA Log'!M:M,"QQC",'QA Log'!Z:Z,"Rejected",'QA Log'!L:L,"*2. Hygiene and Sterilization*"),
COUNTIFS('QA Log'!D:D,A406,'QA Log'!M:M,"QQC",'QA Log'!Z:Z,"Rejected",'QA Log'!L:L,"*4. Family Planning*")
))</f>
        <v/>
      </c>
      <c r="AC406" s="102" t="str">
        <f t="shared" si="29"/>
        <v/>
      </c>
      <c r="AD406" s="103" t="str">
        <f t="shared" si="30"/>
        <v/>
      </c>
      <c r="AE406" s="102" t="str">
        <f>IF(A406="","",
SUM(
COUNTIFS('QA Log'!D:D,A406,'QA Log'!M:M,"Data Verification",'QA Log'!L:L,"*Medicine (section 2)*"),
COUNTIFS('QA Log'!D:D,A406,'QA Log'!M:M,"Data Verification",'QA Log'!L:L,"*Lab Testing Availability*"),
COUNTIFS('QA Log'!D:D,A406,'QA Log'!M:M,"Data Verification",'QA Log'!L:L,"*Other than P4P (section 6)*"),
COUNTIFS('QA Log'!D:D,A406,'QA Log'!M:M,"Data Verification",'QA Log'!L:L,"*Hospital Governance*")
))</f>
        <v/>
      </c>
      <c r="AF406" s="102" t="str">
        <f>IF(A406="","",
SUM(
COUNTIFS('QA Log'!D:D,A406,'QA Log'!M:M,"Data Verification",'QA Log'!Z:Z,"Approved",'QA Log'!L:L,"*Medicine (section 2)*"),
COUNTIFS('QA Log'!D:D,A406,'QA Log'!M:M,"Data Verification",'QA Log'!Z:Z,"Approved",'QA Log'!L:L,"*Lab Testing Availability*"),
COUNTIFS('QA Log'!D:D,A406,'QA Log'!M:M,"Data Verification",'QA Log'!Z:Z,"Approved",'QA Log'!L:L,"*Other than P4P (section 6)*"),
COUNTIFS('QA Log'!D:D,A406,'QA Log'!M:M,"Data Verification",'QA Log'!Z:Z,"Approved",'QA Log'!L:L,"*Hospital Governance*")
))</f>
        <v/>
      </c>
      <c r="AG406" s="105" t="str">
        <f>IF(A406&lt;&gt;"",COUNTIFS('QA Log'!D:D,A406,'QA Log'!M:M,"Data Verification",'QA Log'!L:L,"Medicine (section 2)",'QA Log'!Z:Z,"Approved"),"")</f>
        <v/>
      </c>
      <c r="AH406" s="105" t="str">
        <f>IF(A406&lt;&gt;"",COUNTIFS('QA Log'!D:D,A406,'QA Log'!M:M,"Data Verification",'QA Log'!L:L,"Lab Testing Availability",'QA Log'!Z:Z,"Approved"),"")</f>
        <v/>
      </c>
      <c r="AI406" s="105" t="str">
        <f>IF(A406&lt;&gt;"",COUNTIFS('QA Log'!D:D,A406,'QA Log'!M:M,"Data Verification",'QA Log'!L:L,"Other than P4P (section 6)",'QA Log'!Z:Z,"Approved"),"")</f>
        <v/>
      </c>
      <c r="AJ406" s="105" t="str">
        <f>IF(A406&lt;&gt;"",COUNTIFS('QA Log'!D:D,A406,'QA Log'!M:M,"Data Verification",'QA Log'!L:L,"Hospital Governance",'QA Log'!Z:Z,"Approved"),"")</f>
        <v/>
      </c>
      <c r="AK406" s="102" t="str">
        <f>IF(A406="","",
SUM(
COUNTIFS('QA Log'!D:D,A406,'QA Log'!M:M,"Data Verification",'QA Log'!Z:Z,"Rejected",'QA Log'!L:L,"*Medicine (section 2)*"),
COUNTIFS('QA Log'!D:D,A406,'QA Log'!M:M,"Data Verification",'QA Log'!Z:Z,"Rejected",'QA Log'!L:L,"*Lab Testing Availability*"),
COUNTIFS('QA Log'!D:D,A406,'QA Log'!M:M,"Data Verification",'QA Log'!Z:Z,"Rejected",'QA Log'!L:L,"*Other than P4P (section 6)*"),
COUNTIFS('QA Log'!D:D,A406,'QA Log'!M:M,"Data Verification",'QA Log'!Z:Z,"Rejected",'QA Log'!L:L,"*Hospital Governance*")
))</f>
        <v/>
      </c>
      <c r="AL406" s="106" t="str">
        <f t="shared" si="31"/>
        <v/>
      </c>
      <c r="AM406" s="102" t="str">
        <f t="shared" si="32"/>
        <v/>
      </c>
      <c r="AN406" s="102" t="str">
        <f>IF(A406="","",
SUM(
COUNTIFS('QA Log'!D:D,A406,'QA Log'!M:M,"Data Verification",'QA Log'!L:L,"*Personnel (section 1)*"),
COUNTIFS('QA Log'!D:D,A406,'QA Log'!M:M,"Data Verification",'QA Log'!L:L,"*Consumable (section 3)*"),
COUNTIFS('QA Log'!D:D,A406,'QA Log'!M:M,"Data Verification",'QA Log'!L:L,"*Equipments (section 4)*")
))</f>
        <v/>
      </c>
      <c r="AO406" s="102" t="str">
        <f>IF(A406="","",
SUM(
COUNTIFS('QA Log'!D:D,A406,'QA Log'!M:M,"Data Verification",'QA Log'!Z:Z,"Approved",'QA Log'!L:L,"*Personnel (section 1)*"),
COUNTIFS('QA Log'!D:D,A406,'QA Log'!M:M,"Data Verification",'QA Log'!Z:Z,"Approved",'QA Log'!L:L,"*Consumable (section 3)*"),
COUNTIFS('QA Log'!D:D,A406,'QA Log'!M:M,"Data Verification",'QA Log'!Z:Z,"Approved",'QA Log'!L:L,"*Equipments (section 4)*")
))</f>
        <v/>
      </c>
      <c r="AP406" s="105" t="str">
        <f>IF(A406&lt;&gt;"",COUNTIFS('QA Log'!D:D,A406,'QA Log'!M:M,"Data Verification",'QA Log'!L:L,"Personnel (section 1)",'QA Log'!Z:Z,"Approved"),"")</f>
        <v/>
      </c>
      <c r="AQ406" s="105" t="str">
        <f>IF(A406&lt;&gt;"",COUNTIFS('QA Log'!D:D,A406,'QA Log'!M:M,"Data Verification",'QA Log'!L:L,"Consumable (section 3)",'QA Log'!Z:Z,"Approved"),"")</f>
        <v/>
      </c>
      <c r="AR406" s="105" t="str">
        <f>IF(A406&lt;&gt;"",COUNTIFS('QA Log'!D:D,A406,'QA Log'!M:M,"Data Verification",'QA Log'!L:L,"Equipments (section 4)",'QA Log'!Z:Z,"Approved"),"")</f>
        <v/>
      </c>
      <c r="AS406" s="102" t="str">
        <f>IF(A406="","",
SUM(
COUNTIFS('QA Log'!D:D,A406,'QA Log'!M:M,"Data Verification",'QA Log'!Z:Z,"Rejected",'QA Log'!L:L,"*Personnel (section 1)*"),
COUNTIFS('QA Log'!D:D,A406,'QA Log'!M:M,"Data Verification",'QA Log'!Z:Z,"Rejected",'QA Log'!L:L,"*Consumable (section 3)*"),
COUNTIFS('QA Log'!D:D,A406,'QA Log'!M:M,"Data Verification",'QA Log'!Z:Z,"Rejected",'QA Log'!L:L,"*Equipments (section 4)*")
))</f>
        <v/>
      </c>
      <c r="AT406" s="102" t="str">
        <f t="shared" si="33"/>
        <v/>
      </c>
      <c r="AU406" s="103" t="str">
        <f t="shared" si="34"/>
        <v/>
      </c>
      <c r="AV406" s="102" t="str">
        <f>IF(A406="","",SUM(
COUNTIFS('QA Log'!D:D,A406,'QA Log'!M:M,"Vignette",'QA Log'!L:L,"*Vignette [1] Respiratory Infection: Pneumonia*"),
COUNTIFS('QA Log'!D:D,A406,'QA Log'!M:M,"Vignette",'QA Log'!L:L,"*Vignette [2]: Diarrhea with Cat B dehydration*"),
COUNTIFS('QA Log'!D:D,A406,'QA Log'!M:M,"Vignette",'QA Log'!L:L,"*Vignette [3] Growth Monitoring and Promotion*"),
COUNTIFS('QA Log'!D:D,A406,'QA Log'!M:M,"Vignette",'QA Log'!L:L,"*Vignette [4]: The management of presumptive TB patient*")
)
)</f>
        <v/>
      </c>
      <c r="AW406" s="102" t="str">
        <f>IF(
  A406="","",
  SUM(
    COUNTIFS('QA Log'!D:D,A406,'QA Log'!M:M,"Vignette",'QA Log'!Z:Z,"Approved",'QA Log'!L:L,"*Vignette [1] Respiratory Infection: Pneumonia*"),
    COUNTIFS('QA Log'!D:D,A406,'QA Log'!M:M,"Vignette",'QA Log'!Z:Z,"Approved",'QA Log'!L:L,"*Vignette [2]: Diarrhea with Cat B dehydration*"),
    COUNTIFS('QA Log'!D:D,A406,'QA Log'!M:M,"Vignette",'QA Log'!Z:Z,"Approved",'QA Log'!L:L,"*Vignette [3] Growth Monitoring and Promotion*"),
    COUNTIFS('QA Log'!D:D,A406,'QA Log'!M:M,"Vignette",'QA Log'!Z:Z,"Approved",'QA Log'!L:L,"*Vignette [4]: The management of presumptive TB patient*")
  )
)</f>
        <v/>
      </c>
      <c r="AX406" s="105" t="str">
        <f>IF(A406&lt;&gt;"",COUNTIFS('QA Log'!D:D,A406,'QA Log'!M:M,"Vignette",'QA Log'!L:L,"Vignette [1] Respiratory Infection: Pneumonia",'QA Log'!Z:Z,"Approved"),"")</f>
        <v/>
      </c>
      <c r="AY406" s="105" t="str">
        <f>IF(A406&lt;&gt;"",COUNTIFS('QA Log'!D:D,A406,'QA Log'!M:M,"Vignette",'QA Log'!L:L,"Vignette [2]: Diarrhea with Cat B dehydration",'QA Log'!Z:Z,"Approved"),"")</f>
        <v/>
      </c>
      <c r="AZ406" s="105" t="str">
        <f>IF(A406&lt;&gt;"",COUNTIFS('QA Log'!D:D,A406,'QA Log'!M:M,"Vignette",'QA Log'!L:L,"Vignette [3] Growth Monitoring and Promotion",'QA Log'!Z:Z,"Approved"),"")</f>
        <v/>
      </c>
      <c r="BA406" s="105" t="str">
        <f>IF(A406&lt;&gt;"",COUNTIFS('QA Log'!D:D,A406,'QA Log'!M:M,"Vignette",'QA Log'!L:L,"Vignette [4]: The management of presumptive TB patient",'QA Log'!Z:Z,"Approved"),"")</f>
        <v/>
      </c>
      <c r="BB406" s="102" t="str">
        <f>IF(A406="","",
  SUM(
    COUNTIFS('QA Log'!D:D,A406,'QA Log'!M:M,"Vignette",'QA Log'!Z:Z,"Rejected",'QA Log'!L:L,"*Vignette [1] Respiratory Infection: Pneumonia*"),
    COUNTIFS('QA Log'!D:D,A406,'QA Log'!M:M,"Vignette",'QA Log'!Z:Z,"Rejected",'QA Log'!L:L,"*Vignette [2]: Diarrhea with Cat B dehydration*"),
    COUNTIFS('QA Log'!D:D,A406,'QA Log'!M:M,"Vignette",'QA Log'!Z:Z,"Rejected",'QA Log'!L:L,"*Vignette [3] Growth Monitoring and Promotion*"),
    COUNTIFS('QA Log'!D:D,A406,'QA Log'!M:M,"Vignette",'QA Log'!Z:Z,"Rejected",'QA Log'!L:L,"*Vignette [4]: The management of presumptive TB patient*")
  )
)</f>
        <v/>
      </c>
      <c r="BC406" s="107" t="str">
        <f t="shared" si="35"/>
        <v/>
      </c>
      <c r="BD406" s="103" t="str">
        <f t="shared" si="36"/>
        <v/>
      </c>
      <c r="BE406" s="102" t="str">
        <f>IF(A406="","",SUM(
COUNTIFS('QA Log'!D:D,A406,'QA Log'!M:M,"Vignette",'QA Log'!L:L,"*Vignette [5] Labor*"),
COUNTIFS('QA Log'!D:D,A406,'QA Log'!M:M,"Vignette",'QA Log'!L:L,"*Vignette [6] PNC pre Discharge*"),
COUNTIFS('QA Log'!D:D,A406,'QA Log'!M:M,"Vignette",'QA Log'!L:L,"*Vignette [7] First ANC Visit*"),
COUNTIFS('QA Log'!D:D,A406,'QA Log'!M:M,"Vignette",'QA Log'!L:L,"*Vignette [8] Birth Spacing/ Family Planning :  FP Counselling*"),
COUNTIFS('QA Log'!D:D,A406,'QA Log'!M:M,"Vignette",'QA Log'!L:L,"*Vignette [9] Birth Spacing: Change FP method to Injectable*"),
COUNTIFS('QA Log'!D:D,A406,'QA Log'!M:M,"Vignette",'QA Log'!L:L,"*Vignette [10] Post Partum Haemorrhage - Atonic Uterus at Health Centre*"),
)
)</f>
        <v/>
      </c>
      <c r="BF406" s="102" t="str">
        <f>IF(A406="","",
  SUM(
    COUNTIFS('QA Log'!D:D,A406,'QA Log'!M:M,"Vignette",'QA Log'!Z:Z,"Approved",'QA Log'!L:L,"*Vignette [5] Labor*"),
    COUNTIFS('QA Log'!D:D,A406,'QA Log'!M:M,"Vignette",'QA Log'!Z:Z,"Approved",'QA Log'!L:L,"*Vignette [6] PNC pre Discharge*"),
    COUNTIFS('QA Log'!D:D,A406,'QA Log'!M:M,"Vignette",'QA Log'!Z:Z,"Approved",'QA Log'!L:L,"*Vignette [7] First ANC Visit*"),
    COUNTIFS('QA Log'!D:D,A406,'QA Log'!M:M,"Vignette",'QA Log'!Z:Z,"Approved",'QA Log'!L:L,"*Vignette [8] Birth Spacing/ Family Planning :  FP Counselling*"),
    COUNTIFS('QA Log'!D:D,A406,'QA Log'!M:M,"Vignette",'QA Log'!Z:Z,"Approved",'QA Log'!L:L,"*Vignette [9] Birth Spacing: Change FP method to Injectable*"),
    COUNTIFS('QA Log'!D:D,A406,'QA Log'!M:M,"Vignette",'QA Log'!Z:Z,"Approved",'QA Log'!L:L,"*Vignette [10] Post Partum Haemorrhage - Atonic Uterus at Health Centre*")
  )
)</f>
        <v/>
      </c>
      <c r="BG406" s="105" t="str">
        <f>IF(A406&lt;&gt;"",COUNTIFS('QA Log'!D:D,A406,'QA Log'!M:M,"Vignette",'QA Log'!L:L,"Vignette [5] Labor",'QA Log'!Z:Z,"Approved"),"")</f>
        <v/>
      </c>
      <c r="BH406" s="105" t="str">
        <f>IF(A406&lt;&gt;"",COUNTIFS('QA Log'!D:D,A406,'QA Log'!M:M,"Vignette",'QA Log'!L:L,"Vignette [6] PNC pre Discharge",'QA Log'!Z:Z,"Approved"),"")</f>
        <v/>
      </c>
      <c r="BI406" s="105" t="str">
        <f>IF(A406&lt;&gt;"",COUNTIFS('QA Log'!D:D,A406,'QA Log'!M:M,"Vignette",'QA Log'!L:L,"Vignette [7] First ANC Visit",'QA Log'!Z:Z,"Approved"),"")</f>
        <v/>
      </c>
      <c r="BJ406" s="105" t="str">
        <f>IF(A406&lt;&gt;"",COUNTIFS('QA Log'!D:D,A406,'QA Log'!M:M,"Vignette",'QA Log'!L:L,"Vignette [8] Birth Spacing/ Family Planning :  FP Counselling",'QA Log'!Z:Z,"Approved"),"")</f>
        <v/>
      </c>
      <c r="BK406" s="105" t="str">
        <f>IF(A406&lt;&gt;"",COUNTIFS('QA Log'!D:D,A406,'QA Log'!M:M,"Vignette",'QA Log'!L:L,"Vignette [9] Birth Spacing: Change FP method to Injectable",'QA Log'!Z:Z,"Approved"),"")</f>
        <v/>
      </c>
      <c r="BL406" s="105" t="str">
        <f>IF(A406&lt;&gt;"",COUNTIFS('QA Log'!D:D,A406,'QA Log'!M:M,"Vignette",'QA Log'!L:L,"Vignette [10] Post Partum Haemorrhage - Atonic Uterus at Health Centre",'QA Log'!Z:Z,"Approved"),"")</f>
        <v/>
      </c>
      <c r="BM406" s="102" t="str">
        <f>IF(A406="","",SUM(
    COUNTIFS('QA Log'!D:D,A406,'QA Log'!M:M,"Vignette",'QA Log'!Z:Z,"Rejected",'QA Log'!L:L,"*Vignette [5] Labor*"),
    COUNTIFS('QA Log'!D:D,A406,'QA Log'!M:M,"Vignette",'QA Log'!Z:Z,"Rejected",'QA Log'!L:L,"*Vignette [6] PNC pre Discharge*"),
    COUNTIFS('QA Log'!D:D,A406,'QA Log'!M:M,"Vignette",'QA Log'!Z:Z,"Rejected",'QA Log'!L:L,"*Vignette [7] First ANC Visit*"),
    COUNTIFS('QA Log'!D:D,A406,'QA Log'!M:M,"Vignette",'QA Log'!Z:Z,"Rejected",'QA Log'!L:L,"*Vignette [8] Birth Spacing/ Family Planning :  FP Counselling*"),
    COUNTIFS('QA Log'!D:D,A406,'QA Log'!M:M,"Vignette",'QA Log'!Z:Z,"Rejected",'QA Log'!L:L,"*Vignette [9] Birth Spacing: Change FP method to Injectable*"),
    COUNTIFS('QA Log'!D:D,A406,'QA Log'!M:M,"Vignette",'QA Log'!Z:Z,"Rejected",'QA Log'!L:L,"*Vignette [10] Post Partum Haemorrhage - Atonic Uterus at Health Centre*")
  )
)</f>
        <v/>
      </c>
      <c r="BN406" s="107" t="str">
        <f t="shared" si="37"/>
        <v/>
      </c>
      <c r="BO406" s="103" t="str">
        <f t="shared" si="38"/>
        <v/>
      </c>
      <c r="BP406" s="102" t="str">
        <f>IF(A406="","",SUM(
COUNTIFS('QA Log'!D:D,A406,'QA Log'!M:M,"Vignette",'QA Log'!L:L,"*Exit Interview 1*"),
COUNTIFS('QA Log'!D:D,A406,'QA Log'!M:M,"Vignette",'QA Log'!L:L,"*Exit Interview 2*"),
)
)</f>
        <v/>
      </c>
      <c r="BQ406" s="102" t="str">
        <f>IF(
  A406="","",
  SUM(
    COUNTIFS('QA Log'!D:D,A406,'QA Log'!M:M,"Vignette",'QA Log'!Z:Z,"Approved",'QA Log'!L:L,"*Exit Interview 1*"),
    COUNTIFS('QA Log'!D:D,A406,'QA Log'!M:M,"Vignette",'QA Log'!Z:Z,"Approved",'QA Log'!L:L,"*Exit Interview 2*")
  )
)</f>
        <v/>
      </c>
      <c r="BR406" s="105" t="str">
        <f>IF(A406&lt;&gt;"",COUNTIFS('QA Log'!D:D,A406,'QA Log'!M:M,"Vignette",'QA Log'!L:L,"Exit Interview 1",'QA Log'!Z:Z,"Approved"),"")</f>
        <v/>
      </c>
      <c r="BS406" s="105" t="str">
        <f>IF(A406&lt;&gt;"",COUNTIFS('QA Log'!D:D,A406,'QA Log'!M:M,"Vignette",'QA Log'!L:L,"Exit Interview 2",'QA Log'!Z:Z,"Approved"),"")</f>
        <v/>
      </c>
      <c r="BT406" s="102" t="str">
        <f>IF(
  A406="","",
  SUM(
    COUNTIFS('QA Log'!D:D,A406,'QA Log'!M:M,"Vignette",'QA Log'!Z:Z,"Rejected",'QA Log'!L:L,"*Exit Interview 1*"),
    COUNTIFS('QA Log'!D:D,A406,'QA Log'!M:M,"Vignette",'QA Log'!Z:Z,"Rejected",'QA Log'!L:L,"*Exit Interview 2*")
  )
)</f>
        <v/>
      </c>
      <c r="BU406" s="107" t="str">
        <f t="shared" si="39"/>
        <v/>
      </c>
      <c r="BV406" s="102" t="str">
        <f t="shared" si="40"/>
        <v/>
      </c>
      <c r="BW406" s="102" t="str">
        <f t="shared" si="41"/>
        <v/>
      </c>
      <c r="BX406" s="102" t="str">
        <f t="shared" si="42"/>
        <v/>
      </c>
      <c r="BY406" s="102" t="str">
        <f t="shared" si="43"/>
        <v/>
      </c>
      <c r="BZ406" s="107" t="str">
        <f t="shared" si="44"/>
        <v/>
      </c>
      <c r="CA406" s="108" t="str">
        <f t="shared" si="45"/>
        <v/>
      </c>
      <c r="CB406" s="108" t="str">
        <f t="shared" si="46"/>
        <v/>
      </c>
      <c r="CC406" s="109" t="str">
        <f t="shared" si="47"/>
        <v/>
      </c>
      <c r="CD406" s="108" t="str">
        <f t="shared" si="48"/>
        <v/>
      </c>
      <c r="CE406" s="108" t="str">
        <f t="shared" si="49"/>
        <v/>
      </c>
      <c r="CF406" s="109" t="str">
        <f t="shared" si="50"/>
        <v/>
      </c>
      <c r="CG406" s="110" t="str">
        <f t="shared" si="51"/>
        <v/>
      </c>
      <c r="CH406" s="111"/>
    </row>
    <row r="407" spans="1:86" ht="12.75">
      <c r="A407" s="101"/>
      <c r="B407" s="102" t="e">
        <f t="array" aca="1" ref="B407" ca="1">_xludf.XLOOKUP(A407,'QA Log'!D:D,'QA Log'!E:E,"")</f>
        <v>#NAME?</v>
      </c>
      <c r="C407" s="102" t="e">
        <f t="array" aca="1" ref="C407" ca="1">_xludf.XLOOKUP(A407,'QA Log'!D:D,'QA Log'!F:F,"")</f>
        <v>#NAME?</v>
      </c>
      <c r="D407" s="102" t="e">
        <f t="array" aca="1" ref="D407" ca="1">_xludf.XLOOKUP(A407,'QA Log'!D:D,'QA Log'!H:H,"")</f>
        <v>#NAME?</v>
      </c>
      <c r="E407" s="102" t="e">
        <f t="array" aca="1" ref="E407" ca="1">_xludf.XLOOKUP(A407,'QA Log'!D:D,'QA Log'!G:G,"")</f>
        <v>#NAME?</v>
      </c>
      <c r="F407" s="103"/>
      <c r="G407" s="104"/>
      <c r="H407" s="104"/>
      <c r="I407" s="103" t="str">
        <f t="shared" si="26"/>
        <v/>
      </c>
      <c r="J407" s="102" t="str">
        <f>IF(A407="","",SUM(
COUNTIFS('QA Log'!D:D,A407,'QA Log'!M:M,"QQC",'QA Log'!L:L,"*1. General Management*"),
COUNTIFS('QA Log'!D:D,A407,'QA Log'!M:M,"QQC",'QA Log'!L:L,"*3. Curative Consultation (OPD)*"),
COUNTIFS('QA Log'!D:D,A407,'QA Log'!M:M,"QQC",'QA Log'!L:L,"*5. Laboratory*"),
COUNTIFS('QA Log'!D:D,A407,'QA Log'!M:M,"QQC",'QA Log'!L:L,"*6. Essential Medicine Management*"),
COUNTIFS('QA Log'!D:D,A407,'QA Log'!M:M,"QQC",'QA Log'!L:L,"*7. Tracer Medicine*"),
COUNTIFS('QA Log'!D:D,A407,'QA Log'!M:M,"QQC",'QA Log'!L:L,"*11. Additional Questions*")))</f>
        <v/>
      </c>
      <c r="K407" s="102" t="str">
        <f>IF(A407="","",SUM(
COUNTIFS('QA Log'!D:D,A407,'QA Log'!M:M,"QQC",'QA Log'!Z:Z,"Approved",'QA Log'!L:L,"*1. General Management*"),
COUNTIFS('QA Log'!D:D,A407,'QA Log'!M:M,"QQC",'QA Log'!Z:Z,"Approved",'QA Log'!L:L,"*3. Curative Consultation (OPD)*"),
COUNTIFS('QA Log'!D:D,A407,'QA Log'!M:M,"QQC",'QA Log'!Z:Z,"Approved",'QA Log'!L:L,"*5. Laboratory*"),
COUNTIFS('QA Log'!D:D,A407,'QA Log'!M:M,"QQC",'QA Log'!Z:Z,"Approved",'QA Log'!L:L,"*6. Essential Medicine Management*"),
COUNTIFS('QA Log'!D:D,A407,'QA Log'!M:M,"QQC",'QA Log'!Z:Z,"Approved",'QA Log'!L:L,"*7. Tracer Medicine*"),
COUNTIFS('QA Log'!D:D,A407,'QA Log'!M:M,"QQC",'QA Log'!Z:Z,"Approved",'QA Log'!L:L,"*11. Additional Questions*")))</f>
        <v/>
      </c>
      <c r="L407" s="102" t="str">
        <f>IF(A407&lt;&gt;"",COUNTIFS('QA Log'!D:D,A407,'QA Log'!M:M,"QQC",'QA Log'!L:L,"1. General Management",'QA Log'!Z:Z,"Approved"),"")</f>
        <v/>
      </c>
      <c r="M407" s="102" t="str">
        <f>IF(A407&lt;&gt;"",COUNTIFS('QA Log'!D:D,A407,'QA Log'!M:M,"QQC",'QA Log'!L:L,"3. Curative Consultation (OPD)",'QA Log'!Z:Z,"Approved"),"")</f>
        <v/>
      </c>
      <c r="N407" s="102" t="str">
        <f>IF(A407&lt;&gt;"",COUNTIFS('QA Log'!D:D,A407,'QA Log'!M:M,"QQC",'QA Log'!L:L,"5. Laboratory",'QA Log'!Z:Z,"Approved"),"")</f>
        <v/>
      </c>
      <c r="O407" s="102" t="str">
        <f>IF(A407&lt;&gt;"",COUNTIFS('QA Log'!D:D,A407,'QA Log'!M:M,"QQC",'QA Log'!L:L,"6. Essential Medicine Management",'QA Log'!Z:Z,"Approved"),"")</f>
        <v/>
      </c>
      <c r="P407" s="102" t="str">
        <f>IF(A407&lt;&gt;"",COUNTIFS('QA Log'!D:D,A407,'QA Log'!M:M,"QQC",'QA Log'!L:L,"7. Tracer Medicine",'QA Log'!Z:Z,"Approved"),"")</f>
        <v/>
      </c>
      <c r="Q407" s="102" t="str">
        <f>IF(A407&lt;&gt;"",COUNTIFS('QA Log'!D:D,A407,'QA Log'!M:M,"QQC",'QA Log'!L:L,"11. Additional Questions",'QA Log'!Z:Z,"Approved"),"")</f>
        <v/>
      </c>
      <c r="R407" s="102" t="str">
        <f>IF(A407="","",SUM(
COUNTIFS('QA Log'!D:D,A407,'QA Log'!M:M,"QQC",'QA Log'!Z:Z,"Rejected",'QA Log'!L:L,"*8. Maternity*"),
COUNTIFS('QA Log'!D:D,A407,'QA Log'!M:M,"QQC",'QA Log'!Z:Z,"Rejected",'QA Log'!L:L,"*EPI*"),
COUNTIFS('QA Log'!D:D,A407,'QA Log'!M:M,"QQC",'QA Log'!Z:Z,"Rejected",'QA Log'!L:L,"*10. Antenatal Care (ANC)*"),
COUNTIFS('QA Log'!D:D,A407,'QA Log'!M:M,"QQC",'QA Log'!Z:Z,"Rejected",'QA Log'!L:L,"*2. Hygiene and Sterilization*"),
COUNTIFS('QA Log'!D:D,A407,'QA Log'!M:M,"QQC",'QA Log'!Z:Z,"Rejected",'QA Log'!L:L,"*Family Planning*")))</f>
        <v/>
      </c>
      <c r="S407" s="106" t="str">
        <f t="shared" si="27"/>
        <v/>
      </c>
      <c r="T407" s="102" t="str">
        <f t="shared" si="28"/>
        <v/>
      </c>
      <c r="U407" s="102" t="str">
        <f>IF(A407="","",
SUM(
COUNTIFS('QA Log'!D:D,A407,'QA Log'!M:M,"QQC",'QA Log'!L:L,"*8. Maternity*"),
COUNTIFS('QA Log'!D:D,A407,'QA Log'!M:M,"QQC",'QA Log'!L:L,"*9. EPI and Pre-school Consultation*"),
COUNTIFS('QA Log'!D:D,A407,'QA Log'!M:M,"QQC",'QA Log'!L:L,"*10. Antenatal Care (ANC)*"),
COUNTIFS('QA Log'!D:D,A407,'QA Log'!M:M,"QQC",'QA Log'!L:L,"*2. Hygiene and Sterilization*"),
COUNTIFS('QA Log'!D:D,A407,'QA Log'!M:M,"QQC",'QA Log'!L:L,"*4. Family Planning*")
))</f>
        <v/>
      </c>
      <c r="V407" s="102" t="str">
        <f>IF(A407="","",
SUM(
COUNTIFS('QA Log'!D:D,A407,'QA Log'!M:M,"QQC",'QA Log'!Z:Z,"Approved",'QA Log'!L:L,"*8. Maternity*"),
COUNTIFS('QA Log'!D:D,A407,'QA Log'!M:M,"QQC",'QA Log'!Z:Z,"Approved",'QA Log'!L:L,"*9. EPI and Pre-school Consultation*"),
COUNTIFS('QA Log'!D:D,A407,'QA Log'!M:M,"QQC",'QA Log'!Z:Z,"Approved",'QA Log'!L:L,"*10. Antenatal Care (ANC)*"),
COUNTIFS('QA Log'!D:D,A407,'QA Log'!M:M,"QQC",'QA Log'!Z:Z,"Approved",'QA Log'!L:L,"*2. Hygiene and Sterilization*"),
COUNTIFS('QA Log'!D:D,A407,'QA Log'!M:M,"QQC",'QA Log'!Z:Z,"Approved",'QA Log'!L:L,"*4. Family Planning*")
))</f>
        <v/>
      </c>
      <c r="W407" s="102" t="str">
        <f>IF(A407&lt;&gt;"",COUNTIFS('QA Log'!D:D,A407,'QA Log'!M:M,"QQC",'QA Log'!L:L,"8. Maternity",'QA Log'!Z:Z,"Approved"),"")</f>
        <v/>
      </c>
      <c r="X407" s="105" t="str">
        <f>IF(A407&lt;&gt;"",COUNTIFS('QA Log'!D:D,A407,'QA Log'!M:M,"QQC",'QA Log'!L:L,"9. EPI and Pre-school Consultation",'QA Log'!Z:Z,"Approved"),"")</f>
        <v/>
      </c>
      <c r="Y407" s="102" t="str">
        <f>IF(A407&lt;&gt;"",COUNTIFS('QA Log'!D:D,A407,'QA Log'!M:M,"QQC",'QA Log'!L:L,"10. Antenatal Care (ANC)",'QA Log'!Z:Z,"Approved"),"")</f>
        <v/>
      </c>
      <c r="Z407" s="102" t="str">
        <f>IF(A407&lt;&gt;"",COUNTIFS('QA Log'!D:D,A407,'QA Log'!M:M,"QQC",'QA Log'!L:L,"2. Hygiene and Sterilization",'QA Log'!Z:Z,"Approved"),"")</f>
        <v/>
      </c>
      <c r="AA407" s="105" t="str">
        <f>IF(A407&lt;&gt;"",COUNTIFS('QA Log'!D:D,A407,'QA Log'!M:M,"QQC",'QA Log'!L:L,"4. Family Planning",'QA Log'!Z:Z,"Approved"),"")</f>
        <v/>
      </c>
      <c r="AB407" s="102" t="str">
        <f>IF(A407="","",
SUM(
COUNTIFS('QA Log'!D:D,A407,'QA Log'!M:M,"QQC",'QA Log'!Z:Z,"Rejected",'QA Log'!L:L,"*8. Maternity*"),
COUNTIFS('QA Log'!D:D,A407,'QA Log'!M:M,"QQC",'QA Log'!Z:Z,"Rejected",'QA Log'!L:L,"*9. EPI and Pre-school Consultation*"),
COUNTIFS('QA Log'!D:D,A407,'QA Log'!M:M,"QQC",'QA Log'!Z:Z,"Rejected",'QA Log'!L:L,"*10. Antenatal Care (ANC)*"),
COUNTIFS('QA Log'!D:D,A407,'QA Log'!M:M,"QQC",'QA Log'!Z:Z,"Rejected",'QA Log'!L:L,"*2. Hygiene and Sterilization*"),
COUNTIFS('QA Log'!D:D,A407,'QA Log'!M:M,"QQC",'QA Log'!Z:Z,"Rejected",'QA Log'!L:L,"*4. Family Planning*")
))</f>
        <v/>
      </c>
      <c r="AC407" s="102" t="str">
        <f t="shared" si="29"/>
        <v/>
      </c>
      <c r="AD407" s="103" t="str">
        <f t="shared" si="30"/>
        <v/>
      </c>
      <c r="AE407" s="102" t="str">
        <f>IF(A407="","",
SUM(
COUNTIFS('QA Log'!D:D,A407,'QA Log'!M:M,"Data Verification",'QA Log'!L:L,"*Medicine (section 2)*"),
COUNTIFS('QA Log'!D:D,A407,'QA Log'!M:M,"Data Verification",'QA Log'!L:L,"*Lab Testing Availability*"),
COUNTIFS('QA Log'!D:D,A407,'QA Log'!M:M,"Data Verification",'QA Log'!L:L,"*Other than P4P (section 6)*"),
COUNTIFS('QA Log'!D:D,A407,'QA Log'!M:M,"Data Verification",'QA Log'!L:L,"*Hospital Governance*")
))</f>
        <v/>
      </c>
      <c r="AF407" s="102" t="str">
        <f>IF(A407="","",
SUM(
COUNTIFS('QA Log'!D:D,A407,'QA Log'!M:M,"Data Verification",'QA Log'!Z:Z,"Approved",'QA Log'!L:L,"*Medicine (section 2)*"),
COUNTIFS('QA Log'!D:D,A407,'QA Log'!M:M,"Data Verification",'QA Log'!Z:Z,"Approved",'QA Log'!L:L,"*Lab Testing Availability*"),
COUNTIFS('QA Log'!D:D,A407,'QA Log'!M:M,"Data Verification",'QA Log'!Z:Z,"Approved",'QA Log'!L:L,"*Other than P4P (section 6)*"),
COUNTIFS('QA Log'!D:D,A407,'QA Log'!M:M,"Data Verification",'QA Log'!Z:Z,"Approved",'QA Log'!L:L,"*Hospital Governance*")
))</f>
        <v/>
      </c>
      <c r="AG407" s="105" t="str">
        <f>IF(A407&lt;&gt;"",COUNTIFS('QA Log'!D:D,A407,'QA Log'!M:M,"Data Verification",'QA Log'!L:L,"Medicine (section 2)",'QA Log'!Z:Z,"Approved"),"")</f>
        <v/>
      </c>
      <c r="AH407" s="105" t="str">
        <f>IF(A407&lt;&gt;"",COUNTIFS('QA Log'!D:D,A407,'QA Log'!M:M,"Data Verification",'QA Log'!L:L,"Lab Testing Availability",'QA Log'!Z:Z,"Approved"),"")</f>
        <v/>
      </c>
      <c r="AI407" s="105" t="str">
        <f>IF(A407&lt;&gt;"",COUNTIFS('QA Log'!D:D,A407,'QA Log'!M:M,"Data Verification",'QA Log'!L:L,"Other than P4P (section 6)",'QA Log'!Z:Z,"Approved"),"")</f>
        <v/>
      </c>
      <c r="AJ407" s="105" t="str">
        <f>IF(A407&lt;&gt;"",COUNTIFS('QA Log'!D:D,A407,'QA Log'!M:M,"Data Verification",'QA Log'!L:L,"Hospital Governance",'QA Log'!Z:Z,"Approved"),"")</f>
        <v/>
      </c>
      <c r="AK407" s="102" t="str">
        <f>IF(A407="","",
SUM(
COUNTIFS('QA Log'!D:D,A407,'QA Log'!M:M,"Data Verification",'QA Log'!Z:Z,"Rejected",'QA Log'!L:L,"*Medicine (section 2)*"),
COUNTIFS('QA Log'!D:D,A407,'QA Log'!M:M,"Data Verification",'QA Log'!Z:Z,"Rejected",'QA Log'!L:L,"*Lab Testing Availability*"),
COUNTIFS('QA Log'!D:D,A407,'QA Log'!M:M,"Data Verification",'QA Log'!Z:Z,"Rejected",'QA Log'!L:L,"*Other than P4P (section 6)*"),
COUNTIFS('QA Log'!D:D,A407,'QA Log'!M:M,"Data Verification",'QA Log'!Z:Z,"Rejected",'QA Log'!L:L,"*Hospital Governance*")
))</f>
        <v/>
      </c>
      <c r="AL407" s="106" t="str">
        <f t="shared" si="31"/>
        <v/>
      </c>
      <c r="AM407" s="102" t="str">
        <f t="shared" si="32"/>
        <v/>
      </c>
      <c r="AN407" s="102" t="str">
        <f>IF(A407="","",
SUM(
COUNTIFS('QA Log'!D:D,A407,'QA Log'!M:M,"Data Verification",'QA Log'!L:L,"*Personnel (section 1)*"),
COUNTIFS('QA Log'!D:D,A407,'QA Log'!M:M,"Data Verification",'QA Log'!L:L,"*Consumable (section 3)*"),
COUNTIFS('QA Log'!D:D,A407,'QA Log'!M:M,"Data Verification",'QA Log'!L:L,"*Equipments (section 4)*")
))</f>
        <v/>
      </c>
      <c r="AO407" s="102" t="str">
        <f>IF(A407="","",
SUM(
COUNTIFS('QA Log'!D:D,A407,'QA Log'!M:M,"Data Verification",'QA Log'!Z:Z,"Approved",'QA Log'!L:L,"*Personnel (section 1)*"),
COUNTIFS('QA Log'!D:D,A407,'QA Log'!M:M,"Data Verification",'QA Log'!Z:Z,"Approved",'QA Log'!L:L,"*Consumable (section 3)*"),
COUNTIFS('QA Log'!D:D,A407,'QA Log'!M:M,"Data Verification",'QA Log'!Z:Z,"Approved",'QA Log'!L:L,"*Equipments (section 4)*")
))</f>
        <v/>
      </c>
      <c r="AP407" s="105" t="str">
        <f>IF(A407&lt;&gt;"",COUNTIFS('QA Log'!D:D,A407,'QA Log'!M:M,"Data Verification",'QA Log'!L:L,"Personnel (section 1)",'QA Log'!Z:Z,"Approved"),"")</f>
        <v/>
      </c>
      <c r="AQ407" s="105" t="str">
        <f>IF(A407&lt;&gt;"",COUNTIFS('QA Log'!D:D,A407,'QA Log'!M:M,"Data Verification",'QA Log'!L:L,"Consumable (section 3)",'QA Log'!Z:Z,"Approved"),"")</f>
        <v/>
      </c>
      <c r="AR407" s="105" t="str">
        <f>IF(A407&lt;&gt;"",COUNTIFS('QA Log'!D:D,A407,'QA Log'!M:M,"Data Verification",'QA Log'!L:L,"Equipments (section 4)",'QA Log'!Z:Z,"Approved"),"")</f>
        <v/>
      </c>
      <c r="AS407" s="102" t="str">
        <f>IF(A407="","",
SUM(
COUNTIFS('QA Log'!D:D,A407,'QA Log'!M:M,"Data Verification",'QA Log'!Z:Z,"Rejected",'QA Log'!L:L,"*Personnel (section 1)*"),
COUNTIFS('QA Log'!D:D,A407,'QA Log'!M:M,"Data Verification",'QA Log'!Z:Z,"Rejected",'QA Log'!L:L,"*Consumable (section 3)*"),
COUNTIFS('QA Log'!D:D,A407,'QA Log'!M:M,"Data Verification",'QA Log'!Z:Z,"Rejected",'QA Log'!L:L,"*Equipments (section 4)*")
))</f>
        <v/>
      </c>
      <c r="AT407" s="102" t="str">
        <f t="shared" si="33"/>
        <v/>
      </c>
      <c r="AU407" s="103" t="str">
        <f t="shared" si="34"/>
        <v/>
      </c>
      <c r="AV407" s="102" t="str">
        <f>IF(A407="","",SUM(
COUNTIFS('QA Log'!D:D,A407,'QA Log'!M:M,"Vignette",'QA Log'!L:L,"*Vignette [1] Respiratory Infection: Pneumonia*"),
COUNTIFS('QA Log'!D:D,A407,'QA Log'!M:M,"Vignette",'QA Log'!L:L,"*Vignette [2]: Diarrhea with Cat B dehydration*"),
COUNTIFS('QA Log'!D:D,A407,'QA Log'!M:M,"Vignette",'QA Log'!L:L,"*Vignette [3] Growth Monitoring and Promotion*"),
COUNTIFS('QA Log'!D:D,A407,'QA Log'!M:M,"Vignette",'QA Log'!L:L,"*Vignette [4]: The management of presumptive TB patient*")
)
)</f>
        <v/>
      </c>
      <c r="AW407" s="102" t="str">
        <f>IF(
  A407="","",
  SUM(
    COUNTIFS('QA Log'!D:D,A407,'QA Log'!M:M,"Vignette",'QA Log'!Z:Z,"Approved",'QA Log'!L:L,"*Vignette [1] Respiratory Infection: Pneumonia*"),
    COUNTIFS('QA Log'!D:D,A407,'QA Log'!M:M,"Vignette",'QA Log'!Z:Z,"Approved",'QA Log'!L:L,"*Vignette [2]: Diarrhea with Cat B dehydration*"),
    COUNTIFS('QA Log'!D:D,A407,'QA Log'!M:M,"Vignette",'QA Log'!Z:Z,"Approved",'QA Log'!L:L,"*Vignette [3] Growth Monitoring and Promotion*"),
    COUNTIFS('QA Log'!D:D,A407,'QA Log'!M:M,"Vignette",'QA Log'!Z:Z,"Approved",'QA Log'!L:L,"*Vignette [4]: The management of presumptive TB patient*")
  )
)</f>
        <v/>
      </c>
      <c r="AX407" s="105" t="str">
        <f>IF(A407&lt;&gt;"",COUNTIFS('QA Log'!D:D,A407,'QA Log'!M:M,"Vignette",'QA Log'!L:L,"Vignette [1] Respiratory Infection: Pneumonia",'QA Log'!Z:Z,"Approved"),"")</f>
        <v/>
      </c>
      <c r="AY407" s="105" t="str">
        <f>IF(A407&lt;&gt;"",COUNTIFS('QA Log'!D:D,A407,'QA Log'!M:M,"Vignette",'QA Log'!L:L,"Vignette [2]: Diarrhea with Cat B dehydration",'QA Log'!Z:Z,"Approved"),"")</f>
        <v/>
      </c>
      <c r="AZ407" s="105" t="str">
        <f>IF(A407&lt;&gt;"",COUNTIFS('QA Log'!D:D,A407,'QA Log'!M:M,"Vignette",'QA Log'!L:L,"Vignette [3] Growth Monitoring and Promotion",'QA Log'!Z:Z,"Approved"),"")</f>
        <v/>
      </c>
      <c r="BA407" s="105" t="str">
        <f>IF(A407&lt;&gt;"",COUNTIFS('QA Log'!D:D,A407,'QA Log'!M:M,"Vignette",'QA Log'!L:L,"Vignette [4]: The management of presumptive TB patient",'QA Log'!Z:Z,"Approved"),"")</f>
        <v/>
      </c>
      <c r="BB407" s="102" t="str">
        <f>IF(A407="","",
  SUM(
    COUNTIFS('QA Log'!D:D,A407,'QA Log'!M:M,"Vignette",'QA Log'!Z:Z,"Rejected",'QA Log'!L:L,"*Vignette [1] Respiratory Infection: Pneumonia*"),
    COUNTIFS('QA Log'!D:D,A407,'QA Log'!M:M,"Vignette",'QA Log'!Z:Z,"Rejected",'QA Log'!L:L,"*Vignette [2]: Diarrhea with Cat B dehydration*"),
    COUNTIFS('QA Log'!D:D,A407,'QA Log'!M:M,"Vignette",'QA Log'!Z:Z,"Rejected",'QA Log'!L:L,"*Vignette [3] Growth Monitoring and Promotion*"),
    COUNTIFS('QA Log'!D:D,A407,'QA Log'!M:M,"Vignette",'QA Log'!Z:Z,"Rejected",'QA Log'!L:L,"*Vignette [4]: The management of presumptive TB patient*")
  )
)</f>
        <v/>
      </c>
      <c r="BC407" s="107" t="str">
        <f t="shared" si="35"/>
        <v/>
      </c>
      <c r="BD407" s="103" t="str">
        <f t="shared" si="36"/>
        <v/>
      </c>
      <c r="BE407" s="102" t="str">
        <f>IF(A407="","",SUM(
COUNTIFS('QA Log'!D:D,A407,'QA Log'!M:M,"Vignette",'QA Log'!L:L,"*Vignette [5] Labor*"),
COUNTIFS('QA Log'!D:D,A407,'QA Log'!M:M,"Vignette",'QA Log'!L:L,"*Vignette [6] PNC pre Discharge*"),
COUNTIFS('QA Log'!D:D,A407,'QA Log'!M:M,"Vignette",'QA Log'!L:L,"*Vignette [7] First ANC Visit*"),
COUNTIFS('QA Log'!D:D,A407,'QA Log'!M:M,"Vignette",'QA Log'!L:L,"*Vignette [8] Birth Spacing/ Family Planning :  FP Counselling*"),
COUNTIFS('QA Log'!D:D,A407,'QA Log'!M:M,"Vignette",'QA Log'!L:L,"*Vignette [9] Birth Spacing: Change FP method to Injectable*"),
COUNTIFS('QA Log'!D:D,A407,'QA Log'!M:M,"Vignette",'QA Log'!L:L,"*Vignette [10] Post Partum Haemorrhage - Atonic Uterus at Health Centre*"),
)
)</f>
        <v/>
      </c>
      <c r="BF407" s="102" t="str">
        <f>IF(A407="","",
  SUM(
    COUNTIFS('QA Log'!D:D,A407,'QA Log'!M:M,"Vignette",'QA Log'!Z:Z,"Approved",'QA Log'!L:L,"*Vignette [5] Labor*"),
    COUNTIFS('QA Log'!D:D,A407,'QA Log'!M:M,"Vignette",'QA Log'!Z:Z,"Approved",'QA Log'!L:L,"*Vignette [6] PNC pre Discharge*"),
    COUNTIFS('QA Log'!D:D,A407,'QA Log'!M:M,"Vignette",'QA Log'!Z:Z,"Approved",'QA Log'!L:L,"*Vignette [7] First ANC Visit*"),
    COUNTIFS('QA Log'!D:D,A407,'QA Log'!M:M,"Vignette",'QA Log'!Z:Z,"Approved",'QA Log'!L:L,"*Vignette [8] Birth Spacing/ Family Planning :  FP Counselling*"),
    COUNTIFS('QA Log'!D:D,A407,'QA Log'!M:M,"Vignette",'QA Log'!Z:Z,"Approved",'QA Log'!L:L,"*Vignette [9] Birth Spacing: Change FP method to Injectable*"),
    COUNTIFS('QA Log'!D:D,A407,'QA Log'!M:M,"Vignette",'QA Log'!Z:Z,"Approved",'QA Log'!L:L,"*Vignette [10] Post Partum Haemorrhage - Atonic Uterus at Health Centre*")
  )
)</f>
        <v/>
      </c>
      <c r="BG407" s="105" t="str">
        <f>IF(A407&lt;&gt;"",COUNTIFS('QA Log'!D:D,A407,'QA Log'!M:M,"Vignette",'QA Log'!L:L,"Vignette [5] Labor",'QA Log'!Z:Z,"Approved"),"")</f>
        <v/>
      </c>
      <c r="BH407" s="105" t="str">
        <f>IF(A407&lt;&gt;"",COUNTIFS('QA Log'!D:D,A407,'QA Log'!M:M,"Vignette",'QA Log'!L:L,"Vignette [6] PNC pre Discharge",'QA Log'!Z:Z,"Approved"),"")</f>
        <v/>
      </c>
      <c r="BI407" s="105" t="str">
        <f>IF(A407&lt;&gt;"",COUNTIFS('QA Log'!D:D,A407,'QA Log'!M:M,"Vignette",'QA Log'!L:L,"Vignette [7] First ANC Visit",'QA Log'!Z:Z,"Approved"),"")</f>
        <v/>
      </c>
      <c r="BJ407" s="105" t="str">
        <f>IF(A407&lt;&gt;"",COUNTIFS('QA Log'!D:D,A407,'QA Log'!M:M,"Vignette",'QA Log'!L:L,"Vignette [8] Birth Spacing/ Family Planning :  FP Counselling",'QA Log'!Z:Z,"Approved"),"")</f>
        <v/>
      </c>
      <c r="BK407" s="105" t="str">
        <f>IF(A407&lt;&gt;"",COUNTIFS('QA Log'!D:D,A407,'QA Log'!M:M,"Vignette",'QA Log'!L:L,"Vignette [9] Birth Spacing: Change FP method to Injectable",'QA Log'!Z:Z,"Approved"),"")</f>
        <v/>
      </c>
      <c r="BL407" s="105" t="str">
        <f>IF(A407&lt;&gt;"",COUNTIFS('QA Log'!D:D,A407,'QA Log'!M:M,"Vignette",'QA Log'!L:L,"Vignette [10] Post Partum Haemorrhage - Atonic Uterus at Health Centre",'QA Log'!Z:Z,"Approved"),"")</f>
        <v/>
      </c>
      <c r="BM407" s="102" t="str">
        <f>IF(A407="","",SUM(
    COUNTIFS('QA Log'!D:D,A407,'QA Log'!M:M,"Vignette",'QA Log'!Z:Z,"Rejected",'QA Log'!L:L,"*Vignette [5] Labor*"),
    COUNTIFS('QA Log'!D:D,A407,'QA Log'!M:M,"Vignette",'QA Log'!Z:Z,"Rejected",'QA Log'!L:L,"*Vignette [6] PNC pre Discharge*"),
    COUNTIFS('QA Log'!D:D,A407,'QA Log'!M:M,"Vignette",'QA Log'!Z:Z,"Rejected",'QA Log'!L:L,"*Vignette [7] First ANC Visit*"),
    COUNTIFS('QA Log'!D:D,A407,'QA Log'!M:M,"Vignette",'QA Log'!Z:Z,"Rejected",'QA Log'!L:L,"*Vignette [8] Birth Spacing/ Family Planning :  FP Counselling*"),
    COUNTIFS('QA Log'!D:D,A407,'QA Log'!M:M,"Vignette",'QA Log'!Z:Z,"Rejected",'QA Log'!L:L,"*Vignette [9] Birth Spacing: Change FP method to Injectable*"),
    COUNTIFS('QA Log'!D:D,A407,'QA Log'!M:M,"Vignette",'QA Log'!Z:Z,"Rejected",'QA Log'!L:L,"*Vignette [10] Post Partum Haemorrhage - Atonic Uterus at Health Centre*")
  )
)</f>
        <v/>
      </c>
      <c r="BN407" s="107" t="str">
        <f t="shared" si="37"/>
        <v/>
      </c>
      <c r="BO407" s="103" t="str">
        <f t="shared" si="38"/>
        <v/>
      </c>
      <c r="BP407" s="102" t="str">
        <f>IF(A407="","",SUM(
COUNTIFS('QA Log'!D:D,A407,'QA Log'!M:M,"Vignette",'QA Log'!L:L,"*Exit Interview 1*"),
COUNTIFS('QA Log'!D:D,A407,'QA Log'!M:M,"Vignette",'QA Log'!L:L,"*Exit Interview 2*"),
)
)</f>
        <v/>
      </c>
      <c r="BQ407" s="102" t="str">
        <f>IF(
  A407="","",
  SUM(
    COUNTIFS('QA Log'!D:D,A407,'QA Log'!M:M,"Vignette",'QA Log'!Z:Z,"Approved",'QA Log'!L:L,"*Exit Interview 1*"),
    COUNTIFS('QA Log'!D:D,A407,'QA Log'!M:M,"Vignette",'QA Log'!Z:Z,"Approved",'QA Log'!L:L,"*Exit Interview 2*")
  )
)</f>
        <v/>
      </c>
      <c r="BR407" s="105" t="str">
        <f>IF(A407&lt;&gt;"",COUNTIFS('QA Log'!D:D,A407,'QA Log'!M:M,"Vignette",'QA Log'!L:L,"Exit Interview 1",'QA Log'!Z:Z,"Approved"),"")</f>
        <v/>
      </c>
      <c r="BS407" s="105" t="str">
        <f>IF(A407&lt;&gt;"",COUNTIFS('QA Log'!D:D,A407,'QA Log'!M:M,"Vignette",'QA Log'!L:L,"Exit Interview 2",'QA Log'!Z:Z,"Approved"),"")</f>
        <v/>
      </c>
      <c r="BT407" s="102" t="str">
        <f>IF(
  A407="","",
  SUM(
    COUNTIFS('QA Log'!D:D,A407,'QA Log'!M:M,"Vignette",'QA Log'!Z:Z,"Rejected",'QA Log'!L:L,"*Exit Interview 1*"),
    COUNTIFS('QA Log'!D:D,A407,'QA Log'!M:M,"Vignette",'QA Log'!Z:Z,"Rejected",'QA Log'!L:L,"*Exit Interview 2*")
  )
)</f>
        <v/>
      </c>
      <c r="BU407" s="107" t="str">
        <f t="shared" si="39"/>
        <v/>
      </c>
      <c r="BV407" s="102" t="str">
        <f t="shared" si="40"/>
        <v/>
      </c>
      <c r="BW407" s="102" t="str">
        <f t="shared" si="41"/>
        <v/>
      </c>
      <c r="BX407" s="102" t="str">
        <f t="shared" si="42"/>
        <v/>
      </c>
      <c r="BY407" s="102" t="str">
        <f t="shared" si="43"/>
        <v/>
      </c>
      <c r="BZ407" s="107" t="str">
        <f t="shared" si="44"/>
        <v/>
      </c>
      <c r="CA407" s="108" t="str">
        <f t="shared" si="45"/>
        <v/>
      </c>
      <c r="CB407" s="108" t="str">
        <f t="shared" si="46"/>
        <v/>
      </c>
      <c r="CC407" s="109" t="str">
        <f t="shared" si="47"/>
        <v/>
      </c>
      <c r="CD407" s="108" t="str">
        <f t="shared" si="48"/>
        <v/>
      </c>
      <c r="CE407" s="108" t="str">
        <f t="shared" si="49"/>
        <v/>
      </c>
      <c r="CF407" s="109" t="str">
        <f t="shared" si="50"/>
        <v/>
      </c>
      <c r="CG407" s="110" t="str">
        <f t="shared" si="51"/>
        <v/>
      </c>
      <c r="CH407" s="111"/>
    </row>
    <row r="408" spans="1:86" ht="12.75">
      <c r="A408" s="101"/>
      <c r="B408" s="102" t="e">
        <f t="array" aca="1" ref="B408" ca="1">_xludf.XLOOKUP(A408,'QA Log'!D:D,'QA Log'!E:E,"")</f>
        <v>#NAME?</v>
      </c>
      <c r="C408" s="102" t="e">
        <f t="array" aca="1" ref="C408" ca="1">_xludf.XLOOKUP(A408,'QA Log'!D:D,'QA Log'!F:F,"")</f>
        <v>#NAME?</v>
      </c>
      <c r="D408" s="102" t="e">
        <f t="array" aca="1" ref="D408" ca="1">_xludf.XLOOKUP(A408,'QA Log'!D:D,'QA Log'!H:H,"")</f>
        <v>#NAME?</v>
      </c>
      <c r="E408" s="102" t="e">
        <f t="array" aca="1" ref="E408" ca="1">_xludf.XLOOKUP(A408,'QA Log'!D:D,'QA Log'!G:G,"")</f>
        <v>#NAME?</v>
      </c>
      <c r="F408" s="103"/>
      <c r="G408" s="104"/>
      <c r="H408" s="104"/>
      <c r="I408" s="103" t="str">
        <f t="shared" si="26"/>
        <v/>
      </c>
      <c r="J408" s="102" t="str">
        <f>IF(A408="","",SUM(
COUNTIFS('QA Log'!D:D,A408,'QA Log'!M:M,"QQC",'QA Log'!L:L,"*1. General Management*"),
COUNTIFS('QA Log'!D:D,A408,'QA Log'!M:M,"QQC",'QA Log'!L:L,"*3. Curative Consultation (OPD)*"),
COUNTIFS('QA Log'!D:D,A408,'QA Log'!M:M,"QQC",'QA Log'!L:L,"*5. Laboratory*"),
COUNTIFS('QA Log'!D:D,A408,'QA Log'!M:M,"QQC",'QA Log'!L:L,"*6. Essential Medicine Management*"),
COUNTIFS('QA Log'!D:D,A408,'QA Log'!M:M,"QQC",'QA Log'!L:L,"*7. Tracer Medicine*"),
COUNTIFS('QA Log'!D:D,A408,'QA Log'!M:M,"QQC",'QA Log'!L:L,"*11. Additional Questions*")))</f>
        <v/>
      </c>
      <c r="K408" s="102" t="str">
        <f>IF(A408="","",SUM(
COUNTIFS('QA Log'!D:D,A408,'QA Log'!M:M,"QQC",'QA Log'!Z:Z,"Approved",'QA Log'!L:L,"*1. General Management*"),
COUNTIFS('QA Log'!D:D,A408,'QA Log'!M:M,"QQC",'QA Log'!Z:Z,"Approved",'QA Log'!L:L,"*3. Curative Consultation (OPD)*"),
COUNTIFS('QA Log'!D:D,A408,'QA Log'!M:M,"QQC",'QA Log'!Z:Z,"Approved",'QA Log'!L:L,"*5. Laboratory*"),
COUNTIFS('QA Log'!D:D,A408,'QA Log'!M:M,"QQC",'QA Log'!Z:Z,"Approved",'QA Log'!L:L,"*6. Essential Medicine Management*"),
COUNTIFS('QA Log'!D:D,A408,'QA Log'!M:M,"QQC",'QA Log'!Z:Z,"Approved",'QA Log'!L:L,"*7. Tracer Medicine*"),
COUNTIFS('QA Log'!D:D,A408,'QA Log'!M:M,"QQC",'QA Log'!Z:Z,"Approved",'QA Log'!L:L,"*11. Additional Questions*")))</f>
        <v/>
      </c>
      <c r="L408" s="102" t="str">
        <f>IF(A408&lt;&gt;"",COUNTIFS('QA Log'!D:D,A408,'QA Log'!M:M,"QQC",'QA Log'!L:L,"1. General Management",'QA Log'!Z:Z,"Approved"),"")</f>
        <v/>
      </c>
      <c r="M408" s="102" t="str">
        <f>IF(A408&lt;&gt;"",COUNTIFS('QA Log'!D:D,A408,'QA Log'!M:M,"QQC",'QA Log'!L:L,"3. Curative Consultation (OPD)",'QA Log'!Z:Z,"Approved"),"")</f>
        <v/>
      </c>
      <c r="N408" s="102" t="str">
        <f>IF(A408&lt;&gt;"",COUNTIFS('QA Log'!D:D,A408,'QA Log'!M:M,"QQC",'QA Log'!L:L,"5. Laboratory",'QA Log'!Z:Z,"Approved"),"")</f>
        <v/>
      </c>
      <c r="O408" s="102" t="str">
        <f>IF(A408&lt;&gt;"",COUNTIFS('QA Log'!D:D,A408,'QA Log'!M:M,"QQC",'QA Log'!L:L,"6. Essential Medicine Management",'QA Log'!Z:Z,"Approved"),"")</f>
        <v/>
      </c>
      <c r="P408" s="102" t="str">
        <f>IF(A408&lt;&gt;"",COUNTIFS('QA Log'!D:D,A408,'QA Log'!M:M,"QQC",'QA Log'!L:L,"7. Tracer Medicine",'QA Log'!Z:Z,"Approved"),"")</f>
        <v/>
      </c>
      <c r="Q408" s="102" t="str">
        <f>IF(A408&lt;&gt;"",COUNTIFS('QA Log'!D:D,A408,'QA Log'!M:M,"QQC",'QA Log'!L:L,"11. Additional Questions",'QA Log'!Z:Z,"Approved"),"")</f>
        <v/>
      </c>
      <c r="R408" s="102" t="str">
        <f>IF(A408="","",SUM(
COUNTIFS('QA Log'!D:D,A408,'QA Log'!M:M,"QQC",'QA Log'!Z:Z,"Rejected",'QA Log'!L:L,"*8. Maternity*"),
COUNTIFS('QA Log'!D:D,A408,'QA Log'!M:M,"QQC",'QA Log'!Z:Z,"Rejected",'QA Log'!L:L,"*EPI*"),
COUNTIFS('QA Log'!D:D,A408,'QA Log'!M:M,"QQC",'QA Log'!Z:Z,"Rejected",'QA Log'!L:L,"*10. Antenatal Care (ANC)*"),
COUNTIFS('QA Log'!D:D,A408,'QA Log'!M:M,"QQC",'QA Log'!Z:Z,"Rejected",'QA Log'!L:L,"*2. Hygiene and Sterilization*"),
COUNTIFS('QA Log'!D:D,A408,'QA Log'!M:M,"QQC",'QA Log'!Z:Z,"Rejected",'QA Log'!L:L,"*Family Planning*")))</f>
        <v/>
      </c>
      <c r="S408" s="106" t="str">
        <f t="shared" si="27"/>
        <v/>
      </c>
      <c r="T408" s="102" t="str">
        <f t="shared" si="28"/>
        <v/>
      </c>
      <c r="U408" s="102" t="str">
        <f>IF(A408="","",
SUM(
COUNTIFS('QA Log'!D:D,A408,'QA Log'!M:M,"QQC",'QA Log'!L:L,"*8. Maternity*"),
COUNTIFS('QA Log'!D:D,A408,'QA Log'!M:M,"QQC",'QA Log'!L:L,"*9. EPI and Pre-school Consultation*"),
COUNTIFS('QA Log'!D:D,A408,'QA Log'!M:M,"QQC",'QA Log'!L:L,"*10. Antenatal Care (ANC)*"),
COUNTIFS('QA Log'!D:D,A408,'QA Log'!M:M,"QQC",'QA Log'!L:L,"*2. Hygiene and Sterilization*"),
COUNTIFS('QA Log'!D:D,A408,'QA Log'!M:M,"QQC",'QA Log'!L:L,"*4. Family Planning*")
))</f>
        <v/>
      </c>
      <c r="V408" s="102" t="str">
        <f>IF(A408="","",
SUM(
COUNTIFS('QA Log'!D:D,A408,'QA Log'!M:M,"QQC",'QA Log'!Z:Z,"Approved",'QA Log'!L:L,"*8. Maternity*"),
COUNTIFS('QA Log'!D:D,A408,'QA Log'!M:M,"QQC",'QA Log'!Z:Z,"Approved",'QA Log'!L:L,"*9. EPI and Pre-school Consultation*"),
COUNTIFS('QA Log'!D:D,A408,'QA Log'!M:M,"QQC",'QA Log'!Z:Z,"Approved",'QA Log'!L:L,"*10. Antenatal Care (ANC)*"),
COUNTIFS('QA Log'!D:D,A408,'QA Log'!M:M,"QQC",'QA Log'!Z:Z,"Approved",'QA Log'!L:L,"*2. Hygiene and Sterilization*"),
COUNTIFS('QA Log'!D:D,A408,'QA Log'!M:M,"QQC",'QA Log'!Z:Z,"Approved",'QA Log'!L:L,"*4. Family Planning*")
))</f>
        <v/>
      </c>
      <c r="W408" s="102" t="str">
        <f>IF(A408&lt;&gt;"",COUNTIFS('QA Log'!D:D,A408,'QA Log'!M:M,"QQC",'QA Log'!L:L,"8. Maternity",'QA Log'!Z:Z,"Approved"),"")</f>
        <v/>
      </c>
      <c r="X408" s="105" t="str">
        <f>IF(A408&lt;&gt;"",COUNTIFS('QA Log'!D:D,A408,'QA Log'!M:M,"QQC",'QA Log'!L:L,"9. EPI and Pre-school Consultation",'QA Log'!Z:Z,"Approved"),"")</f>
        <v/>
      </c>
      <c r="Y408" s="102" t="str">
        <f>IF(A408&lt;&gt;"",COUNTIFS('QA Log'!D:D,A408,'QA Log'!M:M,"QQC",'QA Log'!L:L,"10. Antenatal Care (ANC)",'QA Log'!Z:Z,"Approved"),"")</f>
        <v/>
      </c>
      <c r="Z408" s="102" t="str">
        <f>IF(A408&lt;&gt;"",COUNTIFS('QA Log'!D:D,A408,'QA Log'!M:M,"QQC",'QA Log'!L:L,"2. Hygiene and Sterilization",'QA Log'!Z:Z,"Approved"),"")</f>
        <v/>
      </c>
      <c r="AA408" s="105" t="str">
        <f>IF(A408&lt;&gt;"",COUNTIFS('QA Log'!D:D,A408,'QA Log'!M:M,"QQC",'QA Log'!L:L,"4. Family Planning",'QA Log'!Z:Z,"Approved"),"")</f>
        <v/>
      </c>
      <c r="AB408" s="102" t="str">
        <f>IF(A408="","",
SUM(
COUNTIFS('QA Log'!D:D,A408,'QA Log'!M:M,"QQC",'QA Log'!Z:Z,"Rejected",'QA Log'!L:L,"*8. Maternity*"),
COUNTIFS('QA Log'!D:D,A408,'QA Log'!M:M,"QQC",'QA Log'!Z:Z,"Rejected",'QA Log'!L:L,"*9. EPI and Pre-school Consultation*"),
COUNTIFS('QA Log'!D:D,A408,'QA Log'!M:M,"QQC",'QA Log'!Z:Z,"Rejected",'QA Log'!L:L,"*10. Antenatal Care (ANC)*"),
COUNTIFS('QA Log'!D:D,A408,'QA Log'!M:M,"QQC",'QA Log'!Z:Z,"Rejected",'QA Log'!L:L,"*2. Hygiene and Sterilization*"),
COUNTIFS('QA Log'!D:D,A408,'QA Log'!M:M,"QQC",'QA Log'!Z:Z,"Rejected",'QA Log'!L:L,"*4. Family Planning*")
))</f>
        <v/>
      </c>
      <c r="AC408" s="102" t="str">
        <f t="shared" si="29"/>
        <v/>
      </c>
      <c r="AD408" s="103" t="str">
        <f t="shared" si="30"/>
        <v/>
      </c>
      <c r="AE408" s="102" t="str">
        <f>IF(A408="","",
SUM(
COUNTIFS('QA Log'!D:D,A408,'QA Log'!M:M,"Data Verification",'QA Log'!L:L,"*Medicine (section 2)*"),
COUNTIFS('QA Log'!D:D,A408,'QA Log'!M:M,"Data Verification",'QA Log'!L:L,"*Lab Testing Availability*"),
COUNTIFS('QA Log'!D:D,A408,'QA Log'!M:M,"Data Verification",'QA Log'!L:L,"*Other than P4P (section 6)*"),
COUNTIFS('QA Log'!D:D,A408,'QA Log'!M:M,"Data Verification",'QA Log'!L:L,"*Hospital Governance*")
))</f>
        <v/>
      </c>
      <c r="AF408" s="102" t="str">
        <f>IF(A408="","",
SUM(
COUNTIFS('QA Log'!D:D,A408,'QA Log'!M:M,"Data Verification",'QA Log'!Z:Z,"Approved",'QA Log'!L:L,"*Medicine (section 2)*"),
COUNTIFS('QA Log'!D:D,A408,'QA Log'!M:M,"Data Verification",'QA Log'!Z:Z,"Approved",'QA Log'!L:L,"*Lab Testing Availability*"),
COUNTIFS('QA Log'!D:D,A408,'QA Log'!M:M,"Data Verification",'QA Log'!Z:Z,"Approved",'QA Log'!L:L,"*Other than P4P (section 6)*"),
COUNTIFS('QA Log'!D:D,A408,'QA Log'!M:M,"Data Verification",'QA Log'!Z:Z,"Approved",'QA Log'!L:L,"*Hospital Governance*")
))</f>
        <v/>
      </c>
      <c r="AG408" s="105" t="str">
        <f>IF(A408&lt;&gt;"",COUNTIFS('QA Log'!D:D,A408,'QA Log'!M:M,"Data Verification",'QA Log'!L:L,"Medicine (section 2)",'QA Log'!Z:Z,"Approved"),"")</f>
        <v/>
      </c>
      <c r="AH408" s="105" t="str">
        <f>IF(A408&lt;&gt;"",COUNTIFS('QA Log'!D:D,A408,'QA Log'!M:M,"Data Verification",'QA Log'!L:L,"Lab Testing Availability",'QA Log'!Z:Z,"Approved"),"")</f>
        <v/>
      </c>
      <c r="AI408" s="105" t="str">
        <f>IF(A408&lt;&gt;"",COUNTIFS('QA Log'!D:D,A408,'QA Log'!M:M,"Data Verification",'QA Log'!L:L,"Other than P4P (section 6)",'QA Log'!Z:Z,"Approved"),"")</f>
        <v/>
      </c>
      <c r="AJ408" s="105" t="str">
        <f>IF(A408&lt;&gt;"",COUNTIFS('QA Log'!D:D,A408,'QA Log'!M:M,"Data Verification",'QA Log'!L:L,"Hospital Governance",'QA Log'!Z:Z,"Approved"),"")</f>
        <v/>
      </c>
      <c r="AK408" s="102" t="str">
        <f>IF(A408="","",
SUM(
COUNTIFS('QA Log'!D:D,A408,'QA Log'!M:M,"Data Verification",'QA Log'!Z:Z,"Rejected",'QA Log'!L:L,"*Medicine (section 2)*"),
COUNTIFS('QA Log'!D:D,A408,'QA Log'!M:M,"Data Verification",'QA Log'!Z:Z,"Rejected",'QA Log'!L:L,"*Lab Testing Availability*"),
COUNTIFS('QA Log'!D:D,A408,'QA Log'!M:M,"Data Verification",'QA Log'!Z:Z,"Rejected",'QA Log'!L:L,"*Other than P4P (section 6)*"),
COUNTIFS('QA Log'!D:D,A408,'QA Log'!M:M,"Data Verification",'QA Log'!Z:Z,"Rejected",'QA Log'!L:L,"*Hospital Governance*")
))</f>
        <v/>
      </c>
      <c r="AL408" s="106" t="str">
        <f t="shared" si="31"/>
        <v/>
      </c>
      <c r="AM408" s="102" t="str">
        <f t="shared" si="32"/>
        <v/>
      </c>
      <c r="AN408" s="102" t="str">
        <f>IF(A408="","",
SUM(
COUNTIFS('QA Log'!D:D,A408,'QA Log'!M:M,"Data Verification",'QA Log'!L:L,"*Personnel (section 1)*"),
COUNTIFS('QA Log'!D:D,A408,'QA Log'!M:M,"Data Verification",'QA Log'!L:L,"*Consumable (section 3)*"),
COUNTIFS('QA Log'!D:D,A408,'QA Log'!M:M,"Data Verification",'QA Log'!L:L,"*Equipments (section 4)*")
))</f>
        <v/>
      </c>
      <c r="AO408" s="102" t="str">
        <f>IF(A408="","",
SUM(
COUNTIFS('QA Log'!D:D,A408,'QA Log'!M:M,"Data Verification",'QA Log'!Z:Z,"Approved",'QA Log'!L:L,"*Personnel (section 1)*"),
COUNTIFS('QA Log'!D:D,A408,'QA Log'!M:M,"Data Verification",'QA Log'!Z:Z,"Approved",'QA Log'!L:L,"*Consumable (section 3)*"),
COUNTIFS('QA Log'!D:D,A408,'QA Log'!M:M,"Data Verification",'QA Log'!Z:Z,"Approved",'QA Log'!L:L,"*Equipments (section 4)*")
))</f>
        <v/>
      </c>
      <c r="AP408" s="105" t="str">
        <f>IF(A408&lt;&gt;"",COUNTIFS('QA Log'!D:D,A408,'QA Log'!M:M,"Data Verification",'QA Log'!L:L,"Personnel (section 1)",'QA Log'!Z:Z,"Approved"),"")</f>
        <v/>
      </c>
      <c r="AQ408" s="105" t="str">
        <f>IF(A408&lt;&gt;"",COUNTIFS('QA Log'!D:D,A408,'QA Log'!M:M,"Data Verification",'QA Log'!L:L,"Consumable (section 3)",'QA Log'!Z:Z,"Approved"),"")</f>
        <v/>
      </c>
      <c r="AR408" s="105" t="str">
        <f>IF(A408&lt;&gt;"",COUNTIFS('QA Log'!D:D,A408,'QA Log'!M:M,"Data Verification",'QA Log'!L:L,"Equipments (section 4)",'QA Log'!Z:Z,"Approved"),"")</f>
        <v/>
      </c>
      <c r="AS408" s="102" t="str">
        <f>IF(A408="","",
SUM(
COUNTIFS('QA Log'!D:D,A408,'QA Log'!M:M,"Data Verification",'QA Log'!Z:Z,"Rejected",'QA Log'!L:L,"*Personnel (section 1)*"),
COUNTIFS('QA Log'!D:D,A408,'QA Log'!M:M,"Data Verification",'QA Log'!Z:Z,"Rejected",'QA Log'!L:L,"*Consumable (section 3)*"),
COUNTIFS('QA Log'!D:D,A408,'QA Log'!M:M,"Data Verification",'QA Log'!Z:Z,"Rejected",'QA Log'!L:L,"*Equipments (section 4)*")
))</f>
        <v/>
      </c>
      <c r="AT408" s="102" t="str">
        <f t="shared" si="33"/>
        <v/>
      </c>
      <c r="AU408" s="103" t="str">
        <f t="shared" si="34"/>
        <v/>
      </c>
      <c r="AV408" s="102" t="str">
        <f>IF(A408="","",SUM(
COUNTIFS('QA Log'!D:D,A408,'QA Log'!M:M,"Vignette",'QA Log'!L:L,"*Vignette [1] Respiratory Infection: Pneumonia*"),
COUNTIFS('QA Log'!D:D,A408,'QA Log'!M:M,"Vignette",'QA Log'!L:L,"*Vignette [2]: Diarrhea with Cat B dehydration*"),
COUNTIFS('QA Log'!D:D,A408,'QA Log'!M:M,"Vignette",'QA Log'!L:L,"*Vignette [3] Growth Monitoring and Promotion*"),
COUNTIFS('QA Log'!D:D,A408,'QA Log'!M:M,"Vignette",'QA Log'!L:L,"*Vignette [4]: The management of presumptive TB patient*")
)
)</f>
        <v/>
      </c>
      <c r="AW408" s="102" t="str">
        <f>IF(
  A408="","",
  SUM(
    COUNTIFS('QA Log'!D:D,A408,'QA Log'!M:M,"Vignette",'QA Log'!Z:Z,"Approved",'QA Log'!L:L,"*Vignette [1] Respiratory Infection: Pneumonia*"),
    COUNTIFS('QA Log'!D:D,A408,'QA Log'!M:M,"Vignette",'QA Log'!Z:Z,"Approved",'QA Log'!L:L,"*Vignette [2]: Diarrhea with Cat B dehydration*"),
    COUNTIFS('QA Log'!D:D,A408,'QA Log'!M:M,"Vignette",'QA Log'!Z:Z,"Approved",'QA Log'!L:L,"*Vignette [3] Growth Monitoring and Promotion*"),
    COUNTIFS('QA Log'!D:D,A408,'QA Log'!M:M,"Vignette",'QA Log'!Z:Z,"Approved",'QA Log'!L:L,"*Vignette [4]: The management of presumptive TB patient*")
  )
)</f>
        <v/>
      </c>
      <c r="AX408" s="105" t="str">
        <f>IF(A408&lt;&gt;"",COUNTIFS('QA Log'!D:D,A408,'QA Log'!M:M,"Vignette",'QA Log'!L:L,"Vignette [1] Respiratory Infection: Pneumonia",'QA Log'!Z:Z,"Approved"),"")</f>
        <v/>
      </c>
      <c r="AY408" s="105" t="str">
        <f>IF(A408&lt;&gt;"",COUNTIFS('QA Log'!D:D,A408,'QA Log'!M:M,"Vignette",'QA Log'!L:L,"Vignette [2]: Diarrhea with Cat B dehydration",'QA Log'!Z:Z,"Approved"),"")</f>
        <v/>
      </c>
      <c r="AZ408" s="105" t="str">
        <f>IF(A408&lt;&gt;"",COUNTIFS('QA Log'!D:D,A408,'QA Log'!M:M,"Vignette",'QA Log'!L:L,"Vignette [3] Growth Monitoring and Promotion",'QA Log'!Z:Z,"Approved"),"")</f>
        <v/>
      </c>
      <c r="BA408" s="105" t="str">
        <f>IF(A408&lt;&gt;"",COUNTIFS('QA Log'!D:D,A408,'QA Log'!M:M,"Vignette",'QA Log'!L:L,"Vignette [4]: The management of presumptive TB patient",'QA Log'!Z:Z,"Approved"),"")</f>
        <v/>
      </c>
      <c r="BB408" s="102" t="str">
        <f>IF(A408="","",
  SUM(
    COUNTIFS('QA Log'!D:D,A408,'QA Log'!M:M,"Vignette",'QA Log'!Z:Z,"Rejected",'QA Log'!L:L,"*Vignette [1] Respiratory Infection: Pneumonia*"),
    COUNTIFS('QA Log'!D:D,A408,'QA Log'!M:M,"Vignette",'QA Log'!Z:Z,"Rejected",'QA Log'!L:L,"*Vignette [2]: Diarrhea with Cat B dehydration*"),
    COUNTIFS('QA Log'!D:D,A408,'QA Log'!M:M,"Vignette",'QA Log'!Z:Z,"Rejected",'QA Log'!L:L,"*Vignette [3] Growth Monitoring and Promotion*"),
    COUNTIFS('QA Log'!D:D,A408,'QA Log'!M:M,"Vignette",'QA Log'!Z:Z,"Rejected",'QA Log'!L:L,"*Vignette [4]: The management of presumptive TB patient*")
  )
)</f>
        <v/>
      </c>
      <c r="BC408" s="107" t="str">
        <f t="shared" si="35"/>
        <v/>
      </c>
      <c r="BD408" s="103" t="str">
        <f t="shared" si="36"/>
        <v/>
      </c>
      <c r="BE408" s="102" t="str">
        <f>IF(A408="","",SUM(
COUNTIFS('QA Log'!D:D,A408,'QA Log'!M:M,"Vignette",'QA Log'!L:L,"*Vignette [5] Labor*"),
COUNTIFS('QA Log'!D:D,A408,'QA Log'!M:M,"Vignette",'QA Log'!L:L,"*Vignette [6] PNC pre Discharge*"),
COUNTIFS('QA Log'!D:D,A408,'QA Log'!M:M,"Vignette",'QA Log'!L:L,"*Vignette [7] First ANC Visit*"),
COUNTIFS('QA Log'!D:D,A408,'QA Log'!M:M,"Vignette",'QA Log'!L:L,"*Vignette [8] Birth Spacing/ Family Planning :  FP Counselling*"),
COUNTIFS('QA Log'!D:D,A408,'QA Log'!M:M,"Vignette",'QA Log'!L:L,"*Vignette [9] Birth Spacing: Change FP method to Injectable*"),
COUNTIFS('QA Log'!D:D,A408,'QA Log'!M:M,"Vignette",'QA Log'!L:L,"*Vignette [10] Post Partum Haemorrhage - Atonic Uterus at Health Centre*"),
)
)</f>
        <v/>
      </c>
      <c r="BF408" s="102" t="str">
        <f>IF(A408="","",
  SUM(
    COUNTIFS('QA Log'!D:D,A408,'QA Log'!M:M,"Vignette",'QA Log'!Z:Z,"Approved",'QA Log'!L:L,"*Vignette [5] Labor*"),
    COUNTIFS('QA Log'!D:D,A408,'QA Log'!M:M,"Vignette",'QA Log'!Z:Z,"Approved",'QA Log'!L:L,"*Vignette [6] PNC pre Discharge*"),
    COUNTIFS('QA Log'!D:D,A408,'QA Log'!M:M,"Vignette",'QA Log'!Z:Z,"Approved",'QA Log'!L:L,"*Vignette [7] First ANC Visit*"),
    COUNTIFS('QA Log'!D:D,A408,'QA Log'!M:M,"Vignette",'QA Log'!Z:Z,"Approved",'QA Log'!L:L,"*Vignette [8] Birth Spacing/ Family Planning :  FP Counselling*"),
    COUNTIFS('QA Log'!D:D,A408,'QA Log'!M:M,"Vignette",'QA Log'!Z:Z,"Approved",'QA Log'!L:L,"*Vignette [9] Birth Spacing: Change FP method to Injectable*"),
    COUNTIFS('QA Log'!D:D,A408,'QA Log'!M:M,"Vignette",'QA Log'!Z:Z,"Approved",'QA Log'!L:L,"*Vignette [10] Post Partum Haemorrhage - Atonic Uterus at Health Centre*")
  )
)</f>
        <v/>
      </c>
      <c r="BG408" s="105" t="str">
        <f>IF(A408&lt;&gt;"",COUNTIFS('QA Log'!D:D,A408,'QA Log'!M:M,"Vignette",'QA Log'!L:L,"Vignette [5] Labor",'QA Log'!Z:Z,"Approved"),"")</f>
        <v/>
      </c>
      <c r="BH408" s="105" t="str">
        <f>IF(A408&lt;&gt;"",COUNTIFS('QA Log'!D:D,A408,'QA Log'!M:M,"Vignette",'QA Log'!L:L,"Vignette [6] PNC pre Discharge",'QA Log'!Z:Z,"Approved"),"")</f>
        <v/>
      </c>
      <c r="BI408" s="105" t="str">
        <f>IF(A408&lt;&gt;"",COUNTIFS('QA Log'!D:D,A408,'QA Log'!M:M,"Vignette",'QA Log'!L:L,"Vignette [7] First ANC Visit",'QA Log'!Z:Z,"Approved"),"")</f>
        <v/>
      </c>
      <c r="BJ408" s="105" t="str">
        <f>IF(A408&lt;&gt;"",COUNTIFS('QA Log'!D:D,A408,'QA Log'!M:M,"Vignette",'QA Log'!L:L,"Vignette [8] Birth Spacing/ Family Planning :  FP Counselling",'QA Log'!Z:Z,"Approved"),"")</f>
        <v/>
      </c>
      <c r="BK408" s="105" t="str">
        <f>IF(A408&lt;&gt;"",COUNTIFS('QA Log'!D:D,A408,'QA Log'!M:M,"Vignette",'QA Log'!L:L,"Vignette [9] Birth Spacing: Change FP method to Injectable",'QA Log'!Z:Z,"Approved"),"")</f>
        <v/>
      </c>
      <c r="BL408" s="105" t="str">
        <f>IF(A408&lt;&gt;"",COUNTIFS('QA Log'!D:D,A408,'QA Log'!M:M,"Vignette",'QA Log'!L:L,"Vignette [10] Post Partum Haemorrhage - Atonic Uterus at Health Centre",'QA Log'!Z:Z,"Approved"),"")</f>
        <v/>
      </c>
      <c r="BM408" s="102" t="str">
        <f>IF(A408="","",SUM(
    COUNTIFS('QA Log'!D:D,A408,'QA Log'!M:M,"Vignette",'QA Log'!Z:Z,"Rejected",'QA Log'!L:L,"*Vignette [5] Labor*"),
    COUNTIFS('QA Log'!D:D,A408,'QA Log'!M:M,"Vignette",'QA Log'!Z:Z,"Rejected",'QA Log'!L:L,"*Vignette [6] PNC pre Discharge*"),
    COUNTIFS('QA Log'!D:D,A408,'QA Log'!M:M,"Vignette",'QA Log'!Z:Z,"Rejected",'QA Log'!L:L,"*Vignette [7] First ANC Visit*"),
    COUNTIFS('QA Log'!D:D,A408,'QA Log'!M:M,"Vignette",'QA Log'!Z:Z,"Rejected",'QA Log'!L:L,"*Vignette [8] Birth Spacing/ Family Planning :  FP Counselling*"),
    COUNTIFS('QA Log'!D:D,A408,'QA Log'!M:M,"Vignette",'QA Log'!Z:Z,"Rejected",'QA Log'!L:L,"*Vignette [9] Birth Spacing: Change FP method to Injectable*"),
    COUNTIFS('QA Log'!D:D,A408,'QA Log'!M:M,"Vignette",'QA Log'!Z:Z,"Rejected",'QA Log'!L:L,"*Vignette [10] Post Partum Haemorrhage - Atonic Uterus at Health Centre*")
  )
)</f>
        <v/>
      </c>
      <c r="BN408" s="107" t="str">
        <f t="shared" si="37"/>
        <v/>
      </c>
      <c r="BO408" s="103" t="str">
        <f t="shared" si="38"/>
        <v/>
      </c>
      <c r="BP408" s="102" t="str">
        <f>IF(A408="","",SUM(
COUNTIFS('QA Log'!D:D,A408,'QA Log'!M:M,"Vignette",'QA Log'!L:L,"*Exit Interview 1*"),
COUNTIFS('QA Log'!D:D,A408,'QA Log'!M:M,"Vignette",'QA Log'!L:L,"*Exit Interview 2*"),
)
)</f>
        <v/>
      </c>
      <c r="BQ408" s="102" t="str">
        <f>IF(
  A408="","",
  SUM(
    COUNTIFS('QA Log'!D:D,A408,'QA Log'!M:M,"Vignette",'QA Log'!Z:Z,"Approved",'QA Log'!L:L,"*Exit Interview 1*"),
    COUNTIFS('QA Log'!D:D,A408,'QA Log'!M:M,"Vignette",'QA Log'!Z:Z,"Approved",'QA Log'!L:L,"*Exit Interview 2*")
  )
)</f>
        <v/>
      </c>
      <c r="BR408" s="105" t="str">
        <f>IF(A408&lt;&gt;"",COUNTIFS('QA Log'!D:D,A408,'QA Log'!M:M,"Vignette",'QA Log'!L:L,"Exit Interview 1",'QA Log'!Z:Z,"Approved"),"")</f>
        <v/>
      </c>
      <c r="BS408" s="105" t="str">
        <f>IF(A408&lt;&gt;"",COUNTIFS('QA Log'!D:D,A408,'QA Log'!M:M,"Vignette",'QA Log'!L:L,"Exit Interview 2",'QA Log'!Z:Z,"Approved"),"")</f>
        <v/>
      </c>
      <c r="BT408" s="102" t="str">
        <f>IF(
  A408="","",
  SUM(
    COUNTIFS('QA Log'!D:D,A408,'QA Log'!M:M,"Vignette",'QA Log'!Z:Z,"Rejected",'QA Log'!L:L,"*Exit Interview 1*"),
    COUNTIFS('QA Log'!D:D,A408,'QA Log'!M:M,"Vignette",'QA Log'!Z:Z,"Rejected",'QA Log'!L:L,"*Exit Interview 2*")
  )
)</f>
        <v/>
      </c>
      <c r="BU408" s="107" t="str">
        <f t="shared" si="39"/>
        <v/>
      </c>
      <c r="BV408" s="102" t="str">
        <f t="shared" si="40"/>
        <v/>
      </c>
      <c r="BW408" s="102" t="str">
        <f t="shared" si="41"/>
        <v/>
      </c>
      <c r="BX408" s="102" t="str">
        <f t="shared" si="42"/>
        <v/>
      </c>
      <c r="BY408" s="102" t="str">
        <f t="shared" si="43"/>
        <v/>
      </c>
      <c r="BZ408" s="107" t="str">
        <f t="shared" si="44"/>
        <v/>
      </c>
      <c r="CA408" s="108" t="str">
        <f t="shared" si="45"/>
        <v/>
      </c>
      <c r="CB408" s="108" t="str">
        <f t="shared" si="46"/>
        <v/>
      </c>
      <c r="CC408" s="109" t="str">
        <f t="shared" si="47"/>
        <v/>
      </c>
      <c r="CD408" s="108" t="str">
        <f t="shared" si="48"/>
        <v/>
      </c>
      <c r="CE408" s="108" t="str">
        <f t="shared" si="49"/>
        <v/>
      </c>
      <c r="CF408" s="109" t="str">
        <f t="shared" si="50"/>
        <v/>
      </c>
      <c r="CG408" s="110" t="str">
        <f t="shared" si="51"/>
        <v/>
      </c>
      <c r="CH408" s="111"/>
    </row>
    <row r="409" spans="1:86" ht="12.75">
      <c r="A409" s="101"/>
      <c r="B409" s="102" t="e">
        <f t="array" aca="1" ref="B409" ca="1">_xludf.XLOOKUP(A409,'QA Log'!D:D,'QA Log'!E:E,"")</f>
        <v>#NAME?</v>
      </c>
      <c r="C409" s="102" t="e">
        <f t="array" aca="1" ref="C409" ca="1">_xludf.XLOOKUP(A409,'QA Log'!D:D,'QA Log'!F:F,"")</f>
        <v>#NAME?</v>
      </c>
      <c r="D409" s="102" t="e">
        <f t="array" aca="1" ref="D409" ca="1">_xludf.XLOOKUP(A409,'QA Log'!D:D,'QA Log'!H:H,"")</f>
        <v>#NAME?</v>
      </c>
      <c r="E409" s="102" t="e">
        <f t="array" aca="1" ref="E409" ca="1">_xludf.XLOOKUP(A409,'QA Log'!D:D,'QA Log'!G:G,"")</f>
        <v>#NAME?</v>
      </c>
      <c r="F409" s="103"/>
      <c r="G409" s="104"/>
      <c r="H409" s="104"/>
      <c r="I409" s="103" t="str">
        <f t="shared" si="26"/>
        <v/>
      </c>
      <c r="J409" s="102" t="str">
        <f>IF(A409="","",SUM(
COUNTIFS('QA Log'!D:D,A409,'QA Log'!M:M,"QQC",'QA Log'!L:L,"*1. General Management*"),
COUNTIFS('QA Log'!D:D,A409,'QA Log'!M:M,"QQC",'QA Log'!L:L,"*3. Curative Consultation (OPD)*"),
COUNTIFS('QA Log'!D:D,A409,'QA Log'!M:M,"QQC",'QA Log'!L:L,"*5. Laboratory*"),
COUNTIFS('QA Log'!D:D,A409,'QA Log'!M:M,"QQC",'QA Log'!L:L,"*6. Essential Medicine Management*"),
COUNTIFS('QA Log'!D:D,A409,'QA Log'!M:M,"QQC",'QA Log'!L:L,"*7. Tracer Medicine*"),
COUNTIFS('QA Log'!D:D,A409,'QA Log'!M:M,"QQC",'QA Log'!L:L,"*11. Additional Questions*")))</f>
        <v/>
      </c>
      <c r="K409" s="102" t="str">
        <f>IF(A409="","",SUM(
COUNTIFS('QA Log'!D:D,A409,'QA Log'!M:M,"QQC",'QA Log'!Z:Z,"Approved",'QA Log'!L:L,"*1. General Management*"),
COUNTIFS('QA Log'!D:D,A409,'QA Log'!M:M,"QQC",'QA Log'!Z:Z,"Approved",'QA Log'!L:L,"*3. Curative Consultation (OPD)*"),
COUNTIFS('QA Log'!D:D,A409,'QA Log'!M:M,"QQC",'QA Log'!Z:Z,"Approved",'QA Log'!L:L,"*5. Laboratory*"),
COUNTIFS('QA Log'!D:D,A409,'QA Log'!M:M,"QQC",'QA Log'!Z:Z,"Approved",'QA Log'!L:L,"*6. Essential Medicine Management*"),
COUNTIFS('QA Log'!D:D,A409,'QA Log'!M:M,"QQC",'QA Log'!Z:Z,"Approved",'QA Log'!L:L,"*7. Tracer Medicine*"),
COUNTIFS('QA Log'!D:D,A409,'QA Log'!M:M,"QQC",'QA Log'!Z:Z,"Approved",'QA Log'!L:L,"*11. Additional Questions*")))</f>
        <v/>
      </c>
      <c r="L409" s="102" t="str">
        <f>IF(A409&lt;&gt;"",COUNTIFS('QA Log'!D:D,A409,'QA Log'!M:M,"QQC",'QA Log'!L:L,"1. General Management",'QA Log'!Z:Z,"Approved"),"")</f>
        <v/>
      </c>
      <c r="M409" s="102" t="str">
        <f>IF(A409&lt;&gt;"",COUNTIFS('QA Log'!D:D,A409,'QA Log'!M:M,"QQC",'QA Log'!L:L,"3. Curative Consultation (OPD)",'QA Log'!Z:Z,"Approved"),"")</f>
        <v/>
      </c>
      <c r="N409" s="102" t="str">
        <f>IF(A409&lt;&gt;"",COUNTIFS('QA Log'!D:D,A409,'QA Log'!M:M,"QQC",'QA Log'!L:L,"5. Laboratory",'QA Log'!Z:Z,"Approved"),"")</f>
        <v/>
      </c>
      <c r="O409" s="102" t="str">
        <f>IF(A409&lt;&gt;"",COUNTIFS('QA Log'!D:D,A409,'QA Log'!M:M,"QQC",'QA Log'!L:L,"6. Essential Medicine Management",'QA Log'!Z:Z,"Approved"),"")</f>
        <v/>
      </c>
      <c r="P409" s="102" t="str">
        <f>IF(A409&lt;&gt;"",COUNTIFS('QA Log'!D:D,A409,'QA Log'!M:M,"QQC",'QA Log'!L:L,"7. Tracer Medicine",'QA Log'!Z:Z,"Approved"),"")</f>
        <v/>
      </c>
      <c r="Q409" s="102" t="str">
        <f>IF(A409&lt;&gt;"",COUNTIFS('QA Log'!D:D,A409,'QA Log'!M:M,"QQC",'QA Log'!L:L,"11. Additional Questions",'QA Log'!Z:Z,"Approved"),"")</f>
        <v/>
      </c>
      <c r="R409" s="102" t="str">
        <f>IF(A409="","",SUM(
COUNTIFS('QA Log'!D:D,A409,'QA Log'!M:M,"QQC",'QA Log'!Z:Z,"Rejected",'QA Log'!L:L,"*8. Maternity*"),
COUNTIFS('QA Log'!D:D,A409,'QA Log'!M:M,"QQC",'QA Log'!Z:Z,"Rejected",'QA Log'!L:L,"*EPI*"),
COUNTIFS('QA Log'!D:D,A409,'QA Log'!M:M,"QQC",'QA Log'!Z:Z,"Rejected",'QA Log'!L:L,"*10. Antenatal Care (ANC)*"),
COUNTIFS('QA Log'!D:D,A409,'QA Log'!M:M,"QQC",'QA Log'!Z:Z,"Rejected",'QA Log'!L:L,"*2. Hygiene and Sterilization*"),
COUNTIFS('QA Log'!D:D,A409,'QA Log'!M:M,"QQC",'QA Log'!Z:Z,"Rejected",'QA Log'!L:L,"*Family Planning*")))</f>
        <v/>
      </c>
      <c r="S409" s="106" t="str">
        <f t="shared" si="27"/>
        <v/>
      </c>
      <c r="T409" s="102" t="str">
        <f t="shared" si="28"/>
        <v/>
      </c>
      <c r="U409" s="102" t="str">
        <f>IF(A409="","",
SUM(
COUNTIFS('QA Log'!D:D,A409,'QA Log'!M:M,"QQC",'QA Log'!L:L,"*8. Maternity*"),
COUNTIFS('QA Log'!D:D,A409,'QA Log'!M:M,"QQC",'QA Log'!L:L,"*9. EPI and Pre-school Consultation*"),
COUNTIFS('QA Log'!D:D,A409,'QA Log'!M:M,"QQC",'QA Log'!L:L,"*10. Antenatal Care (ANC)*"),
COUNTIFS('QA Log'!D:D,A409,'QA Log'!M:M,"QQC",'QA Log'!L:L,"*2. Hygiene and Sterilization*"),
COUNTIFS('QA Log'!D:D,A409,'QA Log'!M:M,"QQC",'QA Log'!L:L,"*4. Family Planning*")
))</f>
        <v/>
      </c>
      <c r="V409" s="102" t="str">
        <f>IF(A409="","",
SUM(
COUNTIFS('QA Log'!D:D,A409,'QA Log'!M:M,"QQC",'QA Log'!Z:Z,"Approved",'QA Log'!L:L,"*8. Maternity*"),
COUNTIFS('QA Log'!D:D,A409,'QA Log'!M:M,"QQC",'QA Log'!Z:Z,"Approved",'QA Log'!L:L,"*9. EPI and Pre-school Consultation*"),
COUNTIFS('QA Log'!D:D,A409,'QA Log'!M:M,"QQC",'QA Log'!Z:Z,"Approved",'QA Log'!L:L,"*10. Antenatal Care (ANC)*"),
COUNTIFS('QA Log'!D:D,A409,'QA Log'!M:M,"QQC",'QA Log'!Z:Z,"Approved",'QA Log'!L:L,"*2. Hygiene and Sterilization*"),
COUNTIFS('QA Log'!D:D,A409,'QA Log'!M:M,"QQC",'QA Log'!Z:Z,"Approved",'QA Log'!L:L,"*4. Family Planning*")
))</f>
        <v/>
      </c>
      <c r="W409" s="102" t="str">
        <f>IF(A409&lt;&gt;"",COUNTIFS('QA Log'!D:D,A409,'QA Log'!M:M,"QQC",'QA Log'!L:L,"8. Maternity",'QA Log'!Z:Z,"Approved"),"")</f>
        <v/>
      </c>
      <c r="X409" s="105" t="str">
        <f>IF(A409&lt;&gt;"",COUNTIFS('QA Log'!D:D,A409,'QA Log'!M:M,"QQC",'QA Log'!L:L,"9. EPI and Pre-school Consultation",'QA Log'!Z:Z,"Approved"),"")</f>
        <v/>
      </c>
      <c r="Y409" s="102" t="str">
        <f>IF(A409&lt;&gt;"",COUNTIFS('QA Log'!D:D,A409,'QA Log'!M:M,"QQC",'QA Log'!L:L,"10. Antenatal Care (ANC)",'QA Log'!Z:Z,"Approved"),"")</f>
        <v/>
      </c>
      <c r="Z409" s="102" t="str">
        <f>IF(A409&lt;&gt;"",COUNTIFS('QA Log'!D:D,A409,'QA Log'!M:M,"QQC",'QA Log'!L:L,"2. Hygiene and Sterilization",'QA Log'!Z:Z,"Approved"),"")</f>
        <v/>
      </c>
      <c r="AA409" s="105" t="str">
        <f>IF(A409&lt;&gt;"",COUNTIFS('QA Log'!D:D,A409,'QA Log'!M:M,"QQC",'QA Log'!L:L,"4. Family Planning",'QA Log'!Z:Z,"Approved"),"")</f>
        <v/>
      </c>
      <c r="AB409" s="102" t="str">
        <f>IF(A409="","",
SUM(
COUNTIFS('QA Log'!D:D,A409,'QA Log'!M:M,"QQC",'QA Log'!Z:Z,"Rejected",'QA Log'!L:L,"*8. Maternity*"),
COUNTIFS('QA Log'!D:D,A409,'QA Log'!M:M,"QQC",'QA Log'!Z:Z,"Rejected",'QA Log'!L:L,"*9. EPI and Pre-school Consultation*"),
COUNTIFS('QA Log'!D:D,A409,'QA Log'!M:M,"QQC",'QA Log'!Z:Z,"Rejected",'QA Log'!L:L,"*10. Antenatal Care (ANC)*"),
COUNTIFS('QA Log'!D:D,A409,'QA Log'!M:M,"QQC",'QA Log'!Z:Z,"Rejected",'QA Log'!L:L,"*2. Hygiene and Sterilization*"),
COUNTIFS('QA Log'!D:D,A409,'QA Log'!M:M,"QQC",'QA Log'!Z:Z,"Rejected",'QA Log'!L:L,"*4. Family Planning*")
))</f>
        <v/>
      </c>
      <c r="AC409" s="102" t="str">
        <f t="shared" si="29"/>
        <v/>
      </c>
      <c r="AD409" s="103" t="str">
        <f t="shared" si="30"/>
        <v/>
      </c>
      <c r="AE409" s="102" t="str">
        <f>IF(A409="","",
SUM(
COUNTIFS('QA Log'!D:D,A409,'QA Log'!M:M,"Data Verification",'QA Log'!L:L,"*Medicine (section 2)*"),
COUNTIFS('QA Log'!D:D,A409,'QA Log'!M:M,"Data Verification",'QA Log'!L:L,"*Lab Testing Availability*"),
COUNTIFS('QA Log'!D:D,A409,'QA Log'!M:M,"Data Verification",'QA Log'!L:L,"*Other than P4P (section 6)*"),
COUNTIFS('QA Log'!D:D,A409,'QA Log'!M:M,"Data Verification",'QA Log'!L:L,"*Hospital Governance*")
))</f>
        <v/>
      </c>
      <c r="AF409" s="102" t="str">
        <f>IF(A409="","",
SUM(
COUNTIFS('QA Log'!D:D,A409,'QA Log'!M:M,"Data Verification",'QA Log'!Z:Z,"Approved",'QA Log'!L:L,"*Medicine (section 2)*"),
COUNTIFS('QA Log'!D:D,A409,'QA Log'!M:M,"Data Verification",'QA Log'!Z:Z,"Approved",'QA Log'!L:L,"*Lab Testing Availability*"),
COUNTIFS('QA Log'!D:D,A409,'QA Log'!M:M,"Data Verification",'QA Log'!Z:Z,"Approved",'QA Log'!L:L,"*Other than P4P (section 6)*"),
COUNTIFS('QA Log'!D:D,A409,'QA Log'!M:M,"Data Verification",'QA Log'!Z:Z,"Approved",'QA Log'!L:L,"*Hospital Governance*")
))</f>
        <v/>
      </c>
      <c r="AG409" s="105" t="str">
        <f>IF(A409&lt;&gt;"",COUNTIFS('QA Log'!D:D,A409,'QA Log'!M:M,"Data Verification",'QA Log'!L:L,"Medicine (section 2)",'QA Log'!Z:Z,"Approved"),"")</f>
        <v/>
      </c>
      <c r="AH409" s="105" t="str">
        <f>IF(A409&lt;&gt;"",COUNTIFS('QA Log'!D:D,A409,'QA Log'!M:M,"Data Verification",'QA Log'!L:L,"Lab Testing Availability",'QA Log'!Z:Z,"Approved"),"")</f>
        <v/>
      </c>
      <c r="AI409" s="105" t="str">
        <f>IF(A409&lt;&gt;"",COUNTIFS('QA Log'!D:D,A409,'QA Log'!M:M,"Data Verification",'QA Log'!L:L,"Other than P4P (section 6)",'QA Log'!Z:Z,"Approved"),"")</f>
        <v/>
      </c>
      <c r="AJ409" s="105" t="str">
        <f>IF(A409&lt;&gt;"",COUNTIFS('QA Log'!D:D,A409,'QA Log'!M:M,"Data Verification",'QA Log'!L:L,"Hospital Governance",'QA Log'!Z:Z,"Approved"),"")</f>
        <v/>
      </c>
      <c r="AK409" s="102" t="str">
        <f>IF(A409="","",
SUM(
COUNTIFS('QA Log'!D:D,A409,'QA Log'!M:M,"Data Verification",'QA Log'!Z:Z,"Rejected",'QA Log'!L:L,"*Medicine (section 2)*"),
COUNTIFS('QA Log'!D:D,A409,'QA Log'!M:M,"Data Verification",'QA Log'!Z:Z,"Rejected",'QA Log'!L:L,"*Lab Testing Availability*"),
COUNTIFS('QA Log'!D:D,A409,'QA Log'!M:M,"Data Verification",'QA Log'!Z:Z,"Rejected",'QA Log'!L:L,"*Other than P4P (section 6)*"),
COUNTIFS('QA Log'!D:D,A409,'QA Log'!M:M,"Data Verification",'QA Log'!Z:Z,"Rejected",'QA Log'!L:L,"*Hospital Governance*")
))</f>
        <v/>
      </c>
      <c r="AL409" s="106" t="str">
        <f t="shared" si="31"/>
        <v/>
      </c>
      <c r="AM409" s="102" t="str">
        <f t="shared" si="32"/>
        <v/>
      </c>
      <c r="AN409" s="102" t="str">
        <f>IF(A409="","",
SUM(
COUNTIFS('QA Log'!D:D,A409,'QA Log'!M:M,"Data Verification",'QA Log'!L:L,"*Personnel (section 1)*"),
COUNTIFS('QA Log'!D:D,A409,'QA Log'!M:M,"Data Verification",'QA Log'!L:L,"*Consumable (section 3)*"),
COUNTIFS('QA Log'!D:D,A409,'QA Log'!M:M,"Data Verification",'QA Log'!L:L,"*Equipments (section 4)*")
))</f>
        <v/>
      </c>
      <c r="AO409" s="102" t="str">
        <f>IF(A409="","",
SUM(
COUNTIFS('QA Log'!D:D,A409,'QA Log'!M:M,"Data Verification",'QA Log'!Z:Z,"Approved",'QA Log'!L:L,"*Personnel (section 1)*"),
COUNTIFS('QA Log'!D:D,A409,'QA Log'!M:M,"Data Verification",'QA Log'!Z:Z,"Approved",'QA Log'!L:L,"*Consumable (section 3)*"),
COUNTIFS('QA Log'!D:D,A409,'QA Log'!M:M,"Data Verification",'QA Log'!Z:Z,"Approved",'QA Log'!L:L,"*Equipments (section 4)*")
))</f>
        <v/>
      </c>
      <c r="AP409" s="105" t="str">
        <f>IF(A409&lt;&gt;"",COUNTIFS('QA Log'!D:D,A409,'QA Log'!M:M,"Data Verification",'QA Log'!L:L,"Personnel (section 1)",'QA Log'!Z:Z,"Approved"),"")</f>
        <v/>
      </c>
      <c r="AQ409" s="105" t="str">
        <f>IF(A409&lt;&gt;"",COUNTIFS('QA Log'!D:D,A409,'QA Log'!M:M,"Data Verification",'QA Log'!L:L,"Consumable (section 3)",'QA Log'!Z:Z,"Approved"),"")</f>
        <v/>
      </c>
      <c r="AR409" s="105" t="str">
        <f>IF(A409&lt;&gt;"",COUNTIFS('QA Log'!D:D,A409,'QA Log'!M:M,"Data Verification",'QA Log'!L:L,"Equipments (section 4)",'QA Log'!Z:Z,"Approved"),"")</f>
        <v/>
      </c>
      <c r="AS409" s="102" t="str">
        <f>IF(A409="","",
SUM(
COUNTIFS('QA Log'!D:D,A409,'QA Log'!M:M,"Data Verification",'QA Log'!Z:Z,"Rejected",'QA Log'!L:L,"*Personnel (section 1)*"),
COUNTIFS('QA Log'!D:D,A409,'QA Log'!M:M,"Data Verification",'QA Log'!Z:Z,"Rejected",'QA Log'!L:L,"*Consumable (section 3)*"),
COUNTIFS('QA Log'!D:D,A409,'QA Log'!M:M,"Data Verification",'QA Log'!Z:Z,"Rejected",'QA Log'!L:L,"*Equipments (section 4)*")
))</f>
        <v/>
      </c>
      <c r="AT409" s="102" t="str">
        <f t="shared" si="33"/>
        <v/>
      </c>
      <c r="AU409" s="103" t="str">
        <f t="shared" si="34"/>
        <v/>
      </c>
      <c r="AV409" s="102" t="str">
        <f>IF(A409="","",SUM(
COUNTIFS('QA Log'!D:D,A409,'QA Log'!M:M,"Vignette",'QA Log'!L:L,"*Vignette [1] Respiratory Infection: Pneumonia*"),
COUNTIFS('QA Log'!D:D,A409,'QA Log'!M:M,"Vignette",'QA Log'!L:L,"*Vignette [2]: Diarrhea with Cat B dehydration*"),
COUNTIFS('QA Log'!D:D,A409,'QA Log'!M:M,"Vignette",'QA Log'!L:L,"*Vignette [3] Growth Monitoring and Promotion*"),
COUNTIFS('QA Log'!D:D,A409,'QA Log'!M:M,"Vignette",'QA Log'!L:L,"*Vignette [4]: The management of presumptive TB patient*")
)
)</f>
        <v/>
      </c>
      <c r="AW409" s="102" t="str">
        <f>IF(
  A409="","",
  SUM(
    COUNTIFS('QA Log'!D:D,A409,'QA Log'!M:M,"Vignette",'QA Log'!Z:Z,"Approved",'QA Log'!L:L,"*Vignette [1] Respiratory Infection: Pneumonia*"),
    COUNTIFS('QA Log'!D:D,A409,'QA Log'!M:M,"Vignette",'QA Log'!Z:Z,"Approved",'QA Log'!L:L,"*Vignette [2]: Diarrhea with Cat B dehydration*"),
    COUNTIFS('QA Log'!D:D,A409,'QA Log'!M:M,"Vignette",'QA Log'!Z:Z,"Approved",'QA Log'!L:L,"*Vignette [3] Growth Monitoring and Promotion*"),
    COUNTIFS('QA Log'!D:D,A409,'QA Log'!M:M,"Vignette",'QA Log'!Z:Z,"Approved",'QA Log'!L:L,"*Vignette [4]: The management of presumptive TB patient*")
  )
)</f>
        <v/>
      </c>
      <c r="AX409" s="105" t="str">
        <f>IF(A409&lt;&gt;"",COUNTIFS('QA Log'!D:D,A409,'QA Log'!M:M,"Vignette",'QA Log'!L:L,"Vignette [1] Respiratory Infection: Pneumonia",'QA Log'!Z:Z,"Approved"),"")</f>
        <v/>
      </c>
      <c r="AY409" s="105" t="str">
        <f>IF(A409&lt;&gt;"",COUNTIFS('QA Log'!D:D,A409,'QA Log'!M:M,"Vignette",'QA Log'!L:L,"Vignette [2]: Diarrhea with Cat B dehydration",'QA Log'!Z:Z,"Approved"),"")</f>
        <v/>
      </c>
      <c r="AZ409" s="105" t="str">
        <f>IF(A409&lt;&gt;"",COUNTIFS('QA Log'!D:D,A409,'QA Log'!M:M,"Vignette",'QA Log'!L:L,"Vignette [3] Growth Monitoring and Promotion",'QA Log'!Z:Z,"Approved"),"")</f>
        <v/>
      </c>
      <c r="BA409" s="105" t="str">
        <f>IF(A409&lt;&gt;"",COUNTIFS('QA Log'!D:D,A409,'QA Log'!M:M,"Vignette",'QA Log'!L:L,"Vignette [4]: The management of presumptive TB patient",'QA Log'!Z:Z,"Approved"),"")</f>
        <v/>
      </c>
      <c r="BB409" s="102" t="str">
        <f>IF(A409="","",
  SUM(
    COUNTIFS('QA Log'!D:D,A409,'QA Log'!M:M,"Vignette",'QA Log'!Z:Z,"Rejected",'QA Log'!L:L,"*Vignette [1] Respiratory Infection: Pneumonia*"),
    COUNTIFS('QA Log'!D:D,A409,'QA Log'!M:M,"Vignette",'QA Log'!Z:Z,"Rejected",'QA Log'!L:L,"*Vignette [2]: Diarrhea with Cat B dehydration*"),
    COUNTIFS('QA Log'!D:D,A409,'QA Log'!M:M,"Vignette",'QA Log'!Z:Z,"Rejected",'QA Log'!L:L,"*Vignette [3] Growth Monitoring and Promotion*"),
    COUNTIFS('QA Log'!D:D,A409,'QA Log'!M:M,"Vignette",'QA Log'!Z:Z,"Rejected",'QA Log'!L:L,"*Vignette [4]: The management of presumptive TB patient*")
  )
)</f>
        <v/>
      </c>
      <c r="BC409" s="107" t="str">
        <f t="shared" si="35"/>
        <v/>
      </c>
      <c r="BD409" s="103" t="str">
        <f t="shared" si="36"/>
        <v/>
      </c>
      <c r="BE409" s="102" t="str">
        <f>IF(A409="","",SUM(
COUNTIFS('QA Log'!D:D,A409,'QA Log'!M:M,"Vignette",'QA Log'!L:L,"*Vignette [5] Labor*"),
COUNTIFS('QA Log'!D:D,A409,'QA Log'!M:M,"Vignette",'QA Log'!L:L,"*Vignette [6] PNC pre Discharge*"),
COUNTIFS('QA Log'!D:D,A409,'QA Log'!M:M,"Vignette",'QA Log'!L:L,"*Vignette [7] First ANC Visit*"),
COUNTIFS('QA Log'!D:D,A409,'QA Log'!M:M,"Vignette",'QA Log'!L:L,"*Vignette [8] Birth Spacing/ Family Planning :  FP Counselling*"),
COUNTIFS('QA Log'!D:D,A409,'QA Log'!M:M,"Vignette",'QA Log'!L:L,"*Vignette [9] Birth Spacing: Change FP method to Injectable*"),
COUNTIFS('QA Log'!D:D,A409,'QA Log'!M:M,"Vignette",'QA Log'!L:L,"*Vignette [10] Post Partum Haemorrhage - Atonic Uterus at Health Centre*"),
)
)</f>
        <v/>
      </c>
      <c r="BF409" s="102" t="str">
        <f>IF(A409="","",
  SUM(
    COUNTIFS('QA Log'!D:D,A409,'QA Log'!M:M,"Vignette",'QA Log'!Z:Z,"Approved",'QA Log'!L:L,"*Vignette [5] Labor*"),
    COUNTIFS('QA Log'!D:D,A409,'QA Log'!M:M,"Vignette",'QA Log'!Z:Z,"Approved",'QA Log'!L:L,"*Vignette [6] PNC pre Discharge*"),
    COUNTIFS('QA Log'!D:D,A409,'QA Log'!M:M,"Vignette",'QA Log'!Z:Z,"Approved",'QA Log'!L:L,"*Vignette [7] First ANC Visit*"),
    COUNTIFS('QA Log'!D:D,A409,'QA Log'!M:M,"Vignette",'QA Log'!Z:Z,"Approved",'QA Log'!L:L,"*Vignette [8] Birth Spacing/ Family Planning :  FP Counselling*"),
    COUNTIFS('QA Log'!D:D,A409,'QA Log'!M:M,"Vignette",'QA Log'!Z:Z,"Approved",'QA Log'!L:L,"*Vignette [9] Birth Spacing: Change FP method to Injectable*"),
    COUNTIFS('QA Log'!D:D,A409,'QA Log'!M:M,"Vignette",'QA Log'!Z:Z,"Approved",'QA Log'!L:L,"*Vignette [10] Post Partum Haemorrhage - Atonic Uterus at Health Centre*")
  )
)</f>
        <v/>
      </c>
      <c r="BG409" s="105" t="str">
        <f>IF(A409&lt;&gt;"",COUNTIFS('QA Log'!D:D,A409,'QA Log'!M:M,"Vignette",'QA Log'!L:L,"Vignette [5] Labor",'QA Log'!Z:Z,"Approved"),"")</f>
        <v/>
      </c>
      <c r="BH409" s="105" t="str">
        <f>IF(A409&lt;&gt;"",COUNTIFS('QA Log'!D:D,A409,'QA Log'!M:M,"Vignette",'QA Log'!L:L,"Vignette [6] PNC pre Discharge",'QA Log'!Z:Z,"Approved"),"")</f>
        <v/>
      </c>
      <c r="BI409" s="105" t="str">
        <f>IF(A409&lt;&gt;"",COUNTIFS('QA Log'!D:D,A409,'QA Log'!M:M,"Vignette",'QA Log'!L:L,"Vignette [7] First ANC Visit",'QA Log'!Z:Z,"Approved"),"")</f>
        <v/>
      </c>
      <c r="BJ409" s="105" t="str">
        <f>IF(A409&lt;&gt;"",COUNTIFS('QA Log'!D:D,A409,'QA Log'!M:M,"Vignette",'QA Log'!L:L,"Vignette [8] Birth Spacing/ Family Planning :  FP Counselling",'QA Log'!Z:Z,"Approved"),"")</f>
        <v/>
      </c>
      <c r="BK409" s="105" t="str">
        <f>IF(A409&lt;&gt;"",COUNTIFS('QA Log'!D:D,A409,'QA Log'!M:M,"Vignette",'QA Log'!L:L,"Vignette [9] Birth Spacing: Change FP method to Injectable",'QA Log'!Z:Z,"Approved"),"")</f>
        <v/>
      </c>
      <c r="BL409" s="105" t="str">
        <f>IF(A409&lt;&gt;"",COUNTIFS('QA Log'!D:D,A409,'QA Log'!M:M,"Vignette",'QA Log'!L:L,"Vignette [10] Post Partum Haemorrhage - Atonic Uterus at Health Centre",'QA Log'!Z:Z,"Approved"),"")</f>
        <v/>
      </c>
      <c r="BM409" s="102" t="str">
        <f>IF(A409="","",SUM(
    COUNTIFS('QA Log'!D:D,A409,'QA Log'!M:M,"Vignette",'QA Log'!Z:Z,"Rejected",'QA Log'!L:L,"*Vignette [5] Labor*"),
    COUNTIFS('QA Log'!D:D,A409,'QA Log'!M:M,"Vignette",'QA Log'!Z:Z,"Rejected",'QA Log'!L:L,"*Vignette [6] PNC pre Discharge*"),
    COUNTIFS('QA Log'!D:D,A409,'QA Log'!M:M,"Vignette",'QA Log'!Z:Z,"Rejected",'QA Log'!L:L,"*Vignette [7] First ANC Visit*"),
    COUNTIFS('QA Log'!D:D,A409,'QA Log'!M:M,"Vignette",'QA Log'!Z:Z,"Rejected",'QA Log'!L:L,"*Vignette [8] Birth Spacing/ Family Planning :  FP Counselling*"),
    COUNTIFS('QA Log'!D:D,A409,'QA Log'!M:M,"Vignette",'QA Log'!Z:Z,"Rejected",'QA Log'!L:L,"*Vignette [9] Birth Spacing: Change FP method to Injectable*"),
    COUNTIFS('QA Log'!D:D,A409,'QA Log'!M:M,"Vignette",'QA Log'!Z:Z,"Rejected",'QA Log'!L:L,"*Vignette [10] Post Partum Haemorrhage - Atonic Uterus at Health Centre*")
  )
)</f>
        <v/>
      </c>
      <c r="BN409" s="107" t="str">
        <f t="shared" si="37"/>
        <v/>
      </c>
      <c r="BO409" s="103" t="str">
        <f t="shared" si="38"/>
        <v/>
      </c>
      <c r="BP409" s="102" t="str">
        <f>IF(A409="","",SUM(
COUNTIFS('QA Log'!D:D,A409,'QA Log'!M:M,"Vignette",'QA Log'!L:L,"*Exit Interview 1*"),
COUNTIFS('QA Log'!D:D,A409,'QA Log'!M:M,"Vignette",'QA Log'!L:L,"*Exit Interview 2*"),
)
)</f>
        <v/>
      </c>
      <c r="BQ409" s="102" t="str">
        <f>IF(
  A409="","",
  SUM(
    COUNTIFS('QA Log'!D:D,A409,'QA Log'!M:M,"Vignette",'QA Log'!Z:Z,"Approved",'QA Log'!L:L,"*Exit Interview 1*"),
    COUNTIFS('QA Log'!D:D,A409,'QA Log'!M:M,"Vignette",'QA Log'!Z:Z,"Approved",'QA Log'!L:L,"*Exit Interview 2*")
  )
)</f>
        <v/>
      </c>
      <c r="BR409" s="105" t="str">
        <f>IF(A409&lt;&gt;"",COUNTIFS('QA Log'!D:D,A409,'QA Log'!M:M,"Vignette",'QA Log'!L:L,"Exit Interview 1",'QA Log'!Z:Z,"Approved"),"")</f>
        <v/>
      </c>
      <c r="BS409" s="105" t="str">
        <f>IF(A409&lt;&gt;"",COUNTIFS('QA Log'!D:D,A409,'QA Log'!M:M,"Vignette",'QA Log'!L:L,"Exit Interview 2",'QA Log'!Z:Z,"Approved"),"")</f>
        <v/>
      </c>
      <c r="BT409" s="102" t="str">
        <f>IF(
  A409="","",
  SUM(
    COUNTIFS('QA Log'!D:D,A409,'QA Log'!M:M,"Vignette",'QA Log'!Z:Z,"Rejected",'QA Log'!L:L,"*Exit Interview 1*"),
    COUNTIFS('QA Log'!D:D,A409,'QA Log'!M:M,"Vignette",'QA Log'!Z:Z,"Rejected",'QA Log'!L:L,"*Exit Interview 2*")
  )
)</f>
        <v/>
      </c>
      <c r="BU409" s="107" t="str">
        <f t="shared" si="39"/>
        <v/>
      </c>
      <c r="BV409" s="102" t="str">
        <f t="shared" si="40"/>
        <v/>
      </c>
      <c r="BW409" s="102" t="str">
        <f t="shared" si="41"/>
        <v/>
      </c>
      <c r="BX409" s="102" t="str">
        <f t="shared" si="42"/>
        <v/>
      </c>
      <c r="BY409" s="102" t="str">
        <f t="shared" si="43"/>
        <v/>
      </c>
      <c r="BZ409" s="107" t="str">
        <f t="shared" si="44"/>
        <v/>
      </c>
      <c r="CA409" s="108" t="str">
        <f t="shared" si="45"/>
        <v/>
      </c>
      <c r="CB409" s="108" t="str">
        <f t="shared" si="46"/>
        <v/>
      </c>
      <c r="CC409" s="109" t="str">
        <f t="shared" si="47"/>
        <v/>
      </c>
      <c r="CD409" s="108" t="str">
        <f t="shared" si="48"/>
        <v/>
      </c>
      <c r="CE409" s="108" t="str">
        <f t="shared" si="49"/>
        <v/>
      </c>
      <c r="CF409" s="109" t="str">
        <f t="shared" si="50"/>
        <v/>
      </c>
      <c r="CG409" s="110" t="str">
        <f t="shared" si="51"/>
        <v/>
      </c>
      <c r="CH409" s="111"/>
    </row>
    <row r="410" spans="1:86" ht="12.75">
      <c r="A410" s="101"/>
      <c r="B410" s="102" t="e">
        <f t="array" aca="1" ref="B410" ca="1">_xludf.XLOOKUP(A410,'QA Log'!D:D,'QA Log'!E:E,"")</f>
        <v>#NAME?</v>
      </c>
      <c r="C410" s="102" t="e">
        <f t="array" aca="1" ref="C410" ca="1">_xludf.XLOOKUP(A410,'QA Log'!D:D,'QA Log'!F:F,"")</f>
        <v>#NAME?</v>
      </c>
      <c r="D410" s="102" t="e">
        <f t="array" aca="1" ref="D410" ca="1">_xludf.XLOOKUP(A410,'QA Log'!D:D,'QA Log'!H:H,"")</f>
        <v>#NAME?</v>
      </c>
      <c r="E410" s="102" t="e">
        <f t="array" aca="1" ref="E410" ca="1">_xludf.XLOOKUP(A410,'QA Log'!D:D,'QA Log'!G:G,"")</f>
        <v>#NAME?</v>
      </c>
      <c r="F410" s="103"/>
      <c r="G410" s="104"/>
      <c r="H410" s="104"/>
      <c r="I410" s="103" t="str">
        <f t="shared" si="26"/>
        <v/>
      </c>
      <c r="J410" s="102" t="str">
        <f>IF(A410="","",SUM(
COUNTIFS('QA Log'!D:D,A410,'QA Log'!M:M,"QQC",'QA Log'!L:L,"*1. General Management*"),
COUNTIFS('QA Log'!D:D,A410,'QA Log'!M:M,"QQC",'QA Log'!L:L,"*3. Curative Consultation (OPD)*"),
COUNTIFS('QA Log'!D:D,A410,'QA Log'!M:M,"QQC",'QA Log'!L:L,"*5. Laboratory*"),
COUNTIFS('QA Log'!D:D,A410,'QA Log'!M:M,"QQC",'QA Log'!L:L,"*6. Essential Medicine Management*"),
COUNTIFS('QA Log'!D:D,A410,'QA Log'!M:M,"QQC",'QA Log'!L:L,"*7. Tracer Medicine*"),
COUNTIFS('QA Log'!D:D,A410,'QA Log'!M:M,"QQC",'QA Log'!L:L,"*11. Additional Questions*")))</f>
        <v/>
      </c>
      <c r="K410" s="102" t="str">
        <f>IF(A410="","",SUM(
COUNTIFS('QA Log'!D:D,A410,'QA Log'!M:M,"QQC",'QA Log'!Z:Z,"Approved",'QA Log'!L:L,"*1. General Management*"),
COUNTIFS('QA Log'!D:D,A410,'QA Log'!M:M,"QQC",'QA Log'!Z:Z,"Approved",'QA Log'!L:L,"*3. Curative Consultation (OPD)*"),
COUNTIFS('QA Log'!D:D,A410,'QA Log'!M:M,"QQC",'QA Log'!Z:Z,"Approved",'QA Log'!L:L,"*5. Laboratory*"),
COUNTIFS('QA Log'!D:D,A410,'QA Log'!M:M,"QQC",'QA Log'!Z:Z,"Approved",'QA Log'!L:L,"*6. Essential Medicine Management*"),
COUNTIFS('QA Log'!D:D,A410,'QA Log'!M:M,"QQC",'QA Log'!Z:Z,"Approved",'QA Log'!L:L,"*7. Tracer Medicine*"),
COUNTIFS('QA Log'!D:D,A410,'QA Log'!M:M,"QQC",'QA Log'!Z:Z,"Approved",'QA Log'!L:L,"*11. Additional Questions*")))</f>
        <v/>
      </c>
      <c r="L410" s="102" t="str">
        <f>IF(A410&lt;&gt;"",COUNTIFS('QA Log'!D:D,A410,'QA Log'!M:M,"QQC",'QA Log'!L:L,"1. General Management",'QA Log'!Z:Z,"Approved"),"")</f>
        <v/>
      </c>
      <c r="M410" s="102" t="str">
        <f>IF(A410&lt;&gt;"",COUNTIFS('QA Log'!D:D,A410,'QA Log'!M:M,"QQC",'QA Log'!L:L,"3. Curative Consultation (OPD)",'QA Log'!Z:Z,"Approved"),"")</f>
        <v/>
      </c>
      <c r="N410" s="102" t="str">
        <f>IF(A410&lt;&gt;"",COUNTIFS('QA Log'!D:D,A410,'QA Log'!M:M,"QQC",'QA Log'!L:L,"5. Laboratory",'QA Log'!Z:Z,"Approved"),"")</f>
        <v/>
      </c>
      <c r="O410" s="102" t="str">
        <f>IF(A410&lt;&gt;"",COUNTIFS('QA Log'!D:D,A410,'QA Log'!M:M,"QQC",'QA Log'!L:L,"6. Essential Medicine Management",'QA Log'!Z:Z,"Approved"),"")</f>
        <v/>
      </c>
      <c r="P410" s="102" t="str">
        <f>IF(A410&lt;&gt;"",COUNTIFS('QA Log'!D:D,A410,'QA Log'!M:M,"QQC",'QA Log'!L:L,"7. Tracer Medicine",'QA Log'!Z:Z,"Approved"),"")</f>
        <v/>
      </c>
      <c r="Q410" s="102" t="str">
        <f>IF(A410&lt;&gt;"",COUNTIFS('QA Log'!D:D,A410,'QA Log'!M:M,"QQC",'QA Log'!L:L,"11. Additional Questions",'QA Log'!Z:Z,"Approved"),"")</f>
        <v/>
      </c>
      <c r="R410" s="102" t="str">
        <f>IF(A410="","",SUM(
COUNTIFS('QA Log'!D:D,A410,'QA Log'!M:M,"QQC",'QA Log'!Z:Z,"Rejected",'QA Log'!L:L,"*8. Maternity*"),
COUNTIFS('QA Log'!D:D,A410,'QA Log'!M:M,"QQC",'QA Log'!Z:Z,"Rejected",'QA Log'!L:L,"*EPI*"),
COUNTIFS('QA Log'!D:D,A410,'QA Log'!M:M,"QQC",'QA Log'!Z:Z,"Rejected",'QA Log'!L:L,"*10. Antenatal Care (ANC)*"),
COUNTIFS('QA Log'!D:D,A410,'QA Log'!M:M,"QQC",'QA Log'!Z:Z,"Rejected",'QA Log'!L:L,"*2. Hygiene and Sterilization*"),
COUNTIFS('QA Log'!D:D,A410,'QA Log'!M:M,"QQC",'QA Log'!Z:Z,"Rejected",'QA Log'!L:L,"*Family Planning*")))</f>
        <v/>
      </c>
      <c r="S410" s="106" t="str">
        <f t="shared" si="27"/>
        <v/>
      </c>
      <c r="T410" s="102" t="str">
        <f t="shared" si="28"/>
        <v/>
      </c>
      <c r="U410" s="102" t="str">
        <f>IF(A410="","",
SUM(
COUNTIFS('QA Log'!D:D,A410,'QA Log'!M:M,"QQC",'QA Log'!L:L,"*8. Maternity*"),
COUNTIFS('QA Log'!D:D,A410,'QA Log'!M:M,"QQC",'QA Log'!L:L,"*9. EPI and Pre-school Consultation*"),
COUNTIFS('QA Log'!D:D,A410,'QA Log'!M:M,"QQC",'QA Log'!L:L,"*10. Antenatal Care (ANC)*"),
COUNTIFS('QA Log'!D:D,A410,'QA Log'!M:M,"QQC",'QA Log'!L:L,"*2. Hygiene and Sterilization*"),
COUNTIFS('QA Log'!D:D,A410,'QA Log'!M:M,"QQC",'QA Log'!L:L,"*4. Family Planning*")
))</f>
        <v/>
      </c>
      <c r="V410" s="102" t="str">
        <f>IF(A410="","",
SUM(
COUNTIFS('QA Log'!D:D,A410,'QA Log'!M:M,"QQC",'QA Log'!Z:Z,"Approved",'QA Log'!L:L,"*8. Maternity*"),
COUNTIFS('QA Log'!D:D,A410,'QA Log'!M:M,"QQC",'QA Log'!Z:Z,"Approved",'QA Log'!L:L,"*9. EPI and Pre-school Consultation*"),
COUNTIFS('QA Log'!D:D,A410,'QA Log'!M:M,"QQC",'QA Log'!Z:Z,"Approved",'QA Log'!L:L,"*10. Antenatal Care (ANC)*"),
COUNTIFS('QA Log'!D:D,A410,'QA Log'!M:M,"QQC",'QA Log'!Z:Z,"Approved",'QA Log'!L:L,"*2. Hygiene and Sterilization*"),
COUNTIFS('QA Log'!D:D,A410,'QA Log'!M:M,"QQC",'QA Log'!Z:Z,"Approved",'QA Log'!L:L,"*4. Family Planning*")
))</f>
        <v/>
      </c>
      <c r="W410" s="102" t="str">
        <f>IF(A410&lt;&gt;"",COUNTIFS('QA Log'!D:D,A410,'QA Log'!M:M,"QQC",'QA Log'!L:L,"8. Maternity",'QA Log'!Z:Z,"Approved"),"")</f>
        <v/>
      </c>
      <c r="X410" s="105" t="str">
        <f>IF(A410&lt;&gt;"",COUNTIFS('QA Log'!D:D,A410,'QA Log'!M:M,"QQC",'QA Log'!L:L,"9. EPI and Pre-school Consultation",'QA Log'!Z:Z,"Approved"),"")</f>
        <v/>
      </c>
      <c r="Y410" s="102" t="str">
        <f>IF(A410&lt;&gt;"",COUNTIFS('QA Log'!D:D,A410,'QA Log'!M:M,"QQC",'QA Log'!L:L,"10. Antenatal Care (ANC)",'QA Log'!Z:Z,"Approved"),"")</f>
        <v/>
      </c>
      <c r="Z410" s="102" t="str">
        <f>IF(A410&lt;&gt;"",COUNTIFS('QA Log'!D:D,A410,'QA Log'!M:M,"QQC",'QA Log'!L:L,"2. Hygiene and Sterilization",'QA Log'!Z:Z,"Approved"),"")</f>
        <v/>
      </c>
      <c r="AA410" s="105" t="str">
        <f>IF(A410&lt;&gt;"",COUNTIFS('QA Log'!D:D,A410,'QA Log'!M:M,"QQC",'QA Log'!L:L,"4. Family Planning",'QA Log'!Z:Z,"Approved"),"")</f>
        <v/>
      </c>
      <c r="AB410" s="102" t="str">
        <f>IF(A410="","",
SUM(
COUNTIFS('QA Log'!D:D,A410,'QA Log'!M:M,"QQC",'QA Log'!Z:Z,"Rejected",'QA Log'!L:L,"*8. Maternity*"),
COUNTIFS('QA Log'!D:D,A410,'QA Log'!M:M,"QQC",'QA Log'!Z:Z,"Rejected",'QA Log'!L:L,"*9. EPI and Pre-school Consultation*"),
COUNTIFS('QA Log'!D:D,A410,'QA Log'!M:M,"QQC",'QA Log'!Z:Z,"Rejected",'QA Log'!L:L,"*10. Antenatal Care (ANC)*"),
COUNTIFS('QA Log'!D:D,A410,'QA Log'!M:M,"QQC",'QA Log'!Z:Z,"Rejected",'QA Log'!L:L,"*2. Hygiene and Sterilization*"),
COUNTIFS('QA Log'!D:D,A410,'QA Log'!M:M,"QQC",'QA Log'!Z:Z,"Rejected",'QA Log'!L:L,"*4. Family Planning*")
))</f>
        <v/>
      </c>
      <c r="AC410" s="102" t="str">
        <f t="shared" si="29"/>
        <v/>
      </c>
      <c r="AD410" s="103" t="str">
        <f t="shared" si="30"/>
        <v/>
      </c>
      <c r="AE410" s="102" t="str">
        <f>IF(A410="","",
SUM(
COUNTIFS('QA Log'!D:D,A410,'QA Log'!M:M,"Data Verification",'QA Log'!L:L,"*Medicine (section 2)*"),
COUNTIFS('QA Log'!D:D,A410,'QA Log'!M:M,"Data Verification",'QA Log'!L:L,"*Lab Testing Availability*"),
COUNTIFS('QA Log'!D:D,A410,'QA Log'!M:M,"Data Verification",'QA Log'!L:L,"*Other than P4P (section 6)*"),
COUNTIFS('QA Log'!D:D,A410,'QA Log'!M:M,"Data Verification",'QA Log'!L:L,"*Hospital Governance*")
))</f>
        <v/>
      </c>
      <c r="AF410" s="102" t="str">
        <f>IF(A410="","",
SUM(
COUNTIFS('QA Log'!D:D,A410,'QA Log'!M:M,"Data Verification",'QA Log'!Z:Z,"Approved",'QA Log'!L:L,"*Medicine (section 2)*"),
COUNTIFS('QA Log'!D:D,A410,'QA Log'!M:M,"Data Verification",'QA Log'!Z:Z,"Approved",'QA Log'!L:L,"*Lab Testing Availability*"),
COUNTIFS('QA Log'!D:D,A410,'QA Log'!M:M,"Data Verification",'QA Log'!Z:Z,"Approved",'QA Log'!L:L,"*Other than P4P (section 6)*"),
COUNTIFS('QA Log'!D:D,A410,'QA Log'!M:M,"Data Verification",'QA Log'!Z:Z,"Approved",'QA Log'!L:L,"*Hospital Governance*")
))</f>
        <v/>
      </c>
      <c r="AG410" s="105" t="str">
        <f>IF(A410&lt;&gt;"",COUNTIFS('QA Log'!D:D,A410,'QA Log'!M:M,"Data Verification",'QA Log'!L:L,"Medicine (section 2)",'QA Log'!Z:Z,"Approved"),"")</f>
        <v/>
      </c>
      <c r="AH410" s="105" t="str">
        <f>IF(A410&lt;&gt;"",COUNTIFS('QA Log'!D:D,A410,'QA Log'!M:M,"Data Verification",'QA Log'!L:L,"Lab Testing Availability",'QA Log'!Z:Z,"Approved"),"")</f>
        <v/>
      </c>
      <c r="AI410" s="105" t="str">
        <f>IF(A410&lt;&gt;"",COUNTIFS('QA Log'!D:D,A410,'QA Log'!M:M,"Data Verification",'QA Log'!L:L,"Other than P4P (section 6)",'QA Log'!Z:Z,"Approved"),"")</f>
        <v/>
      </c>
      <c r="AJ410" s="105" t="str">
        <f>IF(A410&lt;&gt;"",COUNTIFS('QA Log'!D:D,A410,'QA Log'!M:M,"Data Verification",'QA Log'!L:L,"Hospital Governance",'QA Log'!Z:Z,"Approved"),"")</f>
        <v/>
      </c>
      <c r="AK410" s="102" t="str">
        <f>IF(A410="","",
SUM(
COUNTIFS('QA Log'!D:D,A410,'QA Log'!M:M,"Data Verification",'QA Log'!Z:Z,"Rejected",'QA Log'!L:L,"*Medicine (section 2)*"),
COUNTIFS('QA Log'!D:D,A410,'QA Log'!M:M,"Data Verification",'QA Log'!Z:Z,"Rejected",'QA Log'!L:L,"*Lab Testing Availability*"),
COUNTIFS('QA Log'!D:D,A410,'QA Log'!M:M,"Data Verification",'QA Log'!Z:Z,"Rejected",'QA Log'!L:L,"*Other than P4P (section 6)*"),
COUNTIFS('QA Log'!D:D,A410,'QA Log'!M:M,"Data Verification",'QA Log'!Z:Z,"Rejected",'QA Log'!L:L,"*Hospital Governance*")
))</f>
        <v/>
      </c>
      <c r="AL410" s="106" t="str">
        <f t="shared" si="31"/>
        <v/>
      </c>
      <c r="AM410" s="102" t="str">
        <f t="shared" si="32"/>
        <v/>
      </c>
      <c r="AN410" s="102" t="str">
        <f>IF(A410="","",
SUM(
COUNTIFS('QA Log'!D:D,A410,'QA Log'!M:M,"Data Verification",'QA Log'!L:L,"*Personnel (section 1)*"),
COUNTIFS('QA Log'!D:D,A410,'QA Log'!M:M,"Data Verification",'QA Log'!L:L,"*Consumable (section 3)*"),
COUNTIFS('QA Log'!D:D,A410,'QA Log'!M:M,"Data Verification",'QA Log'!L:L,"*Equipments (section 4)*")
))</f>
        <v/>
      </c>
      <c r="AO410" s="102" t="str">
        <f>IF(A410="","",
SUM(
COUNTIFS('QA Log'!D:D,A410,'QA Log'!M:M,"Data Verification",'QA Log'!Z:Z,"Approved",'QA Log'!L:L,"*Personnel (section 1)*"),
COUNTIFS('QA Log'!D:D,A410,'QA Log'!M:M,"Data Verification",'QA Log'!Z:Z,"Approved",'QA Log'!L:L,"*Consumable (section 3)*"),
COUNTIFS('QA Log'!D:D,A410,'QA Log'!M:M,"Data Verification",'QA Log'!Z:Z,"Approved",'QA Log'!L:L,"*Equipments (section 4)*")
))</f>
        <v/>
      </c>
      <c r="AP410" s="105" t="str">
        <f>IF(A410&lt;&gt;"",COUNTIFS('QA Log'!D:D,A410,'QA Log'!M:M,"Data Verification",'QA Log'!L:L,"Personnel (section 1)",'QA Log'!Z:Z,"Approved"),"")</f>
        <v/>
      </c>
      <c r="AQ410" s="105" t="str">
        <f>IF(A410&lt;&gt;"",COUNTIFS('QA Log'!D:D,A410,'QA Log'!M:M,"Data Verification",'QA Log'!L:L,"Consumable (section 3)",'QA Log'!Z:Z,"Approved"),"")</f>
        <v/>
      </c>
      <c r="AR410" s="105" t="str">
        <f>IF(A410&lt;&gt;"",COUNTIFS('QA Log'!D:D,A410,'QA Log'!M:M,"Data Verification",'QA Log'!L:L,"Equipments (section 4)",'QA Log'!Z:Z,"Approved"),"")</f>
        <v/>
      </c>
      <c r="AS410" s="102" t="str">
        <f>IF(A410="","",
SUM(
COUNTIFS('QA Log'!D:D,A410,'QA Log'!M:M,"Data Verification",'QA Log'!Z:Z,"Rejected",'QA Log'!L:L,"*Personnel (section 1)*"),
COUNTIFS('QA Log'!D:D,A410,'QA Log'!M:M,"Data Verification",'QA Log'!Z:Z,"Rejected",'QA Log'!L:L,"*Consumable (section 3)*"),
COUNTIFS('QA Log'!D:D,A410,'QA Log'!M:M,"Data Verification",'QA Log'!Z:Z,"Rejected",'QA Log'!L:L,"*Equipments (section 4)*")
))</f>
        <v/>
      </c>
      <c r="AT410" s="102" t="str">
        <f t="shared" si="33"/>
        <v/>
      </c>
      <c r="AU410" s="103" t="str">
        <f t="shared" si="34"/>
        <v/>
      </c>
      <c r="AV410" s="102" t="str">
        <f>IF(A410="","",SUM(
COUNTIFS('QA Log'!D:D,A410,'QA Log'!M:M,"Vignette",'QA Log'!L:L,"*Vignette [1] Respiratory Infection: Pneumonia*"),
COUNTIFS('QA Log'!D:D,A410,'QA Log'!M:M,"Vignette",'QA Log'!L:L,"*Vignette [2]: Diarrhea with Cat B dehydration*"),
COUNTIFS('QA Log'!D:D,A410,'QA Log'!M:M,"Vignette",'QA Log'!L:L,"*Vignette [3] Growth Monitoring and Promotion*"),
COUNTIFS('QA Log'!D:D,A410,'QA Log'!M:M,"Vignette",'QA Log'!L:L,"*Vignette [4]: The management of presumptive TB patient*")
)
)</f>
        <v/>
      </c>
      <c r="AW410" s="102" t="str">
        <f>IF(
  A410="","",
  SUM(
    COUNTIFS('QA Log'!D:D,A410,'QA Log'!M:M,"Vignette",'QA Log'!Z:Z,"Approved",'QA Log'!L:L,"*Vignette [1] Respiratory Infection: Pneumonia*"),
    COUNTIFS('QA Log'!D:D,A410,'QA Log'!M:M,"Vignette",'QA Log'!Z:Z,"Approved",'QA Log'!L:L,"*Vignette [2]: Diarrhea with Cat B dehydration*"),
    COUNTIFS('QA Log'!D:D,A410,'QA Log'!M:M,"Vignette",'QA Log'!Z:Z,"Approved",'QA Log'!L:L,"*Vignette [3] Growth Monitoring and Promotion*"),
    COUNTIFS('QA Log'!D:D,A410,'QA Log'!M:M,"Vignette",'QA Log'!Z:Z,"Approved",'QA Log'!L:L,"*Vignette [4]: The management of presumptive TB patient*")
  )
)</f>
        <v/>
      </c>
      <c r="AX410" s="105" t="str">
        <f>IF(A410&lt;&gt;"",COUNTIFS('QA Log'!D:D,A410,'QA Log'!M:M,"Vignette",'QA Log'!L:L,"Vignette [1] Respiratory Infection: Pneumonia",'QA Log'!Z:Z,"Approved"),"")</f>
        <v/>
      </c>
      <c r="AY410" s="105" t="str">
        <f>IF(A410&lt;&gt;"",COUNTIFS('QA Log'!D:D,A410,'QA Log'!M:M,"Vignette",'QA Log'!L:L,"Vignette [2]: Diarrhea with Cat B dehydration",'QA Log'!Z:Z,"Approved"),"")</f>
        <v/>
      </c>
      <c r="AZ410" s="105" t="str">
        <f>IF(A410&lt;&gt;"",COUNTIFS('QA Log'!D:D,A410,'QA Log'!M:M,"Vignette",'QA Log'!L:L,"Vignette [3] Growth Monitoring and Promotion",'QA Log'!Z:Z,"Approved"),"")</f>
        <v/>
      </c>
      <c r="BA410" s="105" t="str">
        <f>IF(A410&lt;&gt;"",COUNTIFS('QA Log'!D:D,A410,'QA Log'!M:M,"Vignette",'QA Log'!L:L,"Vignette [4]: The management of presumptive TB patient",'QA Log'!Z:Z,"Approved"),"")</f>
        <v/>
      </c>
      <c r="BB410" s="102" t="str">
        <f>IF(A410="","",
  SUM(
    COUNTIFS('QA Log'!D:D,A410,'QA Log'!M:M,"Vignette",'QA Log'!Z:Z,"Rejected",'QA Log'!L:L,"*Vignette [1] Respiratory Infection: Pneumonia*"),
    COUNTIFS('QA Log'!D:D,A410,'QA Log'!M:M,"Vignette",'QA Log'!Z:Z,"Rejected",'QA Log'!L:L,"*Vignette [2]: Diarrhea with Cat B dehydration*"),
    COUNTIFS('QA Log'!D:D,A410,'QA Log'!M:M,"Vignette",'QA Log'!Z:Z,"Rejected",'QA Log'!L:L,"*Vignette [3] Growth Monitoring and Promotion*"),
    COUNTIFS('QA Log'!D:D,A410,'QA Log'!M:M,"Vignette",'QA Log'!Z:Z,"Rejected",'QA Log'!L:L,"*Vignette [4]: The management of presumptive TB patient*")
  )
)</f>
        <v/>
      </c>
      <c r="BC410" s="107" t="str">
        <f t="shared" si="35"/>
        <v/>
      </c>
      <c r="BD410" s="103" t="str">
        <f t="shared" si="36"/>
        <v/>
      </c>
      <c r="BE410" s="102" t="str">
        <f>IF(A410="","",SUM(
COUNTIFS('QA Log'!D:D,A410,'QA Log'!M:M,"Vignette",'QA Log'!L:L,"*Vignette [5] Labor*"),
COUNTIFS('QA Log'!D:D,A410,'QA Log'!M:M,"Vignette",'QA Log'!L:L,"*Vignette [6] PNC pre Discharge*"),
COUNTIFS('QA Log'!D:D,A410,'QA Log'!M:M,"Vignette",'QA Log'!L:L,"*Vignette [7] First ANC Visit*"),
COUNTIFS('QA Log'!D:D,A410,'QA Log'!M:M,"Vignette",'QA Log'!L:L,"*Vignette [8] Birth Spacing/ Family Planning :  FP Counselling*"),
COUNTIFS('QA Log'!D:D,A410,'QA Log'!M:M,"Vignette",'QA Log'!L:L,"*Vignette [9] Birth Spacing: Change FP method to Injectable*"),
COUNTIFS('QA Log'!D:D,A410,'QA Log'!M:M,"Vignette",'QA Log'!L:L,"*Vignette [10] Post Partum Haemorrhage - Atonic Uterus at Health Centre*"),
)
)</f>
        <v/>
      </c>
      <c r="BF410" s="102" t="str">
        <f>IF(A410="","",
  SUM(
    COUNTIFS('QA Log'!D:D,A410,'QA Log'!M:M,"Vignette",'QA Log'!Z:Z,"Approved",'QA Log'!L:L,"*Vignette [5] Labor*"),
    COUNTIFS('QA Log'!D:D,A410,'QA Log'!M:M,"Vignette",'QA Log'!Z:Z,"Approved",'QA Log'!L:L,"*Vignette [6] PNC pre Discharge*"),
    COUNTIFS('QA Log'!D:D,A410,'QA Log'!M:M,"Vignette",'QA Log'!Z:Z,"Approved",'QA Log'!L:L,"*Vignette [7] First ANC Visit*"),
    COUNTIFS('QA Log'!D:D,A410,'QA Log'!M:M,"Vignette",'QA Log'!Z:Z,"Approved",'QA Log'!L:L,"*Vignette [8] Birth Spacing/ Family Planning :  FP Counselling*"),
    COUNTIFS('QA Log'!D:D,A410,'QA Log'!M:M,"Vignette",'QA Log'!Z:Z,"Approved",'QA Log'!L:L,"*Vignette [9] Birth Spacing: Change FP method to Injectable*"),
    COUNTIFS('QA Log'!D:D,A410,'QA Log'!M:M,"Vignette",'QA Log'!Z:Z,"Approved",'QA Log'!L:L,"*Vignette [10] Post Partum Haemorrhage - Atonic Uterus at Health Centre*")
  )
)</f>
        <v/>
      </c>
      <c r="BG410" s="105" t="str">
        <f>IF(A410&lt;&gt;"",COUNTIFS('QA Log'!D:D,A410,'QA Log'!M:M,"Vignette",'QA Log'!L:L,"Vignette [5] Labor",'QA Log'!Z:Z,"Approved"),"")</f>
        <v/>
      </c>
      <c r="BH410" s="105" t="str">
        <f>IF(A410&lt;&gt;"",COUNTIFS('QA Log'!D:D,A410,'QA Log'!M:M,"Vignette",'QA Log'!L:L,"Vignette [6] PNC pre Discharge",'QA Log'!Z:Z,"Approved"),"")</f>
        <v/>
      </c>
      <c r="BI410" s="105" t="str">
        <f>IF(A410&lt;&gt;"",COUNTIFS('QA Log'!D:D,A410,'QA Log'!M:M,"Vignette",'QA Log'!L:L,"Vignette [7] First ANC Visit",'QA Log'!Z:Z,"Approved"),"")</f>
        <v/>
      </c>
      <c r="BJ410" s="105" t="str">
        <f>IF(A410&lt;&gt;"",COUNTIFS('QA Log'!D:D,A410,'QA Log'!M:M,"Vignette",'QA Log'!L:L,"Vignette [8] Birth Spacing/ Family Planning :  FP Counselling",'QA Log'!Z:Z,"Approved"),"")</f>
        <v/>
      </c>
      <c r="BK410" s="105" t="str">
        <f>IF(A410&lt;&gt;"",COUNTIFS('QA Log'!D:D,A410,'QA Log'!M:M,"Vignette",'QA Log'!L:L,"Vignette [9] Birth Spacing: Change FP method to Injectable",'QA Log'!Z:Z,"Approved"),"")</f>
        <v/>
      </c>
      <c r="BL410" s="105" t="str">
        <f>IF(A410&lt;&gt;"",COUNTIFS('QA Log'!D:D,A410,'QA Log'!M:M,"Vignette",'QA Log'!L:L,"Vignette [10] Post Partum Haemorrhage - Atonic Uterus at Health Centre",'QA Log'!Z:Z,"Approved"),"")</f>
        <v/>
      </c>
      <c r="BM410" s="102" t="str">
        <f>IF(A410="","",SUM(
    COUNTIFS('QA Log'!D:D,A410,'QA Log'!M:M,"Vignette",'QA Log'!Z:Z,"Rejected",'QA Log'!L:L,"*Vignette [5] Labor*"),
    COUNTIFS('QA Log'!D:D,A410,'QA Log'!M:M,"Vignette",'QA Log'!Z:Z,"Rejected",'QA Log'!L:L,"*Vignette [6] PNC pre Discharge*"),
    COUNTIFS('QA Log'!D:D,A410,'QA Log'!M:M,"Vignette",'QA Log'!Z:Z,"Rejected",'QA Log'!L:L,"*Vignette [7] First ANC Visit*"),
    COUNTIFS('QA Log'!D:D,A410,'QA Log'!M:M,"Vignette",'QA Log'!Z:Z,"Rejected",'QA Log'!L:L,"*Vignette [8] Birth Spacing/ Family Planning :  FP Counselling*"),
    COUNTIFS('QA Log'!D:D,A410,'QA Log'!M:M,"Vignette",'QA Log'!Z:Z,"Rejected",'QA Log'!L:L,"*Vignette [9] Birth Spacing: Change FP method to Injectable*"),
    COUNTIFS('QA Log'!D:D,A410,'QA Log'!M:M,"Vignette",'QA Log'!Z:Z,"Rejected",'QA Log'!L:L,"*Vignette [10] Post Partum Haemorrhage - Atonic Uterus at Health Centre*")
  )
)</f>
        <v/>
      </c>
      <c r="BN410" s="107" t="str">
        <f t="shared" si="37"/>
        <v/>
      </c>
      <c r="BO410" s="103" t="str">
        <f t="shared" si="38"/>
        <v/>
      </c>
      <c r="BP410" s="102" t="str">
        <f>IF(A410="","",SUM(
COUNTIFS('QA Log'!D:D,A410,'QA Log'!M:M,"Vignette",'QA Log'!L:L,"*Exit Interview 1*"),
COUNTIFS('QA Log'!D:D,A410,'QA Log'!M:M,"Vignette",'QA Log'!L:L,"*Exit Interview 2*"),
)
)</f>
        <v/>
      </c>
      <c r="BQ410" s="102" t="str">
        <f>IF(
  A410="","",
  SUM(
    COUNTIFS('QA Log'!D:D,A410,'QA Log'!M:M,"Vignette",'QA Log'!Z:Z,"Approved",'QA Log'!L:L,"*Exit Interview 1*"),
    COUNTIFS('QA Log'!D:D,A410,'QA Log'!M:M,"Vignette",'QA Log'!Z:Z,"Approved",'QA Log'!L:L,"*Exit Interview 2*")
  )
)</f>
        <v/>
      </c>
      <c r="BR410" s="105" t="str">
        <f>IF(A410&lt;&gt;"",COUNTIFS('QA Log'!D:D,A410,'QA Log'!M:M,"Vignette",'QA Log'!L:L,"Exit Interview 1",'QA Log'!Z:Z,"Approved"),"")</f>
        <v/>
      </c>
      <c r="BS410" s="105" t="str">
        <f>IF(A410&lt;&gt;"",COUNTIFS('QA Log'!D:D,A410,'QA Log'!M:M,"Vignette",'QA Log'!L:L,"Exit Interview 2",'QA Log'!Z:Z,"Approved"),"")</f>
        <v/>
      </c>
      <c r="BT410" s="102" t="str">
        <f>IF(
  A410="","",
  SUM(
    COUNTIFS('QA Log'!D:D,A410,'QA Log'!M:M,"Vignette",'QA Log'!Z:Z,"Rejected",'QA Log'!L:L,"*Exit Interview 1*"),
    COUNTIFS('QA Log'!D:D,A410,'QA Log'!M:M,"Vignette",'QA Log'!Z:Z,"Rejected",'QA Log'!L:L,"*Exit Interview 2*")
  )
)</f>
        <v/>
      </c>
      <c r="BU410" s="107" t="str">
        <f t="shared" si="39"/>
        <v/>
      </c>
      <c r="BV410" s="102" t="str">
        <f t="shared" si="40"/>
        <v/>
      </c>
      <c r="BW410" s="102" t="str">
        <f t="shared" si="41"/>
        <v/>
      </c>
      <c r="BX410" s="102" t="str">
        <f t="shared" si="42"/>
        <v/>
      </c>
      <c r="BY410" s="102" t="str">
        <f t="shared" si="43"/>
        <v/>
      </c>
      <c r="BZ410" s="107" t="str">
        <f t="shared" si="44"/>
        <v/>
      </c>
      <c r="CA410" s="108" t="str">
        <f t="shared" si="45"/>
        <v/>
      </c>
      <c r="CB410" s="108" t="str">
        <f t="shared" si="46"/>
        <v/>
      </c>
      <c r="CC410" s="109" t="str">
        <f t="shared" si="47"/>
        <v/>
      </c>
      <c r="CD410" s="108" t="str">
        <f t="shared" si="48"/>
        <v/>
      </c>
      <c r="CE410" s="108" t="str">
        <f t="shared" si="49"/>
        <v/>
      </c>
      <c r="CF410" s="109" t="str">
        <f t="shared" si="50"/>
        <v/>
      </c>
      <c r="CG410" s="110" t="str">
        <f t="shared" si="51"/>
        <v/>
      </c>
      <c r="CH410" s="111"/>
    </row>
    <row r="411" spans="1:86" ht="12.75">
      <c r="A411" s="101"/>
      <c r="B411" s="102" t="e">
        <f t="array" aca="1" ref="B411" ca="1">_xludf.XLOOKUP(A411,'QA Log'!D:D,'QA Log'!E:E,"")</f>
        <v>#NAME?</v>
      </c>
      <c r="C411" s="102" t="e">
        <f t="array" aca="1" ref="C411" ca="1">_xludf.XLOOKUP(A411,'QA Log'!D:D,'QA Log'!F:F,"")</f>
        <v>#NAME?</v>
      </c>
      <c r="D411" s="102" t="e">
        <f t="array" aca="1" ref="D411" ca="1">_xludf.XLOOKUP(A411,'QA Log'!D:D,'QA Log'!H:H,"")</f>
        <v>#NAME?</v>
      </c>
      <c r="E411" s="102" t="e">
        <f t="array" aca="1" ref="E411" ca="1">_xludf.XLOOKUP(A411,'QA Log'!D:D,'QA Log'!G:G,"")</f>
        <v>#NAME?</v>
      </c>
      <c r="F411" s="103"/>
      <c r="G411" s="104"/>
      <c r="H411" s="104"/>
      <c r="I411" s="103" t="str">
        <f t="shared" si="26"/>
        <v/>
      </c>
      <c r="J411" s="102" t="str">
        <f>IF(A411="","",SUM(
COUNTIFS('QA Log'!D:D,A411,'QA Log'!M:M,"QQC",'QA Log'!L:L,"*1. General Management*"),
COUNTIFS('QA Log'!D:D,A411,'QA Log'!M:M,"QQC",'QA Log'!L:L,"*3. Curative Consultation (OPD)*"),
COUNTIFS('QA Log'!D:D,A411,'QA Log'!M:M,"QQC",'QA Log'!L:L,"*5. Laboratory*"),
COUNTIFS('QA Log'!D:D,A411,'QA Log'!M:M,"QQC",'QA Log'!L:L,"*6. Essential Medicine Management*"),
COUNTIFS('QA Log'!D:D,A411,'QA Log'!M:M,"QQC",'QA Log'!L:L,"*7. Tracer Medicine*"),
COUNTIFS('QA Log'!D:D,A411,'QA Log'!M:M,"QQC",'QA Log'!L:L,"*11. Additional Questions*")))</f>
        <v/>
      </c>
      <c r="K411" s="102" t="str">
        <f>IF(A411="","",SUM(
COUNTIFS('QA Log'!D:D,A411,'QA Log'!M:M,"QQC",'QA Log'!Z:Z,"Approved",'QA Log'!L:L,"*1. General Management*"),
COUNTIFS('QA Log'!D:D,A411,'QA Log'!M:M,"QQC",'QA Log'!Z:Z,"Approved",'QA Log'!L:L,"*3. Curative Consultation (OPD)*"),
COUNTIFS('QA Log'!D:D,A411,'QA Log'!M:M,"QQC",'QA Log'!Z:Z,"Approved",'QA Log'!L:L,"*5. Laboratory*"),
COUNTIFS('QA Log'!D:D,A411,'QA Log'!M:M,"QQC",'QA Log'!Z:Z,"Approved",'QA Log'!L:L,"*6. Essential Medicine Management*"),
COUNTIFS('QA Log'!D:D,A411,'QA Log'!M:M,"QQC",'QA Log'!Z:Z,"Approved",'QA Log'!L:L,"*7. Tracer Medicine*"),
COUNTIFS('QA Log'!D:D,A411,'QA Log'!M:M,"QQC",'QA Log'!Z:Z,"Approved",'QA Log'!L:L,"*11. Additional Questions*")))</f>
        <v/>
      </c>
      <c r="L411" s="102" t="str">
        <f>IF(A411&lt;&gt;"",COUNTIFS('QA Log'!D:D,A411,'QA Log'!M:M,"QQC",'QA Log'!L:L,"1. General Management",'QA Log'!Z:Z,"Approved"),"")</f>
        <v/>
      </c>
      <c r="M411" s="102" t="str">
        <f>IF(A411&lt;&gt;"",COUNTIFS('QA Log'!D:D,A411,'QA Log'!M:M,"QQC",'QA Log'!L:L,"3. Curative Consultation (OPD)",'QA Log'!Z:Z,"Approved"),"")</f>
        <v/>
      </c>
      <c r="N411" s="102" t="str">
        <f>IF(A411&lt;&gt;"",COUNTIFS('QA Log'!D:D,A411,'QA Log'!M:M,"QQC",'QA Log'!L:L,"5. Laboratory",'QA Log'!Z:Z,"Approved"),"")</f>
        <v/>
      </c>
      <c r="O411" s="102" t="str">
        <f>IF(A411&lt;&gt;"",COUNTIFS('QA Log'!D:D,A411,'QA Log'!M:M,"QQC",'QA Log'!L:L,"6. Essential Medicine Management",'QA Log'!Z:Z,"Approved"),"")</f>
        <v/>
      </c>
      <c r="P411" s="102" t="str">
        <f>IF(A411&lt;&gt;"",COUNTIFS('QA Log'!D:D,A411,'QA Log'!M:M,"QQC",'QA Log'!L:L,"7. Tracer Medicine",'QA Log'!Z:Z,"Approved"),"")</f>
        <v/>
      </c>
      <c r="Q411" s="102" t="str">
        <f>IF(A411&lt;&gt;"",COUNTIFS('QA Log'!D:D,A411,'QA Log'!M:M,"QQC",'QA Log'!L:L,"11. Additional Questions",'QA Log'!Z:Z,"Approved"),"")</f>
        <v/>
      </c>
      <c r="R411" s="102" t="str">
        <f>IF(A411="","",SUM(
COUNTIFS('QA Log'!D:D,A411,'QA Log'!M:M,"QQC",'QA Log'!Z:Z,"Rejected",'QA Log'!L:L,"*8. Maternity*"),
COUNTIFS('QA Log'!D:D,A411,'QA Log'!M:M,"QQC",'QA Log'!Z:Z,"Rejected",'QA Log'!L:L,"*EPI*"),
COUNTIFS('QA Log'!D:D,A411,'QA Log'!M:M,"QQC",'QA Log'!Z:Z,"Rejected",'QA Log'!L:L,"*10. Antenatal Care (ANC)*"),
COUNTIFS('QA Log'!D:D,A411,'QA Log'!M:M,"QQC",'QA Log'!Z:Z,"Rejected",'QA Log'!L:L,"*2. Hygiene and Sterilization*"),
COUNTIFS('QA Log'!D:D,A411,'QA Log'!M:M,"QQC",'QA Log'!Z:Z,"Rejected",'QA Log'!L:L,"*Family Planning*")))</f>
        <v/>
      </c>
      <c r="S411" s="106" t="str">
        <f t="shared" si="27"/>
        <v/>
      </c>
      <c r="T411" s="102" t="str">
        <f t="shared" si="28"/>
        <v/>
      </c>
      <c r="U411" s="102" t="str">
        <f>IF(A411="","",
SUM(
COUNTIFS('QA Log'!D:D,A411,'QA Log'!M:M,"QQC",'QA Log'!L:L,"*8. Maternity*"),
COUNTIFS('QA Log'!D:D,A411,'QA Log'!M:M,"QQC",'QA Log'!L:L,"*9. EPI and Pre-school Consultation*"),
COUNTIFS('QA Log'!D:D,A411,'QA Log'!M:M,"QQC",'QA Log'!L:L,"*10. Antenatal Care (ANC)*"),
COUNTIFS('QA Log'!D:D,A411,'QA Log'!M:M,"QQC",'QA Log'!L:L,"*2. Hygiene and Sterilization*"),
COUNTIFS('QA Log'!D:D,A411,'QA Log'!M:M,"QQC",'QA Log'!L:L,"*4. Family Planning*")
))</f>
        <v/>
      </c>
      <c r="V411" s="102" t="str">
        <f>IF(A411="","",
SUM(
COUNTIFS('QA Log'!D:D,A411,'QA Log'!M:M,"QQC",'QA Log'!Z:Z,"Approved",'QA Log'!L:L,"*8. Maternity*"),
COUNTIFS('QA Log'!D:D,A411,'QA Log'!M:M,"QQC",'QA Log'!Z:Z,"Approved",'QA Log'!L:L,"*9. EPI and Pre-school Consultation*"),
COUNTIFS('QA Log'!D:D,A411,'QA Log'!M:M,"QQC",'QA Log'!Z:Z,"Approved",'QA Log'!L:L,"*10. Antenatal Care (ANC)*"),
COUNTIFS('QA Log'!D:D,A411,'QA Log'!M:M,"QQC",'QA Log'!Z:Z,"Approved",'QA Log'!L:L,"*2. Hygiene and Sterilization*"),
COUNTIFS('QA Log'!D:D,A411,'QA Log'!M:M,"QQC",'QA Log'!Z:Z,"Approved",'QA Log'!L:L,"*4. Family Planning*")
))</f>
        <v/>
      </c>
      <c r="W411" s="102" t="str">
        <f>IF(A411&lt;&gt;"",COUNTIFS('QA Log'!D:D,A411,'QA Log'!M:M,"QQC",'QA Log'!L:L,"8. Maternity",'QA Log'!Z:Z,"Approved"),"")</f>
        <v/>
      </c>
      <c r="X411" s="105" t="str">
        <f>IF(A411&lt;&gt;"",COUNTIFS('QA Log'!D:D,A411,'QA Log'!M:M,"QQC",'QA Log'!L:L,"9. EPI and Pre-school Consultation",'QA Log'!Z:Z,"Approved"),"")</f>
        <v/>
      </c>
      <c r="Y411" s="102" t="str">
        <f>IF(A411&lt;&gt;"",COUNTIFS('QA Log'!D:D,A411,'QA Log'!M:M,"QQC",'QA Log'!L:L,"10. Antenatal Care (ANC)",'QA Log'!Z:Z,"Approved"),"")</f>
        <v/>
      </c>
      <c r="Z411" s="102" t="str">
        <f>IF(A411&lt;&gt;"",COUNTIFS('QA Log'!D:D,A411,'QA Log'!M:M,"QQC",'QA Log'!L:L,"2. Hygiene and Sterilization",'QA Log'!Z:Z,"Approved"),"")</f>
        <v/>
      </c>
      <c r="AA411" s="105" t="str">
        <f>IF(A411&lt;&gt;"",COUNTIFS('QA Log'!D:D,A411,'QA Log'!M:M,"QQC",'QA Log'!L:L,"4. Family Planning",'QA Log'!Z:Z,"Approved"),"")</f>
        <v/>
      </c>
      <c r="AB411" s="102" t="str">
        <f>IF(A411="","",
SUM(
COUNTIFS('QA Log'!D:D,A411,'QA Log'!M:M,"QQC",'QA Log'!Z:Z,"Rejected",'QA Log'!L:L,"*8. Maternity*"),
COUNTIFS('QA Log'!D:D,A411,'QA Log'!M:M,"QQC",'QA Log'!Z:Z,"Rejected",'QA Log'!L:L,"*9. EPI and Pre-school Consultation*"),
COUNTIFS('QA Log'!D:D,A411,'QA Log'!M:M,"QQC",'QA Log'!Z:Z,"Rejected",'QA Log'!L:L,"*10. Antenatal Care (ANC)*"),
COUNTIFS('QA Log'!D:D,A411,'QA Log'!M:M,"QQC",'QA Log'!Z:Z,"Rejected",'QA Log'!L:L,"*2. Hygiene and Sterilization*"),
COUNTIFS('QA Log'!D:D,A411,'QA Log'!M:M,"QQC",'QA Log'!Z:Z,"Rejected",'QA Log'!L:L,"*4. Family Planning*")
))</f>
        <v/>
      </c>
      <c r="AC411" s="102" t="str">
        <f t="shared" si="29"/>
        <v/>
      </c>
      <c r="AD411" s="103" t="str">
        <f t="shared" si="30"/>
        <v/>
      </c>
      <c r="AE411" s="102" t="str">
        <f>IF(A411="","",
SUM(
COUNTIFS('QA Log'!D:D,A411,'QA Log'!M:M,"Data Verification",'QA Log'!L:L,"*Medicine (section 2)*"),
COUNTIFS('QA Log'!D:D,A411,'QA Log'!M:M,"Data Verification",'QA Log'!L:L,"*Lab Testing Availability*"),
COUNTIFS('QA Log'!D:D,A411,'QA Log'!M:M,"Data Verification",'QA Log'!L:L,"*Other than P4P (section 6)*"),
COUNTIFS('QA Log'!D:D,A411,'QA Log'!M:M,"Data Verification",'QA Log'!L:L,"*Hospital Governance*")
))</f>
        <v/>
      </c>
      <c r="AF411" s="102" t="str">
        <f>IF(A411="","",
SUM(
COUNTIFS('QA Log'!D:D,A411,'QA Log'!M:M,"Data Verification",'QA Log'!Z:Z,"Approved",'QA Log'!L:L,"*Medicine (section 2)*"),
COUNTIFS('QA Log'!D:D,A411,'QA Log'!M:M,"Data Verification",'QA Log'!Z:Z,"Approved",'QA Log'!L:L,"*Lab Testing Availability*"),
COUNTIFS('QA Log'!D:D,A411,'QA Log'!M:M,"Data Verification",'QA Log'!Z:Z,"Approved",'QA Log'!L:L,"*Other than P4P (section 6)*"),
COUNTIFS('QA Log'!D:D,A411,'QA Log'!M:M,"Data Verification",'QA Log'!Z:Z,"Approved",'QA Log'!L:L,"*Hospital Governance*")
))</f>
        <v/>
      </c>
      <c r="AG411" s="105" t="str">
        <f>IF(A411&lt;&gt;"",COUNTIFS('QA Log'!D:D,A411,'QA Log'!M:M,"Data Verification",'QA Log'!L:L,"Medicine (section 2)",'QA Log'!Z:Z,"Approved"),"")</f>
        <v/>
      </c>
      <c r="AH411" s="105" t="str">
        <f>IF(A411&lt;&gt;"",COUNTIFS('QA Log'!D:D,A411,'QA Log'!M:M,"Data Verification",'QA Log'!L:L,"Lab Testing Availability",'QA Log'!Z:Z,"Approved"),"")</f>
        <v/>
      </c>
      <c r="AI411" s="105" t="str">
        <f>IF(A411&lt;&gt;"",COUNTIFS('QA Log'!D:D,A411,'QA Log'!M:M,"Data Verification",'QA Log'!L:L,"Other than P4P (section 6)",'QA Log'!Z:Z,"Approved"),"")</f>
        <v/>
      </c>
      <c r="AJ411" s="105" t="str">
        <f>IF(A411&lt;&gt;"",COUNTIFS('QA Log'!D:D,A411,'QA Log'!M:M,"Data Verification",'QA Log'!L:L,"Hospital Governance",'QA Log'!Z:Z,"Approved"),"")</f>
        <v/>
      </c>
      <c r="AK411" s="102" t="str">
        <f>IF(A411="","",
SUM(
COUNTIFS('QA Log'!D:D,A411,'QA Log'!M:M,"Data Verification",'QA Log'!Z:Z,"Rejected",'QA Log'!L:L,"*Medicine (section 2)*"),
COUNTIFS('QA Log'!D:D,A411,'QA Log'!M:M,"Data Verification",'QA Log'!Z:Z,"Rejected",'QA Log'!L:L,"*Lab Testing Availability*"),
COUNTIFS('QA Log'!D:D,A411,'QA Log'!M:M,"Data Verification",'QA Log'!Z:Z,"Rejected",'QA Log'!L:L,"*Other than P4P (section 6)*"),
COUNTIFS('QA Log'!D:D,A411,'QA Log'!M:M,"Data Verification",'QA Log'!Z:Z,"Rejected",'QA Log'!L:L,"*Hospital Governance*")
))</f>
        <v/>
      </c>
      <c r="AL411" s="106" t="str">
        <f t="shared" si="31"/>
        <v/>
      </c>
      <c r="AM411" s="102" t="str">
        <f t="shared" si="32"/>
        <v/>
      </c>
      <c r="AN411" s="102" t="str">
        <f>IF(A411="","",
SUM(
COUNTIFS('QA Log'!D:D,A411,'QA Log'!M:M,"Data Verification",'QA Log'!L:L,"*Personnel (section 1)*"),
COUNTIFS('QA Log'!D:D,A411,'QA Log'!M:M,"Data Verification",'QA Log'!L:L,"*Consumable (section 3)*"),
COUNTIFS('QA Log'!D:D,A411,'QA Log'!M:M,"Data Verification",'QA Log'!L:L,"*Equipments (section 4)*")
))</f>
        <v/>
      </c>
      <c r="AO411" s="102" t="str">
        <f>IF(A411="","",
SUM(
COUNTIFS('QA Log'!D:D,A411,'QA Log'!M:M,"Data Verification",'QA Log'!Z:Z,"Approved",'QA Log'!L:L,"*Personnel (section 1)*"),
COUNTIFS('QA Log'!D:D,A411,'QA Log'!M:M,"Data Verification",'QA Log'!Z:Z,"Approved",'QA Log'!L:L,"*Consumable (section 3)*"),
COUNTIFS('QA Log'!D:D,A411,'QA Log'!M:M,"Data Verification",'QA Log'!Z:Z,"Approved",'QA Log'!L:L,"*Equipments (section 4)*")
))</f>
        <v/>
      </c>
      <c r="AP411" s="105" t="str">
        <f>IF(A411&lt;&gt;"",COUNTIFS('QA Log'!D:D,A411,'QA Log'!M:M,"Data Verification",'QA Log'!L:L,"Personnel (section 1)",'QA Log'!Z:Z,"Approved"),"")</f>
        <v/>
      </c>
      <c r="AQ411" s="105" t="str">
        <f>IF(A411&lt;&gt;"",COUNTIFS('QA Log'!D:D,A411,'QA Log'!M:M,"Data Verification",'QA Log'!L:L,"Consumable (section 3)",'QA Log'!Z:Z,"Approved"),"")</f>
        <v/>
      </c>
      <c r="AR411" s="105" t="str">
        <f>IF(A411&lt;&gt;"",COUNTIFS('QA Log'!D:D,A411,'QA Log'!M:M,"Data Verification",'QA Log'!L:L,"Equipments (section 4)",'QA Log'!Z:Z,"Approved"),"")</f>
        <v/>
      </c>
      <c r="AS411" s="102" t="str">
        <f>IF(A411="","",
SUM(
COUNTIFS('QA Log'!D:D,A411,'QA Log'!M:M,"Data Verification",'QA Log'!Z:Z,"Rejected",'QA Log'!L:L,"*Personnel (section 1)*"),
COUNTIFS('QA Log'!D:D,A411,'QA Log'!M:M,"Data Verification",'QA Log'!Z:Z,"Rejected",'QA Log'!L:L,"*Consumable (section 3)*"),
COUNTIFS('QA Log'!D:D,A411,'QA Log'!M:M,"Data Verification",'QA Log'!Z:Z,"Rejected",'QA Log'!L:L,"*Equipments (section 4)*")
))</f>
        <v/>
      </c>
      <c r="AT411" s="102" t="str">
        <f t="shared" si="33"/>
        <v/>
      </c>
      <c r="AU411" s="103" t="str">
        <f t="shared" si="34"/>
        <v/>
      </c>
      <c r="AV411" s="102" t="str">
        <f>IF(A411="","",SUM(
COUNTIFS('QA Log'!D:D,A411,'QA Log'!M:M,"Vignette",'QA Log'!L:L,"*Vignette [1] Respiratory Infection: Pneumonia*"),
COUNTIFS('QA Log'!D:D,A411,'QA Log'!M:M,"Vignette",'QA Log'!L:L,"*Vignette [2]: Diarrhea with Cat B dehydration*"),
COUNTIFS('QA Log'!D:D,A411,'QA Log'!M:M,"Vignette",'QA Log'!L:L,"*Vignette [3] Growth Monitoring and Promotion*"),
COUNTIFS('QA Log'!D:D,A411,'QA Log'!M:M,"Vignette",'QA Log'!L:L,"*Vignette [4]: The management of presumptive TB patient*")
)
)</f>
        <v/>
      </c>
      <c r="AW411" s="102" t="str">
        <f>IF(
  A411="","",
  SUM(
    COUNTIFS('QA Log'!D:D,A411,'QA Log'!M:M,"Vignette",'QA Log'!Z:Z,"Approved",'QA Log'!L:L,"*Vignette [1] Respiratory Infection: Pneumonia*"),
    COUNTIFS('QA Log'!D:D,A411,'QA Log'!M:M,"Vignette",'QA Log'!Z:Z,"Approved",'QA Log'!L:L,"*Vignette [2]: Diarrhea with Cat B dehydration*"),
    COUNTIFS('QA Log'!D:D,A411,'QA Log'!M:M,"Vignette",'QA Log'!Z:Z,"Approved",'QA Log'!L:L,"*Vignette [3] Growth Monitoring and Promotion*"),
    COUNTIFS('QA Log'!D:D,A411,'QA Log'!M:M,"Vignette",'QA Log'!Z:Z,"Approved",'QA Log'!L:L,"*Vignette [4]: The management of presumptive TB patient*")
  )
)</f>
        <v/>
      </c>
      <c r="AX411" s="105" t="str">
        <f>IF(A411&lt;&gt;"",COUNTIFS('QA Log'!D:D,A411,'QA Log'!M:M,"Vignette",'QA Log'!L:L,"Vignette [1] Respiratory Infection: Pneumonia",'QA Log'!Z:Z,"Approved"),"")</f>
        <v/>
      </c>
      <c r="AY411" s="105" t="str">
        <f>IF(A411&lt;&gt;"",COUNTIFS('QA Log'!D:D,A411,'QA Log'!M:M,"Vignette",'QA Log'!L:L,"Vignette [2]: Diarrhea with Cat B dehydration",'QA Log'!Z:Z,"Approved"),"")</f>
        <v/>
      </c>
      <c r="AZ411" s="105" t="str">
        <f>IF(A411&lt;&gt;"",COUNTIFS('QA Log'!D:D,A411,'QA Log'!M:M,"Vignette",'QA Log'!L:L,"Vignette [3] Growth Monitoring and Promotion",'QA Log'!Z:Z,"Approved"),"")</f>
        <v/>
      </c>
      <c r="BA411" s="105" t="str">
        <f>IF(A411&lt;&gt;"",COUNTIFS('QA Log'!D:D,A411,'QA Log'!M:M,"Vignette",'QA Log'!L:L,"Vignette [4]: The management of presumptive TB patient",'QA Log'!Z:Z,"Approved"),"")</f>
        <v/>
      </c>
      <c r="BB411" s="102" t="str">
        <f>IF(A411="","",
  SUM(
    COUNTIFS('QA Log'!D:D,A411,'QA Log'!M:M,"Vignette",'QA Log'!Z:Z,"Rejected",'QA Log'!L:L,"*Vignette [1] Respiratory Infection: Pneumonia*"),
    COUNTIFS('QA Log'!D:D,A411,'QA Log'!M:M,"Vignette",'QA Log'!Z:Z,"Rejected",'QA Log'!L:L,"*Vignette [2]: Diarrhea with Cat B dehydration*"),
    COUNTIFS('QA Log'!D:D,A411,'QA Log'!M:M,"Vignette",'QA Log'!Z:Z,"Rejected",'QA Log'!L:L,"*Vignette [3] Growth Monitoring and Promotion*"),
    COUNTIFS('QA Log'!D:D,A411,'QA Log'!M:M,"Vignette",'QA Log'!Z:Z,"Rejected",'QA Log'!L:L,"*Vignette [4]: The management of presumptive TB patient*")
  )
)</f>
        <v/>
      </c>
      <c r="BC411" s="107" t="str">
        <f t="shared" si="35"/>
        <v/>
      </c>
      <c r="BD411" s="103" t="str">
        <f t="shared" si="36"/>
        <v/>
      </c>
      <c r="BE411" s="102" t="str">
        <f>IF(A411="","",SUM(
COUNTIFS('QA Log'!D:D,A411,'QA Log'!M:M,"Vignette",'QA Log'!L:L,"*Vignette [5] Labor*"),
COUNTIFS('QA Log'!D:D,A411,'QA Log'!M:M,"Vignette",'QA Log'!L:L,"*Vignette [6] PNC pre Discharge*"),
COUNTIFS('QA Log'!D:D,A411,'QA Log'!M:M,"Vignette",'QA Log'!L:L,"*Vignette [7] First ANC Visit*"),
COUNTIFS('QA Log'!D:D,A411,'QA Log'!M:M,"Vignette",'QA Log'!L:L,"*Vignette [8] Birth Spacing/ Family Planning :  FP Counselling*"),
COUNTIFS('QA Log'!D:D,A411,'QA Log'!M:M,"Vignette",'QA Log'!L:L,"*Vignette [9] Birth Spacing: Change FP method to Injectable*"),
COUNTIFS('QA Log'!D:D,A411,'QA Log'!M:M,"Vignette",'QA Log'!L:L,"*Vignette [10] Post Partum Haemorrhage - Atonic Uterus at Health Centre*"),
)
)</f>
        <v/>
      </c>
      <c r="BF411" s="102" t="str">
        <f>IF(A411="","",
  SUM(
    COUNTIFS('QA Log'!D:D,A411,'QA Log'!M:M,"Vignette",'QA Log'!Z:Z,"Approved",'QA Log'!L:L,"*Vignette [5] Labor*"),
    COUNTIFS('QA Log'!D:D,A411,'QA Log'!M:M,"Vignette",'QA Log'!Z:Z,"Approved",'QA Log'!L:L,"*Vignette [6] PNC pre Discharge*"),
    COUNTIFS('QA Log'!D:D,A411,'QA Log'!M:M,"Vignette",'QA Log'!Z:Z,"Approved",'QA Log'!L:L,"*Vignette [7] First ANC Visit*"),
    COUNTIFS('QA Log'!D:D,A411,'QA Log'!M:M,"Vignette",'QA Log'!Z:Z,"Approved",'QA Log'!L:L,"*Vignette [8] Birth Spacing/ Family Planning :  FP Counselling*"),
    COUNTIFS('QA Log'!D:D,A411,'QA Log'!M:M,"Vignette",'QA Log'!Z:Z,"Approved",'QA Log'!L:L,"*Vignette [9] Birth Spacing: Change FP method to Injectable*"),
    COUNTIFS('QA Log'!D:D,A411,'QA Log'!M:M,"Vignette",'QA Log'!Z:Z,"Approved",'QA Log'!L:L,"*Vignette [10] Post Partum Haemorrhage - Atonic Uterus at Health Centre*")
  )
)</f>
        <v/>
      </c>
      <c r="BG411" s="105" t="str">
        <f>IF(A411&lt;&gt;"",COUNTIFS('QA Log'!D:D,A411,'QA Log'!M:M,"Vignette",'QA Log'!L:L,"Vignette [5] Labor",'QA Log'!Z:Z,"Approved"),"")</f>
        <v/>
      </c>
      <c r="BH411" s="105" t="str">
        <f>IF(A411&lt;&gt;"",COUNTIFS('QA Log'!D:D,A411,'QA Log'!M:M,"Vignette",'QA Log'!L:L,"Vignette [6] PNC pre Discharge",'QA Log'!Z:Z,"Approved"),"")</f>
        <v/>
      </c>
      <c r="BI411" s="105" t="str">
        <f>IF(A411&lt;&gt;"",COUNTIFS('QA Log'!D:D,A411,'QA Log'!M:M,"Vignette",'QA Log'!L:L,"Vignette [7] First ANC Visit",'QA Log'!Z:Z,"Approved"),"")</f>
        <v/>
      </c>
      <c r="BJ411" s="105" t="str">
        <f>IF(A411&lt;&gt;"",COUNTIFS('QA Log'!D:D,A411,'QA Log'!M:M,"Vignette",'QA Log'!L:L,"Vignette [8] Birth Spacing/ Family Planning :  FP Counselling",'QA Log'!Z:Z,"Approved"),"")</f>
        <v/>
      </c>
      <c r="BK411" s="105" t="str">
        <f>IF(A411&lt;&gt;"",COUNTIFS('QA Log'!D:D,A411,'QA Log'!M:M,"Vignette",'QA Log'!L:L,"Vignette [9] Birth Spacing: Change FP method to Injectable",'QA Log'!Z:Z,"Approved"),"")</f>
        <v/>
      </c>
      <c r="BL411" s="105" t="str">
        <f>IF(A411&lt;&gt;"",COUNTIFS('QA Log'!D:D,A411,'QA Log'!M:M,"Vignette",'QA Log'!L:L,"Vignette [10] Post Partum Haemorrhage - Atonic Uterus at Health Centre",'QA Log'!Z:Z,"Approved"),"")</f>
        <v/>
      </c>
      <c r="BM411" s="102" t="str">
        <f>IF(A411="","",SUM(
    COUNTIFS('QA Log'!D:D,A411,'QA Log'!M:M,"Vignette",'QA Log'!Z:Z,"Rejected",'QA Log'!L:L,"*Vignette [5] Labor*"),
    COUNTIFS('QA Log'!D:D,A411,'QA Log'!M:M,"Vignette",'QA Log'!Z:Z,"Rejected",'QA Log'!L:L,"*Vignette [6] PNC pre Discharge*"),
    COUNTIFS('QA Log'!D:D,A411,'QA Log'!M:M,"Vignette",'QA Log'!Z:Z,"Rejected",'QA Log'!L:L,"*Vignette [7] First ANC Visit*"),
    COUNTIFS('QA Log'!D:D,A411,'QA Log'!M:M,"Vignette",'QA Log'!Z:Z,"Rejected",'QA Log'!L:L,"*Vignette [8] Birth Spacing/ Family Planning :  FP Counselling*"),
    COUNTIFS('QA Log'!D:D,A411,'QA Log'!M:M,"Vignette",'QA Log'!Z:Z,"Rejected",'QA Log'!L:L,"*Vignette [9] Birth Spacing: Change FP method to Injectable*"),
    COUNTIFS('QA Log'!D:D,A411,'QA Log'!M:M,"Vignette",'QA Log'!Z:Z,"Rejected",'QA Log'!L:L,"*Vignette [10] Post Partum Haemorrhage - Atonic Uterus at Health Centre*")
  )
)</f>
        <v/>
      </c>
      <c r="BN411" s="107" t="str">
        <f t="shared" si="37"/>
        <v/>
      </c>
      <c r="BO411" s="103" t="str">
        <f t="shared" si="38"/>
        <v/>
      </c>
      <c r="BP411" s="102" t="str">
        <f>IF(A411="","",SUM(
COUNTIFS('QA Log'!D:D,A411,'QA Log'!M:M,"Vignette",'QA Log'!L:L,"*Exit Interview 1*"),
COUNTIFS('QA Log'!D:D,A411,'QA Log'!M:M,"Vignette",'QA Log'!L:L,"*Exit Interview 2*"),
)
)</f>
        <v/>
      </c>
      <c r="BQ411" s="102" t="str">
        <f>IF(
  A411="","",
  SUM(
    COUNTIFS('QA Log'!D:D,A411,'QA Log'!M:M,"Vignette",'QA Log'!Z:Z,"Approved",'QA Log'!L:L,"*Exit Interview 1*"),
    COUNTIFS('QA Log'!D:D,A411,'QA Log'!M:M,"Vignette",'QA Log'!Z:Z,"Approved",'QA Log'!L:L,"*Exit Interview 2*")
  )
)</f>
        <v/>
      </c>
      <c r="BR411" s="105" t="str">
        <f>IF(A411&lt;&gt;"",COUNTIFS('QA Log'!D:D,A411,'QA Log'!M:M,"Vignette",'QA Log'!L:L,"Exit Interview 1",'QA Log'!Z:Z,"Approved"),"")</f>
        <v/>
      </c>
      <c r="BS411" s="105" t="str">
        <f>IF(A411&lt;&gt;"",COUNTIFS('QA Log'!D:D,A411,'QA Log'!M:M,"Vignette",'QA Log'!L:L,"Exit Interview 2",'QA Log'!Z:Z,"Approved"),"")</f>
        <v/>
      </c>
      <c r="BT411" s="102" t="str">
        <f>IF(
  A411="","",
  SUM(
    COUNTIFS('QA Log'!D:D,A411,'QA Log'!M:M,"Vignette",'QA Log'!Z:Z,"Rejected",'QA Log'!L:L,"*Exit Interview 1*"),
    COUNTIFS('QA Log'!D:D,A411,'QA Log'!M:M,"Vignette",'QA Log'!Z:Z,"Rejected",'QA Log'!L:L,"*Exit Interview 2*")
  )
)</f>
        <v/>
      </c>
      <c r="BU411" s="107" t="str">
        <f t="shared" si="39"/>
        <v/>
      </c>
      <c r="BV411" s="102" t="str">
        <f t="shared" si="40"/>
        <v/>
      </c>
      <c r="BW411" s="102" t="str">
        <f t="shared" si="41"/>
        <v/>
      </c>
      <c r="BX411" s="102" t="str">
        <f t="shared" si="42"/>
        <v/>
      </c>
      <c r="BY411" s="102" t="str">
        <f t="shared" si="43"/>
        <v/>
      </c>
      <c r="BZ411" s="107" t="str">
        <f t="shared" si="44"/>
        <v/>
      </c>
      <c r="CA411" s="108" t="str">
        <f t="shared" si="45"/>
        <v/>
      </c>
      <c r="CB411" s="108" t="str">
        <f t="shared" si="46"/>
        <v/>
      </c>
      <c r="CC411" s="109" t="str">
        <f t="shared" si="47"/>
        <v/>
      </c>
      <c r="CD411" s="108" t="str">
        <f t="shared" si="48"/>
        <v/>
      </c>
      <c r="CE411" s="108" t="str">
        <f t="shared" si="49"/>
        <v/>
      </c>
      <c r="CF411" s="109" t="str">
        <f t="shared" si="50"/>
        <v/>
      </c>
      <c r="CG411" s="110" t="str">
        <f t="shared" si="51"/>
        <v/>
      </c>
      <c r="CH411" s="111"/>
    </row>
    <row r="412" spans="1:86" ht="12.75">
      <c r="A412" s="101"/>
      <c r="B412" s="102" t="e">
        <f t="array" aca="1" ref="B412" ca="1">_xludf.XLOOKUP(A412,'QA Log'!D:D,'QA Log'!E:E,"")</f>
        <v>#NAME?</v>
      </c>
      <c r="C412" s="102" t="e">
        <f t="array" aca="1" ref="C412" ca="1">_xludf.XLOOKUP(A412,'QA Log'!D:D,'QA Log'!F:F,"")</f>
        <v>#NAME?</v>
      </c>
      <c r="D412" s="102" t="e">
        <f t="array" aca="1" ref="D412" ca="1">_xludf.XLOOKUP(A412,'QA Log'!D:D,'QA Log'!H:H,"")</f>
        <v>#NAME?</v>
      </c>
      <c r="E412" s="102" t="e">
        <f t="array" aca="1" ref="E412" ca="1">_xludf.XLOOKUP(A412,'QA Log'!D:D,'QA Log'!G:G,"")</f>
        <v>#NAME?</v>
      </c>
      <c r="F412" s="103"/>
      <c r="G412" s="104"/>
      <c r="H412" s="104"/>
      <c r="I412" s="103" t="str">
        <f t="shared" si="26"/>
        <v/>
      </c>
      <c r="J412" s="102" t="str">
        <f>IF(A412="","",SUM(
COUNTIFS('QA Log'!D:D,A412,'QA Log'!M:M,"QQC",'QA Log'!L:L,"*1. General Management*"),
COUNTIFS('QA Log'!D:D,A412,'QA Log'!M:M,"QQC",'QA Log'!L:L,"*3. Curative Consultation (OPD)*"),
COUNTIFS('QA Log'!D:D,A412,'QA Log'!M:M,"QQC",'QA Log'!L:L,"*5. Laboratory*"),
COUNTIFS('QA Log'!D:D,A412,'QA Log'!M:M,"QQC",'QA Log'!L:L,"*6. Essential Medicine Management*"),
COUNTIFS('QA Log'!D:D,A412,'QA Log'!M:M,"QQC",'QA Log'!L:L,"*7. Tracer Medicine*"),
COUNTIFS('QA Log'!D:D,A412,'QA Log'!M:M,"QQC",'QA Log'!L:L,"*11. Additional Questions*")))</f>
        <v/>
      </c>
      <c r="K412" s="102" t="str">
        <f>IF(A412="","",SUM(
COUNTIFS('QA Log'!D:D,A412,'QA Log'!M:M,"QQC",'QA Log'!Z:Z,"Approved",'QA Log'!L:L,"*1. General Management*"),
COUNTIFS('QA Log'!D:D,A412,'QA Log'!M:M,"QQC",'QA Log'!Z:Z,"Approved",'QA Log'!L:L,"*3. Curative Consultation (OPD)*"),
COUNTIFS('QA Log'!D:D,A412,'QA Log'!M:M,"QQC",'QA Log'!Z:Z,"Approved",'QA Log'!L:L,"*5. Laboratory*"),
COUNTIFS('QA Log'!D:D,A412,'QA Log'!M:M,"QQC",'QA Log'!Z:Z,"Approved",'QA Log'!L:L,"*6. Essential Medicine Management*"),
COUNTIFS('QA Log'!D:D,A412,'QA Log'!M:M,"QQC",'QA Log'!Z:Z,"Approved",'QA Log'!L:L,"*7. Tracer Medicine*"),
COUNTIFS('QA Log'!D:D,A412,'QA Log'!M:M,"QQC",'QA Log'!Z:Z,"Approved",'QA Log'!L:L,"*11. Additional Questions*")))</f>
        <v/>
      </c>
      <c r="L412" s="102" t="str">
        <f>IF(A412&lt;&gt;"",COUNTIFS('QA Log'!D:D,A412,'QA Log'!M:M,"QQC",'QA Log'!L:L,"1. General Management",'QA Log'!Z:Z,"Approved"),"")</f>
        <v/>
      </c>
      <c r="M412" s="102" t="str">
        <f>IF(A412&lt;&gt;"",COUNTIFS('QA Log'!D:D,A412,'QA Log'!M:M,"QQC",'QA Log'!L:L,"3. Curative Consultation (OPD)",'QA Log'!Z:Z,"Approved"),"")</f>
        <v/>
      </c>
      <c r="N412" s="102" t="str">
        <f>IF(A412&lt;&gt;"",COUNTIFS('QA Log'!D:D,A412,'QA Log'!M:M,"QQC",'QA Log'!L:L,"5. Laboratory",'QA Log'!Z:Z,"Approved"),"")</f>
        <v/>
      </c>
      <c r="O412" s="102" t="str">
        <f>IF(A412&lt;&gt;"",COUNTIFS('QA Log'!D:D,A412,'QA Log'!M:M,"QQC",'QA Log'!L:L,"6. Essential Medicine Management",'QA Log'!Z:Z,"Approved"),"")</f>
        <v/>
      </c>
      <c r="P412" s="102" t="str">
        <f>IF(A412&lt;&gt;"",COUNTIFS('QA Log'!D:D,A412,'QA Log'!M:M,"QQC",'QA Log'!L:L,"7. Tracer Medicine",'QA Log'!Z:Z,"Approved"),"")</f>
        <v/>
      </c>
      <c r="Q412" s="102" t="str">
        <f>IF(A412&lt;&gt;"",COUNTIFS('QA Log'!D:D,A412,'QA Log'!M:M,"QQC",'QA Log'!L:L,"11. Additional Questions",'QA Log'!Z:Z,"Approved"),"")</f>
        <v/>
      </c>
      <c r="R412" s="102" t="str">
        <f>IF(A412="","",SUM(
COUNTIFS('QA Log'!D:D,A412,'QA Log'!M:M,"QQC",'QA Log'!Z:Z,"Rejected",'QA Log'!L:L,"*8. Maternity*"),
COUNTIFS('QA Log'!D:D,A412,'QA Log'!M:M,"QQC",'QA Log'!Z:Z,"Rejected",'QA Log'!L:L,"*EPI*"),
COUNTIFS('QA Log'!D:D,A412,'QA Log'!M:M,"QQC",'QA Log'!Z:Z,"Rejected",'QA Log'!L:L,"*10. Antenatal Care (ANC)*"),
COUNTIFS('QA Log'!D:D,A412,'QA Log'!M:M,"QQC",'QA Log'!Z:Z,"Rejected",'QA Log'!L:L,"*2. Hygiene and Sterilization*"),
COUNTIFS('QA Log'!D:D,A412,'QA Log'!M:M,"QQC",'QA Log'!Z:Z,"Rejected",'QA Log'!L:L,"*Family Planning*")))</f>
        <v/>
      </c>
      <c r="S412" s="106" t="str">
        <f t="shared" si="27"/>
        <v/>
      </c>
      <c r="T412" s="102" t="str">
        <f t="shared" si="28"/>
        <v/>
      </c>
      <c r="U412" s="102" t="str">
        <f>IF(A412="","",
SUM(
COUNTIFS('QA Log'!D:D,A412,'QA Log'!M:M,"QQC",'QA Log'!L:L,"*8. Maternity*"),
COUNTIFS('QA Log'!D:D,A412,'QA Log'!M:M,"QQC",'QA Log'!L:L,"*9. EPI and Pre-school Consultation*"),
COUNTIFS('QA Log'!D:D,A412,'QA Log'!M:M,"QQC",'QA Log'!L:L,"*10. Antenatal Care (ANC)*"),
COUNTIFS('QA Log'!D:D,A412,'QA Log'!M:M,"QQC",'QA Log'!L:L,"*2. Hygiene and Sterilization*"),
COUNTIFS('QA Log'!D:D,A412,'QA Log'!M:M,"QQC",'QA Log'!L:L,"*4. Family Planning*")
))</f>
        <v/>
      </c>
      <c r="V412" s="102" t="str">
        <f>IF(A412="","",
SUM(
COUNTIFS('QA Log'!D:D,A412,'QA Log'!M:M,"QQC",'QA Log'!Z:Z,"Approved",'QA Log'!L:L,"*8. Maternity*"),
COUNTIFS('QA Log'!D:D,A412,'QA Log'!M:M,"QQC",'QA Log'!Z:Z,"Approved",'QA Log'!L:L,"*9. EPI and Pre-school Consultation*"),
COUNTIFS('QA Log'!D:D,A412,'QA Log'!M:M,"QQC",'QA Log'!Z:Z,"Approved",'QA Log'!L:L,"*10. Antenatal Care (ANC)*"),
COUNTIFS('QA Log'!D:D,A412,'QA Log'!M:M,"QQC",'QA Log'!Z:Z,"Approved",'QA Log'!L:L,"*2. Hygiene and Sterilization*"),
COUNTIFS('QA Log'!D:D,A412,'QA Log'!M:M,"QQC",'QA Log'!Z:Z,"Approved",'QA Log'!L:L,"*4. Family Planning*")
))</f>
        <v/>
      </c>
      <c r="W412" s="102" t="str">
        <f>IF(A412&lt;&gt;"",COUNTIFS('QA Log'!D:D,A412,'QA Log'!M:M,"QQC",'QA Log'!L:L,"8. Maternity",'QA Log'!Z:Z,"Approved"),"")</f>
        <v/>
      </c>
      <c r="X412" s="105" t="str">
        <f>IF(A412&lt;&gt;"",COUNTIFS('QA Log'!D:D,A412,'QA Log'!M:M,"QQC",'QA Log'!L:L,"9. EPI and Pre-school Consultation",'QA Log'!Z:Z,"Approved"),"")</f>
        <v/>
      </c>
      <c r="Y412" s="102" t="str">
        <f>IF(A412&lt;&gt;"",COUNTIFS('QA Log'!D:D,A412,'QA Log'!M:M,"QQC",'QA Log'!L:L,"10. Antenatal Care (ANC)",'QA Log'!Z:Z,"Approved"),"")</f>
        <v/>
      </c>
      <c r="Z412" s="102" t="str">
        <f>IF(A412&lt;&gt;"",COUNTIFS('QA Log'!D:D,A412,'QA Log'!M:M,"QQC",'QA Log'!L:L,"2. Hygiene and Sterilization",'QA Log'!Z:Z,"Approved"),"")</f>
        <v/>
      </c>
      <c r="AA412" s="105" t="str">
        <f>IF(A412&lt;&gt;"",COUNTIFS('QA Log'!D:D,A412,'QA Log'!M:M,"QQC",'QA Log'!L:L,"4. Family Planning",'QA Log'!Z:Z,"Approved"),"")</f>
        <v/>
      </c>
      <c r="AB412" s="102" t="str">
        <f>IF(A412="","",
SUM(
COUNTIFS('QA Log'!D:D,A412,'QA Log'!M:M,"QQC",'QA Log'!Z:Z,"Rejected",'QA Log'!L:L,"*8. Maternity*"),
COUNTIFS('QA Log'!D:D,A412,'QA Log'!M:M,"QQC",'QA Log'!Z:Z,"Rejected",'QA Log'!L:L,"*9. EPI and Pre-school Consultation*"),
COUNTIFS('QA Log'!D:D,A412,'QA Log'!M:M,"QQC",'QA Log'!Z:Z,"Rejected",'QA Log'!L:L,"*10. Antenatal Care (ANC)*"),
COUNTIFS('QA Log'!D:D,A412,'QA Log'!M:M,"QQC",'QA Log'!Z:Z,"Rejected",'QA Log'!L:L,"*2. Hygiene and Sterilization*"),
COUNTIFS('QA Log'!D:D,A412,'QA Log'!M:M,"QQC",'QA Log'!Z:Z,"Rejected",'QA Log'!L:L,"*4. Family Planning*")
))</f>
        <v/>
      </c>
      <c r="AC412" s="102" t="str">
        <f t="shared" si="29"/>
        <v/>
      </c>
      <c r="AD412" s="103" t="str">
        <f t="shared" si="30"/>
        <v/>
      </c>
      <c r="AE412" s="102" t="str">
        <f>IF(A412="","",
SUM(
COUNTIFS('QA Log'!D:D,A412,'QA Log'!M:M,"Data Verification",'QA Log'!L:L,"*Medicine (section 2)*"),
COUNTIFS('QA Log'!D:D,A412,'QA Log'!M:M,"Data Verification",'QA Log'!L:L,"*Lab Testing Availability*"),
COUNTIFS('QA Log'!D:D,A412,'QA Log'!M:M,"Data Verification",'QA Log'!L:L,"*Other than P4P (section 6)*"),
COUNTIFS('QA Log'!D:D,A412,'QA Log'!M:M,"Data Verification",'QA Log'!L:L,"*Hospital Governance*")
))</f>
        <v/>
      </c>
      <c r="AF412" s="102" t="str">
        <f>IF(A412="","",
SUM(
COUNTIFS('QA Log'!D:D,A412,'QA Log'!M:M,"Data Verification",'QA Log'!Z:Z,"Approved",'QA Log'!L:L,"*Medicine (section 2)*"),
COUNTIFS('QA Log'!D:D,A412,'QA Log'!M:M,"Data Verification",'QA Log'!Z:Z,"Approved",'QA Log'!L:L,"*Lab Testing Availability*"),
COUNTIFS('QA Log'!D:D,A412,'QA Log'!M:M,"Data Verification",'QA Log'!Z:Z,"Approved",'QA Log'!L:L,"*Other than P4P (section 6)*"),
COUNTIFS('QA Log'!D:D,A412,'QA Log'!M:M,"Data Verification",'QA Log'!Z:Z,"Approved",'QA Log'!L:L,"*Hospital Governance*")
))</f>
        <v/>
      </c>
      <c r="AG412" s="105" t="str">
        <f>IF(A412&lt;&gt;"",COUNTIFS('QA Log'!D:D,A412,'QA Log'!M:M,"Data Verification",'QA Log'!L:L,"Medicine (section 2)",'QA Log'!Z:Z,"Approved"),"")</f>
        <v/>
      </c>
      <c r="AH412" s="105" t="str">
        <f>IF(A412&lt;&gt;"",COUNTIFS('QA Log'!D:D,A412,'QA Log'!M:M,"Data Verification",'QA Log'!L:L,"Lab Testing Availability",'QA Log'!Z:Z,"Approved"),"")</f>
        <v/>
      </c>
      <c r="AI412" s="105" t="str">
        <f>IF(A412&lt;&gt;"",COUNTIFS('QA Log'!D:D,A412,'QA Log'!M:M,"Data Verification",'QA Log'!L:L,"Other than P4P (section 6)",'QA Log'!Z:Z,"Approved"),"")</f>
        <v/>
      </c>
      <c r="AJ412" s="105" t="str">
        <f>IF(A412&lt;&gt;"",COUNTIFS('QA Log'!D:D,A412,'QA Log'!M:M,"Data Verification",'QA Log'!L:L,"Hospital Governance",'QA Log'!Z:Z,"Approved"),"")</f>
        <v/>
      </c>
      <c r="AK412" s="102" t="str">
        <f>IF(A412="","",
SUM(
COUNTIFS('QA Log'!D:D,A412,'QA Log'!M:M,"Data Verification",'QA Log'!Z:Z,"Rejected",'QA Log'!L:L,"*Medicine (section 2)*"),
COUNTIFS('QA Log'!D:D,A412,'QA Log'!M:M,"Data Verification",'QA Log'!Z:Z,"Rejected",'QA Log'!L:L,"*Lab Testing Availability*"),
COUNTIFS('QA Log'!D:D,A412,'QA Log'!M:M,"Data Verification",'QA Log'!Z:Z,"Rejected",'QA Log'!L:L,"*Other than P4P (section 6)*"),
COUNTIFS('QA Log'!D:D,A412,'QA Log'!M:M,"Data Verification",'QA Log'!Z:Z,"Rejected",'QA Log'!L:L,"*Hospital Governance*")
))</f>
        <v/>
      </c>
      <c r="AL412" s="106" t="str">
        <f t="shared" si="31"/>
        <v/>
      </c>
      <c r="AM412" s="102" t="str">
        <f t="shared" si="32"/>
        <v/>
      </c>
      <c r="AN412" s="102" t="str">
        <f>IF(A412="","",
SUM(
COUNTIFS('QA Log'!D:D,A412,'QA Log'!M:M,"Data Verification",'QA Log'!L:L,"*Personnel (section 1)*"),
COUNTIFS('QA Log'!D:D,A412,'QA Log'!M:M,"Data Verification",'QA Log'!L:L,"*Consumable (section 3)*"),
COUNTIFS('QA Log'!D:D,A412,'QA Log'!M:M,"Data Verification",'QA Log'!L:L,"*Equipments (section 4)*")
))</f>
        <v/>
      </c>
      <c r="AO412" s="102" t="str">
        <f>IF(A412="","",
SUM(
COUNTIFS('QA Log'!D:D,A412,'QA Log'!M:M,"Data Verification",'QA Log'!Z:Z,"Approved",'QA Log'!L:L,"*Personnel (section 1)*"),
COUNTIFS('QA Log'!D:D,A412,'QA Log'!M:M,"Data Verification",'QA Log'!Z:Z,"Approved",'QA Log'!L:L,"*Consumable (section 3)*"),
COUNTIFS('QA Log'!D:D,A412,'QA Log'!M:M,"Data Verification",'QA Log'!Z:Z,"Approved",'QA Log'!L:L,"*Equipments (section 4)*")
))</f>
        <v/>
      </c>
      <c r="AP412" s="105" t="str">
        <f>IF(A412&lt;&gt;"",COUNTIFS('QA Log'!D:D,A412,'QA Log'!M:M,"Data Verification",'QA Log'!L:L,"Personnel (section 1)",'QA Log'!Z:Z,"Approved"),"")</f>
        <v/>
      </c>
      <c r="AQ412" s="105" t="str">
        <f>IF(A412&lt;&gt;"",COUNTIFS('QA Log'!D:D,A412,'QA Log'!M:M,"Data Verification",'QA Log'!L:L,"Consumable (section 3)",'QA Log'!Z:Z,"Approved"),"")</f>
        <v/>
      </c>
      <c r="AR412" s="105" t="str">
        <f>IF(A412&lt;&gt;"",COUNTIFS('QA Log'!D:D,A412,'QA Log'!M:M,"Data Verification",'QA Log'!L:L,"Equipments (section 4)",'QA Log'!Z:Z,"Approved"),"")</f>
        <v/>
      </c>
      <c r="AS412" s="102" t="str">
        <f>IF(A412="","",
SUM(
COUNTIFS('QA Log'!D:D,A412,'QA Log'!M:M,"Data Verification",'QA Log'!Z:Z,"Rejected",'QA Log'!L:L,"*Personnel (section 1)*"),
COUNTIFS('QA Log'!D:D,A412,'QA Log'!M:M,"Data Verification",'QA Log'!Z:Z,"Rejected",'QA Log'!L:L,"*Consumable (section 3)*"),
COUNTIFS('QA Log'!D:D,A412,'QA Log'!M:M,"Data Verification",'QA Log'!Z:Z,"Rejected",'QA Log'!L:L,"*Equipments (section 4)*")
))</f>
        <v/>
      </c>
      <c r="AT412" s="102" t="str">
        <f t="shared" si="33"/>
        <v/>
      </c>
      <c r="AU412" s="103" t="str">
        <f t="shared" si="34"/>
        <v/>
      </c>
      <c r="AV412" s="102" t="str">
        <f>IF(A412="","",SUM(
COUNTIFS('QA Log'!D:D,A412,'QA Log'!M:M,"Vignette",'QA Log'!L:L,"*Vignette [1] Respiratory Infection: Pneumonia*"),
COUNTIFS('QA Log'!D:D,A412,'QA Log'!M:M,"Vignette",'QA Log'!L:L,"*Vignette [2]: Diarrhea with Cat B dehydration*"),
COUNTIFS('QA Log'!D:D,A412,'QA Log'!M:M,"Vignette",'QA Log'!L:L,"*Vignette [3] Growth Monitoring and Promotion*"),
COUNTIFS('QA Log'!D:D,A412,'QA Log'!M:M,"Vignette",'QA Log'!L:L,"*Vignette [4]: The management of presumptive TB patient*")
)
)</f>
        <v/>
      </c>
      <c r="AW412" s="102" t="str">
        <f>IF(
  A412="","",
  SUM(
    COUNTIFS('QA Log'!D:D,A412,'QA Log'!M:M,"Vignette",'QA Log'!Z:Z,"Approved",'QA Log'!L:L,"*Vignette [1] Respiratory Infection: Pneumonia*"),
    COUNTIFS('QA Log'!D:D,A412,'QA Log'!M:M,"Vignette",'QA Log'!Z:Z,"Approved",'QA Log'!L:L,"*Vignette [2]: Diarrhea with Cat B dehydration*"),
    COUNTIFS('QA Log'!D:D,A412,'QA Log'!M:M,"Vignette",'QA Log'!Z:Z,"Approved",'QA Log'!L:L,"*Vignette [3] Growth Monitoring and Promotion*"),
    COUNTIFS('QA Log'!D:D,A412,'QA Log'!M:M,"Vignette",'QA Log'!Z:Z,"Approved",'QA Log'!L:L,"*Vignette [4]: The management of presumptive TB patient*")
  )
)</f>
        <v/>
      </c>
      <c r="AX412" s="105" t="str">
        <f>IF(A412&lt;&gt;"",COUNTIFS('QA Log'!D:D,A412,'QA Log'!M:M,"Vignette",'QA Log'!L:L,"Vignette [1] Respiratory Infection: Pneumonia",'QA Log'!Z:Z,"Approved"),"")</f>
        <v/>
      </c>
      <c r="AY412" s="105" t="str">
        <f>IF(A412&lt;&gt;"",COUNTIFS('QA Log'!D:D,A412,'QA Log'!M:M,"Vignette",'QA Log'!L:L,"Vignette [2]: Diarrhea with Cat B dehydration",'QA Log'!Z:Z,"Approved"),"")</f>
        <v/>
      </c>
      <c r="AZ412" s="105" t="str">
        <f>IF(A412&lt;&gt;"",COUNTIFS('QA Log'!D:D,A412,'QA Log'!M:M,"Vignette",'QA Log'!L:L,"Vignette [3] Growth Monitoring and Promotion",'QA Log'!Z:Z,"Approved"),"")</f>
        <v/>
      </c>
      <c r="BA412" s="105" t="str">
        <f>IF(A412&lt;&gt;"",COUNTIFS('QA Log'!D:D,A412,'QA Log'!M:M,"Vignette",'QA Log'!L:L,"Vignette [4]: The management of presumptive TB patient",'QA Log'!Z:Z,"Approved"),"")</f>
        <v/>
      </c>
      <c r="BB412" s="102" t="str">
        <f>IF(A412="","",
  SUM(
    COUNTIFS('QA Log'!D:D,A412,'QA Log'!M:M,"Vignette",'QA Log'!Z:Z,"Rejected",'QA Log'!L:L,"*Vignette [1] Respiratory Infection: Pneumonia*"),
    COUNTIFS('QA Log'!D:D,A412,'QA Log'!M:M,"Vignette",'QA Log'!Z:Z,"Rejected",'QA Log'!L:L,"*Vignette [2]: Diarrhea with Cat B dehydration*"),
    COUNTIFS('QA Log'!D:D,A412,'QA Log'!M:M,"Vignette",'QA Log'!Z:Z,"Rejected",'QA Log'!L:L,"*Vignette [3] Growth Monitoring and Promotion*"),
    COUNTIFS('QA Log'!D:D,A412,'QA Log'!M:M,"Vignette",'QA Log'!Z:Z,"Rejected",'QA Log'!L:L,"*Vignette [4]: The management of presumptive TB patient*")
  )
)</f>
        <v/>
      </c>
      <c r="BC412" s="107" t="str">
        <f t="shared" si="35"/>
        <v/>
      </c>
      <c r="BD412" s="103" t="str">
        <f t="shared" si="36"/>
        <v/>
      </c>
      <c r="BE412" s="102" t="str">
        <f>IF(A412="","",SUM(
COUNTIFS('QA Log'!D:D,A412,'QA Log'!M:M,"Vignette",'QA Log'!L:L,"*Vignette [5] Labor*"),
COUNTIFS('QA Log'!D:D,A412,'QA Log'!M:M,"Vignette",'QA Log'!L:L,"*Vignette [6] PNC pre Discharge*"),
COUNTIFS('QA Log'!D:D,A412,'QA Log'!M:M,"Vignette",'QA Log'!L:L,"*Vignette [7] First ANC Visit*"),
COUNTIFS('QA Log'!D:D,A412,'QA Log'!M:M,"Vignette",'QA Log'!L:L,"*Vignette [8] Birth Spacing/ Family Planning :  FP Counselling*"),
COUNTIFS('QA Log'!D:D,A412,'QA Log'!M:M,"Vignette",'QA Log'!L:L,"*Vignette [9] Birth Spacing: Change FP method to Injectable*"),
COUNTIFS('QA Log'!D:D,A412,'QA Log'!M:M,"Vignette",'QA Log'!L:L,"*Vignette [10] Post Partum Haemorrhage - Atonic Uterus at Health Centre*"),
)
)</f>
        <v/>
      </c>
      <c r="BF412" s="102" t="str">
        <f>IF(A412="","",
  SUM(
    COUNTIFS('QA Log'!D:D,A412,'QA Log'!M:M,"Vignette",'QA Log'!Z:Z,"Approved",'QA Log'!L:L,"*Vignette [5] Labor*"),
    COUNTIFS('QA Log'!D:D,A412,'QA Log'!M:M,"Vignette",'QA Log'!Z:Z,"Approved",'QA Log'!L:L,"*Vignette [6] PNC pre Discharge*"),
    COUNTIFS('QA Log'!D:D,A412,'QA Log'!M:M,"Vignette",'QA Log'!Z:Z,"Approved",'QA Log'!L:L,"*Vignette [7] First ANC Visit*"),
    COUNTIFS('QA Log'!D:D,A412,'QA Log'!M:M,"Vignette",'QA Log'!Z:Z,"Approved",'QA Log'!L:L,"*Vignette [8] Birth Spacing/ Family Planning :  FP Counselling*"),
    COUNTIFS('QA Log'!D:D,A412,'QA Log'!M:M,"Vignette",'QA Log'!Z:Z,"Approved",'QA Log'!L:L,"*Vignette [9] Birth Spacing: Change FP method to Injectable*"),
    COUNTIFS('QA Log'!D:D,A412,'QA Log'!M:M,"Vignette",'QA Log'!Z:Z,"Approved",'QA Log'!L:L,"*Vignette [10] Post Partum Haemorrhage - Atonic Uterus at Health Centre*")
  )
)</f>
        <v/>
      </c>
      <c r="BG412" s="105" t="str">
        <f>IF(A412&lt;&gt;"",COUNTIFS('QA Log'!D:D,A412,'QA Log'!M:M,"Vignette",'QA Log'!L:L,"Vignette [5] Labor",'QA Log'!Z:Z,"Approved"),"")</f>
        <v/>
      </c>
      <c r="BH412" s="105" t="str">
        <f>IF(A412&lt;&gt;"",COUNTIFS('QA Log'!D:D,A412,'QA Log'!M:M,"Vignette",'QA Log'!L:L,"Vignette [6] PNC pre Discharge",'QA Log'!Z:Z,"Approved"),"")</f>
        <v/>
      </c>
      <c r="BI412" s="105" t="str">
        <f>IF(A412&lt;&gt;"",COUNTIFS('QA Log'!D:D,A412,'QA Log'!M:M,"Vignette",'QA Log'!L:L,"Vignette [7] First ANC Visit",'QA Log'!Z:Z,"Approved"),"")</f>
        <v/>
      </c>
      <c r="BJ412" s="105" t="str">
        <f>IF(A412&lt;&gt;"",COUNTIFS('QA Log'!D:D,A412,'QA Log'!M:M,"Vignette",'QA Log'!L:L,"Vignette [8] Birth Spacing/ Family Planning :  FP Counselling",'QA Log'!Z:Z,"Approved"),"")</f>
        <v/>
      </c>
      <c r="BK412" s="105" t="str">
        <f>IF(A412&lt;&gt;"",COUNTIFS('QA Log'!D:D,A412,'QA Log'!M:M,"Vignette",'QA Log'!L:L,"Vignette [9] Birth Spacing: Change FP method to Injectable",'QA Log'!Z:Z,"Approved"),"")</f>
        <v/>
      </c>
      <c r="BL412" s="105" t="str">
        <f>IF(A412&lt;&gt;"",COUNTIFS('QA Log'!D:D,A412,'QA Log'!M:M,"Vignette",'QA Log'!L:L,"Vignette [10] Post Partum Haemorrhage - Atonic Uterus at Health Centre",'QA Log'!Z:Z,"Approved"),"")</f>
        <v/>
      </c>
      <c r="BM412" s="102" t="str">
        <f>IF(A412="","",SUM(
    COUNTIFS('QA Log'!D:D,A412,'QA Log'!M:M,"Vignette",'QA Log'!Z:Z,"Rejected",'QA Log'!L:L,"*Vignette [5] Labor*"),
    COUNTIFS('QA Log'!D:D,A412,'QA Log'!M:M,"Vignette",'QA Log'!Z:Z,"Rejected",'QA Log'!L:L,"*Vignette [6] PNC pre Discharge*"),
    COUNTIFS('QA Log'!D:D,A412,'QA Log'!M:M,"Vignette",'QA Log'!Z:Z,"Rejected",'QA Log'!L:L,"*Vignette [7] First ANC Visit*"),
    COUNTIFS('QA Log'!D:D,A412,'QA Log'!M:M,"Vignette",'QA Log'!Z:Z,"Rejected",'QA Log'!L:L,"*Vignette [8] Birth Spacing/ Family Planning :  FP Counselling*"),
    COUNTIFS('QA Log'!D:D,A412,'QA Log'!M:M,"Vignette",'QA Log'!Z:Z,"Rejected",'QA Log'!L:L,"*Vignette [9] Birth Spacing: Change FP method to Injectable*"),
    COUNTIFS('QA Log'!D:D,A412,'QA Log'!M:M,"Vignette",'QA Log'!Z:Z,"Rejected",'QA Log'!L:L,"*Vignette [10] Post Partum Haemorrhage - Atonic Uterus at Health Centre*")
  )
)</f>
        <v/>
      </c>
      <c r="BN412" s="107" t="str">
        <f t="shared" si="37"/>
        <v/>
      </c>
      <c r="BO412" s="103" t="str">
        <f t="shared" si="38"/>
        <v/>
      </c>
      <c r="BP412" s="102" t="str">
        <f>IF(A412="","",SUM(
COUNTIFS('QA Log'!D:D,A412,'QA Log'!M:M,"Vignette",'QA Log'!L:L,"*Exit Interview 1*"),
COUNTIFS('QA Log'!D:D,A412,'QA Log'!M:M,"Vignette",'QA Log'!L:L,"*Exit Interview 2*"),
)
)</f>
        <v/>
      </c>
      <c r="BQ412" s="102" t="str">
        <f>IF(
  A412="","",
  SUM(
    COUNTIFS('QA Log'!D:D,A412,'QA Log'!M:M,"Vignette",'QA Log'!Z:Z,"Approved",'QA Log'!L:L,"*Exit Interview 1*"),
    COUNTIFS('QA Log'!D:D,A412,'QA Log'!M:M,"Vignette",'QA Log'!Z:Z,"Approved",'QA Log'!L:L,"*Exit Interview 2*")
  )
)</f>
        <v/>
      </c>
      <c r="BR412" s="105" t="str">
        <f>IF(A412&lt;&gt;"",COUNTIFS('QA Log'!D:D,A412,'QA Log'!M:M,"Vignette",'QA Log'!L:L,"Exit Interview 1",'QA Log'!Z:Z,"Approved"),"")</f>
        <v/>
      </c>
      <c r="BS412" s="105" t="str">
        <f>IF(A412&lt;&gt;"",COUNTIFS('QA Log'!D:D,A412,'QA Log'!M:M,"Vignette",'QA Log'!L:L,"Exit Interview 2",'QA Log'!Z:Z,"Approved"),"")</f>
        <v/>
      </c>
      <c r="BT412" s="102" t="str">
        <f>IF(
  A412="","",
  SUM(
    COUNTIFS('QA Log'!D:D,A412,'QA Log'!M:M,"Vignette",'QA Log'!Z:Z,"Rejected",'QA Log'!L:L,"*Exit Interview 1*"),
    COUNTIFS('QA Log'!D:D,A412,'QA Log'!M:M,"Vignette",'QA Log'!Z:Z,"Rejected",'QA Log'!L:L,"*Exit Interview 2*")
  )
)</f>
        <v/>
      </c>
      <c r="BU412" s="107" t="str">
        <f t="shared" si="39"/>
        <v/>
      </c>
      <c r="BV412" s="102" t="str">
        <f t="shared" si="40"/>
        <v/>
      </c>
      <c r="BW412" s="102" t="str">
        <f t="shared" si="41"/>
        <v/>
      </c>
      <c r="BX412" s="102" t="str">
        <f t="shared" si="42"/>
        <v/>
      </c>
      <c r="BY412" s="102" t="str">
        <f t="shared" si="43"/>
        <v/>
      </c>
      <c r="BZ412" s="107" t="str">
        <f t="shared" si="44"/>
        <v/>
      </c>
      <c r="CA412" s="108" t="str">
        <f t="shared" si="45"/>
        <v/>
      </c>
      <c r="CB412" s="108" t="str">
        <f t="shared" si="46"/>
        <v/>
      </c>
      <c r="CC412" s="109" t="str">
        <f t="shared" si="47"/>
        <v/>
      </c>
      <c r="CD412" s="108" t="str">
        <f t="shared" si="48"/>
        <v/>
      </c>
      <c r="CE412" s="108" t="str">
        <f t="shared" si="49"/>
        <v/>
      </c>
      <c r="CF412" s="109" t="str">
        <f t="shared" si="50"/>
        <v/>
      </c>
      <c r="CG412" s="110" t="str">
        <f t="shared" si="51"/>
        <v/>
      </c>
      <c r="CH412" s="111"/>
    </row>
    <row r="413" spans="1:86" ht="12.75">
      <c r="A413" s="101"/>
      <c r="B413" s="102" t="e">
        <f t="array" aca="1" ref="B413" ca="1">_xludf.XLOOKUP(A413,'QA Log'!D:D,'QA Log'!E:E,"")</f>
        <v>#NAME?</v>
      </c>
      <c r="C413" s="102" t="e">
        <f t="array" aca="1" ref="C413" ca="1">_xludf.XLOOKUP(A413,'QA Log'!D:D,'QA Log'!F:F,"")</f>
        <v>#NAME?</v>
      </c>
      <c r="D413" s="102" t="e">
        <f t="array" aca="1" ref="D413" ca="1">_xludf.XLOOKUP(A413,'QA Log'!D:D,'QA Log'!H:H,"")</f>
        <v>#NAME?</v>
      </c>
      <c r="E413" s="102" t="e">
        <f t="array" aca="1" ref="E413" ca="1">_xludf.XLOOKUP(A413,'QA Log'!D:D,'QA Log'!G:G,"")</f>
        <v>#NAME?</v>
      </c>
      <c r="F413" s="103"/>
      <c r="G413" s="104"/>
      <c r="H413" s="104"/>
      <c r="I413" s="103" t="str">
        <f t="shared" si="26"/>
        <v/>
      </c>
      <c r="J413" s="102" t="str">
        <f>IF(A413="","",SUM(
COUNTIFS('QA Log'!D:D,A413,'QA Log'!M:M,"QQC",'QA Log'!L:L,"*1. General Management*"),
COUNTIFS('QA Log'!D:D,A413,'QA Log'!M:M,"QQC",'QA Log'!L:L,"*3. Curative Consultation (OPD)*"),
COUNTIFS('QA Log'!D:D,A413,'QA Log'!M:M,"QQC",'QA Log'!L:L,"*5. Laboratory*"),
COUNTIFS('QA Log'!D:D,A413,'QA Log'!M:M,"QQC",'QA Log'!L:L,"*6. Essential Medicine Management*"),
COUNTIFS('QA Log'!D:D,A413,'QA Log'!M:M,"QQC",'QA Log'!L:L,"*7. Tracer Medicine*"),
COUNTIFS('QA Log'!D:D,A413,'QA Log'!M:M,"QQC",'QA Log'!L:L,"*11. Additional Questions*")))</f>
        <v/>
      </c>
      <c r="K413" s="102" t="str">
        <f>IF(A413="","",SUM(
COUNTIFS('QA Log'!D:D,A413,'QA Log'!M:M,"QQC",'QA Log'!Z:Z,"Approved",'QA Log'!L:L,"*1. General Management*"),
COUNTIFS('QA Log'!D:D,A413,'QA Log'!M:M,"QQC",'QA Log'!Z:Z,"Approved",'QA Log'!L:L,"*3. Curative Consultation (OPD)*"),
COUNTIFS('QA Log'!D:D,A413,'QA Log'!M:M,"QQC",'QA Log'!Z:Z,"Approved",'QA Log'!L:L,"*5. Laboratory*"),
COUNTIFS('QA Log'!D:D,A413,'QA Log'!M:M,"QQC",'QA Log'!Z:Z,"Approved",'QA Log'!L:L,"*6. Essential Medicine Management*"),
COUNTIFS('QA Log'!D:D,A413,'QA Log'!M:M,"QQC",'QA Log'!Z:Z,"Approved",'QA Log'!L:L,"*7. Tracer Medicine*"),
COUNTIFS('QA Log'!D:D,A413,'QA Log'!M:M,"QQC",'QA Log'!Z:Z,"Approved",'QA Log'!L:L,"*11. Additional Questions*")))</f>
        <v/>
      </c>
      <c r="L413" s="102" t="str">
        <f>IF(A413&lt;&gt;"",COUNTIFS('QA Log'!D:D,A413,'QA Log'!M:M,"QQC",'QA Log'!L:L,"1. General Management",'QA Log'!Z:Z,"Approved"),"")</f>
        <v/>
      </c>
      <c r="M413" s="102" t="str">
        <f>IF(A413&lt;&gt;"",COUNTIFS('QA Log'!D:D,A413,'QA Log'!M:M,"QQC",'QA Log'!L:L,"3. Curative Consultation (OPD)",'QA Log'!Z:Z,"Approved"),"")</f>
        <v/>
      </c>
      <c r="N413" s="102" t="str">
        <f>IF(A413&lt;&gt;"",COUNTIFS('QA Log'!D:D,A413,'QA Log'!M:M,"QQC",'QA Log'!L:L,"5. Laboratory",'QA Log'!Z:Z,"Approved"),"")</f>
        <v/>
      </c>
      <c r="O413" s="102" t="str">
        <f>IF(A413&lt;&gt;"",COUNTIFS('QA Log'!D:D,A413,'QA Log'!M:M,"QQC",'QA Log'!L:L,"6. Essential Medicine Management",'QA Log'!Z:Z,"Approved"),"")</f>
        <v/>
      </c>
      <c r="P413" s="102" t="str">
        <f>IF(A413&lt;&gt;"",COUNTIFS('QA Log'!D:D,A413,'QA Log'!M:M,"QQC",'QA Log'!L:L,"7. Tracer Medicine",'QA Log'!Z:Z,"Approved"),"")</f>
        <v/>
      </c>
      <c r="Q413" s="102" t="str">
        <f>IF(A413&lt;&gt;"",COUNTIFS('QA Log'!D:D,A413,'QA Log'!M:M,"QQC",'QA Log'!L:L,"11. Additional Questions",'QA Log'!Z:Z,"Approved"),"")</f>
        <v/>
      </c>
      <c r="R413" s="102" t="str">
        <f>IF(A413="","",SUM(
COUNTIFS('QA Log'!D:D,A413,'QA Log'!M:M,"QQC",'QA Log'!Z:Z,"Rejected",'QA Log'!L:L,"*8. Maternity*"),
COUNTIFS('QA Log'!D:D,A413,'QA Log'!M:M,"QQC",'QA Log'!Z:Z,"Rejected",'QA Log'!L:L,"*EPI*"),
COUNTIFS('QA Log'!D:D,A413,'QA Log'!M:M,"QQC",'QA Log'!Z:Z,"Rejected",'QA Log'!L:L,"*10. Antenatal Care (ANC)*"),
COUNTIFS('QA Log'!D:D,A413,'QA Log'!M:M,"QQC",'QA Log'!Z:Z,"Rejected",'QA Log'!L:L,"*2. Hygiene and Sterilization*"),
COUNTIFS('QA Log'!D:D,A413,'QA Log'!M:M,"QQC",'QA Log'!Z:Z,"Rejected",'QA Log'!L:L,"*Family Planning*")))</f>
        <v/>
      </c>
      <c r="S413" s="106" t="str">
        <f t="shared" si="27"/>
        <v/>
      </c>
      <c r="T413" s="102" t="str">
        <f t="shared" si="28"/>
        <v/>
      </c>
      <c r="U413" s="102" t="str">
        <f>IF(A413="","",
SUM(
COUNTIFS('QA Log'!D:D,A413,'QA Log'!M:M,"QQC",'QA Log'!L:L,"*8. Maternity*"),
COUNTIFS('QA Log'!D:D,A413,'QA Log'!M:M,"QQC",'QA Log'!L:L,"*9. EPI and Pre-school Consultation*"),
COUNTIFS('QA Log'!D:D,A413,'QA Log'!M:M,"QQC",'QA Log'!L:L,"*10. Antenatal Care (ANC)*"),
COUNTIFS('QA Log'!D:D,A413,'QA Log'!M:M,"QQC",'QA Log'!L:L,"*2. Hygiene and Sterilization*"),
COUNTIFS('QA Log'!D:D,A413,'QA Log'!M:M,"QQC",'QA Log'!L:L,"*4. Family Planning*")
))</f>
        <v/>
      </c>
      <c r="V413" s="102" t="str">
        <f>IF(A413="","",
SUM(
COUNTIFS('QA Log'!D:D,A413,'QA Log'!M:M,"QQC",'QA Log'!Z:Z,"Approved",'QA Log'!L:L,"*8. Maternity*"),
COUNTIFS('QA Log'!D:D,A413,'QA Log'!M:M,"QQC",'QA Log'!Z:Z,"Approved",'QA Log'!L:L,"*9. EPI and Pre-school Consultation*"),
COUNTIFS('QA Log'!D:D,A413,'QA Log'!M:M,"QQC",'QA Log'!Z:Z,"Approved",'QA Log'!L:L,"*10. Antenatal Care (ANC)*"),
COUNTIFS('QA Log'!D:D,A413,'QA Log'!M:M,"QQC",'QA Log'!Z:Z,"Approved",'QA Log'!L:L,"*2. Hygiene and Sterilization*"),
COUNTIFS('QA Log'!D:D,A413,'QA Log'!M:M,"QQC",'QA Log'!Z:Z,"Approved",'QA Log'!L:L,"*4. Family Planning*")
))</f>
        <v/>
      </c>
      <c r="W413" s="102" t="str">
        <f>IF(A413&lt;&gt;"",COUNTIFS('QA Log'!D:D,A413,'QA Log'!M:M,"QQC",'QA Log'!L:L,"8. Maternity",'QA Log'!Z:Z,"Approved"),"")</f>
        <v/>
      </c>
      <c r="X413" s="105" t="str">
        <f>IF(A413&lt;&gt;"",COUNTIFS('QA Log'!D:D,A413,'QA Log'!M:M,"QQC",'QA Log'!L:L,"9. EPI and Pre-school Consultation",'QA Log'!Z:Z,"Approved"),"")</f>
        <v/>
      </c>
      <c r="Y413" s="102" t="str">
        <f>IF(A413&lt;&gt;"",COUNTIFS('QA Log'!D:D,A413,'QA Log'!M:M,"QQC",'QA Log'!L:L,"10. Antenatal Care (ANC)",'QA Log'!Z:Z,"Approved"),"")</f>
        <v/>
      </c>
      <c r="Z413" s="102" t="str">
        <f>IF(A413&lt;&gt;"",COUNTIFS('QA Log'!D:D,A413,'QA Log'!M:M,"QQC",'QA Log'!L:L,"2. Hygiene and Sterilization",'QA Log'!Z:Z,"Approved"),"")</f>
        <v/>
      </c>
      <c r="AA413" s="105" t="str">
        <f>IF(A413&lt;&gt;"",COUNTIFS('QA Log'!D:D,A413,'QA Log'!M:M,"QQC",'QA Log'!L:L,"4. Family Planning",'QA Log'!Z:Z,"Approved"),"")</f>
        <v/>
      </c>
      <c r="AB413" s="102" t="str">
        <f>IF(A413="","",
SUM(
COUNTIFS('QA Log'!D:D,A413,'QA Log'!M:M,"QQC",'QA Log'!Z:Z,"Rejected",'QA Log'!L:L,"*8. Maternity*"),
COUNTIFS('QA Log'!D:D,A413,'QA Log'!M:M,"QQC",'QA Log'!Z:Z,"Rejected",'QA Log'!L:L,"*9. EPI and Pre-school Consultation*"),
COUNTIFS('QA Log'!D:D,A413,'QA Log'!M:M,"QQC",'QA Log'!Z:Z,"Rejected",'QA Log'!L:L,"*10. Antenatal Care (ANC)*"),
COUNTIFS('QA Log'!D:D,A413,'QA Log'!M:M,"QQC",'QA Log'!Z:Z,"Rejected",'QA Log'!L:L,"*2. Hygiene and Sterilization*"),
COUNTIFS('QA Log'!D:D,A413,'QA Log'!M:M,"QQC",'QA Log'!Z:Z,"Rejected",'QA Log'!L:L,"*4. Family Planning*")
))</f>
        <v/>
      </c>
      <c r="AC413" s="102" t="str">
        <f t="shared" si="29"/>
        <v/>
      </c>
      <c r="AD413" s="103" t="str">
        <f t="shared" si="30"/>
        <v/>
      </c>
      <c r="AE413" s="102" t="str">
        <f>IF(A413="","",
SUM(
COUNTIFS('QA Log'!D:D,A413,'QA Log'!M:M,"Data Verification",'QA Log'!L:L,"*Medicine (section 2)*"),
COUNTIFS('QA Log'!D:D,A413,'QA Log'!M:M,"Data Verification",'QA Log'!L:L,"*Lab Testing Availability*"),
COUNTIFS('QA Log'!D:D,A413,'QA Log'!M:M,"Data Verification",'QA Log'!L:L,"*Other than P4P (section 6)*"),
COUNTIFS('QA Log'!D:D,A413,'QA Log'!M:M,"Data Verification",'QA Log'!L:L,"*Hospital Governance*")
))</f>
        <v/>
      </c>
      <c r="AF413" s="102" t="str">
        <f>IF(A413="","",
SUM(
COUNTIFS('QA Log'!D:D,A413,'QA Log'!M:M,"Data Verification",'QA Log'!Z:Z,"Approved",'QA Log'!L:L,"*Medicine (section 2)*"),
COUNTIFS('QA Log'!D:D,A413,'QA Log'!M:M,"Data Verification",'QA Log'!Z:Z,"Approved",'QA Log'!L:L,"*Lab Testing Availability*"),
COUNTIFS('QA Log'!D:D,A413,'QA Log'!M:M,"Data Verification",'QA Log'!Z:Z,"Approved",'QA Log'!L:L,"*Other than P4P (section 6)*"),
COUNTIFS('QA Log'!D:D,A413,'QA Log'!M:M,"Data Verification",'QA Log'!Z:Z,"Approved",'QA Log'!L:L,"*Hospital Governance*")
))</f>
        <v/>
      </c>
      <c r="AG413" s="105" t="str">
        <f>IF(A413&lt;&gt;"",COUNTIFS('QA Log'!D:D,A413,'QA Log'!M:M,"Data Verification",'QA Log'!L:L,"Medicine (section 2)",'QA Log'!Z:Z,"Approved"),"")</f>
        <v/>
      </c>
      <c r="AH413" s="105" t="str">
        <f>IF(A413&lt;&gt;"",COUNTIFS('QA Log'!D:D,A413,'QA Log'!M:M,"Data Verification",'QA Log'!L:L,"Lab Testing Availability",'QA Log'!Z:Z,"Approved"),"")</f>
        <v/>
      </c>
      <c r="AI413" s="105" t="str">
        <f>IF(A413&lt;&gt;"",COUNTIFS('QA Log'!D:D,A413,'QA Log'!M:M,"Data Verification",'QA Log'!L:L,"Other than P4P (section 6)",'QA Log'!Z:Z,"Approved"),"")</f>
        <v/>
      </c>
      <c r="AJ413" s="105" t="str">
        <f>IF(A413&lt;&gt;"",COUNTIFS('QA Log'!D:D,A413,'QA Log'!M:M,"Data Verification",'QA Log'!L:L,"Hospital Governance",'QA Log'!Z:Z,"Approved"),"")</f>
        <v/>
      </c>
      <c r="AK413" s="102" t="str">
        <f>IF(A413="","",
SUM(
COUNTIFS('QA Log'!D:D,A413,'QA Log'!M:M,"Data Verification",'QA Log'!Z:Z,"Rejected",'QA Log'!L:L,"*Medicine (section 2)*"),
COUNTIFS('QA Log'!D:D,A413,'QA Log'!M:M,"Data Verification",'QA Log'!Z:Z,"Rejected",'QA Log'!L:L,"*Lab Testing Availability*"),
COUNTIFS('QA Log'!D:D,A413,'QA Log'!M:M,"Data Verification",'QA Log'!Z:Z,"Rejected",'QA Log'!L:L,"*Other than P4P (section 6)*"),
COUNTIFS('QA Log'!D:D,A413,'QA Log'!M:M,"Data Verification",'QA Log'!Z:Z,"Rejected",'QA Log'!L:L,"*Hospital Governance*")
))</f>
        <v/>
      </c>
      <c r="AL413" s="106" t="str">
        <f t="shared" si="31"/>
        <v/>
      </c>
      <c r="AM413" s="102" t="str">
        <f t="shared" si="32"/>
        <v/>
      </c>
      <c r="AN413" s="102" t="str">
        <f>IF(A413="","",
SUM(
COUNTIFS('QA Log'!D:D,A413,'QA Log'!M:M,"Data Verification",'QA Log'!L:L,"*Personnel (section 1)*"),
COUNTIFS('QA Log'!D:D,A413,'QA Log'!M:M,"Data Verification",'QA Log'!L:L,"*Consumable (section 3)*"),
COUNTIFS('QA Log'!D:D,A413,'QA Log'!M:M,"Data Verification",'QA Log'!L:L,"*Equipments (section 4)*")
))</f>
        <v/>
      </c>
      <c r="AO413" s="102" t="str">
        <f>IF(A413="","",
SUM(
COUNTIFS('QA Log'!D:D,A413,'QA Log'!M:M,"Data Verification",'QA Log'!Z:Z,"Approved",'QA Log'!L:L,"*Personnel (section 1)*"),
COUNTIFS('QA Log'!D:D,A413,'QA Log'!M:M,"Data Verification",'QA Log'!Z:Z,"Approved",'QA Log'!L:L,"*Consumable (section 3)*"),
COUNTIFS('QA Log'!D:D,A413,'QA Log'!M:M,"Data Verification",'QA Log'!Z:Z,"Approved",'QA Log'!L:L,"*Equipments (section 4)*")
))</f>
        <v/>
      </c>
      <c r="AP413" s="105" t="str">
        <f>IF(A413&lt;&gt;"",COUNTIFS('QA Log'!D:D,A413,'QA Log'!M:M,"Data Verification",'QA Log'!L:L,"Personnel (section 1)",'QA Log'!Z:Z,"Approved"),"")</f>
        <v/>
      </c>
      <c r="AQ413" s="105" t="str">
        <f>IF(A413&lt;&gt;"",COUNTIFS('QA Log'!D:D,A413,'QA Log'!M:M,"Data Verification",'QA Log'!L:L,"Consumable (section 3)",'QA Log'!Z:Z,"Approved"),"")</f>
        <v/>
      </c>
      <c r="AR413" s="105" t="str">
        <f>IF(A413&lt;&gt;"",COUNTIFS('QA Log'!D:D,A413,'QA Log'!M:M,"Data Verification",'QA Log'!L:L,"Equipments (section 4)",'QA Log'!Z:Z,"Approved"),"")</f>
        <v/>
      </c>
      <c r="AS413" s="102" t="str">
        <f>IF(A413="","",
SUM(
COUNTIFS('QA Log'!D:D,A413,'QA Log'!M:M,"Data Verification",'QA Log'!Z:Z,"Rejected",'QA Log'!L:L,"*Personnel (section 1)*"),
COUNTIFS('QA Log'!D:D,A413,'QA Log'!M:M,"Data Verification",'QA Log'!Z:Z,"Rejected",'QA Log'!L:L,"*Consumable (section 3)*"),
COUNTIFS('QA Log'!D:D,A413,'QA Log'!M:M,"Data Verification",'QA Log'!Z:Z,"Rejected",'QA Log'!L:L,"*Equipments (section 4)*")
))</f>
        <v/>
      </c>
      <c r="AT413" s="102" t="str">
        <f t="shared" si="33"/>
        <v/>
      </c>
      <c r="AU413" s="103" t="str">
        <f t="shared" si="34"/>
        <v/>
      </c>
      <c r="AV413" s="102" t="str">
        <f>IF(A413="","",SUM(
COUNTIFS('QA Log'!D:D,A413,'QA Log'!M:M,"Vignette",'QA Log'!L:L,"*Vignette [1] Respiratory Infection: Pneumonia*"),
COUNTIFS('QA Log'!D:D,A413,'QA Log'!M:M,"Vignette",'QA Log'!L:L,"*Vignette [2]: Diarrhea with Cat B dehydration*"),
COUNTIFS('QA Log'!D:D,A413,'QA Log'!M:M,"Vignette",'QA Log'!L:L,"*Vignette [3] Growth Monitoring and Promotion*"),
COUNTIFS('QA Log'!D:D,A413,'QA Log'!M:M,"Vignette",'QA Log'!L:L,"*Vignette [4]: The management of presumptive TB patient*")
)
)</f>
        <v/>
      </c>
      <c r="AW413" s="102" t="str">
        <f>IF(
  A413="","",
  SUM(
    COUNTIFS('QA Log'!D:D,A413,'QA Log'!M:M,"Vignette",'QA Log'!Z:Z,"Approved",'QA Log'!L:L,"*Vignette [1] Respiratory Infection: Pneumonia*"),
    COUNTIFS('QA Log'!D:D,A413,'QA Log'!M:M,"Vignette",'QA Log'!Z:Z,"Approved",'QA Log'!L:L,"*Vignette [2]: Diarrhea with Cat B dehydration*"),
    COUNTIFS('QA Log'!D:D,A413,'QA Log'!M:M,"Vignette",'QA Log'!Z:Z,"Approved",'QA Log'!L:L,"*Vignette [3] Growth Monitoring and Promotion*"),
    COUNTIFS('QA Log'!D:D,A413,'QA Log'!M:M,"Vignette",'QA Log'!Z:Z,"Approved",'QA Log'!L:L,"*Vignette [4]: The management of presumptive TB patient*")
  )
)</f>
        <v/>
      </c>
      <c r="AX413" s="105" t="str">
        <f>IF(A413&lt;&gt;"",COUNTIFS('QA Log'!D:D,A413,'QA Log'!M:M,"Vignette",'QA Log'!L:L,"Vignette [1] Respiratory Infection: Pneumonia",'QA Log'!Z:Z,"Approved"),"")</f>
        <v/>
      </c>
      <c r="AY413" s="105" t="str">
        <f>IF(A413&lt;&gt;"",COUNTIFS('QA Log'!D:D,A413,'QA Log'!M:M,"Vignette",'QA Log'!L:L,"Vignette [2]: Diarrhea with Cat B dehydration",'QA Log'!Z:Z,"Approved"),"")</f>
        <v/>
      </c>
      <c r="AZ413" s="105" t="str">
        <f>IF(A413&lt;&gt;"",COUNTIFS('QA Log'!D:D,A413,'QA Log'!M:M,"Vignette",'QA Log'!L:L,"Vignette [3] Growth Monitoring and Promotion",'QA Log'!Z:Z,"Approved"),"")</f>
        <v/>
      </c>
      <c r="BA413" s="105" t="str">
        <f>IF(A413&lt;&gt;"",COUNTIFS('QA Log'!D:D,A413,'QA Log'!M:M,"Vignette",'QA Log'!L:L,"Vignette [4]: The management of presumptive TB patient",'QA Log'!Z:Z,"Approved"),"")</f>
        <v/>
      </c>
      <c r="BB413" s="102" t="str">
        <f>IF(A413="","",
  SUM(
    COUNTIFS('QA Log'!D:D,A413,'QA Log'!M:M,"Vignette",'QA Log'!Z:Z,"Rejected",'QA Log'!L:L,"*Vignette [1] Respiratory Infection: Pneumonia*"),
    COUNTIFS('QA Log'!D:D,A413,'QA Log'!M:M,"Vignette",'QA Log'!Z:Z,"Rejected",'QA Log'!L:L,"*Vignette [2]: Diarrhea with Cat B dehydration*"),
    COUNTIFS('QA Log'!D:D,A413,'QA Log'!M:M,"Vignette",'QA Log'!Z:Z,"Rejected",'QA Log'!L:L,"*Vignette [3] Growth Monitoring and Promotion*"),
    COUNTIFS('QA Log'!D:D,A413,'QA Log'!M:M,"Vignette",'QA Log'!Z:Z,"Rejected",'QA Log'!L:L,"*Vignette [4]: The management of presumptive TB patient*")
  )
)</f>
        <v/>
      </c>
      <c r="BC413" s="107" t="str">
        <f t="shared" si="35"/>
        <v/>
      </c>
      <c r="BD413" s="103" t="str">
        <f t="shared" si="36"/>
        <v/>
      </c>
      <c r="BE413" s="102" t="str">
        <f>IF(A413="","",SUM(
COUNTIFS('QA Log'!D:D,A413,'QA Log'!M:M,"Vignette",'QA Log'!L:L,"*Vignette [5] Labor*"),
COUNTIFS('QA Log'!D:D,A413,'QA Log'!M:M,"Vignette",'QA Log'!L:L,"*Vignette [6] PNC pre Discharge*"),
COUNTIFS('QA Log'!D:D,A413,'QA Log'!M:M,"Vignette",'QA Log'!L:L,"*Vignette [7] First ANC Visit*"),
COUNTIFS('QA Log'!D:D,A413,'QA Log'!M:M,"Vignette",'QA Log'!L:L,"*Vignette [8] Birth Spacing/ Family Planning :  FP Counselling*"),
COUNTIFS('QA Log'!D:D,A413,'QA Log'!M:M,"Vignette",'QA Log'!L:L,"*Vignette [9] Birth Spacing: Change FP method to Injectable*"),
COUNTIFS('QA Log'!D:D,A413,'QA Log'!M:M,"Vignette",'QA Log'!L:L,"*Vignette [10] Post Partum Haemorrhage - Atonic Uterus at Health Centre*"),
)
)</f>
        <v/>
      </c>
      <c r="BF413" s="102" t="str">
        <f>IF(A413="","",
  SUM(
    COUNTIFS('QA Log'!D:D,A413,'QA Log'!M:M,"Vignette",'QA Log'!Z:Z,"Approved",'QA Log'!L:L,"*Vignette [5] Labor*"),
    COUNTIFS('QA Log'!D:D,A413,'QA Log'!M:M,"Vignette",'QA Log'!Z:Z,"Approved",'QA Log'!L:L,"*Vignette [6] PNC pre Discharge*"),
    COUNTIFS('QA Log'!D:D,A413,'QA Log'!M:M,"Vignette",'QA Log'!Z:Z,"Approved",'QA Log'!L:L,"*Vignette [7] First ANC Visit*"),
    COUNTIFS('QA Log'!D:D,A413,'QA Log'!M:M,"Vignette",'QA Log'!Z:Z,"Approved",'QA Log'!L:L,"*Vignette [8] Birth Spacing/ Family Planning :  FP Counselling*"),
    COUNTIFS('QA Log'!D:D,A413,'QA Log'!M:M,"Vignette",'QA Log'!Z:Z,"Approved",'QA Log'!L:L,"*Vignette [9] Birth Spacing: Change FP method to Injectable*"),
    COUNTIFS('QA Log'!D:D,A413,'QA Log'!M:M,"Vignette",'QA Log'!Z:Z,"Approved",'QA Log'!L:L,"*Vignette [10] Post Partum Haemorrhage - Atonic Uterus at Health Centre*")
  )
)</f>
        <v/>
      </c>
      <c r="BG413" s="105" t="str">
        <f>IF(A413&lt;&gt;"",COUNTIFS('QA Log'!D:D,A413,'QA Log'!M:M,"Vignette",'QA Log'!L:L,"Vignette [5] Labor",'QA Log'!Z:Z,"Approved"),"")</f>
        <v/>
      </c>
      <c r="BH413" s="105" t="str">
        <f>IF(A413&lt;&gt;"",COUNTIFS('QA Log'!D:D,A413,'QA Log'!M:M,"Vignette",'QA Log'!L:L,"Vignette [6] PNC pre Discharge",'QA Log'!Z:Z,"Approved"),"")</f>
        <v/>
      </c>
      <c r="BI413" s="105" t="str">
        <f>IF(A413&lt;&gt;"",COUNTIFS('QA Log'!D:D,A413,'QA Log'!M:M,"Vignette",'QA Log'!L:L,"Vignette [7] First ANC Visit",'QA Log'!Z:Z,"Approved"),"")</f>
        <v/>
      </c>
      <c r="BJ413" s="105" t="str">
        <f>IF(A413&lt;&gt;"",COUNTIFS('QA Log'!D:D,A413,'QA Log'!M:M,"Vignette",'QA Log'!L:L,"Vignette [8] Birth Spacing/ Family Planning :  FP Counselling",'QA Log'!Z:Z,"Approved"),"")</f>
        <v/>
      </c>
      <c r="BK413" s="105" t="str">
        <f>IF(A413&lt;&gt;"",COUNTIFS('QA Log'!D:D,A413,'QA Log'!M:M,"Vignette",'QA Log'!L:L,"Vignette [9] Birth Spacing: Change FP method to Injectable",'QA Log'!Z:Z,"Approved"),"")</f>
        <v/>
      </c>
      <c r="BL413" s="105" t="str">
        <f>IF(A413&lt;&gt;"",COUNTIFS('QA Log'!D:D,A413,'QA Log'!M:M,"Vignette",'QA Log'!L:L,"Vignette [10] Post Partum Haemorrhage - Atonic Uterus at Health Centre",'QA Log'!Z:Z,"Approved"),"")</f>
        <v/>
      </c>
      <c r="BM413" s="102" t="str">
        <f>IF(A413="","",SUM(
    COUNTIFS('QA Log'!D:D,A413,'QA Log'!M:M,"Vignette",'QA Log'!Z:Z,"Rejected",'QA Log'!L:L,"*Vignette [5] Labor*"),
    COUNTIFS('QA Log'!D:D,A413,'QA Log'!M:M,"Vignette",'QA Log'!Z:Z,"Rejected",'QA Log'!L:L,"*Vignette [6] PNC pre Discharge*"),
    COUNTIFS('QA Log'!D:D,A413,'QA Log'!M:M,"Vignette",'QA Log'!Z:Z,"Rejected",'QA Log'!L:L,"*Vignette [7] First ANC Visit*"),
    COUNTIFS('QA Log'!D:D,A413,'QA Log'!M:M,"Vignette",'QA Log'!Z:Z,"Rejected",'QA Log'!L:L,"*Vignette [8] Birth Spacing/ Family Planning :  FP Counselling*"),
    COUNTIFS('QA Log'!D:D,A413,'QA Log'!M:M,"Vignette",'QA Log'!Z:Z,"Rejected",'QA Log'!L:L,"*Vignette [9] Birth Spacing: Change FP method to Injectable*"),
    COUNTIFS('QA Log'!D:D,A413,'QA Log'!M:M,"Vignette",'QA Log'!Z:Z,"Rejected",'QA Log'!L:L,"*Vignette [10] Post Partum Haemorrhage - Atonic Uterus at Health Centre*")
  )
)</f>
        <v/>
      </c>
      <c r="BN413" s="107" t="str">
        <f t="shared" si="37"/>
        <v/>
      </c>
      <c r="BO413" s="103" t="str">
        <f t="shared" si="38"/>
        <v/>
      </c>
      <c r="BP413" s="102" t="str">
        <f>IF(A413="","",SUM(
COUNTIFS('QA Log'!D:D,A413,'QA Log'!M:M,"Vignette",'QA Log'!L:L,"*Exit Interview 1*"),
COUNTIFS('QA Log'!D:D,A413,'QA Log'!M:M,"Vignette",'QA Log'!L:L,"*Exit Interview 2*"),
)
)</f>
        <v/>
      </c>
      <c r="BQ413" s="102" t="str">
        <f>IF(
  A413="","",
  SUM(
    COUNTIFS('QA Log'!D:D,A413,'QA Log'!M:M,"Vignette",'QA Log'!Z:Z,"Approved",'QA Log'!L:L,"*Exit Interview 1*"),
    COUNTIFS('QA Log'!D:D,A413,'QA Log'!M:M,"Vignette",'QA Log'!Z:Z,"Approved",'QA Log'!L:L,"*Exit Interview 2*")
  )
)</f>
        <v/>
      </c>
      <c r="BR413" s="105" t="str">
        <f>IF(A413&lt;&gt;"",COUNTIFS('QA Log'!D:D,A413,'QA Log'!M:M,"Vignette",'QA Log'!L:L,"Exit Interview 1",'QA Log'!Z:Z,"Approved"),"")</f>
        <v/>
      </c>
      <c r="BS413" s="105" t="str">
        <f>IF(A413&lt;&gt;"",COUNTIFS('QA Log'!D:D,A413,'QA Log'!M:M,"Vignette",'QA Log'!L:L,"Exit Interview 2",'QA Log'!Z:Z,"Approved"),"")</f>
        <v/>
      </c>
      <c r="BT413" s="102" t="str">
        <f>IF(
  A413="","",
  SUM(
    COUNTIFS('QA Log'!D:D,A413,'QA Log'!M:M,"Vignette",'QA Log'!Z:Z,"Rejected",'QA Log'!L:L,"*Exit Interview 1*"),
    COUNTIFS('QA Log'!D:D,A413,'QA Log'!M:M,"Vignette",'QA Log'!Z:Z,"Rejected",'QA Log'!L:L,"*Exit Interview 2*")
  )
)</f>
        <v/>
      </c>
      <c r="BU413" s="107" t="str">
        <f t="shared" si="39"/>
        <v/>
      </c>
      <c r="BV413" s="102" t="str">
        <f t="shared" si="40"/>
        <v/>
      </c>
      <c r="BW413" s="102" t="str">
        <f t="shared" si="41"/>
        <v/>
      </c>
      <c r="BX413" s="102" t="str">
        <f t="shared" si="42"/>
        <v/>
      </c>
      <c r="BY413" s="102" t="str">
        <f t="shared" si="43"/>
        <v/>
      </c>
      <c r="BZ413" s="107" t="str">
        <f t="shared" si="44"/>
        <v/>
      </c>
      <c r="CA413" s="108" t="str">
        <f t="shared" si="45"/>
        <v/>
      </c>
      <c r="CB413" s="108" t="str">
        <f t="shared" si="46"/>
        <v/>
      </c>
      <c r="CC413" s="109" t="str">
        <f t="shared" si="47"/>
        <v/>
      </c>
      <c r="CD413" s="108" t="str">
        <f t="shared" si="48"/>
        <v/>
      </c>
      <c r="CE413" s="108" t="str">
        <f t="shared" si="49"/>
        <v/>
      </c>
      <c r="CF413" s="109" t="str">
        <f t="shared" si="50"/>
        <v/>
      </c>
      <c r="CG413" s="110" t="str">
        <f t="shared" si="51"/>
        <v/>
      </c>
      <c r="CH413" s="111"/>
    </row>
    <row r="414" spans="1:86" ht="12.75">
      <c r="A414" s="101"/>
      <c r="B414" s="102" t="e">
        <f t="array" aca="1" ref="B414" ca="1">_xludf.XLOOKUP(A414,'QA Log'!D:D,'QA Log'!E:E,"")</f>
        <v>#NAME?</v>
      </c>
      <c r="C414" s="102" t="e">
        <f t="array" aca="1" ref="C414" ca="1">_xludf.XLOOKUP(A414,'QA Log'!D:D,'QA Log'!F:F,"")</f>
        <v>#NAME?</v>
      </c>
      <c r="D414" s="102" t="e">
        <f t="array" aca="1" ref="D414" ca="1">_xludf.XLOOKUP(A414,'QA Log'!D:D,'QA Log'!H:H,"")</f>
        <v>#NAME?</v>
      </c>
      <c r="E414" s="102" t="e">
        <f t="array" aca="1" ref="E414" ca="1">_xludf.XLOOKUP(A414,'QA Log'!D:D,'QA Log'!G:G,"")</f>
        <v>#NAME?</v>
      </c>
      <c r="F414" s="103"/>
      <c r="G414" s="104"/>
      <c r="H414" s="104"/>
      <c r="I414" s="103" t="str">
        <f t="shared" si="26"/>
        <v/>
      </c>
      <c r="J414" s="102" t="str">
        <f>IF(A414="","",SUM(
COUNTIFS('QA Log'!D:D,A414,'QA Log'!M:M,"QQC",'QA Log'!L:L,"*1. General Management*"),
COUNTIFS('QA Log'!D:D,A414,'QA Log'!M:M,"QQC",'QA Log'!L:L,"*3. Curative Consultation (OPD)*"),
COUNTIFS('QA Log'!D:D,A414,'QA Log'!M:M,"QQC",'QA Log'!L:L,"*5. Laboratory*"),
COUNTIFS('QA Log'!D:D,A414,'QA Log'!M:M,"QQC",'QA Log'!L:L,"*6. Essential Medicine Management*"),
COUNTIFS('QA Log'!D:D,A414,'QA Log'!M:M,"QQC",'QA Log'!L:L,"*7. Tracer Medicine*"),
COUNTIFS('QA Log'!D:D,A414,'QA Log'!M:M,"QQC",'QA Log'!L:L,"*11. Additional Questions*")))</f>
        <v/>
      </c>
      <c r="K414" s="102" t="str">
        <f>IF(A414="","",SUM(
COUNTIFS('QA Log'!D:D,A414,'QA Log'!M:M,"QQC",'QA Log'!Z:Z,"Approved",'QA Log'!L:L,"*1. General Management*"),
COUNTIFS('QA Log'!D:D,A414,'QA Log'!M:M,"QQC",'QA Log'!Z:Z,"Approved",'QA Log'!L:L,"*3. Curative Consultation (OPD)*"),
COUNTIFS('QA Log'!D:D,A414,'QA Log'!M:M,"QQC",'QA Log'!Z:Z,"Approved",'QA Log'!L:L,"*5. Laboratory*"),
COUNTIFS('QA Log'!D:D,A414,'QA Log'!M:M,"QQC",'QA Log'!Z:Z,"Approved",'QA Log'!L:L,"*6. Essential Medicine Management*"),
COUNTIFS('QA Log'!D:D,A414,'QA Log'!M:M,"QQC",'QA Log'!Z:Z,"Approved",'QA Log'!L:L,"*7. Tracer Medicine*"),
COUNTIFS('QA Log'!D:D,A414,'QA Log'!M:M,"QQC",'QA Log'!Z:Z,"Approved",'QA Log'!L:L,"*11. Additional Questions*")))</f>
        <v/>
      </c>
      <c r="L414" s="102" t="str">
        <f>IF(A414&lt;&gt;"",COUNTIFS('QA Log'!D:D,A414,'QA Log'!M:M,"QQC",'QA Log'!L:L,"1. General Management",'QA Log'!Z:Z,"Approved"),"")</f>
        <v/>
      </c>
      <c r="M414" s="102" t="str">
        <f>IF(A414&lt;&gt;"",COUNTIFS('QA Log'!D:D,A414,'QA Log'!M:M,"QQC",'QA Log'!L:L,"3. Curative Consultation (OPD)",'QA Log'!Z:Z,"Approved"),"")</f>
        <v/>
      </c>
      <c r="N414" s="102" t="str">
        <f>IF(A414&lt;&gt;"",COUNTIFS('QA Log'!D:D,A414,'QA Log'!M:M,"QQC",'QA Log'!L:L,"5. Laboratory",'QA Log'!Z:Z,"Approved"),"")</f>
        <v/>
      </c>
      <c r="O414" s="102" t="str">
        <f>IF(A414&lt;&gt;"",COUNTIFS('QA Log'!D:D,A414,'QA Log'!M:M,"QQC",'QA Log'!L:L,"6. Essential Medicine Management",'QA Log'!Z:Z,"Approved"),"")</f>
        <v/>
      </c>
      <c r="P414" s="102" t="str">
        <f>IF(A414&lt;&gt;"",COUNTIFS('QA Log'!D:D,A414,'QA Log'!M:M,"QQC",'QA Log'!L:L,"7. Tracer Medicine",'QA Log'!Z:Z,"Approved"),"")</f>
        <v/>
      </c>
      <c r="Q414" s="102" t="str">
        <f>IF(A414&lt;&gt;"",COUNTIFS('QA Log'!D:D,A414,'QA Log'!M:M,"QQC",'QA Log'!L:L,"11. Additional Questions",'QA Log'!Z:Z,"Approved"),"")</f>
        <v/>
      </c>
      <c r="R414" s="102" t="str">
        <f>IF(A414="","",SUM(
COUNTIFS('QA Log'!D:D,A414,'QA Log'!M:M,"QQC",'QA Log'!Z:Z,"Rejected",'QA Log'!L:L,"*8. Maternity*"),
COUNTIFS('QA Log'!D:D,A414,'QA Log'!M:M,"QQC",'QA Log'!Z:Z,"Rejected",'QA Log'!L:L,"*EPI*"),
COUNTIFS('QA Log'!D:D,A414,'QA Log'!M:M,"QQC",'QA Log'!Z:Z,"Rejected",'QA Log'!L:L,"*10. Antenatal Care (ANC)*"),
COUNTIFS('QA Log'!D:D,A414,'QA Log'!M:M,"QQC",'QA Log'!Z:Z,"Rejected",'QA Log'!L:L,"*2. Hygiene and Sterilization*"),
COUNTIFS('QA Log'!D:D,A414,'QA Log'!M:M,"QQC",'QA Log'!Z:Z,"Rejected",'QA Log'!L:L,"*Family Planning*")))</f>
        <v/>
      </c>
      <c r="S414" s="106" t="str">
        <f t="shared" si="27"/>
        <v/>
      </c>
      <c r="T414" s="102" t="str">
        <f t="shared" si="28"/>
        <v/>
      </c>
      <c r="U414" s="102" t="str">
        <f>IF(A414="","",
SUM(
COUNTIFS('QA Log'!D:D,A414,'QA Log'!M:M,"QQC",'QA Log'!L:L,"*8. Maternity*"),
COUNTIFS('QA Log'!D:D,A414,'QA Log'!M:M,"QQC",'QA Log'!L:L,"*9. EPI and Pre-school Consultation*"),
COUNTIFS('QA Log'!D:D,A414,'QA Log'!M:M,"QQC",'QA Log'!L:L,"*10. Antenatal Care (ANC)*"),
COUNTIFS('QA Log'!D:D,A414,'QA Log'!M:M,"QQC",'QA Log'!L:L,"*2. Hygiene and Sterilization*"),
COUNTIFS('QA Log'!D:D,A414,'QA Log'!M:M,"QQC",'QA Log'!L:L,"*4. Family Planning*")
))</f>
        <v/>
      </c>
      <c r="V414" s="102" t="str">
        <f>IF(A414="","",
SUM(
COUNTIFS('QA Log'!D:D,A414,'QA Log'!M:M,"QQC",'QA Log'!Z:Z,"Approved",'QA Log'!L:L,"*8. Maternity*"),
COUNTIFS('QA Log'!D:D,A414,'QA Log'!M:M,"QQC",'QA Log'!Z:Z,"Approved",'QA Log'!L:L,"*9. EPI and Pre-school Consultation*"),
COUNTIFS('QA Log'!D:D,A414,'QA Log'!M:M,"QQC",'QA Log'!Z:Z,"Approved",'QA Log'!L:L,"*10. Antenatal Care (ANC)*"),
COUNTIFS('QA Log'!D:D,A414,'QA Log'!M:M,"QQC",'QA Log'!Z:Z,"Approved",'QA Log'!L:L,"*2. Hygiene and Sterilization*"),
COUNTIFS('QA Log'!D:D,A414,'QA Log'!M:M,"QQC",'QA Log'!Z:Z,"Approved",'QA Log'!L:L,"*4. Family Planning*")
))</f>
        <v/>
      </c>
      <c r="W414" s="102" t="str">
        <f>IF(A414&lt;&gt;"",COUNTIFS('QA Log'!D:D,A414,'QA Log'!M:M,"QQC",'QA Log'!L:L,"8. Maternity",'QA Log'!Z:Z,"Approved"),"")</f>
        <v/>
      </c>
      <c r="X414" s="105" t="str">
        <f>IF(A414&lt;&gt;"",COUNTIFS('QA Log'!D:D,A414,'QA Log'!M:M,"QQC",'QA Log'!L:L,"9. EPI and Pre-school Consultation",'QA Log'!Z:Z,"Approved"),"")</f>
        <v/>
      </c>
      <c r="Y414" s="102" t="str">
        <f>IF(A414&lt;&gt;"",COUNTIFS('QA Log'!D:D,A414,'QA Log'!M:M,"QQC",'QA Log'!L:L,"10. Antenatal Care (ANC)",'QA Log'!Z:Z,"Approved"),"")</f>
        <v/>
      </c>
      <c r="Z414" s="102" t="str">
        <f>IF(A414&lt;&gt;"",COUNTIFS('QA Log'!D:D,A414,'QA Log'!M:M,"QQC",'QA Log'!L:L,"2. Hygiene and Sterilization",'QA Log'!Z:Z,"Approved"),"")</f>
        <v/>
      </c>
      <c r="AA414" s="105" t="str">
        <f>IF(A414&lt;&gt;"",COUNTIFS('QA Log'!D:D,A414,'QA Log'!M:M,"QQC",'QA Log'!L:L,"4. Family Planning",'QA Log'!Z:Z,"Approved"),"")</f>
        <v/>
      </c>
      <c r="AB414" s="102" t="str">
        <f>IF(A414="","",
SUM(
COUNTIFS('QA Log'!D:D,A414,'QA Log'!M:M,"QQC",'QA Log'!Z:Z,"Rejected",'QA Log'!L:L,"*8. Maternity*"),
COUNTIFS('QA Log'!D:D,A414,'QA Log'!M:M,"QQC",'QA Log'!Z:Z,"Rejected",'QA Log'!L:L,"*9. EPI and Pre-school Consultation*"),
COUNTIFS('QA Log'!D:D,A414,'QA Log'!M:M,"QQC",'QA Log'!Z:Z,"Rejected",'QA Log'!L:L,"*10. Antenatal Care (ANC)*"),
COUNTIFS('QA Log'!D:D,A414,'QA Log'!M:M,"QQC",'QA Log'!Z:Z,"Rejected",'QA Log'!L:L,"*2. Hygiene and Sterilization*"),
COUNTIFS('QA Log'!D:D,A414,'QA Log'!M:M,"QQC",'QA Log'!Z:Z,"Rejected",'QA Log'!L:L,"*4. Family Planning*")
))</f>
        <v/>
      </c>
      <c r="AC414" s="102" t="str">
        <f t="shared" si="29"/>
        <v/>
      </c>
      <c r="AD414" s="103" t="str">
        <f t="shared" si="30"/>
        <v/>
      </c>
      <c r="AE414" s="102" t="str">
        <f>IF(A414="","",
SUM(
COUNTIFS('QA Log'!D:D,A414,'QA Log'!M:M,"Data Verification",'QA Log'!L:L,"*Medicine (section 2)*"),
COUNTIFS('QA Log'!D:D,A414,'QA Log'!M:M,"Data Verification",'QA Log'!L:L,"*Lab Testing Availability*"),
COUNTIFS('QA Log'!D:D,A414,'QA Log'!M:M,"Data Verification",'QA Log'!L:L,"*Other than P4P (section 6)*"),
COUNTIFS('QA Log'!D:D,A414,'QA Log'!M:M,"Data Verification",'QA Log'!L:L,"*Hospital Governance*")
))</f>
        <v/>
      </c>
      <c r="AF414" s="102" t="str">
        <f>IF(A414="","",
SUM(
COUNTIFS('QA Log'!D:D,A414,'QA Log'!M:M,"Data Verification",'QA Log'!Z:Z,"Approved",'QA Log'!L:L,"*Medicine (section 2)*"),
COUNTIFS('QA Log'!D:D,A414,'QA Log'!M:M,"Data Verification",'QA Log'!Z:Z,"Approved",'QA Log'!L:L,"*Lab Testing Availability*"),
COUNTIFS('QA Log'!D:D,A414,'QA Log'!M:M,"Data Verification",'QA Log'!Z:Z,"Approved",'QA Log'!L:L,"*Other than P4P (section 6)*"),
COUNTIFS('QA Log'!D:D,A414,'QA Log'!M:M,"Data Verification",'QA Log'!Z:Z,"Approved",'QA Log'!L:L,"*Hospital Governance*")
))</f>
        <v/>
      </c>
      <c r="AG414" s="105" t="str">
        <f>IF(A414&lt;&gt;"",COUNTIFS('QA Log'!D:D,A414,'QA Log'!M:M,"Data Verification",'QA Log'!L:L,"Medicine (section 2)",'QA Log'!Z:Z,"Approved"),"")</f>
        <v/>
      </c>
      <c r="AH414" s="105" t="str">
        <f>IF(A414&lt;&gt;"",COUNTIFS('QA Log'!D:D,A414,'QA Log'!M:M,"Data Verification",'QA Log'!L:L,"Lab Testing Availability",'QA Log'!Z:Z,"Approved"),"")</f>
        <v/>
      </c>
      <c r="AI414" s="105" t="str">
        <f>IF(A414&lt;&gt;"",COUNTIFS('QA Log'!D:D,A414,'QA Log'!M:M,"Data Verification",'QA Log'!L:L,"Other than P4P (section 6)",'QA Log'!Z:Z,"Approved"),"")</f>
        <v/>
      </c>
      <c r="AJ414" s="105" t="str">
        <f>IF(A414&lt;&gt;"",COUNTIFS('QA Log'!D:D,A414,'QA Log'!M:M,"Data Verification",'QA Log'!L:L,"Hospital Governance",'QA Log'!Z:Z,"Approved"),"")</f>
        <v/>
      </c>
      <c r="AK414" s="102" t="str">
        <f>IF(A414="","",
SUM(
COUNTIFS('QA Log'!D:D,A414,'QA Log'!M:M,"Data Verification",'QA Log'!Z:Z,"Rejected",'QA Log'!L:L,"*Medicine (section 2)*"),
COUNTIFS('QA Log'!D:D,A414,'QA Log'!M:M,"Data Verification",'QA Log'!Z:Z,"Rejected",'QA Log'!L:L,"*Lab Testing Availability*"),
COUNTIFS('QA Log'!D:D,A414,'QA Log'!M:M,"Data Verification",'QA Log'!Z:Z,"Rejected",'QA Log'!L:L,"*Other than P4P (section 6)*"),
COUNTIFS('QA Log'!D:D,A414,'QA Log'!M:M,"Data Verification",'QA Log'!Z:Z,"Rejected",'QA Log'!L:L,"*Hospital Governance*")
))</f>
        <v/>
      </c>
      <c r="AL414" s="106" t="str">
        <f t="shared" si="31"/>
        <v/>
      </c>
      <c r="AM414" s="102" t="str">
        <f t="shared" si="32"/>
        <v/>
      </c>
      <c r="AN414" s="102" t="str">
        <f>IF(A414="","",
SUM(
COUNTIFS('QA Log'!D:D,A414,'QA Log'!M:M,"Data Verification",'QA Log'!L:L,"*Personnel (section 1)*"),
COUNTIFS('QA Log'!D:D,A414,'QA Log'!M:M,"Data Verification",'QA Log'!L:L,"*Consumable (section 3)*"),
COUNTIFS('QA Log'!D:D,A414,'QA Log'!M:M,"Data Verification",'QA Log'!L:L,"*Equipments (section 4)*")
))</f>
        <v/>
      </c>
      <c r="AO414" s="102" t="str">
        <f>IF(A414="","",
SUM(
COUNTIFS('QA Log'!D:D,A414,'QA Log'!M:M,"Data Verification",'QA Log'!Z:Z,"Approved",'QA Log'!L:L,"*Personnel (section 1)*"),
COUNTIFS('QA Log'!D:D,A414,'QA Log'!M:M,"Data Verification",'QA Log'!Z:Z,"Approved",'QA Log'!L:L,"*Consumable (section 3)*"),
COUNTIFS('QA Log'!D:D,A414,'QA Log'!M:M,"Data Verification",'QA Log'!Z:Z,"Approved",'QA Log'!L:L,"*Equipments (section 4)*")
))</f>
        <v/>
      </c>
      <c r="AP414" s="105" t="str">
        <f>IF(A414&lt;&gt;"",COUNTIFS('QA Log'!D:D,A414,'QA Log'!M:M,"Data Verification",'QA Log'!L:L,"Personnel (section 1)",'QA Log'!Z:Z,"Approved"),"")</f>
        <v/>
      </c>
      <c r="AQ414" s="105" t="str">
        <f>IF(A414&lt;&gt;"",COUNTIFS('QA Log'!D:D,A414,'QA Log'!M:M,"Data Verification",'QA Log'!L:L,"Consumable (section 3)",'QA Log'!Z:Z,"Approved"),"")</f>
        <v/>
      </c>
      <c r="AR414" s="105" t="str">
        <f>IF(A414&lt;&gt;"",COUNTIFS('QA Log'!D:D,A414,'QA Log'!M:M,"Data Verification",'QA Log'!L:L,"Equipments (section 4)",'QA Log'!Z:Z,"Approved"),"")</f>
        <v/>
      </c>
      <c r="AS414" s="102" t="str">
        <f>IF(A414="","",
SUM(
COUNTIFS('QA Log'!D:D,A414,'QA Log'!M:M,"Data Verification",'QA Log'!Z:Z,"Rejected",'QA Log'!L:L,"*Personnel (section 1)*"),
COUNTIFS('QA Log'!D:D,A414,'QA Log'!M:M,"Data Verification",'QA Log'!Z:Z,"Rejected",'QA Log'!L:L,"*Consumable (section 3)*"),
COUNTIFS('QA Log'!D:D,A414,'QA Log'!M:M,"Data Verification",'QA Log'!Z:Z,"Rejected",'QA Log'!L:L,"*Equipments (section 4)*")
))</f>
        <v/>
      </c>
      <c r="AT414" s="102" t="str">
        <f t="shared" si="33"/>
        <v/>
      </c>
      <c r="AU414" s="103" t="str">
        <f t="shared" si="34"/>
        <v/>
      </c>
      <c r="AV414" s="102" t="str">
        <f>IF(A414="","",SUM(
COUNTIFS('QA Log'!D:D,A414,'QA Log'!M:M,"Vignette",'QA Log'!L:L,"*Vignette [1] Respiratory Infection: Pneumonia*"),
COUNTIFS('QA Log'!D:D,A414,'QA Log'!M:M,"Vignette",'QA Log'!L:L,"*Vignette [2]: Diarrhea with Cat B dehydration*"),
COUNTIFS('QA Log'!D:D,A414,'QA Log'!M:M,"Vignette",'QA Log'!L:L,"*Vignette [3] Growth Monitoring and Promotion*"),
COUNTIFS('QA Log'!D:D,A414,'QA Log'!M:M,"Vignette",'QA Log'!L:L,"*Vignette [4]: The management of presumptive TB patient*")
)
)</f>
        <v/>
      </c>
      <c r="AW414" s="102" t="str">
        <f>IF(
  A414="","",
  SUM(
    COUNTIFS('QA Log'!D:D,A414,'QA Log'!M:M,"Vignette",'QA Log'!Z:Z,"Approved",'QA Log'!L:L,"*Vignette [1] Respiratory Infection: Pneumonia*"),
    COUNTIFS('QA Log'!D:D,A414,'QA Log'!M:M,"Vignette",'QA Log'!Z:Z,"Approved",'QA Log'!L:L,"*Vignette [2]: Diarrhea with Cat B dehydration*"),
    COUNTIFS('QA Log'!D:D,A414,'QA Log'!M:M,"Vignette",'QA Log'!Z:Z,"Approved",'QA Log'!L:L,"*Vignette [3] Growth Monitoring and Promotion*"),
    COUNTIFS('QA Log'!D:D,A414,'QA Log'!M:M,"Vignette",'QA Log'!Z:Z,"Approved",'QA Log'!L:L,"*Vignette [4]: The management of presumptive TB patient*")
  )
)</f>
        <v/>
      </c>
      <c r="AX414" s="105" t="str">
        <f>IF(A414&lt;&gt;"",COUNTIFS('QA Log'!D:D,A414,'QA Log'!M:M,"Vignette",'QA Log'!L:L,"Vignette [1] Respiratory Infection: Pneumonia",'QA Log'!Z:Z,"Approved"),"")</f>
        <v/>
      </c>
      <c r="AY414" s="105" t="str">
        <f>IF(A414&lt;&gt;"",COUNTIFS('QA Log'!D:D,A414,'QA Log'!M:M,"Vignette",'QA Log'!L:L,"Vignette [2]: Diarrhea with Cat B dehydration",'QA Log'!Z:Z,"Approved"),"")</f>
        <v/>
      </c>
      <c r="AZ414" s="105" t="str">
        <f>IF(A414&lt;&gt;"",COUNTIFS('QA Log'!D:D,A414,'QA Log'!M:M,"Vignette",'QA Log'!L:L,"Vignette [3] Growth Monitoring and Promotion",'QA Log'!Z:Z,"Approved"),"")</f>
        <v/>
      </c>
      <c r="BA414" s="105" t="str">
        <f>IF(A414&lt;&gt;"",COUNTIFS('QA Log'!D:D,A414,'QA Log'!M:M,"Vignette",'QA Log'!L:L,"Vignette [4]: The management of presumptive TB patient",'QA Log'!Z:Z,"Approved"),"")</f>
        <v/>
      </c>
      <c r="BB414" s="102" t="str">
        <f>IF(A414="","",
  SUM(
    COUNTIFS('QA Log'!D:D,A414,'QA Log'!M:M,"Vignette",'QA Log'!Z:Z,"Rejected",'QA Log'!L:L,"*Vignette [1] Respiratory Infection: Pneumonia*"),
    COUNTIFS('QA Log'!D:D,A414,'QA Log'!M:M,"Vignette",'QA Log'!Z:Z,"Rejected",'QA Log'!L:L,"*Vignette [2]: Diarrhea with Cat B dehydration*"),
    COUNTIFS('QA Log'!D:D,A414,'QA Log'!M:M,"Vignette",'QA Log'!Z:Z,"Rejected",'QA Log'!L:L,"*Vignette [3] Growth Monitoring and Promotion*"),
    COUNTIFS('QA Log'!D:D,A414,'QA Log'!M:M,"Vignette",'QA Log'!Z:Z,"Rejected",'QA Log'!L:L,"*Vignette [4]: The management of presumptive TB patient*")
  )
)</f>
        <v/>
      </c>
      <c r="BC414" s="107" t="str">
        <f t="shared" si="35"/>
        <v/>
      </c>
      <c r="BD414" s="103" t="str">
        <f t="shared" si="36"/>
        <v/>
      </c>
      <c r="BE414" s="102" t="str">
        <f>IF(A414="","",SUM(
COUNTIFS('QA Log'!D:D,A414,'QA Log'!M:M,"Vignette",'QA Log'!L:L,"*Vignette [5] Labor*"),
COUNTIFS('QA Log'!D:D,A414,'QA Log'!M:M,"Vignette",'QA Log'!L:L,"*Vignette [6] PNC pre Discharge*"),
COUNTIFS('QA Log'!D:D,A414,'QA Log'!M:M,"Vignette",'QA Log'!L:L,"*Vignette [7] First ANC Visit*"),
COUNTIFS('QA Log'!D:D,A414,'QA Log'!M:M,"Vignette",'QA Log'!L:L,"*Vignette [8] Birth Spacing/ Family Planning :  FP Counselling*"),
COUNTIFS('QA Log'!D:D,A414,'QA Log'!M:M,"Vignette",'QA Log'!L:L,"*Vignette [9] Birth Spacing: Change FP method to Injectable*"),
COUNTIFS('QA Log'!D:D,A414,'QA Log'!M:M,"Vignette",'QA Log'!L:L,"*Vignette [10] Post Partum Haemorrhage - Atonic Uterus at Health Centre*"),
)
)</f>
        <v/>
      </c>
      <c r="BF414" s="102" t="str">
        <f>IF(A414="","",
  SUM(
    COUNTIFS('QA Log'!D:D,A414,'QA Log'!M:M,"Vignette",'QA Log'!Z:Z,"Approved",'QA Log'!L:L,"*Vignette [5] Labor*"),
    COUNTIFS('QA Log'!D:D,A414,'QA Log'!M:M,"Vignette",'QA Log'!Z:Z,"Approved",'QA Log'!L:L,"*Vignette [6] PNC pre Discharge*"),
    COUNTIFS('QA Log'!D:D,A414,'QA Log'!M:M,"Vignette",'QA Log'!Z:Z,"Approved",'QA Log'!L:L,"*Vignette [7] First ANC Visit*"),
    COUNTIFS('QA Log'!D:D,A414,'QA Log'!M:M,"Vignette",'QA Log'!Z:Z,"Approved",'QA Log'!L:L,"*Vignette [8] Birth Spacing/ Family Planning :  FP Counselling*"),
    COUNTIFS('QA Log'!D:D,A414,'QA Log'!M:M,"Vignette",'QA Log'!Z:Z,"Approved",'QA Log'!L:L,"*Vignette [9] Birth Spacing: Change FP method to Injectable*"),
    COUNTIFS('QA Log'!D:D,A414,'QA Log'!M:M,"Vignette",'QA Log'!Z:Z,"Approved",'QA Log'!L:L,"*Vignette [10] Post Partum Haemorrhage - Atonic Uterus at Health Centre*")
  )
)</f>
        <v/>
      </c>
      <c r="BG414" s="105" t="str">
        <f>IF(A414&lt;&gt;"",COUNTIFS('QA Log'!D:D,A414,'QA Log'!M:M,"Vignette",'QA Log'!L:L,"Vignette [5] Labor",'QA Log'!Z:Z,"Approved"),"")</f>
        <v/>
      </c>
      <c r="BH414" s="105" t="str">
        <f>IF(A414&lt;&gt;"",COUNTIFS('QA Log'!D:D,A414,'QA Log'!M:M,"Vignette",'QA Log'!L:L,"Vignette [6] PNC pre Discharge",'QA Log'!Z:Z,"Approved"),"")</f>
        <v/>
      </c>
      <c r="BI414" s="105" t="str">
        <f>IF(A414&lt;&gt;"",COUNTIFS('QA Log'!D:D,A414,'QA Log'!M:M,"Vignette",'QA Log'!L:L,"Vignette [7] First ANC Visit",'QA Log'!Z:Z,"Approved"),"")</f>
        <v/>
      </c>
      <c r="BJ414" s="105" t="str">
        <f>IF(A414&lt;&gt;"",COUNTIFS('QA Log'!D:D,A414,'QA Log'!M:M,"Vignette",'QA Log'!L:L,"Vignette [8] Birth Spacing/ Family Planning :  FP Counselling",'QA Log'!Z:Z,"Approved"),"")</f>
        <v/>
      </c>
      <c r="BK414" s="105" t="str">
        <f>IF(A414&lt;&gt;"",COUNTIFS('QA Log'!D:D,A414,'QA Log'!M:M,"Vignette",'QA Log'!L:L,"Vignette [9] Birth Spacing: Change FP method to Injectable",'QA Log'!Z:Z,"Approved"),"")</f>
        <v/>
      </c>
      <c r="BL414" s="105" t="str">
        <f>IF(A414&lt;&gt;"",COUNTIFS('QA Log'!D:D,A414,'QA Log'!M:M,"Vignette",'QA Log'!L:L,"Vignette [10] Post Partum Haemorrhage - Atonic Uterus at Health Centre",'QA Log'!Z:Z,"Approved"),"")</f>
        <v/>
      </c>
      <c r="BM414" s="102" t="str">
        <f>IF(A414="","",SUM(
    COUNTIFS('QA Log'!D:D,A414,'QA Log'!M:M,"Vignette",'QA Log'!Z:Z,"Rejected",'QA Log'!L:L,"*Vignette [5] Labor*"),
    COUNTIFS('QA Log'!D:D,A414,'QA Log'!M:M,"Vignette",'QA Log'!Z:Z,"Rejected",'QA Log'!L:L,"*Vignette [6] PNC pre Discharge*"),
    COUNTIFS('QA Log'!D:D,A414,'QA Log'!M:M,"Vignette",'QA Log'!Z:Z,"Rejected",'QA Log'!L:L,"*Vignette [7] First ANC Visit*"),
    COUNTIFS('QA Log'!D:D,A414,'QA Log'!M:M,"Vignette",'QA Log'!Z:Z,"Rejected",'QA Log'!L:L,"*Vignette [8] Birth Spacing/ Family Planning :  FP Counselling*"),
    COUNTIFS('QA Log'!D:D,A414,'QA Log'!M:M,"Vignette",'QA Log'!Z:Z,"Rejected",'QA Log'!L:L,"*Vignette [9] Birth Spacing: Change FP method to Injectable*"),
    COUNTIFS('QA Log'!D:D,A414,'QA Log'!M:M,"Vignette",'QA Log'!Z:Z,"Rejected",'QA Log'!L:L,"*Vignette [10] Post Partum Haemorrhage - Atonic Uterus at Health Centre*")
  )
)</f>
        <v/>
      </c>
      <c r="BN414" s="107" t="str">
        <f t="shared" si="37"/>
        <v/>
      </c>
      <c r="BO414" s="103" t="str">
        <f t="shared" si="38"/>
        <v/>
      </c>
      <c r="BP414" s="102" t="str">
        <f>IF(A414="","",SUM(
COUNTIFS('QA Log'!D:D,A414,'QA Log'!M:M,"Vignette",'QA Log'!L:L,"*Exit Interview 1*"),
COUNTIFS('QA Log'!D:D,A414,'QA Log'!M:M,"Vignette",'QA Log'!L:L,"*Exit Interview 2*"),
)
)</f>
        <v/>
      </c>
      <c r="BQ414" s="102" t="str">
        <f>IF(
  A414="","",
  SUM(
    COUNTIFS('QA Log'!D:D,A414,'QA Log'!M:M,"Vignette",'QA Log'!Z:Z,"Approved",'QA Log'!L:L,"*Exit Interview 1*"),
    COUNTIFS('QA Log'!D:D,A414,'QA Log'!M:M,"Vignette",'QA Log'!Z:Z,"Approved",'QA Log'!L:L,"*Exit Interview 2*")
  )
)</f>
        <v/>
      </c>
      <c r="BR414" s="105" t="str">
        <f>IF(A414&lt;&gt;"",COUNTIFS('QA Log'!D:D,A414,'QA Log'!M:M,"Vignette",'QA Log'!L:L,"Exit Interview 1",'QA Log'!Z:Z,"Approved"),"")</f>
        <v/>
      </c>
      <c r="BS414" s="105" t="str">
        <f>IF(A414&lt;&gt;"",COUNTIFS('QA Log'!D:D,A414,'QA Log'!M:M,"Vignette",'QA Log'!L:L,"Exit Interview 2",'QA Log'!Z:Z,"Approved"),"")</f>
        <v/>
      </c>
      <c r="BT414" s="102" t="str">
        <f>IF(
  A414="","",
  SUM(
    COUNTIFS('QA Log'!D:D,A414,'QA Log'!M:M,"Vignette",'QA Log'!Z:Z,"Rejected",'QA Log'!L:L,"*Exit Interview 1*"),
    COUNTIFS('QA Log'!D:D,A414,'QA Log'!M:M,"Vignette",'QA Log'!Z:Z,"Rejected",'QA Log'!L:L,"*Exit Interview 2*")
  )
)</f>
        <v/>
      </c>
      <c r="BU414" s="107" t="str">
        <f t="shared" si="39"/>
        <v/>
      </c>
      <c r="BV414" s="102" t="str">
        <f t="shared" si="40"/>
        <v/>
      </c>
      <c r="BW414" s="102" t="str">
        <f t="shared" si="41"/>
        <v/>
      </c>
      <c r="BX414" s="102" t="str">
        <f t="shared" si="42"/>
        <v/>
      </c>
      <c r="BY414" s="102" t="str">
        <f t="shared" si="43"/>
        <v/>
      </c>
      <c r="BZ414" s="107" t="str">
        <f t="shared" si="44"/>
        <v/>
      </c>
      <c r="CA414" s="108" t="str">
        <f t="shared" si="45"/>
        <v/>
      </c>
      <c r="CB414" s="108" t="str">
        <f t="shared" si="46"/>
        <v/>
      </c>
      <c r="CC414" s="109" t="str">
        <f t="shared" si="47"/>
        <v/>
      </c>
      <c r="CD414" s="108" t="str">
        <f t="shared" si="48"/>
        <v/>
      </c>
      <c r="CE414" s="108" t="str">
        <f t="shared" si="49"/>
        <v/>
      </c>
      <c r="CF414" s="109" t="str">
        <f t="shared" si="50"/>
        <v/>
      </c>
      <c r="CG414" s="110" t="str">
        <f t="shared" si="51"/>
        <v/>
      </c>
      <c r="CH414" s="111"/>
    </row>
    <row r="415" spans="1:86" ht="12.75">
      <c r="A415" s="101"/>
      <c r="B415" s="102" t="e">
        <f t="array" aca="1" ref="B415" ca="1">_xludf.XLOOKUP(A415,'QA Log'!D:D,'QA Log'!E:E,"")</f>
        <v>#NAME?</v>
      </c>
      <c r="C415" s="102" t="e">
        <f t="array" aca="1" ref="C415" ca="1">_xludf.XLOOKUP(A415,'QA Log'!D:D,'QA Log'!F:F,"")</f>
        <v>#NAME?</v>
      </c>
      <c r="D415" s="102" t="e">
        <f t="array" aca="1" ref="D415" ca="1">_xludf.XLOOKUP(A415,'QA Log'!D:D,'QA Log'!H:H,"")</f>
        <v>#NAME?</v>
      </c>
      <c r="E415" s="102" t="e">
        <f t="array" aca="1" ref="E415" ca="1">_xludf.XLOOKUP(A415,'QA Log'!D:D,'QA Log'!G:G,"")</f>
        <v>#NAME?</v>
      </c>
      <c r="F415" s="103"/>
      <c r="G415" s="104"/>
      <c r="H415" s="104"/>
      <c r="I415" s="103" t="str">
        <f t="shared" si="26"/>
        <v/>
      </c>
      <c r="J415" s="102" t="str">
        <f>IF(A415="","",SUM(
COUNTIFS('QA Log'!D:D,A415,'QA Log'!M:M,"QQC",'QA Log'!L:L,"*1. General Management*"),
COUNTIFS('QA Log'!D:D,A415,'QA Log'!M:M,"QQC",'QA Log'!L:L,"*3. Curative Consultation (OPD)*"),
COUNTIFS('QA Log'!D:D,A415,'QA Log'!M:M,"QQC",'QA Log'!L:L,"*5. Laboratory*"),
COUNTIFS('QA Log'!D:D,A415,'QA Log'!M:M,"QQC",'QA Log'!L:L,"*6. Essential Medicine Management*"),
COUNTIFS('QA Log'!D:D,A415,'QA Log'!M:M,"QQC",'QA Log'!L:L,"*7. Tracer Medicine*"),
COUNTIFS('QA Log'!D:D,A415,'QA Log'!M:M,"QQC",'QA Log'!L:L,"*11. Additional Questions*")))</f>
        <v/>
      </c>
      <c r="K415" s="102" t="str">
        <f>IF(A415="","",SUM(
COUNTIFS('QA Log'!D:D,A415,'QA Log'!M:M,"QQC",'QA Log'!Z:Z,"Approved",'QA Log'!L:L,"*1. General Management*"),
COUNTIFS('QA Log'!D:D,A415,'QA Log'!M:M,"QQC",'QA Log'!Z:Z,"Approved",'QA Log'!L:L,"*3. Curative Consultation (OPD)*"),
COUNTIFS('QA Log'!D:D,A415,'QA Log'!M:M,"QQC",'QA Log'!Z:Z,"Approved",'QA Log'!L:L,"*5. Laboratory*"),
COUNTIFS('QA Log'!D:D,A415,'QA Log'!M:M,"QQC",'QA Log'!Z:Z,"Approved",'QA Log'!L:L,"*6. Essential Medicine Management*"),
COUNTIFS('QA Log'!D:D,A415,'QA Log'!M:M,"QQC",'QA Log'!Z:Z,"Approved",'QA Log'!L:L,"*7. Tracer Medicine*"),
COUNTIFS('QA Log'!D:D,A415,'QA Log'!M:M,"QQC",'QA Log'!Z:Z,"Approved",'QA Log'!L:L,"*11. Additional Questions*")))</f>
        <v/>
      </c>
      <c r="L415" s="102" t="str">
        <f>IF(A415&lt;&gt;"",COUNTIFS('QA Log'!D:D,A415,'QA Log'!M:M,"QQC",'QA Log'!L:L,"1. General Management",'QA Log'!Z:Z,"Approved"),"")</f>
        <v/>
      </c>
      <c r="M415" s="102" t="str">
        <f>IF(A415&lt;&gt;"",COUNTIFS('QA Log'!D:D,A415,'QA Log'!M:M,"QQC",'QA Log'!L:L,"3. Curative Consultation (OPD)",'QA Log'!Z:Z,"Approved"),"")</f>
        <v/>
      </c>
      <c r="N415" s="102" t="str">
        <f>IF(A415&lt;&gt;"",COUNTIFS('QA Log'!D:D,A415,'QA Log'!M:M,"QQC",'QA Log'!L:L,"5. Laboratory",'QA Log'!Z:Z,"Approved"),"")</f>
        <v/>
      </c>
      <c r="O415" s="102" t="str">
        <f>IF(A415&lt;&gt;"",COUNTIFS('QA Log'!D:D,A415,'QA Log'!M:M,"QQC",'QA Log'!L:L,"6. Essential Medicine Management",'QA Log'!Z:Z,"Approved"),"")</f>
        <v/>
      </c>
      <c r="P415" s="102" t="str">
        <f>IF(A415&lt;&gt;"",COUNTIFS('QA Log'!D:D,A415,'QA Log'!M:M,"QQC",'QA Log'!L:L,"7. Tracer Medicine",'QA Log'!Z:Z,"Approved"),"")</f>
        <v/>
      </c>
      <c r="Q415" s="102" t="str">
        <f>IF(A415&lt;&gt;"",COUNTIFS('QA Log'!D:D,A415,'QA Log'!M:M,"QQC",'QA Log'!L:L,"11. Additional Questions",'QA Log'!Z:Z,"Approved"),"")</f>
        <v/>
      </c>
      <c r="R415" s="102" t="str">
        <f>IF(A415="","",SUM(
COUNTIFS('QA Log'!D:D,A415,'QA Log'!M:M,"QQC",'QA Log'!Z:Z,"Rejected",'QA Log'!L:L,"*8. Maternity*"),
COUNTIFS('QA Log'!D:D,A415,'QA Log'!M:M,"QQC",'QA Log'!Z:Z,"Rejected",'QA Log'!L:L,"*EPI*"),
COUNTIFS('QA Log'!D:D,A415,'QA Log'!M:M,"QQC",'QA Log'!Z:Z,"Rejected",'QA Log'!L:L,"*10. Antenatal Care (ANC)*"),
COUNTIFS('QA Log'!D:D,A415,'QA Log'!M:M,"QQC",'QA Log'!Z:Z,"Rejected",'QA Log'!L:L,"*2. Hygiene and Sterilization*"),
COUNTIFS('QA Log'!D:D,A415,'QA Log'!M:M,"QQC",'QA Log'!Z:Z,"Rejected",'QA Log'!L:L,"*Family Planning*")))</f>
        <v/>
      </c>
      <c r="S415" s="106" t="str">
        <f t="shared" si="27"/>
        <v/>
      </c>
      <c r="T415" s="102" t="str">
        <f t="shared" si="28"/>
        <v/>
      </c>
      <c r="U415" s="102" t="str">
        <f>IF(A415="","",
SUM(
COUNTIFS('QA Log'!D:D,A415,'QA Log'!M:M,"QQC",'QA Log'!L:L,"*8. Maternity*"),
COUNTIFS('QA Log'!D:D,A415,'QA Log'!M:M,"QQC",'QA Log'!L:L,"*9. EPI and Pre-school Consultation*"),
COUNTIFS('QA Log'!D:D,A415,'QA Log'!M:M,"QQC",'QA Log'!L:L,"*10. Antenatal Care (ANC)*"),
COUNTIFS('QA Log'!D:D,A415,'QA Log'!M:M,"QQC",'QA Log'!L:L,"*2. Hygiene and Sterilization*"),
COUNTIFS('QA Log'!D:D,A415,'QA Log'!M:M,"QQC",'QA Log'!L:L,"*4. Family Planning*")
))</f>
        <v/>
      </c>
      <c r="V415" s="102" t="str">
        <f>IF(A415="","",
SUM(
COUNTIFS('QA Log'!D:D,A415,'QA Log'!M:M,"QQC",'QA Log'!Z:Z,"Approved",'QA Log'!L:L,"*8. Maternity*"),
COUNTIFS('QA Log'!D:D,A415,'QA Log'!M:M,"QQC",'QA Log'!Z:Z,"Approved",'QA Log'!L:L,"*9. EPI and Pre-school Consultation*"),
COUNTIFS('QA Log'!D:D,A415,'QA Log'!M:M,"QQC",'QA Log'!Z:Z,"Approved",'QA Log'!L:L,"*10. Antenatal Care (ANC)*"),
COUNTIFS('QA Log'!D:D,A415,'QA Log'!M:M,"QQC",'QA Log'!Z:Z,"Approved",'QA Log'!L:L,"*2. Hygiene and Sterilization*"),
COUNTIFS('QA Log'!D:D,A415,'QA Log'!M:M,"QQC",'QA Log'!Z:Z,"Approved",'QA Log'!L:L,"*4. Family Planning*")
))</f>
        <v/>
      </c>
      <c r="W415" s="102" t="str">
        <f>IF(A415&lt;&gt;"",COUNTIFS('QA Log'!D:D,A415,'QA Log'!M:M,"QQC",'QA Log'!L:L,"8. Maternity",'QA Log'!Z:Z,"Approved"),"")</f>
        <v/>
      </c>
      <c r="X415" s="105" t="str">
        <f>IF(A415&lt;&gt;"",COUNTIFS('QA Log'!D:D,A415,'QA Log'!M:M,"QQC",'QA Log'!L:L,"9. EPI and Pre-school Consultation",'QA Log'!Z:Z,"Approved"),"")</f>
        <v/>
      </c>
      <c r="Y415" s="102" t="str">
        <f>IF(A415&lt;&gt;"",COUNTIFS('QA Log'!D:D,A415,'QA Log'!M:M,"QQC",'QA Log'!L:L,"10. Antenatal Care (ANC)",'QA Log'!Z:Z,"Approved"),"")</f>
        <v/>
      </c>
      <c r="Z415" s="102" t="str">
        <f>IF(A415&lt;&gt;"",COUNTIFS('QA Log'!D:D,A415,'QA Log'!M:M,"QQC",'QA Log'!L:L,"2. Hygiene and Sterilization",'QA Log'!Z:Z,"Approved"),"")</f>
        <v/>
      </c>
      <c r="AA415" s="105" t="str">
        <f>IF(A415&lt;&gt;"",COUNTIFS('QA Log'!D:D,A415,'QA Log'!M:M,"QQC",'QA Log'!L:L,"4. Family Planning",'QA Log'!Z:Z,"Approved"),"")</f>
        <v/>
      </c>
      <c r="AB415" s="102" t="str">
        <f>IF(A415="","",
SUM(
COUNTIFS('QA Log'!D:D,A415,'QA Log'!M:M,"QQC",'QA Log'!Z:Z,"Rejected",'QA Log'!L:L,"*8. Maternity*"),
COUNTIFS('QA Log'!D:D,A415,'QA Log'!M:M,"QQC",'QA Log'!Z:Z,"Rejected",'QA Log'!L:L,"*9. EPI and Pre-school Consultation*"),
COUNTIFS('QA Log'!D:D,A415,'QA Log'!M:M,"QQC",'QA Log'!Z:Z,"Rejected",'QA Log'!L:L,"*10. Antenatal Care (ANC)*"),
COUNTIFS('QA Log'!D:D,A415,'QA Log'!M:M,"QQC",'QA Log'!Z:Z,"Rejected",'QA Log'!L:L,"*2. Hygiene and Sterilization*"),
COUNTIFS('QA Log'!D:D,A415,'QA Log'!M:M,"QQC",'QA Log'!Z:Z,"Rejected",'QA Log'!L:L,"*4. Family Planning*")
))</f>
        <v/>
      </c>
      <c r="AC415" s="102" t="str">
        <f t="shared" si="29"/>
        <v/>
      </c>
      <c r="AD415" s="103" t="str">
        <f t="shared" si="30"/>
        <v/>
      </c>
      <c r="AE415" s="102" t="str">
        <f>IF(A415="","",
SUM(
COUNTIFS('QA Log'!D:D,A415,'QA Log'!M:M,"Data Verification",'QA Log'!L:L,"*Medicine (section 2)*"),
COUNTIFS('QA Log'!D:D,A415,'QA Log'!M:M,"Data Verification",'QA Log'!L:L,"*Lab Testing Availability*"),
COUNTIFS('QA Log'!D:D,A415,'QA Log'!M:M,"Data Verification",'QA Log'!L:L,"*Other than P4P (section 6)*"),
COUNTIFS('QA Log'!D:D,A415,'QA Log'!M:M,"Data Verification",'QA Log'!L:L,"*Hospital Governance*")
))</f>
        <v/>
      </c>
      <c r="AF415" s="102" t="str">
        <f>IF(A415="","",
SUM(
COUNTIFS('QA Log'!D:D,A415,'QA Log'!M:M,"Data Verification",'QA Log'!Z:Z,"Approved",'QA Log'!L:L,"*Medicine (section 2)*"),
COUNTIFS('QA Log'!D:D,A415,'QA Log'!M:M,"Data Verification",'QA Log'!Z:Z,"Approved",'QA Log'!L:L,"*Lab Testing Availability*"),
COUNTIFS('QA Log'!D:D,A415,'QA Log'!M:M,"Data Verification",'QA Log'!Z:Z,"Approved",'QA Log'!L:L,"*Other than P4P (section 6)*"),
COUNTIFS('QA Log'!D:D,A415,'QA Log'!M:M,"Data Verification",'QA Log'!Z:Z,"Approved",'QA Log'!L:L,"*Hospital Governance*")
))</f>
        <v/>
      </c>
      <c r="AG415" s="105" t="str">
        <f>IF(A415&lt;&gt;"",COUNTIFS('QA Log'!D:D,A415,'QA Log'!M:M,"Data Verification",'QA Log'!L:L,"Medicine (section 2)",'QA Log'!Z:Z,"Approved"),"")</f>
        <v/>
      </c>
      <c r="AH415" s="105" t="str">
        <f>IF(A415&lt;&gt;"",COUNTIFS('QA Log'!D:D,A415,'QA Log'!M:M,"Data Verification",'QA Log'!L:L,"Lab Testing Availability",'QA Log'!Z:Z,"Approved"),"")</f>
        <v/>
      </c>
      <c r="AI415" s="105" t="str">
        <f>IF(A415&lt;&gt;"",COUNTIFS('QA Log'!D:D,A415,'QA Log'!M:M,"Data Verification",'QA Log'!L:L,"Other than P4P (section 6)",'QA Log'!Z:Z,"Approved"),"")</f>
        <v/>
      </c>
      <c r="AJ415" s="105" t="str">
        <f>IF(A415&lt;&gt;"",COUNTIFS('QA Log'!D:D,A415,'QA Log'!M:M,"Data Verification",'QA Log'!L:L,"Hospital Governance",'QA Log'!Z:Z,"Approved"),"")</f>
        <v/>
      </c>
      <c r="AK415" s="102" t="str">
        <f>IF(A415="","",
SUM(
COUNTIFS('QA Log'!D:D,A415,'QA Log'!M:M,"Data Verification",'QA Log'!Z:Z,"Rejected",'QA Log'!L:L,"*Medicine (section 2)*"),
COUNTIFS('QA Log'!D:D,A415,'QA Log'!M:M,"Data Verification",'QA Log'!Z:Z,"Rejected",'QA Log'!L:L,"*Lab Testing Availability*"),
COUNTIFS('QA Log'!D:D,A415,'QA Log'!M:M,"Data Verification",'QA Log'!Z:Z,"Rejected",'QA Log'!L:L,"*Other than P4P (section 6)*"),
COUNTIFS('QA Log'!D:D,A415,'QA Log'!M:M,"Data Verification",'QA Log'!Z:Z,"Rejected",'QA Log'!L:L,"*Hospital Governance*")
))</f>
        <v/>
      </c>
      <c r="AL415" s="106" t="str">
        <f t="shared" si="31"/>
        <v/>
      </c>
      <c r="AM415" s="102" t="str">
        <f t="shared" si="32"/>
        <v/>
      </c>
      <c r="AN415" s="102" t="str">
        <f>IF(A415="","",
SUM(
COUNTIFS('QA Log'!D:D,A415,'QA Log'!M:M,"Data Verification",'QA Log'!L:L,"*Personnel (section 1)*"),
COUNTIFS('QA Log'!D:D,A415,'QA Log'!M:M,"Data Verification",'QA Log'!L:L,"*Consumable (section 3)*"),
COUNTIFS('QA Log'!D:D,A415,'QA Log'!M:M,"Data Verification",'QA Log'!L:L,"*Equipments (section 4)*")
))</f>
        <v/>
      </c>
      <c r="AO415" s="102" t="str">
        <f>IF(A415="","",
SUM(
COUNTIFS('QA Log'!D:D,A415,'QA Log'!M:M,"Data Verification",'QA Log'!Z:Z,"Approved",'QA Log'!L:L,"*Personnel (section 1)*"),
COUNTIFS('QA Log'!D:D,A415,'QA Log'!M:M,"Data Verification",'QA Log'!Z:Z,"Approved",'QA Log'!L:L,"*Consumable (section 3)*"),
COUNTIFS('QA Log'!D:D,A415,'QA Log'!M:M,"Data Verification",'QA Log'!Z:Z,"Approved",'QA Log'!L:L,"*Equipments (section 4)*")
))</f>
        <v/>
      </c>
      <c r="AP415" s="105" t="str">
        <f>IF(A415&lt;&gt;"",COUNTIFS('QA Log'!D:D,A415,'QA Log'!M:M,"Data Verification",'QA Log'!L:L,"Personnel (section 1)",'QA Log'!Z:Z,"Approved"),"")</f>
        <v/>
      </c>
      <c r="AQ415" s="105" t="str">
        <f>IF(A415&lt;&gt;"",COUNTIFS('QA Log'!D:D,A415,'QA Log'!M:M,"Data Verification",'QA Log'!L:L,"Consumable (section 3)",'QA Log'!Z:Z,"Approved"),"")</f>
        <v/>
      </c>
      <c r="AR415" s="105" t="str">
        <f>IF(A415&lt;&gt;"",COUNTIFS('QA Log'!D:D,A415,'QA Log'!M:M,"Data Verification",'QA Log'!L:L,"Equipments (section 4)",'QA Log'!Z:Z,"Approved"),"")</f>
        <v/>
      </c>
      <c r="AS415" s="102" t="str">
        <f>IF(A415="","",
SUM(
COUNTIFS('QA Log'!D:D,A415,'QA Log'!M:M,"Data Verification",'QA Log'!Z:Z,"Rejected",'QA Log'!L:L,"*Personnel (section 1)*"),
COUNTIFS('QA Log'!D:D,A415,'QA Log'!M:M,"Data Verification",'QA Log'!Z:Z,"Rejected",'QA Log'!L:L,"*Consumable (section 3)*"),
COUNTIFS('QA Log'!D:D,A415,'QA Log'!M:M,"Data Verification",'QA Log'!Z:Z,"Rejected",'QA Log'!L:L,"*Equipments (section 4)*")
))</f>
        <v/>
      </c>
      <c r="AT415" s="102" t="str">
        <f t="shared" si="33"/>
        <v/>
      </c>
      <c r="AU415" s="103" t="str">
        <f t="shared" si="34"/>
        <v/>
      </c>
      <c r="AV415" s="102" t="str">
        <f>IF(A415="","",SUM(
COUNTIFS('QA Log'!D:D,A415,'QA Log'!M:M,"Vignette",'QA Log'!L:L,"*Vignette [1] Respiratory Infection: Pneumonia*"),
COUNTIFS('QA Log'!D:D,A415,'QA Log'!M:M,"Vignette",'QA Log'!L:L,"*Vignette [2]: Diarrhea with Cat B dehydration*"),
COUNTIFS('QA Log'!D:D,A415,'QA Log'!M:M,"Vignette",'QA Log'!L:L,"*Vignette [3] Growth Monitoring and Promotion*"),
COUNTIFS('QA Log'!D:D,A415,'QA Log'!M:M,"Vignette",'QA Log'!L:L,"*Vignette [4]: The management of presumptive TB patient*")
)
)</f>
        <v/>
      </c>
      <c r="AW415" s="102" t="str">
        <f>IF(
  A415="","",
  SUM(
    COUNTIFS('QA Log'!D:D,A415,'QA Log'!M:M,"Vignette",'QA Log'!Z:Z,"Approved",'QA Log'!L:L,"*Vignette [1] Respiratory Infection: Pneumonia*"),
    COUNTIFS('QA Log'!D:D,A415,'QA Log'!M:M,"Vignette",'QA Log'!Z:Z,"Approved",'QA Log'!L:L,"*Vignette [2]: Diarrhea with Cat B dehydration*"),
    COUNTIFS('QA Log'!D:D,A415,'QA Log'!M:M,"Vignette",'QA Log'!Z:Z,"Approved",'QA Log'!L:L,"*Vignette [3] Growth Monitoring and Promotion*"),
    COUNTIFS('QA Log'!D:D,A415,'QA Log'!M:M,"Vignette",'QA Log'!Z:Z,"Approved",'QA Log'!L:L,"*Vignette [4]: The management of presumptive TB patient*")
  )
)</f>
        <v/>
      </c>
      <c r="AX415" s="105" t="str">
        <f>IF(A415&lt;&gt;"",COUNTIFS('QA Log'!D:D,A415,'QA Log'!M:M,"Vignette",'QA Log'!L:L,"Vignette [1] Respiratory Infection: Pneumonia",'QA Log'!Z:Z,"Approved"),"")</f>
        <v/>
      </c>
      <c r="AY415" s="105" t="str">
        <f>IF(A415&lt;&gt;"",COUNTIFS('QA Log'!D:D,A415,'QA Log'!M:M,"Vignette",'QA Log'!L:L,"Vignette [2]: Diarrhea with Cat B dehydration",'QA Log'!Z:Z,"Approved"),"")</f>
        <v/>
      </c>
      <c r="AZ415" s="105" t="str">
        <f>IF(A415&lt;&gt;"",COUNTIFS('QA Log'!D:D,A415,'QA Log'!M:M,"Vignette",'QA Log'!L:L,"Vignette [3] Growth Monitoring and Promotion",'QA Log'!Z:Z,"Approved"),"")</f>
        <v/>
      </c>
      <c r="BA415" s="105" t="str">
        <f>IF(A415&lt;&gt;"",COUNTIFS('QA Log'!D:D,A415,'QA Log'!M:M,"Vignette",'QA Log'!L:L,"Vignette [4]: The management of presumptive TB patient",'QA Log'!Z:Z,"Approved"),"")</f>
        <v/>
      </c>
      <c r="BB415" s="102" t="str">
        <f>IF(A415="","",
  SUM(
    COUNTIFS('QA Log'!D:D,A415,'QA Log'!M:M,"Vignette",'QA Log'!Z:Z,"Rejected",'QA Log'!L:L,"*Vignette [1] Respiratory Infection: Pneumonia*"),
    COUNTIFS('QA Log'!D:D,A415,'QA Log'!M:M,"Vignette",'QA Log'!Z:Z,"Rejected",'QA Log'!L:L,"*Vignette [2]: Diarrhea with Cat B dehydration*"),
    COUNTIFS('QA Log'!D:D,A415,'QA Log'!M:M,"Vignette",'QA Log'!Z:Z,"Rejected",'QA Log'!L:L,"*Vignette [3] Growth Monitoring and Promotion*"),
    COUNTIFS('QA Log'!D:D,A415,'QA Log'!M:M,"Vignette",'QA Log'!Z:Z,"Rejected",'QA Log'!L:L,"*Vignette [4]: The management of presumptive TB patient*")
  )
)</f>
        <v/>
      </c>
      <c r="BC415" s="107" t="str">
        <f t="shared" si="35"/>
        <v/>
      </c>
      <c r="BD415" s="103" t="str">
        <f t="shared" si="36"/>
        <v/>
      </c>
      <c r="BE415" s="102" t="str">
        <f>IF(A415="","",SUM(
COUNTIFS('QA Log'!D:D,A415,'QA Log'!M:M,"Vignette",'QA Log'!L:L,"*Vignette [5] Labor*"),
COUNTIFS('QA Log'!D:D,A415,'QA Log'!M:M,"Vignette",'QA Log'!L:L,"*Vignette [6] PNC pre Discharge*"),
COUNTIFS('QA Log'!D:D,A415,'QA Log'!M:M,"Vignette",'QA Log'!L:L,"*Vignette [7] First ANC Visit*"),
COUNTIFS('QA Log'!D:D,A415,'QA Log'!M:M,"Vignette",'QA Log'!L:L,"*Vignette [8] Birth Spacing/ Family Planning :  FP Counselling*"),
COUNTIFS('QA Log'!D:D,A415,'QA Log'!M:M,"Vignette",'QA Log'!L:L,"*Vignette [9] Birth Spacing: Change FP method to Injectable*"),
COUNTIFS('QA Log'!D:D,A415,'QA Log'!M:M,"Vignette",'QA Log'!L:L,"*Vignette [10] Post Partum Haemorrhage - Atonic Uterus at Health Centre*"),
)
)</f>
        <v/>
      </c>
      <c r="BF415" s="102" t="str">
        <f>IF(A415="","",
  SUM(
    COUNTIFS('QA Log'!D:D,A415,'QA Log'!M:M,"Vignette",'QA Log'!Z:Z,"Approved",'QA Log'!L:L,"*Vignette [5] Labor*"),
    COUNTIFS('QA Log'!D:D,A415,'QA Log'!M:M,"Vignette",'QA Log'!Z:Z,"Approved",'QA Log'!L:L,"*Vignette [6] PNC pre Discharge*"),
    COUNTIFS('QA Log'!D:D,A415,'QA Log'!M:M,"Vignette",'QA Log'!Z:Z,"Approved",'QA Log'!L:L,"*Vignette [7] First ANC Visit*"),
    COUNTIFS('QA Log'!D:D,A415,'QA Log'!M:M,"Vignette",'QA Log'!Z:Z,"Approved",'QA Log'!L:L,"*Vignette [8] Birth Spacing/ Family Planning :  FP Counselling*"),
    COUNTIFS('QA Log'!D:D,A415,'QA Log'!M:M,"Vignette",'QA Log'!Z:Z,"Approved",'QA Log'!L:L,"*Vignette [9] Birth Spacing: Change FP method to Injectable*"),
    COUNTIFS('QA Log'!D:D,A415,'QA Log'!M:M,"Vignette",'QA Log'!Z:Z,"Approved",'QA Log'!L:L,"*Vignette [10] Post Partum Haemorrhage - Atonic Uterus at Health Centre*")
  )
)</f>
        <v/>
      </c>
      <c r="BG415" s="105" t="str">
        <f>IF(A415&lt;&gt;"",COUNTIFS('QA Log'!D:D,A415,'QA Log'!M:M,"Vignette",'QA Log'!L:L,"Vignette [5] Labor",'QA Log'!Z:Z,"Approved"),"")</f>
        <v/>
      </c>
      <c r="BH415" s="105" t="str">
        <f>IF(A415&lt;&gt;"",COUNTIFS('QA Log'!D:D,A415,'QA Log'!M:M,"Vignette",'QA Log'!L:L,"Vignette [6] PNC pre Discharge",'QA Log'!Z:Z,"Approved"),"")</f>
        <v/>
      </c>
      <c r="BI415" s="105" t="str">
        <f>IF(A415&lt;&gt;"",COUNTIFS('QA Log'!D:D,A415,'QA Log'!M:M,"Vignette",'QA Log'!L:L,"Vignette [7] First ANC Visit",'QA Log'!Z:Z,"Approved"),"")</f>
        <v/>
      </c>
      <c r="BJ415" s="105" t="str">
        <f>IF(A415&lt;&gt;"",COUNTIFS('QA Log'!D:D,A415,'QA Log'!M:M,"Vignette",'QA Log'!L:L,"Vignette [8] Birth Spacing/ Family Planning :  FP Counselling",'QA Log'!Z:Z,"Approved"),"")</f>
        <v/>
      </c>
      <c r="BK415" s="105" t="str">
        <f>IF(A415&lt;&gt;"",COUNTIFS('QA Log'!D:D,A415,'QA Log'!M:M,"Vignette",'QA Log'!L:L,"Vignette [9] Birth Spacing: Change FP method to Injectable",'QA Log'!Z:Z,"Approved"),"")</f>
        <v/>
      </c>
      <c r="BL415" s="105" t="str">
        <f>IF(A415&lt;&gt;"",COUNTIFS('QA Log'!D:D,A415,'QA Log'!M:M,"Vignette",'QA Log'!L:L,"Vignette [10] Post Partum Haemorrhage - Atonic Uterus at Health Centre",'QA Log'!Z:Z,"Approved"),"")</f>
        <v/>
      </c>
      <c r="BM415" s="102" t="str">
        <f>IF(A415="","",SUM(
    COUNTIFS('QA Log'!D:D,A415,'QA Log'!M:M,"Vignette",'QA Log'!Z:Z,"Rejected",'QA Log'!L:L,"*Vignette [5] Labor*"),
    COUNTIFS('QA Log'!D:D,A415,'QA Log'!M:M,"Vignette",'QA Log'!Z:Z,"Rejected",'QA Log'!L:L,"*Vignette [6] PNC pre Discharge*"),
    COUNTIFS('QA Log'!D:D,A415,'QA Log'!M:M,"Vignette",'QA Log'!Z:Z,"Rejected",'QA Log'!L:L,"*Vignette [7] First ANC Visit*"),
    COUNTIFS('QA Log'!D:D,A415,'QA Log'!M:M,"Vignette",'QA Log'!Z:Z,"Rejected",'QA Log'!L:L,"*Vignette [8] Birth Spacing/ Family Planning :  FP Counselling*"),
    COUNTIFS('QA Log'!D:D,A415,'QA Log'!M:M,"Vignette",'QA Log'!Z:Z,"Rejected",'QA Log'!L:L,"*Vignette [9] Birth Spacing: Change FP method to Injectable*"),
    COUNTIFS('QA Log'!D:D,A415,'QA Log'!M:M,"Vignette",'QA Log'!Z:Z,"Rejected",'QA Log'!L:L,"*Vignette [10] Post Partum Haemorrhage - Atonic Uterus at Health Centre*")
  )
)</f>
        <v/>
      </c>
      <c r="BN415" s="107" t="str">
        <f t="shared" si="37"/>
        <v/>
      </c>
      <c r="BO415" s="103" t="str">
        <f t="shared" si="38"/>
        <v/>
      </c>
      <c r="BP415" s="102" t="str">
        <f>IF(A415="","",SUM(
COUNTIFS('QA Log'!D:D,A415,'QA Log'!M:M,"Vignette",'QA Log'!L:L,"*Exit Interview 1*"),
COUNTIFS('QA Log'!D:D,A415,'QA Log'!M:M,"Vignette",'QA Log'!L:L,"*Exit Interview 2*"),
)
)</f>
        <v/>
      </c>
      <c r="BQ415" s="102" t="str">
        <f>IF(
  A415="","",
  SUM(
    COUNTIFS('QA Log'!D:D,A415,'QA Log'!M:M,"Vignette",'QA Log'!Z:Z,"Approved",'QA Log'!L:L,"*Exit Interview 1*"),
    COUNTIFS('QA Log'!D:D,A415,'QA Log'!M:M,"Vignette",'QA Log'!Z:Z,"Approved",'QA Log'!L:L,"*Exit Interview 2*")
  )
)</f>
        <v/>
      </c>
      <c r="BR415" s="105" t="str">
        <f>IF(A415&lt;&gt;"",COUNTIFS('QA Log'!D:D,A415,'QA Log'!M:M,"Vignette",'QA Log'!L:L,"Exit Interview 1",'QA Log'!Z:Z,"Approved"),"")</f>
        <v/>
      </c>
      <c r="BS415" s="105" t="str">
        <f>IF(A415&lt;&gt;"",COUNTIFS('QA Log'!D:D,A415,'QA Log'!M:M,"Vignette",'QA Log'!L:L,"Exit Interview 2",'QA Log'!Z:Z,"Approved"),"")</f>
        <v/>
      </c>
      <c r="BT415" s="102" t="str">
        <f>IF(
  A415="","",
  SUM(
    COUNTIFS('QA Log'!D:D,A415,'QA Log'!M:M,"Vignette",'QA Log'!Z:Z,"Rejected",'QA Log'!L:L,"*Exit Interview 1*"),
    COUNTIFS('QA Log'!D:D,A415,'QA Log'!M:M,"Vignette",'QA Log'!Z:Z,"Rejected",'QA Log'!L:L,"*Exit Interview 2*")
  )
)</f>
        <v/>
      </c>
      <c r="BU415" s="107" t="str">
        <f t="shared" si="39"/>
        <v/>
      </c>
      <c r="BV415" s="102" t="str">
        <f t="shared" si="40"/>
        <v/>
      </c>
      <c r="BW415" s="102" t="str">
        <f t="shared" si="41"/>
        <v/>
      </c>
      <c r="BX415" s="102" t="str">
        <f t="shared" si="42"/>
        <v/>
      </c>
      <c r="BY415" s="102" t="str">
        <f t="shared" si="43"/>
        <v/>
      </c>
      <c r="BZ415" s="107" t="str">
        <f t="shared" si="44"/>
        <v/>
      </c>
      <c r="CA415" s="108" t="str">
        <f t="shared" si="45"/>
        <v/>
      </c>
      <c r="CB415" s="108" t="str">
        <f t="shared" si="46"/>
        <v/>
      </c>
      <c r="CC415" s="109" t="str">
        <f t="shared" si="47"/>
        <v/>
      </c>
      <c r="CD415" s="108" t="str">
        <f t="shared" si="48"/>
        <v/>
      </c>
      <c r="CE415" s="108" t="str">
        <f t="shared" si="49"/>
        <v/>
      </c>
      <c r="CF415" s="109" t="str">
        <f t="shared" si="50"/>
        <v/>
      </c>
      <c r="CG415" s="110" t="str">
        <f t="shared" si="51"/>
        <v/>
      </c>
      <c r="CH415" s="111"/>
    </row>
    <row r="416" spans="1:86" ht="12.75">
      <c r="A416" s="101"/>
      <c r="B416" s="102" t="e">
        <f t="array" aca="1" ref="B416" ca="1">_xludf.XLOOKUP(A416,'QA Log'!D:D,'QA Log'!E:E,"")</f>
        <v>#NAME?</v>
      </c>
      <c r="C416" s="102" t="e">
        <f t="array" aca="1" ref="C416" ca="1">_xludf.XLOOKUP(A416,'QA Log'!D:D,'QA Log'!F:F,"")</f>
        <v>#NAME?</v>
      </c>
      <c r="D416" s="102" t="e">
        <f t="array" aca="1" ref="D416" ca="1">_xludf.XLOOKUP(A416,'QA Log'!D:D,'QA Log'!H:H,"")</f>
        <v>#NAME?</v>
      </c>
      <c r="E416" s="102" t="e">
        <f t="array" aca="1" ref="E416" ca="1">_xludf.XLOOKUP(A416,'QA Log'!D:D,'QA Log'!G:G,"")</f>
        <v>#NAME?</v>
      </c>
      <c r="F416" s="103"/>
      <c r="G416" s="104"/>
      <c r="H416" s="104"/>
      <c r="I416" s="103" t="str">
        <f t="shared" si="26"/>
        <v/>
      </c>
      <c r="J416" s="102" t="str">
        <f>IF(A416="","",SUM(
COUNTIFS('QA Log'!D:D,A416,'QA Log'!M:M,"QQC",'QA Log'!L:L,"*1. General Management*"),
COUNTIFS('QA Log'!D:D,A416,'QA Log'!M:M,"QQC",'QA Log'!L:L,"*3. Curative Consultation (OPD)*"),
COUNTIFS('QA Log'!D:D,A416,'QA Log'!M:M,"QQC",'QA Log'!L:L,"*5. Laboratory*"),
COUNTIFS('QA Log'!D:D,A416,'QA Log'!M:M,"QQC",'QA Log'!L:L,"*6. Essential Medicine Management*"),
COUNTIFS('QA Log'!D:D,A416,'QA Log'!M:M,"QQC",'QA Log'!L:L,"*7. Tracer Medicine*"),
COUNTIFS('QA Log'!D:D,A416,'QA Log'!M:M,"QQC",'QA Log'!L:L,"*11. Additional Questions*")))</f>
        <v/>
      </c>
      <c r="K416" s="102" t="str">
        <f>IF(A416="","",SUM(
COUNTIFS('QA Log'!D:D,A416,'QA Log'!M:M,"QQC",'QA Log'!Z:Z,"Approved",'QA Log'!L:L,"*1. General Management*"),
COUNTIFS('QA Log'!D:D,A416,'QA Log'!M:M,"QQC",'QA Log'!Z:Z,"Approved",'QA Log'!L:L,"*3. Curative Consultation (OPD)*"),
COUNTIFS('QA Log'!D:D,A416,'QA Log'!M:M,"QQC",'QA Log'!Z:Z,"Approved",'QA Log'!L:L,"*5. Laboratory*"),
COUNTIFS('QA Log'!D:D,A416,'QA Log'!M:M,"QQC",'QA Log'!Z:Z,"Approved",'QA Log'!L:L,"*6. Essential Medicine Management*"),
COUNTIFS('QA Log'!D:D,A416,'QA Log'!M:M,"QQC",'QA Log'!Z:Z,"Approved",'QA Log'!L:L,"*7. Tracer Medicine*"),
COUNTIFS('QA Log'!D:D,A416,'QA Log'!M:M,"QQC",'QA Log'!Z:Z,"Approved",'QA Log'!L:L,"*11. Additional Questions*")))</f>
        <v/>
      </c>
      <c r="L416" s="102" t="str">
        <f>IF(A416&lt;&gt;"",COUNTIFS('QA Log'!D:D,A416,'QA Log'!M:M,"QQC",'QA Log'!L:L,"1. General Management",'QA Log'!Z:Z,"Approved"),"")</f>
        <v/>
      </c>
      <c r="M416" s="102" t="str">
        <f>IF(A416&lt;&gt;"",COUNTIFS('QA Log'!D:D,A416,'QA Log'!M:M,"QQC",'QA Log'!L:L,"3. Curative Consultation (OPD)",'QA Log'!Z:Z,"Approved"),"")</f>
        <v/>
      </c>
      <c r="N416" s="102" t="str">
        <f>IF(A416&lt;&gt;"",COUNTIFS('QA Log'!D:D,A416,'QA Log'!M:M,"QQC",'QA Log'!L:L,"5. Laboratory",'QA Log'!Z:Z,"Approved"),"")</f>
        <v/>
      </c>
      <c r="O416" s="102" t="str">
        <f>IF(A416&lt;&gt;"",COUNTIFS('QA Log'!D:D,A416,'QA Log'!M:M,"QQC",'QA Log'!L:L,"6. Essential Medicine Management",'QA Log'!Z:Z,"Approved"),"")</f>
        <v/>
      </c>
      <c r="P416" s="102" t="str">
        <f>IF(A416&lt;&gt;"",COUNTIFS('QA Log'!D:D,A416,'QA Log'!M:M,"QQC",'QA Log'!L:L,"7. Tracer Medicine",'QA Log'!Z:Z,"Approved"),"")</f>
        <v/>
      </c>
      <c r="Q416" s="102" t="str">
        <f>IF(A416&lt;&gt;"",COUNTIFS('QA Log'!D:D,A416,'QA Log'!M:M,"QQC",'QA Log'!L:L,"11. Additional Questions",'QA Log'!Z:Z,"Approved"),"")</f>
        <v/>
      </c>
      <c r="R416" s="102" t="str">
        <f>IF(A416="","",SUM(
COUNTIFS('QA Log'!D:D,A416,'QA Log'!M:M,"QQC",'QA Log'!Z:Z,"Rejected",'QA Log'!L:L,"*8. Maternity*"),
COUNTIFS('QA Log'!D:D,A416,'QA Log'!M:M,"QQC",'QA Log'!Z:Z,"Rejected",'QA Log'!L:L,"*EPI*"),
COUNTIFS('QA Log'!D:D,A416,'QA Log'!M:M,"QQC",'QA Log'!Z:Z,"Rejected",'QA Log'!L:L,"*10. Antenatal Care (ANC)*"),
COUNTIFS('QA Log'!D:D,A416,'QA Log'!M:M,"QQC",'QA Log'!Z:Z,"Rejected",'QA Log'!L:L,"*2. Hygiene and Sterilization*"),
COUNTIFS('QA Log'!D:D,A416,'QA Log'!M:M,"QQC",'QA Log'!Z:Z,"Rejected",'QA Log'!L:L,"*Family Planning*")))</f>
        <v/>
      </c>
      <c r="S416" s="106" t="str">
        <f t="shared" si="27"/>
        <v/>
      </c>
      <c r="T416" s="102" t="str">
        <f t="shared" si="28"/>
        <v/>
      </c>
      <c r="U416" s="102" t="str">
        <f>IF(A416="","",
SUM(
COUNTIFS('QA Log'!D:D,A416,'QA Log'!M:M,"QQC",'QA Log'!L:L,"*8. Maternity*"),
COUNTIFS('QA Log'!D:D,A416,'QA Log'!M:M,"QQC",'QA Log'!L:L,"*9. EPI and Pre-school Consultation*"),
COUNTIFS('QA Log'!D:D,A416,'QA Log'!M:M,"QQC",'QA Log'!L:L,"*10. Antenatal Care (ANC)*"),
COUNTIFS('QA Log'!D:D,A416,'QA Log'!M:M,"QQC",'QA Log'!L:L,"*2. Hygiene and Sterilization*"),
COUNTIFS('QA Log'!D:D,A416,'QA Log'!M:M,"QQC",'QA Log'!L:L,"*4. Family Planning*")
))</f>
        <v/>
      </c>
      <c r="V416" s="102" t="str">
        <f>IF(A416="","",
SUM(
COUNTIFS('QA Log'!D:D,A416,'QA Log'!M:M,"QQC",'QA Log'!Z:Z,"Approved",'QA Log'!L:L,"*8. Maternity*"),
COUNTIFS('QA Log'!D:D,A416,'QA Log'!M:M,"QQC",'QA Log'!Z:Z,"Approved",'QA Log'!L:L,"*9. EPI and Pre-school Consultation*"),
COUNTIFS('QA Log'!D:D,A416,'QA Log'!M:M,"QQC",'QA Log'!Z:Z,"Approved",'QA Log'!L:L,"*10. Antenatal Care (ANC)*"),
COUNTIFS('QA Log'!D:D,A416,'QA Log'!M:M,"QQC",'QA Log'!Z:Z,"Approved",'QA Log'!L:L,"*2. Hygiene and Sterilization*"),
COUNTIFS('QA Log'!D:D,A416,'QA Log'!M:M,"QQC",'QA Log'!Z:Z,"Approved",'QA Log'!L:L,"*4. Family Planning*")
))</f>
        <v/>
      </c>
      <c r="W416" s="102" t="str">
        <f>IF(A416&lt;&gt;"",COUNTIFS('QA Log'!D:D,A416,'QA Log'!M:M,"QQC",'QA Log'!L:L,"8. Maternity",'QA Log'!Z:Z,"Approved"),"")</f>
        <v/>
      </c>
      <c r="X416" s="105" t="str">
        <f>IF(A416&lt;&gt;"",COUNTIFS('QA Log'!D:D,A416,'QA Log'!M:M,"QQC",'QA Log'!L:L,"9. EPI and Pre-school Consultation",'QA Log'!Z:Z,"Approved"),"")</f>
        <v/>
      </c>
      <c r="Y416" s="102" t="str">
        <f>IF(A416&lt;&gt;"",COUNTIFS('QA Log'!D:D,A416,'QA Log'!M:M,"QQC",'QA Log'!L:L,"10. Antenatal Care (ANC)",'QA Log'!Z:Z,"Approved"),"")</f>
        <v/>
      </c>
      <c r="Z416" s="102" t="str">
        <f>IF(A416&lt;&gt;"",COUNTIFS('QA Log'!D:D,A416,'QA Log'!M:M,"QQC",'QA Log'!L:L,"2. Hygiene and Sterilization",'QA Log'!Z:Z,"Approved"),"")</f>
        <v/>
      </c>
      <c r="AA416" s="105" t="str">
        <f>IF(A416&lt;&gt;"",COUNTIFS('QA Log'!D:D,A416,'QA Log'!M:M,"QQC",'QA Log'!L:L,"4. Family Planning",'QA Log'!Z:Z,"Approved"),"")</f>
        <v/>
      </c>
      <c r="AB416" s="102" t="str">
        <f>IF(A416="","",
SUM(
COUNTIFS('QA Log'!D:D,A416,'QA Log'!M:M,"QQC",'QA Log'!Z:Z,"Rejected",'QA Log'!L:L,"*8. Maternity*"),
COUNTIFS('QA Log'!D:D,A416,'QA Log'!M:M,"QQC",'QA Log'!Z:Z,"Rejected",'QA Log'!L:L,"*9. EPI and Pre-school Consultation*"),
COUNTIFS('QA Log'!D:D,A416,'QA Log'!M:M,"QQC",'QA Log'!Z:Z,"Rejected",'QA Log'!L:L,"*10. Antenatal Care (ANC)*"),
COUNTIFS('QA Log'!D:D,A416,'QA Log'!M:M,"QQC",'QA Log'!Z:Z,"Rejected",'QA Log'!L:L,"*2. Hygiene and Sterilization*"),
COUNTIFS('QA Log'!D:D,A416,'QA Log'!M:M,"QQC",'QA Log'!Z:Z,"Rejected",'QA Log'!L:L,"*4. Family Planning*")
))</f>
        <v/>
      </c>
      <c r="AC416" s="102" t="str">
        <f t="shared" si="29"/>
        <v/>
      </c>
      <c r="AD416" s="103" t="str">
        <f t="shared" si="30"/>
        <v/>
      </c>
      <c r="AE416" s="102" t="str">
        <f>IF(A416="","",
SUM(
COUNTIFS('QA Log'!D:D,A416,'QA Log'!M:M,"Data Verification",'QA Log'!L:L,"*Medicine (section 2)*"),
COUNTIFS('QA Log'!D:D,A416,'QA Log'!M:M,"Data Verification",'QA Log'!L:L,"*Lab Testing Availability*"),
COUNTIFS('QA Log'!D:D,A416,'QA Log'!M:M,"Data Verification",'QA Log'!L:L,"*Other than P4P (section 6)*"),
COUNTIFS('QA Log'!D:D,A416,'QA Log'!M:M,"Data Verification",'QA Log'!L:L,"*Hospital Governance*")
))</f>
        <v/>
      </c>
      <c r="AF416" s="102" t="str">
        <f>IF(A416="","",
SUM(
COUNTIFS('QA Log'!D:D,A416,'QA Log'!M:M,"Data Verification",'QA Log'!Z:Z,"Approved",'QA Log'!L:L,"*Medicine (section 2)*"),
COUNTIFS('QA Log'!D:D,A416,'QA Log'!M:M,"Data Verification",'QA Log'!Z:Z,"Approved",'QA Log'!L:L,"*Lab Testing Availability*"),
COUNTIFS('QA Log'!D:D,A416,'QA Log'!M:M,"Data Verification",'QA Log'!Z:Z,"Approved",'QA Log'!L:L,"*Other than P4P (section 6)*"),
COUNTIFS('QA Log'!D:D,A416,'QA Log'!M:M,"Data Verification",'QA Log'!Z:Z,"Approved",'QA Log'!L:L,"*Hospital Governance*")
))</f>
        <v/>
      </c>
      <c r="AG416" s="105" t="str">
        <f>IF(A416&lt;&gt;"",COUNTIFS('QA Log'!D:D,A416,'QA Log'!M:M,"Data Verification",'QA Log'!L:L,"Medicine (section 2)",'QA Log'!Z:Z,"Approved"),"")</f>
        <v/>
      </c>
      <c r="AH416" s="105" t="str">
        <f>IF(A416&lt;&gt;"",COUNTIFS('QA Log'!D:D,A416,'QA Log'!M:M,"Data Verification",'QA Log'!L:L,"Lab Testing Availability",'QA Log'!Z:Z,"Approved"),"")</f>
        <v/>
      </c>
      <c r="AI416" s="105" t="str">
        <f>IF(A416&lt;&gt;"",COUNTIFS('QA Log'!D:D,A416,'QA Log'!M:M,"Data Verification",'QA Log'!L:L,"Other than P4P (section 6)",'QA Log'!Z:Z,"Approved"),"")</f>
        <v/>
      </c>
      <c r="AJ416" s="105" t="str">
        <f>IF(A416&lt;&gt;"",COUNTIFS('QA Log'!D:D,A416,'QA Log'!M:M,"Data Verification",'QA Log'!L:L,"Hospital Governance",'QA Log'!Z:Z,"Approved"),"")</f>
        <v/>
      </c>
      <c r="AK416" s="102" t="str">
        <f>IF(A416="","",
SUM(
COUNTIFS('QA Log'!D:D,A416,'QA Log'!M:M,"Data Verification",'QA Log'!Z:Z,"Rejected",'QA Log'!L:L,"*Medicine (section 2)*"),
COUNTIFS('QA Log'!D:D,A416,'QA Log'!M:M,"Data Verification",'QA Log'!Z:Z,"Rejected",'QA Log'!L:L,"*Lab Testing Availability*"),
COUNTIFS('QA Log'!D:D,A416,'QA Log'!M:M,"Data Verification",'QA Log'!Z:Z,"Rejected",'QA Log'!L:L,"*Other than P4P (section 6)*"),
COUNTIFS('QA Log'!D:D,A416,'QA Log'!M:M,"Data Verification",'QA Log'!Z:Z,"Rejected",'QA Log'!L:L,"*Hospital Governance*")
))</f>
        <v/>
      </c>
      <c r="AL416" s="106" t="str">
        <f t="shared" si="31"/>
        <v/>
      </c>
      <c r="AM416" s="102" t="str">
        <f t="shared" si="32"/>
        <v/>
      </c>
      <c r="AN416" s="102" t="str">
        <f>IF(A416="","",
SUM(
COUNTIFS('QA Log'!D:D,A416,'QA Log'!M:M,"Data Verification",'QA Log'!L:L,"*Personnel (section 1)*"),
COUNTIFS('QA Log'!D:D,A416,'QA Log'!M:M,"Data Verification",'QA Log'!L:L,"*Consumable (section 3)*"),
COUNTIFS('QA Log'!D:D,A416,'QA Log'!M:M,"Data Verification",'QA Log'!L:L,"*Equipments (section 4)*")
))</f>
        <v/>
      </c>
      <c r="AO416" s="102" t="str">
        <f>IF(A416="","",
SUM(
COUNTIFS('QA Log'!D:D,A416,'QA Log'!M:M,"Data Verification",'QA Log'!Z:Z,"Approved",'QA Log'!L:L,"*Personnel (section 1)*"),
COUNTIFS('QA Log'!D:D,A416,'QA Log'!M:M,"Data Verification",'QA Log'!Z:Z,"Approved",'QA Log'!L:L,"*Consumable (section 3)*"),
COUNTIFS('QA Log'!D:D,A416,'QA Log'!M:M,"Data Verification",'QA Log'!Z:Z,"Approved",'QA Log'!L:L,"*Equipments (section 4)*")
))</f>
        <v/>
      </c>
      <c r="AP416" s="105" t="str">
        <f>IF(A416&lt;&gt;"",COUNTIFS('QA Log'!D:D,A416,'QA Log'!M:M,"Data Verification",'QA Log'!L:L,"Personnel (section 1)",'QA Log'!Z:Z,"Approved"),"")</f>
        <v/>
      </c>
      <c r="AQ416" s="105" t="str">
        <f>IF(A416&lt;&gt;"",COUNTIFS('QA Log'!D:D,A416,'QA Log'!M:M,"Data Verification",'QA Log'!L:L,"Consumable (section 3)",'QA Log'!Z:Z,"Approved"),"")</f>
        <v/>
      </c>
      <c r="AR416" s="105" t="str">
        <f>IF(A416&lt;&gt;"",COUNTIFS('QA Log'!D:D,A416,'QA Log'!M:M,"Data Verification",'QA Log'!L:L,"Equipments (section 4)",'QA Log'!Z:Z,"Approved"),"")</f>
        <v/>
      </c>
      <c r="AS416" s="102" t="str">
        <f>IF(A416="","",
SUM(
COUNTIFS('QA Log'!D:D,A416,'QA Log'!M:M,"Data Verification",'QA Log'!Z:Z,"Rejected",'QA Log'!L:L,"*Personnel (section 1)*"),
COUNTIFS('QA Log'!D:D,A416,'QA Log'!M:M,"Data Verification",'QA Log'!Z:Z,"Rejected",'QA Log'!L:L,"*Consumable (section 3)*"),
COUNTIFS('QA Log'!D:D,A416,'QA Log'!M:M,"Data Verification",'QA Log'!Z:Z,"Rejected",'QA Log'!L:L,"*Equipments (section 4)*")
))</f>
        <v/>
      </c>
      <c r="AT416" s="102" t="str">
        <f t="shared" si="33"/>
        <v/>
      </c>
      <c r="AU416" s="103" t="str">
        <f t="shared" si="34"/>
        <v/>
      </c>
      <c r="AV416" s="102" t="str">
        <f>IF(A416="","",SUM(
COUNTIFS('QA Log'!D:D,A416,'QA Log'!M:M,"Vignette",'QA Log'!L:L,"*Vignette [1] Respiratory Infection: Pneumonia*"),
COUNTIFS('QA Log'!D:D,A416,'QA Log'!M:M,"Vignette",'QA Log'!L:L,"*Vignette [2]: Diarrhea with Cat B dehydration*"),
COUNTIFS('QA Log'!D:D,A416,'QA Log'!M:M,"Vignette",'QA Log'!L:L,"*Vignette [3] Growth Monitoring and Promotion*"),
COUNTIFS('QA Log'!D:D,A416,'QA Log'!M:M,"Vignette",'QA Log'!L:L,"*Vignette [4]: The management of presumptive TB patient*")
)
)</f>
        <v/>
      </c>
      <c r="AW416" s="102" t="str">
        <f>IF(
  A416="","",
  SUM(
    COUNTIFS('QA Log'!D:D,A416,'QA Log'!M:M,"Vignette",'QA Log'!Z:Z,"Approved",'QA Log'!L:L,"*Vignette [1] Respiratory Infection: Pneumonia*"),
    COUNTIFS('QA Log'!D:D,A416,'QA Log'!M:M,"Vignette",'QA Log'!Z:Z,"Approved",'QA Log'!L:L,"*Vignette [2]: Diarrhea with Cat B dehydration*"),
    COUNTIFS('QA Log'!D:D,A416,'QA Log'!M:M,"Vignette",'QA Log'!Z:Z,"Approved",'QA Log'!L:L,"*Vignette [3] Growth Monitoring and Promotion*"),
    COUNTIFS('QA Log'!D:D,A416,'QA Log'!M:M,"Vignette",'QA Log'!Z:Z,"Approved",'QA Log'!L:L,"*Vignette [4]: The management of presumptive TB patient*")
  )
)</f>
        <v/>
      </c>
      <c r="AX416" s="105" t="str">
        <f>IF(A416&lt;&gt;"",COUNTIFS('QA Log'!D:D,A416,'QA Log'!M:M,"Vignette",'QA Log'!L:L,"Vignette [1] Respiratory Infection: Pneumonia",'QA Log'!Z:Z,"Approved"),"")</f>
        <v/>
      </c>
      <c r="AY416" s="105" t="str">
        <f>IF(A416&lt;&gt;"",COUNTIFS('QA Log'!D:D,A416,'QA Log'!M:M,"Vignette",'QA Log'!L:L,"Vignette [2]: Diarrhea with Cat B dehydration",'QA Log'!Z:Z,"Approved"),"")</f>
        <v/>
      </c>
      <c r="AZ416" s="105" t="str">
        <f>IF(A416&lt;&gt;"",COUNTIFS('QA Log'!D:D,A416,'QA Log'!M:M,"Vignette",'QA Log'!L:L,"Vignette [3] Growth Monitoring and Promotion",'QA Log'!Z:Z,"Approved"),"")</f>
        <v/>
      </c>
      <c r="BA416" s="105" t="str">
        <f>IF(A416&lt;&gt;"",COUNTIFS('QA Log'!D:D,A416,'QA Log'!M:M,"Vignette",'QA Log'!L:L,"Vignette [4]: The management of presumptive TB patient",'QA Log'!Z:Z,"Approved"),"")</f>
        <v/>
      </c>
      <c r="BB416" s="102" t="str">
        <f>IF(A416="","",
  SUM(
    COUNTIFS('QA Log'!D:D,A416,'QA Log'!M:M,"Vignette",'QA Log'!Z:Z,"Rejected",'QA Log'!L:L,"*Vignette [1] Respiratory Infection: Pneumonia*"),
    COUNTIFS('QA Log'!D:D,A416,'QA Log'!M:M,"Vignette",'QA Log'!Z:Z,"Rejected",'QA Log'!L:L,"*Vignette [2]: Diarrhea with Cat B dehydration*"),
    COUNTIFS('QA Log'!D:D,A416,'QA Log'!M:M,"Vignette",'QA Log'!Z:Z,"Rejected",'QA Log'!L:L,"*Vignette [3] Growth Monitoring and Promotion*"),
    COUNTIFS('QA Log'!D:D,A416,'QA Log'!M:M,"Vignette",'QA Log'!Z:Z,"Rejected",'QA Log'!L:L,"*Vignette [4]: The management of presumptive TB patient*")
  )
)</f>
        <v/>
      </c>
      <c r="BC416" s="107" t="str">
        <f t="shared" si="35"/>
        <v/>
      </c>
      <c r="BD416" s="103" t="str">
        <f t="shared" si="36"/>
        <v/>
      </c>
      <c r="BE416" s="102" t="str">
        <f>IF(A416="","",SUM(
COUNTIFS('QA Log'!D:D,A416,'QA Log'!M:M,"Vignette",'QA Log'!L:L,"*Vignette [5] Labor*"),
COUNTIFS('QA Log'!D:D,A416,'QA Log'!M:M,"Vignette",'QA Log'!L:L,"*Vignette [6] PNC pre Discharge*"),
COUNTIFS('QA Log'!D:D,A416,'QA Log'!M:M,"Vignette",'QA Log'!L:L,"*Vignette [7] First ANC Visit*"),
COUNTIFS('QA Log'!D:D,A416,'QA Log'!M:M,"Vignette",'QA Log'!L:L,"*Vignette [8] Birth Spacing/ Family Planning :  FP Counselling*"),
COUNTIFS('QA Log'!D:D,A416,'QA Log'!M:M,"Vignette",'QA Log'!L:L,"*Vignette [9] Birth Spacing: Change FP method to Injectable*"),
COUNTIFS('QA Log'!D:D,A416,'QA Log'!M:M,"Vignette",'QA Log'!L:L,"*Vignette [10] Post Partum Haemorrhage - Atonic Uterus at Health Centre*"),
)
)</f>
        <v/>
      </c>
      <c r="BF416" s="102" t="str">
        <f>IF(A416="","",
  SUM(
    COUNTIFS('QA Log'!D:D,A416,'QA Log'!M:M,"Vignette",'QA Log'!Z:Z,"Approved",'QA Log'!L:L,"*Vignette [5] Labor*"),
    COUNTIFS('QA Log'!D:D,A416,'QA Log'!M:M,"Vignette",'QA Log'!Z:Z,"Approved",'QA Log'!L:L,"*Vignette [6] PNC pre Discharge*"),
    COUNTIFS('QA Log'!D:D,A416,'QA Log'!M:M,"Vignette",'QA Log'!Z:Z,"Approved",'QA Log'!L:L,"*Vignette [7] First ANC Visit*"),
    COUNTIFS('QA Log'!D:D,A416,'QA Log'!M:M,"Vignette",'QA Log'!Z:Z,"Approved",'QA Log'!L:L,"*Vignette [8] Birth Spacing/ Family Planning :  FP Counselling*"),
    COUNTIFS('QA Log'!D:D,A416,'QA Log'!M:M,"Vignette",'QA Log'!Z:Z,"Approved",'QA Log'!L:L,"*Vignette [9] Birth Spacing: Change FP method to Injectable*"),
    COUNTIFS('QA Log'!D:D,A416,'QA Log'!M:M,"Vignette",'QA Log'!Z:Z,"Approved",'QA Log'!L:L,"*Vignette [10] Post Partum Haemorrhage - Atonic Uterus at Health Centre*")
  )
)</f>
        <v/>
      </c>
      <c r="BG416" s="105" t="str">
        <f>IF(A416&lt;&gt;"",COUNTIFS('QA Log'!D:D,A416,'QA Log'!M:M,"Vignette",'QA Log'!L:L,"Vignette [5] Labor",'QA Log'!Z:Z,"Approved"),"")</f>
        <v/>
      </c>
      <c r="BH416" s="105" t="str">
        <f>IF(A416&lt;&gt;"",COUNTIFS('QA Log'!D:D,A416,'QA Log'!M:M,"Vignette",'QA Log'!L:L,"Vignette [6] PNC pre Discharge",'QA Log'!Z:Z,"Approved"),"")</f>
        <v/>
      </c>
      <c r="BI416" s="105" t="str">
        <f>IF(A416&lt;&gt;"",COUNTIFS('QA Log'!D:D,A416,'QA Log'!M:M,"Vignette",'QA Log'!L:L,"Vignette [7] First ANC Visit",'QA Log'!Z:Z,"Approved"),"")</f>
        <v/>
      </c>
      <c r="BJ416" s="105" t="str">
        <f>IF(A416&lt;&gt;"",COUNTIFS('QA Log'!D:D,A416,'QA Log'!M:M,"Vignette",'QA Log'!L:L,"Vignette [8] Birth Spacing/ Family Planning :  FP Counselling",'QA Log'!Z:Z,"Approved"),"")</f>
        <v/>
      </c>
      <c r="BK416" s="105" t="str">
        <f>IF(A416&lt;&gt;"",COUNTIFS('QA Log'!D:D,A416,'QA Log'!M:M,"Vignette",'QA Log'!L:L,"Vignette [9] Birth Spacing: Change FP method to Injectable",'QA Log'!Z:Z,"Approved"),"")</f>
        <v/>
      </c>
      <c r="BL416" s="105" t="str">
        <f>IF(A416&lt;&gt;"",COUNTIFS('QA Log'!D:D,A416,'QA Log'!M:M,"Vignette",'QA Log'!L:L,"Vignette [10] Post Partum Haemorrhage - Atonic Uterus at Health Centre",'QA Log'!Z:Z,"Approved"),"")</f>
        <v/>
      </c>
      <c r="BM416" s="102" t="str">
        <f>IF(A416="","",SUM(
    COUNTIFS('QA Log'!D:D,A416,'QA Log'!M:M,"Vignette",'QA Log'!Z:Z,"Rejected",'QA Log'!L:L,"*Vignette [5] Labor*"),
    COUNTIFS('QA Log'!D:D,A416,'QA Log'!M:M,"Vignette",'QA Log'!Z:Z,"Rejected",'QA Log'!L:L,"*Vignette [6] PNC pre Discharge*"),
    COUNTIFS('QA Log'!D:D,A416,'QA Log'!M:M,"Vignette",'QA Log'!Z:Z,"Rejected",'QA Log'!L:L,"*Vignette [7] First ANC Visit*"),
    COUNTIFS('QA Log'!D:D,A416,'QA Log'!M:M,"Vignette",'QA Log'!Z:Z,"Rejected",'QA Log'!L:L,"*Vignette [8] Birth Spacing/ Family Planning :  FP Counselling*"),
    COUNTIFS('QA Log'!D:D,A416,'QA Log'!M:M,"Vignette",'QA Log'!Z:Z,"Rejected",'QA Log'!L:L,"*Vignette [9] Birth Spacing: Change FP method to Injectable*"),
    COUNTIFS('QA Log'!D:D,A416,'QA Log'!M:M,"Vignette",'QA Log'!Z:Z,"Rejected",'QA Log'!L:L,"*Vignette [10] Post Partum Haemorrhage - Atonic Uterus at Health Centre*")
  )
)</f>
        <v/>
      </c>
      <c r="BN416" s="107" t="str">
        <f t="shared" si="37"/>
        <v/>
      </c>
      <c r="BO416" s="103" t="str">
        <f t="shared" si="38"/>
        <v/>
      </c>
      <c r="BP416" s="102" t="str">
        <f>IF(A416="","",SUM(
COUNTIFS('QA Log'!D:D,A416,'QA Log'!M:M,"Vignette",'QA Log'!L:L,"*Exit Interview 1*"),
COUNTIFS('QA Log'!D:D,A416,'QA Log'!M:M,"Vignette",'QA Log'!L:L,"*Exit Interview 2*"),
)
)</f>
        <v/>
      </c>
      <c r="BQ416" s="102" t="str">
        <f>IF(
  A416="","",
  SUM(
    COUNTIFS('QA Log'!D:D,A416,'QA Log'!M:M,"Vignette",'QA Log'!Z:Z,"Approved",'QA Log'!L:L,"*Exit Interview 1*"),
    COUNTIFS('QA Log'!D:D,A416,'QA Log'!M:M,"Vignette",'QA Log'!Z:Z,"Approved",'QA Log'!L:L,"*Exit Interview 2*")
  )
)</f>
        <v/>
      </c>
      <c r="BR416" s="105" t="str">
        <f>IF(A416&lt;&gt;"",COUNTIFS('QA Log'!D:D,A416,'QA Log'!M:M,"Vignette",'QA Log'!L:L,"Exit Interview 1",'QA Log'!Z:Z,"Approved"),"")</f>
        <v/>
      </c>
      <c r="BS416" s="105" t="str">
        <f>IF(A416&lt;&gt;"",COUNTIFS('QA Log'!D:D,A416,'QA Log'!M:M,"Vignette",'QA Log'!L:L,"Exit Interview 2",'QA Log'!Z:Z,"Approved"),"")</f>
        <v/>
      </c>
      <c r="BT416" s="102" t="str">
        <f>IF(
  A416="","",
  SUM(
    COUNTIFS('QA Log'!D:D,A416,'QA Log'!M:M,"Vignette",'QA Log'!Z:Z,"Rejected",'QA Log'!L:L,"*Exit Interview 1*"),
    COUNTIFS('QA Log'!D:D,A416,'QA Log'!M:M,"Vignette",'QA Log'!Z:Z,"Rejected",'QA Log'!L:L,"*Exit Interview 2*")
  )
)</f>
        <v/>
      </c>
      <c r="BU416" s="107" t="str">
        <f t="shared" si="39"/>
        <v/>
      </c>
      <c r="BV416" s="102" t="str">
        <f t="shared" si="40"/>
        <v/>
      </c>
      <c r="BW416" s="102" t="str">
        <f t="shared" si="41"/>
        <v/>
      </c>
      <c r="BX416" s="102" t="str">
        <f t="shared" si="42"/>
        <v/>
      </c>
      <c r="BY416" s="102" t="str">
        <f t="shared" si="43"/>
        <v/>
      </c>
      <c r="BZ416" s="107" t="str">
        <f t="shared" si="44"/>
        <v/>
      </c>
      <c r="CA416" s="108" t="str">
        <f t="shared" si="45"/>
        <v/>
      </c>
      <c r="CB416" s="108" t="str">
        <f t="shared" si="46"/>
        <v/>
      </c>
      <c r="CC416" s="109" t="str">
        <f t="shared" si="47"/>
        <v/>
      </c>
      <c r="CD416" s="108" t="str">
        <f t="shared" si="48"/>
        <v/>
      </c>
      <c r="CE416" s="108" t="str">
        <f t="shared" si="49"/>
        <v/>
      </c>
      <c r="CF416" s="109" t="str">
        <f t="shared" si="50"/>
        <v/>
      </c>
      <c r="CG416" s="110" t="str">
        <f t="shared" si="51"/>
        <v/>
      </c>
      <c r="CH416" s="111"/>
    </row>
    <row r="417" spans="1:86" ht="12.75">
      <c r="A417" s="101"/>
      <c r="B417" s="102" t="e">
        <f t="array" aca="1" ref="B417" ca="1">_xludf.XLOOKUP(A417,'QA Log'!D:D,'QA Log'!E:E,"")</f>
        <v>#NAME?</v>
      </c>
      <c r="C417" s="102" t="e">
        <f t="array" aca="1" ref="C417" ca="1">_xludf.XLOOKUP(A417,'QA Log'!D:D,'QA Log'!F:F,"")</f>
        <v>#NAME?</v>
      </c>
      <c r="D417" s="102" t="e">
        <f t="array" aca="1" ref="D417" ca="1">_xludf.XLOOKUP(A417,'QA Log'!D:D,'QA Log'!H:H,"")</f>
        <v>#NAME?</v>
      </c>
      <c r="E417" s="102" t="e">
        <f t="array" aca="1" ref="E417" ca="1">_xludf.XLOOKUP(A417,'QA Log'!D:D,'QA Log'!G:G,"")</f>
        <v>#NAME?</v>
      </c>
      <c r="F417" s="103"/>
      <c r="G417" s="104"/>
      <c r="H417" s="104"/>
      <c r="I417" s="103" t="str">
        <f t="shared" si="26"/>
        <v/>
      </c>
      <c r="J417" s="102" t="str">
        <f>IF(A417="","",SUM(
COUNTIFS('QA Log'!D:D,A417,'QA Log'!M:M,"QQC",'QA Log'!L:L,"*1. General Management*"),
COUNTIFS('QA Log'!D:D,A417,'QA Log'!M:M,"QQC",'QA Log'!L:L,"*3. Curative Consultation (OPD)*"),
COUNTIFS('QA Log'!D:D,A417,'QA Log'!M:M,"QQC",'QA Log'!L:L,"*5. Laboratory*"),
COUNTIFS('QA Log'!D:D,A417,'QA Log'!M:M,"QQC",'QA Log'!L:L,"*6. Essential Medicine Management*"),
COUNTIFS('QA Log'!D:D,A417,'QA Log'!M:M,"QQC",'QA Log'!L:L,"*7. Tracer Medicine*"),
COUNTIFS('QA Log'!D:D,A417,'QA Log'!M:M,"QQC",'QA Log'!L:L,"*11. Additional Questions*")))</f>
        <v/>
      </c>
      <c r="K417" s="102" t="str">
        <f>IF(A417="","",SUM(
COUNTIFS('QA Log'!D:D,A417,'QA Log'!M:M,"QQC",'QA Log'!Z:Z,"Approved",'QA Log'!L:L,"*1. General Management*"),
COUNTIFS('QA Log'!D:D,A417,'QA Log'!M:M,"QQC",'QA Log'!Z:Z,"Approved",'QA Log'!L:L,"*3. Curative Consultation (OPD)*"),
COUNTIFS('QA Log'!D:D,A417,'QA Log'!M:M,"QQC",'QA Log'!Z:Z,"Approved",'QA Log'!L:L,"*5. Laboratory*"),
COUNTIFS('QA Log'!D:D,A417,'QA Log'!M:M,"QQC",'QA Log'!Z:Z,"Approved",'QA Log'!L:L,"*6. Essential Medicine Management*"),
COUNTIFS('QA Log'!D:D,A417,'QA Log'!M:M,"QQC",'QA Log'!Z:Z,"Approved",'QA Log'!L:L,"*7. Tracer Medicine*"),
COUNTIFS('QA Log'!D:D,A417,'QA Log'!M:M,"QQC",'QA Log'!Z:Z,"Approved",'QA Log'!L:L,"*11. Additional Questions*")))</f>
        <v/>
      </c>
      <c r="L417" s="102" t="str">
        <f>IF(A417&lt;&gt;"",COUNTIFS('QA Log'!D:D,A417,'QA Log'!M:M,"QQC",'QA Log'!L:L,"1. General Management",'QA Log'!Z:Z,"Approved"),"")</f>
        <v/>
      </c>
      <c r="M417" s="102" t="str">
        <f>IF(A417&lt;&gt;"",COUNTIFS('QA Log'!D:D,A417,'QA Log'!M:M,"QQC",'QA Log'!L:L,"3. Curative Consultation (OPD)",'QA Log'!Z:Z,"Approved"),"")</f>
        <v/>
      </c>
      <c r="N417" s="102" t="str">
        <f>IF(A417&lt;&gt;"",COUNTIFS('QA Log'!D:D,A417,'QA Log'!M:M,"QQC",'QA Log'!L:L,"5. Laboratory",'QA Log'!Z:Z,"Approved"),"")</f>
        <v/>
      </c>
      <c r="O417" s="102" t="str">
        <f>IF(A417&lt;&gt;"",COUNTIFS('QA Log'!D:D,A417,'QA Log'!M:M,"QQC",'QA Log'!L:L,"6. Essential Medicine Management",'QA Log'!Z:Z,"Approved"),"")</f>
        <v/>
      </c>
      <c r="P417" s="102" t="str">
        <f>IF(A417&lt;&gt;"",COUNTIFS('QA Log'!D:D,A417,'QA Log'!M:M,"QQC",'QA Log'!L:L,"7. Tracer Medicine",'QA Log'!Z:Z,"Approved"),"")</f>
        <v/>
      </c>
      <c r="Q417" s="102" t="str">
        <f>IF(A417&lt;&gt;"",COUNTIFS('QA Log'!D:D,A417,'QA Log'!M:M,"QQC",'QA Log'!L:L,"11. Additional Questions",'QA Log'!Z:Z,"Approved"),"")</f>
        <v/>
      </c>
      <c r="R417" s="102" t="str">
        <f>IF(A417="","",SUM(
COUNTIFS('QA Log'!D:D,A417,'QA Log'!M:M,"QQC",'QA Log'!Z:Z,"Rejected",'QA Log'!L:L,"*8. Maternity*"),
COUNTIFS('QA Log'!D:D,A417,'QA Log'!M:M,"QQC",'QA Log'!Z:Z,"Rejected",'QA Log'!L:L,"*EPI*"),
COUNTIFS('QA Log'!D:D,A417,'QA Log'!M:M,"QQC",'QA Log'!Z:Z,"Rejected",'QA Log'!L:L,"*10. Antenatal Care (ANC)*"),
COUNTIFS('QA Log'!D:D,A417,'QA Log'!M:M,"QQC",'QA Log'!Z:Z,"Rejected",'QA Log'!L:L,"*2. Hygiene and Sterilization*"),
COUNTIFS('QA Log'!D:D,A417,'QA Log'!M:M,"QQC",'QA Log'!Z:Z,"Rejected",'QA Log'!L:L,"*Family Planning*")))</f>
        <v/>
      </c>
      <c r="S417" s="106" t="str">
        <f t="shared" si="27"/>
        <v/>
      </c>
      <c r="T417" s="102" t="str">
        <f t="shared" si="28"/>
        <v/>
      </c>
      <c r="U417" s="102" t="str">
        <f>IF(A417="","",
SUM(
COUNTIFS('QA Log'!D:D,A417,'QA Log'!M:M,"QQC",'QA Log'!L:L,"*8. Maternity*"),
COUNTIFS('QA Log'!D:D,A417,'QA Log'!M:M,"QQC",'QA Log'!L:L,"*9. EPI and Pre-school Consultation*"),
COUNTIFS('QA Log'!D:D,A417,'QA Log'!M:M,"QQC",'QA Log'!L:L,"*10. Antenatal Care (ANC)*"),
COUNTIFS('QA Log'!D:D,A417,'QA Log'!M:M,"QQC",'QA Log'!L:L,"*2. Hygiene and Sterilization*"),
COUNTIFS('QA Log'!D:D,A417,'QA Log'!M:M,"QQC",'QA Log'!L:L,"*4. Family Planning*")
))</f>
        <v/>
      </c>
      <c r="V417" s="102" t="str">
        <f>IF(A417="","",
SUM(
COUNTIFS('QA Log'!D:D,A417,'QA Log'!M:M,"QQC",'QA Log'!Z:Z,"Approved",'QA Log'!L:L,"*8. Maternity*"),
COUNTIFS('QA Log'!D:D,A417,'QA Log'!M:M,"QQC",'QA Log'!Z:Z,"Approved",'QA Log'!L:L,"*9. EPI and Pre-school Consultation*"),
COUNTIFS('QA Log'!D:D,A417,'QA Log'!M:M,"QQC",'QA Log'!Z:Z,"Approved",'QA Log'!L:L,"*10. Antenatal Care (ANC)*"),
COUNTIFS('QA Log'!D:D,A417,'QA Log'!M:M,"QQC",'QA Log'!Z:Z,"Approved",'QA Log'!L:L,"*2. Hygiene and Sterilization*"),
COUNTIFS('QA Log'!D:D,A417,'QA Log'!M:M,"QQC",'QA Log'!Z:Z,"Approved",'QA Log'!L:L,"*4. Family Planning*")
))</f>
        <v/>
      </c>
      <c r="W417" s="102" t="str">
        <f>IF(A417&lt;&gt;"",COUNTIFS('QA Log'!D:D,A417,'QA Log'!M:M,"QQC",'QA Log'!L:L,"8. Maternity",'QA Log'!Z:Z,"Approved"),"")</f>
        <v/>
      </c>
      <c r="X417" s="105" t="str">
        <f>IF(A417&lt;&gt;"",COUNTIFS('QA Log'!D:D,A417,'QA Log'!M:M,"QQC",'QA Log'!L:L,"9. EPI and Pre-school Consultation",'QA Log'!Z:Z,"Approved"),"")</f>
        <v/>
      </c>
      <c r="Y417" s="102" t="str">
        <f>IF(A417&lt;&gt;"",COUNTIFS('QA Log'!D:D,A417,'QA Log'!M:M,"QQC",'QA Log'!L:L,"10. Antenatal Care (ANC)",'QA Log'!Z:Z,"Approved"),"")</f>
        <v/>
      </c>
      <c r="Z417" s="102" t="str">
        <f>IF(A417&lt;&gt;"",COUNTIFS('QA Log'!D:D,A417,'QA Log'!M:M,"QQC",'QA Log'!L:L,"2. Hygiene and Sterilization",'QA Log'!Z:Z,"Approved"),"")</f>
        <v/>
      </c>
      <c r="AA417" s="105" t="str">
        <f>IF(A417&lt;&gt;"",COUNTIFS('QA Log'!D:D,A417,'QA Log'!M:M,"QQC",'QA Log'!L:L,"4. Family Planning",'QA Log'!Z:Z,"Approved"),"")</f>
        <v/>
      </c>
      <c r="AB417" s="102" t="str">
        <f>IF(A417="","",
SUM(
COUNTIFS('QA Log'!D:D,A417,'QA Log'!M:M,"QQC",'QA Log'!Z:Z,"Rejected",'QA Log'!L:L,"*8. Maternity*"),
COUNTIFS('QA Log'!D:D,A417,'QA Log'!M:M,"QQC",'QA Log'!Z:Z,"Rejected",'QA Log'!L:L,"*9. EPI and Pre-school Consultation*"),
COUNTIFS('QA Log'!D:D,A417,'QA Log'!M:M,"QQC",'QA Log'!Z:Z,"Rejected",'QA Log'!L:L,"*10. Antenatal Care (ANC)*"),
COUNTIFS('QA Log'!D:D,A417,'QA Log'!M:M,"QQC",'QA Log'!Z:Z,"Rejected",'QA Log'!L:L,"*2. Hygiene and Sterilization*"),
COUNTIFS('QA Log'!D:D,A417,'QA Log'!M:M,"QQC",'QA Log'!Z:Z,"Rejected",'QA Log'!L:L,"*4. Family Planning*")
))</f>
        <v/>
      </c>
      <c r="AC417" s="102" t="str">
        <f t="shared" si="29"/>
        <v/>
      </c>
      <c r="AD417" s="103" t="str">
        <f t="shared" si="30"/>
        <v/>
      </c>
      <c r="AE417" s="102" t="str">
        <f>IF(A417="","",
SUM(
COUNTIFS('QA Log'!D:D,A417,'QA Log'!M:M,"Data Verification",'QA Log'!L:L,"*Medicine (section 2)*"),
COUNTIFS('QA Log'!D:D,A417,'QA Log'!M:M,"Data Verification",'QA Log'!L:L,"*Lab Testing Availability*"),
COUNTIFS('QA Log'!D:D,A417,'QA Log'!M:M,"Data Verification",'QA Log'!L:L,"*Other than P4P (section 6)*"),
COUNTIFS('QA Log'!D:D,A417,'QA Log'!M:M,"Data Verification",'QA Log'!L:L,"*Hospital Governance*")
))</f>
        <v/>
      </c>
      <c r="AF417" s="102" t="str">
        <f>IF(A417="","",
SUM(
COUNTIFS('QA Log'!D:D,A417,'QA Log'!M:M,"Data Verification",'QA Log'!Z:Z,"Approved",'QA Log'!L:L,"*Medicine (section 2)*"),
COUNTIFS('QA Log'!D:D,A417,'QA Log'!M:M,"Data Verification",'QA Log'!Z:Z,"Approved",'QA Log'!L:L,"*Lab Testing Availability*"),
COUNTIFS('QA Log'!D:D,A417,'QA Log'!M:M,"Data Verification",'QA Log'!Z:Z,"Approved",'QA Log'!L:L,"*Other than P4P (section 6)*"),
COUNTIFS('QA Log'!D:D,A417,'QA Log'!M:M,"Data Verification",'QA Log'!Z:Z,"Approved",'QA Log'!L:L,"*Hospital Governance*")
))</f>
        <v/>
      </c>
      <c r="AG417" s="105" t="str">
        <f>IF(A417&lt;&gt;"",COUNTIFS('QA Log'!D:D,A417,'QA Log'!M:M,"Data Verification",'QA Log'!L:L,"Medicine (section 2)",'QA Log'!Z:Z,"Approved"),"")</f>
        <v/>
      </c>
      <c r="AH417" s="105" t="str">
        <f>IF(A417&lt;&gt;"",COUNTIFS('QA Log'!D:D,A417,'QA Log'!M:M,"Data Verification",'QA Log'!L:L,"Lab Testing Availability",'QA Log'!Z:Z,"Approved"),"")</f>
        <v/>
      </c>
      <c r="AI417" s="105" t="str">
        <f>IF(A417&lt;&gt;"",COUNTIFS('QA Log'!D:D,A417,'QA Log'!M:M,"Data Verification",'QA Log'!L:L,"Other than P4P (section 6)",'QA Log'!Z:Z,"Approved"),"")</f>
        <v/>
      </c>
      <c r="AJ417" s="105" t="str">
        <f>IF(A417&lt;&gt;"",COUNTIFS('QA Log'!D:D,A417,'QA Log'!M:M,"Data Verification",'QA Log'!L:L,"Hospital Governance",'QA Log'!Z:Z,"Approved"),"")</f>
        <v/>
      </c>
      <c r="AK417" s="102" t="str">
        <f>IF(A417="","",
SUM(
COUNTIFS('QA Log'!D:D,A417,'QA Log'!M:M,"Data Verification",'QA Log'!Z:Z,"Rejected",'QA Log'!L:L,"*Medicine (section 2)*"),
COUNTIFS('QA Log'!D:D,A417,'QA Log'!M:M,"Data Verification",'QA Log'!Z:Z,"Rejected",'QA Log'!L:L,"*Lab Testing Availability*"),
COUNTIFS('QA Log'!D:D,A417,'QA Log'!M:M,"Data Verification",'QA Log'!Z:Z,"Rejected",'QA Log'!L:L,"*Other than P4P (section 6)*"),
COUNTIFS('QA Log'!D:D,A417,'QA Log'!M:M,"Data Verification",'QA Log'!Z:Z,"Rejected",'QA Log'!L:L,"*Hospital Governance*")
))</f>
        <v/>
      </c>
      <c r="AL417" s="106" t="str">
        <f t="shared" si="31"/>
        <v/>
      </c>
      <c r="AM417" s="102" t="str">
        <f t="shared" si="32"/>
        <v/>
      </c>
      <c r="AN417" s="102" t="str">
        <f>IF(A417="","",
SUM(
COUNTIFS('QA Log'!D:D,A417,'QA Log'!M:M,"Data Verification",'QA Log'!L:L,"*Personnel (section 1)*"),
COUNTIFS('QA Log'!D:D,A417,'QA Log'!M:M,"Data Verification",'QA Log'!L:L,"*Consumable (section 3)*"),
COUNTIFS('QA Log'!D:D,A417,'QA Log'!M:M,"Data Verification",'QA Log'!L:L,"*Equipments (section 4)*")
))</f>
        <v/>
      </c>
      <c r="AO417" s="102" t="str">
        <f>IF(A417="","",
SUM(
COUNTIFS('QA Log'!D:D,A417,'QA Log'!M:M,"Data Verification",'QA Log'!Z:Z,"Approved",'QA Log'!L:L,"*Personnel (section 1)*"),
COUNTIFS('QA Log'!D:D,A417,'QA Log'!M:M,"Data Verification",'QA Log'!Z:Z,"Approved",'QA Log'!L:L,"*Consumable (section 3)*"),
COUNTIFS('QA Log'!D:D,A417,'QA Log'!M:M,"Data Verification",'QA Log'!Z:Z,"Approved",'QA Log'!L:L,"*Equipments (section 4)*")
))</f>
        <v/>
      </c>
      <c r="AP417" s="105" t="str">
        <f>IF(A417&lt;&gt;"",COUNTIFS('QA Log'!D:D,A417,'QA Log'!M:M,"Data Verification",'QA Log'!L:L,"Personnel (section 1)",'QA Log'!Z:Z,"Approved"),"")</f>
        <v/>
      </c>
      <c r="AQ417" s="105" t="str">
        <f>IF(A417&lt;&gt;"",COUNTIFS('QA Log'!D:D,A417,'QA Log'!M:M,"Data Verification",'QA Log'!L:L,"Consumable (section 3)",'QA Log'!Z:Z,"Approved"),"")</f>
        <v/>
      </c>
      <c r="AR417" s="105" t="str">
        <f>IF(A417&lt;&gt;"",COUNTIFS('QA Log'!D:D,A417,'QA Log'!M:M,"Data Verification",'QA Log'!L:L,"Equipments (section 4)",'QA Log'!Z:Z,"Approved"),"")</f>
        <v/>
      </c>
      <c r="AS417" s="102" t="str">
        <f>IF(A417="","",
SUM(
COUNTIFS('QA Log'!D:D,A417,'QA Log'!M:M,"Data Verification",'QA Log'!Z:Z,"Rejected",'QA Log'!L:L,"*Personnel (section 1)*"),
COUNTIFS('QA Log'!D:D,A417,'QA Log'!M:M,"Data Verification",'QA Log'!Z:Z,"Rejected",'QA Log'!L:L,"*Consumable (section 3)*"),
COUNTIFS('QA Log'!D:D,A417,'QA Log'!M:M,"Data Verification",'QA Log'!Z:Z,"Rejected",'QA Log'!L:L,"*Equipments (section 4)*")
))</f>
        <v/>
      </c>
      <c r="AT417" s="102" t="str">
        <f t="shared" si="33"/>
        <v/>
      </c>
      <c r="AU417" s="103" t="str">
        <f t="shared" si="34"/>
        <v/>
      </c>
      <c r="AV417" s="102" t="str">
        <f>IF(A417="","",SUM(
COUNTIFS('QA Log'!D:D,A417,'QA Log'!M:M,"Vignette",'QA Log'!L:L,"*Vignette [1] Respiratory Infection: Pneumonia*"),
COUNTIFS('QA Log'!D:D,A417,'QA Log'!M:M,"Vignette",'QA Log'!L:L,"*Vignette [2]: Diarrhea with Cat B dehydration*"),
COUNTIFS('QA Log'!D:D,A417,'QA Log'!M:M,"Vignette",'QA Log'!L:L,"*Vignette [3] Growth Monitoring and Promotion*"),
COUNTIFS('QA Log'!D:D,A417,'QA Log'!M:M,"Vignette",'QA Log'!L:L,"*Vignette [4]: The management of presumptive TB patient*")
)
)</f>
        <v/>
      </c>
      <c r="AW417" s="102" t="str">
        <f>IF(
  A417="","",
  SUM(
    COUNTIFS('QA Log'!D:D,A417,'QA Log'!M:M,"Vignette",'QA Log'!Z:Z,"Approved",'QA Log'!L:L,"*Vignette [1] Respiratory Infection: Pneumonia*"),
    COUNTIFS('QA Log'!D:D,A417,'QA Log'!M:M,"Vignette",'QA Log'!Z:Z,"Approved",'QA Log'!L:L,"*Vignette [2]: Diarrhea with Cat B dehydration*"),
    COUNTIFS('QA Log'!D:D,A417,'QA Log'!M:M,"Vignette",'QA Log'!Z:Z,"Approved",'QA Log'!L:L,"*Vignette [3] Growth Monitoring and Promotion*"),
    COUNTIFS('QA Log'!D:D,A417,'QA Log'!M:M,"Vignette",'QA Log'!Z:Z,"Approved",'QA Log'!L:L,"*Vignette [4]: The management of presumptive TB patient*")
  )
)</f>
        <v/>
      </c>
      <c r="AX417" s="105" t="str">
        <f>IF(A417&lt;&gt;"",COUNTIFS('QA Log'!D:D,A417,'QA Log'!M:M,"Vignette",'QA Log'!L:L,"Vignette [1] Respiratory Infection: Pneumonia",'QA Log'!Z:Z,"Approved"),"")</f>
        <v/>
      </c>
      <c r="AY417" s="105" t="str">
        <f>IF(A417&lt;&gt;"",COUNTIFS('QA Log'!D:D,A417,'QA Log'!M:M,"Vignette",'QA Log'!L:L,"Vignette [2]: Diarrhea with Cat B dehydration",'QA Log'!Z:Z,"Approved"),"")</f>
        <v/>
      </c>
      <c r="AZ417" s="105" t="str">
        <f>IF(A417&lt;&gt;"",COUNTIFS('QA Log'!D:D,A417,'QA Log'!M:M,"Vignette",'QA Log'!L:L,"Vignette [3] Growth Monitoring and Promotion",'QA Log'!Z:Z,"Approved"),"")</f>
        <v/>
      </c>
      <c r="BA417" s="105" t="str">
        <f>IF(A417&lt;&gt;"",COUNTIFS('QA Log'!D:D,A417,'QA Log'!M:M,"Vignette",'QA Log'!L:L,"Vignette [4]: The management of presumptive TB patient",'QA Log'!Z:Z,"Approved"),"")</f>
        <v/>
      </c>
      <c r="BB417" s="102" t="str">
        <f>IF(A417="","",
  SUM(
    COUNTIFS('QA Log'!D:D,A417,'QA Log'!M:M,"Vignette",'QA Log'!Z:Z,"Rejected",'QA Log'!L:L,"*Vignette [1] Respiratory Infection: Pneumonia*"),
    COUNTIFS('QA Log'!D:D,A417,'QA Log'!M:M,"Vignette",'QA Log'!Z:Z,"Rejected",'QA Log'!L:L,"*Vignette [2]: Diarrhea with Cat B dehydration*"),
    COUNTIFS('QA Log'!D:D,A417,'QA Log'!M:M,"Vignette",'QA Log'!Z:Z,"Rejected",'QA Log'!L:L,"*Vignette [3] Growth Monitoring and Promotion*"),
    COUNTIFS('QA Log'!D:D,A417,'QA Log'!M:M,"Vignette",'QA Log'!Z:Z,"Rejected",'QA Log'!L:L,"*Vignette [4]: The management of presumptive TB patient*")
  )
)</f>
        <v/>
      </c>
      <c r="BC417" s="107" t="str">
        <f t="shared" si="35"/>
        <v/>
      </c>
      <c r="BD417" s="103" t="str">
        <f t="shared" si="36"/>
        <v/>
      </c>
      <c r="BE417" s="102" t="str">
        <f>IF(A417="","",SUM(
COUNTIFS('QA Log'!D:D,A417,'QA Log'!M:M,"Vignette",'QA Log'!L:L,"*Vignette [5] Labor*"),
COUNTIFS('QA Log'!D:D,A417,'QA Log'!M:M,"Vignette",'QA Log'!L:L,"*Vignette [6] PNC pre Discharge*"),
COUNTIFS('QA Log'!D:D,A417,'QA Log'!M:M,"Vignette",'QA Log'!L:L,"*Vignette [7] First ANC Visit*"),
COUNTIFS('QA Log'!D:D,A417,'QA Log'!M:M,"Vignette",'QA Log'!L:L,"*Vignette [8] Birth Spacing/ Family Planning :  FP Counselling*"),
COUNTIFS('QA Log'!D:D,A417,'QA Log'!M:M,"Vignette",'QA Log'!L:L,"*Vignette [9] Birth Spacing: Change FP method to Injectable*"),
COUNTIFS('QA Log'!D:D,A417,'QA Log'!M:M,"Vignette",'QA Log'!L:L,"*Vignette [10] Post Partum Haemorrhage - Atonic Uterus at Health Centre*"),
)
)</f>
        <v/>
      </c>
      <c r="BF417" s="102" t="str">
        <f>IF(A417="","",
  SUM(
    COUNTIFS('QA Log'!D:D,A417,'QA Log'!M:M,"Vignette",'QA Log'!Z:Z,"Approved",'QA Log'!L:L,"*Vignette [5] Labor*"),
    COUNTIFS('QA Log'!D:D,A417,'QA Log'!M:M,"Vignette",'QA Log'!Z:Z,"Approved",'QA Log'!L:L,"*Vignette [6] PNC pre Discharge*"),
    COUNTIFS('QA Log'!D:D,A417,'QA Log'!M:M,"Vignette",'QA Log'!Z:Z,"Approved",'QA Log'!L:L,"*Vignette [7] First ANC Visit*"),
    COUNTIFS('QA Log'!D:D,A417,'QA Log'!M:M,"Vignette",'QA Log'!Z:Z,"Approved",'QA Log'!L:L,"*Vignette [8] Birth Spacing/ Family Planning :  FP Counselling*"),
    COUNTIFS('QA Log'!D:D,A417,'QA Log'!M:M,"Vignette",'QA Log'!Z:Z,"Approved",'QA Log'!L:L,"*Vignette [9] Birth Spacing: Change FP method to Injectable*"),
    COUNTIFS('QA Log'!D:D,A417,'QA Log'!M:M,"Vignette",'QA Log'!Z:Z,"Approved",'QA Log'!L:L,"*Vignette [10] Post Partum Haemorrhage - Atonic Uterus at Health Centre*")
  )
)</f>
        <v/>
      </c>
      <c r="BG417" s="105" t="str">
        <f>IF(A417&lt;&gt;"",COUNTIFS('QA Log'!D:D,A417,'QA Log'!M:M,"Vignette",'QA Log'!L:L,"Vignette [5] Labor",'QA Log'!Z:Z,"Approved"),"")</f>
        <v/>
      </c>
      <c r="BH417" s="105" t="str">
        <f>IF(A417&lt;&gt;"",COUNTIFS('QA Log'!D:D,A417,'QA Log'!M:M,"Vignette",'QA Log'!L:L,"Vignette [6] PNC pre Discharge",'QA Log'!Z:Z,"Approved"),"")</f>
        <v/>
      </c>
      <c r="BI417" s="105" t="str">
        <f>IF(A417&lt;&gt;"",COUNTIFS('QA Log'!D:D,A417,'QA Log'!M:M,"Vignette",'QA Log'!L:L,"Vignette [7] First ANC Visit",'QA Log'!Z:Z,"Approved"),"")</f>
        <v/>
      </c>
      <c r="BJ417" s="105" t="str">
        <f>IF(A417&lt;&gt;"",COUNTIFS('QA Log'!D:D,A417,'QA Log'!M:M,"Vignette",'QA Log'!L:L,"Vignette [8] Birth Spacing/ Family Planning :  FP Counselling",'QA Log'!Z:Z,"Approved"),"")</f>
        <v/>
      </c>
      <c r="BK417" s="105" t="str">
        <f>IF(A417&lt;&gt;"",COUNTIFS('QA Log'!D:D,A417,'QA Log'!M:M,"Vignette",'QA Log'!L:L,"Vignette [9] Birth Spacing: Change FP method to Injectable",'QA Log'!Z:Z,"Approved"),"")</f>
        <v/>
      </c>
      <c r="BL417" s="105" t="str">
        <f>IF(A417&lt;&gt;"",COUNTIFS('QA Log'!D:D,A417,'QA Log'!M:M,"Vignette",'QA Log'!L:L,"Vignette [10] Post Partum Haemorrhage - Atonic Uterus at Health Centre",'QA Log'!Z:Z,"Approved"),"")</f>
        <v/>
      </c>
      <c r="BM417" s="102" t="str">
        <f>IF(A417="","",SUM(
    COUNTIFS('QA Log'!D:D,A417,'QA Log'!M:M,"Vignette",'QA Log'!Z:Z,"Rejected",'QA Log'!L:L,"*Vignette [5] Labor*"),
    COUNTIFS('QA Log'!D:D,A417,'QA Log'!M:M,"Vignette",'QA Log'!Z:Z,"Rejected",'QA Log'!L:L,"*Vignette [6] PNC pre Discharge*"),
    COUNTIFS('QA Log'!D:D,A417,'QA Log'!M:M,"Vignette",'QA Log'!Z:Z,"Rejected",'QA Log'!L:L,"*Vignette [7] First ANC Visit*"),
    COUNTIFS('QA Log'!D:D,A417,'QA Log'!M:M,"Vignette",'QA Log'!Z:Z,"Rejected",'QA Log'!L:L,"*Vignette [8] Birth Spacing/ Family Planning :  FP Counselling*"),
    COUNTIFS('QA Log'!D:D,A417,'QA Log'!M:M,"Vignette",'QA Log'!Z:Z,"Rejected",'QA Log'!L:L,"*Vignette [9] Birth Spacing: Change FP method to Injectable*"),
    COUNTIFS('QA Log'!D:D,A417,'QA Log'!M:M,"Vignette",'QA Log'!Z:Z,"Rejected",'QA Log'!L:L,"*Vignette [10] Post Partum Haemorrhage - Atonic Uterus at Health Centre*")
  )
)</f>
        <v/>
      </c>
      <c r="BN417" s="107" t="str">
        <f t="shared" si="37"/>
        <v/>
      </c>
      <c r="BO417" s="103" t="str">
        <f t="shared" si="38"/>
        <v/>
      </c>
      <c r="BP417" s="102" t="str">
        <f>IF(A417="","",SUM(
COUNTIFS('QA Log'!D:D,A417,'QA Log'!M:M,"Vignette",'QA Log'!L:L,"*Exit Interview 1*"),
COUNTIFS('QA Log'!D:D,A417,'QA Log'!M:M,"Vignette",'QA Log'!L:L,"*Exit Interview 2*"),
)
)</f>
        <v/>
      </c>
      <c r="BQ417" s="102" t="str">
        <f>IF(
  A417="","",
  SUM(
    COUNTIFS('QA Log'!D:D,A417,'QA Log'!M:M,"Vignette",'QA Log'!Z:Z,"Approved",'QA Log'!L:L,"*Exit Interview 1*"),
    COUNTIFS('QA Log'!D:D,A417,'QA Log'!M:M,"Vignette",'QA Log'!Z:Z,"Approved",'QA Log'!L:L,"*Exit Interview 2*")
  )
)</f>
        <v/>
      </c>
      <c r="BR417" s="105" t="str">
        <f>IF(A417&lt;&gt;"",COUNTIFS('QA Log'!D:D,A417,'QA Log'!M:M,"Vignette",'QA Log'!L:L,"Exit Interview 1",'QA Log'!Z:Z,"Approved"),"")</f>
        <v/>
      </c>
      <c r="BS417" s="105" t="str">
        <f>IF(A417&lt;&gt;"",COUNTIFS('QA Log'!D:D,A417,'QA Log'!M:M,"Vignette",'QA Log'!L:L,"Exit Interview 2",'QA Log'!Z:Z,"Approved"),"")</f>
        <v/>
      </c>
      <c r="BT417" s="102" t="str">
        <f>IF(
  A417="","",
  SUM(
    COUNTIFS('QA Log'!D:D,A417,'QA Log'!M:M,"Vignette",'QA Log'!Z:Z,"Rejected",'QA Log'!L:L,"*Exit Interview 1*"),
    COUNTIFS('QA Log'!D:D,A417,'QA Log'!M:M,"Vignette",'QA Log'!Z:Z,"Rejected",'QA Log'!L:L,"*Exit Interview 2*")
  )
)</f>
        <v/>
      </c>
      <c r="BU417" s="107" t="str">
        <f t="shared" si="39"/>
        <v/>
      </c>
      <c r="BV417" s="102" t="str">
        <f t="shared" si="40"/>
        <v/>
      </c>
      <c r="BW417" s="102" t="str">
        <f t="shared" si="41"/>
        <v/>
      </c>
      <c r="BX417" s="102" t="str">
        <f t="shared" si="42"/>
        <v/>
      </c>
      <c r="BY417" s="102" t="str">
        <f t="shared" si="43"/>
        <v/>
      </c>
      <c r="BZ417" s="107" t="str">
        <f t="shared" si="44"/>
        <v/>
      </c>
      <c r="CA417" s="108" t="str">
        <f t="shared" si="45"/>
        <v/>
      </c>
      <c r="CB417" s="108" t="str">
        <f t="shared" si="46"/>
        <v/>
      </c>
      <c r="CC417" s="109" t="str">
        <f t="shared" si="47"/>
        <v/>
      </c>
      <c r="CD417" s="108" t="str">
        <f t="shared" si="48"/>
        <v/>
      </c>
      <c r="CE417" s="108" t="str">
        <f t="shared" si="49"/>
        <v/>
      </c>
      <c r="CF417" s="109" t="str">
        <f t="shared" si="50"/>
        <v/>
      </c>
      <c r="CG417" s="110" t="str">
        <f t="shared" si="51"/>
        <v/>
      </c>
      <c r="CH417" s="111"/>
    </row>
    <row r="418" spans="1:86" ht="12.75">
      <c r="A418" s="101"/>
      <c r="B418" s="102" t="e">
        <f t="array" aca="1" ref="B418" ca="1">_xludf.XLOOKUP(A418,'QA Log'!D:D,'QA Log'!E:E,"")</f>
        <v>#NAME?</v>
      </c>
      <c r="C418" s="102" t="e">
        <f t="array" aca="1" ref="C418" ca="1">_xludf.XLOOKUP(A418,'QA Log'!D:D,'QA Log'!F:F,"")</f>
        <v>#NAME?</v>
      </c>
      <c r="D418" s="102" t="e">
        <f t="array" aca="1" ref="D418" ca="1">_xludf.XLOOKUP(A418,'QA Log'!D:D,'QA Log'!H:H,"")</f>
        <v>#NAME?</v>
      </c>
      <c r="E418" s="102" t="e">
        <f t="array" aca="1" ref="E418" ca="1">_xludf.XLOOKUP(A418,'QA Log'!D:D,'QA Log'!G:G,"")</f>
        <v>#NAME?</v>
      </c>
      <c r="F418" s="103"/>
      <c r="G418" s="104"/>
      <c r="H418" s="104"/>
      <c r="I418" s="103" t="str">
        <f t="shared" si="26"/>
        <v/>
      </c>
      <c r="J418" s="102" t="str">
        <f>IF(A418="","",SUM(
COUNTIFS('QA Log'!D:D,A418,'QA Log'!M:M,"QQC",'QA Log'!L:L,"*1. General Management*"),
COUNTIFS('QA Log'!D:D,A418,'QA Log'!M:M,"QQC",'QA Log'!L:L,"*3. Curative Consultation (OPD)*"),
COUNTIFS('QA Log'!D:D,A418,'QA Log'!M:M,"QQC",'QA Log'!L:L,"*5. Laboratory*"),
COUNTIFS('QA Log'!D:D,A418,'QA Log'!M:M,"QQC",'QA Log'!L:L,"*6. Essential Medicine Management*"),
COUNTIFS('QA Log'!D:D,A418,'QA Log'!M:M,"QQC",'QA Log'!L:L,"*7. Tracer Medicine*"),
COUNTIFS('QA Log'!D:D,A418,'QA Log'!M:M,"QQC",'QA Log'!L:L,"*11. Additional Questions*")))</f>
        <v/>
      </c>
      <c r="K418" s="102" t="str">
        <f>IF(A418="","",SUM(
COUNTIFS('QA Log'!D:D,A418,'QA Log'!M:M,"QQC",'QA Log'!Z:Z,"Approved",'QA Log'!L:L,"*1. General Management*"),
COUNTIFS('QA Log'!D:D,A418,'QA Log'!M:M,"QQC",'QA Log'!Z:Z,"Approved",'QA Log'!L:L,"*3. Curative Consultation (OPD)*"),
COUNTIFS('QA Log'!D:D,A418,'QA Log'!M:M,"QQC",'QA Log'!Z:Z,"Approved",'QA Log'!L:L,"*5. Laboratory*"),
COUNTIFS('QA Log'!D:D,A418,'QA Log'!M:M,"QQC",'QA Log'!Z:Z,"Approved",'QA Log'!L:L,"*6. Essential Medicine Management*"),
COUNTIFS('QA Log'!D:D,A418,'QA Log'!M:M,"QQC",'QA Log'!Z:Z,"Approved",'QA Log'!L:L,"*7. Tracer Medicine*"),
COUNTIFS('QA Log'!D:D,A418,'QA Log'!M:M,"QQC",'QA Log'!Z:Z,"Approved",'QA Log'!L:L,"*11. Additional Questions*")))</f>
        <v/>
      </c>
      <c r="L418" s="102" t="str">
        <f>IF(A418&lt;&gt;"",COUNTIFS('QA Log'!D:D,A418,'QA Log'!M:M,"QQC",'QA Log'!L:L,"1. General Management",'QA Log'!Z:Z,"Approved"),"")</f>
        <v/>
      </c>
      <c r="M418" s="102" t="str">
        <f>IF(A418&lt;&gt;"",COUNTIFS('QA Log'!D:D,A418,'QA Log'!M:M,"QQC",'QA Log'!L:L,"3. Curative Consultation (OPD)",'QA Log'!Z:Z,"Approved"),"")</f>
        <v/>
      </c>
      <c r="N418" s="102" t="str">
        <f>IF(A418&lt;&gt;"",COUNTIFS('QA Log'!D:D,A418,'QA Log'!M:M,"QQC",'QA Log'!L:L,"5. Laboratory",'QA Log'!Z:Z,"Approved"),"")</f>
        <v/>
      </c>
      <c r="O418" s="102" t="str">
        <f>IF(A418&lt;&gt;"",COUNTIFS('QA Log'!D:D,A418,'QA Log'!M:M,"QQC",'QA Log'!L:L,"6. Essential Medicine Management",'QA Log'!Z:Z,"Approved"),"")</f>
        <v/>
      </c>
      <c r="P418" s="102" t="str">
        <f>IF(A418&lt;&gt;"",COUNTIFS('QA Log'!D:D,A418,'QA Log'!M:M,"QQC",'QA Log'!L:L,"7. Tracer Medicine",'QA Log'!Z:Z,"Approved"),"")</f>
        <v/>
      </c>
      <c r="Q418" s="102" t="str">
        <f>IF(A418&lt;&gt;"",COUNTIFS('QA Log'!D:D,A418,'QA Log'!M:M,"QQC",'QA Log'!L:L,"11. Additional Questions",'QA Log'!Z:Z,"Approved"),"")</f>
        <v/>
      </c>
      <c r="R418" s="102" t="str">
        <f>IF(A418="","",SUM(
COUNTIFS('QA Log'!D:D,A418,'QA Log'!M:M,"QQC",'QA Log'!Z:Z,"Rejected",'QA Log'!L:L,"*8. Maternity*"),
COUNTIFS('QA Log'!D:D,A418,'QA Log'!M:M,"QQC",'QA Log'!Z:Z,"Rejected",'QA Log'!L:L,"*EPI*"),
COUNTIFS('QA Log'!D:D,A418,'QA Log'!M:M,"QQC",'QA Log'!Z:Z,"Rejected",'QA Log'!L:L,"*10. Antenatal Care (ANC)*"),
COUNTIFS('QA Log'!D:D,A418,'QA Log'!M:M,"QQC",'QA Log'!Z:Z,"Rejected",'QA Log'!L:L,"*2. Hygiene and Sterilization*"),
COUNTIFS('QA Log'!D:D,A418,'QA Log'!M:M,"QQC",'QA Log'!Z:Z,"Rejected",'QA Log'!L:L,"*Family Planning*")))</f>
        <v/>
      </c>
      <c r="S418" s="106" t="str">
        <f t="shared" si="27"/>
        <v/>
      </c>
      <c r="T418" s="102" t="str">
        <f t="shared" si="28"/>
        <v/>
      </c>
      <c r="U418" s="102" t="str">
        <f>IF(A418="","",
SUM(
COUNTIFS('QA Log'!D:D,A418,'QA Log'!M:M,"QQC",'QA Log'!L:L,"*8. Maternity*"),
COUNTIFS('QA Log'!D:D,A418,'QA Log'!M:M,"QQC",'QA Log'!L:L,"*9. EPI and Pre-school Consultation*"),
COUNTIFS('QA Log'!D:D,A418,'QA Log'!M:M,"QQC",'QA Log'!L:L,"*10. Antenatal Care (ANC)*"),
COUNTIFS('QA Log'!D:D,A418,'QA Log'!M:M,"QQC",'QA Log'!L:L,"*2. Hygiene and Sterilization*"),
COUNTIFS('QA Log'!D:D,A418,'QA Log'!M:M,"QQC",'QA Log'!L:L,"*4. Family Planning*")
))</f>
        <v/>
      </c>
      <c r="V418" s="102" t="str">
        <f>IF(A418="","",
SUM(
COUNTIFS('QA Log'!D:D,A418,'QA Log'!M:M,"QQC",'QA Log'!Z:Z,"Approved",'QA Log'!L:L,"*8. Maternity*"),
COUNTIFS('QA Log'!D:D,A418,'QA Log'!M:M,"QQC",'QA Log'!Z:Z,"Approved",'QA Log'!L:L,"*9. EPI and Pre-school Consultation*"),
COUNTIFS('QA Log'!D:D,A418,'QA Log'!M:M,"QQC",'QA Log'!Z:Z,"Approved",'QA Log'!L:L,"*10. Antenatal Care (ANC)*"),
COUNTIFS('QA Log'!D:D,A418,'QA Log'!M:M,"QQC",'QA Log'!Z:Z,"Approved",'QA Log'!L:L,"*2. Hygiene and Sterilization*"),
COUNTIFS('QA Log'!D:D,A418,'QA Log'!M:M,"QQC",'QA Log'!Z:Z,"Approved",'QA Log'!L:L,"*4. Family Planning*")
))</f>
        <v/>
      </c>
      <c r="W418" s="102" t="str">
        <f>IF(A418&lt;&gt;"",COUNTIFS('QA Log'!D:D,A418,'QA Log'!M:M,"QQC",'QA Log'!L:L,"8. Maternity",'QA Log'!Z:Z,"Approved"),"")</f>
        <v/>
      </c>
      <c r="X418" s="105" t="str">
        <f>IF(A418&lt;&gt;"",COUNTIFS('QA Log'!D:D,A418,'QA Log'!M:M,"QQC",'QA Log'!L:L,"9. EPI and Pre-school Consultation",'QA Log'!Z:Z,"Approved"),"")</f>
        <v/>
      </c>
      <c r="Y418" s="102" t="str">
        <f>IF(A418&lt;&gt;"",COUNTIFS('QA Log'!D:D,A418,'QA Log'!M:M,"QQC",'QA Log'!L:L,"10. Antenatal Care (ANC)",'QA Log'!Z:Z,"Approved"),"")</f>
        <v/>
      </c>
      <c r="Z418" s="102" t="str">
        <f>IF(A418&lt;&gt;"",COUNTIFS('QA Log'!D:D,A418,'QA Log'!M:M,"QQC",'QA Log'!L:L,"2. Hygiene and Sterilization",'QA Log'!Z:Z,"Approved"),"")</f>
        <v/>
      </c>
      <c r="AA418" s="105" t="str">
        <f>IF(A418&lt;&gt;"",COUNTIFS('QA Log'!D:D,A418,'QA Log'!M:M,"QQC",'QA Log'!L:L,"4. Family Planning",'QA Log'!Z:Z,"Approved"),"")</f>
        <v/>
      </c>
      <c r="AB418" s="102" t="str">
        <f>IF(A418="","",
SUM(
COUNTIFS('QA Log'!D:D,A418,'QA Log'!M:M,"QQC",'QA Log'!Z:Z,"Rejected",'QA Log'!L:L,"*8. Maternity*"),
COUNTIFS('QA Log'!D:D,A418,'QA Log'!M:M,"QQC",'QA Log'!Z:Z,"Rejected",'QA Log'!L:L,"*9. EPI and Pre-school Consultation*"),
COUNTIFS('QA Log'!D:D,A418,'QA Log'!M:M,"QQC",'QA Log'!Z:Z,"Rejected",'QA Log'!L:L,"*10. Antenatal Care (ANC)*"),
COUNTIFS('QA Log'!D:D,A418,'QA Log'!M:M,"QQC",'QA Log'!Z:Z,"Rejected",'QA Log'!L:L,"*2. Hygiene and Sterilization*"),
COUNTIFS('QA Log'!D:D,A418,'QA Log'!M:M,"QQC",'QA Log'!Z:Z,"Rejected",'QA Log'!L:L,"*4. Family Planning*")
))</f>
        <v/>
      </c>
      <c r="AC418" s="102" t="str">
        <f t="shared" si="29"/>
        <v/>
      </c>
      <c r="AD418" s="103" t="str">
        <f t="shared" si="30"/>
        <v/>
      </c>
      <c r="AE418" s="102" t="str">
        <f>IF(A418="","",
SUM(
COUNTIFS('QA Log'!D:D,A418,'QA Log'!M:M,"Data Verification",'QA Log'!L:L,"*Medicine (section 2)*"),
COUNTIFS('QA Log'!D:D,A418,'QA Log'!M:M,"Data Verification",'QA Log'!L:L,"*Lab Testing Availability*"),
COUNTIFS('QA Log'!D:D,A418,'QA Log'!M:M,"Data Verification",'QA Log'!L:L,"*Other than P4P (section 6)*"),
COUNTIFS('QA Log'!D:D,A418,'QA Log'!M:M,"Data Verification",'QA Log'!L:L,"*Hospital Governance*")
))</f>
        <v/>
      </c>
      <c r="AF418" s="102" t="str">
        <f>IF(A418="","",
SUM(
COUNTIFS('QA Log'!D:D,A418,'QA Log'!M:M,"Data Verification",'QA Log'!Z:Z,"Approved",'QA Log'!L:L,"*Medicine (section 2)*"),
COUNTIFS('QA Log'!D:D,A418,'QA Log'!M:M,"Data Verification",'QA Log'!Z:Z,"Approved",'QA Log'!L:L,"*Lab Testing Availability*"),
COUNTIFS('QA Log'!D:D,A418,'QA Log'!M:M,"Data Verification",'QA Log'!Z:Z,"Approved",'QA Log'!L:L,"*Other than P4P (section 6)*"),
COUNTIFS('QA Log'!D:D,A418,'QA Log'!M:M,"Data Verification",'QA Log'!Z:Z,"Approved",'QA Log'!L:L,"*Hospital Governance*")
))</f>
        <v/>
      </c>
      <c r="AG418" s="105" t="str">
        <f>IF(A418&lt;&gt;"",COUNTIFS('QA Log'!D:D,A418,'QA Log'!M:M,"Data Verification",'QA Log'!L:L,"Medicine (section 2)",'QA Log'!Z:Z,"Approved"),"")</f>
        <v/>
      </c>
      <c r="AH418" s="105" t="str">
        <f>IF(A418&lt;&gt;"",COUNTIFS('QA Log'!D:D,A418,'QA Log'!M:M,"Data Verification",'QA Log'!L:L,"Lab Testing Availability",'QA Log'!Z:Z,"Approved"),"")</f>
        <v/>
      </c>
      <c r="AI418" s="105" t="str">
        <f>IF(A418&lt;&gt;"",COUNTIFS('QA Log'!D:D,A418,'QA Log'!M:M,"Data Verification",'QA Log'!L:L,"Other than P4P (section 6)",'QA Log'!Z:Z,"Approved"),"")</f>
        <v/>
      </c>
      <c r="AJ418" s="105" t="str">
        <f>IF(A418&lt;&gt;"",COUNTIFS('QA Log'!D:D,A418,'QA Log'!M:M,"Data Verification",'QA Log'!L:L,"Hospital Governance",'QA Log'!Z:Z,"Approved"),"")</f>
        <v/>
      </c>
      <c r="AK418" s="102" t="str">
        <f>IF(A418="","",
SUM(
COUNTIFS('QA Log'!D:D,A418,'QA Log'!M:M,"Data Verification",'QA Log'!Z:Z,"Rejected",'QA Log'!L:L,"*Medicine (section 2)*"),
COUNTIFS('QA Log'!D:D,A418,'QA Log'!M:M,"Data Verification",'QA Log'!Z:Z,"Rejected",'QA Log'!L:L,"*Lab Testing Availability*"),
COUNTIFS('QA Log'!D:D,A418,'QA Log'!M:M,"Data Verification",'QA Log'!Z:Z,"Rejected",'QA Log'!L:L,"*Other than P4P (section 6)*"),
COUNTIFS('QA Log'!D:D,A418,'QA Log'!M:M,"Data Verification",'QA Log'!Z:Z,"Rejected",'QA Log'!L:L,"*Hospital Governance*")
))</f>
        <v/>
      </c>
      <c r="AL418" s="106" t="str">
        <f t="shared" si="31"/>
        <v/>
      </c>
      <c r="AM418" s="102" t="str">
        <f t="shared" si="32"/>
        <v/>
      </c>
      <c r="AN418" s="102" t="str">
        <f>IF(A418="","",
SUM(
COUNTIFS('QA Log'!D:D,A418,'QA Log'!M:M,"Data Verification",'QA Log'!L:L,"*Personnel (section 1)*"),
COUNTIFS('QA Log'!D:D,A418,'QA Log'!M:M,"Data Verification",'QA Log'!L:L,"*Consumable (section 3)*"),
COUNTIFS('QA Log'!D:D,A418,'QA Log'!M:M,"Data Verification",'QA Log'!L:L,"*Equipments (section 4)*")
))</f>
        <v/>
      </c>
      <c r="AO418" s="102" t="str">
        <f>IF(A418="","",
SUM(
COUNTIFS('QA Log'!D:D,A418,'QA Log'!M:M,"Data Verification",'QA Log'!Z:Z,"Approved",'QA Log'!L:L,"*Personnel (section 1)*"),
COUNTIFS('QA Log'!D:D,A418,'QA Log'!M:M,"Data Verification",'QA Log'!Z:Z,"Approved",'QA Log'!L:L,"*Consumable (section 3)*"),
COUNTIFS('QA Log'!D:D,A418,'QA Log'!M:M,"Data Verification",'QA Log'!Z:Z,"Approved",'QA Log'!L:L,"*Equipments (section 4)*")
))</f>
        <v/>
      </c>
      <c r="AP418" s="105" t="str">
        <f>IF(A418&lt;&gt;"",COUNTIFS('QA Log'!D:D,A418,'QA Log'!M:M,"Data Verification",'QA Log'!L:L,"Personnel (section 1)",'QA Log'!Z:Z,"Approved"),"")</f>
        <v/>
      </c>
      <c r="AQ418" s="105" t="str">
        <f>IF(A418&lt;&gt;"",COUNTIFS('QA Log'!D:D,A418,'QA Log'!M:M,"Data Verification",'QA Log'!L:L,"Consumable (section 3)",'QA Log'!Z:Z,"Approved"),"")</f>
        <v/>
      </c>
      <c r="AR418" s="105" t="str">
        <f>IF(A418&lt;&gt;"",COUNTIFS('QA Log'!D:D,A418,'QA Log'!M:M,"Data Verification",'QA Log'!L:L,"Equipments (section 4)",'QA Log'!Z:Z,"Approved"),"")</f>
        <v/>
      </c>
      <c r="AS418" s="102" t="str">
        <f>IF(A418="","",
SUM(
COUNTIFS('QA Log'!D:D,A418,'QA Log'!M:M,"Data Verification",'QA Log'!Z:Z,"Rejected",'QA Log'!L:L,"*Personnel (section 1)*"),
COUNTIFS('QA Log'!D:D,A418,'QA Log'!M:M,"Data Verification",'QA Log'!Z:Z,"Rejected",'QA Log'!L:L,"*Consumable (section 3)*"),
COUNTIFS('QA Log'!D:D,A418,'QA Log'!M:M,"Data Verification",'QA Log'!Z:Z,"Rejected",'QA Log'!L:L,"*Equipments (section 4)*")
))</f>
        <v/>
      </c>
      <c r="AT418" s="102" t="str">
        <f t="shared" si="33"/>
        <v/>
      </c>
      <c r="AU418" s="103" t="str">
        <f t="shared" si="34"/>
        <v/>
      </c>
      <c r="AV418" s="102" t="str">
        <f>IF(A418="","",SUM(
COUNTIFS('QA Log'!D:D,A418,'QA Log'!M:M,"Vignette",'QA Log'!L:L,"*Vignette [1] Respiratory Infection: Pneumonia*"),
COUNTIFS('QA Log'!D:D,A418,'QA Log'!M:M,"Vignette",'QA Log'!L:L,"*Vignette [2]: Diarrhea with Cat B dehydration*"),
COUNTIFS('QA Log'!D:D,A418,'QA Log'!M:M,"Vignette",'QA Log'!L:L,"*Vignette [3] Growth Monitoring and Promotion*"),
COUNTIFS('QA Log'!D:D,A418,'QA Log'!M:M,"Vignette",'QA Log'!L:L,"*Vignette [4]: The management of presumptive TB patient*")
)
)</f>
        <v/>
      </c>
      <c r="AW418" s="102" t="str">
        <f>IF(
  A418="","",
  SUM(
    COUNTIFS('QA Log'!D:D,A418,'QA Log'!M:M,"Vignette",'QA Log'!Z:Z,"Approved",'QA Log'!L:L,"*Vignette [1] Respiratory Infection: Pneumonia*"),
    COUNTIFS('QA Log'!D:D,A418,'QA Log'!M:M,"Vignette",'QA Log'!Z:Z,"Approved",'QA Log'!L:L,"*Vignette [2]: Diarrhea with Cat B dehydration*"),
    COUNTIFS('QA Log'!D:D,A418,'QA Log'!M:M,"Vignette",'QA Log'!Z:Z,"Approved",'QA Log'!L:L,"*Vignette [3] Growth Monitoring and Promotion*"),
    COUNTIFS('QA Log'!D:D,A418,'QA Log'!M:M,"Vignette",'QA Log'!Z:Z,"Approved",'QA Log'!L:L,"*Vignette [4]: The management of presumptive TB patient*")
  )
)</f>
        <v/>
      </c>
      <c r="AX418" s="105" t="str">
        <f>IF(A418&lt;&gt;"",COUNTIFS('QA Log'!D:D,A418,'QA Log'!M:M,"Vignette",'QA Log'!L:L,"Vignette [1] Respiratory Infection: Pneumonia",'QA Log'!Z:Z,"Approved"),"")</f>
        <v/>
      </c>
      <c r="AY418" s="105" t="str">
        <f>IF(A418&lt;&gt;"",COUNTIFS('QA Log'!D:D,A418,'QA Log'!M:M,"Vignette",'QA Log'!L:L,"Vignette [2]: Diarrhea with Cat B dehydration",'QA Log'!Z:Z,"Approved"),"")</f>
        <v/>
      </c>
      <c r="AZ418" s="105" t="str">
        <f>IF(A418&lt;&gt;"",COUNTIFS('QA Log'!D:D,A418,'QA Log'!M:M,"Vignette",'QA Log'!L:L,"Vignette [3] Growth Monitoring and Promotion",'QA Log'!Z:Z,"Approved"),"")</f>
        <v/>
      </c>
      <c r="BA418" s="105" t="str">
        <f>IF(A418&lt;&gt;"",COUNTIFS('QA Log'!D:D,A418,'QA Log'!M:M,"Vignette",'QA Log'!L:L,"Vignette [4]: The management of presumptive TB patient",'QA Log'!Z:Z,"Approved"),"")</f>
        <v/>
      </c>
      <c r="BB418" s="102" t="str">
        <f>IF(A418="","",
  SUM(
    COUNTIFS('QA Log'!D:D,A418,'QA Log'!M:M,"Vignette",'QA Log'!Z:Z,"Rejected",'QA Log'!L:L,"*Vignette [1] Respiratory Infection: Pneumonia*"),
    COUNTIFS('QA Log'!D:D,A418,'QA Log'!M:M,"Vignette",'QA Log'!Z:Z,"Rejected",'QA Log'!L:L,"*Vignette [2]: Diarrhea with Cat B dehydration*"),
    COUNTIFS('QA Log'!D:D,A418,'QA Log'!M:M,"Vignette",'QA Log'!Z:Z,"Rejected",'QA Log'!L:L,"*Vignette [3] Growth Monitoring and Promotion*"),
    COUNTIFS('QA Log'!D:D,A418,'QA Log'!M:M,"Vignette",'QA Log'!Z:Z,"Rejected",'QA Log'!L:L,"*Vignette [4]: The management of presumptive TB patient*")
  )
)</f>
        <v/>
      </c>
      <c r="BC418" s="107" t="str">
        <f t="shared" si="35"/>
        <v/>
      </c>
      <c r="BD418" s="103" t="str">
        <f t="shared" si="36"/>
        <v/>
      </c>
      <c r="BE418" s="102" t="str">
        <f>IF(A418="","",SUM(
COUNTIFS('QA Log'!D:D,A418,'QA Log'!M:M,"Vignette",'QA Log'!L:L,"*Vignette [5] Labor*"),
COUNTIFS('QA Log'!D:D,A418,'QA Log'!M:M,"Vignette",'QA Log'!L:L,"*Vignette [6] PNC pre Discharge*"),
COUNTIFS('QA Log'!D:D,A418,'QA Log'!M:M,"Vignette",'QA Log'!L:L,"*Vignette [7] First ANC Visit*"),
COUNTIFS('QA Log'!D:D,A418,'QA Log'!M:M,"Vignette",'QA Log'!L:L,"*Vignette [8] Birth Spacing/ Family Planning :  FP Counselling*"),
COUNTIFS('QA Log'!D:D,A418,'QA Log'!M:M,"Vignette",'QA Log'!L:L,"*Vignette [9] Birth Spacing: Change FP method to Injectable*"),
COUNTIFS('QA Log'!D:D,A418,'QA Log'!M:M,"Vignette",'QA Log'!L:L,"*Vignette [10] Post Partum Haemorrhage - Atonic Uterus at Health Centre*"),
)
)</f>
        <v/>
      </c>
      <c r="BF418" s="102" t="str">
        <f>IF(A418="","",
  SUM(
    COUNTIFS('QA Log'!D:D,A418,'QA Log'!M:M,"Vignette",'QA Log'!Z:Z,"Approved",'QA Log'!L:L,"*Vignette [5] Labor*"),
    COUNTIFS('QA Log'!D:D,A418,'QA Log'!M:M,"Vignette",'QA Log'!Z:Z,"Approved",'QA Log'!L:L,"*Vignette [6] PNC pre Discharge*"),
    COUNTIFS('QA Log'!D:D,A418,'QA Log'!M:M,"Vignette",'QA Log'!Z:Z,"Approved",'QA Log'!L:L,"*Vignette [7] First ANC Visit*"),
    COUNTIFS('QA Log'!D:D,A418,'QA Log'!M:M,"Vignette",'QA Log'!Z:Z,"Approved",'QA Log'!L:L,"*Vignette [8] Birth Spacing/ Family Planning :  FP Counselling*"),
    COUNTIFS('QA Log'!D:D,A418,'QA Log'!M:M,"Vignette",'QA Log'!Z:Z,"Approved",'QA Log'!L:L,"*Vignette [9] Birth Spacing: Change FP method to Injectable*"),
    COUNTIFS('QA Log'!D:D,A418,'QA Log'!M:M,"Vignette",'QA Log'!Z:Z,"Approved",'QA Log'!L:L,"*Vignette [10] Post Partum Haemorrhage - Atonic Uterus at Health Centre*")
  )
)</f>
        <v/>
      </c>
      <c r="BG418" s="105" t="str">
        <f>IF(A418&lt;&gt;"",COUNTIFS('QA Log'!D:D,A418,'QA Log'!M:M,"Vignette",'QA Log'!L:L,"Vignette [5] Labor",'QA Log'!Z:Z,"Approved"),"")</f>
        <v/>
      </c>
      <c r="BH418" s="105" t="str">
        <f>IF(A418&lt;&gt;"",COUNTIFS('QA Log'!D:D,A418,'QA Log'!M:M,"Vignette",'QA Log'!L:L,"Vignette [6] PNC pre Discharge",'QA Log'!Z:Z,"Approved"),"")</f>
        <v/>
      </c>
      <c r="BI418" s="105" t="str">
        <f>IF(A418&lt;&gt;"",COUNTIFS('QA Log'!D:D,A418,'QA Log'!M:M,"Vignette",'QA Log'!L:L,"Vignette [7] First ANC Visit",'QA Log'!Z:Z,"Approved"),"")</f>
        <v/>
      </c>
      <c r="BJ418" s="105" t="str">
        <f>IF(A418&lt;&gt;"",COUNTIFS('QA Log'!D:D,A418,'QA Log'!M:M,"Vignette",'QA Log'!L:L,"Vignette [8] Birth Spacing/ Family Planning :  FP Counselling",'QA Log'!Z:Z,"Approved"),"")</f>
        <v/>
      </c>
      <c r="BK418" s="105" t="str">
        <f>IF(A418&lt;&gt;"",COUNTIFS('QA Log'!D:D,A418,'QA Log'!M:M,"Vignette",'QA Log'!L:L,"Vignette [9] Birth Spacing: Change FP method to Injectable",'QA Log'!Z:Z,"Approved"),"")</f>
        <v/>
      </c>
      <c r="BL418" s="105" t="str">
        <f>IF(A418&lt;&gt;"",COUNTIFS('QA Log'!D:D,A418,'QA Log'!M:M,"Vignette",'QA Log'!L:L,"Vignette [10] Post Partum Haemorrhage - Atonic Uterus at Health Centre",'QA Log'!Z:Z,"Approved"),"")</f>
        <v/>
      </c>
      <c r="BM418" s="102" t="str">
        <f>IF(A418="","",SUM(
    COUNTIFS('QA Log'!D:D,A418,'QA Log'!M:M,"Vignette",'QA Log'!Z:Z,"Rejected",'QA Log'!L:L,"*Vignette [5] Labor*"),
    COUNTIFS('QA Log'!D:D,A418,'QA Log'!M:M,"Vignette",'QA Log'!Z:Z,"Rejected",'QA Log'!L:L,"*Vignette [6] PNC pre Discharge*"),
    COUNTIFS('QA Log'!D:D,A418,'QA Log'!M:M,"Vignette",'QA Log'!Z:Z,"Rejected",'QA Log'!L:L,"*Vignette [7] First ANC Visit*"),
    COUNTIFS('QA Log'!D:D,A418,'QA Log'!M:M,"Vignette",'QA Log'!Z:Z,"Rejected",'QA Log'!L:L,"*Vignette [8] Birth Spacing/ Family Planning :  FP Counselling*"),
    COUNTIFS('QA Log'!D:D,A418,'QA Log'!M:M,"Vignette",'QA Log'!Z:Z,"Rejected",'QA Log'!L:L,"*Vignette [9] Birth Spacing: Change FP method to Injectable*"),
    COUNTIFS('QA Log'!D:D,A418,'QA Log'!M:M,"Vignette",'QA Log'!Z:Z,"Rejected",'QA Log'!L:L,"*Vignette [10] Post Partum Haemorrhage - Atonic Uterus at Health Centre*")
  )
)</f>
        <v/>
      </c>
      <c r="BN418" s="107" t="str">
        <f t="shared" si="37"/>
        <v/>
      </c>
      <c r="BO418" s="103" t="str">
        <f t="shared" si="38"/>
        <v/>
      </c>
      <c r="BP418" s="102" t="str">
        <f>IF(A418="","",SUM(
COUNTIFS('QA Log'!D:D,A418,'QA Log'!M:M,"Vignette",'QA Log'!L:L,"*Exit Interview 1*"),
COUNTIFS('QA Log'!D:D,A418,'QA Log'!M:M,"Vignette",'QA Log'!L:L,"*Exit Interview 2*"),
)
)</f>
        <v/>
      </c>
      <c r="BQ418" s="102" t="str">
        <f>IF(
  A418="","",
  SUM(
    COUNTIFS('QA Log'!D:D,A418,'QA Log'!M:M,"Vignette",'QA Log'!Z:Z,"Approved",'QA Log'!L:L,"*Exit Interview 1*"),
    COUNTIFS('QA Log'!D:D,A418,'QA Log'!M:M,"Vignette",'QA Log'!Z:Z,"Approved",'QA Log'!L:L,"*Exit Interview 2*")
  )
)</f>
        <v/>
      </c>
      <c r="BR418" s="105" t="str">
        <f>IF(A418&lt;&gt;"",COUNTIFS('QA Log'!D:D,A418,'QA Log'!M:M,"Vignette",'QA Log'!L:L,"Exit Interview 1",'QA Log'!Z:Z,"Approved"),"")</f>
        <v/>
      </c>
      <c r="BS418" s="105" t="str">
        <f>IF(A418&lt;&gt;"",COUNTIFS('QA Log'!D:D,A418,'QA Log'!M:M,"Vignette",'QA Log'!L:L,"Exit Interview 2",'QA Log'!Z:Z,"Approved"),"")</f>
        <v/>
      </c>
      <c r="BT418" s="102" t="str">
        <f>IF(
  A418="","",
  SUM(
    COUNTIFS('QA Log'!D:D,A418,'QA Log'!M:M,"Vignette",'QA Log'!Z:Z,"Rejected",'QA Log'!L:L,"*Exit Interview 1*"),
    COUNTIFS('QA Log'!D:D,A418,'QA Log'!M:M,"Vignette",'QA Log'!Z:Z,"Rejected",'QA Log'!L:L,"*Exit Interview 2*")
  )
)</f>
        <v/>
      </c>
      <c r="BU418" s="107" t="str">
        <f t="shared" si="39"/>
        <v/>
      </c>
      <c r="BV418" s="102" t="str">
        <f t="shared" si="40"/>
        <v/>
      </c>
      <c r="BW418" s="102" t="str">
        <f t="shared" si="41"/>
        <v/>
      </c>
      <c r="BX418" s="102" t="str">
        <f t="shared" si="42"/>
        <v/>
      </c>
      <c r="BY418" s="102" t="str">
        <f t="shared" si="43"/>
        <v/>
      </c>
      <c r="BZ418" s="107" t="str">
        <f t="shared" si="44"/>
        <v/>
      </c>
      <c r="CA418" s="108" t="str">
        <f t="shared" si="45"/>
        <v/>
      </c>
      <c r="CB418" s="108" t="str">
        <f t="shared" si="46"/>
        <v/>
      </c>
      <c r="CC418" s="109" t="str">
        <f t="shared" si="47"/>
        <v/>
      </c>
      <c r="CD418" s="108" t="str">
        <f t="shared" si="48"/>
        <v/>
      </c>
      <c r="CE418" s="108" t="str">
        <f t="shared" si="49"/>
        <v/>
      </c>
      <c r="CF418" s="109" t="str">
        <f t="shared" si="50"/>
        <v/>
      </c>
      <c r="CG418" s="110" t="str">
        <f t="shared" si="51"/>
        <v/>
      </c>
      <c r="CH418" s="111"/>
    </row>
    <row r="419" spans="1:86" ht="12.75">
      <c r="A419" s="101"/>
      <c r="B419" s="102" t="e">
        <f t="array" aca="1" ref="B419" ca="1">_xludf.XLOOKUP(A419,'QA Log'!D:D,'QA Log'!E:E,"")</f>
        <v>#NAME?</v>
      </c>
      <c r="C419" s="102" t="e">
        <f t="array" aca="1" ref="C419" ca="1">_xludf.XLOOKUP(A419,'QA Log'!D:D,'QA Log'!F:F,"")</f>
        <v>#NAME?</v>
      </c>
      <c r="D419" s="102" t="e">
        <f t="array" aca="1" ref="D419" ca="1">_xludf.XLOOKUP(A419,'QA Log'!D:D,'QA Log'!H:H,"")</f>
        <v>#NAME?</v>
      </c>
      <c r="E419" s="102" t="e">
        <f t="array" aca="1" ref="E419" ca="1">_xludf.XLOOKUP(A419,'QA Log'!D:D,'QA Log'!G:G,"")</f>
        <v>#NAME?</v>
      </c>
      <c r="F419" s="103"/>
      <c r="G419" s="104"/>
      <c r="H419" s="104"/>
      <c r="I419" s="103" t="str">
        <f t="shared" si="26"/>
        <v/>
      </c>
      <c r="J419" s="102" t="str">
        <f>IF(A419="","",SUM(
COUNTIFS('QA Log'!D:D,A419,'QA Log'!M:M,"QQC",'QA Log'!L:L,"*1. General Management*"),
COUNTIFS('QA Log'!D:D,A419,'QA Log'!M:M,"QQC",'QA Log'!L:L,"*3. Curative Consultation (OPD)*"),
COUNTIFS('QA Log'!D:D,A419,'QA Log'!M:M,"QQC",'QA Log'!L:L,"*5. Laboratory*"),
COUNTIFS('QA Log'!D:D,A419,'QA Log'!M:M,"QQC",'QA Log'!L:L,"*6. Essential Medicine Management*"),
COUNTIFS('QA Log'!D:D,A419,'QA Log'!M:M,"QQC",'QA Log'!L:L,"*7. Tracer Medicine*"),
COUNTIFS('QA Log'!D:D,A419,'QA Log'!M:M,"QQC",'QA Log'!L:L,"*11. Additional Questions*")))</f>
        <v/>
      </c>
      <c r="K419" s="102" t="str">
        <f>IF(A419="","",SUM(
COUNTIFS('QA Log'!D:D,A419,'QA Log'!M:M,"QQC",'QA Log'!Z:Z,"Approved",'QA Log'!L:L,"*1. General Management*"),
COUNTIFS('QA Log'!D:D,A419,'QA Log'!M:M,"QQC",'QA Log'!Z:Z,"Approved",'QA Log'!L:L,"*3. Curative Consultation (OPD)*"),
COUNTIFS('QA Log'!D:D,A419,'QA Log'!M:M,"QQC",'QA Log'!Z:Z,"Approved",'QA Log'!L:L,"*5. Laboratory*"),
COUNTIFS('QA Log'!D:D,A419,'QA Log'!M:M,"QQC",'QA Log'!Z:Z,"Approved",'QA Log'!L:L,"*6. Essential Medicine Management*"),
COUNTIFS('QA Log'!D:D,A419,'QA Log'!M:M,"QQC",'QA Log'!Z:Z,"Approved",'QA Log'!L:L,"*7. Tracer Medicine*"),
COUNTIFS('QA Log'!D:D,A419,'QA Log'!M:M,"QQC",'QA Log'!Z:Z,"Approved",'QA Log'!L:L,"*11. Additional Questions*")))</f>
        <v/>
      </c>
      <c r="L419" s="102" t="str">
        <f>IF(A419&lt;&gt;"",COUNTIFS('QA Log'!D:D,A419,'QA Log'!M:M,"QQC",'QA Log'!L:L,"1. General Management",'QA Log'!Z:Z,"Approved"),"")</f>
        <v/>
      </c>
      <c r="M419" s="102" t="str">
        <f>IF(A419&lt;&gt;"",COUNTIFS('QA Log'!D:D,A419,'QA Log'!M:M,"QQC",'QA Log'!L:L,"3. Curative Consultation (OPD)",'QA Log'!Z:Z,"Approved"),"")</f>
        <v/>
      </c>
      <c r="N419" s="102" t="str">
        <f>IF(A419&lt;&gt;"",COUNTIFS('QA Log'!D:D,A419,'QA Log'!M:M,"QQC",'QA Log'!L:L,"5. Laboratory",'QA Log'!Z:Z,"Approved"),"")</f>
        <v/>
      </c>
      <c r="O419" s="102" t="str">
        <f>IF(A419&lt;&gt;"",COUNTIFS('QA Log'!D:D,A419,'QA Log'!M:M,"QQC",'QA Log'!L:L,"6. Essential Medicine Management",'QA Log'!Z:Z,"Approved"),"")</f>
        <v/>
      </c>
      <c r="P419" s="102" t="str">
        <f>IF(A419&lt;&gt;"",COUNTIFS('QA Log'!D:D,A419,'QA Log'!M:M,"QQC",'QA Log'!L:L,"7. Tracer Medicine",'QA Log'!Z:Z,"Approved"),"")</f>
        <v/>
      </c>
      <c r="Q419" s="102" t="str">
        <f>IF(A419&lt;&gt;"",COUNTIFS('QA Log'!D:D,A419,'QA Log'!M:M,"QQC",'QA Log'!L:L,"11. Additional Questions",'QA Log'!Z:Z,"Approved"),"")</f>
        <v/>
      </c>
      <c r="R419" s="102" t="str">
        <f>IF(A419="","",SUM(
COUNTIFS('QA Log'!D:D,A419,'QA Log'!M:M,"QQC",'QA Log'!Z:Z,"Rejected",'QA Log'!L:L,"*8. Maternity*"),
COUNTIFS('QA Log'!D:D,A419,'QA Log'!M:M,"QQC",'QA Log'!Z:Z,"Rejected",'QA Log'!L:L,"*EPI*"),
COUNTIFS('QA Log'!D:D,A419,'QA Log'!M:M,"QQC",'QA Log'!Z:Z,"Rejected",'QA Log'!L:L,"*10. Antenatal Care (ANC)*"),
COUNTIFS('QA Log'!D:D,A419,'QA Log'!M:M,"QQC",'QA Log'!Z:Z,"Rejected",'QA Log'!L:L,"*2. Hygiene and Sterilization*"),
COUNTIFS('QA Log'!D:D,A419,'QA Log'!M:M,"QQC",'QA Log'!Z:Z,"Rejected",'QA Log'!L:L,"*Family Planning*")))</f>
        <v/>
      </c>
      <c r="S419" s="106" t="str">
        <f t="shared" si="27"/>
        <v/>
      </c>
      <c r="T419" s="102" t="str">
        <f t="shared" si="28"/>
        <v/>
      </c>
      <c r="U419" s="102" t="str">
        <f>IF(A419="","",
SUM(
COUNTIFS('QA Log'!D:D,A419,'QA Log'!M:M,"QQC",'QA Log'!L:L,"*8. Maternity*"),
COUNTIFS('QA Log'!D:D,A419,'QA Log'!M:M,"QQC",'QA Log'!L:L,"*9. EPI and Pre-school Consultation*"),
COUNTIFS('QA Log'!D:D,A419,'QA Log'!M:M,"QQC",'QA Log'!L:L,"*10. Antenatal Care (ANC)*"),
COUNTIFS('QA Log'!D:D,A419,'QA Log'!M:M,"QQC",'QA Log'!L:L,"*2. Hygiene and Sterilization*"),
COUNTIFS('QA Log'!D:D,A419,'QA Log'!M:M,"QQC",'QA Log'!L:L,"*4. Family Planning*")
))</f>
        <v/>
      </c>
      <c r="V419" s="102" t="str">
        <f>IF(A419="","",
SUM(
COUNTIFS('QA Log'!D:D,A419,'QA Log'!M:M,"QQC",'QA Log'!Z:Z,"Approved",'QA Log'!L:L,"*8. Maternity*"),
COUNTIFS('QA Log'!D:D,A419,'QA Log'!M:M,"QQC",'QA Log'!Z:Z,"Approved",'QA Log'!L:L,"*9. EPI and Pre-school Consultation*"),
COUNTIFS('QA Log'!D:D,A419,'QA Log'!M:M,"QQC",'QA Log'!Z:Z,"Approved",'QA Log'!L:L,"*10. Antenatal Care (ANC)*"),
COUNTIFS('QA Log'!D:D,A419,'QA Log'!M:M,"QQC",'QA Log'!Z:Z,"Approved",'QA Log'!L:L,"*2. Hygiene and Sterilization*"),
COUNTIFS('QA Log'!D:D,A419,'QA Log'!M:M,"QQC",'QA Log'!Z:Z,"Approved",'QA Log'!L:L,"*4. Family Planning*")
))</f>
        <v/>
      </c>
      <c r="W419" s="102" t="str">
        <f>IF(A419&lt;&gt;"",COUNTIFS('QA Log'!D:D,A419,'QA Log'!M:M,"QQC",'QA Log'!L:L,"8. Maternity",'QA Log'!Z:Z,"Approved"),"")</f>
        <v/>
      </c>
      <c r="X419" s="105" t="str">
        <f>IF(A419&lt;&gt;"",COUNTIFS('QA Log'!D:D,A419,'QA Log'!M:M,"QQC",'QA Log'!L:L,"9. EPI and Pre-school Consultation",'QA Log'!Z:Z,"Approved"),"")</f>
        <v/>
      </c>
      <c r="Y419" s="102" t="str">
        <f>IF(A419&lt;&gt;"",COUNTIFS('QA Log'!D:D,A419,'QA Log'!M:M,"QQC",'QA Log'!L:L,"10. Antenatal Care (ANC)",'QA Log'!Z:Z,"Approved"),"")</f>
        <v/>
      </c>
      <c r="Z419" s="102" t="str">
        <f>IF(A419&lt;&gt;"",COUNTIFS('QA Log'!D:D,A419,'QA Log'!M:M,"QQC",'QA Log'!L:L,"2. Hygiene and Sterilization",'QA Log'!Z:Z,"Approved"),"")</f>
        <v/>
      </c>
      <c r="AA419" s="105" t="str">
        <f>IF(A419&lt;&gt;"",COUNTIFS('QA Log'!D:D,A419,'QA Log'!M:M,"QQC",'QA Log'!L:L,"4. Family Planning",'QA Log'!Z:Z,"Approved"),"")</f>
        <v/>
      </c>
      <c r="AB419" s="102" t="str">
        <f>IF(A419="","",
SUM(
COUNTIFS('QA Log'!D:D,A419,'QA Log'!M:M,"QQC",'QA Log'!Z:Z,"Rejected",'QA Log'!L:L,"*8. Maternity*"),
COUNTIFS('QA Log'!D:D,A419,'QA Log'!M:M,"QQC",'QA Log'!Z:Z,"Rejected",'QA Log'!L:L,"*9. EPI and Pre-school Consultation*"),
COUNTIFS('QA Log'!D:D,A419,'QA Log'!M:M,"QQC",'QA Log'!Z:Z,"Rejected",'QA Log'!L:L,"*10. Antenatal Care (ANC)*"),
COUNTIFS('QA Log'!D:D,A419,'QA Log'!M:M,"QQC",'QA Log'!Z:Z,"Rejected",'QA Log'!L:L,"*2. Hygiene and Sterilization*"),
COUNTIFS('QA Log'!D:D,A419,'QA Log'!M:M,"QQC",'QA Log'!Z:Z,"Rejected",'QA Log'!L:L,"*4. Family Planning*")
))</f>
        <v/>
      </c>
      <c r="AC419" s="102" t="str">
        <f t="shared" si="29"/>
        <v/>
      </c>
      <c r="AD419" s="103" t="str">
        <f t="shared" si="30"/>
        <v/>
      </c>
      <c r="AE419" s="102" t="str">
        <f>IF(A419="","",
SUM(
COUNTIFS('QA Log'!D:D,A419,'QA Log'!M:M,"Data Verification",'QA Log'!L:L,"*Medicine (section 2)*"),
COUNTIFS('QA Log'!D:D,A419,'QA Log'!M:M,"Data Verification",'QA Log'!L:L,"*Lab Testing Availability*"),
COUNTIFS('QA Log'!D:D,A419,'QA Log'!M:M,"Data Verification",'QA Log'!L:L,"*Other than P4P (section 6)*"),
COUNTIFS('QA Log'!D:D,A419,'QA Log'!M:M,"Data Verification",'QA Log'!L:L,"*Hospital Governance*")
))</f>
        <v/>
      </c>
      <c r="AF419" s="102" t="str">
        <f>IF(A419="","",
SUM(
COUNTIFS('QA Log'!D:D,A419,'QA Log'!M:M,"Data Verification",'QA Log'!Z:Z,"Approved",'QA Log'!L:L,"*Medicine (section 2)*"),
COUNTIFS('QA Log'!D:D,A419,'QA Log'!M:M,"Data Verification",'QA Log'!Z:Z,"Approved",'QA Log'!L:L,"*Lab Testing Availability*"),
COUNTIFS('QA Log'!D:D,A419,'QA Log'!M:M,"Data Verification",'QA Log'!Z:Z,"Approved",'QA Log'!L:L,"*Other than P4P (section 6)*"),
COUNTIFS('QA Log'!D:D,A419,'QA Log'!M:M,"Data Verification",'QA Log'!Z:Z,"Approved",'QA Log'!L:L,"*Hospital Governance*")
))</f>
        <v/>
      </c>
      <c r="AG419" s="105" t="str">
        <f>IF(A419&lt;&gt;"",COUNTIFS('QA Log'!D:D,A419,'QA Log'!M:M,"Data Verification",'QA Log'!L:L,"Medicine (section 2)",'QA Log'!Z:Z,"Approved"),"")</f>
        <v/>
      </c>
      <c r="AH419" s="105" t="str">
        <f>IF(A419&lt;&gt;"",COUNTIFS('QA Log'!D:D,A419,'QA Log'!M:M,"Data Verification",'QA Log'!L:L,"Lab Testing Availability",'QA Log'!Z:Z,"Approved"),"")</f>
        <v/>
      </c>
      <c r="AI419" s="105" t="str">
        <f>IF(A419&lt;&gt;"",COUNTIFS('QA Log'!D:D,A419,'QA Log'!M:M,"Data Verification",'QA Log'!L:L,"Other than P4P (section 6)",'QA Log'!Z:Z,"Approved"),"")</f>
        <v/>
      </c>
      <c r="AJ419" s="105" t="str">
        <f>IF(A419&lt;&gt;"",COUNTIFS('QA Log'!D:D,A419,'QA Log'!M:M,"Data Verification",'QA Log'!L:L,"Hospital Governance",'QA Log'!Z:Z,"Approved"),"")</f>
        <v/>
      </c>
      <c r="AK419" s="102" t="str">
        <f>IF(A419="","",
SUM(
COUNTIFS('QA Log'!D:D,A419,'QA Log'!M:M,"Data Verification",'QA Log'!Z:Z,"Rejected",'QA Log'!L:L,"*Medicine (section 2)*"),
COUNTIFS('QA Log'!D:D,A419,'QA Log'!M:M,"Data Verification",'QA Log'!Z:Z,"Rejected",'QA Log'!L:L,"*Lab Testing Availability*"),
COUNTIFS('QA Log'!D:D,A419,'QA Log'!M:M,"Data Verification",'QA Log'!Z:Z,"Rejected",'QA Log'!L:L,"*Other than P4P (section 6)*"),
COUNTIFS('QA Log'!D:D,A419,'QA Log'!M:M,"Data Verification",'QA Log'!Z:Z,"Rejected",'QA Log'!L:L,"*Hospital Governance*")
))</f>
        <v/>
      </c>
      <c r="AL419" s="106" t="str">
        <f t="shared" si="31"/>
        <v/>
      </c>
      <c r="AM419" s="102" t="str">
        <f t="shared" si="32"/>
        <v/>
      </c>
      <c r="AN419" s="102" t="str">
        <f>IF(A419="","",
SUM(
COUNTIFS('QA Log'!D:D,A419,'QA Log'!M:M,"Data Verification",'QA Log'!L:L,"*Personnel (section 1)*"),
COUNTIFS('QA Log'!D:D,A419,'QA Log'!M:M,"Data Verification",'QA Log'!L:L,"*Consumable (section 3)*"),
COUNTIFS('QA Log'!D:D,A419,'QA Log'!M:M,"Data Verification",'QA Log'!L:L,"*Equipments (section 4)*")
))</f>
        <v/>
      </c>
      <c r="AO419" s="102" t="str">
        <f>IF(A419="","",
SUM(
COUNTIFS('QA Log'!D:D,A419,'QA Log'!M:M,"Data Verification",'QA Log'!Z:Z,"Approved",'QA Log'!L:L,"*Personnel (section 1)*"),
COUNTIFS('QA Log'!D:D,A419,'QA Log'!M:M,"Data Verification",'QA Log'!Z:Z,"Approved",'QA Log'!L:L,"*Consumable (section 3)*"),
COUNTIFS('QA Log'!D:D,A419,'QA Log'!M:M,"Data Verification",'QA Log'!Z:Z,"Approved",'QA Log'!L:L,"*Equipments (section 4)*")
))</f>
        <v/>
      </c>
      <c r="AP419" s="105" t="str">
        <f>IF(A419&lt;&gt;"",COUNTIFS('QA Log'!D:D,A419,'QA Log'!M:M,"Data Verification",'QA Log'!L:L,"Personnel (section 1)",'QA Log'!Z:Z,"Approved"),"")</f>
        <v/>
      </c>
      <c r="AQ419" s="105" t="str">
        <f>IF(A419&lt;&gt;"",COUNTIFS('QA Log'!D:D,A419,'QA Log'!M:M,"Data Verification",'QA Log'!L:L,"Consumable (section 3)",'QA Log'!Z:Z,"Approved"),"")</f>
        <v/>
      </c>
      <c r="AR419" s="105" t="str">
        <f>IF(A419&lt;&gt;"",COUNTIFS('QA Log'!D:D,A419,'QA Log'!M:M,"Data Verification",'QA Log'!L:L,"Equipments (section 4)",'QA Log'!Z:Z,"Approved"),"")</f>
        <v/>
      </c>
      <c r="AS419" s="102" t="str">
        <f>IF(A419="","",
SUM(
COUNTIFS('QA Log'!D:D,A419,'QA Log'!M:M,"Data Verification",'QA Log'!Z:Z,"Rejected",'QA Log'!L:L,"*Personnel (section 1)*"),
COUNTIFS('QA Log'!D:D,A419,'QA Log'!M:M,"Data Verification",'QA Log'!Z:Z,"Rejected",'QA Log'!L:L,"*Consumable (section 3)*"),
COUNTIFS('QA Log'!D:D,A419,'QA Log'!M:M,"Data Verification",'QA Log'!Z:Z,"Rejected",'QA Log'!L:L,"*Equipments (section 4)*")
))</f>
        <v/>
      </c>
      <c r="AT419" s="102" t="str">
        <f t="shared" si="33"/>
        <v/>
      </c>
      <c r="AU419" s="103" t="str">
        <f t="shared" si="34"/>
        <v/>
      </c>
      <c r="AV419" s="102" t="str">
        <f>IF(A419="","",SUM(
COUNTIFS('QA Log'!D:D,A419,'QA Log'!M:M,"Vignette",'QA Log'!L:L,"*Vignette [1] Respiratory Infection: Pneumonia*"),
COUNTIFS('QA Log'!D:D,A419,'QA Log'!M:M,"Vignette",'QA Log'!L:L,"*Vignette [2]: Diarrhea with Cat B dehydration*"),
COUNTIFS('QA Log'!D:D,A419,'QA Log'!M:M,"Vignette",'QA Log'!L:L,"*Vignette [3] Growth Monitoring and Promotion*"),
COUNTIFS('QA Log'!D:D,A419,'QA Log'!M:M,"Vignette",'QA Log'!L:L,"*Vignette [4]: The management of presumptive TB patient*")
)
)</f>
        <v/>
      </c>
      <c r="AW419" s="102" t="str">
        <f>IF(
  A419="","",
  SUM(
    COUNTIFS('QA Log'!D:D,A419,'QA Log'!M:M,"Vignette",'QA Log'!Z:Z,"Approved",'QA Log'!L:L,"*Vignette [1] Respiratory Infection: Pneumonia*"),
    COUNTIFS('QA Log'!D:D,A419,'QA Log'!M:M,"Vignette",'QA Log'!Z:Z,"Approved",'QA Log'!L:L,"*Vignette [2]: Diarrhea with Cat B dehydration*"),
    COUNTIFS('QA Log'!D:D,A419,'QA Log'!M:M,"Vignette",'QA Log'!Z:Z,"Approved",'QA Log'!L:L,"*Vignette [3] Growth Monitoring and Promotion*"),
    COUNTIFS('QA Log'!D:D,A419,'QA Log'!M:M,"Vignette",'QA Log'!Z:Z,"Approved",'QA Log'!L:L,"*Vignette [4]: The management of presumptive TB patient*")
  )
)</f>
        <v/>
      </c>
      <c r="AX419" s="105" t="str">
        <f>IF(A419&lt;&gt;"",COUNTIFS('QA Log'!D:D,A419,'QA Log'!M:M,"Vignette",'QA Log'!L:L,"Vignette [1] Respiratory Infection: Pneumonia",'QA Log'!Z:Z,"Approved"),"")</f>
        <v/>
      </c>
      <c r="AY419" s="105" t="str">
        <f>IF(A419&lt;&gt;"",COUNTIFS('QA Log'!D:D,A419,'QA Log'!M:M,"Vignette",'QA Log'!L:L,"Vignette [2]: Diarrhea with Cat B dehydration",'QA Log'!Z:Z,"Approved"),"")</f>
        <v/>
      </c>
      <c r="AZ419" s="105" t="str">
        <f>IF(A419&lt;&gt;"",COUNTIFS('QA Log'!D:D,A419,'QA Log'!M:M,"Vignette",'QA Log'!L:L,"Vignette [3] Growth Monitoring and Promotion",'QA Log'!Z:Z,"Approved"),"")</f>
        <v/>
      </c>
      <c r="BA419" s="105" t="str">
        <f>IF(A419&lt;&gt;"",COUNTIFS('QA Log'!D:D,A419,'QA Log'!M:M,"Vignette",'QA Log'!L:L,"Vignette [4]: The management of presumptive TB patient",'QA Log'!Z:Z,"Approved"),"")</f>
        <v/>
      </c>
      <c r="BB419" s="102" t="str">
        <f>IF(A419="","",
  SUM(
    COUNTIFS('QA Log'!D:D,A419,'QA Log'!M:M,"Vignette",'QA Log'!Z:Z,"Rejected",'QA Log'!L:L,"*Vignette [1] Respiratory Infection: Pneumonia*"),
    COUNTIFS('QA Log'!D:D,A419,'QA Log'!M:M,"Vignette",'QA Log'!Z:Z,"Rejected",'QA Log'!L:L,"*Vignette [2]: Diarrhea with Cat B dehydration*"),
    COUNTIFS('QA Log'!D:D,A419,'QA Log'!M:M,"Vignette",'QA Log'!Z:Z,"Rejected",'QA Log'!L:L,"*Vignette [3] Growth Monitoring and Promotion*"),
    COUNTIFS('QA Log'!D:D,A419,'QA Log'!M:M,"Vignette",'QA Log'!Z:Z,"Rejected",'QA Log'!L:L,"*Vignette [4]: The management of presumptive TB patient*")
  )
)</f>
        <v/>
      </c>
      <c r="BC419" s="107" t="str">
        <f t="shared" si="35"/>
        <v/>
      </c>
      <c r="BD419" s="103" t="str">
        <f t="shared" si="36"/>
        <v/>
      </c>
      <c r="BE419" s="102" t="str">
        <f>IF(A419="","",SUM(
COUNTIFS('QA Log'!D:D,A419,'QA Log'!M:M,"Vignette",'QA Log'!L:L,"*Vignette [5] Labor*"),
COUNTIFS('QA Log'!D:D,A419,'QA Log'!M:M,"Vignette",'QA Log'!L:L,"*Vignette [6] PNC pre Discharge*"),
COUNTIFS('QA Log'!D:D,A419,'QA Log'!M:M,"Vignette",'QA Log'!L:L,"*Vignette [7] First ANC Visit*"),
COUNTIFS('QA Log'!D:D,A419,'QA Log'!M:M,"Vignette",'QA Log'!L:L,"*Vignette [8] Birth Spacing/ Family Planning :  FP Counselling*"),
COUNTIFS('QA Log'!D:D,A419,'QA Log'!M:M,"Vignette",'QA Log'!L:L,"*Vignette [9] Birth Spacing: Change FP method to Injectable*"),
COUNTIFS('QA Log'!D:D,A419,'QA Log'!M:M,"Vignette",'QA Log'!L:L,"*Vignette [10] Post Partum Haemorrhage - Atonic Uterus at Health Centre*"),
)
)</f>
        <v/>
      </c>
      <c r="BF419" s="102" t="str">
        <f>IF(A419="","",
  SUM(
    COUNTIFS('QA Log'!D:D,A419,'QA Log'!M:M,"Vignette",'QA Log'!Z:Z,"Approved",'QA Log'!L:L,"*Vignette [5] Labor*"),
    COUNTIFS('QA Log'!D:D,A419,'QA Log'!M:M,"Vignette",'QA Log'!Z:Z,"Approved",'QA Log'!L:L,"*Vignette [6] PNC pre Discharge*"),
    COUNTIFS('QA Log'!D:D,A419,'QA Log'!M:M,"Vignette",'QA Log'!Z:Z,"Approved",'QA Log'!L:L,"*Vignette [7] First ANC Visit*"),
    COUNTIFS('QA Log'!D:D,A419,'QA Log'!M:M,"Vignette",'QA Log'!Z:Z,"Approved",'QA Log'!L:L,"*Vignette [8] Birth Spacing/ Family Planning :  FP Counselling*"),
    COUNTIFS('QA Log'!D:D,A419,'QA Log'!M:M,"Vignette",'QA Log'!Z:Z,"Approved",'QA Log'!L:L,"*Vignette [9] Birth Spacing: Change FP method to Injectable*"),
    COUNTIFS('QA Log'!D:D,A419,'QA Log'!M:M,"Vignette",'QA Log'!Z:Z,"Approved",'QA Log'!L:L,"*Vignette [10] Post Partum Haemorrhage - Atonic Uterus at Health Centre*")
  )
)</f>
        <v/>
      </c>
      <c r="BG419" s="105" t="str">
        <f>IF(A419&lt;&gt;"",COUNTIFS('QA Log'!D:D,A419,'QA Log'!M:M,"Vignette",'QA Log'!L:L,"Vignette [5] Labor",'QA Log'!Z:Z,"Approved"),"")</f>
        <v/>
      </c>
      <c r="BH419" s="105" t="str">
        <f>IF(A419&lt;&gt;"",COUNTIFS('QA Log'!D:D,A419,'QA Log'!M:M,"Vignette",'QA Log'!L:L,"Vignette [6] PNC pre Discharge",'QA Log'!Z:Z,"Approved"),"")</f>
        <v/>
      </c>
      <c r="BI419" s="105" t="str">
        <f>IF(A419&lt;&gt;"",COUNTIFS('QA Log'!D:D,A419,'QA Log'!M:M,"Vignette",'QA Log'!L:L,"Vignette [7] First ANC Visit",'QA Log'!Z:Z,"Approved"),"")</f>
        <v/>
      </c>
      <c r="BJ419" s="105" t="str">
        <f>IF(A419&lt;&gt;"",COUNTIFS('QA Log'!D:D,A419,'QA Log'!M:M,"Vignette",'QA Log'!L:L,"Vignette [8] Birth Spacing/ Family Planning :  FP Counselling",'QA Log'!Z:Z,"Approved"),"")</f>
        <v/>
      </c>
      <c r="BK419" s="105" t="str">
        <f>IF(A419&lt;&gt;"",COUNTIFS('QA Log'!D:D,A419,'QA Log'!M:M,"Vignette",'QA Log'!L:L,"Vignette [9] Birth Spacing: Change FP method to Injectable",'QA Log'!Z:Z,"Approved"),"")</f>
        <v/>
      </c>
      <c r="BL419" s="105" t="str">
        <f>IF(A419&lt;&gt;"",COUNTIFS('QA Log'!D:D,A419,'QA Log'!M:M,"Vignette",'QA Log'!L:L,"Vignette [10] Post Partum Haemorrhage - Atonic Uterus at Health Centre",'QA Log'!Z:Z,"Approved"),"")</f>
        <v/>
      </c>
      <c r="BM419" s="102" t="str">
        <f>IF(A419="","",SUM(
    COUNTIFS('QA Log'!D:D,A419,'QA Log'!M:M,"Vignette",'QA Log'!Z:Z,"Rejected",'QA Log'!L:L,"*Vignette [5] Labor*"),
    COUNTIFS('QA Log'!D:D,A419,'QA Log'!M:M,"Vignette",'QA Log'!Z:Z,"Rejected",'QA Log'!L:L,"*Vignette [6] PNC pre Discharge*"),
    COUNTIFS('QA Log'!D:D,A419,'QA Log'!M:M,"Vignette",'QA Log'!Z:Z,"Rejected",'QA Log'!L:L,"*Vignette [7] First ANC Visit*"),
    COUNTIFS('QA Log'!D:D,A419,'QA Log'!M:M,"Vignette",'QA Log'!Z:Z,"Rejected",'QA Log'!L:L,"*Vignette [8] Birth Spacing/ Family Planning :  FP Counselling*"),
    COUNTIFS('QA Log'!D:D,A419,'QA Log'!M:M,"Vignette",'QA Log'!Z:Z,"Rejected",'QA Log'!L:L,"*Vignette [9] Birth Spacing: Change FP method to Injectable*"),
    COUNTIFS('QA Log'!D:D,A419,'QA Log'!M:M,"Vignette",'QA Log'!Z:Z,"Rejected",'QA Log'!L:L,"*Vignette [10] Post Partum Haemorrhage - Atonic Uterus at Health Centre*")
  )
)</f>
        <v/>
      </c>
      <c r="BN419" s="107" t="str">
        <f t="shared" si="37"/>
        <v/>
      </c>
      <c r="BO419" s="103" t="str">
        <f t="shared" si="38"/>
        <v/>
      </c>
      <c r="BP419" s="102" t="str">
        <f>IF(A419="","",SUM(
COUNTIFS('QA Log'!D:D,A419,'QA Log'!M:M,"Vignette",'QA Log'!L:L,"*Exit Interview 1*"),
COUNTIFS('QA Log'!D:D,A419,'QA Log'!M:M,"Vignette",'QA Log'!L:L,"*Exit Interview 2*"),
)
)</f>
        <v/>
      </c>
      <c r="BQ419" s="102" t="str">
        <f>IF(
  A419="","",
  SUM(
    COUNTIFS('QA Log'!D:D,A419,'QA Log'!M:M,"Vignette",'QA Log'!Z:Z,"Approved",'QA Log'!L:L,"*Exit Interview 1*"),
    COUNTIFS('QA Log'!D:D,A419,'QA Log'!M:M,"Vignette",'QA Log'!Z:Z,"Approved",'QA Log'!L:L,"*Exit Interview 2*")
  )
)</f>
        <v/>
      </c>
      <c r="BR419" s="105" t="str">
        <f>IF(A419&lt;&gt;"",COUNTIFS('QA Log'!D:D,A419,'QA Log'!M:M,"Vignette",'QA Log'!L:L,"Exit Interview 1",'QA Log'!Z:Z,"Approved"),"")</f>
        <v/>
      </c>
      <c r="BS419" s="105" t="str">
        <f>IF(A419&lt;&gt;"",COUNTIFS('QA Log'!D:D,A419,'QA Log'!M:M,"Vignette",'QA Log'!L:L,"Exit Interview 2",'QA Log'!Z:Z,"Approved"),"")</f>
        <v/>
      </c>
      <c r="BT419" s="102" t="str">
        <f>IF(
  A419="","",
  SUM(
    COUNTIFS('QA Log'!D:D,A419,'QA Log'!M:M,"Vignette",'QA Log'!Z:Z,"Rejected",'QA Log'!L:L,"*Exit Interview 1*"),
    COUNTIFS('QA Log'!D:D,A419,'QA Log'!M:M,"Vignette",'QA Log'!Z:Z,"Rejected",'QA Log'!L:L,"*Exit Interview 2*")
  )
)</f>
        <v/>
      </c>
      <c r="BU419" s="107" t="str">
        <f t="shared" si="39"/>
        <v/>
      </c>
      <c r="BV419" s="102" t="str">
        <f t="shared" si="40"/>
        <v/>
      </c>
      <c r="BW419" s="102" t="str">
        <f t="shared" si="41"/>
        <v/>
      </c>
      <c r="BX419" s="102" t="str">
        <f t="shared" si="42"/>
        <v/>
      </c>
      <c r="BY419" s="102" t="str">
        <f t="shared" si="43"/>
        <v/>
      </c>
      <c r="BZ419" s="107" t="str">
        <f t="shared" si="44"/>
        <v/>
      </c>
      <c r="CA419" s="108" t="str">
        <f t="shared" si="45"/>
        <v/>
      </c>
      <c r="CB419" s="108" t="str">
        <f t="shared" si="46"/>
        <v/>
      </c>
      <c r="CC419" s="109" t="str">
        <f t="shared" si="47"/>
        <v/>
      </c>
      <c r="CD419" s="108" t="str">
        <f t="shared" si="48"/>
        <v/>
      </c>
      <c r="CE419" s="108" t="str">
        <f t="shared" si="49"/>
        <v/>
      </c>
      <c r="CF419" s="109" t="str">
        <f t="shared" si="50"/>
        <v/>
      </c>
      <c r="CG419" s="110" t="str">
        <f t="shared" si="51"/>
        <v/>
      </c>
      <c r="CH419" s="111"/>
    </row>
    <row r="420" spans="1:86" ht="12.75">
      <c r="A420" s="101"/>
      <c r="B420" s="102" t="e">
        <f t="array" aca="1" ref="B420" ca="1">_xludf.XLOOKUP(A420,'QA Log'!D:D,'QA Log'!E:E,"")</f>
        <v>#NAME?</v>
      </c>
      <c r="C420" s="102" t="e">
        <f t="array" aca="1" ref="C420" ca="1">_xludf.XLOOKUP(A420,'QA Log'!D:D,'QA Log'!F:F,"")</f>
        <v>#NAME?</v>
      </c>
      <c r="D420" s="102" t="e">
        <f t="array" aca="1" ref="D420" ca="1">_xludf.XLOOKUP(A420,'QA Log'!D:D,'QA Log'!H:H,"")</f>
        <v>#NAME?</v>
      </c>
      <c r="E420" s="102" t="e">
        <f t="array" aca="1" ref="E420" ca="1">_xludf.XLOOKUP(A420,'QA Log'!D:D,'QA Log'!G:G,"")</f>
        <v>#NAME?</v>
      </c>
      <c r="F420" s="103"/>
      <c r="G420" s="104"/>
      <c r="H420" s="104"/>
      <c r="I420" s="103" t="str">
        <f t="shared" si="26"/>
        <v/>
      </c>
      <c r="J420" s="102" t="str">
        <f>IF(A420="","",SUM(
COUNTIFS('QA Log'!D:D,A420,'QA Log'!M:M,"QQC",'QA Log'!L:L,"*1. General Management*"),
COUNTIFS('QA Log'!D:D,A420,'QA Log'!M:M,"QQC",'QA Log'!L:L,"*3. Curative Consultation (OPD)*"),
COUNTIFS('QA Log'!D:D,A420,'QA Log'!M:M,"QQC",'QA Log'!L:L,"*5. Laboratory*"),
COUNTIFS('QA Log'!D:D,A420,'QA Log'!M:M,"QQC",'QA Log'!L:L,"*6. Essential Medicine Management*"),
COUNTIFS('QA Log'!D:D,A420,'QA Log'!M:M,"QQC",'QA Log'!L:L,"*7. Tracer Medicine*"),
COUNTIFS('QA Log'!D:D,A420,'QA Log'!M:M,"QQC",'QA Log'!L:L,"*11. Additional Questions*")))</f>
        <v/>
      </c>
      <c r="K420" s="102" t="str">
        <f>IF(A420="","",SUM(
COUNTIFS('QA Log'!D:D,A420,'QA Log'!M:M,"QQC",'QA Log'!Z:Z,"Approved",'QA Log'!L:L,"*1. General Management*"),
COUNTIFS('QA Log'!D:D,A420,'QA Log'!M:M,"QQC",'QA Log'!Z:Z,"Approved",'QA Log'!L:L,"*3. Curative Consultation (OPD)*"),
COUNTIFS('QA Log'!D:D,A420,'QA Log'!M:M,"QQC",'QA Log'!Z:Z,"Approved",'QA Log'!L:L,"*5. Laboratory*"),
COUNTIFS('QA Log'!D:D,A420,'QA Log'!M:M,"QQC",'QA Log'!Z:Z,"Approved",'QA Log'!L:L,"*6. Essential Medicine Management*"),
COUNTIFS('QA Log'!D:D,A420,'QA Log'!M:M,"QQC",'QA Log'!Z:Z,"Approved",'QA Log'!L:L,"*7. Tracer Medicine*"),
COUNTIFS('QA Log'!D:D,A420,'QA Log'!M:M,"QQC",'QA Log'!Z:Z,"Approved",'QA Log'!L:L,"*11. Additional Questions*")))</f>
        <v/>
      </c>
      <c r="L420" s="102" t="str">
        <f>IF(A420&lt;&gt;"",COUNTIFS('QA Log'!D:D,A420,'QA Log'!M:M,"QQC",'QA Log'!L:L,"1. General Management",'QA Log'!Z:Z,"Approved"),"")</f>
        <v/>
      </c>
      <c r="M420" s="102" t="str">
        <f>IF(A420&lt;&gt;"",COUNTIFS('QA Log'!D:D,A420,'QA Log'!M:M,"QQC",'QA Log'!L:L,"3. Curative Consultation (OPD)",'QA Log'!Z:Z,"Approved"),"")</f>
        <v/>
      </c>
      <c r="N420" s="102" t="str">
        <f>IF(A420&lt;&gt;"",COUNTIFS('QA Log'!D:D,A420,'QA Log'!M:M,"QQC",'QA Log'!L:L,"5. Laboratory",'QA Log'!Z:Z,"Approved"),"")</f>
        <v/>
      </c>
      <c r="O420" s="102" t="str">
        <f>IF(A420&lt;&gt;"",COUNTIFS('QA Log'!D:D,A420,'QA Log'!M:M,"QQC",'QA Log'!L:L,"6. Essential Medicine Management",'QA Log'!Z:Z,"Approved"),"")</f>
        <v/>
      </c>
      <c r="P420" s="102" t="str">
        <f>IF(A420&lt;&gt;"",COUNTIFS('QA Log'!D:D,A420,'QA Log'!M:M,"QQC",'QA Log'!L:L,"7. Tracer Medicine",'QA Log'!Z:Z,"Approved"),"")</f>
        <v/>
      </c>
      <c r="Q420" s="102" t="str">
        <f>IF(A420&lt;&gt;"",COUNTIFS('QA Log'!D:D,A420,'QA Log'!M:M,"QQC",'QA Log'!L:L,"11. Additional Questions",'QA Log'!Z:Z,"Approved"),"")</f>
        <v/>
      </c>
      <c r="R420" s="102" t="str">
        <f>IF(A420="","",SUM(
COUNTIFS('QA Log'!D:D,A420,'QA Log'!M:M,"QQC",'QA Log'!Z:Z,"Rejected",'QA Log'!L:L,"*8. Maternity*"),
COUNTIFS('QA Log'!D:D,A420,'QA Log'!M:M,"QQC",'QA Log'!Z:Z,"Rejected",'QA Log'!L:L,"*EPI*"),
COUNTIFS('QA Log'!D:D,A420,'QA Log'!M:M,"QQC",'QA Log'!Z:Z,"Rejected",'QA Log'!L:L,"*10. Antenatal Care (ANC)*"),
COUNTIFS('QA Log'!D:D,A420,'QA Log'!M:M,"QQC",'QA Log'!Z:Z,"Rejected",'QA Log'!L:L,"*2. Hygiene and Sterilization*"),
COUNTIFS('QA Log'!D:D,A420,'QA Log'!M:M,"QQC",'QA Log'!Z:Z,"Rejected",'QA Log'!L:L,"*Family Planning*")))</f>
        <v/>
      </c>
      <c r="S420" s="106" t="str">
        <f t="shared" si="27"/>
        <v/>
      </c>
      <c r="T420" s="102" t="str">
        <f t="shared" si="28"/>
        <v/>
      </c>
      <c r="U420" s="102" t="str">
        <f>IF(A420="","",
SUM(
COUNTIFS('QA Log'!D:D,A420,'QA Log'!M:M,"QQC",'QA Log'!L:L,"*8. Maternity*"),
COUNTIFS('QA Log'!D:D,A420,'QA Log'!M:M,"QQC",'QA Log'!L:L,"*9. EPI and Pre-school Consultation*"),
COUNTIFS('QA Log'!D:D,A420,'QA Log'!M:M,"QQC",'QA Log'!L:L,"*10. Antenatal Care (ANC)*"),
COUNTIFS('QA Log'!D:D,A420,'QA Log'!M:M,"QQC",'QA Log'!L:L,"*2. Hygiene and Sterilization*"),
COUNTIFS('QA Log'!D:D,A420,'QA Log'!M:M,"QQC",'QA Log'!L:L,"*4. Family Planning*")
))</f>
        <v/>
      </c>
      <c r="V420" s="102" t="str">
        <f>IF(A420="","",
SUM(
COUNTIFS('QA Log'!D:D,A420,'QA Log'!M:M,"QQC",'QA Log'!Z:Z,"Approved",'QA Log'!L:L,"*8. Maternity*"),
COUNTIFS('QA Log'!D:D,A420,'QA Log'!M:M,"QQC",'QA Log'!Z:Z,"Approved",'QA Log'!L:L,"*9. EPI and Pre-school Consultation*"),
COUNTIFS('QA Log'!D:D,A420,'QA Log'!M:M,"QQC",'QA Log'!Z:Z,"Approved",'QA Log'!L:L,"*10. Antenatal Care (ANC)*"),
COUNTIFS('QA Log'!D:D,A420,'QA Log'!M:M,"QQC",'QA Log'!Z:Z,"Approved",'QA Log'!L:L,"*2. Hygiene and Sterilization*"),
COUNTIFS('QA Log'!D:D,A420,'QA Log'!M:M,"QQC",'QA Log'!Z:Z,"Approved",'QA Log'!L:L,"*4. Family Planning*")
))</f>
        <v/>
      </c>
      <c r="W420" s="102" t="str">
        <f>IF(A420&lt;&gt;"",COUNTIFS('QA Log'!D:D,A420,'QA Log'!M:M,"QQC",'QA Log'!L:L,"8. Maternity",'QA Log'!Z:Z,"Approved"),"")</f>
        <v/>
      </c>
      <c r="X420" s="105" t="str">
        <f>IF(A420&lt;&gt;"",COUNTIFS('QA Log'!D:D,A420,'QA Log'!M:M,"QQC",'QA Log'!L:L,"9. EPI and Pre-school Consultation",'QA Log'!Z:Z,"Approved"),"")</f>
        <v/>
      </c>
      <c r="Y420" s="102" t="str">
        <f>IF(A420&lt;&gt;"",COUNTIFS('QA Log'!D:D,A420,'QA Log'!M:M,"QQC",'QA Log'!L:L,"10. Antenatal Care (ANC)",'QA Log'!Z:Z,"Approved"),"")</f>
        <v/>
      </c>
      <c r="Z420" s="102" t="str">
        <f>IF(A420&lt;&gt;"",COUNTIFS('QA Log'!D:D,A420,'QA Log'!M:M,"QQC",'QA Log'!L:L,"2. Hygiene and Sterilization",'QA Log'!Z:Z,"Approved"),"")</f>
        <v/>
      </c>
      <c r="AA420" s="105" t="str">
        <f>IF(A420&lt;&gt;"",COUNTIFS('QA Log'!D:D,A420,'QA Log'!M:M,"QQC",'QA Log'!L:L,"4. Family Planning",'QA Log'!Z:Z,"Approved"),"")</f>
        <v/>
      </c>
      <c r="AB420" s="102" t="str">
        <f>IF(A420="","",
SUM(
COUNTIFS('QA Log'!D:D,A420,'QA Log'!M:M,"QQC",'QA Log'!Z:Z,"Rejected",'QA Log'!L:L,"*8. Maternity*"),
COUNTIFS('QA Log'!D:D,A420,'QA Log'!M:M,"QQC",'QA Log'!Z:Z,"Rejected",'QA Log'!L:L,"*9. EPI and Pre-school Consultation*"),
COUNTIFS('QA Log'!D:D,A420,'QA Log'!M:M,"QQC",'QA Log'!Z:Z,"Rejected",'QA Log'!L:L,"*10. Antenatal Care (ANC)*"),
COUNTIFS('QA Log'!D:D,A420,'QA Log'!M:M,"QQC",'QA Log'!Z:Z,"Rejected",'QA Log'!L:L,"*2. Hygiene and Sterilization*"),
COUNTIFS('QA Log'!D:D,A420,'QA Log'!M:M,"QQC",'QA Log'!Z:Z,"Rejected",'QA Log'!L:L,"*4. Family Planning*")
))</f>
        <v/>
      </c>
      <c r="AC420" s="102" t="str">
        <f t="shared" si="29"/>
        <v/>
      </c>
      <c r="AD420" s="103" t="str">
        <f t="shared" si="30"/>
        <v/>
      </c>
      <c r="AE420" s="102" t="str">
        <f>IF(A420="","",
SUM(
COUNTIFS('QA Log'!D:D,A420,'QA Log'!M:M,"Data Verification",'QA Log'!L:L,"*Medicine (section 2)*"),
COUNTIFS('QA Log'!D:D,A420,'QA Log'!M:M,"Data Verification",'QA Log'!L:L,"*Lab Testing Availability*"),
COUNTIFS('QA Log'!D:D,A420,'QA Log'!M:M,"Data Verification",'QA Log'!L:L,"*Other than P4P (section 6)*"),
COUNTIFS('QA Log'!D:D,A420,'QA Log'!M:M,"Data Verification",'QA Log'!L:L,"*Hospital Governance*")
))</f>
        <v/>
      </c>
      <c r="AF420" s="102" t="str">
        <f>IF(A420="","",
SUM(
COUNTIFS('QA Log'!D:D,A420,'QA Log'!M:M,"Data Verification",'QA Log'!Z:Z,"Approved",'QA Log'!L:L,"*Medicine (section 2)*"),
COUNTIFS('QA Log'!D:D,A420,'QA Log'!M:M,"Data Verification",'QA Log'!Z:Z,"Approved",'QA Log'!L:L,"*Lab Testing Availability*"),
COUNTIFS('QA Log'!D:D,A420,'QA Log'!M:M,"Data Verification",'QA Log'!Z:Z,"Approved",'QA Log'!L:L,"*Other than P4P (section 6)*"),
COUNTIFS('QA Log'!D:D,A420,'QA Log'!M:M,"Data Verification",'QA Log'!Z:Z,"Approved",'QA Log'!L:L,"*Hospital Governance*")
))</f>
        <v/>
      </c>
      <c r="AG420" s="105" t="str">
        <f>IF(A420&lt;&gt;"",COUNTIFS('QA Log'!D:D,A420,'QA Log'!M:M,"Data Verification",'QA Log'!L:L,"Medicine (section 2)",'QA Log'!Z:Z,"Approved"),"")</f>
        <v/>
      </c>
      <c r="AH420" s="105" t="str">
        <f>IF(A420&lt;&gt;"",COUNTIFS('QA Log'!D:D,A420,'QA Log'!M:M,"Data Verification",'QA Log'!L:L,"Lab Testing Availability",'QA Log'!Z:Z,"Approved"),"")</f>
        <v/>
      </c>
      <c r="AI420" s="105" t="str">
        <f>IF(A420&lt;&gt;"",COUNTIFS('QA Log'!D:D,A420,'QA Log'!M:M,"Data Verification",'QA Log'!L:L,"Other than P4P (section 6)",'QA Log'!Z:Z,"Approved"),"")</f>
        <v/>
      </c>
      <c r="AJ420" s="105" t="str">
        <f>IF(A420&lt;&gt;"",COUNTIFS('QA Log'!D:D,A420,'QA Log'!M:M,"Data Verification",'QA Log'!L:L,"Hospital Governance",'QA Log'!Z:Z,"Approved"),"")</f>
        <v/>
      </c>
      <c r="AK420" s="102" t="str">
        <f>IF(A420="","",
SUM(
COUNTIFS('QA Log'!D:D,A420,'QA Log'!M:M,"Data Verification",'QA Log'!Z:Z,"Rejected",'QA Log'!L:L,"*Medicine (section 2)*"),
COUNTIFS('QA Log'!D:D,A420,'QA Log'!M:M,"Data Verification",'QA Log'!Z:Z,"Rejected",'QA Log'!L:L,"*Lab Testing Availability*"),
COUNTIFS('QA Log'!D:D,A420,'QA Log'!M:M,"Data Verification",'QA Log'!Z:Z,"Rejected",'QA Log'!L:L,"*Other than P4P (section 6)*"),
COUNTIFS('QA Log'!D:D,A420,'QA Log'!M:M,"Data Verification",'QA Log'!Z:Z,"Rejected",'QA Log'!L:L,"*Hospital Governance*")
))</f>
        <v/>
      </c>
      <c r="AL420" s="106" t="str">
        <f t="shared" si="31"/>
        <v/>
      </c>
      <c r="AM420" s="102" t="str">
        <f t="shared" si="32"/>
        <v/>
      </c>
      <c r="AN420" s="102" t="str">
        <f>IF(A420="","",
SUM(
COUNTIFS('QA Log'!D:D,A420,'QA Log'!M:M,"Data Verification",'QA Log'!L:L,"*Personnel (section 1)*"),
COUNTIFS('QA Log'!D:D,A420,'QA Log'!M:M,"Data Verification",'QA Log'!L:L,"*Consumable (section 3)*"),
COUNTIFS('QA Log'!D:D,A420,'QA Log'!M:M,"Data Verification",'QA Log'!L:L,"*Equipments (section 4)*")
))</f>
        <v/>
      </c>
      <c r="AO420" s="102" t="str">
        <f>IF(A420="","",
SUM(
COUNTIFS('QA Log'!D:D,A420,'QA Log'!M:M,"Data Verification",'QA Log'!Z:Z,"Approved",'QA Log'!L:L,"*Personnel (section 1)*"),
COUNTIFS('QA Log'!D:D,A420,'QA Log'!M:M,"Data Verification",'QA Log'!Z:Z,"Approved",'QA Log'!L:L,"*Consumable (section 3)*"),
COUNTIFS('QA Log'!D:D,A420,'QA Log'!M:M,"Data Verification",'QA Log'!Z:Z,"Approved",'QA Log'!L:L,"*Equipments (section 4)*")
))</f>
        <v/>
      </c>
      <c r="AP420" s="105" t="str">
        <f>IF(A420&lt;&gt;"",COUNTIFS('QA Log'!D:D,A420,'QA Log'!M:M,"Data Verification",'QA Log'!L:L,"Personnel (section 1)",'QA Log'!Z:Z,"Approved"),"")</f>
        <v/>
      </c>
      <c r="AQ420" s="105" t="str">
        <f>IF(A420&lt;&gt;"",COUNTIFS('QA Log'!D:D,A420,'QA Log'!M:M,"Data Verification",'QA Log'!L:L,"Consumable (section 3)",'QA Log'!Z:Z,"Approved"),"")</f>
        <v/>
      </c>
      <c r="AR420" s="105" t="str">
        <f>IF(A420&lt;&gt;"",COUNTIFS('QA Log'!D:D,A420,'QA Log'!M:M,"Data Verification",'QA Log'!L:L,"Equipments (section 4)",'QA Log'!Z:Z,"Approved"),"")</f>
        <v/>
      </c>
      <c r="AS420" s="102" t="str">
        <f>IF(A420="","",
SUM(
COUNTIFS('QA Log'!D:D,A420,'QA Log'!M:M,"Data Verification",'QA Log'!Z:Z,"Rejected",'QA Log'!L:L,"*Personnel (section 1)*"),
COUNTIFS('QA Log'!D:D,A420,'QA Log'!M:M,"Data Verification",'QA Log'!Z:Z,"Rejected",'QA Log'!L:L,"*Consumable (section 3)*"),
COUNTIFS('QA Log'!D:D,A420,'QA Log'!M:M,"Data Verification",'QA Log'!Z:Z,"Rejected",'QA Log'!L:L,"*Equipments (section 4)*")
))</f>
        <v/>
      </c>
      <c r="AT420" s="102" t="str">
        <f t="shared" si="33"/>
        <v/>
      </c>
      <c r="AU420" s="103" t="str">
        <f t="shared" si="34"/>
        <v/>
      </c>
      <c r="AV420" s="102" t="str">
        <f>IF(A420="","",SUM(
COUNTIFS('QA Log'!D:D,A420,'QA Log'!M:M,"Vignette",'QA Log'!L:L,"*Vignette [1] Respiratory Infection: Pneumonia*"),
COUNTIFS('QA Log'!D:D,A420,'QA Log'!M:M,"Vignette",'QA Log'!L:L,"*Vignette [2]: Diarrhea with Cat B dehydration*"),
COUNTIFS('QA Log'!D:D,A420,'QA Log'!M:M,"Vignette",'QA Log'!L:L,"*Vignette [3] Growth Monitoring and Promotion*"),
COUNTIFS('QA Log'!D:D,A420,'QA Log'!M:M,"Vignette",'QA Log'!L:L,"*Vignette [4]: The management of presumptive TB patient*")
)
)</f>
        <v/>
      </c>
      <c r="AW420" s="102" t="str">
        <f>IF(
  A420="","",
  SUM(
    COUNTIFS('QA Log'!D:D,A420,'QA Log'!M:M,"Vignette",'QA Log'!Z:Z,"Approved",'QA Log'!L:L,"*Vignette [1] Respiratory Infection: Pneumonia*"),
    COUNTIFS('QA Log'!D:D,A420,'QA Log'!M:M,"Vignette",'QA Log'!Z:Z,"Approved",'QA Log'!L:L,"*Vignette [2]: Diarrhea with Cat B dehydration*"),
    COUNTIFS('QA Log'!D:D,A420,'QA Log'!M:M,"Vignette",'QA Log'!Z:Z,"Approved",'QA Log'!L:L,"*Vignette [3] Growth Monitoring and Promotion*"),
    COUNTIFS('QA Log'!D:D,A420,'QA Log'!M:M,"Vignette",'QA Log'!Z:Z,"Approved",'QA Log'!L:L,"*Vignette [4]: The management of presumptive TB patient*")
  )
)</f>
        <v/>
      </c>
      <c r="AX420" s="105" t="str">
        <f>IF(A420&lt;&gt;"",COUNTIFS('QA Log'!D:D,A420,'QA Log'!M:M,"Vignette",'QA Log'!L:L,"Vignette [1] Respiratory Infection: Pneumonia",'QA Log'!Z:Z,"Approved"),"")</f>
        <v/>
      </c>
      <c r="AY420" s="105" t="str">
        <f>IF(A420&lt;&gt;"",COUNTIFS('QA Log'!D:D,A420,'QA Log'!M:M,"Vignette",'QA Log'!L:L,"Vignette [2]: Diarrhea with Cat B dehydration",'QA Log'!Z:Z,"Approved"),"")</f>
        <v/>
      </c>
      <c r="AZ420" s="105" t="str">
        <f>IF(A420&lt;&gt;"",COUNTIFS('QA Log'!D:D,A420,'QA Log'!M:M,"Vignette",'QA Log'!L:L,"Vignette [3] Growth Monitoring and Promotion",'QA Log'!Z:Z,"Approved"),"")</f>
        <v/>
      </c>
      <c r="BA420" s="105" t="str">
        <f>IF(A420&lt;&gt;"",COUNTIFS('QA Log'!D:D,A420,'QA Log'!M:M,"Vignette",'QA Log'!L:L,"Vignette [4]: The management of presumptive TB patient",'QA Log'!Z:Z,"Approved"),"")</f>
        <v/>
      </c>
      <c r="BB420" s="102" t="str">
        <f>IF(A420="","",
  SUM(
    COUNTIFS('QA Log'!D:D,A420,'QA Log'!M:M,"Vignette",'QA Log'!Z:Z,"Rejected",'QA Log'!L:L,"*Vignette [1] Respiratory Infection: Pneumonia*"),
    COUNTIFS('QA Log'!D:D,A420,'QA Log'!M:M,"Vignette",'QA Log'!Z:Z,"Rejected",'QA Log'!L:L,"*Vignette [2]: Diarrhea with Cat B dehydration*"),
    COUNTIFS('QA Log'!D:D,A420,'QA Log'!M:M,"Vignette",'QA Log'!Z:Z,"Rejected",'QA Log'!L:L,"*Vignette [3] Growth Monitoring and Promotion*"),
    COUNTIFS('QA Log'!D:D,A420,'QA Log'!M:M,"Vignette",'QA Log'!Z:Z,"Rejected",'QA Log'!L:L,"*Vignette [4]: The management of presumptive TB patient*")
  )
)</f>
        <v/>
      </c>
      <c r="BC420" s="107" t="str">
        <f t="shared" si="35"/>
        <v/>
      </c>
      <c r="BD420" s="103" t="str">
        <f t="shared" si="36"/>
        <v/>
      </c>
      <c r="BE420" s="102" t="str">
        <f>IF(A420="","",SUM(
COUNTIFS('QA Log'!D:D,A420,'QA Log'!M:M,"Vignette",'QA Log'!L:L,"*Vignette [5] Labor*"),
COUNTIFS('QA Log'!D:D,A420,'QA Log'!M:M,"Vignette",'QA Log'!L:L,"*Vignette [6] PNC pre Discharge*"),
COUNTIFS('QA Log'!D:D,A420,'QA Log'!M:M,"Vignette",'QA Log'!L:L,"*Vignette [7] First ANC Visit*"),
COUNTIFS('QA Log'!D:D,A420,'QA Log'!M:M,"Vignette",'QA Log'!L:L,"*Vignette [8] Birth Spacing/ Family Planning :  FP Counselling*"),
COUNTIFS('QA Log'!D:D,A420,'QA Log'!M:M,"Vignette",'QA Log'!L:L,"*Vignette [9] Birth Spacing: Change FP method to Injectable*"),
COUNTIFS('QA Log'!D:D,A420,'QA Log'!M:M,"Vignette",'QA Log'!L:L,"*Vignette [10] Post Partum Haemorrhage - Atonic Uterus at Health Centre*"),
)
)</f>
        <v/>
      </c>
      <c r="BF420" s="102" t="str">
        <f>IF(A420="","",
  SUM(
    COUNTIFS('QA Log'!D:D,A420,'QA Log'!M:M,"Vignette",'QA Log'!Z:Z,"Approved",'QA Log'!L:L,"*Vignette [5] Labor*"),
    COUNTIFS('QA Log'!D:D,A420,'QA Log'!M:M,"Vignette",'QA Log'!Z:Z,"Approved",'QA Log'!L:L,"*Vignette [6] PNC pre Discharge*"),
    COUNTIFS('QA Log'!D:D,A420,'QA Log'!M:M,"Vignette",'QA Log'!Z:Z,"Approved",'QA Log'!L:L,"*Vignette [7] First ANC Visit*"),
    COUNTIFS('QA Log'!D:D,A420,'QA Log'!M:M,"Vignette",'QA Log'!Z:Z,"Approved",'QA Log'!L:L,"*Vignette [8] Birth Spacing/ Family Planning :  FP Counselling*"),
    COUNTIFS('QA Log'!D:D,A420,'QA Log'!M:M,"Vignette",'QA Log'!Z:Z,"Approved",'QA Log'!L:L,"*Vignette [9] Birth Spacing: Change FP method to Injectable*"),
    COUNTIFS('QA Log'!D:D,A420,'QA Log'!M:M,"Vignette",'QA Log'!Z:Z,"Approved",'QA Log'!L:L,"*Vignette [10] Post Partum Haemorrhage - Atonic Uterus at Health Centre*")
  )
)</f>
        <v/>
      </c>
      <c r="BG420" s="105" t="str">
        <f>IF(A420&lt;&gt;"",COUNTIFS('QA Log'!D:D,A420,'QA Log'!M:M,"Vignette",'QA Log'!L:L,"Vignette [5] Labor",'QA Log'!Z:Z,"Approved"),"")</f>
        <v/>
      </c>
      <c r="BH420" s="105" t="str">
        <f>IF(A420&lt;&gt;"",COUNTIFS('QA Log'!D:D,A420,'QA Log'!M:M,"Vignette",'QA Log'!L:L,"Vignette [6] PNC pre Discharge",'QA Log'!Z:Z,"Approved"),"")</f>
        <v/>
      </c>
      <c r="BI420" s="105" t="str">
        <f>IF(A420&lt;&gt;"",COUNTIFS('QA Log'!D:D,A420,'QA Log'!M:M,"Vignette",'QA Log'!L:L,"Vignette [7] First ANC Visit",'QA Log'!Z:Z,"Approved"),"")</f>
        <v/>
      </c>
      <c r="BJ420" s="105" t="str">
        <f>IF(A420&lt;&gt;"",COUNTIFS('QA Log'!D:D,A420,'QA Log'!M:M,"Vignette",'QA Log'!L:L,"Vignette [8] Birth Spacing/ Family Planning :  FP Counselling",'QA Log'!Z:Z,"Approved"),"")</f>
        <v/>
      </c>
      <c r="BK420" s="105" t="str">
        <f>IF(A420&lt;&gt;"",COUNTIFS('QA Log'!D:D,A420,'QA Log'!M:M,"Vignette",'QA Log'!L:L,"Vignette [9] Birth Spacing: Change FP method to Injectable",'QA Log'!Z:Z,"Approved"),"")</f>
        <v/>
      </c>
      <c r="BL420" s="105" t="str">
        <f>IF(A420&lt;&gt;"",COUNTIFS('QA Log'!D:D,A420,'QA Log'!M:M,"Vignette",'QA Log'!L:L,"Vignette [10] Post Partum Haemorrhage - Atonic Uterus at Health Centre",'QA Log'!Z:Z,"Approved"),"")</f>
        <v/>
      </c>
      <c r="BM420" s="102" t="str">
        <f>IF(A420="","",SUM(
    COUNTIFS('QA Log'!D:D,A420,'QA Log'!M:M,"Vignette",'QA Log'!Z:Z,"Rejected",'QA Log'!L:L,"*Vignette [5] Labor*"),
    COUNTIFS('QA Log'!D:D,A420,'QA Log'!M:M,"Vignette",'QA Log'!Z:Z,"Rejected",'QA Log'!L:L,"*Vignette [6] PNC pre Discharge*"),
    COUNTIFS('QA Log'!D:D,A420,'QA Log'!M:M,"Vignette",'QA Log'!Z:Z,"Rejected",'QA Log'!L:L,"*Vignette [7] First ANC Visit*"),
    COUNTIFS('QA Log'!D:D,A420,'QA Log'!M:M,"Vignette",'QA Log'!Z:Z,"Rejected",'QA Log'!L:L,"*Vignette [8] Birth Spacing/ Family Planning :  FP Counselling*"),
    COUNTIFS('QA Log'!D:D,A420,'QA Log'!M:M,"Vignette",'QA Log'!Z:Z,"Rejected",'QA Log'!L:L,"*Vignette [9] Birth Spacing: Change FP method to Injectable*"),
    COUNTIFS('QA Log'!D:D,A420,'QA Log'!M:M,"Vignette",'QA Log'!Z:Z,"Rejected",'QA Log'!L:L,"*Vignette [10] Post Partum Haemorrhage - Atonic Uterus at Health Centre*")
  )
)</f>
        <v/>
      </c>
      <c r="BN420" s="107" t="str">
        <f t="shared" si="37"/>
        <v/>
      </c>
      <c r="BO420" s="103" t="str">
        <f t="shared" si="38"/>
        <v/>
      </c>
      <c r="BP420" s="102" t="str">
        <f>IF(A420="","",SUM(
COUNTIFS('QA Log'!D:D,A420,'QA Log'!M:M,"Vignette",'QA Log'!L:L,"*Exit Interview 1*"),
COUNTIFS('QA Log'!D:D,A420,'QA Log'!M:M,"Vignette",'QA Log'!L:L,"*Exit Interview 2*"),
)
)</f>
        <v/>
      </c>
      <c r="BQ420" s="102" t="str">
        <f>IF(
  A420="","",
  SUM(
    COUNTIFS('QA Log'!D:D,A420,'QA Log'!M:M,"Vignette",'QA Log'!Z:Z,"Approved",'QA Log'!L:L,"*Exit Interview 1*"),
    COUNTIFS('QA Log'!D:D,A420,'QA Log'!M:M,"Vignette",'QA Log'!Z:Z,"Approved",'QA Log'!L:L,"*Exit Interview 2*")
  )
)</f>
        <v/>
      </c>
      <c r="BR420" s="105" t="str">
        <f>IF(A420&lt;&gt;"",COUNTIFS('QA Log'!D:D,A420,'QA Log'!M:M,"Vignette",'QA Log'!L:L,"Exit Interview 1",'QA Log'!Z:Z,"Approved"),"")</f>
        <v/>
      </c>
      <c r="BS420" s="105" t="str">
        <f>IF(A420&lt;&gt;"",COUNTIFS('QA Log'!D:D,A420,'QA Log'!M:M,"Vignette",'QA Log'!L:L,"Exit Interview 2",'QA Log'!Z:Z,"Approved"),"")</f>
        <v/>
      </c>
      <c r="BT420" s="102" t="str">
        <f>IF(
  A420="","",
  SUM(
    COUNTIFS('QA Log'!D:D,A420,'QA Log'!M:M,"Vignette",'QA Log'!Z:Z,"Rejected",'QA Log'!L:L,"*Exit Interview 1*"),
    COUNTIFS('QA Log'!D:D,A420,'QA Log'!M:M,"Vignette",'QA Log'!Z:Z,"Rejected",'QA Log'!L:L,"*Exit Interview 2*")
  )
)</f>
        <v/>
      </c>
      <c r="BU420" s="107" t="str">
        <f t="shared" si="39"/>
        <v/>
      </c>
      <c r="BV420" s="102" t="str">
        <f t="shared" si="40"/>
        <v/>
      </c>
      <c r="BW420" s="102" t="str">
        <f t="shared" si="41"/>
        <v/>
      </c>
      <c r="BX420" s="102" t="str">
        <f t="shared" si="42"/>
        <v/>
      </c>
      <c r="BY420" s="102" t="str">
        <f t="shared" si="43"/>
        <v/>
      </c>
      <c r="BZ420" s="107" t="str">
        <f t="shared" si="44"/>
        <v/>
      </c>
      <c r="CA420" s="108" t="str">
        <f t="shared" si="45"/>
        <v/>
      </c>
      <c r="CB420" s="108" t="str">
        <f t="shared" si="46"/>
        <v/>
      </c>
      <c r="CC420" s="109" t="str">
        <f t="shared" si="47"/>
        <v/>
      </c>
      <c r="CD420" s="108" t="str">
        <f t="shared" si="48"/>
        <v/>
      </c>
      <c r="CE420" s="108" t="str">
        <f t="shared" si="49"/>
        <v/>
      </c>
      <c r="CF420" s="109" t="str">
        <f t="shared" si="50"/>
        <v/>
      </c>
      <c r="CG420" s="110" t="str">
        <f t="shared" si="51"/>
        <v/>
      </c>
      <c r="CH420" s="111"/>
    </row>
    <row r="421" spans="1:86" ht="12.75">
      <c r="A421" s="101"/>
      <c r="B421" s="102" t="e">
        <f t="array" aca="1" ref="B421" ca="1">_xludf.XLOOKUP(A421,'QA Log'!D:D,'QA Log'!E:E,"")</f>
        <v>#NAME?</v>
      </c>
      <c r="C421" s="102" t="e">
        <f t="array" aca="1" ref="C421" ca="1">_xludf.XLOOKUP(A421,'QA Log'!D:D,'QA Log'!F:F,"")</f>
        <v>#NAME?</v>
      </c>
      <c r="D421" s="102" t="e">
        <f t="array" aca="1" ref="D421" ca="1">_xludf.XLOOKUP(A421,'QA Log'!D:D,'QA Log'!H:H,"")</f>
        <v>#NAME?</v>
      </c>
      <c r="E421" s="102" t="e">
        <f t="array" aca="1" ref="E421" ca="1">_xludf.XLOOKUP(A421,'QA Log'!D:D,'QA Log'!G:G,"")</f>
        <v>#NAME?</v>
      </c>
      <c r="F421" s="103"/>
      <c r="G421" s="104"/>
      <c r="H421" s="104"/>
      <c r="I421" s="103" t="str">
        <f t="shared" si="26"/>
        <v/>
      </c>
      <c r="J421" s="102" t="str">
        <f>IF(A421="","",SUM(
COUNTIFS('QA Log'!D:D,A421,'QA Log'!M:M,"QQC",'QA Log'!L:L,"*1. General Management*"),
COUNTIFS('QA Log'!D:D,A421,'QA Log'!M:M,"QQC",'QA Log'!L:L,"*3. Curative Consultation (OPD)*"),
COUNTIFS('QA Log'!D:D,A421,'QA Log'!M:M,"QQC",'QA Log'!L:L,"*5. Laboratory*"),
COUNTIFS('QA Log'!D:D,A421,'QA Log'!M:M,"QQC",'QA Log'!L:L,"*6. Essential Medicine Management*"),
COUNTIFS('QA Log'!D:D,A421,'QA Log'!M:M,"QQC",'QA Log'!L:L,"*7. Tracer Medicine*"),
COUNTIFS('QA Log'!D:D,A421,'QA Log'!M:M,"QQC",'QA Log'!L:L,"*11. Additional Questions*")))</f>
        <v/>
      </c>
      <c r="K421" s="102" t="str">
        <f>IF(A421="","",SUM(
COUNTIFS('QA Log'!D:D,A421,'QA Log'!M:M,"QQC",'QA Log'!Z:Z,"Approved",'QA Log'!L:L,"*1. General Management*"),
COUNTIFS('QA Log'!D:D,A421,'QA Log'!M:M,"QQC",'QA Log'!Z:Z,"Approved",'QA Log'!L:L,"*3. Curative Consultation (OPD)*"),
COUNTIFS('QA Log'!D:D,A421,'QA Log'!M:M,"QQC",'QA Log'!Z:Z,"Approved",'QA Log'!L:L,"*5. Laboratory*"),
COUNTIFS('QA Log'!D:D,A421,'QA Log'!M:M,"QQC",'QA Log'!Z:Z,"Approved",'QA Log'!L:L,"*6. Essential Medicine Management*"),
COUNTIFS('QA Log'!D:D,A421,'QA Log'!M:M,"QQC",'QA Log'!Z:Z,"Approved",'QA Log'!L:L,"*7. Tracer Medicine*"),
COUNTIFS('QA Log'!D:D,A421,'QA Log'!M:M,"QQC",'QA Log'!Z:Z,"Approved",'QA Log'!L:L,"*11. Additional Questions*")))</f>
        <v/>
      </c>
      <c r="L421" s="102" t="str">
        <f>IF(A421&lt;&gt;"",COUNTIFS('QA Log'!D:D,A421,'QA Log'!M:M,"QQC",'QA Log'!L:L,"1. General Management",'QA Log'!Z:Z,"Approved"),"")</f>
        <v/>
      </c>
      <c r="M421" s="102" t="str">
        <f>IF(A421&lt;&gt;"",COUNTIFS('QA Log'!D:D,A421,'QA Log'!M:M,"QQC",'QA Log'!L:L,"3. Curative Consultation (OPD)",'QA Log'!Z:Z,"Approved"),"")</f>
        <v/>
      </c>
      <c r="N421" s="102" t="str">
        <f>IF(A421&lt;&gt;"",COUNTIFS('QA Log'!D:D,A421,'QA Log'!M:M,"QQC",'QA Log'!L:L,"5. Laboratory",'QA Log'!Z:Z,"Approved"),"")</f>
        <v/>
      </c>
      <c r="O421" s="102" t="str">
        <f>IF(A421&lt;&gt;"",COUNTIFS('QA Log'!D:D,A421,'QA Log'!M:M,"QQC",'QA Log'!L:L,"6. Essential Medicine Management",'QA Log'!Z:Z,"Approved"),"")</f>
        <v/>
      </c>
      <c r="P421" s="102" t="str">
        <f>IF(A421&lt;&gt;"",COUNTIFS('QA Log'!D:D,A421,'QA Log'!M:M,"QQC",'QA Log'!L:L,"7. Tracer Medicine",'QA Log'!Z:Z,"Approved"),"")</f>
        <v/>
      </c>
      <c r="Q421" s="102" t="str">
        <f>IF(A421&lt;&gt;"",COUNTIFS('QA Log'!D:D,A421,'QA Log'!M:M,"QQC",'QA Log'!L:L,"11. Additional Questions",'QA Log'!Z:Z,"Approved"),"")</f>
        <v/>
      </c>
      <c r="R421" s="102" t="str">
        <f>IF(A421="","",SUM(
COUNTIFS('QA Log'!D:D,A421,'QA Log'!M:M,"QQC",'QA Log'!Z:Z,"Rejected",'QA Log'!L:L,"*8. Maternity*"),
COUNTIFS('QA Log'!D:D,A421,'QA Log'!M:M,"QQC",'QA Log'!Z:Z,"Rejected",'QA Log'!L:L,"*EPI*"),
COUNTIFS('QA Log'!D:D,A421,'QA Log'!M:M,"QQC",'QA Log'!Z:Z,"Rejected",'QA Log'!L:L,"*10. Antenatal Care (ANC)*"),
COUNTIFS('QA Log'!D:D,A421,'QA Log'!M:M,"QQC",'QA Log'!Z:Z,"Rejected",'QA Log'!L:L,"*2. Hygiene and Sterilization*"),
COUNTIFS('QA Log'!D:D,A421,'QA Log'!M:M,"QQC",'QA Log'!Z:Z,"Rejected",'QA Log'!L:L,"*Family Planning*")))</f>
        <v/>
      </c>
      <c r="S421" s="106" t="str">
        <f t="shared" si="27"/>
        <v/>
      </c>
      <c r="T421" s="102" t="str">
        <f t="shared" si="28"/>
        <v/>
      </c>
      <c r="U421" s="102" t="str">
        <f>IF(A421="","",
SUM(
COUNTIFS('QA Log'!D:D,A421,'QA Log'!M:M,"QQC",'QA Log'!L:L,"*8. Maternity*"),
COUNTIFS('QA Log'!D:D,A421,'QA Log'!M:M,"QQC",'QA Log'!L:L,"*9. EPI and Pre-school Consultation*"),
COUNTIFS('QA Log'!D:D,A421,'QA Log'!M:M,"QQC",'QA Log'!L:L,"*10. Antenatal Care (ANC)*"),
COUNTIFS('QA Log'!D:D,A421,'QA Log'!M:M,"QQC",'QA Log'!L:L,"*2. Hygiene and Sterilization*"),
COUNTIFS('QA Log'!D:D,A421,'QA Log'!M:M,"QQC",'QA Log'!L:L,"*4. Family Planning*")
))</f>
        <v/>
      </c>
      <c r="V421" s="102" t="str">
        <f>IF(A421="","",
SUM(
COUNTIFS('QA Log'!D:D,A421,'QA Log'!M:M,"QQC",'QA Log'!Z:Z,"Approved",'QA Log'!L:L,"*8. Maternity*"),
COUNTIFS('QA Log'!D:D,A421,'QA Log'!M:M,"QQC",'QA Log'!Z:Z,"Approved",'QA Log'!L:L,"*9. EPI and Pre-school Consultation*"),
COUNTIFS('QA Log'!D:D,A421,'QA Log'!M:M,"QQC",'QA Log'!Z:Z,"Approved",'QA Log'!L:L,"*10. Antenatal Care (ANC)*"),
COUNTIFS('QA Log'!D:D,A421,'QA Log'!M:M,"QQC",'QA Log'!Z:Z,"Approved",'QA Log'!L:L,"*2. Hygiene and Sterilization*"),
COUNTIFS('QA Log'!D:D,A421,'QA Log'!M:M,"QQC",'QA Log'!Z:Z,"Approved",'QA Log'!L:L,"*4. Family Planning*")
))</f>
        <v/>
      </c>
      <c r="W421" s="102" t="str">
        <f>IF(A421&lt;&gt;"",COUNTIFS('QA Log'!D:D,A421,'QA Log'!M:M,"QQC",'QA Log'!L:L,"8. Maternity",'QA Log'!Z:Z,"Approved"),"")</f>
        <v/>
      </c>
      <c r="X421" s="105" t="str">
        <f>IF(A421&lt;&gt;"",COUNTIFS('QA Log'!D:D,A421,'QA Log'!M:M,"QQC",'QA Log'!L:L,"9. EPI and Pre-school Consultation",'QA Log'!Z:Z,"Approved"),"")</f>
        <v/>
      </c>
      <c r="Y421" s="102" t="str">
        <f>IF(A421&lt;&gt;"",COUNTIFS('QA Log'!D:D,A421,'QA Log'!M:M,"QQC",'QA Log'!L:L,"10. Antenatal Care (ANC)",'QA Log'!Z:Z,"Approved"),"")</f>
        <v/>
      </c>
      <c r="Z421" s="102" t="str">
        <f>IF(A421&lt;&gt;"",COUNTIFS('QA Log'!D:D,A421,'QA Log'!M:M,"QQC",'QA Log'!L:L,"2. Hygiene and Sterilization",'QA Log'!Z:Z,"Approved"),"")</f>
        <v/>
      </c>
      <c r="AA421" s="105" t="str">
        <f>IF(A421&lt;&gt;"",COUNTIFS('QA Log'!D:D,A421,'QA Log'!M:M,"QQC",'QA Log'!L:L,"4. Family Planning",'QA Log'!Z:Z,"Approved"),"")</f>
        <v/>
      </c>
      <c r="AB421" s="102" t="str">
        <f>IF(A421="","",
SUM(
COUNTIFS('QA Log'!D:D,A421,'QA Log'!M:M,"QQC",'QA Log'!Z:Z,"Rejected",'QA Log'!L:L,"*8. Maternity*"),
COUNTIFS('QA Log'!D:D,A421,'QA Log'!M:M,"QQC",'QA Log'!Z:Z,"Rejected",'QA Log'!L:L,"*9. EPI and Pre-school Consultation*"),
COUNTIFS('QA Log'!D:D,A421,'QA Log'!M:M,"QQC",'QA Log'!Z:Z,"Rejected",'QA Log'!L:L,"*10. Antenatal Care (ANC)*"),
COUNTIFS('QA Log'!D:D,A421,'QA Log'!M:M,"QQC",'QA Log'!Z:Z,"Rejected",'QA Log'!L:L,"*2. Hygiene and Sterilization*"),
COUNTIFS('QA Log'!D:D,A421,'QA Log'!M:M,"QQC",'QA Log'!Z:Z,"Rejected",'QA Log'!L:L,"*4. Family Planning*")
))</f>
        <v/>
      </c>
      <c r="AC421" s="102" t="str">
        <f t="shared" si="29"/>
        <v/>
      </c>
      <c r="AD421" s="103" t="str">
        <f t="shared" si="30"/>
        <v/>
      </c>
      <c r="AE421" s="102" t="str">
        <f>IF(A421="","",
SUM(
COUNTIFS('QA Log'!D:D,A421,'QA Log'!M:M,"Data Verification",'QA Log'!L:L,"*Medicine (section 2)*"),
COUNTIFS('QA Log'!D:D,A421,'QA Log'!M:M,"Data Verification",'QA Log'!L:L,"*Lab Testing Availability*"),
COUNTIFS('QA Log'!D:D,A421,'QA Log'!M:M,"Data Verification",'QA Log'!L:L,"*Other than P4P (section 6)*"),
COUNTIFS('QA Log'!D:D,A421,'QA Log'!M:M,"Data Verification",'QA Log'!L:L,"*Hospital Governance*")
))</f>
        <v/>
      </c>
      <c r="AF421" s="102" t="str">
        <f>IF(A421="","",
SUM(
COUNTIFS('QA Log'!D:D,A421,'QA Log'!M:M,"Data Verification",'QA Log'!Z:Z,"Approved",'QA Log'!L:L,"*Medicine (section 2)*"),
COUNTIFS('QA Log'!D:D,A421,'QA Log'!M:M,"Data Verification",'QA Log'!Z:Z,"Approved",'QA Log'!L:L,"*Lab Testing Availability*"),
COUNTIFS('QA Log'!D:D,A421,'QA Log'!M:M,"Data Verification",'QA Log'!Z:Z,"Approved",'QA Log'!L:L,"*Other than P4P (section 6)*"),
COUNTIFS('QA Log'!D:D,A421,'QA Log'!M:M,"Data Verification",'QA Log'!Z:Z,"Approved",'QA Log'!L:L,"*Hospital Governance*")
))</f>
        <v/>
      </c>
      <c r="AG421" s="105" t="str">
        <f>IF(A421&lt;&gt;"",COUNTIFS('QA Log'!D:D,A421,'QA Log'!M:M,"Data Verification",'QA Log'!L:L,"Medicine (section 2)",'QA Log'!Z:Z,"Approved"),"")</f>
        <v/>
      </c>
      <c r="AH421" s="105" t="str">
        <f>IF(A421&lt;&gt;"",COUNTIFS('QA Log'!D:D,A421,'QA Log'!M:M,"Data Verification",'QA Log'!L:L,"Lab Testing Availability",'QA Log'!Z:Z,"Approved"),"")</f>
        <v/>
      </c>
      <c r="AI421" s="105" t="str">
        <f>IF(A421&lt;&gt;"",COUNTIFS('QA Log'!D:D,A421,'QA Log'!M:M,"Data Verification",'QA Log'!L:L,"Other than P4P (section 6)",'QA Log'!Z:Z,"Approved"),"")</f>
        <v/>
      </c>
      <c r="AJ421" s="105" t="str">
        <f>IF(A421&lt;&gt;"",COUNTIFS('QA Log'!D:D,A421,'QA Log'!M:M,"Data Verification",'QA Log'!L:L,"Hospital Governance",'QA Log'!Z:Z,"Approved"),"")</f>
        <v/>
      </c>
      <c r="AK421" s="102" t="str">
        <f>IF(A421="","",
SUM(
COUNTIFS('QA Log'!D:D,A421,'QA Log'!M:M,"Data Verification",'QA Log'!Z:Z,"Rejected",'QA Log'!L:L,"*Medicine (section 2)*"),
COUNTIFS('QA Log'!D:D,A421,'QA Log'!M:M,"Data Verification",'QA Log'!Z:Z,"Rejected",'QA Log'!L:L,"*Lab Testing Availability*"),
COUNTIFS('QA Log'!D:D,A421,'QA Log'!M:M,"Data Verification",'QA Log'!Z:Z,"Rejected",'QA Log'!L:L,"*Other than P4P (section 6)*"),
COUNTIFS('QA Log'!D:D,A421,'QA Log'!M:M,"Data Verification",'QA Log'!Z:Z,"Rejected",'QA Log'!L:L,"*Hospital Governance*")
))</f>
        <v/>
      </c>
      <c r="AL421" s="106" t="str">
        <f t="shared" si="31"/>
        <v/>
      </c>
      <c r="AM421" s="102" t="str">
        <f t="shared" si="32"/>
        <v/>
      </c>
      <c r="AN421" s="102" t="str">
        <f>IF(A421="","",
SUM(
COUNTIFS('QA Log'!D:D,A421,'QA Log'!M:M,"Data Verification",'QA Log'!L:L,"*Personnel (section 1)*"),
COUNTIFS('QA Log'!D:D,A421,'QA Log'!M:M,"Data Verification",'QA Log'!L:L,"*Consumable (section 3)*"),
COUNTIFS('QA Log'!D:D,A421,'QA Log'!M:M,"Data Verification",'QA Log'!L:L,"*Equipments (section 4)*")
))</f>
        <v/>
      </c>
      <c r="AO421" s="102" t="str">
        <f>IF(A421="","",
SUM(
COUNTIFS('QA Log'!D:D,A421,'QA Log'!M:M,"Data Verification",'QA Log'!Z:Z,"Approved",'QA Log'!L:L,"*Personnel (section 1)*"),
COUNTIFS('QA Log'!D:D,A421,'QA Log'!M:M,"Data Verification",'QA Log'!Z:Z,"Approved",'QA Log'!L:L,"*Consumable (section 3)*"),
COUNTIFS('QA Log'!D:D,A421,'QA Log'!M:M,"Data Verification",'QA Log'!Z:Z,"Approved",'QA Log'!L:L,"*Equipments (section 4)*")
))</f>
        <v/>
      </c>
      <c r="AP421" s="105" t="str">
        <f>IF(A421&lt;&gt;"",COUNTIFS('QA Log'!D:D,A421,'QA Log'!M:M,"Data Verification",'QA Log'!L:L,"Personnel (section 1)",'QA Log'!Z:Z,"Approved"),"")</f>
        <v/>
      </c>
      <c r="AQ421" s="105" t="str">
        <f>IF(A421&lt;&gt;"",COUNTIFS('QA Log'!D:D,A421,'QA Log'!M:M,"Data Verification",'QA Log'!L:L,"Consumable (section 3)",'QA Log'!Z:Z,"Approved"),"")</f>
        <v/>
      </c>
      <c r="AR421" s="105" t="str">
        <f>IF(A421&lt;&gt;"",COUNTIFS('QA Log'!D:D,A421,'QA Log'!M:M,"Data Verification",'QA Log'!L:L,"Equipments (section 4)",'QA Log'!Z:Z,"Approved"),"")</f>
        <v/>
      </c>
      <c r="AS421" s="102" t="str">
        <f>IF(A421="","",
SUM(
COUNTIFS('QA Log'!D:D,A421,'QA Log'!M:M,"Data Verification",'QA Log'!Z:Z,"Rejected",'QA Log'!L:L,"*Personnel (section 1)*"),
COUNTIFS('QA Log'!D:D,A421,'QA Log'!M:M,"Data Verification",'QA Log'!Z:Z,"Rejected",'QA Log'!L:L,"*Consumable (section 3)*"),
COUNTIFS('QA Log'!D:D,A421,'QA Log'!M:M,"Data Verification",'QA Log'!Z:Z,"Rejected",'QA Log'!L:L,"*Equipments (section 4)*")
))</f>
        <v/>
      </c>
      <c r="AT421" s="102" t="str">
        <f t="shared" si="33"/>
        <v/>
      </c>
      <c r="AU421" s="103" t="str">
        <f t="shared" si="34"/>
        <v/>
      </c>
      <c r="AV421" s="102" t="str">
        <f>IF(A421="","",SUM(
COUNTIFS('QA Log'!D:D,A421,'QA Log'!M:M,"Vignette",'QA Log'!L:L,"*Vignette [1] Respiratory Infection: Pneumonia*"),
COUNTIFS('QA Log'!D:D,A421,'QA Log'!M:M,"Vignette",'QA Log'!L:L,"*Vignette [2]: Diarrhea with Cat B dehydration*"),
COUNTIFS('QA Log'!D:D,A421,'QA Log'!M:M,"Vignette",'QA Log'!L:L,"*Vignette [3] Growth Monitoring and Promotion*"),
COUNTIFS('QA Log'!D:D,A421,'QA Log'!M:M,"Vignette",'QA Log'!L:L,"*Vignette [4]: The management of presumptive TB patient*")
)
)</f>
        <v/>
      </c>
      <c r="AW421" s="102" t="str">
        <f>IF(
  A421="","",
  SUM(
    COUNTIFS('QA Log'!D:D,A421,'QA Log'!M:M,"Vignette",'QA Log'!Z:Z,"Approved",'QA Log'!L:L,"*Vignette [1] Respiratory Infection: Pneumonia*"),
    COUNTIFS('QA Log'!D:D,A421,'QA Log'!M:M,"Vignette",'QA Log'!Z:Z,"Approved",'QA Log'!L:L,"*Vignette [2]: Diarrhea with Cat B dehydration*"),
    COUNTIFS('QA Log'!D:D,A421,'QA Log'!M:M,"Vignette",'QA Log'!Z:Z,"Approved",'QA Log'!L:L,"*Vignette [3] Growth Monitoring and Promotion*"),
    COUNTIFS('QA Log'!D:D,A421,'QA Log'!M:M,"Vignette",'QA Log'!Z:Z,"Approved",'QA Log'!L:L,"*Vignette [4]: The management of presumptive TB patient*")
  )
)</f>
        <v/>
      </c>
      <c r="AX421" s="105" t="str">
        <f>IF(A421&lt;&gt;"",COUNTIFS('QA Log'!D:D,A421,'QA Log'!M:M,"Vignette",'QA Log'!L:L,"Vignette [1] Respiratory Infection: Pneumonia",'QA Log'!Z:Z,"Approved"),"")</f>
        <v/>
      </c>
      <c r="AY421" s="105" t="str">
        <f>IF(A421&lt;&gt;"",COUNTIFS('QA Log'!D:D,A421,'QA Log'!M:M,"Vignette",'QA Log'!L:L,"Vignette [2]: Diarrhea with Cat B dehydration",'QA Log'!Z:Z,"Approved"),"")</f>
        <v/>
      </c>
      <c r="AZ421" s="105" t="str">
        <f>IF(A421&lt;&gt;"",COUNTIFS('QA Log'!D:D,A421,'QA Log'!M:M,"Vignette",'QA Log'!L:L,"Vignette [3] Growth Monitoring and Promotion",'QA Log'!Z:Z,"Approved"),"")</f>
        <v/>
      </c>
      <c r="BA421" s="105" t="str">
        <f>IF(A421&lt;&gt;"",COUNTIFS('QA Log'!D:D,A421,'QA Log'!M:M,"Vignette",'QA Log'!L:L,"Vignette [4]: The management of presumptive TB patient",'QA Log'!Z:Z,"Approved"),"")</f>
        <v/>
      </c>
      <c r="BB421" s="102" t="str">
        <f>IF(A421="","",
  SUM(
    COUNTIFS('QA Log'!D:D,A421,'QA Log'!M:M,"Vignette",'QA Log'!Z:Z,"Rejected",'QA Log'!L:L,"*Vignette [1] Respiratory Infection: Pneumonia*"),
    COUNTIFS('QA Log'!D:D,A421,'QA Log'!M:M,"Vignette",'QA Log'!Z:Z,"Rejected",'QA Log'!L:L,"*Vignette [2]: Diarrhea with Cat B dehydration*"),
    COUNTIFS('QA Log'!D:D,A421,'QA Log'!M:M,"Vignette",'QA Log'!Z:Z,"Rejected",'QA Log'!L:L,"*Vignette [3] Growth Monitoring and Promotion*"),
    COUNTIFS('QA Log'!D:D,A421,'QA Log'!M:M,"Vignette",'QA Log'!Z:Z,"Rejected",'QA Log'!L:L,"*Vignette [4]: The management of presumptive TB patient*")
  )
)</f>
        <v/>
      </c>
      <c r="BC421" s="107" t="str">
        <f t="shared" si="35"/>
        <v/>
      </c>
      <c r="BD421" s="103" t="str">
        <f t="shared" si="36"/>
        <v/>
      </c>
      <c r="BE421" s="102" t="str">
        <f>IF(A421="","",SUM(
COUNTIFS('QA Log'!D:D,A421,'QA Log'!M:M,"Vignette",'QA Log'!L:L,"*Vignette [5] Labor*"),
COUNTIFS('QA Log'!D:D,A421,'QA Log'!M:M,"Vignette",'QA Log'!L:L,"*Vignette [6] PNC pre Discharge*"),
COUNTIFS('QA Log'!D:D,A421,'QA Log'!M:M,"Vignette",'QA Log'!L:L,"*Vignette [7] First ANC Visit*"),
COUNTIFS('QA Log'!D:D,A421,'QA Log'!M:M,"Vignette",'QA Log'!L:L,"*Vignette [8] Birth Spacing/ Family Planning :  FP Counselling*"),
COUNTIFS('QA Log'!D:D,A421,'QA Log'!M:M,"Vignette",'QA Log'!L:L,"*Vignette [9] Birth Spacing: Change FP method to Injectable*"),
COUNTIFS('QA Log'!D:D,A421,'QA Log'!M:M,"Vignette",'QA Log'!L:L,"*Vignette [10] Post Partum Haemorrhage - Atonic Uterus at Health Centre*"),
)
)</f>
        <v/>
      </c>
      <c r="BF421" s="102" t="str">
        <f>IF(A421="","",
  SUM(
    COUNTIFS('QA Log'!D:D,A421,'QA Log'!M:M,"Vignette",'QA Log'!Z:Z,"Approved",'QA Log'!L:L,"*Vignette [5] Labor*"),
    COUNTIFS('QA Log'!D:D,A421,'QA Log'!M:M,"Vignette",'QA Log'!Z:Z,"Approved",'QA Log'!L:L,"*Vignette [6] PNC pre Discharge*"),
    COUNTIFS('QA Log'!D:D,A421,'QA Log'!M:M,"Vignette",'QA Log'!Z:Z,"Approved",'QA Log'!L:L,"*Vignette [7] First ANC Visit*"),
    COUNTIFS('QA Log'!D:D,A421,'QA Log'!M:M,"Vignette",'QA Log'!Z:Z,"Approved",'QA Log'!L:L,"*Vignette [8] Birth Spacing/ Family Planning :  FP Counselling*"),
    COUNTIFS('QA Log'!D:D,A421,'QA Log'!M:M,"Vignette",'QA Log'!Z:Z,"Approved",'QA Log'!L:L,"*Vignette [9] Birth Spacing: Change FP method to Injectable*"),
    COUNTIFS('QA Log'!D:D,A421,'QA Log'!M:M,"Vignette",'QA Log'!Z:Z,"Approved",'QA Log'!L:L,"*Vignette [10] Post Partum Haemorrhage - Atonic Uterus at Health Centre*")
  )
)</f>
        <v/>
      </c>
      <c r="BG421" s="105" t="str">
        <f>IF(A421&lt;&gt;"",COUNTIFS('QA Log'!D:D,A421,'QA Log'!M:M,"Vignette",'QA Log'!L:L,"Vignette [5] Labor",'QA Log'!Z:Z,"Approved"),"")</f>
        <v/>
      </c>
      <c r="BH421" s="105" t="str">
        <f>IF(A421&lt;&gt;"",COUNTIFS('QA Log'!D:D,A421,'QA Log'!M:M,"Vignette",'QA Log'!L:L,"Vignette [6] PNC pre Discharge",'QA Log'!Z:Z,"Approved"),"")</f>
        <v/>
      </c>
      <c r="BI421" s="105" t="str">
        <f>IF(A421&lt;&gt;"",COUNTIFS('QA Log'!D:D,A421,'QA Log'!M:M,"Vignette",'QA Log'!L:L,"Vignette [7] First ANC Visit",'QA Log'!Z:Z,"Approved"),"")</f>
        <v/>
      </c>
      <c r="BJ421" s="105" t="str">
        <f>IF(A421&lt;&gt;"",COUNTIFS('QA Log'!D:D,A421,'QA Log'!M:M,"Vignette",'QA Log'!L:L,"Vignette [8] Birth Spacing/ Family Planning :  FP Counselling",'QA Log'!Z:Z,"Approved"),"")</f>
        <v/>
      </c>
      <c r="BK421" s="105" t="str">
        <f>IF(A421&lt;&gt;"",COUNTIFS('QA Log'!D:D,A421,'QA Log'!M:M,"Vignette",'QA Log'!L:L,"Vignette [9] Birth Spacing: Change FP method to Injectable",'QA Log'!Z:Z,"Approved"),"")</f>
        <v/>
      </c>
      <c r="BL421" s="105" t="str">
        <f>IF(A421&lt;&gt;"",COUNTIFS('QA Log'!D:D,A421,'QA Log'!M:M,"Vignette",'QA Log'!L:L,"Vignette [10] Post Partum Haemorrhage - Atonic Uterus at Health Centre",'QA Log'!Z:Z,"Approved"),"")</f>
        <v/>
      </c>
      <c r="BM421" s="102" t="str">
        <f>IF(A421="","",SUM(
    COUNTIFS('QA Log'!D:D,A421,'QA Log'!M:M,"Vignette",'QA Log'!Z:Z,"Rejected",'QA Log'!L:L,"*Vignette [5] Labor*"),
    COUNTIFS('QA Log'!D:D,A421,'QA Log'!M:M,"Vignette",'QA Log'!Z:Z,"Rejected",'QA Log'!L:L,"*Vignette [6] PNC pre Discharge*"),
    COUNTIFS('QA Log'!D:D,A421,'QA Log'!M:M,"Vignette",'QA Log'!Z:Z,"Rejected",'QA Log'!L:L,"*Vignette [7] First ANC Visit*"),
    COUNTIFS('QA Log'!D:D,A421,'QA Log'!M:M,"Vignette",'QA Log'!Z:Z,"Rejected",'QA Log'!L:L,"*Vignette [8] Birth Spacing/ Family Planning :  FP Counselling*"),
    COUNTIFS('QA Log'!D:D,A421,'QA Log'!M:M,"Vignette",'QA Log'!Z:Z,"Rejected",'QA Log'!L:L,"*Vignette [9] Birth Spacing: Change FP method to Injectable*"),
    COUNTIFS('QA Log'!D:D,A421,'QA Log'!M:M,"Vignette",'QA Log'!Z:Z,"Rejected",'QA Log'!L:L,"*Vignette [10] Post Partum Haemorrhage - Atonic Uterus at Health Centre*")
  )
)</f>
        <v/>
      </c>
      <c r="BN421" s="107" t="str">
        <f t="shared" si="37"/>
        <v/>
      </c>
      <c r="BO421" s="103" t="str">
        <f t="shared" si="38"/>
        <v/>
      </c>
      <c r="BP421" s="102" t="str">
        <f>IF(A421="","",SUM(
COUNTIFS('QA Log'!D:D,A421,'QA Log'!M:M,"Vignette",'QA Log'!L:L,"*Exit Interview 1*"),
COUNTIFS('QA Log'!D:D,A421,'QA Log'!M:M,"Vignette",'QA Log'!L:L,"*Exit Interview 2*"),
)
)</f>
        <v/>
      </c>
      <c r="BQ421" s="102" t="str">
        <f>IF(
  A421="","",
  SUM(
    COUNTIFS('QA Log'!D:D,A421,'QA Log'!M:M,"Vignette",'QA Log'!Z:Z,"Approved",'QA Log'!L:L,"*Exit Interview 1*"),
    COUNTIFS('QA Log'!D:D,A421,'QA Log'!M:M,"Vignette",'QA Log'!Z:Z,"Approved",'QA Log'!L:L,"*Exit Interview 2*")
  )
)</f>
        <v/>
      </c>
      <c r="BR421" s="105" t="str">
        <f>IF(A421&lt;&gt;"",COUNTIFS('QA Log'!D:D,A421,'QA Log'!M:M,"Vignette",'QA Log'!L:L,"Exit Interview 1",'QA Log'!Z:Z,"Approved"),"")</f>
        <v/>
      </c>
      <c r="BS421" s="105" t="str">
        <f>IF(A421&lt;&gt;"",COUNTIFS('QA Log'!D:D,A421,'QA Log'!M:M,"Vignette",'QA Log'!L:L,"Exit Interview 2",'QA Log'!Z:Z,"Approved"),"")</f>
        <v/>
      </c>
      <c r="BT421" s="102" t="str">
        <f>IF(
  A421="","",
  SUM(
    COUNTIFS('QA Log'!D:D,A421,'QA Log'!M:M,"Vignette",'QA Log'!Z:Z,"Rejected",'QA Log'!L:L,"*Exit Interview 1*"),
    COUNTIFS('QA Log'!D:D,A421,'QA Log'!M:M,"Vignette",'QA Log'!Z:Z,"Rejected",'QA Log'!L:L,"*Exit Interview 2*")
  )
)</f>
        <v/>
      </c>
      <c r="BU421" s="107" t="str">
        <f t="shared" si="39"/>
        <v/>
      </c>
      <c r="BV421" s="102" t="str">
        <f t="shared" si="40"/>
        <v/>
      </c>
      <c r="BW421" s="102" t="str">
        <f t="shared" si="41"/>
        <v/>
      </c>
      <c r="BX421" s="102" t="str">
        <f t="shared" si="42"/>
        <v/>
      </c>
      <c r="BY421" s="102" t="str">
        <f t="shared" si="43"/>
        <v/>
      </c>
      <c r="BZ421" s="107" t="str">
        <f t="shared" si="44"/>
        <v/>
      </c>
      <c r="CA421" s="108" t="str">
        <f t="shared" si="45"/>
        <v/>
      </c>
      <c r="CB421" s="108" t="str">
        <f t="shared" si="46"/>
        <v/>
      </c>
      <c r="CC421" s="109" t="str">
        <f t="shared" si="47"/>
        <v/>
      </c>
      <c r="CD421" s="108" t="str">
        <f t="shared" si="48"/>
        <v/>
      </c>
      <c r="CE421" s="108" t="str">
        <f t="shared" si="49"/>
        <v/>
      </c>
      <c r="CF421" s="109" t="str">
        <f t="shared" si="50"/>
        <v/>
      </c>
      <c r="CG421" s="110" t="str">
        <f t="shared" si="51"/>
        <v/>
      </c>
      <c r="CH421" s="111"/>
    </row>
    <row r="422" spans="1:86" ht="12.75">
      <c r="A422" s="101"/>
      <c r="B422" s="102" t="e">
        <f t="array" aca="1" ref="B422" ca="1">_xludf.XLOOKUP(A422,'QA Log'!D:D,'QA Log'!E:E,"")</f>
        <v>#NAME?</v>
      </c>
      <c r="C422" s="102" t="e">
        <f t="array" aca="1" ref="C422" ca="1">_xludf.XLOOKUP(A422,'QA Log'!D:D,'QA Log'!F:F,"")</f>
        <v>#NAME?</v>
      </c>
      <c r="D422" s="102" t="e">
        <f t="array" aca="1" ref="D422" ca="1">_xludf.XLOOKUP(A422,'QA Log'!D:D,'QA Log'!H:H,"")</f>
        <v>#NAME?</v>
      </c>
      <c r="E422" s="102" t="e">
        <f t="array" aca="1" ref="E422" ca="1">_xludf.XLOOKUP(A422,'QA Log'!D:D,'QA Log'!G:G,"")</f>
        <v>#NAME?</v>
      </c>
      <c r="F422" s="103"/>
      <c r="G422" s="104"/>
      <c r="H422" s="104"/>
      <c r="I422" s="103" t="str">
        <f t="shared" si="26"/>
        <v/>
      </c>
      <c r="J422" s="102" t="str">
        <f>IF(A422="","",SUM(
COUNTIFS('QA Log'!D:D,A422,'QA Log'!M:M,"QQC",'QA Log'!L:L,"*1. General Management*"),
COUNTIFS('QA Log'!D:D,A422,'QA Log'!M:M,"QQC",'QA Log'!L:L,"*3. Curative Consultation (OPD)*"),
COUNTIFS('QA Log'!D:D,A422,'QA Log'!M:M,"QQC",'QA Log'!L:L,"*5. Laboratory*"),
COUNTIFS('QA Log'!D:D,A422,'QA Log'!M:M,"QQC",'QA Log'!L:L,"*6. Essential Medicine Management*"),
COUNTIFS('QA Log'!D:D,A422,'QA Log'!M:M,"QQC",'QA Log'!L:L,"*7. Tracer Medicine*"),
COUNTIFS('QA Log'!D:D,A422,'QA Log'!M:M,"QQC",'QA Log'!L:L,"*11. Additional Questions*")))</f>
        <v/>
      </c>
      <c r="K422" s="102" t="str">
        <f>IF(A422="","",SUM(
COUNTIFS('QA Log'!D:D,A422,'QA Log'!M:M,"QQC",'QA Log'!Z:Z,"Approved",'QA Log'!L:L,"*1. General Management*"),
COUNTIFS('QA Log'!D:D,A422,'QA Log'!M:M,"QQC",'QA Log'!Z:Z,"Approved",'QA Log'!L:L,"*3. Curative Consultation (OPD)*"),
COUNTIFS('QA Log'!D:D,A422,'QA Log'!M:M,"QQC",'QA Log'!Z:Z,"Approved",'QA Log'!L:L,"*5. Laboratory*"),
COUNTIFS('QA Log'!D:D,A422,'QA Log'!M:M,"QQC",'QA Log'!Z:Z,"Approved",'QA Log'!L:L,"*6. Essential Medicine Management*"),
COUNTIFS('QA Log'!D:D,A422,'QA Log'!M:M,"QQC",'QA Log'!Z:Z,"Approved",'QA Log'!L:L,"*7. Tracer Medicine*"),
COUNTIFS('QA Log'!D:D,A422,'QA Log'!M:M,"QQC",'QA Log'!Z:Z,"Approved",'QA Log'!L:L,"*11. Additional Questions*")))</f>
        <v/>
      </c>
      <c r="L422" s="102" t="str">
        <f>IF(A422&lt;&gt;"",COUNTIFS('QA Log'!D:D,A422,'QA Log'!M:M,"QQC",'QA Log'!L:L,"1. General Management",'QA Log'!Z:Z,"Approved"),"")</f>
        <v/>
      </c>
      <c r="M422" s="102" t="str">
        <f>IF(A422&lt;&gt;"",COUNTIFS('QA Log'!D:D,A422,'QA Log'!M:M,"QQC",'QA Log'!L:L,"3. Curative Consultation (OPD)",'QA Log'!Z:Z,"Approved"),"")</f>
        <v/>
      </c>
      <c r="N422" s="102" t="str">
        <f>IF(A422&lt;&gt;"",COUNTIFS('QA Log'!D:D,A422,'QA Log'!M:M,"QQC",'QA Log'!L:L,"5. Laboratory",'QA Log'!Z:Z,"Approved"),"")</f>
        <v/>
      </c>
      <c r="O422" s="102" t="str">
        <f>IF(A422&lt;&gt;"",COUNTIFS('QA Log'!D:D,A422,'QA Log'!M:M,"QQC",'QA Log'!L:L,"6. Essential Medicine Management",'QA Log'!Z:Z,"Approved"),"")</f>
        <v/>
      </c>
      <c r="P422" s="102" t="str">
        <f>IF(A422&lt;&gt;"",COUNTIFS('QA Log'!D:D,A422,'QA Log'!M:M,"QQC",'QA Log'!L:L,"7. Tracer Medicine",'QA Log'!Z:Z,"Approved"),"")</f>
        <v/>
      </c>
      <c r="Q422" s="102" t="str">
        <f>IF(A422&lt;&gt;"",COUNTIFS('QA Log'!D:D,A422,'QA Log'!M:M,"QQC",'QA Log'!L:L,"11. Additional Questions",'QA Log'!Z:Z,"Approved"),"")</f>
        <v/>
      </c>
      <c r="R422" s="102" t="str">
        <f>IF(A422="","",SUM(
COUNTIFS('QA Log'!D:D,A422,'QA Log'!M:M,"QQC",'QA Log'!Z:Z,"Rejected",'QA Log'!L:L,"*8. Maternity*"),
COUNTIFS('QA Log'!D:D,A422,'QA Log'!M:M,"QQC",'QA Log'!Z:Z,"Rejected",'QA Log'!L:L,"*EPI*"),
COUNTIFS('QA Log'!D:D,A422,'QA Log'!M:M,"QQC",'QA Log'!Z:Z,"Rejected",'QA Log'!L:L,"*10. Antenatal Care (ANC)*"),
COUNTIFS('QA Log'!D:D,A422,'QA Log'!M:M,"QQC",'QA Log'!Z:Z,"Rejected",'QA Log'!L:L,"*2. Hygiene and Sterilization*"),
COUNTIFS('QA Log'!D:D,A422,'QA Log'!M:M,"QQC",'QA Log'!Z:Z,"Rejected",'QA Log'!L:L,"*Family Planning*")))</f>
        <v/>
      </c>
      <c r="S422" s="106" t="str">
        <f t="shared" si="27"/>
        <v/>
      </c>
      <c r="T422" s="102" t="str">
        <f t="shared" si="28"/>
        <v/>
      </c>
      <c r="U422" s="102" t="str">
        <f>IF(A422="","",
SUM(
COUNTIFS('QA Log'!D:D,A422,'QA Log'!M:M,"QQC",'QA Log'!L:L,"*8. Maternity*"),
COUNTIFS('QA Log'!D:D,A422,'QA Log'!M:M,"QQC",'QA Log'!L:L,"*9. EPI and Pre-school Consultation*"),
COUNTIFS('QA Log'!D:D,A422,'QA Log'!M:M,"QQC",'QA Log'!L:L,"*10. Antenatal Care (ANC)*"),
COUNTIFS('QA Log'!D:D,A422,'QA Log'!M:M,"QQC",'QA Log'!L:L,"*2. Hygiene and Sterilization*"),
COUNTIFS('QA Log'!D:D,A422,'QA Log'!M:M,"QQC",'QA Log'!L:L,"*4. Family Planning*")
))</f>
        <v/>
      </c>
      <c r="V422" s="102" t="str">
        <f>IF(A422="","",
SUM(
COUNTIFS('QA Log'!D:D,A422,'QA Log'!M:M,"QQC",'QA Log'!Z:Z,"Approved",'QA Log'!L:L,"*8. Maternity*"),
COUNTIFS('QA Log'!D:D,A422,'QA Log'!M:M,"QQC",'QA Log'!Z:Z,"Approved",'QA Log'!L:L,"*9. EPI and Pre-school Consultation*"),
COUNTIFS('QA Log'!D:D,A422,'QA Log'!M:M,"QQC",'QA Log'!Z:Z,"Approved",'QA Log'!L:L,"*10. Antenatal Care (ANC)*"),
COUNTIFS('QA Log'!D:D,A422,'QA Log'!M:M,"QQC",'QA Log'!Z:Z,"Approved",'QA Log'!L:L,"*2. Hygiene and Sterilization*"),
COUNTIFS('QA Log'!D:D,A422,'QA Log'!M:M,"QQC",'QA Log'!Z:Z,"Approved",'QA Log'!L:L,"*4. Family Planning*")
))</f>
        <v/>
      </c>
      <c r="W422" s="102" t="str">
        <f>IF(A422&lt;&gt;"",COUNTIFS('QA Log'!D:D,A422,'QA Log'!M:M,"QQC",'QA Log'!L:L,"8. Maternity",'QA Log'!Z:Z,"Approved"),"")</f>
        <v/>
      </c>
      <c r="X422" s="105" t="str">
        <f>IF(A422&lt;&gt;"",COUNTIFS('QA Log'!D:D,A422,'QA Log'!M:M,"QQC",'QA Log'!L:L,"9. EPI and Pre-school Consultation",'QA Log'!Z:Z,"Approved"),"")</f>
        <v/>
      </c>
      <c r="Y422" s="102" t="str">
        <f>IF(A422&lt;&gt;"",COUNTIFS('QA Log'!D:D,A422,'QA Log'!M:M,"QQC",'QA Log'!L:L,"10. Antenatal Care (ANC)",'QA Log'!Z:Z,"Approved"),"")</f>
        <v/>
      </c>
      <c r="Z422" s="102" t="str">
        <f>IF(A422&lt;&gt;"",COUNTIFS('QA Log'!D:D,A422,'QA Log'!M:M,"QQC",'QA Log'!L:L,"2. Hygiene and Sterilization",'QA Log'!Z:Z,"Approved"),"")</f>
        <v/>
      </c>
      <c r="AA422" s="105" t="str">
        <f>IF(A422&lt;&gt;"",COUNTIFS('QA Log'!D:D,A422,'QA Log'!M:M,"QQC",'QA Log'!L:L,"4. Family Planning",'QA Log'!Z:Z,"Approved"),"")</f>
        <v/>
      </c>
      <c r="AB422" s="102" t="str">
        <f>IF(A422="","",
SUM(
COUNTIFS('QA Log'!D:D,A422,'QA Log'!M:M,"QQC",'QA Log'!Z:Z,"Rejected",'QA Log'!L:L,"*8. Maternity*"),
COUNTIFS('QA Log'!D:D,A422,'QA Log'!M:M,"QQC",'QA Log'!Z:Z,"Rejected",'QA Log'!L:L,"*9. EPI and Pre-school Consultation*"),
COUNTIFS('QA Log'!D:D,A422,'QA Log'!M:M,"QQC",'QA Log'!Z:Z,"Rejected",'QA Log'!L:L,"*10. Antenatal Care (ANC)*"),
COUNTIFS('QA Log'!D:D,A422,'QA Log'!M:M,"QQC",'QA Log'!Z:Z,"Rejected",'QA Log'!L:L,"*2. Hygiene and Sterilization*"),
COUNTIFS('QA Log'!D:D,A422,'QA Log'!M:M,"QQC",'QA Log'!Z:Z,"Rejected",'QA Log'!L:L,"*4. Family Planning*")
))</f>
        <v/>
      </c>
      <c r="AC422" s="102" t="str">
        <f t="shared" si="29"/>
        <v/>
      </c>
      <c r="AD422" s="103" t="str">
        <f t="shared" si="30"/>
        <v/>
      </c>
      <c r="AE422" s="102" t="str">
        <f>IF(A422="","",
SUM(
COUNTIFS('QA Log'!D:D,A422,'QA Log'!M:M,"Data Verification",'QA Log'!L:L,"*Medicine (section 2)*"),
COUNTIFS('QA Log'!D:D,A422,'QA Log'!M:M,"Data Verification",'QA Log'!L:L,"*Lab Testing Availability*"),
COUNTIFS('QA Log'!D:D,A422,'QA Log'!M:M,"Data Verification",'QA Log'!L:L,"*Other than P4P (section 6)*"),
COUNTIFS('QA Log'!D:D,A422,'QA Log'!M:M,"Data Verification",'QA Log'!L:L,"*Hospital Governance*")
))</f>
        <v/>
      </c>
      <c r="AF422" s="102" t="str">
        <f>IF(A422="","",
SUM(
COUNTIFS('QA Log'!D:D,A422,'QA Log'!M:M,"Data Verification",'QA Log'!Z:Z,"Approved",'QA Log'!L:L,"*Medicine (section 2)*"),
COUNTIFS('QA Log'!D:D,A422,'QA Log'!M:M,"Data Verification",'QA Log'!Z:Z,"Approved",'QA Log'!L:L,"*Lab Testing Availability*"),
COUNTIFS('QA Log'!D:D,A422,'QA Log'!M:M,"Data Verification",'QA Log'!Z:Z,"Approved",'QA Log'!L:L,"*Other than P4P (section 6)*"),
COUNTIFS('QA Log'!D:D,A422,'QA Log'!M:M,"Data Verification",'QA Log'!Z:Z,"Approved",'QA Log'!L:L,"*Hospital Governance*")
))</f>
        <v/>
      </c>
      <c r="AG422" s="105" t="str">
        <f>IF(A422&lt;&gt;"",COUNTIFS('QA Log'!D:D,A422,'QA Log'!M:M,"Data Verification",'QA Log'!L:L,"Medicine (section 2)",'QA Log'!Z:Z,"Approved"),"")</f>
        <v/>
      </c>
      <c r="AH422" s="105" t="str">
        <f>IF(A422&lt;&gt;"",COUNTIFS('QA Log'!D:D,A422,'QA Log'!M:M,"Data Verification",'QA Log'!L:L,"Lab Testing Availability",'QA Log'!Z:Z,"Approved"),"")</f>
        <v/>
      </c>
      <c r="AI422" s="105" t="str">
        <f>IF(A422&lt;&gt;"",COUNTIFS('QA Log'!D:D,A422,'QA Log'!M:M,"Data Verification",'QA Log'!L:L,"Other than P4P (section 6)",'QA Log'!Z:Z,"Approved"),"")</f>
        <v/>
      </c>
      <c r="AJ422" s="105" t="str">
        <f>IF(A422&lt;&gt;"",COUNTIFS('QA Log'!D:D,A422,'QA Log'!M:M,"Data Verification",'QA Log'!L:L,"Hospital Governance",'QA Log'!Z:Z,"Approved"),"")</f>
        <v/>
      </c>
      <c r="AK422" s="102" t="str">
        <f>IF(A422="","",
SUM(
COUNTIFS('QA Log'!D:D,A422,'QA Log'!M:M,"Data Verification",'QA Log'!Z:Z,"Rejected",'QA Log'!L:L,"*Medicine (section 2)*"),
COUNTIFS('QA Log'!D:D,A422,'QA Log'!M:M,"Data Verification",'QA Log'!Z:Z,"Rejected",'QA Log'!L:L,"*Lab Testing Availability*"),
COUNTIFS('QA Log'!D:D,A422,'QA Log'!M:M,"Data Verification",'QA Log'!Z:Z,"Rejected",'QA Log'!L:L,"*Other than P4P (section 6)*"),
COUNTIFS('QA Log'!D:D,A422,'QA Log'!M:M,"Data Verification",'QA Log'!Z:Z,"Rejected",'QA Log'!L:L,"*Hospital Governance*")
))</f>
        <v/>
      </c>
      <c r="AL422" s="106" t="str">
        <f t="shared" si="31"/>
        <v/>
      </c>
      <c r="AM422" s="102" t="str">
        <f t="shared" si="32"/>
        <v/>
      </c>
      <c r="AN422" s="102" t="str">
        <f>IF(A422="","",
SUM(
COUNTIFS('QA Log'!D:D,A422,'QA Log'!M:M,"Data Verification",'QA Log'!L:L,"*Personnel (section 1)*"),
COUNTIFS('QA Log'!D:D,A422,'QA Log'!M:M,"Data Verification",'QA Log'!L:L,"*Consumable (section 3)*"),
COUNTIFS('QA Log'!D:D,A422,'QA Log'!M:M,"Data Verification",'QA Log'!L:L,"*Equipments (section 4)*")
))</f>
        <v/>
      </c>
      <c r="AO422" s="102" t="str">
        <f>IF(A422="","",
SUM(
COUNTIFS('QA Log'!D:D,A422,'QA Log'!M:M,"Data Verification",'QA Log'!Z:Z,"Approved",'QA Log'!L:L,"*Personnel (section 1)*"),
COUNTIFS('QA Log'!D:D,A422,'QA Log'!M:M,"Data Verification",'QA Log'!Z:Z,"Approved",'QA Log'!L:L,"*Consumable (section 3)*"),
COUNTIFS('QA Log'!D:D,A422,'QA Log'!M:M,"Data Verification",'QA Log'!Z:Z,"Approved",'QA Log'!L:L,"*Equipments (section 4)*")
))</f>
        <v/>
      </c>
      <c r="AP422" s="105" t="str">
        <f>IF(A422&lt;&gt;"",COUNTIFS('QA Log'!D:D,A422,'QA Log'!M:M,"Data Verification",'QA Log'!L:L,"Personnel (section 1)",'QA Log'!Z:Z,"Approved"),"")</f>
        <v/>
      </c>
      <c r="AQ422" s="105" t="str">
        <f>IF(A422&lt;&gt;"",COUNTIFS('QA Log'!D:D,A422,'QA Log'!M:M,"Data Verification",'QA Log'!L:L,"Consumable (section 3)",'QA Log'!Z:Z,"Approved"),"")</f>
        <v/>
      </c>
      <c r="AR422" s="105" t="str">
        <f>IF(A422&lt;&gt;"",COUNTIFS('QA Log'!D:D,A422,'QA Log'!M:M,"Data Verification",'QA Log'!L:L,"Equipments (section 4)",'QA Log'!Z:Z,"Approved"),"")</f>
        <v/>
      </c>
      <c r="AS422" s="102" t="str">
        <f>IF(A422="","",
SUM(
COUNTIFS('QA Log'!D:D,A422,'QA Log'!M:M,"Data Verification",'QA Log'!Z:Z,"Rejected",'QA Log'!L:L,"*Personnel (section 1)*"),
COUNTIFS('QA Log'!D:D,A422,'QA Log'!M:M,"Data Verification",'QA Log'!Z:Z,"Rejected",'QA Log'!L:L,"*Consumable (section 3)*"),
COUNTIFS('QA Log'!D:D,A422,'QA Log'!M:M,"Data Verification",'QA Log'!Z:Z,"Rejected",'QA Log'!L:L,"*Equipments (section 4)*")
))</f>
        <v/>
      </c>
      <c r="AT422" s="102" t="str">
        <f t="shared" si="33"/>
        <v/>
      </c>
      <c r="AU422" s="103" t="str">
        <f t="shared" si="34"/>
        <v/>
      </c>
      <c r="AV422" s="102" t="str">
        <f>IF(A422="","",SUM(
COUNTIFS('QA Log'!D:D,A422,'QA Log'!M:M,"Vignette",'QA Log'!L:L,"*Vignette [1] Respiratory Infection: Pneumonia*"),
COUNTIFS('QA Log'!D:D,A422,'QA Log'!M:M,"Vignette",'QA Log'!L:L,"*Vignette [2]: Diarrhea with Cat B dehydration*"),
COUNTIFS('QA Log'!D:D,A422,'QA Log'!M:M,"Vignette",'QA Log'!L:L,"*Vignette [3] Growth Monitoring and Promotion*"),
COUNTIFS('QA Log'!D:D,A422,'QA Log'!M:M,"Vignette",'QA Log'!L:L,"*Vignette [4]: The management of presumptive TB patient*")
)
)</f>
        <v/>
      </c>
      <c r="AW422" s="102" t="str">
        <f>IF(
  A422="","",
  SUM(
    COUNTIFS('QA Log'!D:D,A422,'QA Log'!M:M,"Vignette",'QA Log'!Z:Z,"Approved",'QA Log'!L:L,"*Vignette [1] Respiratory Infection: Pneumonia*"),
    COUNTIFS('QA Log'!D:D,A422,'QA Log'!M:M,"Vignette",'QA Log'!Z:Z,"Approved",'QA Log'!L:L,"*Vignette [2]: Diarrhea with Cat B dehydration*"),
    COUNTIFS('QA Log'!D:D,A422,'QA Log'!M:M,"Vignette",'QA Log'!Z:Z,"Approved",'QA Log'!L:L,"*Vignette [3] Growth Monitoring and Promotion*"),
    COUNTIFS('QA Log'!D:D,A422,'QA Log'!M:M,"Vignette",'QA Log'!Z:Z,"Approved",'QA Log'!L:L,"*Vignette [4]: The management of presumptive TB patient*")
  )
)</f>
        <v/>
      </c>
      <c r="AX422" s="105" t="str">
        <f>IF(A422&lt;&gt;"",COUNTIFS('QA Log'!D:D,A422,'QA Log'!M:M,"Vignette",'QA Log'!L:L,"Vignette [1] Respiratory Infection: Pneumonia",'QA Log'!Z:Z,"Approved"),"")</f>
        <v/>
      </c>
      <c r="AY422" s="105" t="str">
        <f>IF(A422&lt;&gt;"",COUNTIFS('QA Log'!D:D,A422,'QA Log'!M:M,"Vignette",'QA Log'!L:L,"Vignette [2]: Diarrhea with Cat B dehydration",'QA Log'!Z:Z,"Approved"),"")</f>
        <v/>
      </c>
      <c r="AZ422" s="105" t="str">
        <f>IF(A422&lt;&gt;"",COUNTIFS('QA Log'!D:D,A422,'QA Log'!M:M,"Vignette",'QA Log'!L:L,"Vignette [3] Growth Monitoring and Promotion",'QA Log'!Z:Z,"Approved"),"")</f>
        <v/>
      </c>
      <c r="BA422" s="105" t="str">
        <f>IF(A422&lt;&gt;"",COUNTIFS('QA Log'!D:D,A422,'QA Log'!M:M,"Vignette",'QA Log'!L:L,"Vignette [4]: The management of presumptive TB patient",'QA Log'!Z:Z,"Approved"),"")</f>
        <v/>
      </c>
      <c r="BB422" s="102" t="str">
        <f>IF(A422="","",
  SUM(
    COUNTIFS('QA Log'!D:D,A422,'QA Log'!M:M,"Vignette",'QA Log'!Z:Z,"Rejected",'QA Log'!L:L,"*Vignette [1] Respiratory Infection: Pneumonia*"),
    COUNTIFS('QA Log'!D:D,A422,'QA Log'!M:M,"Vignette",'QA Log'!Z:Z,"Rejected",'QA Log'!L:L,"*Vignette [2]: Diarrhea with Cat B dehydration*"),
    COUNTIFS('QA Log'!D:D,A422,'QA Log'!M:M,"Vignette",'QA Log'!Z:Z,"Rejected",'QA Log'!L:L,"*Vignette [3] Growth Monitoring and Promotion*"),
    COUNTIFS('QA Log'!D:D,A422,'QA Log'!M:M,"Vignette",'QA Log'!Z:Z,"Rejected",'QA Log'!L:L,"*Vignette [4]: The management of presumptive TB patient*")
  )
)</f>
        <v/>
      </c>
      <c r="BC422" s="107" t="str">
        <f t="shared" si="35"/>
        <v/>
      </c>
      <c r="BD422" s="103" t="str">
        <f t="shared" si="36"/>
        <v/>
      </c>
      <c r="BE422" s="102" t="str">
        <f>IF(A422="","",SUM(
COUNTIFS('QA Log'!D:D,A422,'QA Log'!M:M,"Vignette",'QA Log'!L:L,"*Vignette [5] Labor*"),
COUNTIFS('QA Log'!D:D,A422,'QA Log'!M:M,"Vignette",'QA Log'!L:L,"*Vignette [6] PNC pre Discharge*"),
COUNTIFS('QA Log'!D:D,A422,'QA Log'!M:M,"Vignette",'QA Log'!L:L,"*Vignette [7] First ANC Visit*"),
COUNTIFS('QA Log'!D:D,A422,'QA Log'!M:M,"Vignette",'QA Log'!L:L,"*Vignette [8] Birth Spacing/ Family Planning :  FP Counselling*"),
COUNTIFS('QA Log'!D:D,A422,'QA Log'!M:M,"Vignette",'QA Log'!L:L,"*Vignette [9] Birth Spacing: Change FP method to Injectable*"),
COUNTIFS('QA Log'!D:D,A422,'QA Log'!M:M,"Vignette",'QA Log'!L:L,"*Vignette [10] Post Partum Haemorrhage - Atonic Uterus at Health Centre*"),
)
)</f>
        <v/>
      </c>
      <c r="BF422" s="102" t="str">
        <f>IF(A422="","",
  SUM(
    COUNTIFS('QA Log'!D:D,A422,'QA Log'!M:M,"Vignette",'QA Log'!Z:Z,"Approved",'QA Log'!L:L,"*Vignette [5] Labor*"),
    COUNTIFS('QA Log'!D:D,A422,'QA Log'!M:M,"Vignette",'QA Log'!Z:Z,"Approved",'QA Log'!L:L,"*Vignette [6] PNC pre Discharge*"),
    COUNTIFS('QA Log'!D:D,A422,'QA Log'!M:M,"Vignette",'QA Log'!Z:Z,"Approved",'QA Log'!L:L,"*Vignette [7] First ANC Visit*"),
    COUNTIFS('QA Log'!D:D,A422,'QA Log'!M:M,"Vignette",'QA Log'!Z:Z,"Approved",'QA Log'!L:L,"*Vignette [8] Birth Spacing/ Family Planning :  FP Counselling*"),
    COUNTIFS('QA Log'!D:D,A422,'QA Log'!M:M,"Vignette",'QA Log'!Z:Z,"Approved",'QA Log'!L:L,"*Vignette [9] Birth Spacing: Change FP method to Injectable*"),
    COUNTIFS('QA Log'!D:D,A422,'QA Log'!M:M,"Vignette",'QA Log'!Z:Z,"Approved",'QA Log'!L:L,"*Vignette [10] Post Partum Haemorrhage - Atonic Uterus at Health Centre*")
  )
)</f>
        <v/>
      </c>
      <c r="BG422" s="105" t="str">
        <f>IF(A422&lt;&gt;"",COUNTIFS('QA Log'!D:D,A422,'QA Log'!M:M,"Vignette",'QA Log'!L:L,"Vignette [5] Labor",'QA Log'!Z:Z,"Approved"),"")</f>
        <v/>
      </c>
      <c r="BH422" s="105" t="str">
        <f>IF(A422&lt;&gt;"",COUNTIFS('QA Log'!D:D,A422,'QA Log'!M:M,"Vignette",'QA Log'!L:L,"Vignette [6] PNC pre Discharge",'QA Log'!Z:Z,"Approved"),"")</f>
        <v/>
      </c>
      <c r="BI422" s="105" t="str">
        <f>IF(A422&lt;&gt;"",COUNTIFS('QA Log'!D:D,A422,'QA Log'!M:M,"Vignette",'QA Log'!L:L,"Vignette [7] First ANC Visit",'QA Log'!Z:Z,"Approved"),"")</f>
        <v/>
      </c>
      <c r="BJ422" s="105" t="str">
        <f>IF(A422&lt;&gt;"",COUNTIFS('QA Log'!D:D,A422,'QA Log'!M:M,"Vignette",'QA Log'!L:L,"Vignette [8] Birth Spacing/ Family Planning :  FP Counselling",'QA Log'!Z:Z,"Approved"),"")</f>
        <v/>
      </c>
      <c r="BK422" s="105" t="str">
        <f>IF(A422&lt;&gt;"",COUNTIFS('QA Log'!D:D,A422,'QA Log'!M:M,"Vignette",'QA Log'!L:L,"Vignette [9] Birth Spacing: Change FP method to Injectable",'QA Log'!Z:Z,"Approved"),"")</f>
        <v/>
      </c>
      <c r="BL422" s="105" t="str">
        <f>IF(A422&lt;&gt;"",COUNTIFS('QA Log'!D:D,A422,'QA Log'!M:M,"Vignette",'QA Log'!L:L,"Vignette [10] Post Partum Haemorrhage - Atonic Uterus at Health Centre",'QA Log'!Z:Z,"Approved"),"")</f>
        <v/>
      </c>
      <c r="BM422" s="102" t="str">
        <f>IF(A422="","",SUM(
    COUNTIFS('QA Log'!D:D,A422,'QA Log'!M:M,"Vignette",'QA Log'!Z:Z,"Rejected",'QA Log'!L:L,"*Vignette [5] Labor*"),
    COUNTIFS('QA Log'!D:D,A422,'QA Log'!M:M,"Vignette",'QA Log'!Z:Z,"Rejected",'QA Log'!L:L,"*Vignette [6] PNC pre Discharge*"),
    COUNTIFS('QA Log'!D:D,A422,'QA Log'!M:M,"Vignette",'QA Log'!Z:Z,"Rejected",'QA Log'!L:L,"*Vignette [7] First ANC Visit*"),
    COUNTIFS('QA Log'!D:D,A422,'QA Log'!M:M,"Vignette",'QA Log'!Z:Z,"Rejected",'QA Log'!L:L,"*Vignette [8] Birth Spacing/ Family Planning :  FP Counselling*"),
    COUNTIFS('QA Log'!D:D,A422,'QA Log'!M:M,"Vignette",'QA Log'!Z:Z,"Rejected",'QA Log'!L:L,"*Vignette [9] Birth Spacing: Change FP method to Injectable*"),
    COUNTIFS('QA Log'!D:D,A422,'QA Log'!M:M,"Vignette",'QA Log'!Z:Z,"Rejected",'QA Log'!L:L,"*Vignette [10] Post Partum Haemorrhage - Atonic Uterus at Health Centre*")
  )
)</f>
        <v/>
      </c>
      <c r="BN422" s="107" t="str">
        <f t="shared" si="37"/>
        <v/>
      </c>
      <c r="BO422" s="103" t="str">
        <f t="shared" si="38"/>
        <v/>
      </c>
      <c r="BP422" s="102" t="str">
        <f>IF(A422="","",SUM(
COUNTIFS('QA Log'!D:D,A422,'QA Log'!M:M,"Vignette",'QA Log'!L:L,"*Exit Interview 1*"),
COUNTIFS('QA Log'!D:D,A422,'QA Log'!M:M,"Vignette",'QA Log'!L:L,"*Exit Interview 2*"),
)
)</f>
        <v/>
      </c>
      <c r="BQ422" s="102" t="str">
        <f>IF(
  A422="","",
  SUM(
    COUNTIFS('QA Log'!D:D,A422,'QA Log'!M:M,"Vignette",'QA Log'!Z:Z,"Approved",'QA Log'!L:L,"*Exit Interview 1*"),
    COUNTIFS('QA Log'!D:D,A422,'QA Log'!M:M,"Vignette",'QA Log'!Z:Z,"Approved",'QA Log'!L:L,"*Exit Interview 2*")
  )
)</f>
        <v/>
      </c>
      <c r="BR422" s="105" t="str">
        <f>IF(A422&lt;&gt;"",COUNTIFS('QA Log'!D:D,A422,'QA Log'!M:M,"Vignette",'QA Log'!L:L,"Exit Interview 1",'QA Log'!Z:Z,"Approved"),"")</f>
        <v/>
      </c>
      <c r="BS422" s="105" t="str">
        <f>IF(A422&lt;&gt;"",COUNTIFS('QA Log'!D:D,A422,'QA Log'!M:M,"Vignette",'QA Log'!L:L,"Exit Interview 2",'QA Log'!Z:Z,"Approved"),"")</f>
        <v/>
      </c>
      <c r="BT422" s="102" t="str">
        <f>IF(
  A422="","",
  SUM(
    COUNTIFS('QA Log'!D:D,A422,'QA Log'!M:M,"Vignette",'QA Log'!Z:Z,"Rejected",'QA Log'!L:L,"*Exit Interview 1*"),
    COUNTIFS('QA Log'!D:D,A422,'QA Log'!M:M,"Vignette",'QA Log'!Z:Z,"Rejected",'QA Log'!L:L,"*Exit Interview 2*")
  )
)</f>
        <v/>
      </c>
      <c r="BU422" s="107" t="str">
        <f t="shared" si="39"/>
        <v/>
      </c>
      <c r="BV422" s="102" t="str">
        <f t="shared" si="40"/>
        <v/>
      </c>
      <c r="BW422" s="102" t="str">
        <f t="shared" si="41"/>
        <v/>
      </c>
      <c r="BX422" s="102" t="str">
        <f t="shared" si="42"/>
        <v/>
      </c>
      <c r="BY422" s="102" t="str">
        <f t="shared" si="43"/>
        <v/>
      </c>
      <c r="BZ422" s="107" t="str">
        <f t="shared" si="44"/>
        <v/>
      </c>
      <c r="CA422" s="108" t="str">
        <f t="shared" si="45"/>
        <v/>
      </c>
      <c r="CB422" s="108" t="str">
        <f t="shared" si="46"/>
        <v/>
      </c>
      <c r="CC422" s="109" t="str">
        <f t="shared" si="47"/>
        <v/>
      </c>
      <c r="CD422" s="108" t="str">
        <f t="shared" si="48"/>
        <v/>
      </c>
      <c r="CE422" s="108" t="str">
        <f t="shared" si="49"/>
        <v/>
      </c>
      <c r="CF422" s="109" t="str">
        <f t="shared" si="50"/>
        <v/>
      </c>
      <c r="CG422" s="110" t="str">
        <f t="shared" si="51"/>
        <v/>
      </c>
      <c r="CH422" s="111"/>
    </row>
    <row r="423" spans="1:86" ht="12.75">
      <c r="A423" s="101"/>
      <c r="B423" s="102" t="e">
        <f t="array" aca="1" ref="B423" ca="1">_xludf.XLOOKUP(A423,'QA Log'!D:D,'QA Log'!E:E,"")</f>
        <v>#NAME?</v>
      </c>
      <c r="C423" s="102" t="e">
        <f t="array" aca="1" ref="C423" ca="1">_xludf.XLOOKUP(A423,'QA Log'!D:D,'QA Log'!F:F,"")</f>
        <v>#NAME?</v>
      </c>
      <c r="D423" s="102" t="e">
        <f t="array" aca="1" ref="D423" ca="1">_xludf.XLOOKUP(A423,'QA Log'!D:D,'QA Log'!H:H,"")</f>
        <v>#NAME?</v>
      </c>
      <c r="E423" s="102" t="e">
        <f t="array" aca="1" ref="E423" ca="1">_xludf.XLOOKUP(A423,'QA Log'!D:D,'QA Log'!G:G,"")</f>
        <v>#NAME?</v>
      </c>
      <c r="F423" s="103"/>
      <c r="G423" s="104"/>
      <c r="H423" s="104"/>
      <c r="I423" s="103" t="str">
        <f t="shared" si="26"/>
        <v/>
      </c>
      <c r="J423" s="102" t="str">
        <f>IF(A423="","",SUM(
COUNTIFS('QA Log'!D:D,A423,'QA Log'!M:M,"QQC",'QA Log'!L:L,"*1. General Management*"),
COUNTIFS('QA Log'!D:D,A423,'QA Log'!M:M,"QQC",'QA Log'!L:L,"*3. Curative Consultation (OPD)*"),
COUNTIFS('QA Log'!D:D,A423,'QA Log'!M:M,"QQC",'QA Log'!L:L,"*5. Laboratory*"),
COUNTIFS('QA Log'!D:D,A423,'QA Log'!M:M,"QQC",'QA Log'!L:L,"*6. Essential Medicine Management*"),
COUNTIFS('QA Log'!D:D,A423,'QA Log'!M:M,"QQC",'QA Log'!L:L,"*7. Tracer Medicine*"),
COUNTIFS('QA Log'!D:D,A423,'QA Log'!M:M,"QQC",'QA Log'!L:L,"*11. Additional Questions*")))</f>
        <v/>
      </c>
      <c r="K423" s="102" t="str">
        <f>IF(A423="","",SUM(
COUNTIFS('QA Log'!D:D,A423,'QA Log'!M:M,"QQC",'QA Log'!Z:Z,"Approved",'QA Log'!L:L,"*1. General Management*"),
COUNTIFS('QA Log'!D:D,A423,'QA Log'!M:M,"QQC",'QA Log'!Z:Z,"Approved",'QA Log'!L:L,"*3. Curative Consultation (OPD)*"),
COUNTIFS('QA Log'!D:D,A423,'QA Log'!M:M,"QQC",'QA Log'!Z:Z,"Approved",'QA Log'!L:L,"*5. Laboratory*"),
COUNTIFS('QA Log'!D:D,A423,'QA Log'!M:M,"QQC",'QA Log'!Z:Z,"Approved",'QA Log'!L:L,"*6. Essential Medicine Management*"),
COUNTIFS('QA Log'!D:D,A423,'QA Log'!M:M,"QQC",'QA Log'!Z:Z,"Approved",'QA Log'!L:L,"*7. Tracer Medicine*"),
COUNTIFS('QA Log'!D:D,A423,'QA Log'!M:M,"QQC",'QA Log'!Z:Z,"Approved",'QA Log'!L:L,"*11. Additional Questions*")))</f>
        <v/>
      </c>
      <c r="L423" s="102" t="str">
        <f>IF(A423&lt;&gt;"",COUNTIFS('QA Log'!D:D,A423,'QA Log'!M:M,"QQC",'QA Log'!L:L,"1. General Management",'QA Log'!Z:Z,"Approved"),"")</f>
        <v/>
      </c>
      <c r="M423" s="102" t="str">
        <f>IF(A423&lt;&gt;"",COUNTIFS('QA Log'!D:D,A423,'QA Log'!M:M,"QQC",'QA Log'!L:L,"3. Curative Consultation (OPD)",'QA Log'!Z:Z,"Approved"),"")</f>
        <v/>
      </c>
      <c r="N423" s="102" t="str">
        <f>IF(A423&lt;&gt;"",COUNTIFS('QA Log'!D:D,A423,'QA Log'!M:M,"QQC",'QA Log'!L:L,"5. Laboratory",'QA Log'!Z:Z,"Approved"),"")</f>
        <v/>
      </c>
      <c r="O423" s="102" t="str">
        <f>IF(A423&lt;&gt;"",COUNTIFS('QA Log'!D:D,A423,'QA Log'!M:M,"QQC",'QA Log'!L:L,"6. Essential Medicine Management",'QA Log'!Z:Z,"Approved"),"")</f>
        <v/>
      </c>
      <c r="P423" s="102" t="str">
        <f>IF(A423&lt;&gt;"",COUNTIFS('QA Log'!D:D,A423,'QA Log'!M:M,"QQC",'QA Log'!L:L,"7. Tracer Medicine",'QA Log'!Z:Z,"Approved"),"")</f>
        <v/>
      </c>
      <c r="Q423" s="102" t="str">
        <f>IF(A423&lt;&gt;"",COUNTIFS('QA Log'!D:D,A423,'QA Log'!M:M,"QQC",'QA Log'!L:L,"11. Additional Questions",'QA Log'!Z:Z,"Approved"),"")</f>
        <v/>
      </c>
      <c r="R423" s="102" t="str">
        <f>IF(A423="","",SUM(
COUNTIFS('QA Log'!D:D,A423,'QA Log'!M:M,"QQC",'QA Log'!Z:Z,"Rejected",'QA Log'!L:L,"*8. Maternity*"),
COUNTIFS('QA Log'!D:D,A423,'QA Log'!M:M,"QQC",'QA Log'!Z:Z,"Rejected",'QA Log'!L:L,"*EPI*"),
COUNTIFS('QA Log'!D:D,A423,'QA Log'!M:M,"QQC",'QA Log'!Z:Z,"Rejected",'QA Log'!L:L,"*10. Antenatal Care (ANC)*"),
COUNTIFS('QA Log'!D:D,A423,'QA Log'!M:M,"QQC",'QA Log'!Z:Z,"Rejected",'QA Log'!L:L,"*2. Hygiene and Sterilization*"),
COUNTIFS('QA Log'!D:D,A423,'QA Log'!M:M,"QQC",'QA Log'!Z:Z,"Rejected",'QA Log'!L:L,"*Family Planning*")))</f>
        <v/>
      </c>
      <c r="S423" s="106" t="str">
        <f t="shared" si="27"/>
        <v/>
      </c>
      <c r="T423" s="102" t="str">
        <f t="shared" si="28"/>
        <v/>
      </c>
      <c r="U423" s="102" t="str">
        <f>IF(A423="","",
SUM(
COUNTIFS('QA Log'!D:D,A423,'QA Log'!M:M,"QQC",'QA Log'!L:L,"*8. Maternity*"),
COUNTIFS('QA Log'!D:D,A423,'QA Log'!M:M,"QQC",'QA Log'!L:L,"*9. EPI and Pre-school Consultation*"),
COUNTIFS('QA Log'!D:D,A423,'QA Log'!M:M,"QQC",'QA Log'!L:L,"*10. Antenatal Care (ANC)*"),
COUNTIFS('QA Log'!D:D,A423,'QA Log'!M:M,"QQC",'QA Log'!L:L,"*2. Hygiene and Sterilization*"),
COUNTIFS('QA Log'!D:D,A423,'QA Log'!M:M,"QQC",'QA Log'!L:L,"*4. Family Planning*")
))</f>
        <v/>
      </c>
      <c r="V423" s="102" t="str">
        <f>IF(A423="","",
SUM(
COUNTIFS('QA Log'!D:D,A423,'QA Log'!M:M,"QQC",'QA Log'!Z:Z,"Approved",'QA Log'!L:L,"*8. Maternity*"),
COUNTIFS('QA Log'!D:D,A423,'QA Log'!M:M,"QQC",'QA Log'!Z:Z,"Approved",'QA Log'!L:L,"*9. EPI and Pre-school Consultation*"),
COUNTIFS('QA Log'!D:D,A423,'QA Log'!M:M,"QQC",'QA Log'!Z:Z,"Approved",'QA Log'!L:L,"*10. Antenatal Care (ANC)*"),
COUNTIFS('QA Log'!D:D,A423,'QA Log'!M:M,"QQC",'QA Log'!Z:Z,"Approved",'QA Log'!L:L,"*2. Hygiene and Sterilization*"),
COUNTIFS('QA Log'!D:D,A423,'QA Log'!M:M,"QQC",'QA Log'!Z:Z,"Approved",'QA Log'!L:L,"*4. Family Planning*")
))</f>
        <v/>
      </c>
      <c r="W423" s="102" t="str">
        <f>IF(A423&lt;&gt;"",COUNTIFS('QA Log'!D:D,A423,'QA Log'!M:M,"QQC",'QA Log'!L:L,"8. Maternity",'QA Log'!Z:Z,"Approved"),"")</f>
        <v/>
      </c>
      <c r="X423" s="105" t="str">
        <f>IF(A423&lt;&gt;"",COUNTIFS('QA Log'!D:D,A423,'QA Log'!M:M,"QQC",'QA Log'!L:L,"9. EPI and Pre-school Consultation",'QA Log'!Z:Z,"Approved"),"")</f>
        <v/>
      </c>
      <c r="Y423" s="102" t="str">
        <f>IF(A423&lt;&gt;"",COUNTIFS('QA Log'!D:D,A423,'QA Log'!M:M,"QQC",'QA Log'!L:L,"10. Antenatal Care (ANC)",'QA Log'!Z:Z,"Approved"),"")</f>
        <v/>
      </c>
      <c r="Z423" s="102" t="str">
        <f>IF(A423&lt;&gt;"",COUNTIFS('QA Log'!D:D,A423,'QA Log'!M:M,"QQC",'QA Log'!L:L,"2. Hygiene and Sterilization",'QA Log'!Z:Z,"Approved"),"")</f>
        <v/>
      </c>
      <c r="AA423" s="105" t="str">
        <f>IF(A423&lt;&gt;"",COUNTIFS('QA Log'!D:D,A423,'QA Log'!M:M,"QQC",'QA Log'!L:L,"4. Family Planning",'QA Log'!Z:Z,"Approved"),"")</f>
        <v/>
      </c>
      <c r="AB423" s="102" t="str">
        <f>IF(A423="","",
SUM(
COUNTIFS('QA Log'!D:D,A423,'QA Log'!M:M,"QQC",'QA Log'!Z:Z,"Rejected",'QA Log'!L:L,"*8. Maternity*"),
COUNTIFS('QA Log'!D:D,A423,'QA Log'!M:M,"QQC",'QA Log'!Z:Z,"Rejected",'QA Log'!L:L,"*9. EPI and Pre-school Consultation*"),
COUNTIFS('QA Log'!D:D,A423,'QA Log'!M:M,"QQC",'QA Log'!Z:Z,"Rejected",'QA Log'!L:L,"*10. Antenatal Care (ANC)*"),
COUNTIFS('QA Log'!D:D,A423,'QA Log'!M:M,"QQC",'QA Log'!Z:Z,"Rejected",'QA Log'!L:L,"*2. Hygiene and Sterilization*"),
COUNTIFS('QA Log'!D:D,A423,'QA Log'!M:M,"QQC",'QA Log'!Z:Z,"Rejected",'QA Log'!L:L,"*4. Family Planning*")
))</f>
        <v/>
      </c>
      <c r="AC423" s="102" t="str">
        <f t="shared" si="29"/>
        <v/>
      </c>
      <c r="AD423" s="103" t="str">
        <f t="shared" si="30"/>
        <v/>
      </c>
      <c r="AE423" s="102" t="str">
        <f>IF(A423="","",
SUM(
COUNTIFS('QA Log'!D:D,A423,'QA Log'!M:M,"Data Verification",'QA Log'!L:L,"*Medicine (section 2)*"),
COUNTIFS('QA Log'!D:D,A423,'QA Log'!M:M,"Data Verification",'QA Log'!L:L,"*Lab Testing Availability*"),
COUNTIFS('QA Log'!D:D,A423,'QA Log'!M:M,"Data Verification",'QA Log'!L:L,"*Other than P4P (section 6)*"),
COUNTIFS('QA Log'!D:D,A423,'QA Log'!M:M,"Data Verification",'QA Log'!L:L,"*Hospital Governance*")
))</f>
        <v/>
      </c>
      <c r="AF423" s="102" t="str">
        <f>IF(A423="","",
SUM(
COUNTIFS('QA Log'!D:D,A423,'QA Log'!M:M,"Data Verification",'QA Log'!Z:Z,"Approved",'QA Log'!L:L,"*Medicine (section 2)*"),
COUNTIFS('QA Log'!D:D,A423,'QA Log'!M:M,"Data Verification",'QA Log'!Z:Z,"Approved",'QA Log'!L:L,"*Lab Testing Availability*"),
COUNTIFS('QA Log'!D:D,A423,'QA Log'!M:M,"Data Verification",'QA Log'!Z:Z,"Approved",'QA Log'!L:L,"*Other than P4P (section 6)*"),
COUNTIFS('QA Log'!D:D,A423,'QA Log'!M:M,"Data Verification",'QA Log'!Z:Z,"Approved",'QA Log'!L:L,"*Hospital Governance*")
))</f>
        <v/>
      </c>
      <c r="AG423" s="105" t="str">
        <f>IF(A423&lt;&gt;"",COUNTIFS('QA Log'!D:D,A423,'QA Log'!M:M,"Data Verification",'QA Log'!L:L,"Medicine (section 2)",'QA Log'!Z:Z,"Approved"),"")</f>
        <v/>
      </c>
      <c r="AH423" s="105" t="str">
        <f>IF(A423&lt;&gt;"",COUNTIFS('QA Log'!D:D,A423,'QA Log'!M:M,"Data Verification",'QA Log'!L:L,"Lab Testing Availability",'QA Log'!Z:Z,"Approved"),"")</f>
        <v/>
      </c>
      <c r="AI423" s="105" t="str">
        <f>IF(A423&lt;&gt;"",COUNTIFS('QA Log'!D:D,A423,'QA Log'!M:M,"Data Verification",'QA Log'!L:L,"Other than P4P (section 6)",'QA Log'!Z:Z,"Approved"),"")</f>
        <v/>
      </c>
      <c r="AJ423" s="105" t="str">
        <f>IF(A423&lt;&gt;"",COUNTIFS('QA Log'!D:D,A423,'QA Log'!M:M,"Data Verification",'QA Log'!L:L,"Hospital Governance",'QA Log'!Z:Z,"Approved"),"")</f>
        <v/>
      </c>
      <c r="AK423" s="102" t="str">
        <f>IF(A423="","",
SUM(
COUNTIFS('QA Log'!D:D,A423,'QA Log'!M:M,"Data Verification",'QA Log'!Z:Z,"Rejected",'QA Log'!L:L,"*Medicine (section 2)*"),
COUNTIFS('QA Log'!D:D,A423,'QA Log'!M:M,"Data Verification",'QA Log'!Z:Z,"Rejected",'QA Log'!L:L,"*Lab Testing Availability*"),
COUNTIFS('QA Log'!D:D,A423,'QA Log'!M:M,"Data Verification",'QA Log'!Z:Z,"Rejected",'QA Log'!L:L,"*Other than P4P (section 6)*"),
COUNTIFS('QA Log'!D:D,A423,'QA Log'!M:M,"Data Verification",'QA Log'!Z:Z,"Rejected",'QA Log'!L:L,"*Hospital Governance*")
))</f>
        <v/>
      </c>
      <c r="AL423" s="106" t="str">
        <f t="shared" si="31"/>
        <v/>
      </c>
      <c r="AM423" s="102" t="str">
        <f t="shared" si="32"/>
        <v/>
      </c>
      <c r="AN423" s="102" t="str">
        <f>IF(A423="","",
SUM(
COUNTIFS('QA Log'!D:D,A423,'QA Log'!M:M,"Data Verification",'QA Log'!L:L,"*Personnel (section 1)*"),
COUNTIFS('QA Log'!D:D,A423,'QA Log'!M:M,"Data Verification",'QA Log'!L:L,"*Consumable (section 3)*"),
COUNTIFS('QA Log'!D:D,A423,'QA Log'!M:M,"Data Verification",'QA Log'!L:L,"*Equipments (section 4)*")
))</f>
        <v/>
      </c>
      <c r="AO423" s="102" t="str">
        <f>IF(A423="","",
SUM(
COUNTIFS('QA Log'!D:D,A423,'QA Log'!M:M,"Data Verification",'QA Log'!Z:Z,"Approved",'QA Log'!L:L,"*Personnel (section 1)*"),
COUNTIFS('QA Log'!D:D,A423,'QA Log'!M:M,"Data Verification",'QA Log'!Z:Z,"Approved",'QA Log'!L:L,"*Consumable (section 3)*"),
COUNTIFS('QA Log'!D:D,A423,'QA Log'!M:M,"Data Verification",'QA Log'!Z:Z,"Approved",'QA Log'!L:L,"*Equipments (section 4)*")
))</f>
        <v/>
      </c>
      <c r="AP423" s="105" t="str">
        <f>IF(A423&lt;&gt;"",COUNTIFS('QA Log'!D:D,A423,'QA Log'!M:M,"Data Verification",'QA Log'!L:L,"Personnel (section 1)",'QA Log'!Z:Z,"Approved"),"")</f>
        <v/>
      </c>
      <c r="AQ423" s="105" t="str">
        <f>IF(A423&lt;&gt;"",COUNTIFS('QA Log'!D:D,A423,'QA Log'!M:M,"Data Verification",'QA Log'!L:L,"Consumable (section 3)",'QA Log'!Z:Z,"Approved"),"")</f>
        <v/>
      </c>
      <c r="AR423" s="105" t="str">
        <f>IF(A423&lt;&gt;"",COUNTIFS('QA Log'!D:D,A423,'QA Log'!M:M,"Data Verification",'QA Log'!L:L,"Equipments (section 4)",'QA Log'!Z:Z,"Approved"),"")</f>
        <v/>
      </c>
      <c r="AS423" s="102" t="str">
        <f>IF(A423="","",
SUM(
COUNTIFS('QA Log'!D:D,A423,'QA Log'!M:M,"Data Verification",'QA Log'!Z:Z,"Rejected",'QA Log'!L:L,"*Personnel (section 1)*"),
COUNTIFS('QA Log'!D:D,A423,'QA Log'!M:M,"Data Verification",'QA Log'!Z:Z,"Rejected",'QA Log'!L:L,"*Consumable (section 3)*"),
COUNTIFS('QA Log'!D:D,A423,'QA Log'!M:M,"Data Verification",'QA Log'!Z:Z,"Rejected",'QA Log'!L:L,"*Equipments (section 4)*")
))</f>
        <v/>
      </c>
      <c r="AT423" s="102" t="str">
        <f t="shared" si="33"/>
        <v/>
      </c>
      <c r="AU423" s="103" t="str">
        <f t="shared" si="34"/>
        <v/>
      </c>
      <c r="AV423" s="102" t="str">
        <f>IF(A423="","",SUM(
COUNTIFS('QA Log'!D:D,A423,'QA Log'!M:M,"Vignette",'QA Log'!L:L,"*Vignette [1] Respiratory Infection: Pneumonia*"),
COUNTIFS('QA Log'!D:D,A423,'QA Log'!M:M,"Vignette",'QA Log'!L:L,"*Vignette [2]: Diarrhea with Cat B dehydration*"),
COUNTIFS('QA Log'!D:D,A423,'QA Log'!M:M,"Vignette",'QA Log'!L:L,"*Vignette [3] Growth Monitoring and Promotion*"),
COUNTIFS('QA Log'!D:D,A423,'QA Log'!M:M,"Vignette",'QA Log'!L:L,"*Vignette [4]: The management of presumptive TB patient*")
)
)</f>
        <v/>
      </c>
      <c r="AW423" s="102" t="str">
        <f>IF(
  A423="","",
  SUM(
    COUNTIFS('QA Log'!D:D,A423,'QA Log'!M:M,"Vignette",'QA Log'!Z:Z,"Approved",'QA Log'!L:L,"*Vignette [1] Respiratory Infection: Pneumonia*"),
    COUNTIFS('QA Log'!D:D,A423,'QA Log'!M:M,"Vignette",'QA Log'!Z:Z,"Approved",'QA Log'!L:L,"*Vignette [2]: Diarrhea with Cat B dehydration*"),
    COUNTIFS('QA Log'!D:D,A423,'QA Log'!M:M,"Vignette",'QA Log'!Z:Z,"Approved",'QA Log'!L:L,"*Vignette [3] Growth Monitoring and Promotion*"),
    COUNTIFS('QA Log'!D:D,A423,'QA Log'!M:M,"Vignette",'QA Log'!Z:Z,"Approved",'QA Log'!L:L,"*Vignette [4]: The management of presumptive TB patient*")
  )
)</f>
        <v/>
      </c>
      <c r="AX423" s="105" t="str">
        <f>IF(A423&lt;&gt;"",COUNTIFS('QA Log'!D:D,A423,'QA Log'!M:M,"Vignette",'QA Log'!L:L,"Vignette [1] Respiratory Infection: Pneumonia",'QA Log'!Z:Z,"Approved"),"")</f>
        <v/>
      </c>
      <c r="AY423" s="105" t="str">
        <f>IF(A423&lt;&gt;"",COUNTIFS('QA Log'!D:D,A423,'QA Log'!M:M,"Vignette",'QA Log'!L:L,"Vignette [2]: Diarrhea with Cat B dehydration",'QA Log'!Z:Z,"Approved"),"")</f>
        <v/>
      </c>
      <c r="AZ423" s="105" t="str">
        <f>IF(A423&lt;&gt;"",COUNTIFS('QA Log'!D:D,A423,'QA Log'!M:M,"Vignette",'QA Log'!L:L,"Vignette [3] Growth Monitoring and Promotion",'QA Log'!Z:Z,"Approved"),"")</f>
        <v/>
      </c>
      <c r="BA423" s="105" t="str">
        <f>IF(A423&lt;&gt;"",COUNTIFS('QA Log'!D:D,A423,'QA Log'!M:M,"Vignette",'QA Log'!L:L,"Vignette [4]: The management of presumptive TB patient",'QA Log'!Z:Z,"Approved"),"")</f>
        <v/>
      </c>
      <c r="BB423" s="102" t="str">
        <f>IF(A423="","",
  SUM(
    COUNTIFS('QA Log'!D:D,A423,'QA Log'!M:M,"Vignette",'QA Log'!Z:Z,"Rejected",'QA Log'!L:L,"*Vignette [1] Respiratory Infection: Pneumonia*"),
    COUNTIFS('QA Log'!D:D,A423,'QA Log'!M:M,"Vignette",'QA Log'!Z:Z,"Rejected",'QA Log'!L:L,"*Vignette [2]: Diarrhea with Cat B dehydration*"),
    COUNTIFS('QA Log'!D:D,A423,'QA Log'!M:M,"Vignette",'QA Log'!Z:Z,"Rejected",'QA Log'!L:L,"*Vignette [3] Growth Monitoring and Promotion*"),
    COUNTIFS('QA Log'!D:D,A423,'QA Log'!M:M,"Vignette",'QA Log'!Z:Z,"Rejected",'QA Log'!L:L,"*Vignette [4]: The management of presumptive TB patient*")
  )
)</f>
        <v/>
      </c>
      <c r="BC423" s="107" t="str">
        <f t="shared" si="35"/>
        <v/>
      </c>
      <c r="BD423" s="103" t="str">
        <f t="shared" si="36"/>
        <v/>
      </c>
      <c r="BE423" s="102" t="str">
        <f>IF(A423="","",SUM(
COUNTIFS('QA Log'!D:D,A423,'QA Log'!M:M,"Vignette",'QA Log'!L:L,"*Vignette [5] Labor*"),
COUNTIFS('QA Log'!D:D,A423,'QA Log'!M:M,"Vignette",'QA Log'!L:L,"*Vignette [6] PNC pre Discharge*"),
COUNTIFS('QA Log'!D:D,A423,'QA Log'!M:M,"Vignette",'QA Log'!L:L,"*Vignette [7] First ANC Visit*"),
COUNTIFS('QA Log'!D:D,A423,'QA Log'!M:M,"Vignette",'QA Log'!L:L,"*Vignette [8] Birth Spacing/ Family Planning :  FP Counselling*"),
COUNTIFS('QA Log'!D:D,A423,'QA Log'!M:M,"Vignette",'QA Log'!L:L,"*Vignette [9] Birth Spacing: Change FP method to Injectable*"),
COUNTIFS('QA Log'!D:D,A423,'QA Log'!M:M,"Vignette",'QA Log'!L:L,"*Vignette [10] Post Partum Haemorrhage - Atonic Uterus at Health Centre*"),
)
)</f>
        <v/>
      </c>
      <c r="BF423" s="102" t="str">
        <f>IF(A423="","",
  SUM(
    COUNTIFS('QA Log'!D:D,A423,'QA Log'!M:M,"Vignette",'QA Log'!Z:Z,"Approved",'QA Log'!L:L,"*Vignette [5] Labor*"),
    COUNTIFS('QA Log'!D:D,A423,'QA Log'!M:M,"Vignette",'QA Log'!Z:Z,"Approved",'QA Log'!L:L,"*Vignette [6] PNC pre Discharge*"),
    COUNTIFS('QA Log'!D:D,A423,'QA Log'!M:M,"Vignette",'QA Log'!Z:Z,"Approved",'QA Log'!L:L,"*Vignette [7] First ANC Visit*"),
    COUNTIFS('QA Log'!D:D,A423,'QA Log'!M:M,"Vignette",'QA Log'!Z:Z,"Approved",'QA Log'!L:L,"*Vignette [8] Birth Spacing/ Family Planning :  FP Counselling*"),
    COUNTIFS('QA Log'!D:D,A423,'QA Log'!M:M,"Vignette",'QA Log'!Z:Z,"Approved",'QA Log'!L:L,"*Vignette [9] Birth Spacing: Change FP method to Injectable*"),
    COUNTIFS('QA Log'!D:D,A423,'QA Log'!M:M,"Vignette",'QA Log'!Z:Z,"Approved",'QA Log'!L:L,"*Vignette [10] Post Partum Haemorrhage - Atonic Uterus at Health Centre*")
  )
)</f>
        <v/>
      </c>
      <c r="BG423" s="105" t="str">
        <f>IF(A423&lt;&gt;"",COUNTIFS('QA Log'!D:D,A423,'QA Log'!M:M,"Vignette",'QA Log'!L:L,"Vignette [5] Labor",'QA Log'!Z:Z,"Approved"),"")</f>
        <v/>
      </c>
      <c r="BH423" s="105" t="str">
        <f>IF(A423&lt;&gt;"",COUNTIFS('QA Log'!D:D,A423,'QA Log'!M:M,"Vignette",'QA Log'!L:L,"Vignette [6] PNC pre Discharge",'QA Log'!Z:Z,"Approved"),"")</f>
        <v/>
      </c>
      <c r="BI423" s="105" t="str">
        <f>IF(A423&lt;&gt;"",COUNTIFS('QA Log'!D:D,A423,'QA Log'!M:M,"Vignette",'QA Log'!L:L,"Vignette [7] First ANC Visit",'QA Log'!Z:Z,"Approved"),"")</f>
        <v/>
      </c>
      <c r="BJ423" s="105" t="str">
        <f>IF(A423&lt;&gt;"",COUNTIFS('QA Log'!D:D,A423,'QA Log'!M:M,"Vignette",'QA Log'!L:L,"Vignette [8] Birth Spacing/ Family Planning :  FP Counselling",'QA Log'!Z:Z,"Approved"),"")</f>
        <v/>
      </c>
      <c r="BK423" s="105" t="str">
        <f>IF(A423&lt;&gt;"",COUNTIFS('QA Log'!D:D,A423,'QA Log'!M:M,"Vignette",'QA Log'!L:L,"Vignette [9] Birth Spacing: Change FP method to Injectable",'QA Log'!Z:Z,"Approved"),"")</f>
        <v/>
      </c>
      <c r="BL423" s="105" t="str">
        <f>IF(A423&lt;&gt;"",COUNTIFS('QA Log'!D:D,A423,'QA Log'!M:M,"Vignette",'QA Log'!L:L,"Vignette [10] Post Partum Haemorrhage - Atonic Uterus at Health Centre",'QA Log'!Z:Z,"Approved"),"")</f>
        <v/>
      </c>
      <c r="BM423" s="102" t="str">
        <f>IF(A423="","",SUM(
    COUNTIFS('QA Log'!D:D,A423,'QA Log'!M:M,"Vignette",'QA Log'!Z:Z,"Rejected",'QA Log'!L:L,"*Vignette [5] Labor*"),
    COUNTIFS('QA Log'!D:D,A423,'QA Log'!M:M,"Vignette",'QA Log'!Z:Z,"Rejected",'QA Log'!L:L,"*Vignette [6] PNC pre Discharge*"),
    COUNTIFS('QA Log'!D:D,A423,'QA Log'!M:M,"Vignette",'QA Log'!Z:Z,"Rejected",'QA Log'!L:L,"*Vignette [7] First ANC Visit*"),
    COUNTIFS('QA Log'!D:D,A423,'QA Log'!M:M,"Vignette",'QA Log'!Z:Z,"Rejected",'QA Log'!L:L,"*Vignette [8] Birth Spacing/ Family Planning :  FP Counselling*"),
    COUNTIFS('QA Log'!D:D,A423,'QA Log'!M:M,"Vignette",'QA Log'!Z:Z,"Rejected",'QA Log'!L:L,"*Vignette [9] Birth Spacing: Change FP method to Injectable*"),
    COUNTIFS('QA Log'!D:D,A423,'QA Log'!M:M,"Vignette",'QA Log'!Z:Z,"Rejected",'QA Log'!L:L,"*Vignette [10] Post Partum Haemorrhage - Atonic Uterus at Health Centre*")
  )
)</f>
        <v/>
      </c>
      <c r="BN423" s="107" t="str">
        <f t="shared" si="37"/>
        <v/>
      </c>
      <c r="BO423" s="103" t="str">
        <f t="shared" si="38"/>
        <v/>
      </c>
      <c r="BP423" s="102" t="str">
        <f>IF(A423="","",SUM(
COUNTIFS('QA Log'!D:D,A423,'QA Log'!M:M,"Vignette",'QA Log'!L:L,"*Exit Interview 1*"),
COUNTIFS('QA Log'!D:D,A423,'QA Log'!M:M,"Vignette",'QA Log'!L:L,"*Exit Interview 2*"),
)
)</f>
        <v/>
      </c>
      <c r="BQ423" s="102" t="str">
        <f>IF(
  A423="","",
  SUM(
    COUNTIFS('QA Log'!D:D,A423,'QA Log'!M:M,"Vignette",'QA Log'!Z:Z,"Approved",'QA Log'!L:L,"*Exit Interview 1*"),
    COUNTIFS('QA Log'!D:D,A423,'QA Log'!M:M,"Vignette",'QA Log'!Z:Z,"Approved",'QA Log'!L:L,"*Exit Interview 2*")
  )
)</f>
        <v/>
      </c>
      <c r="BR423" s="105" t="str">
        <f>IF(A423&lt;&gt;"",COUNTIFS('QA Log'!D:D,A423,'QA Log'!M:M,"Vignette",'QA Log'!L:L,"Exit Interview 1",'QA Log'!Z:Z,"Approved"),"")</f>
        <v/>
      </c>
      <c r="BS423" s="105" t="str">
        <f>IF(A423&lt;&gt;"",COUNTIFS('QA Log'!D:D,A423,'QA Log'!M:M,"Vignette",'QA Log'!L:L,"Exit Interview 2",'QA Log'!Z:Z,"Approved"),"")</f>
        <v/>
      </c>
      <c r="BT423" s="102" t="str">
        <f>IF(
  A423="","",
  SUM(
    COUNTIFS('QA Log'!D:D,A423,'QA Log'!M:M,"Vignette",'QA Log'!Z:Z,"Rejected",'QA Log'!L:L,"*Exit Interview 1*"),
    COUNTIFS('QA Log'!D:D,A423,'QA Log'!M:M,"Vignette",'QA Log'!Z:Z,"Rejected",'QA Log'!L:L,"*Exit Interview 2*")
  )
)</f>
        <v/>
      </c>
      <c r="BU423" s="107" t="str">
        <f t="shared" si="39"/>
        <v/>
      </c>
      <c r="BV423" s="102" t="str">
        <f t="shared" si="40"/>
        <v/>
      </c>
      <c r="BW423" s="102" t="str">
        <f t="shared" si="41"/>
        <v/>
      </c>
      <c r="BX423" s="102" t="str">
        <f t="shared" si="42"/>
        <v/>
      </c>
      <c r="BY423" s="102" t="str">
        <f t="shared" si="43"/>
        <v/>
      </c>
      <c r="BZ423" s="107" t="str">
        <f t="shared" si="44"/>
        <v/>
      </c>
      <c r="CA423" s="108" t="str">
        <f t="shared" si="45"/>
        <v/>
      </c>
      <c r="CB423" s="108" t="str">
        <f t="shared" si="46"/>
        <v/>
      </c>
      <c r="CC423" s="109" t="str">
        <f t="shared" si="47"/>
        <v/>
      </c>
      <c r="CD423" s="108" t="str">
        <f t="shared" si="48"/>
        <v/>
      </c>
      <c r="CE423" s="108" t="str">
        <f t="shared" si="49"/>
        <v/>
      </c>
      <c r="CF423" s="109" t="str">
        <f t="shared" si="50"/>
        <v/>
      </c>
      <c r="CG423" s="110" t="str">
        <f t="shared" si="51"/>
        <v/>
      </c>
      <c r="CH423" s="111"/>
    </row>
    <row r="424" spans="1:86" ht="12.75">
      <c r="A424" s="101"/>
      <c r="B424" s="102" t="e">
        <f t="array" aca="1" ref="B424" ca="1">_xludf.XLOOKUP(A424,'QA Log'!D:D,'QA Log'!E:E,"")</f>
        <v>#NAME?</v>
      </c>
      <c r="C424" s="102" t="e">
        <f t="array" aca="1" ref="C424" ca="1">_xludf.XLOOKUP(A424,'QA Log'!D:D,'QA Log'!F:F,"")</f>
        <v>#NAME?</v>
      </c>
      <c r="D424" s="102" t="e">
        <f t="array" aca="1" ref="D424" ca="1">_xludf.XLOOKUP(A424,'QA Log'!D:D,'QA Log'!H:H,"")</f>
        <v>#NAME?</v>
      </c>
      <c r="E424" s="102" t="e">
        <f t="array" aca="1" ref="E424" ca="1">_xludf.XLOOKUP(A424,'QA Log'!D:D,'QA Log'!G:G,"")</f>
        <v>#NAME?</v>
      </c>
      <c r="F424" s="103"/>
      <c r="G424" s="104"/>
      <c r="H424" s="104"/>
      <c r="I424" s="103" t="str">
        <f t="shared" si="26"/>
        <v/>
      </c>
      <c r="J424" s="102" t="str">
        <f>IF(A424="","",SUM(
COUNTIFS('QA Log'!D:D,A424,'QA Log'!M:M,"QQC",'QA Log'!L:L,"*1. General Management*"),
COUNTIFS('QA Log'!D:D,A424,'QA Log'!M:M,"QQC",'QA Log'!L:L,"*3. Curative Consultation (OPD)*"),
COUNTIFS('QA Log'!D:D,A424,'QA Log'!M:M,"QQC",'QA Log'!L:L,"*5. Laboratory*"),
COUNTIFS('QA Log'!D:D,A424,'QA Log'!M:M,"QQC",'QA Log'!L:L,"*6. Essential Medicine Management*"),
COUNTIFS('QA Log'!D:D,A424,'QA Log'!M:M,"QQC",'QA Log'!L:L,"*7. Tracer Medicine*"),
COUNTIFS('QA Log'!D:D,A424,'QA Log'!M:M,"QQC",'QA Log'!L:L,"*11. Additional Questions*")))</f>
        <v/>
      </c>
      <c r="K424" s="102" t="str">
        <f>IF(A424="","",SUM(
COUNTIFS('QA Log'!D:D,A424,'QA Log'!M:M,"QQC",'QA Log'!Z:Z,"Approved",'QA Log'!L:L,"*1. General Management*"),
COUNTIFS('QA Log'!D:D,A424,'QA Log'!M:M,"QQC",'QA Log'!Z:Z,"Approved",'QA Log'!L:L,"*3. Curative Consultation (OPD)*"),
COUNTIFS('QA Log'!D:D,A424,'QA Log'!M:M,"QQC",'QA Log'!Z:Z,"Approved",'QA Log'!L:L,"*5. Laboratory*"),
COUNTIFS('QA Log'!D:D,A424,'QA Log'!M:M,"QQC",'QA Log'!Z:Z,"Approved",'QA Log'!L:L,"*6. Essential Medicine Management*"),
COUNTIFS('QA Log'!D:D,A424,'QA Log'!M:M,"QQC",'QA Log'!Z:Z,"Approved",'QA Log'!L:L,"*7. Tracer Medicine*"),
COUNTIFS('QA Log'!D:D,A424,'QA Log'!M:M,"QQC",'QA Log'!Z:Z,"Approved",'QA Log'!L:L,"*11. Additional Questions*")))</f>
        <v/>
      </c>
      <c r="L424" s="102" t="str">
        <f>IF(A424&lt;&gt;"",COUNTIFS('QA Log'!D:D,A424,'QA Log'!M:M,"QQC",'QA Log'!L:L,"1. General Management",'QA Log'!Z:Z,"Approved"),"")</f>
        <v/>
      </c>
      <c r="M424" s="102" t="str">
        <f>IF(A424&lt;&gt;"",COUNTIFS('QA Log'!D:D,A424,'QA Log'!M:M,"QQC",'QA Log'!L:L,"3. Curative Consultation (OPD)",'QA Log'!Z:Z,"Approved"),"")</f>
        <v/>
      </c>
      <c r="N424" s="102" t="str">
        <f>IF(A424&lt;&gt;"",COUNTIFS('QA Log'!D:D,A424,'QA Log'!M:M,"QQC",'QA Log'!L:L,"5. Laboratory",'QA Log'!Z:Z,"Approved"),"")</f>
        <v/>
      </c>
      <c r="O424" s="102" t="str">
        <f>IF(A424&lt;&gt;"",COUNTIFS('QA Log'!D:D,A424,'QA Log'!M:M,"QQC",'QA Log'!L:L,"6. Essential Medicine Management",'QA Log'!Z:Z,"Approved"),"")</f>
        <v/>
      </c>
      <c r="P424" s="102" t="str">
        <f>IF(A424&lt;&gt;"",COUNTIFS('QA Log'!D:D,A424,'QA Log'!M:M,"QQC",'QA Log'!L:L,"7. Tracer Medicine",'QA Log'!Z:Z,"Approved"),"")</f>
        <v/>
      </c>
      <c r="Q424" s="102" t="str">
        <f>IF(A424&lt;&gt;"",COUNTIFS('QA Log'!D:D,A424,'QA Log'!M:M,"QQC",'QA Log'!L:L,"11. Additional Questions",'QA Log'!Z:Z,"Approved"),"")</f>
        <v/>
      </c>
      <c r="R424" s="102" t="str">
        <f>IF(A424="","",SUM(
COUNTIFS('QA Log'!D:D,A424,'QA Log'!M:M,"QQC",'QA Log'!Z:Z,"Rejected",'QA Log'!L:L,"*8. Maternity*"),
COUNTIFS('QA Log'!D:D,A424,'QA Log'!M:M,"QQC",'QA Log'!Z:Z,"Rejected",'QA Log'!L:L,"*EPI*"),
COUNTIFS('QA Log'!D:D,A424,'QA Log'!M:M,"QQC",'QA Log'!Z:Z,"Rejected",'QA Log'!L:L,"*10. Antenatal Care (ANC)*"),
COUNTIFS('QA Log'!D:D,A424,'QA Log'!M:M,"QQC",'QA Log'!Z:Z,"Rejected",'QA Log'!L:L,"*2. Hygiene and Sterilization*"),
COUNTIFS('QA Log'!D:D,A424,'QA Log'!M:M,"QQC",'QA Log'!Z:Z,"Rejected",'QA Log'!L:L,"*Family Planning*")))</f>
        <v/>
      </c>
      <c r="S424" s="106" t="str">
        <f t="shared" si="27"/>
        <v/>
      </c>
      <c r="T424" s="102" t="str">
        <f t="shared" si="28"/>
        <v/>
      </c>
      <c r="U424" s="102" t="str">
        <f>IF(A424="","",
SUM(
COUNTIFS('QA Log'!D:D,A424,'QA Log'!M:M,"QQC",'QA Log'!L:L,"*8. Maternity*"),
COUNTIFS('QA Log'!D:D,A424,'QA Log'!M:M,"QQC",'QA Log'!L:L,"*9. EPI and Pre-school Consultation*"),
COUNTIFS('QA Log'!D:D,A424,'QA Log'!M:M,"QQC",'QA Log'!L:L,"*10. Antenatal Care (ANC)*"),
COUNTIFS('QA Log'!D:D,A424,'QA Log'!M:M,"QQC",'QA Log'!L:L,"*2. Hygiene and Sterilization*"),
COUNTIFS('QA Log'!D:D,A424,'QA Log'!M:M,"QQC",'QA Log'!L:L,"*4. Family Planning*")
))</f>
        <v/>
      </c>
      <c r="V424" s="102" t="str">
        <f>IF(A424="","",
SUM(
COUNTIFS('QA Log'!D:D,A424,'QA Log'!M:M,"QQC",'QA Log'!Z:Z,"Approved",'QA Log'!L:L,"*8. Maternity*"),
COUNTIFS('QA Log'!D:D,A424,'QA Log'!M:M,"QQC",'QA Log'!Z:Z,"Approved",'QA Log'!L:L,"*9. EPI and Pre-school Consultation*"),
COUNTIFS('QA Log'!D:D,A424,'QA Log'!M:M,"QQC",'QA Log'!Z:Z,"Approved",'QA Log'!L:L,"*10. Antenatal Care (ANC)*"),
COUNTIFS('QA Log'!D:D,A424,'QA Log'!M:M,"QQC",'QA Log'!Z:Z,"Approved",'QA Log'!L:L,"*2. Hygiene and Sterilization*"),
COUNTIFS('QA Log'!D:D,A424,'QA Log'!M:M,"QQC",'QA Log'!Z:Z,"Approved",'QA Log'!L:L,"*4. Family Planning*")
))</f>
        <v/>
      </c>
      <c r="W424" s="102" t="str">
        <f>IF(A424&lt;&gt;"",COUNTIFS('QA Log'!D:D,A424,'QA Log'!M:M,"QQC",'QA Log'!L:L,"8. Maternity",'QA Log'!Z:Z,"Approved"),"")</f>
        <v/>
      </c>
      <c r="X424" s="105" t="str">
        <f>IF(A424&lt;&gt;"",COUNTIFS('QA Log'!D:D,A424,'QA Log'!M:M,"QQC",'QA Log'!L:L,"9. EPI and Pre-school Consultation",'QA Log'!Z:Z,"Approved"),"")</f>
        <v/>
      </c>
      <c r="Y424" s="102" t="str">
        <f>IF(A424&lt;&gt;"",COUNTIFS('QA Log'!D:D,A424,'QA Log'!M:M,"QQC",'QA Log'!L:L,"10. Antenatal Care (ANC)",'QA Log'!Z:Z,"Approved"),"")</f>
        <v/>
      </c>
      <c r="Z424" s="102" t="str">
        <f>IF(A424&lt;&gt;"",COUNTIFS('QA Log'!D:D,A424,'QA Log'!M:M,"QQC",'QA Log'!L:L,"2. Hygiene and Sterilization",'QA Log'!Z:Z,"Approved"),"")</f>
        <v/>
      </c>
      <c r="AA424" s="105" t="str">
        <f>IF(A424&lt;&gt;"",COUNTIFS('QA Log'!D:D,A424,'QA Log'!M:M,"QQC",'QA Log'!L:L,"4. Family Planning",'QA Log'!Z:Z,"Approved"),"")</f>
        <v/>
      </c>
      <c r="AB424" s="102" t="str">
        <f>IF(A424="","",
SUM(
COUNTIFS('QA Log'!D:D,A424,'QA Log'!M:M,"QQC",'QA Log'!Z:Z,"Rejected",'QA Log'!L:L,"*8. Maternity*"),
COUNTIFS('QA Log'!D:D,A424,'QA Log'!M:M,"QQC",'QA Log'!Z:Z,"Rejected",'QA Log'!L:L,"*9. EPI and Pre-school Consultation*"),
COUNTIFS('QA Log'!D:D,A424,'QA Log'!M:M,"QQC",'QA Log'!Z:Z,"Rejected",'QA Log'!L:L,"*10. Antenatal Care (ANC)*"),
COUNTIFS('QA Log'!D:D,A424,'QA Log'!M:M,"QQC",'QA Log'!Z:Z,"Rejected",'QA Log'!L:L,"*2. Hygiene and Sterilization*"),
COUNTIFS('QA Log'!D:D,A424,'QA Log'!M:M,"QQC",'QA Log'!Z:Z,"Rejected",'QA Log'!L:L,"*4. Family Planning*")
))</f>
        <v/>
      </c>
      <c r="AC424" s="102" t="str">
        <f t="shared" si="29"/>
        <v/>
      </c>
      <c r="AD424" s="103" t="str">
        <f t="shared" si="30"/>
        <v/>
      </c>
      <c r="AE424" s="102" t="str">
        <f>IF(A424="","",
SUM(
COUNTIFS('QA Log'!D:D,A424,'QA Log'!M:M,"Data Verification",'QA Log'!L:L,"*Medicine (section 2)*"),
COUNTIFS('QA Log'!D:D,A424,'QA Log'!M:M,"Data Verification",'QA Log'!L:L,"*Lab Testing Availability*"),
COUNTIFS('QA Log'!D:D,A424,'QA Log'!M:M,"Data Verification",'QA Log'!L:L,"*Other than P4P (section 6)*"),
COUNTIFS('QA Log'!D:D,A424,'QA Log'!M:M,"Data Verification",'QA Log'!L:L,"*Hospital Governance*")
))</f>
        <v/>
      </c>
      <c r="AF424" s="102" t="str">
        <f>IF(A424="","",
SUM(
COUNTIFS('QA Log'!D:D,A424,'QA Log'!M:M,"Data Verification",'QA Log'!Z:Z,"Approved",'QA Log'!L:L,"*Medicine (section 2)*"),
COUNTIFS('QA Log'!D:D,A424,'QA Log'!M:M,"Data Verification",'QA Log'!Z:Z,"Approved",'QA Log'!L:L,"*Lab Testing Availability*"),
COUNTIFS('QA Log'!D:D,A424,'QA Log'!M:M,"Data Verification",'QA Log'!Z:Z,"Approved",'QA Log'!L:L,"*Other than P4P (section 6)*"),
COUNTIFS('QA Log'!D:D,A424,'QA Log'!M:M,"Data Verification",'QA Log'!Z:Z,"Approved",'QA Log'!L:L,"*Hospital Governance*")
))</f>
        <v/>
      </c>
      <c r="AG424" s="105" t="str">
        <f>IF(A424&lt;&gt;"",COUNTIFS('QA Log'!D:D,A424,'QA Log'!M:M,"Data Verification",'QA Log'!L:L,"Medicine (section 2)",'QA Log'!Z:Z,"Approved"),"")</f>
        <v/>
      </c>
      <c r="AH424" s="105" t="str">
        <f>IF(A424&lt;&gt;"",COUNTIFS('QA Log'!D:D,A424,'QA Log'!M:M,"Data Verification",'QA Log'!L:L,"Lab Testing Availability",'QA Log'!Z:Z,"Approved"),"")</f>
        <v/>
      </c>
      <c r="AI424" s="105" t="str">
        <f>IF(A424&lt;&gt;"",COUNTIFS('QA Log'!D:D,A424,'QA Log'!M:M,"Data Verification",'QA Log'!L:L,"Other than P4P (section 6)",'QA Log'!Z:Z,"Approved"),"")</f>
        <v/>
      </c>
      <c r="AJ424" s="105" t="str">
        <f>IF(A424&lt;&gt;"",COUNTIFS('QA Log'!D:D,A424,'QA Log'!M:M,"Data Verification",'QA Log'!L:L,"Hospital Governance",'QA Log'!Z:Z,"Approved"),"")</f>
        <v/>
      </c>
      <c r="AK424" s="102" t="str">
        <f>IF(A424="","",
SUM(
COUNTIFS('QA Log'!D:D,A424,'QA Log'!M:M,"Data Verification",'QA Log'!Z:Z,"Rejected",'QA Log'!L:L,"*Medicine (section 2)*"),
COUNTIFS('QA Log'!D:D,A424,'QA Log'!M:M,"Data Verification",'QA Log'!Z:Z,"Rejected",'QA Log'!L:L,"*Lab Testing Availability*"),
COUNTIFS('QA Log'!D:D,A424,'QA Log'!M:M,"Data Verification",'QA Log'!Z:Z,"Rejected",'QA Log'!L:L,"*Other than P4P (section 6)*"),
COUNTIFS('QA Log'!D:D,A424,'QA Log'!M:M,"Data Verification",'QA Log'!Z:Z,"Rejected",'QA Log'!L:L,"*Hospital Governance*")
))</f>
        <v/>
      </c>
      <c r="AL424" s="106" t="str">
        <f t="shared" si="31"/>
        <v/>
      </c>
      <c r="AM424" s="102" t="str">
        <f t="shared" si="32"/>
        <v/>
      </c>
      <c r="AN424" s="102" t="str">
        <f>IF(A424="","",
SUM(
COUNTIFS('QA Log'!D:D,A424,'QA Log'!M:M,"Data Verification",'QA Log'!L:L,"*Personnel (section 1)*"),
COUNTIFS('QA Log'!D:D,A424,'QA Log'!M:M,"Data Verification",'QA Log'!L:L,"*Consumable (section 3)*"),
COUNTIFS('QA Log'!D:D,A424,'QA Log'!M:M,"Data Verification",'QA Log'!L:L,"*Equipments (section 4)*")
))</f>
        <v/>
      </c>
      <c r="AO424" s="102" t="str">
        <f>IF(A424="","",
SUM(
COUNTIFS('QA Log'!D:D,A424,'QA Log'!M:M,"Data Verification",'QA Log'!Z:Z,"Approved",'QA Log'!L:L,"*Personnel (section 1)*"),
COUNTIFS('QA Log'!D:D,A424,'QA Log'!M:M,"Data Verification",'QA Log'!Z:Z,"Approved",'QA Log'!L:L,"*Consumable (section 3)*"),
COUNTIFS('QA Log'!D:D,A424,'QA Log'!M:M,"Data Verification",'QA Log'!Z:Z,"Approved",'QA Log'!L:L,"*Equipments (section 4)*")
))</f>
        <v/>
      </c>
      <c r="AP424" s="105" t="str">
        <f>IF(A424&lt;&gt;"",COUNTIFS('QA Log'!D:D,A424,'QA Log'!M:M,"Data Verification",'QA Log'!L:L,"Personnel (section 1)",'QA Log'!Z:Z,"Approved"),"")</f>
        <v/>
      </c>
      <c r="AQ424" s="105" t="str">
        <f>IF(A424&lt;&gt;"",COUNTIFS('QA Log'!D:D,A424,'QA Log'!M:M,"Data Verification",'QA Log'!L:L,"Consumable (section 3)",'QA Log'!Z:Z,"Approved"),"")</f>
        <v/>
      </c>
      <c r="AR424" s="105" t="str">
        <f>IF(A424&lt;&gt;"",COUNTIFS('QA Log'!D:D,A424,'QA Log'!M:M,"Data Verification",'QA Log'!L:L,"Equipments (section 4)",'QA Log'!Z:Z,"Approved"),"")</f>
        <v/>
      </c>
      <c r="AS424" s="102" t="str">
        <f>IF(A424="","",
SUM(
COUNTIFS('QA Log'!D:D,A424,'QA Log'!M:M,"Data Verification",'QA Log'!Z:Z,"Rejected",'QA Log'!L:L,"*Personnel (section 1)*"),
COUNTIFS('QA Log'!D:D,A424,'QA Log'!M:M,"Data Verification",'QA Log'!Z:Z,"Rejected",'QA Log'!L:L,"*Consumable (section 3)*"),
COUNTIFS('QA Log'!D:D,A424,'QA Log'!M:M,"Data Verification",'QA Log'!Z:Z,"Rejected",'QA Log'!L:L,"*Equipments (section 4)*")
))</f>
        <v/>
      </c>
      <c r="AT424" s="102" t="str">
        <f t="shared" si="33"/>
        <v/>
      </c>
      <c r="AU424" s="103" t="str">
        <f t="shared" si="34"/>
        <v/>
      </c>
      <c r="AV424" s="102" t="str">
        <f>IF(A424="","",SUM(
COUNTIFS('QA Log'!D:D,A424,'QA Log'!M:M,"Vignette",'QA Log'!L:L,"*Vignette [1] Respiratory Infection: Pneumonia*"),
COUNTIFS('QA Log'!D:D,A424,'QA Log'!M:M,"Vignette",'QA Log'!L:L,"*Vignette [2]: Diarrhea with Cat B dehydration*"),
COUNTIFS('QA Log'!D:D,A424,'QA Log'!M:M,"Vignette",'QA Log'!L:L,"*Vignette [3] Growth Monitoring and Promotion*"),
COUNTIFS('QA Log'!D:D,A424,'QA Log'!M:M,"Vignette",'QA Log'!L:L,"*Vignette [4]: The management of presumptive TB patient*")
)
)</f>
        <v/>
      </c>
      <c r="AW424" s="102" t="str">
        <f>IF(
  A424="","",
  SUM(
    COUNTIFS('QA Log'!D:D,A424,'QA Log'!M:M,"Vignette",'QA Log'!Z:Z,"Approved",'QA Log'!L:L,"*Vignette [1] Respiratory Infection: Pneumonia*"),
    COUNTIFS('QA Log'!D:D,A424,'QA Log'!M:M,"Vignette",'QA Log'!Z:Z,"Approved",'QA Log'!L:L,"*Vignette [2]: Diarrhea with Cat B dehydration*"),
    COUNTIFS('QA Log'!D:D,A424,'QA Log'!M:M,"Vignette",'QA Log'!Z:Z,"Approved",'QA Log'!L:L,"*Vignette [3] Growth Monitoring and Promotion*"),
    COUNTIFS('QA Log'!D:D,A424,'QA Log'!M:M,"Vignette",'QA Log'!Z:Z,"Approved",'QA Log'!L:L,"*Vignette [4]: The management of presumptive TB patient*")
  )
)</f>
        <v/>
      </c>
      <c r="AX424" s="105" t="str">
        <f>IF(A424&lt;&gt;"",COUNTIFS('QA Log'!D:D,A424,'QA Log'!M:M,"Vignette",'QA Log'!L:L,"Vignette [1] Respiratory Infection: Pneumonia",'QA Log'!Z:Z,"Approved"),"")</f>
        <v/>
      </c>
      <c r="AY424" s="105" t="str">
        <f>IF(A424&lt;&gt;"",COUNTIFS('QA Log'!D:D,A424,'QA Log'!M:M,"Vignette",'QA Log'!L:L,"Vignette [2]: Diarrhea with Cat B dehydration",'QA Log'!Z:Z,"Approved"),"")</f>
        <v/>
      </c>
      <c r="AZ424" s="105" t="str">
        <f>IF(A424&lt;&gt;"",COUNTIFS('QA Log'!D:D,A424,'QA Log'!M:M,"Vignette",'QA Log'!L:L,"Vignette [3] Growth Monitoring and Promotion",'QA Log'!Z:Z,"Approved"),"")</f>
        <v/>
      </c>
      <c r="BA424" s="105" t="str">
        <f>IF(A424&lt;&gt;"",COUNTIFS('QA Log'!D:D,A424,'QA Log'!M:M,"Vignette",'QA Log'!L:L,"Vignette [4]: The management of presumptive TB patient",'QA Log'!Z:Z,"Approved"),"")</f>
        <v/>
      </c>
      <c r="BB424" s="102" t="str">
        <f>IF(A424="","",
  SUM(
    COUNTIFS('QA Log'!D:D,A424,'QA Log'!M:M,"Vignette",'QA Log'!Z:Z,"Rejected",'QA Log'!L:L,"*Vignette [1] Respiratory Infection: Pneumonia*"),
    COUNTIFS('QA Log'!D:D,A424,'QA Log'!M:M,"Vignette",'QA Log'!Z:Z,"Rejected",'QA Log'!L:L,"*Vignette [2]: Diarrhea with Cat B dehydration*"),
    COUNTIFS('QA Log'!D:D,A424,'QA Log'!M:M,"Vignette",'QA Log'!Z:Z,"Rejected",'QA Log'!L:L,"*Vignette [3] Growth Monitoring and Promotion*"),
    COUNTIFS('QA Log'!D:D,A424,'QA Log'!M:M,"Vignette",'QA Log'!Z:Z,"Rejected",'QA Log'!L:L,"*Vignette [4]: The management of presumptive TB patient*")
  )
)</f>
        <v/>
      </c>
      <c r="BC424" s="107" t="str">
        <f t="shared" si="35"/>
        <v/>
      </c>
      <c r="BD424" s="103" t="str">
        <f t="shared" si="36"/>
        <v/>
      </c>
      <c r="BE424" s="102" t="str">
        <f>IF(A424="","",SUM(
COUNTIFS('QA Log'!D:D,A424,'QA Log'!M:M,"Vignette",'QA Log'!L:L,"*Vignette [5] Labor*"),
COUNTIFS('QA Log'!D:D,A424,'QA Log'!M:M,"Vignette",'QA Log'!L:L,"*Vignette [6] PNC pre Discharge*"),
COUNTIFS('QA Log'!D:D,A424,'QA Log'!M:M,"Vignette",'QA Log'!L:L,"*Vignette [7] First ANC Visit*"),
COUNTIFS('QA Log'!D:D,A424,'QA Log'!M:M,"Vignette",'QA Log'!L:L,"*Vignette [8] Birth Spacing/ Family Planning :  FP Counselling*"),
COUNTIFS('QA Log'!D:D,A424,'QA Log'!M:M,"Vignette",'QA Log'!L:L,"*Vignette [9] Birth Spacing: Change FP method to Injectable*"),
COUNTIFS('QA Log'!D:D,A424,'QA Log'!M:M,"Vignette",'QA Log'!L:L,"*Vignette [10] Post Partum Haemorrhage - Atonic Uterus at Health Centre*"),
)
)</f>
        <v/>
      </c>
      <c r="BF424" s="102" t="str">
        <f>IF(A424="","",
  SUM(
    COUNTIFS('QA Log'!D:D,A424,'QA Log'!M:M,"Vignette",'QA Log'!Z:Z,"Approved",'QA Log'!L:L,"*Vignette [5] Labor*"),
    COUNTIFS('QA Log'!D:D,A424,'QA Log'!M:M,"Vignette",'QA Log'!Z:Z,"Approved",'QA Log'!L:L,"*Vignette [6] PNC pre Discharge*"),
    COUNTIFS('QA Log'!D:D,A424,'QA Log'!M:M,"Vignette",'QA Log'!Z:Z,"Approved",'QA Log'!L:L,"*Vignette [7] First ANC Visit*"),
    COUNTIFS('QA Log'!D:D,A424,'QA Log'!M:M,"Vignette",'QA Log'!Z:Z,"Approved",'QA Log'!L:L,"*Vignette [8] Birth Spacing/ Family Planning :  FP Counselling*"),
    COUNTIFS('QA Log'!D:D,A424,'QA Log'!M:M,"Vignette",'QA Log'!Z:Z,"Approved",'QA Log'!L:L,"*Vignette [9] Birth Spacing: Change FP method to Injectable*"),
    COUNTIFS('QA Log'!D:D,A424,'QA Log'!M:M,"Vignette",'QA Log'!Z:Z,"Approved",'QA Log'!L:L,"*Vignette [10] Post Partum Haemorrhage - Atonic Uterus at Health Centre*")
  )
)</f>
        <v/>
      </c>
      <c r="BG424" s="105" t="str">
        <f>IF(A424&lt;&gt;"",COUNTIFS('QA Log'!D:D,A424,'QA Log'!M:M,"Vignette",'QA Log'!L:L,"Vignette [5] Labor",'QA Log'!Z:Z,"Approved"),"")</f>
        <v/>
      </c>
      <c r="BH424" s="105" t="str">
        <f>IF(A424&lt;&gt;"",COUNTIFS('QA Log'!D:D,A424,'QA Log'!M:M,"Vignette",'QA Log'!L:L,"Vignette [6] PNC pre Discharge",'QA Log'!Z:Z,"Approved"),"")</f>
        <v/>
      </c>
      <c r="BI424" s="105" t="str">
        <f>IF(A424&lt;&gt;"",COUNTIFS('QA Log'!D:D,A424,'QA Log'!M:M,"Vignette",'QA Log'!L:L,"Vignette [7] First ANC Visit",'QA Log'!Z:Z,"Approved"),"")</f>
        <v/>
      </c>
      <c r="BJ424" s="105" t="str">
        <f>IF(A424&lt;&gt;"",COUNTIFS('QA Log'!D:D,A424,'QA Log'!M:M,"Vignette",'QA Log'!L:L,"Vignette [8] Birth Spacing/ Family Planning :  FP Counselling",'QA Log'!Z:Z,"Approved"),"")</f>
        <v/>
      </c>
      <c r="BK424" s="105" t="str">
        <f>IF(A424&lt;&gt;"",COUNTIFS('QA Log'!D:D,A424,'QA Log'!M:M,"Vignette",'QA Log'!L:L,"Vignette [9] Birth Spacing: Change FP method to Injectable",'QA Log'!Z:Z,"Approved"),"")</f>
        <v/>
      </c>
      <c r="BL424" s="105" t="str">
        <f>IF(A424&lt;&gt;"",COUNTIFS('QA Log'!D:D,A424,'QA Log'!M:M,"Vignette",'QA Log'!L:L,"Vignette [10] Post Partum Haemorrhage - Atonic Uterus at Health Centre",'QA Log'!Z:Z,"Approved"),"")</f>
        <v/>
      </c>
      <c r="BM424" s="102" t="str">
        <f>IF(A424="","",SUM(
    COUNTIFS('QA Log'!D:D,A424,'QA Log'!M:M,"Vignette",'QA Log'!Z:Z,"Rejected",'QA Log'!L:L,"*Vignette [5] Labor*"),
    COUNTIFS('QA Log'!D:D,A424,'QA Log'!M:M,"Vignette",'QA Log'!Z:Z,"Rejected",'QA Log'!L:L,"*Vignette [6] PNC pre Discharge*"),
    COUNTIFS('QA Log'!D:D,A424,'QA Log'!M:M,"Vignette",'QA Log'!Z:Z,"Rejected",'QA Log'!L:L,"*Vignette [7] First ANC Visit*"),
    COUNTIFS('QA Log'!D:D,A424,'QA Log'!M:M,"Vignette",'QA Log'!Z:Z,"Rejected",'QA Log'!L:L,"*Vignette [8] Birth Spacing/ Family Planning :  FP Counselling*"),
    COUNTIFS('QA Log'!D:D,A424,'QA Log'!M:M,"Vignette",'QA Log'!Z:Z,"Rejected",'QA Log'!L:L,"*Vignette [9] Birth Spacing: Change FP method to Injectable*"),
    COUNTIFS('QA Log'!D:D,A424,'QA Log'!M:M,"Vignette",'QA Log'!Z:Z,"Rejected",'QA Log'!L:L,"*Vignette [10] Post Partum Haemorrhage - Atonic Uterus at Health Centre*")
  )
)</f>
        <v/>
      </c>
      <c r="BN424" s="107" t="str">
        <f t="shared" si="37"/>
        <v/>
      </c>
      <c r="BO424" s="103" t="str">
        <f t="shared" si="38"/>
        <v/>
      </c>
      <c r="BP424" s="102" t="str">
        <f>IF(A424="","",SUM(
COUNTIFS('QA Log'!D:D,A424,'QA Log'!M:M,"Vignette",'QA Log'!L:L,"*Exit Interview 1*"),
COUNTIFS('QA Log'!D:D,A424,'QA Log'!M:M,"Vignette",'QA Log'!L:L,"*Exit Interview 2*"),
)
)</f>
        <v/>
      </c>
      <c r="BQ424" s="102" t="str">
        <f>IF(
  A424="","",
  SUM(
    COUNTIFS('QA Log'!D:D,A424,'QA Log'!M:M,"Vignette",'QA Log'!Z:Z,"Approved",'QA Log'!L:L,"*Exit Interview 1*"),
    COUNTIFS('QA Log'!D:D,A424,'QA Log'!M:M,"Vignette",'QA Log'!Z:Z,"Approved",'QA Log'!L:L,"*Exit Interview 2*")
  )
)</f>
        <v/>
      </c>
      <c r="BR424" s="105" t="str">
        <f>IF(A424&lt;&gt;"",COUNTIFS('QA Log'!D:D,A424,'QA Log'!M:M,"Vignette",'QA Log'!L:L,"Exit Interview 1",'QA Log'!Z:Z,"Approved"),"")</f>
        <v/>
      </c>
      <c r="BS424" s="105" t="str">
        <f>IF(A424&lt;&gt;"",COUNTIFS('QA Log'!D:D,A424,'QA Log'!M:M,"Vignette",'QA Log'!L:L,"Exit Interview 2",'QA Log'!Z:Z,"Approved"),"")</f>
        <v/>
      </c>
      <c r="BT424" s="102" t="str">
        <f>IF(
  A424="","",
  SUM(
    COUNTIFS('QA Log'!D:D,A424,'QA Log'!M:M,"Vignette",'QA Log'!Z:Z,"Rejected",'QA Log'!L:L,"*Exit Interview 1*"),
    COUNTIFS('QA Log'!D:D,A424,'QA Log'!M:M,"Vignette",'QA Log'!Z:Z,"Rejected",'QA Log'!L:L,"*Exit Interview 2*")
  )
)</f>
        <v/>
      </c>
      <c r="BU424" s="107" t="str">
        <f t="shared" si="39"/>
        <v/>
      </c>
      <c r="BV424" s="102" t="str">
        <f t="shared" si="40"/>
        <v/>
      </c>
      <c r="BW424" s="102" t="str">
        <f t="shared" si="41"/>
        <v/>
      </c>
      <c r="BX424" s="102" t="str">
        <f t="shared" si="42"/>
        <v/>
      </c>
      <c r="BY424" s="102" t="str">
        <f t="shared" si="43"/>
        <v/>
      </c>
      <c r="BZ424" s="107" t="str">
        <f t="shared" si="44"/>
        <v/>
      </c>
      <c r="CA424" s="108" t="str">
        <f t="shared" si="45"/>
        <v/>
      </c>
      <c r="CB424" s="108" t="str">
        <f t="shared" si="46"/>
        <v/>
      </c>
      <c r="CC424" s="109" t="str">
        <f t="shared" si="47"/>
        <v/>
      </c>
      <c r="CD424" s="108" t="str">
        <f t="shared" si="48"/>
        <v/>
      </c>
      <c r="CE424" s="108" t="str">
        <f t="shared" si="49"/>
        <v/>
      </c>
      <c r="CF424" s="109" t="str">
        <f t="shared" si="50"/>
        <v/>
      </c>
      <c r="CG424" s="110" t="str">
        <f t="shared" si="51"/>
        <v/>
      </c>
      <c r="CH424" s="111"/>
    </row>
    <row r="425" spans="1:86" ht="12.75">
      <c r="A425" s="101"/>
      <c r="B425" s="102" t="e">
        <f t="array" aca="1" ref="B425" ca="1">_xludf.XLOOKUP(A425,'QA Log'!D:D,'QA Log'!E:E,"")</f>
        <v>#NAME?</v>
      </c>
      <c r="C425" s="102" t="e">
        <f t="array" aca="1" ref="C425" ca="1">_xludf.XLOOKUP(A425,'QA Log'!D:D,'QA Log'!F:F,"")</f>
        <v>#NAME?</v>
      </c>
      <c r="D425" s="102" t="e">
        <f t="array" aca="1" ref="D425" ca="1">_xludf.XLOOKUP(A425,'QA Log'!D:D,'QA Log'!H:H,"")</f>
        <v>#NAME?</v>
      </c>
      <c r="E425" s="102" t="e">
        <f t="array" aca="1" ref="E425" ca="1">_xludf.XLOOKUP(A425,'QA Log'!D:D,'QA Log'!G:G,"")</f>
        <v>#NAME?</v>
      </c>
      <c r="F425" s="103"/>
      <c r="G425" s="104"/>
      <c r="H425" s="104"/>
      <c r="I425" s="103" t="str">
        <f t="shared" si="26"/>
        <v/>
      </c>
      <c r="J425" s="102" t="str">
        <f>IF(A425="","",SUM(
COUNTIFS('QA Log'!D:D,A425,'QA Log'!M:M,"QQC",'QA Log'!L:L,"*1. General Management*"),
COUNTIFS('QA Log'!D:D,A425,'QA Log'!M:M,"QQC",'QA Log'!L:L,"*3. Curative Consultation (OPD)*"),
COUNTIFS('QA Log'!D:D,A425,'QA Log'!M:M,"QQC",'QA Log'!L:L,"*5. Laboratory*"),
COUNTIFS('QA Log'!D:D,A425,'QA Log'!M:M,"QQC",'QA Log'!L:L,"*6. Essential Medicine Management*"),
COUNTIFS('QA Log'!D:D,A425,'QA Log'!M:M,"QQC",'QA Log'!L:L,"*7. Tracer Medicine*"),
COUNTIFS('QA Log'!D:D,A425,'QA Log'!M:M,"QQC",'QA Log'!L:L,"*11. Additional Questions*")))</f>
        <v/>
      </c>
      <c r="K425" s="102" t="str">
        <f>IF(A425="","",SUM(
COUNTIFS('QA Log'!D:D,A425,'QA Log'!M:M,"QQC",'QA Log'!Z:Z,"Approved",'QA Log'!L:L,"*1. General Management*"),
COUNTIFS('QA Log'!D:D,A425,'QA Log'!M:M,"QQC",'QA Log'!Z:Z,"Approved",'QA Log'!L:L,"*3. Curative Consultation (OPD)*"),
COUNTIFS('QA Log'!D:D,A425,'QA Log'!M:M,"QQC",'QA Log'!Z:Z,"Approved",'QA Log'!L:L,"*5. Laboratory*"),
COUNTIFS('QA Log'!D:D,A425,'QA Log'!M:M,"QQC",'QA Log'!Z:Z,"Approved",'QA Log'!L:L,"*6. Essential Medicine Management*"),
COUNTIFS('QA Log'!D:D,A425,'QA Log'!M:M,"QQC",'QA Log'!Z:Z,"Approved",'QA Log'!L:L,"*7. Tracer Medicine*"),
COUNTIFS('QA Log'!D:D,A425,'QA Log'!M:M,"QQC",'QA Log'!Z:Z,"Approved",'QA Log'!L:L,"*11. Additional Questions*")))</f>
        <v/>
      </c>
      <c r="L425" s="102" t="str">
        <f>IF(A425&lt;&gt;"",COUNTIFS('QA Log'!D:D,A425,'QA Log'!M:M,"QQC",'QA Log'!L:L,"1. General Management",'QA Log'!Z:Z,"Approved"),"")</f>
        <v/>
      </c>
      <c r="M425" s="102" t="str">
        <f>IF(A425&lt;&gt;"",COUNTIFS('QA Log'!D:D,A425,'QA Log'!M:M,"QQC",'QA Log'!L:L,"3. Curative Consultation (OPD)",'QA Log'!Z:Z,"Approved"),"")</f>
        <v/>
      </c>
      <c r="N425" s="102" t="str">
        <f>IF(A425&lt;&gt;"",COUNTIFS('QA Log'!D:D,A425,'QA Log'!M:M,"QQC",'QA Log'!L:L,"5. Laboratory",'QA Log'!Z:Z,"Approved"),"")</f>
        <v/>
      </c>
      <c r="O425" s="102" t="str">
        <f>IF(A425&lt;&gt;"",COUNTIFS('QA Log'!D:D,A425,'QA Log'!M:M,"QQC",'QA Log'!L:L,"6. Essential Medicine Management",'QA Log'!Z:Z,"Approved"),"")</f>
        <v/>
      </c>
      <c r="P425" s="102" t="str">
        <f>IF(A425&lt;&gt;"",COUNTIFS('QA Log'!D:D,A425,'QA Log'!M:M,"QQC",'QA Log'!L:L,"7. Tracer Medicine",'QA Log'!Z:Z,"Approved"),"")</f>
        <v/>
      </c>
      <c r="Q425" s="102" t="str">
        <f>IF(A425&lt;&gt;"",COUNTIFS('QA Log'!D:D,A425,'QA Log'!M:M,"QQC",'QA Log'!L:L,"11. Additional Questions",'QA Log'!Z:Z,"Approved"),"")</f>
        <v/>
      </c>
      <c r="R425" s="102" t="str">
        <f>IF(A425="","",SUM(
COUNTIFS('QA Log'!D:D,A425,'QA Log'!M:M,"QQC",'QA Log'!Z:Z,"Rejected",'QA Log'!L:L,"*8. Maternity*"),
COUNTIFS('QA Log'!D:D,A425,'QA Log'!M:M,"QQC",'QA Log'!Z:Z,"Rejected",'QA Log'!L:L,"*EPI*"),
COUNTIFS('QA Log'!D:D,A425,'QA Log'!M:M,"QQC",'QA Log'!Z:Z,"Rejected",'QA Log'!L:L,"*10. Antenatal Care (ANC)*"),
COUNTIFS('QA Log'!D:D,A425,'QA Log'!M:M,"QQC",'QA Log'!Z:Z,"Rejected",'QA Log'!L:L,"*2. Hygiene and Sterilization*"),
COUNTIFS('QA Log'!D:D,A425,'QA Log'!M:M,"QQC",'QA Log'!Z:Z,"Rejected",'QA Log'!L:L,"*Family Planning*")))</f>
        <v/>
      </c>
      <c r="S425" s="106" t="str">
        <f t="shared" si="27"/>
        <v/>
      </c>
      <c r="T425" s="102" t="str">
        <f t="shared" si="28"/>
        <v/>
      </c>
      <c r="U425" s="102" t="str">
        <f>IF(A425="","",
SUM(
COUNTIFS('QA Log'!D:D,A425,'QA Log'!M:M,"QQC",'QA Log'!L:L,"*8. Maternity*"),
COUNTIFS('QA Log'!D:D,A425,'QA Log'!M:M,"QQC",'QA Log'!L:L,"*9. EPI and Pre-school Consultation*"),
COUNTIFS('QA Log'!D:D,A425,'QA Log'!M:M,"QQC",'QA Log'!L:L,"*10. Antenatal Care (ANC)*"),
COUNTIFS('QA Log'!D:D,A425,'QA Log'!M:M,"QQC",'QA Log'!L:L,"*2. Hygiene and Sterilization*"),
COUNTIFS('QA Log'!D:D,A425,'QA Log'!M:M,"QQC",'QA Log'!L:L,"*4. Family Planning*")
))</f>
        <v/>
      </c>
      <c r="V425" s="102" t="str">
        <f>IF(A425="","",
SUM(
COUNTIFS('QA Log'!D:D,A425,'QA Log'!M:M,"QQC",'QA Log'!Z:Z,"Approved",'QA Log'!L:L,"*8. Maternity*"),
COUNTIFS('QA Log'!D:D,A425,'QA Log'!M:M,"QQC",'QA Log'!Z:Z,"Approved",'QA Log'!L:L,"*9. EPI and Pre-school Consultation*"),
COUNTIFS('QA Log'!D:D,A425,'QA Log'!M:M,"QQC",'QA Log'!Z:Z,"Approved",'QA Log'!L:L,"*10. Antenatal Care (ANC)*"),
COUNTIFS('QA Log'!D:D,A425,'QA Log'!M:M,"QQC",'QA Log'!Z:Z,"Approved",'QA Log'!L:L,"*2. Hygiene and Sterilization*"),
COUNTIFS('QA Log'!D:D,A425,'QA Log'!M:M,"QQC",'QA Log'!Z:Z,"Approved",'QA Log'!L:L,"*4. Family Planning*")
))</f>
        <v/>
      </c>
      <c r="W425" s="102" t="str">
        <f>IF(A425&lt;&gt;"",COUNTIFS('QA Log'!D:D,A425,'QA Log'!M:M,"QQC",'QA Log'!L:L,"8. Maternity",'QA Log'!Z:Z,"Approved"),"")</f>
        <v/>
      </c>
      <c r="X425" s="105" t="str">
        <f>IF(A425&lt;&gt;"",COUNTIFS('QA Log'!D:D,A425,'QA Log'!M:M,"QQC",'QA Log'!L:L,"9. EPI and Pre-school Consultation",'QA Log'!Z:Z,"Approved"),"")</f>
        <v/>
      </c>
      <c r="Y425" s="102" t="str">
        <f>IF(A425&lt;&gt;"",COUNTIFS('QA Log'!D:D,A425,'QA Log'!M:M,"QQC",'QA Log'!L:L,"10. Antenatal Care (ANC)",'QA Log'!Z:Z,"Approved"),"")</f>
        <v/>
      </c>
      <c r="Z425" s="102" t="str">
        <f>IF(A425&lt;&gt;"",COUNTIFS('QA Log'!D:D,A425,'QA Log'!M:M,"QQC",'QA Log'!L:L,"2. Hygiene and Sterilization",'QA Log'!Z:Z,"Approved"),"")</f>
        <v/>
      </c>
      <c r="AA425" s="105" t="str">
        <f>IF(A425&lt;&gt;"",COUNTIFS('QA Log'!D:D,A425,'QA Log'!M:M,"QQC",'QA Log'!L:L,"4. Family Planning",'QA Log'!Z:Z,"Approved"),"")</f>
        <v/>
      </c>
      <c r="AB425" s="102" t="str">
        <f>IF(A425="","",
SUM(
COUNTIFS('QA Log'!D:D,A425,'QA Log'!M:M,"QQC",'QA Log'!Z:Z,"Rejected",'QA Log'!L:L,"*8. Maternity*"),
COUNTIFS('QA Log'!D:D,A425,'QA Log'!M:M,"QQC",'QA Log'!Z:Z,"Rejected",'QA Log'!L:L,"*9. EPI and Pre-school Consultation*"),
COUNTIFS('QA Log'!D:D,A425,'QA Log'!M:M,"QQC",'QA Log'!Z:Z,"Rejected",'QA Log'!L:L,"*10. Antenatal Care (ANC)*"),
COUNTIFS('QA Log'!D:D,A425,'QA Log'!M:M,"QQC",'QA Log'!Z:Z,"Rejected",'QA Log'!L:L,"*2. Hygiene and Sterilization*"),
COUNTIFS('QA Log'!D:D,A425,'QA Log'!M:M,"QQC",'QA Log'!Z:Z,"Rejected",'QA Log'!L:L,"*4. Family Planning*")
))</f>
        <v/>
      </c>
      <c r="AC425" s="102" t="str">
        <f t="shared" si="29"/>
        <v/>
      </c>
      <c r="AD425" s="103" t="str">
        <f t="shared" si="30"/>
        <v/>
      </c>
      <c r="AE425" s="102" t="str">
        <f>IF(A425="","",
SUM(
COUNTIFS('QA Log'!D:D,A425,'QA Log'!M:M,"Data Verification",'QA Log'!L:L,"*Medicine (section 2)*"),
COUNTIFS('QA Log'!D:D,A425,'QA Log'!M:M,"Data Verification",'QA Log'!L:L,"*Lab Testing Availability*"),
COUNTIFS('QA Log'!D:D,A425,'QA Log'!M:M,"Data Verification",'QA Log'!L:L,"*Other than P4P (section 6)*"),
COUNTIFS('QA Log'!D:D,A425,'QA Log'!M:M,"Data Verification",'QA Log'!L:L,"*Hospital Governance*")
))</f>
        <v/>
      </c>
      <c r="AF425" s="102" t="str">
        <f>IF(A425="","",
SUM(
COUNTIFS('QA Log'!D:D,A425,'QA Log'!M:M,"Data Verification",'QA Log'!Z:Z,"Approved",'QA Log'!L:L,"*Medicine (section 2)*"),
COUNTIFS('QA Log'!D:D,A425,'QA Log'!M:M,"Data Verification",'QA Log'!Z:Z,"Approved",'QA Log'!L:L,"*Lab Testing Availability*"),
COUNTIFS('QA Log'!D:D,A425,'QA Log'!M:M,"Data Verification",'QA Log'!Z:Z,"Approved",'QA Log'!L:L,"*Other than P4P (section 6)*"),
COUNTIFS('QA Log'!D:D,A425,'QA Log'!M:M,"Data Verification",'QA Log'!Z:Z,"Approved",'QA Log'!L:L,"*Hospital Governance*")
))</f>
        <v/>
      </c>
      <c r="AG425" s="105" t="str">
        <f>IF(A425&lt;&gt;"",COUNTIFS('QA Log'!D:D,A425,'QA Log'!M:M,"Data Verification",'QA Log'!L:L,"Medicine (section 2)",'QA Log'!Z:Z,"Approved"),"")</f>
        <v/>
      </c>
      <c r="AH425" s="105" t="str">
        <f>IF(A425&lt;&gt;"",COUNTIFS('QA Log'!D:D,A425,'QA Log'!M:M,"Data Verification",'QA Log'!L:L,"Lab Testing Availability",'QA Log'!Z:Z,"Approved"),"")</f>
        <v/>
      </c>
      <c r="AI425" s="105" t="str">
        <f>IF(A425&lt;&gt;"",COUNTIFS('QA Log'!D:D,A425,'QA Log'!M:M,"Data Verification",'QA Log'!L:L,"Other than P4P (section 6)",'QA Log'!Z:Z,"Approved"),"")</f>
        <v/>
      </c>
      <c r="AJ425" s="105" t="str">
        <f>IF(A425&lt;&gt;"",COUNTIFS('QA Log'!D:D,A425,'QA Log'!M:M,"Data Verification",'QA Log'!L:L,"Hospital Governance",'QA Log'!Z:Z,"Approved"),"")</f>
        <v/>
      </c>
      <c r="AK425" s="102" t="str">
        <f>IF(A425="","",
SUM(
COUNTIFS('QA Log'!D:D,A425,'QA Log'!M:M,"Data Verification",'QA Log'!Z:Z,"Rejected",'QA Log'!L:L,"*Medicine (section 2)*"),
COUNTIFS('QA Log'!D:D,A425,'QA Log'!M:M,"Data Verification",'QA Log'!Z:Z,"Rejected",'QA Log'!L:L,"*Lab Testing Availability*"),
COUNTIFS('QA Log'!D:D,A425,'QA Log'!M:M,"Data Verification",'QA Log'!Z:Z,"Rejected",'QA Log'!L:L,"*Other than P4P (section 6)*"),
COUNTIFS('QA Log'!D:D,A425,'QA Log'!M:M,"Data Verification",'QA Log'!Z:Z,"Rejected",'QA Log'!L:L,"*Hospital Governance*")
))</f>
        <v/>
      </c>
      <c r="AL425" s="106" t="str">
        <f t="shared" si="31"/>
        <v/>
      </c>
      <c r="AM425" s="102" t="str">
        <f t="shared" si="32"/>
        <v/>
      </c>
      <c r="AN425" s="102" t="str">
        <f>IF(A425="","",
SUM(
COUNTIFS('QA Log'!D:D,A425,'QA Log'!M:M,"Data Verification",'QA Log'!L:L,"*Personnel (section 1)*"),
COUNTIFS('QA Log'!D:D,A425,'QA Log'!M:M,"Data Verification",'QA Log'!L:L,"*Consumable (section 3)*"),
COUNTIFS('QA Log'!D:D,A425,'QA Log'!M:M,"Data Verification",'QA Log'!L:L,"*Equipments (section 4)*")
))</f>
        <v/>
      </c>
      <c r="AO425" s="102" t="str">
        <f>IF(A425="","",
SUM(
COUNTIFS('QA Log'!D:D,A425,'QA Log'!M:M,"Data Verification",'QA Log'!Z:Z,"Approved",'QA Log'!L:L,"*Personnel (section 1)*"),
COUNTIFS('QA Log'!D:D,A425,'QA Log'!M:M,"Data Verification",'QA Log'!Z:Z,"Approved",'QA Log'!L:L,"*Consumable (section 3)*"),
COUNTIFS('QA Log'!D:D,A425,'QA Log'!M:M,"Data Verification",'QA Log'!Z:Z,"Approved",'QA Log'!L:L,"*Equipments (section 4)*")
))</f>
        <v/>
      </c>
      <c r="AP425" s="105" t="str">
        <f>IF(A425&lt;&gt;"",COUNTIFS('QA Log'!D:D,A425,'QA Log'!M:M,"Data Verification",'QA Log'!L:L,"Personnel (section 1)",'QA Log'!Z:Z,"Approved"),"")</f>
        <v/>
      </c>
      <c r="AQ425" s="105" t="str">
        <f>IF(A425&lt;&gt;"",COUNTIFS('QA Log'!D:D,A425,'QA Log'!M:M,"Data Verification",'QA Log'!L:L,"Consumable (section 3)",'QA Log'!Z:Z,"Approved"),"")</f>
        <v/>
      </c>
      <c r="AR425" s="105" t="str">
        <f>IF(A425&lt;&gt;"",COUNTIFS('QA Log'!D:D,A425,'QA Log'!M:M,"Data Verification",'QA Log'!L:L,"Equipments (section 4)",'QA Log'!Z:Z,"Approved"),"")</f>
        <v/>
      </c>
      <c r="AS425" s="102" t="str">
        <f>IF(A425="","",
SUM(
COUNTIFS('QA Log'!D:D,A425,'QA Log'!M:M,"Data Verification",'QA Log'!Z:Z,"Rejected",'QA Log'!L:L,"*Personnel (section 1)*"),
COUNTIFS('QA Log'!D:D,A425,'QA Log'!M:M,"Data Verification",'QA Log'!Z:Z,"Rejected",'QA Log'!L:L,"*Consumable (section 3)*"),
COUNTIFS('QA Log'!D:D,A425,'QA Log'!M:M,"Data Verification",'QA Log'!Z:Z,"Rejected",'QA Log'!L:L,"*Equipments (section 4)*")
))</f>
        <v/>
      </c>
      <c r="AT425" s="102" t="str">
        <f t="shared" si="33"/>
        <v/>
      </c>
      <c r="AU425" s="103" t="str">
        <f t="shared" si="34"/>
        <v/>
      </c>
      <c r="AV425" s="102" t="str">
        <f>IF(A425="","",SUM(
COUNTIFS('QA Log'!D:D,A425,'QA Log'!M:M,"Vignette",'QA Log'!L:L,"*Vignette [1] Respiratory Infection: Pneumonia*"),
COUNTIFS('QA Log'!D:D,A425,'QA Log'!M:M,"Vignette",'QA Log'!L:L,"*Vignette [2]: Diarrhea with Cat B dehydration*"),
COUNTIFS('QA Log'!D:D,A425,'QA Log'!M:M,"Vignette",'QA Log'!L:L,"*Vignette [3] Growth Monitoring and Promotion*"),
COUNTIFS('QA Log'!D:D,A425,'QA Log'!M:M,"Vignette",'QA Log'!L:L,"*Vignette [4]: The management of presumptive TB patient*")
)
)</f>
        <v/>
      </c>
      <c r="AW425" s="102" t="str">
        <f>IF(
  A425="","",
  SUM(
    COUNTIFS('QA Log'!D:D,A425,'QA Log'!M:M,"Vignette",'QA Log'!Z:Z,"Approved",'QA Log'!L:L,"*Vignette [1] Respiratory Infection: Pneumonia*"),
    COUNTIFS('QA Log'!D:D,A425,'QA Log'!M:M,"Vignette",'QA Log'!Z:Z,"Approved",'QA Log'!L:L,"*Vignette [2]: Diarrhea with Cat B dehydration*"),
    COUNTIFS('QA Log'!D:D,A425,'QA Log'!M:M,"Vignette",'QA Log'!Z:Z,"Approved",'QA Log'!L:L,"*Vignette [3] Growth Monitoring and Promotion*"),
    COUNTIFS('QA Log'!D:D,A425,'QA Log'!M:M,"Vignette",'QA Log'!Z:Z,"Approved",'QA Log'!L:L,"*Vignette [4]: The management of presumptive TB patient*")
  )
)</f>
        <v/>
      </c>
      <c r="AX425" s="105" t="str">
        <f>IF(A425&lt;&gt;"",COUNTIFS('QA Log'!D:D,A425,'QA Log'!M:M,"Vignette",'QA Log'!L:L,"Vignette [1] Respiratory Infection: Pneumonia",'QA Log'!Z:Z,"Approved"),"")</f>
        <v/>
      </c>
      <c r="AY425" s="105" t="str">
        <f>IF(A425&lt;&gt;"",COUNTIFS('QA Log'!D:D,A425,'QA Log'!M:M,"Vignette",'QA Log'!L:L,"Vignette [2]: Diarrhea with Cat B dehydration",'QA Log'!Z:Z,"Approved"),"")</f>
        <v/>
      </c>
      <c r="AZ425" s="105" t="str">
        <f>IF(A425&lt;&gt;"",COUNTIFS('QA Log'!D:D,A425,'QA Log'!M:M,"Vignette",'QA Log'!L:L,"Vignette [3] Growth Monitoring and Promotion",'QA Log'!Z:Z,"Approved"),"")</f>
        <v/>
      </c>
      <c r="BA425" s="105" t="str">
        <f>IF(A425&lt;&gt;"",COUNTIFS('QA Log'!D:D,A425,'QA Log'!M:M,"Vignette",'QA Log'!L:L,"Vignette [4]: The management of presumptive TB patient",'QA Log'!Z:Z,"Approved"),"")</f>
        <v/>
      </c>
      <c r="BB425" s="102" t="str">
        <f>IF(A425="","",
  SUM(
    COUNTIFS('QA Log'!D:D,A425,'QA Log'!M:M,"Vignette",'QA Log'!Z:Z,"Rejected",'QA Log'!L:L,"*Vignette [1] Respiratory Infection: Pneumonia*"),
    COUNTIFS('QA Log'!D:D,A425,'QA Log'!M:M,"Vignette",'QA Log'!Z:Z,"Rejected",'QA Log'!L:L,"*Vignette [2]: Diarrhea with Cat B dehydration*"),
    COUNTIFS('QA Log'!D:D,A425,'QA Log'!M:M,"Vignette",'QA Log'!Z:Z,"Rejected",'QA Log'!L:L,"*Vignette [3] Growth Monitoring and Promotion*"),
    COUNTIFS('QA Log'!D:D,A425,'QA Log'!M:M,"Vignette",'QA Log'!Z:Z,"Rejected",'QA Log'!L:L,"*Vignette [4]: The management of presumptive TB patient*")
  )
)</f>
        <v/>
      </c>
      <c r="BC425" s="107" t="str">
        <f t="shared" si="35"/>
        <v/>
      </c>
      <c r="BD425" s="103" t="str">
        <f t="shared" si="36"/>
        <v/>
      </c>
      <c r="BE425" s="102" t="str">
        <f>IF(A425="","",SUM(
COUNTIFS('QA Log'!D:D,A425,'QA Log'!M:M,"Vignette",'QA Log'!L:L,"*Vignette [5] Labor*"),
COUNTIFS('QA Log'!D:D,A425,'QA Log'!M:M,"Vignette",'QA Log'!L:L,"*Vignette [6] PNC pre Discharge*"),
COUNTIFS('QA Log'!D:D,A425,'QA Log'!M:M,"Vignette",'QA Log'!L:L,"*Vignette [7] First ANC Visit*"),
COUNTIFS('QA Log'!D:D,A425,'QA Log'!M:M,"Vignette",'QA Log'!L:L,"*Vignette [8] Birth Spacing/ Family Planning :  FP Counselling*"),
COUNTIFS('QA Log'!D:D,A425,'QA Log'!M:M,"Vignette",'QA Log'!L:L,"*Vignette [9] Birth Spacing: Change FP method to Injectable*"),
COUNTIFS('QA Log'!D:D,A425,'QA Log'!M:M,"Vignette",'QA Log'!L:L,"*Vignette [10] Post Partum Haemorrhage - Atonic Uterus at Health Centre*"),
)
)</f>
        <v/>
      </c>
      <c r="BF425" s="102" t="str">
        <f>IF(A425="","",
  SUM(
    COUNTIFS('QA Log'!D:D,A425,'QA Log'!M:M,"Vignette",'QA Log'!Z:Z,"Approved",'QA Log'!L:L,"*Vignette [5] Labor*"),
    COUNTIFS('QA Log'!D:D,A425,'QA Log'!M:M,"Vignette",'QA Log'!Z:Z,"Approved",'QA Log'!L:L,"*Vignette [6] PNC pre Discharge*"),
    COUNTIFS('QA Log'!D:D,A425,'QA Log'!M:M,"Vignette",'QA Log'!Z:Z,"Approved",'QA Log'!L:L,"*Vignette [7] First ANC Visit*"),
    COUNTIFS('QA Log'!D:D,A425,'QA Log'!M:M,"Vignette",'QA Log'!Z:Z,"Approved",'QA Log'!L:L,"*Vignette [8] Birth Spacing/ Family Planning :  FP Counselling*"),
    COUNTIFS('QA Log'!D:D,A425,'QA Log'!M:M,"Vignette",'QA Log'!Z:Z,"Approved",'QA Log'!L:L,"*Vignette [9] Birth Spacing: Change FP method to Injectable*"),
    COUNTIFS('QA Log'!D:D,A425,'QA Log'!M:M,"Vignette",'QA Log'!Z:Z,"Approved",'QA Log'!L:L,"*Vignette [10] Post Partum Haemorrhage - Atonic Uterus at Health Centre*")
  )
)</f>
        <v/>
      </c>
      <c r="BG425" s="105" t="str">
        <f>IF(A425&lt;&gt;"",COUNTIFS('QA Log'!D:D,A425,'QA Log'!M:M,"Vignette",'QA Log'!L:L,"Vignette [5] Labor",'QA Log'!Z:Z,"Approved"),"")</f>
        <v/>
      </c>
      <c r="BH425" s="105" t="str">
        <f>IF(A425&lt;&gt;"",COUNTIFS('QA Log'!D:D,A425,'QA Log'!M:M,"Vignette",'QA Log'!L:L,"Vignette [6] PNC pre Discharge",'QA Log'!Z:Z,"Approved"),"")</f>
        <v/>
      </c>
      <c r="BI425" s="105" t="str">
        <f>IF(A425&lt;&gt;"",COUNTIFS('QA Log'!D:D,A425,'QA Log'!M:M,"Vignette",'QA Log'!L:L,"Vignette [7] First ANC Visit",'QA Log'!Z:Z,"Approved"),"")</f>
        <v/>
      </c>
      <c r="BJ425" s="105" t="str">
        <f>IF(A425&lt;&gt;"",COUNTIFS('QA Log'!D:D,A425,'QA Log'!M:M,"Vignette",'QA Log'!L:L,"Vignette [8] Birth Spacing/ Family Planning :  FP Counselling",'QA Log'!Z:Z,"Approved"),"")</f>
        <v/>
      </c>
      <c r="BK425" s="105" t="str">
        <f>IF(A425&lt;&gt;"",COUNTIFS('QA Log'!D:D,A425,'QA Log'!M:M,"Vignette",'QA Log'!L:L,"Vignette [9] Birth Spacing: Change FP method to Injectable",'QA Log'!Z:Z,"Approved"),"")</f>
        <v/>
      </c>
      <c r="BL425" s="105" t="str">
        <f>IF(A425&lt;&gt;"",COUNTIFS('QA Log'!D:D,A425,'QA Log'!M:M,"Vignette",'QA Log'!L:L,"Vignette [10] Post Partum Haemorrhage - Atonic Uterus at Health Centre",'QA Log'!Z:Z,"Approved"),"")</f>
        <v/>
      </c>
      <c r="BM425" s="102" t="str">
        <f>IF(A425="","",SUM(
    COUNTIFS('QA Log'!D:D,A425,'QA Log'!M:M,"Vignette",'QA Log'!Z:Z,"Rejected",'QA Log'!L:L,"*Vignette [5] Labor*"),
    COUNTIFS('QA Log'!D:D,A425,'QA Log'!M:M,"Vignette",'QA Log'!Z:Z,"Rejected",'QA Log'!L:L,"*Vignette [6] PNC pre Discharge*"),
    COUNTIFS('QA Log'!D:D,A425,'QA Log'!M:M,"Vignette",'QA Log'!Z:Z,"Rejected",'QA Log'!L:L,"*Vignette [7] First ANC Visit*"),
    COUNTIFS('QA Log'!D:D,A425,'QA Log'!M:M,"Vignette",'QA Log'!Z:Z,"Rejected",'QA Log'!L:L,"*Vignette [8] Birth Spacing/ Family Planning :  FP Counselling*"),
    COUNTIFS('QA Log'!D:D,A425,'QA Log'!M:M,"Vignette",'QA Log'!Z:Z,"Rejected",'QA Log'!L:L,"*Vignette [9] Birth Spacing: Change FP method to Injectable*"),
    COUNTIFS('QA Log'!D:D,A425,'QA Log'!M:M,"Vignette",'QA Log'!Z:Z,"Rejected",'QA Log'!L:L,"*Vignette [10] Post Partum Haemorrhage - Atonic Uterus at Health Centre*")
  )
)</f>
        <v/>
      </c>
      <c r="BN425" s="107" t="str">
        <f t="shared" si="37"/>
        <v/>
      </c>
      <c r="BO425" s="103" t="str">
        <f t="shared" si="38"/>
        <v/>
      </c>
      <c r="BP425" s="102" t="str">
        <f>IF(A425="","",SUM(
COUNTIFS('QA Log'!D:D,A425,'QA Log'!M:M,"Vignette",'QA Log'!L:L,"*Exit Interview 1*"),
COUNTIFS('QA Log'!D:D,A425,'QA Log'!M:M,"Vignette",'QA Log'!L:L,"*Exit Interview 2*"),
)
)</f>
        <v/>
      </c>
      <c r="BQ425" s="102" t="str">
        <f>IF(
  A425="","",
  SUM(
    COUNTIFS('QA Log'!D:D,A425,'QA Log'!M:M,"Vignette",'QA Log'!Z:Z,"Approved",'QA Log'!L:L,"*Exit Interview 1*"),
    COUNTIFS('QA Log'!D:D,A425,'QA Log'!M:M,"Vignette",'QA Log'!Z:Z,"Approved",'QA Log'!L:L,"*Exit Interview 2*")
  )
)</f>
        <v/>
      </c>
      <c r="BR425" s="105" t="str">
        <f>IF(A425&lt;&gt;"",COUNTIFS('QA Log'!D:D,A425,'QA Log'!M:M,"Vignette",'QA Log'!L:L,"Exit Interview 1",'QA Log'!Z:Z,"Approved"),"")</f>
        <v/>
      </c>
      <c r="BS425" s="105" t="str">
        <f>IF(A425&lt;&gt;"",COUNTIFS('QA Log'!D:D,A425,'QA Log'!M:M,"Vignette",'QA Log'!L:L,"Exit Interview 2",'QA Log'!Z:Z,"Approved"),"")</f>
        <v/>
      </c>
      <c r="BT425" s="102" t="str">
        <f>IF(
  A425="","",
  SUM(
    COUNTIFS('QA Log'!D:D,A425,'QA Log'!M:M,"Vignette",'QA Log'!Z:Z,"Rejected",'QA Log'!L:L,"*Exit Interview 1*"),
    COUNTIFS('QA Log'!D:D,A425,'QA Log'!M:M,"Vignette",'QA Log'!Z:Z,"Rejected",'QA Log'!L:L,"*Exit Interview 2*")
  )
)</f>
        <v/>
      </c>
      <c r="BU425" s="107" t="str">
        <f t="shared" si="39"/>
        <v/>
      </c>
      <c r="BV425" s="102" t="str">
        <f t="shared" si="40"/>
        <v/>
      </c>
      <c r="BW425" s="102" t="str">
        <f t="shared" si="41"/>
        <v/>
      </c>
      <c r="BX425" s="102" t="str">
        <f t="shared" si="42"/>
        <v/>
      </c>
      <c r="BY425" s="102" t="str">
        <f t="shared" si="43"/>
        <v/>
      </c>
      <c r="BZ425" s="107" t="str">
        <f t="shared" si="44"/>
        <v/>
      </c>
      <c r="CA425" s="108" t="str">
        <f t="shared" si="45"/>
        <v/>
      </c>
      <c r="CB425" s="108" t="str">
        <f t="shared" si="46"/>
        <v/>
      </c>
      <c r="CC425" s="109" t="str">
        <f t="shared" si="47"/>
        <v/>
      </c>
      <c r="CD425" s="108" t="str">
        <f t="shared" si="48"/>
        <v/>
      </c>
      <c r="CE425" s="108" t="str">
        <f t="shared" si="49"/>
        <v/>
      </c>
      <c r="CF425" s="109" t="str">
        <f t="shared" si="50"/>
        <v/>
      </c>
      <c r="CG425" s="110" t="str">
        <f t="shared" si="51"/>
        <v/>
      </c>
      <c r="CH425" s="111"/>
    </row>
    <row r="426" spans="1:86" ht="12.75">
      <c r="A426" s="101"/>
      <c r="B426" s="102" t="e">
        <f t="array" aca="1" ref="B426" ca="1">_xludf.XLOOKUP(A426,'QA Log'!D:D,'QA Log'!E:E,"")</f>
        <v>#NAME?</v>
      </c>
      <c r="C426" s="102" t="e">
        <f t="array" aca="1" ref="C426" ca="1">_xludf.XLOOKUP(A426,'QA Log'!D:D,'QA Log'!F:F,"")</f>
        <v>#NAME?</v>
      </c>
      <c r="D426" s="102" t="e">
        <f t="array" aca="1" ref="D426" ca="1">_xludf.XLOOKUP(A426,'QA Log'!D:D,'QA Log'!H:H,"")</f>
        <v>#NAME?</v>
      </c>
      <c r="E426" s="102" t="e">
        <f t="array" aca="1" ref="E426" ca="1">_xludf.XLOOKUP(A426,'QA Log'!D:D,'QA Log'!G:G,"")</f>
        <v>#NAME?</v>
      </c>
      <c r="F426" s="103"/>
      <c r="G426" s="104"/>
      <c r="H426" s="104"/>
      <c r="I426" s="103" t="str">
        <f t="shared" si="26"/>
        <v/>
      </c>
      <c r="J426" s="102" t="str">
        <f>IF(A426="","",SUM(
COUNTIFS('QA Log'!D:D,A426,'QA Log'!M:M,"QQC",'QA Log'!L:L,"*1. General Management*"),
COUNTIFS('QA Log'!D:D,A426,'QA Log'!M:M,"QQC",'QA Log'!L:L,"*3. Curative Consultation (OPD)*"),
COUNTIFS('QA Log'!D:D,A426,'QA Log'!M:M,"QQC",'QA Log'!L:L,"*5. Laboratory*"),
COUNTIFS('QA Log'!D:D,A426,'QA Log'!M:M,"QQC",'QA Log'!L:L,"*6. Essential Medicine Management*"),
COUNTIFS('QA Log'!D:D,A426,'QA Log'!M:M,"QQC",'QA Log'!L:L,"*7. Tracer Medicine*"),
COUNTIFS('QA Log'!D:D,A426,'QA Log'!M:M,"QQC",'QA Log'!L:L,"*11. Additional Questions*")))</f>
        <v/>
      </c>
      <c r="K426" s="102" t="str">
        <f>IF(A426="","",SUM(
COUNTIFS('QA Log'!D:D,A426,'QA Log'!M:M,"QQC",'QA Log'!Z:Z,"Approved",'QA Log'!L:L,"*1. General Management*"),
COUNTIFS('QA Log'!D:D,A426,'QA Log'!M:M,"QQC",'QA Log'!Z:Z,"Approved",'QA Log'!L:L,"*3. Curative Consultation (OPD)*"),
COUNTIFS('QA Log'!D:D,A426,'QA Log'!M:M,"QQC",'QA Log'!Z:Z,"Approved",'QA Log'!L:L,"*5. Laboratory*"),
COUNTIFS('QA Log'!D:D,A426,'QA Log'!M:M,"QQC",'QA Log'!Z:Z,"Approved",'QA Log'!L:L,"*6. Essential Medicine Management*"),
COUNTIFS('QA Log'!D:D,A426,'QA Log'!M:M,"QQC",'QA Log'!Z:Z,"Approved",'QA Log'!L:L,"*7. Tracer Medicine*"),
COUNTIFS('QA Log'!D:D,A426,'QA Log'!M:M,"QQC",'QA Log'!Z:Z,"Approved",'QA Log'!L:L,"*11. Additional Questions*")))</f>
        <v/>
      </c>
      <c r="L426" s="102" t="str">
        <f>IF(A426&lt;&gt;"",COUNTIFS('QA Log'!D:D,A426,'QA Log'!M:M,"QQC",'QA Log'!L:L,"1. General Management",'QA Log'!Z:Z,"Approved"),"")</f>
        <v/>
      </c>
      <c r="M426" s="102" t="str">
        <f>IF(A426&lt;&gt;"",COUNTIFS('QA Log'!D:D,A426,'QA Log'!M:M,"QQC",'QA Log'!L:L,"3. Curative Consultation (OPD)",'QA Log'!Z:Z,"Approved"),"")</f>
        <v/>
      </c>
      <c r="N426" s="102" t="str">
        <f>IF(A426&lt;&gt;"",COUNTIFS('QA Log'!D:D,A426,'QA Log'!M:M,"QQC",'QA Log'!L:L,"5. Laboratory",'QA Log'!Z:Z,"Approved"),"")</f>
        <v/>
      </c>
      <c r="O426" s="102" t="str">
        <f>IF(A426&lt;&gt;"",COUNTIFS('QA Log'!D:D,A426,'QA Log'!M:M,"QQC",'QA Log'!L:L,"6. Essential Medicine Management",'QA Log'!Z:Z,"Approved"),"")</f>
        <v/>
      </c>
      <c r="P426" s="102" t="str">
        <f>IF(A426&lt;&gt;"",COUNTIFS('QA Log'!D:D,A426,'QA Log'!M:M,"QQC",'QA Log'!L:L,"7. Tracer Medicine",'QA Log'!Z:Z,"Approved"),"")</f>
        <v/>
      </c>
      <c r="Q426" s="102" t="str">
        <f>IF(A426&lt;&gt;"",COUNTIFS('QA Log'!D:D,A426,'QA Log'!M:M,"QQC",'QA Log'!L:L,"11. Additional Questions",'QA Log'!Z:Z,"Approved"),"")</f>
        <v/>
      </c>
      <c r="R426" s="102" t="str">
        <f>IF(A426="","",SUM(
COUNTIFS('QA Log'!D:D,A426,'QA Log'!M:M,"QQC",'QA Log'!Z:Z,"Rejected",'QA Log'!L:L,"*8. Maternity*"),
COUNTIFS('QA Log'!D:D,A426,'QA Log'!M:M,"QQC",'QA Log'!Z:Z,"Rejected",'QA Log'!L:L,"*EPI*"),
COUNTIFS('QA Log'!D:D,A426,'QA Log'!M:M,"QQC",'QA Log'!Z:Z,"Rejected",'QA Log'!L:L,"*10. Antenatal Care (ANC)*"),
COUNTIFS('QA Log'!D:D,A426,'QA Log'!M:M,"QQC",'QA Log'!Z:Z,"Rejected",'QA Log'!L:L,"*2. Hygiene and Sterilization*"),
COUNTIFS('QA Log'!D:D,A426,'QA Log'!M:M,"QQC",'QA Log'!Z:Z,"Rejected",'QA Log'!L:L,"*Family Planning*")))</f>
        <v/>
      </c>
      <c r="S426" s="106" t="str">
        <f t="shared" si="27"/>
        <v/>
      </c>
      <c r="T426" s="102" t="str">
        <f t="shared" si="28"/>
        <v/>
      </c>
      <c r="U426" s="102" t="str">
        <f>IF(A426="","",
SUM(
COUNTIFS('QA Log'!D:D,A426,'QA Log'!M:M,"QQC",'QA Log'!L:L,"*8. Maternity*"),
COUNTIFS('QA Log'!D:D,A426,'QA Log'!M:M,"QQC",'QA Log'!L:L,"*9. EPI and Pre-school Consultation*"),
COUNTIFS('QA Log'!D:D,A426,'QA Log'!M:M,"QQC",'QA Log'!L:L,"*10. Antenatal Care (ANC)*"),
COUNTIFS('QA Log'!D:D,A426,'QA Log'!M:M,"QQC",'QA Log'!L:L,"*2. Hygiene and Sterilization*"),
COUNTIFS('QA Log'!D:D,A426,'QA Log'!M:M,"QQC",'QA Log'!L:L,"*4. Family Planning*")
))</f>
        <v/>
      </c>
      <c r="V426" s="102" t="str">
        <f>IF(A426="","",
SUM(
COUNTIFS('QA Log'!D:D,A426,'QA Log'!M:M,"QQC",'QA Log'!Z:Z,"Approved",'QA Log'!L:L,"*8. Maternity*"),
COUNTIFS('QA Log'!D:D,A426,'QA Log'!M:M,"QQC",'QA Log'!Z:Z,"Approved",'QA Log'!L:L,"*9. EPI and Pre-school Consultation*"),
COUNTIFS('QA Log'!D:D,A426,'QA Log'!M:M,"QQC",'QA Log'!Z:Z,"Approved",'QA Log'!L:L,"*10. Antenatal Care (ANC)*"),
COUNTIFS('QA Log'!D:D,A426,'QA Log'!M:M,"QQC",'QA Log'!Z:Z,"Approved",'QA Log'!L:L,"*2. Hygiene and Sterilization*"),
COUNTIFS('QA Log'!D:D,A426,'QA Log'!M:M,"QQC",'QA Log'!Z:Z,"Approved",'QA Log'!L:L,"*4. Family Planning*")
))</f>
        <v/>
      </c>
      <c r="W426" s="102" t="str">
        <f>IF(A426&lt;&gt;"",COUNTIFS('QA Log'!D:D,A426,'QA Log'!M:M,"QQC",'QA Log'!L:L,"8. Maternity",'QA Log'!Z:Z,"Approved"),"")</f>
        <v/>
      </c>
      <c r="X426" s="105" t="str">
        <f>IF(A426&lt;&gt;"",COUNTIFS('QA Log'!D:D,A426,'QA Log'!M:M,"QQC",'QA Log'!L:L,"9. EPI and Pre-school Consultation",'QA Log'!Z:Z,"Approved"),"")</f>
        <v/>
      </c>
      <c r="Y426" s="102" t="str">
        <f>IF(A426&lt;&gt;"",COUNTIFS('QA Log'!D:D,A426,'QA Log'!M:M,"QQC",'QA Log'!L:L,"10. Antenatal Care (ANC)",'QA Log'!Z:Z,"Approved"),"")</f>
        <v/>
      </c>
      <c r="Z426" s="102" t="str">
        <f>IF(A426&lt;&gt;"",COUNTIFS('QA Log'!D:D,A426,'QA Log'!M:M,"QQC",'QA Log'!L:L,"2. Hygiene and Sterilization",'QA Log'!Z:Z,"Approved"),"")</f>
        <v/>
      </c>
      <c r="AA426" s="105" t="str">
        <f>IF(A426&lt;&gt;"",COUNTIFS('QA Log'!D:D,A426,'QA Log'!M:M,"QQC",'QA Log'!L:L,"4. Family Planning",'QA Log'!Z:Z,"Approved"),"")</f>
        <v/>
      </c>
      <c r="AB426" s="102" t="str">
        <f>IF(A426="","",
SUM(
COUNTIFS('QA Log'!D:D,A426,'QA Log'!M:M,"QQC",'QA Log'!Z:Z,"Rejected",'QA Log'!L:L,"*8. Maternity*"),
COUNTIFS('QA Log'!D:D,A426,'QA Log'!M:M,"QQC",'QA Log'!Z:Z,"Rejected",'QA Log'!L:L,"*9. EPI and Pre-school Consultation*"),
COUNTIFS('QA Log'!D:D,A426,'QA Log'!M:M,"QQC",'QA Log'!Z:Z,"Rejected",'QA Log'!L:L,"*10. Antenatal Care (ANC)*"),
COUNTIFS('QA Log'!D:D,A426,'QA Log'!M:M,"QQC",'QA Log'!Z:Z,"Rejected",'QA Log'!L:L,"*2. Hygiene and Sterilization*"),
COUNTIFS('QA Log'!D:D,A426,'QA Log'!M:M,"QQC",'QA Log'!Z:Z,"Rejected",'QA Log'!L:L,"*4. Family Planning*")
))</f>
        <v/>
      </c>
      <c r="AC426" s="102" t="str">
        <f t="shared" si="29"/>
        <v/>
      </c>
      <c r="AD426" s="103" t="str">
        <f t="shared" si="30"/>
        <v/>
      </c>
      <c r="AE426" s="102" t="str">
        <f>IF(A426="","",
SUM(
COUNTIFS('QA Log'!D:D,A426,'QA Log'!M:M,"Data Verification",'QA Log'!L:L,"*Medicine (section 2)*"),
COUNTIFS('QA Log'!D:D,A426,'QA Log'!M:M,"Data Verification",'QA Log'!L:L,"*Lab Testing Availability*"),
COUNTIFS('QA Log'!D:D,A426,'QA Log'!M:M,"Data Verification",'QA Log'!L:L,"*Other than P4P (section 6)*"),
COUNTIFS('QA Log'!D:D,A426,'QA Log'!M:M,"Data Verification",'QA Log'!L:L,"*Hospital Governance*")
))</f>
        <v/>
      </c>
      <c r="AF426" s="102" t="str">
        <f>IF(A426="","",
SUM(
COUNTIFS('QA Log'!D:D,A426,'QA Log'!M:M,"Data Verification",'QA Log'!Z:Z,"Approved",'QA Log'!L:L,"*Medicine (section 2)*"),
COUNTIFS('QA Log'!D:D,A426,'QA Log'!M:M,"Data Verification",'QA Log'!Z:Z,"Approved",'QA Log'!L:L,"*Lab Testing Availability*"),
COUNTIFS('QA Log'!D:D,A426,'QA Log'!M:M,"Data Verification",'QA Log'!Z:Z,"Approved",'QA Log'!L:L,"*Other than P4P (section 6)*"),
COUNTIFS('QA Log'!D:D,A426,'QA Log'!M:M,"Data Verification",'QA Log'!Z:Z,"Approved",'QA Log'!L:L,"*Hospital Governance*")
))</f>
        <v/>
      </c>
      <c r="AG426" s="105" t="str">
        <f>IF(A426&lt;&gt;"",COUNTIFS('QA Log'!D:D,A426,'QA Log'!M:M,"Data Verification",'QA Log'!L:L,"Medicine (section 2)",'QA Log'!Z:Z,"Approved"),"")</f>
        <v/>
      </c>
      <c r="AH426" s="105" t="str">
        <f>IF(A426&lt;&gt;"",COUNTIFS('QA Log'!D:D,A426,'QA Log'!M:M,"Data Verification",'QA Log'!L:L,"Lab Testing Availability",'QA Log'!Z:Z,"Approved"),"")</f>
        <v/>
      </c>
      <c r="AI426" s="105" t="str">
        <f>IF(A426&lt;&gt;"",COUNTIFS('QA Log'!D:D,A426,'QA Log'!M:M,"Data Verification",'QA Log'!L:L,"Other than P4P (section 6)",'QA Log'!Z:Z,"Approved"),"")</f>
        <v/>
      </c>
      <c r="AJ426" s="105" t="str">
        <f>IF(A426&lt;&gt;"",COUNTIFS('QA Log'!D:D,A426,'QA Log'!M:M,"Data Verification",'QA Log'!L:L,"Hospital Governance",'QA Log'!Z:Z,"Approved"),"")</f>
        <v/>
      </c>
      <c r="AK426" s="102" t="str">
        <f>IF(A426="","",
SUM(
COUNTIFS('QA Log'!D:D,A426,'QA Log'!M:M,"Data Verification",'QA Log'!Z:Z,"Rejected",'QA Log'!L:L,"*Medicine (section 2)*"),
COUNTIFS('QA Log'!D:D,A426,'QA Log'!M:M,"Data Verification",'QA Log'!Z:Z,"Rejected",'QA Log'!L:L,"*Lab Testing Availability*"),
COUNTIFS('QA Log'!D:D,A426,'QA Log'!M:M,"Data Verification",'QA Log'!Z:Z,"Rejected",'QA Log'!L:L,"*Other than P4P (section 6)*"),
COUNTIFS('QA Log'!D:D,A426,'QA Log'!M:M,"Data Verification",'QA Log'!Z:Z,"Rejected",'QA Log'!L:L,"*Hospital Governance*")
))</f>
        <v/>
      </c>
      <c r="AL426" s="106" t="str">
        <f t="shared" si="31"/>
        <v/>
      </c>
      <c r="AM426" s="102" t="str">
        <f t="shared" si="32"/>
        <v/>
      </c>
      <c r="AN426" s="102" t="str">
        <f>IF(A426="","",
SUM(
COUNTIFS('QA Log'!D:D,A426,'QA Log'!M:M,"Data Verification",'QA Log'!L:L,"*Personnel (section 1)*"),
COUNTIFS('QA Log'!D:D,A426,'QA Log'!M:M,"Data Verification",'QA Log'!L:L,"*Consumable (section 3)*"),
COUNTIFS('QA Log'!D:D,A426,'QA Log'!M:M,"Data Verification",'QA Log'!L:L,"*Equipments (section 4)*")
))</f>
        <v/>
      </c>
      <c r="AO426" s="102" t="str">
        <f>IF(A426="","",
SUM(
COUNTIFS('QA Log'!D:D,A426,'QA Log'!M:M,"Data Verification",'QA Log'!Z:Z,"Approved",'QA Log'!L:L,"*Personnel (section 1)*"),
COUNTIFS('QA Log'!D:D,A426,'QA Log'!M:M,"Data Verification",'QA Log'!Z:Z,"Approved",'QA Log'!L:L,"*Consumable (section 3)*"),
COUNTIFS('QA Log'!D:D,A426,'QA Log'!M:M,"Data Verification",'QA Log'!Z:Z,"Approved",'QA Log'!L:L,"*Equipments (section 4)*")
))</f>
        <v/>
      </c>
      <c r="AP426" s="105" t="str">
        <f>IF(A426&lt;&gt;"",COUNTIFS('QA Log'!D:D,A426,'QA Log'!M:M,"Data Verification",'QA Log'!L:L,"Personnel (section 1)",'QA Log'!Z:Z,"Approved"),"")</f>
        <v/>
      </c>
      <c r="AQ426" s="105" t="str">
        <f>IF(A426&lt;&gt;"",COUNTIFS('QA Log'!D:D,A426,'QA Log'!M:M,"Data Verification",'QA Log'!L:L,"Consumable (section 3)",'QA Log'!Z:Z,"Approved"),"")</f>
        <v/>
      </c>
      <c r="AR426" s="105" t="str">
        <f>IF(A426&lt;&gt;"",COUNTIFS('QA Log'!D:D,A426,'QA Log'!M:M,"Data Verification",'QA Log'!L:L,"Equipments (section 4)",'QA Log'!Z:Z,"Approved"),"")</f>
        <v/>
      </c>
      <c r="AS426" s="102" t="str">
        <f>IF(A426="","",
SUM(
COUNTIFS('QA Log'!D:D,A426,'QA Log'!M:M,"Data Verification",'QA Log'!Z:Z,"Rejected",'QA Log'!L:L,"*Personnel (section 1)*"),
COUNTIFS('QA Log'!D:D,A426,'QA Log'!M:M,"Data Verification",'QA Log'!Z:Z,"Rejected",'QA Log'!L:L,"*Consumable (section 3)*"),
COUNTIFS('QA Log'!D:D,A426,'QA Log'!M:M,"Data Verification",'QA Log'!Z:Z,"Rejected",'QA Log'!L:L,"*Equipments (section 4)*")
))</f>
        <v/>
      </c>
      <c r="AT426" s="102" t="str">
        <f t="shared" si="33"/>
        <v/>
      </c>
      <c r="AU426" s="103" t="str">
        <f t="shared" si="34"/>
        <v/>
      </c>
      <c r="AV426" s="102" t="str">
        <f>IF(A426="","",SUM(
COUNTIFS('QA Log'!D:D,A426,'QA Log'!M:M,"Vignette",'QA Log'!L:L,"*Vignette [1] Respiratory Infection: Pneumonia*"),
COUNTIFS('QA Log'!D:D,A426,'QA Log'!M:M,"Vignette",'QA Log'!L:L,"*Vignette [2]: Diarrhea with Cat B dehydration*"),
COUNTIFS('QA Log'!D:D,A426,'QA Log'!M:M,"Vignette",'QA Log'!L:L,"*Vignette [3] Growth Monitoring and Promotion*"),
COUNTIFS('QA Log'!D:D,A426,'QA Log'!M:M,"Vignette",'QA Log'!L:L,"*Vignette [4]: The management of presumptive TB patient*")
)
)</f>
        <v/>
      </c>
      <c r="AW426" s="102" t="str">
        <f>IF(
  A426="","",
  SUM(
    COUNTIFS('QA Log'!D:D,A426,'QA Log'!M:M,"Vignette",'QA Log'!Z:Z,"Approved",'QA Log'!L:L,"*Vignette [1] Respiratory Infection: Pneumonia*"),
    COUNTIFS('QA Log'!D:D,A426,'QA Log'!M:M,"Vignette",'QA Log'!Z:Z,"Approved",'QA Log'!L:L,"*Vignette [2]: Diarrhea with Cat B dehydration*"),
    COUNTIFS('QA Log'!D:D,A426,'QA Log'!M:M,"Vignette",'QA Log'!Z:Z,"Approved",'QA Log'!L:L,"*Vignette [3] Growth Monitoring and Promotion*"),
    COUNTIFS('QA Log'!D:D,A426,'QA Log'!M:M,"Vignette",'QA Log'!Z:Z,"Approved",'QA Log'!L:L,"*Vignette [4]: The management of presumptive TB patient*")
  )
)</f>
        <v/>
      </c>
      <c r="AX426" s="105" t="str">
        <f>IF(A426&lt;&gt;"",COUNTIFS('QA Log'!D:D,A426,'QA Log'!M:M,"Vignette",'QA Log'!L:L,"Vignette [1] Respiratory Infection: Pneumonia",'QA Log'!Z:Z,"Approved"),"")</f>
        <v/>
      </c>
      <c r="AY426" s="105" t="str">
        <f>IF(A426&lt;&gt;"",COUNTIFS('QA Log'!D:D,A426,'QA Log'!M:M,"Vignette",'QA Log'!L:L,"Vignette [2]: Diarrhea with Cat B dehydration",'QA Log'!Z:Z,"Approved"),"")</f>
        <v/>
      </c>
      <c r="AZ426" s="105" t="str">
        <f>IF(A426&lt;&gt;"",COUNTIFS('QA Log'!D:D,A426,'QA Log'!M:M,"Vignette",'QA Log'!L:L,"Vignette [3] Growth Monitoring and Promotion",'QA Log'!Z:Z,"Approved"),"")</f>
        <v/>
      </c>
      <c r="BA426" s="105" t="str">
        <f>IF(A426&lt;&gt;"",COUNTIFS('QA Log'!D:D,A426,'QA Log'!M:M,"Vignette",'QA Log'!L:L,"Vignette [4]: The management of presumptive TB patient",'QA Log'!Z:Z,"Approved"),"")</f>
        <v/>
      </c>
      <c r="BB426" s="102" t="str">
        <f>IF(A426="","",
  SUM(
    COUNTIFS('QA Log'!D:D,A426,'QA Log'!M:M,"Vignette",'QA Log'!Z:Z,"Rejected",'QA Log'!L:L,"*Vignette [1] Respiratory Infection: Pneumonia*"),
    COUNTIFS('QA Log'!D:D,A426,'QA Log'!M:M,"Vignette",'QA Log'!Z:Z,"Rejected",'QA Log'!L:L,"*Vignette [2]: Diarrhea with Cat B dehydration*"),
    COUNTIFS('QA Log'!D:D,A426,'QA Log'!M:M,"Vignette",'QA Log'!Z:Z,"Rejected",'QA Log'!L:L,"*Vignette [3] Growth Monitoring and Promotion*"),
    COUNTIFS('QA Log'!D:D,A426,'QA Log'!M:M,"Vignette",'QA Log'!Z:Z,"Rejected",'QA Log'!L:L,"*Vignette [4]: The management of presumptive TB patient*")
  )
)</f>
        <v/>
      </c>
      <c r="BC426" s="107" t="str">
        <f t="shared" si="35"/>
        <v/>
      </c>
      <c r="BD426" s="103" t="str">
        <f t="shared" si="36"/>
        <v/>
      </c>
      <c r="BE426" s="102" t="str">
        <f>IF(A426="","",SUM(
COUNTIFS('QA Log'!D:D,A426,'QA Log'!M:M,"Vignette",'QA Log'!L:L,"*Vignette [5] Labor*"),
COUNTIFS('QA Log'!D:D,A426,'QA Log'!M:M,"Vignette",'QA Log'!L:L,"*Vignette [6] PNC pre Discharge*"),
COUNTIFS('QA Log'!D:D,A426,'QA Log'!M:M,"Vignette",'QA Log'!L:L,"*Vignette [7] First ANC Visit*"),
COUNTIFS('QA Log'!D:D,A426,'QA Log'!M:M,"Vignette",'QA Log'!L:L,"*Vignette [8] Birth Spacing/ Family Planning :  FP Counselling*"),
COUNTIFS('QA Log'!D:D,A426,'QA Log'!M:M,"Vignette",'QA Log'!L:L,"*Vignette [9] Birth Spacing: Change FP method to Injectable*"),
COUNTIFS('QA Log'!D:D,A426,'QA Log'!M:M,"Vignette",'QA Log'!L:L,"*Vignette [10] Post Partum Haemorrhage - Atonic Uterus at Health Centre*"),
)
)</f>
        <v/>
      </c>
      <c r="BF426" s="102" t="str">
        <f>IF(A426="","",
  SUM(
    COUNTIFS('QA Log'!D:D,A426,'QA Log'!M:M,"Vignette",'QA Log'!Z:Z,"Approved",'QA Log'!L:L,"*Vignette [5] Labor*"),
    COUNTIFS('QA Log'!D:D,A426,'QA Log'!M:M,"Vignette",'QA Log'!Z:Z,"Approved",'QA Log'!L:L,"*Vignette [6] PNC pre Discharge*"),
    COUNTIFS('QA Log'!D:D,A426,'QA Log'!M:M,"Vignette",'QA Log'!Z:Z,"Approved",'QA Log'!L:L,"*Vignette [7] First ANC Visit*"),
    COUNTIFS('QA Log'!D:D,A426,'QA Log'!M:M,"Vignette",'QA Log'!Z:Z,"Approved",'QA Log'!L:L,"*Vignette [8] Birth Spacing/ Family Planning :  FP Counselling*"),
    COUNTIFS('QA Log'!D:D,A426,'QA Log'!M:M,"Vignette",'QA Log'!Z:Z,"Approved",'QA Log'!L:L,"*Vignette [9] Birth Spacing: Change FP method to Injectable*"),
    COUNTIFS('QA Log'!D:D,A426,'QA Log'!M:M,"Vignette",'QA Log'!Z:Z,"Approved",'QA Log'!L:L,"*Vignette [10] Post Partum Haemorrhage - Atonic Uterus at Health Centre*")
  )
)</f>
        <v/>
      </c>
      <c r="BG426" s="105" t="str">
        <f>IF(A426&lt;&gt;"",COUNTIFS('QA Log'!D:D,A426,'QA Log'!M:M,"Vignette",'QA Log'!L:L,"Vignette [5] Labor",'QA Log'!Z:Z,"Approved"),"")</f>
        <v/>
      </c>
      <c r="BH426" s="105" t="str">
        <f>IF(A426&lt;&gt;"",COUNTIFS('QA Log'!D:D,A426,'QA Log'!M:M,"Vignette",'QA Log'!L:L,"Vignette [6] PNC pre Discharge",'QA Log'!Z:Z,"Approved"),"")</f>
        <v/>
      </c>
      <c r="BI426" s="105" t="str">
        <f>IF(A426&lt;&gt;"",COUNTIFS('QA Log'!D:D,A426,'QA Log'!M:M,"Vignette",'QA Log'!L:L,"Vignette [7] First ANC Visit",'QA Log'!Z:Z,"Approved"),"")</f>
        <v/>
      </c>
      <c r="BJ426" s="105" t="str">
        <f>IF(A426&lt;&gt;"",COUNTIFS('QA Log'!D:D,A426,'QA Log'!M:M,"Vignette",'QA Log'!L:L,"Vignette [8] Birth Spacing/ Family Planning :  FP Counselling",'QA Log'!Z:Z,"Approved"),"")</f>
        <v/>
      </c>
      <c r="BK426" s="105" t="str">
        <f>IF(A426&lt;&gt;"",COUNTIFS('QA Log'!D:D,A426,'QA Log'!M:M,"Vignette",'QA Log'!L:L,"Vignette [9] Birth Spacing: Change FP method to Injectable",'QA Log'!Z:Z,"Approved"),"")</f>
        <v/>
      </c>
      <c r="BL426" s="105" t="str">
        <f>IF(A426&lt;&gt;"",COUNTIFS('QA Log'!D:D,A426,'QA Log'!M:M,"Vignette",'QA Log'!L:L,"Vignette [10] Post Partum Haemorrhage - Atonic Uterus at Health Centre",'QA Log'!Z:Z,"Approved"),"")</f>
        <v/>
      </c>
      <c r="BM426" s="102" t="str">
        <f>IF(A426="","",SUM(
    COUNTIFS('QA Log'!D:D,A426,'QA Log'!M:M,"Vignette",'QA Log'!Z:Z,"Rejected",'QA Log'!L:L,"*Vignette [5] Labor*"),
    COUNTIFS('QA Log'!D:D,A426,'QA Log'!M:M,"Vignette",'QA Log'!Z:Z,"Rejected",'QA Log'!L:L,"*Vignette [6] PNC pre Discharge*"),
    COUNTIFS('QA Log'!D:D,A426,'QA Log'!M:M,"Vignette",'QA Log'!Z:Z,"Rejected",'QA Log'!L:L,"*Vignette [7] First ANC Visit*"),
    COUNTIFS('QA Log'!D:D,A426,'QA Log'!M:M,"Vignette",'QA Log'!Z:Z,"Rejected",'QA Log'!L:L,"*Vignette [8] Birth Spacing/ Family Planning :  FP Counselling*"),
    COUNTIFS('QA Log'!D:D,A426,'QA Log'!M:M,"Vignette",'QA Log'!Z:Z,"Rejected",'QA Log'!L:L,"*Vignette [9] Birth Spacing: Change FP method to Injectable*"),
    COUNTIFS('QA Log'!D:D,A426,'QA Log'!M:M,"Vignette",'QA Log'!Z:Z,"Rejected",'QA Log'!L:L,"*Vignette [10] Post Partum Haemorrhage - Atonic Uterus at Health Centre*")
  )
)</f>
        <v/>
      </c>
      <c r="BN426" s="107" t="str">
        <f t="shared" si="37"/>
        <v/>
      </c>
      <c r="BO426" s="103" t="str">
        <f t="shared" si="38"/>
        <v/>
      </c>
      <c r="BP426" s="102" t="str">
        <f>IF(A426="","",SUM(
COUNTIFS('QA Log'!D:D,A426,'QA Log'!M:M,"Vignette",'QA Log'!L:L,"*Exit Interview 1*"),
COUNTIFS('QA Log'!D:D,A426,'QA Log'!M:M,"Vignette",'QA Log'!L:L,"*Exit Interview 2*"),
)
)</f>
        <v/>
      </c>
      <c r="BQ426" s="102" t="str">
        <f>IF(
  A426="","",
  SUM(
    COUNTIFS('QA Log'!D:D,A426,'QA Log'!M:M,"Vignette",'QA Log'!Z:Z,"Approved",'QA Log'!L:L,"*Exit Interview 1*"),
    COUNTIFS('QA Log'!D:D,A426,'QA Log'!M:M,"Vignette",'QA Log'!Z:Z,"Approved",'QA Log'!L:L,"*Exit Interview 2*")
  )
)</f>
        <v/>
      </c>
      <c r="BR426" s="105" t="str">
        <f>IF(A426&lt;&gt;"",COUNTIFS('QA Log'!D:D,A426,'QA Log'!M:M,"Vignette",'QA Log'!L:L,"Exit Interview 1",'QA Log'!Z:Z,"Approved"),"")</f>
        <v/>
      </c>
      <c r="BS426" s="105" t="str">
        <f>IF(A426&lt;&gt;"",COUNTIFS('QA Log'!D:D,A426,'QA Log'!M:M,"Vignette",'QA Log'!L:L,"Exit Interview 2",'QA Log'!Z:Z,"Approved"),"")</f>
        <v/>
      </c>
      <c r="BT426" s="102" t="str">
        <f>IF(
  A426="","",
  SUM(
    COUNTIFS('QA Log'!D:D,A426,'QA Log'!M:M,"Vignette",'QA Log'!Z:Z,"Rejected",'QA Log'!L:L,"*Exit Interview 1*"),
    COUNTIFS('QA Log'!D:D,A426,'QA Log'!M:M,"Vignette",'QA Log'!Z:Z,"Rejected",'QA Log'!L:L,"*Exit Interview 2*")
  )
)</f>
        <v/>
      </c>
      <c r="BU426" s="107" t="str">
        <f t="shared" si="39"/>
        <v/>
      </c>
      <c r="BV426" s="102" t="str">
        <f t="shared" si="40"/>
        <v/>
      </c>
      <c r="BW426" s="102" t="str">
        <f t="shared" si="41"/>
        <v/>
      </c>
      <c r="BX426" s="102" t="str">
        <f t="shared" si="42"/>
        <v/>
      </c>
      <c r="BY426" s="102" t="str">
        <f t="shared" si="43"/>
        <v/>
      </c>
      <c r="BZ426" s="107" t="str">
        <f t="shared" si="44"/>
        <v/>
      </c>
      <c r="CA426" s="108" t="str">
        <f t="shared" si="45"/>
        <v/>
      </c>
      <c r="CB426" s="108" t="str">
        <f t="shared" si="46"/>
        <v/>
      </c>
      <c r="CC426" s="109" t="str">
        <f t="shared" si="47"/>
        <v/>
      </c>
      <c r="CD426" s="108" t="str">
        <f t="shared" si="48"/>
        <v/>
      </c>
      <c r="CE426" s="108" t="str">
        <f t="shared" si="49"/>
        <v/>
      </c>
      <c r="CF426" s="109" t="str">
        <f t="shared" si="50"/>
        <v/>
      </c>
      <c r="CG426" s="110" t="str">
        <f t="shared" si="51"/>
        <v/>
      </c>
      <c r="CH426" s="111"/>
    </row>
    <row r="427" spans="1:86" ht="12.75">
      <c r="A427" s="101"/>
      <c r="B427" s="102" t="e">
        <f t="array" aca="1" ref="B427" ca="1">_xludf.XLOOKUP(A427,'QA Log'!D:D,'QA Log'!E:E,"")</f>
        <v>#NAME?</v>
      </c>
      <c r="C427" s="102" t="e">
        <f t="array" aca="1" ref="C427" ca="1">_xludf.XLOOKUP(A427,'QA Log'!D:D,'QA Log'!F:F,"")</f>
        <v>#NAME?</v>
      </c>
      <c r="D427" s="102" t="e">
        <f t="array" aca="1" ref="D427" ca="1">_xludf.XLOOKUP(A427,'QA Log'!D:D,'QA Log'!H:H,"")</f>
        <v>#NAME?</v>
      </c>
      <c r="E427" s="102" t="e">
        <f t="array" aca="1" ref="E427" ca="1">_xludf.XLOOKUP(A427,'QA Log'!D:D,'QA Log'!G:G,"")</f>
        <v>#NAME?</v>
      </c>
      <c r="F427" s="103"/>
      <c r="G427" s="104"/>
      <c r="H427" s="104"/>
      <c r="I427" s="103" t="str">
        <f t="shared" si="26"/>
        <v/>
      </c>
      <c r="J427" s="102" t="str">
        <f>IF(A427="","",SUM(
COUNTIFS('QA Log'!D:D,A427,'QA Log'!M:M,"QQC",'QA Log'!L:L,"*1. General Management*"),
COUNTIFS('QA Log'!D:D,A427,'QA Log'!M:M,"QQC",'QA Log'!L:L,"*3. Curative Consultation (OPD)*"),
COUNTIFS('QA Log'!D:D,A427,'QA Log'!M:M,"QQC",'QA Log'!L:L,"*5. Laboratory*"),
COUNTIFS('QA Log'!D:D,A427,'QA Log'!M:M,"QQC",'QA Log'!L:L,"*6. Essential Medicine Management*"),
COUNTIFS('QA Log'!D:D,A427,'QA Log'!M:M,"QQC",'QA Log'!L:L,"*7. Tracer Medicine*"),
COUNTIFS('QA Log'!D:D,A427,'QA Log'!M:M,"QQC",'QA Log'!L:L,"*11. Additional Questions*")))</f>
        <v/>
      </c>
      <c r="K427" s="102" t="str">
        <f>IF(A427="","",SUM(
COUNTIFS('QA Log'!D:D,A427,'QA Log'!M:M,"QQC",'QA Log'!Z:Z,"Approved",'QA Log'!L:L,"*1. General Management*"),
COUNTIFS('QA Log'!D:D,A427,'QA Log'!M:M,"QQC",'QA Log'!Z:Z,"Approved",'QA Log'!L:L,"*3. Curative Consultation (OPD)*"),
COUNTIFS('QA Log'!D:D,A427,'QA Log'!M:M,"QQC",'QA Log'!Z:Z,"Approved",'QA Log'!L:L,"*5. Laboratory*"),
COUNTIFS('QA Log'!D:D,A427,'QA Log'!M:M,"QQC",'QA Log'!Z:Z,"Approved",'QA Log'!L:L,"*6. Essential Medicine Management*"),
COUNTIFS('QA Log'!D:D,A427,'QA Log'!M:M,"QQC",'QA Log'!Z:Z,"Approved",'QA Log'!L:L,"*7. Tracer Medicine*"),
COUNTIFS('QA Log'!D:D,A427,'QA Log'!M:M,"QQC",'QA Log'!Z:Z,"Approved",'QA Log'!L:L,"*11. Additional Questions*")))</f>
        <v/>
      </c>
      <c r="L427" s="102" t="str">
        <f>IF(A427&lt;&gt;"",COUNTIFS('QA Log'!D:D,A427,'QA Log'!M:M,"QQC",'QA Log'!L:L,"1. General Management",'QA Log'!Z:Z,"Approved"),"")</f>
        <v/>
      </c>
      <c r="M427" s="102" t="str">
        <f>IF(A427&lt;&gt;"",COUNTIFS('QA Log'!D:D,A427,'QA Log'!M:M,"QQC",'QA Log'!L:L,"3. Curative Consultation (OPD)",'QA Log'!Z:Z,"Approved"),"")</f>
        <v/>
      </c>
      <c r="N427" s="102" t="str">
        <f>IF(A427&lt;&gt;"",COUNTIFS('QA Log'!D:D,A427,'QA Log'!M:M,"QQC",'QA Log'!L:L,"5. Laboratory",'QA Log'!Z:Z,"Approved"),"")</f>
        <v/>
      </c>
      <c r="O427" s="102" t="str">
        <f>IF(A427&lt;&gt;"",COUNTIFS('QA Log'!D:D,A427,'QA Log'!M:M,"QQC",'QA Log'!L:L,"6. Essential Medicine Management",'QA Log'!Z:Z,"Approved"),"")</f>
        <v/>
      </c>
      <c r="P427" s="102" t="str">
        <f>IF(A427&lt;&gt;"",COUNTIFS('QA Log'!D:D,A427,'QA Log'!M:M,"QQC",'QA Log'!L:L,"7. Tracer Medicine",'QA Log'!Z:Z,"Approved"),"")</f>
        <v/>
      </c>
      <c r="Q427" s="102" t="str">
        <f>IF(A427&lt;&gt;"",COUNTIFS('QA Log'!D:D,A427,'QA Log'!M:M,"QQC",'QA Log'!L:L,"11. Additional Questions",'QA Log'!Z:Z,"Approved"),"")</f>
        <v/>
      </c>
      <c r="R427" s="102" t="str">
        <f>IF(A427="","",SUM(
COUNTIFS('QA Log'!D:D,A427,'QA Log'!M:M,"QQC",'QA Log'!Z:Z,"Rejected",'QA Log'!L:L,"*8. Maternity*"),
COUNTIFS('QA Log'!D:D,A427,'QA Log'!M:M,"QQC",'QA Log'!Z:Z,"Rejected",'QA Log'!L:L,"*EPI*"),
COUNTIFS('QA Log'!D:D,A427,'QA Log'!M:M,"QQC",'QA Log'!Z:Z,"Rejected",'QA Log'!L:L,"*10. Antenatal Care (ANC)*"),
COUNTIFS('QA Log'!D:D,A427,'QA Log'!M:M,"QQC",'QA Log'!Z:Z,"Rejected",'QA Log'!L:L,"*2. Hygiene and Sterilization*"),
COUNTIFS('QA Log'!D:D,A427,'QA Log'!M:M,"QQC",'QA Log'!Z:Z,"Rejected",'QA Log'!L:L,"*Family Planning*")))</f>
        <v/>
      </c>
      <c r="S427" s="106" t="str">
        <f t="shared" si="27"/>
        <v/>
      </c>
      <c r="T427" s="102" t="str">
        <f t="shared" si="28"/>
        <v/>
      </c>
      <c r="U427" s="102" t="str">
        <f>IF(A427="","",
SUM(
COUNTIFS('QA Log'!D:D,A427,'QA Log'!M:M,"QQC",'QA Log'!L:L,"*8. Maternity*"),
COUNTIFS('QA Log'!D:D,A427,'QA Log'!M:M,"QQC",'QA Log'!L:L,"*9. EPI and Pre-school Consultation*"),
COUNTIFS('QA Log'!D:D,A427,'QA Log'!M:M,"QQC",'QA Log'!L:L,"*10. Antenatal Care (ANC)*"),
COUNTIFS('QA Log'!D:D,A427,'QA Log'!M:M,"QQC",'QA Log'!L:L,"*2. Hygiene and Sterilization*"),
COUNTIFS('QA Log'!D:D,A427,'QA Log'!M:M,"QQC",'QA Log'!L:L,"*4. Family Planning*")
))</f>
        <v/>
      </c>
      <c r="V427" s="102" t="str">
        <f>IF(A427="","",
SUM(
COUNTIFS('QA Log'!D:D,A427,'QA Log'!M:M,"QQC",'QA Log'!Z:Z,"Approved",'QA Log'!L:L,"*8. Maternity*"),
COUNTIFS('QA Log'!D:D,A427,'QA Log'!M:M,"QQC",'QA Log'!Z:Z,"Approved",'QA Log'!L:L,"*9. EPI and Pre-school Consultation*"),
COUNTIFS('QA Log'!D:D,A427,'QA Log'!M:M,"QQC",'QA Log'!Z:Z,"Approved",'QA Log'!L:L,"*10. Antenatal Care (ANC)*"),
COUNTIFS('QA Log'!D:D,A427,'QA Log'!M:M,"QQC",'QA Log'!Z:Z,"Approved",'QA Log'!L:L,"*2. Hygiene and Sterilization*"),
COUNTIFS('QA Log'!D:D,A427,'QA Log'!M:M,"QQC",'QA Log'!Z:Z,"Approved",'QA Log'!L:L,"*4. Family Planning*")
))</f>
        <v/>
      </c>
      <c r="W427" s="102" t="str">
        <f>IF(A427&lt;&gt;"",COUNTIFS('QA Log'!D:D,A427,'QA Log'!M:M,"QQC",'QA Log'!L:L,"8. Maternity",'QA Log'!Z:Z,"Approved"),"")</f>
        <v/>
      </c>
      <c r="X427" s="105" t="str">
        <f>IF(A427&lt;&gt;"",COUNTIFS('QA Log'!D:D,A427,'QA Log'!M:M,"QQC",'QA Log'!L:L,"9. EPI and Pre-school Consultation",'QA Log'!Z:Z,"Approved"),"")</f>
        <v/>
      </c>
      <c r="Y427" s="102" t="str">
        <f>IF(A427&lt;&gt;"",COUNTIFS('QA Log'!D:D,A427,'QA Log'!M:M,"QQC",'QA Log'!L:L,"10. Antenatal Care (ANC)",'QA Log'!Z:Z,"Approved"),"")</f>
        <v/>
      </c>
      <c r="Z427" s="102" t="str">
        <f>IF(A427&lt;&gt;"",COUNTIFS('QA Log'!D:D,A427,'QA Log'!M:M,"QQC",'QA Log'!L:L,"2. Hygiene and Sterilization",'QA Log'!Z:Z,"Approved"),"")</f>
        <v/>
      </c>
      <c r="AA427" s="105" t="str">
        <f>IF(A427&lt;&gt;"",COUNTIFS('QA Log'!D:D,A427,'QA Log'!M:M,"QQC",'QA Log'!L:L,"4. Family Planning",'QA Log'!Z:Z,"Approved"),"")</f>
        <v/>
      </c>
      <c r="AB427" s="102" t="str">
        <f>IF(A427="","",
SUM(
COUNTIFS('QA Log'!D:D,A427,'QA Log'!M:M,"QQC",'QA Log'!Z:Z,"Rejected",'QA Log'!L:L,"*8. Maternity*"),
COUNTIFS('QA Log'!D:D,A427,'QA Log'!M:M,"QQC",'QA Log'!Z:Z,"Rejected",'QA Log'!L:L,"*9. EPI and Pre-school Consultation*"),
COUNTIFS('QA Log'!D:D,A427,'QA Log'!M:M,"QQC",'QA Log'!Z:Z,"Rejected",'QA Log'!L:L,"*10. Antenatal Care (ANC)*"),
COUNTIFS('QA Log'!D:D,A427,'QA Log'!M:M,"QQC",'QA Log'!Z:Z,"Rejected",'QA Log'!L:L,"*2. Hygiene and Sterilization*"),
COUNTIFS('QA Log'!D:D,A427,'QA Log'!M:M,"QQC",'QA Log'!Z:Z,"Rejected",'QA Log'!L:L,"*4. Family Planning*")
))</f>
        <v/>
      </c>
      <c r="AC427" s="102" t="str">
        <f t="shared" si="29"/>
        <v/>
      </c>
      <c r="AD427" s="103" t="str">
        <f t="shared" si="30"/>
        <v/>
      </c>
      <c r="AE427" s="102" t="str">
        <f>IF(A427="","",
SUM(
COUNTIFS('QA Log'!D:D,A427,'QA Log'!M:M,"Data Verification",'QA Log'!L:L,"*Medicine (section 2)*"),
COUNTIFS('QA Log'!D:D,A427,'QA Log'!M:M,"Data Verification",'QA Log'!L:L,"*Lab Testing Availability*"),
COUNTIFS('QA Log'!D:D,A427,'QA Log'!M:M,"Data Verification",'QA Log'!L:L,"*Other than P4P (section 6)*"),
COUNTIFS('QA Log'!D:D,A427,'QA Log'!M:M,"Data Verification",'QA Log'!L:L,"*Hospital Governance*")
))</f>
        <v/>
      </c>
      <c r="AF427" s="102" t="str">
        <f>IF(A427="","",
SUM(
COUNTIFS('QA Log'!D:D,A427,'QA Log'!M:M,"Data Verification",'QA Log'!Z:Z,"Approved",'QA Log'!L:L,"*Medicine (section 2)*"),
COUNTIFS('QA Log'!D:D,A427,'QA Log'!M:M,"Data Verification",'QA Log'!Z:Z,"Approved",'QA Log'!L:L,"*Lab Testing Availability*"),
COUNTIFS('QA Log'!D:D,A427,'QA Log'!M:M,"Data Verification",'QA Log'!Z:Z,"Approved",'QA Log'!L:L,"*Other than P4P (section 6)*"),
COUNTIFS('QA Log'!D:D,A427,'QA Log'!M:M,"Data Verification",'QA Log'!Z:Z,"Approved",'QA Log'!L:L,"*Hospital Governance*")
))</f>
        <v/>
      </c>
      <c r="AG427" s="105" t="str">
        <f>IF(A427&lt;&gt;"",COUNTIFS('QA Log'!D:D,A427,'QA Log'!M:M,"Data Verification",'QA Log'!L:L,"Medicine (section 2)",'QA Log'!Z:Z,"Approved"),"")</f>
        <v/>
      </c>
      <c r="AH427" s="105" t="str">
        <f>IF(A427&lt;&gt;"",COUNTIFS('QA Log'!D:D,A427,'QA Log'!M:M,"Data Verification",'QA Log'!L:L,"Lab Testing Availability",'QA Log'!Z:Z,"Approved"),"")</f>
        <v/>
      </c>
      <c r="AI427" s="105" t="str">
        <f>IF(A427&lt;&gt;"",COUNTIFS('QA Log'!D:D,A427,'QA Log'!M:M,"Data Verification",'QA Log'!L:L,"Other than P4P (section 6)",'QA Log'!Z:Z,"Approved"),"")</f>
        <v/>
      </c>
      <c r="AJ427" s="105" t="str">
        <f>IF(A427&lt;&gt;"",COUNTIFS('QA Log'!D:D,A427,'QA Log'!M:M,"Data Verification",'QA Log'!L:L,"Hospital Governance",'QA Log'!Z:Z,"Approved"),"")</f>
        <v/>
      </c>
      <c r="AK427" s="102" t="str">
        <f>IF(A427="","",
SUM(
COUNTIFS('QA Log'!D:D,A427,'QA Log'!M:M,"Data Verification",'QA Log'!Z:Z,"Rejected",'QA Log'!L:L,"*Medicine (section 2)*"),
COUNTIFS('QA Log'!D:D,A427,'QA Log'!M:M,"Data Verification",'QA Log'!Z:Z,"Rejected",'QA Log'!L:L,"*Lab Testing Availability*"),
COUNTIFS('QA Log'!D:D,A427,'QA Log'!M:M,"Data Verification",'QA Log'!Z:Z,"Rejected",'QA Log'!L:L,"*Other than P4P (section 6)*"),
COUNTIFS('QA Log'!D:D,A427,'QA Log'!M:M,"Data Verification",'QA Log'!Z:Z,"Rejected",'QA Log'!L:L,"*Hospital Governance*")
))</f>
        <v/>
      </c>
      <c r="AL427" s="106" t="str">
        <f t="shared" si="31"/>
        <v/>
      </c>
      <c r="AM427" s="102" t="str">
        <f t="shared" si="32"/>
        <v/>
      </c>
      <c r="AN427" s="102" t="str">
        <f>IF(A427="","",
SUM(
COUNTIFS('QA Log'!D:D,A427,'QA Log'!M:M,"Data Verification",'QA Log'!L:L,"*Personnel (section 1)*"),
COUNTIFS('QA Log'!D:D,A427,'QA Log'!M:M,"Data Verification",'QA Log'!L:L,"*Consumable (section 3)*"),
COUNTIFS('QA Log'!D:D,A427,'QA Log'!M:M,"Data Verification",'QA Log'!L:L,"*Equipments (section 4)*")
))</f>
        <v/>
      </c>
      <c r="AO427" s="102" t="str">
        <f>IF(A427="","",
SUM(
COUNTIFS('QA Log'!D:D,A427,'QA Log'!M:M,"Data Verification",'QA Log'!Z:Z,"Approved",'QA Log'!L:L,"*Personnel (section 1)*"),
COUNTIFS('QA Log'!D:D,A427,'QA Log'!M:M,"Data Verification",'QA Log'!Z:Z,"Approved",'QA Log'!L:L,"*Consumable (section 3)*"),
COUNTIFS('QA Log'!D:D,A427,'QA Log'!M:M,"Data Verification",'QA Log'!Z:Z,"Approved",'QA Log'!L:L,"*Equipments (section 4)*")
))</f>
        <v/>
      </c>
      <c r="AP427" s="105" t="str">
        <f>IF(A427&lt;&gt;"",COUNTIFS('QA Log'!D:D,A427,'QA Log'!M:M,"Data Verification",'QA Log'!L:L,"Personnel (section 1)",'QA Log'!Z:Z,"Approved"),"")</f>
        <v/>
      </c>
      <c r="AQ427" s="105" t="str">
        <f>IF(A427&lt;&gt;"",COUNTIFS('QA Log'!D:D,A427,'QA Log'!M:M,"Data Verification",'QA Log'!L:L,"Consumable (section 3)",'QA Log'!Z:Z,"Approved"),"")</f>
        <v/>
      </c>
      <c r="AR427" s="105" t="str">
        <f>IF(A427&lt;&gt;"",COUNTIFS('QA Log'!D:D,A427,'QA Log'!M:M,"Data Verification",'QA Log'!L:L,"Equipments (section 4)",'QA Log'!Z:Z,"Approved"),"")</f>
        <v/>
      </c>
      <c r="AS427" s="102" t="str">
        <f>IF(A427="","",
SUM(
COUNTIFS('QA Log'!D:D,A427,'QA Log'!M:M,"Data Verification",'QA Log'!Z:Z,"Rejected",'QA Log'!L:L,"*Personnel (section 1)*"),
COUNTIFS('QA Log'!D:D,A427,'QA Log'!M:M,"Data Verification",'QA Log'!Z:Z,"Rejected",'QA Log'!L:L,"*Consumable (section 3)*"),
COUNTIFS('QA Log'!D:D,A427,'QA Log'!M:M,"Data Verification",'QA Log'!Z:Z,"Rejected",'QA Log'!L:L,"*Equipments (section 4)*")
))</f>
        <v/>
      </c>
      <c r="AT427" s="102" t="str">
        <f t="shared" si="33"/>
        <v/>
      </c>
      <c r="AU427" s="103" t="str">
        <f t="shared" si="34"/>
        <v/>
      </c>
      <c r="AV427" s="102" t="str">
        <f>IF(A427="","",SUM(
COUNTIFS('QA Log'!D:D,A427,'QA Log'!M:M,"Vignette",'QA Log'!L:L,"*Vignette [1] Respiratory Infection: Pneumonia*"),
COUNTIFS('QA Log'!D:D,A427,'QA Log'!M:M,"Vignette",'QA Log'!L:L,"*Vignette [2]: Diarrhea with Cat B dehydration*"),
COUNTIFS('QA Log'!D:D,A427,'QA Log'!M:M,"Vignette",'QA Log'!L:L,"*Vignette [3] Growth Monitoring and Promotion*"),
COUNTIFS('QA Log'!D:D,A427,'QA Log'!M:M,"Vignette",'QA Log'!L:L,"*Vignette [4]: The management of presumptive TB patient*")
)
)</f>
        <v/>
      </c>
      <c r="AW427" s="102" t="str">
        <f>IF(
  A427="","",
  SUM(
    COUNTIFS('QA Log'!D:D,A427,'QA Log'!M:M,"Vignette",'QA Log'!Z:Z,"Approved",'QA Log'!L:L,"*Vignette [1] Respiratory Infection: Pneumonia*"),
    COUNTIFS('QA Log'!D:D,A427,'QA Log'!M:M,"Vignette",'QA Log'!Z:Z,"Approved",'QA Log'!L:L,"*Vignette [2]: Diarrhea with Cat B dehydration*"),
    COUNTIFS('QA Log'!D:D,A427,'QA Log'!M:M,"Vignette",'QA Log'!Z:Z,"Approved",'QA Log'!L:L,"*Vignette [3] Growth Monitoring and Promotion*"),
    COUNTIFS('QA Log'!D:D,A427,'QA Log'!M:M,"Vignette",'QA Log'!Z:Z,"Approved",'QA Log'!L:L,"*Vignette [4]: The management of presumptive TB patient*")
  )
)</f>
        <v/>
      </c>
      <c r="AX427" s="105" t="str">
        <f>IF(A427&lt;&gt;"",COUNTIFS('QA Log'!D:D,A427,'QA Log'!M:M,"Vignette",'QA Log'!L:L,"Vignette [1] Respiratory Infection: Pneumonia",'QA Log'!Z:Z,"Approved"),"")</f>
        <v/>
      </c>
      <c r="AY427" s="105" t="str">
        <f>IF(A427&lt;&gt;"",COUNTIFS('QA Log'!D:D,A427,'QA Log'!M:M,"Vignette",'QA Log'!L:L,"Vignette [2]: Diarrhea with Cat B dehydration",'QA Log'!Z:Z,"Approved"),"")</f>
        <v/>
      </c>
      <c r="AZ427" s="105" t="str">
        <f>IF(A427&lt;&gt;"",COUNTIFS('QA Log'!D:D,A427,'QA Log'!M:M,"Vignette",'QA Log'!L:L,"Vignette [3] Growth Monitoring and Promotion",'QA Log'!Z:Z,"Approved"),"")</f>
        <v/>
      </c>
      <c r="BA427" s="105" t="str">
        <f>IF(A427&lt;&gt;"",COUNTIFS('QA Log'!D:D,A427,'QA Log'!M:M,"Vignette",'QA Log'!L:L,"Vignette [4]: The management of presumptive TB patient",'QA Log'!Z:Z,"Approved"),"")</f>
        <v/>
      </c>
      <c r="BB427" s="102" t="str">
        <f>IF(A427="","",
  SUM(
    COUNTIFS('QA Log'!D:D,A427,'QA Log'!M:M,"Vignette",'QA Log'!Z:Z,"Rejected",'QA Log'!L:L,"*Vignette [1] Respiratory Infection: Pneumonia*"),
    COUNTIFS('QA Log'!D:D,A427,'QA Log'!M:M,"Vignette",'QA Log'!Z:Z,"Rejected",'QA Log'!L:L,"*Vignette [2]: Diarrhea with Cat B dehydration*"),
    COUNTIFS('QA Log'!D:D,A427,'QA Log'!M:M,"Vignette",'QA Log'!Z:Z,"Rejected",'QA Log'!L:L,"*Vignette [3] Growth Monitoring and Promotion*"),
    COUNTIFS('QA Log'!D:D,A427,'QA Log'!M:M,"Vignette",'QA Log'!Z:Z,"Rejected",'QA Log'!L:L,"*Vignette [4]: The management of presumptive TB patient*")
  )
)</f>
        <v/>
      </c>
      <c r="BC427" s="107" t="str">
        <f t="shared" si="35"/>
        <v/>
      </c>
      <c r="BD427" s="103" t="str">
        <f t="shared" si="36"/>
        <v/>
      </c>
      <c r="BE427" s="102" t="str">
        <f>IF(A427="","",SUM(
COUNTIFS('QA Log'!D:D,A427,'QA Log'!M:M,"Vignette",'QA Log'!L:L,"*Vignette [5] Labor*"),
COUNTIFS('QA Log'!D:D,A427,'QA Log'!M:M,"Vignette",'QA Log'!L:L,"*Vignette [6] PNC pre Discharge*"),
COUNTIFS('QA Log'!D:D,A427,'QA Log'!M:M,"Vignette",'QA Log'!L:L,"*Vignette [7] First ANC Visit*"),
COUNTIFS('QA Log'!D:D,A427,'QA Log'!M:M,"Vignette",'QA Log'!L:L,"*Vignette [8] Birth Spacing/ Family Planning :  FP Counselling*"),
COUNTIFS('QA Log'!D:D,A427,'QA Log'!M:M,"Vignette",'QA Log'!L:L,"*Vignette [9] Birth Spacing: Change FP method to Injectable*"),
COUNTIFS('QA Log'!D:D,A427,'QA Log'!M:M,"Vignette",'QA Log'!L:L,"*Vignette [10] Post Partum Haemorrhage - Atonic Uterus at Health Centre*"),
)
)</f>
        <v/>
      </c>
      <c r="BF427" s="102" t="str">
        <f>IF(A427="","",
  SUM(
    COUNTIFS('QA Log'!D:D,A427,'QA Log'!M:M,"Vignette",'QA Log'!Z:Z,"Approved",'QA Log'!L:L,"*Vignette [5] Labor*"),
    COUNTIFS('QA Log'!D:D,A427,'QA Log'!M:M,"Vignette",'QA Log'!Z:Z,"Approved",'QA Log'!L:L,"*Vignette [6] PNC pre Discharge*"),
    COUNTIFS('QA Log'!D:D,A427,'QA Log'!M:M,"Vignette",'QA Log'!Z:Z,"Approved",'QA Log'!L:L,"*Vignette [7] First ANC Visit*"),
    COUNTIFS('QA Log'!D:D,A427,'QA Log'!M:M,"Vignette",'QA Log'!Z:Z,"Approved",'QA Log'!L:L,"*Vignette [8] Birth Spacing/ Family Planning :  FP Counselling*"),
    COUNTIFS('QA Log'!D:D,A427,'QA Log'!M:M,"Vignette",'QA Log'!Z:Z,"Approved",'QA Log'!L:L,"*Vignette [9] Birth Spacing: Change FP method to Injectable*"),
    COUNTIFS('QA Log'!D:D,A427,'QA Log'!M:M,"Vignette",'QA Log'!Z:Z,"Approved",'QA Log'!L:L,"*Vignette [10] Post Partum Haemorrhage - Atonic Uterus at Health Centre*")
  )
)</f>
        <v/>
      </c>
      <c r="BG427" s="105" t="str">
        <f>IF(A427&lt;&gt;"",COUNTIFS('QA Log'!D:D,A427,'QA Log'!M:M,"Vignette",'QA Log'!L:L,"Vignette [5] Labor",'QA Log'!Z:Z,"Approved"),"")</f>
        <v/>
      </c>
      <c r="BH427" s="105" t="str">
        <f>IF(A427&lt;&gt;"",COUNTIFS('QA Log'!D:D,A427,'QA Log'!M:M,"Vignette",'QA Log'!L:L,"Vignette [6] PNC pre Discharge",'QA Log'!Z:Z,"Approved"),"")</f>
        <v/>
      </c>
      <c r="BI427" s="105" t="str">
        <f>IF(A427&lt;&gt;"",COUNTIFS('QA Log'!D:D,A427,'QA Log'!M:M,"Vignette",'QA Log'!L:L,"Vignette [7] First ANC Visit",'QA Log'!Z:Z,"Approved"),"")</f>
        <v/>
      </c>
      <c r="BJ427" s="105" t="str">
        <f>IF(A427&lt;&gt;"",COUNTIFS('QA Log'!D:D,A427,'QA Log'!M:M,"Vignette",'QA Log'!L:L,"Vignette [8] Birth Spacing/ Family Planning :  FP Counselling",'QA Log'!Z:Z,"Approved"),"")</f>
        <v/>
      </c>
      <c r="BK427" s="105" t="str">
        <f>IF(A427&lt;&gt;"",COUNTIFS('QA Log'!D:D,A427,'QA Log'!M:M,"Vignette",'QA Log'!L:L,"Vignette [9] Birth Spacing: Change FP method to Injectable",'QA Log'!Z:Z,"Approved"),"")</f>
        <v/>
      </c>
      <c r="BL427" s="105" t="str">
        <f>IF(A427&lt;&gt;"",COUNTIFS('QA Log'!D:D,A427,'QA Log'!M:M,"Vignette",'QA Log'!L:L,"Vignette [10] Post Partum Haemorrhage - Atonic Uterus at Health Centre",'QA Log'!Z:Z,"Approved"),"")</f>
        <v/>
      </c>
      <c r="BM427" s="102" t="str">
        <f>IF(A427="","",SUM(
    COUNTIFS('QA Log'!D:D,A427,'QA Log'!M:M,"Vignette",'QA Log'!Z:Z,"Rejected",'QA Log'!L:L,"*Vignette [5] Labor*"),
    COUNTIFS('QA Log'!D:D,A427,'QA Log'!M:M,"Vignette",'QA Log'!Z:Z,"Rejected",'QA Log'!L:L,"*Vignette [6] PNC pre Discharge*"),
    COUNTIFS('QA Log'!D:D,A427,'QA Log'!M:M,"Vignette",'QA Log'!Z:Z,"Rejected",'QA Log'!L:L,"*Vignette [7] First ANC Visit*"),
    COUNTIFS('QA Log'!D:D,A427,'QA Log'!M:M,"Vignette",'QA Log'!Z:Z,"Rejected",'QA Log'!L:L,"*Vignette [8] Birth Spacing/ Family Planning :  FP Counselling*"),
    COUNTIFS('QA Log'!D:D,A427,'QA Log'!M:M,"Vignette",'QA Log'!Z:Z,"Rejected",'QA Log'!L:L,"*Vignette [9] Birth Spacing: Change FP method to Injectable*"),
    COUNTIFS('QA Log'!D:D,A427,'QA Log'!M:M,"Vignette",'QA Log'!Z:Z,"Rejected",'QA Log'!L:L,"*Vignette [10] Post Partum Haemorrhage - Atonic Uterus at Health Centre*")
  )
)</f>
        <v/>
      </c>
      <c r="BN427" s="107" t="str">
        <f t="shared" si="37"/>
        <v/>
      </c>
      <c r="BO427" s="103" t="str">
        <f t="shared" si="38"/>
        <v/>
      </c>
      <c r="BP427" s="102" t="str">
        <f>IF(A427="","",SUM(
COUNTIFS('QA Log'!D:D,A427,'QA Log'!M:M,"Vignette",'QA Log'!L:L,"*Exit Interview 1*"),
COUNTIFS('QA Log'!D:D,A427,'QA Log'!M:M,"Vignette",'QA Log'!L:L,"*Exit Interview 2*"),
)
)</f>
        <v/>
      </c>
      <c r="BQ427" s="102" t="str">
        <f>IF(
  A427="","",
  SUM(
    COUNTIFS('QA Log'!D:D,A427,'QA Log'!M:M,"Vignette",'QA Log'!Z:Z,"Approved",'QA Log'!L:L,"*Exit Interview 1*"),
    COUNTIFS('QA Log'!D:D,A427,'QA Log'!M:M,"Vignette",'QA Log'!Z:Z,"Approved",'QA Log'!L:L,"*Exit Interview 2*")
  )
)</f>
        <v/>
      </c>
      <c r="BR427" s="105" t="str">
        <f>IF(A427&lt;&gt;"",COUNTIFS('QA Log'!D:D,A427,'QA Log'!M:M,"Vignette",'QA Log'!L:L,"Exit Interview 1",'QA Log'!Z:Z,"Approved"),"")</f>
        <v/>
      </c>
      <c r="BS427" s="105" t="str">
        <f>IF(A427&lt;&gt;"",COUNTIFS('QA Log'!D:D,A427,'QA Log'!M:M,"Vignette",'QA Log'!L:L,"Exit Interview 2",'QA Log'!Z:Z,"Approved"),"")</f>
        <v/>
      </c>
      <c r="BT427" s="102" t="str">
        <f>IF(
  A427="","",
  SUM(
    COUNTIFS('QA Log'!D:D,A427,'QA Log'!M:M,"Vignette",'QA Log'!Z:Z,"Rejected",'QA Log'!L:L,"*Exit Interview 1*"),
    COUNTIFS('QA Log'!D:D,A427,'QA Log'!M:M,"Vignette",'QA Log'!Z:Z,"Rejected",'QA Log'!L:L,"*Exit Interview 2*")
  )
)</f>
        <v/>
      </c>
      <c r="BU427" s="107" t="str">
        <f t="shared" si="39"/>
        <v/>
      </c>
      <c r="BV427" s="102" t="str">
        <f t="shared" si="40"/>
        <v/>
      </c>
      <c r="BW427" s="102" t="str">
        <f t="shared" si="41"/>
        <v/>
      </c>
      <c r="BX427" s="102" t="str">
        <f t="shared" si="42"/>
        <v/>
      </c>
      <c r="BY427" s="102" t="str">
        <f t="shared" si="43"/>
        <v/>
      </c>
      <c r="BZ427" s="107" t="str">
        <f t="shared" si="44"/>
        <v/>
      </c>
      <c r="CA427" s="108" t="str">
        <f t="shared" si="45"/>
        <v/>
      </c>
      <c r="CB427" s="108" t="str">
        <f t="shared" si="46"/>
        <v/>
      </c>
      <c r="CC427" s="109" t="str">
        <f t="shared" si="47"/>
        <v/>
      </c>
      <c r="CD427" s="108" t="str">
        <f t="shared" si="48"/>
        <v/>
      </c>
      <c r="CE427" s="108" t="str">
        <f t="shared" si="49"/>
        <v/>
      </c>
      <c r="CF427" s="109" t="str">
        <f t="shared" si="50"/>
        <v/>
      </c>
      <c r="CG427" s="110" t="str">
        <f t="shared" si="51"/>
        <v/>
      </c>
      <c r="CH427" s="111"/>
    </row>
    <row r="428" spans="1:86" ht="12.75">
      <c r="A428" s="101"/>
      <c r="B428" s="102" t="e">
        <f t="array" aca="1" ref="B428" ca="1">_xludf.XLOOKUP(A428,'QA Log'!D:D,'QA Log'!E:E,"")</f>
        <v>#NAME?</v>
      </c>
      <c r="C428" s="102" t="e">
        <f t="array" aca="1" ref="C428" ca="1">_xludf.XLOOKUP(A428,'QA Log'!D:D,'QA Log'!F:F,"")</f>
        <v>#NAME?</v>
      </c>
      <c r="D428" s="102" t="e">
        <f t="array" aca="1" ref="D428" ca="1">_xludf.XLOOKUP(A428,'QA Log'!D:D,'QA Log'!H:H,"")</f>
        <v>#NAME?</v>
      </c>
      <c r="E428" s="102" t="e">
        <f t="array" aca="1" ref="E428" ca="1">_xludf.XLOOKUP(A428,'QA Log'!D:D,'QA Log'!G:G,"")</f>
        <v>#NAME?</v>
      </c>
      <c r="F428" s="103"/>
      <c r="G428" s="104"/>
      <c r="H428" s="104"/>
      <c r="I428" s="103" t="str">
        <f t="shared" si="26"/>
        <v/>
      </c>
      <c r="J428" s="102" t="str">
        <f>IF(A428="","",SUM(
COUNTIFS('QA Log'!D:D,A428,'QA Log'!M:M,"QQC",'QA Log'!L:L,"*1. General Management*"),
COUNTIFS('QA Log'!D:D,A428,'QA Log'!M:M,"QQC",'QA Log'!L:L,"*3. Curative Consultation (OPD)*"),
COUNTIFS('QA Log'!D:D,A428,'QA Log'!M:M,"QQC",'QA Log'!L:L,"*5. Laboratory*"),
COUNTIFS('QA Log'!D:D,A428,'QA Log'!M:M,"QQC",'QA Log'!L:L,"*6. Essential Medicine Management*"),
COUNTIFS('QA Log'!D:D,A428,'QA Log'!M:M,"QQC",'QA Log'!L:L,"*7. Tracer Medicine*"),
COUNTIFS('QA Log'!D:D,A428,'QA Log'!M:M,"QQC",'QA Log'!L:L,"*11. Additional Questions*")))</f>
        <v/>
      </c>
      <c r="K428" s="102" t="str">
        <f>IF(A428="","",SUM(
COUNTIFS('QA Log'!D:D,A428,'QA Log'!M:M,"QQC",'QA Log'!Z:Z,"Approved",'QA Log'!L:L,"*1. General Management*"),
COUNTIFS('QA Log'!D:D,A428,'QA Log'!M:M,"QQC",'QA Log'!Z:Z,"Approved",'QA Log'!L:L,"*3. Curative Consultation (OPD)*"),
COUNTIFS('QA Log'!D:D,A428,'QA Log'!M:M,"QQC",'QA Log'!Z:Z,"Approved",'QA Log'!L:L,"*5. Laboratory*"),
COUNTIFS('QA Log'!D:D,A428,'QA Log'!M:M,"QQC",'QA Log'!Z:Z,"Approved",'QA Log'!L:L,"*6. Essential Medicine Management*"),
COUNTIFS('QA Log'!D:D,A428,'QA Log'!M:M,"QQC",'QA Log'!Z:Z,"Approved",'QA Log'!L:L,"*7. Tracer Medicine*"),
COUNTIFS('QA Log'!D:D,A428,'QA Log'!M:M,"QQC",'QA Log'!Z:Z,"Approved",'QA Log'!L:L,"*11. Additional Questions*")))</f>
        <v/>
      </c>
      <c r="L428" s="102" t="str">
        <f>IF(A428&lt;&gt;"",COUNTIFS('QA Log'!D:D,A428,'QA Log'!M:M,"QQC",'QA Log'!L:L,"1. General Management",'QA Log'!Z:Z,"Approved"),"")</f>
        <v/>
      </c>
      <c r="M428" s="102" t="str">
        <f>IF(A428&lt;&gt;"",COUNTIFS('QA Log'!D:D,A428,'QA Log'!M:M,"QQC",'QA Log'!L:L,"3. Curative Consultation (OPD)",'QA Log'!Z:Z,"Approved"),"")</f>
        <v/>
      </c>
      <c r="N428" s="102" t="str">
        <f>IF(A428&lt;&gt;"",COUNTIFS('QA Log'!D:D,A428,'QA Log'!M:M,"QQC",'QA Log'!L:L,"5. Laboratory",'QA Log'!Z:Z,"Approved"),"")</f>
        <v/>
      </c>
      <c r="O428" s="102" t="str">
        <f>IF(A428&lt;&gt;"",COUNTIFS('QA Log'!D:D,A428,'QA Log'!M:M,"QQC",'QA Log'!L:L,"6. Essential Medicine Management",'QA Log'!Z:Z,"Approved"),"")</f>
        <v/>
      </c>
      <c r="P428" s="102" t="str">
        <f>IF(A428&lt;&gt;"",COUNTIFS('QA Log'!D:D,A428,'QA Log'!M:M,"QQC",'QA Log'!L:L,"7. Tracer Medicine",'QA Log'!Z:Z,"Approved"),"")</f>
        <v/>
      </c>
      <c r="Q428" s="102" t="str">
        <f>IF(A428&lt;&gt;"",COUNTIFS('QA Log'!D:D,A428,'QA Log'!M:M,"QQC",'QA Log'!L:L,"11. Additional Questions",'QA Log'!Z:Z,"Approved"),"")</f>
        <v/>
      </c>
      <c r="R428" s="102" t="str">
        <f>IF(A428="","",SUM(
COUNTIFS('QA Log'!D:D,A428,'QA Log'!M:M,"QQC",'QA Log'!Z:Z,"Rejected",'QA Log'!L:L,"*8. Maternity*"),
COUNTIFS('QA Log'!D:D,A428,'QA Log'!M:M,"QQC",'QA Log'!Z:Z,"Rejected",'QA Log'!L:L,"*EPI*"),
COUNTIFS('QA Log'!D:D,A428,'QA Log'!M:M,"QQC",'QA Log'!Z:Z,"Rejected",'QA Log'!L:L,"*10. Antenatal Care (ANC)*"),
COUNTIFS('QA Log'!D:D,A428,'QA Log'!M:M,"QQC",'QA Log'!Z:Z,"Rejected",'QA Log'!L:L,"*2. Hygiene and Sterilization*"),
COUNTIFS('QA Log'!D:D,A428,'QA Log'!M:M,"QQC",'QA Log'!Z:Z,"Rejected",'QA Log'!L:L,"*Family Planning*")))</f>
        <v/>
      </c>
      <c r="S428" s="106" t="str">
        <f t="shared" si="27"/>
        <v/>
      </c>
      <c r="T428" s="102" t="str">
        <f t="shared" si="28"/>
        <v/>
      </c>
      <c r="U428" s="102" t="str">
        <f>IF(A428="","",
SUM(
COUNTIFS('QA Log'!D:D,A428,'QA Log'!M:M,"QQC",'QA Log'!L:L,"*8. Maternity*"),
COUNTIFS('QA Log'!D:D,A428,'QA Log'!M:M,"QQC",'QA Log'!L:L,"*9. EPI and Pre-school Consultation*"),
COUNTIFS('QA Log'!D:D,A428,'QA Log'!M:M,"QQC",'QA Log'!L:L,"*10. Antenatal Care (ANC)*"),
COUNTIFS('QA Log'!D:D,A428,'QA Log'!M:M,"QQC",'QA Log'!L:L,"*2. Hygiene and Sterilization*"),
COUNTIFS('QA Log'!D:D,A428,'QA Log'!M:M,"QQC",'QA Log'!L:L,"*4. Family Planning*")
))</f>
        <v/>
      </c>
      <c r="V428" s="102" t="str">
        <f>IF(A428="","",
SUM(
COUNTIFS('QA Log'!D:D,A428,'QA Log'!M:M,"QQC",'QA Log'!Z:Z,"Approved",'QA Log'!L:L,"*8. Maternity*"),
COUNTIFS('QA Log'!D:D,A428,'QA Log'!M:M,"QQC",'QA Log'!Z:Z,"Approved",'QA Log'!L:L,"*9. EPI and Pre-school Consultation*"),
COUNTIFS('QA Log'!D:D,A428,'QA Log'!M:M,"QQC",'QA Log'!Z:Z,"Approved",'QA Log'!L:L,"*10. Antenatal Care (ANC)*"),
COUNTIFS('QA Log'!D:D,A428,'QA Log'!M:M,"QQC",'QA Log'!Z:Z,"Approved",'QA Log'!L:L,"*2. Hygiene and Sterilization*"),
COUNTIFS('QA Log'!D:D,A428,'QA Log'!M:M,"QQC",'QA Log'!Z:Z,"Approved",'QA Log'!L:L,"*4. Family Planning*")
))</f>
        <v/>
      </c>
      <c r="W428" s="102" t="str">
        <f>IF(A428&lt;&gt;"",COUNTIFS('QA Log'!D:D,A428,'QA Log'!M:M,"QQC",'QA Log'!L:L,"8. Maternity",'QA Log'!Z:Z,"Approved"),"")</f>
        <v/>
      </c>
      <c r="X428" s="105" t="str">
        <f>IF(A428&lt;&gt;"",COUNTIFS('QA Log'!D:D,A428,'QA Log'!M:M,"QQC",'QA Log'!L:L,"9. EPI and Pre-school Consultation",'QA Log'!Z:Z,"Approved"),"")</f>
        <v/>
      </c>
      <c r="Y428" s="102" t="str">
        <f>IF(A428&lt;&gt;"",COUNTIFS('QA Log'!D:D,A428,'QA Log'!M:M,"QQC",'QA Log'!L:L,"10. Antenatal Care (ANC)",'QA Log'!Z:Z,"Approved"),"")</f>
        <v/>
      </c>
      <c r="Z428" s="102" t="str">
        <f>IF(A428&lt;&gt;"",COUNTIFS('QA Log'!D:D,A428,'QA Log'!M:M,"QQC",'QA Log'!L:L,"2. Hygiene and Sterilization",'QA Log'!Z:Z,"Approved"),"")</f>
        <v/>
      </c>
      <c r="AA428" s="105" t="str">
        <f>IF(A428&lt;&gt;"",COUNTIFS('QA Log'!D:D,A428,'QA Log'!M:M,"QQC",'QA Log'!L:L,"4. Family Planning",'QA Log'!Z:Z,"Approved"),"")</f>
        <v/>
      </c>
      <c r="AB428" s="102" t="str">
        <f>IF(A428="","",
SUM(
COUNTIFS('QA Log'!D:D,A428,'QA Log'!M:M,"QQC",'QA Log'!Z:Z,"Rejected",'QA Log'!L:L,"*8. Maternity*"),
COUNTIFS('QA Log'!D:D,A428,'QA Log'!M:M,"QQC",'QA Log'!Z:Z,"Rejected",'QA Log'!L:L,"*9. EPI and Pre-school Consultation*"),
COUNTIFS('QA Log'!D:D,A428,'QA Log'!M:M,"QQC",'QA Log'!Z:Z,"Rejected",'QA Log'!L:L,"*10. Antenatal Care (ANC)*"),
COUNTIFS('QA Log'!D:D,A428,'QA Log'!M:M,"QQC",'QA Log'!Z:Z,"Rejected",'QA Log'!L:L,"*2. Hygiene and Sterilization*"),
COUNTIFS('QA Log'!D:D,A428,'QA Log'!M:M,"QQC",'QA Log'!Z:Z,"Rejected",'QA Log'!L:L,"*4. Family Planning*")
))</f>
        <v/>
      </c>
      <c r="AC428" s="102" t="str">
        <f t="shared" si="29"/>
        <v/>
      </c>
      <c r="AD428" s="103" t="str">
        <f t="shared" si="30"/>
        <v/>
      </c>
      <c r="AE428" s="102" t="str">
        <f>IF(A428="","",
SUM(
COUNTIFS('QA Log'!D:D,A428,'QA Log'!M:M,"Data Verification",'QA Log'!L:L,"*Medicine (section 2)*"),
COUNTIFS('QA Log'!D:D,A428,'QA Log'!M:M,"Data Verification",'QA Log'!L:L,"*Lab Testing Availability*"),
COUNTIFS('QA Log'!D:D,A428,'QA Log'!M:M,"Data Verification",'QA Log'!L:L,"*Other than P4P (section 6)*"),
COUNTIFS('QA Log'!D:D,A428,'QA Log'!M:M,"Data Verification",'QA Log'!L:L,"*Hospital Governance*")
))</f>
        <v/>
      </c>
      <c r="AF428" s="102" t="str">
        <f>IF(A428="","",
SUM(
COUNTIFS('QA Log'!D:D,A428,'QA Log'!M:M,"Data Verification",'QA Log'!Z:Z,"Approved",'QA Log'!L:L,"*Medicine (section 2)*"),
COUNTIFS('QA Log'!D:D,A428,'QA Log'!M:M,"Data Verification",'QA Log'!Z:Z,"Approved",'QA Log'!L:L,"*Lab Testing Availability*"),
COUNTIFS('QA Log'!D:D,A428,'QA Log'!M:M,"Data Verification",'QA Log'!Z:Z,"Approved",'QA Log'!L:L,"*Other than P4P (section 6)*"),
COUNTIFS('QA Log'!D:D,A428,'QA Log'!M:M,"Data Verification",'QA Log'!Z:Z,"Approved",'QA Log'!L:L,"*Hospital Governance*")
))</f>
        <v/>
      </c>
      <c r="AG428" s="105" t="str">
        <f>IF(A428&lt;&gt;"",COUNTIFS('QA Log'!D:D,A428,'QA Log'!M:M,"Data Verification",'QA Log'!L:L,"Medicine (section 2)",'QA Log'!Z:Z,"Approved"),"")</f>
        <v/>
      </c>
      <c r="AH428" s="105" t="str">
        <f>IF(A428&lt;&gt;"",COUNTIFS('QA Log'!D:D,A428,'QA Log'!M:M,"Data Verification",'QA Log'!L:L,"Lab Testing Availability",'QA Log'!Z:Z,"Approved"),"")</f>
        <v/>
      </c>
      <c r="AI428" s="105" t="str">
        <f>IF(A428&lt;&gt;"",COUNTIFS('QA Log'!D:D,A428,'QA Log'!M:M,"Data Verification",'QA Log'!L:L,"Other than P4P (section 6)",'QA Log'!Z:Z,"Approved"),"")</f>
        <v/>
      </c>
      <c r="AJ428" s="105" t="str">
        <f>IF(A428&lt;&gt;"",COUNTIFS('QA Log'!D:D,A428,'QA Log'!M:M,"Data Verification",'QA Log'!L:L,"Hospital Governance",'QA Log'!Z:Z,"Approved"),"")</f>
        <v/>
      </c>
      <c r="AK428" s="102" t="str">
        <f>IF(A428="","",
SUM(
COUNTIFS('QA Log'!D:D,A428,'QA Log'!M:M,"Data Verification",'QA Log'!Z:Z,"Rejected",'QA Log'!L:L,"*Medicine (section 2)*"),
COUNTIFS('QA Log'!D:D,A428,'QA Log'!M:M,"Data Verification",'QA Log'!Z:Z,"Rejected",'QA Log'!L:L,"*Lab Testing Availability*"),
COUNTIFS('QA Log'!D:D,A428,'QA Log'!M:M,"Data Verification",'QA Log'!Z:Z,"Rejected",'QA Log'!L:L,"*Other than P4P (section 6)*"),
COUNTIFS('QA Log'!D:D,A428,'QA Log'!M:M,"Data Verification",'QA Log'!Z:Z,"Rejected",'QA Log'!L:L,"*Hospital Governance*")
))</f>
        <v/>
      </c>
      <c r="AL428" s="106" t="str">
        <f t="shared" si="31"/>
        <v/>
      </c>
      <c r="AM428" s="102" t="str">
        <f t="shared" si="32"/>
        <v/>
      </c>
      <c r="AN428" s="102" t="str">
        <f>IF(A428="","",
SUM(
COUNTIFS('QA Log'!D:D,A428,'QA Log'!M:M,"Data Verification",'QA Log'!L:L,"*Personnel (section 1)*"),
COUNTIFS('QA Log'!D:D,A428,'QA Log'!M:M,"Data Verification",'QA Log'!L:L,"*Consumable (section 3)*"),
COUNTIFS('QA Log'!D:D,A428,'QA Log'!M:M,"Data Verification",'QA Log'!L:L,"*Equipments (section 4)*")
))</f>
        <v/>
      </c>
      <c r="AO428" s="102" t="str">
        <f>IF(A428="","",
SUM(
COUNTIFS('QA Log'!D:D,A428,'QA Log'!M:M,"Data Verification",'QA Log'!Z:Z,"Approved",'QA Log'!L:L,"*Personnel (section 1)*"),
COUNTIFS('QA Log'!D:D,A428,'QA Log'!M:M,"Data Verification",'QA Log'!Z:Z,"Approved",'QA Log'!L:L,"*Consumable (section 3)*"),
COUNTIFS('QA Log'!D:D,A428,'QA Log'!M:M,"Data Verification",'QA Log'!Z:Z,"Approved",'QA Log'!L:L,"*Equipments (section 4)*")
))</f>
        <v/>
      </c>
      <c r="AP428" s="105" t="str">
        <f>IF(A428&lt;&gt;"",COUNTIFS('QA Log'!D:D,A428,'QA Log'!M:M,"Data Verification",'QA Log'!L:L,"Personnel (section 1)",'QA Log'!Z:Z,"Approved"),"")</f>
        <v/>
      </c>
      <c r="AQ428" s="105" t="str">
        <f>IF(A428&lt;&gt;"",COUNTIFS('QA Log'!D:D,A428,'QA Log'!M:M,"Data Verification",'QA Log'!L:L,"Consumable (section 3)",'QA Log'!Z:Z,"Approved"),"")</f>
        <v/>
      </c>
      <c r="AR428" s="105" t="str">
        <f>IF(A428&lt;&gt;"",COUNTIFS('QA Log'!D:D,A428,'QA Log'!M:M,"Data Verification",'QA Log'!L:L,"Equipments (section 4)",'QA Log'!Z:Z,"Approved"),"")</f>
        <v/>
      </c>
      <c r="AS428" s="102" t="str">
        <f>IF(A428="","",
SUM(
COUNTIFS('QA Log'!D:D,A428,'QA Log'!M:M,"Data Verification",'QA Log'!Z:Z,"Rejected",'QA Log'!L:L,"*Personnel (section 1)*"),
COUNTIFS('QA Log'!D:D,A428,'QA Log'!M:M,"Data Verification",'QA Log'!Z:Z,"Rejected",'QA Log'!L:L,"*Consumable (section 3)*"),
COUNTIFS('QA Log'!D:D,A428,'QA Log'!M:M,"Data Verification",'QA Log'!Z:Z,"Rejected",'QA Log'!L:L,"*Equipments (section 4)*")
))</f>
        <v/>
      </c>
      <c r="AT428" s="102" t="str">
        <f t="shared" si="33"/>
        <v/>
      </c>
      <c r="AU428" s="103" t="str">
        <f t="shared" si="34"/>
        <v/>
      </c>
      <c r="AV428" s="102" t="str">
        <f>IF(A428="","",SUM(
COUNTIFS('QA Log'!D:D,A428,'QA Log'!M:M,"Vignette",'QA Log'!L:L,"*Vignette [1] Respiratory Infection: Pneumonia*"),
COUNTIFS('QA Log'!D:D,A428,'QA Log'!M:M,"Vignette",'QA Log'!L:L,"*Vignette [2]: Diarrhea with Cat B dehydration*"),
COUNTIFS('QA Log'!D:D,A428,'QA Log'!M:M,"Vignette",'QA Log'!L:L,"*Vignette [3] Growth Monitoring and Promotion*"),
COUNTIFS('QA Log'!D:D,A428,'QA Log'!M:M,"Vignette",'QA Log'!L:L,"*Vignette [4]: The management of presumptive TB patient*")
)
)</f>
        <v/>
      </c>
      <c r="AW428" s="102" t="str">
        <f>IF(
  A428="","",
  SUM(
    COUNTIFS('QA Log'!D:D,A428,'QA Log'!M:M,"Vignette",'QA Log'!Z:Z,"Approved",'QA Log'!L:L,"*Vignette [1] Respiratory Infection: Pneumonia*"),
    COUNTIFS('QA Log'!D:D,A428,'QA Log'!M:M,"Vignette",'QA Log'!Z:Z,"Approved",'QA Log'!L:L,"*Vignette [2]: Diarrhea with Cat B dehydration*"),
    COUNTIFS('QA Log'!D:D,A428,'QA Log'!M:M,"Vignette",'QA Log'!Z:Z,"Approved",'QA Log'!L:L,"*Vignette [3] Growth Monitoring and Promotion*"),
    COUNTIFS('QA Log'!D:D,A428,'QA Log'!M:M,"Vignette",'QA Log'!Z:Z,"Approved",'QA Log'!L:L,"*Vignette [4]: The management of presumptive TB patient*")
  )
)</f>
        <v/>
      </c>
      <c r="AX428" s="105" t="str">
        <f>IF(A428&lt;&gt;"",COUNTIFS('QA Log'!D:D,A428,'QA Log'!M:M,"Vignette",'QA Log'!L:L,"Vignette [1] Respiratory Infection: Pneumonia",'QA Log'!Z:Z,"Approved"),"")</f>
        <v/>
      </c>
      <c r="AY428" s="105" t="str">
        <f>IF(A428&lt;&gt;"",COUNTIFS('QA Log'!D:D,A428,'QA Log'!M:M,"Vignette",'QA Log'!L:L,"Vignette [2]: Diarrhea with Cat B dehydration",'QA Log'!Z:Z,"Approved"),"")</f>
        <v/>
      </c>
      <c r="AZ428" s="105" t="str">
        <f>IF(A428&lt;&gt;"",COUNTIFS('QA Log'!D:D,A428,'QA Log'!M:M,"Vignette",'QA Log'!L:L,"Vignette [3] Growth Monitoring and Promotion",'QA Log'!Z:Z,"Approved"),"")</f>
        <v/>
      </c>
      <c r="BA428" s="105" t="str">
        <f>IF(A428&lt;&gt;"",COUNTIFS('QA Log'!D:D,A428,'QA Log'!M:M,"Vignette",'QA Log'!L:L,"Vignette [4]: The management of presumptive TB patient",'QA Log'!Z:Z,"Approved"),"")</f>
        <v/>
      </c>
      <c r="BB428" s="102" t="str">
        <f>IF(A428="","",
  SUM(
    COUNTIFS('QA Log'!D:D,A428,'QA Log'!M:M,"Vignette",'QA Log'!Z:Z,"Rejected",'QA Log'!L:L,"*Vignette [1] Respiratory Infection: Pneumonia*"),
    COUNTIFS('QA Log'!D:D,A428,'QA Log'!M:M,"Vignette",'QA Log'!Z:Z,"Rejected",'QA Log'!L:L,"*Vignette [2]: Diarrhea with Cat B dehydration*"),
    COUNTIFS('QA Log'!D:D,A428,'QA Log'!M:M,"Vignette",'QA Log'!Z:Z,"Rejected",'QA Log'!L:L,"*Vignette [3] Growth Monitoring and Promotion*"),
    COUNTIFS('QA Log'!D:D,A428,'QA Log'!M:M,"Vignette",'QA Log'!Z:Z,"Rejected",'QA Log'!L:L,"*Vignette [4]: The management of presumptive TB patient*")
  )
)</f>
        <v/>
      </c>
      <c r="BC428" s="107" t="str">
        <f t="shared" si="35"/>
        <v/>
      </c>
      <c r="BD428" s="103" t="str">
        <f t="shared" si="36"/>
        <v/>
      </c>
      <c r="BE428" s="102" t="str">
        <f>IF(A428="","",SUM(
COUNTIFS('QA Log'!D:D,A428,'QA Log'!M:M,"Vignette",'QA Log'!L:L,"*Vignette [5] Labor*"),
COUNTIFS('QA Log'!D:D,A428,'QA Log'!M:M,"Vignette",'QA Log'!L:L,"*Vignette [6] PNC pre Discharge*"),
COUNTIFS('QA Log'!D:D,A428,'QA Log'!M:M,"Vignette",'QA Log'!L:L,"*Vignette [7] First ANC Visit*"),
COUNTIFS('QA Log'!D:D,A428,'QA Log'!M:M,"Vignette",'QA Log'!L:L,"*Vignette [8] Birth Spacing/ Family Planning :  FP Counselling*"),
COUNTIFS('QA Log'!D:D,A428,'QA Log'!M:M,"Vignette",'QA Log'!L:L,"*Vignette [9] Birth Spacing: Change FP method to Injectable*"),
COUNTIFS('QA Log'!D:D,A428,'QA Log'!M:M,"Vignette",'QA Log'!L:L,"*Vignette [10] Post Partum Haemorrhage - Atonic Uterus at Health Centre*"),
)
)</f>
        <v/>
      </c>
      <c r="BF428" s="102" t="str">
        <f>IF(A428="","",
  SUM(
    COUNTIFS('QA Log'!D:D,A428,'QA Log'!M:M,"Vignette",'QA Log'!Z:Z,"Approved",'QA Log'!L:L,"*Vignette [5] Labor*"),
    COUNTIFS('QA Log'!D:D,A428,'QA Log'!M:M,"Vignette",'QA Log'!Z:Z,"Approved",'QA Log'!L:L,"*Vignette [6] PNC pre Discharge*"),
    COUNTIFS('QA Log'!D:D,A428,'QA Log'!M:M,"Vignette",'QA Log'!Z:Z,"Approved",'QA Log'!L:L,"*Vignette [7] First ANC Visit*"),
    COUNTIFS('QA Log'!D:D,A428,'QA Log'!M:M,"Vignette",'QA Log'!Z:Z,"Approved",'QA Log'!L:L,"*Vignette [8] Birth Spacing/ Family Planning :  FP Counselling*"),
    COUNTIFS('QA Log'!D:D,A428,'QA Log'!M:M,"Vignette",'QA Log'!Z:Z,"Approved",'QA Log'!L:L,"*Vignette [9] Birth Spacing: Change FP method to Injectable*"),
    COUNTIFS('QA Log'!D:D,A428,'QA Log'!M:M,"Vignette",'QA Log'!Z:Z,"Approved",'QA Log'!L:L,"*Vignette [10] Post Partum Haemorrhage - Atonic Uterus at Health Centre*")
  )
)</f>
        <v/>
      </c>
      <c r="BG428" s="105" t="str">
        <f>IF(A428&lt;&gt;"",COUNTIFS('QA Log'!D:D,A428,'QA Log'!M:M,"Vignette",'QA Log'!L:L,"Vignette [5] Labor",'QA Log'!Z:Z,"Approved"),"")</f>
        <v/>
      </c>
      <c r="BH428" s="105" t="str">
        <f>IF(A428&lt;&gt;"",COUNTIFS('QA Log'!D:D,A428,'QA Log'!M:M,"Vignette",'QA Log'!L:L,"Vignette [6] PNC pre Discharge",'QA Log'!Z:Z,"Approved"),"")</f>
        <v/>
      </c>
      <c r="BI428" s="105" t="str">
        <f>IF(A428&lt;&gt;"",COUNTIFS('QA Log'!D:D,A428,'QA Log'!M:M,"Vignette",'QA Log'!L:L,"Vignette [7] First ANC Visit",'QA Log'!Z:Z,"Approved"),"")</f>
        <v/>
      </c>
      <c r="BJ428" s="105" t="str">
        <f>IF(A428&lt;&gt;"",COUNTIFS('QA Log'!D:D,A428,'QA Log'!M:M,"Vignette",'QA Log'!L:L,"Vignette [8] Birth Spacing/ Family Planning :  FP Counselling",'QA Log'!Z:Z,"Approved"),"")</f>
        <v/>
      </c>
      <c r="BK428" s="105" t="str">
        <f>IF(A428&lt;&gt;"",COUNTIFS('QA Log'!D:D,A428,'QA Log'!M:M,"Vignette",'QA Log'!L:L,"Vignette [9] Birth Spacing: Change FP method to Injectable",'QA Log'!Z:Z,"Approved"),"")</f>
        <v/>
      </c>
      <c r="BL428" s="105" t="str">
        <f>IF(A428&lt;&gt;"",COUNTIFS('QA Log'!D:D,A428,'QA Log'!M:M,"Vignette",'QA Log'!L:L,"Vignette [10] Post Partum Haemorrhage - Atonic Uterus at Health Centre",'QA Log'!Z:Z,"Approved"),"")</f>
        <v/>
      </c>
      <c r="BM428" s="102" t="str">
        <f>IF(A428="","",SUM(
    COUNTIFS('QA Log'!D:D,A428,'QA Log'!M:M,"Vignette",'QA Log'!Z:Z,"Rejected",'QA Log'!L:L,"*Vignette [5] Labor*"),
    COUNTIFS('QA Log'!D:D,A428,'QA Log'!M:M,"Vignette",'QA Log'!Z:Z,"Rejected",'QA Log'!L:L,"*Vignette [6] PNC pre Discharge*"),
    COUNTIFS('QA Log'!D:D,A428,'QA Log'!M:M,"Vignette",'QA Log'!Z:Z,"Rejected",'QA Log'!L:L,"*Vignette [7] First ANC Visit*"),
    COUNTIFS('QA Log'!D:D,A428,'QA Log'!M:M,"Vignette",'QA Log'!Z:Z,"Rejected",'QA Log'!L:L,"*Vignette [8] Birth Spacing/ Family Planning :  FP Counselling*"),
    COUNTIFS('QA Log'!D:D,A428,'QA Log'!M:M,"Vignette",'QA Log'!Z:Z,"Rejected",'QA Log'!L:L,"*Vignette [9] Birth Spacing: Change FP method to Injectable*"),
    COUNTIFS('QA Log'!D:D,A428,'QA Log'!M:M,"Vignette",'QA Log'!Z:Z,"Rejected",'QA Log'!L:L,"*Vignette [10] Post Partum Haemorrhage - Atonic Uterus at Health Centre*")
  )
)</f>
        <v/>
      </c>
      <c r="BN428" s="107" t="str">
        <f t="shared" si="37"/>
        <v/>
      </c>
      <c r="BO428" s="103" t="str">
        <f t="shared" si="38"/>
        <v/>
      </c>
      <c r="BP428" s="102" t="str">
        <f>IF(A428="","",SUM(
COUNTIFS('QA Log'!D:D,A428,'QA Log'!M:M,"Vignette",'QA Log'!L:L,"*Exit Interview 1*"),
COUNTIFS('QA Log'!D:D,A428,'QA Log'!M:M,"Vignette",'QA Log'!L:L,"*Exit Interview 2*"),
)
)</f>
        <v/>
      </c>
      <c r="BQ428" s="102" t="str">
        <f>IF(
  A428="","",
  SUM(
    COUNTIFS('QA Log'!D:D,A428,'QA Log'!M:M,"Vignette",'QA Log'!Z:Z,"Approved",'QA Log'!L:L,"*Exit Interview 1*"),
    COUNTIFS('QA Log'!D:D,A428,'QA Log'!M:M,"Vignette",'QA Log'!Z:Z,"Approved",'QA Log'!L:L,"*Exit Interview 2*")
  )
)</f>
        <v/>
      </c>
      <c r="BR428" s="105" t="str">
        <f>IF(A428&lt;&gt;"",COUNTIFS('QA Log'!D:D,A428,'QA Log'!M:M,"Vignette",'QA Log'!L:L,"Exit Interview 1",'QA Log'!Z:Z,"Approved"),"")</f>
        <v/>
      </c>
      <c r="BS428" s="105" t="str">
        <f>IF(A428&lt;&gt;"",COUNTIFS('QA Log'!D:D,A428,'QA Log'!M:M,"Vignette",'QA Log'!L:L,"Exit Interview 2",'QA Log'!Z:Z,"Approved"),"")</f>
        <v/>
      </c>
      <c r="BT428" s="102" t="str">
        <f>IF(
  A428="","",
  SUM(
    COUNTIFS('QA Log'!D:D,A428,'QA Log'!M:M,"Vignette",'QA Log'!Z:Z,"Rejected",'QA Log'!L:L,"*Exit Interview 1*"),
    COUNTIFS('QA Log'!D:D,A428,'QA Log'!M:M,"Vignette",'QA Log'!Z:Z,"Rejected",'QA Log'!L:L,"*Exit Interview 2*")
  )
)</f>
        <v/>
      </c>
      <c r="BU428" s="107" t="str">
        <f t="shared" si="39"/>
        <v/>
      </c>
      <c r="BV428" s="102" t="str">
        <f t="shared" si="40"/>
        <v/>
      </c>
      <c r="BW428" s="102" t="str">
        <f t="shared" si="41"/>
        <v/>
      </c>
      <c r="BX428" s="102" t="str">
        <f t="shared" si="42"/>
        <v/>
      </c>
      <c r="BY428" s="102" t="str">
        <f t="shared" si="43"/>
        <v/>
      </c>
      <c r="BZ428" s="107" t="str">
        <f t="shared" si="44"/>
        <v/>
      </c>
      <c r="CA428" s="108" t="str">
        <f t="shared" si="45"/>
        <v/>
      </c>
      <c r="CB428" s="108" t="str">
        <f t="shared" si="46"/>
        <v/>
      </c>
      <c r="CC428" s="109" t="str">
        <f t="shared" si="47"/>
        <v/>
      </c>
      <c r="CD428" s="108" t="str">
        <f t="shared" si="48"/>
        <v/>
      </c>
      <c r="CE428" s="108" t="str">
        <f t="shared" si="49"/>
        <v/>
      </c>
      <c r="CF428" s="109" t="str">
        <f t="shared" si="50"/>
        <v/>
      </c>
      <c r="CG428" s="110" t="str">
        <f t="shared" si="51"/>
        <v/>
      </c>
      <c r="CH428" s="111"/>
    </row>
    <row r="429" spans="1:86" ht="12.75">
      <c r="A429" s="101"/>
      <c r="B429" s="102" t="e">
        <f t="array" aca="1" ref="B429" ca="1">_xludf.XLOOKUP(A429,'QA Log'!D:D,'QA Log'!E:E,"")</f>
        <v>#NAME?</v>
      </c>
      <c r="C429" s="102" t="e">
        <f t="array" aca="1" ref="C429" ca="1">_xludf.XLOOKUP(A429,'QA Log'!D:D,'QA Log'!F:F,"")</f>
        <v>#NAME?</v>
      </c>
      <c r="D429" s="102" t="e">
        <f t="array" aca="1" ref="D429" ca="1">_xludf.XLOOKUP(A429,'QA Log'!D:D,'QA Log'!H:H,"")</f>
        <v>#NAME?</v>
      </c>
      <c r="E429" s="102" t="e">
        <f t="array" aca="1" ref="E429" ca="1">_xludf.XLOOKUP(A429,'QA Log'!D:D,'QA Log'!G:G,"")</f>
        <v>#NAME?</v>
      </c>
      <c r="F429" s="103"/>
      <c r="G429" s="104"/>
      <c r="H429" s="104"/>
      <c r="I429" s="103" t="str">
        <f t="shared" si="26"/>
        <v/>
      </c>
      <c r="J429" s="102" t="str">
        <f>IF(A429="","",SUM(
COUNTIFS('QA Log'!D:D,A429,'QA Log'!M:M,"QQC",'QA Log'!L:L,"*1. General Management*"),
COUNTIFS('QA Log'!D:D,A429,'QA Log'!M:M,"QQC",'QA Log'!L:L,"*3. Curative Consultation (OPD)*"),
COUNTIFS('QA Log'!D:D,A429,'QA Log'!M:M,"QQC",'QA Log'!L:L,"*5. Laboratory*"),
COUNTIFS('QA Log'!D:D,A429,'QA Log'!M:M,"QQC",'QA Log'!L:L,"*6. Essential Medicine Management*"),
COUNTIFS('QA Log'!D:D,A429,'QA Log'!M:M,"QQC",'QA Log'!L:L,"*7. Tracer Medicine*"),
COUNTIFS('QA Log'!D:D,A429,'QA Log'!M:M,"QQC",'QA Log'!L:L,"*11. Additional Questions*")))</f>
        <v/>
      </c>
      <c r="K429" s="102" t="str">
        <f>IF(A429="","",SUM(
COUNTIFS('QA Log'!D:D,A429,'QA Log'!M:M,"QQC",'QA Log'!Z:Z,"Approved",'QA Log'!L:L,"*1. General Management*"),
COUNTIFS('QA Log'!D:D,A429,'QA Log'!M:M,"QQC",'QA Log'!Z:Z,"Approved",'QA Log'!L:L,"*3. Curative Consultation (OPD)*"),
COUNTIFS('QA Log'!D:D,A429,'QA Log'!M:M,"QQC",'QA Log'!Z:Z,"Approved",'QA Log'!L:L,"*5. Laboratory*"),
COUNTIFS('QA Log'!D:D,A429,'QA Log'!M:M,"QQC",'QA Log'!Z:Z,"Approved",'QA Log'!L:L,"*6. Essential Medicine Management*"),
COUNTIFS('QA Log'!D:D,A429,'QA Log'!M:M,"QQC",'QA Log'!Z:Z,"Approved",'QA Log'!L:L,"*7. Tracer Medicine*"),
COUNTIFS('QA Log'!D:D,A429,'QA Log'!M:M,"QQC",'QA Log'!Z:Z,"Approved",'QA Log'!L:L,"*11. Additional Questions*")))</f>
        <v/>
      </c>
      <c r="L429" s="102" t="str">
        <f>IF(A429&lt;&gt;"",COUNTIFS('QA Log'!D:D,A429,'QA Log'!M:M,"QQC",'QA Log'!L:L,"1. General Management",'QA Log'!Z:Z,"Approved"),"")</f>
        <v/>
      </c>
      <c r="M429" s="102" t="str">
        <f>IF(A429&lt;&gt;"",COUNTIFS('QA Log'!D:D,A429,'QA Log'!M:M,"QQC",'QA Log'!L:L,"3. Curative Consultation (OPD)",'QA Log'!Z:Z,"Approved"),"")</f>
        <v/>
      </c>
      <c r="N429" s="102" t="str">
        <f>IF(A429&lt;&gt;"",COUNTIFS('QA Log'!D:D,A429,'QA Log'!M:M,"QQC",'QA Log'!L:L,"5. Laboratory",'QA Log'!Z:Z,"Approved"),"")</f>
        <v/>
      </c>
      <c r="O429" s="102" t="str">
        <f>IF(A429&lt;&gt;"",COUNTIFS('QA Log'!D:D,A429,'QA Log'!M:M,"QQC",'QA Log'!L:L,"6. Essential Medicine Management",'QA Log'!Z:Z,"Approved"),"")</f>
        <v/>
      </c>
      <c r="P429" s="102" t="str">
        <f>IF(A429&lt;&gt;"",COUNTIFS('QA Log'!D:D,A429,'QA Log'!M:M,"QQC",'QA Log'!L:L,"7. Tracer Medicine",'QA Log'!Z:Z,"Approved"),"")</f>
        <v/>
      </c>
      <c r="Q429" s="102" t="str">
        <f>IF(A429&lt;&gt;"",COUNTIFS('QA Log'!D:D,A429,'QA Log'!M:M,"QQC",'QA Log'!L:L,"11. Additional Questions",'QA Log'!Z:Z,"Approved"),"")</f>
        <v/>
      </c>
      <c r="R429" s="102" t="str">
        <f>IF(A429="","",SUM(
COUNTIFS('QA Log'!D:D,A429,'QA Log'!M:M,"QQC",'QA Log'!Z:Z,"Rejected",'QA Log'!L:L,"*8. Maternity*"),
COUNTIFS('QA Log'!D:D,A429,'QA Log'!M:M,"QQC",'QA Log'!Z:Z,"Rejected",'QA Log'!L:L,"*EPI*"),
COUNTIFS('QA Log'!D:D,A429,'QA Log'!M:M,"QQC",'QA Log'!Z:Z,"Rejected",'QA Log'!L:L,"*10. Antenatal Care (ANC)*"),
COUNTIFS('QA Log'!D:D,A429,'QA Log'!M:M,"QQC",'QA Log'!Z:Z,"Rejected",'QA Log'!L:L,"*2. Hygiene and Sterilization*"),
COUNTIFS('QA Log'!D:D,A429,'QA Log'!M:M,"QQC",'QA Log'!Z:Z,"Rejected",'QA Log'!L:L,"*Family Planning*")))</f>
        <v/>
      </c>
      <c r="S429" s="106" t="str">
        <f t="shared" si="27"/>
        <v/>
      </c>
      <c r="T429" s="102" t="str">
        <f t="shared" si="28"/>
        <v/>
      </c>
      <c r="U429" s="102" t="str">
        <f>IF(A429="","",
SUM(
COUNTIFS('QA Log'!D:D,A429,'QA Log'!M:M,"QQC",'QA Log'!L:L,"*8. Maternity*"),
COUNTIFS('QA Log'!D:D,A429,'QA Log'!M:M,"QQC",'QA Log'!L:L,"*9. EPI and Pre-school Consultation*"),
COUNTIFS('QA Log'!D:D,A429,'QA Log'!M:M,"QQC",'QA Log'!L:L,"*10. Antenatal Care (ANC)*"),
COUNTIFS('QA Log'!D:D,A429,'QA Log'!M:M,"QQC",'QA Log'!L:L,"*2. Hygiene and Sterilization*"),
COUNTIFS('QA Log'!D:D,A429,'QA Log'!M:M,"QQC",'QA Log'!L:L,"*4. Family Planning*")
))</f>
        <v/>
      </c>
      <c r="V429" s="102" t="str">
        <f>IF(A429="","",
SUM(
COUNTIFS('QA Log'!D:D,A429,'QA Log'!M:M,"QQC",'QA Log'!Z:Z,"Approved",'QA Log'!L:L,"*8. Maternity*"),
COUNTIFS('QA Log'!D:D,A429,'QA Log'!M:M,"QQC",'QA Log'!Z:Z,"Approved",'QA Log'!L:L,"*9. EPI and Pre-school Consultation*"),
COUNTIFS('QA Log'!D:D,A429,'QA Log'!M:M,"QQC",'QA Log'!Z:Z,"Approved",'QA Log'!L:L,"*10. Antenatal Care (ANC)*"),
COUNTIFS('QA Log'!D:D,A429,'QA Log'!M:M,"QQC",'QA Log'!Z:Z,"Approved",'QA Log'!L:L,"*2. Hygiene and Sterilization*"),
COUNTIFS('QA Log'!D:D,A429,'QA Log'!M:M,"QQC",'QA Log'!Z:Z,"Approved",'QA Log'!L:L,"*4. Family Planning*")
))</f>
        <v/>
      </c>
      <c r="W429" s="102" t="str">
        <f>IF(A429&lt;&gt;"",COUNTIFS('QA Log'!D:D,A429,'QA Log'!M:M,"QQC",'QA Log'!L:L,"8. Maternity",'QA Log'!Z:Z,"Approved"),"")</f>
        <v/>
      </c>
      <c r="X429" s="105" t="str">
        <f>IF(A429&lt;&gt;"",COUNTIFS('QA Log'!D:D,A429,'QA Log'!M:M,"QQC",'QA Log'!L:L,"9. EPI and Pre-school Consultation",'QA Log'!Z:Z,"Approved"),"")</f>
        <v/>
      </c>
      <c r="Y429" s="102" t="str">
        <f>IF(A429&lt;&gt;"",COUNTIFS('QA Log'!D:D,A429,'QA Log'!M:M,"QQC",'QA Log'!L:L,"10. Antenatal Care (ANC)",'QA Log'!Z:Z,"Approved"),"")</f>
        <v/>
      </c>
      <c r="Z429" s="102" t="str">
        <f>IF(A429&lt;&gt;"",COUNTIFS('QA Log'!D:D,A429,'QA Log'!M:M,"QQC",'QA Log'!L:L,"2. Hygiene and Sterilization",'QA Log'!Z:Z,"Approved"),"")</f>
        <v/>
      </c>
      <c r="AA429" s="105" t="str">
        <f>IF(A429&lt;&gt;"",COUNTIFS('QA Log'!D:D,A429,'QA Log'!M:M,"QQC",'QA Log'!L:L,"4. Family Planning",'QA Log'!Z:Z,"Approved"),"")</f>
        <v/>
      </c>
      <c r="AB429" s="102" t="str">
        <f>IF(A429="","",
SUM(
COUNTIFS('QA Log'!D:D,A429,'QA Log'!M:M,"QQC",'QA Log'!Z:Z,"Rejected",'QA Log'!L:L,"*8. Maternity*"),
COUNTIFS('QA Log'!D:D,A429,'QA Log'!M:M,"QQC",'QA Log'!Z:Z,"Rejected",'QA Log'!L:L,"*9. EPI and Pre-school Consultation*"),
COUNTIFS('QA Log'!D:D,A429,'QA Log'!M:M,"QQC",'QA Log'!Z:Z,"Rejected",'QA Log'!L:L,"*10. Antenatal Care (ANC)*"),
COUNTIFS('QA Log'!D:D,A429,'QA Log'!M:M,"QQC",'QA Log'!Z:Z,"Rejected",'QA Log'!L:L,"*2. Hygiene and Sterilization*"),
COUNTIFS('QA Log'!D:D,A429,'QA Log'!M:M,"QQC",'QA Log'!Z:Z,"Rejected",'QA Log'!L:L,"*4. Family Planning*")
))</f>
        <v/>
      </c>
      <c r="AC429" s="102" t="str">
        <f t="shared" si="29"/>
        <v/>
      </c>
      <c r="AD429" s="103" t="str">
        <f t="shared" si="30"/>
        <v/>
      </c>
      <c r="AE429" s="102" t="str">
        <f>IF(A429="","",
SUM(
COUNTIFS('QA Log'!D:D,A429,'QA Log'!M:M,"Data Verification",'QA Log'!L:L,"*Medicine (section 2)*"),
COUNTIFS('QA Log'!D:D,A429,'QA Log'!M:M,"Data Verification",'QA Log'!L:L,"*Lab Testing Availability*"),
COUNTIFS('QA Log'!D:D,A429,'QA Log'!M:M,"Data Verification",'QA Log'!L:L,"*Other than P4P (section 6)*"),
COUNTIFS('QA Log'!D:D,A429,'QA Log'!M:M,"Data Verification",'QA Log'!L:L,"*Hospital Governance*")
))</f>
        <v/>
      </c>
      <c r="AF429" s="102" t="str">
        <f>IF(A429="","",
SUM(
COUNTIFS('QA Log'!D:D,A429,'QA Log'!M:M,"Data Verification",'QA Log'!Z:Z,"Approved",'QA Log'!L:L,"*Medicine (section 2)*"),
COUNTIFS('QA Log'!D:D,A429,'QA Log'!M:M,"Data Verification",'QA Log'!Z:Z,"Approved",'QA Log'!L:L,"*Lab Testing Availability*"),
COUNTIFS('QA Log'!D:D,A429,'QA Log'!M:M,"Data Verification",'QA Log'!Z:Z,"Approved",'QA Log'!L:L,"*Other than P4P (section 6)*"),
COUNTIFS('QA Log'!D:D,A429,'QA Log'!M:M,"Data Verification",'QA Log'!Z:Z,"Approved",'QA Log'!L:L,"*Hospital Governance*")
))</f>
        <v/>
      </c>
      <c r="AG429" s="105" t="str">
        <f>IF(A429&lt;&gt;"",COUNTIFS('QA Log'!D:D,A429,'QA Log'!M:M,"Data Verification",'QA Log'!L:L,"Medicine (section 2)",'QA Log'!Z:Z,"Approved"),"")</f>
        <v/>
      </c>
      <c r="AH429" s="105" t="str">
        <f>IF(A429&lt;&gt;"",COUNTIFS('QA Log'!D:D,A429,'QA Log'!M:M,"Data Verification",'QA Log'!L:L,"Lab Testing Availability",'QA Log'!Z:Z,"Approved"),"")</f>
        <v/>
      </c>
      <c r="AI429" s="105" t="str">
        <f>IF(A429&lt;&gt;"",COUNTIFS('QA Log'!D:D,A429,'QA Log'!M:M,"Data Verification",'QA Log'!L:L,"Other than P4P (section 6)",'QA Log'!Z:Z,"Approved"),"")</f>
        <v/>
      </c>
      <c r="AJ429" s="105" t="str">
        <f>IF(A429&lt;&gt;"",COUNTIFS('QA Log'!D:D,A429,'QA Log'!M:M,"Data Verification",'QA Log'!L:L,"Hospital Governance",'QA Log'!Z:Z,"Approved"),"")</f>
        <v/>
      </c>
      <c r="AK429" s="102" t="str">
        <f>IF(A429="","",
SUM(
COUNTIFS('QA Log'!D:D,A429,'QA Log'!M:M,"Data Verification",'QA Log'!Z:Z,"Rejected",'QA Log'!L:L,"*Medicine (section 2)*"),
COUNTIFS('QA Log'!D:D,A429,'QA Log'!M:M,"Data Verification",'QA Log'!Z:Z,"Rejected",'QA Log'!L:L,"*Lab Testing Availability*"),
COUNTIFS('QA Log'!D:D,A429,'QA Log'!M:M,"Data Verification",'QA Log'!Z:Z,"Rejected",'QA Log'!L:L,"*Other than P4P (section 6)*"),
COUNTIFS('QA Log'!D:D,A429,'QA Log'!M:M,"Data Verification",'QA Log'!Z:Z,"Rejected",'QA Log'!L:L,"*Hospital Governance*")
))</f>
        <v/>
      </c>
      <c r="AL429" s="106" t="str">
        <f t="shared" si="31"/>
        <v/>
      </c>
      <c r="AM429" s="102" t="str">
        <f t="shared" si="32"/>
        <v/>
      </c>
      <c r="AN429" s="102" t="str">
        <f>IF(A429="","",
SUM(
COUNTIFS('QA Log'!D:D,A429,'QA Log'!M:M,"Data Verification",'QA Log'!L:L,"*Personnel (section 1)*"),
COUNTIFS('QA Log'!D:D,A429,'QA Log'!M:M,"Data Verification",'QA Log'!L:L,"*Consumable (section 3)*"),
COUNTIFS('QA Log'!D:D,A429,'QA Log'!M:M,"Data Verification",'QA Log'!L:L,"*Equipments (section 4)*")
))</f>
        <v/>
      </c>
      <c r="AO429" s="102" t="str">
        <f>IF(A429="","",
SUM(
COUNTIFS('QA Log'!D:D,A429,'QA Log'!M:M,"Data Verification",'QA Log'!Z:Z,"Approved",'QA Log'!L:L,"*Personnel (section 1)*"),
COUNTIFS('QA Log'!D:D,A429,'QA Log'!M:M,"Data Verification",'QA Log'!Z:Z,"Approved",'QA Log'!L:L,"*Consumable (section 3)*"),
COUNTIFS('QA Log'!D:D,A429,'QA Log'!M:M,"Data Verification",'QA Log'!Z:Z,"Approved",'QA Log'!L:L,"*Equipments (section 4)*")
))</f>
        <v/>
      </c>
      <c r="AP429" s="105" t="str">
        <f>IF(A429&lt;&gt;"",COUNTIFS('QA Log'!D:D,A429,'QA Log'!M:M,"Data Verification",'QA Log'!L:L,"Personnel (section 1)",'QA Log'!Z:Z,"Approved"),"")</f>
        <v/>
      </c>
      <c r="AQ429" s="105" t="str">
        <f>IF(A429&lt;&gt;"",COUNTIFS('QA Log'!D:D,A429,'QA Log'!M:M,"Data Verification",'QA Log'!L:L,"Consumable (section 3)",'QA Log'!Z:Z,"Approved"),"")</f>
        <v/>
      </c>
      <c r="AR429" s="105" t="str">
        <f>IF(A429&lt;&gt;"",COUNTIFS('QA Log'!D:D,A429,'QA Log'!M:M,"Data Verification",'QA Log'!L:L,"Equipments (section 4)",'QA Log'!Z:Z,"Approved"),"")</f>
        <v/>
      </c>
      <c r="AS429" s="102" t="str">
        <f>IF(A429="","",
SUM(
COUNTIFS('QA Log'!D:D,A429,'QA Log'!M:M,"Data Verification",'QA Log'!Z:Z,"Rejected",'QA Log'!L:L,"*Personnel (section 1)*"),
COUNTIFS('QA Log'!D:D,A429,'QA Log'!M:M,"Data Verification",'QA Log'!Z:Z,"Rejected",'QA Log'!L:L,"*Consumable (section 3)*"),
COUNTIFS('QA Log'!D:D,A429,'QA Log'!M:M,"Data Verification",'QA Log'!Z:Z,"Rejected",'QA Log'!L:L,"*Equipments (section 4)*")
))</f>
        <v/>
      </c>
      <c r="AT429" s="102" t="str">
        <f t="shared" si="33"/>
        <v/>
      </c>
      <c r="AU429" s="103" t="str">
        <f t="shared" si="34"/>
        <v/>
      </c>
      <c r="AV429" s="102" t="str">
        <f>IF(A429="","",SUM(
COUNTIFS('QA Log'!D:D,A429,'QA Log'!M:M,"Vignette",'QA Log'!L:L,"*Vignette [1] Respiratory Infection: Pneumonia*"),
COUNTIFS('QA Log'!D:D,A429,'QA Log'!M:M,"Vignette",'QA Log'!L:L,"*Vignette [2]: Diarrhea with Cat B dehydration*"),
COUNTIFS('QA Log'!D:D,A429,'QA Log'!M:M,"Vignette",'QA Log'!L:L,"*Vignette [3] Growth Monitoring and Promotion*"),
COUNTIFS('QA Log'!D:D,A429,'QA Log'!M:M,"Vignette",'QA Log'!L:L,"*Vignette [4]: The management of presumptive TB patient*")
)
)</f>
        <v/>
      </c>
      <c r="AW429" s="102" t="str">
        <f>IF(
  A429="","",
  SUM(
    COUNTIFS('QA Log'!D:D,A429,'QA Log'!M:M,"Vignette",'QA Log'!Z:Z,"Approved",'QA Log'!L:L,"*Vignette [1] Respiratory Infection: Pneumonia*"),
    COUNTIFS('QA Log'!D:D,A429,'QA Log'!M:M,"Vignette",'QA Log'!Z:Z,"Approved",'QA Log'!L:L,"*Vignette [2]: Diarrhea with Cat B dehydration*"),
    COUNTIFS('QA Log'!D:D,A429,'QA Log'!M:M,"Vignette",'QA Log'!Z:Z,"Approved",'QA Log'!L:L,"*Vignette [3] Growth Monitoring and Promotion*"),
    COUNTIFS('QA Log'!D:D,A429,'QA Log'!M:M,"Vignette",'QA Log'!Z:Z,"Approved",'QA Log'!L:L,"*Vignette [4]: The management of presumptive TB patient*")
  )
)</f>
        <v/>
      </c>
      <c r="AX429" s="105" t="str">
        <f>IF(A429&lt;&gt;"",COUNTIFS('QA Log'!D:D,A429,'QA Log'!M:M,"Vignette",'QA Log'!L:L,"Vignette [1] Respiratory Infection: Pneumonia",'QA Log'!Z:Z,"Approved"),"")</f>
        <v/>
      </c>
      <c r="AY429" s="105" t="str">
        <f>IF(A429&lt;&gt;"",COUNTIFS('QA Log'!D:D,A429,'QA Log'!M:M,"Vignette",'QA Log'!L:L,"Vignette [2]: Diarrhea with Cat B dehydration",'QA Log'!Z:Z,"Approved"),"")</f>
        <v/>
      </c>
      <c r="AZ429" s="105" t="str">
        <f>IF(A429&lt;&gt;"",COUNTIFS('QA Log'!D:D,A429,'QA Log'!M:M,"Vignette",'QA Log'!L:L,"Vignette [3] Growth Monitoring and Promotion",'QA Log'!Z:Z,"Approved"),"")</f>
        <v/>
      </c>
      <c r="BA429" s="105" t="str">
        <f>IF(A429&lt;&gt;"",COUNTIFS('QA Log'!D:D,A429,'QA Log'!M:M,"Vignette",'QA Log'!L:L,"Vignette [4]: The management of presumptive TB patient",'QA Log'!Z:Z,"Approved"),"")</f>
        <v/>
      </c>
      <c r="BB429" s="102" t="str">
        <f>IF(A429="","",
  SUM(
    COUNTIFS('QA Log'!D:D,A429,'QA Log'!M:M,"Vignette",'QA Log'!Z:Z,"Rejected",'QA Log'!L:L,"*Vignette [1] Respiratory Infection: Pneumonia*"),
    COUNTIFS('QA Log'!D:D,A429,'QA Log'!M:M,"Vignette",'QA Log'!Z:Z,"Rejected",'QA Log'!L:L,"*Vignette [2]: Diarrhea with Cat B dehydration*"),
    COUNTIFS('QA Log'!D:D,A429,'QA Log'!M:M,"Vignette",'QA Log'!Z:Z,"Rejected",'QA Log'!L:L,"*Vignette [3] Growth Monitoring and Promotion*"),
    COUNTIFS('QA Log'!D:D,A429,'QA Log'!M:M,"Vignette",'QA Log'!Z:Z,"Rejected",'QA Log'!L:L,"*Vignette [4]: The management of presumptive TB patient*")
  )
)</f>
        <v/>
      </c>
      <c r="BC429" s="107" t="str">
        <f t="shared" si="35"/>
        <v/>
      </c>
      <c r="BD429" s="103" t="str">
        <f t="shared" si="36"/>
        <v/>
      </c>
      <c r="BE429" s="102" t="str">
        <f>IF(A429="","",SUM(
COUNTIFS('QA Log'!D:D,A429,'QA Log'!M:M,"Vignette",'QA Log'!L:L,"*Vignette [5] Labor*"),
COUNTIFS('QA Log'!D:D,A429,'QA Log'!M:M,"Vignette",'QA Log'!L:L,"*Vignette [6] PNC pre Discharge*"),
COUNTIFS('QA Log'!D:D,A429,'QA Log'!M:M,"Vignette",'QA Log'!L:L,"*Vignette [7] First ANC Visit*"),
COUNTIFS('QA Log'!D:D,A429,'QA Log'!M:M,"Vignette",'QA Log'!L:L,"*Vignette [8] Birth Spacing/ Family Planning :  FP Counselling*"),
COUNTIFS('QA Log'!D:D,A429,'QA Log'!M:M,"Vignette",'QA Log'!L:L,"*Vignette [9] Birth Spacing: Change FP method to Injectable*"),
COUNTIFS('QA Log'!D:D,A429,'QA Log'!M:M,"Vignette",'QA Log'!L:L,"*Vignette [10] Post Partum Haemorrhage - Atonic Uterus at Health Centre*"),
)
)</f>
        <v/>
      </c>
      <c r="BF429" s="102" t="str">
        <f>IF(A429="","",
  SUM(
    COUNTIFS('QA Log'!D:D,A429,'QA Log'!M:M,"Vignette",'QA Log'!Z:Z,"Approved",'QA Log'!L:L,"*Vignette [5] Labor*"),
    COUNTIFS('QA Log'!D:D,A429,'QA Log'!M:M,"Vignette",'QA Log'!Z:Z,"Approved",'QA Log'!L:L,"*Vignette [6] PNC pre Discharge*"),
    COUNTIFS('QA Log'!D:D,A429,'QA Log'!M:M,"Vignette",'QA Log'!Z:Z,"Approved",'QA Log'!L:L,"*Vignette [7] First ANC Visit*"),
    COUNTIFS('QA Log'!D:D,A429,'QA Log'!M:M,"Vignette",'QA Log'!Z:Z,"Approved",'QA Log'!L:L,"*Vignette [8] Birth Spacing/ Family Planning :  FP Counselling*"),
    COUNTIFS('QA Log'!D:D,A429,'QA Log'!M:M,"Vignette",'QA Log'!Z:Z,"Approved",'QA Log'!L:L,"*Vignette [9] Birth Spacing: Change FP method to Injectable*"),
    COUNTIFS('QA Log'!D:D,A429,'QA Log'!M:M,"Vignette",'QA Log'!Z:Z,"Approved",'QA Log'!L:L,"*Vignette [10] Post Partum Haemorrhage - Atonic Uterus at Health Centre*")
  )
)</f>
        <v/>
      </c>
      <c r="BG429" s="105" t="str">
        <f>IF(A429&lt;&gt;"",COUNTIFS('QA Log'!D:D,A429,'QA Log'!M:M,"Vignette",'QA Log'!L:L,"Vignette [5] Labor",'QA Log'!Z:Z,"Approved"),"")</f>
        <v/>
      </c>
      <c r="BH429" s="105" t="str">
        <f>IF(A429&lt;&gt;"",COUNTIFS('QA Log'!D:D,A429,'QA Log'!M:M,"Vignette",'QA Log'!L:L,"Vignette [6] PNC pre Discharge",'QA Log'!Z:Z,"Approved"),"")</f>
        <v/>
      </c>
      <c r="BI429" s="105" t="str">
        <f>IF(A429&lt;&gt;"",COUNTIFS('QA Log'!D:D,A429,'QA Log'!M:M,"Vignette",'QA Log'!L:L,"Vignette [7] First ANC Visit",'QA Log'!Z:Z,"Approved"),"")</f>
        <v/>
      </c>
      <c r="BJ429" s="105" t="str">
        <f>IF(A429&lt;&gt;"",COUNTIFS('QA Log'!D:D,A429,'QA Log'!M:M,"Vignette",'QA Log'!L:L,"Vignette [8] Birth Spacing/ Family Planning :  FP Counselling",'QA Log'!Z:Z,"Approved"),"")</f>
        <v/>
      </c>
      <c r="BK429" s="105" t="str">
        <f>IF(A429&lt;&gt;"",COUNTIFS('QA Log'!D:D,A429,'QA Log'!M:M,"Vignette",'QA Log'!L:L,"Vignette [9] Birth Spacing: Change FP method to Injectable",'QA Log'!Z:Z,"Approved"),"")</f>
        <v/>
      </c>
      <c r="BL429" s="105" t="str">
        <f>IF(A429&lt;&gt;"",COUNTIFS('QA Log'!D:D,A429,'QA Log'!M:M,"Vignette",'QA Log'!L:L,"Vignette [10] Post Partum Haemorrhage - Atonic Uterus at Health Centre",'QA Log'!Z:Z,"Approved"),"")</f>
        <v/>
      </c>
      <c r="BM429" s="102" t="str">
        <f>IF(A429="","",SUM(
    COUNTIFS('QA Log'!D:D,A429,'QA Log'!M:M,"Vignette",'QA Log'!Z:Z,"Rejected",'QA Log'!L:L,"*Vignette [5] Labor*"),
    COUNTIFS('QA Log'!D:D,A429,'QA Log'!M:M,"Vignette",'QA Log'!Z:Z,"Rejected",'QA Log'!L:L,"*Vignette [6] PNC pre Discharge*"),
    COUNTIFS('QA Log'!D:D,A429,'QA Log'!M:M,"Vignette",'QA Log'!Z:Z,"Rejected",'QA Log'!L:L,"*Vignette [7] First ANC Visit*"),
    COUNTIFS('QA Log'!D:D,A429,'QA Log'!M:M,"Vignette",'QA Log'!Z:Z,"Rejected",'QA Log'!L:L,"*Vignette [8] Birth Spacing/ Family Planning :  FP Counselling*"),
    COUNTIFS('QA Log'!D:D,A429,'QA Log'!M:M,"Vignette",'QA Log'!Z:Z,"Rejected",'QA Log'!L:L,"*Vignette [9] Birth Spacing: Change FP method to Injectable*"),
    COUNTIFS('QA Log'!D:D,A429,'QA Log'!M:M,"Vignette",'QA Log'!Z:Z,"Rejected",'QA Log'!L:L,"*Vignette [10] Post Partum Haemorrhage - Atonic Uterus at Health Centre*")
  )
)</f>
        <v/>
      </c>
      <c r="BN429" s="107" t="str">
        <f t="shared" si="37"/>
        <v/>
      </c>
      <c r="BO429" s="103" t="str">
        <f t="shared" si="38"/>
        <v/>
      </c>
      <c r="BP429" s="102" t="str">
        <f>IF(A429="","",SUM(
COUNTIFS('QA Log'!D:D,A429,'QA Log'!M:M,"Vignette",'QA Log'!L:L,"*Exit Interview 1*"),
COUNTIFS('QA Log'!D:D,A429,'QA Log'!M:M,"Vignette",'QA Log'!L:L,"*Exit Interview 2*"),
)
)</f>
        <v/>
      </c>
      <c r="BQ429" s="102" t="str">
        <f>IF(
  A429="","",
  SUM(
    COUNTIFS('QA Log'!D:D,A429,'QA Log'!M:M,"Vignette",'QA Log'!Z:Z,"Approved",'QA Log'!L:L,"*Exit Interview 1*"),
    COUNTIFS('QA Log'!D:D,A429,'QA Log'!M:M,"Vignette",'QA Log'!Z:Z,"Approved",'QA Log'!L:L,"*Exit Interview 2*")
  )
)</f>
        <v/>
      </c>
      <c r="BR429" s="105" t="str">
        <f>IF(A429&lt;&gt;"",COUNTIFS('QA Log'!D:D,A429,'QA Log'!M:M,"Vignette",'QA Log'!L:L,"Exit Interview 1",'QA Log'!Z:Z,"Approved"),"")</f>
        <v/>
      </c>
      <c r="BS429" s="105" t="str">
        <f>IF(A429&lt;&gt;"",COUNTIFS('QA Log'!D:D,A429,'QA Log'!M:M,"Vignette",'QA Log'!L:L,"Exit Interview 2",'QA Log'!Z:Z,"Approved"),"")</f>
        <v/>
      </c>
      <c r="BT429" s="102" t="str">
        <f>IF(
  A429="","",
  SUM(
    COUNTIFS('QA Log'!D:D,A429,'QA Log'!M:M,"Vignette",'QA Log'!Z:Z,"Rejected",'QA Log'!L:L,"*Exit Interview 1*"),
    COUNTIFS('QA Log'!D:D,A429,'QA Log'!M:M,"Vignette",'QA Log'!Z:Z,"Rejected",'QA Log'!L:L,"*Exit Interview 2*")
  )
)</f>
        <v/>
      </c>
      <c r="BU429" s="107" t="str">
        <f t="shared" si="39"/>
        <v/>
      </c>
      <c r="BV429" s="102" t="str">
        <f t="shared" si="40"/>
        <v/>
      </c>
      <c r="BW429" s="102" t="str">
        <f t="shared" si="41"/>
        <v/>
      </c>
      <c r="BX429" s="102" t="str">
        <f t="shared" si="42"/>
        <v/>
      </c>
      <c r="BY429" s="102" t="str">
        <f t="shared" si="43"/>
        <v/>
      </c>
      <c r="BZ429" s="107" t="str">
        <f t="shared" si="44"/>
        <v/>
      </c>
      <c r="CA429" s="108" t="str">
        <f t="shared" si="45"/>
        <v/>
      </c>
      <c r="CB429" s="108" t="str">
        <f t="shared" si="46"/>
        <v/>
      </c>
      <c r="CC429" s="109" t="str">
        <f t="shared" si="47"/>
        <v/>
      </c>
      <c r="CD429" s="108" t="str">
        <f t="shared" si="48"/>
        <v/>
      </c>
      <c r="CE429" s="108" t="str">
        <f t="shared" si="49"/>
        <v/>
      </c>
      <c r="CF429" s="109" t="str">
        <f t="shared" si="50"/>
        <v/>
      </c>
      <c r="CG429" s="110" t="str">
        <f t="shared" si="51"/>
        <v/>
      </c>
      <c r="CH429" s="111"/>
    </row>
    <row r="430" spans="1:86" ht="12.75">
      <c r="A430" s="101"/>
      <c r="B430" s="102" t="e">
        <f t="array" aca="1" ref="B430" ca="1">_xludf.XLOOKUP(A430,'QA Log'!D:D,'QA Log'!E:E,"")</f>
        <v>#NAME?</v>
      </c>
      <c r="C430" s="102" t="e">
        <f t="array" aca="1" ref="C430" ca="1">_xludf.XLOOKUP(A430,'QA Log'!D:D,'QA Log'!F:F,"")</f>
        <v>#NAME?</v>
      </c>
      <c r="D430" s="102" t="e">
        <f t="array" aca="1" ref="D430" ca="1">_xludf.XLOOKUP(A430,'QA Log'!D:D,'QA Log'!H:H,"")</f>
        <v>#NAME?</v>
      </c>
      <c r="E430" s="102" t="e">
        <f t="array" aca="1" ref="E430" ca="1">_xludf.XLOOKUP(A430,'QA Log'!D:D,'QA Log'!G:G,"")</f>
        <v>#NAME?</v>
      </c>
      <c r="F430" s="103"/>
      <c r="G430" s="104"/>
      <c r="H430" s="104"/>
      <c r="I430" s="103" t="str">
        <f t="shared" si="26"/>
        <v/>
      </c>
      <c r="J430" s="102" t="str">
        <f>IF(A430="","",SUM(
COUNTIFS('QA Log'!D:D,A430,'QA Log'!M:M,"QQC",'QA Log'!L:L,"*1. General Management*"),
COUNTIFS('QA Log'!D:D,A430,'QA Log'!M:M,"QQC",'QA Log'!L:L,"*3. Curative Consultation (OPD)*"),
COUNTIFS('QA Log'!D:D,A430,'QA Log'!M:M,"QQC",'QA Log'!L:L,"*5. Laboratory*"),
COUNTIFS('QA Log'!D:D,A430,'QA Log'!M:M,"QQC",'QA Log'!L:L,"*6. Essential Medicine Management*"),
COUNTIFS('QA Log'!D:D,A430,'QA Log'!M:M,"QQC",'QA Log'!L:L,"*7. Tracer Medicine*"),
COUNTIFS('QA Log'!D:D,A430,'QA Log'!M:M,"QQC",'QA Log'!L:L,"*11. Additional Questions*")))</f>
        <v/>
      </c>
      <c r="K430" s="102" t="str">
        <f>IF(A430="","",SUM(
COUNTIFS('QA Log'!D:D,A430,'QA Log'!M:M,"QQC",'QA Log'!Z:Z,"Approved",'QA Log'!L:L,"*1. General Management*"),
COUNTIFS('QA Log'!D:D,A430,'QA Log'!M:M,"QQC",'QA Log'!Z:Z,"Approved",'QA Log'!L:L,"*3. Curative Consultation (OPD)*"),
COUNTIFS('QA Log'!D:D,A430,'QA Log'!M:M,"QQC",'QA Log'!Z:Z,"Approved",'QA Log'!L:L,"*5. Laboratory*"),
COUNTIFS('QA Log'!D:D,A430,'QA Log'!M:M,"QQC",'QA Log'!Z:Z,"Approved",'QA Log'!L:L,"*6. Essential Medicine Management*"),
COUNTIFS('QA Log'!D:D,A430,'QA Log'!M:M,"QQC",'QA Log'!Z:Z,"Approved",'QA Log'!L:L,"*7. Tracer Medicine*"),
COUNTIFS('QA Log'!D:D,A430,'QA Log'!M:M,"QQC",'QA Log'!Z:Z,"Approved",'QA Log'!L:L,"*11. Additional Questions*")))</f>
        <v/>
      </c>
      <c r="L430" s="102" t="str">
        <f>IF(A430&lt;&gt;"",COUNTIFS('QA Log'!D:D,A430,'QA Log'!M:M,"QQC",'QA Log'!L:L,"1. General Management",'QA Log'!Z:Z,"Approved"),"")</f>
        <v/>
      </c>
      <c r="M430" s="102" t="str">
        <f>IF(A430&lt;&gt;"",COUNTIFS('QA Log'!D:D,A430,'QA Log'!M:M,"QQC",'QA Log'!L:L,"3. Curative Consultation (OPD)",'QA Log'!Z:Z,"Approved"),"")</f>
        <v/>
      </c>
      <c r="N430" s="102" t="str">
        <f>IF(A430&lt;&gt;"",COUNTIFS('QA Log'!D:D,A430,'QA Log'!M:M,"QQC",'QA Log'!L:L,"5. Laboratory",'QA Log'!Z:Z,"Approved"),"")</f>
        <v/>
      </c>
      <c r="O430" s="102" t="str">
        <f>IF(A430&lt;&gt;"",COUNTIFS('QA Log'!D:D,A430,'QA Log'!M:M,"QQC",'QA Log'!L:L,"6. Essential Medicine Management",'QA Log'!Z:Z,"Approved"),"")</f>
        <v/>
      </c>
      <c r="P430" s="102" t="str">
        <f>IF(A430&lt;&gt;"",COUNTIFS('QA Log'!D:D,A430,'QA Log'!M:M,"QQC",'QA Log'!L:L,"7. Tracer Medicine",'QA Log'!Z:Z,"Approved"),"")</f>
        <v/>
      </c>
      <c r="Q430" s="102" t="str">
        <f>IF(A430&lt;&gt;"",COUNTIFS('QA Log'!D:D,A430,'QA Log'!M:M,"QQC",'QA Log'!L:L,"11. Additional Questions",'QA Log'!Z:Z,"Approved"),"")</f>
        <v/>
      </c>
      <c r="R430" s="102" t="str">
        <f>IF(A430="","",SUM(
COUNTIFS('QA Log'!D:D,A430,'QA Log'!M:M,"QQC",'QA Log'!Z:Z,"Rejected",'QA Log'!L:L,"*8. Maternity*"),
COUNTIFS('QA Log'!D:D,A430,'QA Log'!M:M,"QQC",'QA Log'!Z:Z,"Rejected",'QA Log'!L:L,"*EPI*"),
COUNTIFS('QA Log'!D:D,A430,'QA Log'!M:M,"QQC",'QA Log'!Z:Z,"Rejected",'QA Log'!L:L,"*10. Antenatal Care (ANC)*"),
COUNTIFS('QA Log'!D:D,A430,'QA Log'!M:M,"QQC",'QA Log'!Z:Z,"Rejected",'QA Log'!L:L,"*2. Hygiene and Sterilization*"),
COUNTIFS('QA Log'!D:D,A430,'QA Log'!M:M,"QQC",'QA Log'!Z:Z,"Rejected",'QA Log'!L:L,"*Family Planning*")))</f>
        <v/>
      </c>
      <c r="S430" s="106" t="str">
        <f t="shared" si="27"/>
        <v/>
      </c>
      <c r="T430" s="102" t="str">
        <f t="shared" si="28"/>
        <v/>
      </c>
      <c r="U430" s="102" t="str">
        <f>IF(A430="","",
SUM(
COUNTIFS('QA Log'!D:D,A430,'QA Log'!M:M,"QQC",'QA Log'!L:L,"*8. Maternity*"),
COUNTIFS('QA Log'!D:D,A430,'QA Log'!M:M,"QQC",'QA Log'!L:L,"*9. EPI and Pre-school Consultation*"),
COUNTIFS('QA Log'!D:D,A430,'QA Log'!M:M,"QQC",'QA Log'!L:L,"*10. Antenatal Care (ANC)*"),
COUNTIFS('QA Log'!D:D,A430,'QA Log'!M:M,"QQC",'QA Log'!L:L,"*2. Hygiene and Sterilization*"),
COUNTIFS('QA Log'!D:D,A430,'QA Log'!M:M,"QQC",'QA Log'!L:L,"*4. Family Planning*")
))</f>
        <v/>
      </c>
      <c r="V430" s="102" t="str">
        <f>IF(A430="","",
SUM(
COUNTIFS('QA Log'!D:D,A430,'QA Log'!M:M,"QQC",'QA Log'!Z:Z,"Approved",'QA Log'!L:L,"*8. Maternity*"),
COUNTIFS('QA Log'!D:D,A430,'QA Log'!M:M,"QQC",'QA Log'!Z:Z,"Approved",'QA Log'!L:L,"*9. EPI and Pre-school Consultation*"),
COUNTIFS('QA Log'!D:D,A430,'QA Log'!M:M,"QQC",'QA Log'!Z:Z,"Approved",'QA Log'!L:L,"*10. Antenatal Care (ANC)*"),
COUNTIFS('QA Log'!D:D,A430,'QA Log'!M:M,"QQC",'QA Log'!Z:Z,"Approved",'QA Log'!L:L,"*2. Hygiene and Sterilization*"),
COUNTIFS('QA Log'!D:D,A430,'QA Log'!M:M,"QQC",'QA Log'!Z:Z,"Approved",'QA Log'!L:L,"*4. Family Planning*")
))</f>
        <v/>
      </c>
      <c r="W430" s="102" t="str">
        <f>IF(A430&lt;&gt;"",COUNTIFS('QA Log'!D:D,A430,'QA Log'!M:M,"QQC",'QA Log'!L:L,"8. Maternity",'QA Log'!Z:Z,"Approved"),"")</f>
        <v/>
      </c>
      <c r="X430" s="105" t="str">
        <f>IF(A430&lt;&gt;"",COUNTIFS('QA Log'!D:D,A430,'QA Log'!M:M,"QQC",'QA Log'!L:L,"9. EPI and Pre-school Consultation",'QA Log'!Z:Z,"Approved"),"")</f>
        <v/>
      </c>
      <c r="Y430" s="102" t="str">
        <f>IF(A430&lt;&gt;"",COUNTIFS('QA Log'!D:D,A430,'QA Log'!M:M,"QQC",'QA Log'!L:L,"10. Antenatal Care (ANC)",'QA Log'!Z:Z,"Approved"),"")</f>
        <v/>
      </c>
      <c r="Z430" s="102" t="str">
        <f>IF(A430&lt;&gt;"",COUNTIFS('QA Log'!D:D,A430,'QA Log'!M:M,"QQC",'QA Log'!L:L,"2. Hygiene and Sterilization",'QA Log'!Z:Z,"Approved"),"")</f>
        <v/>
      </c>
      <c r="AA430" s="105" t="str">
        <f>IF(A430&lt;&gt;"",COUNTIFS('QA Log'!D:D,A430,'QA Log'!M:M,"QQC",'QA Log'!L:L,"4. Family Planning",'QA Log'!Z:Z,"Approved"),"")</f>
        <v/>
      </c>
      <c r="AB430" s="102" t="str">
        <f>IF(A430="","",
SUM(
COUNTIFS('QA Log'!D:D,A430,'QA Log'!M:M,"QQC",'QA Log'!Z:Z,"Rejected",'QA Log'!L:L,"*8. Maternity*"),
COUNTIFS('QA Log'!D:D,A430,'QA Log'!M:M,"QQC",'QA Log'!Z:Z,"Rejected",'QA Log'!L:L,"*9. EPI and Pre-school Consultation*"),
COUNTIFS('QA Log'!D:D,A430,'QA Log'!M:M,"QQC",'QA Log'!Z:Z,"Rejected",'QA Log'!L:L,"*10. Antenatal Care (ANC)*"),
COUNTIFS('QA Log'!D:D,A430,'QA Log'!M:M,"QQC",'QA Log'!Z:Z,"Rejected",'QA Log'!L:L,"*2. Hygiene and Sterilization*"),
COUNTIFS('QA Log'!D:D,A430,'QA Log'!M:M,"QQC",'QA Log'!Z:Z,"Rejected",'QA Log'!L:L,"*4. Family Planning*")
))</f>
        <v/>
      </c>
      <c r="AC430" s="102" t="str">
        <f t="shared" si="29"/>
        <v/>
      </c>
      <c r="AD430" s="103" t="str">
        <f t="shared" si="30"/>
        <v/>
      </c>
      <c r="AE430" s="102" t="str">
        <f>IF(A430="","",
SUM(
COUNTIFS('QA Log'!D:D,A430,'QA Log'!M:M,"Data Verification",'QA Log'!L:L,"*Medicine (section 2)*"),
COUNTIFS('QA Log'!D:D,A430,'QA Log'!M:M,"Data Verification",'QA Log'!L:L,"*Lab Testing Availability*"),
COUNTIFS('QA Log'!D:D,A430,'QA Log'!M:M,"Data Verification",'QA Log'!L:L,"*Other than P4P (section 6)*"),
COUNTIFS('QA Log'!D:D,A430,'QA Log'!M:M,"Data Verification",'QA Log'!L:L,"*Hospital Governance*")
))</f>
        <v/>
      </c>
      <c r="AF430" s="102" t="str">
        <f>IF(A430="","",
SUM(
COUNTIFS('QA Log'!D:D,A430,'QA Log'!M:M,"Data Verification",'QA Log'!Z:Z,"Approved",'QA Log'!L:L,"*Medicine (section 2)*"),
COUNTIFS('QA Log'!D:D,A430,'QA Log'!M:M,"Data Verification",'QA Log'!Z:Z,"Approved",'QA Log'!L:L,"*Lab Testing Availability*"),
COUNTIFS('QA Log'!D:D,A430,'QA Log'!M:M,"Data Verification",'QA Log'!Z:Z,"Approved",'QA Log'!L:L,"*Other than P4P (section 6)*"),
COUNTIFS('QA Log'!D:D,A430,'QA Log'!M:M,"Data Verification",'QA Log'!Z:Z,"Approved",'QA Log'!L:L,"*Hospital Governance*")
))</f>
        <v/>
      </c>
      <c r="AG430" s="105" t="str">
        <f>IF(A430&lt;&gt;"",COUNTIFS('QA Log'!D:D,A430,'QA Log'!M:M,"Data Verification",'QA Log'!L:L,"Medicine (section 2)",'QA Log'!Z:Z,"Approved"),"")</f>
        <v/>
      </c>
      <c r="AH430" s="105" t="str">
        <f>IF(A430&lt;&gt;"",COUNTIFS('QA Log'!D:D,A430,'QA Log'!M:M,"Data Verification",'QA Log'!L:L,"Lab Testing Availability",'QA Log'!Z:Z,"Approved"),"")</f>
        <v/>
      </c>
      <c r="AI430" s="105" t="str">
        <f>IF(A430&lt;&gt;"",COUNTIFS('QA Log'!D:D,A430,'QA Log'!M:M,"Data Verification",'QA Log'!L:L,"Other than P4P (section 6)",'QA Log'!Z:Z,"Approved"),"")</f>
        <v/>
      </c>
      <c r="AJ430" s="105" t="str">
        <f>IF(A430&lt;&gt;"",COUNTIFS('QA Log'!D:D,A430,'QA Log'!M:M,"Data Verification",'QA Log'!L:L,"Hospital Governance",'QA Log'!Z:Z,"Approved"),"")</f>
        <v/>
      </c>
      <c r="AK430" s="102" t="str">
        <f>IF(A430="","",
SUM(
COUNTIFS('QA Log'!D:D,A430,'QA Log'!M:M,"Data Verification",'QA Log'!Z:Z,"Rejected",'QA Log'!L:L,"*Medicine (section 2)*"),
COUNTIFS('QA Log'!D:D,A430,'QA Log'!M:M,"Data Verification",'QA Log'!Z:Z,"Rejected",'QA Log'!L:L,"*Lab Testing Availability*"),
COUNTIFS('QA Log'!D:D,A430,'QA Log'!M:M,"Data Verification",'QA Log'!Z:Z,"Rejected",'QA Log'!L:L,"*Other than P4P (section 6)*"),
COUNTIFS('QA Log'!D:D,A430,'QA Log'!M:M,"Data Verification",'QA Log'!Z:Z,"Rejected",'QA Log'!L:L,"*Hospital Governance*")
))</f>
        <v/>
      </c>
      <c r="AL430" s="106" t="str">
        <f t="shared" si="31"/>
        <v/>
      </c>
      <c r="AM430" s="102" t="str">
        <f t="shared" si="32"/>
        <v/>
      </c>
      <c r="AN430" s="102" t="str">
        <f>IF(A430="","",
SUM(
COUNTIFS('QA Log'!D:D,A430,'QA Log'!M:M,"Data Verification",'QA Log'!L:L,"*Personnel (section 1)*"),
COUNTIFS('QA Log'!D:D,A430,'QA Log'!M:M,"Data Verification",'QA Log'!L:L,"*Consumable (section 3)*"),
COUNTIFS('QA Log'!D:D,A430,'QA Log'!M:M,"Data Verification",'QA Log'!L:L,"*Equipments (section 4)*")
))</f>
        <v/>
      </c>
      <c r="AO430" s="102" t="str">
        <f>IF(A430="","",
SUM(
COUNTIFS('QA Log'!D:D,A430,'QA Log'!M:M,"Data Verification",'QA Log'!Z:Z,"Approved",'QA Log'!L:L,"*Personnel (section 1)*"),
COUNTIFS('QA Log'!D:D,A430,'QA Log'!M:M,"Data Verification",'QA Log'!Z:Z,"Approved",'QA Log'!L:L,"*Consumable (section 3)*"),
COUNTIFS('QA Log'!D:D,A430,'QA Log'!M:M,"Data Verification",'QA Log'!Z:Z,"Approved",'QA Log'!L:L,"*Equipments (section 4)*")
))</f>
        <v/>
      </c>
      <c r="AP430" s="105" t="str">
        <f>IF(A430&lt;&gt;"",COUNTIFS('QA Log'!D:D,A430,'QA Log'!M:M,"Data Verification",'QA Log'!L:L,"Personnel (section 1)",'QA Log'!Z:Z,"Approved"),"")</f>
        <v/>
      </c>
      <c r="AQ430" s="105" t="str">
        <f>IF(A430&lt;&gt;"",COUNTIFS('QA Log'!D:D,A430,'QA Log'!M:M,"Data Verification",'QA Log'!L:L,"Consumable (section 3)",'QA Log'!Z:Z,"Approved"),"")</f>
        <v/>
      </c>
      <c r="AR430" s="105" t="str">
        <f>IF(A430&lt;&gt;"",COUNTIFS('QA Log'!D:D,A430,'QA Log'!M:M,"Data Verification",'QA Log'!L:L,"Equipments (section 4)",'QA Log'!Z:Z,"Approved"),"")</f>
        <v/>
      </c>
      <c r="AS430" s="102" t="str">
        <f>IF(A430="","",
SUM(
COUNTIFS('QA Log'!D:D,A430,'QA Log'!M:M,"Data Verification",'QA Log'!Z:Z,"Rejected",'QA Log'!L:L,"*Personnel (section 1)*"),
COUNTIFS('QA Log'!D:D,A430,'QA Log'!M:M,"Data Verification",'QA Log'!Z:Z,"Rejected",'QA Log'!L:L,"*Consumable (section 3)*"),
COUNTIFS('QA Log'!D:D,A430,'QA Log'!M:M,"Data Verification",'QA Log'!Z:Z,"Rejected",'QA Log'!L:L,"*Equipments (section 4)*")
))</f>
        <v/>
      </c>
      <c r="AT430" s="102" t="str">
        <f t="shared" si="33"/>
        <v/>
      </c>
      <c r="AU430" s="103" t="str">
        <f t="shared" si="34"/>
        <v/>
      </c>
      <c r="AV430" s="102" t="str">
        <f>IF(A430="","",SUM(
COUNTIFS('QA Log'!D:D,A430,'QA Log'!M:M,"Vignette",'QA Log'!L:L,"*Vignette [1] Respiratory Infection: Pneumonia*"),
COUNTIFS('QA Log'!D:D,A430,'QA Log'!M:M,"Vignette",'QA Log'!L:L,"*Vignette [2]: Diarrhea with Cat B dehydration*"),
COUNTIFS('QA Log'!D:D,A430,'QA Log'!M:M,"Vignette",'QA Log'!L:L,"*Vignette [3] Growth Monitoring and Promotion*"),
COUNTIFS('QA Log'!D:D,A430,'QA Log'!M:M,"Vignette",'QA Log'!L:L,"*Vignette [4]: The management of presumptive TB patient*")
)
)</f>
        <v/>
      </c>
      <c r="AW430" s="102" t="str">
        <f>IF(
  A430="","",
  SUM(
    COUNTIFS('QA Log'!D:D,A430,'QA Log'!M:M,"Vignette",'QA Log'!Z:Z,"Approved",'QA Log'!L:L,"*Vignette [1] Respiratory Infection: Pneumonia*"),
    COUNTIFS('QA Log'!D:D,A430,'QA Log'!M:M,"Vignette",'QA Log'!Z:Z,"Approved",'QA Log'!L:L,"*Vignette [2]: Diarrhea with Cat B dehydration*"),
    COUNTIFS('QA Log'!D:D,A430,'QA Log'!M:M,"Vignette",'QA Log'!Z:Z,"Approved",'QA Log'!L:L,"*Vignette [3] Growth Monitoring and Promotion*"),
    COUNTIFS('QA Log'!D:D,A430,'QA Log'!M:M,"Vignette",'QA Log'!Z:Z,"Approved",'QA Log'!L:L,"*Vignette [4]: The management of presumptive TB patient*")
  )
)</f>
        <v/>
      </c>
      <c r="AX430" s="105" t="str">
        <f>IF(A430&lt;&gt;"",COUNTIFS('QA Log'!D:D,A430,'QA Log'!M:M,"Vignette",'QA Log'!L:L,"Vignette [1] Respiratory Infection: Pneumonia",'QA Log'!Z:Z,"Approved"),"")</f>
        <v/>
      </c>
      <c r="AY430" s="105" t="str">
        <f>IF(A430&lt;&gt;"",COUNTIFS('QA Log'!D:D,A430,'QA Log'!M:M,"Vignette",'QA Log'!L:L,"Vignette [2]: Diarrhea with Cat B dehydration",'QA Log'!Z:Z,"Approved"),"")</f>
        <v/>
      </c>
      <c r="AZ430" s="105" t="str">
        <f>IF(A430&lt;&gt;"",COUNTIFS('QA Log'!D:D,A430,'QA Log'!M:M,"Vignette",'QA Log'!L:L,"Vignette [3] Growth Monitoring and Promotion",'QA Log'!Z:Z,"Approved"),"")</f>
        <v/>
      </c>
      <c r="BA430" s="105" t="str">
        <f>IF(A430&lt;&gt;"",COUNTIFS('QA Log'!D:D,A430,'QA Log'!M:M,"Vignette",'QA Log'!L:L,"Vignette [4]: The management of presumptive TB patient",'QA Log'!Z:Z,"Approved"),"")</f>
        <v/>
      </c>
      <c r="BB430" s="102" t="str">
        <f>IF(A430="","",
  SUM(
    COUNTIFS('QA Log'!D:D,A430,'QA Log'!M:M,"Vignette",'QA Log'!Z:Z,"Rejected",'QA Log'!L:L,"*Vignette [1] Respiratory Infection: Pneumonia*"),
    COUNTIFS('QA Log'!D:D,A430,'QA Log'!M:M,"Vignette",'QA Log'!Z:Z,"Rejected",'QA Log'!L:L,"*Vignette [2]: Diarrhea with Cat B dehydration*"),
    COUNTIFS('QA Log'!D:D,A430,'QA Log'!M:M,"Vignette",'QA Log'!Z:Z,"Rejected",'QA Log'!L:L,"*Vignette [3] Growth Monitoring and Promotion*"),
    COUNTIFS('QA Log'!D:D,A430,'QA Log'!M:M,"Vignette",'QA Log'!Z:Z,"Rejected",'QA Log'!L:L,"*Vignette [4]: The management of presumptive TB patient*")
  )
)</f>
        <v/>
      </c>
      <c r="BC430" s="107" t="str">
        <f t="shared" si="35"/>
        <v/>
      </c>
      <c r="BD430" s="103" t="str">
        <f t="shared" si="36"/>
        <v/>
      </c>
      <c r="BE430" s="102" t="str">
        <f>IF(A430="","",SUM(
COUNTIFS('QA Log'!D:D,A430,'QA Log'!M:M,"Vignette",'QA Log'!L:L,"*Vignette [5] Labor*"),
COUNTIFS('QA Log'!D:D,A430,'QA Log'!M:M,"Vignette",'QA Log'!L:L,"*Vignette [6] PNC pre Discharge*"),
COUNTIFS('QA Log'!D:D,A430,'QA Log'!M:M,"Vignette",'QA Log'!L:L,"*Vignette [7] First ANC Visit*"),
COUNTIFS('QA Log'!D:D,A430,'QA Log'!M:M,"Vignette",'QA Log'!L:L,"*Vignette [8] Birth Spacing/ Family Planning :  FP Counselling*"),
COUNTIFS('QA Log'!D:D,A430,'QA Log'!M:M,"Vignette",'QA Log'!L:L,"*Vignette [9] Birth Spacing: Change FP method to Injectable*"),
COUNTIFS('QA Log'!D:D,A430,'QA Log'!M:M,"Vignette",'QA Log'!L:L,"*Vignette [10] Post Partum Haemorrhage - Atonic Uterus at Health Centre*"),
)
)</f>
        <v/>
      </c>
      <c r="BF430" s="102" t="str">
        <f>IF(A430="","",
  SUM(
    COUNTIFS('QA Log'!D:D,A430,'QA Log'!M:M,"Vignette",'QA Log'!Z:Z,"Approved",'QA Log'!L:L,"*Vignette [5] Labor*"),
    COUNTIFS('QA Log'!D:D,A430,'QA Log'!M:M,"Vignette",'QA Log'!Z:Z,"Approved",'QA Log'!L:L,"*Vignette [6] PNC pre Discharge*"),
    COUNTIFS('QA Log'!D:D,A430,'QA Log'!M:M,"Vignette",'QA Log'!Z:Z,"Approved",'QA Log'!L:L,"*Vignette [7] First ANC Visit*"),
    COUNTIFS('QA Log'!D:D,A430,'QA Log'!M:M,"Vignette",'QA Log'!Z:Z,"Approved",'QA Log'!L:L,"*Vignette [8] Birth Spacing/ Family Planning :  FP Counselling*"),
    COUNTIFS('QA Log'!D:D,A430,'QA Log'!M:M,"Vignette",'QA Log'!Z:Z,"Approved",'QA Log'!L:L,"*Vignette [9] Birth Spacing: Change FP method to Injectable*"),
    COUNTIFS('QA Log'!D:D,A430,'QA Log'!M:M,"Vignette",'QA Log'!Z:Z,"Approved",'QA Log'!L:L,"*Vignette [10] Post Partum Haemorrhage - Atonic Uterus at Health Centre*")
  )
)</f>
        <v/>
      </c>
      <c r="BG430" s="105" t="str">
        <f>IF(A430&lt;&gt;"",COUNTIFS('QA Log'!D:D,A430,'QA Log'!M:M,"Vignette",'QA Log'!L:L,"Vignette [5] Labor",'QA Log'!Z:Z,"Approved"),"")</f>
        <v/>
      </c>
      <c r="BH430" s="105" t="str">
        <f>IF(A430&lt;&gt;"",COUNTIFS('QA Log'!D:D,A430,'QA Log'!M:M,"Vignette",'QA Log'!L:L,"Vignette [6] PNC pre Discharge",'QA Log'!Z:Z,"Approved"),"")</f>
        <v/>
      </c>
      <c r="BI430" s="105" t="str">
        <f>IF(A430&lt;&gt;"",COUNTIFS('QA Log'!D:D,A430,'QA Log'!M:M,"Vignette",'QA Log'!L:L,"Vignette [7] First ANC Visit",'QA Log'!Z:Z,"Approved"),"")</f>
        <v/>
      </c>
      <c r="BJ430" s="105" t="str">
        <f>IF(A430&lt;&gt;"",COUNTIFS('QA Log'!D:D,A430,'QA Log'!M:M,"Vignette",'QA Log'!L:L,"Vignette [8] Birth Spacing/ Family Planning :  FP Counselling",'QA Log'!Z:Z,"Approved"),"")</f>
        <v/>
      </c>
      <c r="BK430" s="105" t="str">
        <f>IF(A430&lt;&gt;"",COUNTIFS('QA Log'!D:D,A430,'QA Log'!M:M,"Vignette",'QA Log'!L:L,"Vignette [9] Birth Spacing: Change FP method to Injectable",'QA Log'!Z:Z,"Approved"),"")</f>
        <v/>
      </c>
      <c r="BL430" s="105" t="str">
        <f>IF(A430&lt;&gt;"",COUNTIFS('QA Log'!D:D,A430,'QA Log'!M:M,"Vignette",'QA Log'!L:L,"Vignette [10] Post Partum Haemorrhage - Atonic Uterus at Health Centre",'QA Log'!Z:Z,"Approved"),"")</f>
        <v/>
      </c>
      <c r="BM430" s="102" t="str">
        <f>IF(A430="","",SUM(
    COUNTIFS('QA Log'!D:D,A430,'QA Log'!M:M,"Vignette",'QA Log'!Z:Z,"Rejected",'QA Log'!L:L,"*Vignette [5] Labor*"),
    COUNTIFS('QA Log'!D:D,A430,'QA Log'!M:M,"Vignette",'QA Log'!Z:Z,"Rejected",'QA Log'!L:L,"*Vignette [6] PNC pre Discharge*"),
    COUNTIFS('QA Log'!D:D,A430,'QA Log'!M:M,"Vignette",'QA Log'!Z:Z,"Rejected",'QA Log'!L:L,"*Vignette [7] First ANC Visit*"),
    COUNTIFS('QA Log'!D:D,A430,'QA Log'!M:M,"Vignette",'QA Log'!Z:Z,"Rejected",'QA Log'!L:L,"*Vignette [8] Birth Spacing/ Family Planning :  FP Counselling*"),
    COUNTIFS('QA Log'!D:D,A430,'QA Log'!M:M,"Vignette",'QA Log'!Z:Z,"Rejected",'QA Log'!L:L,"*Vignette [9] Birth Spacing: Change FP method to Injectable*"),
    COUNTIFS('QA Log'!D:D,A430,'QA Log'!M:M,"Vignette",'QA Log'!Z:Z,"Rejected",'QA Log'!L:L,"*Vignette [10] Post Partum Haemorrhage - Atonic Uterus at Health Centre*")
  )
)</f>
        <v/>
      </c>
      <c r="BN430" s="107" t="str">
        <f t="shared" si="37"/>
        <v/>
      </c>
      <c r="BO430" s="103" t="str">
        <f t="shared" si="38"/>
        <v/>
      </c>
      <c r="BP430" s="102" t="str">
        <f>IF(A430="","",SUM(
COUNTIFS('QA Log'!D:D,A430,'QA Log'!M:M,"Vignette",'QA Log'!L:L,"*Exit Interview 1*"),
COUNTIFS('QA Log'!D:D,A430,'QA Log'!M:M,"Vignette",'QA Log'!L:L,"*Exit Interview 2*"),
)
)</f>
        <v/>
      </c>
      <c r="BQ430" s="102" t="str">
        <f>IF(
  A430="","",
  SUM(
    COUNTIFS('QA Log'!D:D,A430,'QA Log'!M:M,"Vignette",'QA Log'!Z:Z,"Approved",'QA Log'!L:L,"*Exit Interview 1*"),
    COUNTIFS('QA Log'!D:D,A430,'QA Log'!M:M,"Vignette",'QA Log'!Z:Z,"Approved",'QA Log'!L:L,"*Exit Interview 2*")
  )
)</f>
        <v/>
      </c>
      <c r="BR430" s="105" t="str">
        <f>IF(A430&lt;&gt;"",COUNTIFS('QA Log'!D:D,A430,'QA Log'!M:M,"Vignette",'QA Log'!L:L,"Exit Interview 1",'QA Log'!Z:Z,"Approved"),"")</f>
        <v/>
      </c>
      <c r="BS430" s="105" t="str">
        <f>IF(A430&lt;&gt;"",COUNTIFS('QA Log'!D:D,A430,'QA Log'!M:M,"Vignette",'QA Log'!L:L,"Exit Interview 2",'QA Log'!Z:Z,"Approved"),"")</f>
        <v/>
      </c>
      <c r="BT430" s="102" t="str">
        <f>IF(
  A430="","",
  SUM(
    COUNTIFS('QA Log'!D:D,A430,'QA Log'!M:M,"Vignette",'QA Log'!Z:Z,"Rejected",'QA Log'!L:L,"*Exit Interview 1*"),
    COUNTIFS('QA Log'!D:D,A430,'QA Log'!M:M,"Vignette",'QA Log'!Z:Z,"Rejected",'QA Log'!L:L,"*Exit Interview 2*")
  )
)</f>
        <v/>
      </c>
      <c r="BU430" s="107" t="str">
        <f t="shared" si="39"/>
        <v/>
      </c>
      <c r="BV430" s="102" t="str">
        <f t="shared" si="40"/>
        <v/>
      </c>
      <c r="BW430" s="102" t="str">
        <f t="shared" si="41"/>
        <v/>
      </c>
      <c r="BX430" s="102" t="str">
        <f t="shared" si="42"/>
        <v/>
      </c>
      <c r="BY430" s="102" t="str">
        <f t="shared" si="43"/>
        <v/>
      </c>
      <c r="BZ430" s="107" t="str">
        <f t="shared" si="44"/>
        <v/>
      </c>
      <c r="CA430" s="108" t="str">
        <f t="shared" si="45"/>
        <v/>
      </c>
      <c r="CB430" s="108" t="str">
        <f t="shared" si="46"/>
        <v/>
      </c>
      <c r="CC430" s="109" t="str">
        <f t="shared" si="47"/>
        <v/>
      </c>
      <c r="CD430" s="108" t="str">
        <f t="shared" si="48"/>
        <v/>
      </c>
      <c r="CE430" s="108" t="str">
        <f t="shared" si="49"/>
        <v/>
      </c>
      <c r="CF430" s="109" t="str">
        <f t="shared" si="50"/>
        <v/>
      </c>
      <c r="CG430" s="110" t="str">
        <f t="shared" si="51"/>
        <v/>
      </c>
      <c r="CH430" s="111"/>
    </row>
    <row r="431" spans="1:86" ht="12.75">
      <c r="A431" s="101"/>
      <c r="B431" s="102" t="e">
        <f t="array" aca="1" ref="B431" ca="1">_xludf.XLOOKUP(A431,'QA Log'!D:D,'QA Log'!E:E,"")</f>
        <v>#NAME?</v>
      </c>
      <c r="C431" s="102" t="e">
        <f t="array" aca="1" ref="C431" ca="1">_xludf.XLOOKUP(A431,'QA Log'!D:D,'QA Log'!F:F,"")</f>
        <v>#NAME?</v>
      </c>
      <c r="D431" s="102" t="e">
        <f t="array" aca="1" ref="D431" ca="1">_xludf.XLOOKUP(A431,'QA Log'!D:D,'QA Log'!H:H,"")</f>
        <v>#NAME?</v>
      </c>
      <c r="E431" s="102" t="e">
        <f t="array" aca="1" ref="E431" ca="1">_xludf.XLOOKUP(A431,'QA Log'!D:D,'QA Log'!G:G,"")</f>
        <v>#NAME?</v>
      </c>
      <c r="F431" s="103"/>
      <c r="G431" s="104"/>
      <c r="H431" s="104"/>
      <c r="I431" s="103" t="str">
        <f t="shared" si="26"/>
        <v/>
      </c>
      <c r="J431" s="102" t="str">
        <f>IF(A431="","",SUM(
COUNTIFS('QA Log'!D:D,A431,'QA Log'!M:M,"QQC",'QA Log'!L:L,"*1. General Management*"),
COUNTIFS('QA Log'!D:D,A431,'QA Log'!M:M,"QQC",'QA Log'!L:L,"*3. Curative Consultation (OPD)*"),
COUNTIFS('QA Log'!D:D,A431,'QA Log'!M:M,"QQC",'QA Log'!L:L,"*5. Laboratory*"),
COUNTIFS('QA Log'!D:D,A431,'QA Log'!M:M,"QQC",'QA Log'!L:L,"*6. Essential Medicine Management*"),
COUNTIFS('QA Log'!D:D,A431,'QA Log'!M:M,"QQC",'QA Log'!L:L,"*7. Tracer Medicine*"),
COUNTIFS('QA Log'!D:D,A431,'QA Log'!M:M,"QQC",'QA Log'!L:L,"*11. Additional Questions*")))</f>
        <v/>
      </c>
      <c r="K431" s="102" t="str">
        <f>IF(A431="","",SUM(
COUNTIFS('QA Log'!D:D,A431,'QA Log'!M:M,"QQC",'QA Log'!Z:Z,"Approved",'QA Log'!L:L,"*1. General Management*"),
COUNTIFS('QA Log'!D:D,A431,'QA Log'!M:M,"QQC",'QA Log'!Z:Z,"Approved",'QA Log'!L:L,"*3. Curative Consultation (OPD)*"),
COUNTIFS('QA Log'!D:D,A431,'QA Log'!M:M,"QQC",'QA Log'!Z:Z,"Approved",'QA Log'!L:L,"*5. Laboratory*"),
COUNTIFS('QA Log'!D:D,A431,'QA Log'!M:M,"QQC",'QA Log'!Z:Z,"Approved",'QA Log'!L:L,"*6. Essential Medicine Management*"),
COUNTIFS('QA Log'!D:D,A431,'QA Log'!M:M,"QQC",'QA Log'!Z:Z,"Approved",'QA Log'!L:L,"*7. Tracer Medicine*"),
COUNTIFS('QA Log'!D:D,A431,'QA Log'!M:M,"QQC",'QA Log'!Z:Z,"Approved",'QA Log'!L:L,"*11. Additional Questions*")))</f>
        <v/>
      </c>
      <c r="L431" s="102" t="str">
        <f>IF(A431&lt;&gt;"",COUNTIFS('QA Log'!D:D,A431,'QA Log'!M:M,"QQC",'QA Log'!L:L,"1. General Management",'QA Log'!Z:Z,"Approved"),"")</f>
        <v/>
      </c>
      <c r="M431" s="102" t="str">
        <f>IF(A431&lt;&gt;"",COUNTIFS('QA Log'!D:D,A431,'QA Log'!M:M,"QQC",'QA Log'!L:L,"3. Curative Consultation (OPD)",'QA Log'!Z:Z,"Approved"),"")</f>
        <v/>
      </c>
      <c r="N431" s="102" t="str">
        <f>IF(A431&lt;&gt;"",COUNTIFS('QA Log'!D:D,A431,'QA Log'!M:M,"QQC",'QA Log'!L:L,"5. Laboratory",'QA Log'!Z:Z,"Approved"),"")</f>
        <v/>
      </c>
      <c r="O431" s="102" t="str">
        <f>IF(A431&lt;&gt;"",COUNTIFS('QA Log'!D:D,A431,'QA Log'!M:M,"QQC",'QA Log'!L:L,"6. Essential Medicine Management",'QA Log'!Z:Z,"Approved"),"")</f>
        <v/>
      </c>
      <c r="P431" s="102" t="str">
        <f>IF(A431&lt;&gt;"",COUNTIFS('QA Log'!D:D,A431,'QA Log'!M:M,"QQC",'QA Log'!L:L,"7. Tracer Medicine",'QA Log'!Z:Z,"Approved"),"")</f>
        <v/>
      </c>
      <c r="Q431" s="102" t="str">
        <f>IF(A431&lt;&gt;"",COUNTIFS('QA Log'!D:D,A431,'QA Log'!M:M,"QQC",'QA Log'!L:L,"11. Additional Questions",'QA Log'!Z:Z,"Approved"),"")</f>
        <v/>
      </c>
      <c r="R431" s="102" t="str">
        <f>IF(A431="","",SUM(
COUNTIFS('QA Log'!D:D,A431,'QA Log'!M:M,"QQC",'QA Log'!Z:Z,"Rejected",'QA Log'!L:L,"*8. Maternity*"),
COUNTIFS('QA Log'!D:D,A431,'QA Log'!M:M,"QQC",'QA Log'!Z:Z,"Rejected",'QA Log'!L:L,"*EPI*"),
COUNTIFS('QA Log'!D:D,A431,'QA Log'!M:M,"QQC",'QA Log'!Z:Z,"Rejected",'QA Log'!L:L,"*10. Antenatal Care (ANC)*"),
COUNTIFS('QA Log'!D:D,A431,'QA Log'!M:M,"QQC",'QA Log'!Z:Z,"Rejected",'QA Log'!L:L,"*2. Hygiene and Sterilization*"),
COUNTIFS('QA Log'!D:D,A431,'QA Log'!M:M,"QQC",'QA Log'!Z:Z,"Rejected",'QA Log'!L:L,"*Family Planning*")))</f>
        <v/>
      </c>
      <c r="S431" s="106" t="str">
        <f t="shared" si="27"/>
        <v/>
      </c>
      <c r="T431" s="102" t="str">
        <f t="shared" si="28"/>
        <v/>
      </c>
      <c r="U431" s="102" t="str">
        <f>IF(A431="","",
SUM(
COUNTIFS('QA Log'!D:D,A431,'QA Log'!M:M,"QQC",'QA Log'!L:L,"*8. Maternity*"),
COUNTIFS('QA Log'!D:D,A431,'QA Log'!M:M,"QQC",'QA Log'!L:L,"*9. EPI and Pre-school Consultation*"),
COUNTIFS('QA Log'!D:D,A431,'QA Log'!M:M,"QQC",'QA Log'!L:L,"*10. Antenatal Care (ANC)*"),
COUNTIFS('QA Log'!D:D,A431,'QA Log'!M:M,"QQC",'QA Log'!L:L,"*2. Hygiene and Sterilization*"),
COUNTIFS('QA Log'!D:D,A431,'QA Log'!M:M,"QQC",'QA Log'!L:L,"*4. Family Planning*")
))</f>
        <v/>
      </c>
      <c r="V431" s="102" t="str">
        <f>IF(A431="","",
SUM(
COUNTIFS('QA Log'!D:D,A431,'QA Log'!M:M,"QQC",'QA Log'!Z:Z,"Approved",'QA Log'!L:L,"*8. Maternity*"),
COUNTIFS('QA Log'!D:D,A431,'QA Log'!M:M,"QQC",'QA Log'!Z:Z,"Approved",'QA Log'!L:L,"*9. EPI and Pre-school Consultation*"),
COUNTIFS('QA Log'!D:D,A431,'QA Log'!M:M,"QQC",'QA Log'!Z:Z,"Approved",'QA Log'!L:L,"*10. Antenatal Care (ANC)*"),
COUNTIFS('QA Log'!D:D,A431,'QA Log'!M:M,"QQC",'QA Log'!Z:Z,"Approved",'QA Log'!L:L,"*2. Hygiene and Sterilization*"),
COUNTIFS('QA Log'!D:D,A431,'QA Log'!M:M,"QQC",'QA Log'!Z:Z,"Approved",'QA Log'!L:L,"*4. Family Planning*")
))</f>
        <v/>
      </c>
      <c r="W431" s="102" t="str">
        <f>IF(A431&lt;&gt;"",COUNTIFS('QA Log'!D:D,A431,'QA Log'!M:M,"QQC",'QA Log'!L:L,"8. Maternity",'QA Log'!Z:Z,"Approved"),"")</f>
        <v/>
      </c>
      <c r="X431" s="105" t="str">
        <f>IF(A431&lt;&gt;"",COUNTIFS('QA Log'!D:D,A431,'QA Log'!M:M,"QQC",'QA Log'!L:L,"9. EPI and Pre-school Consultation",'QA Log'!Z:Z,"Approved"),"")</f>
        <v/>
      </c>
      <c r="Y431" s="102" t="str">
        <f>IF(A431&lt;&gt;"",COUNTIFS('QA Log'!D:D,A431,'QA Log'!M:M,"QQC",'QA Log'!L:L,"10. Antenatal Care (ANC)",'QA Log'!Z:Z,"Approved"),"")</f>
        <v/>
      </c>
      <c r="Z431" s="102" t="str">
        <f>IF(A431&lt;&gt;"",COUNTIFS('QA Log'!D:D,A431,'QA Log'!M:M,"QQC",'QA Log'!L:L,"2. Hygiene and Sterilization",'QA Log'!Z:Z,"Approved"),"")</f>
        <v/>
      </c>
      <c r="AA431" s="105" t="str">
        <f>IF(A431&lt;&gt;"",COUNTIFS('QA Log'!D:D,A431,'QA Log'!M:M,"QQC",'QA Log'!L:L,"4. Family Planning",'QA Log'!Z:Z,"Approved"),"")</f>
        <v/>
      </c>
      <c r="AB431" s="102" t="str">
        <f>IF(A431="","",
SUM(
COUNTIFS('QA Log'!D:D,A431,'QA Log'!M:M,"QQC",'QA Log'!Z:Z,"Rejected",'QA Log'!L:L,"*8. Maternity*"),
COUNTIFS('QA Log'!D:D,A431,'QA Log'!M:M,"QQC",'QA Log'!Z:Z,"Rejected",'QA Log'!L:L,"*9. EPI and Pre-school Consultation*"),
COUNTIFS('QA Log'!D:D,A431,'QA Log'!M:M,"QQC",'QA Log'!Z:Z,"Rejected",'QA Log'!L:L,"*10. Antenatal Care (ANC)*"),
COUNTIFS('QA Log'!D:D,A431,'QA Log'!M:M,"QQC",'QA Log'!Z:Z,"Rejected",'QA Log'!L:L,"*2. Hygiene and Sterilization*"),
COUNTIFS('QA Log'!D:D,A431,'QA Log'!M:M,"QQC",'QA Log'!Z:Z,"Rejected",'QA Log'!L:L,"*4. Family Planning*")
))</f>
        <v/>
      </c>
      <c r="AC431" s="102" t="str">
        <f t="shared" si="29"/>
        <v/>
      </c>
      <c r="AD431" s="103" t="str">
        <f t="shared" si="30"/>
        <v/>
      </c>
      <c r="AE431" s="102" t="str">
        <f>IF(A431="","",
SUM(
COUNTIFS('QA Log'!D:D,A431,'QA Log'!M:M,"Data Verification",'QA Log'!L:L,"*Medicine (section 2)*"),
COUNTIFS('QA Log'!D:D,A431,'QA Log'!M:M,"Data Verification",'QA Log'!L:L,"*Lab Testing Availability*"),
COUNTIFS('QA Log'!D:D,A431,'QA Log'!M:M,"Data Verification",'QA Log'!L:L,"*Other than P4P (section 6)*"),
COUNTIFS('QA Log'!D:D,A431,'QA Log'!M:M,"Data Verification",'QA Log'!L:L,"*Hospital Governance*")
))</f>
        <v/>
      </c>
      <c r="AF431" s="102" t="str">
        <f>IF(A431="","",
SUM(
COUNTIFS('QA Log'!D:D,A431,'QA Log'!M:M,"Data Verification",'QA Log'!Z:Z,"Approved",'QA Log'!L:L,"*Medicine (section 2)*"),
COUNTIFS('QA Log'!D:D,A431,'QA Log'!M:M,"Data Verification",'QA Log'!Z:Z,"Approved",'QA Log'!L:L,"*Lab Testing Availability*"),
COUNTIFS('QA Log'!D:D,A431,'QA Log'!M:M,"Data Verification",'QA Log'!Z:Z,"Approved",'QA Log'!L:L,"*Other than P4P (section 6)*"),
COUNTIFS('QA Log'!D:D,A431,'QA Log'!M:M,"Data Verification",'QA Log'!Z:Z,"Approved",'QA Log'!L:L,"*Hospital Governance*")
))</f>
        <v/>
      </c>
      <c r="AG431" s="105" t="str">
        <f>IF(A431&lt;&gt;"",COUNTIFS('QA Log'!D:D,A431,'QA Log'!M:M,"Data Verification",'QA Log'!L:L,"Medicine (section 2)",'QA Log'!Z:Z,"Approved"),"")</f>
        <v/>
      </c>
      <c r="AH431" s="105" t="str">
        <f>IF(A431&lt;&gt;"",COUNTIFS('QA Log'!D:D,A431,'QA Log'!M:M,"Data Verification",'QA Log'!L:L,"Lab Testing Availability",'QA Log'!Z:Z,"Approved"),"")</f>
        <v/>
      </c>
      <c r="AI431" s="105" t="str">
        <f>IF(A431&lt;&gt;"",COUNTIFS('QA Log'!D:D,A431,'QA Log'!M:M,"Data Verification",'QA Log'!L:L,"Other than P4P (section 6)",'QA Log'!Z:Z,"Approved"),"")</f>
        <v/>
      </c>
      <c r="AJ431" s="105" t="str">
        <f>IF(A431&lt;&gt;"",COUNTIFS('QA Log'!D:D,A431,'QA Log'!M:M,"Data Verification",'QA Log'!L:L,"Hospital Governance",'QA Log'!Z:Z,"Approved"),"")</f>
        <v/>
      </c>
      <c r="AK431" s="102" t="str">
        <f>IF(A431="","",
SUM(
COUNTIFS('QA Log'!D:D,A431,'QA Log'!M:M,"Data Verification",'QA Log'!Z:Z,"Rejected",'QA Log'!L:L,"*Medicine (section 2)*"),
COUNTIFS('QA Log'!D:D,A431,'QA Log'!M:M,"Data Verification",'QA Log'!Z:Z,"Rejected",'QA Log'!L:L,"*Lab Testing Availability*"),
COUNTIFS('QA Log'!D:D,A431,'QA Log'!M:M,"Data Verification",'QA Log'!Z:Z,"Rejected",'QA Log'!L:L,"*Other than P4P (section 6)*"),
COUNTIFS('QA Log'!D:D,A431,'QA Log'!M:M,"Data Verification",'QA Log'!Z:Z,"Rejected",'QA Log'!L:L,"*Hospital Governance*")
))</f>
        <v/>
      </c>
      <c r="AL431" s="106" t="str">
        <f t="shared" si="31"/>
        <v/>
      </c>
      <c r="AM431" s="102" t="str">
        <f t="shared" si="32"/>
        <v/>
      </c>
      <c r="AN431" s="102" t="str">
        <f>IF(A431="","",
SUM(
COUNTIFS('QA Log'!D:D,A431,'QA Log'!M:M,"Data Verification",'QA Log'!L:L,"*Personnel (section 1)*"),
COUNTIFS('QA Log'!D:D,A431,'QA Log'!M:M,"Data Verification",'QA Log'!L:L,"*Consumable (section 3)*"),
COUNTIFS('QA Log'!D:D,A431,'QA Log'!M:M,"Data Verification",'QA Log'!L:L,"*Equipments (section 4)*")
))</f>
        <v/>
      </c>
      <c r="AO431" s="102" t="str">
        <f>IF(A431="","",
SUM(
COUNTIFS('QA Log'!D:D,A431,'QA Log'!M:M,"Data Verification",'QA Log'!Z:Z,"Approved",'QA Log'!L:L,"*Personnel (section 1)*"),
COUNTIFS('QA Log'!D:D,A431,'QA Log'!M:M,"Data Verification",'QA Log'!Z:Z,"Approved",'QA Log'!L:L,"*Consumable (section 3)*"),
COUNTIFS('QA Log'!D:D,A431,'QA Log'!M:M,"Data Verification",'QA Log'!Z:Z,"Approved",'QA Log'!L:L,"*Equipments (section 4)*")
))</f>
        <v/>
      </c>
      <c r="AP431" s="105" t="str">
        <f>IF(A431&lt;&gt;"",COUNTIFS('QA Log'!D:D,A431,'QA Log'!M:M,"Data Verification",'QA Log'!L:L,"Personnel (section 1)",'QA Log'!Z:Z,"Approved"),"")</f>
        <v/>
      </c>
      <c r="AQ431" s="105" t="str">
        <f>IF(A431&lt;&gt;"",COUNTIFS('QA Log'!D:D,A431,'QA Log'!M:M,"Data Verification",'QA Log'!L:L,"Consumable (section 3)",'QA Log'!Z:Z,"Approved"),"")</f>
        <v/>
      </c>
      <c r="AR431" s="105" t="str">
        <f>IF(A431&lt;&gt;"",COUNTIFS('QA Log'!D:D,A431,'QA Log'!M:M,"Data Verification",'QA Log'!L:L,"Equipments (section 4)",'QA Log'!Z:Z,"Approved"),"")</f>
        <v/>
      </c>
      <c r="AS431" s="102" t="str">
        <f>IF(A431="","",
SUM(
COUNTIFS('QA Log'!D:D,A431,'QA Log'!M:M,"Data Verification",'QA Log'!Z:Z,"Rejected",'QA Log'!L:L,"*Personnel (section 1)*"),
COUNTIFS('QA Log'!D:D,A431,'QA Log'!M:M,"Data Verification",'QA Log'!Z:Z,"Rejected",'QA Log'!L:L,"*Consumable (section 3)*"),
COUNTIFS('QA Log'!D:D,A431,'QA Log'!M:M,"Data Verification",'QA Log'!Z:Z,"Rejected",'QA Log'!L:L,"*Equipments (section 4)*")
))</f>
        <v/>
      </c>
      <c r="AT431" s="102" t="str">
        <f t="shared" si="33"/>
        <v/>
      </c>
      <c r="AU431" s="103" t="str">
        <f t="shared" si="34"/>
        <v/>
      </c>
      <c r="AV431" s="102" t="str">
        <f>IF(A431="","",SUM(
COUNTIFS('QA Log'!D:D,A431,'QA Log'!M:M,"Vignette",'QA Log'!L:L,"*Vignette [1] Respiratory Infection: Pneumonia*"),
COUNTIFS('QA Log'!D:D,A431,'QA Log'!M:M,"Vignette",'QA Log'!L:L,"*Vignette [2]: Diarrhea with Cat B dehydration*"),
COUNTIFS('QA Log'!D:D,A431,'QA Log'!M:M,"Vignette",'QA Log'!L:L,"*Vignette [3] Growth Monitoring and Promotion*"),
COUNTIFS('QA Log'!D:D,A431,'QA Log'!M:M,"Vignette",'QA Log'!L:L,"*Vignette [4]: The management of presumptive TB patient*")
)
)</f>
        <v/>
      </c>
      <c r="AW431" s="102" t="str">
        <f>IF(
  A431="","",
  SUM(
    COUNTIFS('QA Log'!D:D,A431,'QA Log'!M:M,"Vignette",'QA Log'!Z:Z,"Approved",'QA Log'!L:L,"*Vignette [1] Respiratory Infection: Pneumonia*"),
    COUNTIFS('QA Log'!D:D,A431,'QA Log'!M:M,"Vignette",'QA Log'!Z:Z,"Approved",'QA Log'!L:L,"*Vignette [2]: Diarrhea with Cat B dehydration*"),
    COUNTIFS('QA Log'!D:D,A431,'QA Log'!M:M,"Vignette",'QA Log'!Z:Z,"Approved",'QA Log'!L:L,"*Vignette [3] Growth Monitoring and Promotion*"),
    COUNTIFS('QA Log'!D:D,A431,'QA Log'!M:M,"Vignette",'QA Log'!Z:Z,"Approved",'QA Log'!L:L,"*Vignette [4]: The management of presumptive TB patient*")
  )
)</f>
        <v/>
      </c>
      <c r="AX431" s="105" t="str">
        <f>IF(A431&lt;&gt;"",COUNTIFS('QA Log'!D:D,A431,'QA Log'!M:M,"Vignette",'QA Log'!L:L,"Vignette [1] Respiratory Infection: Pneumonia",'QA Log'!Z:Z,"Approved"),"")</f>
        <v/>
      </c>
      <c r="AY431" s="105" t="str">
        <f>IF(A431&lt;&gt;"",COUNTIFS('QA Log'!D:D,A431,'QA Log'!M:M,"Vignette",'QA Log'!L:L,"Vignette [2]: Diarrhea with Cat B dehydration",'QA Log'!Z:Z,"Approved"),"")</f>
        <v/>
      </c>
      <c r="AZ431" s="105" t="str">
        <f>IF(A431&lt;&gt;"",COUNTIFS('QA Log'!D:D,A431,'QA Log'!M:M,"Vignette",'QA Log'!L:L,"Vignette [3] Growth Monitoring and Promotion",'QA Log'!Z:Z,"Approved"),"")</f>
        <v/>
      </c>
      <c r="BA431" s="105" t="str">
        <f>IF(A431&lt;&gt;"",COUNTIFS('QA Log'!D:D,A431,'QA Log'!M:M,"Vignette",'QA Log'!L:L,"Vignette [4]: The management of presumptive TB patient",'QA Log'!Z:Z,"Approved"),"")</f>
        <v/>
      </c>
      <c r="BB431" s="102" t="str">
        <f>IF(A431="","",
  SUM(
    COUNTIFS('QA Log'!D:D,A431,'QA Log'!M:M,"Vignette",'QA Log'!Z:Z,"Rejected",'QA Log'!L:L,"*Vignette [1] Respiratory Infection: Pneumonia*"),
    COUNTIFS('QA Log'!D:D,A431,'QA Log'!M:M,"Vignette",'QA Log'!Z:Z,"Rejected",'QA Log'!L:L,"*Vignette [2]: Diarrhea with Cat B dehydration*"),
    COUNTIFS('QA Log'!D:D,A431,'QA Log'!M:M,"Vignette",'QA Log'!Z:Z,"Rejected",'QA Log'!L:L,"*Vignette [3] Growth Monitoring and Promotion*"),
    COUNTIFS('QA Log'!D:D,A431,'QA Log'!M:M,"Vignette",'QA Log'!Z:Z,"Rejected",'QA Log'!L:L,"*Vignette [4]: The management of presumptive TB patient*")
  )
)</f>
        <v/>
      </c>
      <c r="BC431" s="107" t="str">
        <f t="shared" si="35"/>
        <v/>
      </c>
      <c r="BD431" s="103" t="str">
        <f t="shared" si="36"/>
        <v/>
      </c>
      <c r="BE431" s="102" t="str">
        <f>IF(A431="","",SUM(
COUNTIFS('QA Log'!D:D,A431,'QA Log'!M:M,"Vignette",'QA Log'!L:L,"*Vignette [5] Labor*"),
COUNTIFS('QA Log'!D:D,A431,'QA Log'!M:M,"Vignette",'QA Log'!L:L,"*Vignette [6] PNC pre Discharge*"),
COUNTIFS('QA Log'!D:D,A431,'QA Log'!M:M,"Vignette",'QA Log'!L:L,"*Vignette [7] First ANC Visit*"),
COUNTIFS('QA Log'!D:D,A431,'QA Log'!M:M,"Vignette",'QA Log'!L:L,"*Vignette [8] Birth Spacing/ Family Planning :  FP Counselling*"),
COUNTIFS('QA Log'!D:D,A431,'QA Log'!M:M,"Vignette",'QA Log'!L:L,"*Vignette [9] Birth Spacing: Change FP method to Injectable*"),
COUNTIFS('QA Log'!D:D,A431,'QA Log'!M:M,"Vignette",'QA Log'!L:L,"*Vignette [10] Post Partum Haemorrhage - Atonic Uterus at Health Centre*"),
)
)</f>
        <v/>
      </c>
      <c r="BF431" s="102" t="str">
        <f>IF(A431="","",
  SUM(
    COUNTIFS('QA Log'!D:D,A431,'QA Log'!M:M,"Vignette",'QA Log'!Z:Z,"Approved",'QA Log'!L:L,"*Vignette [5] Labor*"),
    COUNTIFS('QA Log'!D:D,A431,'QA Log'!M:M,"Vignette",'QA Log'!Z:Z,"Approved",'QA Log'!L:L,"*Vignette [6] PNC pre Discharge*"),
    COUNTIFS('QA Log'!D:D,A431,'QA Log'!M:M,"Vignette",'QA Log'!Z:Z,"Approved",'QA Log'!L:L,"*Vignette [7] First ANC Visit*"),
    COUNTIFS('QA Log'!D:D,A431,'QA Log'!M:M,"Vignette",'QA Log'!Z:Z,"Approved",'QA Log'!L:L,"*Vignette [8] Birth Spacing/ Family Planning :  FP Counselling*"),
    COUNTIFS('QA Log'!D:D,A431,'QA Log'!M:M,"Vignette",'QA Log'!Z:Z,"Approved",'QA Log'!L:L,"*Vignette [9] Birth Spacing: Change FP method to Injectable*"),
    COUNTIFS('QA Log'!D:D,A431,'QA Log'!M:M,"Vignette",'QA Log'!Z:Z,"Approved",'QA Log'!L:L,"*Vignette [10] Post Partum Haemorrhage - Atonic Uterus at Health Centre*")
  )
)</f>
        <v/>
      </c>
      <c r="BG431" s="105" t="str">
        <f>IF(A431&lt;&gt;"",COUNTIFS('QA Log'!D:D,A431,'QA Log'!M:M,"Vignette",'QA Log'!L:L,"Vignette [5] Labor",'QA Log'!Z:Z,"Approved"),"")</f>
        <v/>
      </c>
      <c r="BH431" s="105" t="str">
        <f>IF(A431&lt;&gt;"",COUNTIFS('QA Log'!D:D,A431,'QA Log'!M:M,"Vignette",'QA Log'!L:L,"Vignette [6] PNC pre Discharge",'QA Log'!Z:Z,"Approved"),"")</f>
        <v/>
      </c>
      <c r="BI431" s="105" t="str">
        <f>IF(A431&lt;&gt;"",COUNTIFS('QA Log'!D:D,A431,'QA Log'!M:M,"Vignette",'QA Log'!L:L,"Vignette [7] First ANC Visit",'QA Log'!Z:Z,"Approved"),"")</f>
        <v/>
      </c>
      <c r="BJ431" s="105" t="str">
        <f>IF(A431&lt;&gt;"",COUNTIFS('QA Log'!D:D,A431,'QA Log'!M:M,"Vignette",'QA Log'!L:L,"Vignette [8] Birth Spacing/ Family Planning :  FP Counselling",'QA Log'!Z:Z,"Approved"),"")</f>
        <v/>
      </c>
      <c r="BK431" s="105" t="str">
        <f>IF(A431&lt;&gt;"",COUNTIFS('QA Log'!D:D,A431,'QA Log'!M:M,"Vignette",'QA Log'!L:L,"Vignette [9] Birth Spacing: Change FP method to Injectable",'QA Log'!Z:Z,"Approved"),"")</f>
        <v/>
      </c>
      <c r="BL431" s="105" t="str">
        <f>IF(A431&lt;&gt;"",COUNTIFS('QA Log'!D:D,A431,'QA Log'!M:M,"Vignette",'QA Log'!L:L,"Vignette [10] Post Partum Haemorrhage - Atonic Uterus at Health Centre",'QA Log'!Z:Z,"Approved"),"")</f>
        <v/>
      </c>
      <c r="BM431" s="102" t="str">
        <f>IF(A431="","",SUM(
    COUNTIFS('QA Log'!D:D,A431,'QA Log'!M:M,"Vignette",'QA Log'!Z:Z,"Rejected",'QA Log'!L:L,"*Vignette [5] Labor*"),
    COUNTIFS('QA Log'!D:D,A431,'QA Log'!M:M,"Vignette",'QA Log'!Z:Z,"Rejected",'QA Log'!L:L,"*Vignette [6] PNC pre Discharge*"),
    COUNTIFS('QA Log'!D:D,A431,'QA Log'!M:M,"Vignette",'QA Log'!Z:Z,"Rejected",'QA Log'!L:L,"*Vignette [7] First ANC Visit*"),
    COUNTIFS('QA Log'!D:D,A431,'QA Log'!M:M,"Vignette",'QA Log'!Z:Z,"Rejected",'QA Log'!L:L,"*Vignette [8] Birth Spacing/ Family Planning :  FP Counselling*"),
    COUNTIFS('QA Log'!D:D,A431,'QA Log'!M:M,"Vignette",'QA Log'!Z:Z,"Rejected",'QA Log'!L:L,"*Vignette [9] Birth Spacing: Change FP method to Injectable*"),
    COUNTIFS('QA Log'!D:D,A431,'QA Log'!M:M,"Vignette",'QA Log'!Z:Z,"Rejected",'QA Log'!L:L,"*Vignette [10] Post Partum Haemorrhage - Atonic Uterus at Health Centre*")
  )
)</f>
        <v/>
      </c>
      <c r="BN431" s="107" t="str">
        <f t="shared" si="37"/>
        <v/>
      </c>
      <c r="BO431" s="103" t="str">
        <f t="shared" si="38"/>
        <v/>
      </c>
      <c r="BP431" s="102" t="str">
        <f>IF(A431="","",SUM(
COUNTIFS('QA Log'!D:D,A431,'QA Log'!M:M,"Vignette",'QA Log'!L:L,"*Exit Interview 1*"),
COUNTIFS('QA Log'!D:D,A431,'QA Log'!M:M,"Vignette",'QA Log'!L:L,"*Exit Interview 2*"),
)
)</f>
        <v/>
      </c>
      <c r="BQ431" s="102" t="str">
        <f>IF(
  A431="","",
  SUM(
    COUNTIFS('QA Log'!D:D,A431,'QA Log'!M:M,"Vignette",'QA Log'!Z:Z,"Approved",'QA Log'!L:L,"*Exit Interview 1*"),
    COUNTIFS('QA Log'!D:D,A431,'QA Log'!M:M,"Vignette",'QA Log'!Z:Z,"Approved",'QA Log'!L:L,"*Exit Interview 2*")
  )
)</f>
        <v/>
      </c>
      <c r="BR431" s="105" t="str">
        <f>IF(A431&lt;&gt;"",COUNTIFS('QA Log'!D:D,A431,'QA Log'!M:M,"Vignette",'QA Log'!L:L,"Exit Interview 1",'QA Log'!Z:Z,"Approved"),"")</f>
        <v/>
      </c>
      <c r="BS431" s="105" t="str">
        <f>IF(A431&lt;&gt;"",COUNTIFS('QA Log'!D:D,A431,'QA Log'!M:M,"Vignette",'QA Log'!L:L,"Exit Interview 2",'QA Log'!Z:Z,"Approved"),"")</f>
        <v/>
      </c>
      <c r="BT431" s="102" t="str">
        <f>IF(
  A431="","",
  SUM(
    COUNTIFS('QA Log'!D:D,A431,'QA Log'!M:M,"Vignette",'QA Log'!Z:Z,"Rejected",'QA Log'!L:L,"*Exit Interview 1*"),
    COUNTIFS('QA Log'!D:D,A431,'QA Log'!M:M,"Vignette",'QA Log'!Z:Z,"Rejected",'QA Log'!L:L,"*Exit Interview 2*")
  )
)</f>
        <v/>
      </c>
      <c r="BU431" s="107" t="str">
        <f t="shared" si="39"/>
        <v/>
      </c>
      <c r="BV431" s="102" t="str">
        <f t="shared" si="40"/>
        <v/>
      </c>
      <c r="BW431" s="102" t="str">
        <f t="shared" si="41"/>
        <v/>
      </c>
      <c r="BX431" s="102" t="str">
        <f t="shared" si="42"/>
        <v/>
      </c>
      <c r="BY431" s="102" t="str">
        <f t="shared" si="43"/>
        <v/>
      </c>
      <c r="BZ431" s="107" t="str">
        <f t="shared" si="44"/>
        <v/>
      </c>
      <c r="CA431" s="108" t="str">
        <f t="shared" si="45"/>
        <v/>
      </c>
      <c r="CB431" s="108" t="str">
        <f t="shared" si="46"/>
        <v/>
      </c>
      <c r="CC431" s="109" t="str">
        <f t="shared" si="47"/>
        <v/>
      </c>
      <c r="CD431" s="108" t="str">
        <f t="shared" si="48"/>
        <v/>
      </c>
      <c r="CE431" s="108" t="str">
        <f t="shared" si="49"/>
        <v/>
      </c>
      <c r="CF431" s="109" t="str">
        <f t="shared" si="50"/>
        <v/>
      </c>
      <c r="CG431" s="110" t="str">
        <f t="shared" si="51"/>
        <v/>
      </c>
      <c r="CH431" s="111"/>
    </row>
    <row r="432" spans="1:86" ht="12.75">
      <c r="A432" s="101"/>
      <c r="B432" s="102" t="e">
        <f t="array" aca="1" ref="B432" ca="1">_xludf.XLOOKUP(A432,'QA Log'!D:D,'QA Log'!E:E,"")</f>
        <v>#NAME?</v>
      </c>
      <c r="C432" s="102" t="e">
        <f t="array" aca="1" ref="C432" ca="1">_xludf.XLOOKUP(A432,'QA Log'!D:D,'QA Log'!F:F,"")</f>
        <v>#NAME?</v>
      </c>
      <c r="D432" s="102" t="e">
        <f t="array" aca="1" ref="D432" ca="1">_xludf.XLOOKUP(A432,'QA Log'!D:D,'QA Log'!H:H,"")</f>
        <v>#NAME?</v>
      </c>
      <c r="E432" s="102" t="e">
        <f t="array" aca="1" ref="E432" ca="1">_xludf.XLOOKUP(A432,'QA Log'!D:D,'QA Log'!G:G,"")</f>
        <v>#NAME?</v>
      </c>
      <c r="F432" s="103"/>
      <c r="G432" s="104"/>
      <c r="H432" s="104"/>
      <c r="I432" s="103" t="str">
        <f t="shared" si="26"/>
        <v/>
      </c>
      <c r="J432" s="102" t="str">
        <f>IF(A432="","",SUM(
COUNTIFS('QA Log'!D:D,A432,'QA Log'!M:M,"QQC",'QA Log'!L:L,"*1. General Management*"),
COUNTIFS('QA Log'!D:D,A432,'QA Log'!M:M,"QQC",'QA Log'!L:L,"*3. Curative Consultation (OPD)*"),
COUNTIFS('QA Log'!D:D,A432,'QA Log'!M:M,"QQC",'QA Log'!L:L,"*5. Laboratory*"),
COUNTIFS('QA Log'!D:D,A432,'QA Log'!M:M,"QQC",'QA Log'!L:L,"*6. Essential Medicine Management*"),
COUNTIFS('QA Log'!D:D,A432,'QA Log'!M:M,"QQC",'QA Log'!L:L,"*7. Tracer Medicine*"),
COUNTIFS('QA Log'!D:D,A432,'QA Log'!M:M,"QQC",'QA Log'!L:L,"*11. Additional Questions*")))</f>
        <v/>
      </c>
      <c r="K432" s="102" t="str">
        <f>IF(A432="","",SUM(
COUNTIFS('QA Log'!D:D,A432,'QA Log'!M:M,"QQC",'QA Log'!Z:Z,"Approved",'QA Log'!L:L,"*1. General Management*"),
COUNTIFS('QA Log'!D:D,A432,'QA Log'!M:M,"QQC",'QA Log'!Z:Z,"Approved",'QA Log'!L:L,"*3. Curative Consultation (OPD)*"),
COUNTIFS('QA Log'!D:D,A432,'QA Log'!M:M,"QQC",'QA Log'!Z:Z,"Approved",'QA Log'!L:L,"*5. Laboratory*"),
COUNTIFS('QA Log'!D:D,A432,'QA Log'!M:M,"QQC",'QA Log'!Z:Z,"Approved",'QA Log'!L:L,"*6. Essential Medicine Management*"),
COUNTIFS('QA Log'!D:D,A432,'QA Log'!M:M,"QQC",'QA Log'!Z:Z,"Approved",'QA Log'!L:L,"*7. Tracer Medicine*"),
COUNTIFS('QA Log'!D:D,A432,'QA Log'!M:M,"QQC",'QA Log'!Z:Z,"Approved",'QA Log'!L:L,"*11. Additional Questions*")))</f>
        <v/>
      </c>
      <c r="L432" s="102" t="str">
        <f>IF(A432&lt;&gt;"",COUNTIFS('QA Log'!D:D,A432,'QA Log'!M:M,"QQC",'QA Log'!L:L,"1. General Management",'QA Log'!Z:Z,"Approved"),"")</f>
        <v/>
      </c>
      <c r="M432" s="102" t="str">
        <f>IF(A432&lt;&gt;"",COUNTIFS('QA Log'!D:D,A432,'QA Log'!M:M,"QQC",'QA Log'!L:L,"3. Curative Consultation (OPD)",'QA Log'!Z:Z,"Approved"),"")</f>
        <v/>
      </c>
      <c r="N432" s="102" t="str">
        <f>IF(A432&lt;&gt;"",COUNTIFS('QA Log'!D:D,A432,'QA Log'!M:M,"QQC",'QA Log'!L:L,"5. Laboratory",'QA Log'!Z:Z,"Approved"),"")</f>
        <v/>
      </c>
      <c r="O432" s="102" t="str">
        <f>IF(A432&lt;&gt;"",COUNTIFS('QA Log'!D:D,A432,'QA Log'!M:M,"QQC",'QA Log'!L:L,"6. Essential Medicine Management",'QA Log'!Z:Z,"Approved"),"")</f>
        <v/>
      </c>
      <c r="P432" s="102" t="str">
        <f>IF(A432&lt;&gt;"",COUNTIFS('QA Log'!D:D,A432,'QA Log'!M:M,"QQC",'QA Log'!L:L,"7. Tracer Medicine",'QA Log'!Z:Z,"Approved"),"")</f>
        <v/>
      </c>
      <c r="Q432" s="102" t="str">
        <f>IF(A432&lt;&gt;"",COUNTIFS('QA Log'!D:D,A432,'QA Log'!M:M,"QQC",'QA Log'!L:L,"11. Additional Questions",'QA Log'!Z:Z,"Approved"),"")</f>
        <v/>
      </c>
      <c r="R432" s="102" t="str">
        <f>IF(A432="","",SUM(
COUNTIFS('QA Log'!D:D,A432,'QA Log'!M:M,"QQC",'QA Log'!Z:Z,"Rejected",'QA Log'!L:L,"*8. Maternity*"),
COUNTIFS('QA Log'!D:D,A432,'QA Log'!M:M,"QQC",'QA Log'!Z:Z,"Rejected",'QA Log'!L:L,"*EPI*"),
COUNTIFS('QA Log'!D:D,A432,'QA Log'!M:M,"QQC",'QA Log'!Z:Z,"Rejected",'QA Log'!L:L,"*10. Antenatal Care (ANC)*"),
COUNTIFS('QA Log'!D:D,A432,'QA Log'!M:M,"QQC",'QA Log'!Z:Z,"Rejected",'QA Log'!L:L,"*2. Hygiene and Sterilization*"),
COUNTIFS('QA Log'!D:D,A432,'QA Log'!M:M,"QQC",'QA Log'!Z:Z,"Rejected",'QA Log'!L:L,"*Family Planning*")))</f>
        <v/>
      </c>
      <c r="S432" s="106" t="str">
        <f t="shared" si="27"/>
        <v/>
      </c>
      <c r="T432" s="102" t="str">
        <f t="shared" si="28"/>
        <v/>
      </c>
      <c r="U432" s="102" t="str">
        <f>IF(A432="","",
SUM(
COUNTIFS('QA Log'!D:D,A432,'QA Log'!M:M,"QQC",'QA Log'!L:L,"*8. Maternity*"),
COUNTIFS('QA Log'!D:D,A432,'QA Log'!M:M,"QQC",'QA Log'!L:L,"*9. EPI and Pre-school Consultation*"),
COUNTIFS('QA Log'!D:D,A432,'QA Log'!M:M,"QQC",'QA Log'!L:L,"*10. Antenatal Care (ANC)*"),
COUNTIFS('QA Log'!D:D,A432,'QA Log'!M:M,"QQC",'QA Log'!L:L,"*2. Hygiene and Sterilization*"),
COUNTIFS('QA Log'!D:D,A432,'QA Log'!M:M,"QQC",'QA Log'!L:L,"*4. Family Planning*")
))</f>
        <v/>
      </c>
      <c r="V432" s="102" t="str">
        <f>IF(A432="","",
SUM(
COUNTIFS('QA Log'!D:D,A432,'QA Log'!M:M,"QQC",'QA Log'!Z:Z,"Approved",'QA Log'!L:L,"*8. Maternity*"),
COUNTIFS('QA Log'!D:D,A432,'QA Log'!M:M,"QQC",'QA Log'!Z:Z,"Approved",'QA Log'!L:L,"*9. EPI and Pre-school Consultation*"),
COUNTIFS('QA Log'!D:D,A432,'QA Log'!M:M,"QQC",'QA Log'!Z:Z,"Approved",'QA Log'!L:L,"*10. Antenatal Care (ANC)*"),
COUNTIFS('QA Log'!D:D,A432,'QA Log'!M:M,"QQC",'QA Log'!Z:Z,"Approved",'QA Log'!L:L,"*2. Hygiene and Sterilization*"),
COUNTIFS('QA Log'!D:D,A432,'QA Log'!M:M,"QQC",'QA Log'!Z:Z,"Approved",'QA Log'!L:L,"*4. Family Planning*")
))</f>
        <v/>
      </c>
      <c r="W432" s="102" t="str">
        <f>IF(A432&lt;&gt;"",COUNTIFS('QA Log'!D:D,A432,'QA Log'!M:M,"QQC",'QA Log'!L:L,"8. Maternity",'QA Log'!Z:Z,"Approved"),"")</f>
        <v/>
      </c>
      <c r="X432" s="105" t="str">
        <f>IF(A432&lt;&gt;"",COUNTIFS('QA Log'!D:D,A432,'QA Log'!M:M,"QQC",'QA Log'!L:L,"9. EPI and Pre-school Consultation",'QA Log'!Z:Z,"Approved"),"")</f>
        <v/>
      </c>
      <c r="Y432" s="102" t="str">
        <f>IF(A432&lt;&gt;"",COUNTIFS('QA Log'!D:D,A432,'QA Log'!M:M,"QQC",'QA Log'!L:L,"10. Antenatal Care (ANC)",'QA Log'!Z:Z,"Approved"),"")</f>
        <v/>
      </c>
      <c r="Z432" s="102" t="str">
        <f>IF(A432&lt;&gt;"",COUNTIFS('QA Log'!D:D,A432,'QA Log'!M:M,"QQC",'QA Log'!L:L,"2. Hygiene and Sterilization",'QA Log'!Z:Z,"Approved"),"")</f>
        <v/>
      </c>
      <c r="AA432" s="105" t="str">
        <f>IF(A432&lt;&gt;"",COUNTIFS('QA Log'!D:D,A432,'QA Log'!M:M,"QQC",'QA Log'!L:L,"4. Family Planning",'QA Log'!Z:Z,"Approved"),"")</f>
        <v/>
      </c>
      <c r="AB432" s="102" t="str">
        <f>IF(A432="","",
SUM(
COUNTIFS('QA Log'!D:D,A432,'QA Log'!M:M,"QQC",'QA Log'!Z:Z,"Rejected",'QA Log'!L:L,"*8. Maternity*"),
COUNTIFS('QA Log'!D:D,A432,'QA Log'!M:M,"QQC",'QA Log'!Z:Z,"Rejected",'QA Log'!L:L,"*9. EPI and Pre-school Consultation*"),
COUNTIFS('QA Log'!D:D,A432,'QA Log'!M:M,"QQC",'QA Log'!Z:Z,"Rejected",'QA Log'!L:L,"*10. Antenatal Care (ANC)*"),
COUNTIFS('QA Log'!D:D,A432,'QA Log'!M:M,"QQC",'QA Log'!Z:Z,"Rejected",'QA Log'!L:L,"*2. Hygiene and Sterilization*"),
COUNTIFS('QA Log'!D:D,A432,'QA Log'!M:M,"QQC",'QA Log'!Z:Z,"Rejected",'QA Log'!L:L,"*4. Family Planning*")
))</f>
        <v/>
      </c>
      <c r="AC432" s="102" t="str">
        <f t="shared" si="29"/>
        <v/>
      </c>
      <c r="AD432" s="103" t="str">
        <f t="shared" si="30"/>
        <v/>
      </c>
      <c r="AE432" s="102" t="str">
        <f>IF(A432="","",
SUM(
COUNTIFS('QA Log'!D:D,A432,'QA Log'!M:M,"Data Verification",'QA Log'!L:L,"*Medicine (section 2)*"),
COUNTIFS('QA Log'!D:D,A432,'QA Log'!M:M,"Data Verification",'QA Log'!L:L,"*Lab Testing Availability*"),
COUNTIFS('QA Log'!D:D,A432,'QA Log'!M:M,"Data Verification",'QA Log'!L:L,"*Other than P4P (section 6)*"),
COUNTIFS('QA Log'!D:D,A432,'QA Log'!M:M,"Data Verification",'QA Log'!L:L,"*Hospital Governance*")
))</f>
        <v/>
      </c>
      <c r="AF432" s="102" t="str">
        <f>IF(A432="","",
SUM(
COUNTIFS('QA Log'!D:D,A432,'QA Log'!M:M,"Data Verification",'QA Log'!Z:Z,"Approved",'QA Log'!L:L,"*Medicine (section 2)*"),
COUNTIFS('QA Log'!D:D,A432,'QA Log'!M:M,"Data Verification",'QA Log'!Z:Z,"Approved",'QA Log'!L:L,"*Lab Testing Availability*"),
COUNTIFS('QA Log'!D:D,A432,'QA Log'!M:M,"Data Verification",'QA Log'!Z:Z,"Approved",'QA Log'!L:L,"*Other than P4P (section 6)*"),
COUNTIFS('QA Log'!D:D,A432,'QA Log'!M:M,"Data Verification",'QA Log'!Z:Z,"Approved",'QA Log'!L:L,"*Hospital Governance*")
))</f>
        <v/>
      </c>
      <c r="AG432" s="105" t="str">
        <f>IF(A432&lt;&gt;"",COUNTIFS('QA Log'!D:D,A432,'QA Log'!M:M,"Data Verification",'QA Log'!L:L,"Medicine (section 2)",'QA Log'!Z:Z,"Approved"),"")</f>
        <v/>
      </c>
      <c r="AH432" s="105" t="str">
        <f>IF(A432&lt;&gt;"",COUNTIFS('QA Log'!D:D,A432,'QA Log'!M:M,"Data Verification",'QA Log'!L:L,"Lab Testing Availability",'QA Log'!Z:Z,"Approved"),"")</f>
        <v/>
      </c>
      <c r="AI432" s="105" t="str">
        <f>IF(A432&lt;&gt;"",COUNTIFS('QA Log'!D:D,A432,'QA Log'!M:M,"Data Verification",'QA Log'!L:L,"Other than P4P (section 6)",'QA Log'!Z:Z,"Approved"),"")</f>
        <v/>
      </c>
      <c r="AJ432" s="105" t="str">
        <f>IF(A432&lt;&gt;"",COUNTIFS('QA Log'!D:D,A432,'QA Log'!M:M,"Data Verification",'QA Log'!L:L,"Hospital Governance",'QA Log'!Z:Z,"Approved"),"")</f>
        <v/>
      </c>
      <c r="AK432" s="102" t="str">
        <f>IF(A432="","",
SUM(
COUNTIFS('QA Log'!D:D,A432,'QA Log'!M:M,"Data Verification",'QA Log'!Z:Z,"Rejected",'QA Log'!L:L,"*Medicine (section 2)*"),
COUNTIFS('QA Log'!D:D,A432,'QA Log'!M:M,"Data Verification",'QA Log'!Z:Z,"Rejected",'QA Log'!L:L,"*Lab Testing Availability*"),
COUNTIFS('QA Log'!D:D,A432,'QA Log'!M:M,"Data Verification",'QA Log'!Z:Z,"Rejected",'QA Log'!L:L,"*Other than P4P (section 6)*"),
COUNTIFS('QA Log'!D:D,A432,'QA Log'!M:M,"Data Verification",'QA Log'!Z:Z,"Rejected",'QA Log'!L:L,"*Hospital Governance*")
))</f>
        <v/>
      </c>
      <c r="AL432" s="106" t="str">
        <f t="shared" si="31"/>
        <v/>
      </c>
      <c r="AM432" s="102" t="str">
        <f t="shared" si="32"/>
        <v/>
      </c>
      <c r="AN432" s="102" t="str">
        <f>IF(A432="","",
SUM(
COUNTIFS('QA Log'!D:D,A432,'QA Log'!M:M,"Data Verification",'QA Log'!L:L,"*Personnel (section 1)*"),
COUNTIFS('QA Log'!D:D,A432,'QA Log'!M:M,"Data Verification",'QA Log'!L:L,"*Consumable (section 3)*"),
COUNTIFS('QA Log'!D:D,A432,'QA Log'!M:M,"Data Verification",'QA Log'!L:L,"*Equipments (section 4)*")
))</f>
        <v/>
      </c>
      <c r="AO432" s="102" t="str">
        <f>IF(A432="","",
SUM(
COUNTIFS('QA Log'!D:D,A432,'QA Log'!M:M,"Data Verification",'QA Log'!Z:Z,"Approved",'QA Log'!L:L,"*Personnel (section 1)*"),
COUNTIFS('QA Log'!D:D,A432,'QA Log'!M:M,"Data Verification",'QA Log'!Z:Z,"Approved",'QA Log'!L:L,"*Consumable (section 3)*"),
COUNTIFS('QA Log'!D:D,A432,'QA Log'!M:M,"Data Verification",'QA Log'!Z:Z,"Approved",'QA Log'!L:L,"*Equipments (section 4)*")
))</f>
        <v/>
      </c>
      <c r="AP432" s="105" t="str">
        <f>IF(A432&lt;&gt;"",COUNTIFS('QA Log'!D:D,A432,'QA Log'!M:M,"Data Verification",'QA Log'!L:L,"Personnel (section 1)",'QA Log'!Z:Z,"Approved"),"")</f>
        <v/>
      </c>
      <c r="AQ432" s="105" t="str">
        <f>IF(A432&lt;&gt;"",COUNTIFS('QA Log'!D:D,A432,'QA Log'!M:M,"Data Verification",'QA Log'!L:L,"Consumable (section 3)",'QA Log'!Z:Z,"Approved"),"")</f>
        <v/>
      </c>
      <c r="AR432" s="105" t="str">
        <f>IF(A432&lt;&gt;"",COUNTIFS('QA Log'!D:D,A432,'QA Log'!M:M,"Data Verification",'QA Log'!L:L,"Equipments (section 4)",'QA Log'!Z:Z,"Approved"),"")</f>
        <v/>
      </c>
      <c r="AS432" s="102" t="str">
        <f>IF(A432="","",
SUM(
COUNTIFS('QA Log'!D:D,A432,'QA Log'!M:M,"Data Verification",'QA Log'!Z:Z,"Rejected",'QA Log'!L:L,"*Personnel (section 1)*"),
COUNTIFS('QA Log'!D:D,A432,'QA Log'!M:M,"Data Verification",'QA Log'!Z:Z,"Rejected",'QA Log'!L:L,"*Consumable (section 3)*"),
COUNTIFS('QA Log'!D:D,A432,'QA Log'!M:M,"Data Verification",'QA Log'!Z:Z,"Rejected",'QA Log'!L:L,"*Equipments (section 4)*")
))</f>
        <v/>
      </c>
      <c r="AT432" s="102" t="str">
        <f t="shared" si="33"/>
        <v/>
      </c>
      <c r="AU432" s="103" t="str">
        <f t="shared" si="34"/>
        <v/>
      </c>
      <c r="AV432" s="102" t="str">
        <f>IF(A432="","",SUM(
COUNTIFS('QA Log'!D:D,A432,'QA Log'!M:M,"Vignette",'QA Log'!L:L,"*Vignette [1] Respiratory Infection: Pneumonia*"),
COUNTIFS('QA Log'!D:D,A432,'QA Log'!M:M,"Vignette",'QA Log'!L:L,"*Vignette [2]: Diarrhea with Cat B dehydration*"),
COUNTIFS('QA Log'!D:D,A432,'QA Log'!M:M,"Vignette",'QA Log'!L:L,"*Vignette [3] Growth Monitoring and Promotion*"),
COUNTIFS('QA Log'!D:D,A432,'QA Log'!M:M,"Vignette",'QA Log'!L:L,"*Vignette [4]: The management of presumptive TB patient*")
)
)</f>
        <v/>
      </c>
      <c r="AW432" s="102" t="str">
        <f>IF(
  A432="","",
  SUM(
    COUNTIFS('QA Log'!D:D,A432,'QA Log'!M:M,"Vignette",'QA Log'!Z:Z,"Approved",'QA Log'!L:L,"*Vignette [1] Respiratory Infection: Pneumonia*"),
    COUNTIFS('QA Log'!D:D,A432,'QA Log'!M:M,"Vignette",'QA Log'!Z:Z,"Approved",'QA Log'!L:L,"*Vignette [2]: Diarrhea with Cat B dehydration*"),
    COUNTIFS('QA Log'!D:D,A432,'QA Log'!M:M,"Vignette",'QA Log'!Z:Z,"Approved",'QA Log'!L:L,"*Vignette [3] Growth Monitoring and Promotion*"),
    COUNTIFS('QA Log'!D:D,A432,'QA Log'!M:M,"Vignette",'QA Log'!Z:Z,"Approved",'QA Log'!L:L,"*Vignette [4]: The management of presumptive TB patient*")
  )
)</f>
        <v/>
      </c>
      <c r="AX432" s="105" t="str">
        <f>IF(A432&lt;&gt;"",COUNTIFS('QA Log'!D:D,A432,'QA Log'!M:M,"Vignette",'QA Log'!L:L,"Vignette [1] Respiratory Infection: Pneumonia",'QA Log'!Z:Z,"Approved"),"")</f>
        <v/>
      </c>
      <c r="AY432" s="105" t="str">
        <f>IF(A432&lt;&gt;"",COUNTIFS('QA Log'!D:D,A432,'QA Log'!M:M,"Vignette",'QA Log'!L:L,"Vignette [2]: Diarrhea with Cat B dehydration",'QA Log'!Z:Z,"Approved"),"")</f>
        <v/>
      </c>
      <c r="AZ432" s="105" t="str">
        <f>IF(A432&lt;&gt;"",COUNTIFS('QA Log'!D:D,A432,'QA Log'!M:M,"Vignette",'QA Log'!L:L,"Vignette [3] Growth Monitoring and Promotion",'QA Log'!Z:Z,"Approved"),"")</f>
        <v/>
      </c>
      <c r="BA432" s="105" t="str">
        <f>IF(A432&lt;&gt;"",COUNTIFS('QA Log'!D:D,A432,'QA Log'!M:M,"Vignette",'QA Log'!L:L,"Vignette [4]: The management of presumptive TB patient",'QA Log'!Z:Z,"Approved"),"")</f>
        <v/>
      </c>
      <c r="BB432" s="102" t="str">
        <f>IF(A432="","",
  SUM(
    COUNTIFS('QA Log'!D:D,A432,'QA Log'!M:M,"Vignette",'QA Log'!Z:Z,"Rejected",'QA Log'!L:L,"*Vignette [1] Respiratory Infection: Pneumonia*"),
    COUNTIFS('QA Log'!D:D,A432,'QA Log'!M:M,"Vignette",'QA Log'!Z:Z,"Rejected",'QA Log'!L:L,"*Vignette [2]: Diarrhea with Cat B dehydration*"),
    COUNTIFS('QA Log'!D:D,A432,'QA Log'!M:M,"Vignette",'QA Log'!Z:Z,"Rejected",'QA Log'!L:L,"*Vignette [3] Growth Monitoring and Promotion*"),
    COUNTIFS('QA Log'!D:D,A432,'QA Log'!M:M,"Vignette",'QA Log'!Z:Z,"Rejected",'QA Log'!L:L,"*Vignette [4]: The management of presumptive TB patient*")
  )
)</f>
        <v/>
      </c>
      <c r="BC432" s="107" t="str">
        <f t="shared" si="35"/>
        <v/>
      </c>
      <c r="BD432" s="103" t="str">
        <f t="shared" si="36"/>
        <v/>
      </c>
      <c r="BE432" s="102" t="str">
        <f>IF(A432="","",SUM(
COUNTIFS('QA Log'!D:D,A432,'QA Log'!M:M,"Vignette",'QA Log'!L:L,"*Vignette [5] Labor*"),
COUNTIFS('QA Log'!D:D,A432,'QA Log'!M:M,"Vignette",'QA Log'!L:L,"*Vignette [6] PNC pre Discharge*"),
COUNTIFS('QA Log'!D:D,A432,'QA Log'!M:M,"Vignette",'QA Log'!L:L,"*Vignette [7] First ANC Visit*"),
COUNTIFS('QA Log'!D:D,A432,'QA Log'!M:M,"Vignette",'QA Log'!L:L,"*Vignette [8] Birth Spacing/ Family Planning :  FP Counselling*"),
COUNTIFS('QA Log'!D:D,A432,'QA Log'!M:M,"Vignette",'QA Log'!L:L,"*Vignette [9] Birth Spacing: Change FP method to Injectable*"),
COUNTIFS('QA Log'!D:D,A432,'QA Log'!M:M,"Vignette",'QA Log'!L:L,"*Vignette [10] Post Partum Haemorrhage - Atonic Uterus at Health Centre*"),
)
)</f>
        <v/>
      </c>
      <c r="BF432" s="102" t="str">
        <f>IF(A432="","",
  SUM(
    COUNTIFS('QA Log'!D:D,A432,'QA Log'!M:M,"Vignette",'QA Log'!Z:Z,"Approved",'QA Log'!L:L,"*Vignette [5] Labor*"),
    COUNTIFS('QA Log'!D:D,A432,'QA Log'!M:M,"Vignette",'QA Log'!Z:Z,"Approved",'QA Log'!L:L,"*Vignette [6] PNC pre Discharge*"),
    COUNTIFS('QA Log'!D:D,A432,'QA Log'!M:M,"Vignette",'QA Log'!Z:Z,"Approved",'QA Log'!L:L,"*Vignette [7] First ANC Visit*"),
    COUNTIFS('QA Log'!D:D,A432,'QA Log'!M:M,"Vignette",'QA Log'!Z:Z,"Approved",'QA Log'!L:L,"*Vignette [8] Birth Spacing/ Family Planning :  FP Counselling*"),
    COUNTIFS('QA Log'!D:D,A432,'QA Log'!M:M,"Vignette",'QA Log'!Z:Z,"Approved",'QA Log'!L:L,"*Vignette [9] Birth Spacing: Change FP method to Injectable*"),
    COUNTIFS('QA Log'!D:D,A432,'QA Log'!M:M,"Vignette",'QA Log'!Z:Z,"Approved",'QA Log'!L:L,"*Vignette [10] Post Partum Haemorrhage - Atonic Uterus at Health Centre*")
  )
)</f>
        <v/>
      </c>
      <c r="BG432" s="105" t="str">
        <f>IF(A432&lt;&gt;"",COUNTIFS('QA Log'!D:D,A432,'QA Log'!M:M,"Vignette",'QA Log'!L:L,"Vignette [5] Labor",'QA Log'!Z:Z,"Approved"),"")</f>
        <v/>
      </c>
      <c r="BH432" s="105" t="str">
        <f>IF(A432&lt;&gt;"",COUNTIFS('QA Log'!D:D,A432,'QA Log'!M:M,"Vignette",'QA Log'!L:L,"Vignette [6] PNC pre Discharge",'QA Log'!Z:Z,"Approved"),"")</f>
        <v/>
      </c>
      <c r="BI432" s="105" t="str">
        <f>IF(A432&lt;&gt;"",COUNTIFS('QA Log'!D:D,A432,'QA Log'!M:M,"Vignette",'QA Log'!L:L,"Vignette [7] First ANC Visit",'QA Log'!Z:Z,"Approved"),"")</f>
        <v/>
      </c>
      <c r="BJ432" s="105" t="str">
        <f>IF(A432&lt;&gt;"",COUNTIFS('QA Log'!D:D,A432,'QA Log'!M:M,"Vignette",'QA Log'!L:L,"Vignette [8] Birth Spacing/ Family Planning :  FP Counselling",'QA Log'!Z:Z,"Approved"),"")</f>
        <v/>
      </c>
      <c r="BK432" s="105" t="str">
        <f>IF(A432&lt;&gt;"",COUNTIFS('QA Log'!D:D,A432,'QA Log'!M:M,"Vignette",'QA Log'!L:L,"Vignette [9] Birth Spacing: Change FP method to Injectable",'QA Log'!Z:Z,"Approved"),"")</f>
        <v/>
      </c>
      <c r="BL432" s="105" t="str">
        <f>IF(A432&lt;&gt;"",COUNTIFS('QA Log'!D:D,A432,'QA Log'!M:M,"Vignette",'QA Log'!L:L,"Vignette [10] Post Partum Haemorrhage - Atonic Uterus at Health Centre",'QA Log'!Z:Z,"Approved"),"")</f>
        <v/>
      </c>
      <c r="BM432" s="102" t="str">
        <f>IF(A432="","",SUM(
    COUNTIFS('QA Log'!D:D,A432,'QA Log'!M:M,"Vignette",'QA Log'!Z:Z,"Rejected",'QA Log'!L:L,"*Vignette [5] Labor*"),
    COUNTIFS('QA Log'!D:D,A432,'QA Log'!M:M,"Vignette",'QA Log'!Z:Z,"Rejected",'QA Log'!L:L,"*Vignette [6] PNC pre Discharge*"),
    COUNTIFS('QA Log'!D:D,A432,'QA Log'!M:M,"Vignette",'QA Log'!Z:Z,"Rejected",'QA Log'!L:L,"*Vignette [7] First ANC Visit*"),
    COUNTIFS('QA Log'!D:D,A432,'QA Log'!M:M,"Vignette",'QA Log'!Z:Z,"Rejected",'QA Log'!L:L,"*Vignette [8] Birth Spacing/ Family Planning :  FP Counselling*"),
    COUNTIFS('QA Log'!D:D,A432,'QA Log'!M:M,"Vignette",'QA Log'!Z:Z,"Rejected",'QA Log'!L:L,"*Vignette [9] Birth Spacing: Change FP method to Injectable*"),
    COUNTIFS('QA Log'!D:D,A432,'QA Log'!M:M,"Vignette",'QA Log'!Z:Z,"Rejected",'QA Log'!L:L,"*Vignette [10] Post Partum Haemorrhage - Atonic Uterus at Health Centre*")
  )
)</f>
        <v/>
      </c>
      <c r="BN432" s="107" t="str">
        <f t="shared" si="37"/>
        <v/>
      </c>
      <c r="BO432" s="103" t="str">
        <f t="shared" si="38"/>
        <v/>
      </c>
      <c r="BP432" s="102" t="str">
        <f>IF(A432="","",SUM(
COUNTIFS('QA Log'!D:D,A432,'QA Log'!M:M,"Vignette",'QA Log'!L:L,"*Exit Interview 1*"),
COUNTIFS('QA Log'!D:D,A432,'QA Log'!M:M,"Vignette",'QA Log'!L:L,"*Exit Interview 2*"),
)
)</f>
        <v/>
      </c>
      <c r="BQ432" s="102" t="str">
        <f>IF(
  A432="","",
  SUM(
    COUNTIFS('QA Log'!D:D,A432,'QA Log'!M:M,"Vignette",'QA Log'!Z:Z,"Approved",'QA Log'!L:L,"*Exit Interview 1*"),
    COUNTIFS('QA Log'!D:D,A432,'QA Log'!M:M,"Vignette",'QA Log'!Z:Z,"Approved",'QA Log'!L:L,"*Exit Interview 2*")
  )
)</f>
        <v/>
      </c>
      <c r="BR432" s="105" t="str">
        <f>IF(A432&lt;&gt;"",COUNTIFS('QA Log'!D:D,A432,'QA Log'!M:M,"Vignette",'QA Log'!L:L,"Exit Interview 1",'QA Log'!Z:Z,"Approved"),"")</f>
        <v/>
      </c>
      <c r="BS432" s="105" t="str">
        <f>IF(A432&lt;&gt;"",COUNTIFS('QA Log'!D:D,A432,'QA Log'!M:M,"Vignette",'QA Log'!L:L,"Exit Interview 2",'QA Log'!Z:Z,"Approved"),"")</f>
        <v/>
      </c>
      <c r="BT432" s="102" t="str">
        <f>IF(
  A432="","",
  SUM(
    COUNTIFS('QA Log'!D:D,A432,'QA Log'!M:M,"Vignette",'QA Log'!Z:Z,"Rejected",'QA Log'!L:L,"*Exit Interview 1*"),
    COUNTIFS('QA Log'!D:D,A432,'QA Log'!M:M,"Vignette",'QA Log'!Z:Z,"Rejected",'QA Log'!L:L,"*Exit Interview 2*")
  )
)</f>
        <v/>
      </c>
      <c r="BU432" s="107" t="str">
        <f t="shared" si="39"/>
        <v/>
      </c>
      <c r="BV432" s="102" t="str">
        <f t="shared" si="40"/>
        <v/>
      </c>
      <c r="BW432" s="102" t="str">
        <f t="shared" si="41"/>
        <v/>
      </c>
      <c r="BX432" s="102" t="str">
        <f t="shared" si="42"/>
        <v/>
      </c>
      <c r="BY432" s="102" t="str">
        <f t="shared" si="43"/>
        <v/>
      </c>
      <c r="BZ432" s="107" t="str">
        <f t="shared" si="44"/>
        <v/>
      </c>
      <c r="CA432" s="108" t="str">
        <f t="shared" si="45"/>
        <v/>
      </c>
      <c r="CB432" s="108" t="str">
        <f t="shared" si="46"/>
        <v/>
      </c>
      <c r="CC432" s="109" t="str">
        <f t="shared" si="47"/>
        <v/>
      </c>
      <c r="CD432" s="108" t="str">
        <f t="shared" si="48"/>
        <v/>
      </c>
      <c r="CE432" s="108" t="str">
        <f t="shared" si="49"/>
        <v/>
      </c>
      <c r="CF432" s="109" t="str">
        <f t="shared" si="50"/>
        <v/>
      </c>
      <c r="CG432" s="110" t="str">
        <f t="shared" si="51"/>
        <v/>
      </c>
      <c r="CH432" s="111"/>
    </row>
    <row r="433" spans="1:86" ht="12.75">
      <c r="A433" s="101"/>
      <c r="B433" s="102" t="e">
        <f t="array" aca="1" ref="B433" ca="1">_xludf.XLOOKUP(A433,'QA Log'!D:D,'QA Log'!E:E,"")</f>
        <v>#NAME?</v>
      </c>
      <c r="C433" s="102" t="e">
        <f t="array" aca="1" ref="C433" ca="1">_xludf.XLOOKUP(A433,'QA Log'!D:D,'QA Log'!F:F,"")</f>
        <v>#NAME?</v>
      </c>
      <c r="D433" s="102" t="e">
        <f t="array" aca="1" ref="D433" ca="1">_xludf.XLOOKUP(A433,'QA Log'!D:D,'QA Log'!H:H,"")</f>
        <v>#NAME?</v>
      </c>
      <c r="E433" s="102" t="e">
        <f t="array" aca="1" ref="E433" ca="1">_xludf.XLOOKUP(A433,'QA Log'!D:D,'QA Log'!G:G,"")</f>
        <v>#NAME?</v>
      </c>
      <c r="F433" s="103"/>
      <c r="G433" s="104"/>
      <c r="H433" s="104"/>
      <c r="I433" s="103" t="str">
        <f t="shared" si="26"/>
        <v/>
      </c>
      <c r="J433" s="102" t="str">
        <f>IF(A433="","",SUM(
COUNTIFS('QA Log'!D:D,A433,'QA Log'!M:M,"QQC",'QA Log'!L:L,"*1. General Management*"),
COUNTIFS('QA Log'!D:D,A433,'QA Log'!M:M,"QQC",'QA Log'!L:L,"*3. Curative Consultation (OPD)*"),
COUNTIFS('QA Log'!D:D,A433,'QA Log'!M:M,"QQC",'QA Log'!L:L,"*5. Laboratory*"),
COUNTIFS('QA Log'!D:D,A433,'QA Log'!M:M,"QQC",'QA Log'!L:L,"*6. Essential Medicine Management*"),
COUNTIFS('QA Log'!D:D,A433,'QA Log'!M:M,"QQC",'QA Log'!L:L,"*7. Tracer Medicine*"),
COUNTIFS('QA Log'!D:D,A433,'QA Log'!M:M,"QQC",'QA Log'!L:L,"*11. Additional Questions*")))</f>
        <v/>
      </c>
      <c r="K433" s="102" t="str">
        <f>IF(A433="","",SUM(
COUNTIFS('QA Log'!D:D,A433,'QA Log'!M:M,"QQC",'QA Log'!Z:Z,"Approved",'QA Log'!L:L,"*1. General Management*"),
COUNTIFS('QA Log'!D:D,A433,'QA Log'!M:M,"QQC",'QA Log'!Z:Z,"Approved",'QA Log'!L:L,"*3. Curative Consultation (OPD)*"),
COUNTIFS('QA Log'!D:D,A433,'QA Log'!M:M,"QQC",'QA Log'!Z:Z,"Approved",'QA Log'!L:L,"*5. Laboratory*"),
COUNTIFS('QA Log'!D:D,A433,'QA Log'!M:M,"QQC",'QA Log'!Z:Z,"Approved",'QA Log'!L:L,"*6. Essential Medicine Management*"),
COUNTIFS('QA Log'!D:D,A433,'QA Log'!M:M,"QQC",'QA Log'!Z:Z,"Approved",'QA Log'!L:L,"*7. Tracer Medicine*"),
COUNTIFS('QA Log'!D:D,A433,'QA Log'!M:M,"QQC",'QA Log'!Z:Z,"Approved",'QA Log'!L:L,"*11. Additional Questions*")))</f>
        <v/>
      </c>
      <c r="L433" s="102" t="str">
        <f>IF(A433&lt;&gt;"",COUNTIFS('QA Log'!D:D,A433,'QA Log'!M:M,"QQC",'QA Log'!L:L,"1. General Management",'QA Log'!Z:Z,"Approved"),"")</f>
        <v/>
      </c>
      <c r="M433" s="102" t="str">
        <f>IF(A433&lt;&gt;"",COUNTIFS('QA Log'!D:D,A433,'QA Log'!M:M,"QQC",'QA Log'!L:L,"3. Curative Consultation (OPD)",'QA Log'!Z:Z,"Approved"),"")</f>
        <v/>
      </c>
      <c r="N433" s="102" t="str">
        <f>IF(A433&lt;&gt;"",COUNTIFS('QA Log'!D:D,A433,'QA Log'!M:M,"QQC",'QA Log'!L:L,"5. Laboratory",'QA Log'!Z:Z,"Approved"),"")</f>
        <v/>
      </c>
      <c r="O433" s="102" t="str">
        <f>IF(A433&lt;&gt;"",COUNTIFS('QA Log'!D:D,A433,'QA Log'!M:M,"QQC",'QA Log'!L:L,"6. Essential Medicine Management",'QA Log'!Z:Z,"Approved"),"")</f>
        <v/>
      </c>
      <c r="P433" s="102" t="str">
        <f>IF(A433&lt;&gt;"",COUNTIFS('QA Log'!D:D,A433,'QA Log'!M:M,"QQC",'QA Log'!L:L,"7. Tracer Medicine",'QA Log'!Z:Z,"Approved"),"")</f>
        <v/>
      </c>
      <c r="Q433" s="102" t="str">
        <f>IF(A433&lt;&gt;"",COUNTIFS('QA Log'!D:D,A433,'QA Log'!M:M,"QQC",'QA Log'!L:L,"11. Additional Questions",'QA Log'!Z:Z,"Approved"),"")</f>
        <v/>
      </c>
      <c r="R433" s="102" t="str">
        <f>IF(A433="","",SUM(
COUNTIFS('QA Log'!D:D,A433,'QA Log'!M:M,"QQC",'QA Log'!Z:Z,"Rejected",'QA Log'!L:L,"*8. Maternity*"),
COUNTIFS('QA Log'!D:D,A433,'QA Log'!M:M,"QQC",'QA Log'!Z:Z,"Rejected",'QA Log'!L:L,"*EPI*"),
COUNTIFS('QA Log'!D:D,A433,'QA Log'!M:M,"QQC",'QA Log'!Z:Z,"Rejected",'QA Log'!L:L,"*10. Antenatal Care (ANC)*"),
COUNTIFS('QA Log'!D:D,A433,'QA Log'!M:M,"QQC",'QA Log'!Z:Z,"Rejected",'QA Log'!L:L,"*2. Hygiene and Sterilization*"),
COUNTIFS('QA Log'!D:D,A433,'QA Log'!M:M,"QQC",'QA Log'!Z:Z,"Rejected",'QA Log'!L:L,"*Family Planning*")))</f>
        <v/>
      </c>
      <c r="S433" s="106" t="str">
        <f t="shared" si="27"/>
        <v/>
      </c>
      <c r="T433" s="102" t="str">
        <f t="shared" si="28"/>
        <v/>
      </c>
      <c r="U433" s="102" t="str">
        <f>IF(A433="","",
SUM(
COUNTIFS('QA Log'!D:D,A433,'QA Log'!M:M,"QQC",'QA Log'!L:L,"*8. Maternity*"),
COUNTIFS('QA Log'!D:D,A433,'QA Log'!M:M,"QQC",'QA Log'!L:L,"*9. EPI and Pre-school Consultation*"),
COUNTIFS('QA Log'!D:D,A433,'QA Log'!M:M,"QQC",'QA Log'!L:L,"*10. Antenatal Care (ANC)*"),
COUNTIFS('QA Log'!D:D,A433,'QA Log'!M:M,"QQC",'QA Log'!L:L,"*2. Hygiene and Sterilization*"),
COUNTIFS('QA Log'!D:D,A433,'QA Log'!M:M,"QQC",'QA Log'!L:L,"*4. Family Planning*")
))</f>
        <v/>
      </c>
      <c r="V433" s="102" t="str">
        <f>IF(A433="","",
SUM(
COUNTIFS('QA Log'!D:D,A433,'QA Log'!M:M,"QQC",'QA Log'!Z:Z,"Approved",'QA Log'!L:L,"*8. Maternity*"),
COUNTIFS('QA Log'!D:D,A433,'QA Log'!M:M,"QQC",'QA Log'!Z:Z,"Approved",'QA Log'!L:L,"*9. EPI and Pre-school Consultation*"),
COUNTIFS('QA Log'!D:D,A433,'QA Log'!M:M,"QQC",'QA Log'!Z:Z,"Approved",'QA Log'!L:L,"*10. Antenatal Care (ANC)*"),
COUNTIFS('QA Log'!D:D,A433,'QA Log'!M:M,"QQC",'QA Log'!Z:Z,"Approved",'QA Log'!L:L,"*2. Hygiene and Sterilization*"),
COUNTIFS('QA Log'!D:D,A433,'QA Log'!M:M,"QQC",'QA Log'!Z:Z,"Approved",'QA Log'!L:L,"*4. Family Planning*")
))</f>
        <v/>
      </c>
      <c r="W433" s="102" t="str">
        <f>IF(A433&lt;&gt;"",COUNTIFS('QA Log'!D:D,A433,'QA Log'!M:M,"QQC",'QA Log'!L:L,"8. Maternity",'QA Log'!Z:Z,"Approved"),"")</f>
        <v/>
      </c>
      <c r="X433" s="105" t="str">
        <f>IF(A433&lt;&gt;"",COUNTIFS('QA Log'!D:D,A433,'QA Log'!M:M,"QQC",'QA Log'!L:L,"9. EPI and Pre-school Consultation",'QA Log'!Z:Z,"Approved"),"")</f>
        <v/>
      </c>
      <c r="Y433" s="102" t="str">
        <f>IF(A433&lt;&gt;"",COUNTIFS('QA Log'!D:D,A433,'QA Log'!M:M,"QQC",'QA Log'!L:L,"10. Antenatal Care (ANC)",'QA Log'!Z:Z,"Approved"),"")</f>
        <v/>
      </c>
      <c r="Z433" s="102" t="str">
        <f>IF(A433&lt;&gt;"",COUNTIFS('QA Log'!D:D,A433,'QA Log'!M:M,"QQC",'QA Log'!L:L,"2. Hygiene and Sterilization",'QA Log'!Z:Z,"Approved"),"")</f>
        <v/>
      </c>
      <c r="AA433" s="105" t="str">
        <f>IF(A433&lt;&gt;"",COUNTIFS('QA Log'!D:D,A433,'QA Log'!M:M,"QQC",'QA Log'!L:L,"4. Family Planning",'QA Log'!Z:Z,"Approved"),"")</f>
        <v/>
      </c>
      <c r="AB433" s="102" t="str">
        <f>IF(A433="","",
SUM(
COUNTIFS('QA Log'!D:D,A433,'QA Log'!M:M,"QQC",'QA Log'!Z:Z,"Rejected",'QA Log'!L:L,"*8. Maternity*"),
COUNTIFS('QA Log'!D:D,A433,'QA Log'!M:M,"QQC",'QA Log'!Z:Z,"Rejected",'QA Log'!L:L,"*9. EPI and Pre-school Consultation*"),
COUNTIFS('QA Log'!D:D,A433,'QA Log'!M:M,"QQC",'QA Log'!Z:Z,"Rejected",'QA Log'!L:L,"*10. Antenatal Care (ANC)*"),
COUNTIFS('QA Log'!D:D,A433,'QA Log'!M:M,"QQC",'QA Log'!Z:Z,"Rejected",'QA Log'!L:L,"*2. Hygiene and Sterilization*"),
COUNTIFS('QA Log'!D:D,A433,'QA Log'!M:M,"QQC",'QA Log'!Z:Z,"Rejected",'QA Log'!L:L,"*4. Family Planning*")
))</f>
        <v/>
      </c>
      <c r="AC433" s="102" t="str">
        <f t="shared" si="29"/>
        <v/>
      </c>
      <c r="AD433" s="103" t="str">
        <f t="shared" si="30"/>
        <v/>
      </c>
      <c r="AE433" s="102" t="str">
        <f>IF(A433="","",
SUM(
COUNTIFS('QA Log'!D:D,A433,'QA Log'!M:M,"Data Verification",'QA Log'!L:L,"*Medicine (section 2)*"),
COUNTIFS('QA Log'!D:D,A433,'QA Log'!M:M,"Data Verification",'QA Log'!L:L,"*Lab Testing Availability*"),
COUNTIFS('QA Log'!D:D,A433,'QA Log'!M:M,"Data Verification",'QA Log'!L:L,"*Other than P4P (section 6)*"),
COUNTIFS('QA Log'!D:D,A433,'QA Log'!M:M,"Data Verification",'QA Log'!L:L,"*Hospital Governance*")
))</f>
        <v/>
      </c>
      <c r="AF433" s="102" t="str">
        <f>IF(A433="","",
SUM(
COUNTIFS('QA Log'!D:D,A433,'QA Log'!M:M,"Data Verification",'QA Log'!Z:Z,"Approved",'QA Log'!L:L,"*Medicine (section 2)*"),
COUNTIFS('QA Log'!D:D,A433,'QA Log'!M:M,"Data Verification",'QA Log'!Z:Z,"Approved",'QA Log'!L:L,"*Lab Testing Availability*"),
COUNTIFS('QA Log'!D:D,A433,'QA Log'!M:M,"Data Verification",'QA Log'!Z:Z,"Approved",'QA Log'!L:L,"*Other than P4P (section 6)*"),
COUNTIFS('QA Log'!D:D,A433,'QA Log'!M:M,"Data Verification",'QA Log'!Z:Z,"Approved",'QA Log'!L:L,"*Hospital Governance*")
))</f>
        <v/>
      </c>
      <c r="AG433" s="105" t="str">
        <f>IF(A433&lt;&gt;"",COUNTIFS('QA Log'!D:D,A433,'QA Log'!M:M,"Data Verification",'QA Log'!L:L,"Medicine (section 2)",'QA Log'!Z:Z,"Approved"),"")</f>
        <v/>
      </c>
      <c r="AH433" s="105" t="str">
        <f>IF(A433&lt;&gt;"",COUNTIFS('QA Log'!D:D,A433,'QA Log'!M:M,"Data Verification",'QA Log'!L:L,"Lab Testing Availability",'QA Log'!Z:Z,"Approved"),"")</f>
        <v/>
      </c>
      <c r="AI433" s="105" t="str">
        <f>IF(A433&lt;&gt;"",COUNTIFS('QA Log'!D:D,A433,'QA Log'!M:M,"Data Verification",'QA Log'!L:L,"Other than P4P (section 6)",'QA Log'!Z:Z,"Approved"),"")</f>
        <v/>
      </c>
      <c r="AJ433" s="105" t="str">
        <f>IF(A433&lt;&gt;"",COUNTIFS('QA Log'!D:D,A433,'QA Log'!M:M,"Data Verification",'QA Log'!L:L,"Hospital Governance",'QA Log'!Z:Z,"Approved"),"")</f>
        <v/>
      </c>
      <c r="AK433" s="102" t="str">
        <f>IF(A433="","",
SUM(
COUNTIFS('QA Log'!D:D,A433,'QA Log'!M:M,"Data Verification",'QA Log'!Z:Z,"Rejected",'QA Log'!L:L,"*Medicine (section 2)*"),
COUNTIFS('QA Log'!D:D,A433,'QA Log'!M:M,"Data Verification",'QA Log'!Z:Z,"Rejected",'QA Log'!L:L,"*Lab Testing Availability*"),
COUNTIFS('QA Log'!D:D,A433,'QA Log'!M:M,"Data Verification",'QA Log'!Z:Z,"Rejected",'QA Log'!L:L,"*Other than P4P (section 6)*"),
COUNTIFS('QA Log'!D:D,A433,'QA Log'!M:M,"Data Verification",'QA Log'!Z:Z,"Rejected",'QA Log'!L:L,"*Hospital Governance*")
))</f>
        <v/>
      </c>
      <c r="AL433" s="106" t="str">
        <f t="shared" si="31"/>
        <v/>
      </c>
      <c r="AM433" s="102" t="str">
        <f t="shared" si="32"/>
        <v/>
      </c>
      <c r="AN433" s="102" t="str">
        <f>IF(A433="","",
SUM(
COUNTIFS('QA Log'!D:D,A433,'QA Log'!M:M,"Data Verification",'QA Log'!L:L,"*Personnel (section 1)*"),
COUNTIFS('QA Log'!D:D,A433,'QA Log'!M:M,"Data Verification",'QA Log'!L:L,"*Consumable (section 3)*"),
COUNTIFS('QA Log'!D:D,A433,'QA Log'!M:M,"Data Verification",'QA Log'!L:L,"*Equipments (section 4)*")
))</f>
        <v/>
      </c>
      <c r="AO433" s="102" t="str">
        <f>IF(A433="","",
SUM(
COUNTIFS('QA Log'!D:D,A433,'QA Log'!M:M,"Data Verification",'QA Log'!Z:Z,"Approved",'QA Log'!L:L,"*Personnel (section 1)*"),
COUNTIFS('QA Log'!D:D,A433,'QA Log'!M:M,"Data Verification",'QA Log'!Z:Z,"Approved",'QA Log'!L:L,"*Consumable (section 3)*"),
COUNTIFS('QA Log'!D:D,A433,'QA Log'!M:M,"Data Verification",'QA Log'!Z:Z,"Approved",'QA Log'!L:L,"*Equipments (section 4)*")
))</f>
        <v/>
      </c>
      <c r="AP433" s="105" t="str">
        <f>IF(A433&lt;&gt;"",COUNTIFS('QA Log'!D:D,A433,'QA Log'!M:M,"Data Verification",'QA Log'!L:L,"Personnel (section 1)",'QA Log'!Z:Z,"Approved"),"")</f>
        <v/>
      </c>
      <c r="AQ433" s="105" t="str">
        <f>IF(A433&lt;&gt;"",COUNTIFS('QA Log'!D:D,A433,'QA Log'!M:M,"Data Verification",'QA Log'!L:L,"Consumable (section 3)",'QA Log'!Z:Z,"Approved"),"")</f>
        <v/>
      </c>
      <c r="AR433" s="105" t="str">
        <f>IF(A433&lt;&gt;"",COUNTIFS('QA Log'!D:D,A433,'QA Log'!M:M,"Data Verification",'QA Log'!L:L,"Equipments (section 4)",'QA Log'!Z:Z,"Approved"),"")</f>
        <v/>
      </c>
      <c r="AS433" s="102" t="str">
        <f>IF(A433="","",
SUM(
COUNTIFS('QA Log'!D:D,A433,'QA Log'!M:M,"Data Verification",'QA Log'!Z:Z,"Rejected",'QA Log'!L:L,"*Personnel (section 1)*"),
COUNTIFS('QA Log'!D:D,A433,'QA Log'!M:M,"Data Verification",'QA Log'!Z:Z,"Rejected",'QA Log'!L:L,"*Consumable (section 3)*"),
COUNTIFS('QA Log'!D:D,A433,'QA Log'!M:M,"Data Verification",'QA Log'!Z:Z,"Rejected",'QA Log'!L:L,"*Equipments (section 4)*")
))</f>
        <v/>
      </c>
      <c r="AT433" s="102" t="str">
        <f t="shared" si="33"/>
        <v/>
      </c>
      <c r="AU433" s="103" t="str">
        <f t="shared" si="34"/>
        <v/>
      </c>
      <c r="AV433" s="102" t="str">
        <f>IF(A433="","",SUM(
COUNTIFS('QA Log'!D:D,A433,'QA Log'!M:M,"Vignette",'QA Log'!L:L,"*Vignette [1] Respiratory Infection: Pneumonia*"),
COUNTIFS('QA Log'!D:D,A433,'QA Log'!M:M,"Vignette",'QA Log'!L:L,"*Vignette [2]: Diarrhea with Cat B dehydration*"),
COUNTIFS('QA Log'!D:D,A433,'QA Log'!M:M,"Vignette",'QA Log'!L:L,"*Vignette [3] Growth Monitoring and Promotion*"),
COUNTIFS('QA Log'!D:D,A433,'QA Log'!M:M,"Vignette",'QA Log'!L:L,"*Vignette [4]: The management of presumptive TB patient*")
)
)</f>
        <v/>
      </c>
      <c r="AW433" s="102" t="str">
        <f>IF(
  A433="","",
  SUM(
    COUNTIFS('QA Log'!D:D,A433,'QA Log'!M:M,"Vignette",'QA Log'!Z:Z,"Approved",'QA Log'!L:L,"*Vignette [1] Respiratory Infection: Pneumonia*"),
    COUNTIFS('QA Log'!D:D,A433,'QA Log'!M:M,"Vignette",'QA Log'!Z:Z,"Approved",'QA Log'!L:L,"*Vignette [2]: Diarrhea with Cat B dehydration*"),
    COUNTIFS('QA Log'!D:D,A433,'QA Log'!M:M,"Vignette",'QA Log'!Z:Z,"Approved",'QA Log'!L:L,"*Vignette [3] Growth Monitoring and Promotion*"),
    COUNTIFS('QA Log'!D:D,A433,'QA Log'!M:M,"Vignette",'QA Log'!Z:Z,"Approved",'QA Log'!L:L,"*Vignette [4]: The management of presumptive TB patient*")
  )
)</f>
        <v/>
      </c>
      <c r="AX433" s="105" t="str">
        <f>IF(A433&lt;&gt;"",COUNTIFS('QA Log'!D:D,A433,'QA Log'!M:M,"Vignette",'QA Log'!L:L,"Vignette [1] Respiratory Infection: Pneumonia",'QA Log'!Z:Z,"Approved"),"")</f>
        <v/>
      </c>
      <c r="AY433" s="105" t="str">
        <f>IF(A433&lt;&gt;"",COUNTIFS('QA Log'!D:D,A433,'QA Log'!M:M,"Vignette",'QA Log'!L:L,"Vignette [2]: Diarrhea with Cat B dehydration",'QA Log'!Z:Z,"Approved"),"")</f>
        <v/>
      </c>
      <c r="AZ433" s="105" t="str">
        <f>IF(A433&lt;&gt;"",COUNTIFS('QA Log'!D:D,A433,'QA Log'!M:M,"Vignette",'QA Log'!L:L,"Vignette [3] Growth Monitoring and Promotion",'QA Log'!Z:Z,"Approved"),"")</f>
        <v/>
      </c>
      <c r="BA433" s="105" t="str">
        <f>IF(A433&lt;&gt;"",COUNTIFS('QA Log'!D:D,A433,'QA Log'!M:M,"Vignette",'QA Log'!L:L,"Vignette [4]: The management of presumptive TB patient",'QA Log'!Z:Z,"Approved"),"")</f>
        <v/>
      </c>
      <c r="BB433" s="102" t="str">
        <f>IF(A433="","",
  SUM(
    COUNTIFS('QA Log'!D:D,A433,'QA Log'!M:M,"Vignette",'QA Log'!Z:Z,"Rejected",'QA Log'!L:L,"*Vignette [1] Respiratory Infection: Pneumonia*"),
    COUNTIFS('QA Log'!D:D,A433,'QA Log'!M:M,"Vignette",'QA Log'!Z:Z,"Rejected",'QA Log'!L:L,"*Vignette [2]: Diarrhea with Cat B dehydration*"),
    COUNTIFS('QA Log'!D:D,A433,'QA Log'!M:M,"Vignette",'QA Log'!Z:Z,"Rejected",'QA Log'!L:L,"*Vignette [3] Growth Monitoring and Promotion*"),
    COUNTIFS('QA Log'!D:D,A433,'QA Log'!M:M,"Vignette",'QA Log'!Z:Z,"Rejected",'QA Log'!L:L,"*Vignette [4]: The management of presumptive TB patient*")
  )
)</f>
        <v/>
      </c>
      <c r="BC433" s="107" t="str">
        <f t="shared" si="35"/>
        <v/>
      </c>
      <c r="BD433" s="103" t="str">
        <f t="shared" si="36"/>
        <v/>
      </c>
      <c r="BE433" s="102" t="str">
        <f>IF(A433="","",SUM(
COUNTIFS('QA Log'!D:D,A433,'QA Log'!M:M,"Vignette",'QA Log'!L:L,"*Vignette [5] Labor*"),
COUNTIFS('QA Log'!D:D,A433,'QA Log'!M:M,"Vignette",'QA Log'!L:L,"*Vignette [6] PNC pre Discharge*"),
COUNTIFS('QA Log'!D:D,A433,'QA Log'!M:M,"Vignette",'QA Log'!L:L,"*Vignette [7] First ANC Visit*"),
COUNTIFS('QA Log'!D:D,A433,'QA Log'!M:M,"Vignette",'QA Log'!L:L,"*Vignette [8] Birth Spacing/ Family Planning :  FP Counselling*"),
COUNTIFS('QA Log'!D:D,A433,'QA Log'!M:M,"Vignette",'QA Log'!L:L,"*Vignette [9] Birth Spacing: Change FP method to Injectable*"),
COUNTIFS('QA Log'!D:D,A433,'QA Log'!M:M,"Vignette",'QA Log'!L:L,"*Vignette [10] Post Partum Haemorrhage - Atonic Uterus at Health Centre*"),
)
)</f>
        <v/>
      </c>
      <c r="BF433" s="102" t="str">
        <f>IF(A433="","",
  SUM(
    COUNTIFS('QA Log'!D:D,A433,'QA Log'!M:M,"Vignette",'QA Log'!Z:Z,"Approved",'QA Log'!L:L,"*Vignette [5] Labor*"),
    COUNTIFS('QA Log'!D:D,A433,'QA Log'!M:M,"Vignette",'QA Log'!Z:Z,"Approved",'QA Log'!L:L,"*Vignette [6] PNC pre Discharge*"),
    COUNTIFS('QA Log'!D:D,A433,'QA Log'!M:M,"Vignette",'QA Log'!Z:Z,"Approved",'QA Log'!L:L,"*Vignette [7] First ANC Visit*"),
    COUNTIFS('QA Log'!D:D,A433,'QA Log'!M:M,"Vignette",'QA Log'!Z:Z,"Approved",'QA Log'!L:L,"*Vignette [8] Birth Spacing/ Family Planning :  FP Counselling*"),
    COUNTIFS('QA Log'!D:D,A433,'QA Log'!M:M,"Vignette",'QA Log'!Z:Z,"Approved",'QA Log'!L:L,"*Vignette [9] Birth Spacing: Change FP method to Injectable*"),
    COUNTIFS('QA Log'!D:D,A433,'QA Log'!M:M,"Vignette",'QA Log'!Z:Z,"Approved",'QA Log'!L:L,"*Vignette [10] Post Partum Haemorrhage - Atonic Uterus at Health Centre*")
  )
)</f>
        <v/>
      </c>
      <c r="BG433" s="105" t="str">
        <f>IF(A433&lt;&gt;"",COUNTIFS('QA Log'!D:D,A433,'QA Log'!M:M,"Vignette",'QA Log'!L:L,"Vignette [5] Labor",'QA Log'!Z:Z,"Approved"),"")</f>
        <v/>
      </c>
      <c r="BH433" s="105" t="str">
        <f>IF(A433&lt;&gt;"",COUNTIFS('QA Log'!D:D,A433,'QA Log'!M:M,"Vignette",'QA Log'!L:L,"Vignette [6] PNC pre Discharge",'QA Log'!Z:Z,"Approved"),"")</f>
        <v/>
      </c>
      <c r="BI433" s="105" t="str">
        <f>IF(A433&lt;&gt;"",COUNTIFS('QA Log'!D:D,A433,'QA Log'!M:M,"Vignette",'QA Log'!L:L,"Vignette [7] First ANC Visit",'QA Log'!Z:Z,"Approved"),"")</f>
        <v/>
      </c>
      <c r="BJ433" s="105" t="str">
        <f>IF(A433&lt;&gt;"",COUNTIFS('QA Log'!D:D,A433,'QA Log'!M:M,"Vignette",'QA Log'!L:L,"Vignette [8] Birth Spacing/ Family Planning :  FP Counselling",'QA Log'!Z:Z,"Approved"),"")</f>
        <v/>
      </c>
      <c r="BK433" s="105" t="str">
        <f>IF(A433&lt;&gt;"",COUNTIFS('QA Log'!D:D,A433,'QA Log'!M:M,"Vignette",'QA Log'!L:L,"Vignette [9] Birth Spacing: Change FP method to Injectable",'QA Log'!Z:Z,"Approved"),"")</f>
        <v/>
      </c>
      <c r="BL433" s="105" t="str">
        <f>IF(A433&lt;&gt;"",COUNTIFS('QA Log'!D:D,A433,'QA Log'!M:M,"Vignette",'QA Log'!L:L,"Vignette [10] Post Partum Haemorrhage - Atonic Uterus at Health Centre",'QA Log'!Z:Z,"Approved"),"")</f>
        <v/>
      </c>
      <c r="BM433" s="102" t="str">
        <f>IF(A433="","",SUM(
    COUNTIFS('QA Log'!D:D,A433,'QA Log'!M:M,"Vignette",'QA Log'!Z:Z,"Rejected",'QA Log'!L:L,"*Vignette [5] Labor*"),
    COUNTIFS('QA Log'!D:D,A433,'QA Log'!M:M,"Vignette",'QA Log'!Z:Z,"Rejected",'QA Log'!L:L,"*Vignette [6] PNC pre Discharge*"),
    COUNTIFS('QA Log'!D:D,A433,'QA Log'!M:M,"Vignette",'QA Log'!Z:Z,"Rejected",'QA Log'!L:L,"*Vignette [7] First ANC Visit*"),
    COUNTIFS('QA Log'!D:D,A433,'QA Log'!M:M,"Vignette",'QA Log'!Z:Z,"Rejected",'QA Log'!L:L,"*Vignette [8] Birth Spacing/ Family Planning :  FP Counselling*"),
    COUNTIFS('QA Log'!D:D,A433,'QA Log'!M:M,"Vignette",'QA Log'!Z:Z,"Rejected",'QA Log'!L:L,"*Vignette [9] Birth Spacing: Change FP method to Injectable*"),
    COUNTIFS('QA Log'!D:D,A433,'QA Log'!M:M,"Vignette",'QA Log'!Z:Z,"Rejected",'QA Log'!L:L,"*Vignette [10] Post Partum Haemorrhage - Atonic Uterus at Health Centre*")
  )
)</f>
        <v/>
      </c>
      <c r="BN433" s="107" t="str">
        <f t="shared" si="37"/>
        <v/>
      </c>
      <c r="BO433" s="103" t="str">
        <f t="shared" si="38"/>
        <v/>
      </c>
      <c r="BP433" s="102" t="str">
        <f>IF(A433="","",SUM(
COUNTIFS('QA Log'!D:D,A433,'QA Log'!M:M,"Vignette",'QA Log'!L:L,"*Exit Interview 1*"),
COUNTIFS('QA Log'!D:D,A433,'QA Log'!M:M,"Vignette",'QA Log'!L:L,"*Exit Interview 2*"),
)
)</f>
        <v/>
      </c>
      <c r="BQ433" s="102" t="str">
        <f>IF(
  A433="","",
  SUM(
    COUNTIFS('QA Log'!D:D,A433,'QA Log'!M:M,"Vignette",'QA Log'!Z:Z,"Approved",'QA Log'!L:L,"*Exit Interview 1*"),
    COUNTIFS('QA Log'!D:D,A433,'QA Log'!M:M,"Vignette",'QA Log'!Z:Z,"Approved",'QA Log'!L:L,"*Exit Interview 2*")
  )
)</f>
        <v/>
      </c>
      <c r="BR433" s="105" t="str">
        <f>IF(A433&lt;&gt;"",COUNTIFS('QA Log'!D:D,A433,'QA Log'!M:M,"Vignette",'QA Log'!L:L,"Exit Interview 1",'QA Log'!Z:Z,"Approved"),"")</f>
        <v/>
      </c>
      <c r="BS433" s="105" t="str">
        <f>IF(A433&lt;&gt;"",COUNTIFS('QA Log'!D:D,A433,'QA Log'!M:M,"Vignette",'QA Log'!L:L,"Exit Interview 2",'QA Log'!Z:Z,"Approved"),"")</f>
        <v/>
      </c>
      <c r="BT433" s="102" t="str">
        <f>IF(
  A433="","",
  SUM(
    COUNTIFS('QA Log'!D:D,A433,'QA Log'!M:M,"Vignette",'QA Log'!Z:Z,"Rejected",'QA Log'!L:L,"*Exit Interview 1*"),
    COUNTIFS('QA Log'!D:D,A433,'QA Log'!M:M,"Vignette",'QA Log'!Z:Z,"Rejected",'QA Log'!L:L,"*Exit Interview 2*")
  )
)</f>
        <v/>
      </c>
      <c r="BU433" s="107" t="str">
        <f t="shared" si="39"/>
        <v/>
      </c>
      <c r="BV433" s="102" t="str">
        <f t="shared" si="40"/>
        <v/>
      </c>
      <c r="BW433" s="102" t="str">
        <f t="shared" si="41"/>
        <v/>
      </c>
      <c r="BX433" s="102" t="str">
        <f t="shared" si="42"/>
        <v/>
      </c>
      <c r="BY433" s="102" t="str">
        <f t="shared" si="43"/>
        <v/>
      </c>
      <c r="BZ433" s="107" t="str">
        <f t="shared" si="44"/>
        <v/>
      </c>
      <c r="CA433" s="108" t="str">
        <f t="shared" si="45"/>
        <v/>
      </c>
      <c r="CB433" s="108" t="str">
        <f t="shared" si="46"/>
        <v/>
      </c>
      <c r="CC433" s="109" t="str">
        <f t="shared" si="47"/>
        <v/>
      </c>
      <c r="CD433" s="108" t="str">
        <f t="shared" si="48"/>
        <v/>
      </c>
      <c r="CE433" s="108" t="str">
        <f t="shared" si="49"/>
        <v/>
      </c>
      <c r="CF433" s="109" t="str">
        <f t="shared" si="50"/>
        <v/>
      </c>
      <c r="CG433" s="110" t="str">
        <f t="shared" si="51"/>
        <v/>
      </c>
      <c r="CH433" s="111"/>
    </row>
    <row r="434" spans="1:86" ht="12.75">
      <c r="A434" s="101"/>
      <c r="B434" s="102" t="e">
        <f t="array" aca="1" ref="B434" ca="1">_xludf.XLOOKUP(A434,'QA Log'!D:D,'QA Log'!E:E,"")</f>
        <v>#NAME?</v>
      </c>
      <c r="C434" s="102" t="e">
        <f t="array" aca="1" ref="C434" ca="1">_xludf.XLOOKUP(A434,'QA Log'!D:D,'QA Log'!F:F,"")</f>
        <v>#NAME?</v>
      </c>
      <c r="D434" s="102" t="e">
        <f t="array" aca="1" ref="D434" ca="1">_xludf.XLOOKUP(A434,'QA Log'!D:D,'QA Log'!H:H,"")</f>
        <v>#NAME?</v>
      </c>
      <c r="E434" s="102" t="e">
        <f t="array" aca="1" ref="E434" ca="1">_xludf.XLOOKUP(A434,'QA Log'!D:D,'QA Log'!G:G,"")</f>
        <v>#NAME?</v>
      </c>
      <c r="F434" s="103"/>
      <c r="G434" s="104"/>
      <c r="H434" s="104"/>
      <c r="I434" s="103" t="str">
        <f t="shared" si="26"/>
        <v/>
      </c>
      <c r="J434" s="102" t="str">
        <f>IF(A434="","",SUM(
COUNTIFS('QA Log'!D:D,A434,'QA Log'!M:M,"QQC",'QA Log'!L:L,"*1. General Management*"),
COUNTIFS('QA Log'!D:D,A434,'QA Log'!M:M,"QQC",'QA Log'!L:L,"*3. Curative Consultation (OPD)*"),
COUNTIFS('QA Log'!D:D,A434,'QA Log'!M:M,"QQC",'QA Log'!L:L,"*5. Laboratory*"),
COUNTIFS('QA Log'!D:D,A434,'QA Log'!M:M,"QQC",'QA Log'!L:L,"*6. Essential Medicine Management*"),
COUNTIFS('QA Log'!D:D,A434,'QA Log'!M:M,"QQC",'QA Log'!L:L,"*7. Tracer Medicine*"),
COUNTIFS('QA Log'!D:D,A434,'QA Log'!M:M,"QQC",'QA Log'!L:L,"*11. Additional Questions*")))</f>
        <v/>
      </c>
      <c r="K434" s="102" t="str">
        <f>IF(A434="","",SUM(
COUNTIFS('QA Log'!D:D,A434,'QA Log'!M:M,"QQC",'QA Log'!Z:Z,"Approved",'QA Log'!L:L,"*1. General Management*"),
COUNTIFS('QA Log'!D:D,A434,'QA Log'!M:M,"QQC",'QA Log'!Z:Z,"Approved",'QA Log'!L:L,"*3. Curative Consultation (OPD)*"),
COUNTIFS('QA Log'!D:D,A434,'QA Log'!M:M,"QQC",'QA Log'!Z:Z,"Approved",'QA Log'!L:L,"*5. Laboratory*"),
COUNTIFS('QA Log'!D:D,A434,'QA Log'!M:M,"QQC",'QA Log'!Z:Z,"Approved",'QA Log'!L:L,"*6. Essential Medicine Management*"),
COUNTIFS('QA Log'!D:D,A434,'QA Log'!M:M,"QQC",'QA Log'!Z:Z,"Approved",'QA Log'!L:L,"*7. Tracer Medicine*"),
COUNTIFS('QA Log'!D:D,A434,'QA Log'!M:M,"QQC",'QA Log'!Z:Z,"Approved",'QA Log'!L:L,"*11. Additional Questions*")))</f>
        <v/>
      </c>
      <c r="L434" s="102" t="str">
        <f>IF(A434&lt;&gt;"",COUNTIFS('QA Log'!D:D,A434,'QA Log'!M:M,"QQC",'QA Log'!L:L,"1. General Management",'QA Log'!Z:Z,"Approved"),"")</f>
        <v/>
      </c>
      <c r="M434" s="102" t="str">
        <f>IF(A434&lt;&gt;"",COUNTIFS('QA Log'!D:D,A434,'QA Log'!M:M,"QQC",'QA Log'!L:L,"3. Curative Consultation (OPD)",'QA Log'!Z:Z,"Approved"),"")</f>
        <v/>
      </c>
      <c r="N434" s="102" t="str">
        <f>IF(A434&lt;&gt;"",COUNTIFS('QA Log'!D:D,A434,'QA Log'!M:M,"QQC",'QA Log'!L:L,"5. Laboratory",'QA Log'!Z:Z,"Approved"),"")</f>
        <v/>
      </c>
      <c r="O434" s="102" t="str">
        <f>IF(A434&lt;&gt;"",COUNTIFS('QA Log'!D:D,A434,'QA Log'!M:M,"QQC",'QA Log'!L:L,"6. Essential Medicine Management",'QA Log'!Z:Z,"Approved"),"")</f>
        <v/>
      </c>
      <c r="P434" s="102" t="str">
        <f>IF(A434&lt;&gt;"",COUNTIFS('QA Log'!D:D,A434,'QA Log'!M:M,"QQC",'QA Log'!L:L,"7. Tracer Medicine",'QA Log'!Z:Z,"Approved"),"")</f>
        <v/>
      </c>
      <c r="Q434" s="102" t="str">
        <f>IF(A434&lt;&gt;"",COUNTIFS('QA Log'!D:D,A434,'QA Log'!M:M,"QQC",'QA Log'!L:L,"11. Additional Questions",'QA Log'!Z:Z,"Approved"),"")</f>
        <v/>
      </c>
      <c r="R434" s="102" t="str">
        <f>IF(A434="","",SUM(
COUNTIFS('QA Log'!D:D,A434,'QA Log'!M:M,"QQC",'QA Log'!Z:Z,"Rejected",'QA Log'!L:L,"*8. Maternity*"),
COUNTIFS('QA Log'!D:D,A434,'QA Log'!M:M,"QQC",'QA Log'!Z:Z,"Rejected",'QA Log'!L:L,"*EPI*"),
COUNTIFS('QA Log'!D:D,A434,'QA Log'!M:M,"QQC",'QA Log'!Z:Z,"Rejected",'QA Log'!L:L,"*10. Antenatal Care (ANC)*"),
COUNTIFS('QA Log'!D:D,A434,'QA Log'!M:M,"QQC",'QA Log'!Z:Z,"Rejected",'QA Log'!L:L,"*2. Hygiene and Sterilization*"),
COUNTIFS('QA Log'!D:D,A434,'QA Log'!M:M,"QQC",'QA Log'!Z:Z,"Rejected",'QA Log'!L:L,"*Family Planning*")))</f>
        <v/>
      </c>
      <c r="S434" s="106" t="str">
        <f t="shared" si="27"/>
        <v/>
      </c>
      <c r="T434" s="102" t="str">
        <f t="shared" si="28"/>
        <v/>
      </c>
      <c r="U434" s="102" t="str">
        <f>IF(A434="","",
SUM(
COUNTIFS('QA Log'!D:D,A434,'QA Log'!M:M,"QQC",'QA Log'!L:L,"*8. Maternity*"),
COUNTIFS('QA Log'!D:D,A434,'QA Log'!M:M,"QQC",'QA Log'!L:L,"*9. EPI and Pre-school Consultation*"),
COUNTIFS('QA Log'!D:D,A434,'QA Log'!M:M,"QQC",'QA Log'!L:L,"*10. Antenatal Care (ANC)*"),
COUNTIFS('QA Log'!D:D,A434,'QA Log'!M:M,"QQC",'QA Log'!L:L,"*2. Hygiene and Sterilization*"),
COUNTIFS('QA Log'!D:D,A434,'QA Log'!M:M,"QQC",'QA Log'!L:L,"*4. Family Planning*")
))</f>
        <v/>
      </c>
      <c r="V434" s="102" t="str">
        <f>IF(A434="","",
SUM(
COUNTIFS('QA Log'!D:D,A434,'QA Log'!M:M,"QQC",'QA Log'!Z:Z,"Approved",'QA Log'!L:L,"*8. Maternity*"),
COUNTIFS('QA Log'!D:D,A434,'QA Log'!M:M,"QQC",'QA Log'!Z:Z,"Approved",'QA Log'!L:L,"*9. EPI and Pre-school Consultation*"),
COUNTIFS('QA Log'!D:D,A434,'QA Log'!M:M,"QQC",'QA Log'!Z:Z,"Approved",'QA Log'!L:L,"*10. Antenatal Care (ANC)*"),
COUNTIFS('QA Log'!D:D,A434,'QA Log'!M:M,"QQC",'QA Log'!Z:Z,"Approved",'QA Log'!L:L,"*2. Hygiene and Sterilization*"),
COUNTIFS('QA Log'!D:D,A434,'QA Log'!M:M,"QQC",'QA Log'!Z:Z,"Approved",'QA Log'!L:L,"*4. Family Planning*")
))</f>
        <v/>
      </c>
      <c r="W434" s="102" t="str">
        <f>IF(A434&lt;&gt;"",COUNTIFS('QA Log'!D:D,A434,'QA Log'!M:M,"QQC",'QA Log'!L:L,"8. Maternity",'QA Log'!Z:Z,"Approved"),"")</f>
        <v/>
      </c>
      <c r="X434" s="105" t="str">
        <f>IF(A434&lt;&gt;"",COUNTIFS('QA Log'!D:D,A434,'QA Log'!M:M,"QQC",'QA Log'!L:L,"9. EPI and Pre-school Consultation",'QA Log'!Z:Z,"Approved"),"")</f>
        <v/>
      </c>
      <c r="Y434" s="102" t="str">
        <f>IF(A434&lt;&gt;"",COUNTIFS('QA Log'!D:D,A434,'QA Log'!M:M,"QQC",'QA Log'!L:L,"10. Antenatal Care (ANC)",'QA Log'!Z:Z,"Approved"),"")</f>
        <v/>
      </c>
      <c r="Z434" s="102" t="str">
        <f>IF(A434&lt;&gt;"",COUNTIFS('QA Log'!D:D,A434,'QA Log'!M:M,"QQC",'QA Log'!L:L,"2. Hygiene and Sterilization",'QA Log'!Z:Z,"Approved"),"")</f>
        <v/>
      </c>
      <c r="AA434" s="105" t="str">
        <f>IF(A434&lt;&gt;"",COUNTIFS('QA Log'!D:D,A434,'QA Log'!M:M,"QQC",'QA Log'!L:L,"4. Family Planning",'QA Log'!Z:Z,"Approved"),"")</f>
        <v/>
      </c>
      <c r="AB434" s="102" t="str">
        <f>IF(A434="","",
SUM(
COUNTIFS('QA Log'!D:D,A434,'QA Log'!M:M,"QQC",'QA Log'!Z:Z,"Rejected",'QA Log'!L:L,"*8. Maternity*"),
COUNTIFS('QA Log'!D:D,A434,'QA Log'!M:M,"QQC",'QA Log'!Z:Z,"Rejected",'QA Log'!L:L,"*9. EPI and Pre-school Consultation*"),
COUNTIFS('QA Log'!D:D,A434,'QA Log'!M:M,"QQC",'QA Log'!Z:Z,"Rejected",'QA Log'!L:L,"*10. Antenatal Care (ANC)*"),
COUNTIFS('QA Log'!D:D,A434,'QA Log'!M:M,"QQC",'QA Log'!Z:Z,"Rejected",'QA Log'!L:L,"*2. Hygiene and Sterilization*"),
COUNTIFS('QA Log'!D:D,A434,'QA Log'!M:M,"QQC",'QA Log'!Z:Z,"Rejected",'QA Log'!L:L,"*4. Family Planning*")
))</f>
        <v/>
      </c>
      <c r="AC434" s="102" t="str">
        <f t="shared" si="29"/>
        <v/>
      </c>
      <c r="AD434" s="103" t="str">
        <f t="shared" si="30"/>
        <v/>
      </c>
      <c r="AE434" s="102" t="str">
        <f>IF(A434="","",
SUM(
COUNTIFS('QA Log'!D:D,A434,'QA Log'!M:M,"Data Verification",'QA Log'!L:L,"*Medicine (section 2)*"),
COUNTIFS('QA Log'!D:D,A434,'QA Log'!M:M,"Data Verification",'QA Log'!L:L,"*Lab Testing Availability*"),
COUNTIFS('QA Log'!D:D,A434,'QA Log'!M:M,"Data Verification",'QA Log'!L:L,"*Other than P4P (section 6)*"),
COUNTIFS('QA Log'!D:D,A434,'QA Log'!M:M,"Data Verification",'QA Log'!L:L,"*Hospital Governance*")
))</f>
        <v/>
      </c>
      <c r="AF434" s="102" t="str">
        <f>IF(A434="","",
SUM(
COUNTIFS('QA Log'!D:D,A434,'QA Log'!M:M,"Data Verification",'QA Log'!Z:Z,"Approved",'QA Log'!L:L,"*Medicine (section 2)*"),
COUNTIFS('QA Log'!D:D,A434,'QA Log'!M:M,"Data Verification",'QA Log'!Z:Z,"Approved",'QA Log'!L:L,"*Lab Testing Availability*"),
COUNTIFS('QA Log'!D:D,A434,'QA Log'!M:M,"Data Verification",'QA Log'!Z:Z,"Approved",'QA Log'!L:L,"*Other than P4P (section 6)*"),
COUNTIFS('QA Log'!D:D,A434,'QA Log'!M:M,"Data Verification",'QA Log'!Z:Z,"Approved",'QA Log'!L:L,"*Hospital Governance*")
))</f>
        <v/>
      </c>
      <c r="AG434" s="105" t="str">
        <f>IF(A434&lt;&gt;"",COUNTIFS('QA Log'!D:D,A434,'QA Log'!M:M,"Data Verification",'QA Log'!L:L,"Medicine (section 2)",'QA Log'!Z:Z,"Approved"),"")</f>
        <v/>
      </c>
      <c r="AH434" s="105" t="str">
        <f>IF(A434&lt;&gt;"",COUNTIFS('QA Log'!D:D,A434,'QA Log'!M:M,"Data Verification",'QA Log'!L:L,"Lab Testing Availability",'QA Log'!Z:Z,"Approved"),"")</f>
        <v/>
      </c>
      <c r="AI434" s="105" t="str">
        <f>IF(A434&lt;&gt;"",COUNTIFS('QA Log'!D:D,A434,'QA Log'!M:M,"Data Verification",'QA Log'!L:L,"Other than P4P (section 6)",'QA Log'!Z:Z,"Approved"),"")</f>
        <v/>
      </c>
      <c r="AJ434" s="105" t="str">
        <f>IF(A434&lt;&gt;"",COUNTIFS('QA Log'!D:D,A434,'QA Log'!M:M,"Data Verification",'QA Log'!L:L,"Hospital Governance",'QA Log'!Z:Z,"Approved"),"")</f>
        <v/>
      </c>
      <c r="AK434" s="102" t="str">
        <f>IF(A434="","",
SUM(
COUNTIFS('QA Log'!D:D,A434,'QA Log'!M:M,"Data Verification",'QA Log'!Z:Z,"Rejected",'QA Log'!L:L,"*Medicine (section 2)*"),
COUNTIFS('QA Log'!D:D,A434,'QA Log'!M:M,"Data Verification",'QA Log'!Z:Z,"Rejected",'QA Log'!L:L,"*Lab Testing Availability*"),
COUNTIFS('QA Log'!D:D,A434,'QA Log'!M:M,"Data Verification",'QA Log'!Z:Z,"Rejected",'QA Log'!L:L,"*Other than P4P (section 6)*"),
COUNTIFS('QA Log'!D:D,A434,'QA Log'!M:M,"Data Verification",'QA Log'!Z:Z,"Rejected",'QA Log'!L:L,"*Hospital Governance*")
))</f>
        <v/>
      </c>
      <c r="AL434" s="106" t="str">
        <f t="shared" si="31"/>
        <v/>
      </c>
      <c r="AM434" s="102" t="str">
        <f t="shared" si="32"/>
        <v/>
      </c>
      <c r="AN434" s="102" t="str">
        <f>IF(A434="","",
SUM(
COUNTIFS('QA Log'!D:D,A434,'QA Log'!M:M,"Data Verification",'QA Log'!L:L,"*Personnel (section 1)*"),
COUNTIFS('QA Log'!D:D,A434,'QA Log'!M:M,"Data Verification",'QA Log'!L:L,"*Consumable (section 3)*"),
COUNTIFS('QA Log'!D:D,A434,'QA Log'!M:M,"Data Verification",'QA Log'!L:L,"*Equipments (section 4)*")
))</f>
        <v/>
      </c>
      <c r="AO434" s="102" t="str">
        <f>IF(A434="","",
SUM(
COUNTIFS('QA Log'!D:D,A434,'QA Log'!M:M,"Data Verification",'QA Log'!Z:Z,"Approved",'QA Log'!L:L,"*Personnel (section 1)*"),
COUNTIFS('QA Log'!D:D,A434,'QA Log'!M:M,"Data Verification",'QA Log'!Z:Z,"Approved",'QA Log'!L:L,"*Consumable (section 3)*"),
COUNTIFS('QA Log'!D:D,A434,'QA Log'!M:M,"Data Verification",'QA Log'!Z:Z,"Approved",'QA Log'!L:L,"*Equipments (section 4)*")
))</f>
        <v/>
      </c>
      <c r="AP434" s="105" t="str">
        <f>IF(A434&lt;&gt;"",COUNTIFS('QA Log'!D:D,A434,'QA Log'!M:M,"Data Verification",'QA Log'!L:L,"Personnel (section 1)",'QA Log'!Z:Z,"Approved"),"")</f>
        <v/>
      </c>
      <c r="AQ434" s="105" t="str">
        <f>IF(A434&lt;&gt;"",COUNTIFS('QA Log'!D:D,A434,'QA Log'!M:M,"Data Verification",'QA Log'!L:L,"Consumable (section 3)",'QA Log'!Z:Z,"Approved"),"")</f>
        <v/>
      </c>
      <c r="AR434" s="105" t="str">
        <f>IF(A434&lt;&gt;"",COUNTIFS('QA Log'!D:D,A434,'QA Log'!M:M,"Data Verification",'QA Log'!L:L,"Equipments (section 4)",'QA Log'!Z:Z,"Approved"),"")</f>
        <v/>
      </c>
      <c r="AS434" s="102" t="str">
        <f>IF(A434="","",
SUM(
COUNTIFS('QA Log'!D:D,A434,'QA Log'!M:M,"Data Verification",'QA Log'!Z:Z,"Rejected",'QA Log'!L:L,"*Personnel (section 1)*"),
COUNTIFS('QA Log'!D:D,A434,'QA Log'!M:M,"Data Verification",'QA Log'!Z:Z,"Rejected",'QA Log'!L:L,"*Consumable (section 3)*"),
COUNTIFS('QA Log'!D:D,A434,'QA Log'!M:M,"Data Verification",'QA Log'!Z:Z,"Rejected",'QA Log'!L:L,"*Equipments (section 4)*")
))</f>
        <v/>
      </c>
      <c r="AT434" s="102" t="str">
        <f t="shared" si="33"/>
        <v/>
      </c>
      <c r="AU434" s="103" t="str">
        <f t="shared" si="34"/>
        <v/>
      </c>
      <c r="AV434" s="102" t="str">
        <f>IF(A434="","",SUM(
COUNTIFS('QA Log'!D:D,A434,'QA Log'!M:M,"Vignette",'QA Log'!L:L,"*Vignette [1] Respiratory Infection: Pneumonia*"),
COUNTIFS('QA Log'!D:D,A434,'QA Log'!M:M,"Vignette",'QA Log'!L:L,"*Vignette [2]: Diarrhea with Cat B dehydration*"),
COUNTIFS('QA Log'!D:D,A434,'QA Log'!M:M,"Vignette",'QA Log'!L:L,"*Vignette [3] Growth Monitoring and Promotion*"),
COUNTIFS('QA Log'!D:D,A434,'QA Log'!M:M,"Vignette",'QA Log'!L:L,"*Vignette [4]: The management of presumptive TB patient*")
)
)</f>
        <v/>
      </c>
      <c r="AW434" s="102" t="str">
        <f>IF(
  A434="","",
  SUM(
    COUNTIFS('QA Log'!D:D,A434,'QA Log'!M:M,"Vignette",'QA Log'!Z:Z,"Approved",'QA Log'!L:L,"*Vignette [1] Respiratory Infection: Pneumonia*"),
    COUNTIFS('QA Log'!D:D,A434,'QA Log'!M:M,"Vignette",'QA Log'!Z:Z,"Approved",'QA Log'!L:L,"*Vignette [2]: Diarrhea with Cat B dehydration*"),
    COUNTIFS('QA Log'!D:D,A434,'QA Log'!M:M,"Vignette",'QA Log'!Z:Z,"Approved",'QA Log'!L:L,"*Vignette [3] Growth Monitoring and Promotion*"),
    COUNTIFS('QA Log'!D:D,A434,'QA Log'!M:M,"Vignette",'QA Log'!Z:Z,"Approved",'QA Log'!L:L,"*Vignette [4]: The management of presumptive TB patient*")
  )
)</f>
        <v/>
      </c>
      <c r="AX434" s="105" t="str">
        <f>IF(A434&lt;&gt;"",COUNTIFS('QA Log'!D:D,A434,'QA Log'!M:M,"Vignette",'QA Log'!L:L,"Vignette [1] Respiratory Infection: Pneumonia",'QA Log'!Z:Z,"Approved"),"")</f>
        <v/>
      </c>
      <c r="AY434" s="105" t="str">
        <f>IF(A434&lt;&gt;"",COUNTIFS('QA Log'!D:D,A434,'QA Log'!M:M,"Vignette",'QA Log'!L:L,"Vignette [2]: Diarrhea with Cat B dehydration",'QA Log'!Z:Z,"Approved"),"")</f>
        <v/>
      </c>
      <c r="AZ434" s="105" t="str">
        <f>IF(A434&lt;&gt;"",COUNTIFS('QA Log'!D:D,A434,'QA Log'!M:M,"Vignette",'QA Log'!L:L,"Vignette [3] Growth Monitoring and Promotion",'QA Log'!Z:Z,"Approved"),"")</f>
        <v/>
      </c>
      <c r="BA434" s="105" t="str">
        <f>IF(A434&lt;&gt;"",COUNTIFS('QA Log'!D:D,A434,'QA Log'!M:M,"Vignette",'QA Log'!L:L,"Vignette [4]: The management of presumptive TB patient",'QA Log'!Z:Z,"Approved"),"")</f>
        <v/>
      </c>
      <c r="BB434" s="102" t="str">
        <f>IF(A434="","",
  SUM(
    COUNTIFS('QA Log'!D:D,A434,'QA Log'!M:M,"Vignette",'QA Log'!Z:Z,"Rejected",'QA Log'!L:L,"*Vignette [1] Respiratory Infection: Pneumonia*"),
    COUNTIFS('QA Log'!D:D,A434,'QA Log'!M:M,"Vignette",'QA Log'!Z:Z,"Rejected",'QA Log'!L:L,"*Vignette [2]: Diarrhea with Cat B dehydration*"),
    COUNTIFS('QA Log'!D:D,A434,'QA Log'!M:M,"Vignette",'QA Log'!Z:Z,"Rejected",'QA Log'!L:L,"*Vignette [3] Growth Monitoring and Promotion*"),
    COUNTIFS('QA Log'!D:D,A434,'QA Log'!M:M,"Vignette",'QA Log'!Z:Z,"Rejected",'QA Log'!L:L,"*Vignette [4]: The management of presumptive TB patient*")
  )
)</f>
        <v/>
      </c>
      <c r="BC434" s="107" t="str">
        <f t="shared" si="35"/>
        <v/>
      </c>
      <c r="BD434" s="103" t="str">
        <f t="shared" si="36"/>
        <v/>
      </c>
      <c r="BE434" s="102" t="str">
        <f>IF(A434="","",SUM(
COUNTIFS('QA Log'!D:D,A434,'QA Log'!M:M,"Vignette",'QA Log'!L:L,"*Vignette [5] Labor*"),
COUNTIFS('QA Log'!D:D,A434,'QA Log'!M:M,"Vignette",'QA Log'!L:L,"*Vignette [6] PNC pre Discharge*"),
COUNTIFS('QA Log'!D:D,A434,'QA Log'!M:M,"Vignette",'QA Log'!L:L,"*Vignette [7] First ANC Visit*"),
COUNTIFS('QA Log'!D:D,A434,'QA Log'!M:M,"Vignette",'QA Log'!L:L,"*Vignette [8] Birth Spacing/ Family Planning :  FP Counselling*"),
COUNTIFS('QA Log'!D:D,A434,'QA Log'!M:M,"Vignette",'QA Log'!L:L,"*Vignette [9] Birth Spacing: Change FP method to Injectable*"),
COUNTIFS('QA Log'!D:D,A434,'QA Log'!M:M,"Vignette",'QA Log'!L:L,"*Vignette [10] Post Partum Haemorrhage - Atonic Uterus at Health Centre*"),
)
)</f>
        <v/>
      </c>
      <c r="BF434" s="102" t="str">
        <f>IF(A434="","",
  SUM(
    COUNTIFS('QA Log'!D:D,A434,'QA Log'!M:M,"Vignette",'QA Log'!Z:Z,"Approved",'QA Log'!L:L,"*Vignette [5] Labor*"),
    COUNTIFS('QA Log'!D:D,A434,'QA Log'!M:M,"Vignette",'QA Log'!Z:Z,"Approved",'QA Log'!L:L,"*Vignette [6] PNC pre Discharge*"),
    COUNTIFS('QA Log'!D:D,A434,'QA Log'!M:M,"Vignette",'QA Log'!Z:Z,"Approved",'QA Log'!L:L,"*Vignette [7] First ANC Visit*"),
    COUNTIFS('QA Log'!D:D,A434,'QA Log'!M:M,"Vignette",'QA Log'!Z:Z,"Approved",'QA Log'!L:L,"*Vignette [8] Birth Spacing/ Family Planning :  FP Counselling*"),
    COUNTIFS('QA Log'!D:D,A434,'QA Log'!M:M,"Vignette",'QA Log'!Z:Z,"Approved",'QA Log'!L:L,"*Vignette [9] Birth Spacing: Change FP method to Injectable*"),
    COUNTIFS('QA Log'!D:D,A434,'QA Log'!M:M,"Vignette",'QA Log'!Z:Z,"Approved",'QA Log'!L:L,"*Vignette [10] Post Partum Haemorrhage - Atonic Uterus at Health Centre*")
  )
)</f>
        <v/>
      </c>
      <c r="BG434" s="105" t="str">
        <f>IF(A434&lt;&gt;"",COUNTIFS('QA Log'!D:D,A434,'QA Log'!M:M,"Vignette",'QA Log'!L:L,"Vignette [5] Labor",'QA Log'!Z:Z,"Approved"),"")</f>
        <v/>
      </c>
      <c r="BH434" s="105" t="str">
        <f>IF(A434&lt;&gt;"",COUNTIFS('QA Log'!D:D,A434,'QA Log'!M:M,"Vignette",'QA Log'!L:L,"Vignette [6] PNC pre Discharge",'QA Log'!Z:Z,"Approved"),"")</f>
        <v/>
      </c>
      <c r="BI434" s="105" t="str">
        <f>IF(A434&lt;&gt;"",COUNTIFS('QA Log'!D:D,A434,'QA Log'!M:M,"Vignette",'QA Log'!L:L,"Vignette [7] First ANC Visit",'QA Log'!Z:Z,"Approved"),"")</f>
        <v/>
      </c>
      <c r="BJ434" s="105" t="str">
        <f>IF(A434&lt;&gt;"",COUNTIFS('QA Log'!D:D,A434,'QA Log'!M:M,"Vignette",'QA Log'!L:L,"Vignette [8] Birth Spacing/ Family Planning :  FP Counselling",'QA Log'!Z:Z,"Approved"),"")</f>
        <v/>
      </c>
      <c r="BK434" s="105" t="str">
        <f>IF(A434&lt;&gt;"",COUNTIFS('QA Log'!D:D,A434,'QA Log'!M:M,"Vignette",'QA Log'!L:L,"Vignette [9] Birth Spacing: Change FP method to Injectable",'QA Log'!Z:Z,"Approved"),"")</f>
        <v/>
      </c>
      <c r="BL434" s="105" t="str">
        <f>IF(A434&lt;&gt;"",COUNTIFS('QA Log'!D:D,A434,'QA Log'!M:M,"Vignette",'QA Log'!L:L,"Vignette [10] Post Partum Haemorrhage - Atonic Uterus at Health Centre",'QA Log'!Z:Z,"Approved"),"")</f>
        <v/>
      </c>
      <c r="BM434" s="102" t="str">
        <f>IF(A434="","",SUM(
    COUNTIFS('QA Log'!D:D,A434,'QA Log'!M:M,"Vignette",'QA Log'!Z:Z,"Rejected",'QA Log'!L:L,"*Vignette [5] Labor*"),
    COUNTIFS('QA Log'!D:D,A434,'QA Log'!M:M,"Vignette",'QA Log'!Z:Z,"Rejected",'QA Log'!L:L,"*Vignette [6] PNC pre Discharge*"),
    COUNTIFS('QA Log'!D:D,A434,'QA Log'!M:M,"Vignette",'QA Log'!Z:Z,"Rejected",'QA Log'!L:L,"*Vignette [7] First ANC Visit*"),
    COUNTIFS('QA Log'!D:D,A434,'QA Log'!M:M,"Vignette",'QA Log'!Z:Z,"Rejected",'QA Log'!L:L,"*Vignette [8] Birth Spacing/ Family Planning :  FP Counselling*"),
    COUNTIFS('QA Log'!D:D,A434,'QA Log'!M:M,"Vignette",'QA Log'!Z:Z,"Rejected",'QA Log'!L:L,"*Vignette [9] Birth Spacing: Change FP method to Injectable*"),
    COUNTIFS('QA Log'!D:D,A434,'QA Log'!M:M,"Vignette",'QA Log'!Z:Z,"Rejected",'QA Log'!L:L,"*Vignette [10] Post Partum Haemorrhage - Atonic Uterus at Health Centre*")
  )
)</f>
        <v/>
      </c>
      <c r="BN434" s="107" t="str">
        <f t="shared" si="37"/>
        <v/>
      </c>
      <c r="BO434" s="103" t="str">
        <f t="shared" si="38"/>
        <v/>
      </c>
      <c r="BP434" s="102" t="str">
        <f>IF(A434="","",SUM(
COUNTIFS('QA Log'!D:D,A434,'QA Log'!M:M,"Vignette",'QA Log'!L:L,"*Exit Interview 1*"),
COUNTIFS('QA Log'!D:D,A434,'QA Log'!M:M,"Vignette",'QA Log'!L:L,"*Exit Interview 2*"),
)
)</f>
        <v/>
      </c>
      <c r="BQ434" s="102" t="str">
        <f>IF(
  A434="","",
  SUM(
    COUNTIFS('QA Log'!D:D,A434,'QA Log'!M:M,"Vignette",'QA Log'!Z:Z,"Approved",'QA Log'!L:L,"*Exit Interview 1*"),
    COUNTIFS('QA Log'!D:D,A434,'QA Log'!M:M,"Vignette",'QA Log'!Z:Z,"Approved",'QA Log'!L:L,"*Exit Interview 2*")
  )
)</f>
        <v/>
      </c>
      <c r="BR434" s="105" t="str">
        <f>IF(A434&lt;&gt;"",COUNTIFS('QA Log'!D:D,A434,'QA Log'!M:M,"Vignette",'QA Log'!L:L,"Exit Interview 1",'QA Log'!Z:Z,"Approved"),"")</f>
        <v/>
      </c>
      <c r="BS434" s="105" t="str">
        <f>IF(A434&lt;&gt;"",COUNTIFS('QA Log'!D:D,A434,'QA Log'!M:M,"Vignette",'QA Log'!L:L,"Exit Interview 2",'QA Log'!Z:Z,"Approved"),"")</f>
        <v/>
      </c>
      <c r="BT434" s="102" t="str">
        <f>IF(
  A434="","",
  SUM(
    COUNTIFS('QA Log'!D:D,A434,'QA Log'!M:M,"Vignette",'QA Log'!Z:Z,"Rejected",'QA Log'!L:L,"*Exit Interview 1*"),
    COUNTIFS('QA Log'!D:D,A434,'QA Log'!M:M,"Vignette",'QA Log'!Z:Z,"Rejected",'QA Log'!L:L,"*Exit Interview 2*")
  )
)</f>
        <v/>
      </c>
      <c r="BU434" s="107" t="str">
        <f t="shared" si="39"/>
        <v/>
      </c>
      <c r="BV434" s="102" t="str">
        <f t="shared" si="40"/>
        <v/>
      </c>
      <c r="BW434" s="102" t="str">
        <f t="shared" si="41"/>
        <v/>
      </c>
      <c r="BX434" s="102" t="str">
        <f t="shared" si="42"/>
        <v/>
      </c>
      <c r="BY434" s="102" t="str">
        <f t="shared" si="43"/>
        <v/>
      </c>
      <c r="BZ434" s="107" t="str">
        <f t="shared" si="44"/>
        <v/>
      </c>
      <c r="CA434" s="108" t="str">
        <f t="shared" si="45"/>
        <v/>
      </c>
      <c r="CB434" s="108" t="str">
        <f t="shared" si="46"/>
        <v/>
      </c>
      <c r="CC434" s="109" t="str">
        <f t="shared" si="47"/>
        <v/>
      </c>
      <c r="CD434" s="108" t="str">
        <f t="shared" si="48"/>
        <v/>
      </c>
      <c r="CE434" s="108" t="str">
        <f t="shared" si="49"/>
        <v/>
      </c>
      <c r="CF434" s="109" t="str">
        <f t="shared" si="50"/>
        <v/>
      </c>
      <c r="CG434" s="110" t="str">
        <f t="shared" si="51"/>
        <v/>
      </c>
      <c r="CH434" s="111"/>
    </row>
    <row r="435" spans="1:86" ht="12.75">
      <c r="A435" s="101"/>
      <c r="B435" s="102" t="e">
        <f t="array" aca="1" ref="B435" ca="1">_xludf.XLOOKUP(A435,'QA Log'!D:D,'QA Log'!E:E,"")</f>
        <v>#NAME?</v>
      </c>
      <c r="C435" s="102" t="e">
        <f t="array" aca="1" ref="C435" ca="1">_xludf.XLOOKUP(A435,'QA Log'!D:D,'QA Log'!F:F,"")</f>
        <v>#NAME?</v>
      </c>
      <c r="D435" s="102" t="e">
        <f t="array" aca="1" ref="D435" ca="1">_xludf.XLOOKUP(A435,'QA Log'!D:D,'QA Log'!H:H,"")</f>
        <v>#NAME?</v>
      </c>
      <c r="E435" s="102" t="e">
        <f t="array" aca="1" ref="E435" ca="1">_xludf.XLOOKUP(A435,'QA Log'!D:D,'QA Log'!G:G,"")</f>
        <v>#NAME?</v>
      </c>
      <c r="F435" s="103"/>
      <c r="G435" s="104"/>
      <c r="H435" s="104"/>
      <c r="I435" s="103" t="str">
        <f t="shared" si="26"/>
        <v/>
      </c>
      <c r="J435" s="102" t="str">
        <f>IF(A435="","",SUM(
COUNTIFS('QA Log'!D:D,A435,'QA Log'!M:M,"QQC",'QA Log'!L:L,"*1. General Management*"),
COUNTIFS('QA Log'!D:D,A435,'QA Log'!M:M,"QQC",'QA Log'!L:L,"*3. Curative Consultation (OPD)*"),
COUNTIFS('QA Log'!D:D,A435,'QA Log'!M:M,"QQC",'QA Log'!L:L,"*5. Laboratory*"),
COUNTIFS('QA Log'!D:D,A435,'QA Log'!M:M,"QQC",'QA Log'!L:L,"*6. Essential Medicine Management*"),
COUNTIFS('QA Log'!D:D,A435,'QA Log'!M:M,"QQC",'QA Log'!L:L,"*7. Tracer Medicine*"),
COUNTIFS('QA Log'!D:D,A435,'QA Log'!M:M,"QQC",'QA Log'!L:L,"*11. Additional Questions*")))</f>
        <v/>
      </c>
      <c r="K435" s="102" t="str">
        <f>IF(A435="","",SUM(
COUNTIFS('QA Log'!D:D,A435,'QA Log'!M:M,"QQC",'QA Log'!Z:Z,"Approved",'QA Log'!L:L,"*1. General Management*"),
COUNTIFS('QA Log'!D:D,A435,'QA Log'!M:M,"QQC",'QA Log'!Z:Z,"Approved",'QA Log'!L:L,"*3. Curative Consultation (OPD)*"),
COUNTIFS('QA Log'!D:D,A435,'QA Log'!M:M,"QQC",'QA Log'!Z:Z,"Approved",'QA Log'!L:L,"*5. Laboratory*"),
COUNTIFS('QA Log'!D:D,A435,'QA Log'!M:M,"QQC",'QA Log'!Z:Z,"Approved",'QA Log'!L:L,"*6. Essential Medicine Management*"),
COUNTIFS('QA Log'!D:D,A435,'QA Log'!M:M,"QQC",'QA Log'!Z:Z,"Approved",'QA Log'!L:L,"*7. Tracer Medicine*"),
COUNTIFS('QA Log'!D:D,A435,'QA Log'!M:M,"QQC",'QA Log'!Z:Z,"Approved",'QA Log'!L:L,"*11. Additional Questions*")))</f>
        <v/>
      </c>
      <c r="L435" s="102" t="str">
        <f>IF(A435&lt;&gt;"",COUNTIFS('QA Log'!D:D,A435,'QA Log'!M:M,"QQC",'QA Log'!L:L,"1. General Management",'QA Log'!Z:Z,"Approved"),"")</f>
        <v/>
      </c>
      <c r="M435" s="102" t="str">
        <f>IF(A435&lt;&gt;"",COUNTIFS('QA Log'!D:D,A435,'QA Log'!M:M,"QQC",'QA Log'!L:L,"3. Curative Consultation (OPD)",'QA Log'!Z:Z,"Approved"),"")</f>
        <v/>
      </c>
      <c r="N435" s="102" t="str">
        <f>IF(A435&lt;&gt;"",COUNTIFS('QA Log'!D:D,A435,'QA Log'!M:M,"QQC",'QA Log'!L:L,"5. Laboratory",'QA Log'!Z:Z,"Approved"),"")</f>
        <v/>
      </c>
      <c r="O435" s="102" t="str">
        <f>IF(A435&lt;&gt;"",COUNTIFS('QA Log'!D:D,A435,'QA Log'!M:M,"QQC",'QA Log'!L:L,"6. Essential Medicine Management",'QA Log'!Z:Z,"Approved"),"")</f>
        <v/>
      </c>
      <c r="P435" s="102" t="str">
        <f>IF(A435&lt;&gt;"",COUNTIFS('QA Log'!D:D,A435,'QA Log'!M:M,"QQC",'QA Log'!L:L,"7. Tracer Medicine",'QA Log'!Z:Z,"Approved"),"")</f>
        <v/>
      </c>
      <c r="Q435" s="102" t="str">
        <f>IF(A435&lt;&gt;"",COUNTIFS('QA Log'!D:D,A435,'QA Log'!M:M,"QQC",'QA Log'!L:L,"11. Additional Questions",'QA Log'!Z:Z,"Approved"),"")</f>
        <v/>
      </c>
      <c r="R435" s="102" t="str">
        <f>IF(A435="","",SUM(
COUNTIFS('QA Log'!D:D,A435,'QA Log'!M:M,"QQC",'QA Log'!Z:Z,"Rejected",'QA Log'!L:L,"*8. Maternity*"),
COUNTIFS('QA Log'!D:D,A435,'QA Log'!M:M,"QQC",'QA Log'!Z:Z,"Rejected",'QA Log'!L:L,"*EPI*"),
COUNTIFS('QA Log'!D:D,A435,'QA Log'!M:M,"QQC",'QA Log'!Z:Z,"Rejected",'QA Log'!L:L,"*10. Antenatal Care (ANC)*"),
COUNTIFS('QA Log'!D:D,A435,'QA Log'!M:M,"QQC",'QA Log'!Z:Z,"Rejected",'QA Log'!L:L,"*2. Hygiene and Sterilization*"),
COUNTIFS('QA Log'!D:D,A435,'QA Log'!M:M,"QQC",'QA Log'!Z:Z,"Rejected",'QA Log'!L:L,"*Family Planning*")))</f>
        <v/>
      </c>
      <c r="S435" s="106" t="str">
        <f t="shared" si="27"/>
        <v/>
      </c>
      <c r="T435" s="102" t="str">
        <f t="shared" si="28"/>
        <v/>
      </c>
      <c r="U435" s="102" t="str">
        <f>IF(A435="","",
SUM(
COUNTIFS('QA Log'!D:D,A435,'QA Log'!M:M,"QQC",'QA Log'!L:L,"*8. Maternity*"),
COUNTIFS('QA Log'!D:D,A435,'QA Log'!M:M,"QQC",'QA Log'!L:L,"*9. EPI and Pre-school Consultation*"),
COUNTIFS('QA Log'!D:D,A435,'QA Log'!M:M,"QQC",'QA Log'!L:L,"*10. Antenatal Care (ANC)*"),
COUNTIFS('QA Log'!D:D,A435,'QA Log'!M:M,"QQC",'QA Log'!L:L,"*2. Hygiene and Sterilization*"),
COUNTIFS('QA Log'!D:D,A435,'QA Log'!M:M,"QQC",'QA Log'!L:L,"*4. Family Planning*")
))</f>
        <v/>
      </c>
      <c r="V435" s="102" t="str">
        <f>IF(A435="","",
SUM(
COUNTIFS('QA Log'!D:D,A435,'QA Log'!M:M,"QQC",'QA Log'!Z:Z,"Approved",'QA Log'!L:L,"*8. Maternity*"),
COUNTIFS('QA Log'!D:D,A435,'QA Log'!M:M,"QQC",'QA Log'!Z:Z,"Approved",'QA Log'!L:L,"*9. EPI and Pre-school Consultation*"),
COUNTIFS('QA Log'!D:D,A435,'QA Log'!M:M,"QQC",'QA Log'!Z:Z,"Approved",'QA Log'!L:L,"*10. Antenatal Care (ANC)*"),
COUNTIFS('QA Log'!D:D,A435,'QA Log'!M:M,"QQC",'QA Log'!Z:Z,"Approved",'QA Log'!L:L,"*2. Hygiene and Sterilization*"),
COUNTIFS('QA Log'!D:D,A435,'QA Log'!M:M,"QQC",'QA Log'!Z:Z,"Approved",'QA Log'!L:L,"*4. Family Planning*")
))</f>
        <v/>
      </c>
      <c r="W435" s="102" t="str">
        <f>IF(A435&lt;&gt;"",COUNTIFS('QA Log'!D:D,A435,'QA Log'!M:M,"QQC",'QA Log'!L:L,"8. Maternity",'QA Log'!Z:Z,"Approved"),"")</f>
        <v/>
      </c>
      <c r="X435" s="105" t="str">
        <f>IF(A435&lt;&gt;"",COUNTIFS('QA Log'!D:D,A435,'QA Log'!M:M,"QQC",'QA Log'!L:L,"9. EPI and Pre-school Consultation",'QA Log'!Z:Z,"Approved"),"")</f>
        <v/>
      </c>
      <c r="Y435" s="102" t="str">
        <f>IF(A435&lt;&gt;"",COUNTIFS('QA Log'!D:D,A435,'QA Log'!M:M,"QQC",'QA Log'!L:L,"10. Antenatal Care (ANC)",'QA Log'!Z:Z,"Approved"),"")</f>
        <v/>
      </c>
      <c r="Z435" s="102" t="str">
        <f>IF(A435&lt;&gt;"",COUNTIFS('QA Log'!D:D,A435,'QA Log'!M:M,"QQC",'QA Log'!L:L,"2. Hygiene and Sterilization",'QA Log'!Z:Z,"Approved"),"")</f>
        <v/>
      </c>
      <c r="AA435" s="105" t="str">
        <f>IF(A435&lt;&gt;"",COUNTIFS('QA Log'!D:D,A435,'QA Log'!M:M,"QQC",'QA Log'!L:L,"4. Family Planning",'QA Log'!Z:Z,"Approved"),"")</f>
        <v/>
      </c>
      <c r="AB435" s="102" t="str">
        <f>IF(A435="","",
SUM(
COUNTIFS('QA Log'!D:D,A435,'QA Log'!M:M,"QQC",'QA Log'!Z:Z,"Rejected",'QA Log'!L:L,"*8. Maternity*"),
COUNTIFS('QA Log'!D:D,A435,'QA Log'!M:M,"QQC",'QA Log'!Z:Z,"Rejected",'QA Log'!L:L,"*9. EPI and Pre-school Consultation*"),
COUNTIFS('QA Log'!D:D,A435,'QA Log'!M:M,"QQC",'QA Log'!Z:Z,"Rejected",'QA Log'!L:L,"*10. Antenatal Care (ANC)*"),
COUNTIFS('QA Log'!D:D,A435,'QA Log'!M:M,"QQC",'QA Log'!Z:Z,"Rejected",'QA Log'!L:L,"*2. Hygiene and Sterilization*"),
COUNTIFS('QA Log'!D:D,A435,'QA Log'!M:M,"QQC",'QA Log'!Z:Z,"Rejected",'QA Log'!L:L,"*4. Family Planning*")
))</f>
        <v/>
      </c>
      <c r="AC435" s="102" t="str">
        <f t="shared" si="29"/>
        <v/>
      </c>
      <c r="AD435" s="103" t="str">
        <f t="shared" si="30"/>
        <v/>
      </c>
      <c r="AE435" s="102" t="str">
        <f>IF(A435="","",
SUM(
COUNTIFS('QA Log'!D:D,A435,'QA Log'!M:M,"Data Verification",'QA Log'!L:L,"*Medicine (section 2)*"),
COUNTIFS('QA Log'!D:D,A435,'QA Log'!M:M,"Data Verification",'QA Log'!L:L,"*Lab Testing Availability*"),
COUNTIFS('QA Log'!D:D,A435,'QA Log'!M:M,"Data Verification",'QA Log'!L:L,"*Other than P4P (section 6)*"),
COUNTIFS('QA Log'!D:D,A435,'QA Log'!M:M,"Data Verification",'QA Log'!L:L,"*Hospital Governance*")
))</f>
        <v/>
      </c>
      <c r="AF435" s="102" t="str">
        <f>IF(A435="","",
SUM(
COUNTIFS('QA Log'!D:D,A435,'QA Log'!M:M,"Data Verification",'QA Log'!Z:Z,"Approved",'QA Log'!L:L,"*Medicine (section 2)*"),
COUNTIFS('QA Log'!D:D,A435,'QA Log'!M:M,"Data Verification",'QA Log'!Z:Z,"Approved",'QA Log'!L:L,"*Lab Testing Availability*"),
COUNTIFS('QA Log'!D:D,A435,'QA Log'!M:M,"Data Verification",'QA Log'!Z:Z,"Approved",'QA Log'!L:L,"*Other than P4P (section 6)*"),
COUNTIFS('QA Log'!D:D,A435,'QA Log'!M:M,"Data Verification",'QA Log'!Z:Z,"Approved",'QA Log'!L:L,"*Hospital Governance*")
))</f>
        <v/>
      </c>
      <c r="AG435" s="105" t="str">
        <f>IF(A435&lt;&gt;"",COUNTIFS('QA Log'!D:D,A435,'QA Log'!M:M,"Data Verification",'QA Log'!L:L,"Medicine (section 2)",'QA Log'!Z:Z,"Approved"),"")</f>
        <v/>
      </c>
      <c r="AH435" s="105" t="str">
        <f>IF(A435&lt;&gt;"",COUNTIFS('QA Log'!D:D,A435,'QA Log'!M:M,"Data Verification",'QA Log'!L:L,"Lab Testing Availability",'QA Log'!Z:Z,"Approved"),"")</f>
        <v/>
      </c>
      <c r="AI435" s="105" t="str">
        <f>IF(A435&lt;&gt;"",COUNTIFS('QA Log'!D:D,A435,'QA Log'!M:M,"Data Verification",'QA Log'!L:L,"Other than P4P (section 6)",'QA Log'!Z:Z,"Approved"),"")</f>
        <v/>
      </c>
      <c r="AJ435" s="105" t="str">
        <f>IF(A435&lt;&gt;"",COUNTIFS('QA Log'!D:D,A435,'QA Log'!M:M,"Data Verification",'QA Log'!L:L,"Hospital Governance",'QA Log'!Z:Z,"Approved"),"")</f>
        <v/>
      </c>
      <c r="AK435" s="102" t="str">
        <f>IF(A435="","",
SUM(
COUNTIFS('QA Log'!D:D,A435,'QA Log'!M:M,"Data Verification",'QA Log'!Z:Z,"Rejected",'QA Log'!L:L,"*Medicine (section 2)*"),
COUNTIFS('QA Log'!D:D,A435,'QA Log'!M:M,"Data Verification",'QA Log'!Z:Z,"Rejected",'QA Log'!L:L,"*Lab Testing Availability*"),
COUNTIFS('QA Log'!D:D,A435,'QA Log'!M:M,"Data Verification",'QA Log'!Z:Z,"Rejected",'QA Log'!L:L,"*Other than P4P (section 6)*"),
COUNTIFS('QA Log'!D:D,A435,'QA Log'!M:M,"Data Verification",'QA Log'!Z:Z,"Rejected",'QA Log'!L:L,"*Hospital Governance*")
))</f>
        <v/>
      </c>
      <c r="AL435" s="106" t="str">
        <f t="shared" si="31"/>
        <v/>
      </c>
      <c r="AM435" s="102" t="str">
        <f t="shared" si="32"/>
        <v/>
      </c>
      <c r="AN435" s="102" t="str">
        <f>IF(A435="","",
SUM(
COUNTIFS('QA Log'!D:D,A435,'QA Log'!M:M,"Data Verification",'QA Log'!L:L,"*Personnel (section 1)*"),
COUNTIFS('QA Log'!D:D,A435,'QA Log'!M:M,"Data Verification",'QA Log'!L:L,"*Consumable (section 3)*"),
COUNTIFS('QA Log'!D:D,A435,'QA Log'!M:M,"Data Verification",'QA Log'!L:L,"*Equipments (section 4)*")
))</f>
        <v/>
      </c>
      <c r="AO435" s="102" t="str">
        <f>IF(A435="","",
SUM(
COUNTIFS('QA Log'!D:D,A435,'QA Log'!M:M,"Data Verification",'QA Log'!Z:Z,"Approved",'QA Log'!L:L,"*Personnel (section 1)*"),
COUNTIFS('QA Log'!D:D,A435,'QA Log'!M:M,"Data Verification",'QA Log'!Z:Z,"Approved",'QA Log'!L:L,"*Consumable (section 3)*"),
COUNTIFS('QA Log'!D:D,A435,'QA Log'!M:M,"Data Verification",'QA Log'!Z:Z,"Approved",'QA Log'!L:L,"*Equipments (section 4)*")
))</f>
        <v/>
      </c>
      <c r="AP435" s="105" t="str">
        <f>IF(A435&lt;&gt;"",COUNTIFS('QA Log'!D:D,A435,'QA Log'!M:M,"Data Verification",'QA Log'!L:L,"Personnel (section 1)",'QA Log'!Z:Z,"Approved"),"")</f>
        <v/>
      </c>
      <c r="AQ435" s="105" t="str">
        <f>IF(A435&lt;&gt;"",COUNTIFS('QA Log'!D:D,A435,'QA Log'!M:M,"Data Verification",'QA Log'!L:L,"Consumable (section 3)",'QA Log'!Z:Z,"Approved"),"")</f>
        <v/>
      </c>
      <c r="AR435" s="105" t="str">
        <f>IF(A435&lt;&gt;"",COUNTIFS('QA Log'!D:D,A435,'QA Log'!M:M,"Data Verification",'QA Log'!L:L,"Equipments (section 4)",'QA Log'!Z:Z,"Approved"),"")</f>
        <v/>
      </c>
      <c r="AS435" s="102" t="str">
        <f>IF(A435="","",
SUM(
COUNTIFS('QA Log'!D:D,A435,'QA Log'!M:M,"Data Verification",'QA Log'!Z:Z,"Rejected",'QA Log'!L:L,"*Personnel (section 1)*"),
COUNTIFS('QA Log'!D:D,A435,'QA Log'!M:M,"Data Verification",'QA Log'!Z:Z,"Rejected",'QA Log'!L:L,"*Consumable (section 3)*"),
COUNTIFS('QA Log'!D:D,A435,'QA Log'!M:M,"Data Verification",'QA Log'!Z:Z,"Rejected",'QA Log'!L:L,"*Equipments (section 4)*")
))</f>
        <v/>
      </c>
      <c r="AT435" s="102" t="str">
        <f t="shared" si="33"/>
        <v/>
      </c>
      <c r="AU435" s="103" t="str">
        <f t="shared" si="34"/>
        <v/>
      </c>
      <c r="AV435" s="102" t="str">
        <f>IF(A435="","",SUM(
COUNTIFS('QA Log'!D:D,A435,'QA Log'!M:M,"Vignette",'QA Log'!L:L,"*Vignette [1] Respiratory Infection: Pneumonia*"),
COUNTIFS('QA Log'!D:D,A435,'QA Log'!M:M,"Vignette",'QA Log'!L:L,"*Vignette [2]: Diarrhea with Cat B dehydration*"),
COUNTIFS('QA Log'!D:D,A435,'QA Log'!M:M,"Vignette",'QA Log'!L:L,"*Vignette [3] Growth Monitoring and Promotion*"),
COUNTIFS('QA Log'!D:D,A435,'QA Log'!M:M,"Vignette",'QA Log'!L:L,"*Vignette [4]: The management of presumptive TB patient*")
)
)</f>
        <v/>
      </c>
      <c r="AW435" s="102" t="str">
        <f>IF(
  A435="","",
  SUM(
    COUNTIFS('QA Log'!D:D,A435,'QA Log'!M:M,"Vignette",'QA Log'!Z:Z,"Approved",'QA Log'!L:L,"*Vignette [1] Respiratory Infection: Pneumonia*"),
    COUNTIFS('QA Log'!D:D,A435,'QA Log'!M:M,"Vignette",'QA Log'!Z:Z,"Approved",'QA Log'!L:L,"*Vignette [2]: Diarrhea with Cat B dehydration*"),
    COUNTIFS('QA Log'!D:D,A435,'QA Log'!M:M,"Vignette",'QA Log'!Z:Z,"Approved",'QA Log'!L:L,"*Vignette [3] Growth Monitoring and Promotion*"),
    COUNTIFS('QA Log'!D:D,A435,'QA Log'!M:M,"Vignette",'QA Log'!Z:Z,"Approved",'QA Log'!L:L,"*Vignette [4]: The management of presumptive TB patient*")
  )
)</f>
        <v/>
      </c>
      <c r="AX435" s="105" t="str">
        <f>IF(A435&lt;&gt;"",COUNTIFS('QA Log'!D:D,A435,'QA Log'!M:M,"Vignette",'QA Log'!L:L,"Vignette [1] Respiratory Infection: Pneumonia",'QA Log'!Z:Z,"Approved"),"")</f>
        <v/>
      </c>
      <c r="AY435" s="105" t="str">
        <f>IF(A435&lt;&gt;"",COUNTIFS('QA Log'!D:D,A435,'QA Log'!M:M,"Vignette",'QA Log'!L:L,"Vignette [2]: Diarrhea with Cat B dehydration",'QA Log'!Z:Z,"Approved"),"")</f>
        <v/>
      </c>
      <c r="AZ435" s="105" t="str">
        <f>IF(A435&lt;&gt;"",COUNTIFS('QA Log'!D:D,A435,'QA Log'!M:M,"Vignette",'QA Log'!L:L,"Vignette [3] Growth Monitoring and Promotion",'QA Log'!Z:Z,"Approved"),"")</f>
        <v/>
      </c>
      <c r="BA435" s="105" t="str">
        <f>IF(A435&lt;&gt;"",COUNTIFS('QA Log'!D:D,A435,'QA Log'!M:M,"Vignette",'QA Log'!L:L,"Vignette [4]: The management of presumptive TB patient",'QA Log'!Z:Z,"Approved"),"")</f>
        <v/>
      </c>
      <c r="BB435" s="102" t="str">
        <f>IF(A435="","",
  SUM(
    COUNTIFS('QA Log'!D:D,A435,'QA Log'!M:M,"Vignette",'QA Log'!Z:Z,"Rejected",'QA Log'!L:L,"*Vignette [1] Respiratory Infection: Pneumonia*"),
    COUNTIFS('QA Log'!D:D,A435,'QA Log'!M:M,"Vignette",'QA Log'!Z:Z,"Rejected",'QA Log'!L:L,"*Vignette [2]: Diarrhea with Cat B dehydration*"),
    COUNTIFS('QA Log'!D:D,A435,'QA Log'!M:M,"Vignette",'QA Log'!Z:Z,"Rejected",'QA Log'!L:L,"*Vignette [3] Growth Monitoring and Promotion*"),
    COUNTIFS('QA Log'!D:D,A435,'QA Log'!M:M,"Vignette",'QA Log'!Z:Z,"Rejected",'QA Log'!L:L,"*Vignette [4]: The management of presumptive TB patient*")
  )
)</f>
        <v/>
      </c>
      <c r="BC435" s="107" t="str">
        <f t="shared" si="35"/>
        <v/>
      </c>
      <c r="BD435" s="103" t="str">
        <f t="shared" si="36"/>
        <v/>
      </c>
      <c r="BE435" s="102" t="str">
        <f>IF(A435="","",SUM(
COUNTIFS('QA Log'!D:D,A435,'QA Log'!M:M,"Vignette",'QA Log'!L:L,"*Vignette [5] Labor*"),
COUNTIFS('QA Log'!D:D,A435,'QA Log'!M:M,"Vignette",'QA Log'!L:L,"*Vignette [6] PNC pre Discharge*"),
COUNTIFS('QA Log'!D:D,A435,'QA Log'!M:M,"Vignette",'QA Log'!L:L,"*Vignette [7] First ANC Visit*"),
COUNTIFS('QA Log'!D:D,A435,'QA Log'!M:M,"Vignette",'QA Log'!L:L,"*Vignette [8] Birth Spacing/ Family Planning :  FP Counselling*"),
COUNTIFS('QA Log'!D:D,A435,'QA Log'!M:M,"Vignette",'QA Log'!L:L,"*Vignette [9] Birth Spacing: Change FP method to Injectable*"),
COUNTIFS('QA Log'!D:D,A435,'QA Log'!M:M,"Vignette",'QA Log'!L:L,"*Vignette [10] Post Partum Haemorrhage - Atonic Uterus at Health Centre*"),
)
)</f>
        <v/>
      </c>
      <c r="BF435" s="102" t="str">
        <f>IF(A435="","",
  SUM(
    COUNTIFS('QA Log'!D:D,A435,'QA Log'!M:M,"Vignette",'QA Log'!Z:Z,"Approved",'QA Log'!L:L,"*Vignette [5] Labor*"),
    COUNTIFS('QA Log'!D:D,A435,'QA Log'!M:M,"Vignette",'QA Log'!Z:Z,"Approved",'QA Log'!L:L,"*Vignette [6] PNC pre Discharge*"),
    COUNTIFS('QA Log'!D:D,A435,'QA Log'!M:M,"Vignette",'QA Log'!Z:Z,"Approved",'QA Log'!L:L,"*Vignette [7] First ANC Visit*"),
    COUNTIFS('QA Log'!D:D,A435,'QA Log'!M:M,"Vignette",'QA Log'!Z:Z,"Approved",'QA Log'!L:L,"*Vignette [8] Birth Spacing/ Family Planning :  FP Counselling*"),
    COUNTIFS('QA Log'!D:D,A435,'QA Log'!M:M,"Vignette",'QA Log'!Z:Z,"Approved",'QA Log'!L:L,"*Vignette [9] Birth Spacing: Change FP method to Injectable*"),
    COUNTIFS('QA Log'!D:D,A435,'QA Log'!M:M,"Vignette",'QA Log'!Z:Z,"Approved",'QA Log'!L:L,"*Vignette [10] Post Partum Haemorrhage - Atonic Uterus at Health Centre*")
  )
)</f>
        <v/>
      </c>
      <c r="BG435" s="105" t="str">
        <f>IF(A435&lt;&gt;"",COUNTIFS('QA Log'!D:D,A435,'QA Log'!M:M,"Vignette",'QA Log'!L:L,"Vignette [5] Labor",'QA Log'!Z:Z,"Approved"),"")</f>
        <v/>
      </c>
      <c r="BH435" s="105" t="str">
        <f>IF(A435&lt;&gt;"",COUNTIFS('QA Log'!D:D,A435,'QA Log'!M:M,"Vignette",'QA Log'!L:L,"Vignette [6] PNC pre Discharge",'QA Log'!Z:Z,"Approved"),"")</f>
        <v/>
      </c>
      <c r="BI435" s="105" t="str">
        <f>IF(A435&lt;&gt;"",COUNTIFS('QA Log'!D:D,A435,'QA Log'!M:M,"Vignette",'QA Log'!L:L,"Vignette [7] First ANC Visit",'QA Log'!Z:Z,"Approved"),"")</f>
        <v/>
      </c>
      <c r="BJ435" s="105" t="str">
        <f>IF(A435&lt;&gt;"",COUNTIFS('QA Log'!D:D,A435,'QA Log'!M:M,"Vignette",'QA Log'!L:L,"Vignette [8] Birth Spacing/ Family Planning :  FP Counselling",'QA Log'!Z:Z,"Approved"),"")</f>
        <v/>
      </c>
      <c r="BK435" s="105" t="str">
        <f>IF(A435&lt;&gt;"",COUNTIFS('QA Log'!D:D,A435,'QA Log'!M:M,"Vignette",'QA Log'!L:L,"Vignette [9] Birth Spacing: Change FP method to Injectable",'QA Log'!Z:Z,"Approved"),"")</f>
        <v/>
      </c>
      <c r="BL435" s="105" t="str">
        <f>IF(A435&lt;&gt;"",COUNTIFS('QA Log'!D:D,A435,'QA Log'!M:M,"Vignette",'QA Log'!L:L,"Vignette [10] Post Partum Haemorrhage - Atonic Uterus at Health Centre",'QA Log'!Z:Z,"Approved"),"")</f>
        <v/>
      </c>
      <c r="BM435" s="102" t="str">
        <f>IF(A435="","",SUM(
    COUNTIFS('QA Log'!D:D,A435,'QA Log'!M:M,"Vignette",'QA Log'!Z:Z,"Rejected",'QA Log'!L:L,"*Vignette [5] Labor*"),
    COUNTIFS('QA Log'!D:D,A435,'QA Log'!M:M,"Vignette",'QA Log'!Z:Z,"Rejected",'QA Log'!L:L,"*Vignette [6] PNC pre Discharge*"),
    COUNTIFS('QA Log'!D:D,A435,'QA Log'!M:M,"Vignette",'QA Log'!Z:Z,"Rejected",'QA Log'!L:L,"*Vignette [7] First ANC Visit*"),
    COUNTIFS('QA Log'!D:D,A435,'QA Log'!M:M,"Vignette",'QA Log'!Z:Z,"Rejected",'QA Log'!L:L,"*Vignette [8] Birth Spacing/ Family Planning :  FP Counselling*"),
    COUNTIFS('QA Log'!D:D,A435,'QA Log'!M:M,"Vignette",'QA Log'!Z:Z,"Rejected",'QA Log'!L:L,"*Vignette [9] Birth Spacing: Change FP method to Injectable*"),
    COUNTIFS('QA Log'!D:D,A435,'QA Log'!M:M,"Vignette",'QA Log'!Z:Z,"Rejected",'QA Log'!L:L,"*Vignette [10] Post Partum Haemorrhage - Atonic Uterus at Health Centre*")
  )
)</f>
        <v/>
      </c>
      <c r="BN435" s="107" t="str">
        <f t="shared" si="37"/>
        <v/>
      </c>
      <c r="BO435" s="103" t="str">
        <f t="shared" si="38"/>
        <v/>
      </c>
      <c r="BP435" s="102" t="str">
        <f>IF(A435="","",SUM(
COUNTIFS('QA Log'!D:D,A435,'QA Log'!M:M,"Vignette",'QA Log'!L:L,"*Exit Interview 1*"),
COUNTIFS('QA Log'!D:D,A435,'QA Log'!M:M,"Vignette",'QA Log'!L:L,"*Exit Interview 2*"),
)
)</f>
        <v/>
      </c>
      <c r="BQ435" s="102" t="str">
        <f>IF(
  A435="","",
  SUM(
    COUNTIFS('QA Log'!D:D,A435,'QA Log'!M:M,"Vignette",'QA Log'!Z:Z,"Approved",'QA Log'!L:L,"*Exit Interview 1*"),
    COUNTIFS('QA Log'!D:D,A435,'QA Log'!M:M,"Vignette",'QA Log'!Z:Z,"Approved",'QA Log'!L:L,"*Exit Interview 2*")
  )
)</f>
        <v/>
      </c>
      <c r="BR435" s="105" t="str">
        <f>IF(A435&lt;&gt;"",COUNTIFS('QA Log'!D:D,A435,'QA Log'!M:M,"Vignette",'QA Log'!L:L,"Exit Interview 1",'QA Log'!Z:Z,"Approved"),"")</f>
        <v/>
      </c>
      <c r="BS435" s="105" t="str">
        <f>IF(A435&lt;&gt;"",COUNTIFS('QA Log'!D:D,A435,'QA Log'!M:M,"Vignette",'QA Log'!L:L,"Exit Interview 2",'QA Log'!Z:Z,"Approved"),"")</f>
        <v/>
      </c>
      <c r="BT435" s="102" t="str">
        <f>IF(
  A435="","",
  SUM(
    COUNTIFS('QA Log'!D:D,A435,'QA Log'!M:M,"Vignette",'QA Log'!Z:Z,"Rejected",'QA Log'!L:L,"*Exit Interview 1*"),
    COUNTIFS('QA Log'!D:D,A435,'QA Log'!M:M,"Vignette",'QA Log'!Z:Z,"Rejected",'QA Log'!L:L,"*Exit Interview 2*")
  )
)</f>
        <v/>
      </c>
      <c r="BU435" s="107" t="str">
        <f t="shared" si="39"/>
        <v/>
      </c>
      <c r="BV435" s="102" t="str">
        <f t="shared" si="40"/>
        <v/>
      </c>
      <c r="BW435" s="102" t="str">
        <f t="shared" si="41"/>
        <v/>
      </c>
      <c r="BX435" s="102" t="str">
        <f t="shared" si="42"/>
        <v/>
      </c>
      <c r="BY435" s="102" t="str">
        <f t="shared" si="43"/>
        <v/>
      </c>
      <c r="BZ435" s="107" t="str">
        <f t="shared" si="44"/>
        <v/>
      </c>
      <c r="CA435" s="108" t="str">
        <f t="shared" si="45"/>
        <v/>
      </c>
      <c r="CB435" s="108" t="str">
        <f t="shared" si="46"/>
        <v/>
      </c>
      <c r="CC435" s="109" t="str">
        <f t="shared" si="47"/>
        <v/>
      </c>
      <c r="CD435" s="108" t="str">
        <f t="shared" si="48"/>
        <v/>
      </c>
      <c r="CE435" s="108" t="str">
        <f t="shared" si="49"/>
        <v/>
      </c>
      <c r="CF435" s="109" t="str">
        <f t="shared" si="50"/>
        <v/>
      </c>
      <c r="CG435" s="110" t="str">
        <f t="shared" si="51"/>
        <v/>
      </c>
      <c r="CH435" s="111"/>
    </row>
    <row r="436" spans="1:86" ht="12.75">
      <c r="A436" s="101"/>
      <c r="B436" s="102" t="e">
        <f t="array" aca="1" ref="B436" ca="1">_xludf.XLOOKUP(A436,'QA Log'!D:D,'QA Log'!E:E,"")</f>
        <v>#NAME?</v>
      </c>
      <c r="C436" s="102" t="e">
        <f t="array" aca="1" ref="C436" ca="1">_xludf.XLOOKUP(A436,'QA Log'!D:D,'QA Log'!F:F,"")</f>
        <v>#NAME?</v>
      </c>
      <c r="D436" s="102" t="e">
        <f t="array" aca="1" ref="D436" ca="1">_xludf.XLOOKUP(A436,'QA Log'!D:D,'QA Log'!H:H,"")</f>
        <v>#NAME?</v>
      </c>
      <c r="E436" s="102" t="e">
        <f t="array" aca="1" ref="E436" ca="1">_xludf.XLOOKUP(A436,'QA Log'!D:D,'QA Log'!G:G,"")</f>
        <v>#NAME?</v>
      </c>
      <c r="F436" s="103"/>
      <c r="G436" s="104"/>
      <c r="H436" s="104"/>
      <c r="I436" s="103" t="str">
        <f t="shared" si="26"/>
        <v/>
      </c>
      <c r="J436" s="102" t="str">
        <f>IF(A436="","",SUM(
COUNTIFS('QA Log'!D:D,A436,'QA Log'!M:M,"QQC",'QA Log'!L:L,"*1. General Management*"),
COUNTIFS('QA Log'!D:D,A436,'QA Log'!M:M,"QQC",'QA Log'!L:L,"*3. Curative Consultation (OPD)*"),
COUNTIFS('QA Log'!D:D,A436,'QA Log'!M:M,"QQC",'QA Log'!L:L,"*5. Laboratory*"),
COUNTIFS('QA Log'!D:D,A436,'QA Log'!M:M,"QQC",'QA Log'!L:L,"*6. Essential Medicine Management*"),
COUNTIFS('QA Log'!D:D,A436,'QA Log'!M:M,"QQC",'QA Log'!L:L,"*7. Tracer Medicine*"),
COUNTIFS('QA Log'!D:D,A436,'QA Log'!M:M,"QQC",'QA Log'!L:L,"*11. Additional Questions*")))</f>
        <v/>
      </c>
      <c r="K436" s="102" t="str">
        <f>IF(A436="","",SUM(
COUNTIFS('QA Log'!D:D,A436,'QA Log'!M:M,"QQC",'QA Log'!Z:Z,"Approved",'QA Log'!L:L,"*1. General Management*"),
COUNTIFS('QA Log'!D:D,A436,'QA Log'!M:M,"QQC",'QA Log'!Z:Z,"Approved",'QA Log'!L:L,"*3. Curative Consultation (OPD)*"),
COUNTIFS('QA Log'!D:D,A436,'QA Log'!M:M,"QQC",'QA Log'!Z:Z,"Approved",'QA Log'!L:L,"*5. Laboratory*"),
COUNTIFS('QA Log'!D:D,A436,'QA Log'!M:M,"QQC",'QA Log'!Z:Z,"Approved",'QA Log'!L:L,"*6. Essential Medicine Management*"),
COUNTIFS('QA Log'!D:D,A436,'QA Log'!M:M,"QQC",'QA Log'!Z:Z,"Approved",'QA Log'!L:L,"*7. Tracer Medicine*"),
COUNTIFS('QA Log'!D:D,A436,'QA Log'!M:M,"QQC",'QA Log'!Z:Z,"Approved",'QA Log'!L:L,"*11. Additional Questions*")))</f>
        <v/>
      </c>
      <c r="L436" s="102" t="str">
        <f>IF(A436&lt;&gt;"",COUNTIFS('QA Log'!D:D,A436,'QA Log'!M:M,"QQC",'QA Log'!L:L,"1. General Management",'QA Log'!Z:Z,"Approved"),"")</f>
        <v/>
      </c>
      <c r="M436" s="102" t="str">
        <f>IF(A436&lt;&gt;"",COUNTIFS('QA Log'!D:D,A436,'QA Log'!M:M,"QQC",'QA Log'!L:L,"3. Curative Consultation (OPD)",'QA Log'!Z:Z,"Approved"),"")</f>
        <v/>
      </c>
      <c r="N436" s="102" t="str">
        <f>IF(A436&lt;&gt;"",COUNTIFS('QA Log'!D:D,A436,'QA Log'!M:M,"QQC",'QA Log'!L:L,"5. Laboratory",'QA Log'!Z:Z,"Approved"),"")</f>
        <v/>
      </c>
      <c r="O436" s="102" t="str">
        <f>IF(A436&lt;&gt;"",COUNTIFS('QA Log'!D:D,A436,'QA Log'!M:M,"QQC",'QA Log'!L:L,"6. Essential Medicine Management",'QA Log'!Z:Z,"Approved"),"")</f>
        <v/>
      </c>
      <c r="P436" s="102" t="str">
        <f>IF(A436&lt;&gt;"",COUNTIFS('QA Log'!D:D,A436,'QA Log'!M:M,"QQC",'QA Log'!L:L,"7. Tracer Medicine",'QA Log'!Z:Z,"Approved"),"")</f>
        <v/>
      </c>
      <c r="Q436" s="102" t="str">
        <f>IF(A436&lt;&gt;"",COUNTIFS('QA Log'!D:D,A436,'QA Log'!M:M,"QQC",'QA Log'!L:L,"11. Additional Questions",'QA Log'!Z:Z,"Approved"),"")</f>
        <v/>
      </c>
      <c r="R436" s="102" t="str">
        <f>IF(A436="","",SUM(
COUNTIFS('QA Log'!D:D,A436,'QA Log'!M:M,"QQC",'QA Log'!Z:Z,"Rejected",'QA Log'!L:L,"*8. Maternity*"),
COUNTIFS('QA Log'!D:D,A436,'QA Log'!M:M,"QQC",'QA Log'!Z:Z,"Rejected",'QA Log'!L:L,"*EPI*"),
COUNTIFS('QA Log'!D:D,A436,'QA Log'!M:M,"QQC",'QA Log'!Z:Z,"Rejected",'QA Log'!L:L,"*10. Antenatal Care (ANC)*"),
COUNTIFS('QA Log'!D:D,A436,'QA Log'!M:M,"QQC",'QA Log'!Z:Z,"Rejected",'QA Log'!L:L,"*2. Hygiene and Sterilization*"),
COUNTIFS('QA Log'!D:D,A436,'QA Log'!M:M,"QQC",'QA Log'!Z:Z,"Rejected",'QA Log'!L:L,"*Family Planning*")))</f>
        <v/>
      </c>
      <c r="S436" s="106" t="str">
        <f t="shared" si="27"/>
        <v/>
      </c>
      <c r="T436" s="102" t="str">
        <f t="shared" si="28"/>
        <v/>
      </c>
      <c r="U436" s="102" t="str">
        <f>IF(A436="","",
SUM(
COUNTIFS('QA Log'!D:D,A436,'QA Log'!M:M,"QQC",'QA Log'!L:L,"*8. Maternity*"),
COUNTIFS('QA Log'!D:D,A436,'QA Log'!M:M,"QQC",'QA Log'!L:L,"*9. EPI and Pre-school Consultation*"),
COUNTIFS('QA Log'!D:D,A436,'QA Log'!M:M,"QQC",'QA Log'!L:L,"*10. Antenatal Care (ANC)*"),
COUNTIFS('QA Log'!D:D,A436,'QA Log'!M:M,"QQC",'QA Log'!L:L,"*2. Hygiene and Sterilization*"),
COUNTIFS('QA Log'!D:D,A436,'QA Log'!M:M,"QQC",'QA Log'!L:L,"*4. Family Planning*")
))</f>
        <v/>
      </c>
      <c r="V436" s="102" t="str">
        <f>IF(A436="","",
SUM(
COUNTIFS('QA Log'!D:D,A436,'QA Log'!M:M,"QQC",'QA Log'!Z:Z,"Approved",'QA Log'!L:L,"*8. Maternity*"),
COUNTIFS('QA Log'!D:D,A436,'QA Log'!M:M,"QQC",'QA Log'!Z:Z,"Approved",'QA Log'!L:L,"*9. EPI and Pre-school Consultation*"),
COUNTIFS('QA Log'!D:D,A436,'QA Log'!M:M,"QQC",'QA Log'!Z:Z,"Approved",'QA Log'!L:L,"*10. Antenatal Care (ANC)*"),
COUNTIFS('QA Log'!D:D,A436,'QA Log'!M:M,"QQC",'QA Log'!Z:Z,"Approved",'QA Log'!L:L,"*2. Hygiene and Sterilization*"),
COUNTIFS('QA Log'!D:D,A436,'QA Log'!M:M,"QQC",'QA Log'!Z:Z,"Approved",'QA Log'!L:L,"*4. Family Planning*")
))</f>
        <v/>
      </c>
      <c r="W436" s="102" t="str">
        <f>IF(A436&lt;&gt;"",COUNTIFS('QA Log'!D:D,A436,'QA Log'!M:M,"QQC",'QA Log'!L:L,"8. Maternity",'QA Log'!Z:Z,"Approved"),"")</f>
        <v/>
      </c>
      <c r="X436" s="105" t="str">
        <f>IF(A436&lt;&gt;"",COUNTIFS('QA Log'!D:D,A436,'QA Log'!M:M,"QQC",'QA Log'!L:L,"9. EPI and Pre-school Consultation",'QA Log'!Z:Z,"Approved"),"")</f>
        <v/>
      </c>
      <c r="Y436" s="102" t="str">
        <f>IF(A436&lt;&gt;"",COUNTIFS('QA Log'!D:D,A436,'QA Log'!M:M,"QQC",'QA Log'!L:L,"10. Antenatal Care (ANC)",'QA Log'!Z:Z,"Approved"),"")</f>
        <v/>
      </c>
      <c r="Z436" s="102" t="str">
        <f>IF(A436&lt;&gt;"",COUNTIFS('QA Log'!D:D,A436,'QA Log'!M:M,"QQC",'QA Log'!L:L,"2. Hygiene and Sterilization",'QA Log'!Z:Z,"Approved"),"")</f>
        <v/>
      </c>
      <c r="AA436" s="105" t="str">
        <f>IF(A436&lt;&gt;"",COUNTIFS('QA Log'!D:D,A436,'QA Log'!M:M,"QQC",'QA Log'!L:L,"4. Family Planning",'QA Log'!Z:Z,"Approved"),"")</f>
        <v/>
      </c>
      <c r="AB436" s="102" t="str">
        <f>IF(A436="","",
SUM(
COUNTIFS('QA Log'!D:D,A436,'QA Log'!M:M,"QQC",'QA Log'!Z:Z,"Rejected",'QA Log'!L:L,"*8. Maternity*"),
COUNTIFS('QA Log'!D:D,A436,'QA Log'!M:M,"QQC",'QA Log'!Z:Z,"Rejected",'QA Log'!L:L,"*9. EPI and Pre-school Consultation*"),
COUNTIFS('QA Log'!D:D,A436,'QA Log'!M:M,"QQC",'QA Log'!Z:Z,"Rejected",'QA Log'!L:L,"*10. Antenatal Care (ANC)*"),
COUNTIFS('QA Log'!D:D,A436,'QA Log'!M:M,"QQC",'QA Log'!Z:Z,"Rejected",'QA Log'!L:L,"*2. Hygiene and Sterilization*"),
COUNTIFS('QA Log'!D:D,A436,'QA Log'!M:M,"QQC",'QA Log'!Z:Z,"Rejected",'QA Log'!L:L,"*4. Family Planning*")
))</f>
        <v/>
      </c>
      <c r="AC436" s="102" t="str">
        <f t="shared" si="29"/>
        <v/>
      </c>
      <c r="AD436" s="103" t="str">
        <f t="shared" si="30"/>
        <v/>
      </c>
      <c r="AE436" s="102" t="str">
        <f>IF(A436="","",
SUM(
COUNTIFS('QA Log'!D:D,A436,'QA Log'!M:M,"Data Verification",'QA Log'!L:L,"*Medicine (section 2)*"),
COUNTIFS('QA Log'!D:D,A436,'QA Log'!M:M,"Data Verification",'QA Log'!L:L,"*Lab Testing Availability*"),
COUNTIFS('QA Log'!D:D,A436,'QA Log'!M:M,"Data Verification",'QA Log'!L:L,"*Other than P4P (section 6)*"),
COUNTIFS('QA Log'!D:D,A436,'QA Log'!M:M,"Data Verification",'QA Log'!L:L,"*Hospital Governance*")
))</f>
        <v/>
      </c>
      <c r="AF436" s="102" t="str">
        <f>IF(A436="","",
SUM(
COUNTIFS('QA Log'!D:D,A436,'QA Log'!M:M,"Data Verification",'QA Log'!Z:Z,"Approved",'QA Log'!L:L,"*Medicine (section 2)*"),
COUNTIFS('QA Log'!D:D,A436,'QA Log'!M:M,"Data Verification",'QA Log'!Z:Z,"Approved",'QA Log'!L:L,"*Lab Testing Availability*"),
COUNTIFS('QA Log'!D:D,A436,'QA Log'!M:M,"Data Verification",'QA Log'!Z:Z,"Approved",'QA Log'!L:L,"*Other than P4P (section 6)*"),
COUNTIFS('QA Log'!D:D,A436,'QA Log'!M:M,"Data Verification",'QA Log'!Z:Z,"Approved",'QA Log'!L:L,"*Hospital Governance*")
))</f>
        <v/>
      </c>
      <c r="AG436" s="105" t="str">
        <f>IF(A436&lt;&gt;"",COUNTIFS('QA Log'!D:D,A436,'QA Log'!M:M,"Data Verification",'QA Log'!L:L,"Medicine (section 2)",'QA Log'!Z:Z,"Approved"),"")</f>
        <v/>
      </c>
      <c r="AH436" s="105" t="str">
        <f>IF(A436&lt;&gt;"",COUNTIFS('QA Log'!D:D,A436,'QA Log'!M:M,"Data Verification",'QA Log'!L:L,"Lab Testing Availability",'QA Log'!Z:Z,"Approved"),"")</f>
        <v/>
      </c>
      <c r="AI436" s="105" t="str">
        <f>IF(A436&lt;&gt;"",COUNTIFS('QA Log'!D:D,A436,'QA Log'!M:M,"Data Verification",'QA Log'!L:L,"Other than P4P (section 6)",'QA Log'!Z:Z,"Approved"),"")</f>
        <v/>
      </c>
      <c r="AJ436" s="105" t="str">
        <f>IF(A436&lt;&gt;"",COUNTIFS('QA Log'!D:D,A436,'QA Log'!M:M,"Data Verification",'QA Log'!L:L,"Hospital Governance",'QA Log'!Z:Z,"Approved"),"")</f>
        <v/>
      </c>
      <c r="AK436" s="102" t="str">
        <f>IF(A436="","",
SUM(
COUNTIFS('QA Log'!D:D,A436,'QA Log'!M:M,"Data Verification",'QA Log'!Z:Z,"Rejected",'QA Log'!L:L,"*Medicine (section 2)*"),
COUNTIFS('QA Log'!D:D,A436,'QA Log'!M:M,"Data Verification",'QA Log'!Z:Z,"Rejected",'QA Log'!L:L,"*Lab Testing Availability*"),
COUNTIFS('QA Log'!D:D,A436,'QA Log'!M:M,"Data Verification",'QA Log'!Z:Z,"Rejected",'QA Log'!L:L,"*Other than P4P (section 6)*"),
COUNTIFS('QA Log'!D:D,A436,'QA Log'!M:M,"Data Verification",'QA Log'!Z:Z,"Rejected",'QA Log'!L:L,"*Hospital Governance*")
))</f>
        <v/>
      </c>
      <c r="AL436" s="106" t="str">
        <f t="shared" si="31"/>
        <v/>
      </c>
      <c r="AM436" s="102" t="str">
        <f t="shared" si="32"/>
        <v/>
      </c>
      <c r="AN436" s="102" t="str">
        <f>IF(A436="","",
SUM(
COUNTIFS('QA Log'!D:D,A436,'QA Log'!M:M,"Data Verification",'QA Log'!L:L,"*Personnel (section 1)*"),
COUNTIFS('QA Log'!D:D,A436,'QA Log'!M:M,"Data Verification",'QA Log'!L:L,"*Consumable (section 3)*"),
COUNTIFS('QA Log'!D:D,A436,'QA Log'!M:M,"Data Verification",'QA Log'!L:L,"*Equipments (section 4)*")
))</f>
        <v/>
      </c>
      <c r="AO436" s="102" t="str">
        <f>IF(A436="","",
SUM(
COUNTIFS('QA Log'!D:D,A436,'QA Log'!M:M,"Data Verification",'QA Log'!Z:Z,"Approved",'QA Log'!L:L,"*Personnel (section 1)*"),
COUNTIFS('QA Log'!D:D,A436,'QA Log'!M:M,"Data Verification",'QA Log'!Z:Z,"Approved",'QA Log'!L:L,"*Consumable (section 3)*"),
COUNTIFS('QA Log'!D:D,A436,'QA Log'!M:M,"Data Verification",'QA Log'!Z:Z,"Approved",'QA Log'!L:L,"*Equipments (section 4)*")
))</f>
        <v/>
      </c>
      <c r="AP436" s="105" t="str">
        <f>IF(A436&lt;&gt;"",COUNTIFS('QA Log'!D:D,A436,'QA Log'!M:M,"Data Verification",'QA Log'!L:L,"Personnel (section 1)",'QA Log'!Z:Z,"Approved"),"")</f>
        <v/>
      </c>
      <c r="AQ436" s="105" t="str">
        <f>IF(A436&lt;&gt;"",COUNTIFS('QA Log'!D:D,A436,'QA Log'!M:M,"Data Verification",'QA Log'!L:L,"Consumable (section 3)",'QA Log'!Z:Z,"Approved"),"")</f>
        <v/>
      </c>
      <c r="AR436" s="105" t="str">
        <f>IF(A436&lt;&gt;"",COUNTIFS('QA Log'!D:D,A436,'QA Log'!M:M,"Data Verification",'QA Log'!L:L,"Equipments (section 4)",'QA Log'!Z:Z,"Approved"),"")</f>
        <v/>
      </c>
      <c r="AS436" s="102" t="str">
        <f>IF(A436="","",
SUM(
COUNTIFS('QA Log'!D:D,A436,'QA Log'!M:M,"Data Verification",'QA Log'!Z:Z,"Rejected",'QA Log'!L:L,"*Personnel (section 1)*"),
COUNTIFS('QA Log'!D:D,A436,'QA Log'!M:M,"Data Verification",'QA Log'!Z:Z,"Rejected",'QA Log'!L:L,"*Consumable (section 3)*"),
COUNTIFS('QA Log'!D:D,A436,'QA Log'!M:M,"Data Verification",'QA Log'!Z:Z,"Rejected",'QA Log'!L:L,"*Equipments (section 4)*")
))</f>
        <v/>
      </c>
      <c r="AT436" s="102" t="str">
        <f t="shared" si="33"/>
        <v/>
      </c>
      <c r="AU436" s="103" t="str">
        <f t="shared" si="34"/>
        <v/>
      </c>
      <c r="AV436" s="102" t="str">
        <f>IF(A436="","",SUM(
COUNTIFS('QA Log'!D:D,A436,'QA Log'!M:M,"Vignette",'QA Log'!L:L,"*Vignette [1] Respiratory Infection: Pneumonia*"),
COUNTIFS('QA Log'!D:D,A436,'QA Log'!M:M,"Vignette",'QA Log'!L:L,"*Vignette [2]: Diarrhea with Cat B dehydration*"),
COUNTIFS('QA Log'!D:D,A436,'QA Log'!M:M,"Vignette",'QA Log'!L:L,"*Vignette [3] Growth Monitoring and Promotion*"),
COUNTIFS('QA Log'!D:D,A436,'QA Log'!M:M,"Vignette",'QA Log'!L:L,"*Vignette [4]: The management of presumptive TB patient*")
)
)</f>
        <v/>
      </c>
      <c r="AW436" s="102" t="str">
        <f>IF(
  A436="","",
  SUM(
    COUNTIFS('QA Log'!D:D,A436,'QA Log'!M:M,"Vignette",'QA Log'!Z:Z,"Approved",'QA Log'!L:L,"*Vignette [1] Respiratory Infection: Pneumonia*"),
    COUNTIFS('QA Log'!D:D,A436,'QA Log'!M:M,"Vignette",'QA Log'!Z:Z,"Approved",'QA Log'!L:L,"*Vignette [2]: Diarrhea with Cat B dehydration*"),
    COUNTIFS('QA Log'!D:D,A436,'QA Log'!M:M,"Vignette",'QA Log'!Z:Z,"Approved",'QA Log'!L:L,"*Vignette [3] Growth Monitoring and Promotion*"),
    COUNTIFS('QA Log'!D:D,A436,'QA Log'!M:M,"Vignette",'QA Log'!Z:Z,"Approved",'QA Log'!L:L,"*Vignette [4]: The management of presumptive TB patient*")
  )
)</f>
        <v/>
      </c>
      <c r="AX436" s="105" t="str">
        <f>IF(A436&lt;&gt;"",COUNTIFS('QA Log'!D:D,A436,'QA Log'!M:M,"Vignette",'QA Log'!L:L,"Vignette [1] Respiratory Infection: Pneumonia",'QA Log'!Z:Z,"Approved"),"")</f>
        <v/>
      </c>
      <c r="AY436" s="105" t="str">
        <f>IF(A436&lt;&gt;"",COUNTIFS('QA Log'!D:D,A436,'QA Log'!M:M,"Vignette",'QA Log'!L:L,"Vignette [2]: Diarrhea with Cat B dehydration",'QA Log'!Z:Z,"Approved"),"")</f>
        <v/>
      </c>
      <c r="AZ436" s="105" t="str">
        <f>IF(A436&lt;&gt;"",COUNTIFS('QA Log'!D:D,A436,'QA Log'!M:M,"Vignette",'QA Log'!L:L,"Vignette [3] Growth Monitoring and Promotion",'QA Log'!Z:Z,"Approved"),"")</f>
        <v/>
      </c>
      <c r="BA436" s="105" t="str">
        <f>IF(A436&lt;&gt;"",COUNTIFS('QA Log'!D:D,A436,'QA Log'!M:M,"Vignette",'QA Log'!L:L,"Vignette [4]: The management of presumptive TB patient",'QA Log'!Z:Z,"Approved"),"")</f>
        <v/>
      </c>
      <c r="BB436" s="102" t="str">
        <f>IF(A436="","",
  SUM(
    COUNTIFS('QA Log'!D:D,A436,'QA Log'!M:M,"Vignette",'QA Log'!Z:Z,"Rejected",'QA Log'!L:L,"*Vignette [1] Respiratory Infection: Pneumonia*"),
    COUNTIFS('QA Log'!D:D,A436,'QA Log'!M:M,"Vignette",'QA Log'!Z:Z,"Rejected",'QA Log'!L:L,"*Vignette [2]: Diarrhea with Cat B dehydration*"),
    COUNTIFS('QA Log'!D:D,A436,'QA Log'!M:M,"Vignette",'QA Log'!Z:Z,"Rejected",'QA Log'!L:L,"*Vignette [3] Growth Monitoring and Promotion*"),
    COUNTIFS('QA Log'!D:D,A436,'QA Log'!M:M,"Vignette",'QA Log'!Z:Z,"Rejected",'QA Log'!L:L,"*Vignette [4]: The management of presumptive TB patient*")
  )
)</f>
        <v/>
      </c>
      <c r="BC436" s="107" t="str">
        <f t="shared" si="35"/>
        <v/>
      </c>
      <c r="BD436" s="103" t="str">
        <f t="shared" si="36"/>
        <v/>
      </c>
      <c r="BE436" s="102" t="str">
        <f>IF(A436="","",SUM(
COUNTIFS('QA Log'!D:D,A436,'QA Log'!M:M,"Vignette",'QA Log'!L:L,"*Vignette [5] Labor*"),
COUNTIFS('QA Log'!D:D,A436,'QA Log'!M:M,"Vignette",'QA Log'!L:L,"*Vignette [6] PNC pre Discharge*"),
COUNTIFS('QA Log'!D:D,A436,'QA Log'!M:M,"Vignette",'QA Log'!L:L,"*Vignette [7] First ANC Visit*"),
COUNTIFS('QA Log'!D:D,A436,'QA Log'!M:M,"Vignette",'QA Log'!L:L,"*Vignette [8] Birth Spacing/ Family Planning :  FP Counselling*"),
COUNTIFS('QA Log'!D:D,A436,'QA Log'!M:M,"Vignette",'QA Log'!L:L,"*Vignette [9] Birth Spacing: Change FP method to Injectable*"),
COUNTIFS('QA Log'!D:D,A436,'QA Log'!M:M,"Vignette",'QA Log'!L:L,"*Vignette [10] Post Partum Haemorrhage - Atonic Uterus at Health Centre*"),
)
)</f>
        <v/>
      </c>
      <c r="BF436" s="102" t="str">
        <f>IF(A436="","",
  SUM(
    COUNTIFS('QA Log'!D:D,A436,'QA Log'!M:M,"Vignette",'QA Log'!Z:Z,"Approved",'QA Log'!L:L,"*Vignette [5] Labor*"),
    COUNTIFS('QA Log'!D:D,A436,'QA Log'!M:M,"Vignette",'QA Log'!Z:Z,"Approved",'QA Log'!L:L,"*Vignette [6] PNC pre Discharge*"),
    COUNTIFS('QA Log'!D:D,A436,'QA Log'!M:M,"Vignette",'QA Log'!Z:Z,"Approved",'QA Log'!L:L,"*Vignette [7] First ANC Visit*"),
    COUNTIFS('QA Log'!D:D,A436,'QA Log'!M:M,"Vignette",'QA Log'!Z:Z,"Approved",'QA Log'!L:L,"*Vignette [8] Birth Spacing/ Family Planning :  FP Counselling*"),
    COUNTIFS('QA Log'!D:D,A436,'QA Log'!M:M,"Vignette",'QA Log'!Z:Z,"Approved",'QA Log'!L:L,"*Vignette [9] Birth Spacing: Change FP method to Injectable*"),
    COUNTIFS('QA Log'!D:D,A436,'QA Log'!M:M,"Vignette",'QA Log'!Z:Z,"Approved",'QA Log'!L:L,"*Vignette [10] Post Partum Haemorrhage - Atonic Uterus at Health Centre*")
  )
)</f>
        <v/>
      </c>
      <c r="BG436" s="105" t="str">
        <f>IF(A436&lt;&gt;"",COUNTIFS('QA Log'!D:D,A436,'QA Log'!M:M,"Vignette",'QA Log'!L:L,"Vignette [5] Labor",'QA Log'!Z:Z,"Approved"),"")</f>
        <v/>
      </c>
      <c r="BH436" s="105" t="str">
        <f>IF(A436&lt;&gt;"",COUNTIFS('QA Log'!D:D,A436,'QA Log'!M:M,"Vignette",'QA Log'!L:L,"Vignette [6] PNC pre Discharge",'QA Log'!Z:Z,"Approved"),"")</f>
        <v/>
      </c>
      <c r="BI436" s="105" t="str">
        <f>IF(A436&lt;&gt;"",COUNTIFS('QA Log'!D:D,A436,'QA Log'!M:M,"Vignette",'QA Log'!L:L,"Vignette [7] First ANC Visit",'QA Log'!Z:Z,"Approved"),"")</f>
        <v/>
      </c>
      <c r="BJ436" s="105" t="str">
        <f>IF(A436&lt;&gt;"",COUNTIFS('QA Log'!D:D,A436,'QA Log'!M:M,"Vignette",'QA Log'!L:L,"Vignette [8] Birth Spacing/ Family Planning :  FP Counselling",'QA Log'!Z:Z,"Approved"),"")</f>
        <v/>
      </c>
      <c r="BK436" s="105" t="str">
        <f>IF(A436&lt;&gt;"",COUNTIFS('QA Log'!D:D,A436,'QA Log'!M:M,"Vignette",'QA Log'!L:L,"Vignette [9] Birth Spacing: Change FP method to Injectable",'QA Log'!Z:Z,"Approved"),"")</f>
        <v/>
      </c>
      <c r="BL436" s="105" t="str">
        <f>IF(A436&lt;&gt;"",COUNTIFS('QA Log'!D:D,A436,'QA Log'!M:M,"Vignette",'QA Log'!L:L,"Vignette [10] Post Partum Haemorrhage - Atonic Uterus at Health Centre",'QA Log'!Z:Z,"Approved"),"")</f>
        <v/>
      </c>
      <c r="BM436" s="102" t="str">
        <f>IF(A436="","",SUM(
    COUNTIFS('QA Log'!D:D,A436,'QA Log'!M:M,"Vignette",'QA Log'!Z:Z,"Rejected",'QA Log'!L:L,"*Vignette [5] Labor*"),
    COUNTIFS('QA Log'!D:D,A436,'QA Log'!M:M,"Vignette",'QA Log'!Z:Z,"Rejected",'QA Log'!L:L,"*Vignette [6] PNC pre Discharge*"),
    COUNTIFS('QA Log'!D:D,A436,'QA Log'!M:M,"Vignette",'QA Log'!Z:Z,"Rejected",'QA Log'!L:L,"*Vignette [7] First ANC Visit*"),
    COUNTIFS('QA Log'!D:D,A436,'QA Log'!M:M,"Vignette",'QA Log'!Z:Z,"Rejected",'QA Log'!L:L,"*Vignette [8] Birth Spacing/ Family Planning :  FP Counselling*"),
    COUNTIFS('QA Log'!D:D,A436,'QA Log'!M:M,"Vignette",'QA Log'!Z:Z,"Rejected",'QA Log'!L:L,"*Vignette [9] Birth Spacing: Change FP method to Injectable*"),
    COUNTIFS('QA Log'!D:D,A436,'QA Log'!M:M,"Vignette",'QA Log'!Z:Z,"Rejected",'QA Log'!L:L,"*Vignette [10] Post Partum Haemorrhage - Atonic Uterus at Health Centre*")
  )
)</f>
        <v/>
      </c>
      <c r="BN436" s="107" t="str">
        <f t="shared" si="37"/>
        <v/>
      </c>
      <c r="BO436" s="103" t="str">
        <f t="shared" si="38"/>
        <v/>
      </c>
      <c r="BP436" s="102" t="str">
        <f>IF(A436="","",SUM(
COUNTIFS('QA Log'!D:D,A436,'QA Log'!M:M,"Vignette",'QA Log'!L:L,"*Exit Interview 1*"),
COUNTIFS('QA Log'!D:D,A436,'QA Log'!M:M,"Vignette",'QA Log'!L:L,"*Exit Interview 2*"),
)
)</f>
        <v/>
      </c>
      <c r="BQ436" s="102" t="str">
        <f>IF(
  A436="","",
  SUM(
    COUNTIFS('QA Log'!D:D,A436,'QA Log'!M:M,"Vignette",'QA Log'!Z:Z,"Approved",'QA Log'!L:L,"*Exit Interview 1*"),
    COUNTIFS('QA Log'!D:D,A436,'QA Log'!M:M,"Vignette",'QA Log'!Z:Z,"Approved",'QA Log'!L:L,"*Exit Interview 2*")
  )
)</f>
        <v/>
      </c>
      <c r="BR436" s="105" t="str">
        <f>IF(A436&lt;&gt;"",COUNTIFS('QA Log'!D:D,A436,'QA Log'!M:M,"Vignette",'QA Log'!L:L,"Exit Interview 1",'QA Log'!Z:Z,"Approved"),"")</f>
        <v/>
      </c>
      <c r="BS436" s="105" t="str">
        <f>IF(A436&lt;&gt;"",COUNTIFS('QA Log'!D:D,A436,'QA Log'!M:M,"Vignette",'QA Log'!L:L,"Exit Interview 2",'QA Log'!Z:Z,"Approved"),"")</f>
        <v/>
      </c>
      <c r="BT436" s="102" t="str">
        <f>IF(
  A436="","",
  SUM(
    COUNTIFS('QA Log'!D:D,A436,'QA Log'!M:M,"Vignette",'QA Log'!Z:Z,"Rejected",'QA Log'!L:L,"*Exit Interview 1*"),
    COUNTIFS('QA Log'!D:D,A436,'QA Log'!M:M,"Vignette",'QA Log'!Z:Z,"Rejected",'QA Log'!L:L,"*Exit Interview 2*")
  )
)</f>
        <v/>
      </c>
      <c r="BU436" s="107" t="str">
        <f t="shared" si="39"/>
        <v/>
      </c>
      <c r="BV436" s="102" t="str">
        <f t="shared" si="40"/>
        <v/>
      </c>
      <c r="BW436" s="102" t="str">
        <f t="shared" si="41"/>
        <v/>
      </c>
      <c r="BX436" s="102" t="str">
        <f t="shared" si="42"/>
        <v/>
      </c>
      <c r="BY436" s="102" t="str">
        <f t="shared" si="43"/>
        <v/>
      </c>
      <c r="BZ436" s="107" t="str">
        <f t="shared" si="44"/>
        <v/>
      </c>
      <c r="CA436" s="108" t="str">
        <f t="shared" si="45"/>
        <v/>
      </c>
      <c r="CB436" s="108" t="str">
        <f t="shared" si="46"/>
        <v/>
      </c>
      <c r="CC436" s="109" t="str">
        <f t="shared" si="47"/>
        <v/>
      </c>
      <c r="CD436" s="108" t="str">
        <f t="shared" si="48"/>
        <v/>
      </c>
      <c r="CE436" s="108" t="str">
        <f t="shared" si="49"/>
        <v/>
      </c>
      <c r="CF436" s="109" t="str">
        <f t="shared" si="50"/>
        <v/>
      </c>
      <c r="CG436" s="110" t="str">
        <f t="shared" si="51"/>
        <v/>
      </c>
      <c r="CH436" s="111"/>
    </row>
    <row r="437" spans="1:86" ht="12.75">
      <c r="A437" s="101"/>
      <c r="B437" s="102" t="e">
        <f t="array" aca="1" ref="B437" ca="1">_xludf.XLOOKUP(A437,'QA Log'!D:D,'QA Log'!E:E,"")</f>
        <v>#NAME?</v>
      </c>
      <c r="C437" s="102" t="e">
        <f t="array" aca="1" ref="C437" ca="1">_xludf.XLOOKUP(A437,'QA Log'!D:D,'QA Log'!F:F,"")</f>
        <v>#NAME?</v>
      </c>
      <c r="D437" s="102" t="e">
        <f t="array" aca="1" ref="D437" ca="1">_xludf.XLOOKUP(A437,'QA Log'!D:D,'QA Log'!H:H,"")</f>
        <v>#NAME?</v>
      </c>
      <c r="E437" s="102" t="e">
        <f t="array" aca="1" ref="E437" ca="1">_xludf.XLOOKUP(A437,'QA Log'!D:D,'QA Log'!G:G,"")</f>
        <v>#NAME?</v>
      </c>
      <c r="F437" s="103"/>
      <c r="G437" s="104"/>
      <c r="H437" s="104"/>
      <c r="I437" s="103" t="str">
        <f t="shared" si="26"/>
        <v/>
      </c>
      <c r="J437" s="102" t="str">
        <f>IF(A437="","",SUM(
COUNTIFS('QA Log'!D:D,A437,'QA Log'!M:M,"QQC",'QA Log'!L:L,"*1. General Management*"),
COUNTIFS('QA Log'!D:D,A437,'QA Log'!M:M,"QQC",'QA Log'!L:L,"*3. Curative Consultation (OPD)*"),
COUNTIFS('QA Log'!D:D,A437,'QA Log'!M:M,"QQC",'QA Log'!L:L,"*5. Laboratory*"),
COUNTIFS('QA Log'!D:D,A437,'QA Log'!M:M,"QQC",'QA Log'!L:L,"*6. Essential Medicine Management*"),
COUNTIFS('QA Log'!D:D,A437,'QA Log'!M:M,"QQC",'QA Log'!L:L,"*7. Tracer Medicine*"),
COUNTIFS('QA Log'!D:D,A437,'QA Log'!M:M,"QQC",'QA Log'!L:L,"*11. Additional Questions*")))</f>
        <v/>
      </c>
      <c r="K437" s="102" t="str">
        <f>IF(A437="","",SUM(
COUNTIFS('QA Log'!D:D,A437,'QA Log'!M:M,"QQC",'QA Log'!Z:Z,"Approved",'QA Log'!L:L,"*1. General Management*"),
COUNTIFS('QA Log'!D:D,A437,'QA Log'!M:M,"QQC",'QA Log'!Z:Z,"Approved",'QA Log'!L:L,"*3. Curative Consultation (OPD)*"),
COUNTIFS('QA Log'!D:D,A437,'QA Log'!M:M,"QQC",'QA Log'!Z:Z,"Approved",'QA Log'!L:L,"*5. Laboratory*"),
COUNTIFS('QA Log'!D:D,A437,'QA Log'!M:M,"QQC",'QA Log'!Z:Z,"Approved",'QA Log'!L:L,"*6. Essential Medicine Management*"),
COUNTIFS('QA Log'!D:D,A437,'QA Log'!M:M,"QQC",'QA Log'!Z:Z,"Approved",'QA Log'!L:L,"*7. Tracer Medicine*"),
COUNTIFS('QA Log'!D:D,A437,'QA Log'!M:M,"QQC",'QA Log'!Z:Z,"Approved",'QA Log'!L:L,"*11. Additional Questions*")))</f>
        <v/>
      </c>
      <c r="L437" s="102" t="str">
        <f>IF(A437&lt;&gt;"",COUNTIFS('QA Log'!D:D,A437,'QA Log'!M:M,"QQC",'QA Log'!L:L,"1. General Management",'QA Log'!Z:Z,"Approved"),"")</f>
        <v/>
      </c>
      <c r="M437" s="102" t="str">
        <f>IF(A437&lt;&gt;"",COUNTIFS('QA Log'!D:D,A437,'QA Log'!M:M,"QQC",'QA Log'!L:L,"3. Curative Consultation (OPD)",'QA Log'!Z:Z,"Approved"),"")</f>
        <v/>
      </c>
      <c r="N437" s="102" t="str">
        <f>IF(A437&lt;&gt;"",COUNTIFS('QA Log'!D:D,A437,'QA Log'!M:M,"QQC",'QA Log'!L:L,"5. Laboratory",'QA Log'!Z:Z,"Approved"),"")</f>
        <v/>
      </c>
      <c r="O437" s="102" t="str">
        <f>IF(A437&lt;&gt;"",COUNTIFS('QA Log'!D:D,A437,'QA Log'!M:M,"QQC",'QA Log'!L:L,"6. Essential Medicine Management",'QA Log'!Z:Z,"Approved"),"")</f>
        <v/>
      </c>
      <c r="P437" s="102" t="str">
        <f>IF(A437&lt;&gt;"",COUNTIFS('QA Log'!D:D,A437,'QA Log'!M:M,"QQC",'QA Log'!L:L,"7. Tracer Medicine",'QA Log'!Z:Z,"Approved"),"")</f>
        <v/>
      </c>
      <c r="Q437" s="102" t="str">
        <f>IF(A437&lt;&gt;"",COUNTIFS('QA Log'!D:D,A437,'QA Log'!M:M,"QQC",'QA Log'!L:L,"11. Additional Questions",'QA Log'!Z:Z,"Approved"),"")</f>
        <v/>
      </c>
      <c r="R437" s="102" t="str">
        <f>IF(A437="","",SUM(
COUNTIFS('QA Log'!D:D,A437,'QA Log'!M:M,"QQC",'QA Log'!Z:Z,"Rejected",'QA Log'!L:L,"*8. Maternity*"),
COUNTIFS('QA Log'!D:D,A437,'QA Log'!M:M,"QQC",'QA Log'!Z:Z,"Rejected",'QA Log'!L:L,"*EPI*"),
COUNTIFS('QA Log'!D:D,A437,'QA Log'!M:M,"QQC",'QA Log'!Z:Z,"Rejected",'QA Log'!L:L,"*10. Antenatal Care (ANC)*"),
COUNTIFS('QA Log'!D:D,A437,'QA Log'!M:M,"QQC",'QA Log'!Z:Z,"Rejected",'QA Log'!L:L,"*2. Hygiene and Sterilization*"),
COUNTIFS('QA Log'!D:D,A437,'QA Log'!M:M,"QQC",'QA Log'!Z:Z,"Rejected",'QA Log'!L:L,"*Family Planning*")))</f>
        <v/>
      </c>
      <c r="S437" s="106" t="str">
        <f t="shared" si="27"/>
        <v/>
      </c>
      <c r="T437" s="102" t="str">
        <f t="shared" si="28"/>
        <v/>
      </c>
      <c r="U437" s="102" t="str">
        <f>IF(A437="","",
SUM(
COUNTIFS('QA Log'!D:D,A437,'QA Log'!M:M,"QQC",'QA Log'!L:L,"*8. Maternity*"),
COUNTIFS('QA Log'!D:D,A437,'QA Log'!M:M,"QQC",'QA Log'!L:L,"*9. EPI and Pre-school Consultation*"),
COUNTIFS('QA Log'!D:D,A437,'QA Log'!M:M,"QQC",'QA Log'!L:L,"*10. Antenatal Care (ANC)*"),
COUNTIFS('QA Log'!D:D,A437,'QA Log'!M:M,"QQC",'QA Log'!L:L,"*2. Hygiene and Sterilization*"),
COUNTIFS('QA Log'!D:D,A437,'QA Log'!M:M,"QQC",'QA Log'!L:L,"*4. Family Planning*")
))</f>
        <v/>
      </c>
      <c r="V437" s="102" t="str">
        <f>IF(A437="","",
SUM(
COUNTIFS('QA Log'!D:D,A437,'QA Log'!M:M,"QQC",'QA Log'!Z:Z,"Approved",'QA Log'!L:L,"*8. Maternity*"),
COUNTIFS('QA Log'!D:D,A437,'QA Log'!M:M,"QQC",'QA Log'!Z:Z,"Approved",'QA Log'!L:L,"*9. EPI and Pre-school Consultation*"),
COUNTIFS('QA Log'!D:D,A437,'QA Log'!M:M,"QQC",'QA Log'!Z:Z,"Approved",'QA Log'!L:L,"*10. Antenatal Care (ANC)*"),
COUNTIFS('QA Log'!D:D,A437,'QA Log'!M:M,"QQC",'QA Log'!Z:Z,"Approved",'QA Log'!L:L,"*2. Hygiene and Sterilization*"),
COUNTIFS('QA Log'!D:D,A437,'QA Log'!M:M,"QQC",'QA Log'!Z:Z,"Approved",'QA Log'!L:L,"*4. Family Planning*")
))</f>
        <v/>
      </c>
      <c r="W437" s="102" t="str">
        <f>IF(A437&lt;&gt;"",COUNTIFS('QA Log'!D:D,A437,'QA Log'!M:M,"QQC",'QA Log'!L:L,"8. Maternity",'QA Log'!Z:Z,"Approved"),"")</f>
        <v/>
      </c>
      <c r="X437" s="105" t="str">
        <f>IF(A437&lt;&gt;"",COUNTIFS('QA Log'!D:D,A437,'QA Log'!M:M,"QQC",'QA Log'!L:L,"9. EPI and Pre-school Consultation",'QA Log'!Z:Z,"Approved"),"")</f>
        <v/>
      </c>
      <c r="Y437" s="102" t="str">
        <f>IF(A437&lt;&gt;"",COUNTIFS('QA Log'!D:D,A437,'QA Log'!M:M,"QQC",'QA Log'!L:L,"10. Antenatal Care (ANC)",'QA Log'!Z:Z,"Approved"),"")</f>
        <v/>
      </c>
      <c r="Z437" s="102" t="str">
        <f>IF(A437&lt;&gt;"",COUNTIFS('QA Log'!D:D,A437,'QA Log'!M:M,"QQC",'QA Log'!L:L,"2. Hygiene and Sterilization",'QA Log'!Z:Z,"Approved"),"")</f>
        <v/>
      </c>
      <c r="AA437" s="105" t="str">
        <f>IF(A437&lt;&gt;"",COUNTIFS('QA Log'!D:D,A437,'QA Log'!M:M,"QQC",'QA Log'!L:L,"4. Family Planning",'QA Log'!Z:Z,"Approved"),"")</f>
        <v/>
      </c>
      <c r="AB437" s="102" t="str">
        <f>IF(A437="","",
SUM(
COUNTIFS('QA Log'!D:D,A437,'QA Log'!M:M,"QQC",'QA Log'!Z:Z,"Rejected",'QA Log'!L:L,"*8. Maternity*"),
COUNTIFS('QA Log'!D:D,A437,'QA Log'!M:M,"QQC",'QA Log'!Z:Z,"Rejected",'QA Log'!L:L,"*9. EPI and Pre-school Consultation*"),
COUNTIFS('QA Log'!D:D,A437,'QA Log'!M:M,"QQC",'QA Log'!Z:Z,"Rejected",'QA Log'!L:L,"*10. Antenatal Care (ANC)*"),
COUNTIFS('QA Log'!D:D,A437,'QA Log'!M:M,"QQC",'QA Log'!Z:Z,"Rejected",'QA Log'!L:L,"*2. Hygiene and Sterilization*"),
COUNTIFS('QA Log'!D:D,A437,'QA Log'!M:M,"QQC",'QA Log'!Z:Z,"Rejected",'QA Log'!L:L,"*4. Family Planning*")
))</f>
        <v/>
      </c>
      <c r="AC437" s="102" t="str">
        <f t="shared" si="29"/>
        <v/>
      </c>
      <c r="AD437" s="103" t="str">
        <f t="shared" si="30"/>
        <v/>
      </c>
      <c r="AE437" s="102" t="str">
        <f>IF(A437="","",
SUM(
COUNTIFS('QA Log'!D:D,A437,'QA Log'!M:M,"Data Verification",'QA Log'!L:L,"*Medicine (section 2)*"),
COUNTIFS('QA Log'!D:D,A437,'QA Log'!M:M,"Data Verification",'QA Log'!L:L,"*Lab Testing Availability*"),
COUNTIFS('QA Log'!D:D,A437,'QA Log'!M:M,"Data Verification",'QA Log'!L:L,"*Other than P4P (section 6)*"),
COUNTIFS('QA Log'!D:D,A437,'QA Log'!M:M,"Data Verification",'QA Log'!L:L,"*Hospital Governance*")
))</f>
        <v/>
      </c>
      <c r="AF437" s="102" t="str">
        <f>IF(A437="","",
SUM(
COUNTIFS('QA Log'!D:D,A437,'QA Log'!M:M,"Data Verification",'QA Log'!Z:Z,"Approved",'QA Log'!L:L,"*Medicine (section 2)*"),
COUNTIFS('QA Log'!D:D,A437,'QA Log'!M:M,"Data Verification",'QA Log'!Z:Z,"Approved",'QA Log'!L:L,"*Lab Testing Availability*"),
COUNTIFS('QA Log'!D:D,A437,'QA Log'!M:M,"Data Verification",'QA Log'!Z:Z,"Approved",'QA Log'!L:L,"*Other than P4P (section 6)*"),
COUNTIFS('QA Log'!D:D,A437,'QA Log'!M:M,"Data Verification",'QA Log'!Z:Z,"Approved",'QA Log'!L:L,"*Hospital Governance*")
))</f>
        <v/>
      </c>
      <c r="AG437" s="105" t="str">
        <f>IF(A437&lt;&gt;"",COUNTIFS('QA Log'!D:D,A437,'QA Log'!M:M,"Data Verification",'QA Log'!L:L,"Medicine (section 2)",'QA Log'!Z:Z,"Approved"),"")</f>
        <v/>
      </c>
      <c r="AH437" s="105" t="str">
        <f>IF(A437&lt;&gt;"",COUNTIFS('QA Log'!D:D,A437,'QA Log'!M:M,"Data Verification",'QA Log'!L:L,"Lab Testing Availability",'QA Log'!Z:Z,"Approved"),"")</f>
        <v/>
      </c>
      <c r="AI437" s="105" t="str">
        <f>IF(A437&lt;&gt;"",COUNTIFS('QA Log'!D:D,A437,'QA Log'!M:M,"Data Verification",'QA Log'!L:L,"Other than P4P (section 6)",'QA Log'!Z:Z,"Approved"),"")</f>
        <v/>
      </c>
      <c r="AJ437" s="105" t="str">
        <f>IF(A437&lt;&gt;"",COUNTIFS('QA Log'!D:D,A437,'QA Log'!M:M,"Data Verification",'QA Log'!L:L,"Hospital Governance",'QA Log'!Z:Z,"Approved"),"")</f>
        <v/>
      </c>
      <c r="AK437" s="102" t="str">
        <f>IF(A437="","",
SUM(
COUNTIFS('QA Log'!D:D,A437,'QA Log'!M:M,"Data Verification",'QA Log'!Z:Z,"Rejected",'QA Log'!L:L,"*Medicine (section 2)*"),
COUNTIFS('QA Log'!D:D,A437,'QA Log'!M:M,"Data Verification",'QA Log'!Z:Z,"Rejected",'QA Log'!L:L,"*Lab Testing Availability*"),
COUNTIFS('QA Log'!D:D,A437,'QA Log'!M:M,"Data Verification",'QA Log'!Z:Z,"Rejected",'QA Log'!L:L,"*Other than P4P (section 6)*"),
COUNTIFS('QA Log'!D:D,A437,'QA Log'!M:M,"Data Verification",'QA Log'!Z:Z,"Rejected",'QA Log'!L:L,"*Hospital Governance*")
))</f>
        <v/>
      </c>
      <c r="AL437" s="106" t="str">
        <f t="shared" si="31"/>
        <v/>
      </c>
      <c r="AM437" s="102" t="str">
        <f t="shared" si="32"/>
        <v/>
      </c>
      <c r="AN437" s="102" t="str">
        <f>IF(A437="","",
SUM(
COUNTIFS('QA Log'!D:D,A437,'QA Log'!M:M,"Data Verification",'QA Log'!L:L,"*Personnel (section 1)*"),
COUNTIFS('QA Log'!D:D,A437,'QA Log'!M:M,"Data Verification",'QA Log'!L:L,"*Consumable (section 3)*"),
COUNTIFS('QA Log'!D:D,A437,'QA Log'!M:M,"Data Verification",'QA Log'!L:L,"*Equipments (section 4)*")
))</f>
        <v/>
      </c>
      <c r="AO437" s="102" t="str">
        <f>IF(A437="","",
SUM(
COUNTIFS('QA Log'!D:D,A437,'QA Log'!M:M,"Data Verification",'QA Log'!Z:Z,"Approved",'QA Log'!L:L,"*Personnel (section 1)*"),
COUNTIFS('QA Log'!D:D,A437,'QA Log'!M:M,"Data Verification",'QA Log'!Z:Z,"Approved",'QA Log'!L:L,"*Consumable (section 3)*"),
COUNTIFS('QA Log'!D:D,A437,'QA Log'!M:M,"Data Verification",'QA Log'!Z:Z,"Approved",'QA Log'!L:L,"*Equipments (section 4)*")
))</f>
        <v/>
      </c>
      <c r="AP437" s="105" t="str">
        <f>IF(A437&lt;&gt;"",COUNTIFS('QA Log'!D:D,A437,'QA Log'!M:M,"Data Verification",'QA Log'!L:L,"Personnel (section 1)",'QA Log'!Z:Z,"Approved"),"")</f>
        <v/>
      </c>
      <c r="AQ437" s="105" t="str">
        <f>IF(A437&lt;&gt;"",COUNTIFS('QA Log'!D:D,A437,'QA Log'!M:M,"Data Verification",'QA Log'!L:L,"Consumable (section 3)",'QA Log'!Z:Z,"Approved"),"")</f>
        <v/>
      </c>
      <c r="AR437" s="105" t="str">
        <f>IF(A437&lt;&gt;"",COUNTIFS('QA Log'!D:D,A437,'QA Log'!M:M,"Data Verification",'QA Log'!L:L,"Equipments (section 4)",'QA Log'!Z:Z,"Approved"),"")</f>
        <v/>
      </c>
      <c r="AS437" s="102" t="str">
        <f>IF(A437="","",
SUM(
COUNTIFS('QA Log'!D:D,A437,'QA Log'!M:M,"Data Verification",'QA Log'!Z:Z,"Rejected",'QA Log'!L:L,"*Personnel (section 1)*"),
COUNTIFS('QA Log'!D:D,A437,'QA Log'!M:M,"Data Verification",'QA Log'!Z:Z,"Rejected",'QA Log'!L:L,"*Consumable (section 3)*"),
COUNTIFS('QA Log'!D:D,A437,'QA Log'!M:M,"Data Verification",'QA Log'!Z:Z,"Rejected",'QA Log'!L:L,"*Equipments (section 4)*")
))</f>
        <v/>
      </c>
      <c r="AT437" s="102" t="str">
        <f t="shared" si="33"/>
        <v/>
      </c>
      <c r="AU437" s="103" t="str">
        <f t="shared" si="34"/>
        <v/>
      </c>
      <c r="AV437" s="102" t="str">
        <f>IF(A437="","",SUM(
COUNTIFS('QA Log'!D:D,A437,'QA Log'!M:M,"Vignette",'QA Log'!L:L,"*Vignette [1] Respiratory Infection: Pneumonia*"),
COUNTIFS('QA Log'!D:D,A437,'QA Log'!M:M,"Vignette",'QA Log'!L:L,"*Vignette [2]: Diarrhea with Cat B dehydration*"),
COUNTIFS('QA Log'!D:D,A437,'QA Log'!M:M,"Vignette",'QA Log'!L:L,"*Vignette [3] Growth Monitoring and Promotion*"),
COUNTIFS('QA Log'!D:D,A437,'QA Log'!M:M,"Vignette",'QA Log'!L:L,"*Vignette [4]: The management of presumptive TB patient*")
)
)</f>
        <v/>
      </c>
      <c r="AW437" s="102" t="str">
        <f>IF(
  A437="","",
  SUM(
    COUNTIFS('QA Log'!D:D,A437,'QA Log'!M:M,"Vignette",'QA Log'!Z:Z,"Approved",'QA Log'!L:L,"*Vignette [1] Respiratory Infection: Pneumonia*"),
    COUNTIFS('QA Log'!D:D,A437,'QA Log'!M:M,"Vignette",'QA Log'!Z:Z,"Approved",'QA Log'!L:L,"*Vignette [2]: Diarrhea with Cat B dehydration*"),
    COUNTIFS('QA Log'!D:D,A437,'QA Log'!M:M,"Vignette",'QA Log'!Z:Z,"Approved",'QA Log'!L:L,"*Vignette [3] Growth Monitoring and Promotion*"),
    COUNTIFS('QA Log'!D:D,A437,'QA Log'!M:M,"Vignette",'QA Log'!Z:Z,"Approved",'QA Log'!L:L,"*Vignette [4]: The management of presumptive TB patient*")
  )
)</f>
        <v/>
      </c>
      <c r="AX437" s="105" t="str">
        <f>IF(A437&lt;&gt;"",COUNTIFS('QA Log'!D:D,A437,'QA Log'!M:M,"Vignette",'QA Log'!L:L,"Vignette [1] Respiratory Infection: Pneumonia",'QA Log'!Z:Z,"Approved"),"")</f>
        <v/>
      </c>
      <c r="AY437" s="105" t="str">
        <f>IF(A437&lt;&gt;"",COUNTIFS('QA Log'!D:D,A437,'QA Log'!M:M,"Vignette",'QA Log'!L:L,"Vignette [2]: Diarrhea with Cat B dehydration",'QA Log'!Z:Z,"Approved"),"")</f>
        <v/>
      </c>
      <c r="AZ437" s="105" t="str">
        <f>IF(A437&lt;&gt;"",COUNTIFS('QA Log'!D:D,A437,'QA Log'!M:M,"Vignette",'QA Log'!L:L,"Vignette [3] Growth Monitoring and Promotion",'QA Log'!Z:Z,"Approved"),"")</f>
        <v/>
      </c>
      <c r="BA437" s="105" t="str">
        <f>IF(A437&lt;&gt;"",COUNTIFS('QA Log'!D:D,A437,'QA Log'!M:M,"Vignette",'QA Log'!L:L,"Vignette [4]: The management of presumptive TB patient",'QA Log'!Z:Z,"Approved"),"")</f>
        <v/>
      </c>
      <c r="BB437" s="102" t="str">
        <f>IF(A437="","",
  SUM(
    COUNTIFS('QA Log'!D:D,A437,'QA Log'!M:M,"Vignette",'QA Log'!Z:Z,"Rejected",'QA Log'!L:L,"*Vignette [1] Respiratory Infection: Pneumonia*"),
    COUNTIFS('QA Log'!D:D,A437,'QA Log'!M:M,"Vignette",'QA Log'!Z:Z,"Rejected",'QA Log'!L:L,"*Vignette [2]: Diarrhea with Cat B dehydration*"),
    COUNTIFS('QA Log'!D:D,A437,'QA Log'!M:M,"Vignette",'QA Log'!Z:Z,"Rejected",'QA Log'!L:L,"*Vignette [3] Growth Monitoring and Promotion*"),
    COUNTIFS('QA Log'!D:D,A437,'QA Log'!M:M,"Vignette",'QA Log'!Z:Z,"Rejected",'QA Log'!L:L,"*Vignette [4]: The management of presumptive TB patient*")
  )
)</f>
        <v/>
      </c>
      <c r="BC437" s="107" t="str">
        <f t="shared" si="35"/>
        <v/>
      </c>
      <c r="BD437" s="103" t="str">
        <f t="shared" si="36"/>
        <v/>
      </c>
      <c r="BE437" s="102" t="str">
        <f>IF(A437="","",SUM(
COUNTIFS('QA Log'!D:D,A437,'QA Log'!M:M,"Vignette",'QA Log'!L:L,"*Vignette [5] Labor*"),
COUNTIFS('QA Log'!D:D,A437,'QA Log'!M:M,"Vignette",'QA Log'!L:L,"*Vignette [6] PNC pre Discharge*"),
COUNTIFS('QA Log'!D:D,A437,'QA Log'!M:M,"Vignette",'QA Log'!L:L,"*Vignette [7] First ANC Visit*"),
COUNTIFS('QA Log'!D:D,A437,'QA Log'!M:M,"Vignette",'QA Log'!L:L,"*Vignette [8] Birth Spacing/ Family Planning :  FP Counselling*"),
COUNTIFS('QA Log'!D:D,A437,'QA Log'!M:M,"Vignette",'QA Log'!L:L,"*Vignette [9] Birth Spacing: Change FP method to Injectable*"),
COUNTIFS('QA Log'!D:D,A437,'QA Log'!M:M,"Vignette",'QA Log'!L:L,"*Vignette [10] Post Partum Haemorrhage - Atonic Uterus at Health Centre*"),
)
)</f>
        <v/>
      </c>
      <c r="BF437" s="102" t="str">
        <f>IF(A437="","",
  SUM(
    COUNTIFS('QA Log'!D:D,A437,'QA Log'!M:M,"Vignette",'QA Log'!Z:Z,"Approved",'QA Log'!L:L,"*Vignette [5] Labor*"),
    COUNTIFS('QA Log'!D:D,A437,'QA Log'!M:M,"Vignette",'QA Log'!Z:Z,"Approved",'QA Log'!L:L,"*Vignette [6] PNC pre Discharge*"),
    COUNTIFS('QA Log'!D:D,A437,'QA Log'!M:M,"Vignette",'QA Log'!Z:Z,"Approved",'QA Log'!L:L,"*Vignette [7] First ANC Visit*"),
    COUNTIFS('QA Log'!D:D,A437,'QA Log'!M:M,"Vignette",'QA Log'!Z:Z,"Approved",'QA Log'!L:L,"*Vignette [8] Birth Spacing/ Family Planning :  FP Counselling*"),
    COUNTIFS('QA Log'!D:D,A437,'QA Log'!M:M,"Vignette",'QA Log'!Z:Z,"Approved",'QA Log'!L:L,"*Vignette [9] Birth Spacing: Change FP method to Injectable*"),
    COUNTIFS('QA Log'!D:D,A437,'QA Log'!M:M,"Vignette",'QA Log'!Z:Z,"Approved",'QA Log'!L:L,"*Vignette [10] Post Partum Haemorrhage - Atonic Uterus at Health Centre*")
  )
)</f>
        <v/>
      </c>
      <c r="BG437" s="105" t="str">
        <f>IF(A437&lt;&gt;"",COUNTIFS('QA Log'!D:D,A437,'QA Log'!M:M,"Vignette",'QA Log'!L:L,"Vignette [5] Labor",'QA Log'!Z:Z,"Approved"),"")</f>
        <v/>
      </c>
      <c r="BH437" s="105" t="str">
        <f>IF(A437&lt;&gt;"",COUNTIFS('QA Log'!D:D,A437,'QA Log'!M:M,"Vignette",'QA Log'!L:L,"Vignette [6] PNC pre Discharge",'QA Log'!Z:Z,"Approved"),"")</f>
        <v/>
      </c>
      <c r="BI437" s="105" t="str">
        <f>IF(A437&lt;&gt;"",COUNTIFS('QA Log'!D:D,A437,'QA Log'!M:M,"Vignette",'QA Log'!L:L,"Vignette [7] First ANC Visit",'QA Log'!Z:Z,"Approved"),"")</f>
        <v/>
      </c>
      <c r="BJ437" s="105" t="str">
        <f>IF(A437&lt;&gt;"",COUNTIFS('QA Log'!D:D,A437,'QA Log'!M:M,"Vignette",'QA Log'!L:L,"Vignette [8] Birth Spacing/ Family Planning :  FP Counselling",'QA Log'!Z:Z,"Approved"),"")</f>
        <v/>
      </c>
      <c r="BK437" s="105" t="str">
        <f>IF(A437&lt;&gt;"",COUNTIFS('QA Log'!D:D,A437,'QA Log'!M:M,"Vignette",'QA Log'!L:L,"Vignette [9] Birth Spacing: Change FP method to Injectable",'QA Log'!Z:Z,"Approved"),"")</f>
        <v/>
      </c>
      <c r="BL437" s="105" t="str">
        <f>IF(A437&lt;&gt;"",COUNTIFS('QA Log'!D:D,A437,'QA Log'!M:M,"Vignette",'QA Log'!L:L,"Vignette [10] Post Partum Haemorrhage - Atonic Uterus at Health Centre",'QA Log'!Z:Z,"Approved"),"")</f>
        <v/>
      </c>
      <c r="BM437" s="102" t="str">
        <f>IF(A437="","",SUM(
    COUNTIFS('QA Log'!D:D,A437,'QA Log'!M:M,"Vignette",'QA Log'!Z:Z,"Rejected",'QA Log'!L:L,"*Vignette [5] Labor*"),
    COUNTIFS('QA Log'!D:D,A437,'QA Log'!M:M,"Vignette",'QA Log'!Z:Z,"Rejected",'QA Log'!L:L,"*Vignette [6] PNC pre Discharge*"),
    COUNTIFS('QA Log'!D:D,A437,'QA Log'!M:M,"Vignette",'QA Log'!Z:Z,"Rejected",'QA Log'!L:L,"*Vignette [7] First ANC Visit*"),
    COUNTIFS('QA Log'!D:D,A437,'QA Log'!M:M,"Vignette",'QA Log'!Z:Z,"Rejected",'QA Log'!L:L,"*Vignette [8] Birth Spacing/ Family Planning :  FP Counselling*"),
    COUNTIFS('QA Log'!D:D,A437,'QA Log'!M:M,"Vignette",'QA Log'!Z:Z,"Rejected",'QA Log'!L:L,"*Vignette [9] Birth Spacing: Change FP method to Injectable*"),
    COUNTIFS('QA Log'!D:D,A437,'QA Log'!M:M,"Vignette",'QA Log'!Z:Z,"Rejected",'QA Log'!L:L,"*Vignette [10] Post Partum Haemorrhage - Atonic Uterus at Health Centre*")
  )
)</f>
        <v/>
      </c>
      <c r="BN437" s="107" t="str">
        <f t="shared" si="37"/>
        <v/>
      </c>
      <c r="BO437" s="103" t="str">
        <f t="shared" si="38"/>
        <v/>
      </c>
      <c r="BP437" s="102" t="str">
        <f>IF(A437="","",SUM(
COUNTIFS('QA Log'!D:D,A437,'QA Log'!M:M,"Vignette",'QA Log'!L:L,"*Exit Interview 1*"),
COUNTIFS('QA Log'!D:D,A437,'QA Log'!M:M,"Vignette",'QA Log'!L:L,"*Exit Interview 2*"),
)
)</f>
        <v/>
      </c>
      <c r="BQ437" s="102" t="str">
        <f>IF(
  A437="","",
  SUM(
    COUNTIFS('QA Log'!D:D,A437,'QA Log'!M:M,"Vignette",'QA Log'!Z:Z,"Approved",'QA Log'!L:L,"*Exit Interview 1*"),
    COUNTIFS('QA Log'!D:D,A437,'QA Log'!M:M,"Vignette",'QA Log'!Z:Z,"Approved",'QA Log'!L:L,"*Exit Interview 2*")
  )
)</f>
        <v/>
      </c>
      <c r="BR437" s="105" t="str">
        <f>IF(A437&lt;&gt;"",COUNTIFS('QA Log'!D:D,A437,'QA Log'!M:M,"Vignette",'QA Log'!L:L,"Exit Interview 1",'QA Log'!Z:Z,"Approved"),"")</f>
        <v/>
      </c>
      <c r="BS437" s="105" t="str">
        <f>IF(A437&lt;&gt;"",COUNTIFS('QA Log'!D:D,A437,'QA Log'!M:M,"Vignette",'QA Log'!L:L,"Exit Interview 2",'QA Log'!Z:Z,"Approved"),"")</f>
        <v/>
      </c>
      <c r="BT437" s="102" t="str">
        <f>IF(
  A437="","",
  SUM(
    COUNTIFS('QA Log'!D:D,A437,'QA Log'!M:M,"Vignette",'QA Log'!Z:Z,"Rejected",'QA Log'!L:L,"*Exit Interview 1*"),
    COUNTIFS('QA Log'!D:D,A437,'QA Log'!M:M,"Vignette",'QA Log'!Z:Z,"Rejected",'QA Log'!L:L,"*Exit Interview 2*")
  )
)</f>
        <v/>
      </c>
      <c r="BU437" s="107" t="str">
        <f t="shared" si="39"/>
        <v/>
      </c>
      <c r="BV437" s="102" t="str">
        <f t="shared" si="40"/>
        <v/>
      </c>
      <c r="BW437" s="102" t="str">
        <f t="shared" si="41"/>
        <v/>
      </c>
      <c r="BX437" s="102" t="str">
        <f t="shared" si="42"/>
        <v/>
      </c>
      <c r="BY437" s="102" t="str">
        <f t="shared" si="43"/>
        <v/>
      </c>
      <c r="BZ437" s="107" t="str">
        <f t="shared" si="44"/>
        <v/>
      </c>
      <c r="CA437" s="108" t="str">
        <f t="shared" si="45"/>
        <v/>
      </c>
      <c r="CB437" s="108" t="str">
        <f t="shared" si="46"/>
        <v/>
      </c>
      <c r="CC437" s="109" t="str">
        <f t="shared" si="47"/>
        <v/>
      </c>
      <c r="CD437" s="108" t="str">
        <f t="shared" si="48"/>
        <v/>
      </c>
      <c r="CE437" s="108" t="str">
        <f t="shared" si="49"/>
        <v/>
      </c>
      <c r="CF437" s="109" t="str">
        <f t="shared" si="50"/>
        <v/>
      </c>
      <c r="CG437" s="110" t="str">
        <f t="shared" si="51"/>
        <v/>
      </c>
      <c r="CH437" s="111"/>
    </row>
    <row r="438" spans="1:86" ht="12.75">
      <c r="A438" s="101"/>
      <c r="B438" s="102" t="e">
        <f t="array" aca="1" ref="B438" ca="1">_xludf.XLOOKUP(A438,'QA Log'!D:D,'QA Log'!E:E,"")</f>
        <v>#NAME?</v>
      </c>
      <c r="C438" s="102" t="e">
        <f t="array" aca="1" ref="C438" ca="1">_xludf.XLOOKUP(A438,'QA Log'!D:D,'QA Log'!F:F,"")</f>
        <v>#NAME?</v>
      </c>
      <c r="D438" s="102" t="e">
        <f t="array" aca="1" ref="D438" ca="1">_xludf.XLOOKUP(A438,'QA Log'!D:D,'QA Log'!H:H,"")</f>
        <v>#NAME?</v>
      </c>
      <c r="E438" s="102" t="e">
        <f t="array" aca="1" ref="E438" ca="1">_xludf.XLOOKUP(A438,'QA Log'!D:D,'QA Log'!G:G,"")</f>
        <v>#NAME?</v>
      </c>
      <c r="F438" s="103"/>
      <c r="G438" s="104"/>
      <c r="H438" s="104"/>
      <c r="I438" s="103" t="str">
        <f t="shared" si="26"/>
        <v/>
      </c>
      <c r="J438" s="102" t="str">
        <f>IF(A438="","",SUM(
COUNTIFS('QA Log'!D:D,A438,'QA Log'!M:M,"QQC",'QA Log'!L:L,"*1. General Management*"),
COUNTIFS('QA Log'!D:D,A438,'QA Log'!M:M,"QQC",'QA Log'!L:L,"*3. Curative Consultation (OPD)*"),
COUNTIFS('QA Log'!D:D,A438,'QA Log'!M:M,"QQC",'QA Log'!L:L,"*5. Laboratory*"),
COUNTIFS('QA Log'!D:D,A438,'QA Log'!M:M,"QQC",'QA Log'!L:L,"*6. Essential Medicine Management*"),
COUNTIFS('QA Log'!D:D,A438,'QA Log'!M:M,"QQC",'QA Log'!L:L,"*7. Tracer Medicine*"),
COUNTIFS('QA Log'!D:D,A438,'QA Log'!M:M,"QQC",'QA Log'!L:L,"*11. Additional Questions*")))</f>
        <v/>
      </c>
      <c r="K438" s="102" t="str">
        <f>IF(A438="","",SUM(
COUNTIFS('QA Log'!D:D,A438,'QA Log'!M:M,"QQC",'QA Log'!Z:Z,"Approved",'QA Log'!L:L,"*1. General Management*"),
COUNTIFS('QA Log'!D:D,A438,'QA Log'!M:M,"QQC",'QA Log'!Z:Z,"Approved",'QA Log'!L:L,"*3. Curative Consultation (OPD)*"),
COUNTIFS('QA Log'!D:D,A438,'QA Log'!M:M,"QQC",'QA Log'!Z:Z,"Approved",'QA Log'!L:L,"*5. Laboratory*"),
COUNTIFS('QA Log'!D:D,A438,'QA Log'!M:M,"QQC",'QA Log'!Z:Z,"Approved",'QA Log'!L:L,"*6. Essential Medicine Management*"),
COUNTIFS('QA Log'!D:D,A438,'QA Log'!M:M,"QQC",'QA Log'!Z:Z,"Approved",'QA Log'!L:L,"*7. Tracer Medicine*"),
COUNTIFS('QA Log'!D:D,A438,'QA Log'!M:M,"QQC",'QA Log'!Z:Z,"Approved",'QA Log'!L:L,"*11. Additional Questions*")))</f>
        <v/>
      </c>
      <c r="L438" s="102" t="str">
        <f>IF(A438&lt;&gt;"",COUNTIFS('QA Log'!D:D,A438,'QA Log'!M:M,"QQC",'QA Log'!L:L,"1. General Management",'QA Log'!Z:Z,"Approved"),"")</f>
        <v/>
      </c>
      <c r="M438" s="102" t="str">
        <f>IF(A438&lt;&gt;"",COUNTIFS('QA Log'!D:D,A438,'QA Log'!M:M,"QQC",'QA Log'!L:L,"3. Curative Consultation (OPD)",'QA Log'!Z:Z,"Approved"),"")</f>
        <v/>
      </c>
      <c r="N438" s="102" t="str">
        <f>IF(A438&lt;&gt;"",COUNTIFS('QA Log'!D:D,A438,'QA Log'!M:M,"QQC",'QA Log'!L:L,"5. Laboratory",'QA Log'!Z:Z,"Approved"),"")</f>
        <v/>
      </c>
      <c r="O438" s="102" t="str">
        <f>IF(A438&lt;&gt;"",COUNTIFS('QA Log'!D:D,A438,'QA Log'!M:M,"QQC",'QA Log'!L:L,"6. Essential Medicine Management",'QA Log'!Z:Z,"Approved"),"")</f>
        <v/>
      </c>
      <c r="P438" s="102" t="str">
        <f>IF(A438&lt;&gt;"",COUNTIFS('QA Log'!D:D,A438,'QA Log'!M:M,"QQC",'QA Log'!L:L,"7. Tracer Medicine",'QA Log'!Z:Z,"Approved"),"")</f>
        <v/>
      </c>
      <c r="Q438" s="102" t="str">
        <f>IF(A438&lt;&gt;"",COUNTIFS('QA Log'!D:D,A438,'QA Log'!M:M,"QQC",'QA Log'!L:L,"11. Additional Questions",'QA Log'!Z:Z,"Approved"),"")</f>
        <v/>
      </c>
      <c r="R438" s="102" t="str">
        <f>IF(A438="","",SUM(
COUNTIFS('QA Log'!D:D,A438,'QA Log'!M:M,"QQC",'QA Log'!Z:Z,"Rejected",'QA Log'!L:L,"*8. Maternity*"),
COUNTIFS('QA Log'!D:D,A438,'QA Log'!M:M,"QQC",'QA Log'!Z:Z,"Rejected",'QA Log'!L:L,"*EPI*"),
COUNTIFS('QA Log'!D:D,A438,'QA Log'!M:M,"QQC",'QA Log'!Z:Z,"Rejected",'QA Log'!L:L,"*10. Antenatal Care (ANC)*"),
COUNTIFS('QA Log'!D:D,A438,'QA Log'!M:M,"QQC",'QA Log'!Z:Z,"Rejected",'QA Log'!L:L,"*2. Hygiene and Sterilization*"),
COUNTIFS('QA Log'!D:D,A438,'QA Log'!M:M,"QQC",'QA Log'!Z:Z,"Rejected",'QA Log'!L:L,"*Family Planning*")))</f>
        <v/>
      </c>
      <c r="S438" s="106" t="str">
        <f t="shared" si="27"/>
        <v/>
      </c>
      <c r="T438" s="102" t="str">
        <f t="shared" si="28"/>
        <v/>
      </c>
      <c r="U438" s="102" t="str">
        <f>IF(A438="","",
SUM(
COUNTIFS('QA Log'!D:D,A438,'QA Log'!M:M,"QQC",'QA Log'!L:L,"*8. Maternity*"),
COUNTIFS('QA Log'!D:D,A438,'QA Log'!M:M,"QQC",'QA Log'!L:L,"*9. EPI and Pre-school Consultation*"),
COUNTIFS('QA Log'!D:D,A438,'QA Log'!M:M,"QQC",'QA Log'!L:L,"*10. Antenatal Care (ANC)*"),
COUNTIFS('QA Log'!D:D,A438,'QA Log'!M:M,"QQC",'QA Log'!L:L,"*2. Hygiene and Sterilization*"),
COUNTIFS('QA Log'!D:D,A438,'QA Log'!M:M,"QQC",'QA Log'!L:L,"*4. Family Planning*")
))</f>
        <v/>
      </c>
      <c r="V438" s="102" t="str">
        <f>IF(A438="","",
SUM(
COUNTIFS('QA Log'!D:D,A438,'QA Log'!M:M,"QQC",'QA Log'!Z:Z,"Approved",'QA Log'!L:L,"*8. Maternity*"),
COUNTIFS('QA Log'!D:D,A438,'QA Log'!M:M,"QQC",'QA Log'!Z:Z,"Approved",'QA Log'!L:L,"*9. EPI and Pre-school Consultation*"),
COUNTIFS('QA Log'!D:D,A438,'QA Log'!M:M,"QQC",'QA Log'!Z:Z,"Approved",'QA Log'!L:L,"*10. Antenatal Care (ANC)*"),
COUNTIFS('QA Log'!D:D,A438,'QA Log'!M:M,"QQC",'QA Log'!Z:Z,"Approved",'QA Log'!L:L,"*2. Hygiene and Sterilization*"),
COUNTIFS('QA Log'!D:D,A438,'QA Log'!M:M,"QQC",'QA Log'!Z:Z,"Approved",'QA Log'!L:L,"*4. Family Planning*")
))</f>
        <v/>
      </c>
      <c r="W438" s="102" t="str">
        <f>IF(A438&lt;&gt;"",COUNTIFS('QA Log'!D:D,A438,'QA Log'!M:M,"QQC",'QA Log'!L:L,"8. Maternity",'QA Log'!Z:Z,"Approved"),"")</f>
        <v/>
      </c>
      <c r="X438" s="105" t="str">
        <f>IF(A438&lt;&gt;"",COUNTIFS('QA Log'!D:D,A438,'QA Log'!M:M,"QQC",'QA Log'!L:L,"9. EPI and Pre-school Consultation",'QA Log'!Z:Z,"Approved"),"")</f>
        <v/>
      </c>
      <c r="Y438" s="102" t="str">
        <f>IF(A438&lt;&gt;"",COUNTIFS('QA Log'!D:D,A438,'QA Log'!M:M,"QQC",'QA Log'!L:L,"10. Antenatal Care (ANC)",'QA Log'!Z:Z,"Approved"),"")</f>
        <v/>
      </c>
      <c r="Z438" s="102" t="str">
        <f>IF(A438&lt;&gt;"",COUNTIFS('QA Log'!D:D,A438,'QA Log'!M:M,"QQC",'QA Log'!L:L,"2. Hygiene and Sterilization",'QA Log'!Z:Z,"Approved"),"")</f>
        <v/>
      </c>
      <c r="AA438" s="105" t="str">
        <f>IF(A438&lt;&gt;"",COUNTIFS('QA Log'!D:D,A438,'QA Log'!M:M,"QQC",'QA Log'!L:L,"4. Family Planning",'QA Log'!Z:Z,"Approved"),"")</f>
        <v/>
      </c>
      <c r="AB438" s="102" t="str">
        <f>IF(A438="","",
SUM(
COUNTIFS('QA Log'!D:D,A438,'QA Log'!M:M,"QQC",'QA Log'!Z:Z,"Rejected",'QA Log'!L:L,"*8. Maternity*"),
COUNTIFS('QA Log'!D:D,A438,'QA Log'!M:M,"QQC",'QA Log'!Z:Z,"Rejected",'QA Log'!L:L,"*9. EPI and Pre-school Consultation*"),
COUNTIFS('QA Log'!D:D,A438,'QA Log'!M:M,"QQC",'QA Log'!Z:Z,"Rejected",'QA Log'!L:L,"*10. Antenatal Care (ANC)*"),
COUNTIFS('QA Log'!D:D,A438,'QA Log'!M:M,"QQC",'QA Log'!Z:Z,"Rejected",'QA Log'!L:L,"*2. Hygiene and Sterilization*"),
COUNTIFS('QA Log'!D:D,A438,'QA Log'!M:M,"QQC",'QA Log'!Z:Z,"Rejected",'QA Log'!L:L,"*4. Family Planning*")
))</f>
        <v/>
      </c>
      <c r="AC438" s="102" t="str">
        <f t="shared" si="29"/>
        <v/>
      </c>
      <c r="AD438" s="103" t="str">
        <f t="shared" si="30"/>
        <v/>
      </c>
      <c r="AE438" s="102" t="str">
        <f>IF(A438="","",
SUM(
COUNTIFS('QA Log'!D:D,A438,'QA Log'!M:M,"Data Verification",'QA Log'!L:L,"*Medicine (section 2)*"),
COUNTIFS('QA Log'!D:D,A438,'QA Log'!M:M,"Data Verification",'QA Log'!L:L,"*Lab Testing Availability*"),
COUNTIFS('QA Log'!D:D,A438,'QA Log'!M:M,"Data Verification",'QA Log'!L:L,"*Other than P4P (section 6)*"),
COUNTIFS('QA Log'!D:D,A438,'QA Log'!M:M,"Data Verification",'QA Log'!L:L,"*Hospital Governance*")
))</f>
        <v/>
      </c>
      <c r="AF438" s="102" t="str">
        <f>IF(A438="","",
SUM(
COUNTIFS('QA Log'!D:D,A438,'QA Log'!M:M,"Data Verification",'QA Log'!Z:Z,"Approved",'QA Log'!L:L,"*Medicine (section 2)*"),
COUNTIFS('QA Log'!D:D,A438,'QA Log'!M:M,"Data Verification",'QA Log'!Z:Z,"Approved",'QA Log'!L:L,"*Lab Testing Availability*"),
COUNTIFS('QA Log'!D:D,A438,'QA Log'!M:M,"Data Verification",'QA Log'!Z:Z,"Approved",'QA Log'!L:L,"*Other than P4P (section 6)*"),
COUNTIFS('QA Log'!D:D,A438,'QA Log'!M:M,"Data Verification",'QA Log'!Z:Z,"Approved",'QA Log'!L:L,"*Hospital Governance*")
))</f>
        <v/>
      </c>
      <c r="AG438" s="105" t="str">
        <f>IF(A438&lt;&gt;"",COUNTIFS('QA Log'!D:D,A438,'QA Log'!M:M,"Data Verification",'QA Log'!L:L,"Medicine (section 2)",'QA Log'!Z:Z,"Approved"),"")</f>
        <v/>
      </c>
      <c r="AH438" s="105" t="str">
        <f>IF(A438&lt;&gt;"",COUNTIFS('QA Log'!D:D,A438,'QA Log'!M:M,"Data Verification",'QA Log'!L:L,"Lab Testing Availability",'QA Log'!Z:Z,"Approved"),"")</f>
        <v/>
      </c>
      <c r="AI438" s="105" t="str">
        <f>IF(A438&lt;&gt;"",COUNTIFS('QA Log'!D:D,A438,'QA Log'!M:M,"Data Verification",'QA Log'!L:L,"Other than P4P (section 6)",'QA Log'!Z:Z,"Approved"),"")</f>
        <v/>
      </c>
      <c r="AJ438" s="105" t="str">
        <f>IF(A438&lt;&gt;"",COUNTIFS('QA Log'!D:D,A438,'QA Log'!M:M,"Data Verification",'QA Log'!L:L,"Hospital Governance",'QA Log'!Z:Z,"Approved"),"")</f>
        <v/>
      </c>
      <c r="AK438" s="102" t="str">
        <f>IF(A438="","",
SUM(
COUNTIFS('QA Log'!D:D,A438,'QA Log'!M:M,"Data Verification",'QA Log'!Z:Z,"Rejected",'QA Log'!L:L,"*Medicine (section 2)*"),
COUNTIFS('QA Log'!D:D,A438,'QA Log'!M:M,"Data Verification",'QA Log'!Z:Z,"Rejected",'QA Log'!L:L,"*Lab Testing Availability*"),
COUNTIFS('QA Log'!D:D,A438,'QA Log'!M:M,"Data Verification",'QA Log'!Z:Z,"Rejected",'QA Log'!L:L,"*Other than P4P (section 6)*"),
COUNTIFS('QA Log'!D:D,A438,'QA Log'!M:M,"Data Verification",'QA Log'!Z:Z,"Rejected",'QA Log'!L:L,"*Hospital Governance*")
))</f>
        <v/>
      </c>
      <c r="AL438" s="106" t="str">
        <f t="shared" si="31"/>
        <v/>
      </c>
      <c r="AM438" s="102" t="str">
        <f t="shared" si="32"/>
        <v/>
      </c>
      <c r="AN438" s="102" t="str">
        <f>IF(A438="","",
SUM(
COUNTIFS('QA Log'!D:D,A438,'QA Log'!M:M,"Data Verification",'QA Log'!L:L,"*Personnel (section 1)*"),
COUNTIFS('QA Log'!D:D,A438,'QA Log'!M:M,"Data Verification",'QA Log'!L:L,"*Consumable (section 3)*"),
COUNTIFS('QA Log'!D:D,A438,'QA Log'!M:M,"Data Verification",'QA Log'!L:L,"*Equipments (section 4)*")
))</f>
        <v/>
      </c>
      <c r="AO438" s="102" t="str">
        <f>IF(A438="","",
SUM(
COUNTIFS('QA Log'!D:D,A438,'QA Log'!M:M,"Data Verification",'QA Log'!Z:Z,"Approved",'QA Log'!L:L,"*Personnel (section 1)*"),
COUNTIFS('QA Log'!D:D,A438,'QA Log'!M:M,"Data Verification",'QA Log'!Z:Z,"Approved",'QA Log'!L:L,"*Consumable (section 3)*"),
COUNTIFS('QA Log'!D:D,A438,'QA Log'!M:M,"Data Verification",'QA Log'!Z:Z,"Approved",'QA Log'!L:L,"*Equipments (section 4)*")
))</f>
        <v/>
      </c>
      <c r="AP438" s="105" t="str">
        <f>IF(A438&lt;&gt;"",COUNTIFS('QA Log'!D:D,A438,'QA Log'!M:M,"Data Verification",'QA Log'!L:L,"Personnel (section 1)",'QA Log'!Z:Z,"Approved"),"")</f>
        <v/>
      </c>
      <c r="AQ438" s="105" t="str">
        <f>IF(A438&lt;&gt;"",COUNTIFS('QA Log'!D:D,A438,'QA Log'!M:M,"Data Verification",'QA Log'!L:L,"Consumable (section 3)",'QA Log'!Z:Z,"Approved"),"")</f>
        <v/>
      </c>
      <c r="AR438" s="105" t="str">
        <f>IF(A438&lt;&gt;"",COUNTIFS('QA Log'!D:D,A438,'QA Log'!M:M,"Data Verification",'QA Log'!L:L,"Equipments (section 4)",'QA Log'!Z:Z,"Approved"),"")</f>
        <v/>
      </c>
      <c r="AS438" s="102" t="str">
        <f>IF(A438="","",
SUM(
COUNTIFS('QA Log'!D:D,A438,'QA Log'!M:M,"Data Verification",'QA Log'!Z:Z,"Rejected",'QA Log'!L:L,"*Personnel (section 1)*"),
COUNTIFS('QA Log'!D:D,A438,'QA Log'!M:M,"Data Verification",'QA Log'!Z:Z,"Rejected",'QA Log'!L:L,"*Consumable (section 3)*"),
COUNTIFS('QA Log'!D:D,A438,'QA Log'!M:M,"Data Verification",'QA Log'!Z:Z,"Rejected",'QA Log'!L:L,"*Equipments (section 4)*")
))</f>
        <v/>
      </c>
      <c r="AT438" s="102" t="str">
        <f t="shared" si="33"/>
        <v/>
      </c>
      <c r="AU438" s="103" t="str">
        <f t="shared" si="34"/>
        <v/>
      </c>
      <c r="AV438" s="102" t="str">
        <f>IF(A438="","",SUM(
COUNTIFS('QA Log'!D:D,A438,'QA Log'!M:M,"Vignette",'QA Log'!L:L,"*Vignette [1] Respiratory Infection: Pneumonia*"),
COUNTIFS('QA Log'!D:D,A438,'QA Log'!M:M,"Vignette",'QA Log'!L:L,"*Vignette [2]: Diarrhea with Cat B dehydration*"),
COUNTIFS('QA Log'!D:D,A438,'QA Log'!M:M,"Vignette",'QA Log'!L:L,"*Vignette [3] Growth Monitoring and Promotion*"),
COUNTIFS('QA Log'!D:D,A438,'QA Log'!M:M,"Vignette",'QA Log'!L:L,"*Vignette [4]: The management of presumptive TB patient*")
)
)</f>
        <v/>
      </c>
      <c r="AW438" s="102" t="str">
        <f>IF(
  A438="","",
  SUM(
    COUNTIFS('QA Log'!D:D,A438,'QA Log'!M:M,"Vignette",'QA Log'!Z:Z,"Approved",'QA Log'!L:L,"*Vignette [1] Respiratory Infection: Pneumonia*"),
    COUNTIFS('QA Log'!D:D,A438,'QA Log'!M:M,"Vignette",'QA Log'!Z:Z,"Approved",'QA Log'!L:L,"*Vignette [2]: Diarrhea with Cat B dehydration*"),
    COUNTIFS('QA Log'!D:D,A438,'QA Log'!M:M,"Vignette",'QA Log'!Z:Z,"Approved",'QA Log'!L:L,"*Vignette [3] Growth Monitoring and Promotion*"),
    COUNTIFS('QA Log'!D:D,A438,'QA Log'!M:M,"Vignette",'QA Log'!Z:Z,"Approved",'QA Log'!L:L,"*Vignette [4]: The management of presumptive TB patient*")
  )
)</f>
        <v/>
      </c>
      <c r="AX438" s="105" t="str">
        <f>IF(A438&lt;&gt;"",COUNTIFS('QA Log'!D:D,A438,'QA Log'!M:M,"Vignette",'QA Log'!L:L,"Vignette [1] Respiratory Infection: Pneumonia",'QA Log'!Z:Z,"Approved"),"")</f>
        <v/>
      </c>
      <c r="AY438" s="105" t="str">
        <f>IF(A438&lt;&gt;"",COUNTIFS('QA Log'!D:D,A438,'QA Log'!M:M,"Vignette",'QA Log'!L:L,"Vignette [2]: Diarrhea with Cat B dehydration",'QA Log'!Z:Z,"Approved"),"")</f>
        <v/>
      </c>
      <c r="AZ438" s="105" t="str">
        <f>IF(A438&lt;&gt;"",COUNTIFS('QA Log'!D:D,A438,'QA Log'!M:M,"Vignette",'QA Log'!L:L,"Vignette [3] Growth Monitoring and Promotion",'QA Log'!Z:Z,"Approved"),"")</f>
        <v/>
      </c>
      <c r="BA438" s="105" t="str">
        <f>IF(A438&lt;&gt;"",COUNTIFS('QA Log'!D:D,A438,'QA Log'!M:M,"Vignette",'QA Log'!L:L,"Vignette [4]: The management of presumptive TB patient",'QA Log'!Z:Z,"Approved"),"")</f>
        <v/>
      </c>
      <c r="BB438" s="102" t="str">
        <f>IF(A438="","",
  SUM(
    COUNTIFS('QA Log'!D:D,A438,'QA Log'!M:M,"Vignette",'QA Log'!Z:Z,"Rejected",'QA Log'!L:L,"*Vignette [1] Respiratory Infection: Pneumonia*"),
    COUNTIFS('QA Log'!D:D,A438,'QA Log'!M:M,"Vignette",'QA Log'!Z:Z,"Rejected",'QA Log'!L:L,"*Vignette [2]: Diarrhea with Cat B dehydration*"),
    COUNTIFS('QA Log'!D:D,A438,'QA Log'!M:M,"Vignette",'QA Log'!Z:Z,"Rejected",'QA Log'!L:L,"*Vignette [3] Growth Monitoring and Promotion*"),
    COUNTIFS('QA Log'!D:D,A438,'QA Log'!M:M,"Vignette",'QA Log'!Z:Z,"Rejected",'QA Log'!L:L,"*Vignette [4]: The management of presumptive TB patient*")
  )
)</f>
        <v/>
      </c>
      <c r="BC438" s="107" t="str">
        <f t="shared" si="35"/>
        <v/>
      </c>
      <c r="BD438" s="103" t="str">
        <f t="shared" si="36"/>
        <v/>
      </c>
      <c r="BE438" s="102" t="str">
        <f>IF(A438="","",SUM(
COUNTIFS('QA Log'!D:D,A438,'QA Log'!M:M,"Vignette",'QA Log'!L:L,"*Vignette [5] Labor*"),
COUNTIFS('QA Log'!D:D,A438,'QA Log'!M:M,"Vignette",'QA Log'!L:L,"*Vignette [6] PNC pre Discharge*"),
COUNTIFS('QA Log'!D:D,A438,'QA Log'!M:M,"Vignette",'QA Log'!L:L,"*Vignette [7] First ANC Visit*"),
COUNTIFS('QA Log'!D:D,A438,'QA Log'!M:M,"Vignette",'QA Log'!L:L,"*Vignette [8] Birth Spacing/ Family Planning :  FP Counselling*"),
COUNTIFS('QA Log'!D:D,A438,'QA Log'!M:M,"Vignette",'QA Log'!L:L,"*Vignette [9] Birth Spacing: Change FP method to Injectable*"),
COUNTIFS('QA Log'!D:D,A438,'QA Log'!M:M,"Vignette",'QA Log'!L:L,"*Vignette [10] Post Partum Haemorrhage - Atonic Uterus at Health Centre*"),
)
)</f>
        <v/>
      </c>
      <c r="BF438" s="102" t="str">
        <f>IF(A438="","",
  SUM(
    COUNTIFS('QA Log'!D:D,A438,'QA Log'!M:M,"Vignette",'QA Log'!Z:Z,"Approved",'QA Log'!L:L,"*Vignette [5] Labor*"),
    COUNTIFS('QA Log'!D:D,A438,'QA Log'!M:M,"Vignette",'QA Log'!Z:Z,"Approved",'QA Log'!L:L,"*Vignette [6] PNC pre Discharge*"),
    COUNTIFS('QA Log'!D:D,A438,'QA Log'!M:M,"Vignette",'QA Log'!Z:Z,"Approved",'QA Log'!L:L,"*Vignette [7] First ANC Visit*"),
    COUNTIFS('QA Log'!D:D,A438,'QA Log'!M:M,"Vignette",'QA Log'!Z:Z,"Approved",'QA Log'!L:L,"*Vignette [8] Birth Spacing/ Family Planning :  FP Counselling*"),
    COUNTIFS('QA Log'!D:D,A438,'QA Log'!M:M,"Vignette",'QA Log'!Z:Z,"Approved",'QA Log'!L:L,"*Vignette [9] Birth Spacing: Change FP method to Injectable*"),
    COUNTIFS('QA Log'!D:D,A438,'QA Log'!M:M,"Vignette",'QA Log'!Z:Z,"Approved",'QA Log'!L:L,"*Vignette [10] Post Partum Haemorrhage - Atonic Uterus at Health Centre*")
  )
)</f>
        <v/>
      </c>
      <c r="BG438" s="105" t="str">
        <f>IF(A438&lt;&gt;"",COUNTIFS('QA Log'!D:D,A438,'QA Log'!M:M,"Vignette",'QA Log'!L:L,"Vignette [5] Labor",'QA Log'!Z:Z,"Approved"),"")</f>
        <v/>
      </c>
      <c r="BH438" s="105" t="str">
        <f>IF(A438&lt;&gt;"",COUNTIFS('QA Log'!D:D,A438,'QA Log'!M:M,"Vignette",'QA Log'!L:L,"Vignette [6] PNC pre Discharge",'QA Log'!Z:Z,"Approved"),"")</f>
        <v/>
      </c>
      <c r="BI438" s="105" t="str">
        <f>IF(A438&lt;&gt;"",COUNTIFS('QA Log'!D:D,A438,'QA Log'!M:M,"Vignette",'QA Log'!L:L,"Vignette [7] First ANC Visit",'QA Log'!Z:Z,"Approved"),"")</f>
        <v/>
      </c>
      <c r="BJ438" s="105" t="str">
        <f>IF(A438&lt;&gt;"",COUNTIFS('QA Log'!D:D,A438,'QA Log'!M:M,"Vignette",'QA Log'!L:L,"Vignette [8] Birth Spacing/ Family Planning :  FP Counselling",'QA Log'!Z:Z,"Approved"),"")</f>
        <v/>
      </c>
      <c r="BK438" s="105" t="str">
        <f>IF(A438&lt;&gt;"",COUNTIFS('QA Log'!D:D,A438,'QA Log'!M:M,"Vignette",'QA Log'!L:L,"Vignette [9] Birth Spacing: Change FP method to Injectable",'QA Log'!Z:Z,"Approved"),"")</f>
        <v/>
      </c>
      <c r="BL438" s="105" t="str">
        <f>IF(A438&lt;&gt;"",COUNTIFS('QA Log'!D:D,A438,'QA Log'!M:M,"Vignette",'QA Log'!L:L,"Vignette [10] Post Partum Haemorrhage - Atonic Uterus at Health Centre",'QA Log'!Z:Z,"Approved"),"")</f>
        <v/>
      </c>
      <c r="BM438" s="102" t="str">
        <f>IF(A438="","",SUM(
    COUNTIFS('QA Log'!D:D,A438,'QA Log'!M:M,"Vignette",'QA Log'!Z:Z,"Rejected",'QA Log'!L:L,"*Vignette [5] Labor*"),
    COUNTIFS('QA Log'!D:D,A438,'QA Log'!M:M,"Vignette",'QA Log'!Z:Z,"Rejected",'QA Log'!L:L,"*Vignette [6] PNC pre Discharge*"),
    COUNTIFS('QA Log'!D:D,A438,'QA Log'!M:M,"Vignette",'QA Log'!Z:Z,"Rejected",'QA Log'!L:L,"*Vignette [7] First ANC Visit*"),
    COUNTIFS('QA Log'!D:D,A438,'QA Log'!M:M,"Vignette",'QA Log'!Z:Z,"Rejected",'QA Log'!L:L,"*Vignette [8] Birth Spacing/ Family Planning :  FP Counselling*"),
    COUNTIFS('QA Log'!D:D,A438,'QA Log'!M:M,"Vignette",'QA Log'!Z:Z,"Rejected",'QA Log'!L:L,"*Vignette [9] Birth Spacing: Change FP method to Injectable*"),
    COUNTIFS('QA Log'!D:D,A438,'QA Log'!M:M,"Vignette",'QA Log'!Z:Z,"Rejected",'QA Log'!L:L,"*Vignette [10] Post Partum Haemorrhage - Atonic Uterus at Health Centre*")
  )
)</f>
        <v/>
      </c>
      <c r="BN438" s="107" t="str">
        <f t="shared" si="37"/>
        <v/>
      </c>
      <c r="BO438" s="103" t="str">
        <f t="shared" si="38"/>
        <v/>
      </c>
      <c r="BP438" s="102" t="str">
        <f>IF(A438="","",SUM(
COUNTIFS('QA Log'!D:D,A438,'QA Log'!M:M,"Vignette",'QA Log'!L:L,"*Exit Interview 1*"),
COUNTIFS('QA Log'!D:D,A438,'QA Log'!M:M,"Vignette",'QA Log'!L:L,"*Exit Interview 2*"),
)
)</f>
        <v/>
      </c>
      <c r="BQ438" s="102" t="str">
        <f>IF(
  A438="","",
  SUM(
    COUNTIFS('QA Log'!D:D,A438,'QA Log'!M:M,"Vignette",'QA Log'!Z:Z,"Approved",'QA Log'!L:L,"*Exit Interview 1*"),
    COUNTIFS('QA Log'!D:D,A438,'QA Log'!M:M,"Vignette",'QA Log'!Z:Z,"Approved",'QA Log'!L:L,"*Exit Interview 2*")
  )
)</f>
        <v/>
      </c>
      <c r="BR438" s="105" t="str">
        <f>IF(A438&lt;&gt;"",COUNTIFS('QA Log'!D:D,A438,'QA Log'!M:M,"Vignette",'QA Log'!L:L,"Exit Interview 1",'QA Log'!Z:Z,"Approved"),"")</f>
        <v/>
      </c>
      <c r="BS438" s="105" t="str">
        <f>IF(A438&lt;&gt;"",COUNTIFS('QA Log'!D:D,A438,'QA Log'!M:M,"Vignette",'QA Log'!L:L,"Exit Interview 2",'QA Log'!Z:Z,"Approved"),"")</f>
        <v/>
      </c>
      <c r="BT438" s="102" t="str">
        <f>IF(
  A438="","",
  SUM(
    COUNTIFS('QA Log'!D:D,A438,'QA Log'!M:M,"Vignette",'QA Log'!Z:Z,"Rejected",'QA Log'!L:L,"*Exit Interview 1*"),
    COUNTIFS('QA Log'!D:D,A438,'QA Log'!M:M,"Vignette",'QA Log'!Z:Z,"Rejected",'QA Log'!L:L,"*Exit Interview 2*")
  )
)</f>
        <v/>
      </c>
      <c r="BU438" s="107" t="str">
        <f t="shared" si="39"/>
        <v/>
      </c>
      <c r="BV438" s="102" t="str">
        <f t="shared" si="40"/>
        <v/>
      </c>
      <c r="BW438" s="102" t="str">
        <f t="shared" si="41"/>
        <v/>
      </c>
      <c r="BX438" s="102" t="str">
        <f t="shared" si="42"/>
        <v/>
      </c>
      <c r="BY438" s="102" t="str">
        <f t="shared" si="43"/>
        <v/>
      </c>
      <c r="BZ438" s="107" t="str">
        <f t="shared" si="44"/>
        <v/>
      </c>
      <c r="CA438" s="108" t="str">
        <f t="shared" si="45"/>
        <v/>
      </c>
      <c r="CB438" s="108" t="str">
        <f t="shared" si="46"/>
        <v/>
      </c>
      <c r="CC438" s="109" t="str">
        <f t="shared" si="47"/>
        <v/>
      </c>
      <c r="CD438" s="108" t="str">
        <f t="shared" si="48"/>
        <v/>
      </c>
      <c r="CE438" s="108" t="str">
        <f t="shared" si="49"/>
        <v/>
      </c>
      <c r="CF438" s="109" t="str">
        <f t="shared" si="50"/>
        <v/>
      </c>
      <c r="CG438" s="110" t="str">
        <f t="shared" si="51"/>
        <v/>
      </c>
      <c r="CH438" s="111"/>
    </row>
    <row r="439" spans="1:86" ht="12.75">
      <c r="A439" s="101"/>
      <c r="B439" s="102" t="e">
        <f t="array" aca="1" ref="B439" ca="1">_xludf.XLOOKUP(A439,'QA Log'!D:D,'QA Log'!E:E,"")</f>
        <v>#NAME?</v>
      </c>
      <c r="C439" s="102" t="e">
        <f t="array" aca="1" ref="C439" ca="1">_xludf.XLOOKUP(A439,'QA Log'!D:D,'QA Log'!F:F,"")</f>
        <v>#NAME?</v>
      </c>
      <c r="D439" s="102" t="e">
        <f t="array" aca="1" ref="D439" ca="1">_xludf.XLOOKUP(A439,'QA Log'!D:D,'QA Log'!H:H,"")</f>
        <v>#NAME?</v>
      </c>
      <c r="E439" s="102" t="e">
        <f t="array" aca="1" ref="E439" ca="1">_xludf.XLOOKUP(A439,'QA Log'!D:D,'QA Log'!G:G,"")</f>
        <v>#NAME?</v>
      </c>
      <c r="F439" s="103"/>
      <c r="G439" s="104"/>
      <c r="H439" s="104"/>
      <c r="I439" s="103" t="str">
        <f t="shared" si="26"/>
        <v/>
      </c>
      <c r="J439" s="102" t="str">
        <f>IF(A439="","",SUM(
COUNTIFS('QA Log'!D:D,A439,'QA Log'!M:M,"QQC",'QA Log'!L:L,"*1. General Management*"),
COUNTIFS('QA Log'!D:D,A439,'QA Log'!M:M,"QQC",'QA Log'!L:L,"*3. Curative Consultation (OPD)*"),
COUNTIFS('QA Log'!D:D,A439,'QA Log'!M:M,"QQC",'QA Log'!L:L,"*5. Laboratory*"),
COUNTIFS('QA Log'!D:D,A439,'QA Log'!M:M,"QQC",'QA Log'!L:L,"*6. Essential Medicine Management*"),
COUNTIFS('QA Log'!D:D,A439,'QA Log'!M:M,"QQC",'QA Log'!L:L,"*7. Tracer Medicine*"),
COUNTIFS('QA Log'!D:D,A439,'QA Log'!M:M,"QQC",'QA Log'!L:L,"*11. Additional Questions*")))</f>
        <v/>
      </c>
      <c r="K439" s="102" t="str">
        <f>IF(A439="","",SUM(
COUNTIFS('QA Log'!D:D,A439,'QA Log'!M:M,"QQC",'QA Log'!Z:Z,"Approved",'QA Log'!L:L,"*1. General Management*"),
COUNTIFS('QA Log'!D:D,A439,'QA Log'!M:M,"QQC",'QA Log'!Z:Z,"Approved",'QA Log'!L:L,"*3. Curative Consultation (OPD)*"),
COUNTIFS('QA Log'!D:D,A439,'QA Log'!M:M,"QQC",'QA Log'!Z:Z,"Approved",'QA Log'!L:L,"*5. Laboratory*"),
COUNTIFS('QA Log'!D:D,A439,'QA Log'!M:M,"QQC",'QA Log'!Z:Z,"Approved",'QA Log'!L:L,"*6. Essential Medicine Management*"),
COUNTIFS('QA Log'!D:D,A439,'QA Log'!M:M,"QQC",'QA Log'!Z:Z,"Approved",'QA Log'!L:L,"*7. Tracer Medicine*"),
COUNTIFS('QA Log'!D:D,A439,'QA Log'!M:M,"QQC",'QA Log'!Z:Z,"Approved",'QA Log'!L:L,"*11. Additional Questions*")))</f>
        <v/>
      </c>
      <c r="L439" s="102" t="str">
        <f>IF(A439&lt;&gt;"",COUNTIFS('QA Log'!D:D,A439,'QA Log'!M:M,"QQC",'QA Log'!L:L,"1. General Management",'QA Log'!Z:Z,"Approved"),"")</f>
        <v/>
      </c>
      <c r="M439" s="102" t="str">
        <f>IF(A439&lt;&gt;"",COUNTIFS('QA Log'!D:D,A439,'QA Log'!M:M,"QQC",'QA Log'!L:L,"3. Curative Consultation (OPD)",'QA Log'!Z:Z,"Approved"),"")</f>
        <v/>
      </c>
      <c r="N439" s="102" t="str">
        <f>IF(A439&lt;&gt;"",COUNTIFS('QA Log'!D:D,A439,'QA Log'!M:M,"QQC",'QA Log'!L:L,"5. Laboratory",'QA Log'!Z:Z,"Approved"),"")</f>
        <v/>
      </c>
      <c r="O439" s="102" t="str">
        <f>IF(A439&lt;&gt;"",COUNTIFS('QA Log'!D:D,A439,'QA Log'!M:M,"QQC",'QA Log'!L:L,"6. Essential Medicine Management",'QA Log'!Z:Z,"Approved"),"")</f>
        <v/>
      </c>
      <c r="P439" s="102" t="str">
        <f>IF(A439&lt;&gt;"",COUNTIFS('QA Log'!D:D,A439,'QA Log'!M:M,"QQC",'QA Log'!L:L,"7. Tracer Medicine",'QA Log'!Z:Z,"Approved"),"")</f>
        <v/>
      </c>
      <c r="Q439" s="102" t="str">
        <f>IF(A439&lt;&gt;"",COUNTIFS('QA Log'!D:D,A439,'QA Log'!M:M,"QQC",'QA Log'!L:L,"11. Additional Questions",'QA Log'!Z:Z,"Approved"),"")</f>
        <v/>
      </c>
      <c r="R439" s="102" t="str">
        <f>IF(A439="","",SUM(
COUNTIFS('QA Log'!D:D,A439,'QA Log'!M:M,"QQC",'QA Log'!Z:Z,"Rejected",'QA Log'!L:L,"*8. Maternity*"),
COUNTIFS('QA Log'!D:D,A439,'QA Log'!M:M,"QQC",'QA Log'!Z:Z,"Rejected",'QA Log'!L:L,"*EPI*"),
COUNTIFS('QA Log'!D:D,A439,'QA Log'!M:M,"QQC",'QA Log'!Z:Z,"Rejected",'QA Log'!L:L,"*10. Antenatal Care (ANC)*"),
COUNTIFS('QA Log'!D:D,A439,'QA Log'!M:M,"QQC",'QA Log'!Z:Z,"Rejected",'QA Log'!L:L,"*2. Hygiene and Sterilization*"),
COUNTIFS('QA Log'!D:D,A439,'QA Log'!M:M,"QQC",'QA Log'!Z:Z,"Rejected",'QA Log'!L:L,"*Family Planning*")))</f>
        <v/>
      </c>
      <c r="S439" s="106" t="str">
        <f t="shared" si="27"/>
        <v/>
      </c>
      <c r="T439" s="102" t="str">
        <f t="shared" si="28"/>
        <v/>
      </c>
      <c r="U439" s="102" t="str">
        <f>IF(A439="","",
SUM(
COUNTIFS('QA Log'!D:D,A439,'QA Log'!M:M,"QQC",'QA Log'!L:L,"*8. Maternity*"),
COUNTIFS('QA Log'!D:D,A439,'QA Log'!M:M,"QQC",'QA Log'!L:L,"*9. EPI and Pre-school Consultation*"),
COUNTIFS('QA Log'!D:D,A439,'QA Log'!M:M,"QQC",'QA Log'!L:L,"*10. Antenatal Care (ANC)*"),
COUNTIFS('QA Log'!D:D,A439,'QA Log'!M:M,"QQC",'QA Log'!L:L,"*2. Hygiene and Sterilization*"),
COUNTIFS('QA Log'!D:D,A439,'QA Log'!M:M,"QQC",'QA Log'!L:L,"*4. Family Planning*")
))</f>
        <v/>
      </c>
      <c r="V439" s="102" t="str">
        <f>IF(A439="","",
SUM(
COUNTIFS('QA Log'!D:D,A439,'QA Log'!M:M,"QQC",'QA Log'!Z:Z,"Approved",'QA Log'!L:L,"*8. Maternity*"),
COUNTIFS('QA Log'!D:D,A439,'QA Log'!M:M,"QQC",'QA Log'!Z:Z,"Approved",'QA Log'!L:L,"*9. EPI and Pre-school Consultation*"),
COUNTIFS('QA Log'!D:D,A439,'QA Log'!M:M,"QQC",'QA Log'!Z:Z,"Approved",'QA Log'!L:L,"*10. Antenatal Care (ANC)*"),
COUNTIFS('QA Log'!D:D,A439,'QA Log'!M:M,"QQC",'QA Log'!Z:Z,"Approved",'QA Log'!L:L,"*2. Hygiene and Sterilization*"),
COUNTIFS('QA Log'!D:D,A439,'QA Log'!M:M,"QQC",'QA Log'!Z:Z,"Approved",'QA Log'!L:L,"*4. Family Planning*")
))</f>
        <v/>
      </c>
      <c r="W439" s="102" t="str">
        <f>IF(A439&lt;&gt;"",COUNTIFS('QA Log'!D:D,A439,'QA Log'!M:M,"QQC",'QA Log'!L:L,"8. Maternity",'QA Log'!Z:Z,"Approved"),"")</f>
        <v/>
      </c>
      <c r="X439" s="105" t="str">
        <f>IF(A439&lt;&gt;"",COUNTIFS('QA Log'!D:D,A439,'QA Log'!M:M,"QQC",'QA Log'!L:L,"9. EPI and Pre-school Consultation",'QA Log'!Z:Z,"Approved"),"")</f>
        <v/>
      </c>
      <c r="Y439" s="102" t="str">
        <f>IF(A439&lt;&gt;"",COUNTIFS('QA Log'!D:D,A439,'QA Log'!M:M,"QQC",'QA Log'!L:L,"10. Antenatal Care (ANC)",'QA Log'!Z:Z,"Approved"),"")</f>
        <v/>
      </c>
      <c r="Z439" s="102" t="str">
        <f>IF(A439&lt;&gt;"",COUNTIFS('QA Log'!D:D,A439,'QA Log'!M:M,"QQC",'QA Log'!L:L,"2. Hygiene and Sterilization",'QA Log'!Z:Z,"Approved"),"")</f>
        <v/>
      </c>
      <c r="AA439" s="105" t="str">
        <f>IF(A439&lt;&gt;"",COUNTIFS('QA Log'!D:D,A439,'QA Log'!M:M,"QQC",'QA Log'!L:L,"4. Family Planning",'QA Log'!Z:Z,"Approved"),"")</f>
        <v/>
      </c>
      <c r="AB439" s="102" t="str">
        <f>IF(A439="","",
SUM(
COUNTIFS('QA Log'!D:D,A439,'QA Log'!M:M,"QQC",'QA Log'!Z:Z,"Rejected",'QA Log'!L:L,"*8. Maternity*"),
COUNTIFS('QA Log'!D:D,A439,'QA Log'!M:M,"QQC",'QA Log'!Z:Z,"Rejected",'QA Log'!L:L,"*9. EPI and Pre-school Consultation*"),
COUNTIFS('QA Log'!D:D,A439,'QA Log'!M:M,"QQC",'QA Log'!Z:Z,"Rejected",'QA Log'!L:L,"*10. Antenatal Care (ANC)*"),
COUNTIFS('QA Log'!D:D,A439,'QA Log'!M:M,"QQC",'QA Log'!Z:Z,"Rejected",'QA Log'!L:L,"*2. Hygiene and Sterilization*"),
COUNTIFS('QA Log'!D:D,A439,'QA Log'!M:M,"QQC",'QA Log'!Z:Z,"Rejected",'QA Log'!L:L,"*4. Family Planning*")
))</f>
        <v/>
      </c>
      <c r="AC439" s="102" t="str">
        <f t="shared" si="29"/>
        <v/>
      </c>
      <c r="AD439" s="103" t="str">
        <f t="shared" si="30"/>
        <v/>
      </c>
      <c r="AE439" s="102" t="str">
        <f>IF(A439="","",
SUM(
COUNTIFS('QA Log'!D:D,A439,'QA Log'!M:M,"Data Verification",'QA Log'!L:L,"*Medicine (section 2)*"),
COUNTIFS('QA Log'!D:D,A439,'QA Log'!M:M,"Data Verification",'QA Log'!L:L,"*Lab Testing Availability*"),
COUNTIFS('QA Log'!D:D,A439,'QA Log'!M:M,"Data Verification",'QA Log'!L:L,"*Other than P4P (section 6)*"),
COUNTIFS('QA Log'!D:D,A439,'QA Log'!M:M,"Data Verification",'QA Log'!L:L,"*Hospital Governance*")
))</f>
        <v/>
      </c>
      <c r="AF439" s="102" t="str">
        <f>IF(A439="","",
SUM(
COUNTIFS('QA Log'!D:D,A439,'QA Log'!M:M,"Data Verification",'QA Log'!Z:Z,"Approved",'QA Log'!L:L,"*Medicine (section 2)*"),
COUNTIFS('QA Log'!D:D,A439,'QA Log'!M:M,"Data Verification",'QA Log'!Z:Z,"Approved",'QA Log'!L:L,"*Lab Testing Availability*"),
COUNTIFS('QA Log'!D:D,A439,'QA Log'!M:M,"Data Verification",'QA Log'!Z:Z,"Approved",'QA Log'!L:L,"*Other than P4P (section 6)*"),
COUNTIFS('QA Log'!D:D,A439,'QA Log'!M:M,"Data Verification",'QA Log'!Z:Z,"Approved",'QA Log'!L:L,"*Hospital Governance*")
))</f>
        <v/>
      </c>
      <c r="AG439" s="105" t="str">
        <f>IF(A439&lt;&gt;"",COUNTIFS('QA Log'!D:D,A439,'QA Log'!M:M,"Data Verification",'QA Log'!L:L,"Medicine (section 2)",'QA Log'!Z:Z,"Approved"),"")</f>
        <v/>
      </c>
      <c r="AH439" s="105" t="str">
        <f>IF(A439&lt;&gt;"",COUNTIFS('QA Log'!D:D,A439,'QA Log'!M:M,"Data Verification",'QA Log'!L:L,"Lab Testing Availability",'QA Log'!Z:Z,"Approved"),"")</f>
        <v/>
      </c>
      <c r="AI439" s="105" t="str">
        <f>IF(A439&lt;&gt;"",COUNTIFS('QA Log'!D:D,A439,'QA Log'!M:M,"Data Verification",'QA Log'!L:L,"Other than P4P (section 6)",'QA Log'!Z:Z,"Approved"),"")</f>
        <v/>
      </c>
      <c r="AJ439" s="105" t="str">
        <f>IF(A439&lt;&gt;"",COUNTIFS('QA Log'!D:D,A439,'QA Log'!M:M,"Data Verification",'QA Log'!L:L,"Hospital Governance",'QA Log'!Z:Z,"Approved"),"")</f>
        <v/>
      </c>
      <c r="AK439" s="102" t="str">
        <f>IF(A439="","",
SUM(
COUNTIFS('QA Log'!D:D,A439,'QA Log'!M:M,"Data Verification",'QA Log'!Z:Z,"Rejected",'QA Log'!L:L,"*Medicine (section 2)*"),
COUNTIFS('QA Log'!D:D,A439,'QA Log'!M:M,"Data Verification",'QA Log'!Z:Z,"Rejected",'QA Log'!L:L,"*Lab Testing Availability*"),
COUNTIFS('QA Log'!D:D,A439,'QA Log'!M:M,"Data Verification",'QA Log'!Z:Z,"Rejected",'QA Log'!L:L,"*Other than P4P (section 6)*"),
COUNTIFS('QA Log'!D:D,A439,'QA Log'!M:M,"Data Verification",'QA Log'!Z:Z,"Rejected",'QA Log'!L:L,"*Hospital Governance*")
))</f>
        <v/>
      </c>
      <c r="AL439" s="106" t="str">
        <f t="shared" si="31"/>
        <v/>
      </c>
      <c r="AM439" s="102" t="str">
        <f t="shared" si="32"/>
        <v/>
      </c>
      <c r="AN439" s="102" t="str">
        <f>IF(A439="","",
SUM(
COUNTIFS('QA Log'!D:D,A439,'QA Log'!M:M,"Data Verification",'QA Log'!L:L,"*Personnel (section 1)*"),
COUNTIFS('QA Log'!D:D,A439,'QA Log'!M:M,"Data Verification",'QA Log'!L:L,"*Consumable (section 3)*"),
COUNTIFS('QA Log'!D:D,A439,'QA Log'!M:M,"Data Verification",'QA Log'!L:L,"*Equipments (section 4)*")
))</f>
        <v/>
      </c>
      <c r="AO439" s="102" t="str">
        <f>IF(A439="","",
SUM(
COUNTIFS('QA Log'!D:D,A439,'QA Log'!M:M,"Data Verification",'QA Log'!Z:Z,"Approved",'QA Log'!L:L,"*Personnel (section 1)*"),
COUNTIFS('QA Log'!D:D,A439,'QA Log'!M:M,"Data Verification",'QA Log'!Z:Z,"Approved",'QA Log'!L:L,"*Consumable (section 3)*"),
COUNTIFS('QA Log'!D:D,A439,'QA Log'!M:M,"Data Verification",'QA Log'!Z:Z,"Approved",'QA Log'!L:L,"*Equipments (section 4)*")
))</f>
        <v/>
      </c>
      <c r="AP439" s="105" t="str">
        <f>IF(A439&lt;&gt;"",COUNTIFS('QA Log'!D:D,A439,'QA Log'!M:M,"Data Verification",'QA Log'!L:L,"Personnel (section 1)",'QA Log'!Z:Z,"Approved"),"")</f>
        <v/>
      </c>
      <c r="AQ439" s="105" t="str">
        <f>IF(A439&lt;&gt;"",COUNTIFS('QA Log'!D:D,A439,'QA Log'!M:M,"Data Verification",'QA Log'!L:L,"Consumable (section 3)",'QA Log'!Z:Z,"Approved"),"")</f>
        <v/>
      </c>
      <c r="AR439" s="105" t="str">
        <f>IF(A439&lt;&gt;"",COUNTIFS('QA Log'!D:D,A439,'QA Log'!M:M,"Data Verification",'QA Log'!L:L,"Equipments (section 4)",'QA Log'!Z:Z,"Approved"),"")</f>
        <v/>
      </c>
      <c r="AS439" s="102" t="str">
        <f>IF(A439="","",
SUM(
COUNTIFS('QA Log'!D:D,A439,'QA Log'!M:M,"Data Verification",'QA Log'!Z:Z,"Rejected",'QA Log'!L:L,"*Personnel (section 1)*"),
COUNTIFS('QA Log'!D:D,A439,'QA Log'!M:M,"Data Verification",'QA Log'!Z:Z,"Rejected",'QA Log'!L:L,"*Consumable (section 3)*"),
COUNTIFS('QA Log'!D:D,A439,'QA Log'!M:M,"Data Verification",'QA Log'!Z:Z,"Rejected",'QA Log'!L:L,"*Equipments (section 4)*")
))</f>
        <v/>
      </c>
      <c r="AT439" s="102" t="str">
        <f t="shared" si="33"/>
        <v/>
      </c>
      <c r="AU439" s="103" t="str">
        <f t="shared" si="34"/>
        <v/>
      </c>
      <c r="AV439" s="102" t="str">
        <f>IF(A439="","",SUM(
COUNTIFS('QA Log'!D:D,A439,'QA Log'!M:M,"Vignette",'QA Log'!L:L,"*Vignette [1] Respiratory Infection: Pneumonia*"),
COUNTIFS('QA Log'!D:D,A439,'QA Log'!M:M,"Vignette",'QA Log'!L:L,"*Vignette [2]: Diarrhea with Cat B dehydration*"),
COUNTIFS('QA Log'!D:D,A439,'QA Log'!M:M,"Vignette",'QA Log'!L:L,"*Vignette [3] Growth Monitoring and Promotion*"),
COUNTIFS('QA Log'!D:D,A439,'QA Log'!M:M,"Vignette",'QA Log'!L:L,"*Vignette [4]: The management of presumptive TB patient*")
)
)</f>
        <v/>
      </c>
      <c r="AW439" s="102" t="str">
        <f>IF(
  A439="","",
  SUM(
    COUNTIFS('QA Log'!D:D,A439,'QA Log'!M:M,"Vignette",'QA Log'!Z:Z,"Approved",'QA Log'!L:L,"*Vignette [1] Respiratory Infection: Pneumonia*"),
    COUNTIFS('QA Log'!D:D,A439,'QA Log'!M:M,"Vignette",'QA Log'!Z:Z,"Approved",'QA Log'!L:L,"*Vignette [2]: Diarrhea with Cat B dehydration*"),
    COUNTIFS('QA Log'!D:D,A439,'QA Log'!M:M,"Vignette",'QA Log'!Z:Z,"Approved",'QA Log'!L:L,"*Vignette [3] Growth Monitoring and Promotion*"),
    COUNTIFS('QA Log'!D:D,A439,'QA Log'!M:M,"Vignette",'QA Log'!Z:Z,"Approved",'QA Log'!L:L,"*Vignette [4]: The management of presumptive TB patient*")
  )
)</f>
        <v/>
      </c>
      <c r="AX439" s="105" t="str">
        <f>IF(A439&lt;&gt;"",COUNTIFS('QA Log'!D:D,A439,'QA Log'!M:M,"Vignette",'QA Log'!L:L,"Vignette [1] Respiratory Infection: Pneumonia",'QA Log'!Z:Z,"Approved"),"")</f>
        <v/>
      </c>
      <c r="AY439" s="105" t="str">
        <f>IF(A439&lt;&gt;"",COUNTIFS('QA Log'!D:D,A439,'QA Log'!M:M,"Vignette",'QA Log'!L:L,"Vignette [2]: Diarrhea with Cat B dehydration",'QA Log'!Z:Z,"Approved"),"")</f>
        <v/>
      </c>
      <c r="AZ439" s="105" t="str">
        <f>IF(A439&lt;&gt;"",COUNTIFS('QA Log'!D:D,A439,'QA Log'!M:M,"Vignette",'QA Log'!L:L,"Vignette [3] Growth Monitoring and Promotion",'QA Log'!Z:Z,"Approved"),"")</f>
        <v/>
      </c>
      <c r="BA439" s="105" t="str">
        <f>IF(A439&lt;&gt;"",COUNTIFS('QA Log'!D:D,A439,'QA Log'!M:M,"Vignette",'QA Log'!L:L,"Vignette [4]: The management of presumptive TB patient",'QA Log'!Z:Z,"Approved"),"")</f>
        <v/>
      </c>
      <c r="BB439" s="102" t="str">
        <f>IF(A439="","",
  SUM(
    COUNTIFS('QA Log'!D:D,A439,'QA Log'!M:M,"Vignette",'QA Log'!Z:Z,"Rejected",'QA Log'!L:L,"*Vignette [1] Respiratory Infection: Pneumonia*"),
    COUNTIFS('QA Log'!D:D,A439,'QA Log'!M:M,"Vignette",'QA Log'!Z:Z,"Rejected",'QA Log'!L:L,"*Vignette [2]: Diarrhea with Cat B dehydration*"),
    COUNTIFS('QA Log'!D:D,A439,'QA Log'!M:M,"Vignette",'QA Log'!Z:Z,"Rejected",'QA Log'!L:L,"*Vignette [3] Growth Monitoring and Promotion*"),
    COUNTIFS('QA Log'!D:D,A439,'QA Log'!M:M,"Vignette",'QA Log'!Z:Z,"Rejected",'QA Log'!L:L,"*Vignette [4]: The management of presumptive TB patient*")
  )
)</f>
        <v/>
      </c>
      <c r="BC439" s="107" t="str">
        <f t="shared" si="35"/>
        <v/>
      </c>
      <c r="BD439" s="103" t="str">
        <f t="shared" si="36"/>
        <v/>
      </c>
      <c r="BE439" s="102" t="str">
        <f>IF(A439="","",SUM(
COUNTIFS('QA Log'!D:D,A439,'QA Log'!M:M,"Vignette",'QA Log'!L:L,"*Vignette [5] Labor*"),
COUNTIFS('QA Log'!D:D,A439,'QA Log'!M:M,"Vignette",'QA Log'!L:L,"*Vignette [6] PNC pre Discharge*"),
COUNTIFS('QA Log'!D:D,A439,'QA Log'!M:M,"Vignette",'QA Log'!L:L,"*Vignette [7] First ANC Visit*"),
COUNTIFS('QA Log'!D:D,A439,'QA Log'!M:M,"Vignette",'QA Log'!L:L,"*Vignette [8] Birth Spacing/ Family Planning :  FP Counselling*"),
COUNTIFS('QA Log'!D:D,A439,'QA Log'!M:M,"Vignette",'QA Log'!L:L,"*Vignette [9] Birth Spacing: Change FP method to Injectable*"),
COUNTIFS('QA Log'!D:D,A439,'QA Log'!M:M,"Vignette",'QA Log'!L:L,"*Vignette [10] Post Partum Haemorrhage - Atonic Uterus at Health Centre*"),
)
)</f>
        <v/>
      </c>
      <c r="BF439" s="102" t="str">
        <f>IF(A439="","",
  SUM(
    COUNTIFS('QA Log'!D:D,A439,'QA Log'!M:M,"Vignette",'QA Log'!Z:Z,"Approved",'QA Log'!L:L,"*Vignette [5] Labor*"),
    COUNTIFS('QA Log'!D:D,A439,'QA Log'!M:M,"Vignette",'QA Log'!Z:Z,"Approved",'QA Log'!L:L,"*Vignette [6] PNC pre Discharge*"),
    COUNTIFS('QA Log'!D:D,A439,'QA Log'!M:M,"Vignette",'QA Log'!Z:Z,"Approved",'QA Log'!L:L,"*Vignette [7] First ANC Visit*"),
    COUNTIFS('QA Log'!D:D,A439,'QA Log'!M:M,"Vignette",'QA Log'!Z:Z,"Approved",'QA Log'!L:L,"*Vignette [8] Birth Spacing/ Family Planning :  FP Counselling*"),
    COUNTIFS('QA Log'!D:D,A439,'QA Log'!M:M,"Vignette",'QA Log'!Z:Z,"Approved",'QA Log'!L:L,"*Vignette [9] Birth Spacing: Change FP method to Injectable*"),
    COUNTIFS('QA Log'!D:D,A439,'QA Log'!M:M,"Vignette",'QA Log'!Z:Z,"Approved",'QA Log'!L:L,"*Vignette [10] Post Partum Haemorrhage - Atonic Uterus at Health Centre*")
  )
)</f>
        <v/>
      </c>
      <c r="BG439" s="105" t="str">
        <f>IF(A439&lt;&gt;"",COUNTIFS('QA Log'!D:D,A439,'QA Log'!M:M,"Vignette",'QA Log'!L:L,"Vignette [5] Labor",'QA Log'!Z:Z,"Approved"),"")</f>
        <v/>
      </c>
      <c r="BH439" s="105" t="str">
        <f>IF(A439&lt;&gt;"",COUNTIFS('QA Log'!D:D,A439,'QA Log'!M:M,"Vignette",'QA Log'!L:L,"Vignette [6] PNC pre Discharge",'QA Log'!Z:Z,"Approved"),"")</f>
        <v/>
      </c>
      <c r="BI439" s="105" t="str">
        <f>IF(A439&lt;&gt;"",COUNTIFS('QA Log'!D:D,A439,'QA Log'!M:M,"Vignette",'QA Log'!L:L,"Vignette [7] First ANC Visit",'QA Log'!Z:Z,"Approved"),"")</f>
        <v/>
      </c>
      <c r="BJ439" s="105" t="str">
        <f>IF(A439&lt;&gt;"",COUNTIFS('QA Log'!D:D,A439,'QA Log'!M:M,"Vignette",'QA Log'!L:L,"Vignette [8] Birth Spacing/ Family Planning :  FP Counselling",'QA Log'!Z:Z,"Approved"),"")</f>
        <v/>
      </c>
      <c r="BK439" s="105" t="str">
        <f>IF(A439&lt;&gt;"",COUNTIFS('QA Log'!D:D,A439,'QA Log'!M:M,"Vignette",'QA Log'!L:L,"Vignette [9] Birth Spacing: Change FP method to Injectable",'QA Log'!Z:Z,"Approved"),"")</f>
        <v/>
      </c>
      <c r="BL439" s="105" t="str">
        <f>IF(A439&lt;&gt;"",COUNTIFS('QA Log'!D:D,A439,'QA Log'!M:M,"Vignette",'QA Log'!L:L,"Vignette [10] Post Partum Haemorrhage - Atonic Uterus at Health Centre",'QA Log'!Z:Z,"Approved"),"")</f>
        <v/>
      </c>
      <c r="BM439" s="102" t="str">
        <f>IF(A439="","",SUM(
    COUNTIFS('QA Log'!D:D,A439,'QA Log'!M:M,"Vignette",'QA Log'!Z:Z,"Rejected",'QA Log'!L:L,"*Vignette [5] Labor*"),
    COUNTIFS('QA Log'!D:D,A439,'QA Log'!M:M,"Vignette",'QA Log'!Z:Z,"Rejected",'QA Log'!L:L,"*Vignette [6] PNC pre Discharge*"),
    COUNTIFS('QA Log'!D:D,A439,'QA Log'!M:M,"Vignette",'QA Log'!Z:Z,"Rejected",'QA Log'!L:L,"*Vignette [7] First ANC Visit*"),
    COUNTIFS('QA Log'!D:D,A439,'QA Log'!M:M,"Vignette",'QA Log'!Z:Z,"Rejected",'QA Log'!L:L,"*Vignette [8] Birth Spacing/ Family Planning :  FP Counselling*"),
    COUNTIFS('QA Log'!D:D,A439,'QA Log'!M:M,"Vignette",'QA Log'!Z:Z,"Rejected",'QA Log'!L:L,"*Vignette [9] Birth Spacing: Change FP method to Injectable*"),
    COUNTIFS('QA Log'!D:D,A439,'QA Log'!M:M,"Vignette",'QA Log'!Z:Z,"Rejected",'QA Log'!L:L,"*Vignette [10] Post Partum Haemorrhage - Atonic Uterus at Health Centre*")
  )
)</f>
        <v/>
      </c>
      <c r="BN439" s="107" t="str">
        <f t="shared" si="37"/>
        <v/>
      </c>
      <c r="BO439" s="103" t="str">
        <f t="shared" si="38"/>
        <v/>
      </c>
      <c r="BP439" s="102" t="str">
        <f>IF(A439="","",SUM(
COUNTIFS('QA Log'!D:D,A439,'QA Log'!M:M,"Vignette",'QA Log'!L:L,"*Exit Interview 1*"),
COUNTIFS('QA Log'!D:D,A439,'QA Log'!M:M,"Vignette",'QA Log'!L:L,"*Exit Interview 2*"),
)
)</f>
        <v/>
      </c>
      <c r="BQ439" s="102" t="str">
        <f>IF(
  A439="","",
  SUM(
    COUNTIFS('QA Log'!D:D,A439,'QA Log'!M:M,"Vignette",'QA Log'!Z:Z,"Approved",'QA Log'!L:L,"*Exit Interview 1*"),
    COUNTIFS('QA Log'!D:D,A439,'QA Log'!M:M,"Vignette",'QA Log'!Z:Z,"Approved",'QA Log'!L:L,"*Exit Interview 2*")
  )
)</f>
        <v/>
      </c>
      <c r="BR439" s="105" t="str">
        <f>IF(A439&lt;&gt;"",COUNTIFS('QA Log'!D:D,A439,'QA Log'!M:M,"Vignette",'QA Log'!L:L,"Exit Interview 1",'QA Log'!Z:Z,"Approved"),"")</f>
        <v/>
      </c>
      <c r="BS439" s="105" t="str">
        <f>IF(A439&lt;&gt;"",COUNTIFS('QA Log'!D:D,A439,'QA Log'!M:M,"Vignette",'QA Log'!L:L,"Exit Interview 2",'QA Log'!Z:Z,"Approved"),"")</f>
        <v/>
      </c>
      <c r="BT439" s="102" t="str">
        <f>IF(
  A439="","",
  SUM(
    COUNTIFS('QA Log'!D:D,A439,'QA Log'!M:M,"Vignette",'QA Log'!Z:Z,"Rejected",'QA Log'!L:L,"*Exit Interview 1*"),
    COUNTIFS('QA Log'!D:D,A439,'QA Log'!M:M,"Vignette",'QA Log'!Z:Z,"Rejected",'QA Log'!L:L,"*Exit Interview 2*")
  )
)</f>
        <v/>
      </c>
      <c r="BU439" s="107" t="str">
        <f t="shared" si="39"/>
        <v/>
      </c>
      <c r="BV439" s="102" t="str">
        <f t="shared" si="40"/>
        <v/>
      </c>
      <c r="BW439" s="102" t="str">
        <f t="shared" si="41"/>
        <v/>
      </c>
      <c r="BX439" s="102" t="str">
        <f t="shared" si="42"/>
        <v/>
      </c>
      <c r="BY439" s="102" t="str">
        <f t="shared" si="43"/>
        <v/>
      </c>
      <c r="BZ439" s="107" t="str">
        <f t="shared" si="44"/>
        <v/>
      </c>
      <c r="CA439" s="108" t="str">
        <f t="shared" si="45"/>
        <v/>
      </c>
      <c r="CB439" s="108" t="str">
        <f t="shared" si="46"/>
        <v/>
      </c>
      <c r="CC439" s="109" t="str">
        <f t="shared" si="47"/>
        <v/>
      </c>
      <c r="CD439" s="108" t="str">
        <f t="shared" si="48"/>
        <v/>
      </c>
      <c r="CE439" s="108" t="str">
        <f t="shared" si="49"/>
        <v/>
      </c>
      <c r="CF439" s="109" t="str">
        <f t="shared" si="50"/>
        <v/>
      </c>
      <c r="CG439" s="110" t="str">
        <f t="shared" si="51"/>
        <v/>
      </c>
      <c r="CH439" s="111"/>
    </row>
    <row r="440" spans="1:86" ht="12.75">
      <c r="A440" s="101"/>
      <c r="B440" s="102" t="e">
        <f t="array" aca="1" ref="B440" ca="1">_xludf.XLOOKUP(A440,'QA Log'!D:D,'QA Log'!E:E,"")</f>
        <v>#NAME?</v>
      </c>
      <c r="C440" s="102" t="e">
        <f t="array" aca="1" ref="C440" ca="1">_xludf.XLOOKUP(A440,'QA Log'!D:D,'QA Log'!F:F,"")</f>
        <v>#NAME?</v>
      </c>
      <c r="D440" s="102" t="e">
        <f t="array" aca="1" ref="D440" ca="1">_xludf.XLOOKUP(A440,'QA Log'!D:D,'QA Log'!H:H,"")</f>
        <v>#NAME?</v>
      </c>
      <c r="E440" s="102" t="e">
        <f t="array" aca="1" ref="E440" ca="1">_xludf.XLOOKUP(A440,'QA Log'!D:D,'QA Log'!G:G,"")</f>
        <v>#NAME?</v>
      </c>
      <c r="F440" s="103"/>
      <c r="G440" s="104"/>
      <c r="H440" s="104"/>
      <c r="I440" s="103" t="str">
        <f t="shared" si="26"/>
        <v/>
      </c>
      <c r="J440" s="102" t="str">
        <f>IF(A440="","",SUM(
COUNTIFS('QA Log'!D:D,A440,'QA Log'!M:M,"QQC",'QA Log'!L:L,"*1. General Management*"),
COUNTIFS('QA Log'!D:D,A440,'QA Log'!M:M,"QQC",'QA Log'!L:L,"*3. Curative Consultation (OPD)*"),
COUNTIFS('QA Log'!D:D,A440,'QA Log'!M:M,"QQC",'QA Log'!L:L,"*5. Laboratory*"),
COUNTIFS('QA Log'!D:D,A440,'QA Log'!M:M,"QQC",'QA Log'!L:L,"*6. Essential Medicine Management*"),
COUNTIFS('QA Log'!D:D,A440,'QA Log'!M:M,"QQC",'QA Log'!L:L,"*7. Tracer Medicine*"),
COUNTIFS('QA Log'!D:D,A440,'QA Log'!M:M,"QQC",'QA Log'!L:L,"*11. Additional Questions*")))</f>
        <v/>
      </c>
      <c r="K440" s="102" t="str">
        <f>IF(A440="","",SUM(
COUNTIFS('QA Log'!D:D,A440,'QA Log'!M:M,"QQC",'QA Log'!Z:Z,"Approved",'QA Log'!L:L,"*1. General Management*"),
COUNTIFS('QA Log'!D:D,A440,'QA Log'!M:M,"QQC",'QA Log'!Z:Z,"Approved",'QA Log'!L:L,"*3. Curative Consultation (OPD)*"),
COUNTIFS('QA Log'!D:D,A440,'QA Log'!M:M,"QQC",'QA Log'!Z:Z,"Approved",'QA Log'!L:L,"*5. Laboratory*"),
COUNTIFS('QA Log'!D:D,A440,'QA Log'!M:M,"QQC",'QA Log'!Z:Z,"Approved",'QA Log'!L:L,"*6. Essential Medicine Management*"),
COUNTIFS('QA Log'!D:D,A440,'QA Log'!M:M,"QQC",'QA Log'!Z:Z,"Approved",'QA Log'!L:L,"*7. Tracer Medicine*"),
COUNTIFS('QA Log'!D:D,A440,'QA Log'!M:M,"QQC",'QA Log'!Z:Z,"Approved",'QA Log'!L:L,"*11. Additional Questions*")))</f>
        <v/>
      </c>
      <c r="L440" s="102" t="str">
        <f>IF(A440&lt;&gt;"",COUNTIFS('QA Log'!D:D,A440,'QA Log'!M:M,"QQC",'QA Log'!L:L,"1. General Management",'QA Log'!Z:Z,"Approved"),"")</f>
        <v/>
      </c>
      <c r="M440" s="102" t="str">
        <f>IF(A440&lt;&gt;"",COUNTIFS('QA Log'!D:D,A440,'QA Log'!M:M,"QQC",'QA Log'!L:L,"3. Curative Consultation (OPD)",'QA Log'!Z:Z,"Approved"),"")</f>
        <v/>
      </c>
      <c r="N440" s="102" t="str">
        <f>IF(A440&lt;&gt;"",COUNTIFS('QA Log'!D:D,A440,'QA Log'!M:M,"QQC",'QA Log'!L:L,"5. Laboratory",'QA Log'!Z:Z,"Approved"),"")</f>
        <v/>
      </c>
      <c r="O440" s="102" t="str">
        <f>IF(A440&lt;&gt;"",COUNTIFS('QA Log'!D:D,A440,'QA Log'!M:M,"QQC",'QA Log'!L:L,"6. Essential Medicine Management",'QA Log'!Z:Z,"Approved"),"")</f>
        <v/>
      </c>
      <c r="P440" s="102" t="str">
        <f>IF(A440&lt;&gt;"",COUNTIFS('QA Log'!D:D,A440,'QA Log'!M:M,"QQC",'QA Log'!L:L,"7. Tracer Medicine",'QA Log'!Z:Z,"Approved"),"")</f>
        <v/>
      </c>
      <c r="Q440" s="102" t="str">
        <f>IF(A440&lt;&gt;"",COUNTIFS('QA Log'!D:D,A440,'QA Log'!M:M,"QQC",'QA Log'!L:L,"11. Additional Questions",'QA Log'!Z:Z,"Approved"),"")</f>
        <v/>
      </c>
      <c r="R440" s="102" t="str">
        <f>IF(A440="","",SUM(
COUNTIFS('QA Log'!D:D,A440,'QA Log'!M:M,"QQC",'QA Log'!Z:Z,"Rejected",'QA Log'!L:L,"*8. Maternity*"),
COUNTIFS('QA Log'!D:D,A440,'QA Log'!M:M,"QQC",'QA Log'!Z:Z,"Rejected",'QA Log'!L:L,"*EPI*"),
COUNTIFS('QA Log'!D:D,A440,'QA Log'!M:M,"QQC",'QA Log'!Z:Z,"Rejected",'QA Log'!L:L,"*10. Antenatal Care (ANC)*"),
COUNTIFS('QA Log'!D:D,A440,'QA Log'!M:M,"QQC",'QA Log'!Z:Z,"Rejected",'QA Log'!L:L,"*2. Hygiene and Sterilization*"),
COUNTIFS('QA Log'!D:D,A440,'QA Log'!M:M,"QQC",'QA Log'!Z:Z,"Rejected",'QA Log'!L:L,"*Family Planning*")))</f>
        <v/>
      </c>
      <c r="S440" s="106" t="str">
        <f t="shared" si="27"/>
        <v/>
      </c>
      <c r="T440" s="102" t="str">
        <f t="shared" si="28"/>
        <v/>
      </c>
      <c r="U440" s="102" t="str">
        <f>IF(A440="","",
SUM(
COUNTIFS('QA Log'!D:D,A440,'QA Log'!M:M,"QQC",'QA Log'!L:L,"*8. Maternity*"),
COUNTIFS('QA Log'!D:D,A440,'QA Log'!M:M,"QQC",'QA Log'!L:L,"*9. EPI and Pre-school Consultation*"),
COUNTIFS('QA Log'!D:D,A440,'QA Log'!M:M,"QQC",'QA Log'!L:L,"*10. Antenatal Care (ANC)*"),
COUNTIFS('QA Log'!D:D,A440,'QA Log'!M:M,"QQC",'QA Log'!L:L,"*2. Hygiene and Sterilization*"),
COUNTIFS('QA Log'!D:D,A440,'QA Log'!M:M,"QQC",'QA Log'!L:L,"*4. Family Planning*")
))</f>
        <v/>
      </c>
      <c r="V440" s="102" t="str">
        <f>IF(A440="","",
SUM(
COUNTIFS('QA Log'!D:D,A440,'QA Log'!M:M,"QQC",'QA Log'!Z:Z,"Approved",'QA Log'!L:L,"*8. Maternity*"),
COUNTIFS('QA Log'!D:D,A440,'QA Log'!M:M,"QQC",'QA Log'!Z:Z,"Approved",'QA Log'!L:L,"*9. EPI and Pre-school Consultation*"),
COUNTIFS('QA Log'!D:D,A440,'QA Log'!M:M,"QQC",'QA Log'!Z:Z,"Approved",'QA Log'!L:L,"*10. Antenatal Care (ANC)*"),
COUNTIFS('QA Log'!D:D,A440,'QA Log'!M:M,"QQC",'QA Log'!Z:Z,"Approved",'QA Log'!L:L,"*2. Hygiene and Sterilization*"),
COUNTIFS('QA Log'!D:D,A440,'QA Log'!M:M,"QQC",'QA Log'!Z:Z,"Approved",'QA Log'!L:L,"*4. Family Planning*")
))</f>
        <v/>
      </c>
      <c r="W440" s="102" t="str">
        <f>IF(A440&lt;&gt;"",COUNTIFS('QA Log'!D:D,A440,'QA Log'!M:M,"QQC",'QA Log'!L:L,"8. Maternity",'QA Log'!Z:Z,"Approved"),"")</f>
        <v/>
      </c>
      <c r="X440" s="105" t="str">
        <f>IF(A440&lt;&gt;"",COUNTIFS('QA Log'!D:D,A440,'QA Log'!M:M,"QQC",'QA Log'!L:L,"9. EPI and Pre-school Consultation",'QA Log'!Z:Z,"Approved"),"")</f>
        <v/>
      </c>
      <c r="Y440" s="102" t="str">
        <f>IF(A440&lt;&gt;"",COUNTIFS('QA Log'!D:D,A440,'QA Log'!M:M,"QQC",'QA Log'!L:L,"10. Antenatal Care (ANC)",'QA Log'!Z:Z,"Approved"),"")</f>
        <v/>
      </c>
      <c r="Z440" s="102" t="str">
        <f>IF(A440&lt;&gt;"",COUNTIFS('QA Log'!D:D,A440,'QA Log'!M:M,"QQC",'QA Log'!L:L,"2. Hygiene and Sterilization",'QA Log'!Z:Z,"Approved"),"")</f>
        <v/>
      </c>
      <c r="AA440" s="105" t="str">
        <f>IF(A440&lt;&gt;"",COUNTIFS('QA Log'!D:D,A440,'QA Log'!M:M,"QQC",'QA Log'!L:L,"4. Family Planning",'QA Log'!Z:Z,"Approved"),"")</f>
        <v/>
      </c>
      <c r="AB440" s="102" t="str">
        <f>IF(A440="","",
SUM(
COUNTIFS('QA Log'!D:D,A440,'QA Log'!M:M,"QQC",'QA Log'!Z:Z,"Rejected",'QA Log'!L:L,"*8. Maternity*"),
COUNTIFS('QA Log'!D:D,A440,'QA Log'!M:M,"QQC",'QA Log'!Z:Z,"Rejected",'QA Log'!L:L,"*9. EPI and Pre-school Consultation*"),
COUNTIFS('QA Log'!D:D,A440,'QA Log'!M:M,"QQC",'QA Log'!Z:Z,"Rejected",'QA Log'!L:L,"*10. Antenatal Care (ANC)*"),
COUNTIFS('QA Log'!D:D,A440,'QA Log'!M:M,"QQC",'QA Log'!Z:Z,"Rejected",'QA Log'!L:L,"*2. Hygiene and Sterilization*"),
COUNTIFS('QA Log'!D:D,A440,'QA Log'!M:M,"QQC",'QA Log'!Z:Z,"Rejected",'QA Log'!L:L,"*4. Family Planning*")
))</f>
        <v/>
      </c>
      <c r="AC440" s="102" t="str">
        <f t="shared" si="29"/>
        <v/>
      </c>
      <c r="AD440" s="103" t="str">
        <f t="shared" si="30"/>
        <v/>
      </c>
      <c r="AE440" s="102" t="str">
        <f>IF(A440="","",
SUM(
COUNTIFS('QA Log'!D:D,A440,'QA Log'!M:M,"Data Verification",'QA Log'!L:L,"*Medicine (section 2)*"),
COUNTIFS('QA Log'!D:D,A440,'QA Log'!M:M,"Data Verification",'QA Log'!L:L,"*Lab Testing Availability*"),
COUNTIFS('QA Log'!D:D,A440,'QA Log'!M:M,"Data Verification",'QA Log'!L:L,"*Other than P4P (section 6)*"),
COUNTIFS('QA Log'!D:D,A440,'QA Log'!M:M,"Data Verification",'QA Log'!L:L,"*Hospital Governance*")
))</f>
        <v/>
      </c>
      <c r="AF440" s="102" t="str">
        <f>IF(A440="","",
SUM(
COUNTIFS('QA Log'!D:D,A440,'QA Log'!M:M,"Data Verification",'QA Log'!Z:Z,"Approved",'QA Log'!L:L,"*Medicine (section 2)*"),
COUNTIFS('QA Log'!D:D,A440,'QA Log'!M:M,"Data Verification",'QA Log'!Z:Z,"Approved",'QA Log'!L:L,"*Lab Testing Availability*"),
COUNTIFS('QA Log'!D:D,A440,'QA Log'!M:M,"Data Verification",'QA Log'!Z:Z,"Approved",'QA Log'!L:L,"*Other than P4P (section 6)*"),
COUNTIFS('QA Log'!D:D,A440,'QA Log'!M:M,"Data Verification",'QA Log'!Z:Z,"Approved",'QA Log'!L:L,"*Hospital Governance*")
))</f>
        <v/>
      </c>
      <c r="AG440" s="105" t="str">
        <f>IF(A440&lt;&gt;"",COUNTIFS('QA Log'!D:D,A440,'QA Log'!M:M,"Data Verification",'QA Log'!L:L,"Medicine (section 2)",'QA Log'!Z:Z,"Approved"),"")</f>
        <v/>
      </c>
      <c r="AH440" s="105" t="str">
        <f>IF(A440&lt;&gt;"",COUNTIFS('QA Log'!D:D,A440,'QA Log'!M:M,"Data Verification",'QA Log'!L:L,"Lab Testing Availability",'QA Log'!Z:Z,"Approved"),"")</f>
        <v/>
      </c>
      <c r="AI440" s="105" t="str">
        <f>IF(A440&lt;&gt;"",COUNTIFS('QA Log'!D:D,A440,'QA Log'!M:M,"Data Verification",'QA Log'!L:L,"Other than P4P (section 6)",'QA Log'!Z:Z,"Approved"),"")</f>
        <v/>
      </c>
      <c r="AJ440" s="105" t="str">
        <f>IF(A440&lt;&gt;"",COUNTIFS('QA Log'!D:D,A440,'QA Log'!M:M,"Data Verification",'QA Log'!L:L,"Hospital Governance",'QA Log'!Z:Z,"Approved"),"")</f>
        <v/>
      </c>
      <c r="AK440" s="102" t="str">
        <f>IF(A440="","",
SUM(
COUNTIFS('QA Log'!D:D,A440,'QA Log'!M:M,"Data Verification",'QA Log'!Z:Z,"Rejected",'QA Log'!L:L,"*Medicine (section 2)*"),
COUNTIFS('QA Log'!D:D,A440,'QA Log'!M:M,"Data Verification",'QA Log'!Z:Z,"Rejected",'QA Log'!L:L,"*Lab Testing Availability*"),
COUNTIFS('QA Log'!D:D,A440,'QA Log'!M:M,"Data Verification",'QA Log'!Z:Z,"Rejected",'QA Log'!L:L,"*Other than P4P (section 6)*"),
COUNTIFS('QA Log'!D:D,A440,'QA Log'!M:M,"Data Verification",'QA Log'!Z:Z,"Rejected",'QA Log'!L:L,"*Hospital Governance*")
))</f>
        <v/>
      </c>
      <c r="AL440" s="106" t="str">
        <f t="shared" si="31"/>
        <v/>
      </c>
      <c r="AM440" s="102" t="str">
        <f t="shared" si="32"/>
        <v/>
      </c>
      <c r="AN440" s="102" t="str">
        <f>IF(A440="","",
SUM(
COUNTIFS('QA Log'!D:D,A440,'QA Log'!M:M,"Data Verification",'QA Log'!L:L,"*Personnel (section 1)*"),
COUNTIFS('QA Log'!D:D,A440,'QA Log'!M:M,"Data Verification",'QA Log'!L:L,"*Consumable (section 3)*"),
COUNTIFS('QA Log'!D:D,A440,'QA Log'!M:M,"Data Verification",'QA Log'!L:L,"*Equipments (section 4)*")
))</f>
        <v/>
      </c>
      <c r="AO440" s="102" t="str">
        <f>IF(A440="","",
SUM(
COUNTIFS('QA Log'!D:D,A440,'QA Log'!M:M,"Data Verification",'QA Log'!Z:Z,"Approved",'QA Log'!L:L,"*Personnel (section 1)*"),
COUNTIFS('QA Log'!D:D,A440,'QA Log'!M:M,"Data Verification",'QA Log'!Z:Z,"Approved",'QA Log'!L:L,"*Consumable (section 3)*"),
COUNTIFS('QA Log'!D:D,A440,'QA Log'!M:M,"Data Verification",'QA Log'!Z:Z,"Approved",'QA Log'!L:L,"*Equipments (section 4)*")
))</f>
        <v/>
      </c>
      <c r="AP440" s="105" t="str">
        <f>IF(A440&lt;&gt;"",COUNTIFS('QA Log'!D:D,A440,'QA Log'!M:M,"Data Verification",'QA Log'!L:L,"Personnel (section 1)",'QA Log'!Z:Z,"Approved"),"")</f>
        <v/>
      </c>
      <c r="AQ440" s="105" t="str">
        <f>IF(A440&lt;&gt;"",COUNTIFS('QA Log'!D:D,A440,'QA Log'!M:M,"Data Verification",'QA Log'!L:L,"Consumable (section 3)",'QA Log'!Z:Z,"Approved"),"")</f>
        <v/>
      </c>
      <c r="AR440" s="105" t="str">
        <f>IF(A440&lt;&gt;"",COUNTIFS('QA Log'!D:D,A440,'QA Log'!M:M,"Data Verification",'QA Log'!L:L,"Equipments (section 4)",'QA Log'!Z:Z,"Approved"),"")</f>
        <v/>
      </c>
      <c r="AS440" s="102" t="str">
        <f>IF(A440="","",
SUM(
COUNTIFS('QA Log'!D:D,A440,'QA Log'!M:M,"Data Verification",'QA Log'!Z:Z,"Rejected",'QA Log'!L:L,"*Personnel (section 1)*"),
COUNTIFS('QA Log'!D:D,A440,'QA Log'!M:M,"Data Verification",'QA Log'!Z:Z,"Rejected",'QA Log'!L:L,"*Consumable (section 3)*"),
COUNTIFS('QA Log'!D:D,A440,'QA Log'!M:M,"Data Verification",'QA Log'!Z:Z,"Rejected",'QA Log'!L:L,"*Equipments (section 4)*")
))</f>
        <v/>
      </c>
      <c r="AT440" s="102" t="str">
        <f t="shared" si="33"/>
        <v/>
      </c>
      <c r="AU440" s="103" t="str">
        <f t="shared" si="34"/>
        <v/>
      </c>
      <c r="AV440" s="102" t="str">
        <f>IF(A440="","",SUM(
COUNTIFS('QA Log'!D:D,A440,'QA Log'!M:M,"Vignette",'QA Log'!L:L,"*Vignette [1] Respiratory Infection: Pneumonia*"),
COUNTIFS('QA Log'!D:D,A440,'QA Log'!M:M,"Vignette",'QA Log'!L:L,"*Vignette [2]: Diarrhea with Cat B dehydration*"),
COUNTIFS('QA Log'!D:D,A440,'QA Log'!M:M,"Vignette",'QA Log'!L:L,"*Vignette [3] Growth Monitoring and Promotion*"),
COUNTIFS('QA Log'!D:D,A440,'QA Log'!M:M,"Vignette",'QA Log'!L:L,"*Vignette [4]: The management of presumptive TB patient*")
)
)</f>
        <v/>
      </c>
      <c r="AW440" s="102" t="str">
        <f>IF(
  A440="","",
  SUM(
    COUNTIFS('QA Log'!D:D,A440,'QA Log'!M:M,"Vignette",'QA Log'!Z:Z,"Approved",'QA Log'!L:L,"*Vignette [1] Respiratory Infection: Pneumonia*"),
    COUNTIFS('QA Log'!D:D,A440,'QA Log'!M:M,"Vignette",'QA Log'!Z:Z,"Approved",'QA Log'!L:L,"*Vignette [2]: Diarrhea with Cat B dehydration*"),
    COUNTIFS('QA Log'!D:D,A440,'QA Log'!M:M,"Vignette",'QA Log'!Z:Z,"Approved",'QA Log'!L:L,"*Vignette [3] Growth Monitoring and Promotion*"),
    COUNTIFS('QA Log'!D:D,A440,'QA Log'!M:M,"Vignette",'QA Log'!Z:Z,"Approved",'QA Log'!L:L,"*Vignette [4]: The management of presumptive TB patient*")
  )
)</f>
        <v/>
      </c>
      <c r="AX440" s="105" t="str">
        <f>IF(A440&lt;&gt;"",COUNTIFS('QA Log'!D:D,A440,'QA Log'!M:M,"Vignette",'QA Log'!L:L,"Vignette [1] Respiratory Infection: Pneumonia",'QA Log'!Z:Z,"Approved"),"")</f>
        <v/>
      </c>
      <c r="AY440" s="105" t="str">
        <f>IF(A440&lt;&gt;"",COUNTIFS('QA Log'!D:D,A440,'QA Log'!M:M,"Vignette",'QA Log'!L:L,"Vignette [2]: Diarrhea with Cat B dehydration",'QA Log'!Z:Z,"Approved"),"")</f>
        <v/>
      </c>
      <c r="AZ440" s="105" t="str">
        <f>IF(A440&lt;&gt;"",COUNTIFS('QA Log'!D:D,A440,'QA Log'!M:M,"Vignette",'QA Log'!L:L,"Vignette [3] Growth Monitoring and Promotion",'QA Log'!Z:Z,"Approved"),"")</f>
        <v/>
      </c>
      <c r="BA440" s="105" t="str">
        <f>IF(A440&lt;&gt;"",COUNTIFS('QA Log'!D:D,A440,'QA Log'!M:M,"Vignette",'QA Log'!L:L,"Vignette [4]: The management of presumptive TB patient",'QA Log'!Z:Z,"Approved"),"")</f>
        <v/>
      </c>
      <c r="BB440" s="102" t="str">
        <f>IF(A440="","",
  SUM(
    COUNTIFS('QA Log'!D:D,A440,'QA Log'!M:M,"Vignette",'QA Log'!Z:Z,"Rejected",'QA Log'!L:L,"*Vignette [1] Respiratory Infection: Pneumonia*"),
    COUNTIFS('QA Log'!D:D,A440,'QA Log'!M:M,"Vignette",'QA Log'!Z:Z,"Rejected",'QA Log'!L:L,"*Vignette [2]: Diarrhea with Cat B dehydration*"),
    COUNTIFS('QA Log'!D:D,A440,'QA Log'!M:M,"Vignette",'QA Log'!Z:Z,"Rejected",'QA Log'!L:L,"*Vignette [3] Growth Monitoring and Promotion*"),
    COUNTIFS('QA Log'!D:D,A440,'QA Log'!M:M,"Vignette",'QA Log'!Z:Z,"Rejected",'QA Log'!L:L,"*Vignette [4]: The management of presumptive TB patient*")
  )
)</f>
        <v/>
      </c>
      <c r="BC440" s="107" t="str">
        <f t="shared" si="35"/>
        <v/>
      </c>
      <c r="BD440" s="103" t="str">
        <f t="shared" si="36"/>
        <v/>
      </c>
      <c r="BE440" s="102" t="str">
        <f>IF(A440="","",SUM(
COUNTIFS('QA Log'!D:D,A440,'QA Log'!M:M,"Vignette",'QA Log'!L:L,"*Vignette [5] Labor*"),
COUNTIFS('QA Log'!D:D,A440,'QA Log'!M:M,"Vignette",'QA Log'!L:L,"*Vignette [6] PNC pre Discharge*"),
COUNTIFS('QA Log'!D:D,A440,'QA Log'!M:M,"Vignette",'QA Log'!L:L,"*Vignette [7] First ANC Visit*"),
COUNTIFS('QA Log'!D:D,A440,'QA Log'!M:M,"Vignette",'QA Log'!L:L,"*Vignette [8] Birth Spacing/ Family Planning :  FP Counselling*"),
COUNTIFS('QA Log'!D:D,A440,'QA Log'!M:M,"Vignette",'QA Log'!L:L,"*Vignette [9] Birth Spacing: Change FP method to Injectable*"),
COUNTIFS('QA Log'!D:D,A440,'QA Log'!M:M,"Vignette",'QA Log'!L:L,"*Vignette [10] Post Partum Haemorrhage - Atonic Uterus at Health Centre*"),
)
)</f>
        <v/>
      </c>
      <c r="BF440" s="102" t="str">
        <f>IF(A440="","",
  SUM(
    COUNTIFS('QA Log'!D:D,A440,'QA Log'!M:M,"Vignette",'QA Log'!Z:Z,"Approved",'QA Log'!L:L,"*Vignette [5] Labor*"),
    COUNTIFS('QA Log'!D:D,A440,'QA Log'!M:M,"Vignette",'QA Log'!Z:Z,"Approved",'QA Log'!L:L,"*Vignette [6] PNC pre Discharge*"),
    COUNTIFS('QA Log'!D:D,A440,'QA Log'!M:M,"Vignette",'QA Log'!Z:Z,"Approved",'QA Log'!L:L,"*Vignette [7] First ANC Visit*"),
    COUNTIFS('QA Log'!D:D,A440,'QA Log'!M:M,"Vignette",'QA Log'!Z:Z,"Approved",'QA Log'!L:L,"*Vignette [8] Birth Spacing/ Family Planning :  FP Counselling*"),
    COUNTIFS('QA Log'!D:D,A440,'QA Log'!M:M,"Vignette",'QA Log'!Z:Z,"Approved",'QA Log'!L:L,"*Vignette [9] Birth Spacing: Change FP method to Injectable*"),
    COUNTIFS('QA Log'!D:D,A440,'QA Log'!M:M,"Vignette",'QA Log'!Z:Z,"Approved",'QA Log'!L:L,"*Vignette [10] Post Partum Haemorrhage - Atonic Uterus at Health Centre*")
  )
)</f>
        <v/>
      </c>
      <c r="BG440" s="105" t="str">
        <f>IF(A440&lt;&gt;"",COUNTIFS('QA Log'!D:D,A440,'QA Log'!M:M,"Vignette",'QA Log'!L:L,"Vignette [5] Labor",'QA Log'!Z:Z,"Approved"),"")</f>
        <v/>
      </c>
      <c r="BH440" s="105" t="str">
        <f>IF(A440&lt;&gt;"",COUNTIFS('QA Log'!D:D,A440,'QA Log'!M:M,"Vignette",'QA Log'!L:L,"Vignette [6] PNC pre Discharge",'QA Log'!Z:Z,"Approved"),"")</f>
        <v/>
      </c>
      <c r="BI440" s="105" t="str">
        <f>IF(A440&lt;&gt;"",COUNTIFS('QA Log'!D:D,A440,'QA Log'!M:M,"Vignette",'QA Log'!L:L,"Vignette [7] First ANC Visit",'QA Log'!Z:Z,"Approved"),"")</f>
        <v/>
      </c>
      <c r="BJ440" s="105" t="str">
        <f>IF(A440&lt;&gt;"",COUNTIFS('QA Log'!D:D,A440,'QA Log'!M:M,"Vignette",'QA Log'!L:L,"Vignette [8] Birth Spacing/ Family Planning :  FP Counselling",'QA Log'!Z:Z,"Approved"),"")</f>
        <v/>
      </c>
      <c r="BK440" s="105" t="str">
        <f>IF(A440&lt;&gt;"",COUNTIFS('QA Log'!D:D,A440,'QA Log'!M:M,"Vignette",'QA Log'!L:L,"Vignette [9] Birth Spacing: Change FP method to Injectable",'QA Log'!Z:Z,"Approved"),"")</f>
        <v/>
      </c>
      <c r="BL440" s="105" t="str">
        <f>IF(A440&lt;&gt;"",COUNTIFS('QA Log'!D:D,A440,'QA Log'!M:M,"Vignette",'QA Log'!L:L,"Vignette [10] Post Partum Haemorrhage - Atonic Uterus at Health Centre",'QA Log'!Z:Z,"Approved"),"")</f>
        <v/>
      </c>
      <c r="BM440" s="102" t="str">
        <f>IF(A440="","",SUM(
    COUNTIFS('QA Log'!D:D,A440,'QA Log'!M:M,"Vignette",'QA Log'!Z:Z,"Rejected",'QA Log'!L:L,"*Vignette [5] Labor*"),
    COUNTIFS('QA Log'!D:D,A440,'QA Log'!M:M,"Vignette",'QA Log'!Z:Z,"Rejected",'QA Log'!L:L,"*Vignette [6] PNC pre Discharge*"),
    COUNTIFS('QA Log'!D:D,A440,'QA Log'!M:M,"Vignette",'QA Log'!Z:Z,"Rejected",'QA Log'!L:L,"*Vignette [7] First ANC Visit*"),
    COUNTIFS('QA Log'!D:D,A440,'QA Log'!M:M,"Vignette",'QA Log'!Z:Z,"Rejected",'QA Log'!L:L,"*Vignette [8] Birth Spacing/ Family Planning :  FP Counselling*"),
    COUNTIFS('QA Log'!D:D,A440,'QA Log'!M:M,"Vignette",'QA Log'!Z:Z,"Rejected",'QA Log'!L:L,"*Vignette [9] Birth Spacing: Change FP method to Injectable*"),
    COUNTIFS('QA Log'!D:D,A440,'QA Log'!M:M,"Vignette",'QA Log'!Z:Z,"Rejected",'QA Log'!L:L,"*Vignette [10] Post Partum Haemorrhage - Atonic Uterus at Health Centre*")
  )
)</f>
        <v/>
      </c>
      <c r="BN440" s="107" t="str">
        <f t="shared" si="37"/>
        <v/>
      </c>
      <c r="BO440" s="103" t="str">
        <f t="shared" si="38"/>
        <v/>
      </c>
      <c r="BP440" s="102" t="str">
        <f>IF(A440="","",SUM(
COUNTIFS('QA Log'!D:D,A440,'QA Log'!M:M,"Vignette",'QA Log'!L:L,"*Exit Interview 1*"),
COUNTIFS('QA Log'!D:D,A440,'QA Log'!M:M,"Vignette",'QA Log'!L:L,"*Exit Interview 2*"),
)
)</f>
        <v/>
      </c>
      <c r="BQ440" s="102" t="str">
        <f>IF(
  A440="","",
  SUM(
    COUNTIFS('QA Log'!D:D,A440,'QA Log'!M:M,"Vignette",'QA Log'!Z:Z,"Approved",'QA Log'!L:L,"*Exit Interview 1*"),
    COUNTIFS('QA Log'!D:D,A440,'QA Log'!M:M,"Vignette",'QA Log'!Z:Z,"Approved",'QA Log'!L:L,"*Exit Interview 2*")
  )
)</f>
        <v/>
      </c>
      <c r="BR440" s="105" t="str">
        <f>IF(A440&lt;&gt;"",COUNTIFS('QA Log'!D:D,A440,'QA Log'!M:M,"Vignette",'QA Log'!L:L,"Exit Interview 1",'QA Log'!Z:Z,"Approved"),"")</f>
        <v/>
      </c>
      <c r="BS440" s="105" t="str">
        <f>IF(A440&lt;&gt;"",COUNTIFS('QA Log'!D:D,A440,'QA Log'!M:M,"Vignette",'QA Log'!L:L,"Exit Interview 2",'QA Log'!Z:Z,"Approved"),"")</f>
        <v/>
      </c>
      <c r="BT440" s="102" t="str">
        <f>IF(
  A440="","",
  SUM(
    COUNTIFS('QA Log'!D:D,A440,'QA Log'!M:M,"Vignette",'QA Log'!Z:Z,"Rejected",'QA Log'!L:L,"*Exit Interview 1*"),
    COUNTIFS('QA Log'!D:D,A440,'QA Log'!M:M,"Vignette",'QA Log'!Z:Z,"Rejected",'QA Log'!L:L,"*Exit Interview 2*")
  )
)</f>
        <v/>
      </c>
      <c r="BU440" s="107" t="str">
        <f t="shared" si="39"/>
        <v/>
      </c>
      <c r="BV440" s="102" t="str">
        <f t="shared" si="40"/>
        <v/>
      </c>
      <c r="BW440" s="102" t="str">
        <f t="shared" si="41"/>
        <v/>
      </c>
      <c r="BX440" s="102" t="str">
        <f t="shared" si="42"/>
        <v/>
      </c>
      <c r="BY440" s="102" t="str">
        <f t="shared" si="43"/>
        <v/>
      </c>
      <c r="BZ440" s="107" t="str">
        <f t="shared" si="44"/>
        <v/>
      </c>
      <c r="CA440" s="108" t="str">
        <f t="shared" si="45"/>
        <v/>
      </c>
      <c r="CB440" s="108" t="str">
        <f t="shared" si="46"/>
        <v/>
      </c>
      <c r="CC440" s="109" t="str">
        <f t="shared" si="47"/>
        <v/>
      </c>
      <c r="CD440" s="108" t="str">
        <f t="shared" si="48"/>
        <v/>
      </c>
      <c r="CE440" s="108" t="str">
        <f t="shared" si="49"/>
        <v/>
      </c>
      <c r="CF440" s="109" t="str">
        <f t="shared" si="50"/>
        <v/>
      </c>
      <c r="CG440" s="110" t="str">
        <f t="shared" si="51"/>
        <v/>
      </c>
      <c r="CH440" s="111"/>
    </row>
    <row r="441" spans="1:86" ht="12.75">
      <c r="A441" s="101"/>
      <c r="B441" s="102" t="e">
        <f t="array" aca="1" ref="B441" ca="1">_xludf.XLOOKUP(A441,'QA Log'!D:D,'QA Log'!E:E,"")</f>
        <v>#NAME?</v>
      </c>
      <c r="C441" s="102" t="e">
        <f t="array" aca="1" ref="C441" ca="1">_xludf.XLOOKUP(A441,'QA Log'!D:D,'QA Log'!F:F,"")</f>
        <v>#NAME?</v>
      </c>
      <c r="D441" s="102" t="e">
        <f t="array" aca="1" ref="D441" ca="1">_xludf.XLOOKUP(A441,'QA Log'!D:D,'QA Log'!H:H,"")</f>
        <v>#NAME?</v>
      </c>
      <c r="E441" s="102" t="e">
        <f t="array" aca="1" ref="E441" ca="1">_xludf.XLOOKUP(A441,'QA Log'!D:D,'QA Log'!G:G,"")</f>
        <v>#NAME?</v>
      </c>
      <c r="F441" s="103"/>
      <c r="G441" s="104"/>
      <c r="H441" s="104"/>
      <c r="I441" s="103" t="str">
        <f t="shared" si="26"/>
        <v/>
      </c>
      <c r="J441" s="102" t="str">
        <f>IF(A441="","",SUM(
COUNTIFS('QA Log'!D:D,A441,'QA Log'!M:M,"QQC",'QA Log'!L:L,"*1. General Management*"),
COUNTIFS('QA Log'!D:D,A441,'QA Log'!M:M,"QQC",'QA Log'!L:L,"*3. Curative Consultation (OPD)*"),
COUNTIFS('QA Log'!D:D,A441,'QA Log'!M:M,"QQC",'QA Log'!L:L,"*5. Laboratory*"),
COUNTIFS('QA Log'!D:D,A441,'QA Log'!M:M,"QQC",'QA Log'!L:L,"*6. Essential Medicine Management*"),
COUNTIFS('QA Log'!D:D,A441,'QA Log'!M:M,"QQC",'QA Log'!L:L,"*7. Tracer Medicine*"),
COUNTIFS('QA Log'!D:D,A441,'QA Log'!M:M,"QQC",'QA Log'!L:L,"*11. Additional Questions*")))</f>
        <v/>
      </c>
      <c r="K441" s="102" t="str">
        <f>IF(A441="","",SUM(
COUNTIFS('QA Log'!D:D,A441,'QA Log'!M:M,"QQC",'QA Log'!Z:Z,"Approved",'QA Log'!L:L,"*1. General Management*"),
COUNTIFS('QA Log'!D:D,A441,'QA Log'!M:M,"QQC",'QA Log'!Z:Z,"Approved",'QA Log'!L:L,"*3. Curative Consultation (OPD)*"),
COUNTIFS('QA Log'!D:D,A441,'QA Log'!M:M,"QQC",'QA Log'!Z:Z,"Approved",'QA Log'!L:L,"*5. Laboratory*"),
COUNTIFS('QA Log'!D:D,A441,'QA Log'!M:M,"QQC",'QA Log'!Z:Z,"Approved",'QA Log'!L:L,"*6. Essential Medicine Management*"),
COUNTIFS('QA Log'!D:D,A441,'QA Log'!M:M,"QQC",'QA Log'!Z:Z,"Approved",'QA Log'!L:L,"*7. Tracer Medicine*"),
COUNTIFS('QA Log'!D:D,A441,'QA Log'!M:M,"QQC",'QA Log'!Z:Z,"Approved",'QA Log'!L:L,"*11. Additional Questions*")))</f>
        <v/>
      </c>
      <c r="L441" s="102" t="str">
        <f>IF(A441&lt;&gt;"",COUNTIFS('QA Log'!D:D,A441,'QA Log'!M:M,"QQC",'QA Log'!L:L,"1. General Management",'QA Log'!Z:Z,"Approved"),"")</f>
        <v/>
      </c>
      <c r="M441" s="102" t="str">
        <f>IF(A441&lt;&gt;"",COUNTIFS('QA Log'!D:D,A441,'QA Log'!M:M,"QQC",'QA Log'!L:L,"3. Curative Consultation (OPD)",'QA Log'!Z:Z,"Approved"),"")</f>
        <v/>
      </c>
      <c r="N441" s="102" t="str">
        <f>IF(A441&lt;&gt;"",COUNTIFS('QA Log'!D:D,A441,'QA Log'!M:M,"QQC",'QA Log'!L:L,"5. Laboratory",'QA Log'!Z:Z,"Approved"),"")</f>
        <v/>
      </c>
      <c r="O441" s="102" t="str">
        <f>IF(A441&lt;&gt;"",COUNTIFS('QA Log'!D:D,A441,'QA Log'!M:M,"QQC",'QA Log'!L:L,"6. Essential Medicine Management",'QA Log'!Z:Z,"Approved"),"")</f>
        <v/>
      </c>
      <c r="P441" s="102" t="str">
        <f>IF(A441&lt;&gt;"",COUNTIFS('QA Log'!D:D,A441,'QA Log'!M:M,"QQC",'QA Log'!L:L,"7. Tracer Medicine",'QA Log'!Z:Z,"Approved"),"")</f>
        <v/>
      </c>
      <c r="Q441" s="102" t="str">
        <f>IF(A441&lt;&gt;"",COUNTIFS('QA Log'!D:D,A441,'QA Log'!M:M,"QQC",'QA Log'!L:L,"11. Additional Questions",'QA Log'!Z:Z,"Approved"),"")</f>
        <v/>
      </c>
      <c r="R441" s="102" t="str">
        <f>IF(A441="","",SUM(
COUNTIFS('QA Log'!D:D,A441,'QA Log'!M:M,"QQC",'QA Log'!Z:Z,"Rejected",'QA Log'!L:L,"*8. Maternity*"),
COUNTIFS('QA Log'!D:D,A441,'QA Log'!M:M,"QQC",'QA Log'!Z:Z,"Rejected",'QA Log'!L:L,"*EPI*"),
COUNTIFS('QA Log'!D:D,A441,'QA Log'!M:M,"QQC",'QA Log'!Z:Z,"Rejected",'QA Log'!L:L,"*10. Antenatal Care (ANC)*"),
COUNTIFS('QA Log'!D:D,A441,'QA Log'!M:M,"QQC",'QA Log'!Z:Z,"Rejected",'QA Log'!L:L,"*2. Hygiene and Sterilization*"),
COUNTIFS('QA Log'!D:D,A441,'QA Log'!M:M,"QQC",'QA Log'!Z:Z,"Rejected",'QA Log'!L:L,"*Family Planning*")))</f>
        <v/>
      </c>
      <c r="S441" s="106" t="str">
        <f t="shared" si="27"/>
        <v/>
      </c>
      <c r="T441" s="102" t="str">
        <f t="shared" si="28"/>
        <v/>
      </c>
      <c r="U441" s="102" t="str">
        <f>IF(A441="","",
SUM(
COUNTIFS('QA Log'!D:D,A441,'QA Log'!M:M,"QQC",'QA Log'!L:L,"*8. Maternity*"),
COUNTIFS('QA Log'!D:D,A441,'QA Log'!M:M,"QQC",'QA Log'!L:L,"*9. EPI and Pre-school Consultation*"),
COUNTIFS('QA Log'!D:D,A441,'QA Log'!M:M,"QQC",'QA Log'!L:L,"*10. Antenatal Care (ANC)*"),
COUNTIFS('QA Log'!D:D,A441,'QA Log'!M:M,"QQC",'QA Log'!L:L,"*2. Hygiene and Sterilization*"),
COUNTIFS('QA Log'!D:D,A441,'QA Log'!M:M,"QQC",'QA Log'!L:L,"*4. Family Planning*")
))</f>
        <v/>
      </c>
      <c r="V441" s="102" t="str">
        <f>IF(A441="","",
SUM(
COUNTIFS('QA Log'!D:D,A441,'QA Log'!M:M,"QQC",'QA Log'!Z:Z,"Approved",'QA Log'!L:L,"*8. Maternity*"),
COUNTIFS('QA Log'!D:D,A441,'QA Log'!M:M,"QQC",'QA Log'!Z:Z,"Approved",'QA Log'!L:L,"*9. EPI and Pre-school Consultation*"),
COUNTIFS('QA Log'!D:D,A441,'QA Log'!M:M,"QQC",'QA Log'!Z:Z,"Approved",'QA Log'!L:L,"*10. Antenatal Care (ANC)*"),
COUNTIFS('QA Log'!D:D,A441,'QA Log'!M:M,"QQC",'QA Log'!Z:Z,"Approved",'QA Log'!L:L,"*2. Hygiene and Sterilization*"),
COUNTIFS('QA Log'!D:D,A441,'QA Log'!M:M,"QQC",'QA Log'!Z:Z,"Approved",'QA Log'!L:L,"*4. Family Planning*")
))</f>
        <v/>
      </c>
      <c r="W441" s="102" t="str">
        <f>IF(A441&lt;&gt;"",COUNTIFS('QA Log'!D:D,A441,'QA Log'!M:M,"QQC",'QA Log'!L:L,"8. Maternity",'QA Log'!Z:Z,"Approved"),"")</f>
        <v/>
      </c>
      <c r="X441" s="105" t="str">
        <f>IF(A441&lt;&gt;"",COUNTIFS('QA Log'!D:D,A441,'QA Log'!M:M,"QQC",'QA Log'!L:L,"9. EPI and Pre-school Consultation",'QA Log'!Z:Z,"Approved"),"")</f>
        <v/>
      </c>
      <c r="Y441" s="102" t="str">
        <f>IF(A441&lt;&gt;"",COUNTIFS('QA Log'!D:D,A441,'QA Log'!M:M,"QQC",'QA Log'!L:L,"10. Antenatal Care (ANC)",'QA Log'!Z:Z,"Approved"),"")</f>
        <v/>
      </c>
      <c r="Z441" s="102" t="str">
        <f>IF(A441&lt;&gt;"",COUNTIFS('QA Log'!D:D,A441,'QA Log'!M:M,"QQC",'QA Log'!L:L,"2. Hygiene and Sterilization",'QA Log'!Z:Z,"Approved"),"")</f>
        <v/>
      </c>
      <c r="AA441" s="105" t="str">
        <f>IF(A441&lt;&gt;"",COUNTIFS('QA Log'!D:D,A441,'QA Log'!M:M,"QQC",'QA Log'!L:L,"4. Family Planning",'QA Log'!Z:Z,"Approved"),"")</f>
        <v/>
      </c>
      <c r="AB441" s="102" t="str">
        <f>IF(A441="","",
SUM(
COUNTIFS('QA Log'!D:D,A441,'QA Log'!M:M,"QQC",'QA Log'!Z:Z,"Rejected",'QA Log'!L:L,"*8. Maternity*"),
COUNTIFS('QA Log'!D:D,A441,'QA Log'!M:M,"QQC",'QA Log'!Z:Z,"Rejected",'QA Log'!L:L,"*9. EPI and Pre-school Consultation*"),
COUNTIFS('QA Log'!D:D,A441,'QA Log'!M:M,"QQC",'QA Log'!Z:Z,"Rejected",'QA Log'!L:L,"*10. Antenatal Care (ANC)*"),
COUNTIFS('QA Log'!D:D,A441,'QA Log'!M:M,"QQC",'QA Log'!Z:Z,"Rejected",'QA Log'!L:L,"*2. Hygiene and Sterilization*"),
COUNTIFS('QA Log'!D:D,A441,'QA Log'!M:M,"QQC",'QA Log'!Z:Z,"Rejected",'QA Log'!L:L,"*4. Family Planning*")
))</f>
        <v/>
      </c>
      <c r="AC441" s="102" t="str">
        <f t="shared" si="29"/>
        <v/>
      </c>
      <c r="AD441" s="103" t="str">
        <f t="shared" si="30"/>
        <v/>
      </c>
      <c r="AE441" s="102" t="str">
        <f>IF(A441="","",
SUM(
COUNTIFS('QA Log'!D:D,A441,'QA Log'!M:M,"Data Verification",'QA Log'!L:L,"*Medicine (section 2)*"),
COUNTIFS('QA Log'!D:D,A441,'QA Log'!M:M,"Data Verification",'QA Log'!L:L,"*Lab Testing Availability*"),
COUNTIFS('QA Log'!D:D,A441,'QA Log'!M:M,"Data Verification",'QA Log'!L:L,"*Other than P4P (section 6)*"),
COUNTIFS('QA Log'!D:D,A441,'QA Log'!M:M,"Data Verification",'QA Log'!L:L,"*Hospital Governance*")
))</f>
        <v/>
      </c>
      <c r="AF441" s="102" t="str">
        <f>IF(A441="","",
SUM(
COUNTIFS('QA Log'!D:D,A441,'QA Log'!M:M,"Data Verification",'QA Log'!Z:Z,"Approved",'QA Log'!L:L,"*Medicine (section 2)*"),
COUNTIFS('QA Log'!D:D,A441,'QA Log'!M:M,"Data Verification",'QA Log'!Z:Z,"Approved",'QA Log'!L:L,"*Lab Testing Availability*"),
COUNTIFS('QA Log'!D:D,A441,'QA Log'!M:M,"Data Verification",'QA Log'!Z:Z,"Approved",'QA Log'!L:L,"*Other than P4P (section 6)*"),
COUNTIFS('QA Log'!D:D,A441,'QA Log'!M:M,"Data Verification",'QA Log'!Z:Z,"Approved",'QA Log'!L:L,"*Hospital Governance*")
))</f>
        <v/>
      </c>
      <c r="AG441" s="105" t="str">
        <f>IF(A441&lt;&gt;"",COUNTIFS('QA Log'!D:D,A441,'QA Log'!M:M,"Data Verification",'QA Log'!L:L,"Medicine (section 2)",'QA Log'!Z:Z,"Approved"),"")</f>
        <v/>
      </c>
      <c r="AH441" s="105" t="str">
        <f>IF(A441&lt;&gt;"",COUNTIFS('QA Log'!D:D,A441,'QA Log'!M:M,"Data Verification",'QA Log'!L:L,"Lab Testing Availability",'QA Log'!Z:Z,"Approved"),"")</f>
        <v/>
      </c>
      <c r="AI441" s="105" t="str">
        <f>IF(A441&lt;&gt;"",COUNTIFS('QA Log'!D:D,A441,'QA Log'!M:M,"Data Verification",'QA Log'!L:L,"Other than P4P (section 6)",'QA Log'!Z:Z,"Approved"),"")</f>
        <v/>
      </c>
      <c r="AJ441" s="105" t="str">
        <f>IF(A441&lt;&gt;"",COUNTIFS('QA Log'!D:D,A441,'QA Log'!M:M,"Data Verification",'QA Log'!L:L,"Hospital Governance",'QA Log'!Z:Z,"Approved"),"")</f>
        <v/>
      </c>
      <c r="AK441" s="102" t="str">
        <f>IF(A441="","",
SUM(
COUNTIFS('QA Log'!D:D,A441,'QA Log'!M:M,"Data Verification",'QA Log'!Z:Z,"Rejected",'QA Log'!L:L,"*Medicine (section 2)*"),
COUNTIFS('QA Log'!D:D,A441,'QA Log'!M:M,"Data Verification",'QA Log'!Z:Z,"Rejected",'QA Log'!L:L,"*Lab Testing Availability*"),
COUNTIFS('QA Log'!D:D,A441,'QA Log'!M:M,"Data Verification",'QA Log'!Z:Z,"Rejected",'QA Log'!L:L,"*Other than P4P (section 6)*"),
COUNTIFS('QA Log'!D:D,A441,'QA Log'!M:M,"Data Verification",'QA Log'!Z:Z,"Rejected",'QA Log'!L:L,"*Hospital Governance*")
))</f>
        <v/>
      </c>
      <c r="AL441" s="106" t="str">
        <f t="shared" si="31"/>
        <v/>
      </c>
      <c r="AM441" s="102" t="str">
        <f t="shared" si="32"/>
        <v/>
      </c>
      <c r="AN441" s="102" t="str">
        <f>IF(A441="","",
SUM(
COUNTIFS('QA Log'!D:D,A441,'QA Log'!M:M,"Data Verification",'QA Log'!L:L,"*Personnel (section 1)*"),
COUNTIFS('QA Log'!D:D,A441,'QA Log'!M:M,"Data Verification",'QA Log'!L:L,"*Consumable (section 3)*"),
COUNTIFS('QA Log'!D:D,A441,'QA Log'!M:M,"Data Verification",'QA Log'!L:L,"*Equipments (section 4)*")
))</f>
        <v/>
      </c>
      <c r="AO441" s="102" t="str">
        <f>IF(A441="","",
SUM(
COUNTIFS('QA Log'!D:D,A441,'QA Log'!M:M,"Data Verification",'QA Log'!Z:Z,"Approved",'QA Log'!L:L,"*Personnel (section 1)*"),
COUNTIFS('QA Log'!D:D,A441,'QA Log'!M:M,"Data Verification",'QA Log'!Z:Z,"Approved",'QA Log'!L:L,"*Consumable (section 3)*"),
COUNTIFS('QA Log'!D:D,A441,'QA Log'!M:M,"Data Verification",'QA Log'!Z:Z,"Approved",'QA Log'!L:L,"*Equipments (section 4)*")
))</f>
        <v/>
      </c>
      <c r="AP441" s="105" t="str">
        <f>IF(A441&lt;&gt;"",COUNTIFS('QA Log'!D:D,A441,'QA Log'!M:M,"Data Verification",'QA Log'!L:L,"Personnel (section 1)",'QA Log'!Z:Z,"Approved"),"")</f>
        <v/>
      </c>
      <c r="AQ441" s="105" t="str">
        <f>IF(A441&lt;&gt;"",COUNTIFS('QA Log'!D:D,A441,'QA Log'!M:M,"Data Verification",'QA Log'!L:L,"Consumable (section 3)",'QA Log'!Z:Z,"Approved"),"")</f>
        <v/>
      </c>
      <c r="AR441" s="105" t="str">
        <f>IF(A441&lt;&gt;"",COUNTIFS('QA Log'!D:D,A441,'QA Log'!M:M,"Data Verification",'QA Log'!L:L,"Equipments (section 4)",'QA Log'!Z:Z,"Approved"),"")</f>
        <v/>
      </c>
      <c r="AS441" s="102" t="str">
        <f>IF(A441="","",
SUM(
COUNTIFS('QA Log'!D:D,A441,'QA Log'!M:M,"Data Verification",'QA Log'!Z:Z,"Rejected",'QA Log'!L:L,"*Personnel (section 1)*"),
COUNTIFS('QA Log'!D:D,A441,'QA Log'!M:M,"Data Verification",'QA Log'!Z:Z,"Rejected",'QA Log'!L:L,"*Consumable (section 3)*"),
COUNTIFS('QA Log'!D:D,A441,'QA Log'!M:M,"Data Verification",'QA Log'!Z:Z,"Rejected",'QA Log'!L:L,"*Equipments (section 4)*")
))</f>
        <v/>
      </c>
      <c r="AT441" s="102" t="str">
        <f t="shared" si="33"/>
        <v/>
      </c>
      <c r="AU441" s="103" t="str">
        <f t="shared" si="34"/>
        <v/>
      </c>
      <c r="AV441" s="102" t="str">
        <f>IF(A441="","",SUM(
COUNTIFS('QA Log'!D:D,A441,'QA Log'!M:M,"Vignette",'QA Log'!L:L,"*Vignette [1] Respiratory Infection: Pneumonia*"),
COUNTIFS('QA Log'!D:D,A441,'QA Log'!M:M,"Vignette",'QA Log'!L:L,"*Vignette [2]: Diarrhea with Cat B dehydration*"),
COUNTIFS('QA Log'!D:D,A441,'QA Log'!M:M,"Vignette",'QA Log'!L:L,"*Vignette [3] Growth Monitoring and Promotion*"),
COUNTIFS('QA Log'!D:D,A441,'QA Log'!M:M,"Vignette",'QA Log'!L:L,"*Vignette [4]: The management of presumptive TB patient*")
)
)</f>
        <v/>
      </c>
      <c r="AW441" s="102" t="str">
        <f>IF(
  A441="","",
  SUM(
    COUNTIFS('QA Log'!D:D,A441,'QA Log'!M:M,"Vignette",'QA Log'!Z:Z,"Approved",'QA Log'!L:L,"*Vignette [1] Respiratory Infection: Pneumonia*"),
    COUNTIFS('QA Log'!D:D,A441,'QA Log'!M:M,"Vignette",'QA Log'!Z:Z,"Approved",'QA Log'!L:L,"*Vignette [2]: Diarrhea with Cat B dehydration*"),
    COUNTIFS('QA Log'!D:D,A441,'QA Log'!M:M,"Vignette",'QA Log'!Z:Z,"Approved",'QA Log'!L:L,"*Vignette [3] Growth Monitoring and Promotion*"),
    COUNTIFS('QA Log'!D:D,A441,'QA Log'!M:M,"Vignette",'QA Log'!Z:Z,"Approved",'QA Log'!L:L,"*Vignette [4]: The management of presumptive TB patient*")
  )
)</f>
        <v/>
      </c>
      <c r="AX441" s="105" t="str">
        <f>IF(A441&lt;&gt;"",COUNTIFS('QA Log'!D:D,A441,'QA Log'!M:M,"Vignette",'QA Log'!L:L,"Vignette [1] Respiratory Infection: Pneumonia",'QA Log'!Z:Z,"Approved"),"")</f>
        <v/>
      </c>
      <c r="AY441" s="105" t="str">
        <f>IF(A441&lt;&gt;"",COUNTIFS('QA Log'!D:D,A441,'QA Log'!M:M,"Vignette",'QA Log'!L:L,"Vignette [2]: Diarrhea with Cat B dehydration",'QA Log'!Z:Z,"Approved"),"")</f>
        <v/>
      </c>
      <c r="AZ441" s="105" t="str">
        <f>IF(A441&lt;&gt;"",COUNTIFS('QA Log'!D:D,A441,'QA Log'!M:M,"Vignette",'QA Log'!L:L,"Vignette [3] Growth Monitoring and Promotion",'QA Log'!Z:Z,"Approved"),"")</f>
        <v/>
      </c>
      <c r="BA441" s="105" t="str">
        <f>IF(A441&lt;&gt;"",COUNTIFS('QA Log'!D:D,A441,'QA Log'!M:M,"Vignette",'QA Log'!L:L,"Vignette [4]: The management of presumptive TB patient",'QA Log'!Z:Z,"Approved"),"")</f>
        <v/>
      </c>
      <c r="BB441" s="102" t="str">
        <f>IF(A441="","",
  SUM(
    COUNTIFS('QA Log'!D:D,A441,'QA Log'!M:M,"Vignette",'QA Log'!Z:Z,"Rejected",'QA Log'!L:L,"*Vignette [1] Respiratory Infection: Pneumonia*"),
    COUNTIFS('QA Log'!D:D,A441,'QA Log'!M:M,"Vignette",'QA Log'!Z:Z,"Rejected",'QA Log'!L:L,"*Vignette [2]: Diarrhea with Cat B dehydration*"),
    COUNTIFS('QA Log'!D:D,A441,'QA Log'!M:M,"Vignette",'QA Log'!Z:Z,"Rejected",'QA Log'!L:L,"*Vignette [3] Growth Monitoring and Promotion*"),
    COUNTIFS('QA Log'!D:D,A441,'QA Log'!M:M,"Vignette",'QA Log'!Z:Z,"Rejected",'QA Log'!L:L,"*Vignette [4]: The management of presumptive TB patient*")
  )
)</f>
        <v/>
      </c>
      <c r="BC441" s="107" t="str">
        <f t="shared" si="35"/>
        <v/>
      </c>
      <c r="BD441" s="103" t="str">
        <f t="shared" si="36"/>
        <v/>
      </c>
      <c r="BE441" s="102" t="str">
        <f>IF(A441="","",SUM(
COUNTIFS('QA Log'!D:D,A441,'QA Log'!M:M,"Vignette",'QA Log'!L:L,"*Vignette [5] Labor*"),
COUNTIFS('QA Log'!D:D,A441,'QA Log'!M:M,"Vignette",'QA Log'!L:L,"*Vignette [6] PNC pre Discharge*"),
COUNTIFS('QA Log'!D:D,A441,'QA Log'!M:M,"Vignette",'QA Log'!L:L,"*Vignette [7] First ANC Visit*"),
COUNTIFS('QA Log'!D:D,A441,'QA Log'!M:M,"Vignette",'QA Log'!L:L,"*Vignette [8] Birth Spacing/ Family Planning :  FP Counselling*"),
COUNTIFS('QA Log'!D:D,A441,'QA Log'!M:M,"Vignette",'QA Log'!L:L,"*Vignette [9] Birth Spacing: Change FP method to Injectable*"),
COUNTIFS('QA Log'!D:D,A441,'QA Log'!M:M,"Vignette",'QA Log'!L:L,"*Vignette [10] Post Partum Haemorrhage - Atonic Uterus at Health Centre*"),
)
)</f>
        <v/>
      </c>
      <c r="BF441" s="102" t="str">
        <f>IF(A441="","",
  SUM(
    COUNTIFS('QA Log'!D:D,A441,'QA Log'!M:M,"Vignette",'QA Log'!Z:Z,"Approved",'QA Log'!L:L,"*Vignette [5] Labor*"),
    COUNTIFS('QA Log'!D:D,A441,'QA Log'!M:M,"Vignette",'QA Log'!Z:Z,"Approved",'QA Log'!L:L,"*Vignette [6] PNC pre Discharge*"),
    COUNTIFS('QA Log'!D:D,A441,'QA Log'!M:M,"Vignette",'QA Log'!Z:Z,"Approved",'QA Log'!L:L,"*Vignette [7] First ANC Visit*"),
    COUNTIFS('QA Log'!D:D,A441,'QA Log'!M:M,"Vignette",'QA Log'!Z:Z,"Approved",'QA Log'!L:L,"*Vignette [8] Birth Spacing/ Family Planning :  FP Counselling*"),
    COUNTIFS('QA Log'!D:D,A441,'QA Log'!M:M,"Vignette",'QA Log'!Z:Z,"Approved",'QA Log'!L:L,"*Vignette [9] Birth Spacing: Change FP method to Injectable*"),
    COUNTIFS('QA Log'!D:D,A441,'QA Log'!M:M,"Vignette",'QA Log'!Z:Z,"Approved",'QA Log'!L:L,"*Vignette [10] Post Partum Haemorrhage - Atonic Uterus at Health Centre*")
  )
)</f>
        <v/>
      </c>
      <c r="BG441" s="105" t="str">
        <f>IF(A441&lt;&gt;"",COUNTIFS('QA Log'!D:D,A441,'QA Log'!M:M,"Vignette",'QA Log'!L:L,"Vignette [5] Labor",'QA Log'!Z:Z,"Approved"),"")</f>
        <v/>
      </c>
      <c r="BH441" s="105" t="str">
        <f>IF(A441&lt;&gt;"",COUNTIFS('QA Log'!D:D,A441,'QA Log'!M:M,"Vignette",'QA Log'!L:L,"Vignette [6] PNC pre Discharge",'QA Log'!Z:Z,"Approved"),"")</f>
        <v/>
      </c>
      <c r="BI441" s="105" t="str">
        <f>IF(A441&lt;&gt;"",COUNTIFS('QA Log'!D:D,A441,'QA Log'!M:M,"Vignette",'QA Log'!L:L,"Vignette [7] First ANC Visit",'QA Log'!Z:Z,"Approved"),"")</f>
        <v/>
      </c>
      <c r="BJ441" s="105" t="str">
        <f>IF(A441&lt;&gt;"",COUNTIFS('QA Log'!D:D,A441,'QA Log'!M:M,"Vignette",'QA Log'!L:L,"Vignette [8] Birth Spacing/ Family Planning :  FP Counselling",'QA Log'!Z:Z,"Approved"),"")</f>
        <v/>
      </c>
      <c r="BK441" s="105" t="str">
        <f>IF(A441&lt;&gt;"",COUNTIFS('QA Log'!D:D,A441,'QA Log'!M:M,"Vignette",'QA Log'!L:L,"Vignette [9] Birth Spacing: Change FP method to Injectable",'QA Log'!Z:Z,"Approved"),"")</f>
        <v/>
      </c>
      <c r="BL441" s="105" t="str">
        <f>IF(A441&lt;&gt;"",COUNTIFS('QA Log'!D:D,A441,'QA Log'!M:M,"Vignette",'QA Log'!L:L,"Vignette [10] Post Partum Haemorrhage - Atonic Uterus at Health Centre",'QA Log'!Z:Z,"Approved"),"")</f>
        <v/>
      </c>
      <c r="BM441" s="102" t="str">
        <f>IF(A441="","",SUM(
    COUNTIFS('QA Log'!D:D,A441,'QA Log'!M:M,"Vignette",'QA Log'!Z:Z,"Rejected",'QA Log'!L:L,"*Vignette [5] Labor*"),
    COUNTIFS('QA Log'!D:D,A441,'QA Log'!M:M,"Vignette",'QA Log'!Z:Z,"Rejected",'QA Log'!L:L,"*Vignette [6] PNC pre Discharge*"),
    COUNTIFS('QA Log'!D:D,A441,'QA Log'!M:M,"Vignette",'QA Log'!Z:Z,"Rejected",'QA Log'!L:L,"*Vignette [7] First ANC Visit*"),
    COUNTIFS('QA Log'!D:D,A441,'QA Log'!M:M,"Vignette",'QA Log'!Z:Z,"Rejected",'QA Log'!L:L,"*Vignette [8] Birth Spacing/ Family Planning :  FP Counselling*"),
    COUNTIFS('QA Log'!D:D,A441,'QA Log'!M:M,"Vignette",'QA Log'!Z:Z,"Rejected",'QA Log'!L:L,"*Vignette [9] Birth Spacing: Change FP method to Injectable*"),
    COUNTIFS('QA Log'!D:D,A441,'QA Log'!M:M,"Vignette",'QA Log'!Z:Z,"Rejected",'QA Log'!L:L,"*Vignette [10] Post Partum Haemorrhage - Atonic Uterus at Health Centre*")
  )
)</f>
        <v/>
      </c>
      <c r="BN441" s="107" t="str">
        <f t="shared" si="37"/>
        <v/>
      </c>
      <c r="BO441" s="103" t="str">
        <f t="shared" si="38"/>
        <v/>
      </c>
      <c r="BP441" s="102" t="str">
        <f>IF(A441="","",SUM(
COUNTIFS('QA Log'!D:D,A441,'QA Log'!M:M,"Vignette",'QA Log'!L:L,"*Exit Interview 1*"),
COUNTIFS('QA Log'!D:D,A441,'QA Log'!M:M,"Vignette",'QA Log'!L:L,"*Exit Interview 2*"),
)
)</f>
        <v/>
      </c>
      <c r="BQ441" s="102" t="str">
        <f>IF(
  A441="","",
  SUM(
    COUNTIFS('QA Log'!D:D,A441,'QA Log'!M:M,"Vignette",'QA Log'!Z:Z,"Approved",'QA Log'!L:L,"*Exit Interview 1*"),
    COUNTIFS('QA Log'!D:D,A441,'QA Log'!M:M,"Vignette",'QA Log'!Z:Z,"Approved",'QA Log'!L:L,"*Exit Interview 2*")
  )
)</f>
        <v/>
      </c>
      <c r="BR441" s="105" t="str">
        <f>IF(A441&lt;&gt;"",COUNTIFS('QA Log'!D:D,A441,'QA Log'!M:M,"Vignette",'QA Log'!L:L,"Exit Interview 1",'QA Log'!Z:Z,"Approved"),"")</f>
        <v/>
      </c>
      <c r="BS441" s="105" t="str">
        <f>IF(A441&lt;&gt;"",COUNTIFS('QA Log'!D:D,A441,'QA Log'!M:M,"Vignette",'QA Log'!L:L,"Exit Interview 2",'QA Log'!Z:Z,"Approved"),"")</f>
        <v/>
      </c>
      <c r="BT441" s="102" t="str">
        <f>IF(
  A441="","",
  SUM(
    COUNTIFS('QA Log'!D:D,A441,'QA Log'!M:M,"Vignette",'QA Log'!Z:Z,"Rejected",'QA Log'!L:L,"*Exit Interview 1*"),
    COUNTIFS('QA Log'!D:D,A441,'QA Log'!M:M,"Vignette",'QA Log'!Z:Z,"Rejected",'QA Log'!L:L,"*Exit Interview 2*")
  )
)</f>
        <v/>
      </c>
      <c r="BU441" s="107" t="str">
        <f t="shared" si="39"/>
        <v/>
      </c>
      <c r="BV441" s="102" t="str">
        <f t="shared" si="40"/>
        <v/>
      </c>
      <c r="BW441" s="102" t="str">
        <f t="shared" si="41"/>
        <v/>
      </c>
      <c r="BX441" s="102" t="str">
        <f t="shared" si="42"/>
        <v/>
      </c>
      <c r="BY441" s="102" t="str">
        <f t="shared" si="43"/>
        <v/>
      </c>
      <c r="BZ441" s="107" t="str">
        <f t="shared" si="44"/>
        <v/>
      </c>
      <c r="CA441" s="108" t="str">
        <f t="shared" si="45"/>
        <v/>
      </c>
      <c r="CB441" s="108" t="str">
        <f t="shared" si="46"/>
        <v/>
      </c>
      <c r="CC441" s="109" t="str">
        <f t="shared" si="47"/>
        <v/>
      </c>
      <c r="CD441" s="108" t="str">
        <f t="shared" si="48"/>
        <v/>
      </c>
      <c r="CE441" s="108" t="str">
        <f t="shared" si="49"/>
        <v/>
      </c>
      <c r="CF441" s="109" t="str">
        <f t="shared" si="50"/>
        <v/>
      </c>
      <c r="CG441" s="110" t="str">
        <f t="shared" si="51"/>
        <v/>
      </c>
      <c r="CH441" s="111"/>
    </row>
    <row r="442" spans="1:86" ht="12.75">
      <c r="A442" s="101"/>
      <c r="B442" s="102" t="e">
        <f t="array" aca="1" ref="B442" ca="1">_xludf.XLOOKUP(A442,'QA Log'!D:D,'QA Log'!E:E,"")</f>
        <v>#NAME?</v>
      </c>
      <c r="C442" s="102" t="e">
        <f t="array" aca="1" ref="C442" ca="1">_xludf.XLOOKUP(A442,'QA Log'!D:D,'QA Log'!F:F,"")</f>
        <v>#NAME?</v>
      </c>
      <c r="D442" s="102" t="e">
        <f t="array" aca="1" ref="D442" ca="1">_xludf.XLOOKUP(A442,'QA Log'!D:D,'QA Log'!H:H,"")</f>
        <v>#NAME?</v>
      </c>
      <c r="E442" s="102" t="e">
        <f t="array" aca="1" ref="E442" ca="1">_xludf.XLOOKUP(A442,'QA Log'!D:D,'QA Log'!G:G,"")</f>
        <v>#NAME?</v>
      </c>
      <c r="F442" s="103"/>
      <c r="G442" s="104"/>
      <c r="H442" s="104"/>
      <c r="I442" s="103" t="str">
        <f t="shared" si="26"/>
        <v/>
      </c>
      <c r="J442" s="102" t="str">
        <f>IF(A442="","",SUM(
COUNTIFS('QA Log'!D:D,A442,'QA Log'!M:M,"QQC",'QA Log'!L:L,"*1. General Management*"),
COUNTIFS('QA Log'!D:D,A442,'QA Log'!M:M,"QQC",'QA Log'!L:L,"*3. Curative Consultation (OPD)*"),
COUNTIFS('QA Log'!D:D,A442,'QA Log'!M:M,"QQC",'QA Log'!L:L,"*5. Laboratory*"),
COUNTIFS('QA Log'!D:D,A442,'QA Log'!M:M,"QQC",'QA Log'!L:L,"*6. Essential Medicine Management*"),
COUNTIFS('QA Log'!D:D,A442,'QA Log'!M:M,"QQC",'QA Log'!L:L,"*7. Tracer Medicine*"),
COUNTIFS('QA Log'!D:D,A442,'QA Log'!M:M,"QQC",'QA Log'!L:L,"*11. Additional Questions*")))</f>
        <v/>
      </c>
      <c r="K442" s="102" t="str">
        <f>IF(A442="","",SUM(
COUNTIFS('QA Log'!D:D,A442,'QA Log'!M:M,"QQC",'QA Log'!Z:Z,"Approved",'QA Log'!L:L,"*1. General Management*"),
COUNTIFS('QA Log'!D:D,A442,'QA Log'!M:M,"QQC",'QA Log'!Z:Z,"Approved",'QA Log'!L:L,"*3. Curative Consultation (OPD)*"),
COUNTIFS('QA Log'!D:D,A442,'QA Log'!M:M,"QQC",'QA Log'!Z:Z,"Approved",'QA Log'!L:L,"*5. Laboratory*"),
COUNTIFS('QA Log'!D:D,A442,'QA Log'!M:M,"QQC",'QA Log'!Z:Z,"Approved",'QA Log'!L:L,"*6. Essential Medicine Management*"),
COUNTIFS('QA Log'!D:D,A442,'QA Log'!M:M,"QQC",'QA Log'!Z:Z,"Approved",'QA Log'!L:L,"*7. Tracer Medicine*"),
COUNTIFS('QA Log'!D:D,A442,'QA Log'!M:M,"QQC",'QA Log'!Z:Z,"Approved",'QA Log'!L:L,"*11. Additional Questions*")))</f>
        <v/>
      </c>
      <c r="L442" s="102" t="str">
        <f>IF(A442&lt;&gt;"",COUNTIFS('QA Log'!D:D,A442,'QA Log'!M:M,"QQC",'QA Log'!L:L,"1. General Management",'QA Log'!Z:Z,"Approved"),"")</f>
        <v/>
      </c>
      <c r="M442" s="102" t="str">
        <f>IF(A442&lt;&gt;"",COUNTIFS('QA Log'!D:D,A442,'QA Log'!M:M,"QQC",'QA Log'!L:L,"3. Curative Consultation (OPD)",'QA Log'!Z:Z,"Approved"),"")</f>
        <v/>
      </c>
      <c r="N442" s="102" t="str">
        <f>IF(A442&lt;&gt;"",COUNTIFS('QA Log'!D:D,A442,'QA Log'!M:M,"QQC",'QA Log'!L:L,"5. Laboratory",'QA Log'!Z:Z,"Approved"),"")</f>
        <v/>
      </c>
      <c r="O442" s="102" t="str">
        <f>IF(A442&lt;&gt;"",COUNTIFS('QA Log'!D:D,A442,'QA Log'!M:M,"QQC",'QA Log'!L:L,"6. Essential Medicine Management",'QA Log'!Z:Z,"Approved"),"")</f>
        <v/>
      </c>
      <c r="P442" s="102" t="str">
        <f>IF(A442&lt;&gt;"",COUNTIFS('QA Log'!D:D,A442,'QA Log'!M:M,"QQC",'QA Log'!L:L,"7. Tracer Medicine",'QA Log'!Z:Z,"Approved"),"")</f>
        <v/>
      </c>
      <c r="Q442" s="102" t="str">
        <f>IF(A442&lt;&gt;"",COUNTIFS('QA Log'!D:D,A442,'QA Log'!M:M,"QQC",'QA Log'!L:L,"11. Additional Questions",'QA Log'!Z:Z,"Approved"),"")</f>
        <v/>
      </c>
      <c r="R442" s="102" t="str">
        <f>IF(A442="","",SUM(
COUNTIFS('QA Log'!D:D,A442,'QA Log'!M:M,"QQC",'QA Log'!Z:Z,"Rejected",'QA Log'!L:L,"*8. Maternity*"),
COUNTIFS('QA Log'!D:D,A442,'QA Log'!M:M,"QQC",'QA Log'!Z:Z,"Rejected",'QA Log'!L:L,"*EPI*"),
COUNTIFS('QA Log'!D:D,A442,'QA Log'!M:M,"QQC",'QA Log'!Z:Z,"Rejected",'QA Log'!L:L,"*10. Antenatal Care (ANC)*"),
COUNTIFS('QA Log'!D:D,A442,'QA Log'!M:M,"QQC",'QA Log'!Z:Z,"Rejected",'QA Log'!L:L,"*2. Hygiene and Sterilization*"),
COUNTIFS('QA Log'!D:D,A442,'QA Log'!M:M,"QQC",'QA Log'!Z:Z,"Rejected",'QA Log'!L:L,"*Family Planning*")))</f>
        <v/>
      </c>
      <c r="S442" s="106" t="str">
        <f t="shared" si="27"/>
        <v/>
      </c>
      <c r="T442" s="102" t="str">
        <f t="shared" si="28"/>
        <v/>
      </c>
      <c r="U442" s="102" t="str">
        <f>IF(A442="","",
SUM(
COUNTIFS('QA Log'!D:D,A442,'QA Log'!M:M,"QQC",'QA Log'!L:L,"*8. Maternity*"),
COUNTIFS('QA Log'!D:D,A442,'QA Log'!M:M,"QQC",'QA Log'!L:L,"*9. EPI and Pre-school Consultation*"),
COUNTIFS('QA Log'!D:D,A442,'QA Log'!M:M,"QQC",'QA Log'!L:L,"*10. Antenatal Care (ANC)*"),
COUNTIFS('QA Log'!D:D,A442,'QA Log'!M:M,"QQC",'QA Log'!L:L,"*2. Hygiene and Sterilization*"),
COUNTIFS('QA Log'!D:D,A442,'QA Log'!M:M,"QQC",'QA Log'!L:L,"*4. Family Planning*")
))</f>
        <v/>
      </c>
      <c r="V442" s="102" t="str">
        <f>IF(A442="","",
SUM(
COUNTIFS('QA Log'!D:D,A442,'QA Log'!M:M,"QQC",'QA Log'!Z:Z,"Approved",'QA Log'!L:L,"*8. Maternity*"),
COUNTIFS('QA Log'!D:D,A442,'QA Log'!M:M,"QQC",'QA Log'!Z:Z,"Approved",'QA Log'!L:L,"*9. EPI and Pre-school Consultation*"),
COUNTIFS('QA Log'!D:D,A442,'QA Log'!M:M,"QQC",'QA Log'!Z:Z,"Approved",'QA Log'!L:L,"*10. Antenatal Care (ANC)*"),
COUNTIFS('QA Log'!D:D,A442,'QA Log'!M:M,"QQC",'QA Log'!Z:Z,"Approved",'QA Log'!L:L,"*2. Hygiene and Sterilization*"),
COUNTIFS('QA Log'!D:D,A442,'QA Log'!M:M,"QQC",'QA Log'!Z:Z,"Approved",'QA Log'!L:L,"*4. Family Planning*")
))</f>
        <v/>
      </c>
      <c r="W442" s="102" t="str">
        <f>IF(A442&lt;&gt;"",COUNTIFS('QA Log'!D:D,A442,'QA Log'!M:M,"QQC",'QA Log'!L:L,"8. Maternity",'QA Log'!Z:Z,"Approved"),"")</f>
        <v/>
      </c>
      <c r="X442" s="105" t="str">
        <f>IF(A442&lt;&gt;"",COUNTIFS('QA Log'!D:D,A442,'QA Log'!M:M,"QQC",'QA Log'!L:L,"9. EPI and Pre-school Consultation",'QA Log'!Z:Z,"Approved"),"")</f>
        <v/>
      </c>
      <c r="Y442" s="102" t="str">
        <f>IF(A442&lt;&gt;"",COUNTIFS('QA Log'!D:D,A442,'QA Log'!M:M,"QQC",'QA Log'!L:L,"10. Antenatal Care (ANC)",'QA Log'!Z:Z,"Approved"),"")</f>
        <v/>
      </c>
      <c r="Z442" s="102" t="str">
        <f>IF(A442&lt;&gt;"",COUNTIFS('QA Log'!D:D,A442,'QA Log'!M:M,"QQC",'QA Log'!L:L,"2. Hygiene and Sterilization",'QA Log'!Z:Z,"Approved"),"")</f>
        <v/>
      </c>
      <c r="AA442" s="105" t="str">
        <f>IF(A442&lt;&gt;"",COUNTIFS('QA Log'!D:D,A442,'QA Log'!M:M,"QQC",'QA Log'!L:L,"4. Family Planning",'QA Log'!Z:Z,"Approved"),"")</f>
        <v/>
      </c>
      <c r="AB442" s="102" t="str">
        <f>IF(A442="","",
SUM(
COUNTIFS('QA Log'!D:D,A442,'QA Log'!M:M,"QQC",'QA Log'!Z:Z,"Rejected",'QA Log'!L:L,"*8. Maternity*"),
COUNTIFS('QA Log'!D:D,A442,'QA Log'!M:M,"QQC",'QA Log'!Z:Z,"Rejected",'QA Log'!L:L,"*9. EPI and Pre-school Consultation*"),
COUNTIFS('QA Log'!D:D,A442,'QA Log'!M:M,"QQC",'QA Log'!Z:Z,"Rejected",'QA Log'!L:L,"*10. Antenatal Care (ANC)*"),
COUNTIFS('QA Log'!D:D,A442,'QA Log'!M:M,"QQC",'QA Log'!Z:Z,"Rejected",'QA Log'!L:L,"*2. Hygiene and Sterilization*"),
COUNTIFS('QA Log'!D:D,A442,'QA Log'!M:M,"QQC",'QA Log'!Z:Z,"Rejected",'QA Log'!L:L,"*4. Family Planning*")
))</f>
        <v/>
      </c>
      <c r="AC442" s="102" t="str">
        <f t="shared" si="29"/>
        <v/>
      </c>
      <c r="AD442" s="103" t="str">
        <f t="shared" si="30"/>
        <v/>
      </c>
      <c r="AE442" s="102" t="str">
        <f>IF(A442="","",
SUM(
COUNTIFS('QA Log'!D:D,A442,'QA Log'!M:M,"Data Verification",'QA Log'!L:L,"*Medicine (section 2)*"),
COUNTIFS('QA Log'!D:D,A442,'QA Log'!M:M,"Data Verification",'QA Log'!L:L,"*Lab Testing Availability*"),
COUNTIFS('QA Log'!D:D,A442,'QA Log'!M:M,"Data Verification",'QA Log'!L:L,"*Other than P4P (section 6)*"),
COUNTIFS('QA Log'!D:D,A442,'QA Log'!M:M,"Data Verification",'QA Log'!L:L,"*Hospital Governance*")
))</f>
        <v/>
      </c>
      <c r="AF442" s="102" t="str">
        <f>IF(A442="","",
SUM(
COUNTIFS('QA Log'!D:D,A442,'QA Log'!M:M,"Data Verification",'QA Log'!Z:Z,"Approved",'QA Log'!L:L,"*Medicine (section 2)*"),
COUNTIFS('QA Log'!D:D,A442,'QA Log'!M:M,"Data Verification",'QA Log'!Z:Z,"Approved",'QA Log'!L:L,"*Lab Testing Availability*"),
COUNTIFS('QA Log'!D:D,A442,'QA Log'!M:M,"Data Verification",'QA Log'!Z:Z,"Approved",'QA Log'!L:L,"*Other than P4P (section 6)*"),
COUNTIFS('QA Log'!D:D,A442,'QA Log'!M:M,"Data Verification",'QA Log'!Z:Z,"Approved",'QA Log'!L:L,"*Hospital Governance*")
))</f>
        <v/>
      </c>
      <c r="AG442" s="105" t="str">
        <f>IF(A442&lt;&gt;"",COUNTIFS('QA Log'!D:D,A442,'QA Log'!M:M,"Data Verification",'QA Log'!L:L,"Medicine (section 2)",'QA Log'!Z:Z,"Approved"),"")</f>
        <v/>
      </c>
      <c r="AH442" s="105" t="str">
        <f>IF(A442&lt;&gt;"",COUNTIFS('QA Log'!D:D,A442,'QA Log'!M:M,"Data Verification",'QA Log'!L:L,"Lab Testing Availability",'QA Log'!Z:Z,"Approved"),"")</f>
        <v/>
      </c>
      <c r="AI442" s="105" t="str">
        <f>IF(A442&lt;&gt;"",COUNTIFS('QA Log'!D:D,A442,'QA Log'!M:M,"Data Verification",'QA Log'!L:L,"Other than P4P (section 6)",'QA Log'!Z:Z,"Approved"),"")</f>
        <v/>
      </c>
      <c r="AJ442" s="105" t="str">
        <f>IF(A442&lt;&gt;"",COUNTIFS('QA Log'!D:D,A442,'QA Log'!M:M,"Data Verification",'QA Log'!L:L,"Hospital Governance",'QA Log'!Z:Z,"Approved"),"")</f>
        <v/>
      </c>
      <c r="AK442" s="102" t="str">
        <f>IF(A442="","",
SUM(
COUNTIFS('QA Log'!D:D,A442,'QA Log'!M:M,"Data Verification",'QA Log'!Z:Z,"Rejected",'QA Log'!L:L,"*Medicine (section 2)*"),
COUNTIFS('QA Log'!D:D,A442,'QA Log'!M:M,"Data Verification",'QA Log'!Z:Z,"Rejected",'QA Log'!L:L,"*Lab Testing Availability*"),
COUNTIFS('QA Log'!D:D,A442,'QA Log'!M:M,"Data Verification",'QA Log'!Z:Z,"Rejected",'QA Log'!L:L,"*Other than P4P (section 6)*"),
COUNTIFS('QA Log'!D:D,A442,'QA Log'!M:M,"Data Verification",'QA Log'!Z:Z,"Rejected",'QA Log'!L:L,"*Hospital Governance*")
))</f>
        <v/>
      </c>
      <c r="AL442" s="106" t="str">
        <f t="shared" si="31"/>
        <v/>
      </c>
      <c r="AM442" s="102" t="str">
        <f t="shared" si="32"/>
        <v/>
      </c>
      <c r="AN442" s="102" t="str">
        <f>IF(A442="","",
SUM(
COUNTIFS('QA Log'!D:D,A442,'QA Log'!M:M,"Data Verification",'QA Log'!L:L,"*Personnel (section 1)*"),
COUNTIFS('QA Log'!D:D,A442,'QA Log'!M:M,"Data Verification",'QA Log'!L:L,"*Consumable (section 3)*"),
COUNTIFS('QA Log'!D:D,A442,'QA Log'!M:M,"Data Verification",'QA Log'!L:L,"*Equipments (section 4)*")
))</f>
        <v/>
      </c>
      <c r="AO442" s="102" t="str">
        <f>IF(A442="","",
SUM(
COUNTIFS('QA Log'!D:D,A442,'QA Log'!M:M,"Data Verification",'QA Log'!Z:Z,"Approved",'QA Log'!L:L,"*Personnel (section 1)*"),
COUNTIFS('QA Log'!D:D,A442,'QA Log'!M:M,"Data Verification",'QA Log'!Z:Z,"Approved",'QA Log'!L:L,"*Consumable (section 3)*"),
COUNTIFS('QA Log'!D:D,A442,'QA Log'!M:M,"Data Verification",'QA Log'!Z:Z,"Approved",'QA Log'!L:L,"*Equipments (section 4)*")
))</f>
        <v/>
      </c>
      <c r="AP442" s="105" t="str">
        <f>IF(A442&lt;&gt;"",COUNTIFS('QA Log'!D:D,A442,'QA Log'!M:M,"Data Verification",'QA Log'!L:L,"Personnel (section 1)",'QA Log'!Z:Z,"Approved"),"")</f>
        <v/>
      </c>
      <c r="AQ442" s="105" t="str">
        <f>IF(A442&lt;&gt;"",COUNTIFS('QA Log'!D:D,A442,'QA Log'!M:M,"Data Verification",'QA Log'!L:L,"Consumable (section 3)",'QA Log'!Z:Z,"Approved"),"")</f>
        <v/>
      </c>
      <c r="AR442" s="105" t="str">
        <f>IF(A442&lt;&gt;"",COUNTIFS('QA Log'!D:D,A442,'QA Log'!M:M,"Data Verification",'QA Log'!L:L,"Equipments (section 4)",'QA Log'!Z:Z,"Approved"),"")</f>
        <v/>
      </c>
      <c r="AS442" s="102" t="str">
        <f>IF(A442="","",
SUM(
COUNTIFS('QA Log'!D:D,A442,'QA Log'!M:M,"Data Verification",'QA Log'!Z:Z,"Rejected",'QA Log'!L:L,"*Personnel (section 1)*"),
COUNTIFS('QA Log'!D:D,A442,'QA Log'!M:M,"Data Verification",'QA Log'!Z:Z,"Rejected",'QA Log'!L:L,"*Consumable (section 3)*"),
COUNTIFS('QA Log'!D:D,A442,'QA Log'!M:M,"Data Verification",'QA Log'!Z:Z,"Rejected",'QA Log'!L:L,"*Equipments (section 4)*")
))</f>
        <v/>
      </c>
      <c r="AT442" s="102" t="str">
        <f t="shared" si="33"/>
        <v/>
      </c>
      <c r="AU442" s="103" t="str">
        <f t="shared" si="34"/>
        <v/>
      </c>
      <c r="AV442" s="102" t="str">
        <f>IF(A442="","",SUM(
COUNTIFS('QA Log'!D:D,A442,'QA Log'!M:M,"Vignette",'QA Log'!L:L,"*Vignette [1] Respiratory Infection: Pneumonia*"),
COUNTIFS('QA Log'!D:D,A442,'QA Log'!M:M,"Vignette",'QA Log'!L:L,"*Vignette [2]: Diarrhea with Cat B dehydration*"),
COUNTIFS('QA Log'!D:D,A442,'QA Log'!M:M,"Vignette",'QA Log'!L:L,"*Vignette [3] Growth Monitoring and Promotion*"),
COUNTIFS('QA Log'!D:D,A442,'QA Log'!M:M,"Vignette",'QA Log'!L:L,"*Vignette [4]: The management of presumptive TB patient*")
)
)</f>
        <v/>
      </c>
      <c r="AW442" s="102" t="str">
        <f>IF(
  A442="","",
  SUM(
    COUNTIFS('QA Log'!D:D,A442,'QA Log'!M:M,"Vignette",'QA Log'!Z:Z,"Approved",'QA Log'!L:L,"*Vignette [1] Respiratory Infection: Pneumonia*"),
    COUNTIFS('QA Log'!D:D,A442,'QA Log'!M:M,"Vignette",'QA Log'!Z:Z,"Approved",'QA Log'!L:L,"*Vignette [2]: Diarrhea with Cat B dehydration*"),
    COUNTIFS('QA Log'!D:D,A442,'QA Log'!M:M,"Vignette",'QA Log'!Z:Z,"Approved",'QA Log'!L:L,"*Vignette [3] Growth Monitoring and Promotion*"),
    COUNTIFS('QA Log'!D:D,A442,'QA Log'!M:M,"Vignette",'QA Log'!Z:Z,"Approved",'QA Log'!L:L,"*Vignette [4]: The management of presumptive TB patient*")
  )
)</f>
        <v/>
      </c>
      <c r="AX442" s="105" t="str">
        <f>IF(A442&lt;&gt;"",COUNTIFS('QA Log'!D:D,A442,'QA Log'!M:M,"Vignette",'QA Log'!L:L,"Vignette [1] Respiratory Infection: Pneumonia",'QA Log'!Z:Z,"Approved"),"")</f>
        <v/>
      </c>
      <c r="AY442" s="105" t="str">
        <f>IF(A442&lt;&gt;"",COUNTIFS('QA Log'!D:D,A442,'QA Log'!M:M,"Vignette",'QA Log'!L:L,"Vignette [2]: Diarrhea with Cat B dehydration",'QA Log'!Z:Z,"Approved"),"")</f>
        <v/>
      </c>
      <c r="AZ442" s="105" t="str">
        <f>IF(A442&lt;&gt;"",COUNTIFS('QA Log'!D:D,A442,'QA Log'!M:M,"Vignette",'QA Log'!L:L,"Vignette [3] Growth Monitoring and Promotion",'QA Log'!Z:Z,"Approved"),"")</f>
        <v/>
      </c>
      <c r="BA442" s="105" t="str">
        <f>IF(A442&lt;&gt;"",COUNTIFS('QA Log'!D:D,A442,'QA Log'!M:M,"Vignette",'QA Log'!L:L,"Vignette [4]: The management of presumptive TB patient",'QA Log'!Z:Z,"Approved"),"")</f>
        <v/>
      </c>
      <c r="BB442" s="102" t="str">
        <f>IF(A442="","",
  SUM(
    COUNTIFS('QA Log'!D:D,A442,'QA Log'!M:M,"Vignette",'QA Log'!Z:Z,"Rejected",'QA Log'!L:L,"*Vignette [1] Respiratory Infection: Pneumonia*"),
    COUNTIFS('QA Log'!D:D,A442,'QA Log'!M:M,"Vignette",'QA Log'!Z:Z,"Rejected",'QA Log'!L:L,"*Vignette [2]: Diarrhea with Cat B dehydration*"),
    COUNTIFS('QA Log'!D:D,A442,'QA Log'!M:M,"Vignette",'QA Log'!Z:Z,"Rejected",'QA Log'!L:L,"*Vignette [3] Growth Monitoring and Promotion*"),
    COUNTIFS('QA Log'!D:D,A442,'QA Log'!M:M,"Vignette",'QA Log'!Z:Z,"Rejected",'QA Log'!L:L,"*Vignette [4]: The management of presumptive TB patient*")
  )
)</f>
        <v/>
      </c>
      <c r="BC442" s="107" t="str">
        <f t="shared" si="35"/>
        <v/>
      </c>
      <c r="BD442" s="103" t="str">
        <f t="shared" si="36"/>
        <v/>
      </c>
      <c r="BE442" s="102" t="str">
        <f>IF(A442="","",SUM(
COUNTIFS('QA Log'!D:D,A442,'QA Log'!M:M,"Vignette",'QA Log'!L:L,"*Vignette [5] Labor*"),
COUNTIFS('QA Log'!D:D,A442,'QA Log'!M:M,"Vignette",'QA Log'!L:L,"*Vignette [6] PNC pre Discharge*"),
COUNTIFS('QA Log'!D:D,A442,'QA Log'!M:M,"Vignette",'QA Log'!L:L,"*Vignette [7] First ANC Visit*"),
COUNTIFS('QA Log'!D:D,A442,'QA Log'!M:M,"Vignette",'QA Log'!L:L,"*Vignette [8] Birth Spacing/ Family Planning :  FP Counselling*"),
COUNTIFS('QA Log'!D:D,A442,'QA Log'!M:M,"Vignette",'QA Log'!L:L,"*Vignette [9] Birth Spacing: Change FP method to Injectable*"),
COUNTIFS('QA Log'!D:D,A442,'QA Log'!M:M,"Vignette",'QA Log'!L:L,"*Vignette [10] Post Partum Haemorrhage - Atonic Uterus at Health Centre*"),
)
)</f>
        <v/>
      </c>
      <c r="BF442" s="102" t="str">
        <f>IF(A442="","",
  SUM(
    COUNTIFS('QA Log'!D:D,A442,'QA Log'!M:M,"Vignette",'QA Log'!Z:Z,"Approved",'QA Log'!L:L,"*Vignette [5] Labor*"),
    COUNTIFS('QA Log'!D:D,A442,'QA Log'!M:M,"Vignette",'QA Log'!Z:Z,"Approved",'QA Log'!L:L,"*Vignette [6] PNC pre Discharge*"),
    COUNTIFS('QA Log'!D:D,A442,'QA Log'!M:M,"Vignette",'QA Log'!Z:Z,"Approved",'QA Log'!L:L,"*Vignette [7] First ANC Visit*"),
    COUNTIFS('QA Log'!D:D,A442,'QA Log'!M:M,"Vignette",'QA Log'!Z:Z,"Approved",'QA Log'!L:L,"*Vignette [8] Birth Spacing/ Family Planning :  FP Counselling*"),
    COUNTIFS('QA Log'!D:D,A442,'QA Log'!M:M,"Vignette",'QA Log'!Z:Z,"Approved",'QA Log'!L:L,"*Vignette [9] Birth Spacing: Change FP method to Injectable*"),
    COUNTIFS('QA Log'!D:D,A442,'QA Log'!M:M,"Vignette",'QA Log'!Z:Z,"Approved",'QA Log'!L:L,"*Vignette [10] Post Partum Haemorrhage - Atonic Uterus at Health Centre*")
  )
)</f>
        <v/>
      </c>
      <c r="BG442" s="105" t="str">
        <f>IF(A442&lt;&gt;"",COUNTIFS('QA Log'!D:D,A442,'QA Log'!M:M,"Vignette",'QA Log'!L:L,"Vignette [5] Labor",'QA Log'!Z:Z,"Approved"),"")</f>
        <v/>
      </c>
      <c r="BH442" s="105" t="str">
        <f>IF(A442&lt;&gt;"",COUNTIFS('QA Log'!D:D,A442,'QA Log'!M:M,"Vignette",'QA Log'!L:L,"Vignette [6] PNC pre Discharge",'QA Log'!Z:Z,"Approved"),"")</f>
        <v/>
      </c>
      <c r="BI442" s="105" t="str">
        <f>IF(A442&lt;&gt;"",COUNTIFS('QA Log'!D:D,A442,'QA Log'!M:M,"Vignette",'QA Log'!L:L,"Vignette [7] First ANC Visit",'QA Log'!Z:Z,"Approved"),"")</f>
        <v/>
      </c>
      <c r="BJ442" s="105" t="str">
        <f>IF(A442&lt;&gt;"",COUNTIFS('QA Log'!D:D,A442,'QA Log'!M:M,"Vignette",'QA Log'!L:L,"Vignette [8] Birth Spacing/ Family Planning :  FP Counselling",'QA Log'!Z:Z,"Approved"),"")</f>
        <v/>
      </c>
      <c r="BK442" s="105" t="str">
        <f>IF(A442&lt;&gt;"",COUNTIFS('QA Log'!D:D,A442,'QA Log'!M:M,"Vignette",'QA Log'!L:L,"Vignette [9] Birth Spacing: Change FP method to Injectable",'QA Log'!Z:Z,"Approved"),"")</f>
        <v/>
      </c>
      <c r="BL442" s="105" t="str">
        <f>IF(A442&lt;&gt;"",COUNTIFS('QA Log'!D:D,A442,'QA Log'!M:M,"Vignette",'QA Log'!L:L,"Vignette [10] Post Partum Haemorrhage - Atonic Uterus at Health Centre",'QA Log'!Z:Z,"Approved"),"")</f>
        <v/>
      </c>
      <c r="BM442" s="102" t="str">
        <f>IF(A442="","",SUM(
    COUNTIFS('QA Log'!D:D,A442,'QA Log'!M:M,"Vignette",'QA Log'!Z:Z,"Rejected",'QA Log'!L:L,"*Vignette [5] Labor*"),
    COUNTIFS('QA Log'!D:D,A442,'QA Log'!M:M,"Vignette",'QA Log'!Z:Z,"Rejected",'QA Log'!L:L,"*Vignette [6] PNC pre Discharge*"),
    COUNTIFS('QA Log'!D:D,A442,'QA Log'!M:M,"Vignette",'QA Log'!Z:Z,"Rejected",'QA Log'!L:L,"*Vignette [7] First ANC Visit*"),
    COUNTIFS('QA Log'!D:D,A442,'QA Log'!M:M,"Vignette",'QA Log'!Z:Z,"Rejected",'QA Log'!L:L,"*Vignette [8] Birth Spacing/ Family Planning :  FP Counselling*"),
    COUNTIFS('QA Log'!D:D,A442,'QA Log'!M:M,"Vignette",'QA Log'!Z:Z,"Rejected",'QA Log'!L:L,"*Vignette [9] Birth Spacing: Change FP method to Injectable*"),
    COUNTIFS('QA Log'!D:D,A442,'QA Log'!M:M,"Vignette",'QA Log'!Z:Z,"Rejected",'QA Log'!L:L,"*Vignette [10] Post Partum Haemorrhage - Atonic Uterus at Health Centre*")
  )
)</f>
        <v/>
      </c>
      <c r="BN442" s="107" t="str">
        <f t="shared" si="37"/>
        <v/>
      </c>
      <c r="BO442" s="103" t="str">
        <f t="shared" si="38"/>
        <v/>
      </c>
      <c r="BP442" s="102" t="str">
        <f>IF(A442="","",SUM(
COUNTIFS('QA Log'!D:D,A442,'QA Log'!M:M,"Vignette",'QA Log'!L:L,"*Exit Interview 1*"),
COUNTIFS('QA Log'!D:D,A442,'QA Log'!M:M,"Vignette",'QA Log'!L:L,"*Exit Interview 2*"),
)
)</f>
        <v/>
      </c>
      <c r="BQ442" s="102" t="str">
        <f>IF(
  A442="","",
  SUM(
    COUNTIFS('QA Log'!D:D,A442,'QA Log'!M:M,"Vignette",'QA Log'!Z:Z,"Approved",'QA Log'!L:L,"*Exit Interview 1*"),
    COUNTIFS('QA Log'!D:D,A442,'QA Log'!M:M,"Vignette",'QA Log'!Z:Z,"Approved",'QA Log'!L:L,"*Exit Interview 2*")
  )
)</f>
        <v/>
      </c>
      <c r="BR442" s="105" t="str">
        <f>IF(A442&lt;&gt;"",COUNTIFS('QA Log'!D:D,A442,'QA Log'!M:M,"Vignette",'QA Log'!L:L,"Exit Interview 1",'QA Log'!Z:Z,"Approved"),"")</f>
        <v/>
      </c>
      <c r="BS442" s="105" t="str">
        <f>IF(A442&lt;&gt;"",COUNTIFS('QA Log'!D:D,A442,'QA Log'!M:M,"Vignette",'QA Log'!L:L,"Exit Interview 2",'QA Log'!Z:Z,"Approved"),"")</f>
        <v/>
      </c>
      <c r="BT442" s="102" t="str">
        <f>IF(
  A442="","",
  SUM(
    COUNTIFS('QA Log'!D:D,A442,'QA Log'!M:M,"Vignette",'QA Log'!Z:Z,"Rejected",'QA Log'!L:L,"*Exit Interview 1*"),
    COUNTIFS('QA Log'!D:D,A442,'QA Log'!M:M,"Vignette",'QA Log'!Z:Z,"Rejected",'QA Log'!L:L,"*Exit Interview 2*")
  )
)</f>
        <v/>
      </c>
      <c r="BU442" s="107" t="str">
        <f t="shared" si="39"/>
        <v/>
      </c>
      <c r="BV442" s="102" t="str">
        <f t="shared" si="40"/>
        <v/>
      </c>
      <c r="BW442" s="102" t="str">
        <f t="shared" si="41"/>
        <v/>
      </c>
      <c r="BX442" s="102" t="str">
        <f t="shared" si="42"/>
        <v/>
      </c>
      <c r="BY442" s="102" t="str">
        <f t="shared" si="43"/>
        <v/>
      </c>
      <c r="BZ442" s="107" t="str">
        <f t="shared" si="44"/>
        <v/>
      </c>
      <c r="CA442" s="108" t="str">
        <f t="shared" si="45"/>
        <v/>
      </c>
      <c r="CB442" s="108" t="str">
        <f t="shared" si="46"/>
        <v/>
      </c>
      <c r="CC442" s="109" t="str">
        <f t="shared" si="47"/>
        <v/>
      </c>
      <c r="CD442" s="108" t="str">
        <f t="shared" si="48"/>
        <v/>
      </c>
      <c r="CE442" s="108" t="str">
        <f t="shared" si="49"/>
        <v/>
      </c>
      <c r="CF442" s="109" t="str">
        <f t="shared" si="50"/>
        <v/>
      </c>
      <c r="CG442" s="110" t="str">
        <f t="shared" si="51"/>
        <v/>
      </c>
      <c r="CH442" s="111"/>
    </row>
    <row r="443" spans="1:86" ht="12.75">
      <c r="A443" s="101"/>
      <c r="B443" s="102" t="e">
        <f t="array" aca="1" ref="B443" ca="1">_xludf.XLOOKUP(A443,'QA Log'!D:D,'QA Log'!E:E,"")</f>
        <v>#NAME?</v>
      </c>
      <c r="C443" s="102" t="e">
        <f t="array" aca="1" ref="C443" ca="1">_xludf.XLOOKUP(A443,'QA Log'!D:D,'QA Log'!F:F,"")</f>
        <v>#NAME?</v>
      </c>
      <c r="D443" s="102" t="e">
        <f t="array" aca="1" ref="D443" ca="1">_xludf.XLOOKUP(A443,'QA Log'!D:D,'QA Log'!H:H,"")</f>
        <v>#NAME?</v>
      </c>
      <c r="E443" s="102" t="e">
        <f t="array" aca="1" ref="E443" ca="1">_xludf.XLOOKUP(A443,'QA Log'!D:D,'QA Log'!G:G,"")</f>
        <v>#NAME?</v>
      </c>
      <c r="F443" s="103"/>
      <c r="G443" s="104"/>
      <c r="H443" s="104"/>
      <c r="I443" s="103" t="str">
        <f t="shared" si="26"/>
        <v/>
      </c>
      <c r="J443" s="102" t="str">
        <f>IF(A443="","",SUM(
COUNTIFS('QA Log'!D:D,A443,'QA Log'!M:M,"QQC",'QA Log'!L:L,"*1. General Management*"),
COUNTIFS('QA Log'!D:D,A443,'QA Log'!M:M,"QQC",'QA Log'!L:L,"*3. Curative Consultation (OPD)*"),
COUNTIFS('QA Log'!D:D,A443,'QA Log'!M:M,"QQC",'QA Log'!L:L,"*5. Laboratory*"),
COUNTIFS('QA Log'!D:D,A443,'QA Log'!M:M,"QQC",'QA Log'!L:L,"*6. Essential Medicine Management*"),
COUNTIFS('QA Log'!D:D,A443,'QA Log'!M:M,"QQC",'QA Log'!L:L,"*7. Tracer Medicine*"),
COUNTIFS('QA Log'!D:D,A443,'QA Log'!M:M,"QQC",'QA Log'!L:L,"*11. Additional Questions*")))</f>
        <v/>
      </c>
      <c r="K443" s="102" t="str">
        <f>IF(A443="","",SUM(
COUNTIFS('QA Log'!D:D,A443,'QA Log'!M:M,"QQC",'QA Log'!Z:Z,"Approved",'QA Log'!L:L,"*1. General Management*"),
COUNTIFS('QA Log'!D:D,A443,'QA Log'!M:M,"QQC",'QA Log'!Z:Z,"Approved",'QA Log'!L:L,"*3. Curative Consultation (OPD)*"),
COUNTIFS('QA Log'!D:D,A443,'QA Log'!M:M,"QQC",'QA Log'!Z:Z,"Approved",'QA Log'!L:L,"*5. Laboratory*"),
COUNTIFS('QA Log'!D:D,A443,'QA Log'!M:M,"QQC",'QA Log'!Z:Z,"Approved",'QA Log'!L:L,"*6. Essential Medicine Management*"),
COUNTIFS('QA Log'!D:D,A443,'QA Log'!M:M,"QQC",'QA Log'!Z:Z,"Approved",'QA Log'!L:L,"*7. Tracer Medicine*"),
COUNTIFS('QA Log'!D:D,A443,'QA Log'!M:M,"QQC",'QA Log'!Z:Z,"Approved",'QA Log'!L:L,"*11. Additional Questions*")))</f>
        <v/>
      </c>
      <c r="L443" s="102" t="str">
        <f>IF(A443&lt;&gt;"",COUNTIFS('QA Log'!D:D,A443,'QA Log'!M:M,"QQC",'QA Log'!L:L,"1. General Management",'QA Log'!Z:Z,"Approved"),"")</f>
        <v/>
      </c>
      <c r="M443" s="102" t="str">
        <f>IF(A443&lt;&gt;"",COUNTIFS('QA Log'!D:D,A443,'QA Log'!M:M,"QQC",'QA Log'!L:L,"3. Curative Consultation (OPD)",'QA Log'!Z:Z,"Approved"),"")</f>
        <v/>
      </c>
      <c r="N443" s="102" t="str">
        <f>IF(A443&lt;&gt;"",COUNTIFS('QA Log'!D:D,A443,'QA Log'!M:M,"QQC",'QA Log'!L:L,"5. Laboratory",'QA Log'!Z:Z,"Approved"),"")</f>
        <v/>
      </c>
      <c r="O443" s="102" t="str">
        <f>IF(A443&lt;&gt;"",COUNTIFS('QA Log'!D:D,A443,'QA Log'!M:M,"QQC",'QA Log'!L:L,"6. Essential Medicine Management",'QA Log'!Z:Z,"Approved"),"")</f>
        <v/>
      </c>
      <c r="P443" s="102" t="str">
        <f>IF(A443&lt;&gt;"",COUNTIFS('QA Log'!D:D,A443,'QA Log'!M:M,"QQC",'QA Log'!L:L,"7. Tracer Medicine",'QA Log'!Z:Z,"Approved"),"")</f>
        <v/>
      </c>
      <c r="Q443" s="102" t="str">
        <f>IF(A443&lt;&gt;"",COUNTIFS('QA Log'!D:D,A443,'QA Log'!M:M,"QQC",'QA Log'!L:L,"11. Additional Questions",'QA Log'!Z:Z,"Approved"),"")</f>
        <v/>
      </c>
      <c r="R443" s="102" t="str">
        <f>IF(A443="","",SUM(
COUNTIFS('QA Log'!D:D,A443,'QA Log'!M:M,"QQC",'QA Log'!Z:Z,"Rejected",'QA Log'!L:L,"*8. Maternity*"),
COUNTIFS('QA Log'!D:D,A443,'QA Log'!M:M,"QQC",'QA Log'!Z:Z,"Rejected",'QA Log'!L:L,"*EPI*"),
COUNTIFS('QA Log'!D:D,A443,'QA Log'!M:M,"QQC",'QA Log'!Z:Z,"Rejected",'QA Log'!L:L,"*10. Antenatal Care (ANC)*"),
COUNTIFS('QA Log'!D:D,A443,'QA Log'!M:M,"QQC",'QA Log'!Z:Z,"Rejected",'QA Log'!L:L,"*2. Hygiene and Sterilization*"),
COUNTIFS('QA Log'!D:D,A443,'QA Log'!M:M,"QQC",'QA Log'!Z:Z,"Rejected",'QA Log'!L:L,"*Family Planning*")))</f>
        <v/>
      </c>
      <c r="S443" s="106" t="str">
        <f t="shared" si="27"/>
        <v/>
      </c>
      <c r="T443" s="102" t="str">
        <f t="shared" si="28"/>
        <v/>
      </c>
      <c r="U443" s="102" t="str">
        <f>IF(A443="","",
SUM(
COUNTIFS('QA Log'!D:D,A443,'QA Log'!M:M,"QQC",'QA Log'!L:L,"*8. Maternity*"),
COUNTIFS('QA Log'!D:D,A443,'QA Log'!M:M,"QQC",'QA Log'!L:L,"*9. EPI and Pre-school Consultation*"),
COUNTIFS('QA Log'!D:D,A443,'QA Log'!M:M,"QQC",'QA Log'!L:L,"*10. Antenatal Care (ANC)*"),
COUNTIFS('QA Log'!D:D,A443,'QA Log'!M:M,"QQC",'QA Log'!L:L,"*2. Hygiene and Sterilization*"),
COUNTIFS('QA Log'!D:D,A443,'QA Log'!M:M,"QQC",'QA Log'!L:L,"*4. Family Planning*")
))</f>
        <v/>
      </c>
      <c r="V443" s="102" t="str">
        <f>IF(A443="","",
SUM(
COUNTIFS('QA Log'!D:D,A443,'QA Log'!M:M,"QQC",'QA Log'!Z:Z,"Approved",'QA Log'!L:L,"*8. Maternity*"),
COUNTIFS('QA Log'!D:D,A443,'QA Log'!M:M,"QQC",'QA Log'!Z:Z,"Approved",'QA Log'!L:L,"*9. EPI and Pre-school Consultation*"),
COUNTIFS('QA Log'!D:D,A443,'QA Log'!M:M,"QQC",'QA Log'!Z:Z,"Approved",'QA Log'!L:L,"*10. Antenatal Care (ANC)*"),
COUNTIFS('QA Log'!D:D,A443,'QA Log'!M:M,"QQC",'QA Log'!Z:Z,"Approved",'QA Log'!L:L,"*2. Hygiene and Sterilization*"),
COUNTIFS('QA Log'!D:D,A443,'QA Log'!M:M,"QQC",'QA Log'!Z:Z,"Approved",'QA Log'!L:L,"*4. Family Planning*")
))</f>
        <v/>
      </c>
      <c r="W443" s="102" t="str">
        <f>IF(A443&lt;&gt;"",COUNTIFS('QA Log'!D:D,A443,'QA Log'!M:M,"QQC",'QA Log'!L:L,"8. Maternity",'QA Log'!Z:Z,"Approved"),"")</f>
        <v/>
      </c>
      <c r="X443" s="105" t="str">
        <f>IF(A443&lt;&gt;"",COUNTIFS('QA Log'!D:D,A443,'QA Log'!M:M,"QQC",'QA Log'!L:L,"9. EPI and Pre-school Consultation",'QA Log'!Z:Z,"Approved"),"")</f>
        <v/>
      </c>
      <c r="Y443" s="102" t="str">
        <f>IF(A443&lt;&gt;"",COUNTIFS('QA Log'!D:D,A443,'QA Log'!M:M,"QQC",'QA Log'!L:L,"10. Antenatal Care (ANC)",'QA Log'!Z:Z,"Approved"),"")</f>
        <v/>
      </c>
      <c r="Z443" s="102" t="str">
        <f>IF(A443&lt;&gt;"",COUNTIFS('QA Log'!D:D,A443,'QA Log'!M:M,"QQC",'QA Log'!L:L,"2. Hygiene and Sterilization",'QA Log'!Z:Z,"Approved"),"")</f>
        <v/>
      </c>
      <c r="AA443" s="105" t="str">
        <f>IF(A443&lt;&gt;"",COUNTIFS('QA Log'!D:D,A443,'QA Log'!M:M,"QQC",'QA Log'!L:L,"4. Family Planning",'QA Log'!Z:Z,"Approved"),"")</f>
        <v/>
      </c>
      <c r="AB443" s="102" t="str">
        <f>IF(A443="","",
SUM(
COUNTIFS('QA Log'!D:D,A443,'QA Log'!M:M,"QQC",'QA Log'!Z:Z,"Rejected",'QA Log'!L:L,"*8. Maternity*"),
COUNTIFS('QA Log'!D:D,A443,'QA Log'!M:M,"QQC",'QA Log'!Z:Z,"Rejected",'QA Log'!L:L,"*9. EPI and Pre-school Consultation*"),
COUNTIFS('QA Log'!D:D,A443,'QA Log'!M:M,"QQC",'QA Log'!Z:Z,"Rejected",'QA Log'!L:L,"*10. Antenatal Care (ANC)*"),
COUNTIFS('QA Log'!D:D,A443,'QA Log'!M:M,"QQC",'QA Log'!Z:Z,"Rejected",'QA Log'!L:L,"*2. Hygiene and Sterilization*"),
COUNTIFS('QA Log'!D:D,A443,'QA Log'!M:M,"QQC",'QA Log'!Z:Z,"Rejected",'QA Log'!L:L,"*4. Family Planning*")
))</f>
        <v/>
      </c>
      <c r="AC443" s="102" t="str">
        <f t="shared" si="29"/>
        <v/>
      </c>
      <c r="AD443" s="103" t="str">
        <f t="shared" si="30"/>
        <v/>
      </c>
      <c r="AE443" s="102" t="str">
        <f>IF(A443="","",
SUM(
COUNTIFS('QA Log'!D:D,A443,'QA Log'!M:M,"Data Verification",'QA Log'!L:L,"*Medicine (section 2)*"),
COUNTIFS('QA Log'!D:D,A443,'QA Log'!M:M,"Data Verification",'QA Log'!L:L,"*Lab Testing Availability*"),
COUNTIFS('QA Log'!D:D,A443,'QA Log'!M:M,"Data Verification",'QA Log'!L:L,"*Other than P4P (section 6)*"),
COUNTIFS('QA Log'!D:D,A443,'QA Log'!M:M,"Data Verification",'QA Log'!L:L,"*Hospital Governance*")
))</f>
        <v/>
      </c>
      <c r="AF443" s="102" t="str">
        <f>IF(A443="","",
SUM(
COUNTIFS('QA Log'!D:D,A443,'QA Log'!M:M,"Data Verification",'QA Log'!Z:Z,"Approved",'QA Log'!L:L,"*Medicine (section 2)*"),
COUNTIFS('QA Log'!D:D,A443,'QA Log'!M:M,"Data Verification",'QA Log'!Z:Z,"Approved",'QA Log'!L:L,"*Lab Testing Availability*"),
COUNTIFS('QA Log'!D:D,A443,'QA Log'!M:M,"Data Verification",'QA Log'!Z:Z,"Approved",'QA Log'!L:L,"*Other than P4P (section 6)*"),
COUNTIFS('QA Log'!D:D,A443,'QA Log'!M:M,"Data Verification",'QA Log'!Z:Z,"Approved",'QA Log'!L:L,"*Hospital Governance*")
))</f>
        <v/>
      </c>
      <c r="AG443" s="105" t="str">
        <f>IF(A443&lt;&gt;"",COUNTIFS('QA Log'!D:D,A443,'QA Log'!M:M,"Data Verification",'QA Log'!L:L,"Medicine (section 2)",'QA Log'!Z:Z,"Approved"),"")</f>
        <v/>
      </c>
      <c r="AH443" s="105" t="str">
        <f>IF(A443&lt;&gt;"",COUNTIFS('QA Log'!D:D,A443,'QA Log'!M:M,"Data Verification",'QA Log'!L:L,"Lab Testing Availability",'QA Log'!Z:Z,"Approved"),"")</f>
        <v/>
      </c>
      <c r="AI443" s="105" t="str">
        <f>IF(A443&lt;&gt;"",COUNTIFS('QA Log'!D:D,A443,'QA Log'!M:M,"Data Verification",'QA Log'!L:L,"Other than P4P (section 6)",'QA Log'!Z:Z,"Approved"),"")</f>
        <v/>
      </c>
      <c r="AJ443" s="105" t="str">
        <f>IF(A443&lt;&gt;"",COUNTIFS('QA Log'!D:D,A443,'QA Log'!M:M,"Data Verification",'QA Log'!L:L,"Hospital Governance",'QA Log'!Z:Z,"Approved"),"")</f>
        <v/>
      </c>
      <c r="AK443" s="102" t="str">
        <f>IF(A443="","",
SUM(
COUNTIFS('QA Log'!D:D,A443,'QA Log'!M:M,"Data Verification",'QA Log'!Z:Z,"Rejected",'QA Log'!L:L,"*Medicine (section 2)*"),
COUNTIFS('QA Log'!D:D,A443,'QA Log'!M:M,"Data Verification",'QA Log'!Z:Z,"Rejected",'QA Log'!L:L,"*Lab Testing Availability*"),
COUNTIFS('QA Log'!D:D,A443,'QA Log'!M:M,"Data Verification",'QA Log'!Z:Z,"Rejected",'QA Log'!L:L,"*Other than P4P (section 6)*"),
COUNTIFS('QA Log'!D:D,A443,'QA Log'!M:M,"Data Verification",'QA Log'!Z:Z,"Rejected",'QA Log'!L:L,"*Hospital Governance*")
))</f>
        <v/>
      </c>
      <c r="AL443" s="106" t="str">
        <f t="shared" si="31"/>
        <v/>
      </c>
      <c r="AM443" s="102" t="str">
        <f t="shared" si="32"/>
        <v/>
      </c>
      <c r="AN443" s="102" t="str">
        <f>IF(A443="","",
SUM(
COUNTIFS('QA Log'!D:D,A443,'QA Log'!M:M,"Data Verification",'QA Log'!L:L,"*Personnel (section 1)*"),
COUNTIFS('QA Log'!D:D,A443,'QA Log'!M:M,"Data Verification",'QA Log'!L:L,"*Consumable (section 3)*"),
COUNTIFS('QA Log'!D:D,A443,'QA Log'!M:M,"Data Verification",'QA Log'!L:L,"*Equipments (section 4)*")
))</f>
        <v/>
      </c>
      <c r="AO443" s="102" t="str">
        <f>IF(A443="","",
SUM(
COUNTIFS('QA Log'!D:D,A443,'QA Log'!M:M,"Data Verification",'QA Log'!Z:Z,"Approved",'QA Log'!L:L,"*Personnel (section 1)*"),
COUNTIFS('QA Log'!D:D,A443,'QA Log'!M:M,"Data Verification",'QA Log'!Z:Z,"Approved",'QA Log'!L:L,"*Consumable (section 3)*"),
COUNTIFS('QA Log'!D:D,A443,'QA Log'!M:M,"Data Verification",'QA Log'!Z:Z,"Approved",'QA Log'!L:L,"*Equipments (section 4)*")
))</f>
        <v/>
      </c>
      <c r="AP443" s="105" t="str">
        <f>IF(A443&lt;&gt;"",COUNTIFS('QA Log'!D:D,A443,'QA Log'!M:M,"Data Verification",'QA Log'!L:L,"Personnel (section 1)",'QA Log'!Z:Z,"Approved"),"")</f>
        <v/>
      </c>
      <c r="AQ443" s="105" t="str">
        <f>IF(A443&lt;&gt;"",COUNTIFS('QA Log'!D:D,A443,'QA Log'!M:M,"Data Verification",'QA Log'!L:L,"Consumable (section 3)",'QA Log'!Z:Z,"Approved"),"")</f>
        <v/>
      </c>
      <c r="AR443" s="105" t="str">
        <f>IF(A443&lt;&gt;"",COUNTIFS('QA Log'!D:D,A443,'QA Log'!M:M,"Data Verification",'QA Log'!L:L,"Equipments (section 4)",'QA Log'!Z:Z,"Approved"),"")</f>
        <v/>
      </c>
      <c r="AS443" s="102" t="str">
        <f>IF(A443="","",
SUM(
COUNTIFS('QA Log'!D:D,A443,'QA Log'!M:M,"Data Verification",'QA Log'!Z:Z,"Rejected",'QA Log'!L:L,"*Personnel (section 1)*"),
COUNTIFS('QA Log'!D:D,A443,'QA Log'!M:M,"Data Verification",'QA Log'!Z:Z,"Rejected",'QA Log'!L:L,"*Consumable (section 3)*"),
COUNTIFS('QA Log'!D:D,A443,'QA Log'!M:M,"Data Verification",'QA Log'!Z:Z,"Rejected",'QA Log'!L:L,"*Equipments (section 4)*")
))</f>
        <v/>
      </c>
      <c r="AT443" s="102" t="str">
        <f t="shared" si="33"/>
        <v/>
      </c>
      <c r="AU443" s="103" t="str">
        <f t="shared" si="34"/>
        <v/>
      </c>
      <c r="AV443" s="102" t="str">
        <f>IF(A443="","",SUM(
COUNTIFS('QA Log'!D:D,A443,'QA Log'!M:M,"Vignette",'QA Log'!L:L,"*Vignette [1] Respiratory Infection: Pneumonia*"),
COUNTIFS('QA Log'!D:D,A443,'QA Log'!M:M,"Vignette",'QA Log'!L:L,"*Vignette [2]: Diarrhea with Cat B dehydration*"),
COUNTIFS('QA Log'!D:D,A443,'QA Log'!M:M,"Vignette",'QA Log'!L:L,"*Vignette [3] Growth Monitoring and Promotion*"),
COUNTIFS('QA Log'!D:D,A443,'QA Log'!M:M,"Vignette",'QA Log'!L:L,"*Vignette [4]: The management of presumptive TB patient*")
)
)</f>
        <v/>
      </c>
      <c r="AW443" s="102" t="str">
        <f>IF(
  A443="","",
  SUM(
    COUNTIFS('QA Log'!D:D,A443,'QA Log'!M:M,"Vignette",'QA Log'!Z:Z,"Approved",'QA Log'!L:L,"*Vignette [1] Respiratory Infection: Pneumonia*"),
    COUNTIFS('QA Log'!D:D,A443,'QA Log'!M:M,"Vignette",'QA Log'!Z:Z,"Approved",'QA Log'!L:L,"*Vignette [2]: Diarrhea with Cat B dehydration*"),
    COUNTIFS('QA Log'!D:D,A443,'QA Log'!M:M,"Vignette",'QA Log'!Z:Z,"Approved",'QA Log'!L:L,"*Vignette [3] Growth Monitoring and Promotion*"),
    COUNTIFS('QA Log'!D:D,A443,'QA Log'!M:M,"Vignette",'QA Log'!Z:Z,"Approved",'QA Log'!L:L,"*Vignette [4]: The management of presumptive TB patient*")
  )
)</f>
        <v/>
      </c>
      <c r="AX443" s="105" t="str">
        <f>IF(A443&lt;&gt;"",COUNTIFS('QA Log'!D:D,A443,'QA Log'!M:M,"Vignette",'QA Log'!L:L,"Vignette [1] Respiratory Infection: Pneumonia",'QA Log'!Z:Z,"Approved"),"")</f>
        <v/>
      </c>
      <c r="AY443" s="105" t="str">
        <f>IF(A443&lt;&gt;"",COUNTIFS('QA Log'!D:D,A443,'QA Log'!M:M,"Vignette",'QA Log'!L:L,"Vignette [2]: Diarrhea with Cat B dehydration",'QA Log'!Z:Z,"Approved"),"")</f>
        <v/>
      </c>
      <c r="AZ443" s="105" t="str">
        <f>IF(A443&lt;&gt;"",COUNTIFS('QA Log'!D:D,A443,'QA Log'!M:M,"Vignette",'QA Log'!L:L,"Vignette [3] Growth Monitoring and Promotion",'QA Log'!Z:Z,"Approved"),"")</f>
        <v/>
      </c>
      <c r="BA443" s="105" t="str">
        <f>IF(A443&lt;&gt;"",COUNTIFS('QA Log'!D:D,A443,'QA Log'!M:M,"Vignette",'QA Log'!L:L,"Vignette [4]: The management of presumptive TB patient",'QA Log'!Z:Z,"Approved"),"")</f>
        <v/>
      </c>
      <c r="BB443" s="102" t="str">
        <f>IF(A443="","",
  SUM(
    COUNTIFS('QA Log'!D:D,A443,'QA Log'!M:M,"Vignette",'QA Log'!Z:Z,"Rejected",'QA Log'!L:L,"*Vignette [1] Respiratory Infection: Pneumonia*"),
    COUNTIFS('QA Log'!D:D,A443,'QA Log'!M:M,"Vignette",'QA Log'!Z:Z,"Rejected",'QA Log'!L:L,"*Vignette [2]: Diarrhea with Cat B dehydration*"),
    COUNTIFS('QA Log'!D:D,A443,'QA Log'!M:M,"Vignette",'QA Log'!Z:Z,"Rejected",'QA Log'!L:L,"*Vignette [3] Growth Monitoring and Promotion*"),
    COUNTIFS('QA Log'!D:D,A443,'QA Log'!M:M,"Vignette",'QA Log'!Z:Z,"Rejected",'QA Log'!L:L,"*Vignette [4]: The management of presumptive TB patient*")
  )
)</f>
        <v/>
      </c>
      <c r="BC443" s="107" t="str">
        <f t="shared" si="35"/>
        <v/>
      </c>
      <c r="BD443" s="103" t="str">
        <f t="shared" si="36"/>
        <v/>
      </c>
      <c r="BE443" s="102" t="str">
        <f>IF(A443="","",SUM(
COUNTIFS('QA Log'!D:D,A443,'QA Log'!M:M,"Vignette",'QA Log'!L:L,"*Vignette [5] Labor*"),
COUNTIFS('QA Log'!D:D,A443,'QA Log'!M:M,"Vignette",'QA Log'!L:L,"*Vignette [6] PNC pre Discharge*"),
COUNTIFS('QA Log'!D:D,A443,'QA Log'!M:M,"Vignette",'QA Log'!L:L,"*Vignette [7] First ANC Visit*"),
COUNTIFS('QA Log'!D:D,A443,'QA Log'!M:M,"Vignette",'QA Log'!L:L,"*Vignette [8] Birth Spacing/ Family Planning :  FP Counselling*"),
COUNTIFS('QA Log'!D:D,A443,'QA Log'!M:M,"Vignette",'QA Log'!L:L,"*Vignette [9] Birth Spacing: Change FP method to Injectable*"),
COUNTIFS('QA Log'!D:D,A443,'QA Log'!M:M,"Vignette",'QA Log'!L:L,"*Vignette [10] Post Partum Haemorrhage - Atonic Uterus at Health Centre*"),
)
)</f>
        <v/>
      </c>
      <c r="BF443" s="102" t="str">
        <f>IF(A443="","",
  SUM(
    COUNTIFS('QA Log'!D:D,A443,'QA Log'!M:M,"Vignette",'QA Log'!Z:Z,"Approved",'QA Log'!L:L,"*Vignette [5] Labor*"),
    COUNTIFS('QA Log'!D:D,A443,'QA Log'!M:M,"Vignette",'QA Log'!Z:Z,"Approved",'QA Log'!L:L,"*Vignette [6] PNC pre Discharge*"),
    COUNTIFS('QA Log'!D:D,A443,'QA Log'!M:M,"Vignette",'QA Log'!Z:Z,"Approved",'QA Log'!L:L,"*Vignette [7] First ANC Visit*"),
    COUNTIFS('QA Log'!D:D,A443,'QA Log'!M:M,"Vignette",'QA Log'!Z:Z,"Approved",'QA Log'!L:L,"*Vignette [8] Birth Spacing/ Family Planning :  FP Counselling*"),
    COUNTIFS('QA Log'!D:D,A443,'QA Log'!M:M,"Vignette",'QA Log'!Z:Z,"Approved",'QA Log'!L:L,"*Vignette [9] Birth Spacing: Change FP method to Injectable*"),
    COUNTIFS('QA Log'!D:D,A443,'QA Log'!M:M,"Vignette",'QA Log'!Z:Z,"Approved",'QA Log'!L:L,"*Vignette [10] Post Partum Haemorrhage - Atonic Uterus at Health Centre*")
  )
)</f>
        <v/>
      </c>
      <c r="BG443" s="105" t="str">
        <f>IF(A443&lt;&gt;"",COUNTIFS('QA Log'!D:D,A443,'QA Log'!M:M,"Vignette",'QA Log'!L:L,"Vignette [5] Labor",'QA Log'!Z:Z,"Approved"),"")</f>
        <v/>
      </c>
      <c r="BH443" s="105" t="str">
        <f>IF(A443&lt;&gt;"",COUNTIFS('QA Log'!D:D,A443,'QA Log'!M:M,"Vignette",'QA Log'!L:L,"Vignette [6] PNC pre Discharge",'QA Log'!Z:Z,"Approved"),"")</f>
        <v/>
      </c>
      <c r="BI443" s="105" t="str">
        <f>IF(A443&lt;&gt;"",COUNTIFS('QA Log'!D:D,A443,'QA Log'!M:M,"Vignette",'QA Log'!L:L,"Vignette [7] First ANC Visit",'QA Log'!Z:Z,"Approved"),"")</f>
        <v/>
      </c>
      <c r="BJ443" s="105" t="str">
        <f>IF(A443&lt;&gt;"",COUNTIFS('QA Log'!D:D,A443,'QA Log'!M:M,"Vignette",'QA Log'!L:L,"Vignette [8] Birth Spacing/ Family Planning :  FP Counselling",'QA Log'!Z:Z,"Approved"),"")</f>
        <v/>
      </c>
      <c r="BK443" s="105" t="str">
        <f>IF(A443&lt;&gt;"",COUNTIFS('QA Log'!D:D,A443,'QA Log'!M:M,"Vignette",'QA Log'!L:L,"Vignette [9] Birth Spacing: Change FP method to Injectable",'QA Log'!Z:Z,"Approved"),"")</f>
        <v/>
      </c>
      <c r="BL443" s="105" t="str">
        <f>IF(A443&lt;&gt;"",COUNTIFS('QA Log'!D:D,A443,'QA Log'!M:M,"Vignette",'QA Log'!L:L,"Vignette [10] Post Partum Haemorrhage - Atonic Uterus at Health Centre",'QA Log'!Z:Z,"Approved"),"")</f>
        <v/>
      </c>
      <c r="BM443" s="102" t="str">
        <f>IF(A443="","",SUM(
    COUNTIFS('QA Log'!D:D,A443,'QA Log'!M:M,"Vignette",'QA Log'!Z:Z,"Rejected",'QA Log'!L:L,"*Vignette [5] Labor*"),
    COUNTIFS('QA Log'!D:D,A443,'QA Log'!M:M,"Vignette",'QA Log'!Z:Z,"Rejected",'QA Log'!L:L,"*Vignette [6] PNC pre Discharge*"),
    COUNTIFS('QA Log'!D:D,A443,'QA Log'!M:M,"Vignette",'QA Log'!Z:Z,"Rejected",'QA Log'!L:L,"*Vignette [7] First ANC Visit*"),
    COUNTIFS('QA Log'!D:D,A443,'QA Log'!M:M,"Vignette",'QA Log'!Z:Z,"Rejected",'QA Log'!L:L,"*Vignette [8] Birth Spacing/ Family Planning :  FP Counselling*"),
    COUNTIFS('QA Log'!D:D,A443,'QA Log'!M:M,"Vignette",'QA Log'!Z:Z,"Rejected",'QA Log'!L:L,"*Vignette [9] Birth Spacing: Change FP method to Injectable*"),
    COUNTIFS('QA Log'!D:D,A443,'QA Log'!M:M,"Vignette",'QA Log'!Z:Z,"Rejected",'QA Log'!L:L,"*Vignette [10] Post Partum Haemorrhage - Atonic Uterus at Health Centre*")
  )
)</f>
        <v/>
      </c>
      <c r="BN443" s="107" t="str">
        <f t="shared" si="37"/>
        <v/>
      </c>
      <c r="BO443" s="103" t="str">
        <f t="shared" si="38"/>
        <v/>
      </c>
      <c r="BP443" s="102" t="str">
        <f>IF(A443="","",SUM(
COUNTIFS('QA Log'!D:D,A443,'QA Log'!M:M,"Vignette",'QA Log'!L:L,"*Exit Interview 1*"),
COUNTIFS('QA Log'!D:D,A443,'QA Log'!M:M,"Vignette",'QA Log'!L:L,"*Exit Interview 2*"),
)
)</f>
        <v/>
      </c>
      <c r="BQ443" s="102" t="str">
        <f>IF(
  A443="","",
  SUM(
    COUNTIFS('QA Log'!D:D,A443,'QA Log'!M:M,"Vignette",'QA Log'!Z:Z,"Approved",'QA Log'!L:L,"*Exit Interview 1*"),
    COUNTIFS('QA Log'!D:D,A443,'QA Log'!M:M,"Vignette",'QA Log'!Z:Z,"Approved",'QA Log'!L:L,"*Exit Interview 2*")
  )
)</f>
        <v/>
      </c>
      <c r="BR443" s="105" t="str">
        <f>IF(A443&lt;&gt;"",COUNTIFS('QA Log'!D:D,A443,'QA Log'!M:M,"Vignette",'QA Log'!L:L,"Exit Interview 1",'QA Log'!Z:Z,"Approved"),"")</f>
        <v/>
      </c>
      <c r="BS443" s="105" t="str">
        <f>IF(A443&lt;&gt;"",COUNTIFS('QA Log'!D:D,A443,'QA Log'!M:M,"Vignette",'QA Log'!L:L,"Exit Interview 2",'QA Log'!Z:Z,"Approved"),"")</f>
        <v/>
      </c>
      <c r="BT443" s="102" t="str">
        <f>IF(
  A443="","",
  SUM(
    COUNTIFS('QA Log'!D:D,A443,'QA Log'!M:M,"Vignette",'QA Log'!Z:Z,"Rejected",'QA Log'!L:L,"*Exit Interview 1*"),
    COUNTIFS('QA Log'!D:D,A443,'QA Log'!M:M,"Vignette",'QA Log'!Z:Z,"Rejected",'QA Log'!L:L,"*Exit Interview 2*")
  )
)</f>
        <v/>
      </c>
      <c r="BU443" s="107" t="str">
        <f t="shared" si="39"/>
        <v/>
      </c>
      <c r="BV443" s="102" t="str">
        <f t="shared" si="40"/>
        <v/>
      </c>
      <c r="BW443" s="102" t="str">
        <f t="shared" si="41"/>
        <v/>
      </c>
      <c r="BX443" s="102" t="str">
        <f t="shared" si="42"/>
        <v/>
      </c>
      <c r="BY443" s="102" t="str">
        <f t="shared" si="43"/>
        <v/>
      </c>
      <c r="BZ443" s="107" t="str">
        <f t="shared" si="44"/>
        <v/>
      </c>
      <c r="CA443" s="108" t="str">
        <f t="shared" si="45"/>
        <v/>
      </c>
      <c r="CB443" s="108" t="str">
        <f t="shared" si="46"/>
        <v/>
      </c>
      <c r="CC443" s="109" t="str">
        <f t="shared" si="47"/>
        <v/>
      </c>
      <c r="CD443" s="108" t="str">
        <f t="shared" si="48"/>
        <v/>
      </c>
      <c r="CE443" s="108" t="str">
        <f t="shared" si="49"/>
        <v/>
      </c>
      <c r="CF443" s="109" t="str">
        <f t="shared" si="50"/>
        <v/>
      </c>
      <c r="CG443" s="110" t="str">
        <f t="shared" si="51"/>
        <v/>
      </c>
      <c r="CH443" s="111"/>
    </row>
    <row r="444" spans="1:86" ht="12.75">
      <c r="A444" s="101"/>
      <c r="B444" s="102" t="e">
        <f t="array" aca="1" ref="B444" ca="1">_xludf.XLOOKUP(A444,'QA Log'!D:D,'QA Log'!E:E,"")</f>
        <v>#NAME?</v>
      </c>
      <c r="C444" s="102" t="e">
        <f t="array" aca="1" ref="C444" ca="1">_xludf.XLOOKUP(A444,'QA Log'!D:D,'QA Log'!F:F,"")</f>
        <v>#NAME?</v>
      </c>
      <c r="D444" s="102" t="e">
        <f t="array" aca="1" ref="D444" ca="1">_xludf.XLOOKUP(A444,'QA Log'!D:D,'QA Log'!H:H,"")</f>
        <v>#NAME?</v>
      </c>
      <c r="E444" s="102" t="e">
        <f t="array" aca="1" ref="E444" ca="1">_xludf.XLOOKUP(A444,'QA Log'!D:D,'QA Log'!G:G,"")</f>
        <v>#NAME?</v>
      </c>
      <c r="F444" s="103"/>
      <c r="G444" s="104"/>
      <c r="H444" s="104"/>
      <c r="I444" s="103" t="str">
        <f t="shared" si="26"/>
        <v/>
      </c>
      <c r="J444" s="102" t="str">
        <f>IF(A444="","",SUM(
COUNTIFS('QA Log'!D:D,A444,'QA Log'!M:M,"QQC",'QA Log'!L:L,"*1. General Management*"),
COUNTIFS('QA Log'!D:D,A444,'QA Log'!M:M,"QQC",'QA Log'!L:L,"*3. Curative Consultation (OPD)*"),
COUNTIFS('QA Log'!D:D,A444,'QA Log'!M:M,"QQC",'QA Log'!L:L,"*5. Laboratory*"),
COUNTIFS('QA Log'!D:D,A444,'QA Log'!M:M,"QQC",'QA Log'!L:L,"*6. Essential Medicine Management*"),
COUNTIFS('QA Log'!D:D,A444,'QA Log'!M:M,"QQC",'QA Log'!L:L,"*7. Tracer Medicine*"),
COUNTIFS('QA Log'!D:D,A444,'QA Log'!M:M,"QQC",'QA Log'!L:L,"*11. Additional Questions*")))</f>
        <v/>
      </c>
      <c r="K444" s="102" t="str">
        <f>IF(A444="","",SUM(
COUNTIFS('QA Log'!D:D,A444,'QA Log'!M:M,"QQC",'QA Log'!Z:Z,"Approved",'QA Log'!L:L,"*1. General Management*"),
COUNTIFS('QA Log'!D:D,A444,'QA Log'!M:M,"QQC",'QA Log'!Z:Z,"Approved",'QA Log'!L:L,"*3. Curative Consultation (OPD)*"),
COUNTIFS('QA Log'!D:D,A444,'QA Log'!M:M,"QQC",'QA Log'!Z:Z,"Approved",'QA Log'!L:L,"*5. Laboratory*"),
COUNTIFS('QA Log'!D:D,A444,'QA Log'!M:M,"QQC",'QA Log'!Z:Z,"Approved",'QA Log'!L:L,"*6. Essential Medicine Management*"),
COUNTIFS('QA Log'!D:D,A444,'QA Log'!M:M,"QQC",'QA Log'!Z:Z,"Approved",'QA Log'!L:L,"*7. Tracer Medicine*"),
COUNTIFS('QA Log'!D:D,A444,'QA Log'!M:M,"QQC",'QA Log'!Z:Z,"Approved",'QA Log'!L:L,"*11. Additional Questions*")))</f>
        <v/>
      </c>
      <c r="L444" s="102" t="str">
        <f>IF(A444&lt;&gt;"",COUNTIFS('QA Log'!D:D,A444,'QA Log'!M:M,"QQC",'QA Log'!L:L,"1. General Management",'QA Log'!Z:Z,"Approved"),"")</f>
        <v/>
      </c>
      <c r="M444" s="102" t="str">
        <f>IF(A444&lt;&gt;"",COUNTIFS('QA Log'!D:D,A444,'QA Log'!M:M,"QQC",'QA Log'!L:L,"3. Curative Consultation (OPD)",'QA Log'!Z:Z,"Approved"),"")</f>
        <v/>
      </c>
      <c r="N444" s="102" t="str">
        <f>IF(A444&lt;&gt;"",COUNTIFS('QA Log'!D:D,A444,'QA Log'!M:M,"QQC",'QA Log'!L:L,"5. Laboratory",'QA Log'!Z:Z,"Approved"),"")</f>
        <v/>
      </c>
      <c r="O444" s="102" t="str">
        <f>IF(A444&lt;&gt;"",COUNTIFS('QA Log'!D:D,A444,'QA Log'!M:M,"QQC",'QA Log'!L:L,"6. Essential Medicine Management",'QA Log'!Z:Z,"Approved"),"")</f>
        <v/>
      </c>
      <c r="P444" s="102" t="str">
        <f>IF(A444&lt;&gt;"",COUNTIFS('QA Log'!D:D,A444,'QA Log'!M:M,"QQC",'QA Log'!L:L,"7. Tracer Medicine",'QA Log'!Z:Z,"Approved"),"")</f>
        <v/>
      </c>
      <c r="Q444" s="102" t="str">
        <f>IF(A444&lt;&gt;"",COUNTIFS('QA Log'!D:D,A444,'QA Log'!M:M,"QQC",'QA Log'!L:L,"11. Additional Questions",'QA Log'!Z:Z,"Approved"),"")</f>
        <v/>
      </c>
      <c r="R444" s="102" t="str">
        <f>IF(A444="","",SUM(
COUNTIFS('QA Log'!D:D,A444,'QA Log'!M:M,"QQC",'QA Log'!Z:Z,"Rejected",'QA Log'!L:L,"*8. Maternity*"),
COUNTIFS('QA Log'!D:D,A444,'QA Log'!M:M,"QQC",'QA Log'!Z:Z,"Rejected",'QA Log'!L:L,"*EPI*"),
COUNTIFS('QA Log'!D:D,A444,'QA Log'!M:M,"QQC",'QA Log'!Z:Z,"Rejected",'QA Log'!L:L,"*10. Antenatal Care (ANC)*"),
COUNTIFS('QA Log'!D:D,A444,'QA Log'!M:M,"QQC",'QA Log'!Z:Z,"Rejected",'QA Log'!L:L,"*2. Hygiene and Sterilization*"),
COUNTIFS('QA Log'!D:D,A444,'QA Log'!M:M,"QQC",'QA Log'!Z:Z,"Rejected",'QA Log'!L:L,"*Family Planning*")))</f>
        <v/>
      </c>
      <c r="S444" s="106" t="str">
        <f t="shared" si="27"/>
        <v/>
      </c>
      <c r="T444" s="102" t="str">
        <f t="shared" si="28"/>
        <v/>
      </c>
      <c r="U444" s="102" t="str">
        <f>IF(A444="","",
SUM(
COUNTIFS('QA Log'!D:D,A444,'QA Log'!M:M,"QQC",'QA Log'!L:L,"*8. Maternity*"),
COUNTIFS('QA Log'!D:D,A444,'QA Log'!M:M,"QQC",'QA Log'!L:L,"*9. EPI and Pre-school Consultation*"),
COUNTIFS('QA Log'!D:D,A444,'QA Log'!M:M,"QQC",'QA Log'!L:L,"*10. Antenatal Care (ANC)*"),
COUNTIFS('QA Log'!D:D,A444,'QA Log'!M:M,"QQC",'QA Log'!L:L,"*2. Hygiene and Sterilization*"),
COUNTIFS('QA Log'!D:D,A444,'QA Log'!M:M,"QQC",'QA Log'!L:L,"*4. Family Planning*")
))</f>
        <v/>
      </c>
      <c r="V444" s="102" t="str">
        <f>IF(A444="","",
SUM(
COUNTIFS('QA Log'!D:D,A444,'QA Log'!M:M,"QQC",'QA Log'!Z:Z,"Approved",'QA Log'!L:L,"*8. Maternity*"),
COUNTIFS('QA Log'!D:D,A444,'QA Log'!M:M,"QQC",'QA Log'!Z:Z,"Approved",'QA Log'!L:L,"*9. EPI and Pre-school Consultation*"),
COUNTIFS('QA Log'!D:D,A444,'QA Log'!M:M,"QQC",'QA Log'!Z:Z,"Approved",'QA Log'!L:L,"*10. Antenatal Care (ANC)*"),
COUNTIFS('QA Log'!D:D,A444,'QA Log'!M:M,"QQC",'QA Log'!Z:Z,"Approved",'QA Log'!L:L,"*2. Hygiene and Sterilization*"),
COUNTIFS('QA Log'!D:D,A444,'QA Log'!M:M,"QQC",'QA Log'!Z:Z,"Approved",'QA Log'!L:L,"*4. Family Planning*")
))</f>
        <v/>
      </c>
      <c r="W444" s="102" t="str">
        <f>IF(A444&lt;&gt;"",COUNTIFS('QA Log'!D:D,A444,'QA Log'!M:M,"QQC",'QA Log'!L:L,"8. Maternity",'QA Log'!Z:Z,"Approved"),"")</f>
        <v/>
      </c>
      <c r="X444" s="105" t="str">
        <f>IF(A444&lt;&gt;"",COUNTIFS('QA Log'!D:D,A444,'QA Log'!M:M,"QQC",'QA Log'!L:L,"9. EPI and Pre-school Consultation",'QA Log'!Z:Z,"Approved"),"")</f>
        <v/>
      </c>
      <c r="Y444" s="102" t="str">
        <f>IF(A444&lt;&gt;"",COUNTIFS('QA Log'!D:D,A444,'QA Log'!M:M,"QQC",'QA Log'!L:L,"10. Antenatal Care (ANC)",'QA Log'!Z:Z,"Approved"),"")</f>
        <v/>
      </c>
      <c r="Z444" s="102" t="str">
        <f>IF(A444&lt;&gt;"",COUNTIFS('QA Log'!D:D,A444,'QA Log'!M:M,"QQC",'QA Log'!L:L,"2. Hygiene and Sterilization",'QA Log'!Z:Z,"Approved"),"")</f>
        <v/>
      </c>
      <c r="AA444" s="105" t="str">
        <f>IF(A444&lt;&gt;"",COUNTIFS('QA Log'!D:D,A444,'QA Log'!M:M,"QQC",'QA Log'!L:L,"4. Family Planning",'QA Log'!Z:Z,"Approved"),"")</f>
        <v/>
      </c>
      <c r="AB444" s="102" t="str">
        <f>IF(A444="","",
SUM(
COUNTIFS('QA Log'!D:D,A444,'QA Log'!M:M,"QQC",'QA Log'!Z:Z,"Rejected",'QA Log'!L:L,"*8. Maternity*"),
COUNTIFS('QA Log'!D:D,A444,'QA Log'!M:M,"QQC",'QA Log'!Z:Z,"Rejected",'QA Log'!L:L,"*9. EPI and Pre-school Consultation*"),
COUNTIFS('QA Log'!D:D,A444,'QA Log'!M:M,"QQC",'QA Log'!Z:Z,"Rejected",'QA Log'!L:L,"*10. Antenatal Care (ANC)*"),
COUNTIFS('QA Log'!D:D,A444,'QA Log'!M:M,"QQC",'QA Log'!Z:Z,"Rejected",'QA Log'!L:L,"*2. Hygiene and Sterilization*"),
COUNTIFS('QA Log'!D:D,A444,'QA Log'!M:M,"QQC",'QA Log'!Z:Z,"Rejected",'QA Log'!L:L,"*4. Family Planning*")
))</f>
        <v/>
      </c>
      <c r="AC444" s="102" t="str">
        <f t="shared" si="29"/>
        <v/>
      </c>
      <c r="AD444" s="103" t="str">
        <f t="shared" si="30"/>
        <v/>
      </c>
      <c r="AE444" s="102" t="str">
        <f>IF(A444="","",
SUM(
COUNTIFS('QA Log'!D:D,A444,'QA Log'!M:M,"Data Verification",'QA Log'!L:L,"*Medicine (section 2)*"),
COUNTIFS('QA Log'!D:D,A444,'QA Log'!M:M,"Data Verification",'QA Log'!L:L,"*Lab Testing Availability*"),
COUNTIFS('QA Log'!D:D,A444,'QA Log'!M:M,"Data Verification",'QA Log'!L:L,"*Other than P4P (section 6)*"),
COUNTIFS('QA Log'!D:D,A444,'QA Log'!M:M,"Data Verification",'QA Log'!L:L,"*Hospital Governance*")
))</f>
        <v/>
      </c>
      <c r="AF444" s="102" t="str">
        <f>IF(A444="","",
SUM(
COUNTIFS('QA Log'!D:D,A444,'QA Log'!M:M,"Data Verification",'QA Log'!Z:Z,"Approved",'QA Log'!L:L,"*Medicine (section 2)*"),
COUNTIFS('QA Log'!D:D,A444,'QA Log'!M:M,"Data Verification",'QA Log'!Z:Z,"Approved",'QA Log'!L:L,"*Lab Testing Availability*"),
COUNTIFS('QA Log'!D:D,A444,'QA Log'!M:M,"Data Verification",'QA Log'!Z:Z,"Approved",'QA Log'!L:L,"*Other than P4P (section 6)*"),
COUNTIFS('QA Log'!D:D,A444,'QA Log'!M:M,"Data Verification",'QA Log'!Z:Z,"Approved",'QA Log'!L:L,"*Hospital Governance*")
))</f>
        <v/>
      </c>
      <c r="AG444" s="105" t="str">
        <f>IF(A444&lt;&gt;"",COUNTIFS('QA Log'!D:D,A444,'QA Log'!M:M,"Data Verification",'QA Log'!L:L,"Medicine (section 2)",'QA Log'!Z:Z,"Approved"),"")</f>
        <v/>
      </c>
      <c r="AH444" s="105" t="str">
        <f>IF(A444&lt;&gt;"",COUNTIFS('QA Log'!D:D,A444,'QA Log'!M:M,"Data Verification",'QA Log'!L:L,"Lab Testing Availability",'QA Log'!Z:Z,"Approved"),"")</f>
        <v/>
      </c>
      <c r="AI444" s="105" t="str">
        <f>IF(A444&lt;&gt;"",COUNTIFS('QA Log'!D:D,A444,'QA Log'!M:M,"Data Verification",'QA Log'!L:L,"Other than P4P (section 6)",'QA Log'!Z:Z,"Approved"),"")</f>
        <v/>
      </c>
      <c r="AJ444" s="105" t="str">
        <f>IF(A444&lt;&gt;"",COUNTIFS('QA Log'!D:D,A444,'QA Log'!M:M,"Data Verification",'QA Log'!L:L,"Hospital Governance",'QA Log'!Z:Z,"Approved"),"")</f>
        <v/>
      </c>
      <c r="AK444" s="102" t="str">
        <f>IF(A444="","",
SUM(
COUNTIFS('QA Log'!D:D,A444,'QA Log'!M:M,"Data Verification",'QA Log'!Z:Z,"Rejected",'QA Log'!L:L,"*Medicine (section 2)*"),
COUNTIFS('QA Log'!D:D,A444,'QA Log'!M:M,"Data Verification",'QA Log'!Z:Z,"Rejected",'QA Log'!L:L,"*Lab Testing Availability*"),
COUNTIFS('QA Log'!D:D,A444,'QA Log'!M:M,"Data Verification",'QA Log'!Z:Z,"Rejected",'QA Log'!L:L,"*Other than P4P (section 6)*"),
COUNTIFS('QA Log'!D:D,A444,'QA Log'!M:M,"Data Verification",'QA Log'!Z:Z,"Rejected",'QA Log'!L:L,"*Hospital Governance*")
))</f>
        <v/>
      </c>
      <c r="AL444" s="106" t="str">
        <f t="shared" si="31"/>
        <v/>
      </c>
      <c r="AM444" s="102" t="str">
        <f t="shared" si="32"/>
        <v/>
      </c>
      <c r="AN444" s="102" t="str">
        <f>IF(A444="","",
SUM(
COUNTIFS('QA Log'!D:D,A444,'QA Log'!M:M,"Data Verification",'QA Log'!L:L,"*Personnel (section 1)*"),
COUNTIFS('QA Log'!D:D,A444,'QA Log'!M:M,"Data Verification",'QA Log'!L:L,"*Consumable (section 3)*"),
COUNTIFS('QA Log'!D:D,A444,'QA Log'!M:M,"Data Verification",'QA Log'!L:L,"*Equipments (section 4)*")
))</f>
        <v/>
      </c>
      <c r="AO444" s="102" t="str">
        <f>IF(A444="","",
SUM(
COUNTIFS('QA Log'!D:D,A444,'QA Log'!M:M,"Data Verification",'QA Log'!Z:Z,"Approved",'QA Log'!L:L,"*Personnel (section 1)*"),
COUNTIFS('QA Log'!D:D,A444,'QA Log'!M:M,"Data Verification",'QA Log'!Z:Z,"Approved",'QA Log'!L:L,"*Consumable (section 3)*"),
COUNTIFS('QA Log'!D:D,A444,'QA Log'!M:M,"Data Verification",'QA Log'!Z:Z,"Approved",'QA Log'!L:L,"*Equipments (section 4)*")
))</f>
        <v/>
      </c>
      <c r="AP444" s="105" t="str">
        <f>IF(A444&lt;&gt;"",COUNTIFS('QA Log'!D:D,A444,'QA Log'!M:M,"Data Verification",'QA Log'!L:L,"Personnel (section 1)",'QA Log'!Z:Z,"Approved"),"")</f>
        <v/>
      </c>
      <c r="AQ444" s="105" t="str">
        <f>IF(A444&lt;&gt;"",COUNTIFS('QA Log'!D:D,A444,'QA Log'!M:M,"Data Verification",'QA Log'!L:L,"Consumable (section 3)",'QA Log'!Z:Z,"Approved"),"")</f>
        <v/>
      </c>
      <c r="AR444" s="105" t="str">
        <f>IF(A444&lt;&gt;"",COUNTIFS('QA Log'!D:D,A444,'QA Log'!M:M,"Data Verification",'QA Log'!L:L,"Equipments (section 4)",'QA Log'!Z:Z,"Approved"),"")</f>
        <v/>
      </c>
      <c r="AS444" s="102" t="str">
        <f>IF(A444="","",
SUM(
COUNTIFS('QA Log'!D:D,A444,'QA Log'!M:M,"Data Verification",'QA Log'!Z:Z,"Rejected",'QA Log'!L:L,"*Personnel (section 1)*"),
COUNTIFS('QA Log'!D:D,A444,'QA Log'!M:M,"Data Verification",'QA Log'!Z:Z,"Rejected",'QA Log'!L:L,"*Consumable (section 3)*"),
COUNTIFS('QA Log'!D:D,A444,'QA Log'!M:M,"Data Verification",'QA Log'!Z:Z,"Rejected",'QA Log'!L:L,"*Equipments (section 4)*")
))</f>
        <v/>
      </c>
      <c r="AT444" s="102" t="str">
        <f t="shared" si="33"/>
        <v/>
      </c>
      <c r="AU444" s="103" t="str">
        <f t="shared" si="34"/>
        <v/>
      </c>
      <c r="AV444" s="102" t="str">
        <f>IF(A444="","",SUM(
COUNTIFS('QA Log'!D:D,A444,'QA Log'!M:M,"Vignette",'QA Log'!L:L,"*Vignette [1] Respiratory Infection: Pneumonia*"),
COUNTIFS('QA Log'!D:D,A444,'QA Log'!M:M,"Vignette",'QA Log'!L:L,"*Vignette [2]: Diarrhea with Cat B dehydration*"),
COUNTIFS('QA Log'!D:D,A444,'QA Log'!M:M,"Vignette",'QA Log'!L:L,"*Vignette [3] Growth Monitoring and Promotion*"),
COUNTIFS('QA Log'!D:D,A444,'QA Log'!M:M,"Vignette",'QA Log'!L:L,"*Vignette [4]: The management of presumptive TB patient*")
)
)</f>
        <v/>
      </c>
      <c r="AW444" s="102" t="str">
        <f>IF(
  A444="","",
  SUM(
    COUNTIFS('QA Log'!D:D,A444,'QA Log'!M:M,"Vignette",'QA Log'!Z:Z,"Approved",'QA Log'!L:L,"*Vignette [1] Respiratory Infection: Pneumonia*"),
    COUNTIFS('QA Log'!D:D,A444,'QA Log'!M:M,"Vignette",'QA Log'!Z:Z,"Approved",'QA Log'!L:L,"*Vignette [2]: Diarrhea with Cat B dehydration*"),
    COUNTIFS('QA Log'!D:D,A444,'QA Log'!M:M,"Vignette",'QA Log'!Z:Z,"Approved",'QA Log'!L:L,"*Vignette [3] Growth Monitoring and Promotion*"),
    COUNTIFS('QA Log'!D:D,A444,'QA Log'!M:M,"Vignette",'QA Log'!Z:Z,"Approved",'QA Log'!L:L,"*Vignette [4]: The management of presumptive TB patient*")
  )
)</f>
        <v/>
      </c>
      <c r="AX444" s="105" t="str">
        <f>IF(A444&lt;&gt;"",COUNTIFS('QA Log'!D:D,A444,'QA Log'!M:M,"Vignette",'QA Log'!L:L,"Vignette [1] Respiratory Infection: Pneumonia",'QA Log'!Z:Z,"Approved"),"")</f>
        <v/>
      </c>
      <c r="AY444" s="105" t="str">
        <f>IF(A444&lt;&gt;"",COUNTIFS('QA Log'!D:D,A444,'QA Log'!M:M,"Vignette",'QA Log'!L:L,"Vignette [2]: Diarrhea with Cat B dehydration",'QA Log'!Z:Z,"Approved"),"")</f>
        <v/>
      </c>
      <c r="AZ444" s="105" t="str">
        <f>IF(A444&lt;&gt;"",COUNTIFS('QA Log'!D:D,A444,'QA Log'!M:M,"Vignette",'QA Log'!L:L,"Vignette [3] Growth Monitoring and Promotion",'QA Log'!Z:Z,"Approved"),"")</f>
        <v/>
      </c>
      <c r="BA444" s="105" t="str">
        <f>IF(A444&lt;&gt;"",COUNTIFS('QA Log'!D:D,A444,'QA Log'!M:M,"Vignette",'QA Log'!L:L,"Vignette [4]: The management of presumptive TB patient",'QA Log'!Z:Z,"Approved"),"")</f>
        <v/>
      </c>
      <c r="BB444" s="102" t="str">
        <f>IF(A444="","",
  SUM(
    COUNTIFS('QA Log'!D:D,A444,'QA Log'!M:M,"Vignette",'QA Log'!Z:Z,"Rejected",'QA Log'!L:L,"*Vignette [1] Respiratory Infection: Pneumonia*"),
    COUNTIFS('QA Log'!D:D,A444,'QA Log'!M:M,"Vignette",'QA Log'!Z:Z,"Rejected",'QA Log'!L:L,"*Vignette [2]: Diarrhea with Cat B dehydration*"),
    COUNTIFS('QA Log'!D:D,A444,'QA Log'!M:M,"Vignette",'QA Log'!Z:Z,"Rejected",'QA Log'!L:L,"*Vignette [3] Growth Monitoring and Promotion*"),
    COUNTIFS('QA Log'!D:D,A444,'QA Log'!M:M,"Vignette",'QA Log'!Z:Z,"Rejected",'QA Log'!L:L,"*Vignette [4]: The management of presumptive TB patient*")
  )
)</f>
        <v/>
      </c>
      <c r="BC444" s="107" t="str">
        <f t="shared" si="35"/>
        <v/>
      </c>
      <c r="BD444" s="103" t="str">
        <f t="shared" si="36"/>
        <v/>
      </c>
      <c r="BE444" s="102" t="str">
        <f>IF(A444="","",SUM(
COUNTIFS('QA Log'!D:D,A444,'QA Log'!M:M,"Vignette",'QA Log'!L:L,"*Vignette [5] Labor*"),
COUNTIFS('QA Log'!D:D,A444,'QA Log'!M:M,"Vignette",'QA Log'!L:L,"*Vignette [6] PNC pre Discharge*"),
COUNTIFS('QA Log'!D:D,A444,'QA Log'!M:M,"Vignette",'QA Log'!L:L,"*Vignette [7] First ANC Visit*"),
COUNTIFS('QA Log'!D:D,A444,'QA Log'!M:M,"Vignette",'QA Log'!L:L,"*Vignette [8] Birth Spacing/ Family Planning :  FP Counselling*"),
COUNTIFS('QA Log'!D:D,A444,'QA Log'!M:M,"Vignette",'QA Log'!L:L,"*Vignette [9] Birth Spacing: Change FP method to Injectable*"),
COUNTIFS('QA Log'!D:D,A444,'QA Log'!M:M,"Vignette",'QA Log'!L:L,"*Vignette [10] Post Partum Haemorrhage - Atonic Uterus at Health Centre*"),
)
)</f>
        <v/>
      </c>
      <c r="BF444" s="102" t="str">
        <f>IF(A444="","",
  SUM(
    COUNTIFS('QA Log'!D:D,A444,'QA Log'!M:M,"Vignette",'QA Log'!Z:Z,"Approved",'QA Log'!L:L,"*Vignette [5] Labor*"),
    COUNTIFS('QA Log'!D:D,A444,'QA Log'!M:M,"Vignette",'QA Log'!Z:Z,"Approved",'QA Log'!L:L,"*Vignette [6] PNC pre Discharge*"),
    COUNTIFS('QA Log'!D:D,A444,'QA Log'!M:M,"Vignette",'QA Log'!Z:Z,"Approved",'QA Log'!L:L,"*Vignette [7] First ANC Visit*"),
    COUNTIFS('QA Log'!D:D,A444,'QA Log'!M:M,"Vignette",'QA Log'!Z:Z,"Approved",'QA Log'!L:L,"*Vignette [8] Birth Spacing/ Family Planning :  FP Counselling*"),
    COUNTIFS('QA Log'!D:D,A444,'QA Log'!M:M,"Vignette",'QA Log'!Z:Z,"Approved",'QA Log'!L:L,"*Vignette [9] Birth Spacing: Change FP method to Injectable*"),
    COUNTIFS('QA Log'!D:D,A444,'QA Log'!M:M,"Vignette",'QA Log'!Z:Z,"Approved",'QA Log'!L:L,"*Vignette [10] Post Partum Haemorrhage - Atonic Uterus at Health Centre*")
  )
)</f>
        <v/>
      </c>
      <c r="BG444" s="105" t="str">
        <f>IF(A444&lt;&gt;"",COUNTIFS('QA Log'!D:D,A444,'QA Log'!M:M,"Vignette",'QA Log'!L:L,"Vignette [5] Labor",'QA Log'!Z:Z,"Approved"),"")</f>
        <v/>
      </c>
      <c r="BH444" s="105" t="str">
        <f>IF(A444&lt;&gt;"",COUNTIFS('QA Log'!D:D,A444,'QA Log'!M:M,"Vignette",'QA Log'!L:L,"Vignette [6] PNC pre Discharge",'QA Log'!Z:Z,"Approved"),"")</f>
        <v/>
      </c>
      <c r="BI444" s="105" t="str">
        <f>IF(A444&lt;&gt;"",COUNTIFS('QA Log'!D:D,A444,'QA Log'!M:M,"Vignette",'QA Log'!L:L,"Vignette [7] First ANC Visit",'QA Log'!Z:Z,"Approved"),"")</f>
        <v/>
      </c>
      <c r="BJ444" s="105" t="str">
        <f>IF(A444&lt;&gt;"",COUNTIFS('QA Log'!D:D,A444,'QA Log'!M:M,"Vignette",'QA Log'!L:L,"Vignette [8] Birth Spacing/ Family Planning :  FP Counselling",'QA Log'!Z:Z,"Approved"),"")</f>
        <v/>
      </c>
      <c r="BK444" s="105" t="str">
        <f>IF(A444&lt;&gt;"",COUNTIFS('QA Log'!D:D,A444,'QA Log'!M:M,"Vignette",'QA Log'!L:L,"Vignette [9] Birth Spacing: Change FP method to Injectable",'QA Log'!Z:Z,"Approved"),"")</f>
        <v/>
      </c>
      <c r="BL444" s="105" t="str">
        <f>IF(A444&lt;&gt;"",COUNTIFS('QA Log'!D:D,A444,'QA Log'!M:M,"Vignette",'QA Log'!L:L,"Vignette [10] Post Partum Haemorrhage - Atonic Uterus at Health Centre",'QA Log'!Z:Z,"Approved"),"")</f>
        <v/>
      </c>
      <c r="BM444" s="102" t="str">
        <f>IF(A444="","",SUM(
    COUNTIFS('QA Log'!D:D,A444,'QA Log'!M:M,"Vignette",'QA Log'!Z:Z,"Rejected",'QA Log'!L:L,"*Vignette [5] Labor*"),
    COUNTIFS('QA Log'!D:D,A444,'QA Log'!M:M,"Vignette",'QA Log'!Z:Z,"Rejected",'QA Log'!L:L,"*Vignette [6] PNC pre Discharge*"),
    COUNTIFS('QA Log'!D:D,A444,'QA Log'!M:M,"Vignette",'QA Log'!Z:Z,"Rejected",'QA Log'!L:L,"*Vignette [7] First ANC Visit*"),
    COUNTIFS('QA Log'!D:D,A444,'QA Log'!M:M,"Vignette",'QA Log'!Z:Z,"Rejected",'QA Log'!L:L,"*Vignette [8] Birth Spacing/ Family Planning :  FP Counselling*"),
    COUNTIFS('QA Log'!D:D,A444,'QA Log'!M:M,"Vignette",'QA Log'!Z:Z,"Rejected",'QA Log'!L:L,"*Vignette [9] Birth Spacing: Change FP method to Injectable*"),
    COUNTIFS('QA Log'!D:D,A444,'QA Log'!M:M,"Vignette",'QA Log'!Z:Z,"Rejected",'QA Log'!L:L,"*Vignette [10] Post Partum Haemorrhage - Atonic Uterus at Health Centre*")
  )
)</f>
        <v/>
      </c>
      <c r="BN444" s="107" t="str">
        <f t="shared" si="37"/>
        <v/>
      </c>
      <c r="BO444" s="103" t="str">
        <f t="shared" si="38"/>
        <v/>
      </c>
      <c r="BP444" s="102" t="str">
        <f>IF(A444="","",SUM(
COUNTIFS('QA Log'!D:D,A444,'QA Log'!M:M,"Vignette",'QA Log'!L:L,"*Exit Interview 1*"),
COUNTIFS('QA Log'!D:D,A444,'QA Log'!M:M,"Vignette",'QA Log'!L:L,"*Exit Interview 2*"),
)
)</f>
        <v/>
      </c>
      <c r="BQ444" s="102" t="str">
        <f>IF(
  A444="","",
  SUM(
    COUNTIFS('QA Log'!D:D,A444,'QA Log'!M:M,"Vignette",'QA Log'!Z:Z,"Approved",'QA Log'!L:L,"*Exit Interview 1*"),
    COUNTIFS('QA Log'!D:D,A444,'QA Log'!M:M,"Vignette",'QA Log'!Z:Z,"Approved",'QA Log'!L:L,"*Exit Interview 2*")
  )
)</f>
        <v/>
      </c>
      <c r="BR444" s="105" t="str">
        <f>IF(A444&lt;&gt;"",COUNTIFS('QA Log'!D:D,A444,'QA Log'!M:M,"Vignette",'QA Log'!L:L,"Exit Interview 1",'QA Log'!Z:Z,"Approved"),"")</f>
        <v/>
      </c>
      <c r="BS444" s="105" t="str">
        <f>IF(A444&lt;&gt;"",COUNTIFS('QA Log'!D:D,A444,'QA Log'!M:M,"Vignette",'QA Log'!L:L,"Exit Interview 2",'QA Log'!Z:Z,"Approved"),"")</f>
        <v/>
      </c>
      <c r="BT444" s="102" t="str">
        <f>IF(
  A444="","",
  SUM(
    COUNTIFS('QA Log'!D:D,A444,'QA Log'!M:M,"Vignette",'QA Log'!Z:Z,"Rejected",'QA Log'!L:L,"*Exit Interview 1*"),
    COUNTIFS('QA Log'!D:D,A444,'QA Log'!M:M,"Vignette",'QA Log'!Z:Z,"Rejected",'QA Log'!L:L,"*Exit Interview 2*")
  )
)</f>
        <v/>
      </c>
      <c r="BU444" s="107" t="str">
        <f t="shared" si="39"/>
        <v/>
      </c>
      <c r="BV444" s="102" t="str">
        <f t="shared" si="40"/>
        <v/>
      </c>
      <c r="BW444" s="102" t="str">
        <f t="shared" si="41"/>
        <v/>
      </c>
      <c r="BX444" s="102" t="str">
        <f t="shared" si="42"/>
        <v/>
      </c>
      <c r="BY444" s="102" t="str">
        <f t="shared" si="43"/>
        <v/>
      </c>
      <c r="BZ444" s="107" t="str">
        <f t="shared" si="44"/>
        <v/>
      </c>
      <c r="CA444" s="108" t="str">
        <f t="shared" si="45"/>
        <v/>
      </c>
      <c r="CB444" s="108" t="str">
        <f t="shared" si="46"/>
        <v/>
      </c>
      <c r="CC444" s="109" t="str">
        <f t="shared" si="47"/>
        <v/>
      </c>
      <c r="CD444" s="108" t="str">
        <f t="shared" si="48"/>
        <v/>
      </c>
      <c r="CE444" s="108" t="str">
        <f t="shared" si="49"/>
        <v/>
      </c>
      <c r="CF444" s="109" t="str">
        <f t="shared" si="50"/>
        <v/>
      </c>
      <c r="CG444" s="110" t="str">
        <f t="shared" si="51"/>
        <v/>
      </c>
      <c r="CH444" s="111"/>
    </row>
    <row r="445" spans="1:86" ht="12.75">
      <c r="A445" s="101"/>
      <c r="B445" s="102" t="e">
        <f t="array" aca="1" ref="B445" ca="1">_xludf.XLOOKUP(A445,'QA Log'!D:D,'QA Log'!E:E,"")</f>
        <v>#NAME?</v>
      </c>
      <c r="C445" s="102" t="e">
        <f t="array" aca="1" ref="C445" ca="1">_xludf.XLOOKUP(A445,'QA Log'!D:D,'QA Log'!F:F,"")</f>
        <v>#NAME?</v>
      </c>
      <c r="D445" s="102" t="e">
        <f t="array" aca="1" ref="D445" ca="1">_xludf.XLOOKUP(A445,'QA Log'!D:D,'QA Log'!H:H,"")</f>
        <v>#NAME?</v>
      </c>
      <c r="E445" s="102" t="e">
        <f t="array" aca="1" ref="E445" ca="1">_xludf.XLOOKUP(A445,'QA Log'!D:D,'QA Log'!G:G,"")</f>
        <v>#NAME?</v>
      </c>
      <c r="F445" s="103"/>
      <c r="G445" s="104"/>
      <c r="H445" s="104"/>
      <c r="I445" s="103" t="str">
        <f t="shared" si="26"/>
        <v/>
      </c>
      <c r="J445" s="102" t="str">
        <f>IF(A445="","",SUM(
COUNTIFS('QA Log'!D:D,A445,'QA Log'!M:M,"QQC",'QA Log'!L:L,"*1. General Management*"),
COUNTIFS('QA Log'!D:D,A445,'QA Log'!M:M,"QQC",'QA Log'!L:L,"*3. Curative Consultation (OPD)*"),
COUNTIFS('QA Log'!D:D,A445,'QA Log'!M:M,"QQC",'QA Log'!L:L,"*5. Laboratory*"),
COUNTIFS('QA Log'!D:D,A445,'QA Log'!M:M,"QQC",'QA Log'!L:L,"*6. Essential Medicine Management*"),
COUNTIFS('QA Log'!D:D,A445,'QA Log'!M:M,"QQC",'QA Log'!L:L,"*7. Tracer Medicine*"),
COUNTIFS('QA Log'!D:D,A445,'QA Log'!M:M,"QQC",'QA Log'!L:L,"*11. Additional Questions*")))</f>
        <v/>
      </c>
      <c r="K445" s="102" t="str">
        <f>IF(A445="","",SUM(
COUNTIFS('QA Log'!D:D,A445,'QA Log'!M:M,"QQC",'QA Log'!Z:Z,"Approved",'QA Log'!L:L,"*1. General Management*"),
COUNTIFS('QA Log'!D:D,A445,'QA Log'!M:M,"QQC",'QA Log'!Z:Z,"Approved",'QA Log'!L:L,"*3. Curative Consultation (OPD)*"),
COUNTIFS('QA Log'!D:D,A445,'QA Log'!M:M,"QQC",'QA Log'!Z:Z,"Approved",'QA Log'!L:L,"*5. Laboratory*"),
COUNTIFS('QA Log'!D:D,A445,'QA Log'!M:M,"QQC",'QA Log'!Z:Z,"Approved",'QA Log'!L:L,"*6. Essential Medicine Management*"),
COUNTIFS('QA Log'!D:D,A445,'QA Log'!M:M,"QQC",'QA Log'!Z:Z,"Approved",'QA Log'!L:L,"*7. Tracer Medicine*"),
COUNTIFS('QA Log'!D:D,A445,'QA Log'!M:M,"QQC",'QA Log'!Z:Z,"Approved",'QA Log'!L:L,"*11. Additional Questions*")))</f>
        <v/>
      </c>
      <c r="L445" s="102" t="str">
        <f>IF(A445&lt;&gt;"",COUNTIFS('QA Log'!D:D,A445,'QA Log'!M:M,"QQC",'QA Log'!L:L,"1. General Management",'QA Log'!Z:Z,"Approved"),"")</f>
        <v/>
      </c>
      <c r="M445" s="102" t="str">
        <f>IF(A445&lt;&gt;"",COUNTIFS('QA Log'!D:D,A445,'QA Log'!M:M,"QQC",'QA Log'!L:L,"3. Curative Consultation (OPD)",'QA Log'!Z:Z,"Approved"),"")</f>
        <v/>
      </c>
      <c r="N445" s="102" t="str">
        <f>IF(A445&lt;&gt;"",COUNTIFS('QA Log'!D:D,A445,'QA Log'!M:M,"QQC",'QA Log'!L:L,"5. Laboratory",'QA Log'!Z:Z,"Approved"),"")</f>
        <v/>
      </c>
      <c r="O445" s="102" t="str">
        <f>IF(A445&lt;&gt;"",COUNTIFS('QA Log'!D:D,A445,'QA Log'!M:M,"QQC",'QA Log'!L:L,"6. Essential Medicine Management",'QA Log'!Z:Z,"Approved"),"")</f>
        <v/>
      </c>
      <c r="P445" s="102" t="str">
        <f>IF(A445&lt;&gt;"",COUNTIFS('QA Log'!D:D,A445,'QA Log'!M:M,"QQC",'QA Log'!L:L,"7. Tracer Medicine",'QA Log'!Z:Z,"Approved"),"")</f>
        <v/>
      </c>
      <c r="Q445" s="102" t="str">
        <f>IF(A445&lt;&gt;"",COUNTIFS('QA Log'!D:D,A445,'QA Log'!M:M,"QQC",'QA Log'!L:L,"11. Additional Questions",'QA Log'!Z:Z,"Approved"),"")</f>
        <v/>
      </c>
      <c r="R445" s="102" t="str">
        <f>IF(A445="","",SUM(
COUNTIFS('QA Log'!D:D,A445,'QA Log'!M:M,"QQC",'QA Log'!Z:Z,"Rejected",'QA Log'!L:L,"*8. Maternity*"),
COUNTIFS('QA Log'!D:D,A445,'QA Log'!M:M,"QQC",'QA Log'!Z:Z,"Rejected",'QA Log'!L:L,"*EPI*"),
COUNTIFS('QA Log'!D:D,A445,'QA Log'!M:M,"QQC",'QA Log'!Z:Z,"Rejected",'QA Log'!L:L,"*10. Antenatal Care (ANC)*"),
COUNTIFS('QA Log'!D:D,A445,'QA Log'!M:M,"QQC",'QA Log'!Z:Z,"Rejected",'QA Log'!L:L,"*2. Hygiene and Sterilization*"),
COUNTIFS('QA Log'!D:D,A445,'QA Log'!M:M,"QQC",'QA Log'!Z:Z,"Rejected",'QA Log'!L:L,"*Family Planning*")))</f>
        <v/>
      </c>
      <c r="S445" s="106" t="str">
        <f t="shared" si="27"/>
        <v/>
      </c>
      <c r="T445" s="102" t="str">
        <f t="shared" si="28"/>
        <v/>
      </c>
      <c r="U445" s="102" t="str">
        <f>IF(A445="","",
SUM(
COUNTIFS('QA Log'!D:D,A445,'QA Log'!M:M,"QQC",'QA Log'!L:L,"*8. Maternity*"),
COUNTIFS('QA Log'!D:D,A445,'QA Log'!M:M,"QQC",'QA Log'!L:L,"*9. EPI and Pre-school Consultation*"),
COUNTIFS('QA Log'!D:D,A445,'QA Log'!M:M,"QQC",'QA Log'!L:L,"*10. Antenatal Care (ANC)*"),
COUNTIFS('QA Log'!D:D,A445,'QA Log'!M:M,"QQC",'QA Log'!L:L,"*2. Hygiene and Sterilization*"),
COUNTIFS('QA Log'!D:D,A445,'QA Log'!M:M,"QQC",'QA Log'!L:L,"*4. Family Planning*")
))</f>
        <v/>
      </c>
      <c r="V445" s="102" t="str">
        <f>IF(A445="","",
SUM(
COUNTIFS('QA Log'!D:D,A445,'QA Log'!M:M,"QQC",'QA Log'!Z:Z,"Approved",'QA Log'!L:L,"*8. Maternity*"),
COUNTIFS('QA Log'!D:D,A445,'QA Log'!M:M,"QQC",'QA Log'!Z:Z,"Approved",'QA Log'!L:L,"*9. EPI and Pre-school Consultation*"),
COUNTIFS('QA Log'!D:D,A445,'QA Log'!M:M,"QQC",'QA Log'!Z:Z,"Approved",'QA Log'!L:L,"*10. Antenatal Care (ANC)*"),
COUNTIFS('QA Log'!D:D,A445,'QA Log'!M:M,"QQC",'QA Log'!Z:Z,"Approved",'QA Log'!L:L,"*2. Hygiene and Sterilization*"),
COUNTIFS('QA Log'!D:D,A445,'QA Log'!M:M,"QQC",'QA Log'!Z:Z,"Approved",'QA Log'!L:L,"*4. Family Planning*")
))</f>
        <v/>
      </c>
      <c r="W445" s="102" t="str">
        <f>IF(A445&lt;&gt;"",COUNTIFS('QA Log'!D:D,A445,'QA Log'!M:M,"QQC",'QA Log'!L:L,"8. Maternity",'QA Log'!Z:Z,"Approved"),"")</f>
        <v/>
      </c>
      <c r="X445" s="105" t="str">
        <f>IF(A445&lt;&gt;"",COUNTIFS('QA Log'!D:D,A445,'QA Log'!M:M,"QQC",'QA Log'!L:L,"9. EPI and Pre-school Consultation",'QA Log'!Z:Z,"Approved"),"")</f>
        <v/>
      </c>
      <c r="Y445" s="102" t="str">
        <f>IF(A445&lt;&gt;"",COUNTIFS('QA Log'!D:D,A445,'QA Log'!M:M,"QQC",'QA Log'!L:L,"10. Antenatal Care (ANC)",'QA Log'!Z:Z,"Approved"),"")</f>
        <v/>
      </c>
      <c r="Z445" s="102" t="str">
        <f>IF(A445&lt;&gt;"",COUNTIFS('QA Log'!D:D,A445,'QA Log'!M:M,"QQC",'QA Log'!L:L,"2. Hygiene and Sterilization",'QA Log'!Z:Z,"Approved"),"")</f>
        <v/>
      </c>
      <c r="AA445" s="105" t="str">
        <f>IF(A445&lt;&gt;"",COUNTIFS('QA Log'!D:D,A445,'QA Log'!M:M,"QQC",'QA Log'!L:L,"4. Family Planning",'QA Log'!Z:Z,"Approved"),"")</f>
        <v/>
      </c>
      <c r="AB445" s="102" t="str">
        <f>IF(A445="","",
SUM(
COUNTIFS('QA Log'!D:D,A445,'QA Log'!M:M,"QQC",'QA Log'!Z:Z,"Rejected",'QA Log'!L:L,"*8. Maternity*"),
COUNTIFS('QA Log'!D:D,A445,'QA Log'!M:M,"QQC",'QA Log'!Z:Z,"Rejected",'QA Log'!L:L,"*9. EPI and Pre-school Consultation*"),
COUNTIFS('QA Log'!D:D,A445,'QA Log'!M:M,"QQC",'QA Log'!Z:Z,"Rejected",'QA Log'!L:L,"*10. Antenatal Care (ANC)*"),
COUNTIFS('QA Log'!D:D,A445,'QA Log'!M:M,"QQC",'QA Log'!Z:Z,"Rejected",'QA Log'!L:L,"*2. Hygiene and Sterilization*"),
COUNTIFS('QA Log'!D:D,A445,'QA Log'!M:M,"QQC",'QA Log'!Z:Z,"Rejected",'QA Log'!L:L,"*4. Family Planning*")
))</f>
        <v/>
      </c>
      <c r="AC445" s="102" t="str">
        <f t="shared" si="29"/>
        <v/>
      </c>
      <c r="AD445" s="103" t="str">
        <f t="shared" si="30"/>
        <v/>
      </c>
      <c r="AE445" s="102" t="str">
        <f>IF(A445="","",
SUM(
COUNTIFS('QA Log'!D:D,A445,'QA Log'!M:M,"Data Verification",'QA Log'!L:L,"*Medicine (section 2)*"),
COUNTIFS('QA Log'!D:D,A445,'QA Log'!M:M,"Data Verification",'QA Log'!L:L,"*Lab Testing Availability*"),
COUNTIFS('QA Log'!D:D,A445,'QA Log'!M:M,"Data Verification",'QA Log'!L:L,"*Other than P4P (section 6)*"),
COUNTIFS('QA Log'!D:D,A445,'QA Log'!M:M,"Data Verification",'QA Log'!L:L,"*Hospital Governance*")
))</f>
        <v/>
      </c>
      <c r="AF445" s="102" t="str">
        <f>IF(A445="","",
SUM(
COUNTIFS('QA Log'!D:D,A445,'QA Log'!M:M,"Data Verification",'QA Log'!Z:Z,"Approved",'QA Log'!L:L,"*Medicine (section 2)*"),
COUNTIFS('QA Log'!D:D,A445,'QA Log'!M:M,"Data Verification",'QA Log'!Z:Z,"Approved",'QA Log'!L:L,"*Lab Testing Availability*"),
COUNTIFS('QA Log'!D:D,A445,'QA Log'!M:M,"Data Verification",'QA Log'!Z:Z,"Approved",'QA Log'!L:L,"*Other than P4P (section 6)*"),
COUNTIFS('QA Log'!D:D,A445,'QA Log'!M:M,"Data Verification",'QA Log'!Z:Z,"Approved",'QA Log'!L:L,"*Hospital Governance*")
))</f>
        <v/>
      </c>
      <c r="AG445" s="105" t="str">
        <f>IF(A445&lt;&gt;"",COUNTIFS('QA Log'!D:D,A445,'QA Log'!M:M,"Data Verification",'QA Log'!L:L,"Medicine (section 2)",'QA Log'!Z:Z,"Approved"),"")</f>
        <v/>
      </c>
      <c r="AH445" s="105" t="str">
        <f>IF(A445&lt;&gt;"",COUNTIFS('QA Log'!D:D,A445,'QA Log'!M:M,"Data Verification",'QA Log'!L:L,"Lab Testing Availability",'QA Log'!Z:Z,"Approved"),"")</f>
        <v/>
      </c>
      <c r="AI445" s="105" t="str">
        <f>IF(A445&lt;&gt;"",COUNTIFS('QA Log'!D:D,A445,'QA Log'!M:M,"Data Verification",'QA Log'!L:L,"Other than P4P (section 6)",'QA Log'!Z:Z,"Approved"),"")</f>
        <v/>
      </c>
      <c r="AJ445" s="105" t="str">
        <f>IF(A445&lt;&gt;"",COUNTIFS('QA Log'!D:D,A445,'QA Log'!M:M,"Data Verification",'QA Log'!L:L,"Hospital Governance",'QA Log'!Z:Z,"Approved"),"")</f>
        <v/>
      </c>
      <c r="AK445" s="102" t="str">
        <f>IF(A445="","",
SUM(
COUNTIFS('QA Log'!D:D,A445,'QA Log'!M:M,"Data Verification",'QA Log'!Z:Z,"Rejected",'QA Log'!L:L,"*Medicine (section 2)*"),
COUNTIFS('QA Log'!D:D,A445,'QA Log'!M:M,"Data Verification",'QA Log'!Z:Z,"Rejected",'QA Log'!L:L,"*Lab Testing Availability*"),
COUNTIFS('QA Log'!D:D,A445,'QA Log'!M:M,"Data Verification",'QA Log'!Z:Z,"Rejected",'QA Log'!L:L,"*Other than P4P (section 6)*"),
COUNTIFS('QA Log'!D:D,A445,'QA Log'!M:M,"Data Verification",'QA Log'!Z:Z,"Rejected",'QA Log'!L:L,"*Hospital Governance*")
))</f>
        <v/>
      </c>
      <c r="AL445" s="106" t="str">
        <f t="shared" si="31"/>
        <v/>
      </c>
      <c r="AM445" s="102" t="str">
        <f t="shared" si="32"/>
        <v/>
      </c>
      <c r="AN445" s="102" t="str">
        <f>IF(A445="","",
SUM(
COUNTIFS('QA Log'!D:D,A445,'QA Log'!M:M,"Data Verification",'QA Log'!L:L,"*Personnel (section 1)*"),
COUNTIFS('QA Log'!D:D,A445,'QA Log'!M:M,"Data Verification",'QA Log'!L:L,"*Consumable (section 3)*"),
COUNTIFS('QA Log'!D:D,A445,'QA Log'!M:M,"Data Verification",'QA Log'!L:L,"*Equipments (section 4)*")
))</f>
        <v/>
      </c>
      <c r="AO445" s="102" t="str">
        <f>IF(A445="","",
SUM(
COUNTIFS('QA Log'!D:D,A445,'QA Log'!M:M,"Data Verification",'QA Log'!Z:Z,"Approved",'QA Log'!L:L,"*Personnel (section 1)*"),
COUNTIFS('QA Log'!D:D,A445,'QA Log'!M:M,"Data Verification",'QA Log'!Z:Z,"Approved",'QA Log'!L:L,"*Consumable (section 3)*"),
COUNTIFS('QA Log'!D:D,A445,'QA Log'!M:M,"Data Verification",'QA Log'!Z:Z,"Approved",'QA Log'!L:L,"*Equipments (section 4)*")
))</f>
        <v/>
      </c>
      <c r="AP445" s="105" t="str">
        <f>IF(A445&lt;&gt;"",COUNTIFS('QA Log'!D:D,A445,'QA Log'!M:M,"Data Verification",'QA Log'!L:L,"Personnel (section 1)",'QA Log'!Z:Z,"Approved"),"")</f>
        <v/>
      </c>
      <c r="AQ445" s="105" t="str">
        <f>IF(A445&lt;&gt;"",COUNTIFS('QA Log'!D:D,A445,'QA Log'!M:M,"Data Verification",'QA Log'!L:L,"Consumable (section 3)",'QA Log'!Z:Z,"Approved"),"")</f>
        <v/>
      </c>
      <c r="AR445" s="105" t="str">
        <f>IF(A445&lt;&gt;"",COUNTIFS('QA Log'!D:D,A445,'QA Log'!M:M,"Data Verification",'QA Log'!L:L,"Equipments (section 4)",'QA Log'!Z:Z,"Approved"),"")</f>
        <v/>
      </c>
      <c r="AS445" s="102" t="str">
        <f>IF(A445="","",
SUM(
COUNTIFS('QA Log'!D:D,A445,'QA Log'!M:M,"Data Verification",'QA Log'!Z:Z,"Rejected",'QA Log'!L:L,"*Personnel (section 1)*"),
COUNTIFS('QA Log'!D:D,A445,'QA Log'!M:M,"Data Verification",'QA Log'!Z:Z,"Rejected",'QA Log'!L:L,"*Consumable (section 3)*"),
COUNTIFS('QA Log'!D:D,A445,'QA Log'!M:M,"Data Verification",'QA Log'!Z:Z,"Rejected",'QA Log'!L:L,"*Equipments (section 4)*")
))</f>
        <v/>
      </c>
      <c r="AT445" s="102" t="str">
        <f t="shared" si="33"/>
        <v/>
      </c>
      <c r="AU445" s="103" t="str">
        <f t="shared" si="34"/>
        <v/>
      </c>
      <c r="AV445" s="102" t="str">
        <f>IF(A445="","",SUM(
COUNTIFS('QA Log'!D:D,A445,'QA Log'!M:M,"Vignette",'QA Log'!L:L,"*Vignette [1] Respiratory Infection: Pneumonia*"),
COUNTIFS('QA Log'!D:D,A445,'QA Log'!M:M,"Vignette",'QA Log'!L:L,"*Vignette [2]: Diarrhea with Cat B dehydration*"),
COUNTIFS('QA Log'!D:D,A445,'QA Log'!M:M,"Vignette",'QA Log'!L:L,"*Vignette [3] Growth Monitoring and Promotion*"),
COUNTIFS('QA Log'!D:D,A445,'QA Log'!M:M,"Vignette",'QA Log'!L:L,"*Vignette [4]: The management of presumptive TB patient*")
)
)</f>
        <v/>
      </c>
      <c r="AW445" s="102" t="str">
        <f>IF(
  A445="","",
  SUM(
    COUNTIFS('QA Log'!D:D,A445,'QA Log'!M:M,"Vignette",'QA Log'!Z:Z,"Approved",'QA Log'!L:L,"*Vignette [1] Respiratory Infection: Pneumonia*"),
    COUNTIFS('QA Log'!D:D,A445,'QA Log'!M:M,"Vignette",'QA Log'!Z:Z,"Approved",'QA Log'!L:L,"*Vignette [2]: Diarrhea with Cat B dehydration*"),
    COUNTIFS('QA Log'!D:D,A445,'QA Log'!M:M,"Vignette",'QA Log'!Z:Z,"Approved",'QA Log'!L:L,"*Vignette [3] Growth Monitoring and Promotion*"),
    COUNTIFS('QA Log'!D:D,A445,'QA Log'!M:M,"Vignette",'QA Log'!Z:Z,"Approved",'QA Log'!L:L,"*Vignette [4]: The management of presumptive TB patient*")
  )
)</f>
        <v/>
      </c>
      <c r="AX445" s="105" t="str">
        <f>IF(A445&lt;&gt;"",COUNTIFS('QA Log'!D:D,A445,'QA Log'!M:M,"Vignette",'QA Log'!L:L,"Vignette [1] Respiratory Infection: Pneumonia",'QA Log'!Z:Z,"Approved"),"")</f>
        <v/>
      </c>
      <c r="AY445" s="105" t="str">
        <f>IF(A445&lt;&gt;"",COUNTIFS('QA Log'!D:D,A445,'QA Log'!M:M,"Vignette",'QA Log'!L:L,"Vignette [2]: Diarrhea with Cat B dehydration",'QA Log'!Z:Z,"Approved"),"")</f>
        <v/>
      </c>
      <c r="AZ445" s="105" t="str">
        <f>IF(A445&lt;&gt;"",COUNTIFS('QA Log'!D:D,A445,'QA Log'!M:M,"Vignette",'QA Log'!L:L,"Vignette [3] Growth Monitoring and Promotion",'QA Log'!Z:Z,"Approved"),"")</f>
        <v/>
      </c>
      <c r="BA445" s="105" t="str">
        <f>IF(A445&lt;&gt;"",COUNTIFS('QA Log'!D:D,A445,'QA Log'!M:M,"Vignette",'QA Log'!L:L,"Vignette [4]: The management of presumptive TB patient",'QA Log'!Z:Z,"Approved"),"")</f>
        <v/>
      </c>
      <c r="BB445" s="102" t="str">
        <f>IF(A445="","",
  SUM(
    COUNTIFS('QA Log'!D:D,A445,'QA Log'!M:M,"Vignette",'QA Log'!Z:Z,"Rejected",'QA Log'!L:L,"*Vignette [1] Respiratory Infection: Pneumonia*"),
    COUNTIFS('QA Log'!D:D,A445,'QA Log'!M:M,"Vignette",'QA Log'!Z:Z,"Rejected",'QA Log'!L:L,"*Vignette [2]: Diarrhea with Cat B dehydration*"),
    COUNTIFS('QA Log'!D:D,A445,'QA Log'!M:M,"Vignette",'QA Log'!Z:Z,"Rejected",'QA Log'!L:L,"*Vignette [3] Growth Monitoring and Promotion*"),
    COUNTIFS('QA Log'!D:D,A445,'QA Log'!M:M,"Vignette",'QA Log'!Z:Z,"Rejected",'QA Log'!L:L,"*Vignette [4]: The management of presumptive TB patient*")
  )
)</f>
        <v/>
      </c>
      <c r="BC445" s="107" t="str">
        <f t="shared" si="35"/>
        <v/>
      </c>
      <c r="BD445" s="103" t="str">
        <f t="shared" si="36"/>
        <v/>
      </c>
      <c r="BE445" s="102" t="str">
        <f>IF(A445="","",SUM(
COUNTIFS('QA Log'!D:D,A445,'QA Log'!M:M,"Vignette",'QA Log'!L:L,"*Vignette [5] Labor*"),
COUNTIFS('QA Log'!D:D,A445,'QA Log'!M:M,"Vignette",'QA Log'!L:L,"*Vignette [6] PNC pre Discharge*"),
COUNTIFS('QA Log'!D:D,A445,'QA Log'!M:M,"Vignette",'QA Log'!L:L,"*Vignette [7] First ANC Visit*"),
COUNTIFS('QA Log'!D:D,A445,'QA Log'!M:M,"Vignette",'QA Log'!L:L,"*Vignette [8] Birth Spacing/ Family Planning :  FP Counselling*"),
COUNTIFS('QA Log'!D:D,A445,'QA Log'!M:M,"Vignette",'QA Log'!L:L,"*Vignette [9] Birth Spacing: Change FP method to Injectable*"),
COUNTIFS('QA Log'!D:D,A445,'QA Log'!M:M,"Vignette",'QA Log'!L:L,"*Vignette [10] Post Partum Haemorrhage - Atonic Uterus at Health Centre*"),
)
)</f>
        <v/>
      </c>
      <c r="BF445" s="102" t="str">
        <f>IF(A445="","",
  SUM(
    COUNTIFS('QA Log'!D:D,A445,'QA Log'!M:M,"Vignette",'QA Log'!Z:Z,"Approved",'QA Log'!L:L,"*Vignette [5] Labor*"),
    COUNTIFS('QA Log'!D:D,A445,'QA Log'!M:M,"Vignette",'QA Log'!Z:Z,"Approved",'QA Log'!L:L,"*Vignette [6] PNC pre Discharge*"),
    COUNTIFS('QA Log'!D:D,A445,'QA Log'!M:M,"Vignette",'QA Log'!Z:Z,"Approved",'QA Log'!L:L,"*Vignette [7] First ANC Visit*"),
    COUNTIFS('QA Log'!D:D,A445,'QA Log'!M:M,"Vignette",'QA Log'!Z:Z,"Approved",'QA Log'!L:L,"*Vignette [8] Birth Spacing/ Family Planning :  FP Counselling*"),
    COUNTIFS('QA Log'!D:D,A445,'QA Log'!M:M,"Vignette",'QA Log'!Z:Z,"Approved",'QA Log'!L:L,"*Vignette [9] Birth Spacing: Change FP method to Injectable*"),
    COUNTIFS('QA Log'!D:D,A445,'QA Log'!M:M,"Vignette",'QA Log'!Z:Z,"Approved",'QA Log'!L:L,"*Vignette [10] Post Partum Haemorrhage - Atonic Uterus at Health Centre*")
  )
)</f>
        <v/>
      </c>
      <c r="BG445" s="105" t="str">
        <f>IF(A445&lt;&gt;"",COUNTIFS('QA Log'!D:D,A445,'QA Log'!M:M,"Vignette",'QA Log'!L:L,"Vignette [5] Labor",'QA Log'!Z:Z,"Approved"),"")</f>
        <v/>
      </c>
      <c r="BH445" s="105" t="str">
        <f>IF(A445&lt;&gt;"",COUNTIFS('QA Log'!D:D,A445,'QA Log'!M:M,"Vignette",'QA Log'!L:L,"Vignette [6] PNC pre Discharge",'QA Log'!Z:Z,"Approved"),"")</f>
        <v/>
      </c>
      <c r="BI445" s="105" t="str">
        <f>IF(A445&lt;&gt;"",COUNTIFS('QA Log'!D:D,A445,'QA Log'!M:M,"Vignette",'QA Log'!L:L,"Vignette [7] First ANC Visit",'QA Log'!Z:Z,"Approved"),"")</f>
        <v/>
      </c>
      <c r="BJ445" s="105" t="str">
        <f>IF(A445&lt;&gt;"",COUNTIFS('QA Log'!D:D,A445,'QA Log'!M:M,"Vignette",'QA Log'!L:L,"Vignette [8] Birth Spacing/ Family Planning :  FP Counselling",'QA Log'!Z:Z,"Approved"),"")</f>
        <v/>
      </c>
      <c r="BK445" s="105" t="str">
        <f>IF(A445&lt;&gt;"",COUNTIFS('QA Log'!D:D,A445,'QA Log'!M:M,"Vignette",'QA Log'!L:L,"Vignette [9] Birth Spacing: Change FP method to Injectable",'QA Log'!Z:Z,"Approved"),"")</f>
        <v/>
      </c>
      <c r="BL445" s="105" t="str">
        <f>IF(A445&lt;&gt;"",COUNTIFS('QA Log'!D:D,A445,'QA Log'!M:M,"Vignette",'QA Log'!L:L,"Vignette [10] Post Partum Haemorrhage - Atonic Uterus at Health Centre",'QA Log'!Z:Z,"Approved"),"")</f>
        <v/>
      </c>
      <c r="BM445" s="102" t="str">
        <f>IF(A445="","",SUM(
    COUNTIFS('QA Log'!D:D,A445,'QA Log'!M:M,"Vignette",'QA Log'!Z:Z,"Rejected",'QA Log'!L:L,"*Vignette [5] Labor*"),
    COUNTIFS('QA Log'!D:D,A445,'QA Log'!M:M,"Vignette",'QA Log'!Z:Z,"Rejected",'QA Log'!L:L,"*Vignette [6] PNC pre Discharge*"),
    COUNTIFS('QA Log'!D:D,A445,'QA Log'!M:M,"Vignette",'QA Log'!Z:Z,"Rejected",'QA Log'!L:L,"*Vignette [7] First ANC Visit*"),
    COUNTIFS('QA Log'!D:D,A445,'QA Log'!M:M,"Vignette",'QA Log'!Z:Z,"Rejected",'QA Log'!L:L,"*Vignette [8] Birth Spacing/ Family Planning :  FP Counselling*"),
    COUNTIFS('QA Log'!D:D,A445,'QA Log'!M:M,"Vignette",'QA Log'!Z:Z,"Rejected",'QA Log'!L:L,"*Vignette [9] Birth Spacing: Change FP method to Injectable*"),
    COUNTIFS('QA Log'!D:D,A445,'QA Log'!M:M,"Vignette",'QA Log'!Z:Z,"Rejected",'QA Log'!L:L,"*Vignette [10] Post Partum Haemorrhage - Atonic Uterus at Health Centre*")
  )
)</f>
        <v/>
      </c>
      <c r="BN445" s="107" t="str">
        <f t="shared" si="37"/>
        <v/>
      </c>
      <c r="BO445" s="103" t="str">
        <f t="shared" si="38"/>
        <v/>
      </c>
      <c r="BP445" s="102" t="str">
        <f>IF(A445="","",SUM(
COUNTIFS('QA Log'!D:D,A445,'QA Log'!M:M,"Vignette",'QA Log'!L:L,"*Exit Interview 1*"),
COUNTIFS('QA Log'!D:D,A445,'QA Log'!M:M,"Vignette",'QA Log'!L:L,"*Exit Interview 2*"),
)
)</f>
        <v/>
      </c>
      <c r="BQ445" s="102" t="str">
        <f>IF(
  A445="","",
  SUM(
    COUNTIFS('QA Log'!D:D,A445,'QA Log'!M:M,"Vignette",'QA Log'!Z:Z,"Approved",'QA Log'!L:L,"*Exit Interview 1*"),
    COUNTIFS('QA Log'!D:D,A445,'QA Log'!M:M,"Vignette",'QA Log'!Z:Z,"Approved",'QA Log'!L:L,"*Exit Interview 2*")
  )
)</f>
        <v/>
      </c>
      <c r="BR445" s="105" t="str">
        <f>IF(A445&lt;&gt;"",COUNTIFS('QA Log'!D:D,A445,'QA Log'!M:M,"Vignette",'QA Log'!L:L,"Exit Interview 1",'QA Log'!Z:Z,"Approved"),"")</f>
        <v/>
      </c>
      <c r="BS445" s="105" t="str">
        <f>IF(A445&lt;&gt;"",COUNTIFS('QA Log'!D:D,A445,'QA Log'!M:M,"Vignette",'QA Log'!L:L,"Exit Interview 2",'QA Log'!Z:Z,"Approved"),"")</f>
        <v/>
      </c>
      <c r="BT445" s="102" t="str">
        <f>IF(
  A445="","",
  SUM(
    COUNTIFS('QA Log'!D:D,A445,'QA Log'!M:M,"Vignette",'QA Log'!Z:Z,"Rejected",'QA Log'!L:L,"*Exit Interview 1*"),
    COUNTIFS('QA Log'!D:D,A445,'QA Log'!M:M,"Vignette",'QA Log'!Z:Z,"Rejected",'QA Log'!L:L,"*Exit Interview 2*")
  )
)</f>
        <v/>
      </c>
      <c r="BU445" s="107" t="str">
        <f t="shared" si="39"/>
        <v/>
      </c>
      <c r="BV445" s="102" t="str">
        <f t="shared" si="40"/>
        <v/>
      </c>
      <c r="BW445" s="102" t="str">
        <f t="shared" si="41"/>
        <v/>
      </c>
      <c r="BX445" s="102" t="str">
        <f t="shared" si="42"/>
        <v/>
      </c>
      <c r="BY445" s="102" t="str">
        <f t="shared" si="43"/>
        <v/>
      </c>
      <c r="BZ445" s="107" t="str">
        <f t="shared" si="44"/>
        <v/>
      </c>
      <c r="CA445" s="108" t="str">
        <f t="shared" si="45"/>
        <v/>
      </c>
      <c r="CB445" s="108" t="str">
        <f t="shared" si="46"/>
        <v/>
      </c>
      <c r="CC445" s="109" t="str">
        <f t="shared" si="47"/>
        <v/>
      </c>
      <c r="CD445" s="108" t="str">
        <f t="shared" si="48"/>
        <v/>
      </c>
      <c r="CE445" s="108" t="str">
        <f t="shared" si="49"/>
        <v/>
      </c>
      <c r="CF445" s="109" t="str">
        <f t="shared" si="50"/>
        <v/>
      </c>
      <c r="CG445" s="110" t="str">
        <f t="shared" si="51"/>
        <v/>
      </c>
      <c r="CH445" s="111"/>
    </row>
    <row r="446" spans="1:86" ht="12.75">
      <c r="A446" s="101"/>
      <c r="B446" s="102" t="e">
        <f t="array" aca="1" ref="B446" ca="1">_xludf.XLOOKUP(A446,'QA Log'!D:D,'QA Log'!E:E,"")</f>
        <v>#NAME?</v>
      </c>
      <c r="C446" s="102" t="e">
        <f t="array" aca="1" ref="C446" ca="1">_xludf.XLOOKUP(A446,'QA Log'!D:D,'QA Log'!F:F,"")</f>
        <v>#NAME?</v>
      </c>
      <c r="D446" s="102" t="e">
        <f t="array" aca="1" ref="D446" ca="1">_xludf.XLOOKUP(A446,'QA Log'!D:D,'QA Log'!H:H,"")</f>
        <v>#NAME?</v>
      </c>
      <c r="E446" s="102" t="e">
        <f t="array" aca="1" ref="E446" ca="1">_xludf.XLOOKUP(A446,'QA Log'!D:D,'QA Log'!G:G,"")</f>
        <v>#NAME?</v>
      </c>
      <c r="F446" s="103"/>
      <c r="G446" s="104"/>
      <c r="H446" s="104"/>
      <c r="I446" s="103" t="str">
        <f t="shared" si="26"/>
        <v/>
      </c>
      <c r="J446" s="102" t="str">
        <f>IF(A446="","",SUM(
COUNTIFS('QA Log'!D:D,A446,'QA Log'!M:M,"QQC",'QA Log'!L:L,"*1. General Management*"),
COUNTIFS('QA Log'!D:D,A446,'QA Log'!M:M,"QQC",'QA Log'!L:L,"*3. Curative Consultation (OPD)*"),
COUNTIFS('QA Log'!D:D,A446,'QA Log'!M:M,"QQC",'QA Log'!L:L,"*5. Laboratory*"),
COUNTIFS('QA Log'!D:D,A446,'QA Log'!M:M,"QQC",'QA Log'!L:L,"*6. Essential Medicine Management*"),
COUNTIFS('QA Log'!D:D,A446,'QA Log'!M:M,"QQC",'QA Log'!L:L,"*7. Tracer Medicine*"),
COUNTIFS('QA Log'!D:D,A446,'QA Log'!M:M,"QQC",'QA Log'!L:L,"*11. Additional Questions*")))</f>
        <v/>
      </c>
      <c r="K446" s="102" t="str">
        <f>IF(A446="","",SUM(
COUNTIFS('QA Log'!D:D,A446,'QA Log'!M:M,"QQC",'QA Log'!Z:Z,"Approved",'QA Log'!L:L,"*1. General Management*"),
COUNTIFS('QA Log'!D:D,A446,'QA Log'!M:M,"QQC",'QA Log'!Z:Z,"Approved",'QA Log'!L:L,"*3. Curative Consultation (OPD)*"),
COUNTIFS('QA Log'!D:D,A446,'QA Log'!M:M,"QQC",'QA Log'!Z:Z,"Approved",'QA Log'!L:L,"*5. Laboratory*"),
COUNTIFS('QA Log'!D:D,A446,'QA Log'!M:M,"QQC",'QA Log'!Z:Z,"Approved",'QA Log'!L:L,"*6. Essential Medicine Management*"),
COUNTIFS('QA Log'!D:D,A446,'QA Log'!M:M,"QQC",'QA Log'!Z:Z,"Approved",'QA Log'!L:L,"*7. Tracer Medicine*"),
COUNTIFS('QA Log'!D:D,A446,'QA Log'!M:M,"QQC",'QA Log'!Z:Z,"Approved",'QA Log'!L:L,"*11. Additional Questions*")))</f>
        <v/>
      </c>
      <c r="L446" s="102" t="str">
        <f>IF(A446&lt;&gt;"",COUNTIFS('QA Log'!D:D,A446,'QA Log'!M:M,"QQC",'QA Log'!L:L,"1. General Management",'QA Log'!Z:Z,"Approved"),"")</f>
        <v/>
      </c>
      <c r="M446" s="102" t="str">
        <f>IF(A446&lt;&gt;"",COUNTIFS('QA Log'!D:D,A446,'QA Log'!M:M,"QQC",'QA Log'!L:L,"3. Curative Consultation (OPD)",'QA Log'!Z:Z,"Approved"),"")</f>
        <v/>
      </c>
      <c r="N446" s="102" t="str">
        <f>IF(A446&lt;&gt;"",COUNTIFS('QA Log'!D:D,A446,'QA Log'!M:M,"QQC",'QA Log'!L:L,"5. Laboratory",'QA Log'!Z:Z,"Approved"),"")</f>
        <v/>
      </c>
      <c r="O446" s="102" t="str">
        <f>IF(A446&lt;&gt;"",COUNTIFS('QA Log'!D:D,A446,'QA Log'!M:M,"QQC",'QA Log'!L:L,"6. Essential Medicine Management",'QA Log'!Z:Z,"Approved"),"")</f>
        <v/>
      </c>
      <c r="P446" s="102" t="str">
        <f>IF(A446&lt;&gt;"",COUNTIFS('QA Log'!D:D,A446,'QA Log'!M:M,"QQC",'QA Log'!L:L,"7. Tracer Medicine",'QA Log'!Z:Z,"Approved"),"")</f>
        <v/>
      </c>
      <c r="Q446" s="102" t="str">
        <f>IF(A446&lt;&gt;"",COUNTIFS('QA Log'!D:D,A446,'QA Log'!M:M,"QQC",'QA Log'!L:L,"11. Additional Questions",'QA Log'!Z:Z,"Approved"),"")</f>
        <v/>
      </c>
      <c r="R446" s="102" t="str">
        <f>IF(A446="","",SUM(
COUNTIFS('QA Log'!D:D,A446,'QA Log'!M:M,"QQC",'QA Log'!Z:Z,"Rejected",'QA Log'!L:L,"*8. Maternity*"),
COUNTIFS('QA Log'!D:D,A446,'QA Log'!M:M,"QQC",'QA Log'!Z:Z,"Rejected",'QA Log'!L:L,"*EPI*"),
COUNTIFS('QA Log'!D:D,A446,'QA Log'!M:M,"QQC",'QA Log'!Z:Z,"Rejected",'QA Log'!L:L,"*10. Antenatal Care (ANC)*"),
COUNTIFS('QA Log'!D:D,A446,'QA Log'!M:M,"QQC",'QA Log'!Z:Z,"Rejected",'QA Log'!L:L,"*2. Hygiene and Sterilization*"),
COUNTIFS('QA Log'!D:D,A446,'QA Log'!M:M,"QQC",'QA Log'!Z:Z,"Rejected",'QA Log'!L:L,"*Family Planning*")))</f>
        <v/>
      </c>
      <c r="S446" s="106" t="str">
        <f t="shared" si="27"/>
        <v/>
      </c>
      <c r="T446" s="102" t="str">
        <f t="shared" si="28"/>
        <v/>
      </c>
      <c r="U446" s="102" t="str">
        <f>IF(A446="","",
SUM(
COUNTIFS('QA Log'!D:D,A446,'QA Log'!M:M,"QQC",'QA Log'!L:L,"*8. Maternity*"),
COUNTIFS('QA Log'!D:D,A446,'QA Log'!M:M,"QQC",'QA Log'!L:L,"*9. EPI and Pre-school Consultation*"),
COUNTIFS('QA Log'!D:D,A446,'QA Log'!M:M,"QQC",'QA Log'!L:L,"*10. Antenatal Care (ANC)*"),
COUNTIFS('QA Log'!D:D,A446,'QA Log'!M:M,"QQC",'QA Log'!L:L,"*2. Hygiene and Sterilization*"),
COUNTIFS('QA Log'!D:D,A446,'QA Log'!M:M,"QQC",'QA Log'!L:L,"*4. Family Planning*")
))</f>
        <v/>
      </c>
      <c r="V446" s="102" t="str">
        <f>IF(A446="","",
SUM(
COUNTIFS('QA Log'!D:D,A446,'QA Log'!M:M,"QQC",'QA Log'!Z:Z,"Approved",'QA Log'!L:L,"*8. Maternity*"),
COUNTIFS('QA Log'!D:D,A446,'QA Log'!M:M,"QQC",'QA Log'!Z:Z,"Approved",'QA Log'!L:L,"*9. EPI and Pre-school Consultation*"),
COUNTIFS('QA Log'!D:D,A446,'QA Log'!M:M,"QQC",'QA Log'!Z:Z,"Approved",'QA Log'!L:L,"*10. Antenatal Care (ANC)*"),
COUNTIFS('QA Log'!D:D,A446,'QA Log'!M:M,"QQC",'QA Log'!Z:Z,"Approved",'QA Log'!L:L,"*2. Hygiene and Sterilization*"),
COUNTIFS('QA Log'!D:D,A446,'QA Log'!M:M,"QQC",'QA Log'!Z:Z,"Approved",'QA Log'!L:L,"*4. Family Planning*")
))</f>
        <v/>
      </c>
      <c r="W446" s="102" t="str">
        <f>IF(A446&lt;&gt;"",COUNTIFS('QA Log'!D:D,A446,'QA Log'!M:M,"QQC",'QA Log'!L:L,"8. Maternity",'QA Log'!Z:Z,"Approved"),"")</f>
        <v/>
      </c>
      <c r="X446" s="105" t="str">
        <f>IF(A446&lt;&gt;"",COUNTIFS('QA Log'!D:D,A446,'QA Log'!M:M,"QQC",'QA Log'!L:L,"9. EPI and Pre-school Consultation",'QA Log'!Z:Z,"Approved"),"")</f>
        <v/>
      </c>
      <c r="Y446" s="102" t="str">
        <f>IF(A446&lt;&gt;"",COUNTIFS('QA Log'!D:D,A446,'QA Log'!M:M,"QQC",'QA Log'!L:L,"10. Antenatal Care (ANC)",'QA Log'!Z:Z,"Approved"),"")</f>
        <v/>
      </c>
      <c r="Z446" s="102" t="str">
        <f>IF(A446&lt;&gt;"",COUNTIFS('QA Log'!D:D,A446,'QA Log'!M:M,"QQC",'QA Log'!L:L,"2. Hygiene and Sterilization",'QA Log'!Z:Z,"Approved"),"")</f>
        <v/>
      </c>
      <c r="AA446" s="105" t="str">
        <f>IF(A446&lt;&gt;"",COUNTIFS('QA Log'!D:D,A446,'QA Log'!M:M,"QQC",'QA Log'!L:L,"4. Family Planning",'QA Log'!Z:Z,"Approved"),"")</f>
        <v/>
      </c>
      <c r="AB446" s="102" t="str">
        <f>IF(A446="","",
SUM(
COUNTIFS('QA Log'!D:D,A446,'QA Log'!M:M,"QQC",'QA Log'!Z:Z,"Rejected",'QA Log'!L:L,"*8. Maternity*"),
COUNTIFS('QA Log'!D:D,A446,'QA Log'!M:M,"QQC",'QA Log'!Z:Z,"Rejected",'QA Log'!L:L,"*9. EPI and Pre-school Consultation*"),
COUNTIFS('QA Log'!D:D,A446,'QA Log'!M:M,"QQC",'QA Log'!Z:Z,"Rejected",'QA Log'!L:L,"*10. Antenatal Care (ANC)*"),
COUNTIFS('QA Log'!D:D,A446,'QA Log'!M:M,"QQC",'QA Log'!Z:Z,"Rejected",'QA Log'!L:L,"*2. Hygiene and Sterilization*"),
COUNTIFS('QA Log'!D:D,A446,'QA Log'!M:M,"QQC",'QA Log'!Z:Z,"Rejected",'QA Log'!L:L,"*4. Family Planning*")
))</f>
        <v/>
      </c>
      <c r="AC446" s="102" t="str">
        <f t="shared" si="29"/>
        <v/>
      </c>
      <c r="AD446" s="103" t="str">
        <f t="shared" si="30"/>
        <v/>
      </c>
      <c r="AE446" s="102" t="str">
        <f>IF(A446="","",
SUM(
COUNTIFS('QA Log'!D:D,A446,'QA Log'!M:M,"Data Verification",'QA Log'!L:L,"*Medicine (section 2)*"),
COUNTIFS('QA Log'!D:D,A446,'QA Log'!M:M,"Data Verification",'QA Log'!L:L,"*Lab Testing Availability*"),
COUNTIFS('QA Log'!D:D,A446,'QA Log'!M:M,"Data Verification",'QA Log'!L:L,"*Other than P4P (section 6)*"),
COUNTIFS('QA Log'!D:D,A446,'QA Log'!M:M,"Data Verification",'QA Log'!L:L,"*Hospital Governance*")
))</f>
        <v/>
      </c>
      <c r="AF446" s="102" t="str">
        <f>IF(A446="","",
SUM(
COUNTIFS('QA Log'!D:D,A446,'QA Log'!M:M,"Data Verification",'QA Log'!Z:Z,"Approved",'QA Log'!L:L,"*Medicine (section 2)*"),
COUNTIFS('QA Log'!D:D,A446,'QA Log'!M:M,"Data Verification",'QA Log'!Z:Z,"Approved",'QA Log'!L:L,"*Lab Testing Availability*"),
COUNTIFS('QA Log'!D:D,A446,'QA Log'!M:M,"Data Verification",'QA Log'!Z:Z,"Approved",'QA Log'!L:L,"*Other than P4P (section 6)*"),
COUNTIFS('QA Log'!D:D,A446,'QA Log'!M:M,"Data Verification",'QA Log'!Z:Z,"Approved",'QA Log'!L:L,"*Hospital Governance*")
))</f>
        <v/>
      </c>
      <c r="AG446" s="105" t="str">
        <f>IF(A446&lt;&gt;"",COUNTIFS('QA Log'!D:D,A446,'QA Log'!M:M,"Data Verification",'QA Log'!L:L,"Medicine (section 2)",'QA Log'!Z:Z,"Approved"),"")</f>
        <v/>
      </c>
      <c r="AH446" s="105" t="str">
        <f>IF(A446&lt;&gt;"",COUNTIFS('QA Log'!D:D,A446,'QA Log'!M:M,"Data Verification",'QA Log'!L:L,"Lab Testing Availability",'QA Log'!Z:Z,"Approved"),"")</f>
        <v/>
      </c>
      <c r="AI446" s="105" t="str">
        <f>IF(A446&lt;&gt;"",COUNTIFS('QA Log'!D:D,A446,'QA Log'!M:M,"Data Verification",'QA Log'!L:L,"Other than P4P (section 6)",'QA Log'!Z:Z,"Approved"),"")</f>
        <v/>
      </c>
      <c r="AJ446" s="105" t="str">
        <f>IF(A446&lt;&gt;"",COUNTIFS('QA Log'!D:D,A446,'QA Log'!M:M,"Data Verification",'QA Log'!L:L,"Hospital Governance",'QA Log'!Z:Z,"Approved"),"")</f>
        <v/>
      </c>
      <c r="AK446" s="102" t="str">
        <f>IF(A446="","",
SUM(
COUNTIFS('QA Log'!D:D,A446,'QA Log'!M:M,"Data Verification",'QA Log'!Z:Z,"Rejected",'QA Log'!L:L,"*Medicine (section 2)*"),
COUNTIFS('QA Log'!D:D,A446,'QA Log'!M:M,"Data Verification",'QA Log'!Z:Z,"Rejected",'QA Log'!L:L,"*Lab Testing Availability*"),
COUNTIFS('QA Log'!D:D,A446,'QA Log'!M:M,"Data Verification",'QA Log'!Z:Z,"Rejected",'QA Log'!L:L,"*Other than P4P (section 6)*"),
COUNTIFS('QA Log'!D:D,A446,'QA Log'!M:M,"Data Verification",'QA Log'!Z:Z,"Rejected",'QA Log'!L:L,"*Hospital Governance*")
))</f>
        <v/>
      </c>
      <c r="AL446" s="106" t="str">
        <f t="shared" si="31"/>
        <v/>
      </c>
      <c r="AM446" s="102" t="str">
        <f t="shared" si="32"/>
        <v/>
      </c>
      <c r="AN446" s="102" t="str">
        <f>IF(A446="","",
SUM(
COUNTIFS('QA Log'!D:D,A446,'QA Log'!M:M,"Data Verification",'QA Log'!L:L,"*Personnel (section 1)*"),
COUNTIFS('QA Log'!D:D,A446,'QA Log'!M:M,"Data Verification",'QA Log'!L:L,"*Consumable (section 3)*"),
COUNTIFS('QA Log'!D:D,A446,'QA Log'!M:M,"Data Verification",'QA Log'!L:L,"*Equipments (section 4)*")
))</f>
        <v/>
      </c>
      <c r="AO446" s="102" t="str">
        <f>IF(A446="","",
SUM(
COUNTIFS('QA Log'!D:D,A446,'QA Log'!M:M,"Data Verification",'QA Log'!Z:Z,"Approved",'QA Log'!L:L,"*Personnel (section 1)*"),
COUNTIFS('QA Log'!D:D,A446,'QA Log'!M:M,"Data Verification",'QA Log'!Z:Z,"Approved",'QA Log'!L:L,"*Consumable (section 3)*"),
COUNTIFS('QA Log'!D:D,A446,'QA Log'!M:M,"Data Verification",'QA Log'!Z:Z,"Approved",'QA Log'!L:L,"*Equipments (section 4)*")
))</f>
        <v/>
      </c>
      <c r="AP446" s="105" t="str">
        <f>IF(A446&lt;&gt;"",COUNTIFS('QA Log'!D:D,A446,'QA Log'!M:M,"Data Verification",'QA Log'!L:L,"Personnel (section 1)",'QA Log'!Z:Z,"Approved"),"")</f>
        <v/>
      </c>
      <c r="AQ446" s="105" t="str">
        <f>IF(A446&lt;&gt;"",COUNTIFS('QA Log'!D:D,A446,'QA Log'!M:M,"Data Verification",'QA Log'!L:L,"Consumable (section 3)",'QA Log'!Z:Z,"Approved"),"")</f>
        <v/>
      </c>
      <c r="AR446" s="105" t="str">
        <f>IF(A446&lt;&gt;"",COUNTIFS('QA Log'!D:D,A446,'QA Log'!M:M,"Data Verification",'QA Log'!L:L,"Equipments (section 4)",'QA Log'!Z:Z,"Approved"),"")</f>
        <v/>
      </c>
      <c r="AS446" s="102" t="str">
        <f>IF(A446="","",
SUM(
COUNTIFS('QA Log'!D:D,A446,'QA Log'!M:M,"Data Verification",'QA Log'!Z:Z,"Rejected",'QA Log'!L:L,"*Personnel (section 1)*"),
COUNTIFS('QA Log'!D:D,A446,'QA Log'!M:M,"Data Verification",'QA Log'!Z:Z,"Rejected",'QA Log'!L:L,"*Consumable (section 3)*"),
COUNTIFS('QA Log'!D:D,A446,'QA Log'!M:M,"Data Verification",'QA Log'!Z:Z,"Rejected",'QA Log'!L:L,"*Equipments (section 4)*")
))</f>
        <v/>
      </c>
      <c r="AT446" s="102" t="str">
        <f t="shared" si="33"/>
        <v/>
      </c>
      <c r="AU446" s="103" t="str">
        <f t="shared" si="34"/>
        <v/>
      </c>
      <c r="AV446" s="102" t="str">
        <f>IF(A446="","",SUM(
COUNTIFS('QA Log'!D:D,A446,'QA Log'!M:M,"Vignette",'QA Log'!L:L,"*Vignette [1] Respiratory Infection: Pneumonia*"),
COUNTIFS('QA Log'!D:D,A446,'QA Log'!M:M,"Vignette",'QA Log'!L:L,"*Vignette [2]: Diarrhea with Cat B dehydration*"),
COUNTIFS('QA Log'!D:D,A446,'QA Log'!M:M,"Vignette",'QA Log'!L:L,"*Vignette [3] Growth Monitoring and Promotion*"),
COUNTIFS('QA Log'!D:D,A446,'QA Log'!M:M,"Vignette",'QA Log'!L:L,"*Vignette [4]: The management of presumptive TB patient*")
)
)</f>
        <v/>
      </c>
      <c r="AW446" s="102" t="str">
        <f>IF(
  A446="","",
  SUM(
    COUNTIFS('QA Log'!D:D,A446,'QA Log'!M:M,"Vignette",'QA Log'!Z:Z,"Approved",'QA Log'!L:L,"*Vignette [1] Respiratory Infection: Pneumonia*"),
    COUNTIFS('QA Log'!D:D,A446,'QA Log'!M:M,"Vignette",'QA Log'!Z:Z,"Approved",'QA Log'!L:L,"*Vignette [2]: Diarrhea with Cat B dehydration*"),
    COUNTIFS('QA Log'!D:D,A446,'QA Log'!M:M,"Vignette",'QA Log'!Z:Z,"Approved",'QA Log'!L:L,"*Vignette [3] Growth Monitoring and Promotion*"),
    COUNTIFS('QA Log'!D:D,A446,'QA Log'!M:M,"Vignette",'QA Log'!Z:Z,"Approved",'QA Log'!L:L,"*Vignette [4]: The management of presumptive TB patient*")
  )
)</f>
        <v/>
      </c>
      <c r="AX446" s="105" t="str">
        <f>IF(A446&lt;&gt;"",COUNTIFS('QA Log'!D:D,A446,'QA Log'!M:M,"Vignette",'QA Log'!L:L,"Vignette [1] Respiratory Infection: Pneumonia",'QA Log'!Z:Z,"Approved"),"")</f>
        <v/>
      </c>
      <c r="AY446" s="105" t="str">
        <f>IF(A446&lt;&gt;"",COUNTIFS('QA Log'!D:D,A446,'QA Log'!M:M,"Vignette",'QA Log'!L:L,"Vignette [2]: Diarrhea with Cat B dehydration",'QA Log'!Z:Z,"Approved"),"")</f>
        <v/>
      </c>
      <c r="AZ446" s="105" t="str">
        <f>IF(A446&lt;&gt;"",COUNTIFS('QA Log'!D:D,A446,'QA Log'!M:M,"Vignette",'QA Log'!L:L,"Vignette [3] Growth Monitoring and Promotion",'QA Log'!Z:Z,"Approved"),"")</f>
        <v/>
      </c>
      <c r="BA446" s="105" t="str">
        <f>IF(A446&lt;&gt;"",COUNTIFS('QA Log'!D:D,A446,'QA Log'!M:M,"Vignette",'QA Log'!L:L,"Vignette [4]: The management of presumptive TB patient",'QA Log'!Z:Z,"Approved"),"")</f>
        <v/>
      </c>
      <c r="BB446" s="102" t="str">
        <f>IF(A446="","",
  SUM(
    COUNTIFS('QA Log'!D:D,A446,'QA Log'!M:M,"Vignette",'QA Log'!Z:Z,"Rejected",'QA Log'!L:L,"*Vignette [1] Respiratory Infection: Pneumonia*"),
    COUNTIFS('QA Log'!D:D,A446,'QA Log'!M:M,"Vignette",'QA Log'!Z:Z,"Rejected",'QA Log'!L:L,"*Vignette [2]: Diarrhea with Cat B dehydration*"),
    COUNTIFS('QA Log'!D:D,A446,'QA Log'!M:M,"Vignette",'QA Log'!Z:Z,"Rejected",'QA Log'!L:L,"*Vignette [3] Growth Monitoring and Promotion*"),
    COUNTIFS('QA Log'!D:D,A446,'QA Log'!M:M,"Vignette",'QA Log'!Z:Z,"Rejected",'QA Log'!L:L,"*Vignette [4]: The management of presumptive TB patient*")
  )
)</f>
        <v/>
      </c>
      <c r="BC446" s="107" t="str">
        <f t="shared" si="35"/>
        <v/>
      </c>
      <c r="BD446" s="103" t="str">
        <f t="shared" si="36"/>
        <v/>
      </c>
      <c r="BE446" s="102" t="str">
        <f>IF(A446="","",SUM(
COUNTIFS('QA Log'!D:D,A446,'QA Log'!M:M,"Vignette",'QA Log'!L:L,"*Vignette [5] Labor*"),
COUNTIFS('QA Log'!D:D,A446,'QA Log'!M:M,"Vignette",'QA Log'!L:L,"*Vignette [6] PNC pre Discharge*"),
COUNTIFS('QA Log'!D:D,A446,'QA Log'!M:M,"Vignette",'QA Log'!L:L,"*Vignette [7] First ANC Visit*"),
COUNTIFS('QA Log'!D:D,A446,'QA Log'!M:M,"Vignette",'QA Log'!L:L,"*Vignette [8] Birth Spacing/ Family Planning :  FP Counselling*"),
COUNTIFS('QA Log'!D:D,A446,'QA Log'!M:M,"Vignette",'QA Log'!L:L,"*Vignette [9] Birth Spacing: Change FP method to Injectable*"),
COUNTIFS('QA Log'!D:D,A446,'QA Log'!M:M,"Vignette",'QA Log'!L:L,"*Vignette [10] Post Partum Haemorrhage - Atonic Uterus at Health Centre*"),
)
)</f>
        <v/>
      </c>
      <c r="BF446" s="102" t="str">
        <f>IF(A446="","",
  SUM(
    COUNTIFS('QA Log'!D:D,A446,'QA Log'!M:M,"Vignette",'QA Log'!Z:Z,"Approved",'QA Log'!L:L,"*Vignette [5] Labor*"),
    COUNTIFS('QA Log'!D:D,A446,'QA Log'!M:M,"Vignette",'QA Log'!Z:Z,"Approved",'QA Log'!L:L,"*Vignette [6] PNC pre Discharge*"),
    COUNTIFS('QA Log'!D:D,A446,'QA Log'!M:M,"Vignette",'QA Log'!Z:Z,"Approved",'QA Log'!L:L,"*Vignette [7] First ANC Visit*"),
    COUNTIFS('QA Log'!D:D,A446,'QA Log'!M:M,"Vignette",'QA Log'!Z:Z,"Approved",'QA Log'!L:L,"*Vignette [8] Birth Spacing/ Family Planning :  FP Counselling*"),
    COUNTIFS('QA Log'!D:D,A446,'QA Log'!M:M,"Vignette",'QA Log'!Z:Z,"Approved",'QA Log'!L:L,"*Vignette [9] Birth Spacing: Change FP method to Injectable*"),
    COUNTIFS('QA Log'!D:D,A446,'QA Log'!M:M,"Vignette",'QA Log'!Z:Z,"Approved",'QA Log'!L:L,"*Vignette [10] Post Partum Haemorrhage - Atonic Uterus at Health Centre*")
  )
)</f>
        <v/>
      </c>
      <c r="BG446" s="105" t="str">
        <f>IF(A446&lt;&gt;"",COUNTIFS('QA Log'!D:D,A446,'QA Log'!M:M,"Vignette",'QA Log'!L:L,"Vignette [5] Labor",'QA Log'!Z:Z,"Approved"),"")</f>
        <v/>
      </c>
      <c r="BH446" s="105" t="str">
        <f>IF(A446&lt;&gt;"",COUNTIFS('QA Log'!D:D,A446,'QA Log'!M:M,"Vignette",'QA Log'!L:L,"Vignette [6] PNC pre Discharge",'QA Log'!Z:Z,"Approved"),"")</f>
        <v/>
      </c>
      <c r="BI446" s="105" t="str">
        <f>IF(A446&lt;&gt;"",COUNTIFS('QA Log'!D:D,A446,'QA Log'!M:M,"Vignette",'QA Log'!L:L,"Vignette [7] First ANC Visit",'QA Log'!Z:Z,"Approved"),"")</f>
        <v/>
      </c>
      <c r="BJ446" s="105" t="str">
        <f>IF(A446&lt;&gt;"",COUNTIFS('QA Log'!D:D,A446,'QA Log'!M:M,"Vignette",'QA Log'!L:L,"Vignette [8] Birth Spacing/ Family Planning :  FP Counselling",'QA Log'!Z:Z,"Approved"),"")</f>
        <v/>
      </c>
      <c r="BK446" s="105" t="str">
        <f>IF(A446&lt;&gt;"",COUNTIFS('QA Log'!D:D,A446,'QA Log'!M:M,"Vignette",'QA Log'!L:L,"Vignette [9] Birth Spacing: Change FP method to Injectable",'QA Log'!Z:Z,"Approved"),"")</f>
        <v/>
      </c>
      <c r="BL446" s="105" t="str">
        <f>IF(A446&lt;&gt;"",COUNTIFS('QA Log'!D:D,A446,'QA Log'!M:M,"Vignette",'QA Log'!L:L,"Vignette [10] Post Partum Haemorrhage - Atonic Uterus at Health Centre",'QA Log'!Z:Z,"Approved"),"")</f>
        <v/>
      </c>
      <c r="BM446" s="102" t="str">
        <f>IF(A446="","",SUM(
    COUNTIFS('QA Log'!D:D,A446,'QA Log'!M:M,"Vignette",'QA Log'!Z:Z,"Rejected",'QA Log'!L:L,"*Vignette [5] Labor*"),
    COUNTIFS('QA Log'!D:D,A446,'QA Log'!M:M,"Vignette",'QA Log'!Z:Z,"Rejected",'QA Log'!L:L,"*Vignette [6] PNC pre Discharge*"),
    COUNTIFS('QA Log'!D:D,A446,'QA Log'!M:M,"Vignette",'QA Log'!Z:Z,"Rejected",'QA Log'!L:L,"*Vignette [7] First ANC Visit*"),
    COUNTIFS('QA Log'!D:D,A446,'QA Log'!M:M,"Vignette",'QA Log'!Z:Z,"Rejected",'QA Log'!L:L,"*Vignette [8] Birth Spacing/ Family Planning :  FP Counselling*"),
    COUNTIFS('QA Log'!D:D,A446,'QA Log'!M:M,"Vignette",'QA Log'!Z:Z,"Rejected",'QA Log'!L:L,"*Vignette [9] Birth Spacing: Change FP method to Injectable*"),
    COUNTIFS('QA Log'!D:D,A446,'QA Log'!M:M,"Vignette",'QA Log'!Z:Z,"Rejected",'QA Log'!L:L,"*Vignette [10] Post Partum Haemorrhage - Atonic Uterus at Health Centre*")
  )
)</f>
        <v/>
      </c>
      <c r="BN446" s="107" t="str">
        <f t="shared" si="37"/>
        <v/>
      </c>
      <c r="BO446" s="103" t="str">
        <f t="shared" si="38"/>
        <v/>
      </c>
      <c r="BP446" s="102" t="str">
        <f>IF(A446="","",SUM(
COUNTIFS('QA Log'!D:D,A446,'QA Log'!M:M,"Vignette",'QA Log'!L:L,"*Exit Interview 1*"),
COUNTIFS('QA Log'!D:D,A446,'QA Log'!M:M,"Vignette",'QA Log'!L:L,"*Exit Interview 2*"),
)
)</f>
        <v/>
      </c>
      <c r="BQ446" s="102" t="str">
        <f>IF(
  A446="","",
  SUM(
    COUNTIFS('QA Log'!D:D,A446,'QA Log'!M:M,"Vignette",'QA Log'!Z:Z,"Approved",'QA Log'!L:L,"*Exit Interview 1*"),
    COUNTIFS('QA Log'!D:D,A446,'QA Log'!M:M,"Vignette",'QA Log'!Z:Z,"Approved",'QA Log'!L:L,"*Exit Interview 2*")
  )
)</f>
        <v/>
      </c>
      <c r="BR446" s="105" t="str">
        <f>IF(A446&lt;&gt;"",COUNTIFS('QA Log'!D:D,A446,'QA Log'!M:M,"Vignette",'QA Log'!L:L,"Exit Interview 1",'QA Log'!Z:Z,"Approved"),"")</f>
        <v/>
      </c>
      <c r="BS446" s="105" t="str">
        <f>IF(A446&lt;&gt;"",COUNTIFS('QA Log'!D:D,A446,'QA Log'!M:M,"Vignette",'QA Log'!L:L,"Exit Interview 2",'QA Log'!Z:Z,"Approved"),"")</f>
        <v/>
      </c>
      <c r="BT446" s="102" t="str">
        <f>IF(
  A446="","",
  SUM(
    COUNTIFS('QA Log'!D:D,A446,'QA Log'!M:M,"Vignette",'QA Log'!Z:Z,"Rejected",'QA Log'!L:L,"*Exit Interview 1*"),
    COUNTIFS('QA Log'!D:D,A446,'QA Log'!M:M,"Vignette",'QA Log'!Z:Z,"Rejected",'QA Log'!L:L,"*Exit Interview 2*")
  )
)</f>
        <v/>
      </c>
      <c r="BU446" s="107" t="str">
        <f t="shared" si="39"/>
        <v/>
      </c>
      <c r="BV446" s="102" t="str">
        <f t="shared" si="40"/>
        <v/>
      </c>
      <c r="BW446" s="102" t="str">
        <f t="shared" si="41"/>
        <v/>
      </c>
      <c r="BX446" s="102" t="str">
        <f t="shared" si="42"/>
        <v/>
      </c>
      <c r="BY446" s="102" t="str">
        <f t="shared" si="43"/>
        <v/>
      </c>
      <c r="BZ446" s="107" t="str">
        <f t="shared" si="44"/>
        <v/>
      </c>
      <c r="CA446" s="108" t="str">
        <f t="shared" si="45"/>
        <v/>
      </c>
      <c r="CB446" s="108" t="str">
        <f t="shared" si="46"/>
        <v/>
      </c>
      <c r="CC446" s="109" t="str">
        <f t="shared" si="47"/>
        <v/>
      </c>
      <c r="CD446" s="108" t="str">
        <f t="shared" si="48"/>
        <v/>
      </c>
      <c r="CE446" s="108" t="str">
        <f t="shared" si="49"/>
        <v/>
      </c>
      <c r="CF446" s="109" t="str">
        <f t="shared" si="50"/>
        <v/>
      </c>
      <c r="CG446" s="110" t="str">
        <f t="shared" si="51"/>
        <v/>
      </c>
      <c r="CH446" s="111"/>
    </row>
    <row r="447" spans="1:86" ht="12.75">
      <c r="A447" s="101"/>
      <c r="B447" s="102" t="e">
        <f t="array" aca="1" ref="B447" ca="1">_xludf.XLOOKUP(A447,'QA Log'!D:D,'QA Log'!E:E,"")</f>
        <v>#NAME?</v>
      </c>
      <c r="C447" s="102" t="e">
        <f t="array" aca="1" ref="C447" ca="1">_xludf.XLOOKUP(A447,'QA Log'!D:D,'QA Log'!F:F,"")</f>
        <v>#NAME?</v>
      </c>
      <c r="D447" s="102" t="e">
        <f t="array" aca="1" ref="D447" ca="1">_xludf.XLOOKUP(A447,'QA Log'!D:D,'QA Log'!H:H,"")</f>
        <v>#NAME?</v>
      </c>
      <c r="E447" s="102" t="e">
        <f t="array" aca="1" ref="E447" ca="1">_xludf.XLOOKUP(A447,'QA Log'!D:D,'QA Log'!G:G,"")</f>
        <v>#NAME?</v>
      </c>
      <c r="F447" s="103"/>
      <c r="G447" s="104"/>
      <c r="H447" s="104"/>
      <c r="I447" s="103" t="str">
        <f t="shared" si="26"/>
        <v/>
      </c>
      <c r="J447" s="102" t="str">
        <f>IF(A447="","",SUM(
COUNTIFS('QA Log'!D:D,A447,'QA Log'!M:M,"QQC",'QA Log'!L:L,"*1. General Management*"),
COUNTIFS('QA Log'!D:D,A447,'QA Log'!M:M,"QQC",'QA Log'!L:L,"*3. Curative Consultation (OPD)*"),
COUNTIFS('QA Log'!D:D,A447,'QA Log'!M:M,"QQC",'QA Log'!L:L,"*5. Laboratory*"),
COUNTIFS('QA Log'!D:D,A447,'QA Log'!M:M,"QQC",'QA Log'!L:L,"*6. Essential Medicine Management*"),
COUNTIFS('QA Log'!D:D,A447,'QA Log'!M:M,"QQC",'QA Log'!L:L,"*7. Tracer Medicine*"),
COUNTIFS('QA Log'!D:D,A447,'QA Log'!M:M,"QQC",'QA Log'!L:L,"*11. Additional Questions*")))</f>
        <v/>
      </c>
      <c r="K447" s="102" t="str">
        <f>IF(A447="","",SUM(
COUNTIFS('QA Log'!D:D,A447,'QA Log'!M:M,"QQC",'QA Log'!Z:Z,"Approved",'QA Log'!L:L,"*1. General Management*"),
COUNTIFS('QA Log'!D:D,A447,'QA Log'!M:M,"QQC",'QA Log'!Z:Z,"Approved",'QA Log'!L:L,"*3. Curative Consultation (OPD)*"),
COUNTIFS('QA Log'!D:D,A447,'QA Log'!M:M,"QQC",'QA Log'!Z:Z,"Approved",'QA Log'!L:L,"*5. Laboratory*"),
COUNTIFS('QA Log'!D:D,A447,'QA Log'!M:M,"QQC",'QA Log'!Z:Z,"Approved",'QA Log'!L:L,"*6. Essential Medicine Management*"),
COUNTIFS('QA Log'!D:D,A447,'QA Log'!M:M,"QQC",'QA Log'!Z:Z,"Approved",'QA Log'!L:L,"*7. Tracer Medicine*"),
COUNTIFS('QA Log'!D:D,A447,'QA Log'!M:M,"QQC",'QA Log'!Z:Z,"Approved",'QA Log'!L:L,"*11. Additional Questions*")))</f>
        <v/>
      </c>
      <c r="L447" s="102" t="str">
        <f>IF(A447&lt;&gt;"",COUNTIFS('QA Log'!D:D,A447,'QA Log'!M:M,"QQC",'QA Log'!L:L,"1. General Management",'QA Log'!Z:Z,"Approved"),"")</f>
        <v/>
      </c>
      <c r="M447" s="102" t="str">
        <f>IF(A447&lt;&gt;"",COUNTIFS('QA Log'!D:D,A447,'QA Log'!M:M,"QQC",'QA Log'!L:L,"3. Curative Consultation (OPD)",'QA Log'!Z:Z,"Approved"),"")</f>
        <v/>
      </c>
      <c r="N447" s="102" t="str">
        <f>IF(A447&lt;&gt;"",COUNTIFS('QA Log'!D:D,A447,'QA Log'!M:M,"QQC",'QA Log'!L:L,"5. Laboratory",'QA Log'!Z:Z,"Approved"),"")</f>
        <v/>
      </c>
      <c r="O447" s="102" t="str">
        <f>IF(A447&lt;&gt;"",COUNTIFS('QA Log'!D:D,A447,'QA Log'!M:M,"QQC",'QA Log'!L:L,"6. Essential Medicine Management",'QA Log'!Z:Z,"Approved"),"")</f>
        <v/>
      </c>
      <c r="P447" s="102" t="str">
        <f>IF(A447&lt;&gt;"",COUNTIFS('QA Log'!D:D,A447,'QA Log'!M:M,"QQC",'QA Log'!L:L,"7. Tracer Medicine",'QA Log'!Z:Z,"Approved"),"")</f>
        <v/>
      </c>
      <c r="Q447" s="102" t="str">
        <f>IF(A447&lt;&gt;"",COUNTIFS('QA Log'!D:D,A447,'QA Log'!M:M,"QQC",'QA Log'!L:L,"11. Additional Questions",'QA Log'!Z:Z,"Approved"),"")</f>
        <v/>
      </c>
      <c r="R447" s="102" t="str">
        <f>IF(A447="","",SUM(
COUNTIFS('QA Log'!D:D,A447,'QA Log'!M:M,"QQC",'QA Log'!Z:Z,"Rejected",'QA Log'!L:L,"*8. Maternity*"),
COUNTIFS('QA Log'!D:D,A447,'QA Log'!M:M,"QQC",'QA Log'!Z:Z,"Rejected",'QA Log'!L:L,"*EPI*"),
COUNTIFS('QA Log'!D:D,A447,'QA Log'!M:M,"QQC",'QA Log'!Z:Z,"Rejected",'QA Log'!L:L,"*10. Antenatal Care (ANC)*"),
COUNTIFS('QA Log'!D:D,A447,'QA Log'!M:M,"QQC",'QA Log'!Z:Z,"Rejected",'QA Log'!L:L,"*2. Hygiene and Sterilization*"),
COUNTIFS('QA Log'!D:D,A447,'QA Log'!M:M,"QQC",'QA Log'!Z:Z,"Rejected",'QA Log'!L:L,"*Family Planning*")))</f>
        <v/>
      </c>
      <c r="S447" s="106" t="str">
        <f t="shared" si="27"/>
        <v/>
      </c>
      <c r="T447" s="102" t="str">
        <f t="shared" si="28"/>
        <v/>
      </c>
      <c r="U447" s="102" t="str">
        <f>IF(A447="","",
SUM(
COUNTIFS('QA Log'!D:D,A447,'QA Log'!M:M,"QQC",'QA Log'!L:L,"*8. Maternity*"),
COUNTIFS('QA Log'!D:D,A447,'QA Log'!M:M,"QQC",'QA Log'!L:L,"*9. EPI and Pre-school Consultation*"),
COUNTIFS('QA Log'!D:D,A447,'QA Log'!M:M,"QQC",'QA Log'!L:L,"*10. Antenatal Care (ANC)*"),
COUNTIFS('QA Log'!D:D,A447,'QA Log'!M:M,"QQC",'QA Log'!L:L,"*2. Hygiene and Sterilization*"),
COUNTIFS('QA Log'!D:D,A447,'QA Log'!M:M,"QQC",'QA Log'!L:L,"*4. Family Planning*")
))</f>
        <v/>
      </c>
      <c r="V447" s="102" t="str">
        <f>IF(A447="","",
SUM(
COUNTIFS('QA Log'!D:D,A447,'QA Log'!M:M,"QQC",'QA Log'!Z:Z,"Approved",'QA Log'!L:L,"*8. Maternity*"),
COUNTIFS('QA Log'!D:D,A447,'QA Log'!M:M,"QQC",'QA Log'!Z:Z,"Approved",'QA Log'!L:L,"*9. EPI and Pre-school Consultation*"),
COUNTIFS('QA Log'!D:D,A447,'QA Log'!M:M,"QQC",'QA Log'!Z:Z,"Approved",'QA Log'!L:L,"*10. Antenatal Care (ANC)*"),
COUNTIFS('QA Log'!D:D,A447,'QA Log'!M:M,"QQC",'QA Log'!Z:Z,"Approved",'QA Log'!L:L,"*2. Hygiene and Sterilization*"),
COUNTIFS('QA Log'!D:D,A447,'QA Log'!M:M,"QQC",'QA Log'!Z:Z,"Approved",'QA Log'!L:L,"*4. Family Planning*")
))</f>
        <v/>
      </c>
      <c r="W447" s="102" t="str">
        <f>IF(A447&lt;&gt;"",COUNTIFS('QA Log'!D:D,A447,'QA Log'!M:M,"QQC",'QA Log'!L:L,"8. Maternity",'QA Log'!Z:Z,"Approved"),"")</f>
        <v/>
      </c>
      <c r="X447" s="105" t="str">
        <f>IF(A447&lt;&gt;"",COUNTIFS('QA Log'!D:D,A447,'QA Log'!M:M,"QQC",'QA Log'!L:L,"9. EPI and Pre-school Consultation",'QA Log'!Z:Z,"Approved"),"")</f>
        <v/>
      </c>
      <c r="Y447" s="102" t="str">
        <f>IF(A447&lt;&gt;"",COUNTIFS('QA Log'!D:D,A447,'QA Log'!M:M,"QQC",'QA Log'!L:L,"10. Antenatal Care (ANC)",'QA Log'!Z:Z,"Approved"),"")</f>
        <v/>
      </c>
      <c r="Z447" s="102" t="str">
        <f>IF(A447&lt;&gt;"",COUNTIFS('QA Log'!D:D,A447,'QA Log'!M:M,"QQC",'QA Log'!L:L,"2. Hygiene and Sterilization",'QA Log'!Z:Z,"Approved"),"")</f>
        <v/>
      </c>
      <c r="AA447" s="105" t="str">
        <f>IF(A447&lt;&gt;"",COUNTIFS('QA Log'!D:D,A447,'QA Log'!M:M,"QQC",'QA Log'!L:L,"4. Family Planning",'QA Log'!Z:Z,"Approved"),"")</f>
        <v/>
      </c>
      <c r="AB447" s="102" t="str">
        <f>IF(A447="","",
SUM(
COUNTIFS('QA Log'!D:D,A447,'QA Log'!M:M,"QQC",'QA Log'!Z:Z,"Rejected",'QA Log'!L:L,"*8. Maternity*"),
COUNTIFS('QA Log'!D:D,A447,'QA Log'!M:M,"QQC",'QA Log'!Z:Z,"Rejected",'QA Log'!L:L,"*9. EPI and Pre-school Consultation*"),
COUNTIFS('QA Log'!D:D,A447,'QA Log'!M:M,"QQC",'QA Log'!Z:Z,"Rejected",'QA Log'!L:L,"*10. Antenatal Care (ANC)*"),
COUNTIFS('QA Log'!D:D,A447,'QA Log'!M:M,"QQC",'QA Log'!Z:Z,"Rejected",'QA Log'!L:L,"*2. Hygiene and Sterilization*"),
COUNTIFS('QA Log'!D:D,A447,'QA Log'!M:M,"QQC",'QA Log'!Z:Z,"Rejected",'QA Log'!L:L,"*4. Family Planning*")
))</f>
        <v/>
      </c>
      <c r="AC447" s="102" t="str">
        <f t="shared" si="29"/>
        <v/>
      </c>
      <c r="AD447" s="103" t="str">
        <f t="shared" si="30"/>
        <v/>
      </c>
      <c r="AE447" s="102" t="str">
        <f>IF(A447="","",
SUM(
COUNTIFS('QA Log'!D:D,A447,'QA Log'!M:M,"Data Verification",'QA Log'!L:L,"*Medicine (section 2)*"),
COUNTIFS('QA Log'!D:D,A447,'QA Log'!M:M,"Data Verification",'QA Log'!L:L,"*Lab Testing Availability*"),
COUNTIFS('QA Log'!D:D,A447,'QA Log'!M:M,"Data Verification",'QA Log'!L:L,"*Other than P4P (section 6)*"),
COUNTIFS('QA Log'!D:D,A447,'QA Log'!M:M,"Data Verification",'QA Log'!L:L,"*Hospital Governance*")
))</f>
        <v/>
      </c>
      <c r="AF447" s="102" t="str">
        <f>IF(A447="","",
SUM(
COUNTIFS('QA Log'!D:D,A447,'QA Log'!M:M,"Data Verification",'QA Log'!Z:Z,"Approved",'QA Log'!L:L,"*Medicine (section 2)*"),
COUNTIFS('QA Log'!D:D,A447,'QA Log'!M:M,"Data Verification",'QA Log'!Z:Z,"Approved",'QA Log'!L:L,"*Lab Testing Availability*"),
COUNTIFS('QA Log'!D:D,A447,'QA Log'!M:M,"Data Verification",'QA Log'!Z:Z,"Approved",'QA Log'!L:L,"*Other than P4P (section 6)*"),
COUNTIFS('QA Log'!D:D,A447,'QA Log'!M:M,"Data Verification",'QA Log'!Z:Z,"Approved",'QA Log'!L:L,"*Hospital Governance*")
))</f>
        <v/>
      </c>
      <c r="AG447" s="105" t="str">
        <f>IF(A447&lt;&gt;"",COUNTIFS('QA Log'!D:D,A447,'QA Log'!M:M,"Data Verification",'QA Log'!L:L,"Medicine (section 2)",'QA Log'!Z:Z,"Approved"),"")</f>
        <v/>
      </c>
      <c r="AH447" s="105" t="str">
        <f>IF(A447&lt;&gt;"",COUNTIFS('QA Log'!D:D,A447,'QA Log'!M:M,"Data Verification",'QA Log'!L:L,"Lab Testing Availability",'QA Log'!Z:Z,"Approved"),"")</f>
        <v/>
      </c>
      <c r="AI447" s="105" t="str">
        <f>IF(A447&lt;&gt;"",COUNTIFS('QA Log'!D:D,A447,'QA Log'!M:M,"Data Verification",'QA Log'!L:L,"Other than P4P (section 6)",'QA Log'!Z:Z,"Approved"),"")</f>
        <v/>
      </c>
      <c r="AJ447" s="105" t="str">
        <f>IF(A447&lt;&gt;"",COUNTIFS('QA Log'!D:D,A447,'QA Log'!M:M,"Data Verification",'QA Log'!L:L,"Hospital Governance",'QA Log'!Z:Z,"Approved"),"")</f>
        <v/>
      </c>
      <c r="AK447" s="102" t="str">
        <f>IF(A447="","",
SUM(
COUNTIFS('QA Log'!D:D,A447,'QA Log'!M:M,"Data Verification",'QA Log'!Z:Z,"Rejected",'QA Log'!L:L,"*Medicine (section 2)*"),
COUNTIFS('QA Log'!D:D,A447,'QA Log'!M:M,"Data Verification",'QA Log'!Z:Z,"Rejected",'QA Log'!L:L,"*Lab Testing Availability*"),
COUNTIFS('QA Log'!D:D,A447,'QA Log'!M:M,"Data Verification",'QA Log'!Z:Z,"Rejected",'QA Log'!L:L,"*Other than P4P (section 6)*"),
COUNTIFS('QA Log'!D:D,A447,'QA Log'!M:M,"Data Verification",'QA Log'!Z:Z,"Rejected",'QA Log'!L:L,"*Hospital Governance*")
))</f>
        <v/>
      </c>
      <c r="AL447" s="106" t="str">
        <f t="shared" si="31"/>
        <v/>
      </c>
      <c r="AM447" s="102" t="str">
        <f t="shared" si="32"/>
        <v/>
      </c>
      <c r="AN447" s="102" t="str">
        <f>IF(A447="","",
SUM(
COUNTIFS('QA Log'!D:D,A447,'QA Log'!M:M,"Data Verification",'QA Log'!L:L,"*Personnel (section 1)*"),
COUNTIFS('QA Log'!D:D,A447,'QA Log'!M:M,"Data Verification",'QA Log'!L:L,"*Consumable (section 3)*"),
COUNTIFS('QA Log'!D:D,A447,'QA Log'!M:M,"Data Verification",'QA Log'!L:L,"*Equipments (section 4)*")
))</f>
        <v/>
      </c>
      <c r="AO447" s="102" t="str">
        <f>IF(A447="","",
SUM(
COUNTIFS('QA Log'!D:D,A447,'QA Log'!M:M,"Data Verification",'QA Log'!Z:Z,"Approved",'QA Log'!L:L,"*Personnel (section 1)*"),
COUNTIFS('QA Log'!D:D,A447,'QA Log'!M:M,"Data Verification",'QA Log'!Z:Z,"Approved",'QA Log'!L:L,"*Consumable (section 3)*"),
COUNTIFS('QA Log'!D:D,A447,'QA Log'!M:M,"Data Verification",'QA Log'!Z:Z,"Approved",'QA Log'!L:L,"*Equipments (section 4)*")
))</f>
        <v/>
      </c>
      <c r="AP447" s="105" t="str">
        <f>IF(A447&lt;&gt;"",COUNTIFS('QA Log'!D:D,A447,'QA Log'!M:M,"Data Verification",'QA Log'!L:L,"Personnel (section 1)",'QA Log'!Z:Z,"Approved"),"")</f>
        <v/>
      </c>
      <c r="AQ447" s="105" t="str">
        <f>IF(A447&lt;&gt;"",COUNTIFS('QA Log'!D:D,A447,'QA Log'!M:M,"Data Verification",'QA Log'!L:L,"Consumable (section 3)",'QA Log'!Z:Z,"Approved"),"")</f>
        <v/>
      </c>
      <c r="AR447" s="105" t="str">
        <f>IF(A447&lt;&gt;"",COUNTIFS('QA Log'!D:D,A447,'QA Log'!M:M,"Data Verification",'QA Log'!L:L,"Equipments (section 4)",'QA Log'!Z:Z,"Approved"),"")</f>
        <v/>
      </c>
      <c r="AS447" s="102" t="str">
        <f>IF(A447="","",
SUM(
COUNTIFS('QA Log'!D:D,A447,'QA Log'!M:M,"Data Verification",'QA Log'!Z:Z,"Rejected",'QA Log'!L:L,"*Personnel (section 1)*"),
COUNTIFS('QA Log'!D:D,A447,'QA Log'!M:M,"Data Verification",'QA Log'!Z:Z,"Rejected",'QA Log'!L:L,"*Consumable (section 3)*"),
COUNTIFS('QA Log'!D:D,A447,'QA Log'!M:M,"Data Verification",'QA Log'!Z:Z,"Rejected",'QA Log'!L:L,"*Equipments (section 4)*")
))</f>
        <v/>
      </c>
      <c r="AT447" s="102" t="str">
        <f t="shared" si="33"/>
        <v/>
      </c>
      <c r="AU447" s="103" t="str">
        <f t="shared" si="34"/>
        <v/>
      </c>
      <c r="AV447" s="102" t="str">
        <f>IF(A447="","",SUM(
COUNTIFS('QA Log'!D:D,A447,'QA Log'!M:M,"Vignette",'QA Log'!L:L,"*Vignette [1] Respiratory Infection: Pneumonia*"),
COUNTIFS('QA Log'!D:D,A447,'QA Log'!M:M,"Vignette",'QA Log'!L:L,"*Vignette [2]: Diarrhea with Cat B dehydration*"),
COUNTIFS('QA Log'!D:D,A447,'QA Log'!M:M,"Vignette",'QA Log'!L:L,"*Vignette [3] Growth Monitoring and Promotion*"),
COUNTIFS('QA Log'!D:D,A447,'QA Log'!M:M,"Vignette",'QA Log'!L:L,"*Vignette [4]: The management of presumptive TB patient*")
)
)</f>
        <v/>
      </c>
      <c r="AW447" s="102" t="str">
        <f>IF(
  A447="","",
  SUM(
    COUNTIFS('QA Log'!D:D,A447,'QA Log'!M:M,"Vignette",'QA Log'!Z:Z,"Approved",'QA Log'!L:L,"*Vignette [1] Respiratory Infection: Pneumonia*"),
    COUNTIFS('QA Log'!D:D,A447,'QA Log'!M:M,"Vignette",'QA Log'!Z:Z,"Approved",'QA Log'!L:L,"*Vignette [2]: Diarrhea with Cat B dehydration*"),
    COUNTIFS('QA Log'!D:D,A447,'QA Log'!M:M,"Vignette",'QA Log'!Z:Z,"Approved",'QA Log'!L:L,"*Vignette [3] Growth Monitoring and Promotion*"),
    COUNTIFS('QA Log'!D:D,A447,'QA Log'!M:M,"Vignette",'QA Log'!Z:Z,"Approved",'QA Log'!L:L,"*Vignette [4]: The management of presumptive TB patient*")
  )
)</f>
        <v/>
      </c>
      <c r="AX447" s="105" t="str">
        <f>IF(A447&lt;&gt;"",COUNTIFS('QA Log'!D:D,A447,'QA Log'!M:M,"Vignette",'QA Log'!L:L,"Vignette [1] Respiratory Infection: Pneumonia",'QA Log'!Z:Z,"Approved"),"")</f>
        <v/>
      </c>
      <c r="AY447" s="105" t="str">
        <f>IF(A447&lt;&gt;"",COUNTIFS('QA Log'!D:D,A447,'QA Log'!M:M,"Vignette",'QA Log'!L:L,"Vignette [2]: Diarrhea with Cat B dehydration",'QA Log'!Z:Z,"Approved"),"")</f>
        <v/>
      </c>
      <c r="AZ447" s="105" t="str">
        <f>IF(A447&lt;&gt;"",COUNTIFS('QA Log'!D:D,A447,'QA Log'!M:M,"Vignette",'QA Log'!L:L,"Vignette [3] Growth Monitoring and Promotion",'QA Log'!Z:Z,"Approved"),"")</f>
        <v/>
      </c>
      <c r="BA447" s="105" t="str">
        <f>IF(A447&lt;&gt;"",COUNTIFS('QA Log'!D:D,A447,'QA Log'!M:M,"Vignette",'QA Log'!L:L,"Vignette [4]: The management of presumptive TB patient",'QA Log'!Z:Z,"Approved"),"")</f>
        <v/>
      </c>
      <c r="BB447" s="102" t="str">
        <f>IF(A447="","",
  SUM(
    COUNTIFS('QA Log'!D:D,A447,'QA Log'!M:M,"Vignette",'QA Log'!Z:Z,"Rejected",'QA Log'!L:L,"*Vignette [1] Respiratory Infection: Pneumonia*"),
    COUNTIFS('QA Log'!D:D,A447,'QA Log'!M:M,"Vignette",'QA Log'!Z:Z,"Rejected",'QA Log'!L:L,"*Vignette [2]: Diarrhea with Cat B dehydration*"),
    COUNTIFS('QA Log'!D:D,A447,'QA Log'!M:M,"Vignette",'QA Log'!Z:Z,"Rejected",'QA Log'!L:L,"*Vignette [3] Growth Monitoring and Promotion*"),
    COUNTIFS('QA Log'!D:D,A447,'QA Log'!M:M,"Vignette",'QA Log'!Z:Z,"Rejected",'QA Log'!L:L,"*Vignette [4]: The management of presumptive TB patient*")
  )
)</f>
        <v/>
      </c>
      <c r="BC447" s="107" t="str">
        <f t="shared" si="35"/>
        <v/>
      </c>
      <c r="BD447" s="103" t="str">
        <f t="shared" si="36"/>
        <v/>
      </c>
      <c r="BE447" s="102" t="str">
        <f>IF(A447="","",SUM(
COUNTIFS('QA Log'!D:D,A447,'QA Log'!M:M,"Vignette",'QA Log'!L:L,"*Vignette [5] Labor*"),
COUNTIFS('QA Log'!D:D,A447,'QA Log'!M:M,"Vignette",'QA Log'!L:L,"*Vignette [6] PNC pre Discharge*"),
COUNTIFS('QA Log'!D:D,A447,'QA Log'!M:M,"Vignette",'QA Log'!L:L,"*Vignette [7] First ANC Visit*"),
COUNTIFS('QA Log'!D:D,A447,'QA Log'!M:M,"Vignette",'QA Log'!L:L,"*Vignette [8] Birth Spacing/ Family Planning :  FP Counselling*"),
COUNTIFS('QA Log'!D:D,A447,'QA Log'!M:M,"Vignette",'QA Log'!L:L,"*Vignette [9] Birth Spacing: Change FP method to Injectable*"),
COUNTIFS('QA Log'!D:D,A447,'QA Log'!M:M,"Vignette",'QA Log'!L:L,"*Vignette [10] Post Partum Haemorrhage - Atonic Uterus at Health Centre*"),
)
)</f>
        <v/>
      </c>
      <c r="BF447" s="102" t="str">
        <f>IF(A447="","",
  SUM(
    COUNTIFS('QA Log'!D:D,A447,'QA Log'!M:M,"Vignette",'QA Log'!Z:Z,"Approved",'QA Log'!L:L,"*Vignette [5] Labor*"),
    COUNTIFS('QA Log'!D:D,A447,'QA Log'!M:M,"Vignette",'QA Log'!Z:Z,"Approved",'QA Log'!L:L,"*Vignette [6] PNC pre Discharge*"),
    COUNTIFS('QA Log'!D:D,A447,'QA Log'!M:M,"Vignette",'QA Log'!Z:Z,"Approved",'QA Log'!L:L,"*Vignette [7] First ANC Visit*"),
    COUNTIFS('QA Log'!D:D,A447,'QA Log'!M:M,"Vignette",'QA Log'!Z:Z,"Approved",'QA Log'!L:L,"*Vignette [8] Birth Spacing/ Family Planning :  FP Counselling*"),
    COUNTIFS('QA Log'!D:D,A447,'QA Log'!M:M,"Vignette",'QA Log'!Z:Z,"Approved",'QA Log'!L:L,"*Vignette [9] Birth Spacing: Change FP method to Injectable*"),
    COUNTIFS('QA Log'!D:D,A447,'QA Log'!M:M,"Vignette",'QA Log'!Z:Z,"Approved",'QA Log'!L:L,"*Vignette [10] Post Partum Haemorrhage - Atonic Uterus at Health Centre*")
  )
)</f>
        <v/>
      </c>
      <c r="BG447" s="105" t="str">
        <f>IF(A447&lt;&gt;"",COUNTIFS('QA Log'!D:D,A447,'QA Log'!M:M,"Vignette",'QA Log'!L:L,"Vignette [5] Labor",'QA Log'!Z:Z,"Approved"),"")</f>
        <v/>
      </c>
      <c r="BH447" s="105" t="str">
        <f>IF(A447&lt;&gt;"",COUNTIFS('QA Log'!D:D,A447,'QA Log'!M:M,"Vignette",'QA Log'!L:L,"Vignette [6] PNC pre Discharge",'QA Log'!Z:Z,"Approved"),"")</f>
        <v/>
      </c>
      <c r="BI447" s="105" t="str">
        <f>IF(A447&lt;&gt;"",COUNTIFS('QA Log'!D:D,A447,'QA Log'!M:M,"Vignette",'QA Log'!L:L,"Vignette [7] First ANC Visit",'QA Log'!Z:Z,"Approved"),"")</f>
        <v/>
      </c>
      <c r="BJ447" s="105" t="str">
        <f>IF(A447&lt;&gt;"",COUNTIFS('QA Log'!D:D,A447,'QA Log'!M:M,"Vignette",'QA Log'!L:L,"Vignette [8] Birth Spacing/ Family Planning :  FP Counselling",'QA Log'!Z:Z,"Approved"),"")</f>
        <v/>
      </c>
      <c r="BK447" s="105" t="str">
        <f>IF(A447&lt;&gt;"",COUNTIFS('QA Log'!D:D,A447,'QA Log'!M:M,"Vignette",'QA Log'!L:L,"Vignette [9] Birth Spacing: Change FP method to Injectable",'QA Log'!Z:Z,"Approved"),"")</f>
        <v/>
      </c>
      <c r="BL447" s="105" t="str">
        <f>IF(A447&lt;&gt;"",COUNTIFS('QA Log'!D:D,A447,'QA Log'!M:M,"Vignette",'QA Log'!L:L,"Vignette [10] Post Partum Haemorrhage - Atonic Uterus at Health Centre",'QA Log'!Z:Z,"Approved"),"")</f>
        <v/>
      </c>
      <c r="BM447" s="102" t="str">
        <f>IF(A447="","",SUM(
    COUNTIFS('QA Log'!D:D,A447,'QA Log'!M:M,"Vignette",'QA Log'!Z:Z,"Rejected",'QA Log'!L:L,"*Vignette [5] Labor*"),
    COUNTIFS('QA Log'!D:D,A447,'QA Log'!M:M,"Vignette",'QA Log'!Z:Z,"Rejected",'QA Log'!L:L,"*Vignette [6] PNC pre Discharge*"),
    COUNTIFS('QA Log'!D:D,A447,'QA Log'!M:M,"Vignette",'QA Log'!Z:Z,"Rejected",'QA Log'!L:L,"*Vignette [7] First ANC Visit*"),
    COUNTIFS('QA Log'!D:D,A447,'QA Log'!M:M,"Vignette",'QA Log'!Z:Z,"Rejected",'QA Log'!L:L,"*Vignette [8] Birth Spacing/ Family Planning :  FP Counselling*"),
    COUNTIFS('QA Log'!D:D,A447,'QA Log'!M:M,"Vignette",'QA Log'!Z:Z,"Rejected",'QA Log'!L:L,"*Vignette [9] Birth Spacing: Change FP method to Injectable*"),
    COUNTIFS('QA Log'!D:D,A447,'QA Log'!M:M,"Vignette",'QA Log'!Z:Z,"Rejected",'QA Log'!L:L,"*Vignette [10] Post Partum Haemorrhage - Atonic Uterus at Health Centre*")
  )
)</f>
        <v/>
      </c>
      <c r="BN447" s="107" t="str">
        <f t="shared" si="37"/>
        <v/>
      </c>
      <c r="BO447" s="103" t="str">
        <f t="shared" si="38"/>
        <v/>
      </c>
      <c r="BP447" s="102" t="str">
        <f>IF(A447="","",SUM(
COUNTIFS('QA Log'!D:D,A447,'QA Log'!M:M,"Vignette",'QA Log'!L:L,"*Exit Interview 1*"),
COUNTIFS('QA Log'!D:D,A447,'QA Log'!M:M,"Vignette",'QA Log'!L:L,"*Exit Interview 2*"),
)
)</f>
        <v/>
      </c>
      <c r="BQ447" s="102" t="str">
        <f>IF(
  A447="","",
  SUM(
    COUNTIFS('QA Log'!D:D,A447,'QA Log'!M:M,"Vignette",'QA Log'!Z:Z,"Approved",'QA Log'!L:L,"*Exit Interview 1*"),
    COUNTIFS('QA Log'!D:D,A447,'QA Log'!M:M,"Vignette",'QA Log'!Z:Z,"Approved",'QA Log'!L:L,"*Exit Interview 2*")
  )
)</f>
        <v/>
      </c>
      <c r="BR447" s="105" t="str">
        <f>IF(A447&lt;&gt;"",COUNTIFS('QA Log'!D:D,A447,'QA Log'!M:M,"Vignette",'QA Log'!L:L,"Exit Interview 1",'QA Log'!Z:Z,"Approved"),"")</f>
        <v/>
      </c>
      <c r="BS447" s="105" t="str">
        <f>IF(A447&lt;&gt;"",COUNTIFS('QA Log'!D:D,A447,'QA Log'!M:M,"Vignette",'QA Log'!L:L,"Exit Interview 2",'QA Log'!Z:Z,"Approved"),"")</f>
        <v/>
      </c>
      <c r="BT447" s="102" t="str">
        <f>IF(
  A447="","",
  SUM(
    COUNTIFS('QA Log'!D:D,A447,'QA Log'!M:M,"Vignette",'QA Log'!Z:Z,"Rejected",'QA Log'!L:L,"*Exit Interview 1*"),
    COUNTIFS('QA Log'!D:D,A447,'QA Log'!M:M,"Vignette",'QA Log'!Z:Z,"Rejected",'QA Log'!L:L,"*Exit Interview 2*")
  )
)</f>
        <v/>
      </c>
      <c r="BU447" s="107" t="str">
        <f t="shared" si="39"/>
        <v/>
      </c>
      <c r="BV447" s="102" t="str">
        <f t="shared" si="40"/>
        <v/>
      </c>
      <c r="BW447" s="102" t="str">
        <f t="shared" si="41"/>
        <v/>
      </c>
      <c r="BX447" s="102" t="str">
        <f t="shared" si="42"/>
        <v/>
      </c>
      <c r="BY447" s="102" t="str">
        <f t="shared" si="43"/>
        <v/>
      </c>
      <c r="BZ447" s="107" t="str">
        <f t="shared" si="44"/>
        <v/>
      </c>
      <c r="CA447" s="108" t="str">
        <f t="shared" si="45"/>
        <v/>
      </c>
      <c r="CB447" s="108" t="str">
        <f t="shared" si="46"/>
        <v/>
      </c>
      <c r="CC447" s="109" t="str">
        <f t="shared" si="47"/>
        <v/>
      </c>
      <c r="CD447" s="108" t="str">
        <f t="shared" si="48"/>
        <v/>
      </c>
      <c r="CE447" s="108" t="str">
        <f t="shared" si="49"/>
        <v/>
      </c>
      <c r="CF447" s="109" t="str">
        <f t="shared" si="50"/>
        <v/>
      </c>
      <c r="CG447" s="110" t="str">
        <f t="shared" si="51"/>
        <v/>
      </c>
      <c r="CH447" s="111"/>
    </row>
    <row r="448" spans="1:86" ht="12.75">
      <c r="A448" s="101"/>
      <c r="B448" s="102" t="e">
        <f t="array" aca="1" ref="B448" ca="1">_xludf.XLOOKUP(A448,'QA Log'!D:D,'QA Log'!E:E,"")</f>
        <v>#NAME?</v>
      </c>
      <c r="C448" s="102" t="e">
        <f t="array" aca="1" ref="C448" ca="1">_xludf.XLOOKUP(A448,'QA Log'!D:D,'QA Log'!F:F,"")</f>
        <v>#NAME?</v>
      </c>
      <c r="D448" s="102" t="e">
        <f t="array" aca="1" ref="D448" ca="1">_xludf.XLOOKUP(A448,'QA Log'!D:D,'QA Log'!H:H,"")</f>
        <v>#NAME?</v>
      </c>
      <c r="E448" s="102" t="e">
        <f t="array" aca="1" ref="E448" ca="1">_xludf.XLOOKUP(A448,'QA Log'!D:D,'QA Log'!G:G,"")</f>
        <v>#NAME?</v>
      </c>
      <c r="F448" s="103"/>
      <c r="G448" s="104"/>
      <c r="H448" s="104"/>
      <c r="I448" s="103" t="str">
        <f t="shared" si="26"/>
        <v/>
      </c>
      <c r="J448" s="102" t="str">
        <f>IF(A448="","",SUM(
COUNTIFS('QA Log'!D:D,A448,'QA Log'!M:M,"QQC",'QA Log'!L:L,"*1. General Management*"),
COUNTIFS('QA Log'!D:D,A448,'QA Log'!M:M,"QQC",'QA Log'!L:L,"*3. Curative Consultation (OPD)*"),
COUNTIFS('QA Log'!D:D,A448,'QA Log'!M:M,"QQC",'QA Log'!L:L,"*5. Laboratory*"),
COUNTIFS('QA Log'!D:D,A448,'QA Log'!M:M,"QQC",'QA Log'!L:L,"*6. Essential Medicine Management*"),
COUNTIFS('QA Log'!D:D,A448,'QA Log'!M:M,"QQC",'QA Log'!L:L,"*7. Tracer Medicine*"),
COUNTIFS('QA Log'!D:D,A448,'QA Log'!M:M,"QQC",'QA Log'!L:L,"*11. Additional Questions*")))</f>
        <v/>
      </c>
      <c r="K448" s="102" t="str">
        <f>IF(A448="","",SUM(
COUNTIFS('QA Log'!D:D,A448,'QA Log'!M:M,"QQC",'QA Log'!Z:Z,"Approved",'QA Log'!L:L,"*1. General Management*"),
COUNTIFS('QA Log'!D:D,A448,'QA Log'!M:M,"QQC",'QA Log'!Z:Z,"Approved",'QA Log'!L:L,"*3. Curative Consultation (OPD)*"),
COUNTIFS('QA Log'!D:D,A448,'QA Log'!M:M,"QQC",'QA Log'!Z:Z,"Approved",'QA Log'!L:L,"*5. Laboratory*"),
COUNTIFS('QA Log'!D:D,A448,'QA Log'!M:M,"QQC",'QA Log'!Z:Z,"Approved",'QA Log'!L:L,"*6. Essential Medicine Management*"),
COUNTIFS('QA Log'!D:D,A448,'QA Log'!M:M,"QQC",'QA Log'!Z:Z,"Approved",'QA Log'!L:L,"*7. Tracer Medicine*"),
COUNTIFS('QA Log'!D:D,A448,'QA Log'!M:M,"QQC",'QA Log'!Z:Z,"Approved",'QA Log'!L:L,"*11. Additional Questions*")))</f>
        <v/>
      </c>
      <c r="L448" s="102" t="str">
        <f>IF(A448&lt;&gt;"",COUNTIFS('QA Log'!D:D,A448,'QA Log'!M:M,"QQC",'QA Log'!L:L,"1. General Management",'QA Log'!Z:Z,"Approved"),"")</f>
        <v/>
      </c>
      <c r="M448" s="102" t="str">
        <f>IF(A448&lt;&gt;"",COUNTIFS('QA Log'!D:D,A448,'QA Log'!M:M,"QQC",'QA Log'!L:L,"3. Curative Consultation (OPD)",'QA Log'!Z:Z,"Approved"),"")</f>
        <v/>
      </c>
      <c r="N448" s="102" t="str">
        <f>IF(A448&lt;&gt;"",COUNTIFS('QA Log'!D:D,A448,'QA Log'!M:M,"QQC",'QA Log'!L:L,"5. Laboratory",'QA Log'!Z:Z,"Approved"),"")</f>
        <v/>
      </c>
      <c r="O448" s="102" t="str">
        <f>IF(A448&lt;&gt;"",COUNTIFS('QA Log'!D:D,A448,'QA Log'!M:M,"QQC",'QA Log'!L:L,"6. Essential Medicine Management",'QA Log'!Z:Z,"Approved"),"")</f>
        <v/>
      </c>
      <c r="P448" s="102" t="str">
        <f>IF(A448&lt;&gt;"",COUNTIFS('QA Log'!D:D,A448,'QA Log'!M:M,"QQC",'QA Log'!L:L,"7. Tracer Medicine",'QA Log'!Z:Z,"Approved"),"")</f>
        <v/>
      </c>
      <c r="Q448" s="102" t="str">
        <f>IF(A448&lt;&gt;"",COUNTIFS('QA Log'!D:D,A448,'QA Log'!M:M,"QQC",'QA Log'!L:L,"11. Additional Questions",'QA Log'!Z:Z,"Approved"),"")</f>
        <v/>
      </c>
      <c r="R448" s="102" t="str">
        <f>IF(A448="","",SUM(
COUNTIFS('QA Log'!D:D,A448,'QA Log'!M:M,"QQC",'QA Log'!Z:Z,"Rejected",'QA Log'!L:L,"*8. Maternity*"),
COUNTIFS('QA Log'!D:D,A448,'QA Log'!M:M,"QQC",'QA Log'!Z:Z,"Rejected",'QA Log'!L:L,"*EPI*"),
COUNTIFS('QA Log'!D:D,A448,'QA Log'!M:M,"QQC",'QA Log'!Z:Z,"Rejected",'QA Log'!L:L,"*10. Antenatal Care (ANC)*"),
COUNTIFS('QA Log'!D:D,A448,'QA Log'!M:M,"QQC",'QA Log'!Z:Z,"Rejected",'QA Log'!L:L,"*2. Hygiene and Sterilization*"),
COUNTIFS('QA Log'!D:D,A448,'QA Log'!M:M,"QQC",'QA Log'!Z:Z,"Rejected",'QA Log'!L:L,"*Family Planning*")))</f>
        <v/>
      </c>
      <c r="S448" s="106" t="str">
        <f t="shared" si="27"/>
        <v/>
      </c>
      <c r="T448" s="102" t="str">
        <f t="shared" si="28"/>
        <v/>
      </c>
      <c r="U448" s="102" t="str">
        <f>IF(A448="","",
SUM(
COUNTIFS('QA Log'!D:D,A448,'QA Log'!M:M,"QQC",'QA Log'!L:L,"*8. Maternity*"),
COUNTIFS('QA Log'!D:D,A448,'QA Log'!M:M,"QQC",'QA Log'!L:L,"*9. EPI and Pre-school Consultation*"),
COUNTIFS('QA Log'!D:D,A448,'QA Log'!M:M,"QQC",'QA Log'!L:L,"*10. Antenatal Care (ANC)*"),
COUNTIFS('QA Log'!D:D,A448,'QA Log'!M:M,"QQC",'QA Log'!L:L,"*2. Hygiene and Sterilization*"),
COUNTIFS('QA Log'!D:D,A448,'QA Log'!M:M,"QQC",'QA Log'!L:L,"*4. Family Planning*")
))</f>
        <v/>
      </c>
      <c r="V448" s="102" t="str">
        <f>IF(A448="","",
SUM(
COUNTIFS('QA Log'!D:D,A448,'QA Log'!M:M,"QQC",'QA Log'!Z:Z,"Approved",'QA Log'!L:L,"*8. Maternity*"),
COUNTIFS('QA Log'!D:D,A448,'QA Log'!M:M,"QQC",'QA Log'!Z:Z,"Approved",'QA Log'!L:L,"*9. EPI and Pre-school Consultation*"),
COUNTIFS('QA Log'!D:D,A448,'QA Log'!M:M,"QQC",'QA Log'!Z:Z,"Approved",'QA Log'!L:L,"*10. Antenatal Care (ANC)*"),
COUNTIFS('QA Log'!D:D,A448,'QA Log'!M:M,"QQC",'QA Log'!Z:Z,"Approved",'QA Log'!L:L,"*2. Hygiene and Sterilization*"),
COUNTIFS('QA Log'!D:D,A448,'QA Log'!M:M,"QQC",'QA Log'!Z:Z,"Approved",'QA Log'!L:L,"*4. Family Planning*")
))</f>
        <v/>
      </c>
      <c r="W448" s="102" t="str">
        <f>IF(A448&lt;&gt;"",COUNTIFS('QA Log'!D:D,A448,'QA Log'!M:M,"QQC",'QA Log'!L:L,"8. Maternity",'QA Log'!Z:Z,"Approved"),"")</f>
        <v/>
      </c>
      <c r="X448" s="105" t="str">
        <f>IF(A448&lt;&gt;"",COUNTIFS('QA Log'!D:D,A448,'QA Log'!M:M,"QQC",'QA Log'!L:L,"9. EPI and Pre-school Consultation",'QA Log'!Z:Z,"Approved"),"")</f>
        <v/>
      </c>
      <c r="Y448" s="102" t="str">
        <f>IF(A448&lt;&gt;"",COUNTIFS('QA Log'!D:D,A448,'QA Log'!M:M,"QQC",'QA Log'!L:L,"10. Antenatal Care (ANC)",'QA Log'!Z:Z,"Approved"),"")</f>
        <v/>
      </c>
      <c r="Z448" s="102" t="str">
        <f>IF(A448&lt;&gt;"",COUNTIFS('QA Log'!D:D,A448,'QA Log'!M:M,"QQC",'QA Log'!L:L,"2. Hygiene and Sterilization",'QA Log'!Z:Z,"Approved"),"")</f>
        <v/>
      </c>
      <c r="AA448" s="105" t="str">
        <f>IF(A448&lt;&gt;"",COUNTIFS('QA Log'!D:D,A448,'QA Log'!M:M,"QQC",'QA Log'!L:L,"4. Family Planning",'QA Log'!Z:Z,"Approved"),"")</f>
        <v/>
      </c>
      <c r="AB448" s="102" t="str">
        <f>IF(A448="","",
SUM(
COUNTIFS('QA Log'!D:D,A448,'QA Log'!M:M,"QQC",'QA Log'!Z:Z,"Rejected",'QA Log'!L:L,"*8. Maternity*"),
COUNTIFS('QA Log'!D:D,A448,'QA Log'!M:M,"QQC",'QA Log'!Z:Z,"Rejected",'QA Log'!L:L,"*9. EPI and Pre-school Consultation*"),
COUNTIFS('QA Log'!D:D,A448,'QA Log'!M:M,"QQC",'QA Log'!Z:Z,"Rejected",'QA Log'!L:L,"*10. Antenatal Care (ANC)*"),
COUNTIFS('QA Log'!D:D,A448,'QA Log'!M:M,"QQC",'QA Log'!Z:Z,"Rejected",'QA Log'!L:L,"*2. Hygiene and Sterilization*"),
COUNTIFS('QA Log'!D:D,A448,'QA Log'!M:M,"QQC",'QA Log'!Z:Z,"Rejected",'QA Log'!L:L,"*4. Family Planning*")
))</f>
        <v/>
      </c>
      <c r="AC448" s="102" t="str">
        <f t="shared" si="29"/>
        <v/>
      </c>
      <c r="AD448" s="103" t="str">
        <f t="shared" si="30"/>
        <v/>
      </c>
      <c r="AE448" s="102" t="str">
        <f>IF(A448="","",
SUM(
COUNTIFS('QA Log'!D:D,A448,'QA Log'!M:M,"Data Verification",'QA Log'!L:L,"*Medicine (section 2)*"),
COUNTIFS('QA Log'!D:D,A448,'QA Log'!M:M,"Data Verification",'QA Log'!L:L,"*Lab Testing Availability*"),
COUNTIFS('QA Log'!D:D,A448,'QA Log'!M:M,"Data Verification",'QA Log'!L:L,"*Other than P4P (section 6)*"),
COUNTIFS('QA Log'!D:D,A448,'QA Log'!M:M,"Data Verification",'QA Log'!L:L,"*Hospital Governance*")
))</f>
        <v/>
      </c>
      <c r="AF448" s="102" t="str">
        <f>IF(A448="","",
SUM(
COUNTIFS('QA Log'!D:D,A448,'QA Log'!M:M,"Data Verification",'QA Log'!Z:Z,"Approved",'QA Log'!L:L,"*Medicine (section 2)*"),
COUNTIFS('QA Log'!D:D,A448,'QA Log'!M:M,"Data Verification",'QA Log'!Z:Z,"Approved",'QA Log'!L:L,"*Lab Testing Availability*"),
COUNTIFS('QA Log'!D:D,A448,'QA Log'!M:M,"Data Verification",'QA Log'!Z:Z,"Approved",'QA Log'!L:L,"*Other than P4P (section 6)*"),
COUNTIFS('QA Log'!D:D,A448,'QA Log'!M:M,"Data Verification",'QA Log'!Z:Z,"Approved",'QA Log'!L:L,"*Hospital Governance*")
))</f>
        <v/>
      </c>
      <c r="AG448" s="105" t="str">
        <f>IF(A448&lt;&gt;"",COUNTIFS('QA Log'!D:D,A448,'QA Log'!M:M,"Data Verification",'QA Log'!L:L,"Medicine (section 2)",'QA Log'!Z:Z,"Approved"),"")</f>
        <v/>
      </c>
      <c r="AH448" s="105" t="str">
        <f>IF(A448&lt;&gt;"",COUNTIFS('QA Log'!D:D,A448,'QA Log'!M:M,"Data Verification",'QA Log'!L:L,"Lab Testing Availability",'QA Log'!Z:Z,"Approved"),"")</f>
        <v/>
      </c>
      <c r="AI448" s="105" t="str">
        <f>IF(A448&lt;&gt;"",COUNTIFS('QA Log'!D:D,A448,'QA Log'!M:M,"Data Verification",'QA Log'!L:L,"Other than P4P (section 6)",'QA Log'!Z:Z,"Approved"),"")</f>
        <v/>
      </c>
      <c r="AJ448" s="105" t="str">
        <f>IF(A448&lt;&gt;"",COUNTIFS('QA Log'!D:D,A448,'QA Log'!M:M,"Data Verification",'QA Log'!L:L,"Hospital Governance",'QA Log'!Z:Z,"Approved"),"")</f>
        <v/>
      </c>
      <c r="AK448" s="102" t="str">
        <f>IF(A448="","",
SUM(
COUNTIFS('QA Log'!D:D,A448,'QA Log'!M:M,"Data Verification",'QA Log'!Z:Z,"Rejected",'QA Log'!L:L,"*Medicine (section 2)*"),
COUNTIFS('QA Log'!D:D,A448,'QA Log'!M:M,"Data Verification",'QA Log'!Z:Z,"Rejected",'QA Log'!L:L,"*Lab Testing Availability*"),
COUNTIFS('QA Log'!D:D,A448,'QA Log'!M:M,"Data Verification",'QA Log'!Z:Z,"Rejected",'QA Log'!L:L,"*Other than P4P (section 6)*"),
COUNTIFS('QA Log'!D:D,A448,'QA Log'!M:M,"Data Verification",'QA Log'!Z:Z,"Rejected",'QA Log'!L:L,"*Hospital Governance*")
))</f>
        <v/>
      </c>
      <c r="AL448" s="106" t="str">
        <f t="shared" si="31"/>
        <v/>
      </c>
      <c r="AM448" s="102" t="str">
        <f t="shared" si="32"/>
        <v/>
      </c>
      <c r="AN448" s="102" t="str">
        <f>IF(A448="","",
SUM(
COUNTIFS('QA Log'!D:D,A448,'QA Log'!M:M,"Data Verification",'QA Log'!L:L,"*Personnel (section 1)*"),
COUNTIFS('QA Log'!D:D,A448,'QA Log'!M:M,"Data Verification",'QA Log'!L:L,"*Consumable (section 3)*"),
COUNTIFS('QA Log'!D:D,A448,'QA Log'!M:M,"Data Verification",'QA Log'!L:L,"*Equipments (section 4)*")
))</f>
        <v/>
      </c>
      <c r="AO448" s="102" t="str">
        <f>IF(A448="","",
SUM(
COUNTIFS('QA Log'!D:D,A448,'QA Log'!M:M,"Data Verification",'QA Log'!Z:Z,"Approved",'QA Log'!L:L,"*Personnel (section 1)*"),
COUNTIFS('QA Log'!D:D,A448,'QA Log'!M:M,"Data Verification",'QA Log'!Z:Z,"Approved",'QA Log'!L:L,"*Consumable (section 3)*"),
COUNTIFS('QA Log'!D:D,A448,'QA Log'!M:M,"Data Verification",'QA Log'!Z:Z,"Approved",'QA Log'!L:L,"*Equipments (section 4)*")
))</f>
        <v/>
      </c>
      <c r="AP448" s="105" t="str">
        <f>IF(A448&lt;&gt;"",COUNTIFS('QA Log'!D:D,A448,'QA Log'!M:M,"Data Verification",'QA Log'!L:L,"Personnel (section 1)",'QA Log'!Z:Z,"Approved"),"")</f>
        <v/>
      </c>
      <c r="AQ448" s="105" t="str">
        <f>IF(A448&lt;&gt;"",COUNTIFS('QA Log'!D:D,A448,'QA Log'!M:M,"Data Verification",'QA Log'!L:L,"Consumable (section 3)",'QA Log'!Z:Z,"Approved"),"")</f>
        <v/>
      </c>
      <c r="AR448" s="105" t="str">
        <f>IF(A448&lt;&gt;"",COUNTIFS('QA Log'!D:D,A448,'QA Log'!M:M,"Data Verification",'QA Log'!L:L,"Equipments (section 4)",'QA Log'!Z:Z,"Approved"),"")</f>
        <v/>
      </c>
      <c r="AS448" s="102" t="str">
        <f>IF(A448="","",
SUM(
COUNTIFS('QA Log'!D:D,A448,'QA Log'!M:M,"Data Verification",'QA Log'!Z:Z,"Rejected",'QA Log'!L:L,"*Personnel (section 1)*"),
COUNTIFS('QA Log'!D:D,A448,'QA Log'!M:M,"Data Verification",'QA Log'!Z:Z,"Rejected",'QA Log'!L:L,"*Consumable (section 3)*"),
COUNTIFS('QA Log'!D:D,A448,'QA Log'!M:M,"Data Verification",'QA Log'!Z:Z,"Rejected",'QA Log'!L:L,"*Equipments (section 4)*")
))</f>
        <v/>
      </c>
      <c r="AT448" s="102" t="str">
        <f t="shared" si="33"/>
        <v/>
      </c>
      <c r="AU448" s="103" t="str">
        <f t="shared" si="34"/>
        <v/>
      </c>
      <c r="AV448" s="102" t="str">
        <f>IF(A448="","",SUM(
COUNTIFS('QA Log'!D:D,A448,'QA Log'!M:M,"Vignette",'QA Log'!L:L,"*Vignette [1] Respiratory Infection: Pneumonia*"),
COUNTIFS('QA Log'!D:D,A448,'QA Log'!M:M,"Vignette",'QA Log'!L:L,"*Vignette [2]: Diarrhea with Cat B dehydration*"),
COUNTIFS('QA Log'!D:D,A448,'QA Log'!M:M,"Vignette",'QA Log'!L:L,"*Vignette [3] Growth Monitoring and Promotion*"),
COUNTIFS('QA Log'!D:D,A448,'QA Log'!M:M,"Vignette",'QA Log'!L:L,"*Vignette [4]: The management of presumptive TB patient*")
)
)</f>
        <v/>
      </c>
      <c r="AW448" s="102" t="str">
        <f>IF(
  A448="","",
  SUM(
    COUNTIFS('QA Log'!D:D,A448,'QA Log'!M:M,"Vignette",'QA Log'!Z:Z,"Approved",'QA Log'!L:L,"*Vignette [1] Respiratory Infection: Pneumonia*"),
    COUNTIFS('QA Log'!D:D,A448,'QA Log'!M:M,"Vignette",'QA Log'!Z:Z,"Approved",'QA Log'!L:L,"*Vignette [2]: Diarrhea with Cat B dehydration*"),
    COUNTIFS('QA Log'!D:D,A448,'QA Log'!M:M,"Vignette",'QA Log'!Z:Z,"Approved",'QA Log'!L:L,"*Vignette [3] Growth Monitoring and Promotion*"),
    COUNTIFS('QA Log'!D:D,A448,'QA Log'!M:M,"Vignette",'QA Log'!Z:Z,"Approved",'QA Log'!L:L,"*Vignette [4]: The management of presumptive TB patient*")
  )
)</f>
        <v/>
      </c>
      <c r="AX448" s="105" t="str">
        <f>IF(A448&lt;&gt;"",COUNTIFS('QA Log'!D:D,A448,'QA Log'!M:M,"Vignette",'QA Log'!L:L,"Vignette [1] Respiratory Infection: Pneumonia",'QA Log'!Z:Z,"Approved"),"")</f>
        <v/>
      </c>
      <c r="AY448" s="105" t="str">
        <f>IF(A448&lt;&gt;"",COUNTIFS('QA Log'!D:D,A448,'QA Log'!M:M,"Vignette",'QA Log'!L:L,"Vignette [2]: Diarrhea with Cat B dehydration",'QA Log'!Z:Z,"Approved"),"")</f>
        <v/>
      </c>
      <c r="AZ448" s="105" t="str">
        <f>IF(A448&lt;&gt;"",COUNTIFS('QA Log'!D:D,A448,'QA Log'!M:M,"Vignette",'QA Log'!L:L,"Vignette [3] Growth Monitoring and Promotion",'QA Log'!Z:Z,"Approved"),"")</f>
        <v/>
      </c>
      <c r="BA448" s="105" t="str">
        <f>IF(A448&lt;&gt;"",COUNTIFS('QA Log'!D:D,A448,'QA Log'!M:M,"Vignette",'QA Log'!L:L,"Vignette [4]: The management of presumptive TB patient",'QA Log'!Z:Z,"Approved"),"")</f>
        <v/>
      </c>
      <c r="BB448" s="102" t="str">
        <f>IF(A448="","",
  SUM(
    COUNTIFS('QA Log'!D:D,A448,'QA Log'!M:M,"Vignette",'QA Log'!Z:Z,"Rejected",'QA Log'!L:L,"*Vignette [1] Respiratory Infection: Pneumonia*"),
    COUNTIFS('QA Log'!D:D,A448,'QA Log'!M:M,"Vignette",'QA Log'!Z:Z,"Rejected",'QA Log'!L:L,"*Vignette [2]: Diarrhea with Cat B dehydration*"),
    COUNTIFS('QA Log'!D:D,A448,'QA Log'!M:M,"Vignette",'QA Log'!Z:Z,"Rejected",'QA Log'!L:L,"*Vignette [3] Growth Monitoring and Promotion*"),
    COUNTIFS('QA Log'!D:D,A448,'QA Log'!M:M,"Vignette",'QA Log'!Z:Z,"Rejected",'QA Log'!L:L,"*Vignette [4]: The management of presumptive TB patient*")
  )
)</f>
        <v/>
      </c>
      <c r="BC448" s="107" t="str">
        <f t="shared" si="35"/>
        <v/>
      </c>
      <c r="BD448" s="103" t="str">
        <f t="shared" si="36"/>
        <v/>
      </c>
      <c r="BE448" s="102" t="str">
        <f>IF(A448="","",SUM(
COUNTIFS('QA Log'!D:D,A448,'QA Log'!M:M,"Vignette",'QA Log'!L:L,"*Vignette [5] Labor*"),
COUNTIFS('QA Log'!D:D,A448,'QA Log'!M:M,"Vignette",'QA Log'!L:L,"*Vignette [6] PNC pre Discharge*"),
COUNTIFS('QA Log'!D:D,A448,'QA Log'!M:M,"Vignette",'QA Log'!L:L,"*Vignette [7] First ANC Visit*"),
COUNTIFS('QA Log'!D:D,A448,'QA Log'!M:M,"Vignette",'QA Log'!L:L,"*Vignette [8] Birth Spacing/ Family Planning :  FP Counselling*"),
COUNTIFS('QA Log'!D:D,A448,'QA Log'!M:M,"Vignette",'QA Log'!L:L,"*Vignette [9] Birth Spacing: Change FP method to Injectable*"),
COUNTIFS('QA Log'!D:D,A448,'QA Log'!M:M,"Vignette",'QA Log'!L:L,"*Vignette [10] Post Partum Haemorrhage - Atonic Uterus at Health Centre*"),
)
)</f>
        <v/>
      </c>
      <c r="BF448" s="102" t="str">
        <f>IF(A448="","",
  SUM(
    COUNTIFS('QA Log'!D:D,A448,'QA Log'!M:M,"Vignette",'QA Log'!Z:Z,"Approved",'QA Log'!L:L,"*Vignette [5] Labor*"),
    COUNTIFS('QA Log'!D:D,A448,'QA Log'!M:M,"Vignette",'QA Log'!Z:Z,"Approved",'QA Log'!L:L,"*Vignette [6] PNC pre Discharge*"),
    COUNTIFS('QA Log'!D:D,A448,'QA Log'!M:M,"Vignette",'QA Log'!Z:Z,"Approved",'QA Log'!L:L,"*Vignette [7] First ANC Visit*"),
    COUNTIFS('QA Log'!D:D,A448,'QA Log'!M:M,"Vignette",'QA Log'!Z:Z,"Approved",'QA Log'!L:L,"*Vignette [8] Birth Spacing/ Family Planning :  FP Counselling*"),
    COUNTIFS('QA Log'!D:D,A448,'QA Log'!M:M,"Vignette",'QA Log'!Z:Z,"Approved",'QA Log'!L:L,"*Vignette [9] Birth Spacing: Change FP method to Injectable*"),
    COUNTIFS('QA Log'!D:D,A448,'QA Log'!M:M,"Vignette",'QA Log'!Z:Z,"Approved",'QA Log'!L:L,"*Vignette [10] Post Partum Haemorrhage - Atonic Uterus at Health Centre*")
  )
)</f>
        <v/>
      </c>
      <c r="BG448" s="105" t="str">
        <f>IF(A448&lt;&gt;"",COUNTIFS('QA Log'!D:D,A448,'QA Log'!M:M,"Vignette",'QA Log'!L:L,"Vignette [5] Labor",'QA Log'!Z:Z,"Approved"),"")</f>
        <v/>
      </c>
      <c r="BH448" s="105" t="str">
        <f>IF(A448&lt;&gt;"",COUNTIFS('QA Log'!D:D,A448,'QA Log'!M:M,"Vignette",'QA Log'!L:L,"Vignette [6] PNC pre Discharge",'QA Log'!Z:Z,"Approved"),"")</f>
        <v/>
      </c>
      <c r="BI448" s="105" t="str">
        <f>IF(A448&lt;&gt;"",COUNTIFS('QA Log'!D:D,A448,'QA Log'!M:M,"Vignette",'QA Log'!L:L,"Vignette [7] First ANC Visit",'QA Log'!Z:Z,"Approved"),"")</f>
        <v/>
      </c>
      <c r="BJ448" s="105" t="str">
        <f>IF(A448&lt;&gt;"",COUNTIFS('QA Log'!D:D,A448,'QA Log'!M:M,"Vignette",'QA Log'!L:L,"Vignette [8] Birth Spacing/ Family Planning :  FP Counselling",'QA Log'!Z:Z,"Approved"),"")</f>
        <v/>
      </c>
      <c r="BK448" s="105" t="str">
        <f>IF(A448&lt;&gt;"",COUNTIFS('QA Log'!D:D,A448,'QA Log'!M:M,"Vignette",'QA Log'!L:L,"Vignette [9] Birth Spacing: Change FP method to Injectable",'QA Log'!Z:Z,"Approved"),"")</f>
        <v/>
      </c>
      <c r="BL448" s="105" t="str">
        <f>IF(A448&lt;&gt;"",COUNTIFS('QA Log'!D:D,A448,'QA Log'!M:M,"Vignette",'QA Log'!L:L,"Vignette [10] Post Partum Haemorrhage - Atonic Uterus at Health Centre",'QA Log'!Z:Z,"Approved"),"")</f>
        <v/>
      </c>
      <c r="BM448" s="102" t="str">
        <f>IF(A448="","",SUM(
    COUNTIFS('QA Log'!D:D,A448,'QA Log'!M:M,"Vignette",'QA Log'!Z:Z,"Rejected",'QA Log'!L:L,"*Vignette [5] Labor*"),
    COUNTIFS('QA Log'!D:D,A448,'QA Log'!M:M,"Vignette",'QA Log'!Z:Z,"Rejected",'QA Log'!L:L,"*Vignette [6] PNC pre Discharge*"),
    COUNTIFS('QA Log'!D:D,A448,'QA Log'!M:M,"Vignette",'QA Log'!Z:Z,"Rejected",'QA Log'!L:L,"*Vignette [7] First ANC Visit*"),
    COUNTIFS('QA Log'!D:D,A448,'QA Log'!M:M,"Vignette",'QA Log'!Z:Z,"Rejected",'QA Log'!L:L,"*Vignette [8] Birth Spacing/ Family Planning :  FP Counselling*"),
    COUNTIFS('QA Log'!D:D,A448,'QA Log'!M:M,"Vignette",'QA Log'!Z:Z,"Rejected",'QA Log'!L:L,"*Vignette [9] Birth Spacing: Change FP method to Injectable*"),
    COUNTIFS('QA Log'!D:D,A448,'QA Log'!M:M,"Vignette",'QA Log'!Z:Z,"Rejected",'QA Log'!L:L,"*Vignette [10] Post Partum Haemorrhage - Atonic Uterus at Health Centre*")
  )
)</f>
        <v/>
      </c>
      <c r="BN448" s="107" t="str">
        <f t="shared" si="37"/>
        <v/>
      </c>
      <c r="BO448" s="103" t="str">
        <f t="shared" si="38"/>
        <v/>
      </c>
      <c r="BP448" s="102" t="str">
        <f>IF(A448="","",SUM(
COUNTIFS('QA Log'!D:D,A448,'QA Log'!M:M,"Vignette",'QA Log'!L:L,"*Exit Interview 1*"),
COUNTIFS('QA Log'!D:D,A448,'QA Log'!M:M,"Vignette",'QA Log'!L:L,"*Exit Interview 2*"),
)
)</f>
        <v/>
      </c>
      <c r="BQ448" s="102" t="str">
        <f>IF(
  A448="","",
  SUM(
    COUNTIFS('QA Log'!D:D,A448,'QA Log'!M:M,"Vignette",'QA Log'!Z:Z,"Approved",'QA Log'!L:L,"*Exit Interview 1*"),
    COUNTIFS('QA Log'!D:D,A448,'QA Log'!M:M,"Vignette",'QA Log'!Z:Z,"Approved",'QA Log'!L:L,"*Exit Interview 2*")
  )
)</f>
        <v/>
      </c>
      <c r="BR448" s="105" t="str">
        <f>IF(A448&lt;&gt;"",COUNTIFS('QA Log'!D:D,A448,'QA Log'!M:M,"Vignette",'QA Log'!L:L,"Exit Interview 1",'QA Log'!Z:Z,"Approved"),"")</f>
        <v/>
      </c>
      <c r="BS448" s="105" t="str">
        <f>IF(A448&lt;&gt;"",COUNTIFS('QA Log'!D:D,A448,'QA Log'!M:M,"Vignette",'QA Log'!L:L,"Exit Interview 2",'QA Log'!Z:Z,"Approved"),"")</f>
        <v/>
      </c>
      <c r="BT448" s="102" t="str">
        <f>IF(
  A448="","",
  SUM(
    COUNTIFS('QA Log'!D:D,A448,'QA Log'!M:M,"Vignette",'QA Log'!Z:Z,"Rejected",'QA Log'!L:L,"*Exit Interview 1*"),
    COUNTIFS('QA Log'!D:D,A448,'QA Log'!M:M,"Vignette",'QA Log'!Z:Z,"Rejected",'QA Log'!L:L,"*Exit Interview 2*")
  )
)</f>
        <v/>
      </c>
      <c r="BU448" s="107" t="str">
        <f t="shared" si="39"/>
        <v/>
      </c>
      <c r="BV448" s="102" t="str">
        <f t="shared" si="40"/>
        <v/>
      </c>
      <c r="BW448" s="102" t="str">
        <f t="shared" si="41"/>
        <v/>
      </c>
      <c r="BX448" s="102" t="str">
        <f t="shared" si="42"/>
        <v/>
      </c>
      <c r="BY448" s="102" t="str">
        <f t="shared" si="43"/>
        <v/>
      </c>
      <c r="BZ448" s="107" t="str">
        <f t="shared" si="44"/>
        <v/>
      </c>
      <c r="CA448" s="108" t="str">
        <f t="shared" si="45"/>
        <v/>
      </c>
      <c r="CB448" s="108" t="str">
        <f t="shared" si="46"/>
        <v/>
      </c>
      <c r="CC448" s="109" t="str">
        <f t="shared" si="47"/>
        <v/>
      </c>
      <c r="CD448" s="108" t="str">
        <f t="shared" si="48"/>
        <v/>
      </c>
      <c r="CE448" s="108" t="str">
        <f t="shared" si="49"/>
        <v/>
      </c>
      <c r="CF448" s="109" t="str">
        <f t="shared" si="50"/>
        <v/>
      </c>
      <c r="CG448" s="110" t="str">
        <f t="shared" si="51"/>
        <v/>
      </c>
      <c r="CH448" s="111"/>
    </row>
    <row r="449" spans="1:86" ht="12.75">
      <c r="A449" s="101"/>
      <c r="B449" s="102" t="e">
        <f t="array" aca="1" ref="B449" ca="1">_xludf.XLOOKUP(A449,'QA Log'!D:D,'QA Log'!E:E,"")</f>
        <v>#NAME?</v>
      </c>
      <c r="C449" s="102" t="e">
        <f t="array" aca="1" ref="C449" ca="1">_xludf.XLOOKUP(A449,'QA Log'!D:D,'QA Log'!F:F,"")</f>
        <v>#NAME?</v>
      </c>
      <c r="D449" s="102" t="e">
        <f t="array" aca="1" ref="D449" ca="1">_xludf.XLOOKUP(A449,'QA Log'!D:D,'QA Log'!H:H,"")</f>
        <v>#NAME?</v>
      </c>
      <c r="E449" s="102" t="e">
        <f t="array" aca="1" ref="E449" ca="1">_xludf.XLOOKUP(A449,'QA Log'!D:D,'QA Log'!G:G,"")</f>
        <v>#NAME?</v>
      </c>
      <c r="F449" s="103"/>
      <c r="G449" s="104"/>
      <c r="H449" s="104"/>
      <c r="I449" s="103" t="str">
        <f t="shared" si="26"/>
        <v/>
      </c>
      <c r="J449" s="102" t="str">
        <f>IF(A449="","",SUM(
COUNTIFS('QA Log'!D:D,A449,'QA Log'!M:M,"QQC",'QA Log'!L:L,"*1. General Management*"),
COUNTIFS('QA Log'!D:D,A449,'QA Log'!M:M,"QQC",'QA Log'!L:L,"*3. Curative Consultation (OPD)*"),
COUNTIFS('QA Log'!D:D,A449,'QA Log'!M:M,"QQC",'QA Log'!L:L,"*5. Laboratory*"),
COUNTIFS('QA Log'!D:D,A449,'QA Log'!M:M,"QQC",'QA Log'!L:L,"*6. Essential Medicine Management*"),
COUNTIFS('QA Log'!D:D,A449,'QA Log'!M:M,"QQC",'QA Log'!L:L,"*7. Tracer Medicine*"),
COUNTIFS('QA Log'!D:D,A449,'QA Log'!M:M,"QQC",'QA Log'!L:L,"*11. Additional Questions*")))</f>
        <v/>
      </c>
      <c r="K449" s="102" t="str">
        <f>IF(A449="","",SUM(
COUNTIFS('QA Log'!D:D,A449,'QA Log'!M:M,"QQC",'QA Log'!Z:Z,"Approved",'QA Log'!L:L,"*1. General Management*"),
COUNTIFS('QA Log'!D:D,A449,'QA Log'!M:M,"QQC",'QA Log'!Z:Z,"Approved",'QA Log'!L:L,"*3. Curative Consultation (OPD)*"),
COUNTIFS('QA Log'!D:D,A449,'QA Log'!M:M,"QQC",'QA Log'!Z:Z,"Approved",'QA Log'!L:L,"*5. Laboratory*"),
COUNTIFS('QA Log'!D:D,A449,'QA Log'!M:M,"QQC",'QA Log'!Z:Z,"Approved",'QA Log'!L:L,"*6. Essential Medicine Management*"),
COUNTIFS('QA Log'!D:D,A449,'QA Log'!M:M,"QQC",'QA Log'!Z:Z,"Approved",'QA Log'!L:L,"*7. Tracer Medicine*"),
COUNTIFS('QA Log'!D:D,A449,'QA Log'!M:M,"QQC",'QA Log'!Z:Z,"Approved",'QA Log'!L:L,"*11. Additional Questions*")))</f>
        <v/>
      </c>
      <c r="L449" s="102" t="str">
        <f>IF(A449&lt;&gt;"",COUNTIFS('QA Log'!D:D,A449,'QA Log'!M:M,"QQC",'QA Log'!L:L,"1. General Management",'QA Log'!Z:Z,"Approved"),"")</f>
        <v/>
      </c>
      <c r="M449" s="102" t="str">
        <f>IF(A449&lt;&gt;"",COUNTIFS('QA Log'!D:D,A449,'QA Log'!M:M,"QQC",'QA Log'!L:L,"3. Curative Consultation (OPD)",'QA Log'!Z:Z,"Approved"),"")</f>
        <v/>
      </c>
      <c r="N449" s="102" t="str">
        <f>IF(A449&lt;&gt;"",COUNTIFS('QA Log'!D:D,A449,'QA Log'!M:M,"QQC",'QA Log'!L:L,"5. Laboratory",'QA Log'!Z:Z,"Approved"),"")</f>
        <v/>
      </c>
      <c r="O449" s="102" t="str">
        <f>IF(A449&lt;&gt;"",COUNTIFS('QA Log'!D:D,A449,'QA Log'!M:M,"QQC",'QA Log'!L:L,"6. Essential Medicine Management",'QA Log'!Z:Z,"Approved"),"")</f>
        <v/>
      </c>
      <c r="P449" s="102" t="str">
        <f>IF(A449&lt;&gt;"",COUNTIFS('QA Log'!D:D,A449,'QA Log'!M:M,"QQC",'QA Log'!L:L,"7. Tracer Medicine",'QA Log'!Z:Z,"Approved"),"")</f>
        <v/>
      </c>
      <c r="Q449" s="102" t="str">
        <f>IF(A449&lt;&gt;"",COUNTIFS('QA Log'!D:D,A449,'QA Log'!M:M,"QQC",'QA Log'!L:L,"11. Additional Questions",'QA Log'!Z:Z,"Approved"),"")</f>
        <v/>
      </c>
      <c r="R449" s="102" t="str">
        <f>IF(A449="","",SUM(
COUNTIFS('QA Log'!D:D,A449,'QA Log'!M:M,"QQC",'QA Log'!Z:Z,"Rejected",'QA Log'!L:L,"*8. Maternity*"),
COUNTIFS('QA Log'!D:D,A449,'QA Log'!M:M,"QQC",'QA Log'!Z:Z,"Rejected",'QA Log'!L:L,"*EPI*"),
COUNTIFS('QA Log'!D:D,A449,'QA Log'!M:M,"QQC",'QA Log'!Z:Z,"Rejected",'QA Log'!L:L,"*10. Antenatal Care (ANC)*"),
COUNTIFS('QA Log'!D:D,A449,'QA Log'!M:M,"QQC",'QA Log'!Z:Z,"Rejected",'QA Log'!L:L,"*2. Hygiene and Sterilization*"),
COUNTIFS('QA Log'!D:D,A449,'QA Log'!M:M,"QQC",'QA Log'!Z:Z,"Rejected",'QA Log'!L:L,"*Family Planning*")))</f>
        <v/>
      </c>
      <c r="S449" s="106" t="str">
        <f t="shared" si="27"/>
        <v/>
      </c>
      <c r="T449" s="102" t="str">
        <f t="shared" si="28"/>
        <v/>
      </c>
      <c r="U449" s="102" t="str">
        <f>IF(A449="","",
SUM(
COUNTIFS('QA Log'!D:D,A449,'QA Log'!M:M,"QQC",'QA Log'!L:L,"*8. Maternity*"),
COUNTIFS('QA Log'!D:D,A449,'QA Log'!M:M,"QQC",'QA Log'!L:L,"*9. EPI and Pre-school Consultation*"),
COUNTIFS('QA Log'!D:D,A449,'QA Log'!M:M,"QQC",'QA Log'!L:L,"*10. Antenatal Care (ANC)*"),
COUNTIFS('QA Log'!D:D,A449,'QA Log'!M:M,"QQC",'QA Log'!L:L,"*2. Hygiene and Sterilization*"),
COUNTIFS('QA Log'!D:D,A449,'QA Log'!M:M,"QQC",'QA Log'!L:L,"*4. Family Planning*")
))</f>
        <v/>
      </c>
      <c r="V449" s="102" t="str">
        <f>IF(A449="","",
SUM(
COUNTIFS('QA Log'!D:D,A449,'QA Log'!M:M,"QQC",'QA Log'!Z:Z,"Approved",'QA Log'!L:L,"*8. Maternity*"),
COUNTIFS('QA Log'!D:D,A449,'QA Log'!M:M,"QQC",'QA Log'!Z:Z,"Approved",'QA Log'!L:L,"*9. EPI and Pre-school Consultation*"),
COUNTIFS('QA Log'!D:D,A449,'QA Log'!M:M,"QQC",'QA Log'!Z:Z,"Approved",'QA Log'!L:L,"*10. Antenatal Care (ANC)*"),
COUNTIFS('QA Log'!D:D,A449,'QA Log'!M:M,"QQC",'QA Log'!Z:Z,"Approved",'QA Log'!L:L,"*2. Hygiene and Sterilization*"),
COUNTIFS('QA Log'!D:D,A449,'QA Log'!M:M,"QQC",'QA Log'!Z:Z,"Approved",'QA Log'!L:L,"*4. Family Planning*")
))</f>
        <v/>
      </c>
      <c r="W449" s="102" t="str">
        <f>IF(A449&lt;&gt;"",COUNTIFS('QA Log'!D:D,A449,'QA Log'!M:M,"QQC",'QA Log'!L:L,"8. Maternity",'QA Log'!Z:Z,"Approved"),"")</f>
        <v/>
      </c>
      <c r="X449" s="105" t="str">
        <f>IF(A449&lt;&gt;"",COUNTIFS('QA Log'!D:D,A449,'QA Log'!M:M,"QQC",'QA Log'!L:L,"9. EPI and Pre-school Consultation",'QA Log'!Z:Z,"Approved"),"")</f>
        <v/>
      </c>
      <c r="Y449" s="102" t="str">
        <f>IF(A449&lt;&gt;"",COUNTIFS('QA Log'!D:D,A449,'QA Log'!M:M,"QQC",'QA Log'!L:L,"10. Antenatal Care (ANC)",'QA Log'!Z:Z,"Approved"),"")</f>
        <v/>
      </c>
      <c r="Z449" s="102" t="str">
        <f>IF(A449&lt;&gt;"",COUNTIFS('QA Log'!D:D,A449,'QA Log'!M:M,"QQC",'QA Log'!L:L,"2. Hygiene and Sterilization",'QA Log'!Z:Z,"Approved"),"")</f>
        <v/>
      </c>
      <c r="AA449" s="105" t="str">
        <f>IF(A449&lt;&gt;"",COUNTIFS('QA Log'!D:D,A449,'QA Log'!M:M,"QQC",'QA Log'!L:L,"4. Family Planning",'QA Log'!Z:Z,"Approved"),"")</f>
        <v/>
      </c>
      <c r="AB449" s="102" t="str">
        <f>IF(A449="","",
SUM(
COUNTIFS('QA Log'!D:D,A449,'QA Log'!M:M,"QQC",'QA Log'!Z:Z,"Rejected",'QA Log'!L:L,"*8. Maternity*"),
COUNTIFS('QA Log'!D:D,A449,'QA Log'!M:M,"QQC",'QA Log'!Z:Z,"Rejected",'QA Log'!L:L,"*9. EPI and Pre-school Consultation*"),
COUNTIFS('QA Log'!D:D,A449,'QA Log'!M:M,"QQC",'QA Log'!Z:Z,"Rejected",'QA Log'!L:L,"*10. Antenatal Care (ANC)*"),
COUNTIFS('QA Log'!D:D,A449,'QA Log'!M:M,"QQC",'QA Log'!Z:Z,"Rejected",'QA Log'!L:L,"*2. Hygiene and Sterilization*"),
COUNTIFS('QA Log'!D:D,A449,'QA Log'!M:M,"QQC",'QA Log'!Z:Z,"Rejected",'QA Log'!L:L,"*4. Family Planning*")
))</f>
        <v/>
      </c>
      <c r="AC449" s="102" t="str">
        <f t="shared" si="29"/>
        <v/>
      </c>
      <c r="AD449" s="103" t="str">
        <f t="shared" si="30"/>
        <v/>
      </c>
      <c r="AE449" s="102" t="str">
        <f>IF(A449="","",
SUM(
COUNTIFS('QA Log'!D:D,A449,'QA Log'!M:M,"Data Verification",'QA Log'!L:L,"*Medicine (section 2)*"),
COUNTIFS('QA Log'!D:D,A449,'QA Log'!M:M,"Data Verification",'QA Log'!L:L,"*Lab Testing Availability*"),
COUNTIFS('QA Log'!D:D,A449,'QA Log'!M:M,"Data Verification",'QA Log'!L:L,"*Other than P4P (section 6)*"),
COUNTIFS('QA Log'!D:D,A449,'QA Log'!M:M,"Data Verification",'QA Log'!L:L,"*Hospital Governance*")
))</f>
        <v/>
      </c>
      <c r="AF449" s="102" t="str">
        <f>IF(A449="","",
SUM(
COUNTIFS('QA Log'!D:D,A449,'QA Log'!M:M,"Data Verification",'QA Log'!Z:Z,"Approved",'QA Log'!L:L,"*Medicine (section 2)*"),
COUNTIFS('QA Log'!D:D,A449,'QA Log'!M:M,"Data Verification",'QA Log'!Z:Z,"Approved",'QA Log'!L:L,"*Lab Testing Availability*"),
COUNTIFS('QA Log'!D:D,A449,'QA Log'!M:M,"Data Verification",'QA Log'!Z:Z,"Approved",'QA Log'!L:L,"*Other than P4P (section 6)*"),
COUNTIFS('QA Log'!D:D,A449,'QA Log'!M:M,"Data Verification",'QA Log'!Z:Z,"Approved",'QA Log'!L:L,"*Hospital Governance*")
))</f>
        <v/>
      </c>
      <c r="AG449" s="105" t="str">
        <f>IF(A449&lt;&gt;"",COUNTIFS('QA Log'!D:D,A449,'QA Log'!M:M,"Data Verification",'QA Log'!L:L,"Medicine (section 2)",'QA Log'!Z:Z,"Approved"),"")</f>
        <v/>
      </c>
      <c r="AH449" s="105" t="str">
        <f>IF(A449&lt;&gt;"",COUNTIFS('QA Log'!D:D,A449,'QA Log'!M:M,"Data Verification",'QA Log'!L:L,"Lab Testing Availability",'QA Log'!Z:Z,"Approved"),"")</f>
        <v/>
      </c>
      <c r="AI449" s="105" t="str">
        <f>IF(A449&lt;&gt;"",COUNTIFS('QA Log'!D:D,A449,'QA Log'!M:M,"Data Verification",'QA Log'!L:L,"Other than P4P (section 6)",'QA Log'!Z:Z,"Approved"),"")</f>
        <v/>
      </c>
      <c r="AJ449" s="105" t="str">
        <f>IF(A449&lt;&gt;"",COUNTIFS('QA Log'!D:D,A449,'QA Log'!M:M,"Data Verification",'QA Log'!L:L,"Hospital Governance",'QA Log'!Z:Z,"Approved"),"")</f>
        <v/>
      </c>
      <c r="AK449" s="102" t="str">
        <f>IF(A449="","",
SUM(
COUNTIFS('QA Log'!D:D,A449,'QA Log'!M:M,"Data Verification",'QA Log'!Z:Z,"Rejected",'QA Log'!L:L,"*Medicine (section 2)*"),
COUNTIFS('QA Log'!D:D,A449,'QA Log'!M:M,"Data Verification",'QA Log'!Z:Z,"Rejected",'QA Log'!L:L,"*Lab Testing Availability*"),
COUNTIFS('QA Log'!D:D,A449,'QA Log'!M:M,"Data Verification",'QA Log'!Z:Z,"Rejected",'QA Log'!L:L,"*Other than P4P (section 6)*"),
COUNTIFS('QA Log'!D:D,A449,'QA Log'!M:M,"Data Verification",'QA Log'!Z:Z,"Rejected",'QA Log'!L:L,"*Hospital Governance*")
))</f>
        <v/>
      </c>
      <c r="AL449" s="106" t="str">
        <f t="shared" si="31"/>
        <v/>
      </c>
      <c r="AM449" s="102" t="str">
        <f t="shared" si="32"/>
        <v/>
      </c>
      <c r="AN449" s="102" t="str">
        <f>IF(A449="","",
SUM(
COUNTIFS('QA Log'!D:D,A449,'QA Log'!M:M,"Data Verification",'QA Log'!L:L,"*Personnel (section 1)*"),
COUNTIFS('QA Log'!D:D,A449,'QA Log'!M:M,"Data Verification",'QA Log'!L:L,"*Consumable (section 3)*"),
COUNTIFS('QA Log'!D:D,A449,'QA Log'!M:M,"Data Verification",'QA Log'!L:L,"*Equipments (section 4)*")
))</f>
        <v/>
      </c>
      <c r="AO449" s="102" t="str">
        <f>IF(A449="","",
SUM(
COUNTIFS('QA Log'!D:D,A449,'QA Log'!M:M,"Data Verification",'QA Log'!Z:Z,"Approved",'QA Log'!L:L,"*Personnel (section 1)*"),
COUNTIFS('QA Log'!D:D,A449,'QA Log'!M:M,"Data Verification",'QA Log'!Z:Z,"Approved",'QA Log'!L:L,"*Consumable (section 3)*"),
COUNTIFS('QA Log'!D:D,A449,'QA Log'!M:M,"Data Verification",'QA Log'!Z:Z,"Approved",'QA Log'!L:L,"*Equipments (section 4)*")
))</f>
        <v/>
      </c>
      <c r="AP449" s="105" t="str">
        <f>IF(A449&lt;&gt;"",COUNTIFS('QA Log'!D:D,A449,'QA Log'!M:M,"Data Verification",'QA Log'!L:L,"Personnel (section 1)",'QA Log'!Z:Z,"Approved"),"")</f>
        <v/>
      </c>
      <c r="AQ449" s="105" t="str">
        <f>IF(A449&lt;&gt;"",COUNTIFS('QA Log'!D:D,A449,'QA Log'!M:M,"Data Verification",'QA Log'!L:L,"Consumable (section 3)",'QA Log'!Z:Z,"Approved"),"")</f>
        <v/>
      </c>
      <c r="AR449" s="105" t="str">
        <f>IF(A449&lt;&gt;"",COUNTIFS('QA Log'!D:D,A449,'QA Log'!M:M,"Data Verification",'QA Log'!L:L,"Equipments (section 4)",'QA Log'!Z:Z,"Approved"),"")</f>
        <v/>
      </c>
      <c r="AS449" s="102" t="str">
        <f>IF(A449="","",
SUM(
COUNTIFS('QA Log'!D:D,A449,'QA Log'!M:M,"Data Verification",'QA Log'!Z:Z,"Rejected",'QA Log'!L:L,"*Personnel (section 1)*"),
COUNTIFS('QA Log'!D:D,A449,'QA Log'!M:M,"Data Verification",'QA Log'!Z:Z,"Rejected",'QA Log'!L:L,"*Consumable (section 3)*"),
COUNTIFS('QA Log'!D:D,A449,'QA Log'!M:M,"Data Verification",'QA Log'!Z:Z,"Rejected",'QA Log'!L:L,"*Equipments (section 4)*")
))</f>
        <v/>
      </c>
      <c r="AT449" s="102" t="str">
        <f t="shared" si="33"/>
        <v/>
      </c>
      <c r="AU449" s="103" t="str">
        <f t="shared" si="34"/>
        <v/>
      </c>
      <c r="AV449" s="102" t="str">
        <f>IF(A449="","",SUM(
COUNTIFS('QA Log'!D:D,A449,'QA Log'!M:M,"Vignette",'QA Log'!L:L,"*Vignette [1] Respiratory Infection: Pneumonia*"),
COUNTIFS('QA Log'!D:D,A449,'QA Log'!M:M,"Vignette",'QA Log'!L:L,"*Vignette [2]: Diarrhea with Cat B dehydration*"),
COUNTIFS('QA Log'!D:D,A449,'QA Log'!M:M,"Vignette",'QA Log'!L:L,"*Vignette [3] Growth Monitoring and Promotion*"),
COUNTIFS('QA Log'!D:D,A449,'QA Log'!M:M,"Vignette",'QA Log'!L:L,"*Vignette [4]: The management of presumptive TB patient*")
)
)</f>
        <v/>
      </c>
      <c r="AW449" s="102" t="str">
        <f>IF(
  A449="","",
  SUM(
    COUNTIFS('QA Log'!D:D,A449,'QA Log'!M:M,"Vignette",'QA Log'!Z:Z,"Approved",'QA Log'!L:L,"*Vignette [1] Respiratory Infection: Pneumonia*"),
    COUNTIFS('QA Log'!D:D,A449,'QA Log'!M:M,"Vignette",'QA Log'!Z:Z,"Approved",'QA Log'!L:L,"*Vignette [2]: Diarrhea with Cat B dehydration*"),
    COUNTIFS('QA Log'!D:D,A449,'QA Log'!M:M,"Vignette",'QA Log'!Z:Z,"Approved",'QA Log'!L:L,"*Vignette [3] Growth Monitoring and Promotion*"),
    COUNTIFS('QA Log'!D:D,A449,'QA Log'!M:M,"Vignette",'QA Log'!Z:Z,"Approved",'QA Log'!L:L,"*Vignette [4]: The management of presumptive TB patient*")
  )
)</f>
        <v/>
      </c>
      <c r="AX449" s="105" t="str">
        <f>IF(A449&lt;&gt;"",COUNTIFS('QA Log'!D:D,A449,'QA Log'!M:M,"Vignette",'QA Log'!L:L,"Vignette [1] Respiratory Infection: Pneumonia",'QA Log'!Z:Z,"Approved"),"")</f>
        <v/>
      </c>
      <c r="AY449" s="105" t="str">
        <f>IF(A449&lt;&gt;"",COUNTIFS('QA Log'!D:D,A449,'QA Log'!M:M,"Vignette",'QA Log'!L:L,"Vignette [2]: Diarrhea with Cat B dehydration",'QA Log'!Z:Z,"Approved"),"")</f>
        <v/>
      </c>
      <c r="AZ449" s="105" t="str">
        <f>IF(A449&lt;&gt;"",COUNTIFS('QA Log'!D:D,A449,'QA Log'!M:M,"Vignette",'QA Log'!L:L,"Vignette [3] Growth Monitoring and Promotion",'QA Log'!Z:Z,"Approved"),"")</f>
        <v/>
      </c>
      <c r="BA449" s="105" t="str">
        <f>IF(A449&lt;&gt;"",COUNTIFS('QA Log'!D:D,A449,'QA Log'!M:M,"Vignette",'QA Log'!L:L,"Vignette [4]: The management of presumptive TB patient",'QA Log'!Z:Z,"Approved"),"")</f>
        <v/>
      </c>
      <c r="BB449" s="102" t="str">
        <f>IF(A449="","",
  SUM(
    COUNTIFS('QA Log'!D:D,A449,'QA Log'!M:M,"Vignette",'QA Log'!Z:Z,"Rejected",'QA Log'!L:L,"*Vignette [1] Respiratory Infection: Pneumonia*"),
    COUNTIFS('QA Log'!D:D,A449,'QA Log'!M:M,"Vignette",'QA Log'!Z:Z,"Rejected",'QA Log'!L:L,"*Vignette [2]: Diarrhea with Cat B dehydration*"),
    COUNTIFS('QA Log'!D:D,A449,'QA Log'!M:M,"Vignette",'QA Log'!Z:Z,"Rejected",'QA Log'!L:L,"*Vignette [3] Growth Monitoring and Promotion*"),
    COUNTIFS('QA Log'!D:D,A449,'QA Log'!M:M,"Vignette",'QA Log'!Z:Z,"Rejected",'QA Log'!L:L,"*Vignette [4]: The management of presumptive TB patient*")
  )
)</f>
        <v/>
      </c>
      <c r="BC449" s="107" t="str">
        <f t="shared" si="35"/>
        <v/>
      </c>
      <c r="BD449" s="103" t="str">
        <f t="shared" si="36"/>
        <v/>
      </c>
      <c r="BE449" s="102" t="str">
        <f>IF(A449="","",SUM(
COUNTIFS('QA Log'!D:D,A449,'QA Log'!M:M,"Vignette",'QA Log'!L:L,"*Vignette [5] Labor*"),
COUNTIFS('QA Log'!D:D,A449,'QA Log'!M:M,"Vignette",'QA Log'!L:L,"*Vignette [6] PNC pre Discharge*"),
COUNTIFS('QA Log'!D:D,A449,'QA Log'!M:M,"Vignette",'QA Log'!L:L,"*Vignette [7] First ANC Visit*"),
COUNTIFS('QA Log'!D:D,A449,'QA Log'!M:M,"Vignette",'QA Log'!L:L,"*Vignette [8] Birth Spacing/ Family Planning :  FP Counselling*"),
COUNTIFS('QA Log'!D:D,A449,'QA Log'!M:M,"Vignette",'QA Log'!L:L,"*Vignette [9] Birth Spacing: Change FP method to Injectable*"),
COUNTIFS('QA Log'!D:D,A449,'QA Log'!M:M,"Vignette",'QA Log'!L:L,"*Vignette [10] Post Partum Haemorrhage - Atonic Uterus at Health Centre*"),
)
)</f>
        <v/>
      </c>
      <c r="BF449" s="102" t="str">
        <f>IF(A449="","",
  SUM(
    COUNTIFS('QA Log'!D:D,A449,'QA Log'!M:M,"Vignette",'QA Log'!Z:Z,"Approved",'QA Log'!L:L,"*Vignette [5] Labor*"),
    COUNTIFS('QA Log'!D:D,A449,'QA Log'!M:M,"Vignette",'QA Log'!Z:Z,"Approved",'QA Log'!L:L,"*Vignette [6] PNC pre Discharge*"),
    COUNTIFS('QA Log'!D:D,A449,'QA Log'!M:M,"Vignette",'QA Log'!Z:Z,"Approved",'QA Log'!L:L,"*Vignette [7] First ANC Visit*"),
    COUNTIFS('QA Log'!D:D,A449,'QA Log'!M:M,"Vignette",'QA Log'!Z:Z,"Approved",'QA Log'!L:L,"*Vignette [8] Birth Spacing/ Family Planning :  FP Counselling*"),
    COUNTIFS('QA Log'!D:D,A449,'QA Log'!M:M,"Vignette",'QA Log'!Z:Z,"Approved",'QA Log'!L:L,"*Vignette [9] Birth Spacing: Change FP method to Injectable*"),
    COUNTIFS('QA Log'!D:D,A449,'QA Log'!M:M,"Vignette",'QA Log'!Z:Z,"Approved",'QA Log'!L:L,"*Vignette [10] Post Partum Haemorrhage - Atonic Uterus at Health Centre*")
  )
)</f>
        <v/>
      </c>
      <c r="BG449" s="105" t="str">
        <f>IF(A449&lt;&gt;"",COUNTIFS('QA Log'!D:D,A449,'QA Log'!M:M,"Vignette",'QA Log'!L:L,"Vignette [5] Labor",'QA Log'!Z:Z,"Approved"),"")</f>
        <v/>
      </c>
      <c r="BH449" s="105" t="str">
        <f>IF(A449&lt;&gt;"",COUNTIFS('QA Log'!D:D,A449,'QA Log'!M:M,"Vignette",'QA Log'!L:L,"Vignette [6] PNC pre Discharge",'QA Log'!Z:Z,"Approved"),"")</f>
        <v/>
      </c>
      <c r="BI449" s="105" t="str">
        <f>IF(A449&lt;&gt;"",COUNTIFS('QA Log'!D:D,A449,'QA Log'!M:M,"Vignette",'QA Log'!L:L,"Vignette [7] First ANC Visit",'QA Log'!Z:Z,"Approved"),"")</f>
        <v/>
      </c>
      <c r="BJ449" s="105" t="str">
        <f>IF(A449&lt;&gt;"",COUNTIFS('QA Log'!D:D,A449,'QA Log'!M:M,"Vignette",'QA Log'!L:L,"Vignette [8] Birth Spacing/ Family Planning :  FP Counselling",'QA Log'!Z:Z,"Approved"),"")</f>
        <v/>
      </c>
      <c r="BK449" s="105" t="str">
        <f>IF(A449&lt;&gt;"",COUNTIFS('QA Log'!D:D,A449,'QA Log'!M:M,"Vignette",'QA Log'!L:L,"Vignette [9] Birth Spacing: Change FP method to Injectable",'QA Log'!Z:Z,"Approved"),"")</f>
        <v/>
      </c>
      <c r="BL449" s="105" t="str">
        <f>IF(A449&lt;&gt;"",COUNTIFS('QA Log'!D:D,A449,'QA Log'!M:M,"Vignette",'QA Log'!L:L,"Vignette [10] Post Partum Haemorrhage - Atonic Uterus at Health Centre",'QA Log'!Z:Z,"Approved"),"")</f>
        <v/>
      </c>
      <c r="BM449" s="102" t="str">
        <f>IF(A449="","",SUM(
    COUNTIFS('QA Log'!D:D,A449,'QA Log'!M:M,"Vignette",'QA Log'!Z:Z,"Rejected",'QA Log'!L:L,"*Vignette [5] Labor*"),
    COUNTIFS('QA Log'!D:D,A449,'QA Log'!M:M,"Vignette",'QA Log'!Z:Z,"Rejected",'QA Log'!L:L,"*Vignette [6] PNC pre Discharge*"),
    COUNTIFS('QA Log'!D:D,A449,'QA Log'!M:M,"Vignette",'QA Log'!Z:Z,"Rejected",'QA Log'!L:L,"*Vignette [7] First ANC Visit*"),
    COUNTIFS('QA Log'!D:D,A449,'QA Log'!M:M,"Vignette",'QA Log'!Z:Z,"Rejected",'QA Log'!L:L,"*Vignette [8] Birth Spacing/ Family Planning :  FP Counselling*"),
    COUNTIFS('QA Log'!D:D,A449,'QA Log'!M:M,"Vignette",'QA Log'!Z:Z,"Rejected",'QA Log'!L:L,"*Vignette [9] Birth Spacing: Change FP method to Injectable*"),
    COUNTIFS('QA Log'!D:D,A449,'QA Log'!M:M,"Vignette",'QA Log'!Z:Z,"Rejected",'QA Log'!L:L,"*Vignette [10] Post Partum Haemorrhage - Atonic Uterus at Health Centre*")
  )
)</f>
        <v/>
      </c>
      <c r="BN449" s="107" t="str">
        <f t="shared" si="37"/>
        <v/>
      </c>
      <c r="BO449" s="103" t="str">
        <f t="shared" si="38"/>
        <v/>
      </c>
      <c r="BP449" s="102" t="str">
        <f>IF(A449="","",SUM(
COUNTIFS('QA Log'!D:D,A449,'QA Log'!M:M,"Vignette",'QA Log'!L:L,"*Exit Interview 1*"),
COUNTIFS('QA Log'!D:D,A449,'QA Log'!M:M,"Vignette",'QA Log'!L:L,"*Exit Interview 2*"),
)
)</f>
        <v/>
      </c>
      <c r="BQ449" s="102" t="str">
        <f>IF(
  A449="","",
  SUM(
    COUNTIFS('QA Log'!D:D,A449,'QA Log'!M:M,"Vignette",'QA Log'!Z:Z,"Approved",'QA Log'!L:L,"*Exit Interview 1*"),
    COUNTIFS('QA Log'!D:D,A449,'QA Log'!M:M,"Vignette",'QA Log'!Z:Z,"Approved",'QA Log'!L:L,"*Exit Interview 2*")
  )
)</f>
        <v/>
      </c>
      <c r="BR449" s="105" t="str">
        <f>IF(A449&lt;&gt;"",COUNTIFS('QA Log'!D:D,A449,'QA Log'!M:M,"Vignette",'QA Log'!L:L,"Exit Interview 1",'QA Log'!Z:Z,"Approved"),"")</f>
        <v/>
      </c>
      <c r="BS449" s="105" t="str">
        <f>IF(A449&lt;&gt;"",COUNTIFS('QA Log'!D:D,A449,'QA Log'!M:M,"Vignette",'QA Log'!L:L,"Exit Interview 2",'QA Log'!Z:Z,"Approved"),"")</f>
        <v/>
      </c>
      <c r="BT449" s="102" t="str">
        <f>IF(
  A449="","",
  SUM(
    COUNTIFS('QA Log'!D:D,A449,'QA Log'!M:M,"Vignette",'QA Log'!Z:Z,"Rejected",'QA Log'!L:L,"*Exit Interview 1*"),
    COUNTIFS('QA Log'!D:D,A449,'QA Log'!M:M,"Vignette",'QA Log'!Z:Z,"Rejected",'QA Log'!L:L,"*Exit Interview 2*")
  )
)</f>
        <v/>
      </c>
      <c r="BU449" s="107" t="str">
        <f t="shared" si="39"/>
        <v/>
      </c>
      <c r="BV449" s="102" t="str">
        <f t="shared" si="40"/>
        <v/>
      </c>
      <c r="BW449" s="102" t="str">
        <f t="shared" si="41"/>
        <v/>
      </c>
      <c r="BX449" s="102" t="str">
        <f t="shared" si="42"/>
        <v/>
      </c>
      <c r="BY449" s="102" t="str">
        <f t="shared" si="43"/>
        <v/>
      </c>
      <c r="BZ449" s="107" t="str">
        <f t="shared" si="44"/>
        <v/>
      </c>
      <c r="CA449" s="108" t="str">
        <f t="shared" si="45"/>
        <v/>
      </c>
      <c r="CB449" s="108" t="str">
        <f t="shared" si="46"/>
        <v/>
      </c>
      <c r="CC449" s="109" t="str">
        <f t="shared" si="47"/>
        <v/>
      </c>
      <c r="CD449" s="108" t="str">
        <f t="shared" si="48"/>
        <v/>
      </c>
      <c r="CE449" s="108" t="str">
        <f t="shared" si="49"/>
        <v/>
      </c>
      <c r="CF449" s="109" t="str">
        <f t="shared" si="50"/>
        <v/>
      </c>
      <c r="CG449" s="110" t="str">
        <f t="shared" si="51"/>
        <v/>
      </c>
      <c r="CH449" s="111"/>
    </row>
    <row r="450" spans="1:86" ht="12.75">
      <c r="A450" s="101"/>
      <c r="B450" s="102" t="e">
        <f t="array" aca="1" ref="B450" ca="1">_xludf.XLOOKUP(A450,'QA Log'!D:D,'QA Log'!E:E,"")</f>
        <v>#NAME?</v>
      </c>
      <c r="C450" s="102" t="e">
        <f t="array" aca="1" ref="C450" ca="1">_xludf.XLOOKUP(A450,'QA Log'!D:D,'QA Log'!F:F,"")</f>
        <v>#NAME?</v>
      </c>
      <c r="D450" s="102" t="e">
        <f t="array" aca="1" ref="D450" ca="1">_xludf.XLOOKUP(A450,'QA Log'!D:D,'QA Log'!H:H,"")</f>
        <v>#NAME?</v>
      </c>
      <c r="E450" s="102" t="e">
        <f t="array" aca="1" ref="E450" ca="1">_xludf.XLOOKUP(A450,'QA Log'!D:D,'QA Log'!G:G,"")</f>
        <v>#NAME?</v>
      </c>
      <c r="F450" s="103"/>
      <c r="G450" s="104"/>
      <c r="H450" s="104"/>
      <c r="I450" s="103" t="str">
        <f t="shared" si="26"/>
        <v/>
      </c>
      <c r="J450" s="102" t="str">
        <f>IF(A450="","",SUM(
COUNTIFS('QA Log'!D:D,A450,'QA Log'!M:M,"QQC",'QA Log'!L:L,"*1. General Management*"),
COUNTIFS('QA Log'!D:D,A450,'QA Log'!M:M,"QQC",'QA Log'!L:L,"*3. Curative Consultation (OPD)*"),
COUNTIFS('QA Log'!D:D,A450,'QA Log'!M:M,"QQC",'QA Log'!L:L,"*5. Laboratory*"),
COUNTIFS('QA Log'!D:D,A450,'QA Log'!M:M,"QQC",'QA Log'!L:L,"*6. Essential Medicine Management*"),
COUNTIFS('QA Log'!D:D,A450,'QA Log'!M:M,"QQC",'QA Log'!L:L,"*7. Tracer Medicine*"),
COUNTIFS('QA Log'!D:D,A450,'QA Log'!M:M,"QQC",'QA Log'!L:L,"*11. Additional Questions*")))</f>
        <v/>
      </c>
      <c r="K450" s="102" t="str">
        <f>IF(A450="","",SUM(
COUNTIFS('QA Log'!D:D,A450,'QA Log'!M:M,"QQC",'QA Log'!Z:Z,"Approved",'QA Log'!L:L,"*1. General Management*"),
COUNTIFS('QA Log'!D:D,A450,'QA Log'!M:M,"QQC",'QA Log'!Z:Z,"Approved",'QA Log'!L:L,"*3. Curative Consultation (OPD)*"),
COUNTIFS('QA Log'!D:D,A450,'QA Log'!M:M,"QQC",'QA Log'!Z:Z,"Approved",'QA Log'!L:L,"*5. Laboratory*"),
COUNTIFS('QA Log'!D:D,A450,'QA Log'!M:M,"QQC",'QA Log'!Z:Z,"Approved",'QA Log'!L:L,"*6. Essential Medicine Management*"),
COUNTIFS('QA Log'!D:D,A450,'QA Log'!M:M,"QQC",'QA Log'!Z:Z,"Approved",'QA Log'!L:L,"*7. Tracer Medicine*"),
COUNTIFS('QA Log'!D:D,A450,'QA Log'!M:M,"QQC",'QA Log'!Z:Z,"Approved",'QA Log'!L:L,"*11. Additional Questions*")))</f>
        <v/>
      </c>
      <c r="L450" s="102" t="str">
        <f>IF(A450&lt;&gt;"",COUNTIFS('QA Log'!D:D,A450,'QA Log'!M:M,"QQC",'QA Log'!L:L,"1. General Management",'QA Log'!Z:Z,"Approved"),"")</f>
        <v/>
      </c>
      <c r="M450" s="102" t="str">
        <f>IF(A450&lt;&gt;"",COUNTIFS('QA Log'!D:D,A450,'QA Log'!M:M,"QQC",'QA Log'!L:L,"3. Curative Consultation (OPD)",'QA Log'!Z:Z,"Approved"),"")</f>
        <v/>
      </c>
      <c r="N450" s="102" t="str">
        <f>IF(A450&lt;&gt;"",COUNTIFS('QA Log'!D:D,A450,'QA Log'!M:M,"QQC",'QA Log'!L:L,"5. Laboratory",'QA Log'!Z:Z,"Approved"),"")</f>
        <v/>
      </c>
      <c r="O450" s="102" t="str">
        <f>IF(A450&lt;&gt;"",COUNTIFS('QA Log'!D:D,A450,'QA Log'!M:M,"QQC",'QA Log'!L:L,"6. Essential Medicine Management",'QA Log'!Z:Z,"Approved"),"")</f>
        <v/>
      </c>
      <c r="P450" s="102" t="str">
        <f>IF(A450&lt;&gt;"",COUNTIFS('QA Log'!D:D,A450,'QA Log'!M:M,"QQC",'QA Log'!L:L,"7. Tracer Medicine",'QA Log'!Z:Z,"Approved"),"")</f>
        <v/>
      </c>
      <c r="Q450" s="102" t="str">
        <f>IF(A450&lt;&gt;"",COUNTIFS('QA Log'!D:D,A450,'QA Log'!M:M,"QQC",'QA Log'!L:L,"11. Additional Questions",'QA Log'!Z:Z,"Approved"),"")</f>
        <v/>
      </c>
      <c r="R450" s="102" t="str">
        <f>IF(A450="","",SUM(
COUNTIFS('QA Log'!D:D,A450,'QA Log'!M:M,"QQC",'QA Log'!Z:Z,"Rejected",'QA Log'!L:L,"*8. Maternity*"),
COUNTIFS('QA Log'!D:D,A450,'QA Log'!M:M,"QQC",'QA Log'!Z:Z,"Rejected",'QA Log'!L:L,"*EPI*"),
COUNTIFS('QA Log'!D:D,A450,'QA Log'!M:M,"QQC",'QA Log'!Z:Z,"Rejected",'QA Log'!L:L,"*10. Antenatal Care (ANC)*"),
COUNTIFS('QA Log'!D:D,A450,'QA Log'!M:M,"QQC",'QA Log'!Z:Z,"Rejected",'QA Log'!L:L,"*2. Hygiene and Sterilization*"),
COUNTIFS('QA Log'!D:D,A450,'QA Log'!M:M,"QQC",'QA Log'!Z:Z,"Rejected",'QA Log'!L:L,"*Family Planning*")))</f>
        <v/>
      </c>
      <c r="S450" s="106" t="str">
        <f t="shared" si="27"/>
        <v/>
      </c>
      <c r="T450" s="102" t="str">
        <f t="shared" si="28"/>
        <v/>
      </c>
      <c r="U450" s="102" t="str">
        <f>IF(A450="","",
SUM(
COUNTIFS('QA Log'!D:D,A450,'QA Log'!M:M,"QQC",'QA Log'!L:L,"*8. Maternity*"),
COUNTIFS('QA Log'!D:D,A450,'QA Log'!M:M,"QQC",'QA Log'!L:L,"*9. EPI and Pre-school Consultation*"),
COUNTIFS('QA Log'!D:D,A450,'QA Log'!M:M,"QQC",'QA Log'!L:L,"*10. Antenatal Care (ANC)*"),
COUNTIFS('QA Log'!D:D,A450,'QA Log'!M:M,"QQC",'QA Log'!L:L,"*2. Hygiene and Sterilization*"),
COUNTIFS('QA Log'!D:D,A450,'QA Log'!M:M,"QQC",'QA Log'!L:L,"*4. Family Planning*")
))</f>
        <v/>
      </c>
      <c r="V450" s="102" t="str">
        <f>IF(A450="","",
SUM(
COUNTIFS('QA Log'!D:D,A450,'QA Log'!M:M,"QQC",'QA Log'!Z:Z,"Approved",'QA Log'!L:L,"*8. Maternity*"),
COUNTIFS('QA Log'!D:D,A450,'QA Log'!M:M,"QQC",'QA Log'!Z:Z,"Approved",'QA Log'!L:L,"*9. EPI and Pre-school Consultation*"),
COUNTIFS('QA Log'!D:D,A450,'QA Log'!M:M,"QQC",'QA Log'!Z:Z,"Approved",'QA Log'!L:L,"*10. Antenatal Care (ANC)*"),
COUNTIFS('QA Log'!D:D,A450,'QA Log'!M:M,"QQC",'QA Log'!Z:Z,"Approved",'QA Log'!L:L,"*2. Hygiene and Sterilization*"),
COUNTIFS('QA Log'!D:D,A450,'QA Log'!M:M,"QQC",'QA Log'!Z:Z,"Approved",'QA Log'!L:L,"*4. Family Planning*")
))</f>
        <v/>
      </c>
      <c r="W450" s="102" t="str">
        <f>IF(A450&lt;&gt;"",COUNTIFS('QA Log'!D:D,A450,'QA Log'!M:M,"QQC",'QA Log'!L:L,"8. Maternity",'QA Log'!Z:Z,"Approved"),"")</f>
        <v/>
      </c>
      <c r="X450" s="105" t="str">
        <f>IF(A450&lt;&gt;"",COUNTIFS('QA Log'!D:D,A450,'QA Log'!M:M,"QQC",'QA Log'!L:L,"9. EPI and Pre-school Consultation",'QA Log'!Z:Z,"Approved"),"")</f>
        <v/>
      </c>
      <c r="Y450" s="102" t="str">
        <f>IF(A450&lt;&gt;"",COUNTIFS('QA Log'!D:D,A450,'QA Log'!M:M,"QQC",'QA Log'!L:L,"10. Antenatal Care (ANC)",'QA Log'!Z:Z,"Approved"),"")</f>
        <v/>
      </c>
      <c r="Z450" s="102" t="str">
        <f>IF(A450&lt;&gt;"",COUNTIFS('QA Log'!D:D,A450,'QA Log'!M:M,"QQC",'QA Log'!L:L,"2. Hygiene and Sterilization",'QA Log'!Z:Z,"Approved"),"")</f>
        <v/>
      </c>
      <c r="AA450" s="105" t="str">
        <f>IF(A450&lt;&gt;"",COUNTIFS('QA Log'!D:D,A450,'QA Log'!M:M,"QQC",'QA Log'!L:L,"4. Family Planning",'QA Log'!Z:Z,"Approved"),"")</f>
        <v/>
      </c>
      <c r="AB450" s="102" t="str">
        <f>IF(A450="","",
SUM(
COUNTIFS('QA Log'!D:D,A450,'QA Log'!M:M,"QQC",'QA Log'!Z:Z,"Rejected",'QA Log'!L:L,"*8. Maternity*"),
COUNTIFS('QA Log'!D:D,A450,'QA Log'!M:M,"QQC",'QA Log'!Z:Z,"Rejected",'QA Log'!L:L,"*9. EPI and Pre-school Consultation*"),
COUNTIFS('QA Log'!D:D,A450,'QA Log'!M:M,"QQC",'QA Log'!Z:Z,"Rejected",'QA Log'!L:L,"*10. Antenatal Care (ANC)*"),
COUNTIFS('QA Log'!D:D,A450,'QA Log'!M:M,"QQC",'QA Log'!Z:Z,"Rejected",'QA Log'!L:L,"*2. Hygiene and Sterilization*"),
COUNTIFS('QA Log'!D:D,A450,'QA Log'!M:M,"QQC",'QA Log'!Z:Z,"Rejected",'QA Log'!L:L,"*4. Family Planning*")
))</f>
        <v/>
      </c>
      <c r="AC450" s="102" t="str">
        <f t="shared" si="29"/>
        <v/>
      </c>
      <c r="AD450" s="103" t="str">
        <f t="shared" si="30"/>
        <v/>
      </c>
      <c r="AE450" s="102" t="str">
        <f>IF(A450="","",
SUM(
COUNTIFS('QA Log'!D:D,A450,'QA Log'!M:M,"Data Verification",'QA Log'!L:L,"*Medicine (section 2)*"),
COUNTIFS('QA Log'!D:D,A450,'QA Log'!M:M,"Data Verification",'QA Log'!L:L,"*Lab Testing Availability*"),
COUNTIFS('QA Log'!D:D,A450,'QA Log'!M:M,"Data Verification",'QA Log'!L:L,"*Other than P4P (section 6)*"),
COUNTIFS('QA Log'!D:D,A450,'QA Log'!M:M,"Data Verification",'QA Log'!L:L,"*Hospital Governance*")
))</f>
        <v/>
      </c>
      <c r="AF450" s="102" t="str">
        <f>IF(A450="","",
SUM(
COUNTIFS('QA Log'!D:D,A450,'QA Log'!M:M,"Data Verification",'QA Log'!Z:Z,"Approved",'QA Log'!L:L,"*Medicine (section 2)*"),
COUNTIFS('QA Log'!D:D,A450,'QA Log'!M:M,"Data Verification",'QA Log'!Z:Z,"Approved",'QA Log'!L:L,"*Lab Testing Availability*"),
COUNTIFS('QA Log'!D:D,A450,'QA Log'!M:M,"Data Verification",'QA Log'!Z:Z,"Approved",'QA Log'!L:L,"*Other than P4P (section 6)*"),
COUNTIFS('QA Log'!D:D,A450,'QA Log'!M:M,"Data Verification",'QA Log'!Z:Z,"Approved",'QA Log'!L:L,"*Hospital Governance*")
))</f>
        <v/>
      </c>
      <c r="AG450" s="105" t="str">
        <f>IF(A450&lt;&gt;"",COUNTIFS('QA Log'!D:D,A450,'QA Log'!M:M,"Data Verification",'QA Log'!L:L,"Medicine (section 2)",'QA Log'!Z:Z,"Approved"),"")</f>
        <v/>
      </c>
      <c r="AH450" s="105" t="str">
        <f>IF(A450&lt;&gt;"",COUNTIFS('QA Log'!D:D,A450,'QA Log'!M:M,"Data Verification",'QA Log'!L:L,"Lab Testing Availability",'QA Log'!Z:Z,"Approved"),"")</f>
        <v/>
      </c>
      <c r="AI450" s="105" t="str">
        <f>IF(A450&lt;&gt;"",COUNTIFS('QA Log'!D:D,A450,'QA Log'!M:M,"Data Verification",'QA Log'!L:L,"Other than P4P (section 6)",'QA Log'!Z:Z,"Approved"),"")</f>
        <v/>
      </c>
      <c r="AJ450" s="105" t="str">
        <f>IF(A450&lt;&gt;"",COUNTIFS('QA Log'!D:D,A450,'QA Log'!M:M,"Data Verification",'QA Log'!L:L,"Hospital Governance",'QA Log'!Z:Z,"Approved"),"")</f>
        <v/>
      </c>
      <c r="AK450" s="102" t="str">
        <f>IF(A450="","",
SUM(
COUNTIFS('QA Log'!D:D,A450,'QA Log'!M:M,"Data Verification",'QA Log'!Z:Z,"Rejected",'QA Log'!L:L,"*Medicine (section 2)*"),
COUNTIFS('QA Log'!D:D,A450,'QA Log'!M:M,"Data Verification",'QA Log'!Z:Z,"Rejected",'QA Log'!L:L,"*Lab Testing Availability*"),
COUNTIFS('QA Log'!D:D,A450,'QA Log'!M:M,"Data Verification",'QA Log'!Z:Z,"Rejected",'QA Log'!L:L,"*Other than P4P (section 6)*"),
COUNTIFS('QA Log'!D:D,A450,'QA Log'!M:M,"Data Verification",'QA Log'!Z:Z,"Rejected",'QA Log'!L:L,"*Hospital Governance*")
))</f>
        <v/>
      </c>
      <c r="AL450" s="106" t="str">
        <f t="shared" si="31"/>
        <v/>
      </c>
      <c r="AM450" s="102" t="str">
        <f t="shared" si="32"/>
        <v/>
      </c>
      <c r="AN450" s="102" t="str">
        <f>IF(A450="","",
SUM(
COUNTIFS('QA Log'!D:D,A450,'QA Log'!M:M,"Data Verification",'QA Log'!L:L,"*Personnel (section 1)*"),
COUNTIFS('QA Log'!D:D,A450,'QA Log'!M:M,"Data Verification",'QA Log'!L:L,"*Consumable (section 3)*"),
COUNTIFS('QA Log'!D:D,A450,'QA Log'!M:M,"Data Verification",'QA Log'!L:L,"*Equipments (section 4)*")
))</f>
        <v/>
      </c>
      <c r="AO450" s="102" t="str">
        <f>IF(A450="","",
SUM(
COUNTIFS('QA Log'!D:D,A450,'QA Log'!M:M,"Data Verification",'QA Log'!Z:Z,"Approved",'QA Log'!L:L,"*Personnel (section 1)*"),
COUNTIFS('QA Log'!D:D,A450,'QA Log'!M:M,"Data Verification",'QA Log'!Z:Z,"Approved",'QA Log'!L:L,"*Consumable (section 3)*"),
COUNTIFS('QA Log'!D:D,A450,'QA Log'!M:M,"Data Verification",'QA Log'!Z:Z,"Approved",'QA Log'!L:L,"*Equipments (section 4)*")
))</f>
        <v/>
      </c>
      <c r="AP450" s="105" t="str">
        <f>IF(A450&lt;&gt;"",COUNTIFS('QA Log'!D:D,A450,'QA Log'!M:M,"Data Verification",'QA Log'!L:L,"Personnel (section 1)",'QA Log'!Z:Z,"Approved"),"")</f>
        <v/>
      </c>
      <c r="AQ450" s="105" t="str">
        <f>IF(A450&lt;&gt;"",COUNTIFS('QA Log'!D:D,A450,'QA Log'!M:M,"Data Verification",'QA Log'!L:L,"Consumable (section 3)",'QA Log'!Z:Z,"Approved"),"")</f>
        <v/>
      </c>
      <c r="AR450" s="105" t="str">
        <f>IF(A450&lt;&gt;"",COUNTIFS('QA Log'!D:D,A450,'QA Log'!M:M,"Data Verification",'QA Log'!L:L,"Equipments (section 4)",'QA Log'!Z:Z,"Approved"),"")</f>
        <v/>
      </c>
      <c r="AS450" s="102" t="str">
        <f>IF(A450="","",
SUM(
COUNTIFS('QA Log'!D:D,A450,'QA Log'!M:M,"Data Verification",'QA Log'!Z:Z,"Rejected",'QA Log'!L:L,"*Personnel (section 1)*"),
COUNTIFS('QA Log'!D:D,A450,'QA Log'!M:M,"Data Verification",'QA Log'!Z:Z,"Rejected",'QA Log'!L:L,"*Consumable (section 3)*"),
COUNTIFS('QA Log'!D:D,A450,'QA Log'!M:M,"Data Verification",'QA Log'!Z:Z,"Rejected",'QA Log'!L:L,"*Equipments (section 4)*")
))</f>
        <v/>
      </c>
      <c r="AT450" s="102" t="str">
        <f t="shared" si="33"/>
        <v/>
      </c>
      <c r="AU450" s="103" t="str">
        <f t="shared" si="34"/>
        <v/>
      </c>
      <c r="AV450" s="102" t="str">
        <f>IF(A450="","",SUM(
COUNTIFS('QA Log'!D:D,A450,'QA Log'!M:M,"Vignette",'QA Log'!L:L,"*Vignette [1] Respiratory Infection: Pneumonia*"),
COUNTIFS('QA Log'!D:D,A450,'QA Log'!M:M,"Vignette",'QA Log'!L:L,"*Vignette [2]: Diarrhea with Cat B dehydration*"),
COUNTIFS('QA Log'!D:D,A450,'QA Log'!M:M,"Vignette",'QA Log'!L:L,"*Vignette [3] Growth Monitoring and Promotion*"),
COUNTIFS('QA Log'!D:D,A450,'QA Log'!M:M,"Vignette",'QA Log'!L:L,"*Vignette [4]: The management of presumptive TB patient*")
)
)</f>
        <v/>
      </c>
      <c r="AW450" s="102" t="str">
        <f>IF(
  A450="","",
  SUM(
    COUNTIFS('QA Log'!D:D,A450,'QA Log'!M:M,"Vignette",'QA Log'!Z:Z,"Approved",'QA Log'!L:L,"*Vignette [1] Respiratory Infection: Pneumonia*"),
    COUNTIFS('QA Log'!D:D,A450,'QA Log'!M:M,"Vignette",'QA Log'!Z:Z,"Approved",'QA Log'!L:L,"*Vignette [2]: Diarrhea with Cat B dehydration*"),
    COUNTIFS('QA Log'!D:D,A450,'QA Log'!M:M,"Vignette",'QA Log'!Z:Z,"Approved",'QA Log'!L:L,"*Vignette [3] Growth Monitoring and Promotion*"),
    COUNTIFS('QA Log'!D:D,A450,'QA Log'!M:M,"Vignette",'QA Log'!Z:Z,"Approved",'QA Log'!L:L,"*Vignette [4]: The management of presumptive TB patient*")
  )
)</f>
        <v/>
      </c>
      <c r="AX450" s="105" t="str">
        <f>IF(A450&lt;&gt;"",COUNTIFS('QA Log'!D:D,A450,'QA Log'!M:M,"Vignette",'QA Log'!L:L,"Vignette [1] Respiratory Infection: Pneumonia",'QA Log'!Z:Z,"Approved"),"")</f>
        <v/>
      </c>
      <c r="AY450" s="105" t="str">
        <f>IF(A450&lt;&gt;"",COUNTIFS('QA Log'!D:D,A450,'QA Log'!M:M,"Vignette",'QA Log'!L:L,"Vignette [2]: Diarrhea with Cat B dehydration",'QA Log'!Z:Z,"Approved"),"")</f>
        <v/>
      </c>
      <c r="AZ450" s="105" t="str">
        <f>IF(A450&lt;&gt;"",COUNTIFS('QA Log'!D:D,A450,'QA Log'!M:M,"Vignette",'QA Log'!L:L,"Vignette [3] Growth Monitoring and Promotion",'QA Log'!Z:Z,"Approved"),"")</f>
        <v/>
      </c>
      <c r="BA450" s="105" t="str">
        <f>IF(A450&lt;&gt;"",COUNTIFS('QA Log'!D:D,A450,'QA Log'!M:M,"Vignette",'QA Log'!L:L,"Vignette [4]: The management of presumptive TB patient",'QA Log'!Z:Z,"Approved"),"")</f>
        <v/>
      </c>
      <c r="BB450" s="102" t="str">
        <f>IF(A450="","",
  SUM(
    COUNTIFS('QA Log'!D:D,A450,'QA Log'!M:M,"Vignette",'QA Log'!Z:Z,"Rejected",'QA Log'!L:L,"*Vignette [1] Respiratory Infection: Pneumonia*"),
    COUNTIFS('QA Log'!D:D,A450,'QA Log'!M:M,"Vignette",'QA Log'!Z:Z,"Rejected",'QA Log'!L:L,"*Vignette [2]: Diarrhea with Cat B dehydration*"),
    COUNTIFS('QA Log'!D:D,A450,'QA Log'!M:M,"Vignette",'QA Log'!Z:Z,"Rejected",'QA Log'!L:L,"*Vignette [3] Growth Monitoring and Promotion*"),
    COUNTIFS('QA Log'!D:D,A450,'QA Log'!M:M,"Vignette",'QA Log'!Z:Z,"Rejected",'QA Log'!L:L,"*Vignette [4]: The management of presumptive TB patient*")
  )
)</f>
        <v/>
      </c>
      <c r="BC450" s="107" t="str">
        <f t="shared" si="35"/>
        <v/>
      </c>
      <c r="BD450" s="103" t="str">
        <f t="shared" si="36"/>
        <v/>
      </c>
      <c r="BE450" s="102" t="str">
        <f>IF(A450="","",SUM(
COUNTIFS('QA Log'!D:D,A450,'QA Log'!M:M,"Vignette",'QA Log'!L:L,"*Vignette [5] Labor*"),
COUNTIFS('QA Log'!D:D,A450,'QA Log'!M:M,"Vignette",'QA Log'!L:L,"*Vignette [6] PNC pre Discharge*"),
COUNTIFS('QA Log'!D:D,A450,'QA Log'!M:M,"Vignette",'QA Log'!L:L,"*Vignette [7] First ANC Visit*"),
COUNTIFS('QA Log'!D:D,A450,'QA Log'!M:M,"Vignette",'QA Log'!L:L,"*Vignette [8] Birth Spacing/ Family Planning :  FP Counselling*"),
COUNTIFS('QA Log'!D:D,A450,'QA Log'!M:M,"Vignette",'QA Log'!L:L,"*Vignette [9] Birth Spacing: Change FP method to Injectable*"),
COUNTIFS('QA Log'!D:D,A450,'QA Log'!M:M,"Vignette",'QA Log'!L:L,"*Vignette [10] Post Partum Haemorrhage - Atonic Uterus at Health Centre*"),
)
)</f>
        <v/>
      </c>
      <c r="BF450" s="102" t="str">
        <f>IF(A450="","",
  SUM(
    COUNTIFS('QA Log'!D:D,A450,'QA Log'!M:M,"Vignette",'QA Log'!Z:Z,"Approved",'QA Log'!L:L,"*Vignette [5] Labor*"),
    COUNTIFS('QA Log'!D:D,A450,'QA Log'!M:M,"Vignette",'QA Log'!Z:Z,"Approved",'QA Log'!L:L,"*Vignette [6] PNC pre Discharge*"),
    COUNTIFS('QA Log'!D:D,A450,'QA Log'!M:M,"Vignette",'QA Log'!Z:Z,"Approved",'QA Log'!L:L,"*Vignette [7] First ANC Visit*"),
    COUNTIFS('QA Log'!D:D,A450,'QA Log'!M:M,"Vignette",'QA Log'!Z:Z,"Approved",'QA Log'!L:L,"*Vignette [8] Birth Spacing/ Family Planning :  FP Counselling*"),
    COUNTIFS('QA Log'!D:D,A450,'QA Log'!M:M,"Vignette",'QA Log'!Z:Z,"Approved",'QA Log'!L:L,"*Vignette [9] Birth Spacing: Change FP method to Injectable*"),
    COUNTIFS('QA Log'!D:D,A450,'QA Log'!M:M,"Vignette",'QA Log'!Z:Z,"Approved",'QA Log'!L:L,"*Vignette [10] Post Partum Haemorrhage - Atonic Uterus at Health Centre*")
  )
)</f>
        <v/>
      </c>
      <c r="BG450" s="105" t="str">
        <f>IF(A450&lt;&gt;"",COUNTIFS('QA Log'!D:D,A450,'QA Log'!M:M,"Vignette",'QA Log'!L:L,"Vignette [5] Labor",'QA Log'!Z:Z,"Approved"),"")</f>
        <v/>
      </c>
      <c r="BH450" s="105" t="str">
        <f>IF(A450&lt;&gt;"",COUNTIFS('QA Log'!D:D,A450,'QA Log'!M:M,"Vignette",'QA Log'!L:L,"Vignette [6] PNC pre Discharge",'QA Log'!Z:Z,"Approved"),"")</f>
        <v/>
      </c>
      <c r="BI450" s="105" t="str">
        <f>IF(A450&lt;&gt;"",COUNTIFS('QA Log'!D:D,A450,'QA Log'!M:M,"Vignette",'QA Log'!L:L,"Vignette [7] First ANC Visit",'QA Log'!Z:Z,"Approved"),"")</f>
        <v/>
      </c>
      <c r="BJ450" s="105" t="str">
        <f>IF(A450&lt;&gt;"",COUNTIFS('QA Log'!D:D,A450,'QA Log'!M:M,"Vignette",'QA Log'!L:L,"Vignette [8] Birth Spacing/ Family Planning :  FP Counselling",'QA Log'!Z:Z,"Approved"),"")</f>
        <v/>
      </c>
      <c r="BK450" s="105" t="str">
        <f>IF(A450&lt;&gt;"",COUNTIFS('QA Log'!D:D,A450,'QA Log'!M:M,"Vignette",'QA Log'!L:L,"Vignette [9] Birth Spacing: Change FP method to Injectable",'QA Log'!Z:Z,"Approved"),"")</f>
        <v/>
      </c>
      <c r="BL450" s="105" t="str">
        <f>IF(A450&lt;&gt;"",COUNTIFS('QA Log'!D:D,A450,'QA Log'!M:M,"Vignette",'QA Log'!L:L,"Vignette [10] Post Partum Haemorrhage - Atonic Uterus at Health Centre",'QA Log'!Z:Z,"Approved"),"")</f>
        <v/>
      </c>
      <c r="BM450" s="102" t="str">
        <f>IF(A450="","",SUM(
    COUNTIFS('QA Log'!D:D,A450,'QA Log'!M:M,"Vignette",'QA Log'!Z:Z,"Rejected",'QA Log'!L:L,"*Vignette [5] Labor*"),
    COUNTIFS('QA Log'!D:D,A450,'QA Log'!M:M,"Vignette",'QA Log'!Z:Z,"Rejected",'QA Log'!L:L,"*Vignette [6] PNC pre Discharge*"),
    COUNTIFS('QA Log'!D:D,A450,'QA Log'!M:M,"Vignette",'QA Log'!Z:Z,"Rejected",'QA Log'!L:L,"*Vignette [7] First ANC Visit*"),
    COUNTIFS('QA Log'!D:D,A450,'QA Log'!M:M,"Vignette",'QA Log'!Z:Z,"Rejected",'QA Log'!L:L,"*Vignette [8] Birth Spacing/ Family Planning :  FP Counselling*"),
    COUNTIFS('QA Log'!D:D,A450,'QA Log'!M:M,"Vignette",'QA Log'!Z:Z,"Rejected",'QA Log'!L:L,"*Vignette [9] Birth Spacing: Change FP method to Injectable*"),
    COUNTIFS('QA Log'!D:D,A450,'QA Log'!M:M,"Vignette",'QA Log'!Z:Z,"Rejected",'QA Log'!L:L,"*Vignette [10] Post Partum Haemorrhage - Atonic Uterus at Health Centre*")
  )
)</f>
        <v/>
      </c>
      <c r="BN450" s="107" t="str">
        <f t="shared" si="37"/>
        <v/>
      </c>
      <c r="BO450" s="103" t="str">
        <f t="shared" si="38"/>
        <v/>
      </c>
      <c r="BP450" s="102" t="str">
        <f>IF(A450="","",SUM(
COUNTIFS('QA Log'!D:D,A450,'QA Log'!M:M,"Vignette",'QA Log'!L:L,"*Exit Interview 1*"),
COUNTIFS('QA Log'!D:D,A450,'QA Log'!M:M,"Vignette",'QA Log'!L:L,"*Exit Interview 2*"),
)
)</f>
        <v/>
      </c>
      <c r="BQ450" s="102" t="str">
        <f>IF(
  A450="","",
  SUM(
    COUNTIFS('QA Log'!D:D,A450,'QA Log'!M:M,"Vignette",'QA Log'!Z:Z,"Approved",'QA Log'!L:L,"*Exit Interview 1*"),
    COUNTIFS('QA Log'!D:D,A450,'QA Log'!M:M,"Vignette",'QA Log'!Z:Z,"Approved",'QA Log'!L:L,"*Exit Interview 2*")
  )
)</f>
        <v/>
      </c>
      <c r="BR450" s="105" t="str">
        <f>IF(A450&lt;&gt;"",COUNTIFS('QA Log'!D:D,A450,'QA Log'!M:M,"Vignette",'QA Log'!L:L,"Exit Interview 1",'QA Log'!Z:Z,"Approved"),"")</f>
        <v/>
      </c>
      <c r="BS450" s="105" t="str">
        <f>IF(A450&lt;&gt;"",COUNTIFS('QA Log'!D:D,A450,'QA Log'!M:M,"Vignette",'QA Log'!L:L,"Exit Interview 2",'QA Log'!Z:Z,"Approved"),"")</f>
        <v/>
      </c>
      <c r="BT450" s="102" t="str">
        <f>IF(
  A450="","",
  SUM(
    COUNTIFS('QA Log'!D:D,A450,'QA Log'!M:M,"Vignette",'QA Log'!Z:Z,"Rejected",'QA Log'!L:L,"*Exit Interview 1*"),
    COUNTIFS('QA Log'!D:D,A450,'QA Log'!M:M,"Vignette",'QA Log'!Z:Z,"Rejected",'QA Log'!L:L,"*Exit Interview 2*")
  )
)</f>
        <v/>
      </c>
      <c r="BU450" s="107" t="str">
        <f t="shared" si="39"/>
        <v/>
      </c>
      <c r="BV450" s="102" t="str">
        <f t="shared" si="40"/>
        <v/>
      </c>
      <c r="BW450" s="102" t="str">
        <f t="shared" si="41"/>
        <v/>
      </c>
      <c r="BX450" s="102" t="str">
        <f t="shared" si="42"/>
        <v/>
      </c>
      <c r="BY450" s="102" t="str">
        <f t="shared" si="43"/>
        <v/>
      </c>
      <c r="BZ450" s="107" t="str">
        <f t="shared" si="44"/>
        <v/>
      </c>
      <c r="CA450" s="108" t="str">
        <f t="shared" si="45"/>
        <v/>
      </c>
      <c r="CB450" s="108" t="str">
        <f t="shared" si="46"/>
        <v/>
      </c>
      <c r="CC450" s="109" t="str">
        <f t="shared" si="47"/>
        <v/>
      </c>
      <c r="CD450" s="108" t="str">
        <f t="shared" si="48"/>
        <v/>
      </c>
      <c r="CE450" s="108" t="str">
        <f t="shared" si="49"/>
        <v/>
      </c>
      <c r="CF450" s="109" t="str">
        <f t="shared" si="50"/>
        <v/>
      </c>
      <c r="CG450" s="110" t="str">
        <f t="shared" si="51"/>
        <v/>
      </c>
      <c r="CH450" s="111"/>
    </row>
    <row r="451" spans="1:86" ht="12.75">
      <c r="A451" s="101"/>
      <c r="B451" s="102" t="e">
        <f t="array" aca="1" ref="B451" ca="1">_xludf.XLOOKUP(A451,'QA Log'!D:D,'QA Log'!E:E,"")</f>
        <v>#NAME?</v>
      </c>
      <c r="C451" s="102" t="e">
        <f t="array" aca="1" ref="C451" ca="1">_xludf.XLOOKUP(A451,'QA Log'!D:D,'QA Log'!F:F,"")</f>
        <v>#NAME?</v>
      </c>
      <c r="D451" s="102" t="e">
        <f t="array" aca="1" ref="D451" ca="1">_xludf.XLOOKUP(A451,'QA Log'!D:D,'QA Log'!H:H,"")</f>
        <v>#NAME?</v>
      </c>
      <c r="E451" s="102" t="e">
        <f t="array" aca="1" ref="E451" ca="1">_xludf.XLOOKUP(A451,'QA Log'!D:D,'QA Log'!G:G,"")</f>
        <v>#NAME?</v>
      </c>
      <c r="F451" s="103"/>
      <c r="G451" s="104"/>
      <c r="H451" s="104"/>
      <c r="I451" s="103" t="str">
        <f t="shared" si="26"/>
        <v/>
      </c>
      <c r="J451" s="102" t="str">
        <f>IF(A451="","",SUM(
COUNTIFS('QA Log'!D:D,A451,'QA Log'!M:M,"QQC",'QA Log'!L:L,"*1. General Management*"),
COUNTIFS('QA Log'!D:D,A451,'QA Log'!M:M,"QQC",'QA Log'!L:L,"*3. Curative Consultation (OPD)*"),
COUNTIFS('QA Log'!D:D,A451,'QA Log'!M:M,"QQC",'QA Log'!L:L,"*5. Laboratory*"),
COUNTIFS('QA Log'!D:D,A451,'QA Log'!M:M,"QQC",'QA Log'!L:L,"*6. Essential Medicine Management*"),
COUNTIFS('QA Log'!D:D,A451,'QA Log'!M:M,"QQC",'QA Log'!L:L,"*7. Tracer Medicine*"),
COUNTIFS('QA Log'!D:D,A451,'QA Log'!M:M,"QQC",'QA Log'!L:L,"*11. Additional Questions*")))</f>
        <v/>
      </c>
      <c r="K451" s="102" t="str">
        <f>IF(A451="","",SUM(
COUNTIFS('QA Log'!D:D,A451,'QA Log'!M:M,"QQC",'QA Log'!Z:Z,"Approved",'QA Log'!L:L,"*1. General Management*"),
COUNTIFS('QA Log'!D:D,A451,'QA Log'!M:M,"QQC",'QA Log'!Z:Z,"Approved",'QA Log'!L:L,"*3. Curative Consultation (OPD)*"),
COUNTIFS('QA Log'!D:D,A451,'QA Log'!M:M,"QQC",'QA Log'!Z:Z,"Approved",'QA Log'!L:L,"*5. Laboratory*"),
COUNTIFS('QA Log'!D:D,A451,'QA Log'!M:M,"QQC",'QA Log'!Z:Z,"Approved",'QA Log'!L:L,"*6. Essential Medicine Management*"),
COUNTIFS('QA Log'!D:D,A451,'QA Log'!M:M,"QQC",'QA Log'!Z:Z,"Approved",'QA Log'!L:L,"*7. Tracer Medicine*"),
COUNTIFS('QA Log'!D:D,A451,'QA Log'!M:M,"QQC",'QA Log'!Z:Z,"Approved",'QA Log'!L:L,"*11. Additional Questions*")))</f>
        <v/>
      </c>
      <c r="L451" s="102" t="str">
        <f>IF(A451&lt;&gt;"",COUNTIFS('QA Log'!D:D,A451,'QA Log'!M:M,"QQC",'QA Log'!L:L,"1. General Management",'QA Log'!Z:Z,"Approved"),"")</f>
        <v/>
      </c>
      <c r="M451" s="102" t="str">
        <f>IF(A451&lt;&gt;"",COUNTIFS('QA Log'!D:D,A451,'QA Log'!M:M,"QQC",'QA Log'!L:L,"3. Curative Consultation (OPD)",'QA Log'!Z:Z,"Approved"),"")</f>
        <v/>
      </c>
      <c r="N451" s="102" t="str">
        <f>IF(A451&lt;&gt;"",COUNTIFS('QA Log'!D:D,A451,'QA Log'!M:M,"QQC",'QA Log'!L:L,"5. Laboratory",'QA Log'!Z:Z,"Approved"),"")</f>
        <v/>
      </c>
      <c r="O451" s="102" t="str">
        <f>IF(A451&lt;&gt;"",COUNTIFS('QA Log'!D:D,A451,'QA Log'!M:M,"QQC",'QA Log'!L:L,"6. Essential Medicine Management",'QA Log'!Z:Z,"Approved"),"")</f>
        <v/>
      </c>
      <c r="P451" s="102" t="str">
        <f>IF(A451&lt;&gt;"",COUNTIFS('QA Log'!D:D,A451,'QA Log'!M:M,"QQC",'QA Log'!L:L,"7. Tracer Medicine",'QA Log'!Z:Z,"Approved"),"")</f>
        <v/>
      </c>
      <c r="Q451" s="102" t="str">
        <f>IF(A451&lt;&gt;"",COUNTIFS('QA Log'!D:D,A451,'QA Log'!M:M,"QQC",'QA Log'!L:L,"11. Additional Questions",'QA Log'!Z:Z,"Approved"),"")</f>
        <v/>
      </c>
      <c r="R451" s="102" t="str">
        <f>IF(A451="","",SUM(
COUNTIFS('QA Log'!D:D,A451,'QA Log'!M:M,"QQC",'QA Log'!Z:Z,"Rejected",'QA Log'!L:L,"*8. Maternity*"),
COUNTIFS('QA Log'!D:D,A451,'QA Log'!M:M,"QQC",'QA Log'!Z:Z,"Rejected",'QA Log'!L:L,"*EPI*"),
COUNTIFS('QA Log'!D:D,A451,'QA Log'!M:M,"QQC",'QA Log'!Z:Z,"Rejected",'QA Log'!L:L,"*10. Antenatal Care (ANC)*"),
COUNTIFS('QA Log'!D:D,A451,'QA Log'!M:M,"QQC",'QA Log'!Z:Z,"Rejected",'QA Log'!L:L,"*2. Hygiene and Sterilization*"),
COUNTIFS('QA Log'!D:D,A451,'QA Log'!M:M,"QQC",'QA Log'!Z:Z,"Rejected",'QA Log'!L:L,"*Family Planning*")))</f>
        <v/>
      </c>
      <c r="S451" s="106" t="str">
        <f t="shared" si="27"/>
        <v/>
      </c>
      <c r="T451" s="102" t="str">
        <f t="shared" si="28"/>
        <v/>
      </c>
      <c r="U451" s="102" t="str">
        <f>IF(A451="","",
SUM(
COUNTIFS('QA Log'!D:D,A451,'QA Log'!M:M,"QQC",'QA Log'!L:L,"*8. Maternity*"),
COUNTIFS('QA Log'!D:D,A451,'QA Log'!M:M,"QQC",'QA Log'!L:L,"*9. EPI and Pre-school Consultation*"),
COUNTIFS('QA Log'!D:D,A451,'QA Log'!M:M,"QQC",'QA Log'!L:L,"*10. Antenatal Care (ANC)*"),
COUNTIFS('QA Log'!D:D,A451,'QA Log'!M:M,"QQC",'QA Log'!L:L,"*2. Hygiene and Sterilization*"),
COUNTIFS('QA Log'!D:D,A451,'QA Log'!M:M,"QQC",'QA Log'!L:L,"*4. Family Planning*")
))</f>
        <v/>
      </c>
      <c r="V451" s="102" t="str">
        <f>IF(A451="","",
SUM(
COUNTIFS('QA Log'!D:D,A451,'QA Log'!M:M,"QQC",'QA Log'!Z:Z,"Approved",'QA Log'!L:L,"*8. Maternity*"),
COUNTIFS('QA Log'!D:D,A451,'QA Log'!M:M,"QQC",'QA Log'!Z:Z,"Approved",'QA Log'!L:L,"*9. EPI and Pre-school Consultation*"),
COUNTIFS('QA Log'!D:D,A451,'QA Log'!M:M,"QQC",'QA Log'!Z:Z,"Approved",'QA Log'!L:L,"*10. Antenatal Care (ANC)*"),
COUNTIFS('QA Log'!D:D,A451,'QA Log'!M:M,"QQC",'QA Log'!Z:Z,"Approved",'QA Log'!L:L,"*2. Hygiene and Sterilization*"),
COUNTIFS('QA Log'!D:D,A451,'QA Log'!M:M,"QQC",'QA Log'!Z:Z,"Approved",'QA Log'!L:L,"*4. Family Planning*")
))</f>
        <v/>
      </c>
      <c r="W451" s="102" t="str">
        <f>IF(A451&lt;&gt;"",COUNTIFS('QA Log'!D:D,A451,'QA Log'!M:M,"QQC",'QA Log'!L:L,"8. Maternity",'QA Log'!Z:Z,"Approved"),"")</f>
        <v/>
      </c>
      <c r="X451" s="105" t="str">
        <f>IF(A451&lt;&gt;"",COUNTIFS('QA Log'!D:D,A451,'QA Log'!M:M,"QQC",'QA Log'!L:L,"9. EPI and Pre-school Consultation",'QA Log'!Z:Z,"Approved"),"")</f>
        <v/>
      </c>
      <c r="Y451" s="102" t="str">
        <f>IF(A451&lt;&gt;"",COUNTIFS('QA Log'!D:D,A451,'QA Log'!M:M,"QQC",'QA Log'!L:L,"10. Antenatal Care (ANC)",'QA Log'!Z:Z,"Approved"),"")</f>
        <v/>
      </c>
      <c r="Z451" s="102" t="str">
        <f>IF(A451&lt;&gt;"",COUNTIFS('QA Log'!D:D,A451,'QA Log'!M:M,"QQC",'QA Log'!L:L,"2. Hygiene and Sterilization",'QA Log'!Z:Z,"Approved"),"")</f>
        <v/>
      </c>
      <c r="AA451" s="105" t="str">
        <f>IF(A451&lt;&gt;"",COUNTIFS('QA Log'!D:D,A451,'QA Log'!M:M,"QQC",'QA Log'!L:L,"4. Family Planning",'QA Log'!Z:Z,"Approved"),"")</f>
        <v/>
      </c>
      <c r="AB451" s="102" t="str">
        <f>IF(A451="","",
SUM(
COUNTIFS('QA Log'!D:D,A451,'QA Log'!M:M,"QQC",'QA Log'!Z:Z,"Rejected",'QA Log'!L:L,"*8. Maternity*"),
COUNTIFS('QA Log'!D:D,A451,'QA Log'!M:M,"QQC",'QA Log'!Z:Z,"Rejected",'QA Log'!L:L,"*9. EPI and Pre-school Consultation*"),
COUNTIFS('QA Log'!D:D,A451,'QA Log'!M:M,"QQC",'QA Log'!Z:Z,"Rejected",'QA Log'!L:L,"*10. Antenatal Care (ANC)*"),
COUNTIFS('QA Log'!D:D,A451,'QA Log'!M:M,"QQC",'QA Log'!Z:Z,"Rejected",'QA Log'!L:L,"*2. Hygiene and Sterilization*"),
COUNTIFS('QA Log'!D:D,A451,'QA Log'!M:M,"QQC",'QA Log'!Z:Z,"Rejected",'QA Log'!L:L,"*4. Family Planning*")
))</f>
        <v/>
      </c>
      <c r="AC451" s="102" t="str">
        <f t="shared" si="29"/>
        <v/>
      </c>
      <c r="AD451" s="103" t="str">
        <f t="shared" si="30"/>
        <v/>
      </c>
      <c r="AE451" s="102" t="str">
        <f>IF(A451="","",
SUM(
COUNTIFS('QA Log'!D:D,A451,'QA Log'!M:M,"Data Verification",'QA Log'!L:L,"*Medicine (section 2)*"),
COUNTIFS('QA Log'!D:D,A451,'QA Log'!M:M,"Data Verification",'QA Log'!L:L,"*Lab Testing Availability*"),
COUNTIFS('QA Log'!D:D,A451,'QA Log'!M:M,"Data Verification",'QA Log'!L:L,"*Other than P4P (section 6)*"),
COUNTIFS('QA Log'!D:D,A451,'QA Log'!M:M,"Data Verification",'QA Log'!L:L,"*Hospital Governance*")
))</f>
        <v/>
      </c>
      <c r="AF451" s="102" t="str">
        <f>IF(A451="","",
SUM(
COUNTIFS('QA Log'!D:D,A451,'QA Log'!M:M,"Data Verification",'QA Log'!Z:Z,"Approved",'QA Log'!L:L,"*Medicine (section 2)*"),
COUNTIFS('QA Log'!D:D,A451,'QA Log'!M:M,"Data Verification",'QA Log'!Z:Z,"Approved",'QA Log'!L:L,"*Lab Testing Availability*"),
COUNTIFS('QA Log'!D:D,A451,'QA Log'!M:M,"Data Verification",'QA Log'!Z:Z,"Approved",'QA Log'!L:L,"*Other than P4P (section 6)*"),
COUNTIFS('QA Log'!D:D,A451,'QA Log'!M:M,"Data Verification",'QA Log'!Z:Z,"Approved",'QA Log'!L:L,"*Hospital Governance*")
))</f>
        <v/>
      </c>
      <c r="AG451" s="105" t="str">
        <f>IF(A451&lt;&gt;"",COUNTIFS('QA Log'!D:D,A451,'QA Log'!M:M,"Data Verification",'QA Log'!L:L,"Medicine (section 2)",'QA Log'!Z:Z,"Approved"),"")</f>
        <v/>
      </c>
      <c r="AH451" s="105" t="str">
        <f>IF(A451&lt;&gt;"",COUNTIFS('QA Log'!D:D,A451,'QA Log'!M:M,"Data Verification",'QA Log'!L:L,"Lab Testing Availability",'QA Log'!Z:Z,"Approved"),"")</f>
        <v/>
      </c>
      <c r="AI451" s="105" t="str">
        <f>IF(A451&lt;&gt;"",COUNTIFS('QA Log'!D:D,A451,'QA Log'!M:M,"Data Verification",'QA Log'!L:L,"Other than P4P (section 6)",'QA Log'!Z:Z,"Approved"),"")</f>
        <v/>
      </c>
      <c r="AJ451" s="105" t="str">
        <f>IF(A451&lt;&gt;"",COUNTIFS('QA Log'!D:D,A451,'QA Log'!M:M,"Data Verification",'QA Log'!L:L,"Hospital Governance",'QA Log'!Z:Z,"Approved"),"")</f>
        <v/>
      </c>
      <c r="AK451" s="102" t="str">
        <f>IF(A451="","",
SUM(
COUNTIFS('QA Log'!D:D,A451,'QA Log'!M:M,"Data Verification",'QA Log'!Z:Z,"Rejected",'QA Log'!L:L,"*Medicine (section 2)*"),
COUNTIFS('QA Log'!D:D,A451,'QA Log'!M:M,"Data Verification",'QA Log'!Z:Z,"Rejected",'QA Log'!L:L,"*Lab Testing Availability*"),
COUNTIFS('QA Log'!D:D,A451,'QA Log'!M:M,"Data Verification",'QA Log'!Z:Z,"Rejected",'QA Log'!L:L,"*Other than P4P (section 6)*"),
COUNTIFS('QA Log'!D:D,A451,'QA Log'!M:M,"Data Verification",'QA Log'!Z:Z,"Rejected",'QA Log'!L:L,"*Hospital Governance*")
))</f>
        <v/>
      </c>
      <c r="AL451" s="106" t="str">
        <f t="shared" si="31"/>
        <v/>
      </c>
      <c r="AM451" s="102" t="str">
        <f t="shared" si="32"/>
        <v/>
      </c>
      <c r="AN451" s="102" t="str">
        <f>IF(A451="","",
SUM(
COUNTIFS('QA Log'!D:D,A451,'QA Log'!M:M,"Data Verification",'QA Log'!L:L,"*Personnel (section 1)*"),
COUNTIFS('QA Log'!D:D,A451,'QA Log'!M:M,"Data Verification",'QA Log'!L:L,"*Consumable (section 3)*"),
COUNTIFS('QA Log'!D:D,A451,'QA Log'!M:M,"Data Verification",'QA Log'!L:L,"*Equipments (section 4)*")
))</f>
        <v/>
      </c>
      <c r="AO451" s="102" t="str">
        <f>IF(A451="","",
SUM(
COUNTIFS('QA Log'!D:D,A451,'QA Log'!M:M,"Data Verification",'QA Log'!Z:Z,"Approved",'QA Log'!L:L,"*Personnel (section 1)*"),
COUNTIFS('QA Log'!D:D,A451,'QA Log'!M:M,"Data Verification",'QA Log'!Z:Z,"Approved",'QA Log'!L:L,"*Consumable (section 3)*"),
COUNTIFS('QA Log'!D:D,A451,'QA Log'!M:M,"Data Verification",'QA Log'!Z:Z,"Approved",'QA Log'!L:L,"*Equipments (section 4)*")
))</f>
        <v/>
      </c>
      <c r="AP451" s="105" t="str">
        <f>IF(A451&lt;&gt;"",COUNTIFS('QA Log'!D:D,A451,'QA Log'!M:M,"Data Verification",'QA Log'!L:L,"Personnel (section 1)",'QA Log'!Z:Z,"Approved"),"")</f>
        <v/>
      </c>
      <c r="AQ451" s="105" t="str">
        <f>IF(A451&lt;&gt;"",COUNTIFS('QA Log'!D:D,A451,'QA Log'!M:M,"Data Verification",'QA Log'!L:L,"Consumable (section 3)",'QA Log'!Z:Z,"Approved"),"")</f>
        <v/>
      </c>
      <c r="AR451" s="105" t="str">
        <f>IF(A451&lt;&gt;"",COUNTIFS('QA Log'!D:D,A451,'QA Log'!M:M,"Data Verification",'QA Log'!L:L,"Equipments (section 4)",'QA Log'!Z:Z,"Approved"),"")</f>
        <v/>
      </c>
      <c r="AS451" s="102" t="str">
        <f>IF(A451="","",
SUM(
COUNTIFS('QA Log'!D:D,A451,'QA Log'!M:M,"Data Verification",'QA Log'!Z:Z,"Rejected",'QA Log'!L:L,"*Personnel (section 1)*"),
COUNTIFS('QA Log'!D:D,A451,'QA Log'!M:M,"Data Verification",'QA Log'!Z:Z,"Rejected",'QA Log'!L:L,"*Consumable (section 3)*"),
COUNTIFS('QA Log'!D:D,A451,'QA Log'!M:M,"Data Verification",'QA Log'!Z:Z,"Rejected",'QA Log'!L:L,"*Equipments (section 4)*")
))</f>
        <v/>
      </c>
      <c r="AT451" s="102" t="str">
        <f t="shared" si="33"/>
        <v/>
      </c>
      <c r="AU451" s="103" t="str">
        <f t="shared" si="34"/>
        <v/>
      </c>
      <c r="AV451" s="102" t="str">
        <f>IF(A451="","",SUM(
COUNTIFS('QA Log'!D:D,A451,'QA Log'!M:M,"Vignette",'QA Log'!L:L,"*Vignette [1] Respiratory Infection: Pneumonia*"),
COUNTIFS('QA Log'!D:D,A451,'QA Log'!M:M,"Vignette",'QA Log'!L:L,"*Vignette [2]: Diarrhea with Cat B dehydration*"),
COUNTIFS('QA Log'!D:D,A451,'QA Log'!M:M,"Vignette",'QA Log'!L:L,"*Vignette [3] Growth Monitoring and Promotion*"),
COUNTIFS('QA Log'!D:D,A451,'QA Log'!M:M,"Vignette",'QA Log'!L:L,"*Vignette [4]: The management of presumptive TB patient*")
)
)</f>
        <v/>
      </c>
      <c r="AW451" s="102" t="str">
        <f>IF(
  A451="","",
  SUM(
    COUNTIFS('QA Log'!D:D,A451,'QA Log'!M:M,"Vignette",'QA Log'!Z:Z,"Approved",'QA Log'!L:L,"*Vignette [1] Respiratory Infection: Pneumonia*"),
    COUNTIFS('QA Log'!D:D,A451,'QA Log'!M:M,"Vignette",'QA Log'!Z:Z,"Approved",'QA Log'!L:L,"*Vignette [2]: Diarrhea with Cat B dehydration*"),
    COUNTIFS('QA Log'!D:D,A451,'QA Log'!M:M,"Vignette",'QA Log'!Z:Z,"Approved",'QA Log'!L:L,"*Vignette [3] Growth Monitoring and Promotion*"),
    COUNTIFS('QA Log'!D:D,A451,'QA Log'!M:M,"Vignette",'QA Log'!Z:Z,"Approved",'QA Log'!L:L,"*Vignette [4]: The management of presumptive TB patient*")
  )
)</f>
        <v/>
      </c>
      <c r="AX451" s="105" t="str">
        <f>IF(A451&lt;&gt;"",COUNTIFS('QA Log'!D:D,A451,'QA Log'!M:M,"Vignette",'QA Log'!L:L,"Vignette [1] Respiratory Infection: Pneumonia",'QA Log'!Z:Z,"Approved"),"")</f>
        <v/>
      </c>
      <c r="AY451" s="105" t="str">
        <f>IF(A451&lt;&gt;"",COUNTIFS('QA Log'!D:D,A451,'QA Log'!M:M,"Vignette",'QA Log'!L:L,"Vignette [2]: Diarrhea with Cat B dehydration",'QA Log'!Z:Z,"Approved"),"")</f>
        <v/>
      </c>
      <c r="AZ451" s="105" t="str">
        <f>IF(A451&lt;&gt;"",COUNTIFS('QA Log'!D:D,A451,'QA Log'!M:M,"Vignette",'QA Log'!L:L,"Vignette [3] Growth Monitoring and Promotion",'QA Log'!Z:Z,"Approved"),"")</f>
        <v/>
      </c>
      <c r="BA451" s="105" t="str">
        <f>IF(A451&lt;&gt;"",COUNTIFS('QA Log'!D:D,A451,'QA Log'!M:M,"Vignette",'QA Log'!L:L,"Vignette [4]: The management of presumptive TB patient",'QA Log'!Z:Z,"Approved"),"")</f>
        <v/>
      </c>
      <c r="BB451" s="102" t="str">
        <f>IF(A451="","",
  SUM(
    COUNTIFS('QA Log'!D:D,A451,'QA Log'!M:M,"Vignette",'QA Log'!Z:Z,"Rejected",'QA Log'!L:L,"*Vignette [1] Respiratory Infection: Pneumonia*"),
    COUNTIFS('QA Log'!D:D,A451,'QA Log'!M:M,"Vignette",'QA Log'!Z:Z,"Rejected",'QA Log'!L:L,"*Vignette [2]: Diarrhea with Cat B dehydration*"),
    COUNTIFS('QA Log'!D:D,A451,'QA Log'!M:M,"Vignette",'QA Log'!Z:Z,"Rejected",'QA Log'!L:L,"*Vignette [3] Growth Monitoring and Promotion*"),
    COUNTIFS('QA Log'!D:D,A451,'QA Log'!M:M,"Vignette",'QA Log'!Z:Z,"Rejected",'QA Log'!L:L,"*Vignette [4]: The management of presumptive TB patient*")
  )
)</f>
        <v/>
      </c>
      <c r="BC451" s="107" t="str">
        <f t="shared" si="35"/>
        <v/>
      </c>
      <c r="BD451" s="103" t="str">
        <f t="shared" si="36"/>
        <v/>
      </c>
      <c r="BE451" s="102" t="str">
        <f>IF(A451="","",SUM(
COUNTIFS('QA Log'!D:D,A451,'QA Log'!M:M,"Vignette",'QA Log'!L:L,"*Vignette [5] Labor*"),
COUNTIFS('QA Log'!D:D,A451,'QA Log'!M:M,"Vignette",'QA Log'!L:L,"*Vignette [6] PNC pre Discharge*"),
COUNTIFS('QA Log'!D:D,A451,'QA Log'!M:M,"Vignette",'QA Log'!L:L,"*Vignette [7] First ANC Visit*"),
COUNTIFS('QA Log'!D:D,A451,'QA Log'!M:M,"Vignette",'QA Log'!L:L,"*Vignette [8] Birth Spacing/ Family Planning :  FP Counselling*"),
COUNTIFS('QA Log'!D:D,A451,'QA Log'!M:M,"Vignette",'QA Log'!L:L,"*Vignette [9] Birth Spacing: Change FP method to Injectable*"),
COUNTIFS('QA Log'!D:D,A451,'QA Log'!M:M,"Vignette",'QA Log'!L:L,"*Vignette [10] Post Partum Haemorrhage - Atonic Uterus at Health Centre*"),
)
)</f>
        <v/>
      </c>
      <c r="BF451" s="102" t="str">
        <f>IF(A451="","",
  SUM(
    COUNTIFS('QA Log'!D:D,A451,'QA Log'!M:M,"Vignette",'QA Log'!Z:Z,"Approved",'QA Log'!L:L,"*Vignette [5] Labor*"),
    COUNTIFS('QA Log'!D:D,A451,'QA Log'!M:M,"Vignette",'QA Log'!Z:Z,"Approved",'QA Log'!L:L,"*Vignette [6] PNC pre Discharge*"),
    COUNTIFS('QA Log'!D:D,A451,'QA Log'!M:M,"Vignette",'QA Log'!Z:Z,"Approved",'QA Log'!L:L,"*Vignette [7] First ANC Visit*"),
    COUNTIFS('QA Log'!D:D,A451,'QA Log'!M:M,"Vignette",'QA Log'!Z:Z,"Approved",'QA Log'!L:L,"*Vignette [8] Birth Spacing/ Family Planning :  FP Counselling*"),
    COUNTIFS('QA Log'!D:D,A451,'QA Log'!M:M,"Vignette",'QA Log'!Z:Z,"Approved",'QA Log'!L:L,"*Vignette [9] Birth Spacing: Change FP method to Injectable*"),
    COUNTIFS('QA Log'!D:D,A451,'QA Log'!M:M,"Vignette",'QA Log'!Z:Z,"Approved",'QA Log'!L:L,"*Vignette [10] Post Partum Haemorrhage - Atonic Uterus at Health Centre*")
  )
)</f>
        <v/>
      </c>
      <c r="BG451" s="105" t="str">
        <f>IF(A451&lt;&gt;"",COUNTIFS('QA Log'!D:D,A451,'QA Log'!M:M,"Vignette",'QA Log'!L:L,"Vignette [5] Labor",'QA Log'!Z:Z,"Approved"),"")</f>
        <v/>
      </c>
      <c r="BH451" s="105" t="str">
        <f>IF(A451&lt;&gt;"",COUNTIFS('QA Log'!D:D,A451,'QA Log'!M:M,"Vignette",'QA Log'!L:L,"Vignette [6] PNC pre Discharge",'QA Log'!Z:Z,"Approved"),"")</f>
        <v/>
      </c>
      <c r="BI451" s="105" t="str">
        <f>IF(A451&lt;&gt;"",COUNTIFS('QA Log'!D:D,A451,'QA Log'!M:M,"Vignette",'QA Log'!L:L,"Vignette [7] First ANC Visit",'QA Log'!Z:Z,"Approved"),"")</f>
        <v/>
      </c>
      <c r="BJ451" s="105" t="str">
        <f>IF(A451&lt;&gt;"",COUNTIFS('QA Log'!D:D,A451,'QA Log'!M:M,"Vignette",'QA Log'!L:L,"Vignette [8] Birth Spacing/ Family Planning :  FP Counselling",'QA Log'!Z:Z,"Approved"),"")</f>
        <v/>
      </c>
      <c r="BK451" s="105" t="str">
        <f>IF(A451&lt;&gt;"",COUNTIFS('QA Log'!D:D,A451,'QA Log'!M:M,"Vignette",'QA Log'!L:L,"Vignette [9] Birth Spacing: Change FP method to Injectable",'QA Log'!Z:Z,"Approved"),"")</f>
        <v/>
      </c>
      <c r="BL451" s="105" t="str">
        <f>IF(A451&lt;&gt;"",COUNTIFS('QA Log'!D:D,A451,'QA Log'!M:M,"Vignette",'QA Log'!L:L,"Vignette [10] Post Partum Haemorrhage - Atonic Uterus at Health Centre",'QA Log'!Z:Z,"Approved"),"")</f>
        <v/>
      </c>
      <c r="BM451" s="102" t="str">
        <f>IF(A451="","",SUM(
    COUNTIFS('QA Log'!D:D,A451,'QA Log'!M:M,"Vignette",'QA Log'!Z:Z,"Rejected",'QA Log'!L:L,"*Vignette [5] Labor*"),
    COUNTIFS('QA Log'!D:D,A451,'QA Log'!M:M,"Vignette",'QA Log'!Z:Z,"Rejected",'QA Log'!L:L,"*Vignette [6] PNC pre Discharge*"),
    COUNTIFS('QA Log'!D:D,A451,'QA Log'!M:M,"Vignette",'QA Log'!Z:Z,"Rejected",'QA Log'!L:L,"*Vignette [7] First ANC Visit*"),
    COUNTIFS('QA Log'!D:D,A451,'QA Log'!M:M,"Vignette",'QA Log'!Z:Z,"Rejected",'QA Log'!L:L,"*Vignette [8] Birth Spacing/ Family Planning :  FP Counselling*"),
    COUNTIFS('QA Log'!D:D,A451,'QA Log'!M:M,"Vignette",'QA Log'!Z:Z,"Rejected",'QA Log'!L:L,"*Vignette [9] Birth Spacing: Change FP method to Injectable*"),
    COUNTIFS('QA Log'!D:D,A451,'QA Log'!M:M,"Vignette",'QA Log'!Z:Z,"Rejected",'QA Log'!L:L,"*Vignette [10] Post Partum Haemorrhage - Atonic Uterus at Health Centre*")
  )
)</f>
        <v/>
      </c>
      <c r="BN451" s="107" t="str">
        <f t="shared" si="37"/>
        <v/>
      </c>
      <c r="BO451" s="103" t="str">
        <f t="shared" si="38"/>
        <v/>
      </c>
      <c r="BP451" s="102" t="str">
        <f>IF(A451="","",SUM(
COUNTIFS('QA Log'!D:D,A451,'QA Log'!M:M,"Vignette",'QA Log'!L:L,"*Exit Interview 1*"),
COUNTIFS('QA Log'!D:D,A451,'QA Log'!M:M,"Vignette",'QA Log'!L:L,"*Exit Interview 2*"),
)
)</f>
        <v/>
      </c>
      <c r="BQ451" s="102" t="str">
        <f>IF(
  A451="","",
  SUM(
    COUNTIFS('QA Log'!D:D,A451,'QA Log'!M:M,"Vignette",'QA Log'!Z:Z,"Approved",'QA Log'!L:L,"*Exit Interview 1*"),
    COUNTIFS('QA Log'!D:D,A451,'QA Log'!M:M,"Vignette",'QA Log'!Z:Z,"Approved",'QA Log'!L:L,"*Exit Interview 2*")
  )
)</f>
        <v/>
      </c>
      <c r="BR451" s="105" t="str">
        <f>IF(A451&lt;&gt;"",COUNTIFS('QA Log'!D:D,A451,'QA Log'!M:M,"Vignette",'QA Log'!L:L,"Exit Interview 1",'QA Log'!Z:Z,"Approved"),"")</f>
        <v/>
      </c>
      <c r="BS451" s="105" t="str">
        <f>IF(A451&lt;&gt;"",COUNTIFS('QA Log'!D:D,A451,'QA Log'!M:M,"Vignette",'QA Log'!L:L,"Exit Interview 2",'QA Log'!Z:Z,"Approved"),"")</f>
        <v/>
      </c>
      <c r="BT451" s="102" t="str">
        <f>IF(
  A451="","",
  SUM(
    COUNTIFS('QA Log'!D:D,A451,'QA Log'!M:M,"Vignette",'QA Log'!Z:Z,"Rejected",'QA Log'!L:L,"*Exit Interview 1*"),
    COUNTIFS('QA Log'!D:D,A451,'QA Log'!M:M,"Vignette",'QA Log'!Z:Z,"Rejected",'QA Log'!L:L,"*Exit Interview 2*")
  )
)</f>
        <v/>
      </c>
      <c r="BU451" s="107" t="str">
        <f t="shared" si="39"/>
        <v/>
      </c>
      <c r="BV451" s="102" t="str">
        <f t="shared" si="40"/>
        <v/>
      </c>
      <c r="BW451" s="102" t="str">
        <f t="shared" si="41"/>
        <v/>
      </c>
      <c r="BX451" s="102" t="str">
        <f t="shared" si="42"/>
        <v/>
      </c>
      <c r="BY451" s="102" t="str">
        <f t="shared" si="43"/>
        <v/>
      </c>
      <c r="BZ451" s="107" t="str">
        <f t="shared" si="44"/>
        <v/>
      </c>
      <c r="CA451" s="108" t="str">
        <f t="shared" si="45"/>
        <v/>
      </c>
      <c r="CB451" s="108" t="str">
        <f t="shared" si="46"/>
        <v/>
      </c>
      <c r="CC451" s="109" t="str">
        <f t="shared" si="47"/>
        <v/>
      </c>
      <c r="CD451" s="108" t="str">
        <f t="shared" si="48"/>
        <v/>
      </c>
      <c r="CE451" s="108" t="str">
        <f t="shared" si="49"/>
        <v/>
      </c>
      <c r="CF451" s="109" t="str">
        <f t="shared" si="50"/>
        <v/>
      </c>
      <c r="CG451" s="110" t="str">
        <f t="shared" si="51"/>
        <v/>
      </c>
      <c r="CH451" s="111"/>
    </row>
    <row r="452" spans="1:86" ht="12.75">
      <c r="A452" s="101"/>
      <c r="B452" s="102" t="e">
        <f t="array" aca="1" ref="B452" ca="1">_xludf.XLOOKUP(A452,'QA Log'!D:D,'QA Log'!E:E,"")</f>
        <v>#NAME?</v>
      </c>
      <c r="C452" s="102" t="e">
        <f t="array" aca="1" ref="C452" ca="1">_xludf.XLOOKUP(A452,'QA Log'!D:D,'QA Log'!F:F,"")</f>
        <v>#NAME?</v>
      </c>
      <c r="D452" s="102" t="e">
        <f t="array" aca="1" ref="D452" ca="1">_xludf.XLOOKUP(A452,'QA Log'!D:D,'QA Log'!H:H,"")</f>
        <v>#NAME?</v>
      </c>
      <c r="E452" s="102" t="e">
        <f t="array" aca="1" ref="E452" ca="1">_xludf.XLOOKUP(A452,'QA Log'!D:D,'QA Log'!G:G,"")</f>
        <v>#NAME?</v>
      </c>
      <c r="F452" s="103"/>
      <c r="G452" s="104"/>
      <c r="H452" s="104"/>
      <c r="I452" s="103" t="str">
        <f t="shared" si="26"/>
        <v/>
      </c>
      <c r="J452" s="102" t="str">
        <f>IF(A452="","",SUM(
COUNTIFS('QA Log'!D:D,A452,'QA Log'!M:M,"QQC",'QA Log'!L:L,"*1. General Management*"),
COUNTIFS('QA Log'!D:D,A452,'QA Log'!M:M,"QQC",'QA Log'!L:L,"*3. Curative Consultation (OPD)*"),
COUNTIFS('QA Log'!D:D,A452,'QA Log'!M:M,"QQC",'QA Log'!L:L,"*5. Laboratory*"),
COUNTIFS('QA Log'!D:D,A452,'QA Log'!M:M,"QQC",'QA Log'!L:L,"*6. Essential Medicine Management*"),
COUNTIFS('QA Log'!D:D,A452,'QA Log'!M:M,"QQC",'QA Log'!L:L,"*7. Tracer Medicine*"),
COUNTIFS('QA Log'!D:D,A452,'QA Log'!M:M,"QQC",'QA Log'!L:L,"*11. Additional Questions*")))</f>
        <v/>
      </c>
      <c r="K452" s="102" t="str">
        <f>IF(A452="","",SUM(
COUNTIFS('QA Log'!D:D,A452,'QA Log'!M:M,"QQC",'QA Log'!Z:Z,"Approved",'QA Log'!L:L,"*1. General Management*"),
COUNTIFS('QA Log'!D:D,A452,'QA Log'!M:M,"QQC",'QA Log'!Z:Z,"Approved",'QA Log'!L:L,"*3. Curative Consultation (OPD)*"),
COUNTIFS('QA Log'!D:D,A452,'QA Log'!M:M,"QQC",'QA Log'!Z:Z,"Approved",'QA Log'!L:L,"*5. Laboratory*"),
COUNTIFS('QA Log'!D:D,A452,'QA Log'!M:M,"QQC",'QA Log'!Z:Z,"Approved",'QA Log'!L:L,"*6. Essential Medicine Management*"),
COUNTIFS('QA Log'!D:D,A452,'QA Log'!M:M,"QQC",'QA Log'!Z:Z,"Approved",'QA Log'!L:L,"*7. Tracer Medicine*"),
COUNTIFS('QA Log'!D:D,A452,'QA Log'!M:M,"QQC",'QA Log'!Z:Z,"Approved",'QA Log'!L:L,"*11. Additional Questions*")))</f>
        <v/>
      </c>
      <c r="L452" s="102" t="str">
        <f>IF(A452&lt;&gt;"",COUNTIFS('QA Log'!D:D,A452,'QA Log'!M:M,"QQC",'QA Log'!L:L,"1. General Management",'QA Log'!Z:Z,"Approved"),"")</f>
        <v/>
      </c>
      <c r="M452" s="102" t="str">
        <f>IF(A452&lt;&gt;"",COUNTIFS('QA Log'!D:D,A452,'QA Log'!M:M,"QQC",'QA Log'!L:L,"3. Curative Consultation (OPD)",'QA Log'!Z:Z,"Approved"),"")</f>
        <v/>
      </c>
      <c r="N452" s="102" t="str">
        <f>IF(A452&lt;&gt;"",COUNTIFS('QA Log'!D:D,A452,'QA Log'!M:M,"QQC",'QA Log'!L:L,"5. Laboratory",'QA Log'!Z:Z,"Approved"),"")</f>
        <v/>
      </c>
      <c r="O452" s="102" t="str">
        <f>IF(A452&lt;&gt;"",COUNTIFS('QA Log'!D:D,A452,'QA Log'!M:M,"QQC",'QA Log'!L:L,"6. Essential Medicine Management",'QA Log'!Z:Z,"Approved"),"")</f>
        <v/>
      </c>
      <c r="P452" s="102" t="str">
        <f>IF(A452&lt;&gt;"",COUNTIFS('QA Log'!D:D,A452,'QA Log'!M:M,"QQC",'QA Log'!L:L,"7. Tracer Medicine",'QA Log'!Z:Z,"Approved"),"")</f>
        <v/>
      </c>
      <c r="Q452" s="102" t="str">
        <f>IF(A452&lt;&gt;"",COUNTIFS('QA Log'!D:D,A452,'QA Log'!M:M,"QQC",'QA Log'!L:L,"11. Additional Questions",'QA Log'!Z:Z,"Approved"),"")</f>
        <v/>
      </c>
      <c r="R452" s="102" t="str">
        <f>IF(A452="","",SUM(
COUNTIFS('QA Log'!D:D,A452,'QA Log'!M:M,"QQC",'QA Log'!Z:Z,"Rejected",'QA Log'!L:L,"*8. Maternity*"),
COUNTIFS('QA Log'!D:D,A452,'QA Log'!M:M,"QQC",'QA Log'!Z:Z,"Rejected",'QA Log'!L:L,"*EPI*"),
COUNTIFS('QA Log'!D:D,A452,'QA Log'!M:M,"QQC",'QA Log'!Z:Z,"Rejected",'QA Log'!L:L,"*10. Antenatal Care (ANC)*"),
COUNTIFS('QA Log'!D:D,A452,'QA Log'!M:M,"QQC",'QA Log'!Z:Z,"Rejected",'QA Log'!L:L,"*2. Hygiene and Sterilization*"),
COUNTIFS('QA Log'!D:D,A452,'QA Log'!M:M,"QQC",'QA Log'!Z:Z,"Rejected",'QA Log'!L:L,"*Family Planning*")))</f>
        <v/>
      </c>
      <c r="S452" s="106" t="str">
        <f t="shared" si="27"/>
        <v/>
      </c>
      <c r="T452" s="102" t="str">
        <f t="shared" si="28"/>
        <v/>
      </c>
      <c r="U452" s="102" t="str">
        <f>IF(A452="","",
SUM(
COUNTIFS('QA Log'!D:D,A452,'QA Log'!M:M,"QQC",'QA Log'!L:L,"*8. Maternity*"),
COUNTIFS('QA Log'!D:D,A452,'QA Log'!M:M,"QQC",'QA Log'!L:L,"*9. EPI and Pre-school Consultation*"),
COUNTIFS('QA Log'!D:D,A452,'QA Log'!M:M,"QQC",'QA Log'!L:L,"*10. Antenatal Care (ANC)*"),
COUNTIFS('QA Log'!D:D,A452,'QA Log'!M:M,"QQC",'QA Log'!L:L,"*2. Hygiene and Sterilization*"),
COUNTIFS('QA Log'!D:D,A452,'QA Log'!M:M,"QQC",'QA Log'!L:L,"*4. Family Planning*")
))</f>
        <v/>
      </c>
      <c r="V452" s="102" t="str">
        <f>IF(A452="","",
SUM(
COUNTIFS('QA Log'!D:D,A452,'QA Log'!M:M,"QQC",'QA Log'!Z:Z,"Approved",'QA Log'!L:L,"*8. Maternity*"),
COUNTIFS('QA Log'!D:D,A452,'QA Log'!M:M,"QQC",'QA Log'!Z:Z,"Approved",'QA Log'!L:L,"*9. EPI and Pre-school Consultation*"),
COUNTIFS('QA Log'!D:D,A452,'QA Log'!M:M,"QQC",'QA Log'!Z:Z,"Approved",'QA Log'!L:L,"*10. Antenatal Care (ANC)*"),
COUNTIFS('QA Log'!D:D,A452,'QA Log'!M:M,"QQC",'QA Log'!Z:Z,"Approved",'QA Log'!L:L,"*2. Hygiene and Sterilization*"),
COUNTIFS('QA Log'!D:D,A452,'QA Log'!M:M,"QQC",'QA Log'!Z:Z,"Approved",'QA Log'!L:L,"*4. Family Planning*")
))</f>
        <v/>
      </c>
      <c r="W452" s="102" t="str">
        <f>IF(A452&lt;&gt;"",COUNTIFS('QA Log'!D:D,A452,'QA Log'!M:M,"QQC",'QA Log'!L:L,"8. Maternity",'QA Log'!Z:Z,"Approved"),"")</f>
        <v/>
      </c>
      <c r="X452" s="105" t="str">
        <f>IF(A452&lt;&gt;"",COUNTIFS('QA Log'!D:D,A452,'QA Log'!M:M,"QQC",'QA Log'!L:L,"9. EPI and Pre-school Consultation",'QA Log'!Z:Z,"Approved"),"")</f>
        <v/>
      </c>
      <c r="Y452" s="102" t="str">
        <f>IF(A452&lt;&gt;"",COUNTIFS('QA Log'!D:D,A452,'QA Log'!M:M,"QQC",'QA Log'!L:L,"10. Antenatal Care (ANC)",'QA Log'!Z:Z,"Approved"),"")</f>
        <v/>
      </c>
      <c r="Z452" s="102" t="str">
        <f>IF(A452&lt;&gt;"",COUNTIFS('QA Log'!D:D,A452,'QA Log'!M:M,"QQC",'QA Log'!L:L,"2. Hygiene and Sterilization",'QA Log'!Z:Z,"Approved"),"")</f>
        <v/>
      </c>
      <c r="AA452" s="105" t="str">
        <f>IF(A452&lt;&gt;"",COUNTIFS('QA Log'!D:D,A452,'QA Log'!M:M,"QQC",'QA Log'!L:L,"4. Family Planning",'QA Log'!Z:Z,"Approved"),"")</f>
        <v/>
      </c>
      <c r="AB452" s="102" t="str">
        <f>IF(A452="","",
SUM(
COUNTIFS('QA Log'!D:D,A452,'QA Log'!M:M,"QQC",'QA Log'!Z:Z,"Rejected",'QA Log'!L:L,"*8. Maternity*"),
COUNTIFS('QA Log'!D:D,A452,'QA Log'!M:M,"QQC",'QA Log'!Z:Z,"Rejected",'QA Log'!L:L,"*9. EPI and Pre-school Consultation*"),
COUNTIFS('QA Log'!D:D,A452,'QA Log'!M:M,"QQC",'QA Log'!Z:Z,"Rejected",'QA Log'!L:L,"*10. Antenatal Care (ANC)*"),
COUNTIFS('QA Log'!D:D,A452,'QA Log'!M:M,"QQC",'QA Log'!Z:Z,"Rejected",'QA Log'!L:L,"*2. Hygiene and Sterilization*"),
COUNTIFS('QA Log'!D:D,A452,'QA Log'!M:M,"QQC",'QA Log'!Z:Z,"Rejected",'QA Log'!L:L,"*4. Family Planning*")
))</f>
        <v/>
      </c>
      <c r="AC452" s="102" t="str">
        <f t="shared" si="29"/>
        <v/>
      </c>
      <c r="AD452" s="103" t="str">
        <f t="shared" si="30"/>
        <v/>
      </c>
      <c r="AE452" s="102" t="str">
        <f>IF(A452="","",
SUM(
COUNTIFS('QA Log'!D:D,A452,'QA Log'!M:M,"Data Verification",'QA Log'!L:L,"*Medicine (section 2)*"),
COUNTIFS('QA Log'!D:D,A452,'QA Log'!M:M,"Data Verification",'QA Log'!L:L,"*Lab Testing Availability*"),
COUNTIFS('QA Log'!D:D,A452,'QA Log'!M:M,"Data Verification",'QA Log'!L:L,"*Other than P4P (section 6)*"),
COUNTIFS('QA Log'!D:D,A452,'QA Log'!M:M,"Data Verification",'QA Log'!L:L,"*Hospital Governance*")
))</f>
        <v/>
      </c>
      <c r="AF452" s="102" t="str">
        <f>IF(A452="","",
SUM(
COUNTIFS('QA Log'!D:D,A452,'QA Log'!M:M,"Data Verification",'QA Log'!Z:Z,"Approved",'QA Log'!L:L,"*Medicine (section 2)*"),
COUNTIFS('QA Log'!D:D,A452,'QA Log'!M:M,"Data Verification",'QA Log'!Z:Z,"Approved",'QA Log'!L:L,"*Lab Testing Availability*"),
COUNTIFS('QA Log'!D:D,A452,'QA Log'!M:M,"Data Verification",'QA Log'!Z:Z,"Approved",'QA Log'!L:L,"*Other than P4P (section 6)*"),
COUNTIFS('QA Log'!D:D,A452,'QA Log'!M:M,"Data Verification",'QA Log'!Z:Z,"Approved",'QA Log'!L:L,"*Hospital Governance*")
))</f>
        <v/>
      </c>
      <c r="AG452" s="105" t="str">
        <f>IF(A452&lt;&gt;"",COUNTIFS('QA Log'!D:D,A452,'QA Log'!M:M,"Data Verification",'QA Log'!L:L,"Medicine (section 2)",'QA Log'!Z:Z,"Approved"),"")</f>
        <v/>
      </c>
      <c r="AH452" s="105" t="str">
        <f>IF(A452&lt;&gt;"",COUNTIFS('QA Log'!D:D,A452,'QA Log'!M:M,"Data Verification",'QA Log'!L:L,"Lab Testing Availability",'QA Log'!Z:Z,"Approved"),"")</f>
        <v/>
      </c>
      <c r="AI452" s="105" t="str">
        <f>IF(A452&lt;&gt;"",COUNTIFS('QA Log'!D:D,A452,'QA Log'!M:M,"Data Verification",'QA Log'!L:L,"Other than P4P (section 6)",'QA Log'!Z:Z,"Approved"),"")</f>
        <v/>
      </c>
      <c r="AJ452" s="105" t="str">
        <f>IF(A452&lt;&gt;"",COUNTIFS('QA Log'!D:D,A452,'QA Log'!M:M,"Data Verification",'QA Log'!L:L,"Hospital Governance",'QA Log'!Z:Z,"Approved"),"")</f>
        <v/>
      </c>
      <c r="AK452" s="102" t="str">
        <f>IF(A452="","",
SUM(
COUNTIFS('QA Log'!D:D,A452,'QA Log'!M:M,"Data Verification",'QA Log'!Z:Z,"Rejected",'QA Log'!L:L,"*Medicine (section 2)*"),
COUNTIFS('QA Log'!D:D,A452,'QA Log'!M:M,"Data Verification",'QA Log'!Z:Z,"Rejected",'QA Log'!L:L,"*Lab Testing Availability*"),
COUNTIFS('QA Log'!D:D,A452,'QA Log'!M:M,"Data Verification",'QA Log'!Z:Z,"Rejected",'QA Log'!L:L,"*Other than P4P (section 6)*"),
COUNTIFS('QA Log'!D:D,A452,'QA Log'!M:M,"Data Verification",'QA Log'!Z:Z,"Rejected",'QA Log'!L:L,"*Hospital Governance*")
))</f>
        <v/>
      </c>
      <c r="AL452" s="106" t="str">
        <f t="shared" si="31"/>
        <v/>
      </c>
      <c r="AM452" s="102" t="str">
        <f t="shared" si="32"/>
        <v/>
      </c>
      <c r="AN452" s="102" t="str">
        <f>IF(A452="","",
SUM(
COUNTIFS('QA Log'!D:D,A452,'QA Log'!M:M,"Data Verification",'QA Log'!L:L,"*Personnel (section 1)*"),
COUNTIFS('QA Log'!D:D,A452,'QA Log'!M:M,"Data Verification",'QA Log'!L:L,"*Consumable (section 3)*"),
COUNTIFS('QA Log'!D:D,A452,'QA Log'!M:M,"Data Verification",'QA Log'!L:L,"*Equipments (section 4)*")
))</f>
        <v/>
      </c>
      <c r="AO452" s="102" t="str">
        <f>IF(A452="","",
SUM(
COUNTIFS('QA Log'!D:D,A452,'QA Log'!M:M,"Data Verification",'QA Log'!Z:Z,"Approved",'QA Log'!L:L,"*Personnel (section 1)*"),
COUNTIFS('QA Log'!D:D,A452,'QA Log'!M:M,"Data Verification",'QA Log'!Z:Z,"Approved",'QA Log'!L:L,"*Consumable (section 3)*"),
COUNTIFS('QA Log'!D:D,A452,'QA Log'!M:M,"Data Verification",'QA Log'!Z:Z,"Approved",'QA Log'!L:L,"*Equipments (section 4)*")
))</f>
        <v/>
      </c>
      <c r="AP452" s="105" t="str">
        <f>IF(A452&lt;&gt;"",COUNTIFS('QA Log'!D:D,A452,'QA Log'!M:M,"Data Verification",'QA Log'!L:L,"Personnel (section 1)",'QA Log'!Z:Z,"Approved"),"")</f>
        <v/>
      </c>
      <c r="AQ452" s="105" t="str">
        <f>IF(A452&lt;&gt;"",COUNTIFS('QA Log'!D:D,A452,'QA Log'!M:M,"Data Verification",'QA Log'!L:L,"Consumable (section 3)",'QA Log'!Z:Z,"Approved"),"")</f>
        <v/>
      </c>
      <c r="AR452" s="105" t="str">
        <f>IF(A452&lt;&gt;"",COUNTIFS('QA Log'!D:D,A452,'QA Log'!M:M,"Data Verification",'QA Log'!L:L,"Equipments (section 4)",'QA Log'!Z:Z,"Approved"),"")</f>
        <v/>
      </c>
      <c r="AS452" s="102" t="str">
        <f>IF(A452="","",
SUM(
COUNTIFS('QA Log'!D:D,A452,'QA Log'!M:M,"Data Verification",'QA Log'!Z:Z,"Rejected",'QA Log'!L:L,"*Personnel (section 1)*"),
COUNTIFS('QA Log'!D:D,A452,'QA Log'!M:M,"Data Verification",'QA Log'!Z:Z,"Rejected",'QA Log'!L:L,"*Consumable (section 3)*"),
COUNTIFS('QA Log'!D:D,A452,'QA Log'!M:M,"Data Verification",'QA Log'!Z:Z,"Rejected",'QA Log'!L:L,"*Equipments (section 4)*")
))</f>
        <v/>
      </c>
      <c r="AT452" s="102" t="str">
        <f t="shared" si="33"/>
        <v/>
      </c>
      <c r="AU452" s="103" t="str">
        <f t="shared" si="34"/>
        <v/>
      </c>
      <c r="AV452" s="102" t="str">
        <f>IF(A452="","",SUM(
COUNTIFS('QA Log'!D:D,A452,'QA Log'!M:M,"Vignette",'QA Log'!L:L,"*Vignette [1] Respiratory Infection: Pneumonia*"),
COUNTIFS('QA Log'!D:D,A452,'QA Log'!M:M,"Vignette",'QA Log'!L:L,"*Vignette [2]: Diarrhea with Cat B dehydration*"),
COUNTIFS('QA Log'!D:D,A452,'QA Log'!M:M,"Vignette",'QA Log'!L:L,"*Vignette [3] Growth Monitoring and Promotion*"),
COUNTIFS('QA Log'!D:D,A452,'QA Log'!M:M,"Vignette",'QA Log'!L:L,"*Vignette [4]: The management of presumptive TB patient*")
)
)</f>
        <v/>
      </c>
      <c r="AW452" s="102" t="str">
        <f>IF(
  A452="","",
  SUM(
    COUNTIFS('QA Log'!D:D,A452,'QA Log'!M:M,"Vignette",'QA Log'!Z:Z,"Approved",'QA Log'!L:L,"*Vignette [1] Respiratory Infection: Pneumonia*"),
    COUNTIFS('QA Log'!D:D,A452,'QA Log'!M:M,"Vignette",'QA Log'!Z:Z,"Approved",'QA Log'!L:L,"*Vignette [2]: Diarrhea with Cat B dehydration*"),
    COUNTIFS('QA Log'!D:D,A452,'QA Log'!M:M,"Vignette",'QA Log'!Z:Z,"Approved",'QA Log'!L:L,"*Vignette [3] Growth Monitoring and Promotion*"),
    COUNTIFS('QA Log'!D:D,A452,'QA Log'!M:M,"Vignette",'QA Log'!Z:Z,"Approved",'QA Log'!L:L,"*Vignette [4]: The management of presumptive TB patient*")
  )
)</f>
        <v/>
      </c>
      <c r="AX452" s="105" t="str">
        <f>IF(A452&lt;&gt;"",COUNTIFS('QA Log'!D:D,A452,'QA Log'!M:M,"Vignette",'QA Log'!L:L,"Vignette [1] Respiratory Infection: Pneumonia",'QA Log'!Z:Z,"Approved"),"")</f>
        <v/>
      </c>
      <c r="AY452" s="105" t="str">
        <f>IF(A452&lt;&gt;"",COUNTIFS('QA Log'!D:D,A452,'QA Log'!M:M,"Vignette",'QA Log'!L:L,"Vignette [2]: Diarrhea with Cat B dehydration",'QA Log'!Z:Z,"Approved"),"")</f>
        <v/>
      </c>
      <c r="AZ452" s="105" t="str">
        <f>IF(A452&lt;&gt;"",COUNTIFS('QA Log'!D:D,A452,'QA Log'!M:M,"Vignette",'QA Log'!L:L,"Vignette [3] Growth Monitoring and Promotion",'QA Log'!Z:Z,"Approved"),"")</f>
        <v/>
      </c>
      <c r="BA452" s="105" t="str">
        <f>IF(A452&lt;&gt;"",COUNTIFS('QA Log'!D:D,A452,'QA Log'!M:M,"Vignette",'QA Log'!L:L,"Vignette [4]: The management of presumptive TB patient",'QA Log'!Z:Z,"Approved"),"")</f>
        <v/>
      </c>
      <c r="BB452" s="102" t="str">
        <f>IF(A452="","",
  SUM(
    COUNTIFS('QA Log'!D:D,A452,'QA Log'!M:M,"Vignette",'QA Log'!Z:Z,"Rejected",'QA Log'!L:L,"*Vignette [1] Respiratory Infection: Pneumonia*"),
    COUNTIFS('QA Log'!D:D,A452,'QA Log'!M:M,"Vignette",'QA Log'!Z:Z,"Rejected",'QA Log'!L:L,"*Vignette [2]: Diarrhea with Cat B dehydration*"),
    COUNTIFS('QA Log'!D:D,A452,'QA Log'!M:M,"Vignette",'QA Log'!Z:Z,"Rejected",'QA Log'!L:L,"*Vignette [3] Growth Monitoring and Promotion*"),
    COUNTIFS('QA Log'!D:D,A452,'QA Log'!M:M,"Vignette",'QA Log'!Z:Z,"Rejected",'QA Log'!L:L,"*Vignette [4]: The management of presumptive TB patient*")
  )
)</f>
        <v/>
      </c>
      <c r="BC452" s="107" t="str">
        <f t="shared" si="35"/>
        <v/>
      </c>
      <c r="BD452" s="103" t="str">
        <f t="shared" si="36"/>
        <v/>
      </c>
      <c r="BE452" s="102" t="str">
        <f>IF(A452="","",SUM(
COUNTIFS('QA Log'!D:D,A452,'QA Log'!M:M,"Vignette",'QA Log'!L:L,"*Vignette [5] Labor*"),
COUNTIFS('QA Log'!D:D,A452,'QA Log'!M:M,"Vignette",'QA Log'!L:L,"*Vignette [6] PNC pre Discharge*"),
COUNTIFS('QA Log'!D:D,A452,'QA Log'!M:M,"Vignette",'QA Log'!L:L,"*Vignette [7] First ANC Visit*"),
COUNTIFS('QA Log'!D:D,A452,'QA Log'!M:M,"Vignette",'QA Log'!L:L,"*Vignette [8] Birth Spacing/ Family Planning :  FP Counselling*"),
COUNTIFS('QA Log'!D:D,A452,'QA Log'!M:M,"Vignette",'QA Log'!L:L,"*Vignette [9] Birth Spacing: Change FP method to Injectable*"),
COUNTIFS('QA Log'!D:D,A452,'QA Log'!M:M,"Vignette",'QA Log'!L:L,"*Vignette [10] Post Partum Haemorrhage - Atonic Uterus at Health Centre*"),
)
)</f>
        <v/>
      </c>
      <c r="BF452" s="102" t="str">
        <f>IF(A452="","",
  SUM(
    COUNTIFS('QA Log'!D:D,A452,'QA Log'!M:M,"Vignette",'QA Log'!Z:Z,"Approved",'QA Log'!L:L,"*Vignette [5] Labor*"),
    COUNTIFS('QA Log'!D:D,A452,'QA Log'!M:M,"Vignette",'QA Log'!Z:Z,"Approved",'QA Log'!L:L,"*Vignette [6] PNC pre Discharge*"),
    COUNTIFS('QA Log'!D:D,A452,'QA Log'!M:M,"Vignette",'QA Log'!Z:Z,"Approved",'QA Log'!L:L,"*Vignette [7] First ANC Visit*"),
    COUNTIFS('QA Log'!D:D,A452,'QA Log'!M:M,"Vignette",'QA Log'!Z:Z,"Approved",'QA Log'!L:L,"*Vignette [8] Birth Spacing/ Family Planning :  FP Counselling*"),
    COUNTIFS('QA Log'!D:D,A452,'QA Log'!M:M,"Vignette",'QA Log'!Z:Z,"Approved",'QA Log'!L:L,"*Vignette [9] Birth Spacing: Change FP method to Injectable*"),
    COUNTIFS('QA Log'!D:D,A452,'QA Log'!M:M,"Vignette",'QA Log'!Z:Z,"Approved",'QA Log'!L:L,"*Vignette [10] Post Partum Haemorrhage - Atonic Uterus at Health Centre*")
  )
)</f>
        <v/>
      </c>
      <c r="BG452" s="105" t="str">
        <f>IF(A452&lt;&gt;"",COUNTIFS('QA Log'!D:D,A452,'QA Log'!M:M,"Vignette",'QA Log'!L:L,"Vignette [5] Labor",'QA Log'!Z:Z,"Approved"),"")</f>
        <v/>
      </c>
      <c r="BH452" s="105" t="str">
        <f>IF(A452&lt;&gt;"",COUNTIFS('QA Log'!D:D,A452,'QA Log'!M:M,"Vignette",'QA Log'!L:L,"Vignette [6] PNC pre Discharge",'QA Log'!Z:Z,"Approved"),"")</f>
        <v/>
      </c>
      <c r="BI452" s="105" t="str">
        <f>IF(A452&lt;&gt;"",COUNTIFS('QA Log'!D:D,A452,'QA Log'!M:M,"Vignette",'QA Log'!L:L,"Vignette [7] First ANC Visit",'QA Log'!Z:Z,"Approved"),"")</f>
        <v/>
      </c>
      <c r="BJ452" s="105" t="str">
        <f>IF(A452&lt;&gt;"",COUNTIFS('QA Log'!D:D,A452,'QA Log'!M:M,"Vignette",'QA Log'!L:L,"Vignette [8] Birth Spacing/ Family Planning :  FP Counselling",'QA Log'!Z:Z,"Approved"),"")</f>
        <v/>
      </c>
      <c r="BK452" s="105" t="str">
        <f>IF(A452&lt;&gt;"",COUNTIFS('QA Log'!D:D,A452,'QA Log'!M:M,"Vignette",'QA Log'!L:L,"Vignette [9] Birth Spacing: Change FP method to Injectable",'QA Log'!Z:Z,"Approved"),"")</f>
        <v/>
      </c>
      <c r="BL452" s="105" t="str">
        <f>IF(A452&lt;&gt;"",COUNTIFS('QA Log'!D:D,A452,'QA Log'!M:M,"Vignette",'QA Log'!L:L,"Vignette [10] Post Partum Haemorrhage - Atonic Uterus at Health Centre",'QA Log'!Z:Z,"Approved"),"")</f>
        <v/>
      </c>
      <c r="BM452" s="102" t="str">
        <f>IF(A452="","",SUM(
    COUNTIFS('QA Log'!D:D,A452,'QA Log'!M:M,"Vignette",'QA Log'!Z:Z,"Rejected",'QA Log'!L:L,"*Vignette [5] Labor*"),
    COUNTIFS('QA Log'!D:D,A452,'QA Log'!M:M,"Vignette",'QA Log'!Z:Z,"Rejected",'QA Log'!L:L,"*Vignette [6] PNC pre Discharge*"),
    COUNTIFS('QA Log'!D:D,A452,'QA Log'!M:M,"Vignette",'QA Log'!Z:Z,"Rejected",'QA Log'!L:L,"*Vignette [7] First ANC Visit*"),
    COUNTIFS('QA Log'!D:D,A452,'QA Log'!M:M,"Vignette",'QA Log'!Z:Z,"Rejected",'QA Log'!L:L,"*Vignette [8] Birth Spacing/ Family Planning :  FP Counselling*"),
    COUNTIFS('QA Log'!D:D,A452,'QA Log'!M:M,"Vignette",'QA Log'!Z:Z,"Rejected",'QA Log'!L:L,"*Vignette [9] Birth Spacing: Change FP method to Injectable*"),
    COUNTIFS('QA Log'!D:D,A452,'QA Log'!M:M,"Vignette",'QA Log'!Z:Z,"Rejected",'QA Log'!L:L,"*Vignette [10] Post Partum Haemorrhage - Atonic Uterus at Health Centre*")
  )
)</f>
        <v/>
      </c>
      <c r="BN452" s="107" t="str">
        <f t="shared" si="37"/>
        <v/>
      </c>
      <c r="BO452" s="103" t="str">
        <f t="shared" si="38"/>
        <v/>
      </c>
      <c r="BP452" s="102" t="str">
        <f>IF(A452="","",SUM(
COUNTIFS('QA Log'!D:D,A452,'QA Log'!M:M,"Vignette",'QA Log'!L:L,"*Exit Interview 1*"),
COUNTIFS('QA Log'!D:D,A452,'QA Log'!M:M,"Vignette",'QA Log'!L:L,"*Exit Interview 2*"),
)
)</f>
        <v/>
      </c>
      <c r="BQ452" s="102" t="str">
        <f>IF(
  A452="","",
  SUM(
    COUNTIFS('QA Log'!D:D,A452,'QA Log'!M:M,"Vignette",'QA Log'!Z:Z,"Approved",'QA Log'!L:L,"*Exit Interview 1*"),
    COUNTIFS('QA Log'!D:D,A452,'QA Log'!M:M,"Vignette",'QA Log'!Z:Z,"Approved",'QA Log'!L:L,"*Exit Interview 2*")
  )
)</f>
        <v/>
      </c>
      <c r="BR452" s="105" t="str">
        <f>IF(A452&lt;&gt;"",COUNTIFS('QA Log'!D:D,A452,'QA Log'!M:M,"Vignette",'QA Log'!L:L,"Exit Interview 1",'QA Log'!Z:Z,"Approved"),"")</f>
        <v/>
      </c>
      <c r="BS452" s="105" t="str">
        <f>IF(A452&lt;&gt;"",COUNTIFS('QA Log'!D:D,A452,'QA Log'!M:M,"Vignette",'QA Log'!L:L,"Exit Interview 2",'QA Log'!Z:Z,"Approved"),"")</f>
        <v/>
      </c>
      <c r="BT452" s="102" t="str">
        <f>IF(
  A452="","",
  SUM(
    COUNTIFS('QA Log'!D:D,A452,'QA Log'!M:M,"Vignette",'QA Log'!Z:Z,"Rejected",'QA Log'!L:L,"*Exit Interview 1*"),
    COUNTIFS('QA Log'!D:D,A452,'QA Log'!M:M,"Vignette",'QA Log'!Z:Z,"Rejected",'QA Log'!L:L,"*Exit Interview 2*")
  )
)</f>
        <v/>
      </c>
      <c r="BU452" s="107" t="str">
        <f t="shared" si="39"/>
        <v/>
      </c>
      <c r="BV452" s="102" t="str">
        <f t="shared" si="40"/>
        <v/>
      </c>
      <c r="BW452" s="102" t="str">
        <f t="shared" si="41"/>
        <v/>
      </c>
      <c r="BX452" s="102" t="str">
        <f t="shared" si="42"/>
        <v/>
      </c>
      <c r="BY452" s="102" t="str">
        <f t="shared" si="43"/>
        <v/>
      </c>
      <c r="BZ452" s="107" t="str">
        <f t="shared" si="44"/>
        <v/>
      </c>
      <c r="CA452" s="108" t="str">
        <f t="shared" si="45"/>
        <v/>
      </c>
      <c r="CB452" s="108" t="str">
        <f t="shared" si="46"/>
        <v/>
      </c>
      <c r="CC452" s="109" t="str">
        <f t="shared" si="47"/>
        <v/>
      </c>
      <c r="CD452" s="108" t="str">
        <f t="shared" si="48"/>
        <v/>
      </c>
      <c r="CE452" s="108" t="str">
        <f t="shared" si="49"/>
        <v/>
      </c>
      <c r="CF452" s="109" t="str">
        <f t="shared" si="50"/>
        <v/>
      </c>
      <c r="CG452" s="110" t="str">
        <f t="shared" si="51"/>
        <v/>
      </c>
      <c r="CH452" s="111"/>
    </row>
    <row r="453" spans="1:86" ht="12.75">
      <c r="A453" s="101"/>
      <c r="B453" s="102" t="e">
        <f t="array" aca="1" ref="B453" ca="1">_xludf.XLOOKUP(A453,'QA Log'!D:D,'QA Log'!E:E,"")</f>
        <v>#NAME?</v>
      </c>
      <c r="C453" s="102" t="e">
        <f t="array" aca="1" ref="C453" ca="1">_xludf.XLOOKUP(A453,'QA Log'!D:D,'QA Log'!F:F,"")</f>
        <v>#NAME?</v>
      </c>
      <c r="D453" s="102" t="e">
        <f t="array" aca="1" ref="D453" ca="1">_xludf.XLOOKUP(A453,'QA Log'!D:D,'QA Log'!H:H,"")</f>
        <v>#NAME?</v>
      </c>
      <c r="E453" s="102" t="e">
        <f t="array" aca="1" ref="E453" ca="1">_xludf.XLOOKUP(A453,'QA Log'!D:D,'QA Log'!G:G,"")</f>
        <v>#NAME?</v>
      </c>
      <c r="F453" s="103"/>
      <c r="G453" s="104"/>
      <c r="H453" s="104"/>
      <c r="I453" s="103" t="str">
        <f t="shared" si="26"/>
        <v/>
      </c>
      <c r="J453" s="102" t="str">
        <f>IF(A453="","",SUM(
COUNTIFS('QA Log'!D:D,A453,'QA Log'!M:M,"QQC",'QA Log'!L:L,"*1. General Management*"),
COUNTIFS('QA Log'!D:D,A453,'QA Log'!M:M,"QQC",'QA Log'!L:L,"*3. Curative Consultation (OPD)*"),
COUNTIFS('QA Log'!D:D,A453,'QA Log'!M:M,"QQC",'QA Log'!L:L,"*5. Laboratory*"),
COUNTIFS('QA Log'!D:D,A453,'QA Log'!M:M,"QQC",'QA Log'!L:L,"*6. Essential Medicine Management*"),
COUNTIFS('QA Log'!D:D,A453,'QA Log'!M:M,"QQC",'QA Log'!L:L,"*7. Tracer Medicine*"),
COUNTIFS('QA Log'!D:D,A453,'QA Log'!M:M,"QQC",'QA Log'!L:L,"*11. Additional Questions*")))</f>
        <v/>
      </c>
      <c r="K453" s="102" t="str">
        <f>IF(A453="","",SUM(
COUNTIFS('QA Log'!D:D,A453,'QA Log'!M:M,"QQC",'QA Log'!Z:Z,"Approved",'QA Log'!L:L,"*1. General Management*"),
COUNTIFS('QA Log'!D:D,A453,'QA Log'!M:M,"QQC",'QA Log'!Z:Z,"Approved",'QA Log'!L:L,"*3. Curative Consultation (OPD)*"),
COUNTIFS('QA Log'!D:D,A453,'QA Log'!M:M,"QQC",'QA Log'!Z:Z,"Approved",'QA Log'!L:L,"*5. Laboratory*"),
COUNTIFS('QA Log'!D:D,A453,'QA Log'!M:M,"QQC",'QA Log'!Z:Z,"Approved",'QA Log'!L:L,"*6. Essential Medicine Management*"),
COUNTIFS('QA Log'!D:D,A453,'QA Log'!M:M,"QQC",'QA Log'!Z:Z,"Approved",'QA Log'!L:L,"*7. Tracer Medicine*"),
COUNTIFS('QA Log'!D:D,A453,'QA Log'!M:M,"QQC",'QA Log'!Z:Z,"Approved",'QA Log'!L:L,"*11. Additional Questions*")))</f>
        <v/>
      </c>
      <c r="L453" s="102" t="str">
        <f>IF(A453&lt;&gt;"",COUNTIFS('QA Log'!D:D,A453,'QA Log'!M:M,"QQC",'QA Log'!L:L,"1. General Management",'QA Log'!Z:Z,"Approved"),"")</f>
        <v/>
      </c>
      <c r="M453" s="102" t="str">
        <f>IF(A453&lt;&gt;"",COUNTIFS('QA Log'!D:D,A453,'QA Log'!M:M,"QQC",'QA Log'!L:L,"3. Curative Consultation (OPD)",'QA Log'!Z:Z,"Approved"),"")</f>
        <v/>
      </c>
      <c r="N453" s="102" t="str">
        <f>IF(A453&lt;&gt;"",COUNTIFS('QA Log'!D:D,A453,'QA Log'!M:M,"QQC",'QA Log'!L:L,"5. Laboratory",'QA Log'!Z:Z,"Approved"),"")</f>
        <v/>
      </c>
      <c r="O453" s="102" t="str">
        <f>IF(A453&lt;&gt;"",COUNTIFS('QA Log'!D:D,A453,'QA Log'!M:M,"QQC",'QA Log'!L:L,"6. Essential Medicine Management",'QA Log'!Z:Z,"Approved"),"")</f>
        <v/>
      </c>
      <c r="P453" s="102" t="str">
        <f>IF(A453&lt;&gt;"",COUNTIFS('QA Log'!D:D,A453,'QA Log'!M:M,"QQC",'QA Log'!L:L,"7. Tracer Medicine",'QA Log'!Z:Z,"Approved"),"")</f>
        <v/>
      </c>
      <c r="Q453" s="102" t="str">
        <f>IF(A453&lt;&gt;"",COUNTIFS('QA Log'!D:D,A453,'QA Log'!M:M,"QQC",'QA Log'!L:L,"11. Additional Questions",'QA Log'!Z:Z,"Approved"),"")</f>
        <v/>
      </c>
      <c r="R453" s="102" t="str">
        <f>IF(A453="","",SUM(
COUNTIFS('QA Log'!D:D,A453,'QA Log'!M:M,"QQC",'QA Log'!Z:Z,"Rejected",'QA Log'!L:L,"*8. Maternity*"),
COUNTIFS('QA Log'!D:D,A453,'QA Log'!M:M,"QQC",'QA Log'!Z:Z,"Rejected",'QA Log'!L:L,"*EPI*"),
COUNTIFS('QA Log'!D:D,A453,'QA Log'!M:M,"QQC",'QA Log'!Z:Z,"Rejected",'QA Log'!L:L,"*10. Antenatal Care (ANC)*"),
COUNTIFS('QA Log'!D:D,A453,'QA Log'!M:M,"QQC",'QA Log'!Z:Z,"Rejected",'QA Log'!L:L,"*2. Hygiene and Sterilization*"),
COUNTIFS('QA Log'!D:D,A453,'QA Log'!M:M,"QQC",'QA Log'!Z:Z,"Rejected",'QA Log'!L:L,"*Family Planning*")))</f>
        <v/>
      </c>
      <c r="S453" s="106" t="str">
        <f t="shared" si="27"/>
        <v/>
      </c>
      <c r="T453" s="102" t="str">
        <f t="shared" si="28"/>
        <v/>
      </c>
      <c r="U453" s="102" t="str">
        <f>IF(A453="","",
SUM(
COUNTIFS('QA Log'!D:D,A453,'QA Log'!M:M,"QQC",'QA Log'!L:L,"*8. Maternity*"),
COUNTIFS('QA Log'!D:D,A453,'QA Log'!M:M,"QQC",'QA Log'!L:L,"*9. EPI and Pre-school Consultation*"),
COUNTIFS('QA Log'!D:D,A453,'QA Log'!M:M,"QQC",'QA Log'!L:L,"*10. Antenatal Care (ANC)*"),
COUNTIFS('QA Log'!D:D,A453,'QA Log'!M:M,"QQC",'QA Log'!L:L,"*2. Hygiene and Sterilization*"),
COUNTIFS('QA Log'!D:D,A453,'QA Log'!M:M,"QQC",'QA Log'!L:L,"*4. Family Planning*")
))</f>
        <v/>
      </c>
      <c r="V453" s="102" t="str">
        <f>IF(A453="","",
SUM(
COUNTIFS('QA Log'!D:D,A453,'QA Log'!M:M,"QQC",'QA Log'!Z:Z,"Approved",'QA Log'!L:L,"*8. Maternity*"),
COUNTIFS('QA Log'!D:D,A453,'QA Log'!M:M,"QQC",'QA Log'!Z:Z,"Approved",'QA Log'!L:L,"*9. EPI and Pre-school Consultation*"),
COUNTIFS('QA Log'!D:D,A453,'QA Log'!M:M,"QQC",'QA Log'!Z:Z,"Approved",'QA Log'!L:L,"*10. Antenatal Care (ANC)*"),
COUNTIFS('QA Log'!D:D,A453,'QA Log'!M:M,"QQC",'QA Log'!Z:Z,"Approved",'QA Log'!L:L,"*2. Hygiene and Sterilization*"),
COUNTIFS('QA Log'!D:D,A453,'QA Log'!M:M,"QQC",'QA Log'!Z:Z,"Approved",'QA Log'!L:L,"*4. Family Planning*")
))</f>
        <v/>
      </c>
      <c r="W453" s="102" t="str">
        <f>IF(A453&lt;&gt;"",COUNTIFS('QA Log'!D:D,A453,'QA Log'!M:M,"QQC",'QA Log'!L:L,"8. Maternity",'QA Log'!Z:Z,"Approved"),"")</f>
        <v/>
      </c>
      <c r="X453" s="105" t="str">
        <f>IF(A453&lt;&gt;"",COUNTIFS('QA Log'!D:D,A453,'QA Log'!M:M,"QQC",'QA Log'!L:L,"9. EPI and Pre-school Consultation",'QA Log'!Z:Z,"Approved"),"")</f>
        <v/>
      </c>
      <c r="Y453" s="102" t="str">
        <f>IF(A453&lt;&gt;"",COUNTIFS('QA Log'!D:D,A453,'QA Log'!M:M,"QQC",'QA Log'!L:L,"10. Antenatal Care (ANC)",'QA Log'!Z:Z,"Approved"),"")</f>
        <v/>
      </c>
      <c r="Z453" s="102" t="str">
        <f>IF(A453&lt;&gt;"",COUNTIFS('QA Log'!D:D,A453,'QA Log'!M:M,"QQC",'QA Log'!L:L,"2. Hygiene and Sterilization",'QA Log'!Z:Z,"Approved"),"")</f>
        <v/>
      </c>
      <c r="AA453" s="105" t="str">
        <f>IF(A453&lt;&gt;"",COUNTIFS('QA Log'!D:D,A453,'QA Log'!M:M,"QQC",'QA Log'!L:L,"4. Family Planning",'QA Log'!Z:Z,"Approved"),"")</f>
        <v/>
      </c>
      <c r="AB453" s="102" t="str">
        <f>IF(A453="","",
SUM(
COUNTIFS('QA Log'!D:D,A453,'QA Log'!M:M,"QQC",'QA Log'!Z:Z,"Rejected",'QA Log'!L:L,"*8. Maternity*"),
COUNTIFS('QA Log'!D:D,A453,'QA Log'!M:M,"QQC",'QA Log'!Z:Z,"Rejected",'QA Log'!L:L,"*9. EPI and Pre-school Consultation*"),
COUNTIFS('QA Log'!D:D,A453,'QA Log'!M:M,"QQC",'QA Log'!Z:Z,"Rejected",'QA Log'!L:L,"*10. Antenatal Care (ANC)*"),
COUNTIFS('QA Log'!D:D,A453,'QA Log'!M:M,"QQC",'QA Log'!Z:Z,"Rejected",'QA Log'!L:L,"*2. Hygiene and Sterilization*"),
COUNTIFS('QA Log'!D:D,A453,'QA Log'!M:M,"QQC",'QA Log'!Z:Z,"Rejected",'QA Log'!L:L,"*4. Family Planning*")
))</f>
        <v/>
      </c>
      <c r="AC453" s="102" t="str">
        <f t="shared" si="29"/>
        <v/>
      </c>
      <c r="AD453" s="103" t="str">
        <f t="shared" si="30"/>
        <v/>
      </c>
      <c r="AE453" s="102" t="str">
        <f>IF(A453="","",
SUM(
COUNTIFS('QA Log'!D:D,A453,'QA Log'!M:M,"Data Verification",'QA Log'!L:L,"*Medicine (section 2)*"),
COUNTIFS('QA Log'!D:D,A453,'QA Log'!M:M,"Data Verification",'QA Log'!L:L,"*Lab Testing Availability*"),
COUNTIFS('QA Log'!D:D,A453,'QA Log'!M:M,"Data Verification",'QA Log'!L:L,"*Other than P4P (section 6)*"),
COUNTIFS('QA Log'!D:D,A453,'QA Log'!M:M,"Data Verification",'QA Log'!L:L,"*Hospital Governance*")
))</f>
        <v/>
      </c>
      <c r="AF453" s="102" t="str">
        <f>IF(A453="","",
SUM(
COUNTIFS('QA Log'!D:D,A453,'QA Log'!M:M,"Data Verification",'QA Log'!Z:Z,"Approved",'QA Log'!L:L,"*Medicine (section 2)*"),
COUNTIFS('QA Log'!D:D,A453,'QA Log'!M:M,"Data Verification",'QA Log'!Z:Z,"Approved",'QA Log'!L:L,"*Lab Testing Availability*"),
COUNTIFS('QA Log'!D:D,A453,'QA Log'!M:M,"Data Verification",'QA Log'!Z:Z,"Approved",'QA Log'!L:L,"*Other than P4P (section 6)*"),
COUNTIFS('QA Log'!D:D,A453,'QA Log'!M:M,"Data Verification",'QA Log'!Z:Z,"Approved",'QA Log'!L:L,"*Hospital Governance*")
))</f>
        <v/>
      </c>
      <c r="AG453" s="105" t="str">
        <f>IF(A453&lt;&gt;"",COUNTIFS('QA Log'!D:D,A453,'QA Log'!M:M,"Data Verification",'QA Log'!L:L,"Medicine (section 2)",'QA Log'!Z:Z,"Approved"),"")</f>
        <v/>
      </c>
      <c r="AH453" s="105" t="str">
        <f>IF(A453&lt;&gt;"",COUNTIFS('QA Log'!D:D,A453,'QA Log'!M:M,"Data Verification",'QA Log'!L:L,"Lab Testing Availability",'QA Log'!Z:Z,"Approved"),"")</f>
        <v/>
      </c>
      <c r="AI453" s="105" t="str">
        <f>IF(A453&lt;&gt;"",COUNTIFS('QA Log'!D:D,A453,'QA Log'!M:M,"Data Verification",'QA Log'!L:L,"Other than P4P (section 6)",'QA Log'!Z:Z,"Approved"),"")</f>
        <v/>
      </c>
      <c r="AJ453" s="105" t="str">
        <f>IF(A453&lt;&gt;"",COUNTIFS('QA Log'!D:D,A453,'QA Log'!M:M,"Data Verification",'QA Log'!L:L,"Hospital Governance",'QA Log'!Z:Z,"Approved"),"")</f>
        <v/>
      </c>
      <c r="AK453" s="102" t="str">
        <f>IF(A453="","",
SUM(
COUNTIFS('QA Log'!D:D,A453,'QA Log'!M:M,"Data Verification",'QA Log'!Z:Z,"Rejected",'QA Log'!L:L,"*Medicine (section 2)*"),
COUNTIFS('QA Log'!D:D,A453,'QA Log'!M:M,"Data Verification",'QA Log'!Z:Z,"Rejected",'QA Log'!L:L,"*Lab Testing Availability*"),
COUNTIFS('QA Log'!D:D,A453,'QA Log'!M:M,"Data Verification",'QA Log'!Z:Z,"Rejected",'QA Log'!L:L,"*Other than P4P (section 6)*"),
COUNTIFS('QA Log'!D:D,A453,'QA Log'!M:M,"Data Verification",'QA Log'!Z:Z,"Rejected",'QA Log'!L:L,"*Hospital Governance*")
))</f>
        <v/>
      </c>
      <c r="AL453" s="106" t="str">
        <f t="shared" si="31"/>
        <v/>
      </c>
      <c r="AM453" s="102" t="str">
        <f t="shared" si="32"/>
        <v/>
      </c>
      <c r="AN453" s="102" t="str">
        <f>IF(A453="","",
SUM(
COUNTIFS('QA Log'!D:D,A453,'QA Log'!M:M,"Data Verification",'QA Log'!L:L,"*Personnel (section 1)*"),
COUNTIFS('QA Log'!D:D,A453,'QA Log'!M:M,"Data Verification",'QA Log'!L:L,"*Consumable (section 3)*"),
COUNTIFS('QA Log'!D:D,A453,'QA Log'!M:M,"Data Verification",'QA Log'!L:L,"*Equipments (section 4)*")
))</f>
        <v/>
      </c>
      <c r="AO453" s="102" t="str">
        <f>IF(A453="","",
SUM(
COUNTIFS('QA Log'!D:D,A453,'QA Log'!M:M,"Data Verification",'QA Log'!Z:Z,"Approved",'QA Log'!L:L,"*Personnel (section 1)*"),
COUNTIFS('QA Log'!D:D,A453,'QA Log'!M:M,"Data Verification",'QA Log'!Z:Z,"Approved",'QA Log'!L:L,"*Consumable (section 3)*"),
COUNTIFS('QA Log'!D:D,A453,'QA Log'!M:M,"Data Verification",'QA Log'!Z:Z,"Approved",'QA Log'!L:L,"*Equipments (section 4)*")
))</f>
        <v/>
      </c>
      <c r="AP453" s="105" t="str">
        <f>IF(A453&lt;&gt;"",COUNTIFS('QA Log'!D:D,A453,'QA Log'!M:M,"Data Verification",'QA Log'!L:L,"Personnel (section 1)",'QA Log'!Z:Z,"Approved"),"")</f>
        <v/>
      </c>
      <c r="AQ453" s="105" t="str">
        <f>IF(A453&lt;&gt;"",COUNTIFS('QA Log'!D:D,A453,'QA Log'!M:M,"Data Verification",'QA Log'!L:L,"Consumable (section 3)",'QA Log'!Z:Z,"Approved"),"")</f>
        <v/>
      </c>
      <c r="AR453" s="105" t="str">
        <f>IF(A453&lt;&gt;"",COUNTIFS('QA Log'!D:D,A453,'QA Log'!M:M,"Data Verification",'QA Log'!L:L,"Equipments (section 4)",'QA Log'!Z:Z,"Approved"),"")</f>
        <v/>
      </c>
      <c r="AS453" s="102" t="str">
        <f>IF(A453="","",
SUM(
COUNTIFS('QA Log'!D:D,A453,'QA Log'!M:M,"Data Verification",'QA Log'!Z:Z,"Rejected",'QA Log'!L:L,"*Personnel (section 1)*"),
COUNTIFS('QA Log'!D:D,A453,'QA Log'!M:M,"Data Verification",'QA Log'!Z:Z,"Rejected",'QA Log'!L:L,"*Consumable (section 3)*"),
COUNTIFS('QA Log'!D:D,A453,'QA Log'!M:M,"Data Verification",'QA Log'!Z:Z,"Rejected",'QA Log'!L:L,"*Equipments (section 4)*")
))</f>
        <v/>
      </c>
      <c r="AT453" s="102" t="str">
        <f t="shared" si="33"/>
        <v/>
      </c>
      <c r="AU453" s="103" t="str">
        <f t="shared" si="34"/>
        <v/>
      </c>
      <c r="AV453" s="102" t="str">
        <f>IF(A453="","",SUM(
COUNTIFS('QA Log'!D:D,A453,'QA Log'!M:M,"Vignette",'QA Log'!L:L,"*Vignette [1] Respiratory Infection: Pneumonia*"),
COUNTIFS('QA Log'!D:D,A453,'QA Log'!M:M,"Vignette",'QA Log'!L:L,"*Vignette [2]: Diarrhea with Cat B dehydration*"),
COUNTIFS('QA Log'!D:D,A453,'QA Log'!M:M,"Vignette",'QA Log'!L:L,"*Vignette [3] Growth Monitoring and Promotion*"),
COUNTIFS('QA Log'!D:D,A453,'QA Log'!M:M,"Vignette",'QA Log'!L:L,"*Vignette [4]: The management of presumptive TB patient*")
)
)</f>
        <v/>
      </c>
      <c r="AW453" s="102" t="str">
        <f>IF(
  A453="","",
  SUM(
    COUNTIFS('QA Log'!D:D,A453,'QA Log'!M:M,"Vignette",'QA Log'!Z:Z,"Approved",'QA Log'!L:L,"*Vignette [1] Respiratory Infection: Pneumonia*"),
    COUNTIFS('QA Log'!D:D,A453,'QA Log'!M:M,"Vignette",'QA Log'!Z:Z,"Approved",'QA Log'!L:L,"*Vignette [2]: Diarrhea with Cat B dehydration*"),
    COUNTIFS('QA Log'!D:D,A453,'QA Log'!M:M,"Vignette",'QA Log'!Z:Z,"Approved",'QA Log'!L:L,"*Vignette [3] Growth Monitoring and Promotion*"),
    COUNTIFS('QA Log'!D:D,A453,'QA Log'!M:M,"Vignette",'QA Log'!Z:Z,"Approved",'QA Log'!L:L,"*Vignette [4]: The management of presumptive TB patient*")
  )
)</f>
        <v/>
      </c>
      <c r="AX453" s="105" t="str">
        <f>IF(A453&lt;&gt;"",COUNTIFS('QA Log'!D:D,A453,'QA Log'!M:M,"Vignette",'QA Log'!L:L,"Vignette [1] Respiratory Infection: Pneumonia",'QA Log'!Z:Z,"Approved"),"")</f>
        <v/>
      </c>
      <c r="AY453" s="105" t="str">
        <f>IF(A453&lt;&gt;"",COUNTIFS('QA Log'!D:D,A453,'QA Log'!M:M,"Vignette",'QA Log'!L:L,"Vignette [2]: Diarrhea with Cat B dehydration",'QA Log'!Z:Z,"Approved"),"")</f>
        <v/>
      </c>
      <c r="AZ453" s="105" t="str">
        <f>IF(A453&lt;&gt;"",COUNTIFS('QA Log'!D:D,A453,'QA Log'!M:M,"Vignette",'QA Log'!L:L,"Vignette [3] Growth Monitoring and Promotion",'QA Log'!Z:Z,"Approved"),"")</f>
        <v/>
      </c>
      <c r="BA453" s="105" t="str">
        <f>IF(A453&lt;&gt;"",COUNTIFS('QA Log'!D:D,A453,'QA Log'!M:M,"Vignette",'QA Log'!L:L,"Vignette [4]: The management of presumptive TB patient",'QA Log'!Z:Z,"Approved"),"")</f>
        <v/>
      </c>
      <c r="BB453" s="102" t="str">
        <f>IF(A453="","",
  SUM(
    COUNTIFS('QA Log'!D:D,A453,'QA Log'!M:M,"Vignette",'QA Log'!Z:Z,"Rejected",'QA Log'!L:L,"*Vignette [1] Respiratory Infection: Pneumonia*"),
    COUNTIFS('QA Log'!D:D,A453,'QA Log'!M:M,"Vignette",'QA Log'!Z:Z,"Rejected",'QA Log'!L:L,"*Vignette [2]: Diarrhea with Cat B dehydration*"),
    COUNTIFS('QA Log'!D:D,A453,'QA Log'!M:M,"Vignette",'QA Log'!Z:Z,"Rejected",'QA Log'!L:L,"*Vignette [3] Growth Monitoring and Promotion*"),
    COUNTIFS('QA Log'!D:D,A453,'QA Log'!M:M,"Vignette",'QA Log'!Z:Z,"Rejected",'QA Log'!L:L,"*Vignette [4]: The management of presumptive TB patient*")
  )
)</f>
        <v/>
      </c>
      <c r="BC453" s="107" t="str">
        <f t="shared" si="35"/>
        <v/>
      </c>
      <c r="BD453" s="103" t="str">
        <f t="shared" si="36"/>
        <v/>
      </c>
      <c r="BE453" s="102" t="str">
        <f>IF(A453="","",SUM(
COUNTIFS('QA Log'!D:D,A453,'QA Log'!M:M,"Vignette",'QA Log'!L:L,"*Vignette [5] Labor*"),
COUNTIFS('QA Log'!D:D,A453,'QA Log'!M:M,"Vignette",'QA Log'!L:L,"*Vignette [6] PNC pre Discharge*"),
COUNTIFS('QA Log'!D:D,A453,'QA Log'!M:M,"Vignette",'QA Log'!L:L,"*Vignette [7] First ANC Visit*"),
COUNTIFS('QA Log'!D:D,A453,'QA Log'!M:M,"Vignette",'QA Log'!L:L,"*Vignette [8] Birth Spacing/ Family Planning :  FP Counselling*"),
COUNTIFS('QA Log'!D:D,A453,'QA Log'!M:M,"Vignette",'QA Log'!L:L,"*Vignette [9] Birth Spacing: Change FP method to Injectable*"),
COUNTIFS('QA Log'!D:D,A453,'QA Log'!M:M,"Vignette",'QA Log'!L:L,"*Vignette [10] Post Partum Haemorrhage - Atonic Uterus at Health Centre*"),
)
)</f>
        <v/>
      </c>
      <c r="BF453" s="102" t="str">
        <f>IF(A453="","",
  SUM(
    COUNTIFS('QA Log'!D:D,A453,'QA Log'!M:M,"Vignette",'QA Log'!Z:Z,"Approved",'QA Log'!L:L,"*Vignette [5] Labor*"),
    COUNTIFS('QA Log'!D:D,A453,'QA Log'!M:M,"Vignette",'QA Log'!Z:Z,"Approved",'QA Log'!L:L,"*Vignette [6] PNC pre Discharge*"),
    COUNTIFS('QA Log'!D:D,A453,'QA Log'!M:M,"Vignette",'QA Log'!Z:Z,"Approved",'QA Log'!L:L,"*Vignette [7] First ANC Visit*"),
    COUNTIFS('QA Log'!D:D,A453,'QA Log'!M:M,"Vignette",'QA Log'!Z:Z,"Approved",'QA Log'!L:L,"*Vignette [8] Birth Spacing/ Family Planning :  FP Counselling*"),
    COUNTIFS('QA Log'!D:D,A453,'QA Log'!M:M,"Vignette",'QA Log'!Z:Z,"Approved",'QA Log'!L:L,"*Vignette [9] Birth Spacing: Change FP method to Injectable*"),
    COUNTIFS('QA Log'!D:D,A453,'QA Log'!M:M,"Vignette",'QA Log'!Z:Z,"Approved",'QA Log'!L:L,"*Vignette [10] Post Partum Haemorrhage - Atonic Uterus at Health Centre*")
  )
)</f>
        <v/>
      </c>
      <c r="BG453" s="105" t="str">
        <f>IF(A453&lt;&gt;"",COUNTIFS('QA Log'!D:D,A453,'QA Log'!M:M,"Vignette",'QA Log'!L:L,"Vignette [5] Labor",'QA Log'!Z:Z,"Approved"),"")</f>
        <v/>
      </c>
      <c r="BH453" s="105" t="str">
        <f>IF(A453&lt;&gt;"",COUNTIFS('QA Log'!D:D,A453,'QA Log'!M:M,"Vignette",'QA Log'!L:L,"Vignette [6] PNC pre Discharge",'QA Log'!Z:Z,"Approved"),"")</f>
        <v/>
      </c>
      <c r="BI453" s="105" t="str">
        <f>IF(A453&lt;&gt;"",COUNTIFS('QA Log'!D:D,A453,'QA Log'!M:M,"Vignette",'QA Log'!L:L,"Vignette [7] First ANC Visit",'QA Log'!Z:Z,"Approved"),"")</f>
        <v/>
      </c>
      <c r="BJ453" s="105" t="str">
        <f>IF(A453&lt;&gt;"",COUNTIFS('QA Log'!D:D,A453,'QA Log'!M:M,"Vignette",'QA Log'!L:L,"Vignette [8] Birth Spacing/ Family Planning :  FP Counselling",'QA Log'!Z:Z,"Approved"),"")</f>
        <v/>
      </c>
      <c r="BK453" s="105" t="str">
        <f>IF(A453&lt;&gt;"",COUNTIFS('QA Log'!D:D,A453,'QA Log'!M:M,"Vignette",'QA Log'!L:L,"Vignette [9] Birth Spacing: Change FP method to Injectable",'QA Log'!Z:Z,"Approved"),"")</f>
        <v/>
      </c>
      <c r="BL453" s="105" t="str">
        <f>IF(A453&lt;&gt;"",COUNTIFS('QA Log'!D:D,A453,'QA Log'!M:M,"Vignette",'QA Log'!L:L,"Vignette [10] Post Partum Haemorrhage - Atonic Uterus at Health Centre",'QA Log'!Z:Z,"Approved"),"")</f>
        <v/>
      </c>
      <c r="BM453" s="102" t="str">
        <f>IF(A453="","",SUM(
    COUNTIFS('QA Log'!D:D,A453,'QA Log'!M:M,"Vignette",'QA Log'!Z:Z,"Rejected",'QA Log'!L:L,"*Vignette [5] Labor*"),
    COUNTIFS('QA Log'!D:D,A453,'QA Log'!M:M,"Vignette",'QA Log'!Z:Z,"Rejected",'QA Log'!L:L,"*Vignette [6] PNC pre Discharge*"),
    COUNTIFS('QA Log'!D:D,A453,'QA Log'!M:M,"Vignette",'QA Log'!Z:Z,"Rejected",'QA Log'!L:L,"*Vignette [7] First ANC Visit*"),
    COUNTIFS('QA Log'!D:D,A453,'QA Log'!M:M,"Vignette",'QA Log'!Z:Z,"Rejected",'QA Log'!L:L,"*Vignette [8] Birth Spacing/ Family Planning :  FP Counselling*"),
    COUNTIFS('QA Log'!D:D,A453,'QA Log'!M:M,"Vignette",'QA Log'!Z:Z,"Rejected",'QA Log'!L:L,"*Vignette [9] Birth Spacing: Change FP method to Injectable*"),
    COUNTIFS('QA Log'!D:D,A453,'QA Log'!M:M,"Vignette",'QA Log'!Z:Z,"Rejected",'QA Log'!L:L,"*Vignette [10] Post Partum Haemorrhage - Atonic Uterus at Health Centre*")
  )
)</f>
        <v/>
      </c>
      <c r="BN453" s="107" t="str">
        <f t="shared" si="37"/>
        <v/>
      </c>
      <c r="BO453" s="103" t="str">
        <f t="shared" si="38"/>
        <v/>
      </c>
      <c r="BP453" s="102" t="str">
        <f>IF(A453="","",SUM(
COUNTIFS('QA Log'!D:D,A453,'QA Log'!M:M,"Vignette",'QA Log'!L:L,"*Exit Interview 1*"),
COUNTIFS('QA Log'!D:D,A453,'QA Log'!M:M,"Vignette",'QA Log'!L:L,"*Exit Interview 2*"),
)
)</f>
        <v/>
      </c>
      <c r="BQ453" s="102" t="str">
        <f>IF(
  A453="","",
  SUM(
    COUNTIFS('QA Log'!D:D,A453,'QA Log'!M:M,"Vignette",'QA Log'!Z:Z,"Approved",'QA Log'!L:L,"*Exit Interview 1*"),
    COUNTIFS('QA Log'!D:D,A453,'QA Log'!M:M,"Vignette",'QA Log'!Z:Z,"Approved",'QA Log'!L:L,"*Exit Interview 2*")
  )
)</f>
        <v/>
      </c>
      <c r="BR453" s="105" t="str">
        <f>IF(A453&lt;&gt;"",COUNTIFS('QA Log'!D:D,A453,'QA Log'!M:M,"Vignette",'QA Log'!L:L,"Exit Interview 1",'QA Log'!Z:Z,"Approved"),"")</f>
        <v/>
      </c>
      <c r="BS453" s="105" t="str">
        <f>IF(A453&lt;&gt;"",COUNTIFS('QA Log'!D:D,A453,'QA Log'!M:M,"Vignette",'QA Log'!L:L,"Exit Interview 2",'QA Log'!Z:Z,"Approved"),"")</f>
        <v/>
      </c>
      <c r="BT453" s="102" t="str">
        <f>IF(
  A453="","",
  SUM(
    COUNTIFS('QA Log'!D:D,A453,'QA Log'!M:M,"Vignette",'QA Log'!Z:Z,"Rejected",'QA Log'!L:L,"*Exit Interview 1*"),
    COUNTIFS('QA Log'!D:D,A453,'QA Log'!M:M,"Vignette",'QA Log'!Z:Z,"Rejected",'QA Log'!L:L,"*Exit Interview 2*")
  )
)</f>
        <v/>
      </c>
      <c r="BU453" s="107" t="str">
        <f t="shared" si="39"/>
        <v/>
      </c>
      <c r="BV453" s="102" t="str">
        <f t="shared" si="40"/>
        <v/>
      </c>
      <c r="BW453" s="102" t="str">
        <f t="shared" si="41"/>
        <v/>
      </c>
      <c r="BX453" s="102" t="str">
        <f t="shared" si="42"/>
        <v/>
      </c>
      <c r="BY453" s="102" t="str">
        <f t="shared" si="43"/>
        <v/>
      </c>
      <c r="BZ453" s="107" t="str">
        <f t="shared" si="44"/>
        <v/>
      </c>
      <c r="CA453" s="108" t="str">
        <f t="shared" si="45"/>
        <v/>
      </c>
      <c r="CB453" s="108" t="str">
        <f t="shared" si="46"/>
        <v/>
      </c>
      <c r="CC453" s="109" t="str">
        <f t="shared" si="47"/>
        <v/>
      </c>
      <c r="CD453" s="108" t="str">
        <f t="shared" si="48"/>
        <v/>
      </c>
      <c r="CE453" s="108" t="str">
        <f t="shared" si="49"/>
        <v/>
      </c>
      <c r="CF453" s="109" t="str">
        <f t="shared" si="50"/>
        <v/>
      </c>
      <c r="CG453" s="110" t="str">
        <f t="shared" si="51"/>
        <v/>
      </c>
      <c r="CH453" s="111"/>
    </row>
    <row r="454" spans="1:86" ht="12.75">
      <c r="A454" s="101"/>
      <c r="B454" s="102" t="e">
        <f t="array" aca="1" ref="B454" ca="1">_xludf.XLOOKUP(A454,'QA Log'!D:D,'QA Log'!E:E,"")</f>
        <v>#NAME?</v>
      </c>
      <c r="C454" s="102" t="e">
        <f t="array" aca="1" ref="C454" ca="1">_xludf.XLOOKUP(A454,'QA Log'!D:D,'QA Log'!F:F,"")</f>
        <v>#NAME?</v>
      </c>
      <c r="D454" s="102" t="e">
        <f t="array" aca="1" ref="D454" ca="1">_xludf.XLOOKUP(A454,'QA Log'!D:D,'QA Log'!H:H,"")</f>
        <v>#NAME?</v>
      </c>
      <c r="E454" s="102" t="e">
        <f t="array" aca="1" ref="E454" ca="1">_xludf.XLOOKUP(A454,'QA Log'!D:D,'QA Log'!G:G,"")</f>
        <v>#NAME?</v>
      </c>
      <c r="F454" s="103"/>
      <c r="G454" s="104"/>
      <c r="H454" s="104"/>
      <c r="I454" s="103" t="str">
        <f t="shared" si="26"/>
        <v/>
      </c>
      <c r="J454" s="102" t="str">
        <f>IF(A454="","",SUM(
COUNTIFS('QA Log'!D:D,A454,'QA Log'!M:M,"QQC",'QA Log'!L:L,"*1. General Management*"),
COUNTIFS('QA Log'!D:D,A454,'QA Log'!M:M,"QQC",'QA Log'!L:L,"*3. Curative Consultation (OPD)*"),
COUNTIFS('QA Log'!D:D,A454,'QA Log'!M:M,"QQC",'QA Log'!L:L,"*5. Laboratory*"),
COUNTIFS('QA Log'!D:D,A454,'QA Log'!M:M,"QQC",'QA Log'!L:L,"*6. Essential Medicine Management*"),
COUNTIFS('QA Log'!D:D,A454,'QA Log'!M:M,"QQC",'QA Log'!L:L,"*7. Tracer Medicine*"),
COUNTIFS('QA Log'!D:D,A454,'QA Log'!M:M,"QQC",'QA Log'!L:L,"*11. Additional Questions*")))</f>
        <v/>
      </c>
      <c r="K454" s="102" t="str">
        <f>IF(A454="","",SUM(
COUNTIFS('QA Log'!D:D,A454,'QA Log'!M:M,"QQC",'QA Log'!Z:Z,"Approved",'QA Log'!L:L,"*1. General Management*"),
COUNTIFS('QA Log'!D:D,A454,'QA Log'!M:M,"QQC",'QA Log'!Z:Z,"Approved",'QA Log'!L:L,"*3. Curative Consultation (OPD)*"),
COUNTIFS('QA Log'!D:D,A454,'QA Log'!M:M,"QQC",'QA Log'!Z:Z,"Approved",'QA Log'!L:L,"*5. Laboratory*"),
COUNTIFS('QA Log'!D:D,A454,'QA Log'!M:M,"QQC",'QA Log'!Z:Z,"Approved",'QA Log'!L:L,"*6. Essential Medicine Management*"),
COUNTIFS('QA Log'!D:D,A454,'QA Log'!M:M,"QQC",'QA Log'!Z:Z,"Approved",'QA Log'!L:L,"*7. Tracer Medicine*"),
COUNTIFS('QA Log'!D:D,A454,'QA Log'!M:M,"QQC",'QA Log'!Z:Z,"Approved",'QA Log'!L:L,"*11. Additional Questions*")))</f>
        <v/>
      </c>
      <c r="L454" s="102" t="str">
        <f>IF(A454&lt;&gt;"",COUNTIFS('QA Log'!D:D,A454,'QA Log'!M:M,"QQC",'QA Log'!L:L,"1. General Management",'QA Log'!Z:Z,"Approved"),"")</f>
        <v/>
      </c>
      <c r="M454" s="102" t="str">
        <f>IF(A454&lt;&gt;"",COUNTIFS('QA Log'!D:D,A454,'QA Log'!M:M,"QQC",'QA Log'!L:L,"3. Curative Consultation (OPD)",'QA Log'!Z:Z,"Approved"),"")</f>
        <v/>
      </c>
      <c r="N454" s="102" t="str">
        <f>IF(A454&lt;&gt;"",COUNTIFS('QA Log'!D:D,A454,'QA Log'!M:M,"QQC",'QA Log'!L:L,"5. Laboratory",'QA Log'!Z:Z,"Approved"),"")</f>
        <v/>
      </c>
      <c r="O454" s="102" t="str">
        <f>IF(A454&lt;&gt;"",COUNTIFS('QA Log'!D:D,A454,'QA Log'!M:M,"QQC",'QA Log'!L:L,"6. Essential Medicine Management",'QA Log'!Z:Z,"Approved"),"")</f>
        <v/>
      </c>
      <c r="P454" s="102" t="str">
        <f>IF(A454&lt;&gt;"",COUNTIFS('QA Log'!D:D,A454,'QA Log'!M:M,"QQC",'QA Log'!L:L,"7. Tracer Medicine",'QA Log'!Z:Z,"Approved"),"")</f>
        <v/>
      </c>
      <c r="Q454" s="102" t="str">
        <f>IF(A454&lt;&gt;"",COUNTIFS('QA Log'!D:D,A454,'QA Log'!M:M,"QQC",'QA Log'!L:L,"11. Additional Questions",'QA Log'!Z:Z,"Approved"),"")</f>
        <v/>
      </c>
      <c r="R454" s="102" t="str">
        <f>IF(A454="","",SUM(
COUNTIFS('QA Log'!D:D,A454,'QA Log'!M:M,"QQC",'QA Log'!Z:Z,"Rejected",'QA Log'!L:L,"*8. Maternity*"),
COUNTIFS('QA Log'!D:D,A454,'QA Log'!M:M,"QQC",'QA Log'!Z:Z,"Rejected",'QA Log'!L:L,"*EPI*"),
COUNTIFS('QA Log'!D:D,A454,'QA Log'!M:M,"QQC",'QA Log'!Z:Z,"Rejected",'QA Log'!L:L,"*10. Antenatal Care (ANC)*"),
COUNTIFS('QA Log'!D:D,A454,'QA Log'!M:M,"QQC",'QA Log'!Z:Z,"Rejected",'QA Log'!L:L,"*2. Hygiene and Sterilization*"),
COUNTIFS('QA Log'!D:D,A454,'QA Log'!M:M,"QQC",'QA Log'!Z:Z,"Rejected",'QA Log'!L:L,"*Family Planning*")))</f>
        <v/>
      </c>
      <c r="S454" s="106" t="str">
        <f t="shared" si="27"/>
        <v/>
      </c>
      <c r="T454" s="102" t="str">
        <f t="shared" si="28"/>
        <v/>
      </c>
      <c r="U454" s="102" t="str">
        <f>IF(A454="","",
SUM(
COUNTIFS('QA Log'!D:D,A454,'QA Log'!M:M,"QQC",'QA Log'!L:L,"*8. Maternity*"),
COUNTIFS('QA Log'!D:D,A454,'QA Log'!M:M,"QQC",'QA Log'!L:L,"*9. EPI and Pre-school Consultation*"),
COUNTIFS('QA Log'!D:D,A454,'QA Log'!M:M,"QQC",'QA Log'!L:L,"*10. Antenatal Care (ANC)*"),
COUNTIFS('QA Log'!D:D,A454,'QA Log'!M:M,"QQC",'QA Log'!L:L,"*2. Hygiene and Sterilization*"),
COUNTIFS('QA Log'!D:D,A454,'QA Log'!M:M,"QQC",'QA Log'!L:L,"*4. Family Planning*")
))</f>
        <v/>
      </c>
      <c r="V454" s="102" t="str">
        <f>IF(A454="","",
SUM(
COUNTIFS('QA Log'!D:D,A454,'QA Log'!M:M,"QQC",'QA Log'!Z:Z,"Approved",'QA Log'!L:L,"*8. Maternity*"),
COUNTIFS('QA Log'!D:D,A454,'QA Log'!M:M,"QQC",'QA Log'!Z:Z,"Approved",'QA Log'!L:L,"*9. EPI and Pre-school Consultation*"),
COUNTIFS('QA Log'!D:D,A454,'QA Log'!M:M,"QQC",'QA Log'!Z:Z,"Approved",'QA Log'!L:L,"*10. Antenatal Care (ANC)*"),
COUNTIFS('QA Log'!D:D,A454,'QA Log'!M:M,"QQC",'QA Log'!Z:Z,"Approved",'QA Log'!L:L,"*2. Hygiene and Sterilization*"),
COUNTIFS('QA Log'!D:D,A454,'QA Log'!M:M,"QQC",'QA Log'!Z:Z,"Approved",'QA Log'!L:L,"*4. Family Planning*")
))</f>
        <v/>
      </c>
      <c r="W454" s="102" t="str">
        <f>IF(A454&lt;&gt;"",COUNTIFS('QA Log'!D:D,A454,'QA Log'!M:M,"QQC",'QA Log'!L:L,"8. Maternity",'QA Log'!Z:Z,"Approved"),"")</f>
        <v/>
      </c>
      <c r="X454" s="105" t="str">
        <f>IF(A454&lt;&gt;"",COUNTIFS('QA Log'!D:D,A454,'QA Log'!M:M,"QQC",'QA Log'!L:L,"9. EPI and Pre-school Consultation",'QA Log'!Z:Z,"Approved"),"")</f>
        <v/>
      </c>
      <c r="Y454" s="102" t="str">
        <f>IF(A454&lt;&gt;"",COUNTIFS('QA Log'!D:D,A454,'QA Log'!M:M,"QQC",'QA Log'!L:L,"10. Antenatal Care (ANC)",'QA Log'!Z:Z,"Approved"),"")</f>
        <v/>
      </c>
      <c r="Z454" s="102" t="str">
        <f>IF(A454&lt;&gt;"",COUNTIFS('QA Log'!D:D,A454,'QA Log'!M:M,"QQC",'QA Log'!L:L,"2. Hygiene and Sterilization",'QA Log'!Z:Z,"Approved"),"")</f>
        <v/>
      </c>
      <c r="AA454" s="105" t="str">
        <f>IF(A454&lt;&gt;"",COUNTIFS('QA Log'!D:D,A454,'QA Log'!M:M,"QQC",'QA Log'!L:L,"4. Family Planning",'QA Log'!Z:Z,"Approved"),"")</f>
        <v/>
      </c>
      <c r="AB454" s="102" t="str">
        <f>IF(A454="","",
SUM(
COUNTIFS('QA Log'!D:D,A454,'QA Log'!M:M,"QQC",'QA Log'!Z:Z,"Rejected",'QA Log'!L:L,"*8. Maternity*"),
COUNTIFS('QA Log'!D:D,A454,'QA Log'!M:M,"QQC",'QA Log'!Z:Z,"Rejected",'QA Log'!L:L,"*9. EPI and Pre-school Consultation*"),
COUNTIFS('QA Log'!D:D,A454,'QA Log'!M:M,"QQC",'QA Log'!Z:Z,"Rejected",'QA Log'!L:L,"*10. Antenatal Care (ANC)*"),
COUNTIFS('QA Log'!D:D,A454,'QA Log'!M:M,"QQC",'QA Log'!Z:Z,"Rejected",'QA Log'!L:L,"*2. Hygiene and Sterilization*"),
COUNTIFS('QA Log'!D:D,A454,'QA Log'!M:M,"QQC",'QA Log'!Z:Z,"Rejected",'QA Log'!L:L,"*4. Family Planning*")
))</f>
        <v/>
      </c>
      <c r="AC454" s="102" t="str">
        <f t="shared" si="29"/>
        <v/>
      </c>
      <c r="AD454" s="103" t="str">
        <f t="shared" si="30"/>
        <v/>
      </c>
      <c r="AE454" s="102" t="str">
        <f>IF(A454="","",
SUM(
COUNTIFS('QA Log'!D:D,A454,'QA Log'!M:M,"Data Verification",'QA Log'!L:L,"*Medicine (section 2)*"),
COUNTIFS('QA Log'!D:D,A454,'QA Log'!M:M,"Data Verification",'QA Log'!L:L,"*Lab Testing Availability*"),
COUNTIFS('QA Log'!D:D,A454,'QA Log'!M:M,"Data Verification",'QA Log'!L:L,"*Other than P4P (section 6)*"),
COUNTIFS('QA Log'!D:D,A454,'QA Log'!M:M,"Data Verification",'QA Log'!L:L,"*Hospital Governance*")
))</f>
        <v/>
      </c>
      <c r="AF454" s="102" t="str">
        <f>IF(A454="","",
SUM(
COUNTIFS('QA Log'!D:D,A454,'QA Log'!M:M,"Data Verification",'QA Log'!Z:Z,"Approved",'QA Log'!L:L,"*Medicine (section 2)*"),
COUNTIFS('QA Log'!D:D,A454,'QA Log'!M:M,"Data Verification",'QA Log'!Z:Z,"Approved",'QA Log'!L:L,"*Lab Testing Availability*"),
COUNTIFS('QA Log'!D:D,A454,'QA Log'!M:M,"Data Verification",'QA Log'!Z:Z,"Approved",'QA Log'!L:L,"*Other than P4P (section 6)*"),
COUNTIFS('QA Log'!D:D,A454,'QA Log'!M:M,"Data Verification",'QA Log'!Z:Z,"Approved",'QA Log'!L:L,"*Hospital Governance*")
))</f>
        <v/>
      </c>
      <c r="AG454" s="105" t="str">
        <f>IF(A454&lt;&gt;"",COUNTIFS('QA Log'!D:D,A454,'QA Log'!M:M,"Data Verification",'QA Log'!L:L,"Medicine (section 2)",'QA Log'!Z:Z,"Approved"),"")</f>
        <v/>
      </c>
      <c r="AH454" s="105" t="str">
        <f>IF(A454&lt;&gt;"",COUNTIFS('QA Log'!D:D,A454,'QA Log'!M:M,"Data Verification",'QA Log'!L:L,"Lab Testing Availability",'QA Log'!Z:Z,"Approved"),"")</f>
        <v/>
      </c>
      <c r="AI454" s="105" t="str">
        <f>IF(A454&lt;&gt;"",COUNTIFS('QA Log'!D:D,A454,'QA Log'!M:M,"Data Verification",'QA Log'!L:L,"Other than P4P (section 6)",'QA Log'!Z:Z,"Approved"),"")</f>
        <v/>
      </c>
      <c r="AJ454" s="105" t="str">
        <f>IF(A454&lt;&gt;"",COUNTIFS('QA Log'!D:D,A454,'QA Log'!M:M,"Data Verification",'QA Log'!L:L,"Hospital Governance",'QA Log'!Z:Z,"Approved"),"")</f>
        <v/>
      </c>
      <c r="AK454" s="102" t="str">
        <f>IF(A454="","",
SUM(
COUNTIFS('QA Log'!D:D,A454,'QA Log'!M:M,"Data Verification",'QA Log'!Z:Z,"Rejected",'QA Log'!L:L,"*Medicine (section 2)*"),
COUNTIFS('QA Log'!D:D,A454,'QA Log'!M:M,"Data Verification",'QA Log'!Z:Z,"Rejected",'QA Log'!L:L,"*Lab Testing Availability*"),
COUNTIFS('QA Log'!D:D,A454,'QA Log'!M:M,"Data Verification",'QA Log'!Z:Z,"Rejected",'QA Log'!L:L,"*Other than P4P (section 6)*"),
COUNTIFS('QA Log'!D:D,A454,'QA Log'!M:M,"Data Verification",'QA Log'!Z:Z,"Rejected",'QA Log'!L:L,"*Hospital Governance*")
))</f>
        <v/>
      </c>
      <c r="AL454" s="106" t="str">
        <f t="shared" si="31"/>
        <v/>
      </c>
      <c r="AM454" s="102" t="str">
        <f t="shared" si="32"/>
        <v/>
      </c>
      <c r="AN454" s="102" t="str">
        <f>IF(A454="","",
SUM(
COUNTIFS('QA Log'!D:D,A454,'QA Log'!M:M,"Data Verification",'QA Log'!L:L,"*Personnel (section 1)*"),
COUNTIFS('QA Log'!D:D,A454,'QA Log'!M:M,"Data Verification",'QA Log'!L:L,"*Consumable (section 3)*"),
COUNTIFS('QA Log'!D:D,A454,'QA Log'!M:M,"Data Verification",'QA Log'!L:L,"*Equipments (section 4)*")
))</f>
        <v/>
      </c>
      <c r="AO454" s="102" t="str">
        <f>IF(A454="","",
SUM(
COUNTIFS('QA Log'!D:D,A454,'QA Log'!M:M,"Data Verification",'QA Log'!Z:Z,"Approved",'QA Log'!L:L,"*Personnel (section 1)*"),
COUNTIFS('QA Log'!D:D,A454,'QA Log'!M:M,"Data Verification",'QA Log'!Z:Z,"Approved",'QA Log'!L:L,"*Consumable (section 3)*"),
COUNTIFS('QA Log'!D:D,A454,'QA Log'!M:M,"Data Verification",'QA Log'!Z:Z,"Approved",'QA Log'!L:L,"*Equipments (section 4)*")
))</f>
        <v/>
      </c>
      <c r="AP454" s="105" t="str">
        <f>IF(A454&lt;&gt;"",COUNTIFS('QA Log'!D:D,A454,'QA Log'!M:M,"Data Verification",'QA Log'!L:L,"Personnel (section 1)",'QA Log'!Z:Z,"Approved"),"")</f>
        <v/>
      </c>
      <c r="AQ454" s="105" t="str">
        <f>IF(A454&lt;&gt;"",COUNTIFS('QA Log'!D:D,A454,'QA Log'!M:M,"Data Verification",'QA Log'!L:L,"Consumable (section 3)",'QA Log'!Z:Z,"Approved"),"")</f>
        <v/>
      </c>
      <c r="AR454" s="105" t="str">
        <f>IF(A454&lt;&gt;"",COUNTIFS('QA Log'!D:D,A454,'QA Log'!M:M,"Data Verification",'QA Log'!L:L,"Equipments (section 4)",'QA Log'!Z:Z,"Approved"),"")</f>
        <v/>
      </c>
      <c r="AS454" s="102" t="str">
        <f>IF(A454="","",
SUM(
COUNTIFS('QA Log'!D:D,A454,'QA Log'!M:M,"Data Verification",'QA Log'!Z:Z,"Rejected",'QA Log'!L:L,"*Personnel (section 1)*"),
COUNTIFS('QA Log'!D:D,A454,'QA Log'!M:M,"Data Verification",'QA Log'!Z:Z,"Rejected",'QA Log'!L:L,"*Consumable (section 3)*"),
COUNTIFS('QA Log'!D:D,A454,'QA Log'!M:M,"Data Verification",'QA Log'!Z:Z,"Rejected",'QA Log'!L:L,"*Equipments (section 4)*")
))</f>
        <v/>
      </c>
      <c r="AT454" s="102" t="str">
        <f t="shared" si="33"/>
        <v/>
      </c>
      <c r="AU454" s="103" t="str">
        <f t="shared" si="34"/>
        <v/>
      </c>
      <c r="AV454" s="102" t="str">
        <f>IF(A454="","",SUM(
COUNTIFS('QA Log'!D:D,A454,'QA Log'!M:M,"Vignette",'QA Log'!L:L,"*Vignette [1] Respiratory Infection: Pneumonia*"),
COUNTIFS('QA Log'!D:D,A454,'QA Log'!M:M,"Vignette",'QA Log'!L:L,"*Vignette [2]: Diarrhea with Cat B dehydration*"),
COUNTIFS('QA Log'!D:D,A454,'QA Log'!M:M,"Vignette",'QA Log'!L:L,"*Vignette [3] Growth Monitoring and Promotion*"),
COUNTIFS('QA Log'!D:D,A454,'QA Log'!M:M,"Vignette",'QA Log'!L:L,"*Vignette [4]: The management of presumptive TB patient*")
)
)</f>
        <v/>
      </c>
      <c r="AW454" s="102" t="str">
        <f>IF(
  A454="","",
  SUM(
    COUNTIFS('QA Log'!D:D,A454,'QA Log'!M:M,"Vignette",'QA Log'!Z:Z,"Approved",'QA Log'!L:L,"*Vignette [1] Respiratory Infection: Pneumonia*"),
    COUNTIFS('QA Log'!D:D,A454,'QA Log'!M:M,"Vignette",'QA Log'!Z:Z,"Approved",'QA Log'!L:L,"*Vignette [2]: Diarrhea with Cat B dehydration*"),
    COUNTIFS('QA Log'!D:D,A454,'QA Log'!M:M,"Vignette",'QA Log'!Z:Z,"Approved",'QA Log'!L:L,"*Vignette [3] Growth Monitoring and Promotion*"),
    COUNTIFS('QA Log'!D:D,A454,'QA Log'!M:M,"Vignette",'QA Log'!Z:Z,"Approved",'QA Log'!L:L,"*Vignette [4]: The management of presumptive TB patient*")
  )
)</f>
        <v/>
      </c>
      <c r="AX454" s="105" t="str">
        <f>IF(A454&lt;&gt;"",COUNTIFS('QA Log'!D:D,A454,'QA Log'!M:M,"Vignette",'QA Log'!L:L,"Vignette [1] Respiratory Infection: Pneumonia",'QA Log'!Z:Z,"Approved"),"")</f>
        <v/>
      </c>
      <c r="AY454" s="105" t="str">
        <f>IF(A454&lt;&gt;"",COUNTIFS('QA Log'!D:D,A454,'QA Log'!M:M,"Vignette",'QA Log'!L:L,"Vignette [2]: Diarrhea with Cat B dehydration",'QA Log'!Z:Z,"Approved"),"")</f>
        <v/>
      </c>
      <c r="AZ454" s="105" t="str">
        <f>IF(A454&lt;&gt;"",COUNTIFS('QA Log'!D:D,A454,'QA Log'!M:M,"Vignette",'QA Log'!L:L,"Vignette [3] Growth Monitoring and Promotion",'QA Log'!Z:Z,"Approved"),"")</f>
        <v/>
      </c>
      <c r="BA454" s="105" t="str">
        <f>IF(A454&lt;&gt;"",COUNTIFS('QA Log'!D:D,A454,'QA Log'!M:M,"Vignette",'QA Log'!L:L,"Vignette [4]: The management of presumptive TB patient",'QA Log'!Z:Z,"Approved"),"")</f>
        <v/>
      </c>
      <c r="BB454" s="102" t="str">
        <f>IF(A454="","",
  SUM(
    COUNTIFS('QA Log'!D:D,A454,'QA Log'!M:M,"Vignette",'QA Log'!Z:Z,"Rejected",'QA Log'!L:L,"*Vignette [1] Respiratory Infection: Pneumonia*"),
    COUNTIFS('QA Log'!D:D,A454,'QA Log'!M:M,"Vignette",'QA Log'!Z:Z,"Rejected",'QA Log'!L:L,"*Vignette [2]: Diarrhea with Cat B dehydration*"),
    COUNTIFS('QA Log'!D:D,A454,'QA Log'!M:M,"Vignette",'QA Log'!Z:Z,"Rejected",'QA Log'!L:L,"*Vignette [3] Growth Monitoring and Promotion*"),
    COUNTIFS('QA Log'!D:D,A454,'QA Log'!M:M,"Vignette",'QA Log'!Z:Z,"Rejected",'QA Log'!L:L,"*Vignette [4]: The management of presumptive TB patient*")
  )
)</f>
        <v/>
      </c>
      <c r="BC454" s="107" t="str">
        <f t="shared" si="35"/>
        <v/>
      </c>
      <c r="BD454" s="103" t="str">
        <f t="shared" si="36"/>
        <v/>
      </c>
      <c r="BE454" s="102" t="str">
        <f>IF(A454="","",SUM(
COUNTIFS('QA Log'!D:D,A454,'QA Log'!M:M,"Vignette",'QA Log'!L:L,"*Vignette [5] Labor*"),
COUNTIFS('QA Log'!D:D,A454,'QA Log'!M:M,"Vignette",'QA Log'!L:L,"*Vignette [6] PNC pre Discharge*"),
COUNTIFS('QA Log'!D:D,A454,'QA Log'!M:M,"Vignette",'QA Log'!L:L,"*Vignette [7] First ANC Visit*"),
COUNTIFS('QA Log'!D:D,A454,'QA Log'!M:M,"Vignette",'QA Log'!L:L,"*Vignette [8] Birth Spacing/ Family Planning :  FP Counselling*"),
COUNTIFS('QA Log'!D:D,A454,'QA Log'!M:M,"Vignette",'QA Log'!L:L,"*Vignette [9] Birth Spacing: Change FP method to Injectable*"),
COUNTIFS('QA Log'!D:D,A454,'QA Log'!M:M,"Vignette",'QA Log'!L:L,"*Vignette [10] Post Partum Haemorrhage - Atonic Uterus at Health Centre*"),
)
)</f>
        <v/>
      </c>
      <c r="BF454" s="102" t="str">
        <f>IF(A454="","",
  SUM(
    COUNTIFS('QA Log'!D:D,A454,'QA Log'!M:M,"Vignette",'QA Log'!Z:Z,"Approved",'QA Log'!L:L,"*Vignette [5] Labor*"),
    COUNTIFS('QA Log'!D:D,A454,'QA Log'!M:M,"Vignette",'QA Log'!Z:Z,"Approved",'QA Log'!L:L,"*Vignette [6] PNC pre Discharge*"),
    COUNTIFS('QA Log'!D:D,A454,'QA Log'!M:M,"Vignette",'QA Log'!Z:Z,"Approved",'QA Log'!L:L,"*Vignette [7] First ANC Visit*"),
    COUNTIFS('QA Log'!D:D,A454,'QA Log'!M:M,"Vignette",'QA Log'!Z:Z,"Approved",'QA Log'!L:L,"*Vignette [8] Birth Spacing/ Family Planning :  FP Counselling*"),
    COUNTIFS('QA Log'!D:D,A454,'QA Log'!M:M,"Vignette",'QA Log'!Z:Z,"Approved",'QA Log'!L:L,"*Vignette [9] Birth Spacing: Change FP method to Injectable*"),
    COUNTIFS('QA Log'!D:D,A454,'QA Log'!M:M,"Vignette",'QA Log'!Z:Z,"Approved",'QA Log'!L:L,"*Vignette [10] Post Partum Haemorrhage - Atonic Uterus at Health Centre*")
  )
)</f>
        <v/>
      </c>
      <c r="BG454" s="105" t="str">
        <f>IF(A454&lt;&gt;"",COUNTIFS('QA Log'!D:D,A454,'QA Log'!M:M,"Vignette",'QA Log'!L:L,"Vignette [5] Labor",'QA Log'!Z:Z,"Approved"),"")</f>
        <v/>
      </c>
      <c r="BH454" s="105" t="str">
        <f>IF(A454&lt;&gt;"",COUNTIFS('QA Log'!D:D,A454,'QA Log'!M:M,"Vignette",'QA Log'!L:L,"Vignette [6] PNC pre Discharge",'QA Log'!Z:Z,"Approved"),"")</f>
        <v/>
      </c>
      <c r="BI454" s="105" t="str">
        <f>IF(A454&lt;&gt;"",COUNTIFS('QA Log'!D:D,A454,'QA Log'!M:M,"Vignette",'QA Log'!L:L,"Vignette [7] First ANC Visit",'QA Log'!Z:Z,"Approved"),"")</f>
        <v/>
      </c>
      <c r="BJ454" s="105" t="str">
        <f>IF(A454&lt;&gt;"",COUNTIFS('QA Log'!D:D,A454,'QA Log'!M:M,"Vignette",'QA Log'!L:L,"Vignette [8] Birth Spacing/ Family Planning :  FP Counselling",'QA Log'!Z:Z,"Approved"),"")</f>
        <v/>
      </c>
      <c r="BK454" s="105" t="str">
        <f>IF(A454&lt;&gt;"",COUNTIFS('QA Log'!D:D,A454,'QA Log'!M:M,"Vignette",'QA Log'!L:L,"Vignette [9] Birth Spacing: Change FP method to Injectable",'QA Log'!Z:Z,"Approved"),"")</f>
        <v/>
      </c>
      <c r="BL454" s="105" t="str">
        <f>IF(A454&lt;&gt;"",COUNTIFS('QA Log'!D:D,A454,'QA Log'!M:M,"Vignette",'QA Log'!L:L,"Vignette [10] Post Partum Haemorrhage - Atonic Uterus at Health Centre",'QA Log'!Z:Z,"Approved"),"")</f>
        <v/>
      </c>
      <c r="BM454" s="102" t="str">
        <f>IF(A454="","",SUM(
    COUNTIFS('QA Log'!D:D,A454,'QA Log'!M:M,"Vignette",'QA Log'!Z:Z,"Rejected",'QA Log'!L:L,"*Vignette [5] Labor*"),
    COUNTIFS('QA Log'!D:D,A454,'QA Log'!M:M,"Vignette",'QA Log'!Z:Z,"Rejected",'QA Log'!L:L,"*Vignette [6] PNC pre Discharge*"),
    COUNTIFS('QA Log'!D:D,A454,'QA Log'!M:M,"Vignette",'QA Log'!Z:Z,"Rejected",'QA Log'!L:L,"*Vignette [7] First ANC Visit*"),
    COUNTIFS('QA Log'!D:D,A454,'QA Log'!M:M,"Vignette",'QA Log'!Z:Z,"Rejected",'QA Log'!L:L,"*Vignette [8] Birth Spacing/ Family Planning :  FP Counselling*"),
    COUNTIFS('QA Log'!D:D,A454,'QA Log'!M:M,"Vignette",'QA Log'!Z:Z,"Rejected",'QA Log'!L:L,"*Vignette [9] Birth Spacing: Change FP method to Injectable*"),
    COUNTIFS('QA Log'!D:D,A454,'QA Log'!M:M,"Vignette",'QA Log'!Z:Z,"Rejected",'QA Log'!L:L,"*Vignette [10] Post Partum Haemorrhage - Atonic Uterus at Health Centre*")
  )
)</f>
        <v/>
      </c>
      <c r="BN454" s="107" t="str">
        <f t="shared" si="37"/>
        <v/>
      </c>
      <c r="BO454" s="103" t="str">
        <f t="shared" si="38"/>
        <v/>
      </c>
      <c r="BP454" s="102" t="str">
        <f>IF(A454="","",SUM(
COUNTIFS('QA Log'!D:D,A454,'QA Log'!M:M,"Vignette",'QA Log'!L:L,"*Exit Interview 1*"),
COUNTIFS('QA Log'!D:D,A454,'QA Log'!M:M,"Vignette",'QA Log'!L:L,"*Exit Interview 2*"),
)
)</f>
        <v/>
      </c>
      <c r="BQ454" s="102" t="str">
        <f>IF(
  A454="","",
  SUM(
    COUNTIFS('QA Log'!D:D,A454,'QA Log'!M:M,"Vignette",'QA Log'!Z:Z,"Approved",'QA Log'!L:L,"*Exit Interview 1*"),
    COUNTIFS('QA Log'!D:D,A454,'QA Log'!M:M,"Vignette",'QA Log'!Z:Z,"Approved",'QA Log'!L:L,"*Exit Interview 2*")
  )
)</f>
        <v/>
      </c>
      <c r="BR454" s="105" t="str">
        <f>IF(A454&lt;&gt;"",COUNTIFS('QA Log'!D:D,A454,'QA Log'!M:M,"Vignette",'QA Log'!L:L,"Exit Interview 1",'QA Log'!Z:Z,"Approved"),"")</f>
        <v/>
      </c>
      <c r="BS454" s="105" t="str">
        <f>IF(A454&lt;&gt;"",COUNTIFS('QA Log'!D:D,A454,'QA Log'!M:M,"Vignette",'QA Log'!L:L,"Exit Interview 2",'QA Log'!Z:Z,"Approved"),"")</f>
        <v/>
      </c>
      <c r="BT454" s="102" t="str">
        <f>IF(
  A454="","",
  SUM(
    COUNTIFS('QA Log'!D:D,A454,'QA Log'!M:M,"Vignette",'QA Log'!Z:Z,"Rejected",'QA Log'!L:L,"*Exit Interview 1*"),
    COUNTIFS('QA Log'!D:D,A454,'QA Log'!M:M,"Vignette",'QA Log'!Z:Z,"Rejected",'QA Log'!L:L,"*Exit Interview 2*")
  )
)</f>
        <v/>
      </c>
      <c r="BU454" s="107" t="str">
        <f t="shared" si="39"/>
        <v/>
      </c>
      <c r="BV454" s="102" t="str">
        <f t="shared" si="40"/>
        <v/>
      </c>
      <c r="BW454" s="102" t="str">
        <f t="shared" si="41"/>
        <v/>
      </c>
      <c r="BX454" s="102" t="str">
        <f t="shared" si="42"/>
        <v/>
      </c>
      <c r="BY454" s="102" t="str">
        <f t="shared" si="43"/>
        <v/>
      </c>
      <c r="BZ454" s="107" t="str">
        <f t="shared" si="44"/>
        <v/>
      </c>
      <c r="CA454" s="108" t="str">
        <f t="shared" si="45"/>
        <v/>
      </c>
      <c r="CB454" s="108" t="str">
        <f t="shared" si="46"/>
        <v/>
      </c>
      <c r="CC454" s="109" t="str">
        <f t="shared" si="47"/>
        <v/>
      </c>
      <c r="CD454" s="108" t="str">
        <f t="shared" si="48"/>
        <v/>
      </c>
      <c r="CE454" s="108" t="str">
        <f t="shared" si="49"/>
        <v/>
      </c>
      <c r="CF454" s="109" t="str">
        <f t="shared" si="50"/>
        <v/>
      </c>
      <c r="CG454" s="110" t="str">
        <f t="shared" si="51"/>
        <v/>
      </c>
      <c r="CH454" s="111"/>
    </row>
    <row r="455" spans="1:86" ht="12.75">
      <c r="A455" s="101"/>
      <c r="B455" s="102" t="e">
        <f t="array" aca="1" ref="B455" ca="1">_xludf.XLOOKUP(A455,'QA Log'!D:D,'QA Log'!E:E,"")</f>
        <v>#NAME?</v>
      </c>
      <c r="C455" s="102" t="e">
        <f t="array" aca="1" ref="C455" ca="1">_xludf.XLOOKUP(A455,'QA Log'!D:D,'QA Log'!F:F,"")</f>
        <v>#NAME?</v>
      </c>
      <c r="D455" s="102" t="e">
        <f t="array" aca="1" ref="D455" ca="1">_xludf.XLOOKUP(A455,'QA Log'!D:D,'QA Log'!H:H,"")</f>
        <v>#NAME?</v>
      </c>
      <c r="E455" s="102" t="e">
        <f t="array" aca="1" ref="E455" ca="1">_xludf.XLOOKUP(A455,'QA Log'!D:D,'QA Log'!G:G,"")</f>
        <v>#NAME?</v>
      </c>
      <c r="F455" s="103"/>
      <c r="G455" s="104"/>
      <c r="H455" s="104"/>
      <c r="I455" s="103" t="str">
        <f t="shared" si="26"/>
        <v/>
      </c>
      <c r="J455" s="102" t="str">
        <f>IF(A455="","",SUM(
COUNTIFS('QA Log'!D:D,A455,'QA Log'!M:M,"QQC",'QA Log'!L:L,"*1. General Management*"),
COUNTIFS('QA Log'!D:D,A455,'QA Log'!M:M,"QQC",'QA Log'!L:L,"*3. Curative Consultation (OPD)*"),
COUNTIFS('QA Log'!D:D,A455,'QA Log'!M:M,"QQC",'QA Log'!L:L,"*5. Laboratory*"),
COUNTIFS('QA Log'!D:D,A455,'QA Log'!M:M,"QQC",'QA Log'!L:L,"*6. Essential Medicine Management*"),
COUNTIFS('QA Log'!D:D,A455,'QA Log'!M:M,"QQC",'QA Log'!L:L,"*7. Tracer Medicine*"),
COUNTIFS('QA Log'!D:D,A455,'QA Log'!M:M,"QQC",'QA Log'!L:L,"*11. Additional Questions*")))</f>
        <v/>
      </c>
      <c r="K455" s="102" t="str">
        <f>IF(A455="","",SUM(
COUNTIFS('QA Log'!D:D,A455,'QA Log'!M:M,"QQC",'QA Log'!Z:Z,"Approved",'QA Log'!L:L,"*1. General Management*"),
COUNTIFS('QA Log'!D:D,A455,'QA Log'!M:M,"QQC",'QA Log'!Z:Z,"Approved",'QA Log'!L:L,"*3. Curative Consultation (OPD)*"),
COUNTIFS('QA Log'!D:D,A455,'QA Log'!M:M,"QQC",'QA Log'!Z:Z,"Approved",'QA Log'!L:L,"*5. Laboratory*"),
COUNTIFS('QA Log'!D:D,A455,'QA Log'!M:M,"QQC",'QA Log'!Z:Z,"Approved",'QA Log'!L:L,"*6. Essential Medicine Management*"),
COUNTIFS('QA Log'!D:D,A455,'QA Log'!M:M,"QQC",'QA Log'!Z:Z,"Approved",'QA Log'!L:L,"*7. Tracer Medicine*"),
COUNTIFS('QA Log'!D:D,A455,'QA Log'!M:M,"QQC",'QA Log'!Z:Z,"Approved",'QA Log'!L:L,"*11. Additional Questions*")))</f>
        <v/>
      </c>
      <c r="L455" s="102" t="str">
        <f>IF(A455&lt;&gt;"",COUNTIFS('QA Log'!D:D,A455,'QA Log'!M:M,"QQC",'QA Log'!L:L,"1. General Management",'QA Log'!Z:Z,"Approved"),"")</f>
        <v/>
      </c>
      <c r="M455" s="102" t="str">
        <f>IF(A455&lt;&gt;"",COUNTIFS('QA Log'!D:D,A455,'QA Log'!M:M,"QQC",'QA Log'!L:L,"3. Curative Consultation (OPD)",'QA Log'!Z:Z,"Approved"),"")</f>
        <v/>
      </c>
      <c r="N455" s="102" t="str">
        <f>IF(A455&lt;&gt;"",COUNTIFS('QA Log'!D:D,A455,'QA Log'!M:M,"QQC",'QA Log'!L:L,"5. Laboratory",'QA Log'!Z:Z,"Approved"),"")</f>
        <v/>
      </c>
      <c r="O455" s="102" t="str">
        <f>IF(A455&lt;&gt;"",COUNTIFS('QA Log'!D:D,A455,'QA Log'!M:M,"QQC",'QA Log'!L:L,"6. Essential Medicine Management",'QA Log'!Z:Z,"Approved"),"")</f>
        <v/>
      </c>
      <c r="P455" s="102" t="str">
        <f>IF(A455&lt;&gt;"",COUNTIFS('QA Log'!D:D,A455,'QA Log'!M:M,"QQC",'QA Log'!L:L,"7. Tracer Medicine",'QA Log'!Z:Z,"Approved"),"")</f>
        <v/>
      </c>
      <c r="Q455" s="102" t="str">
        <f>IF(A455&lt;&gt;"",COUNTIFS('QA Log'!D:D,A455,'QA Log'!M:M,"QQC",'QA Log'!L:L,"11. Additional Questions",'QA Log'!Z:Z,"Approved"),"")</f>
        <v/>
      </c>
      <c r="R455" s="102" t="str">
        <f>IF(A455="","",SUM(
COUNTIFS('QA Log'!D:D,A455,'QA Log'!M:M,"QQC",'QA Log'!Z:Z,"Rejected",'QA Log'!L:L,"*8. Maternity*"),
COUNTIFS('QA Log'!D:D,A455,'QA Log'!M:M,"QQC",'QA Log'!Z:Z,"Rejected",'QA Log'!L:L,"*EPI*"),
COUNTIFS('QA Log'!D:D,A455,'QA Log'!M:M,"QQC",'QA Log'!Z:Z,"Rejected",'QA Log'!L:L,"*10. Antenatal Care (ANC)*"),
COUNTIFS('QA Log'!D:D,A455,'QA Log'!M:M,"QQC",'QA Log'!Z:Z,"Rejected",'QA Log'!L:L,"*2. Hygiene and Sterilization*"),
COUNTIFS('QA Log'!D:D,A455,'QA Log'!M:M,"QQC",'QA Log'!Z:Z,"Rejected",'QA Log'!L:L,"*Family Planning*")))</f>
        <v/>
      </c>
      <c r="S455" s="106" t="str">
        <f t="shared" si="27"/>
        <v/>
      </c>
      <c r="T455" s="102" t="str">
        <f t="shared" si="28"/>
        <v/>
      </c>
      <c r="U455" s="102" t="str">
        <f>IF(A455="","",
SUM(
COUNTIFS('QA Log'!D:D,A455,'QA Log'!M:M,"QQC",'QA Log'!L:L,"*8. Maternity*"),
COUNTIFS('QA Log'!D:D,A455,'QA Log'!M:M,"QQC",'QA Log'!L:L,"*9. EPI and Pre-school Consultation*"),
COUNTIFS('QA Log'!D:D,A455,'QA Log'!M:M,"QQC",'QA Log'!L:L,"*10. Antenatal Care (ANC)*"),
COUNTIFS('QA Log'!D:D,A455,'QA Log'!M:M,"QQC",'QA Log'!L:L,"*2. Hygiene and Sterilization*"),
COUNTIFS('QA Log'!D:D,A455,'QA Log'!M:M,"QQC",'QA Log'!L:L,"*4. Family Planning*")
))</f>
        <v/>
      </c>
      <c r="V455" s="102" t="str">
        <f>IF(A455="","",
SUM(
COUNTIFS('QA Log'!D:D,A455,'QA Log'!M:M,"QQC",'QA Log'!Z:Z,"Approved",'QA Log'!L:L,"*8. Maternity*"),
COUNTIFS('QA Log'!D:D,A455,'QA Log'!M:M,"QQC",'QA Log'!Z:Z,"Approved",'QA Log'!L:L,"*9. EPI and Pre-school Consultation*"),
COUNTIFS('QA Log'!D:D,A455,'QA Log'!M:M,"QQC",'QA Log'!Z:Z,"Approved",'QA Log'!L:L,"*10. Antenatal Care (ANC)*"),
COUNTIFS('QA Log'!D:D,A455,'QA Log'!M:M,"QQC",'QA Log'!Z:Z,"Approved",'QA Log'!L:L,"*2. Hygiene and Sterilization*"),
COUNTIFS('QA Log'!D:D,A455,'QA Log'!M:M,"QQC",'QA Log'!Z:Z,"Approved",'QA Log'!L:L,"*4. Family Planning*")
))</f>
        <v/>
      </c>
      <c r="W455" s="102" t="str">
        <f>IF(A455&lt;&gt;"",COUNTIFS('QA Log'!D:D,A455,'QA Log'!M:M,"QQC",'QA Log'!L:L,"8. Maternity",'QA Log'!Z:Z,"Approved"),"")</f>
        <v/>
      </c>
      <c r="X455" s="105" t="str">
        <f>IF(A455&lt;&gt;"",COUNTIFS('QA Log'!D:D,A455,'QA Log'!M:M,"QQC",'QA Log'!L:L,"9. EPI and Pre-school Consultation",'QA Log'!Z:Z,"Approved"),"")</f>
        <v/>
      </c>
      <c r="Y455" s="102" t="str">
        <f>IF(A455&lt;&gt;"",COUNTIFS('QA Log'!D:D,A455,'QA Log'!M:M,"QQC",'QA Log'!L:L,"10. Antenatal Care (ANC)",'QA Log'!Z:Z,"Approved"),"")</f>
        <v/>
      </c>
      <c r="Z455" s="102" t="str">
        <f>IF(A455&lt;&gt;"",COUNTIFS('QA Log'!D:D,A455,'QA Log'!M:M,"QQC",'QA Log'!L:L,"2. Hygiene and Sterilization",'QA Log'!Z:Z,"Approved"),"")</f>
        <v/>
      </c>
      <c r="AA455" s="105" t="str">
        <f>IF(A455&lt;&gt;"",COUNTIFS('QA Log'!D:D,A455,'QA Log'!M:M,"QQC",'QA Log'!L:L,"4. Family Planning",'QA Log'!Z:Z,"Approved"),"")</f>
        <v/>
      </c>
      <c r="AB455" s="102" t="str">
        <f>IF(A455="","",
SUM(
COUNTIFS('QA Log'!D:D,A455,'QA Log'!M:M,"QQC",'QA Log'!Z:Z,"Rejected",'QA Log'!L:L,"*8. Maternity*"),
COUNTIFS('QA Log'!D:D,A455,'QA Log'!M:M,"QQC",'QA Log'!Z:Z,"Rejected",'QA Log'!L:L,"*9. EPI and Pre-school Consultation*"),
COUNTIFS('QA Log'!D:D,A455,'QA Log'!M:M,"QQC",'QA Log'!Z:Z,"Rejected",'QA Log'!L:L,"*10. Antenatal Care (ANC)*"),
COUNTIFS('QA Log'!D:D,A455,'QA Log'!M:M,"QQC",'QA Log'!Z:Z,"Rejected",'QA Log'!L:L,"*2. Hygiene and Sterilization*"),
COUNTIFS('QA Log'!D:D,A455,'QA Log'!M:M,"QQC",'QA Log'!Z:Z,"Rejected",'QA Log'!L:L,"*4. Family Planning*")
))</f>
        <v/>
      </c>
      <c r="AC455" s="102" t="str">
        <f t="shared" si="29"/>
        <v/>
      </c>
      <c r="AD455" s="103" t="str">
        <f t="shared" si="30"/>
        <v/>
      </c>
      <c r="AE455" s="102" t="str">
        <f>IF(A455="","",
SUM(
COUNTIFS('QA Log'!D:D,A455,'QA Log'!M:M,"Data Verification",'QA Log'!L:L,"*Medicine (section 2)*"),
COUNTIFS('QA Log'!D:D,A455,'QA Log'!M:M,"Data Verification",'QA Log'!L:L,"*Lab Testing Availability*"),
COUNTIFS('QA Log'!D:D,A455,'QA Log'!M:M,"Data Verification",'QA Log'!L:L,"*Other than P4P (section 6)*"),
COUNTIFS('QA Log'!D:D,A455,'QA Log'!M:M,"Data Verification",'QA Log'!L:L,"*Hospital Governance*")
))</f>
        <v/>
      </c>
      <c r="AF455" s="102" t="str">
        <f>IF(A455="","",
SUM(
COUNTIFS('QA Log'!D:D,A455,'QA Log'!M:M,"Data Verification",'QA Log'!Z:Z,"Approved",'QA Log'!L:L,"*Medicine (section 2)*"),
COUNTIFS('QA Log'!D:D,A455,'QA Log'!M:M,"Data Verification",'QA Log'!Z:Z,"Approved",'QA Log'!L:L,"*Lab Testing Availability*"),
COUNTIFS('QA Log'!D:D,A455,'QA Log'!M:M,"Data Verification",'QA Log'!Z:Z,"Approved",'QA Log'!L:L,"*Other than P4P (section 6)*"),
COUNTIFS('QA Log'!D:D,A455,'QA Log'!M:M,"Data Verification",'QA Log'!Z:Z,"Approved",'QA Log'!L:L,"*Hospital Governance*")
))</f>
        <v/>
      </c>
      <c r="AG455" s="105" t="str">
        <f>IF(A455&lt;&gt;"",COUNTIFS('QA Log'!D:D,A455,'QA Log'!M:M,"Data Verification",'QA Log'!L:L,"Medicine (section 2)",'QA Log'!Z:Z,"Approved"),"")</f>
        <v/>
      </c>
      <c r="AH455" s="105" t="str">
        <f>IF(A455&lt;&gt;"",COUNTIFS('QA Log'!D:D,A455,'QA Log'!M:M,"Data Verification",'QA Log'!L:L,"Lab Testing Availability",'QA Log'!Z:Z,"Approved"),"")</f>
        <v/>
      </c>
      <c r="AI455" s="105" t="str">
        <f>IF(A455&lt;&gt;"",COUNTIFS('QA Log'!D:D,A455,'QA Log'!M:M,"Data Verification",'QA Log'!L:L,"Other than P4P (section 6)",'QA Log'!Z:Z,"Approved"),"")</f>
        <v/>
      </c>
      <c r="AJ455" s="105" t="str">
        <f>IF(A455&lt;&gt;"",COUNTIFS('QA Log'!D:D,A455,'QA Log'!M:M,"Data Verification",'QA Log'!L:L,"Hospital Governance",'QA Log'!Z:Z,"Approved"),"")</f>
        <v/>
      </c>
      <c r="AK455" s="102" t="str">
        <f>IF(A455="","",
SUM(
COUNTIFS('QA Log'!D:D,A455,'QA Log'!M:M,"Data Verification",'QA Log'!Z:Z,"Rejected",'QA Log'!L:L,"*Medicine (section 2)*"),
COUNTIFS('QA Log'!D:D,A455,'QA Log'!M:M,"Data Verification",'QA Log'!Z:Z,"Rejected",'QA Log'!L:L,"*Lab Testing Availability*"),
COUNTIFS('QA Log'!D:D,A455,'QA Log'!M:M,"Data Verification",'QA Log'!Z:Z,"Rejected",'QA Log'!L:L,"*Other than P4P (section 6)*"),
COUNTIFS('QA Log'!D:D,A455,'QA Log'!M:M,"Data Verification",'QA Log'!Z:Z,"Rejected",'QA Log'!L:L,"*Hospital Governance*")
))</f>
        <v/>
      </c>
      <c r="AL455" s="106" t="str">
        <f t="shared" si="31"/>
        <v/>
      </c>
      <c r="AM455" s="102" t="str">
        <f t="shared" si="32"/>
        <v/>
      </c>
      <c r="AN455" s="102" t="str">
        <f>IF(A455="","",
SUM(
COUNTIFS('QA Log'!D:D,A455,'QA Log'!M:M,"Data Verification",'QA Log'!L:L,"*Personnel (section 1)*"),
COUNTIFS('QA Log'!D:D,A455,'QA Log'!M:M,"Data Verification",'QA Log'!L:L,"*Consumable (section 3)*"),
COUNTIFS('QA Log'!D:D,A455,'QA Log'!M:M,"Data Verification",'QA Log'!L:L,"*Equipments (section 4)*")
))</f>
        <v/>
      </c>
      <c r="AO455" s="102" t="str">
        <f>IF(A455="","",
SUM(
COUNTIFS('QA Log'!D:D,A455,'QA Log'!M:M,"Data Verification",'QA Log'!Z:Z,"Approved",'QA Log'!L:L,"*Personnel (section 1)*"),
COUNTIFS('QA Log'!D:D,A455,'QA Log'!M:M,"Data Verification",'QA Log'!Z:Z,"Approved",'QA Log'!L:L,"*Consumable (section 3)*"),
COUNTIFS('QA Log'!D:D,A455,'QA Log'!M:M,"Data Verification",'QA Log'!Z:Z,"Approved",'QA Log'!L:L,"*Equipments (section 4)*")
))</f>
        <v/>
      </c>
      <c r="AP455" s="105" t="str">
        <f>IF(A455&lt;&gt;"",COUNTIFS('QA Log'!D:D,A455,'QA Log'!M:M,"Data Verification",'QA Log'!L:L,"Personnel (section 1)",'QA Log'!Z:Z,"Approved"),"")</f>
        <v/>
      </c>
      <c r="AQ455" s="105" t="str">
        <f>IF(A455&lt;&gt;"",COUNTIFS('QA Log'!D:D,A455,'QA Log'!M:M,"Data Verification",'QA Log'!L:L,"Consumable (section 3)",'QA Log'!Z:Z,"Approved"),"")</f>
        <v/>
      </c>
      <c r="AR455" s="105" t="str">
        <f>IF(A455&lt;&gt;"",COUNTIFS('QA Log'!D:D,A455,'QA Log'!M:M,"Data Verification",'QA Log'!L:L,"Equipments (section 4)",'QA Log'!Z:Z,"Approved"),"")</f>
        <v/>
      </c>
      <c r="AS455" s="102" t="str">
        <f>IF(A455="","",
SUM(
COUNTIFS('QA Log'!D:D,A455,'QA Log'!M:M,"Data Verification",'QA Log'!Z:Z,"Rejected",'QA Log'!L:L,"*Personnel (section 1)*"),
COUNTIFS('QA Log'!D:D,A455,'QA Log'!M:M,"Data Verification",'QA Log'!Z:Z,"Rejected",'QA Log'!L:L,"*Consumable (section 3)*"),
COUNTIFS('QA Log'!D:D,A455,'QA Log'!M:M,"Data Verification",'QA Log'!Z:Z,"Rejected",'QA Log'!L:L,"*Equipments (section 4)*")
))</f>
        <v/>
      </c>
      <c r="AT455" s="102" t="str">
        <f t="shared" si="33"/>
        <v/>
      </c>
      <c r="AU455" s="103" t="str">
        <f t="shared" si="34"/>
        <v/>
      </c>
      <c r="AV455" s="102" t="str">
        <f>IF(A455="","",SUM(
COUNTIFS('QA Log'!D:D,A455,'QA Log'!M:M,"Vignette",'QA Log'!L:L,"*Vignette [1] Respiratory Infection: Pneumonia*"),
COUNTIFS('QA Log'!D:D,A455,'QA Log'!M:M,"Vignette",'QA Log'!L:L,"*Vignette [2]: Diarrhea with Cat B dehydration*"),
COUNTIFS('QA Log'!D:D,A455,'QA Log'!M:M,"Vignette",'QA Log'!L:L,"*Vignette [3] Growth Monitoring and Promotion*"),
COUNTIFS('QA Log'!D:D,A455,'QA Log'!M:M,"Vignette",'QA Log'!L:L,"*Vignette [4]: The management of presumptive TB patient*")
)
)</f>
        <v/>
      </c>
      <c r="AW455" s="102" t="str">
        <f>IF(
  A455="","",
  SUM(
    COUNTIFS('QA Log'!D:D,A455,'QA Log'!M:M,"Vignette",'QA Log'!Z:Z,"Approved",'QA Log'!L:L,"*Vignette [1] Respiratory Infection: Pneumonia*"),
    COUNTIFS('QA Log'!D:D,A455,'QA Log'!M:M,"Vignette",'QA Log'!Z:Z,"Approved",'QA Log'!L:L,"*Vignette [2]: Diarrhea with Cat B dehydration*"),
    COUNTIFS('QA Log'!D:D,A455,'QA Log'!M:M,"Vignette",'QA Log'!Z:Z,"Approved",'QA Log'!L:L,"*Vignette [3] Growth Monitoring and Promotion*"),
    COUNTIFS('QA Log'!D:D,A455,'QA Log'!M:M,"Vignette",'QA Log'!Z:Z,"Approved",'QA Log'!L:L,"*Vignette [4]: The management of presumptive TB patient*")
  )
)</f>
        <v/>
      </c>
      <c r="AX455" s="105" t="str">
        <f>IF(A455&lt;&gt;"",COUNTIFS('QA Log'!D:D,A455,'QA Log'!M:M,"Vignette",'QA Log'!L:L,"Vignette [1] Respiratory Infection: Pneumonia",'QA Log'!Z:Z,"Approved"),"")</f>
        <v/>
      </c>
      <c r="AY455" s="105" t="str">
        <f>IF(A455&lt;&gt;"",COUNTIFS('QA Log'!D:D,A455,'QA Log'!M:M,"Vignette",'QA Log'!L:L,"Vignette [2]: Diarrhea with Cat B dehydration",'QA Log'!Z:Z,"Approved"),"")</f>
        <v/>
      </c>
      <c r="AZ455" s="105" t="str">
        <f>IF(A455&lt;&gt;"",COUNTIFS('QA Log'!D:D,A455,'QA Log'!M:M,"Vignette",'QA Log'!L:L,"Vignette [3] Growth Monitoring and Promotion",'QA Log'!Z:Z,"Approved"),"")</f>
        <v/>
      </c>
      <c r="BA455" s="105" t="str">
        <f>IF(A455&lt;&gt;"",COUNTIFS('QA Log'!D:D,A455,'QA Log'!M:M,"Vignette",'QA Log'!L:L,"Vignette [4]: The management of presumptive TB patient",'QA Log'!Z:Z,"Approved"),"")</f>
        <v/>
      </c>
      <c r="BB455" s="102" t="str">
        <f>IF(A455="","",
  SUM(
    COUNTIFS('QA Log'!D:D,A455,'QA Log'!M:M,"Vignette",'QA Log'!Z:Z,"Rejected",'QA Log'!L:L,"*Vignette [1] Respiratory Infection: Pneumonia*"),
    COUNTIFS('QA Log'!D:D,A455,'QA Log'!M:M,"Vignette",'QA Log'!Z:Z,"Rejected",'QA Log'!L:L,"*Vignette [2]: Diarrhea with Cat B dehydration*"),
    COUNTIFS('QA Log'!D:D,A455,'QA Log'!M:M,"Vignette",'QA Log'!Z:Z,"Rejected",'QA Log'!L:L,"*Vignette [3] Growth Monitoring and Promotion*"),
    COUNTIFS('QA Log'!D:D,A455,'QA Log'!M:M,"Vignette",'QA Log'!Z:Z,"Rejected",'QA Log'!L:L,"*Vignette [4]: The management of presumptive TB patient*")
  )
)</f>
        <v/>
      </c>
      <c r="BC455" s="107" t="str">
        <f t="shared" si="35"/>
        <v/>
      </c>
      <c r="BD455" s="103" t="str">
        <f t="shared" si="36"/>
        <v/>
      </c>
      <c r="BE455" s="102" t="str">
        <f>IF(A455="","",SUM(
COUNTIFS('QA Log'!D:D,A455,'QA Log'!M:M,"Vignette",'QA Log'!L:L,"*Vignette [5] Labor*"),
COUNTIFS('QA Log'!D:D,A455,'QA Log'!M:M,"Vignette",'QA Log'!L:L,"*Vignette [6] PNC pre Discharge*"),
COUNTIFS('QA Log'!D:D,A455,'QA Log'!M:M,"Vignette",'QA Log'!L:L,"*Vignette [7] First ANC Visit*"),
COUNTIFS('QA Log'!D:D,A455,'QA Log'!M:M,"Vignette",'QA Log'!L:L,"*Vignette [8] Birth Spacing/ Family Planning :  FP Counselling*"),
COUNTIFS('QA Log'!D:D,A455,'QA Log'!M:M,"Vignette",'QA Log'!L:L,"*Vignette [9] Birth Spacing: Change FP method to Injectable*"),
COUNTIFS('QA Log'!D:D,A455,'QA Log'!M:M,"Vignette",'QA Log'!L:L,"*Vignette [10] Post Partum Haemorrhage - Atonic Uterus at Health Centre*"),
)
)</f>
        <v/>
      </c>
      <c r="BF455" s="102" t="str">
        <f>IF(A455="","",
  SUM(
    COUNTIFS('QA Log'!D:D,A455,'QA Log'!M:M,"Vignette",'QA Log'!Z:Z,"Approved",'QA Log'!L:L,"*Vignette [5] Labor*"),
    COUNTIFS('QA Log'!D:D,A455,'QA Log'!M:M,"Vignette",'QA Log'!Z:Z,"Approved",'QA Log'!L:L,"*Vignette [6] PNC pre Discharge*"),
    COUNTIFS('QA Log'!D:D,A455,'QA Log'!M:M,"Vignette",'QA Log'!Z:Z,"Approved",'QA Log'!L:L,"*Vignette [7] First ANC Visit*"),
    COUNTIFS('QA Log'!D:D,A455,'QA Log'!M:M,"Vignette",'QA Log'!Z:Z,"Approved",'QA Log'!L:L,"*Vignette [8] Birth Spacing/ Family Planning :  FP Counselling*"),
    COUNTIFS('QA Log'!D:D,A455,'QA Log'!M:M,"Vignette",'QA Log'!Z:Z,"Approved",'QA Log'!L:L,"*Vignette [9] Birth Spacing: Change FP method to Injectable*"),
    COUNTIFS('QA Log'!D:D,A455,'QA Log'!M:M,"Vignette",'QA Log'!Z:Z,"Approved",'QA Log'!L:L,"*Vignette [10] Post Partum Haemorrhage - Atonic Uterus at Health Centre*")
  )
)</f>
        <v/>
      </c>
      <c r="BG455" s="105" t="str">
        <f>IF(A455&lt;&gt;"",COUNTIFS('QA Log'!D:D,A455,'QA Log'!M:M,"Vignette",'QA Log'!L:L,"Vignette [5] Labor",'QA Log'!Z:Z,"Approved"),"")</f>
        <v/>
      </c>
      <c r="BH455" s="105" t="str">
        <f>IF(A455&lt;&gt;"",COUNTIFS('QA Log'!D:D,A455,'QA Log'!M:M,"Vignette",'QA Log'!L:L,"Vignette [6] PNC pre Discharge",'QA Log'!Z:Z,"Approved"),"")</f>
        <v/>
      </c>
      <c r="BI455" s="105" t="str">
        <f>IF(A455&lt;&gt;"",COUNTIFS('QA Log'!D:D,A455,'QA Log'!M:M,"Vignette",'QA Log'!L:L,"Vignette [7] First ANC Visit",'QA Log'!Z:Z,"Approved"),"")</f>
        <v/>
      </c>
      <c r="BJ455" s="105" t="str">
        <f>IF(A455&lt;&gt;"",COUNTIFS('QA Log'!D:D,A455,'QA Log'!M:M,"Vignette",'QA Log'!L:L,"Vignette [8] Birth Spacing/ Family Planning :  FP Counselling",'QA Log'!Z:Z,"Approved"),"")</f>
        <v/>
      </c>
      <c r="BK455" s="105" t="str">
        <f>IF(A455&lt;&gt;"",COUNTIFS('QA Log'!D:D,A455,'QA Log'!M:M,"Vignette",'QA Log'!L:L,"Vignette [9] Birth Spacing: Change FP method to Injectable",'QA Log'!Z:Z,"Approved"),"")</f>
        <v/>
      </c>
      <c r="BL455" s="105" t="str">
        <f>IF(A455&lt;&gt;"",COUNTIFS('QA Log'!D:D,A455,'QA Log'!M:M,"Vignette",'QA Log'!L:L,"Vignette [10] Post Partum Haemorrhage - Atonic Uterus at Health Centre",'QA Log'!Z:Z,"Approved"),"")</f>
        <v/>
      </c>
      <c r="BM455" s="102" t="str">
        <f>IF(A455="","",SUM(
    COUNTIFS('QA Log'!D:D,A455,'QA Log'!M:M,"Vignette",'QA Log'!Z:Z,"Rejected",'QA Log'!L:L,"*Vignette [5] Labor*"),
    COUNTIFS('QA Log'!D:D,A455,'QA Log'!M:M,"Vignette",'QA Log'!Z:Z,"Rejected",'QA Log'!L:L,"*Vignette [6] PNC pre Discharge*"),
    COUNTIFS('QA Log'!D:D,A455,'QA Log'!M:M,"Vignette",'QA Log'!Z:Z,"Rejected",'QA Log'!L:L,"*Vignette [7] First ANC Visit*"),
    COUNTIFS('QA Log'!D:D,A455,'QA Log'!M:M,"Vignette",'QA Log'!Z:Z,"Rejected",'QA Log'!L:L,"*Vignette [8] Birth Spacing/ Family Planning :  FP Counselling*"),
    COUNTIFS('QA Log'!D:D,A455,'QA Log'!M:M,"Vignette",'QA Log'!Z:Z,"Rejected",'QA Log'!L:L,"*Vignette [9] Birth Spacing: Change FP method to Injectable*"),
    COUNTIFS('QA Log'!D:D,A455,'QA Log'!M:M,"Vignette",'QA Log'!Z:Z,"Rejected",'QA Log'!L:L,"*Vignette [10] Post Partum Haemorrhage - Atonic Uterus at Health Centre*")
  )
)</f>
        <v/>
      </c>
      <c r="BN455" s="107" t="str">
        <f t="shared" si="37"/>
        <v/>
      </c>
      <c r="BO455" s="103" t="str">
        <f t="shared" si="38"/>
        <v/>
      </c>
      <c r="BP455" s="102" t="str">
        <f>IF(A455="","",SUM(
COUNTIFS('QA Log'!D:D,A455,'QA Log'!M:M,"Vignette",'QA Log'!L:L,"*Exit Interview 1*"),
COUNTIFS('QA Log'!D:D,A455,'QA Log'!M:M,"Vignette",'QA Log'!L:L,"*Exit Interview 2*"),
)
)</f>
        <v/>
      </c>
      <c r="BQ455" s="102" t="str">
        <f>IF(
  A455="","",
  SUM(
    COUNTIFS('QA Log'!D:D,A455,'QA Log'!M:M,"Vignette",'QA Log'!Z:Z,"Approved",'QA Log'!L:L,"*Exit Interview 1*"),
    COUNTIFS('QA Log'!D:D,A455,'QA Log'!M:M,"Vignette",'QA Log'!Z:Z,"Approved",'QA Log'!L:L,"*Exit Interview 2*")
  )
)</f>
        <v/>
      </c>
      <c r="BR455" s="105" t="str">
        <f>IF(A455&lt;&gt;"",COUNTIFS('QA Log'!D:D,A455,'QA Log'!M:M,"Vignette",'QA Log'!L:L,"Exit Interview 1",'QA Log'!Z:Z,"Approved"),"")</f>
        <v/>
      </c>
      <c r="BS455" s="105" t="str">
        <f>IF(A455&lt;&gt;"",COUNTIFS('QA Log'!D:D,A455,'QA Log'!M:M,"Vignette",'QA Log'!L:L,"Exit Interview 2",'QA Log'!Z:Z,"Approved"),"")</f>
        <v/>
      </c>
      <c r="BT455" s="102" t="str">
        <f>IF(
  A455="","",
  SUM(
    COUNTIFS('QA Log'!D:D,A455,'QA Log'!M:M,"Vignette",'QA Log'!Z:Z,"Rejected",'QA Log'!L:L,"*Exit Interview 1*"),
    COUNTIFS('QA Log'!D:D,A455,'QA Log'!M:M,"Vignette",'QA Log'!Z:Z,"Rejected",'QA Log'!L:L,"*Exit Interview 2*")
  )
)</f>
        <v/>
      </c>
      <c r="BU455" s="107" t="str">
        <f t="shared" si="39"/>
        <v/>
      </c>
      <c r="BV455" s="102" t="str">
        <f t="shared" si="40"/>
        <v/>
      </c>
      <c r="BW455" s="102" t="str">
        <f t="shared" si="41"/>
        <v/>
      </c>
      <c r="BX455" s="102" t="str">
        <f t="shared" si="42"/>
        <v/>
      </c>
      <c r="BY455" s="102" t="str">
        <f t="shared" si="43"/>
        <v/>
      </c>
      <c r="BZ455" s="107" t="str">
        <f t="shared" si="44"/>
        <v/>
      </c>
      <c r="CA455" s="108" t="str">
        <f t="shared" si="45"/>
        <v/>
      </c>
      <c r="CB455" s="108" t="str">
        <f t="shared" si="46"/>
        <v/>
      </c>
      <c r="CC455" s="109" t="str">
        <f t="shared" si="47"/>
        <v/>
      </c>
      <c r="CD455" s="108" t="str">
        <f t="shared" si="48"/>
        <v/>
      </c>
      <c r="CE455" s="108" t="str">
        <f t="shared" si="49"/>
        <v/>
      </c>
      <c r="CF455" s="109" t="str">
        <f t="shared" si="50"/>
        <v/>
      </c>
      <c r="CG455" s="110" t="str">
        <f t="shared" si="51"/>
        <v/>
      </c>
      <c r="CH455" s="111"/>
    </row>
    <row r="456" spans="1:86" ht="12.75">
      <c r="A456" s="101"/>
      <c r="B456" s="102" t="e">
        <f t="array" aca="1" ref="B456" ca="1">_xludf.XLOOKUP(A456,'QA Log'!D:D,'QA Log'!E:E,"")</f>
        <v>#NAME?</v>
      </c>
      <c r="C456" s="102" t="e">
        <f t="array" aca="1" ref="C456" ca="1">_xludf.XLOOKUP(A456,'QA Log'!D:D,'QA Log'!F:F,"")</f>
        <v>#NAME?</v>
      </c>
      <c r="D456" s="102" t="e">
        <f t="array" aca="1" ref="D456" ca="1">_xludf.XLOOKUP(A456,'QA Log'!D:D,'QA Log'!H:H,"")</f>
        <v>#NAME?</v>
      </c>
      <c r="E456" s="102" t="e">
        <f t="array" aca="1" ref="E456" ca="1">_xludf.XLOOKUP(A456,'QA Log'!D:D,'QA Log'!G:G,"")</f>
        <v>#NAME?</v>
      </c>
      <c r="F456" s="103"/>
      <c r="G456" s="104"/>
      <c r="H456" s="104"/>
      <c r="I456" s="103" t="str">
        <f t="shared" si="26"/>
        <v/>
      </c>
      <c r="J456" s="102" t="str">
        <f>IF(A456="","",SUM(
COUNTIFS('QA Log'!D:D,A456,'QA Log'!M:M,"QQC",'QA Log'!L:L,"*1. General Management*"),
COUNTIFS('QA Log'!D:D,A456,'QA Log'!M:M,"QQC",'QA Log'!L:L,"*3. Curative Consultation (OPD)*"),
COUNTIFS('QA Log'!D:D,A456,'QA Log'!M:M,"QQC",'QA Log'!L:L,"*5. Laboratory*"),
COUNTIFS('QA Log'!D:D,A456,'QA Log'!M:M,"QQC",'QA Log'!L:L,"*6. Essential Medicine Management*"),
COUNTIFS('QA Log'!D:D,A456,'QA Log'!M:M,"QQC",'QA Log'!L:L,"*7. Tracer Medicine*"),
COUNTIFS('QA Log'!D:D,A456,'QA Log'!M:M,"QQC",'QA Log'!L:L,"*11. Additional Questions*")))</f>
        <v/>
      </c>
      <c r="K456" s="102" t="str">
        <f>IF(A456="","",SUM(
COUNTIFS('QA Log'!D:D,A456,'QA Log'!M:M,"QQC",'QA Log'!Z:Z,"Approved",'QA Log'!L:L,"*1. General Management*"),
COUNTIFS('QA Log'!D:D,A456,'QA Log'!M:M,"QQC",'QA Log'!Z:Z,"Approved",'QA Log'!L:L,"*3. Curative Consultation (OPD)*"),
COUNTIFS('QA Log'!D:D,A456,'QA Log'!M:M,"QQC",'QA Log'!Z:Z,"Approved",'QA Log'!L:L,"*5. Laboratory*"),
COUNTIFS('QA Log'!D:D,A456,'QA Log'!M:M,"QQC",'QA Log'!Z:Z,"Approved",'QA Log'!L:L,"*6. Essential Medicine Management*"),
COUNTIFS('QA Log'!D:D,A456,'QA Log'!M:M,"QQC",'QA Log'!Z:Z,"Approved",'QA Log'!L:L,"*7. Tracer Medicine*"),
COUNTIFS('QA Log'!D:D,A456,'QA Log'!M:M,"QQC",'QA Log'!Z:Z,"Approved",'QA Log'!L:L,"*11. Additional Questions*")))</f>
        <v/>
      </c>
      <c r="L456" s="102" t="str">
        <f>IF(A456&lt;&gt;"",COUNTIFS('QA Log'!D:D,A456,'QA Log'!M:M,"QQC",'QA Log'!L:L,"1. General Management",'QA Log'!Z:Z,"Approved"),"")</f>
        <v/>
      </c>
      <c r="M456" s="102" t="str">
        <f>IF(A456&lt;&gt;"",COUNTIFS('QA Log'!D:D,A456,'QA Log'!M:M,"QQC",'QA Log'!L:L,"3. Curative Consultation (OPD)",'QA Log'!Z:Z,"Approved"),"")</f>
        <v/>
      </c>
      <c r="N456" s="102" t="str">
        <f>IF(A456&lt;&gt;"",COUNTIFS('QA Log'!D:D,A456,'QA Log'!M:M,"QQC",'QA Log'!L:L,"5. Laboratory",'QA Log'!Z:Z,"Approved"),"")</f>
        <v/>
      </c>
      <c r="O456" s="102" t="str">
        <f>IF(A456&lt;&gt;"",COUNTIFS('QA Log'!D:D,A456,'QA Log'!M:M,"QQC",'QA Log'!L:L,"6. Essential Medicine Management",'QA Log'!Z:Z,"Approved"),"")</f>
        <v/>
      </c>
      <c r="P456" s="102" t="str">
        <f>IF(A456&lt;&gt;"",COUNTIFS('QA Log'!D:D,A456,'QA Log'!M:M,"QQC",'QA Log'!L:L,"7. Tracer Medicine",'QA Log'!Z:Z,"Approved"),"")</f>
        <v/>
      </c>
      <c r="Q456" s="102" t="str">
        <f>IF(A456&lt;&gt;"",COUNTIFS('QA Log'!D:D,A456,'QA Log'!M:M,"QQC",'QA Log'!L:L,"11. Additional Questions",'QA Log'!Z:Z,"Approved"),"")</f>
        <v/>
      </c>
      <c r="R456" s="102" t="str">
        <f>IF(A456="","",SUM(
COUNTIFS('QA Log'!D:D,A456,'QA Log'!M:M,"QQC",'QA Log'!Z:Z,"Rejected",'QA Log'!L:L,"*8. Maternity*"),
COUNTIFS('QA Log'!D:D,A456,'QA Log'!M:M,"QQC",'QA Log'!Z:Z,"Rejected",'QA Log'!L:L,"*EPI*"),
COUNTIFS('QA Log'!D:D,A456,'QA Log'!M:M,"QQC",'QA Log'!Z:Z,"Rejected",'QA Log'!L:L,"*10. Antenatal Care (ANC)*"),
COUNTIFS('QA Log'!D:D,A456,'QA Log'!M:M,"QQC",'QA Log'!Z:Z,"Rejected",'QA Log'!L:L,"*2. Hygiene and Sterilization*"),
COUNTIFS('QA Log'!D:D,A456,'QA Log'!M:M,"QQC",'QA Log'!Z:Z,"Rejected",'QA Log'!L:L,"*Family Planning*")))</f>
        <v/>
      </c>
      <c r="S456" s="106" t="str">
        <f t="shared" si="27"/>
        <v/>
      </c>
      <c r="T456" s="102" t="str">
        <f t="shared" si="28"/>
        <v/>
      </c>
      <c r="U456" s="102" t="str">
        <f>IF(A456="","",
SUM(
COUNTIFS('QA Log'!D:D,A456,'QA Log'!M:M,"QQC",'QA Log'!L:L,"*8. Maternity*"),
COUNTIFS('QA Log'!D:D,A456,'QA Log'!M:M,"QQC",'QA Log'!L:L,"*9. EPI and Pre-school Consultation*"),
COUNTIFS('QA Log'!D:D,A456,'QA Log'!M:M,"QQC",'QA Log'!L:L,"*10. Antenatal Care (ANC)*"),
COUNTIFS('QA Log'!D:D,A456,'QA Log'!M:M,"QQC",'QA Log'!L:L,"*2. Hygiene and Sterilization*"),
COUNTIFS('QA Log'!D:D,A456,'QA Log'!M:M,"QQC",'QA Log'!L:L,"*4. Family Planning*")
))</f>
        <v/>
      </c>
      <c r="V456" s="102" t="str">
        <f>IF(A456="","",
SUM(
COUNTIFS('QA Log'!D:D,A456,'QA Log'!M:M,"QQC",'QA Log'!Z:Z,"Approved",'QA Log'!L:L,"*8. Maternity*"),
COUNTIFS('QA Log'!D:D,A456,'QA Log'!M:M,"QQC",'QA Log'!Z:Z,"Approved",'QA Log'!L:L,"*9. EPI and Pre-school Consultation*"),
COUNTIFS('QA Log'!D:D,A456,'QA Log'!M:M,"QQC",'QA Log'!Z:Z,"Approved",'QA Log'!L:L,"*10. Antenatal Care (ANC)*"),
COUNTIFS('QA Log'!D:D,A456,'QA Log'!M:M,"QQC",'QA Log'!Z:Z,"Approved",'QA Log'!L:L,"*2. Hygiene and Sterilization*"),
COUNTIFS('QA Log'!D:D,A456,'QA Log'!M:M,"QQC",'QA Log'!Z:Z,"Approved",'QA Log'!L:L,"*4. Family Planning*")
))</f>
        <v/>
      </c>
      <c r="W456" s="102" t="str">
        <f>IF(A456&lt;&gt;"",COUNTIFS('QA Log'!D:D,A456,'QA Log'!M:M,"QQC",'QA Log'!L:L,"8. Maternity",'QA Log'!Z:Z,"Approved"),"")</f>
        <v/>
      </c>
      <c r="X456" s="105" t="str">
        <f>IF(A456&lt;&gt;"",COUNTIFS('QA Log'!D:D,A456,'QA Log'!M:M,"QQC",'QA Log'!L:L,"9. EPI and Pre-school Consultation",'QA Log'!Z:Z,"Approved"),"")</f>
        <v/>
      </c>
      <c r="Y456" s="102" t="str">
        <f>IF(A456&lt;&gt;"",COUNTIFS('QA Log'!D:D,A456,'QA Log'!M:M,"QQC",'QA Log'!L:L,"10. Antenatal Care (ANC)",'QA Log'!Z:Z,"Approved"),"")</f>
        <v/>
      </c>
      <c r="Z456" s="102" t="str">
        <f>IF(A456&lt;&gt;"",COUNTIFS('QA Log'!D:D,A456,'QA Log'!M:M,"QQC",'QA Log'!L:L,"2. Hygiene and Sterilization",'QA Log'!Z:Z,"Approved"),"")</f>
        <v/>
      </c>
      <c r="AA456" s="105" t="str">
        <f>IF(A456&lt;&gt;"",COUNTIFS('QA Log'!D:D,A456,'QA Log'!M:M,"QQC",'QA Log'!L:L,"4. Family Planning",'QA Log'!Z:Z,"Approved"),"")</f>
        <v/>
      </c>
      <c r="AB456" s="102" t="str">
        <f>IF(A456="","",
SUM(
COUNTIFS('QA Log'!D:D,A456,'QA Log'!M:M,"QQC",'QA Log'!Z:Z,"Rejected",'QA Log'!L:L,"*8. Maternity*"),
COUNTIFS('QA Log'!D:D,A456,'QA Log'!M:M,"QQC",'QA Log'!Z:Z,"Rejected",'QA Log'!L:L,"*9. EPI and Pre-school Consultation*"),
COUNTIFS('QA Log'!D:D,A456,'QA Log'!M:M,"QQC",'QA Log'!Z:Z,"Rejected",'QA Log'!L:L,"*10. Antenatal Care (ANC)*"),
COUNTIFS('QA Log'!D:D,A456,'QA Log'!M:M,"QQC",'QA Log'!Z:Z,"Rejected",'QA Log'!L:L,"*2. Hygiene and Sterilization*"),
COUNTIFS('QA Log'!D:D,A456,'QA Log'!M:M,"QQC",'QA Log'!Z:Z,"Rejected",'QA Log'!L:L,"*4. Family Planning*")
))</f>
        <v/>
      </c>
      <c r="AC456" s="102" t="str">
        <f t="shared" si="29"/>
        <v/>
      </c>
      <c r="AD456" s="103" t="str">
        <f t="shared" si="30"/>
        <v/>
      </c>
      <c r="AE456" s="102" t="str">
        <f>IF(A456="","",
SUM(
COUNTIFS('QA Log'!D:D,A456,'QA Log'!M:M,"Data Verification",'QA Log'!L:L,"*Medicine (section 2)*"),
COUNTIFS('QA Log'!D:D,A456,'QA Log'!M:M,"Data Verification",'QA Log'!L:L,"*Lab Testing Availability*"),
COUNTIFS('QA Log'!D:D,A456,'QA Log'!M:M,"Data Verification",'QA Log'!L:L,"*Other than P4P (section 6)*"),
COUNTIFS('QA Log'!D:D,A456,'QA Log'!M:M,"Data Verification",'QA Log'!L:L,"*Hospital Governance*")
))</f>
        <v/>
      </c>
      <c r="AF456" s="102" t="str">
        <f>IF(A456="","",
SUM(
COUNTIFS('QA Log'!D:D,A456,'QA Log'!M:M,"Data Verification",'QA Log'!Z:Z,"Approved",'QA Log'!L:L,"*Medicine (section 2)*"),
COUNTIFS('QA Log'!D:D,A456,'QA Log'!M:M,"Data Verification",'QA Log'!Z:Z,"Approved",'QA Log'!L:L,"*Lab Testing Availability*"),
COUNTIFS('QA Log'!D:D,A456,'QA Log'!M:M,"Data Verification",'QA Log'!Z:Z,"Approved",'QA Log'!L:L,"*Other than P4P (section 6)*"),
COUNTIFS('QA Log'!D:D,A456,'QA Log'!M:M,"Data Verification",'QA Log'!Z:Z,"Approved",'QA Log'!L:L,"*Hospital Governance*")
))</f>
        <v/>
      </c>
      <c r="AG456" s="105" t="str">
        <f>IF(A456&lt;&gt;"",COUNTIFS('QA Log'!D:D,A456,'QA Log'!M:M,"Data Verification",'QA Log'!L:L,"Medicine (section 2)",'QA Log'!Z:Z,"Approved"),"")</f>
        <v/>
      </c>
      <c r="AH456" s="105" t="str">
        <f>IF(A456&lt;&gt;"",COUNTIFS('QA Log'!D:D,A456,'QA Log'!M:M,"Data Verification",'QA Log'!L:L,"Lab Testing Availability",'QA Log'!Z:Z,"Approved"),"")</f>
        <v/>
      </c>
      <c r="AI456" s="105" t="str">
        <f>IF(A456&lt;&gt;"",COUNTIFS('QA Log'!D:D,A456,'QA Log'!M:M,"Data Verification",'QA Log'!L:L,"Other than P4P (section 6)",'QA Log'!Z:Z,"Approved"),"")</f>
        <v/>
      </c>
      <c r="AJ456" s="105" t="str">
        <f>IF(A456&lt;&gt;"",COUNTIFS('QA Log'!D:D,A456,'QA Log'!M:M,"Data Verification",'QA Log'!L:L,"Hospital Governance",'QA Log'!Z:Z,"Approved"),"")</f>
        <v/>
      </c>
      <c r="AK456" s="102" t="str">
        <f>IF(A456="","",
SUM(
COUNTIFS('QA Log'!D:D,A456,'QA Log'!M:M,"Data Verification",'QA Log'!Z:Z,"Rejected",'QA Log'!L:L,"*Medicine (section 2)*"),
COUNTIFS('QA Log'!D:D,A456,'QA Log'!M:M,"Data Verification",'QA Log'!Z:Z,"Rejected",'QA Log'!L:L,"*Lab Testing Availability*"),
COUNTIFS('QA Log'!D:D,A456,'QA Log'!M:M,"Data Verification",'QA Log'!Z:Z,"Rejected",'QA Log'!L:L,"*Other than P4P (section 6)*"),
COUNTIFS('QA Log'!D:D,A456,'QA Log'!M:M,"Data Verification",'QA Log'!Z:Z,"Rejected",'QA Log'!L:L,"*Hospital Governance*")
))</f>
        <v/>
      </c>
      <c r="AL456" s="106" t="str">
        <f t="shared" si="31"/>
        <v/>
      </c>
      <c r="AM456" s="102" t="str">
        <f t="shared" si="32"/>
        <v/>
      </c>
      <c r="AN456" s="102" t="str">
        <f>IF(A456="","",
SUM(
COUNTIFS('QA Log'!D:D,A456,'QA Log'!M:M,"Data Verification",'QA Log'!L:L,"*Personnel (section 1)*"),
COUNTIFS('QA Log'!D:D,A456,'QA Log'!M:M,"Data Verification",'QA Log'!L:L,"*Consumable (section 3)*"),
COUNTIFS('QA Log'!D:D,A456,'QA Log'!M:M,"Data Verification",'QA Log'!L:L,"*Equipments (section 4)*")
))</f>
        <v/>
      </c>
      <c r="AO456" s="102" t="str">
        <f>IF(A456="","",
SUM(
COUNTIFS('QA Log'!D:D,A456,'QA Log'!M:M,"Data Verification",'QA Log'!Z:Z,"Approved",'QA Log'!L:L,"*Personnel (section 1)*"),
COUNTIFS('QA Log'!D:D,A456,'QA Log'!M:M,"Data Verification",'QA Log'!Z:Z,"Approved",'QA Log'!L:L,"*Consumable (section 3)*"),
COUNTIFS('QA Log'!D:D,A456,'QA Log'!M:M,"Data Verification",'QA Log'!Z:Z,"Approved",'QA Log'!L:L,"*Equipments (section 4)*")
))</f>
        <v/>
      </c>
      <c r="AP456" s="105" t="str">
        <f>IF(A456&lt;&gt;"",COUNTIFS('QA Log'!D:D,A456,'QA Log'!M:M,"Data Verification",'QA Log'!L:L,"Personnel (section 1)",'QA Log'!Z:Z,"Approved"),"")</f>
        <v/>
      </c>
      <c r="AQ456" s="105" t="str">
        <f>IF(A456&lt;&gt;"",COUNTIFS('QA Log'!D:D,A456,'QA Log'!M:M,"Data Verification",'QA Log'!L:L,"Consumable (section 3)",'QA Log'!Z:Z,"Approved"),"")</f>
        <v/>
      </c>
      <c r="AR456" s="105" t="str">
        <f>IF(A456&lt;&gt;"",COUNTIFS('QA Log'!D:D,A456,'QA Log'!M:M,"Data Verification",'QA Log'!L:L,"Equipments (section 4)",'QA Log'!Z:Z,"Approved"),"")</f>
        <v/>
      </c>
      <c r="AS456" s="102" t="str">
        <f>IF(A456="","",
SUM(
COUNTIFS('QA Log'!D:D,A456,'QA Log'!M:M,"Data Verification",'QA Log'!Z:Z,"Rejected",'QA Log'!L:L,"*Personnel (section 1)*"),
COUNTIFS('QA Log'!D:D,A456,'QA Log'!M:M,"Data Verification",'QA Log'!Z:Z,"Rejected",'QA Log'!L:L,"*Consumable (section 3)*"),
COUNTIFS('QA Log'!D:D,A456,'QA Log'!M:M,"Data Verification",'QA Log'!Z:Z,"Rejected",'QA Log'!L:L,"*Equipments (section 4)*")
))</f>
        <v/>
      </c>
      <c r="AT456" s="102" t="str">
        <f t="shared" si="33"/>
        <v/>
      </c>
      <c r="AU456" s="103" t="str">
        <f t="shared" si="34"/>
        <v/>
      </c>
      <c r="AV456" s="102" t="str">
        <f>IF(A456="","",SUM(
COUNTIFS('QA Log'!D:D,A456,'QA Log'!M:M,"Vignette",'QA Log'!L:L,"*Vignette [1] Respiratory Infection: Pneumonia*"),
COUNTIFS('QA Log'!D:D,A456,'QA Log'!M:M,"Vignette",'QA Log'!L:L,"*Vignette [2]: Diarrhea with Cat B dehydration*"),
COUNTIFS('QA Log'!D:D,A456,'QA Log'!M:M,"Vignette",'QA Log'!L:L,"*Vignette [3] Growth Monitoring and Promotion*"),
COUNTIFS('QA Log'!D:D,A456,'QA Log'!M:M,"Vignette",'QA Log'!L:L,"*Vignette [4]: The management of presumptive TB patient*")
)
)</f>
        <v/>
      </c>
      <c r="AW456" s="102" t="str">
        <f>IF(
  A456="","",
  SUM(
    COUNTIFS('QA Log'!D:D,A456,'QA Log'!M:M,"Vignette",'QA Log'!Z:Z,"Approved",'QA Log'!L:L,"*Vignette [1] Respiratory Infection: Pneumonia*"),
    COUNTIFS('QA Log'!D:D,A456,'QA Log'!M:M,"Vignette",'QA Log'!Z:Z,"Approved",'QA Log'!L:L,"*Vignette [2]: Diarrhea with Cat B dehydration*"),
    COUNTIFS('QA Log'!D:D,A456,'QA Log'!M:M,"Vignette",'QA Log'!Z:Z,"Approved",'QA Log'!L:L,"*Vignette [3] Growth Monitoring and Promotion*"),
    COUNTIFS('QA Log'!D:D,A456,'QA Log'!M:M,"Vignette",'QA Log'!Z:Z,"Approved",'QA Log'!L:L,"*Vignette [4]: The management of presumptive TB patient*")
  )
)</f>
        <v/>
      </c>
      <c r="AX456" s="105" t="str">
        <f>IF(A456&lt;&gt;"",COUNTIFS('QA Log'!D:D,A456,'QA Log'!M:M,"Vignette",'QA Log'!L:L,"Vignette [1] Respiratory Infection: Pneumonia",'QA Log'!Z:Z,"Approved"),"")</f>
        <v/>
      </c>
      <c r="AY456" s="105" t="str">
        <f>IF(A456&lt;&gt;"",COUNTIFS('QA Log'!D:D,A456,'QA Log'!M:M,"Vignette",'QA Log'!L:L,"Vignette [2]: Diarrhea with Cat B dehydration",'QA Log'!Z:Z,"Approved"),"")</f>
        <v/>
      </c>
      <c r="AZ456" s="105" t="str">
        <f>IF(A456&lt;&gt;"",COUNTIFS('QA Log'!D:D,A456,'QA Log'!M:M,"Vignette",'QA Log'!L:L,"Vignette [3] Growth Monitoring and Promotion",'QA Log'!Z:Z,"Approved"),"")</f>
        <v/>
      </c>
      <c r="BA456" s="105" t="str">
        <f>IF(A456&lt;&gt;"",COUNTIFS('QA Log'!D:D,A456,'QA Log'!M:M,"Vignette",'QA Log'!L:L,"Vignette [4]: The management of presumptive TB patient",'QA Log'!Z:Z,"Approved"),"")</f>
        <v/>
      </c>
      <c r="BB456" s="102" t="str">
        <f>IF(A456="","",
  SUM(
    COUNTIFS('QA Log'!D:D,A456,'QA Log'!M:M,"Vignette",'QA Log'!Z:Z,"Rejected",'QA Log'!L:L,"*Vignette [1] Respiratory Infection: Pneumonia*"),
    COUNTIFS('QA Log'!D:D,A456,'QA Log'!M:M,"Vignette",'QA Log'!Z:Z,"Rejected",'QA Log'!L:L,"*Vignette [2]: Diarrhea with Cat B dehydration*"),
    COUNTIFS('QA Log'!D:D,A456,'QA Log'!M:M,"Vignette",'QA Log'!Z:Z,"Rejected",'QA Log'!L:L,"*Vignette [3] Growth Monitoring and Promotion*"),
    COUNTIFS('QA Log'!D:D,A456,'QA Log'!M:M,"Vignette",'QA Log'!Z:Z,"Rejected",'QA Log'!L:L,"*Vignette [4]: The management of presumptive TB patient*")
  )
)</f>
        <v/>
      </c>
      <c r="BC456" s="107" t="str">
        <f t="shared" si="35"/>
        <v/>
      </c>
      <c r="BD456" s="103" t="str">
        <f t="shared" si="36"/>
        <v/>
      </c>
      <c r="BE456" s="102" t="str">
        <f>IF(A456="","",SUM(
COUNTIFS('QA Log'!D:D,A456,'QA Log'!M:M,"Vignette",'QA Log'!L:L,"*Vignette [5] Labor*"),
COUNTIFS('QA Log'!D:D,A456,'QA Log'!M:M,"Vignette",'QA Log'!L:L,"*Vignette [6] PNC pre Discharge*"),
COUNTIFS('QA Log'!D:D,A456,'QA Log'!M:M,"Vignette",'QA Log'!L:L,"*Vignette [7] First ANC Visit*"),
COUNTIFS('QA Log'!D:D,A456,'QA Log'!M:M,"Vignette",'QA Log'!L:L,"*Vignette [8] Birth Spacing/ Family Planning :  FP Counselling*"),
COUNTIFS('QA Log'!D:D,A456,'QA Log'!M:M,"Vignette",'QA Log'!L:L,"*Vignette [9] Birth Spacing: Change FP method to Injectable*"),
COUNTIFS('QA Log'!D:D,A456,'QA Log'!M:M,"Vignette",'QA Log'!L:L,"*Vignette [10] Post Partum Haemorrhage - Atonic Uterus at Health Centre*"),
)
)</f>
        <v/>
      </c>
      <c r="BF456" s="102" t="str">
        <f>IF(A456="","",
  SUM(
    COUNTIFS('QA Log'!D:D,A456,'QA Log'!M:M,"Vignette",'QA Log'!Z:Z,"Approved",'QA Log'!L:L,"*Vignette [5] Labor*"),
    COUNTIFS('QA Log'!D:D,A456,'QA Log'!M:M,"Vignette",'QA Log'!Z:Z,"Approved",'QA Log'!L:L,"*Vignette [6] PNC pre Discharge*"),
    COUNTIFS('QA Log'!D:D,A456,'QA Log'!M:M,"Vignette",'QA Log'!Z:Z,"Approved",'QA Log'!L:L,"*Vignette [7] First ANC Visit*"),
    COUNTIFS('QA Log'!D:D,A456,'QA Log'!M:M,"Vignette",'QA Log'!Z:Z,"Approved",'QA Log'!L:L,"*Vignette [8] Birth Spacing/ Family Planning :  FP Counselling*"),
    COUNTIFS('QA Log'!D:D,A456,'QA Log'!M:M,"Vignette",'QA Log'!Z:Z,"Approved",'QA Log'!L:L,"*Vignette [9] Birth Spacing: Change FP method to Injectable*"),
    COUNTIFS('QA Log'!D:D,A456,'QA Log'!M:M,"Vignette",'QA Log'!Z:Z,"Approved",'QA Log'!L:L,"*Vignette [10] Post Partum Haemorrhage - Atonic Uterus at Health Centre*")
  )
)</f>
        <v/>
      </c>
      <c r="BG456" s="105" t="str">
        <f>IF(A456&lt;&gt;"",COUNTIFS('QA Log'!D:D,A456,'QA Log'!M:M,"Vignette",'QA Log'!L:L,"Vignette [5] Labor",'QA Log'!Z:Z,"Approved"),"")</f>
        <v/>
      </c>
      <c r="BH456" s="105" t="str">
        <f>IF(A456&lt;&gt;"",COUNTIFS('QA Log'!D:D,A456,'QA Log'!M:M,"Vignette",'QA Log'!L:L,"Vignette [6] PNC pre Discharge",'QA Log'!Z:Z,"Approved"),"")</f>
        <v/>
      </c>
      <c r="BI456" s="105" t="str">
        <f>IF(A456&lt;&gt;"",COUNTIFS('QA Log'!D:D,A456,'QA Log'!M:M,"Vignette",'QA Log'!L:L,"Vignette [7] First ANC Visit",'QA Log'!Z:Z,"Approved"),"")</f>
        <v/>
      </c>
      <c r="BJ456" s="105" t="str">
        <f>IF(A456&lt;&gt;"",COUNTIFS('QA Log'!D:D,A456,'QA Log'!M:M,"Vignette",'QA Log'!L:L,"Vignette [8] Birth Spacing/ Family Planning :  FP Counselling",'QA Log'!Z:Z,"Approved"),"")</f>
        <v/>
      </c>
      <c r="BK456" s="105" t="str">
        <f>IF(A456&lt;&gt;"",COUNTIFS('QA Log'!D:D,A456,'QA Log'!M:M,"Vignette",'QA Log'!L:L,"Vignette [9] Birth Spacing: Change FP method to Injectable",'QA Log'!Z:Z,"Approved"),"")</f>
        <v/>
      </c>
      <c r="BL456" s="105" t="str">
        <f>IF(A456&lt;&gt;"",COUNTIFS('QA Log'!D:D,A456,'QA Log'!M:M,"Vignette",'QA Log'!L:L,"Vignette [10] Post Partum Haemorrhage - Atonic Uterus at Health Centre",'QA Log'!Z:Z,"Approved"),"")</f>
        <v/>
      </c>
      <c r="BM456" s="102" t="str">
        <f>IF(A456="","",SUM(
    COUNTIFS('QA Log'!D:D,A456,'QA Log'!M:M,"Vignette",'QA Log'!Z:Z,"Rejected",'QA Log'!L:L,"*Vignette [5] Labor*"),
    COUNTIFS('QA Log'!D:D,A456,'QA Log'!M:M,"Vignette",'QA Log'!Z:Z,"Rejected",'QA Log'!L:L,"*Vignette [6] PNC pre Discharge*"),
    COUNTIFS('QA Log'!D:D,A456,'QA Log'!M:M,"Vignette",'QA Log'!Z:Z,"Rejected",'QA Log'!L:L,"*Vignette [7] First ANC Visit*"),
    COUNTIFS('QA Log'!D:D,A456,'QA Log'!M:M,"Vignette",'QA Log'!Z:Z,"Rejected",'QA Log'!L:L,"*Vignette [8] Birth Spacing/ Family Planning :  FP Counselling*"),
    COUNTIFS('QA Log'!D:D,A456,'QA Log'!M:M,"Vignette",'QA Log'!Z:Z,"Rejected",'QA Log'!L:L,"*Vignette [9] Birth Spacing: Change FP method to Injectable*"),
    COUNTIFS('QA Log'!D:D,A456,'QA Log'!M:M,"Vignette",'QA Log'!Z:Z,"Rejected",'QA Log'!L:L,"*Vignette [10] Post Partum Haemorrhage - Atonic Uterus at Health Centre*")
  )
)</f>
        <v/>
      </c>
      <c r="BN456" s="107" t="str">
        <f t="shared" si="37"/>
        <v/>
      </c>
      <c r="BO456" s="103" t="str">
        <f t="shared" si="38"/>
        <v/>
      </c>
      <c r="BP456" s="102" t="str">
        <f>IF(A456="","",SUM(
COUNTIFS('QA Log'!D:D,A456,'QA Log'!M:M,"Vignette",'QA Log'!L:L,"*Exit Interview 1*"),
COUNTIFS('QA Log'!D:D,A456,'QA Log'!M:M,"Vignette",'QA Log'!L:L,"*Exit Interview 2*"),
)
)</f>
        <v/>
      </c>
      <c r="BQ456" s="102" t="str">
        <f>IF(
  A456="","",
  SUM(
    COUNTIFS('QA Log'!D:D,A456,'QA Log'!M:M,"Vignette",'QA Log'!Z:Z,"Approved",'QA Log'!L:L,"*Exit Interview 1*"),
    COUNTIFS('QA Log'!D:D,A456,'QA Log'!M:M,"Vignette",'QA Log'!Z:Z,"Approved",'QA Log'!L:L,"*Exit Interview 2*")
  )
)</f>
        <v/>
      </c>
      <c r="BR456" s="105" t="str">
        <f>IF(A456&lt;&gt;"",COUNTIFS('QA Log'!D:D,A456,'QA Log'!M:M,"Vignette",'QA Log'!L:L,"Exit Interview 1",'QA Log'!Z:Z,"Approved"),"")</f>
        <v/>
      </c>
      <c r="BS456" s="105" t="str">
        <f>IF(A456&lt;&gt;"",COUNTIFS('QA Log'!D:D,A456,'QA Log'!M:M,"Vignette",'QA Log'!L:L,"Exit Interview 2",'QA Log'!Z:Z,"Approved"),"")</f>
        <v/>
      </c>
      <c r="BT456" s="102" t="str">
        <f>IF(
  A456="","",
  SUM(
    COUNTIFS('QA Log'!D:D,A456,'QA Log'!M:M,"Vignette",'QA Log'!Z:Z,"Rejected",'QA Log'!L:L,"*Exit Interview 1*"),
    COUNTIFS('QA Log'!D:D,A456,'QA Log'!M:M,"Vignette",'QA Log'!Z:Z,"Rejected",'QA Log'!L:L,"*Exit Interview 2*")
  )
)</f>
        <v/>
      </c>
      <c r="BU456" s="107" t="str">
        <f t="shared" si="39"/>
        <v/>
      </c>
      <c r="BV456" s="102" t="str">
        <f t="shared" si="40"/>
        <v/>
      </c>
      <c r="BW456" s="102" t="str">
        <f t="shared" si="41"/>
        <v/>
      </c>
      <c r="BX456" s="102" t="str">
        <f t="shared" si="42"/>
        <v/>
      </c>
      <c r="BY456" s="102" t="str">
        <f t="shared" si="43"/>
        <v/>
      </c>
      <c r="BZ456" s="107" t="str">
        <f t="shared" si="44"/>
        <v/>
      </c>
      <c r="CA456" s="108" t="str">
        <f t="shared" si="45"/>
        <v/>
      </c>
      <c r="CB456" s="108" t="str">
        <f t="shared" si="46"/>
        <v/>
      </c>
      <c r="CC456" s="109" t="str">
        <f t="shared" si="47"/>
        <v/>
      </c>
      <c r="CD456" s="108" t="str">
        <f t="shared" si="48"/>
        <v/>
      </c>
      <c r="CE456" s="108" t="str">
        <f t="shared" si="49"/>
        <v/>
      </c>
      <c r="CF456" s="109" t="str">
        <f t="shared" si="50"/>
        <v/>
      </c>
      <c r="CG456" s="110" t="str">
        <f t="shared" si="51"/>
        <v/>
      </c>
      <c r="CH456" s="111"/>
    </row>
    <row r="457" spans="1:86" ht="12.75">
      <c r="A457" s="101"/>
      <c r="B457" s="102" t="e">
        <f t="array" aca="1" ref="B457" ca="1">_xludf.XLOOKUP(A457,'QA Log'!D:D,'QA Log'!E:E,"")</f>
        <v>#NAME?</v>
      </c>
      <c r="C457" s="102" t="e">
        <f t="array" aca="1" ref="C457" ca="1">_xludf.XLOOKUP(A457,'QA Log'!D:D,'QA Log'!F:F,"")</f>
        <v>#NAME?</v>
      </c>
      <c r="D457" s="102" t="e">
        <f t="array" aca="1" ref="D457" ca="1">_xludf.XLOOKUP(A457,'QA Log'!D:D,'QA Log'!H:H,"")</f>
        <v>#NAME?</v>
      </c>
      <c r="E457" s="102" t="e">
        <f t="array" aca="1" ref="E457" ca="1">_xludf.XLOOKUP(A457,'QA Log'!D:D,'QA Log'!G:G,"")</f>
        <v>#NAME?</v>
      </c>
      <c r="F457" s="103"/>
      <c r="G457" s="104"/>
      <c r="H457" s="104"/>
      <c r="I457" s="103" t="str">
        <f t="shared" si="26"/>
        <v/>
      </c>
      <c r="J457" s="102" t="str">
        <f>IF(A457="","",SUM(
COUNTIFS('QA Log'!D:D,A457,'QA Log'!M:M,"QQC",'QA Log'!L:L,"*1. General Management*"),
COUNTIFS('QA Log'!D:D,A457,'QA Log'!M:M,"QQC",'QA Log'!L:L,"*3. Curative Consultation (OPD)*"),
COUNTIFS('QA Log'!D:D,A457,'QA Log'!M:M,"QQC",'QA Log'!L:L,"*5. Laboratory*"),
COUNTIFS('QA Log'!D:D,A457,'QA Log'!M:M,"QQC",'QA Log'!L:L,"*6. Essential Medicine Management*"),
COUNTIFS('QA Log'!D:D,A457,'QA Log'!M:M,"QQC",'QA Log'!L:L,"*7. Tracer Medicine*"),
COUNTIFS('QA Log'!D:D,A457,'QA Log'!M:M,"QQC",'QA Log'!L:L,"*11. Additional Questions*")))</f>
        <v/>
      </c>
      <c r="K457" s="102" t="str">
        <f>IF(A457="","",SUM(
COUNTIFS('QA Log'!D:D,A457,'QA Log'!M:M,"QQC",'QA Log'!Z:Z,"Approved",'QA Log'!L:L,"*1. General Management*"),
COUNTIFS('QA Log'!D:D,A457,'QA Log'!M:M,"QQC",'QA Log'!Z:Z,"Approved",'QA Log'!L:L,"*3. Curative Consultation (OPD)*"),
COUNTIFS('QA Log'!D:D,A457,'QA Log'!M:M,"QQC",'QA Log'!Z:Z,"Approved",'QA Log'!L:L,"*5. Laboratory*"),
COUNTIFS('QA Log'!D:D,A457,'QA Log'!M:M,"QQC",'QA Log'!Z:Z,"Approved",'QA Log'!L:L,"*6. Essential Medicine Management*"),
COUNTIFS('QA Log'!D:D,A457,'QA Log'!M:M,"QQC",'QA Log'!Z:Z,"Approved",'QA Log'!L:L,"*7. Tracer Medicine*"),
COUNTIFS('QA Log'!D:D,A457,'QA Log'!M:M,"QQC",'QA Log'!Z:Z,"Approved",'QA Log'!L:L,"*11. Additional Questions*")))</f>
        <v/>
      </c>
      <c r="L457" s="102" t="str">
        <f>IF(A457&lt;&gt;"",COUNTIFS('QA Log'!D:D,A457,'QA Log'!M:M,"QQC",'QA Log'!L:L,"1. General Management",'QA Log'!Z:Z,"Approved"),"")</f>
        <v/>
      </c>
      <c r="M457" s="102" t="str">
        <f>IF(A457&lt;&gt;"",COUNTIFS('QA Log'!D:D,A457,'QA Log'!M:M,"QQC",'QA Log'!L:L,"3. Curative Consultation (OPD)",'QA Log'!Z:Z,"Approved"),"")</f>
        <v/>
      </c>
      <c r="N457" s="102" t="str">
        <f>IF(A457&lt;&gt;"",COUNTIFS('QA Log'!D:D,A457,'QA Log'!M:M,"QQC",'QA Log'!L:L,"5. Laboratory",'QA Log'!Z:Z,"Approved"),"")</f>
        <v/>
      </c>
      <c r="O457" s="102" t="str">
        <f>IF(A457&lt;&gt;"",COUNTIFS('QA Log'!D:D,A457,'QA Log'!M:M,"QQC",'QA Log'!L:L,"6. Essential Medicine Management",'QA Log'!Z:Z,"Approved"),"")</f>
        <v/>
      </c>
      <c r="P457" s="102" t="str">
        <f>IF(A457&lt;&gt;"",COUNTIFS('QA Log'!D:D,A457,'QA Log'!M:M,"QQC",'QA Log'!L:L,"7. Tracer Medicine",'QA Log'!Z:Z,"Approved"),"")</f>
        <v/>
      </c>
      <c r="Q457" s="102" t="str">
        <f>IF(A457&lt;&gt;"",COUNTIFS('QA Log'!D:D,A457,'QA Log'!M:M,"QQC",'QA Log'!L:L,"11. Additional Questions",'QA Log'!Z:Z,"Approved"),"")</f>
        <v/>
      </c>
      <c r="R457" s="102" t="str">
        <f>IF(A457="","",SUM(
COUNTIFS('QA Log'!D:D,A457,'QA Log'!M:M,"QQC",'QA Log'!Z:Z,"Rejected",'QA Log'!L:L,"*8. Maternity*"),
COUNTIFS('QA Log'!D:D,A457,'QA Log'!M:M,"QQC",'QA Log'!Z:Z,"Rejected",'QA Log'!L:L,"*EPI*"),
COUNTIFS('QA Log'!D:D,A457,'QA Log'!M:M,"QQC",'QA Log'!Z:Z,"Rejected",'QA Log'!L:L,"*10. Antenatal Care (ANC)*"),
COUNTIFS('QA Log'!D:D,A457,'QA Log'!M:M,"QQC",'QA Log'!Z:Z,"Rejected",'QA Log'!L:L,"*2. Hygiene and Sterilization*"),
COUNTIFS('QA Log'!D:D,A457,'QA Log'!M:M,"QQC",'QA Log'!Z:Z,"Rejected",'QA Log'!L:L,"*Family Planning*")))</f>
        <v/>
      </c>
      <c r="S457" s="106" t="str">
        <f t="shared" si="27"/>
        <v/>
      </c>
      <c r="T457" s="102" t="str">
        <f t="shared" si="28"/>
        <v/>
      </c>
      <c r="U457" s="102" t="str">
        <f>IF(A457="","",
SUM(
COUNTIFS('QA Log'!D:D,A457,'QA Log'!M:M,"QQC",'QA Log'!L:L,"*8. Maternity*"),
COUNTIFS('QA Log'!D:D,A457,'QA Log'!M:M,"QQC",'QA Log'!L:L,"*9. EPI and Pre-school Consultation*"),
COUNTIFS('QA Log'!D:D,A457,'QA Log'!M:M,"QQC",'QA Log'!L:L,"*10. Antenatal Care (ANC)*"),
COUNTIFS('QA Log'!D:D,A457,'QA Log'!M:M,"QQC",'QA Log'!L:L,"*2. Hygiene and Sterilization*"),
COUNTIFS('QA Log'!D:D,A457,'QA Log'!M:M,"QQC",'QA Log'!L:L,"*4. Family Planning*")
))</f>
        <v/>
      </c>
      <c r="V457" s="102" t="str">
        <f>IF(A457="","",
SUM(
COUNTIFS('QA Log'!D:D,A457,'QA Log'!M:M,"QQC",'QA Log'!Z:Z,"Approved",'QA Log'!L:L,"*8. Maternity*"),
COUNTIFS('QA Log'!D:D,A457,'QA Log'!M:M,"QQC",'QA Log'!Z:Z,"Approved",'QA Log'!L:L,"*9. EPI and Pre-school Consultation*"),
COUNTIFS('QA Log'!D:D,A457,'QA Log'!M:M,"QQC",'QA Log'!Z:Z,"Approved",'QA Log'!L:L,"*10. Antenatal Care (ANC)*"),
COUNTIFS('QA Log'!D:D,A457,'QA Log'!M:M,"QQC",'QA Log'!Z:Z,"Approved",'QA Log'!L:L,"*2. Hygiene and Sterilization*"),
COUNTIFS('QA Log'!D:D,A457,'QA Log'!M:M,"QQC",'QA Log'!Z:Z,"Approved",'QA Log'!L:L,"*4. Family Planning*")
))</f>
        <v/>
      </c>
      <c r="W457" s="102" t="str">
        <f>IF(A457&lt;&gt;"",COUNTIFS('QA Log'!D:D,A457,'QA Log'!M:M,"QQC",'QA Log'!L:L,"8. Maternity",'QA Log'!Z:Z,"Approved"),"")</f>
        <v/>
      </c>
      <c r="X457" s="105" t="str">
        <f>IF(A457&lt;&gt;"",COUNTIFS('QA Log'!D:D,A457,'QA Log'!M:M,"QQC",'QA Log'!L:L,"9. EPI and Pre-school Consultation",'QA Log'!Z:Z,"Approved"),"")</f>
        <v/>
      </c>
      <c r="Y457" s="102" t="str">
        <f>IF(A457&lt;&gt;"",COUNTIFS('QA Log'!D:D,A457,'QA Log'!M:M,"QQC",'QA Log'!L:L,"10. Antenatal Care (ANC)",'QA Log'!Z:Z,"Approved"),"")</f>
        <v/>
      </c>
      <c r="Z457" s="102" t="str">
        <f>IF(A457&lt;&gt;"",COUNTIFS('QA Log'!D:D,A457,'QA Log'!M:M,"QQC",'QA Log'!L:L,"2. Hygiene and Sterilization",'QA Log'!Z:Z,"Approved"),"")</f>
        <v/>
      </c>
      <c r="AA457" s="105" t="str">
        <f>IF(A457&lt;&gt;"",COUNTIFS('QA Log'!D:D,A457,'QA Log'!M:M,"QQC",'QA Log'!L:L,"4. Family Planning",'QA Log'!Z:Z,"Approved"),"")</f>
        <v/>
      </c>
      <c r="AB457" s="102" t="str">
        <f>IF(A457="","",
SUM(
COUNTIFS('QA Log'!D:D,A457,'QA Log'!M:M,"QQC",'QA Log'!Z:Z,"Rejected",'QA Log'!L:L,"*8. Maternity*"),
COUNTIFS('QA Log'!D:D,A457,'QA Log'!M:M,"QQC",'QA Log'!Z:Z,"Rejected",'QA Log'!L:L,"*9. EPI and Pre-school Consultation*"),
COUNTIFS('QA Log'!D:D,A457,'QA Log'!M:M,"QQC",'QA Log'!Z:Z,"Rejected",'QA Log'!L:L,"*10. Antenatal Care (ANC)*"),
COUNTIFS('QA Log'!D:D,A457,'QA Log'!M:M,"QQC",'QA Log'!Z:Z,"Rejected",'QA Log'!L:L,"*2. Hygiene and Sterilization*"),
COUNTIFS('QA Log'!D:D,A457,'QA Log'!M:M,"QQC",'QA Log'!Z:Z,"Rejected",'QA Log'!L:L,"*4. Family Planning*")
))</f>
        <v/>
      </c>
      <c r="AC457" s="102" t="str">
        <f t="shared" si="29"/>
        <v/>
      </c>
      <c r="AD457" s="103" t="str">
        <f t="shared" si="30"/>
        <v/>
      </c>
      <c r="AE457" s="102" t="str">
        <f>IF(A457="","",
SUM(
COUNTIFS('QA Log'!D:D,A457,'QA Log'!M:M,"Data Verification",'QA Log'!L:L,"*Medicine (section 2)*"),
COUNTIFS('QA Log'!D:D,A457,'QA Log'!M:M,"Data Verification",'QA Log'!L:L,"*Lab Testing Availability*"),
COUNTIFS('QA Log'!D:D,A457,'QA Log'!M:M,"Data Verification",'QA Log'!L:L,"*Other than P4P (section 6)*"),
COUNTIFS('QA Log'!D:D,A457,'QA Log'!M:M,"Data Verification",'QA Log'!L:L,"*Hospital Governance*")
))</f>
        <v/>
      </c>
      <c r="AF457" s="102" t="str">
        <f>IF(A457="","",
SUM(
COUNTIFS('QA Log'!D:D,A457,'QA Log'!M:M,"Data Verification",'QA Log'!Z:Z,"Approved",'QA Log'!L:L,"*Medicine (section 2)*"),
COUNTIFS('QA Log'!D:D,A457,'QA Log'!M:M,"Data Verification",'QA Log'!Z:Z,"Approved",'QA Log'!L:L,"*Lab Testing Availability*"),
COUNTIFS('QA Log'!D:D,A457,'QA Log'!M:M,"Data Verification",'QA Log'!Z:Z,"Approved",'QA Log'!L:L,"*Other than P4P (section 6)*"),
COUNTIFS('QA Log'!D:D,A457,'QA Log'!M:M,"Data Verification",'QA Log'!Z:Z,"Approved",'QA Log'!L:L,"*Hospital Governance*")
))</f>
        <v/>
      </c>
      <c r="AG457" s="105" t="str">
        <f>IF(A457&lt;&gt;"",COUNTIFS('QA Log'!D:D,A457,'QA Log'!M:M,"Data Verification",'QA Log'!L:L,"Medicine (section 2)",'QA Log'!Z:Z,"Approved"),"")</f>
        <v/>
      </c>
      <c r="AH457" s="105" t="str">
        <f>IF(A457&lt;&gt;"",COUNTIFS('QA Log'!D:D,A457,'QA Log'!M:M,"Data Verification",'QA Log'!L:L,"Lab Testing Availability",'QA Log'!Z:Z,"Approved"),"")</f>
        <v/>
      </c>
      <c r="AI457" s="105" t="str">
        <f>IF(A457&lt;&gt;"",COUNTIFS('QA Log'!D:D,A457,'QA Log'!M:M,"Data Verification",'QA Log'!L:L,"Other than P4P (section 6)",'QA Log'!Z:Z,"Approved"),"")</f>
        <v/>
      </c>
      <c r="AJ457" s="105" t="str">
        <f>IF(A457&lt;&gt;"",COUNTIFS('QA Log'!D:D,A457,'QA Log'!M:M,"Data Verification",'QA Log'!L:L,"Hospital Governance",'QA Log'!Z:Z,"Approved"),"")</f>
        <v/>
      </c>
      <c r="AK457" s="102" t="str">
        <f>IF(A457="","",
SUM(
COUNTIFS('QA Log'!D:D,A457,'QA Log'!M:M,"Data Verification",'QA Log'!Z:Z,"Rejected",'QA Log'!L:L,"*Medicine (section 2)*"),
COUNTIFS('QA Log'!D:D,A457,'QA Log'!M:M,"Data Verification",'QA Log'!Z:Z,"Rejected",'QA Log'!L:L,"*Lab Testing Availability*"),
COUNTIFS('QA Log'!D:D,A457,'QA Log'!M:M,"Data Verification",'QA Log'!Z:Z,"Rejected",'QA Log'!L:L,"*Other than P4P (section 6)*"),
COUNTIFS('QA Log'!D:D,A457,'QA Log'!M:M,"Data Verification",'QA Log'!Z:Z,"Rejected",'QA Log'!L:L,"*Hospital Governance*")
))</f>
        <v/>
      </c>
      <c r="AL457" s="106" t="str">
        <f t="shared" si="31"/>
        <v/>
      </c>
      <c r="AM457" s="102" t="str">
        <f t="shared" si="32"/>
        <v/>
      </c>
      <c r="AN457" s="102" t="str">
        <f>IF(A457="","",
SUM(
COUNTIFS('QA Log'!D:D,A457,'QA Log'!M:M,"Data Verification",'QA Log'!L:L,"*Personnel (section 1)*"),
COUNTIFS('QA Log'!D:D,A457,'QA Log'!M:M,"Data Verification",'QA Log'!L:L,"*Consumable (section 3)*"),
COUNTIFS('QA Log'!D:D,A457,'QA Log'!M:M,"Data Verification",'QA Log'!L:L,"*Equipments (section 4)*")
))</f>
        <v/>
      </c>
      <c r="AO457" s="102" t="str">
        <f>IF(A457="","",
SUM(
COUNTIFS('QA Log'!D:D,A457,'QA Log'!M:M,"Data Verification",'QA Log'!Z:Z,"Approved",'QA Log'!L:L,"*Personnel (section 1)*"),
COUNTIFS('QA Log'!D:D,A457,'QA Log'!M:M,"Data Verification",'QA Log'!Z:Z,"Approved",'QA Log'!L:L,"*Consumable (section 3)*"),
COUNTIFS('QA Log'!D:D,A457,'QA Log'!M:M,"Data Verification",'QA Log'!Z:Z,"Approved",'QA Log'!L:L,"*Equipments (section 4)*")
))</f>
        <v/>
      </c>
      <c r="AP457" s="105" t="str">
        <f>IF(A457&lt;&gt;"",COUNTIFS('QA Log'!D:D,A457,'QA Log'!M:M,"Data Verification",'QA Log'!L:L,"Personnel (section 1)",'QA Log'!Z:Z,"Approved"),"")</f>
        <v/>
      </c>
      <c r="AQ457" s="105" t="str">
        <f>IF(A457&lt;&gt;"",COUNTIFS('QA Log'!D:D,A457,'QA Log'!M:M,"Data Verification",'QA Log'!L:L,"Consumable (section 3)",'QA Log'!Z:Z,"Approved"),"")</f>
        <v/>
      </c>
      <c r="AR457" s="105" t="str">
        <f>IF(A457&lt;&gt;"",COUNTIFS('QA Log'!D:D,A457,'QA Log'!M:M,"Data Verification",'QA Log'!L:L,"Equipments (section 4)",'QA Log'!Z:Z,"Approved"),"")</f>
        <v/>
      </c>
      <c r="AS457" s="102" t="str">
        <f>IF(A457="","",
SUM(
COUNTIFS('QA Log'!D:D,A457,'QA Log'!M:M,"Data Verification",'QA Log'!Z:Z,"Rejected",'QA Log'!L:L,"*Personnel (section 1)*"),
COUNTIFS('QA Log'!D:D,A457,'QA Log'!M:M,"Data Verification",'QA Log'!Z:Z,"Rejected",'QA Log'!L:L,"*Consumable (section 3)*"),
COUNTIFS('QA Log'!D:D,A457,'QA Log'!M:M,"Data Verification",'QA Log'!Z:Z,"Rejected",'QA Log'!L:L,"*Equipments (section 4)*")
))</f>
        <v/>
      </c>
      <c r="AT457" s="102" t="str">
        <f t="shared" si="33"/>
        <v/>
      </c>
      <c r="AU457" s="103" t="str">
        <f t="shared" si="34"/>
        <v/>
      </c>
      <c r="AV457" s="102" t="str">
        <f>IF(A457="","",SUM(
COUNTIFS('QA Log'!D:D,A457,'QA Log'!M:M,"Vignette",'QA Log'!L:L,"*Vignette [1] Respiratory Infection: Pneumonia*"),
COUNTIFS('QA Log'!D:D,A457,'QA Log'!M:M,"Vignette",'QA Log'!L:L,"*Vignette [2]: Diarrhea with Cat B dehydration*"),
COUNTIFS('QA Log'!D:D,A457,'QA Log'!M:M,"Vignette",'QA Log'!L:L,"*Vignette [3] Growth Monitoring and Promotion*"),
COUNTIFS('QA Log'!D:D,A457,'QA Log'!M:M,"Vignette",'QA Log'!L:L,"*Vignette [4]: The management of presumptive TB patient*")
)
)</f>
        <v/>
      </c>
      <c r="AW457" s="102" t="str">
        <f>IF(
  A457="","",
  SUM(
    COUNTIFS('QA Log'!D:D,A457,'QA Log'!M:M,"Vignette",'QA Log'!Z:Z,"Approved",'QA Log'!L:L,"*Vignette [1] Respiratory Infection: Pneumonia*"),
    COUNTIFS('QA Log'!D:D,A457,'QA Log'!M:M,"Vignette",'QA Log'!Z:Z,"Approved",'QA Log'!L:L,"*Vignette [2]: Diarrhea with Cat B dehydration*"),
    COUNTIFS('QA Log'!D:D,A457,'QA Log'!M:M,"Vignette",'QA Log'!Z:Z,"Approved",'QA Log'!L:L,"*Vignette [3] Growth Monitoring and Promotion*"),
    COUNTIFS('QA Log'!D:D,A457,'QA Log'!M:M,"Vignette",'QA Log'!Z:Z,"Approved",'QA Log'!L:L,"*Vignette [4]: The management of presumptive TB patient*")
  )
)</f>
        <v/>
      </c>
      <c r="AX457" s="105" t="str">
        <f>IF(A457&lt;&gt;"",COUNTIFS('QA Log'!D:D,A457,'QA Log'!M:M,"Vignette",'QA Log'!L:L,"Vignette [1] Respiratory Infection: Pneumonia",'QA Log'!Z:Z,"Approved"),"")</f>
        <v/>
      </c>
      <c r="AY457" s="105" t="str">
        <f>IF(A457&lt;&gt;"",COUNTIFS('QA Log'!D:D,A457,'QA Log'!M:M,"Vignette",'QA Log'!L:L,"Vignette [2]: Diarrhea with Cat B dehydration",'QA Log'!Z:Z,"Approved"),"")</f>
        <v/>
      </c>
      <c r="AZ457" s="105" t="str">
        <f>IF(A457&lt;&gt;"",COUNTIFS('QA Log'!D:D,A457,'QA Log'!M:M,"Vignette",'QA Log'!L:L,"Vignette [3] Growth Monitoring and Promotion",'QA Log'!Z:Z,"Approved"),"")</f>
        <v/>
      </c>
      <c r="BA457" s="105" t="str">
        <f>IF(A457&lt;&gt;"",COUNTIFS('QA Log'!D:D,A457,'QA Log'!M:M,"Vignette",'QA Log'!L:L,"Vignette [4]: The management of presumptive TB patient",'QA Log'!Z:Z,"Approved"),"")</f>
        <v/>
      </c>
      <c r="BB457" s="102" t="str">
        <f>IF(A457="","",
  SUM(
    COUNTIFS('QA Log'!D:D,A457,'QA Log'!M:M,"Vignette",'QA Log'!Z:Z,"Rejected",'QA Log'!L:L,"*Vignette [1] Respiratory Infection: Pneumonia*"),
    COUNTIFS('QA Log'!D:D,A457,'QA Log'!M:M,"Vignette",'QA Log'!Z:Z,"Rejected",'QA Log'!L:L,"*Vignette [2]: Diarrhea with Cat B dehydration*"),
    COUNTIFS('QA Log'!D:D,A457,'QA Log'!M:M,"Vignette",'QA Log'!Z:Z,"Rejected",'QA Log'!L:L,"*Vignette [3] Growth Monitoring and Promotion*"),
    COUNTIFS('QA Log'!D:D,A457,'QA Log'!M:M,"Vignette",'QA Log'!Z:Z,"Rejected",'QA Log'!L:L,"*Vignette [4]: The management of presumptive TB patient*")
  )
)</f>
        <v/>
      </c>
      <c r="BC457" s="107" t="str">
        <f t="shared" si="35"/>
        <v/>
      </c>
      <c r="BD457" s="103" t="str">
        <f t="shared" si="36"/>
        <v/>
      </c>
      <c r="BE457" s="102" t="str">
        <f>IF(A457="","",SUM(
COUNTIFS('QA Log'!D:D,A457,'QA Log'!M:M,"Vignette",'QA Log'!L:L,"*Vignette [5] Labor*"),
COUNTIFS('QA Log'!D:D,A457,'QA Log'!M:M,"Vignette",'QA Log'!L:L,"*Vignette [6] PNC pre Discharge*"),
COUNTIFS('QA Log'!D:D,A457,'QA Log'!M:M,"Vignette",'QA Log'!L:L,"*Vignette [7] First ANC Visit*"),
COUNTIFS('QA Log'!D:D,A457,'QA Log'!M:M,"Vignette",'QA Log'!L:L,"*Vignette [8] Birth Spacing/ Family Planning :  FP Counselling*"),
COUNTIFS('QA Log'!D:D,A457,'QA Log'!M:M,"Vignette",'QA Log'!L:L,"*Vignette [9] Birth Spacing: Change FP method to Injectable*"),
COUNTIFS('QA Log'!D:D,A457,'QA Log'!M:M,"Vignette",'QA Log'!L:L,"*Vignette [10] Post Partum Haemorrhage - Atonic Uterus at Health Centre*"),
)
)</f>
        <v/>
      </c>
      <c r="BF457" s="102" t="str">
        <f>IF(A457="","",
  SUM(
    COUNTIFS('QA Log'!D:D,A457,'QA Log'!M:M,"Vignette",'QA Log'!Z:Z,"Approved",'QA Log'!L:L,"*Vignette [5] Labor*"),
    COUNTIFS('QA Log'!D:D,A457,'QA Log'!M:M,"Vignette",'QA Log'!Z:Z,"Approved",'QA Log'!L:L,"*Vignette [6] PNC pre Discharge*"),
    COUNTIFS('QA Log'!D:D,A457,'QA Log'!M:M,"Vignette",'QA Log'!Z:Z,"Approved",'QA Log'!L:L,"*Vignette [7] First ANC Visit*"),
    COUNTIFS('QA Log'!D:D,A457,'QA Log'!M:M,"Vignette",'QA Log'!Z:Z,"Approved",'QA Log'!L:L,"*Vignette [8] Birth Spacing/ Family Planning :  FP Counselling*"),
    COUNTIFS('QA Log'!D:D,A457,'QA Log'!M:M,"Vignette",'QA Log'!Z:Z,"Approved",'QA Log'!L:L,"*Vignette [9] Birth Spacing: Change FP method to Injectable*"),
    COUNTIFS('QA Log'!D:D,A457,'QA Log'!M:M,"Vignette",'QA Log'!Z:Z,"Approved",'QA Log'!L:L,"*Vignette [10] Post Partum Haemorrhage - Atonic Uterus at Health Centre*")
  )
)</f>
        <v/>
      </c>
      <c r="BG457" s="105" t="str">
        <f>IF(A457&lt;&gt;"",COUNTIFS('QA Log'!D:D,A457,'QA Log'!M:M,"Vignette",'QA Log'!L:L,"Vignette [5] Labor",'QA Log'!Z:Z,"Approved"),"")</f>
        <v/>
      </c>
      <c r="BH457" s="105" t="str">
        <f>IF(A457&lt;&gt;"",COUNTIFS('QA Log'!D:D,A457,'QA Log'!M:M,"Vignette",'QA Log'!L:L,"Vignette [6] PNC pre Discharge",'QA Log'!Z:Z,"Approved"),"")</f>
        <v/>
      </c>
      <c r="BI457" s="105" t="str">
        <f>IF(A457&lt;&gt;"",COUNTIFS('QA Log'!D:D,A457,'QA Log'!M:M,"Vignette",'QA Log'!L:L,"Vignette [7] First ANC Visit",'QA Log'!Z:Z,"Approved"),"")</f>
        <v/>
      </c>
      <c r="BJ457" s="105" t="str">
        <f>IF(A457&lt;&gt;"",COUNTIFS('QA Log'!D:D,A457,'QA Log'!M:M,"Vignette",'QA Log'!L:L,"Vignette [8] Birth Spacing/ Family Planning :  FP Counselling",'QA Log'!Z:Z,"Approved"),"")</f>
        <v/>
      </c>
      <c r="BK457" s="105" t="str">
        <f>IF(A457&lt;&gt;"",COUNTIFS('QA Log'!D:D,A457,'QA Log'!M:M,"Vignette",'QA Log'!L:L,"Vignette [9] Birth Spacing: Change FP method to Injectable",'QA Log'!Z:Z,"Approved"),"")</f>
        <v/>
      </c>
      <c r="BL457" s="105" t="str">
        <f>IF(A457&lt;&gt;"",COUNTIFS('QA Log'!D:D,A457,'QA Log'!M:M,"Vignette",'QA Log'!L:L,"Vignette [10] Post Partum Haemorrhage - Atonic Uterus at Health Centre",'QA Log'!Z:Z,"Approved"),"")</f>
        <v/>
      </c>
      <c r="BM457" s="102" t="str">
        <f>IF(A457="","",SUM(
    COUNTIFS('QA Log'!D:D,A457,'QA Log'!M:M,"Vignette",'QA Log'!Z:Z,"Rejected",'QA Log'!L:L,"*Vignette [5] Labor*"),
    COUNTIFS('QA Log'!D:D,A457,'QA Log'!M:M,"Vignette",'QA Log'!Z:Z,"Rejected",'QA Log'!L:L,"*Vignette [6] PNC pre Discharge*"),
    COUNTIFS('QA Log'!D:D,A457,'QA Log'!M:M,"Vignette",'QA Log'!Z:Z,"Rejected",'QA Log'!L:L,"*Vignette [7] First ANC Visit*"),
    COUNTIFS('QA Log'!D:D,A457,'QA Log'!M:M,"Vignette",'QA Log'!Z:Z,"Rejected",'QA Log'!L:L,"*Vignette [8] Birth Spacing/ Family Planning :  FP Counselling*"),
    COUNTIFS('QA Log'!D:D,A457,'QA Log'!M:M,"Vignette",'QA Log'!Z:Z,"Rejected",'QA Log'!L:L,"*Vignette [9] Birth Spacing: Change FP method to Injectable*"),
    COUNTIFS('QA Log'!D:D,A457,'QA Log'!M:M,"Vignette",'QA Log'!Z:Z,"Rejected",'QA Log'!L:L,"*Vignette [10] Post Partum Haemorrhage - Atonic Uterus at Health Centre*")
  )
)</f>
        <v/>
      </c>
      <c r="BN457" s="107" t="str">
        <f t="shared" si="37"/>
        <v/>
      </c>
      <c r="BO457" s="103" t="str">
        <f t="shared" si="38"/>
        <v/>
      </c>
      <c r="BP457" s="102" t="str">
        <f>IF(A457="","",SUM(
COUNTIFS('QA Log'!D:D,A457,'QA Log'!M:M,"Vignette",'QA Log'!L:L,"*Exit Interview 1*"),
COUNTIFS('QA Log'!D:D,A457,'QA Log'!M:M,"Vignette",'QA Log'!L:L,"*Exit Interview 2*"),
)
)</f>
        <v/>
      </c>
      <c r="BQ457" s="102" t="str">
        <f>IF(
  A457="","",
  SUM(
    COUNTIFS('QA Log'!D:D,A457,'QA Log'!M:M,"Vignette",'QA Log'!Z:Z,"Approved",'QA Log'!L:L,"*Exit Interview 1*"),
    COUNTIFS('QA Log'!D:D,A457,'QA Log'!M:M,"Vignette",'QA Log'!Z:Z,"Approved",'QA Log'!L:L,"*Exit Interview 2*")
  )
)</f>
        <v/>
      </c>
      <c r="BR457" s="105" t="str">
        <f>IF(A457&lt;&gt;"",COUNTIFS('QA Log'!D:D,A457,'QA Log'!M:M,"Vignette",'QA Log'!L:L,"Exit Interview 1",'QA Log'!Z:Z,"Approved"),"")</f>
        <v/>
      </c>
      <c r="BS457" s="105" t="str">
        <f>IF(A457&lt;&gt;"",COUNTIFS('QA Log'!D:D,A457,'QA Log'!M:M,"Vignette",'QA Log'!L:L,"Exit Interview 2",'QA Log'!Z:Z,"Approved"),"")</f>
        <v/>
      </c>
      <c r="BT457" s="102" t="str">
        <f>IF(
  A457="","",
  SUM(
    COUNTIFS('QA Log'!D:D,A457,'QA Log'!M:M,"Vignette",'QA Log'!Z:Z,"Rejected",'QA Log'!L:L,"*Exit Interview 1*"),
    COUNTIFS('QA Log'!D:D,A457,'QA Log'!M:M,"Vignette",'QA Log'!Z:Z,"Rejected",'QA Log'!L:L,"*Exit Interview 2*")
  )
)</f>
        <v/>
      </c>
      <c r="BU457" s="107" t="str">
        <f t="shared" si="39"/>
        <v/>
      </c>
      <c r="BV457" s="102" t="str">
        <f t="shared" si="40"/>
        <v/>
      </c>
      <c r="BW457" s="102" t="str">
        <f t="shared" si="41"/>
        <v/>
      </c>
      <c r="BX457" s="102" t="str">
        <f t="shared" si="42"/>
        <v/>
      </c>
      <c r="BY457" s="102" t="str">
        <f t="shared" si="43"/>
        <v/>
      </c>
      <c r="BZ457" s="107" t="str">
        <f t="shared" si="44"/>
        <v/>
      </c>
      <c r="CA457" s="108" t="str">
        <f t="shared" si="45"/>
        <v/>
      </c>
      <c r="CB457" s="108" t="str">
        <f t="shared" si="46"/>
        <v/>
      </c>
      <c r="CC457" s="109" t="str">
        <f t="shared" si="47"/>
        <v/>
      </c>
      <c r="CD457" s="108" t="str">
        <f t="shared" si="48"/>
        <v/>
      </c>
      <c r="CE457" s="108" t="str">
        <f t="shared" si="49"/>
        <v/>
      </c>
      <c r="CF457" s="109" t="str">
        <f t="shared" si="50"/>
        <v/>
      </c>
      <c r="CG457" s="110" t="str">
        <f t="shared" si="51"/>
        <v/>
      </c>
      <c r="CH457" s="111"/>
    </row>
    <row r="458" spans="1:86" ht="12.75">
      <c r="A458" s="101"/>
      <c r="B458" s="102" t="e">
        <f t="array" aca="1" ref="B458" ca="1">_xludf.XLOOKUP(A458,'QA Log'!D:D,'QA Log'!E:E,"")</f>
        <v>#NAME?</v>
      </c>
      <c r="C458" s="102" t="e">
        <f t="array" aca="1" ref="C458" ca="1">_xludf.XLOOKUP(A458,'QA Log'!D:D,'QA Log'!F:F,"")</f>
        <v>#NAME?</v>
      </c>
      <c r="D458" s="102" t="e">
        <f t="array" aca="1" ref="D458" ca="1">_xludf.XLOOKUP(A458,'QA Log'!D:D,'QA Log'!H:H,"")</f>
        <v>#NAME?</v>
      </c>
      <c r="E458" s="102" t="e">
        <f t="array" aca="1" ref="E458" ca="1">_xludf.XLOOKUP(A458,'QA Log'!D:D,'QA Log'!G:G,"")</f>
        <v>#NAME?</v>
      </c>
      <c r="F458" s="103"/>
      <c r="G458" s="104"/>
      <c r="H458" s="104"/>
      <c r="I458" s="103" t="str">
        <f t="shared" si="26"/>
        <v/>
      </c>
      <c r="J458" s="102" t="str">
        <f>IF(A458="","",SUM(
COUNTIFS('QA Log'!D:D,A458,'QA Log'!M:M,"QQC",'QA Log'!L:L,"*1. General Management*"),
COUNTIFS('QA Log'!D:D,A458,'QA Log'!M:M,"QQC",'QA Log'!L:L,"*3. Curative Consultation (OPD)*"),
COUNTIFS('QA Log'!D:D,A458,'QA Log'!M:M,"QQC",'QA Log'!L:L,"*5. Laboratory*"),
COUNTIFS('QA Log'!D:D,A458,'QA Log'!M:M,"QQC",'QA Log'!L:L,"*6. Essential Medicine Management*"),
COUNTIFS('QA Log'!D:D,A458,'QA Log'!M:M,"QQC",'QA Log'!L:L,"*7. Tracer Medicine*"),
COUNTIFS('QA Log'!D:D,A458,'QA Log'!M:M,"QQC",'QA Log'!L:L,"*11. Additional Questions*")))</f>
        <v/>
      </c>
      <c r="K458" s="102" t="str">
        <f>IF(A458="","",SUM(
COUNTIFS('QA Log'!D:D,A458,'QA Log'!M:M,"QQC",'QA Log'!Z:Z,"Approved",'QA Log'!L:L,"*1. General Management*"),
COUNTIFS('QA Log'!D:D,A458,'QA Log'!M:M,"QQC",'QA Log'!Z:Z,"Approved",'QA Log'!L:L,"*3. Curative Consultation (OPD)*"),
COUNTIFS('QA Log'!D:D,A458,'QA Log'!M:M,"QQC",'QA Log'!Z:Z,"Approved",'QA Log'!L:L,"*5. Laboratory*"),
COUNTIFS('QA Log'!D:D,A458,'QA Log'!M:M,"QQC",'QA Log'!Z:Z,"Approved",'QA Log'!L:L,"*6. Essential Medicine Management*"),
COUNTIFS('QA Log'!D:D,A458,'QA Log'!M:M,"QQC",'QA Log'!Z:Z,"Approved",'QA Log'!L:L,"*7. Tracer Medicine*"),
COUNTIFS('QA Log'!D:D,A458,'QA Log'!M:M,"QQC",'QA Log'!Z:Z,"Approved",'QA Log'!L:L,"*11. Additional Questions*")))</f>
        <v/>
      </c>
      <c r="L458" s="102" t="str">
        <f>IF(A458&lt;&gt;"",COUNTIFS('QA Log'!D:D,A458,'QA Log'!M:M,"QQC",'QA Log'!L:L,"1. General Management",'QA Log'!Z:Z,"Approved"),"")</f>
        <v/>
      </c>
      <c r="M458" s="102" t="str">
        <f>IF(A458&lt;&gt;"",COUNTIFS('QA Log'!D:D,A458,'QA Log'!M:M,"QQC",'QA Log'!L:L,"3. Curative Consultation (OPD)",'QA Log'!Z:Z,"Approved"),"")</f>
        <v/>
      </c>
      <c r="N458" s="102" t="str">
        <f>IF(A458&lt;&gt;"",COUNTIFS('QA Log'!D:D,A458,'QA Log'!M:M,"QQC",'QA Log'!L:L,"5. Laboratory",'QA Log'!Z:Z,"Approved"),"")</f>
        <v/>
      </c>
      <c r="O458" s="102" t="str">
        <f>IF(A458&lt;&gt;"",COUNTIFS('QA Log'!D:D,A458,'QA Log'!M:M,"QQC",'QA Log'!L:L,"6. Essential Medicine Management",'QA Log'!Z:Z,"Approved"),"")</f>
        <v/>
      </c>
      <c r="P458" s="102" t="str">
        <f>IF(A458&lt;&gt;"",COUNTIFS('QA Log'!D:D,A458,'QA Log'!M:M,"QQC",'QA Log'!L:L,"7. Tracer Medicine",'QA Log'!Z:Z,"Approved"),"")</f>
        <v/>
      </c>
      <c r="Q458" s="102" t="str">
        <f>IF(A458&lt;&gt;"",COUNTIFS('QA Log'!D:D,A458,'QA Log'!M:M,"QQC",'QA Log'!L:L,"11. Additional Questions",'QA Log'!Z:Z,"Approved"),"")</f>
        <v/>
      </c>
      <c r="R458" s="102" t="str">
        <f>IF(A458="","",SUM(
COUNTIFS('QA Log'!D:D,A458,'QA Log'!M:M,"QQC",'QA Log'!Z:Z,"Rejected",'QA Log'!L:L,"*8. Maternity*"),
COUNTIFS('QA Log'!D:D,A458,'QA Log'!M:M,"QQC",'QA Log'!Z:Z,"Rejected",'QA Log'!L:L,"*EPI*"),
COUNTIFS('QA Log'!D:D,A458,'QA Log'!M:M,"QQC",'QA Log'!Z:Z,"Rejected",'QA Log'!L:L,"*10. Antenatal Care (ANC)*"),
COUNTIFS('QA Log'!D:D,A458,'QA Log'!M:M,"QQC",'QA Log'!Z:Z,"Rejected",'QA Log'!L:L,"*2. Hygiene and Sterilization*"),
COUNTIFS('QA Log'!D:D,A458,'QA Log'!M:M,"QQC",'QA Log'!Z:Z,"Rejected",'QA Log'!L:L,"*Family Planning*")))</f>
        <v/>
      </c>
      <c r="S458" s="106" t="str">
        <f t="shared" si="27"/>
        <v/>
      </c>
      <c r="T458" s="102" t="str">
        <f t="shared" si="28"/>
        <v/>
      </c>
      <c r="U458" s="102" t="str">
        <f>IF(A458="","",
SUM(
COUNTIFS('QA Log'!D:D,A458,'QA Log'!M:M,"QQC",'QA Log'!L:L,"*8. Maternity*"),
COUNTIFS('QA Log'!D:D,A458,'QA Log'!M:M,"QQC",'QA Log'!L:L,"*9. EPI and Pre-school Consultation*"),
COUNTIFS('QA Log'!D:D,A458,'QA Log'!M:M,"QQC",'QA Log'!L:L,"*10. Antenatal Care (ANC)*"),
COUNTIFS('QA Log'!D:D,A458,'QA Log'!M:M,"QQC",'QA Log'!L:L,"*2. Hygiene and Sterilization*"),
COUNTIFS('QA Log'!D:D,A458,'QA Log'!M:M,"QQC",'QA Log'!L:L,"*4. Family Planning*")
))</f>
        <v/>
      </c>
      <c r="V458" s="102" t="str">
        <f>IF(A458="","",
SUM(
COUNTIFS('QA Log'!D:D,A458,'QA Log'!M:M,"QQC",'QA Log'!Z:Z,"Approved",'QA Log'!L:L,"*8. Maternity*"),
COUNTIFS('QA Log'!D:D,A458,'QA Log'!M:M,"QQC",'QA Log'!Z:Z,"Approved",'QA Log'!L:L,"*9. EPI and Pre-school Consultation*"),
COUNTIFS('QA Log'!D:D,A458,'QA Log'!M:M,"QQC",'QA Log'!Z:Z,"Approved",'QA Log'!L:L,"*10. Antenatal Care (ANC)*"),
COUNTIFS('QA Log'!D:D,A458,'QA Log'!M:M,"QQC",'QA Log'!Z:Z,"Approved",'QA Log'!L:L,"*2. Hygiene and Sterilization*"),
COUNTIFS('QA Log'!D:D,A458,'QA Log'!M:M,"QQC",'QA Log'!Z:Z,"Approved",'QA Log'!L:L,"*4. Family Planning*")
))</f>
        <v/>
      </c>
      <c r="W458" s="102" t="str">
        <f>IF(A458&lt;&gt;"",COUNTIFS('QA Log'!D:D,A458,'QA Log'!M:M,"QQC",'QA Log'!L:L,"8. Maternity",'QA Log'!Z:Z,"Approved"),"")</f>
        <v/>
      </c>
      <c r="X458" s="105" t="str">
        <f>IF(A458&lt;&gt;"",COUNTIFS('QA Log'!D:D,A458,'QA Log'!M:M,"QQC",'QA Log'!L:L,"9. EPI and Pre-school Consultation",'QA Log'!Z:Z,"Approved"),"")</f>
        <v/>
      </c>
      <c r="Y458" s="102" t="str">
        <f>IF(A458&lt;&gt;"",COUNTIFS('QA Log'!D:D,A458,'QA Log'!M:M,"QQC",'QA Log'!L:L,"10. Antenatal Care (ANC)",'QA Log'!Z:Z,"Approved"),"")</f>
        <v/>
      </c>
      <c r="Z458" s="102" t="str">
        <f>IF(A458&lt;&gt;"",COUNTIFS('QA Log'!D:D,A458,'QA Log'!M:M,"QQC",'QA Log'!L:L,"2. Hygiene and Sterilization",'QA Log'!Z:Z,"Approved"),"")</f>
        <v/>
      </c>
      <c r="AA458" s="105" t="str">
        <f>IF(A458&lt;&gt;"",COUNTIFS('QA Log'!D:D,A458,'QA Log'!M:M,"QQC",'QA Log'!L:L,"4. Family Planning",'QA Log'!Z:Z,"Approved"),"")</f>
        <v/>
      </c>
      <c r="AB458" s="102" t="str">
        <f>IF(A458="","",
SUM(
COUNTIFS('QA Log'!D:D,A458,'QA Log'!M:M,"QQC",'QA Log'!Z:Z,"Rejected",'QA Log'!L:L,"*8. Maternity*"),
COUNTIFS('QA Log'!D:D,A458,'QA Log'!M:M,"QQC",'QA Log'!Z:Z,"Rejected",'QA Log'!L:L,"*9. EPI and Pre-school Consultation*"),
COUNTIFS('QA Log'!D:D,A458,'QA Log'!M:M,"QQC",'QA Log'!Z:Z,"Rejected",'QA Log'!L:L,"*10. Antenatal Care (ANC)*"),
COUNTIFS('QA Log'!D:D,A458,'QA Log'!M:M,"QQC",'QA Log'!Z:Z,"Rejected",'QA Log'!L:L,"*2. Hygiene and Sterilization*"),
COUNTIFS('QA Log'!D:D,A458,'QA Log'!M:M,"QQC",'QA Log'!Z:Z,"Rejected",'QA Log'!L:L,"*4. Family Planning*")
))</f>
        <v/>
      </c>
      <c r="AC458" s="102" t="str">
        <f t="shared" si="29"/>
        <v/>
      </c>
      <c r="AD458" s="103" t="str">
        <f t="shared" si="30"/>
        <v/>
      </c>
      <c r="AE458" s="102" t="str">
        <f>IF(A458="","",
SUM(
COUNTIFS('QA Log'!D:D,A458,'QA Log'!M:M,"Data Verification",'QA Log'!L:L,"*Medicine (section 2)*"),
COUNTIFS('QA Log'!D:D,A458,'QA Log'!M:M,"Data Verification",'QA Log'!L:L,"*Lab Testing Availability*"),
COUNTIFS('QA Log'!D:D,A458,'QA Log'!M:M,"Data Verification",'QA Log'!L:L,"*Other than P4P (section 6)*"),
COUNTIFS('QA Log'!D:D,A458,'QA Log'!M:M,"Data Verification",'QA Log'!L:L,"*Hospital Governance*")
))</f>
        <v/>
      </c>
      <c r="AF458" s="102" t="str">
        <f>IF(A458="","",
SUM(
COUNTIFS('QA Log'!D:D,A458,'QA Log'!M:M,"Data Verification",'QA Log'!Z:Z,"Approved",'QA Log'!L:L,"*Medicine (section 2)*"),
COUNTIFS('QA Log'!D:D,A458,'QA Log'!M:M,"Data Verification",'QA Log'!Z:Z,"Approved",'QA Log'!L:L,"*Lab Testing Availability*"),
COUNTIFS('QA Log'!D:D,A458,'QA Log'!M:M,"Data Verification",'QA Log'!Z:Z,"Approved",'QA Log'!L:L,"*Other than P4P (section 6)*"),
COUNTIFS('QA Log'!D:D,A458,'QA Log'!M:M,"Data Verification",'QA Log'!Z:Z,"Approved",'QA Log'!L:L,"*Hospital Governance*")
))</f>
        <v/>
      </c>
      <c r="AG458" s="105" t="str">
        <f>IF(A458&lt;&gt;"",COUNTIFS('QA Log'!D:D,A458,'QA Log'!M:M,"Data Verification",'QA Log'!L:L,"Medicine (section 2)",'QA Log'!Z:Z,"Approved"),"")</f>
        <v/>
      </c>
      <c r="AH458" s="105" t="str">
        <f>IF(A458&lt;&gt;"",COUNTIFS('QA Log'!D:D,A458,'QA Log'!M:M,"Data Verification",'QA Log'!L:L,"Lab Testing Availability",'QA Log'!Z:Z,"Approved"),"")</f>
        <v/>
      </c>
      <c r="AI458" s="105" t="str">
        <f>IF(A458&lt;&gt;"",COUNTIFS('QA Log'!D:D,A458,'QA Log'!M:M,"Data Verification",'QA Log'!L:L,"Other than P4P (section 6)",'QA Log'!Z:Z,"Approved"),"")</f>
        <v/>
      </c>
      <c r="AJ458" s="105" t="str">
        <f>IF(A458&lt;&gt;"",COUNTIFS('QA Log'!D:D,A458,'QA Log'!M:M,"Data Verification",'QA Log'!L:L,"Hospital Governance",'QA Log'!Z:Z,"Approved"),"")</f>
        <v/>
      </c>
      <c r="AK458" s="102" t="str">
        <f>IF(A458="","",
SUM(
COUNTIFS('QA Log'!D:D,A458,'QA Log'!M:M,"Data Verification",'QA Log'!Z:Z,"Rejected",'QA Log'!L:L,"*Medicine (section 2)*"),
COUNTIFS('QA Log'!D:D,A458,'QA Log'!M:M,"Data Verification",'QA Log'!Z:Z,"Rejected",'QA Log'!L:L,"*Lab Testing Availability*"),
COUNTIFS('QA Log'!D:D,A458,'QA Log'!M:M,"Data Verification",'QA Log'!Z:Z,"Rejected",'QA Log'!L:L,"*Other than P4P (section 6)*"),
COUNTIFS('QA Log'!D:D,A458,'QA Log'!M:M,"Data Verification",'QA Log'!Z:Z,"Rejected",'QA Log'!L:L,"*Hospital Governance*")
))</f>
        <v/>
      </c>
      <c r="AL458" s="106" t="str">
        <f t="shared" si="31"/>
        <v/>
      </c>
      <c r="AM458" s="102" t="str">
        <f t="shared" si="32"/>
        <v/>
      </c>
      <c r="AN458" s="102" t="str">
        <f>IF(A458="","",
SUM(
COUNTIFS('QA Log'!D:D,A458,'QA Log'!M:M,"Data Verification",'QA Log'!L:L,"*Personnel (section 1)*"),
COUNTIFS('QA Log'!D:D,A458,'QA Log'!M:M,"Data Verification",'QA Log'!L:L,"*Consumable (section 3)*"),
COUNTIFS('QA Log'!D:D,A458,'QA Log'!M:M,"Data Verification",'QA Log'!L:L,"*Equipments (section 4)*")
))</f>
        <v/>
      </c>
      <c r="AO458" s="102" t="str">
        <f>IF(A458="","",
SUM(
COUNTIFS('QA Log'!D:D,A458,'QA Log'!M:M,"Data Verification",'QA Log'!Z:Z,"Approved",'QA Log'!L:L,"*Personnel (section 1)*"),
COUNTIFS('QA Log'!D:D,A458,'QA Log'!M:M,"Data Verification",'QA Log'!Z:Z,"Approved",'QA Log'!L:L,"*Consumable (section 3)*"),
COUNTIFS('QA Log'!D:D,A458,'QA Log'!M:M,"Data Verification",'QA Log'!Z:Z,"Approved",'QA Log'!L:L,"*Equipments (section 4)*")
))</f>
        <v/>
      </c>
      <c r="AP458" s="105" t="str">
        <f>IF(A458&lt;&gt;"",COUNTIFS('QA Log'!D:D,A458,'QA Log'!M:M,"Data Verification",'QA Log'!L:L,"Personnel (section 1)",'QA Log'!Z:Z,"Approved"),"")</f>
        <v/>
      </c>
      <c r="AQ458" s="105" t="str">
        <f>IF(A458&lt;&gt;"",COUNTIFS('QA Log'!D:D,A458,'QA Log'!M:M,"Data Verification",'QA Log'!L:L,"Consumable (section 3)",'QA Log'!Z:Z,"Approved"),"")</f>
        <v/>
      </c>
      <c r="AR458" s="105" t="str">
        <f>IF(A458&lt;&gt;"",COUNTIFS('QA Log'!D:D,A458,'QA Log'!M:M,"Data Verification",'QA Log'!L:L,"Equipments (section 4)",'QA Log'!Z:Z,"Approved"),"")</f>
        <v/>
      </c>
      <c r="AS458" s="102" t="str">
        <f>IF(A458="","",
SUM(
COUNTIFS('QA Log'!D:D,A458,'QA Log'!M:M,"Data Verification",'QA Log'!Z:Z,"Rejected",'QA Log'!L:L,"*Personnel (section 1)*"),
COUNTIFS('QA Log'!D:D,A458,'QA Log'!M:M,"Data Verification",'QA Log'!Z:Z,"Rejected",'QA Log'!L:L,"*Consumable (section 3)*"),
COUNTIFS('QA Log'!D:D,A458,'QA Log'!M:M,"Data Verification",'QA Log'!Z:Z,"Rejected",'QA Log'!L:L,"*Equipments (section 4)*")
))</f>
        <v/>
      </c>
      <c r="AT458" s="102" t="str">
        <f t="shared" si="33"/>
        <v/>
      </c>
      <c r="AU458" s="103" t="str">
        <f t="shared" si="34"/>
        <v/>
      </c>
      <c r="AV458" s="102" t="str">
        <f>IF(A458="","",SUM(
COUNTIFS('QA Log'!D:D,A458,'QA Log'!M:M,"Vignette",'QA Log'!L:L,"*Vignette [1] Respiratory Infection: Pneumonia*"),
COUNTIFS('QA Log'!D:D,A458,'QA Log'!M:M,"Vignette",'QA Log'!L:L,"*Vignette [2]: Diarrhea with Cat B dehydration*"),
COUNTIFS('QA Log'!D:D,A458,'QA Log'!M:M,"Vignette",'QA Log'!L:L,"*Vignette [3] Growth Monitoring and Promotion*"),
COUNTIFS('QA Log'!D:D,A458,'QA Log'!M:M,"Vignette",'QA Log'!L:L,"*Vignette [4]: The management of presumptive TB patient*")
)
)</f>
        <v/>
      </c>
      <c r="AW458" s="102" t="str">
        <f>IF(
  A458="","",
  SUM(
    COUNTIFS('QA Log'!D:D,A458,'QA Log'!M:M,"Vignette",'QA Log'!Z:Z,"Approved",'QA Log'!L:L,"*Vignette [1] Respiratory Infection: Pneumonia*"),
    COUNTIFS('QA Log'!D:D,A458,'QA Log'!M:M,"Vignette",'QA Log'!Z:Z,"Approved",'QA Log'!L:L,"*Vignette [2]: Diarrhea with Cat B dehydration*"),
    COUNTIFS('QA Log'!D:D,A458,'QA Log'!M:M,"Vignette",'QA Log'!Z:Z,"Approved",'QA Log'!L:L,"*Vignette [3] Growth Monitoring and Promotion*"),
    COUNTIFS('QA Log'!D:D,A458,'QA Log'!M:M,"Vignette",'QA Log'!Z:Z,"Approved",'QA Log'!L:L,"*Vignette [4]: The management of presumptive TB patient*")
  )
)</f>
        <v/>
      </c>
      <c r="AX458" s="105" t="str">
        <f>IF(A458&lt;&gt;"",COUNTIFS('QA Log'!D:D,A458,'QA Log'!M:M,"Vignette",'QA Log'!L:L,"Vignette [1] Respiratory Infection: Pneumonia",'QA Log'!Z:Z,"Approved"),"")</f>
        <v/>
      </c>
      <c r="AY458" s="105" t="str">
        <f>IF(A458&lt;&gt;"",COUNTIFS('QA Log'!D:D,A458,'QA Log'!M:M,"Vignette",'QA Log'!L:L,"Vignette [2]: Diarrhea with Cat B dehydration",'QA Log'!Z:Z,"Approved"),"")</f>
        <v/>
      </c>
      <c r="AZ458" s="105" t="str">
        <f>IF(A458&lt;&gt;"",COUNTIFS('QA Log'!D:D,A458,'QA Log'!M:M,"Vignette",'QA Log'!L:L,"Vignette [3] Growth Monitoring and Promotion",'QA Log'!Z:Z,"Approved"),"")</f>
        <v/>
      </c>
      <c r="BA458" s="105" t="str">
        <f>IF(A458&lt;&gt;"",COUNTIFS('QA Log'!D:D,A458,'QA Log'!M:M,"Vignette",'QA Log'!L:L,"Vignette [4]: The management of presumptive TB patient",'QA Log'!Z:Z,"Approved"),"")</f>
        <v/>
      </c>
      <c r="BB458" s="102" t="str">
        <f>IF(A458="","",
  SUM(
    COUNTIFS('QA Log'!D:D,A458,'QA Log'!M:M,"Vignette",'QA Log'!Z:Z,"Rejected",'QA Log'!L:L,"*Vignette [1] Respiratory Infection: Pneumonia*"),
    COUNTIFS('QA Log'!D:D,A458,'QA Log'!M:M,"Vignette",'QA Log'!Z:Z,"Rejected",'QA Log'!L:L,"*Vignette [2]: Diarrhea with Cat B dehydration*"),
    COUNTIFS('QA Log'!D:D,A458,'QA Log'!M:M,"Vignette",'QA Log'!Z:Z,"Rejected",'QA Log'!L:L,"*Vignette [3] Growth Monitoring and Promotion*"),
    COUNTIFS('QA Log'!D:D,A458,'QA Log'!M:M,"Vignette",'QA Log'!Z:Z,"Rejected",'QA Log'!L:L,"*Vignette [4]: The management of presumptive TB patient*")
  )
)</f>
        <v/>
      </c>
      <c r="BC458" s="107" t="str">
        <f t="shared" si="35"/>
        <v/>
      </c>
      <c r="BD458" s="103" t="str">
        <f t="shared" si="36"/>
        <v/>
      </c>
      <c r="BE458" s="102" t="str">
        <f>IF(A458="","",SUM(
COUNTIFS('QA Log'!D:D,A458,'QA Log'!M:M,"Vignette",'QA Log'!L:L,"*Vignette [5] Labor*"),
COUNTIFS('QA Log'!D:D,A458,'QA Log'!M:M,"Vignette",'QA Log'!L:L,"*Vignette [6] PNC pre Discharge*"),
COUNTIFS('QA Log'!D:D,A458,'QA Log'!M:M,"Vignette",'QA Log'!L:L,"*Vignette [7] First ANC Visit*"),
COUNTIFS('QA Log'!D:D,A458,'QA Log'!M:M,"Vignette",'QA Log'!L:L,"*Vignette [8] Birth Spacing/ Family Planning :  FP Counselling*"),
COUNTIFS('QA Log'!D:D,A458,'QA Log'!M:M,"Vignette",'QA Log'!L:L,"*Vignette [9] Birth Spacing: Change FP method to Injectable*"),
COUNTIFS('QA Log'!D:D,A458,'QA Log'!M:M,"Vignette",'QA Log'!L:L,"*Vignette [10] Post Partum Haemorrhage - Atonic Uterus at Health Centre*"),
)
)</f>
        <v/>
      </c>
      <c r="BF458" s="102" t="str">
        <f>IF(A458="","",
  SUM(
    COUNTIFS('QA Log'!D:D,A458,'QA Log'!M:M,"Vignette",'QA Log'!Z:Z,"Approved",'QA Log'!L:L,"*Vignette [5] Labor*"),
    COUNTIFS('QA Log'!D:D,A458,'QA Log'!M:M,"Vignette",'QA Log'!Z:Z,"Approved",'QA Log'!L:L,"*Vignette [6] PNC pre Discharge*"),
    COUNTIFS('QA Log'!D:D,A458,'QA Log'!M:M,"Vignette",'QA Log'!Z:Z,"Approved",'QA Log'!L:L,"*Vignette [7] First ANC Visit*"),
    COUNTIFS('QA Log'!D:D,A458,'QA Log'!M:M,"Vignette",'QA Log'!Z:Z,"Approved",'QA Log'!L:L,"*Vignette [8] Birth Spacing/ Family Planning :  FP Counselling*"),
    COUNTIFS('QA Log'!D:D,A458,'QA Log'!M:M,"Vignette",'QA Log'!Z:Z,"Approved",'QA Log'!L:L,"*Vignette [9] Birth Spacing: Change FP method to Injectable*"),
    COUNTIFS('QA Log'!D:D,A458,'QA Log'!M:M,"Vignette",'QA Log'!Z:Z,"Approved",'QA Log'!L:L,"*Vignette [10] Post Partum Haemorrhage - Atonic Uterus at Health Centre*")
  )
)</f>
        <v/>
      </c>
      <c r="BG458" s="105" t="str">
        <f>IF(A458&lt;&gt;"",COUNTIFS('QA Log'!D:D,A458,'QA Log'!M:M,"Vignette",'QA Log'!L:L,"Vignette [5] Labor",'QA Log'!Z:Z,"Approved"),"")</f>
        <v/>
      </c>
      <c r="BH458" s="105" t="str">
        <f>IF(A458&lt;&gt;"",COUNTIFS('QA Log'!D:D,A458,'QA Log'!M:M,"Vignette",'QA Log'!L:L,"Vignette [6] PNC pre Discharge",'QA Log'!Z:Z,"Approved"),"")</f>
        <v/>
      </c>
      <c r="BI458" s="105" t="str">
        <f>IF(A458&lt;&gt;"",COUNTIFS('QA Log'!D:D,A458,'QA Log'!M:M,"Vignette",'QA Log'!L:L,"Vignette [7] First ANC Visit",'QA Log'!Z:Z,"Approved"),"")</f>
        <v/>
      </c>
      <c r="BJ458" s="105" t="str">
        <f>IF(A458&lt;&gt;"",COUNTIFS('QA Log'!D:D,A458,'QA Log'!M:M,"Vignette",'QA Log'!L:L,"Vignette [8] Birth Spacing/ Family Planning :  FP Counselling",'QA Log'!Z:Z,"Approved"),"")</f>
        <v/>
      </c>
      <c r="BK458" s="105" t="str">
        <f>IF(A458&lt;&gt;"",COUNTIFS('QA Log'!D:D,A458,'QA Log'!M:M,"Vignette",'QA Log'!L:L,"Vignette [9] Birth Spacing: Change FP method to Injectable",'QA Log'!Z:Z,"Approved"),"")</f>
        <v/>
      </c>
      <c r="BL458" s="105" t="str">
        <f>IF(A458&lt;&gt;"",COUNTIFS('QA Log'!D:D,A458,'QA Log'!M:M,"Vignette",'QA Log'!L:L,"Vignette [10] Post Partum Haemorrhage - Atonic Uterus at Health Centre",'QA Log'!Z:Z,"Approved"),"")</f>
        <v/>
      </c>
      <c r="BM458" s="102" t="str">
        <f>IF(A458="","",SUM(
    COUNTIFS('QA Log'!D:D,A458,'QA Log'!M:M,"Vignette",'QA Log'!Z:Z,"Rejected",'QA Log'!L:L,"*Vignette [5] Labor*"),
    COUNTIFS('QA Log'!D:D,A458,'QA Log'!M:M,"Vignette",'QA Log'!Z:Z,"Rejected",'QA Log'!L:L,"*Vignette [6] PNC pre Discharge*"),
    COUNTIFS('QA Log'!D:D,A458,'QA Log'!M:M,"Vignette",'QA Log'!Z:Z,"Rejected",'QA Log'!L:L,"*Vignette [7] First ANC Visit*"),
    COUNTIFS('QA Log'!D:D,A458,'QA Log'!M:M,"Vignette",'QA Log'!Z:Z,"Rejected",'QA Log'!L:L,"*Vignette [8] Birth Spacing/ Family Planning :  FP Counselling*"),
    COUNTIFS('QA Log'!D:D,A458,'QA Log'!M:M,"Vignette",'QA Log'!Z:Z,"Rejected",'QA Log'!L:L,"*Vignette [9] Birth Spacing: Change FP method to Injectable*"),
    COUNTIFS('QA Log'!D:D,A458,'QA Log'!M:M,"Vignette",'QA Log'!Z:Z,"Rejected",'QA Log'!L:L,"*Vignette [10] Post Partum Haemorrhage - Atonic Uterus at Health Centre*")
  )
)</f>
        <v/>
      </c>
      <c r="BN458" s="107" t="str">
        <f t="shared" si="37"/>
        <v/>
      </c>
      <c r="BO458" s="103" t="str">
        <f t="shared" si="38"/>
        <v/>
      </c>
      <c r="BP458" s="102" t="str">
        <f>IF(A458="","",SUM(
COUNTIFS('QA Log'!D:D,A458,'QA Log'!M:M,"Vignette",'QA Log'!L:L,"*Exit Interview 1*"),
COUNTIFS('QA Log'!D:D,A458,'QA Log'!M:M,"Vignette",'QA Log'!L:L,"*Exit Interview 2*"),
)
)</f>
        <v/>
      </c>
      <c r="BQ458" s="102" t="str">
        <f>IF(
  A458="","",
  SUM(
    COUNTIFS('QA Log'!D:D,A458,'QA Log'!M:M,"Vignette",'QA Log'!Z:Z,"Approved",'QA Log'!L:L,"*Exit Interview 1*"),
    COUNTIFS('QA Log'!D:D,A458,'QA Log'!M:M,"Vignette",'QA Log'!Z:Z,"Approved",'QA Log'!L:L,"*Exit Interview 2*")
  )
)</f>
        <v/>
      </c>
      <c r="BR458" s="105" t="str">
        <f>IF(A458&lt;&gt;"",COUNTIFS('QA Log'!D:D,A458,'QA Log'!M:M,"Vignette",'QA Log'!L:L,"Exit Interview 1",'QA Log'!Z:Z,"Approved"),"")</f>
        <v/>
      </c>
      <c r="BS458" s="105" t="str">
        <f>IF(A458&lt;&gt;"",COUNTIFS('QA Log'!D:D,A458,'QA Log'!M:M,"Vignette",'QA Log'!L:L,"Exit Interview 2",'QA Log'!Z:Z,"Approved"),"")</f>
        <v/>
      </c>
      <c r="BT458" s="102" t="str">
        <f>IF(
  A458="","",
  SUM(
    COUNTIFS('QA Log'!D:D,A458,'QA Log'!M:M,"Vignette",'QA Log'!Z:Z,"Rejected",'QA Log'!L:L,"*Exit Interview 1*"),
    COUNTIFS('QA Log'!D:D,A458,'QA Log'!M:M,"Vignette",'QA Log'!Z:Z,"Rejected",'QA Log'!L:L,"*Exit Interview 2*")
  )
)</f>
        <v/>
      </c>
      <c r="BU458" s="107" t="str">
        <f t="shared" si="39"/>
        <v/>
      </c>
      <c r="BV458" s="102" t="str">
        <f t="shared" si="40"/>
        <v/>
      </c>
      <c r="BW458" s="102" t="str">
        <f t="shared" si="41"/>
        <v/>
      </c>
      <c r="BX458" s="102" t="str">
        <f t="shared" si="42"/>
        <v/>
      </c>
      <c r="BY458" s="102" t="str">
        <f t="shared" si="43"/>
        <v/>
      </c>
      <c r="BZ458" s="107" t="str">
        <f t="shared" si="44"/>
        <v/>
      </c>
      <c r="CA458" s="108" t="str">
        <f t="shared" si="45"/>
        <v/>
      </c>
      <c r="CB458" s="108" t="str">
        <f t="shared" si="46"/>
        <v/>
      </c>
      <c r="CC458" s="109" t="str">
        <f t="shared" si="47"/>
        <v/>
      </c>
      <c r="CD458" s="108" t="str">
        <f t="shared" si="48"/>
        <v/>
      </c>
      <c r="CE458" s="108" t="str">
        <f t="shared" si="49"/>
        <v/>
      </c>
      <c r="CF458" s="109" t="str">
        <f t="shared" si="50"/>
        <v/>
      </c>
      <c r="CG458" s="110" t="str">
        <f t="shared" si="51"/>
        <v/>
      </c>
      <c r="CH458" s="111"/>
    </row>
    <row r="459" spans="1:86" ht="12.75">
      <c r="A459" s="101"/>
      <c r="B459" s="102" t="e">
        <f t="array" aca="1" ref="B459" ca="1">_xludf.XLOOKUP(A459,'QA Log'!D:D,'QA Log'!E:E,"")</f>
        <v>#NAME?</v>
      </c>
      <c r="C459" s="102" t="e">
        <f t="array" aca="1" ref="C459" ca="1">_xludf.XLOOKUP(A459,'QA Log'!D:D,'QA Log'!F:F,"")</f>
        <v>#NAME?</v>
      </c>
      <c r="D459" s="102" t="e">
        <f t="array" aca="1" ref="D459" ca="1">_xludf.XLOOKUP(A459,'QA Log'!D:D,'QA Log'!H:H,"")</f>
        <v>#NAME?</v>
      </c>
      <c r="E459" s="102" t="e">
        <f t="array" aca="1" ref="E459" ca="1">_xludf.XLOOKUP(A459,'QA Log'!D:D,'QA Log'!G:G,"")</f>
        <v>#NAME?</v>
      </c>
      <c r="F459" s="103"/>
      <c r="G459" s="104"/>
      <c r="H459" s="104"/>
      <c r="I459" s="103" t="str">
        <f t="shared" si="26"/>
        <v/>
      </c>
      <c r="J459" s="102" t="str">
        <f>IF(A459="","",SUM(
COUNTIFS('QA Log'!D:D,A459,'QA Log'!M:M,"QQC",'QA Log'!L:L,"*1. General Management*"),
COUNTIFS('QA Log'!D:D,A459,'QA Log'!M:M,"QQC",'QA Log'!L:L,"*3. Curative Consultation (OPD)*"),
COUNTIFS('QA Log'!D:D,A459,'QA Log'!M:M,"QQC",'QA Log'!L:L,"*5. Laboratory*"),
COUNTIFS('QA Log'!D:D,A459,'QA Log'!M:M,"QQC",'QA Log'!L:L,"*6. Essential Medicine Management*"),
COUNTIFS('QA Log'!D:D,A459,'QA Log'!M:M,"QQC",'QA Log'!L:L,"*7. Tracer Medicine*"),
COUNTIFS('QA Log'!D:D,A459,'QA Log'!M:M,"QQC",'QA Log'!L:L,"*11. Additional Questions*")))</f>
        <v/>
      </c>
      <c r="K459" s="102" t="str">
        <f>IF(A459="","",SUM(
COUNTIFS('QA Log'!D:D,A459,'QA Log'!M:M,"QQC",'QA Log'!Z:Z,"Approved",'QA Log'!L:L,"*1. General Management*"),
COUNTIFS('QA Log'!D:D,A459,'QA Log'!M:M,"QQC",'QA Log'!Z:Z,"Approved",'QA Log'!L:L,"*3. Curative Consultation (OPD)*"),
COUNTIFS('QA Log'!D:D,A459,'QA Log'!M:M,"QQC",'QA Log'!Z:Z,"Approved",'QA Log'!L:L,"*5. Laboratory*"),
COUNTIFS('QA Log'!D:D,A459,'QA Log'!M:M,"QQC",'QA Log'!Z:Z,"Approved",'QA Log'!L:L,"*6. Essential Medicine Management*"),
COUNTIFS('QA Log'!D:D,A459,'QA Log'!M:M,"QQC",'QA Log'!Z:Z,"Approved",'QA Log'!L:L,"*7. Tracer Medicine*"),
COUNTIFS('QA Log'!D:D,A459,'QA Log'!M:M,"QQC",'QA Log'!Z:Z,"Approved",'QA Log'!L:L,"*11. Additional Questions*")))</f>
        <v/>
      </c>
      <c r="L459" s="102" t="str">
        <f>IF(A459&lt;&gt;"",COUNTIFS('QA Log'!D:D,A459,'QA Log'!M:M,"QQC",'QA Log'!L:L,"1. General Management",'QA Log'!Z:Z,"Approved"),"")</f>
        <v/>
      </c>
      <c r="M459" s="102" t="str">
        <f>IF(A459&lt;&gt;"",COUNTIFS('QA Log'!D:D,A459,'QA Log'!M:M,"QQC",'QA Log'!L:L,"3. Curative Consultation (OPD)",'QA Log'!Z:Z,"Approved"),"")</f>
        <v/>
      </c>
      <c r="N459" s="102" t="str">
        <f>IF(A459&lt;&gt;"",COUNTIFS('QA Log'!D:D,A459,'QA Log'!M:M,"QQC",'QA Log'!L:L,"5. Laboratory",'QA Log'!Z:Z,"Approved"),"")</f>
        <v/>
      </c>
      <c r="O459" s="102" t="str">
        <f>IF(A459&lt;&gt;"",COUNTIFS('QA Log'!D:D,A459,'QA Log'!M:M,"QQC",'QA Log'!L:L,"6. Essential Medicine Management",'QA Log'!Z:Z,"Approved"),"")</f>
        <v/>
      </c>
      <c r="P459" s="102" t="str">
        <f>IF(A459&lt;&gt;"",COUNTIFS('QA Log'!D:D,A459,'QA Log'!M:M,"QQC",'QA Log'!L:L,"7. Tracer Medicine",'QA Log'!Z:Z,"Approved"),"")</f>
        <v/>
      </c>
      <c r="Q459" s="102" t="str">
        <f>IF(A459&lt;&gt;"",COUNTIFS('QA Log'!D:D,A459,'QA Log'!M:M,"QQC",'QA Log'!L:L,"11. Additional Questions",'QA Log'!Z:Z,"Approved"),"")</f>
        <v/>
      </c>
      <c r="R459" s="102" t="str">
        <f>IF(A459="","",SUM(
COUNTIFS('QA Log'!D:D,A459,'QA Log'!M:M,"QQC",'QA Log'!Z:Z,"Rejected",'QA Log'!L:L,"*8. Maternity*"),
COUNTIFS('QA Log'!D:D,A459,'QA Log'!M:M,"QQC",'QA Log'!Z:Z,"Rejected",'QA Log'!L:L,"*EPI*"),
COUNTIFS('QA Log'!D:D,A459,'QA Log'!M:M,"QQC",'QA Log'!Z:Z,"Rejected",'QA Log'!L:L,"*10. Antenatal Care (ANC)*"),
COUNTIFS('QA Log'!D:D,A459,'QA Log'!M:M,"QQC",'QA Log'!Z:Z,"Rejected",'QA Log'!L:L,"*2. Hygiene and Sterilization*"),
COUNTIFS('QA Log'!D:D,A459,'QA Log'!M:M,"QQC",'QA Log'!Z:Z,"Rejected",'QA Log'!L:L,"*Family Planning*")))</f>
        <v/>
      </c>
      <c r="S459" s="106" t="str">
        <f t="shared" si="27"/>
        <v/>
      </c>
      <c r="T459" s="102" t="str">
        <f t="shared" si="28"/>
        <v/>
      </c>
      <c r="U459" s="102" t="str">
        <f>IF(A459="","",
SUM(
COUNTIFS('QA Log'!D:D,A459,'QA Log'!M:M,"QQC",'QA Log'!L:L,"*8. Maternity*"),
COUNTIFS('QA Log'!D:D,A459,'QA Log'!M:M,"QQC",'QA Log'!L:L,"*9. EPI and Pre-school Consultation*"),
COUNTIFS('QA Log'!D:D,A459,'QA Log'!M:M,"QQC",'QA Log'!L:L,"*10. Antenatal Care (ANC)*"),
COUNTIFS('QA Log'!D:D,A459,'QA Log'!M:M,"QQC",'QA Log'!L:L,"*2. Hygiene and Sterilization*"),
COUNTIFS('QA Log'!D:D,A459,'QA Log'!M:M,"QQC",'QA Log'!L:L,"*4. Family Planning*")
))</f>
        <v/>
      </c>
      <c r="V459" s="102" t="str">
        <f>IF(A459="","",
SUM(
COUNTIFS('QA Log'!D:D,A459,'QA Log'!M:M,"QQC",'QA Log'!Z:Z,"Approved",'QA Log'!L:L,"*8. Maternity*"),
COUNTIFS('QA Log'!D:D,A459,'QA Log'!M:M,"QQC",'QA Log'!Z:Z,"Approved",'QA Log'!L:L,"*9. EPI and Pre-school Consultation*"),
COUNTIFS('QA Log'!D:D,A459,'QA Log'!M:M,"QQC",'QA Log'!Z:Z,"Approved",'QA Log'!L:L,"*10. Antenatal Care (ANC)*"),
COUNTIFS('QA Log'!D:D,A459,'QA Log'!M:M,"QQC",'QA Log'!Z:Z,"Approved",'QA Log'!L:L,"*2. Hygiene and Sterilization*"),
COUNTIFS('QA Log'!D:D,A459,'QA Log'!M:M,"QQC",'QA Log'!Z:Z,"Approved",'QA Log'!L:L,"*4. Family Planning*")
))</f>
        <v/>
      </c>
      <c r="W459" s="102" t="str">
        <f>IF(A459&lt;&gt;"",COUNTIFS('QA Log'!D:D,A459,'QA Log'!M:M,"QQC",'QA Log'!L:L,"8. Maternity",'QA Log'!Z:Z,"Approved"),"")</f>
        <v/>
      </c>
      <c r="X459" s="105" t="str">
        <f>IF(A459&lt;&gt;"",COUNTIFS('QA Log'!D:D,A459,'QA Log'!M:M,"QQC",'QA Log'!L:L,"9. EPI and Pre-school Consultation",'QA Log'!Z:Z,"Approved"),"")</f>
        <v/>
      </c>
      <c r="Y459" s="102" t="str">
        <f>IF(A459&lt;&gt;"",COUNTIFS('QA Log'!D:D,A459,'QA Log'!M:M,"QQC",'QA Log'!L:L,"10. Antenatal Care (ANC)",'QA Log'!Z:Z,"Approved"),"")</f>
        <v/>
      </c>
      <c r="Z459" s="102" t="str">
        <f>IF(A459&lt;&gt;"",COUNTIFS('QA Log'!D:D,A459,'QA Log'!M:M,"QQC",'QA Log'!L:L,"2. Hygiene and Sterilization",'QA Log'!Z:Z,"Approved"),"")</f>
        <v/>
      </c>
      <c r="AA459" s="105" t="str">
        <f>IF(A459&lt;&gt;"",COUNTIFS('QA Log'!D:D,A459,'QA Log'!M:M,"QQC",'QA Log'!L:L,"4. Family Planning",'QA Log'!Z:Z,"Approved"),"")</f>
        <v/>
      </c>
      <c r="AB459" s="102" t="str">
        <f>IF(A459="","",
SUM(
COUNTIFS('QA Log'!D:D,A459,'QA Log'!M:M,"QQC",'QA Log'!Z:Z,"Rejected",'QA Log'!L:L,"*8. Maternity*"),
COUNTIFS('QA Log'!D:D,A459,'QA Log'!M:M,"QQC",'QA Log'!Z:Z,"Rejected",'QA Log'!L:L,"*9. EPI and Pre-school Consultation*"),
COUNTIFS('QA Log'!D:D,A459,'QA Log'!M:M,"QQC",'QA Log'!Z:Z,"Rejected",'QA Log'!L:L,"*10. Antenatal Care (ANC)*"),
COUNTIFS('QA Log'!D:D,A459,'QA Log'!M:M,"QQC",'QA Log'!Z:Z,"Rejected",'QA Log'!L:L,"*2. Hygiene and Sterilization*"),
COUNTIFS('QA Log'!D:D,A459,'QA Log'!M:M,"QQC",'QA Log'!Z:Z,"Rejected",'QA Log'!L:L,"*4. Family Planning*")
))</f>
        <v/>
      </c>
      <c r="AC459" s="102" t="str">
        <f t="shared" si="29"/>
        <v/>
      </c>
      <c r="AD459" s="103" t="str">
        <f t="shared" si="30"/>
        <v/>
      </c>
      <c r="AE459" s="102" t="str">
        <f>IF(A459="","",
SUM(
COUNTIFS('QA Log'!D:D,A459,'QA Log'!M:M,"Data Verification",'QA Log'!L:L,"*Medicine (section 2)*"),
COUNTIFS('QA Log'!D:D,A459,'QA Log'!M:M,"Data Verification",'QA Log'!L:L,"*Lab Testing Availability*"),
COUNTIFS('QA Log'!D:D,A459,'QA Log'!M:M,"Data Verification",'QA Log'!L:L,"*Other than P4P (section 6)*"),
COUNTIFS('QA Log'!D:D,A459,'QA Log'!M:M,"Data Verification",'QA Log'!L:L,"*Hospital Governance*")
))</f>
        <v/>
      </c>
      <c r="AF459" s="102" t="str">
        <f>IF(A459="","",
SUM(
COUNTIFS('QA Log'!D:D,A459,'QA Log'!M:M,"Data Verification",'QA Log'!Z:Z,"Approved",'QA Log'!L:L,"*Medicine (section 2)*"),
COUNTIFS('QA Log'!D:D,A459,'QA Log'!M:M,"Data Verification",'QA Log'!Z:Z,"Approved",'QA Log'!L:L,"*Lab Testing Availability*"),
COUNTIFS('QA Log'!D:D,A459,'QA Log'!M:M,"Data Verification",'QA Log'!Z:Z,"Approved",'QA Log'!L:L,"*Other than P4P (section 6)*"),
COUNTIFS('QA Log'!D:D,A459,'QA Log'!M:M,"Data Verification",'QA Log'!Z:Z,"Approved",'QA Log'!L:L,"*Hospital Governance*")
))</f>
        <v/>
      </c>
      <c r="AG459" s="105" t="str">
        <f>IF(A459&lt;&gt;"",COUNTIFS('QA Log'!D:D,A459,'QA Log'!M:M,"Data Verification",'QA Log'!L:L,"Medicine (section 2)",'QA Log'!Z:Z,"Approved"),"")</f>
        <v/>
      </c>
      <c r="AH459" s="105" t="str">
        <f>IF(A459&lt;&gt;"",COUNTIFS('QA Log'!D:D,A459,'QA Log'!M:M,"Data Verification",'QA Log'!L:L,"Lab Testing Availability",'QA Log'!Z:Z,"Approved"),"")</f>
        <v/>
      </c>
      <c r="AI459" s="105" t="str">
        <f>IF(A459&lt;&gt;"",COUNTIFS('QA Log'!D:D,A459,'QA Log'!M:M,"Data Verification",'QA Log'!L:L,"Other than P4P (section 6)",'QA Log'!Z:Z,"Approved"),"")</f>
        <v/>
      </c>
      <c r="AJ459" s="105" t="str">
        <f>IF(A459&lt;&gt;"",COUNTIFS('QA Log'!D:D,A459,'QA Log'!M:M,"Data Verification",'QA Log'!L:L,"Hospital Governance",'QA Log'!Z:Z,"Approved"),"")</f>
        <v/>
      </c>
      <c r="AK459" s="102" t="str">
        <f>IF(A459="","",
SUM(
COUNTIFS('QA Log'!D:D,A459,'QA Log'!M:M,"Data Verification",'QA Log'!Z:Z,"Rejected",'QA Log'!L:L,"*Medicine (section 2)*"),
COUNTIFS('QA Log'!D:D,A459,'QA Log'!M:M,"Data Verification",'QA Log'!Z:Z,"Rejected",'QA Log'!L:L,"*Lab Testing Availability*"),
COUNTIFS('QA Log'!D:D,A459,'QA Log'!M:M,"Data Verification",'QA Log'!Z:Z,"Rejected",'QA Log'!L:L,"*Other than P4P (section 6)*"),
COUNTIFS('QA Log'!D:D,A459,'QA Log'!M:M,"Data Verification",'QA Log'!Z:Z,"Rejected",'QA Log'!L:L,"*Hospital Governance*")
))</f>
        <v/>
      </c>
      <c r="AL459" s="106" t="str">
        <f t="shared" si="31"/>
        <v/>
      </c>
      <c r="AM459" s="102" t="str">
        <f t="shared" si="32"/>
        <v/>
      </c>
      <c r="AN459" s="102" t="str">
        <f>IF(A459="","",
SUM(
COUNTIFS('QA Log'!D:D,A459,'QA Log'!M:M,"Data Verification",'QA Log'!L:L,"*Personnel (section 1)*"),
COUNTIFS('QA Log'!D:D,A459,'QA Log'!M:M,"Data Verification",'QA Log'!L:L,"*Consumable (section 3)*"),
COUNTIFS('QA Log'!D:D,A459,'QA Log'!M:M,"Data Verification",'QA Log'!L:L,"*Equipments (section 4)*")
))</f>
        <v/>
      </c>
      <c r="AO459" s="102" t="str">
        <f>IF(A459="","",
SUM(
COUNTIFS('QA Log'!D:D,A459,'QA Log'!M:M,"Data Verification",'QA Log'!Z:Z,"Approved",'QA Log'!L:L,"*Personnel (section 1)*"),
COUNTIFS('QA Log'!D:D,A459,'QA Log'!M:M,"Data Verification",'QA Log'!Z:Z,"Approved",'QA Log'!L:L,"*Consumable (section 3)*"),
COUNTIFS('QA Log'!D:D,A459,'QA Log'!M:M,"Data Verification",'QA Log'!Z:Z,"Approved",'QA Log'!L:L,"*Equipments (section 4)*")
))</f>
        <v/>
      </c>
      <c r="AP459" s="105" t="str">
        <f>IF(A459&lt;&gt;"",COUNTIFS('QA Log'!D:D,A459,'QA Log'!M:M,"Data Verification",'QA Log'!L:L,"Personnel (section 1)",'QA Log'!Z:Z,"Approved"),"")</f>
        <v/>
      </c>
      <c r="AQ459" s="105" t="str">
        <f>IF(A459&lt;&gt;"",COUNTIFS('QA Log'!D:D,A459,'QA Log'!M:M,"Data Verification",'QA Log'!L:L,"Consumable (section 3)",'QA Log'!Z:Z,"Approved"),"")</f>
        <v/>
      </c>
      <c r="AR459" s="105" t="str">
        <f>IF(A459&lt;&gt;"",COUNTIFS('QA Log'!D:D,A459,'QA Log'!M:M,"Data Verification",'QA Log'!L:L,"Equipments (section 4)",'QA Log'!Z:Z,"Approved"),"")</f>
        <v/>
      </c>
      <c r="AS459" s="102" t="str">
        <f>IF(A459="","",
SUM(
COUNTIFS('QA Log'!D:D,A459,'QA Log'!M:M,"Data Verification",'QA Log'!Z:Z,"Rejected",'QA Log'!L:L,"*Personnel (section 1)*"),
COUNTIFS('QA Log'!D:D,A459,'QA Log'!M:M,"Data Verification",'QA Log'!Z:Z,"Rejected",'QA Log'!L:L,"*Consumable (section 3)*"),
COUNTIFS('QA Log'!D:D,A459,'QA Log'!M:M,"Data Verification",'QA Log'!Z:Z,"Rejected",'QA Log'!L:L,"*Equipments (section 4)*")
))</f>
        <v/>
      </c>
      <c r="AT459" s="102" t="str">
        <f t="shared" si="33"/>
        <v/>
      </c>
      <c r="AU459" s="103" t="str">
        <f t="shared" si="34"/>
        <v/>
      </c>
      <c r="AV459" s="102" t="str">
        <f>IF(A459="","",SUM(
COUNTIFS('QA Log'!D:D,A459,'QA Log'!M:M,"Vignette",'QA Log'!L:L,"*Vignette [1] Respiratory Infection: Pneumonia*"),
COUNTIFS('QA Log'!D:D,A459,'QA Log'!M:M,"Vignette",'QA Log'!L:L,"*Vignette [2]: Diarrhea with Cat B dehydration*"),
COUNTIFS('QA Log'!D:D,A459,'QA Log'!M:M,"Vignette",'QA Log'!L:L,"*Vignette [3] Growth Monitoring and Promotion*"),
COUNTIFS('QA Log'!D:D,A459,'QA Log'!M:M,"Vignette",'QA Log'!L:L,"*Vignette [4]: The management of presumptive TB patient*")
)
)</f>
        <v/>
      </c>
      <c r="AW459" s="102" t="str">
        <f>IF(
  A459="","",
  SUM(
    COUNTIFS('QA Log'!D:D,A459,'QA Log'!M:M,"Vignette",'QA Log'!Z:Z,"Approved",'QA Log'!L:L,"*Vignette [1] Respiratory Infection: Pneumonia*"),
    COUNTIFS('QA Log'!D:D,A459,'QA Log'!M:M,"Vignette",'QA Log'!Z:Z,"Approved",'QA Log'!L:L,"*Vignette [2]: Diarrhea with Cat B dehydration*"),
    COUNTIFS('QA Log'!D:D,A459,'QA Log'!M:M,"Vignette",'QA Log'!Z:Z,"Approved",'QA Log'!L:L,"*Vignette [3] Growth Monitoring and Promotion*"),
    COUNTIFS('QA Log'!D:D,A459,'QA Log'!M:M,"Vignette",'QA Log'!Z:Z,"Approved",'QA Log'!L:L,"*Vignette [4]: The management of presumptive TB patient*")
  )
)</f>
        <v/>
      </c>
      <c r="AX459" s="105" t="str">
        <f>IF(A459&lt;&gt;"",COUNTIFS('QA Log'!D:D,A459,'QA Log'!M:M,"Vignette",'QA Log'!L:L,"Vignette [1] Respiratory Infection: Pneumonia",'QA Log'!Z:Z,"Approved"),"")</f>
        <v/>
      </c>
      <c r="AY459" s="105" t="str">
        <f>IF(A459&lt;&gt;"",COUNTIFS('QA Log'!D:D,A459,'QA Log'!M:M,"Vignette",'QA Log'!L:L,"Vignette [2]: Diarrhea with Cat B dehydration",'QA Log'!Z:Z,"Approved"),"")</f>
        <v/>
      </c>
      <c r="AZ459" s="105" t="str">
        <f>IF(A459&lt;&gt;"",COUNTIFS('QA Log'!D:D,A459,'QA Log'!M:M,"Vignette",'QA Log'!L:L,"Vignette [3] Growth Monitoring and Promotion",'QA Log'!Z:Z,"Approved"),"")</f>
        <v/>
      </c>
      <c r="BA459" s="105" t="str">
        <f>IF(A459&lt;&gt;"",COUNTIFS('QA Log'!D:D,A459,'QA Log'!M:M,"Vignette",'QA Log'!L:L,"Vignette [4]: The management of presumptive TB patient",'QA Log'!Z:Z,"Approved"),"")</f>
        <v/>
      </c>
      <c r="BB459" s="102" t="str">
        <f>IF(A459="","",
  SUM(
    COUNTIFS('QA Log'!D:D,A459,'QA Log'!M:M,"Vignette",'QA Log'!Z:Z,"Rejected",'QA Log'!L:L,"*Vignette [1] Respiratory Infection: Pneumonia*"),
    COUNTIFS('QA Log'!D:D,A459,'QA Log'!M:M,"Vignette",'QA Log'!Z:Z,"Rejected",'QA Log'!L:L,"*Vignette [2]: Diarrhea with Cat B dehydration*"),
    COUNTIFS('QA Log'!D:D,A459,'QA Log'!M:M,"Vignette",'QA Log'!Z:Z,"Rejected",'QA Log'!L:L,"*Vignette [3] Growth Monitoring and Promotion*"),
    COUNTIFS('QA Log'!D:D,A459,'QA Log'!M:M,"Vignette",'QA Log'!Z:Z,"Rejected",'QA Log'!L:L,"*Vignette [4]: The management of presumptive TB patient*")
  )
)</f>
        <v/>
      </c>
      <c r="BC459" s="107" t="str">
        <f t="shared" si="35"/>
        <v/>
      </c>
      <c r="BD459" s="103" t="str">
        <f t="shared" si="36"/>
        <v/>
      </c>
      <c r="BE459" s="102" t="str">
        <f>IF(A459="","",SUM(
COUNTIFS('QA Log'!D:D,A459,'QA Log'!M:M,"Vignette",'QA Log'!L:L,"*Vignette [5] Labor*"),
COUNTIFS('QA Log'!D:D,A459,'QA Log'!M:M,"Vignette",'QA Log'!L:L,"*Vignette [6] PNC pre Discharge*"),
COUNTIFS('QA Log'!D:D,A459,'QA Log'!M:M,"Vignette",'QA Log'!L:L,"*Vignette [7] First ANC Visit*"),
COUNTIFS('QA Log'!D:D,A459,'QA Log'!M:M,"Vignette",'QA Log'!L:L,"*Vignette [8] Birth Spacing/ Family Planning :  FP Counselling*"),
COUNTIFS('QA Log'!D:D,A459,'QA Log'!M:M,"Vignette",'QA Log'!L:L,"*Vignette [9] Birth Spacing: Change FP method to Injectable*"),
COUNTIFS('QA Log'!D:D,A459,'QA Log'!M:M,"Vignette",'QA Log'!L:L,"*Vignette [10] Post Partum Haemorrhage - Atonic Uterus at Health Centre*"),
)
)</f>
        <v/>
      </c>
      <c r="BF459" s="102" t="str">
        <f>IF(A459="","",
  SUM(
    COUNTIFS('QA Log'!D:D,A459,'QA Log'!M:M,"Vignette",'QA Log'!Z:Z,"Approved",'QA Log'!L:L,"*Vignette [5] Labor*"),
    COUNTIFS('QA Log'!D:D,A459,'QA Log'!M:M,"Vignette",'QA Log'!Z:Z,"Approved",'QA Log'!L:L,"*Vignette [6] PNC pre Discharge*"),
    COUNTIFS('QA Log'!D:D,A459,'QA Log'!M:M,"Vignette",'QA Log'!Z:Z,"Approved",'QA Log'!L:L,"*Vignette [7] First ANC Visit*"),
    COUNTIFS('QA Log'!D:D,A459,'QA Log'!M:M,"Vignette",'QA Log'!Z:Z,"Approved",'QA Log'!L:L,"*Vignette [8] Birth Spacing/ Family Planning :  FP Counselling*"),
    COUNTIFS('QA Log'!D:D,A459,'QA Log'!M:M,"Vignette",'QA Log'!Z:Z,"Approved",'QA Log'!L:L,"*Vignette [9] Birth Spacing: Change FP method to Injectable*"),
    COUNTIFS('QA Log'!D:D,A459,'QA Log'!M:M,"Vignette",'QA Log'!Z:Z,"Approved",'QA Log'!L:L,"*Vignette [10] Post Partum Haemorrhage - Atonic Uterus at Health Centre*")
  )
)</f>
        <v/>
      </c>
      <c r="BG459" s="105" t="str">
        <f>IF(A459&lt;&gt;"",COUNTIFS('QA Log'!D:D,A459,'QA Log'!M:M,"Vignette",'QA Log'!L:L,"Vignette [5] Labor",'QA Log'!Z:Z,"Approved"),"")</f>
        <v/>
      </c>
      <c r="BH459" s="105" t="str">
        <f>IF(A459&lt;&gt;"",COUNTIFS('QA Log'!D:D,A459,'QA Log'!M:M,"Vignette",'QA Log'!L:L,"Vignette [6] PNC pre Discharge",'QA Log'!Z:Z,"Approved"),"")</f>
        <v/>
      </c>
      <c r="BI459" s="105" t="str">
        <f>IF(A459&lt;&gt;"",COUNTIFS('QA Log'!D:D,A459,'QA Log'!M:M,"Vignette",'QA Log'!L:L,"Vignette [7] First ANC Visit",'QA Log'!Z:Z,"Approved"),"")</f>
        <v/>
      </c>
      <c r="BJ459" s="105" t="str">
        <f>IF(A459&lt;&gt;"",COUNTIFS('QA Log'!D:D,A459,'QA Log'!M:M,"Vignette",'QA Log'!L:L,"Vignette [8] Birth Spacing/ Family Planning :  FP Counselling",'QA Log'!Z:Z,"Approved"),"")</f>
        <v/>
      </c>
      <c r="BK459" s="105" t="str">
        <f>IF(A459&lt;&gt;"",COUNTIFS('QA Log'!D:D,A459,'QA Log'!M:M,"Vignette",'QA Log'!L:L,"Vignette [9] Birth Spacing: Change FP method to Injectable",'QA Log'!Z:Z,"Approved"),"")</f>
        <v/>
      </c>
      <c r="BL459" s="105" t="str">
        <f>IF(A459&lt;&gt;"",COUNTIFS('QA Log'!D:D,A459,'QA Log'!M:M,"Vignette",'QA Log'!L:L,"Vignette [10] Post Partum Haemorrhage - Atonic Uterus at Health Centre",'QA Log'!Z:Z,"Approved"),"")</f>
        <v/>
      </c>
      <c r="BM459" s="102" t="str">
        <f>IF(A459="","",SUM(
    COUNTIFS('QA Log'!D:D,A459,'QA Log'!M:M,"Vignette",'QA Log'!Z:Z,"Rejected",'QA Log'!L:L,"*Vignette [5] Labor*"),
    COUNTIFS('QA Log'!D:D,A459,'QA Log'!M:M,"Vignette",'QA Log'!Z:Z,"Rejected",'QA Log'!L:L,"*Vignette [6] PNC pre Discharge*"),
    COUNTIFS('QA Log'!D:D,A459,'QA Log'!M:M,"Vignette",'QA Log'!Z:Z,"Rejected",'QA Log'!L:L,"*Vignette [7] First ANC Visit*"),
    COUNTIFS('QA Log'!D:D,A459,'QA Log'!M:M,"Vignette",'QA Log'!Z:Z,"Rejected",'QA Log'!L:L,"*Vignette [8] Birth Spacing/ Family Planning :  FP Counselling*"),
    COUNTIFS('QA Log'!D:D,A459,'QA Log'!M:M,"Vignette",'QA Log'!Z:Z,"Rejected",'QA Log'!L:L,"*Vignette [9] Birth Spacing: Change FP method to Injectable*"),
    COUNTIFS('QA Log'!D:D,A459,'QA Log'!M:M,"Vignette",'QA Log'!Z:Z,"Rejected",'QA Log'!L:L,"*Vignette [10] Post Partum Haemorrhage - Atonic Uterus at Health Centre*")
  )
)</f>
        <v/>
      </c>
      <c r="BN459" s="107" t="str">
        <f t="shared" si="37"/>
        <v/>
      </c>
      <c r="BO459" s="103" t="str">
        <f t="shared" si="38"/>
        <v/>
      </c>
      <c r="BP459" s="102" t="str">
        <f>IF(A459="","",SUM(
COUNTIFS('QA Log'!D:D,A459,'QA Log'!M:M,"Vignette",'QA Log'!L:L,"*Exit Interview 1*"),
COUNTIFS('QA Log'!D:D,A459,'QA Log'!M:M,"Vignette",'QA Log'!L:L,"*Exit Interview 2*"),
)
)</f>
        <v/>
      </c>
      <c r="BQ459" s="102" t="str">
        <f>IF(
  A459="","",
  SUM(
    COUNTIFS('QA Log'!D:D,A459,'QA Log'!M:M,"Vignette",'QA Log'!Z:Z,"Approved",'QA Log'!L:L,"*Exit Interview 1*"),
    COUNTIFS('QA Log'!D:D,A459,'QA Log'!M:M,"Vignette",'QA Log'!Z:Z,"Approved",'QA Log'!L:L,"*Exit Interview 2*")
  )
)</f>
        <v/>
      </c>
      <c r="BR459" s="105" t="str">
        <f>IF(A459&lt;&gt;"",COUNTIFS('QA Log'!D:D,A459,'QA Log'!M:M,"Vignette",'QA Log'!L:L,"Exit Interview 1",'QA Log'!Z:Z,"Approved"),"")</f>
        <v/>
      </c>
      <c r="BS459" s="105" t="str">
        <f>IF(A459&lt;&gt;"",COUNTIFS('QA Log'!D:D,A459,'QA Log'!M:M,"Vignette",'QA Log'!L:L,"Exit Interview 2",'QA Log'!Z:Z,"Approved"),"")</f>
        <v/>
      </c>
      <c r="BT459" s="102" t="str">
        <f>IF(
  A459="","",
  SUM(
    COUNTIFS('QA Log'!D:D,A459,'QA Log'!M:M,"Vignette",'QA Log'!Z:Z,"Rejected",'QA Log'!L:L,"*Exit Interview 1*"),
    COUNTIFS('QA Log'!D:D,A459,'QA Log'!M:M,"Vignette",'QA Log'!Z:Z,"Rejected",'QA Log'!L:L,"*Exit Interview 2*")
  )
)</f>
        <v/>
      </c>
      <c r="BU459" s="107" t="str">
        <f t="shared" si="39"/>
        <v/>
      </c>
      <c r="BV459" s="102" t="str">
        <f t="shared" si="40"/>
        <v/>
      </c>
      <c r="BW459" s="102" t="str">
        <f t="shared" si="41"/>
        <v/>
      </c>
      <c r="BX459" s="102" t="str">
        <f t="shared" si="42"/>
        <v/>
      </c>
      <c r="BY459" s="102" t="str">
        <f t="shared" si="43"/>
        <v/>
      </c>
      <c r="BZ459" s="107" t="str">
        <f t="shared" si="44"/>
        <v/>
      </c>
      <c r="CA459" s="108" t="str">
        <f t="shared" si="45"/>
        <v/>
      </c>
      <c r="CB459" s="108" t="str">
        <f t="shared" si="46"/>
        <v/>
      </c>
      <c r="CC459" s="109" t="str">
        <f t="shared" si="47"/>
        <v/>
      </c>
      <c r="CD459" s="108" t="str">
        <f t="shared" si="48"/>
        <v/>
      </c>
      <c r="CE459" s="108" t="str">
        <f t="shared" si="49"/>
        <v/>
      </c>
      <c r="CF459" s="109" t="str">
        <f t="shared" si="50"/>
        <v/>
      </c>
      <c r="CG459" s="110" t="str">
        <f t="shared" si="51"/>
        <v/>
      </c>
      <c r="CH459" s="111"/>
    </row>
    <row r="460" spans="1:86" ht="12.75">
      <c r="A460" s="101"/>
      <c r="B460" s="102" t="e">
        <f t="array" aca="1" ref="B460" ca="1">_xludf.XLOOKUP(A460,'QA Log'!D:D,'QA Log'!E:E,"")</f>
        <v>#NAME?</v>
      </c>
      <c r="C460" s="102" t="e">
        <f t="array" aca="1" ref="C460" ca="1">_xludf.XLOOKUP(A460,'QA Log'!D:D,'QA Log'!F:F,"")</f>
        <v>#NAME?</v>
      </c>
      <c r="D460" s="102" t="e">
        <f t="array" aca="1" ref="D460" ca="1">_xludf.XLOOKUP(A460,'QA Log'!D:D,'QA Log'!H:H,"")</f>
        <v>#NAME?</v>
      </c>
      <c r="E460" s="102" t="e">
        <f t="array" aca="1" ref="E460" ca="1">_xludf.XLOOKUP(A460,'QA Log'!D:D,'QA Log'!G:G,"")</f>
        <v>#NAME?</v>
      </c>
      <c r="F460" s="103"/>
      <c r="G460" s="104"/>
      <c r="H460" s="104"/>
      <c r="I460" s="103" t="str">
        <f t="shared" si="26"/>
        <v/>
      </c>
      <c r="J460" s="102" t="str">
        <f>IF(A460="","",SUM(
COUNTIFS('QA Log'!D:D,A460,'QA Log'!M:M,"QQC",'QA Log'!L:L,"*1. General Management*"),
COUNTIFS('QA Log'!D:D,A460,'QA Log'!M:M,"QQC",'QA Log'!L:L,"*3. Curative Consultation (OPD)*"),
COUNTIFS('QA Log'!D:D,A460,'QA Log'!M:M,"QQC",'QA Log'!L:L,"*5. Laboratory*"),
COUNTIFS('QA Log'!D:D,A460,'QA Log'!M:M,"QQC",'QA Log'!L:L,"*6. Essential Medicine Management*"),
COUNTIFS('QA Log'!D:D,A460,'QA Log'!M:M,"QQC",'QA Log'!L:L,"*7. Tracer Medicine*"),
COUNTIFS('QA Log'!D:D,A460,'QA Log'!M:M,"QQC",'QA Log'!L:L,"*11. Additional Questions*")))</f>
        <v/>
      </c>
      <c r="K460" s="102" t="str">
        <f>IF(A460="","",SUM(
COUNTIFS('QA Log'!D:D,A460,'QA Log'!M:M,"QQC",'QA Log'!Z:Z,"Approved",'QA Log'!L:L,"*1. General Management*"),
COUNTIFS('QA Log'!D:D,A460,'QA Log'!M:M,"QQC",'QA Log'!Z:Z,"Approved",'QA Log'!L:L,"*3. Curative Consultation (OPD)*"),
COUNTIFS('QA Log'!D:D,A460,'QA Log'!M:M,"QQC",'QA Log'!Z:Z,"Approved",'QA Log'!L:L,"*5. Laboratory*"),
COUNTIFS('QA Log'!D:D,A460,'QA Log'!M:M,"QQC",'QA Log'!Z:Z,"Approved",'QA Log'!L:L,"*6. Essential Medicine Management*"),
COUNTIFS('QA Log'!D:D,A460,'QA Log'!M:M,"QQC",'QA Log'!Z:Z,"Approved",'QA Log'!L:L,"*7. Tracer Medicine*"),
COUNTIFS('QA Log'!D:D,A460,'QA Log'!M:M,"QQC",'QA Log'!Z:Z,"Approved",'QA Log'!L:L,"*11. Additional Questions*")))</f>
        <v/>
      </c>
      <c r="L460" s="102" t="str">
        <f>IF(A460&lt;&gt;"",COUNTIFS('QA Log'!D:D,A460,'QA Log'!M:M,"QQC",'QA Log'!L:L,"1. General Management",'QA Log'!Z:Z,"Approved"),"")</f>
        <v/>
      </c>
      <c r="M460" s="102" t="str">
        <f>IF(A460&lt;&gt;"",COUNTIFS('QA Log'!D:D,A460,'QA Log'!M:M,"QQC",'QA Log'!L:L,"3. Curative Consultation (OPD)",'QA Log'!Z:Z,"Approved"),"")</f>
        <v/>
      </c>
      <c r="N460" s="102" t="str">
        <f>IF(A460&lt;&gt;"",COUNTIFS('QA Log'!D:D,A460,'QA Log'!M:M,"QQC",'QA Log'!L:L,"5. Laboratory",'QA Log'!Z:Z,"Approved"),"")</f>
        <v/>
      </c>
      <c r="O460" s="102" t="str">
        <f>IF(A460&lt;&gt;"",COUNTIFS('QA Log'!D:D,A460,'QA Log'!M:M,"QQC",'QA Log'!L:L,"6. Essential Medicine Management",'QA Log'!Z:Z,"Approved"),"")</f>
        <v/>
      </c>
      <c r="P460" s="102" t="str">
        <f>IF(A460&lt;&gt;"",COUNTIFS('QA Log'!D:D,A460,'QA Log'!M:M,"QQC",'QA Log'!L:L,"7. Tracer Medicine",'QA Log'!Z:Z,"Approved"),"")</f>
        <v/>
      </c>
      <c r="Q460" s="102" t="str">
        <f>IF(A460&lt;&gt;"",COUNTIFS('QA Log'!D:D,A460,'QA Log'!M:M,"QQC",'QA Log'!L:L,"11. Additional Questions",'QA Log'!Z:Z,"Approved"),"")</f>
        <v/>
      </c>
      <c r="R460" s="102" t="str">
        <f>IF(A460="","",SUM(
COUNTIFS('QA Log'!D:D,A460,'QA Log'!M:M,"QQC",'QA Log'!Z:Z,"Rejected",'QA Log'!L:L,"*8. Maternity*"),
COUNTIFS('QA Log'!D:D,A460,'QA Log'!M:M,"QQC",'QA Log'!Z:Z,"Rejected",'QA Log'!L:L,"*EPI*"),
COUNTIFS('QA Log'!D:D,A460,'QA Log'!M:M,"QQC",'QA Log'!Z:Z,"Rejected",'QA Log'!L:L,"*10. Antenatal Care (ANC)*"),
COUNTIFS('QA Log'!D:D,A460,'QA Log'!M:M,"QQC",'QA Log'!Z:Z,"Rejected",'QA Log'!L:L,"*2. Hygiene and Sterilization*"),
COUNTIFS('QA Log'!D:D,A460,'QA Log'!M:M,"QQC",'QA Log'!Z:Z,"Rejected",'QA Log'!L:L,"*Family Planning*")))</f>
        <v/>
      </c>
      <c r="S460" s="106" t="str">
        <f t="shared" si="27"/>
        <v/>
      </c>
      <c r="T460" s="102" t="str">
        <f t="shared" si="28"/>
        <v/>
      </c>
      <c r="U460" s="102" t="str">
        <f>IF(A460="","",
SUM(
COUNTIFS('QA Log'!D:D,A460,'QA Log'!M:M,"QQC",'QA Log'!L:L,"*8. Maternity*"),
COUNTIFS('QA Log'!D:D,A460,'QA Log'!M:M,"QQC",'QA Log'!L:L,"*9. EPI and Pre-school Consultation*"),
COUNTIFS('QA Log'!D:D,A460,'QA Log'!M:M,"QQC",'QA Log'!L:L,"*10. Antenatal Care (ANC)*"),
COUNTIFS('QA Log'!D:D,A460,'QA Log'!M:M,"QQC",'QA Log'!L:L,"*2. Hygiene and Sterilization*"),
COUNTIFS('QA Log'!D:D,A460,'QA Log'!M:M,"QQC",'QA Log'!L:L,"*4. Family Planning*")
))</f>
        <v/>
      </c>
      <c r="V460" s="102" t="str">
        <f>IF(A460="","",
SUM(
COUNTIFS('QA Log'!D:D,A460,'QA Log'!M:M,"QQC",'QA Log'!Z:Z,"Approved",'QA Log'!L:L,"*8. Maternity*"),
COUNTIFS('QA Log'!D:D,A460,'QA Log'!M:M,"QQC",'QA Log'!Z:Z,"Approved",'QA Log'!L:L,"*9. EPI and Pre-school Consultation*"),
COUNTIFS('QA Log'!D:D,A460,'QA Log'!M:M,"QQC",'QA Log'!Z:Z,"Approved",'QA Log'!L:L,"*10. Antenatal Care (ANC)*"),
COUNTIFS('QA Log'!D:D,A460,'QA Log'!M:M,"QQC",'QA Log'!Z:Z,"Approved",'QA Log'!L:L,"*2. Hygiene and Sterilization*"),
COUNTIFS('QA Log'!D:D,A460,'QA Log'!M:M,"QQC",'QA Log'!Z:Z,"Approved",'QA Log'!L:L,"*4. Family Planning*")
))</f>
        <v/>
      </c>
      <c r="W460" s="102" t="str">
        <f>IF(A460&lt;&gt;"",COUNTIFS('QA Log'!D:D,A460,'QA Log'!M:M,"QQC",'QA Log'!L:L,"8. Maternity",'QA Log'!Z:Z,"Approved"),"")</f>
        <v/>
      </c>
      <c r="X460" s="105" t="str">
        <f>IF(A460&lt;&gt;"",COUNTIFS('QA Log'!D:D,A460,'QA Log'!M:M,"QQC",'QA Log'!L:L,"9. EPI and Pre-school Consultation",'QA Log'!Z:Z,"Approved"),"")</f>
        <v/>
      </c>
      <c r="Y460" s="102" t="str">
        <f>IF(A460&lt;&gt;"",COUNTIFS('QA Log'!D:D,A460,'QA Log'!M:M,"QQC",'QA Log'!L:L,"10. Antenatal Care (ANC)",'QA Log'!Z:Z,"Approved"),"")</f>
        <v/>
      </c>
      <c r="Z460" s="102" t="str">
        <f>IF(A460&lt;&gt;"",COUNTIFS('QA Log'!D:D,A460,'QA Log'!M:M,"QQC",'QA Log'!L:L,"2. Hygiene and Sterilization",'QA Log'!Z:Z,"Approved"),"")</f>
        <v/>
      </c>
      <c r="AA460" s="105" t="str">
        <f>IF(A460&lt;&gt;"",COUNTIFS('QA Log'!D:D,A460,'QA Log'!M:M,"QQC",'QA Log'!L:L,"4. Family Planning",'QA Log'!Z:Z,"Approved"),"")</f>
        <v/>
      </c>
      <c r="AB460" s="102" t="str">
        <f>IF(A460="","",
SUM(
COUNTIFS('QA Log'!D:D,A460,'QA Log'!M:M,"QQC",'QA Log'!Z:Z,"Rejected",'QA Log'!L:L,"*8. Maternity*"),
COUNTIFS('QA Log'!D:D,A460,'QA Log'!M:M,"QQC",'QA Log'!Z:Z,"Rejected",'QA Log'!L:L,"*9. EPI and Pre-school Consultation*"),
COUNTIFS('QA Log'!D:D,A460,'QA Log'!M:M,"QQC",'QA Log'!Z:Z,"Rejected",'QA Log'!L:L,"*10. Antenatal Care (ANC)*"),
COUNTIFS('QA Log'!D:D,A460,'QA Log'!M:M,"QQC",'QA Log'!Z:Z,"Rejected",'QA Log'!L:L,"*2. Hygiene and Sterilization*"),
COUNTIFS('QA Log'!D:D,A460,'QA Log'!M:M,"QQC",'QA Log'!Z:Z,"Rejected",'QA Log'!L:L,"*4. Family Planning*")
))</f>
        <v/>
      </c>
      <c r="AC460" s="102" t="str">
        <f t="shared" si="29"/>
        <v/>
      </c>
      <c r="AD460" s="103" t="str">
        <f t="shared" si="30"/>
        <v/>
      </c>
      <c r="AE460" s="102" t="str">
        <f>IF(A460="","",
SUM(
COUNTIFS('QA Log'!D:D,A460,'QA Log'!M:M,"Data Verification",'QA Log'!L:L,"*Medicine (section 2)*"),
COUNTIFS('QA Log'!D:D,A460,'QA Log'!M:M,"Data Verification",'QA Log'!L:L,"*Lab Testing Availability*"),
COUNTIFS('QA Log'!D:D,A460,'QA Log'!M:M,"Data Verification",'QA Log'!L:L,"*Other than P4P (section 6)*"),
COUNTIFS('QA Log'!D:D,A460,'QA Log'!M:M,"Data Verification",'QA Log'!L:L,"*Hospital Governance*")
))</f>
        <v/>
      </c>
      <c r="AF460" s="102" t="str">
        <f>IF(A460="","",
SUM(
COUNTIFS('QA Log'!D:D,A460,'QA Log'!M:M,"Data Verification",'QA Log'!Z:Z,"Approved",'QA Log'!L:L,"*Medicine (section 2)*"),
COUNTIFS('QA Log'!D:D,A460,'QA Log'!M:M,"Data Verification",'QA Log'!Z:Z,"Approved",'QA Log'!L:L,"*Lab Testing Availability*"),
COUNTIFS('QA Log'!D:D,A460,'QA Log'!M:M,"Data Verification",'QA Log'!Z:Z,"Approved",'QA Log'!L:L,"*Other than P4P (section 6)*"),
COUNTIFS('QA Log'!D:D,A460,'QA Log'!M:M,"Data Verification",'QA Log'!Z:Z,"Approved",'QA Log'!L:L,"*Hospital Governance*")
))</f>
        <v/>
      </c>
      <c r="AG460" s="105" t="str">
        <f>IF(A460&lt;&gt;"",COUNTIFS('QA Log'!D:D,A460,'QA Log'!M:M,"Data Verification",'QA Log'!L:L,"Medicine (section 2)",'QA Log'!Z:Z,"Approved"),"")</f>
        <v/>
      </c>
      <c r="AH460" s="105" t="str">
        <f>IF(A460&lt;&gt;"",COUNTIFS('QA Log'!D:D,A460,'QA Log'!M:M,"Data Verification",'QA Log'!L:L,"Lab Testing Availability",'QA Log'!Z:Z,"Approved"),"")</f>
        <v/>
      </c>
      <c r="AI460" s="105" t="str">
        <f>IF(A460&lt;&gt;"",COUNTIFS('QA Log'!D:D,A460,'QA Log'!M:M,"Data Verification",'QA Log'!L:L,"Other than P4P (section 6)",'QA Log'!Z:Z,"Approved"),"")</f>
        <v/>
      </c>
      <c r="AJ460" s="105" t="str">
        <f>IF(A460&lt;&gt;"",COUNTIFS('QA Log'!D:D,A460,'QA Log'!M:M,"Data Verification",'QA Log'!L:L,"Hospital Governance",'QA Log'!Z:Z,"Approved"),"")</f>
        <v/>
      </c>
      <c r="AK460" s="102" t="str">
        <f>IF(A460="","",
SUM(
COUNTIFS('QA Log'!D:D,A460,'QA Log'!M:M,"Data Verification",'QA Log'!Z:Z,"Rejected",'QA Log'!L:L,"*Medicine (section 2)*"),
COUNTIFS('QA Log'!D:D,A460,'QA Log'!M:M,"Data Verification",'QA Log'!Z:Z,"Rejected",'QA Log'!L:L,"*Lab Testing Availability*"),
COUNTIFS('QA Log'!D:D,A460,'QA Log'!M:M,"Data Verification",'QA Log'!Z:Z,"Rejected",'QA Log'!L:L,"*Other than P4P (section 6)*"),
COUNTIFS('QA Log'!D:D,A460,'QA Log'!M:M,"Data Verification",'QA Log'!Z:Z,"Rejected",'QA Log'!L:L,"*Hospital Governance*")
))</f>
        <v/>
      </c>
      <c r="AL460" s="106" t="str">
        <f t="shared" si="31"/>
        <v/>
      </c>
      <c r="AM460" s="102" t="str">
        <f t="shared" si="32"/>
        <v/>
      </c>
      <c r="AN460" s="102" t="str">
        <f>IF(A460="","",
SUM(
COUNTIFS('QA Log'!D:D,A460,'QA Log'!M:M,"Data Verification",'QA Log'!L:L,"*Personnel (section 1)*"),
COUNTIFS('QA Log'!D:D,A460,'QA Log'!M:M,"Data Verification",'QA Log'!L:L,"*Consumable (section 3)*"),
COUNTIFS('QA Log'!D:D,A460,'QA Log'!M:M,"Data Verification",'QA Log'!L:L,"*Equipments (section 4)*")
))</f>
        <v/>
      </c>
      <c r="AO460" s="102" t="str">
        <f>IF(A460="","",
SUM(
COUNTIFS('QA Log'!D:D,A460,'QA Log'!M:M,"Data Verification",'QA Log'!Z:Z,"Approved",'QA Log'!L:L,"*Personnel (section 1)*"),
COUNTIFS('QA Log'!D:D,A460,'QA Log'!M:M,"Data Verification",'QA Log'!Z:Z,"Approved",'QA Log'!L:L,"*Consumable (section 3)*"),
COUNTIFS('QA Log'!D:D,A460,'QA Log'!M:M,"Data Verification",'QA Log'!Z:Z,"Approved",'QA Log'!L:L,"*Equipments (section 4)*")
))</f>
        <v/>
      </c>
      <c r="AP460" s="105" t="str">
        <f>IF(A460&lt;&gt;"",COUNTIFS('QA Log'!D:D,A460,'QA Log'!M:M,"Data Verification",'QA Log'!L:L,"Personnel (section 1)",'QA Log'!Z:Z,"Approved"),"")</f>
        <v/>
      </c>
      <c r="AQ460" s="105" t="str">
        <f>IF(A460&lt;&gt;"",COUNTIFS('QA Log'!D:D,A460,'QA Log'!M:M,"Data Verification",'QA Log'!L:L,"Consumable (section 3)",'QA Log'!Z:Z,"Approved"),"")</f>
        <v/>
      </c>
      <c r="AR460" s="105" t="str">
        <f>IF(A460&lt;&gt;"",COUNTIFS('QA Log'!D:D,A460,'QA Log'!M:M,"Data Verification",'QA Log'!L:L,"Equipments (section 4)",'QA Log'!Z:Z,"Approved"),"")</f>
        <v/>
      </c>
      <c r="AS460" s="102" t="str">
        <f>IF(A460="","",
SUM(
COUNTIFS('QA Log'!D:D,A460,'QA Log'!M:M,"Data Verification",'QA Log'!Z:Z,"Rejected",'QA Log'!L:L,"*Personnel (section 1)*"),
COUNTIFS('QA Log'!D:D,A460,'QA Log'!M:M,"Data Verification",'QA Log'!Z:Z,"Rejected",'QA Log'!L:L,"*Consumable (section 3)*"),
COUNTIFS('QA Log'!D:D,A460,'QA Log'!M:M,"Data Verification",'QA Log'!Z:Z,"Rejected",'QA Log'!L:L,"*Equipments (section 4)*")
))</f>
        <v/>
      </c>
      <c r="AT460" s="102" t="str">
        <f t="shared" si="33"/>
        <v/>
      </c>
      <c r="AU460" s="103" t="str">
        <f t="shared" si="34"/>
        <v/>
      </c>
      <c r="AV460" s="102" t="str">
        <f>IF(A460="","",SUM(
COUNTIFS('QA Log'!D:D,A460,'QA Log'!M:M,"Vignette",'QA Log'!L:L,"*Vignette [1] Respiratory Infection: Pneumonia*"),
COUNTIFS('QA Log'!D:D,A460,'QA Log'!M:M,"Vignette",'QA Log'!L:L,"*Vignette [2]: Diarrhea with Cat B dehydration*"),
COUNTIFS('QA Log'!D:D,A460,'QA Log'!M:M,"Vignette",'QA Log'!L:L,"*Vignette [3] Growth Monitoring and Promotion*"),
COUNTIFS('QA Log'!D:D,A460,'QA Log'!M:M,"Vignette",'QA Log'!L:L,"*Vignette [4]: The management of presumptive TB patient*")
)
)</f>
        <v/>
      </c>
      <c r="AW460" s="102" t="str">
        <f>IF(
  A460="","",
  SUM(
    COUNTIFS('QA Log'!D:D,A460,'QA Log'!M:M,"Vignette",'QA Log'!Z:Z,"Approved",'QA Log'!L:L,"*Vignette [1] Respiratory Infection: Pneumonia*"),
    COUNTIFS('QA Log'!D:D,A460,'QA Log'!M:M,"Vignette",'QA Log'!Z:Z,"Approved",'QA Log'!L:L,"*Vignette [2]: Diarrhea with Cat B dehydration*"),
    COUNTIFS('QA Log'!D:D,A460,'QA Log'!M:M,"Vignette",'QA Log'!Z:Z,"Approved",'QA Log'!L:L,"*Vignette [3] Growth Monitoring and Promotion*"),
    COUNTIFS('QA Log'!D:D,A460,'QA Log'!M:M,"Vignette",'QA Log'!Z:Z,"Approved",'QA Log'!L:L,"*Vignette [4]: The management of presumptive TB patient*")
  )
)</f>
        <v/>
      </c>
      <c r="AX460" s="105" t="str">
        <f>IF(A460&lt;&gt;"",COUNTIFS('QA Log'!D:D,A460,'QA Log'!M:M,"Vignette",'QA Log'!L:L,"Vignette [1] Respiratory Infection: Pneumonia",'QA Log'!Z:Z,"Approved"),"")</f>
        <v/>
      </c>
      <c r="AY460" s="105" t="str">
        <f>IF(A460&lt;&gt;"",COUNTIFS('QA Log'!D:D,A460,'QA Log'!M:M,"Vignette",'QA Log'!L:L,"Vignette [2]: Diarrhea with Cat B dehydration",'QA Log'!Z:Z,"Approved"),"")</f>
        <v/>
      </c>
      <c r="AZ460" s="105" t="str">
        <f>IF(A460&lt;&gt;"",COUNTIFS('QA Log'!D:D,A460,'QA Log'!M:M,"Vignette",'QA Log'!L:L,"Vignette [3] Growth Monitoring and Promotion",'QA Log'!Z:Z,"Approved"),"")</f>
        <v/>
      </c>
      <c r="BA460" s="105" t="str">
        <f>IF(A460&lt;&gt;"",COUNTIFS('QA Log'!D:D,A460,'QA Log'!M:M,"Vignette",'QA Log'!L:L,"Vignette [4]: The management of presumptive TB patient",'QA Log'!Z:Z,"Approved"),"")</f>
        <v/>
      </c>
      <c r="BB460" s="102" t="str">
        <f>IF(A460="","",
  SUM(
    COUNTIFS('QA Log'!D:D,A460,'QA Log'!M:M,"Vignette",'QA Log'!Z:Z,"Rejected",'QA Log'!L:L,"*Vignette [1] Respiratory Infection: Pneumonia*"),
    COUNTIFS('QA Log'!D:D,A460,'QA Log'!M:M,"Vignette",'QA Log'!Z:Z,"Rejected",'QA Log'!L:L,"*Vignette [2]: Diarrhea with Cat B dehydration*"),
    COUNTIFS('QA Log'!D:D,A460,'QA Log'!M:M,"Vignette",'QA Log'!Z:Z,"Rejected",'QA Log'!L:L,"*Vignette [3] Growth Monitoring and Promotion*"),
    COUNTIFS('QA Log'!D:D,A460,'QA Log'!M:M,"Vignette",'QA Log'!Z:Z,"Rejected",'QA Log'!L:L,"*Vignette [4]: The management of presumptive TB patient*")
  )
)</f>
        <v/>
      </c>
      <c r="BC460" s="107" t="str">
        <f t="shared" si="35"/>
        <v/>
      </c>
      <c r="BD460" s="103" t="str">
        <f t="shared" si="36"/>
        <v/>
      </c>
      <c r="BE460" s="102" t="str">
        <f>IF(A460="","",SUM(
COUNTIFS('QA Log'!D:D,A460,'QA Log'!M:M,"Vignette",'QA Log'!L:L,"*Vignette [5] Labor*"),
COUNTIFS('QA Log'!D:D,A460,'QA Log'!M:M,"Vignette",'QA Log'!L:L,"*Vignette [6] PNC pre Discharge*"),
COUNTIFS('QA Log'!D:D,A460,'QA Log'!M:M,"Vignette",'QA Log'!L:L,"*Vignette [7] First ANC Visit*"),
COUNTIFS('QA Log'!D:D,A460,'QA Log'!M:M,"Vignette",'QA Log'!L:L,"*Vignette [8] Birth Spacing/ Family Planning :  FP Counselling*"),
COUNTIFS('QA Log'!D:D,A460,'QA Log'!M:M,"Vignette",'QA Log'!L:L,"*Vignette [9] Birth Spacing: Change FP method to Injectable*"),
COUNTIFS('QA Log'!D:D,A460,'QA Log'!M:M,"Vignette",'QA Log'!L:L,"*Vignette [10] Post Partum Haemorrhage - Atonic Uterus at Health Centre*"),
)
)</f>
        <v/>
      </c>
      <c r="BF460" s="102" t="str">
        <f>IF(A460="","",
  SUM(
    COUNTIFS('QA Log'!D:D,A460,'QA Log'!M:M,"Vignette",'QA Log'!Z:Z,"Approved",'QA Log'!L:L,"*Vignette [5] Labor*"),
    COUNTIFS('QA Log'!D:D,A460,'QA Log'!M:M,"Vignette",'QA Log'!Z:Z,"Approved",'QA Log'!L:L,"*Vignette [6] PNC pre Discharge*"),
    COUNTIFS('QA Log'!D:D,A460,'QA Log'!M:M,"Vignette",'QA Log'!Z:Z,"Approved",'QA Log'!L:L,"*Vignette [7] First ANC Visit*"),
    COUNTIFS('QA Log'!D:D,A460,'QA Log'!M:M,"Vignette",'QA Log'!Z:Z,"Approved",'QA Log'!L:L,"*Vignette [8] Birth Spacing/ Family Planning :  FP Counselling*"),
    COUNTIFS('QA Log'!D:D,A460,'QA Log'!M:M,"Vignette",'QA Log'!Z:Z,"Approved",'QA Log'!L:L,"*Vignette [9] Birth Spacing: Change FP method to Injectable*"),
    COUNTIFS('QA Log'!D:D,A460,'QA Log'!M:M,"Vignette",'QA Log'!Z:Z,"Approved",'QA Log'!L:L,"*Vignette [10] Post Partum Haemorrhage - Atonic Uterus at Health Centre*")
  )
)</f>
        <v/>
      </c>
      <c r="BG460" s="105" t="str">
        <f>IF(A460&lt;&gt;"",COUNTIFS('QA Log'!D:D,A460,'QA Log'!M:M,"Vignette",'QA Log'!L:L,"Vignette [5] Labor",'QA Log'!Z:Z,"Approved"),"")</f>
        <v/>
      </c>
      <c r="BH460" s="105" t="str">
        <f>IF(A460&lt;&gt;"",COUNTIFS('QA Log'!D:D,A460,'QA Log'!M:M,"Vignette",'QA Log'!L:L,"Vignette [6] PNC pre Discharge",'QA Log'!Z:Z,"Approved"),"")</f>
        <v/>
      </c>
      <c r="BI460" s="105" t="str">
        <f>IF(A460&lt;&gt;"",COUNTIFS('QA Log'!D:D,A460,'QA Log'!M:M,"Vignette",'QA Log'!L:L,"Vignette [7] First ANC Visit",'QA Log'!Z:Z,"Approved"),"")</f>
        <v/>
      </c>
      <c r="BJ460" s="105" t="str">
        <f>IF(A460&lt;&gt;"",COUNTIFS('QA Log'!D:D,A460,'QA Log'!M:M,"Vignette",'QA Log'!L:L,"Vignette [8] Birth Spacing/ Family Planning :  FP Counselling",'QA Log'!Z:Z,"Approved"),"")</f>
        <v/>
      </c>
      <c r="BK460" s="105" t="str">
        <f>IF(A460&lt;&gt;"",COUNTIFS('QA Log'!D:D,A460,'QA Log'!M:M,"Vignette",'QA Log'!L:L,"Vignette [9] Birth Spacing: Change FP method to Injectable",'QA Log'!Z:Z,"Approved"),"")</f>
        <v/>
      </c>
      <c r="BL460" s="105" t="str">
        <f>IF(A460&lt;&gt;"",COUNTIFS('QA Log'!D:D,A460,'QA Log'!M:M,"Vignette",'QA Log'!L:L,"Vignette [10] Post Partum Haemorrhage - Atonic Uterus at Health Centre",'QA Log'!Z:Z,"Approved"),"")</f>
        <v/>
      </c>
      <c r="BM460" s="102" t="str">
        <f>IF(A460="","",SUM(
    COUNTIFS('QA Log'!D:D,A460,'QA Log'!M:M,"Vignette",'QA Log'!Z:Z,"Rejected",'QA Log'!L:L,"*Vignette [5] Labor*"),
    COUNTIFS('QA Log'!D:D,A460,'QA Log'!M:M,"Vignette",'QA Log'!Z:Z,"Rejected",'QA Log'!L:L,"*Vignette [6] PNC pre Discharge*"),
    COUNTIFS('QA Log'!D:D,A460,'QA Log'!M:M,"Vignette",'QA Log'!Z:Z,"Rejected",'QA Log'!L:L,"*Vignette [7] First ANC Visit*"),
    COUNTIFS('QA Log'!D:D,A460,'QA Log'!M:M,"Vignette",'QA Log'!Z:Z,"Rejected",'QA Log'!L:L,"*Vignette [8] Birth Spacing/ Family Planning :  FP Counselling*"),
    COUNTIFS('QA Log'!D:D,A460,'QA Log'!M:M,"Vignette",'QA Log'!Z:Z,"Rejected",'QA Log'!L:L,"*Vignette [9] Birth Spacing: Change FP method to Injectable*"),
    COUNTIFS('QA Log'!D:D,A460,'QA Log'!M:M,"Vignette",'QA Log'!Z:Z,"Rejected",'QA Log'!L:L,"*Vignette [10] Post Partum Haemorrhage - Atonic Uterus at Health Centre*")
  )
)</f>
        <v/>
      </c>
      <c r="BN460" s="107" t="str">
        <f t="shared" si="37"/>
        <v/>
      </c>
      <c r="BO460" s="103" t="str">
        <f t="shared" si="38"/>
        <v/>
      </c>
      <c r="BP460" s="102" t="str">
        <f>IF(A460="","",SUM(
COUNTIFS('QA Log'!D:D,A460,'QA Log'!M:M,"Vignette",'QA Log'!L:L,"*Exit Interview 1*"),
COUNTIFS('QA Log'!D:D,A460,'QA Log'!M:M,"Vignette",'QA Log'!L:L,"*Exit Interview 2*"),
)
)</f>
        <v/>
      </c>
      <c r="BQ460" s="102" t="str">
        <f>IF(
  A460="","",
  SUM(
    COUNTIFS('QA Log'!D:D,A460,'QA Log'!M:M,"Vignette",'QA Log'!Z:Z,"Approved",'QA Log'!L:L,"*Exit Interview 1*"),
    COUNTIFS('QA Log'!D:D,A460,'QA Log'!M:M,"Vignette",'QA Log'!Z:Z,"Approved",'QA Log'!L:L,"*Exit Interview 2*")
  )
)</f>
        <v/>
      </c>
      <c r="BR460" s="105" t="str">
        <f>IF(A460&lt;&gt;"",COUNTIFS('QA Log'!D:D,A460,'QA Log'!M:M,"Vignette",'QA Log'!L:L,"Exit Interview 1",'QA Log'!Z:Z,"Approved"),"")</f>
        <v/>
      </c>
      <c r="BS460" s="105" t="str">
        <f>IF(A460&lt;&gt;"",COUNTIFS('QA Log'!D:D,A460,'QA Log'!M:M,"Vignette",'QA Log'!L:L,"Exit Interview 2",'QA Log'!Z:Z,"Approved"),"")</f>
        <v/>
      </c>
      <c r="BT460" s="102" t="str">
        <f>IF(
  A460="","",
  SUM(
    COUNTIFS('QA Log'!D:D,A460,'QA Log'!M:M,"Vignette",'QA Log'!Z:Z,"Rejected",'QA Log'!L:L,"*Exit Interview 1*"),
    COUNTIFS('QA Log'!D:D,A460,'QA Log'!M:M,"Vignette",'QA Log'!Z:Z,"Rejected",'QA Log'!L:L,"*Exit Interview 2*")
  )
)</f>
        <v/>
      </c>
      <c r="BU460" s="107" t="str">
        <f t="shared" si="39"/>
        <v/>
      </c>
      <c r="BV460" s="102" t="str">
        <f t="shared" si="40"/>
        <v/>
      </c>
      <c r="BW460" s="102" t="str">
        <f t="shared" si="41"/>
        <v/>
      </c>
      <c r="BX460" s="102" t="str">
        <f t="shared" si="42"/>
        <v/>
      </c>
      <c r="BY460" s="102" t="str">
        <f t="shared" si="43"/>
        <v/>
      </c>
      <c r="BZ460" s="107" t="str">
        <f t="shared" si="44"/>
        <v/>
      </c>
      <c r="CA460" s="108" t="str">
        <f t="shared" si="45"/>
        <v/>
      </c>
      <c r="CB460" s="108" t="str">
        <f t="shared" si="46"/>
        <v/>
      </c>
      <c r="CC460" s="109" t="str">
        <f t="shared" si="47"/>
        <v/>
      </c>
      <c r="CD460" s="108" t="str">
        <f t="shared" si="48"/>
        <v/>
      </c>
      <c r="CE460" s="108" t="str">
        <f t="shared" si="49"/>
        <v/>
      </c>
      <c r="CF460" s="109" t="str">
        <f t="shared" si="50"/>
        <v/>
      </c>
      <c r="CG460" s="110" t="str">
        <f t="shared" si="51"/>
        <v/>
      </c>
      <c r="CH460" s="111"/>
    </row>
    <row r="461" spans="1:86" ht="12.75">
      <c r="A461" s="101"/>
      <c r="B461" s="102" t="e">
        <f t="array" aca="1" ref="B461" ca="1">_xludf.XLOOKUP(A461,'QA Log'!D:D,'QA Log'!E:E,"")</f>
        <v>#NAME?</v>
      </c>
      <c r="C461" s="102" t="e">
        <f t="array" aca="1" ref="C461" ca="1">_xludf.XLOOKUP(A461,'QA Log'!D:D,'QA Log'!F:F,"")</f>
        <v>#NAME?</v>
      </c>
      <c r="D461" s="102" t="e">
        <f t="array" aca="1" ref="D461" ca="1">_xludf.XLOOKUP(A461,'QA Log'!D:D,'QA Log'!H:H,"")</f>
        <v>#NAME?</v>
      </c>
      <c r="E461" s="102" t="e">
        <f t="array" aca="1" ref="E461" ca="1">_xludf.XLOOKUP(A461,'QA Log'!D:D,'QA Log'!G:G,"")</f>
        <v>#NAME?</v>
      </c>
      <c r="F461" s="103"/>
      <c r="G461" s="104"/>
      <c r="H461" s="104"/>
      <c r="I461" s="103" t="str">
        <f t="shared" si="26"/>
        <v/>
      </c>
      <c r="J461" s="102" t="str">
        <f>IF(A461="","",SUM(
COUNTIFS('QA Log'!D:D,A461,'QA Log'!M:M,"QQC",'QA Log'!L:L,"*1. General Management*"),
COUNTIFS('QA Log'!D:D,A461,'QA Log'!M:M,"QQC",'QA Log'!L:L,"*3. Curative Consultation (OPD)*"),
COUNTIFS('QA Log'!D:D,A461,'QA Log'!M:M,"QQC",'QA Log'!L:L,"*5. Laboratory*"),
COUNTIFS('QA Log'!D:D,A461,'QA Log'!M:M,"QQC",'QA Log'!L:L,"*6. Essential Medicine Management*"),
COUNTIFS('QA Log'!D:D,A461,'QA Log'!M:M,"QQC",'QA Log'!L:L,"*7. Tracer Medicine*"),
COUNTIFS('QA Log'!D:D,A461,'QA Log'!M:M,"QQC",'QA Log'!L:L,"*11. Additional Questions*")))</f>
        <v/>
      </c>
      <c r="K461" s="102" t="str">
        <f>IF(A461="","",SUM(
COUNTIFS('QA Log'!D:D,A461,'QA Log'!M:M,"QQC",'QA Log'!Z:Z,"Approved",'QA Log'!L:L,"*1. General Management*"),
COUNTIFS('QA Log'!D:D,A461,'QA Log'!M:M,"QQC",'QA Log'!Z:Z,"Approved",'QA Log'!L:L,"*3. Curative Consultation (OPD)*"),
COUNTIFS('QA Log'!D:D,A461,'QA Log'!M:M,"QQC",'QA Log'!Z:Z,"Approved",'QA Log'!L:L,"*5. Laboratory*"),
COUNTIFS('QA Log'!D:D,A461,'QA Log'!M:M,"QQC",'QA Log'!Z:Z,"Approved",'QA Log'!L:L,"*6. Essential Medicine Management*"),
COUNTIFS('QA Log'!D:D,A461,'QA Log'!M:M,"QQC",'QA Log'!Z:Z,"Approved",'QA Log'!L:L,"*7. Tracer Medicine*"),
COUNTIFS('QA Log'!D:D,A461,'QA Log'!M:M,"QQC",'QA Log'!Z:Z,"Approved",'QA Log'!L:L,"*11. Additional Questions*")))</f>
        <v/>
      </c>
      <c r="L461" s="102" t="str">
        <f>IF(A461&lt;&gt;"",COUNTIFS('QA Log'!D:D,A461,'QA Log'!M:M,"QQC",'QA Log'!L:L,"1. General Management",'QA Log'!Z:Z,"Approved"),"")</f>
        <v/>
      </c>
      <c r="M461" s="102" t="str">
        <f>IF(A461&lt;&gt;"",COUNTIFS('QA Log'!D:D,A461,'QA Log'!M:M,"QQC",'QA Log'!L:L,"3. Curative Consultation (OPD)",'QA Log'!Z:Z,"Approved"),"")</f>
        <v/>
      </c>
      <c r="N461" s="102" t="str">
        <f>IF(A461&lt;&gt;"",COUNTIFS('QA Log'!D:D,A461,'QA Log'!M:M,"QQC",'QA Log'!L:L,"5. Laboratory",'QA Log'!Z:Z,"Approved"),"")</f>
        <v/>
      </c>
      <c r="O461" s="102" t="str">
        <f>IF(A461&lt;&gt;"",COUNTIFS('QA Log'!D:D,A461,'QA Log'!M:M,"QQC",'QA Log'!L:L,"6. Essential Medicine Management",'QA Log'!Z:Z,"Approved"),"")</f>
        <v/>
      </c>
      <c r="P461" s="102" t="str">
        <f>IF(A461&lt;&gt;"",COUNTIFS('QA Log'!D:D,A461,'QA Log'!M:M,"QQC",'QA Log'!L:L,"7. Tracer Medicine",'QA Log'!Z:Z,"Approved"),"")</f>
        <v/>
      </c>
      <c r="Q461" s="102" t="str">
        <f>IF(A461&lt;&gt;"",COUNTIFS('QA Log'!D:D,A461,'QA Log'!M:M,"QQC",'QA Log'!L:L,"11. Additional Questions",'QA Log'!Z:Z,"Approved"),"")</f>
        <v/>
      </c>
      <c r="R461" s="102" t="str">
        <f>IF(A461="","",SUM(
COUNTIFS('QA Log'!D:D,A461,'QA Log'!M:M,"QQC",'QA Log'!Z:Z,"Rejected",'QA Log'!L:L,"*8. Maternity*"),
COUNTIFS('QA Log'!D:D,A461,'QA Log'!M:M,"QQC",'QA Log'!Z:Z,"Rejected",'QA Log'!L:L,"*EPI*"),
COUNTIFS('QA Log'!D:D,A461,'QA Log'!M:M,"QQC",'QA Log'!Z:Z,"Rejected",'QA Log'!L:L,"*10. Antenatal Care (ANC)*"),
COUNTIFS('QA Log'!D:D,A461,'QA Log'!M:M,"QQC",'QA Log'!Z:Z,"Rejected",'QA Log'!L:L,"*2. Hygiene and Sterilization*"),
COUNTIFS('QA Log'!D:D,A461,'QA Log'!M:M,"QQC",'QA Log'!Z:Z,"Rejected",'QA Log'!L:L,"*Family Planning*")))</f>
        <v/>
      </c>
      <c r="S461" s="106" t="str">
        <f t="shared" si="27"/>
        <v/>
      </c>
      <c r="T461" s="102" t="str">
        <f t="shared" si="28"/>
        <v/>
      </c>
      <c r="U461" s="102" t="str">
        <f>IF(A461="","",
SUM(
COUNTIFS('QA Log'!D:D,A461,'QA Log'!M:M,"QQC",'QA Log'!L:L,"*8. Maternity*"),
COUNTIFS('QA Log'!D:D,A461,'QA Log'!M:M,"QQC",'QA Log'!L:L,"*9. EPI and Pre-school Consultation*"),
COUNTIFS('QA Log'!D:D,A461,'QA Log'!M:M,"QQC",'QA Log'!L:L,"*10. Antenatal Care (ANC)*"),
COUNTIFS('QA Log'!D:D,A461,'QA Log'!M:M,"QQC",'QA Log'!L:L,"*2. Hygiene and Sterilization*"),
COUNTIFS('QA Log'!D:D,A461,'QA Log'!M:M,"QQC",'QA Log'!L:L,"*4. Family Planning*")
))</f>
        <v/>
      </c>
      <c r="V461" s="102" t="str">
        <f>IF(A461="","",
SUM(
COUNTIFS('QA Log'!D:D,A461,'QA Log'!M:M,"QQC",'QA Log'!Z:Z,"Approved",'QA Log'!L:L,"*8. Maternity*"),
COUNTIFS('QA Log'!D:D,A461,'QA Log'!M:M,"QQC",'QA Log'!Z:Z,"Approved",'QA Log'!L:L,"*9. EPI and Pre-school Consultation*"),
COUNTIFS('QA Log'!D:D,A461,'QA Log'!M:M,"QQC",'QA Log'!Z:Z,"Approved",'QA Log'!L:L,"*10. Antenatal Care (ANC)*"),
COUNTIFS('QA Log'!D:D,A461,'QA Log'!M:M,"QQC",'QA Log'!Z:Z,"Approved",'QA Log'!L:L,"*2. Hygiene and Sterilization*"),
COUNTIFS('QA Log'!D:D,A461,'QA Log'!M:M,"QQC",'QA Log'!Z:Z,"Approved",'QA Log'!L:L,"*4. Family Planning*")
))</f>
        <v/>
      </c>
      <c r="W461" s="102" t="str">
        <f>IF(A461&lt;&gt;"",COUNTIFS('QA Log'!D:D,A461,'QA Log'!M:M,"QQC",'QA Log'!L:L,"8. Maternity",'QA Log'!Z:Z,"Approved"),"")</f>
        <v/>
      </c>
      <c r="X461" s="105" t="str">
        <f>IF(A461&lt;&gt;"",COUNTIFS('QA Log'!D:D,A461,'QA Log'!M:M,"QQC",'QA Log'!L:L,"9. EPI and Pre-school Consultation",'QA Log'!Z:Z,"Approved"),"")</f>
        <v/>
      </c>
      <c r="Y461" s="102" t="str">
        <f>IF(A461&lt;&gt;"",COUNTIFS('QA Log'!D:D,A461,'QA Log'!M:M,"QQC",'QA Log'!L:L,"10. Antenatal Care (ANC)",'QA Log'!Z:Z,"Approved"),"")</f>
        <v/>
      </c>
      <c r="Z461" s="102" t="str">
        <f>IF(A461&lt;&gt;"",COUNTIFS('QA Log'!D:D,A461,'QA Log'!M:M,"QQC",'QA Log'!L:L,"2. Hygiene and Sterilization",'QA Log'!Z:Z,"Approved"),"")</f>
        <v/>
      </c>
      <c r="AA461" s="105" t="str">
        <f>IF(A461&lt;&gt;"",COUNTIFS('QA Log'!D:D,A461,'QA Log'!M:M,"QQC",'QA Log'!L:L,"4. Family Planning",'QA Log'!Z:Z,"Approved"),"")</f>
        <v/>
      </c>
      <c r="AB461" s="102" t="str">
        <f>IF(A461="","",
SUM(
COUNTIFS('QA Log'!D:D,A461,'QA Log'!M:M,"QQC",'QA Log'!Z:Z,"Rejected",'QA Log'!L:L,"*8. Maternity*"),
COUNTIFS('QA Log'!D:D,A461,'QA Log'!M:M,"QQC",'QA Log'!Z:Z,"Rejected",'QA Log'!L:L,"*9. EPI and Pre-school Consultation*"),
COUNTIFS('QA Log'!D:D,A461,'QA Log'!M:M,"QQC",'QA Log'!Z:Z,"Rejected",'QA Log'!L:L,"*10. Antenatal Care (ANC)*"),
COUNTIFS('QA Log'!D:D,A461,'QA Log'!M:M,"QQC",'QA Log'!Z:Z,"Rejected",'QA Log'!L:L,"*2. Hygiene and Sterilization*"),
COUNTIFS('QA Log'!D:D,A461,'QA Log'!M:M,"QQC",'QA Log'!Z:Z,"Rejected",'QA Log'!L:L,"*4. Family Planning*")
))</f>
        <v/>
      </c>
      <c r="AC461" s="102" t="str">
        <f t="shared" si="29"/>
        <v/>
      </c>
      <c r="AD461" s="103" t="str">
        <f t="shared" si="30"/>
        <v/>
      </c>
      <c r="AE461" s="102" t="str">
        <f>IF(A461="","",
SUM(
COUNTIFS('QA Log'!D:D,A461,'QA Log'!M:M,"Data Verification",'QA Log'!L:L,"*Medicine (section 2)*"),
COUNTIFS('QA Log'!D:D,A461,'QA Log'!M:M,"Data Verification",'QA Log'!L:L,"*Lab Testing Availability*"),
COUNTIFS('QA Log'!D:D,A461,'QA Log'!M:M,"Data Verification",'QA Log'!L:L,"*Other than P4P (section 6)*"),
COUNTIFS('QA Log'!D:D,A461,'QA Log'!M:M,"Data Verification",'QA Log'!L:L,"*Hospital Governance*")
))</f>
        <v/>
      </c>
      <c r="AF461" s="102" t="str">
        <f>IF(A461="","",
SUM(
COUNTIFS('QA Log'!D:D,A461,'QA Log'!M:M,"Data Verification",'QA Log'!Z:Z,"Approved",'QA Log'!L:L,"*Medicine (section 2)*"),
COUNTIFS('QA Log'!D:D,A461,'QA Log'!M:M,"Data Verification",'QA Log'!Z:Z,"Approved",'QA Log'!L:L,"*Lab Testing Availability*"),
COUNTIFS('QA Log'!D:D,A461,'QA Log'!M:M,"Data Verification",'QA Log'!Z:Z,"Approved",'QA Log'!L:L,"*Other than P4P (section 6)*"),
COUNTIFS('QA Log'!D:D,A461,'QA Log'!M:M,"Data Verification",'QA Log'!Z:Z,"Approved",'QA Log'!L:L,"*Hospital Governance*")
))</f>
        <v/>
      </c>
      <c r="AG461" s="105" t="str">
        <f>IF(A461&lt;&gt;"",COUNTIFS('QA Log'!D:D,A461,'QA Log'!M:M,"Data Verification",'QA Log'!L:L,"Medicine (section 2)",'QA Log'!Z:Z,"Approved"),"")</f>
        <v/>
      </c>
      <c r="AH461" s="105" t="str">
        <f>IF(A461&lt;&gt;"",COUNTIFS('QA Log'!D:D,A461,'QA Log'!M:M,"Data Verification",'QA Log'!L:L,"Lab Testing Availability",'QA Log'!Z:Z,"Approved"),"")</f>
        <v/>
      </c>
      <c r="AI461" s="105" t="str">
        <f>IF(A461&lt;&gt;"",COUNTIFS('QA Log'!D:D,A461,'QA Log'!M:M,"Data Verification",'QA Log'!L:L,"Other than P4P (section 6)",'QA Log'!Z:Z,"Approved"),"")</f>
        <v/>
      </c>
      <c r="AJ461" s="105" t="str">
        <f>IF(A461&lt;&gt;"",COUNTIFS('QA Log'!D:D,A461,'QA Log'!M:M,"Data Verification",'QA Log'!L:L,"Hospital Governance",'QA Log'!Z:Z,"Approved"),"")</f>
        <v/>
      </c>
      <c r="AK461" s="102" t="str">
        <f>IF(A461="","",
SUM(
COUNTIFS('QA Log'!D:D,A461,'QA Log'!M:M,"Data Verification",'QA Log'!Z:Z,"Rejected",'QA Log'!L:L,"*Medicine (section 2)*"),
COUNTIFS('QA Log'!D:D,A461,'QA Log'!M:M,"Data Verification",'QA Log'!Z:Z,"Rejected",'QA Log'!L:L,"*Lab Testing Availability*"),
COUNTIFS('QA Log'!D:D,A461,'QA Log'!M:M,"Data Verification",'QA Log'!Z:Z,"Rejected",'QA Log'!L:L,"*Other than P4P (section 6)*"),
COUNTIFS('QA Log'!D:D,A461,'QA Log'!M:M,"Data Verification",'QA Log'!Z:Z,"Rejected",'QA Log'!L:L,"*Hospital Governance*")
))</f>
        <v/>
      </c>
      <c r="AL461" s="106" t="str">
        <f t="shared" si="31"/>
        <v/>
      </c>
      <c r="AM461" s="102" t="str">
        <f t="shared" si="32"/>
        <v/>
      </c>
      <c r="AN461" s="102" t="str">
        <f>IF(A461="","",
SUM(
COUNTIFS('QA Log'!D:D,A461,'QA Log'!M:M,"Data Verification",'QA Log'!L:L,"*Personnel (section 1)*"),
COUNTIFS('QA Log'!D:D,A461,'QA Log'!M:M,"Data Verification",'QA Log'!L:L,"*Consumable (section 3)*"),
COUNTIFS('QA Log'!D:D,A461,'QA Log'!M:M,"Data Verification",'QA Log'!L:L,"*Equipments (section 4)*")
))</f>
        <v/>
      </c>
      <c r="AO461" s="102" t="str">
        <f>IF(A461="","",
SUM(
COUNTIFS('QA Log'!D:D,A461,'QA Log'!M:M,"Data Verification",'QA Log'!Z:Z,"Approved",'QA Log'!L:L,"*Personnel (section 1)*"),
COUNTIFS('QA Log'!D:D,A461,'QA Log'!M:M,"Data Verification",'QA Log'!Z:Z,"Approved",'QA Log'!L:L,"*Consumable (section 3)*"),
COUNTIFS('QA Log'!D:D,A461,'QA Log'!M:M,"Data Verification",'QA Log'!Z:Z,"Approved",'QA Log'!L:L,"*Equipments (section 4)*")
))</f>
        <v/>
      </c>
      <c r="AP461" s="105" t="str">
        <f>IF(A461&lt;&gt;"",COUNTIFS('QA Log'!D:D,A461,'QA Log'!M:M,"Data Verification",'QA Log'!L:L,"Personnel (section 1)",'QA Log'!Z:Z,"Approved"),"")</f>
        <v/>
      </c>
      <c r="AQ461" s="105" t="str">
        <f>IF(A461&lt;&gt;"",COUNTIFS('QA Log'!D:D,A461,'QA Log'!M:M,"Data Verification",'QA Log'!L:L,"Consumable (section 3)",'QA Log'!Z:Z,"Approved"),"")</f>
        <v/>
      </c>
      <c r="AR461" s="105" t="str">
        <f>IF(A461&lt;&gt;"",COUNTIFS('QA Log'!D:D,A461,'QA Log'!M:M,"Data Verification",'QA Log'!L:L,"Equipments (section 4)",'QA Log'!Z:Z,"Approved"),"")</f>
        <v/>
      </c>
      <c r="AS461" s="102" t="str">
        <f>IF(A461="","",
SUM(
COUNTIFS('QA Log'!D:D,A461,'QA Log'!M:M,"Data Verification",'QA Log'!Z:Z,"Rejected",'QA Log'!L:L,"*Personnel (section 1)*"),
COUNTIFS('QA Log'!D:D,A461,'QA Log'!M:M,"Data Verification",'QA Log'!Z:Z,"Rejected",'QA Log'!L:L,"*Consumable (section 3)*"),
COUNTIFS('QA Log'!D:D,A461,'QA Log'!M:M,"Data Verification",'QA Log'!Z:Z,"Rejected",'QA Log'!L:L,"*Equipments (section 4)*")
))</f>
        <v/>
      </c>
      <c r="AT461" s="102" t="str">
        <f t="shared" si="33"/>
        <v/>
      </c>
      <c r="AU461" s="103" t="str">
        <f t="shared" si="34"/>
        <v/>
      </c>
      <c r="AV461" s="102" t="str">
        <f>IF(A461="","",SUM(
COUNTIFS('QA Log'!D:D,A461,'QA Log'!M:M,"Vignette",'QA Log'!L:L,"*Vignette [1] Respiratory Infection: Pneumonia*"),
COUNTIFS('QA Log'!D:D,A461,'QA Log'!M:M,"Vignette",'QA Log'!L:L,"*Vignette [2]: Diarrhea with Cat B dehydration*"),
COUNTIFS('QA Log'!D:D,A461,'QA Log'!M:M,"Vignette",'QA Log'!L:L,"*Vignette [3] Growth Monitoring and Promotion*"),
COUNTIFS('QA Log'!D:D,A461,'QA Log'!M:M,"Vignette",'QA Log'!L:L,"*Vignette [4]: The management of presumptive TB patient*")
)
)</f>
        <v/>
      </c>
      <c r="AW461" s="102" t="str">
        <f>IF(
  A461="","",
  SUM(
    COUNTIFS('QA Log'!D:D,A461,'QA Log'!M:M,"Vignette",'QA Log'!Z:Z,"Approved",'QA Log'!L:L,"*Vignette [1] Respiratory Infection: Pneumonia*"),
    COUNTIFS('QA Log'!D:D,A461,'QA Log'!M:M,"Vignette",'QA Log'!Z:Z,"Approved",'QA Log'!L:L,"*Vignette [2]: Diarrhea with Cat B dehydration*"),
    COUNTIFS('QA Log'!D:D,A461,'QA Log'!M:M,"Vignette",'QA Log'!Z:Z,"Approved",'QA Log'!L:L,"*Vignette [3] Growth Monitoring and Promotion*"),
    COUNTIFS('QA Log'!D:D,A461,'QA Log'!M:M,"Vignette",'QA Log'!Z:Z,"Approved",'QA Log'!L:L,"*Vignette [4]: The management of presumptive TB patient*")
  )
)</f>
        <v/>
      </c>
      <c r="AX461" s="105" t="str">
        <f>IF(A461&lt;&gt;"",COUNTIFS('QA Log'!D:D,A461,'QA Log'!M:M,"Vignette",'QA Log'!L:L,"Vignette [1] Respiratory Infection: Pneumonia",'QA Log'!Z:Z,"Approved"),"")</f>
        <v/>
      </c>
      <c r="AY461" s="105" t="str">
        <f>IF(A461&lt;&gt;"",COUNTIFS('QA Log'!D:D,A461,'QA Log'!M:M,"Vignette",'QA Log'!L:L,"Vignette [2]: Diarrhea with Cat B dehydration",'QA Log'!Z:Z,"Approved"),"")</f>
        <v/>
      </c>
      <c r="AZ461" s="105" t="str">
        <f>IF(A461&lt;&gt;"",COUNTIFS('QA Log'!D:D,A461,'QA Log'!M:M,"Vignette",'QA Log'!L:L,"Vignette [3] Growth Monitoring and Promotion",'QA Log'!Z:Z,"Approved"),"")</f>
        <v/>
      </c>
      <c r="BA461" s="105" t="str">
        <f>IF(A461&lt;&gt;"",COUNTIFS('QA Log'!D:D,A461,'QA Log'!M:M,"Vignette",'QA Log'!L:L,"Vignette [4]: The management of presumptive TB patient",'QA Log'!Z:Z,"Approved"),"")</f>
        <v/>
      </c>
      <c r="BB461" s="102" t="str">
        <f>IF(A461="","",
  SUM(
    COUNTIFS('QA Log'!D:D,A461,'QA Log'!M:M,"Vignette",'QA Log'!Z:Z,"Rejected",'QA Log'!L:L,"*Vignette [1] Respiratory Infection: Pneumonia*"),
    COUNTIFS('QA Log'!D:D,A461,'QA Log'!M:M,"Vignette",'QA Log'!Z:Z,"Rejected",'QA Log'!L:L,"*Vignette [2]: Diarrhea with Cat B dehydration*"),
    COUNTIFS('QA Log'!D:D,A461,'QA Log'!M:M,"Vignette",'QA Log'!Z:Z,"Rejected",'QA Log'!L:L,"*Vignette [3] Growth Monitoring and Promotion*"),
    COUNTIFS('QA Log'!D:D,A461,'QA Log'!M:M,"Vignette",'QA Log'!Z:Z,"Rejected",'QA Log'!L:L,"*Vignette [4]: The management of presumptive TB patient*")
  )
)</f>
        <v/>
      </c>
      <c r="BC461" s="107" t="str">
        <f t="shared" si="35"/>
        <v/>
      </c>
      <c r="BD461" s="103" t="str">
        <f t="shared" si="36"/>
        <v/>
      </c>
      <c r="BE461" s="102" t="str">
        <f>IF(A461="","",SUM(
COUNTIFS('QA Log'!D:D,A461,'QA Log'!M:M,"Vignette",'QA Log'!L:L,"*Vignette [5] Labor*"),
COUNTIFS('QA Log'!D:D,A461,'QA Log'!M:M,"Vignette",'QA Log'!L:L,"*Vignette [6] PNC pre Discharge*"),
COUNTIFS('QA Log'!D:D,A461,'QA Log'!M:M,"Vignette",'QA Log'!L:L,"*Vignette [7] First ANC Visit*"),
COUNTIFS('QA Log'!D:D,A461,'QA Log'!M:M,"Vignette",'QA Log'!L:L,"*Vignette [8] Birth Spacing/ Family Planning :  FP Counselling*"),
COUNTIFS('QA Log'!D:D,A461,'QA Log'!M:M,"Vignette",'QA Log'!L:L,"*Vignette [9] Birth Spacing: Change FP method to Injectable*"),
COUNTIFS('QA Log'!D:D,A461,'QA Log'!M:M,"Vignette",'QA Log'!L:L,"*Vignette [10] Post Partum Haemorrhage - Atonic Uterus at Health Centre*"),
)
)</f>
        <v/>
      </c>
      <c r="BF461" s="102" t="str">
        <f>IF(A461="","",
  SUM(
    COUNTIFS('QA Log'!D:D,A461,'QA Log'!M:M,"Vignette",'QA Log'!Z:Z,"Approved",'QA Log'!L:L,"*Vignette [5] Labor*"),
    COUNTIFS('QA Log'!D:D,A461,'QA Log'!M:M,"Vignette",'QA Log'!Z:Z,"Approved",'QA Log'!L:L,"*Vignette [6] PNC pre Discharge*"),
    COUNTIFS('QA Log'!D:D,A461,'QA Log'!M:M,"Vignette",'QA Log'!Z:Z,"Approved",'QA Log'!L:L,"*Vignette [7] First ANC Visit*"),
    COUNTIFS('QA Log'!D:D,A461,'QA Log'!M:M,"Vignette",'QA Log'!Z:Z,"Approved",'QA Log'!L:L,"*Vignette [8] Birth Spacing/ Family Planning :  FP Counselling*"),
    COUNTIFS('QA Log'!D:D,A461,'QA Log'!M:M,"Vignette",'QA Log'!Z:Z,"Approved",'QA Log'!L:L,"*Vignette [9] Birth Spacing: Change FP method to Injectable*"),
    COUNTIFS('QA Log'!D:D,A461,'QA Log'!M:M,"Vignette",'QA Log'!Z:Z,"Approved",'QA Log'!L:L,"*Vignette [10] Post Partum Haemorrhage - Atonic Uterus at Health Centre*")
  )
)</f>
        <v/>
      </c>
      <c r="BG461" s="105" t="str">
        <f>IF(A461&lt;&gt;"",COUNTIFS('QA Log'!D:D,A461,'QA Log'!M:M,"Vignette",'QA Log'!L:L,"Vignette [5] Labor",'QA Log'!Z:Z,"Approved"),"")</f>
        <v/>
      </c>
      <c r="BH461" s="105" t="str">
        <f>IF(A461&lt;&gt;"",COUNTIFS('QA Log'!D:D,A461,'QA Log'!M:M,"Vignette",'QA Log'!L:L,"Vignette [6] PNC pre Discharge",'QA Log'!Z:Z,"Approved"),"")</f>
        <v/>
      </c>
      <c r="BI461" s="105" t="str">
        <f>IF(A461&lt;&gt;"",COUNTIFS('QA Log'!D:D,A461,'QA Log'!M:M,"Vignette",'QA Log'!L:L,"Vignette [7] First ANC Visit",'QA Log'!Z:Z,"Approved"),"")</f>
        <v/>
      </c>
      <c r="BJ461" s="105" t="str">
        <f>IF(A461&lt;&gt;"",COUNTIFS('QA Log'!D:D,A461,'QA Log'!M:M,"Vignette",'QA Log'!L:L,"Vignette [8] Birth Spacing/ Family Planning :  FP Counselling",'QA Log'!Z:Z,"Approved"),"")</f>
        <v/>
      </c>
      <c r="BK461" s="105" t="str">
        <f>IF(A461&lt;&gt;"",COUNTIFS('QA Log'!D:D,A461,'QA Log'!M:M,"Vignette",'QA Log'!L:L,"Vignette [9] Birth Spacing: Change FP method to Injectable",'QA Log'!Z:Z,"Approved"),"")</f>
        <v/>
      </c>
      <c r="BL461" s="105" t="str">
        <f>IF(A461&lt;&gt;"",COUNTIFS('QA Log'!D:D,A461,'QA Log'!M:M,"Vignette",'QA Log'!L:L,"Vignette [10] Post Partum Haemorrhage - Atonic Uterus at Health Centre",'QA Log'!Z:Z,"Approved"),"")</f>
        <v/>
      </c>
      <c r="BM461" s="102" t="str">
        <f>IF(A461="","",SUM(
    COUNTIFS('QA Log'!D:D,A461,'QA Log'!M:M,"Vignette",'QA Log'!Z:Z,"Rejected",'QA Log'!L:L,"*Vignette [5] Labor*"),
    COUNTIFS('QA Log'!D:D,A461,'QA Log'!M:M,"Vignette",'QA Log'!Z:Z,"Rejected",'QA Log'!L:L,"*Vignette [6] PNC pre Discharge*"),
    COUNTIFS('QA Log'!D:D,A461,'QA Log'!M:M,"Vignette",'QA Log'!Z:Z,"Rejected",'QA Log'!L:L,"*Vignette [7] First ANC Visit*"),
    COUNTIFS('QA Log'!D:D,A461,'QA Log'!M:M,"Vignette",'QA Log'!Z:Z,"Rejected",'QA Log'!L:L,"*Vignette [8] Birth Spacing/ Family Planning :  FP Counselling*"),
    COUNTIFS('QA Log'!D:D,A461,'QA Log'!M:M,"Vignette",'QA Log'!Z:Z,"Rejected",'QA Log'!L:L,"*Vignette [9] Birth Spacing: Change FP method to Injectable*"),
    COUNTIFS('QA Log'!D:D,A461,'QA Log'!M:M,"Vignette",'QA Log'!Z:Z,"Rejected",'QA Log'!L:L,"*Vignette [10] Post Partum Haemorrhage - Atonic Uterus at Health Centre*")
  )
)</f>
        <v/>
      </c>
      <c r="BN461" s="107" t="str">
        <f t="shared" si="37"/>
        <v/>
      </c>
      <c r="BO461" s="103" t="str">
        <f t="shared" si="38"/>
        <v/>
      </c>
      <c r="BP461" s="102" t="str">
        <f>IF(A461="","",SUM(
COUNTIFS('QA Log'!D:D,A461,'QA Log'!M:M,"Vignette",'QA Log'!L:L,"*Exit Interview 1*"),
COUNTIFS('QA Log'!D:D,A461,'QA Log'!M:M,"Vignette",'QA Log'!L:L,"*Exit Interview 2*"),
)
)</f>
        <v/>
      </c>
      <c r="BQ461" s="102" t="str">
        <f>IF(
  A461="","",
  SUM(
    COUNTIFS('QA Log'!D:D,A461,'QA Log'!M:M,"Vignette",'QA Log'!Z:Z,"Approved",'QA Log'!L:L,"*Exit Interview 1*"),
    COUNTIFS('QA Log'!D:D,A461,'QA Log'!M:M,"Vignette",'QA Log'!Z:Z,"Approved",'QA Log'!L:L,"*Exit Interview 2*")
  )
)</f>
        <v/>
      </c>
      <c r="BR461" s="105" t="str">
        <f>IF(A461&lt;&gt;"",COUNTIFS('QA Log'!D:D,A461,'QA Log'!M:M,"Vignette",'QA Log'!L:L,"Exit Interview 1",'QA Log'!Z:Z,"Approved"),"")</f>
        <v/>
      </c>
      <c r="BS461" s="105" t="str">
        <f>IF(A461&lt;&gt;"",COUNTIFS('QA Log'!D:D,A461,'QA Log'!M:M,"Vignette",'QA Log'!L:L,"Exit Interview 2",'QA Log'!Z:Z,"Approved"),"")</f>
        <v/>
      </c>
      <c r="BT461" s="102" t="str">
        <f>IF(
  A461="","",
  SUM(
    COUNTIFS('QA Log'!D:D,A461,'QA Log'!M:M,"Vignette",'QA Log'!Z:Z,"Rejected",'QA Log'!L:L,"*Exit Interview 1*"),
    COUNTIFS('QA Log'!D:D,A461,'QA Log'!M:M,"Vignette",'QA Log'!Z:Z,"Rejected",'QA Log'!L:L,"*Exit Interview 2*")
  )
)</f>
        <v/>
      </c>
      <c r="BU461" s="107" t="str">
        <f t="shared" si="39"/>
        <v/>
      </c>
      <c r="BV461" s="102" t="str">
        <f t="shared" si="40"/>
        <v/>
      </c>
      <c r="BW461" s="102" t="str">
        <f t="shared" si="41"/>
        <v/>
      </c>
      <c r="BX461" s="102" t="str">
        <f t="shared" si="42"/>
        <v/>
      </c>
      <c r="BY461" s="102" t="str">
        <f t="shared" si="43"/>
        <v/>
      </c>
      <c r="BZ461" s="107" t="str">
        <f t="shared" si="44"/>
        <v/>
      </c>
      <c r="CA461" s="108" t="str">
        <f t="shared" si="45"/>
        <v/>
      </c>
      <c r="CB461" s="108" t="str">
        <f t="shared" si="46"/>
        <v/>
      </c>
      <c r="CC461" s="109" t="str">
        <f t="shared" si="47"/>
        <v/>
      </c>
      <c r="CD461" s="108" t="str">
        <f t="shared" si="48"/>
        <v/>
      </c>
      <c r="CE461" s="108" t="str">
        <f t="shared" si="49"/>
        <v/>
      </c>
      <c r="CF461" s="109" t="str">
        <f t="shared" si="50"/>
        <v/>
      </c>
      <c r="CG461" s="110" t="str">
        <f t="shared" si="51"/>
        <v/>
      </c>
      <c r="CH461" s="111"/>
    </row>
    <row r="462" spans="1:86" ht="12.75">
      <c r="A462" s="101"/>
      <c r="B462" s="102" t="e">
        <f t="array" aca="1" ref="B462" ca="1">_xludf.XLOOKUP(A462,'QA Log'!D:D,'QA Log'!E:E,"")</f>
        <v>#NAME?</v>
      </c>
      <c r="C462" s="102" t="e">
        <f t="array" aca="1" ref="C462" ca="1">_xludf.XLOOKUP(A462,'QA Log'!D:D,'QA Log'!F:F,"")</f>
        <v>#NAME?</v>
      </c>
      <c r="D462" s="102" t="e">
        <f t="array" aca="1" ref="D462" ca="1">_xludf.XLOOKUP(A462,'QA Log'!D:D,'QA Log'!H:H,"")</f>
        <v>#NAME?</v>
      </c>
      <c r="E462" s="102" t="e">
        <f t="array" aca="1" ref="E462" ca="1">_xludf.XLOOKUP(A462,'QA Log'!D:D,'QA Log'!G:G,"")</f>
        <v>#NAME?</v>
      </c>
      <c r="F462" s="103"/>
      <c r="G462" s="104"/>
      <c r="H462" s="104"/>
      <c r="I462" s="103" t="str">
        <f t="shared" si="26"/>
        <v/>
      </c>
      <c r="J462" s="102" t="str">
        <f>IF(A462="","",SUM(
COUNTIFS('QA Log'!D:D,A462,'QA Log'!M:M,"QQC",'QA Log'!L:L,"*1. General Management*"),
COUNTIFS('QA Log'!D:D,A462,'QA Log'!M:M,"QQC",'QA Log'!L:L,"*3. Curative Consultation (OPD)*"),
COUNTIFS('QA Log'!D:D,A462,'QA Log'!M:M,"QQC",'QA Log'!L:L,"*5. Laboratory*"),
COUNTIFS('QA Log'!D:D,A462,'QA Log'!M:M,"QQC",'QA Log'!L:L,"*6. Essential Medicine Management*"),
COUNTIFS('QA Log'!D:D,A462,'QA Log'!M:M,"QQC",'QA Log'!L:L,"*7. Tracer Medicine*"),
COUNTIFS('QA Log'!D:D,A462,'QA Log'!M:M,"QQC",'QA Log'!L:L,"*11. Additional Questions*")))</f>
        <v/>
      </c>
      <c r="K462" s="102" t="str">
        <f>IF(A462="","",SUM(
COUNTIFS('QA Log'!D:D,A462,'QA Log'!M:M,"QQC",'QA Log'!Z:Z,"Approved",'QA Log'!L:L,"*1. General Management*"),
COUNTIFS('QA Log'!D:D,A462,'QA Log'!M:M,"QQC",'QA Log'!Z:Z,"Approved",'QA Log'!L:L,"*3. Curative Consultation (OPD)*"),
COUNTIFS('QA Log'!D:D,A462,'QA Log'!M:M,"QQC",'QA Log'!Z:Z,"Approved",'QA Log'!L:L,"*5. Laboratory*"),
COUNTIFS('QA Log'!D:D,A462,'QA Log'!M:M,"QQC",'QA Log'!Z:Z,"Approved",'QA Log'!L:L,"*6. Essential Medicine Management*"),
COUNTIFS('QA Log'!D:D,A462,'QA Log'!M:M,"QQC",'QA Log'!Z:Z,"Approved",'QA Log'!L:L,"*7. Tracer Medicine*"),
COUNTIFS('QA Log'!D:D,A462,'QA Log'!M:M,"QQC",'QA Log'!Z:Z,"Approved",'QA Log'!L:L,"*11. Additional Questions*")))</f>
        <v/>
      </c>
      <c r="L462" s="102" t="str">
        <f>IF(A462&lt;&gt;"",COUNTIFS('QA Log'!D:D,A462,'QA Log'!M:M,"QQC",'QA Log'!L:L,"1. General Management",'QA Log'!Z:Z,"Approved"),"")</f>
        <v/>
      </c>
      <c r="M462" s="102" t="str">
        <f>IF(A462&lt;&gt;"",COUNTIFS('QA Log'!D:D,A462,'QA Log'!M:M,"QQC",'QA Log'!L:L,"3. Curative Consultation (OPD)",'QA Log'!Z:Z,"Approved"),"")</f>
        <v/>
      </c>
      <c r="N462" s="102" t="str">
        <f>IF(A462&lt;&gt;"",COUNTIFS('QA Log'!D:D,A462,'QA Log'!M:M,"QQC",'QA Log'!L:L,"5. Laboratory",'QA Log'!Z:Z,"Approved"),"")</f>
        <v/>
      </c>
      <c r="O462" s="102" t="str">
        <f>IF(A462&lt;&gt;"",COUNTIFS('QA Log'!D:D,A462,'QA Log'!M:M,"QQC",'QA Log'!L:L,"6. Essential Medicine Management",'QA Log'!Z:Z,"Approved"),"")</f>
        <v/>
      </c>
      <c r="P462" s="102" t="str">
        <f>IF(A462&lt;&gt;"",COUNTIFS('QA Log'!D:D,A462,'QA Log'!M:M,"QQC",'QA Log'!L:L,"7. Tracer Medicine",'QA Log'!Z:Z,"Approved"),"")</f>
        <v/>
      </c>
      <c r="Q462" s="102" t="str">
        <f>IF(A462&lt;&gt;"",COUNTIFS('QA Log'!D:D,A462,'QA Log'!M:M,"QQC",'QA Log'!L:L,"11. Additional Questions",'QA Log'!Z:Z,"Approved"),"")</f>
        <v/>
      </c>
      <c r="R462" s="102" t="str">
        <f>IF(A462="","",SUM(
COUNTIFS('QA Log'!D:D,A462,'QA Log'!M:M,"QQC",'QA Log'!Z:Z,"Rejected",'QA Log'!L:L,"*8. Maternity*"),
COUNTIFS('QA Log'!D:D,A462,'QA Log'!M:M,"QQC",'QA Log'!Z:Z,"Rejected",'QA Log'!L:L,"*EPI*"),
COUNTIFS('QA Log'!D:D,A462,'QA Log'!M:M,"QQC",'QA Log'!Z:Z,"Rejected",'QA Log'!L:L,"*10. Antenatal Care (ANC)*"),
COUNTIFS('QA Log'!D:D,A462,'QA Log'!M:M,"QQC",'QA Log'!Z:Z,"Rejected",'QA Log'!L:L,"*2. Hygiene and Sterilization*"),
COUNTIFS('QA Log'!D:D,A462,'QA Log'!M:M,"QQC",'QA Log'!Z:Z,"Rejected",'QA Log'!L:L,"*Family Planning*")))</f>
        <v/>
      </c>
      <c r="S462" s="106" t="str">
        <f t="shared" si="27"/>
        <v/>
      </c>
      <c r="T462" s="102" t="str">
        <f t="shared" si="28"/>
        <v/>
      </c>
      <c r="U462" s="102" t="str">
        <f>IF(A462="","",
SUM(
COUNTIFS('QA Log'!D:D,A462,'QA Log'!M:M,"QQC",'QA Log'!L:L,"*8. Maternity*"),
COUNTIFS('QA Log'!D:D,A462,'QA Log'!M:M,"QQC",'QA Log'!L:L,"*9. EPI and Pre-school Consultation*"),
COUNTIFS('QA Log'!D:D,A462,'QA Log'!M:M,"QQC",'QA Log'!L:L,"*10. Antenatal Care (ANC)*"),
COUNTIFS('QA Log'!D:D,A462,'QA Log'!M:M,"QQC",'QA Log'!L:L,"*2. Hygiene and Sterilization*"),
COUNTIFS('QA Log'!D:D,A462,'QA Log'!M:M,"QQC",'QA Log'!L:L,"*4. Family Planning*")
))</f>
        <v/>
      </c>
      <c r="V462" s="102" t="str">
        <f>IF(A462="","",
SUM(
COUNTIFS('QA Log'!D:D,A462,'QA Log'!M:M,"QQC",'QA Log'!Z:Z,"Approved",'QA Log'!L:L,"*8. Maternity*"),
COUNTIFS('QA Log'!D:D,A462,'QA Log'!M:M,"QQC",'QA Log'!Z:Z,"Approved",'QA Log'!L:L,"*9. EPI and Pre-school Consultation*"),
COUNTIFS('QA Log'!D:D,A462,'QA Log'!M:M,"QQC",'QA Log'!Z:Z,"Approved",'QA Log'!L:L,"*10. Antenatal Care (ANC)*"),
COUNTIFS('QA Log'!D:D,A462,'QA Log'!M:M,"QQC",'QA Log'!Z:Z,"Approved",'QA Log'!L:L,"*2. Hygiene and Sterilization*"),
COUNTIFS('QA Log'!D:D,A462,'QA Log'!M:M,"QQC",'QA Log'!Z:Z,"Approved",'QA Log'!L:L,"*4. Family Planning*")
))</f>
        <v/>
      </c>
      <c r="W462" s="102" t="str">
        <f>IF(A462&lt;&gt;"",COUNTIFS('QA Log'!D:D,A462,'QA Log'!M:M,"QQC",'QA Log'!L:L,"8. Maternity",'QA Log'!Z:Z,"Approved"),"")</f>
        <v/>
      </c>
      <c r="X462" s="105" t="str">
        <f>IF(A462&lt;&gt;"",COUNTIFS('QA Log'!D:D,A462,'QA Log'!M:M,"QQC",'QA Log'!L:L,"9. EPI and Pre-school Consultation",'QA Log'!Z:Z,"Approved"),"")</f>
        <v/>
      </c>
      <c r="Y462" s="102" t="str">
        <f>IF(A462&lt;&gt;"",COUNTIFS('QA Log'!D:D,A462,'QA Log'!M:M,"QQC",'QA Log'!L:L,"10. Antenatal Care (ANC)",'QA Log'!Z:Z,"Approved"),"")</f>
        <v/>
      </c>
      <c r="Z462" s="102" t="str">
        <f>IF(A462&lt;&gt;"",COUNTIFS('QA Log'!D:D,A462,'QA Log'!M:M,"QQC",'QA Log'!L:L,"2. Hygiene and Sterilization",'QA Log'!Z:Z,"Approved"),"")</f>
        <v/>
      </c>
      <c r="AA462" s="105" t="str">
        <f>IF(A462&lt;&gt;"",COUNTIFS('QA Log'!D:D,A462,'QA Log'!M:M,"QQC",'QA Log'!L:L,"4. Family Planning",'QA Log'!Z:Z,"Approved"),"")</f>
        <v/>
      </c>
      <c r="AB462" s="102" t="str">
        <f>IF(A462="","",
SUM(
COUNTIFS('QA Log'!D:D,A462,'QA Log'!M:M,"QQC",'QA Log'!Z:Z,"Rejected",'QA Log'!L:L,"*8. Maternity*"),
COUNTIFS('QA Log'!D:D,A462,'QA Log'!M:M,"QQC",'QA Log'!Z:Z,"Rejected",'QA Log'!L:L,"*9. EPI and Pre-school Consultation*"),
COUNTIFS('QA Log'!D:D,A462,'QA Log'!M:M,"QQC",'QA Log'!Z:Z,"Rejected",'QA Log'!L:L,"*10. Antenatal Care (ANC)*"),
COUNTIFS('QA Log'!D:D,A462,'QA Log'!M:M,"QQC",'QA Log'!Z:Z,"Rejected",'QA Log'!L:L,"*2. Hygiene and Sterilization*"),
COUNTIFS('QA Log'!D:D,A462,'QA Log'!M:M,"QQC",'QA Log'!Z:Z,"Rejected",'QA Log'!L:L,"*4. Family Planning*")
))</f>
        <v/>
      </c>
      <c r="AC462" s="102" t="str">
        <f t="shared" si="29"/>
        <v/>
      </c>
      <c r="AD462" s="103" t="str">
        <f t="shared" si="30"/>
        <v/>
      </c>
      <c r="AE462" s="102" t="str">
        <f>IF(A462="","",
SUM(
COUNTIFS('QA Log'!D:D,A462,'QA Log'!M:M,"Data Verification",'QA Log'!L:L,"*Medicine (section 2)*"),
COUNTIFS('QA Log'!D:D,A462,'QA Log'!M:M,"Data Verification",'QA Log'!L:L,"*Lab Testing Availability*"),
COUNTIFS('QA Log'!D:D,A462,'QA Log'!M:M,"Data Verification",'QA Log'!L:L,"*Other than P4P (section 6)*"),
COUNTIFS('QA Log'!D:D,A462,'QA Log'!M:M,"Data Verification",'QA Log'!L:L,"*Hospital Governance*")
))</f>
        <v/>
      </c>
      <c r="AF462" s="102" t="str">
        <f>IF(A462="","",
SUM(
COUNTIFS('QA Log'!D:D,A462,'QA Log'!M:M,"Data Verification",'QA Log'!Z:Z,"Approved",'QA Log'!L:L,"*Medicine (section 2)*"),
COUNTIFS('QA Log'!D:D,A462,'QA Log'!M:M,"Data Verification",'QA Log'!Z:Z,"Approved",'QA Log'!L:L,"*Lab Testing Availability*"),
COUNTIFS('QA Log'!D:D,A462,'QA Log'!M:M,"Data Verification",'QA Log'!Z:Z,"Approved",'QA Log'!L:L,"*Other than P4P (section 6)*"),
COUNTIFS('QA Log'!D:D,A462,'QA Log'!M:M,"Data Verification",'QA Log'!Z:Z,"Approved",'QA Log'!L:L,"*Hospital Governance*")
))</f>
        <v/>
      </c>
      <c r="AG462" s="105" t="str">
        <f>IF(A462&lt;&gt;"",COUNTIFS('QA Log'!D:D,A462,'QA Log'!M:M,"Data Verification",'QA Log'!L:L,"Medicine (section 2)",'QA Log'!Z:Z,"Approved"),"")</f>
        <v/>
      </c>
      <c r="AH462" s="105" t="str">
        <f>IF(A462&lt;&gt;"",COUNTIFS('QA Log'!D:D,A462,'QA Log'!M:M,"Data Verification",'QA Log'!L:L,"Lab Testing Availability",'QA Log'!Z:Z,"Approved"),"")</f>
        <v/>
      </c>
      <c r="AI462" s="105" t="str">
        <f>IF(A462&lt;&gt;"",COUNTIFS('QA Log'!D:D,A462,'QA Log'!M:M,"Data Verification",'QA Log'!L:L,"Other than P4P (section 6)",'QA Log'!Z:Z,"Approved"),"")</f>
        <v/>
      </c>
      <c r="AJ462" s="105" t="str">
        <f>IF(A462&lt;&gt;"",COUNTIFS('QA Log'!D:D,A462,'QA Log'!M:M,"Data Verification",'QA Log'!L:L,"Hospital Governance",'QA Log'!Z:Z,"Approved"),"")</f>
        <v/>
      </c>
      <c r="AK462" s="102" t="str">
        <f>IF(A462="","",
SUM(
COUNTIFS('QA Log'!D:D,A462,'QA Log'!M:M,"Data Verification",'QA Log'!Z:Z,"Rejected",'QA Log'!L:L,"*Medicine (section 2)*"),
COUNTIFS('QA Log'!D:D,A462,'QA Log'!M:M,"Data Verification",'QA Log'!Z:Z,"Rejected",'QA Log'!L:L,"*Lab Testing Availability*"),
COUNTIFS('QA Log'!D:D,A462,'QA Log'!M:M,"Data Verification",'QA Log'!Z:Z,"Rejected",'QA Log'!L:L,"*Other than P4P (section 6)*"),
COUNTIFS('QA Log'!D:D,A462,'QA Log'!M:M,"Data Verification",'QA Log'!Z:Z,"Rejected",'QA Log'!L:L,"*Hospital Governance*")
))</f>
        <v/>
      </c>
      <c r="AL462" s="106" t="str">
        <f t="shared" si="31"/>
        <v/>
      </c>
      <c r="AM462" s="102" t="str">
        <f t="shared" si="32"/>
        <v/>
      </c>
      <c r="AN462" s="102" t="str">
        <f>IF(A462="","",
SUM(
COUNTIFS('QA Log'!D:D,A462,'QA Log'!M:M,"Data Verification",'QA Log'!L:L,"*Personnel (section 1)*"),
COUNTIFS('QA Log'!D:D,A462,'QA Log'!M:M,"Data Verification",'QA Log'!L:L,"*Consumable (section 3)*"),
COUNTIFS('QA Log'!D:D,A462,'QA Log'!M:M,"Data Verification",'QA Log'!L:L,"*Equipments (section 4)*")
))</f>
        <v/>
      </c>
      <c r="AO462" s="102" t="str">
        <f>IF(A462="","",
SUM(
COUNTIFS('QA Log'!D:D,A462,'QA Log'!M:M,"Data Verification",'QA Log'!Z:Z,"Approved",'QA Log'!L:L,"*Personnel (section 1)*"),
COUNTIFS('QA Log'!D:D,A462,'QA Log'!M:M,"Data Verification",'QA Log'!Z:Z,"Approved",'QA Log'!L:L,"*Consumable (section 3)*"),
COUNTIFS('QA Log'!D:D,A462,'QA Log'!M:M,"Data Verification",'QA Log'!Z:Z,"Approved",'QA Log'!L:L,"*Equipments (section 4)*")
))</f>
        <v/>
      </c>
      <c r="AP462" s="105" t="str">
        <f>IF(A462&lt;&gt;"",COUNTIFS('QA Log'!D:D,A462,'QA Log'!M:M,"Data Verification",'QA Log'!L:L,"Personnel (section 1)",'QA Log'!Z:Z,"Approved"),"")</f>
        <v/>
      </c>
      <c r="AQ462" s="105" t="str">
        <f>IF(A462&lt;&gt;"",COUNTIFS('QA Log'!D:D,A462,'QA Log'!M:M,"Data Verification",'QA Log'!L:L,"Consumable (section 3)",'QA Log'!Z:Z,"Approved"),"")</f>
        <v/>
      </c>
      <c r="AR462" s="105" t="str">
        <f>IF(A462&lt;&gt;"",COUNTIFS('QA Log'!D:D,A462,'QA Log'!M:M,"Data Verification",'QA Log'!L:L,"Equipments (section 4)",'QA Log'!Z:Z,"Approved"),"")</f>
        <v/>
      </c>
      <c r="AS462" s="102" t="str">
        <f>IF(A462="","",
SUM(
COUNTIFS('QA Log'!D:D,A462,'QA Log'!M:M,"Data Verification",'QA Log'!Z:Z,"Rejected",'QA Log'!L:L,"*Personnel (section 1)*"),
COUNTIFS('QA Log'!D:D,A462,'QA Log'!M:M,"Data Verification",'QA Log'!Z:Z,"Rejected",'QA Log'!L:L,"*Consumable (section 3)*"),
COUNTIFS('QA Log'!D:D,A462,'QA Log'!M:M,"Data Verification",'QA Log'!Z:Z,"Rejected",'QA Log'!L:L,"*Equipments (section 4)*")
))</f>
        <v/>
      </c>
      <c r="AT462" s="102" t="str">
        <f t="shared" si="33"/>
        <v/>
      </c>
      <c r="AU462" s="103" t="str">
        <f t="shared" si="34"/>
        <v/>
      </c>
      <c r="AV462" s="102" t="str">
        <f>IF(A462="","",SUM(
COUNTIFS('QA Log'!D:D,A462,'QA Log'!M:M,"Vignette",'QA Log'!L:L,"*Vignette [1] Respiratory Infection: Pneumonia*"),
COUNTIFS('QA Log'!D:D,A462,'QA Log'!M:M,"Vignette",'QA Log'!L:L,"*Vignette [2]: Diarrhea with Cat B dehydration*"),
COUNTIFS('QA Log'!D:D,A462,'QA Log'!M:M,"Vignette",'QA Log'!L:L,"*Vignette [3] Growth Monitoring and Promotion*"),
COUNTIFS('QA Log'!D:D,A462,'QA Log'!M:M,"Vignette",'QA Log'!L:L,"*Vignette [4]: The management of presumptive TB patient*")
)
)</f>
        <v/>
      </c>
      <c r="AW462" s="102" t="str">
        <f>IF(
  A462="","",
  SUM(
    COUNTIFS('QA Log'!D:D,A462,'QA Log'!M:M,"Vignette",'QA Log'!Z:Z,"Approved",'QA Log'!L:L,"*Vignette [1] Respiratory Infection: Pneumonia*"),
    COUNTIFS('QA Log'!D:D,A462,'QA Log'!M:M,"Vignette",'QA Log'!Z:Z,"Approved",'QA Log'!L:L,"*Vignette [2]: Diarrhea with Cat B dehydration*"),
    COUNTIFS('QA Log'!D:D,A462,'QA Log'!M:M,"Vignette",'QA Log'!Z:Z,"Approved",'QA Log'!L:L,"*Vignette [3] Growth Monitoring and Promotion*"),
    COUNTIFS('QA Log'!D:D,A462,'QA Log'!M:M,"Vignette",'QA Log'!Z:Z,"Approved",'QA Log'!L:L,"*Vignette [4]: The management of presumptive TB patient*")
  )
)</f>
        <v/>
      </c>
      <c r="AX462" s="105" t="str">
        <f>IF(A462&lt;&gt;"",COUNTIFS('QA Log'!D:D,A462,'QA Log'!M:M,"Vignette",'QA Log'!L:L,"Vignette [1] Respiratory Infection: Pneumonia",'QA Log'!Z:Z,"Approved"),"")</f>
        <v/>
      </c>
      <c r="AY462" s="105" t="str">
        <f>IF(A462&lt;&gt;"",COUNTIFS('QA Log'!D:D,A462,'QA Log'!M:M,"Vignette",'QA Log'!L:L,"Vignette [2]: Diarrhea with Cat B dehydration",'QA Log'!Z:Z,"Approved"),"")</f>
        <v/>
      </c>
      <c r="AZ462" s="105" t="str">
        <f>IF(A462&lt;&gt;"",COUNTIFS('QA Log'!D:D,A462,'QA Log'!M:M,"Vignette",'QA Log'!L:L,"Vignette [3] Growth Monitoring and Promotion",'QA Log'!Z:Z,"Approved"),"")</f>
        <v/>
      </c>
      <c r="BA462" s="105" t="str">
        <f>IF(A462&lt;&gt;"",COUNTIFS('QA Log'!D:D,A462,'QA Log'!M:M,"Vignette",'QA Log'!L:L,"Vignette [4]: The management of presumptive TB patient",'QA Log'!Z:Z,"Approved"),"")</f>
        <v/>
      </c>
      <c r="BB462" s="102" t="str">
        <f>IF(A462="","",
  SUM(
    COUNTIFS('QA Log'!D:D,A462,'QA Log'!M:M,"Vignette",'QA Log'!Z:Z,"Rejected",'QA Log'!L:L,"*Vignette [1] Respiratory Infection: Pneumonia*"),
    COUNTIFS('QA Log'!D:D,A462,'QA Log'!M:M,"Vignette",'QA Log'!Z:Z,"Rejected",'QA Log'!L:L,"*Vignette [2]: Diarrhea with Cat B dehydration*"),
    COUNTIFS('QA Log'!D:D,A462,'QA Log'!M:M,"Vignette",'QA Log'!Z:Z,"Rejected",'QA Log'!L:L,"*Vignette [3] Growth Monitoring and Promotion*"),
    COUNTIFS('QA Log'!D:D,A462,'QA Log'!M:M,"Vignette",'QA Log'!Z:Z,"Rejected",'QA Log'!L:L,"*Vignette [4]: The management of presumptive TB patient*")
  )
)</f>
        <v/>
      </c>
      <c r="BC462" s="107" t="str">
        <f t="shared" si="35"/>
        <v/>
      </c>
      <c r="BD462" s="103" t="str">
        <f t="shared" si="36"/>
        <v/>
      </c>
      <c r="BE462" s="102" t="str">
        <f>IF(A462="","",SUM(
COUNTIFS('QA Log'!D:D,A462,'QA Log'!M:M,"Vignette",'QA Log'!L:L,"*Vignette [5] Labor*"),
COUNTIFS('QA Log'!D:D,A462,'QA Log'!M:M,"Vignette",'QA Log'!L:L,"*Vignette [6] PNC pre Discharge*"),
COUNTIFS('QA Log'!D:D,A462,'QA Log'!M:M,"Vignette",'QA Log'!L:L,"*Vignette [7] First ANC Visit*"),
COUNTIFS('QA Log'!D:D,A462,'QA Log'!M:M,"Vignette",'QA Log'!L:L,"*Vignette [8] Birth Spacing/ Family Planning :  FP Counselling*"),
COUNTIFS('QA Log'!D:D,A462,'QA Log'!M:M,"Vignette",'QA Log'!L:L,"*Vignette [9] Birth Spacing: Change FP method to Injectable*"),
COUNTIFS('QA Log'!D:D,A462,'QA Log'!M:M,"Vignette",'QA Log'!L:L,"*Vignette [10] Post Partum Haemorrhage - Atonic Uterus at Health Centre*"),
)
)</f>
        <v/>
      </c>
      <c r="BF462" s="102" t="str">
        <f>IF(A462="","",
  SUM(
    COUNTIFS('QA Log'!D:D,A462,'QA Log'!M:M,"Vignette",'QA Log'!Z:Z,"Approved",'QA Log'!L:L,"*Vignette [5] Labor*"),
    COUNTIFS('QA Log'!D:D,A462,'QA Log'!M:M,"Vignette",'QA Log'!Z:Z,"Approved",'QA Log'!L:L,"*Vignette [6] PNC pre Discharge*"),
    COUNTIFS('QA Log'!D:D,A462,'QA Log'!M:M,"Vignette",'QA Log'!Z:Z,"Approved",'QA Log'!L:L,"*Vignette [7] First ANC Visit*"),
    COUNTIFS('QA Log'!D:D,A462,'QA Log'!M:M,"Vignette",'QA Log'!Z:Z,"Approved",'QA Log'!L:L,"*Vignette [8] Birth Spacing/ Family Planning :  FP Counselling*"),
    COUNTIFS('QA Log'!D:D,A462,'QA Log'!M:M,"Vignette",'QA Log'!Z:Z,"Approved",'QA Log'!L:L,"*Vignette [9] Birth Spacing: Change FP method to Injectable*"),
    COUNTIFS('QA Log'!D:D,A462,'QA Log'!M:M,"Vignette",'QA Log'!Z:Z,"Approved",'QA Log'!L:L,"*Vignette [10] Post Partum Haemorrhage - Atonic Uterus at Health Centre*")
  )
)</f>
        <v/>
      </c>
      <c r="BG462" s="105" t="str">
        <f>IF(A462&lt;&gt;"",COUNTIFS('QA Log'!D:D,A462,'QA Log'!M:M,"Vignette",'QA Log'!L:L,"Vignette [5] Labor",'QA Log'!Z:Z,"Approved"),"")</f>
        <v/>
      </c>
      <c r="BH462" s="105" t="str">
        <f>IF(A462&lt;&gt;"",COUNTIFS('QA Log'!D:D,A462,'QA Log'!M:M,"Vignette",'QA Log'!L:L,"Vignette [6] PNC pre Discharge",'QA Log'!Z:Z,"Approved"),"")</f>
        <v/>
      </c>
      <c r="BI462" s="105" t="str">
        <f>IF(A462&lt;&gt;"",COUNTIFS('QA Log'!D:D,A462,'QA Log'!M:M,"Vignette",'QA Log'!L:L,"Vignette [7] First ANC Visit",'QA Log'!Z:Z,"Approved"),"")</f>
        <v/>
      </c>
      <c r="BJ462" s="105" t="str">
        <f>IF(A462&lt;&gt;"",COUNTIFS('QA Log'!D:D,A462,'QA Log'!M:M,"Vignette",'QA Log'!L:L,"Vignette [8] Birth Spacing/ Family Planning :  FP Counselling",'QA Log'!Z:Z,"Approved"),"")</f>
        <v/>
      </c>
      <c r="BK462" s="105" t="str">
        <f>IF(A462&lt;&gt;"",COUNTIFS('QA Log'!D:D,A462,'QA Log'!M:M,"Vignette",'QA Log'!L:L,"Vignette [9] Birth Spacing: Change FP method to Injectable",'QA Log'!Z:Z,"Approved"),"")</f>
        <v/>
      </c>
      <c r="BL462" s="105" t="str">
        <f>IF(A462&lt;&gt;"",COUNTIFS('QA Log'!D:D,A462,'QA Log'!M:M,"Vignette",'QA Log'!L:L,"Vignette [10] Post Partum Haemorrhage - Atonic Uterus at Health Centre",'QA Log'!Z:Z,"Approved"),"")</f>
        <v/>
      </c>
      <c r="BM462" s="102" t="str">
        <f>IF(A462="","",SUM(
    COUNTIFS('QA Log'!D:D,A462,'QA Log'!M:M,"Vignette",'QA Log'!Z:Z,"Rejected",'QA Log'!L:L,"*Vignette [5] Labor*"),
    COUNTIFS('QA Log'!D:D,A462,'QA Log'!M:M,"Vignette",'QA Log'!Z:Z,"Rejected",'QA Log'!L:L,"*Vignette [6] PNC pre Discharge*"),
    COUNTIFS('QA Log'!D:D,A462,'QA Log'!M:M,"Vignette",'QA Log'!Z:Z,"Rejected",'QA Log'!L:L,"*Vignette [7] First ANC Visit*"),
    COUNTIFS('QA Log'!D:D,A462,'QA Log'!M:M,"Vignette",'QA Log'!Z:Z,"Rejected",'QA Log'!L:L,"*Vignette [8] Birth Spacing/ Family Planning :  FP Counselling*"),
    COUNTIFS('QA Log'!D:D,A462,'QA Log'!M:M,"Vignette",'QA Log'!Z:Z,"Rejected",'QA Log'!L:L,"*Vignette [9] Birth Spacing: Change FP method to Injectable*"),
    COUNTIFS('QA Log'!D:D,A462,'QA Log'!M:M,"Vignette",'QA Log'!Z:Z,"Rejected",'QA Log'!L:L,"*Vignette [10] Post Partum Haemorrhage - Atonic Uterus at Health Centre*")
  )
)</f>
        <v/>
      </c>
      <c r="BN462" s="107" t="str">
        <f t="shared" si="37"/>
        <v/>
      </c>
      <c r="BO462" s="103" t="str">
        <f t="shared" si="38"/>
        <v/>
      </c>
      <c r="BP462" s="102" t="str">
        <f>IF(A462="","",SUM(
COUNTIFS('QA Log'!D:D,A462,'QA Log'!M:M,"Vignette",'QA Log'!L:L,"*Exit Interview 1*"),
COUNTIFS('QA Log'!D:D,A462,'QA Log'!M:M,"Vignette",'QA Log'!L:L,"*Exit Interview 2*"),
)
)</f>
        <v/>
      </c>
      <c r="BQ462" s="102" t="str">
        <f>IF(
  A462="","",
  SUM(
    COUNTIFS('QA Log'!D:D,A462,'QA Log'!M:M,"Vignette",'QA Log'!Z:Z,"Approved",'QA Log'!L:L,"*Exit Interview 1*"),
    COUNTIFS('QA Log'!D:D,A462,'QA Log'!M:M,"Vignette",'QA Log'!Z:Z,"Approved",'QA Log'!L:L,"*Exit Interview 2*")
  )
)</f>
        <v/>
      </c>
      <c r="BR462" s="105" t="str">
        <f>IF(A462&lt;&gt;"",COUNTIFS('QA Log'!D:D,A462,'QA Log'!M:M,"Vignette",'QA Log'!L:L,"Exit Interview 1",'QA Log'!Z:Z,"Approved"),"")</f>
        <v/>
      </c>
      <c r="BS462" s="105" t="str">
        <f>IF(A462&lt;&gt;"",COUNTIFS('QA Log'!D:D,A462,'QA Log'!M:M,"Vignette",'QA Log'!L:L,"Exit Interview 2",'QA Log'!Z:Z,"Approved"),"")</f>
        <v/>
      </c>
      <c r="BT462" s="102" t="str">
        <f>IF(
  A462="","",
  SUM(
    COUNTIFS('QA Log'!D:D,A462,'QA Log'!M:M,"Vignette",'QA Log'!Z:Z,"Rejected",'QA Log'!L:L,"*Exit Interview 1*"),
    COUNTIFS('QA Log'!D:D,A462,'QA Log'!M:M,"Vignette",'QA Log'!Z:Z,"Rejected",'QA Log'!L:L,"*Exit Interview 2*")
  )
)</f>
        <v/>
      </c>
      <c r="BU462" s="107" t="str">
        <f t="shared" si="39"/>
        <v/>
      </c>
      <c r="BV462" s="102" t="str">
        <f t="shared" si="40"/>
        <v/>
      </c>
      <c r="BW462" s="102" t="str">
        <f t="shared" si="41"/>
        <v/>
      </c>
      <c r="BX462" s="102" t="str">
        <f t="shared" si="42"/>
        <v/>
      </c>
      <c r="BY462" s="102" t="str">
        <f t="shared" si="43"/>
        <v/>
      </c>
      <c r="BZ462" s="107" t="str">
        <f t="shared" si="44"/>
        <v/>
      </c>
      <c r="CA462" s="108" t="str">
        <f t="shared" si="45"/>
        <v/>
      </c>
      <c r="CB462" s="108" t="str">
        <f t="shared" si="46"/>
        <v/>
      </c>
      <c r="CC462" s="109" t="str">
        <f t="shared" si="47"/>
        <v/>
      </c>
      <c r="CD462" s="108" t="str">
        <f t="shared" si="48"/>
        <v/>
      </c>
      <c r="CE462" s="108" t="str">
        <f t="shared" si="49"/>
        <v/>
      </c>
      <c r="CF462" s="109" t="str">
        <f t="shared" si="50"/>
        <v/>
      </c>
      <c r="CG462" s="110" t="str">
        <f t="shared" si="51"/>
        <v/>
      </c>
      <c r="CH462" s="111"/>
    </row>
    <row r="463" spans="1:86" ht="12.75">
      <c r="A463" s="101"/>
      <c r="B463" s="102" t="e">
        <f t="array" aca="1" ref="B463" ca="1">_xludf.XLOOKUP(A463,'QA Log'!D:D,'QA Log'!E:E,"")</f>
        <v>#NAME?</v>
      </c>
      <c r="C463" s="102" t="e">
        <f t="array" aca="1" ref="C463" ca="1">_xludf.XLOOKUP(A463,'QA Log'!D:D,'QA Log'!F:F,"")</f>
        <v>#NAME?</v>
      </c>
      <c r="D463" s="102" t="e">
        <f t="array" aca="1" ref="D463" ca="1">_xludf.XLOOKUP(A463,'QA Log'!D:D,'QA Log'!H:H,"")</f>
        <v>#NAME?</v>
      </c>
      <c r="E463" s="102" t="e">
        <f t="array" aca="1" ref="E463" ca="1">_xludf.XLOOKUP(A463,'QA Log'!D:D,'QA Log'!G:G,"")</f>
        <v>#NAME?</v>
      </c>
      <c r="F463" s="103"/>
      <c r="G463" s="104"/>
      <c r="H463" s="104"/>
      <c r="I463" s="103" t="str">
        <f t="shared" si="26"/>
        <v/>
      </c>
      <c r="J463" s="102" t="str">
        <f>IF(A463="","",SUM(
COUNTIFS('QA Log'!D:D,A463,'QA Log'!M:M,"QQC",'QA Log'!L:L,"*1. General Management*"),
COUNTIFS('QA Log'!D:D,A463,'QA Log'!M:M,"QQC",'QA Log'!L:L,"*3. Curative Consultation (OPD)*"),
COUNTIFS('QA Log'!D:D,A463,'QA Log'!M:M,"QQC",'QA Log'!L:L,"*5. Laboratory*"),
COUNTIFS('QA Log'!D:D,A463,'QA Log'!M:M,"QQC",'QA Log'!L:L,"*6. Essential Medicine Management*"),
COUNTIFS('QA Log'!D:D,A463,'QA Log'!M:M,"QQC",'QA Log'!L:L,"*7. Tracer Medicine*"),
COUNTIFS('QA Log'!D:D,A463,'QA Log'!M:M,"QQC",'QA Log'!L:L,"*11. Additional Questions*")))</f>
        <v/>
      </c>
      <c r="K463" s="102" t="str">
        <f>IF(A463="","",SUM(
COUNTIFS('QA Log'!D:D,A463,'QA Log'!M:M,"QQC",'QA Log'!Z:Z,"Approved",'QA Log'!L:L,"*1. General Management*"),
COUNTIFS('QA Log'!D:D,A463,'QA Log'!M:M,"QQC",'QA Log'!Z:Z,"Approved",'QA Log'!L:L,"*3. Curative Consultation (OPD)*"),
COUNTIFS('QA Log'!D:D,A463,'QA Log'!M:M,"QQC",'QA Log'!Z:Z,"Approved",'QA Log'!L:L,"*5. Laboratory*"),
COUNTIFS('QA Log'!D:D,A463,'QA Log'!M:M,"QQC",'QA Log'!Z:Z,"Approved",'QA Log'!L:L,"*6. Essential Medicine Management*"),
COUNTIFS('QA Log'!D:D,A463,'QA Log'!M:M,"QQC",'QA Log'!Z:Z,"Approved",'QA Log'!L:L,"*7. Tracer Medicine*"),
COUNTIFS('QA Log'!D:D,A463,'QA Log'!M:M,"QQC",'QA Log'!Z:Z,"Approved",'QA Log'!L:L,"*11. Additional Questions*")))</f>
        <v/>
      </c>
      <c r="L463" s="102" t="str">
        <f>IF(A463&lt;&gt;"",COUNTIFS('QA Log'!D:D,A463,'QA Log'!M:M,"QQC",'QA Log'!L:L,"1. General Management",'QA Log'!Z:Z,"Approved"),"")</f>
        <v/>
      </c>
      <c r="M463" s="102" t="str">
        <f>IF(A463&lt;&gt;"",COUNTIFS('QA Log'!D:D,A463,'QA Log'!M:M,"QQC",'QA Log'!L:L,"3. Curative Consultation (OPD)",'QA Log'!Z:Z,"Approved"),"")</f>
        <v/>
      </c>
      <c r="N463" s="102" t="str">
        <f>IF(A463&lt;&gt;"",COUNTIFS('QA Log'!D:D,A463,'QA Log'!M:M,"QQC",'QA Log'!L:L,"5. Laboratory",'QA Log'!Z:Z,"Approved"),"")</f>
        <v/>
      </c>
      <c r="O463" s="102" t="str">
        <f>IF(A463&lt;&gt;"",COUNTIFS('QA Log'!D:D,A463,'QA Log'!M:M,"QQC",'QA Log'!L:L,"6. Essential Medicine Management",'QA Log'!Z:Z,"Approved"),"")</f>
        <v/>
      </c>
      <c r="P463" s="102" t="str">
        <f>IF(A463&lt;&gt;"",COUNTIFS('QA Log'!D:D,A463,'QA Log'!M:M,"QQC",'QA Log'!L:L,"7. Tracer Medicine",'QA Log'!Z:Z,"Approved"),"")</f>
        <v/>
      </c>
      <c r="Q463" s="102" t="str">
        <f>IF(A463&lt;&gt;"",COUNTIFS('QA Log'!D:D,A463,'QA Log'!M:M,"QQC",'QA Log'!L:L,"11. Additional Questions",'QA Log'!Z:Z,"Approved"),"")</f>
        <v/>
      </c>
      <c r="R463" s="102" t="str">
        <f>IF(A463="","",SUM(
COUNTIFS('QA Log'!D:D,A463,'QA Log'!M:M,"QQC",'QA Log'!Z:Z,"Rejected",'QA Log'!L:L,"*8. Maternity*"),
COUNTIFS('QA Log'!D:D,A463,'QA Log'!M:M,"QQC",'QA Log'!Z:Z,"Rejected",'QA Log'!L:L,"*EPI*"),
COUNTIFS('QA Log'!D:D,A463,'QA Log'!M:M,"QQC",'QA Log'!Z:Z,"Rejected",'QA Log'!L:L,"*10. Antenatal Care (ANC)*"),
COUNTIFS('QA Log'!D:D,A463,'QA Log'!M:M,"QQC",'QA Log'!Z:Z,"Rejected",'QA Log'!L:L,"*2. Hygiene and Sterilization*"),
COUNTIFS('QA Log'!D:D,A463,'QA Log'!M:M,"QQC",'QA Log'!Z:Z,"Rejected",'QA Log'!L:L,"*Family Planning*")))</f>
        <v/>
      </c>
      <c r="S463" s="106" t="str">
        <f t="shared" si="27"/>
        <v/>
      </c>
      <c r="T463" s="102" t="str">
        <f t="shared" si="28"/>
        <v/>
      </c>
      <c r="U463" s="102" t="str">
        <f>IF(A463="","",
SUM(
COUNTIFS('QA Log'!D:D,A463,'QA Log'!M:M,"QQC",'QA Log'!L:L,"*8. Maternity*"),
COUNTIFS('QA Log'!D:D,A463,'QA Log'!M:M,"QQC",'QA Log'!L:L,"*9. EPI and Pre-school Consultation*"),
COUNTIFS('QA Log'!D:D,A463,'QA Log'!M:M,"QQC",'QA Log'!L:L,"*10. Antenatal Care (ANC)*"),
COUNTIFS('QA Log'!D:D,A463,'QA Log'!M:M,"QQC",'QA Log'!L:L,"*2. Hygiene and Sterilization*"),
COUNTIFS('QA Log'!D:D,A463,'QA Log'!M:M,"QQC",'QA Log'!L:L,"*4. Family Planning*")
))</f>
        <v/>
      </c>
      <c r="V463" s="102" t="str">
        <f>IF(A463="","",
SUM(
COUNTIFS('QA Log'!D:D,A463,'QA Log'!M:M,"QQC",'QA Log'!Z:Z,"Approved",'QA Log'!L:L,"*8. Maternity*"),
COUNTIFS('QA Log'!D:D,A463,'QA Log'!M:M,"QQC",'QA Log'!Z:Z,"Approved",'QA Log'!L:L,"*9. EPI and Pre-school Consultation*"),
COUNTIFS('QA Log'!D:D,A463,'QA Log'!M:M,"QQC",'QA Log'!Z:Z,"Approved",'QA Log'!L:L,"*10. Antenatal Care (ANC)*"),
COUNTIFS('QA Log'!D:D,A463,'QA Log'!M:M,"QQC",'QA Log'!Z:Z,"Approved",'QA Log'!L:L,"*2. Hygiene and Sterilization*"),
COUNTIFS('QA Log'!D:D,A463,'QA Log'!M:M,"QQC",'QA Log'!Z:Z,"Approved",'QA Log'!L:L,"*4. Family Planning*")
))</f>
        <v/>
      </c>
      <c r="W463" s="102" t="str">
        <f>IF(A463&lt;&gt;"",COUNTIFS('QA Log'!D:D,A463,'QA Log'!M:M,"QQC",'QA Log'!L:L,"8. Maternity",'QA Log'!Z:Z,"Approved"),"")</f>
        <v/>
      </c>
      <c r="X463" s="105" t="str">
        <f>IF(A463&lt;&gt;"",COUNTIFS('QA Log'!D:D,A463,'QA Log'!M:M,"QQC",'QA Log'!L:L,"9. EPI and Pre-school Consultation",'QA Log'!Z:Z,"Approved"),"")</f>
        <v/>
      </c>
      <c r="Y463" s="102" t="str">
        <f>IF(A463&lt;&gt;"",COUNTIFS('QA Log'!D:D,A463,'QA Log'!M:M,"QQC",'QA Log'!L:L,"10. Antenatal Care (ANC)",'QA Log'!Z:Z,"Approved"),"")</f>
        <v/>
      </c>
      <c r="Z463" s="102" t="str">
        <f>IF(A463&lt;&gt;"",COUNTIFS('QA Log'!D:D,A463,'QA Log'!M:M,"QQC",'QA Log'!L:L,"2. Hygiene and Sterilization",'QA Log'!Z:Z,"Approved"),"")</f>
        <v/>
      </c>
      <c r="AA463" s="105" t="str">
        <f>IF(A463&lt;&gt;"",COUNTIFS('QA Log'!D:D,A463,'QA Log'!M:M,"QQC",'QA Log'!L:L,"4. Family Planning",'QA Log'!Z:Z,"Approved"),"")</f>
        <v/>
      </c>
      <c r="AB463" s="102" t="str">
        <f>IF(A463="","",
SUM(
COUNTIFS('QA Log'!D:D,A463,'QA Log'!M:M,"QQC",'QA Log'!Z:Z,"Rejected",'QA Log'!L:L,"*8. Maternity*"),
COUNTIFS('QA Log'!D:D,A463,'QA Log'!M:M,"QQC",'QA Log'!Z:Z,"Rejected",'QA Log'!L:L,"*9. EPI and Pre-school Consultation*"),
COUNTIFS('QA Log'!D:D,A463,'QA Log'!M:M,"QQC",'QA Log'!Z:Z,"Rejected",'QA Log'!L:L,"*10. Antenatal Care (ANC)*"),
COUNTIFS('QA Log'!D:D,A463,'QA Log'!M:M,"QQC",'QA Log'!Z:Z,"Rejected",'QA Log'!L:L,"*2. Hygiene and Sterilization*"),
COUNTIFS('QA Log'!D:D,A463,'QA Log'!M:M,"QQC",'QA Log'!Z:Z,"Rejected",'QA Log'!L:L,"*4. Family Planning*")
))</f>
        <v/>
      </c>
      <c r="AC463" s="102" t="str">
        <f t="shared" si="29"/>
        <v/>
      </c>
      <c r="AD463" s="103" t="str">
        <f t="shared" si="30"/>
        <v/>
      </c>
      <c r="AE463" s="102" t="str">
        <f>IF(A463="","",
SUM(
COUNTIFS('QA Log'!D:D,A463,'QA Log'!M:M,"Data Verification",'QA Log'!L:L,"*Medicine (section 2)*"),
COUNTIFS('QA Log'!D:D,A463,'QA Log'!M:M,"Data Verification",'QA Log'!L:L,"*Lab Testing Availability*"),
COUNTIFS('QA Log'!D:D,A463,'QA Log'!M:M,"Data Verification",'QA Log'!L:L,"*Other than P4P (section 6)*"),
COUNTIFS('QA Log'!D:D,A463,'QA Log'!M:M,"Data Verification",'QA Log'!L:L,"*Hospital Governance*")
))</f>
        <v/>
      </c>
      <c r="AF463" s="102" t="str">
        <f>IF(A463="","",
SUM(
COUNTIFS('QA Log'!D:D,A463,'QA Log'!M:M,"Data Verification",'QA Log'!Z:Z,"Approved",'QA Log'!L:L,"*Medicine (section 2)*"),
COUNTIFS('QA Log'!D:D,A463,'QA Log'!M:M,"Data Verification",'QA Log'!Z:Z,"Approved",'QA Log'!L:L,"*Lab Testing Availability*"),
COUNTIFS('QA Log'!D:D,A463,'QA Log'!M:M,"Data Verification",'QA Log'!Z:Z,"Approved",'QA Log'!L:L,"*Other than P4P (section 6)*"),
COUNTIFS('QA Log'!D:D,A463,'QA Log'!M:M,"Data Verification",'QA Log'!Z:Z,"Approved",'QA Log'!L:L,"*Hospital Governance*")
))</f>
        <v/>
      </c>
      <c r="AG463" s="105" t="str">
        <f>IF(A463&lt;&gt;"",COUNTIFS('QA Log'!D:D,A463,'QA Log'!M:M,"Data Verification",'QA Log'!L:L,"Medicine (section 2)",'QA Log'!Z:Z,"Approved"),"")</f>
        <v/>
      </c>
      <c r="AH463" s="105" t="str">
        <f>IF(A463&lt;&gt;"",COUNTIFS('QA Log'!D:D,A463,'QA Log'!M:M,"Data Verification",'QA Log'!L:L,"Lab Testing Availability",'QA Log'!Z:Z,"Approved"),"")</f>
        <v/>
      </c>
      <c r="AI463" s="105" t="str">
        <f>IF(A463&lt;&gt;"",COUNTIFS('QA Log'!D:D,A463,'QA Log'!M:M,"Data Verification",'QA Log'!L:L,"Other than P4P (section 6)",'QA Log'!Z:Z,"Approved"),"")</f>
        <v/>
      </c>
      <c r="AJ463" s="105" t="str">
        <f>IF(A463&lt;&gt;"",COUNTIFS('QA Log'!D:D,A463,'QA Log'!M:M,"Data Verification",'QA Log'!L:L,"Hospital Governance",'QA Log'!Z:Z,"Approved"),"")</f>
        <v/>
      </c>
      <c r="AK463" s="102" t="str">
        <f>IF(A463="","",
SUM(
COUNTIFS('QA Log'!D:D,A463,'QA Log'!M:M,"Data Verification",'QA Log'!Z:Z,"Rejected",'QA Log'!L:L,"*Medicine (section 2)*"),
COUNTIFS('QA Log'!D:D,A463,'QA Log'!M:M,"Data Verification",'QA Log'!Z:Z,"Rejected",'QA Log'!L:L,"*Lab Testing Availability*"),
COUNTIFS('QA Log'!D:D,A463,'QA Log'!M:M,"Data Verification",'QA Log'!Z:Z,"Rejected",'QA Log'!L:L,"*Other than P4P (section 6)*"),
COUNTIFS('QA Log'!D:D,A463,'QA Log'!M:M,"Data Verification",'QA Log'!Z:Z,"Rejected",'QA Log'!L:L,"*Hospital Governance*")
))</f>
        <v/>
      </c>
      <c r="AL463" s="106" t="str">
        <f t="shared" si="31"/>
        <v/>
      </c>
      <c r="AM463" s="102" t="str">
        <f t="shared" si="32"/>
        <v/>
      </c>
      <c r="AN463" s="102" t="str">
        <f>IF(A463="","",
SUM(
COUNTIFS('QA Log'!D:D,A463,'QA Log'!M:M,"Data Verification",'QA Log'!L:L,"*Personnel (section 1)*"),
COUNTIFS('QA Log'!D:D,A463,'QA Log'!M:M,"Data Verification",'QA Log'!L:L,"*Consumable (section 3)*"),
COUNTIFS('QA Log'!D:D,A463,'QA Log'!M:M,"Data Verification",'QA Log'!L:L,"*Equipments (section 4)*")
))</f>
        <v/>
      </c>
      <c r="AO463" s="102" t="str">
        <f>IF(A463="","",
SUM(
COUNTIFS('QA Log'!D:D,A463,'QA Log'!M:M,"Data Verification",'QA Log'!Z:Z,"Approved",'QA Log'!L:L,"*Personnel (section 1)*"),
COUNTIFS('QA Log'!D:D,A463,'QA Log'!M:M,"Data Verification",'QA Log'!Z:Z,"Approved",'QA Log'!L:L,"*Consumable (section 3)*"),
COUNTIFS('QA Log'!D:D,A463,'QA Log'!M:M,"Data Verification",'QA Log'!Z:Z,"Approved",'QA Log'!L:L,"*Equipments (section 4)*")
))</f>
        <v/>
      </c>
      <c r="AP463" s="105" t="str">
        <f>IF(A463&lt;&gt;"",COUNTIFS('QA Log'!D:D,A463,'QA Log'!M:M,"Data Verification",'QA Log'!L:L,"Personnel (section 1)",'QA Log'!Z:Z,"Approved"),"")</f>
        <v/>
      </c>
      <c r="AQ463" s="105" t="str">
        <f>IF(A463&lt;&gt;"",COUNTIFS('QA Log'!D:D,A463,'QA Log'!M:M,"Data Verification",'QA Log'!L:L,"Consumable (section 3)",'QA Log'!Z:Z,"Approved"),"")</f>
        <v/>
      </c>
      <c r="AR463" s="105" t="str">
        <f>IF(A463&lt;&gt;"",COUNTIFS('QA Log'!D:D,A463,'QA Log'!M:M,"Data Verification",'QA Log'!L:L,"Equipments (section 4)",'QA Log'!Z:Z,"Approved"),"")</f>
        <v/>
      </c>
      <c r="AS463" s="102" t="str">
        <f>IF(A463="","",
SUM(
COUNTIFS('QA Log'!D:D,A463,'QA Log'!M:M,"Data Verification",'QA Log'!Z:Z,"Rejected",'QA Log'!L:L,"*Personnel (section 1)*"),
COUNTIFS('QA Log'!D:D,A463,'QA Log'!M:M,"Data Verification",'QA Log'!Z:Z,"Rejected",'QA Log'!L:L,"*Consumable (section 3)*"),
COUNTIFS('QA Log'!D:D,A463,'QA Log'!M:M,"Data Verification",'QA Log'!Z:Z,"Rejected",'QA Log'!L:L,"*Equipments (section 4)*")
))</f>
        <v/>
      </c>
      <c r="AT463" s="102" t="str">
        <f t="shared" si="33"/>
        <v/>
      </c>
      <c r="AU463" s="103" t="str">
        <f t="shared" si="34"/>
        <v/>
      </c>
      <c r="AV463" s="102" t="str">
        <f>IF(A463="","",SUM(
COUNTIFS('QA Log'!D:D,A463,'QA Log'!M:M,"Vignette",'QA Log'!L:L,"*Vignette [1] Respiratory Infection: Pneumonia*"),
COUNTIFS('QA Log'!D:D,A463,'QA Log'!M:M,"Vignette",'QA Log'!L:L,"*Vignette [2]: Diarrhea with Cat B dehydration*"),
COUNTIFS('QA Log'!D:D,A463,'QA Log'!M:M,"Vignette",'QA Log'!L:L,"*Vignette [3] Growth Monitoring and Promotion*"),
COUNTIFS('QA Log'!D:D,A463,'QA Log'!M:M,"Vignette",'QA Log'!L:L,"*Vignette [4]: The management of presumptive TB patient*")
)
)</f>
        <v/>
      </c>
      <c r="AW463" s="102" t="str">
        <f>IF(
  A463="","",
  SUM(
    COUNTIFS('QA Log'!D:D,A463,'QA Log'!M:M,"Vignette",'QA Log'!Z:Z,"Approved",'QA Log'!L:L,"*Vignette [1] Respiratory Infection: Pneumonia*"),
    COUNTIFS('QA Log'!D:D,A463,'QA Log'!M:M,"Vignette",'QA Log'!Z:Z,"Approved",'QA Log'!L:L,"*Vignette [2]: Diarrhea with Cat B dehydration*"),
    COUNTIFS('QA Log'!D:D,A463,'QA Log'!M:M,"Vignette",'QA Log'!Z:Z,"Approved",'QA Log'!L:L,"*Vignette [3] Growth Monitoring and Promotion*"),
    COUNTIFS('QA Log'!D:D,A463,'QA Log'!M:M,"Vignette",'QA Log'!Z:Z,"Approved",'QA Log'!L:L,"*Vignette [4]: The management of presumptive TB patient*")
  )
)</f>
        <v/>
      </c>
      <c r="AX463" s="105" t="str">
        <f>IF(A463&lt;&gt;"",COUNTIFS('QA Log'!D:D,A463,'QA Log'!M:M,"Vignette",'QA Log'!L:L,"Vignette [1] Respiratory Infection: Pneumonia",'QA Log'!Z:Z,"Approved"),"")</f>
        <v/>
      </c>
      <c r="AY463" s="105" t="str">
        <f>IF(A463&lt;&gt;"",COUNTIFS('QA Log'!D:D,A463,'QA Log'!M:M,"Vignette",'QA Log'!L:L,"Vignette [2]: Diarrhea with Cat B dehydration",'QA Log'!Z:Z,"Approved"),"")</f>
        <v/>
      </c>
      <c r="AZ463" s="105" t="str">
        <f>IF(A463&lt;&gt;"",COUNTIFS('QA Log'!D:D,A463,'QA Log'!M:M,"Vignette",'QA Log'!L:L,"Vignette [3] Growth Monitoring and Promotion",'QA Log'!Z:Z,"Approved"),"")</f>
        <v/>
      </c>
      <c r="BA463" s="105" t="str">
        <f>IF(A463&lt;&gt;"",COUNTIFS('QA Log'!D:D,A463,'QA Log'!M:M,"Vignette",'QA Log'!L:L,"Vignette [4]: The management of presumptive TB patient",'QA Log'!Z:Z,"Approved"),"")</f>
        <v/>
      </c>
      <c r="BB463" s="102" t="str">
        <f>IF(A463="","",
  SUM(
    COUNTIFS('QA Log'!D:D,A463,'QA Log'!M:M,"Vignette",'QA Log'!Z:Z,"Rejected",'QA Log'!L:L,"*Vignette [1] Respiratory Infection: Pneumonia*"),
    COUNTIFS('QA Log'!D:D,A463,'QA Log'!M:M,"Vignette",'QA Log'!Z:Z,"Rejected",'QA Log'!L:L,"*Vignette [2]: Diarrhea with Cat B dehydration*"),
    COUNTIFS('QA Log'!D:D,A463,'QA Log'!M:M,"Vignette",'QA Log'!Z:Z,"Rejected",'QA Log'!L:L,"*Vignette [3] Growth Monitoring and Promotion*"),
    COUNTIFS('QA Log'!D:D,A463,'QA Log'!M:M,"Vignette",'QA Log'!Z:Z,"Rejected",'QA Log'!L:L,"*Vignette [4]: The management of presumptive TB patient*")
  )
)</f>
        <v/>
      </c>
      <c r="BC463" s="107" t="str">
        <f t="shared" si="35"/>
        <v/>
      </c>
      <c r="BD463" s="103" t="str">
        <f t="shared" si="36"/>
        <v/>
      </c>
      <c r="BE463" s="102" t="str">
        <f>IF(A463="","",SUM(
COUNTIFS('QA Log'!D:D,A463,'QA Log'!M:M,"Vignette",'QA Log'!L:L,"*Vignette [5] Labor*"),
COUNTIFS('QA Log'!D:D,A463,'QA Log'!M:M,"Vignette",'QA Log'!L:L,"*Vignette [6] PNC pre Discharge*"),
COUNTIFS('QA Log'!D:D,A463,'QA Log'!M:M,"Vignette",'QA Log'!L:L,"*Vignette [7] First ANC Visit*"),
COUNTIFS('QA Log'!D:D,A463,'QA Log'!M:M,"Vignette",'QA Log'!L:L,"*Vignette [8] Birth Spacing/ Family Planning :  FP Counselling*"),
COUNTIFS('QA Log'!D:D,A463,'QA Log'!M:M,"Vignette",'QA Log'!L:L,"*Vignette [9] Birth Spacing: Change FP method to Injectable*"),
COUNTIFS('QA Log'!D:D,A463,'QA Log'!M:M,"Vignette",'QA Log'!L:L,"*Vignette [10] Post Partum Haemorrhage - Atonic Uterus at Health Centre*"),
)
)</f>
        <v/>
      </c>
      <c r="BF463" s="102" t="str">
        <f>IF(A463="","",
  SUM(
    COUNTIFS('QA Log'!D:D,A463,'QA Log'!M:M,"Vignette",'QA Log'!Z:Z,"Approved",'QA Log'!L:L,"*Vignette [5] Labor*"),
    COUNTIFS('QA Log'!D:D,A463,'QA Log'!M:M,"Vignette",'QA Log'!Z:Z,"Approved",'QA Log'!L:L,"*Vignette [6] PNC pre Discharge*"),
    COUNTIFS('QA Log'!D:D,A463,'QA Log'!M:M,"Vignette",'QA Log'!Z:Z,"Approved",'QA Log'!L:L,"*Vignette [7] First ANC Visit*"),
    COUNTIFS('QA Log'!D:D,A463,'QA Log'!M:M,"Vignette",'QA Log'!Z:Z,"Approved",'QA Log'!L:L,"*Vignette [8] Birth Spacing/ Family Planning :  FP Counselling*"),
    COUNTIFS('QA Log'!D:D,A463,'QA Log'!M:M,"Vignette",'QA Log'!Z:Z,"Approved",'QA Log'!L:L,"*Vignette [9] Birth Spacing: Change FP method to Injectable*"),
    COUNTIFS('QA Log'!D:D,A463,'QA Log'!M:M,"Vignette",'QA Log'!Z:Z,"Approved",'QA Log'!L:L,"*Vignette [10] Post Partum Haemorrhage - Atonic Uterus at Health Centre*")
  )
)</f>
        <v/>
      </c>
      <c r="BG463" s="105" t="str">
        <f>IF(A463&lt;&gt;"",COUNTIFS('QA Log'!D:D,A463,'QA Log'!M:M,"Vignette",'QA Log'!L:L,"Vignette [5] Labor",'QA Log'!Z:Z,"Approved"),"")</f>
        <v/>
      </c>
      <c r="BH463" s="105" t="str">
        <f>IF(A463&lt;&gt;"",COUNTIFS('QA Log'!D:D,A463,'QA Log'!M:M,"Vignette",'QA Log'!L:L,"Vignette [6] PNC pre Discharge",'QA Log'!Z:Z,"Approved"),"")</f>
        <v/>
      </c>
      <c r="BI463" s="105" t="str">
        <f>IF(A463&lt;&gt;"",COUNTIFS('QA Log'!D:D,A463,'QA Log'!M:M,"Vignette",'QA Log'!L:L,"Vignette [7] First ANC Visit",'QA Log'!Z:Z,"Approved"),"")</f>
        <v/>
      </c>
      <c r="BJ463" s="105" t="str">
        <f>IF(A463&lt;&gt;"",COUNTIFS('QA Log'!D:D,A463,'QA Log'!M:M,"Vignette",'QA Log'!L:L,"Vignette [8] Birth Spacing/ Family Planning :  FP Counselling",'QA Log'!Z:Z,"Approved"),"")</f>
        <v/>
      </c>
      <c r="BK463" s="105" t="str">
        <f>IF(A463&lt;&gt;"",COUNTIFS('QA Log'!D:D,A463,'QA Log'!M:M,"Vignette",'QA Log'!L:L,"Vignette [9] Birth Spacing: Change FP method to Injectable",'QA Log'!Z:Z,"Approved"),"")</f>
        <v/>
      </c>
      <c r="BL463" s="105" t="str">
        <f>IF(A463&lt;&gt;"",COUNTIFS('QA Log'!D:D,A463,'QA Log'!M:M,"Vignette",'QA Log'!L:L,"Vignette [10] Post Partum Haemorrhage - Atonic Uterus at Health Centre",'QA Log'!Z:Z,"Approved"),"")</f>
        <v/>
      </c>
      <c r="BM463" s="102" t="str">
        <f>IF(A463="","",SUM(
    COUNTIFS('QA Log'!D:D,A463,'QA Log'!M:M,"Vignette",'QA Log'!Z:Z,"Rejected",'QA Log'!L:L,"*Vignette [5] Labor*"),
    COUNTIFS('QA Log'!D:D,A463,'QA Log'!M:M,"Vignette",'QA Log'!Z:Z,"Rejected",'QA Log'!L:L,"*Vignette [6] PNC pre Discharge*"),
    COUNTIFS('QA Log'!D:D,A463,'QA Log'!M:M,"Vignette",'QA Log'!Z:Z,"Rejected",'QA Log'!L:L,"*Vignette [7] First ANC Visit*"),
    COUNTIFS('QA Log'!D:D,A463,'QA Log'!M:M,"Vignette",'QA Log'!Z:Z,"Rejected",'QA Log'!L:L,"*Vignette [8] Birth Spacing/ Family Planning :  FP Counselling*"),
    COUNTIFS('QA Log'!D:D,A463,'QA Log'!M:M,"Vignette",'QA Log'!Z:Z,"Rejected",'QA Log'!L:L,"*Vignette [9] Birth Spacing: Change FP method to Injectable*"),
    COUNTIFS('QA Log'!D:D,A463,'QA Log'!M:M,"Vignette",'QA Log'!Z:Z,"Rejected",'QA Log'!L:L,"*Vignette [10] Post Partum Haemorrhage - Atonic Uterus at Health Centre*")
  )
)</f>
        <v/>
      </c>
      <c r="BN463" s="107" t="str">
        <f t="shared" si="37"/>
        <v/>
      </c>
      <c r="BO463" s="103" t="str">
        <f t="shared" si="38"/>
        <v/>
      </c>
      <c r="BP463" s="102" t="str">
        <f>IF(A463="","",SUM(
COUNTIFS('QA Log'!D:D,A463,'QA Log'!M:M,"Vignette",'QA Log'!L:L,"*Exit Interview 1*"),
COUNTIFS('QA Log'!D:D,A463,'QA Log'!M:M,"Vignette",'QA Log'!L:L,"*Exit Interview 2*"),
)
)</f>
        <v/>
      </c>
      <c r="BQ463" s="102" t="str">
        <f>IF(
  A463="","",
  SUM(
    COUNTIFS('QA Log'!D:D,A463,'QA Log'!M:M,"Vignette",'QA Log'!Z:Z,"Approved",'QA Log'!L:L,"*Exit Interview 1*"),
    COUNTIFS('QA Log'!D:D,A463,'QA Log'!M:M,"Vignette",'QA Log'!Z:Z,"Approved",'QA Log'!L:L,"*Exit Interview 2*")
  )
)</f>
        <v/>
      </c>
      <c r="BR463" s="105" t="str">
        <f>IF(A463&lt;&gt;"",COUNTIFS('QA Log'!D:D,A463,'QA Log'!M:M,"Vignette",'QA Log'!L:L,"Exit Interview 1",'QA Log'!Z:Z,"Approved"),"")</f>
        <v/>
      </c>
      <c r="BS463" s="105" t="str">
        <f>IF(A463&lt;&gt;"",COUNTIFS('QA Log'!D:D,A463,'QA Log'!M:M,"Vignette",'QA Log'!L:L,"Exit Interview 2",'QA Log'!Z:Z,"Approved"),"")</f>
        <v/>
      </c>
      <c r="BT463" s="102" t="str">
        <f>IF(
  A463="","",
  SUM(
    COUNTIFS('QA Log'!D:D,A463,'QA Log'!M:M,"Vignette",'QA Log'!Z:Z,"Rejected",'QA Log'!L:L,"*Exit Interview 1*"),
    COUNTIFS('QA Log'!D:D,A463,'QA Log'!M:M,"Vignette",'QA Log'!Z:Z,"Rejected",'QA Log'!L:L,"*Exit Interview 2*")
  )
)</f>
        <v/>
      </c>
      <c r="BU463" s="107" t="str">
        <f t="shared" si="39"/>
        <v/>
      </c>
      <c r="BV463" s="102" t="str">
        <f t="shared" si="40"/>
        <v/>
      </c>
      <c r="BW463" s="102" t="str">
        <f t="shared" si="41"/>
        <v/>
      </c>
      <c r="BX463" s="102" t="str">
        <f t="shared" si="42"/>
        <v/>
      </c>
      <c r="BY463" s="102" t="str">
        <f t="shared" si="43"/>
        <v/>
      </c>
      <c r="BZ463" s="107" t="str">
        <f t="shared" si="44"/>
        <v/>
      </c>
      <c r="CA463" s="108" t="str">
        <f t="shared" si="45"/>
        <v/>
      </c>
      <c r="CB463" s="108" t="str">
        <f t="shared" si="46"/>
        <v/>
      </c>
      <c r="CC463" s="109" t="str">
        <f t="shared" si="47"/>
        <v/>
      </c>
      <c r="CD463" s="108" t="str">
        <f t="shared" si="48"/>
        <v/>
      </c>
      <c r="CE463" s="108" t="str">
        <f t="shared" si="49"/>
        <v/>
      </c>
      <c r="CF463" s="109" t="str">
        <f t="shared" si="50"/>
        <v/>
      </c>
      <c r="CG463" s="110" t="str">
        <f t="shared" si="51"/>
        <v/>
      </c>
      <c r="CH463" s="111"/>
    </row>
    <row r="464" spans="1:86" ht="12.75">
      <c r="A464" s="101"/>
      <c r="B464" s="102" t="e">
        <f t="array" aca="1" ref="B464" ca="1">_xludf.XLOOKUP(A464,'QA Log'!D:D,'QA Log'!E:E,"")</f>
        <v>#NAME?</v>
      </c>
      <c r="C464" s="102" t="e">
        <f t="array" aca="1" ref="C464" ca="1">_xludf.XLOOKUP(A464,'QA Log'!D:D,'QA Log'!F:F,"")</f>
        <v>#NAME?</v>
      </c>
      <c r="D464" s="102" t="e">
        <f t="array" aca="1" ref="D464" ca="1">_xludf.XLOOKUP(A464,'QA Log'!D:D,'QA Log'!H:H,"")</f>
        <v>#NAME?</v>
      </c>
      <c r="E464" s="102" t="e">
        <f t="array" aca="1" ref="E464" ca="1">_xludf.XLOOKUP(A464,'QA Log'!D:D,'QA Log'!G:G,"")</f>
        <v>#NAME?</v>
      </c>
      <c r="F464" s="103"/>
      <c r="G464" s="104"/>
      <c r="H464" s="104"/>
      <c r="I464" s="103" t="str">
        <f t="shared" si="26"/>
        <v/>
      </c>
      <c r="J464" s="102" t="str">
        <f>IF(A464="","",SUM(
COUNTIFS('QA Log'!D:D,A464,'QA Log'!M:M,"QQC",'QA Log'!L:L,"*1. General Management*"),
COUNTIFS('QA Log'!D:D,A464,'QA Log'!M:M,"QQC",'QA Log'!L:L,"*3. Curative Consultation (OPD)*"),
COUNTIFS('QA Log'!D:D,A464,'QA Log'!M:M,"QQC",'QA Log'!L:L,"*5. Laboratory*"),
COUNTIFS('QA Log'!D:D,A464,'QA Log'!M:M,"QQC",'QA Log'!L:L,"*6. Essential Medicine Management*"),
COUNTIFS('QA Log'!D:D,A464,'QA Log'!M:M,"QQC",'QA Log'!L:L,"*7. Tracer Medicine*"),
COUNTIFS('QA Log'!D:D,A464,'QA Log'!M:M,"QQC",'QA Log'!L:L,"*11. Additional Questions*")))</f>
        <v/>
      </c>
      <c r="K464" s="102" t="str">
        <f>IF(A464="","",SUM(
COUNTIFS('QA Log'!D:D,A464,'QA Log'!M:M,"QQC",'QA Log'!Z:Z,"Approved",'QA Log'!L:L,"*1. General Management*"),
COUNTIFS('QA Log'!D:D,A464,'QA Log'!M:M,"QQC",'QA Log'!Z:Z,"Approved",'QA Log'!L:L,"*3. Curative Consultation (OPD)*"),
COUNTIFS('QA Log'!D:D,A464,'QA Log'!M:M,"QQC",'QA Log'!Z:Z,"Approved",'QA Log'!L:L,"*5. Laboratory*"),
COUNTIFS('QA Log'!D:D,A464,'QA Log'!M:M,"QQC",'QA Log'!Z:Z,"Approved",'QA Log'!L:L,"*6. Essential Medicine Management*"),
COUNTIFS('QA Log'!D:D,A464,'QA Log'!M:M,"QQC",'QA Log'!Z:Z,"Approved",'QA Log'!L:L,"*7. Tracer Medicine*"),
COUNTIFS('QA Log'!D:D,A464,'QA Log'!M:M,"QQC",'QA Log'!Z:Z,"Approved",'QA Log'!L:L,"*11. Additional Questions*")))</f>
        <v/>
      </c>
      <c r="L464" s="102" t="str">
        <f>IF(A464&lt;&gt;"",COUNTIFS('QA Log'!D:D,A464,'QA Log'!M:M,"QQC",'QA Log'!L:L,"1. General Management",'QA Log'!Z:Z,"Approved"),"")</f>
        <v/>
      </c>
      <c r="M464" s="102" t="str">
        <f>IF(A464&lt;&gt;"",COUNTIFS('QA Log'!D:D,A464,'QA Log'!M:M,"QQC",'QA Log'!L:L,"3. Curative Consultation (OPD)",'QA Log'!Z:Z,"Approved"),"")</f>
        <v/>
      </c>
      <c r="N464" s="102" t="str">
        <f>IF(A464&lt;&gt;"",COUNTIFS('QA Log'!D:D,A464,'QA Log'!M:M,"QQC",'QA Log'!L:L,"5. Laboratory",'QA Log'!Z:Z,"Approved"),"")</f>
        <v/>
      </c>
      <c r="O464" s="102" t="str">
        <f>IF(A464&lt;&gt;"",COUNTIFS('QA Log'!D:D,A464,'QA Log'!M:M,"QQC",'QA Log'!L:L,"6. Essential Medicine Management",'QA Log'!Z:Z,"Approved"),"")</f>
        <v/>
      </c>
      <c r="P464" s="102" t="str">
        <f>IF(A464&lt;&gt;"",COUNTIFS('QA Log'!D:D,A464,'QA Log'!M:M,"QQC",'QA Log'!L:L,"7. Tracer Medicine",'QA Log'!Z:Z,"Approved"),"")</f>
        <v/>
      </c>
      <c r="Q464" s="102" t="str">
        <f>IF(A464&lt;&gt;"",COUNTIFS('QA Log'!D:D,A464,'QA Log'!M:M,"QQC",'QA Log'!L:L,"11. Additional Questions",'QA Log'!Z:Z,"Approved"),"")</f>
        <v/>
      </c>
      <c r="R464" s="102" t="str">
        <f>IF(A464="","",SUM(
COUNTIFS('QA Log'!D:D,A464,'QA Log'!M:M,"QQC",'QA Log'!Z:Z,"Rejected",'QA Log'!L:L,"*8. Maternity*"),
COUNTIFS('QA Log'!D:D,A464,'QA Log'!M:M,"QQC",'QA Log'!Z:Z,"Rejected",'QA Log'!L:L,"*EPI*"),
COUNTIFS('QA Log'!D:D,A464,'QA Log'!M:M,"QQC",'QA Log'!Z:Z,"Rejected",'QA Log'!L:L,"*10. Antenatal Care (ANC)*"),
COUNTIFS('QA Log'!D:D,A464,'QA Log'!M:M,"QQC",'QA Log'!Z:Z,"Rejected",'QA Log'!L:L,"*2. Hygiene and Sterilization*"),
COUNTIFS('QA Log'!D:D,A464,'QA Log'!M:M,"QQC",'QA Log'!Z:Z,"Rejected",'QA Log'!L:L,"*Family Planning*")))</f>
        <v/>
      </c>
      <c r="S464" s="106" t="str">
        <f t="shared" si="27"/>
        <v/>
      </c>
      <c r="T464" s="102" t="str">
        <f t="shared" si="28"/>
        <v/>
      </c>
      <c r="U464" s="102" t="str">
        <f>IF(A464="","",
SUM(
COUNTIFS('QA Log'!D:D,A464,'QA Log'!M:M,"QQC",'QA Log'!L:L,"*8. Maternity*"),
COUNTIFS('QA Log'!D:D,A464,'QA Log'!M:M,"QQC",'QA Log'!L:L,"*9. EPI and Pre-school Consultation*"),
COUNTIFS('QA Log'!D:D,A464,'QA Log'!M:M,"QQC",'QA Log'!L:L,"*10. Antenatal Care (ANC)*"),
COUNTIFS('QA Log'!D:D,A464,'QA Log'!M:M,"QQC",'QA Log'!L:L,"*2. Hygiene and Sterilization*"),
COUNTIFS('QA Log'!D:D,A464,'QA Log'!M:M,"QQC",'QA Log'!L:L,"*4. Family Planning*")
))</f>
        <v/>
      </c>
      <c r="V464" s="102" t="str">
        <f>IF(A464="","",
SUM(
COUNTIFS('QA Log'!D:D,A464,'QA Log'!M:M,"QQC",'QA Log'!Z:Z,"Approved",'QA Log'!L:L,"*8. Maternity*"),
COUNTIFS('QA Log'!D:D,A464,'QA Log'!M:M,"QQC",'QA Log'!Z:Z,"Approved",'QA Log'!L:L,"*9. EPI and Pre-school Consultation*"),
COUNTIFS('QA Log'!D:D,A464,'QA Log'!M:M,"QQC",'QA Log'!Z:Z,"Approved",'QA Log'!L:L,"*10. Antenatal Care (ANC)*"),
COUNTIFS('QA Log'!D:D,A464,'QA Log'!M:M,"QQC",'QA Log'!Z:Z,"Approved",'QA Log'!L:L,"*2. Hygiene and Sterilization*"),
COUNTIFS('QA Log'!D:D,A464,'QA Log'!M:M,"QQC",'QA Log'!Z:Z,"Approved",'QA Log'!L:L,"*4. Family Planning*")
))</f>
        <v/>
      </c>
      <c r="W464" s="102" t="str">
        <f>IF(A464&lt;&gt;"",COUNTIFS('QA Log'!D:D,A464,'QA Log'!M:M,"QQC",'QA Log'!L:L,"8. Maternity",'QA Log'!Z:Z,"Approved"),"")</f>
        <v/>
      </c>
      <c r="X464" s="105" t="str">
        <f>IF(A464&lt;&gt;"",COUNTIFS('QA Log'!D:D,A464,'QA Log'!M:M,"QQC",'QA Log'!L:L,"9. EPI and Pre-school Consultation",'QA Log'!Z:Z,"Approved"),"")</f>
        <v/>
      </c>
      <c r="Y464" s="102" t="str">
        <f>IF(A464&lt;&gt;"",COUNTIFS('QA Log'!D:D,A464,'QA Log'!M:M,"QQC",'QA Log'!L:L,"10. Antenatal Care (ANC)",'QA Log'!Z:Z,"Approved"),"")</f>
        <v/>
      </c>
      <c r="Z464" s="102" t="str">
        <f>IF(A464&lt;&gt;"",COUNTIFS('QA Log'!D:D,A464,'QA Log'!M:M,"QQC",'QA Log'!L:L,"2. Hygiene and Sterilization",'QA Log'!Z:Z,"Approved"),"")</f>
        <v/>
      </c>
      <c r="AA464" s="105" t="str">
        <f>IF(A464&lt;&gt;"",COUNTIFS('QA Log'!D:D,A464,'QA Log'!M:M,"QQC",'QA Log'!L:L,"4. Family Planning",'QA Log'!Z:Z,"Approved"),"")</f>
        <v/>
      </c>
      <c r="AB464" s="102" t="str">
        <f>IF(A464="","",
SUM(
COUNTIFS('QA Log'!D:D,A464,'QA Log'!M:M,"QQC",'QA Log'!Z:Z,"Rejected",'QA Log'!L:L,"*8. Maternity*"),
COUNTIFS('QA Log'!D:D,A464,'QA Log'!M:M,"QQC",'QA Log'!Z:Z,"Rejected",'QA Log'!L:L,"*9. EPI and Pre-school Consultation*"),
COUNTIFS('QA Log'!D:D,A464,'QA Log'!M:M,"QQC",'QA Log'!Z:Z,"Rejected",'QA Log'!L:L,"*10. Antenatal Care (ANC)*"),
COUNTIFS('QA Log'!D:D,A464,'QA Log'!M:M,"QQC",'QA Log'!Z:Z,"Rejected",'QA Log'!L:L,"*2. Hygiene and Sterilization*"),
COUNTIFS('QA Log'!D:D,A464,'QA Log'!M:M,"QQC",'QA Log'!Z:Z,"Rejected",'QA Log'!L:L,"*4. Family Planning*")
))</f>
        <v/>
      </c>
      <c r="AC464" s="102" t="str">
        <f t="shared" si="29"/>
        <v/>
      </c>
      <c r="AD464" s="103" t="str">
        <f t="shared" si="30"/>
        <v/>
      </c>
      <c r="AE464" s="102" t="str">
        <f>IF(A464="","",
SUM(
COUNTIFS('QA Log'!D:D,A464,'QA Log'!M:M,"Data Verification",'QA Log'!L:L,"*Medicine (section 2)*"),
COUNTIFS('QA Log'!D:D,A464,'QA Log'!M:M,"Data Verification",'QA Log'!L:L,"*Lab Testing Availability*"),
COUNTIFS('QA Log'!D:D,A464,'QA Log'!M:M,"Data Verification",'QA Log'!L:L,"*Other than P4P (section 6)*"),
COUNTIFS('QA Log'!D:D,A464,'QA Log'!M:M,"Data Verification",'QA Log'!L:L,"*Hospital Governance*")
))</f>
        <v/>
      </c>
      <c r="AF464" s="102" t="str">
        <f>IF(A464="","",
SUM(
COUNTIFS('QA Log'!D:D,A464,'QA Log'!M:M,"Data Verification",'QA Log'!Z:Z,"Approved",'QA Log'!L:L,"*Medicine (section 2)*"),
COUNTIFS('QA Log'!D:D,A464,'QA Log'!M:M,"Data Verification",'QA Log'!Z:Z,"Approved",'QA Log'!L:L,"*Lab Testing Availability*"),
COUNTIFS('QA Log'!D:D,A464,'QA Log'!M:M,"Data Verification",'QA Log'!Z:Z,"Approved",'QA Log'!L:L,"*Other than P4P (section 6)*"),
COUNTIFS('QA Log'!D:D,A464,'QA Log'!M:M,"Data Verification",'QA Log'!Z:Z,"Approved",'QA Log'!L:L,"*Hospital Governance*")
))</f>
        <v/>
      </c>
      <c r="AG464" s="105" t="str">
        <f>IF(A464&lt;&gt;"",COUNTIFS('QA Log'!D:D,A464,'QA Log'!M:M,"Data Verification",'QA Log'!L:L,"Medicine (section 2)",'QA Log'!Z:Z,"Approved"),"")</f>
        <v/>
      </c>
      <c r="AH464" s="105" t="str">
        <f>IF(A464&lt;&gt;"",COUNTIFS('QA Log'!D:D,A464,'QA Log'!M:M,"Data Verification",'QA Log'!L:L,"Lab Testing Availability",'QA Log'!Z:Z,"Approved"),"")</f>
        <v/>
      </c>
      <c r="AI464" s="105" t="str">
        <f>IF(A464&lt;&gt;"",COUNTIFS('QA Log'!D:D,A464,'QA Log'!M:M,"Data Verification",'QA Log'!L:L,"Other than P4P (section 6)",'QA Log'!Z:Z,"Approved"),"")</f>
        <v/>
      </c>
      <c r="AJ464" s="105" t="str">
        <f>IF(A464&lt;&gt;"",COUNTIFS('QA Log'!D:D,A464,'QA Log'!M:M,"Data Verification",'QA Log'!L:L,"Hospital Governance",'QA Log'!Z:Z,"Approved"),"")</f>
        <v/>
      </c>
      <c r="AK464" s="102" t="str">
        <f>IF(A464="","",
SUM(
COUNTIFS('QA Log'!D:D,A464,'QA Log'!M:M,"Data Verification",'QA Log'!Z:Z,"Rejected",'QA Log'!L:L,"*Medicine (section 2)*"),
COUNTIFS('QA Log'!D:D,A464,'QA Log'!M:M,"Data Verification",'QA Log'!Z:Z,"Rejected",'QA Log'!L:L,"*Lab Testing Availability*"),
COUNTIFS('QA Log'!D:D,A464,'QA Log'!M:M,"Data Verification",'QA Log'!Z:Z,"Rejected",'QA Log'!L:L,"*Other than P4P (section 6)*"),
COUNTIFS('QA Log'!D:D,A464,'QA Log'!M:M,"Data Verification",'QA Log'!Z:Z,"Rejected",'QA Log'!L:L,"*Hospital Governance*")
))</f>
        <v/>
      </c>
      <c r="AL464" s="106" t="str">
        <f t="shared" si="31"/>
        <v/>
      </c>
      <c r="AM464" s="102" t="str">
        <f t="shared" si="32"/>
        <v/>
      </c>
      <c r="AN464" s="102" t="str">
        <f>IF(A464="","",
SUM(
COUNTIFS('QA Log'!D:D,A464,'QA Log'!M:M,"Data Verification",'QA Log'!L:L,"*Personnel (section 1)*"),
COUNTIFS('QA Log'!D:D,A464,'QA Log'!M:M,"Data Verification",'QA Log'!L:L,"*Consumable (section 3)*"),
COUNTIFS('QA Log'!D:D,A464,'QA Log'!M:M,"Data Verification",'QA Log'!L:L,"*Equipments (section 4)*")
))</f>
        <v/>
      </c>
      <c r="AO464" s="102" t="str">
        <f>IF(A464="","",
SUM(
COUNTIFS('QA Log'!D:D,A464,'QA Log'!M:M,"Data Verification",'QA Log'!Z:Z,"Approved",'QA Log'!L:L,"*Personnel (section 1)*"),
COUNTIFS('QA Log'!D:D,A464,'QA Log'!M:M,"Data Verification",'QA Log'!Z:Z,"Approved",'QA Log'!L:L,"*Consumable (section 3)*"),
COUNTIFS('QA Log'!D:D,A464,'QA Log'!M:M,"Data Verification",'QA Log'!Z:Z,"Approved",'QA Log'!L:L,"*Equipments (section 4)*")
))</f>
        <v/>
      </c>
      <c r="AP464" s="105" t="str">
        <f>IF(A464&lt;&gt;"",COUNTIFS('QA Log'!D:D,A464,'QA Log'!M:M,"Data Verification",'QA Log'!L:L,"Personnel (section 1)",'QA Log'!Z:Z,"Approved"),"")</f>
        <v/>
      </c>
      <c r="AQ464" s="105" t="str">
        <f>IF(A464&lt;&gt;"",COUNTIFS('QA Log'!D:D,A464,'QA Log'!M:M,"Data Verification",'QA Log'!L:L,"Consumable (section 3)",'QA Log'!Z:Z,"Approved"),"")</f>
        <v/>
      </c>
      <c r="AR464" s="105" t="str">
        <f>IF(A464&lt;&gt;"",COUNTIFS('QA Log'!D:D,A464,'QA Log'!M:M,"Data Verification",'QA Log'!L:L,"Equipments (section 4)",'QA Log'!Z:Z,"Approved"),"")</f>
        <v/>
      </c>
      <c r="AS464" s="102" t="str">
        <f>IF(A464="","",
SUM(
COUNTIFS('QA Log'!D:D,A464,'QA Log'!M:M,"Data Verification",'QA Log'!Z:Z,"Rejected",'QA Log'!L:L,"*Personnel (section 1)*"),
COUNTIFS('QA Log'!D:D,A464,'QA Log'!M:M,"Data Verification",'QA Log'!Z:Z,"Rejected",'QA Log'!L:L,"*Consumable (section 3)*"),
COUNTIFS('QA Log'!D:D,A464,'QA Log'!M:M,"Data Verification",'QA Log'!Z:Z,"Rejected",'QA Log'!L:L,"*Equipments (section 4)*")
))</f>
        <v/>
      </c>
      <c r="AT464" s="102" t="str">
        <f t="shared" si="33"/>
        <v/>
      </c>
      <c r="AU464" s="103" t="str">
        <f t="shared" si="34"/>
        <v/>
      </c>
      <c r="AV464" s="102" t="str">
        <f>IF(A464="","",SUM(
COUNTIFS('QA Log'!D:D,A464,'QA Log'!M:M,"Vignette",'QA Log'!L:L,"*Vignette [1] Respiratory Infection: Pneumonia*"),
COUNTIFS('QA Log'!D:D,A464,'QA Log'!M:M,"Vignette",'QA Log'!L:L,"*Vignette [2]: Diarrhea with Cat B dehydration*"),
COUNTIFS('QA Log'!D:D,A464,'QA Log'!M:M,"Vignette",'QA Log'!L:L,"*Vignette [3] Growth Monitoring and Promotion*"),
COUNTIFS('QA Log'!D:D,A464,'QA Log'!M:M,"Vignette",'QA Log'!L:L,"*Vignette [4]: The management of presumptive TB patient*")
)
)</f>
        <v/>
      </c>
      <c r="AW464" s="102" t="str">
        <f>IF(
  A464="","",
  SUM(
    COUNTIFS('QA Log'!D:D,A464,'QA Log'!M:M,"Vignette",'QA Log'!Z:Z,"Approved",'QA Log'!L:L,"*Vignette [1] Respiratory Infection: Pneumonia*"),
    COUNTIFS('QA Log'!D:D,A464,'QA Log'!M:M,"Vignette",'QA Log'!Z:Z,"Approved",'QA Log'!L:L,"*Vignette [2]: Diarrhea with Cat B dehydration*"),
    COUNTIFS('QA Log'!D:D,A464,'QA Log'!M:M,"Vignette",'QA Log'!Z:Z,"Approved",'QA Log'!L:L,"*Vignette [3] Growth Monitoring and Promotion*"),
    COUNTIFS('QA Log'!D:D,A464,'QA Log'!M:M,"Vignette",'QA Log'!Z:Z,"Approved",'QA Log'!L:L,"*Vignette [4]: The management of presumptive TB patient*")
  )
)</f>
        <v/>
      </c>
      <c r="AX464" s="105" t="str">
        <f>IF(A464&lt;&gt;"",COUNTIFS('QA Log'!D:D,A464,'QA Log'!M:M,"Vignette",'QA Log'!L:L,"Vignette [1] Respiratory Infection: Pneumonia",'QA Log'!Z:Z,"Approved"),"")</f>
        <v/>
      </c>
      <c r="AY464" s="105" t="str">
        <f>IF(A464&lt;&gt;"",COUNTIFS('QA Log'!D:D,A464,'QA Log'!M:M,"Vignette",'QA Log'!L:L,"Vignette [2]: Diarrhea with Cat B dehydration",'QA Log'!Z:Z,"Approved"),"")</f>
        <v/>
      </c>
      <c r="AZ464" s="105" t="str">
        <f>IF(A464&lt;&gt;"",COUNTIFS('QA Log'!D:D,A464,'QA Log'!M:M,"Vignette",'QA Log'!L:L,"Vignette [3] Growth Monitoring and Promotion",'QA Log'!Z:Z,"Approved"),"")</f>
        <v/>
      </c>
      <c r="BA464" s="105" t="str">
        <f>IF(A464&lt;&gt;"",COUNTIFS('QA Log'!D:D,A464,'QA Log'!M:M,"Vignette",'QA Log'!L:L,"Vignette [4]: The management of presumptive TB patient",'QA Log'!Z:Z,"Approved"),"")</f>
        <v/>
      </c>
      <c r="BB464" s="102" t="str">
        <f>IF(A464="","",
  SUM(
    COUNTIFS('QA Log'!D:D,A464,'QA Log'!M:M,"Vignette",'QA Log'!Z:Z,"Rejected",'QA Log'!L:L,"*Vignette [1] Respiratory Infection: Pneumonia*"),
    COUNTIFS('QA Log'!D:D,A464,'QA Log'!M:M,"Vignette",'QA Log'!Z:Z,"Rejected",'QA Log'!L:L,"*Vignette [2]: Diarrhea with Cat B dehydration*"),
    COUNTIFS('QA Log'!D:D,A464,'QA Log'!M:M,"Vignette",'QA Log'!Z:Z,"Rejected",'QA Log'!L:L,"*Vignette [3] Growth Monitoring and Promotion*"),
    COUNTIFS('QA Log'!D:D,A464,'QA Log'!M:M,"Vignette",'QA Log'!Z:Z,"Rejected",'QA Log'!L:L,"*Vignette [4]: The management of presumptive TB patient*")
  )
)</f>
        <v/>
      </c>
      <c r="BC464" s="107" t="str">
        <f t="shared" si="35"/>
        <v/>
      </c>
      <c r="BD464" s="103" t="str">
        <f t="shared" si="36"/>
        <v/>
      </c>
      <c r="BE464" s="102" t="str">
        <f>IF(A464="","",SUM(
COUNTIFS('QA Log'!D:D,A464,'QA Log'!M:M,"Vignette",'QA Log'!L:L,"*Vignette [5] Labor*"),
COUNTIFS('QA Log'!D:D,A464,'QA Log'!M:M,"Vignette",'QA Log'!L:L,"*Vignette [6] PNC pre Discharge*"),
COUNTIFS('QA Log'!D:D,A464,'QA Log'!M:M,"Vignette",'QA Log'!L:L,"*Vignette [7] First ANC Visit*"),
COUNTIFS('QA Log'!D:D,A464,'QA Log'!M:M,"Vignette",'QA Log'!L:L,"*Vignette [8] Birth Spacing/ Family Planning :  FP Counselling*"),
COUNTIFS('QA Log'!D:D,A464,'QA Log'!M:M,"Vignette",'QA Log'!L:L,"*Vignette [9] Birth Spacing: Change FP method to Injectable*"),
COUNTIFS('QA Log'!D:D,A464,'QA Log'!M:M,"Vignette",'QA Log'!L:L,"*Vignette [10] Post Partum Haemorrhage - Atonic Uterus at Health Centre*"),
)
)</f>
        <v/>
      </c>
      <c r="BF464" s="102" t="str">
        <f>IF(A464="","",
  SUM(
    COUNTIFS('QA Log'!D:D,A464,'QA Log'!M:M,"Vignette",'QA Log'!Z:Z,"Approved",'QA Log'!L:L,"*Vignette [5] Labor*"),
    COUNTIFS('QA Log'!D:D,A464,'QA Log'!M:M,"Vignette",'QA Log'!Z:Z,"Approved",'QA Log'!L:L,"*Vignette [6] PNC pre Discharge*"),
    COUNTIFS('QA Log'!D:D,A464,'QA Log'!M:M,"Vignette",'QA Log'!Z:Z,"Approved",'QA Log'!L:L,"*Vignette [7] First ANC Visit*"),
    COUNTIFS('QA Log'!D:D,A464,'QA Log'!M:M,"Vignette",'QA Log'!Z:Z,"Approved",'QA Log'!L:L,"*Vignette [8] Birth Spacing/ Family Planning :  FP Counselling*"),
    COUNTIFS('QA Log'!D:D,A464,'QA Log'!M:M,"Vignette",'QA Log'!Z:Z,"Approved",'QA Log'!L:L,"*Vignette [9] Birth Spacing: Change FP method to Injectable*"),
    COUNTIFS('QA Log'!D:D,A464,'QA Log'!M:M,"Vignette",'QA Log'!Z:Z,"Approved",'QA Log'!L:L,"*Vignette [10] Post Partum Haemorrhage - Atonic Uterus at Health Centre*")
  )
)</f>
        <v/>
      </c>
      <c r="BG464" s="105" t="str">
        <f>IF(A464&lt;&gt;"",COUNTIFS('QA Log'!D:D,A464,'QA Log'!M:M,"Vignette",'QA Log'!L:L,"Vignette [5] Labor",'QA Log'!Z:Z,"Approved"),"")</f>
        <v/>
      </c>
      <c r="BH464" s="105" t="str">
        <f>IF(A464&lt;&gt;"",COUNTIFS('QA Log'!D:D,A464,'QA Log'!M:M,"Vignette",'QA Log'!L:L,"Vignette [6] PNC pre Discharge",'QA Log'!Z:Z,"Approved"),"")</f>
        <v/>
      </c>
      <c r="BI464" s="105" t="str">
        <f>IF(A464&lt;&gt;"",COUNTIFS('QA Log'!D:D,A464,'QA Log'!M:M,"Vignette",'QA Log'!L:L,"Vignette [7] First ANC Visit",'QA Log'!Z:Z,"Approved"),"")</f>
        <v/>
      </c>
      <c r="BJ464" s="105" t="str">
        <f>IF(A464&lt;&gt;"",COUNTIFS('QA Log'!D:D,A464,'QA Log'!M:M,"Vignette",'QA Log'!L:L,"Vignette [8] Birth Spacing/ Family Planning :  FP Counselling",'QA Log'!Z:Z,"Approved"),"")</f>
        <v/>
      </c>
      <c r="BK464" s="105" t="str">
        <f>IF(A464&lt;&gt;"",COUNTIFS('QA Log'!D:D,A464,'QA Log'!M:M,"Vignette",'QA Log'!L:L,"Vignette [9] Birth Spacing: Change FP method to Injectable",'QA Log'!Z:Z,"Approved"),"")</f>
        <v/>
      </c>
      <c r="BL464" s="105" t="str">
        <f>IF(A464&lt;&gt;"",COUNTIFS('QA Log'!D:D,A464,'QA Log'!M:M,"Vignette",'QA Log'!L:L,"Vignette [10] Post Partum Haemorrhage - Atonic Uterus at Health Centre",'QA Log'!Z:Z,"Approved"),"")</f>
        <v/>
      </c>
      <c r="BM464" s="102" t="str">
        <f>IF(A464="","",SUM(
    COUNTIFS('QA Log'!D:D,A464,'QA Log'!M:M,"Vignette",'QA Log'!Z:Z,"Rejected",'QA Log'!L:L,"*Vignette [5] Labor*"),
    COUNTIFS('QA Log'!D:D,A464,'QA Log'!M:M,"Vignette",'QA Log'!Z:Z,"Rejected",'QA Log'!L:L,"*Vignette [6] PNC pre Discharge*"),
    COUNTIFS('QA Log'!D:D,A464,'QA Log'!M:M,"Vignette",'QA Log'!Z:Z,"Rejected",'QA Log'!L:L,"*Vignette [7] First ANC Visit*"),
    COUNTIFS('QA Log'!D:D,A464,'QA Log'!M:M,"Vignette",'QA Log'!Z:Z,"Rejected",'QA Log'!L:L,"*Vignette [8] Birth Spacing/ Family Planning :  FP Counselling*"),
    COUNTIFS('QA Log'!D:D,A464,'QA Log'!M:M,"Vignette",'QA Log'!Z:Z,"Rejected",'QA Log'!L:L,"*Vignette [9] Birth Spacing: Change FP method to Injectable*"),
    COUNTIFS('QA Log'!D:D,A464,'QA Log'!M:M,"Vignette",'QA Log'!Z:Z,"Rejected",'QA Log'!L:L,"*Vignette [10] Post Partum Haemorrhage - Atonic Uterus at Health Centre*")
  )
)</f>
        <v/>
      </c>
      <c r="BN464" s="107" t="str">
        <f t="shared" si="37"/>
        <v/>
      </c>
      <c r="BO464" s="103" t="str">
        <f t="shared" si="38"/>
        <v/>
      </c>
      <c r="BP464" s="102" t="str">
        <f>IF(A464="","",SUM(
COUNTIFS('QA Log'!D:D,A464,'QA Log'!M:M,"Vignette",'QA Log'!L:L,"*Exit Interview 1*"),
COUNTIFS('QA Log'!D:D,A464,'QA Log'!M:M,"Vignette",'QA Log'!L:L,"*Exit Interview 2*"),
)
)</f>
        <v/>
      </c>
      <c r="BQ464" s="102" t="str">
        <f>IF(
  A464="","",
  SUM(
    COUNTIFS('QA Log'!D:D,A464,'QA Log'!M:M,"Vignette",'QA Log'!Z:Z,"Approved",'QA Log'!L:L,"*Exit Interview 1*"),
    COUNTIFS('QA Log'!D:D,A464,'QA Log'!M:M,"Vignette",'QA Log'!Z:Z,"Approved",'QA Log'!L:L,"*Exit Interview 2*")
  )
)</f>
        <v/>
      </c>
      <c r="BR464" s="105" t="str">
        <f>IF(A464&lt;&gt;"",COUNTIFS('QA Log'!D:D,A464,'QA Log'!M:M,"Vignette",'QA Log'!L:L,"Exit Interview 1",'QA Log'!Z:Z,"Approved"),"")</f>
        <v/>
      </c>
      <c r="BS464" s="105" t="str">
        <f>IF(A464&lt;&gt;"",COUNTIFS('QA Log'!D:D,A464,'QA Log'!M:M,"Vignette",'QA Log'!L:L,"Exit Interview 2",'QA Log'!Z:Z,"Approved"),"")</f>
        <v/>
      </c>
      <c r="BT464" s="102" t="str">
        <f>IF(
  A464="","",
  SUM(
    COUNTIFS('QA Log'!D:D,A464,'QA Log'!M:M,"Vignette",'QA Log'!Z:Z,"Rejected",'QA Log'!L:L,"*Exit Interview 1*"),
    COUNTIFS('QA Log'!D:D,A464,'QA Log'!M:M,"Vignette",'QA Log'!Z:Z,"Rejected",'QA Log'!L:L,"*Exit Interview 2*")
  )
)</f>
        <v/>
      </c>
      <c r="BU464" s="107" t="str">
        <f t="shared" si="39"/>
        <v/>
      </c>
      <c r="BV464" s="102" t="str">
        <f t="shared" si="40"/>
        <v/>
      </c>
      <c r="BW464" s="102" t="str">
        <f t="shared" si="41"/>
        <v/>
      </c>
      <c r="BX464" s="102" t="str">
        <f t="shared" si="42"/>
        <v/>
      </c>
      <c r="BY464" s="102" t="str">
        <f t="shared" si="43"/>
        <v/>
      </c>
      <c r="BZ464" s="107" t="str">
        <f t="shared" si="44"/>
        <v/>
      </c>
      <c r="CA464" s="108" t="str">
        <f t="shared" si="45"/>
        <v/>
      </c>
      <c r="CB464" s="108" t="str">
        <f t="shared" si="46"/>
        <v/>
      </c>
      <c r="CC464" s="109" t="str">
        <f t="shared" si="47"/>
        <v/>
      </c>
      <c r="CD464" s="108" t="str">
        <f t="shared" si="48"/>
        <v/>
      </c>
      <c r="CE464" s="108" t="str">
        <f t="shared" si="49"/>
        <v/>
      </c>
      <c r="CF464" s="109" t="str">
        <f t="shared" si="50"/>
        <v/>
      </c>
      <c r="CG464" s="110" t="str">
        <f t="shared" si="51"/>
        <v/>
      </c>
      <c r="CH464" s="111"/>
    </row>
    <row r="465" spans="1:86" ht="12.75">
      <c r="A465" s="101"/>
      <c r="B465" s="102" t="e">
        <f t="array" aca="1" ref="B465" ca="1">_xludf.XLOOKUP(A465,'QA Log'!D:D,'QA Log'!E:E,"")</f>
        <v>#NAME?</v>
      </c>
      <c r="C465" s="102" t="e">
        <f t="array" aca="1" ref="C465" ca="1">_xludf.XLOOKUP(A465,'QA Log'!D:D,'QA Log'!F:F,"")</f>
        <v>#NAME?</v>
      </c>
      <c r="D465" s="102" t="e">
        <f t="array" aca="1" ref="D465" ca="1">_xludf.XLOOKUP(A465,'QA Log'!D:D,'QA Log'!H:H,"")</f>
        <v>#NAME?</v>
      </c>
      <c r="E465" s="102" t="e">
        <f t="array" aca="1" ref="E465" ca="1">_xludf.XLOOKUP(A465,'QA Log'!D:D,'QA Log'!G:G,"")</f>
        <v>#NAME?</v>
      </c>
      <c r="F465" s="103"/>
      <c r="G465" s="104"/>
      <c r="H465" s="104"/>
      <c r="I465" s="103" t="str">
        <f t="shared" si="26"/>
        <v/>
      </c>
      <c r="J465" s="102" t="str">
        <f>IF(A465="","",SUM(
COUNTIFS('QA Log'!D:D,A465,'QA Log'!M:M,"QQC",'QA Log'!L:L,"*1. General Management*"),
COUNTIFS('QA Log'!D:D,A465,'QA Log'!M:M,"QQC",'QA Log'!L:L,"*3. Curative Consultation (OPD)*"),
COUNTIFS('QA Log'!D:D,A465,'QA Log'!M:M,"QQC",'QA Log'!L:L,"*5. Laboratory*"),
COUNTIFS('QA Log'!D:D,A465,'QA Log'!M:M,"QQC",'QA Log'!L:L,"*6. Essential Medicine Management*"),
COUNTIFS('QA Log'!D:D,A465,'QA Log'!M:M,"QQC",'QA Log'!L:L,"*7. Tracer Medicine*"),
COUNTIFS('QA Log'!D:D,A465,'QA Log'!M:M,"QQC",'QA Log'!L:L,"*11. Additional Questions*")))</f>
        <v/>
      </c>
      <c r="K465" s="102" t="str">
        <f>IF(A465="","",SUM(
COUNTIFS('QA Log'!D:D,A465,'QA Log'!M:M,"QQC",'QA Log'!Z:Z,"Approved",'QA Log'!L:L,"*1. General Management*"),
COUNTIFS('QA Log'!D:D,A465,'QA Log'!M:M,"QQC",'QA Log'!Z:Z,"Approved",'QA Log'!L:L,"*3. Curative Consultation (OPD)*"),
COUNTIFS('QA Log'!D:D,A465,'QA Log'!M:M,"QQC",'QA Log'!Z:Z,"Approved",'QA Log'!L:L,"*5. Laboratory*"),
COUNTIFS('QA Log'!D:D,A465,'QA Log'!M:M,"QQC",'QA Log'!Z:Z,"Approved",'QA Log'!L:L,"*6. Essential Medicine Management*"),
COUNTIFS('QA Log'!D:D,A465,'QA Log'!M:M,"QQC",'QA Log'!Z:Z,"Approved",'QA Log'!L:L,"*7. Tracer Medicine*"),
COUNTIFS('QA Log'!D:D,A465,'QA Log'!M:M,"QQC",'QA Log'!Z:Z,"Approved",'QA Log'!L:L,"*11. Additional Questions*")))</f>
        <v/>
      </c>
      <c r="L465" s="102" t="str">
        <f>IF(A465&lt;&gt;"",COUNTIFS('QA Log'!D:D,A465,'QA Log'!M:M,"QQC",'QA Log'!L:L,"1. General Management",'QA Log'!Z:Z,"Approved"),"")</f>
        <v/>
      </c>
      <c r="M465" s="102" t="str">
        <f>IF(A465&lt;&gt;"",COUNTIFS('QA Log'!D:D,A465,'QA Log'!M:M,"QQC",'QA Log'!L:L,"3. Curative Consultation (OPD)",'QA Log'!Z:Z,"Approved"),"")</f>
        <v/>
      </c>
      <c r="N465" s="102" t="str">
        <f>IF(A465&lt;&gt;"",COUNTIFS('QA Log'!D:D,A465,'QA Log'!M:M,"QQC",'QA Log'!L:L,"5. Laboratory",'QA Log'!Z:Z,"Approved"),"")</f>
        <v/>
      </c>
      <c r="O465" s="102" t="str">
        <f>IF(A465&lt;&gt;"",COUNTIFS('QA Log'!D:D,A465,'QA Log'!M:M,"QQC",'QA Log'!L:L,"6. Essential Medicine Management",'QA Log'!Z:Z,"Approved"),"")</f>
        <v/>
      </c>
      <c r="P465" s="102" t="str">
        <f>IF(A465&lt;&gt;"",COUNTIFS('QA Log'!D:D,A465,'QA Log'!M:M,"QQC",'QA Log'!L:L,"7. Tracer Medicine",'QA Log'!Z:Z,"Approved"),"")</f>
        <v/>
      </c>
      <c r="Q465" s="102" t="str">
        <f>IF(A465&lt;&gt;"",COUNTIFS('QA Log'!D:D,A465,'QA Log'!M:M,"QQC",'QA Log'!L:L,"11. Additional Questions",'QA Log'!Z:Z,"Approved"),"")</f>
        <v/>
      </c>
      <c r="R465" s="102" t="str">
        <f>IF(A465="","",SUM(
COUNTIFS('QA Log'!D:D,A465,'QA Log'!M:M,"QQC",'QA Log'!Z:Z,"Rejected",'QA Log'!L:L,"*8. Maternity*"),
COUNTIFS('QA Log'!D:D,A465,'QA Log'!M:M,"QQC",'QA Log'!Z:Z,"Rejected",'QA Log'!L:L,"*EPI*"),
COUNTIFS('QA Log'!D:D,A465,'QA Log'!M:M,"QQC",'QA Log'!Z:Z,"Rejected",'QA Log'!L:L,"*10. Antenatal Care (ANC)*"),
COUNTIFS('QA Log'!D:D,A465,'QA Log'!M:M,"QQC",'QA Log'!Z:Z,"Rejected",'QA Log'!L:L,"*2. Hygiene and Sterilization*"),
COUNTIFS('QA Log'!D:D,A465,'QA Log'!M:M,"QQC",'QA Log'!Z:Z,"Rejected",'QA Log'!L:L,"*Family Planning*")))</f>
        <v/>
      </c>
      <c r="S465" s="106" t="str">
        <f t="shared" si="27"/>
        <v/>
      </c>
      <c r="T465" s="102" t="str">
        <f t="shared" si="28"/>
        <v/>
      </c>
      <c r="U465" s="102" t="str">
        <f>IF(A465="","",
SUM(
COUNTIFS('QA Log'!D:D,A465,'QA Log'!M:M,"QQC",'QA Log'!L:L,"*8. Maternity*"),
COUNTIFS('QA Log'!D:D,A465,'QA Log'!M:M,"QQC",'QA Log'!L:L,"*9. EPI and Pre-school Consultation*"),
COUNTIFS('QA Log'!D:D,A465,'QA Log'!M:M,"QQC",'QA Log'!L:L,"*10. Antenatal Care (ANC)*"),
COUNTIFS('QA Log'!D:D,A465,'QA Log'!M:M,"QQC",'QA Log'!L:L,"*2. Hygiene and Sterilization*"),
COUNTIFS('QA Log'!D:D,A465,'QA Log'!M:M,"QQC",'QA Log'!L:L,"*4. Family Planning*")
))</f>
        <v/>
      </c>
      <c r="V465" s="102" t="str">
        <f>IF(A465="","",
SUM(
COUNTIFS('QA Log'!D:D,A465,'QA Log'!M:M,"QQC",'QA Log'!Z:Z,"Approved",'QA Log'!L:L,"*8. Maternity*"),
COUNTIFS('QA Log'!D:D,A465,'QA Log'!M:M,"QQC",'QA Log'!Z:Z,"Approved",'QA Log'!L:L,"*9. EPI and Pre-school Consultation*"),
COUNTIFS('QA Log'!D:D,A465,'QA Log'!M:M,"QQC",'QA Log'!Z:Z,"Approved",'QA Log'!L:L,"*10. Antenatal Care (ANC)*"),
COUNTIFS('QA Log'!D:D,A465,'QA Log'!M:M,"QQC",'QA Log'!Z:Z,"Approved",'QA Log'!L:L,"*2. Hygiene and Sterilization*"),
COUNTIFS('QA Log'!D:D,A465,'QA Log'!M:M,"QQC",'QA Log'!Z:Z,"Approved",'QA Log'!L:L,"*4. Family Planning*")
))</f>
        <v/>
      </c>
      <c r="W465" s="102" t="str">
        <f>IF(A465&lt;&gt;"",COUNTIFS('QA Log'!D:D,A465,'QA Log'!M:M,"QQC",'QA Log'!L:L,"8. Maternity",'QA Log'!Z:Z,"Approved"),"")</f>
        <v/>
      </c>
      <c r="X465" s="105" t="str">
        <f>IF(A465&lt;&gt;"",COUNTIFS('QA Log'!D:D,A465,'QA Log'!M:M,"QQC",'QA Log'!L:L,"9. EPI and Pre-school Consultation",'QA Log'!Z:Z,"Approved"),"")</f>
        <v/>
      </c>
      <c r="Y465" s="102" t="str">
        <f>IF(A465&lt;&gt;"",COUNTIFS('QA Log'!D:D,A465,'QA Log'!M:M,"QQC",'QA Log'!L:L,"10. Antenatal Care (ANC)",'QA Log'!Z:Z,"Approved"),"")</f>
        <v/>
      </c>
      <c r="Z465" s="102" t="str">
        <f>IF(A465&lt;&gt;"",COUNTIFS('QA Log'!D:D,A465,'QA Log'!M:M,"QQC",'QA Log'!L:L,"2. Hygiene and Sterilization",'QA Log'!Z:Z,"Approved"),"")</f>
        <v/>
      </c>
      <c r="AA465" s="105" t="str">
        <f>IF(A465&lt;&gt;"",COUNTIFS('QA Log'!D:D,A465,'QA Log'!M:M,"QQC",'QA Log'!L:L,"4. Family Planning",'QA Log'!Z:Z,"Approved"),"")</f>
        <v/>
      </c>
      <c r="AB465" s="102" t="str">
        <f>IF(A465="","",
SUM(
COUNTIFS('QA Log'!D:D,A465,'QA Log'!M:M,"QQC",'QA Log'!Z:Z,"Rejected",'QA Log'!L:L,"*8. Maternity*"),
COUNTIFS('QA Log'!D:D,A465,'QA Log'!M:M,"QQC",'QA Log'!Z:Z,"Rejected",'QA Log'!L:L,"*9. EPI and Pre-school Consultation*"),
COUNTIFS('QA Log'!D:D,A465,'QA Log'!M:M,"QQC",'QA Log'!Z:Z,"Rejected",'QA Log'!L:L,"*10. Antenatal Care (ANC)*"),
COUNTIFS('QA Log'!D:D,A465,'QA Log'!M:M,"QQC",'QA Log'!Z:Z,"Rejected",'QA Log'!L:L,"*2. Hygiene and Sterilization*"),
COUNTIFS('QA Log'!D:D,A465,'QA Log'!M:M,"QQC",'QA Log'!Z:Z,"Rejected",'QA Log'!L:L,"*4. Family Planning*")
))</f>
        <v/>
      </c>
      <c r="AC465" s="102" t="str">
        <f t="shared" si="29"/>
        <v/>
      </c>
      <c r="AD465" s="103" t="str">
        <f t="shared" si="30"/>
        <v/>
      </c>
      <c r="AE465" s="102" t="str">
        <f>IF(A465="","",
SUM(
COUNTIFS('QA Log'!D:D,A465,'QA Log'!M:M,"Data Verification",'QA Log'!L:L,"*Medicine (section 2)*"),
COUNTIFS('QA Log'!D:D,A465,'QA Log'!M:M,"Data Verification",'QA Log'!L:L,"*Lab Testing Availability*"),
COUNTIFS('QA Log'!D:D,A465,'QA Log'!M:M,"Data Verification",'QA Log'!L:L,"*Other than P4P (section 6)*"),
COUNTIFS('QA Log'!D:D,A465,'QA Log'!M:M,"Data Verification",'QA Log'!L:L,"*Hospital Governance*")
))</f>
        <v/>
      </c>
      <c r="AF465" s="102" t="str">
        <f>IF(A465="","",
SUM(
COUNTIFS('QA Log'!D:D,A465,'QA Log'!M:M,"Data Verification",'QA Log'!Z:Z,"Approved",'QA Log'!L:L,"*Medicine (section 2)*"),
COUNTIFS('QA Log'!D:D,A465,'QA Log'!M:M,"Data Verification",'QA Log'!Z:Z,"Approved",'QA Log'!L:L,"*Lab Testing Availability*"),
COUNTIFS('QA Log'!D:D,A465,'QA Log'!M:M,"Data Verification",'QA Log'!Z:Z,"Approved",'QA Log'!L:L,"*Other than P4P (section 6)*"),
COUNTIFS('QA Log'!D:D,A465,'QA Log'!M:M,"Data Verification",'QA Log'!Z:Z,"Approved",'QA Log'!L:L,"*Hospital Governance*")
))</f>
        <v/>
      </c>
      <c r="AG465" s="105" t="str">
        <f>IF(A465&lt;&gt;"",COUNTIFS('QA Log'!D:D,A465,'QA Log'!M:M,"Data Verification",'QA Log'!L:L,"Medicine (section 2)",'QA Log'!Z:Z,"Approved"),"")</f>
        <v/>
      </c>
      <c r="AH465" s="105" t="str">
        <f>IF(A465&lt;&gt;"",COUNTIFS('QA Log'!D:D,A465,'QA Log'!M:M,"Data Verification",'QA Log'!L:L,"Lab Testing Availability",'QA Log'!Z:Z,"Approved"),"")</f>
        <v/>
      </c>
      <c r="AI465" s="105" t="str">
        <f>IF(A465&lt;&gt;"",COUNTIFS('QA Log'!D:D,A465,'QA Log'!M:M,"Data Verification",'QA Log'!L:L,"Other than P4P (section 6)",'QA Log'!Z:Z,"Approved"),"")</f>
        <v/>
      </c>
      <c r="AJ465" s="105" t="str">
        <f>IF(A465&lt;&gt;"",COUNTIFS('QA Log'!D:D,A465,'QA Log'!M:M,"Data Verification",'QA Log'!L:L,"Hospital Governance",'QA Log'!Z:Z,"Approved"),"")</f>
        <v/>
      </c>
      <c r="AK465" s="102" t="str">
        <f>IF(A465="","",
SUM(
COUNTIFS('QA Log'!D:D,A465,'QA Log'!M:M,"Data Verification",'QA Log'!Z:Z,"Rejected",'QA Log'!L:L,"*Medicine (section 2)*"),
COUNTIFS('QA Log'!D:D,A465,'QA Log'!M:M,"Data Verification",'QA Log'!Z:Z,"Rejected",'QA Log'!L:L,"*Lab Testing Availability*"),
COUNTIFS('QA Log'!D:D,A465,'QA Log'!M:M,"Data Verification",'QA Log'!Z:Z,"Rejected",'QA Log'!L:L,"*Other than P4P (section 6)*"),
COUNTIFS('QA Log'!D:D,A465,'QA Log'!M:M,"Data Verification",'QA Log'!Z:Z,"Rejected",'QA Log'!L:L,"*Hospital Governance*")
))</f>
        <v/>
      </c>
      <c r="AL465" s="106" t="str">
        <f t="shared" si="31"/>
        <v/>
      </c>
      <c r="AM465" s="102" t="str">
        <f t="shared" si="32"/>
        <v/>
      </c>
      <c r="AN465" s="102" t="str">
        <f>IF(A465="","",
SUM(
COUNTIFS('QA Log'!D:D,A465,'QA Log'!M:M,"Data Verification",'QA Log'!L:L,"*Personnel (section 1)*"),
COUNTIFS('QA Log'!D:D,A465,'QA Log'!M:M,"Data Verification",'QA Log'!L:L,"*Consumable (section 3)*"),
COUNTIFS('QA Log'!D:D,A465,'QA Log'!M:M,"Data Verification",'QA Log'!L:L,"*Equipments (section 4)*")
))</f>
        <v/>
      </c>
      <c r="AO465" s="102" t="str">
        <f>IF(A465="","",
SUM(
COUNTIFS('QA Log'!D:D,A465,'QA Log'!M:M,"Data Verification",'QA Log'!Z:Z,"Approved",'QA Log'!L:L,"*Personnel (section 1)*"),
COUNTIFS('QA Log'!D:D,A465,'QA Log'!M:M,"Data Verification",'QA Log'!Z:Z,"Approved",'QA Log'!L:L,"*Consumable (section 3)*"),
COUNTIFS('QA Log'!D:D,A465,'QA Log'!M:M,"Data Verification",'QA Log'!Z:Z,"Approved",'QA Log'!L:L,"*Equipments (section 4)*")
))</f>
        <v/>
      </c>
      <c r="AP465" s="105" t="str">
        <f>IF(A465&lt;&gt;"",COUNTIFS('QA Log'!D:D,A465,'QA Log'!M:M,"Data Verification",'QA Log'!L:L,"Personnel (section 1)",'QA Log'!Z:Z,"Approved"),"")</f>
        <v/>
      </c>
      <c r="AQ465" s="105" t="str">
        <f>IF(A465&lt;&gt;"",COUNTIFS('QA Log'!D:D,A465,'QA Log'!M:M,"Data Verification",'QA Log'!L:L,"Consumable (section 3)",'QA Log'!Z:Z,"Approved"),"")</f>
        <v/>
      </c>
      <c r="AR465" s="105" t="str">
        <f>IF(A465&lt;&gt;"",COUNTIFS('QA Log'!D:D,A465,'QA Log'!M:M,"Data Verification",'QA Log'!L:L,"Equipments (section 4)",'QA Log'!Z:Z,"Approved"),"")</f>
        <v/>
      </c>
      <c r="AS465" s="102" t="str">
        <f>IF(A465="","",
SUM(
COUNTIFS('QA Log'!D:D,A465,'QA Log'!M:M,"Data Verification",'QA Log'!Z:Z,"Rejected",'QA Log'!L:L,"*Personnel (section 1)*"),
COUNTIFS('QA Log'!D:D,A465,'QA Log'!M:M,"Data Verification",'QA Log'!Z:Z,"Rejected",'QA Log'!L:L,"*Consumable (section 3)*"),
COUNTIFS('QA Log'!D:D,A465,'QA Log'!M:M,"Data Verification",'QA Log'!Z:Z,"Rejected",'QA Log'!L:L,"*Equipments (section 4)*")
))</f>
        <v/>
      </c>
      <c r="AT465" s="102" t="str">
        <f t="shared" si="33"/>
        <v/>
      </c>
      <c r="AU465" s="103" t="str">
        <f t="shared" si="34"/>
        <v/>
      </c>
      <c r="AV465" s="102" t="str">
        <f>IF(A465="","",SUM(
COUNTIFS('QA Log'!D:D,A465,'QA Log'!M:M,"Vignette",'QA Log'!L:L,"*Vignette [1] Respiratory Infection: Pneumonia*"),
COUNTIFS('QA Log'!D:D,A465,'QA Log'!M:M,"Vignette",'QA Log'!L:L,"*Vignette [2]: Diarrhea with Cat B dehydration*"),
COUNTIFS('QA Log'!D:D,A465,'QA Log'!M:M,"Vignette",'QA Log'!L:L,"*Vignette [3] Growth Monitoring and Promotion*"),
COUNTIFS('QA Log'!D:D,A465,'QA Log'!M:M,"Vignette",'QA Log'!L:L,"*Vignette [4]: The management of presumptive TB patient*")
)
)</f>
        <v/>
      </c>
      <c r="AW465" s="102" t="str">
        <f>IF(
  A465="","",
  SUM(
    COUNTIFS('QA Log'!D:D,A465,'QA Log'!M:M,"Vignette",'QA Log'!Z:Z,"Approved",'QA Log'!L:L,"*Vignette [1] Respiratory Infection: Pneumonia*"),
    COUNTIFS('QA Log'!D:D,A465,'QA Log'!M:M,"Vignette",'QA Log'!Z:Z,"Approved",'QA Log'!L:L,"*Vignette [2]: Diarrhea with Cat B dehydration*"),
    COUNTIFS('QA Log'!D:D,A465,'QA Log'!M:M,"Vignette",'QA Log'!Z:Z,"Approved",'QA Log'!L:L,"*Vignette [3] Growth Monitoring and Promotion*"),
    COUNTIFS('QA Log'!D:D,A465,'QA Log'!M:M,"Vignette",'QA Log'!Z:Z,"Approved",'QA Log'!L:L,"*Vignette [4]: The management of presumptive TB patient*")
  )
)</f>
        <v/>
      </c>
      <c r="AX465" s="105" t="str">
        <f>IF(A465&lt;&gt;"",COUNTIFS('QA Log'!D:D,A465,'QA Log'!M:M,"Vignette",'QA Log'!L:L,"Vignette [1] Respiratory Infection: Pneumonia",'QA Log'!Z:Z,"Approved"),"")</f>
        <v/>
      </c>
      <c r="AY465" s="105" t="str">
        <f>IF(A465&lt;&gt;"",COUNTIFS('QA Log'!D:D,A465,'QA Log'!M:M,"Vignette",'QA Log'!L:L,"Vignette [2]: Diarrhea with Cat B dehydration",'QA Log'!Z:Z,"Approved"),"")</f>
        <v/>
      </c>
      <c r="AZ465" s="105" t="str">
        <f>IF(A465&lt;&gt;"",COUNTIFS('QA Log'!D:D,A465,'QA Log'!M:M,"Vignette",'QA Log'!L:L,"Vignette [3] Growth Monitoring and Promotion",'QA Log'!Z:Z,"Approved"),"")</f>
        <v/>
      </c>
      <c r="BA465" s="105" t="str">
        <f>IF(A465&lt;&gt;"",COUNTIFS('QA Log'!D:D,A465,'QA Log'!M:M,"Vignette",'QA Log'!L:L,"Vignette [4]: The management of presumptive TB patient",'QA Log'!Z:Z,"Approved"),"")</f>
        <v/>
      </c>
      <c r="BB465" s="102" t="str">
        <f>IF(A465="","",
  SUM(
    COUNTIFS('QA Log'!D:D,A465,'QA Log'!M:M,"Vignette",'QA Log'!Z:Z,"Rejected",'QA Log'!L:L,"*Vignette [1] Respiratory Infection: Pneumonia*"),
    COUNTIFS('QA Log'!D:D,A465,'QA Log'!M:M,"Vignette",'QA Log'!Z:Z,"Rejected",'QA Log'!L:L,"*Vignette [2]: Diarrhea with Cat B dehydration*"),
    COUNTIFS('QA Log'!D:D,A465,'QA Log'!M:M,"Vignette",'QA Log'!Z:Z,"Rejected",'QA Log'!L:L,"*Vignette [3] Growth Monitoring and Promotion*"),
    COUNTIFS('QA Log'!D:D,A465,'QA Log'!M:M,"Vignette",'QA Log'!Z:Z,"Rejected",'QA Log'!L:L,"*Vignette [4]: The management of presumptive TB patient*")
  )
)</f>
        <v/>
      </c>
      <c r="BC465" s="107" t="str">
        <f t="shared" si="35"/>
        <v/>
      </c>
      <c r="BD465" s="103" t="str">
        <f t="shared" si="36"/>
        <v/>
      </c>
      <c r="BE465" s="102" t="str">
        <f>IF(A465="","",SUM(
COUNTIFS('QA Log'!D:D,A465,'QA Log'!M:M,"Vignette",'QA Log'!L:L,"*Vignette [5] Labor*"),
COUNTIFS('QA Log'!D:D,A465,'QA Log'!M:M,"Vignette",'QA Log'!L:L,"*Vignette [6] PNC pre Discharge*"),
COUNTIFS('QA Log'!D:D,A465,'QA Log'!M:M,"Vignette",'QA Log'!L:L,"*Vignette [7] First ANC Visit*"),
COUNTIFS('QA Log'!D:D,A465,'QA Log'!M:M,"Vignette",'QA Log'!L:L,"*Vignette [8] Birth Spacing/ Family Planning :  FP Counselling*"),
COUNTIFS('QA Log'!D:D,A465,'QA Log'!M:M,"Vignette",'QA Log'!L:L,"*Vignette [9] Birth Spacing: Change FP method to Injectable*"),
COUNTIFS('QA Log'!D:D,A465,'QA Log'!M:M,"Vignette",'QA Log'!L:L,"*Vignette [10] Post Partum Haemorrhage - Atonic Uterus at Health Centre*"),
)
)</f>
        <v/>
      </c>
      <c r="BF465" s="102" t="str">
        <f>IF(A465="","",
  SUM(
    COUNTIFS('QA Log'!D:D,A465,'QA Log'!M:M,"Vignette",'QA Log'!Z:Z,"Approved",'QA Log'!L:L,"*Vignette [5] Labor*"),
    COUNTIFS('QA Log'!D:D,A465,'QA Log'!M:M,"Vignette",'QA Log'!Z:Z,"Approved",'QA Log'!L:L,"*Vignette [6] PNC pre Discharge*"),
    COUNTIFS('QA Log'!D:D,A465,'QA Log'!M:M,"Vignette",'QA Log'!Z:Z,"Approved",'QA Log'!L:L,"*Vignette [7] First ANC Visit*"),
    COUNTIFS('QA Log'!D:D,A465,'QA Log'!M:M,"Vignette",'QA Log'!Z:Z,"Approved",'QA Log'!L:L,"*Vignette [8] Birth Spacing/ Family Planning :  FP Counselling*"),
    COUNTIFS('QA Log'!D:D,A465,'QA Log'!M:M,"Vignette",'QA Log'!Z:Z,"Approved",'QA Log'!L:L,"*Vignette [9] Birth Spacing: Change FP method to Injectable*"),
    COUNTIFS('QA Log'!D:D,A465,'QA Log'!M:M,"Vignette",'QA Log'!Z:Z,"Approved",'QA Log'!L:L,"*Vignette [10] Post Partum Haemorrhage - Atonic Uterus at Health Centre*")
  )
)</f>
        <v/>
      </c>
      <c r="BG465" s="105" t="str">
        <f>IF(A465&lt;&gt;"",COUNTIFS('QA Log'!D:D,A465,'QA Log'!M:M,"Vignette",'QA Log'!L:L,"Vignette [5] Labor",'QA Log'!Z:Z,"Approved"),"")</f>
        <v/>
      </c>
      <c r="BH465" s="105" t="str">
        <f>IF(A465&lt;&gt;"",COUNTIFS('QA Log'!D:D,A465,'QA Log'!M:M,"Vignette",'QA Log'!L:L,"Vignette [6] PNC pre Discharge",'QA Log'!Z:Z,"Approved"),"")</f>
        <v/>
      </c>
      <c r="BI465" s="105" t="str">
        <f>IF(A465&lt;&gt;"",COUNTIFS('QA Log'!D:D,A465,'QA Log'!M:M,"Vignette",'QA Log'!L:L,"Vignette [7] First ANC Visit",'QA Log'!Z:Z,"Approved"),"")</f>
        <v/>
      </c>
      <c r="BJ465" s="105" t="str">
        <f>IF(A465&lt;&gt;"",COUNTIFS('QA Log'!D:D,A465,'QA Log'!M:M,"Vignette",'QA Log'!L:L,"Vignette [8] Birth Spacing/ Family Planning :  FP Counselling",'QA Log'!Z:Z,"Approved"),"")</f>
        <v/>
      </c>
      <c r="BK465" s="105" t="str">
        <f>IF(A465&lt;&gt;"",COUNTIFS('QA Log'!D:D,A465,'QA Log'!M:M,"Vignette",'QA Log'!L:L,"Vignette [9] Birth Spacing: Change FP method to Injectable",'QA Log'!Z:Z,"Approved"),"")</f>
        <v/>
      </c>
      <c r="BL465" s="105" t="str">
        <f>IF(A465&lt;&gt;"",COUNTIFS('QA Log'!D:D,A465,'QA Log'!M:M,"Vignette",'QA Log'!L:L,"Vignette [10] Post Partum Haemorrhage - Atonic Uterus at Health Centre",'QA Log'!Z:Z,"Approved"),"")</f>
        <v/>
      </c>
      <c r="BM465" s="102" t="str">
        <f>IF(A465="","",SUM(
    COUNTIFS('QA Log'!D:D,A465,'QA Log'!M:M,"Vignette",'QA Log'!Z:Z,"Rejected",'QA Log'!L:L,"*Vignette [5] Labor*"),
    COUNTIFS('QA Log'!D:D,A465,'QA Log'!M:M,"Vignette",'QA Log'!Z:Z,"Rejected",'QA Log'!L:L,"*Vignette [6] PNC pre Discharge*"),
    COUNTIFS('QA Log'!D:D,A465,'QA Log'!M:M,"Vignette",'QA Log'!Z:Z,"Rejected",'QA Log'!L:L,"*Vignette [7] First ANC Visit*"),
    COUNTIFS('QA Log'!D:D,A465,'QA Log'!M:M,"Vignette",'QA Log'!Z:Z,"Rejected",'QA Log'!L:L,"*Vignette [8] Birth Spacing/ Family Planning :  FP Counselling*"),
    COUNTIFS('QA Log'!D:D,A465,'QA Log'!M:M,"Vignette",'QA Log'!Z:Z,"Rejected",'QA Log'!L:L,"*Vignette [9] Birth Spacing: Change FP method to Injectable*"),
    COUNTIFS('QA Log'!D:D,A465,'QA Log'!M:M,"Vignette",'QA Log'!Z:Z,"Rejected",'QA Log'!L:L,"*Vignette [10] Post Partum Haemorrhage - Atonic Uterus at Health Centre*")
  )
)</f>
        <v/>
      </c>
      <c r="BN465" s="107" t="str">
        <f t="shared" si="37"/>
        <v/>
      </c>
      <c r="BO465" s="103" t="str">
        <f t="shared" si="38"/>
        <v/>
      </c>
      <c r="BP465" s="102" t="str">
        <f>IF(A465="","",SUM(
COUNTIFS('QA Log'!D:D,A465,'QA Log'!M:M,"Vignette",'QA Log'!L:L,"*Exit Interview 1*"),
COUNTIFS('QA Log'!D:D,A465,'QA Log'!M:M,"Vignette",'QA Log'!L:L,"*Exit Interview 2*"),
)
)</f>
        <v/>
      </c>
      <c r="BQ465" s="102" t="str">
        <f>IF(
  A465="","",
  SUM(
    COUNTIFS('QA Log'!D:D,A465,'QA Log'!M:M,"Vignette",'QA Log'!Z:Z,"Approved",'QA Log'!L:L,"*Exit Interview 1*"),
    COUNTIFS('QA Log'!D:D,A465,'QA Log'!M:M,"Vignette",'QA Log'!Z:Z,"Approved",'QA Log'!L:L,"*Exit Interview 2*")
  )
)</f>
        <v/>
      </c>
      <c r="BR465" s="105" t="str">
        <f>IF(A465&lt;&gt;"",COUNTIFS('QA Log'!D:D,A465,'QA Log'!M:M,"Vignette",'QA Log'!L:L,"Exit Interview 1",'QA Log'!Z:Z,"Approved"),"")</f>
        <v/>
      </c>
      <c r="BS465" s="105" t="str">
        <f>IF(A465&lt;&gt;"",COUNTIFS('QA Log'!D:D,A465,'QA Log'!M:M,"Vignette",'QA Log'!L:L,"Exit Interview 2",'QA Log'!Z:Z,"Approved"),"")</f>
        <v/>
      </c>
      <c r="BT465" s="102" t="str">
        <f>IF(
  A465="","",
  SUM(
    COUNTIFS('QA Log'!D:D,A465,'QA Log'!M:M,"Vignette",'QA Log'!Z:Z,"Rejected",'QA Log'!L:L,"*Exit Interview 1*"),
    COUNTIFS('QA Log'!D:D,A465,'QA Log'!M:M,"Vignette",'QA Log'!Z:Z,"Rejected",'QA Log'!L:L,"*Exit Interview 2*")
  )
)</f>
        <v/>
      </c>
      <c r="BU465" s="107" t="str">
        <f t="shared" si="39"/>
        <v/>
      </c>
      <c r="BV465" s="102" t="str">
        <f t="shared" si="40"/>
        <v/>
      </c>
      <c r="BW465" s="102" t="str">
        <f t="shared" si="41"/>
        <v/>
      </c>
      <c r="BX465" s="102" t="str">
        <f t="shared" si="42"/>
        <v/>
      </c>
      <c r="BY465" s="102" t="str">
        <f t="shared" si="43"/>
        <v/>
      </c>
      <c r="BZ465" s="107" t="str">
        <f t="shared" si="44"/>
        <v/>
      </c>
      <c r="CA465" s="108" t="str">
        <f t="shared" si="45"/>
        <v/>
      </c>
      <c r="CB465" s="108" t="str">
        <f t="shared" si="46"/>
        <v/>
      </c>
      <c r="CC465" s="109" t="str">
        <f t="shared" si="47"/>
        <v/>
      </c>
      <c r="CD465" s="108" t="str">
        <f t="shared" si="48"/>
        <v/>
      </c>
      <c r="CE465" s="108" t="str">
        <f t="shared" si="49"/>
        <v/>
      </c>
      <c r="CF465" s="109" t="str">
        <f t="shared" si="50"/>
        <v/>
      </c>
      <c r="CG465" s="110" t="str">
        <f t="shared" si="51"/>
        <v/>
      </c>
      <c r="CH465" s="111"/>
    </row>
    <row r="466" spans="1:86" ht="12.75">
      <c r="A466" s="101"/>
      <c r="B466" s="102" t="e">
        <f t="array" aca="1" ref="B466" ca="1">_xludf.XLOOKUP(A466,'QA Log'!D:D,'QA Log'!E:E,"")</f>
        <v>#NAME?</v>
      </c>
      <c r="C466" s="102" t="e">
        <f t="array" aca="1" ref="C466" ca="1">_xludf.XLOOKUP(A466,'QA Log'!D:D,'QA Log'!F:F,"")</f>
        <v>#NAME?</v>
      </c>
      <c r="D466" s="102" t="e">
        <f t="array" aca="1" ref="D466" ca="1">_xludf.XLOOKUP(A466,'QA Log'!D:D,'QA Log'!H:H,"")</f>
        <v>#NAME?</v>
      </c>
      <c r="E466" s="102" t="e">
        <f t="array" aca="1" ref="E466" ca="1">_xludf.XLOOKUP(A466,'QA Log'!D:D,'QA Log'!G:G,"")</f>
        <v>#NAME?</v>
      </c>
      <c r="F466" s="103"/>
      <c r="G466" s="104"/>
      <c r="H466" s="104"/>
      <c r="I466" s="103" t="str">
        <f t="shared" si="26"/>
        <v/>
      </c>
      <c r="J466" s="102" t="str">
        <f>IF(A466="","",SUM(
COUNTIFS('QA Log'!D:D,A466,'QA Log'!M:M,"QQC",'QA Log'!L:L,"*1. General Management*"),
COUNTIFS('QA Log'!D:D,A466,'QA Log'!M:M,"QQC",'QA Log'!L:L,"*3. Curative Consultation (OPD)*"),
COUNTIFS('QA Log'!D:D,A466,'QA Log'!M:M,"QQC",'QA Log'!L:L,"*5. Laboratory*"),
COUNTIFS('QA Log'!D:D,A466,'QA Log'!M:M,"QQC",'QA Log'!L:L,"*6. Essential Medicine Management*"),
COUNTIFS('QA Log'!D:D,A466,'QA Log'!M:M,"QQC",'QA Log'!L:L,"*7. Tracer Medicine*"),
COUNTIFS('QA Log'!D:D,A466,'QA Log'!M:M,"QQC",'QA Log'!L:L,"*11. Additional Questions*")))</f>
        <v/>
      </c>
      <c r="K466" s="102" t="str">
        <f>IF(A466="","",SUM(
COUNTIFS('QA Log'!D:D,A466,'QA Log'!M:M,"QQC",'QA Log'!Z:Z,"Approved",'QA Log'!L:L,"*1. General Management*"),
COUNTIFS('QA Log'!D:D,A466,'QA Log'!M:M,"QQC",'QA Log'!Z:Z,"Approved",'QA Log'!L:L,"*3. Curative Consultation (OPD)*"),
COUNTIFS('QA Log'!D:D,A466,'QA Log'!M:M,"QQC",'QA Log'!Z:Z,"Approved",'QA Log'!L:L,"*5. Laboratory*"),
COUNTIFS('QA Log'!D:D,A466,'QA Log'!M:M,"QQC",'QA Log'!Z:Z,"Approved",'QA Log'!L:L,"*6. Essential Medicine Management*"),
COUNTIFS('QA Log'!D:D,A466,'QA Log'!M:M,"QQC",'QA Log'!Z:Z,"Approved",'QA Log'!L:L,"*7. Tracer Medicine*"),
COUNTIFS('QA Log'!D:D,A466,'QA Log'!M:M,"QQC",'QA Log'!Z:Z,"Approved",'QA Log'!L:L,"*11. Additional Questions*")))</f>
        <v/>
      </c>
      <c r="L466" s="102" t="str">
        <f>IF(A466&lt;&gt;"",COUNTIFS('QA Log'!D:D,A466,'QA Log'!M:M,"QQC",'QA Log'!L:L,"1. General Management",'QA Log'!Z:Z,"Approved"),"")</f>
        <v/>
      </c>
      <c r="M466" s="102" t="str">
        <f>IF(A466&lt;&gt;"",COUNTIFS('QA Log'!D:D,A466,'QA Log'!M:M,"QQC",'QA Log'!L:L,"3. Curative Consultation (OPD)",'QA Log'!Z:Z,"Approved"),"")</f>
        <v/>
      </c>
      <c r="N466" s="102" t="str">
        <f>IF(A466&lt;&gt;"",COUNTIFS('QA Log'!D:D,A466,'QA Log'!M:M,"QQC",'QA Log'!L:L,"5. Laboratory",'QA Log'!Z:Z,"Approved"),"")</f>
        <v/>
      </c>
      <c r="O466" s="102" t="str">
        <f>IF(A466&lt;&gt;"",COUNTIFS('QA Log'!D:D,A466,'QA Log'!M:M,"QQC",'QA Log'!L:L,"6. Essential Medicine Management",'QA Log'!Z:Z,"Approved"),"")</f>
        <v/>
      </c>
      <c r="P466" s="102" t="str">
        <f>IF(A466&lt;&gt;"",COUNTIFS('QA Log'!D:D,A466,'QA Log'!M:M,"QQC",'QA Log'!L:L,"7. Tracer Medicine",'QA Log'!Z:Z,"Approved"),"")</f>
        <v/>
      </c>
      <c r="Q466" s="102" t="str">
        <f>IF(A466&lt;&gt;"",COUNTIFS('QA Log'!D:D,A466,'QA Log'!M:M,"QQC",'QA Log'!L:L,"11. Additional Questions",'QA Log'!Z:Z,"Approved"),"")</f>
        <v/>
      </c>
      <c r="R466" s="102" t="str">
        <f>IF(A466="","",SUM(
COUNTIFS('QA Log'!D:D,A466,'QA Log'!M:M,"QQC",'QA Log'!Z:Z,"Rejected",'QA Log'!L:L,"*8. Maternity*"),
COUNTIFS('QA Log'!D:D,A466,'QA Log'!M:M,"QQC",'QA Log'!Z:Z,"Rejected",'QA Log'!L:L,"*EPI*"),
COUNTIFS('QA Log'!D:D,A466,'QA Log'!M:M,"QQC",'QA Log'!Z:Z,"Rejected",'QA Log'!L:L,"*10. Antenatal Care (ANC)*"),
COUNTIFS('QA Log'!D:D,A466,'QA Log'!M:M,"QQC",'QA Log'!Z:Z,"Rejected",'QA Log'!L:L,"*2. Hygiene and Sterilization*"),
COUNTIFS('QA Log'!D:D,A466,'QA Log'!M:M,"QQC",'QA Log'!Z:Z,"Rejected",'QA Log'!L:L,"*Family Planning*")))</f>
        <v/>
      </c>
      <c r="S466" s="106" t="str">
        <f t="shared" si="27"/>
        <v/>
      </c>
      <c r="T466" s="102" t="str">
        <f t="shared" si="28"/>
        <v/>
      </c>
      <c r="U466" s="102" t="str">
        <f>IF(A466="","",
SUM(
COUNTIFS('QA Log'!D:D,A466,'QA Log'!M:M,"QQC",'QA Log'!L:L,"*8. Maternity*"),
COUNTIFS('QA Log'!D:D,A466,'QA Log'!M:M,"QQC",'QA Log'!L:L,"*9. EPI and Pre-school Consultation*"),
COUNTIFS('QA Log'!D:D,A466,'QA Log'!M:M,"QQC",'QA Log'!L:L,"*10. Antenatal Care (ANC)*"),
COUNTIFS('QA Log'!D:D,A466,'QA Log'!M:M,"QQC",'QA Log'!L:L,"*2. Hygiene and Sterilization*"),
COUNTIFS('QA Log'!D:D,A466,'QA Log'!M:M,"QQC",'QA Log'!L:L,"*4. Family Planning*")
))</f>
        <v/>
      </c>
      <c r="V466" s="102" t="str">
        <f>IF(A466="","",
SUM(
COUNTIFS('QA Log'!D:D,A466,'QA Log'!M:M,"QQC",'QA Log'!Z:Z,"Approved",'QA Log'!L:L,"*8. Maternity*"),
COUNTIFS('QA Log'!D:D,A466,'QA Log'!M:M,"QQC",'QA Log'!Z:Z,"Approved",'QA Log'!L:L,"*9. EPI and Pre-school Consultation*"),
COUNTIFS('QA Log'!D:D,A466,'QA Log'!M:M,"QQC",'QA Log'!Z:Z,"Approved",'QA Log'!L:L,"*10. Antenatal Care (ANC)*"),
COUNTIFS('QA Log'!D:D,A466,'QA Log'!M:M,"QQC",'QA Log'!Z:Z,"Approved",'QA Log'!L:L,"*2. Hygiene and Sterilization*"),
COUNTIFS('QA Log'!D:D,A466,'QA Log'!M:M,"QQC",'QA Log'!Z:Z,"Approved",'QA Log'!L:L,"*4. Family Planning*")
))</f>
        <v/>
      </c>
      <c r="W466" s="102" t="str">
        <f>IF(A466&lt;&gt;"",COUNTIFS('QA Log'!D:D,A466,'QA Log'!M:M,"QQC",'QA Log'!L:L,"8. Maternity",'QA Log'!Z:Z,"Approved"),"")</f>
        <v/>
      </c>
      <c r="X466" s="105" t="str">
        <f>IF(A466&lt;&gt;"",COUNTIFS('QA Log'!D:D,A466,'QA Log'!M:M,"QQC",'QA Log'!L:L,"9. EPI and Pre-school Consultation",'QA Log'!Z:Z,"Approved"),"")</f>
        <v/>
      </c>
      <c r="Y466" s="102" t="str">
        <f>IF(A466&lt;&gt;"",COUNTIFS('QA Log'!D:D,A466,'QA Log'!M:M,"QQC",'QA Log'!L:L,"10. Antenatal Care (ANC)",'QA Log'!Z:Z,"Approved"),"")</f>
        <v/>
      </c>
      <c r="Z466" s="102" t="str">
        <f>IF(A466&lt;&gt;"",COUNTIFS('QA Log'!D:D,A466,'QA Log'!M:M,"QQC",'QA Log'!L:L,"2. Hygiene and Sterilization",'QA Log'!Z:Z,"Approved"),"")</f>
        <v/>
      </c>
      <c r="AA466" s="105" t="str">
        <f>IF(A466&lt;&gt;"",COUNTIFS('QA Log'!D:D,A466,'QA Log'!M:M,"QQC",'QA Log'!L:L,"4. Family Planning",'QA Log'!Z:Z,"Approved"),"")</f>
        <v/>
      </c>
      <c r="AB466" s="102" t="str">
        <f>IF(A466="","",
SUM(
COUNTIFS('QA Log'!D:D,A466,'QA Log'!M:M,"QQC",'QA Log'!Z:Z,"Rejected",'QA Log'!L:L,"*8. Maternity*"),
COUNTIFS('QA Log'!D:D,A466,'QA Log'!M:M,"QQC",'QA Log'!Z:Z,"Rejected",'QA Log'!L:L,"*9. EPI and Pre-school Consultation*"),
COUNTIFS('QA Log'!D:D,A466,'QA Log'!M:M,"QQC",'QA Log'!Z:Z,"Rejected",'QA Log'!L:L,"*10. Antenatal Care (ANC)*"),
COUNTIFS('QA Log'!D:D,A466,'QA Log'!M:M,"QQC",'QA Log'!Z:Z,"Rejected",'QA Log'!L:L,"*2. Hygiene and Sterilization*"),
COUNTIFS('QA Log'!D:D,A466,'QA Log'!M:M,"QQC",'QA Log'!Z:Z,"Rejected",'QA Log'!L:L,"*4. Family Planning*")
))</f>
        <v/>
      </c>
      <c r="AC466" s="102" t="str">
        <f t="shared" si="29"/>
        <v/>
      </c>
      <c r="AD466" s="103" t="str">
        <f t="shared" si="30"/>
        <v/>
      </c>
      <c r="AE466" s="102" t="str">
        <f>IF(A466="","",
SUM(
COUNTIFS('QA Log'!D:D,A466,'QA Log'!M:M,"Data Verification",'QA Log'!L:L,"*Medicine (section 2)*"),
COUNTIFS('QA Log'!D:D,A466,'QA Log'!M:M,"Data Verification",'QA Log'!L:L,"*Lab Testing Availability*"),
COUNTIFS('QA Log'!D:D,A466,'QA Log'!M:M,"Data Verification",'QA Log'!L:L,"*Other than P4P (section 6)*"),
COUNTIFS('QA Log'!D:D,A466,'QA Log'!M:M,"Data Verification",'QA Log'!L:L,"*Hospital Governance*")
))</f>
        <v/>
      </c>
      <c r="AF466" s="102" t="str">
        <f>IF(A466="","",
SUM(
COUNTIFS('QA Log'!D:D,A466,'QA Log'!M:M,"Data Verification",'QA Log'!Z:Z,"Approved",'QA Log'!L:L,"*Medicine (section 2)*"),
COUNTIFS('QA Log'!D:D,A466,'QA Log'!M:M,"Data Verification",'QA Log'!Z:Z,"Approved",'QA Log'!L:L,"*Lab Testing Availability*"),
COUNTIFS('QA Log'!D:D,A466,'QA Log'!M:M,"Data Verification",'QA Log'!Z:Z,"Approved",'QA Log'!L:L,"*Other than P4P (section 6)*"),
COUNTIFS('QA Log'!D:D,A466,'QA Log'!M:M,"Data Verification",'QA Log'!Z:Z,"Approved",'QA Log'!L:L,"*Hospital Governance*")
))</f>
        <v/>
      </c>
      <c r="AG466" s="105" t="str">
        <f>IF(A466&lt;&gt;"",COUNTIFS('QA Log'!D:D,A466,'QA Log'!M:M,"Data Verification",'QA Log'!L:L,"Medicine (section 2)",'QA Log'!Z:Z,"Approved"),"")</f>
        <v/>
      </c>
      <c r="AH466" s="105" t="str">
        <f>IF(A466&lt;&gt;"",COUNTIFS('QA Log'!D:D,A466,'QA Log'!M:M,"Data Verification",'QA Log'!L:L,"Lab Testing Availability",'QA Log'!Z:Z,"Approved"),"")</f>
        <v/>
      </c>
      <c r="AI466" s="105" t="str">
        <f>IF(A466&lt;&gt;"",COUNTIFS('QA Log'!D:D,A466,'QA Log'!M:M,"Data Verification",'QA Log'!L:L,"Other than P4P (section 6)",'QA Log'!Z:Z,"Approved"),"")</f>
        <v/>
      </c>
      <c r="AJ466" s="105" t="str">
        <f>IF(A466&lt;&gt;"",COUNTIFS('QA Log'!D:D,A466,'QA Log'!M:M,"Data Verification",'QA Log'!L:L,"Hospital Governance",'QA Log'!Z:Z,"Approved"),"")</f>
        <v/>
      </c>
      <c r="AK466" s="102" t="str">
        <f>IF(A466="","",
SUM(
COUNTIFS('QA Log'!D:D,A466,'QA Log'!M:M,"Data Verification",'QA Log'!Z:Z,"Rejected",'QA Log'!L:L,"*Medicine (section 2)*"),
COUNTIFS('QA Log'!D:D,A466,'QA Log'!M:M,"Data Verification",'QA Log'!Z:Z,"Rejected",'QA Log'!L:L,"*Lab Testing Availability*"),
COUNTIFS('QA Log'!D:D,A466,'QA Log'!M:M,"Data Verification",'QA Log'!Z:Z,"Rejected",'QA Log'!L:L,"*Other than P4P (section 6)*"),
COUNTIFS('QA Log'!D:D,A466,'QA Log'!M:M,"Data Verification",'QA Log'!Z:Z,"Rejected",'QA Log'!L:L,"*Hospital Governance*")
))</f>
        <v/>
      </c>
      <c r="AL466" s="106" t="str">
        <f t="shared" si="31"/>
        <v/>
      </c>
      <c r="AM466" s="102" t="str">
        <f t="shared" si="32"/>
        <v/>
      </c>
      <c r="AN466" s="102" t="str">
        <f>IF(A466="","",
SUM(
COUNTIFS('QA Log'!D:D,A466,'QA Log'!M:M,"Data Verification",'QA Log'!L:L,"*Personnel (section 1)*"),
COUNTIFS('QA Log'!D:D,A466,'QA Log'!M:M,"Data Verification",'QA Log'!L:L,"*Consumable (section 3)*"),
COUNTIFS('QA Log'!D:D,A466,'QA Log'!M:M,"Data Verification",'QA Log'!L:L,"*Equipments (section 4)*")
))</f>
        <v/>
      </c>
      <c r="AO466" s="102" t="str">
        <f>IF(A466="","",
SUM(
COUNTIFS('QA Log'!D:D,A466,'QA Log'!M:M,"Data Verification",'QA Log'!Z:Z,"Approved",'QA Log'!L:L,"*Personnel (section 1)*"),
COUNTIFS('QA Log'!D:D,A466,'QA Log'!M:M,"Data Verification",'QA Log'!Z:Z,"Approved",'QA Log'!L:L,"*Consumable (section 3)*"),
COUNTIFS('QA Log'!D:D,A466,'QA Log'!M:M,"Data Verification",'QA Log'!Z:Z,"Approved",'QA Log'!L:L,"*Equipments (section 4)*")
))</f>
        <v/>
      </c>
      <c r="AP466" s="105" t="str">
        <f>IF(A466&lt;&gt;"",COUNTIFS('QA Log'!D:D,A466,'QA Log'!M:M,"Data Verification",'QA Log'!L:L,"Personnel (section 1)",'QA Log'!Z:Z,"Approved"),"")</f>
        <v/>
      </c>
      <c r="AQ466" s="105" t="str">
        <f>IF(A466&lt;&gt;"",COUNTIFS('QA Log'!D:D,A466,'QA Log'!M:M,"Data Verification",'QA Log'!L:L,"Consumable (section 3)",'QA Log'!Z:Z,"Approved"),"")</f>
        <v/>
      </c>
      <c r="AR466" s="105" t="str">
        <f>IF(A466&lt;&gt;"",COUNTIFS('QA Log'!D:D,A466,'QA Log'!M:M,"Data Verification",'QA Log'!L:L,"Equipments (section 4)",'QA Log'!Z:Z,"Approved"),"")</f>
        <v/>
      </c>
      <c r="AS466" s="102" t="str">
        <f>IF(A466="","",
SUM(
COUNTIFS('QA Log'!D:D,A466,'QA Log'!M:M,"Data Verification",'QA Log'!Z:Z,"Rejected",'QA Log'!L:L,"*Personnel (section 1)*"),
COUNTIFS('QA Log'!D:D,A466,'QA Log'!M:M,"Data Verification",'QA Log'!Z:Z,"Rejected",'QA Log'!L:L,"*Consumable (section 3)*"),
COUNTIFS('QA Log'!D:D,A466,'QA Log'!M:M,"Data Verification",'QA Log'!Z:Z,"Rejected",'QA Log'!L:L,"*Equipments (section 4)*")
))</f>
        <v/>
      </c>
      <c r="AT466" s="102" t="str">
        <f t="shared" si="33"/>
        <v/>
      </c>
      <c r="AU466" s="103" t="str">
        <f t="shared" si="34"/>
        <v/>
      </c>
      <c r="AV466" s="102" t="str">
        <f>IF(A466="","",SUM(
COUNTIFS('QA Log'!D:D,A466,'QA Log'!M:M,"Vignette",'QA Log'!L:L,"*Vignette [1] Respiratory Infection: Pneumonia*"),
COUNTIFS('QA Log'!D:D,A466,'QA Log'!M:M,"Vignette",'QA Log'!L:L,"*Vignette [2]: Diarrhea with Cat B dehydration*"),
COUNTIFS('QA Log'!D:D,A466,'QA Log'!M:M,"Vignette",'QA Log'!L:L,"*Vignette [3] Growth Monitoring and Promotion*"),
COUNTIFS('QA Log'!D:D,A466,'QA Log'!M:M,"Vignette",'QA Log'!L:L,"*Vignette [4]: The management of presumptive TB patient*")
)
)</f>
        <v/>
      </c>
      <c r="AW466" s="102" t="str">
        <f>IF(
  A466="","",
  SUM(
    COUNTIFS('QA Log'!D:D,A466,'QA Log'!M:M,"Vignette",'QA Log'!Z:Z,"Approved",'QA Log'!L:L,"*Vignette [1] Respiratory Infection: Pneumonia*"),
    COUNTIFS('QA Log'!D:D,A466,'QA Log'!M:M,"Vignette",'QA Log'!Z:Z,"Approved",'QA Log'!L:L,"*Vignette [2]: Diarrhea with Cat B dehydration*"),
    COUNTIFS('QA Log'!D:D,A466,'QA Log'!M:M,"Vignette",'QA Log'!Z:Z,"Approved",'QA Log'!L:L,"*Vignette [3] Growth Monitoring and Promotion*"),
    COUNTIFS('QA Log'!D:D,A466,'QA Log'!M:M,"Vignette",'QA Log'!Z:Z,"Approved",'QA Log'!L:L,"*Vignette [4]: The management of presumptive TB patient*")
  )
)</f>
        <v/>
      </c>
      <c r="AX466" s="105" t="str">
        <f>IF(A466&lt;&gt;"",COUNTIFS('QA Log'!D:D,A466,'QA Log'!M:M,"Vignette",'QA Log'!L:L,"Vignette [1] Respiratory Infection: Pneumonia",'QA Log'!Z:Z,"Approved"),"")</f>
        <v/>
      </c>
      <c r="AY466" s="105" t="str">
        <f>IF(A466&lt;&gt;"",COUNTIFS('QA Log'!D:D,A466,'QA Log'!M:M,"Vignette",'QA Log'!L:L,"Vignette [2]: Diarrhea with Cat B dehydration",'QA Log'!Z:Z,"Approved"),"")</f>
        <v/>
      </c>
      <c r="AZ466" s="105" t="str">
        <f>IF(A466&lt;&gt;"",COUNTIFS('QA Log'!D:D,A466,'QA Log'!M:M,"Vignette",'QA Log'!L:L,"Vignette [3] Growth Monitoring and Promotion",'QA Log'!Z:Z,"Approved"),"")</f>
        <v/>
      </c>
      <c r="BA466" s="105" t="str">
        <f>IF(A466&lt;&gt;"",COUNTIFS('QA Log'!D:D,A466,'QA Log'!M:M,"Vignette",'QA Log'!L:L,"Vignette [4]: The management of presumptive TB patient",'QA Log'!Z:Z,"Approved"),"")</f>
        <v/>
      </c>
      <c r="BB466" s="102" t="str">
        <f>IF(A466="","",
  SUM(
    COUNTIFS('QA Log'!D:D,A466,'QA Log'!M:M,"Vignette",'QA Log'!Z:Z,"Rejected",'QA Log'!L:L,"*Vignette [1] Respiratory Infection: Pneumonia*"),
    COUNTIFS('QA Log'!D:D,A466,'QA Log'!M:M,"Vignette",'QA Log'!Z:Z,"Rejected",'QA Log'!L:L,"*Vignette [2]: Diarrhea with Cat B dehydration*"),
    COUNTIFS('QA Log'!D:D,A466,'QA Log'!M:M,"Vignette",'QA Log'!Z:Z,"Rejected",'QA Log'!L:L,"*Vignette [3] Growth Monitoring and Promotion*"),
    COUNTIFS('QA Log'!D:D,A466,'QA Log'!M:M,"Vignette",'QA Log'!Z:Z,"Rejected",'QA Log'!L:L,"*Vignette [4]: The management of presumptive TB patient*")
  )
)</f>
        <v/>
      </c>
      <c r="BC466" s="107" t="str">
        <f t="shared" si="35"/>
        <v/>
      </c>
      <c r="BD466" s="103" t="str">
        <f t="shared" si="36"/>
        <v/>
      </c>
      <c r="BE466" s="102" t="str">
        <f>IF(A466="","",SUM(
COUNTIFS('QA Log'!D:D,A466,'QA Log'!M:M,"Vignette",'QA Log'!L:L,"*Vignette [5] Labor*"),
COUNTIFS('QA Log'!D:D,A466,'QA Log'!M:M,"Vignette",'QA Log'!L:L,"*Vignette [6] PNC pre Discharge*"),
COUNTIFS('QA Log'!D:D,A466,'QA Log'!M:M,"Vignette",'QA Log'!L:L,"*Vignette [7] First ANC Visit*"),
COUNTIFS('QA Log'!D:D,A466,'QA Log'!M:M,"Vignette",'QA Log'!L:L,"*Vignette [8] Birth Spacing/ Family Planning :  FP Counselling*"),
COUNTIFS('QA Log'!D:D,A466,'QA Log'!M:M,"Vignette",'QA Log'!L:L,"*Vignette [9] Birth Spacing: Change FP method to Injectable*"),
COUNTIFS('QA Log'!D:D,A466,'QA Log'!M:M,"Vignette",'QA Log'!L:L,"*Vignette [10] Post Partum Haemorrhage - Atonic Uterus at Health Centre*"),
)
)</f>
        <v/>
      </c>
      <c r="BF466" s="102" t="str">
        <f>IF(A466="","",
  SUM(
    COUNTIFS('QA Log'!D:D,A466,'QA Log'!M:M,"Vignette",'QA Log'!Z:Z,"Approved",'QA Log'!L:L,"*Vignette [5] Labor*"),
    COUNTIFS('QA Log'!D:D,A466,'QA Log'!M:M,"Vignette",'QA Log'!Z:Z,"Approved",'QA Log'!L:L,"*Vignette [6] PNC pre Discharge*"),
    COUNTIFS('QA Log'!D:D,A466,'QA Log'!M:M,"Vignette",'QA Log'!Z:Z,"Approved",'QA Log'!L:L,"*Vignette [7] First ANC Visit*"),
    COUNTIFS('QA Log'!D:D,A466,'QA Log'!M:M,"Vignette",'QA Log'!Z:Z,"Approved",'QA Log'!L:L,"*Vignette [8] Birth Spacing/ Family Planning :  FP Counselling*"),
    COUNTIFS('QA Log'!D:D,A466,'QA Log'!M:M,"Vignette",'QA Log'!Z:Z,"Approved",'QA Log'!L:L,"*Vignette [9] Birth Spacing: Change FP method to Injectable*"),
    COUNTIFS('QA Log'!D:D,A466,'QA Log'!M:M,"Vignette",'QA Log'!Z:Z,"Approved",'QA Log'!L:L,"*Vignette [10] Post Partum Haemorrhage - Atonic Uterus at Health Centre*")
  )
)</f>
        <v/>
      </c>
      <c r="BG466" s="105" t="str">
        <f>IF(A466&lt;&gt;"",COUNTIFS('QA Log'!D:D,A466,'QA Log'!M:M,"Vignette",'QA Log'!L:L,"Vignette [5] Labor",'QA Log'!Z:Z,"Approved"),"")</f>
        <v/>
      </c>
      <c r="BH466" s="105" t="str">
        <f>IF(A466&lt;&gt;"",COUNTIFS('QA Log'!D:D,A466,'QA Log'!M:M,"Vignette",'QA Log'!L:L,"Vignette [6] PNC pre Discharge",'QA Log'!Z:Z,"Approved"),"")</f>
        <v/>
      </c>
      <c r="BI466" s="105" t="str">
        <f>IF(A466&lt;&gt;"",COUNTIFS('QA Log'!D:D,A466,'QA Log'!M:M,"Vignette",'QA Log'!L:L,"Vignette [7] First ANC Visit",'QA Log'!Z:Z,"Approved"),"")</f>
        <v/>
      </c>
      <c r="BJ466" s="105" t="str">
        <f>IF(A466&lt;&gt;"",COUNTIFS('QA Log'!D:D,A466,'QA Log'!M:M,"Vignette",'QA Log'!L:L,"Vignette [8] Birth Spacing/ Family Planning :  FP Counselling",'QA Log'!Z:Z,"Approved"),"")</f>
        <v/>
      </c>
      <c r="BK466" s="105" t="str">
        <f>IF(A466&lt;&gt;"",COUNTIFS('QA Log'!D:D,A466,'QA Log'!M:M,"Vignette",'QA Log'!L:L,"Vignette [9] Birth Spacing: Change FP method to Injectable",'QA Log'!Z:Z,"Approved"),"")</f>
        <v/>
      </c>
      <c r="BL466" s="105" t="str">
        <f>IF(A466&lt;&gt;"",COUNTIFS('QA Log'!D:D,A466,'QA Log'!M:M,"Vignette",'QA Log'!L:L,"Vignette [10] Post Partum Haemorrhage - Atonic Uterus at Health Centre",'QA Log'!Z:Z,"Approved"),"")</f>
        <v/>
      </c>
      <c r="BM466" s="102" t="str">
        <f>IF(A466="","",SUM(
    COUNTIFS('QA Log'!D:D,A466,'QA Log'!M:M,"Vignette",'QA Log'!Z:Z,"Rejected",'QA Log'!L:L,"*Vignette [5] Labor*"),
    COUNTIFS('QA Log'!D:D,A466,'QA Log'!M:M,"Vignette",'QA Log'!Z:Z,"Rejected",'QA Log'!L:L,"*Vignette [6] PNC pre Discharge*"),
    COUNTIFS('QA Log'!D:D,A466,'QA Log'!M:M,"Vignette",'QA Log'!Z:Z,"Rejected",'QA Log'!L:L,"*Vignette [7] First ANC Visit*"),
    COUNTIFS('QA Log'!D:D,A466,'QA Log'!M:M,"Vignette",'QA Log'!Z:Z,"Rejected",'QA Log'!L:L,"*Vignette [8] Birth Spacing/ Family Planning :  FP Counselling*"),
    COUNTIFS('QA Log'!D:D,A466,'QA Log'!M:M,"Vignette",'QA Log'!Z:Z,"Rejected",'QA Log'!L:L,"*Vignette [9] Birth Spacing: Change FP method to Injectable*"),
    COUNTIFS('QA Log'!D:D,A466,'QA Log'!M:M,"Vignette",'QA Log'!Z:Z,"Rejected",'QA Log'!L:L,"*Vignette [10] Post Partum Haemorrhage - Atonic Uterus at Health Centre*")
  )
)</f>
        <v/>
      </c>
      <c r="BN466" s="107" t="str">
        <f t="shared" si="37"/>
        <v/>
      </c>
      <c r="BO466" s="103" t="str">
        <f t="shared" si="38"/>
        <v/>
      </c>
      <c r="BP466" s="102" t="str">
        <f>IF(A466="","",SUM(
COUNTIFS('QA Log'!D:D,A466,'QA Log'!M:M,"Vignette",'QA Log'!L:L,"*Exit Interview 1*"),
COUNTIFS('QA Log'!D:D,A466,'QA Log'!M:M,"Vignette",'QA Log'!L:L,"*Exit Interview 2*"),
)
)</f>
        <v/>
      </c>
      <c r="BQ466" s="102" t="str">
        <f>IF(
  A466="","",
  SUM(
    COUNTIFS('QA Log'!D:D,A466,'QA Log'!M:M,"Vignette",'QA Log'!Z:Z,"Approved",'QA Log'!L:L,"*Exit Interview 1*"),
    COUNTIFS('QA Log'!D:D,A466,'QA Log'!M:M,"Vignette",'QA Log'!Z:Z,"Approved",'QA Log'!L:L,"*Exit Interview 2*")
  )
)</f>
        <v/>
      </c>
      <c r="BR466" s="105" t="str">
        <f>IF(A466&lt;&gt;"",COUNTIFS('QA Log'!D:D,A466,'QA Log'!M:M,"Vignette",'QA Log'!L:L,"Exit Interview 1",'QA Log'!Z:Z,"Approved"),"")</f>
        <v/>
      </c>
      <c r="BS466" s="105" t="str">
        <f>IF(A466&lt;&gt;"",COUNTIFS('QA Log'!D:D,A466,'QA Log'!M:M,"Vignette",'QA Log'!L:L,"Exit Interview 2",'QA Log'!Z:Z,"Approved"),"")</f>
        <v/>
      </c>
      <c r="BT466" s="102" t="str">
        <f>IF(
  A466="","",
  SUM(
    COUNTIFS('QA Log'!D:D,A466,'QA Log'!M:M,"Vignette",'QA Log'!Z:Z,"Rejected",'QA Log'!L:L,"*Exit Interview 1*"),
    COUNTIFS('QA Log'!D:D,A466,'QA Log'!M:M,"Vignette",'QA Log'!Z:Z,"Rejected",'QA Log'!L:L,"*Exit Interview 2*")
  )
)</f>
        <v/>
      </c>
      <c r="BU466" s="107" t="str">
        <f t="shared" si="39"/>
        <v/>
      </c>
      <c r="BV466" s="102" t="str">
        <f t="shared" si="40"/>
        <v/>
      </c>
      <c r="BW466" s="102" t="str">
        <f t="shared" si="41"/>
        <v/>
      </c>
      <c r="BX466" s="102" t="str">
        <f t="shared" si="42"/>
        <v/>
      </c>
      <c r="BY466" s="102" t="str">
        <f t="shared" si="43"/>
        <v/>
      </c>
      <c r="BZ466" s="107" t="str">
        <f t="shared" si="44"/>
        <v/>
      </c>
      <c r="CA466" s="108" t="str">
        <f t="shared" si="45"/>
        <v/>
      </c>
      <c r="CB466" s="108" t="str">
        <f t="shared" si="46"/>
        <v/>
      </c>
      <c r="CC466" s="109" t="str">
        <f t="shared" si="47"/>
        <v/>
      </c>
      <c r="CD466" s="108" t="str">
        <f t="shared" si="48"/>
        <v/>
      </c>
      <c r="CE466" s="108" t="str">
        <f t="shared" si="49"/>
        <v/>
      </c>
      <c r="CF466" s="109" t="str">
        <f t="shared" si="50"/>
        <v/>
      </c>
      <c r="CG466" s="110" t="str">
        <f t="shared" si="51"/>
        <v/>
      </c>
      <c r="CH466" s="111"/>
    </row>
    <row r="467" spans="1:86" ht="12.75">
      <c r="A467" s="101"/>
      <c r="B467" s="102" t="e">
        <f t="array" aca="1" ref="B467" ca="1">_xludf.XLOOKUP(A467,'QA Log'!D:D,'QA Log'!E:E,"")</f>
        <v>#NAME?</v>
      </c>
      <c r="C467" s="102" t="e">
        <f t="array" aca="1" ref="C467" ca="1">_xludf.XLOOKUP(A467,'QA Log'!D:D,'QA Log'!F:F,"")</f>
        <v>#NAME?</v>
      </c>
      <c r="D467" s="102" t="e">
        <f t="array" aca="1" ref="D467" ca="1">_xludf.XLOOKUP(A467,'QA Log'!D:D,'QA Log'!H:H,"")</f>
        <v>#NAME?</v>
      </c>
      <c r="E467" s="102" t="e">
        <f t="array" aca="1" ref="E467" ca="1">_xludf.XLOOKUP(A467,'QA Log'!D:D,'QA Log'!G:G,"")</f>
        <v>#NAME?</v>
      </c>
      <c r="F467" s="103"/>
      <c r="G467" s="104"/>
      <c r="H467" s="104"/>
      <c r="I467" s="103" t="str">
        <f t="shared" si="26"/>
        <v/>
      </c>
      <c r="J467" s="102" t="str">
        <f>IF(A467="","",SUM(
COUNTIFS('QA Log'!D:D,A467,'QA Log'!M:M,"QQC",'QA Log'!L:L,"*1. General Management*"),
COUNTIFS('QA Log'!D:D,A467,'QA Log'!M:M,"QQC",'QA Log'!L:L,"*3. Curative Consultation (OPD)*"),
COUNTIFS('QA Log'!D:D,A467,'QA Log'!M:M,"QQC",'QA Log'!L:L,"*5. Laboratory*"),
COUNTIFS('QA Log'!D:D,A467,'QA Log'!M:M,"QQC",'QA Log'!L:L,"*6. Essential Medicine Management*"),
COUNTIFS('QA Log'!D:D,A467,'QA Log'!M:M,"QQC",'QA Log'!L:L,"*7. Tracer Medicine*"),
COUNTIFS('QA Log'!D:D,A467,'QA Log'!M:M,"QQC",'QA Log'!L:L,"*11. Additional Questions*")))</f>
        <v/>
      </c>
      <c r="K467" s="102" t="str">
        <f>IF(A467="","",SUM(
COUNTIFS('QA Log'!D:D,A467,'QA Log'!M:M,"QQC",'QA Log'!Z:Z,"Approved",'QA Log'!L:L,"*1. General Management*"),
COUNTIFS('QA Log'!D:D,A467,'QA Log'!M:M,"QQC",'QA Log'!Z:Z,"Approved",'QA Log'!L:L,"*3. Curative Consultation (OPD)*"),
COUNTIFS('QA Log'!D:D,A467,'QA Log'!M:M,"QQC",'QA Log'!Z:Z,"Approved",'QA Log'!L:L,"*5. Laboratory*"),
COUNTIFS('QA Log'!D:D,A467,'QA Log'!M:M,"QQC",'QA Log'!Z:Z,"Approved",'QA Log'!L:L,"*6. Essential Medicine Management*"),
COUNTIFS('QA Log'!D:D,A467,'QA Log'!M:M,"QQC",'QA Log'!Z:Z,"Approved",'QA Log'!L:L,"*7. Tracer Medicine*"),
COUNTIFS('QA Log'!D:D,A467,'QA Log'!M:M,"QQC",'QA Log'!Z:Z,"Approved",'QA Log'!L:L,"*11. Additional Questions*")))</f>
        <v/>
      </c>
      <c r="L467" s="102" t="str">
        <f>IF(A467&lt;&gt;"",COUNTIFS('QA Log'!D:D,A467,'QA Log'!M:M,"QQC",'QA Log'!L:L,"1. General Management",'QA Log'!Z:Z,"Approved"),"")</f>
        <v/>
      </c>
      <c r="M467" s="102" t="str">
        <f>IF(A467&lt;&gt;"",COUNTIFS('QA Log'!D:D,A467,'QA Log'!M:M,"QQC",'QA Log'!L:L,"3. Curative Consultation (OPD)",'QA Log'!Z:Z,"Approved"),"")</f>
        <v/>
      </c>
      <c r="N467" s="102" t="str">
        <f>IF(A467&lt;&gt;"",COUNTIFS('QA Log'!D:D,A467,'QA Log'!M:M,"QQC",'QA Log'!L:L,"5. Laboratory",'QA Log'!Z:Z,"Approved"),"")</f>
        <v/>
      </c>
      <c r="O467" s="102" t="str">
        <f>IF(A467&lt;&gt;"",COUNTIFS('QA Log'!D:D,A467,'QA Log'!M:M,"QQC",'QA Log'!L:L,"6. Essential Medicine Management",'QA Log'!Z:Z,"Approved"),"")</f>
        <v/>
      </c>
      <c r="P467" s="102" t="str">
        <f>IF(A467&lt;&gt;"",COUNTIFS('QA Log'!D:D,A467,'QA Log'!M:M,"QQC",'QA Log'!L:L,"7. Tracer Medicine",'QA Log'!Z:Z,"Approved"),"")</f>
        <v/>
      </c>
      <c r="Q467" s="102" t="str">
        <f>IF(A467&lt;&gt;"",COUNTIFS('QA Log'!D:D,A467,'QA Log'!M:M,"QQC",'QA Log'!L:L,"11. Additional Questions",'QA Log'!Z:Z,"Approved"),"")</f>
        <v/>
      </c>
      <c r="R467" s="102" t="str">
        <f>IF(A467="","",SUM(
COUNTIFS('QA Log'!D:D,A467,'QA Log'!M:M,"QQC",'QA Log'!Z:Z,"Rejected",'QA Log'!L:L,"*8. Maternity*"),
COUNTIFS('QA Log'!D:D,A467,'QA Log'!M:M,"QQC",'QA Log'!Z:Z,"Rejected",'QA Log'!L:L,"*EPI*"),
COUNTIFS('QA Log'!D:D,A467,'QA Log'!M:M,"QQC",'QA Log'!Z:Z,"Rejected",'QA Log'!L:L,"*10. Antenatal Care (ANC)*"),
COUNTIFS('QA Log'!D:D,A467,'QA Log'!M:M,"QQC",'QA Log'!Z:Z,"Rejected",'QA Log'!L:L,"*2. Hygiene and Sterilization*"),
COUNTIFS('QA Log'!D:D,A467,'QA Log'!M:M,"QQC",'QA Log'!Z:Z,"Rejected",'QA Log'!L:L,"*Family Planning*")))</f>
        <v/>
      </c>
      <c r="S467" s="106" t="str">
        <f t="shared" si="27"/>
        <v/>
      </c>
      <c r="T467" s="102" t="str">
        <f t="shared" si="28"/>
        <v/>
      </c>
      <c r="U467" s="102" t="str">
        <f>IF(A467="","",
SUM(
COUNTIFS('QA Log'!D:D,A467,'QA Log'!M:M,"QQC",'QA Log'!L:L,"*8. Maternity*"),
COUNTIFS('QA Log'!D:D,A467,'QA Log'!M:M,"QQC",'QA Log'!L:L,"*9. EPI and Pre-school Consultation*"),
COUNTIFS('QA Log'!D:D,A467,'QA Log'!M:M,"QQC",'QA Log'!L:L,"*10. Antenatal Care (ANC)*"),
COUNTIFS('QA Log'!D:D,A467,'QA Log'!M:M,"QQC",'QA Log'!L:L,"*2. Hygiene and Sterilization*"),
COUNTIFS('QA Log'!D:D,A467,'QA Log'!M:M,"QQC",'QA Log'!L:L,"*4. Family Planning*")
))</f>
        <v/>
      </c>
      <c r="V467" s="102" t="str">
        <f>IF(A467="","",
SUM(
COUNTIFS('QA Log'!D:D,A467,'QA Log'!M:M,"QQC",'QA Log'!Z:Z,"Approved",'QA Log'!L:L,"*8. Maternity*"),
COUNTIFS('QA Log'!D:D,A467,'QA Log'!M:M,"QQC",'QA Log'!Z:Z,"Approved",'QA Log'!L:L,"*9. EPI and Pre-school Consultation*"),
COUNTIFS('QA Log'!D:D,A467,'QA Log'!M:M,"QQC",'QA Log'!Z:Z,"Approved",'QA Log'!L:L,"*10. Antenatal Care (ANC)*"),
COUNTIFS('QA Log'!D:D,A467,'QA Log'!M:M,"QQC",'QA Log'!Z:Z,"Approved",'QA Log'!L:L,"*2. Hygiene and Sterilization*"),
COUNTIFS('QA Log'!D:D,A467,'QA Log'!M:M,"QQC",'QA Log'!Z:Z,"Approved",'QA Log'!L:L,"*4. Family Planning*")
))</f>
        <v/>
      </c>
      <c r="W467" s="102" t="str">
        <f>IF(A467&lt;&gt;"",COUNTIFS('QA Log'!D:D,A467,'QA Log'!M:M,"QQC",'QA Log'!L:L,"8. Maternity",'QA Log'!Z:Z,"Approved"),"")</f>
        <v/>
      </c>
      <c r="X467" s="105" t="str">
        <f>IF(A467&lt;&gt;"",COUNTIFS('QA Log'!D:D,A467,'QA Log'!M:M,"QQC",'QA Log'!L:L,"9. EPI and Pre-school Consultation",'QA Log'!Z:Z,"Approved"),"")</f>
        <v/>
      </c>
      <c r="Y467" s="102" t="str">
        <f>IF(A467&lt;&gt;"",COUNTIFS('QA Log'!D:D,A467,'QA Log'!M:M,"QQC",'QA Log'!L:L,"10. Antenatal Care (ANC)",'QA Log'!Z:Z,"Approved"),"")</f>
        <v/>
      </c>
      <c r="Z467" s="102" t="str">
        <f>IF(A467&lt;&gt;"",COUNTIFS('QA Log'!D:D,A467,'QA Log'!M:M,"QQC",'QA Log'!L:L,"2. Hygiene and Sterilization",'QA Log'!Z:Z,"Approved"),"")</f>
        <v/>
      </c>
      <c r="AA467" s="105" t="str">
        <f>IF(A467&lt;&gt;"",COUNTIFS('QA Log'!D:D,A467,'QA Log'!M:M,"QQC",'QA Log'!L:L,"4. Family Planning",'QA Log'!Z:Z,"Approved"),"")</f>
        <v/>
      </c>
      <c r="AB467" s="102" t="str">
        <f>IF(A467="","",
SUM(
COUNTIFS('QA Log'!D:D,A467,'QA Log'!M:M,"QQC",'QA Log'!Z:Z,"Rejected",'QA Log'!L:L,"*8. Maternity*"),
COUNTIFS('QA Log'!D:D,A467,'QA Log'!M:M,"QQC",'QA Log'!Z:Z,"Rejected",'QA Log'!L:L,"*9. EPI and Pre-school Consultation*"),
COUNTIFS('QA Log'!D:D,A467,'QA Log'!M:M,"QQC",'QA Log'!Z:Z,"Rejected",'QA Log'!L:L,"*10. Antenatal Care (ANC)*"),
COUNTIFS('QA Log'!D:D,A467,'QA Log'!M:M,"QQC",'QA Log'!Z:Z,"Rejected",'QA Log'!L:L,"*2. Hygiene and Sterilization*"),
COUNTIFS('QA Log'!D:D,A467,'QA Log'!M:M,"QQC",'QA Log'!Z:Z,"Rejected",'QA Log'!L:L,"*4. Family Planning*")
))</f>
        <v/>
      </c>
      <c r="AC467" s="102" t="str">
        <f t="shared" si="29"/>
        <v/>
      </c>
      <c r="AD467" s="103" t="str">
        <f t="shared" si="30"/>
        <v/>
      </c>
      <c r="AE467" s="102" t="str">
        <f>IF(A467="","",
SUM(
COUNTIFS('QA Log'!D:D,A467,'QA Log'!M:M,"Data Verification",'QA Log'!L:L,"*Medicine (section 2)*"),
COUNTIFS('QA Log'!D:D,A467,'QA Log'!M:M,"Data Verification",'QA Log'!L:L,"*Lab Testing Availability*"),
COUNTIFS('QA Log'!D:D,A467,'QA Log'!M:M,"Data Verification",'QA Log'!L:L,"*Other than P4P (section 6)*"),
COUNTIFS('QA Log'!D:D,A467,'QA Log'!M:M,"Data Verification",'QA Log'!L:L,"*Hospital Governance*")
))</f>
        <v/>
      </c>
      <c r="AF467" s="102" t="str">
        <f>IF(A467="","",
SUM(
COUNTIFS('QA Log'!D:D,A467,'QA Log'!M:M,"Data Verification",'QA Log'!Z:Z,"Approved",'QA Log'!L:L,"*Medicine (section 2)*"),
COUNTIFS('QA Log'!D:D,A467,'QA Log'!M:M,"Data Verification",'QA Log'!Z:Z,"Approved",'QA Log'!L:L,"*Lab Testing Availability*"),
COUNTIFS('QA Log'!D:D,A467,'QA Log'!M:M,"Data Verification",'QA Log'!Z:Z,"Approved",'QA Log'!L:L,"*Other than P4P (section 6)*"),
COUNTIFS('QA Log'!D:D,A467,'QA Log'!M:M,"Data Verification",'QA Log'!Z:Z,"Approved",'QA Log'!L:L,"*Hospital Governance*")
))</f>
        <v/>
      </c>
      <c r="AG467" s="105" t="str">
        <f>IF(A467&lt;&gt;"",COUNTIFS('QA Log'!D:D,A467,'QA Log'!M:M,"Data Verification",'QA Log'!L:L,"Medicine (section 2)",'QA Log'!Z:Z,"Approved"),"")</f>
        <v/>
      </c>
      <c r="AH467" s="105" t="str">
        <f>IF(A467&lt;&gt;"",COUNTIFS('QA Log'!D:D,A467,'QA Log'!M:M,"Data Verification",'QA Log'!L:L,"Lab Testing Availability",'QA Log'!Z:Z,"Approved"),"")</f>
        <v/>
      </c>
      <c r="AI467" s="105" t="str">
        <f>IF(A467&lt;&gt;"",COUNTIFS('QA Log'!D:D,A467,'QA Log'!M:M,"Data Verification",'QA Log'!L:L,"Other than P4P (section 6)",'QA Log'!Z:Z,"Approved"),"")</f>
        <v/>
      </c>
      <c r="AJ467" s="105" t="str">
        <f>IF(A467&lt;&gt;"",COUNTIFS('QA Log'!D:D,A467,'QA Log'!M:M,"Data Verification",'QA Log'!L:L,"Hospital Governance",'QA Log'!Z:Z,"Approved"),"")</f>
        <v/>
      </c>
      <c r="AK467" s="102" t="str">
        <f>IF(A467="","",
SUM(
COUNTIFS('QA Log'!D:D,A467,'QA Log'!M:M,"Data Verification",'QA Log'!Z:Z,"Rejected",'QA Log'!L:L,"*Medicine (section 2)*"),
COUNTIFS('QA Log'!D:D,A467,'QA Log'!M:M,"Data Verification",'QA Log'!Z:Z,"Rejected",'QA Log'!L:L,"*Lab Testing Availability*"),
COUNTIFS('QA Log'!D:D,A467,'QA Log'!M:M,"Data Verification",'QA Log'!Z:Z,"Rejected",'QA Log'!L:L,"*Other than P4P (section 6)*"),
COUNTIFS('QA Log'!D:D,A467,'QA Log'!M:M,"Data Verification",'QA Log'!Z:Z,"Rejected",'QA Log'!L:L,"*Hospital Governance*")
))</f>
        <v/>
      </c>
      <c r="AL467" s="106" t="str">
        <f t="shared" si="31"/>
        <v/>
      </c>
      <c r="AM467" s="102" t="str">
        <f t="shared" si="32"/>
        <v/>
      </c>
      <c r="AN467" s="102" t="str">
        <f>IF(A467="","",
SUM(
COUNTIFS('QA Log'!D:D,A467,'QA Log'!M:M,"Data Verification",'QA Log'!L:L,"*Personnel (section 1)*"),
COUNTIFS('QA Log'!D:D,A467,'QA Log'!M:M,"Data Verification",'QA Log'!L:L,"*Consumable (section 3)*"),
COUNTIFS('QA Log'!D:D,A467,'QA Log'!M:M,"Data Verification",'QA Log'!L:L,"*Equipments (section 4)*")
))</f>
        <v/>
      </c>
      <c r="AO467" s="102" t="str">
        <f>IF(A467="","",
SUM(
COUNTIFS('QA Log'!D:D,A467,'QA Log'!M:M,"Data Verification",'QA Log'!Z:Z,"Approved",'QA Log'!L:L,"*Personnel (section 1)*"),
COUNTIFS('QA Log'!D:D,A467,'QA Log'!M:M,"Data Verification",'QA Log'!Z:Z,"Approved",'QA Log'!L:L,"*Consumable (section 3)*"),
COUNTIFS('QA Log'!D:D,A467,'QA Log'!M:M,"Data Verification",'QA Log'!Z:Z,"Approved",'QA Log'!L:L,"*Equipments (section 4)*")
))</f>
        <v/>
      </c>
      <c r="AP467" s="105" t="str">
        <f>IF(A467&lt;&gt;"",COUNTIFS('QA Log'!D:D,A467,'QA Log'!M:M,"Data Verification",'QA Log'!L:L,"Personnel (section 1)",'QA Log'!Z:Z,"Approved"),"")</f>
        <v/>
      </c>
      <c r="AQ467" s="105" t="str">
        <f>IF(A467&lt;&gt;"",COUNTIFS('QA Log'!D:D,A467,'QA Log'!M:M,"Data Verification",'QA Log'!L:L,"Consumable (section 3)",'QA Log'!Z:Z,"Approved"),"")</f>
        <v/>
      </c>
      <c r="AR467" s="105" t="str">
        <f>IF(A467&lt;&gt;"",COUNTIFS('QA Log'!D:D,A467,'QA Log'!M:M,"Data Verification",'QA Log'!L:L,"Equipments (section 4)",'QA Log'!Z:Z,"Approved"),"")</f>
        <v/>
      </c>
      <c r="AS467" s="102" t="str">
        <f>IF(A467="","",
SUM(
COUNTIFS('QA Log'!D:D,A467,'QA Log'!M:M,"Data Verification",'QA Log'!Z:Z,"Rejected",'QA Log'!L:L,"*Personnel (section 1)*"),
COUNTIFS('QA Log'!D:D,A467,'QA Log'!M:M,"Data Verification",'QA Log'!Z:Z,"Rejected",'QA Log'!L:L,"*Consumable (section 3)*"),
COUNTIFS('QA Log'!D:D,A467,'QA Log'!M:M,"Data Verification",'QA Log'!Z:Z,"Rejected",'QA Log'!L:L,"*Equipments (section 4)*")
))</f>
        <v/>
      </c>
      <c r="AT467" s="102" t="str">
        <f t="shared" si="33"/>
        <v/>
      </c>
      <c r="AU467" s="103" t="str">
        <f t="shared" si="34"/>
        <v/>
      </c>
      <c r="AV467" s="102" t="str">
        <f>IF(A467="","",SUM(
COUNTIFS('QA Log'!D:D,A467,'QA Log'!M:M,"Vignette",'QA Log'!L:L,"*Vignette [1] Respiratory Infection: Pneumonia*"),
COUNTIFS('QA Log'!D:D,A467,'QA Log'!M:M,"Vignette",'QA Log'!L:L,"*Vignette [2]: Diarrhea with Cat B dehydration*"),
COUNTIFS('QA Log'!D:D,A467,'QA Log'!M:M,"Vignette",'QA Log'!L:L,"*Vignette [3] Growth Monitoring and Promotion*"),
COUNTIFS('QA Log'!D:D,A467,'QA Log'!M:M,"Vignette",'QA Log'!L:L,"*Vignette [4]: The management of presumptive TB patient*")
)
)</f>
        <v/>
      </c>
      <c r="AW467" s="102" t="str">
        <f>IF(
  A467="","",
  SUM(
    COUNTIFS('QA Log'!D:D,A467,'QA Log'!M:M,"Vignette",'QA Log'!Z:Z,"Approved",'QA Log'!L:L,"*Vignette [1] Respiratory Infection: Pneumonia*"),
    COUNTIFS('QA Log'!D:D,A467,'QA Log'!M:M,"Vignette",'QA Log'!Z:Z,"Approved",'QA Log'!L:L,"*Vignette [2]: Diarrhea with Cat B dehydration*"),
    COUNTIFS('QA Log'!D:D,A467,'QA Log'!M:M,"Vignette",'QA Log'!Z:Z,"Approved",'QA Log'!L:L,"*Vignette [3] Growth Monitoring and Promotion*"),
    COUNTIFS('QA Log'!D:D,A467,'QA Log'!M:M,"Vignette",'QA Log'!Z:Z,"Approved",'QA Log'!L:L,"*Vignette [4]: The management of presumptive TB patient*")
  )
)</f>
        <v/>
      </c>
      <c r="AX467" s="105" t="str">
        <f>IF(A467&lt;&gt;"",COUNTIFS('QA Log'!D:D,A467,'QA Log'!M:M,"Vignette",'QA Log'!L:L,"Vignette [1] Respiratory Infection: Pneumonia",'QA Log'!Z:Z,"Approved"),"")</f>
        <v/>
      </c>
      <c r="AY467" s="105" t="str">
        <f>IF(A467&lt;&gt;"",COUNTIFS('QA Log'!D:D,A467,'QA Log'!M:M,"Vignette",'QA Log'!L:L,"Vignette [2]: Diarrhea with Cat B dehydration",'QA Log'!Z:Z,"Approved"),"")</f>
        <v/>
      </c>
      <c r="AZ467" s="105" t="str">
        <f>IF(A467&lt;&gt;"",COUNTIFS('QA Log'!D:D,A467,'QA Log'!M:M,"Vignette",'QA Log'!L:L,"Vignette [3] Growth Monitoring and Promotion",'QA Log'!Z:Z,"Approved"),"")</f>
        <v/>
      </c>
      <c r="BA467" s="105" t="str">
        <f>IF(A467&lt;&gt;"",COUNTIFS('QA Log'!D:D,A467,'QA Log'!M:M,"Vignette",'QA Log'!L:L,"Vignette [4]: The management of presumptive TB patient",'QA Log'!Z:Z,"Approved"),"")</f>
        <v/>
      </c>
      <c r="BB467" s="102" t="str">
        <f>IF(A467="","",
  SUM(
    COUNTIFS('QA Log'!D:D,A467,'QA Log'!M:M,"Vignette",'QA Log'!Z:Z,"Rejected",'QA Log'!L:L,"*Vignette [1] Respiratory Infection: Pneumonia*"),
    COUNTIFS('QA Log'!D:D,A467,'QA Log'!M:M,"Vignette",'QA Log'!Z:Z,"Rejected",'QA Log'!L:L,"*Vignette [2]: Diarrhea with Cat B dehydration*"),
    COUNTIFS('QA Log'!D:D,A467,'QA Log'!M:M,"Vignette",'QA Log'!Z:Z,"Rejected",'QA Log'!L:L,"*Vignette [3] Growth Monitoring and Promotion*"),
    COUNTIFS('QA Log'!D:D,A467,'QA Log'!M:M,"Vignette",'QA Log'!Z:Z,"Rejected",'QA Log'!L:L,"*Vignette [4]: The management of presumptive TB patient*")
  )
)</f>
        <v/>
      </c>
      <c r="BC467" s="107" t="str">
        <f t="shared" si="35"/>
        <v/>
      </c>
      <c r="BD467" s="103" t="str">
        <f t="shared" si="36"/>
        <v/>
      </c>
      <c r="BE467" s="102" t="str">
        <f>IF(A467="","",SUM(
COUNTIFS('QA Log'!D:D,A467,'QA Log'!M:M,"Vignette",'QA Log'!L:L,"*Vignette [5] Labor*"),
COUNTIFS('QA Log'!D:D,A467,'QA Log'!M:M,"Vignette",'QA Log'!L:L,"*Vignette [6] PNC pre Discharge*"),
COUNTIFS('QA Log'!D:D,A467,'QA Log'!M:M,"Vignette",'QA Log'!L:L,"*Vignette [7] First ANC Visit*"),
COUNTIFS('QA Log'!D:D,A467,'QA Log'!M:M,"Vignette",'QA Log'!L:L,"*Vignette [8] Birth Spacing/ Family Planning :  FP Counselling*"),
COUNTIFS('QA Log'!D:D,A467,'QA Log'!M:M,"Vignette",'QA Log'!L:L,"*Vignette [9] Birth Spacing: Change FP method to Injectable*"),
COUNTIFS('QA Log'!D:D,A467,'QA Log'!M:M,"Vignette",'QA Log'!L:L,"*Vignette [10] Post Partum Haemorrhage - Atonic Uterus at Health Centre*"),
)
)</f>
        <v/>
      </c>
      <c r="BF467" s="102" t="str">
        <f>IF(A467="","",
  SUM(
    COUNTIFS('QA Log'!D:D,A467,'QA Log'!M:M,"Vignette",'QA Log'!Z:Z,"Approved",'QA Log'!L:L,"*Vignette [5] Labor*"),
    COUNTIFS('QA Log'!D:D,A467,'QA Log'!M:M,"Vignette",'QA Log'!Z:Z,"Approved",'QA Log'!L:L,"*Vignette [6] PNC pre Discharge*"),
    COUNTIFS('QA Log'!D:D,A467,'QA Log'!M:M,"Vignette",'QA Log'!Z:Z,"Approved",'QA Log'!L:L,"*Vignette [7] First ANC Visit*"),
    COUNTIFS('QA Log'!D:D,A467,'QA Log'!M:M,"Vignette",'QA Log'!Z:Z,"Approved",'QA Log'!L:L,"*Vignette [8] Birth Spacing/ Family Planning :  FP Counselling*"),
    COUNTIFS('QA Log'!D:D,A467,'QA Log'!M:M,"Vignette",'QA Log'!Z:Z,"Approved",'QA Log'!L:L,"*Vignette [9] Birth Spacing: Change FP method to Injectable*"),
    COUNTIFS('QA Log'!D:D,A467,'QA Log'!M:M,"Vignette",'QA Log'!Z:Z,"Approved",'QA Log'!L:L,"*Vignette [10] Post Partum Haemorrhage - Atonic Uterus at Health Centre*")
  )
)</f>
        <v/>
      </c>
      <c r="BG467" s="105" t="str">
        <f>IF(A467&lt;&gt;"",COUNTIFS('QA Log'!D:D,A467,'QA Log'!M:M,"Vignette",'QA Log'!L:L,"Vignette [5] Labor",'QA Log'!Z:Z,"Approved"),"")</f>
        <v/>
      </c>
      <c r="BH467" s="105" t="str">
        <f>IF(A467&lt;&gt;"",COUNTIFS('QA Log'!D:D,A467,'QA Log'!M:M,"Vignette",'QA Log'!L:L,"Vignette [6] PNC pre Discharge",'QA Log'!Z:Z,"Approved"),"")</f>
        <v/>
      </c>
      <c r="BI467" s="105" t="str">
        <f>IF(A467&lt;&gt;"",COUNTIFS('QA Log'!D:D,A467,'QA Log'!M:M,"Vignette",'QA Log'!L:L,"Vignette [7] First ANC Visit",'QA Log'!Z:Z,"Approved"),"")</f>
        <v/>
      </c>
      <c r="BJ467" s="105" t="str">
        <f>IF(A467&lt;&gt;"",COUNTIFS('QA Log'!D:D,A467,'QA Log'!M:M,"Vignette",'QA Log'!L:L,"Vignette [8] Birth Spacing/ Family Planning :  FP Counselling",'QA Log'!Z:Z,"Approved"),"")</f>
        <v/>
      </c>
      <c r="BK467" s="105" t="str">
        <f>IF(A467&lt;&gt;"",COUNTIFS('QA Log'!D:D,A467,'QA Log'!M:M,"Vignette",'QA Log'!L:L,"Vignette [9] Birth Spacing: Change FP method to Injectable",'QA Log'!Z:Z,"Approved"),"")</f>
        <v/>
      </c>
      <c r="BL467" s="105" t="str">
        <f>IF(A467&lt;&gt;"",COUNTIFS('QA Log'!D:D,A467,'QA Log'!M:M,"Vignette",'QA Log'!L:L,"Vignette [10] Post Partum Haemorrhage - Atonic Uterus at Health Centre",'QA Log'!Z:Z,"Approved"),"")</f>
        <v/>
      </c>
      <c r="BM467" s="102" t="str">
        <f>IF(A467="","",SUM(
    COUNTIFS('QA Log'!D:D,A467,'QA Log'!M:M,"Vignette",'QA Log'!Z:Z,"Rejected",'QA Log'!L:L,"*Vignette [5] Labor*"),
    COUNTIFS('QA Log'!D:D,A467,'QA Log'!M:M,"Vignette",'QA Log'!Z:Z,"Rejected",'QA Log'!L:L,"*Vignette [6] PNC pre Discharge*"),
    COUNTIFS('QA Log'!D:D,A467,'QA Log'!M:M,"Vignette",'QA Log'!Z:Z,"Rejected",'QA Log'!L:L,"*Vignette [7] First ANC Visit*"),
    COUNTIFS('QA Log'!D:D,A467,'QA Log'!M:M,"Vignette",'QA Log'!Z:Z,"Rejected",'QA Log'!L:L,"*Vignette [8] Birth Spacing/ Family Planning :  FP Counselling*"),
    COUNTIFS('QA Log'!D:D,A467,'QA Log'!M:M,"Vignette",'QA Log'!Z:Z,"Rejected",'QA Log'!L:L,"*Vignette [9] Birth Spacing: Change FP method to Injectable*"),
    COUNTIFS('QA Log'!D:D,A467,'QA Log'!M:M,"Vignette",'QA Log'!Z:Z,"Rejected",'QA Log'!L:L,"*Vignette [10] Post Partum Haemorrhage - Atonic Uterus at Health Centre*")
  )
)</f>
        <v/>
      </c>
      <c r="BN467" s="107" t="str">
        <f t="shared" si="37"/>
        <v/>
      </c>
      <c r="BO467" s="103" t="str">
        <f t="shared" si="38"/>
        <v/>
      </c>
      <c r="BP467" s="102" t="str">
        <f>IF(A467="","",SUM(
COUNTIFS('QA Log'!D:D,A467,'QA Log'!M:M,"Vignette",'QA Log'!L:L,"*Exit Interview 1*"),
COUNTIFS('QA Log'!D:D,A467,'QA Log'!M:M,"Vignette",'QA Log'!L:L,"*Exit Interview 2*"),
)
)</f>
        <v/>
      </c>
      <c r="BQ467" s="102" t="str">
        <f>IF(
  A467="","",
  SUM(
    COUNTIFS('QA Log'!D:D,A467,'QA Log'!M:M,"Vignette",'QA Log'!Z:Z,"Approved",'QA Log'!L:L,"*Exit Interview 1*"),
    COUNTIFS('QA Log'!D:D,A467,'QA Log'!M:M,"Vignette",'QA Log'!Z:Z,"Approved",'QA Log'!L:L,"*Exit Interview 2*")
  )
)</f>
        <v/>
      </c>
      <c r="BR467" s="105" t="str">
        <f>IF(A467&lt;&gt;"",COUNTIFS('QA Log'!D:D,A467,'QA Log'!M:M,"Vignette",'QA Log'!L:L,"Exit Interview 1",'QA Log'!Z:Z,"Approved"),"")</f>
        <v/>
      </c>
      <c r="BS467" s="105" t="str">
        <f>IF(A467&lt;&gt;"",COUNTIFS('QA Log'!D:D,A467,'QA Log'!M:M,"Vignette",'QA Log'!L:L,"Exit Interview 2",'QA Log'!Z:Z,"Approved"),"")</f>
        <v/>
      </c>
      <c r="BT467" s="102" t="str">
        <f>IF(
  A467="","",
  SUM(
    COUNTIFS('QA Log'!D:D,A467,'QA Log'!M:M,"Vignette",'QA Log'!Z:Z,"Rejected",'QA Log'!L:L,"*Exit Interview 1*"),
    COUNTIFS('QA Log'!D:D,A467,'QA Log'!M:M,"Vignette",'QA Log'!Z:Z,"Rejected",'QA Log'!L:L,"*Exit Interview 2*")
  )
)</f>
        <v/>
      </c>
      <c r="BU467" s="107" t="str">
        <f t="shared" si="39"/>
        <v/>
      </c>
      <c r="BV467" s="102" t="str">
        <f t="shared" si="40"/>
        <v/>
      </c>
      <c r="BW467" s="102" t="str">
        <f t="shared" si="41"/>
        <v/>
      </c>
      <c r="BX467" s="102" t="str">
        <f t="shared" si="42"/>
        <v/>
      </c>
      <c r="BY467" s="102" t="str">
        <f t="shared" si="43"/>
        <v/>
      </c>
      <c r="BZ467" s="107" t="str">
        <f t="shared" si="44"/>
        <v/>
      </c>
      <c r="CA467" s="108" t="str">
        <f t="shared" si="45"/>
        <v/>
      </c>
      <c r="CB467" s="108" t="str">
        <f t="shared" si="46"/>
        <v/>
      </c>
      <c r="CC467" s="109" t="str">
        <f t="shared" si="47"/>
        <v/>
      </c>
      <c r="CD467" s="108" t="str">
        <f t="shared" si="48"/>
        <v/>
      </c>
      <c r="CE467" s="108" t="str">
        <f t="shared" si="49"/>
        <v/>
      </c>
      <c r="CF467" s="109" t="str">
        <f t="shared" si="50"/>
        <v/>
      </c>
      <c r="CG467" s="110" t="str">
        <f t="shared" si="51"/>
        <v/>
      </c>
      <c r="CH467" s="111"/>
    </row>
    <row r="468" spans="1:86" ht="12.75">
      <c r="A468" s="101"/>
      <c r="B468" s="102" t="e">
        <f t="array" aca="1" ref="B468" ca="1">_xludf.XLOOKUP(A468,'QA Log'!D:D,'QA Log'!E:E,"")</f>
        <v>#NAME?</v>
      </c>
      <c r="C468" s="102" t="e">
        <f t="array" aca="1" ref="C468" ca="1">_xludf.XLOOKUP(A468,'QA Log'!D:D,'QA Log'!F:F,"")</f>
        <v>#NAME?</v>
      </c>
      <c r="D468" s="102" t="e">
        <f t="array" aca="1" ref="D468" ca="1">_xludf.XLOOKUP(A468,'QA Log'!D:D,'QA Log'!H:H,"")</f>
        <v>#NAME?</v>
      </c>
      <c r="E468" s="102" t="e">
        <f t="array" aca="1" ref="E468" ca="1">_xludf.XLOOKUP(A468,'QA Log'!D:D,'QA Log'!G:G,"")</f>
        <v>#NAME?</v>
      </c>
      <c r="F468" s="103"/>
      <c r="G468" s="104"/>
      <c r="H468" s="104"/>
      <c r="I468" s="103" t="str">
        <f t="shared" si="26"/>
        <v/>
      </c>
      <c r="J468" s="102" t="str">
        <f>IF(A468="","",SUM(
COUNTIFS('QA Log'!D:D,A468,'QA Log'!M:M,"QQC",'QA Log'!L:L,"*1. General Management*"),
COUNTIFS('QA Log'!D:D,A468,'QA Log'!M:M,"QQC",'QA Log'!L:L,"*3. Curative Consultation (OPD)*"),
COUNTIFS('QA Log'!D:D,A468,'QA Log'!M:M,"QQC",'QA Log'!L:L,"*5. Laboratory*"),
COUNTIFS('QA Log'!D:D,A468,'QA Log'!M:M,"QQC",'QA Log'!L:L,"*6. Essential Medicine Management*"),
COUNTIFS('QA Log'!D:D,A468,'QA Log'!M:M,"QQC",'QA Log'!L:L,"*7. Tracer Medicine*"),
COUNTIFS('QA Log'!D:D,A468,'QA Log'!M:M,"QQC",'QA Log'!L:L,"*11. Additional Questions*")))</f>
        <v/>
      </c>
      <c r="K468" s="102" t="str">
        <f>IF(A468="","",SUM(
COUNTIFS('QA Log'!D:D,A468,'QA Log'!M:M,"QQC",'QA Log'!Z:Z,"Approved",'QA Log'!L:L,"*1. General Management*"),
COUNTIFS('QA Log'!D:D,A468,'QA Log'!M:M,"QQC",'QA Log'!Z:Z,"Approved",'QA Log'!L:L,"*3. Curative Consultation (OPD)*"),
COUNTIFS('QA Log'!D:D,A468,'QA Log'!M:M,"QQC",'QA Log'!Z:Z,"Approved",'QA Log'!L:L,"*5. Laboratory*"),
COUNTIFS('QA Log'!D:D,A468,'QA Log'!M:M,"QQC",'QA Log'!Z:Z,"Approved",'QA Log'!L:L,"*6. Essential Medicine Management*"),
COUNTIFS('QA Log'!D:D,A468,'QA Log'!M:M,"QQC",'QA Log'!Z:Z,"Approved",'QA Log'!L:L,"*7. Tracer Medicine*"),
COUNTIFS('QA Log'!D:D,A468,'QA Log'!M:M,"QQC",'QA Log'!Z:Z,"Approved",'QA Log'!L:L,"*11. Additional Questions*")))</f>
        <v/>
      </c>
      <c r="L468" s="102" t="str">
        <f>IF(A468&lt;&gt;"",COUNTIFS('QA Log'!D:D,A468,'QA Log'!M:M,"QQC",'QA Log'!L:L,"1. General Management",'QA Log'!Z:Z,"Approved"),"")</f>
        <v/>
      </c>
      <c r="M468" s="102" t="str">
        <f>IF(A468&lt;&gt;"",COUNTIFS('QA Log'!D:D,A468,'QA Log'!M:M,"QQC",'QA Log'!L:L,"3. Curative Consultation (OPD)",'QA Log'!Z:Z,"Approved"),"")</f>
        <v/>
      </c>
      <c r="N468" s="102" t="str">
        <f>IF(A468&lt;&gt;"",COUNTIFS('QA Log'!D:D,A468,'QA Log'!M:M,"QQC",'QA Log'!L:L,"5. Laboratory",'QA Log'!Z:Z,"Approved"),"")</f>
        <v/>
      </c>
      <c r="O468" s="102" t="str">
        <f>IF(A468&lt;&gt;"",COUNTIFS('QA Log'!D:D,A468,'QA Log'!M:M,"QQC",'QA Log'!L:L,"6. Essential Medicine Management",'QA Log'!Z:Z,"Approved"),"")</f>
        <v/>
      </c>
      <c r="P468" s="102" t="str">
        <f>IF(A468&lt;&gt;"",COUNTIFS('QA Log'!D:D,A468,'QA Log'!M:M,"QQC",'QA Log'!L:L,"7. Tracer Medicine",'QA Log'!Z:Z,"Approved"),"")</f>
        <v/>
      </c>
      <c r="Q468" s="102" t="str">
        <f>IF(A468&lt;&gt;"",COUNTIFS('QA Log'!D:D,A468,'QA Log'!M:M,"QQC",'QA Log'!L:L,"11. Additional Questions",'QA Log'!Z:Z,"Approved"),"")</f>
        <v/>
      </c>
      <c r="R468" s="102" t="str">
        <f>IF(A468="","",SUM(
COUNTIFS('QA Log'!D:D,A468,'QA Log'!M:M,"QQC",'QA Log'!Z:Z,"Rejected",'QA Log'!L:L,"*8. Maternity*"),
COUNTIFS('QA Log'!D:D,A468,'QA Log'!M:M,"QQC",'QA Log'!Z:Z,"Rejected",'QA Log'!L:L,"*EPI*"),
COUNTIFS('QA Log'!D:D,A468,'QA Log'!M:M,"QQC",'QA Log'!Z:Z,"Rejected",'QA Log'!L:L,"*10. Antenatal Care (ANC)*"),
COUNTIFS('QA Log'!D:D,A468,'QA Log'!M:M,"QQC",'QA Log'!Z:Z,"Rejected",'QA Log'!L:L,"*2. Hygiene and Sterilization*"),
COUNTIFS('QA Log'!D:D,A468,'QA Log'!M:M,"QQC",'QA Log'!Z:Z,"Rejected",'QA Log'!L:L,"*Family Planning*")))</f>
        <v/>
      </c>
      <c r="S468" s="106" t="str">
        <f t="shared" si="27"/>
        <v/>
      </c>
      <c r="T468" s="102" t="str">
        <f t="shared" si="28"/>
        <v/>
      </c>
      <c r="U468" s="102" t="str">
        <f>IF(A468="","",
SUM(
COUNTIFS('QA Log'!D:D,A468,'QA Log'!M:M,"QQC",'QA Log'!L:L,"*8. Maternity*"),
COUNTIFS('QA Log'!D:D,A468,'QA Log'!M:M,"QQC",'QA Log'!L:L,"*9. EPI and Pre-school Consultation*"),
COUNTIFS('QA Log'!D:D,A468,'QA Log'!M:M,"QQC",'QA Log'!L:L,"*10. Antenatal Care (ANC)*"),
COUNTIFS('QA Log'!D:D,A468,'QA Log'!M:M,"QQC",'QA Log'!L:L,"*2. Hygiene and Sterilization*"),
COUNTIFS('QA Log'!D:D,A468,'QA Log'!M:M,"QQC",'QA Log'!L:L,"*4. Family Planning*")
))</f>
        <v/>
      </c>
      <c r="V468" s="102" t="str">
        <f>IF(A468="","",
SUM(
COUNTIFS('QA Log'!D:D,A468,'QA Log'!M:M,"QQC",'QA Log'!Z:Z,"Approved",'QA Log'!L:L,"*8. Maternity*"),
COUNTIFS('QA Log'!D:D,A468,'QA Log'!M:M,"QQC",'QA Log'!Z:Z,"Approved",'QA Log'!L:L,"*9. EPI and Pre-school Consultation*"),
COUNTIFS('QA Log'!D:D,A468,'QA Log'!M:M,"QQC",'QA Log'!Z:Z,"Approved",'QA Log'!L:L,"*10. Antenatal Care (ANC)*"),
COUNTIFS('QA Log'!D:D,A468,'QA Log'!M:M,"QQC",'QA Log'!Z:Z,"Approved",'QA Log'!L:L,"*2. Hygiene and Sterilization*"),
COUNTIFS('QA Log'!D:D,A468,'QA Log'!M:M,"QQC",'QA Log'!Z:Z,"Approved",'QA Log'!L:L,"*4. Family Planning*")
))</f>
        <v/>
      </c>
      <c r="W468" s="102" t="str">
        <f>IF(A468&lt;&gt;"",COUNTIFS('QA Log'!D:D,A468,'QA Log'!M:M,"QQC",'QA Log'!L:L,"8. Maternity",'QA Log'!Z:Z,"Approved"),"")</f>
        <v/>
      </c>
      <c r="X468" s="105" t="str">
        <f>IF(A468&lt;&gt;"",COUNTIFS('QA Log'!D:D,A468,'QA Log'!M:M,"QQC",'QA Log'!L:L,"9. EPI and Pre-school Consultation",'QA Log'!Z:Z,"Approved"),"")</f>
        <v/>
      </c>
      <c r="Y468" s="102" t="str">
        <f>IF(A468&lt;&gt;"",COUNTIFS('QA Log'!D:D,A468,'QA Log'!M:M,"QQC",'QA Log'!L:L,"10. Antenatal Care (ANC)",'QA Log'!Z:Z,"Approved"),"")</f>
        <v/>
      </c>
      <c r="Z468" s="102" t="str">
        <f>IF(A468&lt;&gt;"",COUNTIFS('QA Log'!D:D,A468,'QA Log'!M:M,"QQC",'QA Log'!L:L,"2. Hygiene and Sterilization",'QA Log'!Z:Z,"Approved"),"")</f>
        <v/>
      </c>
      <c r="AA468" s="105" t="str">
        <f>IF(A468&lt;&gt;"",COUNTIFS('QA Log'!D:D,A468,'QA Log'!M:M,"QQC",'QA Log'!L:L,"4. Family Planning",'QA Log'!Z:Z,"Approved"),"")</f>
        <v/>
      </c>
      <c r="AB468" s="102" t="str">
        <f>IF(A468="","",
SUM(
COUNTIFS('QA Log'!D:D,A468,'QA Log'!M:M,"QQC",'QA Log'!Z:Z,"Rejected",'QA Log'!L:L,"*8. Maternity*"),
COUNTIFS('QA Log'!D:D,A468,'QA Log'!M:M,"QQC",'QA Log'!Z:Z,"Rejected",'QA Log'!L:L,"*9. EPI and Pre-school Consultation*"),
COUNTIFS('QA Log'!D:D,A468,'QA Log'!M:M,"QQC",'QA Log'!Z:Z,"Rejected",'QA Log'!L:L,"*10. Antenatal Care (ANC)*"),
COUNTIFS('QA Log'!D:D,A468,'QA Log'!M:M,"QQC",'QA Log'!Z:Z,"Rejected",'QA Log'!L:L,"*2. Hygiene and Sterilization*"),
COUNTIFS('QA Log'!D:D,A468,'QA Log'!M:M,"QQC",'QA Log'!Z:Z,"Rejected",'QA Log'!L:L,"*4. Family Planning*")
))</f>
        <v/>
      </c>
      <c r="AC468" s="102" t="str">
        <f t="shared" si="29"/>
        <v/>
      </c>
      <c r="AD468" s="103" t="str">
        <f t="shared" si="30"/>
        <v/>
      </c>
      <c r="AE468" s="102" t="str">
        <f>IF(A468="","",
SUM(
COUNTIFS('QA Log'!D:D,A468,'QA Log'!M:M,"Data Verification",'QA Log'!L:L,"*Medicine (section 2)*"),
COUNTIFS('QA Log'!D:D,A468,'QA Log'!M:M,"Data Verification",'QA Log'!L:L,"*Lab Testing Availability*"),
COUNTIFS('QA Log'!D:D,A468,'QA Log'!M:M,"Data Verification",'QA Log'!L:L,"*Other than P4P (section 6)*"),
COUNTIFS('QA Log'!D:D,A468,'QA Log'!M:M,"Data Verification",'QA Log'!L:L,"*Hospital Governance*")
))</f>
        <v/>
      </c>
      <c r="AF468" s="102" t="str">
        <f>IF(A468="","",
SUM(
COUNTIFS('QA Log'!D:D,A468,'QA Log'!M:M,"Data Verification",'QA Log'!Z:Z,"Approved",'QA Log'!L:L,"*Medicine (section 2)*"),
COUNTIFS('QA Log'!D:D,A468,'QA Log'!M:M,"Data Verification",'QA Log'!Z:Z,"Approved",'QA Log'!L:L,"*Lab Testing Availability*"),
COUNTIFS('QA Log'!D:D,A468,'QA Log'!M:M,"Data Verification",'QA Log'!Z:Z,"Approved",'QA Log'!L:L,"*Other than P4P (section 6)*"),
COUNTIFS('QA Log'!D:D,A468,'QA Log'!M:M,"Data Verification",'QA Log'!Z:Z,"Approved",'QA Log'!L:L,"*Hospital Governance*")
))</f>
        <v/>
      </c>
      <c r="AG468" s="105" t="str">
        <f>IF(A468&lt;&gt;"",COUNTIFS('QA Log'!D:D,A468,'QA Log'!M:M,"Data Verification",'QA Log'!L:L,"Medicine (section 2)",'QA Log'!Z:Z,"Approved"),"")</f>
        <v/>
      </c>
      <c r="AH468" s="105" t="str">
        <f>IF(A468&lt;&gt;"",COUNTIFS('QA Log'!D:D,A468,'QA Log'!M:M,"Data Verification",'QA Log'!L:L,"Lab Testing Availability",'QA Log'!Z:Z,"Approved"),"")</f>
        <v/>
      </c>
      <c r="AI468" s="105" t="str">
        <f>IF(A468&lt;&gt;"",COUNTIFS('QA Log'!D:D,A468,'QA Log'!M:M,"Data Verification",'QA Log'!L:L,"Other than P4P (section 6)",'QA Log'!Z:Z,"Approved"),"")</f>
        <v/>
      </c>
      <c r="AJ468" s="105" t="str">
        <f>IF(A468&lt;&gt;"",COUNTIFS('QA Log'!D:D,A468,'QA Log'!M:M,"Data Verification",'QA Log'!L:L,"Hospital Governance",'QA Log'!Z:Z,"Approved"),"")</f>
        <v/>
      </c>
      <c r="AK468" s="102" t="str">
        <f>IF(A468="","",
SUM(
COUNTIFS('QA Log'!D:D,A468,'QA Log'!M:M,"Data Verification",'QA Log'!Z:Z,"Rejected",'QA Log'!L:L,"*Medicine (section 2)*"),
COUNTIFS('QA Log'!D:D,A468,'QA Log'!M:M,"Data Verification",'QA Log'!Z:Z,"Rejected",'QA Log'!L:L,"*Lab Testing Availability*"),
COUNTIFS('QA Log'!D:D,A468,'QA Log'!M:M,"Data Verification",'QA Log'!Z:Z,"Rejected",'QA Log'!L:L,"*Other than P4P (section 6)*"),
COUNTIFS('QA Log'!D:D,A468,'QA Log'!M:M,"Data Verification",'QA Log'!Z:Z,"Rejected",'QA Log'!L:L,"*Hospital Governance*")
))</f>
        <v/>
      </c>
      <c r="AL468" s="106" t="str">
        <f t="shared" si="31"/>
        <v/>
      </c>
      <c r="AM468" s="102" t="str">
        <f t="shared" si="32"/>
        <v/>
      </c>
      <c r="AN468" s="102" t="str">
        <f>IF(A468="","",
SUM(
COUNTIFS('QA Log'!D:D,A468,'QA Log'!M:M,"Data Verification",'QA Log'!L:L,"*Personnel (section 1)*"),
COUNTIFS('QA Log'!D:D,A468,'QA Log'!M:M,"Data Verification",'QA Log'!L:L,"*Consumable (section 3)*"),
COUNTIFS('QA Log'!D:D,A468,'QA Log'!M:M,"Data Verification",'QA Log'!L:L,"*Equipments (section 4)*")
))</f>
        <v/>
      </c>
      <c r="AO468" s="102" t="str">
        <f>IF(A468="","",
SUM(
COUNTIFS('QA Log'!D:D,A468,'QA Log'!M:M,"Data Verification",'QA Log'!Z:Z,"Approved",'QA Log'!L:L,"*Personnel (section 1)*"),
COUNTIFS('QA Log'!D:D,A468,'QA Log'!M:M,"Data Verification",'QA Log'!Z:Z,"Approved",'QA Log'!L:L,"*Consumable (section 3)*"),
COUNTIFS('QA Log'!D:D,A468,'QA Log'!M:M,"Data Verification",'QA Log'!Z:Z,"Approved",'QA Log'!L:L,"*Equipments (section 4)*")
))</f>
        <v/>
      </c>
      <c r="AP468" s="105" t="str">
        <f>IF(A468&lt;&gt;"",COUNTIFS('QA Log'!D:D,A468,'QA Log'!M:M,"Data Verification",'QA Log'!L:L,"Personnel (section 1)",'QA Log'!Z:Z,"Approved"),"")</f>
        <v/>
      </c>
      <c r="AQ468" s="105" t="str">
        <f>IF(A468&lt;&gt;"",COUNTIFS('QA Log'!D:D,A468,'QA Log'!M:M,"Data Verification",'QA Log'!L:L,"Consumable (section 3)",'QA Log'!Z:Z,"Approved"),"")</f>
        <v/>
      </c>
      <c r="AR468" s="105" t="str">
        <f>IF(A468&lt;&gt;"",COUNTIFS('QA Log'!D:D,A468,'QA Log'!M:M,"Data Verification",'QA Log'!L:L,"Equipments (section 4)",'QA Log'!Z:Z,"Approved"),"")</f>
        <v/>
      </c>
      <c r="AS468" s="102" t="str">
        <f>IF(A468="","",
SUM(
COUNTIFS('QA Log'!D:D,A468,'QA Log'!M:M,"Data Verification",'QA Log'!Z:Z,"Rejected",'QA Log'!L:L,"*Personnel (section 1)*"),
COUNTIFS('QA Log'!D:D,A468,'QA Log'!M:M,"Data Verification",'QA Log'!Z:Z,"Rejected",'QA Log'!L:L,"*Consumable (section 3)*"),
COUNTIFS('QA Log'!D:D,A468,'QA Log'!M:M,"Data Verification",'QA Log'!Z:Z,"Rejected",'QA Log'!L:L,"*Equipments (section 4)*")
))</f>
        <v/>
      </c>
      <c r="AT468" s="102" t="str">
        <f t="shared" si="33"/>
        <v/>
      </c>
      <c r="AU468" s="103" t="str">
        <f t="shared" si="34"/>
        <v/>
      </c>
      <c r="AV468" s="102" t="str">
        <f>IF(A468="","",SUM(
COUNTIFS('QA Log'!D:D,A468,'QA Log'!M:M,"Vignette",'QA Log'!L:L,"*Vignette [1] Respiratory Infection: Pneumonia*"),
COUNTIFS('QA Log'!D:D,A468,'QA Log'!M:M,"Vignette",'QA Log'!L:L,"*Vignette [2]: Diarrhea with Cat B dehydration*"),
COUNTIFS('QA Log'!D:D,A468,'QA Log'!M:M,"Vignette",'QA Log'!L:L,"*Vignette [3] Growth Monitoring and Promotion*"),
COUNTIFS('QA Log'!D:D,A468,'QA Log'!M:M,"Vignette",'QA Log'!L:L,"*Vignette [4]: The management of presumptive TB patient*")
)
)</f>
        <v/>
      </c>
      <c r="AW468" s="102" t="str">
        <f>IF(
  A468="","",
  SUM(
    COUNTIFS('QA Log'!D:D,A468,'QA Log'!M:M,"Vignette",'QA Log'!Z:Z,"Approved",'QA Log'!L:L,"*Vignette [1] Respiratory Infection: Pneumonia*"),
    COUNTIFS('QA Log'!D:D,A468,'QA Log'!M:M,"Vignette",'QA Log'!Z:Z,"Approved",'QA Log'!L:L,"*Vignette [2]: Diarrhea with Cat B dehydration*"),
    COUNTIFS('QA Log'!D:D,A468,'QA Log'!M:M,"Vignette",'QA Log'!Z:Z,"Approved",'QA Log'!L:L,"*Vignette [3] Growth Monitoring and Promotion*"),
    COUNTIFS('QA Log'!D:D,A468,'QA Log'!M:M,"Vignette",'QA Log'!Z:Z,"Approved",'QA Log'!L:L,"*Vignette [4]: The management of presumptive TB patient*")
  )
)</f>
        <v/>
      </c>
      <c r="AX468" s="105" t="str">
        <f>IF(A468&lt;&gt;"",COUNTIFS('QA Log'!D:D,A468,'QA Log'!M:M,"Vignette",'QA Log'!L:L,"Vignette [1] Respiratory Infection: Pneumonia",'QA Log'!Z:Z,"Approved"),"")</f>
        <v/>
      </c>
      <c r="AY468" s="105" t="str">
        <f>IF(A468&lt;&gt;"",COUNTIFS('QA Log'!D:D,A468,'QA Log'!M:M,"Vignette",'QA Log'!L:L,"Vignette [2]: Diarrhea with Cat B dehydration",'QA Log'!Z:Z,"Approved"),"")</f>
        <v/>
      </c>
      <c r="AZ468" s="105" t="str">
        <f>IF(A468&lt;&gt;"",COUNTIFS('QA Log'!D:D,A468,'QA Log'!M:M,"Vignette",'QA Log'!L:L,"Vignette [3] Growth Monitoring and Promotion",'QA Log'!Z:Z,"Approved"),"")</f>
        <v/>
      </c>
      <c r="BA468" s="105" t="str">
        <f>IF(A468&lt;&gt;"",COUNTIFS('QA Log'!D:D,A468,'QA Log'!M:M,"Vignette",'QA Log'!L:L,"Vignette [4]: The management of presumptive TB patient",'QA Log'!Z:Z,"Approved"),"")</f>
        <v/>
      </c>
      <c r="BB468" s="102" t="str">
        <f>IF(A468="","",
  SUM(
    COUNTIFS('QA Log'!D:D,A468,'QA Log'!M:M,"Vignette",'QA Log'!Z:Z,"Rejected",'QA Log'!L:L,"*Vignette [1] Respiratory Infection: Pneumonia*"),
    COUNTIFS('QA Log'!D:D,A468,'QA Log'!M:M,"Vignette",'QA Log'!Z:Z,"Rejected",'QA Log'!L:L,"*Vignette [2]: Diarrhea with Cat B dehydration*"),
    COUNTIFS('QA Log'!D:D,A468,'QA Log'!M:M,"Vignette",'QA Log'!Z:Z,"Rejected",'QA Log'!L:L,"*Vignette [3] Growth Monitoring and Promotion*"),
    COUNTIFS('QA Log'!D:D,A468,'QA Log'!M:M,"Vignette",'QA Log'!Z:Z,"Rejected",'QA Log'!L:L,"*Vignette [4]: The management of presumptive TB patient*")
  )
)</f>
        <v/>
      </c>
      <c r="BC468" s="107" t="str">
        <f t="shared" si="35"/>
        <v/>
      </c>
      <c r="BD468" s="103" t="str">
        <f t="shared" si="36"/>
        <v/>
      </c>
      <c r="BE468" s="102" t="str">
        <f>IF(A468="","",SUM(
COUNTIFS('QA Log'!D:D,A468,'QA Log'!M:M,"Vignette",'QA Log'!L:L,"*Vignette [5] Labor*"),
COUNTIFS('QA Log'!D:D,A468,'QA Log'!M:M,"Vignette",'QA Log'!L:L,"*Vignette [6] PNC pre Discharge*"),
COUNTIFS('QA Log'!D:D,A468,'QA Log'!M:M,"Vignette",'QA Log'!L:L,"*Vignette [7] First ANC Visit*"),
COUNTIFS('QA Log'!D:D,A468,'QA Log'!M:M,"Vignette",'QA Log'!L:L,"*Vignette [8] Birth Spacing/ Family Planning :  FP Counselling*"),
COUNTIFS('QA Log'!D:D,A468,'QA Log'!M:M,"Vignette",'QA Log'!L:L,"*Vignette [9] Birth Spacing: Change FP method to Injectable*"),
COUNTIFS('QA Log'!D:D,A468,'QA Log'!M:M,"Vignette",'QA Log'!L:L,"*Vignette [10] Post Partum Haemorrhage - Atonic Uterus at Health Centre*"),
)
)</f>
        <v/>
      </c>
      <c r="BF468" s="102" t="str">
        <f>IF(A468="","",
  SUM(
    COUNTIFS('QA Log'!D:D,A468,'QA Log'!M:M,"Vignette",'QA Log'!Z:Z,"Approved",'QA Log'!L:L,"*Vignette [5] Labor*"),
    COUNTIFS('QA Log'!D:D,A468,'QA Log'!M:M,"Vignette",'QA Log'!Z:Z,"Approved",'QA Log'!L:L,"*Vignette [6] PNC pre Discharge*"),
    COUNTIFS('QA Log'!D:D,A468,'QA Log'!M:M,"Vignette",'QA Log'!Z:Z,"Approved",'QA Log'!L:L,"*Vignette [7] First ANC Visit*"),
    COUNTIFS('QA Log'!D:D,A468,'QA Log'!M:M,"Vignette",'QA Log'!Z:Z,"Approved",'QA Log'!L:L,"*Vignette [8] Birth Spacing/ Family Planning :  FP Counselling*"),
    COUNTIFS('QA Log'!D:D,A468,'QA Log'!M:M,"Vignette",'QA Log'!Z:Z,"Approved",'QA Log'!L:L,"*Vignette [9] Birth Spacing: Change FP method to Injectable*"),
    COUNTIFS('QA Log'!D:D,A468,'QA Log'!M:M,"Vignette",'QA Log'!Z:Z,"Approved",'QA Log'!L:L,"*Vignette [10] Post Partum Haemorrhage - Atonic Uterus at Health Centre*")
  )
)</f>
        <v/>
      </c>
      <c r="BG468" s="105" t="str">
        <f>IF(A468&lt;&gt;"",COUNTIFS('QA Log'!D:D,A468,'QA Log'!M:M,"Vignette",'QA Log'!L:L,"Vignette [5] Labor",'QA Log'!Z:Z,"Approved"),"")</f>
        <v/>
      </c>
      <c r="BH468" s="105" t="str">
        <f>IF(A468&lt;&gt;"",COUNTIFS('QA Log'!D:D,A468,'QA Log'!M:M,"Vignette",'QA Log'!L:L,"Vignette [6] PNC pre Discharge",'QA Log'!Z:Z,"Approved"),"")</f>
        <v/>
      </c>
      <c r="BI468" s="105" t="str">
        <f>IF(A468&lt;&gt;"",COUNTIFS('QA Log'!D:D,A468,'QA Log'!M:M,"Vignette",'QA Log'!L:L,"Vignette [7] First ANC Visit",'QA Log'!Z:Z,"Approved"),"")</f>
        <v/>
      </c>
      <c r="BJ468" s="105" t="str">
        <f>IF(A468&lt;&gt;"",COUNTIFS('QA Log'!D:D,A468,'QA Log'!M:M,"Vignette",'QA Log'!L:L,"Vignette [8] Birth Spacing/ Family Planning :  FP Counselling",'QA Log'!Z:Z,"Approved"),"")</f>
        <v/>
      </c>
      <c r="BK468" s="105" t="str">
        <f>IF(A468&lt;&gt;"",COUNTIFS('QA Log'!D:D,A468,'QA Log'!M:M,"Vignette",'QA Log'!L:L,"Vignette [9] Birth Spacing: Change FP method to Injectable",'QA Log'!Z:Z,"Approved"),"")</f>
        <v/>
      </c>
      <c r="BL468" s="105" t="str">
        <f>IF(A468&lt;&gt;"",COUNTIFS('QA Log'!D:D,A468,'QA Log'!M:M,"Vignette",'QA Log'!L:L,"Vignette [10] Post Partum Haemorrhage - Atonic Uterus at Health Centre",'QA Log'!Z:Z,"Approved"),"")</f>
        <v/>
      </c>
      <c r="BM468" s="102" t="str">
        <f>IF(A468="","",SUM(
    COUNTIFS('QA Log'!D:D,A468,'QA Log'!M:M,"Vignette",'QA Log'!Z:Z,"Rejected",'QA Log'!L:L,"*Vignette [5] Labor*"),
    COUNTIFS('QA Log'!D:D,A468,'QA Log'!M:M,"Vignette",'QA Log'!Z:Z,"Rejected",'QA Log'!L:L,"*Vignette [6] PNC pre Discharge*"),
    COUNTIFS('QA Log'!D:D,A468,'QA Log'!M:M,"Vignette",'QA Log'!Z:Z,"Rejected",'QA Log'!L:L,"*Vignette [7] First ANC Visit*"),
    COUNTIFS('QA Log'!D:D,A468,'QA Log'!M:M,"Vignette",'QA Log'!Z:Z,"Rejected",'QA Log'!L:L,"*Vignette [8] Birth Spacing/ Family Planning :  FP Counselling*"),
    COUNTIFS('QA Log'!D:D,A468,'QA Log'!M:M,"Vignette",'QA Log'!Z:Z,"Rejected",'QA Log'!L:L,"*Vignette [9] Birth Spacing: Change FP method to Injectable*"),
    COUNTIFS('QA Log'!D:D,A468,'QA Log'!M:M,"Vignette",'QA Log'!Z:Z,"Rejected",'QA Log'!L:L,"*Vignette [10] Post Partum Haemorrhage - Atonic Uterus at Health Centre*")
  )
)</f>
        <v/>
      </c>
      <c r="BN468" s="107" t="str">
        <f t="shared" si="37"/>
        <v/>
      </c>
      <c r="BO468" s="103" t="str">
        <f t="shared" si="38"/>
        <v/>
      </c>
      <c r="BP468" s="102" t="str">
        <f>IF(A468="","",SUM(
COUNTIFS('QA Log'!D:D,A468,'QA Log'!M:M,"Vignette",'QA Log'!L:L,"*Exit Interview 1*"),
COUNTIFS('QA Log'!D:D,A468,'QA Log'!M:M,"Vignette",'QA Log'!L:L,"*Exit Interview 2*"),
)
)</f>
        <v/>
      </c>
      <c r="BQ468" s="102" t="str">
        <f>IF(
  A468="","",
  SUM(
    COUNTIFS('QA Log'!D:D,A468,'QA Log'!M:M,"Vignette",'QA Log'!Z:Z,"Approved",'QA Log'!L:L,"*Exit Interview 1*"),
    COUNTIFS('QA Log'!D:D,A468,'QA Log'!M:M,"Vignette",'QA Log'!Z:Z,"Approved",'QA Log'!L:L,"*Exit Interview 2*")
  )
)</f>
        <v/>
      </c>
      <c r="BR468" s="105" t="str">
        <f>IF(A468&lt;&gt;"",COUNTIFS('QA Log'!D:D,A468,'QA Log'!M:M,"Vignette",'QA Log'!L:L,"Exit Interview 1",'QA Log'!Z:Z,"Approved"),"")</f>
        <v/>
      </c>
      <c r="BS468" s="105" t="str">
        <f>IF(A468&lt;&gt;"",COUNTIFS('QA Log'!D:D,A468,'QA Log'!M:M,"Vignette",'QA Log'!L:L,"Exit Interview 2",'QA Log'!Z:Z,"Approved"),"")</f>
        <v/>
      </c>
      <c r="BT468" s="102" t="str">
        <f>IF(
  A468="","",
  SUM(
    COUNTIFS('QA Log'!D:D,A468,'QA Log'!M:M,"Vignette",'QA Log'!Z:Z,"Rejected",'QA Log'!L:L,"*Exit Interview 1*"),
    COUNTIFS('QA Log'!D:D,A468,'QA Log'!M:M,"Vignette",'QA Log'!Z:Z,"Rejected",'QA Log'!L:L,"*Exit Interview 2*")
  )
)</f>
        <v/>
      </c>
      <c r="BU468" s="107" t="str">
        <f t="shared" si="39"/>
        <v/>
      </c>
      <c r="BV468" s="102" t="str">
        <f t="shared" si="40"/>
        <v/>
      </c>
      <c r="BW468" s="102" t="str">
        <f t="shared" si="41"/>
        <v/>
      </c>
      <c r="BX468" s="102" t="str">
        <f t="shared" si="42"/>
        <v/>
      </c>
      <c r="BY468" s="102" t="str">
        <f t="shared" si="43"/>
        <v/>
      </c>
      <c r="BZ468" s="107" t="str">
        <f t="shared" si="44"/>
        <v/>
      </c>
      <c r="CA468" s="108" t="str">
        <f t="shared" si="45"/>
        <v/>
      </c>
      <c r="CB468" s="108" t="str">
        <f t="shared" si="46"/>
        <v/>
      </c>
      <c r="CC468" s="109" t="str">
        <f t="shared" si="47"/>
        <v/>
      </c>
      <c r="CD468" s="108" t="str">
        <f t="shared" si="48"/>
        <v/>
      </c>
      <c r="CE468" s="108" t="str">
        <f t="shared" si="49"/>
        <v/>
      </c>
      <c r="CF468" s="109" t="str">
        <f t="shared" si="50"/>
        <v/>
      </c>
      <c r="CG468" s="110" t="str">
        <f t="shared" si="51"/>
        <v/>
      </c>
      <c r="CH468" s="111"/>
    </row>
    <row r="469" spans="1:86" ht="12.75">
      <c r="A469" s="101"/>
      <c r="B469" s="102" t="e">
        <f t="array" aca="1" ref="B469" ca="1">_xludf.XLOOKUP(A469,'QA Log'!D:D,'QA Log'!E:E,"")</f>
        <v>#NAME?</v>
      </c>
      <c r="C469" s="102" t="e">
        <f t="array" aca="1" ref="C469" ca="1">_xludf.XLOOKUP(A469,'QA Log'!D:D,'QA Log'!F:F,"")</f>
        <v>#NAME?</v>
      </c>
      <c r="D469" s="102" t="e">
        <f t="array" aca="1" ref="D469" ca="1">_xludf.XLOOKUP(A469,'QA Log'!D:D,'QA Log'!H:H,"")</f>
        <v>#NAME?</v>
      </c>
      <c r="E469" s="102" t="e">
        <f t="array" aca="1" ref="E469" ca="1">_xludf.XLOOKUP(A469,'QA Log'!D:D,'QA Log'!G:G,"")</f>
        <v>#NAME?</v>
      </c>
      <c r="F469" s="103"/>
      <c r="G469" s="104"/>
      <c r="H469" s="104"/>
      <c r="I469" s="103" t="str">
        <f t="shared" si="26"/>
        <v/>
      </c>
      <c r="J469" s="102" t="str">
        <f>IF(A469="","",SUM(
COUNTIFS('QA Log'!D:D,A469,'QA Log'!M:M,"QQC",'QA Log'!L:L,"*1. General Management*"),
COUNTIFS('QA Log'!D:D,A469,'QA Log'!M:M,"QQC",'QA Log'!L:L,"*3. Curative Consultation (OPD)*"),
COUNTIFS('QA Log'!D:D,A469,'QA Log'!M:M,"QQC",'QA Log'!L:L,"*5. Laboratory*"),
COUNTIFS('QA Log'!D:D,A469,'QA Log'!M:M,"QQC",'QA Log'!L:L,"*6. Essential Medicine Management*"),
COUNTIFS('QA Log'!D:D,A469,'QA Log'!M:M,"QQC",'QA Log'!L:L,"*7. Tracer Medicine*"),
COUNTIFS('QA Log'!D:D,A469,'QA Log'!M:M,"QQC",'QA Log'!L:L,"*11. Additional Questions*")))</f>
        <v/>
      </c>
      <c r="K469" s="102" t="str">
        <f>IF(A469="","",SUM(
COUNTIFS('QA Log'!D:D,A469,'QA Log'!M:M,"QQC",'QA Log'!Z:Z,"Approved",'QA Log'!L:L,"*1. General Management*"),
COUNTIFS('QA Log'!D:D,A469,'QA Log'!M:M,"QQC",'QA Log'!Z:Z,"Approved",'QA Log'!L:L,"*3. Curative Consultation (OPD)*"),
COUNTIFS('QA Log'!D:D,A469,'QA Log'!M:M,"QQC",'QA Log'!Z:Z,"Approved",'QA Log'!L:L,"*5. Laboratory*"),
COUNTIFS('QA Log'!D:D,A469,'QA Log'!M:M,"QQC",'QA Log'!Z:Z,"Approved",'QA Log'!L:L,"*6. Essential Medicine Management*"),
COUNTIFS('QA Log'!D:D,A469,'QA Log'!M:M,"QQC",'QA Log'!Z:Z,"Approved",'QA Log'!L:L,"*7. Tracer Medicine*"),
COUNTIFS('QA Log'!D:D,A469,'QA Log'!M:M,"QQC",'QA Log'!Z:Z,"Approved",'QA Log'!L:L,"*11. Additional Questions*")))</f>
        <v/>
      </c>
      <c r="L469" s="102" t="str">
        <f>IF(A469&lt;&gt;"",COUNTIFS('QA Log'!D:D,A469,'QA Log'!M:M,"QQC",'QA Log'!L:L,"1. General Management",'QA Log'!Z:Z,"Approved"),"")</f>
        <v/>
      </c>
      <c r="M469" s="102" t="str">
        <f>IF(A469&lt;&gt;"",COUNTIFS('QA Log'!D:D,A469,'QA Log'!M:M,"QQC",'QA Log'!L:L,"3. Curative Consultation (OPD)",'QA Log'!Z:Z,"Approved"),"")</f>
        <v/>
      </c>
      <c r="N469" s="102" t="str">
        <f>IF(A469&lt;&gt;"",COUNTIFS('QA Log'!D:D,A469,'QA Log'!M:M,"QQC",'QA Log'!L:L,"5. Laboratory",'QA Log'!Z:Z,"Approved"),"")</f>
        <v/>
      </c>
      <c r="O469" s="102" t="str">
        <f>IF(A469&lt;&gt;"",COUNTIFS('QA Log'!D:D,A469,'QA Log'!M:M,"QQC",'QA Log'!L:L,"6. Essential Medicine Management",'QA Log'!Z:Z,"Approved"),"")</f>
        <v/>
      </c>
      <c r="P469" s="102" t="str">
        <f>IF(A469&lt;&gt;"",COUNTIFS('QA Log'!D:D,A469,'QA Log'!M:M,"QQC",'QA Log'!L:L,"7. Tracer Medicine",'QA Log'!Z:Z,"Approved"),"")</f>
        <v/>
      </c>
      <c r="Q469" s="102" t="str">
        <f>IF(A469&lt;&gt;"",COUNTIFS('QA Log'!D:D,A469,'QA Log'!M:M,"QQC",'QA Log'!L:L,"11. Additional Questions",'QA Log'!Z:Z,"Approved"),"")</f>
        <v/>
      </c>
      <c r="R469" s="102" t="str">
        <f>IF(A469="","",SUM(
COUNTIFS('QA Log'!D:D,A469,'QA Log'!M:M,"QQC",'QA Log'!Z:Z,"Rejected",'QA Log'!L:L,"*8. Maternity*"),
COUNTIFS('QA Log'!D:D,A469,'QA Log'!M:M,"QQC",'QA Log'!Z:Z,"Rejected",'QA Log'!L:L,"*EPI*"),
COUNTIFS('QA Log'!D:D,A469,'QA Log'!M:M,"QQC",'QA Log'!Z:Z,"Rejected",'QA Log'!L:L,"*10. Antenatal Care (ANC)*"),
COUNTIFS('QA Log'!D:D,A469,'QA Log'!M:M,"QQC",'QA Log'!Z:Z,"Rejected",'QA Log'!L:L,"*2. Hygiene and Sterilization*"),
COUNTIFS('QA Log'!D:D,A469,'QA Log'!M:M,"QQC",'QA Log'!Z:Z,"Rejected",'QA Log'!L:L,"*Family Planning*")))</f>
        <v/>
      </c>
      <c r="S469" s="106" t="str">
        <f t="shared" si="27"/>
        <v/>
      </c>
      <c r="T469" s="102" t="str">
        <f t="shared" si="28"/>
        <v/>
      </c>
      <c r="U469" s="102" t="str">
        <f>IF(A469="","",
SUM(
COUNTIFS('QA Log'!D:D,A469,'QA Log'!M:M,"QQC",'QA Log'!L:L,"*8. Maternity*"),
COUNTIFS('QA Log'!D:D,A469,'QA Log'!M:M,"QQC",'QA Log'!L:L,"*9. EPI and Pre-school Consultation*"),
COUNTIFS('QA Log'!D:D,A469,'QA Log'!M:M,"QQC",'QA Log'!L:L,"*10. Antenatal Care (ANC)*"),
COUNTIFS('QA Log'!D:D,A469,'QA Log'!M:M,"QQC",'QA Log'!L:L,"*2. Hygiene and Sterilization*"),
COUNTIFS('QA Log'!D:D,A469,'QA Log'!M:M,"QQC",'QA Log'!L:L,"*4. Family Planning*")
))</f>
        <v/>
      </c>
      <c r="V469" s="102" t="str">
        <f>IF(A469="","",
SUM(
COUNTIFS('QA Log'!D:D,A469,'QA Log'!M:M,"QQC",'QA Log'!Z:Z,"Approved",'QA Log'!L:L,"*8. Maternity*"),
COUNTIFS('QA Log'!D:D,A469,'QA Log'!M:M,"QQC",'QA Log'!Z:Z,"Approved",'QA Log'!L:L,"*9. EPI and Pre-school Consultation*"),
COUNTIFS('QA Log'!D:D,A469,'QA Log'!M:M,"QQC",'QA Log'!Z:Z,"Approved",'QA Log'!L:L,"*10. Antenatal Care (ANC)*"),
COUNTIFS('QA Log'!D:D,A469,'QA Log'!M:M,"QQC",'QA Log'!Z:Z,"Approved",'QA Log'!L:L,"*2. Hygiene and Sterilization*"),
COUNTIFS('QA Log'!D:D,A469,'QA Log'!M:M,"QQC",'QA Log'!Z:Z,"Approved",'QA Log'!L:L,"*4. Family Planning*")
))</f>
        <v/>
      </c>
      <c r="W469" s="102" t="str">
        <f>IF(A469&lt;&gt;"",COUNTIFS('QA Log'!D:D,A469,'QA Log'!M:M,"QQC",'QA Log'!L:L,"8. Maternity",'QA Log'!Z:Z,"Approved"),"")</f>
        <v/>
      </c>
      <c r="X469" s="105" t="str">
        <f>IF(A469&lt;&gt;"",COUNTIFS('QA Log'!D:D,A469,'QA Log'!M:M,"QQC",'QA Log'!L:L,"9. EPI and Pre-school Consultation",'QA Log'!Z:Z,"Approved"),"")</f>
        <v/>
      </c>
      <c r="Y469" s="102" t="str">
        <f>IF(A469&lt;&gt;"",COUNTIFS('QA Log'!D:D,A469,'QA Log'!M:M,"QQC",'QA Log'!L:L,"10. Antenatal Care (ANC)",'QA Log'!Z:Z,"Approved"),"")</f>
        <v/>
      </c>
      <c r="Z469" s="102" t="str">
        <f>IF(A469&lt;&gt;"",COUNTIFS('QA Log'!D:D,A469,'QA Log'!M:M,"QQC",'QA Log'!L:L,"2. Hygiene and Sterilization",'QA Log'!Z:Z,"Approved"),"")</f>
        <v/>
      </c>
      <c r="AA469" s="105" t="str">
        <f>IF(A469&lt;&gt;"",COUNTIFS('QA Log'!D:D,A469,'QA Log'!M:M,"QQC",'QA Log'!L:L,"4. Family Planning",'QA Log'!Z:Z,"Approved"),"")</f>
        <v/>
      </c>
      <c r="AB469" s="102" t="str">
        <f>IF(A469="","",
SUM(
COUNTIFS('QA Log'!D:D,A469,'QA Log'!M:M,"QQC",'QA Log'!Z:Z,"Rejected",'QA Log'!L:L,"*8. Maternity*"),
COUNTIFS('QA Log'!D:D,A469,'QA Log'!M:M,"QQC",'QA Log'!Z:Z,"Rejected",'QA Log'!L:L,"*9. EPI and Pre-school Consultation*"),
COUNTIFS('QA Log'!D:D,A469,'QA Log'!M:M,"QQC",'QA Log'!Z:Z,"Rejected",'QA Log'!L:L,"*10. Antenatal Care (ANC)*"),
COUNTIFS('QA Log'!D:D,A469,'QA Log'!M:M,"QQC",'QA Log'!Z:Z,"Rejected",'QA Log'!L:L,"*2. Hygiene and Sterilization*"),
COUNTIFS('QA Log'!D:D,A469,'QA Log'!M:M,"QQC",'QA Log'!Z:Z,"Rejected",'QA Log'!L:L,"*4. Family Planning*")
))</f>
        <v/>
      </c>
      <c r="AC469" s="102" t="str">
        <f t="shared" si="29"/>
        <v/>
      </c>
      <c r="AD469" s="103" t="str">
        <f t="shared" si="30"/>
        <v/>
      </c>
      <c r="AE469" s="102" t="str">
        <f>IF(A469="","",
SUM(
COUNTIFS('QA Log'!D:D,A469,'QA Log'!M:M,"Data Verification",'QA Log'!L:L,"*Medicine (section 2)*"),
COUNTIFS('QA Log'!D:D,A469,'QA Log'!M:M,"Data Verification",'QA Log'!L:L,"*Lab Testing Availability*"),
COUNTIFS('QA Log'!D:D,A469,'QA Log'!M:M,"Data Verification",'QA Log'!L:L,"*Other than P4P (section 6)*"),
COUNTIFS('QA Log'!D:D,A469,'QA Log'!M:M,"Data Verification",'QA Log'!L:L,"*Hospital Governance*")
))</f>
        <v/>
      </c>
      <c r="AF469" s="102" t="str">
        <f>IF(A469="","",
SUM(
COUNTIFS('QA Log'!D:D,A469,'QA Log'!M:M,"Data Verification",'QA Log'!Z:Z,"Approved",'QA Log'!L:L,"*Medicine (section 2)*"),
COUNTIFS('QA Log'!D:D,A469,'QA Log'!M:M,"Data Verification",'QA Log'!Z:Z,"Approved",'QA Log'!L:L,"*Lab Testing Availability*"),
COUNTIFS('QA Log'!D:D,A469,'QA Log'!M:M,"Data Verification",'QA Log'!Z:Z,"Approved",'QA Log'!L:L,"*Other than P4P (section 6)*"),
COUNTIFS('QA Log'!D:D,A469,'QA Log'!M:M,"Data Verification",'QA Log'!Z:Z,"Approved",'QA Log'!L:L,"*Hospital Governance*")
))</f>
        <v/>
      </c>
      <c r="AG469" s="105" t="str">
        <f>IF(A469&lt;&gt;"",COUNTIFS('QA Log'!D:D,A469,'QA Log'!M:M,"Data Verification",'QA Log'!L:L,"Medicine (section 2)",'QA Log'!Z:Z,"Approved"),"")</f>
        <v/>
      </c>
      <c r="AH469" s="105" t="str">
        <f>IF(A469&lt;&gt;"",COUNTIFS('QA Log'!D:D,A469,'QA Log'!M:M,"Data Verification",'QA Log'!L:L,"Lab Testing Availability",'QA Log'!Z:Z,"Approved"),"")</f>
        <v/>
      </c>
      <c r="AI469" s="105" t="str">
        <f>IF(A469&lt;&gt;"",COUNTIFS('QA Log'!D:D,A469,'QA Log'!M:M,"Data Verification",'QA Log'!L:L,"Other than P4P (section 6)",'QA Log'!Z:Z,"Approved"),"")</f>
        <v/>
      </c>
      <c r="AJ469" s="105" t="str">
        <f>IF(A469&lt;&gt;"",COUNTIFS('QA Log'!D:D,A469,'QA Log'!M:M,"Data Verification",'QA Log'!L:L,"Hospital Governance",'QA Log'!Z:Z,"Approved"),"")</f>
        <v/>
      </c>
      <c r="AK469" s="102" t="str">
        <f>IF(A469="","",
SUM(
COUNTIFS('QA Log'!D:D,A469,'QA Log'!M:M,"Data Verification",'QA Log'!Z:Z,"Rejected",'QA Log'!L:L,"*Medicine (section 2)*"),
COUNTIFS('QA Log'!D:D,A469,'QA Log'!M:M,"Data Verification",'QA Log'!Z:Z,"Rejected",'QA Log'!L:L,"*Lab Testing Availability*"),
COUNTIFS('QA Log'!D:D,A469,'QA Log'!M:M,"Data Verification",'QA Log'!Z:Z,"Rejected",'QA Log'!L:L,"*Other than P4P (section 6)*"),
COUNTIFS('QA Log'!D:D,A469,'QA Log'!M:M,"Data Verification",'QA Log'!Z:Z,"Rejected",'QA Log'!L:L,"*Hospital Governance*")
))</f>
        <v/>
      </c>
      <c r="AL469" s="106" t="str">
        <f t="shared" si="31"/>
        <v/>
      </c>
      <c r="AM469" s="102" t="str">
        <f t="shared" si="32"/>
        <v/>
      </c>
      <c r="AN469" s="102" t="str">
        <f>IF(A469="","",
SUM(
COUNTIFS('QA Log'!D:D,A469,'QA Log'!M:M,"Data Verification",'QA Log'!L:L,"*Personnel (section 1)*"),
COUNTIFS('QA Log'!D:D,A469,'QA Log'!M:M,"Data Verification",'QA Log'!L:L,"*Consumable (section 3)*"),
COUNTIFS('QA Log'!D:D,A469,'QA Log'!M:M,"Data Verification",'QA Log'!L:L,"*Equipments (section 4)*")
))</f>
        <v/>
      </c>
      <c r="AO469" s="102" t="str">
        <f>IF(A469="","",
SUM(
COUNTIFS('QA Log'!D:D,A469,'QA Log'!M:M,"Data Verification",'QA Log'!Z:Z,"Approved",'QA Log'!L:L,"*Personnel (section 1)*"),
COUNTIFS('QA Log'!D:D,A469,'QA Log'!M:M,"Data Verification",'QA Log'!Z:Z,"Approved",'QA Log'!L:L,"*Consumable (section 3)*"),
COUNTIFS('QA Log'!D:D,A469,'QA Log'!M:M,"Data Verification",'QA Log'!Z:Z,"Approved",'QA Log'!L:L,"*Equipments (section 4)*")
))</f>
        <v/>
      </c>
      <c r="AP469" s="105" t="str">
        <f>IF(A469&lt;&gt;"",COUNTIFS('QA Log'!D:D,A469,'QA Log'!M:M,"Data Verification",'QA Log'!L:L,"Personnel (section 1)",'QA Log'!Z:Z,"Approved"),"")</f>
        <v/>
      </c>
      <c r="AQ469" s="105" t="str">
        <f>IF(A469&lt;&gt;"",COUNTIFS('QA Log'!D:D,A469,'QA Log'!M:M,"Data Verification",'QA Log'!L:L,"Consumable (section 3)",'QA Log'!Z:Z,"Approved"),"")</f>
        <v/>
      </c>
      <c r="AR469" s="105" t="str">
        <f>IF(A469&lt;&gt;"",COUNTIFS('QA Log'!D:D,A469,'QA Log'!M:M,"Data Verification",'QA Log'!L:L,"Equipments (section 4)",'QA Log'!Z:Z,"Approved"),"")</f>
        <v/>
      </c>
      <c r="AS469" s="102" t="str">
        <f>IF(A469="","",
SUM(
COUNTIFS('QA Log'!D:D,A469,'QA Log'!M:M,"Data Verification",'QA Log'!Z:Z,"Rejected",'QA Log'!L:L,"*Personnel (section 1)*"),
COUNTIFS('QA Log'!D:D,A469,'QA Log'!M:M,"Data Verification",'QA Log'!Z:Z,"Rejected",'QA Log'!L:L,"*Consumable (section 3)*"),
COUNTIFS('QA Log'!D:D,A469,'QA Log'!M:M,"Data Verification",'QA Log'!Z:Z,"Rejected",'QA Log'!L:L,"*Equipments (section 4)*")
))</f>
        <v/>
      </c>
      <c r="AT469" s="102" t="str">
        <f t="shared" si="33"/>
        <v/>
      </c>
      <c r="AU469" s="103" t="str">
        <f t="shared" si="34"/>
        <v/>
      </c>
      <c r="AV469" s="102" t="str">
        <f>IF(A469="","",SUM(
COUNTIFS('QA Log'!D:D,A469,'QA Log'!M:M,"Vignette",'QA Log'!L:L,"*Vignette [1] Respiratory Infection: Pneumonia*"),
COUNTIFS('QA Log'!D:D,A469,'QA Log'!M:M,"Vignette",'QA Log'!L:L,"*Vignette [2]: Diarrhea with Cat B dehydration*"),
COUNTIFS('QA Log'!D:D,A469,'QA Log'!M:M,"Vignette",'QA Log'!L:L,"*Vignette [3] Growth Monitoring and Promotion*"),
COUNTIFS('QA Log'!D:D,A469,'QA Log'!M:M,"Vignette",'QA Log'!L:L,"*Vignette [4]: The management of presumptive TB patient*")
)
)</f>
        <v/>
      </c>
      <c r="AW469" s="102" t="str">
        <f>IF(
  A469="","",
  SUM(
    COUNTIFS('QA Log'!D:D,A469,'QA Log'!M:M,"Vignette",'QA Log'!Z:Z,"Approved",'QA Log'!L:L,"*Vignette [1] Respiratory Infection: Pneumonia*"),
    COUNTIFS('QA Log'!D:D,A469,'QA Log'!M:M,"Vignette",'QA Log'!Z:Z,"Approved",'QA Log'!L:L,"*Vignette [2]: Diarrhea with Cat B dehydration*"),
    COUNTIFS('QA Log'!D:D,A469,'QA Log'!M:M,"Vignette",'QA Log'!Z:Z,"Approved",'QA Log'!L:L,"*Vignette [3] Growth Monitoring and Promotion*"),
    COUNTIFS('QA Log'!D:D,A469,'QA Log'!M:M,"Vignette",'QA Log'!Z:Z,"Approved",'QA Log'!L:L,"*Vignette [4]: The management of presumptive TB patient*")
  )
)</f>
        <v/>
      </c>
      <c r="AX469" s="105" t="str">
        <f>IF(A469&lt;&gt;"",COUNTIFS('QA Log'!D:D,A469,'QA Log'!M:M,"Vignette",'QA Log'!L:L,"Vignette [1] Respiratory Infection: Pneumonia",'QA Log'!Z:Z,"Approved"),"")</f>
        <v/>
      </c>
      <c r="AY469" s="105" t="str">
        <f>IF(A469&lt;&gt;"",COUNTIFS('QA Log'!D:D,A469,'QA Log'!M:M,"Vignette",'QA Log'!L:L,"Vignette [2]: Diarrhea with Cat B dehydration",'QA Log'!Z:Z,"Approved"),"")</f>
        <v/>
      </c>
      <c r="AZ469" s="105" t="str">
        <f>IF(A469&lt;&gt;"",COUNTIFS('QA Log'!D:D,A469,'QA Log'!M:M,"Vignette",'QA Log'!L:L,"Vignette [3] Growth Monitoring and Promotion",'QA Log'!Z:Z,"Approved"),"")</f>
        <v/>
      </c>
      <c r="BA469" s="105" t="str">
        <f>IF(A469&lt;&gt;"",COUNTIFS('QA Log'!D:D,A469,'QA Log'!M:M,"Vignette",'QA Log'!L:L,"Vignette [4]: The management of presumptive TB patient",'QA Log'!Z:Z,"Approved"),"")</f>
        <v/>
      </c>
      <c r="BB469" s="102" t="str">
        <f>IF(A469="","",
  SUM(
    COUNTIFS('QA Log'!D:D,A469,'QA Log'!M:M,"Vignette",'QA Log'!Z:Z,"Rejected",'QA Log'!L:L,"*Vignette [1] Respiratory Infection: Pneumonia*"),
    COUNTIFS('QA Log'!D:D,A469,'QA Log'!M:M,"Vignette",'QA Log'!Z:Z,"Rejected",'QA Log'!L:L,"*Vignette [2]: Diarrhea with Cat B dehydration*"),
    COUNTIFS('QA Log'!D:D,A469,'QA Log'!M:M,"Vignette",'QA Log'!Z:Z,"Rejected",'QA Log'!L:L,"*Vignette [3] Growth Monitoring and Promotion*"),
    COUNTIFS('QA Log'!D:D,A469,'QA Log'!M:M,"Vignette",'QA Log'!Z:Z,"Rejected",'QA Log'!L:L,"*Vignette [4]: The management of presumptive TB patient*")
  )
)</f>
        <v/>
      </c>
      <c r="BC469" s="107" t="str">
        <f t="shared" si="35"/>
        <v/>
      </c>
      <c r="BD469" s="103" t="str">
        <f t="shared" si="36"/>
        <v/>
      </c>
      <c r="BE469" s="102" t="str">
        <f>IF(A469="","",SUM(
COUNTIFS('QA Log'!D:D,A469,'QA Log'!M:M,"Vignette",'QA Log'!L:L,"*Vignette [5] Labor*"),
COUNTIFS('QA Log'!D:D,A469,'QA Log'!M:M,"Vignette",'QA Log'!L:L,"*Vignette [6] PNC pre Discharge*"),
COUNTIFS('QA Log'!D:D,A469,'QA Log'!M:M,"Vignette",'QA Log'!L:L,"*Vignette [7] First ANC Visit*"),
COUNTIFS('QA Log'!D:D,A469,'QA Log'!M:M,"Vignette",'QA Log'!L:L,"*Vignette [8] Birth Spacing/ Family Planning :  FP Counselling*"),
COUNTIFS('QA Log'!D:D,A469,'QA Log'!M:M,"Vignette",'QA Log'!L:L,"*Vignette [9] Birth Spacing: Change FP method to Injectable*"),
COUNTIFS('QA Log'!D:D,A469,'QA Log'!M:M,"Vignette",'QA Log'!L:L,"*Vignette [10] Post Partum Haemorrhage - Atonic Uterus at Health Centre*"),
)
)</f>
        <v/>
      </c>
      <c r="BF469" s="102" t="str">
        <f>IF(A469="","",
  SUM(
    COUNTIFS('QA Log'!D:D,A469,'QA Log'!M:M,"Vignette",'QA Log'!Z:Z,"Approved",'QA Log'!L:L,"*Vignette [5] Labor*"),
    COUNTIFS('QA Log'!D:D,A469,'QA Log'!M:M,"Vignette",'QA Log'!Z:Z,"Approved",'QA Log'!L:L,"*Vignette [6] PNC pre Discharge*"),
    COUNTIFS('QA Log'!D:D,A469,'QA Log'!M:M,"Vignette",'QA Log'!Z:Z,"Approved",'QA Log'!L:L,"*Vignette [7] First ANC Visit*"),
    COUNTIFS('QA Log'!D:D,A469,'QA Log'!M:M,"Vignette",'QA Log'!Z:Z,"Approved",'QA Log'!L:L,"*Vignette [8] Birth Spacing/ Family Planning :  FP Counselling*"),
    COUNTIFS('QA Log'!D:D,A469,'QA Log'!M:M,"Vignette",'QA Log'!Z:Z,"Approved",'QA Log'!L:L,"*Vignette [9] Birth Spacing: Change FP method to Injectable*"),
    COUNTIFS('QA Log'!D:D,A469,'QA Log'!M:M,"Vignette",'QA Log'!Z:Z,"Approved",'QA Log'!L:L,"*Vignette [10] Post Partum Haemorrhage - Atonic Uterus at Health Centre*")
  )
)</f>
        <v/>
      </c>
      <c r="BG469" s="105" t="str">
        <f>IF(A469&lt;&gt;"",COUNTIFS('QA Log'!D:D,A469,'QA Log'!M:M,"Vignette",'QA Log'!L:L,"Vignette [5] Labor",'QA Log'!Z:Z,"Approved"),"")</f>
        <v/>
      </c>
      <c r="BH469" s="105" t="str">
        <f>IF(A469&lt;&gt;"",COUNTIFS('QA Log'!D:D,A469,'QA Log'!M:M,"Vignette",'QA Log'!L:L,"Vignette [6] PNC pre Discharge",'QA Log'!Z:Z,"Approved"),"")</f>
        <v/>
      </c>
      <c r="BI469" s="105" t="str">
        <f>IF(A469&lt;&gt;"",COUNTIFS('QA Log'!D:D,A469,'QA Log'!M:M,"Vignette",'QA Log'!L:L,"Vignette [7] First ANC Visit",'QA Log'!Z:Z,"Approved"),"")</f>
        <v/>
      </c>
      <c r="BJ469" s="105" t="str">
        <f>IF(A469&lt;&gt;"",COUNTIFS('QA Log'!D:D,A469,'QA Log'!M:M,"Vignette",'QA Log'!L:L,"Vignette [8] Birth Spacing/ Family Planning :  FP Counselling",'QA Log'!Z:Z,"Approved"),"")</f>
        <v/>
      </c>
      <c r="BK469" s="105" t="str">
        <f>IF(A469&lt;&gt;"",COUNTIFS('QA Log'!D:D,A469,'QA Log'!M:M,"Vignette",'QA Log'!L:L,"Vignette [9] Birth Spacing: Change FP method to Injectable",'QA Log'!Z:Z,"Approved"),"")</f>
        <v/>
      </c>
      <c r="BL469" s="105" t="str">
        <f>IF(A469&lt;&gt;"",COUNTIFS('QA Log'!D:D,A469,'QA Log'!M:M,"Vignette",'QA Log'!L:L,"Vignette [10] Post Partum Haemorrhage - Atonic Uterus at Health Centre",'QA Log'!Z:Z,"Approved"),"")</f>
        <v/>
      </c>
      <c r="BM469" s="102" t="str">
        <f>IF(A469="","",SUM(
    COUNTIFS('QA Log'!D:D,A469,'QA Log'!M:M,"Vignette",'QA Log'!Z:Z,"Rejected",'QA Log'!L:L,"*Vignette [5] Labor*"),
    COUNTIFS('QA Log'!D:D,A469,'QA Log'!M:M,"Vignette",'QA Log'!Z:Z,"Rejected",'QA Log'!L:L,"*Vignette [6] PNC pre Discharge*"),
    COUNTIFS('QA Log'!D:D,A469,'QA Log'!M:M,"Vignette",'QA Log'!Z:Z,"Rejected",'QA Log'!L:L,"*Vignette [7] First ANC Visit*"),
    COUNTIFS('QA Log'!D:D,A469,'QA Log'!M:M,"Vignette",'QA Log'!Z:Z,"Rejected",'QA Log'!L:L,"*Vignette [8] Birth Spacing/ Family Planning :  FP Counselling*"),
    COUNTIFS('QA Log'!D:D,A469,'QA Log'!M:M,"Vignette",'QA Log'!Z:Z,"Rejected",'QA Log'!L:L,"*Vignette [9] Birth Spacing: Change FP method to Injectable*"),
    COUNTIFS('QA Log'!D:D,A469,'QA Log'!M:M,"Vignette",'QA Log'!Z:Z,"Rejected",'QA Log'!L:L,"*Vignette [10] Post Partum Haemorrhage - Atonic Uterus at Health Centre*")
  )
)</f>
        <v/>
      </c>
      <c r="BN469" s="107" t="str">
        <f t="shared" si="37"/>
        <v/>
      </c>
      <c r="BO469" s="103" t="str">
        <f t="shared" si="38"/>
        <v/>
      </c>
      <c r="BP469" s="102" t="str">
        <f>IF(A469="","",SUM(
COUNTIFS('QA Log'!D:D,A469,'QA Log'!M:M,"Vignette",'QA Log'!L:L,"*Exit Interview 1*"),
COUNTIFS('QA Log'!D:D,A469,'QA Log'!M:M,"Vignette",'QA Log'!L:L,"*Exit Interview 2*"),
)
)</f>
        <v/>
      </c>
      <c r="BQ469" s="102" t="str">
        <f>IF(
  A469="","",
  SUM(
    COUNTIFS('QA Log'!D:D,A469,'QA Log'!M:M,"Vignette",'QA Log'!Z:Z,"Approved",'QA Log'!L:L,"*Exit Interview 1*"),
    COUNTIFS('QA Log'!D:D,A469,'QA Log'!M:M,"Vignette",'QA Log'!Z:Z,"Approved",'QA Log'!L:L,"*Exit Interview 2*")
  )
)</f>
        <v/>
      </c>
      <c r="BR469" s="105" t="str">
        <f>IF(A469&lt;&gt;"",COUNTIFS('QA Log'!D:D,A469,'QA Log'!M:M,"Vignette",'QA Log'!L:L,"Exit Interview 1",'QA Log'!Z:Z,"Approved"),"")</f>
        <v/>
      </c>
      <c r="BS469" s="105" t="str">
        <f>IF(A469&lt;&gt;"",COUNTIFS('QA Log'!D:D,A469,'QA Log'!M:M,"Vignette",'QA Log'!L:L,"Exit Interview 2",'QA Log'!Z:Z,"Approved"),"")</f>
        <v/>
      </c>
      <c r="BT469" s="102" t="str">
        <f>IF(
  A469="","",
  SUM(
    COUNTIFS('QA Log'!D:D,A469,'QA Log'!M:M,"Vignette",'QA Log'!Z:Z,"Rejected",'QA Log'!L:L,"*Exit Interview 1*"),
    COUNTIFS('QA Log'!D:D,A469,'QA Log'!M:M,"Vignette",'QA Log'!Z:Z,"Rejected",'QA Log'!L:L,"*Exit Interview 2*")
  )
)</f>
        <v/>
      </c>
      <c r="BU469" s="107" t="str">
        <f t="shared" si="39"/>
        <v/>
      </c>
      <c r="BV469" s="102" t="str">
        <f t="shared" si="40"/>
        <v/>
      </c>
      <c r="BW469" s="102" t="str">
        <f t="shared" si="41"/>
        <v/>
      </c>
      <c r="BX469" s="102" t="str">
        <f t="shared" si="42"/>
        <v/>
      </c>
      <c r="BY469" s="102" t="str">
        <f t="shared" si="43"/>
        <v/>
      </c>
      <c r="BZ469" s="107" t="str">
        <f t="shared" si="44"/>
        <v/>
      </c>
      <c r="CA469" s="108" t="str">
        <f t="shared" si="45"/>
        <v/>
      </c>
      <c r="CB469" s="108" t="str">
        <f t="shared" si="46"/>
        <v/>
      </c>
      <c r="CC469" s="109" t="str">
        <f t="shared" si="47"/>
        <v/>
      </c>
      <c r="CD469" s="108" t="str">
        <f t="shared" si="48"/>
        <v/>
      </c>
      <c r="CE469" s="108" t="str">
        <f t="shared" si="49"/>
        <v/>
      </c>
      <c r="CF469" s="109" t="str">
        <f t="shared" si="50"/>
        <v/>
      </c>
      <c r="CG469" s="110" t="str">
        <f t="shared" si="51"/>
        <v/>
      </c>
      <c r="CH469" s="111"/>
    </row>
    <row r="470" spans="1:86" ht="12.75">
      <c r="A470" s="101"/>
      <c r="B470" s="102" t="e">
        <f t="array" aca="1" ref="B470" ca="1">_xludf.XLOOKUP(A470,'QA Log'!D:D,'QA Log'!E:E,"")</f>
        <v>#NAME?</v>
      </c>
      <c r="C470" s="102" t="e">
        <f t="array" aca="1" ref="C470" ca="1">_xludf.XLOOKUP(A470,'QA Log'!D:D,'QA Log'!F:F,"")</f>
        <v>#NAME?</v>
      </c>
      <c r="D470" s="102" t="e">
        <f t="array" aca="1" ref="D470" ca="1">_xludf.XLOOKUP(A470,'QA Log'!D:D,'QA Log'!H:H,"")</f>
        <v>#NAME?</v>
      </c>
      <c r="E470" s="102" t="e">
        <f t="array" aca="1" ref="E470" ca="1">_xludf.XLOOKUP(A470,'QA Log'!D:D,'QA Log'!G:G,"")</f>
        <v>#NAME?</v>
      </c>
      <c r="F470" s="103"/>
      <c r="G470" s="104"/>
      <c r="H470" s="104"/>
      <c r="I470" s="103" t="str">
        <f t="shared" si="26"/>
        <v/>
      </c>
      <c r="J470" s="102" t="str">
        <f>IF(A470="","",SUM(
COUNTIFS('QA Log'!D:D,A470,'QA Log'!M:M,"QQC",'QA Log'!L:L,"*1. General Management*"),
COUNTIFS('QA Log'!D:D,A470,'QA Log'!M:M,"QQC",'QA Log'!L:L,"*3. Curative Consultation (OPD)*"),
COUNTIFS('QA Log'!D:D,A470,'QA Log'!M:M,"QQC",'QA Log'!L:L,"*5. Laboratory*"),
COUNTIFS('QA Log'!D:D,A470,'QA Log'!M:M,"QQC",'QA Log'!L:L,"*6. Essential Medicine Management*"),
COUNTIFS('QA Log'!D:D,A470,'QA Log'!M:M,"QQC",'QA Log'!L:L,"*7. Tracer Medicine*"),
COUNTIFS('QA Log'!D:D,A470,'QA Log'!M:M,"QQC",'QA Log'!L:L,"*11. Additional Questions*")))</f>
        <v/>
      </c>
      <c r="K470" s="102" t="str">
        <f>IF(A470="","",SUM(
COUNTIFS('QA Log'!D:D,A470,'QA Log'!M:M,"QQC",'QA Log'!Z:Z,"Approved",'QA Log'!L:L,"*1. General Management*"),
COUNTIFS('QA Log'!D:D,A470,'QA Log'!M:M,"QQC",'QA Log'!Z:Z,"Approved",'QA Log'!L:L,"*3. Curative Consultation (OPD)*"),
COUNTIFS('QA Log'!D:D,A470,'QA Log'!M:M,"QQC",'QA Log'!Z:Z,"Approved",'QA Log'!L:L,"*5. Laboratory*"),
COUNTIFS('QA Log'!D:D,A470,'QA Log'!M:M,"QQC",'QA Log'!Z:Z,"Approved",'QA Log'!L:L,"*6. Essential Medicine Management*"),
COUNTIFS('QA Log'!D:D,A470,'QA Log'!M:M,"QQC",'QA Log'!Z:Z,"Approved",'QA Log'!L:L,"*7. Tracer Medicine*"),
COUNTIFS('QA Log'!D:D,A470,'QA Log'!M:M,"QQC",'QA Log'!Z:Z,"Approved",'QA Log'!L:L,"*11. Additional Questions*")))</f>
        <v/>
      </c>
      <c r="L470" s="102" t="str">
        <f>IF(A470&lt;&gt;"",COUNTIFS('QA Log'!D:D,A470,'QA Log'!M:M,"QQC",'QA Log'!L:L,"1. General Management",'QA Log'!Z:Z,"Approved"),"")</f>
        <v/>
      </c>
      <c r="M470" s="102" t="str">
        <f>IF(A470&lt;&gt;"",COUNTIFS('QA Log'!D:D,A470,'QA Log'!M:M,"QQC",'QA Log'!L:L,"3. Curative Consultation (OPD)",'QA Log'!Z:Z,"Approved"),"")</f>
        <v/>
      </c>
      <c r="N470" s="102" t="str">
        <f>IF(A470&lt;&gt;"",COUNTIFS('QA Log'!D:D,A470,'QA Log'!M:M,"QQC",'QA Log'!L:L,"5. Laboratory",'QA Log'!Z:Z,"Approved"),"")</f>
        <v/>
      </c>
      <c r="O470" s="102" t="str">
        <f>IF(A470&lt;&gt;"",COUNTIFS('QA Log'!D:D,A470,'QA Log'!M:M,"QQC",'QA Log'!L:L,"6. Essential Medicine Management",'QA Log'!Z:Z,"Approved"),"")</f>
        <v/>
      </c>
      <c r="P470" s="102" t="str">
        <f>IF(A470&lt;&gt;"",COUNTIFS('QA Log'!D:D,A470,'QA Log'!M:M,"QQC",'QA Log'!L:L,"7. Tracer Medicine",'QA Log'!Z:Z,"Approved"),"")</f>
        <v/>
      </c>
      <c r="Q470" s="102" t="str">
        <f>IF(A470&lt;&gt;"",COUNTIFS('QA Log'!D:D,A470,'QA Log'!M:M,"QQC",'QA Log'!L:L,"11. Additional Questions",'QA Log'!Z:Z,"Approved"),"")</f>
        <v/>
      </c>
      <c r="R470" s="102" t="str">
        <f>IF(A470="","",SUM(
COUNTIFS('QA Log'!D:D,A470,'QA Log'!M:M,"QQC",'QA Log'!Z:Z,"Rejected",'QA Log'!L:L,"*8. Maternity*"),
COUNTIFS('QA Log'!D:D,A470,'QA Log'!M:M,"QQC",'QA Log'!Z:Z,"Rejected",'QA Log'!L:L,"*EPI*"),
COUNTIFS('QA Log'!D:D,A470,'QA Log'!M:M,"QQC",'QA Log'!Z:Z,"Rejected",'QA Log'!L:L,"*10. Antenatal Care (ANC)*"),
COUNTIFS('QA Log'!D:D,A470,'QA Log'!M:M,"QQC",'QA Log'!Z:Z,"Rejected",'QA Log'!L:L,"*2. Hygiene and Sterilization*"),
COUNTIFS('QA Log'!D:D,A470,'QA Log'!M:M,"QQC",'QA Log'!Z:Z,"Rejected",'QA Log'!L:L,"*Family Planning*")))</f>
        <v/>
      </c>
      <c r="S470" s="106" t="str">
        <f t="shared" si="27"/>
        <v/>
      </c>
      <c r="T470" s="102" t="str">
        <f t="shared" si="28"/>
        <v/>
      </c>
      <c r="U470" s="102" t="str">
        <f>IF(A470="","",
SUM(
COUNTIFS('QA Log'!D:D,A470,'QA Log'!M:M,"QQC",'QA Log'!L:L,"*8. Maternity*"),
COUNTIFS('QA Log'!D:D,A470,'QA Log'!M:M,"QQC",'QA Log'!L:L,"*9. EPI and Pre-school Consultation*"),
COUNTIFS('QA Log'!D:D,A470,'QA Log'!M:M,"QQC",'QA Log'!L:L,"*10. Antenatal Care (ANC)*"),
COUNTIFS('QA Log'!D:D,A470,'QA Log'!M:M,"QQC",'QA Log'!L:L,"*2. Hygiene and Sterilization*"),
COUNTIFS('QA Log'!D:D,A470,'QA Log'!M:M,"QQC",'QA Log'!L:L,"*4. Family Planning*")
))</f>
        <v/>
      </c>
      <c r="V470" s="102" t="str">
        <f>IF(A470="","",
SUM(
COUNTIFS('QA Log'!D:D,A470,'QA Log'!M:M,"QQC",'QA Log'!Z:Z,"Approved",'QA Log'!L:L,"*8. Maternity*"),
COUNTIFS('QA Log'!D:D,A470,'QA Log'!M:M,"QQC",'QA Log'!Z:Z,"Approved",'QA Log'!L:L,"*9. EPI and Pre-school Consultation*"),
COUNTIFS('QA Log'!D:D,A470,'QA Log'!M:M,"QQC",'QA Log'!Z:Z,"Approved",'QA Log'!L:L,"*10. Antenatal Care (ANC)*"),
COUNTIFS('QA Log'!D:D,A470,'QA Log'!M:M,"QQC",'QA Log'!Z:Z,"Approved",'QA Log'!L:L,"*2. Hygiene and Sterilization*"),
COUNTIFS('QA Log'!D:D,A470,'QA Log'!M:M,"QQC",'QA Log'!Z:Z,"Approved",'QA Log'!L:L,"*4. Family Planning*")
))</f>
        <v/>
      </c>
      <c r="W470" s="102" t="str">
        <f>IF(A470&lt;&gt;"",COUNTIFS('QA Log'!D:D,A470,'QA Log'!M:M,"QQC",'QA Log'!L:L,"8. Maternity",'QA Log'!Z:Z,"Approved"),"")</f>
        <v/>
      </c>
      <c r="X470" s="105" t="str">
        <f>IF(A470&lt;&gt;"",COUNTIFS('QA Log'!D:D,A470,'QA Log'!M:M,"QQC",'QA Log'!L:L,"9. EPI and Pre-school Consultation",'QA Log'!Z:Z,"Approved"),"")</f>
        <v/>
      </c>
      <c r="Y470" s="102" t="str">
        <f>IF(A470&lt;&gt;"",COUNTIFS('QA Log'!D:D,A470,'QA Log'!M:M,"QQC",'QA Log'!L:L,"10. Antenatal Care (ANC)",'QA Log'!Z:Z,"Approved"),"")</f>
        <v/>
      </c>
      <c r="Z470" s="102" t="str">
        <f>IF(A470&lt;&gt;"",COUNTIFS('QA Log'!D:D,A470,'QA Log'!M:M,"QQC",'QA Log'!L:L,"2. Hygiene and Sterilization",'QA Log'!Z:Z,"Approved"),"")</f>
        <v/>
      </c>
      <c r="AA470" s="105" t="str">
        <f>IF(A470&lt;&gt;"",COUNTIFS('QA Log'!D:D,A470,'QA Log'!M:M,"QQC",'QA Log'!L:L,"4. Family Planning",'QA Log'!Z:Z,"Approved"),"")</f>
        <v/>
      </c>
      <c r="AB470" s="102" t="str">
        <f>IF(A470="","",
SUM(
COUNTIFS('QA Log'!D:D,A470,'QA Log'!M:M,"QQC",'QA Log'!Z:Z,"Rejected",'QA Log'!L:L,"*8. Maternity*"),
COUNTIFS('QA Log'!D:D,A470,'QA Log'!M:M,"QQC",'QA Log'!Z:Z,"Rejected",'QA Log'!L:L,"*9. EPI and Pre-school Consultation*"),
COUNTIFS('QA Log'!D:D,A470,'QA Log'!M:M,"QQC",'QA Log'!Z:Z,"Rejected",'QA Log'!L:L,"*10. Antenatal Care (ANC)*"),
COUNTIFS('QA Log'!D:D,A470,'QA Log'!M:M,"QQC",'QA Log'!Z:Z,"Rejected",'QA Log'!L:L,"*2. Hygiene and Sterilization*"),
COUNTIFS('QA Log'!D:D,A470,'QA Log'!M:M,"QQC",'QA Log'!Z:Z,"Rejected",'QA Log'!L:L,"*4. Family Planning*")
))</f>
        <v/>
      </c>
      <c r="AC470" s="102" t="str">
        <f t="shared" si="29"/>
        <v/>
      </c>
      <c r="AD470" s="103" t="str">
        <f t="shared" si="30"/>
        <v/>
      </c>
      <c r="AE470" s="102" t="str">
        <f>IF(A470="","",
SUM(
COUNTIFS('QA Log'!D:D,A470,'QA Log'!M:M,"Data Verification",'QA Log'!L:L,"*Medicine (section 2)*"),
COUNTIFS('QA Log'!D:D,A470,'QA Log'!M:M,"Data Verification",'QA Log'!L:L,"*Lab Testing Availability*"),
COUNTIFS('QA Log'!D:D,A470,'QA Log'!M:M,"Data Verification",'QA Log'!L:L,"*Other than P4P (section 6)*"),
COUNTIFS('QA Log'!D:D,A470,'QA Log'!M:M,"Data Verification",'QA Log'!L:L,"*Hospital Governance*")
))</f>
        <v/>
      </c>
      <c r="AF470" s="102" t="str">
        <f>IF(A470="","",
SUM(
COUNTIFS('QA Log'!D:D,A470,'QA Log'!M:M,"Data Verification",'QA Log'!Z:Z,"Approved",'QA Log'!L:L,"*Medicine (section 2)*"),
COUNTIFS('QA Log'!D:D,A470,'QA Log'!M:M,"Data Verification",'QA Log'!Z:Z,"Approved",'QA Log'!L:L,"*Lab Testing Availability*"),
COUNTIFS('QA Log'!D:D,A470,'QA Log'!M:M,"Data Verification",'QA Log'!Z:Z,"Approved",'QA Log'!L:L,"*Other than P4P (section 6)*"),
COUNTIFS('QA Log'!D:D,A470,'QA Log'!M:M,"Data Verification",'QA Log'!Z:Z,"Approved",'QA Log'!L:L,"*Hospital Governance*")
))</f>
        <v/>
      </c>
      <c r="AG470" s="105" t="str">
        <f>IF(A470&lt;&gt;"",COUNTIFS('QA Log'!D:D,A470,'QA Log'!M:M,"Data Verification",'QA Log'!L:L,"Medicine (section 2)",'QA Log'!Z:Z,"Approved"),"")</f>
        <v/>
      </c>
      <c r="AH470" s="105" t="str">
        <f>IF(A470&lt;&gt;"",COUNTIFS('QA Log'!D:D,A470,'QA Log'!M:M,"Data Verification",'QA Log'!L:L,"Lab Testing Availability",'QA Log'!Z:Z,"Approved"),"")</f>
        <v/>
      </c>
      <c r="AI470" s="105" t="str">
        <f>IF(A470&lt;&gt;"",COUNTIFS('QA Log'!D:D,A470,'QA Log'!M:M,"Data Verification",'QA Log'!L:L,"Other than P4P (section 6)",'QA Log'!Z:Z,"Approved"),"")</f>
        <v/>
      </c>
      <c r="AJ470" s="105" t="str">
        <f>IF(A470&lt;&gt;"",COUNTIFS('QA Log'!D:D,A470,'QA Log'!M:M,"Data Verification",'QA Log'!L:L,"Hospital Governance",'QA Log'!Z:Z,"Approved"),"")</f>
        <v/>
      </c>
      <c r="AK470" s="102" t="str">
        <f>IF(A470="","",
SUM(
COUNTIFS('QA Log'!D:D,A470,'QA Log'!M:M,"Data Verification",'QA Log'!Z:Z,"Rejected",'QA Log'!L:L,"*Medicine (section 2)*"),
COUNTIFS('QA Log'!D:D,A470,'QA Log'!M:M,"Data Verification",'QA Log'!Z:Z,"Rejected",'QA Log'!L:L,"*Lab Testing Availability*"),
COUNTIFS('QA Log'!D:D,A470,'QA Log'!M:M,"Data Verification",'QA Log'!Z:Z,"Rejected",'QA Log'!L:L,"*Other than P4P (section 6)*"),
COUNTIFS('QA Log'!D:D,A470,'QA Log'!M:M,"Data Verification",'QA Log'!Z:Z,"Rejected",'QA Log'!L:L,"*Hospital Governance*")
))</f>
        <v/>
      </c>
      <c r="AL470" s="106" t="str">
        <f t="shared" si="31"/>
        <v/>
      </c>
      <c r="AM470" s="102" t="str">
        <f t="shared" si="32"/>
        <v/>
      </c>
      <c r="AN470" s="102" t="str">
        <f>IF(A470="","",
SUM(
COUNTIFS('QA Log'!D:D,A470,'QA Log'!M:M,"Data Verification",'QA Log'!L:L,"*Personnel (section 1)*"),
COUNTIFS('QA Log'!D:D,A470,'QA Log'!M:M,"Data Verification",'QA Log'!L:L,"*Consumable (section 3)*"),
COUNTIFS('QA Log'!D:D,A470,'QA Log'!M:M,"Data Verification",'QA Log'!L:L,"*Equipments (section 4)*")
))</f>
        <v/>
      </c>
      <c r="AO470" s="102" t="str">
        <f>IF(A470="","",
SUM(
COUNTIFS('QA Log'!D:D,A470,'QA Log'!M:M,"Data Verification",'QA Log'!Z:Z,"Approved",'QA Log'!L:L,"*Personnel (section 1)*"),
COUNTIFS('QA Log'!D:D,A470,'QA Log'!M:M,"Data Verification",'QA Log'!Z:Z,"Approved",'QA Log'!L:L,"*Consumable (section 3)*"),
COUNTIFS('QA Log'!D:D,A470,'QA Log'!M:M,"Data Verification",'QA Log'!Z:Z,"Approved",'QA Log'!L:L,"*Equipments (section 4)*")
))</f>
        <v/>
      </c>
      <c r="AP470" s="105" t="str">
        <f>IF(A470&lt;&gt;"",COUNTIFS('QA Log'!D:D,A470,'QA Log'!M:M,"Data Verification",'QA Log'!L:L,"Personnel (section 1)",'QA Log'!Z:Z,"Approved"),"")</f>
        <v/>
      </c>
      <c r="AQ470" s="105" t="str">
        <f>IF(A470&lt;&gt;"",COUNTIFS('QA Log'!D:D,A470,'QA Log'!M:M,"Data Verification",'QA Log'!L:L,"Consumable (section 3)",'QA Log'!Z:Z,"Approved"),"")</f>
        <v/>
      </c>
      <c r="AR470" s="105" t="str">
        <f>IF(A470&lt;&gt;"",COUNTIFS('QA Log'!D:D,A470,'QA Log'!M:M,"Data Verification",'QA Log'!L:L,"Equipments (section 4)",'QA Log'!Z:Z,"Approved"),"")</f>
        <v/>
      </c>
      <c r="AS470" s="102" t="str">
        <f>IF(A470="","",
SUM(
COUNTIFS('QA Log'!D:D,A470,'QA Log'!M:M,"Data Verification",'QA Log'!Z:Z,"Rejected",'QA Log'!L:L,"*Personnel (section 1)*"),
COUNTIFS('QA Log'!D:D,A470,'QA Log'!M:M,"Data Verification",'QA Log'!Z:Z,"Rejected",'QA Log'!L:L,"*Consumable (section 3)*"),
COUNTIFS('QA Log'!D:D,A470,'QA Log'!M:M,"Data Verification",'QA Log'!Z:Z,"Rejected",'QA Log'!L:L,"*Equipments (section 4)*")
))</f>
        <v/>
      </c>
      <c r="AT470" s="102" t="str">
        <f t="shared" si="33"/>
        <v/>
      </c>
      <c r="AU470" s="103" t="str">
        <f t="shared" si="34"/>
        <v/>
      </c>
      <c r="AV470" s="102" t="str">
        <f>IF(A470="","",SUM(
COUNTIFS('QA Log'!D:D,A470,'QA Log'!M:M,"Vignette",'QA Log'!L:L,"*Vignette [1] Respiratory Infection: Pneumonia*"),
COUNTIFS('QA Log'!D:D,A470,'QA Log'!M:M,"Vignette",'QA Log'!L:L,"*Vignette [2]: Diarrhea with Cat B dehydration*"),
COUNTIFS('QA Log'!D:D,A470,'QA Log'!M:M,"Vignette",'QA Log'!L:L,"*Vignette [3] Growth Monitoring and Promotion*"),
COUNTIFS('QA Log'!D:D,A470,'QA Log'!M:M,"Vignette",'QA Log'!L:L,"*Vignette [4]: The management of presumptive TB patient*")
)
)</f>
        <v/>
      </c>
      <c r="AW470" s="102" t="str">
        <f>IF(
  A470="","",
  SUM(
    COUNTIFS('QA Log'!D:D,A470,'QA Log'!M:M,"Vignette",'QA Log'!Z:Z,"Approved",'QA Log'!L:L,"*Vignette [1] Respiratory Infection: Pneumonia*"),
    COUNTIFS('QA Log'!D:D,A470,'QA Log'!M:M,"Vignette",'QA Log'!Z:Z,"Approved",'QA Log'!L:L,"*Vignette [2]: Diarrhea with Cat B dehydration*"),
    COUNTIFS('QA Log'!D:D,A470,'QA Log'!M:M,"Vignette",'QA Log'!Z:Z,"Approved",'QA Log'!L:L,"*Vignette [3] Growth Monitoring and Promotion*"),
    COUNTIFS('QA Log'!D:D,A470,'QA Log'!M:M,"Vignette",'QA Log'!Z:Z,"Approved",'QA Log'!L:L,"*Vignette [4]: The management of presumptive TB patient*")
  )
)</f>
        <v/>
      </c>
      <c r="AX470" s="105" t="str">
        <f>IF(A470&lt;&gt;"",COUNTIFS('QA Log'!D:D,A470,'QA Log'!M:M,"Vignette",'QA Log'!L:L,"Vignette [1] Respiratory Infection: Pneumonia",'QA Log'!Z:Z,"Approved"),"")</f>
        <v/>
      </c>
      <c r="AY470" s="105" t="str">
        <f>IF(A470&lt;&gt;"",COUNTIFS('QA Log'!D:D,A470,'QA Log'!M:M,"Vignette",'QA Log'!L:L,"Vignette [2]: Diarrhea with Cat B dehydration",'QA Log'!Z:Z,"Approved"),"")</f>
        <v/>
      </c>
      <c r="AZ470" s="105" t="str">
        <f>IF(A470&lt;&gt;"",COUNTIFS('QA Log'!D:D,A470,'QA Log'!M:M,"Vignette",'QA Log'!L:L,"Vignette [3] Growth Monitoring and Promotion",'QA Log'!Z:Z,"Approved"),"")</f>
        <v/>
      </c>
      <c r="BA470" s="105" t="str">
        <f>IF(A470&lt;&gt;"",COUNTIFS('QA Log'!D:D,A470,'QA Log'!M:M,"Vignette",'QA Log'!L:L,"Vignette [4]: The management of presumptive TB patient",'QA Log'!Z:Z,"Approved"),"")</f>
        <v/>
      </c>
      <c r="BB470" s="102" t="str">
        <f>IF(A470="","",
  SUM(
    COUNTIFS('QA Log'!D:D,A470,'QA Log'!M:M,"Vignette",'QA Log'!Z:Z,"Rejected",'QA Log'!L:L,"*Vignette [1] Respiratory Infection: Pneumonia*"),
    COUNTIFS('QA Log'!D:D,A470,'QA Log'!M:M,"Vignette",'QA Log'!Z:Z,"Rejected",'QA Log'!L:L,"*Vignette [2]: Diarrhea with Cat B dehydration*"),
    COUNTIFS('QA Log'!D:D,A470,'QA Log'!M:M,"Vignette",'QA Log'!Z:Z,"Rejected",'QA Log'!L:L,"*Vignette [3] Growth Monitoring and Promotion*"),
    COUNTIFS('QA Log'!D:D,A470,'QA Log'!M:M,"Vignette",'QA Log'!Z:Z,"Rejected",'QA Log'!L:L,"*Vignette [4]: The management of presumptive TB patient*")
  )
)</f>
        <v/>
      </c>
      <c r="BC470" s="107" t="str">
        <f t="shared" si="35"/>
        <v/>
      </c>
      <c r="BD470" s="103" t="str">
        <f t="shared" si="36"/>
        <v/>
      </c>
      <c r="BE470" s="102" t="str">
        <f>IF(A470="","",SUM(
COUNTIFS('QA Log'!D:D,A470,'QA Log'!M:M,"Vignette",'QA Log'!L:L,"*Vignette [5] Labor*"),
COUNTIFS('QA Log'!D:D,A470,'QA Log'!M:M,"Vignette",'QA Log'!L:L,"*Vignette [6] PNC pre Discharge*"),
COUNTIFS('QA Log'!D:D,A470,'QA Log'!M:M,"Vignette",'QA Log'!L:L,"*Vignette [7] First ANC Visit*"),
COUNTIFS('QA Log'!D:D,A470,'QA Log'!M:M,"Vignette",'QA Log'!L:L,"*Vignette [8] Birth Spacing/ Family Planning :  FP Counselling*"),
COUNTIFS('QA Log'!D:D,A470,'QA Log'!M:M,"Vignette",'QA Log'!L:L,"*Vignette [9] Birth Spacing: Change FP method to Injectable*"),
COUNTIFS('QA Log'!D:D,A470,'QA Log'!M:M,"Vignette",'QA Log'!L:L,"*Vignette [10] Post Partum Haemorrhage - Atonic Uterus at Health Centre*"),
)
)</f>
        <v/>
      </c>
      <c r="BF470" s="102" t="str">
        <f>IF(A470="","",
  SUM(
    COUNTIFS('QA Log'!D:D,A470,'QA Log'!M:M,"Vignette",'QA Log'!Z:Z,"Approved",'QA Log'!L:L,"*Vignette [5] Labor*"),
    COUNTIFS('QA Log'!D:D,A470,'QA Log'!M:M,"Vignette",'QA Log'!Z:Z,"Approved",'QA Log'!L:L,"*Vignette [6] PNC pre Discharge*"),
    COUNTIFS('QA Log'!D:D,A470,'QA Log'!M:M,"Vignette",'QA Log'!Z:Z,"Approved",'QA Log'!L:L,"*Vignette [7] First ANC Visit*"),
    COUNTIFS('QA Log'!D:D,A470,'QA Log'!M:M,"Vignette",'QA Log'!Z:Z,"Approved",'QA Log'!L:L,"*Vignette [8] Birth Spacing/ Family Planning :  FP Counselling*"),
    COUNTIFS('QA Log'!D:D,A470,'QA Log'!M:M,"Vignette",'QA Log'!Z:Z,"Approved",'QA Log'!L:L,"*Vignette [9] Birth Spacing: Change FP method to Injectable*"),
    COUNTIFS('QA Log'!D:D,A470,'QA Log'!M:M,"Vignette",'QA Log'!Z:Z,"Approved",'QA Log'!L:L,"*Vignette [10] Post Partum Haemorrhage - Atonic Uterus at Health Centre*")
  )
)</f>
        <v/>
      </c>
      <c r="BG470" s="105" t="str">
        <f>IF(A470&lt;&gt;"",COUNTIFS('QA Log'!D:D,A470,'QA Log'!M:M,"Vignette",'QA Log'!L:L,"Vignette [5] Labor",'QA Log'!Z:Z,"Approved"),"")</f>
        <v/>
      </c>
      <c r="BH470" s="105" t="str">
        <f>IF(A470&lt;&gt;"",COUNTIFS('QA Log'!D:D,A470,'QA Log'!M:M,"Vignette",'QA Log'!L:L,"Vignette [6] PNC pre Discharge",'QA Log'!Z:Z,"Approved"),"")</f>
        <v/>
      </c>
      <c r="BI470" s="105" t="str">
        <f>IF(A470&lt;&gt;"",COUNTIFS('QA Log'!D:D,A470,'QA Log'!M:M,"Vignette",'QA Log'!L:L,"Vignette [7] First ANC Visit",'QA Log'!Z:Z,"Approved"),"")</f>
        <v/>
      </c>
      <c r="BJ470" s="105" t="str">
        <f>IF(A470&lt;&gt;"",COUNTIFS('QA Log'!D:D,A470,'QA Log'!M:M,"Vignette",'QA Log'!L:L,"Vignette [8] Birth Spacing/ Family Planning :  FP Counselling",'QA Log'!Z:Z,"Approved"),"")</f>
        <v/>
      </c>
      <c r="BK470" s="105" t="str">
        <f>IF(A470&lt;&gt;"",COUNTIFS('QA Log'!D:D,A470,'QA Log'!M:M,"Vignette",'QA Log'!L:L,"Vignette [9] Birth Spacing: Change FP method to Injectable",'QA Log'!Z:Z,"Approved"),"")</f>
        <v/>
      </c>
      <c r="BL470" s="105" t="str">
        <f>IF(A470&lt;&gt;"",COUNTIFS('QA Log'!D:D,A470,'QA Log'!M:M,"Vignette",'QA Log'!L:L,"Vignette [10] Post Partum Haemorrhage - Atonic Uterus at Health Centre",'QA Log'!Z:Z,"Approved"),"")</f>
        <v/>
      </c>
      <c r="BM470" s="102" t="str">
        <f>IF(A470="","",SUM(
    COUNTIFS('QA Log'!D:D,A470,'QA Log'!M:M,"Vignette",'QA Log'!Z:Z,"Rejected",'QA Log'!L:L,"*Vignette [5] Labor*"),
    COUNTIFS('QA Log'!D:D,A470,'QA Log'!M:M,"Vignette",'QA Log'!Z:Z,"Rejected",'QA Log'!L:L,"*Vignette [6] PNC pre Discharge*"),
    COUNTIFS('QA Log'!D:D,A470,'QA Log'!M:M,"Vignette",'QA Log'!Z:Z,"Rejected",'QA Log'!L:L,"*Vignette [7] First ANC Visit*"),
    COUNTIFS('QA Log'!D:D,A470,'QA Log'!M:M,"Vignette",'QA Log'!Z:Z,"Rejected",'QA Log'!L:L,"*Vignette [8] Birth Spacing/ Family Planning :  FP Counselling*"),
    COUNTIFS('QA Log'!D:D,A470,'QA Log'!M:M,"Vignette",'QA Log'!Z:Z,"Rejected",'QA Log'!L:L,"*Vignette [9] Birth Spacing: Change FP method to Injectable*"),
    COUNTIFS('QA Log'!D:D,A470,'QA Log'!M:M,"Vignette",'QA Log'!Z:Z,"Rejected",'QA Log'!L:L,"*Vignette [10] Post Partum Haemorrhage - Atonic Uterus at Health Centre*")
  )
)</f>
        <v/>
      </c>
      <c r="BN470" s="107" t="str">
        <f t="shared" si="37"/>
        <v/>
      </c>
      <c r="BO470" s="103" t="str">
        <f t="shared" si="38"/>
        <v/>
      </c>
      <c r="BP470" s="102" t="str">
        <f>IF(A470="","",SUM(
COUNTIFS('QA Log'!D:D,A470,'QA Log'!M:M,"Vignette",'QA Log'!L:L,"*Exit Interview 1*"),
COUNTIFS('QA Log'!D:D,A470,'QA Log'!M:M,"Vignette",'QA Log'!L:L,"*Exit Interview 2*"),
)
)</f>
        <v/>
      </c>
      <c r="BQ470" s="102" t="str">
        <f>IF(
  A470="","",
  SUM(
    COUNTIFS('QA Log'!D:D,A470,'QA Log'!M:M,"Vignette",'QA Log'!Z:Z,"Approved",'QA Log'!L:L,"*Exit Interview 1*"),
    COUNTIFS('QA Log'!D:D,A470,'QA Log'!M:M,"Vignette",'QA Log'!Z:Z,"Approved",'QA Log'!L:L,"*Exit Interview 2*")
  )
)</f>
        <v/>
      </c>
      <c r="BR470" s="105" t="str">
        <f>IF(A470&lt;&gt;"",COUNTIFS('QA Log'!D:D,A470,'QA Log'!M:M,"Vignette",'QA Log'!L:L,"Exit Interview 1",'QA Log'!Z:Z,"Approved"),"")</f>
        <v/>
      </c>
      <c r="BS470" s="105" t="str">
        <f>IF(A470&lt;&gt;"",COUNTIFS('QA Log'!D:D,A470,'QA Log'!M:M,"Vignette",'QA Log'!L:L,"Exit Interview 2",'QA Log'!Z:Z,"Approved"),"")</f>
        <v/>
      </c>
      <c r="BT470" s="102" t="str">
        <f>IF(
  A470="","",
  SUM(
    COUNTIFS('QA Log'!D:D,A470,'QA Log'!M:M,"Vignette",'QA Log'!Z:Z,"Rejected",'QA Log'!L:L,"*Exit Interview 1*"),
    COUNTIFS('QA Log'!D:D,A470,'QA Log'!M:M,"Vignette",'QA Log'!Z:Z,"Rejected",'QA Log'!L:L,"*Exit Interview 2*")
  )
)</f>
        <v/>
      </c>
      <c r="BU470" s="107" t="str">
        <f t="shared" si="39"/>
        <v/>
      </c>
      <c r="BV470" s="102" t="str">
        <f t="shared" si="40"/>
        <v/>
      </c>
      <c r="BW470" s="102" t="str">
        <f t="shared" si="41"/>
        <v/>
      </c>
      <c r="BX470" s="102" t="str">
        <f t="shared" si="42"/>
        <v/>
      </c>
      <c r="BY470" s="102" t="str">
        <f t="shared" si="43"/>
        <v/>
      </c>
      <c r="BZ470" s="107" t="str">
        <f t="shared" si="44"/>
        <v/>
      </c>
      <c r="CA470" s="108" t="str">
        <f t="shared" si="45"/>
        <v/>
      </c>
      <c r="CB470" s="108" t="str">
        <f t="shared" si="46"/>
        <v/>
      </c>
      <c r="CC470" s="109" t="str">
        <f t="shared" si="47"/>
        <v/>
      </c>
      <c r="CD470" s="108" t="str">
        <f t="shared" si="48"/>
        <v/>
      </c>
      <c r="CE470" s="108" t="str">
        <f t="shared" si="49"/>
        <v/>
      </c>
      <c r="CF470" s="109" t="str">
        <f t="shared" si="50"/>
        <v/>
      </c>
      <c r="CG470" s="110" t="str">
        <f t="shared" si="51"/>
        <v/>
      </c>
      <c r="CH470" s="111"/>
    </row>
    <row r="471" spans="1:86" ht="12.75">
      <c r="A471" s="101"/>
      <c r="B471" s="102" t="e">
        <f t="array" aca="1" ref="B471" ca="1">_xludf.XLOOKUP(A471,'QA Log'!D:D,'QA Log'!E:E,"")</f>
        <v>#NAME?</v>
      </c>
      <c r="C471" s="102" t="e">
        <f t="array" aca="1" ref="C471" ca="1">_xludf.XLOOKUP(A471,'QA Log'!D:D,'QA Log'!F:F,"")</f>
        <v>#NAME?</v>
      </c>
      <c r="D471" s="102" t="e">
        <f t="array" aca="1" ref="D471" ca="1">_xludf.XLOOKUP(A471,'QA Log'!D:D,'QA Log'!H:H,"")</f>
        <v>#NAME?</v>
      </c>
      <c r="E471" s="102" t="e">
        <f t="array" aca="1" ref="E471" ca="1">_xludf.XLOOKUP(A471,'QA Log'!D:D,'QA Log'!G:G,"")</f>
        <v>#NAME?</v>
      </c>
      <c r="F471" s="103"/>
      <c r="G471" s="104"/>
      <c r="H471" s="104"/>
      <c r="I471" s="103" t="str">
        <f t="shared" si="26"/>
        <v/>
      </c>
      <c r="J471" s="102" t="str">
        <f>IF(A471="","",SUM(
COUNTIFS('QA Log'!D:D,A471,'QA Log'!M:M,"QQC",'QA Log'!L:L,"*1. General Management*"),
COUNTIFS('QA Log'!D:D,A471,'QA Log'!M:M,"QQC",'QA Log'!L:L,"*3. Curative Consultation (OPD)*"),
COUNTIFS('QA Log'!D:D,A471,'QA Log'!M:M,"QQC",'QA Log'!L:L,"*5. Laboratory*"),
COUNTIFS('QA Log'!D:D,A471,'QA Log'!M:M,"QQC",'QA Log'!L:L,"*6. Essential Medicine Management*"),
COUNTIFS('QA Log'!D:D,A471,'QA Log'!M:M,"QQC",'QA Log'!L:L,"*7. Tracer Medicine*"),
COUNTIFS('QA Log'!D:D,A471,'QA Log'!M:M,"QQC",'QA Log'!L:L,"*11. Additional Questions*")))</f>
        <v/>
      </c>
      <c r="K471" s="102" t="str">
        <f>IF(A471="","",SUM(
COUNTIFS('QA Log'!D:D,A471,'QA Log'!M:M,"QQC",'QA Log'!Z:Z,"Approved",'QA Log'!L:L,"*1. General Management*"),
COUNTIFS('QA Log'!D:D,A471,'QA Log'!M:M,"QQC",'QA Log'!Z:Z,"Approved",'QA Log'!L:L,"*3. Curative Consultation (OPD)*"),
COUNTIFS('QA Log'!D:D,A471,'QA Log'!M:M,"QQC",'QA Log'!Z:Z,"Approved",'QA Log'!L:L,"*5. Laboratory*"),
COUNTIFS('QA Log'!D:D,A471,'QA Log'!M:M,"QQC",'QA Log'!Z:Z,"Approved",'QA Log'!L:L,"*6. Essential Medicine Management*"),
COUNTIFS('QA Log'!D:D,A471,'QA Log'!M:M,"QQC",'QA Log'!Z:Z,"Approved",'QA Log'!L:L,"*7. Tracer Medicine*"),
COUNTIFS('QA Log'!D:D,A471,'QA Log'!M:M,"QQC",'QA Log'!Z:Z,"Approved",'QA Log'!L:L,"*11. Additional Questions*")))</f>
        <v/>
      </c>
      <c r="L471" s="102" t="str">
        <f>IF(A471&lt;&gt;"",COUNTIFS('QA Log'!D:D,A471,'QA Log'!M:M,"QQC",'QA Log'!L:L,"1. General Management",'QA Log'!Z:Z,"Approved"),"")</f>
        <v/>
      </c>
      <c r="M471" s="102" t="str">
        <f>IF(A471&lt;&gt;"",COUNTIFS('QA Log'!D:D,A471,'QA Log'!M:M,"QQC",'QA Log'!L:L,"3. Curative Consultation (OPD)",'QA Log'!Z:Z,"Approved"),"")</f>
        <v/>
      </c>
      <c r="N471" s="102" t="str">
        <f>IF(A471&lt;&gt;"",COUNTIFS('QA Log'!D:D,A471,'QA Log'!M:M,"QQC",'QA Log'!L:L,"5. Laboratory",'QA Log'!Z:Z,"Approved"),"")</f>
        <v/>
      </c>
      <c r="O471" s="102" t="str">
        <f>IF(A471&lt;&gt;"",COUNTIFS('QA Log'!D:D,A471,'QA Log'!M:M,"QQC",'QA Log'!L:L,"6. Essential Medicine Management",'QA Log'!Z:Z,"Approved"),"")</f>
        <v/>
      </c>
      <c r="P471" s="102" t="str">
        <f>IF(A471&lt;&gt;"",COUNTIFS('QA Log'!D:D,A471,'QA Log'!M:M,"QQC",'QA Log'!L:L,"7. Tracer Medicine",'QA Log'!Z:Z,"Approved"),"")</f>
        <v/>
      </c>
      <c r="Q471" s="102" t="str">
        <f>IF(A471&lt;&gt;"",COUNTIFS('QA Log'!D:D,A471,'QA Log'!M:M,"QQC",'QA Log'!L:L,"11. Additional Questions",'QA Log'!Z:Z,"Approved"),"")</f>
        <v/>
      </c>
      <c r="R471" s="102" t="str">
        <f>IF(A471="","",SUM(
COUNTIFS('QA Log'!D:D,A471,'QA Log'!M:M,"QQC",'QA Log'!Z:Z,"Rejected",'QA Log'!L:L,"*8. Maternity*"),
COUNTIFS('QA Log'!D:D,A471,'QA Log'!M:M,"QQC",'QA Log'!Z:Z,"Rejected",'QA Log'!L:L,"*EPI*"),
COUNTIFS('QA Log'!D:D,A471,'QA Log'!M:M,"QQC",'QA Log'!Z:Z,"Rejected",'QA Log'!L:L,"*10. Antenatal Care (ANC)*"),
COUNTIFS('QA Log'!D:D,A471,'QA Log'!M:M,"QQC",'QA Log'!Z:Z,"Rejected",'QA Log'!L:L,"*2. Hygiene and Sterilization*"),
COUNTIFS('QA Log'!D:D,A471,'QA Log'!M:M,"QQC",'QA Log'!Z:Z,"Rejected",'QA Log'!L:L,"*Family Planning*")))</f>
        <v/>
      </c>
      <c r="S471" s="106" t="str">
        <f t="shared" si="27"/>
        <v/>
      </c>
      <c r="T471" s="102" t="str">
        <f t="shared" si="28"/>
        <v/>
      </c>
      <c r="U471" s="102" t="str">
        <f>IF(A471="","",
SUM(
COUNTIFS('QA Log'!D:D,A471,'QA Log'!M:M,"QQC",'QA Log'!L:L,"*8. Maternity*"),
COUNTIFS('QA Log'!D:D,A471,'QA Log'!M:M,"QQC",'QA Log'!L:L,"*9. EPI and Pre-school Consultation*"),
COUNTIFS('QA Log'!D:D,A471,'QA Log'!M:M,"QQC",'QA Log'!L:L,"*10. Antenatal Care (ANC)*"),
COUNTIFS('QA Log'!D:D,A471,'QA Log'!M:M,"QQC",'QA Log'!L:L,"*2. Hygiene and Sterilization*"),
COUNTIFS('QA Log'!D:D,A471,'QA Log'!M:M,"QQC",'QA Log'!L:L,"*4. Family Planning*")
))</f>
        <v/>
      </c>
      <c r="V471" s="102" t="str">
        <f>IF(A471="","",
SUM(
COUNTIFS('QA Log'!D:D,A471,'QA Log'!M:M,"QQC",'QA Log'!Z:Z,"Approved",'QA Log'!L:L,"*8. Maternity*"),
COUNTIFS('QA Log'!D:D,A471,'QA Log'!M:M,"QQC",'QA Log'!Z:Z,"Approved",'QA Log'!L:L,"*9. EPI and Pre-school Consultation*"),
COUNTIFS('QA Log'!D:D,A471,'QA Log'!M:M,"QQC",'QA Log'!Z:Z,"Approved",'QA Log'!L:L,"*10. Antenatal Care (ANC)*"),
COUNTIFS('QA Log'!D:D,A471,'QA Log'!M:M,"QQC",'QA Log'!Z:Z,"Approved",'QA Log'!L:L,"*2. Hygiene and Sterilization*"),
COUNTIFS('QA Log'!D:D,A471,'QA Log'!M:M,"QQC",'QA Log'!Z:Z,"Approved",'QA Log'!L:L,"*4. Family Planning*")
))</f>
        <v/>
      </c>
      <c r="W471" s="102" t="str">
        <f>IF(A471&lt;&gt;"",COUNTIFS('QA Log'!D:D,A471,'QA Log'!M:M,"QQC",'QA Log'!L:L,"8. Maternity",'QA Log'!Z:Z,"Approved"),"")</f>
        <v/>
      </c>
      <c r="X471" s="105" t="str">
        <f>IF(A471&lt;&gt;"",COUNTIFS('QA Log'!D:D,A471,'QA Log'!M:M,"QQC",'QA Log'!L:L,"9. EPI and Pre-school Consultation",'QA Log'!Z:Z,"Approved"),"")</f>
        <v/>
      </c>
      <c r="Y471" s="102" t="str">
        <f>IF(A471&lt;&gt;"",COUNTIFS('QA Log'!D:D,A471,'QA Log'!M:M,"QQC",'QA Log'!L:L,"10. Antenatal Care (ANC)",'QA Log'!Z:Z,"Approved"),"")</f>
        <v/>
      </c>
      <c r="Z471" s="102" t="str">
        <f>IF(A471&lt;&gt;"",COUNTIFS('QA Log'!D:D,A471,'QA Log'!M:M,"QQC",'QA Log'!L:L,"2. Hygiene and Sterilization",'QA Log'!Z:Z,"Approved"),"")</f>
        <v/>
      </c>
      <c r="AA471" s="105" t="str">
        <f>IF(A471&lt;&gt;"",COUNTIFS('QA Log'!D:D,A471,'QA Log'!M:M,"QQC",'QA Log'!L:L,"4. Family Planning",'QA Log'!Z:Z,"Approved"),"")</f>
        <v/>
      </c>
      <c r="AB471" s="102" t="str">
        <f>IF(A471="","",
SUM(
COUNTIFS('QA Log'!D:D,A471,'QA Log'!M:M,"QQC",'QA Log'!Z:Z,"Rejected",'QA Log'!L:L,"*8. Maternity*"),
COUNTIFS('QA Log'!D:D,A471,'QA Log'!M:M,"QQC",'QA Log'!Z:Z,"Rejected",'QA Log'!L:L,"*9. EPI and Pre-school Consultation*"),
COUNTIFS('QA Log'!D:D,A471,'QA Log'!M:M,"QQC",'QA Log'!Z:Z,"Rejected",'QA Log'!L:L,"*10. Antenatal Care (ANC)*"),
COUNTIFS('QA Log'!D:D,A471,'QA Log'!M:M,"QQC",'QA Log'!Z:Z,"Rejected",'QA Log'!L:L,"*2. Hygiene and Sterilization*"),
COUNTIFS('QA Log'!D:D,A471,'QA Log'!M:M,"QQC",'QA Log'!Z:Z,"Rejected",'QA Log'!L:L,"*4. Family Planning*")
))</f>
        <v/>
      </c>
      <c r="AC471" s="102" t="str">
        <f t="shared" si="29"/>
        <v/>
      </c>
      <c r="AD471" s="103" t="str">
        <f t="shared" si="30"/>
        <v/>
      </c>
      <c r="AE471" s="102" t="str">
        <f>IF(A471="","",
SUM(
COUNTIFS('QA Log'!D:D,A471,'QA Log'!M:M,"Data Verification",'QA Log'!L:L,"*Medicine (section 2)*"),
COUNTIFS('QA Log'!D:D,A471,'QA Log'!M:M,"Data Verification",'QA Log'!L:L,"*Lab Testing Availability*"),
COUNTIFS('QA Log'!D:D,A471,'QA Log'!M:M,"Data Verification",'QA Log'!L:L,"*Other than P4P (section 6)*"),
COUNTIFS('QA Log'!D:D,A471,'QA Log'!M:M,"Data Verification",'QA Log'!L:L,"*Hospital Governance*")
))</f>
        <v/>
      </c>
      <c r="AF471" s="102" t="str">
        <f>IF(A471="","",
SUM(
COUNTIFS('QA Log'!D:D,A471,'QA Log'!M:M,"Data Verification",'QA Log'!Z:Z,"Approved",'QA Log'!L:L,"*Medicine (section 2)*"),
COUNTIFS('QA Log'!D:D,A471,'QA Log'!M:M,"Data Verification",'QA Log'!Z:Z,"Approved",'QA Log'!L:L,"*Lab Testing Availability*"),
COUNTIFS('QA Log'!D:D,A471,'QA Log'!M:M,"Data Verification",'QA Log'!Z:Z,"Approved",'QA Log'!L:L,"*Other than P4P (section 6)*"),
COUNTIFS('QA Log'!D:D,A471,'QA Log'!M:M,"Data Verification",'QA Log'!Z:Z,"Approved",'QA Log'!L:L,"*Hospital Governance*")
))</f>
        <v/>
      </c>
      <c r="AG471" s="105" t="str">
        <f>IF(A471&lt;&gt;"",COUNTIFS('QA Log'!D:D,A471,'QA Log'!M:M,"Data Verification",'QA Log'!L:L,"Medicine (section 2)",'QA Log'!Z:Z,"Approved"),"")</f>
        <v/>
      </c>
      <c r="AH471" s="105" t="str">
        <f>IF(A471&lt;&gt;"",COUNTIFS('QA Log'!D:D,A471,'QA Log'!M:M,"Data Verification",'QA Log'!L:L,"Lab Testing Availability",'QA Log'!Z:Z,"Approved"),"")</f>
        <v/>
      </c>
      <c r="AI471" s="105" t="str">
        <f>IF(A471&lt;&gt;"",COUNTIFS('QA Log'!D:D,A471,'QA Log'!M:M,"Data Verification",'QA Log'!L:L,"Other than P4P (section 6)",'QA Log'!Z:Z,"Approved"),"")</f>
        <v/>
      </c>
      <c r="AJ471" s="105" t="str">
        <f>IF(A471&lt;&gt;"",COUNTIFS('QA Log'!D:D,A471,'QA Log'!M:M,"Data Verification",'QA Log'!L:L,"Hospital Governance",'QA Log'!Z:Z,"Approved"),"")</f>
        <v/>
      </c>
      <c r="AK471" s="102" t="str">
        <f>IF(A471="","",
SUM(
COUNTIFS('QA Log'!D:D,A471,'QA Log'!M:M,"Data Verification",'QA Log'!Z:Z,"Rejected",'QA Log'!L:L,"*Medicine (section 2)*"),
COUNTIFS('QA Log'!D:D,A471,'QA Log'!M:M,"Data Verification",'QA Log'!Z:Z,"Rejected",'QA Log'!L:L,"*Lab Testing Availability*"),
COUNTIFS('QA Log'!D:D,A471,'QA Log'!M:M,"Data Verification",'QA Log'!Z:Z,"Rejected",'QA Log'!L:L,"*Other than P4P (section 6)*"),
COUNTIFS('QA Log'!D:D,A471,'QA Log'!M:M,"Data Verification",'QA Log'!Z:Z,"Rejected",'QA Log'!L:L,"*Hospital Governance*")
))</f>
        <v/>
      </c>
      <c r="AL471" s="106" t="str">
        <f t="shared" si="31"/>
        <v/>
      </c>
      <c r="AM471" s="102" t="str">
        <f t="shared" si="32"/>
        <v/>
      </c>
      <c r="AN471" s="102" t="str">
        <f>IF(A471="","",
SUM(
COUNTIFS('QA Log'!D:D,A471,'QA Log'!M:M,"Data Verification",'QA Log'!L:L,"*Personnel (section 1)*"),
COUNTIFS('QA Log'!D:D,A471,'QA Log'!M:M,"Data Verification",'QA Log'!L:L,"*Consumable (section 3)*"),
COUNTIFS('QA Log'!D:D,A471,'QA Log'!M:M,"Data Verification",'QA Log'!L:L,"*Equipments (section 4)*")
))</f>
        <v/>
      </c>
      <c r="AO471" s="102" t="str">
        <f>IF(A471="","",
SUM(
COUNTIFS('QA Log'!D:D,A471,'QA Log'!M:M,"Data Verification",'QA Log'!Z:Z,"Approved",'QA Log'!L:L,"*Personnel (section 1)*"),
COUNTIFS('QA Log'!D:D,A471,'QA Log'!M:M,"Data Verification",'QA Log'!Z:Z,"Approved",'QA Log'!L:L,"*Consumable (section 3)*"),
COUNTIFS('QA Log'!D:D,A471,'QA Log'!M:M,"Data Verification",'QA Log'!Z:Z,"Approved",'QA Log'!L:L,"*Equipments (section 4)*")
))</f>
        <v/>
      </c>
      <c r="AP471" s="105" t="str">
        <f>IF(A471&lt;&gt;"",COUNTIFS('QA Log'!D:D,A471,'QA Log'!M:M,"Data Verification",'QA Log'!L:L,"Personnel (section 1)",'QA Log'!Z:Z,"Approved"),"")</f>
        <v/>
      </c>
      <c r="AQ471" s="105" t="str">
        <f>IF(A471&lt;&gt;"",COUNTIFS('QA Log'!D:D,A471,'QA Log'!M:M,"Data Verification",'QA Log'!L:L,"Consumable (section 3)",'QA Log'!Z:Z,"Approved"),"")</f>
        <v/>
      </c>
      <c r="AR471" s="105" t="str">
        <f>IF(A471&lt;&gt;"",COUNTIFS('QA Log'!D:D,A471,'QA Log'!M:M,"Data Verification",'QA Log'!L:L,"Equipments (section 4)",'QA Log'!Z:Z,"Approved"),"")</f>
        <v/>
      </c>
      <c r="AS471" s="102" t="str">
        <f>IF(A471="","",
SUM(
COUNTIFS('QA Log'!D:D,A471,'QA Log'!M:M,"Data Verification",'QA Log'!Z:Z,"Rejected",'QA Log'!L:L,"*Personnel (section 1)*"),
COUNTIFS('QA Log'!D:D,A471,'QA Log'!M:M,"Data Verification",'QA Log'!Z:Z,"Rejected",'QA Log'!L:L,"*Consumable (section 3)*"),
COUNTIFS('QA Log'!D:D,A471,'QA Log'!M:M,"Data Verification",'QA Log'!Z:Z,"Rejected",'QA Log'!L:L,"*Equipments (section 4)*")
))</f>
        <v/>
      </c>
      <c r="AT471" s="102" t="str">
        <f t="shared" si="33"/>
        <v/>
      </c>
      <c r="AU471" s="103" t="str">
        <f t="shared" si="34"/>
        <v/>
      </c>
      <c r="AV471" s="102" t="str">
        <f>IF(A471="","",SUM(
COUNTIFS('QA Log'!D:D,A471,'QA Log'!M:M,"Vignette",'QA Log'!L:L,"*Vignette [1] Respiratory Infection: Pneumonia*"),
COUNTIFS('QA Log'!D:D,A471,'QA Log'!M:M,"Vignette",'QA Log'!L:L,"*Vignette [2]: Diarrhea with Cat B dehydration*"),
COUNTIFS('QA Log'!D:D,A471,'QA Log'!M:M,"Vignette",'QA Log'!L:L,"*Vignette [3] Growth Monitoring and Promotion*"),
COUNTIFS('QA Log'!D:D,A471,'QA Log'!M:M,"Vignette",'QA Log'!L:L,"*Vignette [4]: The management of presumptive TB patient*")
)
)</f>
        <v/>
      </c>
      <c r="AW471" s="102" t="str">
        <f>IF(
  A471="","",
  SUM(
    COUNTIFS('QA Log'!D:D,A471,'QA Log'!M:M,"Vignette",'QA Log'!Z:Z,"Approved",'QA Log'!L:L,"*Vignette [1] Respiratory Infection: Pneumonia*"),
    COUNTIFS('QA Log'!D:D,A471,'QA Log'!M:M,"Vignette",'QA Log'!Z:Z,"Approved",'QA Log'!L:L,"*Vignette [2]: Diarrhea with Cat B dehydration*"),
    COUNTIFS('QA Log'!D:D,A471,'QA Log'!M:M,"Vignette",'QA Log'!Z:Z,"Approved",'QA Log'!L:L,"*Vignette [3] Growth Monitoring and Promotion*"),
    COUNTIFS('QA Log'!D:D,A471,'QA Log'!M:M,"Vignette",'QA Log'!Z:Z,"Approved",'QA Log'!L:L,"*Vignette [4]: The management of presumptive TB patient*")
  )
)</f>
        <v/>
      </c>
      <c r="AX471" s="105" t="str">
        <f>IF(A471&lt;&gt;"",COUNTIFS('QA Log'!D:D,A471,'QA Log'!M:M,"Vignette",'QA Log'!L:L,"Vignette [1] Respiratory Infection: Pneumonia",'QA Log'!Z:Z,"Approved"),"")</f>
        <v/>
      </c>
      <c r="AY471" s="105" t="str">
        <f>IF(A471&lt;&gt;"",COUNTIFS('QA Log'!D:D,A471,'QA Log'!M:M,"Vignette",'QA Log'!L:L,"Vignette [2]: Diarrhea with Cat B dehydration",'QA Log'!Z:Z,"Approved"),"")</f>
        <v/>
      </c>
      <c r="AZ471" s="105" t="str">
        <f>IF(A471&lt;&gt;"",COUNTIFS('QA Log'!D:D,A471,'QA Log'!M:M,"Vignette",'QA Log'!L:L,"Vignette [3] Growth Monitoring and Promotion",'QA Log'!Z:Z,"Approved"),"")</f>
        <v/>
      </c>
      <c r="BA471" s="105" t="str">
        <f>IF(A471&lt;&gt;"",COUNTIFS('QA Log'!D:D,A471,'QA Log'!M:M,"Vignette",'QA Log'!L:L,"Vignette [4]: The management of presumptive TB patient",'QA Log'!Z:Z,"Approved"),"")</f>
        <v/>
      </c>
      <c r="BB471" s="102" t="str">
        <f>IF(A471="","",
  SUM(
    COUNTIFS('QA Log'!D:D,A471,'QA Log'!M:M,"Vignette",'QA Log'!Z:Z,"Rejected",'QA Log'!L:L,"*Vignette [1] Respiratory Infection: Pneumonia*"),
    COUNTIFS('QA Log'!D:D,A471,'QA Log'!M:M,"Vignette",'QA Log'!Z:Z,"Rejected",'QA Log'!L:L,"*Vignette [2]: Diarrhea with Cat B dehydration*"),
    COUNTIFS('QA Log'!D:D,A471,'QA Log'!M:M,"Vignette",'QA Log'!Z:Z,"Rejected",'QA Log'!L:L,"*Vignette [3] Growth Monitoring and Promotion*"),
    COUNTIFS('QA Log'!D:D,A471,'QA Log'!M:M,"Vignette",'QA Log'!Z:Z,"Rejected",'QA Log'!L:L,"*Vignette [4]: The management of presumptive TB patient*")
  )
)</f>
        <v/>
      </c>
      <c r="BC471" s="107" t="str">
        <f t="shared" si="35"/>
        <v/>
      </c>
      <c r="BD471" s="103" t="str">
        <f t="shared" si="36"/>
        <v/>
      </c>
      <c r="BE471" s="102" t="str">
        <f>IF(A471="","",SUM(
COUNTIFS('QA Log'!D:D,A471,'QA Log'!M:M,"Vignette",'QA Log'!L:L,"*Vignette [5] Labor*"),
COUNTIFS('QA Log'!D:D,A471,'QA Log'!M:M,"Vignette",'QA Log'!L:L,"*Vignette [6] PNC pre Discharge*"),
COUNTIFS('QA Log'!D:D,A471,'QA Log'!M:M,"Vignette",'QA Log'!L:L,"*Vignette [7] First ANC Visit*"),
COUNTIFS('QA Log'!D:D,A471,'QA Log'!M:M,"Vignette",'QA Log'!L:L,"*Vignette [8] Birth Spacing/ Family Planning :  FP Counselling*"),
COUNTIFS('QA Log'!D:D,A471,'QA Log'!M:M,"Vignette",'QA Log'!L:L,"*Vignette [9] Birth Spacing: Change FP method to Injectable*"),
COUNTIFS('QA Log'!D:D,A471,'QA Log'!M:M,"Vignette",'QA Log'!L:L,"*Vignette [10] Post Partum Haemorrhage - Atonic Uterus at Health Centre*"),
)
)</f>
        <v/>
      </c>
      <c r="BF471" s="102" t="str">
        <f>IF(A471="","",
  SUM(
    COUNTIFS('QA Log'!D:D,A471,'QA Log'!M:M,"Vignette",'QA Log'!Z:Z,"Approved",'QA Log'!L:L,"*Vignette [5] Labor*"),
    COUNTIFS('QA Log'!D:D,A471,'QA Log'!M:M,"Vignette",'QA Log'!Z:Z,"Approved",'QA Log'!L:L,"*Vignette [6] PNC pre Discharge*"),
    COUNTIFS('QA Log'!D:D,A471,'QA Log'!M:M,"Vignette",'QA Log'!Z:Z,"Approved",'QA Log'!L:L,"*Vignette [7] First ANC Visit*"),
    COUNTIFS('QA Log'!D:D,A471,'QA Log'!M:M,"Vignette",'QA Log'!Z:Z,"Approved",'QA Log'!L:L,"*Vignette [8] Birth Spacing/ Family Planning :  FP Counselling*"),
    COUNTIFS('QA Log'!D:D,A471,'QA Log'!M:M,"Vignette",'QA Log'!Z:Z,"Approved",'QA Log'!L:L,"*Vignette [9] Birth Spacing: Change FP method to Injectable*"),
    COUNTIFS('QA Log'!D:D,A471,'QA Log'!M:M,"Vignette",'QA Log'!Z:Z,"Approved",'QA Log'!L:L,"*Vignette [10] Post Partum Haemorrhage - Atonic Uterus at Health Centre*")
  )
)</f>
        <v/>
      </c>
      <c r="BG471" s="105" t="str">
        <f>IF(A471&lt;&gt;"",COUNTIFS('QA Log'!D:D,A471,'QA Log'!M:M,"Vignette",'QA Log'!L:L,"Vignette [5] Labor",'QA Log'!Z:Z,"Approved"),"")</f>
        <v/>
      </c>
      <c r="BH471" s="105" t="str">
        <f>IF(A471&lt;&gt;"",COUNTIFS('QA Log'!D:D,A471,'QA Log'!M:M,"Vignette",'QA Log'!L:L,"Vignette [6] PNC pre Discharge",'QA Log'!Z:Z,"Approved"),"")</f>
        <v/>
      </c>
      <c r="BI471" s="105" t="str">
        <f>IF(A471&lt;&gt;"",COUNTIFS('QA Log'!D:D,A471,'QA Log'!M:M,"Vignette",'QA Log'!L:L,"Vignette [7] First ANC Visit",'QA Log'!Z:Z,"Approved"),"")</f>
        <v/>
      </c>
      <c r="BJ471" s="105" t="str">
        <f>IF(A471&lt;&gt;"",COUNTIFS('QA Log'!D:D,A471,'QA Log'!M:M,"Vignette",'QA Log'!L:L,"Vignette [8] Birth Spacing/ Family Planning :  FP Counselling",'QA Log'!Z:Z,"Approved"),"")</f>
        <v/>
      </c>
      <c r="BK471" s="105" t="str">
        <f>IF(A471&lt;&gt;"",COUNTIFS('QA Log'!D:D,A471,'QA Log'!M:M,"Vignette",'QA Log'!L:L,"Vignette [9] Birth Spacing: Change FP method to Injectable",'QA Log'!Z:Z,"Approved"),"")</f>
        <v/>
      </c>
      <c r="BL471" s="105" t="str">
        <f>IF(A471&lt;&gt;"",COUNTIFS('QA Log'!D:D,A471,'QA Log'!M:M,"Vignette",'QA Log'!L:L,"Vignette [10] Post Partum Haemorrhage - Atonic Uterus at Health Centre",'QA Log'!Z:Z,"Approved"),"")</f>
        <v/>
      </c>
      <c r="BM471" s="102" t="str">
        <f>IF(A471="","",SUM(
    COUNTIFS('QA Log'!D:D,A471,'QA Log'!M:M,"Vignette",'QA Log'!Z:Z,"Rejected",'QA Log'!L:L,"*Vignette [5] Labor*"),
    COUNTIFS('QA Log'!D:D,A471,'QA Log'!M:M,"Vignette",'QA Log'!Z:Z,"Rejected",'QA Log'!L:L,"*Vignette [6] PNC pre Discharge*"),
    COUNTIFS('QA Log'!D:D,A471,'QA Log'!M:M,"Vignette",'QA Log'!Z:Z,"Rejected",'QA Log'!L:L,"*Vignette [7] First ANC Visit*"),
    COUNTIFS('QA Log'!D:D,A471,'QA Log'!M:M,"Vignette",'QA Log'!Z:Z,"Rejected",'QA Log'!L:L,"*Vignette [8] Birth Spacing/ Family Planning :  FP Counselling*"),
    COUNTIFS('QA Log'!D:D,A471,'QA Log'!M:M,"Vignette",'QA Log'!Z:Z,"Rejected",'QA Log'!L:L,"*Vignette [9] Birth Spacing: Change FP method to Injectable*"),
    COUNTIFS('QA Log'!D:D,A471,'QA Log'!M:M,"Vignette",'QA Log'!Z:Z,"Rejected",'QA Log'!L:L,"*Vignette [10] Post Partum Haemorrhage - Atonic Uterus at Health Centre*")
  )
)</f>
        <v/>
      </c>
      <c r="BN471" s="107" t="str">
        <f t="shared" si="37"/>
        <v/>
      </c>
      <c r="BO471" s="103" t="str">
        <f t="shared" si="38"/>
        <v/>
      </c>
      <c r="BP471" s="102" t="str">
        <f>IF(A471="","",SUM(
COUNTIFS('QA Log'!D:D,A471,'QA Log'!M:M,"Vignette",'QA Log'!L:L,"*Exit Interview 1*"),
COUNTIFS('QA Log'!D:D,A471,'QA Log'!M:M,"Vignette",'QA Log'!L:L,"*Exit Interview 2*"),
)
)</f>
        <v/>
      </c>
      <c r="BQ471" s="102" t="str">
        <f>IF(
  A471="","",
  SUM(
    COUNTIFS('QA Log'!D:D,A471,'QA Log'!M:M,"Vignette",'QA Log'!Z:Z,"Approved",'QA Log'!L:L,"*Exit Interview 1*"),
    COUNTIFS('QA Log'!D:D,A471,'QA Log'!M:M,"Vignette",'QA Log'!Z:Z,"Approved",'QA Log'!L:L,"*Exit Interview 2*")
  )
)</f>
        <v/>
      </c>
      <c r="BR471" s="105" t="str">
        <f>IF(A471&lt;&gt;"",COUNTIFS('QA Log'!D:D,A471,'QA Log'!M:M,"Vignette",'QA Log'!L:L,"Exit Interview 1",'QA Log'!Z:Z,"Approved"),"")</f>
        <v/>
      </c>
      <c r="BS471" s="105" t="str">
        <f>IF(A471&lt;&gt;"",COUNTIFS('QA Log'!D:D,A471,'QA Log'!M:M,"Vignette",'QA Log'!L:L,"Exit Interview 2",'QA Log'!Z:Z,"Approved"),"")</f>
        <v/>
      </c>
      <c r="BT471" s="102" t="str">
        <f>IF(
  A471="","",
  SUM(
    COUNTIFS('QA Log'!D:D,A471,'QA Log'!M:M,"Vignette",'QA Log'!Z:Z,"Rejected",'QA Log'!L:L,"*Exit Interview 1*"),
    COUNTIFS('QA Log'!D:D,A471,'QA Log'!M:M,"Vignette",'QA Log'!Z:Z,"Rejected",'QA Log'!L:L,"*Exit Interview 2*")
  )
)</f>
        <v/>
      </c>
      <c r="BU471" s="107" t="str">
        <f t="shared" si="39"/>
        <v/>
      </c>
      <c r="BV471" s="102" t="str">
        <f t="shared" si="40"/>
        <v/>
      </c>
      <c r="BW471" s="102" t="str">
        <f t="shared" si="41"/>
        <v/>
      </c>
      <c r="BX471" s="102" t="str">
        <f t="shared" si="42"/>
        <v/>
      </c>
      <c r="BY471" s="102" t="str">
        <f t="shared" si="43"/>
        <v/>
      </c>
      <c r="BZ471" s="107" t="str">
        <f t="shared" si="44"/>
        <v/>
      </c>
      <c r="CA471" s="108" t="str">
        <f t="shared" si="45"/>
        <v/>
      </c>
      <c r="CB471" s="108" t="str">
        <f t="shared" si="46"/>
        <v/>
      </c>
      <c r="CC471" s="109" t="str">
        <f t="shared" si="47"/>
        <v/>
      </c>
      <c r="CD471" s="108" t="str">
        <f t="shared" si="48"/>
        <v/>
      </c>
      <c r="CE471" s="108" t="str">
        <f t="shared" si="49"/>
        <v/>
      </c>
      <c r="CF471" s="109" t="str">
        <f t="shared" si="50"/>
        <v/>
      </c>
      <c r="CG471" s="110" t="str">
        <f t="shared" si="51"/>
        <v/>
      </c>
      <c r="CH471" s="111"/>
    </row>
    <row r="472" spans="1:86" ht="12.75">
      <c r="A472" s="101"/>
      <c r="B472" s="102" t="e">
        <f t="array" aca="1" ref="B472" ca="1">_xludf.XLOOKUP(A472,'QA Log'!D:D,'QA Log'!E:E,"")</f>
        <v>#NAME?</v>
      </c>
      <c r="C472" s="102" t="e">
        <f t="array" aca="1" ref="C472" ca="1">_xludf.XLOOKUP(A472,'QA Log'!D:D,'QA Log'!F:F,"")</f>
        <v>#NAME?</v>
      </c>
      <c r="D472" s="102" t="e">
        <f t="array" aca="1" ref="D472" ca="1">_xludf.XLOOKUP(A472,'QA Log'!D:D,'QA Log'!H:H,"")</f>
        <v>#NAME?</v>
      </c>
      <c r="E472" s="102" t="e">
        <f t="array" aca="1" ref="E472" ca="1">_xludf.XLOOKUP(A472,'QA Log'!D:D,'QA Log'!G:G,"")</f>
        <v>#NAME?</v>
      </c>
      <c r="F472" s="103"/>
      <c r="G472" s="104"/>
      <c r="H472" s="104"/>
      <c r="I472" s="103" t="str">
        <f t="shared" si="26"/>
        <v/>
      </c>
      <c r="J472" s="102" t="str">
        <f>IF(A472="","",SUM(
COUNTIFS('QA Log'!D:D,A472,'QA Log'!M:M,"QQC",'QA Log'!L:L,"*1. General Management*"),
COUNTIFS('QA Log'!D:D,A472,'QA Log'!M:M,"QQC",'QA Log'!L:L,"*3. Curative Consultation (OPD)*"),
COUNTIFS('QA Log'!D:D,A472,'QA Log'!M:M,"QQC",'QA Log'!L:L,"*5. Laboratory*"),
COUNTIFS('QA Log'!D:D,A472,'QA Log'!M:M,"QQC",'QA Log'!L:L,"*6. Essential Medicine Management*"),
COUNTIFS('QA Log'!D:D,A472,'QA Log'!M:M,"QQC",'QA Log'!L:L,"*7. Tracer Medicine*"),
COUNTIFS('QA Log'!D:D,A472,'QA Log'!M:M,"QQC",'QA Log'!L:L,"*11. Additional Questions*")))</f>
        <v/>
      </c>
      <c r="K472" s="102" t="str">
        <f>IF(A472="","",SUM(
COUNTIFS('QA Log'!D:D,A472,'QA Log'!M:M,"QQC",'QA Log'!Z:Z,"Approved",'QA Log'!L:L,"*1. General Management*"),
COUNTIFS('QA Log'!D:D,A472,'QA Log'!M:M,"QQC",'QA Log'!Z:Z,"Approved",'QA Log'!L:L,"*3. Curative Consultation (OPD)*"),
COUNTIFS('QA Log'!D:D,A472,'QA Log'!M:M,"QQC",'QA Log'!Z:Z,"Approved",'QA Log'!L:L,"*5. Laboratory*"),
COUNTIFS('QA Log'!D:D,A472,'QA Log'!M:M,"QQC",'QA Log'!Z:Z,"Approved",'QA Log'!L:L,"*6. Essential Medicine Management*"),
COUNTIFS('QA Log'!D:D,A472,'QA Log'!M:M,"QQC",'QA Log'!Z:Z,"Approved",'QA Log'!L:L,"*7. Tracer Medicine*"),
COUNTIFS('QA Log'!D:D,A472,'QA Log'!M:M,"QQC",'QA Log'!Z:Z,"Approved",'QA Log'!L:L,"*11. Additional Questions*")))</f>
        <v/>
      </c>
      <c r="L472" s="102" t="str">
        <f>IF(A472&lt;&gt;"",COUNTIFS('QA Log'!D:D,A472,'QA Log'!M:M,"QQC",'QA Log'!L:L,"1. General Management",'QA Log'!Z:Z,"Approved"),"")</f>
        <v/>
      </c>
      <c r="M472" s="102" t="str">
        <f>IF(A472&lt;&gt;"",COUNTIFS('QA Log'!D:D,A472,'QA Log'!M:M,"QQC",'QA Log'!L:L,"3. Curative Consultation (OPD)",'QA Log'!Z:Z,"Approved"),"")</f>
        <v/>
      </c>
      <c r="N472" s="102" t="str">
        <f>IF(A472&lt;&gt;"",COUNTIFS('QA Log'!D:D,A472,'QA Log'!M:M,"QQC",'QA Log'!L:L,"5. Laboratory",'QA Log'!Z:Z,"Approved"),"")</f>
        <v/>
      </c>
      <c r="O472" s="102" t="str">
        <f>IF(A472&lt;&gt;"",COUNTIFS('QA Log'!D:D,A472,'QA Log'!M:M,"QQC",'QA Log'!L:L,"6. Essential Medicine Management",'QA Log'!Z:Z,"Approved"),"")</f>
        <v/>
      </c>
      <c r="P472" s="102" t="str">
        <f>IF(A472&lt;&gt;"",COUNTIFS('QA Log'!D:D,A472,'QA Log'!M:M,"QQC",'QA Log'!L:L,"7. Tracer Medicine",'QA Log'!Z:Z,"Approved"),"")</f>
        <v/>
      </c>
      <c r="Q472" s="102" t="str">
        <f>IF(A472&lt;&gt;"",COUNTIFS('QA Log'!D:D,A472,'QA Log'!M:M,"QQC",'QA Log'!L:L,"11. Additional Questions",'QA Log'!Z:Z,"Approved"),"")</f>
        <v/>
      </c>
      <c r="R472" s="102" t="str">
        <f>IF(A472="","",SUM(
COUNTIFS('QA Log'!D:D,A472,'QA Log'!M:M,"QQC",'QA Log'!Z:Z,"Rejected",'QA Log'!L:L,"*8. Maternity*"),
COUNTIFS('QA Log'!D:D,A472,'QA Log'!M:M,"QQC",'QA Log'!Z:Z,"Rejected",'QA Log'!L:L,"*EPI*"),
COUNTIFS('QA Log'!D:D,A472,'QA Log'!M:M,"QQC",'QA Log'!Z:Z,"Rejected",'QA Log'!L:L,"*10. Antenatal Care (ANC)*"),
COUNTIFS('QA Log'!D:D,A472,'QA Log'!M:M,"QQC",'QA Log'!Z:Z,"Rejected",'QA Log'!L:L,"*2. Hygiene and Sterilization*"),
COUNTIFS('QA Log'!D:D,A472,'QA Log'!M:M,"QQC",'QA Log'!Z:Z,"Rejected",'QA Log'!L:L,"*Family Planning*")))</f>
        <v/>
      </c>
      <c r="S472" s="106" t="str">
        <f t="shared" si="27"/>
        <v/>
      </c>
      <c r="T472" s="102" t="str">
        <f t="shared" si="28"/>
        <v/>
      </c>
      <c r="U472" s="102" t="str">
        <f>IF(A472="","",
SUM(
COUNTIFS('QA Log'!D:D,A472,'QA Log'!M:M,"QQC",'QA Log'!L:L,"*8. Maternity*"),
COUNTIFS('QA Log'!D:D,A472,'QA Log'!M:M,"QQC",'QA Log'!L:L,"*9. EPI and Pre-school Consultation*"),
COUNTIFS('QA Log'!D:D,A472,'QA Log'!M:M,"QQC",'QA Log'!L:L,"*10. Antenatal Care (ANC)*"),
COUNTIFS('QA Log'!D:D,A472,'QA Log'!M:M,"QQC",'QA Log'!L:L,"*2. Hygiene and Sterilization*"),
COUNTIFS('QA Log'!D:D,A472,'QA Log'!M:M,"QQC",'QA Log'!L:L,"*4. Family Planning*")
))</f>
        <v/>
      </c>
      <c r="V472" s="102" t="str">
        <f>IF(A472="","",
SUM(
COUNTIFS('QA Log'!D:D,A472,'QA Log'!M:M,"QQC",'QA Log'!Z:Z,"Approved",'QA Log'!L:L,"*8. Maternity*"),
COUNTIFS('QA Log'!D:D,A472,'QA Log'!M:M,"QQC",'QA Log'!Z:Z,"Approved",'QA Log'!L:L,"*9. EPI and Pre-school Consultation*"),
COUNTIFS('QA Log'!D:D,A472,'QA Log'!M:M,"QQC",'QA Log'!Z:Z,"Approved",'QA Log'!L:L,"*10. Antenatal Care (ANC)*"),
COUNTIFS('QA Log'!D:D,A472,'QA Log'!M:M,"QQC",'QA Log'!Z:Z,"Approved",'QA Log'!L:L,"*2. Hygiene and Sterilization*"),
COUNTIFS('QA Log'!D:D,A472,'QA Log'!M:M,"QQC",'QA Log'!Z:Z,"Approved",'QA Log'!L:L,"*4. Family Planning*")
))</f>
        <v/>
      </c>
      <c r="W472" s="102" t="str">
        <f>IF(A472&lt;&gt;"",COUNTIFS('QA Log'!D:D,A472,'QA Log'!M:M,"QQC",'QA Log'!L:L,"8. Maternity",'QA Log'!Z:Z,"Approved"),"")</f>
        <v/>
      </c>
      <c r="X472" s="105" t="str">
        <f>IF(A472&lt;&gt;"",COUNTIFS('QA Log'!D:D,A472,'QA Log'!M:M,"QQC",'QA Log'!L:L,"9. EPI and Pre-school Consultation",'QA Log'!Z:Z,"Approved"),"")</f>
        <v/>
      </c>
      <c r="Y472" s="102" t="str">
        <f>IF(A472&lt;&gt;"",COUNTIFS('QA Log'!D:D,A472,'QA Log'!M:M,"QQC",'QA Log'!L:L,"10. Antenatal Care (ANC)",'QA Log'!Z:Z,"Approved"),"")</f>
        <v/>
      </c>
      <c r="Z472" s="102" t="str">
        <f>IF(A472&lt;&gt;"",COUNTIFS('QA Log'!D:D,A472,'QA Log'!M:M,"QQC",'QA Log'!L:L,"2. Hygiene and Sterilization",'QA Log'!Z:Z,"Approved"),"")</f>
        <v/>
      </c>
      <c r="AA472" s="105" t="str">
        <f>IF(A472&lt;&gt;"",COUNTIFS('QA Log'!D:D,A472,'QA Log'!M:M,"QQC",'QA Log'!L:L,"4. Family Planning",'QA Log'!Z:Z,"Approved"),"")</f>
        <v/>
      </c>
      <c r="AB472" s="102" t="str">
        <f>IF(A472="","",
SUM(
COUNTIFS('QA Log'!D:D,A472,'QA Log'!M:M,"QQC",'QA Log'!Z:Z,"Rejected",'QA Log'!L:L,"*8. Maternity*"),
COUNTIFS('QA Log'!D:D,A472,'QA Log'!M:M,"QQC",'QA Log'!Z:Z,"Rejected",'QA Log'!L:L,"*9. EPI and Pre-school Consultation*"),
COUNTIFS('QA Log'!D:D,A472,'QA Log'!M:M,"QQC",'QA Log'!Z:Z,"Rejected",'QA Log'!L:L,"*10. Antenatal Care (ANC)*"),
COUNTIFS('QA Log'!D:D,A472,'QA Log'!M:M,"QQC",'QA Log'!Z:Z,"Rejected",'QA Log'!L:L,"*2. Hygiene and Sterilization*"),
COUNTIFS('QA Log'!D:D,A472,'QA Log'!M:M,"QQC",'QA Log'!Z:Z,"Rejected",'QA Log'!L:L,"*4. Family Planning*")
))</f>
        <v/>
      </c>
      <c r="AC472" s="102" t="str">
        <f t="shared" si="29"/>
        <v/>
      </c>
      <c r="AD472" s="103" t="str">
        <f t="shared" si="30"/>
        <v/>
      </c>
      <c r="AE472" s="102" t="str">
        <f>IF(A472="","",
SUM(
COUNTIFS('QA Log'!D:D,A472,'QA Log'!M:M,"Data Verification",'QA Log'!L:L,"*Medicine (section 2)*"),
COUNTIFS('QA Log'!D:D,A472,'QA Log'!M:M,"Data Verification",'QA Log'!L:L,"*Lab Testing Availability*"),
COUNTIFS('QA Log'!D:D,A472,'QA Log'!M:M,"Data Verification",'QA Log'!L:L,"*Other than P4P (section 6)*"),
COUNTIFS('QA Log'!D:D,A472,'QA Log'!M:M,"Data Verification",'QA Log'!L:L,"*Hospital Governance*")
))</f>
        <v/>
      </c>
      <c r="AF472" s="102" t="str">
        <f>IF(A472="","",
SUM(
COUNTIFS('QA Log'!D:D,A472,'QA Log'!M:M,"Data Verification",'QA Log'!Z:Z,"Approved",'QA Log'!L:L,"*Medicine (section 2)*"),
COUNTIFS('QA Log'!D:D,A472,'QA Log'!M:M,"Data Verification",'QA Log'!Z:Z,"Approved",'QA Log'!L:L,"*Lab Testing Availability*"),
COUNTIFS('QA Log'!D:D,A472,'QA Log'!M:M,"Data Verification",'QA Log'!Z:Z,"Approved",'QA Log'!L:L,"*Other than P4P (section 6)*"),
COUNTIFS('QA Log'!D:D,A472,'QA Log'!M:M,"Data Verification",'QA Log'!Z:Z,"Approved",'QA Log'!L:L,"*Hospital Governance*")
))</f>
        <v/>
      </c>
      <c r="AG472" s="105" t="str">
        <f>IF(A472&lt;&gt;"",COUNTIFS('QA Log'!D:D,A472,'QA Log'!M:M,"Data Verification",'QA Log'!L:L,"Medicine (section 2)",'QA Log'!Z:Z,"Approved"),"")</f>
        <v/>
      </c>
      <c r="AH472" s="105" t="str">
        <f>IF(A472&lt;&gt;"",COUNTIFS('QA Log'!D:D,A472,'QA Log'!M:M,"Data Verification",'QA Log'!L:L,"Lab Testing Availability",'QA Log'!Z:Z,"Approved"),"")</f>
        <v/>
      </c>
      <c r="AI472" s="105" t="str">
        <f>IF(A472&lt;&gt;"",COUNTIFS('QA Log'!D:D,A472,'QA Log'!M:M,"Data Verification",'QA Log'!L:L,"Other than P4P (section 6)",'QA Log'!Z:Z,"Approved"),"")</f>
        <v/>
      </c>
      <c r="AJ472" s="105" t="str">
        <f>IF(A472&lt;&gt;"",COUNTIFS('QA Log'!D:D,A472,'QA Log'!M:M,"Data Verification",'QA Log'!L:L,"Hospital Governance",'QA Log'!Z:Z,"Approved"),"")</f>
        <v/>
      </c>
      <c r="AK472" s="102" t="str">
        <f>IF(A472="","",
SUM(
COUNTIFS('QA Log'!D:D,A472,'QA Log'!M:M,"Data Verification",'QA Log'!Z:Z,"Rejected",'QA Log'!L:L,"*Medicine (section 2)*"),
COUNTIFS('QA Log'!D:D,A472,'QA Log'!M:M,"Data Verification",'QA Log'!Z:Z,"Rejected",'QA Log'!L:L,"*Lab Testing Availability*"),
COUNTIFS('QA Log'!D:D,A472,'QA Log'!M:M,"Data Verification",'QA Log'!Z:Z,"Rejected",'QA Log'!L:L,"*Other than P4P (section 6)*"),
COUNTIFS('QA Log'!D:D,A472,'QA Log'!M:M,"Data Verification",'QA Log'!Z:Z,"Rejected",'QA Log'!L:L,"*Hospital Governance*")
))</f>
        <v/>
      </c>
      <c r="AL472" s="106" t="str">
        <f t="shared" si="31"/>
        <v/>
      </c>
      <c r="AM472" s="102" t="str">
        <f t="shared" si="32"/>
        <v/>
      </c>
      <c r="AN472" s="102" t="str">
        <f>IF(A472="","",
SUM(
COUNTIFS('QA Log'!D:D,A472,'QA Log'!M:M,"Data Verification",'QA Log'!L:L,"*Personnel (section 1)*"),
COUNTIFS('QA Log'!D:D,A472,'QA Log'!M:M,"Data Verification",'QA Log'!L:L,"*Consumable (section 3)*"),
COUNTIFS('QA Log'!D:D,A472,'QA Log'!M:M,"Data Verification",'QA Log'!L:L,"*Equipments (section 4)*")
))</f>
        <v/>
      </c>
      <c r="AO472" s="102" t="str">
        <f>IF(A472="","",
SUM(
COUNTIFS('QA Log'!D:D,A472,'QA Log'!M:M,"Data Verification",'QA Log'!Z:Z,"Approved",'QA Log'!L:L,"*Personnel (section 1)*"),
COUNTIFS('QA Log'!D:D,A472,'QA Log'!M:M,"Data Verification",'QA Log'!Z:Z,"Approved",'QA Log'!L:L,"*Consumable (section 3)*"),
COUNTIFS('QA Log'!D:D,A472,'QA Log'!M:M,"Data Verification",'QA Log'!Z:Z,"Approved",'QA Log'!L:L,"*Equipments (section 4)*")
))</f>
        <v/>
      </c>
      <c r="AP472" s="105" t="str">
        <f>IF(A472&lt;&gt;"",COUNTIFS('QA Log'!D:D,A472,'QA Log'!M:M,"Data Verification",'QA Log'!L:L,"Personnel (section 1)",'QA Log'!Z:Z,"Approved"),"")</f>
        <v/>
      </c>
      <c r="AQ472" s="105" t="str">
        <f>IF(A472&lt;&gt;"",COUNTIFS('QA Log'!D:D,A472,'QA Log'!M:M,"Data Verification",'QA Log'!L:L,"Consumable (section 3)",'QA Log'!Z:Z,"Approved"),"")</f>
        <v/>
      </c>
      <c r="AR472" s="105" t="str">
        <f>IF(A472&lt;&gt;"",COUNTIFS('QA Log'!D:D,A472,'QA Log'!M:M,"Data Verification",'QA Log'!L:L,"Equipments (section 4)",'QA Log'!Z:Z,"Approved"),"")</f>
        <v/>
      </c>
      <c r="AS472" s="102" t="str">
        <f>IF(A472="","",
SUM(
COUNTIFS('QA Log'!D:D,A472,'QA Log'!M:M,"Data Verification",'QA Log'!Z:Z,"Rejected",'QA Log'!L:L,"*Personnel (section 1)*"),
COUNTIFS('QA Log'!D:D,A472,'QA Log'!M:M,"Data Verification",'QA Log'!Z:Z,"Rejected",'QA Log'!L:L,"*Consumable (section 3)*"),
COUNTIFS('QA Log'!D:D,A472,'QA Log'!M:M,"Data Verification",'QA Log'!Z:Z,"Rejected",'QA Log'!L:L,"*Equipments (section 4)*")
))</f>
        <v/>
      </c>
      <c r="AT472" s="102" t="str">
        <f t="shared" si="33"/>
        <v/>
      </c>
      <c r="AU472" s="103" t="str">
        <f t="shared" si="34"/>
        <v/>
      </c>
      <c r="AV472" s="102" t="str">
        <f>IF(A472="","",SUM(
COUNTIFS('QA Log'!D:D,A472,'QA Log'!M:M,"Vignette",'QA Log'!L:L,"*Vignette [1] Respiratory Infection: Pneumonia*"),
COUNTIFS('QA Log'!D:D,A472,'QA Log'!M:M,"Vignette",'QA Log'!L:L,"*Vignette [2]: Diarrhea with Cat B dehydration*"),
COUNTIFS('QA Log'!D:D,A472,'QA Log'!M:M,"Vignette",'QA Log'!L:L,"*Vignette [3] Growth Monitoring and Promotion*"),
COUNTIFS('QA Log'!D:D,A472,'QA Log'!M:M,"Vignette",'QA Log'!L:L,"*Vignette [4]: The management of presumptive TB patient*")
)
)</f>
        <v/>
      </c>
      <c r="AW472" s="102" t="str">
        <f>IF(
  A472="","",
  SUM(
    COUNTIFS('QA Log'!D:D,A472,'QA Log'!M:M,"Vignette",'QA Log'!Z:Z,"Approved",'QA Log'!L:L,"*Vignette [1] Respiratory Infection: Pneumonia*"),
    COUNTIFS('QA Log'!D:D,A472,'QA Log'!M:M,"Vignette",'QA Log'!Z:Z,"Approved",'QA Log'!L:L,"*Vignette [2]: Diarrhea with Cat B dehydration*"),
    COUNTIFS('QA Log'!D:D,A472,'QA Log'!M:M,"Vignette",'QA Log'!Z:Z,"Approved",'QA Log'!L:L,"*Vignette [3] Growth Monitoring and Promotion*"),
    COUNTIFS('QA Log'!D:D,A472,'QA Log'!M:M,"Vignette",'QA Log'!Z:Z,"Approved",'QA Log'!L:L,"*Vignette [4]: The management of presumptive TB patient*")
  )
)</f>
        <v/>
      </c>
      <c r="AX472" s="105" t="str">
        <f>IF(A472&lt;&gt;"",COUNTIFS('QA Log'!D:D,A472,'QA Log'!M:M,"Vignette",'QA Log'!L:L,"Vignette [1] Respiratory Infection: Pneumonia",'QA Log'!Z:Z,"Approved"),"")</f>
        <v/>
      </c>
      <c r="AY472" s="105" t="str">
        <f>IF(A472&lt;&gt;"",COUNTIFS('QA Log'!D:D,A472,'QA Log'!M:M,"Vignette",'QA Log'!L:L,"Vignette [2]: Diarrhea with Cat B dehydration",'QA Log'!Z:Z,"Approved"),"")</f>
        <v/>
      </c>
      <c r="AZ472" s="105" t="str">
        <f>IF(A472&lt;&gt;"",COUNTIFS('QA Log'!D:D,A472,'QA Log'!M:M,"Vignette",'QA Log'!L:L,"Vignette [3] Growth Monitoring and Promotion",'QA Log'!Z:Z,"Approved"),"")</f>
        <v/>
      </c>
      <c r="BA472" s="105" t="str">
        <f>IF(A472&lt;&gt;"",COUNTIFS('QA Log'!D:D,A472,'QA Log'!M:M,"Vignette",'QA Log'!L:L,"Vignette [4]: The management of presumptive TB patient",'QA Log'!Z:Z,"Approved"),"")</f>
        <v/>
      </c>
      <c r="BB472" s="102" t="str">
        <f>IF(A472="","",
  SUM(
    COUNTIFS('QA Log'!D:D,A472,'QA Log'!M:M,"Vignette",'QA Log'!Z:Z,"Rejected",'QA Log'!L:L,"*Vignette [1] Respiratory Infection: Pneumonia*"),
    COUNTIFS('QA Log'!D:D,A472,'QA Log'!M:M,"Vignette",'QA Log'!Z:Z,"Rejected",'QA Log'!L:L,"*Vignette [2]: Diarrhea with Cat B dehydration*"),
    COUNTIFS('QA Log'!D:D,A472,'QA Log'!M:M,"Vignette",'QA Log'!Z:Z,"Rejected",'QA Log'!L:L,"*Vignette [3] Growth Monitoring and Promotion*"),
    COUNTIFS('QA Log'!D:D,A472,'QA Log'!M:M,"Vignette",'QA Log'!Z:Z,"Rejected",'QA Log'!L:L,"*Vignette [4]: The management of presumptive TB patient*")
  )
)</f>
        <v/>
      </c>
      <c r="BC472" s="107" t="str">
        <f t="shared" si="35"/>
        <v/>
      </c>
      <c r="BD472" s="103" t="str">
        <f t="shared" si="36"/>
        <v/>
      </c>
      <c r="BE472" s="102" t="str">
        <f>IF(A472="","",SUM(
COUNTIFS('QA Log'!D:D,A472,'QA Log'!M:M,"Vignette",'QA Log'!L:L,"*Vignette [5] Labor*"),
COUNTIFS('QA Log'!D:D,A472,'QA Log'!M:M,"Vignette",'QA Log'!L:L,"*Vignette [6] PNC pre Discharge*"),
COUNTIFS('QA Log'!D:D,A472,'QA Log'!M:M,"Vignette",'QA Log'!L:L,"*Vignette [7] First ANC Visit*"),
COUNTIFS('QA Log'!D:D,A472,'QA Log'!M:M,"Vignette",'QA Log'!L:L,"*Vignette [8] Birth Spacing/ Family Planning :  FP Counselling*"),
COUNTIFS('QA Log'!D:D,A472,'QA Log'!M:M,"Vignette",'QA Log'!L:L,"*Vignette [9] Birth Spacing: Change FP method to Injectable*"),
COUNTIFS('QA Log'!D:D,A472,'QA Log'!M:M,"Vignette",'QA Log'!L:L,"*Vignette [10] Post Partum Haemorrhage - Atonic Uterus at Health Centre*"),
)
)</f>
        <v/>
      </c>
      <c r="BF472" s="102" t="str">
        <f>IF(A472="","",
  SUM(
    COUNTIFS('QA Log'!D:D,A472,'QA Log'!M:M,"Vignette",'QA Log'!Z:Z,"Approved",'QA Log'!L:L,"*Vignette [5] Labor*"),
    COUNTIFS('QA Log'!D:D,A472,'QA Log'!M:M,"Vignette",'QA Log'!Z:Z,"Approved",'QA Log'!L:L,"*Vignette [6] PNC pre Discharge*"),
    COUNTIFS('QA Log'!D:D,A472,'QA Log'!M:M,"Vignette",'QA Log'!Z:Z,"Approved",'QA Log'!L:L,"*Vignette [7] First ANC Visit*"),
    COUNTIFS('QA Log'!D:D,A472,'QA Log'!M:M,"Vignette",'QA Log'!Z:Z,"Approved",'QA Log'!L:L,"*Vignette [8] Birth Spacing/ Family Planning :  FP Counselling*"),
    COUNTIFS('QA Log'!D:D,A472,'QA Log'!M:M,"Vignette",'QA Log'!Z:Z,"Approved",'QA Log'!L:L,"*Vignette [9] Birth Spacing: Change FP method to Injectable*"),
    COUNTIFS('QA Log'!D:D,A472,'QA Log'!M:M,"Vignette",'QA Log'!Z:Z,"Approved",'QA Log'!L:L,"*Vignette [10] Post Partum Haemorrhage - Atonic Uterus at Health Centre*")
  )
)</f>
        <v/>
      </c>
      <c r="BG472" s="105" t="str">
        <f>IF(A472&lt;&gt;"",COUNTIFS('QA Log'!D:D,A472,'QA Log'!M:M,"Vignette",'QA Log'!L:L,"Vignette [5] Labor",'QA Log'!Z:Z,"Approved"),"")</f>
        <v/>
      </c>
      <c r="BH472" s="105" t="str">
        <f>IF(A472&lt;&gt;"",COUNTIFS('QA Log'!D:D,A472,'QA Log'!M:M,"Vignette",'QA Log'!L:L,"Vignette [6] PNC pre Discharge",'QA Log'!Z:Z,"Approved"),"")</f>
        <v/>
      </c>
      <c r="BI472" s="105" t="str">
        <f>IF(A472&lt;&gt;"",COUNTIFS('QA Log'!D:D,A472,'QA Log'!M:M,"Vignette",'QA Log'!L:L,"Vignette [7] First ANC Visit",'QA Log'!Z:Z,"Approved"),"")</f>
        <v/>
      </c>
      <c r="BJ472" s="105" t="str">
        <f>IF(A472&lt;&gt;"",COUNTIFS('QA Log'!D:D,A472,'QA Log'!M:M,"Vignette",'QA Log'!L:L,"Vignette [8] Birth Spacing/ Family Planning :  FP Counselling",'QA Log'!Z:Z,"Approved"),"")</f>
        <v/>
      </c>
      <c r="BK472" s="105" t="str">
        <f>IF(A472&lt;&gt;"",COUNTIFS('QA Log'!D:D,A472,'QA Log'!M:M,"Vignette",'QA Log'!L:L,"Vignette [9] Birth Spacing: Change FP method to Injectable",'QA Log'!Z:Z,"Approved"),"")</f>
        <v/>
      </c>
      <c r="BL472" s="105" t="str">
        <f>IF(A472&lt;&gt;"",COUNTIFS('QA Log'!D:D,A472,'QA Log'!M:M,"Vignette",'QA Log'!L:L,"Vignette [10] Post Partum Haemorrhage - Atonic Uterus at Health Centre",'QA Log'!Z:Z,"Approved"),"")</f>
        <v/>
      </c>
      <c r="BM472" s="102" t="str">
        <f>IF(A472="","",SUM(
    COUNTIFS('QA Log'!D:D,A472,'QA Log'!M:M,"Vignette",'QA Log'!Z:Z,"Rejected",'QA Log'!L:L,"*Vignette [5] Labor*"),
    COUNTIFS('QA Log'!D:D,A472,'QA Log'!M:M,"Vignette",'QA Log'!Z:Z,"Rejected",'QA Log'!L:L,"*Vignette [6] PNC pre Discharge*"),
    COUNTIFS('QA Log'!D:D,A472,'QA Log'!M:M,"Vignette",'QA Log'!Z:Z,"Rejected",'QA Log'!L:L,"*Vignette [7] First ANC Visit*"),
    COUNTIFS('QA Log'!D:D,A472,'QA Log'!M:M,"Vignette",'QA Log'!Z:Z,"Rejected",'QA Log'!L:L,"*Vignette [8] Birth Spacing/ Family Planning :  FP Counselling*"),
    COUNTIFS('QA Log'!D:D,A472,'QA Log'!M:M,"Vignette",'QA Log'!Z:Z,"Rejected",'QA Log'!L:L,"*Vignette [9] Birth Spacing: Change FP method to Injectable*"),
    COUNTIFS('QA Log'!D:D,A472,'QA Log'!M:M,"Vignette",'QA Log'!Z:Z,"Rejected",'QA Log'!L:L,"*Vignette [10] Post Partum Haemorrhage - Atonic Uterus at Health Centre*")
  )
)</f>
        <v/>
      </c>
      <c r="BN472" s="107" t="str">
        <f t="shared" si="37"/>
        <v/>
      </c>
      <c r="BO472" s="103" t="str">
        <f t="shared" si="38"/>
        <v/>
      </c>
      <c r="BP472" s="102" t="str">
        <f>IF(A472="","",SUM(
COUNTIFS('QA Log'!D:D,A472,'QA Log'!M:M,"Vignette",'QA Log'!L:L,"*Exit Interview 1*"),
COUNTIFS('QA Log'!D:D,A472,'QA Log'!M:M,"Vignette",'QA Log'!L:L,"*Exit Interview 2*"),
)
)</f>
        <v/>
      </c>
      <c r="BQ472" s="102" t="str">
        <f>IF(
  A472="","",
  SUM(
    COUNTIFS('QA Log'!D:D,A472,'QA Log'!M:M,"Vignette",'QA Log'!Z:Z,"Approved",'QA Log'!L:L,"*Exit Interview 1*"),
    COUNTIFS('QA Log'!D:D,A472,'QA Log'!M:M,"Vignette",'QA Log'!Z:Z,"Approved",'QA Log'!L:L,"*Exit Interview 2*")
  )
)</f>
        <v/>
      </c>
      <c r="BR472" s="105" t="str">
        <f>IF(A472&lt;&gt;"",COUNTIFS('QA Log'!D:D,A472,'QA Log'!M:M,"Vignette",'QA Log'!L:L,"Exit Interview 1",'QA Log'!Z:Z,"Approved"),"")</f>
        <v/>
      </c>
      <c r="BS472" s="105" t="str">
        <f>IF(A472&lt;&gt;"",COUNTIFS('QA Log'!D:D,A472,'QA Log'!M:M,"Vignette",'QA Log'!L:L,"Exit Interview 2",'QA Log'!Z:Z,"Approved"),"")</f>
        <v/>
      </c>
      <c r="BT472" s="102" t="str">
        <f>IF(
  A472="","",
  SUM(
    COUNTIFS('QA Log'!D:D,A472,'QA Log'!M:M,"Vignette",'QA Log'!Z:Z,"Rejected",'QA Log'!L:L,"*Exit Interview 1*"),
    COUNTIFS('QA Log'!D:D,A472,'QA Log'!M:M,"Vignette",'QA Log'!Z:Z,"Rejected",'QA Log'!L:L,"*Exit Interview 2*")
  )
)</f>
        <v/>
      </c>
      <c r="BU472" s="107" t="str">
        <f t="shared" si="39"/>
        <v/>
      </c>
      <c r="BV472" s="102" t="str">
        <f t="shared" si="40"/>
        <v/>
      </c>
      <c r="BW472" s="102" t="str">
        <f t="shared" si="41"/>
        <v/>
      </c>
      <c r="BX472" s="102" t="str">
        <f t="shared" si="42"/>
        <v/>
      </c>
      <c r="BY472" s="102" t="str">
        <f t="shared" si="43"/>
        <v/>
      </c>
      <c r="BZ472" s="107" t="str">
        <f t="shared" si="44"/>
        <v/>
      </c>
      <c r="CA472" s="108" t="str">
        <f t="shared" si="45"/>
        <v/>
      </c>
      <c r="CB472" s="108" t="str">
        <f t="shared" si="46"/>
        <v/>
      </c>
      <c r="CC472" s="109" t="str">
        <f t="shared" si="47"/>
        <v/>
      </c>
      <c r="CD472" s="108" t="str">
        <f t="shared" si="48"/>
        <v/>
      </c>
      <c r="CE472" s="108" t="str">
        <f t="shared" si="49"/>
        <v/>
      </c>
      <c r="CF472" s="109" t="str">
        <f t="shared" si="50"/>
        <v/>
      </c>
      <c r="CG472" s="110" t="str">
        <f t="shared" si="51"/>
        <v/>
      </c>
      <c r="CH472" s="111"/>
    </row>
    <row r="473" spans="1:86" ht="12.75">
      <c r="A473" s="101"/>
      <c r="B473" s="102" t="e">
        <f t="array" aca="1" ref="B473" ca="1">_xludf.XLOOKUP(A473,'QA Log'!D:D,'QA Log'!E:E,"")</f>
        <v>#NAME?</v>
      </c>
      <c r="C473" s="102" t="e">
        <f t="array" aca="1" ref="C473" ca="1">_xludf.XLOOKUP(A473,'QA Log'!D:D,'QA Log'!F:F,"")</f>
        <v>#NAME?</v>
      </c>
      <c r="D473" s="102" t="e">
        <f t="array" aca="1" ref="D473" ca="1">_xludf.XLOOKUP(A473,'QA Log'!D:D,'QA Log'!H:H,"")</f>
        <v>#NAME?</v>
      </c>
      <c r="E473" s="102" t="e">
        <f t="array" aca="1" ref="E473" ca="1">_xludf.XLOOKUP(A473,'QA Log'!D:D,'QA Log'!G:G,"")</f>
        <v>#NAME?</v>
      </c>
      <c r="F473" s="103"/>
      <c r="G473" s="104"/>
      <c r="H473" s="104"/>
      <c r="I473" s="103" t="str">
        <f t="shared" si="26"/>
        <v/>
      </c>
      <c r="J473" s="102" t="str">
        <f>IF(A473="","",SUM(
COUNTIFS('QA Log'!D:D,A473,'QA Log'!M:M,"QQC",'QA Log'!L:L,"*1. General Management*"),
COUNTIFS('QA Log'!D:D,A473,'QA Log'!M:M,"QQC",'QA Log'!L:L,"*3. Curative Consultation (OPD)*"),
COUNTIFS('QA Log'!D:D,A473,'QA Log'!M:M,"QQC",'QA Log'!L:L,"*5. Laboratory*"),
COUNTIFS('QA Log'!D:D,A473,'QA Log'!M:M,"QQC",'QA Log'!L:L,"*6. Essential Medicine Management*"),
COUNTIFS('QA Log'!D:D,A473,'QA Log'!M:M,"QQC",'QA Log'!L:L,"*7. Tracer Medicine*"),
COUNTIFS('QA Log'!D:D,A473,'QA Log'!M:M,"QQC",'QA Log'!L:L,"*11. Additional Questions*")))</f>
        <v/>
      </c>
      <c r="K473" s="102" t="str">
        <f>IF(A473="","",SUM(
COUNTIFS('QA Log'!D:D,A473,'QA Log'!M:M,"QQC",'QA Log'!Z:Z,"Approved",'QA Log'!L:L,"*1. General Management*"),
COUNTIFS('QA Log'!D:D,A473,'QA Log'!M:M,"QQC",'QA Log'!Z:Z,"Approved",'QA Log'!L:L,"*3. Curative Consultation (OPD)*"),
COUNTIFS('QA Log'!D:D,A473,'QA Log'!M:M,"QQC",'QA Log'!Z:Z,"Approved",'QA Log'!L:L,"*5. Laboratory*"),
COUNTIFS('QA Log'!D:D,A473,'QA Log'!M:M,"QQC",'QA Log'!Z:Z,"Approved",'QA Log'!L:L,"*6. Essential Medicine Management*"),
COUNTIFS('QA Log'!D:D,A473,'QA Log'!M:M,"QQC",'QA Log'!Z:Z,"Approved",'QA Log'!L:L,"*7. Tracer Medicine*"),
COUNTIFS('QA Log'!D:D,A473,'QA Log'!M:M,"QQC",'QA Log'!Z:Z,"Approved",'QA Log'!L:L,"*11. Additional Questions*")))</f>
        <v/>
      </c>
      <c r="L473" s="102" t="str">
        <f>IF(A473&lt;&gt;"",COUNTIFS('QA Log'!D:D,A473,'QA Log'!M:M,"QQC",'QA Log'!L:L,"1. General Management",'QA Log'!Z:Z,"Approved"),"")</f>
        <v/>
      </c>
      <c r="M473" s="102" t="str">
        <f>IF(A473&lt;&gt;"",COUNTIFS('QA Log'!D:D,A473,'QA Log'!M:M,"QQC",'QA Log'!L:L,"3. Curative Consultation (OPD)",'QA Log'!Z:Z,"Approved"),"")</f>
        <v/>
      </c>
      <c r="N473" s="102" t="str">
        <f>IF(A473&lt;&gt;"",COUNTIFS('QA Log'!D:D,A473,'QA Log'!M:M,"QQC",'QA Log'!L:L,"5. Laboratory",'QA Log'!Z:Z,"Approved"),"")</f>
        <v/>
      </c>
      <c r="O473" s="102" t="str">
        <f>IF(A473&lt;&gt;"",COUNTIFS('QA Log'!D:D,A473,'QA Log'!M:M,"QQC",'QA Log'!L:L,"6. Essential Medicine Management",'QA Log'!Z:Z,"Approved"),"")</f>
        <v/>
      </c>
      <c r="P473" s="102" t="str">
        <f>IF(A473&lt;&gt;"",COUNTIFS('QA Log'!D:D,A473,'QA Log'!M:M,"QQC",'QA Log'!L:L,"7. Tracer Medicine",'QA Log'!Z:Z,"Approved"),"")</f>
        <v/>
      </c>
      <c r="Q473" s="102" t="str">
        <f>IF(A473&lt;&gt;"",COUNTIFS('QA Log'!D:D,A473,'QA Log'!M:M,"QQC",'QA Log'!L:L,"11. Additional Questions",'QA Log'!Z:Z,"Approved"),"")</f>
        <v/>
      </c>
      <c r="R473" s="102" t="str">
        <f>IF(A473="","",SUM(
COUNTIFS('QA Log'!D:D,A473,'QA Log'!M:M,"QQC",'QA Log'!Z:Z,"Rejected",'QA Log'!L:L,"*8. Maternity*"),
COUNTIFS('QA Log'!D:D,A473,'QA Log'!M:M,"QQC",'QA Log'!Z:Z,"Rejected",'QA Log'!L:L,"*EPI*"),
COUNTIFS('QA Log'!D:D,A473,'QA Log'!M:M,"QQC",'QA Log'!Z:Z,"Rejected",'QA Log'!L:L,"*10. Antenatal Care (ANC)*"),
COUNTIFS('QA Log'!D:D,A473,'QA Log'!M:M,"QQC",'QA Log'!Z:Z,"Rejected",'QA Log'!L:L,"*2. Hygiene and Sterilization*"),
COUNTIFS('QA Log'!D:D,A473,'QA Log'!M:M,"QQC",'QA Log'!Z:Z,"Rejected",'QA Log'!L:L,"*Family Planning*")))</f>
        <v/>
      </c>
      <c r="S473" s="106" t="str">
        <f t="shared" si="27"/>
        <v/>
      </c>
      <c r="T473" s="102" t="str">
        <f t="shared" si="28"/>
        <v/>
      </c>
      <c r="U473" s="102" t="str">
        <f>IF(A473="","",
SUM(
COUNTIFS('QA Log'!D:D,A473,'QA Log'!M:M,"QQC",'QA Log'!L:L,"*8. Maternity*"),
COUNTIFS('QA Log'!D:D,A473,'QA Log'!M:M,"QQC",'QA Log'!L:L,"*9. EPI and Pre-school Consultation*"),
COUNTIFS('QA Log'!D:D,A473,'QA Log'!M:M,"QQC",'QA Log'!L:L,"*10. Antenatal Care (ANC)*"),
COUNTIFS('QA Log'!D:D,A473,'QA Log'!M:M,"QQC",'QA Log'!L:L,"*2. Hygiene and Sterilization*"),
COUNTIFS('QA Log'!D:D,A473,'QA Log'!M:M,"QQC",'QA Log'!L:L,"*4. Family Planning*")
))</f>
        <v/>
      </c>
      <c r="V473" s="102" t="str">
        <f>IF(A473="","",
SUM(
COUNTIFS('QA Log'!D:D,A473,'QA Log'!M:M,"QQC",'QA Log'!Z:Z,"Approved",'QA Log'!L:L,"*8. Maternity*"),
COUNTIFS('QA Log'!D:D,A473,'QA Log'!M:M,"QQC",'QA Log'!Z:Z,"Approved",'QA Log'!L:L,"*9. EPI and Pre-school Consultation*"),
COUNTIFS('QA Log'!D:D,A473,'QA Log'!M:M,"QQC",'QA Log'!Z:Z,"Approved",'QA Log'!L:L,"*10. Antenatal Care (ANC)*"),
COUNTIFS('QA Log'!D:D,A473,'QA Log'!M:M,"QQC",'QA Log'!Z:Z,"Approved",'QA Log'!L:L,"*2. Hygiene and Sterilization*"),
COUNTIFS('QA Log'!D:D,A473,'QA Log'!M:M,"QQC",'QA Log'!Z:Z,"Approved",'QA Log'!L:L,"*4. Family Planning*")
))</f>
        <v/>
      </c>
      <c r="W473" s="102" t="str">
        <f>IF(A473&lt;&gt;"",COUNTIFS('QA Log'!D:D,A473,'QA Log'!M:M,"QQC",'QA Log'!L:L,"8. Maternity",'QA Log'!Z:Z,"Approved"),"")</f>
        <v/>
      </c>
      <c r="X473" s="105" t="str">
        <f>IF(A473&lt;&gt;"",COUNTIFS('QA Log'!D:D,A473,'QA Log'!M:M,"QQC",'QA Log'!L:L,"9. EPI and Pre-school Consultation",'QA Log'!Z:Z,"Approved"),"")</f>
        <v/>
      </c>
      <c r="Y473" s="102" t="str">
        <f>IF(A473&lt;&gt;"",COUNTIFS('QA Log'!D:D,A473,'QA Log'!M:M,"QQC",'QA Log'!L:L,"10. Antenatal Care (ANC)",'QA Log'!Z:Z,"Approved"),"")</f>
        <v/>
      </c>
      <c r="Z473" s="102" t="str">
        <f>IF(A473&lt;&gt;"",COUNTIFS('QA Log'!D:D,A473,'QA Log'!M:M,"QQC",'QA Log'!L:L,"2. Hygiene and Sterilization",'QA Log'!Z:Z,"Approved"),"")</f>
        <v/>
      </c>
      <c r="AA473" s="105" t="str">
        <f>IF(A473&lt;&gt;"",COUNTIFS('QA Log'!D:D,A473,'QA Log'!M:M,"QQC",'QA Log'!L:L,"4. Family Planning",'QA Log'!Z:Z,"Approved"),"")</f>
        <v/>
      </c>
      <c r="AB473" s="102" t="str">
        <f>IF(A473="","",
SUM(
COUNTIFS('QA Log'!D:D,A473,'QA Log'!M:M,"QQC",'QA Log'!Z:Z,"Rejected",'QA Log'!L:L,"*8. Maternity*"),
COUNTIFS('QA Log'!D:D,A473,'QA Log'!M:M,"QQC",'QA Log'!Z:Z,"Rejected",'QA Log'!L:L,"*9. EPI and Pre-school Consultation*"),
COUNTIFS('QA Log'!D:D,A473,'QA Log'!M:M,"QQC",'QA Log'!Z:Z,"Rejected",'QA Log'!L:L,"*10. Antenatal Care (ANC)*"),
COUNTIFS('QA Log'!D:D,A473,'QA Log'!M:M,"QQC",'QA Log'!Z:Z,"Rejected",'QA Log'!L:L,"*2. Hygiene and Sterilization*"),
COUNTIFS('QA Log'!D:D,A473,'QA Log'!M:M,"QQC",'QA Log'!Z:Z,"Rejected",'QA Log'!L:L,"*4. Family Planning*")
))</f>
        <v/>
      </c>
      <c r="AC473" s="102" t="str">
        <f t="shared" si="29"/>
        <v/>
      </c>
      <c r="AD473" s="103" t="str">
        <f t="shared" si="30"/>
        <v/>
      </c>
      <c r="AE473" s="102" t="str">
        <f>IF(A473="","",
SUM(
COUNTIFS('QA Log'!D:D,A473,'QA Log'!M:M,"Data Verification",'QA Log'!L:L,"*Medicine (section 2)*"),
COUNTIFS('QA Log'!D:D,A473,'QA Log'!M:M,"Data Verification",'QA Log'!L:L,"*Lab Testing Availability*"),
COUNTIFS('QA Log'!D:D,A473,'QA Log'!M:M,"Data Verification",'QA Log'!L:L,"*Other than P4P (section 6)*"),
COUNTIFS('QA Log'!D:D,A473,'QA Log'!M:M,"Data Verification",'QA Log'!L:L,"*Hospital Governance*")
))</f>
        <v/>
      </c>
      <c r="AF473" s="102" t="str">
        <f>IF(A473="","",
SUM(
COUNTIFS('QA Log'!D:D,A473,'QA Log'!M:M,"Data Verification",'QA Log'!Z:Z,"Approved",'QA Log'!L:L,"*Medicine (section 2)*"),
COUNTIFS('QA Log'!D:D,A473,'QA Log'!M:M,"Data Verification",'QA Log'!Z:Z,"Approved",'QA Log'!L:L,"*Lab Testing Availability*"),
COUNTIFS('QA Log'!D:D,A473,'QA Log'!M:M,"Data Verification",'QA Log'!Z:Z,"Approved",'QA Log'!L:L,"*Other than P4P (section 6)*"),
COUNTIFS('QA Log'!D:D,A473,'QA Log'!M:M,"Data Verification",'QA Log'!Z:Z,"Approved",'QA Log'!L:L,"*Hospital Governance*")
))</f>
        <v/>
      </c>
      <c r="AG473" s="105" t="str">
        <f>IF(A473&lt;&gt;"",COUNTIFS('QA Log'!D:D,A473,'QA Log'!M:M,"Data Verification",'QA Log'!L:L,"Medicine (section 2)",'QA Log'!Z:Z,"Approved"),"")</f>
        <v/>
      </c>
      <c r="AH473" s="105" t="str">
        <f>IF(A473&lt;&gt;"",COUNTIFS('QA Log'!D:D,A473,'QA Log'!M:M,"Data Verification",'QA Log'!L:L,"Lab Testing Availability",'QA Log'!Z:Z,"Approved"),"")</f>
        <v/>
      </c>
      <c r="AI473" s="105" t="str">
        <f>IF(A473&lt;&gt;"",COUNTIFS('QA Log'!D:D,A473,'QA Log'!M:M,"Data Verification",'QA Log'!L:L,"Other than P4P (section 6)",'QA Log'!Z:Z,"Approved"),"")</f>
        <v/>
      </c>
      <c r="AJ473" s="105" t="str">
        <f>IF(A473&lt;&gt;"",COUNTIFS('QA Log'!D:D,A473,'QA Log'!M:M,"Data Verification",'QA Log'!L:L,"Hospital Governance",'QA Log'!Z:Z,"Approved"),"")</f>
        <v/>
      </c>
      <c r="AK473" s="102" t="str">
        <f>IF(A473="","",
SUM(
COUNTIFS('QA Log'!D:D,A473,'QA Log'!M:M,"Data Verification",'QA Log'!Z:Z,"Rejected",'QA Log'!L:L,"*Medicine (section 2)*"),
COUNTIFS('QA Log'!D:D,A473,'QA Log'!M:M,"Data Verification",'QA Log'!Z:Z,"Rejected",'QA Log'!L:L,"*Lab Testing Availability*"),
COUNTIFS('QA Log'!D:D,A473,'QA Log'!M:M,"Data Verification",'QA Log'!Z:Z,"Rejected",'QA Log'!L:L,"*Other than P4P (section 6)*"),
COUNTIFS('QA Log'!D:D,A473,'QA Log'!M:M,"Data Verification",'QA Log'!Z:Z,"Rejected",'QA Log'!L:L,"*Hospital Governance*")
))</f>
        <v/>
      </c>
      <c r="AL473" s="106" t="str">
        <f t="shared" si="31"/>
        <v/>
      </c>
      <c r="AM473" s="102" t="str">
        <f t="shared" si="32"/>
        <v/>
      </c>
      <c r="AN473" s="102" t="str">
        <f>IF(A473="","",
SUM(
COUNTIFS('QA Log'!D:D,A473,'QA Log'!M:M,"Data Verification",'QA Log'!L:L,"*Personnel (section 1)*"),
COUNTIFS('QA Log'!D:D,A473,'QA Log'!M:M,"Data Verification",'QA Log'!L:L,"*Consumable (section 3)*"),
COUNTIFS('QA Log'!D:D,A473,'QA Log'!M:M,"Data Verification",'QA Log'!L:L,"*Equipments (section 4)*")
))</f>
        <v/>
      </c>
      <c r="AO473" s="102" t="str">
        <f>IF(A473="","",
SUM(
COUNTIFS('QA Log'!D:D,A473,'QA Log'!M:M,"Data Verification",'QA Log'!Z:Z,"Approved",'QA Log'!L:L,"*Personnel (section 1)*"),
COUNTIFS('QA Log'!D:D,A473,'QA Log'!M:M,"Data Verification",'QA Log'!Z:Z,"Approved",'QA Log'!L:L,"*Consumable (section 3)*"),
COUNTIFS('QA Log'!D:D,A473,'QA Log'!M:M,"Data Verification",'QA Log'!Z:Z,"Approved",'QA Log'!L:L,"*Equipments (section 4)*")
))</f>
        <v/>
      </c>
      <c r="AP473" s="105" t="str">
        <f>IF(A473&lt;&gt;"",COUNTIFS('QA Log'!D:D,A473,'QA Log'!M:M,"Data Verification",'QA Log'!L:L,"Personnel (section 1)",'QA Log'!Z:Z,"Approved"),"")</f>
        <v/>
      </c>
      <c r="AQ473" s="105" t="str">
        <f>IF(A473&lt;&gt;"",COUNTIFS('QA Log'!D:D,A473,'QA Log'!M:M,"Data Verification",'QA Log'!L:L,"Consumable (section 3)",'QA Log'!Z:Z,"Approved"),"")</f>
        <v/>
      </c>
      <c r="AR473" s="105" t="str">
        <f>IF(A473&lt;&gt;"",COUNTIFS('QA Log'!D:D,A473,'QA Log'!M:M,"Data Verification",'QA Log'!L:L,"Equipments (section 4)",'QA Log'!Z:Z,"Approved"),"")</f>
        <v/>
      </c>
      <c r="AS473" s="102" t="str">
        <f>IF(A473="","",
SUM(
COUNTIFS('QA Log'!D:D,A473,'QA Log'!M:M,"Data Verification",'QA Log'!Z:Z,"Rejected",'QA Log'!L:L,"*Personnel (section 1)*"),
COUNTIFS('QA Log'!D:D,A473,'QA Log'!M:M,"Data Verification",'QA Log'!Z:Z,"Rejected",'QA Log'!L:L,"*Consumable (section 3)*"),
COUNTIFS('QA Log'!D:D,A473,'QA Log'!M:M,"Data Verification",'QA Log'!Z:Z,"Rejected",'QA Log'!L:L,"*Equipments (section 4)*")
))</f>
        <v/>
      </c>
      <c r="AT473" s="102" t="str">
        <f t="shared" si="33"/>
        <v/>
      </c>
      <c r="AU473" s="103" t="str">
        <f t="shared" si="34"/>
        <v/>
      </c>
      <c r="AV473" s="102" t="str">
        <f>IF(A473="","",SUM(
COUNTIFS('QA Log'!D:D,A473,'QA Log'!M:M,"Vignette",'QA Log'!L:L,"*Vignette [1] Respiratory Infection: Pneumonia*"),
COUNTIFS('QA Log'!D:D,A473,'QA Log'!M:M,"Vignette",'QA Log'!L:L,"*Vignette [2]: Diarrhea with Cat B dehydration*"),
COUNTIFS('QA Log'!D:D,A473,'QA Log'!M:M,"Vignette",'QA Log'!L:L,"*Vignette [3] Growth Monitoring and Promotion*"),
COUNTIFS('QA Log'!D:D,A473,'QA Log'!M:M,"Vignette",'QA Log'!L:L,"*Vignette [4]: The management of presumptive TB patient*")
)
)</f>
        <v/>
      </c>
      <c r="AW473" s="102" t="str">
        <f>IF(
  A473="","",
  SUM(
    COUNTIFS('QA Log'!D:D,A473,'QA Log'!M:M,"Vignette",'QA Log'!Z:Z,"Approved",'QA Log'!L:L,"*Vignette [1] Respiratory Infection: Pneumonia*"),
    COUNTIFS('QA Log'!D:D,A473,'QA Log'!M:M,"Vignette",'QA Log'!Z:Z,"Approved",'QA Log'!L:L,"*Vignette [2]: Diarrhea with Cat B dehydration*"),
    COUNTIFS('QA Log'!D:D,A473,'QA Log'!M:M,"Vignette",'QA Log'!Z:Z,"Approved",'QA Log'!L:L,"*Vignette [3] Growth Monitoring and Promotion*"),
    COUNTIFS('QA Log'!D:D,A473,'QA Log'!M:M,"Vignette",'QA Log'!Z:Z,"Approved",'QA Log'!L:L,"*Vignette [4]: The management of presumptive TB patient*")
  )
)</f>
        <v/>
      </c>
      <c r="AX473" s="105" t="str">
        <f>IF(A473&lt;&gt;"",COUNTIFS('QA Log'!D:D,A473,'QA Log'!M:M,"Vignette",'QA Log'!L:L,"Vignette [1] Respiratory Infection: Pneumonia",'QA Log'!Z:Z,"Approved"),"")</f>
        <v/>
      </c>
      <c r="AY473" s="105" t="str">
        <f>IF(A473&lt;&gt;"",COUNTIFS('QA Log'!D:D,A473,'QA Log'!M:M,"Vignette",'QA Log'!L:L,"Vignette [2]: Diarrhea with Cat B dehydration",'QA Log'!Z:Z,"Approved"),"")</f>
        <v/>
      </c>
      <c r="AZ473" s="105" t="str">
        <f>IF(A473&lt;&gt;"",COUNTIFS('QA Log'!D:D,A473,'QA Log'!M:M,"Vignette",'QA Log'!L:L,"Vignette [3] Growth Monitoring and Promotion",'QA Log'!Z:Z,"Approved"),"")</f>
        <v/>
      </c>
      <c r="BA473" s="105" t="str">
        <f>IF(A473&lt;&gt;"",COUNTIFS('QA Log'!D:D,A473,'QA Log'!M:M,"Vignette",'QA Log'!L:L,"Vignette [4]: The management of presumptive TB patient",'QA Log'!Z:Z,"Approved"),"")</f>
        <v/>
      </c>
      <c r="BB473" s="102" t="str">
        <f>IF(A473="","",
  SUM(
    COUNTIFS('QA Log'!D:D,A473,'QA Log'!M:M,"Vignette",'QA Log'!Z:Z,"Rejected",'QA Log'!L:L,"*Vignette [1] Respiratory Infection: Pneumonia*"),
    COUNTIFS('QA Log'!D:D,A473,'QA Log'!M:M,"Vignette",'QA Log'!Z:Z,"Rejected",'QA Log'!L:L,"*Vignette [2]: Diarrhea with Cat B dehydration*"),
    COUNTIFS('QA Log'!D:D,A473,'QA Log'!M:M,"Vignette",'QA Log'!Z:Z,"Rejected",'QA Log'!L:L,"*Vignette [3] Growth Monitoring and Promotion*"),
    COUNTIFS('QA Log'!D:D,A473,'QA Log'!M:M,"Vignette",'QA Log'!Z:Z,"Rejected",'QA Log'!L:L,"*Vignette [4]: The management of presumptive TB patient*")
  )
)</f>
        <v/>
      </c>
      <c r="BC473" s="107" t="str">
        <f t="shared" si="35"/>
        <v/>
      </c>
      <c r="BD473" s="103" t="str">
        <f t="shared" si="36"/>
        <v/>
      </c>
      <c r="BE473" s="102" t="str">
        <f>IF(A473="","",SUM(
COUNTIFS('QA Log'!D:D,A473,'QA Log'!M:M,"Vignette",'QA Log'!L:L,"*Vignette [5] Labor*"),
COUNTIFS('QA Log'!D:D,A473,'QA Log'!M:M,"Vignette",'QA Log'!L:L,"*Vignette [6] PNC pre Discharge*"),
COUNTIFS('QA Log'!D:D,A473,'QA Log'!M:M,"Vignette",'QA Log'!L:L,"*Vignette [7] First ANC Visit*"),
COUNTIFS('QA Log'!D:D,A473,'QA Log'!M:M,"Vignette",'QA Log'!L:L,"*Vignette [8] Birth Spacing/ Family Planning :  FP Counselling*"),
COUNTIFS('QA Log'!D:D,A473,'QA Log'!M:M,"Vignette",'QA Log'!L:L,"*Vignette [9] Birth Spacing: Change FP method to Injectable*"),
COUNTIFS('QA Log'!D:D,A473,'QA Log'!M:M,"Vignette",'QA Log'!L:L,"*Vignette [10] Post Partum Haemorrhage - Atonic Uterus at Health Centre*"),
)
)</f>
        <v/>
      </c>
      <c r="BF473" s="102" t="str">
        <f>IF(A473="","",
  SUM(
    COUNTIFS('QA Log'!D:D,A473,'QA Log'!M:M,"Vignette",'QA Log'!Z:Z,"Approved",'QA Log'!L:L,"*Vignette [5] Labor*"),
    COUNTIFS('QA Log'!D:D,A473,'QA Log'!M:M,"Vignette",'QA Log'!Z:Z,"Approved",'QA Log'!L:L,"*Vignette [6] PNC pre Discharge*"),
    COUNTIFS('QA Log'!D:D,A473,'QA Log'!M:M,"Vignette",'QA Log'!Z:Z,"Approved",'QA Log'!L:L,"*Vignette [7] First ANC Visit*"),
    COUNTIFS('QA Log'!D:D,A473,'QA Log'!M:M,"Vignette",'QA Log'!Z:Z,"Approved",'QA Log'!L:L,"*Vignette [8] Birth Spacing/ Family Planning :  FP Counselling*"),
    COUNTIFS('QA Log'!D:D,A473,'QA Log'!M:M,"Vignette",'QA Log'!Z:Z,"Approved",'QA Log'!L:L,"*Vignette [9] Birth Spacing: Change FP method to Injectable*"),
    COUNTIFS('QA Log'!D:D,A473,'QA Log'!M:M,"Vignette",'QA Log'!Z:Z,"Approved",'QA Log'!L:L,"*Vignette [10] Post Partum Haemorrhage - Atonic Uterus at Health Centre*")
  )
)</f>
        <v/>
      </c>
      <c r="BG473" s="105" t="str">
        <f>IF(A473&lt;&gt;"",COUNTIFS('QA Log'!D:D,A473,'QA Log'!M:M,"Vignette",'QA Log'!L:L,"Vignette [5] Labor",'QA Log'!Z:Z,"Approved"),"")</f>
        <v/>
      </c>
      <c r="BH473" s="105" t="str">
        <f>IF(A473&lt;&gt;"",COUNTIFS('QA Log'!D:D,A473,'QA Log'!M:M,"Vignette",'QA Log'!L:L,"Vignette [6] PNC pre Discharge",'QA Log'!Z:Z,"Approved"),"")</f>
        <v/>
      </c>
      <c r="BI473" s="105" t="str">
        <f>IF(A473&lt;&gt;"",COUNTIFS('QA Log'!D:D,A473,'QA Log'!M:M,"Vignette",'QA Log'!L:L,"Vignette [7] First ANC Visit",'QA Log'!Z:Z,"Approved"),"")</f>
        <v/>
      </c>
      <c r="BJ473" s="105" t="str">
        <f>IF(A473&lt;&gt;"",COUNTIFS('QA Log'!D:D,A473,'QA Log'!M:M,"Vignette",'QA Log'!L:L,"Vignette [8] Birth Spacing/ Family Planning :  FP Counselling",'QA Log'!Z:Z,"Approved"),"")</f>
        <v/>
      </c>
      <c r="BK473" s="105" t="str">
        <f>IF(A473&lt;&gt;"",COUNTIFS('QA Log'!D:D,A473,'QA Log'!M:M,"Vignette",'QA Log'!L:L,"Vignette [9] Birth Spacing: Change FP method to Injectable",'QA Log'!Z:Z,"Approved"),"")</f>
        <v/>
      </c>
      <c r="BL473" s="105" t="str">
        <f>IF(A473&lt;&gt;"",COUNTIFS('QA Log'!D:D,A473,'QA Log'!M:M,"Vignette",'QA Log'!L:L,"Vignette [10] Post Partum Haemorrhage - Atonic Uterus at Health Centre",'QA Log'!Z:Z,"Approved"),"")</f>
        <v/>
      </c>
      <c r="BM473" s="102" t="str">
        <f>IF(A473="","",SUM(
    COUNTIFS('QA Log'!D:D,A473,'QA Log'!M:M,"Vignette",'QA Log'!Z:Z,"Rejected",'QA Log'!L:L,"*Vignette [5] Labor*"),
    COUNTIFS('QA Log'!D:D,A473,'QA Log'!M:M,"Vignette",'QA Log'!Z:Z,"Rejected",'QA Log'!L:L,"*Vignette [6] PNC pre Discharge*"),
    COUNTIFS('QA Log'!D:D,A473,'QA Log'!M:M,"Vignette",'QA Log'!Z:Z,"Rejected",'QA Log'!L:L,"*Vignette [7] First ANC Visit*"),
    COUNTIFS('QA Log'!D:D,A473,'QA Log'!M:M,"Vignette",'QA Log'!Z:Z,"Rejected",'QA Log'!L:L,"*Vignette [8] Birth Spacing/ Family Planning :  FP Counselling*"),
    COUNTIFS('QA Log'!D:D,A473,'QA Log'!M:M,"Vignette",'QA Log'!Z:Z,"Rejected",'QA Log'!L:L,"*Vignette [9] Birth Spacing: Change FP method to Injectable*"),
    COUNTIFS('QA Log'!D:D,A473,'QA Log'!M:M,"Vignette",'QA Log'!Z:Z,"Rejected",'QA Log'!L:L,"*Vignette [10] Post Partum Haemorrhage - Atonic Uterus at Health Centre*")
  )
)</f>
        <v/>
      </c>
      <c r="BN473" s="107" t="str">
        <f t="shared" si="37"/>
        <v/>
      </c>
      <c r="BO473" s="103" t="str">
        <f t="shared" si="38"/>
        <v/>
      </c>
      <c r="BP473" s="102" t="str">
        <f>IF(A473="","",SUM(
COUNTIFS('QA Log'!D:D,A473,'QA Log'!M:M,"Vignette",'QA Log'!L:L,"*Exit Interview 1*"),
COUNTIFS('QA Log'!D:D,A473,'QA Log'!M:M,"Vignette",'QA Log'!L:L,"*Exit Interview 2*"),
)
)</f>
        <v/>
      </c>
      <c r="BQ473" s="102" t="str">
        <f>IF(
  A473="","",
  SUM(
    COUNTIFS('QA Log'!D:D,A473,'QA Log'!M:M,"Vignette",'QA Log'!Z:Z,"Approved",'QA Log'!L:L,"*Exit Interview 1*"),
    COUNTIFS('QA Log'!D:D,A473,'QA Log'!M:M,"Vignette",'QA Log'!Z:Z,"Approved",'QA Log'!L:L,"*Exit Interview 2*")
  )
)</f>
        <v/>
      </c>
      <c r="BR473" s="105" t="str">
        <f>IF(A473&lt;&gt;"",COUNTIFS('QA Log'!D:D,A473,'QA Log'!M:M,"Vignette",'QA Log'!L:L,"Exit Interview 1",'QA Log'!Z:Z,"Approved"),"")</f>
        <v/>
      </c>
      <c r="BS473" s="105" t="str">
        <f>IF(A473&lt;&gt;"",COUNTIFS('QA Log'!D:D,A473,'QA Log'!M:M,"Vignette",'QA Log'!L:L,"Exit Interview 2",'QA Log'!Z:Z,"Approved"),"")</f>
        <v/>
      </c>
      <c r="BT473" s="102" t="str">
        <f>IF(
  A473="","",
  SUM(
    COUNTIFS('QA Log'!D:D,A473,'QA Log'!M:M,"Vignette",'QA Log'!Z:Z,"Rejected",'QA Log'!L:L,"*Exit Interview 1*"),
    COUNTIFS('QA Log'!D:D,A473,'QA Log'!M:M,"Vignette",'QA Log'!Z:Z,"Rejected",'QA Log'!L:L,"*Exit Interview 2*")
  )
)</f>
        <v/>
      </c>
      <c r="BU473" s="107" t="str">
        <f t="shared" si="39"/>
        <v/>
      </c>
      <c r="BV473" s="102" t="str">
        <f t="shared" si="40"/>
        <v/>
      </c>
      <c r="BW473" s="102" t="str">
        <f t="shared" si="41"/>
        <v/>
      </c>
      <c r="BX473" s="102" t="str">
        <f t="shared" si="42"/>
        <v/>
      </c>
      <c r="BY473" s="102" t="str">
        <f t="shared" si="43"/>
        <v/>
      </c>
      <c r="BZ473" s="107" t="str">
        <f t="shared" si="44"/>
        <v/>
      </c>
      <c r="CA473" s="108" t="str">
        <f t="shared" si="45"/>
        <v/>
      </c>
      <c r="CB473" s="108" t="str">
        <f t="shared" si="46"/>
        <v/>
      </c>
      <c r="CC473" s="109" t="str">
        <f t="shared" si="47"/>
        <v/>
      </c>
      <c r="CD473" s="108" t="str">
        <f t="shared" si="48"/>
        <v/>
      </c>
      <c r="CE473" s="108" t="str">
        <f t="shared" si="49"/>
        <v/>
      </c>
      <c r="CF473" s="109" t="str">
        <f t="shared" si="50"/>
        <v/>
      </c>
      <c r="CG473" s="110" t="str">
        <f t="shared" si="51"/>
        <v/>
      </c>
      <c r="CH473" s="111"/>
    </row>
    <row r="474" spans="1:86" ht="12.75">
      <c r="A474" s="101"/>
      <c r="B474" s="102" t="e">
        <f t="array" aca="1" ref="B474" ca="1">_xludf.XLOOKUP(A474,'QA Log'!D:D,'QA Log'!E:E,"")</f>
        <v>#NAME?</v>
      </c>
      <c r="C474" s="102" t="e">
        <f t="array" aca="1" ref="C474" ca="1">_xludf.XLOOKUP(A474,'QA Log'!D:D,'QA Log'!F:F,"")</f>
        <v>#NAME?</v>
      </c>
      <c r="D474" s="102" t="e">
        <f t="array" aca="1" ref="D474" ca="1">_xludf.XLOOKUP(A474,'QA Log'!D:D,'QA Log'!H:H,"")</f>
        <v>#NAME?</v>
      </c>
      <c r="E474" s="102" t="e">
        <f t="array" aca="1" ref="E474" ca="1">_xludf.XLOOKUP(A474,'QA Log'!D:D,'QA Log'!G:G,"")</f>
        <v>#NAME?</v>
      </c>
      <c r="F474" s="103"/>
      <c r="G474" s="104"/>
      <c r="H474" s="104"/>
      <c r="I474" s="103" t="str">
        <f t="shared" si="26"/>
        <v/>
      </c>
      <c r="J474" s="102" t="str">
        <f>IF(A474="","",SUM(
COUNTIFS('QA Log'!D:D,A474,'QA Log'!M:M,"QQC",'QA Log'!L:L,"*1. General Management*"),
COUNTIFS('QA Log'!D:D,A474,'QA Log'!M:M,"QQC",'QA Log'!L:L,"*3. Curative Consultation (OPD)*"),
COUNTIFS('QA Log'!D:D,A474,'QA Log'!M:M,"QQC",'QA Log'!L:L,"*5. Laboratory*"),
COUNTIFS('QA Log'!D:D,A474,'QA Log'!M:M,"QQC",'QA Log'!L:L,"*6. Essential Medicine Management*"),
COUNTIFS('QA Log'!D:D,A474,'QA Log'!M:M,"QQC",'QA Log'!L:L,"*7. Tracer Medicine*"),
COUNTIFS('QA Log'!D:D,A474,'QA Log'!M:M,"QQC",'QA Log'!L:L,"*11. Additional Questions*")))</f>
        <v/>
      </c>
      <c r="K474" s="102" t="str">
        <f>IF(A474="","",SUM(
COUNTIFS('QA Log'!D:D,A474,'QA Log'!M:M,"QQC",'QA Log'!Z:Z,"Approved",'QA Log'!L:L,"*1. General Management*"),
COUNTIFS('QA Log'!D:D,A474,'QA Log'!M:M,"QQC",'QA Log'!Z:Z,"Approved",'QA Log'!L:L,"*3. Curative Consultation (OPD)*"),
COUNTIFS('QA Log'!D:D,A474,'QA Log'!M:M,"QQC",'QA Log'!Z:Z,"Approved",'QA Log'!L:L,"*5. Laboratory*"),
COUNTIFS('QA Log'!D:D,A474,'QA Log'!M:M,"QQC",'QA Log'!Z:Z,"Approved",'QA Log'!L:L,"*6. Essential Medicine Management*"),
COUNTIFS('QA Log'!D:D,A474,'QA Log'!M:M,"QQC",'QA Log'!Z:Z,"Approved",'QA Log'!L:L,"*7. Tracer Medicine*"),
COUNTIFS('QA Log'!D:D,A474,'QA Log'!M:M,"QQC",'QA Log'!Z:Z,"Approved",'QA Log'!L:L,"*11. Additional Questions*")))</f>
        <v/>
      </c>
      <c r="L474" s="102" t="str">
        <f>IF(A474&lt;&gt;"",COUNTIFS('QA Log'!D:D,A474,'QA Log'!M:M,"QQC",'QA Log'!L:L,"1. General Management",'QA Log'!Z:Z,"Approved"),"")</f>
        <v/>
      </c>
      <c r="M474" s="102" t="str">
        <f>IF(A474&lt;&gt;"",COUNTIFS('QA Log'!D:D,A474,'QA Log'!M:M,"QQC",'QA Log'!L:L,"3. Curative Consultation (OPD)",'QA Log'!Z:Z,"Approved"),"")</f>
        <v/>
      </c>
      <c r="N474" s="102" t="str">
        <f>IF(A474&lt;&gt;"",COUNTIFS('QA Log'!D:D,A474,'QA Log'!M:M,"QQC",'QA Log'!L:L,"5. Laboratory",'QA Log'!Z:Z,"Approved"),"")</f>
        <v/>
      </c>
      <c r="O474" s="102" t="str">
        <f>IF(A474&lt;&gt;"",COUNTIFS('QA Log'!D:D,A474,'QA Log'!M:M,"QQC",'QA Log'!L:L,"6. Essential Medicine Management",'QA Log'!Z:Z,"Approved"),"")</f>
        <v/>
      </c>
      <c r="P474" s="102" t="str">
        <f>IF(A474&lt;&gt;"",COUNTIFS('QA Log'!D:D,A474,'QA Log'!M:M,"QQC",'QA Log'!L:L,"7. Tracer Medicine",'QA Log'!Z:Z,"Approved"),"")</f>
        <v/>
      </c>
      <c r="Q474" s="102" t="str">
        <f>IF(A474&lt;&gt;"",COUNTIFS('QA Log'!D:D,A474,'QA Log'!M:M,"QQC",'QA Log'!L:L,"11. Additional Questions",'QA Log'!Z:Z,"Approved"),"")</f>
        <v/>
      </c>
      <c r="R474" s="102" t="str">
        <f>IF(A474="","",SUM(
COUNTIFS('QA Log'!D:D,A474,'QA Log'!M:M,"QQC",'QA Log'!Z:Z,"Rejected",'QA Log'!L:L,"*8. Maternity*"),
COUNTIFS('QA Log'!D:D,A474,'QA Log'!M:M,"QQC",'QA Log'!Z:Z,"Rejected",'QA Log'!L:L,"*EPI*"),
COUNTIFS('QA Log'!D:D,A474,'QA Log'!M:M,"QQC",'QA Log'!Z:Z,"Rejected",'QA Log'!L:L,"*10. Antenatal Care (ANC)*"),
COUNTIFS('QA Log'!D:D,A474,'QA Log'!M:M,"QQC",'QA Log'!Z:Z,"Rejected",'QA Log'!L:L,"*2. Hygiene and Sterilization*"),
COUNTIFS('QA Log'!D:D,A474,'QA Log'!M:M,"QQC",'QA Log'!Z:Z,"Rejected",'QA Log'!L:L,"*Family Planning*")))</f>
        <v/>
      </c>
      <c r="S474" s="106" t="str">
        <f t="shared" si="27"/>
        <v/>
      </c>
      <c r="T474" s="102" t="str">
        <f t="shared" si="28"/>
        <v/>
      </c>
      <c r="U474" s="102" t="str">
        <f>IF(A474="","",
SUM(
COUNTIFS('QA Log'!D:D,A474,'QA Log'!M:M,"QQC",'QA Log'!L:L,"*8. Maternity*"),
COUNTIFS('QA Log'!D:D,A474,'QA Log'!M:M,"QQC",'QA Log'!L:L,"*9. EPI and Pre-school Consultation*"),
COUNTIFS('QA Log'!D:D,A474,'QA Log'!M:M,"QQC",'QA Log'!L:L,"*10. Antenatal Care (ANC)*"),
COUNTIFS('QA Log'!D:D,A474,'QA Log'!M:M,"QQC",'QA Log'!L:L,"*2. Hygiene and Sterilization*"),
COUNTIFS('QA Log'!D:D,A474,'QA Log'!M:M,"QQC",'QA Log'!L:L,"*4. Family Planning*")
))</f>
        <v/>
      </c>
      <c r="V474" s="102" t="str">
        <f>IF(A474="","",
SUM(
COUNTIFS('QA Log'!D:D,A474,'QA Log'!M:M,"QQC",'QA Log'!Z:Z,"Approved",'QA Log'!L:L,"*8. Maternity*"),
COUNTIFS('QA Log'!D:D,A474,'QA Log'!M:M,"QQC",'QA Log'!Z:Z,"Approved",'QA Log'!L:L,"*9. EPI and Pre-school Consultation*"),
COUNTIFS('QA Log'!D:D,A474,'QA Log'!M:M,"QQC",'QA Log'!Z:Z,"Approved",'QA Log'!L:L,"*10. Antenatal Care (ANC)*"),
COUNTIFS('QA Log'!D:D,A474,'QA Log'!M:M,"QQC",'QA Log'!Z:Z,"Approved",'QA Log'!L:L,"*2. Hygiene and Sterilization*"),
COUNTIFS('QA Log'!D:D,A474,'QA Log'!M:M,"QQC",'QA Log'!Z:Z,"Approved",'QA Log'!L:L,"*4. Family Planning*")
))</f>
        <v/>
      </c>
      <c r="W474" s="102" t="str">
        <f>IF(A474&lt;&gt;"",COUNTIFS('QA Log'!D:D,A474,'QA Log'!M:M,"QQC",'QA Log'!L:L,"8. Maternity",'QA Log'!Z:Z,"Approved"),"")</f>
        <v/>
      </c>
      <c r="X474" s="105" t="str">
        <f>IF(A474&lt;&gt;"",COUNTIFS('QA Log'!D:D,A474,'QA Log'!M:M,"QQC",'QA Log'!L:L,"9. EPI and Pre-school Consultation",'QA Log'!Z:Z,"Approved"),"")</f>
        <v/>
      </c>
      <c r="Y474" s="102" t="str">
        <f>IF(A474&lt;&gt;"",COUNTIFS('QA Log'!D:D,A474,'QA Log'!M:M,"QQC",'QA Log'!L:L,"10. Antenatal Care (ANC)",'QA Log'!Z:Z,"Approved"),"")</f>
        <v/>
      </c>
      <c r="Z474" s="102" t="str">
        <f>IF(A474&lt;&gt;"",COUNTIFS('QA Log'!D:D,A474,'QA Log'!M:M,"QQC",'QA Log'!L:L,"2. Hygiene and Sterilization",'QA Log'!Z:Z,"Approved"),"")</f>
        <v/>
      </c>
      <c r="AA474" s="105" t="str">
        <f>IF(A474&lt;&gt;"",COUNTIFS('QA Log'!D:D,A474,'QA Log'!M:M,"QQC",'QA Log'!L:L,"4. Family Planning",'QA Log'!Z:Z,"Approved"),"")</f>
        <v/>
      </c>
      <c r="AB474" s="102" t="str">
        <f>IF(A474="","",
SUM(
COUNTIFS('QA Log'!D:D,A474,'QA Log'!M:M,"QQC",'QA Log'!Z:Z,"Rejected",'QA Log'!L:L,"*8. Maternity*"),
COUNTIFS('QA Log'!D:D,A474,'QA Log'!M:M,"QQC",'QA Log'!Z:Z,"Rejected",'QA Log'!L:L,"*9. EPI and Pre-school Consultation*"),
COUNTIFS('QA Log'!D:D,A474,'QA Log'!M:M,"QQC",'QA Log'!Z:Z,"Rejected",'QA Log'!L:L,"*10. Antenatal Care (ANC)*"),
COUNTIFS('QA Log'!D:D,A474,'QA Log'!M:M,"QQC",'QA Log'!Z:Z,"Rejected",'QA Log'!L:L,"*2. Hygiene and Sterilization*"),
COUNTIFS('QA Log'!D:D,A474,'QA Log'!M:M,"QQC",'QA Log'!Z:Z,"Rejected",'QA Log'!L:L,"*4. Family Planning*")
))</f>
        <v/>
      </c>
      <c r="AC474" s="102" t="str">
        <f t="shared" si="29"/>
        <v/>
      </c>
      <c r="AD474" s="103" t="str">
        <f t="shared" si="30"/>
        <v/>
      </c>
      <c r="AE474" s="102" t="str">
        <f>IF(A474="","",
SUM(
COUNTIFS('QA Log'!D:D,A474,'QA Log'!M:M,"Data Verification",'QA Log'!L:L,"*Medicine (section 2)*"),
COUNTIFS('QA Log'!D:D,A474,'QA Log'!M:M,"Data Verification",'QA Log'!L:L,"*Lab Testing Availability*"),
COUNTIFS('QA Log'!D:D,A474,'QA Log'!M:M,"Data Verification",'QA Log'!L:L,"*Other than P4P (section 6)*"),
COUNTIFS('QA Log'!D:D,A474,'QA Log'!M:M,"Data Verification",'QA Log'!L:L,"*Hospital Governance*")
))</f>
        <v/>
      </c>
      <c r="AF474" s="102" t="str">
        <f>IF(A474="","",
SUM(
COUNTIFS('QA Log'!D:D,A474,'QA Log'!M:M,"Data Verification",'QA Log'!Z:Z,"Approved",'QA Log'!L:L,"*Medicine (section 2)*"),
COUNTIFS('QA Log'!D:D,A474,'QA Log'!M:M,"Data Verification",'QA Log'!Z:Z,"Approved",'QA Log'!L:L,"*Lab Testing Availability*"),
COUNTIFS('QA Log'!D:D,A474,'QA Log'!M:M,"Data Verification",'QA Log'!Z:Z,"Approved",'QA Log'!L:L,"*Other than P4P (section 6)*"),
COUNTIFS('QA Log'!D:D,A474,'QA Log'!M:M,"Data Verification",'QA Log'!Z:Z,"Approved",'QA Log'!L:L,"*Hospital Governance*")
))</f>
        <v/>
      </c>
      <c r="AG474" s="105" t="str">
        <f>IF(A474&lt;&gt;"",COUNTIFS('QA Log'!D:D,A474,'QA Log'!M:M,"Data Verification",'QA Log'!L:L,"Medicine (section 2)",'QA Log'!Z:Z,"Approved"),"")</f>
        <v/>
      </c>
      <c r="AH474" s="105" t="str">
        <f>IF(A474&lt;&gt;"",COUNTIFS('QA Log'!D:D,A474,'QA Log'!M:M,"Data Verification",'QA Log'!L:L,"Lab Testing Availability",'QA Log'!Z:Z,"Approved"),"")</f>
        <v/>
      </c>
      <c r="AI474" s="105" t="str">
        <f>IF(A474&lt;&gt;"",COUNTIFS('QA Log'!D:D,A474,'QA Log'!M:M,"Data Verification",'QA Log'!L:L,"Other than P4P (section 6)",'QA Log'!Z:Z,"Approved"),"")</f>
        <v/>
      </c>
      <c r="AJ474" s="105" t="str">
        <f>IF(A474&lt;&gt;"",COUNTIFS('QA Log'!D:D,A474,'QA Log'!M:M,"Data Verification",'QA Log'!L:L,"Hospital Governance",'QA Log'!Z:Z,"Approved"),"")</f>
        <v/>
      </c>
      <c r="AK474" s="102" t="str">
        <f>IF(A474="","",
SUM(
COUNTIFS('QA Log'!D:D,A474,'QA Log'!M:M,"Data Verification",'QA Log'!Z:Z,"Rejected",'QA Log'!L:L,"*Medicine (section 2)*"),
COUNTIFS('QA Log'!D:D,A474,'QA Log'!M:M,"Data Verification",'QA Log'!Z:Z,"Rejected",'QA Log'!L:L,"*Lab Testing Availability*"),
COUNTIFS('QA Log'!D:D,A474,'QA Log'!M:M,"Data Verification",'QA Log'!Z:Z,"Rejected",'QA Log'!L:L,"*Other than P4P (section 6)*"),
COUNTIFS('QA Log'!D:D,A474,'QA Log'!M:M,"Data Verification",'QA Log'!Z:Z,"Rejected",'QA Log'!L:L,"*Hospital Governance*")
))</f>
        <v/>
      </c>
      <c r="AL474" s="106" t="str">
        <f t="shared" si="31"/>
        <v/>
      </c>
      <c r="AM474" s="102" t="str">
        <f t="shared" si="32"/>
        <v/>
      </c>
      <c r="AN474" s="102" t="str">
        <f>IF(A474="","",
SUM(
COUNTIFS('QA Log'!D:D,A474,'QA Log'!M:M,"Data Verification",'QA Log'!L:L,"*Personnel (section 1)*"),
COUNTIFS('QA Log'!D:D,A474,'QA Log'!M:M,"Data Verification",'QA Log'!L:L,"*Consumable (section 3)*"),
COUNTIFS('QA Log'!D:D,A474,'QA Log'!M:M,"Data Verification",'QA Log'!L:L,"*Equipments (section 4)*")
))</f>
        <v/>
      </c>
      <c r="AO474" s="102" t="str">
        <f>IF(A474="","",
SUM(
COUNTIFS('QA Log'!D:D,A474,'QA Log'!M:M,"Data Verification",'QA Log'!Z:Z,"Approved",'QA Log'!L:L,"*Personnel (section 1)*"),
COUNTIFS('QA Log'!D:D,A474,'QA Log'!M:M,"Data Verification",'QA Log'!Z:Z,"Approved",'QA Log'!L:L,"*Consumable (section 3)*"),
COUNTIFS('QA Log'!D:D,A474,'QA Log'!M:M,"Data Verification",'QA Log'!Z:Z,"Approved",'QA Log'!L:L,"*Equipments (section 4)*")
))</f>
        <v/>
      </c>
      <c r="AP474" s="105" t="str">
        <f>IF(A474&lt;&gt;"",COUNTIFS('QA Log'!D:D,A474,'QA Log'!M:M,"Data Verification",'QA Log'!L:L,"Personnel (section 1)",'QA Log'!Z:Z,"Approved"),"")</f>
        <v/>
      </c>
      <c r="AQ474" s="105" t="str">
        <f>IF(A474&lt;&gt;"",COUNTIFS('QA Log'!D:D,A474,'QA Log'!M:M,"Data Verification",'QA Log'!L:L,"Consumable (section 3)",'QA Log'!Z:Z,"Approved"),"")</f>
        <v/>
      </c>
      <c r="AR474" s="105" t="str">
        <f>IF(A474&lt;&gt;"",COUNTIFS('QA Log'!D:D,A474,'QA Log'!M:M,"Data Verification",'QA Log'!L:L,"Equipments (section 4)",'QA Log'!Z:Z,"Approved"),"")</f>
        <v/>
      </c>
      <c r="AS474" s="102" t="str">
        <f>IF(A474="","",
SUM(
COUNTIFS('QA Log'!D:D,A474,'QA Log'!M:M,"Data Verification",'QA Log'!Z:Z,"Rejected",'QA Log'!L:L,"*Personnel (section 1)*"),
COUNTIFS('QA Log'!D:D,A474,'QA Log'!M:M,"Data Verification",'QA Log'!Z:Z,"Rejected",'QA Log'!L:L,"*Consumable (section 3)*"),
COUNTIFS('QA Log'!D:D,A474,'QA Log'!M:M,"Data Verification",'QA Log'!Z:Z,"Rejected",'QA Log'!L:L,"*Equipments (section 4)*")
))</f>
        <v/>
      </c>
      <c r="AT474" s="102" t="str">
        <f t="shared" si="33"/>
        <v/>
      </c>
      <c r="AU474" s="103" t="str">
        <f t="shared" si="34"/>
        <v/>
      </c>
      <c r="AV474" s="102" t="str">
        <f>IF(A474="","",SUM(
COUNTIFS('QA Log'!D:D,A474,'QA Log'!M:M,"Vignette",'QA Log'!L:L,"*Vignette [1] Respiratory Infection: Pneumonia*"),
COUNTIFS('QA Log'!D:D,A474,'QA Log'!M:M,"Vignette",'QA Log'!L:L,"*Vignette [2]: Diarrhea with Cat B dehydration*"),
COUNTIFS('QA Log'!D:D,A474,'QA Log'!M:M,"Vignette",'QA Log'!L:L,"*Vignette [3] Growth Monitoring and Promotion*"),
COUNTIFS('QA Log'!D:D,A474,'QA Log'!M:M,"Vignette",'QA Log'!L:L,"*Vignette [4]: The management of presumptive TB patient*")
)
)</f>
        <v/>
      </c>
      <c r="AW474" s="102" t="str">
        <f>IF(
  A474="","",
  SUM(
    COUNTIFS('QA Log'!D:D,A474,'QA Log'!M:M,"Vignette",'QA Log'!Z:Z,"Approved",'QA Log'!L:L,"*Vignette [1] Respiratory Infection: Pneumonia*"),
    COUNTIFS('QA Log'!D:D,A474,'QA Log'!M:M,"Vignette",'QA Log'!Z:Z,"Approved",'QA Log'!L:L,"*Vignette [2]: Diarrhea with Cat B dehydration*"),
    COUNTIFS('QA Log'!D:D,A474,'QA Log'!M:M,"Vignette",'QA Log'!Z:Z,"Approved",'QA Log'!L:L,"*Vignette [3] Growth Monitoring and Promotion*"),
    COUNTIFS('QA Log'!D:D,A474,'QA Log'!M:M,"Vignette",'QA Log'!Z:Z,"Approved",'QA Log'!L:L,"*Vignette [4]: The management of presumptive TB patient*")
  )
)</f>
        <v/>
      </c>
      <c r="AX474" s="105" t="str">
        <f>IF(A474&lt;&gt;"",COUNTIFS('QA Log'!D:D,A474,'QA Log'!M:M,"Vignette",'QA Log'!L:L,"Vignette [1] Respiratory Infection: Pneumonia",'QA Log'!Z:Z,"Approved"),"")</f>
        <v/>
      </c>
      <c r="AY474" s="105" t="str">
        <f>IF(A474&lt;&gt;"",COUNTIFS('QA Log'!D:D,A474,'QA Log'!M:M,"Vignette",'QA Log'!L:L,"Vignette [2]: Diarrhea with Cat B dehydration",'QA Log'!Z:Z,"Approved"),"")</f>
        <v/>
      </c>
      <c r="AZ474" s="105" t="str">
        <f>IF(A474&lt;&gt;"",COUNTIFS('QA Log'!D:D,A474,'QA Log'!M:M,"Vignette",'QA Log'!L:L,"Vignette [3] Growth Monitoring and Promotion",'QA Log'!Z:Z,"Approved"),"")</f>
        <v/>
      </c>
      <c r="BA474" s="105" t="str">
        <f>IF(A474&lt;&gt;"",COUNTIFS('QA Log'!D:D,A474,'QA Log'!M:M,"Vignette",'QA Log'!L:L,"Vignette [4]: The management of presumptive TB patient",'QA Log'!Z:Z,"Approved"),"")</f>
        <v/>
      </c>
      <c r="BB474" s="102" t="str">
        <f>IF(A474="","",
  SUM(
    COUNTIFS('QA Log'!D:D,A474,'QA Log'!M:M,"Vignette",'QA Log'!Z:Z,"Rejected",'QA Log'!L:L,"*Vignette [1] Respiratory Infection: Pneumonia*"),
    COUNTIFS('QA Log'!D:D,A474,'QA Log'!M:M,"Vignette",'QA Log'!Z:Z,"Rejected",'QA Log'!L:L,"*Vignette [2]: Diarrhea with Cat B dehydration*"),
    COUNTIFS('QA Log'!D:D,A474,'QA Log'!M:M,"Vignette",'QA Log'!Z:Z,"Rejected",'QA Log'!L:L,"*Vignette [3] Growth Monitoring and Promotion*"),
    COUNTIFS('QA Log'!D:D,A474,'QA Log'!M:M,"Vignette",'QA Log'!Z:Z,"Rejected",'QA Log'!L:L,"*Vignette [4]: The management of presumptive TB patient*")
  )
)</f>
        <v/>
      </c>
      <c r="BC474" s="107" t="str">
        <f t="shared" si="35"/>
        <v/>
      </c>
      <c r="BD474" s="103" t="str">
        <f t="shared" si="36"/>
        <v/>
      </c>
      <c r="BE474" s="102" t="str">
        <f>IF(A474="","",SUM(
COUNTIFS('QA Log'!D:D,A474,'QA Log'!M:M,"Vignette",'QA Log'!L:L,"*Vignette [5] Labor*"),
COUNTIFS('QA Log'!D:D,A474,'QA Log'!M:M,"Vignette",'QA Log'!L:L,"*Vignette [6] PNC pre Discharge*"),
COUNTIFS('QA Log'!D:D,A474,'QA Log'!M:M,"Vignette",'QA Log'!L:L,"*Vignette [7] First ANC Visit*"),
COUNTIFS('QA Log'!D:D,A474,'QA Log'!M:M,"Vignette",'QA Log'!L:L,"*Vignette [8] Birth Spacing/ Family Planning :  FP Counselling*"),
COUNTIFS('QA Log'!D:D,A474,'QA Log'!M:M,"Vignette",'QA Log'!L:L,"*Vignette [9] Birth Spacing: Change FP method to Injectable*"),
COUNTIFS('QA Log'!D:D,A474,'QA Log'!M:M,"Vignette",'QA Log'!L:L,"*Vignette [10] Post Partum Haemorrhage - Atonic Uterus at Health Centre*"),
)
)</f>
        <v/>
      </c>
      <c r="BF474" s="102" t="str">
        <f>IF(A474="","",
  SUM(
    COUNTIFS('QA Log'!D:D,A474,'QA Log'!M:M,"Vignette",'QA Log'!Z:Z,"Approved",'QA Log'!L:L,"*Vignette [5] Labor*"),
    COUNTIFS('QA Log'!D:D,A474,'QA Log'!M:M,"Vignette",'QA Log'!Z:Z,"Approved",'QA Log'!L:L,"*Vignette [6] PNC pre Discharge*"),
    COUNTIFS('QA Log'!D:D,A474,'QA Log'!M:M,"Vignette",'QA Log'!Z:Z,"Approved",'QA Log'!L:L,"*Vignette [7] First ANC Visit*"),
    COUNTIFS('QA Log'!D:D,A474,'QA Log'!M:M,"Vignette",'QA Log'!Z:Z,"Approved",'QA Log'!L:L,"*Vignette [8] Birth Spacing/ Family Planning :  FP Counselling*"),
    COUNTIFS('QA Log'!D:D,A474,'QA Log'!M:M,"Vignette",'QA Log'!Z:Z,"Approved",'QA Log'!L:L,"*Vignette [9] Birth Spacing: Change FP method to Injectable*"),
    COUNTIFS('QA Log'!D:D,A474,'QA Log'!M:M,"Vignette",'QA Log'!Z:Z,"Approved",'QA Log'!L:L,"*Vignette [10] Post Partum Haemorrhage - Atonic Uterus at Health Centre*")
  )
)</f>
        <v/>
      </c>
      <c r="BG474" s="105" t="str">
        <f>IF(A474&lt;&gt;"",COUNTIFS('QA Log'!D:D,A474,'QA Log'!M:M,"Vignette",'QA Log'!L:L,"Vignette [5] Labor",'QA Log'!Z:Z,"Approved"),"")</f>
        <v/>
      </c>
      <c r="BH474" s="105" t="str">
        <f>IF(A474&lt;&gt;"",COUNTIFS('QA Log'!D:D,A474,'QA Log'!M:M,"Vignette",'QA Log'!L:L,"Vignette [6] PNC pre Discharge",'QA Log'!Z:Z,"Approved"),"")</f>
        <v/>
      </c>
      <c r="BI474" s="105" t="str">
        <f>IF(A474&lt;&gt;"",COUNTIFS('QA Log'!D:D,A474,'QA Log'!M:M,"Vignette",'QA Log'!L:L,"Vignette [7] First ANC Visit",'QA Log'!Z:Z,"Approved"),"")</f>
        <v/>
      </c>
      <c r="BJ474" s="105" t="str">
        <f>IF(A474&lt;&gt;"",COUNTIFS('QA Log'!D:D,A474,'QA Log'!M:M,"Vignette",'QA Log'!L:L,"Vignette [8] Birth Spacing/ Family Planning :  FP Counselling",'QA Log'!Z:Z,"Approved"),"")</f>
        <v/>
      </c>
      <c r="BK474" s="105" t="str">
        <f>IF(A474&lt;&gt;"",COUNTIFS('QA Log'!D:D,A474,'QA Log'!M:M,"Vignette",'QA Log'!L:L,"Vignette [9] Birth Spacing: Change FP method to Injectable",'QA Log'!Z:Z,"Approved"),"")</f>
        <v/>
      </c>
      <c r="BL474" s="105" t="str">
        <f>IF(A474&lt;&gt;"",COUNTIFS('QA Log'!D:D,A474,'QA Log'!M:M,"Vignette",'QA Log'!L:L,"Vignette [10] Post Partum Haemorrhage - Atonic Uterus at Health Centre",'QA Log'!Z:Z,"Approved"),"")</f>
        <v/>
      </c>
      <c r="BM474" s="102" t="str">
        <f>IF(A474="","",SUM(
    COUNTIFS('QA Log'!D:D,A474,'QA Log'!M:M,"Vignette",'QA Log'!Z:Z,"Rejected",'QA Log'!L:L,"*Vignette [5] Labor*"),
    COUNTIFS('QA Log'!D:D,A474,'QA Log'!M:M,"Vignette",'QA Log'!Z:Z,"Rejected",'QA Log'!L:L,"*Vignette [6] PNC pre Discharge*"),
    COUNTIFS('QA Log'!D:D,A474,'QA Log'!M:M,"Vignette",'QA Log'!Z:Z,"Rejected",'QA Log'!L:L,"*Vignette [7] First ANC Visit*"),
    COUNTIFS('QA Log'!D:D,A474,'QA Log'!M:M,"Vignette",'QA Log'!Z:Z,"Rejected",'QA Log'!L:L,"*Vignette [8] Birth Spacing/ Family Planning :  FP Counselling*"),
    COUNTIFS('QA Log'!D:D,A474,'QA Log'!M:M,"Vignette",'QA Log'!Z:Z,"Rejected",'QA Log'!L:L,"*Vignette [9] Birth Spacing: Change FP method to Injectable*"),
    COUNTIFS('QA Log'!D:D,A474,'QA Log'!M:M,"Vignette",'QA Log'!Z:Z,"Rejected",'QA Log'!L:L,"*Vignette [10] Post Partum Haemorrhage - Atonic Uterus at Health Centre*")
  )
)</f>
        <v/>
      </c>
      <c r="BN474" s="107" t="str">
        <f t="shared" si="37"/>
        <v/>
      </c>
      <c r="BO474" s="103" t="str">
        <f t="shared" si="38"/>
        <v/>
      </c>
      <c r="BP474" s="102" t="str">
        <f>IF(A474="","",SUM(
COUNTIFS('QA Log'!D:D,A474,'QA Log'!M:M,"Vignette",'QA Log'!L:L,"*Exit Interview 1*"),
COUNTIFS('QA Log'!D:D,A474,'QA Log'!M:M,"Vignette",'QA Log'!L:L,"*Exit Interview 2*"),
)
)</f>
        <v/>
      </c>
      <c r="BQ474" s="102" t="str">
        <f>IF(
  A474="","",
  SUM(
    COUNTIFS('QA Log'!D:D,A474,'QA Log'!M:M,"Vignette",'QA Log'!Z:Z,"Approved",'QA Log'!L:L,"*Exit Interview 1*"),
    COUNTIFS('QA Log'!D:D,A474,'QA Log'!M:M,"Vignette",'QA Log'!Z:Z,"Approved",'QA Log'!L:L,"*Exit Interview 2*")
  )
)</f>
        <v/>
      </c>
      <c r="BR474" s="105" t="str">
        <f>IF(A474&lt;&gt;"",COUNTIFS('QA Log'!D:D,A474,'QA Log'!M:M,"Vignette",'QA Log'!L:L,"Exit Interview 1",'QA Log'!Z:Z,"Approved"),"")</f>
        <v/>
      </c>
      <c r="BS474" s="105" t="str">
        <f>IF(A474&lt;&gt;"",COUNTIFS('QA Log'!D:D,A474,'QA Log'!M:M,"Vignette",'QA Log'!L:L,"Exit Interview 2",'QA Log'!Z:Z,"Approved"),"")</f>
        <v/>
      </c>
      <c r="BT474" s="102" t="str">
        <f>IF(
  A474="","",
  SUM(
    COUNTIFS('QA Log'!D:D,A474,'QA Log'!M:M,"Vignette",'QA Log'!Z:Z,"Rejected",'QA Log'!L:L,"*Exit Interview 1*"),
    COUNTIFS('QA Log'!D:D,A474,'QA Log'!M:M,"Vignette",'QA Log'!Z:Z,"Rejected",'QA Log'!L:L,"*Exit Interview 2*")
  )
)</f>
        <v/>
      </c>
      <c r="BU474" s="107" t="str">
        <f t="shared" si="39"/>
        <v/>
      </c>
      <c r="BV474" s="102" t="str">
        <f t="shared" si="40"/>
        <v/>
      </c>
      <c r="BW474" s="102" t="str">
        <f t="shared" si="41"/>
        <v/>
      </c>
      <c r="BX474" s="102" t="str">
        <f t="shared" si="42"/>
        <v/>
      </c>
      <c r="BY474" s="102" t="str">
        <f t="shared" si="43"/>
        <v/>
      </c>
      <c r="BZ474" s="107" t="str">
        <f t="shared" si="44"/>
        <v/>
      </c>
      <c r="CA474" s="108" t="str">
        <f t="shared" si="45"/>
        <v/>
      </c>
      <c r="CB474" s="108" t="str">
        <f t="shared" si="46"/>
        <v/>
      </c>
      <c r="CC474" s="109" t="str">
        <f t="shared" si="47"/>
        <v/>
      </c>
      <c r="CD474" s="108" t="str">
        <f t="shared" si="48"/>
        <v/>
      </c>
      <c r="CE474" s="108" t="str">
        <f t="shared" si="49"/>
        <v/>
      </c>
      <c r="CF474" s="109" t="str">
        <f t="shared" si="50"/>
        <v/>
      </c>
      <c r="CG474" s="110" t="str">
        <f t="shared" si="51"/>
        <v/>
      </c>
      <c r="CH474" s="111"/>
    </row>
    <row r="475" spans="1:86" ht="12.75">
      <c r="A475" s="101"/>
      <c r="B475" s="102" t="e">
        <f t="array" aca="1" ref="B475" ca="1">_xludf.XLOOKUP(A475,'QA Log'!D:D,'QA Log'!E:E,"")</f>
        <v>#NAME?</v>
      </c>
      <c r="C475" s="102" t="e">
        <f t="array" aca="1" ref="C475" ca="1">_xludf.XLOOKUP(A475,'QA Log'!D:D,'QA Log'!F:F,"")</f>
        <v>#NAME?</v>
      </c>
      <c r="D475" s="102" t="e">
        <f t="array" aca="1" ref="D475" ca="1">_xludf.XLOOKUP(A475,'QA Log'!D:D,'QA Log'!H:H,"")</f>
        <v>#NAME?</v>
      </c>
      <c r="E475" s="102" t="e">
        <f t="array" aca="1" ref="E475" ca="1">_xludf.XLOOKUP(A475,'QA Log'!D:D,'QA Log'!G:G,"")</f>
        <v>#NAME?</v>
      </c>
      <c r="F475" s="103"/>
      <c r="G475" s="104"/>
      <c r="H475" s="104"/>
      <c r="I475" s="103" t="str">
        <f t="shared" si="26"/>
        <v/>
      </c>
      <c r="J475" s="102" t="str">
        <f>IF(A475="","",SUM(
COUNTIFS('QA Log'!D:D,A475,'QA Log'!M:M,"QQC",'QA Log'!L:L,"*1. General Management*"),
COUNTIFS('QA Log'!D:D,A475,'QA Log'!M:M,"QQC",'QA Log'!L:L,"*3. Curative Consultation (OPD)*"),
COUNTIFS('QA Log'!D:D,A475,'QA Log'!M:M,"QQC",'QA Log'!L:L,"*5. Laboratory*"),
COUNTIFS('QA Log'!D:D,A475,'QA Log'!M:M,"QQC",'QA Log'!L:L,"*6. Essential Medicine Management*"),
COUNTIFS('QA Log'!D:D,A475,'QA Log'!M:M,"QQC",'QA Log'!L:L,"*7. Tracer Medicine*"),
COUNTIFS('QA Log'!D:D,A475,'QA Log'!M:M,"QQC",'QA Log'!L:L,"*11. Additional Questions*")))</f>
        <v/>
      </c>
      <c r="K475" s="102" t="str">
        <f>IF(A475="","",SUM(
COUNTIFS('QA Log'!D:D,A475,'QA Log'!M:M,"QQC",'QA Log'!Z:Z,"Approved",'QA Log'!L:L,"*1. General Management*"),
COUNTIFS('QA Log'!D:D,A475,'QA Log'!M:M,"QQC",'QA Log'!Z:Z,"Approved",'QA Log'!L:L,"*3. Curative Consultation (OPD)*"),
COUNTIFS('QA Log'!D:D,A475,'QA Log'!M:M,"QQC",'QA Log'!Z:Z,"Approved",'QA Log'!L:L,"*5. Laboratory*"),
COUNTIFS('QA Log'!D:D,A475,'QA Log'!M:M,"QQC",'QA Log'!Z:Z,"Approved",'QA Log'!L:L,"*6. Essential Medicine Management*"),
COUNTIFS('QA Log'!D:D,A475,'QA Log'!M:M,"QQC",'QA Log'!Z:Z,"Approved",'QA Log'!L:L,"*7. Tracer Medicine*"),
COUNTIFS('QA Log'!D:D,A475,'QA Log'!M:M,"QQC",'QA Log'!Z:Z,"Approved",'QA Log'!L:L,"*11. Additional Questions*")))</f>
        <v/>
      </c>
      <c r="L475" s="102" t="str">
        <f>IF(A475&lt;&gt;"",COUNTIFS('QA Log'!D:D,A475,'QA Log'!M:M,"QQC",'QA Log'!L:L,"1. General Management",'QA Log'!Z:Z,"Approved"),"")</f>
        <v/>
      </c>
      <c r="M475" s="102" t="str">
        <f>IF(A475&lt;&gt;"",COUNTIFS('QA Log'!D:D,A475,'QA Log'!M:M,"QQC",'QA Log'!L:L,"3. Curative Consultation (OPD)",'QA Log'!Z:Z,"Approved"),"")</f>
        <v/>
      </c>
      <c r="N475" s="102" t="str">
        <f>IF(A475&lt;&gt;"",COUNTIFS('QA Log'!D:D,A475,'QA Log'!M:M,"QQC",'QA Log'!L:L,"5. Laboratory",'QA Log'!Z:Z,"Approved"),"")</f>
        <v/>
      </c>
      <c r="O475" s="102" t="str">
        <f>IF(A475&lt;&gt;"",COUNTIFS('QA Log'!D:D,A475,'QA Log'!M:M,"QQC",'QA Log'!L:L,"6. Essential Medicine Management",'QA Log'!Z:Z,"Approved"),"")</f>
        <v/>
      </c>
      <c r="P475" s="102" t="str">
        <f>IF(A475&lt;&gt;"",COUNTIFS('QA Log'!D:D,A475,'QA Log'!M:M,"QQC",'QA Log'!L:L,"7. Tracer Medicine",'QA Log'!Z:Z,"Approved"),"")</f>
        <v/>
      </c>
      <c r="Q475" s="102" t="str">
        <f>IF(A475&lt;&gt;"",COUNTIFS('QA Log'!D:D,A475,'QA Log'!M:M,"QQC",'QA Log'!L:L,"11. Additional Questions",'QA Log'!Z:Z,"Approved"),"")</f>
        <v/>
      </c>
      <c r="R475" s="102" t="str">
        <f>IF(A475="","",SUM(
COUNTIFS('QA Log'!D:D,A475,'QA Log'!M:M,"QQC",'QA Log'!Z:Z,"Rejected",'QA Log'!L:L,"*8. Maternity*"),
COUNTIFS('QA Log'!D:D,A475,'QA Log'!M:M,"QQC",'QA Log'!Z:Z,"Rejected",'QA Log'!L:L,"*EPI*"),
COUNTIFS('QA Log'!D:D,A475,'QA Log'!M:M,"QQC",'QA Log'!Z:Z,"Rejected",'QA Log'!L:L,"*10. Antenatal Care (ANC)*"),
COUNTIFS('QA Log'!D:D,A475,'QA Log'!M:M,"QQC",'QA Log'!Z:Z,"Rejected",'QA Log'!L:L,"*2. Hygiene and Sterilization*"),
COUNTIFS('QA Log'!D:D,A475,'QA Log'!M:M,"QQC",'QA Log'!Z:Z,"Rejected",'QA Log'!L:L,"*Family Planning*")))</f>
        <v/>
      </c>
      <c r="S475" s="106" t="str">
        <f t="shared" si="27"/>
        <v/>
      </c>
      <c r="T475" s="102" t="str">
        <f t="shared" si="28"/>
        <v/>
      </c>
      <c r="U475" s="102" t="str">
        <f>IF(A475="","",
SUM(
COUNTIFS('QA Log'!D:D,A475,'QA Log'!M:M,"QQC",'QA Log'!L:L,"*8. Maternity*"),
COUNTIFS('QA Log'!D:D,A475,'QA Log'!M:M,"QQC",'QA Log'!L:L,"*9. EPI and Pre-school Consultation*"),
COUNTIFS('QA Log'!D:D,A475,'QA Log'!M:M,"QQC",'QA Log'!L:L,"*10. Antenatal Care (ANC)*"),
COUNTIFS('QA Log'!D:D,A475,'QA Log'!M:M,"QQC",'QA Log'!L:L,"*2. Hygiene and Sterilization*"),
COUNTIFS('QA Log'!D:D,A475,'QA Log'!M:M,"QQC",'QA Log'!L:L,"*4. Family Planning*")
))</f>
        <v/>
      </c>
      <c r="V475" s="102" t="str">
        <f>IF(A475="","",
SUM(
COUNTIFS('QA Log'!D:D,A475,'QA Log'!M:M,"QQC",'QA Log'!Z:Z,"Approved",'QA Log'!L:L,"*8. Maternity*"),
COUNTIFS('QA Log'!D:D,A475,'QA Log'!M:M,"QQC",'QA Log'!Z:Z,"Approved",'QA Log'!L:L,"*9. EPI and Pre-school Consultation*"),
COUNTIFS('QA Log'!D:D,A475,'QA Log'!M:M,"QQC",'QA Log'!Z:Z,"Approved",'QA Log'!L:L,"*10. Antenatal Care (ANC)*"),
COUNTIFS('QA Log'!D:D,A475,'QA Log'!M:M,"QQC",'QA Log'!Z:Z,"Approved",'QA Log'!L:L,"*2. Hygiene and Sterilization*"),
COUNTIFS('QA Log'!D:D,A475,'QA Log'!M:M,"QQC",'QA Log'!Z:Z,"Approved",'QA Log'!L:L,"*4. Family Planning*")
))</f>
        <v/>
      </c>
      <c r="W475" s="102" t="str">
        <f>IF(A475&lt;&gt;"",COUNTIFS('QA Log'!D:D,A475,'QA Log'!M:M,"QQC",'QA Log'!L:L,"8. Maternity",'QA Log'!Z:Z,"Approved"),"")</f>
        <v/>
      </c>
      <c r="X475" s="105" t="str">
        <f>IF(A475&lt;&gt;"",COUNTIFS('QA Log'!D:D,A475,'QA Log'!M:M,"QQC",'QA Log'!L:L,"9. EPI and Pre-school Consultation",'QA Log'!Z:Z,"Approved"),"")</f>
        <v/>
      </c>
      <c r="Y475" s="102" t="str">
        <f>IF(A475&lt;&gt;"",COUNTIFS('QA Log'!D:D,A475,'QA Log'!M:M,"QQC",'QA Log'!L:L,"10. Antenatal Care (ANC)",'QA Log'!Z:Z,"Approved"),"")</f>
        <v/>
      </c>
      <c r="Z475" s="102" t="str">
        <f>IF(A475&lt;&gt;"",COUNTIFS('QA Log'!D:D,A475,'QA Log'!M:M,"QQC",'QA Log'!L:L,"2. Hygiene and Sterilization",'QA Log'!Z:Z,"Approved"),"")</f>
        <v/>
      </c>
      <c r="AA475" s="105" t="str">
        <f>IF(A475&lt;&gt;"",COUNTIFS('QA Log'!D:D,A475,'QA Log'!M:M,"QQC",'QA Log'!L:L,"4. Family Planning",'QA Log'!Z:Z,"Approved"),"")</f>
        <v/>
      </c>
      <c r="AB475" s="102" t="str">
        <f>IF(A475="","",
SUM(
COUNTIFS('QA Log'!D:D,A475,'QA Log'!M:M,"QQC",'QA Log'!Z:Z,"Rejected",'QA Log'!L:L,"*8. Maternity*"),
COUNTIFS('QA Log'!D:D,A475,'QA Log'!M:M,"QQC",'QA Log'!Z:Z,"Rejected",'QA Log'!L:L,"*9. EPI and Pre-school Consultation*"),
COUNTIFS('QA Log'!D:D,A475,'QA Log'!M:M,"QQC",'QA Log'!Z:Z,"Rejected",'QA Log'!L:L,"*10. Antenatal Care (ANC)*"),
COUNTIFS('QA Log'!D:D,A475,'QA Log'!M:M,"QQC",'QA Log'!Z:Z,"Rejected",'QA Log'!L:L,"*2. Hygiene and Sterilization*"),
COUNTIFS('QA Log'!D:D,A475,'QA Log'!M:M,"QQC",'QA Log'!Z:Z,"Rejected",'QA Log'!L:L,"*4. Family Planning*")
))</f>
        <v/>
      </c>
      <c r="AC475" s="102" t="str">
        <f t="shared" si="29"/>
        <v/>
      </c>
      <c r="AD475" s="103" t="str">
        <f t="shared" si="30"/>
        <v/>
      </c>
      <c r="AE475" s="102" t="str">
        <f>IF(A475="","",
SUM(
COUNTIFS('QA Log'!D:D,A475,'QA Log'!M:M,"Data Verification",'QA Log'!L:L,"*Medicine (section 2)*"),
COUNTIFS('QA Log'!D:D,A475,'QA Log'!M:M,"Data Verification",'QA Log'!L:L,"*Lab Testing Availability*"),
COUNTIFS('QA Log'!D:D,A475,'QA Log'!M:M,"Data Verification",'QA Log'!L:L,"*Other than P4P (section 6)*"),
COUNTIFS('QA Log'!D:D,A475,'QA Log'!M:M,"Data Verification",'QA Log'!L:L,"*Hospital Governance*")
))</f>
        <v/>
      </c>
      <c r="AF475" s="102" t="str">
        <f>IF(A475="","",
SUM(
COUNTIFS('QA Log'!D:D,A475,'QA Log'!M:M,"Data Verification",'QA Log'!Z:Z,"Approved",'QA Log'!L:L,"*Medicine (section 2)*"),
COUNTIFS('QA Log'!D:D,A475,'QA Log'!M:M,"Data Verification",'QA Log'!Z:Z,"Approved",'QA Log'!L:L,"*Lab Testing Availability*"),
COUNTIFS('QA Log'!D:D,A475,'QA Log'!M:M,"Data Verification",'QA Log'!Z:Z,"Approved",'QA Log'!L:L,"*Other than P4P (section 6)*"),
COUNTIFS('QA Log'!D:D,A475,'QA Log'!M:M,"Data Verification",'QA Log'!Z:Z,"Approved",'QA Log'!L:L,"*Hospital Governance*")
))</f>
        <v/>
      </c>
      <c r="AG475" s="105" t="str">
        <f>IF(A475&lt;&gt;"",COUNTIFS('QA Log'!D:D,A475,'QA Log'!M:M,"Data Verification",'QA Log'!L:L,"Medicine (section 2)",'QA Log'!Z:Z,"Approved"),"")</f>
        <v/>
      </c>
      <c r="AH475" s="105" t="str">
        <f>IF(A475&lt;&gt;"",COUNTIFS('QA Log'!D:D,A475,'QA Log'!M:M,"Data Verification",'QA Log'!L:L,"Lab Testing Availability",'QA Log'!Z:Z,"Approved"),"")</f>
        <v/>
      </c>
      <c r="AI475" s="105" t="str">
        <f>IF(A475&lt;&gt;"",COUNTIFS('QA Log'!D:D,A475,'QA Log'!M:M,"Data Verification",'QA Log'!L:L,"Other than P4P (section 6)",'QA Log'!Z:Z,"Approved"),"")</f>
        <v/>
      </c>
      <c r="AJ475" s="105" t="str">
        <f>IF(A475&lt;&gt;"",COUNTIFS('QA Log'!D:D,A475,'QA Log'!M:M,"Data Verification",'QA Log'!L:L,"Hospital Governance",'QA Log'!Z:Z,"Approved"),"")</f>
        <v/>
      </c>
      <c r="AK475" s="102" t="str">
        <f>IF(A475="","",
SUM(
COUNTIFS('QA Log'!D:D,A475,'QA Log'!M:M,"Data Verification",'QA Log'!Z:Z,"Rejected",'QA Log'!L:L,"*Medicine (section 2)*"),
COUNTIFS('QA Log'!D:D,A475,'QA Log'!M:M,"Data Verification",'QA Log'!Z:Z,"Rejected",'QA Log'!L:L,"*Lab Testing Availability*"),
COUNTIFS('QA Log'!D:D,A475,'QA Log'!M:M,"Data Verification",'QA Log'!Z:Z,"Rejected",'QA Log'!L:L,"*Other than P4P (section 6)*"),
COUNTIFS('QA Log'!D:D,A475,'QA Log'!M:M,"Data Verification",'QA Log'!Z:Z,"Rejected",'QA Log'!L:L,"*Hospital Governance*")
))</f>
        <v/>
      </c>
      <c r="AL475" s="106" t="str">
        <f t="shared" si="31"/>
        <v/>
      </c>
      <c r="AM475" s="102" t="str">
        <f t="shared" si="32"/>
        <v/>
      </c>
      <c r="AN475" s="102" t="str">
        <f>IF(A475="","",
SUM(
COUNTIFS('QA Log'!D:D,A475,'QA Log'!M:M,"Data Verification",'QA Log'!L:L,"*Personnel (section 1)*"),
COUNTIFS('QA Log'!D:D,A475,'QA Log'!M:M,"Data Verification",'QA Log'!L:L,"*Consumable (section 3)*"),
COUNTIFS('QA Log'!D:D,A475,'QA Log'!M:M,"Data Verification",'QA Log'!L:L,"*Equipments (section 4)*")
))</f>
        <v/>
      </c>
      <c r="AO475" s="102" t="str">
        <f>IF(A475="","",
SUM(
COUNTIFS('QA Log'!D:D,A475,'QA Log'!M:M,"Data Verification",'QA Log'!Z:Z,"Approved",'QA Log'!L:L,"*Personnel (section 1)*"),
COUNTIFS('QA Log'!D:D,A475,'QA Log'!M:M,"Data Verification",'QA Log'!Z:Z,"Approved",'QA Log'!L:L,"*Consumable (section 3)*"),
COUNTIFS('QA Log'!D:D,A475,'QA Log'!M:M,"Data Verification",'QA Log'!Z:Z,"Approved",'QA Log'!L:L,"*Equipments (section 4)*")
))</f>
        <v/>
      </c>
      <c r="AP475" s="105" t="str">
        <f>IF(A475&lt;&gt;"",COUNTIFS('QA Log'!D:D,A475,'QA Log'!M:M,"Data Verification",'QA Log'!L:L,"Personnel (section 1)",'QA Log'!Z:Z,"Approved"),"")</f>
        <v/>
      </c>
      <c r="AQ475" s="105" t="str">
        <f>IF(A475&lt;&gt;"",COUNTIFS('QA Log'!D:D,A475,'QA Log'!M:M,"Data Verification",'QA Log'!L:L,"Consumable (section 3)",'QA Log'!Z:Z,"Approved"),"")</f>
        <v/>
      </c>
      <c r="AR475" s="105" t="str">
        <f>IF(A475&lt;&gt;"",COUNTIFS('QA Log'!D:D,A475,'QA Log'!M:M,"Data Verification",'QA Log'!L:L,"Equipments (section 4)",'QA Log'!Z:Z,"Approved"),"")</f>
        <v/>
      </c>
      <c r="AS475" s="102" t="str">
        <f>IF(A475="","",
SUM(
COUNTIFS('QA Log'!D:D,A475,'QA Log'!M:M,"Data Verification",'QA Log'!Z:Z,"Rejected",'QA Log'!L:L,"*Personnel (section 1)*"),
COUNTIFS('QA Log'!D:D,A475,'QA Log'!M:M,"Data Verification",'QA Log'!Z:Z,"Rejected",'QA Log'!L:L,"*Consumable (section 3)*"),
COUNTIFS('QA Log'!D:D,A475,'QA Log'!M:M,"Data Verification",'QA Log'!Z:Z,"Rejected",'QA Log'!L:L,"*Equipments (section 4)*")
))</f>
        <v/>
      </c>
      <c r="AT475" s="102" t="str">
        <f t="shared" si="33"/>
        <v/>
      </c>
      <c r="AU475" s="103" t="str">
        <f t="shared" si="34"/>
        <v/>
      </c>
      <c r="AV475" s="102" t="str">
        <f>IF(A475="","",SUM(
COUNTIFS('QA Log'!D:D,A475,'QA Log'!M:M,"Vignette",'QA Log'!L:L,"*Vignette [1] Respiratory Infection: Pneumonia*"),
COUNTIFS('QA Log'!D:D,A475,'QA Log'!M:M,"Vignette",'QA Log'!L:L,"*Vignette [2]: Diarrhea with Cat B dehydration*"),
COUNTIFS('QA Log'!D:D,A475,'QA Log'!M:M,"Vignette",'QA Log'!L:L,"*Vignette [3] Growth Monitoring and Promotion*"),
COUNTIFS('QA Log'!D:D,A475,'QA Log'!M:M,"Vignette",'QA Log'!L:L,"*Vignette [4]: The management of presumptive TB patient*")
)
)</f>
        <v/>
      </c>
      <c r="AW475" s="102" t="str">
        <f>IF(
  A475="","",
  SUM(
    COUNTIFS('QA Log'!D:D,A475,'QA Log'!M:M,"Vignette",'QA Log'!Z:Z,"Approved",'QA Log'!L:L,"*Vignette [1] Respiratory Infection: Pneumonia*"),
    COUNTIFS('QA Log'!D:D,A475,'QA Log'!M:M,"Vignette",'QA Log'!Z:Z,"Approved",'QA Log'!L:L,"*Vignette [2]: Diarrhea with Cat B dehydration*"),
    COUNTIFS('QA Log'!D:D,A475,'QA Log'!M:M,"Vignette",'QA Log'!Z:Z,"Approved",'QA Log'!L:L,"*Vignette [3] Growth Monitoring and Promotion*"),
    COUNTIFS('QA Log'!D:D,A475,'QA Log'!M:M,"Vignette",'QA Log'!Z:Z,"Approved",'QA Log'!L:L,"*Vignette [4]: The management of presumptive TB patient*")
  )
)</f>
        <v/>
      </c>
      <c r="AX475" s="105" t="str">
        <f>IF(A475&lt;&gt;"",COUNTIFS('QA Log'!D:D,A475,'QA Log'!M:M,"Vignette",'QA Log'!L:L,"Vignette [1] Respiratory Infection: Pneumonia",'QA Log'!Z:Z,"Approved"),"")</f>
        <v/>
      </c>
      <c r="AY475" s="105" t="str">
        <f>IF(A475&lt;&gt;"",COUNTIFS('QA Log'!D:D,A475,'QA Log'!M:M,"Vignette",'QA Log'!L:L,"Vignette [2]: Diarrhea with Cat B dehydration",'QA Log'!Z:Z,"Approved"),"")</f>
        <v/>
      </c>
      <c r="AZ475" s="105" t="str">
        <f>IF(A475&lt;&gt;"",COUNTIFS('QA Log'!D:D,A475,'QA Log'!M:M,"Vignette",'QA Log'!L:L,"Vignette [3] Growth Monitoring and Promotion",'QA Log'!Z:Z,"Approved"),"")</f>
        <v/>
      </c>
      <c r="BA475" s="105" t="str">
        <f>IF(A475&lt;&gt;"",COUNTIFS('QA Log'!D:D,A475,'QA Log'!M:M,"Vignette",'QA Log'!L:L,"Vignette [4]: The management of presumptive TB patient",'QA Log'!Z:Z,"Approved"),"")</f>
        <v/>
      </c>
      <c r="BB475" s="102" t="str">
        <f>IF(A475="","",
  SUM(
    COUNTIFS('QA Log'!D:D,A475,'QA Log'!M:M,"Vignette",'QA Log'!Z:Z,"Rejected",'QA Log'!L:L,"*Vignette [1] Respiratory Infection: Pneumonia*"),
    COUNTIFS('QA Log'!D:D,A475,'QA Log'!M:M,"Vignette",'QA Log'!Z:Z,"Rejected",'QA Log'!L:L,"*Vignette [2]: Diarrhea with Cat B dehydration*"),
    COUNTIFS('QA Log'!D:D,A475,'QA Log'!M:M,"Vignette",'QA Log'!Z:Z,"Rejected",'QA Log'!L:L,"*Vignette [3] Growth Monitoring and Promotion*"),
    COUNTIFS('QA Log'!D:D,A475,'QA Log'!M:M,"Vignette",'QA Log'!Z:Z,"Rejected",'QA Log'!L:L,"*Vignette [4]: The management of presumptive TB patient*")
  )
)</f>
        <v/>
      </c>
      <c r="BC475" s="107" t="str">
        <f t="shared" si="35"/>
        <v/>
      </c>
      <c r="BD475" s="103" t="str">
        <f t="shared" si="36"/>
        <v/>
      </c>
      <c r="BE475" s="102" t="str">
        <f>IF(A475="","",SUM(
COUNTIFS('QA Log'!D:D,A475,'QA Log'!M:M,"Vignette",'QA Log'!L:L,"*Vignette [5] Labor*"),
COUNTIFS('QA Log'!D:D,A475,'QA Log'!M:M,"Vignette",'QA Log'!L:L,"*Vignette [6] PNC pre Discharge*"),
COUNTIFS('QA Log'!D:D,A475,'QA Log'!M:M,"Vignette",'QA Log'!L:L,"*Vignette [7] First ANC Visit*"),
COUNTIFS('QA Log'!D:D,A475,'QA Log'!M:M,"Vignette",'QA Log'!L:L,"*Vignette [8] Birth Spacing/ Family Planning :  FP Counselling*"),
COUNTIFS('QA Log'!D:D,A475,'QA Log'!M:M,"Vignette",'QA Log'!L:L,"*Vignette [9] Birth Spacing: Change FP method to Injectable*"),
COUNTIFS('QA Log'!D:D,A475,'QA Log'!M:M,"Vignette",'QA Log'!L:L,"*Vignette [10] Post Partum Haemorrhage - Atonic Uterus at Health Centre*"),
)
)</f>
        <v/>
      </c>
      <c r="BF475" s="102" t="str">
        <f>IF(A475="","",
  SUM(
    COUNTIFS('QA Log'!D:D,A475,'QA Log'!M:M,"Vignette",'QA Log'!Z:Z,"Approved",'QA Log'!L:L,"*Vignette [5] Labor*"),
    COUNTIFS('QA Log'!D:D,A475,'QA Log'!M:M,"Vignette",'QA Log'!Z:Z,"Approved",'QA Log'!L:L,"*Vignette [6] PNC pre Discharge*"),
    COUNTIFS('QA Log'!D:D,A475,'QA Log'!M:M,"Vignette",'QA Log'!Z:Z,"Approved",'QA Log'!L:L,"*Vignette [7] First ANC Visit*"),
    COUNTIFS('QA Log'!D:D,A475,'QA Log'!M:M,"Vignette",'QA Log'!Z:Z,"Approved",'QA Log'!L:L,"*Vignette [8] Birth Spacing/ Family Planning :  FP Counselling*"),
    COUNTIFS('QA Log'!D:D,A475,'QA Log'!M:M,"Vignette",'QA Log'!Z:Z,"Approved",'QA Log'!L:L,"*Vignette [9] Birth Spacing: Change FP method to Injectable*"),
    COUNTIFS('QA Log'!D:D,A475,'QA Log'!M:M,"Vignette",'QA Log'!Z:Z,"Approved",'QA Log'!L:L,"*Vignette [10] Post Partum Haemorrhage - Atonic Uterus at Health Centre*")
  )
)</f>
        <v/>
      </c>
      <c r="BG475" s="105" t="str">
        <f>IF(A475&lt;&gt;"",COUNTIFS('QA Log'!D:D,A475,'QA Log'!M:M,"Vignette",'QA Log'!L:L,"Vignette [5] Labor",'QA Log'!Z:Z,"Approved"),"")</f>
        <v/>
      </c>
      <c r="BH475" s="105" t="str">
        <f>IF(A475&lt;&gt;"",COUNTIFS('QA Log'!D:D,A475,'QA Log'!M:M,"Vignette",'QA Log'!L:L,"Vignette [6] PNC pre Discharge",'QA Log'!Z:Z,"Approved"),"")</f>
        <v/>
      </c>
      <c r="BI475" s="105" t="str">
        <f>IF(A475&lt;&gt;"",COUNTIFS('QA Log'!D:D,A475,'QA Log'!M:M,"Vignette",'QA Log'!L:L,"Vignette [7] First ANC Visit",'QA Log'!Z:Z,"Approved"),"")</f>
        <v/>
      </c>
      <c r="BJ475" s="105" t="str">
        <f>IF(A475&lt;&gt;"",COUNTIFS('QA Log'!D:D,A475,'QA Log'!M:M,"Vignette",'QA Log'!L:L,"Vignette [8] Birth Spacing/ Family Planning :  FP Counselling",'QA Log'!Z:Z,"Approved"),"")</f>
        <v/>
      </c>
      <c r="BK475" s="105" t="str">
        <f>IF(A475&lt;&gt;"",COUNTIFS('QA Log'!D:D,A475,'QA Log'!M:M,"Vignette",'QA Log'!L:L,"Vignette [9] Birth Spacing: Change FP method to Injectable",'QA Log'!Z:Z,"Approved"),"")</f>
        <v/>
      </c>
      <c r="BL475" s="105" t="str">
        <f>IF(A475&lt;&gt;"",COUNTIFS('QA Log'!D:D,A475,'QA Log'!M:M,"Vignette",'QA Log'!L:L,"Vignette [10] Post Partum Haemorrhage - Atonic Uterus at Health Centre",'QA Log'!Z:Z,"Approved"),"")</f>
        <v/>
      </c>
      <c r="BM475" s="102" t="str">
        <f>IF(A475="","",SUM(
    COUNTIFS('QA Log'!D:D,A475,'QA Log'!M:M,"Vignette",'QA Log'!Z:Z,"Rejected",'QA Log'!L:L,"*Vignette [5] Labor*"),
    COUNTIFS('QA Log'!D:D,A475,'QA Log'!M:M,"Vignette",'QA Log'!Z:Z,"Rejected",'QA Log'!L:L,"*Vignette [6] PNC pre Discharge*"),
    COUNTIFS('QA Log'!D:D,A475,'QA Log'!M:M,"Vignette",'QA Log'!Z:Z,"Rejected",'QA Log'!L:L,"*Vignette [7] First ANC Visit*"),
    COUNTIFS('QA Log'!D:D,A475,'QA Log'!M:M,"Vignette",'QA Log'!Z:Z,"Rejected",'QA Log'!L:L,"*Vignette [8] Birth Spacing/ Family Planning :  FP Counselling*"),
    COUNTIFS('QA Log'!D:D,A475,'QA Log'!M:M,"Vignette",'QA Log'!Z:Z,"Rejected",'QA Log'!L:L,"*Vignette [9] Birth Spacing: Change FP method to Injectable*"),
    COUNTIFS('QA Log'!D:D,A475,'QA Log'!M:M,"Vignette",'QA Log'!Z:Z,"Rejected",'QA Log'!L:L,"*Vignette [10] Post Partum Haemorrhage - Atonic Uterus at Health Centre*")
  )
)</f>
        <v/>
      </c>
      <c r="BN475" s="107" t="str">
        <f t="shared" si="37"/>
        <v/>
      </c>
      <c r="BO475" s="103" t="str">
        <f t="shared" si="38"/>
        <v/>
      </c>
      <c r="BP475" s="102" t="str">
        <f>IF(A475="","",SUM(
COUNTIFS('QA Log'!D:D,A475,'QA Log'!M:M,"Vignette",'QA Log'!L:L,"*Exit Interview 1*"),
COUNTIFS('QA Log'!D:D,A475,'QA Log'!M:M,"Vignette",'QA Log'!L:L,"*Exit Interview 2*"),
)
)</f>
        <v/>
      </c>
      <c r="BQ475" s="102" t="str">
        <f>IF(
  A475="","",
  SUM(
    COUNTIFS('QA Log'!D:D,A475,'QA Log'!M:M,"Vignette",'QA Log'!Z:Z,"Approved",'QA Log'!L:L,"*Exit Interview 1*"),
    COUNTIFS('QA Log'!D:D,A475,'QA Log'!M:M,"Vignette",'QA Log'!Z:Z,"Approved",'QA Log'!L:L,"*Exit Interview 2*")
  )
)</f>
        <v/>
      </c>
      <c r="BR475" s="105" t="str">
        <f>IF(A475&lt;&gt;"",COUNTIFS('QA Log'!D:D,A475,'QA Log'!M:M,"Vignette",'QA Log'!L:L,"Exit Interview 1",'QA Log'!Z:Z,"Approved"),"")</f>
        <v/>
      </c>
      <c r="BS475" s="105" t="str">
        <f>IF(A475&lt;&gt;"",COUNTIFS('QA Log'!D:D,A475,'QA Log'!M:M,"Vignette",'QA Log'!L:L,"Exit Interview 2",'QA Log'!Z:Z,"Approved"),"")</f>
        <v/>
      </c>
      <c r="BT475" s="102" t="str">
        <f>IF(
  A475="","",
  SUM(
    COUNTIFS('QA Log'!D:D,A475,'QA Log'!M:M,"Vignette",'QA Log'!Z:Z,"Rejected",'QA Log'!L:L,"*Exit Interview 1*"),
    COUNTIFS('QA Log'!D:D,A475,'QA Log'!M:M,"Vignette",'QA Log'!Z:Z,"Rejected",'QA Log'!L:L,"*Exit Interview 2*")
  )
)</f>
        <v/>
      </c>
      <c r="BU475" s="107" t="str">
        <f t="shared" si="39"/>
        <v/>
      </c>
      <c r="BV475" s="102" t="str">
        <f t="shared" si="40"/>
        <v/>
      </c>
      <c r="BW475" s="102" t="str">
        <f t="shared" si="41"/>
        <v/>
      </c>
      <c r="BX475" s="102" t="str">
        <f t="shared" si="42"/>
        <v/>
      </c>
      <c r="BY475" s="102" t="str">
        <f t="shared" si="43"/>
        <v/>
      </c>
      <c r="BZ475" s="107" t="str">
        <f t="shared" si="44"/>
        <v/>
      </c>
      <c r="CA475" s="108" t="str">
        <f t="shared" si="45"/>
        <v/>
      </c>
      <c r="CB475" s="108" t="str">
        <f t="shared" si="46"/>
        <v/>
      </c>
      <c r="CC475" s="109" t="str">
        <f t="shared" si="47"/>
        <v/>
      </c>
      <c r="CD475" s="108" t="str">
        <f t="shared" si="48"/>
        <v/>
      </c>
      <c r="CE475" s="108" t="str">
        <f t="shared" si="49"/>
        <v/>
      </c>
      <c r="CF475" s="109" t="str">
        <f t="shared" si="50"/>
        <v/>
      </c>
      <c r="CG475" s="110" t="str">
        <f t="shared" si="51"/>
        <v/>
      </c>
      <c r="CH475" s="111"/>
    </row>
    <row r="476" spans="1:86" ht="12.75">
      <c r="A476" s="101"/>
      <c r="B476" s="102" t="e">
        <f t="array" aca="1" ref="B476" ca="1">_xludf.XLOOKUP(A476,'QA Log'!D:D,'QA Log'!E:E,"")</f>
        <v>#NAME?</v>
      </c>
      <c r="C476" s="102" t="e">
        <f t="array" aca="1" ref="C476" ca="1">_xludf.XLOOKUP(A476,'QA Log'!D:D,'QA Log'!F:F,"")</f>
        <v>#NAME?</v>
      </c>
      <c r="D476" s="102" t="e">
        <f t="array" aca="1" ref="D476" ca="1">_xludf.XLOOKUP(A476,'QA Log'!D:D,'QA Log'!H:H,"")</f>
        <v>#NAME?</v>
      </c>
      <c r="E476" s="102" t="e">
        <f t="array" aca="1" ref="E476" ca="1">_xludf.XLOOKUP(A476,'QA Log'!D:D,'QA Log'!G:G,"")</f>
        <v>#NAME?</v>
      </c>
      <c r="F476" s="103"/>
      <c r="G476" s="104"/>
      <c r="H476" s="104"/>
      <c r="I476" s="103" t="str">
        <f t="shared" si="26"/>
        <v/>
      </c>
      <c r="J476" s="102" t="str">
        <f>IF(A476="","",SUM(
COUNTIFS('QA Log'!D:D,A476,'QA Log'!M:M,"QQC",'QA Log'!L:L,"*1. General Management*"),
COUNTIFS('QA Log'!D:D,A476,'QA Log'!M:M,"QQC",'QA Log'!L:L,"*3. Curative Consultation (OPD)*"),
COUNTIFS('QA Log'!D:D,A476,'QA Log'!M:M,"QQC",'QA Log'!L:L,"*5. Laboratory*"),
COUNTIFS('QA Log'!D:D,A476,'QA Log'!M:M,"QQC",'QA Log'!L:L,"*6. Essential Medicine Management*"),
COUNTIFS('QA Log'!D:D,A476,'QA Log'!M:M,"QQC",'QA Log'!L:L,"*7. Tracer Medicine*"),
COUNTIFS('QA Log'!D:D,A476,'QA Log'!M:M,"QQC",'QA Log'!L:L,"*11. Additional Questions*")))</f>
        <v/>
      </c>
      <c r="K476" s="102" t="str">
        <f>IF(A476="","",SUM(
COUNTIFS('QA Log'!D:D,A476,'QA Log'!M:M,"QQC",'QA Log'!Z:Z,"Approved",'QA Log'!L:L,"*1. General Management*"),
COUNTIFS('QA Log'!D:D,A476,'QA Log'!M:M,"QQC",'QA Log'!Z:Z,"Approved",'QA Log'!L:L,"*3. Curative Consultation (OPD)*"),
COUNTIFS('QA Log'!D:D,A476,'QA Log'!M:M,"QQC",'QA Log'!Z:Z,"Approved",'QA Log'!L:L,"*5. Laboratory*"),
COUNTIFS('QA Log'!D:D,A476,'QA Log'!M:M,"QQC",'QA Log'!Z:Z,"Approved",'QA Log'!L:L,"*6. Essential Medicine Management*"),
COUNTIFS('QA Log'!D:D,A476,'QA Log'!M:M,"QQC",'QA Log'!Z:Z,"Approved",'QA Log'!L:L,"*7. Tracer Medicine*"),
COUNTIFS('QA Log'!D:D,A476,'QA Log'!M:M,"QQC",'QA Log'!Z:Z,"Approved",'QA Log'!L:L,"*11. Additional Questions*")))</f>
        <v/>
      </c>
      <c r="L476" s="102" t="str">
        <f>IF(A476&lt;&gt;"",COUNTIFS('QA Log'!D:D,A476,'QA Log'!M:M,"QQC",'QA Log'!L:L,"1. General Management",'QA Log'!Z:Z,"Approved"),"")</f>
        <v/>
      </c>
      <c r="M476" s="102" t="str">
        <f>IF(A476&lt;&gt;"",COUNTIFS('QA Log'!D:D,A476,'QA Log'!M:M,"QQC",'QA Log'!L:L,"3. Curative Consultation (OPD)",'QA Log'!Z:Z,"Approved"),"")</f>
        <v/>
      </c>
      <c r="N476" s="102" t="str">
        <f>IF(A476&lt;&gt;"",COUNTIFS('QA Log'!D:D,A476,'QA Log'!M:M,"QQC",'QA Log'!L:L,"5. Laboratory",'QA Log'!Z:Z,"Approved"),"")</f>
        <v/>
      </c>
      <c r="O476" s="102" t="str">
        <f>IF(A476&lt;&gt;"",COUNTIFS('QA Log'!D:D,A476,'QA Log'!M:M,"QQC",'QA Log'!L:L,"6. Essential Medicine Management",'QA Log'!Z:Z,"Approved"),"")</f>
        <v/>
      </c>
      <c r="P476" s="102" t="str">
        <f>IF(A476&lt;&gt;"",COUNTIFS('QA Log'!D:D,A476,'QA Log'!M:M,"QQC",'QA Log'!L:L,"7. Tracer Medicine",'QA Log'!Z:Z,"Approved"),"")</f>
        <v/>
      </c>
      <c r="Q476" s="102" t="str">
        <f>IF(A476&lt;&gt;"",COUNTIFS('QA Log'!D:D,A476,'QA Log'!M:M,"QQC",'QA Log'!L:L,"11. Additional Questions",'QA Log'!Z:Z,"Approved"),"")</f>
        <v/>
      </c>
      <c r="R476" s="102" t="str">
        <f>IF(A476="","",SUM(
COUNTIFS('QA Log'!D:D,A476,'QA Log'!M:M,"QQC",'QA Log'!Z:Z,"Rejected",'QA Log'!L:L,"*8. Maternity*"),
COUNTIFS('QA Log'!D:D,A476,'QA Log'!M:M,"QQC",'QA Log'!Z:Z,"Rejected",'QA Log'!L:L,"*EPI*"),
COUNTIFS('QA Log'!D:D,A476,'QA Log'!M:M,"QQC",'QA Log'!Z:Z,"Rejected",'QA Log'!L:L,"*10. Antenatal Care (ANC)*"),
COUNTIFS('QA Log'!D:D,A476,'QA Log'!M:M,"QQC",'QA Log'!Z:Z,"Rejected",'QA Log'!L:L,"*2. Hygiene and Sterilization*"),
COUNTIFS('QA Log'!D:D,A476,'QA Log'!M:M,"QQC",'QA Log'!Z:Z,"Rejected",'QA Log'!L:L,"*Family Planning*")))</f>
        <v/>
      </c>
      <c r="S476" s="106" t="str">
        <f t="shared" si="27"/>
        <v/>
      </c>
      <c r="T476" s="102" t="str">
        <f t="shared" si="28"/>
        <v/>
      </c>
      <c r="U476" s="102" t="str">
        <f>IF(A476="","",
SUM(
COUNTIFS('QA Log'!D:D,A476,'QA Log'!M:M,"QQC",'QA Log'!L:L,"*8. Maternity*"),
COUNTIFS('QA Log'!D:D,A476,'QA Log'!M:M,"QQC",'QA Log'!L:L,"*9. EPI and Pre-school Consultation*"),
COUNTIFS('QA Log'!D:D,A476,'QA Log'!M:M,"QQC",'QA Log'!L:L,"*10. Antenatal Care (ANC)*"),
COUNTIFS('QA Log'!D:D,A476,'QA Log'!M:M,"QQC",'QA Log'!L:L,"*2. Hygiene and Sterilization*"),
COUNTIFS('QA Log'!D:D,A476,'QA Log'!M:M,"QQC",'QA Log'!L:L,"*4. Family Planning*")
))</f>
        <v/>
      </c>
      <c r="V476" s="102" t="str">
        <f>IF(A476="","",
SUM(
COUNTIFS('QA Log'!D:D,A476,'QA Log'!M:M,"QQC",'QA Log'!Z:Z,"Approved",'QA Log'!L:L,"*8. Maternity*"),
COUNTIFS('QA Log'!D:D,A476,'QA Log'!M:M,"QQC",'QA Log'!Z:Z,"Approved",'QA Log'!L:L,"*9. EPI and Pre-school Consultation*"),
COUNTIFS('QA Log'!D:D,A476,'QA Log'!M:M,"QQC",'QA Log'!Z:Z,"Approved",'QA Log'!L:L,"*10. Antenatal Care (ANC)*"),
COUNTIFS('QA Log'!D:D,A476,'QA Log'!M:M,"QQC",'QA Log'!Z:Z,"Approved",'QA Log'!L:L,"*2. Hygiene and Sterilization*"),
COUNTIFS('QA Log'!D:D,A476,'QA Log'!M:M,"QQC",'QA Log'!Z:Z,"Approved",'QA Log'!L:L,"*4. Family Planning*")
))</f>
        <v/>
      </c>
      <c r="W476" s="102" t="str">
        <f>IF(A476&lt;&gt;"",COUNTIFS('QA Log'!D:D,A476,'QA Log'!M:M,"QQC",'QA Log'!L:L,"8. Maternity",'QA Log'!Z:Z,"Approved"),"")</f>
        <v/>
      </c>
      <c r="X476" s="105" t="str">
        <f>IF(A476&lt;&gt;"",COUNTIFS('QA Log'!D:D,A476,'QA Log'!M:M,"QQC",'QA Log'!L:L,"9. EPI and Pre-school Consultation",'QA Log'!Z:Z,"Approved"),"")</f>
        <v/>
      </c>
      <c r="Y476" s="102" t="str">
        <f>IF(A476&lt;&gt;"",COUNTIFS('QA Log'!D:D,A476,'QA Log'!M:M,"QQC",'QA Log'!L:L,"10. Antenatal Care (ANC)",'QA Log'!Z:Z,"Approved"),"")</f>
        <v/>
      </c>
      <c r="Z476" s="102" t="str">
        <f>IF(A476&lt;&gt;"",COUNTIFS('QA Log'!D:D,A476,'QA Log'!M:M,"QQC",'QA Log'!L:L,"2. Hygiene and Sterilization",'QA Log'!Z:Z,"Approved"),"")</f>
        <v/>
      </c>
      <c r="AA476" s="105" t="str">
        <f>IF(A476&lt;&gt;"",COUNTIFS('QA Log'!D:D,A476,'QA Log'!M:M,"QQC",'QA Log'!L:L,"4. Family Planning",'QA Log'!Z:Z,"Approved"),"")</f>
        <v/>
      </c>
      <c r="AB476" s="102" t="str">
        <f>IF(A476="","",
SUM(
COUNTIFS('QA Log'!D:D,A476,'QA Log'!M:M,"QQC",'QA Log'!Z:Z,"Rejected",'QA Log'!L:L,"*8. Maternity*"),
COUNTIFS('QA Log'!D:D,A476,'QA Log'!M:M,"QQC",'QA Log'!Z:Z,"Rejected",'QA Log'!L:L,"*9. EPI and Pre-school Consultation*"),
COUNTIFS('QA Log'!D:D,A476,'QA Log'!M:M,"QQC",'QA Log'!Z:Z,"Rejected",'QA Log'!L:L,"*10. Antenatal Care (ANC)*"),
COUNTIFS('QA Log'!D:D,A476,'QA Log'!M:M,"QQC",'QA Log'!Z:Z,"Rejected",'QA Log'!L:L,"*2. Hygiene and Sterilization*"),
COUNTIFS('QA Log'!D:D,A476,'QA Log'!M:M,"QQC",'QA Log'!Z:Z,"Rejected",'QA Log'!L:L,"*4. Family Planning*")
))</f>
        <v/>
      </c>
      <c r="AC476" s="102" t="str">
        <f t="shared" si="29"/>
        <v/>
      </c>
      <c r="AD476" s="103" t="str">
        <f t="shared" si="30"/>
        <v/>
      </c>
      <c r="AE476" s="102" t="str">
        <f>IF(A476="","",
SUM(
COUNTIFS('QA Log'!D:D,A476,'QA Log'!M:M,"Data Verification",'QA Log'!L:L,"*Medicine (section 2)*"),
COUNTIFS('QA Log'!D:D,A476,'QA Log'!M:M,"Data Verification",'QA Log'!L:L,"*Lab Testing Availability*"),
COUNTIFS('QA Log'!D:D,A476,'QA Log'!M:M,"Data Verification",'QA Log'!L:L,"*Other than P4P (section 6)*"),
COUNTIFS('QA Log'!D:D,A476,'QA Log'!M:M,"Data Verification",'QA Log'!L:L,"*Hospital Governance*")
))</f>
        <v/>
      </c>
      <c r="AF476" s="102" t="str">
        <f>IF(A476="","",
SUM(
COUNTIFS('QA Log'!D:D,A476,'QA Log'!M:M,"Data Verification",'QA Log'!Z:Z,"Approved",'QA Log'!L:L,"*Medicine (section 2)*"),
COUNTIFS('QA Log'!D:D,A476,'QA Log'!M:M,"Data Verification",'QA Log'!Z:Z,"Approved",'QA Log'!L:L,"*Lab Testing Availability*"),
COUNTIFS('QA Log'!D:D,A476,'QA Log'!M:M,"Data Verification",'QA Log'!Z:Z,"Approved",'QA Log'!L:L,"*Other than P4P (section 6)*"),
COUNTIFS('QA Log'!D:D,A476,'QA Log'!M:M,"Data Verification",'QA Log'!Z:Z,"Approved",'QA Log'!L:L,"*Hospital Governance*")
))</f>
        <v/>
      </c>
      <c r="AG476" s="105" t="str">
        <f>IF(A476&lt;&gt;"",COUNTIFS('QA Log'!D:D,A476,'QA Log'!M:M,"Data Verification",'QA Log'!L:L,"Medicine (section 2)",'QA Log'!Z:Z,"Approved"),"")</f>
        <v/>
      </c>
      <c r="AH476" s="105" t="str">
        <f>IF(A476&lt;&gt;"",COUNTIFS('QA Log'!D:D,A476,'QA Log'!M:M,"Data Verification",'QA Log'!L:L,"Lab Testing Availability",'QA Log'!Z:Z,"Approved"),"")</f>
        <v/>
      </c>
      <c r="AI476" s="105" t="str">
        <f>IF(A476&lt;&gt;"",COUNTIFS('QA Log'!D:D,A476,'QA Log'!M:M,"Data Verification",'QA Log'!L:L,"Other than P4P (section 6)",'QA Log'!Z:Z,"Approved"),"")</f>
        <v/>
      </c>
      <c r="AJ476" s="105" t="str">
        <f>IF(A476&lt;&gt;"",COUNTIFS('QA Log'!D:D,A476,'QA Log'!M:M,"Data Verification",'QA Log'!L:L,"Hospital Governance",'QA Log'!Z:Z,"Approved"),"")</f>
        <v/>
      </c>
      <c r="AK476" s="102" t="str">
        <f>IF(A476="","",
SUM(
COUNTIFS('QA Log'!D:D,A476,'QA Log'!M:M,"Data Verification",'QA Log'!Z:Z,"Rejected",'QA Log'!L:L,"*Medicine (section 2)*"),
COUNTIFS('QA Log'!D:D,A476,'QA Log'!M:M,"Data Verification",'QA Log'!Z:Z,"Rejected",'QA Log'!L:L,"*Lab Testing Availability*"),
COUNTIFS('QA Log'!D:D,A476,'QA Log'!M:M,"Data Verification",'QA Log'!Z:Z,"Rejected",'QA Log'!L:L,"*Other than P4P (section 6)*"),
COUNTIFS('QA Log'!D:D,A476,'QA Log'!M:M,"Data Verification",'QA Log'!Z:Z,"Rejected",'QA Log'!L:L,"*Hospital Governance*")
))</f>
        <v/>
      </c>
      <c r="AL476" s="106" t="str">
        <f t="shared" si="31"/>
        <v/>
      </c>
      <c r="AM476" s="102" t="str">
        <f t="shared" si="32"/>
        <v/>
      </c>
      <c r="AN476" s="102" t="str">
        <f>IF(A476="","",
SUM(
COUNTIFS('QA Log'!D:D,A476,'QA Log'!M:M,"Data Verification",'QA Log'!L:L,"*Personnel (section 1)*"),
COUNTIFS('QA Log'!D:D,A476,'QA Log'!M:M,"Data Verification",'QA Log'!L:L,"*Consumable (section 3)*"),
COUNTIFS('QA Log'!D:D,A476,'QA Log'!M:M,"Data Verification",'QA Log'!L:L,"*Equipments (section 4)*")
))</f>
        <v/>
      </c>
      <c r="AO476" s="102" t="str">
        <f>IF(A476="","",
SUM(
COUNTIFS('QA Log'!D:D,A476,'QA Log'!M:M,"Data Verification",'QA Log'!Z:Z,"Approved",'QA Log'!L:L,"*Personnel (section 1)*"),
COUNTIFS('QA Log'!D:D,A476,'QA Log'!M:M,"Data Verification",'QA Log'!Z:Z,"Approved",'QA Log'!L:L,"*Consumable (section 3)*"),
COUNTIFS('QA Log'!D:D,A476,'QA Log'!M:M,"Data Verification",'QA Log'!Z:Z,"Approved",'QA Log'!L:L,"*Equipments (section 4)*")
))</f>
        <v/>
      </c>
      <c r="AP476" s="105" t="str">
        <f>IF(A476&lt;&gt;"",COUNTIFS('QA Log'!D:D,A476,'QA Log'!M:M,"Data Verification",'QA Log'!L:L,"Personnel (section 1)",'QA Log'!Z:Z,"Approved"),"")</f>
        <v/>
      </c>
      <c r="AQ476" s="105" t="str">
        <f>IF(A476&lt;&gt;"",COUNTIFS('QA Log'!D:D,A476,'QA Log'!M:M,"Data Verification",'QA Log'!L:L,"Consumable (section 3)",'QA Log'!Z:Z,"Approved"),"")</f>
        <v/>
      </c>
      <c r="AR476" s="105" t="str">
        <f>IF(A476&lt;&gt;"",COUNTIFS('QA Log'!D:D,A476,'QA Log'!M:M,"Data Verification",'QA Log'!L:L,"Equipments (section 4)",'QA Log'!Z:Z,"Approved"),"")</f>
        <v/>
      </c>
      <c r="AS476" s="102" t="str">
        <f>IF(A476="","",
SUM(
COUNTIFS('QA Log'!D:D,A476,'QA Log'!M:M,"Data Verification",'QA Log'!Z:Z,"Rejected",'QA Log'!L:L,"*Personnel (section 1)*"),
COUNTIFS('QA Log'!D:D,A476,'QA Log'!M:M,"Data Verification",'QA Log'!Z:Z,"Rejected",'QA Log'!L:L,"*Consumable (section 3)*"),
COUNTIFS('QA Log'!D:D,A476,'QA Log'!M:M,"Data Verification",'QA Log'!Z:Z,"Rejected",'QA Log'!L:L,"*Equipments (section 4)*")
))</f>
        <v/>
      </c>
      <c r="AT476" s="102" t="str">
        <f t="shared" si="33"/>
        <v/>
      </c>
      <c r="AU476" s="103" t="str">
        <f t="shared" si="34"/>
        <v/>
      </c>
      <c r="AV476" s="102" t="str">
        <f>IF(A476="","",SUM(
COUNTIFS('QA Log'!D:D,A476,'QA Log'!M:M,"Vignette",'QA Log'!L:L,"*Vignette [1] Respiratory Infection: Pneumonia*"),
COUNTIFS('QA Log'!D:D,A476,'QA Log'!M:M,"Vignette",'QA Log'!L:L,"*Vignette [2]: Diarrhea with Cat B dehydration*"),
COUNTIFS('QA Log'!D:D,A476,'QA Log'!M:M,"Vignette",'QA Log'!L:L,"*Vignette [3] Growth Monitoring and Promotion*"),
COUNTIFS('QA Log'!D:D,A476,'QA Log'!M:M,"Vignette",'QA Log'!L:L,"*Vignette [4]: The management of presumptive TB patient*")
)
)</f>
        <v/>
      </c>
      <c r="AW476" s="102" t="str">
        <f>IF(
  A476="","",
  SUM(
    COUNTIFS('QA Log'!D:D,A476,'QA Log'!M:M,"Vignette",'QA Log'!Z:Z,"Approved",'QA Log'!L:L,"*Vignette [1] Respiratory Infection: Pneumonia*"),
    COUNTIFS('QA Log'!D:D,A476,'QA Log'!M:M,"Vignette",'QA Log'!Z:Z,"Approved",'QA Log'!L:L,"*Vignette [2]: Diarrhea with Cat B dehydration*"),
    COUNTIFS('QA Log'!D:D,A476,'QA Log'!M:M,"Vignette",'QA Log'!Z:Z,"Approved",'QA Log'!L:L,"*Vignette [3] Growth Monitoring and Promotion*"),
    COUNTIFS('QA Log'!D:D,A476,'QA Log'!M:M,"Vignette",'QA Log'!Z:Z,"Approved",'QA Log'!L:L,"*Vignette [4]: The management of presumptive TB patient*")
  )
)</f>
        <v/>
      </c>
      <c r="AX476" s="105" t="str">
        <f>IF(A476&lt;&gt;"",COUNTIFS('QA Log'!D:D,A476,'QA Log'!M:M,"Vignette",'QA Log'!L:L,"Vignette [1] Respiratory Infection: Pneumonia",'QA Log'!Z:Z,"Approved"),"")</f>
        <v/>
      </c>
      <c r="AY476" s="105" t="str">
        <f>IF(A476&lt;&gt;"",COUNTIFS('QA Log'!D:D,A476,'QA Log'!M:M,"Vignette",'QA Log'!L:L,"Vignette [2]: Diarrhea with Cat B dehydration",'QA Log'!Z:Z,"Approved"),"")</f>
        <v/>
      </c>
      <c r="AZ476" s="105" t="str">
        <f>IF(A476&lt;&gt;"",COUNTIFS('QA Log'!D:D,A476,'QA Log'!M:M,"Vignette",'QA Log'!L:L,"Vignette [3] Growth Monitoring and Promotion",'QA Log'!Z:Z,"Approved"),"")</f>
        <v/>
      </c>
      <c r="BA476" s="105" t="str">
        <f>IF(A476&lt;&gt;"",COUNTIFS('QA Log'!D:D,A476,'QA Log'!M:M,"Vignette",'QA Log'!L:L,"Vignette [4]: The management of presumptive TB patient",'QA Log'!Z:Z,"Approved"),"")</f>
        <v/>
      </c>
      <c r="BB476" s="102" t="str">
        <f>IF(A476="","",
  SUM(
    COUNTIFS('QA Log'!D:D,A476,'QA Log'!M:M,"Vignette",'QA Log'!Z:Z,"Rejected",'QA Log'!L:L,"*Vignette [1] Respiratory Infection: Pneumonia*"),
    COUNTIFS('QA Log'!D:D,A476,'QA Log'!M:M,"Vignette",'QA Log'!Z:Z,"Rejected",'QA Log'!L:L,"*Vignette [2]: Diarrhea with Cat B dehydration*"),
    COUNTIFS('QA Log'!D:D,A476,'QA Log'!M:M,"Vignette",'QA Log'!Z:Z,"Rejected",'QA Log'!L:L,"*Vignette [3] Growth Monitoring and Promotion*"),
    COUNTIFS('QA Log'!D:D,A476,'QA Log'!M:M,"Vignette",'QA Log'!Z:Z,"Rejected",'QA Log'!L:L,"*Vignette [4]: The management of presumptive TB patient*")
  )
)</f>
        <v/>
      </c>
      <c r="BC476" s="107" t="str">
        <f t="shared" si="35"/>
        <v/>
      </c>
      <c r="BD476" s="103" t="str">
        <f t="shared" si="36"/>
        <v/>
      </c>
      <c r="BE476" s="102" t="str">
        <f>IF(A476="","",SUM(
COUNTIFS('QA Log'!D:D,A476,'QA Log'!M:M,"Vignette",'QA Log'!L:L,"*Vignette [5] Labor*"),
COUNTIFS('QA Log'!D:D,A476,'QA Log'!M:M,"Vignette",'QA Log'!L:L,"*Vignette [6] PNC pre Discharge*"),
COUNTIFS('QA Log'!D:D,A476,'QA Log'!M:M,"Vignette",'QA Log'!L:L,"*Vignette [7] First ANC Visit*"),
COUNTIFS('QA Log'!D:D,A476,'QA Log'!M:M,"Vignette",'QA Log'!L:L,"*Vignette [8] Birth Spacing/ Family Planning :  FP Counselling*"),
COUNTIFS('QA Log'!D:D,A476,'QA Log'!M:M,"Vignette",'QA Log'!L:L,"*Vignette [9] Birth Spacing: Change FP method to Injectable*"),
COUNTIFS('QA Log'!D:D,A476,'QA Log'!M:M,"Vignette",'QA Log'!L:L,"*Vignette [10] Post Partum Haemorrhage - Atonic Uterus at Health Centre*"),
)
)</f>
        <v/>
      </c>
      <c r="BF476" s="102" t="str">
        <f>IF(A476="","",
  SUM(
    COUNTIFS('QA Log'!D:D,A476,'QA Log'!M:M,"Vignette",'QA Log'!Z:Z,"Approved",'QA Log'!L:L,"*Vignette [5] Labor*"),
    COUNTIFS('QA Log'!D:D,A476,'QA Log'!M:M,"Vignette",'QA Log'!Z:Z,"Approved",'QA Log'!L:L,"*Vignette [6] PNC pre Discharge*"),
    COUNTIFS('QA Log'!D:D,A476,'QA Log'!M:M,"Vignette",'QA Log'!Z:Z,"Approved",'QA Log'!L:L,"*Vignette [7] First ANC Visit*"),
    COUNTIFS('QA Log'!D:D,A476,'QA Log'!M:M,"Vignette",'QA Log'!Z:Z,"Approved",'QA Log'!L:L,"*Vignette [8] Birth Spacing/ Family Planning :  FP Counselling*"),
    COUNTIFS('QA Log'!D:D,A476,'QA Log'!M:M,"Vignette",'QA Log'!Z:Z,"Approved",'QA Log'!L:L,"*Vignette [9] Birth Spacing: Change FP method to Injectable*"),
    COUNTIFS('QA Log'!D:D,A476,'QA Log'!M:M,"Vignette",'QA Log'!Z:Z,"Approved",'QA Log'!L:L,"*Vignette [10] Post Partum Haemorrhage - Atonic Uterus at Health Centre*")
  )
)</f>
        <v/>
      </c>
      <c r="BG476" s="105" t="str">
        <f>IF(A476&lt;&gt;"",COUNTIFS('QA Log'!D:D,A476,'QA Log'!M:M,"Vignette",'QA Log'!L:L,"Vignette [5] Labor",'QA Log'!Z:Z,"Approved"),"")</f>
        <v/>
      </c>
      <c r="BH476" s="105" t="str">
        <f>IF(A476&lt;&gt;"",COUNTIFS('QA Log'!D:D,A476,'QA Log'!M:M,"Vignette",'QA Log'!L:L,"Vignette [6] PNC pre Discharge",'QA Log'!Z:Z,"Approved"),"")</f>
        <v/>
      </c>
      <c r="BI476" s="105" t="str">
        <f>IF(A476&lt;&gt;"",COUNTIFS('QA Log'!D:D,A476,'QA Log'!M:M,"Vignette",'QA Log'!L:L,"Vignette [7] First ANC Visit",'QA Log'!Z:Z,"Approved"),"")</f>
        <v/>
      </c>
      <c r="BJ476" s="105" t="str">
        <f>IF(A476&lt;&gt;"",COUNTIFS('QA Log'!D:D,A476,'QA Log'!M:M,"Vignette",'QA Log'!L:L,"Vignette [8] Birth Spacing/ Family Planning :  FP Counselling",'QA Log'!Z:Z,"Approved"),"")</f>
        <v/>
      </c>
      <c r="BK476" s="105" t="str">
        <f>IF(A476&lt;&gt;"",COUNTIFS('QA Log'!D:D,A476,'QA Log'!M:M,"Vignette",'QA Log'!L:L,"Vignette [9] Birth Spacing: Change FP method to Injectable",'QA Log'!Z:Z,"Approved"),"")</f>
        <v/>
      </c>
      <c r="BL476" s="105" t="str">
        <f>IF(A476&lt;&gt;"",COUNTIFS('QA Log'!D:D,A476,'QA Log'!M:M,"Vignette",'QA Log'!L:L,"Vignette [10] Post Partum Haemorrhage - Atonic Uterus at Health Centre",'QA Log'!Z:Z,"Approved"),"")</f>
        <v/>
      </c>
      <c r="BM476" s="102" t="str">
        <f>IF(A476="","",SUM(
    COUNTIFS('QA Log'!D:D,A476,'QA Log'!M:M,"Vignette",'QA Log'!Z:Z,"Rejected",'QA Log'!L:L,"*Vignette [5] Labor*"),
    COUNTIFS('QA Log'!D:D,A476,'QA Log'!M:M,"Vignette",'QA Log'!Z:Z,"Rejected",'QA Log'!L:L,"*Vignette [6] PNC pre Discharge*"),
    COUNTIFS('QA Log'!D:D,A476,'QA Log'!M:M,"Vignette",'QA Log'!Z:Z,"Rejected",'QA Log'!L:L,"*Vignette [7] First ANC Visit*"),
    COUNTIFS('QA Log'!D:D,A476,'QA Log'!M:M,"Vignette",'QA Log'!Z:Z,"Rejected",'QA Log'!L:L,"*Vignette [8] Birth Spacing/ Family Planning :  FP Counselling*"),
    COUNTIFS('QA Log'!D:D,A476,'QA Log'!M:M,"Vignette",'QA Log'!Z:Z,"Rejected",'QA Log'!L:L,"*Vignette [9] Birth Spacing: Change FP method to Injectable*"),
    COUNTIFS('QA Log'!D:D,A476,'QA Log'!M:M,"Vignette",'QA Log'!Z:Z,"Rejected",'QA Log'!L:L,"*Vignette [10] Post Partum Haemorrhage - Atonic Uterus at Health Centre*")
  )
)</f>
        <v/>
      </c>
      <c r="BN476" s="107" t="str">
        <f t="shared" si="37"/>
        <v/>
      </c>
      <c r="BO476" s="103" t="str">
        <f t="shared" si="38"/>
        <v/>
      </c>
      <c r="BP476" s="102" t="str">
        <f>IF(A476="","",SUM(
COUNTIFS('QA Log'!D:D,A476,'QA Log'!M:M,"Vignette",'QA Log'!L:L,"*Exit Interview 1*"),
COUNTIFS('QA Log'!D:D,A476,'QA Log'!M:M,"Vignette",'QA Log'!L:L,"*Exit Interview 2*"),
)
)</f>
        <v/>
      </c>
      <c r="BQ476" s="102" t="str">
        <f>IF(
  A476="","",
  SUM(
    COUNTIFS('QA Log'!D:D,A476,'QA Log'!M:M,"Vignette",'QA Log'!Z:Z,"Approved",'QA Log'!L:L,"*Exit Interview 1*"),
    COUNTIFS('QA Log'!D:D,A476,'QA Log'!M:M,"Vignette",'QA Log'!Z:Z,"Approved",'QA Log'!L:L,"*Exit Interview 2*")
  )
)</f>
        <v/>
      </c>
      <c r="BR476" s="105" t="str">
        <f>IF(A476&lt;&gt;"",COUNTIFS('QA Log'!D:D,A476,'QA Log'!M:M,"Vignette",'QA Log'!L:L,"Exit Interview 1",'QA Log'!Z:Z,"Approved"),"")</f>
        <v/>
      </c>
      <c r="BS476" s="105" t="str">
        <f>IF(A476&lt;&gt;"",COUNTIFS('QA Log'!D:D,A476,'QA Log'!M:M,"Vignette",'QA Log'!L:L,"Exit Interview 2",'QA Log'!Z:Z,"Approved"),"")</f>
        <v/>
      </c>
      <c r="BT476" s="102" t="str">
        <f>IF(
  A476="","",
  SUM(
    COUNTIFS('QA Log'!D:D,A476,'QA Log'!M:M,"Vignette",'QA Log'!Z:Z,"Rejected",'QA Log'!L:L,"*Exit Interview 1*"),
    COUNTIFS('QA Log'!D:D,A476,'QA Log'!M:M,"Vignette",'QA Log'!Z:Z,"Rejected",'QA Log'!L:L,"*Exit Interview 2*")
  )
)</f>
        <v/>
      </c>
      <c r="BU476" s="107" t="str">
        <f t="shared" si="39"/>
        <v/>
      </c>
      <c r="BV476" s="102" t="str">
        <f t="shared" si="40"/>
        <v/>
      </c>
      <c r="BW476" s="102" t="str">
        <f t="shared" si="41"/>
        <v/>
      </c>
      <c r="BX476" s="102" t="str">
        <f t="shared" si="42"/>
        <v/>
      </c>
      <c r="BY476" s="102" t="str">
        <f t="shared" si="43"/>
        <v/>
      </c>
      <c r="BZ476" s="107" t="str">
        <f t="shared" si="44"/>
        <v/>
      </c>
      <c r="CA476" s="108" t="str">
        <f t="shared" si="45"/>
        <v/>
      </c>
      <c r="CB476" s="108" t="str">
        <f t="shared" si="46"/>
        <v/>
      </c>
      <c r="CC476" s="109" t="str">
        <f t="shared" si="47"/>
        <v/>
      </c>
      <c r="CD476" s="108" t="str">
        <f t="shared" si="48"/>
        <v/>
      </c>
      <c r="CE476" s="108" t="str">
        <f t="shared" si="49"/>
        <v/>
      </c>
      <c r="CF476" s="109" t="str">
        <f t="shared" si="50"/>
        <v/>
      </c>
      <c r="CG476" s="110" t="str">
        <f t="shared" si="51"/>
        <v/>
      </c>
      <c r="CH476" s="111"/>
    </row>
    <row r="477" spans="1:86" ht="12.75">
      <c r="A477" s="101"/>
      <c r="B477" s="102" t="e">
        <f t="array" aca="1" ref="B477" ca="1">_xludf.XLOOKUP(A477,'QA Log'!D:D,'QA Log'!E:E,"")</f>
        <v>#NAME?</v>
      </c>
      <c r="C477" s="102" t="e">
        <f t="array" aca="1" ref="C477" ca="1">_xludf.XLOOKUP(A477,'QA Log'!D:D,'QA Log'!F:F,"")</f>
        <v>#NAME?</v>
      </c>
      <c r="D477" s="102" t="e">
        <f t="array" aca="1" ref="D477" ca="1">_xludf.XLOOKUP(A477,'QA Log'!D:D,'QA Log'!H:H,"")</f>
        <v>#NAME?</v>
      </c>
      <c r="E477" s="102" t="e">
        <f t="array" aca="1" ref="E477" ca="1">_xludf.XLOOKUP(A477,'QA Log'!D:D,'QA Log'!G:G,"")</f>
        <v>#NAME?</v>
      </c>
      <c r="F477" s="103"/>
      <c r="G477" s="104"/>
      <c r="H477" s="104"/>
      <c r="I477" s="103" t="str">
        <f t="shared" si="26"/>
        <v/>
      </c>
      <c r="J477" s="102" t="str">
        <f>IF(A477="","",SUM(
COUNTIFS('QA Log'!D:D,A477,'QA Log'!M:M,"QQC",'QA Log'!L:L,"*1. General Management*"),
COUNTIFS('QA Log'!D:D,A477,'QA Log'!M:M,"QQC",'QA Log'!L:L,"*3. Curative Consultation (OPD)*"),
COUNTIFS('QA Log'!D:D,A477,'QA Log'!M:M,"QQC",'QA Log'!L:L,"*5. Laboratory*"),
COUNTIFS('QA Log'!D:D,A477,'QA Log'!M:M,"QQC",'QA Log'!L:L,"*6. Essential Medicine Management*"),
COUNTIFS('QA Log'!D:D,A477,'QA Log'!M:M,"QQC",'QA Log'!L:L,"*7. Tracer Medicine*"),
COUNTIFS('QA Log'!D:D,A477,'QA Log'!M:M,"QQC",'QA Log'!L:L,"*11. Additional Questions*")))</f>
        <v/>
      </c>
      <c r="K477" s="102" t="str">
        <f>IF(A477="","",SUM(
COUNTIFS('QA Log'!D:D,A477,'QA Log'!M:M,"QQC",'QA Log'!Z:Z,"Approved",'QA Log'!L:L,"*1. General Management*"),
COUNTIFS('QA Log'!D:D,A477,'QA Log'!M:M,"QQC",'QA Log'!Z:Z,"Approved",'QA Log'!L:L,"*3. Curative Consultation (OPD)*"),
COUNTIFS('QA Log'!D:D,A477,'QA Log'!M:M,"QQC",'QA Log'!Z:Z,"Approved",'QA Log'!L:L,"*5. Laboratory*"),
COUNTIFS('QA Log'!D:D,A477,'QA Log'!M:M,"QQC",'QA Log'!Z:Z,"Approved",'QA Log'!L:L,"*6. Essential Medicine Management*"),
COUNTIFS('QA Log'!D:D,A477,'QA Log'!M:M,"QQC",'QA Log'!Z:Z,"Approved",'QA Log'!L:L,"*7. Tracer Medicine*"),
COUNTIFS('QA Log'!D:D,A477,'QA Log'!M:M,"QQC",'QA Log'!Z:Z,"Approved",'QA Log'!L:L,"*11. Additional Questions*")))</f>
        <v/>
      </c>
      <c r="L477" s="102" t="str">
        <f>IF(A477&lt;&gt;"",COUNTIFS('QA Log'!D:D,A477,'QA Log'!M:M,"QQC",'QA Log'!L:L,"1. General Management",'QA Log'!Z:Z,"Approved"),"")</f>
        <v/>
      </c>
      <c r="M477" s="102" t="str">
        <f>IF(A477&lt;&gt;"",COUNTIFS('QA Log'!D:D,A477,'QA Log'!M:M,"QQC",'QA Log'!L:L,"3. Curative Consultation (OPD)",'QA Log'!Z:Z,"Approved"),"")</f>
        <v/>
      </c>
      <c r="N477" s="102" t="str">
        <f>IF(A477&lt;&gt;"",COUNTIFS('QA Log'!D:D,A477,'QA Log'!M:M,"QQC",'QA Log'!L:L,"5. Laboratory",'QA Log'!Z:Z,"Approved"),"")</f>
        <v/>
      </c>
      <c r="O477" s="102" t="str">
        <f>IF(A477&lt;&gt;"",COUNTIFS('QA Log'!D:D,A477,'QA Log'!M:M,"QQC",'QA Log'!L:L,"6. Essential Medicine Management",'QA Log'!Z:Z,"Approved"),"")</f>
        <v/>
      </c>
      <c r="P477" s="102" t="str">
        <f>IF(A477&lt;&gt;"",COUNTIFS('QA Log'!D:D,A477,'QA Log'!M:M,"QQC",'QA Log'!L:L,"7. Tracer Medicine",'QA Log'!Z:Z,"Approved"),"")</f>
        <v/>
      </c>
      <c r="Q477" s="102" t="str">
        <f>IF(A477&lt;&gt;"",COUNTIFS('QA Log'!D:D,A477,'QA Log'!M:M,"QQC",'QA Log'!L:L,"11. Additional Questions",'QA Log'!Z:Z,"Approved"),"")</f>
        <v/>
      </c>
      <c r="R477" s="102" t="str">
        <f>IF(A477="","",SUM(
COUNTIFS('QA Log'!D:D,A477,'QA Log'!M:M,"QQC",'QA Log'!Z:Z,"Rejected",'QA Log'!L:L,"*8. Maternity*"),
COUNTIFS('QA Log'!D:D,A477,'QA Log'!M:M,"QQC",'QA Log'!Z:Z,"Rejected",'QA Log'!L:L,"*EPI*"),
COUNTIFS('QA Log'!D:D,A477,'QA Log'!M:M,"QQC",'QA Log'!Z:Z,"Rejected",'QA Log'!L:L,"*10. Antenatal Care (ANC)*"),
COUNTIFS('QA Log'!D:D,A477,'QA Log'!M:M,"QQC",'QA Log'!Z:Z,"Rejected",'QA Log'!L:L,"*2. Hygiene and Sterilization*"),
COUNTIFS('QA Log'!D:D,A477,'QA Log'!M:M,"QQC",'QA Log'!Z:Z,"Rejected",'QA Log'!L:L,"*Family Planning*")))</f>
        <v/>
      </c>
      <c r="S477" s="106" t="str">
        <f t="shared" si="27"/>
        <v/>
      </c>
      <c r="T477" s="102" t="str">
        <f t="shared" si="28"/>
        <v/>
      </c>
      <c r="U477" s="102" t="str">
        <f>IF(A477="","",
SUM(
COUNTIFS('QA Log'!D:D,A477,'QA Log'!M:M,"QQC",'QA Log'!L:L,"*8. Maternity*"),
COUNTIFS('QA Log'!D:D,A477,'QA Log'!M:M,"QQC",'QA Log'!L:L,"*9. EPI and Pre-school Consultation*"),
COUNTIFS('QA Log'!D:D,A477,'QA Log'!M:M,"QQC",'QA Log'!L:L,"*10. Antenatal Care (ANC)*"),
COUNTIFS('QA Log'!D:D,A477,'QA Log'!M:M,"QQC",'QA Log'!L:L,"*2. Hygiene and Sterilization*"),
COUNTIFS('QA Log'!D:D,A477,'QA Log'!M:M,"QQC",'QA Log'!L:L,"*4. Family Planning*")
))</f>
        <v/>
      </c>
      <c r="V477" s="102" t="str">
        <f>IF(A477="","",
SUM(
COUNTIFS('QA Log'!D:D,A477,'QA Log'!M:M,"QQC",'QA Log'!Z:Z,"Approved",'QA Log'!L:L,"*8. Maternity*"),
COUNTIFS('QA Log'!D:D,A477,'QA Log'!M:M,"QQC",'QA Log'!Z:Z,"Approved",'QA Log'!L:L,"*9. EPI and Pre-school Consultation*"),
COUNTIFS('QA Log'!D:D,A477,'QA Log'!M:M,"QQC",'QA Log'!Z:Z,"Approved",'QA Log'!L:L,"*10. Antenatal Care (ANC)*"),
COUNTIFS('QA Log'!D:D,A477,'QA Log'!M:M,"QQC",'QA Log'!Z:Z,"Approved",'QA Log'!L:L,"*2. Hygiene and Sterilization*"),
COUNTIFS('QA Log'!D:D,A477,'QA Log'!M:M,"QQC",'QA Log'!Z:Z,"Approved",'QA Log'!L:L,"*4. Family Planning*")
))</f>
        <v/>
      </c>
      <c r="W477" s="102" t="str">
        <f>IF(A477&lt;&gt;"",COUNTIFS('QA Log'!D:D,A477,'QA Log'!M:M,"QQC",'QA Log'!L:L,"8. Maternity",'QA Log'!Z:Z,"Approved"),"")</f>
        <v/>
      </c>
      <c r="X477" s="105" t="str">
        <f>IF(A477&lt;&gt;"",COUNTIFS('QA Log'!D:D,A477,'QA Log'!M:M,"QQC",'QA Log'!L:L,"9. EPI and Pre-school Consultation",'QA Log'!Z:Z,"Approved"),"")</f>
        <v/>
      </c>
      <c r="Y477" s="102" t="str">
        <f>IF(A477&lt;&gt;"",COUNTIFS('QA Log'!D:D,A477,'QA Log'!M:M,"QQC",'QA Log'!L:L,"10. Antenatal Care (ANC)",'QA Log'!Z:Z,"Approved"),"")</f>
        <v/>
      </c>
      <c r="Z477" s="102" t="str">
        <f>IF(A477&lt;&gt;"",COUNTIFS('QA Log'!D:D,A477,'QA Log'!M:M,"QQC",'QA Log'!L:L,"2. Hygiene and Sterilization",'QA Log'!Z:Z,"Approved"),"")</f>
        <v/>
      </c>
      <c r="AA477" s="105" t="str">
        <f>IF(A477&lt;&gt;"",COUNTIFS('QA Log'!D:D,A477,'QA Log'!M:M,"QQC",'QA Log'!L:L,"4. Family Planning",'QA Log'!Z:Z,"Approved"),"")</f>
        <v/>
      </c>
      <c r="AB477" s="102" t="str">
        <f>IF(A477="","",
SUM(
COUNTIFS('QA Log'!D:D,A477,'QA Log'!M:M,"QQC",'QA Log'!Z:Z,"Rejected",'QA Log'!L:L,"*8. Maternity*"),
COUNTIFS('QA Log'!D:D,A477,'QA Log'!M:M,"QQC",'QA Log'!Z:Z,"Rejected",'QA Log'!L:L,"*9. EPI and Pre-school Consultation*"),
COUNTIFS('QA Log'!D:D,A477,'QA Log'!M:M,"QQC",'QA Log'!Z:Z,"Rejected",'QA Log'!L:L,"*10. Antenatal Care (ANC)*"),
COUNTIFS('QA Log'!D:D,A477,'QA Log'!M:M,"QQC",'QA Log'!Z:Z,"Rejected",'QA Log'!L:L,"*2. Hygiene and Sterilization*"),
COUNTIFS('QA Log'!D:D,A477,'QA Log'!M:M,"QQC",'QA Log'!Z:Z,"Rejected",'QA Log'!L:L,"*4. Family Planning*")
))</f>
        <v/>
      </c>
      <c r="AC477" s="102" t="str">
        <f t="shared" si="29"/>
        <v/>
      </c>
      <c r="AD477" s="103" t="str">
        <f t="shared" si="30"/>
        <v/>
      </c>
      <c r="AE477" s="102" t="str">
        <f>IF(A477="","",
SUM(
COUNTIFS('QA Log'!D:D,A477,'QA Log'!M:M,"Data Verification",'QA Log'!L:L,"*Medicine (section 2)*"),
COUNTIFS('QA Log'!D:D,A477,'QA Log'!M:M,"Data Verification",'QA Log'!L:L,"*Lab Testing Availability*"),
COUNTIFS('QA Log'!D:D,A477,'QA Log'!M:M,"Data Verification",'QA Log'!L:L,"*Other than P4P (section 6)*"),
COUNTIFS('QA Log'!D:D,A477,'QA Log'!M:M,"Data Verification",'QA Log'!L:L,"*Hospital Governance*")
))</f>
        <v/>
      </c>
      <c r="AF477" s="102" t="str">
        <f>IF(A477="","",
SUM(
COUNTIFS('QA Log'!D:D,A477,'QA Log'!M:M,"Data Verification",'QA Log'!Z:Z,"Approved",'QA Log'!L:L,"*Medicine (section 2)*"),
COUNTIFS('QA Log'!D:D,A477,'QA Log'!M:M,"Data Verification",'QA Log'!Z:Z,"Approved",'QA Log'!L:L,"*Lab Testing Availability*"),
COUNTIFS('QA Log'!D:D,A477,'QA Log'!M:M,"Data Verification",'QA Log'!Z:Z,"Approved",'QA Log'!L:L,"*Other than P4P (section 6)*"),
COUNTIFS('QA Log'!D:D,A477,'QA Log'!M:M,"Data Verification",'QA Log'!Z:Z,"Approved",'QA Log'!L:L,"*Hospital Governance*")
))</f>
        <v/>
      </c>
      <c r="AG477" s="105" t="str">
        <f>IF(A477&lt;&gt;"",COUNTIFS('QA Log'!D:D,A477,'QA Log'!M:M,"Data Verification",'QA Log'!L:L,"Medicine (section 2)",'QA Log'!Z:Z,"Approved"),"")</f>
        <v/>
      </c>
      <c r="AH477" s="105" t="str">
        <f>IF(A477&lt;&gt;"",COUNTIFS('QA Log'!D:D,A477,'QA Log'!M:M,"Data Verification",'QA Log'!L:L,"Lab Testing Availability",'QA Log'!Z:Z,"Approved"),"")</f>
        <v/>
      </c>
      <c r="AI477" s="105" t="str">
        <f>IF(A477&lt;&gt;"",COUNTIFS('QA Log'!D:D,A477,'QA Log'!M:M,"Data Verification",'QA Log'!L:L,"Other than P4P (section 6)",'QA Log'!Z:Z,"Approved"),"")</f>
        <v/>
      </c>
      <c r="AJ477" s="105" t="str">
        <f>IF(A477&lt;&gt;"",COUNTIFS('QA Log'!D:D,A477,'QA Log'!M:M,"Data Verification",'QA Log'!L:L,"Hospital Governance",'QA Log'!Z:Z,"Approved"),"")</f>
        <v/>
      </c>
      <c r="AK477" s="102" t="str">
        <f>IF(A477="","",
SUM(
COUNTIFS('QA Log'!D:D,A477,'QA Log'!M:M,"Data Verification",'QA Log'!Z:Z,"Rejected",'QA Log'!L:L,"*Medicine (section 2)*"),
COUNTIFS('QA Log'!D:D,A477,'QA Log'!M:M,"Data Verification",'QA Log'!Z:Z,"Rejected",'QA Log'!L:L,"*Lab Testing Availability*"),
COUNTIFS('QA Log'!D:D,A477,'QA Log'!M:M,"Data Verification",'QA Log'!Z:Z,"Rejected",'QA Log'!L:L,"*Other than P4P (section 6)*"),
COUNTIFS('QA Log'!D:D,A477,'QA Log'!M:M,"Data Verification",'QA Log'!Z:Z,"Rejected",'QA Log'!L:L,"*Hospital Governance*")
))</f>
        <v/>
      </c>
      <c r="AL477" s="106" t="str">
        <f t="shared" si="31"/>
        <v/>
      </c>
      <c r="AM477" s="102" t="str">
        <f t="shared" si="32"/>
        <v/>
      </c>
      <c r="AN477" s="102" t="str">
        <f>IF(A477="","",
SUM(
COUNTIFS('QA Log'!D:D,A477,'QA Log'!M:M,"Data Verification",'QA Log'!L:L,"*Personnel (section 1)*"),
COUNTIFS('QA Log'!D:D,A477,'QA Log'!M:M,"Data Verification",'QA Log'!L:L,"*Consumable (section 3)*"),
COUNTIFS('QA Log'!D:D,A477,'QA Log'!M:M,"Data Verification",'QA Log'!L:L,"*Equipments (section 4)*")
))</f>
        <v/>
      </c>
      <c r="AO477" s="102" t="str">
        <f>IF(A477="","",
SUM(
COUNTIFS('QA Log'!D:D,A477,'QA Log'!M:M,"Data Verification",'QA Log'!Z:Z,"Approved",'QA Log'!L:L,"*Personnel (section 1)*"),
COUNTIFS('QA Log'!D:D,A477,'QA Log'!M:M,"Data Verification",'QA Log'!Z:Z,"Approved",'QA Log'!L:L,"*Consumable (section 3)*"),
COUNTIFS('QA Log'!D:D,A477,'QA Log'!M:M,"Data Verification",'QA Log'!Z:Z,"Approved",'QA Log'!L:L,"*Equipments (section 4)*")
))</f>
        <v/>
      </c>
      <c r="AP477" s="105" t="str">
        <f>IF(A477&lt;&gt;"",COUNTIFS('QA Log'!D:D,A477,'QA Log'!M:M,"Data Verification",'QA Log'!L:L,"Personnel (section 1)",'QA Log'!Z:Z,"Approved"),"")</f>
        <v/>
      </c>
      <c r="AQ477" s="105" t="str">
        <f>IF(A477&lt;&gt;"",COUNTIFS('QA Log'!D:D,A477,'QA Log'!M:M,"Data Verification",'QA Log'!L:L,"Consumable (section 3)",'QA Log'!Z:Z,"Approved"),"")</f>
        <v/>
      </c>
      <c r="AR477" s="105" t="str">
        <f>IF(A477&lt;&gt;"",COUNTIFS('QA Log'!D:D,A477,'QA Log'!M:M,"Data Verification",'QA Log'!L:L,"Equipments (section 4)",'QA Log'!Z:Z,"Approved"),"")</f>
        <v/>
      </c>
      <c r="AS477" s="102" t="str">
        <f>IF(A477="","",
SUM(
COUNTIFS('QA Log'!D:D,A477,'QA Log'!M:M,"Data Verification",'QA Log'!Z:Z,"Rejected",'QA Log'!L:L,"*Personnel (section 1)*"),
COUNTIFS('QA Log'!D:D,A477,'QA Log'!M:M,"Data Verification",'QA Log'!Z:Z,"Rejected",'QA Log'!L:L,"*Consumable (section 3)*"),
COUNTIFS('QA Log'!D:D,A477,'QA Log'!M:M,"Data Verification",'QA Log'!Z:Z,"Rejected",'QA Log'!L:L,"*Equipments (section 4)*")
))</f>
        <v/>
      </c>
      <c r="AT477" s="102" t="str">
        <f t="shared" si="33"/>
        <v/>
      </c>
      <c r="AU477" s="103" t="str">
        <f t="shared" si="34"/>
        <v/>
      </c>
      <c r="AV477" s="102" t="str">
        <f>IF(A477="","",SUM(
COUNTIFS('QA Log'!D:D,A477,'QA Log'!M:M,"Vignette",'QA Log'!L:L,"*Vignette [1] Respiratory Infection: Pneumonia*"),
COUNTIFS('QA Log'!D:D,A477,'QA Log'!M:M,"Vignette",'QA Log'!L:L,"*Vignette [2]: Diarrhea with Cat B dehydration*"),
COUNTIFS('QA Log'!D:D,A477,'QA Log'!M:M,"Vignette",'QA Log'!L:L,"*Vignette [3] Growth Monitoring and Promotion*"),
COUNTIFS('QA Log'!D:D,A477,'QA Log'!M:M,"Vignette",'QA Log'!L:L,"*Vignette [4]: The management of presumptive TB patient*")
)
)</f>
        <v/>
      </c>
      <c r="AW477" s="102" t="str">
        <f>IF(
  A477="","",
  SUM(
    COUNTIFS('QA Log'!D:D,A477,'QA Log'!M:M,"Vignette",'QA Log'!Z:Z,"Approved",'QA Log'!L:L,"*Vignette [1] Respiratory Infection: Pneumonia*"),
    COUNTIFS('QA Log'!D:D,A477,'QA Log'!M:M,"Vignette",'QA Log'!Z:Z,"Approved",'QA Log'!L:L,"*Vignette [2]: Diarrhea with Cat B dehydration*"),
    COUNTIFS('QA Log'!D:D,A477,'QA Log'!M:M,"Vignette",'QA Log'!Z:Z,"Approved",'QA Log'!L:L,"*Vignette [3] Growth Monitoring and Promotion*"),
    COUNTIFS('QA Log'!D:D,A477,'QA Log'!M:M,"Vignette",'QA Log'!Z:Z,"Approved",'QA Log'!L:L,"*Vignette [4]: The management of presumptive TB patient*")
  )
)</f>
        <v/>
      </c>
      <c r="AX477" s="105" t="str">
        <f>IF(A477&lt;&gt;"",COUNTIFS('QA Log'!D:D,A477,'QA Log'!M:M,"Vignette",'QA Log'!L:L,"Vignette [1] Respiratory Infection: Pneumonia",'QA Log'!Z:Z,"Approved"),"")</f>
        <v/>
      </c>
      <c r="AY477" s="105" t="str">
        <f>IF(A477&lt;&gt;"",COUNTIFS('QA Log'!D:D,A477,'QA Log'!M:M,"Vignette",'QA Log'!L:L,"Vignette [2]: Diarrhea with Cat B dehydration",'QA Log'!Z:Z,"Approved"),"")</f>
        <v/>
      </c>
      <c r="AZ477" s="105" t="str">
        <f>IF(A477&lt;&gt;"",COUNTIFS('QA Log'!D:D,A477,'QA Log'!M:M,"Vignette",'QA Log'!L:L,"Vignette [3] Growth Monitoring and Promotion",'QA Log'!Z:Z,"Approved"),"")</f>
        <v/>
      </c>
      <c r="BA477" s="105" t="str">
        <f>IF(A477&lt;&gt;"",COUNTIFS('QA Log'!D:D,A477,'QA Log'!M:M,"Vignette",'QA Log'!L:L,"Vignette [4]: The management of presumptive TB patient",'QA Log'!Z:Z,"Approved"),"")</f>
        <v/>
      </c>
      <c r="BB477" s="102" t="str">
        <f>IF(A477="","",
  SUM(
    COUNTIFS('QA Log'!D:D,A477,'QA Log'!M:M,"Vignette",'QA Log'!Z:Z,"Rejected",'QA Log'!L:L,"*Vignette [1] Respiratory Infection: Pneumonia*"),
    COUNTIFS('QA Log'!D:D,A477,'QA Log'!M:M,"Vignette",'QA Log'!Z:Z,"Rejected",'QA Log'!L:L,"*Vignette [2]: Diarrhea with Cat B dehydration*"),
    COUNTIFS('QA Log'!D:D,A477,'QA Log'!M:M,"Vignette",'QA Log'!Z:Z,"Rejected",'QA Log'!L:L,"*Vignette [3] Growth Monitoring and Promotion*"),
    COUNTIFS('QA Log'!D:D,A477,'QA Log'!M:M,"Vignette",'QA Log'!Z:Z,"Rejected",'QA Log'!L:L,"*Vignette [4]: The management of presumptive TB patient*")
  )
)</f>
        <v/>
      </c>
      <c r="BC477" s="107" t="str">
        <f t="shared" si="35"/>
        <v/>
      </c>
      <c r="BD477" s="103" t="str">
        <f t="shared" si="36"/>
        <v/>
      </c>
      <c r="BE477" s="102" t="str">
        <f>IF(A477="","",SUM(
COUNTIFS('QA Log'!D:D,A477,'QA Log'!M:M,"Vignette",'QA Log'!L:L,"*Vignette [5] Labor*"),
COUNTIFS('QA Log'!D:D,A477,'QA Log'!M:M,"Vignette",'QA Log'!L:L,"*Vignette [6] PNC pre Discharge*"),
COUNTIFS('QA Log'!D:D,A477,'QA Log'!M:M,"Vignette",'QA Log'!L:L,"*Vignette [7] First ANC Visit*"),
COUNTIFS('QA Log'!D:D,A477,'QA Log'!M:M,"Vignette",'QA Log'!L:L,"*Vignette [8] Birth Spacing/ Family Planning :  FP Counselling*"),
COUNTIFS('QA Log'!D:D,A477,'QA Log'!M:M,"Vignette",'QA Log'!L:L,"*Vignette [9] Birth Spacing: Change FP method to Injectable*"),
COUNTIFS('QA Log'!D:D,A477,'QA Log'!M:M,"Vignette",'QA Log'!L:L,"*Vignette [10] Post Partum Haemorrhage - Atonic Uterus at Health Centre*"),
)
)</f>
        <v/>
      </c>
      <c r="BF477" s="102" t="str">
        <f>IF(A477="","",
  SUM(
    COUNTIFS('QA Log'!D:D,A477,'QA Log'!M:M,"Vignette",'QA Log'!Z:Z,"Approved",'QA Log'!L:L,"*Vignette [5] Labor*"),
    COUNTIFS('QA Log'!D:D,A477,'QA Log'!M:M,"Vignette",'QA Log'!Z:Z,"Approved",'QA Log'!L:L,"*Vignette [6] PNC pre Discharge*"),
    COUNTIFS('QA Log'!D:D,A477,'QA Log'!M:M,"Vignette",'QA Log'!Z:Z,"Approved",'QA Log'!L:L,"*Vignette [7] First ANC Visit*"),
    COUNTIFS('QA Log'!D:D,A477,'QA Log'!M:M,"Vignette",'QA Log'!Z:Z,"Approved",'QA Log'!L:L,"*Vignette [8] Birth Spacing/ Family Planning :  FP Counselling*"),
    COUNTIFS('QA Log'!D:D,A477,'QA Log'!M:M,"Vignette",'QA Log'!Z:Z,"Approved",'QA Log'!L:L,"*Vignette [9] Birth Spacing: Change FP method to Injectable*"),
    COUNTIFS('QA Log'!D:D,A477,'QA Log'!M:M,"Vignette",'QA Log'!Z:Z,"Approved",'QA Log'!L:L,"*Vignette [10] Post Partum Haemorrhage - Atonic Uterus at Health Centre*")
  )
)</f>
        <v/>
      </c>
      <c r="BG477" s="105" t="str">
        <f>IF(A477&lt;&gt;"",COUNTIFS('QA Log'!D:D,A477,'QA Log'!M:M,"Vignette",'QA Log'!L:L,"Vignette [5] Labor",'QA Log'!Z:Z,"Approved"),"")</f>
        <v/>
      </c>
      <c r="BH477" s="105" t="str">
        <f>IF(A477&lt;&gt;"",COUNTIFS('QA Log'!D:D,A477,'QA Log'!M:M,"Vignette",'QA Log'!L:L,"Vignette [6] PNC pre Discharge",'QA Log'!Z:Z,"Approved"),"")</f>
        <v/>
      </c>
      <c r="BI477" s="105" t="str">
        <f>IF(A477&lt;&gt;"",COUNTIFS('QA Log'!D:D,A477,'QA Log'!M:M,"Vignette",'QA Log'!L:L,"Vignette [7] First ANC Visit",'QA Log'!Z:Z,"Approved"),"")</f>
        <v/>
      </c>
      <c r="BJ477" s="105" t="str">
        <f>IF(A477&lt;&gt;"",COUNTIFS('QA Log'!D:D,A477,'QA Log'!M:M,"Vignette",'QA Log'!L:L,"Vignette [8] Birth Spacing/ Family Planning :  FP Counselling",'QA Log'!Z:Z,"Approved"),"")</f>
        <v/>
      </c>
      <c r="BK477" s="105" t="str">
        <f>IF(A477&lt;&gt;"",COUNTIFS('QA Log'!D:D,A477,'QA Log'!M:M,"Vignette",'QA Log'!L:L,"Vignette [9] Birth Spacing: Change FP method to Injectable",'QA Log'!Z:Z,"Approved"),"")</f>
        <v/>
      </c>
      <c r="BL477" s="105" t="str">
        <f>IF(A477&lt;&gt;"",COUNTIFS('QA Log'!D:D,A477,'QA Log'!M:M,"Vignette",'QA Log'!L:L,"Vignette [10] Post Partum Haemorrhage - Atonic Uterus at Health Centre",'QA Log'!Z:Z,"Approved"),"")</f>
        <v/>
      </c>
      <c r="BM477" s="102" t="str">
        <f>IF(A477="","",SUM(
    COUNTIFS('QA Log'!D:D,A477,'QA Log'!M:M,"Vignette",'QA Log'!Z:Z,"Rejected",'QA Log'!L:L,"*Vignette [5] Labor*"),
    COUNTIFS('QA Log'!D:D,A477,'QA Log'!M:M,"Vignette",'QA Log'!Z:Z,"Rejected",'QA Log'!L:L,"*Vignette [6] PNC pre Discharge*"),
    COUNTIFS('QA Log'!D:D,A477,'QA Log'!M:M,"Vignette",'QA Log'!Z:Z,"Rejected",'QA Log'!L:L,"*Vignette [7] First ANC Visit*"),
    COUNTIFS('QA Log'!D:D,A477,'QA Log'!M:M,"Vignette",'QA Log'!Z:Z,"Rejected",'QA Log'!L:L,"*Vignette [8] Birth Spacing/ Family Planning :  FP Counselling*"),
    COUNTIFS('QA Log'!D:D,A477,'QA Log'!M:M,"Vignette",'QA Log'!Z:Z,"Rejected",'QA Log'!L:L,"*Vignette [9] Birth Spacing: Change FP method to Injectable*"),
    COUNTIFS('QA Log'!D:D,A477,'QA Log'!M:M,"Vignette",'QA Log'!Z:Z,"Rejected",'QA Log'!L:L,"*Vignette [10] Post Partum Haemorrhage - Atonic Uterus at Health Centre*")
  )
)</f>
        <v/>
      </c>
      <c r="BN477" s="107" t="str">
        <f t="shared" si="37"/>
        <v/>
      </c>
      <c r="BO477" s="103" t="str">
        <f t="shared" si="38"/>
        <v/>
      </c>
      <c r="BP477" s="102" t="str">
        <f>IF(A477="","",SUM(
COUNTIFS('QA Log'!D:D,A477,'QA Log'!M:M,"Vignette",'QA Log'!L:L,"*Exit Interview 1*"),
COUNTIFS('QA Log'!D:D,A477,'QA Log'!M:M,"Vignette",'QA Log'!L:L,"*Exit Interview 2*"),
)
)</f>
        <v/>
      </c>
      <c r="BQ477" s="102" t="str">
        <f>IF(
  A477="","",
  SUM(
    COUNTIFS('QA Log'!D:D,A477,'QA Log'!M:M,"Vignette",'QA Log'!Z:Z,"Approved",'QA Log'!L:L,"*Exit Interview 1*"),
    COUNTIFS('QA Log'!D:D,A477,'QA Log'!M:M,"Vignette",'QA Log'!Z:Z,"Approved",'QA Log'!L:L,"*Exit Interview 2*")
  )
)</f>
        <v/>
      </c>
      <c r="BR477" s="105" t="str">
        <f>IF(A477&lt;&gt;"",COUNTIFS('QA Log'!D:D,A477,'QA Log'!M:M,"Vignette",'QA Log'!L:L,"Exit Interview 1",'QA Log'!Z:Z,"Approved"),"")</f>
        <v/>
      </c>
      <c r="BS477" s="105" t="str">
        <f>IF(A477&lt;&gt;"",COUNTIFS('QA Log'!D:D,A477,'QA Log'!M:M,"Vignette",'QA Log'!L:L,"Exit Interview 2",'QA Log'!Z:Z,"Approved"),"")</f>
        <v/>
      </c>
      <c r="BT477" s="102" t="str">
        <f>IF(
  A477="","",
  SUM(
    COUNTIFS('QA Log'!D:D,A477,'QA Log'!M:M,"Vignette",'QA Log'!Z:Z,"Rejected",'QA Log'!L:L,"*Exit Interview 1*"),
    COUNTIFS('QA Log'!D:D,A477,'QA Log'!M:M,"Vignette",'QA Log'!Z:Z,"Rejected",'QA Log'!L:L,"*Exit Interview 2*")
  )
)</f>
        <v/>
      </c>
      <c r="BU477" s="107" t="str">
        <f t="shared" si="39"/>
        <v/>
      </c>
      <c r="BV477" s="102" t="str">
        <f t="shared" si="40"/>
        <v/>
      </c>
      <c r="BW477" s="102" t="str">
        <f t="shared" si="41"/>
        <v/>
      </c>
      <c r="BX477" s="102" t="str">
        <f t="shared" si="42"/>
        <v/>
      </c>
      <c r="BY477" s="102" t="str">
        <f t="shared" si="43"/>
        <v/>
      </c>
      <c r="BZ477" s="107" t="str">
        <f t="shared" si="44"/>
        <v/>
      </c>
      <c r="CA477" s="108" t="str">
        <f t="shared" si="45"/>
        <v/>
      </c>
      <c r="CB477" s="108" t="str">
        <f t="shared" si="46"/>
        <v/>
      </c>
      <c r="CC477" s="109" t="str">
        <f t="shared" si="47"/>
        <v/>
      </c>
      <c r="CD477" s="108" t="str">
        <f t="shared" si="48"/>
        <v/>
      </c>
      <c r="CE477" s="108" t="str">
        <f t="shared" si="49"/>
        <v/>
      </c>
      <c r="CF477" s="109" t="str">
        <f t="shared" si="50"/>
        <v/>
      </c>
      <c r="CG477" s="110" t="str">
        <f t="shared" si="51"/>
        <v/>
      </c>
      <c r="CH477" s="111"/>
    </row>
    <row r="478" spans="1:86" ht="12.75">
      <c r="A478" s="101"/>
      <c r="B478" s="102" t="e">
        <f t="array" aca="1" ref="B478" ca="1">_xludf.XLOOKUP(A478,'QA Log'!D:D,'QA Log'!E:E,"")</f>
        <v>#NAME?</v>
      </c>
      <c r="C478" s="102" t="e">
        <f t="array" aca="1" ref="C478" ca="1">_xludf.XLOOKUP(A478,'QA Log'!D:D,'QA Log'!F:F,"")</f>
        <v>#NAME?</v>
      </c>
      <c r="D478" s="102" t="e">
        <f t="array" aca="1" ref="D478" ca="1">_xludf.XLOOKUP(A478,'QA Log'!D:D,'QA Log'!H:H,"")</f>
        <v>#NAME?</v>
      </c>
      <c r="E478" s="102" t="e">
        <f t="array" aca="1" ref="E478" ca="1">_xludf.XLOOKUP(A478,'QA Log'!D:D,'QA Log'!G:G,"")</f>
        <v>#NAME?</v>
      </c>
      <c r="F478" s="103"/>
      <c r="G478" s="104"/>
      <c r="H478" s="104"/>
      <c r="I478" s="103" t="str">
        <f t="shared" si="26"/>
        <v/>
      </c>
      <c r="J478" s="102" t="str">
        <f>IF(A478="","",SUM(
COUNTIFS('QA Log'!D:D,A478,'QA Log'!M:M,"QQC",'QA Log'!L:L,"*1. General Management*"),
COUNTIFS('QA Log'!D:D,A478,'QA Log'!M:M,"QQC",'QA Log'!L:L,"*3. Curative Consultation (OPD)*"),
COUNTIFS('QA Log'!D:D,A478,'QA Log'!M:M,"QQC",'QA Log'!L:L,"*5. Laboratory*"),
COUNTIFS('QA Log'!D:D,A478,'QA Log'!M:M,"QQC",'QA Log'!L:L,"*6. Essential Medicine Management*"),
COUNTIFS('QA Log'!D:D,A478,'QA Log'!M:M,"QQC",'QA Log'!L:L,"*7. Tracer Medicine*"),
COUNTIFS('QA Log'!D:D,A478,'QA Log'!M:M,"QQC",'QA Log'!L:L,"*11. Additional Questions*")))</f>
        <v/>
      </c>
      <c r="K478" s="102" t="str">
        <f>IF(A478="","",SUM(
COUNTIFS('QA Log'!D:D,A478,'QA Log'!M:M,"QQC",'QA Log'!Z:Z,"Approved",'QA Log'!L:L,"*1. General Management*"),
COUNTIFS('QA Log'!D:D,A478,'QA Log'!M:M,"QQC",'QA Log'!Z:Z,"Approved",'QA Log'!L:L,"*3. Curative Consultation (OPD)*"),
COUNTIFS('QA Log'!D:D,A478,'QA Log'!M:M,"QQC",'QA Log'!Z:Z,"Approved",'QA Log'!L:L,"*5. Laboratory*"),
COUNTIFS('QA Log'!D:D,A478,'QA Log'!M:M,"QQC",'QA Log'!Z:Z,"Approved",'QA Log'!L:L,"*6. Essential Medicine Management*"),
COUNTIFS('QA Log'!D:D,A478,'QA Log'!M:M,"QQC",'QA Log'!Z:Z,"Approved",'QA Log'!L:L,"*7. Tracer Medicine*"),
COUNTIFS('QA Log'!D:D,A478,'QA Log'!M:M,"QQC",'QA Log'!Z:Z,"Approved",'QA Log'!L:L,"*11. Additional Questions*")))</f>
        <v/>
      </c>
      <c r="L478" s="102" t="str">
        <f>IF(A478&lt;&gt;"",COUNTIFS('QA Log'!D:D,A478,'QA Log'!M:M,"QQC",'QA Log'!L:L,"1. General Management",'QA Log'!Z:Z,"Approved"),"")</f>
        <v/>
      </c>
      <c r="M478" s="102" t="str">
        <f>IF(A478&lt;&gt;"",COUNTIFS('QA Log'!D:D,A478,'QA Log'!M:M,"QQC",'QA Log'!L:L,"3. Curative Consultation (OPD)",'QA Log'!Z:Z,"Approved"),"")</f>
        <v/>
      </c>
      <c r="N478" s="102" t="str">
        <f>IF(A478&lt;&gt;"",COUNTIFS('QA Log'!D:D,A478,'QA Log'!M:M,"QQC",'QA Log'!L:L,"5. Laboratory",'QA Log'!Z:Z,"Approved"),"")</f>
        <v/>
      </c>
      <c r="O478" s="102" t="str">
        <f>IF(A478&lt;&gt;"",COUNTIFS('QA Log'!D:D,A478,'QA Log'!M:M,"QQC",'QA Log'!L:L,"6. Essential Medicine Management",'QA Log'!Z:Z,"Approved"),"")</f>
        <v/>
      </c>
      <c r="P478" s="102" t="str">
        <f>IF(A478&lt;&gt;"",COUNTIFS('QA Log'!D:D,A478,'QA Log'!M:M,"QQC",'QA Log'!L:L,"7. Tracer Medicine",'QA Log'!Z:Z,"Approved"),"")</f>
        <v/>
      </c>
      <c r="Q478" s="102" t="str">
        <f>IF(A478&lt;&gt;"",COUNTIFS('QA Log'!D:D,A478,'QA Log'!M:M,"QQC",'QA Log'!L:L,"11. Additional Questions",'QA Log'!Z:Z,"Approved"),"")</f>
        <v/>
      </c>
      <c r="R478" s="102" t="str">
        <f>IF(A478="","",SUM(
COUNTIFS('QA Log'!D:D,A478,'QA Log'!M:M,"QQC",'QA Log'!Z:Z,"Rejected",'QA Log'!L:L,"*8. Maternity*"),
COUNTIFS('QA Log'!D:D,A478,'QA Log'!M:M,"QQC",'QA Log'!Z:Z,"Rejected",'QA Log'!L:L,"*EPI*"),
COUNTIFS('QA Log'!D:D,A478,'QA Log'!M:M,"QQC",'QA Log'!Z:Z,"Rejected",'QA Log'!L:L,"*10. Antenatal Care (ANC)*"),
COUNTIFS('QA Log'!D:D,A478,'QA Log'!M:M,"QQC",'QA Log'!Z:Z,"Rejected",'QA Log'!L:L,"*2. Hygiene and Sterilization*"),
COUNTIFS('QA Log'!D:D,A478,'QA Log'!M:M,"QQC",'QA Log'!Z:Z,"Rejected",'QA Log'!L:L,"*Family Planning*")))</f>
        <v/>
      </c>
      <c r="S478" s="106" t="str">
        <f t="shared" si="27"/>
        <v/>
      </c>
      <c r="T478" s="102" t="str">
        <f t="shared" si="28"/>
        <v/>
      </c>
      <c r="U478" s="102" t="str">
        <f>IF(A478="","",
SUM(
COUNTIFS('QA Log'!D:D,A478,'QA Log'!M:M,"QQC",'QA Log'!L:L,"*8. Maternity*"),
COUNTIFS('QA Log'!D:D,A478,'QA Log'!M:M,"QQC",'QA Log'!L:L,"*9. EPI and Pre-school Consultation*"),
COUNTIFS('QA Log'!D:D,A478,'QA Log'!M:M,"QQC",'QA Log'!L:L,"*10. Antenatal Care (ANC)*"),
COUNTIFS('QA Log'!D:D,A478,'QA Log'!M:M,"QQC",'QA Log'!L:L,"*2. Hygiene and Sterilization*"),
COUNTIFS('QA Log'!D:D,A478,'QA Log'!M:M,"QQC",'QA Log'!L:L,"*4. Family Planning*")
))</f>
        <v/>
      </c>
      <c r="V478" s="102" t="str">
        <f>IF(A478="","",
SUM(
COUNTIFS('QA Log'!D:D,A478,'QA Log'!M:M,"QQC",'QA Log'!Z:Z,"Approved",'QA Log'!L:L,"*8. Maternity*"),
COUNTIFS('QA Log'!D:D,A478,'QA Log'!M:M,"QQC",'QA Log'!Z:Z,"Approved",'QA Log'!L:L,"*9. EPI and Pre-school Consultation*"),
COUNTIFS('QA Log'!D:D,A478,'QA Log'!M:M,"QQC",'QA Log'!Z:Z,"Approved",'QA Log'!L:L,"*10. Antenatal Care (ANC)*"),
COUNTIFS('QA Log'!D:D,A478,'QA Log'!M:M,"QQC",'QA Log'!Z:Z,"Approved",'QA Log'!L:L,"*2. Hygiene and Sterilization*"),
COUNTIFS('QA Log'!D:D,A478,'QA Log'!M:M,"QQC",'QA Log'!Z:Z,"Approved",'QA Log'!L:L,"*4. Family Planning*")
))</f>
        <v/>
      </c>
      <c r="W478" s="102" t="str">
        <f>IF(A478&lt;&gt;"",COUNTIFS('QA Log'!D:D,A478,'QA Log'!M:M,"QQC",'QA Log'!L:L,"8. Maternity",'QA Log'!Z:Z,"Approved"),"")</f>
        <v/>
      </c>
      <c r="X478" s="105" t="str">
        <f>IF(A478&lt;&gt;"",COUNTIFS('QA Log'!D:D,A478,'QA Log'!M:M,"QQC",'QA Log'!L:L,"9. EPI and Pre-school Consultation",'QA Log'!Z:Z,"Approved"),"")</f>
        <v/>
      </c>
      <c r="Y478" s="102" t="str">
        <f>IF(A478&lt;&gt;"",COUNTIFS('QA Log'!D:D,A478,'QA Log'!M:M,"QQC",'QA Log'!L:L,"10. Antenatal Care (ANC)",'QA Log'!Z:Z,"Approved"),"")</f>
        <v/>
      </c>
      <c r="Z478" s="102" t="str">
        <f>IF(A478&lt;&gt;"",COUNTIFS('QA Log'!D:D,A478,'QA Log'!M:M,"QQC",'QA Log'!L:L,"2. Hygiene and Sterilization",'QA Log'!Z:Z,"Approved"),"")</f>
        <v/>
      </c>
      <c r="AA478" s="105" t="str">
        <f>IF(A478&lt;&gt;"",COUNTIFS('QA Log'!D:D,A478,'QA Log'!M:M,"QQC",'QA Log'!L:L,"4. Family Planning",'QA Log'!Z:Z,"Approved"),"")</f>
        <v/>
      </c>
      <c r="AB478" s="102" t="str">
        <f>IF(A478="","",
SUM(
COUNTIFS('QA Log'!D:D,A478,'QA Log'!M:M,"QQC",'QA Log'!Z:Z,"Rejected",'QA Log'!L:L,"*8. Maternity*"),
COUNTIFS('QA Log'!D:D,A478,'QA Log'!M:M,"QQC",'QA Log'!Z:Z,"Rejected",'QA Log'!L:L,"*9. EPI and Pre-school Consultation*"),
COUNTIFS('QA Log'!D:D,A478,'QA Log'!M:M,"QQC",'QA Log'!Z:Z,"Rejected",'QA Log'!L:L,"*10. Antenatal Care (ANC)*"),
COUNTIFS('QA Log'!D:D,A478,'QA Log'!M:M,"QQC",'QA Log'!Z:Z,"Rejected",'QA Log'!L:L,"*2. Hygiene and Sterilization*"),
COUNTIFS('QA Log'!D:D,A478,'QA Log'!M:M,"QQC",'QA Log'!Z:Z,"Rejected",'QA Log'!L:L,"*4. Family Planning*")
))</f>
        <v/>
      </c>
      <c r="AC478" s="102" t="str">
        <f t="shared" si="29"/>
        <v/>
      </c>
      <c r="AD478" s="103" t="str">
        <f t="shared" si="30"/>
        <v/>
      </c>
      <c r="AE478" s="102" t="str">
        <f>IF(A478="","",
SUM(
COUNTIFS('QA Log'!D:D,A478,'QA Log'!M:M,"Data Verification",'QA Log'!L:L,"*Medicine (section 2)*"),
COUNTIFS('QA Log'!D:D,A478,'QA Log'!M:M,"Data Verification",'QA Log'!L:L,"*Lab Testing Availability*"),
COUNTIFS('QA Log'!D:D,A478,'QA Log'!M:M,"Data Verification",'QA Log'!L:L,"*Other than P4P (section 6)*"),
COUNTIFS('QA Log'!D:D,A478,'QA Log'!M:M,"Data Verification",'QA Log'!L:L,"*Hospital Governance*")
))</f>
        <v/>
      </c>
      <c r="AF478" s="102" t="str">
        <f>IF(A478="","",
SUM(
COUNTIFS('QA Log'!D:D,A478,'QA Log'!M:M,"Data Verification",'QA Log'!Z:Z,"Approved",'QA Log'!L:L,"*Medicine (section 2)*"),
COUNTIFS('QA Log'!D:D,A478,'QA Log'!M:M,"Data Verification",'QA Log'!Z:Z,"Approved",'QA Log'!L:L,"*Lab Testing Availability*"),
COUNTIFS('QA Log'!D:D,A478,'QA Log'!M:M,"Data Verification",'QA Log'!Z:Z,"Approved",'QA Log'!L:L,"*Other than P4P (section 6)*"),
COUNTIFS('QA Log'!D:D,A478,'QA Log'!M:M,"Data Verification",'QA Log'!Z:Z,"Approved",'QA Log'!L:L,"*Hospital Governance*")
))</f>
        <v/>
      </c>
      <c r="AG478" s="105" t="str">
        <f>IF(A478&lt;&gt;"",COUNTIFS('QA Log'!D:D,A478,'QA Log'!M:M,"Data Verification",'QA Log'!L:L,"Medicine (section 2)",'QA Log'!Z:Z,"Approved"),"")</f>
        <v/>
      </c>
      <c r="AH478" s="105" t="str">
        <f>IF(A478&lt;&gt;"",COUNTIFS('QA Log'!D:D,A478,'QA Log'!M:M,"Data Verification",'QA Log'!L:L,"Lab Testing Availability",'QA Log'!Z:Z,"Approved"),"")</f>
        <v/>
      </c>
      <c r="AI478" s="105" t="str">
        <f>IF(A478&lt;&gt;"",COUNTIFS('QA Log'!D:D,A478,'QA Log'!M:M,"Data Verification",'QA Log'!L:L,"Other than P4P (section 6)",'QA Log'!Z:Z,"Approved"),"")</f>
        <v/>
      </c>
      <c r="AJ478" s="105" t="str">
        <f>IF(A478&lt;&gt;"",COUNTIFS('QA Log'!D:D,A478,'QA Log'!M:M,"Data Verification",'QA Log'!L:L,"Hospital Governance",'QA Log'!Z:Z,"Approved"),"")</f>
        <v/>
      </c>
      <c r="AK478" s="102" t="str">
        <f>IF(A478="","",
SUM(
COUNTIFS('QA Log'!D:D,A478,'QA Log'!M:M,"Data Verification",'QA Log'!Z:Z,"Rejected",'QA Log'!L:L,"*Medicine (section 2)*"),
COUNTIFS('QA Log'!D:D,A478,'QA Log'!M:M,"Data Verification",'QA Log'!Z:Z,"Rejected",'QA Log'!L:L,"*Lab Testing Availability*"),
COUNTIFS('QA Log'!D:D,A478,'QA Log'!M:M,"Data Verification",'QA Log'!Z:Z,"Rejected",'QA Log'!L:L,"*Other than P4P (section 6)*"),
COUNTIFS('QA Log'!D:D,A478,'QA Log'!M:M,"Data Verification",'QA Log'!Z:Z,"Rejected",'QA Log'!L:L,"*Hospital Governance*")
))</f>
        <v/>
      </c>
      <c r="AL478" s="106" t="str">
        <f t="shared" si="31"/>
        <v/>
      </c>
      <c r="AM478" s="102" t="str">
        <f t="shared" si="32"/>
        <v/>
      </c>
      <c r="AN478" s="102" t="str">
        <f>IF(A478="","",
SUM(
COUNTIFS('QA Log'!D:D,A478,'QA Log'!M:M,"Data Verification",'QA Log'!L:L,"*Personnel (section 1)*"),
COUNTIFS('QA Log'!D:D,A478,'QA Log'!M:M,"Data Verification",'QA Log'!L:L,"*Consumable (section 3)*"),
COUNTIFS('QA Log'!D:D,A478,'QA Log'!M:M,"Data Verification",'QA Log'!L:L,"*Equipments (section 4)*")
))</f>
        <v/>
      </c>
      <c r="AO478" s="102" t="str">
        <f>IF(A478="","",
SUM(
COUNTIFS('QA Log'!D:D,A478,'QA Log'!M:M,"Data Verification",'QA Log'!Z:Z,"Approved",'QA Log'!L:L,"*Personnel (section 1)*"),
COUNTIFS('QA Log'!D:D,A478,'QA Log'!M:M,"Data Verification",'QA Log'!Z:Z,"Approved",'QA Log'!L:L,"*Consumable (section 3)*"),
COUNTIFS('QA Log'!D:D,A478,'QA Log'!M:M,"Data Verification",'QA Log'!Z:Z,"Approved",'QA Log'!L:L,"*Equipments (section 4)*")
))</f>
        <v/>
      </c>
      <c r="AP478" s="105" t="str">
        <f>IF(A478&lt;&gt;"",COUNTIFS('QA Log'!D:D,A478,'QA Log'!M:M,"Data Verification",'QA Log'!L:L,"Personnel (section 1)",'QA Log'!Z:Z,"Approved"),"")</f>
        <v/>
      </c>
      <c r="AQ478" s="105" t="str">
        <f>IF(A478&lt;&gt;"",COUNTIFS('QA Log'!D:D,A478,'QA Log'!M:M,"Data Verification",'QA Log'!L:L,"Consumable (section 3)",'QA Log'!Z:Z,"Approved"),"")</f>
        <v/>
      </c>
      <c r="AR478" s="105" t="str">
        <f>IF(A478&lt;&gt;"",COUNTIFS('QA Log'!D:D,A478,'QA Log'!M:M,"Data Verification",'QA Log'!L:L,"Equipments (section 4)",'QA Log'!Z:Z,"Approved"),"")</f>
        <v/>
      </c>
      <c r="AS478" s="102" t="str">
        <f>IF(A478="","",
SUM(
COUNTIFS('QA Log'!D:D,A478,'QA Log'!M:M,"Data Verification",'QA Log'!Z:Z,"Rejected",'QA Log'!L:L,"*Personnel (section 1)*"),
COUNTIFS('QA Log'!D:D,A478,'QA Log'!M:M,"Data Verification",'QA Log'!Z:Z,"Rejected",'QA Log'!L:L,"*Consumable (section 3)*"),
COUNTIFS('QA Log'!D:D,A478,'QA Log'!M:M,"Data Verification",'QA Log'!Z:Z,"Rejected",'QA Log'!L:L,"*Equipments (section 4)*")
))</f>
        <v/>
      </c>
      <c r="AT478" s="102" t="str">
        <f t="shared" si="33"/>
        <v/>
      </c>
      <c r="AU478" s="103" t="str">
        <f t="shared" si="34"/>
        <v/>
      </c>
      <c r="AV478" s="102" t="str">
        <f>IF(A478="","",SUM(
COUNTIFS('QA Log'!D:D,A478,'QA Log'!M:M,"Vignette",'QA Log'!L:L,"*Vignette [1] Respiratory Infection: Pneumonia*"),
COUNTIFS('QA Log'!D:D,A478,'QA Log'!M:M,"Vignette",'QA Log'!L:L,"*Vignette [2]: Diarrhea with Cat B dehydration*"),
COUNTIFS('QA Log'!D:D,A478,'QA Log'!M:M,"Vignette",'QA Log'!L:L,"*Vignette [3] Growth Monitoring and Promotion*"),
COUNTIFS('QA Log'!D:D,A478,'QA Log'!M:M,"Vignette",'QA Log'!L:L,"*Vignette [4]: The management of presumptive TB patient*")
)
)</f>
        <v/>
      </c>
      <c r="AW478" s="102" t="str">
        <f>IF(
  A478="","",
  SUM(
    COUNTIFS('QA Log'!D:D,A478,'QA Log'!M:M,"Vignette",'QA Log'!Z:Z,"Approved",'QA Log'!L:L,"*Vignette [1] Respiratory Infection: Pneumonia*"),
    COUNTIFS('QA Log'!D:D,A478,'QA Log'!M:M,"Vignette",'QA Log'!Z:Z,"Approved",'QA Log'!L:L,"*Vignette [2]: Diarrhea with Cat B dehydration*"),
    COUNTIFS('QA Log'!D:D,A478,'QA Log'!M:M,"Vignette",'QA Log'!Z:Z,"Approved",'QA Log'!L:L,"*Vignette [3] Growth Monitoring and Promotion*"),
    COUNTIFS('QA Log'!D:D,A478,'QA Log'!M:M,"Vignette",'QA Log'!Z:Z,"Approved",'QA Log'!L:L,"*Vignette [4]: The management of presumptive TB patient*")
  )
)</f>
        <v/>
      </c>
      <c r="AX478" s="105" t="str">
        <f>IF(A478&lt;&gt;"",COUNTIFS('QA Log'!D:D,A478,'QA Log'!M:M,"Vignette",'QA Log'!L:L,"Vignette [1] Respiratory Infection: Pneumonia",'QA Log'!Z:Z,"Approved"),"")</f>
        <v/>
      </c>
      <c r="AY478" s="105" t="str">
        <f>IF(A478&lt;&gt;"",COUNTIFS('QA Log'!D:D,A478,'QA Log'!M:M,"Vignette",'QA Log'!L:L,"Vignette [2]: Diarrhea with Cat B dehydration",'QA Log'!Z:Z,"Approved"),"")</f>
        <v/>
      </c>
      <c r="AZ478" s="105" t="str">
        <f>IF(A478&lt;&gt;"",COUNTIFS('QA Log'!D:D,A478,'QA Log'!M:M,"Vignette",'QA Log'!L:L,"Vignette [3] Growth Monitoring and Promotion",'QA Log'!Z:Z,"Approved"),"")</f>
        <v/>
      </c>
      <c r="BA478" s="105" t="str">
        <f>IF(A478&lt;&gt;"",COUNTIFS('QA Log'!D:D,A478,'QA Log'!M:M,"Vignette",'QA Log'!L:L,"Vignette [4]: The management of presumptive TB patient",'QA Log'!Z:Z,"Approved"),"")</f>
        <v/>
      </c>
      <c r="BB478" s="102" t="str">
        <f>IF(A478="","",
  SUM(
    COUNTIFS('QA Log'!D:D,A478,'QA Log'!M:M,"Vignette",'QA Log'!Z:Z,"Rejected",'QA Log'!L:L,"*Vignette [1] Respiratory Infection: Pneumonia*"),
    COUNTIFS('QA Log'!D:D,A478,'QA Log'!M:M,"Vignette",'QA Log'!Z:Z,"Rejected",'QA Log'!L:L,"*Vignette [2]: Diarrhea with Cat B dehydration*"),
    COUNTIFS('QA Log'!D:D,A478,'QA Log'!M:M,"Vignette",'QA Log'!Z:Z,"Rejected",'QA Log'!L:L,"*Vignette [3] Growth Monitoring and Promotion*"),
    COUNTIFS('QA Log'!D:D,A478,'QA Log'!M:M,"Vignette",'QA Log'!Z:Z,"Rejected",'QA Log'!L:L,"*Vignette [4]: The management of presumptive TB patient*")
  )
)</f>
        <v/>
      </c>
      <c r="BC478" s="107" t="str">
        <f t="shared" si="35"/>
        <v/>
      </c>
      <c r="BD478" s="103" t="str">
        <f t="shared" si="36"/>
        <v/>
      </c>
      <c r="BE478" s="102" t="str">
        <f>IF(A478="","",SUM(
COUNTIFS('QA Log'!D:D,A478,'QA Log'!M:M,"Vignette",'QA Log'!L:L,"*Vignette [5] Labor*"),
COUNTIFS('QA Log'!D:D,A478,'QA Log'!M:M,"Vignette",'QA Log'!L:L,"*Vignette [6] PNC pre Discharge*"),
COUNTIFS('QA Log'!D:D,A478,'QA Log'!M:M,"Vignette",'QA Log'!L:L,"*Vignette [7] First ANC Visit*"),
COUNTIFS('QA Log'!D:D,A478,'QA Log'!M:M,"Vignette",'QA Log'!L:L,"*Vignette [8] Birth Spacing/ Family Planning :  FP Counselling*"),
COUNTIFS('QA Log'!D:D,A478,'QA Log'!M:M,"Vignette",'QA Log'!L:L,"*Vignette [9] Birth Spacing: Change FP method to Injectable*"),
COUNTIFS('QA Log'!D:D,A478,'QA Log'!M:M,"Vignette",'QA Log'!L:L,"*Vignette [10] Post Partum Haemorrhage - Atonic Uterus at Health Centre*"),
)
)</f>
        <v/>
      </c>
      <c r="BF478" s="102" t="str">
        <f>IF(A478="","",
  SUM(
    COUNTIFS('QA Log'!D:D,A478,'QA Log'!M:M,"Vignette",'QA Log'!Z:Z,"Approved",'QA Log'!L:L,"*Vignette [5] Labor*"),
    COUNTIFS('QA Log'!D:D,A478,'QA Log'!M:M,"Vignette",'QA Log'!Z:Z,"Approved",'QA Log'!L:L,"*Vignette [6] PNC pre Discharge*"),
    COUNTIFS('QA Log'!D:D,A478,'QA Log'!M:M,"Vignette",'QA Log'!Z:Z,"Approved",'QA Log'!L:L,"*Vignette [7] First ANC Visit*"),
    COUNTIFS('QA Log'!D:D,A478,'QA Log'!M:M,"Vignette",'QA Log'!Z:Z,"Approved",'QA Log'!L:L,"*Vignette [8] Birth Spacing/ Family Planning :  FP Counselling*"),
    COUNTIFS('QA Log'!D:D,A478,'QA Log'!M:M,"Vignette",'QA Log'!Z:Z,"Approved",'QA Log'!L:L,"*Vignette [9] Birth Spacing: Change FP method to Injectable*"),
    COUNTIFS('QA Log'!D:D,A478,'QA Log'!M:M,"Vignette",'QA Log'!Z:Z,"Approved",'QA Log'!L:L,"*Vignette [10] Post Partum Haemorrhage - Atonic Uterus at Health Centre*")
  )
)</f>
        <v/>
      </c>
      <c r="BG478" s="105" t="str">
        <f>IF(A478&lt;&gt;"",COUNTIFS('QA Log'!D:D,A478,'QA Log'!M:M,"Vignette",'QA Log'!L:L,"Vignette [5] Labor",'QA Log'!Z:Z,"Approved"),"")</f>
        <v/>
      </c>
      <c r="BH478" s="105" t="str">
        <f>IF(A478&lt;&gt;"",COUNTIFS('QA Log'!D:D,A478,'QA Log'!M:M,"Vignette",'QA Log'!L:L,"Vignette [6] PNC pre Discharge",'QA Log'!Z:Z,"Approved"),"")</f>
        <v/>
      </c>
      <c r="BI478" s="105" t="str">
        <f>IF(A478&lt;&gt;"",COUNTIFS('QA Log'!D:D,A478,'QA Log'!M:M,"Vignette",'QA Log'!L:L,"Vignette [7] First ANC Visit",'QA Log'!Z:Z,"Approved"),"")</f>
        <v/>
      </c>
      <c r="BJ478" s="105" t="str">
        <f>IF(A478&lt;&gt;"",COUNTIFS('QA Log'!D:D,A478,'QA Log'!M:M,"Vignette",'QA Log'!L:L,"Vignette [8] Birth Spacing/ Family Planning :  FP Counselling",'QA Log'!Z:Z,"Approved"),"")</f>
        <v/>
      </c>
      <c r="BK478" s="105" t="str">
        <f>IF(A478&lt;&gt;"",COUNTIFS('QA Log'!D:D,A478,'QA Log'!M:M,"Vignette",'QA Log'!L:L,"Vignette [9] Birth Spacing: Change FP method to Injectable",'QA Log'!Z:Z,"Approved"),"")</f>
        <v/>
      </c>
      <c r="BL478" s="105" t="str">
        <f>IF(A478&lt;&gt;"",COUNTIFS('QA Log'!D:D,A478,'QA Log'!M:M,"Vignette",'QA Log'!L:L,"Vignette [10] Post Partum Haemorrhage - Atonic Uterus at Health Centre",'QA Log'!Z:Z,"Approved"),"")</f>
        <v/>
      </c>
      <c r="BM478" s="102" t="str">
        <f>IF(A478="","",SUM(
    COUNTIFS('QA Log'!D:D,A478,'QA Log'!M:M,"Vignette",'QA Log'!Z:Z,"Rejected",'QA Log'!L:L,"*Vignette [5] Labor*"),
    COUNTIFS('QA Log'!D:D,A478,'QA Log'!M:M,"Vignette",'QA Log'!Z:Z,"Rejected",'QA Log'!L:L,"*Vignette [6] PNC pre Discharge*"),
    COUNTIFS('QA Log'!D:D,A478,'QA Log'!M:M,"Vignette",'QA Log'!Z:Z,"Rejected",'QA Log'!L:L,"*Vignette [7] First ANC Visit*"),
    COUNTIFS('QA Log'!D:D,A478,'QA Log'!M:M,"Vignette",'QA Log'!Z:Z,"Rejected",'QA Log'!L:L,"*Vignette [8] Birth Spacing/ Family Planning :  FP Counselling*"),
    COUNTIFS('QA Log'!D:D,A478,'QA Log'!M:M,"Vignette",'QA Log'!Z:Z,"Rejected",'QA Log'!L:L,"*Vignette [9] Birth Spacing: Change FP method to Injectable*"),
    COUNTIFS('QA Log'!D:D,A478,'QA Log'!M:M,"Vignette",'QA Log'!Z:Z,"Rejected",'QA Log'!L:L,"*Vignette [10] Post Partum Haemorrhage - Atonic Uterus at Health Centre*")
  )
)</f>
        <v/>
      </c>
      <c r="BN478" s="107" t="str">
        <f t="shared" si="37"/>
        <v/>
      </c>
      <c r="BO478" s="103" t="str">
        <f t="shared" si="38"/>
        <v/>
      </c>
      <c r="BP478" s="102" t="str">
        <f>IF(A478="","",SUM(
COUNTIFS('QA Log'!D:D,A478,'QA Log'!M:M,"Vignette",'QA Log'!L:L,"*Exit Interview 1*"),
COUNTIFS('QA Log'!D:D,A478,'QA Log'!M:M,"Vignette",'QA Log'!L:L,"*Exit Interview 2*"),
)
)</f>
        <v/>
      </c>
      <c r="BQ478" s="102" t="str">
        <f>IF(
  A478="","",
  SUM(
    COUNTIFS('QA Log'!D:D,A478,'QA Log'!M:M,"Vignette",'QA Log'!Z:Z,"Approved",'QA Log'!L:L,"*Exit Interview 1*"),
    COUNTIFS('QA Log'!D:D,A478,'QA Log'!M:M,"Vignette",'QA Log'!Z:Z,"Approved",'QA Log'!L:L,"*Exit Interview 2*")
  )
)</f>
        <v/>
      </c>
      <c r="BR478" s="105" t="str">
        <f>IF(A478&lt;&gt;"",COUNTIFS('QA Log'!D:D,A478,'QA Log'!M:M,"Vignette",'QA Log'!L:L,"Exit Interview 1",'QA Log'!Z:Z,"Approved"),"")</f>
        <v/>
      </c>
      <c r="BS478" s="105" t="str">
        <f>IF(A478&lt;&gt;"",COUNTIFS('QA Log'!D:D,A478,'QA Log'!M:M,"Vignette",'QA Log'!L:L,"Exit Interview 2",'QA Log'!Z:Z,"Approved"),"")</f>
        <v/>
      </c>
      <c r="BT478" s="102" t="str">
        <f>IF(
  A478="","",
  SUM(
    COUNTIFS('QA Log'!D:D,A478,'QA Log'!M:M,"Vignette",'QA Log'!Z:Z,"Rejected",'QA Log'!L:L,"*Exit Interview 1*"),
    COUNTIFS('QA Log'!D:D,A478,'QA Log'!M:M,"Vignette",'QA Log'!Z:Z,"Rejected",'QA Log'!L:L,"*Exit Interview 2*")
  )
)</f>
        <v/>
      </c>
      <c r="BU478" s="107" t="str">
        <f t="shared" si="39"/>
        <v/>
      </c>
      <c r="BV478" s="102" t="str">
        <f t="shared" si="40"/>
        <v/>
      </c>
      <c r="BW478" s="102" t="str">
        <f t="shared" si="41"/>
        <v/>
      </c>
      <c r="BX478" s="102" t="str">
        <f t="shared" si="42"/>
        <v/>
      </c>
      <c r="BY478" s="102" t="str">
        <f t="shared" si="43"/>
        <v/>
      </c>
      <c r="BZ478" s="107" t="str">
        <f t="shared" si="44"/>
        <v/>
      </c>
      <c r="CA478" s="108" t="str">
        <f t="shared" si="45"/>
        <v/>
      </c>
      <c r="CB478" s="108" t="str">
        <f t="shared" si="46"/>
        <v/>
      </c>
      <c r="CC478" s="109" t="str">
        <f t="shared" si="47"/>
        <v/>
      </c>
      <c r="CD478" s="108" t="str">
        <f t="shared" si="48"/>
        <v/>
      </c>
      <c r="CE478" s="108" t="str">
        <f t="shared" si="49"/>
        <v/>
      </c>
      <c r="CF478" s="109" t="str">
        <f t="shared" si="50"/>
        <v/>
      </c>
      <c r="CG478" s="110" t="str">
        <f t="shared" si="51"/>
        <v/>
      </c>
      <c r="CH478" s="111"/>
    </row>
    <row r="479" spans="1:86" ht="12.75">
      <c r="A479" s="101"/>
      <c r="B479" s="102" t="e">
        <f t="array" aca="1" ref="B479" ca="1">_xludf.XLOOKUP(A479,'QA Log'!D:D,'QA Log'!E:E,"")</f>
        <v>#NAME?</v>
      </c>
      <c r="C479" s="102" t="e">
        <f t="array" aca="1" ref="C479" ca="1">_xludf.XLOOKUP(A479,'QA Log'!D:D,'QA Log'!F:F,"")</f>
        <v>#NAME?</v>
      </c>
      <c r="D479" s="102" t="e">
        <f t="array" aca="1" ref="D479" ca="1">_xludf.XLOOKUP(A479,'QA Log'!D:D,'QA Log'!H:H,"")</f>
        <v>#NAME?</v>
      </c>
      <c r="E479" s="102" t="e">
        <f t="array" aca="1" ref="E479" ca="1">_xludf.XLOOKUP(A479,'QA Log'!D:D,'QA Log'!G:G,"")</f>
        <v>#NAME?</v>
      </c>
      <c r="F479" s="103"/>
      <c r="G479" s="104"/>
      <c r="H479" s="104"/>
      <c r="I479" s="103" t="str">
        <f t="shared" si="26"/>
        <v/>
      </c>
      <c r="J479" s="102" t="str">
        <f>IF(A479="","",SUM(
COUNTIFS('QA Log'!D:D,A479,'QA Log'!M:M,"QQC",'QA Log'!L:L,"*1. General Management*"),
COUNTIFS('QA Log'!D:D,A479,'QA Log'!M:M,"QQC",'QA Log'!L:L,"*3. Curative Consultation (OPD)*"),
COUNTIFS('QA Log'!D:D,A479,'QA Log'!M:M,"QQC",'QA Log'!L:L,"*5. Laboratory*"),
COUNTIFS('QA Log'!D:D,A479,'QA Log'!M:M,"QQC",'QA Log'!L:L,"*6. Essential Medicine Management*"),
COUNTIFS('QA Log'!D:D,A479,'QA Log'!M:M,"QQC",'QA Log'!L:L,"*7. Tracer Medicine*"),
COUNTIFS('QA Log'!D:D,A479,'QA Log'!M:M,"QQC",'QA Log'!L:L,"*11. Additional Questions*")))</f>
        <v/>
      </c>
      <c r="K479" s="102" t="str">
        <f>IF(A479="","",SUM(
COUNTIFS('QA Log'!D:D,A479,'QA Log'!M:M,"QQC",'QA Log'!Z:Z,"Approved",'QA Log'!L:L,"*1. General Management*"),
COUNTIFS('QA Log'!D:D,A479,'QA Log'!M:M,"QQC",'QA Log'!Z:Z,"Approved",'QA Log'!L:L,"*3. Curative Consultation (OPD)*"),
COUNTIFS('QA Log'!D:D,A479,'QA Log'!M:M,"QQC",'QA Log'!Z:Z,"Approved",'QA Log'!L:L,"*5. Laboratory*"),
COUNTIFS('QA Log'!D:D,A479,'QA Log'!M:M,"QQC",'QA Log'!Z:Z,"Approved",'QA Log'!L:L,"*6. Essential Medicine Management*"),
COUNTIFS('QA Log'!D:D,A479,'QA Log'!M:M,"QQC",'QA Log'!Z:Z,"Approved",'QA Log'!L:L,"*7. Tracer Medicine*"),
COUNTIFS('QA Log'!D:D,A479,'QA Log'!M:M,"QQC",'QA Log'!Z:Z,"Approved",'QA Log'!L:L,"*11. Additional Questions*")))</f>
        <v/>
      </c>
      <c r="L479" s="102" t="str">
        <f>IF(A479&lt;&gt;"",COUNTIFS('QA Log'!D:D,A479,'QA Log'!M:M,"QQC",'QA Log'!L:L,"1. General Management",'QA Log'!Z:Z,"Approved"),"")</f>
        <v/>
      </c>
      <c r="M479" s="102" t="str">
        <f>IF(A479&lt;&gt;"",COUNTIFS('QA Log'!D:D,A479,'QA Log'!M:M,"QQC",'QA Log'!L:L,"3. Curative Consultation (OPD)",'QA Log'!Z:Z,"Approved"),"")</f>
        <v/>
      </c>
      <c r="N479" s="102" t="str">
        <f>IF(A479&lt;&gt;"",COUNTIFS('QA Log'!D:D,A479,'QA Log'!M:M,"QQC",'QA Log'!L:L,"5. Laboratory",'QA Log'!Z:Z,"Approved"),"")</f>
        <v/>
      </c>
      <c r="O479" s="102" t="str">
        <f>IF(A479&lt;&gt;"",COUNTIFS('QA Log'!D:D,A479,'QA Log'!M:M,"QQC",'QA Log'!L:L,"6. Essential Medicine Management",'QA Log'!Z:Z,"Approved"),"")</f>
        <v/>
      </c>
      <c r="P479" s="102" t="str">
        <f>IF(A479&lt;&gt;"",COUNTIFS('QA Log'!D:D,A479,'QA Log'!M:M,"QQC",'QA Log'!L:L,"7. Tracer Medicine",'QA Log'!Z:Z,"Approved"),"")</f>
        <v/>
      </c>
      <c r="Q479" s="102" t="str">
        <f>IF(A479&lt;&gt;"",COUNTIFS('QA Log'!D:D,A479,'QA Log'!M:M,"QQC",'QA Log'!L:L,"11. Additional Questions",'QA Log'!Z:Z,"Approved"),"")</f>
        <v/>
      </c>
      <c r="R479" s="102" t="str">
        <f>IF(A479="","",SUM(
COUNTIFS('QA Log'!D:D,A479,'QA Log'!M:M,"QQC",'QA Log'!Z:Z,"Rejected",'QA Log'!L:L,"*8. Maternity*"),
COUNTIFS('QA Log'!D:D,A479,'QA Log'!M:M,"QQC",'QA Log'!Z:Z,"Rejected",'QA Log'!L:L,"*EPI*"),
COUNTIFS('QA Log'!D:D,A479,'QA Log'!M:M,"QQC",'QA Log'!Z:Z,"Rejected",'QA Log'!L:L,"*10. Antenatal Care (ANC)*"),
COUNTIFS('QA Log'!D:D,A479,'QA Log'!M:M,"QQC",'QA Log'!Z:Z,"Rejected",'QA Log'!L:L,"*2. Hygiene and Sterilization*"),
COUNTIFS('QA Log'!D:D,A479,'QA Log'!M:M,"QQC",'QA Log'!Z:Z,"Rejected",'QA Log'!L:L,"*Family Planning*")))</f>
        <v/>
      </c>
      <c r="S479" s="106" t="str">
        <f t="shared" si="27"/>
        <v/>
      </c>
      <c r="T479" s="102" t="str">
        <f t="shared" si="28"/>
        <v/>
      </c>
      <c r="U479" s="102" t="str">
        <f>IF(A479="","",
SUM(
COUNTIFS('QA Log'!D:D,A479,'QA Log'!M:M,"QQC",'QA Log'!L:L,"*8. Maternity*"),
COUNTIFS('QA Log'!D:D,A479,'QA Log'!M:M,"QQC",'QA Log'!L:L,"*9. EPI and Pre-school Consultation*"),
COUNTIFS('QA Log'!D:D,A479,'QA Log'!M:M,"QQC",'QA Log'!L:L,"*10. Antenatal Care (ANC)*"),
COUNTIFS('QA Log'!D:D,A479,'QA Log'!M:M,"QQC",'QA Log'!L:L,"*2. Hygiene and Sterilization*"),
COUNTIFS('QA Log'!D:D,A479,'QA Log'!M:M,"QQC",'QA Log'!L:L,"*4. Family Planning*")
))</f>
        <v/>
      </c>
      <c r="V479" s="102" t="str">
        <f>IF(A479="","",
SUM(
COUNTIFS('QA Log'!D:D,A479,'QA Log'!M:M,"QQC",'QA Log'!Z:Z,"Approved",'QA Log'!L:L,"*8. Maternity*"),
COUNTIFS('QA Log'!D:D,A479,'QA Log'!M:M,"QQC",'QA Log'!Z:Z,"Approved",'QA Log'!L:L,"*9. EPI and Pre-school Consultation*"),
COUNTIFS('QA Log'!D:D,A479,'QA Log'!M:M,"QQC",'QA Log'!Z:Z,"Approved",'QA Log'!L:L,"*10. Antenatal Care (ANC)*"),
COUNTIFS('QA Log'!D:D,A479,'QA Log'!M:M,"QQC",'QA Log'!Z:Z,"Approved",'QA Log'!L:L,"*2. Hygiene and Sterilization*"),
COUNTIFS('QA Log'!D:D,A479,'QA Log'!M:M,"QQC",'QA Log'!Z:Z,"Approved",'QA Log'!L:L,"*4. Family Planning*")
))</f>
        <v/>
      </c>
      <c r="W479" s="102" t="str">
        <f>IF(A479&lt;&gt;"",COUNTIFS('QA Log'!D:D,A479,'QA Log'!M:M,"QQC",'QA Log'!L:L,"8. Maternity",'QA Log'!Z:Z,"Approved"),"")</f>
        <v/>
      </c>
      <c r="X479" s="105" t="str">
        <f>IF(A479&lt;&gt;"",COUNTIFS('QA Log'!D:D,A479,'QA Log'!M:M,"QQC",'QA Log'!L:L,"9. EPI and Pre-school Consultation",'QA Log'!Z:Z,"Approved"),"")</f>
        <v/>
      </c>
      <c r="Y479" s="102" t="str">
        <f>IF(A479&lt;&gt;"",COUNTIFS('QA Log'!D:D,A479,'QA Log'!M:M,"QQC",'QA Log'!L:L,"10. Antenatal Care (ANC)",'QA Log'!Z:Z,"Approved"),"")</f>
        <v/>
      </c>
      <c r="Z479" s="102" t="str">
        <f>IF(A479&lt;&gt;"",COUNTIFS('QA Log'!D:D,A479,'QA Log'!M:M,"QQC",'QA Log'!L:L,"2. Hygiene and Sterilization",'QA Log'!Z:Z,"Approved"),"")</f>
        <v/>
      </c>
      <c r="AA479" s="105" t="str">
        <f>IF(A479&lt;&gt;"",COUNTIFS('QA Log'!D:D,A479,'QA Log'!M:M,"QQC",'QA Log'!L:L,"4. Family Planning",'QA Log'!Z:Z,"Approved"),"")</f>
        <v/>
      </c>
      <c r="AB479" s="102" t="str">
        <f>IF(A479="","",
SUM(
COUNTIFS('QA Log'!D:D,A479,'QA Log'!M:M,"QQC",'QA Log'!Z:Z,"Rejected",'QA Log'!L:L,"*8. Maternity*"),
COUNTIFS('QA Log'!D:D,A479,'QA Log'!M:M,"QQC",'QA Log'!Z:Z,"Rejected",'QA Log'!L:L,"*9. EPI and Pre-school Consultation*"),
COUNTIFS('QA Log'!D:D,A479,'QA Log'!M:M,"QQC",'QA Log'!Z:Z,"Rejected",'QA Log'!L:L,"*10. Antenatal Care (ANC)*"),
COUNTIFS('QA Log'!D:D,A479,'QA Log'!M:M,"QQC",'QA Log'!Z:Z,"Rejected",'QA Log'!L:L,"*2. Hygiene and Sterilization*"),
COUNTIFS('QA Log'!D:D,A479,'QA Log'!M:M,"QQC",'QA Log'!Z:Z,"Rejected",'QA Log'!L:L,"*4. Family Planning*")
))</f>
        <v/>
      </c>
      <c r="AC479" s="102" t="str">
        <f t="shared" si="29"/>
        <v/>
      </c>
      <c r="AD479" s="103" t="str">
        <f t="shared" si="30"/>
        <v/>
      </c>
      <c r="AE479" s="102" t="str">
        <f>IF(A479="","",
SUM(
COUNTIFS('QA Log'!D:D,A479,'QA Log'!M:M,"Data Verification",'QA Log'!L:L,"*Medicine (section 2)*"),
COUNTIFS('QA Log'!D:D,A479,'QA Log'!M:M,"Data Verification",'QA Log'!L:L,"*Lab Testing Availability*"),
COUNTIFS('QA Log'!D:D,A479,'QA Log'!M:M,"Data Verification",'QA Log'!L:L,"*Other than P4P (section 6)*"),
COUNTIFS('QA Log'!D:D,A479,'QA Log'!M:M,"Data Verification",'QA Log'!L:L,"*Hospital Governance*")
))</f>
        <v/>
      </c>
      <c r="AF479" s="102" t="str">
        <f>IF(A479="","",
SUM(
COUNTIFS('QA Log'!D:D,A479,'QA Log'!M:M,"Data Verification",'QA Log'!Z:Z,"Approved",'QA Log'!L:L,"*Medicine (section 2)*"),
COUNTIFS('QA Log'!D:D,A479,'QA Log'!M:M,"Data Verification",'QA Log'!Z:Z,"Approved",'QA Log'!L:L,"*Lab Testing Availability*"),
COUNTIFS('QA Log'!D:D,A479,'QA Log'!M:M,"Data Verification",'QA Log'!Z:Z,"Approved",'QA Log'!L:L,"*Other than P4P (section 6)*"),
COUNTIFS('QA Log'!D:D,A479,'QA Log'!M:M,"Data Verification",'QA Log'!Z:Z,"Approved",'QA Log'!L:L,"*Hospital Governance*")
))</f>
        <v/>
      </c>
      <c r="AG479" s="105" t="str">
        <f>IF(A479&lt;&gt;"",COUNTIFS('QA Log'!D:D,A479,'QA Log'!M:M,"Data Verification",'QA Log'!L:L,"Medicine (section 2)",'QA Log'!Z:Z,"Approved"),"")</f>
        <v/>
      </c>
      <c r="AH479" s="105" t="str">
        <f>IF(A479&lt;&gt;"",COUNTIFS('QA Log'!D:D,A479,'QA Log'!M:M,"Data Verification",'QA Log'!L:L,"Lab Testing Availability",'QA Log'!Z:Z,"Approved"),"")</f>
        <v/>
      </c>
      <c r="AI479" s="105" t="str">
        <f>IF(A479&lt;&gt;"",COUNTIFS('QA Log'!D:D,A479,'QA Log'!M:M,"Data Verification",'QA Log'!L:L,"Other than P4P (section 6)",'QA Log'!Z:Z,"Approved"),"")</f>
        <v/>
      </c>
      <c r="AJ479" s="105" t="str">
        <f>IF(A479&lt;&gt;"",COUNTIFS('QA Log'!D:D,A479,'QA Log'!M:M,"Data Verification",'QA Log'!L:L,"Hospital Governance",'QA Log'!Z:Z,"Approved"),"")</f>
        <v/>
      </c>
      <c r="AK479" s="102" t="str">
        <f>IF(A479="","",
SUM(
COUNTIFS('QA Log'!D:D,A479,'QA Log'!M:M,"Data Verification",'QA Log'!Z:Z,"Rejected",'QA Log'!L:L,"*Medicine (section 2)*"),
COUNTIFS('QA Log'!D:D,A479,'QA Log'!M:M,"Data Verification",'QA Log'!Z:Z,"Rejected",'QA Log'!L:L,"*Lab Testing Availability*"),
COUNTIFS('QA Log'!D:D,A479,'QA Log'!M:M,"Data Verification",'QA Log'!Z:Z,"Rejected",'QA Log'!L:L,"*Other than P4P (section 6)*"),
COUNTIFS('QA Log'!D:D,A479,'QA Log'!M:M,"Data Verification",'QA Log'!Z:Z,"Rejected",'QA Log'!L:L,"*Hospital Governance*")
))</f>
        <v/>
      </c>
      <c r="AL479" s="106" t="str">
        <f t="shared" si="31"/>
        <v/>
      </c>
      <c r="AM479" s="102" t="str">
        <f t="shared" si="32"/>
        <v/>
      </c>
      <c r="AN479" s="102" t="str">
        <f>IF(A479="","",
SUM(
COUNTIFS('QA Log'!D:D,A479,'QA Log'!M:M,"Data Verification",'QA Log'!L:L,"*Personnel (section 1)*"),
COUNTIFS('QA Log'!D:D,A479,'QA Log'!M:M,"Data Verification",'QA Log'!L:L,"*Consumable (section 3)*"),
COUNTIFS('QA Log'!D:D,A479,'QA Log'!M:M,"Data Verification",'QA Log'!L:L,"*Equipments (section 4)*")
))</f>
        <v/>
      </c>
      <c r="AO479" s="102" t="str">
        <f>IF(A479="","",
SUM(
COUNTIFS('QA Log'!D:D,A479,'QA Log'!M:M,"Data Verification",'QA Log'!Z:Z,"Approved",'QA Log'!L:L,"*Personnel (section 1)*"),
COUNTIFS('QA Log'!D:D,A479,'QA Log'!M:M,"Data Verification",'QA Log'!Z:Z,"Approved",'QA Log'!L:L,"*Consumable (section 3)*"),
COUNTIFS('QA Log'!D:D,A479,'QA Log'!M:M,"Data Verification",'QA Log'!Z:Z,"Approved",'QA Log'!L:L,"*Equipments (section 4)*")
))</f>
        <v/>
      </c>
      <c r="AP479" s="105" t="str">
        <f>IF(A479&lt;&gt;"",COUNTIFS('QA Log'!D:D,A479,'QA Log'!M:M,"Data Verification",'QA Log'!L:L,"Personnel (section 1)",'QA Log'!Z:Z,"Approved"),"")</f>
        <v/>
      </c>
      <c r="AQ479" s="105" t="str">
        <f>IF(A479&lt;&gt;"",COUNTIFS('QA Log'!D:D,A479,'QA Log'!M:M,"Data Verification",'QA Log'!L:L,"Consumable (section 3)",'QA Log'!Z:Z,"Approved"),"")</f>
        <v/>
      </c>
      <c r="AR479" s="105" t="str">
        <f>IF(A479&lt;&gt;"",COUNTIFS('QA Log'!D:D,A479,'QA Log'!M:M,"Data Verification",'QA Log'!L:L,"Equipments (section 4)",'QA Log'!Z:Z,"Approved"),"")</f>
        <v/>
      </c>
      <c r="AS479" s="102" t="str">
        <f>IF(A479="","",
SUM(
COUNTIFS('QA Log'!D:D,A479,'QA Log'!M:M,"Data Verification",'QA Log'!Z:Z,"Rejected",'QA Log'!L:L,"*Personnel (section 1)*"),
COUNTIFS('QA Log'!D:D,A479,'QA Log'!M:M,"Data Verification",'QA Log'!Z:Z,"Rejected",'QA Log'!L:L,"*Consumable (section 3)*"),
COUNTIFS('QA Log'!D:D,A479,'QA Log'!M:M,"Data Verification",'QA Log'!Z:Z,"Rejected",'QA Log'!L:L,"*Equipments (section 4)*")
))</f>
        <v/>
      </c>
      <c r="AT479" s="102" t="str">
        <f t="shared" si="33"/>
        <v/>
      </c>
      <c r="AU479" s="103" t="str">
        <f t="shared" si="34"/>
        <v/>
      </c>
      <c r="AV479" s="102" t="str">
        <f>IF(A479="","",SUM(
COUNTIFS('QA Log'!D:D,A479,'QA Log'!M:M,"Vignette",'QA Log'!L:L,"*Vignette [1] Respiratory Infection: Pneumonia*"),
COUNTIFS('QA Log'!D:D,A479,'QA Log'!M:M,"Vignette",'QA Log'!L:L,"*Vignette [2]: Diarrhea with Cat B dehydration*"),
COUNTIFS('QA Log'!D:D,A479,'QA Log'!M:M,"Vignette",'QA Log'!L:L,"*Vignette [3] Growth Monitoring and Promotion*"),
COUNTIFS('QA Log'!D:D,A479,'QA Log'!M:M,"Vignette",'QA Log'!L:L,"*Vignette [4]: The management of presumptive TB patient*")
)
)</f>
        <v/>
      </c>
      <c r="AW479" s="102" t="str">
        <f>IF(
  A479="","",
  SUM(
    COUNTIFS('QA Log'!D:D,A479,'QA Log'!M:M,"Vignette",'QA Log'!Z:Z,"Approved",'QA Log'!L:L,"*Vignette [1] Respiratory Infection: Pneumonia*"),
    COUNTIFS('QA Log'!D:D,A479,'QA Log'!M:M,"Vignette",'QA Log'!Z:Z,"Approved",'QA Log'!L:L,"*Vignette [2]: Diarrhea with Cat B dehydration*"),
    COUNTIFS('QA Log'!D:D,A479,'QA Log'!M:M,"Vignette",'QA Log'!Z:Z,"Approved",'QA Log'!L:L,"*Vignette [3] Growth Monitoring and Promotion*"),
    COUNTIFS('QA Log'!D:D,A479,'QA Log'!M:M,"Vignette",'QA Log'!Z:Z,"Approved",'QA Log'!L:L,"*Vignette [4]: The management of presumptive TB patient*")
  )
)</f>
        <v/>
      </c>
      <c r="AX479" s="105" t="str">
        <f>IF(A479&lt;&gt;"",COUNTIFS('QA Log'!D:D,A479,'QA Log'!M:M,"Vignette",'QA Log'!L:L,"Vignette [1] Respiratory Infection: Pneumonia",'QA Log'!Z:Z,"Approved"),"")</f>
        <v/>
      </c>
      <c r="AY479" s="105" t="str">
        <f>IF(A479&lt;&gt;"",COUNTIFS('QA Log'!D:D,A479,'QA Log'!M:M,"Vignette",'QA Log'!L:L,"Vignette [2]: Diarrhea with Cat B dehydration",'QA Log'!Z:Z,"Approved"),"")</f>
        <v/>
      </c>
      <c r="AZ479" s="105" t="str">
        <f>IF(A479&lt;&gt;"",COUNTIFS('QA Log'!D:D,A479,'QA Log'!M:M,"Vignette",'QA Log'!L:L,"Vignette [3] Growth Monitoring and Promotion",'QA Log'!Z:Z,"Approved"),"")</f>
        <v/>
      </c>
      <c r="BA479" s="105" t="str">
        <f>IF(A479&lt;&gt;"",COUNTIFS('QA Log'!D:D,A479,'QA Log'!M:M,"Vignette",'QA Log'!L:L,"Vignette [4]: The management of presumptive TB patient",'QA Log'!Z:Z,"Approved"),"")</f>
        <v/>
      </c>
      <c r="BB479" s="102" t="str">
        <f>IF(A479="","",
  SUM(
    COUNTIFS('QA Log'!D:D,A479,'QA Log'!M:M,"Vignette",'QA Log'!Z:Z,"Rejected",'QA Log'!L:L,"*Vignette [1] Respiratory Infection: Pneumonia*"),
    COUNTIFS('QA Log'!D:D,A479,'QA Log'!M:M,"Vignette",'QA Log'!Z:Z,"Rejected",'QA Log'!L:L,"*Vignette [2]: Diarrhea with Cat B dehydration*"),
    COUNTIFS('QA Log'!D:D,A479,'QA Log'!M:M,"Vignette",'QA Log'!Z:Z,"Rejected",'QA Log'!L:L,"*Vignette [3] Growth Monitoring and Promotion*"),
    COUNTIFS('QA Log'!D:D,A479,'QA Log'!M:M,"Vignette",'QA Log'!Z:Z,"Rejected",'QA Log'!L:L,"*Vignette [4]: The management of presumptive TB patient*")
  )
)</f>
        <v/>
      </c>
      <c r="BC479" s="107" t="str">
        <f t="shared" si="35"/>
        <v/>
      </c>
      <c r="BD479" s="103" t="str">
        <f t="shared" si="36"/>
        <v/>
      </c>
      <c r="BE479" s="102" t="str">
        <f>IF(A479="","",SUM(
COUNTIFS('QA Log'!D:D,A479,'QA Log'!M:M,"Vignette",'QA Log'!L:L,"*Vignette [5] Labor*"),
COUNTIFS('QA Log'!D:D,A479,'QA Log'!M:M,"Vignette",'QA Log'!L:L,"*Vignette [6] PNC pre Discharge*"),
COUNTIFS('QA Log'!D:D,A479,'QA Log'!M:M,"Vignette",'QA Log'!L:L,"*Vignette [7] First ANC Visit*"),
COUNTIFS('QA Log'!D:D,A479,'QA Log'!M:M,"Vignette",'QA Log'!L:L,"*Vignette [8] Birth Spacing/ Family Planning :  FP Counselling*"),
COUNTIFS('QA Log'!D:D,A479,'QA Log'!M:M,"Vignette",'QA Log'!L:L,"*Vignette [9] Birth Spacing: Change FP method to Injectable*"),
COUNTIFS('QA Log'!D:D,A479,'QA Log'!M:M,"Vignette",'QA Log'!L:L,"*Vignette [10] Post Partum Haemorrhage - Atonic Uterus at Health Centre*"),
)
)</f>
        <v/>
      </c>
      <c r="BF479" s="102" t="str">
        <f>IF(A479="","",
  SUM(
    COUNTIFS('QA Log'!D:D,A479,'QA Log'!M:M,"Vignette",'QA Log'!Z:Z,"Approved",'QA Log'!L:L,"*Vignette [5] Labor*"),
    COUNTIFS('QA Log'!D:D,A479,'QA Log'!M:M,"Vignette",'QA Log'!Z:Z,"Approved",'QA Log'!L:L,"*Vignette [6] PNC pre Discharge*"),
    COUNTIFS('QA Log'!D:D,A479,'QA Log'!M:M,"Vignette",'QA Log'!Z:Z,"Approved",'QA Log'!L:L,"*Vignette [7] First ANC Visit*"),
    COUNTIFS('QA Log'!D:D,A479,'QA Log'!M:M,"Vignette",'QA Log'!Z:Z,"Approved",'QA Log'!L:L,"*Vignette [8] Birth Spacing/ Family Planning :  FP Counselling*"),
    COUNTIFS('QA Log'!D:D,A479,'QA Log'!M:M,"Vignette",'QA Log'!Z:Z,"Approved",'QA Log'!L:L,"*Vignette [9] Birth Spacing: Change FP method to Injectable*"),
    COUNTIFS('QA Log'!D:D,A479,'QA Log'!M:M,"Vignette",'QA Log'!Z:Z,"Approved",'QA Log'!L:L,"*Vignette [10] Post Partum Haemorrhage - Atonic Uterus at Health Centre*")
  )
)</f>
        <v/>
      </c>
      <c r="BG479" s="105" t="str">
        <f>IF(A479&lt;&gt;"",COUNTIFS('QA Log'!D:D,A479,'QA Log'!M:M,"Vignette",'QA Log'!L:L,"Vignette [5] Labor",'QA Log'!Z:Z,"Approved"),"")</f>
        <v/>
      </c>
      <c r="BH479" s="105" t="str">
        <f>IF(A479&lt;&gt;"",COUNTIFS('QA Log'!D:D,A479,'QA Log'!M:M,"Vignette",'QA Log'!L:L,"Vignette [6] PNC pre Discharge",'QA Log'!Z:Z,"Approved"),"")</f>
        <v/>
      </c>
      <c r="BI479" s="105" t="str">
        <f>IF(A479&lt;&gt;"",COUNTIFS('QA Log'!D:D,A479,'QA Log'!M:M,"Vignette",'QA Log'!L:L,"Vignette [7] First ANC Visit",'QA Log'!Z:Z,"Approved"),"")</f>
        <v/>
      </c>
      <c r="BJ479" s="105" t="str">
        <f>IF(A479&lt;&gt;"",COUNTIFS('QA Log'!D:D,A479,'QA Log'!M:M,"Vignette",'QA Log'!L:L,"Vignette [8] Birth Spacing/ Family Planning :  FP Counselling",'QA Log'!Z:Z,"Approved"),"")</f>
        <v/>
      </c>
      <c r="BK479" s="105" t="str">
        <f>IF(A479&lt;&gt;"",COUNTIFS('QA Log'!D:D,A479,'QA Log'!M:M,"Vignette",'QA Log'!L:L,"Vignette [9] Birth Spacing: Change FP method to Injectable",'QA Log'!Z:Z,"Approved"),"")</f>
        <v/>
      </c>
      <c r="BL479" s="105" t="str">
        <f>IF(A479&lt;&gt;"",COUNTIFS('QA Log'!D:D,A479,'QA Log'!M:M,"Vignette",'QA Log'!L:L,"Vignette [10] Post Partum Haemorrhage - Atonic Uterus at Health Centre",'QA Log'!Z:Z,"Approved"),"")</f>
        <v/>
      </c>
      <c r="BM479" s="102" t="str">
        <f>IF(A479="","",SUM(
    COUNTIFS('QA Log'!D:D,A479,'QA Log'!M:M,"Vignette",'QA Log'!Z:Z,"Rejected",'QA Log'!L:L,"*Vignette [5] Labor*"),
    COUNTIFS('QA Log'!D:D,A479,'QA Log'!M:M,"Vignette",'QA Log'!Z:Z,"Rejected",'QA Log'!L:L,"*Vignette [6] PNC pre Discharge*"),
    COUNTIFS('QA Log'!D:D,A479,'QA Log'!M:M,"Vignette",'QA Log'!Z:Z,"Rejected",'QA Log'!L:L,"*Vignette [7] First ANC Visit*"),
    COUNTIFS('QA Log'!D:D,A479,'QA Log'!M:M,"Vignette",'QA Log'!Z:Z,"Rejected",'QA Log'!L:L,"*Vignette [8] Birth Spacing/ Family Planning :  FP Counselling*"),
    COUNTIFS('QA Log'!D:D,A479,'QA Log'!M:M,"Vignette",'QA Log'!Z:Z,"Rejected",'QA Log'!L:L,"*Vignette [9] Birth Spacing: Change FP method to Injectable*"),
    COUNTIFS('QA Log'!D:D,A479,'QA Log'!M:M,"Vignette",'QA Log'!Z:Z,"Rejected",'QA Log'!L:L,"*Vignette [10] Post Partum Haemorrhage - Atonic Uterus at Health Centre*")
  )
)</f>
        <v/>
      </c>
      <c r="BN479" s="107" t="str">
        <f t="shared" si="37"/>
        <v/>
      </c>
      <c r="BO479" s="103" t="str">
        <f t="shared" si="38"/>
        <v/>
      </c>
      <c r="BP479" s="102" t="str">
        <f>IF(A479="","",SUM(
COUNTIFS('QA Log'!D:D,A479,'QA Log'!M:M,"Vignette",'QA Log'!L:L,"*Exit Interview 1*"),
COUNTIFS('QA Log'!D:D,A479,'QA Log'!M:M,"Vignette",'QA Log'!L:L,"*Exit Interview 2*"),
)
)</f>
        <v/>
      </c>
      <c r="BQ479" s="102" t="str">
        <f>IF(
  A479="","",
  SUM(
    COUNTIFS('QA Log'!D:D,A479,'QA Log'!M:M,"Vignette",'QA Log'!Z:Z,"Approved",'QA Log'!L:L,"*Exit Interview 1*"),
    COUNTIFS('QA Log'!D:D,A479,'QA Log'!M:M,"Vignette",'QA Log'!Z:Z,"Approved",'QA Log'!L:L,"*Exit Interview 2*")
  )
)</f>
        <v/>
      </c>
      <c r="BR479" s="105" t="str">
        <f>IF(A479&lt;&gt;"",COUNTIFS('QA Log'!D:D,A479,'QA Log'!M:M,"Vignette",'QA Log'!L:L,"Exit Interview 1",'QA Log'!Z:Z,"Approved"),"")</f>
        <v/>
      </c>
      <c r="BS479" s="105" t="str">
        <f>IF(A479&lt;&gt;"",COUNTIFS('QA Log'!D:D,A479,'QA Log'!M:M,"Vignette",'QA Log'!L:L,"Exit Interview 2",'QA Log'!Z:Z,"Approved"),"")</f>
        <v/>
      </c>
      <c r="BT479" s="102" t="str">
        <f>IF(
  A479="","",
  SUM(
    COUNTIFS('QA Log'!D:D,A479,'QA Log'!M:M,"Vignette",'QA Log'!Z:Z,"Rejected",'QA Log'!L:L,"*Exit Interview 1*"),
    COUNTIFS('QA Log'!D:D,A479,'QA Log'!M:M,"Vignette",'QA Log'!Z:Z,"Rejected",'QA Log'!L:L,"*Exit Interview 2*")
  )
)</f>
        <v/>
      </c>
      <c r="BU479" s="107" t="str">
        <f t="shared" si="39"/>
        <v/>
      </c>
      <c r="BV479" s="102" t="str">
        <f t="shared" si="40"/>
        <v/>
      </c>
      <c r="BW479" s="102" t="str">
        <f t="shared" si="41"/>
        <v/>
      </c>
      <c r="BX479" s="102" t="str">
        <f t="shared" si="42"/>
        <v/>
      </c>
      <c r="BY479" s="102" t="str">
        <f t="shared" si="43"/>
        <v/>
      </c>
      <c r="BZ479" s="107" t="str">
        <f t="shared" si="44"/>
        <v/>
      </c>
      <c r="CA479" s="108" t="str">
        <f t="shared" si="45"/>
        <v/>
      </c>
      <c r="CB479" s="108" t="str">
        <f t="shared" si="46"/>
        <v/>
      </c>
      <c r="CC479" s="109" t="str">
        <f t="shared" si="47"/>
        <v/>
      </c>
      <c r="CD479" s="108" t="str">
        <f t="shared" si="48"/>
        <v/>
      </c>
      <c r="CE479" s="108" t="str">
        <f t="shared" si="49"/>
        <v/>
      </c>
      <c r="CF479" s="109" t="str">
        <f t="shared" si="50"/>
        <v/>
      </c>
      <c r="CG479" s="110" t="str">
        <f t="shared" si="51"/>
        <v/>
      </c>
      <c r="CH479" s="111"/>
    </row>
    <row r="480" spans="1:86" ht="12.75">
      <c r="A480" s="101"/>
      <c r="B480" s="102" t="e">
        <f t="array" aca="1" ref="B480" ca="1">_xludf.XLOOKUP(A480,'QA Log'!D:D,'QA Log'!E:E,"")</f>
        <v>#NAME?</v>
      </c>
      <c r="C480" s="102" t="e">
        <f t="array" aca="1" ref="C480" ca="1">_xludf.XLOOKUP(A480,'QA Log'!D:D,'QA Log'!F:F,"")</f>
        <v>#NAME?</v>
      </c>
      <c r="D480" s="102" t="e">
        <f t="array" aca="1" ref="D480" ca="1">_xludf.XLOOKUP(A480,'QA Log'!D:D,'QA Log'!H:H,"")</f>
        <v>#NAME?</v>
      </c>
      <c r="E480" s="102" t="e">
        <f t="array" aca="1" ref="E480" ca="1">_xludf.XLOOKUP(A480,'QA Log'!D:D,'QA Log'!G:G,"")</f>
        <v>#NAME?</v>
      </c>
      <c r="F480" s="103"/>
      <c r="G480" s="104"/>
      <c r="H480" s="104"/>
      <c r="I480" s="103" t="str">
        <f t="shared" si="26"/>
        <v/>
      </c>
      <c r="J480" s="102" t="str">
        <f>IF(A480="","",SUM(
COUNTIFS('QA Log'!D:D,A480,'QA Log'!M:M,"QQC",'QA Log'!L:L,"*1. General Management*"),
COUNTIFS('QA Log'!D:D,A480,'QA Log'!M:M,"QQC",'QA Log'!L:L,"*3. Curative Consultation (OPD)*"),
COUNTIFS('QA Log'!D:D,A480,'QA Log'!M:M,"QQC",'QA Log'!L:L,"*5. Laboratory*"),
COUNTIFS('QA Log'!D:D,A480,'QA Log'!M:M,"QQC",'QA Log'!L:L,"*6. Essential Medicine Management*"),
COUNTIFS('QA Log'!D:D,A480,'QA Log'!M:M,"QQC",'QA Log'!L:L,"*7. Tracer Medicine*"),
COUNTIFS('QA Log'!D:D,A480,'QA Log'!M:M,"QQC",'QA Log'!L:L,"*11. Additional Questions*")))</f>
        <v/>
      </c>
      <c r="K480" s="102" t="str">
        <f>IF(A480="","",SUM(
COUNTIFS('QA Log'!D:D,A480,'QA Log'!M:M,"QQC",'QA Log'!Z:Z,"Approved",'QA Log'!L:L,"*1. General Management*"),
COUNTIFS('QA Log'!D:D,A480,'QA Log'!M:M,"QQC",'QA Log'!Z:Z,"Approved",'QA Log'!L:L,"*3. Curative Consultation (OPD)*"),
COUNTIFS('QA Log'!D:D,A480,'QA Log'!M:M,"QQC",'QA Log'!Z:Z,"Approved",'QA Log'!L:L,"*5. Laboratory*"),
COUNTIFS('QA Log'!D:D,A480,'QA Log'!M:M,"QQC",'QA Log'!Z:Z,"Approved",'QA Log'!L:L,"*6. Essential Medicine Management*"),
COUNTIFS('QA Log'!D:D,A480,'QA Log'!M:M,"QQC",'QA Log'!Z:Z,"Approved",'QA Log'!L:L,"*7. Tracer Medicine*"),
COUNTIFS('QA Log'!D:D,A480,'QA Log'!M:M,"QQC",'QA Log'!Z:Z,"Approved",'QA Log'!L:L,"*11. Additional Questions*")))</f>
        <v/>
      </c>
      <c r="L480" s="102" t="str">
        <f>IF(A480&lt;&gt;"",COUNTIFS('QA Log'!D:D,A480,'QA Log'!M:M,"QQC",'QA Log'!L:L,"1. General Management",'QA Log'!Z:Z,"Approved"),"")</f>
        <v/>
      </c>
      <c r="M480" s="102" t="str">
        <f>IF(A480&lt;&gt;"",COUNTIFS('QA Log'!D:D,A480,'QA Log'!M:M,"QQC",'QA Log'!L:L,"3. Curative Consultation (OPD)",'QA Log'!Z:Z,"Approved"),"")</f>
        <v/>
      </c>
      <c r="N480" s="102" t="str">
        <f>IF(A480&lt;&gt;"",COUNTIFS('QA Log'!D:D,A480,'QA Log'!M:M,"QQC",'QA Log'!L:L,"5. Laboratory",'QA Log'!Z:Z,"Approved"),"")</f>
        <v/>
      </c>
      <c r="O480" s="102" t="str">
        <f>IF(A480&lt;&gt;"",COUNTIFS('QA Log'!D:D,A480,'QA Log'!M:M,"QQC",'QA Log'!L:L,"6. Essential Medicine Management",'QA Log'!Z:Z,"Approved"),"")</f>
        <v/>
      </c>
      <c r="P480" s="102" t="str">
        <f>IF(A480&lt;&gt;"",COUNTIFS('QA Log'!D:D,A480,'QA Log'!M:M,"QQC",'QA Log'!L:L,"7. Tracer Medicine",'QA Log'!Z:Z,"Approved"),"")</f>
        <v/>
      </c>
      <c r="Q480" s="102" t="str">
        <f>IF(A480&lt;&gt;"",COUNTIFS('QA Log'!D:D,A480,'QA Log'!M:M,"QQC",'QA Log'!L:L,"11. Additional Questions",'QA Log'!Z:Z,"Approved"),"")</f>
        <v/>
      </c>
      <c r="R480" s="102" t="str">
        <f>IF(A480="","",SUM(
COUNTIFS('QA Log'!D:D,A480,'QA Log'!M:M,"QQC",'QA Log'!Z:Z,"Rejected",'QA Log'!L:L,"*8. Maternity*"),
COUNTIFS('QA Log'!D:D,A480,'QA Log'!M:M,"QQC",'QA Log'!Z:Z,"Rejected",'QA Log'!L:L,"*EPI*"),
COUNTIFS('QA Log'!D:D,A480,'QA Log'!M:M,"QQC",'QA Log'!Z:Z,"Rejected",'QA Log'!L:L,"*10. Antenatal Care (ANC)*"),
COUNTIFS('QA Log'!D:D,A480,'QA Log'!M:M,"QQC",'QA Log'!Z:Z,"Rejected",'QA Log'!L:L,"*2. Hygiene and Sterilization*"),
COUNTIFS('QA Log'!D:D,A480,'QA Log'!M:M,"QQC",'QA Log'!Z:Z,"Rejected",'QA Log'!L:L,"*Family Planning*")))</f>
        <v/>
      </c>
      <c r="S480" s="106" t="str">
        <f t="shared" si="27"/>
        <v/>
      </c>
      <c r="T480" s="102" t="str">
        <f t="shared" si="28"/>
        <v/>
      </c>
      <c r="U480" s="102" t="str">
        <f>IF(A480="","",
SUM(
COUNTIFS('QA Log'!D:D,A480,'QA Log'!M:M,"QQC",'QA Log'!L:L,"*8. Maternity*"),
COUNTIFS('QA Log'!D:D,A480,'QA Log'!M:M,"QQC",'QA Log'!L:L,"*9. EPI and Pre-school Consultation*"),
COUNTIFS('QA Log'!D:D,A480,'QA Log'!M:M,"QQC",'QA Log'!L:L,"*10. Antenatal Care (ANC)*"),
COUNTIFS('QA Log'!D:D,A480,'QA Log'!M:M,"QQC",'QA Log'!L:L,"*2. Hygiene and Sterilization*"),
COUNTIFS('QA Log'!D:D,A480,'QA Log'!M:M,"QQC",'QA Log'!L:L,"*4. Family Planning*")
))</f>
        <v/>
      </c>
      <c r="V480" s="102" t="str">
        <f>IF(A480="","",
SUM(
COUNTIFS('QA Log'!D:D,A480,'QA Log'!M:M,"QQC",'QA Log'!Z:Z,"Approved",'QA Log'!L:L,"*8. Maternity*"),
COUNTIFS('QA Log'!D:D,A480,'QA Log'!M:M,"QQC",'QA Log'!Z:Z,"Approved",'QA Log'!L:L,"*9. EPI and Pre-school Consultation*"),
COUNTIFS('QA Log'!D:D,A480,'QA Log'!M:M,"QQC",'QA Log'!Z:Z,"Approved",'QA Log'!L:L,"*10. Antenatal Care (ANC)*"),
COUNTIFS('QA Log'!D:D,A480,'QA Log'!M:M,"QQC",'QA Log'!Z:Z,"Approved",'QA Log'!L:L,"*2. Hygiene and Sterilization*"),
COUNTIFS('QA Log'!D:D,A480,'QA Log'!M:M,"QQC",'QA Log'!Z:Z,"Approved",'QA Log'!L:L,"*4. Family Planning*")
))</f>
        <v/>
      </c>
      <c r="W480" s="102" t="str">
        <f>IF(A480&lt;&gt;"",COUNTIFS('QA Log'!D:D,A480,'QA Log'!M:M,"QQC",'QA Log'!L:L,"8. Maternity",'QA Log'!Z:Z,"Approved"),"")</f>
        <v/>
      </c>
      <c r="X480" s="105" t="str">
        <f>IF(A480&lt;&gt;"",COUNTIFS('QA Log'!D:D,A480,'QA Log'!M:M,"QQC",'QA Log'!L:L,"9. EPI and Pre-school Consultation",'QA Log'!Z:Z,"Approved"),"")</f>
        <v/>
      </c>
      <c r="Y480" s="102" t="str">
        <f>IF(A480&lt;&gt;"",COUNTIFS('QA Log'!D:D,A480,'QA Log'!M:M,"QQC",'QA Log'!L:L,"10. Antenatal Care (ANC)",'QA Log'!Z:Z,"Approved"),"")</f>
        <v/>
      </c>
      <c r="Z480" s="102" t="str">
        <f>IF(A480&lt;&gt;"",COUNTIFS('QA Log'!D:D,A480,'QA Log'!M:M,"QQC",'QA Log'!L:L,"2. Hygiene and Sterilization",'QA Log'!Z:Z,"Approved"),"")</f>
        <v/>
      </c>
      <c r="AA480" s="105" t="str">
        <f>IF(A480&lt;&gt;"",COUNTIFS('QA Log'!D:D,A480,'QA Log'!M:M,"QQC",'QA Log'!L:L,"4. Family Planning",'QA Log'!Z:Z,"Approved"),"")</f>
        <v/>
      </c>
      <c r="AB480" s="102" t="str">
        <f>IF(A480="","",
SUM(
COUNTIFS('QA Log'!D:D,A480,'QA Log'!M:M,"QQC",'QA Log'!Z:Z,"Rejected",'QA Log'!L:L,"*8. Maternity*"),
COUNTIFS('QA Log'!D:D,A480,'QA Log'!M:M,"QQC",'QA Log'!Z:Z,"Rejected",'QA Log'!L:L,"*9. EPI and Pre-school Consultation*"),
COUNTIFS('QA Log'!D:D,A480,'QA Log'!M:M,"QQC",'QA Log'!Z:Z,"Rejected",'QA Log'!L:L,"*10. Antenatal Care (ANC)*"),
COUNTIFS('QA Log'!D:D,A480,'QA Log'!M:M,"QQC",'QA Log'!Z:Z,"Rejected",'QA Log'!L:L,"*2. Hygiene and Sterilization*"),
COUNTIFS('QA Log'!D:D,A480,'QA Log'!M:M,"QQC",'QA Log'!Z:Z,"Rejected",'QA Log'!L:L,"*4. Family Planning*")
))</f>
        <v/>
      </c>
      <c r="AC480" s="102" t="str">
        <f t="shared" si="29"/>
        <v/>
      </c>
      <c r="AD480" s="103" t="str">
        <f t="shared" si="30"/>
        <v/>
      </c>
      <c r="AE480" s="102" t="str">
        <f>IF(A480="","",
SUM(
COUNTIFS('QA Log'!D:D,A480,'QA Log'!M:M,"Data Verification",'QA Log'!L:L,"*Medicine (section 2)*"),
COUNTIFS('QA Log'!D:D,A480,'QA Log'!M:M,"Data Verification",'QA Log'!L:L,"*Lab Testing Availability*"),
COUNTIFS('QA Log'!D:D,A480,'QA Log'!M:M,"Data Verification",'QA Log'!L:L,"*Other than P4P (section 6)*"),
COUNTIFS('QA Log'!D:D,A480,'QA Log'!M:M,"Data Verification",'QA Log'!L:L,"*Hospital Governance*")
))</f>
        <v/>
      </c>
      <c r="AF480" s="102" t="str">
        <f>IF(A480="","",
SUM(
COUNTIFS('QA Log'!D:D,A480,'QA Log'!M:M,"Data Verification",'QA Log'!Z:Z,"Approved",'QA Log'!L:L,"*Medicine (section 2)*"),
COUNTIFS('QA Log'!D:D,A480,'QA Log'!M:M,"Data Verification",'QA Log'!Z:Z,"Approved",'QA Log'!L:L,"*Lab Testing Availability*"),
COUNTIFS('QA Log'!D:D,A480,'QA Log'!M:M,"Data Verification",'QA Log'!Z:Z,"Approved",'QA Log'!L:L,"*Other than P4P (section 6)*"),
COUNTIFS('QA Log'!D:D,A480,'QA Log'!M:M,"Data Verification",'QA Log'!Z:Z,"Approved",'QA Log'!L:L,"*Hospital Governance*")
))</f>
        <v/>
      </c>
      <c r="AG480" s="105" t="str">
        <f>IF(A480&lt;&gt;"",COUNTIFS('QA Log'!D:D,A480,'QA Log'!M:M,"Data Verification",'QA Log'!L:L,"Medicine (section 2)",'QA Log'!Z:Z,"Approved"),"")</f>
        <v/>
      </c>
      <c r="AH480" s="105" t="str">
        <f>IF(A480&lt;&gt;"",COUNTIFS('QA Log'!D:D,A480,'QA Log'!M:M,"Data Verification",'QA Log'!L:L,"Lab Testing Availability",'QA Log'!Z:Z,"Approved"),"")</f>
        <v/>
      </c>
      <c r="AI480" s="105" t="str">
        <f>IF(A480&lt;&gt;"",COUNTIFS('QA Log'!D:D,A480,'QA Log'!M:M,"Data Verification",'QA Log'!L:L,"Other than P4P (section 6)",'QA Log'!Z:Z,"Approved"),"")</f>
        <v/>
      </c>
      <c r="AJ480" s="105" t="str">
        <f>IF(A480&lt;&gt;"",COUNTIFS('QA Log'!D:D,A480,'QA Log'!M:M,"Data Verification",'QA Log'!L:L,"Hospital Governance",'QA Log'!Z:Z,"Approved"),"")</f>
        <v/>
      </c>
      <c r="AK480" s="102" t="str">
        <f>IF(A480="","",
SUM(
COUNTIFS('QA Log'!D:D,A480,'QA Log'!M:M,"Data Verification",'QA Log'!Z:Z,"Rejected",'QA Log'!L:L,"*Medicine (section 2)*"),
COUNTIFS('QA Log'!D:D,A480,'QA Log'!M:M,"Data Verification",'QA Log'!Z:Z,"Rejected",'QA Log'!L:L,"*Lab Testing Availability*"),
COUNTIFS('QA Log'!D:D,A480,'QA Log'!M:M,"Data Verification",'QA Log'!Z:Z,"Rejected",'QA Log'!L:L,"*Other than P4P (section 6)*"),
COUNTIFS('QA Log'!D:D,A480,'QA Log'!M:M,"Data Verification",'QA Log'!Z:Z,"Rejected",'QA Log'!L:L,"*Hospital Governance*")
))</f>
        <v/>
      </c>
      <c r="AL480" s="106" t="str">
        <f t="shared" si="31"/>
        <v/>
      </c>
      <c r="AM480" s="102" t="str">
        <f t="shared" si="32"/>
        <v/>
      </c>
      <c r="AN480" s="102" t="str">
        <f>IF(A480="","",
SUM(
COUNTIFS('QA Log'!D:D,A480,'QA Log'!M:M,"Data Verification",'QA Log'!L:L,"*Personnel (section 1)*"),
COUNTIFS('QA Log'!D:D,A480,'QA Log'!M:M,"Data Verification",'QA Log'!L:L,"*Consumable (section 3)*"),
COUNTIFS('QA Log'!D:D,A480,'QA Log'!M:M,"Data Verification",'QA Log'!L:L,"*Equipments (section 4)*")
))</f>
        <v/>
      </c>
      <c r="AO480" s="102" t="str">
        <f>IF(A480="","",
SUM(
COUNTIFS('QA Log'!D:D,A480,'QA Log'!M:M,"Data Verification",'QA Log'!Z:Z,"Approved",'QA Log'!L:L,"*Personnel (section 1)*"),
COUNTIFS('QA Log'!D:D,A480,'QA Log'!M:M,"Data Verification",'QA Log'!Z:Z,"Approved",'QA Log'!L:L,"*Consumable (section 3)*"),
COUNTIFS('QA Log'!D:D,A480,'QA Log'!M:M,"Data Verification",'QA Log'!Z:Z,"Approved",'QA Log'!L:L,"*Equipments (section 4)*")
))</f>
        <v/>
      </c>
      <c r="AP480" s="105" t="str">
        <f>IF(A480&lt;&gt;"",COUNTIFS('QA Log'!D:D,A480,'QA Log'!M:M,"Data Verification",'QA Log'!L:L,"Personnel (section 1)",'QA Log'!Z:Z,"Approved"),"")</f>
        <v/>
      </c>
      <c r="AQ480" s="105" t="str">
        <f>IF(A480&lt;&gt;"",COUNTIFS('QA Log'!D:D,A480,'QA Log'!M:M,"Data Verification",'QA Log'!L:L,"Consumable (section 3)",'QA Log'!Z:Z,"Approved"),"")</f>
        <v/>
      </c>
      <c r="AR480" s="105" t="str">
        <f>IF(A480&lt;&gt;"",COUNTIFS('QA Log'!D:D,A480,'QA Log'!M:M,"Data Verification",'QA Log'!L:L,"Equipments (section 4)",'QA Log'!Z:Z,"Approved"),"")</f>
        <v/>
      </c>
      <c r="AS480" s="102" t="str">
        <f>IF(A480="","",
SUM(
COUNTIFS('QA Log'!D:D,A480,'QA Log'!M:M,"Data Verification",'QA Log'!Z:Z,"Rejected",'QA Log'!L:L,"*Personnel (section 1)*"),
COUNTIFS('QA Log'!D:D,A480,'QA Log'!M:M,"Data Verification",'QA Log'!Z:Z,"Rejected",'QA Log'!L:L,"*Consumable (section 3)*"),
COUNTIFS('QA Log'!D:D,A480,'QA Log'!M:M,"Data Verification",'QA Log'!Z:Z,"Rejected",'QA Log'!L:L,"*Equipments (section 4)*")
))</f>
        <v/>
      </c>
      <c r="AT480" s="102" t="str">
        <f t="shared" si="33"/>
        <v/>
      </c>
      <c r="AU480" s="103" t="str">
        <f t="shared" si="34"/>
        <v/>
      </c>
      <c r="AV480" s="102" t="str">
        <f>IF(A480="","",SUM(
COUNTIFS('QA Log'!D:D,A480,'QA Log'!M:M,"Vignette",'QA Log'!L:L,"*Vignette [1] Respiratory Infection: Pneumonia*"),
COUNTIFS('QA Log'!D:D,A480,'QA Log'!M:M,"Vignette",'QA Log'!L:L,"*Vignette [2]: Diarrhea with Cat B dehydration*"),
COUNTIFS('QA Log'!D:D,A480,'QA Log'!M:M,"Vignette",'QA Log'!L:L,"*Vignette [3] Growth Monitoring and Promotion*"),
COUNTIFS('QA Log'!D:D,A480,'QA Log'!M:M,"Vignette",'QA Log'!L:L,"*Vignette [4]: The management of presumptive TB patient*")
)
)</f>
        <v/>
      </c>
      <c r="AW480" s="102" t="str">
        <f>IF(
  A480="","",
  SUM(
    COUNTIFS('QA Log'!D:D,A480,'QA Log'!M:M,"Vignette",'QA Log'!Z:Z,"Approved",'QA Log'!L:L,"*Vignette [1] Respiratory Infection: Pneumonia*"),
    COUNTIFS('QA Log'!D:D,A480,'QA Log'!M:M,"Vignette",'QA Log'!Z:Z,"Approved",'QA Log'!L:L,"*Vignette [2]: Diarrhea with Cat B dehydration*"),
    COUNTIFS('QA Log'!D:D,A480,'QA Log'!M:M,"Vignette",'QA Log'!Z:Z,"Approved",'QA Log'!L:L,"*Vignette [3] Growth Monitoring and Promotion*"),
    COUNTIFS('QA Log'!D:D,A480,'QA Log'!M:M,"Vignette",'QA Log'!Z:Z,"Approved",'QA Log'!L:L,"*Vignette [4]: The management of presumptive TB patient*")
  )
)</f>
        <v/>
      </c>
      <c r="AX480" s="105" t="str">
        <f>IF(A480&lt;&gt;"",COUNTIFS('QA Log'!D:D,A480,'QA Log'!M:M,"Vignette",'QA Log'!L:L,"Vignette [1] Respiratory Infection: Pneumonia",'QA Log'!Z:Z,"Approved"),"")</f>
        <v/>
      </c>
      <c r="AY480" s="105" t="str">
        <f>IF(A480&lt;&gt;"",COUNTIFS('QA Log'!D:D,A480,'QA Log'!M:M,"Vignette",'QA Log'!L:L,"Vignette [2]: Diarrhea with Cat B dehydration",'QA Log'!Z:Z,"Approved"),"")</f>
        <v/>
      </c>
      <c r="AZ480" s="105" t="str">
        <f>IF(A480&lt;&gt;"",COUNTIFS('QA Log'!D:D,A480,'QA Log'!M:M,"Vignette",'QA Log'!L:L,"Vignette [3] Growth Monitoring and Promotion",'QA Log'!Z:Z,"Approved"),"")</f>
        <v/>
      </c>
      <c r="BA480" s="105" t="str">
        <f>IF(A480&lt;&gt;"",COUNTIFS('QA Log'!D:D,A480,'QA Log'!M:M,"Vignette",'QA Log'!L:L,"Vignette [4]: The management of presumptive TB patient",'QA Log'!Z:Z,"Approved"),"")</f>
        <v/>
      </c>
      <c r="BB480" s="102" t="str">
        <f>IF(A480="","",
  SUM(
    COUNTIFS('QA Log'!D:D,A480,'QA Log'!M:M,"Vignette",'QA Log'!Z:Z,"Rejected",'QA Log'!L:L,"*Vignette [1] Respiratory Infection: Pneumonia*"),
    COUNTIFS('QA Log'!D:D,A480,'QA Log'!M:M,"Vignette",'QA Log'!Z:Z,"Rejected",'QA Log'!L:L,"*Vignette [2]: Diarrhea with Cat B dehydration*"),
    COUNTIFS('QA Log'!D:D,A480,'QA Log'!M:M,"Vignette",'QA Log'!Z:Z,"Rejected",'QA Log'!L:L,"*Vignette [3] Growth Monitoring and Promotion*"),
    COUNTIFS('QA Log'!D:D,A480,'QA Log'!M:M,"Vignette",'QA Log'!Z:Z,"Rejected",'QA Log'!L:L,"*Vignette [4]: The management of presumptive TB patient*")
  )
)</f>
        <v/>
      </c>
      <c r="BC480" s="107" t="str">
        <f t="shared" si="35"/>
        <v/>
      </c>
      <c r="BD480" s="103" t="str">
        <f t="shared" si="36"/>
        <v/>
      </c>
      <c r="BE480" s="102" t="str">
        <f>IF(A480="","",SUM(
COUNTIFS('QA Log'!D:D,A480,'QA Log'!M:M,"Vignette",'QA Log'!L:L,"*Vignette [5] Labor*"),
COUNTIFS('QA Log'!D:D,A480,'QA Log'!M:M,"Vignette",'QA Log'!L:L,"*Vignette [6] PNC pre Discharge*"),
COUNTIFS('QA Log'!D:D,A480,'QA Log'!M:M,"Vignette",'QA Log'!L:L,"*Vignette [7] First ANC Visit*"),
COUNTIFS('QA Log'!D:D,A480,'QA Log'!M:M,"Vignette",'QA Log'!L:L,"*Vignette [8] Birth Spacing/ Family Planning :  FP Counselling*"),
COUNTIFS('QA Log'!D:D,A480,'QA Log'!M:M,"Vignette",'QA Log'!L:L,"*Vignette [9] Birth Spacing: Change FP method to Injectable*"),
COUNTIFS('QA Log'!D:D,A480,'QA Log'!M:M,"Vignette",'QA Log'!L:L,"*Vignette [10] Post Partum Haemorrhage - Atonic Uterus at Health Centre*"),
)
)</f>
        <v/>
      </c>
      <c r="BF480" s="102" t="str">
        <f>IF(A480="","",
  SUM(
    COUNTIFS('QA Log'!D:D,A480,'QA Log'!M:M,"Vignette",'QA Log'!Z:Z,"Approved",'QA Log'!L:L,"*Vignette [5] Labor*"),
    COUNTIFS('QA Log'!D:D,A480,'QA Log'!M:M,"Vignette",'QA Log'!Z:Z,"Approved",'QA Log'!L:L,"*Vignette [6] PNC pre Discharge*"),
    COUNTIFS('QA Log'!D:D,A480,'QA Log'!M:M,"Vignette",'QA Log'!Z:Z,"Approved",'QA Log'!L:L,"*Vignette [7] First ANC Visit*"),
    COUNTIFS('QA Log'!D:D,A480,'QA Log'!M:M,"Vignette",'QA Log'!Z:Z,"Approved",'QA Log'!L:L,"*Vignette [8] Birth Spacing/ Family Planning :  FP Counselling*"),
    COUNTIFS('QA Log'!D:D,A480,'QA Log'!M:M,"Vignette",'QA Log'!Z:Z,"Approved",'QA Log'!L:L,"*Vignette [9] Birth Spacing: Change FP method to Injectable*"),
    COUNTIFS('QA Log'!D:D,A480,'QA Log'!M:M,"Vignette",'QA Log'!Z:Z,"Approved",'QA Log'!L:L,"*Vignette [10] Post Partum Haemorrhage - Atonic Uterus at Health Centre*")
  )
)</f>
        <v/>
      </c>
      <c r="BG480" s="105" t="str">
        <f>IF(A480&lt;&gt;"",COUNTIFS('QA Log'!D:D,A480,'QA Log'!M:M,"Vignette",'QA Log'!L:L,"Vignette [5] Labor",'QA Log'!Z:Z,"Approved"),"")</f>
        <v/>
      </c>
      <c r="BH480" s="105" t="str">
        <f>IF(A480&lt;&gt;"",COUNTIFS('QA Log'!D:D,A480,'QA Log'!M:M,"Vignette",'QA Log'!L:L,"Vignette [6] PNC pre Discharge",'QA Log'!Z:Z,"Approved"),"")</f>
        <v/>
      </c>
      <c r="BI480" s="105" t="str">
        <f>IF(A480&lt;&gt;"",COUNTIFS('QA Log'!D:D,A480,'QA Log'!M:M,"Vignette",'QA Log'!L:L,"Vignette [7] First ANC Visit",'QA Log'!Z:Z,"Approved"),"")</f>
        <v/>
      </c>
      <c r="BJ480" s="105" t="str">
        <f>IF(A480&lt;&gt;"",COUNTIFS('QA Log'!D:D,A480,'QA Log'!M:M,"Vignette",'QA Log'!L:L,"Vignette [8] Birth Spacing/ Family Planning :  FP Counselling",'QA Log'!Z:Z,"Approved"),"")</f>
        <v/>
      </c>
      <c r="BK480" s="105" t="str">
        <f>IF(A480&lt;&gt;"",COUNTIFS('QA Log'!D:D,A480,'QA Log'!M:M,"Vignette",'QA Log'!L:L,"Vignette [9] Birth Spacing: Change FP method to Injectable",'QA Log'!Z:Z,"Approved"),"")</f>
        <v/>
      </c>
      <c r="BL480" s="105" t="str">
        <f>IF(A480&lt;&gt;"",COUNTIFS('QA Log'!D:D,A480,'QA Log'!M:M,"Vignette",'QA Log'!L:L,"Vignette [10] Post Partum Haemorrhage - Atonic Uterus at Health Centre",'QA Log'!Z:Z,"Approved"),"")</f>
        <v/>
      </c>
      <c r="BM480" s="102" t="str">
        <f>IF(A480="","",SUM(
    COUNTIFS('QA Log'!D:D,A480,'QA Log'!M:M,"Vignette",'QA Log'!Z:Z,"Rejected",'QA Log'!L:L,"*Vignette [5] Labor*"),
    COUNTIFS('QA Log'!D:D,A480,'QA Log'!M:M,"Vignette",'QA Log'!Z:Z,"Rejected",'QA Log'!L:L,"*Vignette [6] PNC pre Discharge*"),
    COUNTIFS('QA Log'!D:D,A480,'QA Log'!M:M,"Vignette",'QA Log'!Z:Z,"Rejected",'QA Log'!L:L,"*Vignette [7] First ANC Visit*"),
    COUNTIFS('QA Log'!D:D,A480,'QA Log'!M:M,"Vignette",'QA Log'!Z:Z,"Rejected",'QA Log'!L:L,"*Vignette [8] Birth Spacing/ Family Planning :  FP Counselling*"),
    COUNTIFS('QA Log'!D:D,A480,'QA Log'!M:M,"Vignette",'QA Log'!Z:Z,"Rejected",'QA Log'!L:L,"*Vignette [9] Birth Spacing: Change FP method to Injectable*"),
    COUNTIFS('QA Log'!D:D,A480,'QA Log'!M:M,"Vignette",'QA Log'!Z:Z,"Rejected",'QA Log'!L:L,"*Vignette [10] Post Partum Haemorrhage - Atonic Uterus at Health Centre*")
  )
)</f>
        <v/>
      </c>
      <c r="BN480" s="107" t="str">
        <f t="shared" si="37"/>
        <v/>
      </c>
      <c r="BO480" s="103" t="str">
        <f t="shared" si="38"/>
        <v/>
      </c>
      <c r="BP480" s="102" t="str">
        <f>IF(A480="","",SUM(
COUNTIFS('QA Log'!D:D,A480,'QA Log'!M:M,"Vignette",'QA Log'!L:L,"*Exit Interview 1*"),
COUNTIFS('QA Log'!D:D,A480,'QA Log'!M:M,"Vignette",'QA Log'!L:L,"*Exit Interview 2*"),
)
)</f>
        <v/>
      </c>
      <c r="BQ480" s="102" t="str">
        <f>IF(
  A480="","",
  SUM(
    COUNTIFS('QA Log'!D:D,A480,'QA Log'!M:M,"Vignette",'QA Log'!Z:Z,"Approved",'QA Log'!L:L,"*Exit Interview 1*"),
    COUNTIFS('QA Log'!D:D,A480,'QA Log'!M:M,"Vignette",'QA Log'!Z:Z,"Approved",'QA Log'!L:L,"*Exit Interview 2*")
  )
)</f>
        <v/>
      </c>
      <c r="BR480" s="105" t="str">
        <f>IF(A480&lt;&gt;"",COUNTIFS('QA Log'!D:D,A480,'QA Log'!M:M,"Vignette",'QA Log'!L:L,"Exit Interview 1",'QA Log'!Z:Z,"Approved"),"")</f>
        <v/>
      </c>
      <c r="BS480" s="105" t="str">
        <f>IF(A480&lt;&gt;"",COUNTIFS('QA Log'!D:D,A480,'QA Log'!M:M,"Vignette",'QA Log'!L:L,"Exit Interview 2",'QA Log'!Z:Z,"Approved"),"")</f>
        <v/>
      </c>
      <c r="BT480" s="102" t="str">
        <f>IF(
  A480="","",
  SUM(
    COUNTIFS('QA Log'!D:D,A480,'QA Log'!M:M,"Vignette",'QA Log'!Z:Z,"Rejected",'QA Log'!L:L,"*Exit Interview 1*"),
    COUNTIFS('QA Log'!D:D,A480,'QA Log'!M:M,"Vignette",'QA Log'!Z:Z,"Rejected",'QA Log'!L:L,"*Exit Interview 2*")
  )
)</f>
        <v/>
      </c>
      <c r="BU480" s="107" t="str">
        <f t="shared" si="39"/>
        <v/>
      </c>
      <c r="BV480" s="102" t="str">
        <f t="shared" si="40"/>
        <v/>
      </c>
      <c r="BW480" s="102" t="str">
        <f t="shared" si="41"/>
        <v/>
      </c>
      <c r="BX480" s="102" t="str">
        <f t="shared" si="42"/>
        <v/>
      </c>
      <c r="BY480" s="102" t="str">
        <f t="shared" si="43"/>
        <v/>
      </c>
      <c r="BZ480" s="107" t="str">
        <f t="shared" si="44"/>
        <v/>
      </c>
      <c r="CA480" s="108" t="str">
        <f t="shared" si="45"/>
        <v/>
      </c>
      <c r="CB480" s="108" t="str">
        <f t="shared" si="46"/>
        <v/>
      </c>
      <c r="CC480" s="109" t="str">
        <f t="shared" si="47"/>
        <v/>
      </c>
      <c r="CD480" s="108" t="str">
        <f t="shared" si="48"/>
        <v/>
      </c>
      <c r="CE480" s="108" t="str">
        <f t="shared" si="49"/>
        <v/>
      </c>
      <c r="CF480" s="109" t="str">
        <f t="shared" si="50"/>
        <v/>
      </c>
      <c r="CG480" s="110" t="str">
        <f t="shared" si="51"/>
        <v/>
      </c>
      <c r="CH480" s="111"/>
    </row>
    <row r="481" spans="1:86" ht="12.75">
      <c r="A481" s="101"/>
      <c r="B481" s="102" t="e">
        <f t="array" aca="1" ref="B481" ca="1">_xludf.XLOOKUP(A481,'QA Log'!D:D,'QA Log'!E:E,"")</f>
        <v>#NAME?</v>
      </c>
      <c r="C481" s="102" t="e">
        <f t="array" aca="1" ref="C481" ca="1">_xludf.XLOOKUP(A481,'QA Log'!D:D,'QA Log'!F:F,"")</f>
        <v>#NAME?</v>
      </c>
      <c r="D481" s="102" t="e">
        <f t="array" aca="1" ref="D481" ca="1">_xludf.XLOOKUP(A481,'QA Log'!D:D,'QA Log'!H:H,"")</f>
        <v>#NAME?</v>
      </c>
      <c r="E481" s="102" t="e">
        <f t="array" aca="1" ref="E481" ca="1">_xludf.XLOOKUP(A481,'QA Log'!D:D,'QA Log'!G:G,"")</f>
        <v>#NAME?</v>
      </c>
      <c r="F481" s="103"/>
      <c r="G481" s="104"/>
      <c r="H481" s="104"/>
      <c r="I481" s="103" t="str">
        <f t="shared" si="26"/>
        <v/>
      </c>
      <c r="J481" s="102" t="str">
        <f>IF(A481="","",SUM(
COUNTIFS('QA Log'!D:D,A481,'QA Log'!M:M,"QQC",'QA Log'!L:L,"*1. General Management*"),
COUNTIFS('QA Log'!D:D,A481,'QA Log'!M:M,"QQC",'QA Log'!L:L,"*3. Curative Consultation (OPD)*"),
COUNTIFS('QA Log'!D:D,A481,'QA Log'!M:M,"QQC",'QA Log'!L:L,"*5. Laboratory*"),
COUNTIFS('QA Log'!D:D,A481,'QA Log'!M:M,"QQC",'QA Log'!L:L,"*6. Essential Medicine Management*"),
COUNTIFS('QA Log'!D:D,A481,'QA Log'!M:M,"QQC",'QA Log'!L:L,"*7. Tracer Medicine*"),
COUNTIFS('QA Log'!D:D,A481,'QA Log'!M:M,"QQC",'QA Log'!L:L,"*11. Additional Questions*")))</f>
        <v/>
      </c>
      <c r="K481" s="102" t="str">
        <f>IF(A481="","",SUM(
COUNTIFS('QA Log'!D:D,A481,'QA Log'!M:M,"QQC",'QA Log'!Z:Z,"Approved",'QA Log'!L:L,"*1. General Management*"),
COUNTIFS('QA Log'!D:D,A481,'QA Log'!M:M,"QQC",'QA Log'!Z:Z,"Approved",'QA Log'!L:L,"*3. Curative Consultation (OPD)*"),
COUNTIFS('QA Log'!D:D,A481,'QA Log'!M:M,"QQC",'QA Log'!Z:Z,"Approved",'QA Log'!L:L,"*5. Laboratory*"),
COUNTIFS('QA Log'!D:D,A481,'QA Log'!M:M,"QQC",'QA Log'!Z:Z,"Approved",'QA Log'!L:L,"*6. Essential Medicine Management*"),
COUNTIFS('QA Log'!D:D,A481,'QA Log'!M:M,"QQC",'QA Log'!Z:Z,"Approved",'QA Log'!L:L,"*7. Tracer Medicine*"),
COUNTIFS('QA Log'!D:D,A481,'QA Log'!M:M,"QQC",'QA Log'!Z:Z,"Approved",'QA Log'!L:L,"*11. Additional Questions*")))</f>
        <v/>
      </c>
      <c r="L481" s="102" t="str">
        <f>IF(A481&lt;&gt;"",COUNTIFS('QA Log'!D:D,A481,'QA Log'!M:M,"QQC",'QA Log'!L:L,"1. General Management",'QA Log'!Z:Z,"Approved"),"")</f>
        <v/>
      </c>
      <c r="M481" s="102" t="str">
        <f>IF(A481&lt;&gt;"",COUNTIFS('QA Log'!D:D,A481,'QA Log'!M:M,"QQC",'QA Log'!L:L,"3. Curative Consultation (OPD)",'QA Log'!Z:Z,"Approved"),"")</f>
        <v/>
      </c>
      <c r="N481" s="102" t="str">
        <f>IF(A481&lt;&gt;"",COUNTIFS('QA Log'!D:D,A481,'QA Log'!M:M,"QQC",'QA Log'!L:L,"5. Laboratory",'QA Log'!Z:Z,"Approved"),"")</f>
        <v/>
      </c>
      <c r="O481" s="102" t="str">
        <f>IF(A481&lt;&gt;"",COUNTIFS('QA Log'!D:D,A481,'QA Log'!M:M,"QQC",'QA Log'!L:L,"6. Essential Medicine Management",'QA Log'!Z:Z,"Approved"),"")</f>
        <v/>
      </c>
      <c r="P481" s="102" t="str">
        <f>IF(A481&lt;&gt;"",COUNTIFS('QA Log'!D:D,A481,'QA Log'!M:M,"QQC",'QA Log'!L:L,"7. Tracer Medicine",'QA Log'!Z:Z,"Approved"),"")</f>
        <v/>
      </c>
      <c r="Q481" s="102" t="str">
        <f>IF(A481&lt;&gt;"",COUNTIFS('QA Log'!D:D,A481,'QA Log'!M:M,"QQC",'QA Log'!L:L,"11. Additional Questions",'QA Log'!Z:Z,"Approved"),"")</f>
        <v/>
      </c>
      <c r="R481" s="102" t="str">
        <f>IF(A481="","",SUM(
COUNTIFS('QA Log'!D:D,A481,'QA Log'!M:M,"QQC",'QA Log'!Z:Z,"Rejected",'QA Log'!L:L,"*8. Maternity*"),
COUNTIFS('QA Log'!D:D,A481,'QA Log'!M:M,"QQC",'QA Log'!Z:Z,"Rejected",'QA Log'!L:L,"*EPI*"),
COUNTIFS('QA Log'!D:D,A481,'QA Log'!M:M,"QQC",'QA Log'!Z:Z,"Rejected",'QA Log'!L:L,"*10. Antenatal Care (ANC)*"),
COUNTIFS('QA Log'!D:D,A481,'QA Log'!M:M,"QQC",'QA Log'!Z:Z,"Rejected",'QA Log'!L:L,"*2. Hygiene and Sterilization*"),
COUNTIFS('QA Log'!D:D,A481,'QA Log'!M:M,"QQC",'QA Log'!Z:Z,"Rejected",'QA Log'!L:L,"*Family Planning*")))</f>
        <v/>
      </c>
      <c r="S481" s="106" t="str">
        <f t="shared" si="27"/>
        <v/>
      </c>
      <c r="T481" s="102" t="str">
        <f t="shared" si="28"/>
        <v/>
      </c>
      <c r="U481" s="102" t="str">
        <f>IF(A481="","",
SUM(
COUNTIFS('QA Log'!D:D,A481,'QA Log'!M:M,"QQC",'QA Log'!L:L,"*8. Maternity*"),
COUNTIFS('QA Log'!D:D,A481,'QA Log'!M:M,"QQC",'QA Log'!L:L,"*9. EPI and Pre-school Consultation*"),
COUNTIFS('QA Log'!D:D,A481,'QA Log'!M:M,"QQC",'QA Log'!L:L,"*10. Antenatal Care (ANC)*"),
COUNTIFS('QA Log'!D:D,A481,'QA Log'!M:M,"QQC",'QA Log'!L:L,"*2. Hygiene and Sterilization*"),
COUNTIFS('QA Log'!D:D,A481,'QA Log'!M:M,"QQC",'QA Log'!L:L,"*4. Family Planning*")
))</f>
        <v/>
      </c>
      <c r="V481" s="102" t="str">
        <f>IF(A481="","",
SUM(
COUNTIFS('QA Log'!D:D,A481,'QA Log'!M:M,"QQC",'QA Log'!Z:Z,"Approved",'QA Log'!L:L,"*8. Maternity*"),
COUNTIFS('QA Log'!D:D,A481,'QA Log'!M:M,"QQC",'QA Log'!Z:Z,"Approved",'QA Log'!L:L,"*9. EPI and Pre-school Consultation*"),
COUNTIFS('QA Log'!D:D,A481,'QA Log'!M:M,"QQC",'QA Log'!Z:Z,"Approved",'QA Log'!L:L,"*10. Antenatal Care (ANC)*"),
COUNTIFS('QA Log'!D:D,A481,'QA Log'!M:M,"QQC",'QA Log'!Z:Z,"Approved",'QA Log'!L:L,"*2. Hygiene and Sterilization*"),
COUNTIFS('QA Log'!D:D,A481,'QA Log'!M:M,"QQC",'QA Log'!Z:Z,"Approved",'QA Log'!L:L,"*4. Family Planning*")
))</f>
        <v/>
      </c>
      <c r="W481" s="102" t="str">
        <f>IF(A481&lt;&gt;"",COUNTIFS('QA Log'!D:D,A481,'QA Log'!M:M,"QQC",'QA Log'!L:L,"8. Maternity",'QA Log'!Z:Z,"Approved"),"")</f>
        <v/>
      </c>
      <c r="X481" s="105" t="str">
        <f>IF(A481&lt;&gt;"",COUNTIFS('QA Log'!D:D,A481,'QA Log'!M:M,"QQC",'QA Log'!L:L,"9. EPI and Pre-school Consultation",'QA Log'!Z:Z,"Approved"),"")</f>
        <v/>
      </c>
      <c r="Y481" s="102" t="str">
        <f>IF(A481&lt;&gt;"",COUNTIFS('QA Log'!D:D,A481,'QA Log'!M:M,"QQC",'QA Log'!L:L,"10. Antenatal Care (ANC)",'QA Log'!Z:Z,"Approved"),"")</f>
        <v/>
      </c>
      <c r="Z481" s="102" t="str">
        <f>IF(A481&lt;&gt;"",COUNTIFS('QA Log'!D:D,A481,'QA Log'!M:M,"QQC",'QA Log'!L:L,"2. Hygiene and Sterilization",'QA Log'!Z:Z,"Approved"),"")</f>
        <v/>
      </c>
      <c r="AA481" s="105" t="str">
        <f>IF(A481&lt;&gt;"",COUNTIFS('QA Log'!D:D,A481,'QA Log'!M:M,"QQC",'QA Log'!L:L,"4. Family Planning",'QA Log'!Z:Z,"Approved"),"")</f>
        <v/>
      </c>
      <c r="AB481" s="102" t="str">
        <f>IF(A481="","",
SUM(
COUNTIFS('QA Log'!D:D,A481,'QA Log'!M:M,"QQC",'QA Log'!Z:Z,"Rejected",'QA Log'!L:L,"*8. Maternity*"),
COUNTIFS('QA Log'!D:D,A481,'QA Log'!M:M,"QQC",'QA Log'!Z:Z,"Rejected",'QA Log'!L:L,"*9. EPI and Pre-school Consultation*"),
COUNTIFS('QA Log'!D:D,A481,'QA Log'!M:M,"QQC",'QA Log'!Z:Z,"Rejected",'QA Log'!L:L,"*10. Antenatal Care (ANC)*"),
COUNTIFS('QA Log'!D:D,A481,'QA Log'!M:M,"QQC",'QA Log'!Z:Z,"Rejected",'QA Log'!L:L,"*2. Hygiene and Sterilization*"),
COUNTIFS('QA Log'!D:D,A481,'QA Log'!M:M,"QQC",'QA Log'!Z:Z,"Rejected",'QA Log'!L:L,"*4. Family Planning*")
))</f>
        <v/>
      </c>
      <c r="AC481" s="102" t="str">
        <f t="shared" si="29"/>
        <v/>
      </c>
      <c r="AD481" s="103" t="str">
        <f t="shared" si="30"/>
        <v/>
      </c>
      <c r="AE481" s="102" t="str">
        <f>IF(A481="","",
SUM(
COUNTIFS('QA Log'!D:D,A481,'QA Log'!M:M,"Data Verification",'QA Log'!L:L,"*Medicine (section 2)*"),
COUNTIFS('QA Log'!D:D,A481,'QA Log'!M:M,"Data Verification",'QA Log'!L:L,"*Lab Testing Availability*"),
COUNTIFS('QA Log'!D:D,A481,'QA Log'!M:M,"Data Verification",'QA Log'!L:L,"*Other than P4P (section 6)*"),
COUNTIFS('QA Log'!D:D,A481,'QA Log'!M:M,"Data Verification",'QA Log'!L:L,"*Hospital Governance*")
))</f>
        <v/>
      </c>
      <c r="AF481" s="102" t="str">
        <f>IF(A481="","",
SUM(
COUNTIFS('QA Log'!D:D,A481,'QA Log'!M:M,"Data Verification",'QA Log'!Z:Z,"Approved",'QA Log'!L:L,"*Medicine (section 2)*"),
COUNTIFS('QA Log'!D:D,A481,'QA Log'!M:M,"Data Verification",'QA Log'!Z:Z,"Approved",'QA Log'!L:L,"*Lab Testing Availability*"),
COUNTIFS('QA Log'!D:D,A481,'QA Log'!M:M,"Data Verification",'QA Log'!Z:Z,"Approved",'QA Log'!L:L,"*Other than P4P (section 6)*"),
COUNTIFS('QA Log'!D:D,A481,'QA Log'!M:M,"Data Verification",'QA Log'!Z:Z,"Approved",'QA Log'!L:L,"*Hospital Governance*")
))</f>
        <v/>
      </c>
      <c r="AG481" s="105" t="str">
        <f>IF(A481&lt;&gt;"",COUNTIFS('QA Log'!D:D,A481,'QA Log'!M:M,"Data Verification",'QA Log'!L:L,"Medicine (section 2)",'QA Log'!Z:Z,"Approved"),"")</f>
        <v/>
      </c>
      <c r="AH481" s="105" t="str">
        <f>IF(A481&lt;&gt;"",COUNTIFS('QA Log'!D:D,A481,'QA Log'!M:M,"Data Verification",'QA Log'!L:L,"Lab Testing Availability",'QA Log'!Z:Z,"Approved"),"")</f>
        <v/>
      </c>
      <c r="AI481" s="105" t="str">
        <f>IF(A481&lt;&gt;"",COUNTIFS('QA Log'!D:D,A481,'QA Log'!M:M,"Data Verification",'QA Log'!L:L,"Other than P4P (section 6)",'QA Log'!Z:Z,"Approved"),"")</f>
        <v/>
      </c>
      <c r="AJ481" s="105" t="str">
        <f>IF(A481&lt;&gt;"",COUNTIFS('QA Log'!D:D,A481,'QA Log'!M:M,"Data Verification",'QA Log'!L:L,"Hospital Governance",'QA Log'!Z:Z,"Approved"),"")</f>
        <v/>
      </c>
      <c r="AK481" s="102" t="str">
        <f>IF(A481="","",
SUM(
COUNTIFS('QA Log'!D:D,A481,'QA Log'!M:M,"Data Verification",'QA Log'!Z:Z,"Rejected",'QA Log'!L:L,"*Medicine (section 2)*"),
COUNTIFS('QA Log'!D:D,A481,'QA Log'!M:M,"Data Verification",'QA Log'!Z:Z,"Rejected",'QA Log'!L:L,"*Lab Testing Availability*"),
COUNTIFS('QA Log'!D:D,A481,'QA Log'!M:M,"Data Verification",'QA Log'!Z:Z,"Rejected",'QA Log'!L:L,"*Other than P4P (section 6)*"),
COUNTIFS('QA Log'!D:D,A481,'QA Log'!M:M,"Data Verification",'QA Log'!Z:Z,"Rejected",'QA Log'!L:L,"*Hospital Governance*")
))</f>
        <v/>
      </c>
      <c r="AL481" s="106" t="str">
        <f t="shared" si="31"/>
        <v/>
      </c>
      <c r="AM481" s="102" t="str">
        <f t="shared" si="32"/>
        <v/>
      </c>
      <c r="AN481" s="102" t="str">
        <f>IF(A481="","",
SUM(
COUNTIFS('QA Log'!D:D,A481,'QA Log'!M:M,"Data Verification",'QA Log'!L:L,"*Personnel (section 1)*"),
COUNTIFS('QA Log'!D:D,A481,'QA Log'!M:M,"Data Verification",'QA Log'!L:L,"*Consumable (section 3)*"),
COUNTIFS('QA Log'!D:D,A481,'QA Log'!M:M,"Data Verification",'QA Log'!L:L,"*Equipments (section 4)*")
))</f>
        <v/>
      </c>
      <c r="AO481" s="102" t="str">
        <f>IF(A481="","",
SUM(
COUNTIFS('QA Log'!D:D,A481,'QA Log'!M:M,"Data Verification",'QA Log'!Z:Z,"Approved",'QA Log'!L:L,"*Personnel (section 1)*"),
COUNTIFS('QA Log'!D:D,A481,'QA Log'!M:M,"Data Verification",'QA Log'!Z:Z,"Approved",'QA Log'!L:L,"*Consumable (section 3)*"),
COUNTIFS('QA Log'!D:D,A481,'QA Log'!M:M,"Data Verification",'QA Log'!Z:Z,"Approved",'QA Log'!L:L,"*Equipments (section 4)*")
))</f>
        <v/>
      </c>
      <c r="AP481" s="105" t="str">
        <f>IF(A481&lt;&gt;"",COUNTIFS('QA Log'!D:D,A481,'QA Log'!M:M,"Data Verification",'QA Log'!L:L,"Personnel (section 1)",'QA Log'!Z:Z,"Approved"),"")</f>
        <v/>
      </c>
      <c r="AQ481" s="105" t="str">
        <f>IF(A481&lt;&gt;"",COUNTIFS('QA Log'!D:D,A481,'QA Log'!M:M,"Data Verification",'QA Log'!L:L,"Consumable (section 3)",'QA Log'!Z:Z,"Approved"),"")</f>
        <v/>
      </c>
      <c r="AR481" s="105" t="str">
        <f>IF(A481&lt;&gt;"",COUNTIFS('QA Log'!D:D,A481,'QA Log'!M:M,"Data Verification",'QA Log'!L:L,"Equipments (section 4)",'QA Log'!Z:Z,"Approved"),"")</f>
        <v/>
      </c>
      <c r="AS481" s="102" t="str">
        <f>IF(A481="","",
SUM(
COUNTIFS('QA Log'!D:D,A481,'QA Log'!M:M,"Data Verification",'QA Log'!Z:Z,"Rejected",'QA Log'!L:L,"*Personnel (section 1)*"),
COUNTIFS('QA Log'!D:D,A481,'QA Log'!M:M,"Data Verification",'QA Log'!Z:Z,"Rejected",'QA Log'!L:L,"*Consumable (section 3)*"),
COUNTIFS('QA Log'!D:D,A481,'QA Log'!M:M,"Data Verification",'QA Log'!Z:Z,"Rejected",'QA Log'!L:L,"*Equipments (section 4)*")
))</f>
        <v/>
      </c>
      <c r="AT481" s="102" t="str">
        <f t="shared" si="33"/>
        <v/>
      </c>
      <c r="AU481" s="103" t="str">
        <f t="shared" si="34"/>
        <v/>
      </c>
      <c r="AV481" s="102" t="str">
        <f>IF(A481="","",SUM(
COUNTIFS('QA Log'!D:D,A481,'QA Log'!M:M,"Vignette",'QA Log'!L:L,"*Vignette [1] Respiratory Infection: Pneumonia*"),
COUNTIFS('QA Log'!D:D,A481,'QA Log'!M:M,"Vignette",'QA Log'!L:L,"*Vignette [2]: Diarrhea with Cat B dehydration*"),
COUNTIFS('QA Log'!D:D,A481,'QA Log'!M:M,"Vignette",'QA Log'!L:L,"*Vignette [3] Growth Monitoring and Promotion*"),
COUNTIFS('QA Log'!D:D,A481,'QA Log'!M:M,"Vignette",'QA Log'!L:L,"*Vignette [4]: The management of presumptive TB patient*")
)
)</f>
        <v/>
      </c>
      <c r="AW481" s="102" t="str">
        <f>IF(
  A481="","",
  SUM(
    COUNTIFS('QA Log'!D:D,A481,'QA Log'!M:M,"Vignette",'QA Log'!Z:Z,"Approved",'QA Log'!L:L,"*Vignette [1] Respiratory Infection: Pneumonia*"),
    COUNTIFS('QA Log'!D:D,A481,'QA Log'!M:M,"Vignette",'QA Log'!Z:Z,"Approved",'QA Log'!L:L,"*Vignette [2]: Diarrhea with Cat B dehydration*"),
    COUNTIFS('QA Log'!D:D,A481,'QA Log'!M:M,"Vignette",'QA Log'!Z:Z,"Approved",'QA Log'!L:L,"*Vignette [3] Growth Monitoring and Promotion*"),
    COUNTIFS('QA Log'!D:D,A481,'QA Log'!M:M,"Vignette",'QA Log'!Z:Z,"Approved",'QA Log'!L:L,"*Vignette [4]: The management of presumptive TB patient*")
  )
)</f>
        <v/>
      </c>
      <c r="AX481" s="105" t="str">
        <f>IF(A481&lt;&gt;"",COUNTIFS('QA Log'!D:D,A481,'QA Log'!M:M,"Vignette",'QA Log'!L:L,"Vignette [1] Respiratory Infection: Pneumonia",'QA Log'!Z:Z,"Approved"),"")</f>
        <v/>
      </c>
      <c r="AY481" s="105" t="str">
        <f>IF(A481&lt;&gt;"",COUNTIFS('QA Log'!D:D,A481,'QA Log'!M:M,"Vignette",'QA Log'!L:L,"Vignette [2]: Diarrhea with Cat B dehydration",'QA Log'!Z:Z,"Approved"),"")</f>
        <v/>
      </c>
      <c r="AZ481" s="105" t="str">
        <f>IF(A481&lt;&gt;"",COUNTIFS('QA Log'!D:D,A481,'QA Log'!M:M,"Vignette",'QA Log'!L:L,"Vignette [3] Growth Monitoring and Promotion",'QA Log'!Z:Z,"Approved"),"")</f>
        <v/>
      </c>
      <c r="BA481" s="105" t="str">
        <f>IF(A481&lt;&gt;"",COUNTIFS('QA Log'!D:D,A481,'QA Log'!M:M,"Vignette",'QA Log'!L:L,"Vignette [4]: The management of presumptive TB patient",'QA Log'!Z:Z,"Approved"),"")</f>
        <v/>
      </c>
      <c r="BB481" s="102" t="str">
        <f>IF(A481="","",
  SUM(
    COUNTIFS('QA Log'!D:D,A481,'QA Log'!M:M,"Vignette",'QA Log'!Z:Z,"Rejected",'QA Log'!L:L,"*Vignette [1] Respiratory Infection: Pneumonia*"),
    COUNTIFS('QA Log'!D:D,A481,'QA Log'!M:M,"Vignette",'QA Log'!Z:Z,"Rejected",'QA Log'!L:L,"*Vignette [2]: Diarrhea with Cat B dehydration*"),
    COUNTIFS('QA Log'!D:D,A481,'QA Log'!M:M,"Vignette",'QA Log'!Z:Z,"Rejected",'QA Log'!L:L,"*Vignette [3] Growth Monitoring and Promotion*"),
    COUNTIFS('QA Log'!D:D,A481,'QA Log'!M:M,"Vignette",'QA Log'!Z:Z,"Rejected",'QA Log'!L:L,"*Vignette [4]: The management of presumptive TB patient*")
  )
)</f>
        <v/>
      </c>
      <c r="BC481" s="107" t="str">
        <f t="shared" si="35"/>
        <v/>
      </c>
      <c r="BD481" s="103" t="str">
        <f t="shared" si="36"/>
        <v/>
      </c>
      <c r="BE481" s="102" t="str">
        <f>IF(A481="","",SUM(
COUNTIFS('QA Log'!D:D,A481,'QA Log'!M:M,"Vignette",'QA Log'!L:L,"*Vignette [5] Labor*"),
COUNTIFS('QA Log'!D:D,A481,'QA Log'!M:M,"Vignette",'QA Log'!L:L,"*Vignette [6] PNC pre Discharge*"),
COUNTIFS('QA Log'!D:D,A481,'QA Log'!M:M,"Vignette",'QA Log'!L:L,"*Vignette [7] First ANC Visit*"),
COUNTIFS('QA Log'!D:D,A481,'QA Log'!M:M,"Vignette",'QA Log'!L:L,"*Vignette [8] Birth Spacing/ Family Planning :  FP Counselling*"),
COUNTIFS('QA Log'!D:D,A481,'QA Log'!M:M,"Vignette",'QA Log'!L:L,"*Vignette [9] Birth Spacing: Change FP method to Injectable*"),
COUNTIFS('QA Log'!D:D,A481,'QA Log'!M:M,"Vignette",'QA Log'!L:L,"*Vignette [10] Post Partum Haemorrhage - Atonic Uterus at Health Centre*"),
)
)</f>
        <v/>
      </c>
      <c r="BF481" s="102" t="str">
        <f>IF(A481="","",
  SUM(
    COUNTIFS('QA Log'!D:D,A481,'QA Log'!M:M,"Vignette",'QA Log'!Z:Z,"Approved",'QA Log'!L:L,"*Vignette [5] Labor*"),
    COUNTIFS('QA Log'!D:D,A481,'QA Log'!M:M,"Vignette",'QA Log'!Z:Z,"Approved",'QA Log'!L:L,"*Vignette [6] PNC pre Discharge*"),
    COUNTIFS('QA Log'!D:D,A481,'QA Log'!M:M,"Vignette",'QA Log'!Z:Z,"Approved",'QA Log'!L:L,"*Vignette [7] First ANC Visit*"),
    COUNTIFS('QA Log'!D:D,A481,'QA Log'!M:M,"Vignette",'QA Log'!Z:Z,"Approved",'QA Log'!L:L,"*Vignette [8] Birth Spacing/ Family Planning :  FP Counselling*"),
    COUNTIFS('QA Log'!D:D,A481,'QA Log'!M:M,"Vignette",'QA Log'!Z:Z,"Approved",'QA Log'!L:L,"*Vignette [9] Birth Spacing: Change FP method to Injectable*"),
    COUNTIFS('QA Log'!D:D,A481,'QA Log'!M:M,"Vignette",'QA Log'!Z:Z,"Approved",'QA Log'!L:L,"*Vignette [10] Post Partum Haemorrhage - Atonic Uterus at Health Centre*")
  )
)</f>
        <v/>
      </c>
      <c r="BG481" s="105" t="str">
        <f>IF(A481&lt;&gt;"",COUNTIFS('QA Log'!D:D,A481,'QA Log'!M:M,"Vignette",'QA Log'!L:L,"Vignette [5] Labor",'QA Log'!Z:Z,"Approved"),"")</f>
        <v/>
      </c>
      <c r="BH481" s="105" t="str">
        <f>IF(A481&lt;&gt;"",COUNTIFS('QA Log'!D:D,A481,'QA Log'!M:M,"Vignette",'QA Log'!L:L,"Vignette [6] PNC pre Discharge",'QA Log'!Z:Z,"Approved"),"")</f>
        <v/>
      </c>
      <c r="BI481" s="105" t="str">
        <f>IF(A481&lt;&gt;"",COUNTIFS('QA Log'!D:D,A481,'QA Log'!M:M,"Vignette",'QA Log'!L:L,"Vignette [7] First ANC Visit",'QA Log'!Z:Z,"Approved"),"")</f>
        <v/>
      </c>
      <c r="BJ481" s="105" t="str">
        <f>IF(A481&lt;&gt;"",COUNTIFS('QA Log'!D:D,A481,'QA Log'!M:M,"Vignette",'QA Log'!L:L,"Vignette [8] Birth Spacing/ Family Planning :  FP Counselling",'QA Log'!Z:Z,"Approved"),"")</f>
        <v/>
      </c>
      <c r="BK481" s="105" t="str">
        <f>IF(A481&lt;&gt;"",COUNTIFS('QA Log'!D:D,A481,'QA Log'!M:M,"Vignette",'QA Log'!L:L,"Vignette [9] Birth Spacing: Change FP method to Injectable",'QA Log'!Z:Z,"Approved"),"")</f>
        <v/>
      </c>
      <c r="BL481" s="105" t="str">
        <f>IF(A481&lt;&gt;"",COUNTIFS('QA Log'!D:D,A481,'QA Log'!M:M,"Vignette",'QA Log'!L:L,"Vignette [10] Post Partum Haemorrhage - Atonic Uterus at Health Centre",'QA Log'!Z:Z,"Approved"),"")</f>
        <v/>
      </c>
      <c r="BM481" s="102" t="str">
        <f>IF(A481="","",SUM(
    COUNTIFS('QA Log'!D:D,A481,'QA Log'!M:M,"Vignette",'QA Log'!Z:Z,"Rejected",'QA Log'!L:L,"*Vignette [5] Labor*"),
    COUNTIFS('QA Log'!D:D,A481,'QA Log'!M:M,"Vignette",'QA Log'!Z:Z,"Rejected",'QA Log'!L:L,"*Vignette [6] PNC pre Discharge*"),
    COUNTIFS('QA Log'!D:D,A481,'QA Log'!M:M,"Vignette",'QA Log'!Z:Z,"Rejected",'QA Log'!L:L,"*Vignette [7] First ANC Visit*"),
    COUNTIFS('QA Log'!D:D,A481,'QA Log'!M:M,"Vignette",'QA Log'!Z:Z,"Rejected",'QA Log'!L:L,"*Vignette [8] Birth Spacing/ Family Planning :  FP Counselling*"),
    COUNTIFS('QA Log'!D:D,A481,'QA Log'!M:M,"Vignette",'QA Log'!Z:Z,"Rejected",'QA Log'!L:L,"*Vignette [9] Birth Spacing: Change FP method to Injectable*"),
    COUNTIFS('QA Log'!D:D,A481,'QA Log'!M:M,"Vignette",'QA Log'!Z:Z,"Rejected",'QA Log'!L:L,"*Vignette [10] Post Partum Haemorrhage - Atonic Uterus at Health Centre*")
  )
)</f>
        <v/>
      </c>
      <c r="BN481" s="107" t="str">
        <f t="shared" si="37"/>
        <v/>
      </c>
      <c r="BO481" s="103" t="str">
        <f t="shared" si="38"/>
        <v/>
      </c>
      <c r="BP481" s="102" t="str">
        <f>IF(A481="","",SUM(
COUNTIFS('QA Log'!D:D,A481,'QA Log'!M:M,"Vignette",'QA Log'!L:L,"*Exit Interview 1*"),
COUNTIFS('QA Log'!D:D,A481,'QA Log'!M:M,"Vignette",'QA Log'!L:L,"*Exit Interview 2*"),
)
)</f>
        <v/>
      </c>
      <c r="BQ481" s="102" t="str">
        <f>IF(
  A481="","",
  SUM(
    COUNTIFS('QA Log'!D:D,A481,'QA Log'!M:M,"Vignette",'QA Log'!Z:Z,"Approved",'QA Log'!L:L,"*Exit Interview 1*"),
    COUNTIFS('QA Log'!D:D,A481,'QA Log'!M:M,"Vignette",'QA Log'!Z:Z,"Approved",'QA Log'!L:L,"*Exit Interview 2*")
  )
)</f>
        <v/>
      </c>
      <c r="BR481" s="105" t="str">
        <f>IF(A481&lt;&gt;"",COUNTIFS('QA Log'!D:D,A481,'QA Log'!M:M,"Vignette",'QA Log'!L:L,"Exit Interview 1",'QA Log'!Z:Z,"Approved"),"")</f>
        <v/>
      </c>
      <c r="BS481" s="105" t="str">
        <f>IF(A481&lt;&gt;"",COUNTIFS('QA Log'!D:D,A481,'QA Log'!M:M,"Vignette",'QA Log'!L:L,"Exit Interview 2",'QA Log'!Z:Z,"Approved"),"")</f>
        <v/>
      </c>
      <c r="BT481" s="102" t="str">
        <f>IF(
  A481="","",
  SUM(
    COUNTIFS('QA Log'!D:D,A481,'QA Log'!M:M,"Vignette",'QA Log'!Z:Z,"Rejected",'QA Log'!L:L,"*Exit Interview 1*"),
    COUNTIFS('QA Log'!D:D,A481,'QA Log'!M:M,"Vignette",'QA Log'!Z:Z,"Rejected",'QA Log'!L:L,"*Exit Interview 2*")
  )
)</f>
        <v/>
      </c>
      <c r="BU481" s="107" t="str">
        <f t="shared" si="39"/>
        <v/>
      </c>
      <c r="BV481" s="102" t="str">
        <f t="shared" si="40"/>
        <v/>
      </c>
      <c r="BW481" s="102" t="str">
        <f t="shared" si="41"/>
        <v/>
      </c>
      <c r="BX481" s="102" t="str">
        <f t="shared" si="42"/>
        <v/>
      </c>
      <c r="BY481" s="102" t="str">
        <f t="shared" si="43"/>
        <v/>
      </c>
      <c r="BZ481" s="107" t="str">
        <f t="shared" si="44"/>
        <v/>
      </c>
      <c r="CA481" s="108" t="str">
        <f t="shared" si="45"/>
        <v/>
      </c>
      <c r="CB481" s="108" t="str">
        <f t="shared" si="46"/>
        <v/>
      </c>
      <c r="CC481" s="109" t="str">
        <f t="shared" si="47"/>
        <v/>
      </c>
      <c r="CD481" s="108" t="str">
        <f t="shared" si="48"/>
        <v/>
      </c>
      <c r="CE481" s="108" t="str">
        <f t="shared" si="49"/>
        <v/>
      </c>
      <c r="CF481" s="109" t="str">
        <f t="shared" si="50"/>
        <v/>
      </c>
      <c r="CG481" s="110" t="str">
        <f t="shared" si="51"/>
        <v/>
      </c>
      <c r="CH481" s="111"/>
    </row>
    <row r="482" spans="1:86" ht="12.75">
      <c r="A482" s="101"/>
      <c r="B482" s="102" t="e">
        <f t="array" aca="1" ref="B482" ca="1">_xludf.XLOOKUP(A482,'QA Log'!D:D,'QA Log'!E:E,"")</f>
        <v>#NAME?</v>
      </c>
      <c r="C482" s="102" t="e">
        <f t="array" aca="1" ref="C482" ca="1">_xludf.XLOOKUP(A482,'QA Log'!D:D,'QA Log'!F:F,"")</f>
        <v>#NAME?</v>
      </c>
      <c r="D482" s="102" t="e">
        <f t="array" aca="1" ref="D482" ca="1">_xludf.XLOOKUP(A482,'QA Log'!D:D,'QA Log'!H:H,"")</f>
        <v>#NAME?</v>
      </c>
      <c r="E482" s="102" t="e">
        <f t="array" aca="1" ref="E482" ca="1">_xludf.XLOOKUP(A482,'QA Log'!D:D,'QA Log'!G:G,"")</f>
        <v>#NAME?</v>
      </c>
      <c r="F482" s="103"/>
      <c r="G482" s="104"/>
      <c r="H482" s="104"/>
      <c r="I482" s="103" t="str">
        <f t="shared" si="26"/>
        <v/>
      </c>
      <c r="J482" s="102" t="str">
        <f>IF(A482="","",SUM(
COUNTIFS('QA Log'!D:D,A482,'QA Log'!M:M,"QQC",'QA Log'!L:L,"*1. General Management*"),
COUNTIFS('QA Log'!D:D,A482,'QA Log'!M:M,"QQC",'QA Log'!L:L,"*3. Curative Consultation (OPD)*"),
COUNTIFS('QA Log'!D:D,A482,'QA Log'!M:M,"QQC",'QA Log'!L:L,"*5. Laboratory*"),
COUNTIFS('QA Log'!D:D,A482,'QA Log'!M:M,"QQC",'QA Log'!L:L,"*6. Essential Medicine Management*"),
COUNTIFS('QA Log'!D:D,A482,'QA Log'!M:M,"QQC",'QA Log'!L:L,"*7. Tracer Medicine*"),
COUNTIFS('QA Log'!D:D,A482,'QA Log'!M:M,"QQC",'QA Log'!L:L,"*11. Additional Questions*")))</f>
        <v/>
      </c>
      <c r="K482" s="102" t="str">
        <f>IF(A482="","",SUM(
COUNTIFS('QA Log'!D:D,A482,'QA Log'!M:M,"QQC",'QA Log'!Z:Z,"Approved",'QA Log'!L:L,"*1. General Management*"),
COUNTIFS('QA Log'!D:D,A482,'QA Log'!M:M,"QQC",'QA Log'!Z:Z,"Approved",'QA Log'!L:L,"*3. Curative Consultation (OPD)*"),
COUNTIFS('QA Log'!D:D,A482,'QA Log'!M:M,"QQC",'QA Log'!Z:Z,"Approved",'QA Log'!L:L,"*5. Laboratory*"),
COUNTIFS('QA Log'!D:D,A482,'QA Log'!M:M,"QQC",'QA Log'!Z:Z,"Approved",'QA Log'!L:L,"*6. Essential Medicine Management*"),
COUNTIFS('QA Log'!D:D,A482,'QA Log'!M:M,"QQC",'QA Log'!Z:Z,"Approved",'QA Log'!L:L,"*7. Tracer Medicine*"),
COUNTIFS('QA Log'!D:D,A482,'QA Log'!M:M,"QQC",'QA Log'!Z:Z,"Approved",'QA Log'!L:L,"*11. Additional Questions*")))</f>
        <v/>
      </c>
      <c r="L482" s="102" t="str">
        <f>IF(A482&lt;&gt;"",COUNTIFS('QA Log'!D:D,A482,'QA Log'!M:M,"QQC",'QA Log'!L:L,"1. General Management",'QA Log'!Z:Z,"Approved"),"")</f>
        <v/>
      </c>
      <c r="M482" s="102" t="str">
        <f>IF(A482&lt;&gt;"",COUNTIFS('QA Log'!D:D,A482,'QA Log'!M:M,"QQC",'QA Log'!L:L,"3. Curative Consultation (OPD)",'QA Log'!Z:Z,"Approved"),"")</f>
        <v/>
      </c>
      <c r="N482" s="102" t="str">
        <f>IF(A482&lt;&gt;"",COUNTIFS('QA Log'!D:D,A482,'QA Log'!M:M,"QQC",'QA Log'!L:L,"5. Laboratory",'QA Log'!Z:Z,"Approved"),"")</f>
        <v/>
      </c>
      <c r="O482" s="102" t="str">
        <f>IF(A482&lt;&gt;"",COUNTIFS('QA Log'!D:D,A482,'QA Log'!M:M,"QQC",'QA Log'!L:L,"6. Essential Medicine Management",'QA Log'!Z:Z,"Approved"),"")</f>
        <v/>
      </c>
      <c r="P482" s="102" t="str">
        <f>IF(A482&lt;&gt;"",COUNTIFS('QA Log'!D:D,A482,'QA Log'!M:M,"QQC",'QA Log'!L:L,"7. Tracer Medicine",'QA Log'!Z:Z,"Approved"),"")</f>
        <v/>
      </c>
      <c r="Q482" s="102" t="str">
        <f>IF(A482&lt;&gt;"",COUNTIFS('QA Log'!D:D,A482,'QA Log'!M:M,"QQC",'QA Log'!L:L,"11. Additional Questions",'QA Log'!Z:Z,"Approved"),"")</f>
        <v/>
      </c>
      <c r="R482" s="102" t="str">
        <f>IF(A482="","",SUM(
COUNTIFS('QA Log'!D:D,A482,'QA Log'!M:M,"QQC",'QA Log'!Z:Z,"Rejected",'QA Log'!L:L,"*8. Maternity*"),
COUNTIFS('QA Log'!D:D,A482,'QA Log'!M:M,"QQC",'QA Log'!Z:Z,"Rejected",'QA Log'!L:L,"*EPI*"),
COUNTIFS('QA Log'!D:D,A482,'QA Log'!M:M,"QQC",'QA Log'!Z:Z,"Rejected",'QA Log'!L:L,"*10. Antenatal Care (ANC)*"),
COUNTIFS('QA Log'!D:D,A482,'QA Log'!M:M,"QQC",'QA Log'!Z:Z,"Rejected",'QA Log'!L:L,"*2. Hygiene and Sterilization*"),
COUNTIFS('QA Log'!D:D,A482,'QA Log'!M:M,"QQC",'QA Log'!Z:Z,"Rejected",'QA Log'!L:L,"*Family Planning*")))</f>
        <v/>
      </c>
      <c r="S482" s="106" t="str">
        <f t="shared" si="27"/>
        <v/>
      </c>
      <c r="T482" s="102" t="str">
        <f t="shared" si="28"/>
        <v/>
      </c>
      <c r="U482" s="102" t="str">
        <f>IF(A482="","",
SUM(
COUNTIFS('QA Log'!D:D,A482,'QA Log'!M:M,"QQC",'QA Log'!L:L,"*8. Maternity*"),
COUNTIFS('QA Log'!D:D,A482,'QA Log'!M:M,"QQC",'QA Log'!L:L,"*9. EPI and Pre-school Consultation*"),
COUNTIFS('QA Log'!D:D,A482,'QA Log'!M:M,"QQC",'QA Log'!L:L,"*10. Antenatal Care (ANC)*"),
COUNTIFS('QA Log'!D:D,A482,'QA Log'!M:M,"QQC",'QA Log'!L:L,"*2. Hygiene and Sterilization*"),
COUNTIFS('QA Log'!D:D,A482,'QA Log'!M:M,"QQC",'QA Log'!L:L,"*4. Family Planning*")
))</f>
        <v/>
      </c>
      <c r="V482" s="102" t="str">
        <f>IF(A482="","",
SUM(
COUNTIFS('QA Log'!D:D,A482,'QA Log'!M:M,"QQC",'QA Log'!Z:Z,"Approved",'QA Log'!L:L,"*8. Maternity*"),
COUNTIFS('QA Log'!D:D,A482,'QA Log'!M:M,"QQC",'QA Log'!Z:Z,"Approved",'QA Log'!L:L,"*9. EPI and Pre-school Consultation*"),
COUNTIFS('QA Log'!D:D,A482,'QA Log'!M:M,"QQC",'QA Log'!Z:Z,"Approved",'QA Log'!L:L,"*10. Antenatal Care (ANC)*"),
COUNTIFS('QA Log'!D:D,A482,'QA Log'!M:M,"QQC",'QA Log'!Z:Z,"Approved",'QA Log'!L:L,"*2. Hygiene and Sterilization*"),
COUNTIFS('QA Log'!D:D,A482,'QA Log'!M:M,"QQC",'QA Log'!Z:Z,"Approved",'QA Log'!L:L,"*4. Family Planning*")
))</f>
        <v/>
      </c>
      <c r="W482" s="102" t="str">
        <f>IF(A482&lt;&gt;"",COUNTIFS('QA Log'!D:D,A482,'QA Log'!M:M,"QQC",'QA Log'!L:L,"8. Maternity",'QA Log'!Z:Z,"Approved"),"")</f>
        <v/>
      </c>
      <c r="X482" s="105" t="str">
        <f>IF(A482&lt;&gt;"",COUNTIFS('QA Log'!D:D,A482,'QA Log'!M:M,"QQC",'QA Log'!L:L,"9. EPI and Pre-school Consultation",'QA Log'!Z:Z,"Approved"),"")</f>
        <v/>
      </c>
      <c r="Y482" s="102" t="str">
        <f>IF(A482&lt;&gt;"",COUNTIFS('QA Log'!D:D,A482,'QA Log'!M:M,"QQC",'QA Log'!L:L,"10. Antenatal Care (ANC)",'QA Log'!Z:Z,"Approved"),"")</f>
        <v/>
      </c>
      <c r="Z482" s="102" t="str">
        <f>IF(A482&lt;&gt;"",COUNTIFS('QA Log'!D:D,A482,'QA Log'!M:M,"QQC",'QA Log'!L:L,"2. Hygiene and Sterilization",'QA Log'!Z:Z,"Approved"),"")</f>
        <v/>
      </c>
      <c r="AA482" s="105" t="str">
        <f>IF(A482&lt;&gt;"",COUNTIFS('QA Log'!D:D,A482,'QA Log'!M:M,"QQC",'QA Log'!L:L,"4. Family Planning",'QA Log'!Z:Z,"Approved"),"")</f>
        <v/>
      </c>
      <c r="AB482" s="102" t="str">
        <f>IF(A482="","",
SUM(
COUNTIFS('QA Log'!D:D,A482,'QA Log'!M:M,"QQC",'QA Log'!Z:Z,"Rejected",'QA Log'!L:L,"*8. Maternity*"),
COUNTIFS('QA Log'!D:D,A482,'QA Log'!M:M,"QQC",'QA Log'!Z:Z,"Rejected",'QA Log'!L:L,"*9. EPI and Pre-school Consultation*"),
COUNTIFS('QA Log'!D:D,A482,'QA Log'!M:M,"QQC",'QA Log'!Z:Z,"Rejected",'QA Log'!L:L,"*10. Antenatal Care (ANC)*"),
COUNTIFS('QA Log'!D:D,A482,'QA Log'!M:M,"QQC",'QA Log'!Z:Z,"Rejected",'QA Log'!L:L,"*2. Hygiene and Sterilization*"),
COUNTIFS('QA Log'!D:D,A482,'QA Log'!M:M,"QQC",'QA Log'!Z:Z,"Rejected",'QA Log'!L:L,"*4. Family Planning*")
))</f>
        <v/>
      </c>
      <c r="AC482" s="102" t="str">
        <f t="shared" si="29"/>
        <v/>
      </c>
      <c r="AD482" s="103" t="str">
        <f t="shared" si="30"/>
        <v/>
      </c>
      <c r="AE482" s="102" t="str">
        <f>IF(A482="","",
SUM(
COUNTIFS('QA Log'!D:D,A482,'QA Log'!M:M,"Data Verification",'QA Log'!L:L,"*Medicine (section 2)*"),
COUNTIFS('QA Log'!D:D,A482,'QA Log'!M:M,"Data Verification",'QA Log'!L:L,"*Lab Testing Availability*"),
COUNTIFS('QA Log'!D:D,A482,'QA Log'!M:M,"Data Verification",'QA Log'!L:L,"*Other than P4P (section 6)*"),
COUNTIFS('QA Log'!D:D,A482,'QA Log'!M:M,"Data Verification",'QA Log'!L:L,"*Hospital Governance*")
))</f>
        <v/>
      </c>
      <c r="AF482" s="102" t="str">
        <f>IF(A482="","",
SUM(
COUNTIFS('QA Log'!D:D,A482,'QA Log'!M:M,"Data Verification",'QA Log'!Z:Z,"Approved",'QA Log'!L:L,"*Medicine (section 2)*"),
COUNTIFS('QA Log'!D:D,A482,'QA Log'!M:M,"Data Verification",'QA Log'!Z:Z,"Approved",'QA Log'!L:L,"*Lab Testing Availability*"),
COUNTIFS('QA Log'!D:D,A482,'QA Log'!M:M,"Data Verification",'QA Log'!Z:Z,"Approved",'QA Log'!L:L,"*Other than P4P (section 6)*"),
COUNTIFS('QA Log'!D:D,A482,'QA Log'!M:M,"Data Verification",'QA Log'!Z:Z,"Approved",'QA Log'!L:L,"*Hospital Governance*")
))</f>
        <v/>
      </c>
      <c r="AG482" s="105" t="str">
        <f>IF(A482&lt;&gt;"",COUNTIFS('QA Log'!D:D,A482,'QA Log'!M:M,"Data Verification",'QA Log'!L:L,"Medicine (section 2)",'QA Log'!Z:Z,"Approved"),"")</f>
        <v/>
      </c>
      <c r="AH482" s="105" t="str">
        <f>IF(A482&lt;&gt;"",COUNTIFS('QA Log'!D:D,A482,'QA Log'!M:M,"Data Verification",'QA Log'!L:L,"Lab Testing Availability",'QA Log'!Z:Z,"Approved"),"")</f>
        <v/>
      </c>
      <c r="AI482" s="105" t="str">
        <f>IF(A482&lt;&gt;"",COUNTIFS('QA Log'!D:D,A482,'QA Log'!M:M,"Data Verification",'QA Log'!L:L,"Other than P4P (section 6)",'QA Log'!Z:Z,"Approved"),"")</f>
        <v/>
      </c>
      <c r="AJ482" s="105" t="str">
        <f>IF(A482&lt;&gt;"",COUNTIFS('QA Log'!D:D,A482,'QA Log'!M:M,"Data Verification",'QA Log'!L:L,"Hospital Governance",'QA Log'!Z:Z,"Approved"),"")</f>
        <v/>
      </c>
      <c r="AK482" s="102" t="str">
        <f>IF(A482="","",
SUM(
COUNTIFS('QA Log'!D:D,A482,'QA Log'!M:M,"Data Verification",'QA Log'!Z:Z,"Rejected",'QA Log'!L:L,"*Medicine (section 2)*"),
COUNTIFS('QA Log'!D:D,A482,'QA Log'!M:M,"Data Verification",'QA Log'!Z:Z,"Rejected",'QA Log'!L:L,"*Lab Testing Availability*"),
COUNTIFS('QA Log'!D:D,A482,'QA Log'!M:M,"Data Verification",'QA Log'!Z:Z,"Rejected",'QA Log'!L:L,"*Other than P4P (section 6)*"),
COUNTIFS('QA Log'!D:D,A482,'QA Log'!M:M,"Data Verification",'QA Log'!Z:Z,"Rejected",'QA Log'!L:L,"*Hospital Governance*")
))</f>
        <v/>
      </c>
      <c r="AL482" s="106" t="str">
        <f t="shared" si="31"/>
        <v/>
      </c>
      <c r="AM482" s="102" t="str">
        <f t="shared" si="32"/>
        <v/>
      </c>
      <c r="AN482" s="102" t="str">
        <f>IF(A482="","",
SUM(
COUNTIFS('QA Log'!D:D,A482,'QA Log'!M:M,"Data Verification",'QA Log'!L:L,"*Personnel (section 1)*"),
COUNTIFS('QA Log'!D:D,A482,'QA Log'!M:M,"Data Verification",'QA Log'!L:L,"*Consumable (section 3)*"),
COUNTIFS('QA Log'!D:D,A482,'QA Log'!M:M,"Data Verification",'QA Log'!L:L,"*Equipments (section 4)*")
))</f>
        <v/>
      </c>
      <c r="AO482" s="102" t="str">
        <f>IF(A482="","",
SUM(
COUNTIFS('QA Log'!D:D,A482,'QA Log'!M:M,"Data Verification",'QA Log'!Z:Z,"Approved",'QA Log'!L:L,"*Personnel (section 1)*"),
COUNTIFS('QA Log'!D:D,A482,'QA Log'!M:M,"Data Verification",'QA Log'!Z:Z,"Approved",'QA Log'!L:L,"*Consumable (section 3)*"),
COUNTIFS('QA Log'!D:D,A482,'QA Log'!M:M,"Data Verification",'QA Log'!Z:Z,"Approved",'QA Log'!L:L,"*Equipments (section 4)*")
))</f>
        <v/>
      </c>
      <c r="AP482" s="105" t="str">
        <f>IF(A482&lt;&gt;"",COUNTIFS('QA Log'!D:D,A482,'QA Log'!M:M,"Data Verification",'QA Log'!L:L,"Personnel (section 1)",'QA Log'!Z:Z,"Approved"),"")</f>
        <v/>
      </c>
      <c r="AQ482" s="105" t="str">
        <f>IF(A482&lt;&gt;"",COUNTIFS('QA Log'!D:D,A482,'QA Log'!M:M,"Data Verification",'QA Log'!L:L,"Consumable (section 3)",'QA Log'!Z:Z,"Approved"),"")</f>
        <v/>
      </c>
      <c r="AR482" s="105" t="str">
        <f>IF(A482&lt;&gt;"",COUNTIFS('QA Log'!D:D,A482,'QA Log'!M:M,"Data Verification",'QA Log'!L:L,"Equipments (section 4)",'QA Log'!Z:Z,"Approved"),"")</f>
        <v/>
      </c>
      <c r="AS482" s="102" t="str">
        <f>IF(A482="","",
SUM(
COUNTIFS('QA Log'!D:D,A482,'QA Log'!M:M,"Data Verification",'QA Log'!Z:Z,"Rejected",'QA Log'!L:L,"*Personnel (section 1)*"),
COUNTIFS('QA Log'!D:D,A482,'QA Log'!M:M,"Data Verification",'QA Log'!Z:Z,"Rejected",'QA Log'!L:L,"*Consumable (section 3)*"),
COUNTIFS('QA Log'!D:D,A482,'QA Log'!M:M,"Data Verification",'QA Log'!Z:Z,"Rejected",'QA Log'!L:L,"*Equipments (section 4)*")
))</f>
        <v/>
      </c>
      <c r="AT482" s="102" t="str">
        <f t="shared" si="33"/>
        <v/>
      </c>
      <c r="AU482" s="103" t="str">
        <f t="shared" si="34"/>
        <v/>
      </c>
      <c r="AV482" s="102" t="str">
        <f>IF(A482="","",SUM(
COUNTIFS('QA Log'!D:D,A482,'QA Log'!M:M,"Vignette",'QA Log'!L:L,"*Vignette [1] Respiratory Infection: Pneumonia*"),
COUNTIFS('QA Log'!D:D,A482,'QA Log'!M:M,"Vignette",'QA Log'!L:L,"*Vignette [2]: Diarrhea with Cat B dehydration*"),
COUNTIFS('QA Log'!D:D,A482,'QA Log'!M:M,"Vignette",'QA Log'!L:L,"*Vignette [3] Growth Monitoring and Promotion*"),
COUNTIFS('QA Log'!D:D,A482,'QA Log'!M:M,"Vignette",'QA Log'!L:L,"*Vignette [4]: The management of presumptive TB patient*")
)
)</f>
        <v/>
      </c>
      <c r="AW482" s="102" t="str">
        <f>IF(
  A482="","",
  SUM(
    COUNTIFS('QA Log'!D:D,A482,'QA Log'!M:M,"Vignette",'QA Log'!Z:Z,"Approved",'QA Log'!L:L,"*Vignette [1] Respiratory Infection: Pneumonia*"),
    COUNTIFS('QA Log'!D:D,A482,'QA Log'!M:M,"Vignette",'QA Log'!Z:Z,"Approved",'QA Log'!L:L,"*Vignette [2]: Diarrhea with Cat B dehydration*"),
    COUNTIFS('QA Log'!D:D,A482,'QA Log'!M:M,"Vignette",'QA Log'!Z:Z,"Approved",'QA Log'!L:L,"*Vignette [3] Growth Monitoring and Promotion*"),
    COUNTIFS('QA Log'!D:D,A482,'QA Log'!M:M,"Vignette",'QA Log'!Z:Z,"Approved",'QA Log'!L:L,"*Vignette [4]: The management of presumptive TB patient*")
  )
)</f>
        <v/>
      </c>
      <c r="AX482" s="105" t="str">
        <f>IF(A482&lt;&gt;"",COUNTIFS('QA Log'!D:D,A482,'QA Log'!M:M,"Vignette",'QA Log'!L:L,"Vignette [1] Respiratory Infection: Pneumonia",'QA Log'!Z:Z,"Approved"),"")</f>
        <v/>
      </c>
      <c r="AY482" s="105" t="str">
        <f>IF(A482&lt;&gt;"",COUNTIFS('QA Log'!D:D,A482,'QA Log'!M:M,"Vignette",'QA Log'!L:L,"Vignette [2]: Diarrhea with Cat B dehydration",'QA Log'!Z:Z,"Approved"),"")</f>
        <v/>
      </c>
      <c r="AZ482" s="105" t="str">
        <f>IF(A482&lt;&gt;"",COUNTIFS('QA Log'!D:D,A482,'QA Log'!M:M,"Vignette",'QA Log'!L:L,"Vignette [3] Growth Monitoring and Promotion",'QA Log'!Z:Z,"Approved"),"")</f>
        <v/>
      </c>
      <c r="BA482" s="105" t="str">
        <f>IF(A482&lt;&gt;"",COUNTIFS('QA Log'!D:D,A482,'QA Log'!M:M,"Vignette",'QA Log'!L:L,"Vignette [4]: The management of presumptive TB patient",'QA Log'!Z:Z,"Approved"),"")</f>
        <v/>
      </c>
      <c r="BB482" s="102" t="str">
        <f>IF(A482="","",
  SUM(
    COUNTIFS('QA Log'!D:D,A482,'QA Log'!M:M,"Vignette",'QA Log'!Z:Z,"Rejected",'QA Log'!L:L,"*Vignette [1] Respiratory Infection: Pneumonia*"),
    COUNTIFS('QA Log'!D:D,A482,'QA Log'!M:M,"Vignette",'QA Log'!Z:Z,"Rejected",'QA Log'!L:L,"*Vignette [2]: Diarrhea with Cat B dehydration*"),
    COUNTIFS('QA Log'!D:D,A482,'QA Log'!M:M,"Vignette",'QA Log'!Z:Z,"Rejected",'QA Log'!L:L,"*Vignette [3] Growth Monitoring and Promotion*"),
    COUNTIFS('QA Log'!D:D,A482,'QA Log'!M:M,"Vignette",'QA Log'!Z:Z,"Rejected",'QA Log'!L:L,"*Vignette [4]: The management of presumptive TB patient*")
  )
)</f>
        <v/>
      </c>
      <c r="BC482" s="107" t="str">
        <f t="shared" si="35"/>
        <v/>
      </c>
      <c r="BD482" s="103" t="str">
        <f t="shared" si="36"/>
        <v/>
      </c>
      <c r="BE482" s="102" t="str">
        <f>IF(A482="","",SUM(
COUNTIFS('QA Log'!D:D,A482,'QA Log'!M:M,"Vignette",'QA Log'!L:L,"*Vignette [5] Labor*"),
COUNTIFS('QA Log'!D:D,A482,'QA Log'!M:M,"Vignette",'QA Log'!L:L,"*Vignette [6] PNC pre Discharge*"),
COUNTIFS('QA Log'!D:D,A482,'QA Log'!M:M,"Vignette",'QA Log'!L:L,"*Vignette [7] First ANC Visit*"),
COUNTIFS('QA Log'!D:D,A482,'QA Log'!M:M,"Vignette",'QA Log'!L:L,"*Vignette [8] Birth Spacing/ Family Planning :  FP Counselling*"),
COUNTIFS('QA Log'!D:D,A482,'QA Log'!M:M,"Vignette",'QA Log'!L:L,"*Vignette [9] Birth Spacing: Change FP method to Injectable*"),
COUNTIFS('QA Log'!D:D,A482,'QA Log'!M:M,"Vignette",'QA Log'!L:L,"*Vignette [10] Post Partum Haemorrhage - Atonic Uterus at Health Centre*"),
)
)</f>
        <v/>
      </c>
      <c r="BF482" s="102" t="str">
        <f>IF(A482="","",
  SUM(
    COUNTIFS('QA Log'!D:D,A482,'QA Log'!M:M,"Vignette",'QA Log'!Z:Z,"Approved",'QA Log'!L:L,"*Vignette [5] Labor*"),
    COUNTIFS('QA Log'!D:D,A482,'QA Log'!M:M,"Vignette",'QA Log'!Z:Z,"Approved",'QA Log'!L:L,"*Vignette [6] PNC pre Discharge*"),
    COUNTIFS('QA Log'!D:D,A482,'QA Log'!M:M,"Vignette",'QA Log'!Z:Z,"Approved",'QA Log'!L:L,"*Vignette [7] First ANC Visit*"),
    COUNTIFS('QA Log'!D:D,A482,'QA Log'!M:M,"Vignette",'QA Log'!Z:Z,"Approved",'QA Log'!L:L,"*Vignette [8] Birth Spacing/ Family Planning :  FP Counselling*"),
    COUNTIFS('QA Log'!D:D,A482,'QA Log'!M:M,"Vignette",'QA Log'!Z:Z,"Approved",'QA Log'!L:L,"*Vignette [9] Birth Spacing: Change FP method to Injectable*"),
    COUNTIFS('QA Log'!D:D,A482,'QA Log'!M:M,"Vignette",'QA Log'!Z:Z,"Approved",'QA Log'!L:L,"*Vignette [10] Post Partum Haemorrhage - Atonic Uterus at Health Centre*")
  )
)</f>
        <v/>
      </c>
      <c r="BG482" s="105" t="str">
        <f>IF(A482&lt;&gt;"",COUNTIFS('QA Log'!D:D,A482,'QA Log'!M:M,"Vignette",'QA Log'!L:L,"Vignette [5] Labor",'QA Log'!Z:Z,"Approved"),"")</f>
        <v/>
      </c>
      <c r="BH482" s="105" t="str">
        <f>IF(A482&lt;&gt;"",COUNTIFS('QA Log'!D:D,A482,'QA Log'!M:M,"Vignette",'QA Log'!L:L,"Vignette [6] PNC pre Discharge",'QA Log'!Z:Z,"Approved"),"")</f>
        <v/>
      </c>
      <c r="BI482" s="105" t="str">
        <f>IF(A482&lt;&gt;"",COUNTIFS('QA Log'!D:D,A482,'QA Log'!M:M,"Vignette",'QA Log'!L:L,"Vignette [7] First ANC Visit",'QA Log'!Z:Z,"Approved"),"")</f>
        <v/>
      </c>
      <c r="BJ482" s="105" t="str">
        <f>IF(A482&lt;&gt;"",COUNTIFS('QA Log'!D:D,A482,'QA Log'!M:M,"Vignette",'QA Log'!L:L,"Vignette [8] Birth Spacing/ Family Planning :  FP Counselling",'QA Log'!Z:Z,"Approved"),"")</f>
        <v/>
      </c>
      <c r="BK482" s="105" t="str">
        <f>IF(A482&lt;&gt;"",COUNTIFS('QA Log'!D:D,A482,'QA Log'!M:M,"Vignette",'QA Log'!L:L,"Vignette [9] Birth Spacing: Change FP method to Injectable",'QA Log'!Z:Z,"Approved"),"")</f>
        <v/>
      </c>
      <c r="BL482" s="105" t="str">
        <f>IF(A482&lt;&gt;"",COUNTIFS('QA Log'!D:D,A482,'QA Log'!M:M,"Vignette",'QA Log'!L:L,"Vignette [10] Post Partum Haemorrhage - Atonic Uterus at Health Centre",'QA Log'!Z:Z,"Approved"),"")</f>
        <v/>
      </c>
      <c r="BM482" s="102" t="str">
        <f>IF(A482="","",SUM(
    COUNTIFS('QA Log'!D:D,A482,'QA Log'!M:M,"Vignette",'QA Log'!Z:Z,"Rejected",'QA Log'!L:L,"*Vignette [5] Labor*"),
    COUNTIFS('QA Log'!D:D,A482,'QA Log'!M:M,"Vignette",'QA Log'!Z:Z,"Rejected",'QA Log'!L:L,"*Vignette [6] PNC pre Discharge*"),
    COUNTIFS('QA Log'!D:D,A482,'QA Log'!M:M,"Vignette",'QA Log'!Z:Z,"Rejected",'QA Log'!L:L,"*Vignette [7] First ANC Visit*"),
    COUNTIFS('QA Log'!D:D,A482,'QA Log'!M:M,"Vignette",'QA Log'!Z:Z,"Rejected",'QA Log'!L:L,"*Vignette [8] Birth Spacing/ Family Planning :  FP Counselling*"),
    COUNTIFS('QA Log'!D:D,A482,'QA Log'!M:M,"Vignette",'QA Log'!Z:Z,"Rejected",'QA Log'!L:L,"*Vignette [9] Birth Spacing: Change FP method to Injectable*"),
    COUNTIFS('QA Log'!D:D,A482,'QA Log'!M:M,"Vignette",'QA Log'!Z:Z,"Rejected",'QA Log'!L:L,"*Vignette [10] Post Partum Haemorrhage - Atonic Uterus at Health Centre*")
  )
)</f>
        <v/>
      </c>
      <c r="BN482" s="107" t="str">
        <f t="shared" si="37"/>
        <v/>
      </c>
      <c r="BO482" s="103" t="str">
        <f t="shared" si="38"/>
        <v/>
      </c>
      <c r="BP482" s="102" t="str">
        <f>IF(A482="","",SUM(
COUNTIFS('QA Log'!D:D,A482,'QA Log'!M:M,"Vignette",'QA Log'!L:L,"*Exit Interview 1*"),
COUNTIFS('QA Log'!D:D,A482,'QA Log'!M:M,"Vignette",'QA Log'!L:L,"*Exit Interview 2*"),
)
)</f>
        <v/>
      </c>
      <c r="BQ482" s="102" t="str">
        <f>IF(
  A482="","",
  SUM(
    COUNTIFS('QA Log'!D:D,A482,'QA Log'!M:M,"Vignette",'QA Log'!Z:Z,"Approved",'QA Log'!L:L,"*Exit Interview 1*"),
    COUNTIFS('QA Log'!D:D,A482,'QA Log'!M:M,"Vignette",'QA Log'!Z:Z,"Approved",'QA Log'!L:L,"*Exit Interview 2*")
  )
)</f>
        <v/>
      </c>
      <c r="BR482" s="105" t="str">
        <f>IF(A482&lt;&gt;"",COUNTIFS('QA Log'!D:D,A482,'QA Log'!M:M,"Vignette",'QA Log'!L:L,"Exit Interview 1",'QA Log'!Z:Z,"Approved"),"")</f>
        <v/>
      </c>
      <c r="BS482" s="105" t="str">
        <f>IF(A482&lt;&gt;"",COUNTIFS('QA Log'!D:D,A482,'QA Log'!M:M,"Vignette",'QA Log'!L:L,"Exit Interview 2",'QA Log'!Z:Z,"Approved"),"")</f>
        <v/>
      </c>
      <c r="BT482" s="102" t="str">
        <f>IF(
  A482="","",
  SUM(
    COUNTIFS('QA Log'!D:D,A482,'QA Log'!M:M,"Vignette",'QA Log'!Z:Z,"Rejected",'QA Log'!L:L,"*Exit Interview 1*"),
    COUNTIFS('QA Log'!D:D,A482,'QA Log'!M:M,"Vignette",'QA Log'!Z:Z,"Rejected",'QA Log'!L:L,"*Exit Interview 2*")
  )
)</f>
        <v/>
      </c>
      <c r="BU482" s="107" t="str">
        <f t="shared" si="39"/>
        <v/>
      </c>
      <c r="BV482" s="102" t="str">
        <f t="shared" si="40"/>
        <v/>
      </c>
      <c r="BW482" s="102" t="str">
        <f t="shared" si="41"/>
        <v/>
      </c>
      <c r="BX482" s="102" t="str">
        <f t="shared" si="42"/>
        <v/>
      </c>
      <c r="BY482" s="102" t="str">
        <f t="shared" si="43"/>
        <v/>
      </c>
      <c r="BZ482" s="107" t="str">
        <f t="shared" si="44"/>
        <v/>
      </c>
      <c r="CA482" s="108" t="str">
        <f t="shared" si="45"/>
        <v/>
      </c>
      <c r="CB482" s="108" t="str">
        <f t="shared" si="46"/>
        <v/>
      </c>
      <c r="CC482" s="109" t="str">
        <f t="shared" si="47"/>
        <v/>
      </c>
      <c r="CD482" s="108" t="str">
        <f t="shared" si="48"/>
        <v/>
      </c>
      <c r="CE482" s="108" t="str">
        <f t="shared" si="49"/>
        <v/>
      </c>
      <c r="CF482" s="109" t="str">
        <f t="shared" si="50"/>
        <v/>
      </c>
      <c r="CG482" s="110" t="str">
        <f t="shared" si="51"/>
        <v/>
      </c>
      <c r="CH482" s="111"/>
    </row>
    <row r="483" spans="1:86" ht="12.75">
      <c r="A483" s="101"/>
      <c r="B483" s="102" t="e">
        <f t="array" aca="1" ref="B483" ca="1">_xludf.XLOOKUP(A483,'QA Log'!D:D,'QA Log'!E:E,"")</f>
        <v>#NAME?</v>
      </c>
      <c r="C483" s="102" t="e">
        <f t="array" aca="1" ref="C483" ca="1">_xludf.XLOOKUP(A483,'QA Log'!D:D,'QA Log'!F:F,"")</f>
        <v>#NAME?</v>
      </c>
      <c r="D483" s="102" t="e">
        <f t="array" aca="1" ref="D483" ca="1">_xludf.XLOOKUP(A483,'QA Log'!D:D,'QA Log'!H:H,"")</f>
        <v>#NAME?</v>
      </c>
      <c r="E483" s="102" t="e">
        <f t="array" aca="1" ref="E483" ca="1">_xludf.XLOOKUP(A483,'QA Log'!D:D,'QA Log'!G:G,"")</f>
        <v>#NAME?</v>
      </c>
      <c r="F483" s="103"/>
      <c r="G483" s="104"/>
      <c r="H483" s="104"/>
      <c r="I483" s="103" t="str">
        <f t="shared" si="26"/>
        <v/>
      </c>
      <c r="J483" s="102" t="str">
        <f>IF(A483="","",SUM(
COUNTIFS('QA Log'!D:D,A483,'QA Log'!M:M,"QQC",'QA Log'!L:L,"*1. General Management*"),
COUNTIFS('QA Log'!D:D,A483,'QA Log'!M:M,"QQC",'QA Log'!L:L,"*3. Curative Consultation (OPD)*"),
COUNTIFS('QA Log'!D:D,A483,'QA Log'!M:M,"QQC",'QA Log'!L:L,"*5. Laboratory*"),
COUNTIFS('QA Log'!D:D,A483,'QA Log'!M:M,"QQC",'QA Log'!L:L,"*6. Essential Medicine Management*"),
COUNTIFS('QA Log'!D:D,A483,'QA Log'!M:M,"QQC",'QA Log'!L:L,"*7. Tracer Medicine*"),
COUNTIFS('QA Log'!D:D,A483,'QA Log'!M:M,"QQC",'QA Log'!L:L,"*11. Additional Questions*")))</f>
        <v/>
      </c>
      <c r="K483" s="102" t="str">
        <f>IF(A483="","",SUM(
COUNTIFS('QA Log'!D:D,A483,'QA Log'!M:M,"QQC",'QA Log'!Z:Z,"Approved",'QA Log'!L:L,"*1. General Management*"),
COUNTIFS('QA Log'!D:D,A483,'QA Log'!M:M,"QQC",'QA Log'!Z:Z,"Approved",'QA Log'!L:L,"*3. Curative Consultation (OPD)*"),
COUNTIFS('QA Log'!D:D,A483,'QA Log'!M:M,"QQC",'QA Log'!Z:Z,"Approved",'QA Log'!L:L,"*5. Laboratory*"),
COUNTIFS('QA Log'!D:D,A483,'QA Log'!M:M,"QQC",'QA Log'!Z:Z,"Approved",'QA Log'!L:L,"*6. Essential Medicine Management*"),
COUNTIFS('QA Log'!D:D,A483,'QA Log'!M:M,"QQC",'QA Log'!Z:Z,"Approved",'QA Log'!L:L,"*7. Tracer Medicine*"),
COUNTIFS('QA Log'!D:D,A483,'QA Log'!M:M,"QQC",'QA Log'!Z:Z,"Approved",'QA Log'!L:L,"*11. Additional Questions*")))</f>
        <v/>
      </c>
      <c r="L483" s="102" t="str">
        <f>IF(A483&lt;&gt;"",COUNTIFS('QA Log'!D:D,A483,'QA Log'!M:M,"QQC",'QA Log'!L:L,"1. General Management",'QA Log'!Z:Z,"Approved"),"")</f>
        <v/>
      </c>
      <c r="M483" s="102" t="str">
        <f>IF(A483&lt;&gt;"",COUNTIFS('QA Log'!D:D,A483,'QA Log'!M:M,"QQC",'QA Log'!L:L,"3. Curative Consultation (OPD)",'QA Log'!Z:Z,"Approved"),"")</f>
        <v/>
      </c>
      <c r="N483" s="102" t="str">
        <f>IF(A483&lt;&gt;"",COUNTIFS('QA Log'!D:D,A483,'QA Log'!M:M,"QQC",'QA Log'!L:L,"5. Laboratory",'QA Log'!Z:Z,"Approved"),"")</f>
        <v/>
      </c>
      <c r="O483" s="102" t="str">
        <f>IF(A483&lt;&gt;"",COUNTIFS('QA Log'!D:D,A483,'QA Log'!M:M,"QQC",'QA Log'!L:L,"6. Essential Medicine Management",'QA Log'!Z:Z,"Approved"),"")</f>
        <v/>
      </c>
      <c r="P483" s="102" t="str">
        <f>IF(A483&lt;&gt;"",COUNTIFS('QA Log'!D:D,A483,'QA Log'!M:M,"QQC",'QA Log'!L:L,"7. Tracer Medicine",'QA Log'!Z:Z,"Approved"),"")</f>
        <v/>
      </c>
      <c r="Q483" s="102" t="str">
        <f>IF(A483&lt;&gt;"",COUNTIFS('QA Log'!D:D,A483,'QA Log'!M:M,"QQC",'QA Log'!L:L,"11. Additional Questions",'QA Log'!Z:Z,"Approved"),"")</f>
        <v/>
      </c>
      <c r="R483" s="102" t="str">
        <f>IF(A483="","",SUM(
COUNTIFS('QA Log'!D:D,A483,'QA Log'!M:M,"QQC",'QA Log'!Z:Z,"Rejected",'QA Log'!L:L,"*8. Maternity*"),
COUNTIFS('QA Log'!D:D,A483,'QA Log'!M:M,"QQC",'QA Log'!Z:Z,"Rejected",'QA Log'!L:L,"*EPI*"),
COUNTIFS('QA Log'!D:D,A483,'QA Log'!M:M,"QQC",'QA Log'!Z:Z,"Rejected",'QA Log'!L:L,"*10. Antenatal Care (ANC)*"),
COUNTIFS('QA Log'!D:D,A483,'QA Log'!M:M,"QQC",'QA Log'!Z:Z,"Rejected",'QA Log'!L:L,"*2. Hygiene and Sterilization*"),
COUNTIFS('QA Log'!D:D,A483,'QA Log'!M:M,"QQC",'QA Log'!Z:Z,"Rejected",'QA Log'!L:L,"*Family Planning*")))</f>
        <v/>
      </c>
      <c r="S483" s="106" t="str">
        <f t="shared" si="27"/>
        <v/>
      </c>
      <c r="T483" s="102" t="str">
        <f t="shared" si="28"/>
        <v/>
      </c>
      <c r="U483" s="102" t="str">
        <f>IF(A483="","",
SUM(
COUNTIFS('QA Log'!D:D,A483,'QA Log'!M:M,"QQC",'QA Log'!L:L,"*8. Maternity*"),
COUNTIFS('QA Log'!D:D,A483,'QA Log'!M:M,"QQC",'QA Log'!L:L,"*9. EPI and Pre-school Consultation*"),
COUNTIFS('QA Log'!D:D,A483,'QA Log'!M:M,"QQC",'QA Log'!L:L,"*10. Antenatal Care (ANC)*"),
COUNTIFS('QA Log'!D:D,A483,'QA Log'!M:M,"QQC",'QA Log'!L:L,"*2. Hygiene and Sterilization*"),
COUNTIFS('QA Log'!D:D,A483,'QA Log'!M:M,"QQC",'QA Log'!L:L,"*4. Family Planning*")
))</f>
        <v/>
      </c>
      <c r="V483" s="102" t="str">
        <f>IF(A483="","",
SUM(
COUNTIFS('QA Log'!D:D,A483,'QA Log'!M:M,"QQC",'QA Log'!Z:Z,"Approved",'QA Log'!L:L,"*8. Maternity*"),
COUNTIFS('QA Log'!D:D,A483,'QA Log'!M:M,"QQC",'QA Log'!Z:Z,"Approved",'QA Log'!L:L,"*9. EPI and Pre-school Consultation*"),
COUNTIFS('QA Log'!D:D,A483,'QA Log'!M:M,"QQC",'QA Log'!Z:Z,"Approved",'QA Log'!L:L,"*10. Antenatal Care (ANC)*"),
COUNTIFS('QA Log'!D:D,A483,'QA Log'!M:M,"QQC",'QA Log'!Z:Z,"Approved",'QA Log'!L:L,"*2. Hygiene and Sterilization*"),
COUNTIFS('QA Log'!D:D,A483,'QA Log'!M:M,"QQC",'QA Log'!Z:Z,"Approved",'QA Log'!L:L,"*4. Family Planning*")
))</f>
        <v/>
      </c>
      <c r="W483" s="102" t="str">
        <f>IF(A483&lt;&gt;"",COUNTIFS('QA Log'!D:D,A483,'QA Log'!M:M,"QQC",'QA Log'!L:L,"8. Maternity",'QA Log'!Z:Z,"Approved"),"")</f>
        <v/>
      </c>
      <c r="X483" s="105" t="str">
        <f>IF(A483&lt;&gt;"",COUNTIFS('QA Log'!D:D,A483,'QA Log'!M:M,"QQC",'QA Log'!L:L,"9. EPI and Pre-school Consultation",'QA Log'!Z:Z,"Approved"),"")</f>
        <v/>
      </c>
      <c r="Y483" s="102" t="str">
        <f>IF(A483&lt;&gt;"",COUNTIFS('QA Log'!D:D,A483,'QA Log'!M:M,"QQC",'QA Log'!L:L,"10. Antenatal Care (ANC)",'QA Log'!Z:Z,"Approved"),"")</f>
        <v/>
      </c>
      <c r="Z483" s="102" t="str">
        <f>IF(A483&lt;&gt;"",COUNTIFS('QA Log'!D:D,A483,'QA Log'!M:M,"QQC",'QA Log'!L:L,"2. Hygiene and Sterilization",'QA Log'!Z:Z,"Approved"),"")</f>
        <v/>
      </c>
      <c r="AA483" s="105" t="str">
        <f>IF(A483&lt;&gt;"",COUNTIFS('QA Log'!D:D,A483,'QA Log'!M:M,"QQC",'QA Log'!L:L,"4. Family Planning",'QA Log'!Z:Z,"Approved"),"")</f>
        <v/>
      </c>
      <c r="AB483" s="102" t="str">
        <f>IF(A483="","",
SUM(
COUNTIFS('QA Log'!D:D,A483,'QA Log'!M:M,"QQC",'QA Log'!Z:Z,"Rejected",'QA Log'!L:L,"*8. Maternity*"),
COUNTIFS('QA Log'!D:D,A483,'QA Log'!M:M,"QQC",'QA Log'!Z:Z,"Rejected",'QA Log'!L:L,"*9. EPI and Pre-school Consultation*"),
COUNTIFS('QA Log'!D:D,A483,'QA Log'!M:M,"QQC",'QA Log'!Z:Z,"Rejected",'QA Log'!L:L,"*10. Antenatal Care (ANC)*"),
COUNTIFS('QA Log'!D:D,A483,'QA Log'!M:M,"QQC",'QA Log'!Z:Z,"Rejected",'QA Log'!L:L,"*2. Hygiene and Sterilization*"),
COUNTIFS('QA Log'!D:D,A483,'QA Log'!M:M,"QQC",'QA Log'!Z:Z,"Rejected",'QA Log'!L:L,"*4. Family Planning*")
))</f>
        <v/>
      </c>
      <c r="AC483" s="102" t="str">
        <f t="shared" si="29"/>
        <v/>
      </c>
      <c r="AD483" s="103" t="str">
        <f t="shared" si="30"/>
        <v/>
      </c>
      <c r="AE483" s="102" t="str">
        <f>IF(A483="","",
SUM(
COUNTIFS('QA Log'!D:D,A483,'QA Log'!M:M,"Data Verification",'QA Log'!L:L,"*Medicine (section 2)*"),
COUNTIFS('QA Log'!D:D,A483,'QA Log'!M:M,"Data Verification",'QA Log'!L:L,"*Lab Testing Availability*"),
COUNTIFS('QA Log'!D:D,A483,'QA Log'!M:M,"Data Verification",'QA Log'!L:L,"*Other than P4P (section 6)*"),
COUNTIFS('QA Log'!D:D,A483,'QA Log'!M:M,"Data Verification",'QA Log'!L:L,"*Hospital Governance*")
))</f>
        <v/>
      </c>
      <c r="AF483" s="102" t="str">
        <f>IF(A483="","",
SUM(
COUNTIFS('QA Log'!D:D,A483,'QA Log'!M:M,"Data Verification",'QA Log'!Z:Z,"Approved",'QA Log'!L:L,"*Medicine (section 2)*"),
COUNTIFS('QA Log'!D:D,A483,'QA Log'!M:M,"Data Verification",'QA Log'!Z:Z,"Approved",'QA Log'!L:L,"*Lab Testing Availability*"),
COUNTIFS('QA Log'!D:D,A483,'QA Log'!M:M,"Data Verification",'QA Log'!Z:Z,"Approved",'QA Log'!L:L,"*Other than P4P (section 6)*"),
COUNTIFS('QA Log'!D:D,A483,'QA Log'!M:M,"Data Verification",'QA Log'!Z:Z,"Approved",'QA Log'!L:L,"*Hospital Governance*")
))</f>
        <v/>
      </c>
      <c r="AG483" s="105" t="str">
        <f>IF(A483&lt;&gt;"",COUNTIFS('QA Log'!D:D,A483,'QA Log'!M:M,"Data Verification",'QA Log'!L:L,"Medicine (section 2)",'QA Log'!Z:Z,"Approved"),"")</f>
        <v/>
      </c>
      <c r="AH483" s="105" t="str">
        <f>IF(A483&lt;&gt;"",COUNTIFS('QA Log'!D:D,A483,'QA Log'!M:M,"Data Verification",'QA Log'!L:L,"Lab Testing Availability",'QA Log'!Z:Z,"Approved"),"")</f>
        <v/>
      </c>
      <c r="AI483" s="105" t="str">
        <f>IF(A483&lt;&gt;"",COUNTIFS('QA Log'!D:D,A483,'QA Log'!M:M,"Data Verification",'QA Log'!L:L,"Other than P4P (section 6)",'QA Log'!Z:Z,"Approved"),"")</f>
        <v/>
      </c>
      <c r="AJ483" s="105" t="str">
        <f>IF(A483&lt;&gt;"",COUNTIFS('QA Log'!D:D,A483,'QA Log'!M:M,"Data Verification",'QA Log'!L:L,"Hospital Governance",'QA Log'!Z:Z,"Approved"),"")</f>
        <v/>
      </c>
      <c r="AK483" s="102" t="str">
        <f>IF(A483="","",
SUM(
COUNTIFS('QA Log'!D:D,A483,'QA Log'!M:M,"Data Verification",'QA Log'!Z:Z,"Rejected",'QA Log'!L:L,"*Medicine (section 2)*"),
COUNTIFS('QA Log'!D:D,A483,'QA Log'!M:M,"Data Verification",'QA Log'!Z:Z,"Rejected",'QA Log'!L:L,"*Lab Testing Availability*"),
COUNTIFS('QA Log'!D:D,A483,'QA Log'!M:M,"Data Verification",'QA Log'!Z:Z,"Rejected",'QA Log'!L:L,"*Other than P4P (section 6)*"),
COUNTIFS('QA Log'!D:D,A483,'QA Log'!M:M,"Data Verification",'QA Log'!Z:Z,"Rejected",'QA Log'!L:L,"*Hospital Governance*")
))</f>
        <v/>
      </c>
      <c r="AL483" s="106" t="str">
        <f t="shared" si="31"/>
        <v/>
      </c>
      <c r="AM483" s="102" t="str">
        <f t="shared" si="32"/>
        <v/>
      </c>
      <c r="AN483" s="102" t="str">
        <f>IF(A483="","",
SUM(
COUNTIFS('QA Log'!D:D,A483,'QA Log'!M:M,"Data Verification",'QA Log'!L:L,"*Personnel (section 1)*"),
COUNTIFS('QA Log'!D:D,A483,'QA Log'!M:M,"Data Verification",'QA Log'!L:L,"*Consumable (section 3)*"),
COUNTIFS('QA Log'!D:D,A483,'QA Log'!M:M,"Data Verification",'QA Log'!L:L,"*Equipments (section 4)*")
))</f>
        <v/>
      </c>
      <c r="AO483" s="102" t="str">
        <f>IF(A483="","",
SUM(
COUNTIFS('QA Log'!D:D,A483,'QA Log'!M:M,"Data Verification",'QA Log'!Z:Z,"Approved",'QA Log'!L:L,"*Personnel (section 1)*"),
COUNTIFS('QA Log'!D:D,A483,'QA Log'!M:M,"Data Verification",'QA Log'!Z:Z,"Approved",'QA Log'!L:L,"*Consumable (section 3)*"),
COUNTIFS('QA Log'!D:D,A483,'QA Log'!M:M,"Data Verification",'QA Log'!Z:Z,"Approved",'QA Log'!L:L,"*Equipments (section 4)*")
))</f>
        <v/>
      </c>
      <c r="AP483" s="105" t="str">
        <f>IF(A483&lt;&gt;"",COUNTIFS('QA Log'!D:D,A483,'QA Log'!M:M,"Data Verification",'QA Log'!L:L,"Personnel (section 1)",'QA Log'!Z:Z,"Approved"),"")</f>
        <v/>
      </c>
      <c r="AQ483" s="105" t="str">
        <f>IF(A483&lt;&gt;"",COUNTIFS('QA Log'!D:D,A483,'QA Log'!M:M,"Data Verification",'QA Log'!L:L,"Consumable (section 3)",'QA Log'!Z:Z,"Approved"),"")</f>
        <v/>
      </c>
      <c r="AR483" s="105" t="str">
        <f>IF(A483&lt;&gt;"",COUNTIFS('QA Log'!D:D,A483,'QA Log'!M:M,"Data Verification",'QA Log'!L:L,"Equipments (section 4)",'QA Log'!Z:Z,"Approved"),"")</f>
        <v/>
      </c>
      <c r="AS483" s="102" t="str">
        <f>IF(A483="","",
SUM(
COUNTIFS('QA Log'!D:D,A483,'QA Log'!M:M,"Data Verification",'QA Log'!Z:Z,"Rejected",'QA Log'!L:L,"*Personnel (section 1)*"),
COUNTIFS('QA Log'!D:D,A483,'QA Log'!M:M,"Data Verification",'QA Log'!Z:Z,"Rejected",'QA Log'!L:L,"*Consumable (section 3)*"),
COUNTIFS('QA Log'!D:D,A483,'QA Log'!M:M,"Data Verification",'QA Log'!Z:Z,"Rejected",'QA Log'!L:L,"*Equipments (section 4)*")
))</f>
        <v/>
      </c>
      <c r="AT483" s="102" t="str">
        <f t="shared" si="33"/>
        <v/>
      </c>
      <c r="AU483" s="103" t="str">
        <f t="shared" si="34"/>
        <v/>
      </c>
      <c r="AV483" s="102" t="str">
        <f>IF(A483="","",SUM(
COUNTIFS('QA Log'!D:D,A483,'QA Log'!M:M,"Vignette",'QA Log'!L:L,"*Vignette [1] Respiratory Infection: Pneumonia*"),
COUNTIFS('QA Log'!D:D,A483,'QA Log'!M:M,"Vignette",'QA Log'!L:L,"*Vignette [2]: Diarrhea with Cat B dehydration*"),
COUNTIFS('QA Log'!D:D,A483,'QA Log'!M:M,"Vignette",'QA Log'!L:L,"*Vignette [3] Growth Monitoring and Promotion*"),
COUNTIFS('QA Log'!D:D,A483,'QA Log'!M:M,"Vignette",'QA Log'!L:L,"*Vignette [4]: The management of presumptive TB patient*")
)
)</f>
        <v/>
      </c>
      <c r="AW483" s="102" t="str">
        <f>IF(
  A483="","",
  SUM(
    COUNTIFS('QA Log'!D:D,A483,'QA Log'!M:M,"Vignette",'QA Log'!Z:Z,"Approved",'QA Log'!L:L,"*Vignette [1] Respiratory Infection: Pneumonia*"),
    COUNTIFS('QA Log'!D:D,A483,'QA Log'!M:M,"Vignette",'QA Log'!Z:Z,"Approved",'QA Log'!L:L,"*Vignette [2]: Diarrhea with Cat B dehydration*"),
    COUNTIFS('QA Log'!D:D,A483,'QA Log'!M:M,"Vignette",'QA Log'!Z:Z,"Approved",'QA Log'!L:L,"*Vignette [3] Growth Monitoring and Promotion*"),
    COUNTIFS('QA Log'!D:D,A483,'QA Log'!M:M,"Vignette",'QA Log'!Z:Z,"Approved",'QA Log'!L:L,"*Vignette [4]: The management of presumptive TB patient*")
  )
)</f>
        <v/>
      </c>
      <c r="AX483" s="105" t="str">
        <f>IF(A483&lt;&gt;"",COUNTIFS('QA Log'!D:D,A483,'QA Log'!M:M,"Vignette",'QA Log'!L:L,"Vignette [1] Respiratory Infection: Pneumonia",'QA Log'!Z:Z,"Approved"),"")</f>
        <v/>
      </c>
      <c r="AY483" s="105" t="str">
        <f>IF(A483&lt;&gt;"",COUNTIFS('QA Log'!D:D,A483,'QA Log'!M:M,"Vignette",'QA Log'!L:L,"Vignette [2]: Diarrhea with Cat B dehydration",'QA Log'!Z:Z,"Approved"),"")</f>
        <v/>
      </c>
      <c r="AZ483" s="105" t="str">
        <f>IF(A483&lt;&gt;"",COUNTIFS('QA Log'!D:D,A483,'QA Log'!M:M,"Vignette",'QA Log'!L:L,"Vignette [3] Growth Monitoring and Promotion",'QA Log'!Z:Z,"Approved"),"")</f>
        <v/>
      </c>
      <c r="BA483" s="105" t="str">
        <f>IF(A483&lt;&gt;"",COUNTIFS('QA Log'!D:D,A483,'QA Log'!M:M,"Vignette",'QA Log'!L:L,"Vignette [4]: The management of presumptive TB patient",'QA Log'!Z:Z,"Approved"),"")</f>
        <v/>
      </c>
      <c r="BB483" s="102" t="str">
        <f>IF(A483="","",
  SUM(
    COUNTIFS('QA Log'!D:D,A483,'QA Log'!M:M,"Vignette",'QA Log'!Z:Z,"Rejected",'QA Log'!L:L,"*Vignette [1] Respiratory Infection: Pneumonia*"),
    COUNTIFS('QA Log'!D:D,A483,'QA Log'!M:M,"Vignette",'QA Log'!Z:Z,"Rejected",'QA Log'!L:L,"*Vignette [2]: Diarrhea with Cat B dehydration*"),
    COUNTIFS('QA Log'!D:D,A483,'QA Log'!M:M,"Vignette",'QA Log'!Z:Z,"Rejected",'QA Log'!L:L,"*Vignette [3] Growth Monitoring and Promotion*"),
    COUNTIFS('QA Log'!D:D,A483,'QA Log'!M:M,"Vignette",'QA Log'!Z:Z,"Rejected",'QA Log'!L:L,"*Vignette [4]: The management of presumptive TB patient*")
  )
)</f>
        <v/>
      </c>
      <c r="BC483" s="107" t="str">
        <f t="shared" si="35"/>
        <v/>
      </c>
      <c r="BD483" s="103" t="str">
        <f t="shared" si="36"/>
        <v/>
      </c>
      <c r="BE483" s="102" t="str">
        <f>IF(A483="","",SUM(
COUNTIFS('QA Log'!D:D,A483,'QA Log'!M:M,"Vignette",'QA Log'!L:L,"*Vignette [5] Labor*"),
COUNTIFS('QA Log'!D:D,A483,'QA Log'!M:M,"Vignette",'QA Log'!L:L,"*Vignette [6] PNC pre Discharge*"),
COUNTIFS('QA Log'!D:D,A483,'QA Log'!M:M,"Vignette",'QA Log'!L:L,"*Vignette [7] First ANC Visit*"),
COUNTIFS('QA Log'!D:D,A483,'QA Log'!M:M,"Vignette",'QA Log'!L:L,"*Vignette [8] Birth Spacing/ Family Planning :  FP Counselling*"),
COUNTIFS('QA Log'!D:D,A483,'QA Log'!M:M,"Vignette",'QA Log'!L:L,"*Vignette [9] Birth Spacing: Change FP method to Injectable*"),
COUNTIFS('QA Log'!D:D,A483,'QA Log'!M:M,"Vignette",'QA Log'!L:L,"*Vignette [10] Post Partum Haemorrhage - Atonic Uterus at Health Centre*"),
)
)</f>
        <v/>
      </c>
      <c r="BF483" s="102" t="str">
        <f>IF(A483="","",
  SUM(
    COUNTIFS('QA Log'!D:D,A483,'QA Log'!M:M,"Vignette",'QA Log'!Z:Z,"Approved",'QA Log'!L:L,"*Vignette [5] Labor*"),
    COUNTIFS('QA Log'!D:D,A483,'QA Log'!M:M,"Vignette",'QA Log'!Z:Z,"Approved",'QA Log'!L:L,"*Vignette [6] PNC pre Discharge*"),
    COUNTIFS('QA Log'!D:D,A483,'QA Log'!M:M,"Vignette",'QA Log'!Z:Z,"Approved",'QA Log'!L:L,"*Vignette [7] First ANC Visit*"),
    COUNTIFS('QA Log'!D:D,A483,'QA Log'!M:M,"Vignette",'QA Log'!Z:Z,"Approved",'QA Log'!L:L,"*Vignette [8] Birth Spacing/ Family Planning :  FP Counselling*"),
    COUNTIFS('QA Log'!D:D,A483,'QA Log'!M:M,"Vignette",'QA Log'!Z:Z,"Approved",'QA Log'!L:L,"*Vignette [9] Birth Spacing: Change FP method to Injectable*"),
    COUNTIFS('QA Log'!D:D,A483,'QA Log'!M:M,"Vignette",'QA Log'!Z:Z,"Approved",'QA Log'!L:L,"*Vignette [10] Post Partum Haemorrhage - Atonic Uterus at Health Centre*")
  )
)</f>
        <v/>
      </c>
      <c r="BG483" s="105" t="str">
        <f>IF(A483&lt;&gt;"",COUNTIFS('QA Log'!D:D,A483,'QA Log'!M:M,"Vignette",'QA Log'!L:L,"Vignette [5] Labor",'QA Log'!Z:Z,"Approved"),"")</f>
        <v/>
      </c>
      <c r="BH483" s="105" t="str">
        <f>IF(A483&lt;&gt;"",COUNTIFS('QA Log'!D:D,A483,'QA Log'!M:M,"Vignette",'QA Log'!L:L,"Vignette [6] PNC pre Discharge",'QA Log'!Z:Z,"Approved"),"")</f>
        <v/>
      </c>
      <c r="BI483" s="105" t="str">
        <f>IF(A483&lt;&gt;"",COUNTIFS('QA Log'!D:D,A483,'QA Log'!M:M,"Vignette",'QA Log'!L:L,"Vignette [7] First ANC Visit",'QA Log'!Z:Z,"Approved"),"")</f>
        <v/>
      </c>
      <c r="BJ483" s="105" t="str">
        <f>IF(A483&lt;&gt;"",COUNTIFS('QA Log'!D:D,A483,'QA Log'!M:M,"Vignette",'QA Log'!L:L,"Vignette [8] Birth Spacing/ Family Planning :  FP Counselling",'QA Log'!Z:Z,"Approved"),"")</f>
        <v/>
      </c>
      <c r="BK483" s="105" t="str">
        <f>IF(A483&lt;&gt;"",COUNTIFS('QA Log'!D:D,A483,'QA Log'!M:M,"Vignette",'QA Log'!L:L,"Vignette [9] Birth Spacing: Change FP method to Injectable",'QA Log'!Z:Z,"Approved"),"")</f>
        <v/>
      </c>
      <c r="BL483" s="105" t="str">
        <f>IF(A483&lt;&gt;"",COUNTIFS('QA Log'!D:D,A483,'QA Log'!M:M,"Vignette",'QA Log'!L:L,"Vignette [10] Post Partum Haemorrhage - Atonic Uterus at Health Centre",'QA Log'!Z:Z,"Approved"),"")</f>
        <v/>
      </c>
      <c r="BM483" s="102" t="str">
        <f>IF(A483="","",SUM(
    COUNTIFS('QA Log'!D:D,A483,'QA Log'!M:M,"Vignette",'QA Log'!Z:Z,"Rejected",'QA Log'!L:L,"*Vignette [5] Labor*"),
    COUNTIFS('QA Log'!D:D,A483,'QA Log'!M:M,"Vignette",'QA Log'!Z:Z,"Rejected",'QA Log'!L:L,"*Vignette [6] PNC pre Discharge*"),
    COUNTIFS('QA Log'!D:D,A483,'QA Log'!M:M,"Vignette",'QA Log'!Z:Z,"Rejected",'QA Log'!L:L,"*Vignette [7] First ANC Visit*"),
    COUNTIFS('QA Log'!D:D,A483,'QA Log'!M:M,"Vignette",'QA Log'!Z:Z,"Rejected",'QA Log'!L:L,"*Vignette [8] Birth Spacing/ Family Planning :  FP Counselling*"),
    COUNTIFS('QA Log'!D:D,A483,'QA Log'!M:M,"Vignette",'QA Log'!Z:Z,"Rejected",'QA Log'!L:L,"*Vignette [9] Birth Spacing: Change FP method to Injectable*"),
    COUNTIFS('QA Log'!D:D,A483,'QA Log'!M:M,"Vignette",'QA Log'!Z:Z,"Rejected",'QA Log'!L:L,"*Vignette [10] Post Partum Haemorrhage - Atonic Uterus at Health Centre*")
  )
)</f>
        <v/>
      </c>
      <c r="BN483" s="107" t="str">
        <f t="shared" si="37"/>
        <v/>
      </c>
      <c r="BO483" s="103" t="str">
        <f t="shared" si="38"/>
        <v/>
      </c>
      <c r="BP483" s="102" t="str">
        <f>IF(A483="","",SUM(
COUNTIFS('QA Log'!D:D,A483,'QA Log'!M:M,"Vignette",'QA Log'!L:L,"*Exit Interview 1*"),
COUNTIFS('QA Log'!D:D,A483,'QA Log'!M:M,"Vignette",'QA Log'!L:L,"*Exit Interview 2*"),
)
)</f>
        <v/>
      </c>
      <c r="BQ483" s="102" t="str">
        <f>IF(
  A483="","",
  SUM(
    COUNTIFS('QA Log'!D:D,A483,'QA Log'!M:M,"Vignette",'QA Log'!Z:Z,"Approved",'QA Log'!L:L,"*Exit Interview 1*"),
    COUNTIFS('QA Log'!D:D,A483,'QA Log'!M:M,"Vignette",'QA Log'!Z:Z,"Approved",'QA Log'!L:L,"*Exit Interview 2*")
  )
)</f>
        <v/>
      </c>
      <c r="BR483" s="105" t="str">
        <f>IF(A483&lt;&gt;"",COUNTIFS('QA Log'!D:D,A483,'QA Log'!M:M,"Vignette",'QA Log'!L:L,"Exit Interview 1",'QA Log'!Z:Z,"Approved"),"")</f>
        <v/>
      </c>
      <c r="BS483" s="105" t="str">
        <f>IF(A483&lt;&gt;"",COUNTIFS('QA Log'!D:D,A483,'QA Log'!M:M,"Vignette",'QA Log'!L:L,"Exit Interview 2",'QA Log'!Z:Z,"Approved"),"")</f>
        <v/>
      </c>
      <c r="BT483" s="102" t="str">
        <f>IF(
  A483="","",
  SUM(
    COUNTIFS('QA Log'!D:D,A483,'QA Log'!M:M,"Vignette",'QA Log'!Z:Z,"Rejected",'QA Log'!L:L,"*Exit Interview 1*"),
    COUNTIFS('QA Log'!D:D,A483,'QA Log'!M:M,"Vignette",'QA Log'!Z:Z,"Rejected",'QA Log'!L:L,"*Exit Interview 2*")
  )
)</f>
        <v/>
      </c>
      <c r="BU483" s="107" t="str">
        <f t="shared" si="39"/>
        <v/>
      </c>
      <c r="BV483" s="102" t="str">
        <f t="shared" si="40"/>
        <v/>
      </c>
      <c r="BW483" s="102" t="str">
        <f t="shared" si="41"/>
        <v/>
      </c>
      <c r="BX483" s="102" t="str">
        <f t="shared" si="42"/>
        <v/>
      </c>
      <c r="BY483" s="102" t="str">
        <f t="shared" si="43"/>
        <v/>
      </c>
      <c r="BZ483" s="107" t="str">
        <f t="shared" si="44"/>
        <v/>
      </c>
      <c r="CA483" s="108" t="str">
        <f t="shared" si="45"/>
        <v/>
      </c>
      <c r="CB483" s="108" t="str">
        <f t="shared" si="46"/>
        <v/>
      </c>
      <c r="CC483" s="109" t="str">
        <f t="shared" si="47"/>
        <v/>
      </c>
      <c r="CD483" s="108" t="str">
        <f t="shared" si="48"/>
        <v/>
      </c>
      <c r="CE483" s="108" t="str">
        <f t="shared" si="49"/>
        <v/>
      </c>
      <c r="CF483" s="109" t="str">
        <f t="shared" si="50"/>
        <v/>
      </c>
      <c r="CG483" s="110" t="str">
        <f t="shared" si="51"/>
        <v/>
      </c>
      <c r="CH483" s="111"/>
    </row>
    <row r="484" spans="1:86" ht="12.75">
      <c r="A484" s="101"/>
      <c r="B484" s="102" t="e">
        <f t="array" aca="1" ref="B484" ca="1">_xludf.XLOOKUP(A484,'QA Log'!D:D,'QA Log'!E:E,"")</f>
        <v>#NAME?</v>
      </c>
      <c r="C484" s="102" t="e">
        <f t="array" aca="1" ref="C484" ca="1">_xludf.XLOOKUP(A484,'QA Log'!D:D,'QA Log'!F:F,"")</f>
        <v>#NAME?</v>
      </c>
      <c r="D484" s="102" t="e">
        <f t="array" aca="1" ref="D484" ca="1">_xludf.XLOOKUP(A484,'QA Log'!D:D,'QA Log'!H:H,"")</f>
        <v>#NAME?</v>
      </c>
      <c r="E484" s="102" t="e">
        <f t="array" aca="1" ref="E484" ca="1">_xludf.XLOOKUP(A484,'QA Log'!D:D,'QA Log'!G:G,"")</f>
        <v>#NAME?</v>
      </c>
      <c r="F484" s="103"/>
      <c r="G484" s="104"/>
      <c r="H484" s="104"/>
      <c r="I484" s="103" t="str">
        <f t="shared" si="26"/>
        <v/>
      </c>
      <c r="J484" s="102" t="str">
        <f>IF(A484="","",SUM(
COUNTIFS('QA Log'!D:D,A484,'QA Log'!M:M,"QQC",'QA Log'!L:L,"*1. General Management*"),
COUNTIFS('QA Log'!D:D,A484,'QA Log'!M:M,"QQC",'QA Log'!L:L,"*3. Curative Consultation (OPD)*"),
COUNTIFS('QA Log'!D:D,A484,'QA Log'!M:M,"QQC",'QA Log'!L:L,"*5. Laboratory*"),
COUNTIFS('QA Log'!D:D,A484,'QA Log'!M:M,"QQC",'QA Log'!L:L,"*6. Essential Medicine Management*"),
COUNTIFS('QA Log'!D:D,A484,'QA Log'!M:M,"QQC",'QA Log'!L:L,"*7. Tracer Medicine*"),
COUNTIFS('QA Log'!D:D,A484,'QA Log'!M:M,"QQC",'QA Log'!L:L,"*11. Additional Questions*")))</f>
        <v/>
      </c>
      <c r="K484" s="102" t="str">
        <f>IF(A484="","",SUM(
COUNTIFS('QA Log'!D:D,A484,'QA Log'!M:M,"QQC",'QA Log'!Z:Z,"Approved",'QA Log'!L:L,"*1. General Management*"),
COUNTIFS('QA Log'!D:D,A484,'QA Log'!M:M,"QQC",'QA Log'!Z:Z,"Approved",'QA Log'!L:L,"*3. Curative Consultation (OPD)*"),
COUNTIFS('QA Log'!D:D,A484,'QA Log'!M:M,"QQC",'QA Log'!Z:Z,"Approved",'QA Log'!L:L,"*5. Laboratory*"),
COUNTIFS('QA Log'!D:D,A484,'QA Log'!M:M,"QQC",'QA Log'!Z:Z,"Approved",'QA Log'!L:L,"*6. Essential Medicine Management*"),
COUNTIFS('QA Log'!D:D,A484,'QA Log'!M:M,"QQC",'QA Log'!Z:Z,"Approved",'QA Log'!L:L,"*7. Tracer Medicine*"),
COUNTIFS('QA Log'!D:D,A484,'QA Log'!M:M,"QQC",'QA Log'!Z:Z,"Approved",'QA Log'!L:L,"*11. Additional Questions*")))</f>
        <v/>
      </c>
      <c r="L484" s="102" t="str">
        <f>IF(A484&lt;&gt;"",COUNTIFS('QA Log'!D:D,A484,'QA Log'!M:M,"QQC",'QA Log'!L:L,"1. General Management",'QA Log'!Z:Z,"Approved"),"")</f>
        <v/>
      </c>
      <c r="M484" s="102" t="str">
        <f>IF(A484&lt;&gt;"",COUNTIFS('QA Log'!D:D,A484,'QA Log'!M:M,"QQC",'QA Log'!L:L,"3. Curative Consultation (OPD)",'QA Log'!Z:Z,"Approved"),"")</f>
        <v/>
      </c>
      <c r="N484" s="102" t="str">
        <f>IF(A484&lt;&gt;"",COUNTIFS('QA Log'!D:D,A484,'QA Log'!M:M,"QQC",'QA Log'!L:L,"5. Laboratory",'QA Log'!Z:Z,"Approved"),"")</f>
        <v/>
      </c>
      <c r="O484" s="102" t="str">
        <f>IF(A484&lt;&gt;"",COUNTIFS('QA Log'!D:D,A484,'QA Log'!M:M,"QQC",'QA Log'!L:L,"6. Essential Medicine Management",'QA Log'!Z:Z,"Approved"),"")</f>
        <v/>
      </c>
      <c r="P484" s="102" t="str">
        <f>IF(A484&lt;&gt;"",COUNTIFS('QA Log'!D:D,A484,'QA Log'!M:M,"QQC",'QA Log'!L:L,"7. Tracer Medicine",'QA Log'!Z:Z,"Approved"),"")</f>
        <v/>
      </c>
      <c r="Q484" s="102" t="str">
        <f>IF(A484&lt;&gt;"",COUNTIFS('QA Log'!D:D,A484,'QA Log'!M:M,"QQC",'QA Log'!L:L,"11. Additional Questions",'QA Log'!Z:Z,"Approved"),"")</f>
        <v/>
      </c>
      <c r="R484" s="102" t="str">
        <f>IF(A484="","",SUM(
COUNTIFS('QA Log'!D:D,A484,'QA Log'!M:M,"QQC",'QA Log'!Z:Z,"Rejected",'QA Log'!L:L,"*8. Maternity*"),
COUNTIFS('QA Log'!D:D,A484,'QA Log'!M:M,"QQC",'QA Log'!Z:Z,"Rejected",'QA Log'!L:L,"*EPI*"),
COUNTIFS('QA Log'!D:D,A484,'QA Log'!M:M,"QQC",'QA Log'!Z:Z,"Rejected",'QA Log'!L:L,"*10. Antenatal Care (ANC)*"),
COUNTIFS('QA Log'!D:D,A484,'QA Log'!M:M,"QQC",'QA Log'!Z:Z,"Rejected",'QA Log'!L:L,"*2. Hygiene and Sterilization*"),
COUNTIFS('QA Log'!D:D,A484,'QA Log'!M:M,"QQC",'QA Log'!Z:Z,"Rejected",'QA Log'!L:L,"*Family Planning*")))</f>
        <v/>
      </c>
      <c r="S484" s="106" t="str">
        <f t="shared" si="27"/>
        <v/>
      </c>
      <c r="T484" s="102" t="str">
        <f t="shared" si="28"/>
        <v/>
      </c>
      <c r="U484" s="102" t="str">
        <f>IF(A484="","",
SUM(
COUNTIFS('QA Log'!D:D,A484,'QA Log'!M:M,"QQC",'QA Log'!L:L,"*8. Maternity*"),
COUNTIFS('QA Log'!D:D,A484,'QA Log'!M:M,"QQC",'QA Log'!L:L,"*9. EPI and Pre-school Consultation*"),
COUNTIFS('QA Log'!D:D,A484,'QA Log'!M:M,"QQC",'QA Log'!L:L,"*10. Antenatal Care (ANC)*"),
COUNTIFS('QA Log'!D:D,A484,'QA Log'!M:M,"QQC",'QA Log'!L:L,"*2. Hygiene and Sterilization*"),
COUNTIFS('QA Log'!D:D,A484,'QA Log'!M:M,"QQC",'QA Log'!L:L,"*4. Family Planning*")
))</f>
        <v/>
      </c>
      <c r="V484" s="102" t="str">
        <f>IF(A484="","",
SUM(
COUNTIFS('QA Log'!D:D,A484,'QA Log'!M:M,"QQC",'QA Log'!Z:Z,"Approved",'QA Log'!L:L,"*8. Maternity*"),
COUNTIFS('QA Log'!D:D,A484,'QA Log'!M:M,"QQC",'QA Log'!Z:Z,"Approved",'QA Log'!L:L,"*9. EPI and Pre-school Consultation*"),
COUNTIFS('QA Log'!D:D,A484,'QA Log'!M:M,"QQC",'QA Log'!Z:Z,"Approved",'QA Log'!L:L,"*10. Antenatal Care (ANC)*"),
COUNTIFS('QA Log'!D:D,A484,'QA Log'!M:M,"QQC",'QA Log'!Z:Z,"Approved",'QA Log'!L:L,"*2. Hygiene and Sterilization*"),
COUNTIFS('QA Log'!D:D,A484,'QA Log'!M:M,"QQC",'QA Log'!Z:Z,"Approved",'QA Log'!L:L,"*4. Family Planning*")
))</f>
        <v/>
      </c>
      <c r="W484" s="102" t="str">
        <f>IF(A484&lt;&gt;"",COUNTIFS('QA Log'!D:D,A484,'QA Log'!M:M,"QQC",'QA Log'!L:L,"8. Maternity",'QA Log'!Z:Z,"Approved"),"")</f>
        <v/>
      </c>
      <c r="X484" s="105" t="str">
        <f>IF(A484&lt;&gt;"",COUNTIFS('QA Log'!D:D,A484,'QA Log'!M:M,"QQC",'QA Log'!L:L,"9. EPI and Pre-school Consultation",'QA Log'!Z:Z,"Approved"),"")</f>
        <v/>
      </c>
      <c r="Y484" s="102" t="str">
        <f>IF(A484&lt;&gt;"",COUNTIFS('QA Log'!D:D,A484,'QA Log'!M:M,"QQC",'QA Log'!L:L,"10. Antenatal Care (ANC)",'QA Log'!Z:Z,"Approved"),"")</f>
        <v/>
      </c>
      <c r="Z484" s="102" t="str">
        <f>IF(A484&lt;&gt;"",COUNTIFS('QA Log'!D:D,A484,'QA Log'!M:M,"QQC",'QA Log'!L:L,"2. Hygiene and Sterilization",'QA Log'!Z:Z,"Approved"),"")</f>
        <v/>
      </c>
      <c r="AA484" s="105" t="str">
        <f>IF(A484&lt;&gt;"",COUNTIFS('QA Log'!D:D,A484,'QA Log'!M:M,"QQC",'QA Log'!L:L,"4. Family Planning",'QA Log'!Z:Z,"Approved"),"")</f>
        <v/>
      </c>
      <c r="AB484" s="102" t="str">
        <f>IF(A484="","",
SUM(
COUNTIFS('QA Log'!D:D,A484,'QA Log'!M:M,"QQC",'QA Log'!Z:Z,"Rejected",'QA Log'!L:L,"*8. Maternity*"),
COUNTIFS('QA Log'!D:D,A484,'QA Log'!M:M,"QQC",'QA Log'!Z:Z,"Rejected",'QA Log'!L:L,"*9. EPI and Pre-school Consultation*"),
COUNTIFS('QA Log'!D:D,A484,'QA Log'!M:M,"QQC",'QA Log'!Z:Z,"Rejected",'QA Log'!L:L,"*10. Antenatal Care (ANC)*"),
COUNTIFS('QA Log'!D:D,A484,'QA Log'!M:M,"QQC",'QA Log'!Z:Z,"Rejected",'QA Log'!L:L,"*2. Hygiene and Sterilization*"),
COUNTIFS('QA Log'!D:D,A484,'QA Log'!M:M,"QQC",'QA Log'!Z:Z,"Rejected",'QA Log'!L:L,"*4. Family Planning*")
))</f>
        <v/>
      </c>
      <c r="AC484" s="102" t="str">
        <f t="shared" si="29"/>
        <v/>
      </c>
      <c r="AD484" s="103" t="str">
        <f t="shared" si="30"/>
        <v/>
      </c>
      <c r="AE484" s="102" t="str">
        <f>IF(A484="","",
SUM(
COUNTIFS('QA Log'!D:D,A484,'QA Log'!M:M,"Data Verification",'QA Log'!L:L,"*Medicine (section 2)*"),
COUNTIFS('QA Log'!D:D,A484,'QA Log'!M:M,"Data Verification",'QA Log'!L:L,"*Lab Testing Availability*"),
COUNTIFS('QA Log'!D:D,A484,'QA Log'!M:M,"Data Verification",'QA Log'!L:L,"*Other than P4P (section 6)*"),
COUNTIFS('QA Log'!D:D,A484,'QA Log'!M:M,"Data Verification",'QA Log'!L:L,"*Hospital Governance*")
))</f>
        <v/>
      </c>
      <c r="AF484" s="102" t="str">
        <f>IF(A484="","",
SUM(
COUNTIFS('QA Log'!D:D,A484,'QA Log'!M:M,"Data Verification",'QA Log'!Z:Z,"Approved",'QA Log'!L:L,"*Medicine (section 2)*"),
COUNTIFS('QA Log'!D:D,A484,'QA Log'!M:M,"Data Verification",'QA Log'!Z:Z,"Approved",'QA Log'!L:L,"*Lab Testing Availability*"),
COUNTIFS('QA Log'!D:D,A484,'QA Log'!M:M,"Data Verification",'QA Log'!Z:Z,"Approved",'QA Log'!L:L,"*Other than P4P (section 6)*"),
COUNTIFS('QA Log'!D:D,A484,'QA Log'!M:M,"Data Verification",'QA Log'!Z:Z,"Approved",'QA Log'!L:L,"*Hospital Governance*")
))</f>
        <v/>
      </c>
      <c r="AG484" s="105" t="str">
        <f>IF(A484&lt;&gt;"",COUNTIFS('QA Log'!D:D,A484,'QA Log'!M:M,"Data Verification",'QA Log'!L:L,"Medicine (section 2)",'QA Log'!Z:Z,"Approved"),"")</f>
        <v/>
      </c>
      <c r="AH484" s="105" t="str">
        <f>IF(A484&lt;&gt;"",COUNTIFS('QA Log'!D:D,A484,'QA Log'!M:M,"Data Verification",'QA Log'!L:L,"Lab Testing Availability",'QA Log'!Z:Z,"Approved"),"")</f>
        <v/>
      </c>
      <c r="AI484" s="105" t="str">
        <f>IF(A484&lt;&gt;"",COUNTIFS('QA Log'!D:D,A484,'QA Log'!M:M,"Data Verification",'QA Log'!L:L,"Other than P4P (section 6)",'QA Log'!Z:Z,"Approved"),"")</f>
        <v/>
      </c>
      <c r="AJ484" s="105" t="str">
        <f>IF(A484&lt;&gt;"",COUNTIFS('QA Log'!D:D,A484,'QA Log'!M:M,"Data Verification",'QA Log'!L:L,"Hospital Governance",'QA Log'!Z:Z,"Approved"),"")</f>
        <v/>
      </c>
      <c r="AK484" s="102" t="str">
        <f>IF(A484="","",
SUM(
COUNTIFS('QA Log'!D:D,A484,'QA Log'!M:M,"Data Verification",'QA Log'!Z:Z,"Rejected",'QA Log'!L:L,"*Medicine (section 2)*"),
COUNTIFS('QA Log'!D:D,A484,'QA Log'!M:M,"Data Verification",'QA Log'!Z:Z,"Rejected",'QA Log'!L:L,"*Lab Testing Availability*"),
COUNTIFS('QA Log'!D:D,A484,'QA Log'!M:M,"Data Verification",'QA Log'!Z:Z,"Rejected",'QA Log'!L:L,"*Other than P4P (section 6)*"),
COUNTIFS('QA Log'!D:D,A484,'QA Log'!M:M,"Data Verification",'QA Log'!Z:Z,"Rejected",'QA Log'!L:L,"*Hospital Governance*")
))</f>
        <v/>
      </c>
      <c r="AL484" s="106" t="str">
        <f t="shared" si="31"/>
        <v/>
      </c>
      <c r="AM484" s="102" t="str">
        <f t="shared" si="32"/>
        <v/>
      </c>
      <c r="AN484" s="102" t="str">
        <f>IF(A484="","",
SUM(
COUNTIFS('QA Log'!D:D,A484,'QA Log'!M:M,"Data Verification",'QA Log'!L:L,"*Personnel (section 1)*"),
COUNTIFS('QA Log'!D:D,A484,'QA Log'!M:M,"Data Verification",'QA Log'!L:L,"*Consumable (section 3)*"),
COUNTIFS('QA Log'!D:D,A484,'QA Log'!M:M,"Data Verification",'QA Log'!L:L,"*Equipments (section 4)*")
))</f>
        <v/>
      </c>
      <c r="AO484" s="102" t="str">
        <f>IF(A484="","",
SUM(
COUNTIFS('QA Log'!D:D,A484,'QA Log'!M:M,"Data Verification",'QA Log'!Z:Z,"Approved",'QA Log'!L:L,"*Personnel (section 1)*"),
COUNTIFS('QA Log'!D:D,A484,'QA Log'!M:M,"Data Verification",'QA Log'!Z:Z,"Approved",'QA Log'!L:L,"*Consumable (section 3)*"),
COUNTIFS('QA Log'!D:D,A484,'QA Log'!M:M,"Data Verification",'QA Log'!Z:Z,"Approved",'QA Log'!L:L,"*Equipments (section 4)*")
))</f>
        <v/>
      </c>
      <c r="AP484" s="105" t="str">
        <f>IF(A484&lt;&gt;"",COUNTIFS('QA Log'!D:D,A484,'QA Log'!M:M,"Data Verification",'QA Log'!L:L,"Personnel (section 1)",'QA Log'!Z:Z,"Approved"),"")</f>
        <v/>
      </c>
      <c r="AQ484" s="105" t="str">
        <f>IF(A484&lt;&gt;"",COUNTIFS('QA Log'!D:D,A484,'QA Log'!M:M,"Data Verification",'QA Log'!L:L,"Consumable (section 3)",'QA Log'!Z:Z,"Approved"),"")</f>
        <v/>
      </c>
      <c r="AR484" s="105" t="str">
        <f>IF(A484&lt;&gt;"",COUNTIFS('QA Log'!D:D,A484,'QA Log'!M:M,"Data Verification",'QA Log'!L:L,"Equipments (section 4)",'QA Log'!Z:Z,"Approved"),"")</f>
        <v/>
      </c>
      <c r="AS484" s="102" t="str">
        <f>IF(A484="","",
SUM(
COUNTIFS('QA Log'!D:D,A484,'QA Log'!M:M,"Data Verification",'QA Log'!Z:Z,"Rejected",'QA Log'!L:L,"*Personnel (section 1)*"),
COUNTIFS('QA Log'!D:D,A484,'QA Log'!M:M,"Data Verification",'QA Log'!Z:Z,"Rejected",'QA Log'!L:L,"*Consumable (section 3)*"),
COUNTIFS('QA Log'!D:D,A484,'QA Log'!M:M,"Data Verification",'QA Log'!Z:Z,"Rejected",'QA Log'!L:L,"*Equipments (section 4)*")
))</f>
        <v/>
      </c>
      <c r="AT484" s="102" t="str">
        <f t="shared" si="33"/>
        <v/>
      </c>
      <c r="AU484" s="103" t="str">
        <f t="shared" si="34"/>
        <v/>
      </c>
      <c r="AV484" s="102" t="str">
        <f>IF(A484="","",SUM(
COUNTIFS('QA Log'!D:D,A484,'QA Log'!M:M,"Vignette",'QA Log'!L:L,"*Vignette [1] Respiratory Infection: Pneumonia*"),
COUNTIFS('QA Log'!D:D,A484,'QA Log'!M:M,"Vignette",'QA Log'!L:L,"*Vignette [2]: Diarrhea with Cat B dehydration*"),
COUNTIFS('QA Log'!D:D,A484,'QA Log'!M:M,"Vignette",'QA Log'!L:L,"*Vignette [3] Growth Monitoring and Promotion*"),
COUNTIFS('QA Log'!D:D,A484,'QA Log'!M:M,"Vignette",'QA Log'!L:L,"*Vignette [4]: The management of presumptive TB patient*")
)
)</f>
        <v/>
      </c>
      <c r="AW484" s="102" t="str">
        <f>IF(
  A484="","",
  SUM(
    COUNTIFS('QA Log'!D:D,A484,'QA Log'!M:M,"Vignette",'QA Log'!Z:Z,"Approved",'QA Log'!L:L,"*Vignette [1] Respiratory Infection: Pneumonia*"),
    COUNTIFS('QA Log'!D:D,A484,'QA Log'!M:M,"Vignette",'QA Log'!Z:Z,"Approved",'QA Log'!L:L,"*Vignette [2]: Diarrhea with Cat B dehydration*"),
    COUNTIFS('QA Log'!D:D,A484,'QA Log'!M:M,"Vignette",'QA Log'!Z:Z,"Approved",'QA Log'!L:L,"*Vignette [3] Growth Monitoring and Promotion*"),
    COUNTIFS('QA Log'!D:D,A484,'QA Log'!M:M,"Vignette",'QA Log'!Z:Z,"Approved",'QA Log'!L:L,"*Vignette [4]: The management of presumptive TB patient*")
  )
)</f>
        <v/>
      </c>
      <c r="AX484" s="105" t="str">
        <f>IF(A484&lt;&gt;"",COUNTIFS('QA Log'!D:D,A484,'QA Log'!M:M,"Vignette",'QA Log'!L:L,"Vignette [1] Respiratory Infection: Pneumonia",'QA Log'!Z:Z,"Approved"),"")</f>
        <v/>
      </c>
      <c r="AY484" s="105" t="str">
        <f>IF(A484&lt;&gt;"",COUNTIFS('QA Log'!D:D,A484,'QA Log'!M:M,"Vignette",'QA Log'!L:L,"Vignette [2]: Diarrhea with Cat B dehydration",'QA Log'!Z:Z,"Approved"),"")</f>
        <v/>
      </c>
      <c r="AZ484" s="105" t="str">
        <f>IF(A484&lt;&gt;"",COUNTIFS('QA Log'!D:D,A484,'QA Log'!M:M,"Vignette",'QA Log'!L:L,"Vignette [3] Growth Monitoring and Promotion",'QA Log'!Z:Z,"Approved"),"")</f>
        <v/>
      </c>
      <c r="BA484" s="105" t="str">
        <f>IF(A484&lt;&gt;"",COUNTIFS('QA Log'!D:D,A484,'QA Log'!M:M,"Vignette",'QA Log'!L:L,"Vignette [4]: The management of presumptive TB patient",'QA Log'!Z:Z,"Approved"),"")</f>
        <v/>
      </c>
      <c r="BB484" s="102" t="str">
        <f>IF(A484="","",
  SUM(
    COUNTIFS('QA Log'!D:D,A484,'QA Log'!M:M,"Vignette",'QA Log'!Z:Z,"Rejected",'QA Log'!L:L,"*Vignette [1] Respiratory Infection: Pneumonia*"),
    COUNTIFS('QA Log'!D:D,A484,'QA Log'!M:M,"Vignette",'QA Log'!Z:Z,"Rejected",'QA Log'!L:L,"*Vignette [2]: Diarrhea with Cat B dehydration*"),
    COUNTIFS('QA Log'!D:D,A484,'QA Log'!M:M,"Vignette",'QA Log'!Z:Z,"Rejected",'QA Log'!L:L,"*Vignette [3] Growth Monitoring and Promotion*"),
    COUNTIFS('QA Log'!D:D,A484,'QA Log'!M:M,"Vignette",'QA Log'!Z:Z,"Rejected",'QA Log'!L:L,"*Vignette [4]: The management of presumptive TB patient*")
  )
)</f>
        <v/>
      </c>
      <c r="BC484" s="107" t="str">
        <f t="shared" si="35"/>
        <v/>
      </c>
      <c r="BD484" s="103" t="str">
        <f t="shared" si="36"/>
        <v/>
      </c>
      <c r="BE484" s="102" t="str">
        <f>IF(A484="","",SUM(
COUNTIFS('QA Log'!D:D,A484,'QA Log'!M:M,"Vignette",'QA Log'!L:L,"*Vignette [5] Labor*"),
COUNTIFS('QA Log'!D:D,A484,'QA Log'!M:M,"Vignette",'QA Log'!L:L,"*Vignette [6] PNC pre Discharge*"),
COUNTIFS('QA Log'!D:D,A484,'QA Log'!M:M,"Vignette",'QA Log'!L:L,"*Vignette [7] First ANC Visit*"),
COUNTIFS('QA Log'!D:D,A484,'QA Log'!M:M,"Vignette",'QA Log'!L:L,"*Vignette [8] Birth Spacing/ Family Planning :  FP Counselling*"),
COUNTIFS('QA Log'!D:D,A484,'QA Log'!M:M,"Vignette",'QA Log'!L:L,"*Vignette [9] Birth Spacing: Change FP method to Injectable*"),
COUNTIFS('QA Log'!D:D,A484,'QA Log'!M:M,"Vignette",'QA Log'!L:L,"*Vignette [10] Post Partum Haemorrhage - Atonic Uterus at Health Centre*"),
)
)</f>
        <v/>
      </c>
      <c r="BF484" s="102" t="str">
        <f>IF(A484="","",
  SUM(
    COUNTIFS('QA Log'!D:D,A484,'QA Log'!M:M,"Vignette",'QA Log'!Z:Z,"Approved",'QA Log'!L:L,"*Vignette [5] Labor*"),
    COUNTIFS('QA Log'!D:D,A484,'QA Log'!M:M,"Vignette",'QA Log'!Z:Z,"Approved",'QA Log'!L:L,"*Vignette [6] PNC pre Discharge*"),
    COUNTIFS('QA Log'!D:D,A484,'QA Log'!M:M,"Vignette",'QA Log'!Z:Z,"Approved",'QA Log'!L:L,"*Vignette [7] First ANC Visit*"),
    COUNTIFS('QA Log'!D:D,A484,'QA Log'!M:M,"Vignette",'QA Log'!Z:Z,"Approved",'QA Log'!L:L,"*Vignette [8] Birth Spacing/ Family Planning :  FP Counselling*"),
    COUNTIFS('QA Log'!D:D,A484,'QA Log'!M:M,"Vignette",'QA Log'!Z:Z,"Approved",'QA Log'!L:L,"*Vignette [9] Birth Spacing: Change FP method to Injectable*"),
    COUNTIFS('QA Log'!D:D,A484,'QA Log'!M:M,"Vignette",'QA Log'!Z:Z,"Approved",'QA Log'!L:L,"*Vignette [10] Post Partum Haemorrhage - Atonic Uterus at Health Centre*")
  )
)</f>
        <v/>
      </c>
      <c r="BG484" s="105" t="str">
        <f>IF(A484&lt;&gt;"",COUNTIFS('QA Log'!D:D,A484,'QA Log'!M:M,"Vignette",'QA Log'!L:L,"Vignette [5] Labor",'QA Log'!Z:Z,"Approved"),"")</f>
        <v/>
      </c>
      <c r="BH484" s="105" t="str">
        <f>IF(A484&lt;&gt;"",COUNTIFS('QA Log'!D:D,A484,'QA Log'!M:M,"Vignette",'QA Log'!L:L,"Vignette [6] PNC pre Discharge",'QA Log'!Z:Z,"Approved"),"")</f>
        <v/>
      </c>
      <c r="BI484" s="105" t="str">
        <f>IF(A484&lt;&gt;"",COUNTIFS('QA Log'!D:D,A484,'QA Log'!M:M,"Vignette",'QA Log'!L:L,"Vignette [7] First ANC Visit",'QA Log'!Z:Z,"Approved"),"")</f>
        <v/>
      </c>
      <c r="BJ484" s="105" t="str">
        <f>IF(A484&lt;&gt;"",COUNTIFS('QA Log'!D:D,A484,'QA Log'!M:M,"Vignette",'QA Log'!L:L,"Vignette [8] Birth Spacing/ Family Planning :  FP Counselling",'QA Log'!Z:Z,"Approved"),"")</f>
        <v/>
      </c>
      <c r="BK484" s="105" t="str">
        <f>IF(A484&lt;&gt;"",COUNTIFS('QA Log'!D:D,A484,'QA Log'!M:M,"Vignette",'QA Log'!L:L,"Vignette [9] Birth Spacing: Change FP method to Injectable",'QA Log'!Z:Z,"Approved"),"")</f>
        <v/>
      </c>
      <c r="BL484" s="105" t="str">
        <f>IF(A484&lt;&gt;"",COUNTIFS('QA Log'!D:D,A484,'QA Log'!M:M,"Vignette",'QA Log'!L:L,"Vignette [10] Post Partum Haemorrhage - Atonic Uterus at Health Centre",'QA Log'!Z:Z,"Approved"),"")</f>
        <v/>
      </c>
      <c r="BM484" s="102" t="str">
        <f>IF(A484="","",SUM(
    COUNTIFS('QA Log'!D:D,A484,'QA Log'!M:M,"Vignette",'QA Log'!Z:Z,"Rejected",'QA Log'!L:L,"*Vignette [5] Labor*"),
    COUNTIFS('QA Log'!D:D,A484,'QA Log'!M:M,"Vignette",'QA Log'!Z:Z,"Rejected",'QA Log'!L:L,"*Vignette [6] PNC pre Discharge*"),
    COUNTIFS('QA Log'!D:D,A484,'QA Log'!M:M,"Vignette",'QA Log'!Z:Z,"Rejected",'QA Log'!L:L,"*Vignette [7] First ANC Visit*"),
    COUNTIFS('QA Log'!D:D,A484,'QA Log'!M:M,"Vignette",'QA Log'!Z:Z,"Rejected",'QA Log'!L:L,"*Vignette [8] Birth Spacing/ Family Planning :  FP Counselling*"),
    COUNTIFS('QA Log'!D:D,A484,'QA Log'!M:M,"Vignette",'QA Log'!Z:Z,"Rejected",'QA Log'!L:L,"*Vignette [9] Birth Spacing: Change FP method to Injectable*"),
    COUNTIFS('QA Log'!D:D,A484,'QA Log'!M:M,"Vignette",'QA Log'!Z:Z,"Rejected",'QA Log'!L:L,"*Vignette [10] Post Partum Haemorrhage - Atonic Uterus at Health Centre*")
  )
)</f>
        <v/>
      </c>
      <c r="BN484" s="107" t="str">
        <f t="shared" si="37"/>
        <v/>
      </c>
      <c r="BO484" s="103" t="str">
        <f t="shared" si="38"/>
        <v/>
      </c>
      <c r="BP484" s="102" t="str">
        <f>IF(A484="","",SUM(
COUNTIFS('QA Log'!D:D,A484,'QA Log'!M:M,"Vignette",'QA Log'!L:L,"*Exit Interview 1*"),
COUNTIFS('QA Log'!D:D,A484,'QA Log'!M:M,"Vignette",'QA Log'!L:L,"*Exit Interview 2*"),
)
)</f>
        <v/>
      </c>
      <c r="BQ484" s="102" t="str">
        <f>IF(
  A484="","",
  SUM(
    COUNTIFS('QA Log'!D:D,A484,'QA Log'!M:M,"Vignette",'QA Log'!Z:Z,"Approved",'QA Log'!L:L,"*Exit Interview 1*"),
    COUNTIFS('QA Log'!D:D,A484,'QA Log'!M:M,"Vignette",'QA Log'!Z:Z,"Approved",'QA Log'!L:L,"*Exit Interview 2*")
  )
)</f>
        <v/>
      </c>
      <c r="BR484" s="105" t="str">
        <f>IF(A484&lt;&gt;"",COUNTIFS('QA Log'!D:D,A484,'QA Log'!M:M,"Vignette",'QA Log'!L:L,"Exit Interview 1",'QA Log'!Z:Z,"Approved"),"")</f>
        <v/>
      </c>
      <c r="BS484" s="105" t="str">
        <f>IF(A484&lt;&gt;"",COUNTIFS('QA Log'!D:D,A484,'QA Log'!M:M,"Vignette",'QA Log'!L:L,"Exit Interview 2",'QA Log'!Z:Z,"Approved"),"")</f>
        <v/>
      </c>
      <c r="BT484" s="102" t="str">
        <f>IF(
  A484="","",
  SUM(
    COUNTIFS('QA Log'!D:D,A484,'QA Log'!M:M,"Vignette",'QA Log'!Z:Z,"Rejected",'QA Log'!L:L,"*Exit Interview 1*"),
    COUNTIFS('QA Log'!D:D,A484,'QA Log'!M:M,"Vignette",'QA Log'!Z:Z,"Rejected",'QA Log'!L:L,"*Exit Interview 2*")
  )
)</f>
        <v/>
      </c>
      <c r="BU484" s="107" t="str">
        <f t="shared" si="39"/>
        <v/>
      </c>
      <c r="BV484" s="102" t="str">
        <f t="shared" si="40"/>
        <v/>
      </c>
      <c r="BW484" s="102" t="str">
        <f t="shared" si="41"/>
        <v/>
      </c>
      <c r="BX484" s="102" t="str">
        <f t="shared" si="42"/>
        <v/>
      </c>
      <c r="BY484" s="102" t="str">
        <f t="shared" si="43"/>
        <v/>
      </c>
      <c r="BZ484" s="107" t="str">
        <f t="shared" si="44"/>
        <v/>
      </c>
      <c r="CA484" s="108" t="str">
        <f t="shared" si="45"/>
        <v/>
      </c>
      <c r="CB484" s="108" t="str">
        <f t="shared" si="46"/>
        <v/>
      </c>
      <c r="CC484" s="109" t="str">
        <f t="shared" si="47"/>
        <v/>
      </c>
      <c r="CD484" s="108" t="str">
        <f t="shared" si="48"/>
        <v/>
      </c>
      <c r="CE484" s="108" t="str">
        <f t="shared" si="49"/>
        <v/>
      </c>
      <c r="CF484" s="109" t="str">
        <f t="shared" si="50"/>
        <v/>
      </c>
      <c r="CG484" s="110" t="str">
        <f t="shared" si="51"/>
        <v/>
      </c>
      <c r="CH484" s="111"/>
    </row>
    <row r="485" spans="1:86" ht="12.75">
      <c r="A485" s="101"/>
      <c r="B485" s="102" t="e">
        <f t="array" aca="1" ref="B485" ca="1">_xludf.XLOOKUP(A485,'QA Log'!D:D,'QA Log'!E:E,"")</f>
        <v>#NAME?</v>
      </c>
      <c r="C485" s="102" t="e">
        <f t="array" aca="1" ref="C485" ca="1">_xludf.XLOOKUP(A485,'QA Log'!D:D,'QA Log'!F:F,"")</f>
        <v>#NAME?</v>
      </c>
      <c r="D485" s="102" t="e">
        <f t="array" aca="1" ref="D485" ca="1">_xludf.XLOOKUP(A485,'QA Log'!D:D,'QA Log'!H:H,"")</f>
        <v>#NAME?</v>
      </c>
      <c r="E485" s="102" t="e">
        <f t="array" aca="1" ref="E485" ca="1">_xludf.XLOOKUP(A485,'QA Log'!D:D,'QA Log'!G:G,"")</f>
        <v>#NAME?</v>
      </c>
      <c r="F485" s="103"/>
      <c r="G485" s="104"/>
      <c r="H485" s="104"/>
      <c r="I485" s="103" t="str">
        <f t="shared" si="26"/>
        <v/>
      </c>
      <c r="J485" s="102" t="str">
        <f>IF(A485="","",SUM(
COUNTIFS('QA Log'!D:D,A485,'QA Log'!M:M,"QQC",'QA Log'!L:L,"*1. General Management*"),
COUNTIFS('QA Log'!D:D,A485,'QA Log'!M:M,"QQC",'QA Log'!L:L,"*3. Curative Consultation (OPD)*"),
COUNTIFS('QA Log'!D:D,A485,'QA Log'!M:M,"QQC",'QA Log'!L:L,"*5. Laboratory*"),
COUNTIFS('QA Log'!D:D,A485,'QA Log'!M:M,"QQC",'QA Log'!L:L,"*6. Essential Medicine Management*"),
COUNTIFS('QA Log'!D:D,A485,'QA Log'!M:M,"QQC",'QA Log'!L:L,"*7. Tracer Medicine*"),
COUNTIFS('QA Log'!D:D,A485,'QA Log'!M:M,"QQC",'QA Log'!L:L,"*11. Additional Questions*")))</f>
        <v/>
      </c>
      <c r="K485" s="102" t="str">
        <f>IF(A485="","",SUM(
COUNTIFS('QA Log'!D:D,A485,'QA Log'!M:M,"QQC",'QA Log'!Z:Z,"Approved",'QA Log'!L:L,"*1. General Management*"),
COUNTIFS('QA Log'!D:D,A485,'QA Log'!M:M,"QQC",'QA Log'!Z:Z,"Approved",'QA Log'!L:L,"*3. Curative Consultation (OPD)*"),
COUNTIFS('QA Log'!D:D,A485,'QA Log'!M:M,"QQC",'QA Log'!Z:Z,"Approved",'QA Log'!L:L,"*5. Laboratory*"),
COUNTIFS('QA Log'!D:D,A485,'QA Log'!M:M,"QQC",'QA Log'!Z:Z,"Approved",'QA Log'!L:L,"*6. Essential Medicine Management*"),
COUNTIFS('QA Log'!D:D,A485,'QA Log'!M:M,"QQC",'QA Log'!Z:Z,"Approved",'QA Log'!L:L,"*7. Tracer Medicine*"),
COUNTIFS('QA Log'!D:D,A485,'QA Log'!M:M,"QQC",'QA Log'!Z:Z,"Approved",'QA Log'!L:L,"*11. Additional Questions*")))</f>
        <v/>
      </c>
      <c r="L485" s="102" t="str">
        <f>IF(A485&lt;&gt;"",COUNTIFS('QA Log'!D:D,A485,'QA Log'!M:M,"QQC",'QA Log'!L:L,"1. General Management",'QA Log'!Z:Z,"Approved"),"")</f>
        <v/>
      </c>
      <c r="M485" s="102" t="str">
        <f>IF(A485&lt;&gt;"",COUNTIFS('QA Log'!D:D,A485,'QA Log'!M:M,"QQC",'QA Log'!L:L,"3. Curative Consultation (OPD)",'QA Log'!Z:Z,"Approved"),"")</f>
        <v/>
      </c>
      <c r="N485" s="102" t="str">
        <f>IF(A485&lt;&gt;"",COUNTIFS('QA Log'!D:D,A485,'QA Log'!M:M,"QQC",'QA Log'!L:L,"5. Laboratory",'QA Log'!Z:Z,"Approved"),"")</f>
        <v/>
      </c>
      <c r="O485" s="102" t="str">
        <f>IF(A485&lt;&gt;"",COUNTIFS('QA Log'!D:D,A485,'QA Log'!M:M,"QQC",'QA Log'!L:L,"6. Essential Medicine Management",'QA Log'!Z:Z,"Approved"),"")</f>
        <v/>
      </c>
      <c r="P485" s="102" t="str">
        <f>IF(A485&lt;&gt;"",COUNTIFS('QA Log'!D:D,A485,'QA Log'!M:M,"QQC",'QA Log'!L:L,"7. Tracer Medicine",'QA Log'!Z:Z,"Approved"),"")</f>
        <v/>
      </c>
      <c r="Q485" s="102" t="str">
        <f>IF(A485&lt;&gt;"",COUNTIFS('QA Log'!D:D,A485,'QA Log'!M:M,"QQC",'QA Log'!L:L,"11. Additional Questions",'QA Log'!Z:Z,"Approved"),"")</f>
        <v/>
      </c>
      <c r="R485" s="102" t="str">
        <f>IF(A485="","",SUM(
COUNTIFS('QA Log'!D:D,A485,'QA Log'!M:M,"QQC",'QA Log'!Z:Z,"Rejected",'QA Log'!L:L,"*8. Maternity*"),
COUNTIFS('QA Log'!D:D,A485,'QA Log'!M:M,"QQC",'QA Log'!Z:Z,"Rejected",'QA Log'!L:L,"*EPI*"),
COUNTIFS('QA Log'!D:D,A485,'QA Log'!M:M,"QQC",'QA Log'!Z:Z,"Rejected",'QA Log'!L:L,"*10. Antenatal Care (ANC)*"),
COUNTIFS('QA Log'!D:D,A485,'QA Log'!M:M,"QQC",'QA Log'!Z:Z,"Rejected",'QA Log'!L:L,"*2. Hygiene and Sterilization*"),
COUNTIFS('QA Log'!D:D,A485,'QA Log'!M:M,"QQC",'QA Log'!Z:Z,"Rejected",'QA Log'!L:L,"*Family Planning*")))</f>
        <v/>
      </c>
      <c r="S485" s="106" t="str">
        <f t="shared" si="27"/>
        <v/>
      </c>
      <c r="T485" s="102" t="str">
        <f t="shared" si="28"/>
        <v/>
      </c>
      <c r="U485" s="102" t="str">
        <f>IF(A485="","",
SUM(
COUNTIFS('QA Log'!D:D,A485,'QA Log'!M:M,"QQC",'QA Log'!L:L,"*8. Maternity*"),
COUNTIFS('QA Log'!D:D,A485,'QA Log'!M:M,"QQC",'QA Log'!L:L,"*9. EPI and Pre-school Consultation*"),
COUNTIFS('QA Log'!D:D,A485,'QA Log'!M:M,"QQC",'QA Log'!L:L,"*10. Antenatal Care (ANC)*"),
COUNTIFS('QA Log'!D:D,A485,'QA Log'!M:M,"QQC",'QA Log'!L:L,"*2. Hygiene and Sterilization*"),
COUNTIFS('QA Log'!D:D,A485,'QA Log'!M:M,"QQC",'QA Log'!L:L,"*4. Family Planning*")
))</f>
        <v/>
      </c>
      <c r="V485" s="102" t="str">
        <f>IF(A485="","",
SUM(
COUNTIFS('QA Log'!D:D,A485,'QA Log'!M:M,"QQC",'QA Log'!Z:Z,"Approved",'QA Log'!L:L,"*8. Maternity*"),
COUNTIFS('QA Log'!D:D,A485,'QA Log'!M:M,"QQC",'QA Log'!Z:Z,"Approved",'QA Log'!L:L,"*9. EPI and Pre-school Consultation*"),
COUNTIFS('QA Log'!D:D,A485,'QA Log'!M:M,"QQC",'QA Log'!Z:Z,"Approved",'QA Log'!L:L,"*10. Antenatal Care (ANC)*"),
COUNTIFS('QA Log'!D:D,A485,'QA Log'!M:M,"QQC",'QA Log'!Z:Z,"Approved",'QA Log'!L:L,"*2. Hygiene and Sterilization*"),
COUNTIFS('QA Log'!D:D,A485,'QA Log'!M:M,"QQC",'QA Log'!Z:Z,"Approved",'QA Log'!L:L,"*4. Family Planning*")
))</f>
        <v/>
      </c>
      <c r="W485" s="102" t="str">
        <f>IF(A485&lt;&gt;"",COUNTIFS('QA Log'!D:D,A485,'QA Log'!M:M,"QQC",'QA Log'!L:L,"8. Maternity",'QA Log'!Z:Z,"Approved"),"")</f>
        <v/>
      </c>
      <c r="X485" s="105" t="str">
        <f>IF(A485&lt;&gt;"",COUNTIFS('QA Log'!D:D,A485,'QA Log'!M:M,"QQC",'QA Log'!L:L,"9. EPI and Pre-school Consultation",'QA Log'!Z:Z,"Approved"),"")</f>
        <v/>
      </c>
      <c r="Y485" s="102" t="str">
        <f>IF(A485&lt;&gt;"",COUNTIFS('QA Log'!D:D,A485,'QA Log'!M:M,"QQC",'QA Log'!L:L,"10. Antenatal Care (ANC)",'QA Log'!Z:Z,"Approved"),"")</f>
        <v/>
      </c>
      <c r="Z485" s="102" t="str">
        <f>IF(A485&lt;&gt;"",COUNTIFS('QA Log'!D:D,A485,'QA Log'!M:M,"QQC",'QA Log'!L:L,"2. Hygiene and Sterilization",'QA Log'!Z:Z,"Approved"),"")</f>
        <v/>
      </c>
      <c r="AA485" s="105" t="str">
        <f>IF(A485&lt;&gt;"",COUNTIFS('QA Log'!D:D,A485,'QA Log'!M:M,"QQC",'QA Log'!L:L,"4. Family Planning",'QA Log'!Z:Z,"Approved"),"")</f>
        <v/>
      </c>
      <c r="AB485" s="102" t="str">
        <f>IF(A485="","",
SUM(
COUNTIFS('QA Log'!D:D,A485,'QA Log'!M:M,"QQC",'QA Log'!Z:Z,"Rejected",'QA Log'!L:L,"*8. Maternity*"),
COUNTIFS('QA Log'!D:D,A485,'QA Log'!M:M,"QQC",'QA Log'!Z:Z,"Rejected",'QA Log'!L:L,"*9. EPI and Pre-school Consultation*"),
COUNTIFS('QA Log'!D:D,A485,'QA Log'!M:M,"QQC",'QA Log'!Z:Z,"Rejected",'QA Log'!L:L,"*10. Antenatal Care (ANC)*"),
COUNTIFS('QA Log'!D:D,A485,'QA Log'!M:M,"QQC",'QA Log'!Z:Z,"Rejected",'QA Log'!L:L,"*2. Hygiene and Sterilization*"),
COUNTIFS('QA Log'!D:D,A485,'QA Log'!M:M,"QQC",'QA Log'!Z:Z,"Rejected",'QA Log'!L:L,"*4. Family Planning*")
))</f>
        <v/>
      </c>
      <c r="AC485" s="102" t="str">
        <f t="shared" si="29"/>
        <v/>
      </c>
      <c r="AD485" s="103" t="str">
        <f t="shared" si="30"/>
        <v/>
      </c>
      <c r="AE485" s="102" t="str">
        <f>IF(A485="","",
SUM(
COUNTIFS('QA Log'!D:D,A485,'QA Log'!M:M,"Data Verification",'QA Log'!L:L,"*Medicine (section 2)*"),
COUNTIFS('QA Log'!D:D,A485,'QA Log'!M:M,"Data Verification",'QA Log'!L:L,"*Lab Testing Availability*"),
COUNTIFS('QA Log'!D:D,A485,'QA Log'!M:M,"Data Verification",'QA Log'!L:L,"*Other than P4P (section 6)*"),
COUNTIFS('QA Log'!D:D,A485,'QA Log'!M:M,"Data Verification",'QA Log'!L:L,"*Hospital Governance*")
))</f>
        <v/>
      </c>
      <c r="AF485" s="102" t="str">
        <f>IF(A485="","",
SUM(
COUNTIFS('QA Log'!D:D,A485,'QA Log'!M:M,"Data Verification",'QA Log'!Z:Z,"Approved",'QA Log'!L:L,"*Medicine (section 2)*"),
COUNTIFS('QA Log'!D:D,A485,'QA Log'!M:M,"Data Verification",'QA Log'!Z:Z,"Approved",'QA Log'!L:L,"*Lab Testing Availability*"),
COUNTIFS('QA Log'!D:D,A485,'QA Log'!M:M,"Data Verification",'QA Log'!Z:Z,"Approved",'QA Log'!L:L,"*Other than P4P (section 6)*"),
COUNTIFS('QA Log'!D:D,A485,'QA Log'!M:M,"Data Verification",'QA Log'!Z:Z,"Approved",'QA Log'!L:L,"*Hospital Governance*")
))</f>
        <v/>
      </c>
      <c r="AG485" s="105" t="str">
        <f>IF(A485&lt;&gt;"",COUNTIFS('QA Log'!D:D,A485,'QA Log'!M:M,"Data Verification",'QA Log'!L:L,"Medicine (section 2)",'QA Log'!Z:Z,"Approved"),"")</f>
        <v/>
      </c>
      <c r="AH485" s="105" t="str">
        <f>IF(A485&lt;&gt;"",COUNTIFS('QA Log'!D:D,A485,'QA Log'!M:M,"Data Verification",'QA Log'!L:L,"Lab Testing Availability",'QA Log'!Z:Z,"Approved"),"")</f>
        <v/>
      </c>
      <c r="AI485" s="105" t="str">
        <f>IF(A485&lt;&gt;"",COUNTIFS('QA Log'!D:D,A485,'QA Log'!M:M,"Data Verification",'QA Log'!L:L,"Other than P4P (section 6)",'QA Log'!Z:Z,"Approved"),"")</f>
        <v/>
      </c>
      <c r="AJ485" s="105" t="str">
        <f>IF(A485&lt;&gt;"",COUNTIFS('QA Log'!D:D,A485,'QA Log'!M:M,"Data Verification",'QA Log'!L:L,"Hospital Governance",'QA Log'!Z:Z,"Approved"),"")</f>
        <v/>
      </c>
      <c r="AK485" s="102" t="str">
        <f>IF(A485="","",
SUM(
COUNTIFS('QA Log'!D:D,A485,'QA Log'!M:M,"Data Verification",'QA Log'!Z:Z,"Rejected",'QA Log'!L:L,"*Medicine (section 2)*"),
COUNTIFS('QA Log'!D:D,A485,'QA Log'!M:M,"Data Verification",'QA Log'!Z:Z,"Rejected",'QA Log'!L:L,"*Lab Testing Availability*"),
COUNTIFS('QA Log'!D:D,A485,'QA Log'!M:M,"Data Verification",'QA Log'!Z:Z,"Rejected",'QA Log'!L:L,"*Other than P4P (section 6)*"),
COUNTIFS('QA Log'!D:D,A485,'QA Log'!M:M,"Data Verification",'QA Log'!Z:Z,"Rejected",'QA Log'!L:L,"*Hospital Governance*")
))</f>
        <v/>
      </c>
      <c r="AL485" s="106" t="str">
        <f t="shared" si="31"/>
        <v/>
      </c>
      <c r="AM485" s="102" t="str">
        <f t="shared" si="32"/>
        <v/>
      </c>
      <c r="AN485" s="102" t="str">
        <f>IF(A485="","",
SUM(
COUNTIFS('QA Log'!D:D,A485,'QA Log'!M:M,"Data Verification",'QA Log'!L:L,"*Personnel (section 1)*"),
COUNTIFS('QA Log'!D:D,A485,'QA Log'!M:M,"Data Verification",'QA Log'!L:L,"*Consumable (section 3)*"),
COUNTIFS('QA Log'!D:D,A485,'QA Log'!M:M,"Data Verification",'QA Log'!L:L,"*Equipments (section 4)*")
))</f>
        <v/>
      </c>
      <c r="AO485" s="102" t="str">
        <f>IF(A485="","",
SUM(
COUNTIFS('QA Log'!D:D,A485,'QA Log'!M:M,"Data Verification",'QA Log'!Z:Z,"Approved",'QA Log'!L:L,"*Personnel (section 1)*"),
COUNTIFS('QA Log'!D:D,A485,'QA Log'!M:M,"Data Verification",'QA Log'!Z:Z,"Approved",'QA Log'!L:L,"*Consumable (section 3)*"),
COUNTIFS('QA Log'!D:D,A485,'QA Log'!M:M,"Data Verification",'QA Log'!Z:Z,"Approved",'QA Log'!L:L,"*Equipments (section 4)*")
))</f>
        <v/>
      </c>
      <c r="AP485" s="105" t="str">
        <f>IF(A485&lt;&gt;"",COUNTIFS('QA Log'!D:D,A485,'QA Log'!M:M,"Data Verification",'QA Log'!L:L,"Personnel (section 1)",'QA Log'!Z:Z,"Approved"),"")</f>
        <v/>
      </c>
      <c r="AQ485" s="105" t="str">
        <f>IF(A485&lt;&gt;"",COUNTIFS('QA Log'!D:D,A485,'QA Log'!M:M,"Data Verification",'QA Log'!L:L,"Consumable (section 3)",'QA Log'!Z:Z,"Approved"),"")</f>
        <v/>
      </c>
      <c r="AR485" s="105" t="str">
        <f>IF(A485&lt;&gt;"",COUNTIFS('QA Log'!D:D,A485,'QA Log'!M:M,"Data Verification",'QA Log'!L:L,"Equipments (section 4)",'QA Log'!Z:Z,"Approved"),"")</f>
        <v/>
      </c>
      <c r="AS485" s="102" t="str">
        <f>IF(A485="","",
SUM(
COUNTIFS('QA Log'!D:D,A485,'QA Log'!M:M,"Data Verification",'QA Log'!Z:Z,"Rejected",'QA Log'!L:L,"*Personnel (section 1)*"),
COUNTIFS('QA Log'!D:D,A485,'QA Log'!M:M,"Data Verification",'QA Log'!Z:Z,"Rejected",'QA Log'!L:L,"*Consumable (section 3)*"),
COUNTIFS('QA Log'!D:D,A485,'QA Log'!M:M,"Data Verification",'QA Log'!Z:Z,"Rejected",'QA Log'!L:L,"*Equipments (section 4)*")
))</f>
        <v/>
      </c>
      <c r="AT485" s="102" t="str">
        <f t="shared" si="33"/>
        <v/>
      </c>
      <c r="AU485" s="103" t="str">
        <f t="shared" si="34"/>
        <v/>
      </c>
      <c r="AV485" s="102" t="str">
        <f>IF(A485="","",SUM(
COUNTIFS('QA Log'!D:D,A485,'QA Log'!M:M,"Vignette",'QA Log'!L:L,"*Vignette [1] Respiratory Infection: Pneumonia*"),
COUNTIFS('QA Log'!D:D,A485,'QA Log'!M:M,"Vignette",'QA Log'!L:L,"*Vignette [2]: Diarrhea with Cat B dehydration*"),
COUNTIFS('QA Log'!D:D,A485,'QA Log'!M:M,"Vignette",'QA Log'!L:L,"*Vignette [3] Growth Monitoring and Promotion*"),
COUNTIFS('QA Log'!D:D,A485,'QA Log'!M:M,"Vignette",'QA Log'!L:L,"*Vignette [4]: The management of presumptive TB patient*")
)
)</f>
        <v/>
      </c>
      <c r="AW485" s="102" t="str">
        <f>IF(
  A485="","",
  SUM(
    COUNTIFS('QA Log'!D:D,A485,'QA Log'!M:M,"Vignette",'QA Log'!Z:Z,"Approved",'QA Log'!L:L,"*Vignette [1] Respiratory Infection: Pneumonia*"),
    COUNTIFS('QA Log'!D:D,A485,'QA Log'!M:M,"Vignette",'QA Log'!Z:Z,"Approved",'QA Log'!L:L,"*Vignette [2]: Diarrhea with Cat B dehydration*"),
    COUNTIFS('QA Log'!D:D,A485,'QA Log'!M:M,"Vignette",'QA Log'!Z:Z,"Approved",'QA Log'!L:L,"*Vignette [3] Growth Monitoring and Promotion*"),
    COUNTIFS('QA Log'!D:D,A485,'QA Log'!M:M,"Vignette",'QA Log'!Z:Z,"Approved",'QA Log'!L:L,"*Vignette [4]: The management of presumptive TB patient*")
  )
)</f>
        <v/>
      </c>
      <c r="AX485" s="105" t="str">
        <f>IF(A485&lt;&gt;"",COUNTIFS('QA Log'!D:D,A485,'QA Log'!M:M,"Vignette",'QA Log'!L:L,"Vignette [1] Respiratory Infection: Pneumonia",'QA Log'!Z:Z,"Approved"),"")</f>
        <v/>
      </c>
      <c r="AY485" s="105" t="str">
        <f>IF(A485&lt;&gt;"",COUNTIFS('QA Log'!D:D,A485,'QA Log'!M:M,"Vignette",'QA Log'!L:L,"Vignette [2]: Diarrhea with Cat B dehydration",'QA Log'!Z:Z,"Approved"),"")</f>
        <v/>
      </c>
      <c r="AZ485" s="105" t="str">
        <f>IF(A485&lt;&gt;"",COUNTIFS('QA Log'!D:D,A485,'QA Log'!M:M,"Vignette",'QA Log'!L:L,"Vignette [3] Growth Monitoring and Promotion",'QA Log'!Z:Z,"Approved"),"")</f>
        <v/>
      </c>
      <c r="BA485" s="105" t="str">
        <f>IF(A485&lt;&gt;"",COUNTIFS('QA Log'!D:D,A485,'QA Log'!M:M,"Vignette",'QA Log'!L:L,"Vignette [4]: The management of presumptive TB patient",'QA Log'!Z:Z,"Approved"),"")</f>
        <v/>
      </c>
      <c r="BB485" s="102" t="str">
        <f>IF(A485="","",
  SUM(
    COUNTIFS('QA Log'!D:D,A485,'QA Log'!M:M,"Vignette",'QA Log'!Z:Z,"Rejected",'QA Log'!L:L,"*Vignette [1] Respiratory Infection: Pneumonia*"),
    COUNTIFS('QA Log'!D:D,A485,'QA Log'!M:M,"Vignette",'QA Log'!Z:Z,"Rejected",'QA Log'!L:L,"*Vignette [2]: Diarrhea with Cat B dehydration*"),
    COUNTIFS('QA Log'!D:D,A485,'QA Log'!M:M,"Vignette",'QA Log'!Z:Z,"Rejected",'QA Log'!L:L,"*Vignette [3] Growth Monitoring and Promotion*"),
    COUNTIFS('QA Log'!D:D,A485,'QA Log'!M:M,"Vignette",'QA Log'!Z:Z,"Rejected",'QA Log'!L:L,"*Vignette [4]: The management of presumptive TB patient*")
  )
)</f>
        <v/>
      </c>
      <c r="BC485" s="107" t="str">
        <f t="shared" si="35"/>
        <v/>
      </c>
      <c r="BD485" s="103" t="str">
        <f t="shared" si="36"/>
        <v/>
      </c>
      <c r="BE485" s="102" t="str">
        <f>IF(A485="","",SUM(
COUNTIFS('QA Log'!D:D,A485,'QA Log'!M:M,"Vignette",'QA Log'!L:L,"*Vignette [5] Labor*"),
COUNTIFS('QA Log'!D:D,A485,'QA Log'!M:M,"Vignette",'QA Log'!L:L,"*Vignette [6] PNC pre Discharge*"),
COUNTIFS('QA Log'!D:D,A485,'QA Log'!M:M,"Vignette",'QA Log'!L:L,"*Vignette [7] First ANC Visit*"),
COUNTIFS('QA Log'!D:D,A485,'QA Log'!M:M,"Vignette",'QA Log'!L:L,"*Vignette [8] Birth Spacing/ Family Planning :  FP Counselling*"),
COUNTIFS('QA Log'!D:D,A485,'QA Log'!M:M,"Vignette",'QA Log'!L:L,"*Vignette [9] Birth Spacing: Change FP method to Injectable*"),
COUNTIFS('QA Log'!D:D,A485,'QA Log'!M:M,"Vignette",'QA Log'!L:L,"*Vignette [10] Post Partum Haemorrhage - Atonic Uterus at Health Centre*"),
)
)</f>
        <v/>
      </c>
      <c r="BF485" s="102" t="str">
        <f>IF(A485="","",
  SUM(
    COUNTIFS('QA Log'!D:D,A485,'QA Log'!M:M,"Vignette",'QA Log'!Z:Z,"Approved",'QA Log'!L:L,"*Vignette [5] Labor*"),
    COUNTIFS('QA Log'!D:D,A485,'QA Log'!M:M,"Vignette",'QA Log'!Z:Z,"Approved",'QA Log'!L:L,"*Vignette [6] PNC pre Discharge*"),
    COUNTIFS('QA Log'!D:D,A485,'QA Log'!M:M,"Vignette",'QA Log'!Z:Z,"Approved",'QA Log'!L:L,"*Vignette [7] First ANC Visit*"),
    COUNTIFS('QA Log'!D:D,A485,'QA Log'!M:M,"Vignette",'QA Log'!Z:Z,"Approved",'QA Log'!L:L,"*Vignette [8] Birth Spacing/ Family Planning :  FP Counselling*"),
    COUNTIFS('QA Log'!D:D,A485,'QA Log'!M:M,"Vignette",'QA Log'!Z:Z,"Approved",'QA Log'!L:L,"*Vignette [9] Birth Spacing: Change FP method to Injectable*"),
    COUNTIFS('QA Log'!D:D,A485,'QA Log'!M:M,"Vignette",'QA Log'!Z:Z,"Approved",'QA Log'!L:L,"*Vignette [10] Post Partum Haemorrhage - Atonic Uterus at Health Centre*")
  )
)</f>
        <v/>
      </c>
      <c r="BG485" s="105" t="str">
        <f>IF(A485&lt;&gt;"",COUNTIFS('QA Log'!D:D,A485,'QA Log'!M:M,"Vignette",'QA Log'!L:L,"Vignette [5] Labor",'QA Log'!Z:Z,"Approved"),"")</f>
        <v/>
      </c>
      <c r="BH485" s="105" t="str">
        <f>IF(A485&lt;&gt;"",COUNTIFS('QA Log'!D:D,A485,'QA Log'!M:M,"Vignette",'QA Log'!L:L,"Vignette [6] PNC pre Discharge",'QA Log'!Z:Z,"Approved"),"")</f>
        <v/>
      </c>
      <c r="BI485" s="105" t="str">
        <f>IF(A485&lt;&gt;"",COUNTIFS('QA Log'!D:D,A485,'QA Log'!M:M,"Vignette",'QA Log'!L:L,"Vignette [7] First ANC Visit",'QA Log'!Z:Z,"Approved"),"")</f>
        <v/>
      </c>
      <c r="BJ485" s="105" t="str">
        <f>IF(A485&lt;&gt;"",COUNTIFS('QA Log'!D:D,A485,'QA Log'!M:M,"Vignette",'QA Log'!L:L,"Vignette [8] Birth Spacing/ Family Planning :  FP Counselling",'QA Log'!Z:Z,"Approved"),"")</f>
        <v/>
      </c>
      <c r="BK485" s="105" t="str">
        <f>IF(A485&lt;&gt;"",COUNTIFS('QA Log'!D:D,A485,'QA Log'!M:M,"Vignette",'QA Log'!L:L,"Vignette [9] Birth Spacing: Change FP method to Injectable",'QA Log'!Z:Z,"Approved"),"")</f>
        <v/>
      </c>
      <c r="BL485" s="105" t="str">
        <f>IF(A485&lt;&gt;"",COUNTIFS('QA Log'!D:D,A485,'QA Log'!M:M,"Vignette",'QA Log'!L:L,"Vignette [10] Post Partum Haemorrhage - Atonic Uterus at Health Centre",'QA Log'!Z:Z,"Approved"),"")</f>
        <v/>
      </c>
      <c r="BM485" s="102" t="str">
        <f>IF(A485="","",SUM(
    COUNTIFS('QA Log'!D:D,A485,'QA Log'!M:M,"Vignette",'QA Log'!Z:Z,"Rejected",'QA Log'!L:L,"*Vignette [5] Labor*"),
    COUNTIFS('QA Log'!D:D,A485,'QA Log'!M:M,"Vignette",'QA Log'!Z:Z,"Rejected",'QA Log'!L:L,"*Vignette [6] PNC pre Discharge*"),
    COUNTIFS('QA Log'!D:D,A485,'QA Log'!M:M,"Vignette",'QA Log'!Z:Z,"Rejected",'QA Log'!L:L,"*Vignette [7] First ANC Visit*"),
    COUNTIFS('QA Log'!D:D,A485,'QA Log'!M:M,"Vignette",'QA Log'!Z:Z,"Rejected",'QA Log'!L:L,"*Vignette [8] Birth Spacing/ Family Planning :  FP Counselling*"),
    COUNTIFS('QA Log'!D:D,A485,'QA Log'!M:M,"Vignette",'QA Log'!Z:Z,"Rejected",'QA Log'!L:L,"*Vignette [9] Birth Spacing: Change FP method to Injectable*"),
    COUNTIFS('QA Log'!D:D,A485,'QA Log'!M:M,"Vignette",'QA Log'!Z:Z,"Rejected",'QA Log'!L:L,"*Vignette [10] Post Partum Haemorrhage - Atonic Uterus at Health Centre*")
  )
)</f>
        <v/>
      </c>
      <c r="BN485" s="107" t="str">
        <f t="shared" si="37"/>
        <v/>
      </c>
      <c r="BO485" s="103" t="str">
        <f t="shared" si="38"/>
        <v/>
      </c>
      <c r="BP485" s="102" t="str">
        <f>IF(A485="","",SUM(
COUNTIFS('QA Log'!D:D,A485,'QA Log'!M:M,"Vignette",'QA Log'!L:L,"*Exit Interview 1*"),
COUNTIFS('QA Log'!D:D,A485,'QA Log'!M:M,"Vignette",'QA Log'!L:L,"*Exit Interview 2*"),
)
)</f>
        <v/>
      </c>
      <c r="BQ485" s="102" t="str">
        <f>IF(
  A485="","",
  SUM(
    COUNTIFS('QA Log'!D:D,A485,'QA Log'!M:M,"Vignette",'QA Log'!Z:Z,"Approved",'QA Log'!L:L,"*Exit Interview 1*"),
    COUNTIFS('QA Log'!D:D,A485,'QA Log'!M:M,"Vignette",'QA Log'!Z:Z,"Approved",'QA Log'!L:L,"*Exit Interview 2*")
  )
)</f>
        <v/>
      </c>
      <c r="BR485" s="105" t="str">
        <f>IF(A485&lt;&gt;"",COUNTIFS('QA Log'!D:D,A485,'QA Log'!M:M,"Vignette",'QA Log'!L:L,"Exit Interview 1",'QA Log'!Z:Z,"Approved"),"")</f>
        <v/>
      </c>
      <c r="BS485" s="105" t="str">
        <f>IF(A485&lt;&gt;"",COUNTIFS('QA Log'!D:D,A485,'QA Log'!M:M,"Vignette",'QA Log'!L:L,"Exit Interview 2",'QA Log'!Z:Z,"Approved"),"")</f>
        <v/>
      </c>
      <c r="BT485" s="102" t="str">
        <f>IF(
  A485="","",
  SUM(
    COUNTIFS('QA Log'!D:D,A485,'QA Log'!M:M,"Vignette",'QA Log'!Z:Z,"Rejected",'QA Log'!L:L,"*Exit Interview 1*"),
    COUNTIFS('QA Log'!D:D,A485,'QA Log'!M:M,"Vignette",'QA Log'!Z:Z,"Rejected",'QA Log'!L:L,"*Exit Interview 2*")
  )
)</f>
        <v/>
      </c>
      <c r="BU485" s="107" t="str">
        <f t="shared" si="39"/>
        <v/>
      </c>
      <c r="BV485" s="102" t="str">
        <f t="shared" si="40"/>
        <v/>
      </c>
      <c r="BW485" s="102" t="str">
        <f t="shared" si="41"/>
        <v/>
      </c>
      <c r="BX485" s="102" t="str">
        <f t="shared" si="42"/>
        <v/>
      </c>
      <c r="BY485" s="102" t="str">
        <f t="shared" si="43"/>
        <v/>
      </c>
      <c r="BZ485" s="107" t="str">
        <f t="shared" si="44"/>
        <v/>
      </c>
      <c r="CA485" s="108" t="str">
        <f t="shared" si="45"/>
        <v/>
      </c>
      <c r="CB485" s="108" t="str">
        <f t="shared" si="46"/>
        <v/>
      </c>
      <c r="CC485" s="109" t="str">
        <f t="shared" si="47"/>
        <v/>
      </c>
      <c r="CD485" s="108" t="str">
        <f t="shared" si="48"/>
        <v/>
      </c>
      <c r="CE485" s="108" t="str">
        <f t="shared" si="49"/>
        <v/>
      </c>
      <c r="CF485" s="109" t="str">
        <f t="shared" si="50"/>
        <v/>
      </c>
      <c r="CG485" s="110" t="str">
        <f t="shared" si="51"/>
        <v/>
      </c>
      <c r="CH485" s="111"/>
    </row>
    <row r="486" spans="1:86" ht="12.75">
      <c r="A486" s="101"/>
      <c r="B486" s="102" t="e">
        <f t="array" aca="1" ref="B486" ca="1">_xludf.XLOOKUP(A486,'QA Log'!D:D,'QA Log'!E:E,"")</f>
        <v>#NAME?</v>
      </c>
      <c r="C486" s="102" t="e">
        <f t="array" aca="1" ref="C486" ca="1">_xludf.XLOOKUP(A486,'QA Log'!D:D,'QA Log'!F:F,"")</f>
        <v>#NAME?</v>
      </c>
      <c r="D486" s="102" t="e">
        <f t="array" aca="1" ref="D486" ca="1">_xludf.XLOOKUP(A486,'QA Log'!D:D,'QA Log'!H:H,"")</f>
        <v>#NAME?</v>
      </c>
      <c r="E486" s="102" t="e">
        <f t="array" aca="1" ref="E486" ca="1">_xludf.XLOOKUP(A486,'QA Log'!D:D,'QA Log'!G:G,"")</f>
        <v>#NAME?</v>
      </c>
      <c r="F486" s="103"/>
      <c r="G486" s="104"/>
      <c r="H486" s="104"/>
      <c r="I486" s="103" t="str">
        <f t="shared" si="26"/>
        <v/>
      </c>
      <c r="J486" s="102" t="str">
        <f>IF(A486="","",SUM(
COUNTIFS('QA Log'!D:D,A486,'QA Log'!M:M,"QQC",'QA Log'!L:L,"*1. General Management*"),
COUNTIFS('QA Log'!D:D,A486,'QA Log'!M:M,"QQC",'QA Log'!L:L,"*3. Curative Consultation (OPD)*"),
COUNTIFS('QA Log'!D:D,A486,'QA Log'!M:M,"QQC",'QA Log'!L:L,"*5. Laboratory*"),
COUNTIFS('QA Log'!D:D,A486,'QA Log'!M:M,"QQC",'QA Log'!L:L,"*6. Essential Medicine Management*"),
COUNTIFS('QA Log'!D:D,A486,'QA Log'!M:M,"QQC",'QA Log'!L:L,"*7. Tracer Medicine*"),
COUNTIFS('QA Log'!D:D,A486,'QA Log'!M:M,"QQC",'QA Log'!L:L,"*11. Additional Questions*")))</f>
        <v/>
      </c>
      <c r="K486" s="102" t="str">
        <f>IF(A486="","",SUM(
COUNTIFS('QA Log'!D:D,A486,'QA Log'!M:M,"QQC",'QA Log'!Z:Z,"Approved",'QA Log'!L:L,"*1. General Management*"),
COUNTIFS('QA Log'!D:D,A486,'QA Log'!M:M,"QQC",'QA Log'!Z:Z,"Approved",'QA Log'!L:L,"*3. Curative Consultation (OPD)*"),
COUNTIFS('QA Log'!D:D,A486,'QA Log'!M:M,"QQC",'QA Log'!Z:Z,"Approved",'QA Log'!L:L,"*5. Laboratory*"),
COUNTIFS('QA Log'!D:D,A486,'QA Log'!M:M,"QQC",'QA Log'!Z:Z,"Approved",'QA Log'!L:L,"*6. Essential Medicine Management*"),
COUNTIFS('QA Log'!D:D,A486,'QA Log'!M:M,"QQC",'QA Log'!Z:Z,"Approved",'QA Log'!L:L,"*7. Tracer Medicine*"),
COUNTIFS('QA Log'!D:D,A486,'QA Log'!M:M,"QQC",'QA Log'!Z:Z,"Approved",'QA Log'!L:L,"*11. Additional Questions*")))</f>
        <v/>
      </c>
      <c r="L486" s="102" t="str">
        <f>IF(A486&lt;&gt;"",COUNTIFS('QA Log'!D:D,A486,'QA Log'!M:M,"QQC",'QA Log'!L:L,"1. General Management",'QA Log'!Z:Z,"Approved"),"")</f>
        <v/>
      </c>
      <c r="M486" s="102" t="str">
        <f>IF(A486&lt;&gt;"",COUNTIFS('QA Log'!D:D,A486,'QA Log'!M:M,"QQC",'QA Log'!L:L,"3. Curative Consultation (OPD)",'QA Log'!Z:Z,"Approved"),"")</f>
        <v/>
      </c>
      <c r="N486" s="102" t="str">
        <f>IF(A486&lt;&gt;"",COUNTIFS('QA Log'!D:D,A486,'QA Log'!M:M,"QQC",'QA Log'!L:L,"5. Laboratory",'QA Log'!Z:Z,"Approved"),"")</f>
        <v/>
      </c>
      <c r="O486" s="102" t="str">
        <f>IF(A486&lt;&gt;"",COUNTIFS('QA Log'!D:D,A486,'QA Log'!M:M,"QQC",'QA Log'!L:L,"6. Essential Medicine Management",'QA Log'!Z:Z,"Approved"),"")</f>
        <v/>
      </c>
      <c r="P486" s="102" t="str">
        <f>IF(A486&lt;&gt;"",COUNTIFS('QA Log'!D:D,A486,'QA Log'!M:M,"QQC",'QA Log'!L:L,"7. Tracer Medicine",'QA Log'!Z:Z,"Approved"),"")</f>
        <v/>
      </c>
      <c r="Q486" s="102" t="str">
        <f>IF(A486&lt;&gt;"",COUNTIFS('QA Log'!D:D,A486,'QA Log'!M:M,"QQC",'QA Log'!L:L,"11. Additional Questions",'QA Log'!Z:Z,"Approved"),"")</f>
        <v/>
      </c>
      <c r="R486" s="102" t="str">
        <f>IF(A486="","",SUM(
COUNTIFS('QA Log'!D:D,A486,'QA Log'!M:M,"QQC",'QA Log'!Z:Z,"Rejected",'QA Log'!L:L,"*8. Maternity*"),
COUNTIFS('QA Log'!D:D,A486,'QA Log'!M:M,"QQC",'QA Log'!Z:Z,"Rejected",'QA Log'!L:L,"*EPI*"),
COUNTIFS('QA Log'!D:D,A486,'QA Log'!M:M,"QQC",'QA Log'!Z:Z,"Rejected",'QA Log'!L:L,"*10. Antenatal Care (ANC)*"),
COUNTIFS('QA Log'!D:D,A486,'QA Log'!M:M,"QQC",'QA Log'!Z:Z,"Rejected",'QA Log'!L:L,"*2. Hygiene and Sterilization*"),
COUNTIFS('QA Log'!D:D,A486,'QA Log'!M:M,"QQC",'QA Log'!Z:Z,"Rejected",'QA Log'!L:L,"*Family Planning*")))</f>
        <v/>
      </c>
      <c r="S486" s="106" t="str">
        <f t="shared" si="27"/>
        <v/>
      </c>
      <c r="T486" s="102" t="str">
        <f t="shared" si="28"/>
        <v/>
      </c>
      <c r="U486" s="102" t="str">
        <f>IF(A486="","",
SUM(
COUNTIFS('QA Log'!D:D,A486,'QA Log'!M:M,"QQC",'QA Log'!L:L,"*8. Maternity*"),
COUNTIFS('QA Log'!D:D,A486,'QA Log'!M:M,"QQC",'QA Log'!L:L,"*9. EPI and Pre-school Consultation*"),
COUNTIFS('QA Log'!D:D,A486,'QA Log'!M:M,"QQC",'QA Log'!L:L,"*10. Antenatal Care (ANC)*"),
COUNTIFS('QA Log'!D:D,A486,'QA Log'!M:M,"QQC",'QA Log'!L:L,"*2. Hygiene and Sterilization*"),
COUNTIFS('QA Log'!D:D,A486,'QA Log'!M:M,"QQC",'QA Log'!L:L,"*4. Family Planning*")
))</f>
        <v/>
      </c>
      <c r="V486" s="102" t="str">
        <f>IF(A486="","",
SUM(
COUNTIFS('QA Log'!D:D,A486,'QA Log'!M:M,"QQC",'QA Log'!Z:Z,"Approved",'QA Log'!L:L,"*8. Maternity*"),
COUNTIFS('QA Log'!D:D,A486,'QA Log'!M:M,"QQC",'QA Log'!Z:Z,"Approved",'QA Log'!L:L,"*9. EPI and Pre-school Consultation*"),
COUNTIFS('QA Log'!D:D,A486,'QA Log'!M:M,"QQC",'QA Log'!Z:Z,"Approved",'QA Log'!L:L,"*10. Antenatal Care (ANC)*"),
COUNTIFS('QA Log'!D:D,A486,'QA Log'!M:M,"QQC",'QA Log'!Z:Z,"Approved",'QA Log'!L:L,"*2. Hygiene and Sterilization*"),
COUNTIFS('QA Log'!D:D,A486,'QA Log'!M:M,"QQC",'QA Log'!Z:Z,"Approved",'QA Log'!L:L,"*4. Family Planning*")
))</f>
        <v/>
      </c>
      <c r="W486" s="102" t="str">
        <f>IF(A486&lt;&gt;"",COUNTIFS('QA Log'!D:D,A486,'QA Log'!M:M,"QQC",'QA Log'!L:L,"8. Maternity",'QA Log'!Z:Z,"Approved"),"")</f>
        <v/>
      </c>
      <c r="X486" s="105" t="str">
        <f>IF(A486&lt;&gt;"",COUNTIFS('QA Log'!D:D,A486,'QA Log'!M:M,"QQC",'QA Log'!L:L,"9. EPI and Pre-school Consultation",'QA Log'!Z:Z,"Approved"),"")</f>
        <v/>
      </c>
      <c r="Y486" s="102" t="str">
        <f>IF(A486&lt;&gt;"",COUNTIFS('QA Log'!D:D,A486,'QA Log'!M:M,"QQC",'QA Log'!L:L,"10. Antenatal Care (ANC)",'QA Log'!Z:Z,"Approved"),"")</f>
        <v/>
      </c>
      <c r="Z486" s="102" t="str">
        <f>IF(A486&lt;&gt;"",COUNTIFS('QA Log'!D:D,A486,'QA Log'!M:M,"QQC",'QA Log'!L:L,"2. Hygiene and Sterilization",'QA Log'!Z:Z,"Approved"),"")</f>
        <v/>
      </c>
      <c r="AA486" s="105" t="str">
        <f>IF(A486&lt;&gt;"",COUNTIFS('QA Log'!D:D,A486,'QA Log'!M:M,"QQC",'QA Log'!L:L,"4. Family Planning",'QA Log'!Z:Z,"Approved"),"")</f>
        <v/>
      </c>
      <c r="AB486" s="102" t="str">
        <f>IF(A486="","",
SUM(
COUNTIFS('QA Log'!D:D,A486,'QA Log'!M:M,"QQC",'QA Log'!Z:Z,"Rejected",'QA Log'!L:L,"*8. Maternity*"),
COUNTIFS('QA Log'!D:D,A486,'QA Log'!M:M,"QQC",'QA Log'!Z:Z,"Rejected",'QA Log'!L:L,"*9. EPI and Pre-school Consultation*"),
COUNTIFS('QA Log'!D:D,A486,'QA Log'!M:M,"QQC",'QA Log'!Z:Z,"Rejected",'QA Log'!L:L,"*10. Antenatal Care (ANC)*"),
COUNTIFS('QA Log'!D:D,A486,'QA Log'!M:M,"QQC",'QA Log'!Z:Z,"Rejected",'QA Log'!L:L,"*2. Hygiene and Sterilization*"),
COUNTIFS('QA Log'!D:D,A486,'QA Log'!M:M,"QQC",'QA Log'!Z:Z,"Rejected",'QA Log'!L:L,"*4. Family Planning*")
))</f>
        <v/>
      </c>
      <c r="AC486" s="102" t="str">
        <f t="shared" si="29"/>
        <v/>
      </c>
      <c r="AD486" s="103" t="str">
        <f t="shared" si="30"/>
        <v/>
      </c>
      <c r="AE486" s="102" t="str">
        <f>IF(A486="","",
SUM(
COUNTIFS('QA Log'!D:D,A486,'QA Log'!M:M,"Data Verification",'QA Log'!L:L,"*Medicine (section 2)*"),
COUNTIFS('QA Log'!D:D,A486,'QA Log'!M:M,"Data Verification",'QA Log'!L:L,"*Lab Testing Availability*"),
COUNTIFS('QA Log'!D:D,A486,'QA Log'!M:M,"Data Verification",'QA Log'!L:L,"*Other than P4P (section 6)*"),
COUNTIFS('QA Log'!D:D,A486,'QA Log'!M:M,"Data Verification",'QA Log'!L:L,"*Hospital Governance*")
))</f>
        <v/>
      </c>
      <c r="AF486" s="102" t="str">
        <f>IF(A486="","",
SUM(
COUNTIFS('QA Log'!D:D,A486,'QA Log'!M:M,"Data Verification",'QA Log'!Z:Z,"Approved",'QA Log'!L:L,"*Medicine (section 2)*"),
COUNTIFS('QA Log'!D:D,A486,'QA Log'!M:M,"Data Verification",'QA Log'!Z:Z,"Approved",'QA Log'!L:L,"*Lab Testing Availability*"),
COUNTIFS('QA Log'!D:D,A486,'QA Log'!M:M,"Data Verification",'QA Log'!Z:Z,"Approved",'QA Log'!L:L,"*Other than P4P (section 6)*"),
COUNTIFS('QA Log'!D:D,A486,'QA Log'!M:M,"Data Verification",'QA Log'!Z:Z,"Approved",'QA Log'!L:L,"*Hospital Governance*")
))</f>
        <v/>
      </c>
      <c r="AG486" s="105" t="str">
        <f>IF(A486&lt;&gt;"",COUNTIFS('QA Log'!D:D,A486,'QA Log'!M:M,"Data Verification",'QA Log'!L:L,"Medicine (section 2)",'QA Log'!Z:Z,"Approved"),"")</f>
        <v/>
      </c>
      <c r="AH486" s="105" t="str">
        <f>IF(A486&lt;&gt;"",COUNTIFS('QA Log'!D:D,A486,'QA Log'!M:M,"Data Verification",'QA Log'!L:L,"Lab Testing Availability",'QA Log'!Z:Z,"Approved"),"")</f>
        <v/>
      </c>
      <c r="AI486" s="105" t="str">
        <f>IF(A486&lt;&gt;"",COUNTIFS('QA Log'!D:D,A486,'QA Log'!M:M,"Data Verification",'QA Log'!L:L,"Other than P4P (section 6)",'QA Log'!Z:Z,"Approved"),"")</f>
        <v/>
      </c>
      <c r="AJ486" s="105" t="str">
        <f>IF(A486&lt;&gt;"",COUNTIFS('QA Log'!D:D,A486,'QA Log'!M:M,"Data Verification",'QA Log'!L:L,"Hospital Governance",'QA Log'!Z:Z,"Approved"),"")</f>
        <v/>
      </c>
      <c r="AK486" s="102" t="str">
        <f>IF(A486="","",
SUM(
COUNTIFS('QA Log'!D:D,A486,'QA Log'!M:M,"Data Verification",'QA Log'!Z:Z,"Rejected",'QA Log'!L:L,"*Medicine (section 2)*"),
COUNTIFS('QA Log'!D:D,A486,'QA Log'!M:M,"Data Verification",'QA Log'!Z:Z,"Rejected",'QA Log'!L:L,"*Lab Testing Availability*"),
COUNTIFS('QA Log'!D:D,A486,'QA Log'!M:M,"Data Verification",'QA Log'!Z:Z,"Rejected",'QA Log'!L:L,"*Other than P4P (section 6)*"),
COUNTIFS('QA Log'!D:D,A486,'QA Log'!M:M,"Data Verification",'QA Log'!Z:Z,"Rejected",'QA Log'!L:L,"*Hospital Governance*")
))</f>
        <v/>
      </c>
      <c r="AL486" s="106" t="str">
        <f t="shared" si="31"/>
        <v/>
      </c>
      <c r="AM486" s="102" t="str">
        <f t="shared" si="32"/>
        <v/>
      </c>
      <c r="AN486" s="102" t="str">
        <f>IF(A486="","",
SUM(
COUNTIFS('QA Log'!D:D,A486,'QA Log'!M:M,"Data Verification",'QA Log'!L:L,"*Personnel (section 1)*"),
COUNTIFS('QA Log'!D:D,A486,'QA Log'!M:M,"Data Verification",'QA Log'!L:L,"*Consumable (section 3)*"),
COUNTIFS('QA Log'!D:D,A486,'QA Log'!M:M,"Data Verification",'QA Log'!L:L,"*Equipments (section 4)*")
))</f>
        <v/>
      </c>
      <c r="AO486" s="102" t="str">
        <f>IF(A486="","",
SUM(
COUNTIFS('QA Log'!D:D,A486,'QA Log'!M:M,"Data Verification",'QA Log'!Z:Z,"Approved",'QA Log'!L:L,"*Personnel (section 1)*"),
COUNTIFS('QA Log'!D:D,A486,'QA Log'!M:M,"Data Verification",'QA Log'!Z:Z,"Approved",'QA Log'!L:L,"*Consumable (section 3)*"),
COUNTIFS('QA Log'!D:D,A486,'QA Log'!M:M,"Data Verification",'QA Log'!Z:Z,"Approved",'QA Log'!L:L,"*Equipments (section 4)*")
))</f>
        <v/>
      </c>
      <c r="AP486" s="105" t="str">
        <f>IF(A486&lt;&gt;"",COUNTIFS('QA Log'!D:D,A486,'QA Log'!M:M,"Data Verification",'QA Log'!L:L,"Personnel (section 1)",'QA Log'!Z:Z,"Approved"),"")</f>
        <v/>
      </c>
      <c r="AQ486" s="105" t="str">
        <f>IF(A486&lt;&gt;"",COUNTIFS('QA Log'!D:D,A486,'QA Log'!M:M,"Data Verification",'QA Log'!L:L,"Consumable (section 3)",'QA Log'!Z:Z,"Approved"),"")</f>
        <v/>
      </c>
      <c r="AR486" s="105" t="str">
        <f>IF(A486&lt;&gt;"",COUNTIFS('QA Log'!D:D,A486,'QA Log'!M:M,"Data Verification",'QA Log'!L:L,"Equipments (section 4)",'QA Log'!Z:Z,"Approved"),"")</f>
        <v/>
      </c>
      <c r="AS486" s="102" t="str">
        <f>IF(A486="","",
SUM(
COUNTIFS('QA Log'!D:D,A486,'QA Log'!M:M,"Data Verification",'QA Log'!Z:Z,"Rejected",'QA Log'!L:L,"*Personnel (section 1)*"),
COUNTIFS('QA Log'!D:D,A486,'QA Log'!M:M,"Data Verification",'QA Log'!Z:Z,"Rejected",'QA Log'!L:L,"*Consumable (section 3)*"),
COUNTIFS('QA Log'!D:D,A486,'QA Log'!M:M,"Data Verification",'QA Log'!Z:Z,"Rejected",'QA Log'!L:L,"*Equipments (section 4)*")
))</f>
        <v/>
      </c>
      <c r="AT486" s="102" t="str">
        <f t="shared" si="33"/>
        <v/>
      </c>
      <c r="AU486" s="103" t="str">
        <f t="shared" si="34"/>
        <v/>
      </c>
      <c r="AV486" s="102" t="str">
        <f>IF(A486="","",SUM(
COUNTIFS('QA Log'!D:D,A486,'QA Log'!M:M,"Vignette",'QA Log'!L:L,"*Vignette [1] Respiratory Infection: Pneumonia*"),
COUNTIFS('QA Log'!D:D,A486,'QA Log'!M:M,"Vignette",'QA Log'!L:L,"*Vignette [2]: Diarrhea with Cat B dehydration*"),
COUNTIFS('QA Log'!D:D,A486,'QA Log'!M:M,"Vignette",'QA Log'!L:L,"*Vignette [3] Growth Monitoring and Promotion*"),
COUNTIFS('QA Log'!D:D,A486,'QA Log'!M:M,"Vignette",'QA Log'!L:L,"*Vignette [4]: The management of presumptive TB patient*")
)
)</f>
        <v/>
      </c>
      <c r="AW486" s="102" t="str">
        <f>IF(
  A486="","",
  SUM(
    COUNTIFS('QA Log'!D:D,A486,'QA Log'!M:M,"Vignette",'QA Log'!Z:Z,"Approved",'QA Log'!L:L,"*Vignette [1] Respiratory Infection: Pneumonia*"),
    COUNTIFS('QA Log'!D:D,A486,'QA Log'!M:M,"Vignette",'QA Log'!Z:Z,"Approved",'QA Log'!L:L,"*Vignette [2]: Diarrhea with Cat B dehydration*"),
    COUNTIFS('QA Log'!D:D,A486,'QA Log'!M:M,"Vignette",'QA Log'!Z:Z,"Approved",'QA Log'!L:L,"*Vignette [3] Growth Monitoring and Promotion*"),
    COUNTIFS('QA Log'!D:D,A486,'QA Log'!M:M,"Vignette",'QA Log'!Z:Z,"Approved",'QA Log'!L:L,"*Vignette [4]: The management of presumptive TB patient*")
  )
)</f>
        <v/>
      </c>
      <c r="AX486" s="105" t="str">
        <f>IF(A486&lt;&gt;"",COUNTIFS('QA Log'!D:D,A486,'QA Log'!M:M,"Vignette",'QA Log'!L:L,"Vignette [1] Respiratory Infection: Pneumonia",'QA Log'!Z:Z,"Approved"),"")</f>
        <v/>
      </c>
      <c r="AY486" s="105" t="str">
        <f>IF(A486&lt;&gt;"",COUNTIFS('QA Log'!D:D,A486,'QA Log'!M:M,"Vignette",'QA Log'!L:L,"Vignette [2]: Diarrhea with Cat B dehydration",'QA Log'!Z:Z,"Approved"),"")</f>
        <v/>
      </c>
      <c r="AZ486" s="105" t="str">
        <f>IF(A486&lt;&gt;"",COUNTIFS('QA Log'!D:D,A486,'QA Log'!M:M,"Vignette",'QA Log'!L:L,"Vignette [3] Growth Monitoring and Promotion",'QA Log'!Z:Z,"Approved"),"")</f>
        <v/>
      </c>
      <c r="BA486" s="105" t="str">
        <f>IF(A486&lt;&gt;"",COUNTIFS('QA Log'!D:D,A486,'QA Log'!M:M,"Vignette",'QA Log'!L:L,"Vignette [4]: The management of presumptive TB patient",'QA Log'!Z:Z,"Approved"),"")</f>
        <v/>
      </c>
      <c r="BB486" s="102" t="str">
        <f>IF(A486="","",
  SUM(
    COUNTIFS('QA Log'!D:D,A486,'QA Log'!M:M,"Vignette",'QA Log'!Z:Z,"Rejected",'QA Log'!L:L,"*Vignette [1] Respiratory Infection: Pneumonia*"),
    COUNTIFS('QA Log'!D:D,A486,'QA Log'!M:M,"Vignette",'QA Log'!Z:Z,"Rejected",'QA Log'!L:L,"*Vignette [2]: Diarrhea with Cat B dehydration*"),
    COUNTIFS('QA Log'!D:D,A486,'QA Log'!M:M,"Vignette",'QA Log'!Z:Z,"Rejected",'QA Log'!L:L,"*Vignette [3] Growth Monitoring and Promotion*"),
    COUNTIFS('QA Log'!D:D,A486,'QA Log'!M:M,"Vignette",'QA Log'!Z:Z,"Rejected",'QA Log'!L:L,"*Vignette [4]: The management of presumptive TB patient*")
  )
)</f>
        <v/>
      </c>
      <c r="BC486" s="107" t="str">
        <f t="shared" si="35"/>
        <v/>
      </c>
      <c r="BD486" s="103" t="str">
        <f t="shared" si="36"/>
        <v/>
      </c>
      <c r="BE486" s="102" t="str">
        <f>IF(A486="","",SUM(
COUNTIFS('QA Log'!D:D,A486,'QA Log'!M:M,"Vignette",'QA Log'!L:L,"*Vignette [5] Labor*"),
COUNTIFS('QA Log'!D:D,A486,'QA Log'!M:M,"Vignette",'QA Log'!L:L,"*Vignette [6] PNC pre Discharge*"),
COUNTIFS('QA Log'!D:D,A486,'QA Log'!M:M,"Vignette",'QA Log'!L:L,"*Vignette [7] First ANC Visit*"),
COUNTIFS('QA Log'!D:D,A486,'QA Log'!M:M,"Vignette",'QA Log'!L:L,"*Vignette [8] Birth Spacing/ Family Planning :  FP Counselling*"),
COUNTIFS('QA Log'!D:D,A486,'QA Log'!M:M,"Vignette",'QA Log'!L:L,"*Vignette [9] Birth Spacing: Change FP method to Injectable*"),
COUNTIFS('QA Log'!D:D,A486,'QA Log'!M:M,"Vignette",'QA Log'!L:L,"*Vignette [10] Post Partum Haemorrhage - Atonic Uterus at Health Centre*"),
)
)</f>
        <v/>
      </c>
      <c r="BF486" s="102" t="str">
        <f>IF(A486="","",
  SUM(
    COUNTIFS('QA Log'!D:D,A486,'QA Log'!M:M,"Vignette",'QA Log'!Z:Z,"Approved",'QA Log'!L:L,"*Vignette [5] Labor*"),
    COUNTIFS('QA Log'!D:D,A486,'QA Log'!M:M,"Vignette",'QA Log'!Z:Z,"Approved",'QA Log'!L:L,"*Vignette [6] PNC pre Discharge*"),
    COUNTIFS('QA Log'!D:D,A486,'QA Log'!M:M,"Vignette",'QA Log'!Z:Z,"Approved",'QA Log'!L:L,"*Vignette [7] First ANC Visit*"),
    COUNTIFS('QA Log'!D:D,A486,'QA Log'!M:M,"Vignette",'QA Log'!Z:Z,"Approved",'QA Log'!L:L,"*Vignette [8] Birth Spacing/ Family Planning :  FP Counselling*"),
    COUNTIFS('QA Log'!D:D,A486,'QA Log'!M:M,"Vignette",'QA Log'!Z:Z,"Approved",'QA Log'!L:L,"*Vignette [9] Birth Spacing: Change FP method to Injectable*"),
    COUNTIFS('QA Log'!D:D,A486,'QA Log'!M:M,"Vignette",'QA Log'!Z:Z,"Approved",'QA Log'!L:L,"*Vignette [10] Post Partum Haemorrhage - Atonic Uterus at Health Centre*")
  )
)</f>
        <v/>
      </c>
      <c r="BG486" s="105" t="str">
        <f>IF(A486&lt;&gt;"",COUNTIFS('QA Log'!D:D,A486,'QA Log'!M:M,"Vignette",'QA Log'!L:L,"Vignette [5] Labor",'QA Log'!Z:Z,"Approved"),"")</f>
        <v/>
      </c>
      <c r="BH486" s="105" t="str">
        <f>IF(A486&lt;&gt;"",COUNTIFS('QA Log'!D:D,A486,'QA Log'!M:M,"Vignette",'QA Log'!L:L,"Vignette [6] PNC pre Discharge",'QA Log'!Z:Z,"Approved"),"")</f>
        <v/>
      </c>
      <c r="BI486" s="105" t="str">
        <f>IF(A486&lt;&gt;"",COUNTIFS('QA Log'!D:D,A486,'QA Log'!M:M,"Vignette",'QA Log'!L:L,"Vignette [7] First ANC Visit",'QA Log'!Z:Z,"Approved"),"")</f>
        <v/>
      </c>
      <c r="BJ486" s="105" t="str">
        <f>IF(A486&lt;&gt;"",COUNTIFS('QA Log'!D:D,A486,'QA Log'!M:M,"Vignette",'QA Log'!L:L,"Vignette [8] Birth Spacing/ Family Planning :  FP Counselling",'QA Log'!Z:Z,"Approved"),"")</f>
        <v/>
      </c>
      <c r="BK486" s="105" t="str">
        <f>IF(A486&lt;&gt;"",COUNTIFS('QA Log'!D:D,A486,'QA Log'!M:M,"Vignette",'QA Log'!L:L,"Vignette [9] Birth Spacing: Change FP method to Injectable",'QA Log'!Z:Z,"Approved"),"")</f>
        <v/>
      </c>
      <c r="BL486" s="105" t="str">
        <f>IF(A486&lt;&gt;"",COUNTIFS('QA Log'!D:D,A486,'QA Log'!M:M,"Vignette",'QA Log'!L:L,"Vignette [10] Post Partum Haemorrhage - Atonic Uterus at Health Centre",'QA Log'!Z:Z,"Approved"),"")</f>
        <v/>
      </c>
      <c r="BM486" s="102" t="str">
        <f>IF(A486="","",SUM(
    COUNTIFS('QA Log'!D:D,A486,'QA Log'!M:M,"Vignette",'QA Log'!Z:Z,"Rejected",'QA Log'!L:L,"*Vignette [5] Labor*"),
    COUNTIFS('QA Log'!D:D,A486,'QA Log'!M:M,"Vignette",'QA Log'!Z:Z,"Rejected",'QA Log'!L:L,"*Vignette [6] PNC pre Discharge*"),
    COUNTIFS('QA Log'!D:D,A486,'QA Log'!M:M,"Vignette",'QA Log'!Z:Z,"Rejected",'QA Log'!L:L,"*Vignette [7] First ANC Visit*"),
    COUNTIFS('QA Log'!D:D,A486,'QA Log'!M:M,"Vignette",'QA Log'!Z:Z,"Rejected",'QA Log'!L:L,"*Vignette [8] Birth Spacing/ Family Planning :  FP Counselling*"),
    COUNTIFS('QA Log'!D:D,A486,'QA Log'!M:M,"Vignette",'QA Log'!Z:Z,"Rejected",'QA Log'!L:L,"*Vignette [9] Birth Spacing: Change FP method to Injectable*"),
    COUNTIFS('QA Log'!D:D,A486,'QA Log'!M:M,"Vignette",'QA Log'!Z:Z,"Rejected",'QA Log'!L:L,"*Vignette [10] Post Partum Haemorrhage - Atonic Uterus at Health Centre*")
  )
)</f>
        <v/>
      </c>
      <c r="BN486" s="107" t="str">
        <f t="shared" si="37"/>
        <v/>
      </c>
      <c r="BO486" s="103" t="str">
        <f t="shared" si="38"/>
        <v/>
      </c>
      <c r="BP486" s="102" t="str">
        <f>IF(A486="","",SUM(
COUNTIFS('QA Log'!D:D,A486,'QA Log'!M:M,"Vignette",'QA Log'!L:L,"*Exit Interview 1*"),
COUNTIFS('QA Log'!D:D,A486,'QA Log'!M:M,"Vignette",'QA Log'!L:L,"*Exit Interview 2*"),
)
)</f>
        <v/>
      </c>
      <c r="BQ486" s="102" t="str">
        <f>IF(
  A486="","",
  SUM(
    COUNTIFS('QA Log'!D:D,A486,'QA Log'!M:M,"Vignette",'QA Log'!Z:Z,"Approved",'QA Log'!L:L,"*Exit Interview 1*"),
    COUNTIFS('QA Log'!D:D,A486,'QA Log'!M:M,"Vignette",'QA Log'!Z:Z,"Approved",'QA Log'!L:L,"*Exit Interview 2*")
  )
)</f>
        <v/>
      </c>
      <c r="BR486" s="105" t="str">
        <f>IF(A486&lt;&gt;"",COUNTIFS('QA Log'!D:D,A486,'QA Log'!M:M,"Vignette",'QA Log'!L:L,"Exit Interview 1",'QA Log'!Z:Z,"Approved"),"")</f>
        <v/>
      </c>
      <c r="BS486" s="105" t="str">
        <f>IF(A486&lt;&gt;"",COUNTIFS('QA Log'!D:D,A486,'QA Log'!M:M,"Vignette",'QA Log'!L:L,"Exit Interview 2",'QA Log'!Z:Z,"Approved"),"")</f>
        <v/>
      </c>
      <c r="BT486" s="102" t="str">
        <f>IF(
  A486="","",
  SUM(
    COUNTIFS('QA Log'!D:D,A486,'QA Log'!M:M,"Vignette",'QA Log'!Z:Z,"Rejected",'QA Log'!L:L,"*Exit Interview 1*"),
    COUNTIFS('QA Log'!D:D,A486,'QA Log'!M:M,"Vignette",'QA Log'!Z:Z,"Rejected",'QA Log'!L:L,"*Exit Interview 2*")
  )
)</f>
        <v/>
      </c>
      <c r="BU486" s="107" t="str">
        <f t="shared" si="39"/>
        <v/>
      </c>
      <c r="BV486" s="102" t="str">
        <f t="shared" si="40"/>
        <v/>
      </c>
      <c r="BW486" s="102" t="str">
        <f t="shared" si="41"/>
        <v/>
      </c>
      <c r="BX486" s="102" t="str">
        <f t="shared" si="42"/>
        <v/>
      </c>
      <c r="BY486" s="102" t="str">
        <f t="shared" si="43"/>
        <v/>
      </c>
      <c r="BZ486" s="107" t="str">
        <f t="shared" si="44"/>
        <v/>
      </c>
      <c r="CA486" s="108" t="str">
        <f t="shared" si="45"/>
        <v/>
      </c>
      <c r="CB486" s="108" t="str">
        <f t="shared" si="46"/>
        <v/>
      </c>
      <c r="CC486" s="109" t="str">
        <f t="shared" si="47"/>
        <v/>
      </c>
      <c r="CD486" s="108" t="str">
        <f t="shared" si="48"/>
        <v/>
      </c>
      <c r="CE486" s="108" t="str">
        <f t="shared" si="49"/>
        <v/>
      </c>
      <c r="CF486" s="109" t="str">
        <f t="shared" si="50"/>
        <v/>
      </c>
      <c r="CG486" s="110" t="str">
        <f t="shared" si="51"/>
        <v/>
      </c>
      <c r="CH486" s="111"/>
    </row>
    <row r="487" spans="1:86" ht="12.75">
      <c r="A487" s="101"/>
      <c r="B487" s="102" t="e">
        <f t="array" aca="1" ref="B487" ca="1">_xludf.XLOOKUP(A487,'QA Log'!D:D,'QA Log'!E:E,"")</f>
        <v>#NAME?</v>
      </c>
      <c r="C487" s="102" t="e">
        <f t="array" aca="1" ref="C487" ca="1">_xludf.XLOOKUP(A487,'QA Log'!D:D,'QA Log'!F:F,"")</f>
        <v>#NAME?</v>
      </c>
      <c r="D487" s="102" t="e">
        <f t="array" aca="1" ref="D487" ca="1">_xludf.XLOOKUP(A487,'QA Log'!D:D,'QA Log'!H:H,"")</f>
        <v>#NAME?</v>
      </c>
      <c r="E487" s="102" t="e">
        <f t="array" aca="1" ref="E487" ca="1">_xludf.XLOOKUP(A487,'QA Log'!D:D,'QA Log'!G:G,"")</f>
        <v>#NAME?</v>
      </c>
      <c r="F487" s="103"/>
      <c r="G487" s="104"/>
      <c r="H487" s="104"/>
      <c r="I487" s="103" t="str">
        <f t="shared" si="26"/>
        <v/>
      </c>
      <c r="J487" s="102" t="str">
        <f>IF(A487="","",SUM(
COUNTIFS('QA Log'!D:D,A487,'QA Log'!M:M,"QQC",'QA Log'!L:L,"*1. General Management*"),
COUNTIFS('QA Log'!D:D,A487,'QA Log'!M:M,"QQC",'QA Log'!L:L,"*3. Curative Consultation (OPD)*"),
COUNTIFS('QA Log'!D:D,A487,'QA Log'!M:M,"QQC",'QA Log'!L:L,"*5. Laboratory*"),
COUNTIFS('QA Log'!D:D,A487,'QA Log'!M:M,"QQC",'QA Log'!L:L,"*6. Essential Medicine Management*"),
COUNTIFS('QA Log'!D:D,A487,'QA Log'!M:M,"QQC",'QA Log'!L:L,"*7. Tracer Medicine*"),
COUNTIFS('QA Log'!D:D,A487,'QA Log'!M:M,"QQC",'QA Log'!L:L,"*11. Additional Questions*")))</f>
        <v/>
      </c>
      <c r="K487" s="102" t="str">
        <f>IF(A487="","",SUM(
COUNTIFS('QA Log'!D:D,A487,'QA Log'!M:M,"QQC",'QA Log'!Z:Z,"Approved",'QA Log'!L:L,"*1. General Management*"),
COUNTIFS('QA Log'!D:D,A487,'QA Log'!M:M,"QQC",'QA Log'!Z:Z,"Approved",'QA Log'!L:L,"*3. Curative Consultation (OPD)*"),
COUNTIFS('QA Log'!D:D,A487,'QA Log'!M:M,"QQC",'QA Log'!Z:Z,"Approved",'QA Log'!L:L,"*5. Laboratory*"),
COUNTIFS('QA Log'!D:D,A487,'QA Log'!M:M,"QQC",'QA Log'!Z:Z,"Approved",'QA Log'!L:L,"*6. Essential Medicine Management*"),
COUNTIFS('QA Log'!D:D,A487,'QA Log'!M:M,"QQC",'QA Log'!Z:Z,"Approved",'QA Log'!L:L,"*7. Tracer Medicine*"),
COUNTIFS('QA Log'!D:D,A487,'QA Log'!M:M,"QQC",'QA Log'!Z:Z,"Approved",'QA Log'!L:L,"*11. Additional Questions*")))</f>
        <v/>
      </c>
      <c r="L487" s="102" t="str">
        <f>IF(A487&lt;&gt;"",COUNTIFS('QA Log'!D:D,A487,'QA Log'!M:M,"QQC",'QA Log'!L:L,"1. General Management",'QA Log'!Z:Z,"Approved"),"")</f>
        <v/>
      </c>
      <c r="M487" s="102" t="str">
        <f>IF(A487&lt;&gt;"",COUNTIFS('QA Log'!D:D,A487,'QA Log'!M:M,"QQC",'QA Log'!L:L,"3. Curative Consultation (OPD)",'QA Log'!Z:Z,"Approved"),"")</f>
        <v/>
      </c>
      <c r="N487" s="102" t="str">
        <f>IF(A487&lt;&gt;"",COUNTIFS('QA Log'!D:D,A487,'QA Log'!M:M,"QQC",'QA Log'!L:L,"5. Laboratory",'QA Log'!Z:Z,"Approved"),"")</f>
        <v/>
      </c>
      <c r="O487" s="102" t="str">
        <f>IF(A487&lt;&gt;"",COUNTIFS('QA Log'!D:D,A487,'QA Log'!M:M,"QQC",'QA Log'!L:L,"6. Essential Medicine Management",'QA Log'!Z:Z,"Approved"),"")</f>
        <v/>
      </c>
      <c r="P487" s="102" t="str">
        <f>IF(A487&lt;&gt;"",COUNTIFS('QA Log'!D:D,A487,'QA Log'!M:M,"QQC",'QA Log'!L:L,"7. Tracer Medicine",'QA Log'!Z:Z,"Approved"),"")</f>
        <v/>
      </c>
      <c r="Q487" s="102" t="str">
        <f>IF(A487&lt;&gt;"",COUNTIFS('QA Log'!D:D,A487,'QA Log'!M:M,"QQC",'QA Log'!L:L,"11. Additional Questions",'QA Log'!Z:Z,"Approved"),"")</f>
        <v/>
      </c>
      <c r="R487" s="102" t="str">
        <f>IF(A487="","",SUM(
COUNTIFS('QA Log'!D:D,A487,'QA Log'!M:M,"QQC",'QA Log'!Z:Z,"Rejected",'QA Log'!L:L,"*8. Maternity*"),
COUNTIFS('QA Log'!D:D,A487,'QA Log'!M:M,"QQC",'QA Log'!Z:Z,"Rejected",'QA Log'!L:L,"*EPI*"),
COUNTIFS('QA Log'!D:D,A487,'QA Log'!M:M,"QQC",'QA Log'!Z:Z,"Rejected",'QA Log'!L:L,"*10. Antenatal Care (ANC)*"),
COUNTIFS('QA Log'!D:D,A487,'QA Log'!M:M,"QQC",'QA Log'!Z:Z,"Rejected",'QA Log'!L:L,"*2. Hygiene and Sterilization*"),
COUNTIFS('QA Log'!D:D,A487,'QA Log'!M:M,"QQC",'QA Log'!Z:Z,"Rejected",'QA Log'!L:L,"*Family Planning*")))</f>
        <v/>
      </c>
      <c r="S487" s="106" t="str">
        <f t="shared" si="27"/>
        <v/>
      </c>
      <c r="T487" s="102" t="str">
        <f t="shared" si="28"/>
        <v/>
      </c>
      <c r="U487" s="102" t="str">
        <f>IF(A487="","",
SUM(
COUNTIFS('QA Log'!D:D,A487,'QA Log'!M:M,"QQC",'QA Log'!L:L,"*8. Maternity*"),
COUNTIFS('QA Log'!D:D,A487,'QA Log'!M:M,"QQC",'QA Log'!L:L,"*9. EPI and Pre-school Consultation*"),
COUNTIFS('QA Log'!D:D,A487,'QA Log'!M:M,"QQC",'QA Log'!L:L,"*10. Antenatal Care (ANC)*"),
COUNTIFS('QA Log'!D:D,A487,'QA Log'!M:M,"QQC",'QA Log'!L:L,"*2. Hygiene and Sterilization*"),
COUNTIFS('QA Log'!D:D,A487,'QA Log'!M:M,"QQC",'QA Log'!L:L,"*4. Family Planning*")
))</f>
        <v/>
      </c>
      <c r="V487" s="102" t="str">
        <f>IF(A487="","",
SUM(
COUNTIFS('QA Log'!D:D,A487,'QA Log'!M:M,"QQC",'QA Log'!Z:Z,"Approved",'QA Log'!L:L,"*8. Maternity*"),
COUNTIFS('QA Log'!D:D,A487,'QA Log'!M:M,"QQC",'QA Log'!Z:Z,"Approved",'QA Log'!L:L,"*9. EPI and Pre-school Consultation*"),
COUNTIFS('QA Log'!D:D,A487,'QA Log'!M:M,"QQC",'QA Log'!Z:Z,"Approved",'QA Log'!L:L,"*10. Antenatal Care (ANC)*"),
COUNTIFS('QA Log'!D:D,A487,'QA Log'!M:M,"QQC",'QA Log'!Z:Z,"Approved",'QA Log'!L:L,"*2. Hygiene and Sterilization*"),
COUNTIFS('QA Log'!D:D,A487,'QA Log'!M:M,"QQC",'QA Log'!Z:Z,"Approved",'QA Log'!L:L,"*4. Family Planning*")
))</f>
        <v/>
      </c>
      <c r="W487" s="102" t="str">
        <f>IF(A487&lt;&gt;"",COUNTIFS('QA Log'!D:D,A487,'QA Log'!M:M,"QQC",'QA Log'!L:L,"8. Maternity",'QA Log'!Z:Z,"Approved"),"")</f>
        <v/>
      </c>
      <c r="X487" s="105" t="str">
        <f>IF(A487&lt;&gt;"",COUNTIFS('QA Log'!D:D,A487,'QA Log'!M:M,"QQC",'QA Log'!L:L,"9. EPI and Pre-school Consultation",'QA Log'!Z:Z,"Approved"),"")</f>
        <v/>
      </c>
      <c r="Y487" s="102" t="str">
        <f>IF(A487&lt;&gt;"",COUNTIFS('QA Log'!D:D,A487,'QA Log'!M:M,"QQC",'QA Log'!L:L,"10. Antenatal Care (ANC)",'QA Log'!Z:Z,"Approved"),"")</f>
        <v/>
      </c>
      <c r="Z487" s="102" t="str">
        <f>IF(A487&lt;&gt;"",COUNTIFS('QA Log'!D:D,A487,'QA Log'!M:M,"QQC",'QA Log'!L:L,"2. Hygiene and Sterilization",'QA Log'!Z:Z,"Approved"),"")</f>
        <v/>
      </c>
      <c r="AA487" s="105" t="str">
        <f>IF(A487&lt;&gt;"",COUNTIFS('QA Log'!D:D,A487,'QA Log'!M:M,"QQC",'QA Log'!L:L,"4. Family Planning",'QA Log'!Z:Z,"Approved"),"")</f>
        <v/>
      </c>
      <c r="AB487" s="102" t="str">
        <f>IF(A487="","",
SUM(
COUNTIFS('QA Log'!D:D,A487,'QA Log'!M:M,"QQC",'QA Log'!Z:Z,"Rejected",'QA Log'!L:L,"*8. Maternity*"),
COUNTIFS('QA Log'!D:D,A487,'QA Log'!M:M,"QQC",'QA Log'!Z:Z,"Rejected",'QA Log'!L:L,"*9. EPI and Pre-school Consultation*"),
COUNTIFS('QA Log'!D:D,A487,'QA Log'!M:M,"QQC",'QA Log'!Z:Z,"Rejected",'QA Log'!L:L,"*10. Antenatal Care (ANC)*"),
COUNTIFS('QA Log'!D:D,A487,'QA Log'!M:M,"QQC",'QA Log'!Z:Z,"Rejected",'QA Log'!L:L,"*2. Hygiene and Sterilization*"),
COUNTIFS('QA Log'!D:D,A487,'QA Log'!M:M,"QQC",'QA Log'!Z:Z,"Rejected",'QA Log'!L:L,"*4. Family Planning*")
))</f>
        <v/>
      </c>
      <c r="AC487" s="102" t="str">
        <f t="shared" si="29"/>
        <v/>
      </c>
      <c r="AD487" s="103" t="str">
        <f t="shared" si="30"/>
        <v/>
      </c>
      <c r="AE487" s="102" t="str">
        <f>IF(A487="","",
SUM(
COUNTIFS('QA Log'!D:D,A487,'QA Log'!M:M,"Data Verification",'QA Log'!L:L,"*Medicine (section 2)*"),
COUNTIFS('QA Log'!D:D,A487,'QA Log'!M:M,"Data Verification",'QA Log'!L:L,"*Lab Testing Availability*"),
COUNTIFS('QA Log'!D:D,A487,'QA Log'!M:M,"Data Verification",'QA Log'!L:L,"*Other than P4P (section 6)*"),
COUNTIFS('QA Log'!D:D,A487,'QA Log'!M:M,"Data Verification",'QA Log'!L:L,"*Hospital Governance*")
))</f>
        <v/>
      </c>
      <c r="AF487" s="102" t="str">
        <f>IF(A487="","",
SUM(
COUNTIFS('QA Log'!D:D,A487,'QA Log'!M:M,"Data Verification",'QA Log'!Z:Z,"Approved",'QA Log'!L:L,"*Medicine (section 2)*"),
COUNTIFS('QA Log'!D:D,A487,'QA Log'!M:M,"Data Verification",'QA Log'!Z:Z,"Approved",'QA Log'!L:L,"*Lab Testing Availability*"),
COUNTIFS('QA Log'!D:D,A487,'QA Log'!M:M,"Data Verification",'QA Log'!Z:Z,"Approved",'QA Log'!L:L,"*Other than P4P (section 6)*"),
COUNTIFS('QA Log'!D:D,A487,'QA Log'!M:M,"Data Verification",'QA Log'!Z:Z,"Approved",'QA Log'!L:L,"*Hospital Governance*")
))</f>
        <v/>
      </c>
      <c r="AG487" s="105" t="str">
        <f>IF(A487&lt;&gt;"",COUNTIFS('QA Log'!D:D,A487,'QA Log'!M:M,"Data Verification",'QA Log'!L:L,"Medicine (section 2)",'QA Log'!Z:Z,"Approved"),"")</f>
        <v/>
      </c>
      <c r="AH487" s="105" t="str">
        <f>IF(A487&lt;&gt;"",COUNTIFS('QA Log'!D:D,A487,'QA Log'!M:M,"Data Verification",'QA Log'!L:L,"Lab Testing Availability",'QA Log'!Z:Z,"Approved"),"")</f>
        <v/>
      </c>
      <c r="AI487" s="105" t="str">
        <f>IF(A487&lt;&gt;"",COUNTIFS('QA Log'!D:D,A487,'QA Log'!M:M,"Data Verification",'QA Log'!L:L,"Other than P4P (section 6)",'QA Log'!Z:Z,"Approved"),"")</f>
        <v/>
      </c>
      <c r="AJ487" s="105" t="str">
        <f>IF(A487&lt;&gt;"",COUNTIFS('QA Log'!D:D,A487,'QA Log'!M:M,"Data Verification",'QA Log'!L:L,"Hospital Governance",'QA Log'!Z:Z,"Approved"),"")</f>
        <v/>
      </c>
      <c r="AK487" s="102" t="str">
        <f>IF(A487="","",
SUM(
COUNTIFS('QA Log'!D:D,A487,'QA Log'!M:M,"Data Verification",'QA Log'!Z:Z,"Rejected",'QA Log'!L:L,"*Medicine (section 2)*"),
COUNTIFS('QA Log'!D:D,A487,'QA Log'!M:M,"Data Verification",'QA Log'!Z:Z,"Rejected",'QA Log'!L:L,"*Lab Testing Availability*"),
COUNTIFS('QA Log'!D:D,A487,'QA Log'!M:M,"Data Verification",'QA Log'!Z:Z,"Rejected",'QA Log'!L:L,"*Other than P4P (section 6)*"),
COUNTIFS('QA Log'!D:D,A487,'QA Log'!M:M,"Data Verification",'QA Log'!Z:Z,"Rejected",'QA Log'!L:L,"*Hospital Governance*")
))</f>
        <v/>
      </c>
      <c r="AL487" s="106" t="str">
        <f t="shared" si="31"/>
        <v/>
      </c>
      <c r="AM487" s="102" t="str">
        <f t="shared" si="32"/>
        <v/>
      </c>
      <c r="AN487" s="102" t="str">
        <f>IF(A487="","",
SUM(
COUNTIFS('QA Log'!D:D,A487,'QA Log'!M:M,"Data Verification",'QA Log'!L:L,"*Personnel (section 1)*"),
COUNTIFS('QA Log'!D:D,A487,'QA Log'!M:M,"Data Verification",'QA Log'!L:L,"*Consumable (section 3)*"),
COUNTIFS('QA Log'!D:D,A487,'QA Log'!M:M,"Data Verification",'QA Log'!L:L,"*Equipments (section 4)*")
))</f>
        <v/>
      </c>
      <c r="AO487" s="102" t="str">
        <f>IF(A487="","",
SUM(
COUNTIFS('QA Log'!D:D,A487,'QA Log'!M:M,"Data Verification",'QA Log'!Z:Z,"Approved",'QA Log'!L:L,"*Personnel (section 1)*"),
COUNTIFS('QA Log'!D:D,A487,'QA Log'!M:M,"Data Verification",'QA Log'!Z:Z,"Approved",'QA Log'!L:L,"*Consumable (section 3)*"),
COUNTIFS('QA Log'!D:D,A487,'QA Log'!M:M,"Data Verification",'QA Log'!Z:Z,"Approved",'QA Log'!L:L,"*Equipments (section 4)*")
))</f>
        <v/>
      </c>
      <c r="AP487" s="105" t="str">
        <f>IF(A487&lt;&gt;"",COUNTIFS('QA Log'!D:D,A487,'QA Log'!M:M,"Data Verification",'QA Log'!L:L,"Personnel (section 1)",'QA Log'!Z:Z,"Approved"),"")</f>
        <v/>
      </c>
      <c r="AQ487" s="105" t="str">
        <f>IF(A487&lt;&gt;"",COUNTIFS('QA Log'!D:D,A487,'QA Log'!M:M,"Data Verification",'QA Log'!L:L,"Consumable (section 3)",'QA Log'!Z:Z,"Approved"),"")</f>
        <v/>
      </c>
      <c r="AR487" s="105" t="str">
        <f>IF(A487&lt;&gt;"",COUNTIFS('QA Log'!D:D,A487,'QA Log'!M:M,"Data Verification",'QA Log'!L:L,"Equipments (section 4)",'QA Log'!Z:Z,"Approved"),"")</f>
        <v/>
      </c>
      <c r="AS487" s="102" t="str">
        <f>IF(A487="","",
SUM(
COUNTIFS('QA Log'!D:D,A487,'QA Log'!M:M,"Data Verification",'QA Log'!Z:Z,"Rejected",'QA Log'!L:L,"*Personnel (section 1)*"),
COUNTIFS('QA Log'!D:D,A487,'QA Log'!M:M,"Data Verification",'QA Log'!Z:Z,"Rejected",'QA Log'!L:L,"*Consumable (section 3)*"),
COUNTIFS('QA Log'!D:D,A487,'QA Log'!M:M,"Data Verification",'QA Log'!Z:Z,"Rejected",'QA Log'!L:L,"*Equipments (section 4)*")
))</f>
        <v/>
      </c>
      <c r="AT487" s="102" t="str">
        <f t="shared" si="33"/>
        <v/>
      </c>
      <c r="AU487" s="103" t="str">
        <f t="shared" si="34"/>
        <v/>
      </c>
      <c r="AV487" s="102" t="str">
        <f>IF(A487="","",SUM(
COUNTIFS('QA Log'!D:D,A487,'QA Log'!M:M,"Vignette",'QA Log'!L:L,"*Vignette [1] Respiratory Infection: Pneumonia*"),
COUNTIFS('QA Log'!D:D,A487,'QA Log'!M:M,"Vignette",'QA Log'!L:L,"*Vignette [2]: Diarrhea with Cat B dehydration*"),
COUNTIFS('QA Log'!D:D,A487,'QA Log'!M:M,"Vignette",'QA Log'!L:L,"*Vignette [3] Growth Monitoring and Promotion*"),
COUNTIFS('QA Log'!D:D,A487,'QA Log'!M:M,"Vignette",'QA Log'!L:L,"*Vignette [4]: The management of presumptive TB patient*")
)
)</f>
        <v/>
      </c>
      <c r="AW487" s="102" t="str">
        <f>IF(
  A487="","",
  SUM(
    COUNTIFS('QA Log'!D:D,A487,'QA Log'!M:M,"Vignette",'QA Log'!Z:Z,"Approved",'QA Log'!L:L,"*Vignette [1] Respiratory Infection: Pneumonia*"),
    COUNTIFS('QA Log'!D:D,A487,'QA Log'!M:M,"Vignette",'QA Log'!Z:Z,"Approved",'QA Log'!L:L,"*Vignette [2]: Diarrhea with Cat B dehydration*"),
    COUNTIFS('QA Log'!D:D,A487,'QA Log'!M:M,"Vignette",'QA Log'!Z:Z,"Approved",'QA Log'!L:L,"*Vignette [3] Growth Monitoring and Promotion*"),
    COUNTIFS('QA Log'!D:D,A487,'QA Log'!M:M,"Vignette",'QA Log'!Z:Z,"Approved",'QA Log'!L:L,"*Vignette [4]: The management of presumptive TB patient*")
  )
)</f>
        <v/>
      </c>
      <c r="AX487" s="105" t="str">
        <f>IF(A487&lt;&gt;"",COUNTIFS('QA Log'!D:D,A487,'QA Log'!M:M,"Vignette",'QA Log'!L:L,"Vignette [1] Respiratory Infection: Pneumonia",'QA Log'!Z:Z,"Approved"),"")</f>
        <v/>
      </c>
      <c r="AY487" s="105" t="str">
        <f>IF(A487&lt;&gt;"",COUNTIFS('QA Log'!D:D,A487,'QA Log'!M:M,"Vignette",'QA Log'!L:L,"Vignette [2]: Diarrhea with Cat B dehydration",'QA Log'!Z:Z,"Approved"),"")</f>
        <v/>
      </c>
      <c r="AZ487" s="105" t="str">
        <f>IF(A487&lt;&gt;"",COUNTIFS('QA Log'!D:D,A487,'QA Log'!M:M,"Vignette",'QA Log'!L:L,"Vignette [3] Growth Monitoring and Promotion",'QA Log'!Z:Z,"Approved"),"")</f>
        <v/>
      </c>
      <c r="BA487" s="105" t="str">
        <f>IF(A487&lt;&gt;"",COUNTIFS('QA Log'!D:D,A487,'QA Log'!M:M,"Vignette",'QA Log'!L:L,"Vignette [4]: The management of presumptive TB patient",'QA Log'!Z:Z,"Approved"),"")</f>
        <v/>
      </c>
      <c r="BB487" s="102" t="str">
        <f>IF(A487="","",
  SUM(
    COUNTIFS('QA Log'!D:D,A487,'QA Log'!M:M,"Vignette",'QA Log'!Z:Z,"Rejected",'QA Log'!L:L,"*Vignette [1] Respiratory Infection: Pneumonia*"),
    COUNTIFS('QA Log'!D:D,A487,'QA Log'!M:M,"Vignette",'QA Log'!Z:Z,"Rejected",'QA Log'!L:L,"*Vignette [2]: Diarrhea with Cat B dehydration*"),
    COUNTIFS('QA Log'!D:D,A487,'QA Log'!M:M,"Vignette",'QA Log'!Z:Z,"Rejected",'QA Log'!L:L,"*Vignette [3] Growth Monitoring and Promotion*"),
    COUNTIFS('QA Log'!D:D,A487,'QA Log'!M:M,"Vignette",'QA Log'!Z:Z,"Rejected",'QA Log'!L:L,"*Vignette [4]: The management of presumptive TB patient*")
  )
)</f>
        <v/>
      </c>
      <c r="BC487" s="107" t="str">
        <f t="shared" si="35"/>
        <v/>
      </c>
      <c r="BD487" s="103" t="str">
        <f t="shared" si="36"/>
        <v/>
      </c>
      <c r="BE487" s="102" t="str">
        <f>IF(A487="","",SUM(
COUNTIFS('QA Log'!D:D,A487,'QA Log'!M:M,"Vignette",'QA Log'!L:L,"*Vignette [5] Labor*"),
COUNTIFS('QA Log'!D:D,A487,'QA Log'!M:M,"Vignette",'QA Log'!L:L,"*Vignette [6] PNC pre Discharge*"),
COUNTIFS('QA Log'!D:D,A487,'QA Log'!M:M,"Vignette",'QA Log'!L:L,"*Vignette [7] First ANC Visit*"),
COUNTIFS('QA Log'!D:D,A487,'QA Log'!M:M,"Vignette",'QA Log'!L:L,"*Vignette [8] Birth Spacing/ Family Planning :  FP Counselling*"),
COUNTIFS('QA Log'!D:D,A487,'QA Log'!M:M,"Vignette",'QA Log'!L:L,"*Vignette [9] Birth Spacing: Change FP method to Injectable*"),
COUNTIFS('QA Log'!D:D,A487,'QA Log'!M:M,"Vignette",'QA Log'!L:L,"*Vignette [10] Post Partum Haemorrhage - Atonic Uterus at Health Centre*"),
)
)</f>
        <v/>
      </c>
      <c r="BF487" s="102" t="str">
        <f>IF(A487="","",
  SUM(
    COUNTIFS('QA Log'!D:D,A487,'QA Log'!M:M,"Vignette",'QA Log'!Z:Z,"Approved",'QA Log'!L:L,"*Vignette [5] Labor*"),
    COUNTIFS('QA Log'!D:D,A487,'QA Log'!M:M,"Vignette",'QA Log'!Z:Z,"Approved",'QA Log'!L:L,"*Vignette [6] PNC pre Discharge*"),
    COUNTIFS('QA Log'!D:D,A487,'QA Log'!M:M,"Vignette",'QA Log'!Z:Z,"Approved",'QA Log'!L:L,"*Vignette [7] First ANC Visit*"),
    COUNTIFS('QA Log'!D:D,A487,'QA Log'!M:M,"Vignette",'QA Log'!Z:Z,"Approved",'QA Log'!L:L,"*Vignette [8] Birth Spacing/ Family Planning :  FP Counselling*"),
    COUNTIFS('QA Log'!D:D,A487,'QA Log'!M:M,"Vignette",'QA Log'!Z:Z,"Approved",'QA Log'!L:L,"*Vignette [9] Birth Spacing: Change FP method to Injectable*"),
    COUNTIFS('QA Log'!D:D,A487,'QA Log'!M:M,"Vignette",'QA Log'!Z:Z,"Approved",'QA Log'!L:L,"*Vignette [10] Post Partum Haemorrhage - Atonic Uterus at Health Centre*")
  )
)</f>
        <v/>
      </c>
      <c r="BG487" s="105" t="str">
        <f>IF(A487&lt;&gt;"",COUNTIFS('QA Log'!D:D,A487,'QA Log'!M:M,"Vignette",'QA Log'!L:L,"Vignette [5] Labor",'QA Log'!Z:Z,"Approved"),"")</f>
        <v/>
      </c>
      <c r="BH487" s="105" t="str">
        <f>IF(A487&lt;&gt;"",COUNTIFS('QA Log'!D:D,A487,'QA Log'!M:M,"Vignette",'QA Log'!L:L,"Vignette [6] PNC pre Discharge",'QA Log'!Z:Z,"Approved"),"")</f>
        <v/>
      </c>
      <c r="BI487" s="105" t="str">
        <f>IF(A487&lt;&gt;"",COUNTIFS('QA Log'!D:D,A487,'QA Log'!M:M,"Vignette",'QA Log'!L:L,"Vignette [7] First ANC Visit",'QA Log'!Z:Z,"Approved"),"")</f>
        <v/>
      </c>
      <c r="BJ487" s="105" t="str">
        <f>IF(A487&lt;&gt;"",COUNTIFS('QA Log'!D:D,A487,'QA Log'!M:M,"Vignette",'QA Log'!L:L,"Vignette [8] Birth Spacing/ Family Planning :  FP Counselling",'QA Log'!Z:Z,"Approved"),"")</f>
        <v/>
      </c>
      <c r="BK487" s="105" t="str">
        <f>IF(A487&lt;&gt;"",COUNTIFS('QA Log'!D:D,A487,'QA Log'!M:M,"Vignette",'QA Log'!L:L,"Vignette [9] Birth Spacing: Change FP method to Injectable",'QA Log'!Z:Z,"Approved"),"")</f>
        <v/>
      </c>
      <c r="BL487" s="105" t="str">
        <f>IF(A487&lt;&gt;"",COUNTIFS('QA Log'!D:D,A487,'QA Log'!M:M,"Vignette",'QA Log'!L:L,"Vignette [10] Post Partum Haemorrhage - Atonic Uterus at Health Centre",'QA Log'!Z:Z,"Approved"),"")</f>
        <v/>
      </c>
      <c r="BM487" s="102" t="str">
        <f>IF(A487="","",SUM(
    COUNTIFS('QA Log'!D:D,A487,'QA Log'!M:M,"Vignette",'QA Log'!Z:Z,"Rejected",'QA Log'!L:L,"*Vignette [5] Labor*"),
    COUNTIFS('QA Log'!D:D,A487,'QA Log'!M:M,"Vignette",'QA Log'!Z:Z,"Rejected",'QA Log'!L:L,"*Vignette [6] PNC pre Discharge*"),
    COUNTIFS('QA Log'!D:D,A487,'QA Log'!M:M,"Vignette",'QA Log'!Z:Z,"Rejected",'QA Log'!L:L,"*Vignette [7] First ANC Visit*"),
    COUNTIFS('QA Log'!D:D,A487,'QA Log'!M:M,"Vignette",'QA Log'!Z:Z,"Rejected",'QA Log'!L:L,"*Vignette [8] Birth Spacing/ Family Planning :  FP Counselling*"),
    COUNTIFS('QA Log'!D:D,A487,'QA Log'!M:M,"Vignette",'QA Log'!Z:Z,"Rejected",'QA Log'!L:L,"*Vignette [9] Birth Spacing: Change FP method to Injectable*"),
    COUNTIFS('QA Log'!D:D,A487,'QA Log'!M:M,"Vignette",'QA Log'!Z:Z,"Rejected",'QA Log'!L:L,"*Vignette [10] Post Partum Haemorrhage - Atonic Uterus at Health Centre*")
  )
)</f>
        <v/>
      </c>
      <c r="BN487" s="107" t="str">
        <f t="shared" si="37"/>
        <v/>
      </c>
      <c r="BO487" s="103" t="str">
        <f t="shared" si="38"/>
        <v/>
      </c>
      <c r="BP487" s="102" t="str">
        <f>IF(A487="","",SUM(
COUNTIFS('QA Log'!D:D,A487,'QA Log'!M:M,"Vignette",'QA Log'!L:L,"*Exit Interview 1*"),
COUNTIFS('QA Log'!D:D,A487,'QA Log'!M:M,"Vignette",'QA Log'!L:L,"*Exit Interview 2*"),
)
)</f>
        <v/>
      </c>
      <c r="BQ487" s="102" t="str">
        <f>IF(
  A487="","",
  SUM(
    COUNTIFS('QA Log'!D:D,A487,'QA Log'!M:M,"Vignette",'QA Log'!Z:Z,"Approved",'QA Log'!L:L,"*Exit Interview 1*"),
    COUNTIFS('QA Log'!D:D,A487,'QA Log'!M:M,"Vignette",'QA Log'!Z:Z,"Approved",'QA Log'!L:L,"*Exit Interview 2*")
  )
)</f>
        <v/>
      </c>
      <c r="BR487" s="105" t="str">
        <f>IF(A487&lt;&gt;"",COUNTIFS('QA Log'!D:D,A487,'QA Log'!M:M,"Vignette",'QA Log'!L:L,"Exit Interview 1",'QA Log'!Z:Z,"Approved"),"")</f>
        <v/>
      </c>
      <c r="BS487" s="105" t="str">
        <f>IF(A487&lt;&gt;"",COUNTIFS('QA Log'!D:D,A487,'QA Log'!M:M,"Vignette",'QA Log'!L:L,"Exit Interview 2",'QA Log'!Z:Z,"Approved"),"")</f>
        <v/>
      </c>
      <c r="BT487" s="102" t="str">
        <f>IF(
  A487="","",
  SUM(
    COUNTIFS('QA Log'!D:D,A487,'QA Log'!M:M,"Vignette",'QA Log'!Z:Z,"Rejected",'QA Log'!L:L,"*Exit Interview 1*"),
    COUNTIFS('QA Log'!D:D,A487,'QA Log'!M:M,"Vignette",'QA Log'!Z:Z,"Rejected",'QA Log'!L:L,"*Exit Interview 2*")
  )
)</f>
        <v/>
      </c>
      <c r="BU487" s="107" t="str">
        <f t="shared" si="39"/>
        <v/>
      </c>
      <c r="BV487" s="102" t="str">
        <f t="shared" si="40"/>
        <v/>
      </c>
      <c r="BW487" s="102" t="str">
        <f t="shared" si="41"/>
        <v/>
      </c>
      <c r="BX487" s="102" t="str">
        <f t="shared" si="42"/>
        <v/>
      </c>
      <c r="BY487" s="102" t="str">
        <f t="shared" si="43"/>
        <v/>
      </c>
      <c r="BZ487" s="107" t="str">
        <f t="shared" si="44"/>
        <v/>
      </c>
      <c r="CA487" s="108" t="str">
        <f t="shared" si="45"/>
        <v/>
      </c>
      <c r="CB487" s="108" t="str">
        <f t="shared" si="46"/>
        <v/>
      </c>
      <c r="CC487" s="109" t="str">
        <f t="shared" si="47"/>
        <v/>
      </c>
      <c r="CD487" s="108" t="str">
        <f t="shared" si="48"/>
        <v/>
      </c>
      <c r="CE487" s="108" t="str">
        <f t="shared" si="49"/>
        <v/>
      </c>
      <c r="CF487" s="109" t="str">
        <f t="shared" si="50"/>
        <v/>
      </c>
      <c r="CG487" s="110" t="str">
        <f t="shared" si="51"/>
        <v/>
      </c>
      <c r="CH487" s="111"/>
    </row>
    <row r="488" spans="1:86" ht="12.75">
      <c r="A488" s="101"/>
      <c r="B488" s="102" t="e">
        <f t="array" aca="1" ref="B488" ca="1">_xludf.XLOOKUP(A488,'QA Log'!D:D,'QA Log'!E:E,"")</f>
        <v>#NAME?</v>
      </c>
      <c r="C488" s="102" t="e">
        <f t="array" aca="1" ref="C488" ca="1">_xludf.XLOOKUP(A488,'QA Log'!D:D,'QA Log'!F:F,"")</f>
        <v>#NAME?</v>
      </c>
      <c r="D488" s="102" t="e">
        <f t="array" aca="1" ref="D488" ca="1">_xludf.XLOOKUP(A488,'QA Log'!D:D,'QA Log'!H:H,"")</f>
        <v>#NAME?</v>
      </c>
      <c r="E488" s="102" t="e">
        <f t="array" aca="1" ref="E488" ca="1">_xludf.XLOOKUP(A488,'QA Log'!D:D,'QA Log'!G:G,"")</f>
        <v>#NAME?</v>
      </c>
      <c r="F488" s="103"/>
      <c r="G488" s="104"/>
      <c r="H488" s="104"/>
      <c r="I488" s="103" t="str">
        <f t="shared" si="26"/>
        <v/>
      </c>
      <c r="J488" s="102" t="str">
        <f>IF(A488="","",SUM(
COUNTIFS('QA Log'!D:D,A488,'QA Log'!M:M,"QQC",'QA Log'!L:L,"*1. General Management*"),
COUNTIFS('QA Log'!D:D,A488,'QA Log'!M:M,"QQC",'QA Log'!L:L,"*3. Curative Consultation (OPD)*"),
COUNTIFS('QA Log'!D:D,A488,'QA Log'!M:M,"QQC",'QA Log'!L:L,"*5. Laboratory*"),
COUNTIFS('QA Log'!D:D,A488,'QA Log'!M:M,"QQC",'QA Log'!L:L,"*6. Essential Medicine Management*"),
COUNTIFS('QA Log'!D:D,A488,'QA Log'!M:M,"QQC",'QA Log'!L:L,"*7. Tracer Medicine*"),
COUNTIFS('QA Log'!D:D,A488,'QA Log'!M:M,"QQC",'QA Log'!L:L,"*11. Additional Questions*")))</f>
        <v/>
      </c>
      <c r="K488" s="102" t="str">
        <f>IF(A488="","",SUM(
COUNTIFS('QA Log'!D:D,A488,'QA Log'!M:M,"QQC",'QA Log'!Z:Z,"Approved",'QA Log'!L:L,"*1. General Management*"),
COUNTIFS('QA Log'!D:D,A488,'QA Log'!M:M,"QQC",'QA Log'!Z:Z,"Approved",'QA Log'!L:L,"*3. Curative Consultation (OPD)*"),
COUNTIFS('QA Log'!D:D,A488,'QA Log'!M:M,"QQC",'QA Log'!Z:Z,"Approved",'QA Log'!L:L,"*5. Laboratory*"),
COUNTIFS('QA Log'!D:D,A488,'QA Log'!M:M,"QQC",'QA Log'!Z:Z,"Approved",'QA Log'!L:L,"*6. Essential Medicine Management*"),
COUNTIFS('QA Log'!D:D,A488,'QA Log'!M:M,"QQC",'QA Log'!Z:Z,"Approved",'QA Log'!L:L,"*7. Tracer Medicine*"),
COUNTIFS('QA Log'!D:D,A488,'QA Log'!M:M,"QQC",'QA Log'!Z:Z,"Approved",'QA Log'!L:L,"*11. Additional Questions*")))</f>
        <v/>
      </c>
      <c r="L488" s="102" t="str">
        <f>IF(A488&lt;&gt;"",COUNTIFS('QA Log'!D:D,A488,'QA Log'!M:M,"QQC",'QA Log'!L:L,"1. General Management",'QA Log'!Z:Z,"Approved"),"")</f>
        <v/>
      </c>
      <c r="M488" s="102" t="str">
        <f>IF(A488&lt;&gt;"",COUNTIFS('QA Log'!D:D,A488,'QA Log'!M:M,"QQC",'QA Log'!L:L,"3. Curative Consultation (OPD)",'QA Log'!Z:Z,"Approved"),"")</f>
        <v/>
      </c>
      <c r="N488" s="102" t="str">
        <f>IF(A488&lt;&gt;"",COUNTIFS('QA Log'!D:D,A488,'QA Log'!M:M,"QQC",'QA Log'!L:L,"5. Laboratory",'QA Log'!Z:Z,"Approved"),"")</f>
        <v/>
      </c>
      <c r="O488" s="102" t="str">
        <f>IF(A488&lt;&gt;"",COUNTIFS('QA Log'!D:D,A488,'QA Log'!M:M,"QQC",'QA Log'!L:L,"6. Essential Medicine Management",'QA Log'!Z:Z,"Approved"),"")</f>
        <v/>
      </c>
      <c r="P488" s="102" t="str">
        <f>IF(A488&lt;&gt;"",COUNTIFS('QA Log'!D:D,A488,'QA Log'!M:M,"QQC",'QA Log'!L:L,"7. Tracer Medicine",'QA Log'!Z:Z,"Approved"),"")</f>
        <v/>
      </c>
      <c r="Q488" s="102" t="str">
        <f>IF(A488&lt;&gt;"",COUNTIFS('QA Log'!D:D,A488,'QA Log'!M:M,"QQC",'QA Log'!L:L,"11. Additional Questions",'QA Log'!Z:Z,"Approved"),"")</f>
        <v/>
      </c>
      <c r="R488" s="102" t="str">
        <f>IF(A488="","",SUM(
COUNTIFS('QA Log'!D:D,A488,'QA Log'!M:M,"QQC",'QA Log'!Z:Z,"Rejected",'QA Log'!L:L,"*8. Maternity*"),
COUNTIFS('QA Log'!D:D,A488,'QA Log'!M:M,"QQC",'QA Log'!Z:Z,"Rejected",'QA Log'!L:L,"*EPI*"),
COUNTIFS('QA Log'!D:D,A488,'QA Log'!M:M,"QQC",'QA Log'!Z:Z,"Rejected",'QA Log'!L:L,"*10. Antenatal Care (ANC)*"),
COUNTIFS('QA Log'!D:D,A488,'QA Log'!M:M,"QQC",'QA Log'!Z:Z,"Rejected",'QA Log'!L:L,"*2. Hygiene and Sterilization*"),
COUNTIFS('QA Log'!D:D,A488,'QA Log'!M:M,"QQC",'QA Log'!Z:Z,"Rejected",'QA Log'!L:L,"*Family Planning*")))</f>
        <v/>
      </c>
      <c r="S488" s="106" t="str">
        <f t="shared" si="27"/>
        <v/>
      </c>
      <c r="T488" s="102" t="str">
        <f t="shared" si="28"/>
        <v/>
      </c>
      <c r="U488" s="102" t="str">
        <f>IF(A488="","",
SUM(
COUNTIFS('QA Log'!D:D,A488,'QA Log'!M:M,"QQC",'QA Log'!L:L,"*8. Maternity*"),
COUNTIFS('QA Log'!D:D,A488,'QA Log'!M:M,"QQC",'QA Log'!L:L,"*9. EPI and Pre-school Consultation*"),
COUNTIFS('QA Log'!D:D,A488,'QA Log'!M:M,"QQC",'QA Log'!L:L,"*10. Antenatal Care (ANC)*"),
COUNTIFS('QA Log'!D:D,A488,'QA Log'!M:M,"QQC",'QA Log'!L:L,"*2. Hygiene and Sterilization*"),
COUNTIFS('QA Log'!D:D,A488,'QA Log'!M:M,"QQC",'QA Log'!L:L,"*4. Family Planning*")
))</f>
        <v/>
      </c>
      <c r="V488" s="102" t="str">
        <f>IF(A488="","",
SUM(
COUNTIFS('QA Log'!D:D,A488,'QA Log'!M:M,"QQC",'QA Log'!Z:Z,"Approved",'QA Log'!L:L,"*8. Maternity*"),
COUNTIFS('QA Log'!D:D,A488,'QA Log'!M:M,"QQC",'QA Log'!Z:Z,"Approved",'QA Log'!L:L,"*9. EPI and Pre-school Consultation*"),
COUNTIFS('QA Log'!D:D,A488,'QA Log'!M:M,"QQC",'QA Log'!Z:Z,"Approved",'QA Log'!L:L,"*10. Antenatal Care (ANC)*"),
COUNTIFS('QA Log'!D:D,A488,'QA Log'!M:M,"QQC",'QA Log'!Z:Z,"Approved",'QA Log'!L:L,"*2. Hygiene and Sterilization*"),
COUNTIFS('QA Log'!D:D,A488,'QA Log'!M:M,"QQC",'QA Log'!Z:Z,"Approved",'QA Log'!L:L,"*4. Family Planning*")
))</f>
        <v/>
      </c>
      <c r="W488" s="102" t="str">
        <f>IF(A488&lt;&gt;"",COUNTIFS('QA Log'!D:D,A488,'QA Log'!M:M,"QQC",'QA Log'!L:L,"8. Maternity",'QA Log'!Z:Z,"Approved"),"")</f>
        <v/>
      </c>
      <c r="X488" s="105" t="str">
        <f>IF(A488&lt;&gt;"",COUNTIFS('QA Log'!D:D,A488,'QA Log'!M:M,"QQC",'QA Log'!L:L,"9. EPI and Pre-school Consultation",'QA Log'!Z:Z,"Approved"),"")</f>
        <v/>
      </c>
      <c r="Y488" s="102" t="str">
        <f>IF(A488&lt;&gt;"",COUNTIFS('QA Log'!D:D,A488,'QA Log'!M:M,"QQC",'QA Log'!L:L,"10. Antenatal Care (ANC)",'QA Log'!Z:Z,"Approved"),"")</f>
        <v/>
      </c>
      <c r="Z488" s="102" t="str">
        <f>IF(A488&lt;&gt;"",COUNTIFS('QA Log'!D:D,A488,'QA Log'!M:M,"QQC",'QA Log'!L:L,"2. Hygiene and Sterilization",'QA Log'!Z:Z,"Approved"),"")</f>
        <v/>
      </c>
      <c r="AA488" s="105" t="str">
        <f>IF(A488&lt;&gt;"",COUNTIFS('QA Log'!D:D,A488,'QA Log'!M:M,"QQC",'QA Log'!L:L,"4. Family Planning",'QA Log'!Z:Z,"Approved"),"")</f>
        <v/>
      </c>
      <c r="AB488" s="102" t="str">
        <f>IF(A488="","",
SUM(
COUNTIFS('QA Log'!D:D,A488,'QA Log'!M:M,"QQC",'QA Log'!Z:Z,"Rejected",'QA Log'!L:L,"*8. Maternity*"),
COUNTIFS('QA Log'!D:D,A488,'QA Log'!M:M,"QQC",'QA Log'!Z:Z,"Rejected",'QA Log'!L:L,"*9. EPI and Pre-school Consultation*"),
COUNTIFS('QA Log'!D:D,A488,'QA Log'!M:M,"QQC",'QA Log'!Z:Z,"Rejected",'QA Log'!L:L,"*10. Antenatal Care (ANC)*"),
COUNTIFS('QA Log'!D:D,A488,'QA Log'!M:M,"QQC",'QA Log'!Z:Z,"Rejected",'QA Log'!L:L,"*2. Hygiene and Sterilization*"),
COUNTIFS('QA Log'!D:D,A488,'QA Log'!M:M,"QQC",'QA Log'!Z:Z,"Rejected",'QA Log'!L:L,"*4. Family Planning*")
))</f>
        <v/>
      </c>
      <c r="AC488" s="102" t="str">
        <f t="shared" si="29"/>
        <v/>
      </c>
      <c r="AD488" s="103" t="str">
        <f t="shared" si="30"/>
        <v/>
      </c>
      <c r="AE488" s="102" t="str">
        <f>IF(A488="","",
SUM(
COUNTIFS('QA Log'!D:D,A488,'QA Log'!M:M,"Data Verification",'QA Log'!L:L,"*Medicine (section 2)*"),
COUNTIFS('QA Log'!D:D,A488,'QA Log'!M:M,"Data Verification",'QA Log'!L:L,"*Lab Testing Availability*"),
COUNTIFS('QA Log'!D:D,A488,'QA Log'!M:M,"Data Verification",'QA Log'!L:L,"*Other than P4P (section 6)*"),
COUNTIFS('QA Log'!D:D,A488,'QA Log'!M:M,"Data Verification",'QA Log'!L:L,"*Hospital Governance*")
))</f>
        <v/>
      </c>
      <c r="AF488" s="102" t="str">
        <f>IF(A488="","",
SUM(
COUNTIFS('QA Log'!D:D,A488,'QA Log'!M:M,"Data Verification",'QA Log'!Z:Z,"Approved",'QA Log'!L:L,"*Medicine (section 2)*"),
COUNTIFS('QA Log'!D:D,A488,'QA Log'!M:M,"Data Verification",'QA Log'!Z:Z,"Approved",'QA Log'!L:L,"*Lab Testing Availability*"),
COUNTIFS('QA Log'!D:D,A488,'QA Log'!M:M,"Data Verification",'QA Log'!Z:Z,"Approved",'QA Log'!L:L,"*Other than P4P (section 6)*"),
COUNTIFS('QA Log'!D:D,A488,'QA Log'!M:M,"Data Verification",'QA Log'!Z:Z,"Approved",'QA Log'!L:L,"*Hospital Governance*")
))</f>
        <v/>
      </c>
      <c r="AG488" s="105" t="str">
        <f>IF(A488&lt;&gt;"",COUNTIFS('QA Log'!D:D,A488,'QA Log'!M:M,"Data Verification",'QA Log'!L:L,"Medicine (section 2)",'QA Log'!Z:Z,"Approved"),"")</f>
        <v/>
      </c>
      <c r="AH488" s="105" t="str">
        <f>IF(A488&lt;&gt;"",COUNTIFS('QA Log'!D:D,A488,'QA Log'!M:M,"Data Verification",'QA Log'!L:L,"Lab Testing Availability",'QA Log'!Z:Z,"Approved"),"")</f>
        <v/>
      </c>
      <c r="AI488" s="105" t="str">
        <f>IF(A488&lt;&gt;"",COUNTIFS('QA Log'!D:D,A488,'QA Log'!M:M,"Data Verification",'QA Log'!L:L,"Other than P4P (section 6)",'QA Log'!Z:Z,"Approved"),"")</f>
        <v/>
      </c>
      <c r="AJ488" s="105" t="str">
        <f>IF(A488&lt;&gt;"",COUNTIFS('QA Log'!D:D,A488,'QA Log'!M:M,"Data Verification",'QA Log'!L:L,"Hospital Governance",'QA Log'!Z:Z,"Approved"),"")</f>
        <v/>
      </c>
      <c r="AK488" s="102" t="str">
        <f>IF(A488="","",
SUM(
COUNTIFS('QA Log'!D:D,A488,'QA Log'!M:M,"Data Verification",'QA Log'!Z:Z,"Rejected",'QA Log'!L:L,"*Medicine (section 2)*"),
COUNTIFS('QA Log'!D:D,A488,'QA Log'!M:M,"Data Verification",'QA Log'!Z:Z,"Rejected",'QA Log'!L:L,"*Lab Testing Availability*"),
COUNTIFS('QA Log'!D:D,A488,'QA Log'!M:M,"Data Verification",'QA Log'!Z:Z,"Rejected",'QA Log'!L:L,"*Other than P4P (section 6)*"),
COUNTIFS('QA Log'!D:D,A488,'QA Log'!M:M,"Data Verification",'QA Log'!Z:Z,"Rejected",'QA Log'!L:L,"*Hospital Governance*")
))</f>
        <v/>
      </c>
      <c r="AL488" s="106" t="str">
        <f t="shared" si="31"/>
        <v/>
      </c>
      <c r="AM488" s="102" t="str">
        <f t="shared" si="32"/>
        <v/>
      </c>
      <c r="AN488" s="102" t="str">
        <f>IF(A488="","",
SUM(
COUNTIFS('QA Log'!D:D,A488,'QA Log'!M:M,"Data Verification",'QA Log'!L:L,"*Personnel (section 1)*"),
COUNTIFS('QA Log'!D:D,A488,'QA Log'!M:M,"Data Verification",'QA Log'!L:L,"*Consumable (section 3)*"),
COUNTIFS('QA Log'!D:D,A488,'QA Log'!M:M,"Data Verification",'QA Log'!L:L,"*Equipments (section 4)*")
))</f>
        <v/>
      </c>
      <c r="AO488" s="102" t="str">
        <f>IF(A488="","",
SUM(
COUNTIFS('QA Log'!D:D,A488,'QA Log'!M:M,"Data Verification",'QA Log'!Z:Z,"Approved",'QA Log'!L:L,"*Personnel (section 1)*"),
COUNTIFS('QA Log'!D:D,A488,'QA Log'!M:M,"Data Verification",'QA Log'!Z:Z,"Approved",'QA Log'!L:L,"*Consumable (section 3)*"),
COUNTIFS('QA Log'!D:D,A488,'QA Log'!M:M,"Data Verification",'QA Log'!Z:Z,"Approved",'QA Log'!L:L,"*Equipments (section 4)*")
))</f>
        <v/>
      </c>
      <c r="AP488" s="105" t="str">
        <f>IF(A488&lt;&gt;"",COUNTIFS('QA Log'!D:D,A488,'QA Log'!M:M,"Data Verification",'QA Log'!L:L,"Personnel (section 1)",'QA Log'!Z:Z,"Approved"),"")</f>
        <v/>
      </c>
      <c r="AQ488" s="105" t="str">
        <f>IF(A488&lt;&gt;"",COUNTIFS('QA Log'!D:D,A488,'QA Log'!M:M,"Data Verification",'QA Log'!L:L,"Consumable (section 3)",'QA Log'!Z:Z,"Approved"),"")</f>
        <v/>
      </c>
      <c r="AR488" s="105" t="str">
        <f>IF(A488&lt;&gt;"",COUNTIFS('QA Log'!D:D,A488,'QA Log'!M:M,"Data Verification",'QA Log'!L:L,"Equipments (section 4)",'QA Log'!Z:Z,"Approved"),"")</f>
        <v/>
      </c>
      <c r="AS488" s="102" t="str">
        <f>IF(A488="","",
SUM(
COUNTIFS('QA Log'!D:D,A488,'QA Log'!M:M,"Data Verification",'QA Log'!Z:Z,"Rejected",'QA Log'!L:L,"*Personnel (section 1)*"),
COUNTIFS('QA Log'!D:D,A488,'QA Log'!M:M,"Data Verification",'QA Log'!Z:Z,"Rejected",'QA Log'!L:L,"*Consumable (section 3)*"),
COUNTIFS('QA Log'!D:D,A488,'QA Log'!M:M,"Data Verification",'QA Log'!Z:Z,"Rejected",'QA Log'!L:L,"*Equipments (section 4)*")
))</f>
        <v/>
      </c>
      <c r="AT488" s="102" t="str">
        <f t="shared" si="33"/>
        <v/>
      </c>
      <c r="AU488" s="103" t="str">
        <f t="shared" si="34"/>
        <v/>
      </c>
      <c r="AV488" s="102" t="str">
        <f>IF(A488="","",SUM(
COUNTIFS('QA Log'!D:D,A488,'QA Log'!M:M,"Vignette",'QA Log'!L:L,"*Vignette [1] Respiratory Infection: Pneumonia*"),
COUNTIFS('QA Log'!D:D,A488,'QA Log'!M:M,"Vignette",'QA Log'!L:L,"*Vignette [2]: Diarrhea with Cat B dehydration*"),
COUNTIFS('QA Log'!D:D,A488,'QA Log'!M:M,"Vignette",'QA Log'!L:L,"*Vignette [3] Growth Monitoring and Promotion*"),
COUNTIFS('QA Log'!D:D,A488,'QA Log'!M:M,"Vignette",'QA Log'!L:L,"*Vignette [4]: The management of presumptive TB patient*")
)
)</f>
        <v/>
      </c>
      <c r="AW488" s="102" t="str">
        <f>IF(
  A488="","",
  SUM(
    COUNTIFS('QA Log'!D:D,A488,'QA Log'!M:M,"Vignette",'QA Log'!Z:Z,"Approved",'QA Log'!L:L,"*Vignette [1] Respiratory Infection: Pneumonia*"),
    COUNTIFS('QA Log'!D:D,A488,'QA Log'!M:M,"Vignette",'QA Log'!Z:Z,"Approved",'QA Log'!L:L,"*Vignette [2]: Diarrhea with Cat B dehydration*"),
    COUNTIFS('QA Log'!D:D,A488,'QA Log'!M:M,"Vignette",'QA Log'!Z:Z,"Approved",'QA Log'!L:L,"*Vignette [3] Growth Monitoring and Promotion*"),
    COUNTIFS('QA Log'!D:D,A488,'QA Log'!M:M,"Vignette",'QA Log'!Z:Z,"Approved",'QA Log'!L:L,"*Vignette [4]: The management of presumptive TB patient*")
  )
)</f>
        <v/>
      </c>
      <c r="AX488" s="105" t="str">
        <f>IF(A488&lt;&gt;"",COUNTIFS('QA Log'!D:D,A488,'QA Log'!M:M,"Vignette",'QA Log'!L:L,"Vignette [1] Respiratory Infection: Pneumonia",'QA Log'!Z:Z,"Approved"),"")</f>
        <v/>
      </c>
      <c r="AY488" s="105" t="str">
        <f>IF(A488&lt;&gt;"",COUNTIFS('QA Log'!D:D,A488,'QA Log'!M:M,"Vignette",'QA Log'!L:L,"Vignette [2]: Diarrhea with Cat B dehydration",'QA Log'!Z:Z,"Approved"),"")</f>
        <v/>
      </c>
      <c r="AZ488" s="105" t="str">
        <f>IF(A488&lt;&gt;"",COUNTIFS('QA Log'!D:D,A488,'QA Log'!M:M,"Vignette",'QA Log'!L:L,"Vignette [3] Growth Monitoring and Promotion",'QA Log'!Z:Z,"Approved"),"")</f>
        <v/>
      </c>
      <c r="BA488" s="105" t="str">
        <f>IF(A488&lt;&gt;"",COUNTIFS('QA Log'!D:D,A488,'QA Log'!M:M,"Vignette",'QA Log'!L:L,"Vignette [4]: The management of presumptive TB patient",'QA Log'!Z:Z,"Approved"),"")</f>
        <v/>
      </c>
      <c r="BB488" s="102" t="str">
        <f>IF(A488="","",
  SUM(
    COUNTIFS('QA Log'!D:D,A488,'QA Log'!M:M,"Vignette",'QA Log'!Z:Z,"Rejected",'QA Log'!L:L,"*Vignette [1] Respiratory Infection: Pneumonia*"),
    COUNTIFS('QA Log'!D:D,A488,'QA Log'!M:M,"Vignette",'QA Log'!Z:Z,"Rejected",'QA Log'!L:L,"*Vignette [2]: Diarrhea with Cat B dehydration*"),
    COUNTIFS('QA Log'!D:D,A488,'QA Log'!M:M,"Vignette",'QA Log'!Z:Z,"Rejected",'QA Log'!L:L,"*Vignette [3] Growth Monitoring and Promotion*"),
    COUNTIFS('QA Log'!D:D,A488,'QA Log'!M:M,"Vignette",'QA Log'!Z:Z,"Rejected",'QA Log'!L:L,"*Vignette [4]: The management of presumptive TB patient*")
  )
)</f>
        <v/>
      </c>
      <c r="BC488" s="107" t="str">
        <f t="shared" si="35"/>
        <v/>
      </c>
      <c r="BD488" s="103" t="str">
        <f t="shared" si="36"/>
        <v/>
      </c>
      <c r="BE488" s="102" t="str">
        <f>IF(A488="","",SUM(
COUNTIFS('QA Log'!D:D,A488,'QA Log'!M:M,"Vignette",'QA Log'!L:L,"*Vignette [5] Labor*"),
COUNTIFS('QA Log'!D:D,A488,'QA Log'!M:M,"Vignette",'QA Log'!L:L,"*Vignette [6] PNC pre Discharge*"),
COUNTIFS('QA Log'!D:D,A488,'QA Log'!M:M,"Vignette",'QA Log'!L:L,"*Vignette [7] First ANC Visit*"),
COUNTIFS('QA Log'!D:D,A488,'QA Log'!M:M,"Vignette",'QA Log'!L:L,"*Vignette [8] Birth Spacing/ Family Planning :  FP Counselling*"),
COUNTIFS('QA Log'!D:D,A488,'QA Log'!M:M,"Vignette",'QA Log'!L:L,"*Vignette [9] Birth Spacing: Change FP method to Injectable*"),
COUNTIFS('QA Log'!D:D,A488,'QA Log'!M:M,"Vignette",'QA Log'!L:L,"*Vignette [10] Post Partum Haemorrhage - Atonic Uterus at Health Centre*"),
)
)</f>
        <v/>
      </c>
      <c r="BF488" s="102" t="str">
        <f>IF(A488="","",
  SUM(
    COUNTIFS('QA Log'!D:D,A488,'QA Log'!M:M,"Vignette",'QA Log'!Z:Z,"Approved",'QA Log'!L:L,"*Vignette [5] Labor*"),
    COUNTIFS('QA Log'!D:D,A488,'QA Log'!M:M,"Vignette",'QA Log'!Z:Z,"Approved",'QA Log'!L:L,"*Vignette [6] PNC pre Discharge*"),
    COUNTIFS('QA Log'!D:D,A488,'QA Log'!M:M,"Vignette",'QA Log'!Z:Z,"Approved",'QA Log'!L:L,"*Vignette [7] First ANC Visit*"),
    COUNTIFS('QA Log'!D:D,A488,'QA Log'!M:M,"Vignette",'QA Log'!Z:Z,"Approved",'QA Log'!L:L,"*Vignette [8] Birth Spacing/ Family Planning :  FP Counselling*"),
    COUNTIFS('QA Log'!D:D,A488,'QA Log'!M:M,"Vignette",'QA Log'!Z:Z,"Approved",'QA Log'!L:L,"*Vignette [9] Birth Spacing: Change FP method to Injectable*"),
    COUNTIFS('QA Log'!D:D,A488,'QA Log'!M:M,"Vignette",'QA Log'!Z:Z,"Approved",'QA Log'!L:L,"*Vignette [10] Post Partum Haemorrhage - Atonic Uterus at Health Centre*")
  )
)</f>
        <v/>
      </c>
      <c r="BG488" s="105" t="str">
        <f>IF(A488&lt;&gt;"",COUNTIFS('QA Log'!D:D,A488,'QA Log'!M:M,"Vignette",'QA Log'!L:L,"Vignette [5] Labor",'QA Log'!Z:Z,"Approved"),"")</f>
        <v/>
      </c>
      <c r="BH488" s="105" t="str">
        <f>IF(A488&lt;&gt;"",COUNTIFS('QA Log'!D:D,A488,'QA Log'!M:M,"Vignette",'QA Log'!L:L,"Vignette [6] PNC pre Discharge",'QA Log'!Z:Z,"Approved"),"")</f>
        <v/>
      </c>
      <c r="BI488" s="105" t="str">
        <f>IF(A488&lt;&gt;"",COUNTIFS('QA Log'!D:D,A488,'QA Log'!M:M,"Vignette",'QA Log'!L:L,"Vignette [7] First ANC Visit",'QA Log'!Z:Z,"Approved"),"")</f>
        <v/>
      </c>
      <c r="BJ488" s="105" t="str">
        <f>IF(A488&lt;&gt;"",COUNTIFS('QA Log'!D:D,A488,'QA Log'!M:M,"Vignette",'QA Log'!L:L,"Vignette [8] Birth Spacing/ Family Planning :  FP Counselling",'QA Log'!Z:Z,"Approved"),"")</f>
        <v/>
      </c>
      <c r="BK488" s="105" t="str">
        <f>IF(A488&lt;&gt;"",COUNTIFS('QA Log'!D:D,A488,'QA Log'!M:M,"Vignette",'QA Log'!L:L,"Vignette [9] Birth Spacing: Change FP method to Injectable",'QA Log'!Z:Z,"Approved"),"")</f>
        <v/>
      </c>
      <c r="BL488" s="105" t="str">
        <f>IF(A488&lt;&gt;"",COUNTIFS('QA Log'!D:D,A488,'QA Log'!M:M,"Vignette",'QA Log'!L:L,"Vignette [10] Post Partum Haemorrhage - Atonic Uterus at Health Centre",'QA Log'!Z:Z,"Approved"),"")</f>
        <v/>
      </c>
      <c r="BM488" s="102" t="str">
        <f>IF(A488="","",SUM(
    COUNTIFS('QA Log'!D:D,A488,'QA Log'!M:M,"Vignette",'QA Log'!Z:Z,"Rejected",'QA Log'!L:L,"*Vignette [5] Labor*"),
    COUNTIFS('QA Log'!D:D,A488,'QA Log'!M:M,"Vignette",'QA Log'!Z:Z,"Rejected",'QA Log'!L:L,"*Vignette [6] PNC pre Discharge*"),
    COUNTIFS('QA Log'!D:D,A488,'QA Log'!M:M,"Vignette",'QA Log'!Z:Z,"Rejected",'QA Log'!L:L,"*Vignette [7] First ANC Visit*"),
    COUNTIFS('QA Log'!D:D,A488,'QA Log'!M:M,"Vignette",'QA Log'!Z:Z,"Rejected",'QA Log'!L:L,"*Vignette [8] Birth Spacing/ Family Planning :  FP Counselling*"),
    COUNTIFS('QA Log'!D:D,A488,'QA Log'!M:M,"Vignette",'QA Log'!Z:Z,"Rejected",'QA Log'!L:L,"*Vignette [9] Birth Spacing: Change FP method to Injectable*"),
    COUNTIFS('QA Log'!D:D,A488,'QA Log'!M:M,"Vignette",'QA Log'!Z:Z,"Rejected",'QA Log'!L:L,"*Vignette [10] Post Partum Haemorrhage - Atonic Uterus at Health Centre*")
  )
)</f>
        <v/>
      </c>
      <c r="BN488" s="107" t="str">
        <f t="shared" si="37"/>
        <v/>
      </c>
      <c r="BO488" s="103" t="str">
        <f t="shared" si="38"/>
        <v/>
      </c>
      <c r="BP488" s="102" t="str">
        <f>IF(A488="","",SUM(
COUNTIFS('QA Log'!D:D,A488,'QA Log'!M:M,"Vignette",'QA Log'!L:L,"*Exit Interview 1*"),
COUNTIFS('QA Log'!D:D,A488,'QA Log'!M:M,"Vignette",'QA Log'!L:L,"*Exit Interview 2*"),
)
)</f>
        <v/>
      </c>
      <c r="BQ488" s="102" t="str">
        <f>IF(
  A488="","",
  SUM(
    COUNTIFS('QA Log'!D:D,A488,'QA Log'!M:M,"Vignette",'QA Log'!Z:Z,"Approved",'QA Log'!L:L,"*Exit Interview 1*"),
    COUNTIFS('QA Log'!D:D,A488,'QA Log'!M:M,"Vignette",'QA Log'!Z:Z,"Approved",'QA Log'!L:L,"*Exit Interview 2*")
  )
)</f>
        <v/>
      </c>
      <c r="BR488" s="105" t="str">
        <f>IF(A488&lt;&gt;"",COUNTIFS('QA Log'!D:D,A488,'QA Log'!M:M,"Vignette",'QA Log'!L:L,"Exit Interview 1",'QA Log'!Z:Z,"Approved"),"")</f>
        <v/>
      </c>
      <c r="BS488" s="105" t="str">
        <f>IF(A488&lt;&gt;"",COUNTIFS('QA Log'!D:D,A488,'QA Log'!M:M,"Vignette",'QA Log'!L:L,"Exit Interview 2",'QA Log'!Z:Z,"Approved"),"")</f>
        <v/>
      </c>
      <c r="BT488" s="102" t="str">
        <f>IF(
  A488="","",
  SUM(
    COUNTIFS('QA Log'!D:D,A488,'QA Log'!M:M,"Vignette",'QA Log'!Z:Z,"Rejected",'QA Log'!L:L,"*Exit Interview 1*"),
    COUNTIFS('QA Log'!D:D,A488,'QA Log'!M:M,"Vignette",'QA Log'!Z:Z,"Rejected",'QA Log'!L:L,"*Exit Interview 2*")
  )
)</f>
        <v/>
      </c>
      <c r="BU488" s="107" t="str">
        <f t="shared" si="39"/>
        <v/>
      </c>
      <c r="BV488" s="102" t="str">
        <f t="shared" si="40"/>
        <v/>
      </c>
      <c r="BW488" s="102" t="str">
        <f t="shared" si="41"/>
        <v/>
      </c>
      <c r="BX488" s="102" t="str">
        <f t="shared" si="42"/>
        <v/>
      </c>
      <c r="BY488" s="102" t="str">
        <f t="shared" si="43"/>
        <v/>
      </c>
      <c r="BZ488" s="107" t="str">
        <f t="shared" si="44"/>
        <v/>
      </c>
      <c r="CA488" s="108" t="str">
        <f t="shared" si="45"/>
        <v/>
      </c>
      <c r="CB488" s="108" t="str">
        <f t="shared" si="46"/>
        <v/>
      </c>
      <c r="CC488" s="109" t="str">
        <f t="shared" si="47"/>
        <v/>
      </c>
      <c r="CD488" s="108" t="str">
        <f t="shared" si="48"/>
        <v/>
      </c>
      <c r="CE488" s="108" t="str">
        <f t="shared" si="49"/>
        <v/>
      </c>
      <c r="CF488" s="109" t="str">
        <f t="shared" si="50"/>
        <v/>
      </c>
      <c r="CG488" s="110" t="str">
        <f t="shared" si="51"/>
        <v/>
      </c>
      <c r="CH488" s="111"/>
    </row>
    <row r="489" spans="1:86" ht="12.75">
      <c r="A489" s="101"/>
      <c r="B489" s="102" t="e">
        <f t="array" aca="1" ref="B489" ca="1">_xludf.XLOOKUP(A489,'QA Log'!D:D,'QA Log'!E:E,"")</f>
        <v>#NAME?</v>
      </c>
      <c r="C489" s="102" t="e">
        <f t="array" aca="1" ref="C489" ca="1">_xludf.XLOOKUP(A489,'QA Log'!D:D,'QA Log'!F:F,"")</f>
        <v>#NAME?</v>
      </c>
      <c r="D489" s="102" t="e">
        <f t="array" aca="1" ref="D489" ca="1">_xludf.XLOOKUP(A489,'QA Log'!D:D,'QA Log'!H:H,"")</f>
        <v>#NAME?</v>
      </c>
      <c r="E489" s="102" t="e">
        <f t="array" aca="1" ref="E489" ca="1">_xludf.XLOOKUP(A489,'QA Log'!D:D,'QA Log'!G:G,"")</f>
        <v>#NAME?</v>
      </c>
      <c r="F489" s="103"/>
      <c r="G489" s="104"/>
      <c r="H489" s="104"/>
      <c r="I489" s="103" t="str">
        <f t="shared" si="26"/>
        <v/>
      </c>
      <c r="J489" s="102" t="str">
        <f>IF(A489="","",SUM(
COUNTIFS('QA Log'!D:D,A489,'QA Log'!M:M,"QQC",'QA Log'!L:L,"*1. General Management*"),
COUNTIFS('QA Log'!D:D,A489,'QA Log'!M:M,"QQC",'QA Log'!L:L,"*3. Curative Consultation (OPD)*"),
COUNTIFS('QA Log'!D:D,A489,'QA Log'!M:M,"QQC",'QA Log'!L:L,"*5. Laboratory*"),
COUNTIFS('QA Log'!D:D,A489,'QA Log'!M:M,"QQC",'QA Log'!L:L,"*6. Essential Medicine Management*"),
COUNTIFS('QA Log'!D:D,A489,'QA Log'!M:M,"QQC",'QA Log'!L:L,"*7. Tracer Medicine*"),
COUNTIFS('QA Log'!D:D,A489,'QA Log'!M:M,"QQC",'QA Log'!L:L,"*11. Additional Questions*")))</f>
        <v/>
      </c>
      <c r="K489" s="102" t="str">
        <f>IF(A489="","",SUM(
COUNTIFS('QA Log'!D:D,A489,'QA Log'!M:M,"QQC",'QA Log'!Z:Z,"Approved",'QA Log'!L:L,"*1. General Management*"),
COUNTIFS('QA Log'!D:D,A489,'QA Log'!M:M,"QQC",'QA Log'!Z:Z,"Approved",'QA Log'!L:L,"*3. Curative Consultation (OPD)*"),
COUNTIFS('QA Log'!D:D,A489,'QA Log'!M:M,"QQC",'QA Log'!Z:Z,"Approved",'QA Log'!L:L,"*5. Laboratory*"),
COUNTIFS('QA Log'!D:D,A489,'QA Log'!M:M,"QQC",'QA Log'!Z:Z,"Approved",'QA Log'!L:L,"*6. Essential Medicine Management*"),
COUNTIFS('QA Log'!D:D,A489,'QA Log'!M:M,"QQC",'QA Log'!Z:Z,"Approved",'QA Log'!L:L,"*7. Tracer Medicine*"),
COUNTIFS('QA Log'!D:D,A489,'QA Log'!M:M,"QQC",'QA Log'!Z:Z,"Approved",'QA Log'!L:L,"*11. Additional Questions*")))</f>
        <v/>
      </c>
      <c r="L489" s="102" t="str">
        <f>IF(A489&lt;&gt;"",COUNTIFS('QA Log'!D:D,A489,'QA Log'!M:M,"QQC",'QA Log'!L:L,"1. General Management",'QA Log'!Z:Z,"Approved"),"")</f>
        <v/>
      </c>
      <c r="M489" s="102" t="str">
        <f>IF(A489&lt;&gt;"",COUNTIFS('QA Log'!D:D,A489,'QA Log'!M:M,"QQC",'QA Log'!L:L,"3. Curative Consultation (OPD)",'QA Log'!Z:Z,"Approved"),"")</f>
        <v/>
      </c>
      <c r="N489" s="102" t="str">
        <f>IF(A489&lt;&gt;"",COUNTIFS('QA Log'!D:D,A489,'QA Log'!M:M,"QQC",'QA Log'!L:L,"5. Laboratory",'QA Log'!Z:Z,"Approved"),"")</f>
        <v/>
      </c>
      <c r="O489" s="102" t="str">
        <f>IF(A489&lt;&gt;"",COUNTIFS('QA Log'!D:D,A489,'QA Log'!M:M,"QQC",'QA Log'!L:L,"6. Essential Medicine Management",'QA Log'!Z:Z,"Approved"),"")</f>
        <v/>
      </c>
      <c r="P489" s="102" t="str">
        <f>IF(A489&lt;&gt;"",COUNTIFS('QA Log'!D:D,A489,'QA Log'!M:M,"QQC",'QA Log'!L:L,"7. Tracer Medicine",'QA Log'!Z:Z,"Approved"),"")</f>
        <v/>
      </c>
      <c r="Q489" s="102" t="str">
        <f>IF(A489&lt;&gt;"",COUNTIFS('QA Log'!D:D,A489,'QA Log'!M:M,"QQC",'QA Log'!L:L,"11. Additional Questions",'QA Log'!Z:Z,"Approved"),"")</f>
        <v/>
      </c>
      <c r="R489" s="102" t="str">
        <f>IF(A489="","",SUM(
COUNTIFS('QA Log'!D:D,A489,'QA Log'!M:M,"QQC",'QA Log'!Z:Z,"Rejected",'QA Log'!L:L,"*8. Maternity*"),
COUNTIFS('QA Log'!D:D,A489,'QA Log'!M:M,"QQC",'QA Log'!Z:Z,"Rejected",'QA Log'!L:L,"*EPI*"),
COUNTIFS('QA Log'!D:D,A489,'QA Log'!M:M,"QQC",'QA Log'!Z:Z,"Rejected",'QA Log'!L:L,"*10. Antenatal Care (ANC)*"),
COUNTIFS('QA Log'!D:D,A489,'QA Log'!M:M,"QQC",'QA Log'!Z:Z,"Rejected",'QA Log'!L:L,"*2. Hygiene and Sterilization*"),
COUNTIFS('QA Log'!D:D,A489,'QA Log'!M:M,"QQC",'QA Log'!Z:Z,"Rejected",'QA Log'!L:L,"*Family Planning*")))</f>
        <v/>
      </c>
      <c r="S489" s="106" t="str">
        <f t="shared" si="27"/>
        <v/>
      </c>
      <c r="T489" s="102" t="str">
        <f t="shared" si="28"/>
        <v/>
      </c>
      <c r="U489" s="102" t="str">
        <f>IF(A489="","",
SUM(
COUNTIFS('QA Log'!D:D,A489,'QA Log'!M:M,"QQC",'QA Log'!L:L,"*8. Maternity*"),
COUNTIFS('QA Log'!D:D,A489,'QA Log'!M:M,"QQC",'QA Log'!L:L,"*9. EPI and Pre-school Consultation*"),
COUNTIFS('QA Log'!D:D,A489,'QA Log'!M:M,"QQC",'QA Log'!L:L,"*10. Antenatal Care (ANC)*"),
COUNTIFS('QA Log'!D:D,A489,'QA Log'!M:M,"QQC",'QA Log'!L:L,"*2. Hygiene and Sterilization*"),
COUNTIFS('QA Log'!D:D,A489,'QA Log'!M:M,"QQC",'QA Log'!L:L,"*4. Family Planning*")
))</f>
        <v/>
      </c>
      <c r="V489" s="102" t="str">
        <f>IF(A489="","",
SUM(
COUNTIFS('QA Log'!D:D,A489,'QA Log'!M:M,"QQC",'QA Log'!Z:Z,"Approved",'QA Log'!L:L,"*8. Maternity*"),
COUNTIFS('QA Log'!D:D,A489,'QA Log'!M:M,"QQC",'QA Log'!Z:Z,"Approved",'QA Log'!L:L,"*9. EPI and Pre-school Consultation*"),
COUNTIFS('QA Log'!D:D,A489,'QA Log'!M:M,"QQC",'QA Log'!Z:Z,"Approved",'QA Log'!L:L,"*10. Antenatal Care (ANC)*"),
COUNTIFS('QA Log'!D:D,A489,'QA Log'!M:M,"QQC",'QA Log'!Z:Z,"Approved",'QA Log'!L:L,"*2. Hygiene and Sterilization*"),
COUNTIFS('QA Log'!D:D,A489,'QA Log'!M:M,"QQC",'QA Log'!Z:Z,"Approved",'QA Log'!L:L,"*4. Family Planning*")
))</f>
        <v/>
      </c>
      <c r="W489" s="102" t="str">
        <f>IF(A489&lt;&gt;"",COUNTIFS('QA Log'!D:D,A489,'QA Log'!M:M,"QQC",'QA Log'!L:L,"8. Maternity",'QA Log'!Z:Z,"Approved"),"")</f>
        <v/>
      </c>
      <c r="X489" s="105" t="str">
        <f>IF(A489&lt;&gt;"",COUNTIFS('QA Log'!D:D,A489,'QA Log'!M:M,"QQC",'QA Log'!L:L,"9. EPI and Pre-school Consultation",'QA Log'!Z:Z,"Approved"),"")</f>
        <v/>
      </c>
      <c r="Y489" s="102" t="str">
        <f>IF(A489&lt;&gt;"",COUNTIFS('QA Log'!D:D,A489,'QA Log'!M:M,"QQC",'QA Log'!L:L,"10. Antenatal Care (ANC)",'QA Log'!Z:Z,"Approved"),"")</f>
        <v/>
      </c>
      <c r="Z489" s="102" t="str">
        <f>IF(A489&lt;&gt;"",COUNTIFS('QA Log'!D:D,A489,'QA Log'!M:M,"QQC",'QA Log'!L:L,"2. Hygiene and Sterilization",'QA Log'!Z:Z,"Approved"),"")</f>
        <v/>
      </c>
      <c r="AA489" s="105" t="str">
        <f>IF(A489&lt;&gt;"",COUNTIFS('QA Log'!D:D,A489,'QA Log'!M:M,"QQC",'QA Log'!L:L,"4. Family Planning",'QA Log'!Z:Z,"Approved"),"")</f>
        <v/>
      </c>
      <c r="AB489" s="102" t="str">
        <f>IF(A489="","",
SUM(
COUNTIFS('QA Log'!D:D,A489,'QA Log'!M:M,"QQC",'QA Log'!Z:Z,"Rejected",'QA Log'!L:L,"*8. Maternity*"),
COUNTIFS('QA Log'!D:D,A489,'QA Log'!M:M,"QQC",'QA Log'!Z:Z,"Rejected",'QA Log'!L:L,"*9. EPI and Pre-school Consultation*"),
COUNTIFS('QA Log'!D:D,A489,'QA Log'!M:M,"QQC",'QA Log'!Z:Z,"Rejected",'QA Log'!L:L,"*10. Antenatal Care (ANC)*"),
COUNTIFS('QA Log'!D:D,A489,'QA Log'!M:M,"QQC",'QA Log'!Z:Z,"Rejected",'QA Log'!L:L,"*2. Hygiene and Sterilization*"),
COUNTIFS('QA Log'!D:D,A489,'QA Log'!M:M,"QQC",'QA Log'!Z:Z,"Rejected",'QA Log'!L:L,"*4. Family Planning*")
))</f>
        <v/>
      </c>
      <c r="AC489" s="102" t="str">
        <f t="shared" si="29"/>
        <v/>
      </c>
      <c r="AD489" s="103" t="str">
        <f t="shared" si="30"/>
        <v/>
      </c>
      <c r="AE489" s="102" t="str">
        <f>IF(A489="","",
SUM(
COUNTIFS('QA Log'!D:D,A489,'QA Log'!M:M,"Data Verification",'QA Log'!L:L,"*Medicine (section 2)*"),
COUNTIFS('QA Log'!D:D,A489,'QA Log'!M:M,"Data Verification",'QA Log'!L:L,"*Lab Testing Availability*"),
COUNTIFS('QA Log'!D:D,A489,'QA Log'!M:M,"Data Verification",'QA Log'!L:L,"*Other than P4P (section 6)*"),
COUNTIFS('QA Log'!D:D,A489,'QA Log'!M:M,"Data Verification",'QA Log'!L:L,"*Hospital Governance*")
))</f>
        <v/>
      </c>
      <c r="AF489" s="102" t="str">
        <f>IF(A489="","",
SUM(
COUNTIFS('QA Log'!D:D,A489,'QA Log'!M:M,"Data Verification",'QA Log'!Z:Z,"Approved",'QA Log'!L:L,"*Medicine (section 2)*"),
COUNTIFS('QA Log'!D:D,A489,'QA Log'!M:M,"Data Verification",'QA Log'!Z:Z,"Approved",'QA Log'!L:L,"*Lab Testing Availability*"),
COUNTIFS('QA Log'!D:D,A489,'QA Log'!M:M,"Data Verification",'QA Log'!Z:Z,"Approved",'QA Log'!L:L,"*Other than P4P (section 6)*"),
COUNTIFS('QA Log'!D:D,A489,'QA Log'!M:M,"Data Verification",'QA Log'!Z:Z,"Approved",'QA Log'!L:L,"*Hospital Governance*")
))</f>
        <v/>
      </c>
      <c r="AG489" s="105" t="str">
        <f>IF(A489&lt;&gt;"",COUNTIFS('QA Log'!D:D,A489,'QA Log'!M:M,"Data Verification",'QA Log'!L:L,"Medicine (section 2)",'QA Log'!Z:Z,"Approved"),"")</f>
        <v/>
      </c>
      <c r="AH489" s="105" t="str">
        <f>IF(A489&lt;&gt;"",COUNTIFS('QA Log'!D:D,A489,'QA Log'!M:M,"Data Verification",'QA Log'!L:L,"Lab Testing Availability",'QA Log'!Z:Z,"Approved"),"")</f>
        <v/>
      </c>
      <c r="AI489" s="105" t="str">
        <f>IF(A489&lt;&gt;"",COUNTIFS('QA Log'!D:D,A489,'QA Log'!M:M,"Data Verification",'QA Log'!L:L,"Other than P4P (section 6)",'QA Log'!Z:Z,"Approved"),"")</f>
        <v/>
      </c>
      <c r="AJ489" s="105" t="str">
        <f>IF(A489&lt;&gt;"",COUNTIFS('QA Log'!D:D,A489,'QA Log'!M:M,"Data Verification",'QA Log'!L:L,"Hospital Governance",'QA Log'!Z:Z,"Approved"),"")</f>
        <v/>
      </c>
      <c r="AK489" s="102" t="str">
        <f>IF(A489="","",
SUM(
COUNTIFS('QA Log'!D:D,A489,'QA Log'!M:M,"Data Verification",'QA Log'!Z:Z,"Rejected",'QA Log'!L:L,"*Medicine (section 2)*"),
COUNTIFS('QA Log'!D:D,A489,'QA Log'!M:M,"Data Verification",'QA Log'!Z:Z,"Rejected",'QA Log'!L:L,"*Lab Testing Availability*"),
COUNTIFS('QA Log'!D:D,A489,'QA Log'!M:M,"Data Verification",'QA Log'!Z:Z,"Rejected",'QA Log'!L:L,"*Other than P4P (section 6)*"),
COUNTIFS('QA Log'!D:D,A489,'QA Log'!M:M,"Data Verification",'QA Log'!Z:Z,"Rejected",'QA Log'!L:L,"*Hospital Governance*")
))</f>
        <v/>
      </c>
      <c r="AL489" s="106" t="str">
        <f t="shared" si="31"/>
        <v/>
      </c>
      <c r="AM489" s="102" t="str">
        <f t="shared" si="32"/>
        <v/>
      </c>
      <c r="AN489" s="102" t="str">
        <f>IF(A489="","",
SUM(
COUNTIFS('QA Log'!D:D,A489,'QA Log'!M:M,"Data Verification",'QA Log'!L:L,"*Personnel (section 1)*"),
COUNTIFS('QA Log'!D:D,A489,'QA Log'!M:M,"Data Verification",'QA Log'!L:L,"*Consumable (section 3)*"),
COUNTIFS('QA Log'!D:D,A489,'QA Log'!M:M,"Data Verification",'QA Log'!L:L,"*Equipments (section 4)*")
))</f>
        <v/>
      </c>
      <c r="AO489" s="102" t="str">
        <f>IF(A489="","",
SUM(
COUNTIFS('QA Log'!D:D,A489,'QA Log'!M:M,"Data Verification",'QA Log'!Z:Z,"Approved",'QA Log'!L:L,"*Personnel (section 1)*"),
COUNTIFS('QA Log'!D:D,A489,'QA Log'!M:M,"Data Verification",'QA Log'!Z:Z,"Approved",'QA Log'!L:L,"*Consumable (section 3)*"),
COUNTIFS('QA Log'!D:D,A489,'QA Log'!M:M,"Data Verification",'QA Log'!Z:Z,"Approved",'QA Log'!L:L,"*Equipments (section 4)*")
))</f>
        <v/>
      </c>
      <c r="AP489" s="105" t="str">
        <f>IF(A489&lt;&gt;"",COUNTIFS('QA Log'!D:D,A489,'QA Log'!M:M,"Data Verification",'QA Log'!L:L,"Personnel (section 1)",'QA Log'!Z:Z,"Approved"),"")</f>
        <v/>
      </c>
      <c r="AQ489" s="105" t="str">
        <f>IF(A489&lt;&gt;"",COUNTIFS('QA Log'!D:D,A489,'QA Log'!M:M,"Data Verification",'QA Log'!L:L,"Consumable (section 3)",'QA Log'!Z:Z,"Approved"),"")</f>
        <v/>
      </c>
      <c r="AR489" s="105" t="str">
        <f>IF(A489&lt;&gt;"",COUNTIFS('QA Log'!D:D,A489,'QA Log'!M:M,"Data Verification",'QA Log'!L:L,"Equipments (section 4)",'QA Log'!Z:Z,"Approved"),"")</f>
        <v/>
      </c>
      <c r="AS489" s="102" t="str">
        <f>IF(A489="","",
SUM(
COUNTIFS('QA Log'!D:D,A489,'QA Log'!M:M,"Data Verification",'QA Log'!Z:Z,"Rejected",'QA Log'!L:L,"*Personnel (section 1)*"),
COUNTIFS('QA Log'!D:D,A489,'QA Log'!M:M,"Data Verification",'QA Log'!Z:Z,"Rejected",'QA Log'!L:L,"*Consumable (section 3)*"),
COUNTIFS('QA Log'!D:D,A489,'QA Log'!M:M,"Data Verification",'QA Log'!Z:Z,"Rejected",'QA Log'!L:L,"*Equipments (section 4)*")
))</f>
        <v/>
      </c>
      <c r="AT489" s="102" t="str">
        <f t="shared" si="33"/>
        <v/>
      </c>
      <c r="AU489" s="103" t="str">
        <f t="shared" si="34"/>
        <v/>
      </c>
      <c r="AV489" s="102" t="str">
        <f>IF(A489="","",SUM(
COUNTIFS('QA Log'!D:D,A489,'QA Log'!M:M,"Vignette",'QA Log'!L:L,"*Vignette [1] Respiratory Infection: Pneumonia*"),
COUNTIFS('QA Log'!D:D,A489,'QA Log'!M:M,"Vignette",'QA Log'!L:L,"*Vignette [2]: Diarrhea with Cat B dehydration*"),
COUNTIFS('QA Log'!D:D,A489,'QA Log'!M:M,"Vignette",'QA Log'!L:L,"*Vignette [3] Growth Monitoring and Promotion*"),
COUNTIFS('QA Log'!D:D,A489,'QA Log'!M:M,"Vignette",'QA Log'!L:L,"*Vignette [4]: The management of presumptive TB patient*")
)
)</f>
        <v/>
      </c>
      <c r="AW489" s="102" t="str">
        <f>IF(
  A489="","",
  SUM(
    COUNTIFS('QA Log'!D:D,A489,'QA Log'!M:M,"Vignette",'QA Log'!Z:Z,"Approved",'QA Log'!L:L,"*Vignette [1] Respiratory Infection: Pneumonia*"),
    COUNTIFS('QA Log'!D:D,A489,'QA Log'!M:M,"Vignette",'QA Log'!Z:Z,"Approved",'QA Log'!L:L,"*Vignette [2]: Diarrhea with Cat B dehydration*"),
    COUNTIFS('QA Log'!D:D,A489,'QA Log'!M:M,"Vignette",'QA Log'!Z:Z,"Approved",'QA Log'!L:L,"*Vignette [3] Growth Monitoring and Promotion*"),
    COUNTIFS('QA Log'!D:D,A489,'QA Log'!M:M,"Vignette",'QA Log'!Z:Z,"Approved",'QA Log'!L:L,"*Vignette [4]: The management of presumptive TB patient*")
  )
)</f>
        <v/>
      </c>
      <c r="AX489" s="105" t="str">
        <f>IF(A489&lt;&gt;"",COUNTIFS('QA Log'!D:D,A489,'QA Log'!M:M,"Vignette",'QA Log'!L:L,"Vignette [1] Respiratory Infection: Pneumonia",'QA Log'!Z:Z,"Approved"),"")</f>
        <v/>
      </c>
      <c r="AY489" s="105" t="str">
        <f>IF(A489&lt;&gt;"",COUNTIFS('QA Log'!D:D,A489,'QA Log'!M:M,"Vignette",'QA Log'!L:L,"Vignette [2]: Diarrhea with Cat B dehydration",'QA Log'!Z:Z,"Approved"),"")</f>
        <v/>
      </c>
      <c r="AZ489" s="105" t="str">
        <f>IF(A489&lt;&gt;"",COUNTIFS('QA Log'!D:D,A489,'QA Log'!M:M,"Vignette",'QA Log'!L:L,"Vignette [3] Growth Monitoring and Promotion",'QA Log'!Z:Z,"Approved"),"")</f>
        <v/>
      </c>
      <c r="BA489" s="105" t="str">
        <f>IF(A489&lt;&gt;"",COUNTIFS('QA Log'!D:D,A489,'QA Log'!M:M,"Vignette",'QA Log'!L:L,"Vignette [4]: The management of presumptive TB patient",'QA Log'!Z:Z,"Approved"),"")</f>
        <v/>
      </c>
      <c r="BB489" s="102" t="str">
        <f>IF(A489="","",
  SUM(
    COUNTIFS('QA Log'!D:D,A489,'QA Log'!M:M,"Vignette",'QA Log'!Z:Z,"Rejected",'QA Log'!L:L,"*Vignette [1] Respiratory Infection: Pneumonia*"),
    COUNTIFS('QA Log'!D:D,A489,'QA Log'!M:M,"Vignette",'QA Log'!Z:Z,"Rejected",'QA Log'!L:L,"*Vignette [2]: Diarrhea with Cat B dehydration*"),
    COUNTIFS('QA Log'!D:D,A489,'QA Log'!M:M,"Vignette",'QA Log'!Z:Z,"Rejected",'QA Log'!L:L,"*Vignette [3] Growth Monitoring and Promotion*"),
    COUNTIFS('QA Log'!D:D,A489,'QA Log'!M:M,"Vignette",'QA Log'!Z:Z,"Rejected",'QA Log'!L:L,"*Vignette [4]: The management of presumptive TB patient*")
  )
)</f>
        <v/>
      </c>
      <c r="BC489" s="107" t="str">
        <f t="shared" si="35"/>
        <v/>
      </c>
      <c r="BD489" s="103" t="str">
        <f t="shared" si="36"/>
        <v/>
      </c>
      <c r="BE489" s="102" t="str">
        <f>IF(A489="","",SUM(
COUNTIFS('QA Log'!D:D,A489,'QA Log'!M:M,"Vignette",'QA Log'!L:L,"*Vignette [5] Labor*"),
COUNTIFS('QA Log'!D:D,A489,'QA Log'!M:M,"Vignette",'QA Log'!L:L,"*Vignette [6] PNC pre Discharge*"),
COUNTIFS('QA Log'!D:D,A489,'QA Log'!M:M,"Vignette",'QA Log'!L:L,"*Vignette [7] First ANC Visit*"),
COUNTIFS('QA Log'!D:D,A489,'QA Log'!M:M,"Vignette",'QA Log'!L:L,"*Vignette [8] Birth Spacing/ Family Planning :  FP Counselling*"),
COUNTIFS('QA Log'!D:D,A489,'QA Log'!M:M,"Vignette",'QA Log'!L:L,"*Vignette [9] Birth Spacing: Change FP method to Injectable*"),
COUNTIFS('QA Log'!D:D,A489,'QA Log'!M:M,"Vignette",'QA Log'!L:L,"*Vignette [10] Post Partum Haemorrhage - Atonic Uterus at Health Centre*"),
)
)</f>
        <v/>
      </c>
      <c r="BF489" s="102" t="str">
        <f>IF(A489="","",
  SUM(
    COUNTIFS('QA Log'!D:D,A489,'QA Log'!M:M,"Vignette",'QA Log'!Z:Z,"Approved",'QA Log'!L:L,"*Vignette [5] Labor*"),
    COUNTIFS('QA Log'!D:D,A489,'QA Log'!M:M,"Vignette",'QA Log'!Z:Z,"Approved",'QA Log'!L:L,"*Vignette [6] PNC pre Discharge*"),
    COUNTIFS('QA Log'!D:D,A489,'QA Log'!M:M,"Vignette",'QA Log'!Z:Z,"Approved",'QA Log'!L:L,"*Vignette [7] First ANC Visit*"),
    COUNTIFS('QA Log'!D:D,A489,'QA Log'!M:M,"Vignette",'QA Log'!Z:Z,"Approved",'QA Log'!L:L,"*Vignette [8] Birth Spacing/ Family Planning :  FP Counselling*"),
    COUNTIFS('QA Log'!D:D,A489,'QA Log'!M:M,"Vignette",'QA Log'!Z:Z,"Approved",'QA Log'!L:L,"*Vignette [9] Birth Spacing: Change FP method to Injectable*"),
    COUNTIFS('QA Log'!D:D,A489,'QA Log'!M:M,"Vignette",'QA Log'!Z:Z,"Approved",'QA Log'!L:L,"*Vignette [10] Post Partum Haemorrhage - Atonic Uterus at Health Centre*")
  )
)</f>
        <v/>
      </c>
      <c r="BG489" s="105" t="str">
        <f>IF(A489&lt;&gt;"",COUNTIFS('QA Log'!D:D,A489,'QA Log'!M:M,"Vignette",'QA Log'!L:L,"Vignette [5] Labor",'QA Log'!Z:Z,"Approved"),"")</f>
        <v/>
      </c>
      <c r="BH489" s="105" t="str">
        <f>IF(A489&lt;&gt;"",COUNTIFS('QA Log'!D:D,A489,'QA Log'!M:M,"Vignette",'QA Log'!L:L,"Vignette [6] PNC pre Discharge",'QA Log'!Z:Z,"Approved"),"")</f>
        <v/>
      </c>
      <c r="BI489" s="105" t="str">
        <f>IF(A489&lt;&gt;"",COUNTIFS('QA Log'!D:D,A489,'QA Log'!M:M,"Vignette",'QA Log'!L:L,"Vignette [7] First ANC Visit",'QA Log'!Z:Z,"Approved"),"")</f>
        <v/>
      </c>
      <c r="BJ489" s="105" t="str">
        <f>IF(A489&lt;&gt;"",COUNTIFS('QA Log'!D:D,A489,'QA Log'!M:M,"Vignette",'QA Log'!L:L,"Vignette [8] Birth Spacing/ Family Planning :  FP Counselling",'QA Log'!Z:Z,"Approved"),"")</f>
        <v/>
      </c>
      <c r="BK489" s="105" t="str">
        <f>IF(A489&lt;&gt;"",COUNTIFS('QA Log'!D:D,A489,'QA Log'!M:M,"Vignette",'QA Log'!L:L,"Vignette [9] Birth Spacing: Change FP method to Injectable",'QA Log'!Z:Z,"Approved"),"")</f>
        <v/>
      </c>
      <c r="BL489" s="105" t="str">
        <f>IF(A489&lt;&gt;"",COUNTIFS('QA Log'!D:D,A489,'QA Log'!M:M,"Vignette",'QA Log'!L:L,"Vignette [10] Post Partum Haemorrhage - Atonic Uterus at Health Centre",'QA Log'!Z:Z,"Approved"),"")</f>
        <v/>
      </c>
      <c r="BM489" s="102" t="str">
        <f>IF(A489="","",SUM(
    COUNTIFS('QA Log'!D:D,A489,'QA Log'!M:M,"Vignette",'QA Log'!Z:Z,"Rejected",'QA Log'!L:L,"*Vignette [5] Labor*"),
    COUNTIFS('QA Log'!D:D,A489,'QA Log'!M:M,"Vignette",'QA Log'!Z:Z,"Rejected",'QA Log'!L:L,"*Vignette [6] PNC pre Discharge*"),
    COUNTIFS('QA Log'!D:D,A489,'QA Log'!M:M,"Vignette",'QA Log'!Z:Z,"Rejected",'QA Log'!L:L,"*Vignette [7] First ANC Visit*"),
    COUNTIFS('QA Log'!D:D,A489,'QA Log'!M:M,"Vignette",'QA Log'!Z:Z,"Rejected",'QA Log'!L:L,"*Vignette [8] Birth Spacing/ Family Planning :  FP Counselling*"),
    COUNTIFS('QA Log'!D:D,A489,'QA Log'!M:M,"Vignette",'QA Log'!Z:Z,"Rejected",'QA Log'!L:L,"*Vignette [9] Birth Spacing: Change FP method to Injectable*"),
    COUNTIFS('QA Log'!D:D,A489,'QA Log'!M:M,"Vignette",'QA Log'!Z:Z,"Rejected",'QA Log'!L:L,"*Vignette [10] Post Partum Haemorrhage - Atonic Uterus at Health Centre*")
  )
)</f>
        <v/>
      </c>
      <c r="BN489" s="107" t="str">
        <f t="shared" si="37"/>
        <v/>
      </c>
      <c r="BO489" s="103" t="str">
        <f t="shared" si="38"/>
        <v/>
      </c>
      <c r="BP489" s="102" t="str">
        <f>IF(A489="","",SUM(
COUNTIFS('QA Log'!D:D,A489,'QA Log'!M:M,"Vignette",'QA Log'!L:L,"*Exit Interview 1*"),
COUNTIFS('QA Log'!D:D,A489,'QA Log'!M:M,"Vignette",'QA Log'!L:L,"*Exit Interview 2*"),
)
)</f>
        <v/>
      </c>
      <c r="BQ489" s="102" t="str">
        <f>IF(
  A489="","",
  SUM(
    COUNTIFS('QA Log'!D:D,A489,'QA Log'!M:M,"Vignette",'QA Log'!Z:Z,"Approved",'QA Log'!L:L,"*Exit Interview 1*"),
    COUNTIFS('QA Log'!D:D,A489,'QA Log'!M:M,"Vignette",'QA Log'!Z:Z,"Approved",'QA Log'!L:L,"*Exit Interview 2*")
  )
)</f>
        <v/>
      </c>
      <c r="BR489" s="105" t="str">
        <f>IF(A489&lt;&gt;"",COUNTIFS('QA Log'!D:D,A489,'QA Log'!M:M,"Vignette",'QA Log'!L:L,"Exit Interview 1",'QA Log'!Z:Z,"Approved"),"")</f>
        <v/>
      </c>
      <c r="BS489" s="105" t="str">
        <f>IF(A489&lt;&gt;"",COUNTIFS('QA Log'!D:D,A489,'QA Log'!M:M,"Vignette",'QA Log'!L:L,"Exit Interview 2",'QA Log'!Z:Z,"Approved"),"")</f>
        <v/>
      </c>
      <c r="BT489" s="102" t="str">
        <f>IF(
  A489="","",
  SUM(
    COUNTIFS('QA Log'!D:D,A489,'QA Log'!M:M,"Vignette",'QA Log'!Z:Z,"Rejected",'QA Log'!L:L,"*Exit Interview 1*"),
    COUNTIFS('QA Log'!D:D,A489,'QA Log'!M:M,"Vignette",'QA Log'!Z:Z,"Rejected",'QA Log'!L:L,"*Exit Interview 2*")
  )
)</f>
        <v/>
      </c>
      <c r="BU489" s="107" t="str">
        <f t="shared" si="39"/>
        <v/>
      </c>
      <c r="BV489" s="102" t="str">
        <f t="shared" si="40"/>
        <v/>
      </c>
      <c r="BW489" s="102" t="str">
        <f t="shared" si="41"/>
        <v/>
      </c>
      <c r="BX489" s="102" t="str">
        <f t="shared" si="42"/>
        <v/>
      </c>
      <c r="BY489" s="102" t="str">
        <f t="shared" si="43"/>
        <v/>
      </c>
      <c r="BZ489" s="107" t="str">
        <f t="shared" si="44"/>
        <v/>
      </c>
      <c r="CA489" s="108" t="str">
        <f t="shared" si="45"/>
        <v/>
      </c>
      <c r="CB489" s="108" t="str">
        <f t="shared" si="46"/>
        <v/>
      </c>
      <c r="CC489" s="109" t="str">
        <f t="shared" si="47"/>
        <v/>
      </c>
      <c r="CD489" s="108" t="str">
        <f t="shared" si="48"/>
        <v/>
      </c>
      <c r="CE489" s="108" t="str">
        <f t="shared" si="49"/>
        <v/>
      </c>
      <c r="CF489" s="109" t="str">
        <f t="shared" si="50"/>
        <v/>
      </c>
      <c r="CG489" s="110" t="str">
        <f t="shared" si="51"/>
        <v/>
      </c>
      <c r="CH489" s="111"/>
    </row>
    <row r="490" spans="1:86" ht="12.75">
      <c r="A490" s="101"/>
      <c r="B490" s="102" t="e">
        <f t="array" aca="1" ref="B490" ca="1">_xludf.XLOOKUP(A490,'QA Log'!D:D,'QA Log'!E:E,"")</f>
        <v>#NAME?</v>
      </c>
      <c r="C490" s="102" t="e">
        <f t="array" aca="1" ref="C490" ca="1">_xludf.XLOOKUP(A490,'QA Log'!D:D,'QA Log'!F:F,"")</f>
        <v>#NAME?</v>
      </c>
      <c r="D490" s="102" t="e">
        <f t="array" aca="1" ref="D490" ca="1">_xludf.XLOOKUP(A490,'QA Log'!D:D,'QA Log'!H:H,"")</f>
        <v>#NAME?</v>
      </c>
      <c r="E490" s="102" t="e">
        <f t="array" aca="1" ref="E490" ca="1">_xludf.XLOOKUP(A490,'QA Log'!D:D,'QA Log'!G:G,"")</f>
        <v>#NAME?</v>
      </c>
      <c r="F490" s="103"/>
      <c r="G490" s="104"/>
      <c r="H490" s="104"/>
      <c r="I490" s="103" t="str">
        <f t="shared" si="26"/>
        <v/>
      </c>
      <c r="J490" s="102" t="str">
        <f>IF(A490="","",SUM(
COUNTIFS('QA Log'!D:D,A490,'QA Log'!M:M,"QQC",'QA Log'!L:L,"*1. General Management*"),
COUNTIFS('QA Log'!D:D,A490,'QA Log'!M:M,"QQC",'QA Log'!L:L,"*3. Curative Consultation (OPD)*"),
COUNTIFS('QA Log'!D:D,A490,'QA Log'!M:M,"QQC",'QA Log'!L:L,"*5. Laboratory*"),
COUNTIFS('QA Log'!D:D,A490,'QA Log'!M:M,"QQC",'QA Log'!L:L,"*6. Essential Medicine Management*"),
COUNTIFS('QA Log'!D:D,A490,'QA Log'!M:M,"QQC",'QA Log'!L:L,"*7. Tracer Medicine*"),
COUNTIFS('QA Log'!D:D,A490,'QA Log'!M:M,"QQC",'QA Log'!L:L,"*11. Additional Questions*")))</f>
        <v/>
      </c>
      <c r="K490" s="102" t="str">
        <f>IF(A490="","",SUM(
COUNTIFS('QA Log'!D:D,A490,'QA Log'!M:M,"QQC",'QA Log'!Z:Z,"Approved",'QA Log'!L:L,"*1. General Management*"),
COUNTIFS('QA Log'!D:D,A490,'QA Log'!M:M,"QQC",'QA Log'!Z:Z,"Approved",'QA Log'!L:L,"*3. Curative Consultation (OPD)*"),
COUNTIFS('QA Log'!D:D,A490,'QA Log'!M:M,"QQC",'QA Log'!Z:Z,"Approved",'QA Log'!L:L,"*5. Laboratory*"),
COUNTIFS('QA Log'!D:D,A490,'QA Log'!M:M,"QQC",'QA Log'!Z:Z,"Approved",'QA Log'!L:L,"*6. Essential Medicine Management*"),
COUNTIFS('QA Log'!D:D,A490,'QA Log'!M:M,"QQC",'QA Log'!Z:Z,"Approved",'QA Log'!L:L,"*7. Tracer Medicine*"),
COUNTIFS('QA Log'!D:D,A490,'QA Log'!M:M,"QQC",'QA Log'!Z:Z,"Approved",'QA Log'!L:L,"*11. Additional Questions*")))</f>
        <v/>
      </c>
      <c r="L490" s="102" t="str">
        <f>IF(A490&lt;&gt;"",COUNTIFS('QA Log'!D:D,A490,'QA Log'!M:M,"QQC",'QA Log'!L:L,"1. General Management",'QA Log'!Z:Z,"Approved"),"")</f>
        <v/>
      </c>
      <c r="M490" s="102" t="str">
        <f>IF(A490&lt;&gt;"",COUNTIFS('QA Log'!D:D,A490,'QA Log'!M:M,"QQC",'QA Log'!L:L,"3. Curative Consultation (OPD)",'QA Log'!Z:Z,"Approved"),"")</f>
        <v/>
      </c>
      <c r="N490" s="102" t="str">
        <f>IF(A490&lt;&gt;"",COUNTIFS('QA Log'!D:D,A490,'QA Log'!M:M,"QQC",'QA Log'!L:L,"5. Laboratory",'QA Log'!Z:Z,"Approved"),"")</f>
        <v/>
      </c>
      <c r="O490" s="102" t="str">
        <f>IF(A490&lt;&gt;"",COUNTIFS('QA Log'!D:D,A490,'QA Log'!M:M,"QQC",'QA Log'!L:L,"6. Essential Medicine Management",'QA Log'!Z:Z,"Approved"),"")</f>
        <v/>
      </c>
      <c r="P490" s="102" t="str">
        <f>IF(A490&lt;&gt;"",COUNTIFS('QA Log'!D:D,A490,'QA Log'!M:M,"QQC",'QA Log'!L:L,"7. Tracer Medicine",'QA Log'!Z:Z,"Approved"),"")</f>
        <v/>
      </c>
      <c r="Q490" s="102" t="str">
        <f>IF(A490&lt;&gt;"",COUNTIFS('QA Log'!D:D,A490,'QA Log'!M:M,"QQC",'QA Log'!L:L,"11. Additional Questions",'QA Log'!Z:Z,"Approved"),"")</f>
        <v/>
      </c>
      <c r="R490" s="102" t="str">
        <f>IF(A490="","",SUM(
COUNTIFS('QA Log'!D:D,A490,'QA Log'!M:M,"QQC",'QA Log'!Z:Z,"Rejected",'QA Log'!L:L,"*8. Maternity*"),
COUNTIFS('QA Log'!D:D,A490,'QA Log'!M:M,"QQC",'QA Log'!Z:Z,"Rejected",'QA Log'!L:L,"*EPI*"),
COUNTIFS('QA Log'!D:D,A490,'QA Log'!M:M,"QQC",'QA Log'!Z:Z,"Rejected",'QA Log'!L:L,"*10. Antenatal Care (ANC)*"),
COUNTIFS('QA Log'!D:D,A490,'QA Log'!M:M,"QQC",'QA Log'!Z:Z,"Rejected",'QA Log'!L:L,"*2. Hygiene and Sterilization*"),
COUNTIFS('QA Log'!D:D,A490,'QA Log'!M:M,"QQC",'QA Log'!Z:Z,"Rejected",'QA Log'!L:L,"*Family Planning*")))</f>
        <v/>
      </c>
      <c r="S490" s="106" t="str">
        <f t="shared" si="27"/>
        <v/>
      </c>
      <c r="T490" s="102" t="str">
        <f t="shared" si="28"/>
        <v/>
      </c>
      <c r="U490" s="102" t="str">
        <f>IF(A490="","",
SUM(
COUNTIFS('QA Log'!D:D,A490,'QA Log'!M:M,"QQC",'QA Log'!L:L,"*8. Maternity*"),
COUNTIFS('QA Log'!D:D,A490,'QA Log'!M:M,"QQC",'QA Log'!L:L,"*9. EPI and Pre-school Consultation*"),
COUNTIFS('QA Log'!D:D,A490,'QA Log'!M:M,"QQC",'QA Log'!L:L,"*10. Antenatal Care (ANC)*"),
COUNTIFS('QA Log'!D:D,A490,'QA Log'!M:M,"QQC",'QA Log'!L:L,"*2. Hygiene and Sterilization*"),
COUNTIFS('QA Log'!D:D,A490,'QA Log'!M:M,"QQC",'QA Log'!L:L,"*4. Family Planning*")
))</f>
        <v/>
      </c>
      <c r="V490" s="102" t="str">
        <f>IF(A490="","",
SUM(
COUNTIFS('QA Log'!D:D,A490,'QA Log'!M:M,"QQC",'QA Log'!Z:Z,"Approved",'QA Log'!L:L,"*8. Maternity*"),
COUNTIFS('QA Log'!D:D,A490,'QA Log'!M:M,"QQC",'QA Log'!Z:Z,"Approved",'QA Log'!L:L,"*9. EPI and Pre-school Consultation*"),
COUNTIFS('QA Log'!D:D,A490,'QA Log'!M:M,"QQC",'QA Log'!Z:Z,"Approved",'QA Log'!L:L,"*10. Antenatal Care (ANC)*"),
COUNTIFS('QA Log'!D:D,A490,'QA Log'!M:M,"QQC",'QA Log'!Z:Z,"Approved",'QA Log'!L:L,"*2. Hygiene and Sterilization*"),
COUNTIFS('QA Log'!D:D,A490,'QA Log'!M:M,"QQC",'QA Log'!Z:Z,"Approved",'QA Log'!L:L,"*4. Family Planning*")
))</f>
        <v/>
      </c>
      <c r="W490" s="102" t="str">
        <f>IF(A490&lt;&gt;"",COUNTIFS('QA Log'!D:D,A490,'QA Log'!M:M,"QQC",'QA Log'!L:L,"8. Maternity",'QA Log'!Z:Z,"Approved"),"")</f>
        <v/>
      </c>
      <c r="X490" s="105" t="str">
        <f>IF(A490&lt;&gt;"",COUNTIFS('QA Log'!D:D,A490,'QA Log'!M:M,"QQC",'QA Log'!L:L,"9. EPI and Pre-school Consultation",'QA Log'!Z:Z,"Approved"),"")</f>
        <v/>
      </c>
      <c r="Y490" s="102" t="str">
        <f>IF(A490&lt;&gt;"",COUNTIFS('QA Log'!D:D,A490,'QA Log'!M:M,"QQC",'QA Log'!L:L,"10. Antenatal Care (ANC)",'QA Log'!Z:Z,"Approved"),"")</f>
        <v/>
      </c>
      <c r="Z490" s="102" t="str">
        <f>IF(A490&lt;&gt;"",COUNTIFS('QA Log'!D:D,A490,'QA Log'!M:M,"QQC",'QA Log'!L:L,"2. Hygiene and Sterilization",'QA Log'!Z:Z,"Approved"),"")</f>
        <v/>
      </c>
      <c r="AA490" s="105" t="str">
        <f>IF(A490&lt;&gt;"",COUNTIFS('QA Log'!D:D,A490,'QA Log'!M:M,"QQC",'QA Log'!L:L,"4. Family Planning",'QA Log'!Z:Z,"Approved"),"")</f>
        <v/>
      </c>
      <c r="AB490" s="102" t="str">
        <f>IF(A490="","",
SUM(
COUNTIFS('QA Log'!D:D,A490,'QA Log'!M:M,"QQC",'QA Log'!Z:Z,"Rejected",'QA Log'!L:L,"*8. Maternity*"),
COUNTIFS('QA Log'!D:D,A490,'QA Log'!M:M,"QQC",'QA Log'!Z:Z,"Rejected",'QA Log'!L:L,"*9. EPI and Pre-school Consultation*"),
COUNTIFS('QA Log'!D:D,A490,'QA Log'!M:M,"QQC",'QA Log'!Z:Z,"Rejected",'QA Log'!L:L,"*10. Antenatal Care (ANC)*"),
COUNTIFS('QA Log'!D:D,A490,'QA Log'!M:M,"QQC",'QA Log'!Z:Z,"Rejected",'QA Log'!L:L,"*2. Hygiene and Sterilization*"),
COUNTIFS('QA Log'!D:D,A490,'QA Log'!M:M,"QQC",'QA Log'!Z:Z,"Rejected",'QA Log'!L:L,"*4. Family Planning*")
))</f>
        <v/>
      </c>
      <c r="AC490" s="102" t="str">
        <f t="shared" si="29"/>
        <v/>
      </c>
      <c r="AD490" s="103" t="str">
        <f t="shared" si="30"/>
        <v/>
      </c>
      <c r="AE490" s="102" t="str">
        <f>IF(A490="","",
SUM(
COUNTIFS('QA Log'!D:D,A490,'QA Log'!M:M,"Data Verification",'QA Log'!L:L,"*Medicine (section 2)*"),
COUNTIFS('QA Log'!D:D,A490,'QA Log'!M:M,"Data Verification",'QA Log'!L:L,"*Lab Testing Availability*"),
COUNTIFS('QA Log'!D:D,A490,'QA Log'!M:M,"Data Verification",'QA Log'!L:L,"*Other than P4P (section 6)*"),
COUNTIFS('QA Log'!D:D,A490,'QA Log'!M:M,"Data Verification",'QA Log'!L:L,"*Hospital Governance*")
))</f>
        <v/>
      </c>
      <c r="AF490" s="102" t="str">
        <f>IF(A490="","",
SUM(
COUNTIFS('QA Log'!D:D,A490,'QA Log'!M:M,"Data Verification",'QA Log'!Z:Z,"Approved",'QA Log'!L:L,"*Medicine (section 2)*"),
COUNTIFS('QA Log'!D:D,A490,'QA Log'!M:M,"Data Verification",'QA Log'!Z:Z,"Approved",'QA Log'!L:L,"*Lab Testing Availability*"),
COUNTIFS('QA Log'!D:D,A490,'QA Log'!M:M,"Data Verification",'QA Log'!Z:Z,"Approved",'QA Log'!L:L,"*Other than P4P (section 6)*"),
COUNTIFS('QA Log'!D:D,A490,'QA Log'!M:M,"Data Verification",'QA Log'!Z:Z,"Approved",'QA Log'!L:L,"*Hospital Governance*")
))</f>
        <v/>
      </c>
      <c r="AG490" s="105" t="str">
        <f>IF(A490&lt;&gt;"",COUNTIFS('QA Log'!D:D,A490,'QA Log'!M:M,"Data Verification",'QA Log'!L:L,"Medicine (section 2)",'QA Log'!Z:Z,"Approved"),"")</f>
        <v/>
      </c>
      <c r="AH490" s="105" t="str">
        <f>IF(A490&lt;&gt;"",COUNTIFS('QA Log'!D:D,A490,'QA Log'!M:M,"Data Verification",'QA Log'!L:L,"Lab Testing Availability",'QA Log'!Z:Z,"Approved"),"")</f>
        <v/>
      </c>
      <c r="AI490" s="105" t="str">
        <f>IF(A490&lt;&gt;"",COUNTIFS('QA Log'!D:D,A490,'QA Log'!M:M,"Data Verification",'QA Log'!L:L,"Other than P4P (section 6)",'QA Log'!Z:Z,"Approved"),"")</f>
        <v/>
      </c>
      <c r="AJ490" s="105" t="str">
        <f>IF(A490&lt;&gt;"",COUNTIFS('QA Log'!D:D,A490,'QA Log'!M:M,"Data Verification",'QA Log'!L:L,"Hospital Governance",'QA Log'!Z:Z,"Approved"),"")</f>
        <v/>
      </c>
      <c r="AK490" s="102" t="str">
        <f>IF(A490="","",
SUM(
COUNTIFS('QA Log'!D:D,A490,'QA Log'!M:M,"Data Verification",'QA Log'!Z:Z,"Rejected",'QA Log'!L:L,"*Medicine (section 2)*"),
COUNTIFS('QA Log'!D:D,A490,'QA Log'!M:M,"Data Verification",'QA Log'!Z:Z,"Rejected",'QA Log'!L:L,"*Lab Testing Availability*"),
COUNTIFS('QA Log'!D:D,A490,'QA Log'!M:M,"Data Verification",'QA Log'!Z:Z,"Rejected",'QA Log'!L:L,"*Other than P4P (section 6)*"),
COUNTIFS('QA Log'!D:D,A490,'QA Log'!M:M,"Data Verification",'QA Log'!Z:Z,"Rejected",'QA Log'!L:L,"*Hospital Governance*")
))</f>
        <v/>
      </c>
      <c r="AL490" s="106" t="str">
        <f t="shared" si="31"/>
        <v/>
      </c>
      <c r="AM490" s="102" t="str">
        <f t="shared" si="32"/>
        <v/>
      </c>
      <c r="AN490" s="102" t="str">
        <f>IF(A490="","",
SUM(
COUNTIFS('QA Log'!D:D,A490,'QA Log'!M:M,"Data Verification",'QA Log'!L:L,"*Personnel (section 1)*"),
COUNTIFS('QA Log'!D:D,A490,'QA Log'!M:M,"Data Verification",'QA Log'!L:L,"*Consumable (section 3)*"),
COUNTIFS('QA Log'!D:D,A490,'QA Log'!M:M,"Data Verification",'QA Log'!L:L,"*Equipments (section 4)*")
))</f>
        <v/>
      </c>
      <c r="AO490" s="102" t="str">
        <f>IF(A490="","",
SUM(
COUNTIFS('QA Log'!D:D,A490,'QA Log'!M:M,"Data Verification",'QA Log'!Z:Z,"Approved",'QA Log'!L:L,"*Personnel (section 1)*"),
COUNTIFS('QA Log'!D:D,A490,'QA Log'!M:M,"Data Verification",'QA Log'!Z:Z,"Approved",'QA Log'!L:L,"*Consumable (section 3)*"),
COUNTIFS('QA Log'!D:D,A490,'QA Log'!M:M,"Data Verification",'QA Log'!Z:Z,"Approved",'QA Log'!L:L,"*Equipments (section 4)*")
))</f>
        <v/>
      </c>
      <c r="AP490" s="105" t="str">
        <f>IF(A490&lt;&gt;"",COUNTIFS('QA Log'!D:D,A490,'QA Log'!M:M,"Data Verification",'QA Log'!L:L,"Personnel (section 1)",'QA Log'!Z:Z,"Approved"),"")</f>
        <v/>
      </c>
      <c r="AQ490" s="105" t="str">
        <f>IF(A490&lt;&gt;"",COUNTIFS('QA Log'!D:D,A490,'QA Log'!M:M,"Data Verification",'QA Log'!L:L,"Consumable (section 3)",'QA Log'!Z:Z,"Approved"),"")</f>
        <v/>
      </c>
      <c r="AR490" s="105" t="str">
        <f>IF(A490&lt;&gt;"",COUNTIFS('QA Log'!D:D,A490,'QA Log'!M:M,"Data Verification",'QA Log'!L:L,"Equipments (section 4)",'QA Log'!Z:Z,"Approved"),"")</f>
        <v/>
      </c>
      <c r="AS490" s="102" t="str">
        <f>IF(A490="","",
SUM(
COUNTIFS('QA Log'!D:D,A490,'QA Log'!M:M,"Data Verification",'QA Log'!Z:Z,"Rejected",'QA Log'!L:L,"*Personnel (section 1)*"),
COUNTIFS('QA Log'!D:D,A490,'QA Log'!M:M,"Data Verification",'QA Log'!Z:Z,"Rejected",'QA Log'!L:L,"*Consumable (section 3)*"),
COUNTIFS('QA Log'!D:D,A490,'QA Log'!M:M,"Data Verification",'QA Log'!Z:Z,"Rejected",'QA Log'!L:L,"*Equipments (section 4)*")
))</f>
        <v/>
      </c>
      <c r="AT490" s="102" t="str">
        <f t="shared" si="33"/>
        <v/>
      </c>
      <c r="AU490" s="103" t="str">
        <f t="shared" si="34"/>
        <v/>
      </c>
      <c r="AV490" s="102" t="str">
        <f>IF(A490="","",SUM(
COUNTIFS('QA Log'!D:D,A490,'QA Log'!M:M,"Vignette",'QA Log'!L:L,"*Vignette [1] Respiratory Infection: Pneumonia*"),
COUNTIFS('QA Log'!D:D,A490,'QA Log'!M:M,"Vignette",'QA Log'!L:L,"*Vignette [2]: Diarrhea with Cat B dehydration*"),
COUNTIFS('QA Log'!D:D,A490,'QA Log'!M:M,"Vignette",'QA Log'!L:L,"*Vignette [3] Growth Monitoring and Promotion*"),
COUNTIFS('QA Log'!D:D,A490,'QA Log'!M:M,"Vignette",'QA Log'!L:L,"*Vignette [4]: The management of presumptive TB patient*")
)
)</f>
        <v/>
      </c>
      <c r="AW490" s="102" t="str">
        <f>IF(
  A490="","",
  SUM(
    COUNTIFS('QA Log'!D:D,A490,'QA Log'!M:M,"Vignette",'QA Log'!Z:Z,"Approved",'QA Log'!L:L,"*Vignette [1] Respiratory Infection: Pneumonia*"),
    COUNTIFS('QA Log'!D:D,A490,'QA Log'!M:M,"Vignette",'QA Log'!Z:Z,"Approved",'QA Log'!L:L,"*Vignette [2]: Diarrhea with Cat B dehydration*"),
    COUNTIFS('QA Log'!D:D,A490,'QA Log'!M:M,"Vignette",'QA Log'!Z:Z,"Approved",'QA Log'!L:L,"*Vignette [3] Growth Monitoring and Promotion*"),
    COUNTIFS('QA Log'!D:D,A490,'QA Log'!M:M,"Vignette",'QA Log'!Z:Z,"Approved",'QA Log'!L:L,"*Vignette [4]: The management of presumptive TB patient*")
  )
)</f>
        <v/>
      </c>
      <c r="AX490" s="105" t="str">
        <f>IF(A490&lt;&gt;"",COUNTIFS('QA Log'!D:D,A490,'QA Log'!M:M,"Vignette",'QA Log'!L:L,"Vignette [1] Respiratory Infection: Pneumonia",'QA Log'!Z:Z,"Approved"),"")</f>
        <v/>
      </c>
      <c r="AY490" s="105" t="str">
        <f>IF(A490&lt;&gt;"",COUNTIFS('QA Log'!D:D,A490,'QA Log'!M:M,"Vignette",'QA Log'!L:L,"Vignette [2]: Diarrhea with Cat B dehydration",'QA Log'!Z:Z,"Approved"),"")</f>
        <v/>
      </c>
      <c r="AZ490" s="105" t="str">
        <f>IF(A490&lt;&gt;"",COUNTIFS('QA Log'!D:D,A490,'QA Log'!M:M,"Vignette",'QA Log'!L:L,"Vignette [3] Growth Monitoring and Promotion",'QA Log'!Z:Z,"Approved"),"")</f>
        <v/>
      </c>
      <c r="BA490" s="105" t="str">
        <f>IF(A490&lt;&gt;"",COUNTIFS('QA Log'!D:D,A490,'QA Log'!M:M,"Vignette",'QA Log'!L:L,"Vignette [4]: The management of presumptive TB patient",'QA Log'!Z:Z,"Approved"),"")</f>
        <v/>
      </c>
      <c r="BB490" s="102" t="str">
        <f>IF(A490="","",
  SUM(
    COUNTIFS('QA Log'!D:D,A490,'QA Log'!M:M,"Vignette",'QA Log'!Z:Z,"Rejected",'QA Log'!L:L,"*Vignette [1] Respiratory Infection: Pneumonia*"),
    COUNTIFS('QA Log'!D:D,A490,'QA Log'!M:M,"Vignette",'QA Log'!Z:Z,"Rejected",'QA Log'!L:L,"*Vignette [2]: Diarrhea with Cat B dehydration*"),
    COUNTIFS('QA Log'!D:D,A490,'QA Log'!M:M,"Vignette",'QA Log'!Z:Z,"Rejected",'QA Log'!L:L,"*Vignette [3] Growth Monitoring and Promotion*"),
    COUNTIFS('QA Log'!D:D,A490,'QA Log'!M:M,"Vignette",'QA Log'!Z:Z,"Rejected",'QA Log'!L:L,"*Vignette [4]: The management of presumptive TB patient*")
  )
)</f>
        <v/>
      </c>
      <c r="BC490" s="107" t="str">
        <f t="shared" si="35"/>
        <v/>
      </c>
      <c r="BD490" s="103" t="str">
        <f t="shared" si="36"/>
        <v/>
      </c>
      <c r="BE490" s="102" t="str">
        <f>IF(A490="","",SUM(
COUNTIFS('QA Log'!D:D,A490,'QA Log'!M:M,"Vignette",'QA Log'!L:L,"*Vignette [5] Labor*"),
COUNTIFS('QA Log'!D:D,A490,'QA Log'!M:M,"Vignette",'QA Log'!L:L,"*Vignette [6] PNC pre Discharge*"),
COUNTIFS('QA Log'!D:D,A490,'QA Log'!M:M,"Vignette",'QA Log'!L:L,"*Vignette [7] First ANC Visit*"),
COUNTIFS('QA Log'!D:D,A490,'QA Log'!M:M,"Vignette",'QA Log'!L:L,"*Vignette [8] Birth Spacing/ Family Planning :  FP Counselling*"),
COUNTIFS('QA Log'!D:D,A490,'QA Log'!M:M,"Vignette",'QA Log'!L:L,"*Vignette [9] Birth Spacing: Change FP method to Injectable*"),
COUNTIFS('QA Log'!D:D,A490,'QA Log'!M:M,"Vignette",'QA Log'!L:L,"*Vignette [10] Post Partum Haemorrhage - Atonic Uterus at Health Centre*"),
)
)</f>
        <v/>
      </c>
      <c r="BF490" s="102" t="str">
        <f>IF(A490="","",
  SUM(
    COUNTIFS('QA Log'!D:D,A490,'QA Log'!M:M,"Vignette",'QA Log'!Z:Z,"Approved",'QA Log'!L:L,"*Vignette [5] Labor*"),
    COUNTIFS('QA Log'!D:D,A490,'QA Log'!M:M,"Vignette",'QA Log'!Z:Z,"Approved",'QA Log'!L:L,"*Vignette [6] PNC pre Discharge*"),
    COUNTIFS('QA Log'!D:D,A490,'QA Log'!M:M,"Vignette",'QA Log'!Z:Z,"Approved",'QA Log'!L:L,"*Vignette [7] First ANC Visit*"),
    COUNTIFS('QA Log'!D:D,A490,'QA Log'!M:M,"Vignette",'QA Log'!Z:Z,"Approved",'QA Log'!L:L,"*Vignette [8] Birth Spacing/ Family Planning :  FP Counselling*"),
    COUNTIFS('QA Log'!D:D,A490,'QA Log'!M:M,"Vignette",'QA Log'!Z:Z,"Approved",'QA Log'!L:L,"*Vignette [9] Birth Spacing: Change FP method to Injectable*"),
    COUNTIFS('QA Log'!D:D,A490,'QA Log'!M:M,"Vignette",'QA Log'!Z:Z,"Approved",'QA Log'!L:L,"*Vignette [10] Post Partum Haemorrhage - Atonic Uterus at Health Centre*")
  )
)</f>
        <v/>
      </c>
      <c r="BG490" s="105" t="str">
        <f>IF(A490&lt;&gt;"",COUNTIFS('QA Log'!D:D,A490,'QA Log'!M:M,"Vignette",'QA Log'!L:L,"Vignette [5] Labor",'QA Log'!Z:Z,"Approved"),"")</f>
        <v/>
      </c>
      <c r="BH490" s="105" t="str">
        <f>IF(A490&lt;&gt;"",COUNTIFS('QA Log'!D:D,A490,'QA Log'!M:M,"Vignette",'QA Log'!L:L,"Vignette [6] PNC pre Discharge",'QA Log'!Z:Z,"Approved"),"")</f>
        <v/>
      </c>
      <c r="BI490" s="105" t="str">
        <f>IF(A490&lt;&gt;"",COUNTIFS('QA Log'!D:D,A490,'QA Log'!M:M,"Vignette",'QA Log'!L:L,"Vignette [7] First ANC Visit",'QA Log'!Z:Z,"Approved"),"")</f>
        <v/>
      </c>
      <c r="BJ490" s="105" t="str">
        <f>IF(A490&lt;&gt;"",COUNTIFS('QA Log'!D:D,A490,'QA Log'!M:M,"Vignette",'QA Log'!L:L,"Vignette [8] Birth Spacing/ Family Planning :  FP Counselling",'QA Log'!Z:Z,"Approved"),"")</f>
        <v/>
      </c>
      <c r="BK490" s="105" t="str">
        <f>IF(A490&lt;&gt;"",COUNTIFS('QA Log'!D:D,A490,'QA Log'!M:M,"Vignette",'QA Log'!L:L,"Vignette [9] Birth Spacing: Change FP method to Injectable",'QA Log'!Z:Z,"Approved"),"")</f>
        <v/>
      </c>
      <c r="BL490" s="105" t="str">
        <f>IF(A490&lt;&gt;"",COUNTIFS('QA Log'!D:D,A490,'QA Log'!M:M,"Vignette",'QA Log'!L:L,"Vignette [10] Post Partum Haemorrhage - Atonic Uterus at Health Centre",'QA Log'!Z:Z,"Approved"),"")</f>
        <v/>
      </c>
      <c r="BM490" s="102" t="str">
        <f>IF(A490="","",SUM(
    COUNTIFS('QA Log'!D:D,A490,'QA Log'!M:M,"Vignette",'QA Log'!Z:Z,"Rejected",'QA Log'!L:L,"*Vignette [5] Labor*"),
    COUNTIFS('QA Log'!D:D,A490,'QA Log'!M:M,"Vignette",'QA Log'!Z:Z,"Rejected",'QA Log'!L:L,"*Vignette [6] PNC pre Discharge*"),
    COUNTIFS('QA Log'!D:D,A490,'QA Log'!M:M,"Vignette",'QA Log'!Z:Z,"Rejected",'QA Log'!L:L,"*Vignette [7] First ANC Visit*"),
    COUNTIFS('QA Log'!D:D,A490,'QA Log'!M:M,"Vignette",'QA Log'!Z:Z,"Rejected",'QA Log'!L:L,"*Vignette [8] Birth Spacing/ Family Planning :  FP Counselling*"),
    COUNTIFS('QA Log'!D:D,A490,'QA Log'!M:M,"Vignette",'QA Log'!Z:Z,"Rejected",'QA Log'!L:L,"*Vignette [9] Birth Spacing: Change FP method to Injectable*"),
    COUNTIFS('QA Log'!D:D,A490,'QA Log'!M:M,"Vignette",'QA Log'!Z:Z,"Rejected",'QA Log'!L:L,"*Vignette [10] Post Partum Haemorrhage - Atonic Uterus at Health Centre*")
  )
)</f>
        <v/>
      </c>
      <c r="BN490" s="107" t="str">
        <f t="shared" si="37"/>
        <v/>
      </c>
      <c r="BO490" s="103" t="str">
        <f t="shared" si="38"/>
        <v/>
      </c>
      <c r="BP490" s="102" t="str">
        <f>IF(A490="","",SUM(
COUNTIFS('QA Log'!D:D,A490,'QA Log'!M:M,"Vignette",'QA Log'!L:L,"*Exit Interview 1*"),
COUNTIFS('QA Log'!D:D,A490,'QA Log'!M:M,"Vignette",'QA Log'!L:L,"*Exit Interview 2*"),
)
)</f>
        <v/>
      </c>
      <c r="BQ490" s="102" t="str">
        <f>IF(
  A490="","",
  SUM(
    COUNTIFS('QA Log'!D:D,A490,'QA Log'!M:M,"Vignette",'QA Log'!Z:Z,"Approved",'QA Log'!L:L,"*Exit Interview 1*"),
    COUNTIFS('QA Log'!D:D,A490,'QA Log'!M:M,"Vignette",'QA Log'!Z:Z,"Approved",'QA Log'!L:L,"*Exit Interview 2*")
  )
)</f>
        <v/>
      </c>
      <c r="BR490" s="105" t="str">
        <f>IF(A490&lt;&gt;"",COUNTIFS('QA Log'!D:D,A490,'QA Log'!M:M,"Vignette",'QA Log'!L:L,"Exit Interview 1",'QA Log'!Z:Z,"Approved"),"")</f>
        <v/>
      </c>
      <c r="BS490" s="105" t="str">
        <f>IF(A490&lt;&gt;"",COUNTIFS('QA Log'!D:D,A490,'QA Log'!M:M,"Vignette",'QA Log'!L:L,"Exit Interview 2",'QA Log'!Z:Z,"Approved"),"")</f>
        <v/>
      </c>
      <c r="BT490" s="102" t="str">
        <f>IF(
  A490="","",
  SUM(
    COUNTIFS('QA Log'!D:D,A490,'QA Log'!M:M,"Vignette",'QA Log'!Z:Z,"Rejected",'QA Log'!L:L,"*Exit Interview 1*"),
    COUNTIFS('QA Log'!D:D,A490,'QA Log'!M:M,"Vignette",'QA Log'!Z:Z,"Rejected",'QA Log'!L:L,"*Exit Interview 2*")
  )
)</f>
        <v/>
      </c>
      <c r="BU490" s="107" t="str">
        <f t="shared" si="39"/>
        <v/>
      </c>
      <c r="BV490" s="102" t="str">
        <f t="shared" si="40"/>
        <v/>
      </c>
      <c r="BW490" s="102" t="str">
        <f t="shared" si="41"/>
        <v/>
      </c>
      <c r="BX490" s="102" t="str">
        <f t="shared" si="42"/>
        <v/>
      </c>
      <c r="BY490" s="102" t="str">
        <f t="shared" si="43"/>
        <v/>
      </c>
      <c r="BZ490" s="107" t="str">
        <f t="shared" si="44"/>
        <v/>
      </c>
      <c r="CA490" s="108" t="str">
        <f t="shared" si="45"/>
        <v/>
      </c>
      <c r="CB490" s="108" t="str">
        <f t="shared" si="46"/>
        <v/>
      </c>
      <c r="CC490" s="109" t="str">
        <f t="shared" si="47"/>
        <v/>
      </c>
      <c r="CD490" s="108" t="str">
        <f t="shared" si="48"/>
        <v/>
      </c>
      <c r="CE490" s="108" t="str">
        <f t="shared" si="49"/>
        <v/>
      </c>
      <c r="CF490" s="109" t="str">
        <f t="shared" si="50"/>
        <v/>
      </c>
      <c r="CG490" s="110" t="str">
        <f t="shared" si="51"/>
        <v/>
      </c>
      <c r="CH490" s="111"/>
    </row>
    <row r="491" spans="1:86" ht="12.75">
      <c r="A491" s="101"/>
      <c r="B491" s="102" t="e">
        <f t="array" aca="1" ref="B491" ca="1">_xludf.XLOOKUP(A491,'QA Log'!D:D,'QA Log'!E:E,"")</f>
        <v>#NAME?</v>
      </c>
      <c r="C491" s="102" t="e">
        <f t="array" aca="1" ref="C491" ca="1">_xludf.XLOOKUP(A491,'QA Log'!D:D,'QA Log'!F:F,"")</f>
        <v>#NAME?</v>
      </c>
      <c r="D491" s="102" t="e">
        <f t="array" aca="1" ref="D491" ca="1">_xludf.XLOOKUP(A491,'QA Log'!D:D,'QA Log'!H:H,"")</f>
        <v>#NAME?</v>
      </c>
      <c r="E491" s="102" t="e">
        <f t="array" aca="1" ref="E491" ca="1">_xludf.XLOOKUP(A491,'QA Log'!D:D,'QA Log'!G:G,"")</f>
        <v>#NAME?</v>
      </c>
      <c r="F491" s="103"/>
      <c r="G491" s="104"/>
      <c r="H491" s="104"/>
      <c r="I491" s="103" t="str">
        <f t="shared" si="26"/>
        <v/>
      </c>
      <c r="J491" s="102" t="str">
        <f>IF(A491="","",SUM(
COUNTIFS('QA Log'!D:D,A491,'QA Log'!M:M,"QQC",'QA Log'!L:L,"*1. General Management*"),
COUNTIFS('QA Log'!D:D,A491,'QA Log'!M:M,"QQC",'QA Log'!L:L,"*3. Curative Consultation (OPD)*"),
COUNTIFS('QA Log'!D:D,A491,'QA Log'!M:M,"QQC",'QA Log'!L:L,"*5. Laboratory*"),
COUNTIFS('QA Log'!D:D,A491,'QA Log'!M:M,"QQC",'QA Log'!L:L,"*6. Essential Medicine Management*"),
COUNTIFS('QA Log'!D:D,A491,'QA Log'!M:M,"QQC",'QA Log'!L:L,"*7. Tracer Medicine*"),
COUNTIFS('QA Log'!D:D,A491,'QA Log'!M:M,"QQC",'QA Log'!L:L,"*11. Additional Questions*")))</f>
        <v/>
      </c>
      <c r="K491" s="102" t="str">
        <f>IF(A491="","",SUM(
COUNTIFS('QA Log'!D:D,A491,'QA Log'!M:M,"QQC",'QA Log'!Z:Z,"Approved",'QA Log'!L:L,"*1. General Management*"),
COUNTIFS('QA Log'!D:D,A491,'QA Log'!M:M,"QQC",'QA Log'!Z:Z,"Approved",'QA Log'!L:L,"*3. Curative Consultation (OPD)*"),
COUNTIFS('QA Log'!D:D,A491,'QA Log'!M:M,"QQC",'QA Log'!Z:Z,"Approved",'QA Log'!L:L,"*5. Laboratory*"),
COUNTIFS('QA Log'!D:D,A491,'QA Log'!M:M,"QQC",'QA Log'!Z:Z,"Approved",'QA Log'!L:L,"*6. Essential Medicine Management*"),
COUNTIFS('QA Log'!D:D,A491,'QA Log'!M:M,"QQC",'QA Log'!Z:Z,"Approved",'QA Log'!L:L,"*7. Tracer Medicine*"),
COUNTIFS('QA Log'!D:D,A491,'QA Log'!M:M,"QQC",'QA Log'!Z:Z,"Approved",'QA Log'!L:L,"*11. Additional Questions*")))</f>
        <v/>
      </c>
      <c r="L491" s="102" t="str">
        <f>IF(A491&lt;&gt;"",COUNTIFS('QA Log'!D:D,A491,'QA Log'!M:M,"QQC",'QA Log'!L:L,"1. General Management",'QA Log'!Z:Z,"Approved"),"")</f>
        <v/>
      </c>
      <c r="M491" s="102" t="str">
        <f>IF(A491&lt;&gt;"",COUNTIFS('QA Log'!D:D,A491,'QA Log'!M:M,"QQC",'QA Log'!L:L,"3. Curative Consultation (OPD)",'QA Log'!Z:Z,"Approved"),"")</f>
        <v/>
      </c>
      <c r="N491" s="102" t="str">
        <f>IF(A491&lt;&gt;"",COUNTIFS('QA Log'!D:D,A491,'QA Log'!M:M,"QQC",'QA Log'!L:L,"5. Laboratory",'QA Log'!Z:Z,"Approved"),"")</f>
        <v/>
      </c>
      <c r="O491" s="102" t="str">
        <f>IF(A491&lt;&gt;"",COUNTIFS('QA Log'!D:D,A491,'QA Log'!M:M,"QQC",'QA Log'!L:L,"6. Essential Medicine Management",'QA Log'!Z:Z,"Approved"),"")</f>
        <v/>
      </c>
      <c r="P491" s="102" t="str">
        <f>IF(A491&lt;&gt;"",COUNTIFS('QA Log'!D:D,A491,'QA Log'!M:M,"QQC",'QA Log'!L:L,"7. Tracer Medicine",'QA Log'!Z:Z,"Approved"),"")</f>
        <v/>
      </c>
      <c r="Q491" s="102" t="str">
        <f>IF(A491&lt;&gt;"",COUNTIFS('QA Log'!D:D,A491,'QA Log'!M:M,"QQC",'QA Log'!L:L,"11. Additional Questions",'QA Log'!Z:Z,"Approved"),"")</f>
        <v/>
      </c>
      <c r="R491" s="102" t="str">
        <f>IF(A491="","",SUM(
COUNTIFS('QA Log'!D:D,A491,'QA Log'!M:M,"QQC",'QA Log'!Z:Z,"Rejected",'QA Log'!L:L,"*8. Maternity*"),
COUNTIFS('QA Log'!D:D,A491,'QA Log'!M:M,"QQC",'QA Log'!Z:Z,"Rejected",'QA Log'!L:L,"*EPI*"),
COUNTIFS('QA Log'!D:D,A491,'QA Log'!M:M,"QQC",'QA Log'!Z:Z,"Rejected",'QA Log'!L:L,"*10. Antenatal Care (ANC)*"),
COUNTIFS('QA Log'!D:D,A491,'QA Log'!M:M,"QQC",'QA Log'!Z:Z,"Rejected",'QA Log'!L:L,"*2. Hygiene and Sterilization*"),
COUNTIFS('QA Log'!D:D,A491,'QA Log'!M:M,"QQC",'QA Log'!Z:Z,"Rejected",'QA Log'!L:L,"*Family Planning*")))</f>
        <v/>
      </c>
      <c r="S491" s="106" t="str">
        <f t="shared" si="27"/>
        <v/>
      </c>
      <c r="T491" s="102" t="str">
        <f t="shared" si="28"/>
        <v/>
      </c>
      <c r="U491" s="102" t="str">
        <f>IF(A491="","",
SUM(
COUNTIFS('QA Log'!D:D,A491,'QA Log'!M:M,"QQC",'QA Log'!L:L,"*8. Maternity*"),
COUNTIFS('QA Log'!D:D,A491,'QA Log'!M:M,"QQC",'QA Log'!L:L,"*9. EPI and Pre-school Consultation*"),
COUNTIFS('QA Log'!D:D,A491,'QA Log'!M:M,"QQC",'QA Log'!L:L,"*10. Antenatal Care (ANC)*"),
COUNTIFS('QA Log'!D:D,A491,'QA Log'!M:M,"QQC",'QA Log'!L:L,"*2. Hygiene and Sterilization*"),
COUNTIFS('QA Log'!D:D,A491,'QA Log'!M:M,"QQC",'QA Log'!L:L,"*4. Family Planning*")
))</f>
        <v/>
      </c>
      <c r="V491" s="102" t="str">
        <f>IF(A491="","",
SUM(
COUNTIFS('QA Log'!D:D,A491,'QA Log'!M:M,"QQC",'QA Log'!Z:Z,"Approved",'QA Log'!L:L,"*8. Maternity*"),
COUNTIFS('QA Log'!D:D,A491,'QA Log'!M:M,"QQC",'QA Log'!Z:Z,"Approved",'QA Log'!L:L,"*9. EPI and Pre-school Consultation*"),
COUNTIFS('QA Log'!D:D,A491,'QA Log'!M:M,"QQC",'QA Log'!Z:Z,"Approved",'QA Log'!L:L,"*10. Antenatal Care (ANC)*"),
COUNTIFS('QA Log'!D:D,A491,'QA Log'!M:M,"QQC",'QA Log'!Z:Z,"Approved",'QA Log'!L:L,"*2. Hygiene and Sterilization*"),
COUNTIFS('QA Log'!D:D,A491,'QA Log'!M:M,"QQC",'QA Log'!Z:Z,"Approved",'QA Log'!L:L,"*4. Family Planning*")
))</f>
        <v/>
      </c>
      <c r="W491" s="102" t="str">
        <f>IF(A491&lt;&gt;"",COUNTIFS('QA Log'!D:D,A491,'QA Log'!M:M,"QQC",'QA Log'!L:L,"8. Maternity",'QA Log'!Z:Z,"Approved"),"")</f>
        <v/>
      </c>
      <c r="X491" s="105" t="str">
        <f>IF(A491&lt;&gt;"",COUNTIFS('QA Log'!D:D,A491,'QA Log'!M:M,"QQC",'QA Log'!L:L,"9. EPI and Pre-school Consultation",'QA Log'!Z:Z,"Approved"),"")</f>
        <v/>
      </c>
      <c r="Y491" s="102" t="str">
        <f>IF(A491&lt;&gt;"",COUNTIFS('QA Log'!D:D,A491,'QA Log'!M:M,"QQC",'QA Log'!L:L,"10. Antenatal Care (ANC)",'QA Log'!Z:Z,"Approved"),"")</f>
        <v/>
      </c>
      <c r="Z491" s="102" t="str">
        <f>IF(A491&lt;&gt;"",COUNTIFS('QA Log'!D:D,A491,'QA Log'!M:M,"QQC",'QA Log'!L:L,"2. Hygiene and Sterilization",'QA Log'!Z:Z,"Approved"),"")</f>
        <v/>
      </c>
      <c r="AA491" s="105" t="str">
        <f>IF(A491&lt;&gt;"",COUNTIFS('QA Log'!D:D,A491,'QA Log'!M:M,"QQC",'QA Log'!L:L,"4. Family Planning",'QA Log'!Z:Z,"Approved"),"")</f>
        <v/>
      </c>
      <c r="AB491" s="102" t="str">
        <f>IF(A491="","",
SUM(
COUNTIFS('QA Log'!D:D,A491,'QA Log'!M:M,"QQC",'QA Log'!Z:Z,"Rejected",'QA Log'!L:L,"*8. Maternity*"),
COUNTIFS('QA Log'!D:D,A491,'QA Log'!M:M,"QQC",'QA Log'!Z:Z,"Rejected",'QA Log'!L:L,"*9. EPI and Pre-school Consultation*"),
COUNTIFS('QA Log'!D:D,A491,'QA Log'!M:M,"QQC",'QA Log'!Z:Z,"Rejected",'QA Log'!L:L,"*10. Antenatal Care (ANC)*"),
COUNTIFS('QA Log'!D:D,A491,'QA Log'!M:M,"QQC",'QA Log'!Z:Z,"Rejected",'QA Log'!L:L,"*2. Hygiene and Sterilization*"),
COUNTIFS('QA Log'!D:D,A491,'QA Log'!M:M,"QQC",'QA Log'!Z:Z,"Rejected",'QA Log'!L:L,"*4. Family Planning*")
))</f>
        <v/>
      </c>
      <c r="AC491" s="102" t="str">
        <f t="shared" si="29"/>
        <v/>
      </c>
      <c r="AD491" s="103" t="str">
        <f t="shared" si="30"/>
        <v/>
      </c>
      <c r="AE491" s="102" t="str">
        <f>IF(A491="","",
SUM(
COUNTIFS('QA Log'!D:D,A491,'QA Log'!M:M,"Data Verification",'QA Log'!L:L,"*Medicine (section 2)*"),
COUNTIFS('QA Log'!D:D,A491,'QA Log'!M:M,"Data Verification",'QA Log'!L:L,"*Lab Testing Availability*"),
COUNTIFS('QA Log'!D:D,A491,'QA Log'!M:M,"Data Verification",'QA Log'!L:L,"*Other than P4P (section 6)*"),
COUNTIFS('QA Log'!D:D,A491,'QA Log'!M:M,"Data Verification",'QA Log'!L:L,"*Hospital Governance*")
))</f>
        <v/>
      </c>
      <c r="AF491" s="102" t="str">
        <f>IF(A491="","",
SUM(
COUNTIFS('QA Log'!D:D,A491,'QA Log'!M:M,"Data Verification",'QA Log'!Z:Z,"Approved",'QA Log'!L:L,"*Medicine (section 2)*"),
COUNTIFS('QA Log'!D:D,A491,'QA Log'!M:M,"Data Verification",'QA Log'!Z:Z,"Approved",'QA Log'!L:L,"*Lab Testing Availability*"),
COUNTIFS('QA Log'!D:D,A491,'QA Log'!M:M,"Data Verification",'QA Log'!Z:Z,"Approved",'QA Log'!L:L,"*Other than P4P (section 6)*"),
COUNTIFS('QA Log'!D:D,A491,'QA Log'!M:M,"Data Verification",'QA Log'!Z:Z,"Approved",'QA Log'!L:L,"*Hospital Governance*")
))</f>
        <v/>
      </c>
      <c r="AG491" s="105" t="str">
        <f>IF(A491&lt;&gt;"",COUNTIFS('QA Log'!D:D,A491,'QA Log'!M:M,"Data Verification",'QA Log'!L:L,"Medicine (section 2)",'QA Log'!Z:Z,"Approved"),"")</f>
        <v/>
      </c>
      <c r="AH491" s="105" t="str">
        <f>IF(A491&lt;&gt;"",COUNTIFS('QA Log'!D:D,A491,'QA Log'!M:M,"Data Verification",'QA Log'!L:L,"Lab Testing Availability",'QA Log'!Z:Z,"Approved"),"")</f>
        <v/>
      </c>
      <c r="AI491" s="105" t="str">
        <f>IF(A491&lt;&gt;"",COUNTIFS('QA Log'!D:D,A491,'QA Log'!M:M,"Data Verification",'QA Log'!L:L,"Other than P4P (section 6)",'QA Log'!Z:Z,"Approved"),"")</f>
        <v/>
      </c>
      <c r="AJ491" s="105" t="str">
        <f>IF(A491&lt;&gt;"",COUNTIFS('QA Log'!D:D,A491,'QA Log'!M:M,"Data Verification",'QA Log'!L:L,"Hospital Governance",'QA Log'!Z:Z,"Approved"),"")</f>
        <v/>
      </c>
      <c r="AK491" s="102" t="str">
        <f>IF(A491="","",
SUM(
COUNTIFS('QA Log'!D:D,A491,'QA Log'!M:M,"Data Verification",'QA Log'!Z:Z,"Rejected",'QA Log'!L:L,"*Medicine (section 2)*"),
COUNTIFS('QA Log'!D:D,A491,'QA Log'!M:M,"Data Verification",'QA Log'!Z:Z,"Rejected",'QA Log'!L:L,"*Lab Testing Availability*"),
COUNTIFS('QA Log'!D:D,A491,'QA Log'!M:M,"Data Verification",'QA Log'!Z:Z,"Rejected",'QA Log'!L:L,"*Other than P4P (section 6)*"),
COUNTIFS('QA Log'!D:D,A491,'QA Log'!M:M,"Data Verification",'QA Log'!Z:Z,"Rejected",'QA Log'!L:L,"*Hospital Governance*")
))</f>
        <v/>
      </c>
      <c r="AL491" s="106" t="str">
        <f t="shared" si="31"/>
        <v/>
      </c>
      <c r="AM491" s="102" t="str">
        <f t="shared" si="32"/>
        <v/>
      </c>
      <c r="AN491" s="102" t="str">
        <f>IF(A491="","",
SUM(
COUNTIFS('QA Log'!D:D,A491,'QA Log'!M:M,"Data Verification",'QA Log'!L:L,"*Personnel (section 1)*"),
COUNTIFS('QA Log'!D:D,A491,'QA Log'!M:M,"Data Verification",'QA Log'!L:L,"*Consumable (section 3)*"),
COUNTIFS('QA Log'!D:D,A491,'QA Log'!M:M,"Data Verification",'QA Log'!L:L,"*Equipments (section 4)*")
))</f>
        <v/>
      </c>
      <c r="AO491" s="102" t="str">
        <f>IF(A491="","",
SUM(
COUNTIFS('QA Log'!D:D,A491,'QA Log'!M:M,"Data Verification",'QA Log'!Z:Z,"Approved",'QA Log'!L:L,"*Personnel (section 1)*"),
COUNTIFS('QA Log'!D:D,A491,'QA Log'!M:M,"Data Verification",'QA Log'!Z:Z,"Approved",'QA Log'!L:L,"*Consumable (section 3)*"),
COUNTIFS('QA Log'!D:D,A491,'QA Log'!M:M,"Data Verification",'QA Log'!Z:Z,"Approved",'QA Log'!L:L,"*Equipments (section 4)*")
))</f>
        <v/>
      </c>
      <c r="AP491" s="105" t="str">
        <f>IF(A491&lt;&gt;"",COUNTIFS('QA Log'!D:D,A491,'QA Log'!M:M,"Data Verification",'QA Log'!L:L,"Personnel (section 1)",'QA Log'!Z:Z,"Approved"),"")</f>
        <v/>
      </c>
      <c r="AQ491" s="105" t="str">
        <f>IF(A491&lt;&gt;"",COUNTIFS('QA Log'!D:D,A491,'QA Log'!M:M,"Data Verification",'QA Log'!L:L,"Consumable (section 3)",'QA Log'!Z:Z,"Approved"),"")</f>
        <v/>
      </c>
      <c r="AR491" s="105" t="str">
        <f>IF(A491&lt;&gt;"",COUNTIFS('QA Log'!D:D,A491,'QA Log'!M:M,"Data Verification",'QA Log'!L:L,"Equipments (section 4)",'QA Log'!Z:Z,"Approved"),"")</f>
        <v/>
      </c>
      <c r="AS491" s="102" t="str">
        <f>IF(A491="","",
SUM(
COUNTIFS('QA Log'!D:D,A491,'QA Log'!M:M,"Data Verification",'QA Log'!Z:Z,"Rejected",'QA Log'!L:L,"*Personnel (section 1)*"),
COUNTIFS('QA Log'!D:D,A491,'QA Log'!M:M,"Data Verification",'QA Log'!Z:Z,"Rejected",'QA Log'!L:L,"*Consumable (section 3)*"),
COUNTIFS('QA Log'!D:D,A491,'QA Log'!M:M,"Data Verification",'QA Log'!Z:Z,"Rejected",'QA Log'!L:L,"*Equipments (section 4)*")
))</f>
        <v/>
      </c>
      <c r="AT491" s="102" t="str">
        <f t="shared" si="33"/>
        <v/>
      </c>
      <c r="AU491" s="103" t="str">
        <f t="shared" si="34"/>
        <v/>
      </c>
      <c r="AV491" s="102" t="str">
        <f>IF(A491="","",SUM(
COUNTIFS('QA Log'!D:D,A491,'QA Log'!M:M,"Vignette",'QA Log'!L:L,"*Vignette [1] Respiratory Infection: Pneumonia*"),
COUNTIFS('QA Log'!D:D,A491,'QA Log'!M:M,"Vignette",'QA Log'!L:L,"*Vignette [2]: Diarrhea with Cat B dehydration*"),
COUNTIFS('QA Log'!D:D,A491,'QA Log'!M:M,"Vignette",'QA Log'!L:L,"*Vignette [3] Growth Monitoring and Promotion*"),
COUNTIFS('QA Log'!D:D,A491,'QA Log'!M:M,"Vignette",'QA Log'!L:L,"*Vignette [4]: The management of presumptive TB patient*")
)
)</f>
        <v/>
      </c>
      <c r="AW491" s="102" t="str">
        <f>IF(
  A491="","",
  SUM(
    COUNTIFS('QA Log'!D:D,A491,'QA Log'!M:M,"Vignette",'QA Log'!Z:Z,"Approved",'QA Log'!L:L,"*Vignette [1] Respiratory Infection: Pneumonia*"),
    COUNTIFS('QA Log'!D:D,A491,'QA Log'!M:M,"Vignette",'QA Log'!Z:Z,"Approved",'QA Log'!L:L,"*Vignette [2]: Diarrhea with Cat B dehydration*"),
    COUNTIFS('QA Log'!D:D,A491,'QA Log'!M:M,"Vignette",'QA Log'!Z:Z,"Approved",'QA Log'!L:L,"*Vignette [3] Growth Monitoring and Promotion*"),
    COUNTIFS('QA Log'!D:D,A491,'QA Log'!M:M,"Vignette",'QA Log'!Z:Z,"Approved",'QA Log'!L:L,"*Vignette [4]: The management of presumptive TB patient*")
  )
)</f>
        <v/>
      </c>
      <c r="AX491" s="105" t="str">
        <f>IF(A491&lt;&gt;"",COUNTIFS('QA Log'!D:D,A491,'QA Log'!M:M,"Vignette",'QA Log'!L:L,"Vignette [1] Respiratory Infection: Pneumonia",'QA Log'!Z:Z,"Approved"),"")</f>
        <v/>
      </c>
      <c r="AY491" s="105" t="str">
        <f>IF(A491&lt;&gt;"",COUNTIFS('QA Log'!D:D,A491,'QA Log'!M:M,"Vignette",'QA Log'!L:L,"Vignette [2]: Diarrhea with Cat B dehydration",'QA Log'!Z:Z,"Approved"),"")</f>
        <v/>
      </c>
      <c r="AZ491" s="105" t="str">
        <f>IF(A491&lt;&gt;"",COUNTIFS('QA Log'!D:D,A491,'QA Log'!M:M,"Vignette",'QA Log'!L:L,"Vignette [3] Growth Monitoring and Promotion",'QA Log'!Z:Z,"Approved"),"")</f>
        <v/>
      </c>
      <c r="BA491" s="105" t="str">
        <f>IF(A491&lt;&gt;"",COUNTIFS('QA Log'!D:D,A491,'QA Log'!M:M,"Vignette",'QA Log'!L:L,"Vignette [4]: The management of presumptive TB patient",'QA Log'!Z:Z,"Approved"),"")</f>
        <v/>
      </c>
      <c r="BB491" s="102" t="str">
        <f>IF(A491="","",
  SUM(
    COUNTIFS('QA Log'!D:D,A491,'QA Log'!M:M,"Vignette",'QA Log'!Z:Z,"Rejected",'QA Log'!L:L,"*Vignette [1] Respiratory Infection: Pneumonia*"),
    COUNTIFS('QA Log'!D:D,A491,'QA Log'!M:M,"Vignette",'QA Log'!Z:Z,"Rejected",'QA Log'!L:L,"*Vignette [2]: Diarrhea with Cat B dehydration*"),
    COUNTIFS('QA Log'!D:D,A491,'QA Log'!M:M,"Vignette",'QA Log'!Z:Z,"Rejected",'QA Log'!L:L,"*Vignette [3] Growth Monitoring and Promotion*"),
    COUNTIFS('QA Log'!D:D,A491,'QA Log'!M:M,"Vignette",'QA Log'!Z:Z,"Rejected",'QA Log'!L:L,"*Vignette [4]: The management of presumptive TB patient*")
  )
)</f>
        <v/>
      </c>
      <c r="BC491" s="107" t="str">
        <f t="shared" si="35"/>
        <v/>
      </c>
      <c r="BD491" s="103" t="str">
        <f t="shared" si="36"/>
        <v/>
      </c>
      <c r="BE491" s="102" t="str">
        <f>IF(A491="","",SUM(
COUNTIFS('QA Log'!D:D,A491,'QA Log'!M:M,"Vignette",'QA Log'!L:L,"*Vignette [5] Labor*"),
COUNTIFS('QA Log'!D:D,A491,'QA Log'!M:M,"Vignette",'QA Log'!L:L,"*Vignette [6] PNC pre Discharge*"),
COUNTIFS('QA Log'!D:D,A491,'QA Log'!M:M,"Vignette",'QA Log'!L:L,"*Vignette [7] First ANC Visit*"),
COUNTIFS('QA Log'!D:D,A491,'QA Log'!M:M,"Vignette",'QA Log'!L:L,"*Vignette [8] Birth Spacing/ Family Planning :  FP Counselling*"),
COUNTIFS('QA Log'!D:D,A491,'QA Log'!M:M,"Vignette",'QA Log'!L:L,"*Vignette [9] Birth Spacing: Change FP method to Injectable*"),
COUNTIFS('QA Log'!D:D,A491,'QA Log'!M:M,"Vignette",'QA Log'!L:L,"*Vignette [10] Post Partum Haemorrhage - Atonic Uterus at Health Centre*"),
)
)</f>
        <v/>
      </c>
      <c r="BF491" s="102" t="str">
        <f>IF(A491="","",
  SUM(
    COUNTIFS('QA Log'!D:D,A491,'QA Log'!M:M,"Vignette",'QA Log'!Z:Z,"Approved",'QA Log'!L:L,"*Vignette [5] Labor*"),
    COUNTIFS('QA Log'!D:D,A491,'QA Log'!M:M,"Vignette",'QA Log'!Z:Z,"Approved",'QA Log'!L:L,"*Vignette [6] PNC pre Discharge*"),
    COUNTIFS('QA Log'!D:D,A491,'QA Log'!M:M,"Vignette",'QA Log'!Z:Z,"Approved",'QA Log'!L:L,"*Vignette [7] First ANC Visit*"),
    COUNTIFS('QA Log'!D:D,A491,'QA Log'!M:M,"Vignette",'QA Log'!Z:Z,"Approved",'QA Log'!L:L,"*Vignette [8] Birth Spacing/ Family Planning :  FP Counselling*"),
    COUNTIFS('QA Log'!D:D,A491,'QA Log'!M:M,"Vignette",'QA Log'!Z:Z,"Approved",'QA Log'!L:L,"*Vignette [9] Birth Spacing: Change FP method to Injectable*"),
    COUNTIFS('QA Log'!D:D,A491,'QA Log'!M:M,"Vignette",'QA Log'!Z:Z,"Approved",'QA Log'!L:L,"*Vignette [10] Post Partum Haemorrhage - Atonic Uterus at Health Centre*")
  )
)</f>
        <v/>
      </c>
      <c r="BG491" s="105" t="str">
        <f>IF(A491&lt;&gt;"",COUNTIFS('QA Log'!D:D,A491,'QA Log'!M:M,"Vignette",'QA Log'!L:L,"Vignette [5] Labor",'QA Log'!Z:Z,"Approved"),"")</f>
        <v/>
      </c>
      <c r="BH491" s="105" t="str">
        <f>IF(A491&lt;&gt;"",COUNTIFS('QA Log'!D:D,A491,'QA Log'!M:M,"Vignette",'QA Log'!L:L,"Vignette [6] PNC pre Discharge",'QA Log'!Z:Z,"Approved"),"")</f>
        <v/>
      </c>
      <c r="BI491" s="105" t="str">
        <f>IF(A491&lt;&gt;"",COUNTIFS('QA Log'!D:D,A491,'QA Log'!M:M,"Vignette",'QA Log'!L:L,"Vignette [7] First ANC Visit",'QA Log'!Z:Z,"Approved"),"")</f>
        <v/>
      </c>
      <c r="BJ491" s="105" t="str">
        <f>IF(A491&lt;&gt;"",COUNTIFS('QA Log'!D:D,A491,'QA Log'!M:M,"Vignette",'QA Log'!L:L,"Vignette [8] Birth Spacing/ Family Planning :  FP Counselling",'QA Log'!Z:Z,"Approved"),"")</f>
        <v/>
      </c>
      <c r="BK491" s="105" t="str">
        <f>IF(A491&lt;&gt;"",COUNTIFS('QA Log'!D:D,A491,'QA Log'!M:M,"Vignette",'QA Log'!L:L,"Vignette [9] Birth Spacing: Change FP method to Injectable",'QA Log'!Z:Z,"Approved"),"")</f>
        <v/>
      </c>
      <c r="BL491" s="105" t="str">
        <f>IF(A491&lt;&gt;"",COUNTIFS('QA Log'!D:D,A491,'QA Log'!M:M,"Vignette",'QA Log'!L:L,"Vignette [10] Post Partum Haemorrhage - Atonic Uterus at Health Centre",'QA Log'!Z:Z,"Approved"),"")</f>
        <v/>
      </c>
      <c r="BM491" s="102" t="str">
        <f>IF(A491="","",SUM(
    COUNTIFS('QA Log'!D:D,A491,'QA Log'!M:M,"Vignette",'QA Log'!Z:Z,"Rejected",'QA Log'!L:L,"*Vignette [5] Labor*"),
    COUNTIFS('QA Log'!D:D,A491,'QA Log'!M:M,"Vignette",'QA Log'!Z:Z,"Rejected",'QA Log'!L:L,"*Vignette [6] PNC pre Discharge*"),
    COUNTIFS('QA Log'!D:D,A491,'QA Log'!M:M,"Vignette",'QA Log'!Z:Z,"Rejected",'QA Log'!L:L,"*Vignette [7] First ANC Visit*"),
    COUNTIFS('QA Log'!D:D,A491,'QA Log'!M:M,"Vignette",'QA Log'!Z:Z,"Rejected",'QA Log'!L:L,"*Vignette [8] Birth Spacing/ Family Planning :  FP Counselling*"),
    COUNTIFS('QA Log'!D:D,A491,'QA Log'!M:M,"Vignette",'QA Log'!Z:Z,"Rejected",'QA Log'!L:L,"*Vignette [9] Birth Spacing: Change FP method to Injectable*"),
    COUNTIFS('QA Log'!D:D,A491,'QA Log'!M:M,"Vignette",'QA Log'!Z:Z,"Rejected",'QA Log'!L:L,"*Vignette [10] Post Partum Haemorrhage - Atonic Uterus at Health Centre*")
  )
)</f>
        <v/>
      </c>
      <c r="BN491" s="107" t="str">
        <f t="shared" si="37"/>
        <v/>
      </c>
      <c r="BO491" s="103" t="str">
        <f t="shared" si="38"/>
        <v/>
      </c>
      <c r="BP491" s="102" t="str">
        <f>IF(A491="","",SUM(
COUNTIFS('QA Log'!D:D,A491,'QA Log'!M:M,"Vignette",'QA Log'!L:L,"*Exit Interview 1*"),
COUNTIFS('QA Log'!D:D,A491,'QA Log'!M:M,"Vignette",'QA Log'!L:L,"*Exit Interview 2*"),
)
)</f>
        <v/>
      </c>
      <c r="BQ491" s="102" t="str">
        <f>IF(
  A491="","",
  SUM(
    COUNTIFS('QA Log'!D:D,A491,'QA Log'!M:M,"Vignette",'QA Log'!Z:Z,"Approved",'QA Log'!L:L,"*Exit Interview 1*"),
    COUNTIFS('QA Log'!D:D,A491,'QA Log'!M:M,"Vignette",'QA Log'!Z:Z,"Approved",'QA Log'!L:L,"*Exit Interview 2*")
  )
)</f>
        <v/>
      </c>
      <c r="BR491" s="105" t="str">
        <f>IF(A491&lt;&gt;"",COUNTIFS('QA Log'!D:D,A491,'QA Log'!M:M,"Vignette",'QA Log'!L:L,"Exit Interview 1",'QA Log'!Z:Z,"Approved"),"")</f>
        <v/>
      </c>
      <c r="BS491" s="105" t="str">
        <f>IF(A491&lt;&gt;"",COUNTIFS('QA Log'!D:D,A491,'QA Log'!M:M,"Vignette",'QA Log'!L:L,"Exit Interview 2",'QA Log'!Z:Z,"Approved"),"")</f>
        <v/>
      </c>
      <c r="BT491" s="102" t="str">
        <f>IF(
  A491="","",
  SUM(
    COUNTIFS('QA Log'!D:D,A491,'QA Log'!M:M,"Vignette",'QA Log'!Z:Z,"Rejected",'QA Log'!L:L,"*Exit Interview 1*"),
    COUNTIFS('QA Log'!D:D,A491,'QA Log'!M:M,"Vignette",'QA Log'!Z:Z,"Rejected",'QA Log'!L:L,"*Exit Interview 2*")
  )
)</f>
        <v/>
      </c>
      <c r="BU491" s="107" t="str">
        <f t="shared" si="39"/>
        <v/>
      </c>
      <c r="BV491" s="102" t="str">
        <f t="shared" si="40"/>
        <v/>
      </c>
      <c r="BW491" s="102" t="str">
        <f t="shared" si="41"/>
        <v/>
      </c>
      <c r="BX491" s="102" t="str">
        <f t="shared" si="42"/>
        <v/>
      </c>
      <c r="BY491" s="102" t="str">
        <f t="shared" si="43"/>
        <v/>
      </c>
      <c r="BZ491" s="107" t="str">
        <f t="shared" si="44"/>
        <v/>
      </c>
      <c r="CA491" s="108" t="str">
        <f t="shared" si="45"/>
        <v/>
      </c>
      <c r="CB491" s="108" t="str">
        <f t="shared" si="46"/>
        <v/>
      </c>
      <c r="CC491" s="109" t="str">
        <f t="shared" si="47"/>
        <v/>
      </c>
      <c r="CD491" s="108" t="str">
        <f t="shared" si="48"/>
        <v/>
      </c>
      <c r="CE491" s="108" t="str">
        <f t="shared" si="49"/>
        <v/>
      </c>
      <c r="CF491" s="109" t="str">
        <f t="shared" si="50"/>
        <v/>
      </c>
      <c r="CG491" s="110" t="str">
        <f t="shared" si="51"/>
        <v/>
      </c>
      <c r="CH491" s="111"/>
    </row>
    <row r="492" spans="1:86" ht="12.75">
      <c r="A492" s="101"/>
      <c r="B492" s="102" t="e">
        <f t="array" aca="1" ref="B492" ca="1">_xludf.XLOOKUP(A492,'QA Log'!D:D,'QA Log'!E:E,"")</f>
        <v>#NAME?</v>
      </c>
      <c r="C492" s="102" t="e">
        <f t="array" aca="1" ref="C492" ca="1">_xludf.XLOOKUP(A492,'QA Log'!D:D,'QA Log'!F:F,"")</f>
        <v>#NAME?</v>
      </c>
      <c r="D492" s="102" t="e">
        <f t="array" aca="1" ref="D492" ca="1">_xludf.XLOOKUP(A492,'QA Log'!D:D,'QA Log'!H:H,"")</f>
        <v>#NAME?</v>
      </c>
      <c r="E492" s="102" t="e">
        <f t="array" aca="1" ref="E492" ca="1">_xludf.XLOOKUP(A492,'QA Log'!D:D,'QA Log'!G:G,"")</f>
        <v>#NAME?</v>
      </c>
      <c r="F492" s="103"/>
      <c r="G492" s="104"/>
      <c r="H492" s="104"/>
      <c r="I492" s="103" t="str">
        <f t="shared" si="26"/>
        <v/>
      </c>
      <c r="J492" s="102" t="str">
        <f>IF(A492="","",SUM(
COUNTIFS('QA Log'!D:D,A492,'QA Log'!M:M,"QQC",'QA Log'!L:L,"*1. General Management*"),
COUNTIFS('QA Log'!D:D,A492,'QA Log'!M:M,"QQC",'QA Log'!L:L,"*3. Curative Consultation (OPD)*"),
COUNTIFS('QA Log'!D:D,A492,'QA Log'!M:M,"QQC",'QA Log'!L:L,"*5. Laboratory*"),
COUNTIFS('QA Log'!D:D,A492,'QA Log'!M:M,"QQC",'QA Log'!L:L,"*6. Essential Medicine Management*"),
COUNTIFS('QA Log'!D:D,A492,'QA Log'!M:M,"QQC",'QA Log'!L:L,"*7. Tracer Medicine*"),
COUNTIFS('QA Log'!D:D,A492,'QA Log'!M:M,"QQC",'QA Log'!L:L,"*11. Additional Questions*")))</f>
        <v/>
      </c>
      <c r="K492" s="102" t="str">
        <f>IF(A492="","",SUM(
COUNTIFS('QA Log'!D:D,A492,'QA Log'!M:M,"QQC",'QA Log'!Z:Z,"Approved",'QA Log'!L:L,"*1. General Management*"),
COUNTIFS('QA Log'!D:D,A492,'QA Log'!M:M,"QQC",'QA Log'!Z:Z,"Approved",'QA Log'!L:L,"*3. Curative Consultation (OPD)*"),
COUNTIFS('QA Log'!D:D,A492,'QA Log'!M:M,"QQC",'QA Log'!Z:Z,"Approved",'QA Log'!L:L,"*5. Laboratory*"),
COUNTIFS('QA Log'!D:D,A492,'QA Log'!M:M,"QQC",'QA Log'!Z:Z,"Approved",'QA Log'!L:L,"*6. Essential Medicine Management*"),
COUNTIFS('QA Log'!D:D,A492,'QA Log'!M:M,"QQC",'QA Log'!Z:Z,"Approved",'QA Log'!L:L,"*7. Tracer Medicine*"),
COUNTIFS('QA Log'!D:D,A492,'QA Log'!M:M,"QQC",'QA Log'!Z:Z,"Approved",'QA Log'!L:L,"*11. Additional Questions*")))</f>
        <v/>
      </c>
      <c r="L492" s="102" t="str">
        <f>IF(A492&lt;&gt;"",COUNTIFS('QA Log'!D:D,A492,'QA Log'!M:M,"QQC",'QA Log'!L:L,"1. General Management",'QA Log'!Z:Z,"Approved"),"")</f>
        <v/>
      </c>
      <c r="M492" s="102" t="str">
        <f>IF(A492&lt;&gt;"",COUNTIFS('QA Log'!D:D,A492,'QA Log'!M:M,"QQC",'QA Log'!L:L,"3. Curative Consultation (OPD)",'QA Log'!Z:Z,"Approved"),"")</f>
        <v/>
      </c>
      <c r="N492" s="102" t="str">
        <f>IF(A492&lt;&gt;"",COUNTIFS('QA Log'!D:D,A492,'QA Log'!M:M,"QQC",'QA Log'!L:L,"5. Laboratory",'QA Log'!Z:Z,"Approved"),"")</f>
        <v/>
      </c>
      <c r="O492" s="102" t="str">
        <f>IF(A492&lt;&gt;"",COUNTIFS('QA Log'!D:D,A492,'QA Log'!M:M,"QQC",'QA Log'!L:L,"6. Essential Medicine Management",'QA Log'!Z:Z,"Approved"),"")</f>
        <v/>
      </c>
      <c r="P492" s="102" t="str">
        <f>IF(A492&lt;&gt;"",COUNTIFS('QA Log'!D:D,A492,'QA Log'!M:M,"QQC",'QA Log'!L:L,"7. Tracer Medicine",'QA Log'!Z:Z,"Approved"),"")</f>
        <v/>
      </c>
      <c r="Q492" s="102" t="str">
        <f>IF(A492&lt;&gt;"",COUNTIFS('QA Log'!D:D,A492,'QA Log'!M:M,"QQC",'QA Log'!L:L,"11. Additional Questions",'QA Log'!Z:Z,"Approved"),"")</f>
        <v/>
      </c>
      <c r="R492" s="102" t="str">
        <f>IF(A492="","",SUM(
COUNTIFS('QA Log'!D:D,A492,'QA Log'!M:M,"QQC",'QA Log'!Z:Z,"Rejected",'QA Log'!L:L,"*8. Maternity*"),
COUNTIFS('QA Log'!D:D,A492,'QA Log'!M:M,"QQC",'QA Log'!Z:Z,"Rejected",'QA Log'!L:L,"*EPI*"),
COUNTIFS('QA Log'!D:D,A492,'QA Log'!M:M,"QQC",'QA Log'!Z:Z,"Rejected",'QA Log'!L:L,"*10. Antenatal Care (ANC)*"),
COUNTIFS('QA Log'!D:D,A492,'QA Log'!M:M,"QQC",'QA Log'!Z:Z,"Rejected",'QA Log'!L:L,"*2. Hygiene and Sterilization*"),
COUNTIFS('QA Log'!D:D,A492,'QA Log'!M:M,"QQC",'QA Log'!Z:Z,"Rejected",'QA Log'!L:L,"*Family Planning*")))</f>
        <v/>
      </c>
      <c r="S492" s="106" t="str">
        <f t="shared" si="27"/>
        <v/>
      </c>
      <c r="T492" s="102" t="str">
        <f t="shared" si="28"/>
        <v/>
      </c>
      <c r="U492" s="102" t="str">
        <f>IF(A492="","",
SUM(
COUNTIFS('QA Log'!D:D,A492,'QA Log'!M:M,"QQC",'QA Log'!L:L,"*8. Maternity*"),
COUNTIFS('QA Log'!D:D,A492,'QA Log'!M:M,"QQC",'QA Log'!L:L,"*9. EPI and Pre-school Consultation*"),
COUNTIFS('QA Log'!D:D,A492,'QA Log'!M:M,"QQC",'QA Log'!L:L,"*10. Antenatal Care (ANC)*"),
COUNTIFS('QA Log'!D:D,A492,'QA Log'!M:M,"QQC",'QA Log'!L:L,"*2. Hygiene and Sterilization*"),
COUNTIFS('QA Log'!D:D,A492,'QA Log'!M:M,"QQC",'QA Log'!L:L,"*4. Family Planning*")
))</f>
        <v/>
      </c>
      <c r="V492" s="102" t="str">
        <f>IF(A492="","",
SUM(
COUNTIFS('QA Log'!D:D,A492,'QA Log'!M:M,"QQC",'QA Log'!Z:Z,"Approved",'QA Log'!L:L,"*8. Maternity*"),
COUNTIFS('QA Log'!D:D,A492,'QA Log'!M:M,"QQC",'QA Log'!Z:Z,"Approved",'QA Log'!L:L,"*9. EPI and Pre-school Consultation*"),
COUNTIFS('QA Log'!D:D,A492,'QA Log'!M:M,"QQC",'QA Log'!Z:Z,"Approved",'QA Log'!L:L,"*10. Antenatal Care (ANC)*"),
COUNTIFS('QA Log'!D:D,A492,'QA Log'!M:M,"QQC",'QA Log'!Z:Z,"Approved",'QA Log'!L:L,"*2. Hygiene and Sterilization*"),
COUNTIFS('QA Log'!D:D,A492,'QA Log'!M:M,"QQC",'QA Log'!Z:Z,"Approved",'QA Log'!L:L,"*4. Family Planning*")
))</f>
        <v/>
      </c>
      <c r="W492" s="102" t="str">
        <f>IF(A492&lt;&gt;"",COUNTIFS('QA Log'!D:D,A492,'QA Log'!M:M,"QQC",'QA Log'!L:L,"8. Maternity",'QA Log'!Z:Z,"Approved"),"")</f>
        <v/>
      </c>
      <c r="X492" s="105" t="str">
        <f>IF(A492&lt;&gt;"",COUNTIFS('QA Log'!D:D,A492,'QA Log'!M:M,"QQC",'QA Log'!L:L,"9. EPI and Pre-school Consultation",'QA Log'!Z:Z,"Approved"),"")</f>
        <v/>
      </c>
      <c r="Y492" s="102" t="str">
        <f>IF(A492&lt;&gt;"",COUNTIFS('QA Log'!D:D,A492,'QA Log'!M:M,"QQC",'QA Log'!L:L,"10. Antenatal Care (ANC)",'QA Log'!Z:Z,"Approved"),"")</f>
        <v/>
      </c>
      <c r="Z492" s="102" t="str">
        <f>IF(A492&lt;&gt;"",COUNTIFS('QA Log'!D:D,A492,'QA Log'!M:M,"QQC",'QA Log'!L:L,"2. Hygiene and Sterilization",'QA Log'!Z:Z,"Approved"),"")</f>
        <v/>
      </c>
      <c r="AA492" s="105" t="str">
        <f>IF(A492&lt;&gt;"",COUNTIFS('QA Log'!D:D,A492,'QA Log'!M:M,"QQC",'QA Log'!L:L,"4. Family Planning",'QA Log'!Z:Z,"Approved"),"")</f>
        <v/>
      </c>
      <c r="AB492" s="102" t="str">
        <f>IF(A492="","",
SUM(
COUNTIFS('QA Log'!D:D,A492,'QA Log'!M:M,"QQC",'QA Log'!Z:Z,"Rejected",'QA Log'!L:L,"*8. Maternity*"),
COUNTIFS('QA Log'!D:D,A492,'QA Log'!M:M,"QQC",'QA Log'!Z:Z,"Rejected",'QA Log'!L:L,"*9. EPI and Pre-school Consultation*"),
COUNTIFS('QA Log'!D:D,A492,'QA Log'!M:M,"QQC",'QA Log'!Z:Z,"Rejected",'QA Log'!L:L,"*10. Antenatal Care (ANC)*"),
COUNTIFS('QA Log'!D:D,A492,'QA Log'!M:M,"QQC",'QA Log'!Z:Z,"Rejected",'QA Log'!L:L,"*2. Hygiene and Sterilization*"),
COUNTIFS('QA Log'!D:D,A492,'QA Log'!M:M,"QQC",'QA Log'!Z:Z,"Rejected",'QA Log'!L:L,"*4. Family Planning*")
))</f>
        <v/>
      </c>
      <c r="AC492" s="102" t="str">
        <f t="shared" si="29"/>
        <v/>
      </c>
      <c r="AD492" s="103" t="str">
        <f t="shared" si="30"/>
        <v/>
      </c>
      <c r="AE492" s="102" t="str">
        <f>IF(A492="","",
SUM(
COUNTIFS('QA Log'!D:D,A492,'QA Log'!M:M,"Data Verification",'QA Log'!L:L,"*Medicine (section 2)*"),
COUNTIFS('QA Log'!D:D,A492,'QA Log'!M:M,"Data Verification",'QA Log'!L:L,"*Lab Testing Availability*"),
COUNTIFS('QA Log'!D:D,A492,'QA Log'!M:M,"Data Verification",'QA Log'!L:L,"*Other than P4P (section 6)*"),
COUNTIFS('QA Log'!D:D,A492,'QA Log'!M:M,"Data Verification",'QA Log'!L:L,"*Hospital Governance*")
))</f>
        <v/>
      </c>
      <c r="AF492" s="102" t="str">
        <f>IF(A492="","",
SUM(
COUNTIFS('QA Log'!D:D,A492,'QA Log'!M:M,"Data Verification",'QA Log'!Z:Z,"Approved",'QA Log'!L:L,"*Medicine (section 2)*"),
COUNTIFS('QA Log'!D:D,A492,'QA Log'!M:M,"Data Verification",'QA Log'!Z:Z,"Approved",'QA Log'!L:L,"*Lab Testing Availability*"),
COUNTIFS('QA Log'!D:D,A492,'QA Log'!M:M,"Data Verification",'QA Log'!Z:Z,"Approved",'QA Log'!L:L,"*Other than P4P (section 6)*"),
COUNTIFS('QA Log'!D:D,A492,'QA Log'!M:M,"Data Verification",'QA Log'!Z:Z,"Approved",'QA Log'!L:L,"*Hospital Governance*")
))</f>
        <v/>
      </c>
      <c r="AG492" s="105" t="str">
        <f>IF(A492&lt;&gt;"",COUNTIFS('QA Log'!D:D,A492,'QA Log'!M:M,"Data Verification",'QA Log'!L:L,"Medicine (section 2)",'QA Log'!Z:Z,"Approved"),"")</f>
        <v/>
      </c>
      <c r="AH492" s="105" t="str">
        <f>IF(A492&lt;&gt;"",COUNTIFS('QA Log'!D:D,A492,'QA Log'!M:M,"Data Verification",'QA Log'!L:L,"Lab Testing Availability",'QA Log'!Z:Z,"Approved"),"")</f>
        <v/>
      </c>
      <c r="AI492" s="105" t="str">
        <f>IF(A492&lt;&gt;"",COUNTIFS('QA Log'!D:D,A492,'QA Log'!M:M,"Data Verification",'QA Log'!L:L,"Other than P4P (section 6)",'QA Log'!Z:Z,"Approved"),"")</f>
        <v/>
      </c>
      <c r="AJ492" s="105" t="str">
        <f>IF(A492&lt;&gt;"",COUNTIFS('QA Log'!D:D,A492,'QA Log'!M:M,"Data Verification",'QA Log'!L:L,"Hospital Governance",'QA Log'!Z:Z,"Approved"),"")</f>
        <v/>
      </c>
      <c r="AK492" s="102" t="str">
        <f>IF(A492="","",
SUM(
COUNTIFS('QA Log'!D:D,A492,'QA Log'!M:M,"Data Verification",'QA Log'!Z:Z,"Rejected",'QA Log'!L:L,"*Medicine (section 2)*"),
COUNTIFS('QA Log'!D:D,A492,'QA Log'!M:M,"Data Verification",'QA Log'!Z:Z,"Rejected",'QA Log'!L:L,"*Lab Testing Availability*"),
COUNTIFS('QA Log'!D:D,A492,'QA Log'!M:M,"Data Verification",'QA Log'!Z:Z,"Rejected",'QA Log'!L:L,"*Other than P4P (section 6)*"),
COUNTIFS('QA Log'!D:D,A492,'QA Log'!M:M,"Data Verification",'QA Log'!Z:Z,"Rejected",'QA Log'!L:L,"*Hospital Governance*")
))</f>
        <v/>
      </c>
      <c r="AL492" s="106" t="str">
        <f t="shared" si="31"/>
        <v/>
      </c>
      <c r="AM492" s="102" t="str">
        <f t="shared" si="32"/>
        <v/>
      </c>
      <c r="AN492" s="102" t="str">
        <f>IF(A492="","",
SUM(
COUNTIFS('QA Log'!D:D,A492,'QA Log'!M:M,"Data Verification",'QA Log'!L:L,"*Personnel (section 1)*"),
COUNTIFS('QA Log'!D:D,A492,'QA Log'!M:M,"Data Verification",'QA Log'!L:L,"*Consumable (section 3)*"),
COUNTIFS('QA Log'!D:D,A492,'QA Log'!M:M,"Data Verification",'QA Log'!L:L,"*Equipments (section 4)*")
))</f>
        <v/>
      </c>
      <c r="AO492" s="102" t="str">
        <f>IF(A492="","",
SUM(
COUNTIFS('QA Log'!D:D,A492,'QA Log'!M:M,"Data Verification",'QA Log'!Z:Z,"Approved",'QA Log'!L:L,"*Personnel (section 1)*"),
COUNTIFS('QA Log'!D:D,A492,'QA Log'!M:M,"Data Verification",'QA Log'!Z:Z,"Approved",'QA Log'!L:L,"*Consumable (section 3)*"),
COUNTIFS('QA Log'!D:D,A492,'QA Log'!M:M,"Data Verification",'QA Log'!Z:Z,"Approved",'QA Log'!L:L,"*Equipments (section 4)*")
))</f>
        <v/>
      </c>
      <c r="AP492" s="105" t="str">
        <f>IF(A492&lt;&gt;"",COUNTIFS('QA Log'!D:D,A492,'QA Log'!M:M,"Data Verification",'QA Log'!L:L,"Personnel (section 1)",'QA Log'!Z:Z,"Approved"),"")</f>
        <v/>
      </c>
      <c r="AQ492" s="105" t="str">
        <f>IF(A492&lt;&gt;"",COUNTIFS('QA Log'!D:D,A492,'QA Log'!M:M,"Data Verification",'QA Log'!L:L,"Consumable (section 3)",'QA Log'!Z:Z,"Approved"),"")</f>
        <v/>
      </c>
      <c r="AR492" s="105" t="str">
        <f>IF(A492&lt;&gt;"",COUNTIFS('QA Log'!D:D,A492,'QA Log'!M:M,"Data Verification",'QA Log'!L:L,"Equipments (section 4)",'QA Log'!Z:Z,"Approved"),"")</f>
        <v/>
      </c>
      <c r="AS492" s="102" t="str">
        <f>IF(A492="","",
SUM(
COUNTIFS('QA Log'!D:D,A492,'QA Log'!M:M,"Data Verification",'QA Log'!Z:Z,"Rejected",'QA Log'!L:L,"*Personnel (section 1)*"),
COUNTIFS('QA Log'!D:D,A492,'QA Log'!M:M,"Data Verification",'QA Log'!Z:Z,"Rejected",'QA Log'!L:L,"*Consumable (section 3)*"),
COUNTIFS('QA Log'!D:D,A492,'QA Log'!M:M,"Data Verification",'QA Log'!Z:Z,"Rejected",'QA Log'!L:L,"*Equipments (section 4)*")
))</f>
        <v/>
      </c>
      <c r="AT492" s="102" t="str">
        <f t="shared" si="33"/>
        <v/>
      </c>
      <c r="AU492" s="103" t="str">
        <f t="shared" si="34"/>
        <v/>
      </c>
      <c r="AV492" s="102" t="str">
        <f>IF(A492="","",SUM(
COUNTIFS('QA Log'!D:D,A492,'QA Log'!M:M,"Vignette",'QA Log'!L:L,"*Vignette [1] Respiratory Infection: Pneumonia*"),
COUNTIFS('QA Log'!D:D,A492,'QA Log'!M:M,"Vignette",'QA Log'!L:L,"*Vignette [2]: Diarrhea with Cat B dehydration*"),
COUNTIFS('QA Log'!D:D,A492,'QA Log'!M:M,"Vignette",'QA Log'!L:L,"*Vignette [3] Growth Monitoring and Promotion*"),
COUNTIFS('QA Log'!D:D,A492,'QA Log'!M:M,"Vignette",'QA Log'!L:L,"*Vignette [4]: The management of presumptive TB patient*")
)
)</f>
        <v/>
      </c>
      <c r="AW492" s="102" t="str">
        <f>IF(
  A492="","",
  SUM(
    COUNTIFS('QA Log'!D:D,A492,'QA Log'!M:M,"Vignette",'QA Log'!Z:Z,"Approved",'QA Log'!L:L,"*Vignette [1] Respiratory Infection: Pneumonia*"),
    COUNTIFS('QA Log'!D:D,A492,'QA Log'!M:M,"Vignette",'QA Log'!Z:Z,"Approved",'QA Log'!L:L,"*Vignette [2]: Diarrhea with Cat B dehydration*"),
    COUNTIFS('QA Log'!D:D,A492,'QA Log'!M:M,"Vignette",'QA Log'!Z:Z,"Approved",'QA Log'!L:L,"*Vignette [3] Growth Monitoring and Promotion*"),
    COUNTIFS('QA Log'!D:D,A492,'QA Log'!M:M,"Vignette",'QA Log'!Z:Z,"Approved",'QA Log'!L:L,"*Vignette [4]: The management of presumptive TB patient*")
  )
)</f>
        <v/>
      </c>
      <c r="AX492" s="105" t="str">
        <f>IF(A492&lt;&gt;"",COUNTIFS('QA Log'!D:D,A492,'QA Log'!M:M,"Vignette",'QA Log'!L:L,"Vignette [1] Respiratory Infection: Pneumonia",'QA Log'!Z:Z,"Approved"),"")</f>
        <v/>
      </c>
      <c r="AY492" s="105" t="str">
        <f>IF(A492&lt;&gt;"",COUNTIFS('QA Log'!D:D,A492,'QA Log'!M:M,"Vignette",'QA Log'!L:L,"Vignette [2]: Diarrhea with Cat B dehydration",'QA Log'!Z:Z,"Approved"),"")</f>
        <v/>
      </c>
      <c r="AZ492" s="105" t="str">
        <f>IF(A492&lt;&gt;"",COUNTIFS('QA Log'!D:D,A492,'QA Log'!M:M,"Vignette",'QA Log'!L:L,"Vignette [3] Growth Monitoring and Promotion",'QA Log'!Z:Z,"Approved"),"")</f>
        <v/>
      </c>
      <c r="BA492" s="105" t="str">
        <f>IF(A492&lt;&gt;"",COUNTIFS('QA Log'!D:D,A492,'QA Log'!M:M,"Vignette",'QA Log'!L:L,"Vignette [4]: The management of presumptive TB patient",'QA Log'!Z:Z,"Approved"),"")</f>
        <v/>
      </c>
      <c r="BB492" s="102" t="str">
        <f>IF(A492="","",
  SUM(
    COUNTIFS('QA Log'!D:D,A492,'QA Log'!M:M,"Vignette",'QA Log'!Z:Z,"Rejected",'QA Log'!L:L,"*Vignette [1] Respiratory Infection: Pneumonia*"),
    COUNTIFS('QA Log'!D:D,A492,'QA Log'!M:M,"Vignette",'QA Log'!Z:Z,"Rejected",'QA Log'!L:L,"*Vignette [2]: Diarrhea with Cat B dehydration*"),
    COUNTIFS('QA Log'!D:D,A492,'QA Log'!M:M,"Vignette",'QA Log'!Z:Z,"Rejected",'QA Log'!L:L,"*Vignette [3] Growth Monitoring and Promotion*"),
    COUNTIFS('QA Log'!D:D,A492,'QA Log'!M:M,"Vignette",'QA Log'!Z:Z,"Rejected",'QA Log'!L:L,"*Vignette [4]: The management of presumptive TB patient*")
  )
)</f>
        <v/>
      </c>
      <c r="BC492" s="107" t="str">
        <f t="shared" si="35"/>
        <v/>
      </c>
      <c r="BD492" s="103" t="str">
        <f t="shared" si="36"/>
        <v/>
      </c>
      <c r="BE492" s="102" t="str">
        <f>IF(A492="","",SUM(
COUNTIFS('QA Log'!D:D,A492,'QA Log'!M:M,"Vignette",'QA Log'!L:L,"*Vignette [5] Labor*"),
COUNTIFS('QA Log'!D:D,A492,'QA Log'!M:M,"Vignette",'QA Log'!L:L,"*Vignette [6] PNC pre Discharge*"),
COUNTIFS('QA Log'!D:D,A492,'QA Log'!M:M,"Vignette",'QA Log'!L:L,"*Vignette [7] First ANC Visit*"),
COUNTIFS('QA Log'!D:D,A492,'QA Log'!M:M,"Vignette",'QA Log'!L:L,"*Vignette [8] Birth Spacing/ Family Planning :  FP Counselling*"),
COUNTIFS('QA Log'!D:D,A492,'QA Log'!M:M,"Vignette",'QA Log'!L:L,"*Vignette [9] Birth Spacing: Change FP method to Injectable*"),
COUNTIFS('QA Log'!D:D,A492,'QA Log'!M:M,"Vignette",'QA Log'!L:L,"*Vignette [10] Post Partum Haemorrhage - Atonic Uterus at Health Centre*"),
)
)</f>
        <v/>
      </c>
      <c r="BF492" s="102" t="str">
        <f>IF(A492="","",
  SUM(
    COUNTIFS('QA Log'!D:D,A492,'QA Log'!M:M,"Vignette",'QA Log'!Z:Z,"Approved",'QA Log'!L:L,"*Vignette [5] Labor*"),
    COUNTIFS('QA Log'!D:D,A492,'QA Log'!M:M,"Vignette",'QA Log'!Z:Z,"Approved",'QA Log'!L:L,"*Vignette [6] PNC pre Discharge*"),
    COUNTIFS('QA Log'!D:D,A492,'QA Log'!M:M,"Vignette",'QA Log'!Z:Z,"Approved",'QA Log'!L:L,"*Vignette [7] First ANC Visit*"),
    COUNTIFS('QA Log'!D:D,A492,'QA Log'!M:M,"Vignette",'QA Log'!Z:Z,"Approved",'QA Log'!L:L,"*Vignette [8] Birth Spacing/ Family Planning :  FP Counselling*"),
    COUNTIFS('QA Log'!D:D,A492,'QA Log'!M:M,"Vignette",'QA Log'!Z:Z,"Approved",'QA Log'!L:L,"*Vignette [9] Birth Spacing: Change FP method to Injectable*"),
    COUNTIFS('QA Log'!D:D,A492,'QA Log'!M:M,"Vignette",'QA Log'!Z:Z,"Approved",'QA Log'!L:L,"*Vignette [10] Post Partum Haemorrhage - Atonic Uterus at Health Centre*")
  )
)</f>
        <v/>
      </c>
      <c r="BG492" s="105" t="str">
        <f>IF(A492&lt;&gt;"",COUNTIFS('QA Log'!D:D,A492,'QA Log'!M:M,"Vignette",'QA Log'!L:L,"Vignette [5] Labor",'QA Log'!Z:Z,"Approved"),"")</f>
        <v/>
      </c>
      <c r="BH492" s="105" t="str">
        <f>IF(A492&lt;&gt;"",COUNTIFS('QA Log'!D:D,A492,'QA Log'!M:M,"Vignette",'QA Log'!L:L,"Vignette [6] PNC pre Discharge",'QA Log'!Z:Z,"Approved"),"")</f>
        <v/>
      </c>
      <c r="BI492" s="105" t="str">
        <f>IF(A492&lt;&gt;"",COUNTIFS('QA Log'!D:D,A492,'QA Log'!M:M,"Vignette",'QA Log'!L:L,"Vignette [7] First ANC Visit",'QA Log'!Z:Z,"Approved"),"")</f>
        <v/>
      </c>
      <c r="BJ492" s="105" t="str">
        <f>IF(A492&lt;&gt;"",COUNTIFS('QA Log'!D:D,A492,'QA Log'!M:M,"Vignette",'QA Log'!L:L,"Vignette [8] Birth Spacing/ Family Planning :  FP Counselling",'QA Log'!Z:Z,"Approved"),"")</f>
        <v/>
      </c>
      <c r="BK492" s="105" t="str">
        <f>IF(A492&lt;&gt;"",COUNTIFS('QA Log'!D:D,A492,'QA Log'!M:M,"Vignette",'QA Log'!L:L,"Vignette [9] Birth Spacing: Change FP method to Injectable",'QA Log'!Z:Z,"Approved"),"")</f>
        <v/>
      </c>
      <c r="BL492" s="105" t="str">
        <f>IF(A492&lt;&gt;"",COUNTIFS('QA Log'!D:D,A492,'QA Log'!M:M,"Vignette",'QA Log'!L:L,"Vignette [10] Post Partum Haemorrhage - Atonic Uterus at Health Centre",'QA Log'!Z:Z,"Approved"),"")</f>
        <v/>
      </c>
      <c r="BM492" s="102" t="str">
        <f>IF(A492="","",SUM(
    COUNTIFS('QA Log'!D:D,A492,'QA Log'!M:M,"Vignette",'QA Log'!Z:Z,"Rejected",'QA Log'!L:L,"*Vignette [5] Labor*"),
    COUNTIFS('QA Log'!D:D,A492,'QA Log'!M:M,"Vignette",'QA Log'!Z:Z,"Rejected",'QA Log'!L:L,"*Vignette [6] PNC pre Discharge*"),
    COUNTIFS('QA Log'!D:D,A492,'QA Log'!M:M,"Vignette",'QA Log'!Z:Z,"Rejected",'QA Log'!L:L,"*Vignette [7] First ANC Visit*"),
    COUNTIFS('QA Log'!D:D,A492,'QA Log'!M:M,"Vignette",'QA Log'!Z:Z,"Rejected",'QA Log'!L:L,"*Vignette [8] Birth Spacing/ Family Planning :  FP Counselling*"),
    COUNTIFS('QA Log'!D:D,A492,'QA Log'!M:M,"Vignette",'QA Log'!Z:Z,"Rejected",'QA Log'!L:L,"*Vignette [9] Birth Spacing: Change FP method to Injectable*"),
    COUNTIFS('QA Log'!D:D,A492,'QA Log'!M:M,"Vignette",'QA Log'!Z:Z,"Rejected",'QA Log'!L:L,"*Vignette [10] Post Partum Haemorrhage - Atonic Uterus at Health Centre*")
  )
)</f>
        <v/>
      </c>
      <c r="BN492" s="107" t="str">
        <f t="shared" si="37"/>
        <v/>
      </c>
      <c r="BO492" s="103" t="str">
        <f t="shared" si="38"/>
        <v/>
      </c>
      <c r="BP492" s="102" t="str">
        <f>IF(A492="","",SUM(
COUNTIFS('QA Log'!D:D,A492,'QA Log'!M:M,"Vignette",'QA Log'!L:L,"*Exit Interview 1*"),
COUNTIFS('QA Log'!D:D,A492,'QA Log'!M:M,"Vignette",'QA Log'!L:L,"*Exit Interview 2*"),
)
)</f>
        <v/>
      </c>
      <c r="BQ492" s="102" t="str">
        <f>IF(
  A492="","",
  SUM(
    COUNTIFS('QA Log'!D:D,A492,'QA Log'!M:M,"Vignette",'QA Log'!Z:Z,"Approved",'QA Log'!L:L,"*Exit Interview 1*"),
    COUNTIFS('QA Log'!D:D,A492,'QA Log'!M:M,"Vignette",'QA Log'!Z:Z,"Approved",'QA Log'!L:L,"*Exit Interview 2*")
  )
)</f>
        <v/>
      </c>
      <c r="BR492" s="105" t="str">
        <f>IF(A492&lt;&gt;"",COUNTIFS('QA Log'!D:D,A492,'QA Log'!M:M,"Vignette",'QA Log'!L:L,"Exit Interview 1",'QA Log'!Z:Z,"Approved"),"")</f>
        <v/>
      </c>
      <c r="BS492" s="105" t="str">
        <f>IF(A492&lt;&gt;"",COUNTIFS('QA Log'!D:D,A492,'QA Log'!M:M,"Vignette",'QA Log'!L:L,"Exit Interview 2",'QA Log'!Z:Z,"Approved"),"")</f>
        <v/>
      </c>
      <c r="BT492" s="102" t="str">
        <f>IF(
  A492="","",
  SUM(
    COUNTIFS('QA Log'!D:D,A492,'QA Log'!M:M,"Vignette",'QA Log'!Z:Z,"Rejected",'QA Log'!L:L,"*Exit Interview 1*"),
    COUNTIFS('QA Log'!D:D,A492,'QA Log'!M:M,"Vignette",'QA Log'!Z:Z,"Rejected",'QA Log'!L:L,"*Exit Interview 2*")
  )
)</f>
        <v/>
      </c>
      <c r="BU492" s="107" t="str">
        <f t="shared" si="39"/>
        <v/>
      </c>
      <c r="BV492" s="102" t="str">
        <f t="shared" si="40"/>
        <v/>
      </c>
      <c r="BW492" s="102" t="str">
        <f t="shared" si="41"/>
        <v/>
      </c>
      <c r="BX492" s="102" t="str">
        <f t="shared" si="42"/>
        <v/>
      </c>
      <c r="BY492" s="102" t="str">
        <f t="shared" si="43"/>
        <v/>
      </c>
      <c r="BZ492" s="107" t="str">
        <f t="shared" si="44"/>
        <v/>
      </c>
      <c r="CA492" s="108" t="str">
        <f t="shared" si="45"/>
        <v/>
      </c>
      <c r="CB492" s="108" t="str">
        <f t="shared" si="46"/>
        <v/>
      </c>
      <c r="CC492" s="109" t="str">
        <f t="shared" si="47"/>
        <v/>
      </c>
      <c r="CD492" s="108" t="str">
        <f t="shared" si="48"/>
        <v/>
      </c>
      <c r="CE492" s="108" t="str">
        <f t="shared" si="49"/>
        <v/>
      </c>
      <c r="CF492" s="109" t="str">
        <f t="shared" si="50"/>
        <v/>
      </c>
      <c r="CG492" s="110" t="str">
        <f t="shared" si="51"/>
        <v/>
      </c>
      <c r="CH492" s="111"/>
    </row>
    <row r="493" spans="1:86" ht="12.75">
      <c r="A493" s="101"/>
      <c r="B493" s="102" t="e">
        <f t="array" aca="1" ref="B493" ca="1">_xludf.XLOOKUP(A493,'QA Log'!D:D,'QA Log'!E:E,"")</f>
        <v>#NAME?</v>
      </c>
      <c r="C493" s="102" t="e">
        <f t="array" aca="1" ref="C493" ca="1">_xludf.XLOOKUP(A493,'QA Log'!D:D,'QA Log'!F:F,"")</f>
        <v>#NAME?</v>
      </c>
      <c r="D493" s="102" t="e">
        <f t="array" aca="1" ref="D493" ca="1">_xludf.XLOOKUP(A493,'QA Log'!D:D,'QA Log'!H:H,"")</f>
        <v>#NAME?</v>
      </c>
      <c r="E493" s="102" t="e">
        <f t="array" aca="1" ref="E493" ca="1">_xludf.XLOOKUP(A493,'QA Log'!D:D,'QA Log'!G:G,"")</f>
        <v>#NAME?</v>
      </c>
      <c r="F493" s="103"/>
      <c r="G493" s="104"/>
      <c r="H493" s="104"/>
      <c r="I493" s="103" t="str">
        <f t="shared" si="26"/>
        <v/>
      </c>
      <c r="J493" s="102" t="str">
        <f>IF(A493="","",SUM(
COUNTIFS('QA Log'!D:D,A493,'QA Log'!M:M,"QQC",'QA Log'!L:L,"*1. General Management*"),
COUNTIFS('QA Log'!D:D,A493,'QA Log'!M:M,"QQC",'QA Log'!L:L,"*3. Curative Consultation (OPD)*"),
COUNTIFS('QA Log'!D:D,A493,'QA Log'!M:M,"QQC",'QA Log'!L:L,"*5. Laboratory*"),
COUNTIFS('QA Log'!D:D,A493,'QA Log'!M:M,"QQC",'QA Log'!L:L,"*6. Essential Medicine Management*"),
COUNTIFS('QA Log'!D:D,A493,'QA Log'!M:M,"QQC",'QA Log'!L:L,"*7. Tracer Medicine*"),
COUNTIFS('QA Log'!D:D,A493,'QA Log'!M:M,"QQC",'QA Log'!L:L,"*11. Additional Questions*")))</f>
        <v/>
      </c>
      <c r="K493" s="102" t="str">
        <f>IF(A493="","",SUM(
COUNTIFS('QA Log'!D:D,A493,'QA Log'!M:M,"QQC",'QA Log'!Z:Z,"Approved",'QA Log'!L:L,"*1. General Management*"),
COUNTIFS('QA Log'!D:D,A493,'QA Log'!M:M,"QQC",'QA Log'!Z:Z,"Approved",'QA Log'!L:L,"*3. Curative Consultation (OPD)*"),
COUNTIFS('QA Log'!D:D,A493,'QA Log'!M:M,"QQC",'QA Log'!Z:Z,"Approved",'QA Log'!L:L,"*5. Laboratory*"),
COUNTIFS('QA Log'!D:D,A493,'QA Log'!M:M,"QQC",'QA Log'!Z:Z,"Approved",'QA Log'!L:L,"*6. Essential Medicine Management*"),
COUNTIFS('QA Log'!D:D,A493,'QA Log'!M:M,"QQC",'QA Log'!Z:Z,"Approved",'QA Log'!L:L,"*7. Tracer Medicine*"),
COUNTIFS('QA Log'!D:D,A493,'QA Log'!M:M,"QQC",'QA Log'!Z:Z,"Approved",'QA Log'!L:L,"*11. Additional Questions*")))</f>
        <v/>
      </c>
      <c r="L493" s="102" t="str">
        <f>IF(A493&lt;&gt;"",COUNTIFS('QA Log'!D:D,A493,'QA Log'!M:M,"QQC",'QA Log'!L:L,"1. General Management",'QA Log'!Z:Z,"Approved"),"")</f>
        <v/>
      </c>
      <c r="M493" s="102" t="str">
        <f>IF(A493&lt;&gt;"",COUNTIFS('QA Log'!D:D,A493,'QA Log'!M:M,"QQC",'QA Log'!L:L,"3. Curative Consultation (OPD)",'QA Log'!Z:Z,"Approved"),"")</f>
        <v/>
      </c>
      <c r="N493" s="102" t="str">
        <f>IF(A493&lt;&gt;"",COUNTIFS('QA Log'!D:D,A493,'QA Log'!M:M,"QQC",'QA Log'!L:L,"5. Laboratory",'QA Log'!Z:Z,"Approved"),"")</f>
        <v/>
      </c>
      <c r="O493" s="102" t="str">
        <f>IF(A493&lt;&gt;"",COUNTIFS('QA Log'!D:D,A493,'QA Log'!M:M,"QQC",'QA Log'!L:L,"6. Essential Medicine Management",'QA Log'!Z:Z,"Approved"),"")</f>
        <v/>
      </c>
      <c r="P493" s="102" t="str">
        <f>IF(A493&lt;&gt;"",COUNTIFS('QA Log'!D:D,A493,'QA Log'!M:M,"QQC",'QA Log'!L:L,"7. Tracer Medicine",'QA Log'!Z:Z,"Approved"),"")</f>
        <v/>
      </c>
      <c r="Q493" s="102" t="str">
        <f>IF(A493&lt;&gt;"",COUNTIFS('QA Log'!D:D,A493,'QA Log'!M:M,"QQC",'QA Log'!L:L,"11. Additional Questions",'QA Log'!Z:Z,"Approved"),"")</f>
        <v/>
      </c>
      <c r="R493" s="102" t="str">
        <f>IF(A493="","",SUM(
COUNTIFS('QA Log'!D:D,A493,'QA Log'!M:M,"QQC",'QA Log'!Z:Z,"Rejected",'QA Log'!L:L,"*8. Maternity*"),
COUNTIFS('QA Log'!D:D,A493,'QA Log'!M:M,"QQC",'QA Log'!Z:Z,"Rejected",'QA Log'!L:L,"*EPI*"),
COUNTIFS('QA Log'!D:D,A493,'QA Log'!M:M,"QQC",'QA Log'!Z:Z,"Rejected",'QA Log'!L:L,"*10. Antenatal Care (ANC)*"),
COUNTIFS('QA Log'!D:D,A493,'QA Log'!M:M,"QQC",'QA Log'!Z:Z,"Rejected",'QA Log'!L:L,"*2. Hygiene and Sterilization*"),
COUNTIFS('QA Log'!D:D,A493,'QA Log'!M:M,"QQC",'QA Log'!Z:Z,"Rejected",'QA Log'!L:L,"*Family Planning*")))</f>
        <v/>
      </c>
      <c r="S493" s="106" t="str">
        <f t="shared" si="27"/>
        <v/>
      </c>
      <c r="T493" s="102" t="str">
        <f t="shared" si="28"/>
        <v/>
      </c>
      <c r="U493" s="102" t="str">
        <f>IF(A493="","",
SUM(
COUNTIFS('QA Log'!D:D,A493,'QA Log'!M:M,"QQC",'QA Log'!L:L,"*8. Maternity*"),
COUNTIFS('QA Log'!D:D,A493,'QA Log'!M:M,"QQC",'QA Log'!L:L,"*9. EPI and Pre-school Consultation*"),
COUNTIFS('QA Log'!D:D,A493,'QA Log'!M:M,"QQC",'QA Log'!L:L,"*10. Antenatal Care (ANC)*"),
COUNTIFS('QA Log'!D:D,A493,'QA Log'!M:M,"QQC",'QA Log'!L:L,"*2. Hygiene and Sterilization*"),
COUNTIFS('QA Log'!D:D,A493,'QA Log'!M:M,"QQC",'QA Log'!L:L,"*4. Family Planning*")
))</f>
        <v/>
      </c>
      <c r="V493" s="102" t="str">
        <f>IF(A493="","",
SUM(
COUNTIFS('QA Log'!D:D,A493,'QA Log'!M:M,"QQC",'QA Log'!Z:Z,"Approved",'QA Log'!L:L,"*8. Maternity*"),
COUNTIFS('QA Log'!D:D,A493,'QA Log'!M:M,"QQC",'QA Log'!Z:Z,"Approved",'QA Log'!L:L,"*9. EPI and Pre-school Consultation*"),
COUNTIFS('QA Log'!D:D,A493,'QA Log'!M:M,"QQC",'QA Log'!Z:Z,"Approved",'QA Log'!L:L,"*10. Antenatal Care (ANC)*"),
COUNTIFS('QA Log'!D:D,A493,'QA Log'!M:M,"QQC",'QA Log'!Z:Z,"Approved",'QA Log'!L:L,"*2. Hygiene and Sterilization*"),
COUNTIFS('QA Log'!D:D,A493,'QA Log'!M:M,"QQC",'QA Log'!Z:Z,"Approved",'QA Log'!L:L,"*4. Family Planning*")
))</f>
        <v/>
      </c>
      <c r="W493" s="102" t="str">
        <f>IF(A493&lt;&gt;"",COUNTIFS('QA Log'!D:D,A493,'QA Log'!M:M,"QQC",'QA Log'!L:L,"8. Maternity",'QA Log'!Z:Z,"Approved"),"")</f>
        <v/>
      </c>
      <c r="X493" s="105" t="str">
        <f>IF(A493&lt;&gt;"",COUNTIFS('QA Log'!D:D,A493,'QA Log'!M:M,"QQC",'QA Log'!L:L,"9. EPI and Pre-school Consultation",'QA Log'!Z:Z,"Approved"),"")</f>
        <v/>
      </c>
      <c r="Y493" s="102" t="str">
        <f>IF(A493&lt;&gt;"",COUNTIFS('QA Log'!D:D,A493,'QA Log'!M:M,"QQC",'QA Log'!L:L,"10. Antenatal Care (ANC)",'QA Log'!Z:Z,"Approved"),"")</f>
        <v/>
      </c>
      <c r="Z493" s="102" t="str">
        <f>IF(A493&lt;&gt;"",COUNTIFS('QA Log'!D:D,A493,'QA Log'!M:M,"QQC",'QA Log'!L:L,"2. Hygiene and Sterilization",'QA Log'!Z:Z,"Approved"),"")</f>
        <v/>
      </c>
      <c r="AA493" s="105" t="str">
        <f>IF(A493&lt;&gt;"",COUNTIFS('QA Log'!D:D,A493,'QA Log'!M:M,"QQC",'QA Log'!L:L,"4. Family Planning",'QA Log'!Z:Z,"Approved"),"")</f>
        <v/>
      </c>
      <c r="AB493" s="102" t="str">
        <f>IF(A493="","",
SUM(
COUNTIFS('QA Log'!D:D,A493,'QA Log'!M:M,"QQC",'QA Log'!Z:Z,"Rejected",'QA Log'!L:L,"*8. Maternity*"),
COUNTIFS('QA Log'!D:D,A493,'QA Log'!M:M,"QQC",'QA Log'!Z:Z,"Rejected",'QA Log'!L:L,"*9. EPI and Pre-school Consultation*"),
COUNTIFS('QA Log'!D:D,A493,'QA Log'!M:M,"QQC",'QA Log'!Z:Z,"Rejected",'QA Log'!L:L,"*10. Antenatal Care (ANC)*"),
COUNTIFS('QA Log'!D:D,A493,'QA Log'!M:M,"QQC",'QA Log'!Z:Z,"Rejected",'QA Log'!L:L,"*2. Hygiene and Sterilization*"),
COUNTIFS('QA Log'!D:D,A493,'QA Log'!M:M,"QQC",'QA Log'!Z:Z,"Rejected",'QA Log'!L:L,"*4. Family Planning*")
))</f>
        <v/>
      </c>
      <c r="AC493" s="102" t="str">
        <f t="shared" si="29"/>
        <v/>
      </c>
      <c r="AD493" s="103" t="str">
        <f t="shared" si="30"/>
        <v/>
      </c>
      <c r="AE493" s="102" t="str">
        <f>IF(A493="","",
SUM(
COUNTIFS('QA Log'!D:D,A493,'QA Log'!M:M,"Data Verification",'QA Log'!L:L,"*Medicine (section 2)*"),
COUNTIFS('QA Log'!D:D,A493,'QA Log'!M:M,"Data Verification",'QA Log'!L:L,"*Lab Testing Availability*"),
COUNTIFS('QA Log'!D:D,A493,'QA Log'!M:M,"Data Verification",'QA Log'!L:L,"*Other than P4P (section 6)*"),
COUNTIFS('QA Log'!D:D,A493,'QA Log'!M:M,"Data Verification",'QA Log'!L:L,"*Hospital Governance*")
))</f>
        <v/>
      </c>
      <c r="AF493" s="102" t="str">
        <f>IF(A493="","",
SUM(
COUNTIFS('QA Log'!D:D,A493,'QA Log'!M:M,"Data Verification",'QA Log'!Z:Z,"Approved",'QA Log'!L:L,"*Medicine (section 2)*"),
COUNTIFS('QA Log'!D:D,A493,'QA Log'!M:M,"Data Verification",'QA Log'!Z:Z,"Approved",'QA Log'!L:L,"*Lab Testing Availability*"),
COUNTIFS('QA Log'!D:D,A493,'QA Log'!M:M,"Data Verification",'QA Log'!Z:Z,"Approved",'QA Log'!L:L,"*Other than P4P (section 6)*"),
COUNTIFS('QA Log'!D:D,A493,'QA Log'!M:M,"Data Verification",'QA Log'!Z:Z,"Approved",'QA Log'!L:L,"*Hospital Governance*")
))</f>
        <v/>
      </c>
      <c r="AG493" s="105" t="str">
        <f>IF(A493&lt;&gt;"",COUNTIFS('QA Log'!D:D,A493,'QA Log'!M:M,"Data Verification",'QA Log'!L:L,"Medicine (section 2)",'QA Log'!Z:Z,"Approved"),"")</f>
        <v/>
      </c>
      <c r="AH493" s="105" t="str">
        <f>IF(A493&lt;&gt;"",COUNTIFS('QA Log'!D:D,A493,'QA Log'!M:M,"Data Verification",'QA Log'!L:L,"Lab Testing Availability",'QA Log'!Z:Z,"Approved"),"")</f>
        <v/>
      </c>
      <c r="AI493" s="105" t="str">
        <f>IF(A493&lt;&gt;"",COUNTIFS('QA Log'!D:D,A493,'QA Log'!M:M,"Data Verification",'QA Log'!L:L,"Other than P4P (section 6)",'QA Log'!Z:Z,"Approved"),"")</f>
        <v/>
      </c>
      <c r="AJ493" s="105" t="str">
        <f>IF(A493&lt;&gt;"",COUNTIFS('QA Log'!D:D,A493,'QA Log'!M:M,"Data Verification",'QA Log'!L:L,"Hospital Governance",'QA Log'!Z:Z,"Approved"),"")</f>
        <v/>
      </c>
      <c r="AK493" s="102" t="str">
        <f>IF(A493="","",
SUM(
COUNTIFS('QA Log'!D:D,A493,'QA Log'!M:M,"Data Verification",'QA Log'!Z:Z,"Rejected",'QA Log'!L:L,"*Medicine (section 2)*"),
COUNTIFS('QA Log'!D:D,A493,'QA Log'!M:M,"Data Verification",'QA Log'!Z:Z,"Rejected",'QA Log'!L:L,"*Lab Testing Availability*"),
COUNTIFS('QA Log'!D:D,A493,'QA Log'!M:M,"Data Verification",'QA Log'!Z:Z,"Rejected",'QA Log'!L:L,"*Other than P4P (section 6)*"),
COUNTIFS('QA Log'!D:D,A493,'QA Log'!M:M,"Data Verification",'QA Log'!Z:Z,"Rejected",'QA Log'!L:L,"*Hospital Governance*")
))</f>
        <v/>
      </c>
      <c r="AL493" s="106" t="str">
        <f t="shared" si="31"/>
        <v/>
      </c>
      <c r="AM493" s="102" t="str">
        <f t="shared" si="32"/>
        <v/>
      </c>
      <c r="AN493" s="102" t="str">
        <f>IF(A493="","",
SUM(
COUNTIFS('QA Log'!D:D,A493,'QA Log'!M:M,"Data Verification",'QA Log'!L:L,"*Personnel (section 1)*"),
COUNTIFS('QA Log'!D:D,A493,'QA Log'!M:M,"Data Verification",'QA Log'!L:L,"*Consumable (section 3)*"),
COUNTIFS('QA Log'!D:D,A493,'QA Log'!M:M,"Data Verification",'QA Log'!L:L,"*Equipments (section 4)*")
))</f>
        <v/>
      </c>
      <c r="AO493" s="102" t="str">
        <f>IF(A493="","",
SUM(
COUNTIFS('QA Log'!D:D,A493,'QA Log'!M:M,"Data Verification",'QA Log'!Z:Z,"Approved",'QA Log'!L:L,"*Personnel (section 1)*"),
COUNTIFS('QA Log'!D:D,A493,'QA Log'!M:M,"Data Verification",'QA Log'!Z:Z,"Approved",'QA Log'!L:L,"*Consumable (section 3)*"),
COUNTIFS('QA Log'!D:D,A493,'QA Log'!M:M,"Data Verification",'QA Log'!Z:Z,"Approved",'QA Log'!L:L,"*Equipments (section 4)*")
))</f>
        <v/>
      </c>
      <c r="AP493" s="105" t="str">
        <f>IF(A493&lt;&gt;"",COUNTIFS('QA Log'!D:D,A493,'QA Log'!M:M,"Data Verification",'QA Log'!L:L,"Personnel (section 1)",'QA Log'!Z:Z,"Approved"),"")</f>
        <v/>
      </c>
      <c r="AQ493" s="105" t="str">
        <f>IF(A493&lt;&gt;"",COUNTIFS('QA Log'!D:D,A493,'QA Log'!M:M,"Data Verification",'QA Log'!L:L,"Consumable (section 3)",'QA Log'!Z:Z,"Approved"),"")</f>
        <v/>
      </c>
      <c r="AR493" s="105" t="str">
        <f>IF(A493&lt;&gt;"",COUNTIFS('QA Log'!D:D,A493,'QA Log'!M:M,"Data Verification",'QA Log'!L:L,"Equipments (section 4)",'QA Log'!Z:Z,"Approved"),"")</f>
        <v/>
      </c>
      <c r="AS493" s="102" t="str">
        <f>IF(A493="","",
SUM(
COUNTIFS('QA Log'!D:D,A493,'QA Log'!M:M,"Data Verification",'QA Log'!Z:Z,"Rejected",'QA Log'!L:L,"*Personnel (section 1)*"),
COUNTIFS('QA Log'!D:D,A493,'QA Log'!M:M,"Data Verification",'QA Log'!Z:Z,"Rejected",'QA Log'!L:L,"*Consumable (section 3)*"),
COUNTIFS('QA Log'!D:D,A493,'QA Log'!M:M,"Data Verification",'QA Log'!Z:Z,"Rejected",'QA Log'!L:L,"*Equipments (section 4)*")
))</f>
        <v/>
      </c>
      <c r="AT493" s="102" t="str">
        <f t="shared" si="33"/>
        <v/>
      </c>
      <c r="AU493" s="103" t="str">
        <f t="shared" si="34"/>
        <v/>
      </c>
      <c r="AV493" s="102" t="str">
        <f>IF(A493="","",SUM(
COUNTIFS('QA Log'!D:D,A493,'QA Log'!M:M,"Vignette",'QA Log'!L:L,"*Vignette [1] Respiratory Infection: Pneumonia*"),
COUNTIFS('QA Log'!D:D,A493,'QA Log'!M:M,"Vignette",'QA Log'!L:L,"*Vignette [2]: Diarrhea with Cat B dehydration*"),
COUNTIFS('QA Log'!D:D,A493,'QA Log'!M:M,"Vignette",'QA Log'!L:L,"*Vignette [3] Growth Monitoring and Promotion*"),
COUNTIFS('QA Log'!D:D,A493,'QA Log'!M:M,"Vignette",'QA Log'!L:L,"*Vignette [4]: The management of presumptive TB patient*")
)
)</f>
        <v/>
      </c>
      <c r="AW493" s="102" t="str">
        <f>IF(
  A493="","",
  SUM(
    COUNTIFS('QA Log'!D:D,A493,'QA Log'!M:M,"Vignette",'QA Log'!Z:Z,"Approved",'QA Log'!L:L,"*Vignette [1] Respiratory Infection: Pneumonia*"),
    COUNTIFS('QA Log'!D:D,A493,'QA Log'!M:M,"Vignette",'QA Log'!Z:Z,"Approved",'QA Log'!L:L,"*Vignette [2]: Diarrhea with Cat B dehydration*"),
    COUNTIFS('QA Log'!D:D,A493,'QA Log'!M:M,"Vignette",'QA Log'!Z:Z,"Approved",'QA Log'!L:L,"*Vignette [3] Growth Monitoring and Promotion*"),
    COUNTIFS('QA Log'!D:D,A493,'QA Log'!M:M,"Vignette",'QA Log'!Z:Z,"Approved",'QA Log'!L:L,"*Vignette [4]: The management of presumptive TB patient*")
  )
)</f>
        <v/>
      </c>
      <c r="AX493" s="105" t="str">
        <f>IF(A493&lt;&gt;"",COUNTIFS('QA Log'!D:D,A493,'QA Log'!M:M,"Vignette",'QA Log'!L:L,"Vignette [1] Respiratory Infection: Pneumonia",'QA Log'!Z:Z,"Approved"),"")</f>
        <v/>
      </c>
      <c r="AY493" s="105" t="str">
        <f>IF(A493&lt;&gt;"",COUNTIFS('QA Log'!D:D,A493,'QA Log'!M:M,"Vignette",'QA Log'!L:L,"Vignette [2]: Diarrhea with Cat B dehydration",'QA Log'!Z:Z,"Approved"),"")</f>
        <v/>
      </c>
      <c r="AZ493" s="105" t="str">
        <f>IF(A493&lt;&gt;"",COUNTIFS('QA Log'!D:D,A493,'QA Log'!M:M,"Vignette",'QA Log'!L:L,"Vignette [3] Growth Monitoring and Promotion",'QA Log'!Z:Z,"Approved"),"")</f>
        <v/>
      </c>
      <c r="BA493" s="105" t="str">
        <f>IF(A493&lt;&gt;"",COUNTIFS('QA Log'!D:D,A493,'QA Log'!M:M,"Vignette",'QA Log'!L:L,"Vignette [4]: The management of presumptive TB patient",'QA Log'!Z:Z,"Approved"),"")</f>
        <v/>
      </c>
      <c r="BB493" s="102" t="str">
        <f>IF(A493="","",
  SUM(
    COUNTIFS('QA Log'!D:D,A493,'QA Log'!M:M,"Vignette",'QA Log'!Z:Z,"Rejected",'QA Log'!L:L,"*Vignette [1] Respiratory Infection: Pneumonia*"),
    COUNTIFS('QA Log'!D:D,A493,'QA Log'!M:M,"Vignette",'QA Log'!Z:Z,"Rejected",'QA Log'!L:L,"*Vignette [2]: Diarrhea with Cat B dehydration*"),
    COUNTIFS('QA Log'!D:D,A493,'QA Log'!M:M,"Vignette",'QA Log'!Z:Z,"Rejected",'QA Log'!L:L,"*Vignette [3] Growth Monitoring and Promotion*"),
    COUNTIFS('QA Log'!D:D,A493,'QA Log'!M:M,"Vignette",'QA Log'!Z:Z,"Rejected",'QA Log'!L:L,"*Vignette [4]: The management of presumptive TB patient*")
  )
)</f>
        <v/>
      </c>
      <c r="BC493" s="107" t="str">
        <f t="shared" si="35"/>
        <v/>
      </c>
      <c r="BD493" s="103" t="str">
        <f t="shared" si="36"/>
        <v/>
      </c>
      <c r="BE493" s="102" t="str">
        <f>IF(A493="","",SUM(
COUNTIFS('QA Log'!D:D,A493,'QA Log'!M:M,"Vignette",'QA Log'!L:L,"*Vignette [5] Labor*"),
COUNTIFS('QA Log'!D:D,A493,'QA Log'!M:M,"Vignette",'QA Log'!L:L,"*Vignette [6] PNC pre Discharge*"),
COUNTIFS('QA Log'!D:D,A493,'QA Log'!M:M,"Vignette",'QA Log'!L:L,"*Vignette [7] First ANC Visit*"),
COUNTIFS('QA Log'!D:D,A493,'QA Log'!M:M,"Vignette",'QA Log'!L:L,"*Vignette [8] Birth Spacing/ Family Planning :  FP Counselling*"),
COUNTIFS('QA Log'!D:D,A493,'QA Log'!M:M,"Vignette",'QA Log'!L:L,"*Vignette [9] Birth Spacing: Change FP method to Injectable*"),
COUNTIFS('QA Log'!D:D,A493,'QA Log'!M:M,"Vignette",'QA Log'!L:L,"*Vignette [10] Post Partum Haemorrhage - Atonic Uterus at Health Centre*"),
)
)</f>
        <v/>
      </c>
      <c r="BF493" s="102" t="str">
        <f>IF(A493="","",
  SUM(
    COUNTIFS('QA Log'!D:D,A493,'QA Log'!M:M,"Vignette",'QA Log'!Z:Z,"Approved",'QA Log'!L:L,"*Vignette [5] Labor*"),
    COUNTIFS('QA Log'!D:D,A493,'QA Log'!M:M,"Vignette",'QA Log'!Z:Z,"Approved",'QA Log'!L:L,"*Vignette [6] PNC pre Discharge*"),
    COUNTIFS('QA Log'!D:D,A493,'QA Log'!M:M,"Vignette",'QA Log'!Z:Z,"Approved",'QA Log'!L:L,"*Vignette [7] First ANC Visit*"),
    COUNTIFS('QA Log'!D:D,A493,'QA Log'!M:M,"Vignette",'QA Log'!Z:Z,"Approved",'QA Log'!L:L,"*Vignette [8] Birth Spacing/ Family Planning :  FP Counselling*"),
    COUNTIFS('QA Log'!D:D,A493,'QA Log'!M:M,"Vignette",'QA Log'!Z:Z,"Approved",'QA Log'!L:L,"*Vignette [9] Birth Spacing: Change FP method to Injectable*"),
    COUNTIFS('QA Log'!D:D,A493,'QA Log'!M:M,"Vignette",'QA Log'!Z:Z,"Approved",'QA Log'!L:L,"*Vignette [10] Post Partum Haemorrhage - Atonic Uterus at Health Centre*")
  )
)</f>
        <v/>
      </c>
      <c r="BG493" s="105" t="str">
        <f>IF(A493&lt;&gt;"",COUNTIFS('QA Log'!D:D,A493,'QA Log'!M:M,"Vignette",'QA Log'!L:L,"Vignette [5] Labor",'QA Log'!Z:Z,"Approved"),"")</f>
        <v/>
      </c>
      <c r="BH493" s="105" t="str">
        <f>IF(A493&lt;&gt;"",COUNTIFS('QA Log'!D:D,A493,'QA Log'!M:M,"Vignette",'QA Log'!L:L,"Vignette [6] PNC pre Discharge",'QA Log'!Z:Z,"Approved"),"")</f>
        <v/>
      </c>
      <c r="BI493" s="105" t="str">
        <f>IF(A493&lt;&gt;"",COUNTIFS('QA Log'!D:D,A493,'QA Log'!M:M,"Vignette",'QA Log'!L:L,"Vignette [7] First ANC Visit",'QA Log'!Z:Z,"Approved"),"")</f>
        <v/>
      </c>
      <c r="BJ493" s="105" t="str">
        <f>IF(A493&lt;&gt;"",COUNTIFS('QA Log'!D:D,A493,'QA Log'!M:M,"Vignette",'QA Log'!L:L,"Vignette [8] Birth Spacing/ Family Planning :  FP Counselling",'QA Log'!Z:Z,"Approved"),"")</f>
        <v/>
      </c>
      <c r="BK493" s="105" t="str">
        <f>IF(A493&lt;&gt;"",COUNTIFS('QA Log'!D:D,A493,'QA Log'!M:M,"Vignette",'QA Log'!L:L,"Vignette [9] Birth Spacing: Change FP method to Injectable",'QA Log'!Z:Z,"Approved"),"")</f>
        <v/>
      </c>
      <c r="BL493" s="105" t="str">
        <f>IF(A493&lt;&gt;"",COUNTIFS('QA Log'!D:D,A493,'QA Log'!M:M,"Vignette",'QA Log'!L:L,"Vignette [10] Post Partum Haemorrhage - Atonic Uterus at Health Centre",'QA Log'!Z:Z,"Approved"),"")</f>
        <v/>
      </c>
      <c r="BM493" s="102" t="str">
        <f>IF(A493="","",SUM(
    COUNTIFS('QA Log'!D:D,A493,'QA Log'!M:M,"Vignette",'QA Log'!Z:Z,"Rejected",'QA Log'!L:L,"*Vignette [5] Labor*"),
    COUNTIFS('QA Log'!D:D,A493,'QA Log'!M:M,"Vignette",'QA Log'!Z:Z,"Rejected",'QA Log'!L:L,"*Vignette [6] PNC pre Discharge*"),
    COUNTIFS('QA Log'!D:D,A493,'QA Log'!M:M,"Vignette",'QA Log'!Z:Z,"Rejected",'QA Log'!L:L,"*Vignette [7] First ANC Visit*"),
    COUNTIFS('QA Log'!D:D,A493,'QA Log'!M:M,"Vignette",'QA Log'!Z:Z,"Rejected",'QA Log'!L:L,"*Vignette [8] Birth Spacing/ Family Planning :  FP Counselling*"),
    COUNTIFS('QA Log'!D:D,A493,'QA Log'!M:M,"Vignette",'QA Log'!Z:Z,"Rejected",'QA Log'!L:L,"*Vignette [9] Birth Spacing: Change FP method to Injectable*"),
    COUNTIFS('QA Log'!D:D,A493,'QA Log'!M:M,"Vignette",'QA Log'!Z:Z,"Rejected",'QA Log'!L:L,"*Vignette [10] Post Partum Haemorrhage - Atonic Uterus at Health Centre*")
  )
)</f>
        <v/>
      </c>
      <c r="BN493" s="107" t="str">
        <f t="shared" si="37"/>
        <v/>
      </c>
      <c r="BO493" s="103" t="str">
        <f t="shared" si="38"/>
        <v/>
      </c>
      <c r="BP493" s="102" t="str">
        <f>IF(A493="","",SUM(
COUNTIFS('QA Log'!D:D,A493,'QA Log'!M:M,"Vignette",'QA Log'!L:L,"*Exit Interview 1*"),
COUNTIFS('QA Log'!D:D,A493,'QA Log'!M:M,"Vignette",'QA Log'!L:L,"*Exit Interview 2*"),
)
)</f>
        <v/>
      </c>
      <c r="BQ493" s="102" t="str">
        <f>IF(
  A493="","",
  SUM(
    COUNTIFS('QA Log'!D:D,A493,'QA Log'!M:M,"Vignette",'QA Log'!Z:Z,"Approved",'QA Log'!L:L,"*Exit Interview 1*"),
    COUNTIFS('QA Log'!D:D,A493,'QA Log'!M:M,"Vignette",'QA Log'!Z:Z,"Approved",'QA Log'!L:L,"*Exit Interview 2*")
  )
)</f>
        <v/>
      </c>
      <c r="BR493" s="105" t="str">
        <f>IF(A493&lt;&gt;"",COUNTIFS('QA Log'!D:D,A493,'QA Log'!M:M,"Vignette",'QA Log'!L:L,"Exit Interview 1",'QA Log'!Z:Z,"Approved"),"")</f>
        <v/>
      </c>
      <c r="BS493" s="105" t="str">
        <f>IF(A493&lt;&gt;"",COUNTIFS('QA Log'!D:D,A493,'QA Log'!M:M,"Vignette",'QA Log'!L:L,"Exit Interview 2",'QA Log'!Z:Z,"Approved"),"")</f>
        <v/>
      </c>
      <c r="BT493" s="102" t="str">
        <f>IF(
  A493="","",
  SUM(
    COUNTIFS('QA Log'!D:D,A493,'QA Log'!M:M,"Vignette",'QA Log'!Z:Z,"Rejected",'QA Log'!L:L,"*Exit Interview 1*"),
    COUNTIFS('QA Log'!D:D,A493,'QA Log'!M:M,"Vignette",'QA Log'!Z:Z,"Rejected",'QA Log'!L:L,"*Exit Interview 2*")
  )
)</f>
        <v/>
      </c>
      <c r="BU493" s="107" t="str">
        <f t="shared" si="39"/>
        <v/>
      </c>
      <c r="BV493" s="102" t="str">
        <f t="shared" si="40"/>
        <v/>
      </c>
      <c r="BW493" s="102" t="str">
        <f t="shared" si="41"/>
        <v/>
      </c>
      <c r="BX493" s="102" t="str">
        <f t="shared" si="42"/>
        <v/>
      </c>
      <c r="BY493" s="102" t="str">
        <f t="shared" si="43"/>
        <v/>
      </c>
      <c r="BZ493" s="107" t="str">
        <f t="shared" si="44"/>
        <v/>
      </c>
      <c r="CA493" s="108" t="str">
        <f t="shared" si="45"/>
        <v/>
      </c>
      <c r="CB493" s="108" t="str">
        <f t="shared" si="46"/>
        <v/>
      </c>
      <c r="CC493" s="109" t="str">
        <f t="shared" si="47"/>
        <v/>
      </c>
      <c r="CD493" s="108" t="str">
        <f t="shared" si="48"/>
        <v/>
      </c>
      <c r="CE493" s="108" t="str">
        <f t="shared" si="49"/>
        <v/>
      </c>
      <c r="CF493" s="109" t="str">
        <f t="shared" si="50"/>
        <v/>
      </c>
      <c r="CG493" s="110" t="str">
        <f t="shared" si="51"/>
        <v/>
      </c>
      <c r="CH493" s="111"/>
    </row>
    <row r="494" spans="1:86" ht="12.75">
      <c r="A494" s="101"/>
      <c r="B494" s="102" t="e">
        <f t="array" aca="1" ref="B494" ca="1">_xludf.XLOOKUP(A494,'QA Log'!D:D,'QA Log'!E:E,"")</f>
        <v>#NAME?</v>
      </c>
      <c r="C494" s="102" t="e">
        <f t="array" aca="1" ref="C494" ca="1">_xludf.XLOOKUP(A494,'QA Log'!D:D,'QA Log'!F:F,"")</f>
        <v>#NAME?</v>
      </c>
      <c r="D494" s="102" t="e">
        <f t="array" aca="1" ref="D494" ca="1">_xludf.XLOOKUP(A494,'QA Log'!D:D,'QA Log'!H:H,"")</f>
        <v>#NAME?</v>
      </c>
      <c r="E494" s="102" t="e">
        <f t="array" aca="1" ref="E494" ca="1">_xludf.XLOOKUP(A494,'QA Log'!D:D,'QA Log'!G:G,"")</f>
        <v>#NAME?</v>
      </c>
      <c r="F494" s="103"/>
      <c r="G494" s="104"/>
      <c r="H494" s="104"/>
      <c r="I494" s="103" t="str">
        <f t="shared" si="26"/>
        <v/>
      </c>
      <c r="J494" s="102" t="str">
        <f>IF(A494="","",SUM(
COUNTIFS('QA Log'!D:D,A494,'QA Log'!M:M,"QQC",'QA Log'!L:L,"*1. General Management*"),
COUNTIFS('QA Log'!D:D,A494,'QA Log'!M:M,"QQC",'QA Log'!L:L,"*3. Curative Consultation (OPD)*"),
COUNTIFS('QA Log'!D:D,A494,'QA Log'!M:M,"QQC",'QA Log'!L:L,"*5. Laboratory*"),
COUNTIFS('QA Log'!D:D,A494,'QA Log'!M:M,"QQC",'QA Log'!L:L,"*6. Essential Medicine Management*"),
COUNTIFS('QA Log'!D:D,A494,'QA Log'!M:M,"QQC",'QA Log'!L:L,"*7. Tracer Medicine*"),
COUNTIFS('QA Log'!D:D,A494,'QA Log'!M:M,"QQC",'QA Log'!L:L,"*11. Additional Questions*")))</f>
        <v/>
      </c>
      <c r="K494" s="102" t="str">
        <f>IF(A494="","",SUM(
COUNTIFS('QA Log'!D:D,A494,'QA Log'!M:M,"QQC",'QA Log'!Z:Z,"Approved",'QA Log'!L:L,"*1. General Management*"),
COUNTIFS('QA Log'!D:D,A494,'QA Log'!M:M,"QQC",'QA Log'!Z:Z,"Approved",'QA Log'!L:L,"*3. Curative Consultation (OPD)*"),
COUNTIFS('QA Log'!D:D,A494,'QA Log'!M:M,"QQC",'QA Log'!Z:Z,"Approved",'QA Log'!L:L,"*5. Laboratory*"),
COUNTIFS('QA Log'!D:D,A494,'QA Log'!M:M,"QQC",'QA Log'!Z:Z,"Approved",'QA Log'!L:L,"*6. Essential Medicine Management*"),
COUNTIFS('QA Log'!D:D,A494,'QA Log'!M:M,"QQC",'QA Log'!Z:Z,"Approved",'QA Log'!L:L,"*7. Tracer Medicine*"),
COUNTIFS('QA Log'!D:D,A494,'QA Log'!M:M,"QQC",'QA Log'!Z:Z,"Approved",'QA Log'!L:L,"*11. Additional Questions*")))</f>
        <v/>
      </c>
      <c r="L494" s="102" t="str">
        <f>IF(A494&lt;&gt;"",COUNTIFS('QA Log'!D:D,A494,'QA Log'!M:M,"QQC",'QA Log'!L:L,"1. General Management",'QA Log'!Z:Z,"Approved"),"")</f>
        <v/>
      </c>
      <c r="M494" s="102" t="str">
        <f>IF(A494&lt;&gt;"",COUNTIFS('QA Log'!D:D,A494,'QA Log'!M:M,"QQC",'QA Log'!L:L,"3. Curative Consultation (OPD)",'QA Log'!Z:Z,"Approved"),"")</f>
        <v/>
      </c>
      <c r="N494" s="102" t="str">
        <f>IF(A494&lt;&gt;"",COUNTIFS('QA Log'!D:D,A494,'QA Log'!M:M,"QQC",'QA Log'!L:L,"5. Laboratory",'QA Log'!Z:Z,"Approved"),"")</f>
        <v/>
      </c>
      <c r="O494" s="102" t="str">
        <f>IF(A494&lt;&gt;"",COUNTIFS('QA Log'!D:D,A494,'QA Log'!M:M,"QQC",'QA Log'!L:L,"6. Essential Medicine Management",'QA Log'!Z:Z,"Approved"),"")</f>
        <v/>
      </c>
      <c r="P494" s="102" t="str">
        <f>IF(A494&lt;&gt;"",COUNTIFS('QA Log'!D:D,A494,'QA Log'!M:M,"QQC",'QA Log'!L:L,"7. Tracer Medicine",'QA Log'!Z:Z,"Approved"),"")</f>
        <v/>
      </c>
      <c r="Q494" s="102" t="str">
        <f>IF(A494&lt;&gt;"",COUNTIFS('QA Log'!D:D,A494,'QA Log'!M:M,"QQC",'QA Log'!L:L,"11. Additional Questions",'QA Log'!Z:Z,"Approved"),"")</f>
        <v/>
      </c>
      <c r="R494" s="102" t="str">
        <f>IF(A494="","",SUM(
COUNTIFS('QA Log'!D:D,A494,'QA Log'!M:M,"QQC",'QA Log'!Z:Z,"Rejected",'QA Log'!L:L,"*8. Maternity*"),
COUNTIFS('QA Log'!D:D,A494,'QA Log'!M:M,"QQC",'QA Log'!Z:Z,"Rejected",'QA Log'!L:L,"*EPI*"),
COUNTIFS('QA Log'!D:D,A494,'QA Log'!M:M,"QQC",'QA Log'!Z:Z,"Rejected",'QA Log'!L:L,"*10. Antenatal Care (ANC)*"),
COUNTIFS('QA Log'!D:D,A494,'QA Log'!M:M,"QQC",'QA Log'!Z:Z,"Rejected",'QA Log'!L:L,"*2. Hygiene and Sterilization*"),
COUNTIFS('QA Log'!D:D,A494,'QA Log'!M:M,"QQC",'QA Log'!Z:Z,"Rejected",'QA Log'!L:L,"*Family Planning*")))</f>
        <v/>
      </c>
      <c r="S494" s="106" t="str">
        <f t="shared" si="27"/>
        <v/>
      </c>
      <c r="T494" s="102" t="str">
        <f t="shared" si="28"/>
        <v/>
      </c>
      <c r="U494" s="102" t="str">
        <f>IF(A494="","",
SUM(
COUNTIFS('QA Log'!D:D,A494,'QA Log'!M:M,"QQC",'QA Log'!L:L,"*8. Maternity*"),
COUNTIFS('QA Log'!D:D,A494,'QA Log'!M:M,"QQC",'QA Log'!L:L,"*9. EPI and Pre-school Consultation*"),
COUNTIFS('QA Log'!D:D,A494,'QA Log'!M:M,"QQC",'QA Log'!L:L,"*10. Antenatal Care (ANC)*"),
COUNTIFS('QA Log'!D:D,A494,'QA Log'!M:M,"QQC",'QA Log'!L:L,"*2. Hygiene and Sterilization*"),
COUNTIFS('QA Log'!D:D,A494,'QA Log'!M:M,"QQC",'QA Log'!L:L,"*4. Family Planning*")
))</f>
        <v/>
      </c>
      <c r="V494" s="102" t="str">
        <f>IF(A494="","",
SUM(
COUNTIFS('QA Log'!D:D,A494,'QA Log'!M:M,"QQC",'QA Log'!Z:Z,"Approved",'QA Log'!L:L,"*8. Maternity*"),
COUNTIFS('QA Log'!D:D,A494,'QA Log'!M:M,"QQC",'QA Log'!Z:Z,"Approved",'QA Log'!L:L,"*9. EPI and Pre-school Consultation*"),
COUNTIFS('QA Log'!D:D,A494,'QA Log'!M:M,"QQC",'QA Log'!Z:Z,"Approved",'QA Log'!L:L,"*10. Antenatal Care (ANC)*"),
COUNTIFS('QA Log'!D:D,A494,'QA Log'!M:M,"QQC",'QA Log'!Z:Z,"Approved",'QA Log'!L:L,"*2. Hygiene and Sterilization*"),
COUNTIFS('QA Log'!D:D,A494,'QA Log'!M:M,"QQC",'QA Log'!Z:Z,"Approved",'QA Log'!L:L,"*4. Family Planning*")
))</f>
        <v/>
      </c>
      <c r="W494" s="102" t="str">
        <f>IF(A494&lt;&gt;"",COUNTIFS('QA Log'!D:D,A494,'QA Log'!M:M,"QQC",'QA Log'!L:L,"8. Maternity",'QA Log'!Z:Z,"Approved"),"")</f>
        <v/>
      </c>
      <c r="X494" s="105" t="str">
        <f>IF(A494&lt;&gt;"",COUNTIFS('QA Log'!D:D,A494,'QA Log'!M:M,"QQC",'QA Log'!L:L,"9. EPI and Pre-school Consultation",'QA Log'!Z:Z,"Approved"),"")</f>
        <v/>
      </c>
      <c r="Y494" s="102" t="str">
        <f>IF(A494&lt;&gt;"",COUNTIFS('QA Log'!D:D,A494,'QA Log'!M:M,"QQC",'QA Log'!L:L,"10. Antenatal Care (ANC)",'QA Log'!Z:Z,"Approved"),"")</f>
        <v/>
      </c>
      <c r="Z494" s="102" t="str">
        <f>IF(A494&lt;&gt;"",COUNTIFS('QA Log'!D:D,A494,'QA Log'!M:M,"QQC",'QA Log'!L:L,"2. Hygiene and Sterilization",'QA Log'!Z:Z,"Approved"),"")</f>
        <v/>
      </c>
      <c r="AA494" s="105" t="str">
        <f>IF(A494&lt;&gt;"",COUNTIFS('QA Log'!D:D,A494,'QA Log'!M:M,"QQC",'QA Log'!L:L,"4. Family Planning",'QA Log'!Z:Z,"Approved"),"")</f>
        <v/>
      </c>
      <c r="AB494" s="102" t="str">
        <f>IF(A494="","",
SUM(
COUNTIFS('QA Log'!D:D,A494,'QA Log'!M:M,"QQC",'QA Log'!Z:Z,"Rejected",'QA Log'!L:L,"*8. Maternity*"),
COUNTIFS('QA Log'!D:D,A494,'QA Log'!M:M,"QQC",'QA Log'!Z:Z,"Rejected",'QA Log'!L:L,"*9. EPI and Pre-school Consultation*"),
COUNTIFS('QA Log'!D:D,A494,'QA Log'!M:M,"QQC",'QA Log'!Z:Z,"Rejected",'QA Log'!L:L,"*10. Antenatal Care (ANC)*"),
COUNTIFS('QA Log'!D:D,A494,'QA Log'!M:M,"QQC",'QA Log'!Z:Z,"Rejected",'QA Log'!L:L,"*2. Hygiene and Sterilization*"),
COUNTIFS('QA Log'!D:D,A494,'QA Log'!M:M,"QQC",'QA Log'!Z:Z,"Rejected",'QA Log'!L:L,"*4. Family Planning*")
))</f>
        <v/>
      </c>
      <c r="AC494" s="102" t="str">
        <f t="shared" si="29"/>
        <v/>
      </c>
      <c r="AD494" s="103" t="str">
        <f t="shared" si="30"/>
        <v/>
      </c>
      <c r="AE494" s="102" t="str">
        <f>IF(A494="","",
SUM(
COUNTIFS('QA Log'!D:D,A494,'QA Log'!M:M,"Data Verification",'QA Log'!L:L,"*Medicine (section 2)*"),
COUNTIFS('QA Log'!D:D,A494,'QA Log'!M:M,"Data Verification",'QA Log'!L:L,"*Lab Testing Availability*"),
COUNTIFS('QA Log'!D:D,A494,'QA Log'!M:M,"Data Verification",'QA Log'!L:L,"*Other than P4P (section 6)*"),
COUNTIFS('QA Log'!D:D,A494,'QA Log'!M:M,"Data Verification",'QA Log'!L:L,"*Hospital Governance*")
))</f>
        <v/>
      </c>
      <c r="AF494" s="102" t="str">
        <f>IF(A494="","",
SUM(
COUNTIFS('QA Log'!D:D,A494,'QA Log'!M:M,"Data Verification",'QA Log'!Z:Z,"Approved",'QA Log'!L:L,"*Medicine (section 2)*"),
COUNTIFS('QA Log'!D:D,A494,'QA Log'!M:M,"Data Verification",'QA Log'!Z:Z,"Approved",'QA Log'!L:L,"*Lab Testing Availability*"),
COUNTIFS('QA Log'!D:D,A494,'QA Log'!M:M,"Data Verification",'QA Log'!Z:Z,"Approved",'QA Log'!L:L,"*Other than P4P (section 6)*"),
COUNTIFS('QA Log'!D:D,A494,'QA Log'!M:M,"Data Verification",'QA Log'!Z:Z,"Approved",'QA Log'!L:L,"*Hospital Governance*")
))</f>
        <v/>
      </c>
      <c r="AG494" s="105" t="str">
        <f>IF(A494&lt;&gt;"",COUNTIFS('QA Log'!D:D,A494,'QA Log'!M:M,"Data Verification",'QA Log'!L:L,"Medicine (section 2)",'QA Log'!Z:Z,"Approved"),"")</f>
        <v/>
      </c>
      <c r="AH494" s="105" t="str">
        <f>IF(A494&lt;&gt;"",COUNTIFS('QA Log'!D:D,A494,'QA Log'!M:M,"Data Verification",'QA Log'!L:L,"Lab Testing Availability",'QA Log'!Z:Z,"Approved"),"")</f>
        <v/>
      </c>
      <c r="AI494" s="105" t="str">
        <f>IF(A494&lt;&gt;"",COUNTIFS('QA Log'!D:D,A494,'QA Log'!M:M,"Data Verification",'QA Log'!L:L,"Other than P4P (section 6)",'QA Log'!Z:Z,"Approved"),"")</f>
        <v/>
      </c>
      <c r="AJ494" s="105" t="str">
        <f>IF(A494&lt;&gt;"",COUNTIFS('QA Log'!D:D,A494,'QA Log'!M:M,"Data Verification",'QA Log'!L:L,"Hospital Governance",'QA Log'!Z:Z,"Approved"),"")</f>
        <v/>
      </c>
      <c r="AK494" s="102" t="str">
        <f>IF(A494="","",
SUM(
COUNTIFS('QA Log'!D:D,A494,'QA Log'!M:M,"Data Verification",'QA Log'!Z:Z,"Rejected",'QA Log'!L:L,"*Medicine (section 2)*"),
COUNTIFS('QA Log'!D:D,A494,'QA Log'!M:M,"Data Verification",'QA Log'!Z:Z,"Rejected",'QA Log'!L:L,"*Lab Testing Availability*"),
COUNTIFS('QA Log'!D:D,A494,'QA Log'!M:M,"Data Verification",'QA Log'!Z:Z,"Rejected",'QA Log'!L:L,"*Other than P4P (section 6)*"),
COUNTIFS('QA Log'!D:D,A494,'QA Log'!M:M,"Data Verification",'QA Log'!Z:Z,"Rejected",'QA Log'!L:L,"*Hospital Governance*")
))</f>
        <v/>
      </c>
      <c r="AL494" s="106" t="str">
        <f t="shared" si="31"/>
        <v/>
      </c>
      <c r="AM494" s="102" t="str">
        <f t="shared" si="32"/>
        <v/>
      </c>
      <c r="AN494" s="102" t="str">
        <f>IF(A494="","",
SUM(
COUNTIFS('QA Log'!D:D,A494,'QA Log'!M:M,"Data Verification",'QA Log'!L:L,"*Personnel (section 1)*"),
COUNTIFS('QA Log'!D:D,A494,'QA Log'!M:M,"Data Verification",'QA Log'!L:L,"*Consumable (section 3)*"),
COUNTIFS('QA Log'!D:D,A494,'QA Log'!M:M,"Data Verification",'QA Log'!L:L,"*Equipments (section 4)*")
))</f>
        <v/>
      </c>
      <c r="AO494" s="102" t="str">
        <f>IF(A494="","",
SUM(
COUNTIFS('QA Log'!D:D,A494,'QA Log'!M:M,"Data Verification",'QA Log'!Z:Z,"Approved",'QA Log'!L:L,"*Personnel (section 1)*"),
COUNTIFS('QA Log'!D:D,A494,'QA Log'!M:M,"Data Verification",'QA Log'!Z:Z,"Approved",'QA Log'!L:L,"*Consumable (section 3)*"),
COUNTIFS('QA Log'!D:D,A494,'QA Log'!M:M,"Data Verification",'QA Log'!Z:Z,"Approved",'QA Log'!L:L,"*Equipments (section 4)*")
))</f>
        <v/>
      </c>
      <c r="AP494" s="105" t="str">
        <f>IF(A494&lt;&gt;"",COUNTIFS('QA Log'!D:D,A494,'QA Log'!M:M,"Data Verification",'QA Log'!L:L,"Personnel (section 1)",'QA Log'!Z:Z,"Approved"),"")</f>
        <v/>
      </c>
      <c r="AQ494" s="105" t="str">
        <f>IF(A494&lt;&gt;"",COUNTIFS('QA Log'!D:D,A494,'QA Log'!M:M,"Data Verification",'QA Log'!L:L,"Consumable (section 3)",'QA Log'!Z:Z,"Approved"),"")</f>
        <v/>
      </c>
      <c r="AR494" s="105" t="str">
        <f>IF(A494&lt;&gt;"",COUNTIFS('QA Log'!D:D,A494,'QA Log'!M:M,"Data Verification",'QA Log'!L:L,"Equipments (section 4)",'QA Log'!Z:Z,"Approved"),"")</f>
        <v/>
      </c>
      <c r="AS494" s="102" t="str">
        <f>IF(A494="","",
SUM(
COUNTIFS('QA Log'!D:D,A494,'QA Log'!M:M,"Data Verification",'QA Log'!Z:Z,"Rejected",'QA Log'!L:L,"*Personnel (section 1)*"),
COUNTIFS('QA Log'!D:D,A494,'QA Log'!M:M,"Data Verification",'QA Log'!Z:Z,"Rejected",'QA Log'!L:L,"*Consumable (section 3)*"),
COUNTIFS('QA Log'!D:D,A494,'QA Log'!M:M,"Data Verification",'QA Log'!Z:Z,"Rejected",'QA Log'!L:L,"*Equipments (section 4)*")
))</f>
        <v/>
      </c>
      <c r="AT494" s="102" t="str">
        <f t="shared" si="33"/>
        <v/>
      </c>
      <c r="AU494" s="103" t="str">
        <f t="shared" si="34"/>
        <v/>
      </c>
      <c r="AV494" s="102" t="str">
        <f>IF(A494="","",SUM(
COUNTIFS('QA Log'!D:D,A494,'QA Log'!M:M,"Vignette",'QA Log'!L:L,"*Vignette [1] Respiratory Infection: Pneumonia*"),
COUNTIFS('QA Log'!D:D,A494,'QA Log'!M:M,"Vignette",'QA Log'!L:L,"*Vignette [2]: Diarrhea with Cat B dehydration*"),
COUNTIFS('QA Log'!D:D,A494,'QA Log'!M:M,"Vignette",'QA Log'!L:L,"*Vignette [3] Growth Monitoring and Promotion*"),
COUNTIFS('QA Log'!D:D,A494,'QA Log'!M:M,"Vignette",'QA Log'!L:L,"*Vignette [4]: The management of presumptive TB patient*")
)
)</f>
        <v/>
      </c>
      <c r="AW494" s="102" t="str">
        <f>IF(
  A494="","",
  SUM(
    COUNTIFS('QA Log'!D:D,A494,'QA Log'!M:M,"Vignette",'QA Log'!Z:Z,"Approved",'QA Log'!L:L,"*Vignette [1] Respiratory Infection: Pneumonia*"),
    COUNTIFS('QA Log'!D:D,A494,'QA Log'!M:M,"Vignette",'QA Log'!Z:Z,"Approved",'QA Log'!L:L,"*Vignette [2]: Diarrhea with Cat B dehydration*"),
    COUNTIFS('QA Log'!D:D,A494,'QA Log'!M:M,"Vignette",'QA Log'!Z:Z,"Approved",'QA Log'!L:L,"*Vignette [3] Growth Monitoring and Promotion*"),
    COUNTIFS('QA Log'!D:D,A494,'QA Log'!M:M,"Vignette",'QA Log'!Z:Z,"Approved",'QA Log'!L:L,"*Vignette [4]: The management of presumptive TB patient*")
  )
)</f>
        <v/>
      </c>
      <c r="AX494" s="105" t="str">
        <f>IF(A494&lt;&gt;"",COUNTIFS('QA Log'!D:D,A494,'QA Log'!M:M,"Vignette",'QA Log'!L:L,"Vignette [1] Respiratory Infection: Pneumonia",'QA Log'!Z:Z,"Approved"),"")</f>
        <v/>
      </c>
      <c r="AY494" s="105" t="str">
        <f>IF(A494&lt;&gt;"",COUNTIFS('QA Log'!D:D,A494,'QA Log'!M:M,"Vignette",'QA Log'!L:L,"Vignette [2]: Diarrhea with Cat B dehydration",'QA Log'!Z:Z,"Approved"),"")</f>
        <v/>
      </c>
      <c r="AZ494" s="105" t="str">
        <f>IF(A494&lt;&gt;"",COUNTIFS('QA Log'!D:D,A494,'QA Log'!M:M,"Vignette",'QA Log'!L:L,"Vignette [3] Growth Monitoring and Promotion",'QA Log'!Z:Z,"Approved"),"")</f>
        <v/>
      </c>
      <c r="BA494" s="105" t="str">
        <f>IF(A494&lt;&gt;"",COUNTIFS('QA Log'!D:D,A494,'QA Log'!M:M,"Vignette",'QA Log'!L:L,"Vignette [4]: The management of presumptive TB patient",'QA Log'!Z:Z,"Approved"),"")</f>
        <v/>
      </c>
      <c r="BB494" s="102" t="str">
        <f>IF(A494="","",
  SUM(
    COUNTIFS('QA Log'!D:D,A494,'QA Log'!M:M,"Vignette",'QA Log'!Z:Z,"Rejected",'QA Log'!L:L,"*Vignette [1] Respiratory Infection: Pneumonia*"),
    COUNTIFS('QA Log'!D:D,A494,'QA Log'!M:M,"Vignette",'QA Log'!Z:Z,"Rejected",'QA Log'!L:L,"*Vignette [2]: Diarrhea with Cat B dehydration*"),
    COUNTIFS('QA Log'!D:D,A494,'QA Log'!M:M,"Vignette",'QA Log'!Z:Z,"Rejected",'QA Log'!L:L,"*Vignette [3] Growth Monitoring and Promotion*"),
    COUNTIFS('QA Log'!D:D,A494,'QA Log'!M:M,"Vignette",'QA Log'!Z:Z,"Rejected",'QA Log'!L:L,"*Vignette [4]: The management of presumptive TB patient*")
  )
)</f>
        <v/>
      </c>
      <c r="BC494" s="107" t="str">
        <f t="shared" si="35"/>
        <v/>
      </c>
      <c r="BD494" s="103" t="str">
        <f t="shared" si="36"/>
        <v/>
      </c>
      <c r="BE494" s="102" t="str">
        <f>IF(A494="","",SUM(
COUNTIFS('QA Log'!D:D,A494,'QA Log'!M:M,"Vignette",'QA Log'!L:L,"*Vignette [5] Labor*"),
COUNTIFS('QA Log'!D:D,A494,'QA Log'!M:M,"Vignette",'QA Log'!L:L,"*Vignette [6] PNC pre Discharge*"),
COUNTIFS('QA Log'!D:D,A494,'QA Log'!M:M,"Vignette",'QA Log'!L:L,"*Vignette [7] First ANC Visit*"),
COUNTIFS('QA Log'!D:D,A494,'QA Log'!M:M,"Vignette",'QA Log'!L:L,"*Vignette [8] Birth Spacing/ Family Planning :  FP Counselling*"),
COUNTIFS('QA Log'!D:D,A494,'QA Log'!M:M,"Vignette",'QA Log'!L:L,"*Vignette [9] Birth Spacing: Change FP method to Injectable*"),
COUNTIFS('QA Log'!D:D,A494,'QA Log'!M:M,"Vignette",'QA Log'!L:L,"*Vignette [10] Post Partum Haemorrhage - Atonic Uterus at Health Centre*"),
)
)</f>
        <v/>
      </c>
      <c r="BF494" s="102" t="str">
        <f>IF(A494="","",
  SUM(
    COUNTIFS('QA Log'!D:D,A494,'QA Log'!M:M,"Vignette",'QA Log'!Z:Z,"Approved",'QA Log'!L:L,"*Vignette [5] Labor*"),
    COUNTIFS('QA Log'!D:D,A494,'QA Log'!M:M,"Vignette",'QA Log'!Z:Z,"Approved",'QA Log'!L:L,"*Vignette [6] PNC pre Discharge*"),
    COUNTIFS('QA Log'!D:D,A494,'QA Log'!M:M,"Vignette",'QA Log'!Z:Z,"Approved",'QA Log'!L:L,"*Vignette [7] First ANC Visit*"),
    COUNTIFS('QA Log'!D:D,A494,'QA Log'!M:M,"Vignette",'QA Log'!Z:Z,"Approved",'QA Log'!L:L,"*Vignette [8] Birth Spacing/ Family Planning :  FP Counselling*"),
    COUNTIFS('QA Log'!D:D,A494,'QA Log'!M:M,"Vignette",'QA Log'!Z:Z,"Approved",'QA Log'!L:L,"*Vignette [9] Birth Spacing: Change FP method to Injectable*"),
    COUNTIFS('QA Log'!D:D,A494,'QA Log'!M:M,"Vignette",'QA Log'!Z:Z,"Approved",'QA Log'!L:L,"*Vignette [10] Post Partum Haemorrhage - Atonic Uterus at Health Centre*")
  )
)</f>
        <v/>
      </c>
      <c r="BG494" s="105" t="str">
        <f>IF(A494&lt;&gt;"",COUNTIFS('QA Log'!D:D,A494,'QA Log'!M:M,"Vignette",'QA Log'!L:L,"Vignette [5] Labor",'QA Log'!Z:Z,"Approved"),"")</f>
        <v/>
      </c>
      <c r="BH494" s="105" t="str">
        <f>IF(A494&lt;&gt;"",COUNTIFS('QA Log'!D:D,A494,'QA Log'!M:M,"Vignette",'QA Log'!L:L,"Vignette [6] PNC pre Discharge",'QA Log'!Z:Z,"Approved"),"")</f>
        <v/>
      </c>
      <c r="BI494" s="105" t="str">
        <f>IF(A494&lt;&gt;"",COUNTIFS('QA Log'!D:D,A494,'QA Log'!M:M,"Vignette",'QA Log'!L:L,"Vignette [7] First ANC Visit",'QA Log'!Z:Z,"Approved"),"")</f>
        <v/>
      </c>
      <c r="BJ494" s="105" t="str">
        <f>IF(A494&lt;&gt;"",COUNTIFS('QA Log'!D:D,A494,'QA Log'!M:M,"Vignette",'QA Log'!L:L,"Vignette [8] Birth Spacing/ Family Planning :  FP Counselling",'QA Log'!Z:Z,"Approved"),"")</f>
        <v/>
      </c>
      <c r="BK494" s="105" t="str">
        <f>IF(A494&lt;&gt;"",COUNTIFS('QA Log'!D:D,A494,'QA Log'!M:M,"Vignette",'QA Log'!L:L,"Vignette [9] Birth Spacing: Change FP method to Injectable",'QA Log'!Z:Z,"Approved"),"")</f>
        <v/>
      </c>
      <c r="BL494" s="105" t="str">
        <f>IF(A494&lt;&gt;"",COUNTIFS('QA Log'!D:D,A494,'QA Log'!M:M,"Vignette",'QA Log'!L:L,"Vignette [10] Post Partum Haemorrhage - Atonic Uterus at Health Centre",'QA Log'!Z:Z,"Approved"),"")</f>
        <v/>
      </c>
      <c r="BM494" s="102" t="str">
        <f>IF(A494="","",SUM(
    COUNTIFS('QA Log'!D:D,A494,'QA Log'!M:M,"Vignette",'QA Log'!Z:Z,"Rejected",'QA Log'!L:L,"*Vignette [5] Labor*"),
    COUNTIFS('QA Log'!D:D,A494,'QA Log'!M:M,"Vignette",'QA Log'!Z:Z,"Rejected",'QA Log'!L:L,"*Vignette [6] PNC pre Discharge*"),
    COUNTIFS('QA Log'!D:D,A494,'QA Log'!M:M,"Vignette",'QA Log'!Z:Z,"Rejected",'QA Log'!L:L,"*Vignette [7] First ANC Visit*"),
    COUNTIFS('QA Log'!D:D,A494,'QA Log'!M:M,"Vignette",'QA Log'!Z:Z,"Rejected",'QA Log'!L:L,"*Vignette [8] Birth Spacing/ Family Planning :  FP Counselling*"),
    COUNTIFS('QA Log'!D:D,A494,'QA Log'!M:M,"Vignette",'QA Log'!Z:Z,"Rejected",'QA Log'!L:L,"*Vignette [9] Birth Spacing: Change FP method to Injectable*"),
    COUNTIFS('QA Log'!D:D,A494,'QA Log'!M:M,"Vignette",'QA Log'!Z:Z,"Rejected",'QA Log'!L:L,"*Vignette [10] Post Partum Haemorrhage - Atonic Uterus at Health Centre*")
  )
)</f>
        <v/>
      </c>
      <c r="BN494" s="107" t="str">
        <f t="shared" si="37"/>
        <v/>
      </c>
      <c r="BO494" s="103" t="str">
        <f t="shared" si="38"/>
        <v/>
      </c>
      <c r="BP494" s="102" t="str">
        <f>IF(A494="","",SUM(
COUNTIFS('QA Log'!D:D,A494,'QA Log'!M:M,"Vignette",'QA Log'!L:L,"*Exit Interview 1*"),
COUNTIFS('QA Log'!D:D,A494,'QA Log'!M:M,"Vignette",'QA Log'!L:L,"*Exit Interview 2*"),
)
)</f>
        <v/>
      </c>
      <c r="BQ494" s="102" t="str">
        <f>IF(
  A494="","",
  SUM(
    COUNTIFS('QA Log'!D:D,A494,'QA Log'!M:M,"Vignette",'QA Log'!Z:Z,"Approved",'QA Log'!L:L,"*Exit Interview 1*"),
    COUNTIFS('QA Log'!D:D,A494,'QA Log'!M:M,"Vignette",'QA Log'!Z:Z,"Approved",'QA Log'!L:L,"*Exit Interview 2*")
  )
)</f>
        <v/>
      </c>
      <c r="BR494" s="105" t="str">
        <f>IF(A494&lt;&gt;"",COUNTIFS('QA Log'!D:D,A494,'QA Log'!M:M,"Vignette",'QA Log'!L:L,"Exit Interview 1",'QA Log'!Z:Z,"Approved"),"")</f>
        <v/>
      </c>
      <c r="BS494" s="105" t="str">
        <f>IF(A494&lt;&gt;"",COUNTIFS('QA Log'!D:D,A494,'QA Log'!M:M,"Vignette",'QA Log'!L:L,"Exit Interview 2",'QA Log'!Z:Z,"Approved"),"")</f>
        <v/>
      </c>
      <c r="BT494" s="102" t="str">
        <f>IF(
  A494="","",
  SUM(
    COUNTIFS('QA Log'!D:D,A494,'QA Log'!M:M,"Vignette",'QA Log'!Z:Z,"Rejected",'QA Log'!L:L,"*Exit Interview 1*"),
    COUNTIFS('QA Log'!D:D,A494,'QA Log'!M:M,"Vignette",'QA Log'!Z:Z,"Rejected",'QA Log'!L:L,"*Exit Interview 2*")
  )
)</f>
        <v/>
      </c>
      <c r="BU494" s="107" t="str">
        <f t="shared" si="39"/>
        <v/>
      </c>
      <c r="BV494" s="102" t="str">
        <f t="shared" si="40"/>
        <v/>
      </c>
      <c r="BW494" s="102" t="str">
        <f t="shared" si="41"/>
        <v/>
      </c>
      <c r="BX494" s="102" t="str">
        <f t="shared" si="42"/>
        <v/>
      </c>
      <c r="BY494" s="102" t="str">
        <f t="shared" si="43"/>
        <v/>
      </c>
      <c r="BZ494" s="107" t="str">
        <f t="shared" si="44"/>
        <v/>
      </c>
      <c r="CA494" s="108" t="str">
        <f t="shared" si="45"/>
        <v/>
      </c>
      <c r="CB494" s="108" t="str">
        <f t="shared" si="46"/>
        <v/>
      </c>
      <c r="CC494" s="109" t="str">
        <f t="shared" si="47"/>
        <v/>
      </c>
      <c r="CD494" s="108" t="str">
        <f t="shared" si="48"/>
        <v/>
      </c>
      <c r="CE494" s="108" t="str">
        <f t="shared" si="49"/>
        <v/>
      </c>
      <c r="CF494" s="109" t="str">
        <f t="shared" si="50"/>
        <v/>
      </c>
      <c r="CG494" s="110" t="str">
        <f t="shared" si="51"/>
        <v/>
      </c>
      <c r="CH494" s="111"/>
    </row>
    <row r="495" spans="1:86" ht="12.75">
      <c r="A495" s="101"/>
      <c r="B495" s="102" t="e">
        <f t="array" aca="1" ref="B495" ca="1">_xludf.XLOOKUP(A495,'QA Log'!D:D,'QA Log'!E:E,"")</f>
        <v>#NAME?</v>
      </c>
      <c r="C495" s="102" t="e">
        <f t="array" aca="1" ref="C495" ca="1">_xludf.XLOOKUP(A495,'QA Log'!D:D,'QA Log'!F:F,"")</f>
        <v>#NAME?</v>
      </c>
      <c r="D495" s="102" t="e">
        <f t="array" aca="1" ref="D495" ca="1">_xludf.XLOOKUP(A495,'QA Log'!D:D,'QA Log'!H:H,"")</f>
        <v>#NAME?</v>
      </c>
      <c r="E495" s="102" t="e">
        <f t="array" aca="1" ref="E495" ca="1">_xludf.XLOOKUP(A495,'QA Log'!D:D,'QA Log'!G:G,"")</f>
        <v>#NAME?</v>
      </c>
      <c r="F495" s="103"/>
      <c r="G495" s="104"/>
      <c r="H495" s="104"/>
      <c r="I495" s="103" t="str">
        <f t="shared" si="26"/>
        <v/>
      </c>
      <c r="J495" s="102" t="str">
        <f>IF(A495="","",SUM(
COUNTIFS('QA Log'!D:D,A495,'QA Log'!M:M,"QQC",'QA Log'!L:L,"*1. General Management*"),
COUNTIFS('QA Log'!D:D,A495,'QA Log'!M:M,"QQC",'QA Log'!L:L,"*3. Curative Consultation (OPD)*"),
COUNTIFS('QA Log'!D:D,A495,'QA Log'!M:M,"QQC",'QA Log'!L:L,"*5. Laboratory*"),
COUNTIFS('QA Log'!D:D,A495,'QA Log'!M:M,"QQC",'QA Log'!L:L,"*6. Essential Medicine Management*"),
COUNTIFS('QA Log'!D:D,A495,'QA Log'!M:M,"QQC",'QA Log'!L:L,"*7. Tracer Medicine*"),
COUNTIFS('QA Log'!D:D,A495,'QA Log'!M:M,"QQC",'QA Log'!L:L,"*11. Additional Questions*")))</f>
        <v/>
      </c>
      <c r="K495" s="102" t="str">
        <f>IF(A495="","",SUM(
COUNTIFS('QA Log'!D:D,A495,'QA Log'!M:M,"QQC",'QA Log'!Z:Z,"Approved",'QA Log'!L:L,"*1. General Management*"),
COUNTIFS('QA Log'!D:D,A495,'QA Log'!M:M,"QQC",'QA Log'!Z:Z,"Approved",'QA Log'!L:L,"*3. Curative Consultation (OPD)*"),
COUNTIFS('QA Log'!D:D,A495,'QA Log'!M:M,"QQC",'QA Log'!Z:Z,"Approved",'QA Log'!L:L,"*5. Laboratory*"),
COUNTIFS('QA Log'!D:D,A495,'QA Log'!M:M,"QQC",'QA Log'!Z:Z,"Approved",'QA Log'!L:L,"*6. Essential Medicine Management*"),
COUNTIFS('QA Log'!D:D,A495,'QA Log'!M:M,"QQC",'QA Log'!Z:Z,"Approved",'QA Log'!L:L,"*7. Tracer Medicine*"),
COUNTIFS('QA Log'!D:D,A495,'QA Log'!M:M,"QQC",'QA Log'!Z:Z,"Approved",'QA Log'!L:L,"*11. Additional Questions*")))</f>
        <v/>
      </c>
      <c r="L495" s="102" t="str">
        <f>IF(A495&lt;&gt;"",COUNTIFS('QA Log'!D:D,A495,'QA Log'!M:M,"QQC",'QA Log'!L:L,"1. General Management",'QA Log'!Z:Z,"Approved"),"")</f>
        <v/>
      </c>
      <c r="M495" s="102" t="str">
        <f>IF(A495&lt;&gt;"",COUNTIFS('QA Log'!D:D,A495,'QA Log'!M:M,"QQC",'QA Log'!L:L,"3. Curative Consultation (OPD)",'QA Log'!Z:Z,"Approved"),"")</f>
        <v/>
      </c>
      <c r="N495" s="102" t="str">
        <f>IF(A495&lt;&gt;"",COUNTIFS('QA Log'!D:D,A495,'QA Log'!M:M,"QQC",'QA Log'!L:L,"5. Laboratory",'QA Log'!Z:Z,"Approved"),"")</f>
        <v/>
      </c>
      <c r="O495" s="102" t="str">
        <f>IF(A495&lt;&gt;"",COUNTIFS('QA Log'!D:D,A495,'QA Log'!M:M,"QQC",'QA Log'!L:L,"6. Essential Medicine Management",'QA Log'!Z:Z,"Approved"),"")</f>
        <v/>
      </c>
      <c r="P495" s="102" t="str">
        <f>IF(A495&lt;&gt;"",COUNTIFS('QA Log'!D:D,A495,'QA Log'!M:M,"QQC",'QA Log'!L:L,"7. Tracer Medicine",'QA Log'!Z:Z,"Approved"),"")</f>
        <v/>
      </c>
      <c r="Q495" s="102" t="str">
        <f>IF(A495&lt;&gt;"",COUNTIFS('QA Log'!D:D,A495,'QA Log'!M:M,"QQC",'QA Log'!L:L,"11. Additional Questions",'QA Log'!Z:Z,"Approved"),"")</f>
        <v/>
      </c>
      <c r="R495" s="102" t="str">
        <f>IF(A495="","",SUM(
COUNTIFS('QA Log'!D:D,A495,'QA Log'!M:M,"QQC",'QA Log'!Z:Z,"Rejected",'QA Log'!L:L,"*8. Maternity*"),
COUNTIFS('QA Log'!D:D,A495,'QA Log'!M:M,"QQC",'QA Log'!Z:Z,"Rejected",'QA Log'!L:L,"*EPI*"),
COUNTIFS('QA Log'!D:D,A495,'QA Log'!M:M,"QQC",'QA Log'!Z:Z,"Rejected",'QA Log'!L:L,"*10. Antenatal Care (ANC)*"),
COUNTIFS('QA Log'!D:D,A495,'QA Log'!M:M,"QQC",'QA Log'!Z:Z,"Rejected",'QA Log'!L:L,"*2. Hygiene and Sterilization*"),
COUNTIFS('QA Log'!D:D,A495,'QA Log'!M:M,"QQC",'QA Log'!Z:Z,"Rejected",'QA Log'!L:L,"*Family Planning*")))</f>
        <v/>
      </c>
      <c r="S495" s="106" t="str">
        <f t="shared" si="27"/>
        <v/>
      </c>
      <c r="T495" s="102" t="str">
        <f t="shared" si="28"/>
        <v/>
      </c>
      <c r="U495" s="102" t="str">
        <f>IF(A495="","",
SUM(
COUNTIFS('QA Log'!D:D,A495,'QA Log'!M:M,"QQC",'QA Log'!L:L,"*8. Maternity*"),
COUNTIFS('QA Log'!D:D,A495,'QA Log'!M:M,"QQC",'QA Log'!L:L,"*9. EPI and Pre-school Consultation*"),
COUNTIFS('QA Log'!D:D,A495,'QA Log'!M:M,"QQC",'QA Log'!L:L,"*10. Antenatal Care (ANC)*"),
COUNTIFS('QA Log'!D:D,A495,'QA Log'!M:M,"QQC",'QA Log'!L:L,"*2. Hygiene and Sterilization*"),
COUNTIFS('QA Log'!D:D,A495,'QA Log'!M:M,"QQC",'QA Log'!L:L,"*4. Family Planning*")
))</f>
        <v/>
      </c>
      <c r="V495" s="102" t="str">
        <f>IF(A495="","",
SUM(
COUNTIFS('QA Log'!D:D,A495,'QA Log'!M:M,"QQC",'QA Log'!Z:Z,"Approved",'QA Log'!L:L,"*8. Maternity*"),
COUNTIFS('QA Log'!D:D,A495,'QA Log'!M:M,"QQC",'QA Log'!Z:Z,"Approved",'QA Log'!L:L,"*9. EPI and Pre-school Consultation*"),
COUNTIFS('QA Log'!D:D,A495,'QA Log'!M:M,"QQC",'QA Log'!Z:Z,"Approved",'QA Log'!L:L,"*10. Antenatal Care (ANC)*"),
COUNTIFS('QA Log'!D:D,A495,'QA Log'!M:M,"QQC",'QA Log'!Z:Z,"Approved",'QA Log'!L:L,"*2. Hygiene and Sterilization*"),
COUNTIFS('QA Log'!D:D,A495,'QA Log'!M:M,"QQC",'QA Log'!Z:Z,"Approved",'QA Log'!L:L,"*4. Family Planning*")
))</f>
        <v/>
      </c>
      <c r="W495" s="102" t="str">
        <f>IF(A495&lt;&gt;"",COUNTIFS('QA Log'!D:D,A495,'QA Log'!M:M,"QQC",'QA Log'!L:L,"8. Maternity",'QA Log'!Z:Z,"Approved"),"")</f>
        <v/>
      </c>
      <c r="X495" s="105" t="str">
        <f>IF(A495&lt;&gt;"",COUNTIFS('QA Log'!D:D,A495,'QA Log'!M:M,"QQC",'QA Log'!L:L,"9. EPI and Pre-school Consultation",'QA Log'!Z:Z,"Approved"),"")</f>
        <v/>
      </c>
      <c r="Y495" s="102" t="str">
        <f>IF(A495&lt;&gt;"",COUNTIFS('QA Log'!D:D,A495,'QA Log'!M:M,"QQC",'QA Log'!L:L,"10. Antenatal Care (ANC)",'QA Log'!Z:Z,"Approved"),"")</f>
        <v/>
      </c>
      <c r="Z495" s="102" t="str">
        <f>IF(A495&lt;&gt;"",COUNTIFS('QA Log'!D:D,A495,'QA Log'!M:M,"QQC",'QA Log'!L:L,"2. Hygiene and Sterilization",'QA Log'!Z:Z,"Approved"),"")</f>
        <v/>
      </c>
      <c r="AA495" s="105" t="str">
        <f>IF(A495&lt;&gt;"",COUNTIFS('QA Log'!D:D,A495,'QA Log'!M:M,"QQC",'QA Log'!L:L,"4. Family Planning",'QA Log'!Z:Z,"Approved"),"")</f>
        <v/>
      </c>
      <c r="AB495" s="102" t="str">
        <f>IF(A495="","",
SUM(
COUNTIFS('QA Log'!D:D,A495,'QA Log'!M:M,"QQC",'QA Log'!Z:Z,"Rejected",'QA Log'!L:L,"*8. Maternity*"),
COUNTIFS('QA Log'!D:D,A495,'QA Log'!M:M,"QQC",'QA Log'!Z:Z,"Rejected",'QA Log'!L:L,"*9. EPI and Pre-school Consultation*"),
COUNTIFS('QA Log'!D:D,A495,'QA Log'!M:M,"QQC",'QA Log'!Z:Z,"Rejected",'QA Log'!L:L,"*10. Antenatal Care (ANC)*"),
COUNTIFS('QA Log'!D:D,A495,'QA Log'!M:M,"QQC",'QA Log'!Z:Z,"Rejected",'QA Log'!L:L,"*2. Hygiene and Sterilization*"),
COUNTIFS('QA Log'!D:D,A495,'QA Log'!M:M,"QQC",'QA Log'!Z:Z,"Rejected",'QA Log'!L:L,"*4. Family Planning*")
))</f>
        <v/>
      </c>
      <c r="AC495" s="102" t="str">
        <f t="shared" si="29"/>
        <v/>
      </c>
      <c r="AD495" s="103" t="str">
        <f t="shared" si="30"/>
        <v/>
      </c>
      <c r="AE495" s="102" t="str">
        <f>IF(A495="","",
SUM(
COUNTIFS('QA Log'!D:D,A495,'QA Log'!M:M,"Data Verification",'QA Log'!L:L,"*Medicine (section 2)*"),
COUNTIFS('QA Log'!D:D,A495,'QA Log'!M:M,"Data Verification",'QA Log'!L:L,"*Lab Testing Availability*"),
COUNTIFS('QA Log'!D:D,A495,'QA Log'!M:M,"Data Verification",'QA Log'!L:L,"*Other than P4P (section 6)*"),
COUNTIFS('QA Log'!D:D,A495,'QA Log'!M:M,"Data Verification",'QA Log'!L:L,"*Hospital Governance*")
))</f>
        <v/>
      </c>
      <c r="AF495" s="102" t="str">
        <f>IF(A495="","",
SUM(
COUNTIFS('QA Log'!D:D,A495,'QA Log'!M:M,"Data Verification",'QA Log'!Z:Z,"Approved",'QA Log'!L:L,"*Medicine (section 2)*"),
COUNTIFS('QA Log'!D:D,A495,'QA Log'!M:M,"Data Verification",'QA Log'!Z:Z,"Approved",'QA Log'!L:L,"*Lab Testing Availability*"),
COUNTIFS('QA Log'!D:D,A495,'QA Log'!M:M,"Data Verification",'QA Log'!Z:Z,"Approved",'QA Log'!L:L,"*Other than P4P (section 6)*"),
COUNTIFS('QA Log'!D:D,A495,'QA Log'!M:M,"Data Verification",'QA Log'!Z:Z,"Approved",'QA Log'!L:L,"*Hospital Governance*")
))</f>
        <v/>
      </c>
      <c r="AG495" s="105" t="str">
        <f>IF(A495&lt;&gt;"",COUNTIFS('QA Log'!D:D,A495,'QA Log'!M:M,"Data Verification",'QA Log'!L:L,"Medicine (section 2)",'QA Log'!Z:Z,"Approved"),"")</f>
        <v/>
      </c>
      <c r="AH495" s="105" t="str">
        <f>IF(A495&lt;&gt;"",COUNTIFS('QA Log'!D:D,A495,'QA Log'!M:M,"Data Verification",'QA Log'!L:L,"Lab Testing Availability",'QA Log'!Z:Z,"Approved"),"")</f>
        <v/>
      </c>
      <c r="AI495" s="105" t="str">
        <f>IF(A495&lt;&gt;"",COUNTIFS('QA Log'!D:D,A495,'QA Log'!M:M,"Data Verification",'QA Log'!L:L,"Other than P4P (section 6)",'QA Log'!Z:Z,"Approved"),"")</f>
        <v/>
      </c>
      <c r="AJ495" s="105" t="str">
        <f>IF(A495&lt;&gt;"",COUNTIFS('QA Log'!D:D,A495,'QA Log'!M:M,"Data Verification",'QA Log'!L:L,"Hospital Governance",'QA Log'!Z:Z,"Approved"),"")</f>
        <v/>
      </c>
      <c r="AK495" s="102" t="str">
        <f>IF(A495="","",
SUM(
COUNTIFS('QA Log'!D:D,A495,'QA Log'!M:M,"Data Verification",'QA Log'!Z:Z,"Rejected",'QA Log'!L:L,"*Medicine (section 2)*"),
COUNTIFS('QA Log'!D:D,A495,'QA Log'!M:M,"Data Verification",'QA Log'!Z:Z,"Rejected",'QA Log'!L:L,"*Lab Testing Availability*"),
COUNTIFS('QA Log'!D:D,A495,'QA Log'!M:M,"Data Verification",'QA Log'!Z:Z,"Rejected",'QA Log'!L:L,"*Other than P4P (section 6)*"),
COUNTIFS('QA Log'!D:D,A495,'QA Log'!M:M,"Data Verification",'QA Log'!Z:Z,"Rejected",'QA Log'!L:L,"*Hospital Governance*")
))</f>
        <v/>
      </c>
      <c r="AL495" s="106" t="str">
        <f t="shared" si="31"/>
        <v/>
      </c>
      <c r="AM495" s="102" t="str">
        <f t="shared" si="32"/>
        <v/>
      </c>
      <c r="AN495" s="102" t="str">
        <f>IF(A495="","",
SUM(
COUNTIFS('QA Log'!D:D,A495,'QA Log'!M:M,"Data Verification",'QA Log'!L:L,"*Personnel (section 1)*"),
COUNTIFS('QA Log'!D:D,A495,'QA Log'!M:M,"Data Verification",'QA Log'!L:L,"*Consumable (section 3)*"),
COUNTIFS('QA Log'!D:D,A495,'QA Log'!M:M,"Data Verification",'QA Log'!L:L,"*Equipments (section 4)*")
))</f>
        <v/>
      </c>
      <c r="AO495" s="102" t="str">
        <f>IF(A495="","",
SUM(
COUNTIFS('QA Log'!D:D,A495,'QA Log'!M:M,"Data Verification",'QA Log'!Z:Z,"Approved",'QA Log'!L:L,"*Personnel (section 1)*"),
COUNTIFS('QA Log'!D:D,A495,'QA Log'!M:M,"Data Verification",'QA Log'!Z:Z,"Approved",'QA Log'!L:L,"*Consumable (section 3)*"),
COUNTIFS('QA Log'!D:D,A495,'QA Log'!M:M,"Data Verification",'QA Log'!Z:Z,"Approved",'QA Log'!L:L,"*Equipments (section 4)*")
))</f>
        <v/>
      </c>
      <c r="AP495" s="105" t="str">
        <f>IF(A495&lt;&gt;"",COUNTIFS('QA Log'!D:D,A495,'QA Log'!M:M,"Data Verification",'QA Log'!L:L,"Personnel (section 1)",'QA Log'!Z:Z,"Approved"),"")</f>
        <v/>
      </c>
      <c r="AQ495" s="105" t="str">
        <f>IF(A495&lt;&gt;"",COUNTIFS('QA Log'!D:D,A495,'QA Log'!M:M,"Data Verification",'QA Log'!L:L,"Consumable (section 3)",'QA Log'!Z:Z,"Approved"),"")</f>
        <v/>
      </c>
      <c r="AR495" s="105" t="str">
        <f>IF(A495&lt;&gt;"",COUNTIFS('QA Log'!D:D,A495,'QA Log'!M:M,"Data Verification",'QA Log'!L:L,"Equipments (section 4)",'QA Log'!Z:Z,"Approved"),"")</f>
        <v/>
      </c>
      <c r="AS495" s="102" t="str">
        <f>IF(A495="","",
SUM(
COUNTIFS('QA Log'!D:D,A495,'QA Log'!M:M,"Data Verification",'QA Log'!Z:Z,"Rejected",'QA Log'!L:L,"*Personnel (section 1)*"),
COUNTIFS('QA Log'!D:D,A495,'QA Log'!M:M,"Data Verification",'QA Log'!Z:Z,"Rejected",'QA Log'!L:L,"*Consumable (section 3)*"),
COUNTIFS('QA Log'!D:D,A495,'QA Log'!M:M,"Data Verification",'QA Log'!Z:Z,"Rejected",'QA Log'!L:L,"*Equipments (section 4)*")
))</f>
        <v/>
      </c>
      <c r="AT495" s="102" t="str">
        <f t="shared" si="33"/>
        <v/>
      </c>
      <c r="AU495" s="103" t="str">
        <f t="shared" si="34"/>
        <v/>
      </c>
      <c r="AV495" s="102" t="str">
        <f>IF(A495="","",SUM(
COUNTIFS('QA Log'!D:D,A495,'QA Log'!M:M,"Vignette",'QA Log'!L:L,"*Vignette [1] Respiratory Infection: Pneumonia*"),
COUNTIFS('QA Log'!D:D,A495,'QA Log'!M:M,"Vignette",'QA Log'!L:L,"*Vignette [2]: Diarrhea with Cat B dehydration*"),
COUNTIFS('QA Log'!D:D,A495,'QA Log'!M:M,"Vignette",'QA Log'!L:L,"*Vignette [3] Growth Monitoring and Promotion*"),
COUNTIFS('QA Log'!D:D,A495,'QA Log'!M:M,"Vignette",'QA Log'!L:L,"*Vignette [4]: The management of presumptive TB patient*")
)
)</f>
        <v/>
      </c>
      <c r="AW495" s="102" t="str">
        <f>IF(
  A495="","",
  SUM(
    COUNTIFS('QA Log'!D:D,A495,'QA Log'!M:M,"Vignette",'QA Log'!Z:Z,"Approved",'QA Log'!L:L,"*Vignette [1] Respiratory Infection: Pneumonia*"),
    COUNTIFS('QA Log'!D:D,A495,'QA Log'!M:M,"Vignette",'QA Log'!Z:Z,"Approved",'QA Log'!L:L,"*Vignette [2]: Diarrhea with Cat B dehydration*"),
    COUNTIFS('QA Log'!D:D,A495,'QA Log'!M:M,"Vignette",'QA Log'!Z:Z,"Approved",'QA Log'!L:L,"*Vignette [3] Growth Monitoring and Promotion*"),
    COUNTIFS('QA Log'!D:D,A495,'QA Log'!M:M,"Vignette",'QA Log'!Z:Z,"Approved",'QA Log'!L:L,"*Vignette [4]: The management of presumptive TB patient*")
  )
)</f>
        <v/>
      </c>
      <c r="AX495" s="105" t="str">
        <f>IF(A495&lt;&gt;"",COUNTIFS('QA Log'!D:D,A495,'QA Log'!M:M,"Vignette",'QA Log'!L:L,"Vignette [1] Respiratory Infection: Pneumonia",'QA Log'!Z:Z,"Approved"),"")</f>
        <v/>
      </c>
      <c r="AY495" s="105" t="str">
        <f>IF(A495&lt;&gt;"",COUNTIFS('QA Log'!D:D,A495,'QA Log'!M:M,"Vignette",'QA Log'!L:L,"Vignette [2]: Diarrhea with Cat B dehydration",'QA Log'!Z:Z,"Approved"),"")</f>
        <v/>
      </c>
      <c r="AZ495" s="105" t="str">
        <f>IF(A495&lt;&gt;"",COUNTIFS('QA Log'!D:D,A495,'QA Log'!M:M,"Vignette",'QA Log'!L:L,"Vignette [3] Growth Monitoring and Promotion",'QA Log'!Z:Z,"Approved"),"")</f>
        <v/>
      </c>
      <c r="BA495" s="105" t="str">
        <f>IF(A495&lt;&gt;"",COUNTIFS('QA Log'!D:D,A495,'QA Log'!M:M,"Vignette",'QA Log'!L:L,"Vignette [4]: The management of presumptive TB patient",'QA Log'!Z:Z,"Approved"),"")</f>
        <v/>
      </c>
      <c r="BB495" s="102" t="str">
        <f>IF(A495="","",
  SUM(
    COUNTIFS('QA Log'!D:D,A495,'QA Log'!M:M,"Vignette",'QA Log'!Z:Z,"Rejected",'QA Log'!L:L,"*Vignette [1] Respiratory Infection: Pneumonia*"),
    COUNTIFS('QA Log'!D:D,A495,'QA Log'!M:M,"Vignette",'QA Log'!Z:Z,"Rejected",'QA Log'!L:L,"*Vignette [2]: Diarrhea with Cat B dehydration*"),
    COUNTIFS('QA Log'!D:D,A495,'QA Log'!M:M,"Vignette",'QA Log'!Z:Z,"Rejected",'QA Log'!L:L,"*Vignette [3] Growth Monitoring and Promotion*"),
    COUNTIFS('QA Log'!D:D,A495,'QA Log'!M:M,"Vignette",'QA Log'!Z:Z,"Rejected",'QA Log'!L:L,"*Vignette [4]: The management of presumptive TB patient*")
  )
)</f>
        <v/>
      </c>
      <c r="BC495" s="107" t="str">
        <f t="shared" si="35"/>
        <v/>
      </c>
      <c r="BD495" s="103" t="str">
        <f t="shared" si="36"/>
        <v/>
      </c>
      <c r="BE495" s="102" t="str">
        <f>IF(A495="","",SUM(
COUNTIFS('QA Log'!D:D,A495,'QA Log'!M:M,"Vignette",'QA Log'!L:L,"*Vignette [5] Labor*"),
COUNTIFS('QA Log'!D:D,A495,'QA Log'!M:M,"Vignette",'QA Log'!L:L,"*Vignette [6] PNC pre Discharge*"),
COUNTIFS('QA Log'!D:D,A495,'QA Log'!M:M,"Vignette",'QA Log'!L:L,"*Vignette [7] First ANC Visit*"),
COUNTIFS('QA Log'!D:D,A495,'QA Log'!M:M,"Vignette",'QA Log'!L:L,"*Vignette [8] Birth Spacing/ Family Planning :  FP Counselling*"),
COUNTIFS('QA Log'!D:D,A495,'QA Log'!M:M,"Vignette",'QA Log'!L:L,"*Vignette [9] Birth Spacing: Change FP method to Injectable*"),
COUNTIFS('QA Log'!D:D,A495,'QA Log'!M:M,"Vignette",'QA Log'!L:L,"*Vignette [10] Post Partum Haemorrhage - Atonic Uterus at Health Centre*"),
)
)</f>
        <v/>
      </c>
      <c r="BF495" s="102" t="str">
        <f>IF(A495="","",
  SUM(
    COUNTIFS('QA Log'!D:D,A495,'QA Log'!M:M,"Vignette",'QA Log'!Z:Z,"Approved",'QA Log'!L:L,"*Vignette [5] Labor*"),
    COUNTIFS('QA Log'!D:D,A495,'QA Log'!M:M,"Vignette",'QA Log'!Z:Z,"Approved",'QA Log'!L:L,"*Vignette [6] PNC pre Discharge*"),
    COUNTIFS('QA Log'!D:D,A495,'QA Log'!M:M,"Vignette",'QA Log'!Z:Z,"Approved",'QA Log'!L:L,"*Vignette [7] First ANC Visit*"),
    COUNTIFS('QA Log'!D:D,A495,'QA Log'!M:M,"Vignette",'QA Log'!Z:Z,"Approved",'QA Log'!L:L,"*Vignette [8] Birth Spacing/ Family Planning :  FP Counselling*"),
    COUNTIFS('QA Log'!D:D,A495,'QA Log'!M:M,"Vignette",'QA Log'!Z:Z,"Approved",'QA Log'!L:L,"*Vignette [9] Birth Spacing: Change FP method to Injectable*"),
    COUNTIFS('QA Log'!D:D,A495,'QA Log'!M:M,"Vignette",'QA Log'!Z:Z,"Approved",'QA Log'!L:L,"*Vignette [10] Post Partum Haemorrhage - Atonic Uterus at Health Centre*")
  )
)</f>
        <v/>
      </c>
      <c r="BG495" s="105" t="str">
        <f>IF(A495&lt;&gt;"",COUNTIFS('QA Log'!D:D,A495,'QA Log'!M:M,"Vignette",'QA Log'!L:L,"Vignette [5] Labor",'QA Log'!Z:Z,"Approved"),"")</f>
        <v/>
      </c>
      <c r="BH495" s="105" t="str">
        <f>IF(A495&lt;&gt;"",COUNTIFS('QA Log'!D:D,A495,'QA Log'!M:M,"Vignette",'QA Log'!L:L,"Vignette [6] PNC pre Discharge",'QA Log'!Z:Z,"Approved"),"")</f>
        <v/>
      </c>
      <c r="BI495" s="105" t="str">
        <f>IF(A495&lt;&gt;"",COUNTIFS('QA Log'!D:D,A495,'QA Log'!M:M,"Vignette",'QA Log'!L:L,"Vignette [7] First ANC Visit",'QA Log'!Z:Z,"Approved"),"")</f>
        <v/>
      </c>
      <c r="BJ495" s="105" t="str">
        <f>IF(A495&lt;&gt;"",COUNTIFS('QA Log'!D:D,A495,'QA Log'!M:M,"Vignette",'QA Log'!L:L,"Vignette [8] Birth Spacing/ Family Planning :  FP Counselling",'QA Log'!Z:Z,"Approved"),"")</f>
        <v/>
      </c>
      <c r="BK495" s="105" t="str">
        <f>IF(A495&lt;&gt;"",COUNTIFS('QA Log'!D:D,A495,'QA Log'!M:M,"Vignette",'QA Log'!L:L,"Vignette [9] Birth Spacing: Change FP method to Injectable",'QA Log'!Z:Z,"Approved"),"")</f>
        <v/>
      </c>
      <c r="BL495" s="105" t="str">
        <f>IF(A495&lt;&gt;"",COUNTIFS('QA Log'!D:D,A495,'QA Log'!M:M,"Vignette",'QA Log'!L:L,"Vignette [10] Post Partum Haemorrhage - Atonic Uterus at Health Centre",'QA Log'!Z:Z,"Approved"),"")</f>
        <v/>
      </c>
      <c r="BM495" s="102" t="str">
        <f>IF(A495="","",SUM(
    COUNTIFS('QA Log'!D:D,A495,'QA Log'!M:M,"Vignette",'QA Log'!Z:Z,"Rejected",'QA Log'!L:L,"*Vignette [5] Labor*"),
    COUNTIFS('QA Log'!D:D,A495,'QA Log'!M:M,"Vignette",'QA Log'!Z:Z,"Rejected",'QA Log'!L:L,"*Vignette [6] PNC pre Discharge*"),
    COUNTIFS('QA Log'!D:D,A495,'QA Log'!M:M,"Vignette",'QA Log'!Z:Z,"Rejected",'QA Log'!L:L,"*Vignette [7] First ANC Visit*"),
    COUNTIFS('QA Log'!D:D,A495,'QA Log'!M:M,"Vignette",'QA Log'!Z:Z,"Rejected",'QA Log'!L:L,"*Vignette [8] Birth Spacing/ Family Planning :  FP Counselling*"),
    COUNTIFS('QA Log'!D:D,A495,'QA Log'!M:M,"Vignette",'QA Log'!Z:Z,"Rejected",'QA Log'!L:L,"*Vignette [9] Birth Spacing: Change FP method to Injectable*"),
    COUNTIFS('QA Log'!D:D,A495,'QA Log'!M:M,"Vignette",'QA Log'!Z:Z,"Rejected",'QA Log'!L:L,"*Vignette [10] Post Partum Haemorrhage - Atonic Uterus at Health Centre*")
  )
)</f>
        <v/>
      </c>
      <c r="BN495" s="107" t="str">
        <f t="shared" si="37"/>
        <v/>
      </c>
      <c r="BO495" s="103" t="str">
        <f t="shared" si="38"/>
        <v/>
      </c>
      <c r="BP495" s="102" t="str">
        <f>IF(A495="","",SUM(
COUNTIFS('QA Log'!D:D,A495,'QA Log'!M:M,"Vignette",'QA Log'!L:L,"*Exit Interview 1*"),
COUNTIFS('QA Log'!D:D,A495,'QA Log'!M:M,"Vignette",'QA Log'!L:L,"*Exit Interview 2*"),
)
)</f>
        <v/>
      </c>
      <c r="BQ495" s="102" t="str">
        <f>IF(
  A495="","",
  SUM(
    COUNTIFS('QA Log'!D:D,A495,'QA Log'!M:M,"Vignette",'QA Log'!Z:Z,"Approved",'QA Log'!L:L,"*Exit Interview 1*"),
    COUNTIFS('QA Log'!D:D,A495,'QA Log'!M:M,"Vignette",'QA Log'!Z:Z,"Approved",'QA Log'!L:L,"*Exit Interview 2*")
  )
)</f>
        <v/>
      </c>
      <c r="BR495" s="105" t="str">
        <f>IF(A495&lt;&gt;"",COUNTIFS('QA Log'!D:D,A495,'QA Log'!M:M,"Vignette",'QA Log'!L:L,"Exit Interview 1",'QA Log'!Z:Z,"Approved"),"")</f>
        <v/>
      </c>
      <c r="BS495" s="105" t="str">
        <f>IF(A495&lt;&gt;"",COUNTIFS('QA Log'!D:D,A495,'QA Log'!M:M,"Vignette",'QA Log'!L:L,"Exit Interview 2",'QA Log'!Z:Z,"Approved"),"")</f>
        <v/>
      </c>
      <c r="BT495" s="102" t="str">
        <f>IF(
  A495="","",
  SUM(
    COUNTIFS('QA Log'!D:D,A495,'QA Log'!M:M,"Vignette",'QA Log'!Z:Z,"Rejected",'QA Log'!L:L,"*Exit Interview 1*"),
    COUNTIFS('QA Log'!D:D,A495,'QA Log'!M:M,"Vignette",'QA Log'!Z:Z,"Rejected",'QA Log'!L:L,"*Exit Interview 2*")
  )
)</f>
        <v/>
      </c>
      <c r="BU495" s="107" t="str">
        <f t="shared" si="39"/>
        <v/>
      </c>
      <c r="BV495" s="102" t="str">
        <f t="shared" si="40"/>
        <v/>
      </c>
      <c r="BW495" s="102" t="str">
        <f t="shared" si="41"/>
        <v/>
      </c>
      <c r="BX495" s="102" t="str">
        <f t="shared" si="42"/>
        <v/>
      </c>
      <c r="BY495" s="102" t="str">
        <f t="shared" si="43"/>
        <v/>
      </c>
      <c r="BZ495" s="107" t="str">
        <f t="shared" si="44"/>
        <v/>
      </c>
      <c r="CA495" s="108" t="str">
        <f t="shared" si="45"/>
        <v/>
      </c>
      <c r="CB495" s="108" t="str">
        <f t="shared" si="46"/>
        <v/>
      </c>
      <c r="CC495" s="109" t="str">
        <f t="shared" si="47"/>
        <v/>
      </c>
      <c r="CD495" s="108" t="str">
        <f t="shared" si="48"/>
        <v/>
      </c>
      <c r="CE495" s="108" t="str">
        <f t="shared" si="49"/>
        <v/>
      </c>
      <c r="CF495" s="109" t="str">
        <f t="shared" si="50"/>
        <v/>
      </c>
      <c r="CG495" s="110" t="str">
        <f t="shared" si="51"/>
        <v/>
      </c>
      <c r="CH495" s="111"/>
    </row>
    <row r="496" spans="1:86" ht="12.75">
      <c r="A496" s="101"/>
      <c r="B496" s="102" t="e">
        <f t="array" aca="1" ref="B496" ca="1">_xludf.XLOOKUP(A496,'QA Log'!D:D,'QA Log'!E:E,"")</f>
        <v>#NAME?</v>
      </c>
      <c r="C496" s="102" t="e">
        <f t="array" aca="1" ref="C496" ca="1">_xludf.XLOOKUP(A496,'QA Log'!D:D,'QA Log'!F:F,"")</f>
        <v>#NAME?</v>
      </c>
      <c r="D496" s="102" t="e">
        <f t="array" aca="1" ref="D496" ca="1">_xludf.XLOOKUP(A496,'QA Log'!D:D,'QA Log'!H:H,"")</f>
        <v>#NAME?</v>
      </c>
      <c r="E496" s="102" t="e">
        <f t="array" aca="1" ref="E496" ca="1">_xludf.XLOOKUP(A496,'QA Log'!D:D,'QA Log'!G:G,"")</f>
        <v>#NAME?</v>
      </c>
      <c r="F496" s="103"/>
      <c r="G496" s="104"/>
      <c r="H496" s="104"/>
      <c r="I496" s="103" t="str">
        <f t="shared" si="26"/>
        <v/>
      </c>
      <c r="J496" s="102" t="str">
        <f>IF(A496="","",SUM(
COUNTIFS('QA Log'!D:D,A496,'QA Log'!M:M,"QQC",'QA Log'!L:L,"*1. General Management*"),
COUNTIFS('QA Log'!D:D,A496,'QA Log'!M:M,"QQC",'QA Log'!L:L,"*3. Curative Consultation (OPD)*"),
COUNTIFS('QA Log'!D:D,A496,'QA Log'!M:M,"QQC",'QA Log'!L:L,"*5. Laboratory*"),
COUNTIFS('QA Log'!D:D,A496,'QA Log'!M:M,"QQC",'QA Log'!L:L,"*6. Essential Medicine Management*"),
COUNTIFS('QA Log'!D:D,A496,'QA Log'!M:M,"QQC",'QA Log'!L:L,"*7. Tracer Medicine*"),
COUNTIFS('QA Log'!D:D,A496,'QA Log'!M:M,"QQC",'QA Log'!L:L,"*11. Additional Questions*")))</f>
        <v/>
      </c>
      <c r="K496" s="102" t="str">
        <f>IF(A496="","",SUM(
COUNTIFS('QA Log'!D:D,A496,'QA Log'!M:M,"QQC",'QA Log'!Z:Z,"Approved",'QA Log'!L:L,"*1. General Management*"),
COUNTIFS('QA Log'!D:D,A496,'QA Log'!M:M,"QQC",'QA Log'!Z:Z,"Approved",'QA Log'!L:L,"*3. Curative Consultation (OPD)*"),
COUNTIFS('QA Log'!D:D,A496,'QA Log'!M:M,"QQC",'QA Log'!Z:Z,"Approved",'QA Log'!L:L,"*5. Laboratory*"),
COUNTIFS('QA Log'!D:D,A496,'QA Log'!M:M,"QQC",'QA Log'!Z:Z,"Approved",'QA Log'!L:L,"*6. Essential Medicine Management*"),
COUNTIFS('QA Log'!D:D,A496,'QA Log'!M:M,"QQC",'QA Log'!Z:Z,"Approved",'QA Log'!L:L,"*7. Tracer Medicine*"),
COUNTIFS('QA Log'!D:D,A496,'QA Log'!M:M,"QQC",'QA Log'!Z:Z,"Approved",'QA Log'!L:L,"*11. Additional Questions*")))</f>
        <v/>
      </c>
      <c r="L496" s="102" t="str">
        <f>IF(A496&lt;&gt;"",COUNTIFS('QA Log'!D:D,A496,'QA Log'!M:M,"QQC",'QA Log'!L:L,"1. General Management",'QA Log'!Z:Z,"Approved"),"")</f>
        <v/>
      </c>
      <c r="M496" s="102" t="str">
        <f>IF(A496&lt;&gt;"",COUNTIFS('QA Log'!D:D,A496,'QA Log'!M:M,"QQC",'QA Log'!L:L,"3. Curative Consultation (OPD)",'QA Log'!Z:Z,"Approved"),"")</f>
        <v/>
      </c>
      <c r="N496" s="102" t="str">
        <f>IF(A496&lt;&gt;"",COUNTIFS('QA Log'!D:D,A496,'QA Log'!M:M,"QQC",'QA Log'!L:L,"5. Laboratory",'QA Log'!Z:Z,"Approved"),"")</f>
        <v/>
      </c>
      <c r="O496" s="102" t="str">
        <f>IF(A496&lt;&gt;"",COUNTIFS('QA Log'!D:D,A496,'QA Log'!M:M,"QQC",'QA Log'!L:L,"6. Essential Medicine Management",'QA Log'!Z:Z,"Approved"),"")</f>
        <v/>
      </c>
      <c r="P496" s="102" t="str">
        <f>IF(A496&lt;&gt;"",COUNTIFS('QA Log'!D:D,A496,'QA Log'!M:M,"QQC",'QA Log'!L:L,"7. Tracer Medicine",'QA Log'!Z:Z,"Approved"),"")</f>
        <v/>
      </c>
      <c r="Q496" s="102" t="str">
        <f>IF(A496&lt;&gt;"",COUNTIFS('QA Log'!D:D,A496,'QA Log'!M:M,"QQC",'QA Log'!L:L,"11. Additional Questions",'QA Log'!Z:Z,"Approved"),"")</f>
        <v/>
      </c>
      <c r="R496" s="102" t="str">
        <f>IF(A496="","",SUM(
COUNTIFS('QA Log'!D:D,A496,'QA Log'!M:M,"QQC",'QA Log'!Z:Z,"Rejected",'QA Log'!L:L,"*8. Maternity*"),
COUNTIFS('QA Log'!D:D,A496,'QA Log'!M:M,"QQC",'QA Log'!Z:Z,"Rejected",'QA Log'!L:L,"*EPI*"),
COUNTIFS('QA Log'!D:D,A496,'QA Log'!M:M,"QQC",'QA Log'!Z:Z,"Rejected",'QA Log'!L:L,"*10. Antenatal Care (ANC)*"),
COUNTIFS('QA Log'!D:D,A496,'QA Log'!M:M,"QQC",'QA Log'!Z:Z,"Rejected",'QA Log'!L:L,"*2. Hygiene and Sterilization*"),
COUNTIFS('QA Log'!D:D,A496,'QA Log'!M:M,"QQC",'QA Log'!Z:Z,"Rejected",'QA Log'!L:L,"*Family Planning*")))</f>
        <v/>
      </c>
      <c r="S496" s="106" t="str">
        <f t="shared" si="27"/>
        <v/>
      </c>
      <c r="T496" s="102" t="str">
        <f t="shared" si="28"/>
        <v/>
      </c>
      <c r="U496" s="102" t="str">
        <f>IF(A496="","",
SUM(
COUNTIFS('QA Log'!D:D,A496,'QA Log'!M:M,"QQC",'QA Log'!L:L,"*8. Maternity*"),
COUNTIFS('QA Log'!D:D,A496,'QA Log'!M:M,"QQC",'QA Log'!L:L,"*9. EPI and Pre-school Consultation*"),
COUNTIFS('QA Log'!D:D,A496,'QA Log'!M:M,"QQC",'QA Log'!L:L,"*10. Antenatal Care (ANC)*"),
COUNTIFS('QA Log'!D:D,A496,'QA Log'!M:M,"QQC",'QA Log'!L:L,"*2. Hygiene and Sterilization*"),
COUNTIFS('QA Log'!D:D,A496,'QA Log'!M:M,"QQC",'QA Log'!L:L,"*4. Family Planning*")
))</f>
        <v/>
      </c>
      <c r="V496" s="102" t="str">
        <f>IF(A496="","",
SUM(
COUNTIFS('QA Log'!D:D,A496,'QA Log'!M:M,"QQC",'QA Log'!Z:Z,"Approved",'QA Log'!L:L,"*8. Maternity*"),
COUNTIFS('QA Log'!D:D,A496,'QA Log'!M:M,"QQC",'QA Log'!Z:Z,"Approved",'QA Log'!L:L,"*9. EPI and Pre-school Consultation*"),
COUNTIFS('QA Log'!D:D,A496,'QA Log'!M:M,"QQC",'QA Log'!Z:Z,"Approved",'QA Log'!L:L,"*10. Antenatal Care (ANC)*"),
COUNTIFS('QA Log'!D:D,A496,'QA Log'!M:M,"QQC",'QA Log'!Z:Z,"Approved",'QA Log'!L:L,"*2. Hygiene and Sterilization*"),
COUNTIFS('QA Log'!D:D,A496,'QA Log'!M:M,"QQC",'QA Log'!Z:Z,"Approved",'QA Log'!L:L,"*4. Family Planning*")
))</f>
        <v/>
      </c>
      <c r="W496" s="102" t="str">
        <f>IF(A496&lt;&gt;"",COUNTIFS('QA Log'!D:D,A496,'QA Log'!M:M,"QQC",'QA Log'!L:L,"8. Maternity",'QA Log'!Z:Z,"Approved"),"")</f>
        <v/>
      </c>
      <c r="X496" s="105" t="str">
        <f>IF(A496&lt;&gt;"",COUNTIFS('QA Log'!D:D,A496,'QA Log'!M:M,"QQC",'QA Log'!L:L,"9. EPI and Pre-school Consultation",'QA Log'!Z:Z,"Approved"),"")</f>
        <v/>
      </c>
      <c r="Y496" s="102" t="str">
        <f>IF(A496&lt;&gt;"",COUNTIFS('QA Log'!D:D,A496,'QA Log'!M:M,"QQC",'QA Log'!L:L,"10. Antenatal Care (ANC)",'QA Log'!Z:Z,"Approved"),"")</f>
        <v/>
      </c>
      <c r="Z496" s="102" t="str">
        <f>IF(A496&lt;&gt;"",COUNTIFS('QA Log'!D:D,A496,'QA Log'!M:M,"QQC",'QA Log'!L:L,"2. Hygiene and Sterilization",'QA Log'!Z:Z,"Approved"),"")</f>
        <v/>
      </c>
      <c r="AA496" s="105" t="str">
        <f>IF(A496&lt;&gt;"",COUNTIFS('QA Log'!D:D,A496,'QA Log'!M:M,"QQC",'QA Log'!L:L,"4. Family Planning",'QA Log'!Z:Z,"Approved"),"")</f>
        <v/>
      </c>
      <c r="AB496" s="102" t="str">
        <f>IF(A496="","",
SUM(
COUNTIFS('QA Log'!D:D,A496,'QA Log'!M:M,"QQC",'QA Log'!Z:Z,"Rejected",'QA Log'!L:L,"*8. Maternity*"),
COUNTIFS('QA Log'!D:D,A496,'QA Log'!M:M,"QQC",'QA Log'!Z:Z,"Rejected",'QA Log'!L:L,"*9. EPI and Pre-school Consultation*"),
COUNTIFS('QA Log'!D:D,A496,'QA Log'!M:M,"QQC",'QA Log'!Z:Z,"Rejected",'QA Log'!L:L,"*10. Antenatal Care (ANC)*"),
COUNTIFS('QA Log'!D:D,A496,'QA Log'!M:M,"QQC",'QA Log'!Z:Z,"Rejected",'QA Log'!L:L,"*2. Hygiene and Sterilization*"),
COUNTIFS('QA Log'!D:D,A496,'QA Log'!M:M,"QQC",'QA Log'!Z:Z,"Rejected",'QA Log'!L:L,"*4. Family Planning*")
))</f>
        <v/>
      </c>
      <c r="AC496" s="102" t="str">
        <f t="shared" si="29"/>
        <v/>
      </c>
      <c r="AD496" s="103" t="str">
        <f t="shared" si="30"/>
        <v/>
      </c>
      <c r="AE496" s="102" t="str">
        <f>IF(A496="","",
SUM(
COUNTIFS('QA Log'!D:D,A496,'QA Log'!M:M,"Data Verification",'QA Log'!L:L,"*Medicine (section 2)*"),
COUNTIFS('QA Log'!D:D,A496,'QA Log'!M:M,"Data Verification",'QA Log'!L:L,"*Lab Testing Availability*"),
COUNTIFS('QA Log'!D:D,A496,'QA Log'!M:M,"Data Verification",'QA Log'!L:L,"*Other than P4P (section 6)*"),
COUNTIFS('QA Log'!D:D,A496,'QA Log'!M:M,"Data Verification",'QA Log'!L:L,"*Hospital Governance*")
))</f>
        <v/>
      </c>
      <c r="AF496" s="102" t="str">
        <f>IF(A496="","",
SUM(
COUNTIFS('QA Log'!D:D,A496,'QA Log'!M:M,"Data Verification",'QA Log'!Z:Z,"Approved",'QA Log'!L:L,"*Medicine (section 2)*"),
COUNTIFS('QA Log'!D:D,A496,'QA Log'!M:M,"Data Verification",'QA Log'!Z:Z,"Approved",'QA Log'!L:L,"*Lab Testing Availability*"),
COUNTIFS('QA Log'!D:D,A496,'QA Log'!M:M,"Data Verification",'QA Log'!Z:Z,"Approved",'QA Log'!L:L,"*Other than P4P (section 6)*"),
COUNTIFS('QA Log'!D:D,A496,'QA Log'!M:M,"Data Verification",'QA Log'!Z:Z,"Approved",'QA Log'!L:L,"*Hospital Governance*")
))</f>
        <v/>
      </c>
      <c r="AG496" s="105" t="str">
        <f>IF(A496&lt;&gt;"",COUNTIFS('QA Log'!D:D,A496,'QA Log'!M:M,"Data Verification",'QA Log'!L:L,"Medicine (section 2)",'QA Log'!Z:Z,"Approved"),"")</f>
        <v/>
      </c>
      <c r="AH496" s="105" t="str">
        <f>IF(A496&lt;&gt;"",COUNTIFS('QA Log'!D:D,A496,'QA Log'!M:M,"Data Verification",'QA Log'!L:L,"Lab Testing Availability",'QA Log'!Z:Z,"Approved"),"")</f>
        <v/>
      </c>
      <c r="AI496" s="105" t="str">
        <f>IF(A496&lt;&gt;"",COUNTIFS('QA Log'!D:D,A496,'QA Log'!M:M,"Data Verification",'QA Log'!L:L,"Other than P4P (section 6)",'QA Log'!Z:Z,"Approved"),"")</f>
        <v/>
      </c>
      <c r="AJ496" s="105" t="str">
        <f>IF(A496&lt;&gt;"",COUNTIFS('QA Log'!D:D,A496,'QA Log'!M:M,"Data Verification",'QA Log'!L:L,"Hospital Governance",'QA Log'!Z:Z,"Approved"),"")</f>
        <v/>
      </c>
      <c r="AK496" s="102" t="str">
        <f>IF(A496="","",
SUM(
COUNTIFS('QA Log'!D:D,A496,'QA Log'!M:M,"Data Verification",'QA Log'!Z:Z,"Rejected",'QA Log'!L:L,"*Medicine (section 2)*"),
COUNTIFS('QA Log'!D:D,A496,'QA Log'!M:M,"Data Verification",'QA Log'!Z:Z,"Rejected",'QA Log'!L:L,"*Lab Testing Availability*"),
COUNTIFS('QA Log'!D:D,A496,'QA Log'!M:M,"Data Verification",'QA Log'!Z:Z,"Rejected",'QA Log'!L:L,"*Other than P4P (section 6)*"),
COUNTIFS('QA Log'!D:D,A496,'QA Log'!M:M,"Data Verification",'QA Log'!Z:Z,"Rejected",'QA Log'!L:L,"*Hospital Governance*")
))</f>
        <v/>
      </c>
      <c r="AL496" s="106" t="str">
        <f t="shared" si="31"/>
        <v/>
      </c>
      <c r="AM496" s="102" t="str">
        <f t="shared" si="32"/>
        <v/>
      </c>
      <c r="AN496" s="102" t="str">
        <f>IF(A496="","",
SUM(
COUNTIFS('QA Log'!D:D,A496,'QA Log'!M:M,"Data Verification",'QA Log'!L:L,"*Personnel (section 1)*"),
COUNTIFS('QA Log'!D:D,A496,'QA Log'!M:M,"Data Verification",'QA Log'!L:L,"*Consumable (section 3)*"),
COUNTIFS('QA Log'!D:D,A496,'QA Log'!M:M,"Data Verification",'QA Log'!L:L,"*Equipments (section 4)*")
))</f>
        <v/>
      </c>
      <c r="AO496" s="102" t="str">
        <f>IF(A496="","",
SUM(
COUNTIFS('QA Log'!D:D,A496,'QA Log'!M:M,"Data Verification",'QA Log'!Z:Z,"Approved",'QA Log'!L:L,"*Personnel (section 1)*"),
COUNTIFS('QA Log'!D:D,A496,'QA Log'!M:M,"Data Verification",'QA Log'!Z:Z,"Approved",'QA Log'!L:L,"*Consumable (section 3)*"),
COUNTIFS('QA Log'!D:D,A496,'QA Log'!M:M,"Data Verification",'QA Log'!Z:Z,"Approved",'QA Log'!L:L,"*Equipments (section 4)*")
))</f>
        <v/>
      </c>
      <c r="AP496" s="105" t="str">
        <f>IF(A496&lt;&gt;"",COUNTIFS('QA Log'!D:D,A496,'QA Log'!M:M,"Data Verification",'QA Log'!L:L,"Personnel (section 1)",'QA Log'!Z:Z,"Approved"),"")</f>
        <v/>
      </c>
      <c r="AQ496" s="105" t="str">
        <f>IF(A496&lt;&gt;"",COUNTIFS('QA Log'!D:D,A496,'QA Log'!M:M,"Data Verification",'QA Log'!L:L,"Consumable (section 3)",'QA Log'!Z:Z,"Approved"),"")</f>
        <v/>
      </c>
      <c r="AR496" s="105" t="str">
        <f>IF(A496&lt;&gt;"",COUNTIFS('QA Log'!D:D,A496,'QA Log'!M:M,"Data Verification",'QA Log'!L:L,"Equipments (section 4)",'QA Log'!Z:Z,"Approved"),"")</f>
        <v/>
      </c>
      <c r="AS496" s="102" t="str">
        <f>IF(A496="","",
SUM(
COUNTIFS('QA Log'!D:D,A496,'QA Log'!M:M,"Data Verification",'QA Log'!Z:Z,"Rejected",'QA Log'!L:L,"*Personnel (section 1)*"),
COUNTIFS('QA Log'!D:D,A496,'QA Log'!M:M,"Data Verification",'QA Log'!Z:Z,"Rejected",'QA Log'!L:L,"*Consumable (section 3)*"),
COUNTIFS('QA Log'!D:D,A496,'QA Log'!M:M,"Data Verification",'QA Log'!Z:Z,"Rejected",'QA Log'!L:L,"*Equipments (section 4)*")
))</f>
        <v/>
      </c>
      <c r="AT496" s="102" t="str">
        <f t="shared" si="33"/>
        <v/>
      </c>
      <c r="AU496" s="103" t="str">
        <f t="shared" si="34"/>
        <v/>
      </c>
      <c r="AV496" s="102" t="str">
        <f>IF(A496="","",SUM(
COUNTIFS('QA Log'!D:D,A496,'QA Log'!M:M,"Vignette",'QA Log'!L:L,"*Vignette [1] Respiratory Infection: Pneumonia*"),
COUNTIFS('QA Log'!D:D,A496,'QA Log'!M:M,"Vignette",'QA Log'!L:L,"*Vignette [2]: Diarrhea with Cat B dehydration*"),
COUNTIFS('QA Log'!D:D,A496,'QA Log'!M:M,"Vignette",'QA Log'!L:L,"*Vignette [3] Growth Monitoring and Promotion*"),
COUNTIFS('QA Log'!D:D,A496,'QA Log'!M:M,"Vignette",'QA Log'!L:L,"*Vignette [4]: The management of presumptive TB patient*")
)
)</f>
        <v/>
      </c>
      <c r="AW496" s="102" t="str">
        <f>IF(
  A496="","",
  SUM(
    COUNTIFS('QA Log'!D:D,A496,'QA Log'!M:M,"Vignette",'QA Log'!Z:Z,"Approved",'QA Log'!L:L,"*Vignette [1] Respiratory Infection: Pneumonia*"),
    COUNTIFS('QA Log'!D:D,A496,'QA Log'!M:M,"Vignette",'QA Log'!Z:Z,"Approved",'QA Log'!L:L,"*Vignette [2]: Diarrhea with Cat B dehydration*"),
    COUNTIFS('QA Log'!D:D,A496,'QA Log'!M:M,"Vignette",'QA Log'!Z:Z,"Approved",'QA Log'!L:L,"*Vignette [3] Growth Monitoring and Promotion*"),
    COUNTIFS('QA Log'!D:D,A496,'QA Log'!M:M,"Vignette",'QA Log'!Z:Z,"Approved",'QA Log'!L:L,"*Vignette [4]: The management of presumptive TB patient*")
  )
)</f>
        <v/>
      </c>
      <c r="AX496" s="105" t="str">
        <f>IF(A496&lt;&gt;"",COUNTIFS('QA Log'!D:D,A496,'QA Log'!M:M,"Vignette",'QA Log'!L:L,"Vignette [1] Respiratory Infection: Pneumonia",'QA Log'!Z:Z,"Approved"),"")</f>
        <v/>
      </c>
      <c r="AY496" s="105" t="str">
        <f>IF(A496&lt;&gt;"",COUNTIFS('QA Log'!D:D,A496,'QA Log'!M:M,"Vignette",'QA Log'!L:L,"Vignette [2]: Diarrhea with Cat B dehydration",'QA Log'!Z:Z,"Approved"),"")</f>
        <v/>
      </c>
      <c r="AZ496" s="105" t="str">
        <f>IF(A496&lt;&gt;"",COUNTIFS('QA Log'!D:D,A496,'QA Log'!M:M,"Vignette",'QA Log'!L:L,"Vignette [3] Growth Monitoring and Promotion",'QA Log'!Z:Z,"Approved"),"")</f>
        <v/>
      </c>
      <c r="BA496" s="105" t="str">
        <f>IF(A496&lt;&gt;"",COUNTIFS('QA Log'!D:D,A496,'QA Log'!M:M,"Vignette",'QA Log'!L:L,"Vignette [4]: The management of presumptive TB patient",'QA Log'!Z:Z,"Approved"),"")</f>
        <v/>
      </c>
      <c r="BB496" s="102" t="str">
        <f>IF(A496="","",
  SUM(
    COUNTIFS('QA Log'!D:D,A496,'QA Log'!M:M,"Vignette",'QA Log'!Z:Z,"Rejected",'QA Log'!L:L,"*Vignette [1] Respiratory Infection: Pneumonia*"),
    COUNTIFS('QA Log'!D:D,A496,'QA Log'!M:M,"Vignette",'QA Log'!Z:Z,"Rejected",'QA Log'!L:L,"*Vignette [2]: Diarrhea with Cat B dehydration*"),
    COUNTIFS('QA Log'!D:D,A496,'QA Log'!M:M,"Vignette",'QA Log'!Z:Z,"Rejected",'QA Log'!L:L,"*Vignette [3] Growth Monitoring and Promotion*"),
    COUNTIFS('QA Log'!D:D,A496,'QA Log'!M:M,"Vignette",'QA Log'!Z:Z,"Rejected",'QA Log'!L:L,"*Vignette [4]: The management of presumptive TB patient*")
  )
)</f>
        <v/>
      </c>
      <c r="BC496" s="107" t="str">
        <f t="shared" si="35"/>
        <v/>
      </c>
      <c r="BD496" s="103" t="str">
        <f t="shared" si="36"/>
        <v/>
      </c>
      <c r="BE496" s="102" t="str">
        <f>IF(A496="","",SUM(
COUNTIFS('QA Log'!D:D,A496,'QA Log'!M:M,"Vignette",'QA Log'!L:L,"*Vignette [5] Labor*"),
COUNTIFS('QA Log'!D:D,A496,'QA Log'!M:M,"Vignette",'QA Log'!L:L,"*Vignette [6] PNC pre Discharge*"),
COUNTIFS('QA Log'!D:D,A496,'QA Log'!M:M,"Vignette",'QA Log'!L:L,"*Vignette [7] First ANC Visit*"),
COUNTIFS('QA Log'!D:D,A496,'QA Log'!M:M,"Vignette",'QA Log'!L:L,"*Vignette [8] Birth Spacing/ Family Planning :  FP Counselling*"),
COUNTIFS('QA Log'!D:D,A496,'QA Log'!M:M,"Vignette",'QA Log'!L:L,"*Vignette [9] Birth Spacing: Change FP method to Injectable*"),
COUNTIFS('QA Log'!D:D,A496,'QA Log'!M:M,"Vignette",'QA Log'!L:L,"*Vignette [10] Post Partum Haemorrhage - Atonic Uterus at Health Centre*"),
)
)</f>
        <v/>
      </c>
      <c r="BF496" s="102" t="str">
        <f>IF(A496="","",
  SUM(
    COUNTIFS('QA Log'!D:D,A496,'QA Log'!M:M,"Vignette",'QA Log'!Z:Z,"Approved",'QA Log'!L:L,"*Vignette [5] Labor*"),
    COUNTIFS('QA Log'!D:D,A496,'QA Log'!M:M,"Vignette",'QA Log'!Z:Z,"Approved",'QA Log'!L:L,"*Vignette [6] PNC pre Discharge*"),
    COUNTIFS('QA Log'!D:D,A496,'QA Log'!M:M,"Vignette",'QA Log'!Z:Z,"Approved",'QA Log'!L:L,"*Vignette [7] First ANC Visit*"),
    COUNTIFS('QA Log'!D:D,A496,'QA Log'!M:M,"Vignette",'QA Log'!Z:Z,"Approved",'QA Log'!L:L,"*Vignette [8] Birth Spacing/ Family Planning :  FP Counselling*"),
    COUNTIFS('QA Log'!D:D,A496,'QA Log'!M:M,"Vignette",'QA Log'!Z:Z,"Approved",'QA Log'!L:L,"*Vignette [9] Birth Spacing: Change FP method to Injectable*"),
    COUNTIFS('QA Log'!D:D,A496,'QA Log'!M:M,"Vignette",'QA Log'!Z:Z,"Approved",'QA Log'!L:L,"*Vignette [10] Post Partum Haemorrhage - Atonic Uterus at Health Centre*")
  )
)</f>
        <v/>
      </c>
      <c r="BG496" s="105" t="str">
        <f>IF(A496&lt;&gt;"",COUNTIFS('QA Log'!D:D,A496,'QA Log'!M:M,"Vignette",'QA Log'!L:L,"Vignette [5] Labor",'QA Log'!Z:Z,"Approved"),"")</f>
        <v/>
      </c>
      <c r="BH496" s="105" t="str">
        <f>IF(A496&lt;&gt;"",COUNTIFS('QA Log'!D:D,A496,'QA Log'!M:M,"Vignette",'QA Log'!L:L,"Vignette [6] PNC pre Discharge",'QA Log'!Z:Z,"Approved"),"")</f>
        <v/>
      </c>
      <c r="BI496" s="105" t="str">
        <f>IF(A496&lt;&gt;"",COUNTIFS('QA Log'!D:D,A496,'QA Log'!M:M,"Vignette",'QA Log'!L:L,"Vignette [7] First ANC Visit",'QA Log'!Z:Z,"Approved"),"")</f>
        <v/>
      </c>
      <c r="BJ496" s="105" t="str">
        <f>IF(A496&lt;&gt;"",COUNTIFS('QA Log'!D:D,A496,'QA Log'!M:M,"Vignette",'QA Log'!L:L,"Vignette [8] Birth Spacing/ Family Planning :  FP Counselling",'QA Log'!Z:Z,"Approved"),"")</f>
        <v/>
      </c>
      <c r="BK496" s="105" t="str">
        <f>IF(A496&lt;&gt;"",COUNTIFS('QA Log'!D:D,A496,'QA Log'!M:M,"Vignette",'QA Log'!L:L,"Vignette [9] Birth Spacing: Change FP method to Injectable",'QA Log'!Z:Z,"Approved"),"")</f>
        <v/>
      </c>
      <c r="BL496" s="105" t="str">
        <f>IF(A496&lt;&gt;"",COUNTIFS('QA Log'!D:D,A496,'QA Log'!M:M,"Vignette",'QA Log'!L:L,"Vignette [10] Post Partum Haemorrhage - Atonic Uterus at Health Centre",'QA Log'!Z:Z,"Approved"),"")</f>
        <v/>
      </c>
      <c r="BM496" s="102" t="str">
        <f>IF(A496="","",SUM(
    COUNTIFS('QA Log'!D:D,A496,'QA Log'!M:M,"Vignette",'QA Log'!Z:Z,"Rejected",'QA Log'!L:L,"*Vignette [5] Labor*"),
    COUNTIFS('QA Log'!D:D,A496,'QA Log'!M:M,"Vignette",'QA Log'!Z:Z,"Rejected",'QA Log'!L:L,"*Vignette [6] PNC pre Discharge*"),
    COUNTIFS('QA Log'!D:D,A496,'QA Log'!M:M,"Vignette",'QA Log'!Z:Z,"Rejected",'QA Log'!L:L,"*Vignette [7] First ANC Visit*"),
    COUNTIFS('QA Log'!D:D,A496,'QA Log'!M:M,"Vignette",'QA Log'!Z:Z,"Rejected",'QA Log'!L:L,"*Vignette [8] Birth Spacing/ Family Planning :  FP Counselling*"),
    COUNTIFS('QA Log'!D:D,A496,'QA Log'!M:M,"Vignette",'QA Log'!Z:Z,"Rejected",'QA Log'!L:L,"*Vignette [9] Birth Spacing: Change FP method to Injectable*"),
    COUNTIFS('QA Log'!D:D,A496,'QA Log'!M:M,"Vignette",'QA Log'!Z:Z,"Rejected",'QA Log'!L:L,"*Vignette [10] Post Partum Haemorrhage - Atonic Uterus at Health Centre*")
  )
)</f>
        <v/>
      </c>
      <c r="BN496" s="107" t="str">
        <f t="shared" si="37"/>
        <v/>
      </c>
      <c r="BO496" s="103" t="str">
        <f t="shared" si="38"/>
        <v/>
      </c>
      <c r="BP496" s="102" t="str">
        <f>IF(A496="","",SUM(
COUNTIFS('QA Log'!D:D,A496,'QA Log'!M:M,"Vignette",'QA Log'!L:L,"*Exit Interview 1*"),
COUNTIFS('QA Log'!D:D,A496,'QA Log'!M:M,"Vignette",'QA Log'!L:L,"*Exit Interview 2*"),
)
)</f>
        <v/>
      </c>
      <c r="BQ496" s="102" t="str">
        <f>IF(
  A496="","",
  SUM(
    COUNTIFS('QA Log'!D:D,A496,'QA Log'!M:M,"Vignette",'QA Log'!Z:Z,"Approved",'QA Log'!L:L,"*Exit Interview 1*"),
    COUNTIFS('QA Log'!D:D,A496,'QA Log'!M:M,"Vignette",'QA Log'!Z:Z,"Approved",'QA Log'!L:L,"*Exit Interview 2*")
  )
)</f>
        <v/>
      </c>
      <c r="BR496" s="105" t="str">
        <f>IF(A496&lt;&gt;"",COUNTIFS('QA Log'!D:D,A496,'QA Log'!M:M,"Vignette",'QA Log'!L:L,"Exit Interview 1",'QA Log'!Z:Z,"Approved"),"")</f>
        <v/>
      </c>
      <c r="BS496" s="105" t="str">
        <f>IF(A496&lt;&gt;"",COUNTIFS('QA Log'!D:D,A496,'QA Log'!M:M,"Vignette",'QA Log'!L:L,"Exit Interview 2",'QA Log'!Z:Z,"Approved"),"")</f>
        <v/>
      </c>
      <c r="BT496" s="102" t="str">
        <f>IF(
  A496="","",
  SUM(
    COUNTIFS('QA Log'!D:D,A496,'QA Log'!M:M,"Vignette",'QA Log'!Z:Z,"Rejected",'QA Log'!L:L,"*Exit Interview 1*"),
    COUNTIFS('QA Log'!D:D,A496,'QA Log'!M:M,"Vignette",'QA Log'!Z:Z,"Rejected",'QA Log'!L:L,"*Exit Interview 2*")
  )
)</f>
        <v/>
      </c>
      <c r="BU496" s="107" t="str">
        <f t="shared" si="39"/>
        <v/>
      </c>
      <c r="BV496" s="102" t="str">
        <f t="shared" si="40"/>
        <v/>
      </c>
      <c r="BW496" s="102" t="str">
        <f t="shared" si="41"/>
        <v/>
      </c>
      <c r="BX496" s="102" t="str">
        <f t="shared" si="42"/>
        <v/>
      </c>
      <c r="BY496" s="102" t="str">
        <f t="shared" si="43"/>
        <v/>
      </c>
      <c r="BZ496" s="107" t="str">
        <f t="shared" si="44"/>
        <v/>
      </c>
      <c r="CA496" s="108" t="str">
        <f t="shared" si="45"/>
        <v/>
      </c>
      <c r="CB496" s="108" t="str">
        <f t="shared" si="46"/>
        <v/>
      </c>
      <c r="CC496" s="109" t="str">
        <f t="shared" si="47"/>
        <v/>
      </c>
      <c r="CD496" s="108" t="str">
        <f t="shared" si="48"/>
        <v/>
      </c>
      <c r="CE496" s="108" t="str">
        <f t="shared" si="49"/>
        <v/>
      </c>
      <c r="CF496" s="109" t="str">
        <f t="shared" si="50"/>
        <v/>
      </c>
      <c r="CG496" s="110" t="str">
        <f t="shared" si="51"/>
        <v/>
      </c>
      <c r="CH496" s="111"/>
    </row>
    <row r="497" spans="1:86" ht="12.75">
      <c r="A497" s="101"/>
      <c r="B497" s="102" t="e">
        <f t="array" aca="1" ref="B497" ca="1">_xludf.XLOOKUP(A497,'QA Log'!D:D,'QA Log'!E:E,"")</f>
        <v>#NAME?</v>
      </c>
      <c r="C497" s="102" t="e">
        <f t="array" aca="1" ref="C497" ca="1">_xludf.XLOOKUP(A497,'QA Log'!D:D,'QA Log'!F:F,"")</f>
        <v>#NAME?</v>
      </c>
      <c r="D497" s="102" t="e">
        <f t="array" aca="1" ref="D497" ca="1">_xludf.XLOOKUP(A497,'QA Log'!D:D,'QA Log'!H:H,"")</f>
        <v>#NAME?</v>
      </c>
      <c r="E497" s="102" t="e">
        <f t="array" aca="1" ref="E497" ca="1">_xludf.XLOOKUP(A497,'QA Log'!D:D,'QA Log'!G:G,"")</f>
        <v>#NAME?</v>
      </c>
      <c r="F497" s="103"/>
      <c r="G497" s="104"/>
      <c r="H497" s="104"/>
      <c r="I497" s="103" t="str">
        <f t="shared" si="26"/>
        <v/>
      </c>
      <c r="J497" s="102" t="str">
        <f>IF(A497="","",SUM(
COUNTIFS('QA Log'!D:D,A497,'QA Log'!M:M,"QQC",'QA Log'!L:L,"*1. General Management*"),
COUNTIFS('QA Log'!D:D,A497,'QA Log'!M:M,"QQC",'QA Log'!L:L,"*3. Curative Consultation (OPD)*"),
COUNTIFS('QA Log'!D:D,A497,'QA Log'!M:M,"QQC",'QA Log'!L:L,"*5. Laboratory*"),
COUNTIFS('QA Log'!D:D,A497,'QA Log'!M:M,"QQC",'QA Log'!L:L,"*6. Essential Medicine Management*"),
COUNTIFS('QA Log'!D:D,A497,'QA Log'!M:M,"QQC",'QA Log'!L:L,"*7. Tracer Medicine*"),
COUNTIFS('QA Log'!D:D,A497,'QA Log'!M:M,"QQC",'QA Log'!L:L,"*11. Additional Questions*")))</f>
        <v/>
      </c>
      <c r="K497" s="102" t="str">
        <f>IF(A497="","",SUM(
COUNTIFS('QA Log'!D:D,A497,'QA Log'!M:M,"QQC",'QA Log'!Z:Z,"Approved",'QA Log'!L:L,"*1. General Management*"),
COUNTIFS('QA Log'!D:D,A497,'QA Log'!M:M,"QQC",'QA Log'!Z:Z,"Approved",'QA Log'!L:L,"*3. Curative Consultation (OPD)*"),
COUNTIFS('QA Log'!D:D,A497,'QA Log'!M:M,"QQC",'QA Log'!Z:Z,"Approved",'QA Log'!L:L,"*5. Laboratory*"),
COUNTIFS('QA Log'!D:D,A497,'QA Log'!M:M,"QQC",'QA Log'!Z:Z,"Approved",'QA Log'!L:L,"*6. Essential Medicine Management*"),
COUNTIFS('QA Log'!D:D,A497,'QA Log'!M:M,"QQC",'QA Log'!Z:Z,"Approved",'QA Log'!L:L,"*7. Tracer Medicine*"),
COUNTIFS('QA Log'!D:D,A497,'QA Log'!M:M,"QQC",'QA Log'!Z:Z,"Approved",'QA Log'!L:L,"*11. Additional Questions*")))</f>
        <v/>
      </c>
      <c r="L497" s="102" t="str">
        <f>IF(A497&lt;&gt;"",COUNTIFS('QA Log'!D:D,A497,'QA Log'!M:M,"QQC",'QA Log'!L:L,"1. General Management",'QA Log'!Z:Z,"Approved"),"")</f>
        <v/>
      </c>
      <c r="M497" s="102" t="str">
        <f>IF(A497&lt;&gt;"",COUNTIFS('QA Log'!D:D,A497,'QA Log'!M:M,"QQC",'QA Log'!L:L,"3. Curative Consultation (OPD)",'QA Log'!Z:Z,"Approved"),"")</f>
        <v/>
      </c>
      <c r="N497" s="102" t="str">
        <f>IF(A497&lt;&gt;"",COUNTIFS('QA Log'!D:D,A497,'QA Log'!M:M,"QQC",'QA Log'!L:L,"5. Laboratory",'QA Log'!Z:Z,"Approved"),"")</f>
        <v/>
      </c>
      <c r="O497" s="102" t="str">
        <f>IF(A497&lt;&gt;"",COUNTIFS('QA Log'!D:D,A497,'QA Log'!M:M,"QQC",'QA Log'!L:L,"6. Essential Medicine Management",'QA Log'!Z:Z,"Approved"),"")</f>
        <v/>
      </c>
      <c r="P497" s="102" t="str">
        <f>IF(A497&lt;&gt;"",COUNTIFS('QA Log'!D:D,A497,'QA Log'!M:M,"QQC",'QA Log'!L:L,"7. Tracer Medicine",'QA Log'!Z:Z,"Approved"),"")</f>
        <v/>
      </c>
      <c r="Q497" s="102" t="str">
        <f>IF(A497&lt;&gt;"",COUNTIFS('QA Log'!D:D,A497,'QA Log'!M:M,"QQC",'QA Log'!L:L,"11. Additional Questions",'QA Log'!Z:Z,"Approved"),"")</f>
        <v/>
      </c>
      <c r="R497" s="102" t="str">
        <f>IF(A497="","",SUM(
COUNTIFS('QA Log'!D:D,A497,'QA Log'!M:M,"QQC",'QA Log'!Z:Z,"Rejected",'QA Log'!L:L,"*8. Maternity*"),
COUNTIFS('QA Log'!D:D,A497,'QA Log'!M:M,"QQC",'QA Log'!Z:Z,"Rejected",'QA Log'!L:L,"*EPI*"),
COUNTIFS('QA Log'!D:D,A497,'QA Log'!M:M,"QQC",'QA Log'!Z:Z,"Rejected",'QA Log'!L:L,"*10. Antenatal Care (ANC)*"),
COUNTIFS('QA Log'!D:D,A497,'QA Log'!M:M,"QQC",'QA Log'!Z:Z,"Rejected",'QA Log'!L:L,"*2. Hygiene and Sterilization*"),
COUNTIFS('QA Log'!D:D,A497,'QA Log'!M:M,"QQC",'QA Log'!Z:Z,"Rejected",'QA Log'!L:L,"*Family Planning*")))</f>
        <v/>
      </c>
      <c r="S497" s="106" t="str">
        <f t="shared" si="27"/>
        <v/>
      </c>
      <c r="T497" s="102" t="str">
        <f t="shared" si="28"/>
        <v/>
      </c>
      <c r="U497" s="102" t="str">
        <f>IF(A497="","",
SUM(
COUNTIFS('QA Log'!D:D,A497,'QA Log'!M:M,"QQC",'QA Log'!L:L,"*8. Maternity*"),
COUNTIFS('QA Log'!D:D,A497,'QA Log'!M:M,"QQC",'QA Log'!L:L,"*9. EPI and Pre-school Consultation*"),
COUNTIFS('QA Log'!D:D,A497,'QA Log'!M:M,"QQC",'QA Log'!L:L,"*10. Antenatal Care (ANC)*"),
COUNTIFS('QA Log'!D:D,A497,'QA Log'!M:M,"QQC",'QA Log'!L:L,"*2. Hygiene and Sterilization*"),
COUNTIFS('QA Log'!D:D,A497,'QA Log'!M:M,"QQC",'QA Log'!L:L,"*4. Family Planning*")
))</f>
        <v/>
      </c>
      <c r="V497" s="102" t="str">
        <f>IF(A497="","",
SUM(
COUNTIFS('QA Log'!D:D,A497,'QA Log'!M:M,"QQC",'QA Log'!Z:Z,"Approved",'QA Log'!L:L,"*8. Maternity*"),
COUNTIFS('QA Log'!D:D,A497,'QA Log'!M:M,"QQC",'QA Log'!Z:Z,"Approved",'QA Log'!L:L,"*9. EPI and Pre-school Consultation*"),
COUNTIFS('QA Log'!D:D,A497,'QA Log'!M:M,"QQC",'QA Log'!Z:Z,"Approved",'QA Log'!L:L,"*10. Antenatal Care (ANC)*"),
COUNTIFS('QA Log'!D:D,A497,'QA Log'!M:M,"QQC",'QA Log'!Z:Z,"Approved",'QA Log'!L:L,"*2. Hygiene and Sterilization*"),
COUNTIFS('QA Log'!D:D,A497,'QA Log'!M:M,"QQC",'QA Log'!Z:Z,"Approved",'QA Log'!L:L,"*4. Family Planning*")
))</f>
        <v/>
      </c>
      <c r="W497" s="102" t="str">
        <f>IF(A497&lt;&gt;"",COUNTIFS('QA Log'!D:D,A497,'QA Log'!M:M,"QQC",'QA Log'!L:L,"8. Maternity",'QA Log'!Z:Z,"Approved"),"")</f>
        <v/>
      </c>
      <c r="X497" s="105" t="str">
        <f>IF(A497&lt;&gt;"",COUNTIFS('QA Log'!D:D,A497,'QA Log'!M:M,"QQC",'QA Log'!L:L,"9. EPI and Pre-school Consultation",'QA Log'!Z:Z,"Approved"),"")</f>
        <v/>
      </c>
      <c r="Y497" s="102" t="str">
        <f>IF(A497&lt;&gt;"",COUNTIFS('QA Log'!D:D,A497,'QA Log'!M:M,"QQC",'QA Log'!L:L,"10. Antenatal Care (ANC)",'QA Log'!Z:Z,"Approved"),"")</f>
        <v/>
      </c>
      <c r="Z497" s="102" t="str">
        <f>IF(A497&lt;&gt;"",COUNTIFS('QA Log'!D:D,A497,'QA Log'!M:M,"QQC",'QA Log'!L:L,"2. Hygiene and Sterilization",'QA Log'!Z:Z,"Approved"),"")</f>
        <v/>
      </c>
      <c r="AA497" s="105" t="str">
        <f>IF(A497&lt;&gt;"",COUNTIFS('QA Log'!D:D,A497,'QA Log'!M:M,"QQC",'QA Log'!L:L,"4. Family Planning",'QA Log'!Z:Z,"Approved"),"")</f>
        <v/>
      </c>
      <c r="AB497" s="102" t="str">
        <f>IF(A497="","",
SUM(
COUNTIFS('QA Log'!D:D,A497,'QA Log'!M:M,"QQC",'QA Log'!Z:Z,"Rejected",'QA Log'!L:L,"*8. Maternity*"),
COUNTIFS('QA Log'!D:D,A497,'QA Log'!M:M,"QQC",'QA Log'!Z:Z,"Rejected",'QA Log'!L:L,"*9. EPI and Pre-school Consultation*"),
COUNTIFS('QA Log'!D:D,A497,'QA Log'!M:M,"QQC",'QA Log'!Z:Z,"Rejected",'QA Log'!L:L,"*10. Antenatal Care (ANC)*"),
COUNTIFS('QA Log'!D:D,A497,'QA Log'!M:M,"QQC",'QA Log'!Z:Z,"Rejected",'QA Log'!L:L,"*2. Hygiene and Sterilization*"),
COUNTIFS('QA Log'!D:D,A497,'QA Log'!M:M,"QQC",'QA Log'!Z:Z,"Rejected",'QA Log'!L:L,"*4. Family Planning*")
))</f>
        <v/>
      </c>
      <c r="AC497" s="102" t="str">
        <f t="shared" si="29"/>
        <v/>
      </c>
      <c r="AD497" s="103" t="str">
        <f t="shared" si="30"/>
        <v/>
      </c>
      <c r="AE497" s="102" t="str">
        <f>IF(A497="","",
SUM(
COUNTIFS('QA Log'!D:D,A497,'QA Log'!M:M,"Data Verification",'QA Log'!L:L,"*Medicine (section 2)*"),
COUNTIFS('QA Log'!D:D,A497,'QA Log'!M:M,"Data Verification",'QA Log'!L:L,"*Lab Testing Availability*"),
COUNTIFS('QA Log'!D:D,A497,'QA Log'!M:M,"Data Verification",'QA Log'!L:L,"*Other than P4P (section 6)*"),
COUNTIFS('QA Log'!D:D,A497,'QA Log'!M:M,"Data Verification",'QA Log'!L:L,"*Hospital Governance*")
))</f>
        <v/>
      </c>
      <c r="AF497" s="102" t="str">
        <f>IF(A497="","",
SUM(
COUNTIFS('QA Log'!D:D,A497,'QA Log'!M:M,"Data Verification",'QA Log'!Z:Z,"Approved",'QA Log'!L:L,"*Medicine (section 2)*"),
COUNTIFS('QA Log'!D:D,A497,'QA Log'!M:M,"Data Verification",'QA Log'!Z:Z,"Approved",'QA Log'!L:L,"*Lab Testing Availability*"),
COUNTIFS('QA Log'!D:D,A497,'QA Log'!M:M,"Data Verification",'QA Log'!Z:Z,"Approved",'QA Log'!L:L,"*Other than P4P (section 6)*"),
COUNTIFS('QA Log'!D:D,A497,'QA Log'!M:M,"Data Verification",'QA Log'!Z:Z,"Approved",'QA Log'!L:L,"*Hospital Governance*")
))</f>
        <v/>
      </c>
      <c r="AG497" s="105" t="str">
        <f>IF(A497&lt;&gt;"",COUNTIFS('QA Log'!D:D,A497,'QA Log'!M:M,"Data Verification",'QA Log'!L:L,"Medicine (section 2)",'QA Log'!Z:Z,"Approved"),"")</f>
        <v/>
      </c>
      <c r="AH497" s="105" t="str">
        <f>IF(A497&lt;&gt;"",COUNTIFS('QA Log'!D:D,A497,'QA Log'!M:M,"Data Verification",'QA Log'!L:L,"Lab Testing Availability",'QA Log'!Z:Z,"Approved"),"")</f>
        <v/>
      </c>
      <c r="AI497" s="105" t="str">
        <f>IF(A497&lt;&gt;"",COUNTIFS('QA Log'!D:D,A497,'QA Log'!M:M,"Data Verification",'QA Log'!L:L,"Other than P4P (section 6)",'QA Log'!Z:Z,"Approved"),"")</f>
        <v/>
      </c>
      <c r="AJ497" s="105" t="str">
        <f>IF(A497&lt;&gt;"",COUNTIFS('QA Log'!D:D,A497,'QA Log'!M:M,"Data Verification",'QA Log'!L:L,"Hospital Governance",'QA Log'!Z:Z,"Approved"),"")</f>
        <v/>
      </c>
      <c r="AK497" s="102" t="str">
        <f>IF(A497="","",
SUM(
COUNTIFS('QA Log'!D:D,A497,'QA Log'!M:M,"Data Verification",'QA Log'!Z:Z,"Rejected",'QA Log'!L:L,"*Medicine (section 2)*"),
COUNTIFS('QA Log'!D:D,A497,'QA Log'!M:M,"Data Verification",'QA Log'!Z:Z,"Rejected",'QA Log'!L:L,"*Lab Testing Availability*"),
COUNTIFS('QA Log'!D:D,A497,'QA Log'!M:M,"Data Verification",'QA Log'!Z:Z,"Rejected",'QA Log'!L:L,"*Other than P4P (section 6)*"),
COUNTIFS('QA Log'!D:D,A497,'QA Log'!M:M,"Data Verification",'QA Log'!Z:Z,"Rejected",'QA Log'!L:L,"*Hospital Governance*")
))</f>
        <v/>
      </c>
      <c r="AL497" s="106" t="str">
        <f t="shared" si="31"/>
        <v/>
      </c>
      <c r="AM497" s="102" t="str">
        <f t="shared" si="32"/>
        <v/>
      </c>
      <c r="AN497" s="102" t="str">
        <f>IF(A497="","",
SUM(
COUNTIFS('QA Log'!D:D,A497,'QA Log'!M:M,"Data Verification",'QA Log'!L:L,"*Personnel (section 1)*"),
COUNTIFS('QA Log'!D:D,A497,'QA Log'!M:M,"Data Verification",'QA Log'!L:L,"*Consumable (section 3)*"),
COUNTIFS('QA Log'!D:D,A497,'QA Log'!M:M,"Data Verification",'QA Log'!L:L,"*Equipments (section 4)*")
))</f>
        <v/>
      </c>
      <c r="AO497" s="102" t="str">
        <f>IF(A497="","",
SUM(
COUNTIFS('QA Log'!D:D,A497,'QA Log'!M:M,"Data Verification",'QA Log'!Z:Z,"Approved",'QA Log'!L:L,"*Personnel (section 1)*"),
COUNTIFS('QA Log'!D:D,A497,'QA Log'!M:M,"Data Verification",'QA Log'!Z:Z,"Approved",'QA Log'!L:L,"*Consumable (section 3)*"),
COUNTIFS('QA Log'!D:D,A497,'QA Log'!M:M,"Data Verification",'QA Log'!Z:Z,"Approved",'QA Log'!L:L,"*Equipments (section 4)*")
))</f>
        <v/>
      </c>
      <c r="AP497" s="105" t="str">
        <f>IF(A497&lt;&gt;"",COUNTIFS('QA Log'!D:D,A497,'QA Log'!M:M,"Data Verification",'QA Log'!L:L,"Personnel (section 1)",'QA Log'!Z:Z,"Approved"),"")</f>
        <v/>
      </c>
      <c r="AQ497" s="105" t="str">
        <f>IF(A497&lt;&gt;"",COUNTIFS('QA Log'!D:D,A497,'QA Log'!M:M,"Data Verification",'QA Log'!L:L,"Consumable (section 3)",'QA Log'!Z:Z,"Approved"),"")</f>
        <v/>
      </c>
      <c r="AR497" s="105" t="str">
        <f>IF(A497&lt;&gt;"",COUNTIFS('QA Log'!D:D,A497,'QA Log'!M:M,"Data Verification",'QA Log'!L:L,"Equipments (section 4)",'QA Log'!Z:Z,"Approved"),"")</f>
        <v/>
      </c>
      <c r="AS497" s="102" t="str">
        <f>IF(A497="","",
SUM(
COUNTIFS('QA Log'!D:D,A497,'QA Log'!M:M,"Data Verification",'QA Log'!Z:Z,"Rejected",'QA Log'!L:L,"*Personnel (section 1)*"),
COUNTIFS('QA Log'!D:D,A497,'QA Log'!M:M,"Data Verification",'QA Log'!Z:Z,"Rejected",'QA Log'!L:L,"*Consumable (section 3)*"),
COUNTIFS('QA Log'!D:D,A497,'QA Log'!M:M,"Data Verification",'QA Log'!Z:Z,"Rejected",'QA Log'!L:L,"*Equipments (section 4)*")
))</f>
        <v/>
      </c>
      <c r="AT497" s="102" t="str">
        <f t="shared" si="33"/>
        <v/>
      </c>
      <c r="AU497" s="103" t="str">
        <f t="shared" si="34"/>
        <v/>
      </c>
      <c r="AV497" s="102" t="str">
        <f>IF(A497="","",SUM(
COUNTIFS('QA Log'!D:D,A497,'QA Log'!M:M,"Vignette",'QA Log'!L:L,"*Vignette [1] Respiratory Infection: Pneumonia*"),
COUNTIFS('QA Log'!D:D,A497,'QA Log'!M:M,"Vignette",'QA Log'!L:L,"*Vignette [2]: Diarrhea with Cat B dehydration*"),
COUNTIFS('QA Log'!D:D,A497,'QA Log'!M:M,"Vignette",'QA Log'!L:L,"*Vignette [3] Growth Monitoring and Promotion*"),
COUNTIFS('QA Log'!D:D,A497,'QA Log'!M:M,"Vignette",'QA Log'!L:L,"*Vignette [4]: The management of presumptive TB patient*")
)
)</f>
        <v/>
      </c>
      <c r="AW497" s="102" t="str">
        <f>IF(
  A497="","",
  SUM(
    COUNTIFS('QA Log'!D:D,A497,'QA Log'!M:M,"Vignette",'QA Log'!Z:Z,"Approved",'QA Log'!L:L,"*Vignette [1] Respiratory Infection: Pneumonia*"),
    COUNTIFS('QA Log'!D:D,A497,'QA Log'!M:M,"Vignette",'QA Log'!Z:Z,"Approved",'QA Log'!L:L,"*Vignette [2]: Diarrhea with Cat B dehydration*"),
    COUNTIFS('QA Log'!D:D,A497,'QA Log'!M:M,"Vignette",'QA Log'!Z:Z,"Approved",'QA Log'!L:L,"*Vignette [3] Growth Monitoring and Promotion*"),
    COUNTIFS('QA Log'!D:D,A497,'QA Log'!M:M,"Vignette",'QA Log'!Z:Z,"Approved",'QA Log'!L:L,"*Vignette [4]: The management of presumptive TB patient*")
  )
)</f>
        <v/>
      </c>
      <c r="AX497" s="105" t="str">
        <f>IF(A497&lt;&gt;"",COUNTIFS('QA Log'!D:D,A497,'QA Log'!M:M,"Vignette",'QA Log'!L:L,"Vignette [1] Respiratory Infection: Pneumonia",'QA Log'!Z:Z,"Approved"),"")</f>
        <v/>
      </c>
      <c r="AY497" s="105" t="str">
        <f>IF(A497&lt;&gt;"",COUNTIFS('QA Log'!D:D,A497,'QA Log'!M:M,"Vignette",'QA Log'!L:L,"Vignette [2]: Diarrhea with Cat B dehydration",'QA Log'!Z:Z,"Approved"),"")</f>
        <v/>
      </c>
      <c r="AZ497" s="105" t="str">
        <f>IF(A497&lt;&gt;"",COUNTIFS('QA Log'!D:D,A497,'QA Log'!M:M,"Vignette",'QA Log'!L:L,"Vignette [3] Growth Monitoring and Promotion",'QA Log'!Z:Z,"Approved"),"")</f>
        <v/>
      </c>
      <c r="BA497" s="105" t="str">
        <f>IF(A497&lt;&gt;"",COUNTIFS('QA Log'!D:D,A497,'QA Log'!M:M,"Vignette",'QA Log'!L:L,"Vignette [4]: The management of presumptive TB patient",'QA Log'!Z:Z,"Approved"),"")</f>
        <v/>
      </c>
      <c r="BB497" s="102" t="str">
        <f>IF(A497="","",
  SUM(
    COUNTIFS('QA Log'!D:D,A497,'QA Log'!M:M,"Vignette",'QA Log'!Z:Z,"Rejected",'QA Log'!L:L,"*Vignette [1] Respiratory Infection: Pneumonia*"),
    COUNTIFS('QA Log'!D:D,A497,'QA Log'!M:M,"Vignette",'QA Log'!Z:Z,"Rejected",'QA Log'!L:L,"*Vignette [2]: Diarrhea with Cat B dehydration*"),
    COUNTIFS('QA Log'!D:D,A497,'QA Log'!M:M,"Vignette",'QA Log'!Z:Z,"Rejected",'QA Log'!L:L,"*Vignette [3] Growth Monitoring and Promotion*"),
    COUNTIFS('QA Log'!D:D,A497,'QA Log'!M:M,"Vignette",'QA Log'!Z:Z,"Rejected",'QA Log'!L:L,"*Vignette [4]: The management of presumptive TB patient*")
  )
)</f>
        <v/>
      </c>
      <c r="BC497" s="107" t="str">
        <f t="shared" si="35"/>
        <v/>
      </c>
      <c r="BD497" s="103" t="str">
        <f t="shared" si="36"/>
        <v/>
      </c>
      <c r="BE497" s="102" t="str">
        <f>IF(A497="","",SUM(
COUNTIFS('QA Log'!D:D,A497,'QA Log'!M:M,"Vignette",'QA Log'!L:L,"*Vignette [5] Labor*"),
COUNTIFS('QA Log'!D:D,A497,'QA Log'!M:M,"Vignette",'QA Log'!L:L,"*Vignette [6] PNC pre Discharge*"),
COUNTIFS('QA Log'!D:D,A497,'QA Log'!M:M,"Vignette",'QA Log'!L:L,"*Vignette [7] First ANC Visit*"),
COUNTIFS('QA Log'!D:D,A497,'QA Log'!M:M,"Vignette",'QA Log'!L:L,"*Vignette [8] Birth Spacing/ Family Planning :  FP Counselling*"),
COUNTIFS('QA Log'!D:D,A497,'QA Log'!M:M,"Vignette",'QA Log'!L:L,"*Vignette [9] Birth Spacing: Change FP method to Injectable*"),
COUNTIFS('QA Log'!D:D,A497,'QA Log'!M:M,"Vignette",'QA Log'!L:L,"*Vignette [10] Post Partum Haemorrhage - Atonic Uterus at Health Centre*"),
)
)</f>
        <v/>
      </c>
      <c r="BF497" s="102" t="str">
        <f>IF(A497="","",
  SUM(
    COUNTIFS('QA Log'!D:D,A497,'QA Log'!M:M,"Vignette",'QA Log'!Z:Z,"Approved",'QA Log'!L:L,"*Vignette [5] Labor*"),
    COUNTIFS('QA Log'!D:D,A497,'QA Log'!M:M,"Vignette",'QA Log'!Z:Z,"Approved",'QA Log'!L:L,"*Vignette [6] PNC pre Discharge*"),
    COUNTIFS('QA Log'!D:D,A497,'QA Log'!M:M,"Vignette",'QA Log'!Z:Z,"Approved",'QA Log'!L:L,"*Vignette [7] First ANC Visit*"),
    COUNTIFS('QA Log'!D:D,A497,'QA Log'!M:M,"Vignette",'QA Log'!Z:Z,"Approved",'QA Log'!L:L,"*Vignette [8] Birth Spacing/ Family Planning :  FP Counselling*"),
    COUNTIFS('QA Log'!D:D,A497,'QA Log'!M:M,"Vignette",'QA Log'!Z:Z,"Approved",'QA Log'!L:L,"*Vignette [9] Birth Spacing: Change FP method to Injectable*"),
    COUNTIFS('QA Log'!D:D,A497,'QA Log'!M:M,"Vignette",'QA Log'!Z:Z,"Approved",'QA Log'!L:L,"*Vignette [10] Post Partum Haemorrhage - Atonic Uterus at Health Centre*")
  )
)</f>
        <v/>
      </c>
      <c r="BG497" s="105" t="str">
        <f>IF(A497&lt;&gt;"",COUNTIFS('QA Log'!D:D,A497,'QA Log'!M:M,"Vignette",'QA Log'!L:L,"Vignette [5] Labor",'QA Log'!Z:Z,"Approved"),"")</f>
        <v/>
      </c>
      <c r="BH497" s="105" t="str">
        <f>IF(A497&lt;&gt;"",COUNTIFS('QA Log'!D:D,A497,'QA Log'!M:M,"Vignette",'QA Log'!L:L,"Vignette [6] PNC pre Discharge",'QA Log'!Z:Z,"Approved"),"")</f>
        <v/>
      </c>
      <c r="BI497" s="105" t="str">
        <f>IF(A497&lt;&gt;"",COUNTIFS('QA Log'!D:D,A497,'QA Log'!M:M,"Vignette",'QA Log'!L:L,"Vignette [7] First ANC Visit",'QA Log'!Z:Z,"Approved"),"")</f>
        <v/>
      </c>
      <c r="BJ497" s="105" t="str">
        <f>IF(A497&lt;&gt;"",COUNTIFS('QA Log'!D:D,A497,'QA Log'!M:M,"Vignette",'QA Log'!L:L,"Vignette [8] Birth Spacing/ Family Planning :  FP Counselling",'QA Log'!Z:Z,"Approved"),"")</f>
        <v/>
      </c>
      <c r="BK497" s="105" t="str">
        <f>IF(A497&lt;&gt;"",COUNTIFS('QA Log'!D:D,A497,'QA Log'!M:M,"Vignette",'QA Log'!L:L,"Vignette [9] Birth Spacing: Change FP method to Injectable",'QA Log'!Z:Z,"Approved"),"")</f>
        <v/>
      </c>
      <c r="BL497" s="105" t="str">
        <f>IF(A497&lt;&gt;"",COUNTIFS('QA Log'!D:D,A497,'QA Log'!M:M,"Vignette",'QA Log'!L:L,"Vignette [10] Post Partum Haemorrhage - Atonic Uterus at Health Centre",'QA Log'!Z:Z,"Approved"),"")</f>
        <v/>
      </c>
      <c r="BM497" s="102" t="str">
        <f>IF(A497="","",SUM(
    COUNTIFS('QA Log'!D:D,A497,'QA Log'!M:M,"Vignette",'QA Log'!Z:Z,"Rejected",'QA Log'!L:L,"*Vignette [5] Labor*"),
    COUNTIFS('QA Log'!D:D,A497,'QA Log'!M:M,"Vignette",'QA Log'!Z:Z,"Rejected",'QA Log'!L:L,"*Vignette [6] PNC pre Discharge*"),
    COUNTIFS('QA Log'!D:D,A497,'QA Log'!M:M,"Vignette",'QA Log'!Z:Z,"Rejected",'QA Log'!L:L,"*Vignette [7] First ANC Visit*"),
    COUNTIFS('QA Log'!D:D,A497,'QA Log'!M:M,"Vignette",'QA Log'!Z:Z,"Rejected",'QA Log'!L:L,"*Vignette [8] Birth Spacing/ Family Planning :  FP Counselling*"),
    COUNTIFS('QA Log'!D:D,A497,'QA Log'!M:M,"Vignette",'QA Log'!Z:Z,"Rejected",'QA Log'!L:L,"*Vignette [9] Birth Spacing: Change FP method to Injectable*"),
    COUNTIFS('QA Log'!D:D,A497,'QA Log'!M:M,"Vignette",'QA Log'!Z:Z,"Rejected",'QA Log'!L:L,"*Vignette [10] Post Partum Haemorrhage - Atonic Uterus at Health Centre*")
  )
)</f>
        <v/>
      </c>
      <c r="BN497" s="107" t="str">
        <f t="shared" si="37"/>
        <v/>
      </c>
      <c r="BO497" s="103" t="str">
        <f t="shared" si="38"/>
        <v/>
      </c>
      <c r="BP497" s="102" t="str">
        <f>IF(A497="","",SUM(
COUNTIFS('QA Log'!D:D,A497,'QA Log'!M:M,"Vignette",'QA Log'!L:L,"*Exit Interview 1*"),
COUNTIFS('QA Log'!D:D,A497,'QA Log'!M:M,"Vignette",'QA Log'!L:L,"*Exit Interview 2*"),
)
)</f>
        <v/>
      </c>
      <c r="BQ497" s="102" t="str">
        <f>IF(
  A497="","",
  SUM(
    COUNTIFS('QA Log'!D:D,A497,'QA Log'!M:M,"Vignette",'QA Log'!Z:Z,"Approved",'QA Log'!L:L,"*Exit Interview 1*"),
    COUNTIFS('QA Log'!D:D,A497,'QA Log'!M:M,"Vignette",'QA Log'!Z:Z,"Approved",'QA Log'!L:L,"*Exit Interview 2*")
  )
)</f>
        <v/>
      </c>
      <c r="BR497" s="105" t="str">
        <f>IF(A497&lt;&gt;"",COUNTIFS('QA Log'!D:D,A497,'QA Log'!M:M,"Vignette",'QA Log'!L:L,"Exit Interview 1",'QA Log'!Z:Z,"Approved"),"")</f>
        <v/>
      </c>
      <c r="BS497" s="105" t="str">
        <f>IF(A497&lt;&gt;"",COUNTIFS('QA Log'!D:D,A497,'QA Log'!M:M,"Vignette",'QA Log'!L:L,"Exit Interview 2",'QA Log'!Z:Z,"Approved"),"")</f>
        <v/>
      </c>
      <c r="BT497" s="102" t="str">
        <f>IF(
  A497="","",
  SUM(
    COUNTIFS('QA Log'!D:D,A497,'QA Log'!M:M,"Vignette",'QA Log'!Z:Z,"Rejected",'QA Log'!L:L,"*Exit Interview 1*"),
    COUNTIFS('QA Log'!D:D,A497,'QA Log'!M:M,"Vignette",'QA Log'!Z:Z,"Rejected",'QA Log'!L:L,"*Exit Interview 2*")
  )
)</f>
        <v/>
      </c>
      <c r="BU497" s="107" t="str">
        <f t="shared" si="39"/>
        <v/>
      </c>
      <c r="BV497" s="102" t="str">
        <f t="shared" si="40"/>
        <v/>
      </c>
      <c r="BW497" s="102" t="str">
        <f t="shared" si="41"/>
        <v/>
      </c>
      <c r="BX497" s="102" t="str">
        <f t="shared" si="42"/>
        <v/>
      </c>
      <c r="BY497" s="102" t="str">
        <f t="shared" si="43"/>
        <v/>
      </c>
      <c r="BZ497" s="107" t="str">
        <f t="shared" si="44"/>
        <v/>
      </c>
      <c r="CA497" s="108" t="str">
        <f t="shared" si="45"/>
        <v/>
      </c>
      <c r="CB497" s="108" t="str">
        <f t="shared" si="46"/>
        <v/>
      </c>
      <c r="CC497" s="109" t="str">
        <f t="shared" si="47"/>
        <v/>
      </c>
      <c r="CD497" s="108" t="str">
        <f t="shared" si="48"/>
        <v/>
      </c>
      <c r="CE497" s="108" t="str">
        <f t="shared" si="49"/>
        <v/>
      </c>
      <c r="CF497" s="109" t="str">
        <f t="shared" si="50"/>
        <v/>
      </c>
      <c r="CG497" s="110" t="str">
        <f t="shared" si="51"/>
        <v/>
      </c>
      <c r="CH497" s="111"/>
    </row>
    <row r="498" spans="1:86" ht="12.75">
      <c r="A498" s="101"/>
      <c r="B498" s="102" t="e">
        <f t="array" aca="1" ref="B498" ca="1">_xludf.XLOOKUP(A498,'QA Log'!D:D,'QA Log'!E:E,"")</f>
        <v>#NAME?</v>
      </c>
      <c r="C498" s="102" t="e">
        <f t="array" aca="1" ref="C498" ca="1">_xludf.XLOOKUP(A498,'QA Log'!D:D,'QA Log'!F:F,"")</f>
        <v>#NAME?</v>
      </c>
      <c r="D498" s="102" t="e">
        <f t="array" aca="1" ref="D498" ca="1">_xludf.XLOOKUP(A498,'QA Log'!D:D,'QA Log'!H:H,"")</f>
        <v>#NAME?</v>
      </c>
      <c r="E498" s="102" t="e">
        <f t="array" aca="1" ref="E498" ca="1">_xludf.XLOOKUP(A498,'QA Log'!D:D,'QA Log'!G:G,"")</f>
        <v>#NAME?</v>
      </c>
      <c r="F498" s="103"/>
      <c r="G498" s="104"/>
      <c r="H498" s="104"/>
      <c r="I498" s="103" t="str">
        <f t="shared" si="26"/>
        <v/>
      </c>
      <c r="J498" s="102" t="str">
        <f>IF(A498="","",SUM(
COUNTIFS('QA Log'!D:D,A498,'QA Log'!M:M,"QQC",'QA Log'!L:L,"*1. General Management*"),
COUNTIFS('QA Log'!D:D,A498,'QA Log'!M:M,"QQC",'QA Log'!L:L,"*3. Curative Consultation (OPD)*"),
COUNTIFS('QA Log'!D:D,A498,'QA Log'!M:M,"QQC",'QA Log'!L:L,"*5. Laboratory*"),
COUNTIFS('QA Log'!D:D,A498,'QA Log'!M:M,"QQC",'QA Log'!L:L,"*6. Essential Medicine Management*"),
COUNTIFS('QA Log'!D:D,A498,'QA Log'!M:M,"QQC",'QA Log'!L:L,"*7. Tracer Medicine*"),
COUNTIFS('QA Log'!D:D,A498,'QA Log'!M:M,"QQC",'QA Log'!L:L,"*11. Additional Questions*")))</f>
        <v/>
      </c>
      <c r="K498" s="102" t="str">
        <f>IF(A498="","",SUM(
COUNTIFS('QA Log'!D:D,A498,'QA Log'!M:M,"QQC",'QA Log'!Z:Z,"Approved",'QA Log'!L:L,"*1. General Management*"),
COUNTIFS('QA Log'!D:D,A498,'QA Log'!M:M,"QQC",'QA Log'!Z:Z,"Approved",'QA Log'!L:L,"*3. Curative Consultation (OPD)*"),
COUNTIFS('QA Log'!D:D,A498,'QA Log'!M:M,"QQC",'QA Log'!Z:Z,"Approved",'QA Log'!L:L,"*5. Laboratory*"),
COUNTIFS('QA Log'!D:D,A498,'QA Log'!M:M,"QQC",'QA Log'!Z:Z,"Approved",'QA Log'!L:L,"*6. Essential Medicine Management*"),
COUNTIFS('QA Log'!D:D,A498,'QA Log'!M:M,"QQC",'QA Log'!Z:Z,"Approved",'QA Log'!L:L,"*7. Tracer Medicine*"),
COUNTIFS('QA Log'!D:D,A498,'QA Log'!M:M,"QQC",'QA Log'!Z:Z,"Approved",'QA Log'!L:L,"*11. Additional Questions*")))</f>
        <v/>
      </c>
      <c r="L498" s="102" t="str">
        <f>IF(A498&lt;&gt;"",COUNTIFS('QA Log'!D:D,A498,'QA Log'!M:M,"QQC",'QA Log'!L:L,"1. General Management",'QA Log'!Z:Z,"Approved"),"")</f>
        <v/>
      </c>
      <c r="M498" s="102" t="str">
        <f>IF(A498&lt;&gt;"",COUNTIFS('QA Log'!D:D,A498,'QA Log'!M:M,"QQC",'QA Log'!L:L,"3. Curative Consultation (OPD)",'QA Log'!Z:Z,"Approved"),"")</f>
        <v/>
      </c>
      <c r="N498" s="102" t="str">
        <f>IF(A498&lt;&gt;"",COUNTIFS('QA Log'!D:D,A498,'QA Log'!M:M,"QQC",'QA Log'!L:L,"5. Laboratory",'QA Log'!Z:Z,"Approved"),"")</f>
        <v/>
      </c>
      <c r="O498" s="102" t="str">
        <f>IF(A498&lt;&gt;"",COUNTIFS('QA Log'!D:D,A498,'QA Log'!M:M,"QQC",'QA Log'!L:L,"6. Essential Medicine Management",'QA Log'!Z:Z,"Approved"),"")</f>
        <v/>
      </c>
      <c r="P498" s="102" t="str">
        <f>IF(A498&lt;&gt;"",COUNTIFS('QA Log'!D:D,A498,'QA Log'!M:M,"QQC",'QA Log'!L:L,"7. Tracer Medicine",'QA Log'!Z:Z,"Approved"),"")</f>
        <v/>
      </c>
      <c r="Q498" s="102" t="str">
        <f>IF(A498&lt;&gt;"",COUNTIFS('QA Log'!D:D,A498,'QA Log'!M:M,"QQC",'QA Log'!L:L,"11. Additional Questions",'QA Log'!Z:Z,"Approved"),"")</f>
        <v/>
      </c>
      <c r="R498" s="102" t="str">
        <f>IF(A498="","",SUM(
COUNTIFS('QA Log'!D:D,A498,'QA Log'!M:M,"QQC",'QA Log'!Z:Z,"Rejected",'QA Log'!L:L,"*8. Maternity*"),
COUNTIFS('QA Log'!D:D,A498,'QA Log'!M:M,"QQC",'QA Log'!Z:Z,"Rejected",'QA Log'!L:L,"*EPI*"),
COUNTIFS('QA Log'!D:D,A498,'QA Log'!M:M,"QQC",'QA Log'!Z:Z,"Rejected",'QA Log'!L:L,"*10. Antenatal Care (ANC)*"),
COUNTIFS('QA Log'!D:D,A498,'QA Log'!M:M,"QQC",'QA Log'!Z:Z,"Rejected",'QA Log'!L:L,"*2. Hygiene and Sterilization*"),
COUNTIFS('QA Log'!D:D,A498,'QA Log'!M:M,"QQC",'QA Log'!Z:Z,"Rejected",'QA Log'!L:L,"*Family Planning*")))</f>
        <v/>
      </c>
      <c r="S498" s="106" t="str">
        <f t="shared" si="27"/>
        <v/>
      </c>
      <c r="T498" s="102" t="str">
        <f t="shared" si="28"/>
        <v/>
      </c>
      <c r="U498" s="102" t="str">
        <f>IF(A498="","",
SUM(
COUNTIFS('QA Log'!D:D,A498,'QA Log'!M:M,"QQC",'QA Log'!L:L,"*8. Maternity*"),
COUNTIFS('QA Log'!D:D,A498,'QA Log'!M:M,"QQC",'QA Log'!L:L,"*9. EPI and Pre-school Consultation*"),
COUNTIFS('QA Log'!D:D,A498,'QA Log'!M:M,"QQC",'QA Log'!L:L,"*10. Antenatal Care (ANC)*"),
COUNTIFS('QA Log'!D:D,A498,'QA Log'!M:M,"QQC",'QA Log'!L:L,"*2. Hygiene and Sterilization*"),
COUNTIFS('QA Log'!D:D,A498,'QA Log'!M:M,"QQC",'QA Log'!L:L,"*4. Family Planning*")
))</f>
        <v/>
      </c>
      <c r="V498" s="102" t="str">
        <f>IF(A498="","",
SUM(
COUNTIFS('QA Log'!D:D,A498,'QA Log'!M:M,"QQC",'QA Log'!Z:Z,"Approved",'QA Log'!L:L,"*8. Maternity*"),
COUNTIFS('QA Log'!D:D,A498,'QA Log'!M:M,"QQC",'QA Log'!Z:Z,"Approved",'QA Log'!L:L,"*9. EPI and Pre-school Consultation*"),
COUNTIFS('QA Log'!D:D,A498,'QA Log'!M:M,"QQC",'QA Log'!Z:Z,"Approved",'QA Log'!L:L,"*10. Antenatal Care (ANC)*"),
COUNTIFS('QA Log'!D:D,A498,'QA Log'!M:M,"QQC",'QA Log'!Z:Z,"Approved",'QA Log'!L:L,"*2. Hygiene and Sterilization*"),
COUNTIFS('QA Log'!D:D,A498,'QA Log'!M:M,"QQC",'QA Log'!Z:Z,"Approved",'QA Log'!L:L,"*4. Family Planning*")
))</f>
        <v/>
      </c>
      <c r="W498" s="102" t="str">
        <f>IF(A498&lt;&gt;"",COUNTIFS('QA Log'!D:D,A498,'QA Log'!M:M,"QQC",'QA Log'!L:L,"8. Maternity",'QA Log'!Z:Z,"Approved"),"")</f>
        <v/>
      </c>
      <c r="X498" s="105" t="str">
        <f>IF(A498&lt;&gt;"",COUNTIFS('QA Log'!D:D,A498,'QA Log'!M:M,"QQC",'QA Log'!L:L,"9. EPI and Pre-school Consultation",'QA Log'!Z:Z,"Approved"),"")</f>
        <v/>
      </c>
      <c r="Y498" s="102" t="str">
        <f>IF(A498&lt;&gt;"",COUNTIFS('QA Log'!D:D,A498,'QA Log'!M:M,"QQC",'QA Log'!L:L,"10. Antenatal Care (ANC)",'QA Log'!Z:Z,"Approved"),"")</f>
        <v/>
      </c>
      <c r="Z498" s="102" t="str">
        <f>IF(A498&lt;&gt;"",COUNTIFS('QA Log'!D:D,A498,'QA Log'!M:M,"QQC",'QA Log'!L:L,"2. Hygiene and Sterilization",'QA Log'!Z:Z,"Approved"),"")</f>
        <v/>
      </c>
      <c r="AA498" s="105" t="str">
        <f>IF(A498&lt;&gt;"",COUNTIFS('QA Log'!D:D,A498,'QA Log'!M:M,"QQC",'QA Log'!L:L,"4. Family Planning",'QA Log'!Z:Z,"Approved"),"")</f>
        <v/>
      </c>
      <c r="AB498" s="102" t="str">
        <f>IF(A498="","",
SUM(
COUNTIFS('QA Log'!D:D,A498,'QA Log'!M:M,"QQC",'QA Log'!Z:Z,"Rejected",'QA Log'!L:L,"*8. Maternity*"),
COUNTIFS('QA Log'!D:D,A498,'QA Log'!M:M,"QQC",'QA Log'!Z:Z,"Rejected",'QA Log'!L:L,"*9. EPI and Pre-school Consultation*"),
COUNTIFS('QA Log'!D:D,A498,'QA Log'!M:M,"QQC",'QA Log'!Z:Z,"Rejected",'QA Log'!L:L,"*10. Antenatal Care (ANC)*"),
COUNTIFS('QA Log'!D:D,A498,'QA Log'!M:M,"QQC",'QA Log'!Z:Z,"Rejected",'QA Log'!L:L,"*2. Hygiene and Sterilization*"),
COUNTIFS('QA Log'!D:D,A498,'QA Log'!M:M,"QQC",'QA Log'!Z:Z,"Rejected",'QA Log'!L:L,"*4. Family Planning*")
))</f>
        <v/>
      </c>
      <c r="AC498" s="102" t="str">
        <f t="shared" si="29"/>
        <v/>
      </c>
      <c r="AD498" s="103" t="str">
        <f t="shared" si="30"/>
        <v/>
      </c>
      <c r="AE498" s="102" t="str">
        <f>IF(A498="","",
SUM(
COUNTIFS('QA Log'!D:D,A498,'QA Log'!M:M,"Data Verification",'QA Log'!L:L,"*Medicine (section 2)*"),
COUNTIFS('QA Log'!D:D,A498,'QA Log'!M:M,"Data Verification",'QA Log'!L:L,"*Lab Testing Availability*"),
COUNTIFS('QA Log'!D:D,A498,'QA Log'!M:M,"Data Verification",'QA Log'!L:L,"*Other than P4P (section 6)*"),
COUNTIFS('QA Log'!D:D,A498,'QA Log'!M:M,"Data Verification",'QA Log'!L:L,"*Hospital Governance*")
))</f>
        <v/>
      </c>
      <c r="AF498" s="102" t="str">
        <f>IF(A498="","",
SUM(
COUNTIFS('QA Log'!D:D,A498,'QA Log'!M:M,"Data Verification",'QA Log'!Z:Z,"Approved",'QA Log'!L:L,"*Medicine (section 2)*"),
COUNTIFS('QA Log'!D:D,A498,'QA Log'!M:M,"Data Verification",'QA Log'!Z:Z,"Approved",'QA Log'!L:L,"*Lab Testing Availability*"),
COUNTIFS('QA Log'!D:D,A498,'QA Log'!M:M,"Data Verification",'QA Log'!Z:Z,"Approved",'QA Log'!L:L,"*Other than P4P (section 6)*"),
COUNTIFS('QA Log'!D:D,A498,'QA Log'!M:M,"Data Verification",'QA Log'!Z:Z,"Approved",'QA Log'!L:L,"*Hospital Governance*")
))</f>
        <v/>
      </c>
      <c r="AG498" s="105" t="str">
        <f>IF(A498&lt;&gt;"",COUNTIFS('QA Log'!D:D,A498,'QA Log'!M:M,"Data Verification",'QA Log'!L:L,"Medicine (section 2)",'QA Log'!Z:Z,"Approved"),"")</f>
        <v/>
      </c>
      <c r="AH498" s="105" t="str">
        <f>IF(A498&lt;&gt;"",COUNTIFS('QA Log'!D:D,A498,'QA Log'!M:M,"Data Verification",'QA Log'!L:L,"Lab Testing Availability",'QA Log'!Z:Z,"Approved"),"")</f>
        <v/>
      </c>
      <c r="AI498" s="105" t="str">
        <f>IF(A498&lt;&gt;"",COUNTIFS('QA Log'!D:D,A498,'QA Log'!M:M,"Data Verification",'QA Log'!L:L,"Other than P4P (section 6)",'QA Log'!Z:Z,"Approved"),"")</f>
        <v/>
      </c>
      <c r="AJ498" s="105" t="str">
        <f>IF(A498&lt;&gt;"",COUNTIFS('QA Log'!D:D,A498,'QA Log'!M:M,"Data Verification",'QA Log'!L:L,"Hospital Governance",'QA Log'!Z:Z,"Approved"),"")</f>
        <v/>
      </c>
      <c r="AK498" s="102" t="str">
        <f>IF(A498="","",
SUM(
COUNTIFS('QA Log'!D:D,A498,'QA Log'!M:M,"Data Verification",'QA Log'!Z:Z,"Rejected",'QA Log'!L:L,"*Medicine (section 2)*"),
COUNTIFS('QA Log'!D:D,A498,'QA Log'!M:M,"Data Verification",'QA Log'!Z:Z,"Rejected",'QA Log'!L:L,"*Lab Testing Availability*"),
COUNTIFS('QA Log'!D:D,A498,'QA Log'!M:M,"Data Verification",'QA Log'!Z:Z,"Rejected",'QA Log'!L:L,"*Other than P4P (section 6)*"),
COUNTIFS('QA Log'!D:D,A498,'QA Log'!M:M,"Data Verification",'QA Log'!Z:Z,"Rejected",'QA Log'!L:L,"*Hospital Governance*")
))</f>
        <v/>
      </c>
      <c r="AL498" s="106" t="str">
        <f t="shared" si="31"/>
        <v/>
      </c>
      <c r="AM498" s="102" t="str">
        <f t="shared" si="32"/>
        <v/>
      </c>
      <c r="AN498" s="102" t="str">
        <f>IF(A498="","",
SUM(
COUNTIFS('QA Log'!D:D,A498,'QA Log'!M:M,"Data Verification",'QA Log'!L:L,"*Personnel (section 1)*"),
COUNTIFS('QA Log'!D:D,A498,'QA Log'!M:M,"Data Verification",'QA Log'!L:L,"*Consumable (section 3)*"),
COUNTIFS('QA Log'!D:D,A498,'QA Log'!M:M,"Data Verification",'QA Log'!L:L,"*Equipments (section 4)*")
))</f>
        <v/>
      </c>
      <c r="AO498" s="102" t="str">
        <f>IF(A498="","",
SUM(
COUNTIFS('QA Log'!D:D,A498,'QA Log'!M:M,"Data Verification",'QA Log'!Z:Z,"Approved",'QA Log'!L:L,"*Personnel (section 1)*"),
COUNTIFS('QA Log'!D:D,A498,'QA Log'!M:M,"Data Verification",'QA Log'!Z:Z,"Approved",'QA Log'!L:L,"*Consumable (section 3)*"),
COUNTIFS('QA Log'!D:D,A498,'QA Log'!M:M,"Data Verification",'QA Log'!Z:Z,"Approved",'QA Log'!L:L,"*Equipments (section 4)*")
))</f>
        <v/>
      </c>
      <c r="AP498" s="105" t="str">
        <f>IF(A498&lt;&gt;"",COUNTIFS('QA Log'!D:D,A498,'QA Log'!M:M,"Data Verification",'QA Log'!L:L,"Personnel (section 1)",'QA Log'!Z:Z,"Approved"),"")</f>
        <v/>
      </c>
      <c r="AQ498" s="105" t="str">
        <f>IF(A498&lt;&gt;"",COUNTIFS('QA Log'!D:D,A498,'QA Log'!M:M,"Data Verification",'QA Log'!L:L,"Consumable (section 3)",'QA Log'!Z:Z,"Approved"),"")</f>
        <v/>
      </c>
      <c r="AR498" s="105" t="str">
        <f>IF(A498&lt;&gt;"",COUNTIFS('QA Log'!D:D,A498,'QA Log'!M:M,"Data Verification",'QA Log'!L:L,"Equipments (section 4)",'QA Log'!Z:Z,"Approved"),"")</f>
        <v/>
      </c>
      <c r="AS498" s="102" t="str">
        <f>IF(A498="","",
SUM(
COUNTIFS('QA Log'!D:D,A498,'QA Log'!M:M,"Data Verification",'QA Log'!Z:Z,"Rejected",'QA Log'!L:L,"*Personnel (section 1)*"),
COUNTIFS('QA Log'!D:D,A498,'QA Log'!M:M,"Data Verification",'QA Log'!Z:Z,"Rejected",'QA Log'!L:L,"*Consumable (section 3)*"),
COUNTIFS('QA Log'!D:D,A498,'QA Log'!M:M,"Data Verification",'QA Log'!Z:Z,"Rejected",'QA Log'!L:L,"*Equipments (section 4)*")
))</f>
        <v/>
      </c>
      <c r="AT498" s="102" t="str">
        <f t="shared" si="33"/>
        <v/>
      </c>
      <c r="AU498" s="103" t="str">
        <f t="shared" si="34"/>
        <v/>
      </c>
      <c r="AV498" s="102" t="str">
        <f>IF(A498="","",SUM(
COUNTIFS('QA Log'!D:D,A498,'QA Log'!M:M,"Vignette",'QA Log'!L:L,"*Vignette [1] Respiratory Infection: Pneumonia*"),
COUNTIFS('QA Log'!D:D,A498,'QA Log'!M:M,"Vignette",'QA Log'!L:L,"*Vignette [2]: Diarrhea with Cat B dehydration*"),
COUNTIFS('QA Log'!D:D,A498,'QA Log'!M:M,"Vignette",'QA Log'!L:L,"*Vignette [3] Growth Monitoring and Promotion*"),
COUNTIFS('QA Log'!D:D,A498,'QA Log'!M:M,"Vignette",'QA Log'!L:L,"*Vignette [4]: The management of presumptive TB patient*")
)
)</f>
        <v/>
      </c>
      <c r="AW498" s="102" t="str">
        <f>IF(
  A498="","",
  SUM(
    COUNTIFS('QA Log'!D:D,A498,'QA Log'!M:M,"Vignette",'QA Log'!Z:Z,"Approved",'QA Log'!L:L,"*Vignette [1] Respiratory Infection: Pneumonia*"),
    COUNTIFS('QA Log'!D:D,A498,'QA Log'!M:M,"Vignette",'QA Log'!Z:Z,"Approved",'QA Log'!L:L,"*Vignette [2]: Diarrhea with Cat B dehydration*"),
    COUNTIFS('QA Log'!D:D,A498,'QA Log'!M:M,"Vignette",'QA Log'!Z:Z,"Approved",'QA Log'!L:L,"*Vignette [3] Growth Monitoring and Promotion*"),
    COUNTIFS('QA Log'!D:D,A498,'QA Log'!M:M,"Vignette",'QA Log'!Z:Z,"Approved",'QA Log'!L:L,"*Vignette [4]: The management of presumptive TB patient*")
  )
)</f>
        <v/>
      </c>
      <c r="AX498" s="105" t="str">
        <f>IF(A498&lt;&gt;"",COUNTIFS('QA Log'!D:D,A498,'QA Log'!M:M,"Vignette",'QA Log'!L:L,"Vignette [1] Respiratory Infection: Pneumonia",'QA Log'!Z:Z,"Approved"),"")</f>
        <v/>
      </c>
      <c r="AY498" s="105" t="str">
        <f>IF(A498&lt;&gt;"",COUNTIFS('QA Log'!D:D,A498,'QA Log'!M:M,"Vignette",'QA Log'!L:L,"Vignette [2]: Diarrhea with Cat B dehydration",'QA Log'!Z:Z,"Approved"),"")</f>
        <v/>
      </c>
      <c r="AZ498" s="105" t="str">
        <f>IF(A498&lt;&gt;"",COUNTIFS('QA Log'!D:D,A498,'QA Log'!M:M,"Vignette",'QA Log'!L:L,"Vignette [3] Growth Monitoring and Promotion",'QA Log'!Z:Z,"Approved"),"")</f>
        <v/>
      </c>
      <c r="BA498" s="105" t="str">
        <f>IF(A498&lt;&gt;"",COUNTIFS('QA Log'!D:D,A498,'QA Log'!M:M,"Vignette",'QA Log'!L:L,"Vignette [4]: The management of presumptive TB patient",'QA Log'!Z:Z,"Approved"),"")</f>
        <v/>
      </c>
      <c r="BB498" s="102" t="str">
        <f>IF(A498="","",
  SUM(
    COUNTIFS('QA Log'!D:D,A498,'QA Log'!M:M,"Vignette",'QA Log'!Z:Z,"Rejected",'QA Log'!L:L,"*Vignette [1] Respiratory Infection: Pneumonia*"),
    COUNTIFS('QA Log'!D:D,A498,'QA Log'!M:M,"Vignette",'QA Log'!Z:Z,"Rejected",'QA Log'!L:L,"*Vignette [2]: Diarrhea with Cat B dehydration*"),
    COUNTIFS('QA Log'!D:D,A498,'QA Log'!M:M,"Vignette",'QA Log'!Z:Z,"Rejected",'QA Log'!L:L,"*Vignette [3] Growth Monitoring and Promotion*"),
    COUNTIFS('QA Log'!D:D,A498,'QA Log'!M:M,"Vignette",'QA Log'!Z:Z,"Rejected",'QA Log'!L:L,"*Vignette [4]: The management of presumptive TB patient*")
  )
)</f>
        <v/>
      </c>
      <c r="BC498" s="107" t="str">
        <f t="shared" si="35"/>
        <v/>
      </c>
      <c r="BD498" s="103" t="str">
        <f t="shared" si="36"/>
        <v/>
      </c>
      <c r="BE498" s="102" t="str">
        <f>IF(A498="","",SUM(
COUNTIFS('QA Log'!D:D,A498,'QA Log'!M:M,"Vignette",'QA Log'!L:L,"*Vignette [5] Labor*"),
COUNTIFS('QA Log'!D:D,A498,'QA Log'!M:M,"Vignette",'QA Log'!L:L,"*Vignette [6] PNC pre Discharge*"),
COUNTIFS('QA Log'!D:D,A498,'QA Log'!M:M,"Vignette",'QA Log'!L:L,"*Vignette [7] First ANC Visit*"),
COUNTIFS('QA Log'!D:D,A498,'QA Log'!M:M,"Vignette",'QA Log'!L:L,"*Vignette [8] Birth Spacing/ Family Planning :  FP Counselling*"),
COUNTIFS('QA Log'!D:D,A498,'QA Log'!M:M,"Vignette",'QA Log'!L:L,"*Vignette [9] Birth Spacing: Change FP method to Injectable*"),
COUNTIFS('QA Log'!D:D,A498,'QA Log'!M:M,"Vignette",'QA Log'!L:L,"*Vignette [10] Post Partum Haemorrhage - Atonic Uterus at Health Centre*"),
)
)</f>
        <v/>
      </c>
      <c r="BF498" s="102" t="str">
        <f>IF(A498="","",
  SUM(
    COUNTIFS('QA Log'!D:D,A498,'QA Log'!M:M,"Vignette",'QA Log'!Z:Z,"Approved",'QA Log'!L:L,"*Vignette [5] Labor*"),
    COUNTIFS('QA Log'!D:D,A498,'QA Log'!M:M,"Vignette",'QA Log'!Z:Z,"Approved",'QA Log'!L:L,"*Vignette [6] PNC pre Discharge*"),
    COUNTIFS('QA Log'!D:D,A498,'QA Log'!M:M,"Vignette",'QA Log'!Z:Z,"Approved",'QA Log'!L:L,"*Vignette [7] First ANC Visit*"),
    COUNTIFS('QA Log'!D:D,A498,'QA Log'!M:M,"Vignette",'QA Log'!Z:Z,"Approved",'QA Log'!L:L,"*Vignette [8] Birth Spacing/ Family Planning :  FP Counselling*"),
    COUNTIFS('QA Log'!D:D,A498,'QA Log'!M:M,"Vignette",'QA Log'!Z:Z,"Approved",'QA Log'!L:L,"*Vignette [9] Birth Spacing: Change FP method to Injectable*"),
    COUNTIFS('QA Log'!D:D,A498,'QA Log'!M:M,"Vignette",'QA Log'!Z:Z,"Approved",'QA Log'!L:L,"*Vignette [10] Post Partum Haemorrhage - Atonic Uterus at Health Centre*")
  )
)</f>
        <v/>
      </c>
      <c r="BG498" s="105" t="str">
        <f>IF(A498&lt;&gt;"",COUNTIFS('QA Log'!D:D,A498,'QA Log'!M:M,"Vignette",'QA Log'!L:L,"Vignette [5] Labor",'QA Log'!Z:Z,"Approved"),"")</f>
        <v/>
      </c>
      <c r="BH498" s="105" t="str">
        <f>IF(A498&lt;&gt;"",COUNTIFS('QA Log'!D:D,A498,'QA Log'!M:M,"Vignette",'QA Log'!L:L,"Vignette [6] PNC pre Discharge",'QA Log'!Z:Z,"Approved"),"")</f>
        <v/>
      </c>
      <c r="BI498" s="105" t="str">
        <f>IF(A498&lt;&gt;"",COUNTIFS('QA Log'!D:D,A498,'QA Log'!M:M,"Vignette",'QA Log'!L:L,"Vignette [7] First ANC Visit",'QA Log'!Z:Z,"Approved"),"")</f>
        <v/>
      </c>
      <c r="BJ498" s="105" t="str">
        <f>IF(A498&lt;&gt;"",COUNTIFS('QA Log'!D:D,A498,'QA Log'!M:M,"Vignette",'QA Log'!L:L,"Vignette [8] Birth Spacing/ Family Planning :  FP Counselling",'QA Log'!Z:Z,"Approved"),"")</f>
        <v/>
      </c>
      <c r="BK498" s="105" t="str">
        <f>IF(A498&lt;&gt;"",COUNTIFS('QA Log'!D:D,A498,'QA Log'!M:M,"Vignette",'QA Log'!L:L,"Vignette [9] Birth Spacing: Change FP method to Injectable",'QA Log'!Z:Z,"Approved"),"")</f>
        <v/>
      </c>
      <c r="BL498" s="105" t="str">
        <f>IF(A498&lt;&gt;"",COUNTIFS('QA Log'!D:D,A498,'QA Log'!M:M,"Vignette",'QA Log'!L:L,"Vignette [10] Post Partum Haemorrhage - Atonic Uterus at Health Centre",'QA Log'!Z:Z,"Approved"),"")</f>
        <v/>
      </c>
      <c r="BM498" s="102" t="str">
        <f>IF(A498="","",SUM(
    COUNTIFS('QA Log'!D:D,A498,'QA Log'!M:M,"Vignette",'QA Log'!Z:Z,"Rejected",'QA Log'!L:L,"*Vignette [5] Labor*"),
    COUNTIFS('QA Log'!D:D,A498,'QA Log'!M:M,"Vignette",'QA Log'!Z:Z,"Rejected",'QA Log'!L:L,"*Vignette [6] PNC pre Discharge*"),
    COUNTIFS('QA Log'!D:D,A498,'QA Log'!M:M,"Vignette",'QA Log'!Z:Z,"Rejected",'QA Log'!L:L,"*Vignette [7] First ANC Visit*"),
    COUNTIFS('QA Log'!D:D,A498,'QA Log'!M:M,"Vignette",'QA Log'!Z:Z,"Rejected",'QA Log'!L:L,"*Vignette [8] Birth Spacing/ Family Planning :  FP Counselling*"),
    COUNTIFS('QA Log'!D:D,A498,'QA Log'!M:M,"Vignette",'QA Log'!Z:Z,"Rejected",'QA Log'!L:L,"*Vignette [9] Birth Spacing: Change FP method to Injectable*"),
    COUNTIFS('QA Log'!D:D,A498,'QA Log'!M:M,"Vignette",'QA Log'!Z:Z,"Rejected",'QA Log'!L:L,"*Vignette [10] Post Partum Haemorrhage - Atonic Uterus at Health Centre*")
  )
)</f>
        <v/>
      </c>
      <c r="BN498" s="107" t="str">
        <f t="shared" si="37"/>
        <v/>
      </c>
      <c r="BO498" s="103" t="str">
        <f t="shared" si="38"/>
        <v/>
      </c>
      <c r="BP498" s="102" t="str">
        <f>IF(A498="","",SUM(
COUNTIFS('QA Log'!D:D,A498,'QA Log'!M:M,"Vignette",'QA Log'!L:L,"*Exit Interview 1*"),
COUNTIFS('QA Log'!D:D,A498,'QA Log'!M:M,"Vignette",'QA Log'!L:L,"*Exit Interview 2*"),
)
)</f>
        <v/>
      </c>
      <c r="BQ498" s="102" t="str">
        <f>IF(
  A498="","",
  SUM(
    COUNTIFS('QA Log'!D:D,A498,'QA Log'!M:M,"Vignette",'QA Log'!Z:Z,"Approved",'QA Log'!L:L,"*Exit Interview 1*"),
    COUNTIFS('QA Log'!D:D,A498,'QA Log'!M:M,"Vignette",'QA Log'!Z:Z,"Approved",'QA Log'!L:L,"*Exit Interview 2*")
  )
)</f>
        <v/>
      </c>
      <c r="BR498" s="105" t="str">
        <f>IF(A498&lt;&gt;"",COUNTIFS('QA Log'!D:D,A498,'QA Log'!M:M,"Vignette",'QA Log'!L:L,"Exit Interview 1",'QA Log'!Z:Z,"Approved"),"")</f>
        <v/>
      </c>
      <c r="BS498" s="105" t="str">
        <f>IF(A498&lt;&gt;"",COUNTIFS('QA Log'!D:D,A498,'QA Log'!M:M,"Vignette",'QA Log'!L:L,"Exit Interview 2",'QA Log'!Z:Z,"Approved"),"")</f>
        <v/>
      </c>
      <c r="BT498" s="102" t="str">
        <f>IF(
  A498="","",
  SUM(
    COUNTIFS('QA Log'!D:D,A498,'QA Log'!M:M,"Vignette",'QA Log'!Z:Z,"Rejected",'QA Log'!L:L,"*Exit Interview 1*"),
    COUNTIFS('QA Log'!D:D,A498,'QA Log'!M:M,"Vignette",'QA Log'!Z:Z,"Rejected",'QA Log'!L:L,"*Exit Interview 2*")
  )
)</f>
        <v/>
      </c>
      <c r="BU498" s="107" t="str">
        <f t="shared" si="39"/>
        <v/>
      </c>
      <c r="BV498" s="102" t="str">
        <f t="shared" si="40"/>
        <v/>
      </c>
      <c r="BW498" s="102" t="str">
        <f t="shared" si="41"/>
        <v/>
      </c>
      <c r="BX498" s="102" t="str">
        <f t="shared" si="42"/>
        <v/>
      </c>
      <c r="BY498" s="102" t="str">
        <f t="shared" si="43"/>
        <v/>
      </c>
      <c r="BZ498" s="107" t="str">
        <f t="shared" si="44"/>
        <v/>
      </c>
      <c r="CA498" s="108" t="str">
        <f t="shared" si="45"/>
        <v/>
      </c>
      <c r="CB498" s="108" t="str">
        <f t="shared" si="46"/>
        <v/>
      </c>
      <c r="CC498" s="109" t="str">
        <f t="shared" si="47"/>
        <v/>
      </c>
      <c r="CD498" s="108" t="str">
        <f t="shared" si="48"/>
        <v/>
      </c>
      <c r="CE498" s="108" t="str">
        <f t="shared" si="49"/>
        <v/>
      </c>
      <c r="CF498" s="109" t="str">
        <f t="shared" si="50"/>
        <v/>
      </c>
      <c r="CG498" s="110" t="str">
        <f t="shared" si="51"/>
        <v/>
      </c>
      <c r="CH498" s="111"/>
    </row>
    <row r="499" spans="1:86" ht="12.75">
      <c r="A499" s="101"/>
      <c r="B499" s="102" t="e">
        <f t="array" aca="1" ref="B499" ca="1">_xludf.XLOOKUP(A499,'QA Log'!D:D,'QA Log'!E:E,"")</f>
        <v>#NAME?</v>
      </c>
      <c r="C499" s="102" t="e">
        <f t="array" aca="1" ref="C499" ca="1">_xludf.XLOOKUP(A499,'QA Log'!D:D,'QA Log'!F:F,"")</f>
        <v>#NAME?</v>
      </c>
      <c r="D499" s="102" t="e">
        <f t="array" aca="1" ref="D499" ca="1">_xludf.XLOOKUP(A499,'QA Log'!D:D,'QA Log'!H:H,"")</f>
        <v>#NAME?</v>
      </c>
      <c r="E499" s="102" t="e">
        <f t="array" aca="1" ref="E499" ca="1">_xludf.XLOOKUP(A499,'QA Log'!D:D,'QA Log'!G:G,"")</f>
        <v>#NAME?</v>
      </c>
      <c r="F499" s="103"/>
      <c r="G499" s="104"/>
      <c r="H499" s="104"/>
      <c r="I499" s="103" t="str">
        <f t="shared" si="26"/>
        <v/>
      </c>
      <c r="J499" s="102" t="str">
        <f>IF(A499="","",SUM(
COUNTIFS('QA Log'!D:D,A499,'QA Log'!M:M,"QQC",'QA Log'!L:L,"*1. General Management*"),
COUNTIFS('QA Log'!D:D,A499,'QA Log'!M:M,"QQC",'QA Log'!L:L,"*3. Curative Consultation (OPD)*"),
COUNTIFS('QA Log'!D:D,A499,'QA Log'!M:M,"QQC",'QA Log'!L:L,"*5. Laboratory*"),
COUNTIFS('QA Log'!D:D,A499,'QA Log'!M:M,"QQC",'QA Log'!L:L,"*6. Essential Medicine Management*"),
COUNTIFS('QA Log'!D:D,A499,'QA Log'!M:M,"QQC",'QA Log'!L:L,"*7. Tracer Medicine*"),
COUNTIFS('QA Log'!D:D,A499,'QA Log'!M:M,"QQC",'QA Log'!L:L,"*11. Additional Questions*")))</f>
        <v/>
      </c>
      <c r="K499" s="102" t="str">
        <f>IF(A499="","",SUM(
COUNTIFS('QA Log'!D:D,A499,'QA Log'!M:M,"QQC",'QA Log'!Z:Z,"Approved",'QA Log'!L:L,"*1. General Management*"),
COUNTIFS('QA Log'!D:D,A499,'QA Log'!M:M,"QQC",'QA Log'!Z:Z,"Approved",'QA Log'!L:L,"*3. Curative Consultation (OPD)*"),
COUNTIFS('QA Log'!D:D,A499,'QA Log'!M:M,"QQC",'QA Log'!Z:Z,"Approved",'QA Log'!L:L,"*5. Laboratory*"),
COUNTIFS('QA Log'!D:D,A499,'QA Log'!M:M,"QQC",'QA Log'!Z:Z,"Approved",'QA Log'!L:L,"*6. Essential Medicine Management*"),
COUNTIFS('QA Log'!D:D,A499,'QA Log'!M:M,"QQC",'QA Log'!Z:Z,"Approved",'QA Log'!L:L,"*7. Tracer Medicine*"),
COUNTIFS('QA Log'!D:D,A499,'QA Log'!M:M,"QQC",'QA Log'!Z:Z,"Approved",'QA Log'!L:L,"*11. Additional Questions*")))</f>
        <v/>
      </c>
      <c r="L499" s="102" t="str">
        <f>IF(A499&lt;&gt;"",COUNTIFS('QA Log'!D:D,A499,'QA Log'!M:M,"QQC",'QA Log'!L:L,"1. General Management",'QA Log'!Z:Z,"Approved"),"")</f>
        <v/>
      </c>
      <c r="M499" s="102" t="str">
        <f>IF(A499&lt;&gt;"",COUNTIFS('QA Log'!D:D,A499,'QA Log'!M:M,"QQC",'QA Log'!L:L,"3. Curative Consultation (OPD)",'QA Log'!Z:Z,"Approved"),"")</f>
        <v/>
      </c>
      <c r="N499" s="102" t="str">
        <f>IF(A499&lt;&gt;"",COUNTIFS('QA Log'!D:D,A499,'QA Log'!M:M,"QQC",'QA Log'!L:L,"5. Laboratory",'QA Log'!Z:Z,"Approved"),"")</f>
        <v/>
      </c>
      <c r="O499" s="102" t="str">
        <f>IF(A499&lt;&gt;"",COUNTIFS('QA Log'!D:D,A499,'QA Log'!M:M,"QQC",'QA Log'!L:L,"6. Essential Medicine Management",'QA Log'!Z:Z,"Approved"),"")</f>
        <v/>
      </c>
      <c r="P499" s="102" t="str">
        <f>IF(A499&lt;&gt;"",COUNTIFS('QA Log'!D:D,A499,'QA Log'!M:M,"QQC",'QA Log'!L:L,"7. Tracer Medicine",'QA Log'!Z:Z,"Approved"),"")</f>
        <v/>
      </c>
      <c r="Q499" s="102" t="str">
        <f>IF(A499&lt;&gt;"",COUNTIFS('QA Log'!D:D,A499,'QA Log'!M:M,"QQC",'QA Log'!L:L,"11. Additional Questions",'QA Log'!Z:Z,"Approved"),"")</f>
        <v/>
      </c>
      <c r="R499" s="102" t="str">
        <f>IF(A499="","",SUM(
COUNTIFS('QA Log'!D:D,A499,'QA Log'!M:M,"QQC",'QA Log'!Z:Z,"Rejected",'QA Log'!L:L,"*8. Maternity*"),
COUNTIFS('QA Log'!D:D,A499,'QA Log'!M:M,"QQC",'QA Log'!Z:Z,"Rejected",'QA Log'!L:L,"*EPI*"),
COUNTIFS('QA Log'!D:D,A499,'QA Log'!M:M,"QQC",'QA Log'!Z:Z,"Rejected",'QA Log'!L:L,"*10. Antenatal Care (ANC)*"),
COUNTIFS('QA Log'!D:D,A499,'QA Log'!M:M,"QQC",'QA Log'!Z:Z,"Rejected",'QA Log'!L:L,"*2. Hygiene and Sterilization*"),
COUNTIFS('QA Log'!D:D,A499,'QA Log'!M:M,"QQC",'QA Log'!Z:Z,"Rejected",'QA Log'!L:L,"*Family Planning*")))</f>
        <v/>
      </c>
      <c r="S499" s="106" t="str">
        <f t="shared" si="27"/>
        <v/>
      </c>
      <c r="T499" s="102" t="str">
        <f t="shared" si="28"/>
        <v/>
      </c>
      <c r="U499" s="102" t="str">
        <f>IF(A499="","",
SUM(
COUNTIFS('QA Log'!D:D,A499,'QA Log'!M:M,"QQC",'QA Log'!L:L,"*8. Maternity*"),
COUNTIFS('QA Log'!D:D,A499,'QA Log'!M:M,"QQC",'QA Log'!L:L,"*9. EPI and Pre-school Consultation*"),
COUNTIFS('QA Log'!D:D,A499,'QA Log'!M:M,"QQC",'QA Log'!L:L,"*10. Antenatal Care (ANC)*"),
COUNTIFS('QA Log'!D:D,A499,'QA Log'!M:M,"QQC",'QA Log'!L:L,"*2. Hygiene and Sterilization*"),
COUNTIFS('QA Log'!D:D,A499,'QA Log'!M:M,"QQC",'QA Log'!L:L,"*4. Family Planning*")
))</f>
        <v/>
      </c>
      <c r="V499" s="102" t="str">
        <f>IF(A499="","",
SUM(
COUNTIFS('QA Log'!D:D,A499,'QA Log'!M:M,"QQC",'QA Log'!Z:Z,"Approved",'QA Log'!L:L,"*8. Maternity*"),
COUNTIFS('QA Log'!D:D,A499,'QA Log'!M:M,"QQC",'QA Log'!Z:Z,"Approved",'QA Log'!L:L,"*9. EPI and Pre-school Consultation*"),
COUNTIFS('QA Log'!D:D,A499,'QA Log'!M:M,"QQC",'QA Log'!Z:Z,"Approved",'QA Log'!L:L,"*10. Antenatal Care (ANC)*"),
COUNTIFS('QA Log'!D:D,A499,'QA Log'!M:M,"QQC",'QA Log'!Z:Z,"Approved",'QA Log'!L:L,"*2. Hygiene and Sterilization*"),
COUNTIFS('QA Log'!D:D,A499,'QA Log'!M:M,"QQC",'QA Log'!Z:Z,"Approved",'QA Log'!L:L,"*4. Family Planning*")
))</f>
        <v/>
      </c>
      <c r="W499" s="102" t="str">
        <f>IF(A499&lt;&gt;"",COUNTIFS('QA Log'!D:D,A499,'QA Log'!M:M,"QQC",'QA Log'!L:L,"8. Maternity",'QA Log'!Z:Z,"Approved"),"")</f>
        <v/>
      </c>
      <c r="X499" s="105" t="str">
        <f>IF(A499&lt;&gt;"",COUNTIFS('QA Log'!D:D,A499,'QA Log'!M:M,"QQC",'QA Log'!L:L,"9. EPI and Pre-school Consultation",'QA Log'!Z:Z,"Approved"),"")</f>
        <v/>
      </c>
      <c r="Y499" s="102" t="str">
        <f>IF(A499&lt;&gt;"",COUNTIFS('QA Log'!D:D,A499,'QA Log'!M:M,"QQC",'QA Log'!L:L,"10. Antenatal Care (ANC)",'QA Log'!Z:Z,"Approved"),"")</f>
        <v/>
      </c>
      <c r="Z499" s="102" t="str">
        <f>IF(A499&lt;&gt;"",COUNTIFS('QA Log'!D:D,A499,'QA Log'!M:M,"QQC",'QA Log'!L:L,"2. Hygiene and Sterilization",'QA Log'!Z:Z,"Approved"),"")</f>
        <v/>
      </c>
      <c r="AA499" s="105" t="str">
        <f>IF(A499&lt;&gt;"",COUNTIFS('QA Log'!D:D,A499,'QA Log'!M:M,"QQC",'QA Log'!L:L,"4. Family Planning",'QA Log'!Z:Z,"Approved"),"")</f>
        <v/>
      </c>
      <c r="AB499" s="102" t="str">
        <f>IF(A499="","",
SUM(
COUNTIFS('QA Log'!D:D,A499,'QA Log'!M:M,"QQC",'QA Log'!Z:Z,"Rejected",'QA Log'!L:L,"*8. Maternity*"),
COUNTIFS('QA Log'!D:D,A499,'QA Log'!M:M,"QQC",'QA Log'!Z:Z,"Rejected",'QA Log'!L:L,"*9. EPI and Pre-school Consultation*"),
COUNTIFS('QA Log'!D:D,A499,'QA Log'!M:M,"QQC",'QA Log'!Z:Z,"Rejected",'QA Log'!L:L,"*10. Antenatal Care (ANC)*"),
COUNTIFS('QA Log'!D:D,A499,'QA Log'!M:M,"QQC",'QA Log'!Z:Z,"Rejected",'QA Log'!L:L,"*2. Hygiene and Sterilization*"),
COUNTIFS('QA Log'!D:D,A499,'QA Log'!M:M,"QQC",'QA Log'!Z:Z,"Rejected",'QA Log'!L:L,"*4. Family Planning*")
))</f>
        <v/>
      </c>
      <c r="AC499" s="102" t="str">
        <f t="shared" si="29"/>
        <v/>
      </c>
      <c r="AD499" s="103" t="str">
        <f t="shared" si="30"/>
        <v/>
      </c>
      <c r="AE499" s="102" t="str">
        <f>IF(A499="","",
SUM(
COUNTIFS('QA Log'!D:D,A499,'QA Log'!M:M,"Data Verification",'QA Log'!L:L,"*Medicine (section 2)*"),
COUNTIFS('QA Log'!D:D,A499,'QA Log'!M:M,"Data Verification",'QA Log'!L:L,"*Lab Testing Availability*"),
COUNTIFS('QA Log'!D:D,A499,'QA Log'!M:M,"Data Verification",'QA Log'!L:L,"*Other than P4P (section 6)*"),
COUNTIFS('QA Log'!D:D,A499,'QA Log'!M:M,"Data Verification",'QA Log'!L:L,"*Hospital Governance*")
))</f>
        <v/>
      </c>
      <c r="AF499" s="102" t="str">
        <f>IF(A499="","",
SUM(
COUNTIFS('QA Log'!D:D,A499,'QA Log'!M:M,"Data Verification",'QA Log'!Z:Z,"Approved",'QA Log'!L:L,"*Medicine (section 2)*"),
COUNTIFS('QA Log'!D:D,A499,'QA Log'!M:M,"Data Verification",'QA Log'!Z:Z,"Approved",'QA Log'!L:L,"*Lab Testing Availability*"),
COUNTIFS('QA Log'!D:D,A499,'QA Log'!M:M,"Data Verification",'QA Log'!Z:Z,"Approved",'QA Log'!L:L,"*Other than P4P (section 6)*"),
COUNTIFS('QA Log'!D:D,A499,'QA Log'!M:M,"Data Verification",'QA Log'!Z:Z,"Approved",'QA Log'!L:L,"*Hospital Governance*")
))</f>
        <v/>
      </c>
      <c r="AG499" s="105" t="str">
        <f>IF(A499&lt;&gt;"",COUNTIFS('QA Log'!D:D,A499,'QA Log'!M:M,"Data Verification",'QA Log'!L:L,"Medicine (section 2)",'QA Log'!Z:Z,"Approved"),"")</f>
        <v/>
      </c>
      <c r="AH499" s="105" t="str">
        <f>IF(A499&lt;&gt;"",COUNTIFS('QA Log'!D:D,A499,'QA Log'!M:M,"Data Verification",'QA Log'!L:L,"Lab Testing Availability",'QA Log'!Z:Z,"Approved"),"")</f>
        <v/>
      </c>
      <c r="AI499" s="105" t="str">
        <f>IF(A499&lt;&gt;"",COUNTIFS('QA Log'!D:D,A499,'QA Log'!M:M,"Data Verification",'QA Log'!L:L,"Other than P4P (section 6)",'QA Log'!Z:Z,"Approved"),"")</f>
        <v/>
      </c>
      <c r="AJ499" s="105" t="str">
        <f>IF(A499&lt;&gt;"",COUNTIFS('QA Log'!D:D,A499,'QA Log'!M:M,"Data Verification",'QA Log'!L:L,"Hospital Governance",'QA Log'!Z:Z,"Approved"),"")</f>
        <v/>
      </c>
      <c r="AK499" s="102" t="str">
        <f>IF(A499="","",
SUM(
COUNTIFS('QA Log'!D:D,A499,'QA Log'!M:M,"Data Verification",'QA Log'!Z:Z,"Rejected",'QA Log'!L:L,"*Medicine (section 2)*"),
COUNTIFS('QA Log'!D:D,A499,'QA Log'!M:M,"Data Verification",'QA Log'!Z:Z,"Rejected",'QA Log'!L:L,"*Lab Testing Availability*"),
COUNTIFS('QA Log'!D:D,A499,'QA Log'!M:M,"Data Verification",'QA Log'!Z:Z,"Rejected",'QA Log'!L:L,"*Other than P4P (section 6)*"),
COUNTIFS('QA Log'!D:D,A499,'QA Log'!M:M,"Data Verification",'QA Log'!Z:Z,"Rejected",'QA Log'!L:L,"*Hospital Governance*")
))</f>
        <v/>
      </c>
      <c r="AL499" s="106" t="str">
        <f t="shared" si="31"/>
        <v/>
      </c>
      <c r="AM499" s="102" t="str">
        <f t="shared" si="32"/>
        <v/>
      </c>
      <c r="AN499" s="102" t="str">
        <f>IF(A499="","",
SUM(
COUNTIFS('QA Log'!D:D,A499,'QA Log'!M:M,"Data Verification",'QA Log'!L:L,"*Personnel (section 1)*"),
COUNTIFS('QA Log'!D:D,A499,'QA Log'!M:M,"Data Verification",'QA Log'!L:L,"*Consumable (section 3)*"),
COUNTIFS('QA Log'!D:D,A499,'QA Log'!M:M,"Data Verification",'QA Log'!L:L,"*Equipments (section 4)*")
))</f>
        <v/>
      </c>
      <c r="AO499" s="102" t="str">
        <f>IF(A499="","",
SUM(
COUNTIFS('QA Log'!D:D,A499,'QA Log'!M:M,"Data Verification",'QA Log'!Z:Z,"Approved",'QA Log'!L:L,"*Personnel (section 1)*"),
COUNTIFS('QA Log'!D:D,A499,'QA Log'!M:M,"Data Verification",'QA Log'!Z:Z,"Approved",'QA Log'!L:L,"*Consumable (section 3)*"),
COUNTIFS('QA Log'!D:D,A499,'QA Log'!M:M,"Data Verification",'QA Log'!Z:Z,"Approved",'QA Log'!L:L,"*Equipments (section 4)*")
))</f>
        <v/>
      </c>
      <c r="AP499" s="105" t="str">
        <f>IF(A499&lt;&gt;"",COUNTIFS('QA Log'!D:D,A499,'QA Log'!M:M,"Data Verification",'QA Log'!L:L,"Personnel (section 1)",'QA Log'!Z:Z,"Approved"),"")</f>
        <v/>
      </c>
      <c r="AQ499" s="105" t="str">
        <f>IF(A499&lt;&gt;"",COUNTIFS('QA Log'!D:D,A499,'QA Log'!M:M,"Data Verification",'QA Log'!L:L,"Consumable (section 3)",'QA Log'!Z:Z,"Approved"),"")</f>
        <v/>
      </c>
      <c r="AR499" s="105" t="str">
        <f>IF(A499&lt;&gt;"",COUNTIFS('QA Log'!D:D,A499,'QA Log'!M:M,"Data Verification",'QA Log'!L:L,"Equipments (section 4)",'QA Log'!Z:Z,"Approved"),"")</f>
        <v/>
      </c>
      <c r="AS499" s="102" t="str">
        <f>IF(A499="","",
SUM(
COUNTIFS('QA Log'!D:D,A499,'QA Log'!M:M,"Data Verification",'QA Log'!Z:Z,"Rejected",'QA Log'!L:L,"*Personnel (section 1)*"),
COUNTIFS('QA Log'!D:D,A499,'QA Log'!M:M,"Data Verification",'QA Log'!Z:Z,"Rejected",'QA Log'!L:L,"*Consumable (section 3)*"),
COUNTIFS('QA Log'!D:D,A499,'QA Log'!M:M,"Data Verification",'QA Log'!Z:Z,"Rejected",'QA Log'!L:L,"*Equipments (section 4)*")
))</f>
        <v/>
      </c>
      <c r="AT499" s="102" t="str">
        <f t="shared" si="33"/>
        <v/>
      </c>
      <c r="AU499" s="103" t="str">
        <f t="shared" si="34"/>
        <v/>
      </c>
      <c r="AV499" s="102" t="str">
        <f>IF(A499="","",SUM(
COUNTIFS('QA Log'!D:D,A499,'QA Log'!M:M,"Vignette",'QA Log'!L:L,"*Vignette [1] Respiratory Infection: Pneumonia*"),
COUNTIFS('QA Log'!D:D,A499,'QA Log'!M:M,"Vignette",'QA Log'!L:L,"*Vignette [2]: Diarrhea with Cat B dehydration*"),
COUNTIFS('QA Log'!D:D,A499,'QA Log'!M:M,"Vignette",'QA Log'!L:L,"*Vignette [3] Growth Monitoring and Promotion*"),
COUNTIFS('QA Log'!D:D,A499,'QA Log'!M:M,"Vignette",'QA Log'!L:L,"*Vignette [4]: The management of presumptive TB patient*")
)
)</f>
        <v/>
      </c>
      <c r="AW499" s="102" t="str">
        <f>IF(
  A499="","",
  SUM(
    COUNTIFS('QA Log'!D:D,A499,'QA Log'!M:M,"Vignette",'QA Log'!Z:Z,"Approved",'QA Log'!L:L,"*Vignette [1] Respiratory Infection: Pneumonia*"),
    COUNTIFS('QA Log'!D:D,A499,'QA Log'!M:M,"Vignette",'QA Log'!Z:Z,"Approved",'QA Log'!L:L,"*Vignette [2]: Diarrhea with Cat B dehydration*"),
    COUNTIFS('QA Log'!D:D,A499,'QA Log'!M:M,"Vignette",'QA Log'!Z:Z,"Approved",'QA Log'!L:L,"*Vignette [3] Growth Monitoring and Promotion*"),
    COUNTIFS('QA Log'!D:D,A499,'QA Log'!M:M,"Vignette",'QA Log'!Z:Z,"Approved",'QA Log'!L:L,"*Vignette [4]: The management of presumptive TB patient*")
  )
)</f>
        <v/>
      </c>
      <c r="AX499" s="105" t="str">
        <f>IF(A499&lt;&gt;"",COUNTIFS('QA Log'!D:D,A499,'QA Log'!M:M,"Vignette",'QA Log'!L:L,"Vignette [1] Respiratory Infection: Pneumonia",'QA Log'!Z:Z,"Approved"),"")</f>
        <v/>
      </c>
      <c r="AY499" s="105" t="str">
        <f>IF(A499&lt;&gt;"",COUNTIFS('QA Log'!D:D,A499,'QA Log'!M:M,"Vignette",'QA Log'!L:L,"Vignette [2]: Diarrhea with Cat B dehydration",'QA Log'!Z:Z,"Approved"),"")</f>
        <v/>
      </c>
      <c r="AZ499" s="105" t="str">
        <f>IF(A499&lt;&gt;"",COUNTIFS('QA Log'!D:D,A499,'QA Log'!M:M,"Vignette",'QA Log'!L:L,"Vignette [3] Growth Monitoring and Promotion",'QA Log'!Z:Z,"Approved"),"")</f>
        <v/>
      </c>
      <c r="BA499" s="105" t="str">
        <f>IF(A499&lt;&gt;"",COUNTIFS('QA Log'!D:D,A499,'QA Log'!M:M,"Vignette",'QA Log'!L:L,"Vignette [4]: The management of presumptive TB patient",'QA Log'!Z:Z,"Approved"),"")</f>
        <v/>
      </c>
      <c r="BB499" s="102" t="str">
        <f>IF(A499="","",
  SUM(
    COUNTIFS('QA Log'!D:D,A499,'QA Log'!M:M,"Vignette",'QA Log'!Z:Z,"Rejected",'QA Log'!L:L,"*Vignette [1] Respiratory Infection: Pneumonia*"),
    COUNTIFS('QA Log'!D:D,A499,'QA Log'!M:M,"Vignette",'QA Log'!Z:Z,"Rejected",'QA Log'!L:L,"*Vignette [2]: Diarrhea with Cat B dehydration*"),
    COUNTIFS('QA Log'!D:D,A499,'QA Log'!M:M,"Vignette",'QA Log'!Z:Z,"Rejected",'QA Log'!L:L,"*Vignette [3] Growth Monitoring and Promotion*"),
    COUNTIFS('QA Log'!D:D,A499,'QA Log'!M:M,"Vignette",'QA Log'!Z:Z,"Rejected",'QA Log'!L:L,"*Vignette [4]: The management of presumptive TB patient*")
  )
)</f>
        <v/>
      </c>
      <c r="BC499" s="107" t="str">
        <f t="shared" si="35"/>
        <v/>
      </c>
      <c r="BD499" s="103" t="str">
        <f t="shared" si="36"/>
        <v/>
      </c>
      <c r="BE499" s="102" t="str">
        <f>IF(A499="","",SUM(
COUNTIFS('QA Log'!D:D,A499,'QA Log'!M:M,"Vignette",'QA Log'!L:L,"*Vignette [5] Labor*"),
COUNTIFS('QA Log'!D:D,A499,'QA Log'!M:M,"Vignette",'QA Log'!L:L,"*Vignette [6] PNC pre Discharge*"),
COUNTIFS('QA Log'!D:D,A499,'QA Log'!M:M,"Vignette",'QA Log'!L:L,"*Vignette [7] First ANC Visit*"),
COUNTIFS('QA Log'!D:D,A499,'QA Log'!M:M,"Vignette",'QA Log'!L:L,"*Vignette [8] Birth Spacing/ Family Planning :  FP Counselling*"),
COUNTIFS('QA Log'!D:D,A499,'QA Log'!M:M,"Vignette",'QA Log'!L:L,"*Vignette [9] Birth Spacing: Change FP method to Injectable*"),
COUNTIFS('QA Log'!D:D,A499,'QA Log'!M:M,"Vignette",'QA Log'!L:L,"*Vignette [10] Post Partum Haemorrhage - Atonic Uterus at Health Centre*"),
)
)</f>
        <v/>
      </c>
      <c r="BF499" s="102" t="str">
        <f>IF(A499="","",
  SUM(
    COUNTIFS('QA Log'!D:D,A499,'QA Log'!M:M,"Vignette",'QA Log'!Z:Z,"Approved",'QA Log'!L:L,"*Vignette [5] Labor*"),
    COUNTIFS('QA Log'!D:D,A499,'QA Log'!M:M,"Vignette",'QA Log'!Z:Z,"Approved",'QA Log'!L:L,"*Vignette [6] PNC pre Discharge*"),
    COUNTIFS('QA Log'!D:D,A499,'QA Log'!M:M,"Vignette",'QA Log'!Z:Z,"Approved",'QA Log'!L:L,"*Vignette [7] First ANC Visit*"),
    COUNTIFS('QA Log'!D:D,A499,'QA Log'!M:M,"Vignette",'QA Log'!Z:Z,"Approved",'QA Log'!L:L,"*Vignette [8] Birth Spacing/ Family Planning :  FP Counselling*"),
    COUNTIFS('QA Log'!D:D,A499,'QA Log'!M:M,"Vignette",'QA Log'!Z:Z,"Approved",'QA Log'!L:L,"*Vignette [9] Birth Spacing: Change FP method to Injectable*"),
    COUNTIFS('QA Log'!D:D,A499,'QA Log'!M:M,"Vignette",'QA Log'!Z:Z,"Approved",'QA Log'!L:L,"*Vignette [10] Post Partum Haemorrhage - Atonic Uterus at Health Centre*")
  )
)</f>
        <v/>
      </c>
      <c r="BG499" s="105" t="str">
        <f>IF(A499&lt;&gt;"",COUNTIFS('QA Log'!D:D,A499,'QA Log'!M:M,"Vignette",'QA Log'!L:L,"Vignette [5] Labor",'QA Log'!Z:Z,"Approved"),"")</f>
        <v/>
      </c>
      <c r="BH499" s="105" t="str">
        <f>IF(A499&lt;&gt;"",COUNTIFS('QA Log'!D:D,A499,'QA Log'!M:M,"Vignette",'QA Log'!L:L,"Vignette [6] PNC pre Discharge",'QA Log'!Z:Z,"Approved"),"")</f>
        <v/>
      </c>
      <c r="BI499" s="105" t="str">
        <f>IF(A499&lt;&gt;"",COUNTIFS('QA Log'!D:D,A499,'QA Log'!M:M,"Vignette",'QA Log'!L:L,"Vignette [7] First ANC Visit",'QA Log'!Z:Z,"Approved"),"")</f>
        <v/>
      </c>
      <c r="BJ499" s="105" t="str">
        <f>IF(A499&lt;&gt;"",COUNTIFS('QA Log'!D:D,A499,'QA Log'!M:M,"Vignette",'QA Log'!L:L,"Vignette [8] Birth Spacing/ Family Planning :  FP Counselling",'QA Log'!Z:Z,"Approved"),"")</f>
        <v/>
      </c>
      <c r="BK499" s="105" t="str">
        <f>IF(A499&lt;&gt;"",COUNTIFS('QA Log'!D:D,A499,'QA Log'!M:M,"Vignette",'QA Log'!L:L,"Vignette [9] Birth Spacing: Change FP method to Injectable",'QA Log'!Z:Z,"Approved"),"")</f>
        <v/>
      </c>
      <c r="BL499" s="105" t="str">
        <f>IF(A499&lt;&gt;"",COUNTIFS('QA Log'!D:D,A499,'QA Log'!M:M,"Vignette",'QA Log'!L:L,"Vignette [10] Post Partum Haemorrhage - Atonic Uterus at Health Centre",'QA Log'!Z:Z,"Approved"),"")</f>
        <v/>
      </c>
      <c r="BM499" s="102" t="str">
        <f>IF(A499="","",SUM(
    COUNTIFS('QA Log'!D:D,A499,'QA Log'!M:M,"Vignette",'QA Log'!Z:Z,"Rejected",'QA Log'!L:L,"*Vignette [5] Labor*"),
    COUNTIFS('QA Log'!D:D,A499,'QA Log'!M:M,"Vignette",'QA Log'!Z:Z,"Rejected",'QA Log'!L:L,"*Vignette [6] PNC pre Discharge*"),
    COUNTIFS('QA Log'!D:D,A499,'QA Log'!M:M,"Vignette",'QA Log'!Z:Z,"Rejected",'QA Log'!L:L,"*Vignette [7] First ANC Visit*"),
    COUNTIFS('QA Log'!D:D,A499,'QA Log'!M:M,"Vignette",'QA Log'!Z:Z,"Rejected",'QA Log'!L:L,"*Vignette [8] Birth Spacing/ Family Planning :  FP Counselling*"),
    COUNTIFS('QA Log'!D:D,A499,'QA Log'!M:M,"Vignette",'QA Log'!Z:Z,"Rejected",'QA Log'!L:L,"*Vignette [9] Birth Spacing: Change FP method to Injectable*"),
    COUNTIFS('QA Log'!D:D,A499,'QA Log'!M:M,"Vignette",'QA Log'!Z:Z,"Rejected",'QA Log'!L:L,"*Vignette [10] Post Partum Haemorrhage - Atonic Uterus at Health Centre*")
  )
)</f>
        <v/>
      </c>
      <c r="BN499" s="107" t="str">
        <f t="shared" si="37"/>
        <v/>
      </c>
      <c r="BO499" s="103" t="str">
        <f t="shared" si="38"/>
        <v/>
      </c>
      <c r="BP499" s="102" t="str">
        <f>IF(A499="","",SUM(
COUNTIFS('QA Log'!D:D,A499,'QA Log'!M:M,"Vignette",'QA Log'!L:L,"*Exit Interview 1*"),
COUNTIFS('QA Log'!D:D,A499,'QA Log'!M:M,"Vignette",'QA Log'!L:L,"*Exit Interview 2*"),
)
)</f>
        <v/>
      </c>
      <c r="BQ499" s="102" t="str">
        <f>IF(
  A499="","",
  SUM(
    COUNTIFS('QA Log'!D:D,A499,'QA Log'!M:M,"Vignette",'QA Log'!Z:Z,"Approved",'QA Log'!L:L,"*Exit Interview 1*"),
    COUNTIFS('QA Log'!D:D,A499,'QA Log'!M:M,"Vignette",'QA Log'!Z:Z,"Approved",'QA Log'!L:L,"*Exit Interview 2*")
  )
)</f>
        <v/>
      </c>
      <c r="BR499" s="105" t="str">
        <f>IF(A499&lt;&gt;"",COUNTIFS('QA Log'!D:D,A499,'QA Log'!M:M,"Vignette",'QA Log'!L:L,"Exit Interview 1",'QA Log'!Z:Z,"Approved"),"")</f>
        <v/>
      </c>
      <c r="BS499" s="105" t="str">
        <f>IF(A499&lt;&gt;"",COUNTIFS('QA Log'!D:D,A499,'QA Log'!M:M,"Vignette",'QA Log'!L:L,"Exit Interview 2",'QA Log'!Z:Z,"Approved"),"")</f>
        <v/>
      </c>
      <c r="BT499" s="102" t="str">
        <f>IF(
  A499="","",
  SUM(
    COUNTIFS('QA Log'!D:D,A499,'QA Log'!M:M,"Vignette",'QA Log'!Z:Z,"Rejected",'QA Log'!L:L,"*Exit Interview 1*"),
    COUNTIFS('QA Log'!D:D,A499,'QA Log'!M:M,"Vignette",'QA Log'!Z:Z,"Rejected",'QA Log'!L:L,"*Exit Interview 2*")
  )
)</f>
        <v/>
      </c>
      <c r="BU499" s="107" t="str">
        <f t="shared" si="39"/>
        <v/>
      </c>
      <c r="BV499" s="102" t="str">
        <f t="shared" si="40"/>
        <v/>
      </c>
      <c r="BW499" s="102" t="str">
        <f t="shared" si="41"/>
        <v/>
      </c>
      <c r="BX499" s="102" t="str">
        <f t="shared" si="42"/>
        <v/>
      </c>
      <c r="BY499" s="102" t="str">
        <f t="shared" si="43"/>
        <v/>
      </c>
      <c r="BZ499" s="107" t="str">
        <f t="shared" si="44"/>
        <v/>
      </c>
      <c r="CA499" s="108" t="str">
        <f t="shared" si="45"/>
        <v/>
      </c>
      <c r="CB499" s="108" t="str">
        <f t="shared" si="46"/>
        <v/>
      </c>
      <c r="CC499" s="109" t="str">
        <f t="shared" si="47"/>
        <v/>
      </c>
      <c r="CD499" s="108" t="str">
        <f t="shared" si="48"/>
        <v/>
      </c>
      <c r="CE499" s="108" t="str">
        <f t="shared" si="49"/>
        <v/>
      </c>
      <c r="CF499" s="109" t="str">
        <f t="shared" si="50"/>
        <v/>
      </c>
      <c r="CG499" s="110" t="str">
        <f t="shared" si="51"/>
        <v/>
      </c>
      <c r="CH499" s="111"/>
    </row>
    <row r="500" spans="1:86" ht="12.75">
      <c r="A500" s="101"/>
      <c r="B500" s="102" t="e">
        <f t="array" aca="1" ref="B500" ca="1">_xludf.XLOOKUP(A500,'QA Log'!D:D,'QA Log'!E:E,"")</f>
        <v>#NAME?</v>
      </c>
      <c r="C500" s="102" t="e">
        <f t="array" aca="1" ref="C500" ca="1">_xludf.XLOOKUP(A500,'QA Log'!D:D,'QA Log'!F:F,"")</f>
        <v>#NAME?</v>
      </c>
      <c r="D500" s="102" t="e">
        <f t="array" aca="1" ref="D500" ca="1">_xludf.XLOOKUP(A500,'QA Log'!D:D,'QA Log'!H:H,"")</f>
        <v>#NAME?</v>
      </c>
      <c r="E500" s="102" t="e">
        <f t="array" aca="1" ref="E500" ca="1">_xludf.XLOOKUP(A500,'QA Log'!D:D,'QA Log'!G:G,"")</f>
        <v>#NAME?</v>
      </c>
      <c r="F500" s="103"/>
      <c r="G500" s="104"/>
      <c r="H500" s="104"/>
      <c r="I500" s="103" t="str">
        <f t="shared" si="26"/>
        <v/>
      </c>
      <c r="J500" s="102" t="str">
        <f>IF(A500="","",SUM(
COUNTIFS('QA Log'!D:D,A500,'QA Log'!M:M,"QQC",'QA Log'!L:L,"*1. General Management*"),
COUNTIFS('QA Log'!D:D,A500,'QA Log'!M:M,"QQC",'QA Log'!L:L,"*3. Curative Consultation (OPD)*"),
COUNTIFS('QA Log'!D:D,A500,'QA Log'!M:M,"QQC",'QA Log'!L:L,"*5. Laboratory*"),
COUNTIFS('QA Log'!D:D,A500,'QA Log'!M:M,"QQC",'QA Log'!L:L,"*6. Essential Medicine Management*"),
COUNTIFS('QA Log'!D:D,A500,'QA Log'!M:M,"QQC",'QA Log'!L:L,"*7. Tracer Medicine*"),
COUNTIFS('QA Log'!D:D,A500,'QA Log'!M:M,"QQC",'QA Log'!L:L,"*11. Additional Questions*")))</f>
        <v/>
      </c>
      <c r="K500" s="102" t="str">
        <f>IF(A500="","",SUM(
COUNTIFS('QA Log'!D:D,A500,'QA Log'!M:M,"QQC",'QA Log'!Z:Z,"Approved",'QA Log'!L:L,"*1. General Management*"),
COUNTIFS('QA Log'!D:D,A500,'QA Log'!M:M,"QQC",'QA Log'!Z:Z,"Approved",'QA Log'!L:L,"*3. Curative Consultation (OPD)*"),
COUNTIFS('QA Log'!D:D,A500,'QA Log'!M:M,"QQC",'QA Log'!Z:Z,"Approved",'QA Log'!L:L,"*5. Laboratory*"),
COUNTIFS('QA Log'!D:D,A500,'QA Log'!M:M,"QQC",'QA Log'!Z:Z,"Approved",'QA Log'!L:L,"*6. Essential Medicine Management*"),
COUNTIFS('QA Log'!D:D,A500,'QA Log'!M:M,"QQC",'QA Log'!Z:Z,"Approved",'QA Log'!L:L,"*7. Tracer Medicine*"),
COUNTIFS('QA Log'!D:D,A500,'QA Log'!M:M,"QQC",'QA Log'!Z:Z,"Approved",'QA Log'!L:L,"*11. Additional Questions*")))</f>
        <v/>
      </c>
      <c r="L500" s="102" t="str">
        <f>IF(A500&lt;&gt;"",COUNTIFS('QA Log'!D:D,A500,'QA Log'!M:M,"QQC",'QA Log'!L:L,"1. General Management",'QA Log'!Z:Z,"Approved"),"")</f>
        <v/>
      </c>
      <c r="M500" s="102" t="str">
        <f>IF(A500&lt;&gt;"",COUNTIFS('QA Log'!D:D,A500,'QA Log'!M:M,"QQC",'QA Log'!L:L,"3. Curative Consultation (OPD)",'QA Log'!Z:Z,"Approved"),"")</f>
        <v/>
      </c>
      <c r="N500" s="102" t="str">
        <f>IF(A500&lt;&gt;"",COUNTIFS('QA Log'!D:D,A500,'QA Log'!M:M,"QQC",'QA Log'!L:L,"5. Laboratory",'QA Log'!Z:Z,"Approved"),"")</f>
        <v/>
      </c>
      <c r="O500" s="102" t="str">
        <f>IF(A500&lt;&gt;"",COUNTIFS('QA Log'!D:D,A500,'QA Log'!M:M,"QQC",'QA Log'!L:L,"6. Essential Medicine Management",'QA Log'!Z:Z,"Approved"),"")</f>
        <v/>
      </c>
      <c r="P500" s="102" t="str">
        <f>IF(A500&lt;&gt;"",COUNTIFS('QA Log'!D:D,A500,'QA Log'!M:M,"QQC",'QA Log'!L:L,"7. Tracer Medicine",'QA Log'!Z:Z,"Approved"),"")</f>
        <v/>
      </c>
      <c r="Q500" s="102" t="str">
        <f>IF(A500&lt;&gt;"",COUNTIFS('QA Log'!D:D,A500,'QA Log'!M:M,"QQC",'QA Log'!L:L,"11. Additional Questions",'QA Log'!Z:Z,"Approved"),"")</f>
        <v/>
      </c>
      <c r="R500" s="102" t="str">
        <f>IF(A500="","",SUM(
COUNTIFS('QA Log'!D:D,A500,'QA Log'!M:M,"QQC",'QA Log'!Z:Z,"Rejected",'QA Log'!L:L,"*8. Maternity*"),
COUNTIFS('QA Log'!D:D,A500,'QA Log'!M:M,"QQC",'QA Log'!Z:Z,"Rejected",'QA Log'!L:L,"*EPI*"),
COUNTIFS('QA Log'!D:D,A500,'QA Log'!M:M,"QQC",'QA Log'!Z:Z,"Rejected",'QA Log'!L:L,"*10. Antenatal Care (ANC)*"),
COUNTIFS('QA Log'!D:D,A500,'QA Log'!M:M,"QQC",'QA Log'!Z:Z,"Rejected",'QA Log'!L:L,"*2. Hygiene and Sterilization*"),
COUNTIFS('QA Log'!D:D,A500,'QA Log'!M:M,"QQC",'QA Log'!Z:Z,"Rejected",'QA Log'!L:L,"*Family Planning*")))</f>
        <v/>
      </c>
      <c r="S500" s="106" t="str">
        <f t="shared" si="27"/>
        <v/>
      </c>
      <c r="T500" s="102" t="str">
        <f t="shared" si="28"/>
        <v/>
      </c>
      <c r="U500" s="102" t="str">
        <f>IF(A500="","",
SUM(
COUNTIFS('QA Log'!D:D,A500,'QA Log'!M:M,"QQC",'QA Log'!L:L,"*8. Maternity*"),
COUNTIFS('QA Log'!D:D,A500,'QA Log'!M:M,"QQC",'QA Log'!L:L,"*9. EPI and Pre-school Consultation*"),
COUNTIFS('QA Log'!D:D,A500,'QA Log'!M:M,"QQC",'QA Log'!L:L,"*10. Antenatal Care (ANC)*"),
COUNTIFS('QA Log'!D:D,A500,'QA Log'!M:M,"QQC",'QA Log'!L:L,"*2. Hygiene and Sterilization*"),
COUNTIFS('QA Log'!D:D,A500,'QA Log'!M:M,"QQC",'QA Log'!L:L,"*4. Family Planning*")
))</f>
        <v/>
      </c>
      <c r="V500" s="102" t="str">
        <f>IF(A500="","",
SUM(
COUNTIFS('QA Log'!D:D,A500,'QA Log'!M:M,"QQC",'QA Log'!Z:Z,"Approved",'QA Log'!L:L,"*8. Maternity*"),
COUNTIFS('QA Log'!D:D,A500,'QA Log'!M:M,"QQC",'QA Log'!Z:Z,"Approved",'QA Log'!L:L,"*9. EPI and Pre-school Consultation*"),
COUNTIFS('QA Log'!D:D,A500,'QA Log'!M:M,"QQC",'QA Log'!Z:Z,"Approved",'QA Log'!L:L,"*10. Antenatal Care (ANC)*"),
COUNTIFS('QA Log'!D:D,A500,'QA Log'!M:M,"QQC",'QA Log'!Z:Z,"Approved",'QA Log'!L:L,"*2. Hygiene and Sterilization*"),
COUNTIFS('QA Log'!D:D,A500,'QA Log'!M:M,"QQC",'QA Log'!Z:Z,"Approved",'QA Log'!L:L,"*4. Family Planning*")
))</f>
        <v/>
      </c>
      <c r="W500" s="102" t="str">
        <f>IF(A500&lt;&gt;"",COUNTIFS('QA Log'!D:D,A500,'QA Log'!M:M,"QQC",'QA Log'!L:L,"8. Maternity",'QA Log'!Z:Z,"Approved"),"")</f>
        <v/>
      </c>
      <c r="X500" s="105" t="str">
        <f>IF(A500&lt;&gt;"",COUNTIFS('QA Log'!D:D,A500,'QA Log'!M:M,"QQC",'QA Log'!L:L,"9. EPI and Pre-school Consultation",'QA Log'!Z:Z,"Approved"),"")</f>
        <v/>
      </c>
      <c r="Y500" s="102" t="str">
        <f>IF(A500&lt;&gt;"",COUNTIFS('QA Log'!D:D,A500,'QA Log'!M:M,"QQC",'QA Log'!L:L,"10. Antenatal Care (ANC)",'QA Log'!Z:Z,"Approved"),"")</f>
        <v/>
      </c>
      <c r="Z500" s="102" t="str">
        <f>IF(A500&lt;&gt;"",COUNTIFS('QA Log'!D:D,A500,'QA Log'!M:M,"QQC",'QA Log'!L:L,"2. Hygiene and Sterilization",'QA Log'!Z:Z,"Approved"),"")</f>
        <v/>
      </c>
      <c r="AA500" s="105" t="str">
        <f>IF(A500&lt;&gt;"",COUNTIFS('QA Log'!D:D,A500,'QA Log'!M:M,"QQC",'QA Log'!L:L,"4. Family Planning",'QA Log'!Z:Z,"Approved"),"")</f>
        <v/>
      </c>
      <c r="AB500" s="102" t="str">
        <f>IF(A500="","",
SUM(
COUNTIFS('QA Log'!D:D,A500,'QA Log'!M:M,"QQC",'QA Log'!Z:Z,"Rejected",'QA Log'!L:L,"*8. Maternity*"),
COUNTIFS('QA Log'!D:D,A500,'QA Log'!M:M,"QQC",'QA Log'!Z:Z,"Rejected",'QA Log'!L:L,"*9. EPI and Pre-school Consultation*"),
COUNTIFS('QA Log'!D:D,A500,'QA Log'!M:M,"QQC",'QA Log'!Z:Z,"Rejected",'QA Log'!L:L,"*10. Antenatal Care (ANC)*"),
COUNTIFS('QA Log'!D:D,A500,'QA Log'!M:M,"QQC",'QA Log'!Z:Z,"Rejected",'QA Log'!L:L,"*2. Hygiene and Sterilization*"),
COUNTIFS('QA Log'!D:D,A500,'QA Log'!M:M,"QQC",'QA Log'!Z:Z,"Rejected",'QA Log'!L:L,"*4. Family Planning*")
))</f>
        <v/>
      </c>
      <c r="AC500" s="102" t="str">
        <f t="shared" si="29"/>
        <v/>
      </c>
      <c r="AD500" s="103" t="str">
        <f t="shared" si="30"/>
        <v/>
      </c>
      <c r="AE500" s="102" t="str">
        <f>IF(A500="","",
SUM(
COUNTIFS('QA Log'!D:D,A500,'QA Log'!M:M,"Data Verification",'QA Log'!L:L,"*Medicine (section 2)*"),
COUNTIFS('QA Log'!D:D,A500,'QA Log'!M:M,"Data Verification",'QA Log'!L:L,"*Lab Testing Availability*"),
COUNTIFS('QA Log'!D:D,A500,'QA Log'!M:M,"Data Verification",'QA Log'!L:L,"*Other than P4P (section 6)*"),
COUNTIFS('QA Log'!D:D,A500,'QA Log'!M:M,"Data Verification",'QA Log'!L:L,"*Hospital Governance*")
))</f>
        <v/>
      </c>
      <c r="AF500" s="102" t="str">
        <f>IF(A500="","",
SUM(
COUNTIFS('QA Log'!D:D,A500,'QA Log'!M:M,"Data Verification",'QA Log'!Z:Z,"Approved",'QA Log'!L:L,"*Medicine (section 2)*"),
COUNTIFS('QA Log'!D:D,A500,'QA Log'!M:M,"Data Verification",'QA Log'!Z:Z,"Approved",'QA Log'!L:L,"*Lab Testing Availability*"),
COUNTIFS('QA Log'!D:D,A500,'QA Log'!M:M,"Data Verification",'QA Log'!Z:Z,"Approved",'QA Log'!L:L,"*Other than P4P (section 6)*"),
COUNTIFS('QA Log'!D:D,A500,'QA Log'!M:M,"Data Verification",'QA Log'!Z:Z,"Approved",'QA Log'!L:L,"*Hospital Governance*")
))</f>
        <v/>
      </c>
      <c r="AG500" s="105" t="str">
        <f>IF(A500&lt;&gt;"",COUNTIFS('QA Log'!D:D,A500,'QA Log'!M:M,"Data Verification",'QA Log'!L:L,"Medicine (section 2)",'QA Log'!Z:Z,"Approved"),"")</f>
        <v/>
      </c>
      <c r="AH500" s="105" t="str">
        <f>IF(A500&lt;&gt;"",COUNTIFS('QA Log'!D:D,A500,'QA Log'!M:M,"Data Verification",'QA Log'!L:L,"Lab Testing Availability",'QA Log'!Z:Z,"Approved"),"")</f>
        <v/>
      </c>
      <c r="AI500" s="105" t="str">
        <f>IF(A500&lt;&gt;"",COUNTIFS('QA Log'!D:D,A500,'QA Log'!M:M,"Data Verification",'QA Log'!L:L,"Other than P4P (section 6)",'QA Log'!Z:Z,"Approved"),"")</f>
        <v/>
      </c>
      <c r="AJ500" s="105" t="str">
        <f>IF(A500&lt;&gt;"",COUNTIFS('QA Log'!D:D,A500,'QA Log'!M:M,"Data Verification",'QA Log'!L:L,"Hospital Governance",'QA Log'!Z:Z,"Approved"),"")</f>
        <v/>
      </c>
      <c r="AK500" s="102" t="str">
        <f>IF(A500="","",
SUM(
COUNTIFS('QA Log'!D:D,A500,'QA Log'!M:M,"Data Verification",'QA Log'!Z:Z,"Rejected",'QA Log'!L:L,"*Medicine (section 2)*"),
COUNTIFS('QA Log'!D:D,A500,'QA Log'!M:M,"Data Verification",'QA Log'!Z:Z,"Rejected",'QA Log'!L:L,"*Lab Testing Availability*"),
COUNTIFS('QA Log'!D:D,A500,'QA Log'!M:M,"Data Verification",'QA Log'!Z:Z,"Rejected",'QA Log'!L:L,"*Other than P4P (section 6)*"),
COUNTIFS('QA Log'!D:D,A500,'QA Log'!M:M,"Data Verification",'QA Log'!Z:Z,"Rejected",'QA Log'!L:L,"*Hospital Governance*")
))</f>
        <v/>
      </c>
      <c r="AL500" s="106" t="str">
        <f t="shared" si="31"/>
        <v/>
      </c>
      <c r="AM500" s="102" t="str">
        <f t="shared" si="32"/>
        <v/>
      </c>
      <c r="AN500" s="102" t="str">
        <f>IF(A500="","",
SUM(
COUNTIFS('QA Log'!D:D,A500,'QA Log'!M:M,"Data Verification",'QA Log'!L:L,"*Personnel (section 1)*"),
COUNTIFS('QA Log'!D:D,A500,'QA Log'!M:M,"Data Verification",'QA Log'!L:L,"*Consumable (section 3)*"),
COUNTIFS('QA Log'!D:D,A500,'QA Log'!M:M,"Data Verification",'QA Log'!L:L,"*Equipments (section 4)*")
))</f>
        <v/>
      </c>
      <c r="AO500" s="102" t="str">
        <f>IF(A500="","",
SUM(
COUNTIFS('QA Log'!D:D,A500,'QA Log'!M:M,"Data Verification",'QA Log'!Z:Z,"Approved",'QA Log'!L:L,"*Personnel (section 1)*"),
COUNTIFS('QA Log'!D:D,A500,'QA Log'!M:M,"Data Verification",'QA Log'!Z:Z,"Approved",'QA Log'!L:L,"*Consumable (section 3)*"),
COUNTIFS('QA Log'!D:D,A500,'QA Log'!M:M,"Data Verification",'QA Log'!Z:Z,"Approved",'QA Log'!L:L,"*Equipments (section 4)*")
))</f>
        <v/>
      </c>
      <c r="AP500" s="105" t="str">
        <f>IF(A500&lt;&gt;"",COUNTIFS('QA Log'!D:D,A500,'QA Log'!M:M,"Data Verification",'QA Log'!L:L,"Personnel (section 1)",'QA Log'!Z:Z,"Approved"),"")</f>
        <v/>
      </c>
      <c r="AQ500" s="105" t="str">
        <f>IF(A500&lt;&gt;"",COUNTIFS('QA Log'!D:D,A500,'QA Log'!M:M,"Data Verification",'QA Log'!L:L,"Consumable (section 3)",'QA Log'!Z:Z,"Approved"),"")</f>
        <v/>
      </c>
      <c r="AR500" s="105" t="str">
        <f>IF(A500&lt;&gt;"",COUNTIFS('QA Log'!D:D,A500,'QA Log'!M:M,"Data Verification",'QA Log'!L:L,"Equipments (section 4)",'QA Log'!Z:Z,"Approved"),"")</f>
        <v/>
      </c>
      <c r="AS500" s="102" t="str">
        <f>IF(A500="","",
SUM(
COUNTIFS('QA Log'!D:D,A500,'QA Log'!M:M,"Data Verification",'QA Log'!Z:Z,"Rejected",'QA Log'!L:L,"*Personnel (section 1)*"),
COUNTIFS('QA Log'!D:D,A500,'QA Log'!M:M,"Data Verification",'QA Log'!Z:Z,"Rejected",'QA Log'!L:L,"*Consumable (section 3)*"),
COUNTIFS('QA Log'!D:D,A500,'QA Log'!M:M,"Data Verification",'QA Log'!Z:Z,"Rejected",'QA Log'!L:L,"*Equipments (section 4)*")
))</f>
        <v/>
      </c>
      <c r="AT500" s="102" t="str">
        <f t="shared" si="33"/>
        <v/>
      </c>
      <c r="AU500" s="103" t="str">
        <f t="shared" si="34"/>
        <v/>
      </c>
      <c r="AV500" s="102" t="str">
        <f>IF(A500="","",SUM(
COUNTIFS('QA Log'!D:D,A500,'QA Log'!M:M,"Vignette",'QA Log'!L:L,"*Vignette [1] Respiratory Infection: Pneumonia*"),
COUNTIFS('QA Log'!D:D,A500,'QA Log'!M:M,"Vignette",'QA Log'!L:L,"*Vignette [2]: Diarrhea with Cat B dehydration*"),
COUNTIFS('QA Log'!D:D,A500,'QA Log'!M:M,"Vignette",'QA Log'!L:L,"*Vignette [3] Growth Monitoring and Promotion*"),
COUNTIFS('QA Log'!D:D,A500,'QA Log'!M:M,"Vignette",'QA Log'!L:L,"*Vignette [4]: The management of presumptive TB patient*")
)
)</f>
        <v/>
      </c>
      <c r="AW500" s="102" t="str">
        <f>IF(
  A500="","",
  SUM(
    COUNTIFS('QA Log'!D:D,A500,'QA Log'!M:M,"Vignette",'QA Log'!Z:Z,"Approved",'QA Log'!L:L,"*Vignette [1] Respiratory Infection: Pneumonia*"),
    COUNTIFS('QA Log'!D:D,A500,'QA Log'!M:M,"Vignette",'QA Log'!Z:Z,"Approved",'QA Log'!L:L,"*Vignette [2]: Diarrhea with Cat B dehydration*"),
    COUNTIFS('QA Log'!D:D,A500,'QA Log'!M:M,"Vignette",'QA Log'!Z:Z,"Approved",'QA Log'!L:L,"*Vignette [3] Growth Monitoring and Promotion*"),
    COUNTIFS('QA Log'!D:D,A500,'QA Log'!M:M,"Vignette",'QA Log'!Z:Z,"Approved",'QA Log'!L:L,"*Vignette [4]: The management of presumptive TB patient*")
  )
)</f>
        <v/>
      </c>
      <c r="AX500" s="105" t="str">
        <f>IF(A500&lt;&gt;"",COUNTIFS('QA Log'!D:D,A500,'QA Log'!M:M,"Vignette",'QA Log'!L:L,"Vignette [1] Respiratory Infection: Pneumonia",'QA Log'!Z:Z,"Approved"),"")</f>
        <v/>
      </c>
      <c r="AY500" s="105" t="str">
        <f>IF(A500&lt;&gt;"",COUNTIFS('QA Log'!D:D,A500,'QA Log'!M:M,"Vignette",'QA Log'!L:L,"Vignette [2]: Diarrhea with Cat B dehydration",'QA Log'!Z:Z,"Approved"),"")</f>
        <v/>
      </c>
      <c r="AZ500" s="105" t="str">
        <f>IF(A500&lt;&gt;"",COUNTIFS('QA Log'!D:D,A500,'QA Log'!M:M,"Vignette",'QA Log'!L:L,"Vignette [3] Growth Monitoring and Promotion",'QA Log'!Z:Z,"Approved"),"")</f>
        <v/>
      </c>
      <c r="BA500" s="105" t="str">
        <f>IF(A500&lt;&gt;"",COUNTIFS('QA Log'!D:D,A500,'QA Log'!M:M,"Vignette",'QA Log'!L:L,"Vignette [4]: The management of presumptive TB patient",'QA Log'!Z:Z,"Approved"),"")</f>
        <v/>
      </c>
      <c r="BB500" s="102" t="str">
        <f>IF(A500="","",
  SUM(
    COUNTIFS('QA Log'!D:D,A500,'QA Log'!M:M,"Vignette",'QA Log'!Z:Z,"Rejected",'QA Log'!L:L,"*Vignette [1] Respiratory Infection: Pneumonia*"),
    COUNTIFS('QA Log'!D:D,A500,'QA Log'!M:M,"Vignette",'QA Log'!Z:Z,"Rejected",'QA Log'!L:L,"*Vignette [2]: Diarrhea with Cat B dehydration*"),
    COUNTIFS('QA Log'!D:D,A500,'QA Log'!M:M,"Vignette",'QA Log'!Z:Z,"Rejected",'QA Log'!L:L,"*Vignette [3] Growth Monitoring and Promotion*"),
    COUNTIFS('QA Log'!D:D,A500,'QA Log'!M:M,"Vignette",'QA Log'!Z:Z,"Rejected",'QA Log'!L:L,"*Vignette [4]: The management of presumptive TB patient*")
  )
)</f>
        <v/>
      </c>
      <c r="BC500" s="107" t="str">
        <f t="shared" si="35"/>
        <v/>
      </c>
      <c r="BD500" s="103" t="str">
        <f t="shared" si="36"/>
        <v/>
      </c>
      <c r="BE500" s="102" t="str">
        <f>IF(A500="","",SUM(
COUNTIFS('QA Log'!D:D,A500,'QA Log'!M:M,"Vignette",'QA Log'!L:L,"*Vignette [5] Labor*"),
COUNTIFS('QA Log'!D:D,A500,'QA Log'!M:M,"Vignette",'QA Log'!L:L,"*Vignette [6] PNC pre Discharge*"),
COUNTIFS('QA Log'!D:D,A500,'QA Log'!M:M,"Vignette",'QA Log'!L:L,"*Vignette [7] First ANC Visit*"),
COUNTIFS('QA Log'!D:D,A500,'QA Log'!M:M,"Vignette",'QA Log'!L:L,"*Vignette [8] Birth Spacing/ Family Planning :  FP Counselling*"),
COUNTIFS('QA Log'!D:D,A500,'QA Log'!M:M,"Vignette",'QA Log'!L:L,"*Vignette [9] Birth Spacing: Change FP method to Injectable*"),
COUNTIFS('QA Log'!D:D,A500,'QA Log'!M:M,"Vignette",'QA Log'!L:L,"*Vignette [10] Post Partum Haemorrhage - Atonic Uterus at Health Centre*"),
)
)</f>
        <v/>
      </c>
      <c r="BF500" s="102" t="str">
        <f>IF(A500="","",
  SUM(
    COUNTIFS('QA Log'!D:D,A500,'QA Log'!M:M,"Vignette",'QA Log'!Z:Z,"Approved",'QA Log'!L:L,"*Vignette [5] Labor*"),
    COUNTIFS('QA Log'!D:D,A500,'QA Log'!M:M,"Vignette",'QA Log'!Z:Z,"Approved",'QA Log'!L:L,"*Vignette [6] PNC pre Discharge*"),
    COUNTIFS('QA Log'!D:D,A500,'QA Log'!M:M,"Vignette",'QA Log'!Z:Z,"Approved",'QA Log'!L:L,"*Vignette [7] First ANC Visit*"),
    COUNTIFS('QA Log'!D:D,A500,'QA Log'!M:M,"Vignette",'QA Log'!Z:Z,"Approved",'QA Log'!L:L,"*Vignette [8] Birth Spacing/ Family Planning :  FP Counselling*"),
    COUNTIFS('QA Log'!D:D,A500,'QA Log'!M:M,"Vignette",'QA Log'!Z:Z,"Approved",'QA Log'!L:L,"*Vignette [9] Birth Spacing: Change FP method to Injectable*"),
    COUNTIFS('QA Log'!D:D,A500,'QA Log'!M:M,"Vignette",'QA Log'!Z:Z,"Approved",'QA Log'!L:L,"*Vignette [10] Post Partum Haemorrhage - Atonic Uterus at Health Centre*")
  )
)</f>
        <v/>
      </c>
      <c r="BG500" s="105" t="str">
        <f>IF(A500&lt;&gt;"",COUNTIFS('QA Log'!D:D,A500,'QA Log'!M:M,"Vignette",'QA Log'!L:L,"Vignette [5] Labor",'QA Log'!Z:Z,"Approved"),"")</f>
        <v/>
      </c>
      <c r="BH500" s="105" t="str">
        <f>IF(A500&lt;&gt;"",COUNTIFS('QA Log'!D:D,A500,'QA Log'!M:M,"Vignette",'QA Log'!L:L,"Vignette [6] PNC pre Discharge",'QA Log'!Z:Z,"Approved"),"")</f>
        <v/>
      </c>
      <c r="BI500" s="105" t="str">
        <f>IF(A500&lt;&gt;"",COUNTIFS('QA Log'!D:D,A500,'QA Log'!M:M,"Vignette",'QA Log'!L:L,"Vignette [7] First ANC Visit",'QA Log'!Z:Z,"Approved"),"")</f>
        <v/>
      </c>
      <c r="BJ500" s="105" t="str">
        <f>IF(A500&lt;&gt;"",COUNTIFS('QA Log'!D:D,A500,'QA Log'!M:M,"Vignette",'QA Log'!L:L,"Vignette [8] Birth Spacing/ Family Planning :  FP Counselling",'QA Log'!Z:Z,"Approved"),"")</f>
        <v/>
      </c>
      <c r="BK500" s="105" t="str">
        <f>IF(A500&lt;&gt;"",COUNTIFS('QA Log'!D:D,A500,'QA Log'!M:M,"Vignette",'QA Log'!L:L,"Vignette [9] Birth Spacing: Change FP method to Injectable",'QA Log'!Z:Z,"Approved"),"")</f>
        <v/>
      </c>
      <c r="BL500" s="105" t="str">
        <f>IF(A500&lt;&gt;"",COUNTIFS('QA Log'!D:D,A500,'QA Log'!M:M,"Vignette",'QA Log'!L:L,"Vignette [10] Post Partum Haemorrhage - Atonic Uterus at Health Centre",'QA Log'!Z:Z,"Approved"),"")</f>
        <v/>
      </c>
      <c r="BM500" s="102" t="str">
        <f>IF(A500="","",SUM(
    COUNTIFS('QA Log'!D:D,A500,'QA Log'!M:M,"Vignette",'QA Log'!Z:Z,"Rejected",'QA Log'!L:L,"*Vignette [5] Labor*"),
    COUNTIFS('QA Log'!D:D,A500,'QA Log'!M:M,"Vignette",'QA Log'!Z:Z,"Rejected",'QA Log'!L:L,"*Vignette [6] PNC pre Discharge*"),
    COUNTIFS('QA Log'!D:D,A500,'QA Log'!M:M,"Vignette",'QA Log'!Z:Z,"Rejected",'QA Log'!L:L,"*Vignette [7] First ANC Visit*"),
    COUNTIFS('QA Log'!D:D,A500,'QA Log'!M:M,"Vignette",'QA Log'!Z:Z,"Rejected",'QA Log'!L:L,"*Vignette [8] Birth Spacing/ Family Planning :  FP Counselling*"),
    COUNTIFS('QA Log'!D:D,A500,'QA Log'!M:M,"Vignette",'QA Log'!Z:Z,"Rejected",'QA Log'!L:L,"*Vignette [9] Birth Spacing: Change FP method to Injectable*"),
    COUNTIFS('QA Log'!D:D,A500,'QA Log'!M:M,"Vignette",'QA Log'!Z:Z,"Rejected",'QA Log'!L:L,"*Vignette [10] Post Partum Haemorrhage - Atonic Uterus at Health Centre*")
  )
)</f>
        <v/>
      </c>
      <c r="BN500" s="107" t="str">
        <f t="shared" si="37"/>
        <v/>
      </c>
      <c r="BO500" s="103" t="str">
        <f t="shared" si="38"/>
        <v/>
      </c>
      <c r="BP500" s="102" t="str">
        <f>IF(A500="","",SUM(
COUNTIFS('QA Log'!D:D,A500,'QA Log'!M:M,"Vignette",'QA Log'!L:L,"*Exit Interview 1*"),
COUNTIFS('QA Log'!D:D,A500,'QA Log'!M:M,"Vignette",'QA Log'!L:L,"*Exit Interview 2*"),
)
)</f>
        <v/>
      </c>
      <c r="BQ500" s="102" t="str">
        <f>IF(
  A500="","",
  SUM(
    COUNTIFS('QA Log'!D:D,A500,'QA Log'!M:M,"Vignette",'QA Log'!Z:Z,"Approved",'QA Log'!L:L,"*Exit Interview 1*"),
    COUNTIFS('QA Log'!D:D,A500,'QA Log'!M:M,"Vignette",'QA Log'!Z:Z,"Approved",'QA Log'!L:L,"*Exit Interview 2*")
  )
)</f>
        <v/>
      </c>
      <c r="BR500" s="105" t="str">
        <f>IF(A500&lt;&gt;"",COUNTIFS('QA Log'!D:D,A500,'QA Log'!M:M,"Vignette",'QA Log'!L:L,"Exit Interview 1",'QA Log'!Z:Z,"Approved"),"")</f>
        <v/>
      </c>
      <c r="BS500" s="105" t="str">
        <f>IF(A500&lt;&gt;"",COUNTIFS('QA Log'!D:D,A500,'QA Log'!M:M,"Vignette",'QA Log'!L:L,"Exit Interview 2",'QA Log'!Z:Z,"Approved"),"")</f>
        <v/>
      </c>
      <c r="BT500" s="102" t="str">
        <f>IF(
  A500="","",
  SUM(
    COUNTIFS('QA Log'!D:D,A500,'QA Log'!M:M,"Vignette",'QA Log'!Z:Z,"Rejected",'QA Log'!L:L,"*Exit Interview 1*"),
    COUNTIFS('QA Log'!D:D,A500,'QA Log'!M:M,"Vignette",'QA Log'!Z:Z,"Rejected",'QA Log'!L:L,"*Exit Interview 2*")
  )
)</f>
        <v/>
      </c>
      <c r="BU500" s="107" t="str">
        <f t="shared" si="39"/>
        <v/>
      </c>
      <c r="BV500" s="102" t="str">
        <f t="shared" si="40"/>
        <v/>
      </c>
      <c r="BW500" s="102" t="str">
        <f t="shared" si="41"/>
        <v/>
      </c>
      <c r="BX500" s="102" t="str">
        <f t="shared" si="42"/>
        <v/>
      </c>
      <c r="BY500" s="102" t="str">
        <f t="shared" si="43"/>
        <v/>
      </c>
      <c r="BZ500" s="107" t="str">
        <f t="shared" si="44"/>
        <v/>
      </c>
      <c r="CA500" s="108" t="str">
        <f t="shared" si="45"/>
        <v/>
      </c>
      <c r="CB500" s="108" t="str">
        <f t="shared" si="46"/>
        <v/>
      </c>
      <c r="CC500" s="109" t="str">
        <f t="shared" si="47"/>
        <v/>
      </c>
      <c r="CD500" s="108" t="str">
        <f t="shared" si="48"/>
        <v/>
      </c>
      <c r="CE500" s="108" t="str">
        <f t="shared" si="49"/>
        <v/>
      </c>
      <c r="CF500" s="109" t="str">
        <f t="shared" si="50"/>
        <v/>
      </c>
      <c r="CG500" s="110" t="str">
        <f t="shared" si="51"/>
        <v/>
      </c>
      <c r="CH500" s="111"/>
    </row>
    <row r="501" spans="1:86" ht="12.75">
      <c r="A501" s="101"/>
      <c r="B501" s="102" t="e">
        <f t="array" aca="1" ref="B501" ca="1">_xludf.XLOOKUP(A501,'QA Log'!D:D,'QA Log'!E:E,"")</f>
        <v>#NAME?</v>
      </c>
      <c r="C501" s="102" t="e">
        <f t="array" aca="1" ref="C501" ca="1">_xludf.XLOOKUP(A501,'QA Log'!D:D,'QA Log'!F:F,"")</f>
        <v>#NAME?</v>
      </c>
      <c r="D501" s="102" t="e">
        <f t="array" aca="1" ref="D501" ca="1">_xludf.XLOOKUP(A501,'QA Log'!D:D,'QA Log'!H:H,"")</f>
        <v>#NAME?</v>
      </c>
      <c r="E501" s="102" t="e">
        <f t="array" aca="1" ref="E501" ca="1">_xludf.XLOOKUP(A501,'QA Log'!D:D,'QA Log'!G:G,"")</f>
        <v>#NAME?</v>
      </c>
      <c r="F501" s="103"/>
      <c r="G501" s="104"/>
      <c r="H501" s="104"/>
      <c r="I501" s="103" t="str">
        <f t="shared" si="26"/>
        <v/>
      </c>
      <c r="J501" s="102" t="str">
        <f>IF(A501="","",SUM(
COUNTIFS('QA Log'!D:D,A501,'QA Log'!M:M,"QQC",'QA Log'!L:L,"*1. General Management*"),
COUNTIFS('QA Log'!D:D,A501,'QA Log'!M:M,"QQC",'QA Log'!L:L,"*3. Curative Consultation (OPD)*"),
COUNTIFS('QA Log'!D:D,A501,'QA Log'!M:M,"QQC",'QA Log'!L:L,"*5. Laboratory*"),
COUNTIFS('QA Log'!D:D,A501,'QA Log'!M:M,"QQC",'QA Log'!L:L,"*6. Essential Medicine Management*"),
COUNTIFS('QA Log'!D:D,A501,'QA Log'!M:M,"QQC",'QA Log'!L:L,"*7. Tracer Medicine*"),
COUNTIFS('QA Log'!D:D,A501,'QA Log'!M:M,"QQC",'QA Log'!L:L,"*11. Additional Questions*")))</f>
        <v/>
      </c>
      <c r="K501" s="102" t="str">
        <f>IF(A501="","",SUM(
COUNTIFS('QA Log'!D:D,A501,'QA Log'!M:M,"QQC",'QA Log'!Z:Z,"Approved",'QA Log'!L:L,"*1. General Management*"),
COUNTIFS('QA Log'!D:D,A501,'QA Log'!M:M,"QQC",'QA Log'!Z:Z,"Approved",'QA Log'!L:L,"*3. Curative Consultation (OPD)*"),
COUNTIFS('QA Log'!D:D,A501,'QA Log'!M:M,"QQC",'QA Log'!Z:Z,"Approved",'QA Log'!L:L,"*5. Laboratory*"),
COUNTIFS('QA Log'!D:D,A501,'QA Log'!M:M,"QQC",'QA Log'!Z:Z,"Approved",'QA Log'!L:L,"*6. Essential Medicine Management*"),
COUNTIFS('QA Log'!D:D,A501,'QA Log'!M:M,"QQC",'QA Log'!Z:Z,"Approved",'QA Log'!L:L,"*7. Tracer Medicine*"),
COUNTIFS('QA Log'!D:D,A501,'QA Log'!M:M,"QQC",'QA Log'!Z:Z,"Approved",'QA Log'!L:L,"*11. Additional Questions*")))</f>
        <v/>
      </c>
      <c r="L501" s="102" t="str">
        <f>IF(A501&lt;&gt;"",COUNTIFS('QA Log'!D:D,A501,'QA Log'!M:M,"QQC",'QA Log'!L:L,"1. General Management",'QA Log'!Z:Z,"Approved"),"")</f>
        <v/>
      </c>
      <c r="M501" s="102" t="str">
        <f>IF(A501&lt;&gt;"",COUNTIFS('QA Log'!D:D,A501,'QA Log'!M:M,"QQC",'QA Log'!L:L,"3. Curative Consultation (OPD)",'QA Log'!Z:Z,"Approved"),"")</f>
        <v/>
      </c>
      <c r="N501" s="102" t="str">
        <f>IF(A501&lt;&gt;"",COUNTIFS('QA Log'!D:D,A501,'QA Log'!M:M,"QQC",'QA Log'!L:L,"5. Laboratory",'QA Log'!Z:Z,"Approved"),"")</f>
        <v/>
      </c>
      <c r="O501" s="102" t="str">
        <f>IF(A501&lt;&gt;"",COUNTIFS('QA Log'!D:D,A501,'QA Log'!M:M,"QQC",'QA Log'!L:L,"6. Essential Medicine Management",'QA Log'!Z:Z,"Approved"),"")</f>
        <v/>
      </c>
      <c r="P501" s="102" t="str">
        <f>IF(A501&lt;&gt;"",COUNTIFS('QA Log'!D:D,A501,'QA Log'!M:M,"QQC",'QA Log'!L:L,"7. Tracer Medicine",'QA Log'!Z:Z,"Approved"),"")</f>
        <v/>
      </c>
      <c r="Q501" s="102" t="str">
        <f>IF(A501&lt;&gt;"",COUNTIFS('QA Log'!D:D,A501,'QA Log'!M:M,"QQC",'QA Log'!L:L,"11. Additional Questions",'QA Log'!Z:Z,"Approved"),"")</f>
        <v/>
      </c>
      <c r="R501" s="102" t="str">
        <f>IF(A501="","",SUM(
COUNTIFS('QA Log'!D:D,A501,'QA Log'!M:M,"QQC",'QA Log'!Z:Z,"Rejected",'QA Log'!L:L,"*8. Maternity*"),
COUNTIFS('QA Log'!D:D,A501,'QA Log'!M:M,"QQC",'QA Log'!Z:Z,"Rejected",'QA Log'!L:L,"*EPI*"),
COUNTIFS('QA Log'!D:D,A501,'QA Log'!M:M,"QQC",'QA Log'!Z:Z,"Rejected",'QA Log'!L:L,"*10. Antenatal Care (ANC)*"),
COUNTIFS('QA Log'!D:D,A501,'QA Log'!M:M,"QQC",'QA Log'!Z:Z,"Rejected",'QA Log'!L:L,"*2. Hygiene and Sterilization*"),
COUNTIFS('QA Log'!D:D,A501,'QA Log'!M:M,"QQC",'QA Log'!Z:Z,"Rejected",'QA Log'!L:L,"*Family Planning*")))</f>
        <v/>
      </c>
      <c r="S501" s="106" t="str">
        <f t="shared" si="27"/>
        <v/>
      </c>
      <c r="T501" s="102" t="str">
        <f t="shared" si="28"/>
        <v/>
      </c>
      <c r="U501" s="102" t="str">
        <f>IF(A501="","",
SUM(
COUNTIFS('QA Log'!D:D,A501,'QA Log'!M:M,"QQC",'QA Log'!L:L,"*8. Maternity*"),
COUNTIFS('QA Log'!D:D,A501,'QA Log'!M:M,"QQC",'QA Log'!L:L,"*9. EPI and Pre-school Consultation*"),
COUNTIFS('QA Log'!D:D,A501,'QA Log'!M:M,"QQC",'QA Log'!L:L,"*10. Antenatal Care (ANC)*"),
COUNTIFS('QA Log'!D:D,A501,'QA Log'!M:M,"QQC",'QA Log'!L:L,"*2. Hygiene and Sterilization*"),
COUNTIFS('QA Log'!D:D,A501,'QA Log'!M:M,"QQC",'QA Log'!L:L,"*4. Family Planning*")
))</f>
        <v/>
      </c>
      <c r="V501" s="102" t="str">
        <f>IF(A501="","",
SUM(
COUNTIFS('QA Log'!D:D,A501,'QA Log'!M:M,"QQC",'QA Log'!Z:Z,"Approved",'QA Log'!L:L,"*8. Maternity*"),
COUNTIFS('QA Log'!D:D,A501,'QA Log'!M:M,"QQC",'QA Log'!Z:Z,"Approved",'QA Log'!L:L,"*9. EPI and Pre-school Consultation*"),
COUNTIFS('QA Log'!D:D,A501,'QA Log'!M:M,"QQC",'QA Log'!Z:Z,"Approved",'QA Log'!L:L,"*10. Antenatal Care (ANC)*"),
COUNTIFS('QA Log'!D:D,A501,'QA Log'!M:M,"QQC",'QA Log'!Z:Z,"Approved",'QA Log'!L:L,"*2. Hygiene and Sterilization*"),
COUNTIFS('QA Log'!D:D,A501,'QA Log'!M:M,"QQC",'QA Log'!Z:Z,"Approved",'QA Log'!L:L,"*4. Family Planning*")
))</f>
        <v/>
      </c>
      <c r="W501" s="102" t="str">
        <f>IF(A501&lt;&gt;"",COUNTIFS('QA Log'!D:D,A501,'QA Log'!M:M,"QQC",'QA Log'!L:L,"8. Maternity",'QA Log'!Z:Z,"Approved"),"")</f>
        <v/>
      </c>
      <c r="X501" s="105" t="str">
        <f>IF(A501&lt;&gt;"",COUNTIFS('QA Log'!D:D,A501,'QA Log'!M:M,"QQC",'QA Log'!L:L,"9. EPI and Pre-school Consultation",'QA Log'!Z:Z,"Approved"),"")</f>
        <v/>
      </c>
      <c r="Y501" s="102" t="str">
        <f>IF(A501&lt;&gt;"",COUNTIFS('QA Log'!D:D,A501,'QA Log'!M:M,"QQC",'QA Log'!L:L,"10. Antenatal Care (ANC)",'QA Log'!Z:Z,"Approved"),"")</f>
        <v/>
      </c>
      <c r="Z501" s="102" t="str">
        <f>IF(A501&lt;&gt;"",COUNTIFS('QA Log'!D:D,A501,'QA Log'!M:M,"QQC",'QA Log'!L:L,"2. Hygiene and Sterilization",'QA Log'!Z:Z,"Approved"),"")</f>
        <v/>
      </c>
      <c r="AA501" s="105" t="str">
        <f>IF(A501&lt;&gt;"",COUNTIFS('QA Log'!D:D,A501,'QA Log'!M:M,"QQC",'QA Log'!L:L,"4. Family Planning",'QA Log'!Z:Z,"Approved"),"")</f>
        <v/>
      </c>
      <c r="AB501" s="102" t="str">
        <f>IF(A501="","",
SUM(
COUNTIFS('QA Log'!D:D,A501,'QA Log'!M:M,"QQC",'QA Log'!Z:Z,"Rejected",'QA Log'!L:L,"*8. Maternity*"),
COUNTIFS('QA Log'!D:D,A501,'QA Log'!M:M,"QQC",'QA Log'!Z:Z,"Rejected",'QA Log'!L:L,"*9. EPI and Pre-school Consultation*"),
COUNTIFS('QA Log'!D:D,A501,'QA Log'!M:M,"QQC",'QA Log'!Z:Z,"Rejected",'QA Log'!L:L,"*10. Antenatal Care (ANC)*"),
COUNTIFS('QA Log'!D:D,A501,'QA Log'!M:M,"QQC",'QA Log'!Z:Z,"Rejected",'QA Log'!L:L,"*2. Hygiene and Sterilization*"),
COUNTIFS('QA Log'!D:D,A501,'QA Log'!M:M,"QQC",'QA Log'!Z:Z,"Rejected",'QA Log'!L:L,"*4. Family Planning*")
))</f>
        <v/>
      </c>
      <c r="AC501" s="102" t="str">
        <f t="shared" si="29"/>
        <v/>
      </c>
      <c r="AD501" s="103" t="str">
        <f t="shared" si="30"/>
        <v/>
      </c>
      <c r="AE501" s="102" t="str">
        <f>IF(A501="","",
SUM(
COUNTIFS('QA Log'!D:D,A501,'QA Log'!M:M,"Data Verification",'QA Log'!L:L,"*Medicine (section 2)*"),
COUNTIFS('QA Log'!D:D,A501,'QA Log'!M:M,"Data Verification",'QA Log'!L:L,"*Lab Testing Availability*"),
COUNTIFS('QA Log'!D:D,A501,'QA Log'!M:M,"Data Verification",'QA Log'!L:L,"*Other than P4P (section 6)*"),
COUNTIFS('QA Log'!D:D,A501,'QA Log'!M:M,"Data Verification",'QA Log'!L:L,"*Hospital Governance*")
))</f>
        <v/>
      </c>
      <c r="AF501" s="102" t="str">
        <f>IF(A501="","",
SUM(
COUNTIFS('QA Log'!D:D,A501,'QA Log'!M:M,"Data Verification",'QA Log'!Z:Z,"Approved",'QA Log'!L:L,"*Medicine (section 2)*"),
COUNTIFS('QA Log'!D:D,A501,'QA Log'!M:M,"Data Verification",'QA Log'!Z:Z,"Approved",'QA Log'!L:L,"*Lab Testing Availability*"),
COUNTIFS('QA Log'!D:D,A501,'QA Log'!M:M,"Data Verification",'QA Log'!Z:Z,"Approved",'QA Log'!L:L,"*Other than P4P (section 6)*"),
COUNTIFS('QA Log'!D:D,A501,'QA Log'!M:M,"Data Verification",'QA Log'!Z:Z,"Approved",'QA Log'!L:L,"*Hospital Governance*")
))</f>
        <v/>
      </c>
      <c r="AG501" s="105" t="str">
        <f>IF(A501&lt;&gt;"",COUNTIFS('QA Log'!D:D,A501,'QA Log'!M:M,"Data Verification",'QA Log'!L:L,"Medicine (section 2)",'QA Log'!Z:Z,"Approved"),"")</f>
        <v/>
      </c>
      <c r="AH501" s="105" t="str">
        <f>IF(A501&lt;&gt;"",COUNTIFS('QA Log'!D:D,A501,'QA Log'!M:M,"Data Verification",'QA Log'!L:L,"Lab Testing Availability",'QA Log'!Z:Z,"Approved"),"")</f>
        <v/>
      </c>
      <c r="AI501" s="105" t="str">
        <f>IF(A501&lt;&gt;"",COUNTIFS('QA Log'!D:D,A501,'QA Log'!M:M,"Data Verification",'QA Log'!L:L,"Other than P4P (section 6)",'QA Log'!Z:Z,"Approved"),"")</f>
        <v/>
      </c>
      <c r="AJ501" s="105" t="str">
        <f>IF(A501&lt;&gt;"",COUNTIFS('QA Log'!D:D,A501,'QA Log'!M:M,"Data Verification",'QA Log'!L:L,"Hospital Governance",'QA Log'!Z:Z,"Approved"),"")</f>
        <v/>
      </c>
      <c r="AK501" s="102" t="str">
        <f>IF(A501="","",
SUM(
COUNTIFS('QA Log'!D:D,A501,'QA Log'!M:M,"Data Verification",'QA Log'!Z:Z,"Rejected",'QA Log'!L:L,"*Medicine (section 2)*"),
COUNTIFS('QA Log'!D:D,A501,'QA Log'!M:M,"Data Verification",'QA Log'!Z:Z,"Rejected",'QA Log'!L:L,"*Lab Testing Availability*"),
COUNTIFS('QA Log'!D:D,A501,'QA Log'!M:M,"Data Verification",'QA Log'!Z:Z,"Rejected",'QA Log'!L:L,"*Other than P4P (section 6)*"),
COUNTIFS('QA Log'!D:D,A501,'QA Log'!M:M,"Data Verification",'QA Log'!Z:Z,"Rejected",'QA Log'!L:L,"*Hospital Governance*")
))</f>
        <v/>
      </c>
      <c r="AL501" s="106" t="str">
        <f t="shared" si="31"/>
        <v/>
      </c>
      <c r="AM501" s="102" t="str">
        <f t="shared" si="32"/>
        <v/>
      </c>
      <c r="AN501" s="102" t="str">
        <f>IF(A501="","",
SUM(
COUNTIFS('QA Log'!D:D,A501,'QA Log'!M:M,"Data Verification",'QA Log'!L:L,"*Personnel (section 1)*"),
COUNTIFS('QA Log'!D:D,A501,'QA Log'!M:M,"Data Verification",'QA Log'!L:L,"*Consumable (section 3)*"),
COUNTIFS('QA Log'!D:D,A501,'QA Log'!M:M,"Data Verification",'QA Log'!L:L,"*Equipments (section 4)*")
))</f>
        <v/>
      </c>
      <c r="AO501" s="102" t="str">
        <f>IF(A501="","",
SUM(
COUNTIFS('QA Log'!D:D,A501,'QA Log'!M:M,"Data Verification",'QA Log'!Z:Z,"Approved",'QA Log'!L:L,"*Personnel (section 1)*"),
COUNTIFS('QA Log'!D:D,A501,'QA Log'!M:M,"Data Verification",'QA Log'!Z:Z,"Approved",'QA Log'!L:L,"*Consumable (section 3)*"),
COUNTIFS('QA Log'!D:D,A501,'QA Log'!M:M,"Data Verification",'QA Log'!Z:Z,"Approved",'QA Log'!L:L,"*Equipments (section 4)*")
))</f>
        <v/>
      </c>
      <c r="AP501" s="105" t="str">
        <f>IF(A501&lt;&gt;"",COUNTIFS('QA Log'!D:D,A501,'QA Log'!M:M,"Data Verification",'QA Log'!L:L,"Personnel (section 1)",'QA Log'!Z:Z,"Approved"),"")</f>
        <v/>
      </c>
      <c r="AQ501" s="105" t="str">
        <f>IF(A501&lt;&gt;"",COUNTIFS('QA Log'!D:D,A501,'QA Log'!M:M,"Data Verification",'QA Log'!L:L,"Consumable (section 3)",'QA Log'!Z:Z,"Approved"),"")</f>
        <v/>
      </c>
      <c r="AR501" s="105" t="str">
        <f>IF(A501&lt;&gt;"",COUNTIFS('QA Log'!D:D,A501,'QA Log'!M:M,"Data Verification",'QA Log'!L:L,"Equipments (section 4)",'QA Log'!Z:Z,"Approved"),"")</f>
        <v/>
      </c>
      <c r="AS501" s="102" t="str">
        <f>IF(A501="","",
SUM(
COUNTIFS('QA Log'!D:D,A501,'QA Log'!M:M,"Data Verification",'QA Log'!Z:Z,"Rejected",'QA Log'!L:L,"*Personnel (section 1)*"),
COUNTIFS('QA Log'!D:D,A501,'QA Log'!M:M,"Data Verification",'QA Log'!Z:Z,"Rejected",'QA Log'!L:L,"*Consumable (section 3)*"),
COUNTIFS('QA Log'!D:D,A501,'QA Log'!M:M,"Data Verification",'QA Log'!Z:Z,"Rejected",'QA Log'!L:L,"*Equipments (section 4)*")
))</f>
        <v/>
      </c>
      <c r="AT501" s="102" t="str">
        <f t="shared" si="33"/>
        <v/>
      </c>
      <c r="AU501" s="103" t="str">
        <f t="shared" si="34"/>
        <v/>
      </c>
      <c r="AV501" s="102" t="str">
        <f>IF(A501="","",SUM(
COUNTIFS('QA Log'!D:D,A501,'QA Log'!M:M,"Vignette",'QA Log'!L:L,"*Vignette [1] Respiratory Infection: Pneumonia*"),
COUNTIFS('QA Log'!D:D,A501,'QA Log'!M:M,"Vignette",'QA Log'!L:L,"*Vignette [2]: Diarrhea with Cat B dehydration*"),
COUNTIFS('QA Log'!D:D,A501,'QA Log'!M:M,"Vignette",'QA Log'!L:L,"*Vignette [3] Growth Monitoring and Promotion*"),
COUNTIFS('QA Log'!D:D,A501,'QA Log'!M:M,"Vignette",'QA Log'!L:L,"*Vignette [4]: The management of presumptive TB patient*")
)
)</f>
        <v/>
      </c>
      <c r="AW501" s="102" t="str">
        <f>IF(
  A501="","",
  SUM(
    COUNTIFS('QA Log'!D:D,A501,'QA Log'!M:M,"Vignette",'QA Log'!Z:Z,"Approved",'QA Log'!L:L,"*Vignette [1] Respiratory Infection: Pneumonia*"),
    COUNTIFS('QA Log'!D:D,A501,'QA Log'!M:M,"Vignette",'QA Log'!Z:Z,"Approved",'QA Log'!L:L,"*Vignette [2]: Diarrhea with Cat B dehydration*"),
    COUNTIFS('QA Log'!D:D,A501,'QA Log'!M:M,"Vignette",'QA Log'!Z:Z,"Approved",'QA Log'!L:L,"*Vignette [3] Growth Monitoring and Promotion*"),
    COUNTIFS('QA Log'!D:D,A501,'QA Log'!M:M,"Vignette",'QA Log'!Z:Z,"Approved",'QA Log'!L:L,"*Vignette [4]: The management of presumptive TB patient*")
  )
)</f>
        <v/>
      </c>
      <c r="AX501" s="105" t="str">
        <f>IF(A501&lt;&gt;"",COUNTIFS('QA Log'!D:D,A501,'QA Log'!M:M,"Vignette",'QA Log'!L:L,"Vignette [1] Respiratory Infection: Pneumonia",'QA Log'!Z:Z,"Approved"),"")</f>
        <v/>
      </c>
      <c r="AY501" s="105" t="str">
        <f>IF(A501&lt;&gt;"",COUNTIFS('QA Log'!D:D,A501,'QA Log'!M:M,"Vignette",'QA Log'!L:L,"Vignette [2]: Diarrhea with Cat B dehydration",'QA Log'!Z:Z,"Approved"),"")</f>
        <v/>
      </c>
      <c r="AZ501" s="105" t="str">
        <f>IF(A501&lt;&gt;"",COUNTIFS('QA Log'!D:D,A501,'QA Log'!M:M,"Vignette",'QA Log'!L:L,"Vignette [3] Growth Monitoring and Promotion",'QA Log'!Z:Z,"Approved"),"")</f>
        <v/>
      </c>
      <c r="BA501" s="105" t="str">
        <f>IF(A501&lt;&gt;"",COUNTIFS('QA Log'!D:D,A501,'QA Log'!M:M,"Vignette",'QA Log'!L:L,"Vignette [4]: The management of presumptive TB patient",'QA Log'!Z:Z,"Approved"),"")</f>
        <v/>
      </c>
      <c r="BB501" s="102" t="str">
        <f>IF(A501="","",
  SUM(
    COUNTIFS('QA Log'!D:D,A501,'QA Log'!M:M,"Vignette",'QA Log'!Z:Z,"Rejected",'QA Log'!L:L,"*Vignette [1] Respiratory Infection: Pneumonia*"),
    COUNTIFS('QA Log'!D:D,A501,'QA Log'!M:M,"Vignette",'QA Log'!Z:Z,"Rejected",'QA Log'!L:L,"*Vignette [2]: Diarrhea with Cat B dehydration*"),
    COUNTIFS('QA Log'!D:D,A501,'QA Log'!M:M,"Vignette",'QA Log'!Z:Z,"Rejected",'QA Log'!L:L,"*Vignette [3] Growth Monitoring and Promotion*"),
    COUNTIFS('QA Log'!D:D,A501,'QA Log'!M:M,"Vignette",'QA Log'!Z:Z,"Rejected",'QA Log'!L:L,"*Vignette [4]: The management of presumptive TB patient*")
  )
)</f>
        <v/>
      </c>
      <c r="BC501" s="107" t="str">
        <f t="shared" si="35"/>
        <v/>
      </c>
      <c r="BD501" s="103" t="str">
        <f t="shared" si="36"/>
        <v/>
      </c>
      <c r="BE501" s="102" t="str">
        <f>IF(A501="","",SUM(
COUNTIFS('QA Log'!D:D,A501,'QA Log'!M:M,"Vignette",'QA Log'!L:L,"*Vignette [5] Labor*"),
COUNTIFS('QA Log'!D:D,A501,'QA Log'!M:M,"Vignette",'QA Log'!L:L,"*Vignette [6] PNC pre Discharge*"),
COUNTIFS('QA Log'!D:D,A501,'QA Log'!M:M,"Vignette",'QA Log'!L:L,"*Vignette [7] First ANC Visit*"),
COUNTIFS('QA Log'!D:D,A501,'QA Log'!M:M,"Vignette",'QA Log'!L:L,"*Vignette [8] Birth Spacing/ Family Planning :  FP Counselling*"),
COUNTIFS('QA Log'!D:D,A501,'QA Log'!M:M,"Vignette",'QA Log'!L:L,"*Vignette [9] Birth Spacing: Change FP method to Injectable*"),
COUNTIFS('QA Log'!D:D,A501,'QA Log'!M:M,"Vignette",'QA Log'!L:L,"*Vignette [10] Post Partum Haemorrhage - Atonic Uterus at Health Centre*"),
)
)</f>
        <v/>
      </c>
      <c r="BF501" s="102" t="str">
        <f>IF(A501="","",
  SUM(
    COUNTIFS('QA Log'!D:D,A501,'QA Log'!M:M,"Vignette",'QA Log'!Z:Z,"Approved",'QA Log'!L:L,"*Vignette [5] Labor*"),
    COUNTIFS('QA Log'!D:D,A501,'QA Log'!M:M,"Vignette",'QA Log'!Z:Z,"Approved",'QA Log'!L:L,"*Vignette [6] PNC pre Discharge*"),
    COUNTIFS('QA Log'!D:D,A501,'QA Log'!M:M,"Vignette",'QA Log'!Z:Z,"Approved",'QA Log'!L:L,"*Vignette [7] First ANC Visit*"),
    COUNTIFS('QA Log'!D:D,A501,'QA Log'!M:M,"Vignette",'QA Log'!Z:Z,"Approved",'QA Log'!L:L,"*Vignette [8] Birth Spacing/ Family Planning :  FP Counselling*"),
    COUNTIFS('QA Log'!D:D,A501,'QA Log'!M:M,"Vignette",'QA Log'!Z:Z,"Approved",'QA Log'!L:L,"*Vignette [9] Birth Spacing: Change FP method to Injectable*"),
    COUNTIFS('QA Log'!D:D,A501,'QA Log'!M:M,"Vignette",'QA Log'!Z:Z,"Approved",'QA Log'!L:L,"*Vignette [10] Post Partum Haemorrhage - Atonic Uterus at Health Centre*")
  )
)</f>
        <v/>
      </c>
      <c r="BG501" s="105" t="str">
        <f>IF(A501&lt;&gt;"",COUNTIFS('QA Log'!D:D,A501,'QA Log'!M:M,"Vignette",'QA Log'!L:L,"Vignette [5] Labor",'QA Log'!Z:Z,"Approved"),"")</f>
        <v/>
      </c>
      <c r="BH501" s="105" t="str">
        <f>IF(A501&lt;&gt;"",COUNTIFS('QA Log'!D:D,A501,'QA Log'!M:M,"Vignette",'QA Log'!L:L,"Vignette [6] PNC pre Discharge",'QA Log'!Z:Z,"Approved"),"")</f>
        <v/>
      </c>
      <c r="BI501" s="105" t="str">
        <f>IF(A501&lt;&gt;"",COUNTIFS('QA Log'!D:D,A501,'QA Log'!M:M,"Vignette",'QA Log'!L:L,"Vignette [7] First ANC Visit",'QA Log'!Z:Z,"Approved"),"")</f>
        <v/>
      </c>
      <c r="BJ501" s="105" t="str">
        <f>IF(A501&lt;&gt;"",COUNTIFS('QA Log'!D:D,A501,'QA Log'!M:M,"Vignette",'QA Log'!L:L,"Vignette [8] Birth Spacing/ Family Planning :  FP Counselling",'QA Log'!Z:Z,"Approved"),"")</f>
        <v/>
      </c>
      <c r="BK501" s="105" t="str">
        <f>IF(A501&lt;&gt;"",COUNTIFS('QA Log'!D:D,A501,'QA Log'!M:M,"Vignette",'QA Log'!L:L,"Vignette [9] Birth Spacing: Change FP method to Injectable",'QA Log'!Z:Z,"Approved"),"")</f>
        <v/>
      </c>
      <c r="BL501" s="105" t="str">
        <f>IF(A501&lt;&gt;"",COUNTIFS('QA Log'!D:D,A501,'QA Log'!M:M,"Vignette",'QA Log'!L:L,"Vignette [10] Post Partum Haemorrhage - Atonic Uterus at Health Centre",'QA Log'!Z:Z,"Approved"),"")</f>
        <v/>
      </c>
      <c r="BM501" s="102" t="str">
        <f>IF(A501="","",SUM(
    COUNTIFS('QA Log'!D:D,A501,'QA Log'!M:M,"Vignette",'QA Log'!Z:Z,"Rejected",'QA Log'!L:L,"*Vignette [5] Labor*"),
    COUNTIFS('QA Log'!D:D,A501,'QA Log'!M:M,"Vignette",'QA Log'!Z:Z,"Rejected",'QA Log'!L:L,"*Vignette [6] PNC pre Discharge*"),
    COUNTIFS('QA Log'!D:D,A501,'QA Log'!M:M,"Vignette",'QA Log'!Z:Z,"Rejected",'QA Log'!L:L,"*Vignette [7] First ANC Visit*"),
    COUNTIFS('QA Log'!D:D,A501,'QA Log'!M:M,"Vignette",'QA Log'!Z:Z,"Rejected",'QA Log'!L:L,"*Vignette [8] Birth Spacing/ Family Planning :  FP Counselling*"),
    COUNTIFS('QA Log'!D:D,A501,'QA Log'!M:M,"Vignette",'QA Log'!Z:Z,"Rejected",'QA Log'!L:L,"*Vignette [9] Birth Spacing: Change FP method to Injectable*"),
    COUNTIFS('QA Log'!D:D,A501,'QA Log'!M:M,"Vignette",'QA Log'!Z:Z,"Rejected",'QA Log'!L:L,"*Vignette [10] Post Partum Haemorrhage - Atonic Uterus at Health Centre*")
  )
)</f>
        <v/>
      </c>
      <c r="BN501" s="107" t="str">
        <f t="shared" si="37"/>
        <v/>
      </c>
      <c r="BO501" s="103" t="str">
        <f t="shared" si="38"/>
        <v/>
      </c>
      <c r="BP501" s="102" t="str">
        <f>IF(A501="","",SUM(
COUNTIFS('QA Log'!D:D,A501,'QA Log'!M:M,"Vignette",'QA Log'!L:L,"*Exit Interview 1*"),
COUNTIFS('QA Log'!D:D,A501,'QA Log'!M:M,"Vignette",'QA Log'!L:L,"*Exit Interview 2*"),
)
)</f>
        <v/>
      </c>
      <c r="BQ501" s="102" t="str">
        <f>IF(
  A501="","",
  SUM(
    COUNTIFS('QA Log'!D:D,A501,'QA Log'!M:M,"Vignette",'QA Log'!Z:Z,"Approved",'QA Log'!L:L,"*Exit Interview 1*"),
    COUNTIFS('QA Log'!D:D,A501,'QA Log'!M:M,"Vignette",'QA Log'!Z:Z,"Approved",'QA Log'!L:L,"*Exit Interview 2*")
  )
)</f>
        <v/>
      </c>
      <c r="BR501" s="105" t="str">
        <f>IF(A501&lt;&gt;"",COUNTIFS('QA Log'!D:D,A501,'QA Log'!M:M,"Vignette",'QA Log'!L:L,"Exit Interview 1",'QA Log'!Z:Z,"Approved"),"")</f>
        <v/>
      </c>
      <c r="BS501" s="105" t="str">
        <f>IF(A501&lt;&gt;"",COUNTIFS('QA Log'!D:D,A501,'QA Log'!M:M,"Vignette",'QA Log'!L:L,"Exit Interview 2",'QA Log'!Z:Z,"Approved"),"")</f>
        <v/>
      </c>
      <c r="BT501" s="102" t="str">
        <f>IF(
  A501="","",
  SUM(
    COUNTIFS('QA Log'!D:D,A501,'QA Log'!M:M,"Vignette",'QA Log'!Z:Z,"Rejected",'QA Log'!L:L,"*Exit Interview 1*"),
    COUNTIFS('QA Log'!D:D,A501,'QA Log'!M:M,"Vignette",'QA Log'!Z:Z,"Rejected",'QA Log'!L:L,"*Exit Interview 2*")
  )
)</f>
        <v/>
      </c>
      <c r="BU501" s="107" t="str">
        <f t="shared" si="39"/>
        <v/>
      </c>
      <c r="BV501" s="102" t="str">
        <f t="shared" si="40"/>
        <v/>
      </c>
      <c r="BW501" s="102" t="str">
        <f t="shared" si="41"/>
        <v/>
      </c>
      <c r="BX501" s="102" t="str">
        <f t="shared" si="42"/>
        <v/>
      </c>
      <c r="BY501" s="102" t="str">
        <f t="shared" si="43"/>
        <v/>
      </c>
      <c r="BZ501" s="107" t="str">
        <f t="shared" si="44"/>
        <v/>
      </c>
      <c r="CA501" s="108" t="str">
        <f t="shared" si="45"/>
        <v/>
      </c>
      <c r="CB501" s="108" t="str">
        <f t="shared" si="46"/>
        <v/>
      </c>
      <c r="CC501" s="109" t="str">
        <f t="shared" si="47"/>
        <v/>
      </c>
      <c r="CD501" s="108" t="str">
        <f t="shared" si="48"/>
        <v/>
      </c>
      <c r="CE501" s="108" t="str">
        <f t="shared" si="49"/>
        <v/>
      </c>
      <c r="CF501" s="109" t="str">
        <f t="shared" si="50"/>
        <v/>
      </c>
      <c r="CG501" s="110" t="str">
        <f t="shared" si="51"/>
        <v/>
      </c>
      <c r="CH501" s="111"/>
    </row>
    <row r="502" spans="1:86" ht="12.75">
      <c r="A502" s="101"/>
      <c r="B502" s="102" t="e">
        <f t="array" aca="1" ref="B502" ca="1">_xludf.XLOOKUP(A502,'QA Log'!D:D,'QA Log'!E:E,"")</f>
        <v>#NAME?</v>
      </c>
      <c r="C502" s="102" t="e">
        <f t="array" aca="1" ref="C502" ca="1">_xludf.XLOOKUP(A502,'QA Log'!D:D,'QA Log'!F:F,"")</f>
        <v>#NAME?</v>
      </c>
      <c r="D502" s="102" t="e">
        <f t="array" aca="1" ref="D502" ca="1">_xludf.XLOOKUP(A502,'QA Log'!D:D,'QA Log'!H:H,"")</f>
        <v>#NAME?</v>
      </c>
      <c r="E502" s="102" t="e">
        <f t="array" aca="1" ref="E502" ca="1">_xludf.XLOOKUP(A502,'QA Log'!D:D,'QA Log'!G:G,"")</f>
        <v>#NAME?</v>
      </c>
      <c r="F502" s="103"/>
      <c r="G502" s="104"/>
      <c r="H502" s="104"/>
      <c r="I502" s="103" t="str">
        <f t="shared" si="26"/>
        <v/>
      </c>
      <c r="J502" s="102" t="str">
        <f>IF(A502="","",SUM(
COUNTIFS('QA Log'!D:D,A502,'QA Log'!M:M,"QQC",'QA Log'!L:L,"*1. General Management*"),
COUNTIFS('QA Log'!D:D,A502,'QA Log'!M:M,"QQC",'QA Log'!L:L,"*3. Curative Consultation (OPD)*"),
COUNTIFS('QA Log'!D:D,A502,'QA Log'!M:M,"QQC",'QA Log'!L:L,"*5. Laboratory*"),
COUNTIFS('QA Log'!D:D,A502,'QA Log'!M:M,"QQC",'QA Log'!L:L,"*6. Essential Medicine Management*"),
COUNTIFS('QA Log'!D:D,A502,'QA Log'!M:M,"QQC",'QA Log'!L:L,"*7. Tracer Medicine*"),
COUNTIFS('QA Log'!D:D,A502,'QA Log'!M:M,"QQC",'QA Log'!L:L,"*11. Additional Questions*")))</f>
        <v/>
      </c>
      <c r="K502" s="102" t="str">
        <f>IF(A502="","",SUM(
COUNTIFS('QA Log'!D:D,A502,'QA Log'!M:M,"QQC",'QA Log'!Z:Z,"Approved",'QA Log'!L:L,"*1. General Management*"),
COUNTIFS('QA Log'!D:D,A502,'QA Log'!M:M,"QQC",'QA Log'!Z:Z,"Approved",'QA Log'!L:L,"*3. Curative Consultation (OPD)*"),
COUNTIFS('QA Log'!D:D,A502,'QA Log'!M:M,"QQC",'QA Log'!Z:Z,"Approved",'QA Log'!L:L,"*5. Laboratory*"),
COUNTIFS('QA Log'!D:D,A502,'QA Log'!M:M,"QQC",'QA Log'!Z:Z,"Approved",'QA Log'!L:L,"*6. Essential Medicine Management*"),
COUNTIFS('QA Log'!D:D,A502,'QA Log'!M:M,"QQC",'QA Log'!Z:Z,"Approved",'QA Log'!L:L,"*7. Tracer Medicine*"),
COUNTIFS('QA Log'!D:D,A502,'QA Log'!M:M,"QQC",'QA Log'!Z:Z,"Approved",'QA Log'!L:L,"*11. Additional Questions*")))</f>
        <v/>
      </c>
      <c r="L502" s="102" t="str">
        <f>IF(A502&lt;&gt;"",COUNTIFS('QA Log'!D:D,A502,'QA Log'!M:M,"QQC",'QA Log'!L:L,"1. General Management",'QA Log'!Z:Z,"Approved"),"")</f>
        <v/>
      </c>
      <c r="M502" s="102" t="str">
        <f>IF(A502&lt;&gt;"",COUNTIFS('QA Log'!D:D,A502,'QA Log'!M:M,"QQC",'QA Log'!L:L,"3. Curative Consultation (OPD)",'QA Log'!Z:Z,"Approved"),"")</f>
        <v/>
      </c>
      <c r="N502" s="102" t="str">
        <f>IF(A502&lt;&gt;"",COUNTIFS('QA Log'!D:D,A502,'QA Log'!M:M,"QQC",'QA Log'!L:L,"5. Laboratory",'QA Log'!Z:Z,"Approved"),"")</f>
        <v/>
      </c>
      <c r="O502" s="102" t="str">
        <f>IF(A502&lt;&gt;"",COUNTIFS('QA Log'!D:D,A502,'QA Log'!M:M,"QQC",'QA Log'!L:L,"6. Essential Medicine Management",'QA Log'!Z:Z,"Approved"),"")</f>
        <v/>
      </c>
      <c r="P502" s="102" t="str">
        <f>IF(A502&lt;&gt;"",COUNTIFS('QA Log'!D:D,A502,'QA Log'!M:M,"QQC",'QA Log'!L:L,"7. Tracer Medicine",'QA Log'!Z:Z,"Approved"),"")</f>
        <v/>
      </c>
      <c r="Q502" s="102" t="str">
        <f>IF(A502&lt;&gt;"",COUNTIFS('QA Log'!D:D,A502,'QA Log'!M:M,"QQC",'QA Log'!L:L,"11. Additional Questions",'QA Log'!Z:Z,"Approved"),"")</f>
        <v/>
      </c>
      <c r="R502" s="102" t="str">
        <f>IF(A502="","",SUM(
COUNTIFS('QA Log'!D:D,A502,'QA Log'!M:M,"QQC",'QA Log'!Z:Z,"Rejected",'QA Log'!L:L,"*8. Maternity*"),
COUNTIFS('QA Log'!D:D,A502,'QA Log'!M:M,"QQC",'QA Log'!Z:Z,"Rejected",'QA Log'!L:L,"*EPI*"),
COUNTIFS('QA Log'!D:D,A502,'QA Log'!M:M,"QQC",'QA Log'!Z:Z,"Rejected",'QA Log'!L:L,"*10. Antenatal Care (ANC)*"),
COUNTIFS('QA Log'!D:D,A502,'QA Log'!M:M,"QQC",'QA Log'!Z:Z,"Rejected",'QA Log'!L:L,"*2. Hygiene and Sterilization*"),
COUNTIFS('QA Log'!D:D,A502,'QA Log'!M:M,"QQC",'QA Log'!Z:Z,"Rejected",'QA Log'!L:L,"*Family Planning*")))</f>
        <v/>
      </c>
      <c r="S502" s="106" t="str">
        <f t="shared" si="27"/>
        <v/>
      </c>
      <c r="T502" s="102" t="str">
        <f t="shared" si="28"/>
        <v/>
      </c>
      <c r="U502" s="102" t="str">
        <f>IF(A502="","",
SUM(
COUNTIFS('QA Log'!D:D,A502,'QA Log'!M:M,"QQC",'QA Log'!L:L,"*8. Maternity*"),
COUNTIFS('QA Log'!D:D,A502,'QA Log'!M:M,"QQC",'QA Log'!L:L,"*9. EPI and Pre-school Consultation*"),
COUNTIFS('QA Log'!D:D,A502,'QA Log'!M:M,"QQC",'QA Log'!L:L,"*10. Antenatal Care (ANC)*"),
COUNTIFS('QA Log'!D:D,A502,'QA Log'!M:M,"QQC",'QA Log'!L:L,"*2. Hygiene and Sterilization*"),
COUNTIFS('QA Log'!D:D,A502,'QA Log'!M:M,"QQC",'QA Log'!L:L,"*4. Family Planning*")
))</f>
        <v/>
      </c>
      <c r="V502" s="102" t="str">
        <f>IF(A502="","",
SUM(
COUNTIFS('QA Log'!D:D,A502,'QA Log'!M:M,"QQC",'QA Log'!Z:Z,"Approved",'QA Log'!L:L,"*8. Maternity*"),
COUNTIFS('QA Log'!D:D,A502,'QA Log'!M:M,"QQC",'QA Log'!Z:Z,"Approved",'QA Log'!L:L,"*9. EPI and Pre-school Consultation*"),
COUNTIFS('QA Log'!D:D,A502,'QA Log'!M:M,"QQC",'QA Log'!Z:Z,"Approved",'QA Log'!L:L,"*10. Antenatal Care (ANC)*"),
COUNTIFS('QA Log'!D:D,A502,'QA Log'!M:M,"QQC",'QA Log'!Z:Z,"Approved",'QA Log'!L:L,"*2. Hygiene and Sterilization*"),
COUNTIFS('QA Log'!D:D,A502,'QA Log'!M:M,"QQC",'QA Log'!Z:Z,"Approved",'QA Log'!L:L,"*4. Family Planning*")
))</f>
        <v/>
      </c>
      <c r="W502" s="102" t="str">
        <f>IF(A502&lt;&gt;"",COUNTIFS('QA Log'!D:D,A502,'QA Log'!M:M,"QQC",'QA Log'!L:L,"8. Maternity",'QA Log'!Z:Z,"Approved"),"")</f>
        <v/>
      </c>
      <c r="X502" s="105" t="str">
        <f>IF(A502&lt;&gt;"",COUNTIFS('QA Log'!D:D,A502,'QA Log'!M:M,"QQC",'QA Log'!L:L,"9. EPI and Pre-school Consultation",'QA Log'!Z:Z,"Approved"),"")</f>
        <v/>
      </c>
      <c r="Y502" s="102" t="str">
        <f>IF(A502&lt;&gt;"",COUNTIFS('QA Log'!D:D,A502,'QA Log'!M:M,"QQC",'QA Log'!L:L,"10. Antenatal Care (ANC)",'QA Log'!Z:Z,"Approved"),"")</f>
        <v/>
      </c>
      <c r="Z502" s="102" t="str">
        <f>IF(A502&lt;&gt;"",COUNTIFS('QA Log'!D:D,A502,'QA Log'!M:M,"QQC",'QA Log'!L:L,"2. Hygiene and Sterilization",'QA Log'!Z:Z,"Approved"),"")</f>
        <v/>
      </c>
      <c r="AA502" s="105" t="str">
        <f>IF(A502&lt;&gt;"",COUNTIFS('QA Log'!D:D,A502,'QA Log'!M:M,"QQC",'QA Log'!L:L,"4. Family Planning",'QA Log'!Z:Z,"Approved"),"")</f>
        <v/>
      </c>
      <c r="AB502" s="102" t="str">
        <f>IF(A502="","",
SUM(
COUNTIFS('QA Log'!D:D,A502,'QA Log'!M:M,"QQC",'QA Log'!Z:Z,"Rejected",'QA Log'!L:L,"*8. Maternity*"),
COUNTIFS('QA Log'!D:D,A502,'QA Log'!M:M,"QQC",'QA Log'!Z:Z,"Rejected",'QA Log'!L:L,"*9. EPI and Pre-school Consultation*"),
COUNTIFS('QA Log'!D:D,A502,'QA Log'!M:M,"QQC",'QA Log'!Z:Z,"Rejected",'QA Log'!L:L,"*10. Antenatal Care (ANC)*"),
COUNTIFS('QA Log'!D:D,A502,'QA Log'!M:M,"QQC",'QA Log'!Z:Z,"Rejected",'QA Log'!L:L,"*2. Hygiene and Sterilization*"),
COUNTIFS('QA Log'!D:D,A502,'QA Log'!M:M,"QQC",'QA Log'!Z:Z,"Rejected",'QA Log'!L:L,"*4. Family Planning*")
))</f>
        <v/>
      </c>
      <c r="AC502" s="102" t="str">
        <f t="shared" si="29"/>
        <v/>
      </c>
      <c r="AD502" s="103" t="str">
        <f t="shared" si="30"/>
        <v/>
      </c>
      <c r="AE502" s="102" t="str">
        <f>IF(A502="","",
SUM(
COUNTIFS('QA Log'!D:D,A502,'QA Log'!M:M,"Data Verification",'QA Log'!L:L,"*Medicine (section 2)*"),
COUNTIFS('QA Log'!D:D,A502,'QA Log'!M:M,"Data Verification",'QA Log'!L:L,"*Lab Testing Availability*"),
COUNTIFS('QA Log'!D:D,A502,'QA Log'!M:M,"Data Verification",'QA Log'!L:L,"*Other than P4P (section 6)*"),
COUNTIFS('QA Log'!D:D,A502,'QA Log'!M:M,"Data Verification",'QA Log'!L:L,"*Hospital Governance*")
))</f>
        <v/>
      </c>
      <c r="AF502" s="102" t="str">
        <f>IF(A502="","",
SUM(
COUNTIFS('QA Log'!D:D,A502,'QA Log'!M:M,"Data Verification",'QA Log'!Z:Z,"Approved",'QA Log'!L:L,"*Medicine (section 2)*"),
COUNTIFS('QA Log'!D:D,A502,'QA Log'!M:M,"Data Verification",'QA Log'!Z:Z,"Approved",'QA Log'!L:L,"*Lab Testing Availability*"),
COUNTIFS('QA Log'!D:D,A502,'QA Log'!M:M,"Data Verification",'QA Log'!Z:Z,"Approved",'QA Log'!L:L,"*Other than P4P (section 6)*"),
COUNTIFS('QA Log'!D:D,A502,'QA Log'!M:M,"Data Verification",'QA Log'!Z:Z,"Approved",'QA Log'!L:L,"*Hospital Governance*")
))</f>
        <v/>
      </c>
      <c r="AG502" s="105" t="str">
        <f>IF(A502&lt;&gt;"",COUNTIFS('QA Log'!D:D,A502,'QA Log'!M:M,"Data Verification",'QA Log'!L:L,"Medicine (section 2)",'QA Log'!Z:Z,"Approved"),"")</f>
        <v/>
      </c>
      <c r="AH502" s="105" t="str">
        <f>IF(A502&lt;&gt;"",COUNTIFS('QA Log'!D:D,A502,'QA Log'!M:M,"Data Verification",'QA Log'!L:L,"Lab Testing Availability",'QA Log'!Z:Z,"Approved"),"")</f>
        <v/>
      </c>
      <c r="AI502" s="105" t="str">
        <f>IF(A502&lt;&gt;"",COUNTIFS('QA Log'!D:D,A502,'QA Log'!M:M,"Data Verification",'QA Log'!L:L,"Other than P4P (section 6)",'QA Log'!Z:Z,"Approved"),"")</f>
        <v/>
      </c>
      <c r="AJ502" s="105" t="str">
        <f>IF(A502&lt;&gt;"",COUNTIFS('QA Log'!D:D,A502,'QA Log'!M:M,"Data Verification",'QA Log'!L:L,"Hospital Governance",'QA Log'!Z:Z,"Approved"),"")</f>
        <v/>
      </c>
      <c r="AK502" s="102" t="str">
        <f>IF(A502="","",
SUM(
COUNTIFS('QA Log'!D:D,A502,'QA Log'!M:M,"Data Verification",'QA Log'!Z:Z,"Rejected",'QA Log'!L:L,"*Medicine (section 2)*"),
COUNTIFS('QA Log'!D:D,A502,'QA Log'!M:M,"Data Verification",'QA Log'!Z:Z,"Rejected",'QA Log'!L:L,"*Lab Testing Availability*"),
COUNTIFS('QA Log'!D:D,A502,'QA Log'!M:M,"Data Verification",'QA Log'!Z:Z,"Rejected",'QA Log'!L:L,"*Other than P4P (section 6)*"),
COUNTIFS('QA Log'!D:D,A502,'QA Log'!M:M,"Data Verification",'QA Log'!Z:Z,"Rejected",'QA Log'!L:L,"*Hospital Governance*")
))</f>
        <v/>
      </c>
      <c r="AL502" s="106" t="str">
        <f t="shared" si="31"/>
        <v/>
      </c>
      <c r="AM502" s="102" t="str">
        <f t="shared" si="32"/>
        <v/>
      </c>
      <c r="AN502" s="102" t="str">
        <f>IF(A502="","",
SUM(
COUNTIFS('QA Log'!D:D,A502,'QA Log'!M:M,"Data Verification",'QA Log'!L:L,"*Personnel (section 1)*"),
COUNTIFS('QA Log'!D:D,A502,'QA Log'!M:M,"Data Verification",'QA Log'!L:L,"*Consumable (section 3)*"),
COUNTIFS('QA Log'!D:D,A502,'QA Log'!M:M,"Data Verification",'QA Log'!L:L,"*Equipments (section 4)*")
))</f>
        <v/>
      </c>
      <c r="AO502" s="102" t="str">
        <f>IF(A502="","",
SUM(
COUNTIFS('QA Log'!D:D,A502,'QA Log'!M:M,"Data Verification",'QA Log'!Z:Z,"Approved",'QA Log'!L:L,"*Personnel (section 1)*"),
COUNTIFS('QA Log'!D:D,A502,'QA Log'!M:M,"Data Verification",'QA Log'!Z:Z,"Approved",'QA Log'!L:L,"*Consumable (section 3)*"),
COUNTIFS('QA Log'!D:D,A502,'QA Log'!M:M,"Data Verification",'QA Log'!Z:Z,"Approved",'QA Log'!L:L,"*Equipments (section 4)*")
))</f>
        <v/>
      </c>
      <c r="AP502" s="105" t="str">
        <f>IF(A502&lt;&gt;"",COUNTIFS('QA Log'!D:D,A502,'QA Log'!M:M,"Data Verification",'QA Log'!L:L,"Personnel (section 1)",'QA Log'!Z:Z,"Approved"),"")</f>
        <v/>
      </c>
      <c r="AQ502" s="105" t="str">
        <f>IF(A502&lt;&gt;"",COUNTIFS('QA Log'!D:D,A502,'QA Log'!M:M,"Data Verification",'QA Log'!L:L,"Consumable (section 3)",'QA Log'!Z:Z,"Approved"),"")</f>
        <v/>
      </c>
      <c r="AR502" s="105" t="str">
        <f>IF(A502&lt;&gt;"",COUNTIFS('QA Log'!D:D,A502,'QA Log'!M:M,"Data Verification",'QA Log'!L:L,"Equipments (section 4)",'QA Log'!Z:Z,"Approved"),"")</f>
        <v/>
      </c>
      <c r="AS502" s="102" t="str">
        <f>IF(A502="","",
SUM(
COUNTIFS('QA Log'!D:D,A502,'QA Log'!M:M,"Data Verification",'QA Log'!Z:Z,"Rejected",'QA Log'!L:L,"*Personnel (section 1)*"),
COUNTIFS('QA Log'!D:D,A502,'QA Log'!M:M,"Data Verification",'QA Log'!Z:Z,"Rejected",'QA Log'!L:L,"*Consumable (section 3)*"),
COUNTIFS('QA Log'!D:D,A502,'QA Log'!M:M,"Data Verification",'QA Log'!Z:Z,"Rejected",'QA Log'!L:L,"*Equipments (section 4)*")
))</f>
        <v/>
      </c>
      <c r="AT502" s="102" t="str">
        <f t="shared" si="33"/>
        <v/>
      </c>
      <c r="AU502" s="103" t="str">
        <f t="shared" si="34"/>
        <v/>
      </c>
      <c r="AV502" s="102" t="str">
        <f>IF(A502="","",SUM(
COUNTIFS('QA Log'!D:D,A502,'QA Log'!M:M,"Vignette",'QA Log'!L:L,"*Vignette [1] Respiratory Infection: Pneumonia*"),
COUNTIFS('QA Log'!D:D,A502,'QA Log'!M:M,"Vignette",'QA Log'!L:L,"*Vignette [2]: Diarrhea with Cat B dehydration*"),
COUNTIFS('QA Log'!D:D,A502,'QA Log'!M:M,"Vignette",'QA Log'!L:L,"*Vignette [3] Growth Monitoring and Promotion*"),
COUNTIFS('QA Log'!D:D,A502,'QA Log'!M:M,"Vignette",'QA Log'!L:L,"*Vignette [4]: The management of presumptive TB patient*")
)
)</f>
        <v/>
      </c>
      <c r="AW502" s="102" t="str">
        <f>IF(
  A502="","",
  SUM(
    COUNTIFS('QA Log'!D:D,A502,'QA Log'!M:M,"Vignette",'QA Log'!Z:Z,"Approved",'QA Log'!L:L,"*Vignette [1] Respiratory Infection: Pneumonia*"),
    COUNTIFS('QA Log'!D:D,A502,'QA Log'!M:M,"Vignette",'QA Log'!Z:Z,"Approved",'QA Log'!L:L,"*Vignette [2]: Diarrhea with Cat B dehydration*"),
    COUNTIFS('QA Log'!D:D,A502,'QA Log'!M:M,"Vignette",'QA Log'!Z:Z,"Approved",'QA Log'!L:L,"*Vignette [3] Growth Monitoring and Promotion*"),
    COUNTIFS('QA Log'!D:D,A502,'QA Log'!M:M,"Vignette",'QA Log'!Z:Z,"Approved",'QA Log'!L:L,"*Vignette [4]: The management of presumptive TB patient*")
  )
)</f>
        <v/>
      </c>
      <c r="AX502" s="105" t="str">
        <f>IF(A502&lt;&gt;"",COUNTIFS('QA Log'!D:D,A502,'QA Log'!M:M,"Vignette",'QA Log'!L:L,"Vignette [1] Respiratory Infection: Pneumonia",'QA Log'!Z:Z,"Approved"),"")</f>
        <v/>
      </c>
      <c r="AY502" s="105" t="str">
        <f>IF(A502&lt;&gt;"",COUNTIFS('QA Log'!D:D,A502,'QA Log'!M:M,"Vignette",'QA Log'!L:L,"Vignette [2]: Diarrhea with Cat B dehydration",'QA Log'!Z:Z,"Approved"),"")</f>
        <v/>
      </c>
      <c r="AZ502" s="105" t="str">
        <f>IF(A502&lt;&gt;"",COUNTIFS('QA Log'!D:D,A502,'QA Log'!M:M,"Vignette",'QA Log'!L:L,"Vignette [3] Growth Monitoring and Promotion",'QA Log'!Z:Z,"Approved"),"")</f>
        <v/>
      </c>
      <c r="BA502" s="105" t="str">
        <f>IF(A502&lt;&gt;"",COUNTIFS('QA Log'!D:D,A502,'QA Log'!M:M,"Vignette",'QA Log'!L:L,"Vignette [4]: The management of presumptive TB patient",'QA Log'!Z:Z,"Approved"),"")</f>
        <v/>
      </c>
      <c r="BB502" s="102" t="str">
        <f>IF(A502="","",
  SUM(
    COUNTIFS('QA Log'!D:D,A502,'QA Log'!M:M,"Vignette",'QA Log'!Z:Z,"Rejected",'QA Log'!L:L,"*Vignette [1] Respiratory Infection: Pneumonia*"),
    COUNTIFS('QA Log'!D:D,A502,'QA Log'!M:M,"Vignette",'QA Log'!Z:Z,"Rejected",'QA Log'!L:L,"*Vignette [2]: Diarrhea with Cat B dehydration*"),
    COUNTIFS('QA Log'!D:D,A502,'QA Log'!M:M,"Vignette",'QA Log'!Z:Z,"Rejected",'QA Log'!L:L,"*Vignette [3] Growth Monitoring and Promotion*"),
    COUNTIFS('QA Log'!D:D,A502,'QA Log'!M:M,"Vignette",'QA Log'!Z:Z,"Rejected",'QA Log'!L:L,"*Vignette [4]: The management of presumptive TB patient*")
  )
)</f>
        <v/>
      </c>
      <c r="BC502" s="107" t="str">
        <f t="shared" si="35"/>
        <v/>
      </c>
      <c r="BD502" s="103" t="str">
        <f t="shared" si="36"/>
        <v/>
      </c>
      <c r="BE502" s="102" t="str">
        <f>IF(A502="","",SUM(
COUNTIFS('QA Log'!D:D,A502,'QA Log'!M:M,"Vignette",'QA Log'!L:L,"*Vignette [5] Labor*"),
COUNTIFS('QA Log'!D:D,A502,'QA Log'!M:M,"Vignette",'QA Log'!L:L,"*Vignette [6] PNC pre Discharge*"),
COUNTIFS('QA Log'!D:D,A502,'QA Log'!M:M,"Vignette",'QA Log'!L:L,"*Vignette [7] First ANC Visit*"),
COUNTIFS('QA Log'!D:D,A502,'QA Log'!M:M,"Vignette",'QA Log'!L:L,"*Vignette [8] Birth Spacing/ Family Planning :  FP Counselling*"),
COUNTIFS('QA Log'!D:D,A502,'QA Log'!M:M,"Vignette",'QA Log'!L:L,"*Vignette [9] Birth Spacing: Change FP method to Injectable*"),
COUNTIFS('QA Log'!D:D,A502,'QA Log'!M:M,"Vignette",'QA Log'!L:L,"*Vignette [10] Post Partum Haemorrhage - Atonic Uterus at Health Centre*"),
)
)</f>
        <v/>
      </c>
      <c r="BF502" s="102" t="str">
        <f>IF(A502="","",
  SUM(
    COUNTIFS('QA Log'!D:D,A502,'QA Log'!M:M,"Vignette",'QA Log'!Z:Z,"Approved",'QA Log'!L:L,"*Vignette [5] Labor*"),
    COUNTIFS('QA Log'!D:D,A502,'QA Log'!M:M,"Vignette",'QA Log'!Z:Z,"Approved",'QA Log'!L:L,"*Vignette [6] PNC pre Discharge*"),
    COUNTIFS('QA Log'!D:D,A502,'QA Log'!M:M,"Vignette",'QA Log'!Z:Z,"Approved",'QA Log'!L:L,"*Vignette [7] First ANC Visit*"),
    COUNTIFS('QA Log'!D:D,A502,'QA Log'!M:M,"Vignette",'QA Log'!Z:Z,"Approved",'QA Log'!L:L,"*Vignette [8] Birth Spacing/ Family Planning :  FP Counselling*"),
    COUNTIFS('QA Log'!D:D,A502,'QA Log'!M:M,"Vignette",'QA Log'!Z:Z,"Approved",'QA Log'!L:L,"*Vignette [9] Birth Spacing: Change FP method to Injectable*"),
    COUNTIFS('QA Log'!D:D,A502,'QA Log'!M:M,"Vignette",'QA Log'!Z:Z,"Approved",'QA Log'!L:L,"*Vignette [10] Post Partum Haemorrhage - Atonic Uterus at Health Centre*")
  )
)</f>
        <v/>
      </c>
      <c r="BG502" s="105" t="str">
        <f>IF(A502&lt;&gt;"",COUNTIFS('QA Log'!D:D,A502,'QA Log'!M:M,"Vignette",'QA Log'!L:L,"Vignette [5] Labor",'QA Log'!Z:Z,"Approved"),"")</f>
        <v/>
      </c>
      <c r="BH502" s="105" t="str">
        <f>IF(A502&lt;&gt;"",COUNTIFS('QA Log'!D:D,A502,'QA Log'!M:M,"Vignette",'QA Log'!L:L,"Vignette [6] PNC pre Discharge",'QA Log'!Z:Z,"Approved"),"")</f>
        <v/>
      </c>
      <c r="BI502" s="105" t="str">
        <f>IF(A502&lt;&gt;"",COUNTIFS('QA Log'!D:D,A502,'QA Log'!M:M,"Vignette",'QA Log'!L:L,"Vignette [7] First ANC Visit",'QA Log'!Z:Z,"Approved"),"")</f>
        <v/>
      </c>
      <c r="BJ502" s="105" t="str">
        <f>IF(A502&lt;&gt;"",COUNTIFS('QA Log'!D:D,A502,'QA Log'!M:M,"Vignette",'QA Log'!L:L,"Vignette [8] Birth Spacing/ Family Planning :  FP Counselling",'QA Log'!Z:Z,"Approved"),"")</f>
        <v/>
      </c>
      <c r="BK502" s="105" t="str">
        <f>IF(A502&lt;&gt;"",COUNTIFS('QA Log'!D:D,A502,'QA Log'!M:M,"Vignette",'QA Log'!L:L,"Vignette [9] Birth Spacing: Change FP method to Injectable",'QA Log'!Z:Z,"Approved"),"")</f>
        <v/>
      </c>
      <c r="BL502" s="105" t="str">
        <f>IF(A502&lt;&gt;"",COUNTIFS('QA Log'!D:D,A502,'QA Log'!M:M,"Vignette",'QA Log'!L:L,"Vignette [10] Post Partum Haemorrhage - Atonic Uterus at Health Centre",'QA Log'!Z:Z,"Approved"),"")</f>
        <v/>
      </c>
      <c r="BM502" s="102" t="str">
        <f>IF(A502="","",SUM(
    COUNTIFS('QA Log'!D:D,A502,'QA Log'!M:M,"Vignette",'QA Log'!Z:Z,"Rejected",'QA Log'!L:L,"*Vignette [5] Labor*"),
    COUNTIFS('QA Log'!D:D,A502,'QA Log'!M:M,"Vignette",'QA Log'!Z:Z,"Rejected",'QA Log'!L:L,"*Vignette [6] PNC pre Discharge*"),
    COUNTIFS('QA Log'!D:D,A502,'QA Log'!M:M,"Vignette",'QA Log'!Z:Z,"Rejected",'QA Log'!L:L,"*Vignette [7] First ANC Visit*"),
    COUNTIFS('QA Log'!D:D,A502,'QA Log'!M:M,"Vignette",'QA Log'!Z:Z,"Rejected",'QA Log'!L:L,"*Vignette [8] Birth Spacing/ Family Planning :  FP Counselling*"),
    COUNTIFS('QA Log'!D:D,A502,'QA Log'!M:M,"Vignette",'QA Log'!Z:Z,"Rejected",'QA Log'!L:L,"*Vignette [9] Birth Spacing: Change FP method to Injectable*"),
    COUNTIFS('QA Log'!D:D,A502,'QA Log'!M:M,"Vignette",'QA Log'!Z:Z,"Rejected",'QA Log'!L:L,"*Vignette [10] Post Partum Haemorrhage - Atonic Uterus at Health Centre*")
  )
)</f>
        <v/>
      </c>
      <c r="BN502" s="107" t="str">
        <f t="shared" si="37"/>
        <v/>
      </c>
      <c r="BO502" s="103" t="str">
        <f t="shared" si="38"/>
        <v/>
      </c>
      <c r="BP502" s="102" t="str">
        <f>IF(A502="","",SUM(
COUNTIFS('QA Log'!D:D,A502,'QA Log'!M:M,"Vignette",'QA Log'!L:L,"*Exit Interview 1*"),
COUNTIFS('QA Log'!D:D,A502,'QA Log'!M:M,"Vignette",'QA Log'!L:L,"*Exit Interview 2*"),
)
)</f>
        <v/>
      </c>
      <c r="BQ502" s="102" t="str">
        <f>IF(
  A502="","",
  SUM(
    COUNTIFS('QA Log'!D:D,A502,'QA Log'!M:M,"Vignette",'QA Log'!Z:Z,"Approved",'QA Log'!L:L,"*Exit Interview 1*"),
    COUNTIFS('QA Log'!D:D,A502,'QA Log'!M:M,"Vignette",'QA Log'!Z:Z,"Approved",'QA Log'!L:L,"*Exit Interview 2*")
  )
)</f>
        <v/>
      </c>
      <c r="BR502" s="105" t="str">
        <f>IF(A502&lt;&gt;"",COUNTIFS('QA Log'!D:D,A502,'QA Log'!M:M,"Vignette",'QA Log'!L:L,"Exit Interview 1",'QA Log'!Z:Z,"Approved"),"")</f>
        <v/>
      </c>
      <c r="BS502" s="105" t="str">
        <f>IF(A502&lt;&gt;"",COUNTIFS('QA Log'!D:D,A502,'QA Log'!M:M,"Vignette",'QA Log'!L:L,"Exit Interview 2",'QA Log'!Z:Z,"Approved"),"")</f>
        <v/>
      </c>
      <c r="BT502" s="102" t="str">
        <f>IF(
  A502="","",
  SUM(
    COUNTIFS('QA Log'!D:D,A502,'QA Log'!M:M,"Vignette",'QA Log'!Z:Z,"Rejected",'QA Log'!L:L,"*Exit Interview 1*"),
    COUNTIFS('QA Log'!D:D,A502,'QA Log'!M:M,"Vignette",'QA Log'!Z:Z,"Rejected",'QA Log'!L:L,"*Exit Interview 2*")
  )
)</f>
        <v/>
      </c>
      <c r="BU502" s="107" t="str">
        <f t="shared" si="39"/>
        <v/>
      </c>
      <c r="BV502" s="102" t="str">
        <f t="shared" si="40"/>
        <v/>
      </c>
      <c r="BW502" s="102" t="str">
        <f t="shared" si="41"/>
        <v/>
      </c>
      <c r="BX502" s="102" t="str">
        <f t="shared" si="42"/>
        <v/>
      </c>
      <c r="BY502" s="102" t="str">
        <f t="shared" si="43"/>
        <v/>
      </c>
      <c r="BZ502" s="107" t="str">
        <f t="shared" si="44"/>
        <v/>
      </c>
      <c r="CA502" s="108" t="str">
        <f t="shared" si="45"/>
        <v/>
      </c>
      <c r="CB502" s="108" t="str">
        <f t="shared" si="46"/>
        <v/>
      </c>
      <c r="CC502" s="109" t="str">
        <f t="shared" si="47"/>
        <v/>
      </c>
      <c r="CD502" s="108" t="str">
        <f t="shared" si="48"/>
        <v/>
      </c>
      <c r="CE502" s="108" t="str">
        <f t="shared" si="49"/>
        <v/>
      </c>
      <c r="CF502" s="109" t="str">
        <f t="shared" si="50"/>
        <v/>
      </c>
      <c r="CG502" s="110" t="str">
        <f t="shared" si="51"/>
        <v/>
      </c>
      <c r="CH502" s="111"/>
    </row>
    <row r="503" spans="1:86" ht="12.75">
      <c r="A503" s="101"/>
      <c r="B503" s="102" t="e">
        <f t="array" aca="1" ref="B503" ca="1">_xludf.XLOOKUP(A503,'QA Log'!D:D,'QA Log'!E:E,"")</f>
        <v>#NAME?</v>
      </c>
      <c r="C503" s="102" t="e">
        <f t="array" aca="1" ref="C503" ca="1">_xludf.XLOOKUP(A503,'QA Log'!D:D,'QA Log'!F:F,"")</f>
        <v>#NAME?</v>
      </c>
      <c r="D503" s="102" t="e">
        <f t="array" aca="1" ref="D503" ca="1">_xludf.XLOOKUP(A503,'QA Log'!D:D,'QA Log'!H:H,"")</f>
        <v>#NAME?</v>
      </c>
      <c r="E503" s="102" t="e">
        <f t="array" aca="1" ref="E503" ca="1">_xludf.XLOOKUP(A503,'QA Log'!D:D,'QA Log'!G:G,"")</f>
        <v>#NAME?</v>
      </c>
      <c r="F503" s="103"/>
      <c r="G503" s="104"/>
      <c r="H503" s="104"/>
      <c r="I503" s="103" t="str">
        <f t="shared" si="26"/>
        <v/>
      </c>
      <c r="J503" s="102" t="str">
        <f>IF(A503="","",SUM(
COUNTIFS('QA Log'!D:D,A503,'QA Log'!M:M,"QQC",'QA Log'!L:L,"*1. General Management*"),
COUNTIFS('QA Log'!D:D,A503,'QA Log'!M:M,"QQC",'QA Log'!L:L,"*3. Curative Consultation (OPD)*"),
COUNTIFS('QA Log'!D:D,A503,'QA Log'!M:M,"QQC",'QA Log'!L:L,"*5. Laboratory*"),
COUNTIFS('QA Log'!D:D,A503,'QA Log'!M:M,"QQC",'QA Log'!L:L,"*6. Essential Medicine Management*"),
COUNTIFS('QA Log'!D:D,A503,'QA Log'!M:M,"QQC",'QA Log'!L:L,"*7. Tracer Medicine*"),
COUNTIFS('QA Log'!D:D,A503,'QA Log'!M:M,"QQC",'QA Log'!L:L,"*11. Additional Questions*")))</f>
        <v/>
      </c>
      <c r="K503" s="102" t="str">
        <f>IF(A503="","",SUM(
COUNTIFS('QA Log'!D:D,A503,'QA Log'!M:M,"QQC",'QA Log'!Z:Z,"Approved",'QA Log'!L:L,"*1. General Management*"),
COUNTIFS('QA Log'!D:D,A503,'QA Log'!M:M,"QQC",'QA Log'!Z:Z,"Approved",'QA Log'!L:L,"*3. Curative Consultation (OPD)*"),
COUNTIFS('QA Log'!D:D,A503,'QA Log'!M:M,"QQC",'QA Log'!Z:Z,"Approved",'QA Log'!L:L,"*5. Laboratory*"),
COUNTIFS('QA Log'!D:D,A503,'QA Log'!M:M,"QQC",'QA Log'!Z:Z,"Approved",'QA Log'!L:L,"*6. Essential Medicine Management*"),
COUNTIFS('QA Log'!D:D,A503,'QA Log'!M:M,"QQC",'QA Log'!Z:Z,"Approved",'QA Log'!L:L,"*7. Tracer Medicine*"),
COUNTIFS('QA Log'!D:D,A503,'QA Log'!M:M,"QQC",'QA Log'!Z:Z,"Approved",'QA Log'!L:L,"*11. Additional Questions*")))</f>
        <v/>
      </c>
      <c r="L503" s="102" t="str">
        <f>IF(A503&lt;&gt;"",COUNTIFS('QA Log'!D:D,A503,'QA Log'!M:M,"QQC",'QA Log'!L:L,"1. General Management",'QA Log'!Z:Z,"Approved"),"")</f>
        <v/>
      </c>
      <c r="M503" s="102" t="str">
        <f>IF(A503&lt;&gt;"",COUNTIFS('QA Log'!D:D,A503,'QA Log'!M:M,"QQC",'QA Log'!L:L,"3. Curative Consultation (OPD)",'QA Log'!Z:Z,"Approved"),"")</f>
        <v/>
      </c>
      <c r="N503" s="102" t="str">
        <f>IF(A503&lt;&gt;"",COUNTIFS('QA Log'!D:D,A503,'QA Log'!M:M,"QQC",'QA Log'!L:L,"5. Laboratory",'QA Log'!Z:Z,"Approved"),"")</f>
        <v/>
      </c>
      <c r="O503" s="102" t="str">
        <f>IF(A503&lt;&gt;"",COUNTIFS('QA Log'!D:D,A503,'QA Log'!M:M,"QQC",'QA Log'!L:L,"6. Essential Medicine Management",'QA Log'!Z:Z,"Approved"),"")</f>
        <v/>
      </c>
      <c r="P503" s="102" t="str">
        <f>IF(A503&lt;&gt;"",COUNTIFS('QA Log'!D:D,A503,'QA Log'!M:M,"QQC",'QA Log'!L:L,"7. Tracer Medicine",'QA Log'!Z:Z,"Approved"),"")</f>
        <v/>
      </c>
      <c r="Q503" s="102" t="str">
        <f>IF(A503&lt;&gt;"",COUNTIFS('QA Log'!D:D,A503,'QA Log'!M:M,"QQC",'QA Log'!L:L,"11. Additional Questions",'QA Log'!Z:Z,"Approved"),"")</f>
        <v/>
      </c>
      <c r="R503" s="102" t="str">
        <f>IF(A503="","",SUM(
COUNTIFS('QA Log'!D:D,A503,'QA Log'!M:M,"QQC",'QA Log'!Z:Z,"Rejected",'QA Log'!L:L,"*8. Maternity*"),
COUNTIFS('QA Log'!D:D,A503,'QA Log'!M:M,"QQC",'QA Log'!Z:Z,"Rejected",'QA Log'!L:L,"*EPI*"),
COUNTIFS('QA Log'!D:D,A503,'QA Log'!M:M,"QQC",'QA Log'!Z:Z,"Rejected",'QA Log'!L:L,"*10. Antenatal Care (ANC)*"),
COUNTIFS('QA Log'!D:D,A503,'QA Log'!M:M,"QQC",'QA Log'!Z:Z,"Rejected",'QA Log'!L:L,"*2. Hygiene and Sterilization*"),
COUNTIFS('QA Log'!D:D,A503,'QA Log'!M:M,"QQC",'QA Log'!Z:Z,"Rejected",'QA Log'!L:L,"*Family Planning*")))</f>
        <v/>
      </c>
      <c r="S503" s="106" t="str">
        <f t="shared" si="27"/>
        <v/>
      </c>
      <c r="T503" s="102" t="str">
        <f t="shared" si="28"/>
        <v/>
      </c>
      <c r="U503" s="102" t="str">
        <f>IF(A503="","",
SUM(
COUNTIFS('QA Log'!D:D,A503,'QA Log'!M:M,"QQC",'QA Log'!L:L,"*8. Maternity*"),
COUNTIFS('QA Log'!D:D,A503,'QA Log'!M:M,"QQC",'QA Log'!L:L,"*9. EPI and Pre-school Consultation*"),
COUNTIFS('QA Log'!D:D,A503,'QA Log'!M:M,"QQC",'QA Log'!L:L,"*10. Antenatal Care (ANC)*"),
COUNTIFS('QA Log'!D:D,A503,'QA Log'!M:M,"QQC",'QA Log'!L:L,"*2. Hygiene and Sterilization*"),
COUNTIFS('QA Log'!D:D,A503,'QA Log'!M:M,"QQC",'QA Log'!L:L,"*4. Family Planning*")
))</f>
        <v/>
      </c>
      <c r="V503" s="102" t="str">
        <f>IF(A503="","",
SUM(
COUNTIFS('QA Log'!D:D,A503,'QA Log'!M:M,"QQC",'QA Log'!Z:Z,"Approved",'QA Log'!L:L,"*8. Maternity*"),
COUNTIFS('QA Log'!D:D,A503,'QA Log'!M:M,"QQC",'QA Log'!Z:Z,"Approved",'QA Log'!L:L,"*9. EPI and Pre-school Consultation*"),
COUNTIFS('QA Log'!D:D,A503,'QA Log'!M:M,"QQC",'QA Log'!Z:Z,"Approved",'QA Log'!L:L,"*10. Antenatal Care (ANC)*"),
COUNTIFS('QA Log'!D:D,A503,'QA Log'!M:M,"QQC",'QA Log'!Z:Z,"Approved",'QA Log'!L:L,"*2. Hygiene and Sterilization*"),
COUNTIFS('QA Log'!D:D,A503,'QA Log'!M:M,"QQC",'QA Log'!Z:Z,"Approved",'QA Log'!L:L,"*4. Family Planning*")
))</f>
        <v/>
      </c>
      <c r="W503" s="102" t="str">
        <f>IF(A503&lt;&gt;"",COUNTIFS('QA Log'!D:D,A503,'QA Log'!M:M,"QQC",'QA Log'!L:L,"8. Maternity",'QA Log'!Z:Z,"Approved"),"")</f>
        <v/>
      </c>
      <c r="X503" s="105" t="str">
        <f>IF(A503&lt;&gt;"",COUNTIFS('QA Log'!D:D,A503,'QA Log'!M:M,"QQC",'QA Log'!L:L,"9. EPI and Pre-school Consultation",'QA Log'!Z:Z,"Approved"),"")</f>
        <v/>
      </c>
      <c r="Y503" s="102" t="str">
        <f>IF(A503&lt;&gt;"",COUNTIFS('QA Log'!D:D,A503,'QA Log'!M:M,"QQC",'QA Log'!L:L,"10. Antenatal Care (ANC)",'QA Log'!Z:Z,"Approved"),"")</f>
        <v/>
      </c>
      <c r="Z503" s="102" t="str">
        <f>IF(A503&lt;&gt;"",COUNTIFS('QA Log'!D:D,A503,'QA Log'!M:M,"QQC",'QA Log'!L:L,"2. Hygiene and Sterilization",'QA Log'!Z:Z,"Approved"),"")</f>
        <v/>
      </c>
      <c r="AA503" s="105" t="str">
        <f>IF(A503&lt;&gt;"",COUNTIFS('QA Log'!D:D,A503,'QA Log'!M:M,"QQC",'QA Log'!L:L,"4. Family Planning",'QA Log'!Z:Z,"Approved"),"")</f>
        <v/>
      </c>
      <c r="AB503" s="102" t="str">
        <f>IF(A503="","",
SUM(
COUNTIFS('QA Log'!D:D,A503,'QA Log'!M:M,"QQC",'QA Log'!Z:Z,"Rejected",'QA Log'!L:L,"*8. Maternity*"),
COUNTIFS('QA Log'!D:D,A503,'QA Log'!M:M,"QQC",'QA Log'!Z:Z,"Rejected",'QA Log'!L:L,"*9. EPI and Pre-school Consultation*"),
COUNTIFS('QA Log'!D:D,A503,'QA Log'!M:M,"QQC",'QA Log'!Z:Z,"Rejected",'QA Log'!L:L,"*10. Antenatal Care (ANC)*"),
COUNTIFS('QA Log'!D:D,A503,'QA Log'!M:M,"QQC",'QA Log'!Z:Z,"Rejected",'QA Log'!L:L,"*2. Hygiene and Sterilization*"),
COUNTIFS('QA Log'!D:D,A503,'QA Log'!M:M,"QQC",'QA Log'!Z:Z,"Rejected",'QA Log'!L:L,"*4. Family Planning*")
))</f>
        <v/>
      </c>
      <c r="AC503" s="102" t="str">
        <f t="shared" si="29"/>
        <v/>
      </c>
      <c r="AD503" s="103" t="str">
        <f t="shared" si="30"/>
        <v/>
      </c>
      <c r="AE503" s="102" t="str">
        <f>IF(A503="","",
SUM(
COUNTIFS('QA Log'!D:D,A503,'QA Log'!M:M,"Data Verification",'QA Log'!L:L,"*Medicine (section 2)*"),
COUNTIFS('QA Log'!D:D,A503,'QA Log'!M:M,"Data Verification",'QA Log'!L:L,"*Lab Testing Availability*"),
COUNTIFS('QA Log'!D:D,A503,'QA Log'!M:M,"Data Verification",'QA Log'!L:L,"*Other than P4P (section 6)*"),
COUNTIFS('QA Log'!D:D,A503,'QA Log'!M:M,"Data Verification",'QA Log'!L:L,"*Hospital Governance*")
))</f>
        <v/>
      </c>
      <c r="AF503" s="102" t="str">
        <f>IF(A503="","",
SUM(
COUNTIFS('QA Log'!D:D,A503,'QA Log'!M:M,"Data Verification",'QA Log'!Z:Z,"Approved",'QA Log'!L:L,"*Medicine (section 2)*"),
COUNTIFS('QA Log'!D:D,A503,'QA Log'!M:M,"Data Verification",'QA Log'!Z:Z,"Approved",'QA Log'!L:L,"*Lab Testing Availability*"),
COUNTIFS('QA Log'!D:D,A503,'QA Log'!M:M,"Data Verification",'QA Log'!Z:Z,"Approved",'QA Log'!L:L,"*Other than P4P (section 6)*"),
COUNTIFS('QA Log'!D:D,A503,'QA Log'!M:M,"Data Verification",'QA Log'!Z:Z,"Approved",'QA Log'!L:L,"*Hospital Governance*")
))</f>
        <v/>
      </c>
      <c r="AG503" s="105" t="str">
        <f>IF(A503&lt;&gt;"",COUNTIFS('QA Log'!D:D,A503,'QA Log'!M:M,"Data Verification",'QA Log'!L:L,"Medicine (section 2)",'QA Log'!Z:Z,"Approved"),"")</f>
        <v/>
      </c>
      <c r="AH503" s="105" t="str">
        <f>IF(A503&lt;&gt;"",COUNTIFS('QA Log'!D:D,A503,'QA Log'!M:M,"Data Verification",'QA Log'!L:L,"Lab Testing Availability",'QA Log'!Z:Z,"Approved"),"")</f>
        <v/>
      </c>
      <c r="AI503" s="105" t="str">
        <f>IF(A503&lt;&gt;"",COUNTIFS('QA Log'!D:D,A503,'QA Log'!M:M,"Data Verification",'QA Log'!L:L,"Other than P4P (section 6)",'QA Log'!Z:Z,"Approved"),"")</f>
        <v/>
      </c>
      <c r="AJ503" s="105" t="str">
        <f>IF(A503&lt;&gt;"",COUNTIFS('QA Log'!D:D,A503,'QA Log'!M:M,"Data Verification",'QA Log'!L:L,"Hospital Governance",'QA Log'!Z:Z,"Approved"),"")</f>
        <v/>
      </c>
      <c r="AK503" s="102" t="str">
        <f>IF(A503="","",
SUM(
COUNTIFS('QA Log'!D:D,A503,'QA Log'!M:M,"Data Verification",'QA Log'!Z:Z,"Rejected",'QA Log'!L:L,"*Medicine (section 2)*"),
COUNTIFS('QA Log'!D:D,A503,'QA Log'!M:M,"Data Verification",'QA Log'!Z:Z,"Rejected",'QA Log'!L:L,"*Lab Testing Availability*"),
COUNTIFS('QA Log'!D:D,A503,'QA Log'!M:M,"Data Verification",'QA Log'!Z:Z,"Rejected",'QA Log'!L:L,"*Other than P4P (section 6)*"),
COUNTIFS('QA Log'!D:D,A503,'QA Log'!M:M,"Data Verification",'QA Log'!Z:Z,"Rejected",'QA Log'!L:L,"*Hospital Governance*")
))</f>
        <v/>
      </c>
      <c r="AL503" s="106" t="str">
        <f t="shared" si="31"/>
        <v/>
      </c>
      <c r="AM503" s="102" t="str">
        <f t="shared" si="32"/>
        <v/>
      </c>
      <c r="AN503" s="102" t="str">
        <f>IF(A503="","",
SUM(
COUNTIFS('QA Log'!D:D,A503,'QA Log'!M:M,"Data Verification",'QA Log'!L:L,"*Personnel (section 1)*"),
COUNTIFS('QA Log'!D:D,A503,'QA Log'!M:M,"Data Verification",'QA Log'!L:L,"*Consumable (section 3)*"),
COUNTIFS('QA Log'!D:D,A503,'QA Log'!M:M,"Data Verification",'QA Log'!L:L,"*Equipments (section 4)*")
))</f>
        <v/>
      </c>
      <c r="AO503" s="102" t="str">
        <f>IF(A503="","",
SUM(
COUNTIFS('QA Log'!D:D,A503,'QA Log'!M:M,"Data Verification",'QA Log'!Z:Z,"Approved",'QA Log'!L:L,"*Personnel (section 1)*"),
COUNTIFS('QA Log'!D:D,A503,'QA Log'!M:M,"Data Verification",'QA Log'!Z:Z,"Approved",'QA Log'!L:L,"*Consumable (section 3)*"),
COUNTIFS('QA Log'!D:D,A503,'QA Log'!M:M,"Data Verification",'QA Log'!Z:Z,"Approved",'QA Log'!L:L,"*Equipments (section 4)*")
))</f>
        <v/>
      </c>
      <c r="AP503" s="105" t="str">
        <f>IF(A503&lt;&gt;"",COUNTIFS('QA Log'!D:D,A503,'QA Log'!M:M,"Data Verification",'QA Log'!L:L,"Personnel (section 1)",'QA Log'!Z:Z,"Approved"),"")</f>
        <v/>
      </c>
      <c r="AQ503" s="105" t="str">
        <f>IF(A503&lt;&gt;"",COUNTIFS('QA Log'!D:D,A503,'QA Log'!M:M,"Data Verification",'QA Log'!L:L,"Consumable (section 3)",'QA Log'!Z:Z,"Approved"),"")</f>
        <v/>
      </c>
      <c r="AR503" s="105" t="str">
        <f>IF(A503&lt;&gt;"",COUNTIFS('QA Log'!D:D,A503,'QA Log'!M:M,"Data Verification",'QA Log'!L:L,"Equipments (section 4)",'QA Log'!Z:Z,"Approved"),"")</f>
        <v/>
      </c>
      <c r="AS503" s="102" t="str">
        <f>IF(A503="","",
SUM(
COUNTIFS('QA Log'!D:D,A503,'QA Log'!M:M,"Data Verification",'QA Log'!Z:Z,"Rejected",'QA Log'!L:L,"*Personnel (section 1)*"),
COUNTIFS('QA Log'!D:D,A503,'QA Log'!M:M,"Data Verification",'QA Log'!Z:Z,"Rejected",'QA Log'!L:L,"*Consumable (section 3)*"),
COUNTIFS('QA Log'!D:D,A503,'QA Log'!M:M,"Data Verification",'QA Log'!Z:Z,"Rejected",'QA Log'!L:L,"*Equipments (section 4)*")
))</f>
        <v/>
      </c>
      <c r="AT503" s="102" t="str">
        <f t="shared" si="33"/>
        <v/>
      </c>
      <c r="AU503" s="103" t="str">
        <f t="shared" si="34"/>
        <v/>
      </c>
      <c r="AV503" s="102" t="str">
        <f>IF(A503="","",SUM(
COUNTIFS('QA Log'!D:D,A503,'QA Log'!M:M,"Vignette",'QA Log'!L:L,"*Vignette [1] Respiratory Infection: Pneumonia*"),
COUNTIFS('QA Log'!D:D,A503,'QA Log'!M:M,"Vignette",'QA Log'!L:L,"*Vignette [2]: Diarrhea with Cat B dehydration*"),
COUNTIFS('QA Log'!D:D,A503,'QA Log'!M:M,"Vignette",'QA Log'!L:L,"*Vignette [3] Growth Monitoring and Promotion*"),
COUNTIFS('QA Log'!D:D,A503,'QA Log'!M:M,"Vignette",'QA Log'!L:L,"*Vignette [4]: The management of presumptive TB patient*")
)
)</f>
        <v/>
      </c>
      <c r="AW503" s="102" t="str">
        <f>IF(
  A503="","",
  SUM(
    COUNTIFS('QA Log'!D:D,A503,'QA Log'!M:M,"Vignette",'QA Log'!Z:Z,"Approved",'QA Log'!L:L,"*Vignette [1] Respiratory Infection: Pneumonia*"),
    COUNTIFS('QA Log'!D:D,A503,'QA Log'!M:M,"Vignette",'QA Log'!Z:Z,"Approved",'QA Log'!L:L,"*Vignette [2]: Diarrhea with Cat B dehydration*"),
    COUNTIFS('QA Log'!D:D,A503,'QA Log'!M:M,"Vignette",'QA Log'!Z:Z,"Approved",'QA Log'!L:L,"*Vignette [3] Growth Monitoring and Promotion*"),
    COUNTIFS('QA Log'!D:D,A503,'QA Log'!M:M,"Vignette",'QA Log'!Z:Z,"Approved",'QA Log'!L:L,"*Vignette [4]: The management of presumptive TB patient*")
  )
)</f>
        <v/>
      </c>
      <c r="AX503" s="105" t="str">
        <f>IF(A503&lt;&gt;"",COUNTIFS('QA Log'!D:D,A503,'QA Log'!M:M,"Vignette",'QA Log'!L:L,"Vignette [1] Respiratory Infection: Pneumonia",'QA Log'!Z:Z,"Approved"),"")</f>
        <v/>
      </c>
      <c r="AY503" s="105" t="str">
        <f>IF(A503&lt;&gt;"",COUNTIFS('QA Log'!D:D,A503,'QA Log'!M:M,"Vignette",'QA Log'!L:L,"Vignette [2]: Diarrhea with Cat B dehydration",'QA Log'!Z:Z,"Approved"),"")</f>
        <v/>
      </c>
      <c r="AZ503" s="105" t="str">
        <f>IF(A503&lt;&gt;"",COUNTIFS('QA Log'!D:D,A503,'QA Log'!M:M,"Vignette",'QA Log'!L:L,"Vignette [3] Growth Monitoring and Promotion",'QA Log'!Z:Z,"Approved"),"")</f>
        <v/>
      </c>
      <c r="BA503" s="105" t="str">
        <f>IF(A503&lt;&gt;"",COUNTIFS('QA Log'!D:D,A503,'QA Log'!M:M,"Vignette",'QA Log'!L:L,"Vignette [4]: The management of presumptive TB patient",'QA Log'!Z:Z,"Approved"),"")</f>
        <v/>
      </c>
      <c r="BB503" s="102" t="str">
        <f>IF(A503="","",
  SUM(
    COUNTIFS('QA Log'!D:D,A503,'QA Log'!M:M,"Vignette",'QA Log'!Z:Z,"Rejected",'QA Log'!L:L,"*Vignette [1] Respiratory Infection: Pneumonia*"),
    COUNTIFS('QA Log'!D:D,A503,'QA Log'!M:M,"Vignette",'QA Log'!Z:Z,"Rejected",'QA Log'!L:L,"*Vignette [2]: Diarrhea with Cat B dehydration*"),
    COUNTIFS('QA Log'!D:D,A503,'QA Log'!M:M,"Vignette",'QA Log'!Z:Z,"Rejected",'QA Log'!L:L,"*Vignette [3] Growth Monitoring and Promotion*"),
    COUNTIFS('QA Log'!D:D,A503,'QA Log'!M:M,"Vignette",'QA Log'!Z:Z,"Rejected",'QA Log'!L:L,"*Vignette [4]: The management of presumptive TB patient*")
  )
)</f>
        <v/>
      </c>
      <c r="BC503" s="107" t="str">
        <f t="shared" si="35"/>
        <v/>
      </c>
      <c r="BD503" s="103" t="str">
        <f t="shared" si="36"/>
        <v/>
      </c>
      <c r="BE503" s="102" t="str">
        <f>IF(A503="","",SUM(
COUNTIFS('QA Log'!D:D,A503,'QA Log'!M:M,"Vignette",'QA Log'!L:L,"*Vignette [5] Labor*"),
COUNTIFS('QA Log'!D:D,A503,'QA Log'!M:M,"Vignette",'QA Log'!L:L,"*Vignette [6] PNC pre Discharge*"),
COUNTIFS('QA Log'!D:D,A503,'QA Log'!M:M,"Vignette",'QA Log'!L:L,"*Vignette [7] First ANC Visit*"),
COUNTIFS('QA Log'!D:D,A503,'QA Log'!M:M,"Vignette",'QA Log'!L:L,"*Vignette [8] Birth Spacing/ Family Planning :  FP Counselling*"),
COUNTIFS('QA Log'!D:D,A503,'QA Log'!M:M,"Vignette",'QA Log'!L:L,"*Vignette [9] Birth Spacing: Change FP method to Injectable*"),
COUNTIFS('QA Log'!D:D,A503,'QA Log'!M:M,"Vignette",'QA Log'!L:L,"*Vignette [10] Post Partum Haemorrhage - Atonic Uterus at Health Centre*"),
)
)</f>
        <v/>
      </c>
      <c r="BF503" s="102" t="str">
        <f>IF(A503="","",
  SUM(
    COUNTIFS('QA Log'!D:D,A503,'QA Log'!M:M,"Vignette",'QA Log'!Z:Z,"Approved",'QA Log'!L:L,"*Vignette [5] Labor*"),
    COUNTIFS('QA Log'!D:D,A503,'QA Log'!M:M,"Vignette",'QA Log'!Z:Z,"Approved",'QA Log'!L:L,"*Vignette [6] PNC pre Discharge*"),
    COUNTIFS('QA Log'!D:D,A503,'QA Log'!M:M,"Vignette",'QA Log'!Z:Z,"Approved",'QA Log'!L:L,"*Vignette [7] First ANC Visit*"),
    COUNTIFS('QA Log'!D:D,A503,'QA Log'!M:M,"Vignette",'QA Log'!Z:Z,"Approved",'QA Log'!L:L,"*Vignette [8] Birth Spacing/ Family Planning :  FP Counselling*"),
    COUNTIFS('QA Log'!D:D,A503,'QA Log'!M:M,"Vignette",'QA Log'!Z:Z,"Approved",'QA Log'!L:L,"*Vignette [9] Birth Spacing: Change FP method to Injectable*"),
    COUNTIFS('QA Log'!D:D,A503,'QA Log'!M:M,"Vignette",'QA Log'!Z:Z,"Approved",'QA Log'!L:L,"*Vignette [10] Post Partum Haemorrhage - Atonic Uterus at Health Centre*")
  )
)</f>
        <v/>
      </c>
      <c r="BG503" s="105" t="str">
        <f>IF(A503&lt;&gt;"",COUNTIFS('QA Log'!D:D,A503,'QA Log'!M:M,"Vignette",'QA Log'!L:L,"Vignette [5] Labor",'QA Log'!Z:Z,"Approved"),"")</f>
        <v/>
      </c>
      <c r="BH503" s="105" t="str">
        <f>IF(A503&lt;&gt;"",COUNTIFS('QA Log'!D:D,A503,'QA Log'!M:M,"Vignette",'QA Log'!L:L,"Vignette [6] PNC pre Discharge",'QA Log'!Z:Z,"Approved"),"")</f>
        <v/>
      </c>
      <c r="BI503" s="105" t="str">
        <f>IF(A503&lt;&gt;"",COUNTIFS('QA Log'!D:D,A503,'QA Log'!M:M,"Vignette",'QA Log'!L:L,"Vignette [7] First ANC Visit",'QA Log'!Z:Z,"Approved"),"")</f>
        <v/>
      </c>
      <c r="BJ503" s="105" t="str">
        <f>IF(A503&lt;&gt;"",COUNTIFS('QA Log'!D:D,A503,'QA Log'!M:M,"Vignette",'QA Log'!L:L,"Vignette [8] Birth Spacing/ Family Planning :  FP Counselling",'QA Log'!Z:Z,"Approved"),"")</f>
        <v/>
      </c>
      <c r="BK503" s="105" t="str">
        <f>IF(A503&lt;&gt;"",COUNTIFS('QA Log'!D:D,A503,'QA Log'!M:M,"Vignette",'QA Log'!L:L,"Vignette [9] Birth Spacing: Change FP method to Injectable",'QA Log'!Z:Z,"Approved"),"")</f>
        <v/>
      </c>
      <c r="BL503" s="105" t="str">
        <f>IF(A503&lt;&gt;"",COUNTIFS('QA Log'!D:D,A503,'QA Log'!M:M,"Vignette",'QA Log'!L:L,"Vignette [10] Post Partum Haemorrhage - Atonic Uterus at Health Centre",'QA Log'!Z:Z,"Approved"),"")</f>
        <v/>
      </c>
      <c r="BM503" s="102" t="str">
        <f>IF(A503="","",SUM(
    COUNTIFS('QA Log'!D:D,A503,'QA Log'!M:M,"Vignette",'QA Log'!Z:Z,"Rejected",'QA Log'!L:L,"*Vignette [5] Labor*"),
    COUNTIFS('QA Log'!D:D,A503,'QA Log'!M:M,"Vignette",'QA Log'!Z:Z,"Rejected",'QA Log'!L:L,"*Vignette [6] PNC pre Discharge*"),
    COUNTIFS('QA Log'!D:D,A503,'QA Log'!M:M,"Vignette",'QA Log'!Z:Z,"Rejected",'QA Log'!L:L,"*Vignette [7] First ANC Visit*"),
    COUNTIFS('QA Log'!D:D,A503,'QA Log'!M:M,"Vignette",'QA Log'!Z:Z,"Rejected",'QA Log'!L:L,"*Vignette [8] Birth Spacing/ Family Planning :  FP Counselling*"),
    COUNTIFS('QA Log'!D:D,A503,'QA Log'!M:M,"Vignette",'QA Log'!Z:Z,"Rejected",'QA Log'!L:L,"*Vignette [9] Birth Spacing: Change FP method to Injectable*"),
    COUNTIFS('QA Log'!D:D,A503,'QA Log'!M:M,"Vignette",'QA Log'!Z:Z,"Rejected",'QA Log'!L:L,"*Vignette [10] Post Partum Haemorrhage - Atonic Uterus at Health Centre*")
  )
)</f>
        <v/>
      </c>
      <c r="BN503" s="107" t="str">
        <f t="shared" si="37"/>
        <v/>
      </c>
      <c r="BO503" s="103" t="str">
        <f t="shared" si="38"/>
        <v/>
      </c>
      <c r="BP503" s="102" t="str">
        <f>IF(A503="","",SUM(
COUNTIFS('QA Log'!D:D,A503,'QA Log'!M:M,"Vignette",'QA Log'!L:L,"*Exit Interview 1*"),
COUNTIFS('QA Log'!D:D,A503,'QA Log'!M:M,"Vignette",'QA Log'!L:L,"*Exit Interview 2*"),
)
)</f>
        <v/>
      </c>
      <c r="BQ503" s="102" t="str">
        <f>IF(
  A503="","",
  SUM(
    COUNTIFS('QA Log'!D:D,A503,'QA Log'!M:M,"Vignette",'QA Log'!Z:Z,"Approved",'QA Log'!L:L,"*Exit Interview 1*"),
    COUNTIFS('QA Log'!D:D,A503,'QA Log'!M:M,"Vignette",'QA Log'!Z:Z,"Approved",'QA Log'!L:L,"*Exit Interview 2*")
  )
)</f>
        <v/>
      </c>
      <c r="BR503" s="105" t="str">
        <f>IF(A503&lt;&gt;"",COUNTIFS('QA Log'!D:D,A503,'QA Log'!M:M,"Vignette",'QA Log'!L:L,"Exit Interview 1",'QA Log'!Z:Z,"Approved"),"")</f>
        <v/>
      </c>
      <c r="BS503" s="105" t="str">
        <f>IF(A503&lt;&gt;"",COUNTIFS('QA Log'!D:D,A503,'QA Log'!M:M,"Vignette",'QA Log'!L:L,"Exit Interview 2",'QA Log'!Z:Z,"Approved"),"")</f>
        <v/>
      </c>
      <c r="BT503" s="102" t="str">
        <f>IF(
  A503="","",
  SUM(
    COUNTIFS('QA Log'!D:D,A503,'QA Log'!M:M,"Vignette",'QA Log'!Z:Z,"Rejected",'QA Log'!L:L,"*Exit Interview 1*"),
    COUNTIFS('QA Log'!D:D,A503,'QA Log'!M:M,"Vignette",'QA Log'!Z:Z,"Rejected",'QA Log'!L:L,"*Exit Interview 2*")
  )
)</f>
        <v/>
      </c>
      <c r="BU503" s="107" t="str">
        <f t="shared" si="39"/>
        <v/>
      </c>
      <c r="BV503" s="102" t="str">
        <f t="shared" si="40"/>
        <v/>
      </c>
      <c r="BW503" s="102" t="str">
        <f t="shared" si="41"/>
        <v/>
      </c>
      <c r="BX503" s="102" t="str">
        <f t="shared" si="42"/>
        <v/>
      </c>
      <c r="BY503" s="102" t="str">
        <f t="shared" si="43"/>
        <v/>
      </c>
      <c r="BZ503" s="107" t="str">
        <f t="shared" si="44"/>
        <v/>
      </c>
      <c r="CA503" s="108" t="str">
        <f t="shared" si="45"/>
        <v/>
      </c>
      <c r="CB503" s="108" t="str">
        <f t="shared" si="46"/>
        <v/>
      </c>
      <c r="CC503" s="109" t="str">
        <f t="shared" si="47"/>
        <v/>
      </c>
      <c r="CD503" s="108" t="str">
        <f t="shared" si="48"/>
        <v/>
      </c>
      <c r="CE503" s="108" t="str">
        <f t="shared" si="49"/>
        <v/>
      </c>
      <c r="CF503" s="109" t="str">
        <f t="shared" si="50"/>
        <v/>
      </c>
      <c r="CG503" s="110" t="str">
        <f t="shared" si="51"/>
        <v/>
      </c>
      <c r="CH503" s="111"/>
    </row>
    <row r="504" spans="1:86" ht="12.75">
      <c r="A504" s="101"/>
      <c r="B504" s="102" t="e">
        <f t="array" aca="1" ref="B504" ca="1">_xludf.XLOOKUP(A504,'QA Log'!D:D,'QA Log'!E:E,"")</f>
        <v>#NAME?</v>
      </c>
      <c r="C504" s="102" t="e">
        <f t="array" aca="1" ref="C504" ca="1">_xludf.XLOOKUP(A504,'QA Log'!D:D,'QA Log'!F:F,"")</f>
        <v>#NAME?</v>
      </c>
      <c r="D504" s="102" t="e">
        <f t="array" aca="1" ref="D504" ca="1">_xludf.XLOOKUP(A504,'QA Log'!D:D,'QA Log'!H:H,"")</f>
        <v>#NAME?</v>
      </c>
      <c r="E504" s="102" t="e">
        <f t="array" aca="1" ref="E504" ca="1">_xludf.XLOOKUP(A504,'QA Log'!D:D,'QA Log'!G:G,"")</f>
        <v>#NAME?</v>
      </c>
      <c r="F504" s="103"/>
      <c r="G504" s="104"/>
      <c r="H504" s="104"/>
      <c r="I504" s="103" t="str">
        <f t="shared" si="26"/>
        <v/>
      </c>
      <c r="J504" s="102" t="str">
        <f>IF(A504="","",SUM(
COUNTIFS('QA Log'!D:D,A504,'QA Log'!M:M,"QQC",'QA Log'!L:L,"*1. General Management*"),
COUNTIFS('QA Log'!D:D,A504,'QA Log'!M:M,"QQC",'QA Log'!L:L,"*3. Curative Consultation (OPD)*"),
COUNTIFS('QA Log'!D:D,A504,'QA Log'!M:M,"QQC",'QA Log'!L:L,"*5. Laboratory*"),
COUNTIFS('QA Log'!D:D,A504,'QA Log'!M:M,"QQC",'QA Log'!L:L,"*6. Essential Medicine Management*"),
COUNTIFS('QA Log'!D:D,A504,'QA Log'!M:M,"QQC",'QA Log'!L:L,"*7. Tracer Medicine*"),
COUNTIFS('QA Log'!D:D,A504,'QA Log'!M:M,"QQC",'QA Log'!L:L,"*11. Additional Questions*")))</f>
        <v/>
      </c>
      <c r="K504" s="102" t="str">
        <f>IF(A504="","",SUM(
COUNTIFS('QA Log'!D:D,A504,'QA Log'!M:M,"QQC",'QA Log'!Z:Z,"Approved",'QA Log'!L:L,"*1. General Management*"),
COUNTIFS('QA Log'!D:D,A504,'QA Log'!M:M,"QQC",'QA Log'!Z:Z,"Approved",'QA Log'!L:L,"*3. Curative Consultation (OPD)*"),
COUNTIFS('QA Log'!D:D,A504,'QA Log'!M:M,"QQC",'QA Log'!Z:Z,"Approved",'QA Log'!L:L,"*5. Laboratory*"),
COUNTIFS('QA Log'!D:D,A504,'QA Log'!M:M,"QQC",'QA Log'!Z:Z,"Approved",'QA Log'!L:L,"*6. Essential Medicine Management*"),
COUNTIFS('QA Log'!D:D,A504,'QA Log'!M:M,"QQC",'QA Log'!Z:Z,"Approved",'QA Log'!L:L,"*7. Tracer Medicine*"),
COUNTIFS('QA Log'!D:D,A504,'QA Log'!M:M,"QQC",'QA Log'!Z:Z,"Approved",'QA Log'!L:L,"*11. Additional Questions*")))</f>
        <v/>
      </c>
      <c r="L504" s="102" t="str">
        <f>IF(A504&lt;&gt;"",COUNTIFS('QA Log'!D:D,A504,'QA Log'!M:M,"QQC",'QA Log'!L:L,"1. General Management",'QA Log'!Z:Z,"Approved"),"")</f>
        <v/>
      </c>
      <c r="M504" s="102" t="str">
        <f>IF(A504&lt;&gt;"",COUNTIFS('QA Log'!D:D,A504,'QA Log'!M:M,"QQC",'QA Log'!L:L,"3. Curative Consultation (OPD)",'QA Log'!Z:Z,"Approved"),"")</f>
        <v/>
      </c>
      <c r="N504" s="102" t="str">
        <f>IF(A504&lt;&gt;"",COUNTIFS('QA Log'!D:D,A504,'QA Log'!M:M,"QQC",'QA Log'!L:L,"5. Laboratory",'QA Log'!Z:Z,"Approved"),"")</f>
        <v/>
      </c>
      <c r="O504" s="102" t="str">
        <f>IF(A504&lt;&gt;"",COUNTIFS('QA Log'!D:D,A504,'QA Log'!M:M,"QQC",'QA Log'!L:L,"6. Essential Medicine Management",'QA Log'!Z:Z,"Approved"),"")</f>
        <v/>
      </c>
      <c r="P504" s="102" t="str">
        <f>IF(A504&lt;&gt;"",COUNTIFS('QA Log'!D:D,A504,'QA Log'!M:M,"QQC",'QA Log'!L:L,"7. Tracer Medicine",'QA Log'!Z:Z,"Approved"),"")</f>
        <v/>
      </c>
      <c r="Q504" s="102" t="str">
        <f>IF(A504&lt;&gt;"",COUNTIFS('QA Log'!D:D,A504,'QA Log'!M:M,"QQC",'QA Log'!L:L,"11. Additional Questions",'QA Log'!Z:Z,"Approved"),"")</f>
        <v/>
      </c>
      <c r="R504" s="102" t="str">
        <f>IF(A504="","",SUM(
COUNTIFS('QA Log'!D:D,A504,'QA Log'!M:M,"QQC",'QA Log'!Z:Z,"Rejected",'QA Log'!L:L,"*8. Maternity*"),
COUNTIFS('QA Log'!D:D,A504,'QA Log'!M:M,"QQC",'QA Log'!Z:Z,"Rejected",'QA Log'!L:L,"*EPI*"),
COUNTIFS('QA Log'!D:D,A504,'QA Log'!M:M,"QQC",'QA Log'!Z:Z,"Rejected",'QA Log'!L:L,"*10. Antenatal Care (ANC)*"),
COUNTIFS('QA Log'!D:D,A504,'QA Log'!M:M,"QQC",'QA Log'!Z:Z,"Rejected",'QA Log'!L:L,"*2. Hygiene and Sterilization*"),
COUNTIFS('QA Log'!D:D,A504,'QA Log'!M:M,"QQC",'QA Log'!Z:Z,"Rejected",'QA Log'!L:L,"*Family Planning*")))</f>
        <v/>
      </c>
      <c r="S504" s="106" t="str">
        <f t="shared" si="27"/>
        <v/>
      </c>
      <c r="T504" s="102" t="str">
        <f t="shared" si="28"/>
        <v/>
      </c>
      <c r="U504" s="102" t="str">
        <f>IF(A504="","",
SUM(
COUNTIFS('QA Log'!D:D,A504,'QA Log'!M:M,"QQC",'QA Log'!L:L,"*8. Maternity*"),
COUNTIFS('QA Log'!D:D,A504,'QA Log'!M:M,"QQC",'QA Log'!L:L,"*9. EPI and Pre-school Consultation*"),
COUNTIFS('QA Log'!D:D,A504,'QA Log'!M:M,"QQC",'QA Log'!L:L,"*10. Antenatal Care (ANC)*"),
COUNTIFS('QA Log'!D:D,A504,'QA Log'!M:M,"QQC",'QA Log'!L:L,"*2. Hygiene and Sterilization*"),
COUNTIFS('QA Log'!D:D,A504,'QA Log'!M:M,"QQC",'QA Log'!L:L,"*4. Family Planning*")
))</f>
        <v/>
      </c>
      <c r="V504" s="102" t="str">
        <f>IF(A504="","",
SUM(
COUNTIFS('QA Log'!D:D,A504,'QA Log'!M:M,"QQC",'QA Log'!Z:Z,"Approved",'QA Log'!L:L,"*8. Maternity*"),
COUNTIFS('QA Log'!D:D,A504,'QA Log'!M:M,"QQC",'QA Log'!Z:Z,"Approved",'QA Log'!L:L,"*9. EPI and Pre-school Consultation*"),
COUNTIFS('QA Log'!D:D,A504,'QA Log'!M:M,"QQC",'QA Log'!Z:Z,"Approved",'QA Log'!L:L,"*10. Antenatal Care (ANC)*"),
COUNTIFS('QA Log'!D:D,A504,'QA Log'!M:M,"QQC",'QA Log'!Z:Z,"Approved",'QA Log'!L:L,"*2. Hygiene and Sterilization*"),
COUNTIFS('QA Log'!D:D,A504,'QA Log'!M:M,"QQC",'QA Log'!Z:Z,"Approved",'QA Log'!L:L,"*4. Family Planning*")
))</f>
        <v/>
      </c>
      <c r="W504" s="102" t="str">
        <f>IF(A504&lt;&gt;"",COUNTIFS('QA Log'!D:D,A504,'QA Log'!M:M,"QQC",'QA Log'!L:L,"8. Maternity",'QA Log'!Z:Z,"Approved"),"")</f>
        <v/>
      </c>
      <c r="X504" s="105" t="str">
        <f>IF(A504&lt;&gt;"",COUNTIFS('QA Log'!D:D,A504,'QA Log'!M:M,"QQC",'QA Log'!L:L,"9. EPI and Pre-school Consultation",'QA Log'!Z:Z,"Approved"),"")</f>
        <v/>
      </c>
      <c r="Y504" s="102" t="str">
        <f>IF(A504&lt;&gt;"",COUNTIFS('QA Log'!D:D,A504,'QA Log'!M:M,"QQC",'QA Log'!L:L,"10. Antenatal Care (ANC)",'QA Log'!Z:Z,"Approved"),"")</f>
        <v/>
      </c>
      <c r="Z504" s="102" t="str">
        <f>IF(A504&lt;&gt;"",COUNTIFS('QA Log'!D:D,A504,'QA Log'!M:M,"QQC",'QA Log'!L:L,"2. Hygiene and Sterilization",'QA Log'!Z:Z,"Approved"),"")</f>
        <v/>
      </c>
      <c r="AA504" s="105" t="str">
        <f>IF(A504&lt;&gt;"",COUNTIFS('QA Log'!D:D,A504,'QA Log'!M:M,"QQC",'QA Log'!L:L,"4. Family Planning",'QA Log'!Z:Z,"Approved"),"")</f>
        <v/>
      </c>
      <c r="AB504" s="102" t="str">
        <f>IF(A504="","",
SUM(
COUNTIFS('QA Log'!D:D,A504,'QA Log'!M:M,"QQC",'QA Log'!Z:Z,"Rejected",'QA Log'!L:L,"*8. Maternity*"),
COUNTIFS('QA Log'!D:D,A504,'QA Log'!M:M,"QQC",'QA Log'!Z:Z,"Rejected",'QA Log'!L:L,"*9. EPI and Pre-school Consultation*"),
COUNTIFS('QA Log'!D:D,A504,'QA Log'!M:M,"QQC",'QA Log'!Z:Z,"Rejected",'QA Log'!L:L,"*10. Antenatal Care (ANC)*"),
COUNTIFS('QA Log'!D:D,A504,'QA Log'!M:M,"QQC",'QA Log'!Z:Z,"Rejected",'QA Log'!L:L,"*2. Hygiene and Sterilization*"),
COUNTIFS('QA Log'!D:D,A504,'QA Log'!M:M,"QQC",'QA Log'!Z:Z,"Rejected",'QA Log'!L:L,"*4. Family Planning*")
))</f>
        <v/>
      </c>
      <c r="AC504" s="102" t="str">
        <f t="shared" si="29"/>
        <v/>
      </c>
      <c r="AD504" s="103" t="str">
        <f t="shared" si="30"/>
        <v/>
      </c>
      <c r="AE504" s="102" t="str">
        <f>IF(A504="","",
SUM(
COUNTIFS('QA Log'!D:D,A504,'QA Log'!M:M,"Data Verification",'QA Log'!L:L,"*Medicine (section 2)*"),
COUNTIFS('QA Log'!D:D,A504,'QA Log'!M:M,"Data Verification",'QA Log'!L:L,"*Lab Testing Availability*"),
COUNTIFS('QA Log'!D:D,A504,'QA Log'!M:M,"Data Verification",'QA Log'!L:L,"*Other than P4P (section 6)*"),
COUNTIFS('QA Log'!D:D,A504,'QA Log'!M:M,"Data Verification",'QA Log'!L:L,"*Hospital Governance*")
))</f>
        <v/>
      </c>
      <c r="AF504" s="102" t="str">
        <f>IF(A504="","",
SUM(
COUNTIFS('QA Log'!D:D,A504,'QA Log'!M:M,"Data Verification",'QA Log'!Z:Z,"Approved",'QA Log'!L:L,"*Medicine (section 2)*"),
COUNTIFS('QA Log'!D:D,A504,'QA Log'!M:M,"Data Verification",'QA Log'!Z:Z,"Approved",'QA Log'!L:L,"*Lab Testing Availability*"),
COUNTIFS('QA Log'!D:D,A504,'QA Log'!M:M,"Data Verification",'QA Log'!Z:Z,"Approved",'QA Log'!L:L,"*Other than P4P (section 6)*"),
COUNTIFS('QA Log'!D:D,A504,'QA Log'!M:M,"Data Verification",'QA Log'!Z:Z,"Approved",'QA Log'!L:L,"*Hospital Governance*")
))</f>
        <v/>
      </c>
      <c r="AG504" s="105" t="str">
        <f>IF(A504&lt;&gt;"",COUNTIFS('QA Log'!D:D,A504,'QA Log'!M:M,"Data Verification",'QA Log'!L:L,"Medicine (section 2)",'QA Log'!Z:Z,"Approved"),"")</f>
        <v/>
      </c>
      <c r="AH504" s="105" t="str">
        <f>IF(A504&lt;&gt;"",COUNTIFS('QA Log'!D:D,A504,'QA Log'!M:M,"Data Verification",'QA Log'!L:L,"Lab Testing Availability",'QA Log'!Z:Z,"Approved"),"")</f>
        <v/>
      </c>
      <c r="AI504" s="105" t="str">
        <f>IF(A504&lt;&gt;"",COUNTIFS('QA Log'!D:D,A504,'QA Log'!M:M,"Data Verification",'QA Log'!L:L,"Other than P4P (section 6)",'QA Log'!Z:Z,"Approved"),"")</f>
        <v/>
      </c>
      <c r="AJ504" s="105" t="str">
        <f>IF(A504&lt;&gt;"",COUNTIFS('QA Log'!D:D,A504,'QA Log'!M:M,"Data Verification",'QA Log'!L:L,"Hospital Governance",'QA Log'!Z:Z,"Approved"),"")</f>
        <v/>
      </c>
      <c r="AK504" s="102" t="str">
        <f>IF(A504="","",
SUM(
COUNTIFS('QA Log'!D:D,A504,'QA Log'!M:M,"Data Verification",'QA Log'!Z:Z,"Rejected",'QA Log'!L:L,"*Medicine (section 2)*"),
COUNTIFS('QA Log'!D:D,A504,'QA Log'!M:M,"Data Verification",'QA Log'!Z:Z,"Rejected",'QA Log'!L:L,"*Lab Testing Availability*"),
COUNTIFS('QA Log'!D:D,A504,'QA Log'!M:M,"Data Verification",'QA Log'!Z:Z,"Rejected",'QA Log'!L:L,"*Other than P4P (section 6)*"),
COUNTIFS('QA Log'!D:D,A504,'QA Log'!M:M,"Data Verification",'QA Log'!Z:Z,"Rejected",'QA Log'!L:L,"*Hospital Governance*")
))</f>
        <v/>
      </c>
      <c r="AL504" s="106" t="str">
        <f t="shared" si="31"/>
        <v/>
      </c>
      <c r="AM504" s="102" t="str">
        <f t="shared" si="32"/>
        <v/>
      </c>
      <c r="AN504" s="102" t="str">
        <f>IF(A504="","",
SUM(
COUNTIFS('QA Log'!D:D,A504,'QA Log'!M:M,"Data Verification",'QA Log'!L:L,"*Personnel (section 1)*"),
COUNTIFS('QA Log'!D:D,A504,'QA Log'!M:M,"Data Verification",'QA Log'!L:L,"*Consumable (section 3)*"),
COUNTIFS('QA Log'!D:D,A504,'QA Log'!M:M,"Data Verification",'QA Log'!L:L,"*Equipments (section 4)*")
))</f>
        <v/>
      </c>
      <c r="AO504" s="102" t="str">
        <f>IF(A504="","",
SUM(
COUNTIFS('QA Log'!D:D,A504,'QA Log'!M:M,"Data Verification",'QA Log'!Z:Z,"Approved",'QA Log'!L:L,"*Personnel (section 1)*"),
COUNTIFS('QA Log'!D:D,A504,'QA Log'!M:M,"Data Verification",'QA Log'!Z:Z,"Approved",'QA Log'!L:L,"*Consumable (section 3)*"),
COUNTIFS('QA Log'!D:D,A504,'QA Log'!M:M,"Data Verification",'QA Log'!Z:Z,"Approved",'QA Log'!L:L,"*Equipments (section 4)*")
))</f>
        <v/>
      </c>
      <c r="AP504" s="105" t="str">
        <f>IF(A504&lt;&gt;"",COUNTIFS('QA Log'!D:D,A504,'QA Log'!M:M,"Data Verification",'QA Log'!L:L,"Personnel (section 1)",'QA Log'!Z:Z,"Approved"),"")</f>
        <v/>
      </c>
      <c r="AQ504" s="105" t="str">
        <f>IF(A504&lt;&gt;"",COUNTIFS('QA Log'!D:D,A504,'QA Log'!M:M,"Data Verification",'QA Log'!L:L,"Consumable (section 3)",'QA Log'!Z:Z,"Approved"),"")</f>
        <v/>
      </c>
      <c r="AR504" s="105" t="str">
        <f>IF(A504&lt;&gt;"",COUNTIFS('QA Log'!D:D,A504,'QA Log'!M:M,"Data Verification",'QA Log'!L:L,"Equipments (section 4)",'QA Log'!Z:Z,"Approved"),"")</f>
        <v/>
      </c>
      <c r="AS504" s="102" t="str">
        <f>IF(A504="","",
SUM(
COUNTIFS('QA Log'!D:D,A504,'QA Log'!M:M,"Data Verification",'QA Log'!Z:Z,"Rejected",'QA Log'!L:L,"*Personnel (section 1)*"),
COUNTIFS('QA Log'!D:D,A504,'QA Log'!M:M,"Data Verification",'QA Log'!Z:Z,"Rejected",'QA Log'!L:L,"*Consumable (section 3)*"),
COUNTIFS('QA Log'!D:D,A504,'QA Log'!M:M,"Data Verification",'QA Log'!Z:Z,"Rejected",'QA Log'!L:L,"*Equipments (section 4)*")
))</f>
        <v/>
      </c>
      <c r="AT504" s="102" t="str">
        <f t="shared" si="33"/>
        <v/>
      </c>
      <c r="AU504" s="103" t="str">
        <f t="shared" si="34"/>
        <v/>
      </c>
      <c r="AV504" s="102" t="str">
        <f>IF(A504="","",SUM(
COUNTIFS('QA Log'!D:D,A504,'QA Log'!M:M,"Vignette",'QA Log'!L:L,"*Vignette [1] Respiratory Infection: Pneumonia*"),
COUNTIFS('QA Log'!D:D,A504,'QA Log'!M:M,"Vignette",'QA Log'!L:L,"*Vignette [2]: Diarrhea with Cat B dehydration*"),
COUNTIFS('QA Log'!D:D,A504,'QA Log'!M:M,"Vignette",'QA Log'!L:L,"*Vignette [3] Growth Monitoring and Promotion*"),
COUNTIFS('QA Log'!D:D,A504,'QA Log'!M:M,"Vignette",'QA Log'!L:L,"*Vignette [4]: The management of presumptive TB patient*")
)
)</f>
        <v/>
      </c>
      <c r="AW504" s="102" t="str">
        <f>IF(
  A504="","",
  SUM(
    COUNTIFS('QA Log'!D:D,A504,'QA Log'!M:M,"Vignette",'QA Log'!Z:Z,"Approved",'QA Log'!L:L,"*Vignette [1] Respiratory Infection: Pneumonia*"),
    COUNTIFS('QA Log'!D:D,A504,'QA Log'!M:M,"Vignette",'QA Log'!Z:Z,"Approved",'QA Log'!L:L,"*Vignette [2]: Diarrhea with Cat B dehydration*"),
    COUNTIFS('QA Log'!D:D,A504,'QA Log'!M:M,"Vignette",'QA Log'!Z:Z,"Approved",'QA Log'!L:L,"*Vignette [3] Growth Monitoring and Promotion*"),
    COUNTIFS('QA Log'!D:D,A504,'QA Log'!M:M,"Vignette",'QA Log'!Z:Z,"Approved",'QA Log'!L:L,"*Vignette [4]: The management of presumptive TB patient*")
  )
)</f>
        <v/>
      </c>
      <c r="AX504" s="105" t="str">
        <f>IF(A504&lt;&gt;"",COUNTIFS('QA Log'!D:D,A504,'QA Log'!M:M,"Vignette",'QA Log'!L:L,"Vignette [1] Respiratory Infection: Pneumonia",'QA Log'!Z:Z,"Approved"),"")</f>
        <v/>
      </c>
      <c r="AY504" s="105" t="str">
        <f>IF(A504&lt;&gt;"",COUNTIFS('QA Log'!D:D,A504,'QA Log'!M:M,"Vignette",'QA Log'!L:L,"Vignette [2]: Diarrhea with Cat B dehydration",'QA Log'!Z:Z,"Approved"),"")</f>
        <v/>
      </c>
      <c r="AZ504" s="105" t="str">
        <f>IF(A504&lt;&gt;"",COUNTIFS('QA Log'!D:D,A504,'QA Log'!M:M,"Vignette",'QA Log'!L:L,"Vignette [3] Growth Monitoring and Promotion",'QA Log'!Z:Z,"Approved"),"")</f>
        <v/>
      </c>
      <c r="BA504" s="105" t="str">
        <f>IF(A504&lt;&gt;"",COUNTIFS('QA Log'!D:D,A504,'QA Log'!M:M,"Vignette",'QA Log'!L:L,"Vignette [4]: The management of presumptive TB patient",'QA Log'!Z:Z,"Approved"),"")</f>
        <v/>
      </c>
      <c r="BB504" s="102" t="str">
        <f>IF(A504="","",
  SUM(
    COUNTIFS('QA Log'!D:D,A504,'QA Log'!M:M,"Vignette",'QA Log'!Z:Z,"Rejected",'QA Log'!L:L,"*Vignette [1] Respiratory Infection: Pneumonia*"),
    COUNTIFS('QA Log'!D:D,A504,'QA Log'!M:M,"Vignette",'QA Log'!Z:Z,"Rejected",'QA Log'!L:L,"*Vignette [2]: Diarrhea with Cat B dehydration*"),
    COUNTIFS('QA Log'!D:D,A504,'QA Log'!M:M,"Vignette",'QA Log'!Z:Z,"Rejected",'QA Log'!L:L,"*Vignette [3] Growth Monitoring and Promotion*"),
    COUNTIFS('QA Log'!D:D,A504,'QA Log'!M:M,"Vignette",'QA Log'!Z:Z,"Rejected",'QA Log'!L:L,"*Vignette [4]: The management of presumptive TB patient*")
  )
)</f>
        <v/>
      </c>
      <c r="BC504" s="107" t="str">
        <f t="shared" si="35"/>
        <v/>
      </c>
      <c r="BD504" s="103" t="str">
        <f t="shared" si="36"/>
        <v/>
      </c>
      <c r="BE504" s="102" t="str">
        <f>IF(A504="","",SUM(
COUNTIFS('QA Log'!D:D,A504,'QA Log'!M:M,"Vignette",'QA Log'!L:L,"*Vignette [5] Labor*"),
COUNTIFS('QA Log'!D:D,A504,'QA Log'!M:M,"Vignette",'QA Log'!L:L,"*Vignette [6] PNC pre Discharge*"),
COUNTIFS('QA Log'!D:D,A504,'QA Log'!M:M,"Vignette",'QA Log'!L:L,"*Vignette [7] First ANC Visit*"),
COUNTIFS('QA Log'!D:D,A504,'QA Log'!M:M,"Vignette",'QA Log'!L:L,"*Vignette [8] Birth Spacing/ Family Planning :  FP Counselling*"),
COUNTIFS('QA Log'!D:D,A504,'QA Log'!M:M,"Vignette",'QA Log'!L:L,"*Vignette [9] Birth Spacing: Change FP method to Injectable*"),
COUNTIFS('QA Log'!D:D,A504,'QA Log'!M:M,"Vignette",'QA Log'!L:L,"*Vignette [10] Post Partum Haemorrhage - Atonic Uterus at Health Centre*"),
)
)</f>
        <v/>
      </c>
      <c r="BF504" s="102" t="str">
        <f>IF(A504="","",
  SUM(
    COUNTIFS('QA Log'!D:D,A504,'QA Log'!M:M,"Vignette",'QA Log'!Z:Z,"Approved",'QA Log'!L:L,"*Vignette [5] Labor*"),
    COUNTIFS('QA Log'!D:D,A504,'QA Log'!M:M,"Vignette",'QA Log'!Z:Z,"Approved",'QA Log'!L:L,"*Vignette [6] PNC pre Discharge*"),
    COUNTIFS('QA Log'!D:D,A504,'QA Log'!M:M,"Vignette",'QA Log'!Z:Z,"Approved",'QA Log'!L:L,"*Vignette [7] First ANC Visit*"),
    COUNTIFS('QA Log'!D:D,A504,'QA Log'!M:M,"Vignette",'QA Log'!Z:Z,"Approved",'QA Log'!L:L,"*Vignette [8] Birth Spacing/ Family Planning :  FP Counselling*"),
    COUNTIFS('QA Log'!D:D,A504,'QA Log'!M:M,"Vignette",'QA Log'!Z:Z,"Approved",'QA Log'!L:L,"*Vignette [9] Birth Spacing: Change FP method to Injectable*"),
    COUNTIFS('QA Log'!D:D,A504,'QA Log'!M:M,"Vignette",'QA Log'!Z:Z,"Approved",'QA Log'!L:L,"*Vignette [10] Post Partum Haemorrhage - Atonic Uterus at Health Centre*")
  )
)</f>
        <v/>
      </c>
      <c r="BG504" s="105" t="str">
        <f>IF(A504&lt;&gt;"",COUNTIFS('QA Log'!D:D,A504,'QA Log'!M:M,"Vignette",'QA Log'!L:L,"Vignette [5] Labor",'QA Log'!Z:Z,"Approved"),"")</f>
        <v/>
      </c>
      <c r="BH504" s="105" t="str">
        <f>IF(A504&lt;&gt;"",COUNTIFS('QA Log'!D:D,A504,'QA Log'!M:M,"Vignette",'QA Log'!L:L,"Vignette [6] PNC pre Discharge",'QA Log'!Z:Z,"Approved"),"")</f>
        <v/>
      </c>
      <c r="BI504" s="105" t="str">
        <f>IF(A504&lt;&gt;"",COUNTIFS('QA Log'!D:D,A504,'QA Log'!M:M,"Vignette",'QA Log'!L:L,"Vignette [7] First ANC Visit",'QA Log'!Z:Z,"Approved"),"")</f>
        <v/>
      </c>
      <c r="BJ504" s="105" t="str">
        <f>IF(A504&lt;&gt;"",COUNTIFS('QA Log'!D:D,A504,'QA Log'!M:M,"Vignette",'QA Log'!L:L,"Vignette [8] Birth Spacing/ Family Planning :  FP Counselling",'QA Log'!Z:Z,"Approved"),"")</f>
        <v/>
      </c>
      <c r="BK504" s="105" t="str">
        <f>IF(A504&lt;&gt;"",COUNTIFS('QA Log'!D:D,A504,'QA Log'!M:M,"Vignette",'QA Log'!L:L,"Vignette [9] Birth Spacing: Change FP method to Injectable",'QA Log'!Z:Z,"Approved"),"")</f>
        <v/>
      </c>
      <c r="BL504" s="105" t="str">
        <f>IF(A504&lt;&gt;"",COUNTIFS('QA Log'!D:D,A504,'QA Log'!M:M,"Vignette",'QA Log'!L:L,"Vignette [10] Post Partum Haemorrhage - Atonic Uterus at Health Centre",'QA Log'!Z:Z,"Approved"),"")</f>
        <v/>
      </c>
      <c r="BM504" s="102" t="str">
        <f>IF(A504="","",SUM(
    COUNTIFS('QA Log'!D:D,A504,'QA Log'!M:M,"Vignette",'QA Log'!Z:Z,"Rejected",'QA Log'!L:L,"*Vignette [5] Labor*"),
    COUNTIFS('QA Log'!D:D,A504,'QA Log'!M:M,"Vignette",'QA Log'!Z:Z,"Rejected",'QA Log'!L:L,"*Vignette [6] PNC pre Discharge*"),
    COUNTIFS('QA Log'!D:D,A504,'QA Log'!M:M,"Vignette",'QA Log'!Z:Z,"Rejected",'QA Log'!L:L,"*Vignette [7] First ANC Visit*"),
    COUNTIFS('QA Log'!D:D,A504,'QA Log'!M:M,"Vignette",'QA Log'!Z:Z,"Rejected",'QA Log'!L:L,"*Vignette [8] Birth Spacing/ Family Planning :  FP Counselling*"),
    COUNTIFS('QA Log'!D:D,A504,'QA Log'!M:M,"Vignette",'QA Log'!Z:Z,"Rejected",'QA Log'!L:L,"*Vignette [9] Birth Spacing: Change FP method to Injectable*"),
    COUNTIFS('QA Log'!D:D,A504,'QA Log'!M:M,"Vignette",'QA Log'!Z:Z,"Rejected",'QA Log'!L:L,"*Vignette [10] Post Partum Haemorrhage - Atonic Uterus at Health Centre*")
  )
)</f>
        <v/>
      </c>
      <c r="BN504" s="107" t="str">
        <f t="shared" si="37"/>
        <v/>
      </c>
      <c r="BO504" s="103" t="str">
        <f t="shared" si="38"/>
        <v/>
      </c>
      <c r="BP504" s="102" t="str">
        <f>IF(A504="","",SUM(
COUNTIFS('QA Log'!D:D,A504,'QA Log'!M:M,"Vignette",'QA Log'!L:L,"*Exit Interview 1*"),
COUNTIFS('QA Log'!D:D,A504,'QA Log'!M:M,"Vignette",'QA Log'!L:L,"*Exit Interview 2*"),
)
)</f>
        <v/>
      </c>
      <c r="BQ504" s="102" t="str">
        <f>IF(
  A504="","",
  SUM(
    COUNTIFS('QA Log'!D:D,A504,'QA Log'!M:M,"Vignette",'QA Log'!Z:Z,"Approved",'QA Log'!L:L,"*Exit Interview 1*"),
    COUNTIFS('QA Log'!D:D,A504,'QA Log'!M:M,"Vignette",'QA Log'!Z:Z,"Approved",'QA Log'!L:L,"*Exit Interview 2*")
  )
)</f>
        <v/>
      </c>
      <c r="BR504" s="105" t="str">
        <f>IF(A504&lt;&gt;"",COUNTIFS('QA Log'!D:D,A504,'QA Log'!M:M,"Vignette",'QA Log'!L:L,"Exit Interview 1",'QA Log'!Z:Z,"Approved"),"")</f>
        <v/>
      </c>
      <c r="BS504" s="105" t="str">
        <f>IF(A504&lt;&gt;"",COUNTIFS('QA Log'!D:D,A504,'QA Log'!M:M,"Vignette",'QA Log'!L:L,"Exit Interview 2",'QA Log'!Z:Z,"Approved"),"")</f>
        <v/>
      </c>
      <c r="BT504" s="102" t="str">
        <f>IF(
  A504="","",
  SUM(
    COUNTIFS('QA Log'!D:D,A504,'QA Log'!M:M,"Vignette",'QA Log'!Z:Z,"Rejected",'QA Log'!L:L,"*Exit Interview 1*"),
    COUNTIFS('QA Log'!D:D,A504,'QA Log'!M:M,"Vignette",'QA Log'!Z:Z,"Rejected",'QA Log'!L:L,"*Exit Interview 2*")
  )
)</f>
        <v/>
      </c>
      <c r="BU504" s="107" t="str">
        <f t="shared" si="39"/>
        <v/>
      </c>
      <c r="BV504" s="102" t="str">
        <f t="shared" si="40"/>
        <v/>
      </c>
      <c r="BW504" s="102" t="str">
        <f t="shared" si="41"/>
        <v/>
      </c>
      <c r="BX504" s="102" t="str">
        <f t="shared" si="42"/>
        <v/>
      </c>
      <c r="BY504" s="102" t="str">
        <f t="shared" si="43"/>
        <v/>
      </c>
      <c r="BZ504" s="107" t="str">
        <f t="shared" si="44"/>
        <v/>
      </c>
      <c r="CA504" s="108" t="str">
        <f t="shared" si="45"/>
        <v/>
      </c>
      <c r="CB504" s="108" t="str">
        <f t="shared" si="46"/>
        <v/>
      </c>
      <c r="CC504" s="109" t="str">
        <f t="shared" si="47"/>
        <v/>
      </c>
      <c r="CD504" s="108" t="str">
        <f t="shared" si="48"/>
        <v/>
      </c>
      <c r="CE504" s="108" t="str">
        <f t="shared" si="49"/>
        <v/>
      </c>
      <c r="CF504" s="109" t="str">
        <f t="shared" si="50"/>
        <v/>
      </c>
      <c r="CG504" s="110" t="str">
        <f t="shared" si="51"/>
        <v/>
      </c>
      <c r="CH504" s="111"/>
    </row>
    <row r="505" spans="1:86" ht="12.75">
      <c r="A505" s="101"/>
      <c r="B505" s="102" t="e">
        <f t="array" aca="1" ref="B505" ca="1">_xludf.XLOOKUP(A505,'QA Log'!D:D,'QA Log'!E:E,"")</f>
        <v>#NAME?</v>
      </c>
      <c r="C505" s="102" t="e">
        <f t="array" aca="1" ref="C505" ca="1">_xludf.XLOOKUP(A505,'QA Log'!D:D,'QA Log'!F:F,"")</f>
        <v>#NAME?</v>
      </c>
      <c r="D505" s="102" t="e">
        <f t="array" aca="1" ref="D505" ca="1">_xludf.XLOOKUP(A505,'QA Log'!D:D,'QA Log'!H:H,"")</f>
        <v>#NAME?</v>
      </c>
      <c r="E505" s="102" t="e">
        <f t="array" aca="1" ref="E505" ca="1">_xludf.XLOOKUP(A505,'QA Log'!D:D,'QA Log'!G:G,"")</f>
        <v>#NAME?</v>
      </c>
      <c r="F505" s="103"/>
      <c r="G505" s="104"/>
      <c r="H505" s="104"/>
      <c r="I505" s="103" t="str">
        <f t="shared" si="26"/>
        <v/>
      </c>
      <c r="J505" s="102" t="str">
        <f>IF(A505="","",SUM(
COUNTIFS('QA Log'!D:D,A505,'QA Log'!M:M,"QQC",'QA Log'!L:L,"*1. General Management*"),
COUNTIFS('QA Log'!D:D,A505,'QA Log'!M:M,"QQC",'QA Log'!L:L,"*3. Curative Consultation (OPD)*"),
COUNTIFS('QA Log'!D:D,A505,'QA Log'!M:M,"QQC",'QA Log'!L:L,"*5. Laboratory*"),
COUNTIFS('QA Log'!D:D,A505,'QA Log'!M:M,"QQC",'QA Log'!L:L,"*6. Essential Medicine Management*"),
COUNTIFS('QA Log'!D:D,A505,'QA Log'!M:M,"QQC",'QA Log'!L:L,"*7. Tracer Medicine*"),
COUNTIFS('QA Log'!D:D,A505,'QA Log'!M:M,"QQC",'QA Log'!L:L,"*11. Additional Questions*")))</f>
        <v/>
      </c>
      <c r="K505" s="102" t="str">
        <f>IF(A505="","",SUM(
COUNTIFS('QA Log'!D:D,A505,'QA Log'!M:M,"QQC",'QA Log'!Z:Z,"Approved",'QA Log'!L:L,"*1. General Management*"),
COUNTIFS('QA Log'!D:D,A505,'QA Log'!M:M,"QQC",'QA Log'!Z:Z,"Approved",'QA Log'!L:L,"*3. Curative Consultation (OPD)*"),
COUNTIFS('QA Log'!D:D,A505,'QA Log'!M:M,"QQC",'QA Log'!Z:Z,"Approved",'QA Log'!L:L,"*5. Laboratory*"),
COUNTIFS('QA Log'!D:D,A505,'QA Log'!M:M,"QQC",'QA Log'!Z:Z,"Approved",'QA Log'!L:L,"*6. Essential Medicine Management*"),
COUNTIFS('QA Log'!D:D,A505,'QA Log'!M:M,"QQC",'QA Log'!Z:Z,"Approved",'QA Log'!L:L,"*7. Tracer Medicine*"),
COUNTIFS('QA Log'!D:D,A505,'QA Log'!M:M,"QQC",'QA Log'!Z:Z,"Approved",'QA Log'!L:L,"*11. Additional Questions*")))</f>
        <v/>
      </c>
      <c r="L505" s="102" t="str">
        <f>IF(A505&lt;&gt;"",COUNTIFS('QA Log'!D:D,A505,'QA Log'!M:M,"QQC",'QA Log'!L:L,"1. General Management",'QA Log'!Z:Z,"Approved"),"")</f>
        <v/>
      </c>
      <c r="M505" s="102" t="str">
        <f>IF(A505&lt;&gt;"",COUNTIFS('QA Log'!D:D,A505,'QA Log'!M:M,"QQC",'QA Log'!L:L,"3. Curative Consultation (OPD)",'QA Log'!Z:Z,"Approved"),"")</f>
        <v/>
      </c>
      <c r="N505" s="102" t="str">
        <f>IF(A505&lt;&gt;"",COUNTIFS('QA Log'!D:D,A505,'QA Log'!M:M,"QQC",'QA Log'!L:L,"5. Laboratory",'QA Log'!Z:Z,"Approved"),"")</f>
        <v/>
      </c>
      <c r="O505" s="102" t="str">
        <f>IF(A505&lt;&gt;"",COUNTIFS('QA Log'!D:D,A505,'QA Log'!M:M,"QQC",'QA Log'!L:L,"6. Essential Medicine Management",'QA Log'!Z:Z,"Approved"),"")</f>
        <v/>
      </c>
      <c r="P505" s="102" t="str">
        <f>IF(A505&lt;&gt;"",COUNTIFS('QA Log'!D:D,A505,'QA Log'!M:M,"QQC",'QA Log'!L:L,"7. Tracer Medicine",'QA Log'!Z:Z,"Approved"),"")</f>
        <v/>
      </c>
      <c r="Q505" s="102" t="str">
        <f>IF(A505&lt;&gt;"",COUNTIFS('QA Log'!D:D,A505,'QA Log'!M:M,"QQC",'QA Log'!L:L,"11. Additional Questions",'QA Log'!Z:Z,"Approved"),"")</f>
        <v/>
      </c>
      <c r="R505" s="102" t="str">
        <f>IF(A505="","",SUM(
COUNTIFS('QA Log'!D:D,A505,'QA Log'!M:M,"QQC",'QA Log'!Z:Z,"Rejected",'QA Log'!L:L,"*8. Maternity*"),
COUNTIFS('QA Log'!D:D,A505,'QA Log'!M:M,"QQC",'QA Log'!Z:Z,"Rejected",'QA Log'!L:L,"*EPI*"),
COUNTIFS('QA Log'!D:D,A505,'QA Log'!M:M,"QQC",'QA Log'!Z:Z,"Rejected",'QA Log'!L:L,"*10. Antenatal Care (ANC)*"),
COUNTIFS('QA Log'!D:D,A505,'QA Log'!M:M,"QQC",'QA Log'!Z:Z,"Rejected",'QA Log'!L:L,"*2. Hygiene and Sterilization*"),
COUNTIFS('QA Log'!D:D,A505,'QA Log'!M:M,"QQC",'QA Log'!Z:Z,"Rejected",'QA Log'!L:L,"*Family Planning*")))</f>
        <v/>
      </c>
      <c r="S505" s="106" t="str">
        <f t="shared" si="27"/>
        <v/>
      </c>
      <c r="T505" s="102" t="str">
        <f t="shared" si="28"/>
        <v/>
      </c>
      <c r="U505" s="102" t="str">
        <f>IF(A505="","",
SUM(
COUNTIFS('QA Log'!D:D,A505,'QA Log'!M:M,"QQC",'QA Log'!L:L,"*8. Maternity*"),
COUNTIFS('QA Log'!D:D,A505,'QA Log'!M:M,"QQC",'QA Log'!L:L,"*9. EPI and Pre-school Consultation*"),
COUNTIFS('QA Log'!D:D,A505,'QA Log'!M:M,"QQC",'QA Log'!L:L,"*10. Antenatal Care (ANC)*"),
COUNTIFS('QA Log'!D:D,A505,'QA Log'!M:M,"QQC",'QA Log'!L:L,"*2. Hygiene and Sterilization*"),
COUNTIFS('QA Log'!D:D,A505,'QA Log'!M:M,"QQC",'QA Log'!L:L,"*4. Family Planning*")
))</f>
        <v/>
      </c>
      <c r="V505" s="102" t="str">
        <f>IF(A505="","",
SUM(
COUNTIFS('QA Log'!D:D,A505,'QA Log'!M:M,"QQC",'QA Log'!Z:Z,"Approved",'QA Log'!L:L,"*8. Maternity*"),
COUNTIFS('QA Log'!D:D,A505,'QA Log'!M:M,"QQC",'QA Log'!Z:Z,"Approved",'QA Log'!L:L,"*9. EPI and Pre-school Consultation*"),
COUNTIFS('QA Log'!D:D,A505,'QA Log'!M:M,"QQC",'QA Log'!Z:Z,"Approved",'QA Log'!L:L,"*10. Antenatal Care (ANC)*"),
COUNTIFS('QA Log'!D:D,A505,'QA Log'!M:M,"QQC",'QA Log'!Z:Z,"Approved",'QA Log'!L:L,"*2. Hygiene and Sterilization*"),
COUNTIFS('QA Log'!D:D,A505,'QA Log'!M:M,"QQC",'QA Log'!Z:Z,"Approved",'QA Log'!L:L,"*4. Family Planning*")
))</f>
        <v/>
      </c>
      <c r="W505" s="102" t="str">
        <f>IF(A505&lt;&gt;"",COUNTIFS('QA Log'!D:D,A505,'QA Log'!M:M,"QQC",'QA Log'!L:L,"8. Maternity",'QA Log'!Z:Z,"Approved"),"")</f>
        <v/>
      </c>
      <c r="X505" s="105" t="str">
        <f>IF(A505&lt;&gt;"",COUNTIFS('QA Log'!D:D,A505,'QA Log'!M:M,"QQC",'QA Log'!L:L,"9. EPI and Pre-school Consultation",'QA Log'!Z:Z,"Approved"),"")</f>
        <v/>
      </c>
      <c r="Y505" s="102" t="str">
        <f>IF(A505&lt;&gt;"",COUNTIFS('QA Log'!D:D,A505,'QA Log'!M:M,"QQC",'QA Log'!L:L,"10. Antenatal Care (ANC)",'QA Log'!Z:Z,"Approved"),"")</f>
        <v/>
      </c>
      <c r="Z505" s="102" t="str">
        <f>IF(A505&lt;&gt;"",COUNTIFS('QA Log'!D:D,A505,'QA Log'!M:M,"QQC",'QA Log'!L:L,"2. Hygiene and Sterilization",'QA Log'!Z:Z,"Approved"),"")</f>
        <v/>
      </c>
      <c r="AA505" s="105" t="str">
        <f>IF(A505&lt;&gt;"",COUNTIFS('QA Log'!D:D,A505,'QA Log'!M:M,"QQC",'QA Log'!L:L,"4. Family Planning",'QA Log'!Z:Z,"Approved"),"")</f>
        <v/>
      </c>
      <c r="AB505" s="102" t="str">
        <f>IF(A505="","",
SUM(
COUNTIFS('QA Log'!D:D,A505,'QA Log'!M:M,"QQC",'QA Log'!Z:Z,"Rejected",'QA Log'!L:L,"*8. Maternity*"),
COUNTIFS('QA Log'!D:D,A505,'QA Log'!M:M,"QQC",'QA Log'!Z:Z,"Rejected",'QA Log'!L:L,"*9. EPI and Pre-school Consultation*"),
COUNTIFS('QA Log'!D:D,A505,'QA Log'!M:M,"QQC",'QA Log'!Z:Z,"Rejected",'QA Log'!L:L,"*10. Antenatal Care (ANC)*"),
COUNTIFS('QA Log'!D:D,A505,'QA Log'!M:M,"QQC",'QA Log'!Z:Z,"Rejected",'QA Log'!L:L,"*2. Hygiene and Sterilization*"),
COUNTIFS('QA Log'!D:D,A505,'QA Log'!M:M,"QQC",'QA Log'!Z:Z,"Rejected",'QA Log'!L:L,"*4. Family Planning*")
))</f>
        <v/>
      </c>
      <c r="AC505" s="102" t="str">
        <f t="shared" si="29"/>
        <v/>
      </c>
      <c r="AD505" s="103" t="str">
        <f t="shared" si="30"/>
        <v/>
      </c>
      <c r="AE505" s="102" t="str">
        <f>IF(A505="","",
SUM(
COUNTIFS('QA Log'!D:D,A505,'QA Log'!M:M,"Data Verification",'QA Log'!L:L,"*Medicine (section 2)*"),
COUNTIFS('QA Log'!D:D,A505,'QA Log'!M:M,"Data Verification",'QA Log'!L:L,"*Lab Testing Availability*"),
COUNTIFS('QA Log'!D:D,A505,'QA Log'!M:M,"Data Verification",'QA Log'!L:L,"*Other than P4P (section 6)*"),
COUNTIFS('QA Log'!D:D,A505,'QA Log'!M:M,"Data Verification",'QA Log'!L:L,"*Hospital Governance*")
))</f>
        <v/>
      </c>
      <c r="AF505" s="102" t="str">
        <f>IF(A505="","",
SUM(
COUNTIFS('QA Log'!D:D,A505,'QA Log'!M:M,"Data Verification",'QA Log'!Z:Z,"Approved",'QA Log'!L:L,"*Medicine (section 2)*"),
COUNTIFS('QA Log'!D:D,A505,'QA Log'!M:M,"Data Verification",'QA Log'!Z:Z,"Approved",'QA Log'!L:L,"*Lab Testing Availability*"),
COUNTIFS('QA Log'!D:D,A505,'QA Log'!M:M,"Data Verification",'QA Log'!Z:Z,"Approved",'QA Log'!L:L,"*Other than P4P (section 6)*"),
COUNTIFS('QA Log'!D:D,A505,'QA Log'!M:M,"Data Verification",'QA Log'!Z:Z,"Approved",'QA Log'!L:L,"*Hospital Governance*")
))</f>
        <v/>
      </c>
      <c r="AG505" s="105" t="str">
        <f>IF(A505&lt;&gt;"",COUNTIFS('QA Log'!D:D,A505,'QA Log'!M:M,"Data Verification",'QA Log'!L:L,"Medicine (section 2)",'QA Log'!Z:Z,"Approved"),"")</f>
        <v/>
      </c>
      <c r="AH505" s="105" t="str">
        <f>IF(A505&lt;&gt;"",COUNTIFS('QA Log'!D:D,A505,'QA Log'!M:M,"Data Verification",'QA Log'!L:L,"Lab Testing Availability",'QA Log'!Z:Z,"Approved"),"")</f>
        <v/>
      </c>
      <c r="AI505" s="105" t="str">
        <f>IF(A505&lt;&gt;"",COUNTIFS('QA Log'!D:D,A505,'QA Log'!M:M,"Data Verification",'QA Log'!L:L,"Other than P4P (section 6)",'QA Log'!Z:Z,"Approved"),"")</f>
        <v/>
      </c>
      <c r="AJ505" s="105" t="str">
        <f>IF(A505&lt;&gt;"",COUNTIFS('QA Log'!D:D,A505,'QA Log'!M:M,"Data Verification",'QA Log'!L:L,"Hospital Governance",'QA Log'!Z:Z,"Approved"),"")</f>
        <v/>
      </c>
      <c r="AK505" s="102" t="str">
        <f>IF(A505="","",
SUM(
COUNTIFS('QA Log'!D:D,A505,'QA Log'!M:M,"Data Verification",'QA Log'!Z:Z,"Rejected",'QA Log'!L:L,"*Medicine (section 2)*"),
COUNTIFS('QA Log'!D:D,A505,'QA Log'!M:M,"Data Verification",'QA Log'!Z:Z,"Rejected",'QA Log'!L:L,"*Lab Testing Availability*"),
COUNTIFS('QA Log'!D:D,A505,'QA Log'!M:M,"Data Verification",'QA Log'!Z:Z,"Rejected",'QA Log'!L:L,"*Other than P4P (section 6)*"),
COUNTIFS('QA Log'!D:D,A505,'QA Log'!M:M,"Data Verification",'QA Log'!Z:Z,"Rejected",'QA Log'!L:L,"*Hospital Governance*")
))</f>
        <v/>
      </c>
      <c r="AL505" s="106" t="str">
        <f t="shared" si="31"/>
        <v/>
      </c>
      <c r="AM505" s="102" t="str">
        <f t="shared" si="32"/>
        <v/>
      </c>
      <c r="AN505" s="102" t="str">
        <f>IF(A505="","",
SUM(
COUNTIFS('QA Log'!D:D,A505,'QA Log'!M:M,"Data Verification",'QA Log'!L:L,"*Personnel (section 1)*"),
COUNTIFS('QA Log'!D:D,A505,'QA Log'!M:M,"Data Verification",'QA Log'!L:L,"*Consumable (section 3)*"),
COUNTIFS('QA Log'!D:D,A505,'QA Log'!M:M,"Data Verification",'QA Log'!L:L,"*Equipments (section 4)*")
))</f>
        <v/>
      </c>
      <c r="AO505" s="102" t="str">
        <f>IF(A505="","",
SUM(
COUNTIFS('QA Log'!D:D,A505,'QA Log'!M:M,"Data Verification",'QA Log'!Z:Z,"Approved",'QA Log'!L:L,"*Personnel (section 1)*"),
COUNTIFS('QA Log'!D:D,A505,'QA Log'!M:M,"Data Verification",'QA Log'!Z:Z,"Approved",'QA Log'!L:L,"*Consumable (section 3)*"),
COUNTIFS('QA Log'!D:D,A505,'QA Log'!M:M,"Data Verification",'QA Log'!Z:Z,"Approved",'QA Log'!L:L,"*Equipments (section 4)*")
))</f>
        <v/>
      </c>
      <c r="AP505" s="105" t="str">
        <f>IF(A505&lt;&gt;"",COUNTIFS('QA Log'!D:D,A505,'QA Log'!M:M,"Data Verification",'QA Log'!L:L,"Personnel (section 1)",'QA Log'!Z:Z,"Approved"),"")</f>
        <v/>
      </c>
      <c r="AQ505" s="105" t="str">
        <f>IF(A505&lt;&gt;"",COUNTIFS('QA Log'!D:D,A505,'QA Log'!M:M,"Data Verification",'QA Log'!L:L,"Consumable (section 3)",'QA Log'!Z:Z,"Approved"),"")</f>
        <v/>
      </c>
      <c r="AR505" s="105" t="str">
        <f>IF(A505&lt;&gt;"",COUNTIFS('QA Log'!D:D,A505,'QA Log'!M:M,"Data Verification",'QA Log'!L:L,"Equipments (section 4)",'QA Log'!Z:Z,"Approved"),"")</f>
        <v/>
      </c>
      <c r="AS505" s="102" t="str">
        <f>IF(A505="","",
SUM(
COUNTIFS('QA Log'!D:D,A505,'QA Log'!M:M,"Data Verification",'QA Log'!Z:Z,"Rejected",'QA Log'!L:L,"*Personnel (section 1)*"),
COUNTIFS('QA Log'!D:D,A505,'QA Log'!M:M,"Data Verification",'QA Log'!Z:Z,"Rejected",'QA Log'!L:L,"*Consumable (section 3)*"),
COUNTIFS('QA Log'!D:D,A505,'QA Log'!M:M,"Data Verification",'QA Log'!Z:Z,"Rejected",'QA Log'!L:L,"*Equipments (section 4)*")
))</f>
        <v/>
      </c>
      <c r="AT505" s="102" t="str">
        <f t="shared" si="33"/>
        <v/>
      </c>
      <c r="AU505" s="103" t="str">
        <f t="shared" si="34"/>
        <v/>
      </c>
      <c r="AV505" s="102" t="str">
        <f>IF(A505="","",SUM(
COUNTIFS('QA Log'!D:D,A505,'QA Log'!M:M,"Vignette",'QA Log'!L:L,"*Vignette [1] Respiratory Infection: Pneumonia*"),
COUNTIFS('QA Log'!D:D,A505,'QA Log'!M:M,"Vignette",'QA Log'!L:L,"*Vignette [2]: Diarrhea with Cat B dehydration*"),
COUNTIFS('QA Log'!D:D,A505,'QA Log'!M:M,"Vignette",'QA Log'!L:L,"*Vignette [3] Growth Monitoring and Promotion*"),
COUNTIFS('QA Log'!D:D,A505,'QA Log'!M:M,"Vignette",'QA Log'!L:L,"*Vignette [4]: The management of presumptive TB patient*")
)
)</f>
        <v/>
      </c>
      <c r="AW505" s="102" t="str">
        <f>IF(
  A505="","",
  SUM(
    COUNTIFS('QA Log'!D:D,A505,'QA Log'!M:M,"Vignette",'QA Log'!Z:Z,"Approved",'QA Log'!L:L,"*Vignette [1] Respiratory Infection: Pneumonia*"),
    COUNTIFS('QA Log'!D:D,A505,'QA Log'!M:M,"Vignette",'QA Log'!Z:Z,"Approved",'QA Log'!L:L,"*Vignette [2]: Diarrhea with Cat B dehydration*"),
    COUNTIFS('QA Log'!D:D,A505,'QA Log'!M:M,"Vignette",'QA Log'!Z:Z,"Approved",'QA Log'!L:L,"*Vignette [3] Growth Monitoring and Promotion*"),
    COUNTIFS('QA Log'!D:D,A505,'QA Log'!M:M,"Vignette",'QA Log'!Z:Z,"Approved",'QA Log'!L:L,"*Vignette [4]: The management of presumptive TB patient*")
  )
)</f>
        <v/>
      </c>
      <c r="AX505" s="105" t="str">
        <f>IF(A505&lt;&gt;"",COUNTIFS('QA Log'!D:D,A505,'QA Log'!M:M,"Vignette",'QA Log'!L:L,"Vignette [1] Respiratory Infection: Pneumonia",'QA Log'!Z:Z,"Approved"),"")</f>
        <v/>
      </c>
      <c r="AY505" s="105" t="str">
        <f>IF(A505&lt;&gt;"",COUNTIFS('QA Log'!D:D,A505,'QA Log'!M:M,"Vignette",'QA Log'!L:L,"Vignette [2]: Diarrhea with Cat B dehydration",'QA Log'!Z:Z,"Approved"),"")</f>
        <v/>
      </c>
      <c r="AZ505" s="105" t="str">
        <f>IF(A505&lt;&gt;"",COUNTIFS('QA Log'!D:D,A505,'QA Log'!M:M,"Vignette",'QA Log'!L:L,"Vignette [3] Growth Monitoring and Promotion",'QA Log'!Z:Z,"Approved"),"")</f>
        <v/>
      </c>
      <c r="BA505" s="105" t="str">
        <f>IF(A505&lt;&gt;"",COUNTIFS('QA Log'!D:D,A505,'QA Log'!M:M,"Vignette",'QA Log'!L:L,"Vignette [4]: The management of presumptive TB patient",'QA Log'!Z:Z,"Approved"),"")</f>
        <v/>
      </c>
      <c r="BB505" s="102" t="str">
        <f>IF(A505="","",
  SUM(
    COUNTIFS('QA Log'!D:D,A505,'QA Log'!M:M,"Vignette",'QA Log'!Z:Z,"Rejected",'QA Log'!L:L,"*Vignette [1] Respiratory Infection: Pneumonia*"),
    COUNTIFS('QA Log'!D:D,A505,'QA Log'!M:M,"Vignette",'QA Log'!Z:Z,"Rejected",'QA Log'!L:L,"*Vignette [2]: Diarrhea with Cat B dehydration*"),
    COUNTIFS('QA Log'!D:D,A505,'QA Log'!M:M,"Vignette",'QA Log'!Z:Z,"Rejected",'QA Log'!L:L,"*Vignette [3] Growth Monitoring and Promotion*"),
    COUNTIFS('QA Log'!D:D,A505,'QA Log'!M:M,"Vignette",'QA Log'!Z:Z,"Rejected",'QA Log'!L:L,"*Vignette [4]: The management of presumptive TB patient*")
  )
)</f>
        <v/>
      </c>
      <c r="BC505" s="107" t="str">
        <f t="shared" si="35"/>
        <v/>
      </c>
      <c r="BD505" s="103" t="str">
        <f t="shared" si="36"/>
        <v/>
      </c>
      <c r="BE505" s="102" t="str">
        <f>IF(A505="","",SUM(
COUNTIFS('QA Log'!D:D,A505,'QA Log'!M:M,"Vignette",'QA Log'!L:L,"*Vignette [5] Labor*"),
COUNTIFS('QA Log'!D:D,A505,'QA Log'!M:M,"Vignette",'QA Log'!L:L,"*Vignette [6] PNC pre Discharge*"),
COUNTIFS('QA Log'!D:D,A505,'QA Log'!M:M,"Vignette",'QA Log'!L:L,"*Vignette [7] First ANC Visit*"),
COUNTIFS('QA Log'!D:D,A505,'QA Log'!M:M,"Vignette",'QA Log'!L:L,"*Vignette [8] Birth Spacing/ Family Planning :  FP Counselling*"),
COUNTIFS('QA Log'!D:D,A505,'QA Log'!M:M,"Vignette",'QA Log'!L:L,"*Vignette [9] Birth Spacing: Change FP method to Injectable*"),
COUNTIFS('QA Log'!D:D,A505,'QA Log'!M:M,"Vignette",'QA Log'!L:L,"*Vignette [10] Post Partum Haemorrhage - Atonic Uterus at Health Centre*"),
)
)</f>
        <v/>
      </c>
      <c r="BF505" s="102" t="str">
        <f>IF(A505="","",
  SUM(
    COUNTIFS('QA Log'!D:D,A505,'QA Log'!M:M,"Vignette",'QA Log'!Z:Z,"Approved",'QA Log'!L:L,"*Vignette [5] Labor*"),
    COUNTIFS('QA Log'!D:D,A505,'QA Log'!M:M,"Vignette",'QA Log'!Z:Z,"Approved",'QA Log'!L:L,"*Vignette [6] PNC pre Discharge*"),
    COUNTIFS('QA Log'!D:D,A505,'QA Log'!M:M,"Vignette",'QA Log'!Z:Z,"Approved",'QA Log'!L:L,"*Vignette [7] First ANC Visit*"),
    COUNTIFS('QA Log'!D:D,A505,'QA Log'!M:M,"Vignette",'QA Log'!Z:Z,"Approved",'QA Log'!L:L,"*Vignette [8] Birth Spacing/ Family Planning :  FP Counselling*"),
    COUNTIFS('QA Log'!D:D,A505,'QA Log'!M:M,"Vignette",'QA Log'!Z:Z,"Approved",'QA Log'!L:L,"*Vignette [9] Birth Spacing: Change FP method to Injectable*"),
    COUNTIFS('QA Log'!D:D,A505,'QA Log'!M:M,"Vignette",'QA Log'!Z:Z,"Approved",'QA Log'!L:L,"*Vignette [10] Post Partum Haemorrhage - Atonic Uterus at Health Centre*")
  )
)</f>
        <v/>
      </c>
      <c r="BG505" s="105" t="str">
        <f>IF(A505&lt;&gt;"",COUNTIFS('QA Log'!D:D,A505,'QA Log'!M:M,"Vignette",'QA Log'!L:L,"Vignette [5] Labor",'QA Log'!Z:Z,"Approved"),"")</f>
        <v/>
      </c>
      <c r="BH505" s="105" t="str">
        <f>IF(A505&lt;&gt;"",COUNTIFS('QA Log'!D:D,A505,'QA Log'!M:M,"Vignette",'QA Log'!L:L,"Vignette [6] PNC pre Discharge",'QA Log'!Z:Z,"Approved"),"")</f>
        <v/>
      </c>
      <c r="BI505" s="105" t="str">
        <f>IF(A505&lt;&gt;"",COUNTIFS('QA Log'!D:D,A505,'QA Log'!M:M,"Vignette",'QA Log'!L:L,"Vignette [7] First ANC Visit",'QA Log'!Z:Z,"Approved"),"")</f>
        <v/>
      </c>
      <c r="BJ505" s="105" t="str">
        <f>IF(A505&lt;&gt;"",COUNTIFS('QA Log'!D:D,A505,'QA Log'!M:M,"Vignette",'QA Log'!L:L,"Vignette [8] Birth Spacing/ Family Planning :  FP Counselling",'QA Log'!Z:Z,"Approved"),"")</f>
        <v/>
      </c>
      <c r="BK505" s="105" t="str">
        <f>IF(A505&lt;&gt;"",COUNTIFS('QA Log'!D:D,A505,'QA Log'!M:M,"Vignette",'QA Log'!L:L,"Vignette [9] Birth Spacing: Change FP method to Injectable",'QA Log'!Z:Z,"Approved"),"")</f>
        <v/>
      </c>
      <c r="BL505" s="105" t="str">
        <f>IF(A505&lt;&gt;"",COUNTIFS('QA Log'!D:D,A505,'QA Log'!M:M,"Vignette",'QA Log'!L:L,"Vignette [10] Post Partum Haemorrhage - Atonic Uterus at Health Centre",'QA Log'!Z:Z,"Approved"),"")</f>
        <v/>
      </c>
      <c r="BM505" s="102" t="str">
        <f>IF(A505="","",SUM(
    COUNTIFS('QA Log'!D:D,A505,'QA Log'!M:M,"Vignette",'QA Log'!Z:Z,"Rejected",'QA Log'!L:L,"*Vignette [5] Labor*"),
    COUNTIFS('QA Log'!D:D,A505,'QA Log'!M:M,"Vignette",'QA Log'!Z:Z,"Rejected",'QA Log'!L:L,"*Vignette [6] PNC pre Discharge*"),
    COUNTIFS('QA Log'!D:D,A505,'QA Log'!M:M,"Vignette",'QA Log'!Z:Z,"Rejected",'QA Log'!L:L,"*Vignette [7] First ANC Visit*"),
    COUNTIFS('QA Log'!D:D,A505,'QA Log'!M:M,"Vignette",'QA Log'!Z:Z,"Rejected",'QA Log'!L:L,"*Vignette [8] Birth Spacing/ Family Planning :  FP Counselling*"),
    COUNTIFS('QA Log'!D:D,A505,'QA Log'!M:M,"Vignette",'QA Log'!Z:Z,"Rejected",'QA Log'!L:L,"*Vignette [9] Birth Spacing: Change FP method to Injectable*"),
    COUNTIFS('QA Log'!D:D,A505,'QA Log'!M:M,"Vignette",'QA Log'!Z:Z,"Rejected",'QA Log'!L:L,"*Vignette [10] Post Partum Haemorrhage - Atonic Uterus at Health Centre*")
  )
)</f>
        <v/>
      </c>
      <c r="BN505" s="107" t="str">
        <f t="shared" si="37"/>
        <v/>
      </c>
      <c r="BO505" s="103" t="str">
        <f t="shared" si="38"/>
        <v/>
      </c>
      <c r="BP505" s="102" t="str">
        <f>IF(A505="","",SUM(
COUNTIFS('QA Log'!D:D,A505,'QA Log'!M:M,"Vignette",'QA Log'!L:L,"*Exit Interview 1*"),
COUNTIFS('QA Log'!D:D,A505,'QA Log'!M:M,"Vignette",'QA Log'!L:L,"*Exit Interview 2*"),
)
)</f>
        <v/>
      </c>
      <c r="BQ505" s="102" t="str">
        <f>IF(
  A505="","",
  SUM(
    COUNTIFS('QA Log'!D:D,A505,'QA Log'!M:M,"Vignette",'QA Log'!Z:Z,"Approved",'QA Log'!L:L,"*Exit Interview 1*"),
    COUNTIFS('QA Log'!D:D,A505,'QA Log'!M:M,"Vignette",'QA Log'!Z:Z,"Approved",'QA Log'!L:L,"*Exit Interview 2*")
  )
)</f>
        <v/>
      </c>
      <c r="BR505" s="105" t="str">
        <f>IF(A505&lt;&gt;"",COUNTIFS('QA Log'!D:D,A505,'QA Log'!M:M,"Vignette",'QA Log'!L:L,"Exit Interview 1",'QA Log'!Z:Z,"Approved"),"")</f>
        <v/>
      </c>
      <c r="BS505" s="105" t="str">
        <f>IF(A505&lt;&gt;"",COUNTIFS('QA Log'!D:D,A505,'QA Log'!M:M,"Vignette",'QA Log'!L:L,"Exit Interview 2",'QA Log'!Z:Z,"Approved"),"")</f>
        <v/>
      </c>
      <c r="BT505" s="102" t="str">
        <f>IF(
  A505="","",
  SUM(
    COUNTIFS('QA Log'!D:D,A505,'QA Log'!M:M,"Vignette",'QA Log'!Z:Z,"Rejected",'QA Log'!L:L,"*Exit Interview 1*"),
    COUNTIFS('QA Log'!D:D,A505,'QA Log'!M:M,"Vignette",'QA Log'!Z:Z,"Rejected",'QA Log'!L:L,"*Exit Interview 2*")
  )
)</f>
        <v/>
      </c>
      <c r="BU505" s="107" t="str">
        <f t="shared" si="39"/>
        <v/>
      </c>
      <c r="BV505" s="102" t="str">
        <f t="shared" si="40"/>
        <v/>
      </c>
      <c r="BW505" s="102" t="str">
        <f t="shared" si="41"/>
        <v/>
      </c>
      <c r="BX505" s="102" t="str">
        <f t="shared" si="42"/>
        <v/>
      </c>
      <c r="BY505" s="102" t="str">
        <f t="shared" si="43"/>
        <v/>
      </c>
      <c r="BZ505" s="107" t="str">
        <f t="shared" si="44"/>
        <v/>
      </c>
      <c r="CA505" s="108" t="str">
        <f t="shared" si="45"/>
        <v/>
      </c>
      <c r="CB505" s="108" t="str">
        <f t="shared" si="46"/>
        <v/>
      </c>
      <c r="CC505" s="109" t="str">
        <f t="shared" si="47"/>
        <v/>
      </c>
      <c r="CD505" s="108" t="str">
        <f t="shared" si="48"/>
        <v/>
      </c>
      <c r="CE505" s="108" t="str">
        <f t="shared" si="49"/>
        <v/>
      </c>
      <c r="CF505" s="109" t="str">
        <f t="shared" si="50"/>
        <v/>
      </c>
      <c r="CG505" s="110" t="str">
        <f t="shared" si="51"/>
        <v/>
      </c>
      <c r="CH505" s="111"/>
    </row>
    <row r="506" spans="1:86" ht="12.75">
      <c r="A506" s="101"/>
      <c r="B506" s="102" t="e">
        <f t="array" aca="1" ref="B506" ca="1">_xludf.XLOOKUP(A506,'QA Log'!D:D,'QA Log'!E:E,"")</f>
        <v>#NAME?</v>
      </c>
      <c r="C506" s="102" t="e">
        <f t="array" aca="1" ref="C506" ca="1">_xludf.XLOOKUP(A506,'QA Log'!D:D,'QA Log'!F:F,"")</f>
        <v>#NAME?</v>
      </c>
      <c r="D506" s="102" t="e">
        <f t="array" aca="1" ref="D506" ca="1">_xludf.XLOOKUP(A506,'QA Log'!D:D,'QA Log'!H:H,"")</f>
        <v>#NAME?</v>
      </c>
      <c r="E506" s="102" t="e">
        <f t="array" aca="1" ref="E506" ca="1">_xludf.XLOOKUP(A506,'QA Log'!D:D,'QA Log'!G:G,"")</f>
        <v>#NAME?</v>
      </c>
      <c r="F506" s="103"/>
      <c r="G506" s="104"/>
      <c r="H506" s="104"/>
      <c r="I506" s="103" t="str">
        <f t="shared" si="26"/>
        <v/>
      </c>
      <c r="J506" s="102" t="str">
        <f>IF(A506="","",SUM(
COUNTIFS('QA Log'!D:D,A506,'QA Log'!M:M,"QQC",'QA Log'!L:L,"*1. General Management*"),
COUNTIFS('QA Log'!D:D,A506,'QA Log'!M:M,"QQC",'QA Log'!L:L,"*3. Curative Consultation (OPD)*"),
COUNTIFS('QA Log'!D:D,A506,'QA Log'!M:M,"QQC",'QA Log'!L:L,"*5. Laboratory*"),
COUNTIFS('QA Log'!D:D,A506,'QA Log'!M:M,"QQC",'QA Log'!L:L,"*6. Essential Medicine Management*"),
COUNTIFS('QA Log'!D:D,A506,'QA Log'!M:M,"QQC",'QA Log'!L:L,"*7. Tracer Medicine*"),
COUNTIFS('QA Log'!D:D,A506,'QA Log'!M:M,"QQC",'QA Log'!L:L,"*11. Additional Questions*")))</f>
        <v/>
      </c>
      <c r="K506" s="102" t="str">
        <f>IF(A506="","",SUM(
COUNTIFS('QA Log'!D:D,A506,'QA Log'!M:M,"QQC",'QA Log'!Z:Z,"Approved",'QA Log'!L:L,"*1. General Management*"),
COUNTIFS('QA Log'!D:D,A506,'QA Log'!M:M,"QQC",'QA Log'!Z:Z,"Approved",'QA Log'!L:L,"*3. Curative Consultation (OPD)*"),
COUNTIFS('QA Log'!D:D,A506,'QA Log'!M:M,"QQC",'QA Log'!Z:Z,"Approved",'QA Log'!L:L,"*5. Laboratory*"),
COUNTIFS('QA Log'!D:D,A506,'QA Log'!M:M,"QQC",'QA Log'!Z:Z,"Approved",'QA Log'!L:L,"*6. Essential Medicine Management*"),
COUNTIFS('QA Log'!D:D,A506,'QA Log'!M:M,"QQC",'QA Log'!Z:Z,"Approved",'QA Log'!L:L,"*7. Tracer Medicine*"),
COUNTIFS('QA Log'!D:D,A506,'QA Log'!M:M,"QQC",'QA Log'!Z:Z,"Approved",'QA Log'!L:L,"*11. Additional Questions*")))</f>
        <v/>
      </c>
      <c r="L506" s="102" t="str">
        <f>IF(A506&lt;&gt;"",COUNTIFS('QA Log'!D:D,A506,'QA Log'!M:M,"QQC",'QA Log'!L:L,"1. General Management",'QA Log'!Z:Z,"Approved"),"")</f>
        <v/>
      </c>
      <c r="M506" s="102" t="str">
        <f>IF(A506&lt;&gt;"",COUNTIFS('QA Log'!D:D,A506,'QA Log'!M:M,"QQC",'QA Log'!L:L,"3. Curative Consultation (OPD)",'QA Log'!Z:Z,"Approved"),"")</f>
        <v/>
      </c>
      <c r="N506" s="102" t="str">
        <f>IF(A506&lt;&gt;"",COUNTIFS('QA Log'!D:D,A506,'QA Log'!M:M,"QQC",'QA Log'!L:L,"5. Laboratory",'QA Log'!Z:Z,"Approved"),"")</f>
        <v/>
      </c>
      <c r="O506" s="102" t="str">
        <f>IF(A506&lt;&gt;"",COUNTIFS('QA Log'!D:D,A506,'QA Log'!M:M,"QQC",'QA Log'!L:L,"6. Essential Medicine Management",'QA Log'!Z:Z,"Approved"),"")</f>
        <v/>
      </c>
      <c r="P506" s="102" t="str">
        <f>IF(A506&lt;&gt;"",COUNTIFS('QA Log'!D:D,A506,'QA Log'!M:M,"QQC",'QA Log'!L:L,"7. Tracer Medicine",'QA Log'!Z:Z,"Approved"),"")</f>
        <v/>
      </c>
      <c r="Q506" s="102" t="str">
        <f>IF(A506&lt;&gt;"",COUNTIFS('QA Log'!D:D,A506,'QA Log'!M:M,"QQC",'QA Log'!L:L,"11. Additional Questions",'QA Log'!Z:Z,"Approved"),"")</f>
        <v/>
      </c>
      <c r="R506" s="102" t="str">
        <f>IF(A506="","",SUM(
COUNTIFS('QA Log'!D:D,A506,'QA Log'!M:M,"QQC",'QA Log'!Z:Z,"Rejected",'QA Log'!L:L,"*8. Maternity*"),
COUNTIFS('QA Log'!D:D,A506,'QA Log'!M:M,"QQC",'QA Log'!Z:Z,"Rejected",'QA Log'!L:L,"*EPI*"),
COUNTIFS('QA Log'!D:D,A506,'QA Log'!M:M,"QQC",'QA Log'!Z:Z,"Rejected",'QA Log'!L:L,"*10. Antenatal Care (ANC)*"),
COUNTIFS('QA Log'!D:D,A506,'QA Log'!M:M,"QQC",'QA Log'!Z:Z,"Rejected",'QA Log'!L:L,"*2. Hygiene and Sterilization*"),
COUNTIFS('QA Log'!D:D,A506,'QA Log'!M:M,"QQC",'QA Log'!Z:Z,"Rejected",'QA Log'!L:L,"*Family Planning*")))</f>
        <v/>
      </c>
      <c r="S506" s="106" t="str">
        <f t="shared" si="27"/>
        <v/>
      </c>
      <c r="T506" s="102" t="str">
        <f t="shared" si="28"/>
        <v/>
      </c>
      <c r="U506" s="102" t="str">
        <f>IF(A506="","",
SUM(
COUNTIFS('QA Log'!D:D,A506,'QA Log'!M:M,"QQC",'QA Log'!L:L,"*8. Maternity*"),
COUNTIFS('QA Log'!D:D,A506,'QA Log'!M:M,"QQC",'QA Log'!L:L,"*9. EPI and Pre-school Consultation*"),
COUNTIFS('QA Log'!D:D,A506,'QA Log'!M:M,"QQC",'QA Log'!L:L,"*10. Antenatal Care (ANC)*"),
COUNTIFS('QA Log'!D:D,A506,'QA Log'!M:M,"QQC",'QA Log'!L:L,"*2. Hygiene and Sterilization*"),
COUNTIFS('QA Log'!D:D,A506,'QA Log'!M:M,"QQC",'QA Log'!L:L,"*4. Family Planning*")
))</f>
        <v/>
      </c>
      <c r="V506" s="102" t="str">
        <f>IF(A506="","",
SUM(
COUNTIFS('QA Log'!D:D,A506,'QA Log'!M:M,"QQC",'QA Log'!Z:Z,"Approved",'QA Log'!L:L,"*8. Maternity*"),
COUNTIFS('QA Log'!D:D,A506,'QA Log'!M:M,"QQC",'QA Log'!Z:Z,"Approved",'QA Log'!L:L,"*9. EPI and Pre-school Consultation*"),
COUNTIFS('QA Log'!D:D,A506,'QA Log'!M:M,"QQC",'QA Log'!Z:Z,"Approved",'QA Log'!L:L,"*10. Antenatal Care (ANC)*"),
COUNTIFS('QA Log'!D:D,A506,'QA Log'!M:M,"QQC",'QA Log'!Z:Z,"Approved",'QA Log'!L:L,"*2. Hygiene and Sterilization*"),
COUNTIFS('QA Log'!D:D,A506,'QA Log'!M:M,"QQC",'QA Log'!Z:Z,"Approved",'QA Log'!L:L,"*4. Family Planning*")
))</f>
        <v/>
      </c>
      <c r="W506" s="102" t="str">
        <f>IF(A506&lt;&gt;"",COUNTIFS('QA Log'!D:D,A506,'QA Log'!M:M,"QQC",'QA Log'!L:L,"8. Maternity",'QA Log'!Z:Z,"Approved"),"")</f>
        <v/>
      </c>
      <c r="X506" s="105" t="str">
        <f>IF(A506&lt;&gt;"",COUNTIFS('QA Log'!D:D,A506,'QA Log'!M:M,"QQC",'QA Log'!L:L,"9. EPI and Pre-school Consultation",'QA Log'!Z:Z,"Approved"),"")</f>
        <v/>
      </c>
      <c r="Y506" s="102" t="str">
        <f>IF(A506&lt;&gt;"",COUNTIFS('QA Log'!D:D,A506,'QA Log'!M:M,"QQC",'QA Log'!L:L,"10. Antenatal Care (ANC)",'QA Log'!Z:Z,"Approved"),"")</f>
        <v/>
      </c>
      <c r="Z506" s="102" t="str">
        <f>IF(A506&lt;&gt;"",COUNTIFS('QA Log'!D:D,A506,'QA Log'!M:M,"QQC",'QA Log'!L:L,"2. Hygiene and Sterilization",'QA Log'!Z:Z,"Approved"),"")</f>
        <v/>
      </c>
      <c r="AA506" s="105" t="str">
        <f>IF(A506&lt;&gt;"",COUNTIFS('QA Log'!D:D,A506,'QA Log'!M:M,"QQC",'QA Log'!L:L,"4. Family Planning",'QA Log'!Z:Z,"Approved"),"")</f>
        <v/>
      </c>
      <c r="AB506" s="102" t="str">
        <f>IF(A506="","",
SUM(
COUNTIFS('QA Log'!D:D,A506,'QA Log'!M:M,"QQC",'QA Log'!Z:Z,"Rejected",'QA Log'!L:L,"*8. Maternity*"),
COUNTIFS('QA Log'!D:D,A506,'QA Log'!M:M,"QQC",'QA Log'!Z:Z,"Rejected",'QA Log'!L:L,"*9. EPI and Pre-school Consultation*"),
COUNTIFS('QA Log'!D:D,A506,'QA Log'!M:M,"QQC",'QA Log'!Z:Z,"Rejected",'QA Log'!L:L,"*10. Antenatal Care (ANC)*"),
COUNTIFS('QA Log'!D:D,A506,'QA Log'!M:M,"QQC",'QA Log'!Z:Z,"Rejected",'QA Log'!L:L,"*2. Hygiene and Sterilization*"),
COUNTIFS('QA Log'!D:D,A506,'QA Log'!M:M,"QQC",'QA Log'!Z:Z,"Rejected",'QA Log'!L:L,"*4. Family Planning*")
))</f>
        <v/>
      </c>
      <c r="AC506" s="102" t="str">
        <f t="shared" si="29"/>
        <v/>
      </c>
      <c r="AD506" s="103" t="str">
        <f t="shared" si="30"/>
        <v/>
      </c>
      <c r="AE506" s="102" t="str">
        <f>IF(A506="","",
SUM(
COUNTIFS('QA Log'!D:D,A506,'QA Log'!M:M,"Data Verification",'QA Log'!L:L,"*Medicine (section 2)*"),
COUNTIFS('QA Log'!D:D,A506,'QA Log'!M:M,"Data Verification",'QA Log'!L:L,"*Lab Testing Availability*"),
COUNTIFS('QA Log'!D:D,A506,'QA Log'!M:M,"Data Verification",'QA Log'!L:L,"*Other than P4P (section 6)*"),
COUNTIFS('QA Log'!D:D,A506,'QA Log'!M:M,"Data Verification",'QA Log'!L:L,"*Hospital Governance*")
))</f>
        <v/>
      </c>
      <c r="AF506" s="102" t="str">
        <f>IF(A506="","",
SUM(
COUNTIFS('QA Log'!D:D,A506,'QA Log'!M:M,"Data Verification",'QA Log'!Z:Z,"Approved",'QA Log'!L:L,"*Medicine (section 2)*"),
COUNTIFS('QA Log'!D:D,A506,'QA Log'!M:M,"Data Verification",'QA Log'!Z:Z,"Approved",'QA Log'!L:L,"*Lab Testing Availability*"),
COUNTIFS('QA Log'!D:D,A506,'QA Log'!M:M,"Data Verification",'QA Log'!Z:Z,"Approved",'QA Log'!L:L,"*Other than P4P (section 6)*"),
COUNTIFS('QA Log'!D:D,A506,'QA Log'!M:M,"Data Verification",'QA Log'!Z:Z,"Approved",'QA Log'!L:L,"*Hospital Governance*")
))</f>
        <v/>
      </c>
      <c r="AG506" s="105" t="str">
        <f>IF(A506&lt;&gt;"",COUNTIFS('QA Log'!D:D,A506,'QA Log'!M:M,"Data Verification",'QA Log'!L:L,"Medicine (section 2)",'QA Log'!Z:Z,"Approved"),"")</f>
        <v/>
      </c>
      <c r="AH506" s="105" t="str">
        <f>IF(A506&lt;&gt;"",COUNTIFS('QA Log'!D:D,A506,'QA Log'!M:M,"Data Verification",'QA Log'!L:L,"Lab Testing Availability",'QA Log'!Z:Z,"Approved"),"")</f>
        <v/>
      </c>
      <c r="AI506" s="105" t="str">
        <f>IF(A506&lt;&gt;"",COUNTIFS('QA Log'!D:D,A506,'QA Log'!M:M,"Data Verification",'QA Log'!L:L,"Other than P4P (section 6)",'QA Log'!Z:Z,"Approved"),"")</f>
        <v/>
      </c>
      <c r="AJ506" s="105" t="str">
        <f>IF(A506&lt;&gt;"",COUNTIFS('QA Log'!D:D,A506,'QA Log'!M:M,"Data Verification",'QA Log'!L:L,"Hospital Governance",'QA Log'!Z:Z,"Approved"),"")</f>
        <v/>
      </c>
      <c r="AK506" s="102" t="str">
        <f>IF(A506="","",
SUM(
COUNTIFS('QA Log'!D:D,A506,'QA Log'!M:M,"Data Verification",'QA Log'!Z:Z,"Rejected",'QA Log'!L:L,"*Medicine (section 2)*"),
COUNTIFS('QA Log'!D:D,A506,'QA Log'!M:M,"Data Verification",'QA Log'!Z:Z,"Rejected",'QA Log'!L:L,"*Lab Testing Availability*"),
COUNTIFS('QA Log'!D:D,A506,'QA Log'!M:M,"Data Verification",'QA Log'!Z:Z,"Rejected",'QA Log'!L:L,"*Other than P4P (section 6)*"),
COUNTIFS('QA Log'!D:D,A506,'QA Log'!M:M,"Data Verification",'QA Log'!Z:Z,"Rejected",'QA Log'!L:L,"*Hospital Governance*")
))</f>
        <v/>
      </c>
      <c r="AL506" s="106" t="str">
        <f t="shared" si="31"/>
        <v/>
      </c>
      <c r="AM506" s="102" t="str">
        <f t="shared" si="32"/>
        <v/>
      </c>
      <c r="AN506" s="102" t="str">
        <f>IF(A506="","",
SUM(
COUNTIFS('QA Log'!D:D,A506,'QA Log'!M:M,"Data Verification",'QA Log'!L:L,"*Personnel (section 1)*"),
COUNTIFS('QA Log'!D:D,A506,'QA Log'!M:M,"Data Verification",'QA Log'!L:L,"*Consumable (section 3)*"),
COUNTIFS('QA Log'!D:D,A506,'QA Log'!M:M,"Data Verification",'QA Log'!L:L,"*Equipments (section 4)*")
))</f>
        <v/>
      </c>
      <c r="AO506" s="102" t="str">
        <f>IF(A506="","",
SUM(
COUNTIFS('QA Log'!D:D,A506,'QA Log'!M:M,"Data Verification",'QA Log'!Z:Z,"Approved",'QA Log'!L:L,"*Personnel (section 1)*"),
COUNTIFS('QA Log'!D:D,A506,'QA Log'!M:M,"Data Verification",'QA Log'!Z:Z,"Approved",'QA Log'!L:L,"*Consumable (section 3)*"),
COUNTIFS('QA Log'!D:D,A506,'QA Log'!M:M,"Data Verification",'QA Log'!Z:Z,"Approved",'QA Log'!L:L,"*Equipments (section 4)*")
))</f>
        <v/>
      </c>
      <c r="AP506" s="105" t="str">
        <f>IF(A506&lt;&gt;"",COUNTIFS('QA Log'!D:D,A506,'QA Log'!M:M,"Data Verification",'QA Log'!L:L,"Personnel (section 1)",'QA Log'!Z:Z,"Approved"),"")</f>
        <v/>
      </c>
      <c r="AQ506" s="105" t="str">
        <f>IF(A506&lt;&gt;"",COUNTIFS('QA Log'!D:D,A506,'QA Log'!M:M,"Data Verification",'QA Log'!L:L,"Consumable (section 3)",'QA Log'!Z:Z,"Approved"),"")</f>
        <v/>
      </c>
      <c r="AR506" s="105" t="str">
        <f>IF(A506&lt;&gt;"",COUNTIFS('QA Log'!D:D,A506,'QA Log'!M:M,"Data Verification",'QA Log'!L:L,"Equipments (section 4)",'QA Log'!Z:Z,"Approved"),"")</f>
        <v/>
      </c>
      <c r="AS506" s="102" t="str">
        <f>IF(A506="","",
SUM(
COUNTIFS('QA Log'!D:D,A506,'QA Log'!M:M,"Data Verification",'QA Log'!Z:Z,"Rejected",'QA Log'!L:L,"*Personnel (section 1)*"),
COUNTIFS('QA Log'!D:D,A506,'QA Log'!M:M,"Data Verification",'QA Log'!Z:Z,"Rejected",'QA Log'!L:L,"*Consumable (section 3)*"),
COUNTIFS('QA Log'!D:D,A506,'QA Log'!M:M,"Data Verification",'QA Log'!Z:Z,"Rejected",'QA Log'!L:L,"*Equipments (section 4)*")
))</f>
        <v/>
      </c>
      <c r="AT506" s="102" t="str">
        <f t="shared" si="33"/>
        <v/>
      </c>
      <c r="AU506" s="103" t="str">
        <f t="shared" si="34"/>
        <v/>
      </c>
      <c r="AV506" s="102" t="str">
        <f>IF(A506="","",SUM(
COUNTIFS('QA Log'!D:D,A506,'QA Log'!M:M,"Vignette",'QA Log'!L:L,"*Vignette [1] Respiratory Infection: Pneumonia*"),
COUNTIFS('QA Log'!D:D,A506,'QA Log'!M:M,"Vignette",'QA Log'!L:L,"*Vignette [2]: Diarrhea with Cat B dehydration*"),
COUNTIFS('QA Log'!D:D,A506,'QA Log'!M:M,"Vignette",'QA Log'!L:L,"*Vignette [3] Growth Monitoring and Promotion*"),
COUNTIFS('QA Log'!D:D,A506,'QA Log'!M:M,"Vignette",'QA Log'!L:L,"*Vignette [4]: The management of presumptive TB patient*")
)
)</f>
        <v/>
      </c>
      <c r="AW506" s="102" t="str">
        <f>IF(
  A506="","",
  SUM(
    COUNTIFS('QA Log'!D:D,A506,'QA Log'!M:M,"Vignette",'QA Log'!Z:Z,"Approved",'QA Log'!L:L,"*Vignette [1] Respiratory Infection: Pneumonia*"),
    COUNTIFS('QA Log'!D:D,A506,'QA Log'!M:M,"Vignette",'QA Log'!Z:Z,"Approved",'QA Log'!L:L,"*Vignette [2]: Diarrhea with Cat B dehydration*"),
    COUNTIFS('QA Log'!D:D,A506,'QA Log'!M:M,"Vignette",'QA Log'!Z:Z,"Approved",'QA Log'!L:L,"*Vignette [3] Growth Monitoring and Promotion*"),
    COUNTIFS('QA Log'!D:D,A506,'QA Log'!M:M,"Vignette",'QA Log'!Z:Z,"Approved",'QA Log'!L:L,"*Vignette [4]: The management of presumptive TB patient*")
  )
)</f>
        <v/>
      </c>
      <c r="AX506" s="105" t="str">
        <f>IF(A506&lt;&gt;"",COUNTIFS('QA Log'!D:D,A506,'QA Log'!M:M,"Vignette",'QA Log'!L:L,"Vignette [1] Respiratory Infection: Pneumonia",'QA Log'!Z:Z,"Approved"),"")</f>
        <v/>
      </c>
      <c r="AY506" s="105" t="str">
        <f>IF(A506&lt;&gt;"",COUNTIFS('QA Log'!D:D,A506,'QA Log'!M:M,"Vignette",'QA Log'!L:L,"Vignette [2]: Diarrhea with Cat B dehydration",'QA Log'!Z:Z,"Approved"),"")</f>
        <v/>
      </c>
      <c r="AZ506" s="105" t="str">
        <f>IF(A506&lt;&gt;"",COUNTIFS('QA Log'!D:D,A506,'QA Log'!M:M,"Vignette",'QA Log'!L:L,"Vignette [3] Growth Monitoring and Promotion",'QA Log'!Z:Z,"Approved"),"")</f>
        <v/>
      </c>
      <c r="BA506" s="105" t="str">
        <f>IF(A506&lt;&gt;"",COUNTIFS('QA Log'!D:D,A506,'QA Log'!M:M,"Vignette",'QA Log'!L:L,"Vignette [4]: The management of presumptive TB patient",'QA Log'!Z:Z,"Approved"),"")</f>
        <v/>
      </c>
      <c r="BB506" s="102" t="str">
        <f>IF(A506="","",
  SUM(
    COUNTIFS('QA Log'!D:D,A506,'QA Log'!M:M,"Vignette",'QA Log'!Z:Z,"Rejected",'QA Log'!L:L,"*Vignette [1] Respiratory Infection: Pneumonia*"),
    COUNTIFS('QA Log'!D:D,A506,'QA Log'!M:M,"Vignette",'QA Log'!Z:Z,"Rejected",'QA Log'!L:L,"*Vignette [2]: Diarrhea with Cat B dehydration*"),
    COUNTIFS('QA Log'!D:D,A506,'QA Log'!M:M,"Vignette",'QA Log'!Z:Z,"Rejected",'QA Log'!L:L,"*Vignette [3] Growth Monitoring and Promotion*"),
    COUNTIFS('QA Log'!D:D,A506,'QA Log'!M:M,"Vignette",'QA Log'!Z:Z,"Rejected",'QA Log'!L:L,"*Vignette [4]: The management of presumptive TB patient*")
  )
)</f>
        <v/>
      </c>
      <c r="BC506" s="107" t="str">
        <f t="shared" si="35"/>
        <v/>
      </c>
      <c r="BD506" s="103" t="str">
        <f t="shared" si="36"/>
        <v/>
      </c>
      <c r="BE506" s="102" t="str">
        <f>IF(A506="","",SUM(
COUNTIFS('QA Log'!D:D,A506,'QA Log'!M:M,"Vignette",'QA Log'!L:L,"*Vignette [5] Labor*"),
COUNTIFS('QA Log'!D:D,A506,'QA Log'!M:M,"Vignette",'QA Log'!L:L,"*Vignette [6] PNC pre Discharge*"),
COUNTIFS('QA Log'!D:D,A506,'QA Log'!M:M,"Vignette",'QA Log'!L:L,"*Vignette [7] First ANC Visit*"),
COUNTIFS('QA Log'!D:D,A506,'QA Log'!M:M,"Vignette",'QA Log'!L:L,"*Vignette [8] Birth Spacing/ Family Planning :  FP Counselling*"),
COUNTIFS('QA Log'!D:D,A506,'QA Log'!M:M,"Vignette",'QA Log'!L:L,"*Vignette [9] Birth Spacing: Change FP method to Injectable*"),
COUNTIFS('QA Log'!D:D,A506,'QA Log'!M:M,"Vignette",'QA Log'!L:L,"*Vignette [10] Post Partum Haemorrhage - Atonic Uterus at Health Centre*"),
)
)</f>
        <v/>
      </c>
      <c r="BF506" s="102" t="str">
        <f>IF(A506="","",
  SUM(
    COUNTIFS('QA Log'!D:D,A506,'QA Log'!M:M,"Vignette",'QA Log'!Z:Z,"Approved",'QA Log'!L:L,"*Vignette [5] Labor*"),
    COUNTIFS('QA Log'!D:D,A506,'QA Log'!M:M,"Vignette",'QA Log'!Z:Z,"Approved",'QA Log'!L:L,"*Vignette [6] PNC pre Discharge*"),
    COUNTIFS('QA Log'!D:D,A506,'QA Log'!M:M,"Vignette",'QA Log'!Z:Z,"Approved",'QA Log'!L:L,"*Vignette [7] First ANC Visit*"),
    COUNTIFS('QA Log'!D:D,A506,'QA Log'!M:M,"Vignette",'QA Log'!Z:Z,"Approved",'QA Log'!L:L,"*Vignette [8] Birth Spacing/ Family Planning :  FP Counselling*"),
    COUNTIFS('QA Log'!D:D,A506,'QA Log'!M:M,"Vignette",'QA Log'!Z:Z,"Approved",'QA Log'!L:L,"*Vignette [9] Birth Spacing: Change FP method to Injectable*"),
    COUNTIFS('QA Log'!D:D,A506,'QA Log'!M:M,"Vignette",'QA Log'!Z:Z,"Approved",'QA Log'!L:L,"*Vignette [10] Post Partum Haemorrhage - Atonic Uterus at Health Centre*")
  )
)</f>
        <v/>
      </c>
      <c r="BG506" s="105" t="str">
        <f>IF(A506&lt;&gt;"",COUNTIFS('QA Log'!D:D,A506,'QA Log'!M:M,"Vignette",'QA Log'!L:L,"Vignette [5] Labor",'QA Log'!Z:Z,"Approved"),"")</f>
        <v/>
      </c>
      <c r="BH506" s="105" t="str">
        <f>IF(A506&lt;&gt;"",COUNTIFS('QA Log'!D:D,A506,'QA Log'!M:M,"Vignette",'QA Log'!L:L,"Vignette [6] PNC pre Discharge",'QA Log'!Z:Z,"Approved"),"")</f>
        <v/>
      </c>
      <c r="BI506" s="105" t="str">
        <f>IF(A506&lt;&gt;"",COUNTIFS('QA Log'!D:D,A506,'QA Log'!M:M,"Vignette",'QA Log'!L:L,"Vignette [7] First ANC Visit",'QA Log'!Z:Z,"Approved"),"")</f>
        <v/>
      </c>
      <c r="BJ506" s="105" t="str">
        <f>IF(A506&lt;&gt;"",COUNTIFS('QA Log'!D:D,A506,'QA Log'!M:M,"Vignette",'QA Log'!L:L,"Vignette [8] Birth Spacing/ Family Planning :  FP Counselling",'QA Log'!Z:Z,"Approved"),"")</f>
        <v/>
      </c>
      <c r="BK506" s="105" t="str">
        <f>IF(A506&lt;&gt;"",COUNTIFS('QA Log'!D:D,A506,'QA Log'!M:M,"Vignette",'QA Log'!L:L,"Vignette [9] Birth Spacing: Change FP method to Injectable",'QA Log'!Z:Z,"Approved"),"")</f>
        <v/>
      </c>
      <c r="BL506" s="105" t="str">
        <f>IF(A506&lt;&gt;"",COUNTIFS('QA Log'!D:D,A506,'QA Log'!M:M,"Vignette",'QA Log'!L:L,"Vignette [10] Post Partum Haemorrhage - Atonic Uterus at Health Centre",'QA Log'!Z:Z,"Approved"),"")</f>
        <v/>
      </c>
      <c r="BM506" s="102" t="str">
        <f>IF(A506="","",SUM(
    COUNTIFS('QA Log'!D:D,A506,'QA Log'!M:M,"Vignette",'QA Log'!Z:Z,"Rejected",'QA Log'!L:L,"*Vignette [5] Labor*"),
    COUNTIFS('QA Log'!D:D,A506,'QA Log'!M:M,"Vignette",'QA Log'!Z:Z,"Rejected",'QA Log'!L:L,"*Vignette [6] PNC pre Discharge*"),
    COUNTIFS('QA Log'!D:D,A506,'QA Log'!M:M,"Vignette",'QA Log'!Z:Z,"Rejected",'QA Log'!L:L,"*Vignette [7] First ANC Visit*"),
    COUNTIFS('QA Log'!D:D,A506,'QA Log'!M:M,"Vignette",'QA Log'!Z:Z,"Rejected",'QA Log'!L:L,"*Vignette [8] Birth Spacing/ Family Planning :  FP Counselling*"),
    COUNTIFS('QA Log'!D:D,A506,'QA Log'!M:M,"Vignette",'QA Log'!Z:Z,"Rejected",'QA Log'!L:L,"*Vignette [9] Birth Spacing: Change FP method to Injectable*"),
    COUNTIFS('QA Log'!D:D,A506,'QA Log'!M:M,"Vignette",'QA Log'!Z:Z,"Rejected",'QA Log'!L:L,"*Vignette [10] Post Partum Haemorrhage - Atonic Uterus at Health Centre*")
  )
)</f>
        <v/>
      </c>
      <c r="BN506" s="107" t="str">
        <f t="shared" si="37"/>
        <v/>
      </c>
      <c r="BO506" s="103" t="str">
        <f t="shared" si="38"/>
        <v/>
      </c>
      <c r="BP506" s="102" t="str">
        <f>IF(A506="","",SUM(
COUNTIFS('QA Log'!D:D,A506,'QA Log'!M:M,"Vignette",'QA Log'!L:L,"*Exit Interview 1*"),
COUNTIFS('QA Log'!D:D,A506,'QA Log'!M:M,"Vignette",'QA Log'!L:L,"*Exit Interview 2*"),
)
)</f>
        <v/>
      </c>
      <c r="BQ506" s="102" t="str">
        <f>IF(
  A506="","",
  SUM(
    COUNTIFS('QA Log'!D:D,A506,'QA Log'!M:M,"Vignette",'QA Log'!Z:Z,"Approved",'QA Log'!L:L,"*Exit Interview 1*"),
    COUNTIFS('QA Log'!D:D,A506,'QA Log'!M:M,"Vignette",'QA Log'!Z:Z,"Approved",'QA Log'!L:L,"*Exit Interview 2*")
  )
)</f>
        <v/>
      </c>
      <c r="BR506" s="105" t="str">
        <f>IF(A506&lt;&gt;"",COUNTIFS('QA Log'!D:D,A506,'QA Log'!M:M,"Vignette",'QA Log'!L:L,"Exit Interview 1",'QA Log'!Z:Z,"Approved"),"")</f>
        <v/>
      </c>
      <c r="BS506" s="105" t="str">
        <f>IF(A506&lt;&gt;"",COUNTIFS('QA Log'!D:D,A506,'QA Log'!M:M,"Vignette",'QA Log'!L:L,"Exit Interview 2",'QA Log'!Z:Z,"Approved"),"")</f>
        <v/>
      </c>
      <c r="BT506" s="102" t="str">
        <f>IF(
  A506="","",
  SUM(
    COUNTIFS('QA Log'!D:D,A506,'QA Log'!M:M,"Vignette",'QA Log'!Z:Z,"Rejected",'QA Log'!L:L,"*Exit Interview 1*"),
    COUNTIFS('QA Log'!D:D,A506,'QA Log'!M:M,"Vignette",'QA Log'!Z:Z,"Rejected",'QA Log'!L:L,"*Exit Interview 2*")
  )
)</f>
        <v/>
      </c>
      <c r="BU506" s="107" t="str">
        <f t="shared" si="39"/>
        <v/>
      </c>
      <c r="BV506" s="102" t="str">
        <f t="shared" si="40"/>
        <v/>
      </c>
      <c r="BW506" s="102" t="str">
        <f t="shared" si="41"/>
        <v/>
      </c>
      <c r="BX506" s="102" t="str">
        <f t="shared" si="42"/>
        <v/>
      </c>
      <c r="BY506" s="102" t="str">
        <f t="shared" si="43"/>
        <v/>
      </c>
      <c r="BZ506" s="107" t="str">
        <f t="shared" si="44"/>
        <v/>
      </c>
      <c r="CA506" s="108" t="str">
        <f t="shared" si="45"/>
        <v/>
      </c>
      <c r="CB506" s="108" t="str">
        <f t="shared" si="46"/>
        <v/>
      </c>
      <c r="CC506" s="109" t="str">
        <f t="shared" si="47"/>
        <v/>
      </c>
      <c r="CD506" s="108" t="str">
        <f t="shared" si="48"/>
        <v/>
      </c>
      <c r="CE506" s="108" t="str">
        <f t="shared" si="49"/>
        <v/>
      </c>
      <c r="CF506" s="109" t="str">
        <f t="shared" si="50"/>
        <v/>
      </c>
      <c r="CG506" s="110" t="str">
        <f t="shared" si="51"/>
        <v/>
      </c>
      <c r="CH506" s="111"/>
    </row>
    <row r="507" spans="1:86" ht="12.75">
      <c r="A507" s="101"/>
      <c r="B507" s="102" t="e">
        <f t="array" aca="1" ref="B507" ca="1">_xludf.XLOOKUP(A507,'QA Log'!D:D,'QA Log'!E:E,"")</f>
        <v>#NAME?</v>
      </c>
      <c r="C507" s="102" t="e">
        <f t="array" aca="1" ref="C507" ca="1">_xludf.XLOOKUP(A507,'QA Log'!D:D,'QA Log'!F:F,"")</f>
        <v>#NAME?</v>
      </c>
      <c r="D507" s="102" t="e">
        <f t="array" aca="1" ref="D507" ca="1">_xludf.XLOOKUP(A507,'QA Log'!D:D,'QA Log'!H:H,"")</f>
        <v>#NAME?</v>
      </c>
      <c r="E507" s="102" t="e">
        <f t="array" aca="1" ref="E507" ca="1">_xludf.XLOOKUP(A507,'QA Log'!D:D,'QA Log'!G:G,"")</f>
        <v>#NAME?</v>
      </c>
      <c r="F507" s="103"/>
      <c r="G507" s="104"/>
      <c r="H507" s="104"/>
      <c r="I507" s="103" t="str">
        <f t="shared" si="26"/>
        <v/>
      </c>
      <c r="J507" s="102" t="str">
        <f>IF(A507="","",SUM(
COUNTIFS('QA Log'!D:D,A507,'QA Log'!M:M,"QQC",'QA Log'!L:L,"*1. General Management*"),
COUNTIFS('QA Log'!D:D,A507,'QA Log'!M:M,"QQC",'QA Log'!L:L,"*3. Curative Consultation (OPD)*"),
COUNTIFS('QA Log'!D:D,A507,'QA Log'!M:M,"QQC",'QA Log'!L:L,"*5. Laboratory*"),
COUNTIFS('QA Log'!D:D,A507,'QA Log'!M:M,"QQC",'QA Log'!L:L,"*6. Essential Medicine Management*"),
COUNTIFS('QA Log'!D:D,A507,'QA Log'!M:M,"QQC",'QA Log'!L:L,"*7. Tracer Medicine*"),
COUNTIFS('QA Log'!D:D,A507,'QA Log'!M:M,"QQC",'QA Log'!L:L,"*11. Additional Questions*")))</f>
        <v/>
      </c>
      <c r="K507" s="102" t="str">
        <f>IF(A507="","",SUM(
COUNTIFS('QA Log'!D:D,A507,'QA Log'!M:M,"QQC",'QA Log'!Z:Z,"Approved",'QA Log'!L:L,"*1. General Management*"),
COUNTIFS('QA Log'!D:D,A507,'QA Log'!M:M,"QQC",'QA Log'!Z:Z,"Approved",'QA Log'!L:L,"*3. Curative Consultation (OPD)*"),
COUNTIFS('QA Log'!D:D,A507,'QA Log'!M:M,"QQC",'QA Log'!Z:Z,"Approved",'QA Log'!L:L,"*5. Laboratory*"),
COUNTIFS('QA Log'!D:D,A507,'QA Log'!M:M,"QQC",'QA Log'!Z:Z,"Approved",'QA Log'!L:L,"*6. Essential Medicine Management*"),
COUNTIFS('QA Log'!D:D,A507,'QA Log'!M:M,"QQC",'QA Log'!Z:Z,"Approved",'QA Log'!L:L,"*7. Tracer Medicine*"),
COUNTIFS('QA Log'!D:D,A507,'QA Log'!M:M,"QQC",'QA Log'!Z:Z,"Approved",'QA Log'!L:L,"*11. Additional Questions*")))</f>
        <v/>
      </c>
      <c r="L507" s="102" t="str">
        <f>IF(A507&lt;&gt;"",COUNTIFS('QA Log'!D:D,A507,'QA Log'!M:M,"QQC",'QA Log'!L:L,"1. General Management",'QA Log'!Z:Z,"Approved"),"")</f>
        <v/>
      </c>
      <c r="M507" s="102" t="str">
        <f>IF(A507&lt;&gt;"",COUNTIFS('QA Log'!D:D,A507,'QA Log'!M:M,"QQC",'QA Log'!L:L,"3. Curative Consultation (OPD)",'QA Log'!Z:Z,"Approved"),"")</f>
        <v/>
      </c>
      <c r="N507" s="102" t="str">
        <f>IF(A507&lt;&gt;"",COUNTIFS('QA Log'!D:D,A507,'QA Log'!M:M,"QQC",'QA Log'!L:L,"5. Laboratory",'QA Log'!Z:Z,"Approved"),"")</f>
        <v/>
      </c>
      <c r="O507" s="102" t="str">
        <f>IF(A507&lt;&gt;"",COUNTIFS('QA Log'!D:D,A507,'QA Log'!M:M,"QQC",'QA Log'!L:L,"6. Essential Medicine Management",'QA Log'!Z:Z,"Approved"),"")</f>
        <v/>
      </c>
      <c r="P507" s="102" t="str">
        <f>IF(A507&lt;&gt;"",COUNTIFS('QA Log'!D:D,A507,'QA Log'!M:M,"QQC",'QA Log'!L:L,"7. Tracer Medicine",'QA Log'!Z:Z,"Approved"),"")</f>
        <v/>
      </c>
      <c r="Q507" s="102" t="str">
        <f>IF(A507&lt;&gt;"",COUNTIFS('QA Log'!D:D,A507,'QA Log'!M:M,"QQC",'QA Log'!L:L,"11. Additional Questions",'QA Log'!Z:Z,"Approved"),"")</f>
        <v/>
      </c>
      <c r="R507" s="102" t="str">
        <f>IF(A507="","",SUM(
COUNTIFS('QA Log'!D:D,A507,'QA Log'!M:M,"QQC",'QA Log'!Z:Z,"Rejected",'QA Log'!L:L,"*8. Maternity*"),
COUNTIFS('QA Log'!D:D,A507,'QA Log'!M:M,"QQC",'QA Log'!Z:Z,"Rejected",'QA Log'!L:L,"*EPI*"),
COUNTIFS('QA Log'!D:D,A507,'QA Log'!M:M,"QQC",'QA Log'!Z:Z,"Rejected",'QA Log'!L:L,"*10. Antenatal Care (ANC)*"),
COUNTIFS('QA Log'!D:D,A507,'QA Log'!M:M,"QQC",'QA Log'!Z:Z,"Rejected",'QA Log'!L:L,"*2. Hygiene and Sterilization*"),
COUNTIFS('QA Log'!D:D,A507,'QA Log'!M:M,"QQC",'QA Log'!Z:Z,"Rejected",'QA Log'!L:L,"*Family Planning*")))</f>
        <v/>
      </c>
      <c r="S507" s="106" t="str">
        <f t="shared" si="27"/>
        <v/>
      </c>
      <c r="T507" s="102" t="str">
        <f t="shared" si="28"/>
        <v/>
      </c>
      <c r="U507" s="102" t="str">
        <f>IF(A507="","",
SUM(
COUNTIFS('QA Log'!D:D,A507,'QA Log'!M:M,"QQC",'QA Log'!L:L,"*8. Maternity*"),
COUNTIFS('QA Log'!D:D,A507,'QA Log'!M:M,"QQC",'QA Log'!L:L,"*9. EPI and Pre-school Consultation*"),
COUNTIFS('QA Log'!D:D,A507,'QA Log'!M:M,"QQC",'QA Log'!L:L,"*10. Antenatal Care (ANC)*"),
COUNTIFS('QA Log'!D:D,A507,'QA Log'!M:M,"QQC",'QA Log'!L:L,"*2. Hygiene and Sterilization*"),
COUNTIFS('QA Log'!D:D,A507,'QA Log'!M:M,"QQC",'QA Log'!L:L,"*4. Family Planning*")
))</f>
        <v/>
      </c>
      <c r="V507" s="102" t="str">
        <f>IF(A507="","",
SUM(
COUNTIFS('QA Log'!D:D,A507,'QA Log'!M:M,"QQC",'QA Log'!Z:Z,"Approved",'QA Log'!L:L,"*8. Maternity*"),
COUNTIFS('QA Log'!D:D,A507,'QA Log'!M:M,"QQC",'QA Log'!Z:Z,"Approved",'QA Log'!L:L,"*9. EPI and Pre-school Consultation*"),
COUNTIFS('QA Log'!D:D,A507,'QA Log'!M:M,"QQC",'QA Log'!Z:Z,"Approved",'QA Log'!L:L,"*10. Antenatal Care (ANC)*"),
COUNTIFS('QA Log'!D:D,A507,'QA Log'!M:M,"QQC",'QA Log'!Z:Z,"Approved",'QA Log'!L:L,"*2. Hygiene and Sterilization*"),
COUNTIFS('QA Log'!D:D,A507,'QA Log'!M:M,"QQC",'QA Log'!Z:Z,"Approved",'QA Log'!L:L,"*4. Family Planning*")
))</f>
        <v/>
      </c>
      <c r="W507" s="102" t="str">
        <f>IF(A507&lt;&gt;"",COUNTIFS('QA Log'!D:D,A507,'QA Log'!M:M,"QQC",'QA Log'!L:L,"8. Maternity",'QA Log'!Z:Z,"Approved"),"")</f>
        <v/>
      </c>
      <c r="X507" s="105" t="str">
        <f>IF(A507&lt;&gt;"",COUNTIFS('QA Log'!D:D,A507,'QA Log'!M:M,"QQC",'QA Log'!L:L,"9. EPI and Pre-school Consultation",'QA Log'!Z:Z,"Approved"),"")</f>
        <v/>
      </c>
      <c r="Y507" s="102" t="str">
        <f>IF(A507&lt;&gt;"",COUNTIFS('QA Log'!D:D,A507,'QA Log'!M:M,"QQC",'QA Log'!L:L,"10. Antenatal Care (ANC)",'QA Log'!Z:Z,"Approved"),"")</f>
        <v/>
      </c>
      <c r="Z507" s="102" t="str">
        <f>IF(A507&lt;&gt;"",COUNTIFS('QA Log'!D:D,A507,'QA Log'!M:M,"QQC",'QA Log'!L:L,"2. Hygiene and Sterilization",'QA Log'!Z:Z,"Approved"),"")</f>
        <v/>
      </c>
      <c r="AA507" s="105" t="str">
        <f>IF(A507&lt;&gt;"",COUNTIFS('QA Log'!D:D,A507,'QA Log'!M:M,"QQC",'QA Log'!L:L,"4. Family Planning",'QA Log'!Z:Z,"Approved"),"")</f>
        <v/>
      </c>
      <c r="AB507" s="102" t="str">
        <f>IF(A507="","",
SUM(
COUNTIFS('QA Log'!D:D,A507,'QA Log'!M:M,"QQC",'QA Log'!Z:Z,"Rejected",'QA Log'!L:L,"*8. Maternity*"),
COUNTIFS('QA Log'!D:D,A507,'QA Log'!M:M,"QQC",'QA Log'!Z:Z,"Rejected",'QA Log'!L:L,"*9. EPI and Pre-school Consultation*"),
COUNTIFS('QA Log'!D:D,A507,'QA Log'!M:M,"QQC",'QA Log'!Z:Z,"Rejected",'QA Log'!L:L,"*10. Antenatal Care (ANC)*"),
COUNTIFS('QA Log'!D:D,A507,'QA Log'!M:M,"QQC",'QA Log'!Z:Z,"Rejected",'QA Log'!L:L,"*2. Hygiene and Sterilization*"),
COUNTIFS('QA Log'!D:D,A507,'QA Log'!M:M,"QQC",'QA Log'!Z:Z,"Rejected",'QA Log'!L:L,"*4. Family Planning*")
))</f>
        <v/>
      </c>
      <c r="AC507" s="102" t="str">
        <f t="shared" si="29"/>
        <v/>
      </c>
      <c r="AD507" s="103" t="str">
        <f t="shared" si="30"/>
        <v/>
      </c>
      <c r="AE507" s="102" t="str">
        <f>IF(A507="","",
SUM(
COUNTIFS('QA Log'!D:D,A507,'QA Log'!M:M,"Data Verification",'QA Log'!L:L,"*Medicine (section 2)*"),
COUNTIFS('QA Log'!D:D,A507,'QA Log'!M:M,"Data Verification",'QA Log'!L:L,"*Lab Testing Availability*"),
COUNTIFS('QA Log'!D:D,A507,'QA Log'!M:M,"Data Verification",'QA Log'!L:L,"*Other than P4P (section 6)*"),
COUNTIFS('QA Log'!D:D,A507,'QA Log'!M:M,"Data Verification",'QA Log'!L:L,"*Hospital Governance*")
))</f>
        <v/>
      </c>
      <c r="AF507" s="102" t="str">
        <f>IF(A507="","",
SUM(
COUNTIFS('QA Log'!D:D,A507,'QA Log'!M:M,"Data Verification",'QA Log'!Z:Z,"Approved",'QA Log'!L:L,"*Medicine (section 2)*"),
COUNTIFS('QA Log'!D:D,A507,'QA Log'!M:M,"Data Verification",'QA Log'!Z:Z,"Approved",'QA Log'!L:L,"*Lab Testing Availability*"),
COUNTIFS('QA Log'!D:D,A507,'QA Log'!M:M,"Data Verification",'QA Log'!Z:Z,"Approved",'QA Log'!L:L,"*Other than P4P (section 6)*"),
COUNTIFS('QA Log'!D:D,A507,'QA Log'!M:M,"Data Verification",'QA Log'!Z:Z,"Approved",'QA Log'!L:L,"*Hospital Governance*")
))</f>
        <v/>
      </c>
      <c r="AG507" s="105" t="str">
        <f>IF(A507&lt;&gt;"",COUNTIFS('QA Log'!D:D,A507,'QA Log'!M:M,"Data Verification",'QA Log'!L:L,"Medicine (section 2)",'QA Log'!Z:Z,"Approved"),"")</f>
        <v/>
      </c>
      <c r="AH507" s="105" t="str">
        <f>IF(A507&lt;&gt;"",COUNTIFS('QA Log'!D:D,A507,'QA Log'!M:M,"Data Verification",'QA Log'!L:L,"Lab Testing Availability",'QA Log'!Z:Z,"Approved"),"")</f>
        <v/>
      </c>
      <c r="AI507" s="105" t="str">
        <f>IF(A507&lt;&gt;"",COUNTIFS('QA Log'!D:D,A507,'QA Log'!M:M,"Data Verification",'QA Log'!L:L,"Other than P4P (section 6)",'QA Log'!Z:Z,"Approved"),"")</f>
        <v/>
      </c>
      <c r="AJ507" s="105" t="str">
        <f>IF(A507&lt;&gt;"",COUNTIFS('QA Log'!D:D,A507,'QA Log'!M:M,"Data Verification",'QA Log'!L:L,"Hospital Governance",'QA Log'!Z:Z,"Approved"),"")</f>
        <v/>
      </c>
      <c r="AK507" s="102" t="str">
        <f>IF(A507="","",
SUM(
COUNTIFS('QA Log'!D:D,A507,'QA Log'!M:M,"Data Verification",'QA Log'!Z:Z,"Rejected",'QA Log'!L:L,"*Medicine (section 2)*"),
COUNTIFS('QA Log'!D:D,A507,'QA Log'!M:M,"Data Verification",'QA Log'!Z:Z,"Rejected",'QA Log'!L:L,"*Lab Testing Availability*"),
COUNTIFS('QA Log'!D:D,A507,'QA Log'!M:M,"Data Verification",'QA Log'!Z:Z,"Rejected",'QA Log'!L:L,"*Other than P4P (section 6)*"),
COUNTIFS('QA Log'!D:D,A507,'QA Log'!M:M,"Data Verification",'QA Log'!Z:Z,"Rejected",'QA Log'!L:L,"*Hospital Governance*")
))</f>
        <v/>
      </c>
      <c r="AL507" s="106" t="str">
        <f t="shared" si="31"/>
        <v/>
      </c>
      <c r="AM507" s="102" t="str">
        <f t="shared" si="32"/>
        <v/>
      </c>
      <c r="AN507" s="102" t="str">
        <f>IF(A507="","",
SUM(
COUNTIFS('QA Log'!D:D,A507,'QA Log'!M:M,"Data Verification",'QA Log'!L:L,"*Personnel (section 1)*"),
COUNTIFS('QA Log'!D:D,A507,'QA Log'!M:M,"Data Verification",'QA Log'!L:L,"*Consumable (section 3)*"),
COUNTIFS('QA Log'!D:D,A507,'QA Log'!M:M,"Data Verification",'QA Log'!L:L,"*Equipments (section 4)*")
))</f>
        <v/>
      </c>
      <c r="AO507" s="102" t="str">
        <f>IF(A507="","",
SUM(
COUNTIFS('QA Log'!D:D,A507,'QA Log'!M:M,"Data Verification",'QA Log'!Z:Z,"Approved",'QA Log'!L:L,"*Personnel (section 1)*"),
COUNTIFS('QA Log'!D:D,A507,'QA Log'!M:M,"Data Verification",'QA Log'!Z:Z,"Approved",'QA Log'!L:L,"*Consumable (section 3)*"),
COUNTIFS('QA Log'!D:D,A507,'QA Log'!M:M,"Data Verification",'QA Log'!Z:Z,"Approved",'QA Log'!L:L,"*Equipments (section 4)*")
))</f>
        <v/>
      </c>
      <c r="AP507" s="105" t="str">
        <f>IF(A507&lt;&gt;"",COUNTIFS('QA Log'!D:D,A507,'QA Log'!M:M,"Data Verification",'QA Log'!L:L,"Personnel (section 1)",'QA Log'!Z:Z,"Approved"),"")</f>
        <v/>
      </c>
      <c r="AQ507" s="105" t="str">
        <f>IF(A507&lt;&gt;"",COUNTIFS('QA Log'!D:D,A507,'QA Log'!M:M,"Data Verification",'QA Log'!L:L,"Consumable (section 3)",'QA Log'!Z:Z,"Approved"),"")</f>
        <v/>
      </c>
      <c r="AR507" s="105" t="str">
        <f>IF(A507&lt;&gt;"",COUNTIFS('QA Log'!D:D,A507,'QA Log'!M:M,"Data Verification",'QA Log'!L:L,"Equipments (section 4)",'QA Log'!Z:Z,"Approved"),"")</f>
        <v/>
      </c>
      <c r="AS507" s="102" t="str">
        <f>IF(A507="","",
SUM(
COUNTIFS('QA Log'!D:D,A507,'QA Log'!M:M,"Data Verification",'QA Log'!Z:Z,"Rejected",'QA Log'!L:L,"*Personnel (section 1)*"),
COUNTIFS('QA Log'!D:D,A507,'QA Log'!M:M,"Data Verification",'QA Log'!Z:Z,"Rejected",'QA Log'!L:L,"*Consumable (section 3)*"),
COUNTIFS('QA Log'!D:D,A507,'QA Log'!M:M,"Data Verification",'QA Log'!Z:Z,"Rejected",'QA Log'!L:L,"*Equipments (section 4)*")
))</f>
        <v/>
      </c>
      <c r="AT507" s="102" t="str">
        <f t="shared" si="33"/>
        <v/>
      </c>
      <c r="AU507" s="103" t="str">
        <f t="shared" si="34"/>
        <v/>
      </c>
      <c r="AV507" s="102" t="str">
        <f>IF(A507="","",SUM(
COUNTIFS('QA Log'!D:D,A507,'QA Log'!M:M,"Vignette",'QA Log'!L:L,"*Vignette [1] Respiratory Infection: Pneumonia*"),
COUNTIFS('QA Log'!D:D,A507,'QA Log'!M:M,"Vignette",'QA Log'!L:L,"*Vignette [2]: Diarrhea with Cat B dehydration*"),
COUNTIFS('QA Log'!D:D,A507,'QA Log'!M:M,"Vignette",'QA Log'!L:L,"*Vignette [3] Growth Monitoring and Promotion*"),
COUNTIFS('QA Log'!D:D,A507,'QA Log'!M:M,"Vignette",'QA Log'!L:L,"*Vignette [4]: The management of presumptive TB patient*")
)
)</f>
        <v/>
      </c>
      <c r="AW507" s="102" t="str">
        <f>IF(
  A507="","",
  SUM(
    COUNTIFS('QA Log'!D:D,A507,'QA Log'!M:M,"Vignette",'QA Log'!Z:Z,"Approved",'QA Log'!L:L,"*Vignette [1] Respiratory Infection: Pneumonia*"),
    COUNTIFS('QA Log'!D:D,A507,'QA Log'!M:M,"Vignette",'QA Log'!Z:Z,"Approved",'QA Log'!L:L,"*Vignette [2]: Diarrhea with Cat B dehydration*"),
    COUNTIFS('QA Log'!D:D,A507,'QA Log'!M:M,"Vignette",'QA Log'!Z:Z,"Approved",'QA Log'!L:L,"*Vignette [3] Growth Monitoring and Promotion*"),
    COUNTIFS('QA Log'!D:D,A507,'QA Log'!M:M,"Vignette",'QA Log'!Z:Z,"Approved",'QA Log'!L:L,"*Vignette [4]: The management of presumptive TB patient*")
  )
)</f>
        <v/>
      </c>
      <c r="AX507" s="105" t="str">
        <f>IF(A507&lt;&gt;"",COUNTIFS('QA Log'!D:D,A507,'QA Log'!M:M,"Vignette",'QA Log'!L:L,"Vignette [1] Respiratory Infection: Pneumonia",'QA Log'!Z:Z,"Approved"),"")</f>
        <v/>
      </c>
      <c r="AY507" s="105" t="str">
        <f>IF(A507&lt;&gt;"",COUNTIFS('QA Log'!D:D,A507,'QA Log'!M:M,"Vignette",'QA Log'!L:L,"Vignette [2]: Diarrhea with Cat B dehydration",'QA Log'!Z:Z,"Approved"),"")</f>
        <v/>
      </c>
      <c r="AZ507" s="105" t="str">
        <f>IF(A507&lt;&gt;"",COUNTIFS('QA Log'!D:D,A507,'QA Log'!M:M,"Vignette",'QA Log'!L:L,"Vignette [3] Growth Monitoring and Promotion",'QA Log'!Z:Z,"Approved"),"")</f>
        <v/>
      </c>
      <c r="BA507" s="105" t="str">
        <f>IF(A507&lt;&gt;"",COUNTIFS('QA Log'!D:D,A507,'QA Log'!M:M,"Vignette",'QA Log'!L:L,"Vignette [4]: The management of presumptive TB patient",'QA Log'!Z:Z,"Approved"),"")</f>
        <v/>
      </c>
      <c r="BB507" s="102" t="str">
        <f>IF(A507="","",
  SUM(
    COUNTIFS('QA Log'!D:D,A507,'QA Log'!M:M,"Vignette",'QA Log'!Z:Z,"Rejected",'QA Log'!L:L,"*Vignette [1] Respiratory Infection: Pneumonia*"),
    COUNTIFS('QA Log'!D:D,A507,'QA Log'!M:M,"Vignette",'QA Log'!Z:Z,"Rejected",'QA Log'!L:L,"*Vignette [2]: Diarrhea with Cat B dehydration*"),
    COUNTIFS('QA Log'!D:D,A507,'QA Log'!M:M,"Vignette",'QA Log'!Z:Z,"Rejected",'QA Log'!L:L,"*Vignette [3] Growth Monitoring and Promotion*"),
    COUNTIFS('QA Log'!D:D,A507,'QA Log'!M:M,"Vignette",'QA Log'!Z:Z,"Rejected",'QA Log'!L:L,"*Vignette [4]: The management of presumptive TB patient*")
  )
)</f>
        <v/>
      </c>
      <c r="BC507" s="107" t="str">
        <f t="shared" si="35"/>
        <v/>
      </c>
      <c r="BD507" s="103" t="str">
        <f t="shared" si="36"/>
        <v/>
      </c>
      <c r="BE507" s="102" t="str">
        <f>IF(A507="","",SUM(
COUNTIFS('QA Log'!D:D,A507,'QA Log'!M:M,"Vignette",'QA Log'!L:L,"*Vignette [5] Labor*"),
COUNTIFS('QA Log'!D:D,A507,'QA Log'!M:M,"Vignette",'QA Log'!L:L,"*Vignette [6] PNC pre Discharge*"),
COUNTIFS('QA Log'!D:D,A507,'QA Log'!M:M,"Vignette",'QA Log'!L:L,"*Vignette [7] First ANC Visit*"),
COUNTIFS('QA Log'!D:D,A507,'QA Log'!M:M,"Vignette",'QA Log'!L:L,"*Vignette [8] Birth Spacing/ Family Planning :  FP Counselling*"),
COUNTIFS('QA Log'!D:D,A507,'QA Log'!M:M,"Vignette",'QA Log'!L:L,"*Vignette [9] Birth Spacing: Change FP method to Injectable*"),
COUNTIFS('QA Log'!D:D,A507,'QA Log'!M:M,"Vignette",'QA Log'!L:L,"*Vignette [10] Post Partum Haemorrhage - Atonic Uterus at Health Centre*"),
)
)</f>
        <v/>
      </c>
      <c r="BF507" s="102" t="str">
        <f>IF(A507="","",
  SUM(
    COUNTIFS('QA Log'!D:D,A507,'QA Log'!M:M,"Vignette",'QA Log'!Z:Z,"Approved",'QA Log'!L:L,"*Vignette [5] Labor*"),
    COUNTIFS('QA Log'!D:D,A507,'QA Log'!M:M,"Vignette",'QA Log'!Z:Z,"Approved",'QA Log'!L:L,"*Vignette [6] PNC pre Discharge*"),
    COUNTIFS('QA Log'!D:D,A507,'QA Log'!M:M,"Vignette",'QA Log'!Z:Z,"Approved",'QA Log'!L:L,"*Vignette [7] First ANC Visit*"),
    COUNTIFS('QA Log'!D:D,A507,'QA Log'!M:M,"Vignette",'QA Log'!Z:Z,"Approved",'QA Log'!L:L,"*Vignette [8] Birth Spacing/ Family Planning :  FP Counselling*"),
    COUNTIFS('QA Log'!D:D,A507,'QA Log'!M:M,"Vignette",'QA Log'!Z:Z,"Approved",'QA Log'!L:L,"*Vignette [9] Birth Spacing: Change FP method to Injectable*"),
    COUNTIFS('QA Log'!D:D,A507,'QA Log'!M:M,"Vignette",'QA Log'!Z:Z,"Approved",'QA Log'!L:L,"*Vignette [10] Post Partum Haemorrhage - Atonic Uterus at Health Centre*")
  )
)</f>
        <v/>
      </c>
      <c r="BG507" s="105" t="str">
        <f>IF(A507&lt;&gt;"",COUNTIFS('QA Log'!D:D,A507,'QA Log'!M:M,"Vignette",'QA Log'!L:L,"Vignette [5] Labor",'QA Log'!Z:Z,"Approved"),"")</f>
        <v/>
      </c>
      <c r="BH507" s="105" t="str">
        <f>IF(A507&lt;&gt;"",COUNTIFS('QA Log'!D:D,A507,'QA Log'!M:M,"Vignette",'QA Log'!L:L,"Vignette [6] PNC pre Discharge",'QA Log'!Z:Z,"Approved"),"")</f>
        <v/>
      </c>
      <c r="BI507" s="105" t="str">
        <f>IF(A507&lt;&gt;"",COUNTIFS('QA Log'!D:D,A507,'QA Log'!M:M,"Vignette",'QA Log'!L:L,"Vignette [7] First ANC Visit",'QA Log'!Z:Z,"Approved"),"")</f>
        <v/>
      </c>
      <c r="BJ507" s="105" t="str">
        <f>IF(A507&lt;&gt;"",COUNTIFS('QA Log'!D:D,A507,'QA Log'!M:M,"Vignette",'QA Log'!L:L,"Vignette [8] Birth Spacing/ Family Planning :  FP Counselling",'QA Log'!Z:Z,"Approved"),"")</f>
        <v/>
      </c>
      <c r="BK507" s="105" t="str">
        <f>IF(A507&lt;&gt;"",COUNTIFS('QA Log'!D:D,A507,'QA Log'!M:M,"Vignette",'QA Log'!L:L,"Vignette [9] Birth Spacing: Change FP method to Injectable",'QA Log'!Z:Z,"Approved"),"")</f>
        <v/>
      </c>
      <c r="BL507" s="105" t="str">
        <f>IF(A507&lt;&gt;"",COUNTIFS('QA Log'!D:D,A507,'QA Log'!M:M,"Vignette",'QA Log'!L:L,"Vignette [10] Post Partum Haemorrhage - Atonic Uterus at Health Centre",'QA Log'!Z:Z,"Approved"),"")</f>
        <v/>
      </c>
      <c r="BM507" s="102" t="str">
        <f>IF(A507="","",SUM(
    COUNTIFS('QA Log'!D:D,A507,'QA Log'!M:M,"Vignette",'QA Log'!Z:Z,"Rejected",'QA Log'!L:L,"*Vignette [5] Labor*"),
    COUNTIFS('QA Log'!D:D,A507,'QA Log'!M:M,"Vignette",'QA Log'!Z:Z,"Rejected",'QA Log'!L:L,"*Vignette [6] PNC pre Discharge*"),
    COUNTIFS('QA Log'!D:D,A507,'QA Log'!M:M,"Vignette",'QA Log'!Z:Z,"Rejected",'QA Log'!L:L,"*Vignette [7] First ANC Visit*"),
    COUNTIFS('QA Log'!D:D,A507,'QA Log'!M:M,"Vignette",'QA Log'!Z:Z,"Rejected",'QA Log'!L:L,"*Vignette [8] Birth Spacing/ Family Planning :  FP Counselling*"),
    COUNTIFS('QA Log'!D:D,A507,'QA Log'!M:M,"Vignette",'QA Log'!Z:Z,"Rejected",'QA Log'!L:L,"*Vignette [9] Birth Spacing: Change FP method to Injectable*"),
    COUNTIFS('QA Log'!D:D,A507,'QA Log'!M:M,"Vignette",'QA Log'!Z:Z,"Rejected",'QA Log'!L:L,"*Vignette [10] Post Partum Haemorrhage - Atonic Uterus at Health Centre*")
  )
)</f>
        <v/>
      </c>
      <c r="BN507" s="107" t="str">
        <f t="shared" si="37"/>
        <v/>
      </c>
      <c r="BO507" s="103" t="str">
        <f t="shared" si="38"/>
        <v/>
      </c>
      <c r="BP507" s="102" t="str">
        <f>IF(A507="","",SUM(
COUNTIFS('QA Log'!D:D,A507,'QA Log'!M:M,"Vignette",'QA Log'!L:L,"*Exit Interview 1*"),
COUNTIFS('QA Log'!D:D,A507,'QA Log'!M:M,"Vignette",'QA Log'!L:L,"*Exit Interview 2*"),
)
)</f>
        <v/>
      </c>
      <c r="BQ507" s="102" t="str">
        <f>IF(
  A507="","",
  SUM(
    COUNTIFS('QA Log'!D:D,A507,'QA Log'!M:M,"Vignette",'QA Log'!Z:Z,"Approved",'QA Log'!L:L,"*Exit Interview 1*"),
    COUNTIFS('QA Log'!D:D,A507,'QA Log'!M:M,"Vignette",'QA Log'!Z:Z,"Approved",'QA Log'!L:L,"*Exit Interview 2*")
  )
)</f>
        <v/>
      </c>
      <c r="BR507" s="105" t="str">
        <f>IF(A507&lt;&gt;"",COUNTIFS('QA Log'!D:D,A507,'QA Log'!M:M,"Vignette",'QA Log'!L:L,"Exit Interview 1",'QA Log'!Z:Z,"Approved"),"")</f>
        <v/>
      </c>
      <c r="BS507" s="105" t="str">
        <f>IF(A507&lt;&gt;"",COUNTIFS('QA Log'!D:D,A507,'QA Log'!M:M,"Vignette",'QA Log'!L:L,"Exit Interview 2",'QA Log'!Z:Z,"Approved"),"")</f>
        <v/>
      </c>
      <c r="BT507" s="102" t="str">
        <f>IF(
  A507="","",
  SUM(
    COUNTIFS('QA Log'!D:D,A507,'QA Log'!M:M,"Vignette",'QA Log'!Z:Z,"Rejected",'QA Log'!L:L,"*Exit Interview 1*"),
    COUNTIFS('QA Log'!D:D,A507,'QA Log'!M:M,"Vignette",'QA Log'!Z:Z,"Rejected",'QA Log'!L:L,"*Exit Interview 2*")
  )
)</f>
        <v/>
      </c>
      <c r="BU507" s="107" t="str">
        <f t="shared" si="39"/>
        <v/>
      </c>
      <c r="BV507" s="102" t="str">
        <f t="shared" si="40"/>
        <v/>
      </c>
      <c r="BW507" s="102" t="str">
        <f t="shared" si="41"/>
        <v/>
      </c>
      <c r="BX507" s="102" t="str">
        <f t="shared" si="42"/>
        <v/>
      </c>
      <c r="BY507" s="102" t="str">
        <f t="shared" si="43"/>
        <v/>
      </c>
      <c r="BZ507" s="107" t="str">
        <f t="shared" si="44"/>
        <v/>
      </c>
      <c r="CA507" s="108" t="str">
        <f t="shared" si="45"/>
        <v/>
      </c>
      <c r="CB507" s="108" t="str">
        <f t="shared" si="46"/>
        <v/>
      </c>
      <c r="CC507" s="109" t="str">
        <f t="shared" si="47"/>
        <v/>
      </c>
      <c r="CD507" s="108" t="str">
        <f t="shared" si="48"/>
        <v/>
      </c>
      <c r="CE507" s="108" t="str">
        <f t="shared" si="49"/>
        <v/>
      </c>
      <c r="CF507" s="109" t="str">
        <f t="shared" si="50"/>
        <v/>
      </c>
      <c r="CG507" s="110" t="str">
        <f t="shared" si="51"/>
        <v/>
      </c>
      <c r="CH507" s="111"/>
    </row>
    <row r="508" spans="1:86" ht="12.75">
      <c r="A508" s="101"/>
      <c r="B508" s="102" t="e">
        <f t="array" aca="1" ref="B508" ca="1">_xludf.XLOOKUP(A508,'QA Log'!D:D,'QA Log'!E:E,"")</f>
        <v>#NAME?</v>
      </c>
      <c r="C508" s="102" t="e">
        <f t="array" aca="1" ref="C508" ca="1">_xludf.XLOOKUP(A508,'QA Log'!D:D,'QA Log'!F:F,"")</f>
        <v>#NAME?</v>
      </c>
      <c r="D508" s="102" t="e">
        <f t="array" aca="1" ref="D508" ca="1">_xludf.XLOOKUP(A508,'QA Log'!D:D,'QA Log'!H:H,"")</f>
        <v>#NAME?</v>
      </c>
      <c r="E508" s="102" t="e">
        <f t="array" aca="1" ref="E508" ca="1">_xludf.XLOOKUP(A508,'QA Log'!D:D,'QA Log'!G:G,"")</f>
        <v>#NAME?</v>
      </c>
      <c r="F508" s="103"/>
      <c r="G508" s="104"/>
      <c r="H508" s="104"/>
      <c r="I508" s="103" t="str">
        <f t="shared" si="26"/>
        <v/>
      </c>
      <c r="J508" s="102" t="str">
        <f>IF(A508="","",SUM(
COUNTIFS('QA Log'!D:D,A508,'QA Log'!M:M,"QQC",'QA Log'!L:L,"*1. General Management*"),
COUNTIFS('QA Log'!D:D,A508,'QA Log'!M:M,"QQC",'QA Log'!L:L,"*3. Curative Consultation (OPD)*"),
COUNTIFS('QA Log'!D:D,A508,'QA Log'!M:M,"QQC",'QA Log'!L:L,"*5. Laboratory*"),
COUNTIFS('QA Log'!D:D,A508,'QA Log'!M:M,"QQC",'QA Log'!L:L,"*6. Essential Medicine Management*"),
COUNTIFS('QA Log'!D:D,A508,'QA Log'!M:M,"QQC",'QA Log'!L:L,"*7. Tracer Medicine*"),
COUNTIFS('QA Log'!D:D,A508,'QA Log'!M:M,"QQC",'QA Log'!L:L,"*11. Additional Questions*")))</f>
        <v/>
      </c>
      <c r="K508" s="102" t="str">
        <f>IF(A508="","",SUM(
COUNTIFS('QA Log'!D:D,A508,'QA Log'!M:M,"QQC",'QA Log'!Z:Z,"Approved",'QA Log'!L:L,"*1. General Management*"),
COUNTIFS('QA Log'!D:D,A508,'QA Log'!M:M,"QQC",'QA Log'!Z:Z,"Approved",'QA Log'!L:L,"*3. Curative Consultation (OPD)*"),
COUNTIFS('QA Log'!D:D,A508,'QA Log'!M:M,"QQC",'QA Log'!Z:Z,"Approved",'QA Log'!L:L,"*5. Laboratory*"),
COUNTIFS('QA Log'!D:D,A508,'QA Log'!M:M,"QQC",'QA Log'!Z:Z,"Approved",'QA Log'!L:L,"*6. Essential Medicine Management*"),
COUNTIFS('QA Log'!D:D,A508,'QA Log'!M:M,"QQC",'QA Log'!Z:Z,"Approved",'QA Log'!L:L,"*7. Tracer Medicine*"),
COUNTIFS('QA Log'!D:D,A508,'QA Log'!M:M,"QQC",'QA Log'!Z:Z,"Approved",'QA Log'!L:L,"*11. Additional Questions*")))</f>
        <v/>
      </c>
      <c r="L508" s="102" t="str">
        <f>IF(A508&lt;&gt;"",COUNTIFS('QA Log'!D:D,A508,'QA Log'!M:M,"QQC",'QA Log'!L:L,"1. General Management",'QA Log'!Z:Z,"Approved"),"")</f>
        <v/>
      </c>
      <c r="M508" s="102" t="str">
        <f>IF(A508&lt;&gt;"",COUNTIFS('QA Log'!D:D,A508,'QA Log'!M:M,"QQC",'QA Log'!L:L,"3. Curative Consultation (OPD)",'QA Log'!Z:Z,"Approved"),"")</f>
        <v/>
      </c>
      <c r="N508" s="102" t="str">
        <f>IF(A508&lt;&gt;"",COUNTIFS('QA Log'!D:D,A508,'QA Log'!M:M,"QQC",'QA Log'!L:L,"5. Laboratory",'QA Log'!Z:Z,"Approved"),"")</f>
        <v/>
      </c>
      <c r="O508" s="102" t="str">
        <f>IF(A508&lt;&gt;"",COUNTIFS('QA Log'!D:D,A508,'QA Log'!M:M,"QQC",'QA Log'!L:L,"6. Essential Medicine Management",'QA Log'!Z:Z,"Approved"),"")</f>
        <v/>
      </c>
      <c r="P508" s="102" t="str">
        <f>IF(A508&lt;&gt;"",COUNTIFS('QA Log'!D:D,A508,'QA Log'!M:M,"QQC",'QA Log'!L:L,"7. Tracer Medicine",'QA Log'!Z:Z,"Approved"),"")</f>
        <v/>
      </c>
      <c r="Q508" s="102" t="str">
        <f>IF(A508&lt;&gt;"",COUNTIFS('QA Log'!D:D,A508,'QA Log'!M:M,"QQC",'QA Log'!L:L,"11. Additional Questions",'QA Log'!Z:Z,"Approved"),"")</f>
        <v/>
      </c>
      <c r="R508" s="102" t="str">
        <f>IF(A508="","",SUM(
COUNTIFS('QA Log'!D:D,A508,'QA Log'!M:M,"QQC",'QA Log'!Z:Z,"Rejected",'QA Log'!L:L,"*8. Maternity*"),
COUNTIFS('QA Log'!D:D,A508,'QA Log'!M:M,"QQC",'QA Log'!Z:Z,"Rejected",'QA Log'!L:L,"*EPI*"),
COUNTIFS('QA Log'!D:D,A508,'QA Log'!M:M,"QQC",'QA Log'!Z:Z,"Rejected",'QA Log'!L:L,"*10. Antenatal Care (ANC)*"),
COUNTIFS('QA Log'!D:D,A508,'QA Log'!M:M,"QQC",'QA Log'!Z:Z,"Rejected",'QA Log'!L:L,"*2. Hygiene and Sterilization*"),
COUNTIFS('QA Log'!D:D,A508,'QA Log'!M:M,"QQC",'QA Log'!Z:Z,"Rejected",'QA Log'!L:L,"*Family Planning*")))</f>
        <v/>
      </c>
      <c r="S508" s="106" t="str">
        <f t="shared" si="27"/>
        <v/>
      </c>
      <c r="T508" s="102" t="str">
        <f t="shared" si="28"/>
        <v/>
      </c>
      <c r="U508" s="102" t="str">
        <f>IF(A508="","",
SUM(
COUNTIFS('QA Log'!D:D,A508,'QA Log'!M:M,"QQC",'QA Log'!L:L,"*8. Maternity*"),
COUNTIFS('QA Log'!D:D,A508,'QA Log'!M:M,"QQC",'QA Log'!L:L,"*9. EPI and Pre-school Consultation*"),
COUNTIFS('QA Log'!D:D,A508,'QA Log'!M:M,"QQC",'QA Log'!L:L,"*10. Antenatal Care (ANC)*"),
COUNTIFS('QA Log'!D:D,A508,'QA Log'!M:M,"QQC",'QA Log'!L:L,"*2. Hygiene and Sterilization*"),
COUNTIFS('QA Log'!D:D,A508,'QA Log'!M:M,"QQC",'QA Log'!L:L,"*4. Family Planning*")
))</f>
        <v/>
      </c>
      <c r="V508" s="102" t="str">
        <f>IF(A508="","",
SUM(
COUNTIFS('QA Log'!D:D,A508,'QA Log'!M:M,"QQC",'QA Log'!Z:Z,"Approved",'QA Log'!L:L,"*8. Maternity*"),
COUNTIFS('QA Log'!D:D,A508,'QA Log'!M:M,"QQC",'QA Log'!Z:Z,"Approved",'QA Log'!L:L,"*9. EPI and Pre-school Consultation*"),
COUNTIFS('QA Log'!D:D,A508,'QA Log'!M:M,"QQC",'QA Log'!Z:Z,"Approved",'QA Log'!L:L,"*10. Antenatal Care (ANC)*"),
COUNTIFS('QA Log'!D:D,A508,'QA Log'!M:M,"QQC",'QA Log'!Z:Z,"Approved",'QA Log'!L:L,"*2. Hygiene and Sterilization*"),
COUNTIFS('QA Log'!D:D,A508,'QA Log'!M:M,"QQC",'QA Log'!Z:Z,"Approved",'QA Log'!L:L,"*4. Family Planning*")
))</f>
        <v/>
      </c>
      <c r="W508" s="102" t="str">
        <f>IF(A508&lt;&gt;"",COUNTIFS('QA Log'!D:D,A508,'QA Log'!M:M,"QQC",'QA Log'!L:L,"8. Maternity",'QA Log'!Z:Z,"Approved"),"")</f>
        <v/>
      </c>
      <c r="X508" s="105" t="str">
        <f>IF(A508&lt;&gt;"",COUNTIFS('QA Log'!D:D,A508,'QA Log'!M:M,"QQC",'QA Log'!L:L,"9. EPI and Pre-school Consultation",'QA Log'!Z:Z,"Approved"),"")</f>
        <v/>
      </c>
      <c r="Y508" s="102" t="str">
        <f>IF(A508&lt;&gt;"",COUNTIFS('QA Log'!D:D,A508,'QA Log'!M:M,"QQC",'QA Log'!L:L,"10. Antenatal Care (ANC)",'QA Log'!Z:Z,"Approved"),"")</f>
        <v/>
      </c>
      <c r="Z508" s="102" t="str">
        <f>IF(A508&lt;&gt;"",COUNTIFS('QA Log'!D:D,A508,'QA Log'!M:M,"QQC",'QA Log'!L:L,"2. Hygiene and Sterilization",'QA Log'!Z:Z,"Approved"),"")</f>
        <v/>
      </c>
      <c r="AA508" s="105" t="str">
        <f>IF(A508&lt;&gt;"",COUNTIFS('QA Log'!D:D,A508,'QA Log'!M:M,"QQC",'QA Log'!L:L,"4. Family Planning",'QA Log'!Z:Z,"Approved"),"")</f>
        <v/>
      </c>
      <c r="AB508" s="102" t="str">
        <f>IF(A508="","",
SUM(
COUNTIFS('QA Log'!D:D,A508,'QA Log'!M:M,"QQC",'QA Log'!Z:Z,"Rejected",'QA Log'!L:L,"*8. Maternity*"),
COUNTIFS('QA Log'!D:D,A508,'QA Log'!M:M,"QQC",'QA Log'!Z:Z,"Rejected",'QA Log'!L:L,"*9. EPI and Pre-school Consultation*"),
COUNTIFS('QA Log'!D:D,A508,'QA Log'!M:M,"QQC",'QA Log'!Z:Z,"Rejected",'QA Log'!L:L,"*10. Antenatal Care (ANC)*"),
COUNTIFS('QA Log'!D:D,A508,'QA Log'!M:M,"QQC",'QA Log'!Z:Z,"Rejected",'QA Log'!L:L,"*2. Hygiene and Sterilization*"),
COUNTIFS('QA Log'!D:D,A508,'QA Log'!M:M,"QQC",'QA Log'!Z:Z,"Rejected",'QA Log'!L:L,"*4. Family Planning*")
))</f>
        <v/>
      </c>
      <c r="AC508" s="102" t="str">
        <f t="shared" si="29"/>
        <v/>
      </c>
      <c r="AD508" s="103" t="str">
        <f t="shared" si="30"/>
        <v/>
      </c>
      <c r="AE508" s="102" t="str">
        <f>IF(A508="","",
SUM(
COUNTIFS('QA Log'!D:D,A508,'QA Log'!M:M,"Data Verification",'QA Log'!L:L,"*Medicine (section 2)*"),
COUNTIFS('QA Log'!D:D,A508,'QA Log'!M:M,"Data Verification",'QA Log'!L:L,"*Lab Testing Availability*"),
COUNTIFS('QA Log'!D:D,A508,'QA Log'!M:M,"Data Verification",'QA Log'!L:L,"*Other than P4P (section 6)*"),
COUNTIFS('QA Log'!D:D,A508,'QA Log'!M:M,"Data Verification",'QA Log'!L:L,"*Hospital Governance*")
))</f>
        <v/>
      </c>
      <c r="AF508" s="102" t="str">
        <f>IF(A508="","",
SUM(
COUNTIFS('QA Log'!D:D,A508,'QA Log'!M:M,"Data Verification",'QA Log'!Z:Z,"Approved",'QA Log'!L:L,"*Medicine (section 2)*"),
COUNTIFS('QA Log'!D:D,A508,'QA Log'!M:M,"Data Verification",'QA Log'!Z:Z,"Approved",'QA Log'!L:L,"*Lab Testing Availability*"),
COUNTIFS('QA Log'!D:D,A508,'QA Log'!M:M,"Data Verification",'QA Log'!Z:Z,"Approved",'QA Log'!L:L,"*Other than P4P (section 6)*"),
COUNTIFS('QA Log'!D:D,A508,'QA Log'!M:M,"Data Verification",'QA Log'!Z:Z,"Approved",'QA Log'!L:L,"*Hospital Governance*")
))</f>
        <v/>
      </c>
      <c r="AG508" s="105" t="str">
        <f>IF(A508&lt;&gt;"",COUNTIFS('QA Log'!D:D,A508,'QA Log'!M:M,"Data Verification",'QA Log'!L:L,"Medicine (section 2)",'QA Log'!Z:Z,"Approved"),"")</f>
        <v/>
      </c>
      <c r="AH508" s="105" t="str">
        <f>IF(A508&lt;&gt;"",COUNTIFS('QA Log'!D:D,A508,'QA Log'!M:M,"Data Verification",'QA Log'!L:L,"Lab Testing Availability",'QA Log'!Z:Z,"Approved"),"")</f>
        <v/>
      </c>
      <c r="AI508" s="105" t="str">
        <f>IF(A508&lt;&gt;"",COUNTIFS('QA Log'!D:D,A508,'QA Log'!M:M,"Data Verification",'QA Log'!L:L,"Other than P4P (section 6)",'QA Log'!Z:Z,"Approved"),"")</f>
        <v/>
      </c>
      <c r="AJ508" s="105" t="str">
        <f>IF(A508&lt;&gt;"",COUNTIFS('QA Log'!D:D,A508,'QA Log'!M:M,"Data Verification",'QA Log'!L:L,"Hospital Governance",'QA Log'!Z:Z,"Approved"),"")</f>
        <v/>
      </c>
      <c r="AK508" s="102" t="str">
        <f>IF(A508="","",
SUM(
COUNTIFS('QA Log'!D:D,A508,'QA Log'!M:M,"Data Verification",'QA Log'!Z:Z,"Rejected",'QA Log'!L:L,"*Medicine (section 2)*"),
COUNTIFS('QA Log'!D:D,A508,'QA Log'!M:M,"Data Verification",'QA Log'!Z:Z,"Rejected",'QA Log'!L:L,"*Lab Testing Availability*"),
COUNTIFS('QA Log'!D:D,A508,'QA Log'!M:M,"Data Verification",'QA Log'!Z:Z,"Rejected",'QA Log'!L:L,"*Other than P4P (section 6)*"),
COUNTIFS('QA Log'!D:D,A508,'QA Log'!M:M,"Data Verification",'QA Log'!Z:Z,"Rejected",'QA Log'!L:L,"*Hospital Governance*")
))</f>
        <v/>
      </c>
      <c r="AL508" s="106" t="str">
        <f t="shared" si="31"/>
        <v/>
      </c>
      <c r="AM508" s="102" t="str">
        <f t="shared" si="32"/>
        <v/>
      </c>
      <c r="AN508" s="102" t="str">
        <f>IF(A508="","",
SUM(
COUNTIFS('QA Log'!D:D,A508,'QA Log'!M:M,"Data Verification",'QA Log'!L:L,"*Personnel (section 1)*"),
COUNTIFS('QA Log'!D:D,A508,'QA Log'!M:M,"Data Verification",'QA Log'!L:L,"*Consumable (section 3)*"),
COUNTIFS('QA Log'!D:D,A508,'QA Log'!M:M,"Data Verification",'QA Log'!L:L,"*Equipments (section 4)*")
))</f>
        <v/>
      </c>
      <c r="AO508" s="102" t="str">
        <f>IF(A508="","",
SUM(
COUNTIFS('QA Log'!D:D,A508,'QA Log'!M:M,"Data Verification",'QA Log'!Z:Z,"Approved",'QA Log'!L:L,"*Personnel (section 1)*"),
COUNTIFS('QA Log'!D:D,A508,'QA Log'!M:M,"Data Verification",'QA Log'!Z:Z,"Approved",'QA Log'!L:L,"*Consumable (section 3)*"),
COUNTIFS('QA Log'!D:D,A508,'QA Log'!M:M,"Data Verification",'QA Log'!Z:Z,"Approved",'QA Log'!L:L,"*Equipments (section 4)*")
))</f>
        <v/>
      </c>
      <c r="AP508" s="105" t="str">
        <f>IF(A508&lt;&gt;"",COUNTIFS('QA Log'!D:D,A508,'QA Log'!M:M,"Data Verification",'QA Log'!L:L,"Personnel (section 1)",'QA Log'!Z:Z,"Approved"),"")</f>
        <v/>
      </c>
      <c r="AQ508" s="105" t="str">
        <f>IF(A508&lt;&gt;"",COUNTIFS('QA Log'!D:D,A508,'QA Log'!M:M,"Data Verification",'QA Log'!L:L,"Consumable (section 3)",'QA Log'!Z:Z,"Approved"),"")</f>
        <v/>
      </c>
      <c r="AR508" s="105" t="str">
        <f>IF(A508&lt;&gt;"",COUNTIFS('QA Log'!D:D,A508,'QA Log'!M:M,"Data Verification",'QA Log'!L:L,"Equipments (section 4)",'QA Log'!Z:Z,"Approved"),"")</f>
        <v/>
      </c>
      <c r="AS508" s="102" t="str">
        <f>IF(A508="","",
SUM(
COUNTIFS('QA Log'!D:D,A508,'QA Log'!M:M,"Data Verification",'QA Log'!Z:Z,"Rejected",'QA Log'!L:L,"*Personnel (section 1)*"),
COUNTIFS('QA Log'!D:D,A508,'QA Log'!M:M,"Data Verification",'QA Log'!Z:Z,"Rejected",'QA Log'!L:L,"*Consumable (section 3)*"),
COUNTIFS('QA Log'!D:D,A508,'QA Log'!M:M,"Data Verification",'QA Log'!Z:Z,"Rejected",'QA Log'!L:L,"*Equipments (section 4)*")
))</f>
        <v/>
      </c>
      <c r="AT508" s="102" t="str">
        <f t="shared" si="33"/>
        <v/>
      </c>
      <c r="AU508" s="103" t="str">
        <f t="shared" si="34"/>
        <v/>
      </c>
      <c r="AV508" s="102" t="str">
        <f>IF(A508="","",SUM(
COUNTIFS('QA Log'!D:D,A508,'QA Log'!M:M,"Vignette",'QA Log'!L:L,"*Vignette [1] Respiratory Infection: Pneumonia*"),
COUNTIFS('QA Log'!D:D,A508,'QA Log'!M:M,"Vignette",'QA Log'!L:L,"*Vignette [2]: Diarrhea with Cat B dehydration*"),
COUNTIFS('QA Log'!D:D,A508,'QA Log'!M:M,"Vignette",'QA Log'!L:L,"*Vignette [3] Growth Monitoring and Promotion*"),
COUNTIFS('QA Log'!D:D,A508,'QA Log'!M:M,"Vignette",'QA Log'!L:L,"*Vignette [4]: The management of presumptive TB patient*")
)
)</f>
        <v/>
      </c>
      <c r="AW508" s="102" t="str">
        <f>IF(
  A508="","",
  SUM(
    COUNTIFS('QA Log'!D:D,A508,'QA Log'!M:M,"Vignette",'QA Log'!Z:Z,"Approved",'QA Log'!L:L,"*Vignette [1] Respiratory Infection: Pneumonia*"),
    COUNTIFS('QA Log'!D:D,A508,'QA Log'!M:M,"Vignette",'QA Log'!Z:Z,"Approved",'QA Log'!L:L,"*Vignette [2]: Diarrhea with Cat B dehydration*"),
    COUNTIFS('QA Log'!D:D,A508,'QA Log'!M:M,"Vignette",'QA Log'!Z:Z,"Approved",'QA Log'!L:L,"*Vignette [3] Growth Monitoring and Promotion*"),
    COUNTIFS('QA Log'!D:D,A508,'QA Log'!M:M,"Vignette",'QA Log'!Z:Z,"Approved",'QA Log'!L:L,"*Vignette [4]: The management of presumptive TB patient*")
  )
)</f>
        <v/>
      </c>
      <c r="AX508" s="105" t="str">
        <f>IF(A508&lt;&gt;"",COUNTIFS('QA Log'!D:D,A508,'QA Log'!M:M,"Vignette",'QA Log'!L:L,"Vignette [1] Respiratory Infection: Pneumonia",'QA Log'!Z:Z,"Approved"),"")</f>
        <v/>
      </c>
      <c r="AY508" s="105" t="str">
        <f>IF(A508&lt;&gt;"",COUNTIFS('QA Log'!D:D,A508,'QA Log'!M:M,"Vignette",'QA Log'!L:L,"Vignette [2]: Diarrhea with Cat B dehydration",'QA Log'!Z:Z,"Approved"),"")</f>
        <v/>
      </c>
      <c r="AZ508" s="105" t="str">
        <f>IF(A508&lt;&gt;"",COUNTIFS('QA Log'!D:D,A508,'QA Log'!M:M,"Vignette",'QA Log'!L:L,"Vignette [3] Growth Monitoring and Promotion",'QA Log'!Z:Z,"Approved"),"")</f>
        <v/>
      </c>
      <c r="BA508" s="105" t="str">
        <f>IF(A508&lt;&gt;"",COUNTIFS('QA Log'!D:D,A508,'QA Log'!M:M,"Vignette",'QA Log'!L:L,"Vignette [4]: The management of presumptive TB patient",'QA Log'!Z:Z,"Approved"),"")</f>
        <v/>
      </c>
      <c r="BB508" s="102" t="str">
        <f>IF(A508="","",
  SUM(
    COUNTIFS('QA Log'!D:D,A508,'QA Log'!M:M,"Vignette",'QA Log'!Z:Z,"Rejected",'QA Log'!L:L,"*Vignette [1] Respiratory Infection: Pneumonia*"),
    COUNTIFS('QA Log'!D:D,A508,'QA Log'!M:M,"Vignette",'QA Log'!Z:Z,"Rejected",'QA Log'!L:L,"*Vignette [2]: Diarrhea with Cat B dehydration*"),
    COUNTIFS('QA Log'!D:D,A508,'QA Log'!M:M,"Vignette",'QA Log'!Z:Z,"Rejected",'QA Log'!L:L,"*Vignette [3] Growth Monitoring and Promotion*"),
    COUNTIFS('QA Log'!D:D,A508,'QA Log'!M:M,"Vignette",'QA Log'!Z:Z,"Rejected",'QA Log'!L:L,"*Vignette [4]: The management of presumptive TB patient*")
  )
)</f>
        <v/>
      </c>
      <c r="BC508" s="107" t="str">
        <f t="shared" si="35"/>
        <v/>
      </c>
      <c r="BD508" s="103" t="str">
        <f t="shared" si="36"/>
        <v/>
      </c>
      <c r="BE508" s="102" t="str">
        <f>IF(A508="","",SUM(
COUNTIFS('QA Log'!D:D,A508,'QA Log'!M:M,"Vignette",'QA Log'!L:L,"*Vignette [5] Labor*"),
COUNTIFS('QA Log'!D:D,A508,'QA Log'!M:M,"Vignette",'QA Log'!L:L,"*Vignette [6] PNC pre Discharge*"),
COUNTIFS('QA Log'!D:D,A508,'QA Log'!M:M,"Vignette",'QA Log'!L:L,"*Vignette [7] First ANC Visit*"),
COUNTIFS('QA Log'!D:D,A508,'QA Log'!M:M,"Vignette",'QA Log'!L:L,"*Vignette [8] Birth Spacing/ Family Planning :  FP Counselling*"),
COUNTIFS('QA Log'!D:D,A508,'QA Log'!M:M,"Vignette",'QA Log'!L:L,"*Vignette [9] Birth Spacing: Change FP method to Injectable*"),
COUNTIFS('QA Log'!D:D,A508,'QA Log'!M:M,"Vignette",'QA Log'!L:L,"*Vignette [10] Post Partum Haemorrhage - Atonic Uterus at Health Centre*"),
)
)</f>
        <v/>
      </c>
      <c r="BF508" s="102" t="str">
        <f>IF(A508="","",
  SUM(
    COUNTIFS('QA Log'!D:D,A508,'QA Log'!M:M,"Vignette",'QA Log'!Z:Z,"Approved",'QA Log'!L:L,"*Vignette [5] Labor*"),
    COUNTIFS('QA Log'!D:D,A508,'QA Log'!M:M,"Vignette",'QA Log'!Z:Z,"Approved",'QA Log'!L:L,"*Vignette [6] PNC pre Discharge*"),
    COUNTIFS('QA Log'!D:D,A508,'QA Log'!M:M,"Vignette",'QA Log'!Z:Z,"Approved",'QA Log'!L:L,"*Vignette [7] First ANC Visit*"),
    COUNTIFS('QA Log'!D:D,A508,'QA Log'!M:M,"Vignette",'QA Log'!Z:Z,"Approved",'QA Log'!L:L,"*Vignette [8] Birth Spacing/ Family Planning :  FP Counselling*"),
    COUNTIFS('QA Log'!D:D,A508,'QA Log'!M:M,"Vignette",'QA Log'!Z:Z,"Approved",'QA Log'!L:L,"*Vignette [9] Birth Spacing: Change FP method to Injectable*"),
    COUNTIFS('QA Log'!D:D,A508,'QA Log'!M:M,"Vignette",'QA Log'!Z:Z,"Approved",'QA Log'!L:L,"*Vignette [10] Post Partum Haemorrhage - Atonic Uterus at Health Centre*")
  )
)</f>
        <v/>
      </c>
      <c r="BG508" s="105" t="str">
        <f>IF(A508&lt;&gt;"",COUNTIFS('QA Log'!D:D,A508,'QA Log'!M:M,"Vignette",'QA Log'!L:L,"Vignette [5] Labor",'QA Log'!Z:Z,"Approved"),"")</f>
        <v/>
      </c>
      <c r="BH508" s="105" t="str">
        <f>IF(A508&lt;&gt;"",COUNTIFS('QA Log'!D:D,A508,'QA Log'!M:M,"Vignette",'QA Log'!L:L,"Vignette [6] PNC pre Discharge",'QA Log'!Z:Z,"Approved"),"")</f>
        <v/>
      </c>
      <c r="BI508" s="105" t="str">
        <f>IF(A508&lt;&gt;"",COUNTIFS('QA Log'!D:D,A508,'QA Log'!M:M,"Vignette",'QA Log'!L:L,"Vignette [7] First ANC Visit",'QA Log'!Z:Z,"Approved"),"")</f>
        <v/>
      </c>
      <c r="BJ508" s="105" t="str">
        <f>IF(A508&lt;&gt;"",COUNTIFS('QA Log'!D:D,A508,'QA Log'!M:M,"Vignette",'QA Log'!L:L,"Vignette [8] Birth Spacing/ Family Planning :  FP Counselling",'QA Log'!Z:Z,"Approved"),"")</f>
        <v/>
      </c>
      <c r="BK508" s="105" t="str">
        <f>IF(A508&lt;&gt;"",COUNTIFS('QA Log'!D:D,A508,'QA Log'!M:M,"Vignette",'QA Log'!L:L,"Vignette [9] Birth Spacing: Change FP method to Injectable",'QA Log'!Z:Z,"Approved"),"")</f>
        <v/>
      </c>
      <c r="BL508" s="105" t="str">
        <f>IF(A508&lt;&gt;"",COUNTIFS('QA Log'!D:D,A508,'QA Log'!M:M,"Vignette",'QA Log'!L:L,"Vignette [10] Post Partum Haemorrhage - Atonic Uterus at Health Centre",'QA Log'!Z:Z,"Approved"),"")</f>
        <v/>
      </c>
      <c r="BM508" s="102" t="str">
        <f>IF(A508="","",SUM(
    COUNTIFS('QA Log'!D:D,A508,'QA Log'!M:M,"Vignette",'QA Log'!Z:Z,"Rejected",'QA Log'!L:L,"*Vignette [5] Labor*"),
    COUNTIFS('QA Log'!D:D,A508,'QA Log'!M:M,"Vignette",'QA Log'!Z:Z,"Rejected",'QA Log'!L:L,"*Vignette [6] PNC pre Discharge*"),
    COUNTIFS('QA Log'!D:D,A508,'QA Log'!M:M,"Vignette",'QA Log'!Z:Z,"Rejected",'QA Log'!L:L,"*Vignette [7] First ANC Visit*"),
    COUNTIFS('QA Log'!D:D,A508,'QA Log'!M:M,"Vignette",'QA Log'!Z:Z,"Rejected",'QA Log'!L:L,"*Vignette [8] Birth Spacing/ Family Planning :  FP Counselling*"),
    COUNTIFS('QA Log'!D:D,A508,'QA Log'!M:M,"Vignette",'QA Log'!Z:Z,"Rejected",'QA Log'!L:L,"*Vignette [9] Birth Spacing: Change FP method to Injectable*"),
    COUNTIFS('QA Log'!D:D,A508,'QA Log'!M:M,"Vignette",'QA Log'!Z:Z,"Rejected",'QA Log'!L:L,"*Vignette [10] Post Partum Haemorrhage - Atonic Uterus at Health Centre*")
  )
)</f>
        <v/>
      </c>
      <c r="BN508" s="107" t="str">
        <f t="shared" si="37"/>
        <v/>
      </c>
      <c r="BO508" s="103" t="str">
        <f t="shared" si="38"/>
        <v/>
      </c>
      <c r="BP508" s="102" t="str">
        <f>IF(A508="","",SUM(
COUNTIFS('QA Log'!D:D,A508,'QA Log'!M:M,"Vignette",'QA Log'!L:L,"*Exit Interview 1*"),
COUNTIFS('QA Log'!D:D,A508,'QA Log'!M:M,"Vignette",'QA Log'!L:L,"*Exit Interview 2*"),
)
)</f>
        <v/>
      </c>
      <c r="BQ508" s="102" t="str">
        <f>IF(
  A508="","",
  SUM(
    COUNTIFS('QA Log'!D:D,A508,'QA Log'!M:M,"Vignette",'QA Log'!Z:Z,"Approved",'QA Log'!L:L,"*Exit Interview 1*"),
    COUNTIFS('QA Log'!D:D,A508,'QA Log'!M:M,"Vignette",'QA Log'!Z:Z,"Approved",'QA Log'!L:L,"*Exit Interview 2*")
  )
)</f>
        <v/>
      </c>
      <c r="BR508" s="105" t="str">
        <f>IF(A508&lt;&gt;"",COUNTIFS('QA Log'!D:D,A508,'QA Log'!M:M,"Vignette",'QA Log'!L:L,"Exit Interview 1",'QA Log'!Z:Z,"Approved"),"")</f>
        <v/>
      </c>
      <c r="BS508" s="105" t="str">
        <f>IF(A508&lt;&gt;"",COUNTIFS('QA Log'!D:D,A508,'QA Log'!M:M,"Vignette",'QA Log'!L:L,"Exit Interview 2",'QA Log'!Z:Z,"Approved"),"")</f>
        <v/>
      </c>
      <c r="BT508" s="102" t="str">
        <f>IF(
  A508="","",
  SUM(
    COUNTIFS('QA Log'!D:D,A508,'QA Log'!M:M,"Vignette",'QA Log'!Z:Z,"Rejected",'QA Log'!L:L,"*Exit Interview 1*"),
    COUNTIFS('QA Log'!D:D,A508,'QA Log'!M:M,"Vignette",'QA Log'!Z:Z,"Rejected",'QA Log'!L:L,"*Exit Interview 2*")
  )
)</f>
        <v/>
      </c>
      <c r="BU508" s="107" t="str">
        <f t="shared" si="39"/>
        <v/>
      </c>
      <c r="BV508" s="102" t="str">
        <f t="shared" si="40"/>
        <v/>
      </c>
      <c r="BW508" s="102" t="str">
        <f t="shared" si="41"/>
        <v/>
      </c>
      <c r="BX508" s="102" t="str">
        <f t="shared" si="42"/>
        <v/>
      </c>
      <c r="BY508" s="102" t="str">
        <f t="shared" si="43"/>
        <v/>
      </c>
      <c r="BZ508" s="107" t="str">
        <f t="shared" si="44"/>
        <v/>
      </c>
      <c r="CA508" s="108" t="str">
        <f t="shared" si="45"/>
        <v/>
      </c>
      <c r="CB508" s="108" t="str">
        <f t="shared" si="46"/>
        <v/>
      </c>
      <c r="CC508" s="109" t="str">
        <f t="shared" si="47"/>
        <v/>
      </c>
      <c r="CD508" s="108" t="str">
        <f t="shared" si="48"/>
        <v/>
      </c>
      <c r="CE508" s="108" t="str">
        <f t="shared" si="49"/>
        <v/>
      </c>
      <c r="CF508" s="109" t="str">
        <f t="shared" si="50"/>
        <v/>
      </c>
      <c r="CG508" s="110" t="str">
        <f t="shared" si="51"/>
        <v/>
      </c>
      <c r="CH508" s="111"/>
    </row>
    <row r="509" spans="1:86" ht="12.75">
      <c r="A509" s="101"/>
      <c r="B509" s="102" t="e">
        <f t="array" aca="1" ref="B509" ca="1">_xludf.XLOOKUP(A509,'QA Log'!D:D,'QA Log'!E:E,"")</f>
        <v>#NAME?</v>
      </c>
      <c r="C509" s="102" t="e">
        <f t="array" aca="1" ref="C509" ca="1">_xludf.XLOOKUP(A509,'QA Log'!D:D,'QA Log'!F:F,"")</f>
        <v>#NAME?</v>
      </c>
      <c r="D509" s="102" t="e">
        <f t="array" aca="1" ref="D509" ca="1">_xludf.XLOOKUP(A509,'QA Log'!D:D,'QA Log'!H:H,"")</f>
        <v>#NAME?</v>
      </c>
      <c r="E509" s="102" t="e">
        <f t="array" aca="1" ref="E509" ca="1">_xludf.XLOOKUP(A509,'QA Log'!D:D,'QA Log'!G:G,"")</f>
        <v>#NAME?</v>
      </c>
      <c r="F509" s="103"/>
      <c r="G509" s="104"/>
      <c r="H509" s="104"/>
      <c r="I509" s="103" t="str">
        <f t="shared" si="26"/>
        <v/>
      </c>
      <c r="J509" s="102" t="str">
        <f>IF(A509="","",SUM(
COUNTIFS('QA Log'!D:D,A509,'QA Log'!M:M,"QQC",'QA Log'!L:L,"*1. General Management*"),
COUNTIFS('QA Log'!D:D,A509,'QA Log'!M:M,"QQC",'QA Log'!L:L,"*3. Curative Consultation (OPD)*"),
COUNTIFS('QA Log'!D:D,A509,'QA Log'!M:M,"QQC",'QA Log'!L:L,"*5. Laboratory*"),
COUNTIFS('QA Log'!D:D,A509,'QA Log'!M:M,"QQC",'QA Log'!L:L,"*6. Essential Medicine Management*"),
COUNTIFS('QA Log'!D:D,A509,'QA Log'!M:M,"QQC",'QA Log'!L:L,"*7. Tracer Medicine*"),
COUNTIFS('QA Log'!D:D,A509,'QA Log'!M:M,"QQC",'QA Log'!L:L,"*11. Additional Questions*")))</f>
        <v/>
      </c>
      <c r="K509" s="102" t="str">
        <f>IF(A509="","",SUM(
COUNTIFS('QA Log'!D:D,A509,'QA Log'!M:M,"QQC",'QA Log'!Z:Z,"Approved",'QA Log'!L:L,"*1. General Management*"),
COUNTIFS('QA Log'!D:D,A509,'QA Log'!M:M,"QQC",'QA Log'!Z:Z,"Approved",'QA Log'!L:L,"*3. Curative Consultation (OPD)*"),
COUNTIFS('QA Log'!D:D,A509,'QA Log'!M:M,"QQC",'QA Log'!Z:Z,"Approved",'QA Log'!L:L,"*5. Laboratory*"),
COUNTIFS('QA Log'!D:D,A509,'QA Log'!M:M,"QQC",'QA Log'!Z:Z,"Approved",'QA Log'!L:L,"*6. Essential Medicine Management*"),
COUNTIFS('QA Log'!D:D,A509,'QA Log'!M:M,"QQC",'QA Log'!Z:Z,"Approved",'QA Log'!L:L,"*7. Tracer Medicine*"),
COUNTIFS('QA Log'!D:D,A509,'QA Log'!M:M,"QQC",'QA Log'!Z:Z,"Approved",'QA Log'!L:L,"*11. Additional Questions*")))</f>
        <v/>
      </c>
      <c r="L509" s="102" t="str">
        <f>IF(A509&lt;&gt;"",COUNTIFS('QA Log'!D:D,A509,'QA Log'!M:M,"QQC",'QA Log'!L:L,"1. General Management",'QA Log'!Z:Z,"Approved"),"")</f>
        <v/>
      </c>
      <c r="M509" s="102" t="str">
        <f>IF(A509&lt;&gt;"",COUNTIFS('QA Log'!D:D,A509,'QA Log'!M:M,"QQC",'QA Log'!L:L,"3. Curative Consultation (OPD)",'QA Log'!Z:Z,"Approved"),"")</f>
        <v/>
      </c>
      <c r="N509" s="102" t="str">
        <f>IF(A509&lt;&gt;"",COUNTIFS('QA Log'!D:D,A509,'QA Log'!M:M,"QQC",'QA Log'!L:L,"5. Laboratory",'QA Log'!Z:Z,"Approved"),"")</f>
        <v/>
      </c>
      <c r="O509" s="102" t="str">
        <f>IF(A509&lt;&gt;"",COUNTIFS('QA Log'!D:D,A509,'QA Log'!M:M,"QQC",'QA Log'!L:L,"6. Essential Medicine Management",'QA Log'!Z:Z,"Approved"),"")</f>
        <v/>
      </c>
      <c r="P509" s="102" t="str">
        <f>IF(A509&lt;&gt;"",COUNTIFS('QA Log'!D:D,A509,'QA Log'!M:M,"QQC",'QA Log'!L:L,"7. Tracer Medicine",'QA Log'!Z:Z,"Approved"),"")</f>
        <v/>
      </c>
      <c r="Q509" s="102" t="str">
        <f>IF(A509&lt;&gt;"",COUNTIFS('QA Log'!D:D,A509,'QA Log'!M:M,"QQC",'QA Log'!L:L,"11. Additional Questions",'QA Log'!Z:Z,"Approved"),"")</f>
        <v/>
      </c>
      <c r="R509" s="102" t="str">
        <f>IF(A509="","",SUM(
COUNTIFS('QA Log'!D:D,A509,'QA Log'!M:M,"QQC",'QA Log'!Z:Z,"Rejected",'QA Log'!L:L,"*8. Maternity*"),
COUNTIFS('QA Log'!D:D,A509,'QA Log'!M:M,"QQC",'QA Log'!Z:Z,"Rejected",'QA Log'!L:L,"*EPI*"),
COUNTIFS('QA Log'!D:D,A509,'QA Log'!M:M,"QQC",'QA Log'!Z:Z,"Rejected",'QA Log'!L:L,"*10. Antenatal Care (ANC)*"),
COUNTIFS('QA Log'!D:D,A509,'QA Log'!M:M,"QQC",'QA Log'!Z:Z,"Rejected",'QA Log'!L:L,"*2. Hygiene and Sterilization*"),
COUNTIFS('QA Log'!D:D,A509,'QA Log'!M:M,"QQC",'QA Log'!Z:Z,"Rejected",'QA Log'!L:L,"*Family Planning*")))</f>
        <v/>
      </c>
      <c r="S509" s="106" t="str">
        <f t="shared" si="27"/>
        <v/>
      </c>
      <c r="T509" s="102" t="str">
        <f t="shared" si="28"/>
        <v/>
      </c>
      <c r="U509" s="102" t="str">
        <f>IF(A509="","",
SUM(
COUNTIFS('QA Log'!D:D,A509,'QA Log'!M:M,"QQC",'QA Log'!L:L,"*8. Maternity*"),
COUNTIFS('QA Log'!D:D,A509,'QA Log'!M:M,"QQC",'QA Log'!L:L,"*9. EPI and Pre-school Consultation*"),
COUNTIFS('QA Log'!D:D,A509,'QA Log'!M:M,"QQC",'QA Log'!L:L,"*10. Antenatal Care (ANC)*"),
COUNTIFS('QA Log'!D:D,A509,'QA Log'!M:M,"QQC",'QA Log'!L:L,"*2. Hygiene and Sterilization*"),
COUNTIFS('QA Log'!D:D,A509,'QA Log'!M:M,"QQC",'QA Log'!L:L,"*4. Family Planning*")
))</f>
        <v/>
      </c>
      <c r="V509" s="102" t="str">
        <f>IF(A509="","",
SUM(
COUNTIFS('QA Log'!D:D,A509,'QA Log'!M:M,"QQC",'QA Log'!Z:Z,"Approved",'QA Log'!L:L,"*8. Maternity*"),
COUNTIFS('QA Log'!D:D,A509,'QA Log'!M:M,"QQC",'QA Log'!Z:Z,"Approved",'QA Log'!L:L,"*9. EPI and Pre-school Consultation*"),
COUNTIFS('QA Log'!D:D,A509,'QA Log'!M:M,"QQC",'QA Log'!Z:Z,"Approved",'QA Log'!L:L,"*10. Antenatal Care (ANC)*"),
COUNTIFS('QA Log'!D:D,A509,'QA Log'!M:M,"QQC",'QA Log'!Z:Z,"Approved",'QA Log'!L:L,"*2. Hygiene and Sterilization*"),
COUNTIFS('QA Log'!D:D,A509,'QA Log'!M:M,"QQC",'QA Log'!Z:Z,"Approved",'QA Log'!L:L,"*4. Family Planning*")
))</f>
        <v/>
      </c>
      <c r="W509" s="102" t="str">
        <f>IF(A509&lt;&gt;"",COUNTIFS('QA Log'!D:D,A509,'QA Log'!M:M,"QQC",'QA Log'!L:L,"8. Maternity",'QA Log'!Z:Z,"Approved"),"")</f>
        <v/>
      </c>
      <c r="X509" s="105" t="str">
        <f>IF(A509&lt;&gt;"",COUNTIFS('QA Log'!D:D,A509,'QA Log'!M:M,"QQC",'QA Log'!L:L,"9. EPI and Pre-school Consultation",'QA Log'!Z:Z,"Approved"),"")</f>
        <v/>
      </c>
      <c r="Y509" s="102" t="str">
        <f>IF(A509&lt;&gt;"",COUNTIFS('QA Log'!D:D,A509,'QA Log'!M:M,"QQC",'QA Log'!L:L,"10. Antenatal Care (ANC)",'QA Log'!Z:Z,"Approved"),"")</f>
        <v/>
      </c>
      <c r="Z509" s="102" t="str">
        <f>IF(A509&lt;&gt;"",COUNTIFS('QA Log'!D:D,A509,'QA Log'!M:M,"QQC",'QA Log'!L:L,"2. Hygiene and Sterilization",'QA Log'!Z:Z,"Approved"),"")</f>
        <v/>
      </c>
      <c r="AA509" s="105" t="str">
        <f>IF(A509&lt;&gt;"",COUNTIFS('QA Log'!D:D,A509,'QA Log'!M:M,"QQC",'QA Log'!L:L,"4. Family Planning",'QA Log'!Z:Z,"Approved"),"")</f>
        <v/>
      </c>
      <c r="AB509" s="102" t="str">
        <f>IF(A509="","",
SUM(
COUNTIFS('QA Log'!D:D,A509,'QA Log'!M:M,"QQC",'QA Log'!Z:Z,"Rejected",'QA Log'!L:L,"*8. Maternity*"),
COUNTIFS('QA Log'!D:D,A509,'QA Log'!M:M,"QQC",'QA Log'!Z:Z,"Rejected",'QA Log'!L:L,"*9. EPI and Pre-school Consultation*"),
COUNTIFS('QA Log'!D:D,A509,'QA Log'!M:M,"QQC",'QA Log'!Z:Z,"Rejected",'QA Log'!L:L,"*10. Antenatal Care (ANC)*"),
COUNTIFS('QA Log'!D:D,A509,'QA Log'!M:M,"QQC",'QA Log'!Z:Z,"Rejected",'QA Log'!L:L,"*2. Hygiene and Sterilization*"),
COUNTIFS('QA Log'!D:D,A509,'QA Log'!M:M,"QQC",'QA Log'!Z:Z,"Rejected",'QA Log'!L:L,"*4. Family Planning*")
))</f>
        <v/>
      </c>
      <c r="AC509" s="102" t="str">
        <f t="shared" si="29"/>
        <v/>
      </c>
      <c r="AD509" s="103" t="str">
        <f t="shared" si="30"/>
        <v/>
      </c>
      <c r="AE509" s="102" t="str">
        <f>IF(A509="","",
SUM(
COUNTIFS('QA Log'!D:D,A509,'QA Log'!M:M,"Data Verification",'QA Log'!L:L,"*Medicine (section 2)*"),
COUNTIFS('QA Log'!D:D,A509,'QA Log'!M:M,"Data Verification",'QA Log'!L:L,"*Lab Testing Availability*"),
COUNTIFS('QA Log'!D:D,A509,'QA Log'!M:M,"Data Verification",'QA Log'!L:L,"*Other than P4P (section 6)*"),
COUNTIFS('QA Log'!D:D,A509,'QA Log'!M:M,"Data Verification",'QA Log'!L:L,"*Hospital Governance*")
))</f>
        <v/>
      </c>
      <c r="AF509" s="102" t="str">
        <f>IF(A509="","",
SUM(
COUNTIFS('QA Log'!D:D,A509,'QA Log'!M:M,"Data Verification",'QA Log'!Z:Z,"Approved",'QA Log'!L:L,"*Medicine (section 2)*"),
COUNTIFS('QA Log'!D:D,A509,'QA Log'!M:M,"Data Verification",'QA Log'!Z:Z,"Approved",'QA Log'!L:L,"*Lab Testing Availability*"),
COUNTIFS('QA Log'!D:D,A509,'QA Log'!M:M,"Data Verification",'QA Log'!Z:Z,"Approved",'QA Log'!L:L,"*Other than P4P (section 6)*"),
COUNTIFS('QA Log'!D:D,A509,'QA Log'!M:M,"Data Verification",'QA Log'!Z:Z,"Approved",'QA Log'!L:L,"*Hospital Governance*")
))</f>
        <v/>
      </c>
      <c r="AG509" s="105" t="str">
        <f>IF(A509&lt;&gt;"",COUNTIFS('QA Log'!D:D,A509,'QA Log'!M:M,"Data Verification",'QA Log'!L:L,"Medicine (section 2)",'QA Log'!Z:Z,"Approved"),"")</f>
        <v/>
      </c>
      <c r="AH509" s="105" t="str">
        <f>IF(A509&lt;&gt;"",COUNTIFS('QA Log'!D:D,A509,'QA Log'!M:M,"Data Verification",'QA Log'!L:L,"Lab Testing Availability",'QA Log'!Z:Z,"Approved"),"")</f>
        <v/>
      </c>
      <c r="AI509" s="105" t="str">
        <f>IF(A509&lt;&gt;"",COUNTIFS('QA Log'!D:D,A509,'QA Log'!M:M,"Data Verification",'QA Log'!L:L,"Other than P4P (section 6)",'QA Log'!Z:Z,"Approved"),"")</f>
        <v/>
      </c>
      <c r="AJ509" s="105" t="str">
        <f>IF(A509&lt;&gt;"",COUNTIFS('QA Log'!D:D,A509,'QA Log'!M:M,"Data Verification",'QA Log'!L:L,"Hospital Governance",'QA Log'!Z:Z,"Approved"),"")</f>
        <v/>
      </c>
      <c r="AK509" s="102" t="str">
        <f>IF(A509="","",
SUM(
COUNTIFS('QA Log'!D:D,A509,'QA Log'!M:M,"Data Verification",'QA Log'!Z:Z,"Rejected",'QA Log'!L:L,"*Medicine (section 2)*"),
COUNTIFS('QA Log'!D:D,A509,'QA Log'!M:M,"Data Verification",'QA Log'!Z:Z,"Rejected",'QA Log'!L:L,"*Lab Testing Availability*"),
COUNTIFS('QA Log'!D:D,A509,'QA Log'!M:M,"Data Verification",'QA Log'!Z:Z,"Rejected",'QA Log'!L:L,"*Other than P4P (section 6)*"),
COUNTIFS('QA Log'!D:D,A509,'QA Log'!M:M,"Data Verification",'QA Log'!Z:Z,"Rejected",'QA Log'!L:L,"*Hospital Governance*")
))</f>
        <v/>
      </c>
      <c r="AL509" s="106" t="str">
        <f t="shared" si="31"/>
        <v/>
      </c>
      <c r="AM509" s="102" t="str">
        <f t="shared" si="32"/>
        <v/>
      </c>
      <c r="AN509" s="102" t="str">
        <f>IF(A509="","",
SUM(
COUNTIFS('QA Log'!D:D,A509,'QA Log'!M:M,"Data Verification",'QA Log'!L:L,"*Personnel (section 1)*"),
COUNTIFS('QA Log'!D:D,A509,'QA Log'!M:M,"Data Verification",'QA Log'!L:L,"*Consumable (section 3)*"),
COUNTIFS('QA Log'!D:D,A509,'QA Log'!M:M,"Data Verification",'QA Log'!L:L,"*Equipments (section 4)*")
))</f>
        <v/>
      </c>
      <c r="AO509" s="102" t="str">
        <f>IF(A509="","",
SUM(
COUNTIFS('QA Log'!D:D,A509,'QA Log'!M:M,"Data Verification",'QA Log'!Z:Z,"Approved",'QA Log'!L:L,"*Personnel (section 1)*"),
COUNTIFS('QA Log'!D:D,A509,'QA Log'!M:M,"Data Verification",'QA Log'!Z:Z,"Approved",'QA Log'!L:L,"*Consumable (section 3)*"),
COUNTIFS('QA Log'!D:D,A509,'QA Log'!M:M,"Data Verification",'QA Log'!Z:Z,"Approved",'QA Log'!L:L,"*Equipments (section 4)*")
))</f>
        <v/>
      </c>
      <c r="AP509" s="105" t="str">
        <f>IF(A509&lt;&gt;"",COUNTIFS('QA Log'!D:D,A509,'QA Log'!M:M,"Data Verification",'QA Log'!L:L,"Personnel (section 1)",'QA Log'!Z:Z,"Approved"),"")</f>
        <v/>
      </c>
      <c r="AQ509" s="105" t="str">
        <f>IF(A509&lt;&gt;"",COUNTIFS('QA Log'!D:D,A509,'QA Log'!M:M,"Data Verification",'QA Log'!L:L,"Consumable (section 3)",'QA Log'!Z:Z,"Approved"),"")</f>
        <v/>
      </c>
      <c r="AR509" s="105" t="str">
        <f>IF(A509&lt;&gt;"",COUNTIFS('QA Log'!D:D,A509,'QA Log'!M:M,"Data Verification",'QA Log'!L:L,"Equipments (section 4)",'QA Log'!Z:Z,"Approved"),"")</f>
        <v/>
      </c>
      <c r="AS509" s="102" t="str">
        <f>IF(A509="","",
SUM(
COUNTIFS('QA Log'!D:D,A509,'QA Log'!M:M,"Data Verification",'QA Log'!Z:Z,"Rejected",'QA Log'!L:L,"*Personnel (section 1)*"),
COUNTIFS('QA Log'!D:D,A509,'QA Log'!M:M,"Data Verification",'QA Log'!Z:Z,"Rejected",'QA Log'!L:L,"*Consumable (section 3)*"),
COUNTIFS('QA Log'!D:D,A509,'QA Log'!M:M,"Data Verification",'QA Log'!Z:Z,"Rejected",'QA Log'!L:L,"*Equipments (section 4)*")
))</f>
        <v/>
      </c>
      <c r="AT509" s="102" t="str">
        <f t="shared" si="33"/>
        <v/>
      </c>
      <c r="AU509" s="103" t="str">
        <f t="shared" si="34"/>
        <v/>
      </c>
      <c r="AV509" s="102" t="str">
        <f>IF(A509="","",SUM(
COUNTIFS('QA Log'!D:D,A509,'QA Log'!M:M,"Vignette",'QA Log'!L:L,"*Vignette [1] Respiratory Infection: Pneumonia*"),
COUNTIFS('QA Log'!D:D,A509,'QA Log'!M:M,"Vignette",'QA Log'!L:L,"*Vignette [2]: Diarrhea with Cat B dehydration*"),
COUNTIFS('QA Log'!D:D,A509,'QA Log'!M:M,"Vignette",'QA Log'!L:L,"*Vignette [3] Growth Monitoring and Promotion*"),
COUNTIFS('QA Log'!D:D,A509,'QA Log'!M:M,"Vignette",'QA Log'!L:L,"*Vignette [4]: The management of presumptive TB patient*")
)
)</f>
        <v/>
      </c>
      <c r="AW509" s="102" t="str">
        <f>IF(
  A509="","",
  SUM(
    COUNTIFS('QA Log'!D:D,A509,'QA Log'!M:M,"Vignette",'QA Log'!Z:Z,"Approved",'QA Log'!L:L,"*Vignette [1] Respiratory Infection: Pneumonia*"),
    COUNTIFS('QA Log'!D:D,A509,'QA Log'!M:M,"Vignette",'QA Log'!Z:Z,"Approved",'QA Log'!L:L,"*Vignette [2]: Diarrhea with Cat B dehydration*"),
    COUNTIFS('QA Log'!D:D,A509,'QA Log'!M:M,"Vignette",'QA Log'!Z:Z,"Approved",'QA Log'!L:L,"*Vignette [3] Growth Monitoring and Promotion*"),
    COUNTIFS('QA Log'!D:D,A509,'QA Log'!M:M,"Vignette",'QA Log'!Z:Z,"Approved",'QA Log'!L:L,"*Vignette [4]: The management of presumptive TB patient*")
  )
)</f>
        <v/>
      </c>
      <c r="AX509" s="105" t="str">
        <f>IF(A509&lt;&gt;"",COUNTIFS('QA Log'!D:D,A509,'QA Log'!M:M,"Vignette",'QA Log'!L:L,"Vignette [1] Respiratory Infection: Pneumonia",'QA Log'!Z:Z,"Approved"),"")</f>
        <v/>
      </c>
      <c r="AY509" s="105" t="str">
        <f>IF(A509&lt;&gt;"",COUNTIFS('QA Log'!D:D,A509,'QA Log'!M:M,"Vignette",'QA Log'!L:L,"Vignette [2]: Diarrhea with Cat B dehydration",'QA Log'!Z:Z,"Approved"),"")</f>
        <v/>
      </c>
      <c r="AZ509" s="105" t="str">
        <f>IF(A509&lt;&gt;"",COUNTIFS('QA Log'!D:D,A509,'QA Log'!M:M,"Vignette",'QA Log'!L:L,"Vignette [3] Growth Monitoring and Promotion",'QA Log'!Z:Z,"Approved"),"")</f>
        <v/>
      </c>
      <c r="BA509" s="105" t="str">
        <f>IF(A509&lt;&gt;"",COUNTIFS('QA Log'!D:D,A509,'QA Log'!M:M,"Vignette",'QA Log'!L:L,"Vignette [4]: The management of presumptive TB patient",'QA Log'!Z:Z,"Approved"),"")</f>
        <v/>
      </c>
      <c r="BB509" s="102" t="str">
        <f>IF(A509="","",
  SUM(
    COUNTIFS('QA Log'!D:D,A509,'QA Log'!M:M,"Vignette",'QA Log'!Z:Z,"Rejected",'QA Log'!L:L,"*Vignette [1] Respiratory Infection: Pneumonia*"),
    COUNTIFS('QA Log'!D:D,A509,'QA Log'!M:M,"Vignette",'QA Log'!Z:Z,"Rejected",'QA Log'!L:L,"*Vignette [2]: Diarrhea with Cat B dehydration*"),
    COUNTIFS('QA Log'!D:D,A509,'QA Log'!M:M,"Vignette",'QA Log'!Z:Z,"Rejected",'QA Log'!L:L,"*Vignette [3] Growth Monitoring and Promotion*"),
    COUNTIFS('QA Log'!D:D,A509,'QA Log'!M:M,"Vignette",'QA Log'!Z:Z,"Rejected",'QA Log'!L:L,"*Vignette [4]: The management of presumptive TB patient*")
  )
)</f>
        <v/>
      </c>
      <c r="BC509" s="107" t="str">
        <f t="shared" si="35"/>
        <v/>
      </c>
      <c r="BD509" s="103" t="str">
        <f t="shared" si="36"/>
        <v/>
      </c>
      <c r="BE509" s="102" t="str">
        <f>IF(A509="","",SUM(
COUNTIFS('QA Log'!D:D,A509,'QA Log'!M:M,"Vignette",'QA Log'!L:L,"*Vignette [5] Labor*"),
COUNTIFS('QA Log'!D:D,A509,'QA Log'!M:M,"Vignette",'QA Log'!L:L,"*Vignette [6] PNC pre Discharge*"),
COUNTIFS('QA Log'!D:D,A509,'QA Log'!M:M,"Vignette",'QA Log'!L:L,"*Vignette [7] First ANC Visit*"),
COUNTIFS('QA Log'!D:D,A509,'QA Log'!M:M,"Vignette",'QA Log'!L:L,"*Vignette [8] Birth Spacing/ Family Planning :  FP Counselling*"),
COUNTIFS('QA Log'!D:D,A509,'QA Log'!M:M,"Vignette",'QA Log'!L:L,"*Vignette [9] Birth Spacing: Change FP method to Injectable*"),
COUNTIFS('QA Log'!D:D,A509,'QA Log'!M:M,"Vignette",'QA Log'!L:L,"*Vignette [10] Post Partum Haemorrhage - Atonic Uterus at Health Centre*"),
)
)</f>
        <v/>
      </c>
      <c r="BF509" s="102" t="str">
        <f>IF(A509="","",
  SUM(
    COUNTIFS('QA Log'!D:D,A509,'QA Log'!M:M,"Vignette",'QA Log'!Z:Z,"Approved",'QA Log'!L:L,"*Vignette [5] Labor*"),
    COUNTIFS('QA Log'!D:D,A509,'QA Log'!M:M,"Vignette",'QA Log'!Z:Z,"Approved",'QA Log'!L:L,"*Vignette [6] PNC pre Discharge*"),
    COUNTIFS('QA Log'!D:D,A509,'QA Log'!M:M,"Vignette",'QA Log'!Z:Z,"Approved",'QA Log'!L:L,"*Vignette [7] First ANC Visit*"),
    COUNTIFS('QA Log'!D:D,A509,'QA Log'!M:M,"Vignette",'QA Log'!Z:Z,"Approved",'QA Log'!L:L,"*Vignette [8] Birth Spacing/ Family Planning :  FP Counselling*"),
    COUNTIFS('QA Log'!D:D,A509,'QA Log'!M:M,"Vignette",'QA Log'!Z:Z,"Approved",'QA Log'!L:L,"*Vignette [9] Birth Spacing: Change FP method to Injectable*"),
    COUNTIFS('QA Log'!D:D,A509,'QA Log'!M:M,"Vignette",'QA Log'!Z:Z,"Approved",'QA Log'!L:L,"*Vignette [10] Post Partum Haemorrhage - Atonic Uterus at Health Centre*")
  )
)</f>
        <v/>
      </c>
      <c r="BG509" s="105" t="str">
        <f>IF(A509&lt;&gt;"",COUNTIFS('QA Log'!D:D,A509,'QA Log'!M:M,"Vignette",'QA Log'!L:L,"Vignette [5] Labor",'QA Log'!Z:Z,"Approved"),"")</f>
        <v/>
      </c>
      <c r="BH509" s="105" t="str">
        <f>IF(A509&lt;&gt;"",COUNTIFS('QA Log'!D:D,A509,'QA Log'!M:M,"Vignette",'QA Log'!L:L,"Vignette [6] PNC pre Discharge",'QA Log'!Z:Z,"Approved"),"")</f>
        <v/>
      </c>
      <c r="BI509" s="105" t="str">
        <f>IF(A509&lt;&gt;"",COUNTIFS('QA Log'!D:D,A509,'QA Log'!M:M,"Vignette",'QA Log'!L:L,"Vignette [7] First ANC Visit",'QA Log'!Z:Z,"Approved"),"")</f>
        <v/>
      </c>
      <c r="BJ509" s="105" t="str">
        <f>IF(A509&lt;&gt;"",COUNTIFS('QA Log'!D:D,A509,'QA Log'!M:M,"Vignette",'QA Log'!L:L,"Vignette [8] Birth Spacing/ Family Planning :  FP Counselling",'QA Log'!Z:Z,"Approved"),"")</f>
        <v/>
      </c>
      <c r="BK509" s="105" t="str">
        <f>IF(A509&lt;&gt;"",COUNTIFS('QA Log'!D:D,A509,'QA Log'!M:M,"Vignette",'QA Log'!L:L,"Vignette [9] Birth Spacing: Change FP method to Injectable",'QA Log'!Z:Z,"Approved"),"")</f>
        <v/>
      </c>
      <c r="BL509" s="105" t="str">
        <f>IF(A509&lt;&gt;"",COUNTIFS('QA Log'!D:D,A509,'QA Log'!M:M,"Vignette",'QA Log'!L:L,"Vignette [10] Post Partum Haemorrhage - Atonic Uterus at Health Centre",'QA Log'!Z:Z,"Approved"),"")</f>
        <v/>
      </c>
      <c r="BM509" s="102" t="str">
        <f>IF(A509="","",SUM(
    COUNTIFS('QA Log'!D:D,A509,'QA Log'!M:M,"Vignette",'QA Log'!Z:Z,"Rejected",'QA Log'!L:L,"*Vignette [5] Labor*"),
    COUNTIFS('QA Log'!D:D,A509,'QA Log'!M:M,"Vignette",'QA Log'!Z:Z,"Rejected",'QA Log'!L:L,"*Vignette [6] PNC pre Discharge*"),
    COUNTIFS('QA Log'!D:D,A509,'QA Log'!M:M,"Vignette",'QA Log'!Z:Z,"Rejected",'QA Log'!L:L,"*Vignette [7] First ANC Visit*"),
    COUNTIFS('QA Log'!D:D,A509,'QA Log'!M:M,"Vignette",'QA Log'!Z:Z,"Rejected",'QA Log'!L:L,"*Vignette [8] Birth Spacing/ Family Planning :  FP Counselling*"),
    COUNTIFS('QA Log'!D:D,A509,'QA Log'!M:M,"Vignette",'QA Log'!Z:Z,"Rejected",'QA Log'!L:L,"*Vignette [9] Birth Spacing: Change FP method to Injectable*"),
    COUNTIFS('QA Log'!D:D,A509,'QA Log'!M:M,"Vignette",'QA Log'!Z:Z,"Rejected",'QA Log'!L:L,"*Vignette [10] Post Partum Haemorrhage - Atonic Uterus at Health Centre*")
  )
)</f>
        <v/>
      </c>
      <c r="BN509" s="107" t="str">
        <f t="shared" si="37"/>
        <v/>
      </c>
      <c r="BO509" s="103" t="str">
        <f t="shared" si="38"/>
        <v/>
      </c>
      <c r="BP509" s="102" t="str">
        <f>IF(A509="","",SUM(
COUNTIFS('QA Log'!D:D,A509,'QA Log'!M:M,"Vignette",'QA Log'!L:L,"*Exit Interview 1*"),
COUNTIFS('QA Log'!D:D,A509,'QA Log'!M:M,"Vignette",'QA Log'!L:L,"*Exit Interview 2*"),
)
)</f>
        <v/>
      </c>
      <c r="BQ509" s="102" t="str">
        <f>IF(
  A509="","",
  SUM(
    COUNTIFS('QA Log'!D:D,A509,'QA Log'!M:M,"Vignette",'QA Log'!Z:Z,"Approved",'QA Log'!L:L,"*Exit Interview 1*"),
    COUNTIFS('QA Log'!D:D,A509,'QA Log'!M:M,"Vignette",'QA Log'!Z:Z,"Approved",'QA Log'!L:L,"*Exit Interview 2*")
  )
)</f>
        <v/>
      </c>
      <c r="BR509" s="105" t="str">
        <f>IF(A509&lt;&gt;"",COUNTIFS('QA Log'!D:D,A509,'QA Log'!M:M,"Vignette",'QA Log'!L:L,"Exit Interview 1",'QA Log'!Z:Z,"Approved"),"")</f>
        <v/>
      </c>
      <c r="BS509" s="105" t="str">
        <f>IF(A509&lt;&gt;"",COUNTIFS('QA Log'!D:D,A509,'QA Log'!M:M,"Vignette",'QA Log'!L:L,"Exit Interview 2",'QA Log'!Z:Z,"Approved"),"")</f>
        <v/>
      </c>
      <c r="BT509" s="102" t="str">
        <f>IF(
  A509="","",
  SUM(
    COUNTIFS('QA Log'!D:D,A509,'QA Log'!M:M,"Vignette",'QA Log'!Z:Z,"Rejected",'QA Log'!L:L,"*Exit Interview 1*"),
    COUNTIFS('QA Log'!D:D,A509,'QA Log'!M:M,"Vignette",'QA Log'!Z:Z,"Rejected",'QA Log'!L:L,"*Exit Interview 2*")
  )
)</f>
        <v/>
      </c>
      <c r="BU509" s="107" t="str">
        <f t="shared" si="39"/>
        <v/>
      </c>
      <c r="BV509" s="102" t="str">
        <f t="shared" si="40"/>
        <v/>
      </c>
      <c r="BW509" s="102" t="str">
        <f t="shared" si="41"/>
        <v/>
      </c>
      <c r="BX509" s="102" t="str">
        <f t="shared" si="42"/>
        <v/>
      </c>
      <c r="BY509" s="102" t="str">
        <f t="shared" si="43"/>
        <v/>
      </c>
      <c r="BZ509" s="107" t="str">
        <f t="shared" si="44"/>
        <v/>
      </c>
      <c r="CA509" s="108" t="str">
        <f t="shared" si="45"/>
        <v/>
      </c>
      <c r="CB509" s="108" t="str">
        <f t="shared" si="46"/>
        <v/>
      </c>
      <c r="CC509" s="109" t="str">
        <f t="shared" si="47"/>
        <v/>
      </c>
      <c r="CD509" s="108" t="str">
        <f t="shared" si="48"/>
        <v/>
      </c>
      <c r="CE509" s="108" t="str">
        <f t="shared" si="49"/>
        <v/>
      </c>
      <c r="CF509" s="109" t="str">
        <f t="shared" si="50"/>
        <v/>
      </c>
      <c r="CG509" s="110" t="str">
        <f t="shared" si="51"/>
        <v/>
      </c>
      <c r="CH509" s="111"/>
    </row>
    <row r="510" spans="1:86" ht="12.75">
      <c r="A510" s="101"/>
      <c r="B510" s="102" t="e">
        <f t="array" aca="1" ref="B510" ca="1">_xludf.XLOOKUP(A510,'QA Log'!D:D,'QA Log'!E:E,"")</f>
        <v>#NAME?</v>
      </c>
      <c r="C510" s="102" t="e">
        <f t="array" aca="1" ref="C510" ca="1">_xludf.XLOOKUP(A510,'QA Log'!D:D,'QA Log'!F:F,"")</f>
        <v>#NAME?</v>
      </c>
      <c r="D510" s="102" t="e">
        <f t="array" aca="1" ref="D510" ca="1">_xludf.XLOOKUP(A510,'QA Log'!D:D,'QA Log'!H:H,"")</f>
        <v>#NAME?</v>
      </c>
      <c r="E510" s="102" t="e">
        <f t="array" aca="1" ref="E510" ca="1">_xludf.XLOOKUP(A510,'QA Log'!D:D,'QA Log'!G:G,"")</f>
        <v>#NAME?</v>
      </c>
      <c r="F510" s="103"/>
      <c r="G510" s="104"/>
      <c r="H510" s="104"/>
      <c r="I510" s="103" t="str">
        <f t="shared" si="26"/>
        <v/>
      </c>
      <c r="J510" s="102" t="str">
        <f>IF(A510="","",SUM(
COUNTIFS('QA Log'!D:D,A510,'QA Log'!M:M,"QQC",'QA Log'!L:L,"*1. General Management*"),
COUNTIFS('QA Log'!D:D,A510,'QA Log'!M:M,"QQC",'QA Log'!L:L,"*3. Curative Consultation (OPD)*"),
COUNTIFS('QA Log'!D:D,A510,'QA Log'!M:M,"QQC",'QA Log'!L:L,"*5. Laboratory*"),
COUNTIFS('QA Log'!D:D,A510,'QA Log'!M:M,"QQC",'QA Log'!L:L,"*6. Essential Medicine Management*"),
COUNTIFS('QA Log'!D:D,A510,'QA Log'!M:M,"QQC",'QA Log'!L:L,"*7. Tracer Medicine*"),
COUNTIFS('QA Log'!D:D,A510,'QA Log'!M:M,"QQC",'QA Log'!L:L,"*11. Additional Questions*")))</f>
        <v/>
      </c>
      <c r="K510" s="102" t="str">
        <f>IF(A510="","",SUM(
COUNTIFS('QA Log'!D:D,A510,'QA Log'!M:M,"QQC",'QA Log'!Z:Z,"Approved",'QA Log'!L:L,"*1. General Management*"),
COUNTIFS('QA Log'!D:D,A510,'QA Log'!M:M,"QQC",'QA Log'!Z:Z,"Approved",'QA Log'!L:L,"*3. Curative Consultation (OPD)*"),
COUNTIFS('QA Log'!D:D,A510,'QA Log'!M:M,"QQC",'QA Log'!Z:Z,"Approved",'QA Log'!L:L,"*5. Laboratory*"),
COUNTIFS('QA Log'!D:D,A510,'QA Log'!M:M,"QQC",'QA Log'!Z:Z,"Approved",'QA Log'!L:L,"*6. Essential Medicine Management*"),
COUNTIFS('QA Log'!D:D,A510,'QA Log'!M:M,"QQC",'QA Log'!Z:Z,"Approved",'QA Log'!L:L,"*7. Tracer Medicine*"),
COUNTIFS('QA Log'!D:D,A510,'QA Log'!M:M,"QQC",'QA Log'!Z:Z,"Approved",'QA Log'!L:L,"*11. Additional Questions*")))</f>
        <v/>
      </c>
      <c r="L510" s="102" t="str">
        <f>IF(A510&lt;&gt;"",COUNTIFS('QA Log'!D:D,A510,'QA Log'!M:M,"QQC",'QA Log'!L:L,"1. General Management",'QA Log'!Z:Z,"Approved"),"")</f>
        <v/>
      </c>
      <c r="M510" s="102" t="str">
        <f>IF(A510&lt;&gt;"",COUNTIFS('QA Log'!D:D,A510,'QA Log'!M:M,"QQC",'QA Log'!L:L,"3. Curative Consultation (OPD)",'QA Log'!Z:Z,"Approved"),"")</f>
        <v/>
      </c>
      <c r="N510" s="102" t="str">
        <f>IF(A510&lt;&gt;"",COUNTIFS('QA Log'!D:D,A510,'QA Log'!M:M,"QQC",'QA Log'!L:L,"5. Laboratory",'QA Log'!Z:Z,"Approved"),"")</f>
        <v/>
      </c>
      <c r="O510" s="102" t="str">
        <f>IF(A510&lt;&gt;"",COUNTIFS('QA Log'!D:D,A510,'QA Log'!M:M,"QQC",'QA Log'!L:L,"6. Essential Medicine Management",'QA Log'!Z:Z,"Approved"),"")</f>
        <v/>
      </c>
      <c r="P510" s="102" t="str">
        <f>IF(A510&lt;&gt;"",COUNTIFS('QA Log'!D:D,A510,'QA Log'!M:M,"QQC",'QA Log'!L:L,"7. Tracer Medicine",'QA Log'!Z:Z,"Approved"),"")</f>
        <v/>
      </c>
      <c r="Q510" s="102" t="str">
        <f>IF(A510&lt;&gt;"",COUNTIFS('QA Log'!D:D,A510,'QA Log'!M:M,"QQC",'QA Log'!L:L,"11. Additional Questions",'QA Log'!Z:Z,"Approved"),"")</f>
        <v/>
      </c>
      <c r="R510" s="102" t="str">
        <f>IF(A510="","",SUM(
COUNTIFS('QA Log'!D:D,A510,'QA Log'!M:M,"QQC",'QA Log'!Z:Z,"Rejected",'QA Log'!L:L,"*8. Maternity*"),
COUNTIFS('QA Log'!D:D,A510,'QA Log'!M:M,"QQC",'QA Log'!Z:Z,"Rejected",'QA Log'!L:L,"*EPI*"),
COUNTIFS('QA Log'!D:D,A510,'QA Log'!M:M,"QQC",'QA Log'!Z:Z,"Rejected",'QA Log'!L:L,"*10. Antenatal Care (ANC)*"),
COUNTIFS('QA Log'!D:D,A510,'QA Log'!M:M,"QQC",'QA Log'!Z:Z,"Rejected",'QA Log'!L:L,"*2. Hygiene and Sterilization*"),
COUNTIFS('QA Log'!D:D,A510,'QA Log'!M:M,"QQC",'QA Log'!Z:Z,"Rejected",'QA Log'!L:L,"*Family Planning*")))</f>
        <v/>
      </c>
      <c r="S510" s="106" t="str">
        <f t="shared" si="27"/>
        <v/>
      </c>
      <c r="T510" s="102" t="str">
        <f t="shared" si="28"/>
        <v/>
      </c>
      <c r="U510" s="102" t="str">
        <f>IF(A510="","",
SUM(
COUNTIFS('QA Log'!D:D,A510,'QA Log'!M:M,"QQC",'QA Log'!L:L,"*8. Maternity*"),
COUNTIFS('QA Log'!D:D,A510,'QA Log'!M:M,"QQC",'QA Log'!L:L,"*9. EPI and Pre-school Consultation*"),
COUNTIFS('QA Log'!D:D,A510,'QA Log'!M:M,"QQC",'QA Log'!L:L,"*10. Antenatal Care (ANC)*"),
COUNTIFS('QA Log'!D:D,A510,'QA Log'!M:M,"QQC",'QA Log'!L:L,"*2. Hygiene and Sterilization*"),
COUNTIFS('QA Log'!D:D,A510,'QA Log'!M:M,"QQC",'QA Log'!L:L,"*4. Family Planning*")
))</f>
        <v/>
      </c>
      <c r="V510" s="102" t="str">
        <f>IF(A510="","",
SUM(
COUNTIFS('QA Log'!D:D,A510,'QA Log'!M:M,"QQC",'QA Log'!Z:Z,"Approved",'QA Log'!L:L,"*8. Maternity*"),
COUNTIFS('QA Log'!D:D,A510,'QA Log'!M:M,"QQC",'QA Log'!Z:Z,"Approved",'QA Log'!L:L,"*9. EPI and Pre-school Consultation*"),
COUNTIFS('QA Log'!D:D,A510,'QA Log'!M:M,"QQC",'QA Log'!Z:Z,"Approved",'QA Log'!L:L,"*10. Antenatal Care (ANC)*"),
COUNTIFS('QA Log'!D:D,A510,'QA Log'!M:M,"QQC",'QA Log'!Z:Z,"Approved",'QA Log'!L:L,"*2. Hygiene and Sterilization*"),
COUNTIFS('QA Log'!D:D,A510,'QA Log'!M:M,"QQC",'QA Log'!Z:Z,"Approved",'QA Log'!L:L,"*4. Family Planning*")
))</f>
        <v/>
      </c>
      <c r="W510" s="102" t="str">
        <f>IF(A510&lt;&gt;"",COUNTIFS('QA Log'!D:D,A510,'QA Log'!M:M,"QQC",'QA Log'!L:L,"8. Maternity",'QA Log'!Z:Z,"Approved"),"")</f>
        <v/>
      </c>
      <c r="X510" s="105" t="str">
        <f>IF(A510&lt;&gt;"",COUNTIFS('QA Log'!D:D,A510,'QA Log'!M:M,"QQC",'QA Log'!L:L,"9. EPI and Pre-school Consultation",'QA Log'!Z:Z,"Approved"),"")</f>
        <v/>
      </c>
      <c r="Y510" s="102" t="str">
        <f>IF(A510&lt;&gt;"",COUNTIFS('QA Log'!D:D,A510,'QA Log'!M:M,"QQC",'QA Log'!L:L,"10. Antenatal Care (ANC)",'QA Log'!Z:Z,"Approved"),"")</f>
        <v/>
      </c>
      <c r="Z510" s="102" t="str">
        <f>IF(A510&lt;&gt;"",COUNTIFS('QA Log'!D:D,A510,'QA Log'!M:M,"QQC",'QA Log'!L:L,"2. Hygiene and Sterilization",'QA Log'!Z:Z,"Approved"),"")</f>
        <v/>
      </c>
      <c r="AA510" s="105" t="str">
        <f>IF(A510&lt;&gt;"",COUNTIFS('QA Log'!D:D,A510,'QA Log'!M:M,"QQC",'QA Log'!L:L,"4. Family Planning",'QA Log'!Z:Z,"Approved"),"")</f>
        <v/>
      </c>
      <c r="AB510" s="102" t="str">
        <f>IF(A510="","",
SUM(
COUNTIFS('QA Log'!D:D,A510,'QA Log'!M:M,"QQC",'QA Log'!Z:Z,"Rejected",'QA Log'!L:L,"*8. Maternity*"),
COUNTIFS('QA Log'!D:D,A510,'QA Log'!M:M,"QQC",'QA Log'!Z:Z,"Rejected",'QA Log'!L:L,"*9. EPI and Pre-school Consultation*"),
COUNTIFS('QA Log'!D:D,A510,'QA Log'!M:M,"QQC",'QA Log'!Z:Z,"Rejected",'QA Log'!L:L,"*10. Antenatal Care (ANC)*"),
COUNTIFS('QA Log'!D:D,A510,'QA Log'!M:M,"QQC",'QA Log'!Z:Z,"Rejected",'QA Log'!L:L,"*2. Hygiene and Sterilization*"),
COUNTIFS('QA Log'!D:D,A510,'QA Log'!M:M,"QQC",'QA Log'!Z:Z,"Rejected",'QA Log'!L:L,"*4. Family Planning*")
))</f>
        <v/>
      </c>
      <c r="AC510" s="102" t="str">
        <f t="shared" si="29"/>
        <v/>
      </c>
      <c r="AD510" s="103" t="str">
        <f t="shared" si="30"/>
        <v/>
      </c>
      <c r="AE510" s="102" t="str">
        <f>IF(A510="","",
SUM(
COUNTIFS('QA Log'!D:D,A510,'QA Log'!M:M,"Data Verification",'QA Log'!L:L,"*Medicine (section 2)*"),
COUNTIFS('QA Log'!D:D,A510,'QA Log'!M:M,"Data Verification",'QA Log'!L:L,"*Lab Testing Availability*"),
COUNTIFS('QA Log'!D:D,A510,'QA Log'!M:M,"Data Verification",'QA Log'!L:L,"*Other than P4P (section 6)*"),
COUNTIFS('QA Log'!D:D,A510,'QA Log'!M:M,"Data Verification",'QA Log'!L:L,"*Hospital Governance*")
))</f>
        <v/>
      </c>
      <c r="AF510" s="102" t="str">
        <f>IF(A510="","",
SUM(
COUNTIFS('QA Log'!D:D,A510,'QA Log'!M:M,"Data Verification",'QA Log'!Z:Z,"Approved",'QA Log'!L:L,"*Medicine (section 2)*"),
COUNTIFS('QA Log'!D:D,A510,'QA Log'!M:M,"Data Verification",'QA Log'!Z:Z,"Approved",'QA Log'!L:L,"*Lab Testing Availability*"),
COUNTIFS('QA Log'!D:D,A510,'QA Log'!M:M,"Data Verification",'QA Log'!Z:Z,"Approved",'QA Log'!L:L,"*Other than P4P (section 6)*"),
COUNTIFS('QA Log'!D:D,A510,'QA Log'!M:M,"Data Verification",'QA Log'!Z:Z,"Approved",'QA Log'!L:L,"*Hospital Governance*")
))</f>
        <v/>
      </c>
      <c r="AG510" s="105" t="str">
        <f>IF(A510&lt;&gt;"",COUNTIFS('QA Log'!D:D,A510,'QA Log'!M:M,"Data Verification",'QA Log'!L:L,"Medicine (section 2)",'QA Log'!Z:Z,"Approved"),"")</f>
        <v/>
      </c>
      <c r="AH510" s="105" t="str">
        <f>IF(A510&lt;&gt;"",COUNTIFS('QA Log'!D:D,A510,'QA Log'!M:M,"Data Verification",'QA Log'!L:L,"Lab Testing Availability",'QA Log'!Z:Z,"Approved"),"")</f>
        <v/>
      </c>
      <c r="AI510" s="105" t="str">
        <f>IF(A510&lt;&gt;"",COUNTIFS('QA Log'!D:D,A510,'QA Log'!M:M,"Data Verification",'QA Log'!L:L,"Other than P4P (section 6)",'QA Log'!Z:Z,"Approved"),"")</f>
        <v/>
      </c>
      <c r="AJ510" s="105" t="str">
        <f>IF(A510&lt;&gt;"",COUNTIFS('QA Log'!D:D,A510,'QA Log'!M:M,"Data Verification",'QA Log'!L:L,"Hospital Governance",'QA Log'!Z:Z,"Approved"),"")</f>
        <v/>
      </c>
      <c r="AK510" s="102" t="str">
        <f>IF(A510="","",
SUM(
COUNTIFS('QA Log'!D:D,A510,'QA Log'!M:M,"Data Verification",'QA Log'!Z:Z,"Rejected",'QA Log'!L:L,"*Medicine (section 2)*"),
COUNTIFS('QA Log'!D:D,A510,'QA Log'!M:M,"Data Verification",'QA Log'!Z:Z,"Rejected",'QA Log'!L:L,"*Lab Testing Availability*"),
COUNTIFS('QA Log'!D:D,A510,'QA Log'!M:M,"Data Verification",'QA Log'!Z:Z,"Rejected",'QA Log'!L:L,"*Other than P4P (section 6)*"),
COUNTIFS('QA Log'!D:D,A510,'QA Log'!M:M,"Data Verification",'QA Log'!Z:Z,"Rejected",'QA Log'!L:L,"*Hospital Governance*")
))</f>
        <v/>
      </c>
      <c r="AL510" s="106" t="str">
        <f t="shared" si="31"/>
        <v/>
      </c>
      <c r="AM510" s="102" t="str">
        <f t="shared" si="32"/>
        <v/>
      </c>
      <c r="AN510" s="102" t="str">
        <f>IF(A510="","",
SUM(
COUNTIFS('QA Log'!D:D,A510,'QA Log'!M:M,"Data Verification",'QA Log'!L:L,"*Personnel (section 1)*"),
COUNTIFS('QA Log'!D:D,A510,'QA Log'!M:M,"Data Verification",'QA Log'!L:L,"*Consumable (section 3)*"),
COUNTIFS('QA Log'!D:D,A510,'QA Log'!M:M,"Data Verification",'QA Log'!L:L,"*Equipments (section 4)*")
))</f>
        <v/>
      </c>
      <c r="AO510" s="102" t="str">
        <f>IF(A510="","",
SUM(
COUNTIFS('QA Log'!D:D,A510,'QA Log'!M:M,"Data Verification",'QA Log'!Z:Z,"Approved",'QA Log'!L:L,"*Personnel (section 1)*"),
COUNTIFS('QA Log'!D:D,A510,'QA Log'!M:M,"Data Verification",'QA Log'!Z:Z,"Approved",'QA Log'!L:L,"*Consumable (section 3)*"),
COUNTIFS('QA Log'!D:D,A510,'QA Log'!M:M,"Data Verification",'QA Log'!Z:Z,"Approved",'QA Log'!L:L,"*Equipments (section 4)*")
))</f>
        <v/>
      </c>
      <c r="AP510" s="105" t="str">
        <f>IF(A510&lt;&gt;"",COUNTIFS('QA Log'!D:D,A510,'QA Log'!M:M,"Data Verification",'QA Log'!L:L,"Personnel (section 1)",'QA Log'!Z:Z,"Approved"),"")</f>
        <v/>
      </c>
      <c r="AQ510" s="105" t="str">
        <f>IF(A510&lt;&gt;"",COUNTIFS('QA Log'!D:D,A510,'QA Log'!M:M,"Data Verification",'QA Log'!L:L,"Consumable (section 3)",'QA Log'!Z:Z,"Approved"),"")</f>
        <v/>
      </c>
      <c r="AR510" s="105" t="str">
        <f>IF(A510&lt;&gt;"",COUNTIFS('QA Log'!D:D,A510,'QA Log'!M:M,"Data Verification",'QA Log'!L:L,"Equipments (section 4)",'QA Log'!Z:Z,"Approved"),"")</f>
        <v/>
      </c>
      <c r="AS510" s="102" t="str">
        <f>IF(A510="","",
SUM(
COUNTIFS('QA Log'!D:D,A510,'QA Log'!M:M,"Data Verification",'QA Log'!Z:Z,"Rejected",'QA Log'!L:L,"*Personnel (section 1)*"),
COUNTIFS('QA Log'!D:D,A510,'QA Log'!M:M,"Data Verification",'QA Log'!Z:Z,"Rejected",'QA Log'!L:L,"*Consumable (section 3)*"),
COUNTIFS('QA Log'!D:D,A510,'QA Log'!M:M,"Data Verification",'QA Log'!Z:Z,"Rejected",'QA Log'!L:L,"*Equipments (section 4)*")
))</f>
        <v/>
      </c>
      <c r="AT510" s="102" t="str">
        <f t="shared" si="33"/>
        <v/>
      </c>
      <c r="AU510" s="103" t="str">
        <f t="shared" si="34"/>
        <v/>
      </c>
      <c r="AV510" s="102" t="str">
        <f>IF(A510="","",SUM(
COUNTIFS('QA Log'!D:D,A510,'QA Log'!M:M,"Vignette",'QA Log'!L:L,"*Vignette [1] Respiratory Infection: Pneumonia*"),
COUNTIFS('QA Log'!D:D,A510,'QA Log'!M:M,"Vignette",'QA Log'!L:L,"*Vignette [2]: Diarrhea with Cat B dehydration*"),
COUNTIFS('QA Log'!D:D,A510,'QA Log'!M:M,"Vignette",'QA Log'!L:L,"*Vignette [3] Growth Monitoring and Promotion*"),
COUNTIFS('QA Log'!D:D,A510,'QA Log'!M:M,"Vignette",'QA Log'!L:L,"*Vignette [4]: The management of presumptive TB patient*")
)
)</f>
        <v/>
      </c>
      <c r="AW510" s="102" t="str">
        <f>IF(
  A510="","",
  SUM(
    COUNTIFS('QA Log'!D:D,A510,'QA Log'!M:M,"Vignette",'QA Log'!Z:Z,"Approved",'QA Log'!L:L,"*Vignette [1] Respiratory Infection: Pneumonia*"),
    COUNTIFS('QA Log'!D:D,A510,'QA Log'!M:M,"Vignette",'QA Log'!Z:Z,"Approved",'QA Log'!L:L,"*Vignette [2]: Diarrhea with Cat B dehydration*"),
    COUNTIFS('QA Log'!D:D,A510,'QA Log'!M:M,"Vignette",'QA Log'!Z:Z,"Approved",'QA Log'!L:L,"*Vignette [3] Growth Monitoring and Promotion*"),
    COUNTIFS('QA Log'!D:D,A510,'QA Log'!M:M,"Vignette",'QA Log'!Z:Z,"Approved",'QA Log'!L:L,"*Vignette [4]: The management of presumptive TB patient*")
  )
)</f>
        <v/>
      </c>
      <c r="AX510" s="105" t="str">
        <f>IF(A510&lt;&gt;"",COUNTIFS('QA Log'!D:D,A510,'QA Log'!M:M,"Vignette",'QA Log'!L:L,"Vignette [1] Respiratory Infection: Pneumonia",'QA Log'!Z:Z,"Approved"),"")</f>
        <v/>
      </c>
      <c r="AY510" s="105" t="str">
        <f>IF(A510&lt;&gt;"",COUNTIFS('QA Log'!D:D,A510,'QA Log'!M:M,"Vignette",'QA Log'!L:L,"Vignette [2]: Diarrhea with Cat B dehydration",'QA Log'!Z:Z,"Approved"),"")</f>
        <v/>
      </c>
      <c r="AZ510" s="105" t="str">
        <f>IF(A510&lt;&gt;"",COUNTIFS('QA Log'!D:D,A510,'QA Log'!M:M,"Vignette",'QA Log'!L:L,"Vignette [3] Growth Monitoring and Promotion",'QA Log'!Z:Z,"Approved"),"")</f>
        <v/>
      </c>
      <c r="BA510" s="105" t="str">
        <f>IF(A510&lt;&gt;"",COUNTIFS('QA Log'!D:D,A510,'QA Log'!M:M,"Vignette",'QA Log'!L:L,"Vignette [4]: The management of presumptive TB patient",'QA Log'!Z:Z,"Approved"),"")</f>
        <v/>
      </c>
      <c r="BB510" s="102" t="str">
        <f>IF(A510="","",
  SUM(
    COUNTIFS('QA Log'!D:D,A510,'QA Log'!M:M,"Vignette",'QA Log'!Z:Z,"Rejected",'QA Log'!L:L,"*Vignette [1] Respiratory Infection: Pneumonia*"),
    COUNTIFS('QA Log'!D:D,A510,'QA Log'!M:M,"Vignette",'QA Log'!Z:Z,"Rejected",'QA Log'!L:L,"*Vignette [2]: Diarrhea with Cat B dehydration*"),
    COUNTIFS('QA Log'!D:D,A510,'QA Log'!M:M,"Vignette",'QA Log'!Z:Z,"Rejected",'QA Log'!L:L,"*Vignette [3] Growth Monitoring and Promotion*"),
    COUNTIFS('QA Log'!D:D,A510,'QA Log'!M:M,"Vignette",'QA Log'!Z:Z,"Rejected",'QA Log'!L:L,"*Vignette [4]: The management of presumptive TB patient*")
  )
)</f>
        <v/>
      </c>
      <c r="BC510" s="107" t="str">
        <f t="shared" si="35"/>
        <v/>
      </c>
      <c r="BD510" s="103" t="str">
        <f t="shared" si="36"/>
        <v/>
      </c>
      <c r="BE510" s="102" t="str">
        <f>IF(A510="","",SUM(
COUNTIFS('QA Log'!D:D,A510,'QA Log'!M:M,"Vignette",'QA Log'!L:L,"*Vignette [5] Labor*"),
COUNTIFS('QA Log'!D:D,A510,'QA Log'!M:M,"Vignette",'QA Log'!L:L,"*Vignette [6] PNC pre Discharge*"),
COUNTIFS('QA Log'!D:D,A510,'QA Log'!M:M,"Vignette",'QA Log'!L:L,"*Vignette [7] First ANC Visit*"),
COUNTIFS('QA Log'!D:D,A510,'QA Log'!M:M,"Vignette",'QA Log'!L:L,"*Vignette [8] Birth Spacing/ Family Planning :  FP Counselling*"),
COUNTIFS('QA Log'!D:D,A510,'QA Log'!M:M,"Vignette",'QA Log'!L:L,"*Vignette [9] Birth Spacing: Change FP method to Injectable*"),
COUNTIFS('QA Log'!D:D,A510,'QA Log'!M:M,"Vignette",'QA Log'!L:L,"*Vignette [10] Post Partum Haemorrhage - Atonic Uterus at Health Centre*"),
)
)</f>
        <v/>
      </c>
      <c r="BF510" s="102" t="str">
        <f>IF(A510="","",
  SUM(
    COUNTIFS('QA Log'!D:D,A510,'QA Log'!M:M,"Vignette",'QA Log'!Z:Z,"Approved",'QA Log'!L:L,"*Vignette [5] Labor*"),
    COUNTIFS('QA Log'!D:D,A510,'QA Log'!M:M,"Vignette",'QA Log'!Z:Z,"Approved",'QA Log'!L:L,"*Vignette [6] PNC pre Discharge*"),
    COUNTIFS('QA Log'!D:D,A510,'QA Log'!M:M,"Vignette",'QA Log'!Z:Z,"Approved",'QA Log'!L:L,"*Vignette [7] First ANC Visit*"),
    COUNTIFS('QA Log'!D:D,A510,'QA Log'!M:M,"Vignette",'QA Log'!Z:Z,"Approved",'QA Log'!L:L,"*Vignette [8] Birth Spacing/ Family Planning :  FP Counselling*"),
    COUNTIFS('QA Log'!D:D,A510,'QA Log'!M:M,"Vignette",'QA Log'!Z:Z,"Approved",'QA Log'!L:L,"*Vignette [9] Birth Spacing: Change FP method to Injectable*"),
    COUNTIFS('QA Log'!D:D,A510,'QA Log'!M:M,"Vignette",'QA Log'!Z:Z,"Approved",'QA Log'!L:L,"*Vignette [10] Post Partum Haemorrhage - Atonic Uterus at Health Centre*")
  )
)</f>
        <v/>
      </c>
      <c r="BG510" s="105" t="str">
        <f>IF(A510&lt;&gt;"",COUNTIFS('QA Log'!D:D,A510,'QA Log'!M:M,"Vignette",'QA Log'!L:L,"Vignette [5] Labor",'QA Log'!Z:Z,"Approved"),"")</f>
        <v/>
      </c>
      <c r="BH510" s="105" t="str">
        <f>IF(A510&lt;&gt;"",COUNTIFS('QA Log'!D:D,A510,'QA Log'!M:M,"Vignette",'QA Log'!L:L,"Vignette [6] PNC pre Discharge",'QA Log'!Z:Z,"Approved"),"")</f>
        <v/>
      </c>
      <c r="BI510" s="105" t="str">
        <f>IF(A510&lt;&gt;"",COUNTIFS('QA Log'!D:D,A510,'QA Log'!M:M,"Vignette",'QA Log'!L:L,"Vignette [7] First ANC Visit",'QA Log'!Z:Z,"Approved"),"")</f>
        <v/>
      </c>
      <c r="BJ510" s="105" t="str">
        <f>IF(A510&lt;&gt;"",COUNTIFS('QA Log'!D:D,A510,'QA Log'!M:M,"Vignette",'QA Log'!L:L,"Vignette [8] Birth Spacing/ Family Planning :  FP Counselling",'QA Log'!Z:Z,"Approved"),"")</f>
        <v/>
      </c>
      <c r="BK510" s="105" t="str">
        <f>IF(A510&lt;&gt;"",COUNTIFS('QA Log'!D:D,A510,'QA Log'!M:M,"Vignette",'QA Log'!L:L,"Vignette [9] Birth Spacing: Change FP method to Injectable",'QA Log'!Z:Z,"Approved"),"")</f>
        <v/>
      </c>
      <c r="BL510" s="105" t="str">
        <f>IF(A510&lt;&gt;"",COUNTIFS('QA Log'!D:D,A510,'QA Log'!M:M,"Vignette",'QA Log'!L:L,"Vignette [10] Post Partum Haemorrhage - Atonic Uterus at Health Centre",'QA Log'!Z:Z,"Approved"),"")</f>
        <v/>
      </c>
      <c r="BM510" s="102" t="str">
        <f>IF(A510="","",SUM(
    COUNTIFS('QA Log'!D:D,A510,'QA Log'!M:M,"Vignette",'QA Log'!Z:Z,"Rejected",'QA Log'!L:L,"*Vignette [5] Labor*"),
    COUNTIFS('QA Log'!D:D,A510,'QA Log'!M:M,"Vignette",'QA Log'!Z:Z,"Rejected",'QA Log'!L:L,"*Vignette [6] PNC pre Discharge*"),
    COUNTIFS('QA Log'!D:D,A510,'QA Log'!M:M,"Vignette",'QA Log'!Z:Z,"Rejected",'QA Log'!L:L,"*Vignette [7] First ANC Visit*"),
    COUNTIFS('QA Log'!D:D,A510,'QA Log'!M:M,"Vignette",'QA Log'!Z:Z,"Rejected",'QA Log'!L:L,"*Vignette [8] Birth Spacing/ Family Planning :  FP Counselling*"),
    COUNTIFS('QA Log'!D:D,A510,'QA Log'!M:M,"Vignette",'QA Log'!Z:Z,"Rejected",'QA Log'!L:L,"*Vignette [9] Birth Spacing: Change FP method to Injectable*"),
    COUNTIFS('QA Log'!D:D,A510,'QA Log'!M:M,"Vignette",'QA Log'!Z:Z,"Rejected",'QA Log'!L:L,"*Vignette [10] Post Partum Haemorrhage - Atonic Uterus at Health Centre*")
  )
)</f>
        <v/>
      </c>
      <c r="BN510" s="107" t="str">
        <f t="shared" si="37"/>
        <v/>
      </c>
      <c r="BO510" s="103" t="str">
        <f t="shared" si="38"/>
        <v/>
      </c>
      <c r="BP510" s="102" t="str">
        <f>IF(A510="","",SUM(
COUNTIFS('QA Log'!D:D,A510,'QA Log'!M:M,"Vignette",'QA Log'!L:L,"*Exit Interview 1*"),
COUNTIFS('QA Log'!D:D,A510,'QA Log'!M:M,"Vignette",'QA Log'!L:L,"*Exit Interview 2*"),
)
)</f>
        <v/>
      </c>
      <c r="BQ510" s="102" t="str">
        <f>IF(
  A510="","",
  SUM(
    COUNTIFS('QA Log'!D:D,A510,'QA Log'!M:M,"Vignette",'QA Log'!Z:Z,"Approved",'QA Log'!L:L,"*Exit Interview 1*"),
    COUNTIFS('QA Log'!D:D,A510,'QA Log'!M:M,"Vignette",'QA Log'!Z:Z,"Approved",'QA Log'!L:L,"*Exit Interview 2*")
  )
)</f>
        <v/>
      </c>
      <c r="BR510" s="105" t="str">
        <f>IF(A510&lt;&gt;"",COUNTIFS('QA Log'!D:D,A510,'QA Log'!M:M,"Vignette",'QA Log'!L:L,"Exit Interview 1",'QA Log'!Z:Z,"Approved"),"")</f>
        <v/>
      </c>
      <c r="BS510" s="105" t="str">
        <f>IF(A510&lt;&gt;"",COUNTIFS('QA Log'!D:D,A510,'QA Log'!M:M,"Vignette",'QA Log'!L:L,"Exit Interview 2",'QA Log'!Z:Z,"Approved"),"")</f>
        <v/>
      </c>
      <c r="BT510" s="102" t="str">
        <f>IF(
  A510="","",
  SUM(
    COUNTIFS('QA Log'!D:D,A510,'QA Log'!M:M,"Vignette",'QA Log'!Z:Z,"Rejected",'QA Log'!L:L,"*Exit Interview 1*"),
    COUNTIFS('QA Log'!D:D,A510,'QA Log'!M:M,"Vignette",'QA Log'!Z:Z,"Rejected",'QA Log'!L:L,"*Exit Interview 2*")
  )
)</f>
        <v/>
      </c>
      <c r="BU510" s="107" t="str">
        <f t="shared" si="39"/>
        <v/>
      </c>
      <c r="BV510" s="102" t="str">
        <f t="shared" si="40"/>
        <v/>
      </c>
      <c r="BW510" s="102" t="str">
        <f t="shared" si="41"/>
        <v/>
      </c>
      <c r="BX510" s="102" t="str">
        <f t="shared" si="42"/>
        <v/>
      </c>
      <c r="BY510" s="102" t="str">
        <f t="shared" si="43"/>
        <v/>
      </c>
      <c r="BZ510" s="107" t="str">
        <f t="shared" si="44"/>
        <v/>
      </c>
      <c r="CA510" s="108" t="str">
        <f t="shared" si="45"/>
        <v/>
      </c>
      <c r="CB510" s="108" t="str">
        <f t="shared" si="46"/>
        <v/>
      </c>
      <c r="CC510" s="109" t="str">
        <f t="shared" si="47"/>
        <v/>
      </c>
      <c r="CD510" s="108" t="str">
        <f t="shared" si="48"/>
        <v/>
      </c>
      <c r="CE510" s="108" t="str">
        <f t="shared" si="49"/>
        <v/>
      </c>
      <c r="CF510" s="109" t="str">
        <f t="shared" si="50"/>
        <v/>
      </c>
      <c r="CG510" s="110" t="str">
        <f t="shared" si="51"/>
        <v/>
      </c>
      <c r="CH510" s="111"/>
    </row>
    <row r="511" spans="1:86" ht="12.75">
      <c r="A511" s="101"/>
      <c r="B511" s="102" t="e">
        <f t="array" aca="1" ref="B511" ca="1">_xludf.XLOOKUP(A511,'QA Log'!D:D,'QA Log'!E:E,"")</f>
        <v>#NAME?</v>
      </c>
      <c r="C511" s="102" t="e">
        <f t="array" aca="1" ref="C511" ca="1">_xludf.XLOOKUP(A511,'QA Log'!D:D,'QA Log'!F:F,"")</f>
        <v>#NAME?</v>
      </c>
      <c r="D511" s="102" t="e">
        <f t="array" aca="1" ref="D511" ca="1">_xludf.XLOOKUP(A511,'QA Log'!D:D,'QA Log'!H:H,"")</f>
        <v>#NAME?</v>
      </c>
      <c r="E511" s="102" t="e">
        <f t="array" aca="1" ref="E511" ca="1">_xludf.XLOOKUP(A511,'QA Log'!D:D,'QA Log'!G:G,"")</f>
        <v>#NAME?</v>
      </c>
      <c r="F511" s="103"/>
      <c r="G511" s="104"/>
      <c r="H511" s="104"/>
      <c r="I511" s="103" t="str">
        <f t="shared" si="26"/>
        <v/>
      </c>
      <c r="J511" s="102" t="str">
        <f>IF(A511="","",SUM(
COUNTIFS('QA Log'!D:D,A511,'QA Log'!M:M,"QQC",'QA Log'!L:L,"*1. General Management*"),
COUNTIFS('QA Log'!D:D,A511,'QA Log'!M:M,"QQC",'QA Log'!L:L,"*3. Curative Consultation (OPD)*"),
COUNTIFS('QA Log'!D:D,A511,'QA Log'!M:M,"QQC",'QA Log'!L:L,"*5. Laboratory*"),
COUNTIFS('QA Log'!D:D,A511,'QA Log'!M:M,"QQC",'QA Log'!L:L,"*6. Essential Medicine Management*"),
COUNTIFS('QA Log'!D:D,A511,'QA Log'!M:M,"QQC",'QA Log'!L:L,"*7. Tracer Medicine*"),
COUNTIFS('QA Log'!D:D,A511,'QA Log'!M:M,"QQC",'QA Log'!L:L,"*11. Additional Questions*")))</f>
        <v/>
      </c>
      <c r="K511" s="102" t="str">
        <f>IF(A511="","",SUM(
COUNTIFS('QA Log'!D:D,A511,'QA Log'!M:M,"QQC",'QA Log'!Z:Z,"Approved",'QA Log'!L:L,"*1. General Management*"),
COUNTIFS('QA Log'!D:D,A511,'QA Log'!M:M,"QQC",'QA Log'!Z:Z,"Approved",'QA Log'!L:L,"*3. Curative Consultation (OPD)*"),
COUNTIFS('QA Log'!D:D,A511,'QA Log'!M:M,"QQC",'QA Log'!Z:Z,"Approved",'QA Log'!L:L,"*5. Laboratory*"),
COUNTIFS('QA Log'!D:D,A511,'QA Log'!M:M,"QQC",'QA Log'!Z:Z,"Approved",'QA Log'!L:L,"*6. Essential Medicine Management*"),
COUNTIFS('QA Log'!D:D,A511,'QA Log'!M:M,"QQC",'QA Log'!Z:Z,"Approved",'QA Log'!L:L,"*7. Tracer Medicine*"),
COUNTIFS('QA Log'!D:D,A511,'QA Log'!M:M,"QQC",'QA Log'!Z:Z,"Approved",'QA Log'!L:L,"*11. Additional Questions*")))</f>
        <v/>
      </c>
      <c r="L511" s="102" t="str">
        <f>IF(A511&lt;&gt;"",COUNTIFS('QA Log'!D:D,A511,'QA Log'!M:M,"QQC",'QA Log'!L:L,"1. General Management",'QA Log'!Z:Z,"Approved"),"")</f>
        <v/>
      </c>
      <c r="M511" s="102" t="str">
        <f>IF(A511&lt;&gt;"",COUNTIFS('QA Log'!D:D,A511,'QA Log'!M:M,"QQC",'QA Log'!L:L,"3. Curative Consultation (OPD)",'QA Log'!Z:Z,"Approved"),"")</f>
        <v/>
      </c>
      <c r="N511" s="102" t="str">
        <f>IF(A511&lt;&gt;"",COUNTIFS('QA Log'!D:D,A511,'QA Log'!M:M,"QQC",'QA Log'!L:L,"5. Laboratory",'QA Log'!Z:Z,"Approved"),"")</f>
        <v/>
      </c>
      <c r="O511" s="102" t="str">
        <f>IF(A511&lt;&gt;"",COUNTIFS('QA Log'!D:D,A511,'QA Log'!M:M,"QQC",'QA Log'!L:L,"6. Essential Medicine Management",'QA Log'!Z:Z,"Approved"),"")</f>
        <v/>
      </c>
      <c r="P511" s="102" t="str">
        <f>IF(A511&lt;&gt;"",COUNTIFS('QA Log'!D:D,A511,'QA Log'!M:M,"QQC",'QA Log'!L:L,"7. Tracer Medicine",'QA Log'!Z:Z,"Approved"),"")</f>
        <v/>
      </c>
      <c r="Q511" s="102" t="str">
        <f>IF(A511&lt;&gt;"",COUNTIFS('QA Log'!D:D,A511,'QA Log'!M:M,"QQC",'QA Log'!L:L,"11. Additional Questions",'QA Log'!Z:Z,"Approved"),"")</f>
        <v/>
      </c>
      <c r="R511" s="102" t="str">
        <f>IF(A511="","",SUM(
COUNTIFS('QA Log'!D:D,A511,'QA Log'!M:M,"QQC",'QA Log'!Z:Z,"Rejected",'QA Log'!L:L,"*8. Maternity*"),
COUNTIFS('QA Log'!D:D,A511,'QA Log'!M:M,"QQC",'QA Log'!Z:Z,"Rejected",'QA Log'!L:L,"*EPI*"),
COUNTIFS('QA Log'!D:D,A511,'QA Log'!M:M,"QQC",'QA Log'!Z:Z,"Rejected",'QA Log'!L:L,"*10. Antenatal Care (ANC)*"),
COUNTIFS('QA Log'!D:D,A511,'QA Log'!M:M,"QQC",'QA Log'!Z:Z,"Rejected",'QA Log'!L:L,"*2. Hygiene and Sterilization*"),
COUNTIFS('QA Log'!D:D,A511,'QA Log'!M:M,"QQC",'QA Log'!Z:Z,"Rejected",'QA Log'!L:L,"*Family Planning*")))</f>
        <v/>
      </c>
      <c r="S511" s="106" t="str">
        <f t="shared" si="27"/>
        <v/>
      </c>
      <c r="T511" s="102" t="str">
        <f t="shared" si="28"/>
        <v/>
      </c>
      <c r="U511" s="102" t="str">
        <f>IF(A511="","",
SUM(
COUNTIFS('QA Log'!D:D,A511,'QA Log'!M:M,"QQC",'QA Log'!L:L,"*8. Maternity*"),
COUNTIFS('QA Log'!D:D,A511,'QA Log'!M:M,"QQC",'QA Log'!L:L,"*9. EPI and Pre-school Consultation*"),
COUNTIFS('QA Log'!D:D,A511,'QA Log'!M:M,"QQC",'QA Log'!L:L,"*10. Antenatal Care (ANC)*"),
COUNTIFS('QA Log'!D:D,A511,'QA Log'!M:M,"QQC",'QA Log'!L:L,"*2. Hygiene and Sterilization*"),
COUNTIFS('QA Log'!D:D,A511,'QA Log'!M:M,"QQC",'QA Log'!L:L,"*4. Family Planning*")
))</f>
        <v/>
      </c>
      <c r="V511" s="102" t="str">
        <f>IF(A511="","",
SUM(
COUNTIFS('QA Log'!D:D,A511,'QA Log'!M:M,"QQC",'QA Log'!Z:Z,"Approved",'QA Log'!L:L,"*8. Maternity*"),
COUNTIFS('QA Log'!D:D,A511,'QA Log'!M:M,"QQC",'QA Log'!Z:Z,"Approved",'QA Log'!L:L,"*9. EPI and Pre-school Consultation*"),
COUNTIFS('QA Log'!D:D,A511,'QA Log'!M:M,"QQC",'QA Log'!Z:Z,"Approved",'QA Log'!L:L,"*10. Antenatal Care (ANC)*"),
COUNTIFS('QA Log'!D:D,A511,'QA Log'!M:M,"QQC",'QA Log'!Z:Z,"Approved",'QA Log'!L:L,"*2. Hygiene and Sterilization*"),
COUNTIFS('QA Log'!D:D,A511,'QA Log'!M:M,"QQC",'QA Log'!Z:Z,"Approved",'QA Log'!L:L,"*4. Family Planning*")
))</f>
        <v/>
      </c>
      <c r="W511" s="102" t="str">
        <f>IF(A511&lt;&gt;"",COUNTIFS('QA Log'!D:D,A511,'QA Log'!M:M,"QQC",'QA Log'!L:L,"8. Maternity",'QA Log'!Z:Z,"Approved"),"")</f>
        <v/>
      </c>
      <c r="X511" s="105" t="str">
        <f>IF(A511&lt;&gt;"",COUNTIFS('QA Log'!D:D,A511,'QA Log'!M:M,"QQC",'QA Log'!L:L,"9. EPI and Pre-school Consultation",'QA Log'!Z:Z,"Approved"),"")</f>
        <v/>
      </c>
      <c r="Y511" s="102" t="str">
        <f>IF(A511&lt;&gt;"",COUNTIFS('QA Log'!D:D,A511,'QA Log'!M:M,"QQC",'QA Log'!L:L,"10. Antenatal Care (ANC)",'QA Log'!Z:Z,"Approved"),"")</f>
        <v/>
      </c>
      <c r="Z511" s="102" t="str">
        <f>IF(A511&lt;&gt;"",COUNTIFS('QA Log'!D:D,A511,'QA Log'!M:M,"QQC",'QA Log'!L:L,"2. Hygiene and Sterilization",'QA Log'!Z:Z,"Approved"),"")</f>
        <v/>
      </c>
      <c r="AA511" s="105" t="str">
        <f>IF(A511&lt;&gt;"",COUNTIFS('QA Log'!D:D,A511,'QA Log'!M:M,"QQC",'QA Log'!L:L,"4. Family Planning",'QA Log'!Z:Z,"Approved"),"")</f>
        <v/>
      </c>
      <c r="AB511" s="102" t="str">
        <f>IF(A511="","",
SUM(
COUNTIFS('QA Log'!D:D,A511,'QA Log'!M:M,"QQC",'QA Log'!Z:Z,"Rejected",'QA Log'!L:L,"*8. Maternity*"),
COUNTIFS('QA Log'!D:D,A511,'QA Log'!M:M,"QQC",'QA Log'!Z:Z,"Rejected",'QA Log'!L:L,"*9. EPI and Pre-school Consultation*"),
COUNTIFS('QA Log'!D:D,A511,'QA Log'!M:M,"QQC",'QA Log'!Z:Z,"Rejected",'QA Log'!L:L,"*10. Antenatal Care (ANC)*"),
COUNTIFS('QA Log'!D:D,A511,'QA Log'!M:M,"QQC",'QA Log'!Z:Z,"Rejected",'QA Log'!L:L,"*2. Hygiene and Sterilization*"),
COUNTIFS('QA Log'!D:D,A511,'QA Log'!M:M,"QQC",'QA Log'!Z:Z,"Rejected",'QA Log'!L:L,"*4. Family Planning*")
))</f>
        <v/>
      </c>
      <c r="AC511" s="102" t="str">
        <f t="shared" si="29"/>
        <v/>
      </c>
      <c r="AD511" s="103" t="str">
        <f t="shared" si="30"/>
        <v/>
      </c>
      <c r="AE511" s="102" t="str">
        <f>IF(A511="","",
SUM(
COUNTIFS('QA Log'!D:D,A511,'QA Log'!M:M,"Data Verification",'QA Log'!L:L,"*Medicine (section 2)*"),
COUNTIFS('QA Log'!D:D,A511,'QA Log'!M:M,"Data Verification",'QA Log'!L:L,"*Lab Testing Availability*"),
COUNTIFS('QA Log'!D:D,A511,'QA Log'!M:M,"Data Verification",'QA Log'!L:L,"*Other than P4P (section 6)*"),
COUNTIFS('QA Log'!D:D,A511,'QA Log'!M:M,"Data Verification",'QA Log'!L:L,"*Hospital Governance*")
))</f>
        <v/>
      </c>
      <c r="AF511" s="102" t="str">
        <f>IF(A511="","",
SUM(
COUNTIFS('QA Log'!D:D,A511,'QA Log'!M:M,"Data Verification",'QA Log'!Z:Z,"Approved",'QA Log'!L:L,"*Medicine (section 2)*"),
COUNTIFS('QA Log'!D:D,A511,'QA Log'!M:M,"Data Verification",'QA Log'!Z:Z,"Approved",'QA Log'!L:L,"*Lab Testing Availability*"),
COUNTIFS('QA Log'!D:D,A511,'QA Log'!M:M,"Data Verification",'QA Log'!Z:Z,"Approved",'QA Log'!L:L,"*Other than P4P (section 6)*"),
COUNTIFS('QA Log'!D:D,A511,'QA Log'!M:M,"Data Verification",'QA Log'!Z:Z,"Approved",'QA Log'!L:L,"*Hospital Governance*")
))</f>
        <v/>
      </c>
      <c r="AG511" s="105" t="str">
        <f>IF(A511&lt;&gt;"",COUNTIFS('QA Log'!D:D,A511,'QA Log'!M:M,"Data Verification",'QA Log'!L:L,"Medicine (section 2)",'QA Log'!Z:Z,"Approved"),"")</f>
        <v/>
      </c>
      <c r="AH511" s="105" t="str">
        <f>IF(A511&lt;&gt;"",COUNTIFS('QA Log'!D:D,A511,'QA Log'!M:M,"Data Verification",'QA Log'!L:L,"Lab Testing Availability",'QA Log'!Z:Z,"Approved"),"")</f>
        <v/>
      </c>
      <c r="AI511" s="105" t="str">
        <f>IF(A511&lt;&gt;"",COUNTIFS('QA Log'!D:D,A511,'QA Log'!M:M,"Data Verification",'QA Log'!L:L,"Other than P4P (section 6)",'QA Log'!Z:Z,"Approved"),"")</f>
        <v/>
      </c>
      <c r="AJ511" s="105" t="str">
        <f>IF(A511&lt;&gt;"",COUNTIFS('QA Log'!D:D,A511,'QA Log'!M:M,"Data Verification",'QA Log'!L:L,"Hospital Governance",'QA Log'!Z:Z,"Approved"),"")</f>
        <v/>
      </c>
      <c r="AK511" s="102" t="str">
        <f>IF(A511="","",
SUM(
COUNTIFS('QA Log'!D:D,A511,'QA Log'!M:M,"Data Verification",'QA Log'!Z:Z,"Rejected",'QA Log'!L:L,"*Medicine (section 2)*"),
COUNTIFS('QA Log'!D:D,A511,'QA Log'!M:M,"Data Verification",'QA Log'!Z:Z,"Rejected",'QA Log'!L:L,"*Lab Testing Availability*"),
COUNTIFS('QA Log'!D:D,A511,'QA Log'!M:M,"Data Verification",'QA Log'!Z:Z,"Rejected",'QA Log'!L:L,"*Other than P4P (section 6)*"),
COUNTIFS('QA Log'!D:D,A511,'QA Log'!M:M,"Data Verification",'QA Log'!Z:Z,"Rejected",'QA Log'!L:L,"*Hospital Governance*")
))</f>
        <v/>
      </c>
      <c r="AL511" s="106" t="str">
        <f t="shared" si="31"/>
        <v/>
      </c>
      <c r="AM511" s="102" t="str">
        <f t="shared" si="32"/>
        <v/>
      </c>
      <c r="AN511" s="102" t="str">
        <f>IF(A511="","",
SUM(
COUNTIFS('QA Log'!D:D,A511,'QA Log'!M:M,"Data Verification",'QA Log'!L:L,"*Personnel (section 1)*"),
COUNTIFS('QA Log'!D:D,A511,'QA Log'!M:M,"Data Verification",'QA Log'!L:L,"*Consumable (section 3)*"),
COUNTIFS('QA Log'!D:D,A511,'QA Log'!M:M,"Data Verification",'QA Log'!L:L,"*Equipments (section 4)*")
))</f>
        <v/>
      </c>
      <c r="AO511" s="102" t="str">
        <f>IF(A511="","",
SUM(
COUNTIFS('QA Log'!D:D,A511,'QA Log'!M:M,"Data Verification",'QA Log'!Z:Z,"Approved",'QA Log'!L:L,"*Personnel (section 1)*"),
COUNTIFS('QA Log'!D:D,A511,'QA Log'!M:M,"Data Verification",'QA Log'!Z:Z,"Approved",'QA Log'!L:L,"*Consumable (section 3)*"),
COUNTIFS('QA Log'!D:D,A511,'QA Log'!M:M,"Data Verification",'QA Log'!Z:Z,"Approved",'QA Log'!L:L,"*Equipments (section 4)*")
))</f>
        <v/>
      </c>
      <c r="AP511" s="105" t="str">
        <f>IF(A511&lt;&gt;"",COUNTIFS('QA Log'!D:D,A511,'QA Log'!M:M,"Data Verification",'QA Log'!L:L,"Personnel (section 1)",'QA Log'!Z:Z,"Approved"),"")</f>
        <v/>
      </c>
      <c r="AQ511" s="105" t="str">
        <f>IF(A511&lt;&gt;"",COUNTIFS('QA Log'!D:D,A511,'QA Log'!M:M,"Data Verification",'QA Log'!L:L,"Consumable (section 3)",'QA Log'!Z:Z,"Approved"),"")</f>
        <v/>
      </c>
      <c r="AR511" s="105" t="str">
        <f>IF(A511&lt;&gt;"",COUNTIFS('QA Log'!D:D,A511,'QA Log'!M:M,"Data Verification",'QA Log'!L:L,"Equipments (section 4)",'QA Log'!Z:Z,"Approved"),"")</f>
        <v/>
      </c>
      <c r="AS511" s="102" t="str">
        <f>IF(A511="","",
SUM(
COUNTIFS('QA Log'!D:D,A511,'QA Log'!M:M,"Data Verification",'QA Log'!Z:Z,"Rejected",'QA Log'!L:L,"*Personnel (section 1)*"),
COUNTIFS('QA Log'!D:D,A511,'QA Log'!M:M,"Data Verification",'QA Log'!Z:Z,"Rejected",'QA Log'!L:L,"*Consumable (section 3)*"),
COUNTIFS('QA Log'!D:D,A511,'QA Log'!M:M,"Data Verification",'QA Log'!Z:Z,"Rejected",'QA Log'!L:L,"*Equipments (section 4)*")
))</f>
        <v/>
      </c>
      <c r="AT511" s="102" t="str">
        <f t="shared" si="33"/>
        <v/>
      </c>
      <c r="AU511" s="103" t="str">
        <f t="shared" si="34"/>
        <v/>
      </c>
      <c r="AV511" s="102" t="str">
        <f>IF(A511="","",SUM(
COUNTIFS('QA Log'!D:D,A511,'QA Log'!M:M,"Vignette",'QA Log'!L:L,"*Vignette [1] Respiratory Infection: Pneumonia*"),
COUNTIFS('QA Log'!D:D,A511,'QA Log'!M:M,"Vignette",'QA Log'!L:L,"*Vignette [2]: Diarrhea with Cat B dehydration*"),
COUNTIFS('QA Log'!D:D,A511,'QA Log'!M:M,"Vignette",'QA Log'!L:L,"*Vignette [3] Growth Monitoring and Promotion*"),
COUNTIFS('QA Log'!D:D,A511,'QA Log'!M:M,"Vignette",'QA Log'!L:L,"*Vignette [4]: The management of presumptive TB patient*")
)
)</f>
        <v/>
      </c>
      <c r="AW511" s="102" t="str">
        <f>IF(
  A511="","",
  SUM(
    COUNTIFS('QA Log'!D:D,A511,'QA Log'!M:M,"Vignette",'QA Log'!Z:Z,"Approved",'QA Log'!L:L,"*Vignette [1] Respiratory Infection: Pneumonia*"),
    COUNTIFS('QA Log'!D:D,A511,'QA Log'!M:M,"Vignette",'QA Log'!Z:Z,"Approved",'QA Log'!L:L,"*Vignette [2]: Diarrhea with Cat B dehydration*"),
    COUNTIFS('QA Log'!D:D,A511,'QA Log'!M:M,"Vignette",'QA Log'!Z:Z,"Approved",'QA Log'!L:L,"*Vignette [3] Growth Monitoring and Promotion*"),
    COUNTIFS('QA Log'!D:D,A511,'QA Log'!M:M,"Vignette",'QA Log'!Z:Z,"Approved",'QA Log'!L:L,"*Vignette [4]: The management of presumptive TB patient*")
  )
)</f>
        <v/>
      </c>
      <c r="AX511" s="105" t="str">
        <f>IF(A511&lt;&gt;"",COUNTIFS('QA Log'!D:D,A511,'QA Log'!M:M,"Vignette",'QA Log'!L:L,"Vignette [1] Respiratory Infection: Pneumonia",'QA Log'!Z:Z,"Approved"),"")</f>
        <v/>
      </c>
      <c r="AY511" s="105" t="str">
        <f>IF(A511&lt;&gt;"",COUNTIFS('QA Log'!D:D,A511,'QA Log'!M:M,"Vignette",'QA Log'!L:L,"Vignette [2]: Diarrhea with Cat B dehydration",'QA Log'!Z:Z,"Approved"),"")</f>
        <v/>
      </c>
      <c r="AZ511" s="105" t="str">
        <f>IF(A511&lt;&gt;"",COUNTIFS('QA Log'!D:D,A511,'QA Log'!M:M,"Vignette",'QA Log'!L:L,"Vignette [3] Growth Monitoring and Promotion",'QA Log'!Z:Z,"Approved"),"")</f>
        <v/>
      </c>
      <c r="BA511" s="105" t="str">
        <f>IF(A511&lt;&gt;"",COUNTIFS('QA Log'!D:D,A511,'QA Log'!M:M,"Vignette",'QA Log'!L:L,"Vignette [4]: The management of presumptive TB patient",'QA Log'!Z:Z,"Approved"),"")</f>
        <v/>
      </c>
      <c r="BB511" s="102" t="str">
        <f>IF(A511="","",
  SUM(
    COUNTIFS('QA Log'!D:D,A511,'QA Log'!M:M,"Vignette",'QA Log'!Z:Z,"Rejected",'QA Log'!L:L,"*Vignette [1] Respiratory Infection: Pneumonia*"),
    COUNTIFS('QA Log'!D:D,A511,'QA Log'!M:M,"Vignette",'QA Log'!Z:Z,"Rejected",'QA Log'!L:L,"*Vignette [2]: Diarrhea with Cat B dehydration*"),
    COUNTIFS('QA Log'!D:D,A511,'QA Log'!M:M,"Vignette",'QA Log'!Z:Z,"Rejected",'QA Log'!L:L,"*Vignette [3] Growth Monitoring and Promotion*"),
    COUNTIFS('QA Log'!D:D,A511,'QA Log'!M:M,"Vignette",'QA Log'!Z:Z,"Rejected",'QA Log'!L:L,"*Vignette [4]: The management of presumptive TB patient*")
  )
)</f>
        <v/>
      </c>
      <c r="BC511" s="107" t="str">
        <f t="shared" si="35"/>
        <v/>
      </c>
      <c r="BD511" s="103" t="str">
        <f t="shared" si="36"/>
        <v/>
      </c>
      <c r="BE511" s="102" t="str">
        <f>IF(A511="","",SUM(
COUNTIFS('QA Log'!D:D,A511,'QA Log'!M:M,"Vignette",'QA Log'!L:L,"*Vignette [5] Labor*"),
COUNTIFS('QA Log'!D:D,A511,'QA Log'!M:M,"Vignette",'QA Log'!L:L,"*Vignette [6] PNC pre Discharge*"),
COUNTIFS('QA Log'!D:D,A511,'QA Log'!M:M,"Vignette",'QA Log'!L:L,"*Vignette [7] First ANC Visit*"),
COUNTIFS('QA Log'!D:D,A511,'QA Log'!M:M,"Vignette",'QA Log'!L:L,"*Vignette [8] Birth Spacing/ Family Planning :  FP Counselling*"),
COUNTIFS('QA Log'!D:D,A511,'QA Log'!M:M,"Vignette",'QA Log'!L:L,"*Vignette [9] Birth Spacing: Change FP method to Injectable*"),
COUNTIFS('QA Log'!D:D,A511,'QA Log'!M:M,"Vignette",'QA Log'!L:L,"*Vignette [10] Post Partum Haemorrhage - Atonic Uterus at Health Centre*"),
)
)</f>
        <v/>
      </c>
      <c r="BF511" s="102" t="str">
        <f>IF(A511="","",
  SUM(
    COUNTIFS('QA Log'!D:D,A511,'QA Log'!M:M,"Vignette",'QA Log'!Z:Z,"Approved",'QA Log'!L:L,"*Vignette [5] Labor*"),
    COUNTIFS('QA Log'!D:D,A511,'QA Log'!M:M,"Vignette",'QA Log'!Z:Z,"Approved",'QA Log'!L:L,"*Vignette [6] PNC pre Discharge*"),
    COUNTIFS('QA Log'!D:D,A511,'QA Log'!M:M,"Vignette",'QA Log'!Z:Z,"Approved",'QA Log'!L:L,"*Vignette [7] First ANC Visit*"),
    COUNTIFS('QA Log'!D:D,A511,'QA Log'!M:M,"Vignette",'QA Log'!Z:Z,"Approved",'QA Log'!L:L,"*Vignette [8] Birth Spacing/ Family Planning :  FP Counselling*"),
    COUNTIFS('QA Log'!D:D,A511,'QA Log'!M:M,"Vignette",'QA Log'!Z:Z,"Approved",'QA Log'!L:L,"*Vignette [9] Birth Spacing: Change FP method to Injectable*"),
    COUNTIFS('QA Log'!D:D,A511,'QA Log'!M:M,"Vignette",'QA Log'!Z:Z,"Approved",'QA Log'!L:L,"*Vignette [10] Post Partum Haemorrhage - Atonic Uterus at Health Centre*")
  )
)</f>
        <v/>
      </c>
      <c r="BG511" s="105" t="str">
        <f>IF(A511&lt;&gt;"",COUNTIFS('QA Log'!D:D,A511,'QA Log'!M:M,"Vignette",'QA Log'!L:L,"Vignette [5] Labor",'QA Log'!Z:Z,"Approved"),"")</f>
        <v/>
      </c>
      <c r="BH511" s="105" t="str">
        <f>IF(A511&lt;&gt;"",COUNTIFS('QA Log'!D:D,A511,'QA Log'!M:M,"Vignette",'QA Log'!L:L,"Vignette [6] PNC pre Discharge",'QA Log'!Z:Z,"Approved"),"")</f>
        <v/>
      </c>
      <c r="BI511" s="105" t="str">
        <f>IF(A511&lt;&gt;"",COUNTIFS('QA Log'!D:D,A511,'QA Log'!M:M,"Vignette",'QA Log'!L:L,"Vignette [7] First ANC Visit",'QA Log'!Z:Z,"Approved"),"")</f>
        <v/>
      </c>
      <c r="BJ511" s="105" t="str">
        <f>IF(A511&lt;&gt;"",COUNTIFS('QA Log'!D:D,A511,'QA Log'!M:M,"Vignette",'QA Log'!L:L,"Vignette [8] Birth Spacing/ Family Planning :  FP Counselling",'QA Log'!Z:Z,"Approved"),"")</f>
        <v/>
      </c>
      <c r="BK511" s="105" t="str">
        <f>IF(A511&lt;&gt;"",COUNTIFS('QA Log'!D:D,A511,'QA Log'!M:M,"Vignette",'QA Log'!L:L,"Vignette [9] Birth Spacing: Change FP method to Injectable",'QA Log'!Z:Z,"Approved"),"")</f>
        <v/>
      </c>
      <c r="BL511" s="105" t="str">
        <f>IF(A511&lt;&gt;"",COUNTIFS('QA Log'!D:D,A511,'QA Log'!M:M,"Vignette",'QA Log'!L:L,"Vignette [10] Post Partum Haemorrhage - Atonic Uterus at Health Centre",'QA Log'!Z:Z,"Approved"),"")</f>
        <v/>
      </c>
      <c r="BM511" s="102" t="str">
        <f>IF(A511="","",SUM(
    COUNTIFS('QA Log'!D:D,A511,'QA Log'!M:M,"Vignette",'QA Log'!Z:Z,"Rejected",'QA Log'!L:L,"*Vignette [5] Labor*"),
    COUNTIFS('QA Log'!D:D,A511,'QA Log'!M:M,"Vignette",'QA Log'!Z:Z,"Rejected",'QA Log'!L:L,"*Vignette [6] PNC pre Discharge*"),
    COUNTIFS('QA Log'!D:D,A511,'QA Log'!M:M,"Vignette",'QA Log'!Z:Z,"Rejected",'QA Log'!L:L,"*Vignette [7] First ANC Visit*"),
    COUNTIFS('QA Log'!D:D,A511,'QA Log'!M:M,"Vignette",'QA Log'!Z:Z,"Rejected",'QA Log'!L:L,"*Vignette [8] Birth Spacing/ Family Planning :  FP Counselling*"),
    COUNTIFS('QA Log'!D:D,A511,'QA Log'!M:M,"Vignette",'QA Log'!Z:Z,"Rejected",'QA Log'!L:L,"*Vignette [9] Birth Spacing: Change FP method to Injectable*"),
    COUNTIFS('QA Log'!D:D,A511,'QA Log'!M:M,"Vignette",'QA Log'!Z:Z,"Rejected",'QA Log'!L:L,"*Vignette [10] Post Partum Haemorrhage - Atonic Uterus at Health Centre*")
  )
)</f>
        <v/>
      </c>
      <c r="BN511" s="107" t="str">
        <f t="shared" si="37"/>
        <v/>
      </c>
      <c r="BO511" s="103" t="str">
        <f t="shared" si="38"/>
        <v/>
      </c>
      <c r="BP511" s="102" t="str">
        <f>IF(A511="","",SUM(
COUNTIFS('QA Log'!D:D,A511,'QA Log'!M:M,"Vignette",'QA Log'!L:L,"*Exit Interview 1*"),
COUNTIFS('QA Log'!D:D,A511,'QA Log'!M:M,"Vignette",'QA Log'!L:L,"*Exit Interview 2*"),
)
)</f>
        <v/>
      </c>
      <c r="BQ511" s="102" t="str">
        <f>IF(
  A511="","",
  SUM(
    COUNTIFS('QA Log'!D:D,A511,'QA Log'!M:M,"Vignette",'QA Log'!Z:Z,"Approved",'QA Log'!L:L,"*Exit Interview 1*"),
    COUNTIFS('QA Log'!D:D,A511,'QA Log'!M:M,"Vignette",'QA Log'!Z:Z,"Approved",'QA Log'!L:L,"*Exit Interview 2*")
  )
)</f>
        <v/>
      </c>
      <c r="BR511" s="105" t="str">
        <f>IF(A511&lt;&gt;"",COUNTIFS('QA Log'!D:D,A511,'QA Log'!M:M,"Vignette",'QA Log'!L:L,"Exit Interview 1",'QA Log'!Z:Z,"Approved"),"")</f>
        <v/>
      </c>
      <c r="BS511" s="105" t="str">
        <f>IF(A511&lt;&gt;"",COUNTIFS('QA Log'!D:D,A511,'QA Log'!M:M,"Vignette",'QA Log'!L:L,"Exit Interview 2",'QA Log'!Z:Z,"Approved"),"")</f>
        <v/>
      </c>
      <c r="BT511" s="102" t="str">
        <f>IF(
  A511="","",
  SUM(
    COUNTIFS('QA Log'!D:D,A511,'QA Log'!M:M,"Vignette",'QA Log'!Z:Z,"Rejected",'QA Log'!L:L,"*Exit Interview 1*"),
    COUNTIFS('QA Log'!D:D,A511,'QA Log'!M:M,"Vignette",'QA Log'!Z:Z,"Rejected",'QA Log'!L:L,"*Exit Interview 2*")
  )
)</f>
        <v/>
      </c>
      <c r="BU511" s="107" t="str">
        <f t="shared" si="39"/>
        <v/>
      </c>
      <c r="BV511" s="102" t="str">
        <f t="shared" si="40"/>
        <v/>
      </c>
      <c r="BW511" s="102" t="str">
        <f t="shared" si="41"/>
        <v/>
      </c>
      <c r="BX511" s="102" t="str">
        <f t="shared" si="42"/>
        <v/>
      </c>
      <c r="BY511" s="102" t="str">
        <f t="shared" si="43"/>
        <v/>
      </c>
      <c r="BZ511" s="107" t="str">
        <f t="shared" si="44"/>
        <v/>
      </c>
      <c r="CA511" s="108" t="str">
        <f t="shared" si="45"/>
        <v/>
      </c>
      <c r="CB511" s="108" t="str">
        <f t="shared" si="46"/>
        <v/>
      </c>
      <c r="CC511" s="109" t="str">
        <f t="shared" si="47"/>
        <v/>
      </c>
      <c r="CD511" s="108" t="str">
        <f t="shared" si="48"/>
        <v/>
      </c>
      <c r="CE511" s="108" t="str">
        <f t="shared" si="49"/>
        <v/>
      </c>
      <c r="CF511" s="109" t="str">
        <f t="shared" si="50"/>
        <v/>
      </c>
      <c r="CG511" s="110" t="str">
        <f t="shared" si="51"/>
        <v/>
      </c>
      <c r="CH511" s="111"/>
    </row>
    <row r="512" spans="1:86" ht="12.75">
      <c r="A512" s="101"/>
      <c r="B512" s="102" t="e">
        <f t="array" aca="1" ref="B512" ca="1">_xludf.XLOOKUP(A512,'QA Log'!D:D,'QA Log'!E:E,"")</f>
        <v>#NAME?</v>
      </c>
      <c r="C512" s="102" t="e">
        <f t="array" aca="1" ref="C512" ca="1">_xludf.XLOOKUP(A512,'QA Log'!D:D,'QA Log'!F:F,"")</f>
        <v>#NAME?</v>
      </c>
      <c r="D512" s="102" t="e">
        <f t="array" aca="1" ref="D512" ca="1">_xludf.XLOOKUP(A512,'QA Log'!D:D,'QA Log'!H:H,"")</f>
        <v>#NAME?</v>
      </c>
      <c r="E512" s="102" t="e">
        <f t="array" aca="1" ref="E512" ca="1">_xludf.XLOOKUP(A512,'QA Log'!D:D,'QA Log'!G:G,"")</f>
        <v>#NAME?</v>
      </c>
      <c r="F512" s="103"/>
      <c r="G512" s="104"/>
      <c r="H512" s="104"/>
      <c r="I512" s="103" t="str">
        <f t="shared" si="26"/>
        <v/>
      </c>
      <c r="J512" s="102" t="str">
        <f>IF(A512="","",SUM(
COUNTIFS('QA Log'!D:D,A512,'QA Log'!M:M,"QQC",'QA Log'!L:L,"*1. General Management*"),
COUNTIFS('QA Log'!D:D,A512,'QA Log'!M:M,"QQC",'QA Log'!L:L,"*3. Curative Consultation (OPD)*"),
COUNTIFS('QA Log'!D:D,A512,'QA Log'!M:M,"QQC",'QA Log'!L:L,"*5. Laboratory*"),
COUNTIFS('QA Log'!D:D,A512,'QA Log'!M:M,"QQC",'QA Log'!L:L,"*6. Essential Medicine Management*"),
COUNTIFS('QA Log'!D:D,A512,'QA Log'!M:M,"QQC",'QA Log'!L:L,"*7. Tracer Medicine*"),
COUNTIFS('QA Log'!D:D,A512,'QA Log'!M:M,"QQC",'QA Log'!L:L,"*11. Additional Questions*")))</f>
        <v/>
      </c>
      <c r="K512" s="102" t="str">
        <f>IF(A512="","",SUM(
COUNTIFS('QA Log'!D:D,A512,'QA Log'!M:M,"QQC",'QA Log'!Z:Z,"Approved",'QA Log'!L:L,"*1. General Management*"),
COUNTIFS('QA Log'!D:D,A512,'QA Log'!M:M,"QQC",'QA Log'!Z:Z,"Approved",'QA Log'!L:L,"*3. Curative Consultation (OPD)*"),
COUNTIFS('QA Log'!D:D,A512,'QA Log'!M:M,"QQC",'QA Log'!Z:Z,"Approved",'QA Log'!L:L,"*5. Laboratory*"),
COUNTIFS('QA Log'!D:D,A512,'QA Log'!M:M,"QQC",'QA Log'!Z:Z,"Approved",'QA Log'!L:L,"*6. Essential Medicine Management*"),
COUNTIFS('QA Log'!D:D,A512,'QA Log'!M:M,"QQC",'QA Log'!Z:Z,"Approved",'QA Log'!L:L,"*7. Tracer Medicine*"),
COUNTIFS('QA Log'!D:D,A512,'QA Log'!M:M,"QQC",'QA Log'!Z:Z,"Approved",'QA Log'!L:L,"*11. Additional Questions*")))</f>
        <v/>
      </c>
      <c r="L512" s="102" t="str">
        <f>IF(A512&lt;&gt;"",COUNTIFS('QA Log'!D:D,A512,'QA Log'!M:M,"QQC",'QA Log'!L:L,"1. General Management",'QA Log'!Z:Z,"Approved"),"")</f>
        <v/>
      </c>
      <c r="M512" s="102" t="str">
        <f>IF(A512&lt;&gt;"",COUNTIFS('QA Log'!D:D,A512,'QA Log'!M:M,"QQC",'QA Log'!L:L,"3. Curative Consultation (OPD)",'QA Log'!Z:Z,"Approved"),"")</f>
        <v/>
      </c>
      <c r="N512" s="102" t="str">
        <f>IF(A512&lt;&gt;"",COUNTIFS('QA Log'!D:D,A512,'QA Log'!M:M,"QQC",'QA Log'!L:L,"5. Laboratory",'QA Log'!Z:Z,"Approved"),"")</f>
        <v/>
      </c>
      <c r="O512" s="102" t="str">
        <f>IF(A512&lt;&gt;"",COUNTIFS('QA Log'!D:D,A512,'QA Log'!M:M,"QQC",'QA Log'!L:L,"6. Essential Medicine Management",'QA Log'!Z:Z,"Approved"),"")</f>
        <v/>
      </c>
      <c r="P512" s="102" t="str">
        <f>IF(A512&lt;&gt;"",COUNTIFS('QA Log'!D:D,A512,'QA Log'!M:M,"QQC",'QA Log'!L:L,"7. Tracer Medicine",'QA Log'!Z:Z,"Approved"),"")</f>
        <v/>
      </c>
      <c r="Q512" s="102" t="str">
        <f>IF(A512&lt;&gt;"",COUNTIFS('QA Log'!D:D,A512,'QA Log'!M:M,"QQC",'QA Log'!L:L,"11. Additional Questions",'QA Log'!Z:Z,"Approved"),"")</f>
        <v/>
      </c>
      <c r="R512" s="102" t="str">
        <f>IF(A512="","",SUM(
COUNTIFS('QA Log'!D:D,A512,'QA Log'!M:M,"QQC",'QA Log'!Z:Z,"Rejected",'QA Log'!L:L,"*8. Maternity*"),
COUNTIFS('QA Log'!D:D,A512,'QA Log'!M:M,"QQC",'QA Log'!Z:Z,"Rejected",'QA Log'!L:L,"*EPI*"),
COUNTIFS('QA Log'!D:D,A512,'QA Log'!M:M,"QQC",'QA Log'!Z:Z,"Rejected",'QA Log'!L:L,"*10. Antenatal Care (ANC)*"),
COUNTIFS('QA Log'!D:D,A512,'QA Log'!M:M,"QQC",'QA Log'!Z:Z,"Rejected",'QA Log'!L:L,"*2. Hygiene and Sterilization*"),
COUNTIFS('QA Log'!D:D,A512,'QA Log'!M:M,"QQC",'QA Log'!Z:Z,"Rejected",'QA Log'!L:L,"*Family Planning*")))</f>
        <v/>
      </c>
      <c r="S512" s="106" t="str">
        <f t="shared" si="27"/>
        <v/>
      </c>
      <c r="T512" s="102" t="str">
        <f t="shared" si="28"/>
        <v/>
      </c>
      <c r="U512" s="102" t="str">
        <f>IF(A512="","",
SUM(
COUNTIFS('QA Log'!D:D,A512,'QA Log'!M:M,"QQC",'QA Log'!L:L,"*8. Maternity*"),
COUNTIFS('QA Log'!D:D,A512,'QA Log'!M:M,"QQC",'QA Log'!L:L,"*9. EPI and Pre-school Consultation*"),
COUNTIFS('QA Log'!D:D,A512,'QA Log'!M:M,"QQC",'QA Log'!L:L,"*10. Antenatal Care (ANC)*"),
COUNTIFS('QA Log'!D:D,A512,'QA Log'!M:M,"QQC",'QA Log'!L:L,"*2. Hygiene and Sterilization*"),
COUNTIFS('QA Log'!D:D,A512,'QA Log'!M:M,"QQC",'QA Log'!L:L,"*4. Family Planning*")
))</f>
        <v/>
      </c>
      <c r="V512" s="102" t="str">
        <f>IF(A512="","",
SUM(
COUNTIFS('QA Log'!D:D,A512,'QA Log'!M:M,"QQC",'QA Log'!Z:Z,"Approved",'QA Log'!L:L,"*8. Maternity*"),
COUNTIFS('QA Log'!D:D,A512,'QA Log'!M:M,"QQC",'QA Log'!Z:Z,"Approved",'QA Log'!L:L,"*9. EPI and Pre-school Consultation*"),
COUNTIFS('QA Log'!D:D,A512,'QA Log'!M:M,"QQC",'QA Log'!Z:Z,"Approved",'QA Log'!L:L,"*10. Antenatal Care (ANC)*"),
COUNTIFS('QA Log'!D:D,A512,'QA Log'!M:M,"QQC",'QA Log'!Z:Z,"Approved",'QA Log'!L:L,"*2. Hygiene and Sterilization*"),
COUNTIFS('QA Log'!D:D,A512,'QA Log'!M:M,"QQC",'QA Log'!Z:Z,"Approved",'QA Log'!L:L,"*4. Family Planning*")
))</f>
        <v/>
      </c>
      <c r="W512" s="102" t="str">
        <f>IF(A512&lt;&gt;"",COUNTIFS('QA Log'!D:D,A512,'QA Log'!M:M,"QQC",'QA Log'!L:L,"8. Maternity",'QA Log'!Z:Z,"Approved"),"")</f>
        <v/>
      </c>
      <c r="X512" s="105" t="str">
        <f>IF(A512&lt;&gt;"",COUNTIFS('QA Log'!D:D,A512,'QA Log'!M:M,"QQC",'QA Log'!L:L,"9. EPI and Pre-school Consultation",'QA Log'!Z:Z,"Approved"),"")</f>
        <v/>
      </c>
      <c r="Y512" s="102" t="str">
        <f>IF(A512&lt;&gt;"",COUNTIFS('QA Log'!D:D,A512,'QA Log'!M:M,"QQC",'QA Log'!L:L,"10. Antenatal Care (ANC)",'QA Log'!Z:Z,"Approved"),"")</f>
        <v/>
      </c>
      <c r="Z512" s="102" t="str">
        <f>IF(A512&lt;&gt;"",COUNTIFS('QA Log'!D:D,A512,'QA Log'!M:M,"QQC",'QA Log'!L:L,"2. Hygiene and Sterilization",'QA Log'!Z:Z,"Approved"),"")</f>
        <v/>
      </c>
      <c r="AA512" s="105" t="str">
        <f>IF(A512&lt;&gt;"",COUNTIFS('QA Log'!D:D,A512,'QA Log'!M:M,"QQC",'QA Log'!L:L,"4. Family Planning",'QA Log'!Z:Z,"Approved"),"")</f>
        <v/>
      </c>
      <c r="AB512" s="102" t="str">
        <f>IF(A512="","",
SUM(
COUNTIFS('QA Log'!D:D,A512,'QA Log'!M:M,"QQC",'QA Log'!Z:Z,"Rejected",'QA Log'!L:L,"*8. Maternity*"),
COUNTIFS('QA Log'!D:D,A512,'QA Log'!M:M,"QQC",'QA Log'!Z:Z,"Rejected",'QA Log'!L:L,"*9. EPI and Pre-school Consultation*"),
COUNTIFS('QA Log'!D:D,A512,'QA Log'!M:M,"QQC",'QA Log'!Z:Z,"Rejected",'QA Log'!L:L,"*10. Antenatal Care (ANC)*"),
COUNTIFS('QA Log'!D:D,A512,'QA Log'!M:M,"QQC",'QA Log'!Z:Z,"Rejected",'QA Log'!L:L,"*2. Hygiene and Sterilization*"),
COUNTIFS('QA Log'!D:D,A512,'QA Log'!M:M,"QQC",'QA Log'!Z:Z,"Rejected",'QA Log'!L:L,"*4. Family Planning*")
))</f>
        <v/>
      </c>
      <c r="AC512" s="102" t="str">
        <f t="shared" si="29"/>
        <v/>
      </c>
      <c r="AD512" s="103" t="str">
        <f t="shared" si="30"/>
        <v/>
      </c>
      <c r="AE512" s="102" t="str">
        <f>IF(A512="","",
SUM(
COUNTIFS('QA Log'!D:D,A512,'QA Log'!M:M,"Data Verification",'QA Log'!L:L,"*Medicine (section 2)*"),
COUNTIFS('QA Log'!D:D,A512,'QA Log'!M:M,"Data Verification",'QA Log'!L:L,"*Lab Testing Availability*"),
COUNTIFS('QA Log'!D:D,A512,'QA Log'!M:M,"Data Verification",'QA Log'!L:L,"*Other than P4P (section 6)*"),
COUNTIFS('QA Log'!D:D,A512,'QA Log'!M:M,"Data Verification",'QA Log'!L:L,"*Hospital Governance*")
))</f>
        <v/>
      </c>
      <c r="AF512" s="102" t="str">
        <f>IF(A512="","",
SUM(
COUNTIFS('QA Log'!D:D,A512,'QA Log'!M:M,"Data Verification",'QA Log'!Z:Z,"Approved",'QA Log'!L:L,"*Medicine (section 2)*"),
COUNTIFS('QA Log'!D:D,A512,'QA Log'!M:M,"Data Verification",'QA Log'!Z:Z,"Approved",'QA Log'!L:L,"*Lab Testing Availability*"),
COUNTIFS('QA Log'!D:D,A512,'QA Log'!M:M,"Data Verification",'QA Log'!Z:Z,"Approved",'QA Log'!L:L,"*Other than P4P (section 6)*"),
COUNTIFS('QA Log'!D:D,A512,'QA Log'!M:M,"Data Verification",'QA Log'!Z:Z,"Approved",'QA Log'!L:L,"*Hospital Governance*")
))</f>
        <v/>
      </c>
      <c r="AG512" s="105" t="str">
        <f>IF(A512&lt;&gt;"",COUNTIFS('QA Log'!D:D,A512,'QA Log'!M:M,"Data Verification",'QA Log'!L:L,"Medicine (section 2)",'QA Log'!Z:Z,"Approved"),"")</f>
        <v/>
      </c>
      <c r="AH512" s="105" t="str">
        <f>IF(A512&lt;&gt;"",COUNTIFS('QA Log'!D:D,A512,'QA Log'!M:M,"Data Verification",'QA Log'!L:L,"Lab Testing Availability",'QA Log'!Z:Z,"Approved"),"")</f>
        <v/>
      </c>
      <c r="AI512" s="105" t="str">
        <f>IF(A512&lt;&gt;"",COUNTIFS('QA Log'!D:D,A512,'QA Log'!M:M,"Data Verification",'QA Log'!L:L,"Other than P4P (section 6)",'QA Log'!Z:Z,"Approved"),"")</f>
        <v/>
      </c>
      <c r="AJ512" s="105" t="str">
        <f>IF(A512&lt;&gt;"",COUNTIFS('QA Log'!D:D,A512,'QA Log'!M:M,"Data Verification",'QA Log'!L:L,"Hospital Governance",'QA Log'!Z:Z,"Approved"),"")</f>
        <v/>
      </c>
      <c r="AK512" s="102" t="str">
        <f>IF(A512="","",
SUM(
COUNTIFS('QA Log'!D:D,A512,'QA Log'!M:M,"Data Verification",'QA Log'!Z:Z,"Rejected",'QA Log'!L:L,"*Medicine (section 2)*"),
COUNTIFS('QA Log'!D:D,A512,'QA Log'!M:M,"Data Verification",'QA Log'!Z:Z,"Rejected",'QA Log'!L:L,"*Lab Testing Availability*"),
COUNTIFS('QA Log'!D:D,A512,'QA Log'!M:M,"Data Verification",'QA Log'!Z:Z,"Rejected",'QA Log'!L:L,"*Other than P4P (section 6)*"),
COUNTIFS('QA Log'!D:D,A512,'QA Log'!M:M,"Data Verification",'QA Log'!Z:Z,"Rejected",'QA Log'!L:L,"*Hospital Governance*")
))</f>
        <v/>
      </c>
      <c r="AL512" s="106" t="str">
        <f t="shared" si="31"/>
        <v/>
      </c>
      <c r="AM512" s="102" t="str">
        <f t="shared" si="32"/>
        <v/>
      </c>
      <c r="AN512" s="102" t="str">
        <f>IF(A512="","",
SUM(
COUNTIFS('QA Log'!D:D,A512,'QA Log'!M:M,"Data Verification",'QA Log'!L:L,"*Personnel (section 1)*"),
COUNTIFS('QA Log'!D:D,A512,'QA Log'!M:M,"Data Verification",'QA Log'!L:L,"*Consumable (section 3)*"),
COUNTIFS('QA Log'!D:D,A512,'QA Log'!M:M,"Data Verification",'QA Log'!L:L,"*Equipments (section 4)*")
))</f>
        <v/>
      </c>
      <c r="AO512" s="102" t="str">
        <f>IF(A512="","",
SUM(
COUNTIFS('QA Log'!D:D,A512,'QA Log'!M:M,"Data Verification",'QA Log'!Z:Z,"Approved",'QA Log'!L:L,"*Personnel (section 1)*"),
COUNTIFS('QA Log'!D:D,A512,'QA Log'!M:M,"Data Verification",'QA Log'!Z:Z,"Approved",'QA Log'!L:L,"*Consumable (section 3)*"),
COUNTIFS('QA Log'!D:D,A512,'QA Log'!M:M,"Data Verification",'QA Log'!Z:Z,"Approved",'QA Log'!L:L,"*Equipments (section 4)*")
))</f>
        <v/>
      </c>
      <c r="AP512" s="105" t="str">
        <f>IF(A512&lt;&gt;"",COUNTIFS('QA Log'!D:D,A512,'QA Log'!M:M,"Data Verification",'QA Log'!L:L,"Personnel (section 1)",'QA Log'!Z:Z,"Approved"),"")</f>
        <v/>
      </c>
      <c r="AQ512" s="105" t="str">
        <f>IF(A512&lt;&gt;"",COUNTIFS('QA Log'!D:D,A512,'QA Log'!M:M,"Data Verification",'QA Log'!L:L,"Consumable (section 3)",'QA Log'!Z:Z,"Approved"),"")</f>
        <v/>
      </c>
      <c r="AR512" s="105" t="str">
        <f>IF(A512&lt;&gt;"",COUNTIFS('QA Log'!D:D,A512,'QA Log'!M:M,"Data Verification",'QA Log'!L:L,"Equipments (section 4)",'QA Log'!Z:Z,"Approved"),"")</f>
        <v/>
      </c>
      <c r="AS512" s="102" t="str">
        <f>IF(A512="","",
SUM(
COUNTIFS('QA Log'!D:D,A512,'QA Log'!M:M,"Data Verification",'QA Log'!Z:Z,"Rejected",'QA Log'!L:L,"*Personnel (section 1)*"),
COUNTIFS('QA Log'!D:D,A512,'QA Log'!M:M,"Data Verification",'QA Log'!Z:Z,"Rejected",'QA Log'!L:L,"*Consumable (section 3)*"),
COUNTIFS('QA Log'!D:D,A512,'QA Log'!M:M,"Data Verification",'QA Log'!Z:Z,"Rejected",'QA Log'!L:L,"*Equipments (section 4)*")
))</f>
        <v/>
      </c>
      <c r="AT512" s="102" t="str">
        <f t="shared" si="33"/>
        <v/>
      </c>
      <c r="AU512" s="103" t="str">
        <f t="shared" si="34"/>
        <v/>
      </c>
      <c r="AV512" s="102" t="str">
        <f>IF(A512="","",SUM(
COUNTIFS('QA Log'!D:D,A512,'QA Log'!M:M,"Vignette",'QA Log'!L:L,"*Vignette [1] Respiratory Infection: Pneumonia*"),
COUNTIFS('QA Log'!D:D,A512,'QA Log'!M:M,"Vignette",'QA Log'!L:L,"*Vignette [2]: Diarrhea with Cat B dehydration*"),
COUNTIFS('QA Log'!D:D,A512,'QA Log'!M:M,"Vignette",'QA Log'!L:L,"*Vignette [3] Growth Monitoring and Promotion*"),
COUNTIFS('QA Log'!D:D,A512,'QA Log'!M:M,"Vignette",'QA Log'!L:L,"*Vignette [4]: The management of presumptive TB patient*")
)
)</f>
        <v/>
      </c>
      <c r="AW512" s="102" t="str">
        <f>IF(
  A512="","",
  SUM(
    COUNTIFS('QA Log'!D:D,A512,'QA Log'!M:M,"Vignette",'QA Log'!Z:Z,"Approved",'QA Log'!L:L,"*Vignette [1] Respiratory Infection: Pneumonia*"),
    COUNTIFS('QA Log'!D:D,A512,'QA Log'!M:M,"Vignette",'QA Log'!Z:Z,"Approved",'QA Log'!L:L,"*Vignette [2]: Diarrhea with Cat B dehydration*"),
    COUNTIFS('QA Log'!D:D,A512,'QA Log'!M:M,"Vignette",'QA Log'!Z:Z,"Approved",'QA Log'!L:L,"*Vignette [3] Growth Monitoring and Promotion*"),
    COUNTIFS('QA Log'!D:D,A512,'QA Log'!M:M,"Vignette",'QA Log'!Z:Z,"Approved",'QA Log'!L:L,"*Vignette [4]: The management of presumptive TB patient*")
  )
)</f>
        <v/>
      </c>
      <c r="AX512" s="105" t="str">
        <f>IF(A512&lt;&gt;"",COUNTIFS('QA Log'!D:D,A512,'QA Log'!M:M,"Vignette",'QA Log'!L:L,"Vignette [1] Respiratory Infection: Pneumonia",'QA Log'!Z:Z,"Approved"),"")</f>
        <v/>
      </c>
      <c r="AY512" s="105" t="str">
        <f>IF(A512&lt;&gt;"",COUNTIFS('QA Log'!D:D,A512,'QA Log'!M:M,"Vignette",'QA Log'!L:L,"Vignette [2]: Diarrhea with Cat B dehydration",'QA Log'!Z:Z,"Approved"),"")</f>
        <v/>
      </c>
      <c r="AZ512" s="105" t="str">
        <f>IF(A512&lt;&gt;"",COUNTIFS('QA Log'!D:D,A512,'QA Log'!M:M,"Vignette",'QA Log'!L:L,"Vignette [3] Growth Monitoring and Promotion",'QA Log'!Z:Z,"Approved"),"")</f>
        <v/>
      </c>
      <c r="BA512" s="105" t="str">
        <f>IF(A512&lt;&gt;"",COUNTIFS('QA Log'!D:D,A512,'QA Log'!M:M,"Vignette",'QA Log'!L:L,"Vignette [4]: The management of presumptive TB patient",'QA Log'!Z:Z,"Approved"),"")</f>
        <v/>
      </c>
      <c r="BB512" s="102" t="str">
        <f>IF(A512="","",
  SUM(
    COUNTIFS('QA Log'!D:D,A512,'QA Log'!M:M,"Vignette",'QA Log'!Z:Z,"Rejected",'QA Log'!L:L,"*Vignette [1] Respiratory Infection: Pneumonia*"),
    COUNTIFS('QA Log'!D:D,A512,'QA Log'!M:M,"Vignette",'QA Log'!Z:Z,"Rejected",'QA Log'!L:L,"*Vignette [2]: Diarrhea with Cat B dehydration*"),
    COUNTIFS('QA Log'!D:D,A512,'QA Log'!M:M,"Vignette",'QA Log'!Z:Z,"Rejected",'QA Log'!L:L,"*Vignette [3] Growth Monitoring and Promotion*"),
    COUNTIFS('QA Log'!D:D,A512,'QA Log'!M:M,"Vignette",'QA Log'!Z:Z,"Rejected",'QA Log'!L:L,"*Vignette [4]: The management of presumptive TB patient*")
  )
)</f>
        <v/>
      </c>
      <c r="BC512" s="107" t="str">
        <f t="shared" si="35"/>
        <v/>
      </c>
      <c r="BD512" s="103" t="str">
        <f t="shared" si="36"/>
        <v/>
      </c>
      <c r="BE512" s="102" t="str">
        <f>IF(A512="","",SUM(
COUNTIFS('QA Log'!D:D,A512,'QA Log'!M:M,"Vignette",'QA Log'!L:L,"*Vignette [5] Labor*"),
COUNTIFS('QA Log'!D:D,A512,'QA Log'!M:M,"Vignette",'QA Log'!L:L,"*Vignette [6] PNC pre Discharge*"),
COUNTIFS('QA Log'!D:D,A512,'QA Log'!M:M,"Vignette",'QA Log'!L:L,"*Vignette [7] First ANC Visit*"),
COUNTIFS('QA Log'!D:D,A512,'QA Log'!M:M,"Vignette",'QA Log'!L:L,"*Vignette [8] Birth Spacing/ Family Planning :  FP Counselling*"),
COUNTIFS('QA Log'!D:D,A512,'QA Log'!M:M,"Vignette",'QA Log'!L:L,"*Vignette [9] Birth Spacing: Change FP method to Injectable*"),
COUNTIFS('QA Log'!D:D,A512,'QA Log'!M:M,"Vignette",'QA Log'!L:L,"*Vignette [10] Post Partum Haemorrhage - Atonic Uterus at Health Centre*"),
)
)</f>
        <v/>
      </c>
      <c r="BF512" s="102" t="str">
        <f>IF(A512="","",
  SUM(
    COUNTIFS('QA Log'!D:D,A512,'QA Log'!M:M,"Vignette",'QA Log'!Z:Z,"Approved",'QA Log'!L:L,"*Vignette [5] Labor*"),
    COUNTIFS('QA Log'!D:D,A512,'QA Log'!M:M,"Vignette",'QA Log'!Z:Z,"Approved",'QA Log'!L:L,"*Vignette [6] PNC pre Discharge*"),
    COUNTIFS('QA Log'!D:D,A512,'QA Log'!M:M,"Vignette",'QA Log'!Z:Z,"Approved",'QA Log'!L:L,"*Vignette [7] First ANC Visit*"),
    COUNTIFS('QA Log'!D:D,A512,'QA Log'!M:M,"Vignette",'QA Log'!Z:Z,"Approved",'QA Log'!L:L,"*Vignette [8] Birth Spacing/ Family Planning :  FP Counselling*"),
    COUNTIFS('QA Log'!D:D,A512,'QA Log'!M:M,"Vignette",'QA Log'!Z:Z,"Approved",'QA Log'!L:L,"*Vignette [9] Birth Spacing: Change FP method to Injectable*"),
    COUNTIFS('QA Log'!D:D,A512,'QA Log'!M:M,"Vignette",'QA Log'!Z:Z,"Approved",'QA Log'!L:L,"*Vignette [10] Post Partum Haemorrhage - Atonic Uterus at Health Centre*")
  )
)</f>
        <v/>
      </c>
      <c r="BG512" s="105" t="str">
        <f>IF(A512&lt;&gt;"",COUNTIFS('QA Log'!D:D,A512,'QA Log'!M:M,"Vignette",'QA Log'!L:L,"Vignette [5] Labor",'QA Log'!Z:Z,"Approved"),"")</f>
        <v/>
      </c>
      <c r="BH512" s="105" t="str">
        <f>IF(A512&lt;&gt;"",COUNTIFS('QA Log'!D:D,A512,'QA Log'!M:M,"Vignette",'QA Log'!L:L,"Vignette [6] PNC pre Discharge",'QA Log'!Z:Z,"Approved"),"")</f>
        <v/>
      </c>
      <c r="BI512" s="105" t="str">
        <f>IF(A512&lt;&gt;"",COUNTIFS('QA Log'!D:D,A512,'QA Log'!M:M,"Vignette",'QA Log'!L:L,"Vignette [7] First ANC Visit",'QA Log'!Z:Z,"Approved"),"")</f>
        <v/>
      </c>
      <c r="BJ512" s="105" t="str">
        <f>IF(A512&lt;&gt;"",COUNTIFS('QA Log'!D:D,A512,'QA Log'!M:M,"Vignette",'QA Log'!L:L,"Vignette [8] Birth Spacing/ Family Planning :  FP Counselling",'QA Log'!Z:Z,"Approved"),"")</f>
        <v/>
      </c>
      <c r="BK512" s="105" t="str">
        <f>IF(A512&lt;&gt;"",COUNTIFS('QA Log'!D:D,A512,'QA Log'!M:M,"Vignette",'QA Log'!L:L,"Vignette [9] Birth Spacing: Change FP method to Injectable",'QA Log'!Z:Z,"Approved"),"")</f>
        <v/>
      </c>
      <c r="BL512" s="105" t="str">
        <f>IF(A512&lt;&gt;"",COUNTIFS('QA Log'!D:D,A512,'QA Log'!M:M,"Vignette",'QA Log'!L:L,"Vignette [10] Post Partum Haemorrhage - Atonic Uterus at Health Centre",'QA Log'!Z:Z,"Approved"),"")</f>
        <v/>
      </c>
      <c r="BM512" s="102" t="str">
        <f>IF(A512="","",SUM(
    COUNTIFS('QA Log'!D:D,A512,'QA Log'!M:M,"Vignette",'QA Log'!Z:Z,"Rejected",'QA Log'!L:L,"*Vignette [5] Labor*"),
    COUNTIFS('QA Log'!D:D,A512,'QA Log'!M:M,"Vignette",'QA Log'!Z:Z,"Rejected",'QA Log'!L:L,"*Vignette [6] PNC pre Discharge*"),
    COUNTIFS('QA Log'!D:D,A512,'QA Log'!M:M,"Vignette",'QA Log'!Z:Z,"Rejected",'QA Log'!L:L,"*Vignette [7] First ANC Visit*"),
    COUNTIFS('QA Log'!D:D,A512,'QA Log'!M:M,"Vignette",'QA Log'!Z:Z,"Rejected",'QA Log'!L:L,"*Vignette [8] Birth Spacing/ Family Planning :  FP Counselling*"),
    COUNTIFS('QA Log'!D:D,A512,'QA Log'!M:M,"Vignette",'QA Log'!Z:Z,"Rejected",'QA Log'!L:L,"*Vignette [9] Birth Spacing: Change FP method to Injectable*"),
    COUNTIFS('QA Log'!D:D,A512,'QA Log'!M:M,"Vignette",'QA Log'!Z:Z,"Rejected",'QA Log'!L:L,"*Vignette [10] Post Partum Haemorrhage - Atonic Uterus at Health Centre*")
  )
)</f>
        <v/>
      </c>
      <c r="BN512" s="107" t="str">
        <f t="shared" si="37"/>
        <v/>
      </c>
      <c r="BO512" s="103" t="str">
        <f t="shared" si="38"/>
        <v/>
      </c>
      <c r="BP512" s="102" t="str">
        <f>IF(A512="","",SUM(
COUNTIFS('QA Log'!D:D,A512,'QA Log'!M:M,"Vignette",'QA Log'!L:L,"*Exit Interview 1*"),
COUNTIFS('QA Log'!D:D,A512,'QA Log'!M:M,"Vignette",'QA Log'!L:L,"*Exit Interview 2*"),
)
)</f>
        <v/>
      </c>
      <c r="BQ512" s="102" t="str">
        <f>IF(
  A512="","",
  SUM(
    COUNTIFS('QA Log'!D:D,A512,'QA Log'!M:M,"Vignette",'QA Log'!Z:Z,"Approved",'QA Log'!L:L,"*Exit Interview 1*"),
    COUNTIFS('QA Log'!D:D,A512,'QA Log'!M:M,"Vignette",'QA Log'!Z:Z,"Approved",'QA Log'!L:L,"*Exit Interview 2*")
  )
)</f>
        <v/>
      </c>
      <c r="BR512" s="105" t="str">
        <f>IF(A512&lt;&gt;"",COUNTIFS('QA Log'!D:D,A512,'QA Log'!M:M,"Vignette",'QA Log'!L:L,"Exit Interview 1",'QA Log'!Z:Z,"Approved"),"")</f>
        <v/>
      </c>
      <c r="BS512" s="105" t="str">
        <f>IF(A512&lt;&gt;"",COUNTIFS('QA Log'!D:D,A512,'QA Log'!M:M,"Vignette",'QA Log'!L:L,"Exit Interview 2",'QA Log'!Z:Z,"Approved"),"")</f>
        <v/>
      </c>
      <c r="BT512" s="102" t="str">
        <f>IF(
  A512="","",
  SUM(
    COUNTIFS('QA Log'!D:D,A512,'QA Log'!M:M,"Vignette",'QA Log'!Z:Z,"Rejected",'QA Log'!L:L,"*Exit Interview 1*"),
    COUNTIFS('QA Log'!D:D,A512,'QA Log'!M:M,"Vignette",'QA Log'!Z:Z,"Rejected",'QA Log'!L:L,"*Exit Interview 2*")
  )
)</f>
        <v/>
      </c>
      <c r="BU512" s="107" t="str">
        <f t="shared" si="39"/>
        <v/>
      </c>
      <c r="BV512" s="102" t="str">
        <f t="shared" si="40"/>
        <v/>
      </c>
      <c r="BW512" s="102" t="str">
        <f t="shared" si="41"/>
        <v/>
      </c>
      <c r="BX512" s="102" t="str">
        <f t="shared" si="42"/>
        <v/>
      </c>
      <c r="BY512" s="102" t="str">
        <f t="shared" si="43"/>
        <v/>
      </c>
      <c r="BZ512" s="107" t="str">
        <f t="shared" si="44"/>
        <v/>
      </c>
      <c r="CA512" s="108" t="str">
        <f t="shared" si="45"/>
        <v/>
      </c>
      <c r="CB512" s="108" t="str">
        <f t="shared" si="46"/>
        <v/>
      </c>
      <c r="CC512" s="109" t="str">
        <f t="shared" si="47"/>
        <v/>
      </c>
      <c r="CD512" s="108" t="str">
        <f t="shared" si="48"/>
        <v/>
      </c>
      <c r="CE512" s="108" t="str">
        <f t="shared" si="49"/>
        <v/>
      </c>
      <c r="CF512" s="109" t="str">
        <f t="shared" si="50"/>
        <v/>
      </c>
      <c r="CG512" s="110" t="str">
        <f t="shared" si="51"/>
        <v/>
      </c>
      <c r="CH512" s="111"/>
    </row>
    <row r="513" spans="1:86" ht="12.75">
      <c r="A513" s="101"/>
      <c r="B513" s="102" t="e">
        <f t="array" aca="1" ref="B513" ca="1">_xludf.XLOOKUP(A513,'QA Log'!D:D,'QA Log'!E:E,"")</f>
        <v>#NAME?</v>
      </c>
      <c r="C513" s="102" t="e">
        <f t="array" aca="1" ref="C513" ca="1">_xludf.XLOOKUP(A513,'QA Log'!D:D,'QA Log'!F:F,"")</f>
        <v>#NAME?</v>
      </c>
      <c r="D513" s="102" t="e">
        <f t="array" aca="1" ref="D513" ca="1">_xludf.XLOOKUP(A513,'QA Log'!D:D,'QA Log'!H:H,"")</f>
        <v>#NAME?</v>
      </c>
      <c r="E513" s="102" t="e">
        <f t="array" aca="1" ref="E513" ca="1">_xludf.XLOOKUP(A513,'QA Log'!D:D,'QA Log'!G:G,"")</f>
        <v>#NAME?</v>
      </c>
      <c r="F513" s="103"/>
      <c r="G513" s="104"/>
      <c r="H513" s="104"/>
      <c r="I513" s="103" t="str">
        <f t="shared" ref="I513:I531" si="52">IF(A513="", "", IF(OR(D513="RH", D513="PH", D513="SHC"), 0, IF(D513="BHC", 5, 6)))</f>
        <v/>
      </c>
      <c r="J513" s="102" t="str">
        <f>IF(A513="","",SUM(
COUNTIFS('QA Log'!D:D,A513,'QA Log'!M:M,"QQC",'QA Log'!L:L,"*1. General Management*"),
COUNTIFS('QA Log'!D:D,A513,'QA Log'!M:M,"QQC",'QA Log'!L:L,"*3. Curative Consultation (OPD)*"),
COUNTIFS('QA Log'!D:D,A513,'QA Log'!M:M,"QQC",'QA Log'!L:L,"*5. Laboratory*"),
COUNTIFS('QA Log'!D:D,A513,'QA Log'!M:M,"QQC",'QA Log'!L:L,"*6. Essential Medicine Management*"),
COUNTIFS('QA Log'!D:D,A513,'QA Log'!M:M,"QQC",'QA Log'!L:L,"*7. Tracer Medicine*"),
COUNTIFS('QA Log'!D:D,A513,'QA Log'!M:M,"QQC",'QA Log'!L:L,"*11. Additional Questions*")))</f>
        <v/>
      </c>
      <c r="K513" s="102" t="str">
        <f>IF(A513="","",SUM(
COUNTIFS('QA Log'!D:D,A513,'QA Log'!M:M,"QQC",'QA Log'!Z:Z,"Approved",'QA Log'!L:L,"*1. General Management*"),
COUNTIFS('QA Log'!D:D,A513,'QA Log'!M:M,"QQC",'QA Log'!Z:Z,"Approved",'QA Log'!L:L,"*3. Curative Consultation (OPD)*"),
COUNTIFS('QA Log'!D:D,A513,'QA Log'!M:M,"QQC",'QA Log'!Z:Z,"Approved",'QA Log'!L:L,"*5. Laboratory*"),
COUNTIFS('QA Log'!D:D,A513,'QA Log'!M:M,"QQC",'QA Log'!Z:Z,"Approved",'QA Log'!L:L,"*6. Essential Medicine Management*"),
COUNTIFS('QA Log'!D:D,A513,'QA Log'!M:M,"QQC",'QA Log'!Z:Z,"Approved",'QA Log'!L:L,"*7. Tracer Medicine*"),
COUNTIFS('QA Log'!D:D,A513,'QA Log'!M:M,"QQC",'QA Log'!Z:Z,"Approved",'QA Log'!L:L,"*11. Additional Questions*")))</f>
        <v/>
      </c>
      <c r="L513" s="102" t="str">
        <f>IF(A513&lt;&gt;"",COUNTIFS('QA Log'!D:D,A513,'QA Log'!M:M,"QQC",'QA Log'!L:L,"1. General Management",'QA Log'!Z:Z,"Approved"),"")</f>
        <v/>
      </c>
      <c r="M513" s="102" t="str">
        <f>IF(A513&lt;&gt;"",COUNTIFS('QA Log'!D:D,A513,'QA Log'!M:M,"QQC",'QA Log'!L:L,"3. Curative Consultation (OPD)",'QA Log'!Z:Z,"Approved"),"")</f>
        <v/>
      </c>
      <c r="N513" s="102" t="str">
        <f>IF(A513&lt;&gt;"",COUNTIFS('QA Log'!D:D,A513,'QA Log'!M:M,"QQC",'QA Log'!L:L,"5. Laboratory",'QA Log'!Z:Z,"Approved"),"")</f>
        <v/>
      </c>
      <c r="O513" s="102" t="str">
        <f>IF(A513&lt;&gt;"",COUNTIFS('QA Log'!D:D,A513,'QA Log'!M:M,"QQC",'QA Log'!L:L,"6. Essential Medicine Management",'QA Log'!Z:Z,"Approved"),"")</f>
        <v/>
      </c>
      <c r="P513" s="102" t="str">
        <f>IF(A513&lt;&gt;"",COUNTIFS('QA Log'!D:D,A513,'QA Log'!M:M,"QQC",'QA Log'!L:L,"7. Tracer Medicine",'QA Log'!Z:Z,"Approved"),"")</f>
        <v/>
      </c>
      <c r="Q513" s="102" t="str">
        <f>IF(A513&lt;&gt;"",COUNTIFS('QA Log'!D:D,A513,'QA Log'!M:M,"QQC",'QA Log'!L:L,"11. Additional Questions",'QA Log'!Z:Z,"Approved"),"")</f>
        <v/>
      </c>
      <c r="R513" s="102" t="str">
        <f>IF(A513="","",SUM(
COUNTIFS('QA Log'!D:D,A513,'QA Log'!M:M,"QQC",'QA Log'!Z:Z,"Rejected",'QA Log'!L:L,"*8. Maternity*"),
COUNTIFS('QA Log'!D:D,A513,'QA Log'!M:M,"QQC",'QA Log'!Z:Z,"Rejected",'QA Log'!L:L,"*EPI*"),
COUNTIFS('QA Log'!D:D,A513,'QA Log'!M:M,"QQC",'QA Log'!Z:Z,"Rejected",'QA Log'!L:L,"*10. Antenatal Care (ANC)*"),
COUNTIFS('QA Log'!D:D,A513,'QA Log'!M:M,"QQC",'QA Log'!Z:Z,"Rejected",'QA Log'!L:L,"*2. Hygiene and Sterilization*"),
COUNTIFS('QA Log'!D:D,A513,'QA Log'!M:M,"QQC",'QA Log'!Z:Z,"Rejected",'QA Log'!L:L,"*Family Planning*")))</f>
        <v/>
      </c>
      <c r="S513" s="106" t="str">
        <f t="shared" ref="S513:S531" si="53">IF(A513&lt;&gt;"",I513-K513,"")</f>
        <v/>
      </c>
      <c r="T513" s="102" t="str">
        <f t="shared" ref="T513:T531" si="54">IF(A513="", "", IF(OR(D513="RH", D513="PH", D513="SHC"), 0, IF(D513="BHC", 5, 5)))</f>
        <v/>
      </c>
      <c r="U513" s="102" t="str">
        <f>IF(A513="","",
SUM(
COUNTIFS('QA Log'!D:D,A513,'QA Log'!M:M,"QQC",'QA Log'!L:L,"*8. Maternity*"),
COUNTIFS('QA Log'!D:D,A513,'QA Log'!M:M,"QQC",'QA Log'!L:L,"*9. EPI and Pre-school Consultation*"),
COUNTIFS('QA Log'!D:D,A513,'QA Log'!M:M,"QQC",'QA Log'!L:L,"*10. Antenatal Care (ANC)*"),
COUNTIFS('QA Log'!D:D,A513,'QA Log'!M:M,"QQC",'QA Log'!L:L,"*2. Hygiene and Sterilization*"),
COUNTIFS('QA Log'!D:D,A513,'QA Log'!M:M,"QQC",'QA Log'!L:L,"*4. Family Planning*")
))</f>
        <v/>
      </c>
      <c r="V513" s="102" t="str">
        <f>IF(A513="","",
SUM(
COUNTIFS('QA Log'!D:D,A513,'QA Log'!M:M,"QQC",'QA Log'!Z:Z,"Approved",'QA Log'!L:L,"*8. Maternity*"),
COUNTIFS('QA Log'!D:D,A513,'QA Log'!M:M,"QQC",'QA Log'!Z:Z,"Approved",'QA Log'!L:L,"*9. EPI and Pre-school Consultation*"),
COUNTIFS('QA Log'!D:D,A513,'QA Log'!M:M,"QQC",'QA Log'!Z:Z,"Approved",'QA Log'!L:L,"*10. Antenatal Care (ANC)*"),
COUNTIFS('QA Log'!D:D,A513,'QA Log'!M:M,"QQC",'QA Log'!Z:Z,"Approved",'QA Log'!L:L,"*2. Hygiene and Sterilization*"),
COUNTIFS('QA Log'!D:D,A513,'QA Log'!M:M,"QQC",'QA Log'!Z:Z,"Approved",'QA Log'!L:L,"*4. Family Planning*")
))</f>
        <v/>
      </c>
      <c r="W513" s="102" t="str">
        <f>IF(A513&lt;&gt;"",COUNTIFS('QA Log'!D:D,A513,'QA Log'!M:M,"QQC",'QA Log'!L:L,"8. Maternity",'QA Log'!Z:Z,"Approved"),"")</f>
        <v/>
      </c>
      <c r="X513" s="105" t="str">
        <f>IF(A513&lt;&gt;"",COUNTIFS('QA Log'!D:D,A513,'QA Log'!M:M,"QQC",'QA Log'!L:L,"9. EPI and Pre-school Consultation",'QA Log'!Z:Z,"Approved"),"")</f>
        <v/>
      </c>
      <c r="Y513" s="102" t="str">
        <f>IF(A513&lt;&gt;"",COUNTIFS('QA Log'!D:D,A513,'QA Log'!M:M,"QQC",'QA Log'!L:L,"10. Antenatal Care (ANC)",'QA Log'!Z:Z,"Approved"),"")</f>
        <v/>
      </c>
      <c r="Z513" s="102" t="str">
        <f>IF(A513&lt;&gt;"",COUNTIFS('QA Log'!D:D,A513,'QA Log'!M:M,"QQC",'QA Log'!L:L,"2. Hygiene and Sterilization",'QA Log'!Z:Z,"Approved"),"")</f>
        <v/>
      </c>
      <c r="AA513" s="105" t="str">
        <f>IF(A513&lt;&gt;"",COUNTIFS('QA Log'!D:D,A513,'QA Log'!M:M,"QQC",'QA Log'!L:L,"4. Family Planning",'QA Log'!Z:Z,"Approved"),"")</f>
        <v/>
      </c>
      <c r="AB513" s="102" t="str">
        <f>IF(A513="","",
SUM(
COUNTIFS('QA Log'!D:D,A513,'QA Log'!M:M,"QQC",'QA Log'!Z:Z,"Rejected",'QA Log'!L:L,"*8. Maternity*"),
COUNTIFS('QA Log'!D:D,A513,'QA Log'!M:M,"QQC",'QA Log'!Z:Z,"Rejected",'QA Log'!L:L,"*9. EPI and Pre-school Consultation*"),
COUNTIFS('QA Log'!D:D,A513,'QA Log'!M:M,"QQC",'QA Log'!Z:Z,"Rejected",'QA Log'!L:L,"*10. Antenatal Care (ANC)*"),
COUNTIFS('QA Log'!D:D,A513,'QA Log'!M:M,"QQC",'QA Log'!Z:Z,"Rejected",'QA Log'!L:L,"*2. Hygiene and Sterilization*"),
COUNTIFS('QA Log'!D:D,A513,'QA Log'!M:M,"QQC",'QA Log'!Z:Z,"Rejected",'QA Log'!L:L,"*4. Family Planning*")
))</f>
        <v/>
      </c>
      <c r="AC513" s="102" t="str">
        <f t="shared" ref="AC513:AC531" si="55">IF(A513&lt;&gt;"",T513-V513,"")</f>
        <v/>
      </c>
      <c r="AD513" s="103" t="str">
        <f t="shared" ref="AD513:AD531" si="56">IF(A513="", "", IF(OR(D513="RH", D513="PH"), 4,IF(OR(D513="DH",D513="CHC",D513="BHC"),0, IF(D513="SHC", 2))
))</f>
        <v/>
      </c>
      <c r="AE513" s="102" t="str">
        <f>IF(A513="","",
SUM(
COUNTIFS('QA Log'!D:D,A513,'QA Log'!M:M,"Data Verification",'QA Log'!L:L,"*Medicine (section 2)*"),
COUNTIFS('QA Log'!D:D,A513,'QA Log'!M:M,"Data Verification",'QA Log'!L:L,"*Lab Testing Availability*"),
COUNTIFS('QA Log'!D:D,A513,'QA Log'!M:M,"Data Verification",'QA Log'!L:L,"*Other than P4P (section 6)*"),
COUNTIFS('QA Log'!D:D,A513,'QA Log'!M:M,"Data Verification",'QA Log'!L:L,"*Hospital Governance*")
))</f>
        <v/>
      </c>
      <c r="AF513" s="102" t="str">
        <f>IF(A513="","",
SUM(
COUNTIFS('QA Log'!D:D,A513,'QA Log'!M:M,"Data Verification",'QA Log'!Z:Z,"Approved",'QA Log'!L:L,"*Medicine (section 2)*"),
COUNTIFS('QA Log'!D:D,A513,'QA Log'!M:M,"Data Verification",'QA Log'!Z:Z,"Approved",'QA Log'!L:L,"*Lab Testing Availability*"),
COUNTIFS('QA Log'!D:D,A513,'QA Log'!M:M,"Data Verification",'QA Log'!Z:Z,"Approved",'QA Log'!L:L,"*Other than P4P (section 6)*"),
COUNTIFS('QA Log'!D:D,A513,'QA Log'!M:M,"Data Verification",'QA Log'!Z:Z,"Approved",'QA Log'!L:L,"*Hospital Governance*")
))</f>
        <v/>
      </c>
      <c r="AG513" s="105" t="str">
        <f>IF(A513&lt;&gt;"",COUNTIFS('QA Log'!D:D,A513,'QA Log'!M:M,"Data Verification",'QA Log'!L:L,"Medicine (section 2)",'QA Log'!Z:Z,"Approved"),"")</f>
        <v/>
      </c>
      <c r="AH513" s="105" t="str">
        <f>IF(A513&lt;&gt;"",COUNTIFS('QA Log'!D:D,A513,'QA Log'!M:M,"Data Verification",'QA Log'!L:L,"Lab Testing Availability",'QA Log'!Z:Z,"Approved"),"")</f>
        <v/>
      </c>
      <c r="AI513" s="105" t="str">
        <f>IF(A513&lt;&gt;"",COUNTIFS('QA Log'!D:D,A513,'QA Log'!M:M,"Data Verification",'QA Log'!L:L,"Other than P4P (section 6)",'QA Log'!Z:Z,"Approved"),"")</f>
        <v/>
      </c>
      <c r="AJ513" s="105" t="str">
        <f>IF(A513&lt;&gt;"",COUNTIFS('QA Log'!D:D,A513,'QA Log'!M:M,"Data Verification",'QA Log'!L:L,"Hospital Governance",'QA Log'!Z:Z,"Approved"),"")</f>
        <v/>
      </c>
      <c r="AK513" s="102" t="str">
        <f>IF(A513="","",
SUM(
COUNTIFS('QA Log'!D:D,A513,'QA Log'!M:M,"Data Verification",'QA Log'!Z:Z,"Rejected",'QA Log'!L:L,"*Medicine (section 2)*"),
COUNTIFS('QA Log'!D:D,A513,'QA Log'!M:M,"Data Verification",'QA Log'!Z:Z,"Rejected",'QA Log'!L:L,"*Lab Testing Availability*"),
COUNTIFS('QA Log'!D:D,A513,'QA Log'!M:M,"Data Verification",'QA Log'!Z:Z,"Rejected",'QA Log'!L:L,"*Other than P4P (section 6)*"),
COUNTIFS('QA Log'!D:D,A513,'QA Log'!M:M,"Data Verification",'QA Log'!Z:Z,"Rejected",'QA Log'!L:L,"*Hospital Governance*")
))</f>
        <v/>
      </c>
      <c r="AL513" s="106" t="str">
        <f t="shared" ref="AL513:AL531" si="57">IF(A513&lt;&gt;"",AD513-AF513,"")</f>
        <v/>
      </c>
      <c r="AM513" s="102" t="str">
        <f t="shared" ref="AM513:AM531" si="58">IF(A513="", "", IF(OR(D513="RH", D513="PH"), 3,IF(OR(D513="DH",D513="CHC",D513="BHC"),0, IF(D513="SHC", 3))
))</f>
        <v/>
      </c>
      <c r="AN513" s="102" t="str">
        <f>IF(A513="","",
SUM(
COUNTIFS('QA Log'!D:D,A513,'QA Log'!M:M,"Data Verification",'QA Log'!L:L,"*Personnel (section 1)*"),
COUNTIFS('QA Log'!D:D,A513,'QA Log'!M:M,"Data Verification",'QA Log'!L:L,"*Consumable (section 3)*"),
COUNTIFS('QA Log'!D:D,A513,'QA Log'!M:M,"Data Verification",'QA Log'!L:L,"*Equipments (section 4)*")
))</f>
        <v/>
      </c>
      <c r="AO513" s="102" t="str">
        <f>IF(A513="","",
SUM(
COUNTIFS('QA Log'!D:D,A513,'QA Log'!M:M,"Data Verification",'QA Log'!Z:Z,"Approved",'QA Log'!L:L,"*Personnel (section 1)*"),
COUNTIFS('QA Log'!D:D,A513,'QA Log'!M:M,"Data Verification",'QA Log'!Z:Z,"Approved",'QA Log'!L:L,"*Consumable (section 3)*"),
COUNTIFS('QA Log'!D:D,A513,'QA Log'!M:M,"Data Verification",'QA Log'!Z:Z,"Approved",'QA Log'!L:L,"*Equipments (section 4)*")
))</f>
        <v/>
      </c>
      <c r="AP513" s="105" t="str">
        <f>IF(A513&lt;&gt;"",COUNTIFS('QA Log'!D:D,A513,'QA Log'!M:M,"Data Verification",'QA Log'!L:L,"Personnel (section 1)",'QA Log'!Z:Z,"Approved"),"")</f>
        <v/>
      </c>
      <c r="AQ513" s="105" t="str">
        <f>IF(A513&lt;&gt;"",COUNTIFS('QA Log'!D:D,A513,'QA Log'!M:M,"Data Verification",'QA Log'!L:L,"Consumable (section 3)",'QA Log'!Z:Z,"Approved"),"")</f>
        <v/>
      </c>
      <c r="AR513" s="105" t="str">
        <f>IF(A513&lt;&gt;"",COUNTIFS('QA Log'!D:D,A513,'QA Log'!M:M,"Data Verification",'QA Log'!L:L,"Equipments (section 4)",'QA Log'!Z:Z,"Approved"),"")</f>
        <v/>
      </c>
      <c r="AS513" s="102" t="str">
        <f>IF(A513="","",
SUM(
COUNTIFS('QA Log'!D:D,A513,'QA Log'!M:M,"Data Verification",'QA Log'!Z:Z,"Rejected",'QA Log'!L:L,"*Personnel (section 1)*"),
COUNTIFS('QA Log'!D:D,A513,'QA Log'!M:M,"Data Verification",'QA Log'!Z:Z,"Rejected",'QA Log'!L:L,"*Consumable (section 3)*"),
COUNTIFS('QA Log'!D:D,A513,'QA Log'!M:M,"Data Verification",'QA Log'!Z:Z,"Rejected",'QA Log'!L:L,"*Equipments (section 4)*")
))</f>
        <v/>
      </c>
      <c r="AT513" s="102" t="str">
        <f t="shared" ref="AT513:AT531" si="59">IF(A513&lt;&gt;"",AM513-AO513,"")</f>
        <v/>
      </c>
      <c r="AU513" s="103" t="str">
        <f t="shared" ref="AU513:AU531" si="60">IF(A513&lt;&gt;"",2,"")</f>
        <v/>
      </c>
      <c r="AV513" s="102" t="str">
        <f>IF(A513="","",SUM(
COUNTIFS('QA Log'!D:D,A513,'QA Log'!M:M,"Vignette",'QA Log'!L:L,"*Vignette [1] Respiratory Infection: Pneumonia*"),
COUNTIFS('QA Log'!D:D,A513,'QA Log'!M:M,"Vignette",'QA Log'!L:L,"*Vignette [2]: Diarrhea with Cat B dehydration*"),
COUNTIFS('QA Log'!D:D,A513,'QA Log'!M:M,"Vignette",'QA Log'!L:L,"*Vignette [3] Growth Monitoring and Promotion*"),
COUNTIFS('QA Log'!D:D,A513,'QA Log'!M:M,"Vignette",'QA Log'!L:L,"*Vignette [4]: The management of presumptive TB patient*")
)
)</f>
        <v/>
      </c>
      <c r="AW513" s="102" t="str">
        <f>IF(
  A513="","",
  SUM(
    COUNTIFS('QA Log'!D:D,A513,'QA Log'!M:M,"Vignette",'QA Log'!Z:Z,"Approved",'QA Log'!L:L,"*Vignette [1] Respiratory Infection: Pneumonia*"),
    COUNTIFS('QA Log'!D:D,A513,'QA Log'!M:M,"Vignette",'QA Log'!Z:Z,"Approved",'QA Log'!L:L,"*Vignette [2]: Diarrhea with Cat B dehydration*"),
    COUNTIFS('QA Log'!D:D,A513,'QA Log'!M:M,"Vignette",'QA Log'!Z:Z,"Approved",'QA Log'!L:L,"*Vignette [3] Growth Monitoring and Promotion*"),
    COUNTIFS('QA Log'!D:D,A513,'QA Log'!M:M,"Vignette",'QA Log'!Z:Z,"Approved",'QA Log'!L:L,"*Vignette [4]: The management of presumptive TB patient*")
  )
)</f>
        <v/>
      </c>
      <c r="AX513" s="105" t="str">
        <f>IF(A513&lt;&gt;"",COUNTIFS('QA Log'!D:D,A513,'QA Log'!M:M,"Vignette",'QA Log'!L:L,"Vignette [1] Respiratory Infection: Pneumonia",'QA Log'!Z:Z,"Approved"),"")</f>
        <v/>
      </c>
      <c r="AY513" s="105" t="str">
        <f>IF(A513&lt;&gt;"",COUNTIFS('QA Log'!D:D,A513,'QA Log'!M:M,"Vignette",'QA Log'!L:L,"Vignette [2]: Diarrhea with Cat B dehydration",'QA Log'!Z:Z,"Approved"),"")</f>
        <v/>
      </c>
      <c r="AZ513" s="105" t="str">
        <f>IF(A513&lt;&gt;"",COUNTIFS('QA Log'!D:D,A513,'QA Log'!M:M,"Vignette",'QA Log'!L:L,"Vignette [3] Growth Monitoring and Promotion",'QA Log'!Z:Z,"Approved"),"")</f>
        <v/>
      </c>
      <c r="BA513" s="105" t="str">
        <f>IF(A513&lt;&gt;"",COUNTIFS('QA Log'!D:D,A513,'QA Log'!M:M,"Vignette",'QA Log'!L:L,"Vignette [4]: The management of presumptive TB patient",'QA Log'!Z:Z,"Approved"),"")</f>
        <v/>
      </c>
      <c r="BB513" s="102" t="str">
        <f>IF(A513="","",
  SUM(
    COUNTIFS('QA Log'!D:D,A513,'QA Log'!M:M,"Vignette",'QA Log'!Z:Z,"Rejected",'QA Log'!L:L,"*Vignette [1] Respiratory Infection: Pneumonia*"),
    COUNTIFS('QA Log'!D:D,A513,'QA Log'!M:M,"Vignette",'QA Log'!Z:Z,"Rejected",'QA Log'!L:L,"*Vignette [2]: Diarrhea with Cat B dehydration*"),
    COUNTIFS('QA Log'!D:D,A513,'QA Log'!M:M,"Vignette",'QA Log'!Z:Z,"Rejected",'QA Log'!L:L,"*Vignette [3] Growth Monitoring and Promotion*"),
    COUNTIFS('QA Log'!D:D,A513,'QA Log'!M:M,"Vignette",'QA Log'!Z:Z,"Rejected",'QA Log'!L:L,"*Vignette [4]: The management of presumptive TB patient*")
  )
)</f>
        <v/>
      </c>
      <c r="BC513" s="107" t="str">
        <f t="shared" ref="BC513:BC531" si="61">IF(A513&lt;&gt;"",AU513-AW513,"")</f>
        <v/>
      </c>
      <c r="BD513" s="103" t="str">
        <f t="shared" ref="BD513:BD531" si="62">IF(J513&lt;&gt;"",2,"")</f>
        <v/>
      </c>
      <c r="BE513" s="102" t="str">
        <f>IF(A513="","",SUM(
COUNTIFS('QA Log'!D:D,A513,'QA Log'!M:M,"Vignette",'QA Log'!L:L,"*Vignette [5] Labor*"),
COUNTIFS('QA Log'!D:D,A513,'QA Log'!M:M,"Vignette",'QA Log'!L:L,"*Vignette [6] PNC pre Discharge*"),
COUNTIFS('QA Log'!D:D,A513,'QA Log'!M:M,"Vignette",'QA Log'!L:L,"*Vignette [7] First ANC Visit*"),
COUNTIFS('QA Log'!D:D,A513,'QA Log'!M:M,"Vignette",'QA Log'!L:L,"*Vignette [8] Birth Spacing/ Family Planning :  FP Counselling*"),
COUNTIFS('QA Log'!D:D,A513,'QA Log'!M:M,"Vignette",'QA Log'!L:L,"*Vignette [9] Birth Spacing: Change FP method to Injectable*"),
COUNTIFS('QA Log'!D:D,A513,'QA Log'!M:M,"Vignette",'QA Log'!L:L,"*Vignette [10] Post Partum Haemorrhage - Atonic Uterus at Health Centre*"),
)
)</f>
        <v/>
      </c>
      <c r="BF513" s="102" t="str">
        <f>IF(A513="","",
  SUM(
    COUNTIFS('QA Log'!D:D,A513,'QA Log'!M:M,"Vignette",'QA Log'!Z:Z,"Approved",'QA Log'!L:L,"*Vignette [5] Labor*"),
    COUNTIFS('QA Log'!D:D,A513,'QA Log'!M:M,"Vignette",'QA Log'!Z:Z,"Approved",'QA Log'!L:L,"*Vignette [6] PNC pre Discharge*"),
    COUNTIFS('QA Log'!D:D,A513,'QA Log'!M:M,"Vignette",'QA Log'!Z:Z,"Approved",'QA Log'!L:L,"*Vignette [7] First ANC Visit*"),
    COUNTIFS('QA Log'!D:D,A513,'QA Log'!M:M,"Vignette",'QA Log'!Z:Z,"Approved",'QA Log'!L:L,"*Vignette [8] Birth Spacing/ Family Planning :  FP Counselling*"),
    COUNTIFS('QA Log'!D:D,A513,'QA Log'!M:M,"Vignette",'QA Log'!Z:Z,"Approved",'QA Log'!L:L,"*Vignette [9] Birth Spacing: Change FP method to Injectable*"),
    COUNTIFS('QA Log'!D:D,A513,'QA Log'!M:M,"Vignette",'QA Log'!Z:Z,"Approved",'QA Log'!L:L,"*Vignette [10] Post Partum Haemorrhage - Atonic Uterus at Health Centre*")
  )
)</f>
        <v/>
      </c>
      <c r="BG513" s="105" t="str">
        <f>IF(A513&lt;&gt;"",COUNTIFS('QA Log'!D:D,A513,'QA Log'!M:M,"Vignette",'QA Log'!L:L,"Vignette [5] Labor",'QA Log'!Z:Z,"Approved"),"")</f>
        <v/>
      </c>
      <c r="BH513" s="105" t="str">
        <f>IF(A513&lt;&gt;"",COUNTIFS('QA Log'!D:D,A513,'QA Log'!M:M,"Vignette",'QA Log'!L:L,"Vignette [6] PNC pre Discharge",'QA Log'!Z:Z,"Approved"),"")</f>
        <v/>
      </c>
      <c r="BI513" s="105" t="str">
        <f>IF(A513&lt;&gt;"",COUNTIFS('QA Log'!D:D,A513,'QA Log'!M:M,"Vignette",'QA Log'!L:L,"Vignette [7] First ANC Visit",'QA Log'!Z:Z,"Approved"),"")</f>
        <v/>
      </c>
      <c r="BJ513" s="105" t="str">
        <f>IF(A513&lt;&gt;"",COUNTIFS('QA Log'!D:D,A513,'QA Log'!M:M,"Vignette",'QA Log'!L:L,"Vignette [8] Birth Spacing/ Family Planning :  FP Counselling",'QA Log'!Z:Z,"Approved"),"")</f>
        <v/>
      </c>
      <c r="BK513" s="105" t="str">
        <f>IF(A513&lt;&gt;"",COUNTIFS('QA Log'!D:D,A513,'QA Log'!M:M,"Vignette",'QA Log'!L:L,"Vignette [9] Birth Spacing: Change FP method to Injectable",'QA Log'!Z:Z,"Approved"),"")</f>
        <v/>
      </c>
      <c r="BL513" s="105" t="str">
        <f>IF(A513&lt;&gt;"",COUNTIFS('QA Log'!D:D,A513,'QA Log'!M:M,"Vignette",'QA Log'!L:L,"Vignette [10] Post Partum Haemorrhage - Atonic Uterus at Health Centre",'QA Log'!Z:Z,"Approved"),"")</f>
        <v/>
      </c>
      <c r="BM513" s="102" t="str">
        <f>IF(A513="","",SUM(
    COUNTIFS('QA Log'!D:D,A513,'QA Log'!M:M,"Vignette",'QA Log'!Z:Z,"Rejected",'QA Log'!L:L,"*Vignette [5] Labor*"),
    COUNTIFS('QA Log'!D:D,A513,'QA Log'!M:M,"Vignette",'QA Log'!Z:Z,"Rejected",'QA Log'!L:L,"*Vignette [6] PNC pre Discharge*"),
    COUNTIFS('QA Log'!D:D,A513,'QA Log'!M:M,"Vignette",'QA Log'!Z:Z,"Rejected",'QA Log'!L:L,"*Vignette [7] First ANC Visit*"),
    COUNTIFS('QA Log'!D:D,A513,'QA Log'!M:M,"Vignette",'QA Log'!Z:Z,"Rejected",'QA Log'!L:L,"*Vignette [8] Birth Spacing/ Family Planning :  FP Counselling*"),
    COUNTIFS('QA Log'!D:D,A513,'QA Log'!M:M,"Vignette",'QA Log'!Z:Z,"Rejected",'QA Log'!L:L,"*Vignette [9] Birth Spacing: Change FP method to Injectable*"),
    COUNTIFS('QA Log'!D:D,A513,'QA Log'!M:M,"Vignette",'QA Log'!Z:Z,"Rejected",'QA Log'!L:L,"*Vignette [10] Post Partum Haemorrhage - Atonic Uterus at Health Centre*")
  )
)</f>
        <v/>
      </c>
      <c r="BN513" s="107" t="str">
        <f t="shared" ref="BN513:BN531" si="63">IF(A513&lt;&gt;"",BD513-BF513,"")</f>
        <v/>
      </c>
      <c r="BO513" s="103" t="str">
        <f t="shared" ref="BO513:BO531" si="64">IF(A513&lt;&gt;"",2,"")</f>
        <v/>
      </c>
      <c r="BP513" s="102" t="str">
        <f>IF(A513="","",SUM(
COUNTIFS('QA Log'!D:D,A513,'QA Log'!M:M,"Vignette",'QA Log'!L:L,"*Exit Interview 1*"),
COUNTIFS('QA Log'!D:D,A513,'QA Log'!M:M,"Vignette",'QA Log'!L:L,"*Exit Interview 2*"),
)
)</f>
        <v/>
      </c>
      <c r="BQ513" s="102" t="str">
        <f>IF(
  A513="","",
  SUM(
    COUNTIFS('QA Log'!D:D,A513,'QA Log'!M:M,"Vignette",'QA Log'!Z:Z,"Approved",'QA Log'!L:L,"*Exit Interview 1*"),
    COUNTIFS('QA Log'!D:D,A513,'QA Log'!M:M,"Vignette",'QA Log'!Z:Z,"Approved",'QA Log'!L:L,"*Exit Interview 2*")
  )
)</f>
        <v/>
      </c>
      <c r="BR513" s="105" t="str">
        <f>IF(A513&lt;&gt;"",COUNTIFS('QA Log'!D:D,A513,'QA Log'!M:M,"Vignette",'QA Log'!L:L,"Exit Interview 1",'QA Log'!Z:Z,"Approved"),"")</f>
        <v/>
      </c>
      <c r="BS513" s="105" t="str">
        <f>IF(A513&lt;&gt;"",COUNTIFS('QA Log'!D:D,A513,'QA Log'!M:M,"Vignette",'QA Log'!L:L,"Exit Interview 2",'QA Log'!Z:Z,"Approved"),"")</f>
        <v/>
      </c>
      <c r="BT513" s="102" t="str">
        <f>IF(
  A513="","",
  SUM(
    COUNTIFS('QA Log'!D:D,A513,'QA Log'!M:M,"Vignette",'QA Log'!Z:Z,"Rejected",'QA Log'!L:L,"*Exit Interview 1*"),
    COUNTIFS('QA Log'!D:D,A513,'QA Log'!M:M,"Vignette",'QA Log'!Z:Z,"Rejected",'QA Log'!L:L,"*Exit Interview 2*")
  )
)</f>
        <v/>
      </c>
      <c r="BU513" s="107" t="str">
        <f t="shared" ref="BU513:BU531" si="65">IF(A513&lt;&gt;"",BO513-BQ513,"")</f>
        <v/>
      </c>
      <c r="BV513" s="102" t="str">
        <f t="shared" ref="BV513:BV531" si="66">IF(A513&lt;&gt;"",SUM(BO513,BD513,AU513,AM513,AD513,T513,I513),"")</f>
        <v/>
      </c>
      <c r="BW513" s="102" t="str">
        <f t="shared" ref="BW513:BW531" si="67">IF(A513&lt;&gt;"",SUM(BP513,BE513,AV513,AN513,AE513,U513,J513),"")</f>
        <v/>
      </c>
      <c r="BX513" s="102" t="str">
        <f t="shared" ref="BX513:BX531" si="68">IF(A513&lt;&gt;"",SUM(BQ513,BF513,AW513,AO513,AF513,V513,K513),"")</f>
        <v/>
      </c>
      <c r="BY513" s="102" t="str">
        <f t="shared" ref="BY513:BY531" si="69">IF(A513&lt;&gt;"",SUM(BT513,BM513,BB513,AS513,AK513,AB513,R513),"")</f>
        <v/>
      </c>
      <c r="BZ513" s="107" t="str">
        <f t="shared" ref="BZ513:BZ531" si="70">IF(A513&lt;&gt;"",BV513-BX513,"")</f>
        <v/>
      </c>
      <c r="CA513" s="108" t="str">
        <f t="shared" ref="CA513:CA531" si="71">IF(
  A513="","",
  IF(
    OR(D513="RH",D513="PH",D513="SHC"),
    "Not Applicable",
    IF(AND(I513&lt;=J513,T513&lt;=U513),"Fully Received","Not Received")
  )
)</f>
        <v/>
      </c>
      <c r="CB513" s="108" t="str">
        <f t="shared" ref="CB513:CB531" si="72">IF(A513&lt;&gt;"", IF(OR(D513="DH",D513="CHC",D513="BHC"),"Not Applicable",IF(AND(AD513&lt;=AE513,AM513&lt;=AN513),"Fully Received","Not Received")),"")</f>
        <v/>
      </c>
      <c r="CC513" s="109" t="str">
        <f t="shared" ref="CC513:CC531" si="73">IF(A513&lt;&gt;"",IF(AND(AU513&lt;=AV513,BD513&lt;=BE513,BO513&lt;=BP513),"Fully Received","Not Received"),"")</f>
        <v/>
      </c>
      <c r="CD513" s="108" t="str">
        <f t="shared" ref="CD513:CD531" si="74">IF(
  A513="","",
  IF(
    OR(D513="RH",D513="PH",D513="SHC"),
    "Not Applicable",
    IF(AND(I513&lt;=K513,T513&lt;=V513),"Fully Received","Not Received")
  )
)</f>
        <v/>
      </c>
      <c r="CE513" s="108" t="str">
        <f t="shared" ref="CE513:CE531" si="75">IF(A513&lt;&gt;"",IF(OR(D513="DH",D513="CHC",D513="BHC"),"Not Applicable",IF(AND(AD513&lt;=AF513,AM513&lt;=AO513),"Fully Received","Not Received")),"")</f>
        <v/>
      </c>
      <c r="CF513" s="109" t="str">
        <f t="shared" ref="CF513:CF531" si="76">IF(A513&lt;&gt;"",IF(AND(AU513&lt;=AW513,BD513&lt;=BF513,BO513&lt;=BQ513),"Fully Received","Not Received"),"")</f>
        <v/>
      </c>
      <c r="CG513" s="110" t="str">
        <f t="shared" ref="CG513:CG531" si="77">IF(A513&lt;&gt;"",IF(AND(CD513="Fully Received", CE513="Fully Received", CF513="Fully Received"),"Completed Based on Data",IF(AND(CD513="Not Received", CE513="Not Received", CF513="Not Received"),"Not Completed Based on Data","Partially Completed")),"")</f>
        <v/>
      </c>
      <c r="CH513" s="111"/>
    </row>
    <row r="514" spans="1:86" ht="12.75">
      <c r="A514" s="101"/>
      <c r="B514" s="102" t="e">
        <f t="array" aca="1" ref="B514" ca="1">_xludf.XLOOKUP(A514,'QA Log'!D:D,'QA Log'!E:E,"")</f>
        <v>#NAME?</v>
      </c>
      <c r="C514" s="102" t="e">
        <f t="array" aca="1" ref="C514" ca="1">_xludf.XLOOKUP(A514,'QA Log'!D:D,'QA Log'!F:F,"")</f>
        <v>#NAME?</v>
      </c>
      <c r="D514" s="102" t="e">
        <f t="array" aca="1" ref="D514" ca="1">_xludf.XLOOKUP(A514,'QA Log'!D:D,'QA Log'!H:H,"")</f>
        <v>#NAME?</v>
      </c>
      <c r="E514" s="102" t="e">
        <f t="array" aca="1" ref="E514" ca="1">_xludf.XLOOKUP(A514,'QA Log'!D:D,'QA Log'!G:G,"")</f>
        <v>#NAME?</v>
      </c>
      <c r="F514" s="103"/>
      <c r="G514" s="104"/>
      <c r="H514" s="104"/>
      <c r="I514" s="103" t="str">
        <f t="shared" si="52"/>
        <v/>
      </c>
      <c r="J514" s="102" t="str">
        <f>IF(A514="","",SUM(
COUNTIFS('QA Log'!D:D,A514,'QA Log'!M:M,"QQC",'QA Log'!L:L,"*1. General Management*"),
COUNTIFS('QA Log'!D:D,A514,'QA Log'!M:M,"QQC",'QA Log'!L:L,"*3. Curative Consultation (OPD)*"),
COUNTIFS('QA Log'!D:D,A514,'QA Log'!M:M,"QQC",'QA Log'!L:L,"*5. Laboratory*"),
COUNTIFS('QA Log'!D:D,A514,'QA Log'!M:M,"QQC",'QA Log'!L:L,"*6. Essential Medicine Management*"),
COUNTIFS('QA Log'!D:D,A514,'QA Log'!M:M,"QQC",'QA Log'!L:L,"*7. Tracer Medicine*"),
COUNTIFS('QA Log'!D:D,A514,'QA Log'!M:M,"QQC",'QA Log'!L:L,"*11. Additional Questions*")))</f>
        <v/>
      </c>
      <c r="K514" s="102" t="str">
        <f>IF(A514="","",SUM(
COUNTIFS('QA Log'!D:D,A514,'QA Log'!M:M,"QQC",'QA Log'!Z:Z,"Approved",'QA Log'!L:L,"*1. General Management*"),
COUNTIFS('QA Log'!D:D,A514,'QA Log'!M:M,"QQC",'QA Log'!Z:Z,"Approved",'QA Log'!L:L,"*3. Curative Consultation (OPD)*"),
COUNTIFS('QA Log'!D:D,A514,'QA Log'!M:M,"QQC",'QA Log'!Z:Z,"Approved",'QA Log'!L:L,"*5. Laboratory*"),
COUNTIFS('QA Log'!D:D,A514,'QA Log'!M:M,"QQC",'QA Log'!Z:Z,"Approved",'QA Log'!L:L,"*6. Essential Medicine Management*"),
COUNTIFS('QA Log'!D:D,A514,'QA Log'!M:M,"QQC",'QA Log'!Z:Z,"Approved",'QA Log'!L:L,"*7. Tracer Medicine*"),
COUNTIFS('QA Log'!D:D,A514,'QA Log'!M:M,"QQC",'QA Log'!Z:Z,"Approved",'QA Log'!L:L,"*11. Additional Questions*")))</f>
        <v/>
      </c>
      <c r="L514" s="102" t="str">
        <f>IF(A514&lt;&gt;"",COUNTIFS('QA Log'!D:D,A514,'QA Log'!M:M,"QQC",'QA Log'!L:L,"1. General Management",'QA Log'!Z:Z,"Approved"),"")</f>
        <v/>
      </c>
      <c r="M514" s="102" t="str">
        <f>IF(A514&lt;&gt;"",COUNTIFS('QA Log'!D:D,A514,'QA Log'!M:M,"QQC",'QA Log'!L:L,"3. Curative Consultation (OPD)",'QA Log'!Z:Z,"Approved"),"")</f>
        <v/>
      </c>
      <c r="N514" s="102" t="str">
        <f>IF(A514&lt;&gt;"",COUNTIFS('QA Log'!D:D,A514,'QA Log'!M:M,"QQC",'QA Log'!L:L,"5. Laboratory",'QA Log'!Z:Z,"Approved"),"")</f>
        <v/>
      </c>
      <c r="O514" s="102" t="str">
        <f>IF(A514&lt;&gt;"",COUNTIFS('QA Log'!D:D,A514,'QA Log'!M:M,"QQC",'QA Log'!L:L,"6. Essential Medicine Management",'QA Log'!Z:Z,"Approved"),"")</f>
        <v/>
      </c>
      <c r="P514" s="102" t="str">
        <f>IF(A514&lt;&gt;"",COUNTIFS('QA Log'!D:D,A514,'QA Log'!M:M,"QQC",'QA Log'!L:L,"7. Tracer Medicine",'QA Log'!Z:Z,"Approved"),"")</f>
        <v/>
      </c>
      <c r="Q514" s="102" t="str">
        <f>IF(A514&lt;&gt;"",COUNTIFS('QA Log'!D:D,A514,'QA Log'!M:M,"QQC",'QA Log'!L:L,"11. Additional Questions",'QA Log'!Z:Z,"Approved"),"")</f>
        <v/>
      </c>
      <c r="R514" s="102" t="str">
        <f>IF(A514="","",SUM(
COUNTIFS('QA Log'!D:D,A514,'QA Log'!M:M,"QQC",'QA Log'!Z:Z,"Rejected",'QA Log'!L:L,"*8. Maternity*"),
COUNTIFS('QA Log'!D:D,A514,'QA Log'!M:M,"QQC",'QA Log'!Z:Z,"Rejected",'QA Log'!L:L,"*EPI*"),
COUNTIFS('QA Log'!D:D,A514,'QA Log'!M:M,"QQC",'QA Log'!Z:Z,"Rejected",'QA Log'!L:L,"*10. Antenatal Care (ANC)*"),
COUNTIFS('QA Log'!D:D,A514,'QA Log'!M:M,"QQC",'QA Log'!Z:Z,"Rejected",'QA Log'!L:L,"*2. Hygiene and Sterilization*"),
COUNTIFS('QA Log'!D:D,A514,'QA Log'!M:M,"QQC",'QA Log'!Z:Z,"Rejected",'QA Log'!L:L,"*Family Planning*")))</f>
        <v/>
      </c>
      <c r="S514" s="106" t="str">
        <f t="shared" si="53"/>
        <v/>
      </c>
      <c r="T514" s="102" t="str">
        <f t="shared" si="54"/>
        <v/>
      </c>
      <c r="U514" s="102" t="str">
        <f>IF(A514="","",
SUM(
COUNTIFS('QA Log'!D:D,A514,'QA Log'!M:M,"QQC",'QA Log'!L:L,"*8. Maternity*"),
COUNTIFS('QA Log'!D:D,A514,'QA Log'!M:M,"QQC",'QA Log'!L:L,"*9. EPI and Pre-school Consultation*"),
COUNTIFS('QA Log'!D:D,A514,'QA Log'!M:M,"QQC",'QA Log'!L:L,"*10. Antenatal Care (ANC)*"),
COUNTIFS('QA Log'!D:D,A514,'QA Log'!M:M,"QQC",'QA Log'!L:L,"*2. Hygiene and Sterilization*"),
COUNTIFS('QA Log'!D:D,A514,'QA Log'!M:M,"QQC",'QA Log'!L:L,"*4. Family Planning*")
))</f>
        <v/>
      </c>
      <c r="V514" s="102" t="str">
        <f>IF(A514="","",
SUM(
COUNTIFS('QA Log'!D:D,A514,'QA Log'!M:M,"QQC",'QA Log'!Z:Z,"Approved",'QA Log'!L:L,"*8. Maternity*"),
COUNTIFS('QA Log'!D:D,A514,'QA Log'!M:M,"QQC",'QA Log'!Z:Z,"Approved",'QA Log'!L:L,"*9. EPI and Pre-school Consultation*"),
COUNTIFS('QA Log'!D:D,A514,'QA Log'!M:M,"QQC",'QA Log'!Z:Z,"Approved",'QA Log'!L:L,"*10. Antenatal Care (ANC)*"),
COUNTIFS('QA Log'!D:D,A514,'QA Log'!M:M,"QQC",'QA Log'!Z:Z,"Approved",'QA Log'!L:L,"*2. Hygiene and Sterilization*"),
COUNTIFS('QA Log'!D:D,A514,'QA Log'!M:M,"QQC",'QA Log'!Z:Z,"Approved",'QA Log'!L:L,"*4. Family Planning*")
))</f>
        <v/>
      </c>
      <c r="W514" s="102" t="str">
        <f>IF(A514&lt;&gt;"",COUNTIFS('QA Log'!D:D,A514,'QA Log'!M:M,"QQC",'QA Log'!L:L,"8. Maternity",'QA Log'!Z:Z,"Approved"),"")</f>
        <v/>
      </c>
      <c r="X514" s="105" t="str">
        <f>IF(A514&lt;&gt;"",COUNTIFS('QA Log'!D:D,A514,'QA Log'!M:M,"QQC",'QA Log'!L:L,"9. EPI and Pre-school Consultation",'QA Log'!Z:Z,"Approved"),"")</f>
        <v/>
      </c>
      <c r="Y514" s="102" t="str">
        <f>IF(A514&lt;&gt;"",COUNTIFS('QA Log'!D:D,A514,'QA Log'!M:M,"QQC",'QA Log'!L:L,"10. Antenatal Care (ANC)",'QA Log'!Z:Z,"Approved"),"")</f>
        <v/>
      </c>
      <c r="Z514" s="102" t="str">
        <f>IF(A514&lt;&gt;"",COUNTIFS('QA Log'!D:D,A514,'QA Log'!M:M,"QQC",'QA Log'!L:L,"2. Hygiene and Sterilization",'QA Log'!Z:Z,"Approved"),"")</f>
        <v/>
      </c>
      <c r="AA514" s="105" t="str">
        <f>IF(A514&lt;&gt;"",COUNTIFS('QA Log'!D:D,A514,'QA Log'!M:M,"QQC",'QA Log'!L:L,"4. Family Planning",'QA Log'!Z:Z,"Approved"),"")</f>
        <v/>
      </c>
      <c r="AB514" s="102" t="str">
        <f>IF(A514="","",
SUM(
COUNTIFS('QA Log'!D:D,A514,'QA Log'!M:M,"QQC",'QA Log'!Z:Z,"Rejected",'QA Log'!L:L,"*8. Maternity*"),
COUNTIFS('QA Log'!D:D,A514,'QA Log'!M:M,"QQC",'QA Log'!Z:Z,"Rejected",'QA Log'!L:L,"*9. EPI and Pre-school Consultation*"),
COUNTIFS('QA Log'!D:D,A514,'QA Log'!M:M,"QQC",'QA Log'!Z:Z,"Rejected",'QA Log'!L:L,"*10. Antenatal Care (ANC)*"),
COUNTIFS('QA Log'!D:D,A514,'QA Log'!M:M,"QQC",'QA Log'!Z:Z,"Rejected",'QA Log'!L:L,"*2. Hygiene and Sterilization*"),
COUNTIFS('QA Log'!D:D,A514,'QA Log'!M:M,"QQC",'QA Log'!Z:Z,"Rejected",'QA Log'!L:L,"*4. Family Planning*")
))</f>
        <v/>
      </c>
      <c r="AC514" s="102" t="str">
        <f t="shared" si="55"/>
        <v/>
      </c>
      <c r="AD514" s="103" t="str">
        <f t="shared" si="56"/>
        <v/>
      </c>
      <c r="AE514" s="102" t="str">
        <f>IF(A514="","",
SUM(
COUNTIFS('QA Log'!D:D,A514,'QA Log'!M:M,"Data Verification",'QA Log'!L:L,"*Medicine (section 2)*"),
COUNTIFS('QA Log'!D:D,A514,'QA Log'!M:M,"Data Verification",'QA Log'!L:L,"*Lab Testing Availability*"),
COUNTIFS('QA Log'!D:D,A514,'QA Log'!M:M,"Data Verification",'QA Log'!L:L,"*Other than P4P (section 6)*"),
COUNTIFS('QA Log'!D:D,A514,'QA Log'!M:M,"Data Verification",'QA Log'!L:L,"*Hospital Governance*")
))</f>
        <v/>
      </c>
      <c r="AF514" s="102" t="str">
        <f>IF(A514="","",
SUM(
COUNTIFS('QA Log'!D:D,A514,'QA Log'!M:M,"Data Verification",'QA Log'!Z:Z,"Approved",'QA Log'!L:L,"*Medicine (section 2)*"),
COUNTIFS('QA Log'!D:D,A514,'QA Log'!M:M,"Data Verification",'QA Log'!Z:Z,"Approved",'QA Log'!L:L,"*Lab Testing Availability*"),
COUNTIFS('QA Log'!D:D,A514,'QA Log'!M:M,"Data Verification",'QA Log'!Z:Z,"Approved",'QA Log'!L:L,"*Other than P4P (section 6)*"),
COUNTIFS('QA Log'!D:D,A514,'QA Log'!M:M,"Data Verification",'QA Log'!Z:Z,"Approved",'QA Log'!L:L,"*Hospital Governance*")
))</f>
        <v/>
      </c>
      <c r="AG514" s="105" t="str">
        <f>IF(A514&lt;&gt;"",COUNTIFS('QA Log'!D:D,A514,'QA Log'!M:M,"Data Verification",'QA Log'!L:L,"Medicine (section 2)",'QA Log'!Z:Z,"Approved"),"")</f>
        <v/>
      </c>
      <c r="AH514" s="105" t="str">
        <f>IF(A514&lt;&gt;"",COUNTIFS('QA Log'!D:D,A514,'QA Log'!M:M,"Data Verification",'QA Log'!L:L,"Lab Testing Availability",'QA Log'!Z:Z,"Approved"),"")</f>
        <v/>
      </c>
      <c r="AI514" s="105" t="str">
        <f>IF(A514&lt;&gt;"",COUNTIFS('QA Log'!D:D,A514,'QA Log'!M:M,"Data Verification",'QA Log'!L:L,"Other than P4P (section 6)",'QA Log'!Z:Z,"Approved"),"")</f>
        <v/>
      </c>
      <c r="AJ514" s="105" t="str">
        <f>IF(A514&lt;&gt;"",COUNTIFS('QA Log'!D:D,A514,'QA Log'!M:M,"Data Verification",'QA Log'!L:L,"Hospital Governance",'QA Log'!Z:Z,"Approved"),"")</f>
        <v/>
      </c>
      <c r="AK514" s="102" t="str">
        <f>IF(A514="","",
SUM(
COUNTIFS('QA Log'!D:D,A514,'QA Log'!M:M,"Data Verification",'QA Log'!Z:Z,"Rejected",'QA Log'!L:L,"*Medicine (section 2)*"),
COUNTIFS('QA Log'!D:D,A514,'QA Log'!M:M,"Data Verification",'QA Log'!Z:Z,"Rejected",'QA Log'!L:L,"*Lab Testing Availability*"),
COUNTIFS('QA Log'!D:D,A514,'QA Log'!M:M,"Data Verification",'QA Log'!Z:Z,"Rejected",'QA Log'!L:L,"*Other than P4P (section 6)*"),
COUNTIFS('QA Log'!D:D,A514,'QA Log'!M:M,"Data Verification",'QA Log'!Z:Z,"Rejected",'QA Log'!L:L,"*Hospital Governance*")
))</f>
        <v/>
      </c>
      <c r="AL514" s="106" t="str">
        <f t="shared" si="57"/>
        <v/>
      </c>
      <c r="AM514" s="102" t="str">
        <f t="shared" si="58"/>
        <v/>
      </c>
      <c r="AN514" s="102" t="str">
        <f>IF(A514="","",
SUM(
COUNTIFS('QA Log'!D:D,A514,'QA Log'!M:M,"Data Verification",'QA Log'!L:L,"*Personnel (section 1)*"),
COUNTIFS('QA Log'!D:D,A514,'QA Log'!M:M,"Data Verification",'QA Log'!L:L,"*Consumable (section 3)*"),
COUNTIFS('QA Log'!D:D,A514,'QA Log'!M:M,"Data Verification",'QA Log'!L:L,"*Equipments (section 4)*")
))</f>
        <v/>
      </c>
      <c r="AO514" s="102" t="str">
        <f>IF(A514="","",
SUM(
COUNTIFS('QA Log'!D:D,A514,'QA Log'!M:M,"Data Verification",'QA Log'!Z:Z,"Approved",'QA Log'!L:L,"*Personnel (section 1)*"),
COUNTIFS('QA Log'!D:D,A514,'QA Log'!M:M,"Data Verification",'QA Log'!Z:Z,"Approved",'QA Log'!L:L,"*Consumable (section 3)*"),
COUNTIFS('QA Log'!D:D,A514,'QA Log'!M:M,"Data Verification",'QA Log'!Z:Z,"Approved",'QA Log'!L:L,"*Equipments (section 4)*")
))</f>
        <v/>
      </c>
      <c r="AP514" s="105" t="str">
        <f>IF(A514&lt;&gt;"",COUNTIFS('QA Log'!D:D,A514,'QA Log'!M:M,"Data Verification",'QA Log'!L:L,"Personnel (section 1)",'QA Log'!Z:Z,"Approved"),"")</f>
        <v/>
      </c>
      <c r="AQ514" s="105" t="str">
        <f>IF(A514&lt;&gt;"",COUNTIFS('QA Log'!D:D,A514,'QA Log'!M:M,"Data Verification",'QA Log'!L:L,"Consumable (section 3)",'QA Log'!Z:Z,"Approved"),"")</f>
        <v/>
      </c>
      <c r="AR514" s="105" t="str">
        <f>IF(A514&lt;&gt;"",COUNTIFS('QA Log'!D:D,A514,'QA Log'!M:M,"Data Verification",'QA Log'!L:L,"Equipments (section 4)",'QA Log'!Z:Z,"Approved"),"")</f>
        <v/>
      </c>
      <c r="AS514" s="102" t="str">
        <f>IF(A514="","",
SUM(
COUNTIFS('QA Log'!D:D,A514,'QA Log'!M:M,"Data Verification",'QA Log'!Z:Z,"Rejected",'QA Log'!L:L,"*Personnel (section 1)*"),
COUNTIFS('QA Log'!D:D,A514,'QA Log'!M:M,"Data Verification",'QA Log'!Z:Z,"Rejected",'QA Log'!L:L,"*Consumable (section 3)*"),
COUNTIFS('QA Log'!D:D,A514,'QA Log'!M:M,"Data Verification",'QA Log'!Z:Z,"Rejected",'QA Log'!L:L,"*Equipments (section 4)*")
))</f>
        <v/>
      </c>
      <c r="AT514" s="102" t="str">
        <f t="shared" si="59"/>
        <v/>
      </c>
      <c r="AU514" s="103" t="str">
        <f t="shared" si="60"/>
        <v/>
      </c>
      <c r="AV514" s="102" t="str">
        <f>IF(A514="","",SUM(
COUNTIFS('QA Log'!D:D,A514,'QA Log'!M:M,"Vignette",'QA Log'!L:L,"*Vignette [1] Respiratory Infection: Pneumonia*"),
COUNTIFS('QA Log'!D:D,A514,'QA Log'!M:M,"Vignette",'QA Log'!L:L,"*Vignette [2]: Diarrhea with Cat B dehydration*"),
COUNTIFS('QA Log'!D:D,A514,'QA Log'!M:M,"Vignette",'QA Log'!L:L,"*Vignette [3] Growth Monitoring and Promotion*"),
COUNTIFS('QA Log'!D:D,A514,'QA Log'!M:M,"Vignette",'QA Log'!L:L,"*Vignette [4]: The management of presumptive TB patient*")
)
)</f>
        <v/>
      </c>
      <c r="AW514" s="102" t="str">
        <f>IF(
  A514="","",
  SUM(
    COUNTIFS('QA Log'!D:D,A514,'QA Log'!M:M,"Vignette",'QA Log'!Z:Z,"Approved",'QA Log'!L:L,"*Vignette [1] Respiratory Infection: Pneumonia*"),
    COUNTIFS('QA Log'!D:D,A514,'QA Log'!M:M,"Vignette",'QA Log'!Z:Z,"Approved",'QA Log'!L:L,"*Vignette [2]: Diarrhea with Cat B dehydration*"),
    COUNTIFS('QA Log'!D:D,A514,'QA Log'!M:M,"Vignette",'QA Log'!Z:Z,"Approved",'QA Log'!L:L,"*Vignette [3] Growth Monitoring and Promotion*"),
    COUNTIFS('QA Log'!D:D,A514,'QA Log'!M:M,"Vignette",'QA Log'!Z:Z,"Approved",'QA Log'!L:L,"*Vignette [4]: The management of presumptive TB patient*")
  )
)</f>
        <v/>
      </c>
      <c r="AX514" s="105" t="str">
        <f>IF(A514&lt;&gt;"",COUNTIFS('QA Log'!D:D,A514,'QA Log'!M:M,"Vignette",'QA Log'!L:L,"Vignette [1] Respiratory Infection: Pneumonia",'QA Log'!Z:Z,"Approved"),"")</f>
        <v/>
      </c>
      <c r="AY514" s="105" t="str">
        <f>IF(A514&lt;&gt;"",COUNTIFS('QA Log'!D:D,A514,'QA Log'!M:M,"Vignette",'QA Log'!L:L,"Vignette [2]: Diarrhea with Cat B dehydration",'QA Log'!Z:Z,"Approved"),"")</f>
        <v/>
      </c>
      <c r="AZ514" s="105" t="str">
        <f>IF(A514&lt;&gt;"",COUNTIFS('QA Log'!D:D,A514,'QA Log'!M:M,"Vignette",'QA Log'!L:L,"Vignette [3] Growth Monitoring and Promotion",'QA Log'!Z:Z,"Approved"),"")</f>
        <v/>
      </c>
      <c r="BA514" s="105" t="str">
        <f>IF(A514&lt;&gt;"",COUNTIFS('QA Log'!D:D,A514,'QA Log'!M:M,"Vignette",'QA Log'!L:L,"Vignette [4]: The management of presumptive TB patient",'QA Log'!Z:Z,"Approved"),"")</f>
        <v/>
      </c>
      <c r="BB514" s="102" t="str">
        <f>IF(A514="","",
  SUM(
    COUNTIFS('QA Log'!D:D,A514,'QA Log'!M:M,"Vignette",'QA Log'!Z:Z,"Rejected",'QA Log'!L:L,"*Vignette [1] Respiratory Infection: Pneumonia*"),
    COUNTIFS('QA Log'!D:D,A514,'QA Log'!M:M,"Vignette",'QA Log'!Z:Z,"Rejected",'QA Log'!L:L,"*Vignette [2]: Diarrhea with Cat B dehydration*"),
    COUNTIFS('QA Log'!D:D,A514,'QA Log'!M:M,"Vignette",'QA Log'!Z:Z,"Rejected",'QA Log'!L:L,"*Vignette [3] Growth Monitoring and Promotion*"),
    COUNTIFS('QA Log'!D:D,A514,'QA Log'!M:M,"Vignette",'QA Log'!Z:Z,"Rejected",'QA Log'!L:L,"*Vignette [4]: The management of presumptive TB patient*")
  )
)</f>
        <v/>
      </c>
      <c r="BC514" s="107" t="str">
        <f t="shared" si="61"/>
        <v/>
      </c>
      <c r="BD514" s="103" t="str">
        <f t="shared" si="62"/>
        <v/>
      </c>
      <c r="BE514" s="102" t="str">
        <f>IF(A514="","",SUM(
COUNTIFS('QA Log'!D:D,A514,'QA Log'!M:M,"Vignette",'QA Log'!L:L,"*Vignette [5] Labor*"),
COUNTIFS('QA Log'!D:D,A514,'QA Log'!M:M,"Vignette",'QA Log'!L:L,"*Vignette [6] PNC pre Discharge*"),
COUNTIFS('QA Log'!D:D,A514,'QA Log'!M:M,"Vignette",'QA Log'!L:L,"*Vignette [7] First ANC Visit*"),
COUNTIFS('QA Log'!D:D,A514,'QA Log'!M:M,"Vignette",'QA Log'!L:L,"*Vignette [8] Birth Spacing/ Family Planning :  FP Counselling*"),
COUNTIFS('QA Log'!D:D,A514,'QA Log'!M:M,"Vignette",'QA Log'!L:L,"*Vignette [9] Birth Spacing: Change FP method to Injectable*"),
COUNTIFS('QA Log'!D:D,A514,'QA Log'!M:M,"Vignette",'QA Log'!L:L,"*Vignette [10] Post Partum Haemorrhage - Atonic Uterus at Health Centre*"),
)
)</f>
        <v/>
      </c>
      <c r="BF514" s="102" t="str">
        <f>IF(A514="","",
  SUM(
    COUNTIFS('QA Log'!D:D,A514,'QA Log'!M:M,"Vignette",'QA Log'!Z:Z,"Approved",'QA Log'!L:L,"*Vignette [5] Labor*"),
    COUNTIFS('QA Log'!D:D,A514,'QA Log'!M:M,"Vignette",'QA Log'!Z:Z,"Approved",'QA Log'!L:L,"*Vignette [6] PNC pre Discharge*"),
    COUNTIFS('QA Log'!D:D,A514,'QA Log'!M:M,"Vignette",'QA Log'!Z:Z,"Approved",'QA Log'!L:L,"*Vignette [7] First ANC Visit*"),
    COUNTIFS('QA Log'!D:D,A514,'QA Log'!M:M,"Vignette",'QA Log'!Z:Z,"Approved",'QA Log'!L:L,"*Vignette [8] Birth Spacing/ Family Planning :  FP Counselling*"),
    COUNTIFS('QA Log'!D:D,A514,'QA Log'!M:M,"Vignette",'QA Log'!Z:Z,"Approved",'QA Log'!L:L,"*Vignette [9] Birth Spacing: Change FP method to Injectable*"),
    COUNTIFS('QA Log'!D:D,A514,'QA Log'!M:M,"Vignette",'QA Log'!Z:Z,"Approved",'QA Log'!L:L,"*Vignette [10] Post Partum Haemorrhage - Atonic Uterus at Health Centre*")
  )
)</f>
        <v/>
      </c>
      <c r="BG514" s="105" t="str">
        <f>IF(A514&lt;&gt;"",COUNTIFS('QA Log'!D:D,A514,'QA Log'!M:M,"Vignette",'QA Log'!L:L,"Vignette [5] Labor",'QA Log'!Z:Z,"Approved"),"")</f>
        <v/>
      </c>
      <c r="BH514" s="105" t="str">
        <f>IF(A514&lt;&gt;"",COUNTIFS('QA Log'!D:D,A514,'QA Log'!M:M,"Vignette",'QA Log'!L:L,"Vignette [6] PNC pre Discharge",'QA Log'!Z:Z,"Approved"),"")</f>
        <v/>
      </c>
      <c r="BI514" s="105" t="str">
        <f>IF(A514&lt;&gt;"",COUNTIFS('QA Log'!D:D,A514,'QA Log'!M:M,"Vignette",'QA Log'!L:L,"Vignette [7] First ANC Visit",'QA Log'!Z:Z,"Approved"),"")</f>
        <v/>
      </c>
      <c r="BJ514" s="105" t="str">
        <f>IF(A514&lt;&gt;"",COUNTIFS('QA Log'!D:D,A514,'QA Log'!M:M,"Vignette",'QA Log'!L:L,"Vignette [8] Birth Spacing/ Family Planning :  FP Counselling",'QA Log'!Z:Z,"Approved"),"")</f>
        <v/>
      </c>
      <c r="BK514" s="105" t="str">
        <f>IF(A514&lt;&gt;"",COUNTIFS('QA Log'!D:D,A514,'QA Log'!M:M,"Vignette",'QA Log'!L:L,"Vignette [9] Birth Spacing: Change FP method to Injectable",'QA Log'!Z:Z,"Approved"),"")</f>
        <v/>
      </c>
      <c r="BL514" s="105" t="str">
        <f>IF(A514&lt;&gt;"",COUNTIFS('QA Log'!D:D,A514,'QA Log'!M:M,"Vignette",'QA Log'!L:L,"Vignette [10] Post Partum Haemorrhage - Atonic Uterus at Health Centre",'QA Log'!Z:Z,"Approved"),"")</f>
        <v/>
      </c>
      <c r="BM514" s="102" t="str">
        <f>IF(A514="","",SUM(
    COUNTIFS('QA Log'!D:D,A514,'QA Log'!M:M,"Vignette",'QA Log'!Z:Z,"Rejected",'QA Log'!L:L,"*Vignette [5] Labor*"),
    COUNTIFS('QA Log'!D:D,A514,'QA Log'!M:M,"Vignette",'QA Log'!Z:Z,"Rejected",'QA Log'!L:L,"*Vignette [6] PNC pre Discharge*"),
    COUNTIFS('QA Log'!D:D,A514,'QA Log'!M:M,"Vignette",'QA Log'!Z:Z,"Rejected",'QA Log'!L:L,"*Vignette [7] First ANC Visit*"),
    COUNTIFS('QA Log'!D:D,A514,'QA Log'!M:M,"Vignette",'QA Log'!Z:Z,"Rejected",'QA Log'!L:L,"*Vignette [8] Birth Spacing/ Family Planning :  FP Counselling*"),
    COUNTIFS('QA Log'!D:D,A514,'QA Log'!M:M,"Vignette",'QA Log'!Z:Z,"Rejected",'QA Log'!L:L,"*Vignette [9] Birth Spacing: Change FP method to Injectable*"),
    COUNTIFS('QA Log'!D:D,A514,'QA Log'!M:M,"Vignette",'QA Log'!Z:Z,"Rejected",'QA Log'!L:L,"*Vignette [10] Post Partum Haemorrhage - Atonic Uterus at Health Centre*")
  )
)</f>
        <v/>
      </c>
      <c r="BN514" s="107" t="str">
        <f t="shared" si="63"/>
        <v/>
      </c>
      <c r="BO514" s="103" t="str">
        <f t="shared" si="64"/>
        <v/>
      </c>
      <c r="BP514" s="102" t="str">
        <f>IF(A514="","",SUM(
COUNTIFS('QA Log'!D:D,A514,'QA Log'!M:M,"Vignette",'QA Log'!L:L,"*Exit Interview 1*"),
COUNTIFS('QA Log'!D:D,A514,'QA Log'!M:M,"Vignette",'QA Log'!L:L,"*Exit Interview 2*"),
)
)</f>
        <v/>
      </c>
      <c r="BQ514" s="102" t="str">
        <f>IF(
  A514="","",
  SUM(
    COUNTIFS('QA Log'!D:D,A514,'QA Log'!M:M,"Vignette",'QA Log'!Z:Z,"Approved",'QA Log'!L:L,"*Exit Interview 1*"),
    COUNTIFS('QA Log'!D:D,A514,'QA Log'!M:M,"Vignette",'QA Log'!Z:Z,"Approved",'QA Log'!L:L,"*Exit Interview 2*")
  )
)</f>
        <v/>
      </c>
      <c r="BR514" s="105" t="str">
        <f>IF(A514&lt;&gt;"",COUNTIFS('QA Log'!D:D,A514,'QA Log'!M:M,"Vignette",'QA Log'!L:L,"Exit Interview 1",'QA Log'!Z:Z,"Approved"),"")</f>
        <v/>
      </c>
      <c r="BS514" s="105" t="str">
        <f>IF(A514&lt;&gt;"",COUNTIFS('QA Log'!D:D,A514,'QA Log'!M:M,"Vignette",'QA Log'!L:L,"Exit Interview 2",'QA Log'!Z:Z,"Approved"),"")</f>
        <v/>
      </c>
      <c r="BT514" s="102" t="str">
        <f>IF(
  A514="","",
  SUM(
    COUNTIFS('QA Log'!D:D,A514,'QA Log'!M:M,"Vignette",'QA Log'!Z:Z,"Rejected",'QA Log'!L:L,"*Exit Interview 1*"),
    COUNTIFS('QA Log'!D:D,A514,'QA Log'!M:M,"Vignette",'QA Log'!Z:Z,"Rejected",'QA Log'!L:L,"*Exit Interview 2*")
  )
)</f>
        <v/>
      </c>
      <c r="BU514" s="107" t="str">
        <f t="shared" si="65"/>
        <v/>
      </c>
      <c r="BV514" s="102" t="str">
        <f t="shared" si="66"/>
        <v/>
      </c>
      <c r="BW514" s="102" t="str">
        <f t="shared" si="67"/>
        <v/>
      </c>
      <c r="BX514" s="102" t="str">
        <f t="shared" si="68"/>
        <v/>
      </c>
      <c r="BY514" s="102" t="str">
        <f t="shared" si="69"/>
        <v/>
      </c>
      <c r="BZ514" s="107" t="str">
        <f t="shared" si="70"/>
        <v/>
      </c>
      <c r="CA514" s="108" t="str">
        <f t="shared" si="71"/>
        <v/>
      </c>
      <c r="CB514" s="108" t="str">
        <f t="shared" si="72"/>
        <v/>
      </c>
      <c r="CC514" s="109" t="str">
        <f t="shared" si="73"/>
        <v/>
      </c>
      <c r="CD514" s="108" t="str">
        <f t="shared" si="74"/>
        <v/>
      </c>
      <c r="CE514" s="108" t="str">
        <f t="shared" si="75"/>
        <v/>
      </c>
      <c r="CF514" s="109" t="str">
        <f t="shared" si="76"/>
        <v/>
      </c>
      <c r="CG514" s="110" t="str">
        <f t="shared" si="77"/>
        <v/>
      </c>
      <c r="CH514" s="111"/>
    </row>
    <row r="515" spans="1:86" ht="12.75">
      <c r="A515" s="101"/>
      <c r="B515" s="102" t="e">
        <f t="array" aca="1" ref="B515" ca="1">_xludf.XLOOKUP(A515,'QA Log'!D:D,'QA Log'!E:E,"")</f>
        <v>#NAME?</v>
      </c>
      <c r="C515" s="102" t="e">
        <f t="array" aca="1" ref="C515" ca="1">_xludf.XLOOKUP(A515,'QA Log'!D:D,'QA Log'!F:F,"")</f>
        <v>#NAME?</v>
      </c>
      <c r="D515" s="102" t="e">
        <f t="array" aca="1" ref="D515" ca="1">_xludf.XLOOKUP(A515,'QA Log'!D:D,'QA Log'!H:H,"")</f>
        <v>#NAME?</v>
      </c>
      <c r="E515" s="102" t="e">
        <f t="array" aca="1" ref="E515" ca="1">_xludf.XLOOKUP(A515,'QA Log'!D:D,'QA Log'!G:G,"")</f>
        <v>#NAME?</v>
      </c>
      <c r="F515" s="103"/>
      <c r="G515" s="104"/>
      <c r="H515" s="104"/>
      <c r="I515" s="103" t="str">
        <f t="shared" si="52"/>
        <v/>
      </c>
      <c r="J515" s="102" t="str">
        <f>IF(A515="","",SUM(
COUNTIFS('QA Log'!D:D,A515,'QA Log'!M:M,"QQC",'QA Log'!L:L,"*1. General Management*"),
COUNTIFS('QA Log'!D:D,A515,'QA Log'!M:M,"QQC",'QA Log'!L:L,"*3. Curative Consultation (OPD)*"),
COUNTIFS('QA Log'!D:D,A515,'QA Log'!M:M,"QQC",'QA Log'!L:L,"*5. Laboratory*"),
COUNTIFS('QA Log'!D:D,A515,'QA Log'!M:M,"QQC",'QA Log'!L:L,"*6. Essential Medicine Management*"),
COUNTIFS('QA Log'!D:D,A515,'QA Log'!M:M,"QQC",'QA Log'!L:L,"*7. Tracer Medicine*"),
COUNTIFS('QA Log'!D:D,A515,'QA Log'!M:M,"QQC",'QA Log'!L:L,"*11. Additional Questions*")))</f>
        <v/>
      </c>
      <c r="K515" s="102" t="str">
        <f>IF(A515="","",SUM(
COUNTIFS('QA Log'!D:D,A515,'QA Log'!M:M,"QQC",'QA Log'!Z:Z,"Approved",'QA Log'!L:L,"*1. General Management*"),
COUNTIFS('QA Log'!D:D,A515,'QA Log'!M:M,"QQC",'QA Log'!Z:Z,"Approved",'QA Log'!L:L,"*3. Curative Consultation (OPD)*"),
COUNTIFS('QA Log'!D:D,A515,'QA Log'!M:M,"QQC",'QA Log'!Z:Z,"Approved",'QA Log'!L:L,"*5. Laboratory*"),
COUNTIFS('QA Log'!D:D,A515,'QA Log'!M:M,"QQC",'QA Log'!Z:Z,"Approved",'QA Log'!L:L,"*6. Essential Medicine Management*"),
COUNTIFS('QA Log'!D:D,A515,'QA Log'!M:M,"QQC",'QA Log'!Z:Z,"Approved",'QA Log'!L:L,"*7. Tracer Medicine*"),
COUNTIFS('QA Log'!D:D,A515,'QA Log'!M:M,"QQC",'QA Log'!Z:Z,"Approved",'QA Log'!L:L,"*11. Additional Questions*")))</f>
        <v/>
      </c>
      <c r="L515" s="102" t="str">
        <f>IF(A515&lt;&gt;"",COUNTIFS('QA Log'!D:D,A515,'QA Log'!M:M,"QQC",'QA Log'!L:L,"1. General Management",'QA Log'!Z:Z,"Approved"),"")</f>
        <v/>
      </c>
      <c r="M515" s="102" t="str">
        <f>IF(A515&lt;&gt;"",COUNTIFS('QA Log'!D:D,A515,'QA Log'!M:M,"QQC",'QA Log'!L:L,"3. Curative Consultation (OPD)",'QA Log'!Z:Z,"Approved"),"")</f>
        <v/>
      </c>
      <c r="N515" s="102" t="str">
        <f>IF(A515&lt;&gt;"",COUNTIFS('QA Log'!D:D,A515,'QA Log'!M:M,"QQC",'QA Log'!L:L,"5. Laboratory",'QA Log'!Z:Z,"Approved"),"")</f>
        <v/>
      </c>
      <c r="O515" s="102" t="str">
        <f>IF(A515&lt;&gt;"",COUNTIFS('QA Log'!D:D,A515,'QA Log'!M:M,"QQC",'QA Log'!L:L,"6. Essential Medicine Management",'QA Log'!Z:Z,"Approved"),"")</f>
        <v/>
      </c>
      <c r="P515" s="102" t="str">
        <f>IF(A515&lt;&gt;"",COUNTIFS('QA Log'!D:D,A515,'QA Log'!M:M,"QQC",'QA Log'!L:L,"7. Tracer Medicine",'QA Log'!Z:Z,"Approved"),"")</f>
        <v/>
      </c>
      <c r="Q515" s="102" t="str">
        <f>IF(A515&lt;&gt;"",COUNTIFS('QA Log'!D:D,A515,'QA Log'!M:M,"QQC",'QA Log'!L:L,"11. Additional Questions",'QA Log'!Z:Z,"Approved"),"")</f>
        <v/>
      </c>
      <c r="R515" s="102" t="str">
        <f>IF(A515="","",SUM(
COUNTIFS('QA Log'!D:D,A515,'QA Log'!M:M,"QQC",'QA Log'!Z:Z,"Rejected",'QA Log'!L:L,"*8. Maternity*"),
COUNTIFS('QA Log'!D:D,A515,'QA Log'!M:M,"QQC",'QA Log'!Z:Z,"Rejected",'QA Log'!L:L,"*EPI*"),
COUNTIFS('QA Log'!D:D,A515,'QA Log'!M:M,"QQC",'QA Log'!Z:Z,"Rejected",'QA Log'!L:L,"*10. Antenatal Care (ANC)*"),
COUNTIFS('QA Log'!D:D,A515,'QA Log'!M:M,"QQC",'QA Log'!Z:Z,"Rejected",'QA Log'!L:L,"*2. Hygiene and Sterilization*"),
COUNTIFS('QA Log'!D:D,A515,'QA Log'!M:M,"QQC",'QA Log'!Z:Z,"Rejected",'QA Log'!L:L,"*Family Planning*")))</f>
        <v/>
      </c>
      <c r="S515" s="106" t="str">
        <f t="shared" si="53"/>
        <v/>
      </c>
      <c r="T515" s="102" t="str">
        <f t="shared" si="54"/>
        <v/>
      </c>
      <c r="U515" s="102" t="str">
        <f>IF(A515="","",
SUM(
COUNTIFS('QA Log'!D:D,A515,'QA Log'!M:M,"QQC",'QA Log'!L:L,"*8. Maternity*"),
COUNTIFS('QA Log'!D:D,A515,'QA Log'!M:M,"QQC",'QA Log'!L:L,"*9. EPI and Pre-school Consultation*"),
COUNTIFS('QA Log'!D:D,A515,'QA Log'!M:M,"QQC",'QA Log'!L:L,"*10. Antenatal Care (ANC)*"),
COUNTIFS('QA Log'!D:D,A515,'QA Log'!M:M,"QQC",'QA Log'!L:L,"*2. Hygiene and Sterilization*"),
COUNTIFS('QA Log'!D:D,A515,'QA Log'!M:M,"QQC",'QA Log'!L:L,"*4. Family Planning*")
))</f>
        <v/>
      </c>
      <c r="V515" s="102" t="str">
        <f>IF(A515="","",
SUM(
COUNTIFS('QA Log'!D:D,A515,'QA Log'!M:M,"QQC",'QA Log'!Z:Z,"Approved",'QA Log'!L:L,"*8. Maternity*"),
COUNTIFS('QA Log'!D:D,A515,'QA Log'!M:M,"QQC",'QA Log'!Z:Z,"Approved",'QA Log'!L:L,"*9. EPI and Pre-school Consultation*"),
COUNTIFS('QA Log'!D:D,A515,'QA Log'!M:M,"QQC",'QA Log'!Z:Z,"Approved",'QA Log'!L:L,"*10. Antenatal Care (ANC)*"),
COUNTIFS('QA Log'!D:D,A515,'QA Log'!M:M,"QQC",'QA Log'!Z:Z,"Approved",'QA Log'!L:L,"*2. Hygiene and Sterilization*"),
COUNTIFS('QA Log'!D:D,A515,'QA Log'!M:M,"QQC",'QA Log'!Z:Z,"Approved",'QA Log'!L:L,"*4. Family Planning*")
))</f>
        <v/>
      </c>
      <c r="W515" s="102" t="str">
        <f>IF(A515&lt;&gt;"",COUNTIFS('QA Log'!D:D,A515,'QA Log'!M:M,"QQC",'QA Log'!L:L,"8. Maternity",'QA Log'!Z:Z,"Approved"),"")</f>
        <v/>
      </c>
      <c r="X515" s="105" t="str">
        <f>IF(A515&lt;&gt;"",COUNTIFS('QA Log'!D:D,A515,'QA Log'!M:M,"QQC",'QA Log'!L:L,"9. EPI and Pre-school Consultation",'QA Log'!Z:Z,"Approved"),"")</f>
        <v/>
      </c>
      <c r="Y515" s="102" t="str">
        <f>IF(A515&lt;&gt;"",COUNTIFS('QA Log'!D:D,A515,'QA Log'!M:M,"QQC",'QA Log'!L:L,"10. Antenatal Care (ANC)",'QA Log'!Z:Z,"Approved"),"")</f>
        <v/>
      </c>
      <c r="Z515" s="102" t="str">
        <f>IF(A515&lt;&gt;"",COUNTIFS('QA Log'!D:D,A515,'QA Log'!M:M,"QQC",'QA Log'!L:L,"2. Hygiene and Sterilization",'QA Log'!Z:Z,"Approved"),"")</f>
        <v/>
      </c>
      <c r="AA515" s="105" t="str">
        <f>IF(A515&lt;&gt;"",COUNTIFS('QA Log'!D:D,A515,'QA Log'!M:M,"QQC",'QA Log'!L:L,"4. Family Planning",'QA Log'!Z:Z,"Approved"),"")</f>
        <v/>
      </c>
      <c r="AB515" s="102" t="str">
        <f>IF(A515="","",
SUM(
COUNTIFS('QA Log'!D:D,A515,'QA Log'!M:M,"QQC",'QA Log'!Z:Z,"Rejected",'QA Log'!L:L,"*8. Maternity*"),
COUNTIFS('QA Log'!D:D,A515,'QA Log'!M:M,"QQC",'QA Log'!Z:Z,"Rejected",'QA Log'!L:L,"*9. EPI and Pre-school Consultation*"),
COUNTIFS('QA Log'!D:D,A515,'QA Log'!M:M,"QQC",'QA Log'!Z:Z,"Rejected",'QA Log'!L:L,"*10. Antenatal Care (ANC)*"),
COUNTIFS('QA Log'!D:D,A515,'QA Log'!M:M,"QQC",'QA Log'!Z:Z,"Rejected",'QA Log'!L:L,"*2. Hygiene and Sterilization*"),
COUNTIFS('QA Log'!D:D,A515,'QA Log'!M:M,"QQC",'QA Log'!Z:Z,"Rejected",'QA Log'!L:L,"*4. Family Planning*")
))</f>
        <v/>
      </c>
      <c r="AC515" s="102" t="str">
        <f t="shared" si="55"/>
        <v/>
      </c>
      <c r="AD515" s="103" t="str">
        <f t="shared" si="56"/>
        <v/>
      </c>
      <c r="AE515" s="102" t="str">
        <f>IF(A515="","",
SUM(
COUNTIFS('QA Log'!D:D,A515,'QA Log'!M:M,"Data Verification",'QA Log'!L:L,"*Medicine (section 2)*"),
COUNTIFS('QA Log'!D:D,A515,'QA Log'!M:M,"Data Verification",'QA Log'!L:L,"*Lab Testing Availability*"),
COUNTIFS('QA Log'!D:D,A515,'QA Log'!M:M,"Data Verification",'QA Log'!L:L,"*Other than P4P (section 6)*"),
COUNTIFS('QA Log'!D:D,A515,'QA Log'!M:M,"Data Verification",'QA Log'!L:L,"*Hospital Governance*")
))</f>
        <v/>
      </c>
      <c r="AF515" s="102" t="str">
        <f>IF(A515="","",
SUM(
COUNTIFS('QA Log'!D:D,A515,'QA Log'!M:M,"Data Verification",'QA Log'!Z:Z,"Approved",'QA Log'!L:L,"*Medicine (section 2)*"),
COUNTIFS('QA Log'!D:D,A515,'QA Log'!M:M,"Data Verification",'QA Log'!Z:Z,"Approved",'QA Log'!L:L,"*Lab Testing Availability*"),
COUNTIFS('QA Log'!D:D,A515,'QA Log'!M:M,"Data Verification",'QA Log'!Z:Z,"Approved",'QA Log'!L:L,"*Other than P4P (section 6)*"),
COUNTIFS('QA Log'!D:D,A515,'QA Log'!M:M,"Data Verification",'QA Log'!Z:Z,"Approved",'QA Log'!L:L,"*Hospital Governance*")
))</f>
        <v/>
      </c>
      <c r="AG515" s="105" t="str">
        <f>IF(A515&lt;&gt;"",COUNTIFS('QA Log'!D:D,A515,'QA Log'!M:M,"Data Verification",'QA Log'!L:L,"Medicine (section 2)",'QA Log'!Z:Z,"Approved"),"")</f>
        <v/>
      </c>
      <c r="AH515" s="105" t="str">
        <f>IF(A515&lt;&gt;"",COUNTIFS('QA Log'!D:D,A515,'QA Log'!M:M,"Data Verification",'QA Log'!L:L,"Lab Testing Availability",'QA Log'!Z:Z,"Approved"),"")</f>
        <v/>
      </c>
      <c r="AI515" s="105" t="str">
        <f>IF(A515&lt;&gt;"",COUNTIFS('QA Log'!D:D,A515,'QA Log'!M:M,"Data Verification",'QA Log'!L:L,"Other than P4P (section 6)",'QA Log'!Z:Z,"Approved"),"")</f>
        <v/>
      </c>
      <c r="AJ515" s="105" t="str">
        <f>IF(A515&lt;&gt;"",COUNTIFS('QA Log'!D:D,A515,'QA Log'!M:M,"Data Verification",'QA Log'!L:L,"Hospital Governance",'QA Log'!Z:Z,"Approved"),"")</f>
        <v/>
      </c>
      <c r="AK515" s="102" t="str">
        <f>IF(A515="","",
SUM(
COUNTIFS('QA Log'!D:D,A515,'QA Log'!M:M,"Data Verification",'QA Log'!Z:Z,"Rejected",'QA Log'!L:L,"*Medicine (section 2)*"),
COUNTIFS('QA Log'!D:D,A515,'QA Log'!M:M,"Data Verification",'QA Log'!Z:Z,"Rejected",'QA Log'!L:L,"*Lab Testing Availability*"),
COUNTIFS('QA Log'!D:D,A515,'QA Log'!M:M,"Data Verification",'QA Log'!Z:Z,"Rejected",'QA Log'!L:L,"*Other than P4P (section 6)*"),
COUNTIFS('QA Log'!D:D,A515,'QA Log'!M:M,"Data Verification",'QA Log'!Z:Z,"Rejected",'QA Log'!L:L,"*Hospital Governance*")
))</f>
        <v/>
      </c>
      <c r="AL515" s="106" t="str">
        <f t="shared" si="57"/>
        <v/>
      </c>
      <c r="AM515" s="102" t="str">
        <f t="shared" si="58"/>
        <v/>
      </c>
      <c r="AN515" s="102" t="str">
        <f>IF(A515="","",
SUM(
COUNTIFS('QA Log'!D:D,A515,'QA Log'!M:M,"Data Verification",'QA Log'!L:L,"*Personnel (section 1)*"),
COUNTIFS('QA Log'!D:D,A515,'QA Log'!M:M,"Data Verification",'QA Log'!L:L,"*Consumable (section 3)*"),
COUNTIFS('QA Log'!D:D,A515,'QA Log'!M:M,"Data Verification",'QA Log'!L:L,"*Equipments (section 4)*")
))</f>
        <v/>
      </c>
      <c r="AO515" s="102" t="str">
        <f>IF(A515="","",
SUM(
COUNTIFS('QA Log'!D:D,A515,'QA Log'!M:M,"Data Verification",'QA Log'!Z:Z,"Approved",'QA Log'!L:L,"*Personnel (section 1)*"),
COUNTIFS('QA Log'!D:D,A515,'QA Log'!M:M,"Data Verification",'QA Log'!Z:Z,"Approved",'QA Log'!L:L,"*Consumable (section 3)*"),
COUNTIFS('QA Log'!D:D,A515,'QA Log'!M:M,"Data Verification",'QA Log'!Z:Z,"Approved",'QA Log'!L:L,"*Equipments (section 4)*")
))</f>
        <v/>
      </c>
      <c r="AP515" s="105" t="str">
        <f>IF(A515&lt;&gt;"",COUNTIFS('QA Log'!D:D,A515,'QA Log'!M:M,"Data Verification",'QA Log'!L:L,"Personnel (section 1)",'QA Log'!Z:Z,"Approved"),"")</f>
        <v/>
      </c>
      <c r="AQ515" s="105" t="str">
        <f>IF(A515&lt;&gt;"",COUNTIFS('QA Log'!D:D,A515,'QA Log'!M:M,"Data Verification",'QA Log'!L:L,"Consumable (section 3)",'QA Log'!Z:Z,"Approved"),"")</f>
        <v/>
      </c>
      <c r="AR515" s="105" t="str">
        <f>IF(A515&lt;&gt;"",COUNTIFS('QA Log'!D:D,A515,'QA Log'!M:M,"Data Verification",'QA Log'!L:L,"Equipments (section 4)",'QA Log'!Z:Z,"Approved"),"")</f>
        <v/>
      </c>
      <c r="AS515" s="102" t="str">
        <f>IF(A515="","",
SUM(
COUNTIFS('QA Log'!D:D,A515,'QA Log'!M:M,"Data Verification",'QA Log'!Z:Z,"Rejected",'QA Log'!L:L,"*Personnel (section 1)*"),
COUNTIFS('QA Log'!D:D,A515,'QA Log'!M:M,"Data Verification",'QA Log'!Z:Z,"Rejected",'QA Log'!L:L,"*Consumable (section 3)*"),
COUNTIFS('QA Log'!D:D,A515,'QA Log'!M:M,"Data Verification",'QA Log'!Z:Z,"Rejected",'QA Log'!L:L,"*Equipments (section 4)*")
))</f>
        <v/>
      </c>
      <c r="AT515" s="102" t="str">
        <f t="shared" si="59"/>
        <v/>
      </c>
      <c r="AU515" s="103" t="str">
        <f t="shared" si="60"/>
        <v/>
      </c>
      <c r="AV515" s="102" t="str">
        <f>IF(A515="","",SUM(
COUNTIFS('QA Log'!D:D,A515,'QA Log'!M:M,"Vignette",'QA Log'!L:L,"*Vignette [1] Respiratory Infection: Pneumonia*"),
COUNTIFS('QA Log'!D:D,A515,'QA Log'!M:M,"Vignette",'QA Log'!L:L,"*Vignette [2]: Diarrhea with Cat B dehydration*"),
COUNTIFS('QA Log'!D:D,A515,'QA Log'!M:M,"Vignette",'QA Log'!L:L,"*Vignette [3] Growth Monitoring and Promotion*"),
COUNTIFS('QA Log'!D:D,A515,'QA Log'!M:M,"Vignette",'QA Log'!L:L,"*Vignette [4]: The management of presumptive TB patient*")
)
)</f>
        <v/>
      </c>
      <c r="AW515" s="102" t="str">
        <f>IF(
  A515="","",
  SUM(
    COUNTIFS('QA Log'!D:D,A515,'QA Log'!M:M,"Vignette",'QA Log'!Z:Z,"Approved",'QA Log'!L:L,"*Vignette [1] Respiratory Infection: Pneumonia*"),
    COUNTIFS('QA Log'!D:D,A515,'QA Log'!M:M,"Vignette",'QA Log'!Z:Z,"Approved",'QA Log'!L:L,"*Vignette [2]: Diarrhea with Cat B dehydration*"),
    COUNTIFS('QA Log'!D:D,A515,'QA Log'!M:M,"Vignette",'QA Log'!Z:Z,"Approved",'QA Log'!L:L,"*Vignette [3] Growth Monitoring and Promotion*"),
    COUNTIFS('QA Log'!D:D,A515,'QA Log'!M:M,"Vignette",'QA Log'!Z:Z,"Approved",'QA Log'!L:L,"*Vignette [4]: The management of presumptive TB patient*")
  )
)</f>
        <v/>
      </c>
      <c r="AX515" s="105" t="str">
        <f>IF(A515&lt;&gt;"",COUNTIFS('QA Log'!D:D,A515,'QA Log'!M:M,"Vignette",'QA Log'!L:L,"Vignette [1] Respiratory Infection: Pneumonia",'QA Log'!Z:Z,"Approved"),"")</f>
        <v/>
      </c>
      <c r="AY515" s="105" t="str">
        <f>IF(A515&lt;&gt;"",COUNTIFS('QA Log'!D:D,A515,'QA Log'!M:M,"Vignette",'QA Log'!L:L,"Vignette [2]: Diarrhea with Cat B dehydration",'QA Log'!Z:Z,"Approved"),"")</f>
        <v/>
      </c>
      <c r="AZ515" s="105" t="str">
        <f>IF(A515&lt;&gt;"",COUNTIFS('QA Log'!D:D,A515,'QA Log'!M:M,"Vignette",'QA Log'!L:L,"Vignette [3] Growth Monitoring and Promotion",'QA Log'!Z:Z,"Approved"),"")</f>
        <v/>
      </c>
      <c r="BA515" s="105" t="str">
        <f>IF(A515&lt;&gt;"",COUNTIFS('QA Log'!D:D,A515,'QA Log'!M:M,"Vignette",'QA Log'!L:L,"Vignette [4]: The management of presumptive TB patient",'QA Log'!Z:Z,"Approved"),"")</f>
        <v/>
      </c>
      <c r="BB515" s="102" t="str">
        <f>IF(A515="","",
  SUM(
    COUNTIFS('QA Log'!D:D,A515,'QA Log'!M:M,"Vignette",'QA Log'!Z:Z,"Rejected",'QA Log'!L:L,"*Vignette [1] Respiratory Infection: Pneumonia*"),
    COUNTIFS('QA Log'!D:D,A515,'QA Log'!M:M,"Vignette",'QA Log'!Z:Z,"Rejected",'QA Log'!L:L,"*Vignette [2]: Diarrhea with Cat B dehydration*"),
    COUNTIFS('QA Log'!D:D,A515,'QA Log'!M:M,"Vignette",'QA Log'!Z:Z,"Rejected",'QA Log'!L:L,"*Vignette [3] Growth Monitoring and Promotion*"),
    COUNTIFS('QA Log'!D:D,A515,'QA Log'!M:M,"Vignette",'QA Log'!Z:Z,"Rejected",'QA Log'!L:L,"*Vignette [4]: The management of presumptive TB patient*")
  )
)</f>
        <v/>
      </c>
      <c r="BC515" s="107" t="str">
        <f t="shared" si="61"/>
        <v/>
      </c>
      <c r="BD515" s="103" t="str">
        <f t="shared" si="62"/>
        <v/>
      </c>
      <c r="BE515" s="102" t="str">
        <f>IF(A515="","",SUM(
COUNTIFS('QA Log'!D:D,A515,'QA Log'!M:M,"Vignette",'QA Log'!L:L,"*Vignette [5] Labor*"),
COUNTIFS('QA Log'!D:D,A515,'QA Log'!M:M,"Vignette",'QA Log'!L:L,"*Vignette [6] PNC pre Discharge*"),
COUNTIFS('QA Log'!D:D,A515,'QA Log'!M:M,"Vignette",'QA Log'!L:L,"*Vignette [7] First ANC Visit*"),
COUNTIFS('QA Log'!D:D,A515,'QA Log'!M:M,"Vignette",'QA Log'!L:L,"*Vignette [8] Birth Spacing/ Family Planning :  FP Counselling*"),
COUNTIFS('QA Log'!D:D,A515,'QA Log'!M:M,"Vignette",'QA Log'!L:L,"*Vignette [9] Birth Spacing: Change FP method to Injectable*"),
COUNTIFS('QA Log'!D:D,A515,'QA Log'!M:M,"Vignette",'QA Log'!L:L,"*Vignette [10] Post Partum Haemorrhage - Atonic Uterus at Health Centre*"),
)
)</f>
        <v/>
      </c>
      <c r="BF515" s="102" t="str">
        <f>IF(A515="","",
  SUM(
    COUNTIFS('QA Log'!D:D,A515,'QA Log'!M:M,"Vignette",'QA Log'!Z:Z,"Approved",'QA Log'!L:L,"*Vignette [5] Labor*"),
    COUNTIFS('QA Log'!D:D,A515,'QA Log'!M:M,"Vignette",'QA Log'!Z:Z,"Approved",'QA Log'!L:L,"*Vignette [6] PNC pre Discharge*"),
    COUNTIFS('QA Log'!D:D,A515,'QA Log'!M:M,"Vignette",'QA Log'!Z:Z,"Approved",'QA Log'!L:L,"*Vignette [7] First ANC Visit*"),
    COUNTIFS('QA Log'!D:D,A515,'QA Log'!M:M,"Vignette",'QA Log'!Z:Z,"Approved",'QA Log'!L:L,"*Vignette [8] Birth Spacing/ Family Planning :  FP Counselling*"),
    COUNTIFS('QA Log'!D:D,A515,'QA Log'!M:M,"Vignette",'QA Log'!Z:Z,"Approved",'QA Log'!L:L,"*Vignette [9] Birth Spacing: Change FP method to Injectable*"),
    COUNTIFS('QA Log'!D:D,A515,'QA Log'!M:M,"Vignette",'QA Log'!Z:Z,"Approved",'QA Log'!L:L,"*Vignette [10] Post Partum Haemorrhage - Atonic Uterus at Health Centre*")
  )
)</f>
        <v/>
      </c>
      <c r="BG515" s="105" t="str">
        <f>IF(A515&lt;&gt;"",COUNTIFS('QA Log'!D:D,A515,'QA Log'!M:M,"Vignette",'QA Log'!L:L,"Vignette [5] Labor",'QA Log'!Z:Z,"Approved"),"")</f>
        <v/>
      </c>
      <c r="BH515" s="105" t="str">
        <f>IF(A515&lt;&gt;"",COUNTIFS('QA Log'!D:D,A515,'QA Log'!M:M,"Vignette",'QA Log'!L:L,"Vignette [6] PNC pre Discharge",'QA Log'!Z:Z,"Approved"),"")</f>
        <v/>
      </c>
      <c r="BI515" s="105" t="str">
        <f>IF(A515&lt;&gt;"",COUNTIFS('QA Log'!D:D,A515,'QA Log'!M:M,"Vignette",'QA Log'!L:L,"Vignette [7] First ANC Visit",'QA Log'!Z:Z,"Approved"),"")</f>
        <v/>
      </c>
      <c r="BJ515" s="105" t="str">
        <f>IF(A515&lt;&gt;"",COUNTIFS('QA Log'!D:D,A515,'QA Log'!M:M,"Vignette",'QA Log'!L:L,"Vignette [8] Birth Spacing/ Family Planning :  FP Counselling",'QA Log'!Z:Z,"Approved"),"")</f>
        <v/>
      </c>
      <c r="BK515" s="105" t="str">
        <f>IF(A515&lt;&gt;"",COUNTIFS('QA Log'!D:D,A515,'QA Log'!M:M,"Vignette",'QA Log'!L:L,"Vignette [9] Birth Spacing: Change FP method to Injectable",'QA Log'!Z:Z,"Approved"),"")</f>
        <v/>
      </c>
      <c r="BL515" s="105" t="str">
        <f>IF(A515&lt;&gt;"",COUNTIFS('QA Log'!D:D,A515,'QA Log'!M:M,"Vignette",'QA Log'!L:L,"Vignette [10] Post Partum Haemorrhage - Atonic Uterus at Health Centre",'QA Log'!Z:Z,"Approved"),"")</f>
        <v/>
      </c>
      <c r="BM515" s="102" t="str">
        <f>IF(A515="","",SUM(
    COUNTIFS('QA Log'!D:D,A515,'QA Log'!M:M,"Vignette",'QA Log'!Z:Z,"Rejected",'QA Log'!L:L,"*Vignette [5] Labor*"),
    COUNTIFS('QA Log'!D:D,A515,'QA Log'!M:M,"Vignette",'QA Log'!Z:Z,"Rejected",'QA Log'!L:L,"*Vignette [6] PNC pre Discharge*"),
    COUNTIFS('QA Log'!D:D,A515,'QA Log'!M:M,"Vignette",'QA Log'!Z:Z,"Rejected",'QA Log'!L:L,"*Vignette [7] First ANC Visit*"),
    COUNTIFS('QA Log'!D:D,A515,'QA Log'!M:M,"Vignette",'QA Log'!Z:Z,"Rejected",'QA Log'!L:L,"*Vignette [8] Birth Spacing/ Family Planning :  FP Counselling*"),
    COUNTIFS('QA Log'!D:D,A515,'QA Log'!M:M,"Vignette",'QA Log'!Z:Z,"Rejected",'QA Log'!L:L,"*Vignette [9] Birth Spacing: Change FP method to Injectable*"),
    COUNTIFS('QA Log'!D:D,A515,'QA Log'!M:M,"Vignette",'QA Log'!Z:Z,"Rejected",'QA Log'!L:L,"*Vignette [10] Post Partum Haemorrhage - Atonic Uterus at Health Centre*")
  )
)</f>
        <v/>
      </c>
      <c r="BN515" s="107" t="str">
        <f t="shared" si="63"/>
        <v/>
      </c>
      <c r="BO515" s="103" t="str">
        <f t="shared" si="64"/>
        <v/>
      </c>
      <c r="BP515" s="102" t="str">
        <f>IF(A515="","",SUM(
COUNTIFS('QA Log'!D:D,A515,'QA Log'!M:M,"Vignette",'QA Log'!L:L,"*Exit Interview 1*"),
COUNTIFS('QA Log'!D:D,A515,'QA Log'!M:M,"Vignette",'QA Log'!L:L,"*Exit Interview 2*"),
)
)</f>
        <v/>
      </c>
      <c r="BQ515" s="102" t="str">
        <f>IF(
  A515="","",
  SUM(
    COUNTIFS('QA Log'!D:D,A515,'QA Log'!M:M,"Vignette",'QA Log'!Z:Z,"Approved",'QA Log'!L:L,"*Exit Interview 1*"),
    COUNTIFS('QA Log'!D:D,A515,'QA Log'!M:M,"Vignette",'QA Log'!Z:Z,"Approved",'QA Log'!L:L,"*Exit Interview 2*")
  )
)</f>
        <v/>
      </c>
      <c r="BR515" s="105" t="str">
        <f>IF(A515&lt;&gt;"",COUNTIFS('QA Log'!D:D,A515,'QA Log'!M:M,"Vignette",'QA Log'!L:L,"Exit Interview 1",'QA Log'!Z:Z,"Approved"),"")</f>
        <v/>
      </c>
      <c r="BS515" s="105" t="str">
        <f>IF(A515&lt;&gt;"",COUNTIFS('QA Log'!D:D,A515,'QA Log'!M:M,"Vignette",'QA Log'!L:L,"Exit Interview 2",'QA Log'!Z:Z,"Approved"),"")</f>
        <v/>
      </c>
      <c r="BT515" s="102" t="str">
        <f>IF(
  A515="","",
  SUM(
    COUNTIFS('QA Log'!D:D,A515,'QA Log'!M:M,"Vignette",'QA Log'!Z:Z,"Rejected",'QA Log'!L:L,"*Exit Interview 1*"),
    COUNTIFS('QA Log'!D:D,A515,'QA Log'!M:M,"Vignette",'QA Log'!Z:Z,"Rejected",'QA Log'!L:L,"*Exit Interview 2*")
  )
)</f>
        <v/>
      </c>
      <c r="BU515" s="107" t="str">
        <f t="shared" si="65"/>
        <v/>
      </c>
      <c r="BV515" s="102" t="str">
        <f t="shared" si="66"/>
        <v/>
      </c>
      <c r="BW515" s="102" t="str">
        <f t="shared" si="67"/>
        <v/>
      </c>
      <c r="BX515" s="102" t="str">
        <f t="shared" si="68"/>
        <v/>
      </c>
      <c r="BY515" s="102" t="str">
        <f t="shared" si="69"/>
        <v/>
      </c>
      <c r="BZ515" s="107" t="str">
        <f t="shared" si="70"/>
        <v/>
      </c>
      <c r="CA515" s="108" t="str">
        <f t="shared" si="71"/>
        <v/>
      </c>
      <c r="CB515" s="108" t="str">
        <f t="shared" si="72"/>
        <v/>
      </c>
      <c r="CC515" s="109" t="str">
        <f t="shared" si="73"/>
        <v/>
      </c>
      <c r="CD515" s="108" t="str">
        <f t="shared" si="74"/>
        <v/>
      </c>
      <c r="CE515" s="108" t="str">
        <f t="shared" si="75"/>
        <v/>
      </c>
      <c r="CF515" s="109" t="str">
        <f t="shared" si="76"/>
        <v/>
      </c>
      <c r="CG515" s="110" t="str">
        <f t="shared" si="77"/>
        <v/>
      </c>
      <c r="CH515" s="111"/>
    </row>
    <row r="516" spans="1:86" ht="12.75">
      <c r="A516" s="101"/>
      <c r="B516" s="102" t="e">
        <f t="array" aca="1" ref="B516" ca="1">_xludf.XLOOKUP(A516,'QA Log'!D:D,'QA Log'!E:E,"")</f>
        <v>#NAME?</v>
      </c>
      <c r="C516" s="102" t="e">
        <f t="array" aca="1" ref="C516" ca="1">_xludf.XLOOKUP(A516,'QA Log'!D:D,'QA Log'!F:F,"")</f>
        <v>#NAME?</v>
      </c>
      <c r="D516" s="102" t="e">
        <f t="array" aca="1" ref="D516" ca="1">_xludf.XLOOKUP(A516,'QA Log'!D:D,'QA Log'!H:H,"")</f>
        <v>#NAME?</v>
      </c>
      <c r="E516" s="102" t="e">
        <f t="array" aca="1" ref="E516" ca="1">_xludf.XLOOKUP(A516,'QA Log'!D:D,'QA Log'!G:G,"")</f>
        <v>#NAME?</v>
      </c>
      <c r="F516" s="103"/>
      <c r="G516" s="104"/>
      <c r="H516" s="104"/>
      <c r="I516" s="103" t="str">
        <f t="shared" si="52"/>
        <v/>
      </c>
      <c r="J516" s="102" t="str">
        <f>IF(A516="","",SUM(
COUNTIFS('QA Log'!D:D,A516,'QA Log'!M:M,"QQC",'QA Log'!L:L,"*1. General Management*"),
COUNTIFS('QA Log'!D:D,A516,'QA Log'!M:M,"QQC",'QA Log'!L:L,"*3. Curative Consultation (OPD)*"),
COUNTIFS('QA Log'!D:D,A516,'QA Log'!M:M,"QQC",'QA Log'!L:L,"*5. Laboratory*"),
COUNTIFS('QA Log'!D:D,A516,'QA Log'!M:M,"QQC",'QA Log'!L:L,"*6. Essential Medicine Management*"),
COUNTIFS('QA Log'!D:D,A516,'QA Log'!M:M,"QQC",'QA Log'!L:L,"*7. Tracer Medicine*"),
COUNTIFS('QA Log'!D:D,A516,'QA Log'!M:M,"QQC",'QA Log'!L:L,"*11. Additional Questions*")))</f>
        <v/>
      </c>
      <c r="K516" s="102" t="str">
        <f>IF(A516="","",SUM(
COUNTIFS('QA Log'!D:D,A516,'QA Log'!M:M,"QQC",'QA Log'!Z:Z,"Approved",'QA Log'!L:L,"*1. General Management*"),
COUNTIFS('QA Log'!D:D,A516,'QA Log'!M:M,"QQC",'QA Log'!Z:Z,"Approved",'QA Log'!L:L,"*3. Curative Consultation (OPD)*"),
COUNTIFS('QA Log'!D:D,A516,'QA Log'!M:M,"QQC",'QA Log'!Z:Z,"Approved",'QA Log'!L:L,"*5. Laboratory*"),
COUNTIFS('QA Log'!D:D,A516,'QA Log'!M:M,"QQC",'QA Log'!Z:Z,"Approved",'QA Log'!L:L,"*6. Essential Medicine Management*"),
COUNTIFS('QA Log'!D:D,A516,'QA Log'!M:M,"QQC",'QA Log'!Z:Z,"Approved",'QA Log'!L:L,"*7. Tracer Medicine*"),
COUNTIFS('QA Log'!D:D,A516,'QA Log'!M:M,"QQC",'QA Log'!Z:Z,"Approved",'QA Log'!L:L,"*11. Additional Questions*")))</f>
        <v/>
      </c>
      <c r="L516" s="102" t="str">
        <f>IF(A516&lt;&gt;"",COUNTIFS('QA Log'!D:D,A516,'QA Log'!M:M,"QQC",'QA Log'!L:L,"1. General Management",'QA Log'!Z:Z,"Approved"),"")</f>
        <v/>
      </c>
      <c r="M516" s="102" t="str">
        <f>IF(A516&lt;&gt;"",COUNTIFS('QA Log'!D:D,A516,'QA Log'!M:M,"QQC",'QA Log'!L:L,"3. Curative Consultation (OPD)",'QA Log'!Z:Z,"Approved"),"")</f>
        <v/>
      </c>
      <c r="N516" s="102" t="str">
        <f>IF(A516&lt;&gt;"",COUNTIFS('QA Log'!D:D,A516,'QA Log'!M:M,"QQC",'QA Log'!L:L,"5. Laboratory",'QA Log'!Z:Z,"Approved"),"")</f>
        <v/>
      </c>
      <c r="O516" s="102" t="str">
        <f>IF(A516&lt;&gt;"",COUNTIFS('QA Log'!D:D,A516,'QA Log'!M:M,"QQC",'QA Log'!L:L,"6. Essential Medicine Management",'QA Log'!Z:Z,"Approved"),"")</f>
        <v/>
      </c>
      <c r="P516" s="102" t="str">
        <f>IF(A516&lt;&gt;"",COUNTIFS('QA Log'!D:D,A516,'QA Log'!M:M,"QQC",'QA Log'!L:L,"7. Tracer Medicine",'QA Log'!Z:Z,"Approved"),"")</f>
        <v/>
      </c>
      <c r="Q516" s="102" t="str">
        <f>IF(A516&lt;&gt;"",COUNTIFS('QA Log'!D:D,A516,'QA Log'!M:M,"QQC",'QA Log'!L:L,"11. Additional Questions",'QA Log'!Z:Z,"Approved"),"")</f>
        <v/>
      </c>
      <c r="R516" s="102" t="str">
        <f>IF(A516="","",SUM(
COUNTIFS('QA Log'!D:D,A516,'QA Log'!M:M,"QQC",'QA Log'!Z:Z,"Rejected",'QA Log'!L:L,"*8. Maternity*"),
COUNTIFS('QA Log'!D:D,A516,'QA Log'!M:M,"QQC",'QA Log'!Z:Z,"Rejected",'QA Log'!L:L,"*EPI*"),
COUNTIFS('QA Log'!D:D,A516,'QA Log'!M:M,"QQC",'QA Log'!Z:Z,"Rejected",'QA Log'!L:L,"*10. Antenatal Care (ANC)*"),
COUNTIFS('QA Log'!D:D,A516,'QA Log'!M:M,"QQC",'QA Log'!Z:Z,"Rejected",'QA Log'!L:L,"*2. Hygiene and Sterilization*"),
COUNTIFS('QA Log'!D:D,A516,'QA Log'!M:M,"QQC",'QA Log'!Z:Z,"Rejected",'QA Log'!L:L,"*Family Planning*")))</f>
        <v/>
      </c>
      <c r="S516" s="106" t="str">
        <f t="shared" si="53"/>
        <v/>
      </c>
      <c r="T516" s="102" t="str">
        <f t="shared" si="54"/>
        <v/>
      </c>
      <c r="U516" s="102" t="str">
        <f>IF(A516="","",
SUM(
COUNTIFS('QA Log'!D:D,A516,'QA Log'!M:M,"QQC",'QA Log'!L:L,"*8. Maternity*"),
COUNTIFS('QA Log'!D:D,A516,'QA Log'!M:M,"QQC",'QA Log'!L:L,"*9. EPI and Pre-school Consultation*"),
COUNTIFS('QA Log'!D:D,A516,'QA Log'!M:M,"QQC",'QA Log'!L:L,"*10. Antenatal Care (ANC)*"),
COUNTIFS('QA Log'!D:D,A516,'QA Log'!M:M,"QQC",'QA Log'!L:L,"*2. Hygiene and Sterilization*"),
COUNTIFS('QA Log'!D:D,A516,'QA Log'!M:M,"QQC",'QA Log'!L:L,"*4. Family Planning*")
))</f>
        <v/>
      </c>
      <c r="V516" s="102" t="str">
        <f>IF(A516="","",
SUM(
COUNTIFS('QA Log'!D:D,A516,'QA Log'!M:M,"QQC",'QA Log'!Z:Z,"Approved",'QA Log'!L:L,"*8. Maternity*"),
COUNTIFS('QA Log'!D:D,A516,'QA Log'!M:M,"QQC",'QA Log'!Z:Z,"Approved",'QA Log'!L:L,"*9. EPI and Pre-school Consultation*"),
COUNTIFS('QA Log'!D:D,A516,'QA Log'!M:M,"QQC",'QA Log'!Z:Z,"Approved",'QA Log'!L:L,"*10. Antenatal Care (ANC)*"),
COUNTIFS('QA Log'!D:D,A516,'QA Log'!M:M,"QQC",'QA Log'!Z:Z,"Approved",'QA Log'!L:L,"*2. Hygiene and Sterilization*"),
COUNTIFS('QA Log'!D:D,A516,'QA Log'!M:M,"QQC",'QA Log'!Z:Z,"Approved",'QA Log'!L:L,"*4. Family Planning*")
))</f>
        <v/>
      </c>
      <c r="W516" s="102" t="str">
        <f>IF(A516&lt;&gt;"",COUNTIFS('QA Log'!D:D,A516,'QA Log'!M:M,"QQC",'QA Log'!L:L,"8. Maternity",'QA Log'!Z:Z,"Approved"),"")</f>
        <v/>
      </c>
      <c r="X516" s="105" t="str">
        <f>IF(A516&lt;&gt;"",COUNTIFS('QA Log'!D:D,A516,'QA Log'!M:M,"QQC",'QA Log'!L:L,"9. EPI and Pre-school Consultation",'QA Log'!Z:Z,"Approved"),"")</f>
        <v/>
      </c>
      <c r="Y516" s="102" t="str">
        <f>IF(A516&lt;&gt;"",COUNTIFS('QA Log'!D:D,A516,'QA Log'!M:M,"QQC",'QA Log'!L:L,"10. Antenatal Care (ANC)",'QA Log'!Z:Z,"Approved"),"")</f>
        <v/>
      </c>
      <c r="Z516" s="102" t="str">
        <f>IF(A516&lt;&gt;"",COUNTIFS('QA Log'!D:D,A516,'QA Log'!M:M,"QQC",'QA Log'!L:L,"2. Hygiene and Sterilization",'QA Log'!Z:Z,"Approved"),"")</f>
        <v/>
      </c>
      <c r="AA516" s="105" t="str">
        <f>IF(A516&lt;&gt;"",COUNTIFS('QA Log'!D:D,A516,'QA Log'!M:M,"QQC",'QA Log'!L:L,"4. Family Planning",'QA Log'!Z:Z,"Approved"),"")</f>
        <v/>
      </c>
      <c r="AB516" s="102" t="str">
        <f>IF(A516="","",
SUM(
COUNTIFS('QA Log'!D:D,A516,'QA Log'!M:M,"QQC",'QA Log'!Z:Z,"Rejected",'QA Log'!L:L,"*8. Maternity*"),
COUNTIFS('QA Log'!D:D,A516,'QA Log'!M:M,"QQC",'QA Log'!Z:Z,"Rejected",'QA Log'!L:L,"*9. EPI and Pre-school Consultation*"),
COUNTIFS('QA Log'!D:D,A516,'QA Log'!M:M,"QQC",'QA Log'!Z:Z,"Rejected",'QA Log'!L:L,"*10. Antenatal Care (ANC)*"),
COUNTIFS('QA Log'!D:D,A516,'QA Log'!M:M,"QQC",'QA Log'!Z:Z,"Rejected",'QA Log'!L:L,"*2. Hygiene and Sterilization*"),
COUNTIFS('QA Log'!D:D,A516,'QA Log'!M:M,"QQC",'QA Log'!Z:Z,"Rejected",'QA Log'!L:L,"*4. Family Planning*")
))</f>
        <v/>
      </c>
      <c r="AC516" s="102" t="str">
        <f t="shared" si="55"/>
        <v/>
      </c>
      <c r="AD516" s="103" t="str">
        <f t="shared" si="56"/>
        <v/>
      </c>
      <c r="AE516" s="102" t="str">
        <f>IF(A516="","",
SUM(
COUNTIFS('QA Log'!D:D,A516,'QA Log'!M:M,"Data Verification",'QA Log'!L:L,"*Medicine (section 2)*"),
COUNTIFS('QA Log'!D:D,A516,'QA Log'!M:M,"Data Verification",'QA Log'!L:L,"*Lab Testing Availability*"),
COUNTIFS('QA Log'!D:D,A516,'QA Log'!M:M,"Data Verification",'QA Log'!L:L,"*Other than P4P (section 6)*"),
COUNTIFS('QA Log'!D:D,A516,'QA Log'!M:M,"Data Verification",'QA Log'!L:L,"*Hospital Governance*")
))</f>
        <v/>
      </c>
      <c r="AF516" s="102" t="str">
        <f>IF(A516="","",
SUM(
COUNTIFS('QA Log'!D:D,A516,'QA Log'!M:M,"Data Verification",'QA Log'!Z:Z,"Approved",'QA Log'!L:L,"*Medicine (section 2)*"),
COUNTIFS('QA Log'!D:D,A516,'QA Log'!M:M,"Data Verification",'QA Log'!Z:Z,"Approved",'QA Log'!L:L,"*Lab Testing Availability*"),
COUNTIFS('QA Log'!D:D,A516,'QA Log'!M:M,"Data Verification",'QA Log'!Z:Z,"Approved",'QA Log'!L:L,"*Other than P4P (section 6)*"),
COUNTIFS('QA Log'!D:D,A516,'QA Log'!M:M,"Data Verification",'QA Log'!Z:Z,"Approved",'QA Log'!L:L,"*Hospital Governance*")
))</f>
        <v/>
      </c>
      <c r="AG516" s="105" t="str">
        <f>IF(A516&lt;&gt;"",COUNTIFS('QA Log'!D:D,A516,'QA Log'!M:M,"Data Verification",'QA Log'!L:L,"Medicine (section 2)",'QA Log'!Z:Z,"Approved"),"")</f>
        <v/>
      </c>
      <c r="AH516" s="105" t="str">
        <f>IF(A516&lt;&gt;"",COUNTIFS('QA Log'!D:D,A516,'QA Log'!M:M,"Data Verification",'QA Log'!L:L,"Lab Testing Availability",'QA Log'!Z:Z,"Approved"),"")</f>
        <v/>
      </c>
      <c r="AI516" s="105" t="str">
        <f>IF(A516&lt;&gt;"",COUNTIFS('QA Log'!D:D,A516,'QA Log'!M:M,"Data Verification",'QA Log'!L:L,"Other than P4P (section 6)",'QA Log'!Z:Z,"Approved"),"")</f>
        <v/>
      </c>
      <c r="AJ516" s="105" t="str">
        <f>IF(A516&lt;&gt;"",COUNTIFS('QA Log'!D:D,A516,'QA Log'!M:M,"Data Verification",'QA Log'!L:L,"Hospital Governance",'QA Log'!Z:Z,"Approved"),"")</f>
        <v/>
      </c>
      <c r="AK516" s="102" t="str">
        <f>IF(A516="","",
SUM(
COUNTIFS('QA Log'!D:D,A516,'QA Log'!M:M,"Data Verification",'QA Log'!Z:Z,"Rejected",'QA Log'!L:L,"*Medicine (section 2)*"),
COUNTIFS('QA Log'!D:D,A516,'QA Log'!M:M,"Data Verification",'QA Log'!Z:Z,"Rejected",'QA Log'!L:L,"*Lab Testing Availability*"),
COUNTIFS('QA Log'!D:D,A516,'QA Log'!M:M,"Data Verification",'QA Log'!Z:Z,"Rejected",'QA Log'!L:L,"*Other than P4P (section 6)*"),
COUNTIFS('QA Log'!D:D,A516,'QA Log'!M:M,"Data Verification",'QA Log'!Z:Z,"Rejected",'QA Log'!L:L,"*Hospital Governance*")
))</f>
        <v/>
      </c>
      <c r="AL516" s="106" t="str">
        <f t="shared" si="57"/>
        <v/>
      </c>
      <c r="AM516" s="102" t="str">
        <f t="shared" si="58"/>
        <v/>
      </c>
      <c r="AN516" s="102" t="str">
        <f>IF(A516="","",
SUM(
COUNTIFS('QA Log'!D:D,A516,'QA Log'!M:M,"Data Verification",'QA Log'!L:L,"*Personnel (section 1)*"),
COUNTIFS('QA Log'!D:D,A516,'QA Log'!M:M,"Data Verification",'QA Log'!L:L,"*Consumable (section 3)*"),
COUNTIFS('QA Log'!D:D,A516,'QA Log'!M:M,"Data Verification",'QA Log'!L:L,"*Equipments (section 4)*")
))</f>
        <v/>
      </c>
      <c r="AO516" s="102" t="str">
        <f>IF(A516="","",
SUM(
COUNTIFS('QA Log'!D:D,A516,'QA Log'!M:M,"Data Verification",'QA Log'!Z:Z,"Approved",'QA Log'!L:L,"*Personnel (section 1)*"),
COUNTIFS('QA Log'!D:D,A516,'QA Log'!M:M,"Data Verification",'QA Log'!Z:Z,"Approved",'QA Log'!L:L,"*Consumable (section 3)*"),
COUNTIFS('QA Log'!D:D,A516,'QA Log'!M:M,"Data Verification",'QA Log'!Z:Z,"Approved",'QA Log'!L:L,"*Equipments (section 4)*")
))</f>
        <v/>
      </c>
      <c r="AP516" s="105" t="str">
        <f>IF(A516&lt;&gt;"",COUNTIFS('QA Log'!D:D,A516,'QA Log'!M:M,"Data Verification",'QA Log'!L:L,"Personnel (section 1)",'QA Log'!Z:Z,"Approved"),"")</f>
        <v/>
      </c>
      <c r="AQ516" s="105" t="str">
        <f>IF(A516&lt;&gt;"",COUNTIFS('QA Log'!D:D,A516,'QA Log'!M:M,"Data Verification",'QA Log'!L:L,"Consumable (section 3)",'QA Log'!Z:Z,"Approved"),"")</f>
        <v/>
      </c>
      <c r="AR516" s="105" t="str">
        <f>IF(A516&lt;&gt;"",COUNTIFS('QA Log'!D:D,A516,'QA Log'!M:M,"Data Verification",'QA Log'!L:L,"Equipments (section 4)",'QA Log'!Z:Z,"Approved"),"")</f>
        <v/>
      </c>
      <c r="AS516" s="102" t="str">
        <f>IF(A516="","",
SUM(
COUNTIFS('QA Log'!D:D,A516,'QA Log'!M:M,"Data Verification",'QA Log'!Z:Z,"Rejected",'QA Log'!L:L,"*Personnel (section 1)*"),
COUNTIFS('QA Log'!D:D,A516,'QA Log'!M:M,"Data Verification",'QA Log'!Z:Z,"Rejected",'QA Log'!L:L,"*Consumable (section 3)*"),
COUNTIFS('QA Log'!D:D,A516,'QA Log'!M:M,"Data Verification",'QA Log'!Z:Z,"Rejected",'QA Log'!L:L,"*Equipments (section 4)*")
))</f>
        <v/>
      </c>
      <c r="AT516" s="102" t="str">
        <f t="shared" si="59"/>
        <v/>
      </c>
      <c r="AU516" s="103" t="str">
        <f t="shared" si="60"/>
        <v/>
      </c>
      <c r="AV516" s="102" t="str">
        <f>IF(A516="","",SUM(
COUNTIFS('QA Log'!D:D,A516,'QA Log'!M:M,"Vignette",'QA Log'!L:L,"*Vignette [1] Respiratory Infection: Pneumonia*"),
COUNTIFS('QA Log'!D:D,A516,'QA Log'!M:M,"Vignette",'QA Log'!L:L,"*Vignette [2]: Diarrhea with Cat B dehydration*"),
COUNTIFS('QA Log'!D:D,A516,'QA Log'!M:M,"Vignette",'QA Log'!L:L,"*Vignette [3] Growth Monitoring and Promotion*"),
COUNTIFS('QA Log'!D:D,A516,'QA Log'!M:M,"Vignette",'QA Log'!L:L,"*Vignette [4]: The management of presumptive TB patient*")
)
)</f>
        <v/>
      </c>
      <c r="AW516" s="102" t="str">
        <f>IF(
  A516="","",
  SUM(
    COUNTIFS('QA Log'!D:D,A516,'QA Log'!M:M,"Vignette",'QA Log'!Z:Z,"Approved",'QA Log'!L:L,"*Vignette [1] Respiratory Infection: Pneumonia*"),
    COUNTIFS('QA Log'!D:D,A516,'QA Log'!M:M,"Vignette",'QA Log'!Z:Z,"Approved",'QA Log'!L:L,"*Vignette [2]: Diarrhea with Cat B dehydration*"),
    COUNTIFS('QA Log'!D:D,A516,'QA Log'!M:M,"Vignette",'QA Log'!Z:Z,"Approved",'QA Log'!L:L,"*Vignette [3] Growth Monitoring and Promotion*"),
    COUNTIFS('QA Log'!D:D,A516,'QA Log'!M:M,"Vignette",'QA Log'!Z:Z,"Approved",'QA Log'!L:L,"*Vignette [4]: The management of presumptive TB patient*")
  )
)</f>
        <v/>
      </c>
      <c r="AX516" s="105" t="str">
        <f>IF(A516&lt;&gt;"",COUNTIFS('QA Log'!D:D,A516,'QA Log'!M:M,"Vignette",'QA Log'!L:L,"Vignette [1] Respiratory Infection: Pneumonia",'QA Log'!Z:Z,"Approved"),"")</f>
        <v/>
      </c>
      <c r="AY516" s="105" t="str">
        <f>IF(A516&lt;&gt;"",COUNTIFS('QA Log'!D:D,A516,'QA Log'!M:M,"Vignette",'QA Log'!L:L,"Vignette [2]: Diarrhea with Cat B dehydration",'QA Log'!Z:Z,"Approved"),"")</f>
        <v/>
      </c>
      <c r="AZ516" s="105" t="str">
        <f>IF(A516&lt;&gt;"",COUNTIFS('QA Log'!D:D,A516,'QA Log'!M:M,"Vignette",'QA Log'!L:L,"Vignette [3] Growth Monitoring and Promotion",'QA Log'!Z:Z,"Approved"),"")</f>
        <v/>
      </c>
      <c r="BA516" s="105" t="str">
        <f>IF(A516&lt;&gt;"",COUNTIFS('QA Log'!D:D,A516,'QA Log'!M:M,"Vignette",'QA Log'!L:L,"Vignette [4]: The management of presumptive TB patient",'QA Log'!Z:Z,"Approved"),"")</f>
        <v/>
      </c>
      <c r="BB516" s="102" t="str">
        <f>IF(A516="","",
  SUM(
    COUNTIFS('QA Log'!D:D,A516,'QA Log'!M:M,"Vignette",'QA Log'!Z:Z,"Rejected",'QA Log'!L:L,"*Vignette [1] Respiratory Infection: Pneumonia*"),
    COUNTIFS('QA Log'!D:D,A516,'QA Log'!M:M,"Vignette",'QA Log'!Z:Z,"Rejected",'QA Log'!L:L,"*Vignette [2]: Diarrhea with Cat B dehydration*"),
    COUNTIFS('QA Log'!D:D,A516,'QA Log'!M:M,"Vignette",'QA Log'!Z:Z,"Rejected",'QA Log'!L:L,"*Vignette [3] Growth Monitoring and Promotion*"),
    COUNTIFS('QA Log'!D:D,A516,'QA Log'!M:M,"Vignette",'QA Log'!Z:Z,"Rejected",'QA Log'!L:L,"*Vignette [4]: The management of presumptive TB patient*")
  )
)</f>
        <v/>
      </c>
      <c r="BC516" s="107" t="str">
        <f t="shared" si="61"/>
        <v/>
      </c>
      <c r="BD516" s="103" t="str">
        <f t="shared" si="62"/>
        <v/>
      </c>
      <c r="BE516" s="102" t="str">
        <f>IF(A516="","",SUM(
COUNTIFS('QA Log'!D:D,A516,'QA Log'!M:M,"Vignette",'QA Log'!L:L,"*Vignette [5] Labor*"),
COUNTIFS('QA Log'!D:D,A516,'QA Log'!M:M,"Vignette",'QA Log'!L:L,"*Vignette [6] PNC pre Discharge*"),
COUNTIFS('QA Log'!D:D,A516,'QA Log'!M:M,"Vignette",'QA Log'!L:L,"*Vignette [7] First ANC Visit*"),
COUNTIFS('QA Log'!D:D,A516,'QA Log'!M:M,"Vignette",'QA Log'!L:L,"*Vignette [8] Birth Spacing/ Family Planning :  FP Counselling*"),
COUNTIFS('QA Log'!D:D,A516,'QA Log'!M:M,"Vignette",'QA Log'!L:L,"*Vignette [9] Birth Spacing: Change FP method to Injectable*"),
COUNTIFS('QA Log'!D:D,A516,'QA Log'!M:M,"Vignette",'QA Log'!L:L,"*Vignette [10] Post Partum Haemorrhage - Atonic Uterus at Health Centre*"),
)
)</f>
        <v/>
      </c>
      <c r="BF516" s="102" t="str">
        <f>IF(A516="","",
  SUM(
    COUNTIFS('QA Log'!D:D,A516,'QA Log'!M:M,"Vignette",'QA Log'!Z:Z,"Approved",'QA Log'!L:L,"*Vignette [5] Labor*"),
    COUNTIFS('QA Log'!D:D,A516,'QA Log'!M:M,"Vignette",'QA Log'!Z:Z,"Approved",'QA Log'!L:L,"*Vignette [6] PNC pre Discharge*"),
    COUNTIFS('QA Log'!D:D,A516,'QA Log'!M:M,"Vignette",'QA Log'!Z:Z,"Approved",'QA Log'!L:L,"*Vignette [7] First ANC Visit*"),
    COUNTIFS('QA Log'!D:D,A516,'QA Log'!M:M,"Vignette",'QA Log'!Z:Z,"Approved",'QA Log'!L:L,"*Vignette [8] Birth Spacing/ Family Planning :  FP Counselling*"),
    COUNTIFS('QA Log'!D:D,A516,'QA Log'!M:M,"Vignette",'QA Log'!Z:Z,"Approved",'QA Log'!L:L,"*Vignette [9] Birth Spacing: Change FP method to Injectable*"),
    COUNTIFS('QA Log'!D:D,A516,'QA Log'!M:M,"Vignette",'QA Log'!Z:Z,"Approved",'QA Log'!L:L,"*Vignette [10] Post Partum Haemorrhage - Atonic Uterus at Health Centre*")
  )
)</f>
        <v/>
      </c>
      <c r="BG516" s="105" t="str">
        <f>IF(A516&lt;&gt;"",COUNTIFS('QA Log'!D:D,A516,'QA Log'!M:M,"Vignette",'QA Log'!L:L,"Vignette [5] Labor",'QA Log'!Z:Z,"Approved"),"")</f>
        <v/>
      </c>
      <c r="BH516" s="105" t="str">
        <f>IF(A516&lt;&gt;"",COUNTIFS('QA Log'!D:D,A516,'QA Log'!M:M,"Vignette",'QA Log'!L:L,"Vignette [6] PNC pre Discharge",'QA Log'!Z:Z,"Approved"),"")</f>
        <v/>
      </c>
      <c r="BI516" s="105" t="str">
        <f>IF(A516&lt;&gt;"",COUNTIFS('QA Log'!D:D,A516,'QA Log'!M:M,"Vignette",'QA Log'!L:L,"Vignette [7] First ANC Visit",'QA Log'!Z:Z,"Approved"),"")</f>
        <v/>
      </c>
      <c r="BJ516" s="105" t="str">
        <f>IF(A516&lt;&gt;"",COUNTIFS('QA Log'!D:D,A516,'QA Log'!M:M,"Vignette",'QA Log'!L:L,"Vignette [8] Birth Spacing/ Family Planning :  FP Counselling",'QA Log'!Z:Z,"Approved"),"")</f>
        <v/>
      </c>
      <c r="BK516" s="105" t="str">
        <f>IF(A516&lt;&gt;"",COUNTIFS('QA Log'!D:D,A516,'QA Log'!M:M,"Vignette",'QA Log'!L:L,"Vignette [9] Birth Spacing: Change FP method to Injectable",'QA Log'!Z:Z,"Approved"),"")</f>
        <v/>
      </c>
      <c r="BL516" s="105" t="str">
        <f>IF(A516&lt;&gt;"",COUNTIFS('QA Log'!D:D,A516,'QA Log'!M:M,"Vignette",'QA Log'!L:L,"Vignette [10] Post Partum Haemorrhage - Atonic Uterus at Health Centre",'QA Log'!Z:Z,"Approved"),"")</f>
        <v/>
      </c>
      <c r="BM516" s="102" t="str">
        <f>IF(A516="","",SUM(
    COUNTIFS('QA Log'!D:D,A516,'QA Log'!M:M,"Vignette",'QA Log'!Z:Z,"Rejected",'QA Log'!L:L,"*Vignette [5] Labor*"),
    COUNTIFS('QA Log'!D:D,A516,'QA Log'!M:M,"Vignette",'QA Log'!Z:Z,"Rejected",'QA Log'!L:L,"*Vignette [6] PNC pre Discharge*"),
    COUNTIFS('QA Log'!D:D,A516,'QA Log'!M:M,"Vignette",'QA Log'!Z:Z,"Rejected",'QA Log'!L:L,"*Vignette [7] First ANC Visit*"),
    COUNTIFS('QA Log'!D:D,A516,'QA Log'!M:M,"Vignette",'QA Log'!Z:Z,"Rejected",'QA Log'!L:L,"*Vignette [8] Birth Spacing/ Family Planning :  FP Counselling*"),
    COUNTIFS('QA Log'!D:D,A516,'QA Log'!M:M,"Vignette",'QA Log'!Z:Z,"Rejected",'QA Log'!L:L,"*Vignette [9] Birth Spacing: Change FP method to Injectable*"),
    COUNTIFS('QA Log'!D:D,A516,'QA Log'!M:M,"Vignette",'QA Log'!Z:Z,"Rejected",'QA Log'!L:L,"*Vignette [10] Post Partum Haemorrhage - Atonic Uterus at Health Centre*")
  )
)</f>
        <v/>
      </c>
      <c r="BN516" s="107" t="str">
        <f t="shared" si="63"/>
        <v/>
      </c>
      <c r="BO516" s="103" t="str">
        <f t="shared" si="64"/>
        <v/>
      </c>
      <c r="BP516" s="102" t="str">
        <f>IF(A516="","",SUM(
COUNTIFS('QA Log'!D:D,A516,'QA Log'!M:M,"Vignette",'QA Log'!L:L,"*Exit Interview 1*"),
COUNTIFS('QA Log'!D:D,A516,'QA Log'!M:M,"Vignette",'QA Log'!L:L,"*Exit Interview 2*"),
)
)</f>
        <v/>
      </c>
      <c r="BQ516" s="102" t="str">
        <f>IF(
  A516="","",
  SUM(
    COUNTIFS('QA Log'!D:D,A516,'QA Log'!M:M,"Vignette",'QA Log'!Z:Z,"Approved",'QA Log'!L:L,"*Exit Interview 1*"),
    COUNTIFS('QA Log'!D:D,A516,'QA Log'!M:M,"Vignette",'QA Log'!Z:Z,"Approved",'QA Log'!L:L,"*Exit Interview 2*")
  )
)</f>
        <v/>
      </c>
      <c r="BR516" s="105" t="str">
        <f>IF(A516&lt;&gt;"",COUNTIFS('QA Log'!D:D,A516,'QA Log'!M:M,"Vignette",'QA Log'!L:L,"Exit Interview 1",'QA Log'!Z:Z,"Approved"),"")</f>
        <v/>
      </c>
      <c r="BS516" s="105" t="str">
        <f>IF(A516&lt;&gt;"",COUNTIFS('QA Log'!D:D,A516,'QA Log'!M:M,"Vignette",'QA Log'!L:L,"Exit Interview 2",'QA Log'!Z:Z,"Approved"),"")</f>
        <v/>
      </c>
      <c r="BT516" s="102" t="str">
        <f>IF(
  A516="","",
  SUM(
    COUNTIFS('QA Log'!D:D,A516,'QA Log'!M:M,"Vignette",'QA Log'!Z:Z,"Rejected",'QA Log'!L:L,"*Exit Interview 1*"),
    COUNTIFS('QA Log'!D:D,A516,'QA Log'!M:M,"Vignette",'QA Log'!Z:Z,"Rejected",'QA Log'!L:L,"*Exit Interview 2*")
  )
)</f>
        <v/>
      </c>
      <c r="BU516" s="107" t="str">
        <f t="shared" si="65"/>
        <v/>
      </c>
      <c r="BV516" s="102" t="str">
        <f t="shared" si="66"/>
        <v/>
      </c>
      <c r="BW516" s="102" t="str">
        <f t="shared" si="67"/>
        <v/>
      </c>
      <c r="BX516" s="102" t="str">
        <f t="shared" si="68"/>
        <v/>
      </c>
      <c r="BY516" s="102" t="str">
        <f t="shared" si="69"/>
        <v/>
      </c>
      <c r="BZ516" s="107" t="str">
        <f t="shared" si="70"/>
        <v/>
      </c>
      <c r="CA516" s="108" t="str">
        <f t="shared" si="71"/>
        <v/>
      </c>
      <c r="CB516" s="108" t="str">
        <f t="shared" si="72"/>
        <v/>
      </c>
      <c r="CC516" s="109" t="str">
        <f t="shared" si="73"/>
        <v/>
      </c>
      <c r="CD516" s="108" t="str">
        <f t="shared" si="74"/>
        <v/>
      </c>
      <c r="CE516" s="108" t="str">
        <f t="shared" si="75"/>
        <v/>
      </c>
      <c r="CF516" s="109" t="str">
        <f t="shared" si="76"/>
        <v/>
      </c>
      <c r="CG516" s="110" t="str">
        <f t="shared" si="77"/>
        <v/>
      </c>
      <c r="CH516" s="111"/>
    </row>
    <row r="517" spans="1:86" ht="12.75">
      <c r="A517" s="101"/>
      <c r="B517" s="102" t="e">
        <f t="array" aca="1" ref="B517" ca="1">_xludf.XLOOKUP(A517,'QA Log'!D:D,'QA Log'!E:E,"")</f>
        <v>#NAME?</v>
      </c>
      <c r="C517" s="102" t="e">
        <f t="array" aca="1" ref="C517" ca="1">_xludf.XLOOKUP(A517,'QA Log'!D:D,'QA Log'!F:F,"")</f>
        <v>#NAME?</v>
      </c>
      <c r="D517" s="102" t="e">
        <f t="array" aca="1" ref="D517" ca="1">_xludf.XLOOKUP(A517,'QA Log'!D:D,'QA Log'!H:H,"")</f>
        <v>#NAME?</v>
      </c>
      <c r="E517" s="102" t="e">
        <f t="array" aca="1" ref="E517" ca="1">_xludf.XLOOKUP(A517,'QA Log'!D:D,'QA Log'!G:G,"")</f>
        <v>#NAME?</v>
      </c>
      <c r="F517" s="103"/>
      <c r="G517" s="104"/>
      <c r="H517" s="104"/>
      <c r="I517" s="103" t="str">
        <f t="shared" si="52"/>
        <v/>
      </c>
      <c r="J517" s="102" t="str">
        <f>IF(A517="","",SUM(
COUNTIFS('QA Log'!D:D,A517,'QA Log'!M:M,"QQC",'QA Log'!L:L,"*1. General Management*"),
COUNTIFS('QA Log'!D:D,A517,'QA Log'!M:M,"QQC",'QA Log'!L:L,"*3. Curative Consultation (OPD)*"),
COUNTIFS('QA Log'!D:D,A517,'QA Log'!M:M,"QQC",'QA Log'!L:L,"*5. Laboratory*"),
COUNTIFS('QA Log'!D:D,A517,'QA Log'!M:M,"QQC",'QA Log'!L:L,"*6. Essential Medicine Management*"),
COUNTIFS('QA Log'!D:D,A517,'QA Log'!M:M,"QQC",'QA Log'!L:L,"*7. Tracer Medicine*"),
COUNTIFS('QA Log'!D:D,A517,'QA Log'!M:M,"QQC",'QA Log'!L:L,"*11. Additional Questions*")))</f>
        <v/>
      </c>
      <c r="K517" s="102" t="str">
        <f>IF(A517="","",SUM(
COUNTIFS('QA Log'!D:D,A517,'QA Log'!M:M,"QQC",'QA Log'!Z:Z,"Approved",'QA Log'!L:L,"*1. General Management*"),
COUNTIFS('QA Log'!D:D,A517,'QA Log'!M:M,"QQC",'QA Log'!Z:Z,"Approved",'QA Log'!L:L,"*3. Curative Consultation (OPD)*"),
COUNTIFS('QA Log'!D:D,A517,'QA Log'!M:M,"QQC",'QA Log'!Z:Z,"Approved",'QA Log'!L:L,"*5. Laboratory*"),
COUNTIFS('QA Log'!D:D,A517,'QA Log'!M:M,"QQC",'QA Log'!Z:Z,"Approved",'QA Log'!L:L,"*6. Essential Medicine Management*"),
COUNTIFS('QA Log'!D:D,A517,'QA Log'!M:M,"QQC",'QA Log'!Z:Z,"Approved",'QA Log'!L:L,"*7. Tracer Medicine*"),
COUNTIFS('QA Log'!D:D,A517,'QA Log'!M:M,"QQC",'QA Log'!Z:Z,"Approved",'QA Log'!L:L,"*11. Additional Questions*")))</f>
        <v/>
      </c>
      <c r="L517" s="102" t="str">
        <f>IF(A517&lt;&gt;"",COUNTIFS('QA Log'!D:D,A517,'QA Log'!M:M,"QQC",'QA Log'!L:L,"1. General Management",'QA Log'!Z:Z,"Approved"),"")</f>
        <v/>
      </c>
      <c r="M517" s="102" t="str">
        <f>IF(A517&lt;&gt;"",COUNTIFS('QA Log'!D:D,A517,'QA Log'!M:M,"QQC",'QA Log'!L:L,"3. Curative Consultation (OPD)",'QA Log'!Z:Z,"Approved"),"")</f>
        <v/>
      </c>
      <c r="N517" s="102" t="str">
        <f>IF(A517&lt;&gt;"",COUNTIFS('QA Log'!D:D,A517,'QA Log'!M:M,"QQC",'QA Log'!L:L,"5. Laboratory",'QA Log'!Z:Z,"Approved"),"")</f>
        <v/>
      </c>
      <c r="O517" s="102" t="str">
        <f>IF(A517&lt;&gt;"",COUNTIFS('QA Log'!D:D,A517,'QA Log'!M:M,"QQC",'QA Log'!L:L,"6. Essential Medicine Management",'QA Log'!Z:Z,"Approved"),"")</f>
        <v/>
      </c>
      <c r="P517" s="102" t="str">
        <f>IF(A517&lt;&gt;"",COUNTIFS('QA Log'!D:D,A517,'QA Log'!M:M,"QQC",'QA Log'!L:L,"7. Tracer Medicine",'QA Log'!Z:Z,"Approved"),"")</f>
        <v/>
      </c>
      <c r="Q517" s="102" t="str">
        <f>IF(A517&lt;&gt;"",COUNTIFS('QA Log'!D:D,A517,'QA Log'!M:M,"QQC",'QA Log'!L:L,"11. Additional Questions",'QA Log'!Z:Z,"Approved"),"")</f>
        <v/>
      </c>
      <c r="R517" s="102" t="str">
        <f>IF(A517="","",SUM(
COUNTIFS('QA Log'!D:D,A517,'QA Log'!M:M,"QQC",'QA Log'!Z:Z,"Rejected",'QA Log'!L:L,"*8. Maternity*"),
COUNTIFS('QA Log'!D:D,A517,'QA Log'!M:M,"QQC",'QA Log'!Z:Z,"Rejected",'QA Log'!L:L,"*EPI*"),
COUNTIFS('QA Log'!D:D,A517,'QA Log'!M:M,"QQC",'QA Log'!Z:Z,"Rejected",'QA Log'!L:L,"*10. Antenatal Care (ANC)*"),
COUNTIFS('QA Log'!D:D,A517,'QA Log'!M:M,"QQC",'QA Log'!Z:Z,"Rejected",'QA Log'!L:L,"*2. Hygiene and Sterilization*"),
COUNTIFS('QA Log'!D:D,A517,'QA Log'!M:M,"QQC",'QA Log'!Z:Z,"Rejected",'QA Log'!L:L,"*Family Planning*")))</f>
        <v/>
      </c>
      <c r="S517" s="106" t="str">
        <f t="shared" si="53"/>
        <v/>
      </c>
      <c r="T517" s="102" t="str">
        <f t="shared" si="54"/>
        <v/>
      </c>
      <c r="U517" s="102" t="str">
        <f>IF(A517="","",
SUM(
COUNTIFS('QA Log'!D:D,A517,'QA Log'!M:M,"QQC",'QA Log'!L:L,"*8. Maternity*"),
COUNTIFS('QA Log'!D:D,A517,'QA Log'!M:M,"QQC",'QA Log'!L:L,"*9. EPI and Pre-school Consultation*"),
COUNTIFS('QA Log'!D:D,A517,'QA Log'!M:M,"QQC",'QA Log'!L:L,"*10. Antenatal Care (ANC)*"),
COUNTIFS('QA Log'!D:D,A517,'QA Log'!M:M,"QQC",'QA Log'!L:L,"*2. Hygiene and Sterilization*"),
COUNTIFS('QA Log'!D:D,A517,'QA Log'!M:M,"QQC",'QA Log'!L:L,"*4. Family Planning*")
))</f>
        <v/>
      </c>
      <c r="V517" s="102" t="str">
        <f>IF(A517="","",
SUM(
COUNTIFS('QA Log'!D:D,A517,'QA Log'!M:M,"QQC",'QA Log'!Z:Z,"Approved",'QA Log'!L:L,"*8. Maternity*"),
COUNTIFS('QA Log'!D:D,A517,'QA Log'!M:M,"QQC",'QA Log'!Z:Z,"Approved",'QA Log'!L:L,"*9. EPI and Pre-school Consultation*"),
COUNTIFS('QA Log'!D:D,A517,'QA Log'!M:M,"QQC",'QA Log'!Z:Z,"Approved",'QA Log'!L:L,"*10. Antenatal Care (ANC)*"),
COUNTIFS('QA Log'!D:D,A517,'QA Log'!M:M,"QQC",'QA Log'!Z:Z,"Approved",'QA Log'!L:L,"*2. Hygiene and Sterilization*"),
COUNTIFS('QA Log'!D:D,A517,'QA Log'!M:M,"QQC",'QA Log'!Z:Z,"Approved",'QA Log'!L:L,"*4. Family Planning*")
))</f>
        <v/>
      </c>
      <c r="W517" s="102" t="str">
        <f>IF(A517&lt;&gt;"",COUNTIFS('QA Log'!D:D,A517,'QA Log'!M:M,"QQC",'QA Log'!L:L,"8. Maternity",'QA Log'!Z:Z,"Approved"),"")</f>
        <v/>
      </c>
      <c r="X517" s="105" t="str">
        <f>IF(A517&lt;&gt;"",COUNTIFS('QA Log'!D:D,A517,'QA Log'!M:M,"QQC",'QA Log'!L:L,"9. EPI and Pre-school Consultation",'QA Log'!Z:Z,"Approved"),"")</f>
        <v/>
      </c>
      <c r="Y517" s="102" t="str">
        <f>IF(A517&lt;&gt;"",COUNTIFS('QA Log'!D:D,A517,'QA Log'!M:M,"QQC",'QA Log'!L:L,"10. Antenatal Care (ANC)",'QA Log'!Z:Z,"Approved"),"")</f>
        <v/>
      </c>
      <c r="Z517" s="102" t="str">
        <f>IF(A517&lt;&gt;"",COUNTIFS('QA Log'!D:D,A517,'QA Log'!M:M,"QQC",'QA Log'!L:L,"2. Hygiene and Sterilization",'QA Log'!Z:Z,"Approved"),"")</f>
        <v/>
      </c>
      <c r="AA517" s="105" t="str">
        <f>IF(A517&lt;&gt;"",COUNTIFS('QA Log'!D:D,A517,'QA Log'!M:M,"QQC",'QA Log'!L:L,"4. Family Planning",'QA Log'!Z:Z,"Approved"),"")</f>
        <v/>
      </c>
      <c r="AB517" s="102" t="str">
        <f>IF(A517="","",
SUM(
COUNTIFS('QA Log'!D:D,A517,'QA Log'!M:M,"QQC",'QA Log'!Z:Z,"Rejected",'QA Log'!L:L,"*8. Maternity*"),
COUNTIFS('QA Log'!D:D,A517,'QA Log'!M:M,"QQC",'QA Log'!Z:Z,"Rejected",'QA Log'!L:L,"*9. EPI and Pre-school Consultation*"),
COUNTIFS('QA Log'!D:D,A517,'QA Log'!M:M,"QQC",'QA Log'!Z:Z,"Rejected",'QA Log'!L:L,"*10. Antenatal Care (ANC)*"),
COUNTIFS('QA Log'!D:D,A517,'QA Log'!M:M,"QQC",'QA Log'!Z:Z,"Rejected",'QA Log'!L:L,"*2. Hygiene and Sterilization*"),
COUNTIFS('QA Log'!D:D,A517,'QA Log'!M:M,"QQC",'QA Log'!Z:Z,"Rejected",'QA Log'!L:L,"*4. Family Planning*")
))</f>
        <v/>
      </c>
      <c r="AC517" s="102" t="str">
        <f t="shared" si="55"/>
        <v/>
      </c>
      <c r="AD517" s="103" t="str">
        <f t="shared" si="56"/>
        <v/>
      </c>
      <c r="AE517" s="102" t="str">
        <f>IF(A517="","",
SUM(
COUNTIFS('QA Log'!D:D,A517,'QA Log'!M:M,"Data Verification",'QA Log'!L:L,"*Medicine (section 2)*"),
COUNTIFS('QA Log'!D:D,A517,'QA Log'!M:M,"Data Verification",'QA Log'!L:L,"*Lab Testing Availability*"),
COUNTIFS('QA Log'!D:D,A517,'QA Log'!M:M,"Data Verification",'QA Log'!L:L,"*Other than P4P (section 6)*"),
COUNTIFS('QA Log'!D:D,A517,'QA Log'!M:M,"Data Verification",'QA Log'!L:L,"*Hospital Governance*")
))</f>
        <v/>
      </c>
      <c r="AF517" s="102" t="str">
        <f>IF(A517="","",
SUM(
COUNTIFS('QA Log'!D:D,A517,'QA Log'!M:M,"Data Verification",'QA Log'!Z:Z,"Approved",'QA Log'!L:L,"*Medicine (section 2)*"),
COUNTIFS('QA Log'!D:D,A517,'QA Log'!M:M,"Data Verification",'QA Log'!Z:Z,"Approved",'QA Log'!L:L,"*Lab Testing Availability*"),
COUNTIFS('QA Log'!D:D,A517,'QA Log'!M:M,"Data Verification",'QA Log'!Z:Z,"Approved",'QA Log'!L:L,"*Other than P4P (section 6)*"),
COUNTIFS('QA Log'!D:D,A517,'QA Log'!M:M,"Data Verification",'QA Log'!Z:Z,"Approved",'QA Log'!L:L,"*Hospital Governance*")
))</f>
        <v/>
      </c>
      <c r="AG517" s="105" t="str">
        <f>IF(A517&lt;&gt;"",COUNTIFS('QA Log'!D:D,A517,'QA Log'!M:M,"Data Verification",'QA Log'!L:L,"Medicine (section 2)",'QA Log'!Z:Z,"Approved"),"")</f>
        <v/>
      </c>
      <c r="AH517" s="105" t="str">
        <f>IF(A517&lt;&gt;"",COUNTIFS('QA Log'!D:D,A517,'QA Log'!M:M,"Data Verification",'QA Log'!L:L,"Lab Testing Availability",'QA Log'!Z:Z,"Approved"),"")</f>
        <v/>
      </c>
      <c r="AI517" s="105" t="str">
        <f>IF(A517&lt;&gt;"",COUNTIFS('QA Log'!D:D,A517,'QA Log'!M:M,"Data Verification",'QA Log'!L:L,"Other than P4P (section 6)",'QA Log'!Z:Z,"Approved"),"")</f>
        <v/>
      </c>
      <c r="AJ517" s="105" t="str">
        <f>IF(A517&lt;&gt;"",COUNTIFS('QA Log'!D:D,A517,'QA Log'!M:M,"Data Verification",'QA Log'!L:L,"Hospital Governance",'QA Log'!Z:Z,"Approved"),"")</f>
        <v/>
      </c>
      <c r="AK517" s="102" t="str">
        <f>IF(A517="","",
SUM(
COUNTIFS('QA Log'!D:D,A517,'QA Log'!M:M,"Data Verification",'QA Log'!Z:Z,"Rejected",'QA Log'!L:L,"*Medicine (section 2)*"),
COUNTIFS('QA Log'!D:D,A517,'QA Log'!M:M,"Data Verification",'QA Log'!Z:Z,"Rejected",'QA Log'!L:L,"*Lab Testing Availability*"),
COUNTIFS('QA Log'!D:D,A517,'QA Log'!M:M,"Data Verification",'QA Log'!Z:Z,"Rejected",'QA Log'!L:L,"*Other than P4P (section 6)*"),
COUNTIFS('QA Log'!D:D,A517,'QA Log'!M:M,"Data Verification",'QA Log'!Z:Z,"Rejected",'QA Log'!L:L,"*Hospital Governance*")
))</f>
        <v/>
      </c>
      <c r="AL517" s="106" t="str">
        <f t="shared" si="57"/>
        <v/>
      </c>
      <c r="AM517" s="102" t="str">
        <f t="shared" si="58"/>
        <v/>
      </c>
      <c r="AN517" s="102" t="str">
        <f>IF(A517="","",
SUM(
COUNTIFS('QA Log'!D:D,A517,'QA Log'!M:M,"Data Verification",'QA Log'!L:L,"*Personnel (section 1)*"),
COUNTIFS('QA Log'!D:D,A517,'QA Log'!M:M,"Data Verification",'QA Log'!L:L,"*Consumable (section 3)*"),
COUNTIFS('QA Log'!D:D,A517,'QA Log'!M:M,"Data Verification",'QA Log'!L:L,"*Equipments (section 4)*")
))</f>
        <v/>
      </c>
      <c r="AO517" s="102" t="str">
        <f>IF(A517="","",
SUM(
COUNTIFS('QA Log'!D:D,A517,'QA Log'!M:M,"Data Verification",'QA Log'!Z:Z,"Approved",'QA Log'!L:L,"*Personnel (section 1)*"),
COUNTIFS('QA Log'!D:D,A517,'QA Log'!M:M,"Data Verification",'QA Log'!Z:Z,"Approved",'QA Log'!L:L,"*Consumable (section 3)*"),
COUNTIFS('QA Log'!D:D,A517,'QA Log'!M:M,"Data Verification",'QA Log'!Z:Z,"Approved",'QA Log'!L:L,"*Equipments (section 4)*")
))</f>
        <v/>
      </c>
      <c r="AP517" s="105" t="str">
        <f>IF(A517&lt;&gt;"",COUNTIFS('QA Log'!D:D,A517,'QA Log'!M:M,"Data Verification",'QA Log'!L:L,"Personnel (section 1)",'QA Log'!Z:Z,"Approved"),"")</f>
        <v/>
      </c>
      <c r="AQ517" s="105" t="str">
        <f>IF(A517&lt;&gt;"",COUNTIFS('QA Log'!D:D,A517,'QA Log'!M:M,"Data Verification",'QA Log'!L:L,"Consumable (section 3)",'QA Log'!Z:Z,"Approved"),"")</f>
        <v/>
      </c>
      <c r="AR517" s="105" t="str">
        <f>IF(A517&lt;&gt;"",COUNTIFS('QA Log'!D:D,A517,'QA Log'!M:M,"Data Verification",'QA Log'!L:L,"Equipments (section 4)",'QA Log'!Z:Z,"Approved"),"")</f>
        <v/>
      </c>
      <c r="AS517" s="102" t="str">
        <f>IF(A517="","",
SUM(
COUNTIFS('QA Log'!D:D,A517,'QA Log'!M:M,"Data Verification",'QA Log'!Z:Z,"Rejected",'QA Log'!L:L,"*Personnel (section 1)*"),
COUNTIFS('QA Log'!D:D,A517,'QA Log'!M:M,"Data Verification",'QA Log'!Z:Z,"Rejected",'QA Log'!L:L,"*Consumable (section 3)*"),
COUNTIFS('QA Log'!D:D,A517,'QA Log'!M:M,"Data Verification",'QA Log'!Z:Z,"Rejected",'QA Log'!L:L,"*Equipments (section 4)*")
))</f>
        <v/>
      </c>
      <c r="AT517" s="102" t="str">
        <f t="shared" si="59"/>
        <v/>
      </c>
      <c r="AU517" s="103" t="str">
        <f t="shared" si="60"/>
        <v/>
      </c>
      <c r="AV517" s="102" t="str">
        <f>IF(A517="","",SUM(
COUNTIFS('QA Log'!D:D,A517,'QA Log'!M:M,"Vignette",'QA Log'!L:L,"*Vignette [1] Respiratory Infection: Pneumonia*"),
COUNTIFS('QA Log'!D:D,A517,'QA Log'!M:M,"Vignette",'QA Log'!L:L,"*Vignette [2]: Diarrhea with Cat B dehydration*"),
COUNTIFS('QA Log'!D:D,A517,'QA Log'!M:M,"Vignette",'QA Log'!L:L,"*Vignette [3] Growth Monitoring and Promotion*"),
COUNTIFS('QA Log'!D:D,A517,'QA Log'!M:M,"Vignette",'QA Log'!L:L,"*Vignette [4]: The management of presumptive TB patient*")
)
)</f>
        <v/>
      </c>
      <c r="AW517" s="102" t="str">
        <f>IF(
  A517="","",
  SUM(
    COUNTIFS('QA Log'!D:D,A517,'QA Log'!M:M,"Vignette",'QA Log'!Z:Z,"Approved",'QA Log'!L:L,"*Vignette [1] Respiratory Infection: Pneumonia*"),
    COUNTIFS('QA Log'!D:D,A517,'QA Log'!M:M,"Vignette",'QA Log'!Z:Z,"Approved",'QA Log'!L:L,"*Vignette [2]: Diarrhea with Cat B dehydration*"),
    COUNTIFS('QA Log'!D:D,A517,'QA Log'!M:M,"Vignette",'QA Log'!Z:Z,"Approved",'QA Log'!L:L,"*Vignette [3] Growth Monitoring and Promotion*"),
    COUNTIFS('QA Log'!D:D,A517,'QA Log'!M:M,"Vignette",'QA Log'!Z:Z,"Approved",'QA Log'!L:L,"*Vignette [4]: The management of presumptive TB patient*")
  )
)</f>
        <v/>
      </c>
      <c r="AX517" s="105" t="str">
        <f>IF(A517&lt;&gt;"",COUNTIFS('QA Log'!D:D,A517,'QA Log'!M:M,"Vignette",'QA Log'!L:L,"Vignette [1] Respiratory Infection: Pneumonia",'QA Log'!Z:Z,"Approved"),"")</f>
        <v/>
      </c>
      <c r="AY517" s="105" t="str">
        <f>IF(A517&lt;&gt;"",COUNTIFS('QA Log'!D:D,A517,'QA Log'!M:M,"Vignette",'QA Log'!L:L,"Vignette [2]: Diarrhea with Cat B dehydration",'QA Log'!Z:Z,"Approved"),"")</f>
        <v/>
      </c>
      <c r="AZ517" s="105" t="str">
        <f>IF(A517&lt;&gt;"",COUNTIFS('QA Log'!D:D,A517,'QA Log'!M:M,"Vignette",'QA Log'!L:L,"Vignette [3] Growth Monitoring and Promotion",'QA Log'!Z:Z,"Approved"),"")</f>
        <v/>
      </c>
      <c r="BA517" s="105" t="str">
        <f>IF(A517&lt;&gt;"",COUNTIFS('QA Log'!D:D,A517,'QA Log'!M:M,"Vignette",'QA Log'!L:L,"Vignette [4]: The management of presumptive TB patient",'QA Log'!Z:Z,"Approved"),"")</f>
        <v/>
      </c>
      <c r="BB517" s="102" t="str">
        <f>IF(A517="","",
  SUM(
    COUNTIFS('QA Log'!D:D,A517,'QA Log'!M:M,"Vignette",'QA Log'!Z:Z,"Rejected",'QA Log'!L:L,"*Vignette [1] Respiratory Infection: Pneumonia*"),
    COUNTIFS('QA Log'!D:D,A517,'QA Log'!M:M,"Vignette",'QA Log'!Z:Z,"Rejected",'QA Log'!L:L,"*Vignette [2]: Diarrhea with Cat B dehydration*"),
    COUNTIFS('QA Log'!D:D,A517,'QA Log'!M:M,"Vignette",'QA Log'!Z:Z,"Rejected",'QA Log'!L:L,"*Vignette [3] Growth Monitoring and Promotion*"),
    COUNTIFS('QA Log'!D:D,A517,'QA Log'!M:M,"Vignette",'QA Log'!Z:Z,"Rejected",'QA Log'!L:L,"*Vignette [4]: The management of presumptive TB patient*")
  )
)</f>
        <v/>
      </c>
      <c r="BC517" s="107" t="str">
        <f t="shared" si="61"/>
        <v/>
      </c>
      <c r="BD517" s="103" t="str">
        <f t="shared" si="62"/>
        <v/>
      </c>
      <c r="BE517" s="102" t="str">
        <f>IF(A517="","",SUM(
COUNTIFS('QA Log'!D:D,A517,'QA Log'!M:M,"Vignette",'QA Log'!L:L,"*Vignette [5] Labor*"),
COUNTIFS('QA Log'!D:D,A517,'QA Log'!M:M,"Vignette",'QA Log'!L:L,"*Vignette [6] PNC pre Discharge*"),
COUNTIFS('QA Log'!D:D,A517,'QA Log'!M:M,"Vignette",'QA Log'!L:L,"*Vignette [7] First ANC Visit*"),
COUNTIFS('QA Log'!D:D,A517,'QA Log'!M:M,"Vignette",'QA Log'!L:L,"*Vignette [8] Birth Spacing/ Family Planning :  FP Counselling*"),
COUNTIFS('QA Log'!D:D,A517,'QA Log'!M:M,"Vignette",'QA Log'!L:L,"*Vignette [9] Birth Spacing: Change FP method to Injectable*"),
COUNTIFS('QA Log'!D:D,A517,'QA Log'!M:M,"Vignette",'QA Log'!L:L,"*Vignette [10] Post Partum Haemorrhage - Atonic Uterus at Health Centre*"),
)
)</f>
        <v/>
      </c>
      <c r="BF517" s="102" t="str">
        <f>IF(A517="","",
  SUM(
    COUNTIFS('QA Log'!D:D,A517,'QA Log'!M:M,"Vignette",'QA Log'!Z:Z,"Approved",'QA Log'!L:L,"*Vignette [5] Labor*"),
    COUNTIFS('QA Log'!D:D,A517,'QA Log'!M:M,"Vignette",'QA Log'!Z:Z,"Approved",'QA Log'!L:L,"*Vignette [6] PNC pre Discharge*"),
    COUNTIFS('QA Log'!D:D,A517,'QA Log'!M:M,"Vignette",'QA Log'!Z:Z,"Approved",'QA Log'!L:L,"*Vignette [7] First ANC Visit*"),
    COUNTIFS('QA Log'!D:D,A517,'QA Log'!M:M,"Vignette",'QA Log'!Z:Z,"Approved",'QA Log'!L:L,"*Vignette [8] Birth Spacing/ Family Planning :  FP Counselling*"),
    COUNTIFS('QA Log'!D:D,A517,'QA Log'!M:M,"Vignette",'QA Log'!Z:Z,"Approved",'QA Log'!L:L,"*Vignette [9] Birth Spacing: Change FP method to Injectable*"),
    COUNTIFS('QA Log'!D:D,A517,'QA Log'!M:M,"Vignette",'QA Log'!Z:Z,"Approved",'QA Log'!L:L,"*Vignette [10] Post Partum Haemorrhage - Atonic Uterus at Health Centre*")
  )
)</f>
        <v/>
      </c>
      <c r="BG517" s="105" t="str">
        <f>IF(A517&lt;&gt;"",COUNTIFS('QA Log'!D:D,A517,'QA Log'!M:M,"Vignette",'QA Log'!L:L,"Vignette [5] Labor",'QA Log'!Z:Z,"Approved"),"")</f>
        <v/>
      </c>
      <c r="BH517" s="105" t="str">
        <f>IF(A517&lt;&gt;"",COUNTIFS('QA Log'!D:D,A517,'QA Log'!M:M,"Vignette",'QA Log'!L:L,"Vignette [6] PNC pre Discharge",'QA Log'!Z:Z,"Approved"),"")</f>
        <v/>
      </c>
      <c r="BI517" s="105" t="str">
        <f>IF(A517&lt;&gt;"",COUNTIFS('QA Log'!D:D,A517,'QA Log'!M:M,"Vignette",'QA Log'!L:L,"Vignette [7] First ANC Visit",'QA Log'!Z:Z,"Approved"),"")</f>
        <v/>
      </c>
      <c r="BJ517" s="105" t="str">
        <f>IF(A517&lt;&gt;"",COUNTIFS('QA Log'!D:D,A517,'QA Log'!M:M,"Vignette",'QA Log'!L:L,"Vignette [8] Birth Spacing/ Family Planning :  FP Counselling",'QA Log'!Z:Z,"Approved"),"")</f>
        <v/>
      </c>
      <c r="BK517" s="105" t="str">
        <f>IF(A517&lt;&gt;"",COUNTIFS('QA Log'!D:D,A517,'QA Log'!M:M,"Vignette",'QA Log'!L:L,"Vignette [9] Birth Spacing: Change FP method to Injectable",'QA Log'!Z:Z,"Approved"),"")</f>
        <v/>
      </c>
      <c r="BL517" s="105" t="str">
        <f>IF(A517&lt;&gt;"",COUNTIFS('QA Log'!D:D,A517,'QA Log'!M:M,"Vignette",'QA Log'!L:L,"Vignette [10] Post Partum Haemorrhage - Atonic Uterus at Health Centre",'QA Log'!Z:Z,"Approved"),"")</f>
        <v/>
      </c>
      <c r="BM517" s="102" t="str">
        <f>IF(A517="","",SUM(
    COUNTIFS('QA Log'!D:D,A517,'QA Log'!M:M,"Vignette",'QA Log'!Z:Z,"Rejected",'QA Log'!L:L,"*Vignette [5] Labor*"),
    COUNTIFS('QA Log'!D:D,A517,'QA Log'!M:M,"Vignette",'QA Log'!Z:Z,"Rejected",'QA Log'!L:L,"*Vignette [6] PNC pre Discharge*"),
    COUNTIFS('QA Log'!D:D,A517,'QA Log'!M:M,"Vignette",'QA Log'!Z:Z,"Rejected",'QA Log'!L:L,"*Vignette [7] First ANC Visit*"),
    COUNTIFS('QA Log'!D:D,A517,'QA Log'!M:M,"Vignette",'QA Log'!Z:Z,"Rejected",'QA Log'!L:L,"*Vignette [8] Birth Spacing/ Family Planning :  FP Counselling*"),
    COUNTIFS('QA Log'!D:D,A517,'QA Log'!M:M,"Vignette",'QA Log'!Z:Z,"Rejected",'QA Log'!L:L,"*Vignette [9] Birth Spacing: Change FP method to Injectable*"),
    COUNTIFS('QA Log'!D:D,A517,'QA Log'!M:M,"Vignette",'QA Log'!Z:Z,"Rejected",'QA Log'!L:L,"*Vignette [10] Post Partum Haemorrhage - Atonic Uterus at Health Centre*")
  )
)</f>
        <v/>
      </c>
      <c r="BN517" s="107" t="str">
        <f t="shared" si="63"/>
        <v/>
      </c>
      <c r="BO517" s="103" t="str">
        <f t="shared" si="64"/>
        <v/>
      </c>
      <c r="BP517" s="102" t="str">
        <f>IF(A517="","",SUM(
COUNTIFS('QA Log'!D:D,A517,'QA Log'!M:M,"Vignette",'QA Log'!L:L,"*Exit Interview 1*"),
COUNTIFS('QA Log'!D:D,A517,'QA Log'!M:M,"Vignette",'QA Log'!L:L,"*Exit Interview 2*"),
)
)</f>
        <v/>
      </c>
      <c r="BQ517" s="102" t="str">
        <f>IF(
  A517="","",
  SUM(
    COUNTIFS('QA Log'!D:D,A517,'QA Log'!M:M,"Vignette",'QA Log'!Z:Z,"Approved",'QA Log'!L:L,"*Exit Interview 1*"),
    COUNTIFS('QA Log'!D:D,A517,'QA Log'!M:M,"Vignette",'QA Log'!Z:Z,"Approved",'QA Log'!L:L,"*Exit Interview 2*")
  )
)</f>
        <v/>
      </c>
      <c r="BR517" s="105" t="str">
        <f>IF(A517&lt;&gt;"",COUNTIFS('QA Log'!D:D,A517,'QA Log'!M:M,"Vignette",'QA Log'!L:L,"Exit Interview 1",'QA Log'!Z:Z,"Approved"),"")</f>
        <v/>
      </c>
      <c r="BS517" s="105" t="str">
        <f>IF(A517&lt;&gt;"",COUNTIFS('QA Log'!D:D,A517,'QA Log'!M:M,"Vignette",'QA Log'!L:L,"Exit Interview 2",'QA Log'!Z:Z,"Approved"),"")</f>
        <v/>
      </c>
      <c r="BT517" s="102" t="str">
        <f>IF(
  A517="","",
  SUM(
    COUNTIFS('QA Log'!D:D,A517,'QA Log'!M:M,"Vignette",'QA Log'!Z:Z,"Rejected",'QA Log'!L:L,"*Exit Interview 1*"),
    COUNTIFS('QA Log'!D:D,A517,'QA Log'!M:M,"Vignette",'QA Log'!Z:Z,"Rejected",'QA Log'!L:L,"*Exit Interview 2*")
  )
)</f>
        <v/>
      </c>
      <c r="BU517" s="107" t="str">
        <f t="shared" si="65"/>
        <v/>
      </c>
      <c r="BV517" s="102" t="str">
        <f t="shared" si="66"/>
        <v/>
      </c>
      <c r="BW517" s="102" t="str">
        <f t="shared" si="67"/>
        <v/>
      </c>
      <c r="BX517" s="102" t="str">
        <f t="shared" si="68"/>
        <v/>
      </c>
      <c r="BY517" s="102" t="str">
        <f t="shared" si="69"/>
        <v/>
      </c>
      <c r="BZ517" s="107" t="str">
        <f t="shared" si="70"/>
        <v/>
      </c>
      <c r="CA517" s="108" t="str">
        <f t="shared" si="71"/>
        <v/>
      </c>
      <c r="CB517" s="108" t="str">
        <f t="shared" si="72"/>
        <v/>
      </c>
      <c r="CC517" s="109" t="str">
        <f t="shared" si="73"/>
        <v/>
      </c>
      <c r="CD517" s="108" t="str">
        <f t="shared" si="74"/>
        <v/>
      </c>
      <c r="CE517" s="108" t="str">
        <f t="shared" si="75"/>
        <v/>
      </c>
      <c r="CF517" s="109" t="str">
        <f t="shared" si="76"/>
        <v/>
      </c>
      <c r="CG517" s="110" t="str">
        <f t="shared" si="77"/>
        <v/>
      </c>
      <c r="CH517" s="111"/>
    </row>
    <row r="518" spans="1:86" ht="12.75">
      <c r="A518" s="101"/>
      <c r="B518" s="102" t="e">
        <f t="array" aca="1" ref="B518" ca="1">_xludf.XLOOKUP(A518,'QA Log'!D:D,'QA Log'!E:E,"")</f>
        <v>#NAME?</v>
      </c>
      <c r="C518" s="102" t="e">
        <f t="array" aca="1" ref="C518" ca="1">_xludf.XLOOKUP(A518,'QA Log'!D:D,'QA Log'!F:F,"")</f>
        <v>#NAME?</v>
      </c>
      <c r="D518" s="102" t="e">
        <f t="array" aca="1" ref="D518" ca="1">_xludf.XLOOKUP(A518,'QA Log'!D:D,'QA Log'!H:H,"")</f>
        <v>#NAME?</v>
      </c>
      <c r="E518" s="102" t="e">
        <f t="array" aca="1" ref="E518" ca="1">_xludf.XLOOKUP(A518,'QA Log'!D:D,'QA Log'!G:G,"")</f>
        <v>#NAME?</v>
      </c>
      <c r="F518" s="103"/>
      <c r="G518" s="104"/>
      <c r="H518" s="104"/>
      <c r="I518" s="103" t="str">
        <f t="shared" si="52"/>
        <v/>
      </c>
      <c r="J518" s="102" t="str">
        <f>IF(A518="","",SUM(
COUNTIFS('QA Log'!D:D,A518,'QA Log'!M:M,"QQC",'QA Log'!L:L,"*1. General Management*"),
COUNTIFS('QA Log'!D:D,A518,'QA Log'!M:M,"QQC",'QA Log'!L:L,"*3. Curative Consultation (OPD)*"),
COUNTIFS('QA Log'!D:D,A518,'QA Log'!M:M,"QQC",'QA Log'!L:L,"*5. Laboratory*"),
COUNTIFS('QA Log'!D:D,A518,'QA Log'!M:M,"QQC",'QA Log'!L:L,"*6. Essential Medicine Management*"),
COUNTIFS('QA Log'!D:D,A518,'QA Log'!M:M,"QQC",'QA Log'!L:L,"*7. Tracer Medicine*"),
COUNTIFS('QA Log'!D:D,A518,'QA Log'!M:M,"QQC",'QA Log'!L:L,"*11. Additional Questions*")))</f>
        <v/>
      </c>
      <c r="K518" s="102" t="str">
        <f>IF(A518="","",SUM(
COUNTIFS('QA Log'!D:D,A518,'QA Log'!M:M,"QQC",'QA Log'!Z:Z,"Approved",'QA Log'!L:L,"*1. General Management*"),
COUNTIFS('QA Log'!D:D,A518,'QA Log'!M:M,"QQC",'QA Log'!Z:Z,"Approved",'QA Log'!L:L,"*3. Curative Consultation (OPD)*"),
COUNTIFS('QA Log'!D:D,A518,'QA Log'!M:M,"QQC",'QA Log'!Z:Z,"Approved",'QA Log'!L:L,"*5. Laboratory*"),
COUNTIFS('QA Log'!D:D,A518,'QA Log'!M:M,"QQC",'QA Log'!Z:Z,"Approved",'QA Log'!L:L,"*6. Essential Medicine Management*"),
COUNTIFS('QA Log'!D:D,A518,'QA Log'!M:M,"QQC",'QA Log'!Z:Z,"Approved",'QA Log'!L:L,"*7. Tracer Medicine*"),
COUNTIFS('QA Log'!D:D,A518,'QA Log'!M:M,"QQC",'QA Log'!Z:Z,"Approved",'QA Log'!L:L,"*11. Additional Questions*")))</f>
        <v/>
      </c>
      <c r="L518" s="102" t="str">
        <f>IF(A518&lt;&gt;"",COUNTIFS('QA Log'!D:D,A518,'QA Log'!M:M,"QQC",'QA Log'!L:L,"1. General Management",'QA Log'!Z:Z,"Approved"),"")</f>
        <v/>
      </c>
      <c r="M518" s="102" t="str">
        <f>IF(A518&lt;&gt;"",COUNTIFS('QA Log'!D:D,A518,'QA Log'!M:M,"QQC",'QA Log'!L:L,"3. Curative Consultation (OPD)",'QA Log'!Z:Z,"Approved"),"")</f>
        <v/>
      </c>
      <c r="N518" s="102" t="str">
        <f>IF(A518&lt;&gt;"",COUNTIFS('QA Log'!D:D,A518,'QA Log'!M:M,"QQC",'QA Log'!L:L,"5. Laboratory",'QA Log'!Z:Z,"Approved"),"")</f>
        <v/>
      </c>
      <c r="O518" s="102" t="str">
        <f>IF(A518&lt;&gt;"",COUNTIFS('QA Log'!D:D,A518,'QA Log'!M:M,"QQC",'QA Log'!L:L,"6. Essential Medicine Management",'QA Log'!Z:Z,"Approved"),"")</f>
        <v/>
      </c>
      <c r="P518" s="102" t="str">
        <f>IF(A518&lt;&gt;"",COUNTIFS('QA Log'!D:D,A518,'QA Log'!M:M,"QQC",'QA Log'!L:L,"7. Tracer Medicine",'QA Log'!Z:Z,"Approved"),"")</f>
        <v/>
      </c>
      <c r="Q518" s="102" t="str">
        <f>IF(A518&lt;&gt;"",COUNTIFS('QA Log'!D:D,A518,'QA Log'!M:M,"QQC",'QA Log'!L:L,"11. Additional Questions",'QA Log'!Z:Z,"Approved"),"")</f>
        <v/>
      </c>
      <c r="R518" s="102" t="str">
        <f>IF(A518="","",SUM(
COUNTIFS('QA Log'!D:D,A518,'QA Log'!M:M,"QQC",'QA Log'!Z:Z,"Rejected",'QA Log'!L:L,"*8. Maternity*"),
COUNTIFS('QA Log'!D:D,A518,'QA Log'!M:M,"QQC",'QA Log'!Z:Z,"Rejected",'QA Log'!L:L,"*EPI*"),
COUNTIFS('QA Log'!D:D,A518,'QA Log'!M:M,"QQC",'QA Log'!Z:Z,"Rejected",'QA Log'!L:L,"*10. Antenatal Care (ANC)*"),
COUNTIFS('QA Log'!D:D,A518,'QA Log'!M:M,"QQC",'QA Log'!Z:Z,"Rejected",'QA Log'!L:L,"*2. Hygiene and Sterilization*"),
COUNTIFS('QA Log'!D:D,A518,'QA Log'!M:M,"QQC",'QA Log'!Z:Z,"Rejected",'QA Log'!L:L,"*Family Planning*")))</f>
        <v/>
      </c>
      <c r="S518" s="106" t="str">
        <f t="shared" si="53"/>
        <v/>
      </c>
      <c r="T518" s="102" t="str">
        <f t="shared" si="54"/>
        <v/>
      </c>
      <c r="U518" s="102" t="str">
        <f>IF(A518="","",
SUM(
COUNTIFS('QA Log'!D:D,A518,'QA Log'!M:M,"QQC",'QA Log'!L:L,"*8. Maternity*"),
COUNTIFS('QA Log'!D:D,A518,'QA Log'!M:M,"QQC",'QA Log'!L:L,"*9. EPI and Pre-school Consultation*"),
COUNTIFS('QA Log'!D:D,A518,'QA Log'!M:M,"QQC",'QA Log'!L:L,"*10. Antenatal Care (ANC)*"),
COUNTIFS('QA Log'!D:D,A518,'QA Log'!M:M,"QQC",'QA Log'!L:L,"*2. Hygiene and Sterilization*"),
COUNTIFS('QA Log'!D:D,A518,'QA Log'!M:M,"QQC",'QA Log'!L:L,"*4. Family Planning*")
))</f>
        <v/>
      </c>
      <c r="V518" s="102" t="str">
        <f>IF(A518="","",
SUM(
COUNTIFS('QA Log'!D:D,A518,'QA Log'!M:M,"QQC",'QA Log'!Z:Z,"Approved",'QA Log'!L:L,"*8. Maternity*"),
COUNTIFS('QA Log'!D:D,A518,'QA Log'!M:M,"QQC",'QA Log'!Z:Z,"Approved",'QA Log'!L:L,"*9. EPI and Pre-school Consultation*"),
COUNTIFS('QA Log'!D:D,A518,'QA Log'!M:M,"QQC",'QA Log'!Z:Z,"Approved",'QA Log'!L:L,"*10. Antenatal Care (ANC)*"),
COUNTIFS('QA Log'!D:D,A518,'QA Log'!M:M,"QQC",'QA Log'!Z:Z,"Approved",'QA Log'!L:L,"*2. Hygiene and Sterilization*"),
COUNTIFS('QA Log'!D:D,A518,'QA Log'!M:M,"QQC",'QA Log'!Z:Z,"Approved",'QA Log'!L:L,"*4. Family Planning*")
))</f>
        <v/>
      </c>
      <c r="W518" s="102" t="str">
        <f>IF(A518&lt;&gt;"",COUNTIFS('QA Log'!D:D,A518,'QA Log'!M:M,"QQC",'QA Log'!L:L,"8. Maternity",'QA Log'!Z:Z,"Approved"),"")</f>
        <v/>
      </c>
      <c r="X518" s="105" t="str">
        <f>IF(A518&lt;&gt;"",COUNTIFS('QA Log'!D:D,A518,'QA Log'!M:M,"QQC",'QA Log'!L:L,"9. EPI and Pre-school Consultation",'QA Log'!Z:Z,"Approved"),"")</f>
        <v/>
      </c>
      <c r="Y518" s="102" t="str">
        <f>IF(A518&lt;&gt;"",COUNTIFS('QA Log'!D:D,A518,'QA Log'!M:M,"QQC",'QA Log'!L:L,"10. Antenatal Care (ANC)",'QA Log'!Z:Z,"Approved"),"")</f>
        <v/>
      </c>
      <c r="Z518" s="102" t="str">
        <f>IF(A518&lt;&gt;"",COUNTIFS('QA Log'!D:D,A518,'QA Log'!M:M,"QQC",'QA Log'!L:L,"2. Hygiene and Sterilization",'QA Log'!Z:Z,"Approved"),"")</f>
        <v/>
      </c>
      <c r="AA518" s="105" t="str">
        <f>IF(A518&lt;&gt;"",COUNTIFS('QA Log'!D:D,A518,'QA Log'!M:M,"QQC",'QA Log'!L:L,"4. Family Planning",'QA Log'!Z:Z,"Approved"),"")</f>
        <v/>
      </c>
      <c r="AB518" s="102" t="str">
        <f>IF(A518="","",
SUM(
COUNTIFS('QA Log'!D:D,A518,'QA Log'!M:M,"QQC",'QA Log'!Z:Z,"Rejected",'QA Log'!L:L,"*8. Maternity*"),
COUNTIFS('QA Log'!D:D,A518,'QA Log'!M:M,"QQC",'QA Log'!Z:Z,"Rejected",'QA Log'!L:L,"*9. EPI and Pre-school Consultation*"),
COUNTIFS('QA Log'!D:D,A518,'QA Log'!M:M,"QQC",'QA Log'!Z:Z,"Rejected",'QA Log'!L:L,"*10. Antenatal Care (ANC)*"),
COUNTIFS('QA Log'!D:D,A518,'QA Log'!M:M,"QQC",'QA Log'!Z:Z,"Rejected",'QA Log'!L:L,"*2. Hygiene and Sterilization*"),
COUNTIFS('QA Log'!D:D,A518,'QA Log'!M:M,"QQC",'QA Log'!Z:Z,"Rejected",'QA Log'!L:L,"*4. Family Planning*")
))</f>
        <v/>
      </c>
      <c r="AC518" s="102" t="str">
        <f t="shared" si="55"/>
        <v/>
      </c>
      <c r="AD518" s="103" t="str">
        <f t="shared" si="56"/>
        <v/>
      </c>
      <c r="AE518" s="102" t="str">
        <f>IF(A518="","",
SUM(
COUNTIFS('QA Log'!D:D,A518,'QA Log'!M:M,"Data Verification",'QA Log'!L:L,"*Medicine (section 2)*"),
COUNTIFS('QA Log'!D:D,A518,'QA Log'!M:M,"Data Verification",'QA Log'!L:L,"*Lab Testing Availability*"),
COUNTIFS('QA Log'!D:D,A518,'QA Log'!M:M,"Data Verification",'QA Log'!L:L,"*Other than P4P (section 6)*"),
COUNTIFS('QA Log'!D:D,A518,'QA Log'!M:M,"Data Verification",'QA Log'!L:L,"*Hospital Governance*")
))</f>
        <v/>
      </c>
      <c r="AF518" s="102" t="str">
        <f>IF(A518="","",
SUM(
COUNTIFS('QA Log'!D:D,A518,'QA Log'!M:M,"Data Verification",'QA Log'!Z:Z,"Approved",'QA Log'!L:L,"*Medicine (section 2)*"),
COUNTIFS('QA Log'!D:D,A518,'QA Log'!M:M,"Data Verification",'QA Log'!Z:Z,"Approved",'QA Log'!L:L,"*Lab Testing Availability*"),
COUNTIFS('QA Log'!D:D,A518,'QA Log'!M:M,"Data Verification",'QA Log'!Z:Z,"Approved",'QA Log'!L:L,"*Other than P4P (section 6)*"),
COUNTIFS('QA Log'!D:D,A518,'QA Log'!M:M,"Data Verification",'QA Log'!Z:Z,"Approved",'QA Log'!L:L,"*Hospital Governance*")
))</f>
        <v/>
      </c>
      <c r="AG518" s="105" t="str">
        <f>IF(A518&lt;&gt;"",COUNTIFS('QA Log'!D:D,A518,'QA Log'!M:M,"Data Verification",'QA Log'!L:L,"Medicine (section 2)",'QA Log'!Z:Z,"Approved"),"")</f>
        <v/>
      </c>
      <c r="AH518" s="105" t="str">
        <f>IF(A518&lt;&gt;"",COUNTIFS('QA Log'!D:D,A518,'QA Log'!M:M,"Data Verification",'QA Log'!L:L,"Lab Testing Availability",'QA Log'!Z:Z,"Approved"),"")</f>
        <v/>
      </c>
      <c r="AI518" s="105" t="str">
        <f>IF(A518&lt;&gt;"",COUNTIFS('QA Log'!D:D,A518,'QA Log'!M:M,"Data Verification",'QA Log'!L:L,"Other than P4P (section 6)",'QA Log'!Z:Z,"Approved"),"")</f>
        <v/>
      </c>
      <c r="AJ518" s="105" t="str">
        <f>IF(A518&lt;&gt;"",COUNTIFS('QA Log'!D:D,A518,'QA Log'!M:M,"Data Verification",'QA Log'!L:L,"Hospital Governance",'QA Log'!Z:Z,"Approved"),"")</f>
        <v/>
      </c>
      <c r="AK518" s="102" t="str">
        <f>IF(A518="","",
SUM(
COUNTIFS('QA Log'!D:D,A518,'QA Log'!M:M,"Data Verification",'QA Log'!Z:Z,"Rejected",'QA Log'!L:L,"*Medicine (section 2)*"),
COUNTIFS('QA Log'!D:D,A518,'QA Log'!M:M,"Data Verification",'QA Log'!Z:Z,"Rejected",'QA Log'!L:L,"*Lab Testing Availability*"),
COUNTIFS('QA Log'!D:D,A518,'QA Log'!M:M,"Data Verification",'QA Log'!Z:Z,"Rejected",'QA Log'!L:L,"*Other than P4P (section 6)*"),
COUNTIFS('QA Log'!D:D,A518,'QA Log'!M:M,"Data Verification",'QA Log'!Z:Z,"Rejected",'QA Log'!L:L,"*Hospital Governance*")
))</f>
        <v/>
      </c>
      <c r="AL518" s="106" t="str">
        <f t="shared" si="57"/>
        <v/>
      </c>
      <c r="AM518" s="102" t="str">
        <f t="shared" si="58"/>
        <v/>
      </c>
      <c r="AN518" s="102" t="str">
        <f>IF(A518="","",
SUM(
COUNTIFS('QA Log'!D:D,A518,'QA Log'!M:M,"Data Verification",'QA Log'!L:L,"*Personnel (section 1)*"),
COUNTIFS('QA Log'!D:D,A518,'QA Log'!M:M,"Data Verification",'QA Log'!L:L,"*Consumable (section 3)*"),
COUNTIFS('QA Log'!D:D,A518,'QA Log'!M:M,"Data Verification",'QA Log'!L:L,"*Equipments (section 4)*")
))</f>
        <v/>
      </c>
      <c r="AO518" s="102" t="str">
        <f>IF(A518="","",
SUM(
COUNTIFS('QA Log'!D:D,A518,'QA Log'!M:M,"Data Verification",'QA Log'!Z:Z,"Approved",'QA Log'!L:L,"*Personnel (section 1)*"),
COUNTIFS('QA Log'!D:D,A518,'QA Log'!M:M,"Data Verification",'QA Log'!Z:Z,"Approved",'QA Log'!L:L,"*Consumable (section 3)*"),
COUNTIFS('QA Log'!D:D,A518,'QA Log'!M:M,"Data Verification",'QA Log'!Z:Z,"Approved",'QA Log'!L:L,"*Equipments (section 4)*")
))</f>
        <v/>
      </c>
      <c r="AP518" s="105" t="str">
        <f>IF(A518&lt;&gt;"",COUNTIFS('QA Log'!D:D,A518,'QA Log'!M:M,"Data Verification",'QA Log'!L:L,"Personnel (section 1)",'QA Log'!Z:Z,"Approved"),"")</f>
        <v/>
      </c>
      <c r="AQ518" s="105" t="str">
        <f>IF(A518&lt;&gt;"",COUNTIFS('QA Log'!D:D,A518,'QA Log'!M:M,"Data Verification",'QA Log'!L:L,"Consumable (section 3)",'QA Log'!Z:Z,"Approved"),"")</f>
        <v/>
      </c>
      <c r="AR518" s="105" t="str">
        <f>IF(A518&lt;&gt;"",COUNTIFS('QA Log'!D:D,A518,'QA Log'!M:M,"Data Verification",'QA Log'!L:L,"Equipments (section 4)",'QA Log'!Z:Z,"Approved"),"")</f>
        <v/>
      </c>
      <c r="AS518" s="102" t="str">
        <f>IF(A518="","",
SUM(
COUNTIFS('QA Log'!D:D,A518,'QA Log'!M:M,"Data Verification",'QA Log'!Z:Z,"Rejected",'QA Log'!L:L,"*Personnel (section 1)*"),
COUNTIFS('QA Log'!D:D,A518,'QA Log'!M:M,"Data Verification",'QA Log'!Z:Z,"Rejected",'QA Log'!L:L,"*Consumable (section 3)*"),
COUNTIFS('QA Log'!D:D,A518,'QA Log'!M:M,"Data Verification",'QA Log'!Z:Z,"Rejected",'QA Log'!L:L,"*Equipments (section 4)*")
))</f>
        <v/>
      </c>
      <c r="AT518" s="102" t="str">
        <f t="shared" si="59"/>
        <v/>
      </c>
      <c r="AU518" s="103" t="str">
        <f t="shared" si="60"/>
        <v/>
      </c>
      <c r="AV518" s="102" t="str">
        <f>IF(A518="","",SUM(
COUNTIFS('QA Log'!D:D,A518,'QA Log'!M:M,"Vignette",'QA Log'!L:L,"*Vignette [1] Respiratory Infection: Pneumonia*"),
COUNTIFS('QA Log'!D:D,A518,'QA Log'!M:M,"Vignette",'QA Log'!L:L,"*Vignette [2]: Diarrhea with Cat B dehydration*"),
COUNTIFS('QA Log'!D:D,A518,'QA Log'!M:M,"Vignette",'QA Log'!L:L,"*Vignette [3] Growth Monitoring and Promotion*"),
COUNTIFS('QA Log'!D:D,A518,'QA Log'!M:M,"Vignette",'QA Log'!L:L,"*Vignette [4]: The management of presumptive TB patient*")
)
)</f>
        <v/>
      </c>
      <c r="AW518" s="102" t="str">
        <f>IF(
  A518="","",
  SUM(
    COUNTIFS('QA Log'!D:D,A518,'QA Log'!M:M,"Vignette",'QA Log'!Z:Z,"Approved",'QA Log'!L:L,"*Vignette [1] Respiratory Infection: Pneumonia*"),
    COUNTIFS('QA Log'!D:D,A518,'QA Log'!M:M,"Vignette",'QA Log'!Z:Z,"Approved",'QA Log'!L:L,"*Vignette [2]: Diarrhea with Cat B dehydration*"),
    COUNTIFS('QA Log'!D:D,A518,'QA Log'!M:M,"Vignette",'QA Log'!Z:Z,"Approved",'QA Log'!L:L,"*Vignette [3] Growth Monitoring and Promotion*"),
    COUNTIFS('QA Log'!D:D,A518,'QA Log'!M:M,"Vignette",'QA Log'!Z:Z,"Approved",'QA Log'!L:L,"*Vignette [4]: The management of presumptive TB patient*")
  )
)</f>
        <v/>
      </c>
      <c r="AX518" s="105" t="str">
        <f>IF(A518&lt;&gt;"",COUNTIFS('QA Log'!D:D,A518,'QA Log'!M:M,"Vignette",'QA Log'!L:L,"Vignette [1] Respiratory Infection: Pneumonia",'QA Log'!Z:Z,"Approved"),"")</f>
        <v/>
      </c>
      <c r="AY518" s="105" t="str">
        <f>IF(A518&lt;&gt;"",COUNTIFS('QA Log'!D:D,A518,'QA Log'!M:M,"Vignette",'QA Log'!L:L,"Vignette [2]: Diarrhea with Cat B dehydration",'QA Log'!Z:Z,"Approved"),"")</f>
        <v/>
      </c>
      <c r="AZ518" s="105" t="str">
        <f>IF(A518&lt;&gt;"",COUNTIFS('QA Log'!D:D,A518,'QA Log'!M:M,"Vignette",'QA Log'!L:L,"Vignette [3] Growth Monitoring and Promotion",'QA Log'!Z:Z,"Approved"),"")</f>
        <v/>
      </c>
      <c r="BA518" s="105" t="str">
        <f>IF(A518&lt;&gt;"",COUNTIFS('QA Log'!D:D,A518,'QA Log'!M:M,"Vignette",'QA Log'!L:L,"Vignette [4]: The management of presumptive TB patient",'QA Log'!Z:Z,"Approved"),"")</f>
        <v/>
      </c>
      <c r="BB518" s="102" t="str">
        <f>IF(A518="","",
  SUM(
    COUNTIFS('QA Log'!D:D,A518,'QA Log'!M:M,"Vignette",'QA Log'!Z:Z,"Rejected",'QA Log'!L:L,"*Vignette [1] Respiratory Infection: Pneumonia*"),
    COUNTIFS('QA Log'!D:D,A518,'QA Log'!M:M,"Vignette",'QA Log'!Z:Z,"Rejected",'QA Log'!L:L,"*Vignette [2]: Diarrhea with Cat B dehydration*"),
    COUNTIFS('QA Log'!D:D,A518,'QA Log'!M:M,"Vignette",'QA Log'!Z:Z,"Rejected",'QA Log'!L:L,"*Vignette [3] Growth Monitoring and Promotion*"),
    COUNTIFS('QA Log'!D:D,A518,'QA Log'!M:M,"Vignette",'QA Log'!Z:Z,"Rejected",'QA Log'!L:L,"*Vignette [4]: The management of presumptive TB patient*")
  )
)</f>
        <v/>
      </c>
      <c r="BC518" s="107" t="str">
        <f t="shared" si="61"/>
        <v/>
      </c>
      <c r="BD518" s="103" t="str">
        <f t="shared" si="62"/>
        <v/>
      </c>
      <c r="BE518" s="102" t="str">
        <f>IF(A518="","",SUM(
COUNTIFS('QA Log'!D:D,A518,'QA Log'!M:M,"Vignette",'QA Log'!L:L,"*Vignette [5] Labor*"),
COUNTIFS('QA Log'!D:D,A518,'QA Log'!M:M,"Vignette",'QA Log'!L:L,"*Vignette [6] PNC pre Discharge*"),
COUNTIFS('QA Log'!D:D,A518,'QA Log'!M:M,"Vignette",'QA Log'!L:L,"*Vignette [7] First ANC Visit*"),
COUNTIFS('QA Log'!D:D,A518,'QA Log'!M:M,"Vignette",'QA Log'!L:L,"*Vignette [8] Birth Spacing/ Family Planning :  FP Counselling*"),
COUNTIFS('QA Log'!D:D,A518,'QA Log'!M:M,"Vignette",'QA Log'!L:L,"*Vignette [9] Birth Spacing: Change FP method to Injectable*"),
COUNTIFS('QA Log'!D:D,A518,'QA Log'!M:M,"Vignette",'QA Log'!L:L,"*Vignette [10] Post Partum Haemorrhage - Atonic Uterus at Health Centre*"),
)
)</f>
        <v/>
      </c>
      <c r="BF518" s="102" t="str">
        <f>IF(A518="","",
  SUM(
    COUNTIFS('QA Log'!D:D,A518,'QA Log'!M:M,"Vignette",'QA Log'!Z:Z,"Approved",'QA Log'!L:L,"*Vignette [5] Labor*"),
    COUNTIFS('QA Log'!D:D,A518,'QA Log'!M:M,"Vignette",'QA Log'!Z:Z,"Approved",'QA Log'!L:L,"*Vignette [6] PNC pre Discharge*"),
    COUNTIFS('QA Log'!D:D,A518,'QA Log'!M:M,"Vignette",'QA Log'!Z:Z,"Approved",'QA Log'!L:L,"*Vignette [7] First ANC Visit*"),
    COUNTIFS('QA Log'!D:D,A518,'QA Log'!M:M,"Vignette",'QA Log'!Z:Z,"Approved",'QA Log'!L:L,"*Vignette [8] Birth Spacing/ Family Planning :  FP Counselling*"),
    COUNTIFS('QA Log'!D:D,A518,'QA Log'!M:M,"Vignette",'QA Log'!Z:Z,"Approved",'QA Log'!L:L,"*Vignette [9] Birth Spacing: Change FP method to Injectable*"),
    COUNTIFS('QA Log'!D:D,A518,'QA Log'!M:M,"Vignette",'QA Log'!Z:Z,"Approved",'QA Log'!L:L,"*Vignette [10] Post Partum Haemorrhage - Atonic Uterus at Health Centre*")
  )
)</f>
        <v/>
      </c>
      <c r="BG518" s="105" t="str">
        <f>IF(A518&lt;&gt;"",COUNTIFS('QA Log'!D:D,A518,'QA Log'!M:M,"Vignette",'QA Log'!L:L,"Vignette [5] Labor",'QA Log'!Z:Z,"Approved"),"")</f>
        <v/>
      </c>
      <c r="BH518" s="105" t="str">
        <f>IF(A518&lt;&gt;"",COUNTIFS('QA Log'!D:D,A518,'QA Log'!M:M,"Vignette",'QA Log'!L:L,"Vignette [6] PNC pre Discharge",'QA Log'!Z:Z,"Approved"),"")</f>
        <v/>
      </c>
      <c r="BI518" s="105" t="str">
        <f>IF(A518&lt;&gt;"",COUNTIFS('QA Log'!D:D,A518,'QA Log'!M:M,"Vignette",'QA Log'!L:L,"Vignette [7] First ANC Visit",'QA Log'!Z:Z,"Approved"),"")</f>
        <v/>
      </c>
      <c r="BJ518" s="105" t="str">
        <f>IF(A518&lt;&gt;"",COUNTIFS('QA Log'!D:D,A518,'QA Log'!M:M,"Vignette",'QA Log'!L:L,"Vignette [8] Birth Spacing/ Family Planning :  FP Counselling",'QA Log'!Z:Z,"Approved"),"")</f>
        <v/>
      </c>
      <c r="BK518" s="105" t="str">
        <f>IF(A518&lt;&gt;"",COUNTIFS('QA Log'!D:D,A518,'QA Log'!M:M,"Vignette",'QA Log'!L:L,"Vignette [9] Birth Spacing: Change FP method to Injectable",'QA Log'!Z:Z,"Approved"),"")</f>
        <v/>
      </c>
      <c r="BL518" s="105" t="str">
        <f>IF(A518&lt;&gt;"",COUNTIFS('QA Log'!D:D,A518,'QA Log'!M:M,"Vignette",'QA Log'!L:L,"Vignette [10] Post Partum Haemorrhage - Atonic Uterus at Health Centre",'QA Log'!Z:Z,"Approved"),"")</f>
        <v/>
      </c>
      <c r="BM518" s="102" t="str">
        <f>IF(A518="","",SUM(
    COUNTIFS('QA Log'!D:D,A518,'QA Log'!M:M,"Vignette",'QA Log'!Z:Z,"Rejected",'QA Log'!L:L,"*Vignette [5] Labor*"),
    COUNTIFS('QA Log'!D:D,A518,'QA Log'!M:M,"Vignette",'QA Log'!Z:Z,"Rejected",'QA Log'!L:L,"*Vignette [6] PNC pre Discharge*"),
    COUNTIFS('QA Log'!D:D,A518,'QA Log'!M:M,"Vignette",'QA Log'!Z:Z,"Rejected",'QA Log'!L:L,"*Vignette [7] First ANC Visit*"),
    COUNTIFS('QA Log'!D:D,A518,'QA Log'!M:M,"Vignette",'QA Log'!Z:Z,"Rejected",'QA Log'!L:L,"*Vignette [8] Birth Spacing/ Family Planning :  FP Counselling*"),
    COUNTIFS('QA Log'!D:D,A518,'QA Log'!M:M,"Vignette",'QA Log'!Z:Z,"Rejected",'QA Log'!L:L,"*Vignette [9] Birth Spacing: Change FP method to Injectable*"),
    COUNTIFS('QA Log'!D:D,A518,'QA Log'!M:M,"Vignette",'QA Log'!Z:Z,"Rejected",'QA Log'!L:L,"*Vignette [10] Post Partum Haemorrhage - Atonic Uterus at Health Centre*")
  )
)</f>
        <v/>
      </c>
      <c r="BN518" s="107" t="str">
        <f t="shared" si="63"/>
        <v/>
      </c>
      <c r="BO518" s="103" t="str">
        <f t="shared" si="64"/>
        <v/>
      </c>
      <c r="BP518" s="102" t="str">
        <f>IF(A518="","",SUM(
COUNTIFS('QA Log'!D:D,A518,'QA Log'!M:M,"Vignette",'QA Log'!L:L,"*Exit Interview 1*"),
COUNTIFS('QA Log'!D:D,A518,'QA Log'!M:M,"Vignette",'QA Log'!L:L,"*Exit Interview 2*"),
)
)</f>
        <v/>
      </c>
      <c r="BQ518" s="102" t="str">
        <f>IF(
  A518="","",
  SUM(
    COUNTIFS('QA Log'!D:D,A518,'QA Log'!M:M,"Vignette",'QA Log'!Z:Z,"Approved",'QA Log'!L:L,"*Exit Interview 1*"),
    COUNTIFS('QA Log'!D:D,A518,'QA Log'!M:M,"Vignette",'QA Log'!Z:Z,"Approved",'QA Log'!L:L,"*Exit Interview 2*")
  )
)</f>
        <v/>
      </c>
      <c r="BR518" s="105" t="str">
        <f>IF(A518&lt;&gt;"",COUNTIFS('QA Log'!D:D,A518,'QA Log'!M:M,"Vignette",'QA Log'!L:L,"Exit Interview 1",'QA Log'!Z:Z,"Approved"),"")</f>
        <v/>
      </c>
      <c r="BS518" s="105" t="str">
        <f>IF(A518&lt;&gt;"",COUNTIFS('QA Log'!D:D,A518,'QA Log'!M:M,"Vignette",'QA Log'!L:L,"Exit Interview 2",'QA Log'!Z:Z,"Approved"),"")</f>
        <v/>
      </c>
      <c r="BT518" s="102" t="str">
        <f>IF(
  A518="","",
  SUM(
    COUNTIFS('QA Log'!D:D,A518,'QA Log'!M:M,"Vignette",'QA Log'!Z:Z,"Rejected",'QA Log'!L:L,"*Exit Interview 1*"),
    COUNTIFS('QA Log'!D:D,A518,'QA Log'!M:M,"Vignette",'QA Log'!Z:Z,"Rejected",'QA Log'!L:L,"*Exit Interview 2*")
  )
)</f>
        <v/>
      </c>
      <c r="BU518" s="107" t="str">
        <f t="shared" si="65"/>
        <v/>
      </c>
      <c r="BV518" s="102" t="str">
        <f t="shared" si="66"/>
        <v/>
      </c>
      <c r="BW518" s="102" t="str">
        <f t="shared" si="67"/>
        <v/>
      </c>
      <c r="BX518" s="102" t="str">
        <f t="shared" si="68"/>
        <v/>
      </c>
      <c r="BY518" s="102" t="str">
        <f t="shared" si="69"/>
        <v/>
      </c>
      <c r="BZ518" s="107" t="str">
        <f t="shared" si="70"/>
        <v/>
      </c>
      <c r="CA518" s="108" t="str">
        <f t="shared" si="71"/>
        <v/>
      </c>
      <c r="CB518" s="108" t="str">
        <f t="shared" si="72"/>
        <v/>
      </c>
      <c r="CC518" s="109" t="str">
        <f t="shared" si="73"/>
        <v/>
      </c>
      <c r="CD518" s="108" t="str">
        <f t="shared" si="74"/>
        <v/>
      </c>
      <c r="CE518" s="108" t="str">
        <f t="shared" si="75"/>
        <v/>
      </c>
      <c r="CF518" s="109" t="str">
        <f t="shared" si="76"/>
        <v/>
      </c>
      <c r="CG518" s="110" t="str">
        <f t="shared" si="77"/>
        <v/>
      </c>
      <c r="CH518" s="111"/>
    </row>
    <row r="519" spans="1:86" ht="12.75">
      <c r="A519" s="101"/>
      <c r="B519" s="102" t="e">
        <f t="array" aca="1" ref="B519" ca="1">_xludf.XLOOKUP(A519,'QA Log'!D:D,'QA Log'!E:E,"")</f>
        <v>#NAME?</v>
      </c>
      <c r="C519" s="102" t="e">
        <f t="array" aca="1" ref="C519" ca="1">_xludf.XLOOKUP(A519,'QA Log'!D:D,'QA Log'!F:F,"")</f>
        <v>#NAME?</v>
      </c>
      <c r="D519" s="102" t="e">
        <f t="array" aca="1" ref="D519" ca="1">_xludf.XLOOKUP(A519,'QA Log'!D:D,'QA Log'!H:H,"")</f>
        <v>#NAME?</v>
      </c>
      <c r="E519" s="102" t="e">
        <f t="array" aca="1" ref="E519" ca="1">_xludf.XLOOKUP(A519,'QA Log'!D:D,'QA Log'!G:G,"")</f>
        <v>#NAME?</v>
      </c>
      <c r="F519" s="103"/>
      <c r="G519" s="104"/>
      <c r="H519" s="104"/>
      <c r="I519" s="103" t="str">
        <f t="shared" si="52"/>
        <v/>
      </c>
      <c r="J519" s="102" t="str">
        <f>IF(A519="","",SUM(
COUNTIFS('QA Log'!D:D,A519,'QA Log'!M:M,"QQC",'QA Log'!L:L,"*1. General Management*"),
COUNTIFS('QA Log'!D:D,A519,'QA Log'!M:M,"QQC",'QA Log'!L:L,"*3. Curative Consultation (OPD)*"),
COUNTIFS('QA Log'!D:D,A519,'QA Log'!M:M,"QQC",'QA Log'!L:L,"*5. Laboratory*"),
COUNTIFS('QA Log'!D:D,A519,'QA Log'!M:M,"QQC",'QA Log'!L:L,"*6. Essential Medicine Management*"),
COUNTIFS('QA Log'!D:D,A519,'QA Log'!M:M,"QQC",'QA Log'!L:L,"*7. Tracer Medicine*"),
COUNTIFS('QA Log'!D:D,A519,'QA Log'!M:M,"QQC",'QA Log'!L:L,"*11. Additional Questions*")))</f>
        <v/>
      </c>
      <c r="K519" s="102" t="str">
        <f>IF(A519="","",SUM(
COUNTIFS('QA Log'!D:D,A519,'QA Log'!M:M,"QQC",'QA Log'!Z:Z,"Approved",'QA Log'!L:L,"*1. General Management*"),
COUNTIFS('QA Log'!D:D,A519,'QA Log'!M:M,"QQC",'QA Log'!Z:Z,"Approved",'QA Log'!L:L,"*3. Curative Consultation (OPD)*"),
COUNTIFS('QA Log'!D:D,A519,'QA Log'!M:M,"QQC",'QA Log'!Z:Z,"Approved",'QA Log'!L:L,"*5. Laboratory*"),
COUNTIFS('QA Log'!D:D,A519,'QA Log'!M:M,"QQC",'QA Log'!Z:Z,"Approved",'QA Log'!L:L,"*6. Essential Medicine Management*"),
COUNTIFS('QA Log'!D:D,A519,'QA Log'!M:M,"QQC",'QA Log'!Z:Z,"Approved",'QA Log'!L:L,"*7. Tracer Medicine*"),
COUNTIFS('QA Log'!D:D,A519,'QA Log'!M:M,"QQC",'QA Log'!Z:Z,"Approved",'QA Log'!L:L,"*11. Additional Questions*")))</f>
        <v/>
      </c>
      <c r="L519" s="102" t="str">
        <f>IF(A519&lt;&gt;"",COUNTIFS('QA Log'!D:D,A519,'QA Log'!M:M,"QQC",'QA Log'!L:L,"1. General Management",'QA Log'!Z:Z,"Approved"),"")</f>
        <v/>
      </c>
      <c r="M519" s="102" t="str">
        <f>IF(A519&lt;&gt;"",COUNTIFS('QA Log'!D:D,A519,'QA Log'!M:M,"QQC",'QA Log'!L:L,"3. Curative Consultation (OPD)",'QA Log'!Z:Z,"Approved"),"")</f>
        <v/>
      </c>
      <c r="N519" s="102" t="str">
        <f>IF(A519&lt;&gt;"",COUNTIFS('QA Log'!D:D,A519,'QA Log'!M:M,"QQC",'QA Log'!L:L,"5. Laboratory",'QA Log'!Z:Z,"Approved"),"")</f>
        <v/>
      </c>
      <c r="O519" s="102" t="str">
        <f>IF(A519&lt;&gt;"",COUNTIFS('QA Log'!D:D,A519,'QA Log'!M:M,"QQC",'QA Log'!L:L,"6. Essential Medicine Management",'QA Log'!Z:Z,"Approved"),"")</f>
        <v/>
      </c>
      <c r="P519" s="102" t="str">
        <f>IF(A519&lt;&gt;"",COUNTIFS('QA Log'!D:D,A519,'QA Log'!M:M,"QQC",'QA Log'!L:L,"7. Tracer Medicine",'QA Log'!Z:Z,"Approved"),"")</f>
        <v/>
      </c>
      <c r="Q519" s="102" t="str">
        <f>IF(A519&lt;&gt;"",COUNTIFS('QA Log'!D:D,A519,'QA Log'!M:M,"QQC",'QA Log'!L:L,"11. Additional Questions",'QA Log'!Z:Z,"Approved"),"")</f>
        <v/>
      </c>
      <c r="R519" s="102" t="str">
        <f>IF(A519="","",SUM(
COUNTIFS('QA Log'!D:D,A519,'QA Log'!M:M,"QQC",'QA Log'!Z:Z,"Rejected",'QA Log'!L:L,"*8. Maternity*"),
COUNTIFS('QA Log'!D:D,A519,'QA Log'!M:M,"QQC",'QA Log'!Z:Z,"Rejected",'QA Log'!L:L,"*EPI*"),
COUNTIFS('QA Log'!D:D,A519,'QA Log'!M:M,"QQC",'QA Log'!Z:Z,"Rejected",'QA Log'!L:L,"*10. Antenatal Care (ANC)*"),
COUNTIFS('QA Log'!D:D,A519,'QA Log'!M:M,"QQC",'QA Log'!Z:Z,"Rejected",'QA Log'!L:L,"*2. Hygiene and Sterilization*"),
COUNTIFS('QA Log'!D:D,A519,'QA Log'!M:M,"QQC",'QA Log'!Z:Z,"Rejected",'QA Log'!L:L,"*Family Planning*")))</f>
        <v/>
      </c>
      <c r="S519" s="106" t="str">
        <f t="shared" si="53"/>
        <v/>
      </c>
      <c r="T519" s="102" t="str">
        <f t="shared" si="54"/>
        <v/>
      </c>
      <c r="U519" s="102" t="str">
        <f>IF(A519="","",
SUM(
COUNTIFS('QA Log'!D:D,A519,'QA Log'!M:M,"QQC",'QA Log'!L:L,"*8. Maternity*"),
COUNTIFS('QA Log'!D:D,A519,'QA Log'!M:M,"QQC",'QA Log'!L:L,"*9. EPI and Pre-school Consultation*"),
COUNTIFS('QA Log'!D:D,A519,'QA Log'!M:M,"QQC",'QA Log'!L:L,"*10. Antenatal Care (ANC)*"),
COUNTIFS('QA Log'!D:D,A519,'QA Log'!M:M,"QQC",'QA Log'!L:L,"*2. Hygiene and Sterilization*"),
COUNTIFS('QA Log'!D:D,A519,'QA Log'!M:M,"QQC",'QA Log'!L:L,"*4. Family Planning*")
))</f>
        <v/>
      </c>
      <c r="V519" s="102" t="str">
        <f>IF(A519="","",
SUM(
COUNTIFS('QA Log'!D:D,A519,'QA Log'!M:M,"QQC",'QA Log'!Z:Z,"Approved",'QA Log'!L:L,"*8. Maternity*"),
COUNTIFS('QA Log'!D:D,A519,'QA Log'!M:M,"QQC",'QA Log'!Z:Z,"Approved",'QA Log'!L:L,"*9. EPI and Pre-school Consultation*"),
COUNTIFS('QA Log'!D:D,A519,'QA Log'!M:M,"QQC",'QA Log'!Z:Z,"Approved",'QA Log'!L:L,"*10. Antenatal Care (ANC)*"),
COUNTIFS('QA Log'!D:D,A519,'QA Log'!M:M,"QQC",'QA Log'!Z:Z,"Approved",'QA Log'!L:L,"*2. Hygiene and Sterilization*"),
COUNTIFS('QA Log'!D:D,A519,'QA Log'!M:M,"QQC",'QA Log'!Z:Z,"Approved",'QA Log'!L:L,"*4. Family Planning*")
))</f>
        <v/>
      </c>
      <c r="W519" s="102" t="str">
        <f>IF(A519&lt;&gt;"",COUNTIFS('QA Log'!D:D,A519,'QA Log'!M:M,"QQC",'QA Log'!L:L,"8. Maternity",'QA Log'!Z:Z,"Approved"),"")</f>
        <v/>
      </c>
      <c r="X519" s="105" t="str">
        <f>IF(A519&lt;&gt;"",COUNTIFS('QA Log'!D:D,A519,'QA Log'!M:M,"QQC",'QA Log'!L:L,"9. EPI and Pre-school Consultation",'QA Log'!Z:Z,"Approved"),"")</f>
        <v/>
      </c>
      <c r="Y519" s="102" t="str">
        <f>IF(A519&lt;&gt;"",COUNTIFS('QA Log'!D:D,A519,'QA Log'!M:M,"QQC",'QA Log'!L:L,"10. Antenatal Care (ANC)",'QA Log'!Z:Z,"Approved"),"")</f>
        <v/>
      </c>
      <c r="Z519" s="102" t="str">
        <f>IF(A519&lt;&gt;"",COUNTIFS('QA Log'!D:D,A519,'QA Log'!M:M,"QQC",'QA Log'!L:L,"2. Hygiene and Sterilization",'QA Log'!Z:Z,"Approved"),"")</f>
        <v/>
      </c>
      <c r="AA519" s="105" t="str">
        <f>IF(A519&lt;&gt;"",COUNTIFS('QA Log'!D:D,A519,'QA Log'!M:M,"QQC",'QA Log'!L:L,"4. Family Planning",'QA Log'!Z:Z,"Approved"),"")</f>
        <v/>
      </c>
      <c r="AB519" s="102" t="str">
        <f>IF(A519="","",
SUM(
COUNTIFS('QA Log'!D:D,A519,'QA Log'!M:M,"QQC",'QA Log'!Z:Z,"Rejected",'QA Log'!L:L,"*8. Maternity*"),
COUNTIFS('QA Log'!D:D,A519,'QA Log'!M:M,"QQC",'QA Log'!Z:Z,"Rejected",'QA Log'!L:L,"*9. EPI and Pre-school Consultation*"),
COUNTIFS('QA Log'!D:D,A519,'QA Log'!M:M,"QQC",'QA Log'!Z:Z,"Rejected",'QA Log'!L:L,"*10. Antenatal Care (ANC)*"),
COUNTIFS('QA Log'!D:D,A519,'QA Log'!M:M,"QQC",'QA Log'!Z:Z,"Rejected",'QA Log'!L:L,"*2. Hygiene and Sterilization*"),
COUNTIFS('QA Log'!D:D,A519,'QA Log'!M:M,"QQC",'QA Log'!Z:Z,"Rejected",'QA Log'!L:L,"*4. Family Planning*")
))</f>
        <v/>
      </c>
      <c r="AC519" s="102" t="str">
        <f t="shared" si="55"/>
        <v/>
      </c>
      <c r="AD519" s="103" t="str">
        <f t="shared" si="56"/>
        <v/>
      </c>
      <c r="AE519" s="102" t="str">
        <f>IF(A519="","",
SUM(
COUNTIFS('QA Log'!D:D,A519,'QA Log'!M:M,"Data Verification",'QA Log'!L:L,"*Medicine (section 2)*"),
COUNTIFS('QA Log'!D:D,A519,'QA Log'!M:M,"Data Verification",'QA Log'!L:L,"*Lab Testing Availability*"),
COUNTIFS('QA Log'!D:D,A519,'QA Log'!M:M,"Data Verification",'QA Log'!L:L,"*Other than P4P (section 6)*"),
COUNTIFS('QA Log'!D:D,A519,'QA Log'!M:M,"Data Verification",'QA Log'!L:L,"*Hospital Governance*")
))</f>
        <v/>
      </c>
      <c r="AF519" s="102" t="str">
        <f>IF(A519="","",
SUM(
COUNTIFS('QA Log'!D:D,A519,'QA Log'!M:M,"Data Verification",'QA Log'!Z:Z,"Approved",'QA Log'!L:L,"*Medicine (section 2)*"),
COUNTIFS('QA Log'!D:D,A519,'QA Log'!M:M,"Data Verification",'QA Log'!Z:Z,"Approved",'QA Log'!L:L,"*Lab Testing Availability*"),
COUNTIFS('QA Log'!D:D,A519,'QA Log'!M:M,"Data Verification",'QA Log'!Z:Z,"Approved",'QA Log'!L:L,"*Other than P4P (section 6)*"),
COUNTIFS('QA Log'!D:D,A519,'QA Log'!M:M,"Data Verification",'QA Log'!Z:Z,"Approved",'QA Log'!L:L,"*Hospital Governance*")
))</f>
        <v/>
      </c>
      <c r="AG519" s="105" t="str">
        <f>IF(A519&lt;&gt;"",COUNTIFS('QA Log'!D:D,A519,'QA Log'!M:M,"Data Verification",'QA Log'!L:L,"Medicine (section 2)",'QA Log'!Z:Z,"Approved"),"")</f>
        <v/>
      </c>
      <c r="AH519" s="105" t="str">
        <f>IF(A519&lt;&gt;"",COUNTIFS('QA Log'!D:D,A519,'QA Log'!M:M,"Data Verification",'QA Log'!L:L,"Lab Testing Availability",'QA Log'!Z:Z,"Approved"),"")</f>
        <v/>
      </c>
      <c r="AI519" s="105" t="str">
        <f>IF(A519&lt;&gt;"",COUNTIFS('QA Log'!D:D,A519,'QA Log'!M:M,"Data Verification",'QA Log'!L:L,"Other than P4P (section 6)",'QA Log'!Z:Z,"Approved"),"")</f>
        <v/>
      </c>
      <c r="AJ519" s="105" t="str">
        <f>IF(A519&lt;&gt;"",COUNTIFS('QA Log'!D:D,A519,'QA Log'!M:M,"Data Verification",'QA Log'!L:L,"Hospital Governance",'QA Log'!Z:Z,"Approved"),"")</f>
        <v/>
      </c>
      <c r="AK519" s="102" t="str">
        <f>IF(A519="","",
SUM(
COUNTIFS('QA Log'!D:D,A519,'QA Log'!M:M,"Data Verification",'QA Log'!Z:Z,"Rejected",'QA Log'!L:L,"*Medicine (section 2)*"),
COUNTIFS('QA Log'!D:D,A519,'QA Log'!M:M,"Data Verification",'QA Log'!Z:Z,"Rejected",'QA Log'!L:L,"*Lab Testing Availability*"),
COUNTIFS('QA Log'!D:D,A519,'QA Log'!M:M,"Data Verification",'QA Log'!Z:Z,"Rejected",'QA Log'!L:L,"*Other than P4P (section 6)*"),
COUNTIFS('QA Log'!D:D,A519,'QA Log'!M:M,"Data Verification",'QA Log'!Z:Z,"Rejected",'QA Log'!L:L,"*Hospital Governance*")
))</f>
        <v/>
      </c>
      <c r="AL519" s="106" t="str">
        <f t="shared" si="57"/>
        <v/>
      </c>
      <c r="AM519" s="102" t="str">
        <f t="shared" si="58"/>
        <v/>
      </c>
      <c r="AN519" s="102" t="str">
        <f>IF(A519="","",
SUM(
COUNTIFS('QA Log'!D:D,A519,'QA Log'!M:M,"Data Verification",'QA Log'!L:L,"*Personnel (section 1)*"),
COUNTIFS('QA Log'!D:D,A519,'QA Log'!M:M,"Data Verification",'QA Log'!L:L,"*Consumable (section 3)*"),
COUNTIFS('QA Log'!D:D,A519,'QA Log'!M:M,"Data Verification",'QA Log'!L:L,"*Equipments (section 4)*")
))</f>
        <v/>
      </c>
      <c r="AO519" s="102" t="str">
        <f>IF(A519="","",
SUM(
COUNTIFS('QA Log'!D:D,A519,'QA Log'!M:M,"Data Verification",'QA Log'!Z:Z,"Approved",'QA Log'!L:L,"*Personnel (section 1)*"),
COUNTIFS('QA Log'!D:D,A519,'QA Log'!M:M,"Data Verification",'QA Log'!Z:Z,"Approved",'QA Log'!L:L,"*Consumable (section 3)*"),
COUNTIFS('QA Log'!D:D,A519,'QA Log'!M:M,"Data Verification",'QA Log'!Z:Z,"Approved",'QA Log'!L:L,"*Equipments (section 4)*")
))</f>
        <v/>
      </c>
      <c r="AP519" s="105" t="str">
        <f>IF(A519&lt;&gt;"",COUNTIFS('QA Log'!D:D,A519,'QA Log'!M:M,"Data Verification",'QA Log'!L:L,"Personnel (section 1)",'QA Log'!Z:Z,"Approved"),"")</f>
        <v/>
      </c>
      <c r="AQ519" s="105" t="str">
        <f>IF(A519&lt;&gt;"",COUNTIFS('QA Log'!D:D,A519,'QA Log'!M:M,"Data Verification",'QA Log'!L:L,"Consumable (section 3)",'QA Log'!Z:Z,"Approved"),"")</f>
        <v/>
      </c>
      <c r="AR519" s="105" t="str">
        <f>IF(A519&lt;&gt;"",COUNTIFS('QA Log'!D:D,A519,'QA Log'!M:M,"Data Verification",'QA Log'!L:L,"Equipments (section 4)",'QA Log'!Z:Z,"Approved"),"")</f>
        <v/>
      </c>
      <c r="AS519" s="102" t="str">
        <f>IF(A519="","",
SUM(
COUNTIFS('QA Log'!D:D,A519,'QA Log'!M:M,"Data Verification",'QA Log'!Z:Z,"Rejected",'QA Log'!L:L,"*Personnel (section 1)*"),
COUNTIFS('QA Log'!D:D,A519,'QA Log'!M:M,"Data Verification",'QA Log'!Z:Z,"Rejected",'QA Log'!L:L,"*Consumable (section 3)*"),
COUNTIFS('QA Log'!D:D,A519,'QA Log'!M:M,"Data Verification",'QA Log'!Z:Z,"Rejected",'QA Log'!L:L,"*Equipments (section 4)*")
))</f>
        <v/>
      </c>
      <c r="AT519" s="102" t="str">
        <f t="shared" si="59"/>
        <v/>
      </c>
      <c r="AU519" s="103" t="str">
        <f t="shared" si="60"/>
        <v/>
      </c>
      <c r="AV519" s="102" t="str">
        <f>IF(A519="","",SUM(
COUNTIFS('QA Log'!D:D,A519,'QA Log'!M:M,"Vignette",'QA Log'!L:L,"*Vignette [1] Respiratory Infection: Pneumonia*"),
COUNTIFS('QA Log'!D:D,A519,'QA Log'!M:M,"Vignette",'QA Log'!L:L,"*Vignette [2]: Diarrhea with Cat B dehydration*"),
COUNTIFS('QA Log'!D:D,A519,'QA Log'!M:M,"Vignette",'QA Log'!L:L,"*Vignette [3] Growth Monitoring and Promotion*"),
COUNTIFS('QA Log'!D:D,A519,'QA Log'!M:M,"Vignette",'QA Log'!L:L,"*Vignette [4]: The management of presumptive TB patient*")
)
)</f>
        <v/>
      </c>
      <c r="AW519" s="102" t="str">
        <f>IF(
  A519="","",
  SUM(
    COUNTIFS('QA Log'!D:D,A519,'QA Log'!M:M,"Vignette",'QA Log'!Z:Z,"Approved",'QA Log'!L:L,"*Vignette [1] Respiratory Infection: Pneumonia*"),
    COUNTIFS('QA Log'!D:D,A519,'QA Log'!M:M,"Vignette",'QA Log'!Z:Z,"Approved",'QA Log'!L:L,"*Vignette [2]: Diarrhea with Cat B dehydration*"),
    COUNTIFS('QA Log'!D:D,A519,'QA Log'!M:M,"Vignette",'QA Log'!Z:Z,"Approved",'QA Log'!L:L,"*Vignette [3] Growth Monitoring and Promotion*"),
    COUNTIFS('QA Log'!D:D,A519,'QA Log'!M:M,"Vignette",'QA Log'!Z:Z,"Approved",'QA Log'!L:L,"*Vignette [4]: The management of presumptive TB patient*")
  )
)</f>
        <v/>
      </c>
      <c r="AX519" s="105" t="str">
        <f>IF(A519&lt;&gt;"",COUNTIFS('QA Log'!D:D,A519,'QA Log'!M:M,"Vignette",'QA Log'!L:L,"Vignette [1] Respiratory Infection: Pneumonia",'QA Log'!Z:Z,"Approved"),"")</f>
        <v/>
      </c>
      <c r="AY519" s="105" t="str">
        <f>IF(A519&lt;&gt;"",COUNTIFS('QA Log'!D:D,A519,'QA Log'!M:M,"Vignette",'QA Log'!L:L,"Vignette [2]: Diarrhea with Cat B dehydration",'QA Log'!Z:Z,"Approved"),"")</f>
        <v/>
      </c>
      <c r="AZ519" s="105" t="str">
        <f>IF(A519&lt;&gt;"",COUNTIFS('QA Log'!D:D,A519,'QA Log'!M:M,"Vignette",'QA Log'!L:L,"Vignette [3] Growth Monitoring and Promotion",'QA Log'!Z:Z,"Approved"),"")</f>
        <v/>
      </c>
      <c r="BA519" s="105" t="str">
        <f>IF(A519&lt;&gt;"",COUNTIFS('QA Log'!D:D,A519,'QA Log'!M:M,"Vignette",'QA Log'!L:L,"Vignette [4]: The management of presumptive TB patient",'QA Log'!Z:Z,"Approved"),"")</f>
        <v/>
      </c>
      <c r="BB519" s="102" t="str">
        <f>IF(A519="","",
  SUM(
    COUNTIFS('QA Log'!D:D,A519,'QA Log'!M:M,"Vignette",'QA Log'!Z:Z,"Rejected",'QA Log'!L:L,"*Vignette [1] Respiratory Infection: Pneumonia*"),
    COUNTIFS('QA Log'!D:D,A519,'QA Log'!M:M,"Vignette",'QA Log'!Z:Z,"Rejected",'QA Log'!L:L,"*Vignette [2]: Diarrhea with Cat B dehydration*"),
    COUNTIFS('QA Log'!D:D,A519,'QA Log'!M:M,"Vignette",'QA Log'!Z:Z,"Rejected",'QA Log'!L:L,"*Vignette [3] Growth Monitoring and Promotion*"),
    COUNTIFS('QA Log'!D:D,A519,'QA Log'!M:M,"Vignette",'QA Log'!Z:Z,"Rejected",'QA Log'!L:L,"*Vignette [4]: The management of presumptive TB patient*")
  )
)</f>
        <v/>
      </c>
      <c r="BC519" s="107" t="str">
        <f t="shared" si="61"/>
        <v/>
      </c>
      <c r="BD519" s="103" t="str">
        <f t="shared" si="62"/>
        <v/>
      </c>
      <c r="BE519" s="102" t="str">
        <f>IF(A519="","",SUM(
COUNTIFS('QA Log'!D:D,A519,'QA Log'!M:M,"Vignette",'QA Log'!L:L,"*Vignette [5] Labor*"),
COUNTIFS('QA Log'!D:D,A519,'QA Log'!M:M,"Vignette",'QA Log'!L:L,"*Vignette [6] PNC pre Discharge*"),
COUNTIFS('QA Log'!D:D,A519,'QA Log'!M:M,"Vignette",'QA Log'!L:L,"*Vignette [7] First ANC Visit*"),
COUNTIFS('QA Log'!D:D,A519,'QA Log'!M:M,"Vignette",'QA Log'!L:L,"*Vignette [8] Birth Spacing/ Family Planning :  FP Counselling*"),
COUNTIFS('QA Log'!D:D,A519,'QA Log'!M:M,"Vignette",'QA Log'!L:L,"*Vignette [9] Birth Spacing: Change FP method to Injectable*"),
COUNTIFS('QA Log'!D:D,A519,'QA Log'!M:M,"Vignette",'QA Log'!L:L,"*Vignette [10] Post Partum Haemorrhage - Atonic Uterus at Health Centre*"),
)
)</f>
        <v/>
      </c>
      <c r="BF519" s="102" t="str">
        <f>IF(A519="","",
  SUM(
    COUNTIFS('QA Log'!D:D,A519,'QA Log'!M:M,"Vignette",'QA Log'!Z:Z,"Approved",'QA Log'!L:L,"*Vignette [5] Labor*"),
    COUNTIFS('QA Log'!D:D,A519,'QA Log'!M:M,"Vignette",'QA Log'!Z:Z,"Approved",'QA Log'!L:L,"*Vignette [6] PNC pre Discharge*"),
    COUNTIFS('QA Log'!D:D,A519,'QA Log'!M:M,"Vignette",'QA Log'!Z:Z,"Approved",'QA Log'!L:L,"*Vignette [7] First ANC Visit*"),
    COUNTIFS('QA Log'!D:D,A519,'QA Log'!M:M,"Vignette",'QA Log'!Z:Z,"Approved",'QA Log'!L:L,"*Vignette [8] Birth Spacing/ Family Planning :  FP Counselling*"),
    COUNTIFS('QA Log'!D:D,A519,'QA Log'!M:M,"Vignette",'QA Log'!Z:Z,"Approved",'QA Log'!L:L,"*Vignette [9] Birth Spacing: Change FP method to Injectable*"),
    COUNTIFS('QA Log'!D:D,A519,'QA Log'!M:M,"Vignette",'QA Log'!Z:Z,"Approved",'QA Log'!L:L,"*Vignette [10] Post Partum Haemorrhage - Atonic Uterus at Health Centre*")
  )
)</f>
        <v/>
      </c>
      <c r="BG519" s="105" t="str">
        <f>IF(A519&lt;&gt;"",COUNTIFS('QA Log'!D:D,A519,'QA Log'!M:M,"Vignette",'QA Log'!L:L,"Vignette [5] Labor",'QA Log'!Z:Z,"Approved"),"")</f>
        <v/>
      </c>
      <c r="BH519" s="105" t="str">
        <f>IF(A519&lt;&gt;"",COUNTIFS('QA Log'!D:D,A519,'QA Log'!M:M,"Vignette",'QA Log'!L:L,"Vignette [6] PNC pre Discharge",'QA Log'!Z:Z,"Approved"),"")</f>
        <v/>
      </c>
      <c r="BI519" s="105" t="str">
        <f>IF(A519&lt;&gt;"",COUNTIFS('QA Log'!D:D,A519,'QA Log'!M:M,"Vignette",'QA Log'!L:L,"Vignette [7] First ANC Visit",'QA Log'!Z:Z,"Approved"),"")</f>
        <v/>
      </c>
      <c r="BJ519" s="105" t="str">
        <f>IF(A519&lt;&gt;"",COUNTIFS('QA Log'!D:D,A519,'QA Log'!M:M,"Vignette",'QA Log'!L:L,"Vignette [8] Birth Spacing/ Family Planning :  FP Counselling",'QA Log'!Z:Z,"Approved"),"")</f>
        <v/>
      </c>
      <c r="BK519" s="105" t="str">
        <f>IF(A519&lt;&gt;"",COUNTIFS('QA Log'!D:D,A519,'QA Log'!M:M,"Vignette",'QA Log'!L:L,"Vignette [9] Birth Spacing: Change FP method to Injectable",'QA Log'!Z:Z,"Approved"),"")</f>
        <v/>
      </c>
      <c r="BL519" s="105" t="str">
        <f>IF(A519&lt;&gt;"",COUNTIFS('QA Log'!D:D,A519,'QA Log'!M:M,"Vignette",'QA Log'!L:L,"Vignette [10] Post Partum Haemorrhage - Atonic Uterus at Health Centre",'QA Log'!Z:Z,"Approved"),"")</f>
        <v/>
      </c>
      <c r="BM519" s="102" t="str">
        <f>IF(A519="","",SUM(
    COUNTIFS('QA Log'!D:D,A519,'QA Log'!M:M,"Vignette",'QA Log'!Z:Z,"Rejected",'QA Log'!L:L,"*Vignette [5] Labor*"),
    COUNTIFS('QA Log'!D:D,A519,'QA Log'!M:M,"Vignette",'QA Log'!Z:Z,"Rejected",'QA Log'!L:L,"*Vignette [6] PNC pre Discharge*"),
    COUNTIFS('QA Log'!D:D,A519,'QA Log'!M:M,"Vignette",'QA Log'!Z:Z,"Rejected",'QA Log'!L:L,"*Vignette [7] First ANC Visit*"),
    COUNTIFS('QA Log'!D:D,A519,'QA Log'!M:M,"Vignette",'QA Log'!Z:Z,"Rejected",'QA Log'!L:L,"*Vignette [8] Birth Spacing/ Family Planning :  FP Counselling*"),
    COUNTIFS('QA Log'!D:D,A519,'QA Log'!M:M,"Vignette",'QA Log'!Z:Z,"Rejected",'QA Log'!L:L,"*Vignette [9] Birth Spacing: Change FP method to Injectable*"),
    COUNTIFS('QA Log'!D:D,A519,'QA Log'!M:M,"Vignette",'QA Log'!Z:Z,"Rejected",'QA Log'!L:L,"*Vignette [10] Post Partum Haemorrhage - Atonic Uterus at Health Centre*")
  )
)</f>
        <v/>
      </c>
      <c r="BN519" s="107" t="str">
        <f t="shared" si="63"/>
        <v/>
      </c>
      <c r="BO519" s="103" t="str">
        <f t="shared" si="64"/>
        <v/>
      </c>
      <c r="BP519" s="102" t="str">
        <f>IF(A519="","",SUM(
COUNTIFS('QA Log'!D:D,A519,'QA Log'!M:M,"Vignette",'QA Log'!L:L,"*Exit Interview 1*"),
COUNTIFS('QA Log'!D:D,A519,'QA Log'!M:M,"Vignette",'QA Log'!L:L,"*Exit Interview 2*"),
)
)</f>
        <v/>
      </c>
      <c r="BQ519" s="102" t="str">
        <f>IF(
  A519="","",
  SUM(
    COUNTIFS('QA Log'!D:D,A519,'QA Log'!M:M,"Vignette",'QA Log'!Z:Z,"Approved",'QA Log'!L:L,"*Exit Interview 1*"),
    COUNTIFS('QA Log'!D:D,A519,'QA Log'!M:M,"Vignette",'QA Log'!Z:Z,"Approved",'QA Log'!L:L,"*Exit Interview 2*")
  )
)</f>
        <v/>
      </c>
      <c r="BR519" s="105" t="str">
        <f>IF(A519&lt;&gt;"",COUNTIFS('QA Log'!D:D,A519,'QA Log'!M:M,"Vignette",'QA Log'!L:L,"Exit Interview 1",'QA Log'!Z:Z,"Approved"),"")</f>
        <v/>
      </c>
      <c r="BS519" s="105" t="str">
        <f>IF(A519&lt;&gt;"",COUNTIFS('QA Log'!D:D,A519,'QA Log'!M:M,"Vignette",'QA Log'!L:L,"Exit Interview 2",'QA Log'!Z:Z,"Approved"),"")</f>
        <v/>
      </c>
      <c r="BT519" s="102" t="str">
        <f>IF(
  A519="","",
  SUM(
    COUNTIFS('QA Log'!D:D,A519,'QA Log'!M:M,"Vignette",'QA Log'!Z:Z,"Rejected",'QA Log'!L:L,"*Exit Interview 1*"),
    COUNTIFS('QA Log'!D:D,A519,'QA Log'!M:M,"Vignette",'QA Log'!Z:Z,"Rejected",'QA Log'!L:L,"*Exit Interview 2*")
  )
)</f>
        <v/>
      </c>
      <c r="BU519" s="107" t="str">
        <f t="shared" si="65"/>
        <v/>
      </c>
      <c r="BV519" s="102" t="str">
        <f t="shared" si="66"/>
        <v/>
      </c>
      <c r="BW519" s="102" t="str">
        <f t="shared" si="67"/>
        <v/>
      </c>
      <c r="BX519" s="102" t="str">
        <f t="shared" si="68"/>
        <v/>
      </c>
      <c r="BY519" s="102" t="str">
        <f t="shared" si="69"/>
        <v/>
      </c>
      <c r="BZ519" s="107" t="str">
        <f t="shared" si="70"/>
        <v/>
      </c>
      <c r="CA519" s="108" t="str">
        <f t="shared" si="71"/>
        <v/>
      </c>
      <c r="CB519" s="108" t="str">
        <f t="shared" si="72"/>
        <v/>
      </c>
      <c r="CC519" s="109" t="str">
        <f t="shared" si="73"/>
        <v/>
      </c>
      <c r="CD519" s="108" t="str">
        <f t="shared" si="74"/>
        <v/>
      </c>
      <c r="CE519" s="108" t="str">
        <f t="shared" si="75"/>
        <v/>
      </c>
      <c r="CF519" s="109" t="str">
        <f t="shared" si="76"/>
        <v/>
      </c>
      <c r="CG519" s="110" t="str">
        <f t="shared" si="77"/>
        <v/>
      </c>
      <c r="CH519" s="111"/>
    </row>
    <row r="520" spans="1:86" ht="12.75">
      <c r="A520" s="101"/>
      <c r="B520" s="102" t="e">
        <f t="array" aca="1" ref="B520" ca="1">_xludf.XLOOKUP(A520,'QA Log'!D:D,'QA Log'!E:E,"")</f>
        <v>#NAME?</v>
      </c>
      <c r="C520" s="102" t="e">
        <f t="array" aca="1" ref="C520" ca="1">_xludf.XLOOKUP(A520,'QA Log'!D:D,'QA Log'!F:F,"")</f>
        <v>#NAME?</v>
      </c>
      <c r="D520" s="102" t="e">
        <f t="array" aca="1" ref="D520" ca="1">_xludf.XLOOKUP(A520,'QA Log'!D:D,'QA Log'!H:H,"")</f>
        <v>#NAME?</v>
      </c>
      <c r="E520" s="102" t="e">
        <f t="array" aca="1" ref="E520" ca="1">_xludf.XLOOKUP(A520,'QA Log'!D:D,'QA Log'!G:G,"")</f>
        <v>#NAME?</v>
      </c>
      <c r="F520" s="103"/>
      <c r="G520" s="104"/>
      <c r="H520" s="104"/>
      <c r="I520" s="103" t="str">
        <f t="shared" si="52"/>
        <v/>
      </c>
      <c r="J520" s="102" t="str">
        <f>IF(A520="","",SUM(
COUNTIFS('QA Log'!D:D,A520,'QA Log'!M:M,"QQC",'QA Log'!L:L,"*1. General Management*"),
COUNTIFS('QA Log'!D:D,A520,'QA Log'!M:M,"QQC",'QA Log'!L:L,"*3. Curative Consultation (OPD)*"),
COUNTIFS('QA Log'!D:D,A520,'QA Log'!M:M,"QQC",'QA Log'!L:L,"*5. Laboratory*"),
COUNTIFS('QA Log'!D:D,A520,'QA Log'!M:M,"QQC",'QA Log'!L:L,"*6. Essential Medicine Management*"),
COUNTIFS('QA Log'!D:D,A520,'QA Log'!M:M,"QQC",'QA Log'!L:L,"*7. Tracer Medicine*"),
COUNTIFS('QA Log'!D:D,A520,'QA Log'!M:M,"QQC",'QA Log'!L:L,"*11. Additional Questions*")))</f>
        <v/>
      </c>
      <c r="K520" s="102" t="str">
        <f>IF(A520="","",SUM(
COUNTIFS('QA Log'!D:D,A520,'QA Log'!M:M,"QQC",'QA Log'!Z:Z,"Approved",'QA Log'!L:L,"*1. General Management*"),
COUNTIFS('QA Log'!D:D,A520,'QA Log'!M:M,"QQC",'QA Log'!Z:Z,"Approved",'QA Log'!L:L,"*3. Curative Consultation (OPD)*"),
COUNTIFS('QA Log'!D:D,A520,'QA Log'!M:M,"QQC",'QA Log'!Z:Z,"Approved",'QA Log'!L:L,"*5. Laboratory*"),
COUNTIFS('QA Log'!D:D,A520,'QA Log'!M:M,"QQC",'QA Log'!Z:Z,"Approved",'QA Log'!L:L,"*6. Essential Medicine Management*"),
COUNTIFS('QA Log'!D:D,A520,'QA Log'!M:M,"QQC",'QA Log'!Z:Z,"Approved",'QA Log'!L:L,"*7. Tracer Medicine*"),
COUNTIFS('QA Log'!D:D,A520,'QA Log'!M:M,"QQC",'QA Log'!Z:Z,"Approved",'QA Log'!L:L,"*11. Additional Questions*")))</f>
        <v/>
      </c>
      <c r="L520" s="102" t="str">
        <f>IF(A520&lt;&gt;"",COUNTIFS('QA Log'!D:D,A520,'QA Log'!M:M,"QQC",'QA Log'!L:L,"1. General Management",'QA Log'!Z:Z,"Approved"),"")</f>
        <v/>
      </c>
      <c r="M520" s="102" t="str">
        <f>IF(A520&lt;&gt;"",COUNTIFS('QA Log'!D:D,A520,'QA Log'!M:M,"QQC",'QA Log'!L:L,"3. Curative Consultation (OPD)",'QA Log'!Z:Z,"Approved"),"")</f>
        <v/>
      </c>
      <c r="N520" s="102" t="str">
        <f>IF(A520&lt;&gt;"",COUNTIFS('QA Log'!D:D,A520,'QA Log'!M:M,"QQC",'QA Log'!L:L,"5. Laboratory",'QA Log'!Z:Z,"Approved"),"")</f>
        <v/>
      </c>
      <c r="O520" s="102" t="str">
        <f>IF(A520&lt;&gt;"",COUNTIFS('QA Log'!D:D,A520,'QA Log'!M:M,"QQC",'QA Log'!L:L,"6. Essential Medicine Management",'QA Log'!Z:Z,"Approved"),"")</f>
        <v/>
      </c>
      <c r="P520" s="102" t="str">
        <f>IF(A520&lt;&gt;"",COUNTIFS('QA Log'!D:D,A520,'QA Log'!M:M,"QQC",'QA Log'!L:L,"7. Tracer Medicine",'QA Log'!Z:Z,"Approved"),"")</f>
        <v/>
      </c>
      <c r="Q520" s="102" t="str">
        <f>IF(A520&lt;&gt;"",COUNTIFS('QA Log'!D:D,A520,'QA Log'!M:M,"QQC",'QA Log'!L:L,"11. Additional Questions",'QA Log'!Z:Z,"Approved"),"")</f>
        <v/>
      </c>
      <c r="R520" s="102" t="str">
        <f>IF(A520="","",SUM(
COUNTIFS('QA Log'!D:D,A520,'QA Log'!M:M,"QQC",'QA Log'!Z:Z,"Rejected",'QA Log'!L:L,"*8. Maternity*"),
COUNTIFS('QA Log'!D:D,A520,'QA Log'!M:M,"QQC",'QA Log'!Z:Z,"Rejected",'QA Log'!L:L,"*EPI*"),
COUNTIFS('QA Log'!D:D,A520,'QA Log'!M:M,"QQC",'QA Log'!Z:Z,"Rejected",'QA Log'!L:L,"*10. Antenatal Care (ANC)*"),
COUNTIFS('QA Log'!D:D,A520,'QA Log'!M:M,"QQC",'QA Log'!Z:Z,"Rejected",'QA Log'!L:L,"*2. Hygiene and Sterilization*"),
COUNTIFS('QA Log'!D:D,A520,'QA Log'!M:M,"QQC",'QA Log'!Z:Z,"Rejected",'QA Log'!L:L,"*Family Planning*")))</f>
        <v/>
      </c>
      <c r="S520" s="106" t="str">
        <f t="shared" si="53"/>
        <v/>
      </c>
      <c r="T520" s="102" t="str">
        <f t="shared" si="54"/>
        <v/>
      </c>
      <c r="U520" s="102" t="str">
        <f>IF(A520="","",
SUM(
COUNTIFS('QA Log'!D:D,A520,'QA Log'!M:M,"QQC",'QA Log'!L:L,"*8. Maternity*"),
COUNTIFS('QA Log'!D:D,A520,'QA Log'!M:M,"QQC",'QA Log'!L:L,"*9. EPI and Pre-school Consultation*"),
COUNTIFS('QA Log'!D:D,A520,'QA Log'!M:M,"QQC",'QA Log'!L:L,"*10. Antenatal Care (ANC)*"),
COUNTIFS('QA Log'!D:D,A520,'QA Log'!M:M,"QQC",'QA Log'!L:L,"*2. Hygiene and Sterilization*"),
COUNTIFS('QA Log'!D:D,A520,'QA Log'!M:M,"QQC",'QA Log'!L:L,"*4. Family Planning*")
))</f>
        <v/>
      </c>
      <c r="V520" s="102" t="str">
        <f>IF(A520="","",
SUM(
COUNTIFS('QA Log'!D:D,A520,'QA Log'!M:M,"QQC",'QA Log'!Z:Z,"Approved",'QA Log'!L:L,"*8. Maternity*"),
COUNTIFS('QA Log'!D:D,A520,'QA Log'!M:M,"QQC",'QA Log'!Z:Z,"Approved",'QA Log'!L:L,"*9. EPI and Pre-school Consultation*"),
COUNTIFS('QA Log'!D:D,A520,'QA Log'!M:M,"QQC",'QA Log'!Z:Z,"Approved",'QA Log'!L:L,"*10. Antenatal Care (ANC)*"),
COUNTIFS('QA Log'!D:D,A520,'QA Log'!M:M,"QQC",'QA Log'!Z:Z,"Approved",'QA Log'!L:L,"*2. Hygiene and Sterilization*"),
COUNTIFS('QA Log'!D:D,A520,'QA Log'!M:M,"QQC",'QA Log'!Z:Z,"Approved",'QA Log'!L:L,"*4. Family Planning*")
))</f>
        <v/>
      </c>
      <c r="W520" s="102" t="str">
        <f>IF(A520&lt;&gt;"",COUNTIFS('QA Log'!D:D,A520,'QA Log'!M:M,"QQC",'QA Log'!L:L,"8. Maternity",'QA Log'!Z:Z,"Approved"),"")</f>
        <v/>
      </c>
      <c r="X520" s="105" t="str">
        <f>IF(A520&lt;&gt;"",COUNTIFS('QA Log'!D:D,A520,'QA Log'!M:M,"QQC",'QA Log'!L:L,"9. EPI and Pre-school Consultation",'QA Log'!Z:Z,"Approved"),"")</f>
        <v/>
      </c>
      <c r="Y520" s="102" t="str">
        <f>IF(A520&lt;&gt;"",COUNTIFS('QA Log'!D:D,A520,'QA Log'!M:M,"QQC",'QA Log'!L:L,"10. Antenatal Care (ANC)",'QA Log'!Z:Z,"Approved"),"")</f>
        <v/>
      </c>
      <c r="Z520" s="102" t="str">
        <f>IF(A520&lt;&gt;"",COUNTIFS('QA Log'!D:D,A520,'QA Log'!M:M,"QQC",'QA Log'!L:L,"2. Hygiene and Sterilization",'QA Log'!Z:Z,"Approved"),"")</f>
        <v/>
      </c>
      <c r="AA520" s="105" t="str">
        <f>IF(A520&lt;&gt;"",COUNTIFS('QA Log'!D:D,A520,'QA Log'!M:M,"QQC",'QA Log'!L:L,"4. Family Planning",'QA Log'!Z:Z,"Approved"),"")</f>
        <v/>
      </c>
      <c r="AB520" s="102" t="str">
        <f>IF(A520="","",
SUM(
COUNTIFS('QA Log'!D:D,A520,'QA Log'!M:M,"QQC",'QA Log'!Z:Z,"Rejected",'QA Log'!L:L,"*8. Maternity*"),
COUNTIFS('QA Log'!D:D,A520,'QA Log'!M:M,"QQC",'QA Log'!Z:Z,"Rejected",'QA Log'!L:L,"*9. EPI and Pre-school Consultation*"),
COUNTIFS('QA Log'!D:D,A520,'QA Log'!M:M,"QQC",'QA Log'!Z:Z,"Rejected",'QA Log'!L:L,"*10. Antenatal Care (ANC)*"),
COUNTIFS('QA Log'!D:D,A520,'QA Log'!M:M,"QQC",'QA Log'!Z:Z,"Rejected",'QA Log'!L:L,"*2. Hygiene and Sterilization*"),
COUNTIFS('QA Log'!D:D,A520,'QA Log'!M:M,"QQC",'QA Log'!Z:Z,"Rejected",'QA Log'!L:L,"*4. Family Planning*")
))</f>
        <v/>
      </c>
      <c r="AC520" s="102" t="str">
        <f t="shared" si="55"/>
        <v/>
      </c>
      <c r="AD520" s="103" t="str">
        <f t="shared" si="56"/>
        <v/>
      </c>
      <c r="AE520" s="102" t="str">
        <f>IF(A520="","",
SUM(
COUNTIFS('QA Log'!D:D,A520,'QA Log'!M:M,"Data Verification",'QA Log'!L:L,"*Medicine (section 2)*"),
COUNTIFS('QA Log'!D:D,A520,'QA Log'!M:M,"Data Verification",'QA Log'!L:L,"*Lab Testing Availability*"),
COUNTIFS('QA Log'!D:D,A520,'QA Log'!M:M,"Data Verification",'QA Log'!L:L,"*Other than P4P (section 6)*"),
COUNTIFS('QA Log'!D:D,A520,'QA Log'!M:M,"Data Verification",'QA Log'!L:L,"*Hospital Governance*")
))</f>
        <v/>
      </c>
      <c r="AF520" s="102" t="str">
        <f>IF(A520="","",
SUM(
COUNTIFS('QA Log'!D:D,A520,'QA Log'!M:M,"Data Verification",'QA Log'!Z:Z,"Approved",'QA Log'!L:L,"*Medicine (section 2)*"),
COUNTIFS('QA Log'!D:D,A520,'QA Log'!M:M,"Data Verification",'QA Log'!Z:Z,"Approved",'QA Log'!L:L,"*Lab Testing Availability*"),
COUNTIFS('QA Log'!D:D,A520,'QA Log'!M:M,"Data Verification",'QA Log'!Z:Z,"Approved",'QA Log'!L:L,"*Other than P4P (section 6)*"),
COUNTIFS('QA Log'!D:D,A520,'QA Log'!M:M,"Data Verification",'QA Log'!Z:Z,"Approved",'QA Log'!L:L,"*Hospital Governance*")
))</f>
        <v/>
      </c>
      <c r="AG520" s="105" t="str">
        <f>IF(A520&lt;&gt;"",COUNTIFS('QA Log'!D:D,A520,'QA Log'!M:M,"Data Verification",'QA Log'!L:L,"Medicine (section 2)",'QA Log'!Z:Z,"Approved"),"")</f>
        <v/>
      </c>
      <c r="AH520" s="105" t="str">
        <f>IF(A520&lt;&gt;"",COUNTIFS('QA Log'!D:D,A520,'QA Log'!M:M,"Data Verification",'QA Log'!L:L,"Lab Testing Availability",'QA Log'!Z:Z,"Approved"),"")</f>
        <v/>
      </c>
      <c r="AI520" s="105" t="str">
        <f>IF(A520&lt;&gt;"",COUNTIFS('QA Log'!D:D,A520,'QA Log'!M:M,"Data Verification",'QA Log'!L:L,"Other than P4P (section 6)",'QA Log'!Z:Z,"Approved"),"")</f>
        <v/>
      </c>
      <c r="AJ520" s="105" t="str">
        <f>IF(A520&lt;&gt;"",COUNTIFS('QA Log'!D:D,A520,'QA Log'!M:M,"Data Verification",'QA Log'!L:L,"Hospital Governance",'QA Log'!Z:Z,"Approved"),"")</f>
        <v/>
      </c>
      <c r="AK520" s="102" t="str">
        <f>IF(A520="","",
SUM(
COUNTIFS('QA Log'!D:D,A520,'QA Log'!M:M,"Data Verification",'QA Log'!Z:Z,"Rejected",'QA Log'!L:L,"*Medicine (section 2)*"),
COUNTIFS('QA Log'!D:D,A520,'QA Log'!M:M,"Data Verification",'QA Log'!Z:Z,"Rejected",'QA Log'!L:L,"*Lab Testing Availability*"),
COUNTIFS('QA Log'!D:D,A520,'QA Log'!M:M,"Data Verification",'QA Log'!Z:Z,"Rejected",'QA Log'!L:L,"*Other than P4P (section 6)*"),
COUNTIFS('QA Log'!D:D,A520,'QA Log'!M:M,"Data Verification",'QA Log'!Z:Z,"Rejected",'QA Log'!L:L,"*Hospital Governance*")
))</f>
        <v/>
      </c>
      <c r="AL520" s="106" t="str">
        <f t="shared" si="57"/>
        <v/>
      </c>
      <c r="AM520" s="102" t="str">
        <f t="shared" si="58"/>
        <v/>
      </c>
      <c r="AN520" s="102" t="str">
        <f>IF(A520="","",
SUM(
COUNTIFS('QA Log'!D:D,A520,'QA Log'!M:M,"Data Verification",'QA Log'!L:L,"*Personnel (section 1)*"),
COUNTIFS('QA Log'!D:D,A520,'QA Log'!M:M,"Data Verification",'QA Log'!L:L,"*Consumable (section 3)*"),
COUNTIFS('QA Log'!D:D,A520,'QA Log'!M:M,"Data Verification",'QA Log'!L:L,"*Equipments (section 4)*")
))</f>
        <v/>
      </c>
      <c r="AO520" s="102" t="str">
        <f>IF(A520="","",
SUM(
COUNTIFS('QA Log'!D:D,A520,'QA Log'!M:M,"Data Verification",'QA Log'!Z:Z,"Approved",'QA Log'!L:L,"*Personnel (section 1)*"),
COUNTIFS('QA Log'!D:D,A520,'QA Log'!M:M,"Data Verification",'QA Log'!Z:Z,"Approved",'QA Log'!L:L,"*Consumable (section 3)*"),
COUNTIFS('QA Log'!D:D,A520,'QA Log'!M:M,"Data Verification",'QA Log'!Z:Z,"Approved",'QA Log'!L:L,"*Equipments (section 4)*")
))</f>
        <v/>
      </c>
      <c r="AP520" s="105" t="str">
        <f>IF(A520&lt;&gt;"",COUNTIFS('QA Log'!D:D,A520,'QA Log'!M:M,"Data Verification",'QA Log'!L:L,"Personnel (section 1)",'QA Log'!Z:Z,"Approved"),"")</f>
        <v/>
      </c>
      <c r="AQ520" s="105" t="str">
        <f>IF(A520&lt;&gt;"",COUNTIFS('QA Log'!D:D,A520,'QA Log'!M:M,"Data Verification",'QA Log'!L:L,"Consumable (section 3)",'QA Log'!Z:Z,"Approved"),"")</f>
        <v/>
      </c>
      <c r="AR520" s="105" t="str">
        <f>IF(A520&lt;&gt;"",COUNTIFS('QA Log'!D:D,A520,'QA Log'!M:M,"Data Verification",'QA Log'!L:L,"Equipments (section 4)",'QA Log'!Z:Z,"Approved"),"")</f>
        <v/>
      </c>
      <c r="AS520" s="102" t="str">
        <f>IF(A520="","",
SUM(
COUNTIFS('QA Log'!D:D,A520,'QA Log'!M:M,"Data Verification",'QA Log'!Z:Z,"Rejected",'QA Log'!L:L,"*Personnel (section 1)*"),
COUNTIFS('QA Log'!D:D,A520,'QA Log'!M:M,"Data Verification",'QA Log'!Z:Z,"Rejected",'QA Log'!L:L,"*Consumable (section 3)*"),
COUNTIFS('QA Log'!D:D,A520,'QA Log'!M:M,"Data Verification",'QA Log'!Z:Z,"Rejected",'QA Log'!L:L,"*Equipments (section 4)*")
))</f>
        <v/>
      </c>
      <c r="AT520" s="102" t="str">
        <f t="shared" si="59"/>
        <v/>
      </c>
      <c r="AU520" s="103" t="str">
        <f t="shared" si="60"/>
        <v/>
      </c>
      <c r="AV520" s="102" t="str">
        <f>IF(A520="","",SUM(
COUNTIFS('QA Log'!D:D,A520,'QA Log'!M:M,"Vignette",'QA Log'!L:L,"*Vignette [1] Respiratory Infection: Pneumonia*"),
COUNTIFS('QA Log'!D:D,A520,'QA Log'!M:M,"Vignette",'QA Log'!L:L,"*Vignette [2]: Diarrhea with Cat B dehydration*"),
COUNTIFS('QA Log'!D:D,A520,'QA Log'!M:M,"Vignette",'QA Log'!L:L,"*Vignette [3] Growth Monitoring and Promotion*"),
COUNTIFS('QA Log'!D:D,A520,'QA Log'!M:M,"Vignette",'QA Log'!L:L,"*Vignette [4]: The management of presumptive TB patient*")
)
)</f>
        <v/>
      </c>
      <c r="AW520" s="102" t="str">
        <f>IF(
  A520="","",
  SUM(
    COUNTIFS('QA Log'!D:D,A520,'QA Log'!M:M,"Vignette",'QA Log'!Z:Z,"Approved",'QA Log'!L:L,"*Vignette [1] Respiratory Infection: Pneumonia*"),
    COUNTIFS('QA Log'!D:D,A520,'QA Log'!M:M,"Vignette",'QA Log'!Z:Z,"Approved",'QA Log'!L:L,"*Vignette [2]: Diarrhea with Cat B dehydration*"),
    COUNTIFS('QA Log'!D:D,A520,'QA Log'!M:M,"Vignette",'QA Log'!Z:Z,"Approved",'QA Log'!L:L,"*Vignette [3] Growth Monitoring and Promotion*"),
    COUNTIFS('QA Log'!D:D,A520,'QA Log'!M:M,"Vignette",'QA Log'!Z:Z,"Approved",'QA Log'!L:L,"*Vignette [4]: The management of presumptive TB patient*")
  )
)</f>
        <v/>
      </c>
      <c r="AX520" s="105" t="str">
        <f>IF(A520&lt;&gt;"",COUNTIFS('QA Log'!D:D,A520,'QA Log'!M:M,"Vignette",'QA Log'!L:L,"Vignette [1] Respiratory Infection: Pneumonia",'QA Log'!Z:Z,"Approved"),"")</f>
        <v/>
      </c>
      <c r="AY520" s="105" t="str">
        <f>IF(A520&lt;&gt;"",COUNTIFS('QA Log'!D:D,A520,'QA Log'!M:M,"Vignette",'QA Log'!L:L,"Vignette [2]: Diarrhea with Cat B dehydration",'QA Log'!Z:Z,"Approved"),"")</f>
        <v/>
      </c>
      <c r="AZ520" s="105" t="str">
        <f>IF(A520&lt;&gt;"",COUNTIFS('QA Log'!D:D,A520,'QA Log'!M:M,"Vignette",'QA Log'!L:L,"Vignette [3] Growth Monitoring and Promotion",'QA Log'!Z:Z,"Approved"),"")</f>
        <v/>
      </c>
      <c r="BA520" s="105" t="str">
        <f>IF(A520&lt;&gt;"",COUNTIFS('QA Log'!D:D,A520,'QA Log'!M:M,"Vignette",'QA Log'!L:L,"Vignette [4]: The management of presumptive TB patient",'QA Log'!Z:Z,"Approved"),"")</f>
        <v/>
      </c>
      <c r="BB520" s="102" t="str">
        <f>IF(A520="","",
  SUM(
    COUNTIFS('QA Log'!D:D,A520,'QA Log'!M:M,"Vignette",'QA Log'!Z:Z,"Rejected",'QA Log'!L:L,"*Vignette [1] Respiratory Infection: Pneumonia*"),
    COUNTIFS('QA Log'!D:D,A520,'QA Log'!M:M,"Vignette",'QA Log'!Z:Z,"Rejected",'QA Log'!L:L,"*Vignette [2]: Diarrhea with Cat B dehydration*"),
    COUNTIFS('QA Log'!D:D,A520,'QA Log'!M:M,"Vignette",'QA Log'!Z:Z,"Rejected",'QA Log'!L:L,"*Vignette [3] Growth Monitoring and Promotion*"),
    COUNTIFS('QA Log'!D:D,A520,'QA Log'!M:M,"Vignette",'QA Log'!Z:Z,"Rejected",'QA Log'!L:L,"*Vignette [4]: The management of presumptive TB patient*")
  )
)</f>
        <v/>
      </c>
      <c r="BC520" s="107" t="str">
        <f t="shared" si="61"/>
        <v/>
      </c>
      <c r="BD520" s="103" t="str">
        <f t="shared" si="62"/>
        <v/>
      </c>
      <c r="BE520" s="102" t="str">
        <f>IF(A520="","",SUM(
COUNTIFS('QA Log'!D:D,A520,'QA Log'!M:M,"Vignette",'QA Log'!L:L,"*Vignette [5] Labor*"),
COUNTIFS('QA Log'!D:D,A520,'QA Log'!M:M,"Vignette",'QA Log'!L:L,"*Vignette [6] PNC pre Discharge*"),
COUNTIFS('QA Log'!D:D,A520,'QA Log'!M:M,"Vignette",'QA Log'!L:L,"*Vignette [7] First ANC Visit*"),
COUNTIFS('QA Log'!D:D,A520,'QA Log'!M:M,"Vignette",'QA Log'!L:L,"*Vignette [8] Birth Spacing/ Family Planning :  FP Counselling*"),
COUNTIFS('QA Log'!D:D,A520,'QA Log'!M:M,"Vignette",'QA Log'!L:L,"*Vignette [9] Birth Spacing: Change FP method to Injectable*"),
COUNTIFS('QA Log'!D:D,A520,'QA Log'!M:M,"Vignette",'QA Log'!L:L,"*Vignette [10] Post Partum Haemorrhage - Atonic Uterus at Health Centre*"),
)
)</f>
        <v/>
      </c>
      <c r="BF520" s="102" t="str">
        <f>IF(A520="","",
  SUM(
    COUNTIFS('QA Log'!D:D,A520,'QA Log'!M:M,"Vignette",'QA Log'!Z:Z,"Approved",'QA Log'!L:L,"*Vignette [5] Labor*"),
    COUNTIFS('QA Log'!D:D,A520,'QA Log'!M:M,"Vignette",'QA Log'!Z:Z,"Approved",'QA Log'!L:L,"*Vignette [6] PNC pre Discharge*"),
    COUNTIFS('QA Log'!D:D,A520,'QA Log'!M:M,"Vignette",'QA Log'!Z:Z,"Approved",'QA Log'!L:L,"*Vignette [7] First ANC Visit*"),
    COUNTIFS('QA Log'!D:D,A520,'QA Log'!M:M,"Vignette",'QA Log'!Z:Z,"Approved",'QA Log'!L:L,"*Vignette [8] Birth Spacing/ Family Planning :  FP Counselling*"),
    COUNTIFS('QA Log'!D:D,A520,'QA Log'!M:M,"Vignette",'QA Log'!Z:Z,"Approved",'QA Log'!L:L,"*Vignette [9] Birth Spacing: Change FP method to Injectable*"),
    COUNTIFS('QA Log'!D:D,A520,'QA Log'!M:M,"Vignette",'QA Log'!Z:Z,"Approved",'QA Log'!L:L,"*Vignette [10] Post Partum Haemorrhage - Atonic Uterus at Health Centre*")
  )
)</f>
        <v/>
      </c>
      <c r="BG520" s="105" t="str">
        <f>IF(A520&lt;&gt;"",COUNTIFS('QA Log'!D:D,A520,'QA Log'!M:M,"Vignette",'QA Log'!L:L,"Vignette [5] Labor",'QA Log'!Z:Z,"Approved"),"")</f>
        <v/>
      </c>
      <c r="BH520" s="105" t="str">
        <f>IF(A520&lt;&gt;"",COUNTIFS('QA Log'!D:D,A520,'QA Log'!M:M,"Vignette",'QA Log'!L:L,"Vignette [6] PNC pre Discharge",'QA Log'!Z:Z,"Approved"),"")</f>
        <v/>
      </c>
      <c r="BI520" s="105" t="str">
        <f>IF(A520&lt;&gt;"",COUNTIFS('QA Log'!D:D,A520,'QA Log'!M:M,"Vignette",'QA Log'!L:L,"Vignette [7] First ANC Visit",'QA Log'!Z:Z,"Approved"),"")</f>
        <v/>
      </c>
      <c r="BJ520" s="105" t="str">
        <f>IF(A520&lt;&gt;"",COUNTIFS('QA Log'!D:D,A520,'QA Log'!M:M,"Vignette",'QA Log'!L:L,"Vignette [8] Birth Spacing/ Family Planning :  FP Counselling",'QA Log'!Z:Z,"Approved"),"")</f>
        <v/>
      </c>
      <c r="BK520" s="105" t="str">
        <f>IF(A520&lt;&gt;"",COUNTIFS('QA Log'!D:D,A520,'QA Log'!M:M,"Vignette",'QA Log'!L:L,"Vignette [9] Birth Spacing: Change FP method to Injectable",'QA Log'!Z:Z,"Approved"),"")</f>
        <v/>
      </c>
      <c r="BL520" s="105" t="str">
        <f>IF(A520&lt;&gt;"",COUNTIFS('QA Log'!D:D,A520,'QA Log'!M:M,"Vignette",'QA Log'!L:L,"Vignette [10] Post Partum Haemorrhage - Atonic Uterus at Health Centre",'QA Log'!Z:Z,"Approved"),"")</f>
        <v/>
      </c>
      <c r="BM520" s="102" t="str">
        <f>IF(A520="","",SUM(
    COUNTIFS('QA Log'!D:D,A520,'QA Log'!M:M,"Vignette",'QA Log'!Z:Z,"Rejected",'QA Log'!L:L,"*Vignette [5] Labor*"),
    COUNTIFS('QA Log'!D:D,A520,'QA Log'!M:M,"Vignette",'QA Log'!Z:Z,"Rejected",'QA Log'!L:L,"*Vignette [6] PNC pre Discharge*"),
    COUNTIFS('QA Log'!D:D,A520,'QA Log'!M:M,"Vignette",'QA Log'!Z:Z,"Rejected",'QA Log'!L:L,"*Vignette [7] First ANC Visit*"),
    COUNTIFS('QA Log'!D:D,A520,'QA Log'!M:M,"Vignette",'QA Log'!Z:Z,"Rejected",'QA Log'!L:L,"*Vignette [8] Birth Spacing/ Family Planning :  FP Counselling*"),
    COUNTIFS('QA Log'!D:D,A520,'QA Log'!M:M,"Vignette",'QA Log'!Z:Z,"Rejected",'QA Log'!L:L,"*Vignette [9] Birth Spacing: Change FP method to Injectable*"),
    COUNTIFS('QA Log'!D:D,A520,'QA Log'!M:M,"Vignette",'QA Log'!Z:Z,"Rejected",'QA Log'!L:L,"*Vignette [10] Post Partum Haemorrhage - Atonic Uterus at Health Centre*")
  )
)</f>
        <v/>
      </c>
      <c r="BN520" s="107" t="str">
        <f t="shared" si="63"/>
        <v/>
      </c>
      <c r="BO520" s="103" t="str">
        <f t="shared" si="64"/>
        <v/>
      </c>
      <c r="BP520" s="102" t="str">
        <f>IF(A520="","",SUM(
COUNTIFS('QA Log'!D:D,A520,'QA Log'!M:M,"Vignette",'QA Log'!L:L,"*Exit Interview 1*"),
COUNTIFS('QA Log'!D:D,A520,'QA Log'!M:M,"Vignette",'QA Log'!L:L,"*Exit Interview 2*"),
)
)</f>
        <v/>
      </c>
      <c r="BQ520" s="102" t="str">
        <f>IF(
  A520="","",
  SUM(
    COUNTIFS('QA Log'!D:D,A520,'QA Log'!M:M,"Vignette",'QA Log'!Z:Z,"Approved",'QA Log'!L:L,"*Exit Interview 1*"),
    COUNTIFS('QA Log'!D:D,A520,'QA Log'!M:M,"Vignette",'QA Log'!Z:Z,"Approved",'QA Log'!L:L,"*Exit Interview 2*")
  )
)</f>
        <v/>
      </c>
      <c r="BR520" s="105" t="str">
        <f>IF(A520&lt;&gt;"",COUNTIFS('QA Log'!D:D,A520,'QA Log'!M:M,"Vignette",'QA Log'!L:L,"Exit Interview 1",'QA Log'!Z:Z,"Approved"),"")</f>
        <v/>
      </c>
      <c r="BS520" s="105" t="str">
        <f>IF(A520&lt;&gt;"",COUNTIFS('QA Log'!D:D,A520,'QA Log'!M:M,"Vignette",'QA Log'!L:L,"Exit Interview 2",'QA Log'!Z:Z,"Approved"),"")</f>
        <v/>
      </c>
      <c r="BT520" s="102" t="str">
        <f>IF(
  A520="","",
  SUM(
    COUNTIFS('QA Log'!D:D,A520,'QA Log'!M:M,"Vignette",'QA Log'!Z:Z,"Rejected",'QA Log'!L:L,"*Exit Interview 1*"),
    COUNTIFS('QA Log'!D:D,A520,'QA Log'!M:M,"Vignette",'QA Log'!Z:Z,"Rejected",'QA Log'!L:L,"*Exit Interview 2*")
  )
)</f>
        <v/>
      </c>
      <c r="BU520" s="107" t="str">
        <f t="shared" si="65"/>
        <v/>
      </c>
      <c r="BV520" s="102" t="str">
        <f t="shared" si="66"/>
        <v/>
      </c>
      <c r="BW520" s="102" t="str">
        <f t="shared" si="67"/>
        <v/>
      </c>
      <c r="BX520" s="102" t="str">
        <f t="shared" si="68"/>
        <v/>
      </c>
      <c r="BY520" s="102" t="str">
        <f t="shared" si="69"/>
        <v/>
      </c>
      <c r="BZ520" s="107" t="str">
        <f t="shared" si="70"/>
        <v/>
      </c>
      <c r="CA520" s="108" t="str">
        <f t="shared" si="71"/>
        <v/>
      </c>
      <c r="CB520" s="108" t="str">
        <f t="shared" si="72"/>
        <v/>
      </c>
      <c r="CC520" s="109" t="str">
        <f t="shared" si="73"/>
        <v/>
      </c>
      <c r="CD520" s="108" t="str">
        <f t="shared" si="74"/>
        <v/>
      </c>
      <c r="CE520" s="108" t="str">
        <f t="shared" si="75"/>
        <v/>
      </c>
      <c r="CF520" s="109" t="str">
        <f t="shared" si="76"/>
        <v/>
      </c>
      <c r="CG520" s="110" t="str">
        <f t="shared" si="77"/>
        <v/>
      </c>
      <c r="CH520" s="111"/>
    </row>
    <row r="521" spans="1:86" ht="12.75">
      <c r="A521" s="101"/>
      <c r="B521" s="102" t="e">
        <f t="array" aca="1" ref="B521" ca="1">_xludf.XLOOKUP(A521,'QA Log'!D:D,'QA Log'!E:E,"")</f>
        <v>#NAME?</v>
      </c>
      <c r="C521" s="102" t="e">
        <f t="array" aca="1" ref="C521" ca="1">_xludf.XLOOKUP(A521,'QA Log'!D:D,'QA Log'!F:F,"")</f>
        <v>#NAME?</v>
      </c>
      <c r="D521" s="102" t="e">
        <f t="array" aca="1" ref="D521" ca="1">_xludf.XLOOKUP(A521,'QA Log'!D:D,'QA Log'!H:H,"")</f>
        <v>#NAME?</v>
      </c>
      <c r="E521" s="102" t="e">
        <f t="array" aca="1" ref="E521" ca="1">_xludf.XLOOKUP(A521,'QA Log'!D:D,'QA Log'!G:G,"")</f>
        <v>#NAME?</v>
      </c>
      <c r="F521" s="103"/>
      <c r="G521" s="104"/>
      <c r="H521" s="104"/>
      <c r="I521" s="103" t="str">
        <f t="shared" si="52"/>
        <v/>
      </c>
      <c r="J521" s="102" t="str">
        <f>IF(A521="","",SUM(
COUNTIFS('QA Log'!D:D,A521,'QA Log'!M:M,"QQC",'QA Log'!L:L,"*1. General Management*"),
COUNTIFS('QA Log'!D:D,A521,'QA Log'!M:M,"QQC",'QA Log'!L:L,"*3. Curative Consultation (OPD)*"),
COUNTIFS('QA Log'!D:D,A521,'QA Log'!M:M,"QQC",'QA Log'!L:L,"*5. Laboratory*"),
COUNTIFS('QA Log'!D:D,A521,'QA Log'!M:M,"QQC",'QA Log'!L:L,"*6. Essential Medicine Management*"),
COUNTIFS('QA Log'!D:D,A521,'QA Log'!M:M,"QQC",'QA Log'!L:L,"*7. Tracer Medicine*"),
COUNTIFS('QA Log'!D:D,A521,'QA Log'!M:M,"QQC",'QA Log'!L:L,"*11. Additional Questions*")))</f>
        <v/>
      </c>
      <c r="K521" s="102" t="str">
        <f>IF(A521="","",SUM(
COUNTIFS('QA Log'!D:D,A521,'QA Log'!M:M,"QQC",'QA Log'!Z:Z,"Approved",'QA Log'!L:L,"*1. General Management*"),
COUNTIFS('QA Log'!D:D,A521,'QA Log'!M:M,"QQC",'QA Log'!Z:Z,"Approved",'QA Log'!L:L,"*3. Curative Consultation (OPD)*"),
COUNTIFS('QA Log'!D:D,A521,'QA Log'!M:M,"QQC",'QA Log'!Z:Z,"Approved",'QA Log'!L:L,"*5. Laboratory*"),
COUNTIFS('QA Log'!D:D,A521,'QA Log'!M:M,"QQC",'QA Log'!Z:Z,"Approved",'QA Log'!L:L,"*6. Essential Medicine Management*"),
COUNTIFS('QA Log'!D:D,A521,'QA Log'!M:M,"QQC",'QA Log'!Z:Z,"Approved",'QA Log'!L:L,"*7. Tracer Medicine*"),
COUNTIFS('QA Log'!D:D,A521,'QA Log'!M:M,"QQC",'QA Log'!Z:Z,"Approved",'QA Log'!L:L,"*11. Additional Questions*")))</f>
        <v/>
      </c>
      <c r="L521" s="102" t="str">
        <f>IF(A521&lt;&gt;"",COUNTIFS('QA Log'!D:D,A521,'QA Log'!M:M,"QQC",'QA Log'!L:L,"1. General Management",'QA Log'!Z:Z,"Approved"),"")</f>
        <v/>
      </c>
      <c r="M521" s="102" t="str">
        <f>IF(A521&lt;&gt;"",COUNTIFS('QA Log'!D:D,A521,'QA Log'!M:M,"QQC",'QA Log'!L:L,"3. Curative Consultation (OPD)",'QA Log'!Z:Z,"Approved"),"")</f>
        <v/>
      </c>
      <c r="N521" s="102" t="str">
        <f>IF(A521&lt;&gt;"",COUNTIFS('QA Log'!D:D,A521,'QA Log'!M:M,"QQC",'QA Log'!L:L,"5. Laboratory",'QA Log'!Z:Z,"Approved"),"")</f>
        <v/>
      </c>
      <c r="O521" s="102" t="str">
        <f>IF(A521&lt;&gt;"",COUNTIFS('QA Log'!D:D,A521,'QA Log'!M:M,"QQC",'QA Log'!L:L,"6. Essential Medicine Management",'QA Log'!Z:Z,"Approved"),"")</f>
        <v/>
      </c>
      <c r="P521" s="102" t="str">
        <f>IF(A521&lt;&gt;"",COUNTIFS('QA Log'!D:D,A521,'QA Log'!M:M,"QQC",'QA Log'!L:L,"7. Tracer Medicine",'QA Log'!Z:Z,"Approved"),"")</f>
        <v/>
      </c>
      <c r="Q521" s="102" t="str">
        <f>IF(A521&lt;&gt;"",COUNTIFS('QA Log'!D:D,A521,'QA Log'!M:M,"QQC",'QA Log'!L:L,"11. Additional Questions",'QA Log'!Z:Z,"Approved"),"")</f>
        <v/>
      </c>
      <c r="R521" s="102" t="str">
        <f>IF(A521="","",SUM(
COUNTIFS('QA Log'!D:D,A521,'QA Log'!M:M,"QQC",'QA Log'!Z:Z,"Rejected",'QA Log'!L:L,"*8. Maternity*"),
COUNTIFS('QA Log'!D:D,A521,'QA Log'!M:M,"QQC",'QA Log'!Z:Z,"Rejected",'QA Log'!L:L,"*EPI*"),
COUNTIFS('QA Log'!D:D,A521,'QA Log'!M:M,"QQC",'QA Log'!Z:Z,"Rejected",'QA Log'!L:L,"*10. Antenatal Care (ANC)*"),
COUNTIFS('QA Log'!D:D,A521,'QA Log'!M:M,"QQC",'QA Log'!Z:Z,"Rejected",'QA Log'!L:L,"*2. Hygiene and Sterilization*"),
COUNTIFS('QA Log'!D:D,A521,'QA Log'!M:M,"QQC",'QA Log'!Z:Z,"Rejected",'QA Log'!L:L,"*Family Planning*")))</f>
        <v/>
      </c>
      <c r="S521" s="106" t="str">
        <f t="shared" si="53"/>
        <v/>
      </c>
      <c r="T521" s="102" t="str">
        <f t="shared" si="54"/>
        <v/>
      </c>
      <c r="U521" s="102" t="str">
        <f>IF(A521="","",
SUM(
COUNTIFS('QA Log'!D:D,A521,'QA Log'!M:M,"QQC",'QA Log'!L:L,"*8. Maternity*"),
COUNTIFS('QA Log'!D:D,A521,'QA Log'!M:M,"QQC",'QA Log'!L:L,"*9. EPI and Pre-school Consultation*"),
COUNTIFS('QA Log'!D:D,A521,'QA Log'!M:M,"QQC",'QA Log'!L:L,"*10. Antenatal Care (ANC)*"),
COUNTIFS('QA Log'!D:D,A521,'QA Log'!M:M,"QQC",'QA Log'!L:L,"*2. Hygiene and Sterilization*"),
COUNTIFS('QA Log'!D:D,A521,'QA Log'!M:M,"QQC",'QA Log'!L:L,"*4. Family Planning*")
))</f>
        <v/>
      </c>
      <c r="V521" s="102" t="str">
        <f>IF(A521="","",
SUM(
COUNTIFS('QA Log'!D:D,A521,'QA Log'!M:M,"QQC",'QA Log'!Z:Z,"Approved",'QA Log'!L:L,"*8. Maternity*"),
COUNTIFS('QA Log'!D:D,A521,'QA Log'!M:M,"QQC",'QA Log'!Z:Z,"Approved",'QA Log'!L:L,"*9. EPI and Pre-school Consultation*"),
COUNTIFS('QA Log'!D:D,A521,'QA Log'!M:M,"QQC",'QA Log'!Z:Z,"Approved",'QA Log'!L:L,"*10. Antenatal Care (ANC)*"),
COUNTIFS('QA Log'!D:D,A521,'QA Log'!M:M,"QQC",'QA Log'!Z:Z,"Approved",'QA Log'!L:L,"*2. Hygiene and Sterilization*"),
COUNTIFS('QA Log'!D:D,A521,'QA Log'!M:M,"QQC",'QA Log'!Z:Z,"Approved",'QA Log'!L:L,"*4. Family Planning*")
))</f>
        <v/>
      </c>
      <c r="W521" s="102" t="str">
        <f>IF(A521&lt;&gt;"",COUNTIFS('QA Log'!D:D,A521,'QA Log'!M:M,"QQC",'QA Log'!L:L,"8. Maternity",'QA Log'!Z:Z,"Approved"),"")</f>
        <v/>
      </c>
      <c r="X521" s="105" t="str">
        <f>IF(A521&lt;&gt;"",COUNTIFS('QA Log'!D:D,A521,'QA Log'!M:M,"QQC",'QA Log'!L:L,"9. EPI and Pre-school Consultation",'QA Log'!Z:Z,"Approved"),"")</f>
        <v/>
      </c>
      <c r="Y521" s="102" t="str">
        <f>IF(A521&lt;&gt;"",COUNTIFS('QA Log'!D:D,A521,'QA Log'!M:M,"QQC",'QA Log'!L:L,"10. Antenatal Care (ANC)",'QA Log'!Z:Z,"Approved"),"")</f>
        <v/>
      </c>
      <c r="Z521" s="102" t="str">
        <f>IF(A521&lt;&gt;"",COUNTIFS('QA Log'!D:D,A521,'QA Log'!M:M,"QQC",'QA Log'!L:L,"2. Hygiene and Sterilization",'QA Log'!Z:Z,"Approved"),"")</f>
        <v/>
      </c>
      <c r="AA521" s="105" t="str">
        <f>IF(A521&lt;&gt;"",COUNTIFS('QA Log'!D:D,A521,'QA Log'!M:M,"QQC",'QA Log'!L:L,"4. Family Planning",'QA Log'!Z:Z,"Approved"),"")</f>
        <v/>
      </c>
      <c r="AB521" s="102" t="str">
        <f>IF(A521="","",
SUM(
COUNTIFS('QA Log'!D:D,A521,'QA Log'!M:M,"QQC",'QA Log'!Z:Z,"Rejected",'QA Log'!L:L,"*8. Maternity*"),
COUNTIFS('QA Log'!D:D,A521,'QA Log'!M:M,"QQC",'QA Log'!Z:Z,"Rejected",'QA Log'!L:L,"*9. EPI and Pre-school Consultation*"),
COUNTIFS('QA Log'!D:D,A521,'QA Log'!M:M,"QQC",'QA Log'!Z:Z,"Rejected",'QA Log'!L:L,"*10. Antenatal Care (ANC)*"),
COUNTIFS('QA Log'!D:D,A521,'QA Log'!M:M,"QQC",'QA Log'!Z:Z,"Rejected",'QA Log'!L:L,"*2. Hygiene and Sterilization*"),
COUNTIFS('QA Log'!D:D,A521,'QA Log'!M:M,"QQC",'QA Log'!Z:Z,"Rejected",'QA Log'!L:L,"*4. Family Planning*")
))</f>
        <v/>
      </c>
      <c r="AC521" s="102" t="str">
        <f t="shared" si="55"/>
        <v/>
      </c>
      <c r="AD521" s="103" t="str">
        <f t="shared" si="56"/>
        <v/>
      </c>
      <c r="AE521" s="102" t="str">
        <f>IF(A521="","",
SUM(
COUNTIFS('QA Log'!D:D,A521,'QA Log'!M:M,"Data Verification",'QA Log'!L:L,"*Medicine (section 2)*"),
COUNTIFS('QA Log'!D:D,A521,'QA Log'!M:M,"Data Verification",'QA Log'!L:L,"*Lab Testing Availability*"),
COUNTIFS('QA Log'!D:D,A521,'QA Log'!M:M,"Data Verification",'QA Log'!L:L,"*Other than P4P (section 6)*"),
COUNTIFS('QA Log'!D:D,A521,'QA Log'!M:M,"Data Verification",'QA Log'!L:L,"*Hospital Governance*")
))</f>
        <v/>
      </c>
      <c r="AF521" s="102" t="str">
        <f>IF(A521="","",
SUM(
COUNTIFS('QA Log'!D:D,A521,'QA Log'!M:M,"Data Verification",'QA Log'!Z:Z,"Approved",'QA Log'!L:L,"*Medicine (section 2)*"),
COUNTIFS('QA Log'!D:D,A521,'QA Log'!M:M,"Data Verification",'QA Log'!Z:Z,"Approved",'QA Log'!L:L,"*Lab Testing Availability*"),
COUNTIFS('QA Log'!D:D,A521,'QA Log'!M:M,"Data Verification",'QA Log'!Z:Z,"Approved",'QA Log'!L:L,"*Other than P4P (section 6)*"),
COUNTIFS('QA Log'!D:D,A521,'QA Log'!M:M,"Data Verification",'QA Log'!Z:Z,"Approved",'QA Log'!L:L,"*Hospital Governance*")
))</f>
        <v/>
      </c>
      <c r="AG521" s="105" t="str">
        <f>IF(A521&lt;&gt;"",COUNTIFS('QA Log'!D:D,A521,'QA Log'!M:M,"Data Verification",'QA Log'!L:L,"Medicine (section 2)",'QA Log'!Z:Z,"Approved"),"")</f>
        <v/>
      </c>
      <c r="AH521" s="105" t="str">
        <f>IF(A521&lt;&gt;"",COUNTIFS('QA Log'!D:D,A521,'QA Log'!M:M,"Data Verification",'QA Log'!L:L,"Lab Testing Availability",'QA Log'!Z:Z,"Approved"),"")</f>
        <v/>
      </c>
      <c r="AI521" s="105" t="str">
        <f>IF(A521&lt;&gt;"",COUNTIFS('QA Log'!D:D,A521,'QA Log'!M:M,"Data Verification",'QA Log'!L:L,"Other than P4P (section 6)",'QA Log'!Z:Z,"Approved"),"")</f>
        <v/>
      </c>
      <c r="AJ521" s="105" t="str">
        <f>IF(A521&lt;&gt;"",COUNTIFS('QA Log'!D:D,A521,'QA Log'!M:M,"Data Verification",'QA Log'!L:L,"Hospital Governance",'QA Log'!Z:Z,"Approved"),"")</f>
        <v/>
      </c>
      <c r="AK521" s="102" t="str">
        <f>IF(A521="","",
SUM(
COUNTIFS('QA Log'!D:D,A521,'QA Log'!M:M,"Data Verification",'QA Log'!Z:Z,"Rejected",'QA Log'!L:L,"*Medicine (section 2)*"),
COUNTIFS('QA Log'!D:D,A521,'QA Log'!M:M,"Data Verification",'QA Log'!Z:Z,"Rejected",'QA Log'!L:L,"*Lab Testing Availability*"),
COUNTIFS('QA Log'!D:D,A521,'QA Log'!M:M,"Data Verification",'QA Log'!Z:Z,"Rejected",'QA Log'!L:L,"*Other than P4P (section 6)*"),
COUNTIFS('QA Log'!D:D,A521,'QA Log'!M:M,"Data Verification",'QA Log'!Z:Z,"Rejected",'QA Log'!L:L,"*Hospital Governance*")
))</f>
        <v/>
      </c>
      <c r="AL521" s="106" t="str">
        <f t="shared" si="57"/>
        <v/>
      </c>
      <c r="AM521" s="102" t="str">
        <f t="shared" si="58"/>
        <v/>
      </c>
      <c r="AN521" s="102" t="str">
        <f>IF(A521="","",
SUM(
COUNTIFS('QA Log'!D:D,A521,'QA Log'!M:M,"Data Verification",'QA Log'!L:L,"*Personnel (section 1)*"),
COUNTIFS('QA Log'!D:D,A521,'QA Log'!M:M,"Data Verification",'QA Log'!L:L,"*Consumable (section 3)*"),
COUNTIFS('QA Log'!D:D,A521,'QA Log'!M:M,"Data Verification",'QA Log'!L:L,"*Equipments (section 4)*")
))</f>
        <v/>
      </c>
      <c r="AO521" s="102" t="str">
        <f>IF(A521="","",
SUM(
COUNTIFS('QA Log'!D:D,A521,'QA Log'!M:M,"Data Verification",'QA Log'!Z:Z,"Approved",'QA Log'!L:L,"*Personnel (section 1)*"),
COUNTIFS('QA Log'!D:D,A521,'QA Log'!M:M,"Data Verification",'QA Log'!Z:Z,"Approved",'QA Log'!L:L,"*Consumable (section 3)*"),
COUNTIFS('QA Log'!D:D,A521,'QA Log'!M:M,"Data Verification",'QA Log'!Z:Z,"Approved",'QA Log'!L:L,"*Equipments (section 4)*")
))</f>
        <v/>
      </c>
      <c r="AP521" s="105" t="str">
        <f>IF(A521&lt;&gt;"",COUNTIFS('QA Log'!D:D,A521,'QA Log'!M:M,"Data Verification",'QA Log'!L:L,"Personnel (section 1)",'QA Log'!Z:Z,"Approved"),"")</f>
        <v/>
      </c>
      <c r="AQ521" s="105" t="str">
        <f>IF(A521&lt;&gt;"",COUNTIFS('QA Log'!D:D,A521,'QA Log'!M:M,"Data Verification",'QA Log'!L:L,"Consumable (section 3)",'QA Log'!Z:Z,"Approved"),"")</f>
        <v/>
      </c>
      <c r="AR521" s="105" t="str">
        <f>IF(A521&lt;&gt;"",COUNTIFS('QA Log'!D:D,A521,'QA Log'!M:M,"Data Verification",'QA Log'!L:L,"Equipments (section 4)",'QA Log'!Z:Z,"Approved"),"")</f>
        <v/>
      </c>
      <c r="AS521" s="102" t="str">
        <f>IF(A521="","",
SUM(
COUNTIFS('QA Log'!D:D,A521,'QA Log'!M:M,"Data Verification",'QA Log'!Z:Z,"Rejected",'QA Log'!L:L,"*Personnel (section 1)*"),
COUNTIFS('QA Log'!D:D,A521,'QA Log'!M:M,"Data Verification",'QA Log'!Z:Z,"Rejected",'QA Log'!L:L,"*Consumable (section 3)*"),
COUNTIFS('QA Log'!D:D,A521,'QA Log'!M:M,"Data Verification",'QA Log'!Z:Z,"Rejected",'QA Log'!L:L,"*Equipments (section 4)*")
))</f>
        <v/>
      </c>
      <c r="AT521" s="102" t="str">
        <f t="shared" si="59"/>
        <v/>
      </c>
      <c r="AU521" s="103" t="str">
        <f t="shared" si="60"/>
        <v/>
      </c>
      <c r="AV521" s="102" t="str">
        <f>IF(A521="","",SUM(
COUNTIFS('QA Log'!D:D,A521,'QA Log'!M:M,"Vignette",'QA Log'!L:L,"*Vignette [1] Respiratory Infection: Pneumonia*"),
COUNTIFS('QA Log'!D:D,A521,'QA Log'!M:M,"Vignette",'QA Log'!L:L,"*Vignette [2]: Diarrhea with Cat B dehydration*"),
COUNTIFS('QA Log'!D:D,A521,'QA Log'!M:M,"Vignette",'QA Log'!L:L,"*Vignette [3] Growth Monitoring and Promotion*"),
COUNTIFS('QA Log'!D:D,A521,'QA Log'!M:M,"Vignette",'QA Log'!L:L,"*Vignette [4]: The management of presumptive TB patient*")
)
)</f>
        <v/>
      </c>
      <c r="AW521" s="102" t="str">
        <f>IF(
  A521="","",
  SUM(
    COUNTIFS('QA Log'!D:D,A521,'QA Log'!M:M,"Vignette",'QA Log'!Z:Z,"Approved",'QA Log'!L:L,"*Vignette [1] Respiratory Infection: Pneumonia*"),
    COUNTIFS('QA Log'!D:D,A521,'QA Log'!M:M,"Vignette",'QA Log'!Z:Z,"Approved",'QA Log'!L:L,"*Vignette [2]: Diarrhea with Cat B dehydration*"),
    COUNTIFS('QA Log'!D:D,A521,'QA Log'!M:M,"Vignette",'QA Log'!Z:Z,"Approved",'QA Log'!L:L,"*Vignette [3] Growth Monitoring and Promotion*"),
    COUNTIFS('QA Log'!D:D,A521,'QA Log'!M:M,"Vignette",'QA Log'!Z:Z,"Approved",'QA Log'!L:L,"*Vignette [4]: The management of presumptive TB patient*")
  )
)</f>
        <v/>
      </c>
      <c r="AX521" s="105" t="str">
        <f>IF(A521&lt;&gt;"",COUNTIFS('QA Log'!D:D,A521,'QA Log'!M:M,"Vignette",'QA Log'!L:L,"Vignette [1] Respiratory Infection: Pneumonia",'QA Log'!Z:Z,"Approved"),"")</f>
        <v/>
      </c>
      <c r="AY521" s="105" t="str">
        <f>IF(A521&lt;&gt;"",COUNTIFS('QA Log'!D:D,A521,'QA Log'!M:M,"Vignette",'QA Log'!L:L,"Vignette [2]: Diarrhea with Cat B dehydration",'QA Log'!Z:Z,"Approved"),"")</f>
        <v/>
      </c>
      <c r="AZ521" s="105" t="str">
        <f>IF(A521&lt;&gt;"",COUNTIFS('QA Log'!D:D,A521,'QA Log'!M:M,"Vignette",'QA Log'!L:L,"Vignette [3] Growth Monitoring and Promotion",'QA Log'!Z:Z,"Approved"),"")</f>
        <v/>
      </c>
      <c r="BA521" s="105" t="str">
        <f>IF(A521&lt;&gt;"",COUNTIFS('QA Log'!D:D,A521,'QA Log'!M:M,"Vignette",'QA Log'!L:L,"Vignette [4]: The management of presumptive TB patient",'QA Log'!Z:Z,"Approved"),"")</f>
        <v/>
      </c>
      <c r="BB521" s="102" t="str">
        <f>IF(A521="","",
  SUM(
    COUNTIFS('QA Log'!D:D,A521,'QA Log'!M:M,"Vignette",'QA Log'!Z:Z,"Rejected",'QA Log'!L:L,"*Vignette [1] Respiratory Infection: Pneumonia*"),
    COUNTIFS('QA Log'!D:D,A521,'QA Log'!M:M,"Vignette",'QA Log'!Z:Z,"Rejected",'QA Log'!L:L,"*Vignette [2]: Diarrhea with Cat B dehydration*"),
    COUNTIFS('QA Log'!D:D,A521,'QA Log'!M:M,"Vignette",'QA Log'!Z:Z,"Rejected",'QA Log'!L:L,"*Vignette [3] Growth Monitoring and Promotion*"),
    COUNTIFS('QA Log'!D:D,A521,'QA Log'!M:M,"Vignette",'QA Log'!Z:Z,"Rejected",'QA Log'!L:L,"*Vignette [4]: The management of presumptive TB patient*")
  )
)</f>
        <v/>
      </c>
      <c r="BC521" s="107" t="str">
        <f t="shared" si="61"/>
        <v/>
      </c>
      <c r="BD521" s="103" t="str">
        <f t="shared" si="62"/>
        <v/>
      </c>
      <c r="BE521" s="102" t="str">
        <f>IF(A521="","",SUM(
COUNTIFS('QA Log'!D:D,A521,'QA Log'!M:M,"Vignette",'QA Log'!L:L,"*Vignette [5] Labor*"),
COUNTIFS('QA Log'!D:D,A521,'QA Log'!M:M,"Vignette",'QA Log'!L:L,"*Vignette [6] PNC pre Discharge*"),
COUNTIFS('QA Log'!D:D,A521,'QA Log'!M:M,"Vignette",'QA Log'!L:L,"*Vignette [7] First ANC Visit*"),
COUNTIFS('QA Log'!D:D,A521,'QA Log'!M:M,"Vignette",'QA Log'!L:L,"*Vignette [8] Birth Spacing/ Family Planning :  FP Counselling*"),
COUNTIFS('QA Log'!D:D,A521,'QA Log'!M:M,"Vignette",'QA Log'!L:L,"*Vignette [9] Birth Spacing: Change FP method to Injectable*"),
COUNTIFS('QA Log'!D:D,A521,'QA Log'!M:M,"Vignette",'QA Log'!L:L,"*Vignette [10] Post Partum Haemorrhage - Atonic Uterus at Health Centre*"),
)
)</f>
        <v/>
      </c>
      <c r="BF521" s="102" t="str">
        <f>IF(A521="","",
  SUM(
    COUNTIFS('QA Log'!D:D,A521,'QA Log'!M:M,"Vignette",'QA Log'!Z:Z,"Approved",'QA Log'!L:L,"*Vignette [5] Labor*"),
    COUNTIFS('QA Log'!D:D,A521,'QA Log'!M:M,"Vignette",'QA Log'!Z:Z,"Approved",'QA Log'!L:L,"*Vignette [6] PNC pre Discharge*"),
    COUNTIFS('QA Log'!D:D,A521,'QA Log'!M:M,"Vignette",'QA Log'!Z:Z,"Approved",'QA Log'!L:L,"*Vignette [7] First ANC Visit*"),
    COUNTIFS('QA Log'!D:D,A521,'QA Log'!M:M,"Vignette",'QA Log'!Z:Z,"Approved",'QA Log'!L:L,"*Vignette [8] Birth Spacing/ Family Planning :  FP Counselling*"),
    COUNTIFS('QA Log'!D:D,A521,'QA Log'!M:M,"Vignette",'QA Log'!Z:Z,"Approved",'QA Log'!L:L,"*Vignette [9] Birth Spacing: Change FP method to Injectable*"),
    COUNTIFS('QA Log'!D:D,A521,'QA Log'!M:M,"Vignette",'QA Log'!Z:Z,"Approved",'QA Log'!L:L,"*Vignette [10] Post Partum Haemorrhage - Atonic Uterus at Health Centre*")
  )
)</f>
        <v/>
      </c>
      <c r="BG521" s="105" t="str">
        <f>IF(A521&lt;&gt;"",COUNTIFS('QA Log'!D:D,A521,'QA Log'!M:M,"Vignette",'QA Log'!L:L,"Vignette [5] Labor",'QA Log'!Z:Z,"Approved"),"")</f>
        <v/>
      </c>
      <c r="BH521" s="105" t="str">
        <f>IF(A521&lt;&gt;"",COUNTIFS('QA Log'!D:D,A521,'QA Log'!M:M,"Vignette",'QA Log'!L:L,"Vignette [6] PNC pre Discharge",'QA Log'!Z:Z,"Approved"),"")</f>
        <v/>
      </c>
      <c r="BI521" s="105" t="str">
        <f>IF(A521&lt;&gt;"",COUNTIFS('QA Log'!D:D,A521,'QA Log'!M:M,"Vignette",'QA Log'!L:L,"Vignette [7] First ANC Visit",'QA Log'!Z:Z,"Approved"),"")</f>
        <v/>
      </c>
      <c r="BJ521" s="105" t="str">
        <f>IF(A521&lt;&gt;"",COUNTIFS('QA Log'!D:D,A521,'QA Log'!M:M,"Vignette",'QA Log'!L:L,"Vignette [8] Birth Spacing/ Family Planning :  FP Counselling",'QA Log'!Z:Z,"Approved"),"")</f>
        <v/>
      </c>
      <c r="BK521" s="105" t="str">
        <f>IF(A521&lt;&gt;"",COUNTIFS('QA Log'!D:D,A521,'QA Log'!M:M,"Vignette",'QA Log'!L:L,"Vignette [9] Birth Spacing: Change FP method to Injectable",'QA Log'!Z:Z,"Approved"),"")</f>
        <v/>
      </c>
      <c r="BL521" s="105" t="str">
        <f>IF(A521&lt;&gt;"",COUNTIFS('QA Log'!D:D,A521,'QA Log'!M:M,"Vignette",'QA Log'!L:L,"Vignette [10] Post Partum Haemorrhage - Atonic Uterus at Health Centre",'QA Log'!Z:Z,"Approved"),"")</f>
        <v/>
      </c>
      <c r="BM521" s="102" t="str">
        <f>IF(A521="","",SUM(
    COUNTIFS('QA Log'!D:D,A521,'QA Log'!M:M,"Vignette",'QA Log'!Z:Z,"Rejected",'QA Log'!L:L,"*Vignette [5] Labor*"),
    COUNTIFS('QA Log'!D:D,A521,'QA Log'!M:M,"Vignette",'QA Log'!Z:Z,"Rejected",'QA Log'!L:L,"*Vignette [6] PNC pre Discharge*"),
    COUNTIFS('QA Log'!D:D,A521,'QA Log'!M:M,"Vignette",'QA Log'!Z:Z,"Rejected",'QA Log'!L:L,"*Vignette [7] First ANC Visit*"),
    COUNTIFS('QA Log'!D:D,A521,'QA Log'!M:M,"Vignette",'QA Log'!Z:Z,"Rejected",'QA Log'!L:L,"*Vignette [8] Birth Spacing/ Family Planning :  FP Counselling*"),
    COUNTIFS('QA Log'!D:D,A521,'QA Log'!M:M,"Vignette",'QA Log'!Z:Z,"Rejected",'QA Log'!L:L,"*Vignette [9] Birth Spacing: Change FP method to Injectable*"),
    COUNTIFS('QA Log'!D:D,A521,'QA Log'!M:M,"Vignette",'QA Log'!Z:Z,"Rejected",'QA Log'!L:L,"*Vignette [10] Post Partum Haemorrhage - Atonic Uterus at Health Centre*")
  )
)</f>
        <v/>
      </c>
      <c r="BN521" s="107" t="str">
        <f t="shared" si="63"/>
        <v/>
      </c>
      <c r="BO521" s="103" t="str">
        <f t="shared" si="64"/>
        <v/>
      </c>
      <c r="BP521" s="102" t="str">
        <f>IF(A521="","",SUM(
COUNTIFS('QA Log'!D:D,A521,'QA Log'!M:M,"Vignette",'QA Log'!L:L,"*Exit Interview 1*"),
COUNTIFS('QA Log'!D:D,A521,'QA Log'!M:M,"Vignette",'QA Log'!L:L,"*Exit Interview 2*"),
)
)</f>
        <v/>
      </c>
      <c r="BQ521" s="102" t="str">
        <f>IF(
  A521="","",
  SUM(
    COUNTIFS('QA Log'!D:D,A521,'QA Log'!M:M,"Vignette",'QA Log'!Z:Z,"Approved",'QA Log'!L:L,"*Exit Interview 1*"),
    COUNTIFS('QA Log'!D:D,A521,'QA Log'!M:M,"Vignette",'QA Log'!Z:Z,"Approved",'QA Log'!L:L,"*Exit Interview 2*")
  )
)</f>
        <v/>
      </c>
      <c r="BR521" s="105" t="str">
        <f>IF(A521&lt;&gt;"",COUNTIFS('QA Log'!D:D,A521,'QA Log'!M:M,"Vignette",'QA Log'!L:L,"Exit Interview 1",'QA Log'!Z:Z,"Approved"),"")</f>
        <v/>
      </c>
      <c r="BS521" s="105" t="str">
        <f>IF(A521&lt;&gt;"",COUNTIFS('QA Log'!D:D,A521,'QA Log'!M:M,"Vignette",'QA Log'!L:L,"Exit Interview 2",'QA Log'!Z:Z,"Approved"),"")</f>
        <v/>
      </c>
      <c r="BT521" s="102" t="str">
        <f>IF(
  A521="","",
  SUM(
    COUNTIFS('QA Log'!D:D,A521,'QA Log'!M:M,"Vignette",'QA Log'!Z:Z,"Rejected",'QA Log'!L:L,"*Exit Interview 1*"),
    COUNTIFS('QA Log'!D:D,A521,'QA Log'!M:M,"Vignette",'QA Log'!Z:Z,"Rejected",'QA Log'!L:L,"*Exit Interview 2*")
  )
)</f>
        <v/>
      </c>
      <c r="BU521" s="107" t="str">
        <f t="shared" si="65"/>
        <v/>
      </c>
      <c r="BV521" s="102" t="str">
        <f t="shared" si="66"/>
        <v/>
      </c>
      <c r="BW521" s="102" t="str">
        <f t="shared" si="67"/>
        <v/>
      </c>
      <c r="BX521" s="102" t="str">
        <f t="shared" si="68"/>
        <v/>
      </c>
      <c r="BY521" s="102" t="str">
        <f t="shared" si="69"/>
        <v/>
      </c>
      <c r="BZ521" s="107" t="str">
        <f t="shared" si="70"/>
        <v/>
      </c>
      <c r="CA521" s="108" t="str">
        <f t="shared" si="71"/>
        <v/>
      </c>
      <c r="CB521" s="108" t="str">
        <f t="shared" si="72"/>
        <v/>
      </c>
      <c r="CC521" s="109" t="str">
        <f t="shared" si="73"/>
        <v/>
      </c>
      <c r="CD521" s="108" t="str">
        <f t="shared" si="74"/>
        <v/>
      </c>
      <c r="CE521" s="108" t="str">
        <f t="shared" si="75"/>
        <v/>
      </c>
      <c r="CF521" s="109" t="str">
        <f t="shared" si="76"/>
        <v/>
      </c>
      <c r="CG521" s="110" t="str">
        <f t="shared" si="77"/>
        <v/>
      </c>
      <c r="CH521" s="111"/>
    </row>
    <row r="522" spans="1:86" ht="12.75">
      <c r="A522" s="101"/>
      <c r="B522" s="102" t="e">
        <f t="array" aca="1" ref="B522" ca="1">_xludf.XLOOKUP(A522,'QA Log'!D:D,'QA Log'!E:E,"")</f>
        <v>#NAME?</v>
      </c>
      <c r="C522" s="102" t="e">
        <f t="array" aca="1" ref="C522" ca="1">_xludf.XLOOKUP(A522,'QA Log'!D:D,'QA Log'!F:F,"")</f>
        <v>#NAME?</v>
      </c>
      <c r="D522" s="102" t="e">
        <f t="array" aca="1" ref="D522" ca="1">_xludf.XLOOKUP(A522,'QA Log'!D:D,'QA Log'!H:H,"")</f>
        <v>#NAME?</v>
      </c>
      <c r="E522" s="102" t="e">
        <f t="array" aca="1" ref="E522" ca="1">_xludf.XLOOKUP(A522,'QA Log'!D:D,'QA Log'!G:G,"")</f>
        <v>#NAME?</v>
      </c>
      <c r="F522" s="103"/>
      <c r="G522" s="104"/>
      <c r="H522" s="104"/>
      <c r="I522" s="103" t="str">
        <f t="shared" si="52"/>
        <v/>
      </c>
      <c r="J522" s="102" t="str">
        <f>IF(A522="","",SUM(
COUNTIFS('QA Log'!D:D,A522,'QA Log'!M:M,"QQC",'QA Log'!L:L,"*1. General Management*"),
COUNTIFS('QA Log'!D:D,A522,'QA Log'!M:M,"QQC",'QA Log'!L:L,"*3. Curative Consultation (OPD)*"),
COUNTIFS('QA Log'!D:D,A522,'QA Log'!M:M,"QQC",'QA Log'!L:L,"*5. Laboratory*"),
COUNTIFS('QA Log'!D:D,A522,'QA Log'!M:M,"QQC",'QA Log'!L:L,"*6. Essential Medicine Management*"),
COUNTIFS('QA Log'!D:D,A522,'QA Log'!M:M,"QQC",'QA Log'!L:L,"*7. Tracer Medicine*"),
COUNTIFS('QA Log'!D:D,A522,'QA Log'!M:M,"QQC",'QA Log'!L:L,"*11. Additional Questions*")))</f>
        <v/>
      </c>
      <c r="K522" s="102" t="str">
        <f>IF(A522="","",SUM(
COUNTIFS('QA Log'!D:D,A522,'QA Log'!M:M,"QQC",'QA Log'!Z:Z,"Approved",'QA Log'!L:L,"*1. General Management*"),
COUNTIFS('QA Log'!D:D,A522,'QA Log'!M:M,"QQC",'QA Log'!Z:Z,"Approved",'QA Log'!L:L,"*3. Curative Consultation (OPD)*"),
COUNTIFS('QA Log'!D:D,A522,'QA Log'!M:M,"QQC",'QA Log'!Z:Z,"Approved",'QA Log'!L:L,"*5. Laboratory*"),
COUNTIFS('QA Log'!D:D,A522,'QA Log'!M:M,"QQC",'QA Log'!Z:Z,"Approved",'QA Log'!L:L,"*6. Essential Medicine Management*"),
COUNTIFS('QA Log'!D:D,A522,'QA Log'!M:M,"QQC",'QA Log'!Z:Z,"Approved",'QA Log'!L:L,"*7. Tracer Medicine*"),
COUNTIFS('QA Log'!D:D,A522,'QA Log'!M:M,"QQC",'QA Log'!Z:Z,"Approved",'QA Log'!L:L,"*11. Additional Questions*")))</f>
        <v/>
      </c>
      <c r="L522" s="102" t="str">
        <f>IF(A522&lt;&gt;"",COUNTIFS('QA Log'!D:D,A522,'QA Log'!M:M,"QQC",'QA Log'!L:L,"1. General Management",'QA Log'!Z:Z,"Approved"),"")</f>
        <v/>
      </c>
      <c r="M522" s="102" t="str">
        <f>IF(A522&lt;&gt;"",COUNTIFS('QA Log'!D:D,A522,'QA Log'!M:M,"QQC",'QA Log'!L:L,"3. Curative Consultation (OPD)",'QA Log'!Z:Z,"Approved"),"")</f>
        <v/>
      </c>
      <c r="N522" s="102" t="str">
        <f>IF(A522&lt;&gt;"",COUNTIFS('QA Log'!D:D,A522,'QA Log'!M:M,"QQC",'QA Log'!L:L,"5. Laboratory",'QA Log'!Z:Z,"Approved"),"")</f>
        <v/>
      </c>
      <c r="O522" s="102" t="str">
        <f>IF(A522&lt;&gt;"",COUNTIFS('QA Log'!D:D,A522,'QA Log'!M:M,"QQC",'QA Log'!L:L,"6. Essential Medicine Management",'QA Log'!Z:Z,"Approved"),"")</f>
        <v/>
      </c>
      <c r="P522" s="102" t="str">
        <f>IF(A522&lt;&gt;"",COUNTIFS('QA Log'!D:D,A522,'QA Log'!M:M,"QQC",'QA Log'!L:L,"7. Tracer Medicine",'QA Log'!Z:Z,"Approved"),"")</f>
        <v/>
      </c>
      <c r="Q522" s="102" t="str">
        <f>IF(A522&lt;&gt;"",COUNTIFS('QA Log'!D:D,A522,'QA Log'!M:M,"QQC",'QA Log'!L:L,"11. Additional Questions",'QA Log'!Z:Z,"Approved"),"")</f>
        <v/>
      </c>
      <c r="R522" s="102" t="str">
        <f>IF(A522="","",SUM(
COUNTIFS('QA Log'!D:D,A522,'QA Log'!M:M,"QQC",'QA Log'!Z:Z,"Rejected",'QA Log'!L:L,"*8. Maternity*"),
COUNTIFS('QA Log'!D:D,A522,'QA Log'!M:M,"QQC",'QA Log'!Z:Z,"Rejected",'QA Log'!L:L,"*EPI*"),
COUNTIFS('QA Log'!D:D,A522,'QA Log'!M:M,"QQC",'QA Log'!Z:Z,"Rejected",'QA Log'!L:L,"*10. Antenatal Care (ANC)*"),
COUNTIFS('QA Log'!D:D,A522,'QA Log'!M:M,"QQC",'QA Log'!Z:Z,"Rejected",'QA Log'!L:L,"*2. Hygiene and Sterilization*"),
COUNTIFS('QA Log'!D:D,A522,'QA Log'!M:M,"QQC",'QA Log'!Z:Z,"Rejected",'QA Log'!L:L,"*Family Planning*")))</f>
        <v/>
      </c>
      <c r="S522" s="106" t="str">
        <f t="shared" si="53"/>
        <v/>
      </c>
      <c r="T522" s="102" t="str">
        <f t="shared" si="54"/>
        <v/>
      </c>
      <c r="U522" s="102" t="str">
        <f>IF(A522="","",
SUM(
COUNTIFS('QA Log'!D:D,A522,'QA Log'!M:M,"QQC",'QA Log'!L:L,"*8. Maternity*"),
COUNTIFS('QA Log'!D:D,A522,'QA Log'!M:M,"QQC",'QA Log'!L:L,"*9. EPI and Pre-school Consultation*"),
COUNTIFS('QA Log'!D:D,A522,'QA Log'!M:M,"QQC",'QA Log'!L:L,"*10. Antenatal Care (ANC)*"),
COUNTIFS('QA Log'!D:D,A522,'QA Log'!M:M,"QQC",'QA Log'!L:L,"*2. Hygiene and Sterilization*"),
COUNTIFS('QA Log'!D:D,A522,'QA Log'!M:M,"QQC",'QA Log'!L:L,"*4. Family Planning*")
))</f>
        <v/>
      </c>
      <c r="V522" s="102" t="str">
        <f>IF(A522="","",
SUM(
COUNTIFS('QA Log'!D:D,A522,'QA Log'!M:M,"QQC",'QA Log'!Z:Z,"Approved",'QA Log'!L:L,"*8. Maternity*"),
COUNTIFS('QA Log'!D:D,A522,'QA Log'!M:M,"QQC",'QA Log'!Z:Z,"Approved",'QA Log'!L:L,"*9. EPI and Pre-school Consultation*"),
COUNTIFS('QA Log'!D:D,A522,'QA Log'!M:M,"QQC",'QA Log'!Z:Z,"Approved",'QA Log'!L:L,"*10. Antenatal Care (ANC)*"),
COUNTIFS('QA Log'!D:D,A522,'QA Log'!M:M,"QQC",'QA Log'!Z:Z,"Approved",'QA Log'!L:L,"*2. Hygiene and Sterilization*"),
COUNTIFS('QA Log'!D:D,A522,'QA Log'!M:M,"QQC",'QA Log'!Z:Z,"Approved",'QA Log'!L:L,"*4. Family Planning*")
))</f>
        <v/>
      </c>
      <c r="W522" s="102" t="str">
        <f>IF(A522&lt;&gt;"",COUNTIFS('QA Log'!D:D,A522,'QA Log'!M:M,"QQC",'QA Log'!L:L,"8. Maternity",'QA Log'!Z:Z,"Approved"),"")</f>
        <v/>
      </c>
      <c r="X522" s="105" t="str">
        <f>IF(A522&lt;&gt;"",COUNTIFS('QA Log'!D:D,A522,'QA Log'!M:M,"QQC",'QA Log'!L:L,"9. EPI and Pre-school Consultation",'QA Log'!Z:Z,"Approved"),"")</f>
        <v/>
      </c>
      <c r="Y522" s="102" t="str">
        <f>IF(A522&lt;&gt;"",COUNTIFS('QA Log'!D:D,A522,'QA Log'!M:M,"QQC",'QA Log'!L:L,"10. Antenatal Care (ANC)",'QA Log'!Z:Z,"Approved"),"")</f>
        <v/>
      </c>
      <c r="Z522" s="102" t="str">
        <f>IF(A522&lt;&gt;"",COUNTIFS('QA Log'!D:D,A522,'QA Log'!M:M,"QQC",'QA Log'!L:L,"2. Hygiene and Sterilization",'QA Log'!Z:Z,"Approved"),"")</f>
        <v/>
      </c>
      <c r="AA522" s="105" t="str">
        <f>IF(A522&lt;&gt;"",COUNTIFS('QA Log'!D:D,A522,'QA Log'!M:M,"QQC",'QA Log'!L:L,"4. Family Planning",'QA Log'!Z:Z,"Approved"),"")</f>
        <v/>
      </c>
      <c r="AB522" s="102" t="str">
        <f>IF(A522="","",
SUM(
COUNTIFS('QA Log'!D:D,A522,'QA Log'!M:M,"QQC",'QA Log'!Z:Z,"Rejected",'QA Log'!L:L,"*8. Maternity*"),
COUNTIFS('QA Log'!D:D,A522,'QA Log'!M:M,"QQC",'QA Log'!Z:Z,"Rejected",'QA Log'!L:L,"*9. EPI and Pre-school Consultation*"),
COUNTIFS('QA Log'!D:D,A522,'QA Log'!M:M,"QQC",'QA Log'!Z:Z,"Rejected",'QA Log'!L:L,"*10. Antenatal Care (ANC)*"),
COUNTIFS('QA Log'!D:D,A522,'QA Log'!M:M,"QQC",'QA Log'!Z:Z,"Rejected",'QA Log'!L:L,"*2. Hygiene and Sterilization*"),
COUNTIFS('QA Log'!D:D,A522,'QA Log'!M:M,"QQC",'QA Log'!Z:Z,"Rejected",'QA Log'!L:L,"*4. Family Planning*")
))</f>
        <v/>
      </c>
      <c r="AC522" s="102" t="str">
        <f t="shared" si="55"/>
        <v/>
      </c>
      <c r="AD522" s="103" t="str">
        <f t="shared" si="56"/>
        <v/>
      </c>
      <c r="AE522" s="102" t="str">
        <f>IF(A522="","",
SUM(
COUNTIFS('QA Log'!D:D,A522,'QA Log'!M:M,"Data Verification",'QA Log'!L:L,"*Medicine (section 2)*"),
COUNTIFS('QA Log'!D:D,A522,'QA Log'!M:M,"Data Verification",'QA Log'!L:L,"*Lab Testing Availability*"),
COUNTIFS('QA Log'!D:D,A522,'QA Log'!M:M,"Data Verification",'QA Log'!L:L,"*Other than P4P (section 6)*"),
COUNTIFS('QA Log'!D:D,A522,'QA Log'!M:M,"Data Verification",'QA Log'!L:L,"*Hospital Governance*")
))</f>
        <v/>
      </c>
      <c r="AF522" s="102" t="str">
        <f>IF(A522="","",
SUM(
COUNTIFS('QA Log'!D:D,A522,'QA Log'!M:M,"Data Verification",'QA Log'!Z:Z,"Approved",'QA Log'!L:L,"*Medicine (section 2)*"),
COUNTIFS('QA Log'!D:D,A522,'QA Log'!M:M,"Data Verification",'QA Log'!Z:Z,"Approved",'QA Log'!L:L,"*Lab Testing Availability*"),
COUNTIFS('QA Log'!D:D,A522,'QA Log'!M:M,"Data Verification",'QA Log'!Z:Z,"Approved",'QA Log'!L:L,"*Other than P4P (section 6)*"),
COUNTIFS('QA Log'!D:D,A522,'QA Log'!M:M,"Data Verification",'QA Log'!Z:Z,"Approved",'QA Log'!L:L,"*Hospital Governance*")
))</f>
        <v/>
      </c>
      <c r="AG522" s="105" t="str">
        <f>IF(A522&lt;&gt;"",COUNTIFS('QA Log'!D:D,A522,'QA Log'!M:M,"Data Verification",'QA Log'!L:L,"Medicine (section 2)",'QA Log'!Z:Z,"Approved"),"")</f>
        <v/>
      </c>
      <c r="AH522" s="105" t="str">
        <f>IF(A522&lt;&gt;"",COUNTIFS('QA Log'!D:D,A522,'QA Log'!M:M,"Data Verification",'QA Log'!L:L,"Lab Testing Availability",'QA Log'!Z:Z,"Approved"),"")</f>
        <v/>
      </c>
      <c r="AI522" s="105" t="str">
        <f>IF(A522&lt;&gt;"",COUNTIFS('QA Log'!D:D,A522,'QA Log'!M:M,"Data Verification",'QA Log'!L:L,"Other than P4P (section 6)",'QA Log'!Z:Z,"Approved"),"")</f>
        <v/>
      </c>
      <c r="AJ522" s="105" t="str">
        <f>IF(A522&lt;&gt;"",COUNTIFS('QA Log'!D:D,A522,'QA Log'!M:M,"Data Verification",'QA Log'!L:L,"Hospital Governance",'QA Log'!Z:Z,"Approved"),"")</f>
        <v/>
      </c>
      <c r="AK522" s="102" t="str">
        <f>IF(A522="","",
SUM(
COUNTIFS('QA Log'!D:D,A522,'QA Log'!M:M,"Data Verification",'QA Log'!Z:Z,"Rejected",'QA Log'!L:L,"*Medicine (section 2)*"),
COUNTIFS('QA Log'!D:D,A522,'QA Log'!M:M,"Data Verification",'QA Log'!Z:Z,"Rejected",'QA Log'!L:L,"*Lab Testing Availability*"),
COUNTIFS('QA Log'!D:D,A522,'QA Log'!M:M,"Data Verification",'QA Log'!Z:Z,"Rejected",'QA Log'!L:L,"*Other than P4P (section 6)*"),
COUNTIFS('QA Log'!D:D,A522,'QA Log'!M:M,"Data Verification",'QA Log'!Z:Z,"Rejected",'QA Log'!L:L,"*Hospital Governance*")
))</f>
        <v/>
      </c>
      <c r="AL522" s="106" t="str">
        <f t="shared" si="57"/>
        <v/>
      </c>
      <c r="AM522" s="102" t="str">
        <f t="shared" si="58"/>
        <v/>
      </c>
      <c r="AN522" s="102" t="str">
        <f>IF(A522="","",
SUM(
COUNTIFS('QA Log'!D:D,A522,'QA Log'!M:M,"Data Verification",'QA Log'!L:L,"*Personnel (section 1)*"),
COUNTIFS('QA Log'!D:D,A522,'QA Log'!M:M,"Data Verification",'QA Log'!L:L,"*Consumable (section 3)*"),
COUNTIFS('QA Log'!D:D,A522,'QA Log'!M:M,"Data Verification",'QA Log'!L:L,"*Equipments (section 4)*")
))</f>
        <v/>
      </c>
      <c r="AO522" s="102" t="str">
        <f>IF(A522="","",
SUM(
COUNTIFS('QA Log'!D:D,A522,'QA Log'!M:M,"Data Verification",'QA Log'!Z:Z,"Approved",'QA Log'!L:L,"*Personnel (section 1)*"),
COUNTIFS('QA Log'!D:D,A522,'QA Log'!M:M,"Data Verification",'QA Log'!Z:Z,"Approved",'QA Log'!L:L,"*Consumable (section 3)*"),
COUNTIFS('QA Log'!D:D,A522,'QA Log'!M:M,"Data Verification",'QA Log'!Z:Z,"Approved",'QA Log'!L:L,"*Equipments (section 4)*")
))</f>
        <v/>
      </c>
      <c r="AP522" s="105" t="str">
        <f>IF(A522&lt;&gt;"",COUNTIFS('QA Log'!D:D,A522,'QA Log'!M:M,"Data Verification",'QA Log'!L:L,"Personnel (section 1)",'QA Log'!Z:Z,"Approved"),"")</f>
        <v/>
      </c>
      <c r="AQ522" s="105" t="str">
        <f>IF(A522&lt;&gt;"",COUNTIFS('QA Log'!D:D,A522,'QA Log'!M:M,"Data Verification",'QA Log'!L:L,"Consumable (section 3)",'QA Log'!Z:Z,"Approved"),"")</f>
        <v/>
      </c>
      <c r="AR522" s="105" t="str">
        <f>IF(A522&lt;&gt;"",COUNTIFS('QA Log'!D:D,A522,'QA Log'!M:M,"Data Verification",'QA Log'!L:L,"Equipments (section 4)",'QA Log'!Z:Z,"Approved"),"")</f>
        <v/>
      </c>
      <c r="AS522" s="102" t="str">
        <f>IF(A522="","",
SUM(
COUNTIFS('QA Log'!D:D,A522,'QA Log'!M:M,"Data Verification",'QA Log'!Z:Z,"Rejected",'QA Log'!L:L,"*Personnel (section 1)*"),
COUNTIFS('QA Log'!D:D,A522,'QA Log'!M:M,"Data Verification",'QA Log'!Z:Z,"Rejected",'QA Log'!L:L,"*Consumable (section 3)*"),
COUNTIFS('QA Log'!D:D,A522,'QA Log'!M:M,"Data Verification",'QA Log'!Z:Z,"Rejected",'QA Log'!L:L,"*Equipments (section 4)*")
))</f>
        <v/>
      </c>
      <c r="AT522" s="102" t="str">
        <f t="shared" si="59"/>
        <v/>
      </c>
      <c r="AU522" s="103" t="str">
        <f t="shared" si="60"/>
        <v/>
      </c>
      <c r="AV522" s="102" t="str">
        <f>IF(A522="","",SUM(
COUNTIFS('QA Log'!D:D,A522,'QA Log'!M:M,"Vignette",'QA Log'!L:L,"*Vignette [1] Respiratory Infection: Pneumonia*"),
COUNTIFS('QA Log'!D:D,A522,'QA Log'!M:M,"Vignette",'QA Log'!L:L,"*Vignette [2]: Diarrhea with Cat B dehydration*"),
COUNTIFS('QA Log'!D:D,A522,'QA Log'!M:M,"Vignette",'QA Log'!L:L,"*Vignette [3] Growth Monitoring and Promotion*"),
COUNTIFS('QA Log'!D:D,A522,'QA Log'!M:M,"Vignette",'QA Log'!L:L,"*Vignette [4]: The management of presumptive TB patient*")
)
)</f>
        <v/>
      </c>
      <c r="AW522" s="102" t="str">
        <f>IF(
  A522="","",
  SUM(
    COUNTIFS('QA Log'!D:D,A522,'QA Log'!M:M,"Vignette",'QA Log'!Z:Z,"Approved",'QA Log'!L:L,"*Vignette [1] Respiratory Infection: Pneumonia*"),
    COUNTIFS('QA Log'!D:D,A522,'QA Log'!M:M,"Vignette",'QA Log'!Z:Z,"Approved",'QA Log'!L:L,"*Vignette [2]: Diarrhea with Cat B dehydration*"),
    COUNTIFS('QA Log'!D:D,A522,'QA Log'!M:M,"Vignette",'QA Log'!Z:Z,"Approved",'QA Log'!L:L,"*Vignette [3] Growth Monitoring and Promotion*"),
    COUNTIFS('QA Log'!D:D,A522,'QA Log'!M:M,"Vignette",'QA Log'!Z:Z,"Approved",'QA Log'!L:L,"*Vignette [4]: The management of presumptive TB patient*")
  )
)</f>
        <v/>
      </c>
      <c r="AX522" s="105" t="str">
        <f>IF(A522&lt;&gt;"",COUNTIFS('QA Log'!D:D,A522,'QA Log'!M:M,"Vignette",'QA Log'!L:L,"Vignette [1] Respiratory Infection: Pneumonia",'QA Log'!Z:Z,"Approved"),"")</f>
        <v/>
      </c>
      <c r="AY522" s="105" t="str">
        <f>IF(A522&lt;&gt;"",COUNTIFS('QA Log'!D:D,A522,'QA Log'!M:M,"Vignette",'QA Log'!L:L,"Vignette [2]: Diarrhea with Cat B dehydration",'QA Log'!Z:Z,"Approved"),"")</f>
        <v/>
      </c>
      <c r="AZ522" s="105" t="str">
        <f>IF(A522&lt;&gt;"",COUNTIFS('QA Log'!D:D,A522,'QA Log'!M:M,"Vignette",'QA Log'!L:L,"Vignette [3] Growth Monitoring and Promotion",'QA Log'!Z:Z,"Approved"),"")</f>
        <v/>
      </c>
      <c r="BA522" s="105" t="str">
        <f>IF(A522&lt;&gt;"",COUNTIFS('QA Log'!D:D,A522,'QA Log'!M:M,"Vignette",'QA Log'!L:L,"Vignette [4]: The management of presumptive TB patient",'QA Log'!Z:Z,"Approved"),"")</f>
        <v/>
      </c>
      <c r="BB522" s="102" t="str">
        <f>IF(A522="","",
  SUM(
    COUNTIFS('QA Log'!D:D,A522,'QA Log'!M:M,"Vignette",'QA Log'!Z:Z,"Rejected",'QA Log'!L:L,"*Vignette [1] Respiratory Infection: Pneumonia*"),
    COUNTIFS('QA Log'!D:D,A522,'QA Log'!M:M,"Vignette",'QA Log'!Z:Z,"Rejected",'QA Log'!L:L,"*Vignette [2]: Diarrhea with Cat B dehydration*"),
    COUNTIFS('QA Log'!D:D,A522,'QA Log'!M:M,"Vignette",'QA Log'!Z:Z,"Rejected",'QA Log'!L:L,"*Vignette [3] Growth Monitoring and Promotion*"),
    COUNTIFS('QA Log'!D:D,A522,'QA Log'!M:M,"Vignette",'QA Log'!Z:Z,"Rejected",'QA Log'!L:L,"*Vignette [4]: The management of presumptive TB patient*")
  )
)</f>
        <v/>
      </c>
      <c r="BC522" s="107" t="str">
        <f t="shared" si="61"/>
        <v/>
      </c>
      <c r="BD522" s="103" t="str">
        <f t="shared" si="62"/>
        <v/>
      </c>
      <c r="BE522" s="102" t="str">
        <f>IF(A522="","",SUM(
COUNTIFS('QA Log'!D:D,A522,'QA Log'!M:M,"Vignette",'QA Log'!L:L,"*Vignette [5] Labor*"),
COUNTIFS('QA Log'!D:D,A522,'QA Log'!M:M,"Vignette",'QA Log'!L:L,"*Vignette [6] PNC pre Discharge*"),
COUNTIFS('QA Log'!D:D,A522,'QA Log'!M:M,"Vignette",'QA Log'!L:L,"*Vignette [7] First ANC Visit*"),
COUNTIFS('QA Log'!D:D,A522,'QA Log'!M:M,"Vignette",'QA Log'!L:L,"*Vignette [8] Birth Spacing/ Family Planning :  FP Counselling*"),
COUNTIFS('QA Log'!D:D,A522,'QA Log'!M:M,"Vignette",'QA Log'!L:L,"*Vignette [9] Birth Spacing: Change FP method to Injectable*"),
COUNTIFS('QA Log'!D:D,A522,'QA Log'!M:M,"Vignette",'QA Log'!L:L,"*Vignette [10] Post Partum Haemorrhage - Atonic Uterus at Health Centre*"),
)
)</f>
        <v/>
      </c>
      <c r="BF522" s="102" t="str">
        <f>IF(A522="","",
  SUM(
    COUNTIFS('QA Log'!D:D,A522,'QA Log'!M:M,"Vignette",'QA Log'!Z:Z,"Approved",'QA Log'!L:L,"*Vignette [5] Labor*"),
    COUNTIFS('QA Log'!D:D,A522,'QA Log'!M:M,"Vignette",'QA Log'!Z:Z,"Approved",'QA Log'!L:L,"*Vignette [6] PNC pre Discharge*"),
    COUNTIFS('QA Log'!D:D,A522,'QA Log'!M:M,"Vignette",'QA Log'!Z:Z,"Approved",'QA Log'!L:L,"*Vignette [7] First ANC Visit*"),
    COUNTIFS('QA Log'!D:D,A522,'QA Log'!M:M,"Vignette",'QA Log'!Z:Z,"Approved",'QA Log'!L:L,"*Vignette [8] Birth Spacing/ Family Planning :  FP Counselling*"),
    COUNTIFS('QA Log'!D:D,A522,'QA Log'!M:M,"Vignette",'QA Log'!Z:Z,"Approved",'QA Log'!L:L,"*Vignette [9] Birth Spacing: Change FP method to Injectable*"),
    COUNTIFS('QA Log'!D:D,A522,'QA Log'!M:M,"Vignette",'QA Log'!Z:Z,"Approved",'QA Log'!L:L,"*Vignette [10] Post Partum Haemorrhage - Atonic Uterus at Health Centre*")
  )
)</f>
        <v/>
      </c>
      <c r="BG522" s="105" t="str">
        <f>IF(A522&lt;&gt;"",COUNTIFS('QA Log'!D:D,A522,'QA Log'!M:M,"Vignette",'QA Log'!L:L,"Vignette [5] Labor",'QA Log'!Z:Z,"Approved"),"")</f>
        <v/>
      </c>
      <c r="BH522" s="105" t="str">
        <f>IF(A522&lt;&gt;"",COUNTIFS('QA Log'!D:D,A522,'QA Log'!M:M,"Vignette",'QA Log'!L:L,"Vignette [6] PNC pre Discharge",'QA Log'!Z:Z,"Approved"),"")</f>
        <v/>
      </c>
      <c r="BI522" s="105" t="str">
        <f>IF(A522&lt;&gt;"",COUNTIFS('QA Log'!D:D,A522,'QA Log'!M:M,"Vignette",'QA Log'!L:L,"Vignette [7] First ANC Visit",'QA Log'!Z:Z,"Approved"),"")</f>
        <v/>
      </c>
      <c r="BJ522" s="105" t="str">
        <f>IF(A522&lt;&gt;"",COUNTIFS('QA Log'!D:D,A522,'QA Log'!M:M,"Vignette",'QA Log'!L:L,"Vignette [8] Birth Spacing/ Family Planning :  FP Counselling",'QA Log'!Z:Z,"Approved"),"")</f>
        <v/>
      </c>
      <c r="BK522" s="105" t="str">
        <f>IF(A522&lt;&gt;"",COUNTIFS('QA Log'!D:D,A522,'QA Log'!M:M,"Vignette",'QA Log'!L:L,"Vignette [9] Birth Spacing: Change FP method to Injectable",'QA Log'!Z:Z,"Approved"),"")</f>
        <v/>
      </c>
      <c r="BL522" s="105" t="str">
        <f>IF(A522&lt;&gt;"",COUNTIFS('QA Log'!D:D,A522,'QA Log'!M:M,"Vignette",'QA Log'!L:L,"Vignette [10] Post Partum Haemorrhage - Atonic Uterus at Health Centre",'QA Log'!Z:Z,"Approved"),"")</f>
        <v/>
      </c>
      <c r="BM522" s="102" t="str">
        <f>IF(A522="","",SUM(
    COUNTIFS('QA Log'!D:D,A522,'QA Log'!M:M,"Vignette",'QA Log'!Z:Z,"Rejected",'QA Log'!L:L,"*Vignette [5] Labor*"),
    COUNTIFS('QA Log'!D:D,A522,'QA Log'!M:M,"Vignette",'QA Log'!Z:Z,"Rejected",'QA Log'!L:L,"*Vignette [6] PNC pre Discharge*"),
    COUNTIFS('QA Log'!D:D,A522,'QA Log'!M:M,"Vignette",'QA Log'!Z:Z,"Rejected",'QA Log'!L:L,"*Vignette [7] First ANC Visit*"),
    COUNTIFS('QA Log'!D:D,A522,'QA Log'!M:M,"Vignette",'QA Log'!Z:Z,"Rejected",'QA Log'!L:L,"*Vignette [8] Birth Spacing/ Family Planning :  FP Counselling*"),
    COUNTIFS('QA Log'!D:D,A522,'QA Log'!M:M,"Vignette",'QA Log'!Z:Z,"Rejected",'QA Log'!L:L,"*Vignette [9] Birth Spacing: Change FP method to Injectable*"),
    COUNTIFS('QA Log'!D:D,A522,'QA Log'!M:M,"Vignette",'QA Log'!Z:Z,"Rejected",'QA Log'!L:L,"*Vignette [10] Post Partum Haemorrhage - Atonic Uterus at Health Centre*")
  )
)</f>
        <v/>
      </c>
      <c r="BN522" s="107" t="str">
        <f t="shared" si="63"/>
        <v/>
      </c>
      <c r="BO522" s="103" t="str">
        <f t="shared" si="64"/>
        <v/>
      </c>
      <c r="BP522" s="102" t="str">
        <f>IF(A522="","",SUM(
COUNTIFS('QA Log'!D:D,A522,'QA Log'!M:M,"Vignette",'QA Log'!L:L,"*Exit Interview 1*"),
COUNTIFS('QA Log'!D:D,A522,'QA Log'!M:M,"Vignette",'QA Log'!L:L,"*Exit Interview 2*"),
)
)</f>
        <v/>
      </c>
      <c r="BQ522" s="102" t="str">
        <f>IF(
  A522="","",
  SUM(
    COUNTIFS('QA Log'!D:D,A522,'QA Log'!M:M,"Vignette",'QA Log'!Z:Z,"Approved",'QA Log'!L:L,"*Exit Interview 1*"),
    COUNTIFS('QA Log'!D:D,A522,'QA Log'!M:M,"Vignette",'QA Log'!Z:Z,"Approved",'QA Log'!L:L,"*Exit Interview 2*")
  )
)</f>
        <v/>
      </c>
      <c r="BR522" s="105" t="str">
        <f>IF(A522&lt;&gt;"",COUNTIFS('QA Log'!D:D,A522,'QA Log'!M:M,"Vignette",'QA Log'!L:L,"Exit Interview 1",'QA Log'!Z:Z,"Approved"),"")</f>
        <v/>
      </c>
      <c r="BS522" s="105" t="str">
        <f>IF(A522&lt;&gt;"",COUNTIFS('QA Log'!D:D,A522,'QA Log'!M:M,"Vignette",'QA Log'!L:L,"Exit Interview 2",'QA Log'!Z:Z,"Approved"),"")</f>
        <v/>
      </c>
      <c r="BT522" s="102" t="str">
        <f>IF(
  A522="","",
  SUM(
    COUNTIFS('QA Log'!D:D,A522,'QA Log'!M:M,"Vignette",'QA Log'!Z:Z,"Rejected",'QA Log'!L:L,"*Exit Interview 1*"),
    COUNTIFS('QA Log'!D:D,A522,'QA Log'!M:M,"Vignette",'QA Log'!Z:Z,"Rejected",'QA Log'!L:L,"*Exit Interview 2*")
  )
)</f>
        <v/>
      </c>
      <c r="BU522" s="107" t="str">
        <f t="shared" si="65"/>
        <v/>
      </c>
      <c r="BV522" s="102" t="str">
        <f t="shared" si="66"/>
        <v/>
      </c>
      <c r="BW522" s="102" t="str">
        <f t="shared" si="67"/>
        <v/>
      </c>
      <c r="BX522" s="102" t="str">
        <f t="shared" si="68"/>
        <v/>
      </c>
      <c r="BY522" s="102" t="str">
        <f t="shared" si="69"/>
        <v/>
      </c>
      <c r="BZ522" s="107" t="str">
        <f t="shared" si="70"/>
        <v/>
      </c>
      <c r="CA522" s="108" t="str">
        <f t="shared" si="71"/>
        <v/>
      </c>
      <c r="CB522" s="108" t="str">
        <f t="shared" si="72"/>
        <v/>
      </c>
      <c r="CC522" s="109" t="str">
        <f t="shared" si="73"/>
        <v/>
      </c>
      <c r="CD522" s="108" t="str">
        <f t="shared" si="74"/>
        <v/>
      </c>
      <c r="CE522" s="108" t="str">
        <f t="shared" si="75"/>
        <v/>
      </c>
      <c r="CF522" s="109" t="str">
        <f t="shared" si="76"/>
        <v/>
      </c>
      <c r="CG522" s="110" t="str">
        <f t="shared" si="77"/>
        <v/>
      </c>
      <c r="CH522" s="111"/>
    </row>
    <row r="523" spans="1:86" ht="12.75">
      <c r="A523" s="101"/>
      <c r="B523" s="102" t="e">
        <f t="array" aca="1" ref="B523" ca="1">_xludf.XLOOKUP(A523,'QA Log'!D:D,'QA Log'!E:E,"")</f>
        <v>#NAME?</v>
      </c>
      <c r="C523" s="102" t="e">
        <f t="array" aca="1" ref="C523" ca="1">_xludf.XLOOKUP(A523,'QA Log'!D:D,'QA Log'!F:F,"")</f>
        <v>#NAME?</v>
      </c>
      <c r="D523" s="102" t="e">
        <f t="array" aca="1" ref="D523" ca="1">_xludf.XLOOKUP(A523,'QA Log'!D:D,'QA Log'!H:H,"")</f>
        <v>#NAME?</v>
      </c>
      <c r="E523" s="102" t="e">
        <f t="array" aca="1" ref="E523" ca="1">_xludf.XLOOKUP(A523,'QA Log'!D:D,'QA Log'!G:G,"")</f>
        <v>#NAME?</v>
      </c>
      <c r="F523" s="103"/>
      <c r="G523" s="104"/>
      <c r="H523" s="104"/>
      <c r="I523" s="103" t="str">
        <f t="shared" si="52"/>
        <v/>
      </c>
      <c r="J523" s="102" t="str">
        <f>IF(A523="","",SUM(
COUNTIFS('QA Log'!D:D,A523,'QA Log'!M:M,"QQC",'QA Log'!L:L,"*1. General Management*"),
COUNTIFS('QA Log'!D:D,A523,'QA Log'!M:M,"QQC",'QA Log'!L:L,"*3. Curative Consultation (OPD)*"),
COUNTIFS('QA Log'!D:D,A523,'QA Log'!M:M,"QQC",'QA Log'!L:L,"*5. Laboratory*"),
COUNTIFS('QA Log'!D:D,A523,'QA Log'!M:M,"QQC",'QA Log'!L:L,"*6. Essential Medicine Management*"),
COUNTIFS('QA Log'!D:D,A523,'QA Log'!M:M,"QQC",'QA Log'!L:L,"*7. Tracer Medicine*"),
COUNTIFS('QA Log'!D:D,A523,'QA Log'!M:M,"QQC",'QA Log'!L:L,"*11. Additional Questions*")))</f>
        <v/>
      </c>
      <c r="K523" s="102" t="str">
        <f>IF(A523="","",SUM(
COUNTIFS('QA Log'!D:D,A523,'QA Log'!M:M,"QQC",'QA Log'!Z:Z,"Approved",'QA Log'!L:L,"*1. General Management*"),
COUNTIFS('QA Log'!D:D,A523,'QA Log'!M:M,"QQC",'QA Log'!Z:Z,"Approved",'QA Log'!L:L,"*3. Curative Consultation (OPD)*"),
COUNTIFS('QA Log'!D:D,A523,'QA Log'!M:M,"QQC",'QA Log'!Z:Z,"Approved",'QA Log'!L:L,"*5. Laboratory*"),
COUNTIFS('QA Log'!D:D,A523,'QA Log'!M:M,"QQC",'QA Log'!Z:Z,"Approved",'QA Log'!L:L,"*6. Essential Medicine Management*"),
COUNTIFS('QA Log'!D:D,A523,'QA Log'!M:M,"QQC",'QA Log'!Z:Z,"Approved",'QA Log'!L:L,"*7. Tracer Medicine*"),
COUNTIFS('QA Log'!D:D,A523,'QA Log'!M:M,"QQC",'QA Log'!Z:Z,"Approved",'QA Log'!L:L,"*11. Additional Questions*")))</f>
        <v/>
      </c>
      <c r="L523" s="102" t="str">
        <f>IF(A523&lt;&gt;"",COUNTIFS('QA Log'!D:D,A523,'QA Log'!M:M,"QQC",'QA Log'!L:L,"1. General Management",'QA Log'!Z:Z,"Approved"),"")</f>
        <v/>
      </c>
      <c r="M523" s="102" t="str">
        <f>IF(A523&lt;&gt;"",COUNTIFS('QA Log'!D:D,A523,'QA Log'!M:M,"QQC",'QA Log'!L:L,"3. Curative Consultation (OPD)",'QA Log'!Z:Z,"Approved"),"")</f>
        <v/>
      </c>
      <c r="N523" s="102" t="str">
        <f>IF(A523&lt;&gt;"",COUNTIFS('QA Log'!D:D,A523,'QA Log'!M:M,"QQC",'QA Log'!L:L,"5. Laboratory",'QA Log'!Z:Z,"Approved"),"")</f>
        <v/>
      </c>
      <c r="O523" s="102" t="str">
        <f>IF(A523&lt;&gt;"",COUNTIFS('QA Log'!D:D,A523,'QA Log'!M:M,"QQC",'QA Log'!L:L,"6. Essential Medicine Management",'QA Log'!Z:Z,"Approved"),"")</f>
        <v/>
      </c>
      <c r="P523" s="102" t="str">
        <f>IF(A523&lt;&gt;"",COUNTIFS('QA Log'!D:D,A523,'QA Log'!M:M,"QQC",'QA Log'!L:L,"7. Tracer Medicine",'QA Log'!Z:Z,"Approved"),"")</f>
        <v/>
      </c>
      <c r="Q523" s="102" t="str">
        <f>IF(A523&lt;&gt;"",COUNTIFS('QA Log'!D:D,A523,'QA Log'!M:M,"QQC",'QA Log'!L:L,"11. Additional Questions",'QA Log'!Z:Z,"Approved"),"")</f>
        <v/>
      </c>
      <c r="R523" s="102" t="str">
        <f>IF(A523="","",SUM(
COUNTIFS('QA Log'!D:D,A523,'QA Log'!M:M,"QQC",'QA Log'!Z:Z,"Rejected",'QA Log'!L:L,"*8. Maternity*"),
COUNTIFS('QA Log'!D:D,A523,'QA Log'!M:M,"QQC",'QA Log'!Z:Z,"Rejected",'QA Log'!L:L,"*EPI*"),
COUNTIFS('QA Log'!D:D,A523,'QA Log'!M:M,"QQC",'QA Log'!Z:Z,"Rejected",'QA Log'!L:L,"*10. Antenatal Care (ANC)*"),
COUNTIFS('QA Log'!D:D,A523,'QA Log'!M:M,"QQC",'QA Log'!Z:Z,"Rejected",'QA Log'!L:L,"*2. Hygiene and Sterilization*"),
COUNTIFS('QA Log'!D:D,A523,'QA Log'!M:M,"QQC",'QA Log'!Z:Z,"Rejected",'QA Log'!L:L,"*Family Planning*")))</f>
        <v/>
      </c>
      <c r="S523" s="106" t="str">
        <f t="shared" si="53"/>
        <v/>
      </c>
      <c r="T523" s="102" t="str">
        <f t="shared" si="54"/>
        <v/>
      </c>
      <c r="U523" s="102" t="str">
        <f>IF(A523="","",
SUM(
COUNTIFS('QA Log'!D:D,A523,'QA Log'!M:M,"QQC",'QA Log'!L:L,"*8. Maternity*"),
COUNTIFS('QA Log'!D:D,A523,'QA Log'!M:M,"QQC",'QA Log'!L:L,"*9. EPI and Pre-school Consultation*"),
COUNTIFS('QA Log'!D:D,A523,'QA Log'!M:M,"QQC",'QA Log'!L:L,"*10. Antenatal Care (ANC)*"),
COUNTIFS('QA Log'!D:D,A523,'QA Log'!M:M,"QQC",'QA Log'!L:L,"*2. Hygiene and Sterilization*"),
COUNTIFS('QA Log'!D:D,A523,'QA Log'!M:M,"QQC",'QA Log'!L:L,"*4. Family Planning*")
))</f>
        <v/>
      </c>
      <c r="V523" s="102" t="str">
        <f>IF(A523="","",
SUM(
COUNTIFS('QA Log'!D:D,A523,'QA Log'!M:M,"QQC",'QA Log'!Z:Z,"Approved",'QA Log'!L:L,"*8. Maternity*"),
COUNTIFS('QA Log'!D:D,A523,'QA Log'!M:M,"QQC",'QA Log'!Z:Z,"Approved",'QA Log'!L:L,"*9. EPI and Pre-school Consultation*"),
COUNTIFS('QA Log'!D:D,A523,'QA Log'!M:M,"QQC",'QA Log'!Z:Z,"Approved",'QA Log'!L:L,"*10. Antenatal Care (ANC)*"),
COUNTIFS('QA Log'!D:D,A523,'QA Log'!M:M,"QQC",'QA Log'!Z:Z,"Approved",'QA Log'!L:L,"*2. Hygiene and Sterilization*"),
COUNTIFS('QA Log'!D:D,A523,'QA Log'!M:M,"QQC",'QA Log'!Z:Z,"Approved",'QA Log'!L:L,"*4. Family Planning*")
))</f>
        <v/>
      </c>
      <c r="W523" s="102" t="str">
        <f>IF(A523&lt;&gt;"",COUNTIFS('QA Log'!D:D,A523,'QA Log'!M:M,"QQC",'QA Log'!L:L,"8. Maternity",'QA Log'!Z:Z,"Approved"),"")</f>
        <v/>
      </c>
      <c r="X523" s="105" t="str">
        <f>IF(A523&lt;&gt;"",COUNTIFS('QA Log'!D:D,A523,'QA Log'!M:M,"QQC",'QA Log'!L:L,"9. EPI and Pre-school Consultation",'QA Log'!Z:Z,"Approved"),"")</f>
        <v/>
      </c>
      <c r="Y523" s="102" t="str">
        <f>IF(A523&lt;&gt;"",COUNTIFS('QA Log'!D:D,A523,'QA Log'!M:M,"QQC",'QA Log'!L:L,"10. Antenatal Care (ANC)",'QA Log'!Z:Z,"Approved"),"")</f>
        <v/>
      </c>
      <c r="Z523" s="102" t="str">
        <f>IF(A523&lt;&gt;"",COUNTIFS('QA Log'!D:D,A523,'QA Log'!M:M,"QQC",'QA Log'!L:L,"2. Hygiene and Sterilization",'QA Log'!Z:Z,"Approved"),"")</f>
        <v/>
      </c>
      <c r="AA523" s="105" t="str">
        <f>IF(A523&lt;&gt;"",COUNTIFS('QA Log'!D:D,A523,'QA Log'!M:M,"QQC",'QA Log'!L:L,"4. Family Planning",'QA Log'!Z:Z,"Approved"),"")</f>
        <v/>
      </c>
      <c r="AB523" s="102" t="str">
        <f>IF(A523="","",
SUM(
COUNTIFS('QA Log'!D:D,A523,'QA Log'!M:M,"QQC",'QA Log'!Z:Z,"Rejected",'QA Log'!L:L,"*8. Maternity*"),
COUNTIFS('QA Log'!D:D,A523,'QA Log'!M:M,"QQC",'QA Log'!Z:Z,"Rejected",'QA Log'!L:L,"*9. EPI and Pre-school Consultation*"),
COUNTIFS('QA Log'!D:D,A523,'QA Log'!M:M,"QQC",'QA Log'!Z:Z,"Rejected",'QA Log'!L:L,"*10. Antenatal Care (ANC)*"),
COUNTIFS('QA Log'!D:D,A523,'QA Log'!M:M,"QQC",'QA Log'!Z:Z,"Rejected",'QA Log'!L:L,"*2. Hygiene and Sterilization*"),
COUNTIFS('QA Log'!D:D,A523,'QA Log'!M:M,"QQC",'QA Log'!Z:Z,"Rejected",'QA Log'!L:L,"*4. Family Planning*")
))</f>
        <v/>
      </c>
      <c r="AC523" s="102" t="str">
        <f t="shared" si="55"/>
        <v/>
      </c>
      <c r="AD523" s="103" t="str">
        <f t="shared" si="56"/>
        <v/>
      </c>
      <c r="AE523" s="102" t="str">
        <f>IF(A523="","",
SUM(
COUNTIFS('QA Log'!D:D,A523,'QA Log'!M:M,"Data Verification",'QA Log'!L:L,"*Medicine (section 2)*"),
COUNTIFS('QA Log'!D:D,A523,'QA Log'!M:M,"Data Verification",'QA Log'!L:L,"*Lab Testing Availability*"),
COUNTIFS('QA Log'!D:D,A523,'QA Log'!M:M,"Data Verification",'QA Log'!L:L,"*Other than P4P (section 6)*"),
COUNTIFS('QA Log'!D:D,A523,'QA Log'!M:M,"Data Verification",'QA Log'!L:L,"*Hospital Governance*")
))</f>
        <v/>
      </c>
      <c r="AF523" s="102" t="str">
        <f>IF(A523="","",
SUM(
COUNTIFS('QA Log'!D:D,A523,'QA Log'!M:M,"Data Verification",'QA Log'!Z:Z,"Approved",'QA Log'!L:L,"*Medicine (section 2)*"),
COUNTIFS('QA Log'!D:D,A523,'QA Log'!M:M,"Data Verification",'QA Log'!Z:Z,"Approved",'QA Log'!L:L,"*Lab Testing Availability*"),
COUNTIFS('QA Log'!D:D,A523,'QA Log'!M:M,"Data Verification",'QA Log'!Z:Z,"Approved",'QA Log'!L:L,"*Other than P4P (section 6)*"),
COUNTIFS('QA Log'!D:D,A523,'QA Log'!M:M,"Data Verification",'QA Log'!Z:Z,"Approved",'QA Log'!L:L,"*Hospital Governance*")
))</f>
        <v/>
      </c>
      <c r="AG523" s="105" t="str">
        <f>IF(A523&lt;&gt;"",COUNTIFS('QA Log'!D:D,A523,'QA Log'!M:M,"Data Verification",'QA Log'!L:L,"Medicine (section 2)",'QA Log'!Z:Z,"Approved"),"")</f>
        <v/>
      </c>
      <c r="AH523" s="105" t="str">
        <f>IF(A523&lt;&gt;"",COUNTIFS('QA Log'!D:D,A523,'QA Log'!M:M,"Data Verification",'QA Log'!L:L,"Lab Testing Availability",'QA Log'!Z:Z,"Approved"),"")</f>
        <v/>
      </c>
      <c r="AI523" s="105" t="str">
        <f>IF(A523&lt;&gt;"",COUNTIFS('QA Log'!D:D,A523,'QA Log'!M:M,"Data Verification",'QA Log'!L:L,"Other than P4P (section 6)",'QA Log'!Z:Z,"Approved"),"")</f>
        <v/>
      </c>
      <c r="AJ523" s="105" t="str">
        <f>IF(A523&lt;&gt;"",COUNTIFS('QA Log'!D:D,A523,'QA Log'!M:M,"Data Verification",'QA Log'!L:L,"Hospital Governance",'QA Log'!Z:Z,"Approved"),"")</f>
        <v/>
      </c>
      <c r="AK523" s="102" t="str">
        <f>IF(A523="","",
SUM(
COUNTIFS('QA Log'!D:D,A523,'QA Log'!M:M,"Data Verification",'QA Log'!Z:Z,"Rejected",'QA Log'!L:L,"*Medicine (section 2)*"),
COUNTIFS('QA Log'!D:D,A523,'QA Log'!M:M,"Data Verification",'QA Log'!Z:Z,"Rejected",'QA Log'!L:L,"*Lab Testing Availability*"),
COUNTIFS('QA Log'!D:D,A523,'QA Log'!M:M,"Data Verification",'QA Log'!Z:Z,"Rejected",'QA Log'!L:L,"*Other than P4P (section 6)*"),
COUNTIFS('QA Log'!D:D,A523,'QA Log'!M:M,"Data Verification",'QA Log'!Z:Z,"Rejected",'QA Log'!L:L,"*Hospital Governance*")
))</f>
        <v/>
      </c>
      <c r="AL523" s="106" t="str">
        <f t="shared" si="57"/>
        <v/>
      </c>
      <c r="AM523" s="102" t="str">
        <f t="shared" si="58"/>
        <v/>
      </c>
      <c r="AN523" s="102" t="str">
        <f>IF(A523="","",
SUM(
COUNTIFS('QA Log'!D:D,A523,'QA Log'!M:M,"Data Verification",'QA Log'!L:L,"*Personnel (section 1)*"),
COUNTIFS('QA Log'!D:D,A523,'QA Log'!M:M,"Data Verification",'QA Log'!L:L,"*Consumable (section 3)*"),
COUNTIFS('QA Log'!D:D,A523,'QA Log'!M:M,"Data Verification",'QA Log'!L:L,"*Equipments (section 4)*")
))</f>
        <v/>
      </c>
      <c r="AO523" s="102" t="str">
        <f>IF(A523="","",
SUM(
COUNTIFS('QA Log'!D:D,A523,'QA Log'!M:M,"Data Verification",'QA Log'!Z:Z,"Approved",'QA Log'!L:L,"*Personnel (section 1)*"),
COUNTIFS('QA Log'!D:D,A523,'QA Log'!M:M,"Data Verification",'QA Log'!Z:Z,"Approved",'QA Log'!L:L,"*Consumable (section 3)*"),
COUNTIFS('QA Log'!D:D,A523,'QA Log'!M:M,"Data Verification",'QA Log'!Z:Z,"Approved",'QA Log'!L:L,"*Equipments (section 4)*")
))</f>
        <v/>
      </c>
      <c r="AP523" s="105" t="str">
        <f>IF(A523&lt;&gt;"",COUNTIFS('QA Log'!D:D,A523,'QA Log'!M:M,"Data Verification",'QA Log'!L:L,"Personnel (section 1)",'QA Log'!Z:Z,"Approved"),"")</f>
        <v/>
      </c>
      <c r="AQ523" s="105" t="str">
        <f>IF(A523&lt;&gt;"",COUNTIFS('QA Log'!D:D,A523,'QA Log'!M:M,"Data Verification",'QA Log'!L:L,"Consumable (section 3)",'QA Log'!Z:Z,"Approved"),"")</f>
        <v/>
      </c>
      <c r="AR523" s="105" t="str">
        <f>IF(A523&lt;&gt;"",COUNTIFS('QA Log'!D:D,A523,'QA Log'!M:M,"Data Verification",'QA Log'!L:L,"Equipments (section 4)",'QA Log'!Z:Z,"Approved"),"")</f>
        <v/>
      </c>
      <c r="AS523" s="102" t="str">
        <f>IF(A523="","",
SUM(
COUNTIFS('QA Log'!D:D,A523,'QA Log'!M:M,"Data Verification",'QA Log'!Z:Z,"Rejected",'QA Log'!L:L,"*Personnel (section 1)*"),
COUNTIFS('QA Log'!D:D,A523,'QA Log'!M:M,"Data Verification",'QA Log'!Z:Z,"Rejected",'QA Log'!L:L,"*Consumable (section 3)*"),
COUNTIFS('QA Log'!D:D,A523,'QA Log'!M:M,"Data Verification",'QA Log'!Z:Z,"Rejected",'QA Log'!L:L,"*Equipments (section 4)*")
))</f>
        <v/>
      </c>
      <c r="AT523" s="102" t="str">
        <f t="shared" si="59"/>
        <v/>
      </c>
      <c r="AU523" s="103" t="str">
        <f t="shared" si="60"/>
        <v/>
      </c>
      <c r="AV523" s="102" t="str">
        <f>IF(A523="","",SUM(
COUNTIFS('QA Log'!D:D,A523,'QA Log'!M:M,"Vignette",'QA Log'!L:L,"*Vignette [1] Respiratory Infection: Pneumonia*"),
COUNTIFS('QA Log'!D:D,A523,'QA Log'!M:M,"Vignette",'QA Log'!L:L,"*Vignette [2]: Diarrhea with Cat B dehydration*"),
COUNTIFS('QA Log'!D:D,A523,'QA Log'!M:M,"Vignette",'QA Log'!L:L,"*Vignette [3] Growth Monitoring and Promotion*"),
COUNTIFS('QA Log'!D:D,A523,'QA Log'!M:M,"Vignette",'QA Log'!L:L,"*Vignette [4]: The management of presumptive TB patient*")
)
)</f>
        <v/>
      </c>
      <c r="AW523" s="102" t="str">
        <f>IF(
  A523="","",
  SUM(
    COUNTIFS('QA Log'!D:D,A523,'QA Log'!M:M,"Vignette",'QA Log'!Z:Z,"Approved",'QA Log'!L:L,"*Vignette [1] Respiratory Infection: Pneumonia*"),
    COUNTIFS('QA Log'!D:D,A523,'QA Log'!M:M,"Vignette",'QA Log'!Z:Z,"Approved",'QA Log'!L:L,"*Vignette [2]: Diarrhea with Cat B dehydration*"),
    COUNTIFS('QA Log'!D:D,A523,'QA Log'!M:M,"Vignette",'QA Log'!Z:Z,"Approved",'QA Log'!L:L,"*Vignette [3] Growth Monitoring and Promotion*"),
    COUNTIFS('QA Log'!D:D,A523,'QA Log'!M:M,"Vignette",'QA Log'!Z:Z,"Approved",'QA Log'!L:L,"*Vignette [4]: The management of presumptive TB patient*")
  )
)</f>
        <v/>
      </c>
      <c r="AX523" s="105" t="str">
        <f>IF(A523&lt;&gt;"",COUNTIFS('QA Log'!D:D,A523,'QA Log'!M:M,"Vignette",'QA Log'!L:L,"Vignette [1] Respiratory Infection: Pneumonia",'QA Log'!Z:Z,"Approved"),"")</f>
        <v/>
      </c>
      <c r="AY523" s="105" t="str">
        <f>IF(A523&lt;&gt;"",COUNTIFS('QA Log'!D:D,A523,'QA Log'!M:M,"Vignette",'QA Log'!L:L,"Vignette [2]: Diarrhea with Cat B dehydration",'QA Log'!Z:Z,"Approved"),"")</f>
        <v/>
      </c>
      <c r="AZ523" s="105" t="str">
        <f>IF(A523&lt;&gt;"",COUNTIFS('QA Log'!D:D,A523,'QA Log'!M:M,"Vignette",'QA Log'!L:L,"Vignette [3] Growth Monitoring and Promotion",'QA Log'!Z:Z,"Approved"),"")</f>
        <v/>
      </c>
      <c r="BA523" s="105" t="str">
        <f>IF(A523&lt;&gt;"",COUNTIFS('QA Log'!D:D,A523,'QA Log'!M:M,"Vignette",'QA Log'!L:L,"Vignette [4]: The management of presumptive TB patient",'QA Log'!Z:Z,"Approved"),"")</f>
        <v/>
      </c>
      <c r="BB523" s="102" t="str">
        <f>IF(A523="","",
  SUM(
    COUNTIFS('QA Log'!D:D,A523,'QA Log'!M:M,"Vignette",'QA Log'!Z:Z,"Rejected",'QA Log'!L:L,"*Vignette [1] Respiratory Infection: Pneumonia*"),
    COUNTIFS('QA Log'!D:D,A523,'QA Log'!M:M,"Vignette",'QA Log'!Z:Z,"Rejected",'QA Log'!L:L,"*Vignette [2]: Diarrhea with Cat B dehydration*"),
    COUNTIFS('QA Log'!D:D,A523,'QA Log'!M:M,"Vignette",'QA Log'!Z:Z,"Rejected",'QA Log'!L:L,"*Vignette [3] Growth Monitoring and Promotion*"),
    COUNTIFS('QA Log'!D:D,A523,'QA Log'!M:M,"Vignette",'QA Log'!Z:Z,"Rejected",'QA Log'!L:L,"*Vignette [4]: The management of presumptive TB patient*")
  )
)</f>
        <v/>
      </c>
      <c r="BC523" s="107" t="str">
        <f t="shared" si="61"/>
        <v/>
      </c>
      <c r="BD523" s="103" t="str">
        <f t="shared" si="62"/>
        <v/>
      </c>
      <c r="BE523" s="102" t="str">
        <f>IF(A523="","",SUM(
COUNTIFS('QA Log'!D:D,A523,'QA Log'!M:M,"Vignette",'QA Log'!L:L,"*Vignette [5] Labor*"),
COUNTIFS('QA Log'!D:D,A523,'QA Log'!M:M,"Vignette",'QA Log'!L:L,"*Vignette [6] PNC pre Discharge*"),
COUNTIFS('QA Log'!D:D,A523,'QA Log'!M:M,"Vignette",'QA Log'!L:L,"*Vignette [7] First ANC Visit*"),
COUNTIFS('QA Log'!D:D,A523,'QA Log'!M:M,"Vignette",'QA Log'!L:L,"*Vignette [8] Birth Spacing/ Family Planning :  FP Counselling*"),
COUNTIFS('QA Log'!D:D,A523,'QA Log'!M:M,"Vignette",'QA Log'!L:L,"*Vignette [9] Birth Spacing: Change FP method to Injectable*"),
COUNTIFS('QA Log'!D:D,A523,'QA Log'!M:M,"Vignette",'QA Log'!L:L,"*Vignette [10] Post Partum Haemorrhage - Atonic Uterus at Health Centre*"),
)
)</f>
        <v/>
      </c>
      <c r="BF523" s="102" t="str">
        <f>IF(A523="","",
  SUM(
    COUNTIFS('QA Log'!D:D,A523,'QA Log'!M:M,"Vignette",'QA Log'!Z:Z,"Approved",'QA Log'!L:L,"*Vignette [5] Labor*"),
    COUNTIFS('QA Log'!D:D,A523,'QA Log'!M:M,"Vignette",'QA Log'!Z:Z,"Approved",'QA Log'!L:L,"*Vignette [6] PNC pre Discharge*"),
    COUNTIFS('QA Log'!D:D,A523,'QA Log'!M:M,"Vignette",'QA Log'!Z:Z,"Approved",'QA Log'!L:L,"*Vignette [7] First ANC Visit*"),
    COUNTIFS('QA Log'!D:D,A523,'QA Log'!M:M,"Vignette",'QA Log'!Z:Z,"Approved",'QA Log'!L:L,"*Vignette [8] Birth Spacing/ Family Planning :  FP Counselling*"),
    COUNTIFS('QA Log'!D:D,A523,'QA Log'!M:M,"Vignette",'QA Log'!Z:Z,"Approved",'QA Log'!L:L,"*Vignette [9] Birth Spacing: Change FP method to Injectable*"),
    COUNTIFS('QA Log'!D:D,A523,'QA Log'!M:M,"Vignette",'QA Log'!Z:Z,"Approved",'QA Log'!L:L,"*Vignette [10] Post Partum Haemorrhage - Atonic Uterus at Health Centre*")
  )
)</f>
        <v/>
      </c>
      <c r="BG523" s="105" t="str">
        <f>IF(A523&lt;&gt;"",COUNTIFS('QA Log'!D:D,A523,'QA Log'!M:M,"Vignette",'QA Log'!L:L,"Vignette [5] Labor",'QA Log'!Z:Z,"Approved"),"")</f>
        <v/>
      </c>
      <c r="BH523" s="105" t="str">
        <f>IF(A523&lt;&gt;"",COUNTIFS('QA Log'!D:D,A523,'QA Log'!M:M,"Vignette",'QA Log'!L:L,"Vignette [6] PNC pre Discharge",'QA Log'!Z:Z,"Approved"),"")</f>
        <v/>
      </c>
      <c r="BI523" s="105" t="str">
        <f>IF(A523&lt;&gt;"",COUNTIFS('QA Log'!D:D,A523,'QA Log'!M:M,"Vignette",'QA Log'!L:L,"Vignette [7] First ANC Visit",'QA Log'!Z:Z,"Approved"),"")</f>
        <v/>
      </c>
      <c r="BJ523" s="105" t="str">
        <f>IF(A523&lt;&gt;"",COUNTIFS('QA Log'!D:D,A523,'QA Log'!M:M,"Vignette",'QA Log'!L:L,"Vignette [8] Birth Spacing/ Family Planning :  FP Counselling",'QA Log'!Z:Z,"Approved"),"")</f>
        <v/>
      </c>
      <c r="BK523" s="105" t="str">
        <f>IF(A523&lt;&gt;"",COUNTIFS('QA Log'!D:D,A523,'QA Log'!M:M,"Vignette",'QA Log'!L:L,"Vignette [9] Birth Spacing: Change FP method to Injectable",'QA Log'!Z:Z,"Approved"),"")</f>
        <v/>
      </c>
      <c r="BL523" s="105" t="str">
        <f>IF(A523&lt;&gt;"",COUNTIFS('QA Log'!D:D,A523,'QA Log'!M:M,"Vignette",'QA Log'!L:L,"Vignette [10] Post Partum Haemorrhage - Atonic Uterus at Health Centre",'QA Log'!Z:Z,"Approved"),"")</f>
        <v/>
      </c>
      <c r="BM523" s="102" t="str">
        <f>IF(A523="","",SUM(
    COUNTIFS('QA Log'!D:D,A523,'QA Log'!M:M,"Vignette",'QA Log'!Z:Z,"Rejected",'QA Log'!L:L,"*Vignette [5] Labor*"),
    COUNTIFS('QA Log'!D:D,A523,'QA Log'!M:M,"Vignette",'QA Log'!Z:Z,"Rejected",'QA Log'!L:L,"*Vignette [6] PNC pre Discharge*"),
    COUNTIFS('QA Log'!D:D,A523,'QA Log'!M:M,"Vignette",'QA Log'!Z:Z,"Rejected",'QA Log'!L:L,"*Vignette [7] First ANC Visit*"),
    COUNTIFS('QA Log'!D:D,A523,'QA Log'!M:M,"Vignette",'QA Log'!Z:Z,"Rejected",'QA Log'!L:L,"*Vignette [8] Birth Spacing/ Family Planning :  FP Counselling*"),
    COUNTIFS('QA Log'!D:D,A523,'QA Log'!M:M,"Vignette",'QA Log'!Z:Z,"Rejected",'QA Log'!L:L,"*Vignette [9] Birth Spacing: Change FP method to Injectable*"),
    COUNTIFS('QA Log'!D:D,A523,'QA Log'!M:M,"Vignette",'QA Log'!Z:Z,"Rejected",'QA Log'!L:L,"*Vignette [10] Post Partum Haemorrhage - Atonic Uterus at Health Centre*")
  )
)</f>
        <v/>
      </c>
      <c r="BN523" s="107" t="str">
        <f t="shared" si="63"/>
        <v/>
      </c>
      <c r="BO523" s="103" t="str">
        <f t="shared" si="64"/>
        <v/>
      </c>
      <c r="BP523" s="102" t="str">
        <f>IF(A523="","",SUM(
COUNTIFS('QA Log'!D:D,A523,'QA Log'!M:M,"Vignette",'QA Log'!L:L,"*Exit Interview 1*"),
COUNTIFS('QA Log'!D:D,A523,'QA Log'!M:M,"Vignette",'QA Log'!L:L,"*Exit Interview 2*"),
)
)</f>
        <v/>
      </c>
      <c r="BQ523" s="102" t="str">
        <f>IF(
  A523="","",
  SUM(
    COUNTIFS('QA Log'!D:D,A523,'QA Log'!M:M,"Vignette",'QA Log'!Z:Z,"Approved",'QA Log'!L:L,"*Exit Interview 1*"),
    COUNTIFS('QA Log'!D:D,A523,'QA Log'!M:M,"Vignette",'QA Log'!Z:Z,"Approved",'QA Log'!L:L,"*Exit Interview 2*")
  )
)</f>
        <v/>
      </c>
      <c r="BR523" s="105" t="str">
        <f>IF(A523&lt;&gt;"",COUNTIFS('QA Log'!D:D,A523,'QA Log'!M:M,"Vignette",'QA Log'!L:L,"Exit Interview 1",'QA Log'!Z:Z,"Approved"),"")</f>
        <v/>
      </c>
      <c r="BS523" s="105" t="str">
        <f>IF(A523&lt;&gt;"",COUNTIFS('QA Log'!D:D,A523,'QA Log'!M:M,"Vignette",'QA Log'!L:L,"Exit Interview 2",'QA Log'!Z:Z,"Approved"),"")</f>
        <v/>
      </c>
      <c r="BT523" s="102" t="str">
        <f>IF(
  A523="","",
  SUM(
    COUNTIFS('QA Log'!D:D,A523,'QA Log'!M:M,"Vignette",'QA Log'!Z:Z,"Rejected",'QA Log'!L:L,"*Exit Interview 1*"),
    COUNTIFS('QA Log'!D:D,A523,'QA Log'!M:M,"Vignette",'QA Log'!Z:Z,"Rejected",'QA Log'!L:L,"*Exit Interview 2*")
  )
)</f>
        <v/>
      </c>
      <c r="BU523" s="107" t="str">
        <f t="shared" si="65"/>
        <v/>
      </c>
      <c r="BV523" s="102" t="str">
        <f t="shared" si="66"/>
        <v/>
      </c>
      <c r="BW523" s="102" t="str">
        <f t="shared" si="67"/>
        <v/>
      </c>
      <c r="BX523" s="102" t="str">
        <f t="shared" si="68"/>
        <v/>
      </c>
      <c r="BY523" s="102" t="str">
        <f t="shared" si="69"/>
        <v/>
      </c>
      <c r="BZ523" s="107" t="str">
        <f t="shared" si="70"/>
        <v/>
      </c>
      <c r="CA523" s="108" t="str">
        <f t="shared" si="71"/>
        <v/>
      </c>
      <c r="CB523" s="108" t="str">
        <f t="shared" si="72"/>
        <v/>
      </c>
      <c r="CC523" s="109" t="str">
        <f t="shared" si="73"/>
        <v/>
      </c>
      <c r="CD523" s="108" t="str">
        <f t="shared" si="74"/>
        <v/>
      </c>
      <c r="CE523" s="108" t="str">
        <f t="shared" si="75"/>
        <v/>
      </c>
      <c r="CF523" s="109" t="str">
        <f t="shared" si="76"/>
        <v/>
      </c>
      <c r="CG523" s="110" t="str">
        <f t="shared" si="77"/>
        <v/>
      </c>
      <c r="CH523" s="111"/>
    </row>
    <row r="524" spans="1:86" ht="12.75">
      <c r="A524" s="101"/>
      <c r="B524" s="102" t="e">
        <f t="array" aca="1" ref="B524" ca="1">_xludf.XLOOKUP(A524,'QA Log'!D:D,'QA Log'!E:E,"")</f>
        <v>#NAME?</v>
      </c>
      <c r="C524" s="102" t="e">
        <f t="array" aca="1" ref="C524" ca="1">_xludf.XLOOKUP(A524,'QA Log'!D:D,'QA Log'!F:F,"")</f>
        <v>#NAME?</v>
      </c>
      <c r="D524" s="102" t="e">
        <f t="array" aca="1" ref="D524" ca="1">_xludf.XLOOKUP(A524,'QA Log'!D:D,'QA Log'!H:H,"")</f>
        <v>#NAME?</v>
      </c>
      <c r="E524" s="102" t="e">
        <f t="array" aca="1" ref="E524" ca="1">_xludf.XLOOKUP(A524,'QA Log'!D:D,'QA Log'!G:G,"")</f>
        <v>#NAME?</v>
      </c>
      <c r="F524" s="103"/>
      <c r="G524" s="104"/>
      <c r="H524" s="104"/>
      <c r="I524" s="103" t="str">
        <f t="shared" si="52"/>
        <v/>
      </c>
      <c r="J524" s="102" t="str">
        <f>IF(A524="","",SUM(
COUNTIFS('QA Log'!D:D,A524,'QA Log'!M:M,"QQC",'QA Log'!L:L,"*1. General Management*"),
COUNTIFS('QA Log'!D:D,A524,'QA Log'!M:M,"QQC",'QA Log'!L:L,"*3. Curative Consultation (OPD)*"),
COUNTIFS('QA Log'!D:D,A524,'QA Log'!M:M,"QQC",'QA Log'!L:L,"*5. Laboratory*"),
COUNTIFS('QA Log'!D:D,A524,'QA Log'!M:M,"QQC",'QA Log'!L:L,"*6. Essential Medicine Management*"),
COUNTIFS('QA Log'!D:D,A524,'QA Log'!M:M,"QQC",'QA Log'!L:L,"*7. Tracer Medicine*"),
COUNTIFS('QA Log'!D:D,A524,'QA Log'!M:M,"QQC",'QA Log'!L:L,"*11. Additional Questions*")))</f>
        <v/>
      </c>
      <c r="K524" s="102" t="str">
        <f>IF(A524="","",SUM(
COUNTIFS('QA Log'!D:D,A524,'QA Log'!M:M,"QQC",'QA Log'!Z:Z,"Approved",'QA Log'!L:L,"*1. General Management*"),
COUNTIFS('QA Log'!D:D,A524,'QA Log'!M:M,"QQC",'QA Log'!Z:Z,"Approved",'QA Log'!L:L,"*3. Curative Consultation (OPD)*"),
COUNTIFS('QA Log'!D:D,A524,'QA Log'!M:M,"QQC",'QA Log'!Z:Z,"Approved",'QA Log'!L:L,"*5. Laboratory*"),
COUNTIFS('QA Log'!D:D,A524,'QA Log'!M:M,"QQC",'QA Log'!Z:Z,"Approved",'QA Log'!L:L,"*6. Essential Medicine Management*"),
COUNTIFS('QA Log'!D:D,A524,'QA Log'!M:M,"QQC",'QA Log'!Z:Z,"Approved",'QA Log'!L:L,"*7. Tracer Medicine*"),
COUNTIFS('QA Log'!D:D,A524,'QA Log'!M:M,"QQC",'QA Log'!Z:Z,"Approved",'QA Log'!L:L,"*11. Additional Questions*")))</f>
        <v/>
      </c>
      <c r="L524" s="102" t="str">
        <f>IF(A524&lt;&gt;"",COUNTIFS('QA Log'!D:D,A524,'QA Log'!M:M,"QQC",'QA Log'!L:L,"1. General Management",'QA Log'!Z:Z,"Approved"),"")</f>
        <v/>
      </c>
      <c r="M524" s="102" t="str">
        <f>IF(A524&lt;&gt;"",COUNTIFS('QA Log'!D:D,A524,'QA Log'!M:M,"QQC",'QA Log'!L:L,"3. Curative Consultation (OPD)",'QA Log'!Z:Z,"Approved"),"")</f>
        <v/>
      </c>
      <c r="N524" s="102" t="str">
        <f>IF(A524&lt;&gt;"",COUNTIFS('QA Log'!D:D,A524,'QA Log'!M:M,"QQC",'QA Log'!L:L,"5. Laboratory",'QA Log'!Z:Z,"Approved"),"")</f>
        <v/>
      </c>
      <c r="O524" s="102" t="str">
        <f>IF(A524&lt;&gt;"",COUNTIFS('QA Log'!D:D,A524,'QA Log'!M:M,"QQC",'QA Log'!L:L,"6. Essential Medicine Management",'QA Log'!Z:Z,"Approved"),"")</f>
        <v/>
      </c>
      <c r="P524" s="102" t="str">
        <f>IF(A524&lt;&gt;"",COUNTIFS('QA Log'!D:D,A524,'QA Log'!M:M,"QQC",'QA Log'!L:L,"7. Tracer Medicine",'QA Log'!Z:Z,"Approved"),"")</f>
        <v/>
      </c>
      <c r="Q524" s="102" t="str">
        <f>IF(A524&lt;&gt;"",COUNTIFS('QA Log'!D:D,A524,'QA Log'!M:M,"QQC",'QA Log'!L:L,"11. Additional Questions",'QA Log'!Z:Z,"Approved"),"")</f>
        <v/>
      </c>
      <c r="R524" s="102" t="str">
        <f>IF(A524="","",SUM(
COUNTIFS('QA Log'!D:D,A524,'QA Log'!M:M,"QQC",'QA Log'!Z:Z,"Rejected",'QA Log'!L:L,"*8. Maternity*"),
COUNTIFS('QA Log'!D:D,A524,'QA Log'!M:M,"QQC",'QA Log'!Z:Z,"Rejected",'QA Log'!L:L,"*EPI*"),
COUNTIFS('QA Log'!D:D,A524,'QA Log'!M:M,"QQC",'QA Log'!Z:Z,"Rejected",'QA Log'!L:L,"*10. Antenatal Care (ANC)*"),
COUNTIFS('QA Log'!D:D,A524,'QA Log'!M:M,"QQC",'QA Log'!Z:Z,"Rejected",'QA Log'!L:L,"*2. Hygiene and Sterilization*"),
COUNTIFS('QA Log'!D:D,A524,'QA Log'!M:M,"QQC",'QA Log'!Z:Z,"Rejected",'QA Log'!L:L,"*Family Planning*")))</f>
        <v/>
      </c>
      <c r="S524" s="106" t="str">
        <f t="shared" si="53"/>
        <v/>
      </c>
      <c r="T524" s="102" t="str">
        <f t="shared" si="54"/>
        <v/>
      </c>
      <c r="U524" s="102" t="str">
        <f>IF(A524="","",
SUM(
COUNTIFS('QA Log'!D:D,A524,'QA Log'!M:M,"QQC",'QA Log'!L:L,"*8. Maternity*"),
COUNTIFS('QA Log'!D:D,A524,'QA Log'!M:M,"QQC",'QA Log'!L:L,"*9. EPI and Pre-school Consultation*"),
COUNTIFS('QA Log'!D:D,A524,'QA Log'!M:M,"QQC",'QA Log'!L:L,"*10. Antenatal Care (ANC)*"),
COUNTIFS('QA Log'!D:D,A524,'QA Log'!M:M,"QQC",'QA Log'!L:L,"*2. Hygiene and Sterilization*"),
COUNTIFS('QA Log'!D:D,A524,'QA Log'!M:M,"QQC",'QA Log'!L:L,"*4. Family Planning*")
))</f>
        <v/>
      </c>
      <c r="V524" s="102" t="str">
        <f>IF(A524="","",
SUM(
COUNTIFS('QA Log'!D:D,A524,'QA Log'!M:M,"QQC",'QA Log'!Z:Z,"Approved",'QA Log'!L:L,"*8. Maternity*"),
COUNTIFS('QA Log'!D:D,A524,'QA Log'!M:M,"QQC",'QA Log'!Z:Z,"Approved",'QA Log'!L:L,"*9. EPI and Pre-school Consultation*"),
COUNTIFS('QA Log'!D:D,A524,'QA Log'!M:M,"QQC",'QA Log'!Z:Z,"Approved",'QA Log'!L:L,"*10. Antenatal Care (ANC)*"),
COUNTIFS('QA Log'!D:D,A524,'QA Log'!M:M,"QQC",'QA Log'!Z:Z,"Approved",'QA Log'!L:L,"*2. Hygiene and Sterilization*"),
COUNTIFS('QA Log'!D:D,A524,'QA Log'!M:M,"QQC",'QA Log'!Z:Z,"Approved",'QA Log'!L:L,"*4. Family Planning*")
))</f>
        <v/>
      </c>
      <c r="W524" s="102" t="str">
        <f>IF(A524&lt;&gt;"",COUNTIFS('QA Log'!D:D,A524,'QA Log'!M:M,"QQC",'QA Log'!L:L,"8. Maternity",'QA Log'!Z:Z,"Approved"),"")</f>
        <v/>
      </c>
      <c r="X524" s="105" t="str">
        <f>IF(A524&lt;&gt;"",COUNTIFS('QA Log'!D:D,A524,'QA Log'!M:M,"QQC",'QA Log'!L:L,"9. EPI and Pre-school Consultation",'QA Log'!Z:Z,"Approved"),"")</f>
        <v/>
      </c>
      <c r="Y524" s="102" t="str">
        <f>IF(A524&lt;&gt;"",COUNTIFS('QA Log'!D:D,A524,'QA Log'!M:M,"QQC",'QA Log'!L:L,"10. Antenatal Care (ANC)",'QA Log'!Z:Z,"Approved"),"")</f>
        <v/>
      </c>
      <c r="Z524" s="102" t="str">
        <f>IF(A524&lt;&gt;"",COUNTIFS('QA Log'!D:D,A524,'QA Log'!M:M,"QQC",'QA Log'!L:L,"2. Hygiene and Sterilization",'QA Log'!Z:Z,"Approved"),"")</f>
        <v/>
      </c>
      <c r="AA524" s="105" t="str">
        <f>IF(A524&lt;&gt;"",COUNTIFS('QA Log'!D:D,A524,'QA Log'!M:M,"QQC",'QA Log'!L:L,"4. Family Planning",'QA Log'!Z:Z,"Approved"),"")</f>
        <v/>
      </c>
      <c r="AB524" s="102" t="str">
        <f>IF(A524="","",
SUM(
COUNTIFS('QA Log'!D:D,A524,'QA Log'!M:M,"QQC",'QA Log'!Z:Z,"Rejected",'QA Log'!L:L,"*8. Maternity*"),
COUNTIFS('QA Log'!D:D,A524,'QA Log'!M:M,"QQC",'QA Log'!Z:Z,"Rejected",'QA Log'!L:L,"*9. EPI and Pre-school Consultation*"),
COUNTIFS('QA Log'!D:D,A524,'QA Log'!M:M,"QQC",'QA Log'!Z:Z,"Rejected",'QA Log'!L:L,"*10. Antenatal Care (ANC)*"),
COUNTIFS('QA Log'!D:D,A524,'QA Log'!M:M,"QQC",'QA Log'!Z:Z,"Rejected",'QA Log'!L:L,"*2. Hygiene and Sterilization*"),
COUNTIFS('QA Log'!D:D,A524,'QA Log'!M:M,"QQC",'QA Log'!Z:Z,"Rejected",'QA Log'!L:L,"*4. Family Planning*")
))</f>
        <v/>
      </c>
      <c r="AC524" s="102" t="str">
        <f t="shared" si="55"/>
        <v/>
      </c>
      <c r="AD524" s="103" t="str">
        <f t="shared" si="56"/>
        <v/>
      </c>
      <c r="AE524" s="102" t="str">
        <f>IF(A524="","",
SUM(
COUNTIFS('QA Log'!D:D,A524,'QA Log'!M:M,"Data Verification",'QA Log'!L:L,"*Medicine (section 2)*"),
COUNTIFS('QA Log'!D:D,A524,'QA Log'!M:M,"Data Verification",'QA Log'!L:L,"*Lab Testing Availability*"),
COUNTIFS('QA Log'!D:D,A524,'QA Log'!M:M,"Data Verification",'QA Log'!L:L,"*Other than P4P (section 6)*"),
COUNTIFS('QA Log'!D:D,A524,'QA Log'!M:M,"Data Verification",'QA Log'!L:L,"*Hospital Governance*")
))</f>
        <v/>
      </c>
      <c r="AF524" s="102" t="str">
        <f>IF(A524="","",
SUM(
COUNTIFS('QA Log'!D:D,A524,'QA Log'!M:M,"Data Verification",'QA Log'!Z:Z,"Approved",'QA Log'!L:L,"*Medicine (section 2)*"),
COUNTIFS('QA Log'!D:D,A524,'QA Log'!M:M,"Data Verification",'QA Log'!Z:Z,"Approved",'QA Log'!L:L,"*Lab Testing Availability*"),
COUNTIFS('QA Log'!D:D,A524,'QA Log'!M:M,"Data Verification",'QA Log'!Z:Z,"Approved",'QA Log'!L:L,"*Other than P4P (section 6)*"),
COUNTIFS('QA Log'!D:D,A524,'QA Log'!M:M,"Data Verification",'QA Log'!Z:Z,"Approved",'QA Log'!L:L,"*Hospital Governance*")
))</f>
        <v/>
      </c>
      <c r="AG524" s="105" t="str">
        <f>IF(A524&lt;&gt;"",COUNTIFS('QA Log'!D:D,A524,'QA Log'!M:M,"Data Verification",'QA Log'!L:L,"Medicine (section 2)",'QA Log'!Z:Z,"Approved"),"")</f>
        <v/>
      </c>
      <c r="AH524" s="105" t="str">
        <f>IF(A524&lt;&gt;"",COUNTIFS('QA Log'!D:D,A524,'QA Log'!M:M,"Data Verification",'QA Log'!L:L,"Lab Testing Availability",'QA Log'!Z:Z,"Approved"),"")</f>
        <v/>
      </c>
      <c r="AI524" s="105" t="str">
        <f>IF(A524&lt;&gt;"",COUNTIFS('QA Log'!D:D,A524,'QA Log'!M:M,"Data Verification",'QA Log'!L:L,"Other than P4P (section 6)",'QA Log'!Z:Z,"Approved"),"")</f>
        <v/>
      </c>
      <c r="AJ524" s="105" t="str">
        <f>IF(A524&lt;&gt;"",COUNTIFS('QA Log'!D:D,A524,'QA Log'!M:M,"Data Verification",'QA Log'!L:L,"Hospital Governance",'QA Log'!Z:Z,"Approved"),"")</f>
        <v/>
      </c>
      <c r="AK524" s="102" t="str">
        <f>IF(A524="","",
SUM(
COUNTIFS('QA Log'!D:D,A524,'QA Log'!M:M,"Data Verification",'QA Log'!Z:Z,"Rejected",'QA Log'!L:L,"*Medicine (section 2)*"),
COUNTIFS('QA Log'!D:D,A524,'QA Log'!M:M,"Data Verification",'QA Log'!Z:Z,"Rejected",'QA Log'!L:L,"*Lab Testing Availability*"),
COUNTIFS('QA Log'!D:D,A524,'QA Log'!M:M,"Data Verification",'QA Log'!Z:Z,"Rejected",'QA Log'!L:L,"*Other than P4P (section 6)*"),
COUNTIFS('QA Log'!D:D,A524,'QA Log'!M:M,"Data Verification",'QA Log'!Z:Z,"Rejected",'QA Log'!L:L,"*Hospital Governance*")
))</f>
        <v/>
      </c>
      <c r="AL524" s="106" t="str">
        <f t="shared" si="57"/>
        <v/>
      </c>
      <c r="AM524" s="102" t="str">
        <f t="shared" si="58"/>
        <v/>
      </c>
      <c r="AN524" s="102" t="str">
        <f>IF(A524="","",
SUM(
COUNTIFS('QA Log'!D:D,A524,'QA Log'!M:M,"Data Verification",'QA Log'!L:L,"*Personnel (section 1)*"),
COUNTIFS('QA Log'!D:D,A524,'QA Log'!M:M,"Data Verification",'QA Log'!L:L,"*Consumable (section 3)*"),
COUNTIFS('QA Log'!D:D,A524,'QA Log'!M:M,"Data Verification",'QA Log'!L:L,"*Equipments (section 4)*")
))</f>
        <v/>
      </c>
      <c r="AO524" s="102" t="str">
        <f>IF(A524="","",
SUM(
COUNTIFS('QA Log'!D:D,A524,'QA Log'!M:M,"Data Verification",'QA Log'!Z:Z,"Approved",'QA Log'!L:L,"*Personnel (section 1)*"),
COUNTIFS('QA Log'!D:D,A524,'QA Log'!M:M,"Data Verification",'QA Log'!Z:Z,"Approved",'QA Log'!L:L,"*Consumable (section 3)*"),
COUNTIFS('QA Log'!D:D,A524,'QA Log'!M:M,"Data Verification",'QA Log'!Z:Z,"Approved",'QA Log'!L:L,"*Equipments (section 4)*")
))</f>
        <v/>
      </c>
      <c r="AP524" s="105" t="str">
        <f>IF(A524&lt;&gt;"",COUNTIFS('QA Log'!D:D,A524,'QA Log'!M:M,"Data Verification",'QA Log'!L:L,"Personnel (section 1)",'QA Log'!Z:Z,"Approved"),"")</f>
        <v/>
      </c>
      <c r="AQ524" s="105" t="str">
        <f>IF(A524&lt;&gt;"",COUNTIFS('QA Log'!D:D,A524,'QA Log'!M:M,"Data Verification",'QA Log'!L:L,"Consumable (section 3)",'QA Log'!Z:Z,"Approved"),"")</f>
        <v/>
      </c>
      <c r="AR524" s="105" t="str">
        <f>IF(A524&lt;&gt;"",COUNTIFS('QA Log'!D:D,A524,'QA Log'!M:M,"Data Verification",'QA Log'!L:L,"Equipments (section 4)",'QA Log'!Z:Z,"Approved"),"")</f>
        <v/>
      </c>
      <c r="AS524" s="102" t="str">
        <f>IF(A524="","",
SUM(
COUNTIFS('QA Log'!D:D,A524,'QA Log'!M:M,"Data Verification",'QA Log'!Z:Z,"Rejected",'QA Log'!L:L,"*Personnel (section 1)*"),
COUNTIFS('QA Log'!D:D,A524,'QA Log'!M:M,"Data Verification",'QA Log'!Z:Z,"Rejected",'QA Log'!L:L,"*Consumable (section 3)*"),
COUNTIFS('QA Log'!D:D,A524,'QA Log'!M:M,"Data Verification",'QA Log'!Z:Z,"Rejected",'QA Log'!L:L,"*Equipments (section 4)*")
))</f>
        <v/>
      </c>
      <c r="AT524" s="102" t="str">
        <f t="shared" si="59"/>
        <v/>
      </c>
      <c r="AU524" s="103" t="str">
        <f t="shared" si="60"/>
        <v/>
      </c>
      <c r="AV524" s="102" t="str">
        <f>IF(A524="","",SUM(
COUNTIFS('QA Log'!D:D,A524,'QA Log'!M:M,"Vignette",'QA Log'!L:L,"*Vignette [1] Respiratory Infection: Pneumonia*"),
COUNTIFS('QA Log'!D:D,A524,'QA Log'!M:M,"Vignette",'QA Log'!L:L,"*Vignette [2]: Diarrhea with Cat B dehydration*"),
COUNTIFS('QA Log'!D:D,A524,'QA Log'!M:M,"Vignette",'QA Log'!L:L,"*Vignette [3] Growth Monitoring and Promotion*"),
COUNTIFS('QA Log'!D:D,A524,'QA Log'!M:M,"Vignette",'QA Log'!L:L,"*Vignette [4]: The management of presumptive TB patient*")
)
)</f>
        <v/>
      </c>
      <c r="AW524" s="102" t="str">
        <f>IF(
  A524="","",
  SUM(
    COUNTIFS('QA Log'!D:D,A524,'QA Log'!M:M,"Vignette",'QA Log'!Z:Z,"Approved",'QA Log'!L:L,"*Vignette [1] Respiratory Infection: Pneumonia*"),
    COUNTIFS('QA Log'!D:D,A524,'QA Log'!M:M,"Vignette",'QA Log'!Z:Z,"Approved",'QA Log'!L:L,"*Vignette [2]: Diarrhea with Cat B dehydration*"),
    COUNTIFS('QA Log'!D:D,A524,'QA Log'!M:M,"Vignette",'QA Log'!Z:Z,"Approved",'QA Log'!L:L,"*Vignette [3] Growth Monitoring and Promotion*"),
    COUNTIFS('QA Log'!D:D,A524,'QA Log'!M:M,"Vignette",'QA Log'!Z:Z,"Approved",'QA Log'!L:L,"*Vignette [4]: The management of presumptive TB patient*")
  )
)</f>
        <v/>
      </c>
      <c r="AX524" s="105" t="str">
        <f>IF(A524&lt;&gt;"",COUNTIFS('QA Log'!D:D,A524,'QA Log'!M:M,"Vignette",'QA Log'!L:L,"Vignette [1] Respiratory Infection: Pneumonia",'QA Log'!Z:Z,"Approved"),"")</f>
        <v/>
      </c>
      <c r="AY524" s="105" t="str">
        <f>IF(A524&lt;&gt;"",COUNTIFS('QA Log'!D:D,A524,'QA Log'!M:M,"Vignette",'QA Log'!L:L,"Vignette [2]: Diarrhea with Cat B dehydration",'QA Log'!Z:Z,"Approved"),"")</f>
        <v/>
      </c>
      <c r="AZ524" s="105" t="str">
        <f>IF(A524&lt;&gt;"",COUNTIFS('QA Log'!D:D,A524,'QA Log'!M:M,"Vignette",'QA Log'!L:L,"Vignette [3] Growth Monitoring and Promotion",'QA Log'!Z:Z,"Approved"),"")</f>
        <v/>
      </c>
      <c r="BA524" s="105" t="str">
        <f>IF(A524&lt;&gt;"",COUNTIFS('QA Log'!D:D,A524,'QA Log'!M:M,"Vignette",'QA Log'!L:L,"Vignette [4]: The management of presumptive TB patient",'QA Log'!Z:Z,"Approved"),"")</f>
        <v/>
      </c>
      <c r="BB524" s="102" t="str">
        <f>IF(A524="","",
  SUM(
    COUNTIFS('QA Log'!D:D,A524,'QA Log'!M:M,"Vignette",'QA Log'!Z:Z,"Rejected",'QA Log'!L:L,"*Vignette [1] Respiratory Infection: Pneumonia*"),
    COUNTIFS('QA Log'!D:D,A524,'QA Log'!M:M,"Vignette",'QA Log'!Z:Z,"Rejected",'QA Log'!L:L,"*Vignette [2]: Diarrhea with Cat B dehydration*"),
    COUNTIFS('QA Log'!D:D,A524,'QA Log'!M:M,"Vignette",'QA Log'!Z:Z,"Rejected",'QA Log'!L:L,"*Vignette [3] Growth Monitoring and Promotion*"),
    COUNTIFS('QA Log'!D:D,A524,'QA Log'!M:M,"Vignette",'QA Log'!Z:Z,"Rejected",'QA Log'!L:L,"*Vignette [4]: The management of presumptive TB patient*")
  )
)</f>
        <v/>
      </c>
      <c r="BC524" s="107" t="str">
        <f t="shared" si="61"/>
        <v/>
      </c>
      <c r="BD524" s="103" t="str">
        <f t="shared" si="62"/>
        <v/>
      </c>
      <c r="BE524" s="102" t="str">
        <f>IF(A524="","",SUM(
COUNTIFS('QA Log'!D:D,A524,'QA Log'!M:M,"Vignette",'QA Log'!L:L,"*Vignette [5] Labor*"),
COUNTIFS('QA Log'!D:D,A524,'QA Log'!M:M,"Vignette",'QA Log'!L:L,"*Vignette [6] PNC pre Discharge*"),
COUNTIFS('QA Log'!D:D,A524,'QA Log'!M:M,"Vignette",'QA Log'!L:L,"*Vignette [7] First ANC Visit*"),
COUNTIFS('QA Log'!D:D,A524,'QA Log'!M:M,"Vignette",'QA Log'!L:L,"*Vignette [8] Birth Spacing/ Family Planning :  FP Counselling*"),
COUNTIFS('QA Log'!D:D,A524,'QA Log'!M:M,"Vignette",'QA Log'!L:L,"*Vignette [9] Birth Spacing: Change FP method to Injectable*"),
COUNTIFS('QA Log'!D:D,A524,'QA Log'!M:M,"Vignette",'QA Log'!L:L,"*Vignette [10] Post Partum Haemorrhage - Atonic Uterus at Health Centre*"),
)
)</f>
        <v/>
      </c>
      <c r="BF524" s="102" t="str">
        <f>IF(A524="","",
  SUM(
    COUNTIFS('QA Log'!D:D,A524,'QA Log'!M:M,"Vignette",'QA Log'!Z:Z,"Approved",'QA Log'!L:L,"*Vignette [5] Labor*"),
    COUNTIFS('QA Log'!D:D,A524,'QA Log'!M:M,"Vignette",'QA Log'!Z:Z,"Approved",'QA Log'!L:L,"*Vignette [6] PNC pre Discharge*"),
    COUNTIFS('QA Log'!D:D,A524,'QA Log'!M:M,"Vignette",'QA Log'!Z:Z,"Approved",'QA Log'!L:L,"*Vignette [7] First ANC Visit*"),
    COUNTIFS('QA Log'!D:D,A524,'QA Log'!M:M,"Vignette",'QA Log'!Z:Z,"Approved",'QA Log'!L:L,"*Vignette [8] Birth Spacing/ Family Planning :  FP Counselling*"),
    COUNTIFS('QA Log'!D:D,A524,'QA Log'!M:M,"Vignette",'QA Log'!Z:Z,"Approved",'QA Log'!L:L,"*Vignette [9] Birth Spacing: Change FP method to Injectable*"),
    COUNTIFS('QA Log'!D:D,A524,'QA Log'!M:M,"Vignette",'QA Log'!Z:Z,"Approved",'QA Log'!L:L,"*Vignette [10] Post Partum Haemorrhage - Atonic Uterus at Health Centre*")
  )
)</f>
        <v/>
      </c>
      <c r="BG524" s="105" t="str">
        <f>IF(A524&lt;&gt;"",COUNTIFS('QA Log'!D:D,A524,'QA Log'!M:M,"Vignette",'QA Log'!L:L,"Vignette [5] Labor",'QA Log'!Z:Z,"Approved"),"")</f>
        <v/>
      </c>
      <c r="BH524" s="105" t="str">
        <f>IF(A524&lt;&gt;"",COUNTIFS('QA Log'!D:D,A524,'QA Log'!M:M,"Vignette",'QA Log'!L:L,"Vignette [6] PNC pre Discharge",'QA Log'!Z:Z,"Approved"),"")</f>
        <v/>
      </c>
      <c r="BI524" s="105" t="str">
        <f>IF(A524&lt;&gt;"",COUNTIFS('QA Log'!D:D,A524,'QA Log'!M:M,"Vignette",'QA Log'!L:L,"Vignette [7] First ANC Visit",'QA Log'!Z:Z,"Approved"),"")</f>
        <v/>
      </c>
      <c r="BJ524" s="105" t="str">
        <f>IF(A524&lt;&gt;"",COUNTIFS('QA Log'!D:D,A524,'QA Log'!M:M,"Vignette",'QA Log'!L:L,"Vignette [8] Birth Spacing/ Family Planning :  FP Counselling",'QA Log'!Z:Z,"Approved"),"")</f>
        <v/>
      </c>
      <c r="BK524" s="105" t="str">
        <f>IF(A524&lt;&gt;"",COUNTIFS('QA Log'!D:D,A524,'QA Log'!M:M,"Vignette",'QA Log'!L:L,"Vignette [9] Birth Spacing: Change FP method to Injectable",'QA Log'!Z:Z,"Approved"),"")</f>
        <v/>
      </c>
      <c r="BL524" s="105" t="str">
        <f>IF(A524&lt;&gt;"",COUNTIFS('QA Log'!D:D,A524,'QA Log'!M:M,"Vignette",'QA Log'!L:L,"Vignette [10] Post Partum Haemorrhage - Atonic Uterus at Health Centre",'QA Log'!Z:Z,"Approved"),"")</f>
        <v/>
      </c>
      <c r="BM524" s="102" t="str">
        <f>IF(A524="","",SUM(
    COUNTIFS('QA Log'!D:D,A524,'QA Log'!M:M,"Vignette",'QA Log'!Z:Z,"Rejected",'QA Log'!L:L,"*Vignette [5] Labor*"),
    COUNTIFS('QA Log'!D:D,A524,'QA Log'!M:M,"Vignette",'QA Log'!Z:Z,"Rejected",'QA Log'!L:L,"*Vignette [6] PNC pre Discharge*"),
    COUNTIFS('QA Log'!D:D,A524,'QA Log'!M:M,"Vignette",'QA Log'!Z:Z,"Rejected",'QA Log'!L:L,"*Vignette [7] First ANC Visit*"),
    COUNTIFS('QA Log'!D:D,A524,'QA Log'!M:M,"Vignette",'QA Log'!Z:Z,"Rejected",'QA Log'!L:L,"*Vignette [8] Birth Spacing/ Family Planning :  FP Counselling*"),
    COUNTIFS('QA Log'!D:D,A524,'QA Log'!M:M,"Vignette",'QA Log'!Z:Z,"Rejected",'QA Log'!L:L,"*Vignette [9] Birth Spacing: Change FP method to Injectable*"),
    COUNTIFS('QA Log'!D:D,A524,'QA Log'!M:M,"Vignette",'QA Log'!Z:Z,"Rejected",'QA Log'!L:L,"*Vignette [10] Post Partum Haemorrhage - Atonic Uterus at Health Centre*")
  )
)</f>
        <v/>
      </c>
      <c r="BN524" s="107" t="str">
        <f t="shared" si="63"/>
        <v/>
      </c>
      <c r="BO524" s="103" t="str">
        <f t="shared" si="64"/>
        <v/>
      </c>
      <c r="BP524" s="102" t="str">
        <f>IF(A524="","",SUM(
COUNTIFS('QA Log'!D:D,A524,'QA Log'!M:M,"Vignette",'QA Log'!L:L,"*Exit Interview 1*"),
COUNTIFS('QA Log'!D:D,A524,'QA Log'!M:M,"Vignette",'QA Log'!L:L,"*Exit Interview 2*"),
)
)</f>
        <v/>
      </c>
      <c r="BQ524" s="102" t="str">
        <f>IF(
  A524="","",
  SUM(
    COUNTIFS('QA Log'!D:D,A524,'QA Log'!M:M,"Vignette",'QA Log'!Z:Z,"Approved",'QA Log'!L:L,"*Exit Interview 1*"),
    COUNTIFS('QA Log'!D:D,A524,'QA Log'!M:M,"Vignette",'QA Log'!Z:Z,"Approved",'QA Log'!L:L,"*Exit Interview 2*")
  )
)</f>
        <v/>
      </c>
      <c r="BR524" s="105" t="str">
        <f>IF(A524&lt;&gt;"",COUNTIFS('QA Log'!D:D,A524,'QA Log'!M:M,"Vignette",'QA Log'!L:L,"Exit Interview 1",'QA Log'!Z:Z,"Approved"),"")</f>
        <v/>
      </c>
      <c r="BS524" s="105" t="str">
        <f>IF(A524&lt;&gt;"",COUNTIFS('QA Log'!D:D,A524,'QA Log'!M:M,"Vignette",'QA Log'!L:L,"Exit Interview 2",'QA Log'!Z:Z,"Approved"),"")</f>
        <v/>
      </c>
      <c r="BT524" s="102" t="str">
        <f>IF(
  A524="","",
  SUM(
    COUNTIFS('QA Log'!D:D,A524,'QA Log'!M:M,"Vignette",'QA Log'!Z:Z,"Rejected",'QA Log'!L:L,"*Exit Interview 1*"),
    COUNTIFS('QA Log'!D:D,A524,'QA Log'!M:M,"Vignette",'QA Log'!Z:Z,"Rejected",'QA Log'!L:L,"*Exit Interview 2*")
  )
)</f>
        <v/>
      </c>
      <c r="BU524" s="107" t="str">
        <f t="shared" si="65"/>
        <v/>
      </c>
      <c r="BV524" s="102" t="str">
        <f t="shared" si="66"/>
        <v/>
      </c>
      <c r="BW524" s="102" t="str">
        <f t="shared" si="67"/>
        <v/>
      </c>
      <c r="BX524" s="102" t="str">
        <f t="shared" si="68"/>
        <v/>
      </c>
      <c r="BY524" s="102" t="str">
        <f t="shared" si="69"/>
        <v/>
      </c>
      <c r="BZ524" s="107" t="str">
        <f t="shared" si="70"/>
        <v/>
      </c>
      <c r="CA524" s="108" t="str">
        <f t="shared" si="71"/>
        <v/>
      </c>
      <c r="CB524" s="108" t="str">
        <f t="shared" si="72"/>
        <v/>
      </c>
      <c r="CC524" s="109" t="str">
        <f t="shared" si="73"/>
        <v/>
      </c>
      <c r="CD524" s="108" t="str">
        <f t="shared" si="74"/>
        <v/>
      </c>
      <c r="CE524" s="108" t="str">
        <f t="shared" si="75"/>
        <v/>
      </c>
      <c r="CF524" s="109" t="str">
        <f t="shared" si="76"/>
        <v/>
      </c>
      <c r="CG524" s="110" t="str">
        <f t="shared" si="77"/>
        <v/>
      </c>
      <c r="CH524" s="111"/>
    </row>
    <row r="525" spans="1:86" ht="12.75">
      <c r="A525" s="101"/>
      <c r="B525" s="102" t="e">
        <f t="array" aca="1" ref="B525" ca="1">_xludf.XLOOKUP(A525,'QA Log'!D:D,'QA Log'!E:E,"")</f>
        <v>#NAME?</v>
      </c>
      <c r="C525" s="102" t="e">
        <f t="array" aca="1" ref="C525" ca="1">_xludf.XLOOKUP(A525,'QA Log'!D:D,'QA Log'!F:F,"")</f>
        <v>#NAME?</v>
      </c>
      <c r="D525" s="102" t="e">
        <f t="array" aca="1" ref="D525" ca="1">_xludf.XLOOKUP(A525,'QA Log'!D:D,'QA Log'!H:H,"")</f>
        <v>#NAME?</v>
      </c>
      <c r="E525" s="102" t="e">
        <f t="array" aca="1" ref="E525" ca="1">_xludf.XLOOKUP(A525,'QA Log'!D:D,'QA Log'!G:G,"")</f>
        <v>#NAME?</v>
      </c>
      <c r="F525" s="103"/>
      <c r="G525" s="104"/>
      <c r="H525" s="104"/>
      <c r="I525" s="103" t="str">
        <f t="shared" si="52"/>
        <v/>
      </c>
      <c r="J525" s="102" t="str">
        <f>IF(A525="","",SUM(
COUNTIFS('QA Log'!D:D,A525,'QA Log'!M:M,"QQC",'QA Log'!L:L,"*1. General Management*"),
COUNTIFS('QA Log'!D:D,A525,'QA Log'!M:M,"QQC",'QA Log'!L:L,"*3. Curative Consultation (OPD)*"),
COUNTIFS('QA Log'!D:D,A525,'QA Log'!M:M,"QQC",'QA Log'!L:L,"*5. Laboratory*"),
COUNTIFS('QA Log'!D:D,A525,'QA Log'!M:M,"QQC",'QA Log'!L:L,"*6. Essential Medicine Management*"),
COUNTIFS('QA Log'!D:D,A525,'QA Log'!M:M,"QQC",'QA Log'!L:L,"*7. Tracer Medicine*"),
COUNTIFS('QA Log'!D:D,A525,'QA Log'!M:M,"QQC",'QA Log'!L:L,"*11. Additional Questions*")))</f>
        <v/>
      </c>
      <c r="K525" s="102" t="str">
        <f>IF(A525="","",SUM(
COUNTIFS('QA Log'!D:D,A525,'QA Log'!M:M,"QQC",'QA Log'!Z:Z,"Approved",'QA Log'!L:L,"*1. General Management*"),
COUNTIFS('QA Log'!D:D,A525,'QA Log'!M:M,"QQC",'QA Log'!Z:Z,"Approved",'QA Log'!L:L,"*3. Curative Consultation (OPD)*"),
COUNTIFS('QA Log'!D:D,A525,'QA Log'!M:M,"QQC",'QA Log'!Z:Z,"Approved",'QA Log'!L:L,"*5. Laboratory*"),
COUNTIFS('QA Log'!D:D,A525,'QA Log'!M:M,"QQC",'QA Log'!Z:Z,"Approved",'QA Log'!L:L,"*6. Essential Medicine Management*"),
COUNTIFS('QA Log'!D:D,A525,'QA Log'!M:M,"QQC",'QA Log'!Z:Z,"Approved",'QA Log'!L:L,"*7. Tracer Medicine*"),
COUNTIFS('QA Log'!D:D,A525,'QA Log'!M:M,"QQC",'QA Log'!Z:Z,"Approved",'QA Log'!L:L,"*11. Additional Questions*")))</f>
        <v/>
      </c>
      <c r="L525" s="102" t="str">
        <f>IF(A525&lt;&gt;"",COUNTIFS('QA Log'!D:D,A525,'QA Log'!M:M,"QQC",'QA Log'!L:L,"1. General Management",'QA Log'!Z:Z,"Approved"),"")</f>
        <v/>
      </c>
      <c r="M525" s="102" t="str">
        <f>IF(A525&lt;&gt;"",COUNTIFS('QA Log'!D:D,A525,'QA Log'!M:M,"QQC",'QA Log'!L:L,"3. Curative Consultation (OPD)",'QA Log'!Z:Z,"Approved"),"")</f>
        <v/>
      </c>
      <c r="N525" s="102" t="str">
        <f>IF(A525&lt;&gt;"",COUNTIFS('QA Log'!D:D,A525,'QA Log'!M:M,"QQC",'QA Log'!L:L,"5. Laboratory",'QA Log'!Z:Z,"Approved"),"")</f>
        <v/>
      </c>
      <c r="O525" s="102" t="str">
        <f>IF(A525&lt;&gt;"",COUNTIFS('QA Log'!D:D,A525,'QA Log'!M:M,"QQC",'QA Log'!L:L,"6. Essential Medicine Management",'QA Log'!Z:Z,"Approved"),"")</f>
        <v/>
      </c>
      <c r="P525" s="102" t="str">
        <f>IF(A525&lt;&gt;"",COUNTIFS('QA Log'!D:D,A525,'QA Log'!M:M,"QQC",'QA Log'!L:L,"7. Tracer Medicine",'QA Log'!Z:Z,"Approved"),"")</f>
        <v/>
      </c>
      <c r="Q525" s="102" t="str">
        <f>IF(A525&lt;&gt;"",COUNTIFS('QA Log'!D:D,A525,'QA Log'!M:M,"QQC",'QA Log'!L:L,"11. Additional Questions",'QA Log'!Z:Z,"Approved"),"")</f>
        <v/>
      </c>
      <c r="R525" s="102" t="str">
        <f>IF(A525="","",SUM(
COUNTIFS('QA Log'!D:D,A525,'QA Log'!M:M,"QQC",'QA Log'!Z:Z,"Rejected",'QA Log'!L:L,"*8. Maternity*"),
COUNTIFS('QA Log'!D:D,A525,'QA Log'!M:M,"QQC",'QA Log'!Z:Z,"Rejected",'QA Log'!L:L,"*EPI*"),
COUNTIFS('QA Log'!D:D,A525,'QA Log'!M:M,"QQC",'QA Log'!Z:Z,"Rejected",'QA Log'!L:L,"*10. Antenatal Care (ANC)*"),
COUNTIFS('QA Log'!D:D,A525,'QA Log'!M:M,"QQC",'QA Log'!Z:Z,"Rejected",'QA Log'!L:L,"*2. Hygiene and Sterilization*"),
COUNTIFS('QA Log'!D:D,A525,'QA Log'!M:M,"QQC",'QA Log'!Z:Z,"Rejected",'QA Log'!L:L,"*Family Planning*")))</f>
        <v/>
      </c>
      <c r="S525" s="106" t="str">
        <f t="shared" si="53"/>
        <v/>
      </c>
      <c r="T525" s="102" t="str">
        <f t="shared" si="54"/>
        <v/>
      </c>
      <c r="U525" s="102" t="str">
        <f>IF(A525="","",
SUM(
COUNTIFS('QA Log'!D:D,A525,'QA Log'!M:M,"QQC",'QA Log'!L:L,"*8. Maternity*"),
COUNTIFS('QA Log'!D:D,A525,'QA Log'!M:M,"QQC",'QA Log'!L:L,"*9. EPI and Pre-school Consultation*"),
COUNTIFS('QA Log'!D:D,A525,'QA Log'!M:M,"QQC",'QA Log'!L:L,"*10. Antenatal Care (ANC)*"),
COUNTIFS('QA Log'!D:D,A525,'QA Log'!M:M,"QQC",'QA Log'!L:L,"*2. Hygiene and Sterilization*"),
COUNTIFS('QA Log'!D:D,A525,'QA Log'!M:M,"QQC",'QA Log'!L:L,"*4. Family Planning*")
))</f>
        <v/>
      </c>
      <c r="V525" s="102" t="str">
        <f>IF(A525="","",
SUM(
COUNTIFS('QA Log'!D:D,A525,'QA Log'!M:M,"QQC",'QA Log'!Z:Z,"Approved",'QA Log'!L:L,"*8. Maternity*"),
COUNTIFS('QA Log'!D:D,A525,'QA Log'!M:M,"QQC",'QA Log'!Z:Z,"Approved",'QA Log'!L:L,"*9. EPI and Pre-school Consultation*"),
COUNTIFS('QA Log'!D:D,A525,'QA Log'!M:M,"QQC",'QA Log'!Z:Z,"Approved",'QA Log'!L:L,"*10. Antenatal Care (ANC)*"),
COUNTIFS('QA Log'!D:D,A525,'QA Log'!M:M,"QQC",'QA Log'!Z:Z,"Approved",'QA Log'!L:L,"*2. Hygiene and Sterilization*"),
COUNTIFS('QA Log'!D:D,A525,'QA Log'!M:M,"QQC",'QA Log'!Z:Z,"Approved",'QA Log'!L:L,"*4. Family Planning*")
))</f>
        <v/>
      </c>
      <c r="W525" s="102" t="str">
        <f>IF(A525&lt;&gt;"",COUNTIFS('QA Log'!D:D,A525,'QA Log'!M:M,"QQC",'QA Log'!L:L,"8. Maternity",'QA Log'!Z:Z,"Approved"),"")</f>
        <v/>
      </c>
      <c r="X525" s="105" t="str">
        <f>IF(A525&lt;&gt;"",COUNTIFS('QA Log'!D:D,A525,'QA Log'!M:M,"QQC",'QA Log'!L:L,"9. EPI and Pre-school Consultation",'QA Log'!Z:Z,"Approved"),"")</f>
        <v/>
      </c>
      <c r="Y525" s="102" t="str">
        <f>IF(A525&lt;&gt;"",COUNTIFS('QA Log'!D:D,A525,'QA Log'!M:M,"QQC",'QA Log'!L:L,"10. Antenatal Care (ANC)",'QA Log'!Z:Z,"Approved"),"")</f>
        <v/>
      </c>
      <c r="Z525" s="102" t="str">
        <f>IF(A525&lt;&gt;"",COUNTIFS('QA Log'!D:D,A525,'QA Log'!M:M,"QQC",'QA Log'!L:L,"2. Hygiene and Sterilization",'QA Log'!Z:Z,"Approved"),"")</f>
        <v/>
      </c>
      <c r="AA525" s="105" t="str">
        <f>IF(A525&lt;&gt;"",COUNTIFS('QA Log'!D:D,A525,'QA Log'!M:M,"QQC",'QA Log'!L:L,"4. Family Planning",'QA Log'!Z:Z,"Approved"),"")</f>
        <v/>
      </c>
      <c r="AB525" s="102" t="str">
        <f>IF(A525="","",
SUM(
COUNTIFS('QA Log'!D:D,A525,'QA Log'!M:M,"QQC",'QA Log'!Z:Z,"Rejected",'QA Log'!L:L,"*8. Maternity*"),
COUNTIFS('QA Log'!D:D,A525,'QA Log'!M:M,"QQC",'QA Log'!Z:Z,"Rejected",'QA Log'!L:L,"*9. EPI and Pre-school Consultation*"),
COUNTIFS('QA Log'!D:D,A525,'QA Log'!M:M,"QQC",'QA Log'!Z:Z,"Rejected",'QA Log'!L:L,"*10. Antenatal Care (ANC)*"),
COUNTIFS('QA Log'!D:D,A525,'QA Log'!M:M,"QQC",'QA Log'!Z:Z,"Rejected",'QA Log'!L:L,"*2. Hygiene and Sterilization*"),
COUNTIFS('QA Log'!D:D,A525,'QA Log'!M:M,"QQC",'QA Log'!Z:Z,"Rejected",'QA Log'!L:L,"*4. Family Planning*")
))</f>
        <v/>
      </c>
      <c r="AC525" s="102" t="str">
        <f t="shared" si="55"/>
        <v/>
      </c>
      <c r="AD525" s="103" t="str">
        <f t="shared" si="56"/>
        <v/>
      </c>
      <c r="AE525" s="102" t="str">
        <f>IF(A525="","",
SUM(
COUNTIFS('QA Log'!D:D,A525,'QA Log'!M:M,"Data Verification",'QA Log'!L:L,"*Medicine (section 2)*"),
COUNTIFS('QA Log'!D:D,A525,'QA Log'!M:M,"Data Verification",'QA Log'!L:L,"*Lab Testing Availability*"),
COUNTIFS('QA Log'!D:D,A525,'QA Log'!M:M,"Data Verification",'QA Log'!L:L,"*Other than P4P (section 6)*"),
COUNTIFS('QA Log'!D:D,A525,'QA Log'!M:M,"Data Verification",'QA Log'!L:L,"*Hospital Governance*")
))</f>
        <v/>
      </c>
      <c r="AF525" s="102" t="str">
        <f>IF(A525="","",
SUM(
COUNTIFS('QA Log'!D:D,A525,'QA Log'!M:M,"Data Verification",'QA Log'!Z:Z,"Approved",'QA Log'!L:L,"*Medicine (section 2)*"),
COUNTIFS('QA Log'!D:D,A525,'QA Log'!M:M,"Data Verification",'QA Log'!Z:Z,"Approved",'QA Log'!L:L,"*Lab Testing Availability*"),
COUNTIFS('QA Log'!D:D,A525,'QA Log'!M:M,"Data Verification",'QA Log'!Z:Z,"Approved",'QA Log'!L:L,"*Other than P4P (section 6)*"),
COUNTIFS('QA Log'!D:D,A525,'QA Log'!M:M,"Data Verification",'QA Log'!Z:Z,"Approved",'QA Log'!L:L,"*Hospital Governance*")
))</f>
        <v/>
      </c>
      <c r="AG525" s="105" t="str">
        <f>IF(A525&lt;&gt;"",COUNTIFS('QA Log'!D:D,A525,'QA Log'!M:M,"Data Verification",'QA Log'!L:L,"Medicine (section 2)",'QA Log'!Z:Z,"Approved"),"")</f>
        <v/>
      </c>
      <c r="AH525" s="105" t="str">
        <f>IF(A525&lt;&gt;"",COUNTIFS('QA Log'!D:D,A525,'QA Log'!M:M,"Data Verification",'QA Log'!L:L,"Lab Testing Availability",'QA Log'!Z:Z,"Approved"),"")</f>
        <v/>
      </c>
      <c r="AI525" s="105" t="str">
        <f>IF(A525&lt;&gt;"",COUNTIFS('QA Log'!D:D,A525,'QA Log'!M:M,"Data Verification",'QA Log'!L:L,"Other than P4P (section 6)",'QA Log'!Z:Z,"Approved"),"")</f>
        <v/>
      </c>
      <c r="AJ525" s="105" t="str">
        <f>IF(A525&lt;&gt;"",COUNTIFS('QA Log'!D:D,A525,'QA Log'!M:M,"Data Verification",'QA Log'!L:L,"Hospital Governance",'QA Log'!Z:Z,"Approved"),"")</f>
        <v/>
      </c>
      <c r="AK525" s="102" t="str">
        <f>IF(A525="","",
SUM(
COUNTIFS('QA Log'!D:D,A525,'QA Log'!M:M,"Data Verification",'QA Log'!Z:Z,"Rejected",'QA Log'!L:L,"*Medicine (section 2)*"),
COUNTIFS('QA Log'!D:D,A525,'QA Log'!M:M,"Data Verification",'QA Log'!Z:Z,"Rejected",'QA Log'!L:L,"*Lab Testing Availability*"),
COUNTIFS('QA Log'!D:D,A525,'QA Log'!M:M,"Data Verification",'QA Log'!Z:Z,"Rejected",'QA Log'!L:L,"*Other than P4P (section 6)*"),
COUNTIFS('QA Log'!D:D,A525,'QA Log'!M:M,"Data Verification",'QA Log'!Z:Z,"Rejected",'QA Log'!L:L,"*Hospital Governance*")
))</f>
        <v/>
      </c>
      <c r="AL525" s="106" t="str">
        <f t="shared" si="57"/>
        <v/>
      </c>
      <c r="AM525" s="102" t="str">
        <f t="shared" si="58"/>
        <v/>
      </c>
      <c r="AN525" s="102" t="str">
        <f>IF(A525="","",
SUM(
COUNTIFS('QA Log'!D:D,A525,'QA Log'!M:M,"Data Verification",'QA Log'!L:L,"*Personnel (section 1)*"),
COUNTIFS('QA Log'!D:D,A525,'QA Log'!M:M,"Data Verification",'QA Log'!L:L,"*Consumable (section 3)*"),
COUNTIFS('QA Log'!D:D,A525,'QA Log'!M:M,"Data Verification",'QA Log'!L:L,"*Equipments (section 4)*")
))</f>
        <v/>
      </c>
      <c r="AO525" s="102" t="str">
        <f>IF(A525="","",
SUM(
COUNTIFS('QA Log'!D:D,A525,'QA Log'!M:M,"Data Verification",'QA Log'!Z:Z,"Approved",'QA Log'!L:L,"*Personnel (section 1)*"),
COUNTIFS('QA Log'!D:D,A525,'QA Log'!M:M,"Data Verification",'QA Log'!Z:Z,"Approved",'QA Log'!L:L,"*Consumable (section 3)*"),
COUNTIFS('QA Log'!D:D,A525,'QA Log'!M:M,"Data Verification",'QA Log'!Z:Z,"Approved",'QA Log'!L:L,"*Equipments (section 4)*")
))</f>
        <v/>
      </c>
      <c r="AP525" s="105" t="str">
        <f>IF(A525&lt;&gt;"",COUNTIFS('QA Log'!D:D,A525,'QA Log'!M:M,"Data Verification",'QA Log'!L:L,"Personnel (section 1)",'QA Log'!Z:Z,"Approved"),"")</f>
        <v/>
      </c>
      <c r="AQ525" s="105" t="str">
        <f>IF(A525&lt;&gt;"",COUNTIFS('QA Log'!D:D,A525,'QA Log'!M:M,"Data Verification",'QA Log'!L:L,"Consumable (section 3)",'QA Log'!Z:Z,"Approved"),"")</f>
        <v/>
      </c>
      <c r="AR525" s="105" t="str">
        <f>IF(A525&lt;&gt;"",COUNTIFS('QA Log'!D:D,A525,'QA Log'!M:M,"Data Verification",'QA Log'!L:L,"Equipments (section 4)",'QA Log'!Z:Z,"Approved"),"")</f>
        <v/>
      </c>
      <c r="AS525" s="102" t="str">
        <f>IF(A525="","",
SUM(
COUNTIFS('QA Log'!D:D,A525,'QA Log'!M:M,"Data Verification",'QA Log'!Z:Z,"Rejected",'QA Log'!L:L,"*Personnel (section 1)*"),
COUNTIFS('QA Log'!D:D,A525,'QA Log'!M:M,"Data Verification",'QA Log'!Z:Z,"Rejected",'QA Log'!L:L,"*Consumable (section 3)*"),
COUNTIFS('QA Log'!D:D,A525,'QA Log'!M:M,"Data Verification",'QA Log'!Z:Z,"Rejected",'QA Log'!L:L,"*Equipments (section 4)*")
))</f>
        <v/>
      </c>
      <c r="AT525" s="102" t="str">
        <f t="shared" si="59"/>
        <v/>
      </c>
      <c r="AU525" s="103" t="str">
        <f t="shared" si="60"/>
        <v/>
      </c>
      <c r="AV525" s="102" t="str">
        <f>IF(A525="","",SUM(
COUNTIFS('QA Log'!D:D,A525,'QA Log'!M:M,"Vignette",'QA Log'!L:L,"*Vignette [1] Respiratory Infection: Pneumonia*"),
COUNTIFS('QA Log'!D:D,A525,'QA Log'!M:M,"Vignette",'QA Log'!L:L,"*Vignette [2]: Diarrhea with Cat B dehydration*"),
COUNTIFS('QA Log'!D:D,A525,'QA Log'!M:M,"Vignette",'QA Log'!L:L,"*Vignette [3] Growth Monitoring and Promotion*"),
COUNTIFS('QA Log'!D:D,A525,'QA Log'!M:M,"Vignette",'QA Log'!L:L,"*Vignette [4]: The management of presumptive TB patient*")
)
)</f>
        <v/>
      </c>
      <c r="AW525" s="102" t="str">
        <f>IF(
  A525="","",
  SUM(
    COUNTIFS('QA Log'!D:D,A525,'QA Log'!M:M,"Vignette",'QA Log'!Z:Z,"Approved",'QA Log'!L:L,"*Vignette [1] Respiratory Infection: Pneumonia*"),
    COUNTIFS('QA Log'!D:D,A525,'QA Log'!M:M,"Vignette",'QA Log'!Z:Z,"Approved",'QA Log'!L:L,"*Vignette [2]: Diarrhea with Cat B dehydration*"),
    COUNTIFS('QA Log'!D:D,A525,'QA Log'!M:M,"Vignette",'QA Log'!Z:Z,"Approved",'QA Log'!L:L,"*Vignette [3] Growth Monitoring and Promotion*"),
    COUNTIFS('QA Log'!D:D,A525,'QA Log'!M:M,"Vignette",'QA Log'!Z:Z,"Approved",'QA Log'!L:L,"*Vignette [4]: The management of presumptive TB patient*")
  )
)</f>
        <v/>
      </c>
      <c r="AX525" s="105" t="str">
        <f>IF(A525&lt;&gt;"",COUNTIFS('QA Log'!D:D,A525,'QA Log'!M:M,"Vignette",'QA Log'!L:L,"Vignette [1] Respiratory Infection: Pneumonia",'QA Log'!Z:Z,"Approved"),"")</f>
        <v/>
      </c>
      <c r="AY525" s="105" t="str">
        <f>IF(A525&lt;&gt;"",COUNTIFS('QA Log'!D:D,A525,'QA Log'!M:M,"Vignette",'QA Log'!L:L,"Vignette [2]: Diarrhea with Cat B dehydration",'QA Log'!Z:Z,"Approved"),"")</f>
        <v/>
      </c>
      <c r="AZ525" s="105" t="str">
        <f>IF(A525&lt;&gt;"",COUNTIFS('QA Log'!D:D,A525,'QA Log'!M:M,"Vignette",'QA Log'!L:L,"Vignette [3] Growth Monitoring and Promotion",'QA Log'!Z:Z,"Approved"),"")</f>
        <v/>
      </c>
      <c r="BA525" s="105" t="str">
        <f>IF(A525&lt;&gt;"",COUNTIFS('QA Log'!D:D,A525,'QA Log'!M:M,"Vignette",'QA Log'!L:L,"Vignette [4]: The management of presumptive TB patient",'QA Log'!Z:Z,"Approved"),"")</f>
        <v/>
      </c>
      <c r="BB525" s="102" t="str">
        <f>IF(A525="","",
  SUM(
    COUNTIFS('QA Log'!D:D,A525,'QA Log'!M:M,"Vignette",'QA Log'!Z:Z,"Rejected",'QA Log'!L:L,"*Vignette [1] Respiratory Infection: Pneumonia*"),
    COUNTIFS('QA Log'!D:D,A525,'QA Log'!M:M,"Vignette",'QA Log'!Z:Z,"Rejected",'QA Log'!L:L,"*Vignette [2]: Diarrhea with Cat B dehydration*"),
    COUNTIFS('QA Log'!D:D,A525,'QA Log'!M:M,"Vignette",'QA Log'!Z:Z,"Rejected",'QA Log'!L:L,"*Vignette [3] Growth Monitoring and Promotion*"),
    COUNTIFS('QA Log'!D:D,A525,'QA Log'!M:M,"Vignette",'QA Log'!Z:Z,"Rejected",'QA Log'!L:L,"*Vignette [4]: The management of presumptive TB patient*")
  )
)</f>
        <v/>
      </c>
      <c r="BC525" s="107" t="str">
        <f t="shared" si="61"/>
        <v/>
      </c>
      <c r="BD525" s="103" t="str">
        <f t="shared" si="62"/>
        <v/>
      </c>
      <c r="BE525" s="102" t="str">
        <f>IF(A525="","",SUM(
COUNTIFS('QA Log'!D:D,A525,'QA Log'!M:M,"Vignette",'QA Log'!L:L,"*Vignette [5] Labor*"),
COUNTIFS('QA Log'!D:D,A525,'QA Log'!M:M,"Vignette",'QA Log'!L:L,"*Vignette [6] PNC pre Discharge*"),
COUNTIFS('QA Log'!D:D,A525,'QA Log'!M:M,"Vignette",'QA Log'!L:L,"*Vignette [7] First ANC Visit*"),
COUNTIFS('QA Log'!D:D,A525,'QA Log'!M:M,"Vignette",'QA Log'!L:L,"*Vignette [8] Birth Spacing/ Family Planning :  FP Counselling*"),
COUNTIFS('QA Log'!D:D,A525,'QA Log'!M:M,"Vignette",'QA Log'!L:L,"*Vignette [9] Birth Spacing: Change FP method to Injectable*"),
COUNTIFS('QA Log'!D:D,A525,'QA Log'!M:M,"Vignette",'QA Log'!L:L,"*Vignette [10] Post Partum Haemorrhage - Atonic Uterus at Health Centre*"),
)
)</f>
        <v/>
      </c>
      <c r="BF525" s="102" t="str">
        <f>IF(A525="","",
  SUM(
    COUNTIFS('QA Log'!D:D,A525,'QA Log'!M:M,"Vignette",'QA Log'!Z:Z,"Approved",'QA Log'!L:L,"*Vignette [5] Labor*"),
    COUNTIFS('QA Log'!D:D,A525,'QA Log'!M:M,"Vignette",'QA Log'!Z:Z,"Approved",'QA Log'!L:L,"*Vignette [6] PNC pre Discharge*"),
    COUNTIFS('QA Log'!D:D,A525,'QA Log'!M:M,"Vignette",'QA Log'!Z:Z,"Approved",'QA Log'!L:L,"*Vignette [7] First ANC Visit*"),
    COUNTIFS('QA Log'!D:D,A525,'QA Log'!M:M,"Vignette",'QA Log'!Z:Z,"Approved",'QA Log'!L:L,"*Vignette [8] Birth Spacing/ Family Planning :  FP Counselling*"),
    COUNTIFS('QA Log'!D:D,A525,'QA Log'!M:M,"Vignette",'QA Log'!Z:Z,"Approved",'QA Log'!L:L,"*Vignette [9] Birth Spacing: Change FP method to Injectable*"),
    COUNTIFS('QA Log'!D:D,A525,'QA Log'!M:M,"Vignette",'QA Log'!Z:Z,"Approved",'QA Log'!L:L,"*Vignette [10] Post Partum Haemorrhage - Atonic Uterus at Health Centre*")
  )
)</f>
        <v/>
      </c>
      <c r="BG525" s="105" t="str">
        <f>IF(A525&lt;&gt;"",COUNTIFS('QA Log'!D:D,A525,'QA Log'!M:M,"Vignette",'QA Log'!L:L,"Vignette [5] Labor",'QA Log'!Z:Z,"Approved"),"")</f>
        <v/>
      </c>
      <c r="BH525" s="105" t="str">
        <f>IF(A525&lt;&gt;"",COUNTIFS('QA Log'!D:D,A525,'QA Log'!M:M,"Vignette",'QA Log'!L:L,"Vignette [6] PNC pre Discharge",'QA Log'!Z:Z,"Approved"),"")</f>
        <v/>
      </c>
      <c r="BI525" s="105" t="str">
        <f>IF(A525&lt;&gt;"",COUNTIFS('QA Log'!D:D,A525,'QA Log'!M:M,"Vignette",'QA Log'!L:L,"Vignette [7] First ANC Visit",'QA Log'!Z:Z,"Approved"),"")</f>
        <v/>
      </c>
      <c r="BJ525" s="105" t="str">
        <f>IF(A525&lt;&gt;"",COUNTIFS('QA Log'!D:D,A525,'QA Log'!M:M,"Vignette",'QA Log'!L:L,"Vignette [8] Birth Spacing/ Family Planning :  FP Counselling",'QA Log'!Z:Z,"Approved"),"")</f>
        <v/>
      </c>
      <c r="BK525" s="105" t="str">
        <f>IF(A525&lt;&gt;"",COUNTIFS('QA Log'!D:D,A525,'QA Log'!M:M,"Vignette",'QA Log'!L:L,"Vignette [9] Birth Spacing: Change FP method to Injectable",'QA Log'!Z:Z,"Approved"),"")</f>
        <v/>
      </c>
      <c r="BL525" s="105" t="str">
        <f>IF(A525&lt;&gt;"",COUNTIFS('QA Log'!D:D,A525,'QA Log'!M:M,"Vignette",'QA Log'!L:L,"Vignette [10] Post Partum Haemorrhage - Atonic Uterus at Health Centre",'QA Log'!Z:Z,"Approved"),"")</f>
        <v/>
      </c>
      <c r="BM525" s="102" t="str">
        <f>IF(A525="","",SUM(
    COUNTIFS('QA Log'!D:D,A525,'QA Log'!M:M,"Vignette",'QA Log'!Z:Z,"Rejected",'QA Log'!L:L,"*Vignette [5] Labor*"),
    COUNTIFS('QA Log'!D:D,A525,'QA Log'!M:M,"Vignette",'QA Log'!Z:Z,"Rejected",'QA Log'!L:L,"*Vignette [6] PNC pre Discharge*"),
    COUNTIFS('QA Log'!D:D,A525,'QA Log'!M:M,"Vignette",'QA Log'!Z:Z,"Rejected",'QA Log'!L:L,"*Vignette [7] First ANC Visit*"),
    COUNTIFS('QA Log'!D:D,A525,'QA Log'!M:M,"Vignette",'QA Log'!Z:Z,"Rejected",'QA Log'!L:L,"*Vignette [8] Birth Spacing/ Family Planning :  FP Counselling*"),
    COUNTIFS('QA Log'!D:D,A525,'QA Log'!M:M,"Vignette",'QA Log'!Z:Z,"Rejected",'QA Log'!L:L,"*Vignette [9] Birth Spacing: Change FP method to Injectable*"),
    COUNTIFS('QA Log'!D:D,A525,'QA Log'!M:M,"Vignette",'QA Log'!Z:Z,"Rejected",'QA Log'!L:L,"*Vignette [10] Post Partum Haemorrhage - Atonic Uterus at Health Centre*")
  )
)</f>
        <v/>
      </c>
      <c r="BN525" s="107" t="str">
        <f t="shared" si="63"/>
        <v/>
      </c>
      <c r="BO525" s="103" t="str">
        <f t="shared" si="64"/>
        <v/>
      </c>
      <c r="BP525" s="102" t="str">
        <f>IF(A525="","",SUM(
COUNTIFS('QA Log'!D:D,A525,'QA Log'!M:M,"Vignette",'QA Log'!L:L,"*Exit Interview 1*"),
COUNTIFS('QA Log'!D:D,A525,'QA Log'!M:M,"Vignette",'QA Log'!L:L,"*Exit Interview 2*"),
)
)</f>
        <v/>
      </c>
      <c r="BQ525" s="102" t="str">
        <f>IF(
  A525="","",
  SUM(
    COUNTIFS('QA Log'!D:D,A525,'QA Log'!M:M,"Vignette",'QA Log'!Z:Z,"Approved",'QA Log'!L:L,"*Exit Interview 1*"),
    COUNTIFS('QA Log'!D:D,A525,'QA Log'!M:M,"Vignette",'QA Log'!Z:Z,"Approved",'QA Log'!L:L,"*Exit Interview 2*")
  )
)</f>
        <v/>
      </c>
      <c r="BR525" s="105" t="str">
        <f>IF(A525&lt;&gt;"",COUNTIFS('QA Log'!D:D,A525,'QA Log'!M:M,"Vignette",'QA Log'!L:L,"Exit Interview 1",'QA Log'!Z:Z,"Approved"),"")</f>
        <v/>
      </c>
      <c r="BS525" s="105" t="str">
        <f>IF(A525&lt;&gt;"",COUNTIFS('QA Log'!D:D,A525,'QA Log'!M:M,"Vignette",'QA Log'!L:L,"Exit Interview 2",'QA Log'!Z:Z,"Approved"),"")</f>
        <v/>
      </c>
      <c r="BT525" s="102" t="str">
        <f>IF(
  A525="","",
  SUM(
    COUNTIFS('QA Log'!D:D,A525,'QA Log'!M:M,"Vignette",'QA Log'!Z:Z,"Rejected",'QA Log'!L:L,"*Exit Interview 1*"),
    COUNTIFS('QA Log'!D:D,A525,'QA Log'!M:M,"Vignette",'QA Log'!Z:Z,"Rejected",'QA Log'!L:L,"*Exit Interview 2*")
  )
)</f>
        <v/>
      </c>
      <c r="BU525" s="107" t="str">
        <f t="shared" si="65"/>
        <v/>
      </c>
      <c r="BV525" s="102" t="str">
        <f t="shared" si="66"/>
        <v/>
      </c>
      <c r="BW525" s="102" t="str">
        <f t="shared" si="67"/>
        <v/>
      </c>
      <c r="BX525" s="102" t="str">
        <f t="shared" si="68"/>
        <v/>
      </c>
      <c r="BY525" s="102" t="str">
        <f t="shared" si="69"/>
        <v/>
      </c>
      <c r="BZ525" s="107" t="str">
        <f t="shared" si="70"/>
        <v/>
      </c>
      <c r="CA525" s="108" t="str">
        <f t="shared" si="71"/>
        <v/>
      </c>
      <c r="CB525" s="108" t="str">
        <f t="shared" si="72"/>
        <v/>
      </c>
      <c r="CC525" s="109" t="str">
        <f t="shared" si="73"/>
        <v/>
      </c>
      <c r="CD525" s="108" t="str">
        <f t="shared" si="74"/>
        <v/>
      </c>
      <c r="CE525" s="108" t="str">
        <f t="shared" si="75"/>
        <v/>
      </c>
      <c r="CF525" s="109" t="str">
        <f t="shared" si="76"/>
        <v/>
      </c>
      <c r="CG525" s="110" t="str">
        <f t="shared" si="77"/>
        <v/>
      </c>
      <c r="CH525" s="111"/>
    </row>
    <row r="526" spans="1:86" ht="12.75">
      <c r="A526" s="101"/>
      <c r="B526" s="102" t="e">
        <f t="array" aca="1" ref="B526" ca="1">_xludf.XLOOKUP(A526,'QA Log'!D:D,'QA Log'!E:E,"")</f>
        <v>#NAME?</v>
      </c>
      <c r="C526" s="102" t="e">
        <f t="array" aca="1" ref="C526" ca="1">_xludf.XLOOKUP(A526,'QA Log'!D:D,'QA Log'!F:F,"")</f>
        <v>#NAME?</v>
      </c>
      <c r="D526" s="102" t="e">
        <f t="array" aca="1" ref="D526" ca="1">_xludf.XLOOKUP(A526,'QA Log'!D:D,'QA Log'!H:H,"")</f>
        <v>#NAME?</v>
      </c>
      <c r="E526" s="102" t="e">
        <f t="array" aca="1" ref="E526" ca="1">_xludf.XLOOKUP(A526,'QA Log'!D:D,'QA Log'!G:G,"")</f>
        <v>#NAME?</v>
      </c>
      <c r="F526" s="103"/>
      <c r="G526" s="104"/>
      <c r="H526" s="104"/>
      <c r="I526" s="103" t="str">
        <f t="shared" si="52"/>
        <v/>
      </c>
      <c r="J526" s="102" t="str">
        <f>IF(A526="","",SUM(
COUNTIFS('QA Log'!D:D,A526,'QA Log'!M:M,"QQC",'QA Log'!L:L,"*1. General Management*"),
COUNTIFS('QA Log'!D:D,A526,'QA Log'!M:M,"QQC",'QA Log'!L:L,"*3. Curative Consultation (OPD)*"),
COUNTIFS('QA Log'!D:D,A526,'QA Log'!M:M,"QQC",'QA Log'!L:L,"*5. Laboratory*"),
COUNTIFS('QA Log'!D:D,A526,'QA Log'!M:M,"QQC",'QA Log'!L:L,"*6. Essential Medicine Management*"),
COUNTIFS('QA Log'!D:D,A526,'QA Log'!M:M,"QQC",'QA Log'!L:L,"*7. Tracer Medicine*"),
COUNTIFS('QA Log'!D:D,A526,'QA Log'!M:M,"QQC",'QA Log'!L:L,"*11. Additional Questions*")))</f>
        <v/>
      </c>
      <c r="K526" s="102" t="str">
        <f>IF(A526="","",SUM(
COUNTIFS('QA Log'!D:D,A526,'QA Log'!M:M,"QQC",'QA Log'!Z:Z,"Approved",'QA Log'!L:L,"*1. General Management*"),
COUNTIFS('QA Log'!D:D,A526,'QA Log'!M:M,"QQC",'QA Log'!Z:Z,"Approved",'QA Log'!L:L,"*3. Curative Consultation (OPD)*"),
COUNTIFS('QA Log'!D:D,A526,'QA Log'!M:M,"QQC",'QA Log'!Z:Z,"Approved",'QA Log'!L:L,"*5. Laboratory*"),
COUNTIFS('QA Log'!D:D,A526,'QA Log'!M:M,"QQC",'QA Log'!Z:Z,"Approved",'QA Log'!L:L,"*6. Essential Medicine Management*"),
COUNTIFS('QA Log'!D:D,A526,'QA Log'!M:M,"QQC",'QA Log'!Z:Z,"Approved",'QA Log'!L:L,"*7. Tracer Medicine*"),
COUNTIFS('QA Log'!D:D,A526,'QA Log'!M:M,"QQC",'QA Log'!Z:Z,"Approved",'QA Log'!L:L,"*11. Additional Questions*")))</f>
        <v/>
      </c>
      <c r="L526" s="102" t="str">
        <f>IF(A526&lt;&gt;"",COUNTIFS('QA Log'!D:D,A526,'QA Log'!M:M,"QQC",'QA Log'!L:L,"1. General Management",'QA Log'!Z:Z,"Approved"),"")</f>
        <v/>
      </c>
      <c r="M526" s="102" t="str">
        <f>IF(A526&lt;&gt;"",COUNTIFS('QA Log'!D:D,A526,'QA Log'!M:M,"QQC",'QA Log'!L:L,"3. Curative Consultation (OPD)",'QA Log'!Z:Z,"Approved"),"")</f>
        <v/>
      </c>
      <c r="N526" s="102" t="str">
        <f>IF(A526&lt;&gt;"",COUNTIFS('QA Log'!D:D,A526,'QA Log'!M:M,"QQC",'QA Log'!L:L,"5. Laboratory",'QA Log'!Z:Z,"Approved"),"")</f>
        <v/>
      </c>
      <c r="O526" s="102" t="str">
        <f>IF(A526&lt;&gt;"",COUNTIFS('QA Log'!D:D,A526,'QA Log'!M:M,"QQC",'QA Log'!L:L,"6. Essential Medicine Management",'QA Log'!Z:Z,"Approved"),"")</f>
        <v/>
      </c>
      <c r="P526" s="102" t="str">
        <f>IF(A526&lt;&gt;"",COUNTIFS('QA Log'!D:D,A526,'QA Log'!M:M,"QQC",'QA Log'!L:L,"7. Tracer Medicine",'QA Log'!Z:Z,"Approved"),"")</f>
        <v/>
      </c>
      <c r="Q526" s="102" t="str">
        <f>IF(A526&lt;&gt;"",COUNTIFS('QA Log'!D:D,A526,'QA Log'!M:M,"QQC",'QA Log'!L:L,"11. Additional Questions",'QA Log'!Z:Z,"Approved"),"")</f>
        <v/>
      </c>
      <c r="R526" s="102" t="str">
        <f>IF(A526="","",SUM(
COUNTIFS('QA Log'!D:D,A526,'QA Log'!M:M,"QQC",'QA Log'!Z:Z,"Rejected",'QA Log'!L:L,"*8. Maternity*"),
COUNTIFS('QA Log'!D:D,A526,'QA Log'!M:M,"QQC",'QA Log'!Z:Z,"Rejected",'QA Log'!L:L,"*EPI*"),
COUNTIFS('QA Log'!D:D,A526,'QA Log'!M:M,"QQC",'QA Log'!Z:Z,"Rejected",'QA Log'!L:L,"*10. Antenatal Care (ANC)*"),
COUNTIFS('QA Log'!D:D,A526,'QA Log'!M:M,"QQC",'QA Log'!Z:Z,"Rejected",'QA Log'!L:L,"*2. Hygiene and Sterilization*"),
COUNTIFS('QA Log'!D:D,A526,'QA Log'!M:M,"QQC",'QA Log'!Z:Z,"Rejected",'QA Log'!L:L,"*Family Planning*")))</f>
        <v/>
      </c>
      <c r="S526" s="106" t="str">
        <f t="shared" si="53"/>
        <v/>
      </c>
      <c r="T526" s="102" t="str">
        <f t="shared" si="54"/>
        <v/>
      </c>
      <c r="U526" s="102" t="str">
        <f>IF(A526="","",
SUM(
COUNTIFS('QA Log'!D:D,A526,'QA Log'!M:M,"QQC",'QA Log'!L:L,"*8. Maternity*"),
COUNTIFS('QA Log'!D:D,A526,'QA Log'!M:M,"QQC",'QA Log'!L:L,"*9. EPI and Pre-school Consultation*"),
COUNTIFS('QA Log'!D:D,A526,'QA Log'!M:M,"QQC",'QA Log'!L:L,"*10. Antenatal Care (ANC)*"),
COUNTIFS('QA Log'!D:D,A526,'QA Log'!M:M,"QQC",'QA Log'!L:L,"*2. Hygiene and Sterilization*"),
COUNTIFS('QA Log'!D:D,A526,'QA Log'!M:M,"QQC",'QA Log'!L:L,"*4. Family Planning*")
))</f>
        <v/>
      </c>
      <c r="V526" s="102" t="str">
        <f>IF(A526="","",
SUM(
COUNTIFS('QA Log'!D:D,A526,'QA Log'!M:M,"QQC",'QA Log'!Z:Z,"Approved",'QA Log'!L:L,"*8. Maternity*"),
COUNTIFS('QA Log'!D:D,A526,'QA Log'!M:M,"QQC",'QA Log'!Z:Z,"Approved",'QA Log'!L:L,"*9. EPI and Pre-school Consultation*"),
COUNTIFS('QA Log'!D:D,A526,'QA Log'!M:M,"QQC",'QA Log'!Z:Z,"Approved",'QA Log'!L:L,"*10. Antenatal Care (ANC)*"),
COUNTIFS('QA Log'!D:D,A526,'QA Log'!M:M,"QQC",'QA Log'!Z:Z,"Approved",'QA Log'!L:L,"*2. Hygiene and Sterilization*"),
COUNTIFS('QA Log'!D:D,A526,'QA Log'!M:M,"QQC",'QA Log'!Z:Z,"Approved",'QA Log'!L:L,"*4. Family Planning*")
))</f>
        <v/>
      </c>
      <c r="W526" s="102" t="str">
        <f>IF(A526&lt;&gt;"",COUNTIFS('QA Log'!D:D,A526,'QA Log'!M:M,"QQC",'QA Log'!L:L,"8. Maternity",'QA Log'!Z:Z,"Approved"),"")</f>
        <v/>
      </c>
      <c r="X526" s="105" t="str">
        <f>IF(A526&lt;&gt;"",COUNTIFS('QA Log'!D:D,A526,'QA Log'!M:M,"QQC",'QA Log'!L:L,"9. EPI and Pre-school Consultation",'QA Log'!Z:Z,"Approved"),"")</f>
        <v/>
      </c>
      <c r="Y526" s="102" t="str">
        <f>IF(A526&lt;&gt;"",COUNTIFS('QA Log'!D:D,A526,'QA Log'!M:M,"QQC",'QA Log'!L:L,"10. Antenatal Care (ANC)",'QA Log'!Z:Z,"Approved"),"")</f>
        <v/>
      </c>
      <c r="Z526" s="102" t="str">
        <f>IF(A526&lt;&gt;"",COUNTIFS('QA Log'!D:D,A526,'QA Log'!M:M,"QQC",'QA Log'!L:L,"2. Hygiene and Sterilization",'QA Log'!Z:Z,"Approved"),"")</f>
        <v/>
      </c>
      <c r="AA526" s="105" t="str">
        <f>IF(A526&lt;&gt;"",COUNTIFS('QA Log'!D:D,A526,'QA Log'!M:M,"QQC",'QA Log'!L:L,"4. Family Planning",'QA Log'!Z:Z,"Approved"),"")</f>
        <v/>
      </c>
      <c r="AB526" s="102" t="str">
        <f>IF(A526="","",
SUM(
COUNTIFS('QA Log'!D:D,A526,'QA Log'!M:M,"QQC",'QA Log'!Z:Z,"Rejected",'QA Log'!L:L,"*8. Maternity*"),
COUNTIFS('QA Log'!D:D,A526,'QA Log'!M:M,"QQC",'QA Log'!Z:Z,"Rejected",'QA Log'!L:L,"*9. EPI and Pre-school Consultation*"),
COUNTIFS('QA Log'!D:D,A526,'QA Log'!M:M,"QQC",'QA Log'!Z:Z,"Rejected",'QA Log'!L:L,"*10. Antenatal Care (ANC)*"),
COUNTIFS('QA Log'!D:D,A526,'QA Log'!M:M,"QQC",'QA Log'!Z:Z,"Rejected",'QA Log'!L:L,"*2. Hygiene and Sterilization*"),
COUNTIFS('QA Log'!D:D,A526,'QA Log'!M:M,"QQC",'QA Log'!Z:Z,"Rejected",'QA Log'!L:L,"*4. Family Planning*")
))</f>
        <v/>
      </c>
      <c r="AC526" s="102" t="str">
        <f t="shared" si="55"/>
        <v/>
      </c>
      <c r="AD526" s="103" t="str">
        <f t="shared" si="56"/>
        <v/>
      </c>
      <c r="AE526" s="102" t="str">
        <f>IF(A526="","",
SUM(
COUNTIFS('QA Log'!D:D,A526,'QA Log'!M:M,"Data Verification",'QA Log'!L:L,"*Medicine (section 2)*"),
COUNTIFS('QA Log'!D:D,A526,'QA Log'!M:M,"Data Verification",'QA Log'!L:L,"*Lab Testing Availability*"),
COUNTIFS('QA Log'!D:D,A526,'QA Log'!M:M,"Data Verification",'QA Log'!L:L,"*Other than P4P (section 6)*"),
COUNTIFS('QA Log'!D:D,A526,'QA Log'!M:M,"Data Verification",'QA Log'!L:L,"*Hospital Governance*")
))</f>
        <v/>
      </c>
      <c r="AF526" s="102" t="str">
        <f>IF(A526="","",
SUM(
COUNTIFS('QA Log'!D:D,A526,'QA Log'!M:M,"Data Verification",'QA Log'!Z:Z,"Approved",'QA Log'!L:L,"*Medicine (section 2)*"),
COUNTIFS('QA Log'!D:D,A526,'QA Log'!M:M,"Data Verification",'QA Log'!Z:Z,"Approved",'QA Log'!L:L,"*Lab Testing Availability*"),
COUNTIFS('QA Log'!D:D,A526,'QA Log'!M:M,"Data Verification",'QA Log'!Z:Z,"Approved",'QA Log'!L:L,"*Other than P4P (section 6)*"),
COUNTIFS('QA Log'!D:D,A526,'QA Log'!M:M,"Data Verification",'QA Log'!Z:Z,"Approved",'QA Log'!L:L,"*Hospital Governance*")
))</f>
        <v/>
      </c>
      <c r="AG526" s="105" t="str">
        <f>IF(A526&lt;&gt;"",COUNTIFS('QA Log'!D:D,A526,'QA Log'!M:M,"Data Verification",'QA Log'!L:L,"Medicine (section 2)",'QA Log'!Z:Z,"Approved"),"")</f>
        <v/>
      </c>
      <c r="AH526" s="105" t="str">
        <f>IF(A526&lt;&gt;"",COUNTIFS('QA Log'!D:D,A526,'QA Log'!M:M,"Data Verification",'QA Log'!L:L,"Lab Testing Availability",'QA Log'!Z:Z,"Approved"),"")</f>
        <v/>
      </c>
      <c r="AI526" s="105" t="str">
        <f>IF(A526&lt;&gt;"",COUNTIFS('QA Log'!D:D,A526,'QA Log'!M:M,"Data Verification",'QA Log'!L:L,"Other than P4P (section 6)",'QA Log'!Z:Z,"Approved"),"")</f>
        <v/>
      </c>
      <c r="AJ526" s="105" t="str">
        <f>IF(A526&lt;&gt;"",COUNTIFS('QA Log'!D:D,A526,'QA Log'!M:M,"Data Verification",'QA Log'!L:L,"Hospital Governance",'QA Log'!Z:Z,"Approved"),"")</f>
        <v/>
      </c>
      <c r="AK526" s="102" t="str">
        <f>IF(A526="","",
SUM(
COUNTIFS('QA Log'!D:D,A526,'QA Log'!M:M,"Data Verification",'QA Log'!Z:Z,"Rejected",'QA Log'!L:L,"*Medicine (section 2)*"),
COUNTIFS('QA Log'!D:D,A526,'QA Log'!M:M,"Data Verification",'QA Log'!Z:Z,"Rejected",'QA Log'!L:L,"*Lab Testing Availability*"),
COUNTIFS('QA Log'!D:D,A526,'QA Log'!M:M,"Data Verification",'QA Log'!Z:Z,"Rejected",'QA Log'!L:L,"*Other than P4P (section 6)*"),
COUNTIFS('QA Log'!D:D,A526,'QA Log'!M:M,"Data Verification",'QA Log'!Z:Z,"Rejected",'QA Log'!L:L,"*Hospital Governance*")
))</f>
        <v/>
      </c>
      <c r="AL526" s="106" t="str">
        <f t="shared" si="57"/>
        <v/>
      </c>
      <c r="AM526" s="102" t="str">
        <f t="shared" si="58"/>
        <v/>
      </c>
      <c r="AN526" s="102" t="str">
        <f>IF(A526="","",
SUM(
COUNTIFS('QA Log'!D:D,A526,'QA Log'!M:M,"Data Verification",'QA Log'!L:L,"*Personnel (section 1)*"),
COUNTIFS('QA Log'!D:D,A526,'QA Log'!M:M,"Data Verification",'QA Log'!L:L,"*Consumable (section 3)*"),
COUNTIFS('QA Log'!D:D,A526,'QA Log'!M:M,"Data Verification",'QA Log'!L:L,"*Equipments (section 4)*")
))</f>
        <v/>
      </c>
      <c r="AO526" s="102" t="str">
        <f>IF(A526="","",
SUM(
COUNTIFS('QA Log'!D:D,A526,'QA Log'!M:M,"Data Verification",'QA Log'!Z:Z,"Approved",'QA Log'!L:L,"*Personnel (section 1)*"),
COUNTIFS('QA Log'!D:D,A526,'QA Log'!M:M,"Data Verification",'QA Log'!Z:Z,"Approved",'QA Log'!L:L,"*Consumable (section 3)*"),
COUNTIFS('QA Log'!D:D,A526,'QA Log'!M:M,"Data Verification",'QA Log'!Z:Z,"Approved",'QA Log'!L:L,"*Equipments (section 4)*")
))</f>
        <v/>
      </c>
      <c r="AP526" s="105" t="str">
        <f>IF(A526&lt;&gt;"",COUNTIFS('QA Log'!D:D,A526,'QA Log'!M:M,"Data Verification",'QA Log'!L:L,"Personnel (section 1)",'QA Log'!Z:Z,"Approved"),"")</f>
        <v/>
      </c>
      <c r="AQ526" s="105" t="str">
        <f>IF(A526&lt;&gt;"",COUNTIFS('QA Log'!D:D,A526,'QA Log'!M:M,"Data Verification",'QA Log'!L:L,"Consumable (section 3)",'QA Log'!Z:Z,"Approved"),"")</f>
        <v/>
      </c>
      <c r="AR526" s="105" t="str">
        <f>IF(A526&lt;&gt;"",COUNTIFS('QA Log'!D:D,A526,'QA Log'!M:M,"Data Verification",'QA Log'!L:L,"Equipments (section 4)",'QA Log'!Z:Z,"Approved"),"")</f>
        <v/>
      </c>
      <c r="AS526" s="102" t="str">
        <f>IF(A526="","",
SUM(
COUNTIFS('QA Log'!D:D,A526,'QA Log'!M:M,"Data Verification",'QA Log'!Z:Z,"Rejected",'QA Log'!L:L,"*Personnel (section 1)*"),
COUNTIFS('QA Log'!D:D,A526,'QA Log'!M:M,"Data Verification",'QA Log'!Z:Z,"Rejected",'QA Log'!L:L,"*Consumable (section 3)*"),
COUNTIFS('QA Log'!D:D,A526,'QA Log'!M:M,"Data Verification",'QA Log'!Z:Z,"Rejected",'QA Log'!L:L,"*Equipments (section 4)*")
))</f>
        <v/>
      </c>
      <c r="AT526" s="102" t="str">
        <f t="shared" si="59"/>
        <v/>
      </c>
      <c r="AU526" s="103" t="str">
        <f t="shared" si="60"/>
        <v/>
      </c>
      <c r="AV526" s="102" t="str">
        <f>IF(A526="","",SUM(
COUNTIFS('QA Log'!D:D,A526,'QA Log'!M:M,"Vignette",'QA Log'!L:L,"*Vignette [1] Respiratory Infection: Pneumonia*"),
COUNTIFS('QA Log'!D:D,A526,'QA Log'!M:M,"Vignette",'QA Log'!L:L,"*Vignette [2]: Diarrhea with Cat B dehydration*"),
COUNTIFS('QA Log'!D:D,A526,'QA Log'!M:M,"Vignette",'QA Log'!L:L,"*Vignette [3] Growth Monitoring and Promotion*"),
COUNTIFS('QA Log'!D:D,A526,'QA Log'!M:M,"Vignette",'QA Log'!L:L,"*Vignette [4]: The management of presumptive TB patient*")
)
)</f>
        <v/>
      </c>
      <c r="AW526" s="102" t="str">
        <f>IF(
  A526="","",
  SUM(
    COUNTIFS('QA Log'!D:D,A526,'QA Log'!M:M,"Vignette",'QA Log'!Z:Z,"Approved",'QA Log'!L:L,"*Vignette [1] Respiratory Infection: Pneumonia*"),
    COUNTIFS('QA Log'!D:D,A526,'QA Log'!M:M,"Vignette",'QA Log'!Z:Z,"Approved",'QA Log'!L:L,"*Vignette [2]: Diarrhea with Cat B dehydration*"),
    COUNTIFS('QA Log'!D:D,A526,'QA Log'!M:M,"Vignette",'QA Log'!Z:Z,"Approved",'QA Log'!L:L,"*Vignette [3] Growth Monitoring and Promotion*"),
    COUNTIFS('QA Log'!D:D,A526,'QA Log'!M:M,"Vignette",'QA Log'!Z:Z,"Approved",'QA Log'!L:L,"*Vignette [4]: The management of presumptive TB patient*")
  )
)</f>
        <v/>
      </c>
      <c r="AX526" s="105" t="str">
        <f>IF(A526&lt;&gt;"",COUNTIFS('QA Log'!D:D,A526,'QA Log'!M:M,"Vignette",'QA Log'!L:L,"Vignette [1] Respiratory Infection: Pneumonia",'QA Log'!Z:Z,"Approved"),"")</f>
        <v/>
      </c>
      <c r="AY526" s="105" t="str">
        <f>IF(A526&lt;&gt;"",COUNTIFS('QA Log'!D:D,A526,'QA Log'!M:M,"Vignette",'QA Log'!L:L,"Vignette [2]: Diarrhea with Cat B dehydration",'QA Log'!Z:Z,"Approved"),"")</f>
        <v/>
      </c>
      <c r="AZ526" s="105" t="str">
        <f>IF(A526&lt;&gt;"",COUNTIFS('QA Log'!D:D,A526,'QA Log'!M:M,"Vignette",'QA Log'!L:L,"Vignette [3] Growth Monitoring and Promotion",'QA Log'!Z:Z,"Approved"),"")</f>
        <v/>
      </c>
      <c r="BA526" s="105" t="str">
        <f>IF(A526&lt;&gt;"",COUNTIFS('QA Log'!D:D,A526,'QA Log'!M:M,"Vignette",'QA Log'!L:L,"Vignette [4]: The management of presumptive TB patient",'QA Log'!Z:Z,"Approved"),"")</f>
        <v/>
      </c>
      <c r="BB526" s="102" t="str">
        <f>IF(A526="","",
  SUM(
    COUNTIFS('QA Log'!D:D,A526,'QA Log'!M:M,"Vignette",'QA Log'!Z:Z,"Rejected",'QA Log'!L:L,"*Vignette [1] Respiratory Infection: Pneumonia*"),
    COUNTIFS('QA Log'!D:D,A526,'QA Log'!M:M,"Vignette",'QA Log'!Z:Z,"Rejected",'QA Log'!L:L,"*Vignette [2]: Diarrhea with Cat B dehydration*"),
    COUNTIFS('QA Log'!D:D,A526,'QA Log'!M:M,"Vignette",'QA Log'!Z:Z,"Rejected",'QA Log'!L:L,"*Vignette [3] Growth Monitoring and Promotion*"),
    COUNTIFS('QA Log'!D:D,A526,'QA Log'!M:M,"Vignette",'QA Log'!Z:Z,"Rejected",'QA Log'!L:L,"*Vignette [4]: The management of presumptive TB patient*")
  )
)</f>
        <v/>
      </c>
      <c r="BC526" s="107" t="str">
        <f t="shared" si="61"/>
        <v/>
      </c>
      <c r="BD526" s="103" t="str">
        <f t="shared" si="62"/>
        <v/>
      </c>
      <c r="BE526" s="102" t="str">
        <f>IF(A526="","",SUM(
COUNTIFS('QA Log'!D:D,A526,'QA Log'!M:M,"Vignette",'QA Log'!L:L,"*Vignette [5] Labor*"),
COUNTIFS('QA Log'!D:D,A526,'QA Log'!M:M,"Vignette",'QA Log'!L:L,"*Vignette [6] PNC pre Discharge*"),
COUNTIFS('QA Log'!D:D,A526,'QA Log'!M:M,"Vignette",'QA Log'!L:L,"*Vignette [7] First ANC Visit*"),
COUNTIFS('QA Log'!D:D,A526,'QA Log'!M:M,"Vignette",'QA Log'!L:L,"*Vignette [8] Birth Spacing/ Family Planning :  FP Counselling*"),
COUNTIFS('QA Log'!D:D,A526,'QA Log'!M:M,"Vignette",'QA Log'!L:L,"*Vignette [9] Birth Spacing: Change FP method to Injectable*"),
COUNTIFS('QA Log'!D:D,A526,'QA Log'!M:M,"Vignette",'QA Log'!L:L,"*Vignette [10] Post Partum Haemorrhage - Atonic Uterus at Health Centre*"),
)
)</f>
        <v/>
      </c>
      <c r="BF526" s="102" t="str">
        <f>IF(A526="","",
  SUM(
    COUNTIFS('QA Log'!D:D,A526,'QA Log'!M:M,"Vignette",'QA Log'!Z:Z,"Approved",'QA Log'!L:L,"*Vignette [5] Labor*"),
    COUNTIFS('QA Log'!D:D,A526,'QA Log'!M:M,"Vignette",'QA Log'!Z:Z,"Approved",'QA Log'!L:L,"*Vignette [6] PNC pre Discharge*"),
    COUNTIFS('QA Log'!D:D,A526,'QA Log'!M:M,"Vignette",'QA Log'!Z:Z,"Approved",'QA Log'!L:L,"*Vignette [7] First ANC Visit*"),
    COUNTIFS('QA Log'!D:D,A526,'QA Log'!M:M,"Vignette",'QA Log'!Z:Z,"Approved",'QA Log'!L:L,"*Vignette [8] Birth Spacing/ Family Planning :  FP Counselling*"),
    COUNTIFS('QA Log'!D:D,A526,'QA Log'!M:M,"Vignette",'QA Log'!Z:Z,"Approved",'QA Log'!L:L,"*Vignette [9] Birth Spacing: Change FP method to Injectable*"),
    COUNTIFS('QA Log'!D:D,A526,'QA Log'!M:M,"Vignette",'QA Log'!Z:Z,"Approved",'QA Log'!L:L,"*Vignette [10] Post Partum Haemorrhage - Atonic Uterus at Health Centre*")
  )
)</f>
        <v/>
      </c>
      <c r="BG526" s="105" t="str">
        <f>IF(A526&lt;&gt;"",COUNTIFS('QA Log'!D:D,A526,'QA Log'!M:M,"Vignette",'QA Log'!L:L,"Vignette [5] Labor",'QA Log'!Z:Z,"Approved"),"")</f>
        <v/>
      </c>
      <c r="BH526" s="105" t="str">
        <f>IF(A526&lt;&gt;"",COUNTIFS('QA Log'!D:D,A526,'QA Log'!M:M,"Vignette",'QA Log'!L:L,"Vignette [6] PNC pre Discharge",'QA Log'!Z:Z,"Approved"),"")</f>
        <v/>
      </c>
      <c r="BI526" s="105" t="str">
        <f>IF(A526&lt;&gt;"",COUNTIFS('QA Log'!D:D,A526,'QA Log'!M:M,"Vignette",'QA Log'!L:L,"Vignette [7] First ANC Visit",'QA Log'!Z:Z,"Approved"),"")</f>
        <v/>
      </c>
      <c r="BJ526" s="105" t="str">
        <f>IF(A526&lt;&gt;"",COUNTIFS('QA Log'!D:D,A526,'QA Log'!M:M,"Vignette",'QA Log'!L:L,"Vignette [8] Birth Spacing/ Family Planning :  FP Counselling",'QA Log'!Z:Z,"Approved"),"")</f>
        <v/>
      </c>
      <c r="BK526" s="105" t="str">
        <f>IF(A526&lt;&gt;"",COUNTIFS('QA Log'!D:D,A526,'QA Log'!M:M,"Vignette",'QA Log'!L:L,"Vignette [9] Birth Spacing: Change FP method to Injectable",'QA Log'!Z:Z,"Approved"),"")</f>
        <v/>
      </c>
      <c r="BL526" s="105" t="str">
        <f>IF(A526&lt;&gt;"",COUNTIFS('QA Log'!D:D,A526,'QA Log'!M:M,"Vignette",'QA Log'!L:L,"Vignette [10] Post Partum Haemorrhage - Atonic Uterus at Health Centre",'QA Log'!Z:Z,"Approved"),"")</f>
        <v/>
      </c>
      <c r="BM526" s="102" t="str">
        <f>IF(A526="","",SUM(
    COUNTIFS('QA Log'!D:D,A526,'QA Log'!M:M,"Vignette",'QA Log'!Z:Z,"Rejected",'QA Log'!L:L,"*Vignette [5] Labor*"),
    COUNTIFS('QA Log'!D:D,A526,'QA Log'!M:M,"Vignette",'QA Log'!Z:Z,"Rejected",'QA Log'!L:L,"*Vignette [6] PNC pre Discharge*"),
    COUNTIFS('QA Log'!D:D,A526,'QA Log'!M:M,"Vignette",'QA Log'!Z:Z,"Rejected",'QA Log'!L:L,"*Vignette [7] First ANC Visit*"),
    COUNTIFS('QA Log'!D:D,A526,'QA Log'!M:M,"Vignette",'QA Log'!Z:Z,"Rejected",'QA Log'!L:L,"*Vignette [8] Birth Spacing/ Family Planning :  FP Counselling*"),
    COUNTIFS('QA Log'!D:D,A526,'QA Log'!M:M,"Vignette",'QA Log'!Z:Z,"Rejected",'QA Log'!L:L,"*Vignette [9] Birth Spacing: Change FP method to Injectable*"),
    COUNTIFS('QA Log'!D:D,A526,'QA Log'!M:M,"Vignette",'QA Log'!Z:Z,"Rejected",'QA Log'!L:L,"*Vignette [10] Post Partum Haemorrhage - Atonic Uterus at Health Centre*")
  )
)</f>
        <v/>
      </c>
      <c r="BN526" s="107" t="str">
        <f t="shared" si="63"/>
        <v/>
      </c>
      <c r="BO526" s="103" t="str">
        <f t="shared" si="64"/>
        <v/>
      </c>
      <c r="BP526" s="102" t="str">
        <f>IF(A526="","",SUM(
COUNTIFS('QA Log'!D:D,A526,'QA Log'!M:M,"Vignette",'QA Log'!L:L,"*Exit Interview 1*"),
COUNTIFS('QA Log'!D:D,A526,'QA Log'!M:M,"Vignette",'QA Log'!L:L,"*Exit Interview 2*"),
)
)</f>
        <v/>
      </c>
      <c r="BQ526" s="102" t="str">
        <f>IF(
  A526="","",
  SUM(
    COUNTIFS('QA Log'!D:D,A526,'QA Log'!M:M,"Vignette",'QA Log'!Z:Z,"Approved",'QA Log'!L:L,"*Exit Interview 1*"),
    COUNTIFS('QA Log'!D:D,A526,'QA Log'!M:M,"Vignette",'QA Log'!Z:Z,"Approved",'QA Log'!L:L,"*Exit Interview 2*")
  )
)</f>
        <v/>
      </c>
      <c r="BR526" s="105" t="str">
        <f>IF(A526&lt;&gt;"",COUNTIFS('QA Log'!D:D,A526,'QA Log'!M:M,"Vignette",'QA Log'!L:L,"Exit Interview 1",'QA Log'!Z:Z,"Approved"),"")</f>
        <v/>
      </c>
      <c r="BS526" s="105" t="str">
        <f>IF(A526&lt;&gt;"",COUNTIFS('QA Log'!D:D,A526,'QA Log'!M:M,"Vignette",'QA Log'!L:L,"Exit Interview 2",'QA Log'!Z:Z,"Approved"),"")</f>
        <v/>
      </c>
      <c r="BT526" s="102" t="str">
        <f>IF(
  A526="","",
  SUM(
    COUNTIFS('QA Log'!D:D,A526,'QA Log'!M:M,"Vignette",'QA Log'!Z:Z,"Rejected",'QA Log'!L:L,"*Exit Interview 1*"),
    COUNTIFS('QA Log'!D:D,A526,'QA Log'!M:M,"Vignette",'QA Log'!Z:Z,"Rejected",'QA Log'!L:L,"*Exit Interview 2*")
  )
)</f>
        <v/>
      </c>
      <c r="BU526" s="107" t="str">
        <f t="shared" si="65"/>
        <v/>
      </c>
      <c r="BV526" s="102" t="str">
        <f t="shared" si="66"/>
        <v/>
      </c>
      <c r="BW526" s="102" t="str">
        <f t="shared" si="67"/>
        <v/>
      </c>
      <c r="BX526" s="102" t="str">
        <f t="shared" si="68"/>
        <v/>
      </c>
      <c r="BY526" s="102" t="str">
        <f t="shared" si="69"/>
        <v/>
      </c>
      <c r="BZ526" s="107" t="str">
        <f t="shared" si="70"/>
        <v/>
      </c>
      <c r="CA526" s="108" t="str">
        <f t="shared" si="71"/>
        <v/>
      </c>
      <c r="CB526" s="108" t="str">
        <f t="shared" si="72"/>
        <v/>
      </c>
      <c r="CC526" s="109" t="str">
        <f t="shared" si="73"/>
        <v/>
      </c>
      <c r="CD526" s="108" t="str">
        <f t="shared" si="74"/>
        <v/>
      </c>
      <c r="CE526" s="108" t="str">
        <f t="shared" si="75"/>
        <v/>
      </c>
      <c r="CF526" s="109" t="str">
        <f t="shared" si="76"/>
        <v/>
      </c>
      <c r="CG526" s="110" t="str">
        <f t="shared" si="77"/>
        <v/>
      </c>
      <c r="CH526" s="111"/>
    </row>
    <row r="527" spans="1:86" ht="12.75">
      <c r="A527" s="101"/>
      <c r="B527" s="102" t="e">
        <f t="array" aca="1" ref="B527" ca="1">_xludf.XLOOKUP(A527,'QA Log'!D:D,'QA Log'!E:E,"")</f>
        <v>#NAME?</v>
      </c>
      <c r="C527" s="102" t="e">
        <f t="array" aca="1" ref="C527" ca="1">_xludf.XLOOKUP(A527,'QA Log'!D:D,'QA Log'!F:F,"")</f>
        <v>#NAME?</v>
      </c>
      <c r="D527" s="102" t="e">
        <f t="array" aca="1" ref="D527" ca="1">_xludf.XLOOKUP(A527,'QA Log'!D:D,'QA Log'!H:H,"")</f>
        <v>#NAME?</v>
      </c>
      <c r="E527" s="102" t="e">
        <f t="array" aca="1" ref="E527" ca="1">_xludf.XLOOKUP(A527,'QA Log'!D:D,'QA Log'!G:G,"")</f>
        <v>#NAME?</v>
      </c>
      <c r="F527" s="103"/>
      <c r="G527" s="104"/>
      <c r="H527" s="104"/>
      <c r="I527" s="103" t="str">
        <f t="shared" si="52"/>
        <v/>
      </c>
      <c r="J527" s="102" t="str">
        <f>IF(A527="","",SUM(
COUNTIFS('QA Log'!D:D,A527,'QA Log'!M:M,"QQC",'QA Log'!L:L,"*1. General Management*"),
COUNTIFS('QA Log'!D:D,A527,'QA Log'!M:M,"QQC",'QA Log'!L:L,"*3. Curative Consultation (OPD)*"),
COUNTIFS('QA Log'!D:D,A527,'QA Log'!M:M,"QQC",'QA Log'!L:L,"*5. Laboratory*"),
COUNTIFS('QA Log'!D:D,A527,'QA Log'!M:M,"QQC",'QA Log'!L:L,"*6. Essential Medicine Management*"),
COUNTIFS('QA Log'!D:D,A527,'QA Log'!M:M,"QQC",'QA Log'!L:L,"*7. Tracer Medicine*"),
COUNTIFS('QA Log'!D:D,A527,'QA Log'!M:M,"QQC",'QA Log'!L:L,"*11. Additional Questions*")))</f>
        <v/>
      </c>
      <c r="K527" s="102" t="str">
        <f>IF(A527="","",SUM(
COUNTIFS('QA Log'!D:D,A527,'QA Log'!M:M,"QQC",'QA Log'!Z:Z,"Approved",'QA Log'!L:L,"*1. General Management*"),
COUNTIFS('QA Log'!D:D,A527,'QA Log'!M:M,"QQC",'QA Log'!Z:Z,"Approved",'QA Log'!L:L,"*3. Curative Consultation (OPD)*"),
COUNTIFS('QA Log'!D:D,A527,'QA Log'!M:M,"QQC",'QA Log'!Z:Z,"Approved",'QA Log'!L:L,"*5. Laboratory*"),
COUNTIFS('QA Log'!D:D,A527,'QA Log'!M:M,"QQC",'QA Log'!Z:Z,"Approved",'QA Log'!L:L,"*6. Essential Medicine Management*"),
COUNTIFS('QA Log'!D:D,A527,'QA Log'!M:M,"QQC",'QA Log'!Z:Z,"Approved",'QA Log'!L:L,"*7. Tracer Medicine*"),
COUNTIFS('QA Log'!D:D,A527,'QA Log'!M:M,"QQC",'QA Log'!Z:Z,"Approved",'QA Log'!L:L,"*11. Additional Questions*")))</f>
        <v/>
      </c>
      <c r="L527" s="102" t="str">
        <f>IF(A527&lt;&gt;"",COUNTIFS('QA Log'!D:D,A527,'QA Log'!M:M,"QQC",'QA Log'!L:L,"1. General Management",'QA Log'!Z:Z,"Approved"),"")</f>
        <v/>
      </c>
      <c r="M527" s="102" t="str">
        <f>IF(A527&lt;&gt;"",COUNTIFS('QA Log'!D:D,A527,'QA Log'!M:M,"QQC",'QA Log'!L:L,"3. Curative Consultation (OPD)",'QA Log'!Z:Z,"Approved"),"")</f>
        <v/>
      </c>
      <c r="N527" s="102" t="str">
        <f>IF(A527&lt;&gt;"",COUNTIFS('QA Log'!D:D,A527,'QA Log'!M:M,"QQC",'QA Log'!L:L,"5. Laboratory",'QA Log'!Z:Z,"Approved"),"")</f>
        <v/>
      </c>
      <c r="O527" s="102" t="str">
        <f>IF(A527&lt;&gt;"",COUNTIFS('QA Log'!D:D,A527,'QA Log'!M:M,"QQC",'QA Log'!L:L,"6. Essential Medicine Management",'QA Log'!Z:Z,"Approved"),"")</f>
        <v/>
      </c>
      <c r="P527" s="102" t="str">
        <f>IF(A527&lt;&gt;"",COUNTIFS('QA Log'!D:D,A527,'QA Log'!M:M,"QQC",'QA Log'!L:L,"7. Tracer Medicine",'QA Log'!Z:Z,"Approved"),"")</f>
        <v/>
      </c>
      <c r="Q527" s="102" t="str">
        <f>IF(A527&lt;&gt;"",COUNTIFS('QA Log'!D:D,A527,'QA Log'!M:M,"QQC",'QA Log'!L:L,"11. Additional Questions",'QA Log'!Z:Z,"Approved"),"")</f>
        <v/>
      </c>
      <c r="R527" s="102" t="str">
        <f>IF(A527="","",SUM(
COUNTIFS('QA Log'!D:D,A527,'QA Log'!M:M,"QQC",'QA Log'!Z:Z,"Rejected",'QA Log'!L:L,"*8. Maternity*"),
COUNTIFS('QA Log'!D:D,A527,'QA Log'!M:M,"QQC",'QA Log'!Z:Z,"Rejected",'QA Log'!L:L,"*EPI*"),
COUNTIFS('QA Log'!D:D,A527,'QA Log'!M:M,"QQC",'QA Log'!Z:Z,"Rejected",'QA Log'!L:L,"*10. Antenatal Care (ANC)*"),
COUNTIFS('QA Log'!D:D,A527,'QA Log'!M:M,"QQC",'QA Log'!Z:Z,"Rejected",'QA Log'!L:L,"*2. Hygiene and Sterilization*"),
COUNTIFS('QA Log'!D:D,A527,'QA Log'!M:M,"QQC",'QA Log'!Z:Z,"Rejected",'QA Log'!L:L,"*Family Planning*")))</f>
        <v/>
      </c>
      <c r="S527" s="106" t="str">
        <f t="shared" si="53"/>
        <v/>
      </c>
      <c r="T527" s="102" t="str">
        <f t="shared" si="54"/>
        <v/>
      </c>
      <c r="U527" s="102" t="str">
        <f>IF(A527="","",
SUM(
COUNTIFS('QA Log'!D:D,A527,'QA Log'!M:M,"QQC",'QA Log'!L:L,"*8. Maternity*"),
COUNTIFS('QA Log'!D:D,A527,'QA Log'!M:M,"QQC",'QA Log'!L:L,"*9. EPI and Pre-school Consultation*"),
COUNTIFS('QA Log'!D:D,A527,'QA Log'!M:M,"QQC",'QA Log'!L:L,"*10. Antenatal Care (ANC)*"),
COUNTIFS('QA Log'!D:D,A527,'QA Log'!M:M,"QQC",'QA Log'!L:L,"*2. Hygiene and Sterilization*"),
COUNTIFS('QA Log'!D:D,A527,'QA Log'!M:M,"QQC",'QA Log'!L:L,"*4. Family Planning*")
))</f>
        <v/>
      </c>
      <c r="V527" s="102" t="str">
        <f>IF(A527="","",
SUM(
COUNTIFS('QA Log'!D:D,A527,'QA Log'!M:M,"QQC",'QA Log'!Z:Z,"Approved",'QA Log'!L:L,"*8. Maternity*"),
COUNTIFS('QA Log'!D:D,A527,'QA Log'!M:M,"QQC",'QA Log'!Z:Z,"Approved",'QA Log'!L:L,"*9. EPI and Pre-school Consultation*"),
COUNTIFS('QA Log'!D:D,A527,'QA Log'!M:M,"QQC",'QA Log'!Z:Z,"Approved",'QA Log'!L:L,"*10. Antenatal Care (ANC)*"),
COUNTIFS('QA Log'!D:D,A527,'QA Log'!M:M,"QQC",'QA Log'!Z:Z,"Approved",'QA Log'!L:L,"*2. Hygiene and Sterilization*"),
COUNTIFS('QA Log'!D:D,A527,'QA Log'!M:M,"QQC",'QA Log'!Z:Z,"Approved",'QA Log'!L:L,"*4. Family Planning*")
))</f>
        <v/>
      </c>
      <c r="W527" s="102" t="str">
        <f>IF(A527&lt;&gt;"",COUNTIFS('QA Log'!D:D,A527,'QA Log'!M:M,"QQC",'QA Log'!L:L,"8. Maternity",'QA Log'!Z:Z,"Approved"),"")</f>
        <v/>
      </c>
      <c r="X527" s="105" t="str">
        <f>IF(A527&lt;&gt;"",COUNTIFS('QA Log'!D:D,A527,'QA Log'!M:M,"QQC",'QA Log'!L:L,"9. EPI and Pre-school Consultation",'QA Log'!Z:Z,"Approved"),"")</f>
        <v/>
      </c>
      <c r="Y527" s="102" t="str">
        <f>IF(A527&lt;&gt;"",COUNTIFS('QA Log'!D:D,A527,'QA Log'!M:M,"QQC",'QA Log'!L:L,"10. Antenatal Care (ANC)",'QA Log'!Z:Z,"Approved"),"")</f>
        <v/>
      </c>
      <c r="Z527" s="102" t="str">
        <f>IF(A527&lt;&gt;"",COUNTIFS('QA Log'!D:D,A527,'QA Log'!M:M,"QQC",'QA Log'!L:L,"2. Hygiene and Sterilization",'QA Log'!Z:Z,"Approved"),"")</f>
        <v/>
      </c>
      <c r="AA527" s="105" t="str">
        <f>IF(A527&lt;&gt;"",COUNTIFS('QA Log'!D:D,A527,'QA Log'!M:M,"QQC",'QA Log'!L:L,"4. Family Planning",'QA Log'!Z:Z,"Approved"),"")</f>
        <v/>
      </c>
      <c r="AB527" s="102" t="str">
        <f>IF(A527="","",
SUM(
COUNTIFS('QA Log'!D:D,A527,'QA Log'!M:M,"QQC",'QA Log'!Z:Z,"Rejected",'QA Log'!L:L,"*8. Maternity*"),
COUNTIFS('QA Log'!D:D,A527,'QA Log'!M:M,"QQC",'QA Log'!Z:Z,"Rejected",'QA Log'!L:L,"*9. EPI and Pre-school Consultation*"),
COUNTIFS('QA Log'!D:D,A527,'QA Log'!M:M,"QQC",'QA Log'!Z:Z,"Rejected",'QA Log'!L:L,"*10. Antenatal Care (ANC)*"),
COUNTIFS('QA Log'!D:D,A527,'QA Log'!M:M,"QQC",'QA Log'!Z:Z,"Rejected",'QA Log'!L:L,"*2. Hygiene and Sterilization*"),
COUNTIFS('QA Log'!D:D,A527,'QA Log'!M:M,"QQC",'QA Log'!Z:Z,"Rejected",'QA Log'!L:L,"*4. Family Planning*")
))</f>
        <v/>
      </c>
      <c r="AC527" s="102" t="str">
        <f t="shared" si="55"/>
        <v/>
      </c>
      <c r="AD527" s="103" t="str">
        <f t="shared" si="56"/>
        <v/>
      </c>
      <c r="AE527" s="102" t="str">
        <f>IF(A527="","",
SUM(
COUNTIFS('QA Log'!D:D,A527,'QA Log'!M:M,"Data Verification",'QA Log'!L:L,"*Medicine (section 2)*"),
COUNTIFS('QA Log'!D:D,A527,'QA Log'!M:M,"Data Verification",'QA Log'!L:L,"*Lab Testing Availability*"),
COUNTIFS('QA Log'!D:D,A527,'QA Log'!M:M,"Data Verification",'QA Log'!L:L,"*Other than P4P (section 6)*"),
COUNTIFS('QA Log'!D:D,A527,'QA Log'!M:M,"Data Verification",'QA Log'!L:L,"*Hospital Governance*")
))</f>
        <v/>
      </c>
      <c r="AF527" s="102" t="str">
        <f>IF(A527="","",
SUM(
COUNTIFS('QA Log'!D:D,A527,'QA Log'!M:M,"Data Verification",'QA Log'!Z:Z,"Approved",'QA Log'!L:L,"*Medicine (section 2)*"),
COUNTIFS('QA Log'!D:D,A527,'QA Log'!M:M,"Data Verification",'QA Log'!Z:Z,"Approved",'QA Log'!L:L,"*Lab Testing Availability*"),
COUNTIFS('QA Log'!D:D,A527,'QA Log'!M:M,"Data Verification",'QA Log'!Z:Z,"Approved",'QA Log'!L:L,"*Other than P4P (section 6)*"),
COUNTIFS('QA Log'!D:D,A527,'QA Log'!M:M,"Data Verification",'QA Log'!Z:Z,"Approved",'QA Log'!L:L,"*Hospital Governance*")
))</f>
        <v/>
      </c>
      <c r="AG527" s="105" t="str">
        <f>IF(A527&lt;&gt;"",COUNTIFS('QA Log'!D:D,A527,'QA Log'!M:M,"Data Verification",'QA Log'!L:L,"Medicine (section 2)",'QA Log'!Z:Z,"Approved"),"")</f>
        <v/>
      </c>
      <c r="AH527" s="105" t="str">
        <f>IF(A527&lt;&gt;"",COUNTIFS('QA Log'!D:D,A527,'QA Log'!M:M,"Data Verification",'QA Log'!L:L,"Lab Testing Availability",'QA Log'!Z:Z,"Approved"),"")</f>
        <v/>
      </c>
      <c r="AI527" s="105" t="str">
        <f>IF(A527&lt;&gt;"",COUNTIFS('QA Log'!D:D,A527,'QA Log'!M:M,"Data Verification",'QA Log'!L:L,"Other than P4P (section 6)",'QA Log'!Z:Z,"Approved"),"")</f>
        <v/>
      </c>
      <c r="AJ527" s="105" t="str">
        <f>IF(A527&lt;&gt;"",COUNTIFS('QA Log'!D:D,A527,'QA Log'!M:M,"Data Verification",'QA Log'!L:L,"Hospital Governance",'QA Log'!Z:Z,"Approved"),"")</f>
        <v/>
      </c>
      <c r="AK527" s="102" t="str">
        <f>IF(A527="","",
SUM(
COUNTIFS('QA Log'!D:D,A527,'QA Log'!M:M,"Data Verification",'QA Log'!Z:Z,"Rejected",'QA Log'!L:L,"*Medicine (section 2)*"),
COUNTIFS('QA Log'!D:D,A527,'QA Log'!M:M,"Data Verification",'QA Log'!Z:Z,"Rejected",'QA Log'!L:L,"*Lab Testing Availability*"),
COUNTIFS('QA Log'!D:D,A527,'QA Log'!M:M,"Data Verification",'QA Log'!Z:Z,"Rejected",'QA Log'!L:L,"*Other than P4P (section 6)*"),
COUNTIFS('QA Log'!D:D,A527,'QA Log'!M:M,"Data Verification",'QA Log'!Z:Z,"Rejected",'QA Log'!L:L,"*Hospital Governance*")
))</f>
        <v/>
      </c>
      <c r="AL527" s="106" t="str">
        <f t="shared" si="57"/>
        <v/>
      </c>
      <c r="AM527" s="102" t="str">
        <f t="shared" si="58"/>
        <v/>
      </c>
      <c r="AN527" s="102" t="str">
        <f>IF(A527="","",
SUM(
COUNTIFS('QA Log'!D:D,A527,'QA Log'!M:M,"Data Verification",'QA Log'!L:L,"*Personnel (section 1)*"),
COUNTIFS('QA Log'!D:D,A527,'QA Log'!M:M,"Data Verification",'QA Log'!L:L,"*Consumable (section 3)*"),
COUNTIFS('QA Log'!D:D,A527,'QA Log'!M:M,"Data Verification",'QA Log'!L:L,"*Equipments (section 4)*")
))</f>
        <v/>
      </c>
      <c r="AO527" s="102" t="str">
        <f>IF(A527="","",
SUM(
COUNTIFS('QA Log'!D:D,A527,'QA Log'!M:M,"Data Verification",'QA Log'!Z:Z,"Approved",'QA Log'!L:L,"*Personnel (section 1)*"),
COUNTIFS('QA Log'!D:D,A527,'QA Log'!M:M,"Data Verification",'QA Log'!Z:Z,"Approved",'QA Log'!L:L,"*Consumable (section 3)*"),
COUNTIFS('QA Log'!D:D,A527,'QA Log'!M:M,"Data Verification",'QA Log'!Z:Z,"Approved",'QA Log'!L:L,"*Equipments (section 4)*")
))</f>
        <v/>
      </c>
      <c r="AP527" s="105" t="str">
        <f>IF(A527&lt;&gt;"",COUNTIFS('QA Log'!D:D,A527,'QA Log'!M:M,"Data Verification",'QA Log'!L:L,"Personnel (section 1)",'QA Log'!Z:Z,"Approved"),"")</f>
        <v/>
      </c>
      <c r="AQ527" s="105" t="str">
        <f>IF(A527&lt;&gt;"",COUNTIFS('QA Log'!D:D,A527,'QA Log'!M:M,"Data Verification",'QA Log'!L:L,"Consumable (section 3)",'QA Log'!Z:Z,"Approved"),"")</f>
        <v/>
      </c>
      <c r="AR527" s="105" t="str">
        <f>IF(A527&lt;&gt;"",COUNTIFS('QA Log'!D:D,A527,'QA Log'!M:M,"Data Verification",'QA Log'!L:L,"Equipments (section 4)",'QA Log'!Z:Z,"Approved"),"")</f>
        <v/>
      </c>
      <c r="AS527" s="102" t="str">
        <f>IF(A527="","",
SUM(
COUNTIFS('QA Log'!D:D,A527,'QA Log'!M:M,"Data Verification",'QA Log'!Z:Z,"Rejected",'QA Log'!L:L,"*Personnel (section 1)*"),
COUNTIFS('QA Log'!D:D,A527,'QA Log'!M:M,"Data Verification",'QA Log'!Z:Z,"Rejected",'QA Log'!L:L,"*Consumable (section 3)*"),
COUNTIFS('QA Log'!D:D,A527,'QA Log'!M:M,"Data Verification",'QA Log'!Z:Z,"Rejected",'QA Log'!L:L,"*Equipments (section 4)*")
))</f>
        <v/>
      </c>
      <c r="AT527" s="102" t="str">
        <f t="shared" si="59"/>
        <v/>
      </c>
      <c r="AU527" s="103" t="str">
        <f t="shared" si="60"/>
        <v/>
      </c>
      <c r="AV527" s="102" t="str">
        <f>IF(A527="","",SUM(
COUNTIFS('QA Log'!D:D,A527,'QA Log'!M:M,"Vignette",'QA Log'!L:L,"*Vignette [1] Respiratory Infection: Pneumonia*"),
COUNTIFS('QA Log'!D:D,A527,'QA Log'!M:M,"Vignette",'QA Log'!L:L,"*Vignette [2]: Diarrhea with Cat B dehydration*"),
COUNTIFS('QA Log'!D:D,A527,'QA Log'!M:M,"Vignette",'QA Log'!L:L,"*Vignette [3] Growth Monitoring and Promotion*"),
COUNTIFS('QA Log'!D:D,A527,'QA Log'!M:M,"Vignette",'QA Log'!L:L,"*Vignette [4]: The management of presumptive TB patient*")
)
)</f>
        <v/>
      </c>
      <c r="AW527" s="102" t="str">
        <f>IF(
  A527="","",
  SUM(
    COUNTIFS('QA Log'!D:D,A527,'QA Log'!M:M,"Vignette",'QA Log'!Z:Z,"Approved",'QA Log'!L:L,"*Vignette [1] Respiratory Infection: Pneumonia*"),
    COUNTIFS('QA Log'!D:D,A527,'QA Log'!M:M,"Vignette",'QA Log'!Z:Z,"Approved",'QA Log'!L:L,"*Vignette [2]: Diarrhea with Cat B dehydration*"),
    COUNTIFS('QA Log'!D:D,A527,'QA Log'!M:M,"Vignette",'QA Log'!Z:Z,"Approved",'QA Log'!L:L,"*Vignette [3] Growth Monitoring and Promotion*"),
    COUNTIFS('QA Log'!D:D,A527,'QA Log'!M:M,"Vignette",'QA Log'!Z:Z,"Approved",'QA Log'!L:L,"*Vignette [4]: The management of presumptive TB patient*")
  )
)</f>
        <v/>
      </c>
      <c r="AX527" s="105" t="str">
        <f>IF(A527&lt;&gt;"",COUNTIFS('QA Log'!D:D,A527,'QA Log'!M:M,"Vignette",'QA Log'!L:L,"Vignette [1] Respiratory Infection: Pneumonia",'QA Log'!Z:Z,"Approved"),"")</f>
        <v/>
      </c>
      <c r="AY527" s="105" t="str">
        <f>IF(A527&lt;&gt;"",COUNTIFS('QA Log'!D:D,A527,'QA Log'!M:M,"Vignette",'QA Log'!L:L,"Vignette [2]: Diarrhea with Cat B dehydration",'QA Log'!Z:Z,"Approved"),"")</f>
        <v/>
      </c>
      <c r="AZ527" s="105" t="str">
        <f>IF(A527&lt;&gt;"",COUNTIFS('QA Log'!D:D,A527,'QA Log'!M:M,"Vignette",'QA Log'!L:L,"Vignette [3] Growth Monitoring and Promotion",'QA Log'!Z:Z,"Approved"),"")</f>
        <v/>
      </c>
      <c r="BA527" s="105" t="str">
        <f>IF(A527&lt;&gt;"",COUNTIFS('QA Log'!D:D,A527,'QA Log'!M:M,"Vignette",'QA Log'!L:L,"Vignette [4]: The management of presumptive TB patient",'QA Log'!Z:Z,"Approved"),"")</f>
        <v/>
      </c>
      <c r="BB527" s="102" t="str">
        <f>IF(A527="","",
  SUM(
    COUNTIFS('QA Log'!D:D,A527,'QA Log'!M:M,"Vignette",'QA Log'!Z:Z,"Rejected",'QA Log'!L:L,"*Vignette [1] Respiratory Infection: Pneumonia*"),
    COUNTIFS('QA Log'!D:D,A527,'QA Log'!M:M,"Vignette",'QA Log'!Z:Z,"Rejected",'QA Log'!L:L,"*Vignette [2]: Diarrhea with Cat B dehydration*"),
    COUNTIFS('QA Log'!D:D,A527,'QA Log'!M:M,"Vignette",'QA Log'!Z:Z,"Rejected",'QA Log'!L:L,"*Vignette [3] Growth Monitoring and Promotion*"),
    COUNTIFS('QA Log'!D:D,A527,'QA Log'!M:M,"Vignette",'QA Log'!Z:Z,"Rejected",'QA Log'!L:L,"*Vignette [4]: The management of presumptive TB patient*")
  )
)</f>
        <v/>
      </c>
      <c r="BC527" s="107" t="str">
        <f t="shared" si="61"/>
        <v/>
      </c>
      <c r="BD527" s="103" t="str">
        <f t="shared" si="62"/>
        <v/>
      </c>
      <c r="BE527" s="102" t="str">
        <f>IF(A527="","",SUM(
COUNTIFS('QA Log'!D:D,A527,'QA Log'!M:M,"Vignette",'QA Log'!L:L,"*Vignette [5] Labor*"),
COUNTIFS('QA Log'!D:D,A527,'QA Log'!M:M,"Vignette",'QA Log'!L:L,"*Vignette [6] PNC pre Discharge*"),
COUNTIFS('QA Log'!D:D,A527,'QA Log'!M:M,"Vignette",'QA Log'!L:L,"*Vignette [7] First ANC Visit*"),
COUNTIFS('QA Log'!D:D,A527,'QA Log'!M:M,"Vignette",'QA Log'!L:L,"*Vignette [8] Birth Spacing/ Family Planning :  FP Counselling*"),
COUNTIFS('QA Log'!D:D,A527,'QA Log'!M:M,"Vignette",'QA Log'!L:L,"*Vignette [9] Birth Spacing: Change FP method to Injectable*"),
COUNTIFS('QA Log'!D:D,A527,'QA Log'!M:M,"Vignette",'QA Log'!L:L,"*Vignette [10] Post Partum Haemorrhage - Atonic Uterus at Health Centre*"),
)
)</f>
        <v/>
      </c>
      <c r="BF527" s="102" t="str">
        <f>IF(A527="","",
  SUM(
    COUNTIFS('QA Log'!D:D,A527,'QA Log'!M:M,"Vignette",'QA Log'!Z:Z,"Approved",'QA Log'!L:L,"*Vignette [5] Labor*"),
    COUNTIFS('QA Log'!D:D,A527,'QA Log'!M:M,"Vignette",'QA Log'!Z:Z,"Approved",'QA Log'!L:L,"*Vignette [6] PNC pre Discharge*"),
    COUNTIFS('QA Log'!D:D,A527,'QA Log'!M:M,"Vignette",'QA Log'!Z:Z,"Approved",'QA Log'!L:L,"*Vignette [7] First ANC Visit*"),
    COUNTIFS('QA Log'!D:D,A527,'QA Log'!M:M,"Vignette",'QA Log'!Z:Z,"Approved",'QA Log'!L:L,"*Vignette [8] Birth Spacing/ Family Planning :  FP Counselling*"),
    COUNTIFS('QA Log'!D:D,A527,'QA Log'!M:M,"Vignette",'QA Log'!Z:Z,"Approved",'QA Log'!L:L,"*Vignette [9] Birth Spacing: Change FP method to Injectable*"),
    COUNTIFS('QA Log'!D:D,A527,'QA Log'!M:M,"Vignette",'QA Log'!Z:Z,"Approved",'QA Log'!L:L,"*Vignette [10] Post Partum Haemorrhage - Atonic Uterus at Health Centre*")
  )
)</f>
        <v/>
      </c>
      <c r="BG527" s="105" t="str">
        <f>IF(A527&lt;&gt;"",COUNTIFS('QA Log'!D:D,A527,'QA Log'!M:M,"Vignette",'QA Log'!L:L,"Vignette [5] Labor",'QA Log'!Z:Z,"Approved"),"")</f>
        <v/>
      </c>
      <c r="BH527" s="105" t="str">
        <f>IF(A527&lt;&gt;"",COUNTIFS('QA Log'!D:D,A527,'QA Log'!M:M,"Vignette",'QA Log'!L:L,"Vignette [6] PNC pre Discharge",'QA Log'!Z:Z,"Approved"),"")</f>
        <v/>
      </c>
      <c r="BI527" s="105" t="str">
        <f>IF(A527&lt;&gt;"",COUNTIFS('QA Log'!D:D,A527,'QA Log'!M:M,"Vignette",'QA Log'!L:L,"Vignette [7] First ANC Visit",'QA Log'!Z:Z,"Approved"),"")</f>
        <v/>
      </c>
      <c r="BJ527" s="105" t="str">
        <f>IF(A527&lt;&gt;"",COUNTIFS('QA Log'!D:D,A527,'QA Log'!M:M,"Vignette",'QA Log'!L:L,"Vignette [8] Birth Spacing/ Family Planning :  FP Counselling",'QA Log'!Z:Z,"Approved"),"")</f>
        <v/>
      </c>
      <c r="BK527" s="105" t="str">
        <f>IF(A527&lt;&gt;"",COUNTIFS('QA Log'!D:D,A527,'QA Log'!M:M,"Vignette",'QA Log'!L:L,"Vignette [9] Birth Spacing: Change FP method to Injectable",'QA Log'!Z:Z,"Approved"),"")</f>
        <v/>
      </c>
      <c r="BL527" s="105" t="str">
        <f>IF(A527&lt;&gt;"",COUNTIFS('QA Log'!D:D,A527,'QA Log'!M:M,"Vignette",'QA Log'!L:L,"Vignette [10] Post Partum Haemorrhage - Atonic Uterus at Health Centre",'QA Log'!Z:Z,"Approved"),"")</f>
        <v/>
      </c>
      <c r="BM527" s="102" t="str">
        <f>IF(A527="","",SUM(
    COUNTIFS('QA Log'!D:D,A527,'QA Log'!M:M,"Vignette",'QA Log'!Z:Z,"Rejected",'QA Log'!L:L,"*Vignette [5] Labor*"),
    COUNTIFS('QA Log'!D:D,A527,'QA Log'!M:M,"Vignette",'QA Log'!Z:Z,"Rejected",'QA Log'!L:L,"*Vignette [6] PNC pre Discharge*"),
    COUNTIFS('QA Log'!D:D,A527,'QA Log'!M:M,"Vignette",'QA Log'!Z:Z,"Rejected",'QA Log'!L:L,"*Vignette [7] First ANC Visit*"),
    COUNTIFS('QA Log'!D:D,A527,'QA Log'!M:M,"Vignette",'QA Log'!Z:Z,"Rejected",'QA Log'!L:L,"*Vignette [8] Birth Spacing/ Family Planning :  FP Counselling*"),
    COUNTIFS('QA Log'!D:D,A527,'QA Log'!M:M,"Vignette",'QA Log'!Z:Z,"Rejected",'QA Log'!L:L,"*Vignette [9] Birth Spacing: Change FP method to Injectable*"),
    COUNTIFS('QA Log'!D:D,A527,'QA Log'!M:M,"Vignette",'QA Log'!Z:Z,"Rejected",'QA Log'!L:L,"*Vignette [10] Post Partum Haemorrhage - Atonic Uterus at Health Centre*")
  )
)</f>
        <v/>
      </c>
      <c r="BN527" s="107" t="str">
        <f t="shared" si="63"/>
        <v/>
      </c>
      <c r="BO527" s="103" t="str">
        <f t="shared" si="64"/>
        <v/>
      </c>
      <c r="BP527" s="102" t="str">
        <f>IF(A527="","",SUM(
COUNTIFS('QA Log'!D:D,A527,'QA Log'!M:M,"Vignette",'QA Log'!L:L,"*Exit Interview 1*"),
COUNTIFS('QA Log'!D:D,A527,'QA Log'!M:M,"Vignette",'QA Log'!L:L,"*Exit Interview 2*"),
)
)</f>
        <v/>
      </c>
      <c r="BQ527" s="102" t="str">
        <f>IF(
  A527="","",
  SUM(
    COUNTIFS('QA Log'!D:D,A527,'QA Log'!M:M,"Vignette",'QA Log'!Z:Z,"Approved",'QA Log'!L:L,"*Exit Interview 1*"),
    COUNTIFS('QA Log'!D:D,A527,'QA Log'!M:M,"Vignette",'QA Log'!Z:Z,"Approved",'QA Log'!L:L,"*Exit Interview 2*")
  )
)</f>
        <v/>
      </c>
      <c r="BR527" s="105" t="str">
        <f>IF(A527&lt;&gt;"",COUNTIFS('QA Log'!D:D,A527,'QA Log'!M:M,"Vignette",'QA Log'!L:L,"Exit Interview 1",'QA Log'!Z:Z,"Approved"),"")</f>
        <v/>
      </c>
      <c r="BS527" s="105" t="str">
        <f>IF(A527&lt;&gt;"",COUNTIFS('QA Log'!D:D,A527,'QA Log'!M:M,"Vignette",'QA Log'!L:L,"Exit Interview 2",'QA Log'!Z:Z,"Approved"),"")</f>
        <v/>
      </c>
      <c r="BT527" s="102" t="str">
        <f>IF(
  A527="","",
  SUM(
    COUNTIFS('QA Log'!D:D,A527,'QA Log'!M:M,"Vignette",'QA Log'!Z:Z,"Rejected",'QA Log'!L:L,"*Exit Interview 1*"),
    COUNTIFS('QA Log'!D:D,A527,'QA Log'!M:M,"Vignette",'QA Log'!Z:Z,"Rejected",'QA Log'!L:L,"*Exit Interview 2*")
  )
)</f>
        <v/>
      </c>
      <c r="BU527" s="107" t="str">
        <f t="shared" si="65"/>
        <v/>
      </c>
      <c r="BV527" s="102" t="str">
        <f t="shared" si="66"/>
        <v/>
      </c>
      <c r="BW527" s="102" t="str">
        <f t="shared" si="67"/>
        <v/>
      </c>
      <c r="BX527" s="102" t="str">
        <f t="shared" si="68"/>
        <v/>
      </c>
      <c r="BY527" s="102" t="str">
        <f t="shared" si="69"/>
        <v/>
      </c>
      <c r="BZ527" s="107" t="str">
        <f t="shared" si="70"/>
        <v/>
      </c>
      <c r="CA527" s="108" t="str">
        <f t="shared" si="71"/>
        <v/>
      </c>
      <c r="CB527" s="108" t="str">
        <f t="shared" si="72"/>
        <v/>
      </c>
      <c r="CC527" s="109" t="str">
        <f t="shared" si="73"/>
        <v/>
      </c>
      <c r="CD527" s="108" t="str">
        <f t="shared" si="74"/>
        <v/>
      </c>
      <c r="CE527" s="108" t="str">
        <f t="shared" si="75"/>
        <v/>
      </c>
      <c r="CF527" s="109" t="str">
        <f t="shared" si="76"/>
        <v/>
      </c>
      <c r="CG527" s="110" t="str">
        <f t="shared" si="77"/>
        <v/>
      </c>
      <c r="CH527" s="111"/>
    </row>
    <row r="528" spans="1:86" ht="12.75">
      <c r="A528" s="101"/>
      <c r="B528" s="102" t="e">
        <f t="array" aca="1" ref="B528" ca="1">_xludf.XLOOKUP(A528,'QA Log'!D:D,'QA Log'!E:E,"")</f>
        <v>#NAME?</v>
      </c>
      <c r="C528" s="102" t="e">
        <f t="array" aca="1" ref="C528" ca="1">_xludf.XLOOKUP(A528,'QA Log'!D:D,'QA Log'!F:F,"")</f>
        <v>#NAME?</v>
      </c>
      <c r="D528" s="102" t="e">
        <f t="array" aca="1" ref="D528" ca="1">_xludf.XLOOKUP(A528,'QA Log'!D:D,'QA Log'!H:H,"")</f>
        <v>#NAME?</v>
      </c>
      <c r="E528" s="102" t="e">
        <f t="array" aca="1" ref="E528" ca="1">_xludf.XLOOKUP(A528,'QA Log'!D:D,'QA Log'!G:G,"")</f>
        <v>#NAME?</v>
      </c>
      <c r="F528" s="103"/>
      <c r="G528" s="104"/>
      <c r="H528" s="104"/>
      <c r="I528" s="103" t="str">
        <f t="shared" si="52"/>
        <v/>
      </c>
      <c r="J528" s="102" t="str">
        <f>IF(A528="","",SUM(
COUNTIFS('QA Log'!D:D,A528,'QA Log'!M:M,"QQC",'QA Log'!L:L,"*1. General Management*"),
COUNTIFS('QA Log'!D:D,A528,'QA Log'!M:M,"QQC",'QA Log'!L:L,"*3. Curative Consultation (OPD)*"),
COUNTIFS('QA Log'!D:D,A528,'QA Log'!M:M,"QQC",'QA Log'!L:L,"*5. Laboratory*"),
COUNTIFS('QA Log'!D:D,A528,'QA Log'!M:M,"QQC",'QA Log'!L:L,"*6. Essential Medicine Management*"),
COUNTIFS('QA Log'!D:D,A528,'QA Log'!M:M,"QQC",'QA Log'!L:L,"*7. Tracer Medicine*"),
COUNTIFS('QA Log'!D:D,A528,'QA Log'!M:M,"QQC",'QA Log'!L:L,"*11. Additional Questions*")))</f>
        <v/>
      </c>
      <c r="K528" s="102" t="str">
        <f>IF(A528="","",SUM(
COUNTIFS('QA Log'!D:D,A528,'QA Log'!M:M,"QQC",'QA Log'!Z:Z,"Approved",'QA Log'!L:L,"*1. General Management*"),
COUNTIFS('QA Log'!D:D,A528,'QA Log'!M:M,"QQC",'QA Log'!Z:Z,"Approved",'QA Log'!L:L,"*3. Curative Consultation (OPD)*"),
COUNTIFS('QA Log'!D:D,A528,'QA Log'!M:M,"QQC",'QA Log'!Z:Z,"Approved",'QA Log'!L:L,"*5. Laboratory*"),
COUNTIFS('QA Log'!D:D,A528,'QA Log'!M:M,"QQC",'QA Log'!Z:Z,"Approved",'QA Log'!L:L,"*6. Essential Medicine Management*"),
COUNTIFS('QA Log'!D:D,A528,'QA Log'!M:M,"QQC",'QA Log'!Z:Z,"Approved",'QA Log'!L:L,"*7. Tracer Medicine*"),
COUNTIFS('QA Log'!D:D,A528,'QA Log'!M:M,"QQC",'QA Log'!Z:Z,"Approved",'QA Log'!L:L,"*11. Additional Questions*")))</f>
        <v/>
      </c>
      <c r="L528" s="102" t="str">
        <f>IF(A528&lt;&gt;"",COUNTIFS('QA Log'!D:D,A528,'QA Log'!M:M,"QQC",'QA Log'!L:L,"1. General Management",'QA Log'!Z:Z,"Approved"),"")</f>
        <v/>
      </c>
      <c r="M528" s="102" t="str">
        <f>IF(A528&lt;&gt;"",COUNTIFS('QA Log'!D:D,A528,'QA Log'!M:M,"QQC",'QA Log'!L:L,"3. Curative Consultation (OPD)",'QA Log'!Z:Z,"Approved"),"")</f>
        <v/>
      </c>
      <c r="N528" s="102" t="str">
        <f>IF(A528&lt;&gt;"",COUNTIFS('QA Log'!D:D,A528,'QA Log'!M:M,"QQC",'QA Log'!L:L,"5. Laboratory",'QA Log'!Z:Z,"Approved"),"")</f>
        <v/>
      </c>
      <c r="O528" s="102" t="str">
        <f>IF(A528&lt;&gt;"",COUNTIFS('QA Log'!D:D,A528,'QA Log'!M:M,"QQC",'QA Log'!L:L,"6. Essential Medicine Management",'QA Log'!Z:Z,"Approved"),"")</f>
        <v/>
      </c>
      <c r="P528" s="102" t="str">
        <f>IF(A528&lt;&gt;"",COUNTIFS('QA Log'!D:D,A528,'QA Log'!M:M,"QQC",'QA Log'!L:L,"7. Tracer Medicine",'QA Log'!Z:Z,"Approved"),"")</f>
        <v/>
      </c>
      <c r="Q528" s="102" t="str">
        <f>IF(A528&lt;&gt;"",COUNTIFS('QA Log'!D:D,A528,'QA Log'!M:M,"QQC",'QA Log'!L:L,"11. Additional Questions",'QA Log'!Z:Z,"Approved"),"")</f>
        <v/>
      </c>
      <c r="R528" s="102" t="str">
        <f>IF(A528="","",SUM(
COUNTIFS('QA Log'!D:D,A528,'QA Log'!M:M,"QQC",'QA Log'!Z:Z,"Rejected",'QA Log'!L:L,"*8. Maternity*"),
COUNTIFS('QA Log'!D:D,A528,'QA Log'!M:M,"QQC",'QA Log'!Z:Z,"Rejected",'QA Log'!L:L,"*EPI*"),
COUNTIFS('QA Log'!D:D,A528,'QA Log'!M:M,"QQC",'QA Log'!Z:Z,"Rejected",'QA Log'!L:L,"*10. Antenatal Care (ANC)*"),
COUNTIFS('QA Log'!D:D,A528,'QA Log'!M:M,"QQC",'QA Log'!Z:Z,"Rejected",'QA Log'!L:L,"*2. Hygiene and Sterilization*"),
COUNTIFS('QA Log'!D:D,A528,'QA Log'!M:M,"QQC",'QA Log'!Z:Z,"Rejected",'QA Log'!L:L,"*Family Planning*")))</f>
        <v/>
      </c>
      <c r="S528" s="106" t="str">
        <f t="shared" si="53"/>
        <v/>
      </c>
      <c r="T528" s="102" t="str">
        <f t="shared" si="54"/>
        <v/>
      </c>
      <c r="U528" s="102" t="str">
        <f>IF(A528="","",
SUM(
COUNTIFS('QA Log'!D:D,A528,'QA Log'!M:M,"QQC",'QA Log'!L:L,"*8. Maternity*"),
COUNTIFS('QA Log'!D:D,A528,'QA Log'!M:M,"QQC",'QA Log'!L:L,"*9. EPI and Pre-school Consultation*"),
COUNTIFS('QA Log'!D:D,A528,'QA Log'!M:M,"QQC",'QA Log'!L:L,"*10. Antenatal Care (ANC)*"),
COUNTIFS('QA Log'!D:D,A528,'QA Log'!M:M,"QQC",'QA Log'!L:L,"*2. Hygiene and Sterilization*"),
COUNTIFS('QA Log'!D:D,A528,'QA Log'!M:M,"QQC",'QA Log'!L:L,"*4. Family Planning*")
))</f>
        <v/>
      </c>
      <c r="V528" s="102" t="str">
        <f>IF(A528="","",
SUM(
COUNTIFS('QA Log'!D:D,A528,'QA Log'!M:M,"QQC",'QA Log'!Z:Z,"Approved",'QA Log'!L:L,"*8. Maternity*"),
COUNTIFS('QA Log'!D:D,A528,'QA Log'!M:M,"QQC",'QA Log'!Z:Z,"Approved",'QA Log'!L:L,"*9. EPI and Pre-school Consultation*"),
COUNTIFS('QA Log'!D:D,A528,'QA Log'!M:M,"QQC",'QA Log'!Z:Z,"Approved",'QA Log'!L:L,"*10. Antenatal Care (ANC)*"),
COUNTIFS('QA Log'!D:D,A528,'QA Log'!M:M,"QQC",'QA Log'!Z:Z,"Approved",'QA Log'!L:L,"*2. Hygiene and Sterilization*"),
COUNTIFS('QA Log'!D:D,A528,'QA Log'!M:M,"QQC",'QA Log'!Z:Z,"Approved",'QA Log'!L:L,"*4. Family Planning*")
))</f>
        <v/>
      </c>
      <c r="W528" s="102" t="str">
        <f>IF(A528&lt;&gt;"",COUNTIFS('QA Log'!D:D,A528,'QA Log'!M:M,"QQC",'QA Log'!L:L,"8. Maternity",'QA Log'!Z:Z,"Approved"),"")</f>
        <v/>
      </c>
      <c r="X528" s="105" t="str">
        <f>IF(A528&lt;&gt;"",COUNTIFS('QA Log'!D:D,A528,'QA Log'!M:M,"QQC",'QA Log'!L:L,"9. EPI and Pre-school Consultation",'QA Log'!Z:Z,"Approved"),"")</f>
        <v/>
      </c>
      <c r="Y528" s="102" t="str">
        <f>IF(A528&lt;&gt;"",COUNTIFS('QA Log'!D:D,A528,'QA Log'!M:M,"QQC",'QA Log'!L:L,"10. Antenatal Care (ANC)",'QA Log'!Z:Z,"Approved"),"")</f>
        <v/>
      </c>
      <c r="Z528" s="102" t="str">
        <f>IF(A528&lt;&gt;"",COUNTIFS('QA Log'!D:D,A528,'QA Log'!M:M,"QQC",'QA Log'!L:L,"2. Hygiene and Sterilization",'QA Log'!Z:Z,"Approved"),"")</f>
        <v/>
      </c>
      <c r="AA528" s="105" t="str">
        <f>IF(A528&lt;&gt;"",COUNTIFS('QA Log'!D:D,A528,'QA Log'!M:M,"QQC",'QA Log'!L:L,"4. Family Planning",'QA Log'!Z:Z,"Approved"),"")</f>
        <v/>
      </c>
      <c r="AB528" s="102" t="str">
        <f>IF(A528="","",
SUM(
COUNTIFS('QA Log'!D:D,A528,'QA Log'!M:M,"QQC",'QA Log'!Z:Z,"Rejected",'QA Log'!L:L,"*8. Maternity*"),
COUNTIFS('QA Log'!D:D,A528,'QA Log'!M:M,"QQC",'QA Log'!Z:Z,"Rejected",'QA Log'!L:L,"*9. EPI and Pre-school Consultation*"),
COUNTIFS('QA Log'!D:D,A528,'QA Log'!M:M,"QQC",'QA Log'!Z:Z,"Rejected",'QA Log'!L:L,"*10. Antenatal Care (ANC)*"),
COUNTIFS('QA Log'!D:D,A528,'QA Log'!M:M,"QQC",'QA Log'!Z:Z,"Rejected",'QA Log'!L:L,"*2. Hygiene and Sterilization*"),
COUNTIFS('QA Log'!D:D,A528,'QA Log'!M:M,"QQC",'QA Log'!Z:Z,"Rejected",'QA Log'!L:L,"*4. Family Planning*")
))</f>
        <v/>
      </c>
      <c r="AC528" s="102" t="str">
        <f t="shared" si="55"/>
        <v/>
      </c>
      <c r="AD528" s="103" t="str">
        <f t="shared" si="56"/>
        <v/>
      </c>
      <c r="AE528" s="102" t="str">
        <f>IF(A528="","",
SUM(
COUNTIFS('QA Log'!D:D,A528,'QA Log'!M:M,"Data Verification",'QA Log'!L:L,"*Medicine (section 2)*"),
COUNTIFS('QA Log'!D:D,A528,'QA Log'!M:M,"Data Verification",'QA Log'!L:L,"*Lab Testing Availability*"),
COUNTIFS('QA Log'!D:D,A528,'QA Log'!M:M,"Data Verification",'QA Log'!L:L,"*Other than P4P (section 6)*"),
COUNTIFS('QA Log'!D:D,A528,'QA Log'!M:M,"Data Verification",'QA Log'!L:L,"*Hospital Governance*")
))</f>
        <v/>
      </c>
      <c r="AF528" s="102" t="str">
        <f>IF(A528="","",
SUM(
COUNTIFS('QA Log'!D:D,A528,'QA Log'!M:M,"Data Verification",'QA Log'!Z:Z,"Approved",'QA Log'!L:L,"*Medicine (section 2)*"),
COUNTIFS('QA Log'!D:D,A528,'QA Log'!M:M,"Data Verification",'QA Log'!Z:Z,"Approved",'QA Log'!L:L,"*Lab Testing Availability*"),
COUNTIFS('QA Log'!D:D,A528,'QA Log'!M:M,"Data Verification",'QA Log'!Z:Z,"Approved",'QA Log'!L:L,"*Other than P4P (section 6)*"),
COUNTIFS('QA Log'!D:D,A528,'QA Log'!M:M,"Data Verification",'QA Log'!Z:Z,"Approved",'QA Log'!L:L,"*Hospital Governance*")
))</f>
        <v/>
      </c>
      <c r="AG528" s="105" t="str">
        <f>IF(A528&lt;&gt;"",COUNTIFS('QA Log'!D:D,A528,'QA Log'!M:M,"Data Verification",'QA Log'!L:L,"Medicine (section 2)",'QA Log'!Z:Z,"Approved"),"")</f>
        <v/>
      </c>
      <c r="AH528" s="105" t="str">
        <f>IF(A528&lt;&gt;"",COUNTIFS('QA Log'!D:D,A528,'QA Log'!M:M,"Data Verification",'QA Log'!L:L,"Lab Testing Availability",'QA Log'!Z:Z,"Approved"),"")</f>
        <v/>
      </c>
      <c r="AI528" s="105" t="str">
        <f>IF(A528&lt;&gt;"",COUNTIFS('QA Log'!D:D,A528,'QA Log'!M:M,"Data Verification",'QA Log'!L:L,"Other than P4P (section 6)",'QA Log'!Z:Z,"Approved"),"")</f>
        <v/>
      </c>
      <c r="AJ528" s="105" t="str">
        <f>IF(A528&lt;&gt;"",COUNTIFS('QA Log'!D:D,A528,'QA Log'!M:M,"Data Verification",'QA Log'!L:L,"Hospital Governance",'QA Log'!Z:Z,"Approved"),"")</f>
        <v/>
      </c>
      <c r="AK528" s="102" t="str">
        <f>IF(A528="","",
SUM(
COUNTIFS('QA Log'!D:D,A528,'QA Log'!M:M,"Data Verification",'QA Log'!Z:Z,"Rejected",'QA Log'!L:L,"*Medicine (section 2)*"),
COUNTIFS('QA Log'!D:D,A528,'QA Log'!M:M,"Data Verification",'QA Log'!Z:Z,"Rejected",'QA Log'!L:L,"*Lab Testing Availability*"),
COUNTIFS('QA Log'!D:D,A528,'QA Log'!M:M,"Data Verification",'QA Log'!Z:Z,"Rejected",'QA Log'!L:L,"*Other than P4P (section 6)*"),
COUNTIFS('QA Log'!D:D,A528,'QA Log'!M:M,"Data Verification",'QA Log'!Z:Z,"Rejected",'QA Log'!L:L,"*Hospital Governance*")
))</f>
        <v/>
      </c>
      <c r="AL528" s="106" t="str">
        <f t="shared" si="57"/>
        <v/>
      </c>
      <c r="AM528" s="102" t="str">
        <f t="shared" si="58"/>
        <v/>
      </c>
      <c r="AN528" s="102" t="str">
        <f>IF(A528="","",
SUM(
COUNTIFS('QA Log'!D:D,A528,'QA Log'!M:M,"Data Verification",'QA Log'!L:L,"*Personnel (section 1)*"),
COUNTIFS('QA Log'!D:D,A528,'QA Log'!M:M,"Data Verification",'QA Log'!L:L,"*Consumable (section 3)*"),
COUNTIFS('QA Log'!D:D,A528,'QA Log'!M:M,"Data Verification",'QA Log'!L:L,"*Equipments (section 4)*")
))</f>
        <v/>
      </c>
      <c r="AO528" s="102" t="str">
        <f>IF(A528="","",
SUM(
COUNTIFS('QA Log'!D:D,A528,'QA Log'!M:M,"Data Verification",'QA Log'!Z:Z,"Approved",'QA Log'!L:L,"*Personnel (section 1)*"),
COUNTIFS('QA Log'!D:D,A528,'QA Log'!M:M,"Data Verification",'QA Log'!Z:Z,"Approved",'QA Log'!L:L,"*Consumable (section 3)*"),
COUNTIFS('QA Log'!D:D,A528,'QA Log'!M:M,"Data Verification",'QA Log'!Z:Z,"Approved",'QA Log'!L:L,"*Equipments (section 4)*")
))</f>
        <v/>
      </c>
      <c r="AP528" s="105" t="str">
        <f>IF(A528&lt;&gt;"",COUNTIFS('QA Log'!D:D,A528,'QA Log'!M:M,"Data Verification",'QA Log'!L:L,"Personnel (section 1)",'QA Log'!Z:Z,"Approved"),"")</f>
        <v/>
      </c>
      <c r="AQ528" s="105" t="str">
        <f>IF(A528&lt;&gt;"",COUNTIFS('QA Log'!D:D,A528,'QA Log'!M:M,"Data Verification",'QA Log'!L:L,"Consumable (section 3)",'QA Log'!Z:Z,"Approved"),"")</f>
        <v/>
      </c>
      <c r="AR528" s="105" t="str">
        <f>IF(A528&lt;&gt;"",COUNTIFS('QA Log'!D:D,A528,'QA Log'!M:M,"Data Verification",'QA Log'!L:L,"Equipments (section 4)",'QA Log'!Z:Z,"Approved"),"")</f>
        <v/>
      </c>
      <c r="AS528" s="102" t="str">
        <f>IF(A528="","",
SUM(
COUNTIFS('QA Log'!D:D,A528,'QA Log'!M:M,"Data Verification",'QA Log'!Z:Z,"Rejected",'QA Log'!L:L,"*Personnel (section 1)*"),
COUNTIFS('QA Log'!D:D,A528,'QA Log'!M:M,"Data Verification",'QA Log'!Z:Z,"Rejected",'QA Log'!L:L,"*Consumable (section 3)*"),
COUNTIFS('QA Log'!D:D,A528,'QA Log'!M:M,"Data Verification",'QA Log'!Z:Z,"Rejected",'QA Log'!L:L,"*Equipments (section 4)*")
))</f>
        <v/>
      </c>
      <c r="AT528" s="102" t="str">
        <f t="shared" si="59"/>
        <v/>
      </c>
      <c r="AU528" s="103" t="str">
        <f t="shared" si="60"/>
        <v/>
      </c>
      <c r="AV528" s="102" t="str">
        <f>IF(A528="","",SUM(
COUNTIFS('QA Log'!D:D,A528,'QA Log'!M:M,"Vignette",'QA Log'!L:L,"*Vignette [1] Respiratory Infection: Pneumonia*"),
COUNTIFS('QA Log'!D:D,A528,'QA Log'!M:M,"Vignette",'QA Log'!L:L,"*Vignette [2]: Diarrhea with Cat B dehydration*"),
COUNTIFS('QA Log'!D:D,A528,'QA Log'!M:M,"Vignette",'QA Log'!L:L,"*Vignette [3] Growth Monitoring and Promotion*"),
COUNTIFS('QA Log'!D:D,A528,'QA Log'!M:M,"Vignette",'QA Log'!L:L,"*Vignette [4]: The management of presumptive TB patient*")
)
)</f>
        <v/>
      </c>
      <c r="AW528" s="102" t="str">
        <f>IF(
  A528="","",
  SUM(
    COUNTIFS('QA Log'!D:D,A528,'QA Log'!M:M,"Vignette",'QA Log'!Z:Z,"Approved",'QA Log'!L:L,"*Vignette [1] Respiratory Infection: Pneumonia*"),
    COUNTIFS('QA Log'!D:D,A528,'QA Log'!M:M,"Vignette",'QA Log'!Z:Z,"Approved",'QA Log'!L:L,"*Vignette [2]: Diarrhea with Cat B dehydration*"),
    COUNTIFS('QA Log'!D:D,A528,'QA Log'!M:M,"Vignette",'QA Log'!Z:Z,"Approved",'QA Log'!L:L,"*Vignette [3] Growth Monitoring and Promotion*"),
    COUNTIFS('QA Log'!D:D,A528,'QA Log'!M:M,"Vignette",'QA Log'!Z:Z,"Approved",'QA Log'!L:L,"*Vignette [4]: The management of presumptive TB patient*")
  )
)</f>
        <v/>
      </c>
      <c r="AX528" s="105" t="str">
        <f>IF(A528&lt;&gt;"",COUNTIFS('QA Log'!D:D,A528,'QA Log'!M:M,"Vignette",'QA Log'!L:L,"Vignette [1] Respiratory Infection: Pneumonia",'QA Log'!Z:Z,"Approved"),"")</f>
        <v/>
      </c>
      <c r="AY528" s="105" t="str">
        <f>IF(A528&lt;&gt;"",COUNTIFS('QA Log'!D:D,A528,'QA Log'!M:M,"Vignette",'QA Log'!L:L,"Vignette [2]: Diarrhea with Cat B dehydration",'QA Log'!Z:Z,"Approved"),"")</f>
        <v/>
      </c>
      <c r="AZ528" s="105" t="str">
        <f>IF(A528&lt;&gt;"",COUNTIFS('QA Log'!D:D,A528,'QA Log'!M:M,"Vignette",'QA Log'!L:L,"Vignette [3] Growth Monitoring and Promotion",'QA Log'!Z:Z,"Approved"),"")</f>
        <v/>
      </c>
      <c r="BA528" s="105" t="str">
        <f>IF(A528&lt;&gt;"",COUNTIFS('QA Log'!D:D,A528,'QA Log'!M:M,"Vignette",'QA Log'!L:L,"Vignette [4]: The management of presumptive TB patient",'QA Log'!Z:Z,"Approved"),"")</f>
        <v/>
      </c>
      <c r="BB528" s="102" t="str">
        <f>IF(A528="","",
  SUM(
    COUNTIFS('QA Log'!D:D,A528,'QA Log'!M:M,"Vignette",'QA Log'!Z:Z,"Rejected",'QA Log'!L:L,"*Vignette [1] Respiratory Infection: Pneumonia*"),
    COUNTIFS('QA Log'!D:D,A528,'QA Log'!M:M,"Vignette",'QA Log'!Z:Z,"Rejected",'QA Log'!L:L,"*Vignette [2]: Diarrhea with Cat B dehydration*"),
    COUNTIFS('QA Log'!D:D,A528,'QA Log'!M:M,"Vignette",'QA Log'!Z:Z,"Rejected",'QA Log'!L:L,"*Vignette [3] Growth Monitoring and Promotion*"),
    COUNTIFS('QA Log'!D:D,A528,'QA Log'!M:M,"Vignette",'QA Log'!Z:Z,"Rejected",'QA Log'!L:L,"*Vignette [4]: The management of presumptive TB patient*")
  )
)</f>
        <v/>
      </c>
      <c r="BC528" s="107" t="str">
        <f t="shared" si="61"/>
        <v/>
      </c>
      <c r="BD528" s="103" t="str">
        <f t="shared" si="62"/>
        <v/>
      </c>
      <c r="BE528" s="102" t="str">
        <f>IF(A528="","",SUM(
COUNTIFS('QA Log'!D:D,A528,'QA Log'!M:M,"Vignette",'QA Log'!L:L,"*Vignette [5] Labor*"),
COUNTIFS('QA Log'!D:D,A528,'QA Log'!M:M,"Vignette",'QA Log'!L:L,"*Vignette [6] PNC pre Discharge*"),
COUNTIFS('QA Log'!D:D,A528,'QA Log'!M:M,"Vignette",'QA Log'!L:L,"*Vignette [7] First ANC Visit*"),
COUNTIFS('QA Log'!D:D,A528,'QA Log'!M:M,"Vignette",'QA Log'!L:L,"*Vignette [8] Birth Spacing/ Family Planning :  FP Counselling*"),
COUNTIFS('QA Log'!D:D,A528,'QA Log'!M:M,"Vignette",'QA Log'!L:L,"*Vignette [9] Birth Spacing: Change FP method to Injectable*"),
COUNTIFS('QA Log'!D:D,A528,'QA Log'!M:M,"Vignette",'QA Log'!L:L,"*Vignette [10] Post Partum Haemorrhage - Atonic Uterus at Health Centre*"),
)
)</f>
        <v/>
      </c>
      <c r="BF528" s="102" t="str">
        <f>IF(A528="","",
  SUM(
    COUNTIFS('QA Log'!D:D,A528,'QA Log'!M:M,"Vignette",'QA Log'!Z:Z,"Approved",'QA Log'!L:L,"*Vignette [5] Labor*"),
    COUNTIFS('QA Log'!D:D,A528,'QA Log'!M:M,"Vignette",'QA Log'!Z:Z,"Approved",'QA Log'!L:L,"*Vignette [6] PNC pre Discharge*"),
    COUNTIFS('QA Log'!D:D,A528,'QA Log'!M:M,"Vignette",'QA Log'!Z:Z,"Approved",'QA Log'!L:L,"*Vignette [7] First ANC Visit*"),
    COUNTIFS('QA Log'!D:D,A528,'QA Log'!M:M,"Vignette",'QA Log'!Z:Z,"Approved",'QA Log'!L:L,"*Vignette [8] Birth Spacing/ Family Planning :  FP Counselling*"),
    COUNTIFS('QA Log'!D:D,A528,'QA Log'!M:M,"Vignette",'QA Log'!Z:Z,"Approved",'QA Log'!L:L,"*Vignette [9] Birth Spacing: Change FP method to Injectable*"),
    COUNTIFS('QA Log'!D:D,A528,'QA Log'!M:M,"Vignette",'QA Log'!Z:Z,"Approved",'QA Log'!L:L,"*Vignette [10] Post Partum Haemorrhage - Atonic Uterus at Health Centre*")
  )
)</f>
        <v/>
      </c>
      <c r="BG528" s="105" t="str">
        <f>IF(A528&lt;&gt;"",COUNTIFS('QA Log'!D:D,A528,'QA Log'!M:M,"Vignette",'QA Log'!L:L,"Vignette [5] Labor",'QA Log'!Z:Z,"Approved"),"")</f>
        <v/>
      </c>
      <c r="BH528" s="105" t="str">
        <f>IF(A528&lt;&gt;"",COUNTIFS('QA Log'!D:D,A528,'QA Log'!M:M,"Vignette",'QA Log'!L:L,"Vignette [6] PNC pre Discharge",'QA Log'!Z:Z,"Approved"),"")</f>
        <v/>
      </c>
      <c r="BI528" s="105" t="str">
        <f>IF(A528&lt;&gt;"",COUNTIFS('QA Log'!D:D,A528,'QA Log'!M:M,"Vignette",'QA Log'!L:L,"Vignette [7] First ANC Visit",'QA Log'!Z:Z,"Approved"),"")</f>
        <v/>
      </c>
      <c r="BJ528" s="105" t="str">
        <f>IF(A528&lt;&gt;"",COUNTIFS('QA Log'!D:D,A528,'QA Log'!M:M,"Vignette",'QA Log'!L:L,"Vignette [8] Birth Spacing/ Family Planning :  FP Counselling",'QA Log'!Z:Z,"Approved"),"")</f>
        <v/>
      </c>
      <c r="BK528" s="105" t="str">
        <f>IF(A528&lt;&gt;"",COUNTIFS('QA Log'!D:D,A528,'QA Log'!M:M,"Vignette",'QA Log'!L:L,"Vignette [9] Birth Spacing: Change FP method to Injectable",'QA Log'!Z:Z,"Approved"),"")</f>
        <v/>
      </c>
      <c r="BL528" s="105" t="str">
        <f>IF(A528&lt;&gt;"",COUNTIFS('QA Log'!D:D,A528,'QA Log'!M:M,"Vignette",'QA Log'!L:L,"Vignette [10] Post Partum Haemorrhage - Atonic Uterus at Health Centre",'QA Log'!Z:Z,"Approved"),"")</f>
        <v/>
      </c>
      <c r="BM528" s="102" t="str">
        <f>IF(A528="","",SUM(
    COUNTIFS('QA Log'!D:D,A528,'QA Log'!M:M,"Vignette",'QA Log'!Z:Z,"Rejected",'QA Log'!L:L,"*Vignette [5] Labor*"),
    COUNTIFS('QA Log'!D:D,A528,'QA Log'!M:M,"Vignette",'QA Log'!Z:Z,"Rejected",'QA Log'!L:L,"*Vignette [6] PNC pre Discharge*"),
    COUNTIFS('QA Log'!D:D,A528,'QA Log'!M:M,"Vignette",'QA Log'!Z:Z,"Rejected",'QA Log'!L:L,"*Vignette [7] First ANC Visit*"),
    COUNTIFS('QA Log'!D:D,A528,'QA Log'!M:M,"Vignette",'QA Log'!Z:Z,"Rejected",'QA Log'!L:L,"*Vignette [8] Birth Spacing/ Family Planning :  FP Counselling*"),
    COUNTIFS('QA Log'!D:D,A528,'QA Log'!M:M,"Vignette",'QA Log'!Z:Z,"Rejected",'QA Log'!L:L,"*Vignette [9] Birth Spacing: Change FP method to Injectable*"),
    COUNTIFS('QA Log'!D:D,A528,'QA Log'!M:M,"Vignette",'QA Log'!Z:Z,"Rejected",'QA Log'!L:L,"*Vignette [10] Post Partum Haemorrhage - Atonic Uterus at Health Centre*")
  )
)</f>
        <v/>
      </c>
      <c r="BN528" s="107" t="str">
        <f t="shared" si="63"/>
        <v/>
      </c>
      <c r="BO528" s="103" t="str">
        <f t="shared" si="64"/>
        <v/>
      </c>
      <c r="BP528" s="102" t="str">
        <f>IF(A528="","",SUM(
COUNTIFS('QA Log'!D:D,A528,'QA Log'!M:M,"Vignette",'QA Log'!L:L,"*Exit Interview 1*"),
COUNTIFS('QA Log'!D:D,A528,'QA Log'!M:M,"Vignette",'QA Log'!L:L,"*Exit Interview 2*"),
)
)</f>
        <v/>
      </c>
      <c r="BQ528" s="102" t="str">
        <f>IF(
  A528="","",
  SUM(
    COUNTIFS('QA Log'!D:D,A528,'QA Log'!M:M,"Vignette",'QA Log'!Z:Z,"Approved",'QA Log'!L:L,"*Exit Interview 1*"),
    COUNTIFS('QA Log'!D:D,A528,'QA Log'!M:M,"Vignette",'QA Log'!Z:Z,"Approved",'QA Log'!L:L,"*Exit Interview 2*")
  )
)</f>
        <v/>
      </c>
      <c r="BR528" s="105" t="str">
        <f>IF(A528&lt;&gt;"",COUNTIFS('QA Log'!D:D,A528,'QA Log'!M:M,"Vignette",'QA Log'!L:L,"Exit Interview 1",'QA Log'!Z:Z,"Approved"),"")</f>
        <v/>
      </c>
      <c r="BS528" s="105" t="str">
        <f>IF(A528&lt;&gt;"",COUNTIFS('QA Log'!D:D,A528,'QA Log'!M:M,"Vignette",'QA Log'!L:L,"Exit Interview 2",'QA Log'!Z:Z,"Approved"),"")</f>
        <v/>
      </c>
      <c r="BT528" s="102" t="str">
        <f>IF(
  A528="","",
  SUM(
    COUNTIFS('QA Log'!D:D,A528,'QA Log'!M:M,"Vignette",'QA Log'!Z:Z,"Rejected",'QA Log'!L:L,"*Exit Interview 1*"),
    COUNTIFS('QA Log'!D:D,A528,'QA Log'!M:M,"Vignette",'QA Log'!Z:Z,"Rejected",'QA Log'!L:L,"*Exit Interview 2*")
  )
)</f>
        <v/>
      </c>
      <c r="BU528" s="107" t="str">
        <f t="shared" si="65"/>
        <v/>
      </c>
      <c r="BV528" s="102" t="str">
        <f t="shared" si="66"/>
        <v/>
      </c>
      <c r="BW528" s="102" t="str">
        <f t="shared" si="67"/>
        <v/>
      </c>
      <c r="BX528" s="102" t="str">
        <f t="shared" si="68"/>
        <v/>
      </c>
      <c r="BY528" s="102" t="str">
        <f t="shared" si="69"/>
        <v/>
      </c>
      <c r="BZ528" s="107" t="str">
        <f t="shared" si="70"/>
        <v/>
      </c>
      <c r="CA528" s="108" t="str">
        <f t="shared" si="71"/>
        <v/>
      </c>
      <c r="CB528" s="108" t="str">
        <f t="shared" si="72"/>
        <v/>
      </c>
      <c r="CC528" s="109" t="str">
        <f t="shared" si="73"/>
        <v/>
      </c>
      <c r="CD528" s="108" t="str">
        <f t="shared" si="74"/>
        <v/>
      </c>
      <c r="CE528" s="108" t="str">
        <f t="shared" si="75"/>
        <v/>
      </c>
      <c r="CF528" s="109" t="str">
        <f t="shared" si="76"/>
        <v/>
      </c>
      <c r="CG528" s="110" t="str">
        <f t="shared" si="77"/>
        <v/>
      </c>
      <c r="CH528" s="111"/>
    </row>
    <row r="529" spans="1:86" ht="12.75">
      <c r="A529" s="101"/>
      <c r="B529" s="102" t="e">
        <f t="array" aca="1" ref="B529" ca="1">_xludf.XLOOKUP(A529,'QA Log'!D:D,'QA Log'!E:E,"")</f>
        <v>#NAME?</v>
      </c>
      <c r="C529" s="102" t="e">
        <f t="array" aca="1" ref="C529" ca="1">_xludf.XLOOKUP(A529,'QA Log'!D:D,'QA Log'!F:F,"")</f>
        <v>#NAME?</v>
      </c>
      <c r="D529" s="102" t="e">
        <f t="array" aca="1" ref="D529" ca="1">_xludf.XLOOKUP(A529,'QA Log'!D:D,'QA Log'!H:H,"")</f>
        <v>#NAME?</v>
      </c>
      <c r="E529" s="102" t="e">
        <f t="array" aca="1" ref="E529" ca="1">_xludf.XLOOKUP(A529,'QA Log'!D:D,'QA Log'!G:G,"")</f>
        <v>#NAME?</v>
      </c>
      <c r="F529" s="103"/>
      <c r="G529" s="104"/>
      <c r="H529" s="104"/>
      <c r="I529" s="103" t="str">
        <f t="shared" si="52"/>
        <v/>
      </c>
      <c r="J529" s="102" t="str">
        <f>IF(A529="","",SUM(
COUNTIFS('QA Log'!D:D,A529,'QA Log'!M:M,"QQC",'QA Log'!L:L,"*1. General Management*"),
COUNTIFS('QA Log'!D:D,A529,'QA Log'!M:M,"QQC",'QA Log'!L:L,"*3. Curative Consultation (OPD)*"),
COUNTIFS('QA Log'!D:D,A529,'QA Log'!M:M,"QQC",'QA Log'!L:L,"*5. Laboratory*"),
COUNTIFS('QA Log'!D:D,A529,'QA Log'!M:M,"QQC",'QA Log'!L:L,"*6. Essential Medicine Management*"),
COUNTIFS('QA Log'!D:D,A529,'QA Log'!M:M,"QQC",'QA Log'!L:L,"*7. Tracer Medicine*"),
COUNTIFS('QA Log'!D:D,A529,'QA Log'!M:M,"QQC",'QA Log'!L:L,"*11. Additional Questions*")))</f>
        <v/>
      </c>
      <c r="K529" s="102" t="str">
        <f>IF(A529="","",SUM(
COUNTIFS('QA Log'!D:D,A529,'QA Log'!M:M,"QQC",'QA Log'!Z:Z,"Approved",'QA Log'!L:L,"*1. General Management*"),
COUNTIFS('QA Log'!D:D,A529,'QA Log'!M:M,"QQC",'QA Log'!Z:Z,"Approved",'QA Log'!L:L,"*3. Curative Consultation (OPD)*"),
COUNTIFS('QA Log'!D:D,A529,'QA Log'!M:M,"QQC",'QA Log'!Z:Z,"Approved",'QA Log'!L:L,"*5. Laboratory*"),
COUNTIFS('QA Log'!D:D,A529,'QA Log'!M:M,"QQC",'QA Log'!Z:Z,"Approved",'QA Log'!L:L,"*6. Essential Medicine Management*"),
COUNTIFS('QA Log'!D:D,A529,'QA Log'!M:M,"QQC",'QA Log'!Z:Z,"Approved",'QA Log'!L:L,"*7. Tracer Medicine*"),
COUNTIFS('QA Log'!D:D,A529,'QA Log'!M:M,"QQC",'QA Log'!Z:Z,"Approved",'QA Log'!L:L,"*11. Additional Questions*")))</f>
        <v/>
      </c>
      <c r="L529" s="102" t="str">
        <f>IF(A529&lt;&gt;"",COUNTIFS('QA Log'!D:D,A529,'QA Log'!M:M,"QQC",'QA Log'!L:L,"1. General Management",'QA Log'!Z:Z,"Approved"),"")</f>
        <v/>
      </c>
      <c r="M529" s="102" t="str">
        <f>IF(A529&lt;&gt;"",COUNTIFS('QA Log'!D:D,A529,'QA Log'!M:M,"QQC",'QA Log'!L:L,"3. Curative Consultation (OPD)",'QA Log'!Z:Z,"Approved"),"")</f>
        <v/>
      </c>
      <c r="N529" s="102" t="str">
        <f>IF(A529&lt;&gt;"",COUNTIFS('QA Log'!D:D,A529,'QA Log'!M:M,"QQC",'QA Log'!L:L,"5. Laboratory",'QA Log'!Z:Z,"Approved"),"")</f>
        <v/>
      </c>
      <c r="O529" s="102" t="str">
        <f>IF(A529&lt;&gt;"",COUNTIFS('QA Log'!D:D,A529,'QA Log'!M:M,"QQC",'QA Log'!L:L,"6. Essential Medicine Management",'QA Log'!Z:Z,"Approved"),"")</f>
        <v/>
      </c>
      <c r="P529" s="102" t="str">
        <f>IF(A529&lt;&gt;"",COUNTIFS('QA Log'!D:D,A529,'QA Log'!M:M,"QQC",'QA Log'!L:L,"7. Tracer Medicine",'QA Log'!Z:Z,"Approved"),"")</f>
        <v/>
      </c>
      <c r="Q529" s="102" t="str">
        <f>IF(A529&lt;&gt;"",COUNTIFS('QA Log'!D:D,A529,'QA Log'!M:M,"QQC",'QA Log'!L:L,"11. Additional Questions",'QA Log'!Z:Z,"Approved"),"")</f>
        <v/>
      </c>
      <c r="R529" s="102" t="str">
        <f>IF(A529="","",SUM(
COUNTIFS('QA Log'!D:D,A529,'QA Log'!M:M,"QQC",'QA Log'!Z:Z,"Rejected",'QA Log'!L:L,"*8. Maternity*"),
COUNTIFS('QA Log'!D:D,A529,'QA Log'!M:M,"QQC",'QA Log'!Z:Z,"Rejected",'QA Log'!L:L,"*EPI*"),
COUNTIFS('QA Log'!D:D,A529,'QA Log'!M:M,"QQC",'QA Log'!Z:Z,"Rejected",'QA Log'!L:L,"*10. Antenatal Care (ANC)*"),
COUNTIFS('QA Log'!D:D,A529,'QA Log'!M:M,"QQC",'QA Log'!Z:Z,"Rejected",'QA Log'!L:L,"*2. Hygiene and Sterilization*"),
COUNTIFS('QA Log'!D:D,A529,'QA Log'!M:M,"QQC",'QA Log'!Z:Z,"Rejected",'QA Log'!L:L,"*Family Planning*")))</f>
        <v/>
      </c>
      <c r="S529" s="106" t="str">
        <f t="shared" si="53"/>
        <v/>
      </c>
      <c r="T529" s="102" t="str">
        <f t="shared" si="54"/>
        <v/>
      </c>
      <c r="U529" s="102" t="str">
        <f>IF(A529="","",
SUM(
COUNTIFS('QA Log'!D:D,A529,'QA Log'!M:M,"QQC",'QA Log'!L:L,"*8. Maternity*"),
COUNTIFS('QA Log'!D:D,A529,'QA Log'!M:M,"QQC",'QA Log'!L:L,"*9. EPI and Pre-school Consultation*"),
COUNTIFS('QA Log'!D:D,A529,'QA Log'!M:M,"QQC",'QA Log'!L:L,"*10. Antenatal Care (ANC)*"),
COUNTIFS('QA Log'!D:D,A529,'QA Log'!M:M,"QQC",'QA Log'!L:L,"*2. Hygiene and Sterilization*"),
COUNTIFS('QA Log'!D:D,A529,'QA Log'!M:M,"QQC",'QA Log'!L:L,"*4. Family Planning*")
))</f>
        <v/>
      </c>
      <c r="V529" s="102" t="str">
        <f>IF(A529="","",
SUM(
COUNTIFS('QA Log'!D:D,A529,'QA Log'!M:M,"QQC",'QA Log'!Z:Z,"Approved",'QA Log'!L:L,"*8. Maternity*"),
COUNTIFS('QA Log'!D:D,A529,'QA Log'!M:M,"QQC",'QA Log'!Z:Z,"Approved",'QA Log'!L:L,"*9. EPI and Pre-school Consultation*"),
COUNTIFS('QA Log'!D:D,A529,'QA Log'!M:M,"QQC",'QA Log'!Z:Z,"Approved",'QA Log'!L:L,"*10. Antenatal Care (ANC)*"),
COUNTIFS('QA Log'!D:D,A529,'QA Log'!M:M,"QQC",'QA Log'!Z:Z,"Approved",'QA Log'!L:L,"*2. Hygiene and Sterilization*"),
COUNTIFS('QA Log'!D:D,A529,'QA Log'!M:M,"QQC",'QA Log'!Z:Z,"Approved",'QA Log'!L:L,"*4. Family Planning*")
))</f>
        <v/>
      </c>
      <c r="W529" s="102" t="str">
        <f>IF(A529&lt;&gt;"",COUNTIFS('QA Log'!D:D,A529,'QA Log'!M:M,"QQC",'QA Log'!L:L,"8. Maternity",'QA Log'!Z:Z,"Approved"),"")</f>
        <v/>
      </c>
      <c r="X529" s="105" t="str">
        <f>IF(A529&lt;&gt;"",COUNTIFS('QA Log'!D:D,A529,'QA Log'!M:M,"QQC",'QA Log'!L:L,"9. EPI and Pre-school Consultation",'QA Log'!Z:Z,"Approved"),"")</f>
        <v/>
      </c>
      <c r="Y529" s="102" t="str">
        <f>IF(A529&lt;&gt;"",COUNTIFS('QA Log'!D:D,A529,'QA Log'!M:M,"QQC",'QA Log'!L:L,"10. Antenatal Care (ANC)",'QA Log'!Z:Z,"Approved"),"")</f>
        <v/>
      </c>
      <c r="Z529" s="102" t="str">
        <f>IF(A529&lt;&gt;"",COUNTIFS('QA Log'!D:D,A529,'QA Log'!M:M,"QQC",'QA Log'!L:L,"2. Hygiene and Sterilization",'QA Log'!Z:Z,"Approved"),"")</f>
        <v/>
      </c>
      <c r="AA529" s="105" t="str">
        <f>IF(A529&lt;&gt;"",COUNTIFS('QA Log'!D:D,A529,'QA Log'!M:M,"QQC",'QA Log'!L:L,"4. Family Planning",'QA Log'!Z:Z,"Approved"),"")</f>
        <v/>
      </c>
      <c r="AB529" s="102" t="str">
        <f>IF(A529="","",
SUM(
COUNTIFS('QA Log'!D:D,A529,'QA Log'!M:M,"QQC",'QA Log'!Z:Z,"Rejected",'QA Log'!L:L,"*8. Maternity*"),
COUNTIFS('QA Log'!D:D,A529,'QA Log'!M:M,"QQC",'QA Log'!Z:Z,"Rejected",'QA Log'!L:L,"*9. EPI and Pre-school Consultation*"),
COUNTIFS('QA Log'!D:D,A529,'QA Log'!M:M,"QQC",'QA Log'!Z:Z,"Rejected",'QA Log'!L:L,"*10. Antenatal Care (ANC)*"),
COUNTIFS('QA Log'!D:D,A529,'QA Log'!M:M,"QQC",'QA Log'!Z:Z,"Rejected",'QA Log'!L:L,"*2. Hygiene and Sterilization*"),
COUNTIFS('QA Log'!D:D,A529,'QA Log'!M:M,"QQC",'QA Log'!Z:Z,"Rejected",'QA Log'!L:L,"*4. Family Planning*")
))</f>
        <v/>
      </c>
      <c r="AC529" s="102" t="str">
        <f t="shared" si="55"/>
        <v/>
      </c>
      <c r="AD529" s="103" t="str">
        <f t="shared" si="56"/>
        <v/>
      </c>
      <c r="AE529" s="102" t="str">
        <f>IF(A529="","",
SUM(
COUNTIFS('QA Log'!D:D,A529,'QA Log'!M:M,"Data Verification",'QA Log'!L:L,"*Medicine (section 2)*"),
COUNTIFS('QA Log'!D:D,A529,'QA Log'!M:M,"Data Verification",'QA Log'!L:L,"*Lab Testing Availability*"),
COUNTIFS('QA Log'!D:D,A529,'QA Log'!M:M,"Data Verification",'QA Log'!L:L,"*Other than P4P (section 6)*"),
COUNTIFS('QA Log'!D:D,A529,'QA Log'!M:M,"Data Verification",'QA Log'!L:L,"*Hospital Governance*")
))</f>
        <v/>
      </c>
      <c r="AF529" s="102" t="str">
        <f>IF(A529="","",
SUM(
COUNTIFS('QA Log'!D:D,A529,'QA Log'!M:M,"Data Verification",'QA Log'!Z:Z,"Approved",'QA Log'!L:L,"*Medicine (section 2)*"),
COUNTIFS('QA Log'!D:D,A529,'QA Log'!M:M,"Data Verification",'QA Log'!Z:Z,"Approved",'QA Log'!L:L,"*Lab Testing Availability*"),
COUNTIFS('QA Log'!D:D,A529,'QA Log'!M:M,"Data Verification",'QA Log'!Z:Z,"Approved",'QA Log'!L:L,"*Other than P4P (section 6)*"),
COUNTIFS('QA Log'!D:D,A529,'QA Log'!M:M,"Data Verification",'QA Log'!Z:Z,"Approved",'QA Log'!L:L,"*Hospital Governance*")
))</f>
        <v/>
      </c>
      <c r="AG529" s="105" t="str">
        <f>IF(A529&lt;&gt;"",COUNTIFS('QA Log'!D:D,A529,'QA Log'!M:M,"Data Verification",'QA Log'!L:L,"Medicine (section 2)",'QA Log'!Z:Z,"Approved"),"")</f>
        <v/>
      </c>
      <c r="AH529" s="105" t="str">
        <f>IF(A529&lt;&gt;"",COUNTIFS('QA Log'!D:D,A529,'QA Log'!M:M,"Data Verification",'QA Log'!L:L,"Lab Testing Availability",'QA Log'!Z:Z,"Approved"),"")</f>
        <v/>
      </c>
      <c r="AI529" s="105" t="str">
        <f>IF(A529&lt;&gt;"",COUNTIFS('QA Log'!D:D,A529,'QA Log'!M:M,"Data Verification",'QA Log'!L:L,"Other than P4P (section 6)",'QA Log'!Z:Z,"Approved"),"")</f>
        <v/>
      </c>
      <c r="AJ529" s="105" t="str">
        <f>IF(A529&lt;&gt;"",COUNTIFS('QA Log'!D:D,A529,'QA Log'!M:M,"Data Verification",'QA Log'!L:L,"Hospital Governance",'QA Log'!Z:Z,"Approved"),"")</f>
        <v/>
      </c>
      <c r="AK529" s="102" t="str">
        <f>IF(A529="","",
SUM(
COUNTIFS('QA Log'!D:D,A529,'QA Log'!M:M,"Data Verification",'QA Log'!Z:Z,"Rejected",'QA Log'!L:L,"*Medicine (section 2)*"),
COUNTIFS('QA Log'!D:D,A529,'QA Log'!M:M,"Data Verification",'QA Log'!Z:Z,"Rejected",'QA Log'!L:L,"*Lab Testing Availability*"),
COUNTIFS('QA Log'!D:D,A529,'QA Log'!M:M,"Data Verification",'QA Log'!Z:Z,"Rejected",'QA Log'!L:L,"*Other than P4P (section 6)*"),
COUNTIFS('QA Log'!D:D,A529,'QA Log'!M:M,"Data Verification",'QA Log'!Z:Z,"Rejected",'QA Log'!L:L,"*Hospital Governance*")
))</f>
        <v/>
      </c>
      <c r="AL529" s="106" t="str">
        <f t="shared" si="57"/>
        <v/>
      </c>
      <c r="AM529" s="102" t="str">
        <f t="shared" si="58"/>
        <v/>
      </c>
      <c r="AN529" s="102" t="str">
        <f>IF(A529="","",
SUM(
COUNTIFS('QA Log'!D:D,A529,'QA Log'!M:M,"Data Verification",'QA Log'!L:L,"*Personnel (section 1)*"),
COUNTIFS('QA Log'!D:D,A529,'QA Log'!M:M,"Data Verification",'QA Log'!L:L,"*Consumable (section 3)*"),
COUNTIFS('QA Log'!D:D,A529,'QA Log'!M:M,"Data Verification",'QA Log'!L:L,"*Equipments (section 4)*")
))</f>
        <v/>
      </c>
      <c r="AO529" s="102" t="str">
        <f>IF(A529="","",
SUM(
COUNTIFS('QA Log'!D:D,A529,'QA Log'!M:M,"Data Verification",'QA Log'!Z:Z,"Approved",'QA Log'!L:L,"*Personnel (section 1)*"),
COUNTIFS('QA Log'!D:D,A529,'QA Log'!M:M,"Data Verification",'QA Log'!Z:Z,"Approved",'QA Log'!L:L,"*Consumable (section 3)*"),
COUNTIFS('QA Log'!D:D,A529,'QA Log'!M:M,"Data Verification",'QA Log'!Z:Z,"Approved",'QA Log'!L:L,"*Equipments (section 4)*")
))</f>
        <v/>
      </c>
      <c r="AP529" s="105" t="str">
        <f>IF(A529&lt;&gt;"",COUNTIFS('QA Log'!D:D,A529,'QA Log'!M:M,"Data Verification",'QA Log'!L:L,"Personnel (section 1)",'QA Log'!Z:Z,"Approved"),"")</f>
        <v/>
      </c>
      <c r="AQ529" s="105" t="str">
        <f>IF(A529&lt;&gt;"",COUNTIFS('QA Log'!D:D,A529,'QA Log'!M:M,"Data Verification",'QA Log'!L:L,"Consumable (section 3)",'QA Log'!Z:Z,"Approved"),"")</f>
        <v/>
      </c>
      <c r="AR529" s="105" t="str">
        <f>IF(A529&lt;&gt;"",COUNTIFS('QA Log'!D:D,A529,'QA Log'!M:M,"Data Verification",'QA Log'!L:L,"Equipments (section 4)",'QA Log'!Z:Z,"Approved"),"")</f>
        <v/>
      </c>
      <c r="AS529" s="102" t="str">
        <f>IF(A529="","",
SUM(
COUNTIFS('QA Log'!D:D,A529,'QA Log'!M:M,"Data Verification",'QA Log'!Z:Z,"Rejected",'QA Log'!L:L,"*Personnel (section 1)*"),
COUNTIFS('QA Log'!D:D,A529,'QA Log'!M:M,"Data Verification",'QA Log'!Z:Z,"Rejected",'QA Log'!L:L,"*Consumable (section 3)*"),
COUNTIFS('QA Log'!D:D,A529,'QA Log'!M:M,"Data Verification",'QA Log'!Z:Z,"Rejected",'QA Log'!L:L,"*Equipments (section 4)*")
))</f>
        <v/>
      </c>
      <c r="AT529" s="102" t="str">
        <f t="shared" si="59"/>
        <v/>
      </c>
      <c r="AU529" s="103" t="str">
        <f t="shared" si="60"/>
        <v/>
      </c>
      <c r="AV529" s="102" t="str">
        <f>IF(A529="","",SUM(
COUNTIFS('QA Log'!D:D,A529,'QA Log'!M:M,"Vignette",'QA Log'!L:L,"*Vignette [1] Respiratory Infection: Pneumonia*"),
COUNTIFS('QA Log'!D:D,A529,'QA Log'!M:M,"Vignette",'QA Log'!L:L,"*Vignette [2]: Diarrhea with Cat B dehydration*"),
COUNTIFS('QA Log'!D:D,A529,'QA Log'!M:M,"Vignette",'QA Log'!L:L,"*Vignette [3] Growth Monitoring and Promotion*"),
COUNTIFS('QA Log'!D:D,A529,'QA Log'!M:M,"Vignette",'QA Log'!L:L,"*Vignette [4]: The management of presumptive TB patient*")
)
)</f>
        <v/>
      </c>
      <c r="AW529" s="102" t="str">
        <f>IF(
  A529="","",
  SUM(
    COUNTIFS('QA Log'!D:D,A529,'QA Log'!M:M,"Vignette",'QA Log'!Z:Z,"Approved",'QA Log'!L:L,"*Vignette [1] Respiratory Infection: Pneumonia*"),
    COUNTIFS('QA Log'!D:D,A529,'QA Log'!M:M,"Vignette",'QA Log'!Z:Z,"Approved",'QA Log'!L:L,"*Vignette [2]: Diarrhea with Cat B dehydration*"),
    COUNTIFS('QA Log'!D:D,A529,'QA Log'!M:M,"Vignette",'QA Log'!Z:Z,"Approved",'QA Log'!L:L,"*Vignette [3] Growth Monitoring and Promotion*"),
    COUNTIFS('QA Log'!D:D,A529,'QA Log'!M:M,"Vignette",'QA Log'!Z:Z,"Approved",'QA Log'!L:L,"*Vignette [4]: The management of presumptive TB patient*")
  )
)</f>
        <v/>
      </c>
      <c r="AX529" s="105" t="str">
        <f>IF(A529&lt;&gt;"",COUNTIFS('QA Log'!D:D,A529,'QA Log'!M:M,"Vignette",'QA Log'!L:L,"Vignette [1] Respiratory Infection: Pneumonia",'QA Log'!Z:Z,"Approved"),"")</f>
        <v/>
      </c>
      <c r="AY529" s="105" t="str">
        <f>IF(A529&lt;&gt;"",COUNTIFS('QA Log'!D:D,A529,'QA Log'!M:M,"Vignette",'QA Log'!L:L,"Vignette [2]: Diarrhea with Cat B dehydration",'QA Log'!Z:Z,"Approved"),"")</f>
        <v/>
      </c>
      <c r="AZ529" s="105" t="str">
        <f>IF(A529&lt;&gt;"",COUNTIFS('QA Log'!D:D,A529,'QA Log'!M:M,"Vignette",'QA Log'!L:L,"Vignette [3] Growth Monitoring and Promotion",'QA Log'!Z:Z,"Approved"),"")</f>
        <v/>
      </c>
      <c r="BA529" s="105" t="str">
        <f>IF(A529&lt;&gt;"",COUNTIFS('QA Log'!D:D,A529,'QA Log'!M:M,"Vignette",'QA Log'!L:L,"Vignette [4]: The management of presumptive TB patient",'QA Log'!Z:Z,"Approved"),"")</f>
        <v/>
      </c>
      <c r="BB529" s="102" t="str">
        <f>IF(A529="","",
  SUM(
    COUNTIFS('QA Log'!D:D,A529,'QA Log'!M:M,"Vignette",'QA Log'!Z:Z,"Rejected",'QA Log'!L:L,"*Vignette [1] Respiratory Infection: Pneumonia*"),
    COUNTIFS('QA Log'!D:D,A529,'QA Log'!M:M,"Vignette",'QA Log'!Z:Z,"Rejected",'QA Log'!L:L,"*Vignette [2]: Diarrhea with Cat B dehydration*"),
    COUNTIFS('QA Log'!D:D,A529,'QA Log'!M:M,"Vignette",'QA Log'!Z:Z,"Rejected",'QA Log'!L:L,"*Vignette [3] Growth Monitoring and Promotion*"),
    COUNTIFS('QA Log'!D:D,A529,'QA Log'!M:M,"Vignette",'QA Log'!Z:Z,"Rejected",'QA Log'!L:L,"*Vignette [4]: The management of presumptive TB patient*")
  )
)</f>
        <v/>
      </c>
      <c r="BC529" s="107" t="str">
        <f t="shared" si="61"/>
        <v/>
      </c>
      <c r="BD529" s="103" t="str">
        <f t="shared" si="62"/>
        <v/>
      </c>
      <c r="BE529" s="102" t="str">
        <f>IF(A529="","",SUM(
COUNTIFS('QA Log'!D:D,A529,'QA Log'!M:M,"Vignette",'QA Log'!L:L,"*Vignette [5] Labor*"),
COUNTIFS('QA Log'!D:D,A529,'QA Log'!M:M,"Vignette",'QA Log'!L:L,"*Vignette [6] PNC pre Discharge*"),
COUNTIFS('QA Log'!D:D,A529,'QA Log'!M:M,"Vignette",'QA Log'!L:L,"*Vignette [7] First ANC Visit*"),
COUNTIFS('QA Log'!D:D,A529,'QA Log'!M:M,"Vignette",'QA Log'!L:L,"*Vignette [8] Birth Spacing/ Family Planning :  FP Counselling*"),
COUNTIFS('QA Log'!D:D,A529,'QA Log'!M:M,"Vignette",'QA Log'!L:L,"*Vignette [9] Birth Spacing: Change FP method to Injectable*"),
COUNTIFS('QA Log'!D:D,A529,'QA Log'!M:M,"Vignette",'QA Log'!L:L,"*Vignette [10] Post Partum Haemorrhage - Atonic Uterus at Health Centre*"),
)
)</f>
        <v/>
      </c>
      <c r="BF529" s="102" t="str">
        <f>IF(A529="","",
  SUM(
    COUNTIFS('QA Log'!D:D,A529,'QA Log'!M:M,"Vignette",'QA Log'!Z:Z,"Approved",'QA Log'!L:L,"*Vignette [5] Labor*"),
    COUNTIFS('QA Log'!D:D,A529,'QA Log'!M:M,"Vignette",'QA Log'!Z:Z,"Approved",'QA Log'!L:L,"*Vignette [6] PNC pre Discharge*"),
    COUNTIFS('QA Log'!D:D,A529,'QA Log'!M:M,"Vignette",'QA Log'!Z:Z,"Approved",'QA Log'!L:L,"*Vignette [7] First ANC Visit*"),
    COUNTIFS('QA Log'!D:D,A529,'QA Log'!M:M,"Vignette",'QA Log'!Z:Z,"Approved",'QA Log'!L:L,"*Vignette [8] Birth Spacing/ Family Planning :  FP Counselling*"),
    COUNTIFS('QA Log'!D:D,A529,'QA Log'!M:M,"Vignette",'QA Log'!Z:Z,"Approved",'QA Log'!L:L,"*Vignette [9] Birth Spacing: Change FP method to Injectable*"),
    COUNTIFS('QA Log'!D:D,A529,'QA Log'!M:M,"Vignette",'QA Log'!Z:Z,"Approved",'QA Log'!L:L,"*Vignette [10] Post Partum Haemorrhage - Atonic Uterus at Health Centre*")
  )
)</f>
        <v/>
      </c>
      <c r="BG529" s="105" t="str">
        <f>IF(A529&lt;&gt;"",COUNTIFS('QA Log'!D:D,A529,'QA Log'!M:M,"Vignette",'QA Log'!L:L,"Vignette [5] Labor",'QA Log'!Z:Z,"Approved"),"")</f>
        <v/>
      </c>
      <c r="BH529" s="105" t="str">
        <f>IF(A529&lt;&gt;"",COUNTIFS('QA Log'!D:D,A529,'QA Log'!M:M,"Vignette",'QA Log'!L:L,"Vignette [6] PNC pre Discharge",'QA Log'!Z:Z,"Approved"),"")</f>
        <v/>
      </c>
      <c r="BI529" s="105" t="str">
        <f>IF(A529&lt;&gt;"",COUNTIFS('QA Log'!D:D,A529,'QA Log'!M:M,"Vignette",'QA Log'!L:L,"Vignette [7] First ANC Visit",'QA Log'!Z:Z,"Approved"),"")</f>
        <v/>
      </c>
      <c r="BJ529" s="105" t="str">
        <f>IF(A529&lt;&gt;"",COUNTIFS('QA Log'!D:D,A529,'QA Log'!M:M,"Vignette",'QA Log'!L:L,"Vignette [8] Birth Spacing/ Family Planning :  FP Counselling",'QA Log'!Z:Z,"Approved"),"")</f>
        <v/>
      </c>
      <c r="BK529" s="105" t="str">
        <f>IF(A529&lt;&gt;"",COUNTIFS('QA Log'!D:D,A529,'QA Log'!M:M,"Vignette",'QA Log'!L:L,"Vignette [9] Birth Spacing: Change FP method to Injectable",'QA Log'!Z:Z,"Approved"),"")</f>
        <v/>
      </c>
      <c r="BL529" s="105" t="str">
        <f>IF(A529&lt;&gt;"",COUNTIFS('QA Log'!D:D,A529,'QA Log'!M:M,"Vignette",'QA Log'!L:L,"Vignette [10] Post Partum Haemorrhage - Atonic Uterus at Health Centre",'QA Log'!Z:Z,"Approved"),"")</f>
        <v/>
      </c>
      <c r="BM529" s="102" t="str">
        <f>IF(A529="","",SUM(
    COUNTIFS('QA Log'!D:D,A529,'QA Log'!M:M,"Vignette",'QA Log'!Z:Z,"Rejected",'QA Log'!L:L,"*Vignette [5] Labor*"),
    COUNTIFS('QA Log'!D:D,A529,'QA Log'!M:M,"Vignette",'QA Log'!Z:Z,"Rejected",'QA Log'!L:L,"*Vignette [6] PNC pre Discharge*"),
    COUNTIFS('QA Log'!D:D,A529,'QA Log'!M:M,"Vignette",'QA Log'!Z:Z,"Rejected",'QA Log'!L:L,"*Vignette [7] First ANC Visit*"),
    COUNTIFS('QA Log'!D:D,A529,'QA Log'!M:M,"Vignette",'QA Log'!Z:Z,"Rejected",'QA Log'!L:L,"*Vignette [8] Birth Spacing/ Family Planning :  FP Counselling*"),
    COUNTIFS('QA Log'!D:D,A529,'QA Log'!M:M,"Vignette",'QA Log'!Z:Z,"Rejected",'QA Log'!L:L,"*Vignette [9] Birth Spacing: Change FP method to Injectable*"),
    COUNTIFS('QA Log'!D:D,A529,'QA Log'!M:M,"Vignette",'QA Log'!Z:Z,"Rejected",'QA Log'!L:L,"*Vignette [10] Post Partum Haemorrhage - Atonic Uterus at Health Centre*")
  )
)</f>
        <v/>
      </c>
      <c r="BN529" s="107" t="str">
        <f t="shared" si="63"/>
        <v/>
      </c>
      <c r="BO529" s="103" t="str">
        <f t="shared" si="64"/>
        <v/>
      </c>
      <c r="BP529" s="102" t="str">
        <f>IF(A529="","",SUM(
COUNTIFS('QA Log'!D:D,A529,'QA Log'!M:M,"Vignette",'QA Log'!L:L,"*Exit Interview 1*"),
COUNTIFS('QA Log'!D:D,A529,'QA Log'!M:M,"Vignette",'QA Log'!L:L,"*Exit Interview 2*"),
)
)</f>
        <v/>
      </c>
      <c r="BQ529" s="102" t="str">
        <f>IF(
  A529="","",
  SUM(
    COUNTIFS('QA Log'!D:D,A529,'QA Log'!M:M,"Vignette",'QA Log'!Z:Z,"Approved",'QA Log'!L:L,"*Exit Interview 1*"),
    COUNTIFS('QA Log'!D:D,A529,'QA Log'!M:M,"Vignette",'QA Log'!Z:Z,"Approved",'QA Log'!L:L,"*Exit Interview 2*")
  )
)</f>
        <v/>
      </c>
      <c r="BR529" s="105" t="str">
        <f>IF(A529&lt;&gt;"",COUNTIFS('QA Log'!D:D,A529,'QA Log'!M:M,"Vignette",'QA Log'!L:L,"Exit Interview 1",'QA Log'!Z:Z,"Approved"),"")</f>
        <v/>
      </c>
      <c r="BS529" s="105" t="str">
        <f>IF(A529&lt;&gt;"",COUNTIFS('QA Log'!D:D,A529,'QA Log'!M:M,"Vignette",'QA Log'!L:L,"Exit Interview 2",'QA Log'!Z:Z,"Approved"),"")</f>
        <v/>
      </c>
      <c r="BT529" s="102" t="str">
        <f>IF(
  A529="","",
  SUM(
    COUNTIFS('QA Log'!D:D,A529,'QA Log'!M:M,"Vignette",'QA Log'!Z:Z,"Rejected",'QA Log'!L:L,"*Exit Interview 1*"),
    COUNTIFS('QA Log'!D:D,A529,'QA Log'!M:M,"Vignette",'QA Log'!Z:Z,"Rejected",'QA Log'!L:L,"*Exit Interview 2*")
  )
)</f>
        <v/>
      </c>
      <c r="BU529" s="107" t="str">
        <f t="shared" si="65"/>
        <v/>
      </c>
      <c r="BV529" s="102" t="str">
        <f t="shared" si="66"/>
        <v/>
      </c>
      <c r="BW529" s="102" t="str">
        <f t="shared" si="67"/>
        <v/>
      </c>
      <c r="BX529" s="102" t="str">
        <f t="shared" si="68"/>
        <v/>
      </c>
      <c r="BY529" s="102" t="str">
        <f t="shared" si="69"/>
        <v/>
      </c>
      <c r="BZ529" s="107" t="str">
        <f t="shared" si="70"/>
        <v/>
      </c>
      <c r="CA529" s="108" t="str">
        <f t="shared" si="71"/>
        <v/>
      </c>
      <c r="CB529" s="108" t="str">
        <f t="shared" si="72"/>
        <v/>
      </c>
      <c r="CC529" s="109" t="str">
        <f t="shared" si="73"/>
        <v/>
      </c>
      <c r="CD529" s="108" t="str">
        <f t="shared" si="74"/>
        <v/>
      </c>
      <c r="CE529" s="108" t="str">
        <f t="shared" si="75"/>
        <v/>
      </c>
      <c r="CF529" s="109" t="str">
        <f t="shared" si="76"/>
        <v/>
      </c>
      <c r="CG529" s="110" t="str">
        <f t="shared" si="77"/>
        <v/>
      </c>
      <c r="CH529" s="111"/>
    </row>
    <row r="530" spans="1:86" ht="12.75">
      <c r="A530" s="101"/>
      <c r="B530" s="102" t="e">
        <f t="array" aca="1" ref="B530" ca="1">_xludf.XLOOKUP(A530,'QA Log'!D:D,'QA Log'!E:E,"")</f>
        <v>#NAME?</v>
      </c>
      <c r="C530" s="102" t="e">
        <f t="array" aca="1" ref="C530" ca="1">_xludf.XLOOKUP(A530,'QA Log'!D:D,'QA Log'!F:F,"")</f>
        <v>#NAME?</v>
      </c>
      <c r="D530" s="102" t="e">
        <f t="array" aca="1" ref="D530" ca="1">_xludf.XLOOKUP(A530,'QA Log'!D:D,'QA Log'!H:H,"")</f>
        <v>#NAME?</v>
      </c>
      <c r="E530" s="102" t="e">
        <f t="array" aca="1" ref="E530" ca="1">_xludf.XLOOKUP(A530,'QA Log'!D:D,'QA Log'!G:G,"")</f>
        <v>#NAME?</v>
      </c>
      <c r="F530" s="103"/>
      <c r="G530" s="104"/>
      <c r="H530" s="104"/>
      <c r="I530" s="103" t="str">
        <f t="shared" si="52"/>
        <v/>
      </c>
      <c r="J530" s="102" t="str">
        <f>IF(A530="","",SUM(
COUNTIFS('QA Log'!D:D,A530,'QA Log'!M:M,"QQC",'QA Log'!L:L,"*1. General Management*"),
COUNTIFS('QA Log'!D:D,A530,'QA Log'!M:M,"QQC",'QA Log'!L:L,"*3. Curative Consultation (OPD)*"),
COUNTIFS('QA Log'!D:D,A530,'QA Log'!M:M,"QQC",'QA Log'!L:L,"*5. Laboratory*"),
COUNTIFS('QA Log'!D:D,A530,'QA Log'!M:M,"QQC",'QA Log'!L:L,"*6. Essential Medicine Management*"),
COUNTIFS('QA Log'!D:D,A530,'QA Log'!M:M,"QQC",'QA Log'!L:L,"*7. Tracer Medicine*"),
COUNTIFS('QA Log'!D:D,A530,'QA Log'!M:M,"QQC",'QA Log'!L:L,"*11. Additional Questions*")))</f>
        <v/>
      </c>
      <c r="K530" s="102" t="str">
        <f>IF(A530="","",SUM(
COUNTIFS('QA Log'!D:D,A530,'QA Log'!M:M,"QQC",'QA Log'!Z:Z,"Approved",'QA Log'!L:L,"*1. General Management*"),
COUNTIFS('QA Log'!D:D,A530,'QA Log'!M:M,"QQC",'QA Log'!Z:Z,"Approved",'QA Log'!L:L,"*3. Curative Consultation (OPD)*"),
COUNTIFS('QA Log'!D:D,A530,'QA Log'!M:M,"QQC",'QA Log'!Z:Z,"Approved",'QA Log'!L:L,"*5. Laboratory*"),
COUNTIFS('QA Log'!D:D,A530,'QA Log'!M:M,"QQC",'QA Log'!Z:Z,"Approved",'QA Log'!L:L,"*6. Essential Medicine Management*"),
COUNTIFS('QA Log'!D:D,A530,'QA Log'!M:M,"QQC",'QA Log'!Z:Z,"Approved",'QA Log'!L:L,"*7. Tracer Medicine*"),
COUNTIFS('QA Log'!D:D,A530,'QA Log'!M:M,"QQC",'QA Log'!Z:Z,"Approved",'QA Log'!L:L,"*11. Additional Questions*")))</f>
        <v/>
      </c>
      <c r="L530" s="102" t="str">
        <f>IF(A530&lt;&gt;"",COUNTIFS('QA Log'!D:D,A530,'QA Log'!M:M,"QQC",'QA Log'!L:L,"1. General Management",'QA Log'!Z:Z,"Approved"),"")</f>
        <v/>
      </c>
      <c r="M530" s="102" t="str">
        <f>IF(A530&lt;&gt;"",COUNTIFS('QA Log'!D:D,A530,'QA Log'!M:M,"QQC",'QA Log'!L:L,"3. Curative Consultation (OPD)",'QA Log'!Z:Z,"Approved"),"")</f>
        <v/>
      </c>
      <c r="N530" s="102" t="str">
        <f>IF(A530&lt;&gt;"",COUNTIFS('QA Log'!D:D,A530,'QA Log'!M:M,"QQC",'QA Log'!L:L,"5. Laboratory",'QA Log'!Z:Z,"Approved"),"")</f>
        <v/>
      </c>
      <c r="O530" s="102" t="str">
        <f>IF(A530&lt;&gt;"",COUNTIFS('QA Log'!D:D,A530,'QA Log'!M:M,"QQC",'QA Log'!L:L,"6. Essential Medicine Management",'QA Log'!Z:Z,"Approved"),"")</f>
        <v/>
      </c>
      <c r="P530" s="102" t="str">
        <f>IF(A530&lt;&gt;"",COUNTIFS('QA Log'!D:D,A530,'QA Log'!M:M,"QQC",'QA Log'!L:L,"7. Tracer Medicine",'QA Log'!Z:Z,"Approved"),"")</f>
        <v/>
      </c>
      <c r="Q530" s="102" t="str">
        <f>IF(A530&lt;&gt;"",COUNTIFS('QA Log'!D:D,A530,'QA Log'!M:M,"QQC",'QA Log'!L:L,"11. Additional Questions",'QA Log'!Z:Z,"Approved"),"")</f>
        <v/>
      </c>
      <c r="R530" s="102" t="str">
        <f>IF(A530="","",SUM(
COUNTIFS('QA Log'!D:D,A530,'QA Log'!M:M,"QQC",'QA Log'!Z:Z,"Rejected",'QA Log'!L:L,"*8. Maternity*"),
COUNTIFS('QA Log'!D:D,A530,'QA Log'!M:M,"QQC",'QA Log'!Z:Z,"Rejected",'QA Log'!L:L,"*EPI*"),
COUNTIFS('QA Log'!D:D,A530,'QA Log'!M:M,"QQC",'QA Log'!Z:Z,"Rejected",'QA Log'!L:L,"*10. Antenatal Care (ANC)*"),
COUNTIFS('QA Log'!D:D,A530,'QA Log'!M:M,"QQC",'QA Log'!Z:Z,"Rejected",'QA Log'!L:L,"*2. Hygiene and Sterilization*"),
COUNTIFS('QA Log'!D:D,A530,'QA Log'!M:M,"QQC",'QA Log'!Z:Z,"Rejected",'QA Log'!L:L,"*Family Planning*")))</f>
        <v/>
      </c>
      <c r="S530" s="106" t="str">
        <f t="shared" si="53"/>
        <v/>
      </c>
      <c r="T530" s="102" t="str">
        <f t="shared" si="54"/>
        <v/>
      </c>
      <c r="U530" s="102" t="str">
        <f>IF(A530="","",
SUM(
COUNTIFS('QA Log'!D:D,A530,'QA Log'!M:M,"QQC",'QA Log'!L:L,"*8. Maternity*"),
COUNTIFS('QA Log'!D:D,A530,'QA Log'!M:M,"QQC",'QA Log'!L:L,"*9. EPI and Pre-school Consultation*"),
COUNTIFS('QA Log'!D:D,A530,'QA Log'!M:M,"QQC",'QA Log'!L:L,"*10. Antenatal Care (ANC)*"),
COUNTIFS('QA Log'!D:D,A530,'QA Log'!M:M,"QQC",'QA Log'!L:L,"*2. Hygiene and Sterilization*"),
COUNTIFS('QA Log'!D:D,A530,'QA Log'!M:M,"QQC",'QA Log'!L:L,"*4. Family Planning*")
))</f>
        <v/>
      </c>
      <c r="V530" s="102" t="str">
        <f>IF(A530="","",
SUM(
COUNTIFS('QA Log'!D:D,A530,'QA Log'!M:M,"QQC",'QA Log'!Z:Z,"Approved",'QA Log'!L:L,"*8. Maternity*"),
COUNTIFS('QA Log'!D:D,A530,'QA Log'!M:M,"QQC",'QA Log'!Z:Z,"Approved",'QA Log'!L:L,"*9. EPI and Pre-school Consultation*"),
COUNTIFS('QA Log'!D:D,A530,'QA Log'!M:M,"QQC",'QA Log'!Z:Z,"Approved",'QA Log'!L:L,"*10. Antenatal Care (ANC)*"),
COUNTIFS('QA Log'!D:D,A530,'QA Log'!M:M,"QQC",'QA Log'!Z:Z,"Approved",'QA Log'!L:L,"*2. Hygiene and Sterilization*"),
COUNTIFS('QA Log'!D:D,A530,'QA Log'!M:M,"QQC",'QA Log'!Z:Z,"Approved",'QA Log'!L:L,"*4. Family Planning*")
))</f>
        <v/>
      </c>
      <c r="W530" s="102" t="str">
        <f>IF(A530&lt;&gt;"",COUNTIFS('QA Log'!D:D,A530,'QA Log'!M:M,"QQC",'QA Log'!L:L,"8. Maternity",'QA Log'!Z:Z,"Approved"),"")</f>
        <v/>
      </c>
      <c r="X530" s="105" t="str">
        <f>IF(A530&lt;&gt;"",COUNTIFS('QA Log'!D:D,A530,'QA Log'!M:M,"QQC",'QA Log'!L:L,"9. EPI and Pre-school Consultation",'QA Log'!Z:Z,"Approved"),"")</f>
        <v/>
      </c>
      <c r="Y530" s="102" t="str">
        <f>IF(A530&lt;&gt;"",COUNTIFS('QA Log'!D:D,A530,'QA Log'!M:M,"QQC",'QA Log'!L:L,"10. Antenatal Care (ANC)",'QA Log'!Z:Z,"Approved"),"")</f>
        <v/>
      </c>
      <c r="Z530" s="102" t="str">
        <f>IF(A530&lt;&gt;"",COUNTIFS('QA Log'!D:D,A530,'QA Log'!M:M,"QQC",'QA Log'!L:L,"2. Hygiene and Sterilization",'QA Log'!Z:Z,"Approved"),"")</f>
        <v/>
      </c>
      <c r="AA530" s="105" t="str">
        <f>IF(A530&lt;&gt;"",COUNTIFS('QA Log'!D:D,A530,'QA Log'!M:M,"QQC",'QA Log'!L:L,"4. Family Planning",'QA Log'!Z:Z,"Approved"),"")</f>
        <v/>
      </c>
      <c r="AB530" s="102" t="str">
        <f>IF(A530="","",
SUM(
COUNTIFS('QA Log'!D:D,A530,'QA Log'!M:M,"QQC",'QA Log'!Z:Z,"Rejected",'QA Log'!L:L,"*8. Maternity*"),
COUNTIFS('QA Log'!D:D,A530,'QA Log'!M:M,"QQC",'QA Log'!Z:Z,"Rejected",'QA Log'!L:L,"*9. EPI and Pre-school Consultation*"),
COUNTIFS('QA Log'!D:D,A530,'QA Log'!M:M,"QQC",'QA Log'!Z:Z,"Rejected",'QA Log'!L:L,"*10. Antenatal Care (ANC)*"),
COUNTIFS('QA Log'!D:D,A530,'QA Log'!M:M,"QQC",'QA Log'!Z:Z,"Rejected",'QA Log'!L:L,"*2. Hygiene and Sterilization*"),
COUNTIFS('QA Log'!D:D,A530,'QA Log'!M:M,"QQC",'QA Log'!Z:Z,"Rejected",'QA Log'!L:L,"*4. Family Planning*")
))</f>
        <v/>
      </c>
      <c r="AC530" s="102" t="str">
        <f t="shared" si="55"/>
        <v/>
      </c>
      <c r="AD530" s="103" t="str">
        <f t="shared" si="56"/>
        <v/>
      </c>
      <c r="AE530" s="102" t="str">
        <f>IF(A530="","",
SUM(
COUNTIFS('QA Log'!D:D,A530,'QA Log'!M:M,"Data Verification",'QA Log'!L:L,"*Medicine (section 2)*"),
COUNTIFS('QA Log'!D:D,A530,'QA Log'!M:M,"Data Verification",'QA Log'!L:L,"*Lab Testing Availability*"),
COUNTIFS('QA Log'!D:D,A530,'QA Log'!M:M,"Data Verification",'QA Log'!L:L,"*Other than P4P (section 6)*"),
COUNTIFS('QA Log'!D:D,A530,'QA Log'!M:M,"Data Verification",'QA Log'!L:L,"*Hospital Governance*")
))</f>
        <v/>
      </c>
      <c r="AF530" s="102" t="str">
        <f>IF(A530="","",
SUM(
COUNTIFS('QA Log'!D:D,A530,'QA Log'!M:M,"Data Verification",'QA Log'!Z:Z,"Approved",'QA Log'!L:L,"*Medicine (section 2)*"),
COUNTIFS('QA Log'!D:D,A530,'QA Log'!M:M,"Data Verification",'QA Log'!Z:Z,"Approved",'QA Log'!L:L,"*Lab Testing Availability*"),
COUNTIFS('QA Log'!D:D,A530,'QA Log'!M:M,"Data Verification",'QA Log'!Z:Z,"Approved",'QA Log'!L:L,"*Other than P4P (section 6)*"),
COUNTIFS('QA Log'!D:D,A530,'QA Log'!M:M,"Data Verification",'QA Log'!Z:Z,"Approved",'QA Log'!L:L,"*Hospital Governance*")
))</f>
        <v/>
      </c>
      <c r="AG530" s="105" t="str">
        <f>IF(A530&lt;&gt;"",COUNTIFS('QA Log'!D:D,A530,'QA Log'!M:M,"Data Verification",'QA Log'!L:L,"Medicine (section 2)",'QA Log'!Z:Z,"Approved"),"")</f>
        <v/>
      </c>
      <c r="AH530" s="105" t="str">
        <f>IF(A530&lt;&gt;"",COUNTIFS('QA Log'!D:D,A530,'QA Log'!M:M,"Data Verification",'QA Log'!L:L,"Lab Testing Availability",'QA Log'!Z:Z,"Approved"),"")</f>
        <v/>
      </c>
      <c r="AI530" s="105" t="str">
        <f>IF(A530&lt;&gt;"",COUNTIFS('QA Log'!D:D,A530,'QA Log'!M:M,"Data Verification",'QA Log'!L:L,"Other than P4P (section 6)",'QA Log'!Z:Z,"Approved"),"")</f>
        <v/>
      </c>
      <c r="AJ530" s="105" t="str">
        <f>IF(A530&lt;&gt;"",COUNTIFS('QA Log'!D:D,A530,'QA Log'!M:M,"Data Verification",'QA Log'!L:L,"Hospital Governance",'QA Log'!Z:Z,"Approved"),"")</f>
        <v/>
      </c>
      <c r="AK530" s="102" t="str">
        <f>IF(A530="","",
SUM(
COUNTIFS('QA Log'!D:D,A530,'QA Log'!M:M,"Data Verification",'QA Log'!Z:Z,"Rejected",'QA Log'!L:L,"*Medicine (section 2)*"),
COUNTIFS('QA Log'!D:D,A530,'QA Log'!M:M,"Data Verification",'QA Log'!Z:Z,"Rejected",'QA Log'!L:L,"*Lab Testing Availability*"),
COUNTIFS('QA Log'!D:D,A530,'QA Log'!M:M,"Data Verification",'QA Log'!Z:Z,"Rejected",'QA Log'!L:L,"*Other than P4P (section 6)*"),
COUNTIFS('QA Log'!D:D,A530,'QA Log'!M:M,"Data Verification",'QA Log'!Z:Z,"Rejected",'QA Log'!L:L,"*Hospital Governance*")
))</f>
        <v/>
      </c>
      <c r="AL530" s="106" t="str">
        <f t="shared" si="57"/>
        <v/>
      </c>
      <c r="AM530" s="102" t="str">
        <f t="shared" si="58"/>
        <v/>
      </c>
      <c r="AN530" s="102" t="str">
        <f>IF(A530="","",
SUM(
COUNTIFS('QA Log'!D:D,A530,'QA Log'!M:M,"Data Verification",'QA Log'!L:L,"*Personnel (section 1)*"),
COUNTIFS('QA Log'!D:D,A530,'QA Log'!M:M,"Data Verification",'QA Log'!L:L,"*Consumable (section 3)*"),
COUNTIFS('QA Log'!D:D,A530,'QA Log'!M:M,"Data Verification",'QA Log'!L:L,"*Equipments (section 4)*")
))</f>
        <v/>
      </c>
      <c r="AO530" s="102" t="str">
        <f>IF(A530="","",
SUM(
COUNTIFS('QA Log'!D:D,A530,'QA Log'!M:M,"Data Verification",'QA Log'!Z:Z,"Approved",'QA Log'!L:L,"*Personnel (section 1)*"),
COUNTIFS('QA Log'!D:D,A530,'QA Log'!M:M,"Data Verification",'QA Log'!Z:Z,"Approved",'QA Log'!L:L,"*Consumable (section 3)*"),
COUNTIFS('QA Log'!D:D,A530,'QA Log'!M:M,"Data Verification",'QA Log'!Z:Z,"Approved",'QA Log'!L:L,"*Equipments (section 4)*")
))</f>
        <v/>
      </c>
      <c r="AP530" s="105" t="str">
        <f>IF(A530&lt;&gt;"",COUNTIFS('QA Log'!D:D,A530,'QA Log'!M:M,"Data Verification",'QA Log'!L:L,"Personnel (section 1)",'QA Log'!Z:Z,"Approved"),"")</f>
        <v/>
      </c>
      <c r="AQ530" s="105" t="str">
        <f>IF(A530&lt;&gt;"",COUNTIFS('QA Log'!D:D,A530,'QA Log'!M:M,"Data Verification",'QA Log'!L:L,"Consumable (section 3)",'QA Log'!Z:Z,"Approved"),"")</f>
        <v/>
      </c>
      <c r="AR530" s="105" t="str">
        <f>IF(A530&lt;&gt;"",COUNTIFS('QA Log'!D:D,A530,'QA Log'!M:M,"Data Verification",'QA Log'!L:L,"Equipments (section 4)",'QA Log'!Z:Z,"Approved"),"")</f>
        <v/>
      </c>
      <c r="AS530" s="102" t="str">
        <f>IF(A530="","",
SUM(
COUNTIFS('QA Log'!D:D,A530,'QA Log'!M:M,"Data Verification",'QA Log'!Z:Z,"Rejected",'QA Log'!L:L,"*Personnel (section 1)*"),
COUNTIFS('QA Log'!D:D,A530,'QA Log'!M:M,"Data Verification",'QA Log'!Z:Z,"Rejected",'QA Log'!L:L,"*Consumable (section 3)*"),
COUNTIFS('QA Log'!D:D,A530,'QA Log'!M:M,"Data Verification",'QA Log'!Z:Z,"Rejected",'QA Log'!L:L,"*Equipments (section 4)*")
))</f>
        <v/>
      </c>
      <c r="AT530" s="102" t="str">
        <f t="shared" si="59"/>
        <v/>
      </c>
      <c r="AU530" s="103" t="str">
        <f t="shared" si="60"/>
        <v/>
      </c>
      <c r="AV530" s="102" t="str">
        <f>IF(A530="","",SUM(
COUNTIFS('QA Log'!D:D,A530,'QA Log'!M:M,"Vignette",'QA Log'!L:L,"*Vignette [1] Respiratory Infection: Pneumonia*"),
COUNTIFS('QA Log'!D:D,A530,'QA Log'!M:M,"Vignette",'QA Log'!L:L,"*Vignette [2]: Diarrhea with Cat B dehydration*"),
COUNTIFS('QA Log'!D:D,A530,'QA Log'!M:M,"Vignette",'QA Log'!L:L,"*Vignette [3] Growth Monitoring and Promotion*"),
COUNTIFS('QA Log'!D:D,A530,'QA Log'!M:M,"Vignette",'QA Log'!L:L,"*Vignette [4]: The management of presumptive TB patient*")
)
)</f>
        <v/>
      </c>
      <c r="AW530" s="102" t="str">
        <f>IF(
  A530="","",
  SUM(
    COUNTIFS('QA Log'!D:D,A530,'QA Log'!M:M,"Vignette",'QA Log'!Z:Z,"Approved",'QA Log'!L:L,"*Vignette [1] Respiratory Infection: Pneumonia*"),
    COUNTIFS('QA Log'!D:D,A530,'QA Log'!M:M,"Vignette",'QA Log'!Z:Z,"Approved",'QA Log'!L:L,"*Vignette [2]: Diarrhea with Cat B dehydration*"),
    COUNTIFS('QA Log'!D:D,A530,'QA Log'!M:M,"Vignette",'QA Log'!Z:Z,"Approved",'QA Log'!L:L,"*Vignette [3] Growth Monitoring and Promotion*"),
    COUNTIFS('QA Log'!D:D,A530,'QA Log'!M:M,"Vignette",'QA Log'!Z:Z,"Approved",'QA Log'!L:L,"*Vignette [4]: The management of presumptive TB patient*")
  )
)</f>
        <v/>
      </c>
      <c r="AX530" s="105" t="str">
        <f>IF(A530&lt;&gt;"",COUNTIFS('QA Log'!D:D,A530,'QA Log'!M:M,"Vignette",'QA Log'!L:L,"Vignette [1] Respiratory Infection: Pneumonia",'QA Log'!Z:Z,"Approved"),"")</f>
        <v/>
      </c>
      <c r="AY530" s="105" t="str">
        <f>IF(A530&lt;&gt;"",COUNTIFS('QA Log'!D:D,A530,'QA Log'!M:M,"Vignette",'QA Log'!L:L,"Vignette [2]: Diarrhea with Cat B dehydration",'QA Log'!Z:Z,"Approved"),"")</f>
        <v/>
      </c>
      <c r="AZ530" s="105" t="str">
        <f>IF(A530&lt;&gt;"",COUNTIFS('QA Log'!D:D,A530,'QA Log'!M:M,"Vignette",'QA Log'!L:L,"Vignette [3] Growth Monitoring and Promotion",'QA Log'!Z:Z,"Approved"),"")</f>
        <v/>
      </c>
      <c r="BA530" s="105" t="str">
        <f>IF(A530&lt;&gt;"",COUNTIFS('QA Log'!D:D,A530,'QA Log'!M:M,"Vignette",'QA Log'!L:L,"Vignette [4]: The management of presumptive TB patient",'QA Log'!Z:Z,"Approved"),"")</f>
        <v/>
      </c>
      <c r="BB530" s="102" t="str">
        <f>IF(A530="","",
  SUM(
    COUNTIFS('QA Log'!D:D,A530,'QA Log'!M:M,"Vignette",'QA Log'!Z:Z,"Rejected",'QA Log'!L:L,"*Vignette [1] Respiratory Infection: Pneumonia*"),
    COUNTIFS('QA Log'!D:D,A530,'QA Log'!M:M,"Vignette",'QA Log'!Z:Z,"Rejected",'QA Log'!L:L,"*Vignette [2]: Diarrhea with Cat B dehydration*"),
    COUNTIFS('QA Log'!D:D,A530,'QA Log'!M:M,"Vignette",'QA Log'!Z:Z,"Rejected",'QA Log'!L:L,"*Vignette [3] Growth Monitoring and Promotion*"),
    COUNTIFS('QA Log'!D:D,A530,'QA Log'!M:M,"Vignette",'QA Log'!Z:Z,"Rejected",'QA Log'!L:L,"*Vignette [4]: The management of presumptive TB patient*")
  )
)</f>
        <v/>
      </c>
      <c r="BC530" s="107" t="str">
        <f t="shared" si="61"/>
        <v/>
      </c>
      <c r="BD530" s="103" t="str">
        <f t="shared" si="62"/>
        <v/>
      </c>
      <c r="BE530" s="102" t="str">
        <f>IF(A530="","",SUM(
COUNTIFS('QA Log'!D:D,A530,'QA Log'!M:M,"Vignette",'QA Log'!L:L,"*Vignette [5] Labor*"),
COUNTIFS('QA Log'!D:D,A530,'QA Log'!M:M,"Vignette",'QA Log'!L:L,"*Vignette [6] PNC pre Discharge*"),
COUNTIFS('QA Log'!D:D,A530,'QA Log'!M:M,"Vignette",'QA Log'!L:L,"*Vignette [7] First ANC Visit*"),
COUNTIFS('QA Log'!D:D,A530,'QA Log'!M:M,"Vignette",'QA Log'!L:L,"*Vignette [8] Birth Spacing/ Family Planning :  FP Counselling*"),
COUNTIFS('QA Log'!D:D,A530,'QA Log'!M:M,"Vignette",'QA Log'!L:L,"*Vignette [9] Birth Spacing: Change FP method to Injectable*"),
COUNTIFS('QA Log'!D:D,A530,'QA Log'!M:M,"Vignette",'QA Log'!L:L,"*Vignette [10] Post Partum Haemorrhage - Atonic Uterus at Health Centre*"),
)
)</f>
        <v/>
      </c>
      <c r="BF530" s="102" t="str">
        <f>IF(A530="","",
  SUM(
    COUNTIFS('QA Log'!D:D,A530,'QA Log'!M:M,"Vignette",'QA Log'!Z:Z,"Approved",'QA Log'!L:L,"*Vignette [5] Labor*"),
    COUNTIFS('QA Log'!D:D,A530,'QA Log'!M:M,"Vignette",'QA Log'!Z:Z,"Approved",'QA Log'!L:L,"*Vignette [6] PNC pre Discharge*"),
    COUNTIFS('QA Log'!D:D,A530,'QA Log'!M:M,"Vignette",'QA Log'!Z:Z,"Approved",'QA Log'!L:L,"*Vignette [7] First ANC Visit*"),
    COUNTIFS('QA Log'!D:D,A530,'QA Log'!M:M,"Vignette",'QA Log'!Z:Z,"Approved",'QA Log'!L:L,"*Vignette [8] Birth Spacing/ Family Planning :  FP Counselling*"),
    COUNTIFS('QA Log'!D:D,A530,'QA Log'!M:M,"Vignette",'QA Log'!Z:Z,"Approved",'QA Log'!L:L,"*Vignette [9] Birth Spacing: Change FP method to Injectable*"),
    COUNTIFS('QA Log'!D:D,A530,'QA Log'!M:M,"Vignette",'QA Log'!Z:Z,"Approved",'QA Log'!L:L,"*Vignette [10] Post Partum Haemorrhage - Atonic Uterus at Health Centre*")
  )
)</f>
        <v/>
      </c>
      <c r="BG530" s="105" t="str">
        <f>IF(A530&lt;&gt;"",COUNTIFS('QA Log'!D:D,A530,'QA Log'!M:M,"Vignette",'QA Log'!L:L,"Vignette [5] Labor",'QA Log'!Z:Z,"Approved"),"")</f>
        <v/>
      </c>
      <c r="BH530" s="105" t="str">
        <f>IF(A530&lt;&gt;"",COUNTIFS('QA Log'!D:D,A530,'QA Log'!M:M,"Vignette",'QA Log'!L:L,"Vignette [6] PNC pre Discharge",'QA Log'!Z:Z,"Approved"),"")</f>
        <v/>
      </c>
      <c r="BI530" s="105" t="str">
        <f>IF(A530&lt;&gt;"",COUNTIFS('QA Log'!D:D,A530,'QA Log'!M:M,"Vignette",'QA Log'!L:L,"Vignette [7] First ANC Visit",'QA Log'!Z:Z,"Approved"),"")</f>
        <v/>
      </c>
      <c r="BJ530" s="105" t="str">
        <f>IF(A530&lt;&gt;"",COUNTIFS('QA Log'!D:D,A530,'QA Log'!M:M,"Vignette",'QA Log'!L:L,"Vignette [8] Birth Spacing/ Family Planning :  FP Counselling",'QA Log'!Z:Z,"Approved"),"")</f>
        <v/>
      </c>
      <c r="BK530" s="105" t="str">
        <f>IF(A530&lt;&gt;"",COUNTIFS('QA Log'!D:D,A530,'QA Log'!M:M,"Vignette",'QA Log'!L:L,"Vignette [9] Birth Spacing: Change FP method to Injectable",'QA Log'!Z:Z,"Approved"),"")</f>
        <v/>
      </c>
      <c r="BL530" s="105" t="str">
        <f>IF(A530&lt;&gt;"",COUNTIFS('QA Log'!D:D,A530,'QA Log'!M:M,"Vignette",'QA Log'!L:L,"Vignette [10] Post Partum Haemorrhage - Atonic Uterus at Health Centre",'QA Log'!Z:Z,"Approved"),"")</f>
        <v/>
      </c>
      <c r="BM530" s="102" t="str">
        <f>IF(A530="","",SUM(
    COUNTIFS('QA Log'!D:D,A530,'QA Log'!M:M,"Vignette",'QA Log'!Z:Z,"Rejected",'QA Log'!L:L,"*Vignette [5] Labor*"),
    COUNTIFS('QA Log'!D:D,A530,'QA Log'!M:M,"Vignette",'QA Log'!Z:Z,"Rejected",'QA Log'!L:L,"*Vignette [6] PNC pre Discharge*"),
    COUNTIFS('QA Log'!D:D,A530,'QA Log'!M:M,"Vignette",'QA Log'!Z:Z,"Rejected",'QA Log'!L:L,"*Vignette [7] First ANC Visit*"),
    COUNTIFS('QA Log'!D:D,A530,'QA Log'!M:M,"Vignette",'QA Log'!Z:Z,"Rejected",'QA Log'!L:L,"*Vignette [8] Birth Spacing/ Family Planning :  FP Counselling*"),
    COUNTIFS('QA Log'!D:D,A530,'QA Log'!M:M,"Vignette",'QA Log'!Z:Z,"Rejected",'QA Log'!L:L,"*Vignette [9] Birth Spacing: Change FP method to Injectable*"),
    COUNTIFS('QA Log'!D:D,A530,'QA Log'!M:M,"Vignette",'QA Log'!Z:Z,"Rejected",'QA Log'!L:L,"*Vignette [10] Post Partum Haemorrhage - Atonic Uterus at Health Centre*")
  )
)</f>
        <v/>
      </c>
      <c r="BN530" s="107" t="str">
        <f t="shared" si="63"/>
        <v/>
      </c>
      <c r="BO530" s="103" t="str">
        <f t="shared" si="64"/>
        <v/>
      </c>
      <c r="BP530" s="102" t="str">
        <f>IF(A530="","",SUM(
COUNTIFS('QA Log'!D:D,A530,'QA Log'!M:M,"Vignette",'QA Log'!L:L,"*Exit Interview 1*"),
COUNTIFS('QA Log'!D:D,A530,'QA Log'!M:M,"Vignette",'QA Log'!L:L,"*Exit Interview 2*"),
)
)</f>
        <v/>
      </c>
      <c r="BQ530" s="102" t="str">
        <f>IF(
  A530="","",
  SUM(
    COUNTIFS('QA Log'!D:D,A530,'QA Log'!M:M,"Vignette",'QA Log'!Z:Z,"Approved",'QA Log'!L:L,"*Exit Interview 1*"),
    COUNTIFS('QA Log'!D:D,A530,'QA Log'!M:M,"Vignette",'QA Log'!Z:Z,"Approved",'QA Log'!L:L,"*Exit Interview 2*")
  )
)</f>
        <v/>
      </c>
      <c r="BR530" s="105" t="str">
        <f>IF(A530&lt;&gt;"",COUNTIFS('QA Log'!D:D,A530,'QA Log'!M:M,"Vignette",'QA Log'!L:L,"Exit Interview 1",'QA Log'!Z:Z,"Approved"),"")</f>
        <v/>
      </c>
      <c r="BS530" s="105" t="str">
        <f>IF(A530&lt;&gt;"",COUNTIFS('QA Log'!D:D,A530,'QA Log'!M:M,"Vignette",'QA Log'!L:L,"Exit Interview 2",'QA Log'!Z:Z,"Approved"),"")</f>
        <v/>
      </c>
      <c r="BT530" s="102" t="str">
        <f>IF(
  A530="","",
  SUM(
    COUNTIFS('QA Log'!D:D,A530,'QA Log'!M:M,"Vignette",'QA Log'!Z:Z,"Rejected",'QA Log'!L:L,"*Exit Interview 1*"),
    COUNTIFS('QA Log'!D:D,A530,'QA Log'!M:M,"Vignette",'QA Log'!Z:Z,"Rejected",'QA Log'!L:L,"*Exit Interview 2*")
  )
)</f>
        <v/>
      </c>
      <c r="BU530" s="107" t="str">
        <f t="shared" si="65"/>
        <v/>
      </c>
      <c r="BV530" s="102" t="str">
        <f t="shared" si="66"/>
        <v/>
      </c>
      <c r="BW530" s="102" t="str">
        <f t="shared" si="67"/>
        <v/>
      </c>
      <c r="BX530" s="102" t="str">
        <f t="shared" si="68"/>
        <v/>
      </c>
      <c r="BY530" s="102" t="str">
        <f t="shared" si="69"/>
        <v/>
      </c>
      <c r="BZ530" s="107" t="str">
        <f t="shared" si="70"/>
        <v/>
      </c>
      <c r="CA530" s="108" t="str">
        <f t="shared" si="71"/>
        <v/>
      </c>
      <c r="CB530" s="108" t="str">
        <f t="shared" si="72"/>
        <v/>
      </c>
      <c r="CC530" s="109" t="str">
        <f t="shared" si="73"/>
        <v/>
      </c>
      <c r="CD530" s="108" t="str">
        <f t="shared" si="74"/>
        <v/>
      </c>
      <c r="CE530" s="108" t="str">
        <f t="shared" si="75"/>
        <v/>
      </c>
      <c r="CF530" s="109" t="str">
        <f t="shared" si="76"/>
        <v/>
      </c>
      <c r="CG530" s="110" t="str">
        <f t="shared" si="77"/>
        <v/>
      </c>
      <c r="CH530" s="111"/>
    </row>
    <row r="531" spans="1:86" ht="12.75">
      <c r="A531" s="101"/>
      <c r="B531" s="102" t="e">
        <f t="array" aca="1" ref="B531" ca="1">_xludf.XLOOKUP(A531,'QA Log'!D:D,'QA Log'!E:E,"")</f>
        <v>#NAME?</v>
      </c>
      <c r="C531" s="102" t="e">
        <f t="array" aca="1" ref="C531" ca="1">_xludf.XLOOKUP(A531,'QA Log'!D:D,'QA Log'!F:F,"")</f>
        <v>#NAME?</v>
      </c>
      <c r="D531" s="102" t="e">
        <f t="array" aca="1" ref="D531" ca="1">_xludf.XLOOKUP(A531,'QA Log'!D:D,'QA Log'!H:H,"")</f>
        <v>#NAME?</v>
      </c>
      <c r="E531" s="102" t="e">
        <f t="array" aca="1" ref="E531" ca="1">_xludf.XLOOKUP(A531,'QA Log'!D:D,'QA Log'!G:G,"")</f>
        <v>#NAME?</v>
      </c>
      <c r="F531" s="103"/>
      <c r="G531" s="104"/>
      <c r="H531" s="104"/>
      <c r="I531" s="103" t="str">
        <f t="shared" si="52"/>
        <v/>
      </c>
      <c r="J531" s="102" t="str">
        <f>IF(A531="","",SUM(
COUNTIFS('QA Log'!D:D,A531,'QA Log'!M:M,"QQC",'QA Log'!L:L,"*1. General Management*"),
COUNTIFS('QA Log'!D:D,A531,'QA Log'!M:M,"QQC",'QA Log'!L:L,"*3. Curative Consultation (OPD)*"),
COUNTIFS('QA Log'!D:D,A531,'QA Log'!M:M,"QQC",'QA Log'!L:L,"*5. Laboratory*"),
COUNTIFS('QA Log'!D:D,A531,'QA Log'!M:M,"QQC",'QA Log'!L:L,"*6. Essential Medicine Management*"),
COUNTIFS('QA Log'!D:D,A531,'QA Log'!M:M,"QQC",'QA Log'!L:L,"*7. Tracer Medicine*"),
COUNTIFS('QA Log'!D:D,A531,'QA Log'!M:M,"QQC",'QA Log'!L:L,"*11. Additional Questions*")))</f>
        <v/>
      </c>
      <c r="K531" s="102" t="str">
        <f>IF(A531="","",SUM(
COUNTIFS('QA Log'!D:D,A531,'QA Log'!M:M,"QQC",'QA Log'!Z:Z,"Approved",'QA Log'!L:L,"*1. General Management*"),
COUNTIFS('QA Log'!D:D,A531,'QA Log'!M:M,"QQC",'QA Log'!Z:Z,"Approved",'QA Log'!L:L,"*3. Curative Consultation (OPD)*"),
COUNTIFS('QA Log'!D:D,A531,'QA Log'!M:M,"QQC",'QA Log'!Z:Z,"Approved",'QA Log'!L:L,"*5. Laboratory*"),
COUNTIFS('QA Log'!D:D,A531,'QA Log'!M:M,"QQC",'QA Log'!Z:Z,"Approved",'QA Log'!L:L,"*6. Essential Medicine Management*"),
COUNTIFS('QA Log'!D:D,A531,'QA Log'!M:M,"QQC",'QA Log'!Z:Z,"Approved",'QA Log'!L:L,"*7. Tracer Medicine*"),
COUNTIFS('QA Log'!D:D,A531,'QA Log'!M:M,"QQC",'QA Log'!Z:Z,"Approved",'QA Log'!L:L,"*11. Additional Questions*")))</f>
        <v/>
      </c>
      <c r="L531" s="102" t="str">
        <f>IF(A531&lt;&gt;"",COUNTIFS('QA Log'!D:D,A531,'QA Log'!M:M,"QQC",'QA Log'!L:L,"1. General Management",'QA Log'!Z:Z,"Approved"),"")</f>
        <v/>
      </c>
      <c r="M531" s="102" t="str">
        <f>IF(A531&lt;&gt;"",COUNTIFS('QA Log'!D:D,A531,'QA Log'!M:M,"QQC",'QA Log'!L:L,"3. Curative Consultation (OPD)",'QA Log'!Z:Z,"Approved"),"")</f>
        <v/>
      </c>
      <c r="N531" s="102" t="str">
        <f>IF(A531&lt;&gt;"",COUNTIFS('QA Log'!D:D,A531,'QA Log'!M:M,"QQC",'QA Log'!L:L,"5. Laboratory",'QA Log'!Z:Z,"Approved"),"")</f>
        <v/>
      </c>
      <c r="O531" s="102" t="str">
        <f>IF(A531&lt;&gt;"",COUNTIFS('QA Log'!D:D,A531,'QA Log'!M:M,"QQC",'QA Log'!L:L,"6. Essential Medicine Management",'QA Log'!Z:Z,"Approved"),"")</f>
        <v/>
      </c>
      <c r="P531" s="102" t="str">
        <f>IF(A531&lt;&gt;"",COUNTIFS('QA Log'!D:D,A531,'QA Log'!M:M,"QQC",'QA Log'!L:L,"7. Tracer Medicine",'QA Log'!Z:Z,"Approved"),"")</f>
        <v/>
      </c>
      <c r="Q531" s="102" t="str">
        <f>IF(A531&lt;&gt;"",COUNTIFS('QA Log'!D:D,A531,'QA Log'!M:M,"QQC",'QA Log'!L:L,"11. Additional Questions",'QA Log'!Z:Z,"Approved"),"")</f>
        <v/>
      </c>
      <c r="R531" s="102" t="str">
        <f>IF(A531="","",SUM(
COUNTIFS('QA Log'!D:D,A531,'QA Log'!M:M,"QQC",'QA Log'!Z:Z,"Rejected",'QA Log'!L:L,"*8. Maternity*"),
COUNTIFS('QA Log'!D:D,A531,'QA Log'!M:M,"QQC",'QA Log'!Z:Z,"Rejected",'QA Log'!L:L,"*EPI*"),
COUNTIFS('QA Log'!D:D,A531,'QA Log'!M:M,"QQC",'QA Log'!Z:Z,"Rejected",'QA Log'!L:L,"*10. Antenatal Care (ANC)*"),
COUNTIFS('QA Log'!D:D,A531,'QA Log'!M:M,"QQC",'QA Log'!Z:Z,"Rejected",'QA Log'!L:L,"*2. Hygiene and Sterilization*"),
COUNTIFS('QA Log'!D:D,A531,'QA Log'!M:M,"QQC",'QA Log'!Z:Z,"Rejected",'QA Log'!L:L,"*Family Planning*")))</f>
        <v/>
      </c>
      <c r="S531" s="106" t="str">
        <f t="shared" si="53"/>
        <v/>
      </c>
      <c r="T531" s="102" t="str">
        <f t="shared" si="54"/>
        <v/>
      </c>
      <c r="U531" s="102" t="str">
        <f>IF(A531="","",
SUM(
COUNTIFS('QA Log'!D:D,A531,'QA Log'!M:M,"QQC",'QA Log'!L:L,"*8. Maternity*"),
COUNTIFS('QA Log'!D:D,A531,'QA Log'!M:M,"QQC",'QA Log'!L:L,"*9. EPI and Pre-school Consultation*"),
COUNTIFS('QA Log'!D:D,A531,'QA Log'!M:M,"QQC",'QA Log'!L:L,"*10. Antenatal Care (ANC)*"),
COUNTIFS('QA Log'!D:D,A531,'QA Log'!M:M,"QQC",'QA Log'!L:L,"*2. Hygiene and Sterilization*"),
COUNTIFS('QA Log'!D:D,A531,'QA Log'!M:M,"QQC",'QA Log'!L:L,"*4. Family Planning*")
))</f>
        <v/>
      </c>
      <c r="V531" s="102" t="str">
        <f>IF(A531="","",
SUM(
COUNTIFS('QA Log'!D:D,A531,'QA Log'!M:M,"QQC",'QA Log'!Z:Z,"Approved",'QA Log'!L:L,"*8. Maternity*"),
COUNTIFS('QA Log'!D:D,A531,'QA Log'!M:M,"QQC",'QA Log'!Z:Z,"Approved",'QA Log'!L:L,"*9. EPI and Pre-school Consultation*"),
COUNTIFS('QA Log'!D:D,A531,'QA Log'!M:M,"QQC",'QA Log'!Z:Z,"Approved",'QA Log'!L:L,"*10. Antenatal Care (ANC)*"),
COUNTIFS('QA Log'!D:D,A531,'QA Log'!M:M,"QQC",'QA Log'!Z:Z,"Approved",'QA Log'!L:L,"*2. Hygiene and Sterilization*"),
COUNTIFS('QA Log'!D:D,A531,'QA Log'!M:M,"QQC",'QA Log'!Z:Z,"Approved",'QA Log'!L:L,"*4. Family Planning*")
))</f>
        <v/>
      </c>
      <c r="W531" s="102" t="str">
        <f>IF(A531&lt;&gt;"",COUNTIFS('QA Log'!D:D,A531,'QA Log'!M:M,"QQC",'QA Log'!L:L,"8. Maternity",'QA Log'!Z:Z,"Approved"),"")</f>
        <v/>
      </c>
      <c r="X531" s="105" t="str">
        <f>IF(A531&lt;&gt;"",COUNTIFS('QA Log'!D:D,A531,'QA Log'!M:M,"QQC",'QA Log'!L:L,"9. EPI and Pre-school Consultation",'QA Log'!Z:Z,"Approved"),"")</f>
        <v/>
      </c>
      <c r="Y531" s="102" t="str">
        <f>IF(A531&lt;&gt;"",COUNTIFS('QA Log'!D:D,A531,'QA Log'!M:M,"QQC",'QA Log'!L:L,"10. Antenatal Care (ANC)",'QA Log'!Z:Z,"Approved"),"")</f>
        <v/>
      </c>
      <c r="Z531" s="102" t="str">
        <f>IF(A531&lt;&gt;"",COUNTIFS('QA Log'!D:D,A531,'QA Log'!M:M,"QQC",'QA Log'!L:L,"2. Hygiene and Sterilization",'QA Log'!Z:Z,"Approved"),"")</f>
        <v/>
      </c>
      <c r="AA531" s="105" t="str">
        <f>IF(A531&lt;&gt;"",COUNTIFS('QA Log'!D:D,A531,'QA Log'!M:M,"QQC",'QA Log'!L:L,"4. Family Planning",'QA Log'!Z:Z,"Approved"),"")</f>
        <v/>
      </c>
      <c r="AB531" s="102" t="str">
        <f>IF(A531="","",
SUM(
COUNTIFS('QA Log'!D:D,A531,'QA Log'!M:M,"QQC",'QA Log'!Z:Z,"Rejected",'QA Log'!L:L,"*8. Maternity*"),
COUNTIFS('QA Log'!D:D,A531,'QA Log'!M:M,"QQC",'QA Log'!Z:Z,"Rejected",'QA Log'!L:L,"*9. EPI and Pre-school Consultation*"),
COUNTIFS('QA Log'!D:D,A531,'QA Log'!M:M,"QQC",'QA Log'!Z:Z,"Rejected",'QA Log'!L:L,"*10. Antenatal Care (ANC)*"),
COUNTIFS('QA Log'!D:D,A531,'QA Log'!M:M,"QQC",'QA Log'!Z:Z,"Rejected",'QA Log'!L:L,"*2. Hygiene and Sterilization*"),
COUNTIFS('QA Log'!D:D,A531,'QA Log'!M:M,"QQC",'QA Log'!Z:Z,"Rejected",'QA Log'!L:L,"*4. Family Planning*")
))</f>
        <v/>
      </c>
      <c r="AC531" s="102" t="str">
        <f t="shared" si="55"/>
        <v/>
      </c>
      <c r="AD531" s="103" t="str">
        <f t="shared" si="56"/>
        <v/>
      </c>
      <c r="AE531" s="102" t="str">
        <f>IF(A531="","",
SUM(
COUNTIFS('QA Log'!D:D,A531,'QA Log'!M:M,"Data Verification",'QA Log'!L:L,"*Medicine (section 2)*"),
COUNTIFS('QA Log'!D:D,A531,'QA Log'!M:M,"Data Verification",'QA Log'!L:L,"*Lab Testing Availability*"),
COUNTIFS('QA Log'!D:D,A531,'QA Log'!M:M,"Data Verification",'QA Log'!L:L,"*Other than P4P (section 6)*"),
COUNTIFS('QA Log'!D:D,A531,'QA Log'!M:M,"Data Verification",'QA Log'!L:L,"*Hospital Governance*")
))</f>
        <v/>
      </c>
      <c r="AF531" s="102" t="str">
        <f>IF(A531="","",
SUM(
COUNTIFS('QA Log'!D:D,A531,'QA Log'!M:M,"Data Verification",'QA Log'!Z:Z,"Approved",'QA Log'!L:L,"*Medicine (section 2)*"),
COUNTIFS('QA Log'!D:D,A531,'QA Log'!M:M,"Data Verification",'QA Log'!Z:Z,"Approved",'QA Log'!L:L,"*Lab Testing Availability*"),
COUNTIFS('QA Log'!D:D,A531,'QA Log'!M:M,"Data Verification",'QA Log'!Z:Z,"Approved",'QA Log'!L:L,"*Other than P4P (section 6)*"),
COUNTIFS('QA Log'!D:D,A531,'QA Log'!M:M,"Data Verification",'QA Log'!Z:Z,"Approved",'QA Log'!L:L,"*Hospital Governance*")
))</f>
        <v/>
      </c>
      <c r="AG531" s="105" t="str">
        <f>IF(A531&lt;&gt;"",COUNTIFS('QA Log'!D:D,A531,'QA Log'!M:M,"Data Verification",'QA Log'!L:L,"Medicine (section 2)",'QA Log'!Z:Z,"Approved"),"")</f>
        <v/>
      </c>
      <c r="AH531" s="105" t="str">
        <f>IF(A531&lt;&gt;"",COUNTIFS('QA Log'!D:D,A531,'QA Log'!M:M,"Data Verification",'QA Log'!L:L,"Lab Testing Availability",'QA Log'!Z:Z,"Approved"),"")</f>
        <v/>
      </c>
      <c r="AI531" s="105" t="str">
        <f>IF(A531&lt;&gt;"",COUNTIFS('QA Log'!D:D,A531,'QA Log'!M:M,"Data Verification",'QA Log'!L:L,"Other than P4P (section 6)",'QA Log'!Z:Z,"Approved"),"")</f>
        <v/>
      </c>
      <c r="AJ531" s="105" t="str">
        <f>IF(A531&lt;&gt;"",COUNTIFS('QA Log'!D:D,A531,'QA Log'!M:M,"Data Verification",'QA Log'!L:L,"Hospital Governance",'QA Log'!Z:Z,"Approved"),"")</f>
        <v/>
      </c>
      <c r="AK531" s="102" t="str">
        <f>IF(A531="","",
SUM(
COUNTIFS('QA Log'!D:D,A531,'QA Log'!M:M,"Data Verification",'QA Log'!Z:Z,"Rejected",'QA Log'!L:L,"*Medicine (section 2)*"),
COUNTIFS('QA Log'!D:D,A531,'QA Log'!M:M,"Data Verification",'QA Log'!Z:Z,"Rejected",'QA Log'!L:L,"*Lab Testing Availability*"),
COUNTIFS('QA Log'!D:D,A531,'QA Log'!M:M,"Data Verification",'QA Log'!Z:Z,"Rejected",'QA Log'!L:L,"*Other than P4P (section 6)*"),
COUNTIFS('QA Log'!D:D,A531,'QA Log'!M:M,"Data Verification",'QA Log'!Z:Z,"Rejected",'QA Log'!L:L,"*Hospital Governance*")
))</f>
        <v/>
      </c>
      <c r="AL531" s="106" t="str">
        <f t="shared" si="57"/>
        <v/>
      </c>
      <c r="AM531" s="102" t="str">
        <f t="shared" si="58"/>
        <v/>
      </c>
      <c r="AN531" s="102" t="str">
        <f>IF(A531="","",
SUM(
COUNTIFS('QA Log'!D:D,A531,'QA Log'!M:M,"Data Verification",'QA Log'!L:L,"*Personnel (section 1)*"),
COUNTIFS('QA Log'!D:D,A531,'QA Log'!M:M,"Data Verification",'QA Log'!L:L,"*Consumable (section 3)*"),
COUNTIFS('QA Log'!D:D,A531,'QA Log'!M:M,"Data Verification",'QA Log'!L:L,"*Equipments (section 4)*")
))</f>
        <v/>
      </c>
      <c r="AO531" s="102" t="str">
        <f>IF(A531="","",
SUM(
COUNTIFS('QA Log'!D:D,A531,'QA Log'!M:M,"Data Verification",'QA Log'!Z:Z,"Approved",'QA Log'!L:L,"*Personnel (section 1)*"),
COUNTIFS('QA Log'!D:D,A531,'QA Log'!M:M,"Data Verification",'QA Log'!Z:Z,"Approved",'QA Log'!L:L,"*Consumable (section 3)*"),
COUNTIFS('QA Log'!D:D,A531,'QA Log'!M:M,"Data Verification",'QA Log'!Z:Z,"Approved",'QA Log'!L:L,"*Equipments (section 4)*")
))</f>
        <v/>
      </c>
      <c r="AP531" s="105" t="str">
        <f>IF(A531&lt;&gt;"",COUNTIFS('QA Log'!D:D,A531,'QA Log'!M:M,"Data Verification",'QA Log'!L:L,"Personnel (section 1)",'QA Log'!Z:Z,"Approved"),"")</f>
        <v/>
      </c>
      <c r="AQ531" s="105" t="str">
        <f>IF(A531&lt;&gt;"",COUNTIFS('QA Log'!D:D,A531,'QA Log'!M:M,"Data Verification",'QA Log'!L:L,"Consumable (section 3)",'QA Log'!Z:Z,"Approved"),"")</f>
        <v/>
      </c>
      <c r="AR531" s="105" t="str">
        <f>IF(A531&lt;&gt;"",COUNTIFS('QA Log'!D:D,A531,'QA Log'!M:M,"Data Verification",'QA Log'!L:L,"Equipments (section 4)",'QA Log'!Z:Z,"Approved"),"")</f>
        <v/>
      </c>
      <c r="AS531" s="102" t="str">
        <f>IF(A531="","",
SUM(
COUNTIFS('QA Log'!D:D,A531,'QA Log'!M:M,"Data Verification",'QA Log'!Z:Z,"Rejected",'QA Log'!L:L,"*Personnel (section 1)*"),
COUNTIFS('QA Log'!D:D,A531,'QA Log'!M:M,"Data Verification",'QA Log'!Z:Z,"Rejected",'QA Log'!L:L,"*Consumable (section 3)*"),
COUNTIFS('QA Log'!D:D,A531,'QA Log'!M:M,"Data Verification",'QA Log'!Z:Z,"Rejected",'QA Log'!L:L,"*Equipments (section 4)*")
))</f>
        <v/>
      </c>
      <c r="AT531" s="102" t="str">
        <f t="shared" si="59"/>
        <v/>
      </c>
      <c r="AU531" s="103" t="str">
        <f t="shared" si="60"/>
        <v/>
      </c>
      <c r="AV531" s="102" t="str">
        <f>IF(A531="","",SUM(
COUNTIFS('QA Log'!D:D,A531,'QA Log'!M:M,"Vignette",'QA Log'!L:L,"*Vignette [1] Respiratory Infection: Pneumonia*"),
COUNTIFS('QA Log'!D:D,A531,'QA Log'!M:M,"Vignette",'QA Log'!L:L,"*Vignette [2]: Diarrhea with Cat B dehydration*"),
COUNTIFS('QA Log'!D:D,A531,'QA Log'!M:M,"Vignette",'QA Log'!L:L,"*Vignette [3] Growth Monitoring and Promotion*"),
COUNTIFS('QA Log'!D:D,A531,'QA Log'!M:M,"Vignette",'QA Log'!L:L,"*Vignette [4]: The management of presumptive TB patient*")
)
)</f>
        <v/>
      </c>
      <c r="AW531" s="102" t="str">
        <f>IF(
  A531="","",
  SUM(
    COUNTIFS('QA Log'!D:D,A531,'QA Log'!M:M,"Vignette",'QA Log'!Z:Z,"Approved",'QA Log'!L:L,"*Vignette [1] Respiratory Infection: Pneumonia*"),
    COUNTIFS('QA Log'!D:D,A531,'QA Log'!M:M,"Vignette",'QA Log'!Z:Z,"Approved",'QA Log'!L:L,"*Vignette [2]: Diarrhea with Cat B dehydration*"),
    COUNTIFS('QA Log'!D:D,A531,'QA Log'!M:M,"Vignette",'QA Log'!Z:Z,"Approved",'QA Log'!L:L,"*Vignette [3] Growth Monitoring and Promotion*"),
    COUNTIFS('QA Log'!D:D,A531,'QA Log'!M:M,"Vignette",'QA Log'!Z:Z,"Approved",'QA Log'!L:L,"*Vignette [4]: The management of presumptive TB patient*")
  )
)</f>
        <v/>
      </c>
      <c r="AX531" s="105" t="str">
        <f>IF(A531&lt;&gt;"",COUNTIFS('QA Log'!D:D,A531,'QA Log'!M:M,"Vignette",'QA Log'!L:L,"Vignette [1] Respiratory Infection: Pneumonia",'QA Log'!Z:Z,"Approved"),"")</f>
        <v/>
      </c>
      <c r="AY531" s="105" t="str">
        <f>IF(A531&lt;&gt;"",COUNTIFS('QA Log'!D:D,A531,'QA Log'!M:M,"Vignette",'QA Log'!L:L,"Vignette [2]: Diarrhea with Cat B dehydration",'QA Log'!Z:Z,"Approved"),"")</f>
        <v/>
      </c>
      <c r="AZ531" s="105" t="str">
        <f>IF(A531&lt;&gt;"",COUNTIFS('QA Log'!D:D,A531,'QA Log'!M:M,"Vignette",'QA Log'!L:L,"Vignette [3] Growth Monitoring and Promotion",'QA Log'!Z:Z,"Approved"),"")</f>
        <v/>
      </c>
      <c r="BA531" s="105" t="str">
        <f>IF(A531&lt;&gt;"",COUNTIFS('QA Log'!D:D,A531,'QA Log'!M:M,"Vignette",'QA Log'!L:L,"Vignette [4]: The management of presumptive TB patient",'QA Log'!Z:Z,"Approved"),"")</f>
        <v/>
      </c>
      <c r="BB531" s="102" t="str">
        <f>IF(A531="","",
  SUM(
    COUNTIFS('QA Log'!D:D,A531,'QA Log'!M:M,"Vignette",'QA Log'!Z:Z,"Rejected",'QA Log'!L:L,"*Vignette [1] Respiratory Infection: Pneumonia*"),
    COUNTIFS('QA Log'!D:D,A531,'QA Log'!M:M,"Vignette",'QA Log'!Z:Z,"Rejected",'QA Log'!L:L,"*Vignette [2]: Diarrhea with Cat B dehydration*"),
    COUNTIFS('QA Log'!D:D,A531,'QA Log'!M:M,"Vignette",'QA Log'!Z:Z,"Rejected",'QA Log'!L:L,"*Vignette [3] Growth Monitoring and Promotion*"),
    COUNTIFS('QA Log'!D:D,A531,'QA Log'!M:M,"Vignette",'QA Log'!Z:Z,"Rejected",'QA Log'!L:L,"*Vignette [4]: The management of presumptive TB patient*")
  )
)</f>
        <v/>
      </c>
      <c r="BC531" s="107" t="str">
        <f t="shared" si="61"/>
        <v/>
      </c>
      <c r="BD531" s="103" t="str">
        <f t="shared" si="62"/>
        <v/>
      </c>
      <c r="BE531" s="102" t="str">
        <f>IF(A531="","",SUM(
COUNTIFS('QA Log'!D:D,A531,'QA Log'!M:M,"Vignette",'QA Log'!L:L,"*Vignette [5] Labor*"),
COUNTIFS('QA Log'!D:D,A531,'QA Log'!M:M,"Vignette",'QA Log'!L:L,"*Vignette [6] PNC pre Discharge*"),
COUNTIFS('QA Log'!D:D,A531,'QA Log'!M:M,"Vignette",'QA Log'!L:L,"*Vignette [7] First ANC Visit*"),
COUNTIFS('QA Log'!D:D,A531,'QA Log'!M:M,"Vignette",'QA Log'!L:L,"*Vignette [8] Birth Spacing/ Family Planning :  FP Counselling*"),
COUNTIFS('QA Log'!D:D,A531,'QA Log'!M:M,"Vignette",'QA Log'!L:L,"*Vignette [9] Birth Spacing: Change FP method to Injectable*"),
COUNTIFS('QA Log'!D:D,A531,'QA Log'!M:M,"Vignette",'QA Log'!L:L,"*Vignette [10] Post Partum Haemorrhage - Atonic Uterus at Health Centre*"),
)
)</f>
        <v/>
      </c>
      <c r="BF531" s="102" t="str">
        <f>IF(A531="","",
  SUM(
    COUNTIFS('QA Log'!D:D,A531,'QA Log'!M:M,"Vignette",'QA Log'!Z:Z,"Approved",'QA Log'!L:L,"*Vignette [5] Labor*"),
    COUNTIFS('QA Log'!D:D,A531,'QA Log'!M:M,"Vignette",'QA Log'!Z:Z,"Approved",'QA Log'!L:L,"*Vignette [6] PNC pre Discharge*"),
    COUNTIFS('QA Log'!D:D,A531,'QA Log'!M:M,"Vignette",'QA Log'!Z:Z,"Approved",'QA Log'!L:L,"*Vignette [7] First ANC Visit*"),
    COUNTIFS('QA Log'!D:D,A531,'QA Log'!M:M,"Vignette",'QA Log'!Z:Z,"Approved",'QA Log'!L:L,"*Vignette [8] Birth Spacing/ Family Planning :  FP Counselling*"),
    COUNTIFS('QA Log'!D:D,A531,'QA Log'!M:M,"Vignette",'QA Log'!Z:Z,"Approved",'QA Log'!L:L,"*Vignette [9] Birth Spacing: Change FP method to Injectable*"),
    COUNTIFS('QA Log'!D:D,A531,'QA Log'!M:M,"Vignette",'QA Log'!Z:Z,"Approved",'QA Log'!L:L,"*Vignette [10] Post Partum Haemorrhage - Atonic Uterus at Health Centre*")
  )
)</f>
        <v/>
      </c>
      <c r="BG531" s="105" t="str">
        <f>IF(A531&lt;&gt;"",COUNTIFS('QA Log'!D:D,A531,'QA Log'!M:M,"Vignette",'QA Log'!L:L,"Vignette [5] Labor",'QA Log'!Z:Z,"Approved"),"")</f>
        <v/>
      </c>
      <c r="BH531" s="105" t="str">
        <f>IF(A531&lt;&gt;"",COUNTIFS('QA Log'!D:D,A531,'QA Log'!M:M,"Vignette",'QA Log'!L:L,"Vignette [6] PNC pre Discharge",'QA Log'!Z:Z,"Approved"),"")</f>
        <v/>
      </c>
      <c r="BI531" s="105" t="str">
        <f>IF(A531&lt;&gt;"",COUNTIFS('QA Log'!D:D,A531,'QA Log'!M:M,"Vignette",'QA Log'!L:L,"Vignette [7] First ANC Visit",'QA Log'!Z:Z,"Approved"),"")</f>
        <v/>
      </c>
      <c r="BJ531" s="105" t="str">
        <f>IF(A531&lt;&gt;"",COUNTIFS('QA Log'!D:D,A531,'QA Log'!M:M,"Vignette",'QA Log'!L:L,"Vignette [8] Birth Spacing/ Family Planning :  FP Counselling",'QA Log'!Z:Z,"Approved"),"")</f>
        <v/>
      </c>
      <c r="BK531" s="105" t="str">
        <f>IF(A531&lt;&gt;"",COUNTIFS('QA Log'!D:D,A531,'QA Log'!M:M,"Vignette",'QA Log'!L:L,"Vignette [9] Birth Spacing: Change FP method to Injectable",'QA Log'!Z:Z,"Approved"),"")</f>
        <v/>
      </c>
      <c r="BL531" s="105" t="str">
        <f>IF(A531&lt;&gt;"",COUNTIFS('QA Log'!D:D,A531,'QA Log'!M:M,"Vignette",'QA Log'!L:L,"Vignette [10] Post Partum Haemorrhage - Atonic Uterus at Health Centre",'QA Log'!Z:Z,"Approved"),"")</f>
        <v/>
      </c>
      <c r="BM531" s="102" t="str">
        <f>IF(A531="","",SUM(
    COUNTIFS('QA Log'!D:D,A531,'QA Log'!M:M,"Vignette",'QA Log'!Z:Z,"Rejected",'QA Log'!L:L,"*Vignette [5] Labor*"),
    COUNTIFS('QA Log'!D:D,A531,'QA Log'!M:M,"Vignette",'QA Log'!Z:Z,"Rejected",'QA Log'!L:L,"*Vignette [6] PNC pre Discharge*"),
    COUNTIFS('QA Log'!D:D,A531,'QA Log'!M:M,"Vignette",'QA Log'!Z:Z,"Rejected",'QA Log'!L:L,"*Vignette [7] First ANC Visit*"),
    COUNTIFS('QA Log'!D:D,A531,'QA Log'!M:M,"Vignette",'QA Log'!Z:Z,"Rejected",'QA Log'!L:L,"*Vignette [8] Birth Spacing/ Family Planning :  FP Counselling*"),
    COUNTIFS('QA Log'!D:D,A531,'QA Log'!M:M,"Vignette",'QA Log'!Z:Z,"Rejected",'QA Log'!L:L,"*Vignette [9] Birth Spacing: Change FP method to Injectable*"),
    COUNTIFS('QA Log'!D:D,A531,'QA Log'!M:M,"Vignette",'QA Log'!Z:Z,"Rejected",'QA Log'!L:L,"*Vignette [10] Post Partum Haemorrhage - Atonic Uterus at Health Centre*")
  )
)</f>
        <v/>
      </c>
      <c r="BN531" s="107" t="str">
        <f t="shared" si="63"/>
        <v/>
      </c>
      <c r="BO531" s="103" t="str">
        <f t="shared" si="64"/>
        <v/>
      </c>
      <c r="BP531" s="102" t="str">
        <f>IF(A531="","",SUM(
COUNTIFS('QA Log'!D:D,A531,'QA Log'!M:M,"Vignette",'QA Log'!L:L,"*Exit Interview 1*"),
COUNTIFS('QA Log'!D:D,A531,'QA Log'!M:M,"Vignette",'QA Log'!L:L,"*Exit Interview 2*"),
)
)</f>
        <v/>
      </c>
      <c r="BQ531" s="102" t="str">
        <f>IF(
  A531="","",
  SUM(
    COUNTIFS('QA Log'!D:D,A531,'QA Log'!M:M,"Vignette",'QA Log'!Z:Z,"Approved",'QA Log'!L:L,"*Exit Interview 1*"),
    COUNTIFS('QA Log'!D:D,A531,'QA Log'!M:M,"Vignette",'QA Log'!Z:Z,"Approved",'QA Log'!L:L,"*Exit Interview 2*")
  )
)</f>
        <v/>
      </c>
      <c r="BR531" s="105" t="str">
        <f>IF(A531&lt;&gt;"",COUNTIFS('QA Log'!D:D,A531,'QA Log'!M:M,"Vignette",'QA Log'!L:L,"Exit Interview 1",'QA Log'!Z:Z,"Approved"),"")</f>
        <v/>
      </c>
      <c r="BS531" s="105" t="str">
        <f>IF(A531&lt;&gt;"",COUNTIFS('QA Log'!D:D,A531,'QA Log'!M:M,"Vignette",'QA Log'!L:L,"Exit Interview 2",'QA Log'!Z:Z,"Approved"),"")</f>
        <v/>
      </c>
      <c r="BT531" s="102" t="str">
        <f>IF(
  A531="","",
  SUM(
    COUNTIFS('QA Log'!D:D,A531,'QA Log'!M:M,"Vignette",'QA Log'!Z:Z,"Rejected",'QA Log'!L:L,"*Exit Interview 1*"),
    COUNTIFS('QA Log'!D:D,A531,'QA Log'!M:M,"Vignette",'QA Log'!Z:Z,"Rejected",'QA Log'!L:L,"*Exit Interview 2*")
  )
)</f>
        <v/>
      </c>
      <c r="BU531" s="107" t="str">
        <f t="shared" si="65"/>
        <v/>
      </c>
      <c r="BV531" s="102" t="str">
        <f t="shared" si="66"/>
        <v/>
      </c>
      <c r="BW531" s="102" t="str">
        <f t="shared" si="67"/>
        <v/>
      </c>
      <c r="BX531" s="102" t="str">
        <f t="shared" si="68"/>
        <v/>
      </c>
      <c r="BY531" s="102" t="str">
        <f t="shared" si="69"/>
        <v/>
      </c>
      <c r="BZ531" s="107" t="str">
        <f t="shared" si="70"/>
        <v/>
      </c>
      <c r="CA531" s="108" t="str">
        <f t="shared" si="71"/>
        <v/>
      </c>
      <c r="CB531" s="108" t="str">
        <f t="shared" si="72"/>
        <v/>
      </c>
      <c r="CC531" s="109" t="str">
        <f t="shared" si="73"/>
        <v/>
      </c>
      <c r="CD531" s="108" t="str">
        <f t="shared" si="74"/>
        <v/>
      </c>
      <c r="CE531" s="108" t="str">
        <f t="shared" si="75"/>
        <v/>
      </c>
      <c r="CF531" s="109" t="str">
        <f t="shared" si="76"/>
        <v/>
      </c>
      <c r="CG531" s="110" t="str">
        <f t="shared" si="77"/>
        <v/>
      </c>
      <c r="CH531" s="111"/>
    </row>
  </sheetData>
  <mergeCells count="11">
    <mergeCell ref="BV1:BZ1"/>
    <mergeCell ref="CA1:CC1"/>
    <mergeCell ref="CD1:CF1"/>
    <mergeCell ref="CG1:CH1"/>
    <mergeCell ref="R1:U1"/>
    <mergeCell ref="AG1:AJ1"/>
    <mergeCell ref="AK1:AN1"/>
    <mergeCell ref="AO1:AR1"/>
    <mergeCell ref="AY1:AZ1"/>
    <mergeCell ref="BH1:BJ1"/>
    <mergeCell ref="BQ1:BS1"/>
  </mergeCells>
  <conditionalFormatting sqref="CA3:CF531">
    <cfRule type="containsText" dxfId="8" priority="1" operator="containsText" text="Fully Received">
      <formula>NOT(ISERROR(SEARCH(("Fully Received"),(CA3))))</formula>
    </cfRule>
    <cfRule type="containsText" dxfId="7" priority="2" operator="containsText" text="Not Received">
      <formula>NOT(ISERROR(SEARCH(("Not Received"),(CA3))))</formula>
    </cfRule>
  </conditionalFormatting>
  <conditionalFormatting sqref="CG3:CG531">
    <cfRule type="notContainsBlanks" dxfId="6" priority="3">
      <formula>LEN(TRIM(CG3))&gt;0</formula>
    </cfRule>
  </conditionalFormatting>
  <dataValidations count="1">
    <dataValidation type="list" allowBlank="1" showErrorMessage="1" sqref="F3:F531" xr:uid="{00000000-0002-0000-0100-000000000000}">
      <formula1>"Planned,Completed,Not Completed,Cancelled"</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G53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cols>
    <col min="1" max="1" width="29.42578125" customWidth="1"/>
    <col min="2" max="2" width="14.7109375" customWidth="1"/>
    <col min="3" max="3" width="22" customWidth="1"/>
    <col min="4" max="4" width="14.7109375" customWidth="1"/>
    <col min="5" max="5" width="25.85546875" customWidth="1"/>
    <col min="6" max="6" width="14.7109375" customWidth="1"/>
    <col min="7" max="8" width="15.85546875" customWidth="1"/>
    <col min="9" max="10" width="11.28515625" customWidth="1"/>
    <col min="11" max="11" width="11.140625" customWidth="1"/>
    <col min="12" max="19" width="10.5703125" customWidth="1"/>
    <col min="20" max="21" width="12.140625" customWidth="1"/>
    <col min="22" max="24" width="11.140625" customWidth="1"/>
    <col min="25" max="34" width="10.5703125" customWidth="1"/>
    <col min="35" max="36" width="12.140625" customWidth="1"/>
    <col min="37" max="41" width="13.7109375" customWidth="1"/>
    <col min="42" max="44" width="11.140625" customWidth="1"/>
    <col min="45" max="46" width="12.140625" customWidth="1"/>
    <col min="52" max="57" width="19.42578125" customWidth="1"/>
    <col min="58" max="58" width="25.42578125" customWidth="1"/>
    <col min="59" max="59" width="77.5703125" customWidth="1"/>
  </cols>
  <sheetData>
    <row r="1" spans="1:59" ht="12.75">
      <c r="A1" s="74"/>
      <c r="B1" s="75"/>
      <c r="C1" s="75"/>
      <c r="D1" s="76"/>
      <c r="E1" s="76" t="s">
        <v>40</v>
      </c>
      <c r="F1" s="77"/>
      <c r="G1" s="77"/>
      <c r="H1" s="78"/>
      <c r="I1" s="79"/>
      <c r="J1" s="80"/>
      <c r="K1" s="81"/>
      <c r="L1" s="81"/>
      <c r="M1" s="81"/>
      <c r="N1" s="81"/>
      <c r="O1" s="81"/>
      <c r="P1" s="81"/>
      <c r="Q1" s="82"/>
      <c r="R1" s="83"/>
      <c r="S1" s="83" t="s">
        <v>100</v>
      </c>
      <c r="T1" s="238" t="s">
        <v>101</v>
      </c>
      <c r="U1" s="236"/>
      <c r="V1" s="236"/>
      <c r="W1" s="236"/>
      <c r="X1" s="243"/>
      <c r="Y1" s="82" t="s">
        <v>102</v>
      </c>
      <c r="Z1" s="112"/>
      <c r="AA1" s="82"/>
      <c r="AB1" s="81"/>
      <c r="AC1" s="81"/>
      <c r="AD1" s="81"/>
      <c r="AE1" s="81"/>
      <c r="AF1" s="81"/>
      <c r="AG1" s="81"/>
      <c r="AH1" s="81"/>
      <c r="AI1" s="81"/>
      <c r="AJ1" s="85"/>
      <c r="AK1" s="79"/>
      <c r="AL1" s="80" t="s">
        <v>103</v>
      </c>
      <c r="AM1" s="88"/>
      <c r="AN1" s="88"/>
      <c r="AO1" s="89"/>
      <c r="AP1" s="86"/>
      <c r="AQ1" s="81"/>
      <c r="AR1" s="81" t="s">
        <v>104</v>
      </c>
      <c r="AS1" s="81"/>
      <c r="AT1" s="87"/>
      <c r="AU1" s="235" t="s">
        <v>47</v>
      </c>
      <c r="AV1" s="236"/>
      <c r="AW1" s="236"/>
      <c r="AX1" s="236"/>
      <c r="AY1" s="237"/>
      <c r="AZ1" s="235" t="s">
        <v>48</v>
      </c>
      <c r="BA1" s="236"/>
      <c r="BB1" s="237"/>
      <c r="BC1" s="235" t="s">
        <v>49</v>
      </c>
      <c r="BD1" s="236"/>
      <c r="BE1" s="237"/>
      <c r="BF1" s="235" t="s">
        <v>50</v>
      </c>
      <c r="BG1" s="237"/>
    </row>
    <row r="2" spans="1:59" ht="36">
      <c r="A2" s="90"/>
      <c r="B2" s="91" t="s">
        <v>12</v>
      </c>
      <c r="C2" s="91" t="s">
        <v>51</v>
      </c>
      <c r="D2" s="91" t="s">
        <v>52</v>
      </c>
      <c r="E2" s="91" t="s">
        <v>53</v>
      </c>
      <c r="F2" s="91" t="s">
        <v>54</v>
      </c>
      <c r="G2" s="91" t="s">
        <v>55</v>
      </c>
      <c r="H2" s="92" t="s">
        <v>56</v>
      </c>
      <c r="I2" s="93" t="s">
        <v>13</v>
      </c>
      <c r="J2" s="94" t="s">
        <v>105</v>
      </c>
      <c r="K2" s="94" t="s">
        <v>15</v>
      </c>
      <c r="L2" s="113" t="s">
        <v>106</v>
      </c>
      <c r="M2" s="114" t="s">
        <v>107</v>
      </c>
      <c r="N2" s="115" t="s">
        <v>108</v>
      </c>
      <c r="O2" s="114" t="s">
        <v>109</v>
      </c>
      <c r="P2" s="115" t="s">
        <v>110</v>
      </c>
      <c r="Q2" s="116" t="s">
        <v>111</v>
      </c>
      <c r="R2" s="115" t="s">
        <v>112</v>
      </c>
      <c r="S2" s="116" t="s">
        <v>113</v>
      </c>
      <c r="T2" s="94" t="s">
        <v>16</v>
      </c>
      <c r="U2" s="98" t="s">
        <v>17</v>
      </c>
      <c r="V2" s="99" t="s">
        <v>13</v>
      </c>
      <c r="W2" s="99" t="s">
        <v>105</v>
      </c>
      <c r="X2" s="99" t="s">
        <v>15</v>
      </c>
      <c r="Y2" s="115" t="s">
        <v>114</v>
      </c>
      <c r="Z2" s="117" t="s">
        <v>115</v>
      </c>
      <c r="AA2" s="115" t="s">
        <v>116</v>
      </c>
      <c r="AB2" s="118" t="s">
        <v>117</v>
      </c>
      <c r="AC2" s="115" t="s">
        <v>118</v>
      </c>
      <c r="AD2" s="118" t="s">
        <v>119</v>
      </c>
      <c r="AE2" s="115" t="s">
        <v>120</v>
      </c>
      <c r="AF2" s="118" t="s">
        <v>121</v>
      </c>
      <c r="AG2" s="115" t="s">
        <v>122</v>
      </c>
      <c r="AH2" s="118" t="s">
        <v>123</v>
      </c>
      <c r="AI2" s="99" t="s">
        <v>16</v>
      </c>
      <c r="AJ2" s="99" t="s">
        <v>17</v>
      </c>
      <c r="AK2" s="93" t="s">
        <v>9</v>
      </c>
      <c r="AL2" s="94" t="s">
        <v>57</v>
      </c>
      <c r="AM2" s="94" t="s">
        <v>2</v>
      </c>
      <c r="AN2" s="94" t="s">
        <v>3</v>
      </c>
      <c r="AO2" s="98" t="s">
        <v>4</v>
      </c>
      <c r="AP2" s="93" t="s">
        <v>9</v>
      </c>
      <c r="AQ2" s="94" t="s">
        <v>57</v>
      </c>
      <c r="AR2" s="94" t="s">
        <v>2</v>
      </c>
      <c r="AS2" s="94" t="s">
        <v>3</v>
      </c>
      <c r="AT2" s="100" t="s">
        <v>4</v>
      </c>
      <c r="AU2" s="93" t="s">
        <v>9</v>
      </c>
      <c r="AV2" s="94" t="s">
        <v>57</v>
      </c>
      <c r="AW2" s="94" t="s">
        <v>2</v>
      </c>
      <c r="AX2" s="94" t="s">
        <v>3</v>
      </c>
      <c r="AY2" s="100" t="s">
        <v>4</v>
      </c>
      <c r="AZ2" s="93" t="s">
        <v>42</v>
      </c>
      <c r="BA2" s="94" t="s">
        <v>38</v>
      </c>
      <c r="BB2" s="100" t="s">
        <v>39</v>
      </c>
      <c r="BC2" s="93" t="s">
        <v>42</v>
      </c>
      <c r="BD2" s="94" t="s">
        <v>38</v>
      </c>
      <c r="BE2" s="100" t="s">
        <v>39</v>
      </c>
      <c r="BF2" s="93" t="s">
        <v>54</v>
      </c>
      <c r="BG2" s="100" t="s">
        <v>90</v>
      </c>
    </row>
    <row r="3" spans="1:59" ht="12.75">
      <c r="A3" s="101" t="s">
        <v>27</v>
      </c>
      <c r="B3" s="102" t="e">
        <f t="array" aca="1" ref="B3:B26" ca="1">_xludf.UNIQUE('Tools &amp; Targets_Guideline'!A54:A269)</f>
        <v>#NAME?</v>
      </c>
      <c r="C3" s="102" t="e">
        <f t="array" aca="1" ref="C3" ca="1">_xludf.XLOOKUP(A3,'QA Log'!D:D,'QA Log'!F:F,"")</f>
        <v>#NAME?</v>
      </c>
      <c r="D3" s="102" t="s">
        <v>124</v>
      </c>
      <c r="E3" s="102" t="e">
        <f t="array" aca="1" ref="E3" ca="1">_xludf.XLOOKUP(A3,'QA Log'!D:D,'QA Log'!G:G,"")</f>
        <v>#NAME?</v>
      </c>
      <c r="F3" s="103"/>
      <c r="G3" s="104"/>
      <c r="H3" s="104"/>
      <c r="I3" s="103" t="e">
        <f t="shared" ref="I3:I257" ca="1" si="0">IF(A3&lt;&gt;"",SUM(L3,N3,P3,R3),"")</f>
        <v>#NAME?</v>
      </c>
      <c r="J3" s="102"/>
      <c r="K3" s="102"/>
      <c r="L3" s="119" t="e">
        <f t="array" aca="1" ref="L3" ca="1">IF(OR($B3="",$D3=""),"",
IFERROR(
  INDEX(
    'Tools &amp; Targets_Guideline'!$C$54:$I$269,
    MATCH(
      1,
      ('Tools &amp; Targets_Guideline'!$A$54:$A$269=$B3)*
      ('Tools &amp; Targets_Guideline'!$B$54:$B$269="ANC"),
      0
    ),
    MATCH(
      _xludf.IFNA(
        VLOOKUP($D3,{"PH","Provincial Hospital (H2)";"DH","District Hospital (H3)";"RH","Regional / National Hospital (H1)"},2,0),
        $D3
      ),
      'Tools &amp; Targets_Guideline'!$C$53:$I$53,
      0
    )
  ),
0))</f>
        <v>#NAME?</v>
      </c>
      <c r="M3" s="105"/>
      <c r="N3" s="119" t="e">
        <f t="array" aca="1" ref="N3" ca="1">IF(OR($B3="",$D3=""),"",
IFERROR(
  INDEX(
    'Tools &amp; Targets_Guideline'!$C$54:$I$269,
    MATCH(
      1,
      ('Tools &amp; Targets_Guideline'!$A$54:$A$269=$B3)*
      ('Tools &amp; Targets_Guideline'!$B$54:$B$269="PNC"),
      0
    ),
    MATCH(
      _xludf.IFNA(
        VLOOKUP($D3,{"PH","Provincial Hospital (H2)";"DH","District Hospital (H3)";"RH","Regional / National Hospital (H1)"},2,0),
        $D3
      ),
      'Tools &amp; Targets_Guideline'!$C$53:$I$53,
      0
    )
  ),
0))</f>
        <v>#NAME?</v>
      </c>
      <c r="O3" s="105"/>
      <c r="P3" s="119" t="e">
        <f t="array" aca="1" ref="P3" ca="1">IF(OR($B3="",$D3=""),"",
IFERROR(
  INDEX(
    'Tools &amp; Targets_Guideline'!$C$54:$I$269,
    MATCH(
      1,
      ('Tools &amp; Targets_Guideline'!$A$54:$A$269=$B3)*
      ('Tools &amp; Targets_Guideline'!$B$54:$B$269="Delivery"),
      0
    ),
    MATCH(
      _xludf.IFNA(
        VLOOKUP($D3,{"PH","Provincial Hospital (H2)";"DH","District Hospital (H3)";"RH","Regional / National Hospital (H1)"},2,0),
        $D3
      ),
      'Tools &amp; Targets_Guideline'!$C$53:$I$53,
      0
    )
  ),
0))</f>
        <v>#NAME?</v>
      </c>
      <c r="Q3" s="105"/>
      <c r="R3" s="119" t="e">
        <f t="array" aca="1" ref="R3" ca="1">IF(OR($B3="",$D3=""),"",
IFERROR(
  INDEX(
    'Tools &amp; Targets_Guideline'!$C$54:$I$269,
    MATCH(
      1,
      ('Tools &amp; Targets_Guideline'!$A$54:$A$269=$B3)*
      ('Tools &amp; Targets_Guideline'!$B$54:$B$269="TT"),
      0
    ),
    MATCH(
      _xludf.IFNA(
        VLOOKUP($D3,{"PH","Provincial Hospital (H2)";"DH","District Hospital (H3)";"RH","Regional / National Hospital (H1)"},2,0),
        $D3
      ),
      'Tools &amp; Targets_Guideline'!$C$53:$I$53,
      0
    )
  ),
0))</f>
        <v>#NAME?</v>
      </c>
      <c r="S3" s="105"/>
      <c r="T3" s="102"/>
      <c r="U3" s="106"/>
      <c r="V3" s="102" t="e">
        <f t="shared" ref="V3:V257" ca="1" si="1">IF(A3&lt;&gt;"",SUM(Y3,AA3,AC3,AE3,AG3),"")</f>
        <v>#NAME?</v>
      </c>
      <c r="W3" s="102"/>
      <c r="X3" s="102"/>
      <c r="Y3" s="119" t="e">
        <f t="array" aca="1" ref="Y3" ca="1">IF(OR($B3="",$D3=""),"",
IFERROR(
  INDEX(
    'Tools &amp; Targets_Guideline'!$C$54:$I$269,
    MATCH(
      1,
      ('Tools &amp; Targets_Guideline'!$A$54:$A$269=$B3)*
      ('Tools &amp; Targets_Guideline'!$B$54:$B$269="GM"),
      0
    ),
    MATCH(
      _xludf.IFNA(
        VLOOKUP($D3,{"PH","Provincial Hospital (H2)";"DH","District Hospital (H3)";"RH","Regional / National Hospital (H1)"},2,0),
        $D3
      ),
      'Tools &amp; Targets_Guideline'!$C$53:$I$53,
      0
    )
  ),
0))</f>
        <v>#NAME?</v>
      </c>
      <c r="Z3" s="105"/>
      <c r="AA3" s="119" t="e">
        <f t="array" aca="1" ref="AA3" ca="1">IF(OR($B3="",$D3=""),"",
IFERROR(
  INDEX(
    'Tools &amp; Targets_Guideline'!$C$54:$I$269,
    MATCH(
      1,
      ('Tools &amp; Targets_Guideline'!$A$54:$A$269=$B3)*
      ('Tools &amp; Targets_Guideline'!$B$54:$B$269="Penta"),
      0
    ),
    MATCH(
      _xludf.IFNA(
        VLOOKUP($D3,{"PH","Provincial Hospital (H2)";"DH","District Hospital (H3)";"RH","Regional / National Hospital (H1)"},2,0),
        $D3
      ),
      'Tools &amp; Targets_Guideline'!$C$53:$I$53,
      0
    )
  ),
0))</f>
        <v>#NAME?</v>
      </c>
      <c r="AB3" s="105"/>
      <c r="AC3" s="119" t="e">
        <f t="array" aca="1" ref="AC3" ca="1">IF(OR($B3="",$D3=""),"",
IFERROR(
  INDEX(
    'Tools &amp; Targets_Guideline'!$C$54:$I$269,
    MATCH(
      1,
      ('Tools &amp; Targets_Guideline'!$A$54:$A$269=$B3)*
      ('Tools &amp; Targets_Guideline'!$B$54:$B$269="TB"),
      0
    ),
    MATCH(
      _xludf.IFNA(
        VLOOKUP($D3,{"PH","Provincial Hospital (H2)";"DH","District Hospital (H3)";"RH","Regional / National Hospital (H1)"},2,0),
        $D3
      ),
      'Tools &amp; Targets_Guideline'!$C$53:$I$53,
      0
    )
  ),
0))</f>
        <v>#NAME?</v>
      </c>
      <c r="AD3" s="105"/>
      <c r="AE3" s="119" t="e">
        <f t="array" aca="1" ref="AE3" ca="1">IF(OR($B3="",$D3=""),"",
IFERROR(
  INDEX(
    'Tools &amp; Targets_Guideline'!$C$54:$I$269,
    MATCH(
      1,
      ('Tools &amp; Targets_Guideline'!$A$54:$A$269=$B3)*
      ('Tools &amp; Targets_Guideline'!$B$54:$B$269="U5 Morbidity"),
      0
    ),
    MATCH(
      _xludf.IFNA(
        VLOOKUP($D3,{"PH","Provincial Hospital (H2)";"DH","District Hospital (H3)";"RH","Regional / National Hospital (H1)"},2,0),
        $D3
      ),
      'Tools &amp; Targets_Guideline'!$C$53:$I$53,
      0
    )
  ),
0))</f>
        <v>#NAME?</v>
      </c>
      <c r="AF3" s="105"/>
      <c r="AG3" s="119" t="e">
        <f t="array" aca="1" ref="AG3" ca="1">IF(OR($B3="",$D3=""),"",
IFERROR(
  INDEX(
    'Tools &amp; Targets_Guideline'!$C$54:$I$269,
    MATCH(
      1,
      ('Tools &amp; Targets_Guideline'!$A$54:$A$269=$B3)*
      ('Tools &amp; Targets_Guideline'!$B$54:$B$269="C-Section"),
      0
    ),
    MATCH(
      _xludf.IFNA(
        VLOOKUP($D3,{"PH","Provincial Hospital (H2)";"DH","District Hospital (H3)";"RH","Regional / National Hospital (H1)"},2,0),
        $D3
      ),
      'Tools &amp; Targets_Guideline'!$C$53:$I$53,
      0
    )
  ),
0))</f>
        <v>#NAME?</v>
      </c>
      <c r="AH3" s="105">
        <f ca="1">IF(A3&lt;&gt;"",COUNTIFS('QA Log'!D:D,A3,'QA Log'!M:M,"QQC",'QA Log'!L:L,"2. Hygiene and Sterilization",'QA Log'!Z:Z,"Approved"),"")</f>
        <v>0</v>
      </c>
      <c r="AI3" s="102"/>
      <c r="AJ3" s="102"/>
      <c r="AK3" s="103">
        <f t="shared" ref="AK3:AK257" si="2">IF(A3="", "", IF(OR(D3="RH", D3="PH", D3="SHC"), 0,1))</f>
        <v>0</v>
      </c>
      <c r="AL3" s="102"/>
      <c r="AM3" s="102"/>
      <c r="AN3" s="102"/>
      <c r="AO3" s="106"/>
      <c r="AP3" s="103"/>
      <c r="AQ3" s="102"/>
      <c r="AR3" s="102"/>
      <c r="AS3" s="102"/>
      <c r="AT3" s="107"/>
      <c r="AU3" s="102" t="e">
        <f t="shared" ref="AU3:AU257" si="3">IF(A3&lt;&gt;"",SUM(#REF!,#REF!,AP3,#REF!,AK3,V3,I3),"")</f>
        <v>#REF!</v>
      </c>
      <c r="AV3" s="102" t="e">
        <f t="shared" ref="AV3:AV257" si="4">IF(A3&lt;&gt;"",SUM(#REF!,#REF!,AQ3,#REF!,AL3,W3,J3),"")</f>
        <v>#REF!</v>
      </c>
      <c r="AW3" s="102" t="e">
        <f t="shared" ref="AW3:AW257" si="5">IF(A3&lt;&gt;"",SUM(#REF!,#REF!,AR3,#REF!,AM3,X3,K3),"")</f>
        <v>#REF!</v>
      </c>
      <c r="AX3" s="102" t="e">
        <f t="shared" ref="AX3:AX257" si="6">IF(A3&lt;&gt;"",SUM(#REF!,#REF!,AS3,#REF!,AN3,AI3,T3),"")</f>
        <v>#REF!</v>
      </c>
      <c r="AY3" s="107" t="e">
        <f t="shared" ref="AY3:AY257" si="7">IF(A3&lt;&gt;"",AU3-AW3,"")</f>
        <v>#REF!</v>
      </c>
      <c r="AZ3" s="108" t="str">
        <f t="shared" ref="AZ3:AZ257" si="8">IF(
  A3="","",
  IF(
    OR(D3="RH",D3="PH",D3="SHC"),
    "Not Applicable",
    IF(AND(I3&lt;=J3,V3&lt;=W3),"Fully Received","Not Received")
  )
)</f>
        <v>Not Applicable</v>
      </c>
      <c r="BA3" s="108" t="e">
        <f t="shared" ref="BA3:BA257" si="9">IF(A3&lt;&gt;"", IF(OR(D3="DH",D3="CHC",D3="BHC"),"Not Applicable",IF(AND(AK3&lt;=AL3,#REF!&lt;=#REF!),"Fully Received","Not Received")),"")</f>
        <v>#REF!</v>
      </c>
      <c r="BB3" s="109" t="e">
        <f t="shared" ref="BB3:BB257" si="10">IF(A3&lt;&gt;"",IF(AND(AP3&lt;=AQ3,#REF!&lt;=#REF!,#REF!&lt;=#REF!),"Fully Received","Not Received"),"")</f>
        <v>#REF!</v>
      </c>
      <c r="BC3" s="108" t="str">
        <f t="shared" ref="BC3:BC257" si="11">IF(
  A3="","",
  IF(
    OR(D3="RH",D3="PH",D3="SHC"),
    "Not Applicable",
    IF(AND(I3&lt;=K3,V3&lt;=X3),"Fully Received","Not Received")
  )
)</f>
        <v>Not Applicable</v>
      </c>
      <c r="BD3" s="108" t="e">
        <f t="shared" ref="BD3:BD257" si="12">IF(A3&lt;&gt;"",IF(OR(D3="DH",D3="CHC",D3="BHC"),"Not Applicable",IF(AND(AK3&lt;=AM3,#REF!&lt;=#REF!),"Fully Received","Not Received")),"")</f>
        <v>#REF!</v>
      </c>
      <c r="BE3" s="109" t="e">
        <f t="shared" ref="BE3:BE257" si="13">IF(A3&lt;&gt;"",IF(AND(AP3&lt;=AR3,#REF!&lt;=#REF!,#REF!&lt;=#REF!),"Fully Received","Not Received"),"")</f>
        <v>#REF!</v>
      </c>
      <c r="BF3" s="110" t="e">
        <f t="shared" ref="BF3:BF257" si="14">IF(A3&lt;&gt;"",IF(AND(BC3="Fully Received", BD3="Fully Received", BE3="Fully Received"),"Completed Based on Data",IF(AND(BC3="Not Received", BD3="Not Received", BE3="Not Received"),"Not Completed Based on Data","Partially Completed")),"")</f>
        <v>#REF!</v>
      </c>
      <c r="BG3" s="111"/>
    </row>
    <row r="4" spans="1:59" ht="12.75">
      <c r="A4" s="101" t="s">
        <v>125</v>
      </c>
      <c r="B4" s="102" t="e">
        <f ca="1"/>
        <v>#NAME?</v>
      </c>
      <c r="C4" s="102" t="e">
        <f t="array" aca="1" ref="C4" ca="1">_xludf.XLOOKUP(A4,'QA Log'!D:D,'QA Log'!F:F,"")</f>
        <v>#NAME?</v>
      </c>
      <c r="D4" s="102" t="s">
        <v>126</v>
      </c>
      <c r="E4" s="102" t="e">
        <f t="array" aca="1" ref="E4" ca="1">_xludf.XLOOKUP(A4,'QA Log'!D:D,'QA Log'!G:G,"")</f>
        <v>#NAME?</v>
      </c>
      <c r="F4" s="103"/>
      <c r="G4" s="104"/>
      <c r="H4" s="102"/>
      <c r="I4" s="103" t="e">
        <f t="shared" ca="1" si="0"/>
        <v>#NAME?</v>
      </c>
      <c r="J4" s="102"/>
      <c r="K4" s="102"/>
      <c r="L4" s="119" t="e">
        <f t="array" aca="1" ref="L4" ca="1">IF(OR($B4="",$D4=""),"",
IFERROR(
  INDEX(
    'Tools &amp; Targets_Guideline'!$C$54:$I$269,
    MATCH(
      1,
      ('Tools &amp; Targets_Guideline'!$A$54:$A$269=$B4)*
      ('Tools &amp; Targets_Guideline'!$B$54:$B$269="ANC"),
      0
    ),
    MATCH(
      _xludf.IFNA(
        VLOOKUP($D4,{"PH","Provincial Hospital (H2)";"DH","District Hospital (H3)";"RH","Regional / National Hospital (H1)"},2,0),
        $D4
      ),
      'Tools &amp; Targets_Guideline'!$C$53:$I$53,
      0
    )
  ),
0))</f>
        <v>#NAME?</v>
      </c>
      <c r="M4" s="105"/>
      <c r="N4" s="119" t="e">
        <f t="array" aca="1" ref="N4" ca="1">IF(OR($B4="",$D4=""),"",
IFERROR(
  INDEX(
    'Tools &amp; Targets_Guideline'!$C$54:$I$269,
    MATCH(
      1,
      ('Tools &amp; Targets_Guideline'!$A$54:$A$269=$B4)*
      ('Tools &amp; Targets_Guideline'!$B$54:$B$269="PNC"),
      0
    ),
    MATCH(
      _xludf.IFNA(
        VLOOKUP($D4,{"PH","Provincial Hospital (H2)";"DH","District Hospital (H3)";"RH","Regional / National Hospital (H1)"},2,0),
        $D4
      ),
      'Tools &amp; Targets_Guideline'!$C$53:$I$53,
      0
    )
  ),
0))</f>
        <v>#NAME?</v>
      </c>
      <c r="O4" s="105"/>
      <c r="P4" s="119" t="e">
        <f t="array" aca="1" ref="P4" ca="1">IF(OR($B4="",$D4=""),"",
IFERROR(
  INDEX(
    'Tools &amp; Targets_Guideline'!$C$54:$I$269,
    MATCH(
      1,
      ('Tools &amp; Targets_Guideline'!$A$54:$A$269=$B4)*
      ('Tools &amp; Targets_Guideline'!$B$54:$B$269="Delivery"),
      0
    ),
    MATCH(
      _xludf.IFNA(
        VLOOKUP($D4,{"PH","Provincial Hospital (H2)";"DH","District Hospital (H3)";"RH","Regional / National Hospital (H1)"},2,0),
        $D4
      ),
      'Tools &amp; Targets_Guideline'!$C$53:$I$53,
      0
    )
  ),
0))</f>
        <v>#NAME?</v>
      </c>
      <c r="Q4" s="105"/>
      <c r="R4" s="119" t="e">
        <f t="array" aca="1" ref="R4" ca="1">IF(OR($B4="",$D4=""),"",
IFERROR(
  INDEX(
    'Tools &amp; Targets_Guideline'!$C$54:$I$269,
    MATCH(
      1,
      ('Tools &amp; Targets_Guideline'!$A$54:$A$269=$B4)*
      ('Tools &amp; Targets_Guideline'!$B$54:$B$269="TT"),
      0
    ),
    MATCH(
      _xludf.IFNA(
        VLOOKUP($D4,{"PH","Provincial Hospital (H2)";"DH","District Hospital (H3)";"RH","Regional / National Hospital (H1)"},2,0),
        $D4
      ),
      'Tools &amp; Targets_Guideline'!$C$53:$I$53,
      0
    )
  ),
0))</f>
        <v>#NAME?</v>
      </c>
      <c r="S4" s="105"/>
      <c r="T4" s="102"/>
      <c r="U4" s="106"/>
      <c r="V4" s="102" t="e">
        <f t="shared" ca="1" si="1"/>
        <v>#NAME?</v>
      </c>
      <c r="W4" s="102"/>
      <c r="X4" s="102"/>
      <c r="Y4" s="119" t="e">
        <f t="array" aca="1" ref="Y4" ca="1">IF(OR($B4="",$D4=""),"",
IFERROR(
  INDEX(
    'Tools &amp; Targets_Guideline'!$C$54:$I$269,
    MATCH(
      1,
      ('Tools &amp; Targets_Guideline'!$A$54:$A$269=$B4)*
      ('Tools &amp; Targets_Guideline'!$B$54:$B$269="GM"),
      0
    ),
    MATCH(
      _xludf.IFNA(
        VLOOKUP($D4,{"PH","Provincial Hospital (H2)";"DH","District Hospital (H3)";"RH","Regional / National Hospital (H1)"},2,0),
        $D4
      ),
      'Tools &amp; Targets_Guideline'!$C$53:$I$53,
      0
    )
  ),
0))</f>
        <v>#NAME?</v>
      </c>
      <c r="Z4" s="105"/>
      <c r="AA4" s="119" t="e">
        <f t="array" aca="1" ref="AA4" ca="1">IF(OR($B4="",$D4=""),"",
IFERROR(
  INDEX(
    'Tools &amp; Targets_Guideline'!$C$54:$I$269,
    MATCH(
      1,
      ('Tools &amp; Targets_Guideline'!$A$54:$A$269=$B4)*
      ('Tools &amp; Targets_Guideline'!$B$54:$B$269="Penta"),
      0
    ),
    MATCH(
      _xludf.IFNA(
        VLOOKUP($D4,{"PH","Provincial Hospital (H2)";"DH","District Hospital (H3)";"RH","Regional / National Hospital (H1)"},2,0),
        $D4
      ),
      'Tools &amp; Targets_Guideline'!$C$53:$I$53,
      0
    )
  ),
0))</f>
        <v>#NAME?</v>
      </c>
      <c r="AB4" s="105"/>
      <c r="AC4" s="119" t="e">
        <f t="array" aca="1" ref="AC4" ca="1">IF(OR($B4="",$D4=""),"",
IFERROR(
  INDEX(
    'Tools &amp; Targets_Guideline'!$C$54:$I$269,
    MATCH(
      1,
      ('Tools &amp; Targets_Guideline'!$A$54:$A$269=$B4)*
      ('Tools &amp; Targets_Guideline'!$B$54:$B$269="TB"),
      0
    ),
    MATCH(
      _xludf.IFNA(
        VLOOKUP($D4,{"PH","Provincial Hospital (H2)";"DH","District Hospital (H3)";"RH","Regional / National Hospital (H1)"},2,0),
        $D4
      ),
      'Tools &amp; Targets_Guideline'!$C$53:$I$53,
      0
    )
  ),
0))</f>
        <v>#NAME?</v>
      </c>
      <c r="AD4" s="105"/>
      <c r="AE4" s="119" t="e">
        <f t="array" aca="1" ref="AE4" ca="1">IF(OR($B4="",$D4=""),"",
IFERROR(
  INDEX(
    'Tools &amp; Targets_Guideline'!$C$54:$I$269,
    MATCH(
      1,
      ('Tools &amp; Targets_Guideline'!$A$54:$A$269=$B4)*
      ('Tools &amp; Targets_Guideline'!$B$54:$B$269="U5 Morbidity"),
      0
    ),
    MATCH(
      _xludf.IFNA(
        VLOOKUP($D4,{"PH","Provincial Hospital (H2)";"DH","District Hospital (H3)";"RH","Regional / National Hospital (H1)"},2,0),
        $D4
      ),
      'Tools &amp; Targets_Guideline'!$C$53:$I$53,
      0
    )
  ),
0))</f>
        <v>#NAME?</v>
      </c>
      <c r="AF4" s="105"/>
      <c r="AG4" s="119" t="e">
        <f t="array" aca="1" ref="AG4" ca="1">IF(OR($B4="",$D4=""),"",
IFERROR(
  INDEX(
    'Tools &amp; Targets_Guideline'!$C$54:$I$269,
    MATCH(
      1,
      ('Tools &amp; Targets_Guideline'!$A$54:$A$269=$B4)*
      ('Tools &amp; Targets_Guideline'!$B$54:$B$269="C-Section"),
      0
    ),
    MATCH(
      _xludf.IFNA(
        VLOOKUP($D4,{"PH","Provincial Hospital (H2)";"DH","District Hospital (H3)";"RH","Regional / National Hospital (H1)"},2,0),
        $D4
      ),
      'Tools &amp; Targets_Guideline'!$C$53:$I$53,
      0
    )
  ),
0))</f>
        <v>#NAME?</v>
      </c>
      <c r="AH4" s="105">
        <f ca="1">IF(A4&lt;&gt;"",COUNTIFS('QA Log'!D:D,A4,'QA Log'!M:M,"QQC",'QA Log'!L:L,"2. Hygiene and Sterilization",'QA Log'!Z:Z,"Approved"),"")</f>
        <v>0</v>
      </c>
      <c r="AI4" s="102"/>
      <c r="AJ4" s="102"/>
      <c r="AK4" s="103">
        <f t="shared" si="2"/>
        <v>1</v>
      </c>
      <c r="AL4" s="102"/>
      <c r="AM4" s="102"/>
      <c r="AN4" s="102"/>
      <c r="AO4" s="106"/>
      <c r="AP4" s="103"/>
      <c r="AQ4" s="102"/>
      <c r="AR4" s="102"/>
      <c r="AS4" s="102"/>
      <c r="AT4" s="107"/>
      <c r="AU4" s="102" t="e">
        <f t="shared" si="3"/>
        <v>#REF!</v>
      </c>
      <c r="AV4" s="102" t="e">
        <f t="shared" si="4"/>
        <v>#REF!</v>
      </c>
      <c r="AW4" s="102" t="e">
        <f t="shared" si="5"/>
        <v>#REF!</v>
      </c>
      <c r="AX4" s="102" t="e">
        <f t="shared" si="6"/>
        <v>#REF!</v>
      </c>
      <c r="AY4" s="107" t="e">
        <f t="shared" si="7"/>
        <v>#REF!</v>
      </c>
      <c r="AZ4" s="108" t="e">
        <f t="shared" ca="1" si="8"/>
        <v>#NAME?</v>
      </c>
      <c r="BA4" s="108" t="str">
        <f t="shared" si="9"/>
        <v>Not Applicable</v>
      </c>
      <c r="BB4" s="109" t="e">
        <f t="shared" si="10"/>
        <v>#REF!</v>
      </c>
      <c r="BC4" s="108" t="e">
        <f t="shared" ca="1" si="11"/>
        <v>#NAME?</v>
      </c>
      <c r="BD4" s="108" t="str">
        <f t="shared" si="12"/>
        <v>Not Applicable</v>
      </c>
      <c r="BE4" s="109" t="e">
        <f t="shared" si="13"/>
        <v>#REF!</v>
      </c>
      <c r="BF4" s="110" t="e">
        <f t="shared" ca="1" si="14"/>
        <v>#NAME?</v>
      </c>
      <c r="BG4" s="111"/>
    </row>
    <row r="5" spans="1:59" ht="12.75">
      <c r="A5" s="101" t="s">
        <v>35</v>
      </c>
      <c r="B5" s="102" t="e">
        <f ca="1"/>
        <v>#NAME?</v>
      </c>
      <c r="C5" s="102" t="e">
        <f t="array" aca="1" ref="C5" ca="1">_xludf.XLOOKUP(A5,'QA Log'!D:D,'QA Log'!F:F,"")</f>
        <v>#NAME?</v>
      </c>
      <c r="D5" s="102" t="s">
        <v>127</v>
      </c>
      <c r="E5" s="102" t="e">
        <f t="array" aca="1" ref="E5" ca="1">_xludf.XLOOKUP(A5,'QA Log'!D:D,'QA Log'!G:G,"")</f>
        <v>#NAME?</v>
      </c>
      <c r="F5" s="103"/>
      <c r="G5" s="104"/>
      <c r="H5" s="102"/>
      <c r="I5" s="103" t="e">
        <f t="shared" ca="1" si="0"/>
        <v>#NAME?</v>
      </c>
      <c r="J5" s="102"/>
      <c r="K5" s="102"/>
      <c r="L5" s="119" t="e">
        <f t="array" aca="1" ref="L5" ca="1">IF(OR($B5="",$D5=""),"",
IFERROR(
  INDEX(
    'Tools &amp; Targets_Guideline'!$C$54:$I$269,
    MATCH(
      1,
      ('Tools &amp; Targets_Guideline'!$A$54:$A$269=$B5)*
      ('Tools &amp; Targets_Guideline'!$B$54:$B$269="ANC"),
      0
    ),
    MATCH(
      _xludf.IFNA(
        VLOOKUP($D5,{"PH","Provincial Hospital (H2)";"DH","District Hospital (H3)";"RH","Regional / National Hospital (H1)"},2,0),
        $D5
      ),
      'Tools &amp; Targets_Guideline'!$C$53:$I$53,
      0
    )
  ),
0))</f>
        <v>#NAME?</v>
      </c>
      <c r="M5" s="105"/>
      <c r="N5" s="119" t="e">
        <f t="array" aca="1" ref="N5" ca="1">IF(OR($B5="",$D5=""),"",
IFERROR(
  INDEX(
    'Tools &amp; Targets_Guideline'!$C$54:$I$269,
    MATCH(
      1,
      ('Tools &amp; Targets_Guideline'!$A$54:$A$269=$B5)*
      ('Tools &amp; Targets_Guideline'!$B$54:$B$269="PNC"),
      0
    ),
    MATCH(
      _xludf.IFNA(
        VLOOKUP($D5,{"PH","Provincial Hospital (H2)";"DH","District Hospital (H3)";"RH","Regional / National Hospital (H1)"},2,0),
        $D5
      ),
      'Tools &amp; Targets_Guideline'!$C$53:$I$53,
      0
    )
  ),
0))</f>
        <v>#NAME?</v>
      </c>
      <c r="O5" s="105"/>
      <c r="P5" s="119" t="e">
        <f t="array" aca="1" ref="P5" ca="1">IF(OR($B5="",$D5=""),"",
IFERROR(
  INDEX(
    'Tools &amp; Targets_Guideline'!$C$54:$I$269,
    MATCH(
      1,
      ('Tools &amp; Targets_Guideline'!$A$54:$A$269=$B5)*
      ('Tools &amp; Targets_Guideline'!$B$54:$B$269="Delivery"),
      0
    ),
    MATCH(
      _xludf.IFNA(
        VLOOKUP($D5,{"PH","Provincial Hospital (H2)";"DH","District Hospital (H3)";"RH","Regional / National Hospital (H1)"},2,0),
        $D5
      ),
      'Tools &amp; Targets_Guideline'!$C$53:$I$53,
      0
    )
  ),
0))</f>
        <v>#NAME?</v>
      </c>
      <c r="Q5" s="105"/>
      <c r="R5" s="119" t="e">
        <f t="array" aca="1" ref="R5" ca="1">IF(OR($B5="",$D5=""),"",
IFERROR(
  INDEX(
    'Tools &amp; Targets_Guideline'!$C$54:$I$269,
    MATCH(
      1,
      ('Tools &amp; Targets_Guideline'!$A$54:$A$269=$B5)*
      ('Tools &amp; Targets_Guideline'!$B$54:$B$269="TT"),
      0
    ),
    MATCH(
      _xludf.IFNA(
        VLOOKUP($D5,{"PH","Provincial Hospital (H2)";"DH","District Hospital (H3)";"RH","Regional / National Hospital (H1)"},2,0),
        $D5
      ),
      'Tools &amp; Targets_Guideline'!$C$53:$I$53,
      0
    )
  ),
0))</f>
        <v>#NAME?</v>
      </c>
      <c r="S5" s="105"/>
      <c r="T5" s="102"/>
      <c r="U5" s="106"/>
      <c r="V5" s="102" t="e">
        <f t="shared" ca="1" si="1"/>
        <v>#NAME?</v>
      </c>
      <c r="W5" s="102"/>
      <c r="X5" s="102"/>
      <c r="Y5" s="119" t="e">
        <f t="array" aca="1" ref="Y5" ca="1">IF(OR($B5="",$D5=""),"",
IFERROR(
  INDEX(
    'Tools &amp; Targets_Guideline'!$C$54:$I$269,
    MATCH(
      1,
      ('Tools &amp; Targets_Guideline'!$A$54:$A$269=$B5)*
      ('Tools &amp; Targets_Guideline'!$B$54:$B$269="GM"),
      0
    ),
    MATCH(
      _xludf.IFNA(
        VLOOKUP($D5,{"PH","Provincial Hospital (H2)";"DH","District Hospital (H3)";"RH","Regional / National Hospital (H1)"},2,0),
        $D5
      ),
      'Tools &amp; Targets_Guideline'!$C$53:$I$53,
      0
    )
  ),
0))</f>
        <v>#NAME?</v>
      </c>
      <c r="Z5" s="105"/>
      <c r="AA5" s="119" t="e">
        <f t="array" aca="1" ref="AA5" ca="1">IF(OR($B5="",$D5=""),"",
IFERROR(
  INDEX(
    'Tools &amp; Targets_Guideline'!$C$54:$I$269,
    MATCH(
      1,
      ('Tools &amp; Targets_Guideline'!$A$54:$A$269=$B5)*
      ('Tools &amp; Targets_Guideline'!$B$54:$B$269="Penta"),
      0
    ),
    MATCH(
      _xludf.IFNA(
        VLOOKUP($D5,{"PH","Provincial Hospital (H2)";"DH","District Hospital (H3)";"RH","Regional / National Hospital (H1)"},2,0),
        $D5
      ),
      'Tools &amp; Targets_Guideline'!$C$53:$I$53,
      0
    )
  ),
0))</f>
        <v>#NAME?</v>
      </c>
      <c r="AB5" s="105"/>
      <c r="AC5" s="119" t="e">
        <f t="array" aca="1" ref="AC5" ca="1">IF(OR($B5="",$D5=""),"",
IFERROR(
  INDEX(
    'Tools &amp; Targets_Guideline'!$C$54:$I$269,
    MATCH(
      1,
      ('Tools &amp; Targets_Guideline'!$A$54:$A$269=$B5)*
      ('Tools &amp; Targets_Guideline'!$B$54:$B$269="TB"),
      0
    ),
    MATCH(
      _xludf.IFNA(
        VLOOKUP($D5,{"PH","Provincial Hospital (H2)";"DH","District Hospital (H3)";"RH","Regional / National Hospital (H1)"},2,0),
        $D5
      ),
      'Tools &amp; Targets_Guideline'!$C$53:$I$53,
      0
    )
  ),
0))</f>
        <v>#NAME?</v>
      </c>
      <c r="AD5" s="105"/>
      <c r="AE5" s="119" t="e">
        <f t="array" aca="1" ref="AE5" ca="1">IF(OR($B5="",$D5=""),"",
IFERROR(
  INDEX(
    'Tools &amp; Targets_Guideline'!$C$54:$I$269,
    MATCH(
      1,
      ('Tools &amp; Targets_Guideline'!$A$54:$A$269=$B5)*
      ('Tools &amp; Targets_Guideline'!$B$54:$B$269="U5 Morbidity"),
      0
    ),
    MATCH(
      _xludf.IFNA(
        VLOOKUP($D5,{"PH","Provincial Hospital (H2)";"DH","District Hospital (H3)";"RH","Regional / National Hospital (H1)"},2,0),
        $D5
      ),
      'Tools &amp; Targets_Guideline'!$C$53:$I$53,
      0
    )
  ),
0))</f>
        <v>#NAME?</v>
      </c>
      <c r="AF5" s="105"/>
      <c r="AG5" s="119" t="e">
        <f t="array" aca="1" ref="AG5" ca="1">IF(OR($B5="",$D5=""),"",
IFERROR(
  INDEX(
    'Tools &amp; Targets_Guideline'!$C$54:$I$269,
    MATCH(
      1,
      ('Tools &amp; Targets_Guideline'!$A$54:$A$269=$B5)*
      ('Tools &amp; Targets_Guideline'!$B$54:$B$269="C-Section"),
      0
    ),
    MATCH(
      _xludf.IFNA(
        VLOOKUP($D5,{"PH","Provincial Hospital (H2)";"DH","District Hospital (H3)";"RH","Regional / National Hospital (H1)"},2,0),
        $D5
      ),
      'Tools &amp; Targets_Guideline'!$C$53:$I$53,
      0
    )
  ),
0))</f>
        <v>#NAME?</v>
      </c>
      <c r="AH5" s="105">
        <f ca="1">IF(A5&lt;&gt;"",COUNTIFS('QA Log'!D:D,A5,'QA Log'!M:M,"QQC",'QA Log'!L:L,"2. Hygiene and Sterilization",'QA Log'!Z:Z,"Approved"),"")</f>
        <v>0</v>
      </c>
      <c r="AI5" s="102"/>
      <c r="AJ5" s="102"/>
      <c r="AK5" s="103">
        <f t="shared" si="2"/>
        <v>1</v>
      </c>
      <c r="AL5" s="102"/>
      <c r="AM5" s="102"/>
      <c r="AN5" s="102"/>
      <c r="AO5" s="106"/>
      <c r="AP5" s="103"/>
      <c r="AQ5" s="102"/>
      <c r="AR5" s="102"/>
      <c r="AS5" s="102"/>
      <c r="AT5" s="107"/>
      <c r="AU5" s="102" t="e">
        <f t="shared" si="3"/>
        <v>#REF!</v>
      </c>
      <c r="AV5" s="102" t="e">
        <f t="shared" si="4"/>
        <v>#REF!</v>
      </c>
      <c r="AW5" s="102" t="e">
        <f t="shared" si="5"/>
        <v>#REF!</v>
      </c>
      <c r="AX5" s="102" t="e">
        <f t="shared" si="6"/>
        <v>#REF!</v>
      </c>
      <c r="AY5" s="107" t="e">
        <f t="shared" si="7"/>
        <v>#REF!</v>
      </c>
      <c r="AZ5" s="108" t="e">
        <f t="shared" ca="1" si="8"/>
        <v>#NAME?</v>
      </c>
      <c r="BA5" s="108" t="str">
        <f t="shared" si="9"/>
        <v>Not Applicable</v>
      </c>
      <c r="BB5" s="109" t="e">
        <f t="shared" si="10"/>
        <v>#REF!</v>
      </c>
      <c r="BC5" s="108" t="e">
        <f t="shared" ca="1" si="11"/>
        <v>#NAME?</v>
      </c>
      <c r="BD5" s="108" t="str">
        <f t="shared" si="12"/>
        <v>Not Applicable</v>
      </c>
      <c r="BE5" s="109" t="e">
        <f t="shared" si="13"/>
        <v>#REF!</v>
      </c>
      <c r="BF5" s="110" t="e">
        <f t="shared" ca="1" si="14"/>
        <v>#NAME?</v>
      </c>
      <c r="BG5" s="111"/>
    </row>
    <row r="6" spans="1:59" ht="12.75">
      <c r="A6" s="101" t="s">
        <v>21</v>
      </c>
      <c r="B6" s="102" t="e">
        <f ca="1"/>
        <v>#NAME?</v>
      </c>
      <c r="C6" s="102" t="e">
        <f t="array" aca="1" ref="C6" ca="1">_xludf.XLOOKUP(A6,'QA Log'!D:D,'QA Log'!F:F,"")</f>
        <v>#NAME?</v>
      </c>
      <c r="D6" s="102" t="s">
        <v>128</v>
      </c>
      <c r="E6" s="102" t="e">
        <f t="array" aca="1" ref="E6" ca="1">_xludf.XLOOKUP(A6,'QA Log'!D:D,'QA Log'!G:G,"")</f>
        <v>#NAME?</v>
      </c>
      <c r="F6" s="103"/>
      <c r="G6" s="104"/>
      <c r="H6" s="104"/>
      <c r="I6" s="103" t="e">
        <f t="shared" ca="1" si="0"/>
        <v>#NAME?</v>
      </c>
      <c r="J6" s="102"/>
      <c r="K6" s="102"/>
      <c r="L6" s="119" t="e">
        <f t="array" aca="1" ref="L6" ca="1">IF(OR($B6="",$D6=""),"",
IFERROR(
  INDEX(
    'Tools &amp; Targets_Guideline'!$C$54:$I$269,
    MATCH(
      1,
      ('Tools &amp; Targets_Guideline'!$A$54:$A$269=$B6)*
      ('Tools &amp; Targets_Guideline'!$B$54:$B$269="ANC"),
      0
    ),
    MATCH(
      _xludf.IFNA(
        VLOOKUP($D6,{"PH","Provincial Hospital (H2)";"DH","District Hospital (H3)";"RH","Regional / National Hospital (H1)"},2,0),
        $D6
      ),
      'Tools &amp; Targets_Guideline'!$C$53:$I$53,
      0
    )
  ),
0))</f>
        <v>#NAME?</v>
      </c>
      <c r="M6" s="105"/>
      <c r="N6" s="119" t="e">
        <f t="array" aca="1" ref="N6" ca="1">IF(OR($B6="",$D6=""),"",
IFERROR(
  INDEX(
    'Tools &amp; Targets_Guideline'!$C$54:$I$269,
    MATCH(
      1,
      ('Tools &amp; Targets_Guideline'!$A$54:$A$269=$B6)*
      ('Tools &amp; Targets_Guideline'!$B$54:$B$269="PNC"),
      0
    ),
    MATCH(
      _xludf.IFNA(
        VLOOKUP($D6,{"PH","Provincial Hospital (H2)";"DH","District Hospital (H3)";"RH","Regional / National Hospital (H1)"},2,0),
        $D6
      ),
      'Tools &amp; Targets_Guideline'!$C$53:$I$53,
      0
    )
  ),
0))</f>
        <v>#NAME?</v>
      </c>
      <c r="O6" s="105"/>
      <c r="P6" s="119" t="e">
        <f t="array" aca="1" ref="P6" ca="1">IF(OR($B6="",$D6=""),"",
IFERROR(
  INDEX(
    'Tools &amp; Targets_Guideline'!$C$54:$I$269,
    MATCH(
      1,
      ('Tools &amp; Targets_Guideline'!$A$54:$A$269=$B6)*
      ('Tools &amp; Targets_Guideline'!$B$54:$B$269="Delivery"),
      0
    ),
    MATCH(
      _xludf.IFNA(
        VLOOKUP($D6,{"PH","Provincial Hospital (H2)";"DH","District Hospital (H3)";"RH","Regional / National Hospital (H1)"},2,0),
        $D6
      ),
      'Tools &amp; Targets_Guideline'!$C$53:$I$53,
      0
    )
  ),
0))</f>
        <v>#NAME?</v>
      </c>
      <c r="Q6" s="105"/>
      <c r="R6" s="119" t="e">
        <f t="array" aca="1" ref="R6" ca="1">IF(OR($B6="",$D6=""),"",
IFERROR(
  INDEX(
    'Tools &amp; Targets_Guideline'!$C$54:$I$269,
    MATCH(
      1,
      ('Tools &amp; Targets_Guideline'!$A$54:$A$269=$B6)*
      ('Tools &amp; Targets_Guideline'!$B$54:$B$269="TT"),
      0
    ),
    MATCH(
      _xludf.IFNA(
        VLOOKUP($D6,{"PH","Provincial Hospital (H2)";"DH","District Hospital (H3)";"RH","Regional / National Hospital (H1)"},2,0),
        $D6
      ),
      'Tools &amp; Targets_Guideline'!$C$53:$I$53,
      0
    )
  ),
0))</f>
        <v>#NAME?</v>
      </c>
      <c r="S6" s="105"/>
      <c r="T6" s="102"/>
      <c r="U6" s="106"/>
      <c r="V6" s="102" t="e">
        <f t="shared" ca="1" si="1"/>
        <v>#NAME?</v>
      </c>
      <c r="W6" s="102"/>
      <c r="X6" s="102"/>
      <c r="Y6" s="119" t="e">
        <f t="array" aca="1" ref="Y6" ca="1">IF(OR($B6="",$D6=""),"",
IFERROR(
  INDEX(
    'Tools &amp; Targets_Guideline'!$C$54:$I$269,
    MATCH(
      1,
      ('Tools &amp; Targets_Guideline'!$A$54:$A$269=$B6)*
      ('Tools &amp; Targets_Guideline'!$B$54:$B$269="GM"),
      0
    ),
    MATCH(
      _xludf.IFNA(
        VLOOKUP($D6,{"PH","Provincial Hospital (H2)";"DH","District Hospital (H3)";"RH","Regional / National Hospital (H1)"},2,0),
        $D6
      ),
      'Tools &amp; Targets_Guideline'!$C$53:$I$53,
      0
    )
  ),
0))</f>
        <v>#NAME?</v>
      </c>
      <c r="Z6" s="105"/>
      <c r="AA6" s="119" t="e">
        <f t="array" aca="1" ref="AA6" ca="1">IF(OR($B6="",$D6=""),"",
IFERROR(
  INDEX(
    'Tools &amp; Targets_Guideline'!$C$54:$I$269,
    MATCH(
      1,
      ('Tools &amp; Targets_Guideline'!$A$54:$A$269=$B6)*
      ('Tools &amp; Targets_Guideline'!$B$54:$B$269="Penta"),
      0
    ),
    MATCH(
      _xludf.IFNA(
        VLOOKUP($D6,{"PH","Provincial Hospital (H2)";"DH","District Hospital (H3)";"RH","Regional / National Hospital (H1)"},2,0),
        $D6
      ),
      'Tools &amp; Targets_Guideline'!$C$53:$I$53,
      0
    )
  ),
0))</f>
        <v>#NAME?</v>
      </c>
      <c r="AB6" s="105"/>
      <c r="AC6" s="119" t="e">
        <f t="array" aca="1" ref="AC6" ca="1">IF(OR($B6="",$D6=""),"",
IFERROR(
  INDEX(
    'Tools &amp; Targets_Guideline'!$C$54:$I$269,
    MATCH(
      1,
      ('Tools &amp; Targets_Guideline'!$A$54:$A$269=$B6)*
      ('Tools &amp; Targets_Guideline'!$B$54:$B$269="TB"),
      0
    ),
    MATCH(
      _xludf.IFNA(
        VLOOKUP($D6,{"PH","Provincial Hospital (H2)";"DH","District Hospital (H3)";"RH","Regional / National Hospital (H1)"},2,0),
        $D6
      ),
      'Tools &amp; Targets_Guideline'!$C$53:$I$53,
      0
    )
  ),
0))</f>
        <v>#NAME?</v>
      </c>
      <c r="AD6" s="105"/>
      <c r="AE6" s="119" t="e">
        <f t="array" aca="1" ref="AE6" ca="1">IF(OR($B6="",$D6=""),"",
IFERROR(
  INDEX(
    'Tools &amp; Targets_Guideline'!$C$54:$I$269,
    MATCH(
      1,
      ('Tools &amp; Targets_Guideline'!$A$54:$A$269=$B6)*
      ('Tools &amp; Targets_Guideline'!$B$54:$B$269="U5 Morbidity"),
      0
    ),
    MATCH(
      _xludf.IFNA(
        VLOOKUP($D6,{"PH","Provincial Hospital (H2)";"DH","District Hospital (H3)";"RH","Regional / National Hospital (H1)"},2,0),
        $D6
      ),
      'Tools &amp; Targets_Guideline'!$C$53:$I$53,
      0
    )
  ),
0))</f>
        <v>#NAME?</v>
      </c>
      <c r="AF6" s="105"/>
      <c r="AG6" s="119" t="e">
        <f t="array" aca="1" ref="AG6" ca="1">IF(OR($B6="",$D6=""),"",
IFERROR(
  INDEX(
    'Tools &amp; Targets_Guideline'!$C$54:$I$269,
    MATCH(
      1,
      ('Tools &amp; Targets_Guideline'!$A$54:$A$269=$B6)*
      ('Tools &amp; Targets_Guideline'!$B$54:$B$269="C-Section"),
      0
    ),
    MATCH(
      _xludf.IFNA(
        VLOOKUP($D6,{"PH","Provincial Hospital (H2)";"DH","District Hospital (H3)";"RH","Regional / National Hospital (H1)"},2,0),
        $D6
      ),
      'Tools &amp; Targets_Guideline'!$C$53:$I$53,
      0
    )
  ),
0))</f>
        <v>#NAME?</v>
      </c>
      <c r="AH6" s="105">
        <f ca="1">IF(A6&lt;&gt;"",COUNTIFS('QA Log'!D:D,A6,'QA Log'!M:M,"QQC",'QA Log'!L:L,"2. Hygiene and Sterilization",'QA Log'!Z:Z,"Approved"),"")</f>
        <v>0</v>
      </c>
      <c r="AI6" s="102"/>
      <c r="AJ6" s="102"/>
      <c r="AK6" s="103">
        <f t="shared" si="2"/>
        <v>1</v>
      </c>
      <c r="AL6" s="102"/>
      <c r="AM6" s="102"/>
      <c r="AN6" s="102"/>
      <c r="AO6" s="106"/>
      <c r="AP6" s="103"/>
      <c r="AQ6" s="102"/>
      <c r="AR6" s="102"/>
      <c r="AS6" s="102"/>
      <c r="AT6" s="107"/>
      <c r="AU6" s="102" t="e">
        <f t="shared" si="3"/>
        <v>#REF!</v>
      </c>
      <c r="AV6" s="102" t="e">
        <f t="shared" si="4"/>
        <v>#REF!</v>
      </c>
      <c r="AW6" s="102" t="e">
        <f t="shared" si="5"/>
        <v>#REF!</v>
      </c>
      <c r="AX6" s="102" t="e">
        <f t="shared" si="6"/>
        <v>#REF!</v>
      </c>
      <c r="AY6" s="107" t="e">
        <f t="shared" si="7"/>
        <v>#REF!</v>
      </c>
      <c r="AZ6" s="108" t="e">
        <f t="shared" ca="1" si="8"/>
        <v>#NAME?</v>
      </c>
      <c r="BA6" s="108" t="str">
        <f t="shared" si="9"/>
        <v>Not Applicable</v>
      </c>
      <c r="BB6" s="109" t="e">
        <f t="shared" si="10"/>
        <v>#REF!</v>
      </c>
      <c r="BC6" s="108" t="e">
        <f t="shared" ca="1" si="11"/>
        <v>#NAME?</v>
      </c>
      <c r="BD6" s="108" t="str">
        <f t="shared" si="12"/>
        <v>Not Applicable</v>
      </c>
      <c r="BE6" s="109" t="e">
        <f t="shared" si="13"/>
        <v>#REF!</v>
      </c>
      <c r="BF6" s="110" t="e">
        <f t="shared" ca="1" si="14"/>
        <v>#NAME?</v>
      </c>
      <c r="BG6" s="111"/>
    </row>
    <row r="7" spans="1:59" ht="12.75">
      <c r="A7" s="101" t="s">
        <v>129</v>
      </c>
      <c r="B7" s="102" t="e">
        <f ca="1"/>
        <v>#NAME?</v>
      </c>
      <c r="C7" s="102" t="e">
        <f t="array" aca="1" ref="C7" ca="1">_xludf.XLOOKUP(A7,'QA Log'!D:D,'QA Log'!F:F,"")</f>
        <v>#NAME?</v>
      </c>
      <c r="D7" s="102" t="s">
        <v>130</v>
      </c>
      <c r="E7" s="102" t="e">
        <f t="array" aca="1" ref="E7" ca="1">_xludf.XLOOKUP(A7,'QA Log'!D:D,'QA Log'!G:G,"")</f>
        <v>#NAME?</v>
      </c>
      <c r="F7" s="103"/>
      <c r="G7" s="104"/>
      <c r="H7" s="102"/>
      <c r="I7" s="103" t="e">
        <f t="shared" ca="1" si="0"/>
        <v>#NAME?</v>
      </c>
      <c r="J7" s="102"/>
      <c r="K7" s="102"/>
      <c r="L7" s="119" t="e">
        <f t="array" aca="1" ref="L7" ca="1">IF(OR($B7="",$D7=""),"",
IFERROR(
  INDEX(
    'Tools &amp; Targets_Guideline'!$C$54:$I$269,
    MATCH(
      1,
      ('Tools &amp; Targets_Guideline'!$A$54:$A$269=$B7)*
      ('Tools &amp; Targets_Guideline'!$B$54:$B$269="ANC"),
      0
    ),
    MATCH(
      _xludf.IFNA(
        VLOOKUP($D7,{"PH","Provincial Hospital (H2)";"DH","District Hospital (H3)";"RH","Regional / National Hospital (H1)"},2,0),
        $D7
      ),
      'Tools &amp; Targets_Guideline'!$C$53:$I$53,
      0
    )
  ),
0))</f>
        <v>#NAME?</v>
      </c>
      <c r="M7" s="105"/>
      <c r="N7" s="119" t="e">
        <f t="array" aca="1" ref="N7" ca="1">IF(OR($B7="",$D7=""),"",
IFERROR(
  INDEX(
    'Tools &amp; Targets_Guideline'!$C$54:$I$269,
    MATCH(
      1,
      ('Tools &amp; Targets_Guideline'!$A$54:$A$269=$B7)*
      ('Tools &amp; Targets_Guideline'!$B$54:$B$269="PNC"),
      0
    ),
    MATCH(
      _xludf.IFNA(
        VLOOKUP($D7,{"PH","Provincial Hospital (H2)";"DH","District Hospital (H3)";"RH","Regional / National Hospital (H1)"},2,0),
        $D7
      ),
      'Tools &amp; Targets_Guideline'!$C$53:$I$53,
      0
    )
  ),
0))</f>
        <v>#NAME?</v>
      </c>
      <c r="O7" s="105"/>
      <c r="P7" s="119" t="e">
        <f t="array" aca="1" ref="P7" ca="1">IF(OR($B7="",$D7=""),"",
IFERROR(
  INDEX(
    'Tools &amp; Targets_Guideline'!$C$54:$I$269,
    MATCH(
      1,
      ('Tools &amp; Targets_Guideline'!$A$54:$A$269=$B7)*
      ('Tools &amp; Targets_Guideline'!$B$54:$B$269="Delivery"),
      0
    ),
    MATCH(
      _xludf.IFNA(
        VLOOKUP($D7,{"PH","Provincial Hospital (H2)";"DH","District Hospital (H3)";"RH","Regional / National Hospital (H1)"},2,0),
        $D7
      ),
      'Tools &amp; Targets_Guideline'!$C$53:$I$53,
      0
    )
  ),
0))</f>
        <v>#NAME?</v>
      </c>
      <c r="Q7" s="105"/>
      <c r="R7" s="119" t="e">
        <f t="array" aca="1" ref="R7" ca="1">IF(OR($B7="",$D7=""),"",
IFERROR(
  INDEX(
    'Tools &amp; Targets_Guideline'!$C$54:$I$269,
    MATCH(
      1,
      ('Tools &amp; Targets_Guideline'!$A$54:$A$269=$B7)*
      ('Tools &amp; Targets_Guideline'!$B$54:$B$269="TT"),
      0
    ),
    MATCH(
      _xludf.IFNA(
        VLOOKUP($D7,{"PH","Provincial Hospital (H2)";"DH","District Hospital (H3)";"RH","Regional / National Hospital (H1)"},2,0),
        $D7
      ),
      'Tools &amp; Targets_Guideline'!$C$53:$I$53,
      0
    )
  ),
0))</f>
        <v>#NAME?</v>
      </c>
      <c r="S7" s="105"/>
      <c r="T7" s="102"/>
      <c r="U7" s="106"/>
      <c r="V7" s="102" t="e">
        <f t="shared" ca="1" si="1"/>
        <v>#NAME?</v>
      </c>
      <c r="W7" s="102"/>
      <c r="X7" s="102"/>
      <c r="Y7" s="119" t="e">
        <f t="array" aca="1" ref="Y7" ca="1">IF(OR($B7="",$D7=""),"",
IFERROR(
  INDEX(
    'Tools &amp; Targets_Guideline'!$C$54:$I$269,
    MATCH(
      1,
      ('Tools &amp; Targets_Guideline'!$A$54:$A$269=$B7)*
      ('Tools &amp; Targets_Guideline'!$B$54:$B$269="GM"),
      0
    ),
    MATCH(
      _xludf.IFNA(
        VLOOKUP($D7,{"PH","Provincial Hospital (H2)";"DH","District Hospital (H3)";"RH","Regional / National Hospital (H1)"},2,0),
        $D7
      ),
      'Tools &amp; Targets_Guideline'!$C$53:$I$53,
      0
    )
  ),
0))</f>
        <v>#NAME?</v>
      </c>
      <c r="Z7" s="105"/>
      <c r="AA7" s="119" t="e">
        <f t="array" aca="1" ref="AA7" ca="1">IF(OR($B7="",$D7=""),"",
IFERROR(
  INDEX(
    'Tools &amp; Targets_Guideline'!$C$54:$I$269,
    MATCH(
      1,
      ('Tools &amp; Targets_Guideline'!$A$54:$A$269=$B7)*
      ('Tools &amp; Targets_Guideline'!$B$54:$B$269="Penta"),
      0
    ),
    MATCH(
      _xludf.IFNA(
        VLOOKUP($D7,{"PH","Provincial Hospital (H2)";"DH","District Hospital (H3)";"RH","Regional / National Hospital (H1)"},2,0),
        $D7
      ),
      'Tools &amp; Targets_Guideline'!$C$53:$I$53,
      0
    )
  ),
0))</f>
        <v>#NAME?</v>
      </c>
      <c r="AB7" s="105"/>
      <c r="AC7" s="119" t="e">
        <f t="array" aca="1" ref="AC7" ca="1">IF(OR($B7="",$D7=""),"",
IFERROR(
  INDEX(
    'Tools &amp; Targets_Guideline'!$C$54:$I$269,
    MATCH(
      1,
      ('Tools &amp; Targets_Guideline'!$A$54:$A$269=$B7)*
      ('Tools &amp; Targets_Guideline'!$B$54:$B$269="TB"),
      0
    ),
    MATCH(
      _xludf.IFNA(
        VLOOKUP($D7,{"PH","Provincial Hospital (H2)";"DH","District Hospital (H3)";"RH","Regional / National Hospital (H1)"},2,0),
        $D7
      ),
      'Tools &amp; Targets_Guideline'!$C$53:$I$53,
      0
    )
  ),
0))</f>
        <v>#NAME?</v>
      </c>
      <c r="AD7" s="105"/>
      <c r="AE7" s="119" t="e">
        <f t="array" aca="1" ref="AE7" ca="1">IF(OR($B7="",$D7=""),"",
IFERROR(
  INDEX(
    'Tools &amp; Targets_Guideline'!$C$54:$I$269,
    MATCH(
      1,
      ('Tools &amp; Targets_Guideline'!$A$54:$A$269=$B7)*
      ('Tools &amp; Targets_Guideline'!$B$54:$B$269="U5 Morbidity"),
      0
    ),
    MATCH(
      _xludf.IFNA(
        VLOOKUP($D7,{"PH","Provincial Hospital (H2)";"DH","District Hospital (H3)";"RH","Regional / National Hospital (H1)"},2,0),
        $D7
      ),
      'Tools &amp; Targets_Guideline'!$C$53:$I$53,
      0
    )
  ),
0))</f>
        <v>#NAME?</v>
      </c>
      <c r="AF7" s="105"/>
      <c r="AG7" s="119" t="e">
        <f t="array" aca="1" ref="AG7" ca="1">IF(OR($B7="",$D7=""),"",
IFERROR(
  INDEX(
    'Tools &amp; Targets_Guideline'!$C$54:$I$269,
    MATCH(
      1,
      ('Tools &amp; Targets_Guideline'!$A$54:$A$269=$B7)*
      ('Tools &amp; Targets_Guideline'!$B$54:$B$269="C-Section"),
      0
    ),
    MATCH(
      _xludf.IFNA(
        VLOOKUP($D7,{"PH","Provincial Hospital (H2)";"DH","District Hospital (H3)";"RH","Regional / National Hospital (H1)"},2,0),
        $D7
      ),
      'Tools &amp; Targets_Guideline'!$C$53:$I$53,
      0
    )
  ),
0))</f>
        <v>#NAME?</v>
      </c>
      <c r="AH7" s="105">
        <f ca="1">IF(A7&lt;&gt;"",COUNTIFS('QA Log'!D:D,A7,'QA Log'!M:M,"QQC",'QA Log'!L:L,"2. Hygiene and Sterilization",'QA Log'!Z:Z,"Approved"),"")</f>
        <v>0</v>
      </c>
      <c r="AI7" s="102"/>
      <c r="AJ7" s="102"/>
      <c r="AK7" s="103">
        <f t="shared" si="2"/>
        <v>0</v>
      </c>
      <c r="AL7" s="102"/>
      <c r="AM7" s="102"/>
      <c r="AN7" s="102"/>
      <c r="AO7" s="106"/>
      <c r="AP7" s="103"/>
      <c r="AQ7" s="102"/>
      <c r="AR7" s="102"/>
      <c r="AS7" s="102"/>
      <c r="AT7" s="107"/>
      <c r="AU7" s="102" t="e">
        <f t="shared" si="3"/>
        <v>#REF!</v>
      </c>
      <c r="AV7" s="102" t="e">
        <f t="shared" si="4"/>
        <v>#REF!</v>
      </c>
      <c r="AW7" s="102" t="e">
        <f t="shared" si="5"/>
        <v>#REF!</v>
      </c>
      <c r="AX7" s="102" t="e">
        <f t="shared" si="6"/>
        <v>#REF!</v>
      </c>
      <c r="AY7" s="107" t="e">
        <f t="shared" si="7"/>
        <v>#REF!</v>
      </c>
      <c r="AZ7" s="108" t="str">
        <f t="shared" si="8"/>
        <v>Not Applicable</v>
      </c>
      <c r="BA7" s="108" t="e">
        <f t="shared" si="9"/>
        <v>#REF!</v>
      </c>
      <c r="BB7" s="109" t="e">
        <f t="shared" si="10"/>
        <v>#REF!</v>
      </c>
      <c r="BC7" s="108" t="str">
        <f t="shared" si="11"/>
        <v>Not Applicable</v>
      </c>
      <c r="BD7" s="108" t="e">
        <f t="shared" si="12"/>
        <v>#REF!</v>
      </c>
      <c r="BE7" s="109" t="e">
        <f t="shared" si="13"/>
        <v>#REF!</v>
      </c>
      <c r="BF7" s="110" t="e">
        <f t="shared" si="14"/>
        <v>#REF!</v>
      </c>
      <c r="BG7" s="111"/>
    </row>
    <row r="8" spans="1:59" ht="12.75">
      <c r="A8" s="101" t="s">
        <v>30</v>
      </c>
      <c r="B8" s="102" t="e">
        <f ca="1"/>
        <v>#NAME?</v>
      </c>
      <c r="C8" s="102" t="e">
        <f t="array" aca="1" ref="C8" ca="1">_xludf.XLOOKUP(A8,'QA Log'!D:D,'QA Log'!F:F,"")</f>
        <v>#NAME?</v>
      </c>
      <c r="D8" s="102" t="s">
        <v>131</v>
      </c>
      <c r="E8" s="102" t="e">
        <f t="array" aca="1" ref="E8" ca="1">_xludf.XLOOKUP(A8,'QA Log'!D:D,'QA Log'!G:G,"")</f>
        <v>#NAME?</v>
      </c>
      <c r="F8" s="103"/>
      <c r="G8" s="104"/>
      <c r="H8" s="102"/>
      <c r="I8" s="103" t="e">
        <f t="shared" ca="1" si="0"/>
        <v>#NAME?</v>
      </c>
      <c r="J8" s="102"/>
      <c r="K8" s="102"/>
      <c r="L8" s="119" t="e">
        <f t="array" aca="1" ref="L8" ca="1">IF(OR($B8="",$D8=""),"",
IFERROR(
  INDEX(
    'Tools &amp; Targets_Guideline'!$C$54:$I$269,
    MATCH(
      1,
      ('Tools &amp; Targets_Guideline'!$A$54:$A$269=$B8)*
      ('Tools &amp; Targets_Guideline'!$B$54:$B$269="ANC"),
      0
    ),
    MATCH(
      _xludf.IFNA(
        VLOOKUP($D8,{"PH","Provincial Hospital (H2)";"DH","District Hospital (H3)";"RH","Regional / National Hospital (H1)"},2,0),
        $D8
      ),
      'Tools &amp; Targets_Guideline'!$C$53:$I$53,
      0
    )
  ),
0))</f>
        <v>#NAME?</v>
      </c>
      <c r="M8" s="105"/>
      <c r="N8" s="119" t="e">
        <f t="array" aca="1" ref="N8" ca="1">IF(OR($B8="",$D8=""),"",
IFERROR(
  INDEX(
    'Tools &amp; Targets_Guideline'!$C$54:$I$269,
    MATCH(
      1,
      ('Tools &amp; Targets_Guideline'!$A$54:$A$269=$B8)*
      ('Tools &amp; Targets_Guideline'!$B$54:$B$269="PNC"),
      0
    ),
    MATCH(
      _xludf.IFNA(
        VLOOKUP($D8,{"PH","Provincial Hospital (H2)";"DH","District Hospital (H3)";"RH","Regional / National Hospital (H1)"},2,0),
        $D8
      ),
      'Tools &amp; Targets_Guideline'!$C$53:$I$53,
      0
    )
  ),
0))</f>
        <v>#NAME?</v>
      </c>
      <c r="O8" s="105"/>
      <c r="P8" s="119" t="e">
        <f t="array" aca="1" ref="P8" ca="1">IF(OR($B8="",$D8=""),"",
IFERROR(
  INDEX(
    'Tools &amp; Targets_Guideline'!$C$54:$I$269,
    MATCH(
      1,
      ('Tools &amp; Targets_Guideline'!$A$54:$A$269=$B8)*
      ('Tools &amp; Targets_Guideline'!$B$54:$B$269="Delivery"),
      0
    ),
    MATCH(
      _xludf.IFNA(
        VLOOKUP($D8,{"PH","Provincial Hospital (H2)";"DH","District Hospital (H3)";"RH","Regional / National Hospital (H1)"},2,0),
        $D8
      ),
      'Tools &amp; Targets_Guideline'!$C$53:$I$53,
      0
    )
  ),
0))</f>
        <v>#NAME?</v>
      </c>
      <c r="Q8" s="105"/>
      <c r="R8" s="119" t="e">
        <f t="array" aca="1" ref="R8" ca="1">IF(OR($B8="",$D8=""),"",
IFERROR(
  INDEX(
    'Tools &amp; Targets_Guideline'!$C$54:$I$269,
    MATCH(
      1,
      ('Tools &amp; Targets_Guideline'!$A$54:$A$269=$B8)*
      ('Tools &amp; Targets_Guideline'!$B$54:$B$269="TT"),
      0
    ),
    MATCH(
      _xludf.IFNA(
        VLOOKUP($D8,{"PH","Provincial Hospital (H2)";"DH","District Hospital (H3)";"RH","Regional / National Hospital (H1)"},2,0),
        $D8
      ),
      'Tools &amp; Targets_Guideline'!$C$53:$I$53,
      0
    )
  ),
0))</f>
        <v>#NAME?</v>
      </c>
      <c r="S8" s="105"/>
      <c r="T8" s="102"/>
      <c r="U8" s="106"/>
      <c r="V8" s="102" t="e">
        <f t="shared" ca="1" si="1"/>
        <v>#NAME?</v>
      </c>
      <c r="W8" s="102"/>
      <c r="X8" s="102"/>
      <c r="Y8" s="119" t="e">
        <f t="array" aca="1" ref="Y8" ca="1">IF(OR($B8="",$D8=""),"",
IFERROR(
  INDEX(
    'Tools &amp; Targets_Guideline'!$C$54:$I$269,
    MATCH(
      1,
      ('Tools &amp; Targets_Guideline'!$A$54:$A$269=$B8)*
      ('Tools &amp; Targets_Guideline'!$B$54:$B$269="GM"),
      0
    ),
    MATCH(
      _xludf.IFNA(
        VLOOKUP($D8,{"PH","Provincial Hospital (H2)";"DH","District Hospital (H3)";"RH","Regional / National Hospital (H1)"},2,0),
        $D8
      ),
      'Tools &amp; Targets_Guideline'!$C$53:$I$53,
      0
    )
  ),
0))</f>
        <v>#NAME?</v>
      </c>
      <c r="Z8" s="105"/>
      <c r="AA8" s="119" t="e">
        <f t="array" aca="1" ref="AA8" ca="1">IF(OR($B8="",$D8=""),"",
IFERROR(
  INDEX(
    'Tools &amp; Targets_Guideline'!$C$54:$I$269,
    MATCH(
      1,
      ('Tools &amp; Targets_Guideline'!$A$54:$A$269=$B8)*
      ('Tools &amp; Targets_Guideline'!$B$54:$B$269="Penta"),
      0
    ),
    MATCH(
      _xludf.IFNA(
        VLOOKUP($D8,{"PH","Provincial Hospital (H2)";"DH","District Hospital (H3)";"RH","Regional / National Hospital (H1)"},2,0),
        $D8
      ),
      'Tools &amp; Targets_Guideline'!$C$53:$I$53,
      0
    )
  ),
0))</f>
        <v>#NAME?</v>
      </c>
      <c r="AB8" s="105"/>
      <c r="AC8" s="119" t="e">
        <f t="array" aca="1" ref="AC8" ca="1">IF(OR($B8="",$D8=""),"",
IFERROR(
  INDEX(
    'Tools &amp; Targets_Guideline'!$C$54:$I$269,
    MATCH(
      1,
      ('Tools &amp; Targets_Guideline'!$A$54:$A$269=$B8)*
      ('Tools &amp; Targets_Guideline'!$B$54:$B$269="TB"),
      0
    ),
    MATCH(
      _xludf.IFNA(
        VLOOKUP($D8,{"PH","Provincial Hospital (H2)";"DH","District Hospital (H3)";"RH","Regional / National Hospital (H1)"},2,0),
        $D8
      ),
      'Tools &amp; Targets_Guideline'!$C$53:$I$53,
      0
    )
  ),
0))</f>
        <v>#NAME?</v>
      </c>
      <c r="AD8" s="105"/>
      <c r="AE8" s="119" t="e">
        <f t="array" aca="1" ref="AE8" ca="1">IF(OR($B8="",$D8=""),"",
IFERROR(
  INDEX(
    'Tools &amp; Targets_Guideline'!$C$54:$I$269,
    MATCH(
      1,
      ('Tools &amp; Targets_Guideline'!$A$54:$A$269=$B8)*
      ('Tools &amp; Targets_Guideline'!$B$54:$B$269="U5 Morbidity"),
      0
    ),
    MATCH(
      _xludf.IFNA(
        VLOOKUP($D8,{"PH","Provincial Hospital (H2)";"DH","District Hospital (H3)";"RH","Regional / National Hospital (H1)"},2,0),
        $D8
      ),
      'Tools &amp; Targets_Guideline'!$C$53:$I$53,
      0
    )
  ),
0))</f>
        <v>#NAME?</v>
      </c>
      <c r="AF8" s="105"/>
      <c r="AG8" s="119" t="e">
        <f t="array" aca="1" ref="AG8" ca="1">IF(OR($B8="",$D8=""),"",
IFERROR(
  INDEX(
    'Tools &amp; Targets_Guideline'!$C$54:$I$269,
    MATCH(
      1,
      ('Tools &amp; Targets_Guideline'!$A$54:$A$269=$B8)*
      ('Tools &amp; Targets_Guideline'!$B$54:$B$269="C-Section"),
      0
    ),
    MATCH(
      _xludf.IFNA(
        VLOOKUP($D8,{"PH","Provincial Hospital (H2)";"DH","District Hospital (H3)";"RH","Regional / National Hospital (H1)"},2,0),
        $D8
      ),
      'Tools &amp; Targets_Guideline'!$C$53:$I$53,
      0
    )
  ),
0))</f>
        <v>#NAME?</v>
      </c>
      <c r="AH8" s="105">
        <f ca="1">IF(A8&lt;&gt;"",COUNTIFS('QA Log'!D:D,A8,'QA Log'!M:M,"QQC",'QA Log'!L:L,"2. Hygiene and Sterilization",'QA Log'!Z:Z,"Approved"),"")</f>
        <v>0</v>
      </c>
      <c r="AI8" s="102"/>
      <c r="AJ8" s="102"/>
      <c r="AK8" s="103">
        <f t="shared" si="2"/>
        <v>0</v>
      </c>
      <c r="AL8" s="102"/>
      <c r="AM8" s="102"/>
      <c r="AN8" s="102"/>
      <c r="AO8" s="106"/>
      <c r="AP8" s="103"/>
      <c r="AQ8" s="102"/>
      <c r="AR8" s="102"/>
      <c r="AS8" s="102"/>
      <c r="AT8" s="107"/>
      <c r="AU8" s="102" t="e">
        <f t="shared" si="3"/>
        <v>#REF!</v>
      </c>
      <c r="AV8" s="102" t="e">
        <f t="shared" si="4"/>
        <v>#REF!</v>
      </c>
      <c r="AW8" s="102" t="e">
        <f t="shared" si="5"/>
        <v>#REF!</v>
      </c>
      <c r="AX8" s="102" t="e">
        <f t="shared" si="6"/>
        <v>#REF!</v>
      </c>
      <c r="AY8" s="107" t="e">
        <f t="shared" si="7"/>
        <v>#REF!</v>
      </c>
      <c r="AZ8" s="108" t="str">
        <f t="shared" si="8"/>
        <v>Not Applicable</v>
      </c>
      <c r="BA8" s="108" t="e">
        <f t="shared" si="9"/>
        <v>#REF!</v>
      </c>
      <c r="BB8" s="109" t="e">
        <f t="shared" si="10"/>
        <v>#REF!</v>
      </c>
      <c r="BC8" s="108" t="str">
        <f t="shared" si="11"/>
        <v>Not Applicable</v>
      </c>
      <c r="BD8" s="108" t="e">
        <f t="shared" si="12"/>
        <v>#REF!</v>
      </c>
      <c r="BE8" s="109" t="e">
        <f t="shared" si="13"/>
        <v>#REF!</v>
      </c>
      <c r="BF8" s="110" t="e">
        <f t="shared" si="14"/>
        <v>#REF!</v>
      </c>
      <c r="BG8" s="111"/>
    </row>
    <row r="9" spans="1:59" ht="12.75">
      <c r="A9" s="101" t="s">
        <v>132</v>
      </c>
      <c r="B9" s="102" t="e">
        <f ca="1"/>
        <v>#NAME?</v>
      </c>
      <c r="C9" s="102" t="e">
        <f t="array" aca="1" ref="C9" ca="1">_xludf.XLOOKUP(A9,'QA Log'!D:D,'QA Log'!F:F,"")</f>
        <v>#NAME?</v>
      </c>
      <c r="D9" s="102" t="s">
        <v>124</v>
      </c>
      <c r="E9" s="102" t="e">
        <f t="array" aca="1" ref="E9" ca="1">_xludf.XLOOKUP(A9,'QA Log'!D:D,'QA Log'!G:G,"")</f>
        <v>#NAME?</v>
      </c>
      <c r="F9" s="103"/>
      <c r="G9" s="104"/>
      <c r="H9" s="104"/>
      <c r="I9" s="103" t="e">
        <f t="shared" ca="1" si="0"/>
        <v>#NAME?</v>
      </c>
      <c r="J9" s="102"/>
      <c r="K9" s="102"/>
      <c r="L9" s="119" t="e">
        <f t="array" aca="1" ref="L9" ca="1">IF(OR($B9="",$D9=""),"",
IFERROR(
  INDEX(
    'Tools &amp; Targets_Guideline'!$C$54:$I$269,
    MATCH(
      1,
      ('Tools &amp; Targets_Guideline'!$A$54:$A$269=$B9)*
      ('Tools &amp; Targets_Guideline'!$B$54:$B$269="ANC"),
      0
    ),
    MATCH(
      _xludf.IFNA(
        VLOOKUP($D9,{"PH","Provincial Hospital (H2)";"DH","District Hospital (H3)";"RH","Regional / National Hospital (H1)"},2,0),
        $D9
      ),
      'Tools &amp; Targets_Guideline'!$C$53:$I$53,
      0
    )
  ),
0))</f>
        <v>#NAME?</v>
      </c>
      <c r="M9" s="105"/>
      <c r="N9" s="119" t="e">
        <f t="array" aca="1" ref="N9" ca="1">IF(OR($B9="",$D9=""),"",
IFERROR(
  INDEX(
    'Tools &amp; Targets_Guideline'!$C$54:$I$269,
    MATCH(
      1,
      ('Tools &amp; Targets_Guideline'!$A$54:$A$269=$B9)*
      ('Tools &amp; Targets_Guideline'!$B$54:$B$269="PNC"),
      0
    ),
    MATCH(
      _xludf.IFNA(
        VLOOKUP($D9,{"PH","Provincial Hospital (H2)";"DH","District Hospital (H3)";"RH","Regional / National Hospital (H1)"},2,0),
        $D9
      ),
      'Tools &amp; Targets_Guideline'!$C$53:$I$53,
      0
    )
  ),
0))</f>
        <v>#NAME?</v>
      </c>
      <c r="O9" s="105"/>
      <c r="P9" s="119" t="e">
        <f t="array" aca="1" ref="P9" ca="1">IF(OR($B9="",$D9=""),"",
IFERROR(
  INDEX(
    'Tools &amp; Targets_Guideline'!$C$54:$I$269,
    MATCH(
      1,
      ('Tools &amp; Targets_Guideline'!$A$54:$A$269=$B9)*
      ('Tools &amp; Targets_Guideline'!$B$54:$B$269="Delivery"),
      0
    ),
    MATCH(
      _xludf.IFNA(
        VLOOKUP($D9,{"PH","Provincial Hospital (H2)";"DH","District Hospital (H3)";"RH","Regional / National Hospital (H1)"},2,0),
        $D9
      ),
      'Tools &amp; Targets_Guideline'!$C$53:$I$53,
      0
    )
  ),
0))</f>
        <v>#NAME?</v>
      </c>
      <c r="Q9" s="105"/>
      <c r="R9" s="119" t="e">
        <f t="array" aca="1" ref="R9" ca="1">IF(OR($B9="",$D9=""),"",
IFERROR(
  INDEX(
    'Tools &amp; Targets_Guideline'!$C$54:$I$269,
    MATCH(
      1,
      ('Tools &amp; Targets_Guideline'!$A$54:$A$269=$B9)*
      ('Tools &amp; Targets_Guideline'!$B$54:$B$269="TT"),
      0
    ),
    MATCH(
      _xludf.IFNA(
        VLOOKUP($D9,{"PH","Provincial Hospital (H2)";"DH","District Hospital (H3)";"RH","Regional / National Hospital (H1)"},2,0),
        $D9
      ),
      'Tools &amp; Targets_Guideline'!$C$53:$I$53,
      0
    )
  ),
0))</f>
        <v>#NAME?</v>
      </c>
      <c r="S9" s="105"/>
      <c r="T9" s="102"/>
      <c r="U9" s="106"/>
      <c r="V9" s="102" t="e">
        <f t="shared" ca="1" si="1"/>
        <v>#NAME?</v>
      </c>
      <c r="W9" s="102"/>
      <c r="X9" s="102"/>
      <c r="Y9" s="119" t="e">
        <f t="array" aca="1" ref="Y9" ca="1">IF(OR($B9="",$D9=""),"",
IFERROR(
  INDEX(
    'Tools &amp; Targets_Guideline'!$C$54:$I$269,
    MATCH(
      1,
      ('Tools &amp; Targets_Guideline'!$A$54:$A$269=$B9)*
      ('Tools &amp; Targets_Guideline'!$B$54:$B$269="GM"),
      0
    ),
    MATCH(
      _xludf.IFNA(
        VLOOKUP($D9,{"PH","Provincial Hospital (H2)";"DH","District Hospital (H3)";"RH","Regional / National Hospital (H1)"},2,0),
        $D9
      ),
      'Tools &amp; Targets_Guideline'!$C$53:$I$53,
      0
    )
  ),
0))</f>
        <v>#NAME?</v>
      </c>
      <c r="Z9" s="105"/>
      <c r="AA9" s="119" t="e">
        <f t="array" aca="1" ref="AA9" ca="1">IF(OR($B9="",$D9=""),"",
IFERROR(
  INDEX(
    'Tools &amp; Targets_Guideline'!$C$54:$I$269,
    MATCH(
      1,
      ('Tools &amp; Targets_Guideline'!$A$54:$A$269=$B9)*
      ('Tools &amp; Targets_Guideline'!$B$54:$B$269="Penta"),
      0
    ),
    MATCH(
      _xludf.IFNA(
        VLOOKUP($D9,{"PH","Provincial Hospital (H2)";"DH","District Hospital (H3)";"RH","Regional / National Hospital (H1)"},2,0),
        $D9
      ),
      'Tools &amp; Targets_Guideline'!$C$53:$I$53,
      0
    )
  ),
0))</f>
        <v>#NAME?</v>
      </c>
      <c r="AB9" s="105"/>
      <c r="AC9" s="119" t="e">
        <f t="array" aca="1" ref="AC9" ca="1">IF(OR($B9="",$D9=""),"",
IFERROR(
  INDEX(
    'Tools &amp; Targets_Guideline'!$C$54:$I$269,
    MATCH(
      1,
      ('Tools &amp; Targets_Guideline'!$A$54:$A$269=$B9)*
      ('Tools &amp; Targets_Guideline'!$B$54:$B$269="TB"),
      0
    ),
    MATCH(
      _xludf.IFNA(
        VLOOKUP($D9,{"PH","Provincial Hospital (H2)";"DH","District Hospital (H3)";"RH","Regional / National Hospital (H1)"},2,0),
        $D9
      ),
      'Tools &amp; Targets_Guideline'!$C$53:$I$53,
      0
    )
  ),
0))</f>
        <v>#NAME?</v>
      </c>
      <c r="AD9" s="105"/>
      <c r="AE9" s="119" t="e">
        <f t="array" aca="1" ref="AE9" ca="1">IF(OR($B9="",$D9=""),"",
IFERROR(
  INDEX(
    'Tools &amp; Targets_Guideline'!$C$54:$I$269,
    MATCH(
      1,
      ('Tools &amp; Targets_Guideline'!$A$54:$A$269=$B9)*
      ('Tools &amp; Targets_Guideline'!$B$54:$B$269="U5 Morbidity"),
      0
    ),
    MATCH(
      _xludf.IFNA(
        VLOOKUP($D9,{"PH","Provincial Hospital (H2)";"DH","District Hospital (H3)";"RH","Regional / National Hospital (H1)"},2,0),
        $D9
      ),
      'Tools &amp; Targets_Guideline'!$C$53:$I$53,
      0
    )
  ),
0))</f>
        <v>#NAME?</v>
      </c>
      <c r="AF9" s="105"/>
      <c r="AG9" s="119" t="e">
        <f t="array" aca="1" ref="AG9" ca="1">IF(OR($B9="",$D9=""),"",
IFERROR(
  INDEX(
    'Tools &amp; Targets_Guideline'!$C$54:$I$269,
    MATCH(
      1,
      ('Tools &amp; Targets_Guideline'!$A$54:$A$269=$B9)*
      ('Tools &amp; Targets_Guideline'!$B$54:$B$269="C-Section"),
      0
    ),
    MATCH(
      _xludf.IFNA(
        VLOOKUP($D9,{"PH","Provincial Hospital (H2)";"DH","District Hospital (H3)";"RH","Regional / National Hospital (H1)"},2,0),
        $D9
      ),
      'Tools &amp; Targets_Guideline'!$C$53:$I$53,
      0
    )
  ),
0))</f>
        <v>#NAME?</v>
      </c>
      <c r="AH9" s="105">
        <f ca="1">IF(A9&lt;&gt;"",COUNTIFS('QA Log'!D:D,A9,'QA Log'!M:M,"QQC",'QA Log'!L:L,"2. Hygiene and Sterilization",'QA Log'!Z:Z,"Approved"),"")</f>
        <v>0</v>
      </c>
      <c r="AI9" s="102"/>
      <c r="AJ9" s="102"/>
      <c r="AK9" s="103">
        <f t="shared" si="2"/>
        <v>0</v>
      </c>
      <c r="AL9" s="102"/>
      <c r="AM9" s="102"/>
      <c r="AN9" s="102"/>
      <c r="AO9" s="106"/>
      <c r="AP9" s="103"/>
      <c r="AQ9" s="102"/>
      <c r="AR9" s="102"/>
      <c r="AS9" s="102"/>
      <c r="AT9" s="107"/>
      <c r="AU9" s="102" t="e">
        <f t="shared" si="3"/>
        <v>#REF!</v>
      </c>
      <c r="AV9" s="102" t="e">
        <f t="shared" si="4"/>
        <v>#REF!</v>
      </c>
      <c r="AW9" s="102" t="e">
        <f t="shared" si="5"/>
        <v>#REF!</v>
      </c>
      <c r="AX9" s="102" t="e">
        <f t="shared" si="6"/>
        <v>#REF!</v>
      </c>
      <c r="AY9" s="107" t="e">
        <f t="shared" si="7"/>
        <v>#REF!</v>
      </c>
      <c r="AZ9" s="108" t="str">
        <f t="shared" si="8"/>
        <v>Not Applicable</v>
      </c>
      <c r="BA9" s="108" t="e">
        <f t="shared" si="9"/>
        <v>#REF!</v>
      </c>
      <c r="BB9" s="109" t="e">
        <f t="shared" si="10"/>
        <v>#REF!</v>
      </c>
      <c r="BC9" s="108" t="str">
        <f t="shared" si="11"/>
        <v>Not Applicable</v>
      </c>
      <c r="BD9" s="108" t="e">
        <f t="shared" si="12"/>
        <v>#REF!</v>
      </c>
      <c r="BE9" s="109" t="e">
        <f t="shared" si="13"/>
        <v>#REF!</v>
      </c>
      <c r="BF9" s="110" t="e">
        <f t="shared" si="14"/>
        <v>#REF!</v>
      </c>
      <c r="BG9" s="111"/>
    </row>
    <row r="10" spans="1:59" ht="12.75">
      <c r="A10" s="101" t="s">
        <v>133</v>
      </c>
      <c r="B10" s="102" t="e">
        <f ca="1"/>
        <v>#NAME?</v>
      </c>
      <c r="C10" s="102" t="e">
        <f t="array" aca="1" ref="C10" ca="1">_xludf.XLOOKUP(A10,'QA Log'!D:D,'QA Log'!F:F,"")</f>
        <v>#NAME?</v>
      </c>
      <c r="D10" s="102" t="s">
        <v>126</v>
      </c>
      <c r="E10" s="102" t="e">
        <f t="array" aca="1" ref="E10" ca="1">_xludf.XLOOKUP(A10,'QA Log'!D:D,'QA Log'!G:G,"")</f>
        <v>#NAME?</v>
      </c>
      <c r="F10" s="103"/>
      <c r="G10" s="102"/>
      <c r="H10" s="102"/>
      <c r="I10" s="103" t="e">
        <f t="shared" ca="1" si="0"/>
        <v>#NAME?</v>
      </c>
      <c r="J10" s="102"/>
      <c r="K10" s="102"/>
      <c r="L10" s="119" t="e">
        <f t="array" aca="1" ref="L10" ca="1">IF(OR($B10="",$D10=""),"",
IFERROR(
  INDEX(
    'Tools &amp; Targets_Guideline'!$C$54:$I$269,
    MATCH(
      1,
      ('Tools &amp; Targets_Guideline'!$A$54:$A$269=$B10)*
      ('Tools &amp; Targets_Guideline'!$B$54:$B$269="ANC"),
      0
    ),
    MATCH(
      _xludf.IFNA(
        VLOOKUP($D10,{"PH","Provincial Hospital (H2)";"DH","District Hospital (H3)";"RH","Regional / National Hospital (H1)"},2,0),
        $D10
      ),
      'Tools &amp; Targets_Guideline'!$C$53:$I$53,
      0
    )
  ),
0))</f>
        <v>#NAME?</v>
      </c>
      <c r="M10" s="105"/>
      <c r="N10" s="119" t="e">
        <f t="array" aca="1" ref="N10" ca="1">IF(OR($B10="",$D10=""),"",
IFERROR(
  INDEX(
    'Tools &amp; Targets_Guideline'!$C$54:$I$269,
    MATCH(
      1,
      ('Tools &amp; Targets_Guideline'!$A$54:$A$269=$B10)*
      ('Tools &amp; Targets_Guideline'!$B$54:$B$269="PNC"),
      0
    ),
    MATCH(
      _xludf.IFNA(
        VLOOKUP($D10,{"PH","Provincial Hospital (H2)";"DH","District Hospital (H3)";"RH","Regional / National Hospital (H1)"},2,0),
        $D10
      ),
      'Tools &amp; Targets_Guideline'!$C$53:$I$53,
      0
    )
  ),
0))</f>
        <v>#NAME?</v>
      </c>
      <c r="O10" s="105"/>
      <c r="P10" s="119" t="e">
        <f t="array" aca="1" ref="P10" ca="1">IF(OR($B10="",$D10=""),"",
IFERROR(
  INDEX(
    'Tools &amp; Targets_Guideline'!$C$54:$I$269,
    MATCH(
      1,
      ('Tools &amp; Targets_Guideline'!$A$54:$A$269=$B10)*
      ('Tools &amp; Targets_Guideline'!$B$54:$B$269="Delivery"),
      0
    ),
    MATCH(
      _xludf.IFNA(
        VLOOKUP($D10,{"PH","Provincial Hospital (H2)";"DH","District Hospital (H3)";"RH","Regional / National Hospital (H1)"},2,0),
        $D10
      ),
      'Tools &amp; Targets_Guideline'!$C$53:$I$53,
      0
    )
  ),
0))</f>
        <v>#NAME?</v>
      </c>
      <c r="Q10" s="105"/>
      <c r="R10" s="119" t="e">
        <f t="array" aca="1" ref="R10" ca="1">IF(OR($B10="",$D10=""),"",
IFERROR(
  INDEX(
    'Tools &amp; Targets_Guideline'!$C$54:$I$269,
    MATCH(
      1,
      ('Tools &amp; Targets_Guideline'!$A$54:$A$269=$B10)*
      ('Tools &amp; Targets_Guideline'!$B$54:$B$269="TT"),
      0
    ),
    MATCH(
      _xludf.IFNA(
        VLOOKUP($D10,{"PH","Provincial Hospital (H2)";"DH","District Hospital (H3)";"RH","Regional / National Hospital (H1)"},2,0),
        $D10
      ),
      'Tools &amp; Targets_Guideline'!$C$53:$I$53,
      0
    )
  ),
0))</f>
        <v>#NAME?</v>
      </c>
      <c r="S10" s="105"/>
      <c r="T10" s="102"/>
      <c r="U10" s="106"/>
      <c r="V10" s="102" t="e">
        <f t="shared" ca="1" si="1"/>
        <v>#NAME?</v>
      </c>
      <c r="W10" s="102"/>
      <c r="X10" s="102"/>
      <c r="Y10" s="119" t="e">
        <f t="array" aca="1" ref="Y10" ca="1">IF(OR($B10="",$D10=""),"",
IFERROR(
  INDEX(
    'Tools &amp; Targets_Guideline'!$C$54:$I$269,
    MATCH(
      1,
      ('Tools &amp; Targets_Guideline'!$A$54:$A$269=$B10)*
      ('Tools &amp; Targets_Guideline'!$B$54:$B$269="GM"),
      0
    ),
    MATCH(
      _xludf.IFNA(
        VLOOKUP($D10,{"PH","Provincial Hospital (H2)";"DH","District Hospital (H3)";"RH","Regional / National Hospital (H1)"},2,0),
        $D10
      ),
      'Tools &amp; Targets_Guideline'!$C$53:$I$53,
      0
    )
  ),
0))</f>
        <v>#NAME?</v>
      </c>
      <c r="Z10" s="105"/>
      <c r="AA10" s="119" t="e">
        <f t="array" aca="1" ref="AA10" ca="1">IF(OR($B10="",$D10=""),"",
IFERROR(
  INDEX(
    'Tools &amp; Targets_Guideline'!$C$54:$I$269,
    MATCH(
      1,
      ('Tools &amp; Targets_Guideline'!$A$54:$A$269=$B10)*
      ('Tools &amp; Targets_Guideline'!$B$54:$B$269="Penta"),
      0
    ),
    MATCH(
      _xludf.IFNA(
        VLOOKUP($D10,{"PH","Provincial Hospital (H2)";"DH","District Hospital (H3)";"RH","Regional / National Hospital (H1)"},2,0),
        $D10
      ),
      'Tools &amp; Targets_Guideline'!$C$53:$I$53,
      0
    )
  ),
0))</f>
        <v>#NAME?</v>
      </c>
      <c r="AB10" s="105"/>
      <c r="AC10" s="119" t="e">
        <f t="array" aca="1" ref="AC10" ca="1">IF(OR($B10="",$D10=""),"",
IFERROR(
  INDEX(
    'Tools &amp; Targets_Guideline'!$C$54:$I$269,
    MATCH(
      1,
      ('Tools &amp; Targets_Guideline'!$A$54:$A$269=$B10)*
      ('Tools &amp; Targets_Guideline'!$B$54:$B$269="TB"),
      0
    ),
    MATCH(
      _xludf.IFNA(
        VLOOKUP($D10,{"PH","Provincial Hospital (H2)";"DH","District Hospital (H3)";"RH","Regional / National Hospital (H1)"},2,0),
        $D10
      ),
      'Tools &amp; Targets_Guideline'!$C$53:$I$53,
      0
    )
  ),
0))</f>
        <v>#NAME?</v>
      </c>
      <c r="AD10" s="105"/>
      <c r="AE10" s="119" t="e">
        <f t="array" aca="1" ref="AE10" ca="1">IF(OR($B10="",$D10=""),"",
IFERROR(
  INDEX(
    'Tools &amp; Targets_Guideline'!$C$54:$I$269,
    MATCH(
      1,
      ('Tools &amp; Targets_Guideline'!$A$54:$A$269=$B10)*
      ('Tools &amp; Targets_Guideline'!$B$54:$B$269="U5 Morbidity"),
      0
    ),
    MATCH(
      _xludf.IFNA(
        VLOOKUP($D10,{"PH","Provincial Hospital (H2)";"DH","District Hospital (H3)";"RH","Regional / National Hospital (H1)"},2,0),
        $D10
      ),
      'Tools &amp; Targets_Guideline'!$C$53:$I$53,
      0
    )
  ),
0))</f>
        <v>#NAME?</v>
      </c>
      <c r="AF10" s="105"/>
      <c r="AG10" s="119" t="e">
        <f t="array" aca="1" ref="AG10" ca="1">IF(OR($B10="",$D10=""),"",
IFERROR(
  INDEX(
    'Tools &amp; Targets_Guideline'!$C$54:$I$269,
    MATCH(
      1,
      ('Tools &amp; Targets_Guideline'!$A$54:$A$269=$B10)*
      ('Tools &amp; Targets_Guideline'!$B$54:$B$269="C-Section"),
      0
    ),
    MATCH(
      _xludf.IFNA(
        VLOOKUP($D10,{"PH","Provincial Hospital (H2)";"DH","District Hospital (H3)";"RH","Regional / National Hospital (H1)"},2,0),
        $D10
      ),
      'Tools &amp; Targets_Guideline'!$C$53:$I$53,
      0
    )
  ),
0))</f>
        <v>#NAME?</v>
      </c>
      <c r="AH10" s="105">
        <f ca="1">IF(A10&lt;&gt;"",COUNTIFS('QA Log'!D:D,A10,'QA Log'!M:M,"QQC",'QA Log'!L:L,"2. Hygiene and Sterilization",'QA Log'!Z:Z,"Approved"),"")</f>
        <v>0</v>
      </c>
      <c r="AI10" s="102"/>
      <c r="AJ10" s="102"/>
      <c r="AK10" s="103">
        <f t="shared" si="2"/>
        <v>1</v>
      </c>
      <c r="AL10" s="102"/>
      <c r="AM10" s="102"/>
      <c r="AN10" s="102"/>
      <c r="AO10" s="106"/>
      <c r="AP10" s="103"/>
      <c r="AQ10" s="102"/>
      <c r="AR10" s="102"/>
      <c r="AS10" s="102"/>
      <c r="AT10" s="107"/>
      <c r="AU10" s="102" t="e">
        <f t="shared" si="3"/>
        <v>#REF!</v>
      </c>
      <c r="AV10" s="102" t="e">
        <f t="shared" si="4"/>
        <v>#REF!</v>
      </c>
      <c r="AW10" s="102" t="e">
        <f t="shared" si="5"/>
        <v>#REF!</v>
      </c>
      <c r="AX10" s="102" t="e">
        <f t="shared" si="6"/>
        <v>#REF!</v>
      </c>
      <c r="AY10" s="107" t="e">
        <f t="shared" si="7"/>
        <v>#REF!</v>
      </c>
      <c r="AZ10" s="108" t="e">
        <f t="shared" ca="1" si="8"/>
        <v>#NAME?</v>
      </c>
      <c r="BA10" s="108" t="str">
        <f t="shared" si="9"/>
        <v>Not Applicable</v>
      </c>
      <c r="BB10" s="109" t="e">
        <f t="shared" si="10"/>
        <v>#REF!</v>
      </c>
      <c r="BC10" s="108" t="e">
        <f t="shared" ca="1" si="11"/>
        <v>#NAME?</v>
      </c>
      <c r="BD10" s="108" t="str">
        <f t="shared" si="12"/>
        <v>Not Applicable</v>
      </c>
      <c r="BE10" s="109" t="e">
        <f t="shared" si="13"/>
        <v>#REF!</v>
      </c>
      <c r="BF10" s="110" t="e">
        <f t="shared" ca="1" si="14"/>
        <v>#NAME?</v>
      </c>
      <c r="BG10" s="111"/>
    </row>
    <row r="11" spans="1:59" ht="12.75">
      <c r="A11" s="101" t="s">
        <v>134</v>
      </c>
      <c r="B11" s="102" t="e">
        <f ca="1"/>
        <v>#NAME?</v>
      </c>
      <c r="C11" s="102" t="e">
        <f t="array" aca="1" ref="C11" ca="1">_xludf.XLOOKUP(A11,'QA Log'!D:D,'QA Log'!F:F,"")</f>
        <v>#NAME?</v>
      </c>
      <c r="D11" s="102" t="s">
        <v>127</v>
      </c>
      <c r="E11" s="102" t="e">
        <f t="array" aca="1" ref="E11" ca="1">_xludf.XLOOKUP(A11,'QA Log'!D:D,'QA Log'!G:G,"")</f>
        <v>#NAME?</v>
      </c>
      <c r="F11" s="103"/>
      <c r="G11" s="102"/>
      <c r="H11" s="104"/>
      <c r="I11" s="103" t="e">
        <f t="shared" ca="1" si="0"/>
        <v>#NAME?</v>
      </c>
      <c r="J11" s="102"/>
      <c r="K11" s="102"/>
      <c r="L11" s="119" t="e">
        <f t="array" aca="1" ref="L11" ca="1">IF(OR($B11="",$D11=""),"",
IFERROR(
  INDEX(
    'Tools &amp; Targets_Guideline'!$C$54:$I$269,
    MATCH(
      1,
      ('Tools &amp; Targets_Guideline'!$A$54:$A$269=$B11)*
      ('Tools &amp; Targets_Guideline'!$B$54:$B$269="ANC"),
      0
    ),
    MATCH(
      _xludf.IFNA(
        VLOOKUP($D11,{"PH","Provincial Hospital (H2)";"DH","District Hospital (H3)";"RH","Regional / National Hospital (H1)"},2,0),
        $D11
      ),
      'Tools &amp; Targets_Guideline'!$C$53:$I$53,
      0
    )
  ),
0))</f>
        <v>#NAME?</v>
      </c>
      <c r="M11" s="105"/>
      <c r="N11" s="119" t="e">
        <f t="array" aca="1" ref="N11" ca="1">IF(OR($B11="",$D11=""),"",
IFERROR(
  INDEX(
    'Tools &amp; Targets_Guideline'!$C$54:$I$269,
    MATCH(
      1,
      ('Tools &amp; Targets_Guideline'!$A$54:$A$269=$B11)*
      ('Tools &amp; Targets_Guideline'!$B$54:$B$269="PNC"),
      0
    ),
    MATCH(
      _xludf.IFNA(
        VLOOKUP($D11,{"PH","Provincial Hospital (H2)";"DH","District Hospital (H3)";"RH","Regional / National Hospital (H1)"},2,0),
        $D11
      ),
      'Tools &amp; Targets_Guideline'!$C$53:$I$53,
      0
    )
  ),
0))</f>
        <v>#NAME?</v>
      </c>
      <c r="O11" s="105"/>
      <c r="P11" s="119" t="e">
        <f t="array" aca="1" ref="P11" ca="1">IF(OR($B11="",$D11=""),"",
IFERROR(
  INDEX(
    'Tools &amp; Targets_Guideline'!$C$54:$I$269,
    MATCH(
      1,
      ('Tools &amp; Targets_Guideline'!$A$54:$A$269=$B11)*
      ('Tools &amp; Targets_Guideline'!$B$54:$B$269="Delivery"),
      0
    ),
    MATCH(
      _xludf.IFNA(
        VLOOKUP($D11,{"PH","Provincial Hospital (H2)";"DH","District Hospital (H3)";"RH","Regional / National Hospital (H1)"},2,0),
        $D11
      ),
      'Tools &amp; Targets_Guideline'!$C$53:$I$53,
      0
    )
  ),
0))</f>
        <v>#NAME?</v>
      </c>
      <c r="Q11" s="105"/>
      <c r="R11" s="119" t="e">
        <f t="array" aca="1" ref="R11" ca="1">IF(OR($B11="",$D11=""),"",
IFERROR(
  INDEX(
    'Tools &amp; Targets_Guideline'!$C$54:$I$269,
    MATCH(
      1,
      ('Tools &amp; Targets_Guideline'!$A$54:$A$269=$B11)*
      ('Tools &amp; Targets_Guideline'!$B$54:$B$269="TT"),
      0
    ),
    MATCH(
      _xludf.IFNA(
        VLOOKUP($D11,{"PH","Provincial Hospital (H2)";"DH","District Hospital (H3)";"RH","Regional / National Hospital (H1)"},2,0),
        $D11
      ),
      'Tools &amp; Targets_Guideline'!$C$53:$I$53,
      0
    )
  ),
0))</f>
        <v>#NAME?</v>
      </c>
      <c r="S11" s="105"/>
      <c r="T11" s="102"/>
      <c r="U11" s="106"/>
      <c r="V11" s="102" t="e">
        <f t="shared" ca="1" si="1"/>
        <v>#NAME?</v>
      </c>
      <c r="W11" s="102"/>
      <c r="X11" s="102"/>
      <c r="Y11" s="119" t="e">
        <f t="array" aca="1" ref="Y11" ca="1">IF(OR($B11="",$D11=""),"",
IFERROR(
  INDEX(
    'Tools &amp; Targets_Guideline'!$C$54:$I$269,
    MATCH(
      1,
      ('Tools &amp; Targets_Guideline'!$A$54:$A$269=$B11)*
      ('Tools &amp; Targets_Guideline'!$B$54:$B$269="GM"),
      0
    ),
    MATCH(
      _xludf.IFNA(
        VLOOKUP($D11,{"PH","Provincial Hospital (H2)";"DH","District Hospital (H3)";"RH","Regional / National Hospital (H1)"},2,0),
        $D11
      ),
      'Tools &amp; Targets_Guideline'!$C$53:$I$53,
      0
    )
  ),
0))</f>
        <v>#NAME?</v>
      </c>
      <c r="Z11" s="105"/>
      <c r="AA11" s="119" t="e">
        <f t="array" aca="1" ref="AA11" ca="1">IF(OR($B11="",$D11=""),"",
IFERROR(
  INDEX(
    'Tools &amp; Targets_Guideline'!$C$54:$I$269,
    MATCH(
      1,
      ('Tools &amp; Targets_Guideline'!$A$54:$A$269=$B11)*
      ('Tools &amp; Targets_Guideline'!$B$54:$B$269="Penta"),
      0
    ),
    MATCH(
      _xludf.IFNA(
        VLOOKUP($D11,{"PH","Provincial Hospital (H2)";"DH","District Hospital (H3)";"RH","Regional / National Hospital (H1)"},2,0),
        $D11
      ),
      'Tools &amp; Targets_Guideline'!$C$53:$I$53,
      0
    )
  ),
0))</f>
        <v>#NAME?</v>
      </c>
      <c r="AB11" s="105"/>
      <c r="AC11" s="119" t="e">
        <f t="array" aca="1" ref="AC11" ca="1">IF(OR($B11="",$D11=""),"",
IFERROR(
  INDEX(
    'Tools &amp; Targets_Guideline'!$C$54:$I$269,
    MATCH(
      1,
      ('Tools &amp; Targets_Guideline'!$A$54:$A$269=$B11)*
      ('Tools &amp; Targets_Guideline'!$B$54:$B$269="TB"),
      0
    ),
    MATCH(
      _xludf.IFNA(
        VLOOKUP($D11,{"PH","Provincial Hospital (H2)";"DH","District Hospital (H3)";"RH","Regional / National Hospital (H1)"},2,0),
        $D11
      ),
      'Tools &amp; Targets_Guideline'!$C$53:$I$53,
      0
    )
  ),
0))</f>
        <v>#NAME?</v>
      </c>
      <c r="AD11" s="105"/>
      <c r="AE11" s="119" t="e">
        <f t="array" aca="1" ref="AE11" ca="1">IF(OR($B11="",$D11=""),"",
IFERROR(
  INDEX(
    'Tools &amp; Targets_Guideline'!$C$54:$I$269,
    MATCH(
      1,
      ('Tools &amp; Targets_Guideline'!$A$54:$A$269=$B11)*
      ('Tools &amp; Targets_Guideline'!$B$54:$B$269="U5 Morbidity"),
      0
    ),
    MATCH(
      _xludf.IFNA(
        VLOOKUP($D11,{"PH","Provincial Hospital (H2)";"DH","District Hospital (H3)";"RH","Regional / National Hospital (H1)"},2,0),
        $D11
      ),
      'Tools &amp; Targets_Guideline'!$C$53:$I$53,
      0
    )
  ),
0))</f>
        <v>#NAME?</v>
      </c>
      <c r="AF11" s="105"/>
      <c r="AG11" s="119" t="e">
        <f t="array" aca="1" ref="AG11" ca="1">IF(OR($B11="",$D11=""),"",
IFERROR(
  INDEX(
    'Tools &amp; Targets_Guideline'!$C$54:$I$269,
    MATCH(
      1,
      ('Tools &amp; Targets_Guideline'!$A$54:$A$269=$B11)*
      ('Tools &amp; Targets_Guideline'!$B$54:$B$269="C-Section"),
      0
    ),
    MATCH(
      _xludf.IFNA(
        VLOOKUP($D11,{"PH","Provincial Hospital (H2)";"DH","District Hospital (H3)";"RH","Regional / National Hospital (H1)"},2,0),
        $D11
      ),
      'Tools &amp; Targets_Guideline'!$C$53:$I$53,
      0
    )
  ),
0))</f>
        <v>#NAME?</v>
      </c>
      <c r="AH11" s="105">
        <f ca="1">IF(A11&lt;&gt;"",COUNTIFS('QA Log'!D:D,A11,'QA Log'!M:M,"QQC",'QA Log'!L:L,"2. Hygiene and Sterilization",'QA Log'!Z:Z,"Approved"),"")</f>
        <v>0</v>
      </c>
      <c r="AI11" s="102"/>
      <c r="AJ11" s="102"/>
      <c r="AK11" s="103">
        <f t="shared" si="2"/>
        <v>1</v>
      </c>
      <c r="AL11" s="102"/>
      <c r="AM11" s="102"/>
      <c r="AN11" s="102"/>
      <c r="AO11" s="106"/>
      <c r="AP11" s="103"/>
      <c r="AQ11" s="102"/>
      <c r="AR11" s="102"/>
      <c r="AS11" s="102"/>
      <c r="AT11" s="107"/>
      <c r="AU11" s="102" t="e">
        <f t="shared" si="3"/>
        <v>#REF!</v>
      </c>
      <c r="AV11" s="102" t="e">
        <f t="shared" si="4"/>
        <v>#REF!</v>
      </c>
      <c r="AW11" s="102" t="e">
        <f t="shared" si="5"/>
        <v>#REF!</v>
      </c>
      <c r="AX11" s="102" t="e">
        <f t="shared" si="6"/>
        <v>#REF!</v>
      </c>
      <c r="AY11" s="107" t="e">
        <f t="shared" si="7"/>
        <v>#REF!</v>
      </c>
      <c r="AZ11" s="108" t="e">
        <f t="shared" ca="1" si="8"/>
        <v>#NAME?</v>
      </c>
      <c r="BA11" s="108" t="str">
        <f t="shared" si="9"/>
        <v>Not Applicable</v>
      </c>
      <c r="BB11" s="109" t="e">
        <f t="shared" si="10"/>
        <v>#REF!</v>
      </c>
      <c r="BC11" s="108" t="e">
        <f t="shared" ca="1" si="11"/>
        <v>#NAME?</v>
      </c>
      <c r="BD11" s="108" t="str">
        <f t="shared" si="12"/>
        <v>Not Applicable</v>
      </c>
      <c r="BE11" s="109" t="e">
        <f t="shared" si="13"/>
        <v>#REF!</v>
      </c>
      <c r="BF11" s="110" t="e">
        <f t="shared" ca="1" si="14"/>
        <v>#NAME?</v>
      </c>
      <c r="BG11" s="111"/>
    </row>
    <row r="12" spans="1:59" ht="12.75">
      <c r="A12" s="101" t="s">
        <v>135</v>
      </c>
      <c r="B12" s="102" t="e">
        <f ca="1"/>
        <v>#NAME?</v>
      </c>
      <c r="C12" s="102" t="e">
        <f t="array" aca="1" ref="C12" ca="1">_xludf.XLOOKUP(A12,'QA Log'!D:D,'QA Log'!F:F,"")</f>
        <v>#NAME?</v>
      </c>
      <c r="D12" s="102" t="s">
        <v>128</v>
      </c>
      <c r="E12" s="102" t="e">
        <f t="array" aca="1" ref="E12" ca="1">_xludf.XLOOKUP(A12,'QA Log'!D:D,'QA Log'!G:G,"")</f>
        <v>#NAME?</v>
      </c>
      <c r="F12" s="103"/>
      <c r="G12" s="102"/>
      <c r="H12" s="102"/>
      <c r="I12" s="103" t="e">
        <f t="shared" ca="1" si="0"/>
        <v>#NAME?</v>
      </c>
      <c r="J12" s="102"/>
      <c r="K12" s="102"/>
      <c r="L12" s="119" t="e">
        <f t="array" aca="1" ref="L12" ca="1">IF(OR($B12="",$D12=""),"",
IFERROR(
  INDEX(
    'Tools &amp; Targets_Guideline'!$C$54:$I$269,
    MATCH(
      1,
      ('Tools &amp; Targets_Guideline'!$A$54:$A$269=$B12)*
      ('Tools &amp; Targets_Guideline'!$B$54:$B$269="ANC"),
      0
    ),
    MATCH(
      _xludf.IFNA(
        VLOOKUP($D12,{"PH","Provincial Hospital (H2)";"DH","District Hospital (H3)";"RH","Regional / National Hospital (H1)"},2,0),
        $D12
      ),
      'Tools &amp; Targets_Guideline'!$C$53:$I$53,
      0
    )
  ),
0))</f>
        <v>#NAME?</v>
      </c>
      <c r="M12" s="105"/>
      <c r="N12" s="119" t="e">
        <f t="array" aca="1" ref="N12" ca="1">IF(OR($B12="",$D12=""),"",
IFERROR(
  INDEX(
    'Tools &amp; Targets_Guideline'!$C$54:$I$269,
    MATCH(
      1,
      ('Tools &amp; Targets_Guideline'!$A$54:$A$269=$B12)*
      ('Tools &amp; Targets_Guideline'!$B$54:$B$269="PNC"),
      0
    ),
    MATCH(
      _xludf.IFNA(
        VLOOKUP($D12,{"PH","Provincial Hospital (H2)";"DH","District Hospital (H3)";"RH","Regional / National Hospital (H1)"},2,0),
        $D12
      ),
      'Tools &amp; Targets_Guideline'!$C$53:$I$53,
      0
    )
  ),
0))</f>
        <v>#NAME?</v>
      </c>
      <c r="O12" s="105"/>
      <c r="P12" s="119" t="e">
        <f t="array" aca="1" ref="P12" ca="1">IF(OR($B12="",$D12=""),"",
IFERROR(
  INDEX(
    'Tools &amp; Targets_Guideline'!$C$54:$I$269,
    MATCH(
      1,
      ('Tools &amp; Targets_Guideline'!$A$54:$A$269=$B12)*
      ('Tools &amp; Targets_Guideline'!$B$54:$B$269="Delivery"),
      0
    ),
    MATCH(
      _xludf.IFNA(
        VLOOKUP($D12,{"PH","Provincial Hospital (H2)";"DH","District Hospital (H3)";"RH","Regional / National Hospital (H1)"},2,0),
        $D12
      ),
      'Tools &amp; Targets_Guideline'!$C$53:$I$53,
      0
    )
  ),
0))</f>
        <v>#NAME?</v>
      </c>
      <c r="Q12" s="105"/>
      <c r="R12" s="119" t="e">
        <f t="array" aca="1" ref="R12" ca="1">IF(OR($B12="",$D12=""),"",
IFERROR(
  INDEX(
    'Tools &amp; Targets_Guideline'!$C$54:$I$269,
    MATCH(
      1,
      ('Tools &amp; Targets_Guideline'!$A$54:$A$269=$B12)*
      ('Tools &amp; Targets_Guideline'!$B$54:$B$269="TT"),
      0
    ),
    MATCH(
      _xludf.IFNA(
        VLOOKUP($D12,{"PH","Provincial Hospital (H2)";"DH","District Hospital (H3)";"RH","Regional / National Hospital (H1)"},2,0),
        $D12
      ),
      'Tools &amp; Targets_Guideline'!$C$53:$I$53,
      0
    )
  ),
0))</f>
        <v>#NAME?</v>
      </c>
      <c r="S12" s="105"/>
      <c r="T12" s="102"/>
      <c r="U12" s="106"/>
      <c r="V12" s="102" t="e">
        <f t="shared" ca="1" si="1"/>
        <v>#NAME?</v>
      </c>
      <c r="W12" s="102"/>
      <c r="X12" s="102"/>
      <c r="Y12" s="119" t="e">
        <f t="array" aca="1" ref="Y12" ca="1">IF(OR($B12="",$D12=""),"",
IFERROR(
  INDEX(
    'Tools &amp; Targets_Guideline'!$C$54:$I$269,
    MATCH(
      1,
      ('Tools &amp; Targets_Guideline'!$A$54:$A$269=$B12)*
      ('Tools &amp; Targets_Guideline'!$B$54:$B$269="GM"),
      0
    ),
    MATCH(
      _xludf.IFNA(
        VLOOKUP($D12,{"PH","Provincial Hospital (H2)";"DH","District Hospital (H3)";"RH","Regional / National Hospital (H1)"},2,0),
        $D12
      ),
      'Tools &amp; Targets_Guideline'!$C$53:$I$53,
      0
    )
  ),
0))</f>
        <v>#NAME?</v>
      </c>
      <c r="Z12" s="105"/>
      <c r="AA12" s="119" t="e">
        <f t="array" aca="1" ref="AA12" ca="1">IF(OR($B12="",$D12=""),"",
IFERROR(
  INDEX(
    'Tools &amp; Targets_Guideline'!$C$54:$I$269,
    MATCH(
      1,
      ('Tools &amp; Targets_Guideline'!$A$54:$A$269=$B12)*
      ('Tools &amp; Targets_Guideline'!$B$54:$B$269="Penta"),
      0
    ),
    MATCH(
      _xludf.IFNA(
        VLOOKUP($D12,{"PH","Provincial Hospital (H2)";"DH","District Hospital (H3)";"RH","Regional / National Hospital (H1)"},2,0),
        $D12
      ),
      'Tools &amp; Targets_Guideline'!$C$53:$I$53,
      0
    )
  ),
0))</f>
        <v>#NAME?</v>
      </c>
      <c r="AB12" s="105"/>
      <c r="AC12" s="119" t="e">
        <f t="array" aca="1" ref="AC12" ca="1">IF(OR($B12="",$D12=""),"",
IFERROR(
  INDEX(
    'Tools &amp; Targets_Guideline'!$C$54:$I$269,
    MATCH(
      1,
      ('Tools &amp; Targets_Guideline'!$A$54:$A$269=$B12)*
      ('Tools &amp; Targets_Guideline'!$B$54:$B$269="TB"),
      0
    ),
    MATCH(
      _xludf.IFNA(
        VLOOKUP($D12,{"PH","Provincial Hospital (H2)";"DH","District Hospital (H3)";"RH","Regional / National Hospital (H1)"},2,0),
        $D12
      ),
      'Tools &amp; Targets_Guideline'!$C$53:$I$53,
      0
    )
  ),
0))</f>
        <v>#NAME?</v>
      </c>
      <c r="AD12" s="105"/>
      <c r="AE12" s="119" t="e">
        <f t="array" aca="1" ref="AE12" ca="1">IF(OR($B12="",$D12=""),"",
IFERROR(
  INDEX(
    'Tools &amp; Targets_Guideline'!$C$54:$I$269,
    MATCH(
      1,
      ('Tools &amp; Targets_Guideline'!$A$54:$A$269=$B12)*
      ('Tools &amp; Targets_Guideline'!$B$54:$B$269="U5 Morbidity"),
      0
    ),
    MATCH(
      _xludf.IFNA(
        VLOOKUP($D12,{"PH","Provincial Hospital (H2)";"DH","District Hospital (H3)";"RH","Regional / National Hospital (H1)"},2,0),
        $D12
      ),
      'Tools &amp; Targets_Guideline'!$C$53:$I$53,
      0
    )
  ),
0))</f>
        <v>#NAME?</v>
      </c>
      <c r="AF12" s="105"/>
      <c r="AG12" s="119" t="e">
        <f t="array" aca="1" ref="AG12" ca="1">IF(OR($B12="",$D12=""),"",
IFERROR(
  INDEX(
    'Tools &amp; Targets_Guideline'!$C$54:$I$269,
    MATCH(
      1,
      ('Tools &amp; Targets_Guideline'!$A$54:$A$269=$B12)*
      ('Tools &amp; Targets_Guideline'!$B$54:$B$269="C-Section"),
      0
    ),
    MATCH(
      _xludf.IFNA(
        VLOOKUP($D12,{"PH","Provincial Hospital (H2)";"DH","District Hospital (H3)";"RH","Regional / National Hospital (H1)"},2,0),
        $D12
      ),
      'Tools &amp; Targets_Guideline'!$C$53:$I$53,
      0
    )
  ),
0))</f>
        <v>#NAME?</v>
      </c>
      <c r="AH12" s="105">
        <f ca="1">IF(A12&lt;&gt;"",COUNTIFS('QA Log'!D:D,A12,'QA Log'!M:M,"QQC",'QA Log'!L:L,"2. Hygiene and Sterilization",'QA Log'!Z:Z,"Approved"),"")</f>
        <v>0</v>
      </c>
      <c r="AI12" s="102"/>
      <c r="AJ12" s="102"/>
      <c r="AK12" s="103">
        <f t="shared" si="2"/>
        <v>1</v>
      </c>
      <c r="AL12" s="102"/>
      <c r="AM12" s="102"/>
      <c r="AN12" s="102"/>
      <c r="AO12" s="106"/>
      <c r="AP12" s="103"/>
      <c r="AQ12" s="102"/>
      <c r="AR12" s="102"/>
      <c r="AS12" s="102"/>
      <c r="AT12" s="107"/>
      <c r="AU12" s="102" t="e">
        <f t="shared" si="3"/>
        <v>#REF!</v>
      </c>
      <c r="AV12" s="102" t="e">
        <f t="shared" si="4"/>
        <v>#REF!</v>
      </c>
      <c r="AW12" s="102" t="e">
        <f t="shared" si="5"/>
        <v>#REF!</v>
      </c>
      <c r="AX12" s="102" t="e">
        <f t="shared" si="6"/>
        <v>#REF!</v>
      </c>
      <c r="AY12" s="107" t="e">
        <f t="shared" si="7"/>
        <v>#REF!</v>
      </c>
      <c r="AZ12" s="108" t="e">
        <f t="shared" ca="1" si="8"/>
        <v>#NAME?</v>
      </c>
      <c r="BA12" s="108" t="str">
        <f t="shared" si="9"/>
        <v>Not Applicable</v>
      </c>
      <c r="BB12" s="109" t="e">
        <f t="shared" si="10"/>
        <v>#REF!</v>
      </c>
      <c r="BC12" s="108" t="e">
        <f t="shared" ca="1" si="11"/>
        <v>#NAME?</v>
      </c>
      <c r="BD12" s="108" t="str">
        <f t="shared" si="12"/>
        <v>Not Applicable</v>
      </c>
      <c r="BE12" s="109" t="e">
        <f t="shared" si="13"/>
        <v>#REF!</v>
      </c>
      <c r="BF12" s="110" t="e">
        <f t="shared" ca="1" si="14"/>
        <v>#NAME?</v>
      </c>
      <c r="BG12" s="111"/>
    </row>
    <row r="13" spans="1:59" ht="12.75">
      <c r="A13" s="101" t="s">
        <v>28</v>
      </c>
      <c r="B13" s="102" t="e">
        <f ca="1"/>
        <v>#NAME?</v>
      </c>
      <c r="C13" s="102" t="e">
        <f t="array" aca="1" ref="C13" ca="1">_xludf.XLOOKUP(A13,'QA Log'!D:D,'QA Log'!F:F,"")</f>
        <v>#NAME?</v>
      </c>
      <c r="D13" s="102" t="s">
        <v>130</v>
      </c>
      <c r="E13" s="102" t="e">
        <f t="array" aca="1" ref="E13" ca="1">_xludf.XLOOKUP(A13,'QA Log'!D:D,'QA Log'!G:G,"")</f>
        <v>#NAME?</v>
      </c>
      <c r="F13" s="103"/>
      <c r="G13" s="102"/>
      <c r="H13" s="104"/>
      <c r="I13" s="103" t="e">
        <f t="shared" ca="1" si="0"/>
        <v>#NAME?</v>
      </c>
      <c r="J13" s="102"/>
      <c r="K13" s="102"/>
      <c r="L13" s="119" t="e">
        <f t="array" aca="1" ref="L13" ca="1">IF(OR($B13="",$D13=""),"",
IFERROR(
  INDEX(
    'Tools &amp; Targets_Guideline'!$C$54:$I$269,
    MATCH(
      1,
      ('Tools &amp; Targets_Guideline'!$A$54:$A$269=$B13)*
      ('Tools &amp; Targets_Guideline'!$B$54:$B$269="ANC"),
      0
    ),
    MATCH(
      _xludf.IFNA(
        VLOOKUP($D13,{"PH","Provincial Hospital (H2)";"DH","District Hospital (H3)";"RH","Regional / National Hospital (H1)"},2,0),
        $D13
      ),
      'Tools &amp; Targets_Guideline'!$C$53:$I$53,
      0
    )
  ),
0))</f>
        <v>#NAME?</v>
      </c>
      <c r="M13" s="105"/>
      <c r="N13" s="119" t="e">
        <f t="array" aca="1" ref="N13" ca="1">IF(OR($B13="",$D13=""),"",
IFERROR(
  INDEX(
    'Tools &amp; Targets_Guideline'!$C$54:$I$269,
    MATCH(
      1,
      ('Tools &amp; Targets_Guideline'!$A$54:$A$269=$B13)*
      ('Tools &amp; Targets_Guideline'!$B$54:$B$269="PNC"),
      0
    ),
    MATCH(
      _xludf.IFNA(
        VLOOKUP($D13,{"PH","Provincial Hospital (H2)";"DH","District Hospital (H3)";"RH","Regional / National Hospital (H1)"},2,0),
        $D13
      ),
      'Tools &amp; Targets_Guideline'!$C$53:$I$53,
      0
    )
  ),
0))</f>
        <v>#NAME?</v>
      </c>
      <c r="O13" s="105"/>
      <c r="P13" s="119" t="e">
        <f t="array" aca="1" ref="P13" ca="1">IF(OR($B13="",$D13=""),"",
IFERROR(
  INDEX(
    'Tools &amp; Targets_Guideline'!$C$54:$I$269,
    MATCH(
      1,
      ('Tools &amp; Targets_Guideline'!$A$54:$A$269=$B13)*
      ('Tools &amp; Targets_Guideline'!$B$54:$B$269="Delivery"),
      0
    ),
    MATCH(
      _xludf.IFNA(
        VLOOKUP($D13,{"PH","Provincial Hospital (H2)";"DH","District Hospital (H3)";"RH","Regional / National Hospital (H1)"},2,0),
        $D13
      ),
      'Tools &amp; Targets_Guideline'!$C$53:$I$53,
      0
    )
  ),
0))</f>
        <v>#NAME?</v>
      </c>
      <c r="Q13" s="105"/>
      <c r="R13" s="119" t="e">
        <f t="array" aca="1" ref="R13" ca="1">IF(OR($B13="",$D13=""),"",
IFERROR(
  INDEX(
    'Tools &amp; Targets_Guideline'!$C$54:$I$269,
    MATCH(
      1,
      ('Tools &amp; Targets_Guideline'!$A$54:$A$269=$B13)*
      ('Tools &amp; Targets_Guideline'!$B$54:$B$269="TT"),
      0
    ),
    MATCH(
      _xludf.IFNA(
        VLOOKUP($D13,{"PH","Provincial Hospital (H2)";"DH","District Hospital (H3)";"RH","Regional / National Hospital (H1)"},2,0),
        $D13
      ),
      'Tools &amp; Targets_Guideline'!$C$53:$I$53,
      0
    )
  ),
0))</f>
        <v>#NAME?</v>
      </c>
      <c r="S13" s="105"/>
      <c r="T13" s="102"/>
      <c r="U13" s="106"/>
      <c r="V13" s="102" t="e">
        <f t="shared" ca="1" si="1"/>
        <v>#NAME?</v>
      </c>
      <c r="W13" s="102"/>
      <c r="X13" s="102"/>
      <c r="Y13" s="119" t="e">
        <f t="array" aca="1" ref="Y13" ca="1">IF(OR($B13="",$D13=""),"",
IFERROR(
  INDEX(
    'Tools &amp; Targets_Guideline'!$C$54:$I$269,
    MATCH(
      1,
      ('Tools &amp; Targets_Guideline'!$A$54:$A$269=$B13)*
      ('Tools &amp; Targets_Guideline'!$B$54:$B$269="GM"),
      0
    ),
    MATCH(
      _xludf.IFNA(
        VLOOKUP($D13,{"PH","Provincial Hospital (H2)";"DH","District Hospital (H3)";"RH","Regional / National Hospital (H1)"},2,0),
        $D13
      ),
      'Tools &amp; Targets_Guideline'!$C$53:$I$53,
      0
    )
  ),
0))</f>
        <v>#NAME?</v>
      </c>
      <c r="Z13" s="105"/>
      <c r="AA13" s="119" t="e">
        <f t="array" aca="1" ref="AA13" ca="1">IF(OR($B13="",$D13=""),"",
IFERROR(
  INDEX(
    'Tools &amp; Targets_Guideline'!$C$54:$I$269,
    MATCH(
      1,
      ('Tools &amp; Targets_Guideline'!$A$54:$A$269=$B13)*
      ('Tools &amp; Targets_Guideline'!$B$54:$B$269="Penta"),
      0
    ),
    MATCH(
      _xludf.IFNA(
        VLOOKUP($D13,{"PH","Provincial Hospital (H2)";"DH","District Hospital (H3)";"RH","Regional / National Hospital (H1)"},2,0),
        $D13
      ),
      'Tools &amp; Targets_Guideline'!$C$53:$I$53,
      0
    )
  ),
0))</f>
        <v>#NAME?</v>
      </c>
      <c r="AB13" s="105"/>
      <c r="AC13" s="119" t="e">
        <f t="array" aca="1" ref="AC13" ca="1">IF(OR($B13="",$D13=""),"",
IFERROR(
  INDEX(
    'Tools &amp; Targets_Guideline'!$C$54:$I$269,
    MATCH(
      1,
      ('Tools &amp; Targets_Guideline'!$A$54:$A$269=$B13)*
      ('Tools &amp; Targets_Guideline'!$B$54:$B$269="TB"),
      0
    ),
    MATCH(
      _xludf.IFNA(
        VLOOKUP($D13,{"PH","Provincial Hospital (H2)";"DH","District Hospital (H3)";"RH","Regional / National Hospital (H1)"},2,0),
        $D13
      ),
      'Tools &amp; Targets_Guideline'!$C$53:$I$53,
      0
    )
  ),
0))</f>
        <v>#NAME?</v>
      </c>
      <c r="AD13" s="105"/>
      <c r="AE13" s="119" t="e">
        <f t="array" aca="1" ref="AE13" ca="1">IF(OR($B13="",$D13=""),"",
IFERROR(
  INDEX(
    'Tools &amp; Targets_Guideline'!$C$54:$I$269,
    MATCH(
      1,
      ('Tools &amp; Targets_Guideline'!$A$54:$A$269=$B13)*
      ('Tools &amp; Targets_Guideline'!$B$54:$B$269="U5 Morbidity"),
      0
    ),
    MATCH(
      _xludf.IFNA(
        VLOOKUP($D13,{"PH","Provincial Hospital (H2)";"DH","District Hospital (H3)";"RH","Regional / National Hospital (H1)"},2,0),
        $D13
      ),
      'Tools &amp; Targets_Guideline'!$C$53:$I$53,
      0
    )
  ),
0))</f>
        <v>#NAME?</v>
      </c>
      <c r="AF13" s="105"/>
      <c r="AG13" s="119" t="e">
        <f t="array" aca="1" ref="AG13" ca="1">IF(OR($B13="",$D13=""),"",
IFERROR(
  INDEX(
    'Tools &amp; Targets_Guideline'!$C$54:$I$269,
    MATCH(
      1,
      ('Tools &amp; Targets_Guideline'!$A$54:$A$269=$B13)*
      ('Tools &amp; Targets_Guideline'!$B$54:$B$269="C-Section"),
      0
    ),
    MATCH(
      _xludf.IFNA(
        VLOOKUP($D13,{"PH","Provincial Hospital (H2)";"DH","District Hospital (H3)";"RH","Regional / National Hospital (H1)"},2,0),
        $D13
      ),
      'Tools &amp; Targets_Guideline'!$C$53:$I$53,
      0
    )
  ),
0))</f>
        <v>#NAME?</v>
      </c>
      <c r="AH13" s="105">
        <f ca="1">IF(A13&lt;&gt;"",COUNTIFS('QA Log'!D:D,A13,'QA Log'!M:M,"QQC",'QA Log'!L:L,"2. Hygiene and Sterilization",'QA Log'!Z:Z,"Approved"),"")</f>
        <v>0</v>
      </c>
      <c r="AI13" s="102"/>
      <c r="AJ13" s="102"/>
      <c r="AK13" s="103">
        <f t="shared" si="2"/>
        <v>0</v>
      </c>
      <c r="AL13" s="102"/>
      <c r="AM13" s="102"/>
      <c r="AN13" s="102"/>
      <c r="AO13" s="106"/>
      <c r="AP13" s="103"/>
      <c r="AQ13" s="102"/>
      <c r="AR13" s="102"/>
      <c r="AS13" s="102"/>
      <c r="AT13" s="107"/>
      <c r="AU13" s="102" t="e">
        <f t="shared" si="3"/>
        <v>#REF!</v>
      </c>
      <c r="AV13" s="102" t="e">
        <f t="shared" si="4"/>
        <v>#REF!</v>
      </c>
      <c r="AW13" s="102" t="e">
        <f t="shared" si="5"/>
        <v>#REF!</v>
      </c>
      <c r="AX13" s="102" t="e">
        <f t="shared" si="6"/>
        <v>#REF!</v>
      </c>
      <c r="AY13" s="107" t="e">
        <f t="shared" si="7"/>
        <v>#REF!</v>
      </c>
      <c r="AZ13" s="108" t="str">
        <f t="shared" si="8"/>
        <v>Not Applicable</v>
      </c>
      <c r="BA13" s="108" t="e">
        <f t="shared" si="9"/>
        <v>#REF!</v>
      </c>
      <c r="BB13" s="109" t="e">
        <f t="shared" si="10"/>
        <v>#REF!</v>
      </c>
      <c r="BC13" s="108" t="str">
        <f t="shared" si="11"/>
        <v>Not Applicable</v>
      </c>
      <c r="BD13" s="108" t="e">
        <f t="shared" si="12"/>
        <v>#REF!</v>
      </c>
      <c r="BE13" s="109" t="e">
        <f t="shared" si="13"/>
        <v>#REF!</v>
      </c>
      <c r="BF13" s="110" t="e">
        <f t="shared" si="14"/>
        <v>#REF!</v>
      </c>
      <c r="BG13" s="111"/>
    </row>
    <row r="14" spans="1:59" ht="12.75">
      <c r="A14" s="101" t="s">
        <v>26</v>
      </c>
      <c r="B14" s="102" t="e">
        <f ca="1"/>
        <v>#NAME?</v>
      </c>
      <c r="C14" s="102" t="e">
        <f t="array" aca="1" ref="C14" ca="1">_xludf.XLOOKUP(A14,'QA Log'!D:D,'QA Log'!F:F,"")</f>
        <v>#NAME?</v>
      </c>
      <c r="D14" s="102" t="s">
        <v>131</v>
      </c>
      <c r="E14" s="102" t="e">
        <f t="array" aca="1" ref="E14" ca="1">_xludf.XLOOKUP(A14,'QA Log'!D:D,'QA Log'!G:G,"")</f>
        <v>#NAME?</v>
      </c>
      <c r="F14" s="103"/>
      <c r="G14" s="104"/>
      <c r="H14" s="104"/>
      <c r="I14" s="103" t="e">
        <f t="shared" ca="1" si="0"/>
        <v>#NAME?</v>
      </c>
      <c r="J14" s="102"/>
      <c r="K14" s="102"/>
      <c r="L14" s="119" t="e">
        <f t="array" aca="1" ref="L14" ca="1">IF(OR($B14="",$D14=""),"",
IFERROR(
  INDEX(
    'Tools &amp; Targets_Guideline'!$C$54:$I$269,
    MATCH(
      1,
      ('Tools &amp; Targets_Guideline'!$A$54:$A$269=$B14)*
      ('Tools &amp; Targets_Guideline'!$B$54:$B$269="ANC"),
      0
    ),
    MATCH(
      _xludf.IFNA(
        VLOOKUP($D14,{"PH","Provincial Hospital (H2)";"DH","District Hospital (H3)";"RH","Regional / National Hospital (H1)"},2,0),
        $D14
      ),
      'Tools &amp; Targets_Guideline'!$C$53:$I$53,
      0
    )
  ),
0))</f>
        <v>#NAME?</v>
      </c>
      <c r="M14" s="105"/>
      <c r="N14" s="119" t="e">
        <f t="array" aca="1" ref="N14" ca="1">IF(OR($B14="",$D14=""),"",
IFERROR(
  INDEX(
    'Tools &amp; Targets_Guideline'!$C$54:$I$269,
    MATCH(
      1,
      ('Tools &amp; Targets_Guideline'!$A$54:$A$269=$B14)*
      ('Tools &amp; Targets_Guideline'!$B$54:$B$269="PNC"),
      0
    ),
    MATCH(
      _xludf.IFNA(
        VLOOKUP($D14,{"PH","Provincial Hospital (H2)";"DH","District Hospital (H3)";"RH","Regional / National Hospital (H1)"},2,0),
        $D14
      ),
      'Tools &amp; Targets_Guideline'!$C$53:$I$53,
      0
    )
  ),
0))</f>
        <v>#NAME?</v>
      </c>
      <c r="O14" s="105"/>
      <c r="P14" s="119" t="e">
        <f t="array" aca="1" ref="P14" ca="1">IF(OR($B14="",$D14=""),"",
IFERROR(
  INDEX(
    'Tools &amp; Targets_Guideline'!$C$54:$I$269,
    MATCH(
      1,
      ('Tools &amp; Targets_Guideline'!$A$54:$A$269=$B14)*
      ('Tools &amp; Targets_Guideline'!$B$54:$B$269="Delivery"),
      0
    ),
    MATCH(
      _xludf.IFNA(
        VLOOKUP($D14,{"PH","Provincial Hospital (H2)";"DH","District Hospital (H3)";"RH","Regional / National Hospital (H1)"},2,0),
        $D14
      ),
      'Tools &amp; Targets_Guideline'!$C$53:$I$53,
      0
    )
  ),
0))</f>
        <v>#NAME?</v>
      </c>
      <c r="Q14" s="105"/>
      <c r="R14" s="119" t="e">
        <f t="array" aca="1" ref="R14" ca="1">IF(OR($B14="",$D14=""),"",
IFERROR(
  INDEX(
    'Tools &amp; Targets_Guideline'!$C$54:$I$269,
    MATCH(
      1,
      ('Tools &amp; Targets_Guideline'!$A$54:$A$269=$B14)*
      ('Tools &amp; Targets_Guideline'!$B$54:$B$269="TT"),
      0
    ),
    MATCH(
      _xludf.IFNA(
        VLOOKUP($D14,{"PH","Provincial Hospital (H2)";"DH","District Hospital (H3)";"RH","Regional / National Hospital (H1)"},2,0),
        $D14
      ),
      'Tools &amp; Targets_Guideline'!$C$53:$I$53,
      0
    )
  ),
0))</f>
        <v>#NAME?</v>
      </c>
      <c r="S14" s="105"/>
      <c r="T14" s="102"/>
      <c r="U14" s="106"/>
      <c r="V14" s="102" t="e">
        <f t="shared" ca="1" si="1"/>
        <v>#NAME?</v>
      </c>
      <c r="W14" s="102"/>
      <c r="X14" s="102"/>
      <c r="Y14" s="119" t="e">
        <f t="array" aca="1" ref="Y14" ca="1">IF(OR($B14="",$D14=""),"",
IFERROR(
  INDEX(
    'Tools &amp; Targets_Guideline'!$C$54:$I$269,
    MATCH(
      1,
      ('Tools &amp; Targets_Guideline'!$A$54:$A$269=$B14)*
      ('Tools &amp; Targets_Guideline'!$B$54:$B$269="GM"),
      0
    ),
    MATCH(
      _xludf.IFNA(
        VLOOKUP($D14,{"PH","Provincial Hospital (H2)";"DH","District Hospital (H3)";"RH","Regional / National Hospital (H1)"},2,0),
        $D14
      ),
      'Tools &amp; Targets_Guideline'!$C$53:$I$53,
      0
    )
  ),
0))</f>
        <v>#NAME?</v>
      </c>
      <c r="Z14" s="105"/>
      <c r="AA14" s="119" t="e">
        <f t="array" aca="1" ref="AA14" ca="1">IF(OR($B14="",$D14=""),"",
IFERROR(
  INDEX(
    'Tools &amp; Targets_Guideline'!$C$54:$I$269,
    MATCH(
      1,
      ('Tools &amp; Targets_Guideline'!$A$54:$A$269=$B14)*
      ('Tools &amp; Targets_Guideline'!$B$54:$B$269="Penta"),
      0
    ),
    MATCH(
      _xludf.IFNA(
        VLOOKUP($D14,{"PH","Provincial Hospital (H2)";"DH","District Hospital (H3)";"RH","Regional / National Hospital (H1)"},2,0),
        $D14
      ),
      'Tools &amp; Targets_Guideline'!$C$53:$I$53,
      0
    )
  ),
0))</f>
        <v>#NAME?</v>
      </c>
      <c r="AB14" s="105"/>
      <c r="AC14" s="119" t="e">
        <f t="array" aca="1" ref="AC14" ca="1">IF(OR($B14="",$D14=""),"",
IFERROR(
  INDEX(
    'Tools &amp; Targets_Guideline'!$C$54:$I$269,
    MATCH(
      1,
      ('Tools &amp; Targets_Guideline'!$A$54:$A$269=$B14)*
      ('Tools &amp; Targets_Guideline'!$B$54:$B$269="TB"),
      0
    ),
    MATCH(
      _xludf.IFNA(
        VLOOKUP($D14,{"PH","Provincial Hospital (H2)";"DH","District Hospital (H3)";"RH","Regional / National Hospital (H1)"},2,0),
        $D14
      ),
      'Tools &amp; Targets_Guideline'!$C$53:$I$53,
      0
    )
  ),
0))</f>
        <v>#NAME?</v>
      </c>
      <c r="AD14" s="105"/>
      <c r="AE14" s="119" t="e">
        <f t="array" aca="1" ref="AE14" ca="1">IF(OR($B14="",$D14=""),"",
IFERROR(
  INDEX(
    'Tools &amp; Targets_Guideline'!$C$54:$I$269,
    MATCH(
      1,
      ('Tools &amp; Targets_Guideline'!$A$54:$A$269=$B14)*
      ('Tools &amp; Targets_Guideline'!$B$54:$B$269="U5 Morbidity"),
      0
    ),
    MATCH(
      _xludf.IFNA(
        VLOOKUP($D14,{"PH","Provincial Hospital (H2)";"DH","District Hospital (H3)";"RH","Regional / National Hospital (H1)"},2,0),
        $D14
      ),
      'Tools &amp; Targets_Guideline'!$C$53:$I$53,
      0
    )
  ),
0))</f>
        <v>#NAME?</v>
      </c>
      <c r="AF14" s="105"/>
      <c r="AG14" s="119" t="e">
        <f t="array" aca="1" ref="AG14" ca="1">IF(OR($B14="",$D14=""),"",
IFERROR(
  INDEX(
    'Tools &amp; Targets_Guideline'!$C$54:$I$269,
    MATCH(
      1,
      ('Tools &amp; Targets_Guideline'!$A$54:$A$269=$B14)*
      ('Tools &amp; Targets_Guideline'!$B$54:$B$269="C-Section"),
      0
    ),
    MATCH(
      _xludf.IFNA(
        VLOOKUP($D14,{"PH","Provincial Hospital (H2)";"DH","District Hospital (H3)";"RH","Regional / National Hospital (H1)"},2,0),
        $D14
      ),
      'Tools &amp; Targets_Guideline'!$C$53:$I$53,
      0
    )
  ),
0))</f>
        <v>#NAME?</v>
      </c>
      <c r="AH14" s="105">
        <f ca="1">IF(A14&lt;&gt;"",COUNTIFS('QA Log'!D:D,A14,'QA Log'!M:M,"QQC",'QA Log'!L:L,"2. Hygiene and Sterilization",'QA Log'!Z:Z,"Approved"),"")</f>
        <v>0</v>
      </c>
      <c r="AI14" s="102"/>
      <c r="AJ14" s="102"/>
      <c r="AK14" s="103">
        <f t="shared" si="2"/>
        <v>0</v>
      </c>
      <c r="AL14" s="102"/>
      <c r="AM14" s="102"/>
      <c r="AN14" s="102"/>
      <c r="AO14" s="106"/>
      <c r="AP14" s="103"/>
      <c r="AQ14" s="102"/>
      <c r="AR14" s="102"/>
      <c r="AS14" s="102"/>
      <c r="AT14" s="107"/>
      <c r="AU14" s="102" t="e">
        <f t="shared" si="3"/>
        <v>#REF!</v>
      </c>
      <c r="AV14" s="102" t="e">
        <f t="shared" si="4"/>
        <v>#REF!</v>
      </c>
      <c r="AW14" s="102" t="e">
        <f t="shared" si="5"/>
        <v>#REF!</v>
      </c>
      <c r="AX14" s="102" t="e">
        <f t="shared" si="6"/>
        <v>#REF!</v>
      </c>
      <c r="AY14" s="107" t="e">
        <f t="shared" si="7"/>
        <v>#REF!</v>
      </c>
      <c r="AZ14" s="108" t="str">
        <f t="shared" si="8"/>
        <v>Not Applicable</v>
      </c>
      <c r="BA14" s="108" t="e">
        <f t="shared" si="9"/>
        <v>#REF!</v>
      </c>
      <c r="BB14" s="109" t="e">
        <f t="shared" si="10"/>
        <v>#REF!</v>
      </c>
      <c r="BC14" s="108" t="str">
        <f t="shared" si="11"/>
        <v>Not Applicable</v>
      </c>
      <c r="BD14" s="108" t="e">
        <f t="shared" si="12"/>
        <v>#REF!</v>
      </c>
      <c r="BE14" s="109" t="e">
        <f t="shared" si="13"/>
        <v>#REF!</v>
      </c>
      <c r="BF14" s="110" t="e">
        <f t="shared" si="14"/>
        <v>#REF!</v>
      </c>
      <c r="BG14" s="111"/>
    </row>
    <row r="15" spans="1:59" ht="16.5" customHeight="1">
      <c r="A15" s="101" t="s">
        <v>34</v>
      </c>
      <c r="B15" s="102" t="e">
        <f ca="1"/>
        <v>#NAME?</v>
      </c>
      <c r="C15" s="102" t="e">
        <f t="array" aca="1" ref="C15" ca="1">_xludf.XLOOKUP(A15,'QA Log'!D:D,'QA Log'!F:F,"")</f>
        <v>#NAME?</v>
      </c>
      <c r="D15" s="102" t="s">
        <v>124</v>
      </c>
      <c r="E15" s="102" t="e">
        <f t="array" aca="1" ref="E15" ca="1">_xludf.XLOOKUP(A15,'QA Log'!D:D,'QA Log'!G:G,"")</f>
        <v>#NAME?</v>
      </c>
      <c r="F15" s="103"/>
      <c r="G15" s="104"/>
      <c r="H15" s="104"/>
      <c r="I15" s="103" t="e">
        <f t="shared" ca="1" si="0"/>
        <v>#NAME?</v>
      </c>
      <c r="J15" s="102"/>
      <c r="K15" s="102"/>
      <c r="L15" s="119" t="e">
        <f t="array" aca="1" ref="L15" ca="1">IF(OR($B15="",$D15=""),"",
IFERROR(
  INDEX(
    'Tools &amp; Targets_Guideline'!$C$54:$I$269,
    MATCH(
      1,
      ('Tools &amp; Targets_Guideline'!$A$54:$A$269=$B15)*
      ('Tools &amp; Targets_Guideline'!$B$54:$B$269="ANC"),
      0
    ),
    MATCH(
      _xludf.IFNA(
        VLOOKUP($D15,{"PH","Provincial Hospital (H2)";"DH","District Hospital (H3)";"RH","Regional / National Hospital (H1)"},2,0),
        $D15
      ),
      'Tools &amp; Targets_Guideline'!$C$53:$I$53,
      0
    )
  ),
0))</f>
        <v>#NAME?</v>
      </c>
      <c r="M15" s="105"/>
      <c r="N15" s="119" t="e">
        <f t="array" aca="1" ref="N15" ca="1">IF(OR($B15="",$D15=""),"",
IFERROR(
  INDEX(
    'Tools &amp; Targets_Guideline'!$C$54:$I$269,
    MATCH(
      1,
      ('Tools &amp; Targets_Guideline'!$A$54:$A$269=$B15)*
      ('Tools &amp; Targets_Guideline'!$B$54:$B$269="PNC"),
      0
    ),
    MATCH(
      _xludf.IFNA(
        VLOOKUP($D15,{"PH","Provincial Hospital (H2)";"DH","District Hospital (H3)";"RH","Regional / National Hospital (H1)"},2,0),
        $D15
      ),
      'Tools &amp; Targets_Guideline'!$C$53:$I$53,
      0
    )
  ),
0))</f>
        <v>#NAME?</v>
      </c>
      <c r="O15" s="105"/>
      <c r="P15" s="119" t="e">
        <f t="array" aca="1" ref="P15" ca="1">IF(OR($B15="",$D15=""),"",
IFERROR(
  INDEX(
    'Tools &amp; Targets_Guideline'!$C$54:$I$269,
    MATCH(
      1,
      ('Tools &amp; Targets_Guideline'!$A$54:$A$269=$B15)*
      ('Tools &amp; Targets_Guideline'!$B$54:$B$269="Delivery"),
      0
    ),
    MATCH(
      _xludf.IFNA(
        VLOOKUP($D15,{"PH","Provincial Hospital (H2)";"DH","District Hospital (H3)";"RH","Regional / National Hospital (H1)"},2,0),
        $D15
      ),
      'Tools &amp; Targets_Guideline'!$C$53:$I$53,
      0
    )
  ),
0))</f>
        <v>#NAME?</v>
      </c>
      <c r="Q15" s="105"/>
      <c r="R15" s="119" t="e">
        <f t="array" aca="1" ref="R15" ca="1">IF(OR($B15="",$D15=""),"",
IFERROR(
  INDEX(
    'Tools &amp; Targets_Guideline'!$C$54:$I$269,
    MATCH(
      1,
      ('Tools &amp; Targets_Guideline'!$A$54:$A$269=$B15)*
      ('Tools &amp; Targets_Guideline'!$B$54:$B$269="TT"),
      0
    ),
    MATCH(
      _xludf.IFNA(
        VLOOKUP($D15,{"PH","Provincial Hospital (H2)";"DH","District Hospital (H3)";"RH","Regional / National Hospital (H1)"},2,0),
        $D15
      ),
      'Tools &amp; Targets_Guideline'!$C$53:$I$53,
      0
    )
  ),
0))</f>
        <v>#NAME?</v>
      </c>
      <c r="S15" s="105"/>
      <c r="T15" s="102"/>
      <c r="U15" s="106"/>
      <c r="V15" s="102" t="e">
        <f t="shared" ca="1" si="1"/>
        <v>#NAME?</v>
      </c>
      <c r="W15" s="102"/>
      <c r="X15" s="102"/>
      <c r="Y15" s="119" t="e">
        <f t="array" aca="1" ref="Y15" ca="1">IF(OR($B15="",$D15=""),"",
IFERROR(
  INDEX(
    'Tools &amp; Targets_Guideline'!$C$54:$I$269,
    MATCH(
      1,
      ('Tools &amp; Targets_Guideline'!$A$54:$A$269=$B15)*
      ('Tools &amp; Targets_Guideline'!$B$54:$B$269="GM"),
      0
    ),
    MATCH(
      _xludf.IFNA(
        VLOOKUP($D15,{"PH","Provincial Hospital (H2)";"DH","District Hospital (H3)";"RH","Regional / National Hospital (H1)"},2,0),
        $D15
      ),
      'Tools &amp; Targets_Guideline'!$C$53:$I$53,
      0
    )
  ),
0))</f>
        <v>#NAME?</v>
      </c>
      <c r="Z15" s="105"/>
      <c r="AA15" s="119" t="e">
        <f t="array" aca="1" ref="AA15" ca="1">IF(OR($B15="",$D15=""),"",
IFERROR(
  INDEX(
    'Tools &amp; Targets_Guideline'!$C$54:$I$269,
    MATCH(
      1,
      ('Tools &amp; Targets_Guideline'!$A$54:$A$269=$B15)*
      ('Tools &amp; Targets_Guideline'!$B$54:$B$269="Penta"),
      0
    ),
    MATCH(
      _xludf.IFNA(
        VLOOKUP($D15,{"PH","Provincial Hospital (H2)";"DH","District Hospital (H3)";"RH","Regional / National Hospital (H1)"},2,0),
        $D15
      ),
      'Tools &amp; Targets_Guideline'!$C$53:$I$53,
      0
    )
  ),
0))</f>
        <v>#NAME?</v>
      </c>
      <c r="AB15" s="105"/>
      <c r="AC15" s="119" t="e">
        <f t="array" aca="1" ref="AC15" ca="1">IF(OR($B15="",$D15=""),"",
IFERROR(
  INDEX(
    'Tools &amp; Targets_Guideline'!$C$54:$I$269,
    MATCH(
      1,
      ('Tools &amp; Targets_Guideline'!$A$54:$A$269=$B15)*
      ('Tools &amp; Targets_Guideline'!$B$54:$B$269="TB"),
      0
    ),
    MATCH(
      _xludf.IFNA(
        VLOOKUP($D15,{"PH","Provincial Hospital (H2)";"DH","District Hospital (H3)";"RH","Regional / National Hospital (H1)"},2,0),
        $D15
      ),
      'Tools &amp; Targets_Guideline'!$C$53:$I$53,
      0
    )
  ),
0))</f>
        <v>#NAME?</v>
      </c>
      <c r="AD15" s="105"/>
      <c r="AE15" s="119" t="e">
        <f t="array" aca="1" ref="AE15" ca="1">IF(OR($B15="",$D15=""),"",
IFERROR(
  INDEX(
    'Tools &amp; Targets_Guideline'!$C$54:$I$269,
    MATCH(
      1,
      ('Tools &amp; Targets_Guideline'!$A$54:$A$269=$B15)*
      ('Tools &amp; Targets_Guideline'!$B$54:$B$269="U5 Morbidity"),
      0
    ),
    MATCH(
      _xludf.IFNA(
        VLOOKUP($D15,{"PH","Provincial Hospital (H2)";"DH","District Hospital (H3)";"RH","Regional / National Hospital (H1)"},2,0),
        $D15
      ),
      'Tools &amp; Targets_Guideline'!$C$53:$I$53,
      0
    )
  ),
0))</f>
        <v>#NAME?</v>
      </c>
      <c r="AF15" s="105"/>
      <c r="AG15" s="119" t="e">
        <f t="array" aca="1" ref="AG15" ca="1">IF(OR($B15="",$D15=""),"",
IFERROR(
  INDEX(
    'Tools &amp; Targets_Guideline'!$C$54:$I$269,
    MATCH(
      1,
      ('Tools &amp; Targets_Guideline'!$A$54:$A$269=$B15)*
      ('Tools &amp; Targets_Guideline'!$B$54:$B$269="C-Section"),
      0
    ),
    MATCH(
      _xludf.IFNA(
        VLOOKUP($D15,{"PH","Provincial Hospital (H2)";"DH","District Hospital (H3)";"RH","Regional / National Hospital (H1)"},2,0),
        $D15
      ),
      'Tools &amp; Targets_Guideline'!$C$53:$I$53,
      0
    )
  ),
0))</f>
        <v>#NAME?</v>
      </c>
      <c r="AH15" s="105">
        <f ca="1">IF(A15&lt;&gt;"",COUNTIFS('QA Log'!D:D,A15,'QA Log'!M:M,"QQC",'QA Log'!L:L,"2. Hygiene and Sterilization",'QA Log'!Z:Z,"Approved"),"")</f>
        <v>0</v>
      </c>
      <c r="AI15" s="102"/>
      <c r="AJ15" s="102"/>
      <c r="AK15" s="103">
        <f t="shared" si="2"/>
        <v>0</v>
      </c>
      <c r="AL15" s="102"/>
      <c r="AM15" s="102"/>
      <c r="AN15" s="102"/>
      <c r="AO15" s="106"/>
      <c r="AP15" s="103"/>
      <c r="AQ15" s="102"/>
      <c r="AR15" s="102"/>
      <c r="AS15" s="102"/>
      <c r="AT15" s="107"/>
      <c r="AU15" s="102" t="e">
        <f t="shared" si="3"/>
        <v>#REF!</v>
      </c>
      <c r="AV15" s="102" t="e">
        <f t="shared" si="4"/>
        <v>#REF!</v>
      </c>
      <c r="AW15" s="102" t="e">
        <f t="shared" si="5"/>
        <v>#REF!</v>
      </c>
      <c r="AX15" s="102" t="e">
        <f t="shared" si="6"/>
        <v>#REF!</v>
      </c>
      <c r="AY15" s="107" t="e">
        <f t="shared" si="7"/>
        <v>#REF!</v>
      </c>
      <c r="AZ15" s="108" t="str">
        <f t="shared" si="8"/>
        <v>Not Applicable</v>
      </c>
      <c r="BA15" s="108" t="e">
        <f t="shared" si="9"/>
        <v>#REF!</v>
      </c>
      <c r="BB15" s="109" t="e">
        <f t="shared" si="10"/>
        <v>#REF!</v>
      </c>
      <c r="BC15" s="108" t="str">
        <f t="shared" si="11"/>
        <v>Not Applicable</v>
      </c>
      <c r="BD15" s="108" t="e">
        <f t="shared" si="12"/>
        <v>#REF!</v>
      </c>
      <c r="BE15" s="109" t="e">
        <f t="shared" si="13"/>
        <v>#REF!</v>
      </c>
      <c r="BF15" s="110" t="e">
        <f t="shared" si="14"/>
        <v>#REF!</v>
      </c>
      <c r="BG15" s="111"/>
    </row>
    <row r="16" spans="1:59" ht="12.75">
      <c r="A16" s="101" t="s">
        <v>22</v>
      </c>
      <c r="B16" s="102" t="e">
        <f ca="1"/>
        <v>#NAME?</v>
      </c>
      <c r="C16" s="102" t="e">
        <f t="array" aca="1" ref="C16" ca="1">_xludf.XLOOKUP(A16,'QA Log'!D:D,'QA Log'!F:F,"")</f>
        <v>#NAME?</v>
      </c>
      <c r="D16" s="102" t="s">
        <v>126</v>
      </c>
      <c r="E16" s="102" t="e">
        <f t="array" aca="1" ref="E16" ca="1">_xludf.XLOOKUP(A16,'QA Log'!D:D,'QA Log'!G:G,"")</f>
        <v>#NAME?</v>
      </c>
      <c r="F16" s="103"/>
      <c r="G16" s="104"/>
      <c r="H16" s="104"/>
      <c r="I16" s="103" t="e">
        <f t="shared" ca="1" si="0"/>
        <v>#NAME?</v>
      </c>
      <c r="J16" s="102"/>
      <c r="K16" s="102"/>
      <c r="L16" s="119" t="e">
        <f t="array" aca="1" ref="L16" ca="1">IF(OR($B16="",$D16=""),"",
IFERROR(
  INDEX(
    'Tools &amp; Targets_Guideline'!$C$54:$I$269,
    MATCH(
      1,
      ('Tools &amp; Targets_Guideline'!$A$54:$A$269=$B16)*
      ('Tools &amp; Targets_Guideline'!$B$54:$B$269="ANC"),
      0
    ),
    MATCH(
      _xludf.IFNA(
        VLOOKUP($D16,{"PH","Provincial Hospital (H2)";"DH","District Hospital (H3)";"RH","Regional / National Hospital (H1)"},2,0),
        $D16
      ),
      'Tools &amp; Targets_Guideline'!$C$53:$I$53,
      0
    )
  ),
0))</f>
        <v>#NAME?</v>
      </c>
      <c r="M16" s="105"/>
      <c r="N16" s="119" t="e">
        <f t="array" aca="1" ref="N16" ca="1">IF(OR($B16="",$D16=""),"",
IFERROR(
  INDEX(
    'Tools &amp; Targets_Guideline'!$C$54:$I$269,
    MATCH(
      1,
      ('Tools &amp; Targets_Guideline'!$A$54:$A$269=$B16)*
      ('Tools &amp; Targets_Guideline'!$B$54:$B$269="PNC"),
      0
    ),
    MATCH(
      _xludf.IFNA(
        VLOOKUP($D16,{"PH","Provincial Hospital (H2)";"DH","District Hospital (H3)";"RH","Regional / National Hospital (H1)"},2,0),
        $D16
      ),
      'Tools &amp; Targets_Guideline'!$C$53:$I$53,
      0
    )
  ),
0))</f>
        <v>#NAME?</v>
      </c>
      <c r="O16" s="105"/>
      <c r="P16" s="119" t="e">
        <f t="array" aca="1" ref="P16" ca="1">IF(OR($B16="",$D16=""),"",
IFERROR(
  INDEX(
    'Tools &amp; Targets_Guideline'!$C$54:$I$269,
    MATCH(
      1,
      ('Tools &amp; Targets_Guideline'!$A$54:$A$269=$B16)*
      ('Tools &amp; Targets_Guideline'!$B$54:$B$269="Delivery"),
      0
    ),
    MATCH(
      _xludf.IFNA(
        VLOOKUP($D16,{"PH","Provincial Hospital (H2)";"DH","District Hospital (H3)";"RH","Regional / National Hospital (H1)"},2,0),
        $D16
      ),
      'Tools &amp; Targets_Guideline'!$C$53:$I$53,
      0
    )
  ),
0))</f>
        <v>#NAME?</v>
      </c>
      <c r="Q16" s="105"/>
      <c r="R16" s="119" t="e">
        <f t="array" aca="1" ref="R16" ca="1">IF(OR($B16="",$D16=""),"",
IFERROR(
  INDEX(
    'Tools &amp; Targets_Guideline'!$C$54:$I$269,
    MATCH(
      1,
      ('Tools &amp; Targets_Guideline'!$A$54:$A$269=$B16)*
      ('Tools &amp; Targets_Guideline'!$B$54:$B$269="TT"),
      0
    ),
    MATCH(
      _xludf.IFNA(
        VLOOKUP($D16,{"PH","Provincial Hospital (H2)";"DH","District Hospital (H3)";"RH","Regional / National Hospital (H1)"},2,0),
        $D16
      ),
      'Tools &amp; Targets_Guideline'!$C$53:$I$53,
      0
    )
  ),
0))</f>
        <v>#NAME?</v>
      </c>
      <c r="S16" s="105"/>
      <c r="T16" s="102"/>
      <c r="U16" s="106"/>
      <c r="V16" s="102" t="e">
        <f t="shared" ca="1" si="1"/>
        <v>#NAME?</v>
      </c>
      <c r="W16" s="102"/>
      <c r="X16" s="102"/>
      <c r="Y16" s="119" t="e">
        <f t="array" aca="1" ref="Y16" ca="1">IF(OR($B16="",$D16=""),"",
IFERROR(
  INDEX(
    'Tools &amp; Targets_Guideline'!$C$54:$I$269,
    MATCH(
      1,
      ('Tools &amp; Targets_Guideline'!$A$54:$A$269=$B16)*
      ('Tools &amp; Targets_Guideline'!$B$54:$B$269="GM"),
      0
    ),
    MATCH(
      _xludf.IFNA(
        VLOOKUP($D16,{"PH","Provincial Hospital (H2)";"DH","District Hospital (H3)";"RH","Regional / National Hospital (H1)"},2,0),
        $D16
      ),
      'Tools &amp; Targets_Guideline'!$C$53:$I$53,
      0
    )
  ),
0))</f>
        <v>#NAME?</v>
      </c>
      <c r="Z16" s="105"/>
      <c r="AA16" s="119" t="e">
        <f t="array" aca="1" ref="AA16" ca="1">IF(OR($B16="",$D16=""),"",
IFERROR(
  INDEX(
    'Tools &amp; Targets_Guideline'!$C$54:$I$269,
    MATCH(
      1,
      ('Tools &amp; Targets_Guideline'!$A$54:$A$269=$B16)*
      ('Tools &amp; Targets_Guideline'!$B$54:$B$269="Penta"),
      0
    ),
    MATCH(
      _xludf.IFNA(
        VLOOKUP($D16,{"PH","Provincial Hospital (H2)";"DH","District Hospital (H3)";"RH","Regional / National Hospital (H1)"},2,0),
        $D16
      ),
      'Tools &amp; Targets_Guideline'!$C$53:$I$53,
      0
    )
  ),
0))</f>
        <v>#NAME?</v>
      </c>
      <c r="AB16" s="105"/>
      <c r="AC16" s="119" t="e">
        <f t="array" aca="1" ref="AC16" ca="1">IF(OR($B16="",$D16=""),"",
IFERROR(
  INDEX(
    'Tools &amp; Targets_Guideline'!$C$54:$I$269,
    MATCH(
      1,
      ('Tools &amp; Targets_Guideline'!$A$54:$A$269=$B16)*
      ('Tools &amp; Targets_Guideline'!$B$54:$B$269="TB"),
      0
    ),
    MATCH(
      _xludf.IFNA(
        VLOOKUP($D16,{"PH","Provincial Hospital (H2)";"DH","District Hospital (H3)";"RH","Regional / National Hospital (H1)"},2,0),
        $D16
      ),
      'Tools &amp; Targets_Guideline'!$C$53:$I$53,
      0
    )
  ),
0))</f>
        <v>#NAME?</v>
      </c>
      <c r="AD16" s="105"/>
      <c r="AE16" s="119" t="e">
        <f t="array" aca="1" ref="AE16" ca="1">IF(OR($B16="",$D16=""),"",
IFERROR(
  INDEX(
    'Tools &amp; Targets_Guideline'!$C$54:$I$269,
    MATCH(
      1,
      ('Tools &amp; Targets_Guideline'!$A$54:$A$269=$B16)*
      ('Tools &amp; Targets_Guideline'!$B$54:$B$269="U5 Morbidity"),
      0
    ),
    MATCH(
      _xludf.IFNA(
        VLOOKUP($D16,{"PH","Provincial Hospital (H2)";"DH","District Hospital (H3)";"RH","Regional / National Hospital (H1)"},2,0),
        $D16
      ),
      'Tools &amp; Targets_Guideline'!$C$53:$I$53,
      0
    )
  ),
0))</f>
        <v>#NAME?</v>
      </c>
      <c r="AF16" s="105"/>
      <c r="AG16" s="119" t="e">
        <f t="array" aca="1" ref="AG16" ca="1">IF(OR($B16="",$D16=""),"",
IFERROR(
  INDEX(
    'Tools &amp; Targets_Guideline'!$C$54:$I$269,
    MATCH(
      1,
      ('Tools &amp; Targets_Guideline'!$A$54:$A$269=$B16)*
      ('Tools &amp; Targets_Guideline'!$B$54:$B$269="C-Section"),
      0
    ),
    MATCH(
      _xludf.IFNA(
        VLOOKUP($D16,{"PH","Provincial Hospital (H2)";"DH","District Hospital (H3)";"RH","Regional / National Hospital (H1)"},2,0),
        $D16
      ),
      'Tools &amp; Targets_Guideline'!$C$53:$I$53,
      0
    )
  ),
0))</f>
        <v>#NAME?</v>
      </c>
      <c r="AH16" s="105">
        <f ca="1">IF(A16&lt;&gt;"",COUNTIFS('QA Log'!D:D,A16,'QA Log'!M:M,"QQC",'QA Log'!L:L,"2. Hygiene and Sterilization",'QA Log'!Z:Z,"Approved"),"")</f>
        <v>0</v>
      </c>
      <c r="AI16" s="102"/>
      <c r="AJ16" s="102"/>
      <c r="AK16" s="103">
        <f t="shared" si="2"/>
        <v>1</v>
      </c>
      <c r="AL16" s="102"/>
      <c r="AM16" s="102"/>
      <c r="AN16" s="102"/>
      <c r="AO16" s="106"/>
      <c r="AP16" s="103"/>
      <c r="AQ16" s="102"/>
      <c r="AR16" s="102"/>
      <c r="AS16" s="102"/>
      <c r="AT16" s="107"/>
      <c r="AU16" s="102" t="e">
        <f t="shared" si="3"/>
        <v>#REF!</v>
      </c>
      <c r="AV16" s="102" t="e">
        <f t="shared" si="4"/>
        <v>#REF!</v>
      </c>
      <c r="AW16" s="102" t="e">
        <f t="shared" si="5"/>
        <v>#REF!</v>
      </c>
      <c r="AX16" s="102" t="e">
        <f t="shared" si="6"/>
        <v>#REF!</v>
      </c>
      <c r="AY16" s="107" t="e">
        <f t="shared" si="7"/>
        <v>#REF!</v>
      </c>
      <c r="AZ16" s="108" t="e">
        <f t="shared" ca="1" si="8"/>
        <v>#NAME?</v>
      </c>
      <c r="BA16" s="108" t="str">
        <f t="shared" si="9"/>
        <v>Not Applicable</v>
      </c>
      <c r="BB16" s="109" t="e">
        <f t="shared" si="10"/>
        <v>#REF!</v>
      </c>
      <c r="BC16" s="108" t="e">
        <f t="shared" ca="1" si="11"/>
        <v>#NAME?</v>
      </c>
      <c r="BD16" s="108" t="str">
        <f t="shared" si="12"/>
        <v>Not Applicable</v>
      </c>
      <c r="BE16" s="109" t="e">
        <f t="shared" si="13"/>
        <v>#REF!</v>
      </c>
      <c r="BF16" s="110" t="e">
        <f t="shared" ca="1" si="14"/>
        <v>#NAME?</v>
      </c>
      <c r="BG16" s="111"/>
    </row>
    <row r="17" spans="1:59" ht="12.75">
      <c r="A17" s="101" t="s">
        <v>32</v>
      </c>
      <c r="B17" s="102" t="e">
        <f ca="1"/>
        <v>#NAME?</v>
      </c>
      <c r="C17" s="102" t="e">
        <f t="array" aca="1" ref="C17" ca="1">_xludf.XLOOKUP(A17,'QA Log'!D:D,'QA Log'!F:F,"")</f>
        <v>#NAME?</v>
      </c>
      <c r="D17" s="102" t="s">
        <v>127</v>
      </c>
      <c r="E17" s="102" t="e">
        <f t="array" aca="1" ref="E17" ca="1">_xludf.XLOOKUP(A17,'QA Log'!D:D,'QA Log'!G:G,"")</f>
        <v>#NAME?</v>
      </c>
      <c r="F17" s="103"/>
      <c r="G17" s="104"/>
      <c r="H17" s="102"/>
      <c r="I17" s="103" t="e">
        <f t="shared" ca="1" si="0"/>
        <v>#NAME?</v>
      </c>
      <c r="J17" s="102"/>
      <c r="K17" s="102"/>
      <c r="L17" s="119" t="e">
        <f t="array" aca="1" ref="L17" ca="1">IF(OR($B17="",$D17=""),"",
IFERROR(
  INDEX(
    'Tools &amp; Targets_Guideline'!$C$54:$I$269,
    MATCH(
      1,
      ('Tools &amp; Targets_Guideline'!$A$54:$A$269=$B17)*
      ('Tools &amp; Targets_Guideline'!$B$54:$B$269="ANC"),
      0
    ),
    MATCH(
      _xludf.IFNA(
        VLOOKUP($D17,{"PH","Provincial Hospital (H2)";"DH","District Hospital (H3)";"RH","Regional / National Hospital (H1)"},2,0),
        $D17
      ),
      'Tools &amp; Targets_Guideline'!$C$53:$I$53,
      0
    )
  ),
0))</f>
        <v>#NAME?</v>
      </c>
      <c r="M17" s="105"/>
      <c r="N17" s="119" t="e">
        <f t="array" aca="1" ref="N17" ca="1">IF(OR($B17="",$D17=""),"",
IFERROR(
  INDEX(
    'Tools &amp; Targets_Guideline'!$C$54:$I$269,
    MATCH(
      1,
      ('Tools &amp; Targets_Guideline'!$A$54:$A$269=$B17)*
      ('Tools &amp; Targets_Guideline'!$B$54:$B$269="PNC"),
      0
    ),
    MATCH(
      _xludf.IFNA(
        VLOOKUP($D17,{"PH","Provincial Hospital (H2)";"DH","District Hospital (H3)";"RH","Regional / National Hospital (H1)"},2,0),
        $D17
      ),
      'Tools &amp; Targets_Guideline'!$C$53:$I$53,
      0
    )
  ),
0))</f>
        <v>#NAME?</v>
      </c>
      <c r="O17" s="105"/>
      <c r="P17" s="119" t="e">
        <f t="array" aca="1" ref="P17" ca="1">IF(OR($B17="",$D17=""),"",
IFERROR(
  INDEX(
    'Tools &amp; Targets_Guideline'!$C$54:$I$269,
    MATCH(
      1,
      ('Tools &amp; Targets_Guideline'!$A$54:$A$269=$B17)*
      ('Tools &amp; Targets_Guideline'!$B$54:$B$269="Delivery"),
      0
    ),
    MATCH(
      _xludf.IFNA(
        VLOOKUP($D17,{"PH","Provincial Hospital (H2)";"DH","District Hospital (H3)";"RH","Regional / National Hospital (H1)"},2,0),
        $D17
      ),
      'Tools &amp; Targets_Guideline'!$C$53:$I$53,
      0
    )
  ),
0))</f>
        <v>#NAME?</v>
      </c>
      <c r="Q17" s="105"/>
      <c r="R17" s="119" t="e">
        <f t="array" aca="1" ref="R17" ca="1">IF(OR($B17="",$D17=""),"",
IFERROR(
  INDEX(
    'Tools &amp; Targets_Guideline'!$C$54:$I$269,
    MATCH(
      1,
      ('Tools &amp; Targets_Guideline'!$A$54:$A$269=$B17)*
      ('Tools &amp; Targets_Guideline'!$B$54:$B$269="TT"),
      0
    ),
    MATCH(
      _xludf.IFNA(
        VLOOKUP($D17,{"PH","Provincial Hospital (H2)";"DH","District Hospital (H3)";"RH","Regional / National Hospital (H1)"},2,0),
        $D17
      ),
      'Tools &amp; Targets_Guideline'!$C$53:$I$53,
      0
    )
  ),
0))</f>
        <v>#NAME?</v>
      </c>
      <c r="S17" s="105"/>
      <c r="T17" s="102"/>
      <c r="U17" s="106"/>
      <c r="V17" s="102" t="e">
        <f t="shared" ca="1" si="1"/>
        <v>#NAME?</v>
      </c>
      <c r="W17" s="102"/>
      <c r="X17" s="102"/>
      <c r="Y17" s="119" t="e">
        <f t="array" aca="1" ref="Y17" ca="1">IF(OR($B17="",$D17=""),"",
IFERROR(
  INDEX(
    'Tools &amp; Targets_Guideline'!$C$54:$I$269,
    MATCH(
      1,
      ('Tools &amp; Targets_Guideline'!$A$54:$A$269=$B17)*
      ('Tools &amp; Targets_Guideline'!$B$54:$B$269="GM"),
      0
    ),
    MATCH(
      _xludf.IFNA(
        VLOOKUP($D17,{"PH","Provincial Hospital (H2)";"DH","District Hospital (H3)";"RH","Regional / National Hospital (H1)"},2,0),
        $D17
      ),
      'Tools &amp; Targets_Guideline'!$C$53:$I$53,
      0
    )
  ),
0))</f>
        <v>#NAME?</v>
      </c>
      <c r="Z17" s="105"/>
      <c r="AA17" s="119" t="e">
        <f t="array" aca="1" ref="AA17" ca="1">IF(OR($B17="",$D17=""),"",
IFERROR(
  INDEX(
    'Tools &amp; Targets_Guideline'!$C$54:$I$269,
    MATCH(
      1,
      ('Tools &amp; Targets_Guideline'!$A$54:$A$269=$B17)*
      ('Tools &amp; Targets_Guideline'!$B$54:$B$269="Penta"),
      0
    ),
    MATCH(
      _xludf.IFNA(
        VLOOKUP($D17,{"PH","Provincial Hospital (H2)";"DH","District Hospital (H3)";"RH","Regional / National Hospital (H1)"},2,0),
        $D17
      ),
      'Tools &amp; Targets_Guideline'!$C$53:$I$53,
      0
    )
  ),
0))</f>
        <v>#NAME?</v>
      </c>
      <c r="AB17" s="105"/>
      <c r="AC17" s="119" t="e">
        <f t="array" aca="1" ref="AC17" ca="1">IF(OR($B17="",$D17=""),"",
IFERROR(
  INDEX(
    'Tools &amp; Targets_Guideline'!$C$54:$I$269,
    MATCH(
      1,
      ('Tools &amp; Targets_Guideline'!$A$54:$A$269=$B17)*
      ('Tools &amp; Targets_Guideline'!$B$54:$B$269="TB"),
      0
    ),
    MATCH(
      _xludf.IFNA(
        VLOOKUP($D17,{"PH","Provincial Hospital (H2)";"DH","District Hospital (H3)";"RH","Regional / National Hospital (H1)"},2,0),
        $D17
      ),
      'Tools &amp; Targets_Guideline'!$C$53:$I$53,
      0
    )
  ),
0))</f>
        <v>#NAME?</v>
      </c>
      <c r="AD17" s="105"/>
      <c r="AE17" s="119" t="e">
        <f t="array" aca="1" ref="AE17" ca="1">IF(OR($B17="",$D17=""),"",
IFERROR(
  INDEX(
    'Tools &amp; Targets_Guideline'!$C$54:$I$269,
    MATCH(
      1,
      ('Tools &amp; Targets_Guideline'!$A$54:$A$269=$B17)*
      ('Tools &amp; Targets_Guideline'!$B$54:$B$269="U5 Morbidity"),
      0
    ),
    MATCH(
      _xludf.IFNA(
        VLOOKUP($D17,{"PH","Provincial Hospital (H2)";"DH","District Hospital (H3)";"RH","Regional / National Hospital (H1)"},2,0),
        $D17
      ),
      'Tools &amp; Targets_Guideline'!$C$53:$I$53,
      0
    )
  ),
0))</f>
        <v>#NAME?</v>
      </c>
      <c r="AF17" s="105"/>
      <c r="AG17" s="119" t="e">
        <f t="array" aca="1" ref="AG17" ca="1">IF(OR($B17="",$D17=""),"",
IFERROR(
  INDEX(
    'Tools &amp; Targets_Guideline'!$C$54:$I$269,
    MATCH(
      1,
      ('Tools &amp; Targets_Guideline'!$A$54:$A$269=$B17)*
      ('Tools &amp; Targets_Guideline'!$B$54:$B$269="C-Section"),
      0
    ),
    MATCH(
      _xludf.IFNA(
        VLOOKUP($D17,{"PH","Provincial Hospital (H2)";"DH","District Hospital (H3)";"RH","Regional / National Hospital (H1)"},2,0),
        $D17
      ),
      'Tools &amp; Targets_Guideline'!$C$53:$I$53,
      0
    )
  ),
0))</f>
        <v>#NAME?</v>
      </c>
      <c r="AH17" s="105">
        <f ca="1">IF(A17&lt;&gt;"",COUNTIFS('QA Log'!D:D,A17,'QA Log'!M:M,"QQC",'QA Log'!L:L,"2. Hygiene and Sterilization",'QA Log'!Z:Z,"Approved"),"")</f>
        <v>0</v>
      </c>
      <c r="AI17" s="102"/>
      <c r="AJ17" s="102"/>
      <c r="AK17" s="103">
        <f t="shared" si="2"/>
        <v>1</v>
      </c>
      <c r="AL17" s="102"/>
      <c r="AM17" s="102"/>
      <c r="AN17" s="102"/>
      <c r="AO17" s="106"/>
      <c r="AP17" s="103"/>
      <c r="AQ17" s="102"/>
      <c r="AR17" s="102"/>
      <c r="AS17" s="102"/>
      <c r="AT17" s="107"/>
      <c r="AU17" s="102" t="e">
        <f t="shared" si="3"/>
        <v>#REF!</v>
      </c>
      <c r="AV17" s="102" t="e">
        <f t="shared" si="4"/>
        <v>#REF!</v>
      </c>
      <c r="AW17" s="102" t="e">
        <f t="shared" si="5"/>
        <v>#REF!</v>
      </c>
      <c r="AX17" s="102" t="e">
        <f t="shared" si="6"/>
        <v>#REF!</v>
      </c>
      <c r="AY17" s="107" t="e">
        <f t="shared" si="7"/>
        <v>#REF!</v>
      </c>
      <c r="AZ17" s="108" t="e">
        <f t="shared" ca="1" si="8"/>
        <v>#NAME?</v>
      </c>
      <c r="BA17" s="108" t="str">
        <f t="shared" si="9"/>
        <v>Not Applicable</v>
      </c>
      <c r="BB17" s="109" t="e">
        <f t="shared" si="10"/>
        <v>#REF!</v>
      </c>
      <c r="BC17" s="108" t="e">
        <f t="shared" ca="1" si="11"/>
        <v>#NAME?</v>
      </c>
      <c r="BD17" s="108" t="str">
        <f t="shared" si="12"/>
        <v>Not Applicable</v>
      </c>
      <c r="BE17" s="109" t="e">
        <f t="shared" si="13"/>
        <v>#REF!</v>
      </c>
      <c r="BF17" s="110" t="e">
        <f t="shared" ca="1" si="14"/>
        <v>#NAME?</v>
      </c>
      <c r="BG17" s="111"/>
    </row>
    <row r="18" spans="1:59" ht="12.75">
      <c r="A18" s="101" t="s">
        <v>136</v>
      </c>
      <c r="B18" s="102" t="e">
        <f ca="1"/>
        <v>#NAME?</v>
      </c>
      <c r="C18" s="102" t="e">
        <f t="array" aca="1" ref="C18" ca="1">_xludf.XLOOKUP(A18,'QA Log'!D:D,'QA Log'!F:F,"")</f>
        <v>#NAME?</v>
      </c>
      <c r="D18" s="102" t="s">
        <v>128</v>
      </c>
      <c r="E18" s="102" t="e">
        <f t="array" aca="1" ref="E18" ca="1">_xludf.XLOOKUP(A18,'QA Log'!D:D,'QA Log'!G:G,"")</f>
        <v>#NAME?</v>
      </c>
      <c r="F18" s="103"/>
      <c r="G18" s="104"/>
      <c r="H18" s="104"/>
      <c r="I18" s="103" t="e">
        <f t="shared" ca="1" si="0"/>
        <v>#NAME?</v>
      </c>
      <c r="J18" s="102"/>
      <c r="K18" s="102"/>
      <c r="L18" s="119" t="e">
        <f t="array" aca="1" ref="L18" ca="1">IF(OR($B18="",$D18=""),"",
IFERROR(
  INDEX(
    'Tools &amp; Targets_Guideline'!$C$54:$I$269,
    MATCH(
      1,
      ('Tools &amp; Targets_Guideline'!$A$54:$A$269=$B18)*
      ('Tools &amp; Targets_Guideline'!$B$54:$B$269="ANC"),
      0
    ),
    MATCH(
      _xludf.IFNA(
        VLOOKUP($D18,{"PH","Provincial Hospital (H2)";"DH","District Hospital (H3)";"RH","Regional / National Hospital (H1)"},2,0),
        $D18
      ),
      'Tools &amp; Targets_Guideline'!$C$53:$I$53,
      0
    )
  ),
0))</f>
        <v>#NAME?</v>
      </c>
      <c r="M18" s="105"/>
      <c r="N18" s="119" t="e">
        <f t="array" aca="1" ref="N18" ca="1">IF(OR($B18="",$D18=""),"",
IFERROR(
  INDEX(
    'Tools &amp; Targets_Guideline'!$C$54:$I$269,
    MATCH(
      1,
      ('Tools &amp; Targets_Guideline'!$A$54:$A$269=$B18)*
      ('Tools &amp; Targets_Guideline'!$B$54:$B$269="PNC"),
      0
    ),
    MATCH(
      _xludf.IFNA(
        VLOOKUP($D18,{"PH","Provincial Hospital (H2)";"DH","District Hospital (H3)";"RH","Regional / National Hospital (H1)"},2,0),
        $D18
      ),
      'Tools &amp; Targets_Guideline'!$C$53:$I$53,
      0
    )
  ),
0))</f>
        <v>#NAME?</v>
      </c>
      <c r="O18" s="105"/>
      <c r="P18" s="119" t="e">
        <f t="array" aca="1" ref="P18" ca="1">IF(OR($B18="",$D18=""),"",
IFERROR(
  INDEX(
    'Tools &amp; Targets_Guideline'!$C$54:$I$269,
    MATCH(
      1,
      ('Tools &amp; Targets_Guideline'!$A$54:$A$269=$B18)*
      ('Tools &amp; Targets_Guideline'!$B$54:$B$269="Delivery"),
      0
    ),
    MATCH(
      _xludf.IFNA(
        VLOOKUP($D18,{"PH","Provincial Hospital (H2)";"DH","District Hospital (H3)";"RH","Regional / National Hospital (H1)"},2,0),
        $D18
      ),
      'Tools &amp; Targets_Guideline'!$C$53:$I$53,
      0
    )
  ),
0))</f>
        <v>#NAME?</v>
      </c>
      <c r="Q18" s="105"/>
      <c r="R18" s="119" t="e">
        <f t="array" aca="1" ref="R18" ca="1">IF(OR($B18="",$D18=""),"",
IFERROR(
  INDEX(
    'Tools &amp; Targets_Guideline'!$C$54:$I$269,
    MATCH(
      1,
      ('Tools &amp; Targets_Guideline'!$A$54:$A$269=$B18)*
      ('Tools &amp; Targets_Guideline'!$B$54:$B$269="TT"),
      0
    ),
    MATCH(
      _xludf.IFNA(
        VLOOKUP($D18,{"PH","Provincial Hospital (H2)";"DH","District Hospital (H3)";"RH","Regional / National Hospital (H1)"},2,0),
        $D18
      ),
      'Tools &amp; Targets_Guideline'!$C$53:$I$53,
      0
    )
  ),
0))</f>
        <v>#NAME?</v>
      </c>
      <c r="S18" s="105"/>
      <c r="T18" s="102"/>
      <c r="U18" s="106"/>
      <c r="V18" s="102" t="e">
        <f t="shared" ca="1" si="1"/>
        <v>#NAME?</v>
      </c>
      <c r="W18" s="102"/>
      <c r="X18" s="102"/>
      <c r="Y18" s="119" t="e">
        <f t="array" aca="1" ref="Y18" ca="1">IF(OR($B18="",$D18=""),"",
IFERROR(
  INDEX(
    'Tools &amp; Targets_Guideline'!$C$54:$I$269,
    MATCH(
      1,
      ('Tools &amp; Targets_Guideline'!$A$54:$A$269=$B18)*
      ('Tools &amp; Targets_Guideline'!$B$54:$B$269="GM"),
      0
    ),
    MATCH(
      _xludf.IFNA(
        VLOOKUP($D18,{"PH","Provincial Hospital (H2)";"DH","District Hospital (H3)";"RH","Regional / National Hospital (H1)"},2,0),
        $D18
      ),
      'Tools &amp; Targets_Guideline'!$C$53:$I$53,
      0
    )
  ),
0))</f>
        <v>#NAME?</v>
      </c>
      <c r="Z18" s="105"/>
      <c r="AA18" s="119" t="e">
        <f t="array" aca="1" ref="AA18" ca="1">IF(OR($B18="",$D18=""),"",
IFERROR(
  INDEX(
    'Tools &amp; Targets_Guideline'!$C$54:$I$269,
    MATCH(
      1,
      ('Tools &amp; Targets_Guideline'!$A$54:$A$269=$B18)*
      ('Tools &amp; Targets_Guideline'!$B$54:$B$269="Penta"),
      0
    ),
    MATCH(
      _xludf.IFNA(
        VLOOKUP($D18,{"PH","Provincial Hospital (H2)";"DH","District Hospital (H3)";"RH","Regional / National Hospital (H1)"},2,0),
        $D18
      ),
      'Tools &amp; Targets_Guideline'!$C$53:$I$53,
      0
    )
  ),
0))</f>
        <v>#NAME?</v>
      </c>
      <c r="AB18" s="105"/>
      <c r="AC18" s="119" t="e">
        <f t="array" aca="1" ref="AC18" ca="1">IF(OR($B18="",$D18=""),"",
IFERROR(
  INDEX(
    'Tools &amp; Targets_Guideline'!$C$54:$I$269,
    MATCH(
      1,
      ('Tools &amp; Targets_Guideline'!$A$54:$A$269=$B18)*
      ('Tools &amp; Targets_Guideline'!$B$54:$B$269="TB"),
      0
    ),
    MATCH(
      _xludf.IFNA(
        VLOOKUP($D18,{"PH","Provincial Hospital (H2)";"DH","District Hospital (H3)";"RH","Regional / National Hospital (H1)"},2,0),
        $D18
      ),
      'Tools &amp; Targets_Guideline'!$C$53:$I$53,
      0
    )
  ),
0))</f>
        <v>#NAME?</v>
      </c>
      <c r="AD18" s="105"/>
      <c r="AE18" s="119" t="e">
        <f t="array" aca="1" ref="AE18" ca="1">IF(OR($B18="",$D18=""),"",
IFERROR(
  INDEX(
    'Tools &amp; Targets_Guideline'!$C$54:$I$269,
    MATCH(
      1,
      ('Tools &amp; Targets_Guideline'!$A$54:$A$269=$B18)*
      ('Tools &amp; Targets_Guideline'!$B$54:$B$269="U5 Morbidity"),
      0
    ),
    MATCH(
      _xludf.IFNA(
        VLOOKUP($D18,{"PH","Provincial Hospital (H2)";"DH","District Hospital (H3)";"RH","Regional / National Hospital (H1)"},2,0),
        $D18
      ),
      'Tools &amp; Targets_Guideline'!$C$53:$I$53,
      0
    )
  ),
0))</f>
        <v>#NAME?</v>
      </c>
      <c r="AF18" s="105"/>
      <c r="AG18" s="119" t="e">
        <f t="array" aca="1" ref="AG18" ca="1">IF(OR($B18="",$D18=""),"",
IFERROR(
  INDEX(
    'Tools &amp; Targets_Guideline'!$C$54:$I$269,
    MATCH(
      1,
      ('Tools &amp; Targets_Guideline'!$A$54:$A$269=$B18)*
      ('Tools &amp; Targets_Guideline'!$B$54:$B$269="C-Section"),
      0
    ),
    MATCH(
      _xludf.IFNA(
        VLOOKUP($D18,{"PH","Provincial Hospital (H2)";"DH","District Hospital (H3)";"RH","Regional / National Hospital (H1)"},2,0),
        $D18
      ),
      'Tools &amp; Targets_Guideline'!$C$53:$I$53,
      0
    )
  ),
0))</f>
        <v>#NAME?</v>
      </c>
      <c r="AH18" s="105">
        <f ca="1">IF(A18&lt;&gt;"",COUNTIFS('QA Log'!D:D,A18,'QA Log'!M:M,"QQC",'QA Log'!L:L,"2. Hygiene and Sterilization",'QA Log'!Z:Z,"Approved"),"")</f>
        <v>0</v>
      </c>
      <c r="AI18" s="102"/>
      <c r="AJ18" s="102"/>
      <c r="AK18" s="103">
        <f t="shared" si="2"/>
        <v>1</v>
      </c>
      <c r="AL18" s="102"/>
      <c r="AM18" s="102"/>
      <c r="AN18" s="102"/>
      <c r="AO18" s="106"/>
      <c r="AP18" s="103"/>
      <c r="AQ18" s="102"/>
      <c r="AR18" s="102"/>
      <c r="AS18" s="102"/>
      <c r="AT18" s="107"/>
      <c r="AU18" s="102" t="e">
        <f t="shared" si="3"/>
        <v>#REF!</v>
      </c>
      <c r="AV18" s="102" t="e">
        <f t="shared" si="4"/>
        <v>#REF!</v>
      </c>
      <c r="AW18" s="102" t="e">
        <f t="shared" si="5"/>
        <v>#REF!</v>
      </c>
      <c r="AX18" s="102" t="e">
        <f t="shared" si="6"/>
        <v>#REF!</v>
      </c>
      <c r="AY18" s="107" t="e">
        <f t="shared" si="7"/>
        <v>#REF!</v>
      </c>
      <c r="AZ18" s="108" t="e">
        <f t="shared" ca="1" si="8"/>
        <v>#NAME?</v>
      </c>
      <c r="BA18" s="108" t="str">
        <f t="shared" si="9"/>
        <v>Not Applicable</v>
      </c>
      <c r="BB18" s="109" t="e">
        <f t="shared" si="10"/>
        <v>#REF!</v>
      </c>
      <c r="BC18" s="108" t="e">
        <f t="shared" ca="1" si="11"/>
        <v>#NAME?</v>
      </c>
      <c r="BD18" s="108" t="str">
        <f t="shared" si="12"/>
        <v>Not Applicable</v>
      </c>
      <c r="BE18" s="109" t="e">
        <f t="shared" si="13"/>
        <v>#REF!</v>
      </c>
      <c r="BF18" s="110" t="e">
        <f t="shared" ca="1" si="14"/>
        <v>#NAME?</v>
      </c>
      <c r="BG18" s="111"/>
    </row>
    <row r="19" spans="1:59" ht="12.75">
      <c r="A19" s="101" t="s">
        <v>20</v>
      </c>
      <c r="B19" s="102" t="e">
        <f ca="1"/>
        <v>#NAME?</v>
      </c>
      <c r="C19" s="102" t="e">
        <f t="array" aca="1" ref="C19" ca="1">_xludf.XLOOKUP(A19,'QA Log'!D:D,'QA Log'!F:F,"")</f>
        <v>#NAME?</v>
      </c>
      <c r="D19" s="102" t="s">
        <v>130</v>
      </c>
      <c r="E19" s="102" t="e">
        <f t="array" aca="1" ref="E19" ca="1">_xludf.XLOOKUP(A19,'QA Log'!D:D,'QA Log'!G:G,"")</f>
        <v>#NAME?</v>
      </c>
      <c r="F19" s="103"/>
      <c r="G19" s="104"/>
      <c r="H19" s="104"/>
      <c r="I19" s="103" t="e">
        <f t="shared" ca="1" si="0"/>
        <v>#NAME?</v>
      </c>
      <c r="J19" s="102"/>
      <c r="K19" s="102"/>
      <c r="L19" s="119" t="e">
        <f t="array" aca="1" ref="L19" ca="1">IF(OR($B19="",$D19=""),"",
IFERROR(
  INDEX(
    'Tools &amp; Targets_Guideline'!$C$54:$I$269,
    MATCH(
      1,
      ('Tools &amp; Targets_Guideline'!$A$54:$A$269=$B19)*
      ('Tools &amp; Targets_Guideline'!$B$54:$B$269="ANC"),
      0
    ),
    MATCH(
      _xludf.IFNA(
        VLOOKUP($D19,{"PH","Provincial Hospital (H2)";"DH","District Hospital (H3)";"RH","Regional / National Hospital (H1)"},2,0),
        $D19
      ),
      'Tools &amp; Targets_Guideline'!$C$53:$I$53,
      0
    )
  ),
0))</f>
        <v>#NAME?</v>
      </c>
      <c r="M19" s="105"/>
      <c r="N19" s="119" t="e">
        <f t="array" aca="1" ref="N19" ca="1">IF(OR($B19="",$D19=""),"",
IFERROR(
  INDEX(
    'Tools &amp; Targets_Guideline'!$C$54:$I$269,
    MATCH(
      1,
      ('Tools &amp; Targets_Guideline'!$A$54:$A$269=$B19)*
      ('Tools &amp; Targets_Guideline'!$B$54:$B$269="PNC"),
      0
    ),
    MATCH(
      _xludf.IFNA(
        VLOOKUP($D19,{"PH","Provincial Hospital (H2)";"DH","District Hospital (H3)";"RH","Regional / National Hospital (H1)"},2,0),
        $D19
      ),
      'Tools &amp; Targets_Guideline'!$C$53:$I$53,
      0
    )
  ),
0))</f>
        <v>#NAME?</v>
      </c>
      <c r="O19" s="105"/>
      <c r="P19" s="119" t="e">
        <f t="array" aca="1" ref="P19" ca="1">IF(OR($B19="",$D19=""),"",
IFERROR(
  INDEX(
    'Tools &amp; Targets_Guideline'!$C$54:$I$269,
    MATCH(
      1,
      ('Tools &amp; Targets_Guideline'!$A$54:$A$269=$B19)*
      ('Tools &amp; Targets_Guideline'!$B$54:$B$269="Delivery"),
      0
    ),
    MATCH(
      _xludf.IFNA(
        VLOOKUP($D19,{"PH","Provincial Hospital (H2)";"DH","District Hospital (H3)";"RH","Regional / National Hospital (H1)"},2,0),
        $D19
      ),
      'Tools &amp; Targets_Guideline'!$C$53:$I$53,
      0
    )
  ),
0))</f>
        <v>#NAME?</v>
      </c>
      <c r="Q19" s="105"/>
      <c r="R19" s="119" t="e">
        <f t="array" aca="1" ref="R19" ca="1">IF(OR($B19="",$D19=""),"",
IFERROR(
  INDEX(
    'Tools &amp; Targets_Guideline'!$C$54:$I$269,
    MATCH(
      1,
      ('Tools &amp; Targets_Guideline'!$A$54:$A$269=$B19)*
      ('Tools &amp; Targets_Guideline'!$B$54:$B$269="TT"),
      0
    ),
    MATCH(
      _xludf.IFNA(
        VLOOKUP($D19,{"PH","Provincial Hospital (H2)";"DH","District Hospital (H3)";"RH","Regional / National Hospital (H1)"},2,0),
        $D19
      ),
      'Tools &amp; Targets_Guideline'!$C$53:$I$53,
      0
    )
  ),
0))</f>
        <v>#NAME?</v>
      </c>
      <c r="S19" s="105"/>
      <c r="T19" s="102"/>
      <c r="U19" s="106"/>
      <c r="V19" s="102" t="e">
        <f t="shared" ca="1" si="1"/>
        <v>#NAME?</v>
      </c>
      <c r="W19" s="102"/>
      <c r="X19" s="102"/>
      <c r="Y19" s="119" t="e">
        <f t="array" aca="1" ref="Y19" ca="1">IF(OR($B19="",$D19=""),"",
IFERROR(
  INDEX(
    'Tools &amp; Targets_Guideline'!$C$54:$I$269,
    MATCH(
      1,
      ('Tools &amp; Targets_Guideline'!$A$54:$A$269=$B19)*
      ('Tools &amp; Targets_Guideline'!$B$54:$B$269="GM"),
      0
    ),
    MATCH(
      _xludf.IFNA(
        VLOOKUP($D19,{"PH","Provincial Hospital (H2)";"DH","District Hospital (H3)";"RH","Regional / National Hospital (H1)"},2,0),
        $D19
      ),
      'Tools &amp; Targets_Guideline'!$C$53:$I$53,
      0
    )
  ),
0))</f>
        <v>#NAME?</v>
      </c>
      <c r="Z19" s="105"/>
      <c r="AA19" s="119" t="e">
        <f t="array" aca="1" ref="AA19" ca="1">IF(OR($B19="",$D19=""),"",
IFERROR(
  INDEX(
    'Tools &amp; Targets_Guideline'!$C$54:$I$269,
    MATCH(
      1,
      ('Tools &amp; Targets_Guideline'!$A$54:$A$269=$B19)*
      ('Tools &amp; Targets_Guideline'!$B$54:$B$269="Penta"),
      0
    ),
    MATCH(
      _xludf.IFNA(
        VLOOKUP($D19,{"PH","Provincial Hospital (H2)";"DH","District Hospital (H3)";"RH","Regional / National Hospital (H1)"},2,0),
        $D19
      ),
      'Tools &amp; Targets_Guideline'!$C$53:$I$53,
      0
    )
  ),
0))</f>
        <v>#NAME?</v>
      </c>
      <c r="AB19" s="105"/>
      <c r="AC19" s="119" t="e">
        <f t="array" aca="1" ref="AC19" ca="1">IF(OR($B19="",$D19=""),"",
IFERROR(
  INDEX(
    'Tools &amp; Targets_Guideline'!$C$54:$I$269,
    MATCH(
      1,
      ('Tools &amp; Targets_Guideline'!$A$54:$A$269=$B19)*
      ('Tools &amp; Targets_Guideline'!$B$54:$B$269="TB"),
      0
    ),
    MATCH(
      _xludf.IFNA(
        VLOOKUP($D19,{"PH","Provincial Hospital (H2)";"DH","District Hospital (H3)";"RH","Regional / National Hospital (H1)"},2,0),
        $D19
      ),
      'Tools &amp; Targets_Guideline'!$C$53:$I$53,
      0
    )
  ),
0))</f>
        <v>#NAME?</v>
      </c>
      <c r="AD19" s="105"/>
      <c r="AE19" s="119" t="e">
        <f t="array" aca="1" ref="AE19" ca="1">IF(OR($B19="",$D19=""),"",
IFERROR(
  INDEX(
    'Tools &amp; Targets_Guideline'!$C$54:$I$269,
    MATCH(
      1,
      ('Tools &amp; Targets_Guideline'!$A$54:$A$269=$B19)*
      ('Tools &amp; Targets_Guideline'!$B$54:$B$269="U5 Morbidity"),
      0
    ),
    MATCH(
      _xludf.IFNA(
        VLOOKUP($D19,{"PH","Provincial Hospital (H2)";"DH","District Hospital (H3)";"RH","Regional / National Hospital (H1)"},2,0),
        $D19
      ),
      'Tools &amp; Targets_Guideline'!$C$53:$I$53,
      0
    )
  ),
0))</f>
        <v>#NAME?</v>
      </c>
      <c r="AF19" s="105"/>
      <c r="AG19" s="119" t="e">
        <f t="array" aca="1" ref="AG19" ca="1">IF(OR($B19="",$D19=""),"",
IFERROR(
  INDEX(
    'Tools &amp; Targets_Guideline'!$C$54:$I$269,
    MATCH(
      1,
      ('Tools &amp; Targets_Guideline'!$A$54:$A$269=$B19)*
      ('Tools &amp; Targets_Guideline'!$B$54:$B$269="C-Section"),
      0
    ),
    MATCH(
      _xludf.IFNA(
        VLOOKUP($D19,{"PH","Provincial Hospital (H2)";"DH","District Hospital (H3)";"RH","Regional / National Hospital (H1)"},2,0),
        $D19
      ),
      'Tools &amp; Targets_Guideline'!$C$53:$I$53,
      0
    )
  ),
0))</f>
        <v>#NAME?</v>
      </c>
      <c r="AH19" s="105">
        <f ca="1">IF(A19&lt;&gt;"",COUNTIFS('QA Log'!D:D,A19,'QA Log'!M:M,"QQC",'QA Log'!L:L,"2. Hygiene and Sterilization",'QA Log'!Z:Z,"Approved"),"")</f>
        <v>0</v>
      </c>
      <c r="AI19" s="102"/>
      <c r="AJ19" s="102"/>
      <c r="AK19" s="103">
        <f t="shared" si="2"/>
        <v>0</v>
      </c>
      <c r="AL19" s="102"/>
      <c r="AM19" s="102"/>
      <c r="AN19" s="102"/>
      <c r="AO19" s="106"/>
      <c r="AP19" s="103"/>
      <c r="AQ19" s="102"/>
      <c r="AR19" s="102"/>
      <c r="AS19" s="102"/>
      <c r="AT19" s="107"/>
      <c r="AU19" s="102" t="e">
        <f t="shared" si="3"/>
        <v>#REF!</v>
      </c>
      <c r="AV19" s="102" t="e">
        <f t="shared" si="4"/>
        <v>#REF!</v>
      </c>
      <c r="AW19" s="102" t="e">
        <f t="shared" si="5"/>
        <v>#REF!</v>
      </c>
      <c r="AX19" s="102" t="e">
        <f t="shared" si="6"/>
        <v>#REF!</v>
      </c>
      <c r="AY19" s="107" t="e">
        <f t="shared" si="7"/>
        <v>#REF!</v>
      </c>
      <c r="AZ19" s="108" t="str">
        <f t="shared" si="8"/>
        <v>Not Applicable</v>
      </c>
      <c r="BA19" s="108" t="e">
        <f t="shared" si="9"/>
        <v>#REF!</v>
      </c>
      <c r="BB19" s="109" t="e">
        <f t="shared" si="10"/>
        <v>#REF!</v>
      </c>
      <c r="BC19" s="108" t="str">
        <f t="shared" si="11"/>
        <v>Not Applicable</v>
      </c>
      <c r="BD19" s="108" t="e">
        <f t="shared" si="12"/>
        <v>#REF!</v>
      </c>
      <c r="BE19" s="109" t="e">
        <f t="shared" si="13"/>
        <v>#REF!</v>
      </c>
      <c r="BF19" s="110" t="e">
        <f t="shared" si="14"/>
        <v>#REF!</v>
      </c>
      <c r="BG19" s="111"/>
    </row>
    <row r="20" spans="1:59" ht="12.75">
      <c r="A20" s="101" t="s">
        <v>33</v>
      </c>
      <c r="B20" s="102" t="e">
        <f ca="1"/>
        <v>#NAME?</v>
      </c>
      <c r="C20" s="102" t="e">
        <f t="array" aca="1" ref="C20" ca="1">_xludf.XLOOKUP(A20,'QA Log'!D:D,'QA Log'!F:F,"")</f>
        <v>#NAME?</v>
      </c>
      <c r="D20" s="102" t="s">
        <v>131</v>
      </c>
      <c r="E20" s="102" t="e">
        <f t="array" aca="1" ref="E20" ca="1">_xludf.XLOOKUP(A20,'QA Log'!D:D,'QA Log'!G:G,"")</f>
        <v>#NAME?</v>
      </c>
      <c r="F20" s="103"/>
      <c r="G20" s="104"/>
      <c r="H20" s="104"/>
      <c r="I20" s="103" t="e">
        <f t="shared" ca="1" si="0"/>
        <v>#NAME?</v>
      </c>
      <c r="J20" s="102"/>
      <c r="K20" s="102"/>
      <c r="L20" s="119" t="e">
        <f t="array" aca="1" ref="L20" ca="1">IF(OR($B20="",$D20=""),"",
IFERROR(
  INDEX(
    'Tools &amp; Targets_Guideline'!$C$54:$I$269,
    MATCH(
      1,
      ('Tools &amp; Targets_Guideline'!$A$54:$A$269=$B20)*
      ('Tools &amp; Targets_Guideline'!$B$54:$B$269="ANC"),
      0
    ),
    MATCH(
      _xludf.IFNA(
        VLOOKUP($D20,{"PH","Provincial Hospital (H2)";"DH","District Hospital (H3)";"RH","Regional / National Hospital (H1)"},2,0),
        $D20
      ),
      'Tools &amp; Targets_Guideline'!$C$53:$I$53,
      0
    )
  ),
0))</f>
        <v>#NAME?</v>
      </c>
      <c r="M20" s="105"/>
      <c r="N20" s="119" t="e">
        <f t="array" aca="1" ref="N20" ca="1">IF(OR($B20="",$D20=""),"",
IFERROR(
  INDEX(
    'Tools &amp; Targets_Guideline'!$C$54:$I$269,
    MATCH(
      1,
      ('Tools &amp; Targets_Guideline'!$A$54:$A$269=$B20)*
      ('Tools &amp; Targets_Guideline'!$B$54:$B$269="PNC"),
      0
    ),
    MATCH(
      _xludf.IFNA(
        VLOOKUP($D20,{"PH","Provincial Hospital (H2)";"DH","District Hospital (H3)";"RH","Regional / National Hospital (H1)"},2,0),
        $D20
      ),
      'Tools &amp; Targets_Guideline'!$C$53:$I$53,
      0
    )
  ),
0))</f>
        <v>#NAME?</v>
      </c>
      <c r="O20" s="105"/>
      <c r="P20" s="119" t="e">
        <f t="array" aca="1" ref="P20" ca="1">IF(OR($B20="",$D20=""),"",
IFERROR(
  INDEX(
    'Tools &amp; Targets_Guideline'!$C$54:$I$269,
    MATCH(
      1,
      ('Tools &amp; Targets_Guideline'!$A$54:$A$269=$B20)*
      ('Tools &amp; Targets_Guideline'!$B$54:$B$269="Delivery"),
      0
    ),
    MATCH(
      _xludf.IFNA(
        VLOOKUP($D20,{"PH","Provincial Hospital (H2)";"DH","District Hospital (H3)";"RH","Regional / National Hospital (H1)"},2,0),
        $D20
      ),
      'Tools &amp; Targets_Guideline'!$C$53:$I$53,
      0
    )
  ),
0))</f>
        <v>#NAME?</v>
      </c>
      <c r="Q20" s="105"/>
      <c r="R20" s="119" t="e">
        <f t="array" aca="1" ref="R20" ca="1">IF(OR($B20="",$D20=""),"",
IFERROR(
  INDEX(
    'Tools &amp; Targets_Guideline'!$C$54:$I$269,
    MATCH(
      1,
      ('Tools &amp; Targets_Guideline'!$A$54:$A$269=$B20)*
      ('Tools &amp; Targets_Guideline'!$B$54:$B$269="TT"),
      0
    ),
    MATCH(
      _xludf.IFNA(
        VLOOKUP($D20,{"PH","Provincial Hospital (H2)";"DH","District Hospital (H3)";"RH","Regional / National Hospital (H1)"},2,0),
        $D20
      ),
      'Tools &amp; Targets_Guideline'!$C$53:$I$53,
      0
    )
  ),
0))</f>
        <v>#NAME?</v>
      </c>
      <c r="S20" s="105"/>
      <c r="T20" s="102"/>
      <c r="U20" s="106"/>
      <c r="V20" s="102" t="e">
        <f t="shared" ca="1" si="1"/>
        <v>#NAME?</v>
      </c>
      <c r="W20" s="102"/>
      <c r="X20" s="102"/>
      <c r="Y20" s="119" t="e">
        <f t="array" aca="1" ref="Y20" ca="1">IF(OR($B20="",$D20=""),"",
IFERROR(
  INDEX(
    'Tools &amp; Targets_Guideline'!$C$54:$I$269,
    MATCH(
      1,
      ('Tools &amp; Targets_Guideline'!$A$54:$A$269=$B20)*
      ('Tools &amp; Targets_Guideline'!$B$54:$B$269="GM"),
      0
    ),
    MATCH(
      _xludf.IFNA(
        VLOOKUP($D20,{"PH","Provincial Hospital (H2)";"DH","District Hospital (H3)";"RH","Regional / National Hospital (H1)"},2,0),
        $D20
      ),
      'Tools &amp; Targets_Guideline'!$C$53:$I$53,
      0
    )
  ),
0))</f>
        <v>#NAME?</v>
      </c>
      <c r="Z20" s="105"/>
      <c r="AA20" s="119" t="e">
        <f t="array" aca="1" ref="AA20" ca="1">IF(OR($B20="",$D20=""),"",
IFERROR(
  INDEX(
    'Tools &amp; Targets_Guideline'!$C$54:$I$269,
    MATCH(
      1,
      ('Tools &amp; Targets_Guideline'!$A$54:$A$269=$B20)*
      ('Tools &amp; Targets_Guideline'!$B$54:$B$269="Penta"),
      0
    ),
    MATCH(
      _xludf.IFNA(
        VLOOKUP($D20,{"PH","Provincial Hospital (H2)";"DH","District Hospital (H3)";"RH","Regional / National Hospital (H1)"},2,0),
        $D20
      ),
      'Tools &amp; Targets_Guideline'!$C$53:$I$53,
      0
    )
  ),
0))</f>
        <v>#NAME?</v>
      </c>
      <c r="AB20" s="105"/>
      <c r="AC20" s="119" t="e">
        <f t="array" aca="1" ref="AC20" ca="1">IF(OR($B20="",$D20=""),"",
IFERROR(
  INDEX(
    'Tools &amp; Targets_Guideline'!$C$54:$I$269,
    MATCH(
      1,
      ('Tools &amp; Targets_Guideline'!$A$54:$A$269=$B20)*
      ('Tools &amp; Targets_Guideline'!$B$54:$B$269="TB"),
      0
    ),
    MATCH(
      _xludf.IFNA(
        VLOOKUP($D20,{"PH","Provincial Hospital (H2)";"DH","District Hospital (H3)";"RH","Regional / National Hospital (H1)"},2,0),
        $D20
      ),
      'Tools &amp; Targets_Guideline'!$C$53:$I$53,
      0
    )
  ),
0))</f>
        <v>#NAME?</v>
      </c>
      <c r="AD20" s="105"/>
      <c r="AE20" s="119" t="e">
        <f t="array" aca="1" ref="AE20" ca="1">IF(OR($B20="",$D20=""),"",
IFERROR(
  INDEX(
    'Tools &amp; Targets_Guideline'!$C$54:$I$269,
    MATCH(
      1,
      ('Tools &amp; Targets_Guideline'!$A$54:$A$269=$B20)*
      ('Tools &amp; Targets_Guideline'!$B$54:$B$269="U5 Morbidity"),
      0
    ),
    MATCH(
      _xludf.IFNA(
        VLOOKUP($D20,{"PH","Provincial Hospital (H2)";"DH","District Hospital (H3)";"RH","Regional / National Hospital (H1)"},2,0),
        $D20
      ),
      'Tools &amp; Targets_Guideline'!$C$53:$I$53,
      0
    )
  ),
0))</f>
        <v>#NAME?</v>
      </c>
      <c r="AF20" s="105"/>
      <c r="AG20" s="119" t="e">
        <f t="array" aca="1" ref="AG20" ca="1">IF(OR($B20="",$D20=""),"",
IFERROR(
  INDEX(
    'Tools &amp; Targets_Guideline'!$C$54:$I$269,
    MATCH(
      1,
      ('Tools &amp; Targets_Guideline'!$A$54:$A$269=$B20)*
      ('Tools &amp; Targets_Guideline'!$B$54:$B$269="C-Section"),
      0
    ),
    MATCH(
      _xludf.IFNA(
        VLOOKUP($D20,{"PH","Provincial Hospital (H2)";"DH","District Hospital (H3)";"RH","Regional / National Hospital (H1)"},2,0),
        $D20
      ),
      'Tools &amp; Targets_Guideline'!$C$53:$I$53,
      0
    )
  ),
0))</f>
        <v>#NAME?</v>
      </c>
      <c r="AH20" s="105">
        <f ca="1">IF(A20&lt;&gt;"",COUNTIFS('QA Log'!D:D,A20,'QA Log'!M:M,"QQC",'QA Log'!L:L,"2. Hygiene and Sterilization",'QA Log'!Z:Z,"Approved"),"")</f>
        <v>0</v>
      </c>
      <c r="AI20" s="102"/>
      <c r="AJ20" s="102"/>
      <c r="AK20" s="103">
        <f t="shared" si="2"/>
        <v>0</v>
      </c>
      <c r="AL20" s="102"/>
      <c r="AM20" s="102"/>
      <c r="AN20" s="102"/>
      <c r="AO20" s="106"/>
      <c r="AP20" s="103"/>
      <c r="AQ20" s="102"/>
      <c r="AR20" s="102"/>
      <c r="AS20" s="102"/>
      <c r="AT20" s="107"/>
      <c r="AU20" s="102" t="e">
        <f t="shared" si="3"/>
        <v>#REF!</v>
      </c>
      <c r="AV20" s="102" t="e">
        <f t="shared" si="4"/>
        <v>#REF!</v>
      </c>
      <c r="AW20" s="102" t="e">
        <f t="shared" si="5"/>
        <v>#REF!</v>
      </c>
      <c r="AX20" s="102" t="e">
        <f t="shared" si="6"/>
        <v>#REF!</v>
      </c>
      <c r="AY20" s="107" t="e">
        <f t="shared" si="7"/>
        <v>#REF!</v>
      </c>
      <c r="AZ20" s="108" t="str">
        <f t="shared" si="8"/>
        <v>Not Applicable</v>
      </c>
      <c r="BA20" s="108" t="e">
        <f t="shared" si="9"/>
        <v>#REF!</v>
      </c>
      <c r="BB20" s="109" t="e">
        <f t="shared" si="10"/>
        <v>#REF!</v>
      </c>
      <c r="BC20" s="108" t="str">
        <f t="shared" si="11"/>
        <v>Not Applicable</v>
      </c>
      <c r="BD20" s="108" t="e">
        <f t="shared" si="12"/>
        <v>#REF!</v>
      </c>
      <c r="BE20" s="109" t="e">
        <f t="shared" si="13"/>
        <v>#REF!</v>
      </c>
      <c r="BF20" s="110" t="e">
        <f t="shared" si="14"/>
        <v>#REF!</v>
      </c>
      <c r="BG20" s="111"/>
    </row>
    <row r="21" spans="1:59" ht="12.75">
      <c r="A21" s="101" t="s">
        <v>23</v>
      </c>
      <c r="B21" s="102" t="e">
        <f ca="1"/>
        <v>#NAME?</v>
      </c>
      <c r="C21" s="102" t="e">
        <f t="array" aca="1" ref="C21" ca="1">_xludf.XLOOKUP(A21,'QA Log'!D:D,'QA Log'!F:F,"")</f>
        <v>#NAME?</v>
      </c>
      <c r="D21" s="102" t="s">
        <v>124</v>
      </c>
      <c r="E21" s="102" t="e">
        <f t="array" aca="1" ref="E21" ca="1">_xludf.XLOOKUP(A21,'QA Log'!D:D,'QA Log'!G:G,"")</f>
        <v>#NAME?</v>
      </c>
      <c r="F21" s="103"/>
      <c r="G21" s="104"/>
      <c r="H21" s="104"/>
      <c r="I21" s="103" t="e">
        <f t="shared" ca="1" si="0"/>
        <v>#NAME?</v>
      </c>
      <c r="J21" s="102"/>
      <c r="K21" s="102"/>
      <c r="L21" s="119" t="e">
        <f t="array" aca="1" ref="L21" ca="1">IF(OR($B21="",$D21=""),"",
IFERROR(
  INDEX(
    'Tools &amp; Targets_Guideline'!$C$54:$I$269,
    MATCH(
      1,
      ('Tools &amp; Targets_Guideline'!$A$54:$A$269=$B21)*
      ('Tools &amp; Targets_Guideline'!$B$54:$B$269="ANC"),
      0
    ),
    MATCH(
      _xludf.IFNA(
        VLOOKUP($D21,{"PH","Provincial Hospital (H2)";"DH","District Hospital (H3)";"RH","Regional / National Hospital (H1)"},2,0),
        $D21
      ),
      'Tools &amp; Targets_Guideline'!$C$53:$I$53,
      0
    )
  ),
0))</f>
        <v>#NAME?</v>
      </c>
      <c r="M21" s="105"/>
      <c r="N21" s="119" t="e">
        <f t="array" aca="1" ref="N21" ca="1">IF(OR($B21="",$D21=""),"",
IFERROR(
  INDEX(
    'Tools &amp; Targets_Guideline'!$C$54:$I$269,
    MATCH(
      1,
      ('Tools &amp; Targets_Guideline'!$A$54:$A$269=$B21)*
      ('Tools &amp; Targets_Guideline'!$B$54:$B$269="PNC"),
      0
    ),
    MATCH(
      _xludf.IFNA(
        VLOOKUP($D21,{"PH","Provincial Hospital (H2)";"DH","District Hospital (H3)";"RH","Regional / National Hospital (H1)"},2,0),
        $D21
      ),
      'Tools &amp; Targets_Guideline'!$C$53:$I$53,
      0
    )
  ),
0))</f>
        <v>#NAME?</v>
      </c>
      <c r="O21" s="105"/>
      <c r="P21" s="119" t="e">
        <f t="array" aca="1" ref="P21" ca="1">IF(OR($B21="",$D21=""),"",
IFERROR(
  INDEX(
    'Tools &amp; Targets_Guideline'!$C$54:$I$269,
    MATCH(
      1,
      ('Tools &amp; Targets_Guideline'!$A$54:$A$269=$B21)*
      ('Tools &amp; Targets_Guideline'!$B$54:$B$269="Delivery"),
      0
    ),
    MATCH(
      _xludf.IFNA(
        VLOOKUP($D21,{"PH","Provincial Hospital (H2)";"DH","District Hospital (H3)";"RH","Regional / National Hospital (H1)"},2,0),
        $D21
      ),
      'Tools &amp; Targets_Guideline'!$C$53:$I$53,
      0
    )
  ),
0))</f>
        <v>#NAME?</v>
      </c>
      <c r="Q21" s="105"/>
      <c r="R21" s="119" t="e">
        <f t="array" aca="1" ref="R21" ca="1">IF(OR($B21="",$D21=""),"",
IFERROR(
  INDEX(
    'Tools &amp; Targets_Guideline'!$C$54:$I$269,
    MATCH(
      1,
      ('Tools &amp; Targets_Guideline'!$A$54:$A$269=$B21)*
      ('Tools &amp; Targets_Guideline'!$B$54:$B$269="TT"),
      0
    ),
    MATCH(
      _xludf.IFNA(
        VLOOKUP($D21,{"PH","Provincial Hospital (H2)";"DH","District Hospital (H3)";"RH","Regional / National Hospital (H1)"},2,0),
        $D21
      ),
      'Tools &amp; Targets_Guideline'!$C$53:$I$53,
      0
    )
  ),
0))</f>
        <v>#NAME?</v>
      </c>
      <c r="S21" s="105"/>
      <c r="T21" s="102"/>
      <c r="U21" s="106"/>
      <c r="V21" s="102" t="e">
        <f t="shared" ca="1" si="1"/>
        <v>#NAME?</v>
      </c>
      <c r="W21" s="102"/>
      <c r="X21" s="102"/>
      <c r="Y21" s="119" t="e">
        <f t="array" aca="1" ref="Y21" ca="1">IF(OR($B21="",$D21=""),"",
IFERROR(
  INDEX(
    'Tools &amp; Targets_Guideline'!$C$54:$I$269,
    MATCH(
      1,
      ('Tools &amp; Targets_Guideline'!$A$54:$A$269=$B21)*
      ('Tools &amp; Targets_Guideline'!$B$54:$B$269="GM"),
      0
    ),
    MATCH(
      _xludf.IFNA(
        VLOOKUP($D21,{"PH","Provincial Hospital (H2)";"DH","District Hospital (H3)";"RH","Regional / National Hospital (H1)"},2,0),
        $D21
      ),
      'Tools &amp; Targets_Guideline'!$C$53:$I$53,
      0
    )
  ),
0))</f>
        <v>#NAME?</v>
      </c>
      <c r="Z21" s="105"/>
      <c r="AA21" s="119" t="e">
        <f t="array" aca="1" ref="AA21" ca="1">IF(OR($B21="",$D21=""),"",
IFERROR(
  INDEX(
    'Tools &amp; Targets_Guideline'!$C$54:$I$269,
    MATCH(
      1,
      ('Tools &amp; Targets_Guideline'!$A$54:$A$269=$B21)*
      ('Tools &amp; Targets_Guideline'!$B$54:$B$269="Penta"),
      0
    ),
    MATCH(
      _xludf.IFNA(
        VLOOKUP($D21,{"PH","Provincial Hospital (H2)";"DH","District Hospital (H3)";"RH","Regional / National Hospital (H1)"},2,0),
        $D21
      ),
      'Tools &amp; Targets_Guideline'!$C$53:$I$53,
      0
    )
  ),
0))</f>
        <v>#NAME?</v>
      </c>
      <c r="AB21" s="105"/>
      <c r="AC21" s="119" t="e">
        <f t="array" aca="1" ref="AC21" ca="1">IF(OR($B21="",$D21=""),"",
IFERROR(
  INDEX(
    'Tools &amp; Targets_Guideline'!$C$54:$I$269,
    MATCH(
      1,
      ('Tools &amp; Targets_Guideline'!$A$54:$A$269=$B21)*
      ('Tools &amp; Targets_Guideline'!$B$54:$B$269="TB"),
      0
    ),
    MATCH(
      _xludf.IFNA(
        VLOOKUP($D21,{"PH","Provincial Hospital (H2)";"DH","District Hospital (H3)";"RH","Regional / National Hospital (H1)"},2,0),
        $D21
      ),
      'Tools &amp; Targets_Guideline'!$C$53:$I$53,
      0
    )
  ),
0))</f>
        <v>#NAME?</v>
      </c>
      <c r="AD21" s="105"/>
      <c r="AE21" s="119" t="e">
        <f t="array" aca="1" ref="AE21" ca="1">IF(OR($B21="",$D21=""),"",
IFERROR(
  INDEX(
    'Tools &amp; Targets_Guideline'!$C$54:$I$269,
    MATCH(
      1,
      ('Tools &amp; Targets_Guideline'!$A$54:$A$269=$B21)*
      ('Tools &amp; Targets_Guideline'!$B$54:$B$269="U5 Morbidity"),
      0
    ),
    MATCH(
      _xludf.IFNA(
        VLOOKUP($D21,{"PH","Provincial Hospital (H2)";"DH","District Hospital (H3)";"RH","Regional / National Hospital (H1)"},2,0),
        $D21
      ),
      'Tools &amp; Targets_Guideline'!$C$53:$I$53,
      0
    )
  ),
0))</f>
        <v>#NAME?</v>
      </c>
      <c r="AF21" s="105"/>
      <c r="AG21" s="119" t="e">
        <f t="array" aca="1" ref="AG21" ca="1">IF(OR($B21="",$D21=""),"",
IFERROR(
  INDEX(
    'Tools &amp; Targets_Guideline'!$C$54:$I$269,
    MATCH(
      1,
      ('Tools &amp; Targets_Guideline'!$A$54:$A$269=$B21)*
      ('Tools &amp; Targets_Guideline'!$B$54:$B$269="C-Section"),
      0
    ),
    MATCH(
      _xludf.IFNA(
        VLOOKUP($D21,{"PH","Provincial Hospital (H2)";"DH","District Hospital (H3)";"RH","Regional / National Hospital (H1)"},2,0),
        $D21
      ),
      'Tools &amp; Targets_Guideline'!$C$53:$I$53,
      0
    )
  ),
0))</f>
        <v>#NAME?</v>
      </c>
      <c r="AH21" s="105">
        <f ca="1">IF(A21&lt;&gt;"",COUNTIFS('QA Log'!D:D,A21,'QA Log'!M:M,"QQC",'QA Log'!L:L,"2. Hygiene and Sterilization",'QA Log'!Z:Z,"Approved"),"")</f>
        <v>0</v>
      </c>
      <c r="AI21" s="102"/>
      <c r="AJ21" s="102"/>
      <c r="AK21" s="103">
        <f t="shared" si="2"/>
        <v>0</v>
      </c>
      <c r="AL21" s="102"/>
      <c r="AM21" s="102"/>
      <c r="AN21" s="102"/>
      <c r="AO21" s="106"/>
      <c r="AP21" s="103"/>
      <c r="AQ21" s="102"/>
      <c r="AR21" s="102"/>
      <c r="AS21" s="102"/>
      <c r="AT21" s="107"/>
      <c r="AU21" s="102" t="e">
        <f t="shared" si="3"/>
        <v>#REF!</v>
      </c>
      <c r="AV21" s="102" t="e">
        <f t="shared" si="4"/>
        <v>#REF!</v>
      </c>
      <c r="AW21" s="102" t="e">
        <f t="shared" si="5"/>
        <v>#REF!</v>
      </c>
      <c r="AX21" s="102" t="e">
        <f t="shared" si="6"/>
        <v>#REF!</v>
      </c>
      <c r="AY21" s="107" t="e">
        <f t="shared" si="7"/>
        <v>#REF!</v>
      </c>
      <c r="AZ21" s="108" t="str">
        <f t="shared" si="8"/>
        <v>Not Applicable</v>
      </c>
      <c r="BA21" s="108" t="e">
        <f t="shared" si="9"/>
        <v>#REF!</v>
      </c>
      <c r="BB21" s="109" t="e">
        <f t="shared" si="10"/>
        <v>#REF!</v>
      </c>
      <c r="BC21" s="108" t="str">
        <f t="shared" si="11"/>
        <v>Not Applicable</v>
      </c>
      <c r="BD21" s="108" t="e">
        <f t="shared" si="12"/>
        <v>#REF!</v>
      </c>
      <c r="BE21" s="109" t="e">
        <f t="shared" si="13"/>
        <v>#REF!</v>
      </c>
      <c r="BF21" s="110" t="e">
        <f t="shared" si="14"/>
        <v>#REF!</v>
      </c>
      <c r="BG21" s="111"/>
    </row>
    <row r="22" spans="1:59" ht="12.75">
      <c r="A22" s="101" t="s">
        <v>29</v>
      </c>
      <c r="B22" s="102" t="e">
        <f ca="1"/>
        <v>#NAME?</v>
      </c>
      <c r="C22" s="102" t="e">
        <f t="array" aca="1" ref="C22" ca="1">_xludf.XLOOKUP(A22,'QA Log'!D:D,'QA Log'!F:F,"")</f>
        <v>#NAME?</v>
      </c>
      <c r="D22" s="102" t="s">
        <v>126</v>
      </c>
      <c r="E22" s="102" t="e">
        <f t="array" aca="1" ref="E22" ca="1">_xludf.XLOOKUP(A22,'QA Log'!D:D,'QA Log'!G:G,"")</f>
        <v>#NAME?</v>
      </c>
      <c r="F22" s="103"/>
      <c r="G22" s="104"/>
      <c r="H22" s="104"/>
      <c r="I22" s="103" t="e">
        <f t="shared" ca="1" si="0"/>
        <v>#NAME?</v>
      </c>
      <c r="J22" s="102"/>
      <c r="K22" s="102"/>
      <c r="L22" s="119" t="e">
        <f t="array" aca="1" ref="L22" ca="1">IF(OR($B22="",$D22=""),"",
IFERROR(
  INDEX(
    'Tools &amp; Targets_Guideline'!$C$54:$I$269,
    MATCH(
      1,
      ('Tools &amp; Targets_Guideline'!$A$54:$A$269=$B22)*
      ('Tools &amp; Targets_Guideline'!$B$54:$B$269="ANC"),
      0
    ),
    MATCH(
      _xludf.IFNA(
        VLOOKUP($D22,{"PH","Provincial Hospital (H2)";"DH","District Hospital (H3)";"RH","Regional / National Hospital (H1)"},2,0),
        $D22
      ),
      'Tools &amp; Targets_Guideline'!$C$53:$I$53,
      0
    )
  ),
0))</f>
        <v>#NAME?</v>
      </c>
      <c r="M22" s="105"/>
      <c r="N22" s="119" t="e">
        <f t="array" aca="1" ref="N22" ca="1">IF(OR($B22="",$D22=""),"",
IFERROR(
  INDEX(
    'Tools &amp; Targets_Guideline'!$C$54:$I$269,
    MATCH(
      1,
      ('Tools &amp; Targets_Guideline'!$A$54:$A$269=$B22)*
      ('Tools &amp; Targets_Guideline'!$B$54:$B$269="PNC"),
      0
    ),
    MATCH(
      _xludf.IFNA(
        VLOOKUP($D22,{"PH","Provincial Hospital (H2)";"DH","District Hospital (H3)";"RH","Regional / National Hospital (H1)"},2,0),
        $D22
      ),
      'Tools &amp; Targets_Guideline'!$C$53:$I$53,
      0
    )
  ),
0))</f>
        <v>#NAME?</v>
      </c>
      <c r="O22" s="105"/>
      <c r="P22" s="119" t="e">
        <f t="array" aca="1" ref="P22" ca="1">IF(OR($B22="",$D22=""),"",
IFERROR(
  INDEX(
    'Tools &amp; Targets_Guideline'!$C$54:$I$269,
    MATCH(
      1,
      ('Tools &amp; Targets_Guideline'!$A$54:$A$269=$B22)*
      ('Tools &amp; Targets_Guideline'!$B$54:$B$269="Delivery"),
      0
    ),
    MATCH(
      _xludf.IFNA(
        VLOOKUP($D22,{"PH","Provincial Hospital (H2)";"DH","District Hospital (H3)";"RH","Regional / National Hospital (H1)"},2,0),
        $D22
      ),
      'Tools &amp; Targets_Guideline'!$C$53:$I$53,
      0
    )
  ),
0))</f>
        <v>#NAME?</v>
      </c>
      <c r="Q22" s="105"/>
      <c r="R22" s="119" t="e">
        <f t="array" aca="1" ref="R22" ca="1">IF(OR($B22="",$D22=""),"",
IFERROR(
  INDEX(
    'Tools &amp; Targets_Guideline'!$C$54:$I$269,
    MATCH(
      1,
      ('Tools &amp; Targets_Guideline'!$A$54:$A$269=$B22)*
      ('Tools &amp; Targets_Guideline'!$B$54:$B$269="TT"),
      0
    ),
    MATCH(
      _xludf.IFNA(
        VLOOKUP($D22,{"PH","Provincial Hospital (H2)";"DH","District Hospital (H3)";"RH","Regional / National Hospital (H1)"},2,0),
        $D22
      ),
      'Tools &amp; Targets_Guideline'!$C$53:$I$53,
      0
    )
  ),
0))</f>
        <v>#NAME?</v>
      </c>
      <c r="S22" s="105"/>
      <c r="T22" s="102"/>
      <c r="U22" s="106"/>
      <c r="V22" s="102" t="e">
        <f t="shared" ca="1" si="1"/>
        <v>#NAME?</v>
      </c>
      <c r="W22" s="102"/>
      <c r="X22" s="102"/>
      <c r="Y22" s="119" t="e">
        <f t="array" aca="1" ref="Y22" ca="1">IF(OR($B22="",$D22=""),"",
IFERROR(
  INDEX(
    'Tools &amp; Targets_Guideline'!$C$54:$I$269,
    MATCH(
      1,
      ('Tools &amp; Targets_Guideline'!$A$54:$A$269=$B22)*
      ('Tools &amp; Targets_Guideline'!$B$54:$B$269="GM"),
      0
    ),
    MATCH(
      _xludf.IFNA(
        VLOOKUP($D22,{"PH","Provincial Hospital (H2)";"DH","District Hospital (H3)";"RH","Regional / National Hospital (H1)"},2,0),
        $D22
      ),
      'Tools &amp; Targets_Guideline'!$C$53:$I$53,
      0
    )
  ),
0))</f>
        <v>#NAME?</v>
      </c>
      <c r="Z22" s="105"/>
      <c r="AA22" s="119" t="e">
        <f t="array" aca="1" ref="AA22" ca="1">IF(OR($B22="",$D22=""),"",
IFERROR(
  INDEX(
    'Tools &amp; Targets_Guideline'!$C$54:$I$269,
    MATCH(
      1,
      ('Tools &amp; Targets_Guideline'!$A$54:$A$269=$B22)*
      ('Tools &amp; Targets_Guideline'!$B$54:$B$269="Penta"),
      0
    ),
    MATCH(
      _xludf.IFNA(
        VLOOKUP($D22,{"PH","Provincial Hospital (H2)";"DH","District Hospital (H3)";"RH","Regional / National Hospital (H1)"},2,0),
        $D22
      ),
      'Tools &amp; Targets_Guideline'!$C$53:$I$53,
      0
    )
  ),
0))</f>
        <v>#NAME?</v>
      </c>
      <c r="AB22" s="105"/>
      <c r="AC22" s="119" t="e">
        <f t="array" aca="1" ref="AC22" ca="1">IF(OR($B22="",$D22=""),"",
IFERROR(
  INDEX(
    'Tools &amp; Targets_Guideline'!$C$54:$I$269,
    MATCH(
      1,
      ('Tools &amp; Targets_Guideline'!$A$54:$A$269=$B22)*
      ('Tools &amp; Targets_Guideline'!$B$54:$B$269="TB"),
      0
    ),
    MATCH(
      _xludf.IFNA(
        VLOOKUP($D22,{"PH","Provincial Hospital (H2)";"DH","District Hospital (H3)";"RH","Regional / National Hospital (H1)"},2,0),
        $D22
      ),
      'Tools &amp; Targets_Guideline'!$C$53:$I$53,
      0
    )
  ),
0))</f>
        <v>#NAME?</v>
      </c>
      <c r="AD22" s="105"/>
      <c r="AE22" s="119" t="e">
        <f t="array" aca="1" ref="AE22" ca="1">IF(OR($B22="",$D22=""),"",
IFERROR(
  INDEX(
    'Tools &amp; Targets_Guideline'!$C$54:$I$269,
    MATCH(
      1,
      ('Tools &amp; Targets_Guideline'!$A$54:$A$269=$B22)*
      ('Tools &amp; Targets_Guideline'!$B$54:$B$269="U5 Morbidity"),
      0
    ),
    MATCH(
      _xludf.IFNA(
        VLOOKUP($D22,{"PH","Provincial Hospital (H2)";"DH","District Hospital (H3)";"RH","Regional / National Hospital (H1)"},2,0),
        $D22
      ),
      'Tools &amp; Targets_Guideline'!$C$53:$I$53,
      0
    )
  ),
0))</f>
        <v>#NAME?</v>
      </c>
      <c r="AF22" s="105"/>
      <c r="AG22" s="119" t="e">
        <f t="array" aca="1" ref="AG22" ca="1">IF(OR($B22="",$D22=""),"",
IFERROR(
  INDEX(
    'Tools &amp; Targets_Guideline'!$C$54:$I$269,
    MATCH(
      1,
      ('Tools &amp; Targets_Guideline'!$A$54:$A$269=$B22)*
      ('Tools &amp; Targets_Guideline'!$B$54:$B$269="C-Section"),
      0
    ),
    MATCH(
      _xludf.IFNA(
        VLOOKUP($D22,{"PH","Provincial Hospital (H2)";"DH","District Hospital (H3)";"RH","Regional / National Hospital (H1)"},2,0),
        $D22
      ),
      'Tools &amp; Targets_Guideline'!$C$53:$I$53,
      0
    )
  ),
0))</f>
        <v>#NAME?</v>
      </c>
      <c r="AH22" s="105">
        <f ca="1">IF(A22&lt;&gt;"",COUNTIFS('QA Log'!D:D,A22,'QA Log'!M:M,"QQC",'QA Log'!L:L,"2. Hygiene and Sterilization",'QA Log'!Z:Z,"Approved"),"")</f>
        <v>0</v>
      </c>
      <c r="AI22" s="102"/>
      <c r="AJ22" s="102"/>
      <c r="AK22" s="103">
        <f t="shared" si="2"/>
        <v>1</v>
      </c>
      <c r="AL22" s="102"/>
      <c r="AM22" s="102"/>
      <c r="AN22" s="102"/>
      <c r="AO22" s="106"/>
      <c r="AP22" s="103"/>
      <c r="AQ22" s="102"/>
      <c r="AR22" s="102"/>
      <c r="AS22" s="102"/>
      <c r="AT22" s="107"/>
      <c r="AU22" s="102" t="e">
        <f t="shared" si="3"/>
        <v>#REF!</v>
      </c>
      <c r="AV22" s="102" t="e">
        <f t="shared" si="4"/>
        <v>#REF!</v>
      </c>
      <c r="AW22" s="102" t="e">
        <f t="shared" si="5"/>
        <v>#REF!</v>
      </c>
      <c r="AX22" s="102" t="e">
        <f t="shared" si="6"/>
        <v>#REF!</v>
      </c>
      <c r="AY22" s="107" t="e">
        <f t="shared" si="7"/>
        <v>#REF!</v>
      </c>
      <c r="AZ22" s="108" t="e">
        <f t="shared" ca="1" si="8"/>
        <v>#NAME?</v>
      </c>
      <c r="BA22" s="108" t="str">
        <f t="shared" si="9"/>
        <v>Not Applicable</v>
      </c>
      <c r="BB22" s="109" t="e">
        <f t="shared" si="10"/>
        <v>#REF!</v>
      </c>
      <c r="BC22" s="108" t="e">
        <f t="shared" ca="1" si="11"/>
        <v>#NAME?</v>
      </c>
      <c r="BD22" s="108" t="str">
        <f t="shared" si="12"/>
        <v>Not Applicable</v>
      </c>
      <c r="BE22" s="109" t="e">
        <f t="shared" si="13"/>
        <v>#REF!</v>
      </c>
      <c r="BF22" s="110" t="e">
        <f t="shared" ca="1" si="14"/>
        <v>#NAME?</v>
      </c>
      <c r="BG22" s="111"/>
    </row>
    <row r="23" spans="1:59" ht="12.75">
      <c r="A23" s="101" t="s">
        <v>31</v>
      </c>
      <c r="B23" s="102" t="e">
        <f ca="1"/>
        <v>#NAME?</v>
      </c>
      <c r="C23" s="102" t="e">
        <f t="array" aca="1" ref="C23" ca="1">_xludf.XLOOKUP(A23,'QA Log'!D:D,'QA Log'!F:F,"")</f>
        <v>#NAME?</v>
      </c>
      <c r="D23" s="102" t="s">
        <v>127</v>
      </c>
      <c r="E23" s="102" t="e">
        <f t="array" aca="1" ref="E23" ca="1">_xludf.XLOOKUP(A23,'QA Log'!D:D,'QA Log'!G:G,"")</f>
        <v>#NAME?</v>
      </c>
      <c r="F23" s="103"/>
      <c r="G23" s="102"/>
      <c r="H23" s="102"/>
      <c r="I23" s="103" t="e">
        <f t="shared" ca="1" si="0"/>
        <v>#NAME?</v>
      </c>
      <c r="J23" s="102"/>
      <c r="K23" s="102"/>
      <c r="L23" s="119" t="e">
        <f t="array" aca="1" ref="L23" ca="1">IF(OR($B23="",$D23=""),"",
IFERROR(
  INDEX(
    'Tools &amp; Targets_Guideline'!$C$54:$I$269,
    MATCH(
      1,
      ('Tools &amp; Targets_Guideline'!$A$54:$A$269=$B23)*
      ('Tools &amp; Targets_Guideline'!$B$54:$B$269="ANC"),
      0
    ),
    MATCH(
      _xludf.IFNA(
        VLOOKUP($D23,{"PH","Provincial Hospital (H2)";"DH","District Hospital (H3)";"RH","Regional / National Hospital (H1)"},2,0),
        $D23
      ),
      'Tools &amp; Targets_Guideline'!$C$53:$I$53,
      0
    )
  ),
0))</f>
        <v>#NAME?</v>
      </c>
      <c r="M23" s="105"/>
      <c r="N23" s="119" t="e">
        <f t="array" aca="1" ref="N23" ca="1">IF(OR($B23="",$D23=""),"",
IFERROR(
  INDEX(
    'Tools &amp; Targets_Guideline'!$C$54:$I$269,
    MATCH(
      1,
      ('Tools &amp; Targets_Guideline'!$A$54:$A$269=$B23)*
      ('Tools &amp; Targets_Guideline'!$B$54:$B$269="PNC"),
      0
    ),
    MATCH(
      _xludf.IFNA(
        VLOOKUP($D23,{"PH","Provincial Hospital (H2)";"DH","District Hospital (H3)";"RH","Regional / National Hospital (H1)"},2,0),
        $D23
      ),
      'Tools &amp; Targets_Guideline'!$C$53:$I$53,
      0
    )
  ),
0))</f>
        <v>#NAME?</v>
      </c>
      <c r="O23" s="105"/>
      <c r="P23" s="119" t="e">
        <f t="array" aca="1" ref="P23" ca="1">IF(OR($B23="",$D23=""),"",
IFERROR(
  INDEX(
    'Tools &amp; Targets_Guideline'!$C$54:$I$269,
    MATCH(
      1,
      ('Tools &amp; Targets_Guideline'!$A$54:$A$269=$B23)*
      ('Tools &amp; Targets_Guideline'!$B$54:$B$269="Delivery"),
      0
    ),
    MATCH(
      _xludf.IFNA(
        VLOOKUP($D23,{"PH","Provincial Hospital (H2)";"DH","District Hospital (H3)";"RH","Regional / National Hospital (H1)"},2,0),
        $D23
      ),
      'Tools &amp; Targets_Guideline'!$C$53:$I$53,
      0
    )
  ),
0))</f>
        <v>#NAME?</v>
      </c>
      <c r="Q23" s="105"/>
      <c r="R23" s="119" t="e">
        <f t="array" aca="1" ref="R23" ca="1">IF(OR($B23="",$D23=""),"",
IFERROR(
  INDEX(
    'Tools &amp; Targets_Guideline'!$C$54:$I$269,
    MATCH(
      1,
      ('Tools &amp; Targets_Guideline'!$A$54:$A$269=$B23)*
      ('Tools &amp; Targets_Guideline'!$B$54:$B$269="TT"),
      0
    ),
    MATCH(
      _xludf.IFNA(
        VLOOKUP($D23,{"PH","Provincial Hospital (H2)";"DH","District Hospital (H3)";"RH","Regional / National Hospital (H1)"},2,0),
        $D23
      ),
      'Tools &amp; Targets_Guideline'!$C$53:$I$53,
      0
    )
  ),
0))</f>
        <v>#NAME?</v>
      </c>
      <c r="S23" s="105"/>
      <c r="T23" s="102"/>
      <c r="U23" s="106"/>
      <c r="V23" s="102" t="e">
        <f t="shared" ca="1" si="1"/>
        <v>#NAME?</v>
      </c>
      <c r="W23" s="102"/>
      <c r="X23" s="102"/>
      <c r="Y23" s="119" t="e">
        <f t="array" aca="1" ref="Y23" ca="1">IF(OR($B23="",$D23=""),"",
IFERROR(
  INDEX(
    'Tools &amp; Targets_Guideline'!$C$54:$I$269,
    MATCH(
      1,
      ('Tools &amp; Targets_Guideline'!$A$54:$A$269=$B23)*
      ('Tools &amp; Targets_Guideline'!$B$54:$B$269="GM"),
      0
    ),
    MATCH(
      _xludf.IFNA(
        VLOOKUP($D23,{"PH","Provincial Hospital (H2)";"DH","District Hospital (H3)";"RH","Regional / National Hospital (H1)"},2,0),
        $D23
      ),
      'Tools &amp; Targets_Guideline'!$C$53:$I$53,
      0
    )
  ),
0))</f>
        <v>#NAME?</v>
      </c>
      <c r="Z23" s="105"/>
      <c r="AA23" s="119" t="e">
        <f t="array" aca="1" ref="AA23" ca="1">IF(OR($B23="",$D23=""),"",
IFERROR(
  INDEX(
    'Tools &amp; Targets_Guideline'!$C$54:$I$269,
    MATCH(
      1,
      ('Tools &amp; Targets_Guideline'!$A$54:$A$269=$B23)*
      ('Tools &amp; Targets_Guideline'!$B$54:$B$269="Penta"),
      0
    ),
    MATCH(
      _xludf.IFNA(
        VLOOKUP($D23,{"PH","Provincial Hospital (H2)";"DH","District Hospital (H3)";"RH","Regional / National Hospital (H1)"},2,0),
        $D23
      ),
      'Tools &amp; Targets_Guideline'!$C$53:$I$53,
      0
    )
  ),
0))</f>
        <v>#NAME?</v>
      </c>
      <c r="AB23" s="105"/>
      <c r="AC23" s="119" t="e">
        <f t="array" aca="1" ref="AC23" ca="1">IF(OR($B23="",$D23=""),"",
IFERROR(
  INDEX(
    'Tools &amp; Targets_Guideline'!$C$54:$I$269,
    MATCH(
      1,
      ('Tools &amp; Targets_Guideline'!$A$54:$A$269=$B23)*
      ('Tools &amp; Targets_Guideline'!$B$54:$B$269="TB"),
      0
    ),
    MATCH(
      _xludf.IFNA(
        VLOOKUP($D23,{"PH","Provincial Hospital (H2)";"DH","District Hospital (H3)";"RH","Regional / National Hospital (H1)"},2,0),
        $D23
      ),
      'Tools &amp; Targets_Guideline'!$C$53:$I$53,
      0
    )
  ),
0))</f>
        <v>#NAME?</v>
      </c>
      <c r="AD23" s="105"/>
      <c r="AE23" s="119" t="e">
        <f t="array" aca="1" ref="AE23" ca="1">IF(OR($B23="",$D23=""),"",
IFERROR(
  INDEX(
    'Tools &amp; Targets_Guideline'!$C$54:$I$269,
    MATCH(
      1,
      ('Tools &amp; Targets_Guideline'!$A$54:$A$269=$B23)*
      ('Tools &amp; Targets_Guideline'!$B$54:$B$269="U5 Morbidity"),
      0
    ),
    MATCH(
      _xludf.IFNA(
        VLOOKUP($D23,{"PH","Provincial Hospital (H2)";"DH","District Hospital (H3)";"RH","Regional / National Hospital (H1)"},2,0),
        $D23
      ),
      'Tools &amp; Targets_Guideline'!$C$53:$I$53,
      0
    )
  ),
0))</f>
        <v>#NAME?</v>
      </c>
      <c r="AF23" s="105"/>
      <c r="AG23" s="119" t="e">
        <f t="array" aca="1" ref="AG23" ca="1">IF(OR($B23="",$D23=""),"",
IFERROR(
  INDEX(
    'Tools &amp; Targets_Guideline'!$C$54:$I$269,
    MATCH(
      1,
      ('Tools &amp; Targets_Guideline'!$A$54:$A$269=$B23)*
      ('Tools &amp; Targets_Guideline'!$B$54:$B$269="C-Section"),
      0
    ),
    MATCH(
      _xludf.IFNA(
        VLOOKUP($D23,{"PH","Provincial Hospital (H2)";"DH","District Hospital (H3)";"RH","Regional / National Hospital (H1)"},2,0),
        $D23
      ),
      'Tools &amp; Targets_Guideline'!$C$53:$I$53,
      0
    )
  ),
0))</f>
        <v>#NAME?</v>
      </c>
      <c r="AH23" s="105">
        <f ca="1">IF(A23&lt;&gt;"",COUNTIFS('QA Log'!D:D,A23,'QA Log'!M:M,"QQC",'QA Log'!L:L,"2. Hygiene and Sterilization",'QA Log'!Z:Z,"Approved"),"")</f>
        <v>0</v>
      </c>
      <c r="AI23" s="102"/>
      <c r="AJ23" s="102"/>
      <c r="AK23" s="103">
        <f t="shared" si="2"/>
        <v>1</v>
      </c>
      <c r="AL23" s="102"/>
      <c r="AM23" s="102"/>
      <c r="AN23" s="102"/>
      <c r="AO23" s="106"/>
      <c r="AP23" s="103"/>
      <c r="AQ23" s="102"/>
      <c r="AR23" s="102"/>
      <c r="AS23" s="102"/>
      <c r="AT23" s="107"/>
      <c r="AU23" s="102" t="e">
        <f t="shared" si="3"/>
        <v>#REF!</v>
      </c>
      <c r="AV23" s="102" t="e">
        <f t="shared" si="4"/>
        <v>#REF!</v>
      </c>
      <c r="AW23" s="102" t="e">
        <f t="shared" si="5"/>
        <v>#REF!</v>
      </c>
      <c r="AX23" s="102" t="e">
        <f t="shared" si="6"/>
        <v>#REF!</v>
      </c>
      <c r="AY23" s="107" t="e">
        <f t="shared" si="7"/>
        <v>#REF!</v>
      </c>
      <c r="AZ23" s="108" t="e">
        <f t="shared" ca="1" si="8"/>
        <v>#NAME?</v>
      </c>
      <c r="BA23" s="108" t="str">
        <f t="shared" si="9"/>
        <v>Not Applicable</v>
      </c>
      <c r="BB23" s="109" t="e">
        <f t="shared" si="10"/>
        <v>#REF!</v>
      </c>
      <c r="BC23" s="108" t="e">
        <f t="shared" ca="1" si="11"/>
        <v>#NAME?</v>
      </c>
      <c r="BD23" s="108" t="str">
        <f t="shared" si="12"/>
        <v>Not Applicable</v>
      </c>
      <c r="BE23" s="109" t="e">
        <f t="shared" si="13"/>
        <v>#REF!</v>
      </c>
      <c r="BF23" s="110" t="e">
        <f t="shared" ca="1" si="14"/>
        <v>#NAME?</v>
      </c>
      <c r="BG23" s="111"/>
    </row>
    <row r="24" spans="1:59" ht="12.75">
      <c r="A24" s="101" t="s">
        <v>24</v>
      </c>
      <c r="B24" s="102" t="e">
        <f ca="1"/>
        <v>#NAME?</v>
      </c>
      <c r="C24" s="102" t="e">
        <f t="array" aca="1" ref="C24" ca="1">_xludf.XLOOKUP(A24,'QA Log'!D:D,'QA Log'!F:F,"")</f>
        <v>#NAME?</v>
      </c>
      <c r="D24" s="102" t="s">
        <v>128</v>
      </c>
      <c r="E24" s="102" t="e">
        <f t="array" aca="1" ref="E24" ca="1">_xludf.XLOOKUP(A24,'QA Log'!D:D,'QA Log'!G:G,"")</f>
        <v>#NAME?</v>
      </c>
      <c r="F24" s="103"/>
      <c r="G24" s="104"/>
      <c r="H24" s="104"/>
      <c r="I24" s="103" t="e">
        <f t="shared" ca="1" si="0"/>
        <v>#NAME?</v>
      </c>
      <c r="J24" s="102"/>
      <c r="K24" s="102"/>
      <c r="L24" s="119" t="e">
        <f t="array" aca="1" ref="L24" ca="1">IF(OR($B24="",$D24=""),"",
IFERROR(
  INDEX(
    'Tools &amp; Targets_Guideline'!$C$54:$I$269,
    MATCH(
      1,
      ('Tools &amp; Targets_Guideline'!$A$54:$A$269=$B24)*
      ('Tools &amp; Targets_Guideline'!$B$54:$B$269="ANC"),
      0
    ),
    MATCH(
      _xludf.IFNA(
        VLOOKUP($D24,{"PH","Provincial Hospital (H2)";"DH","District Hospital (H3)";"RH","Regional / National Hospital (H1)"},2,0),
        $D24
      ),
      'Tools &amp; Targets_Guideline'!$C$53:$I$53,
      0
    )
  ),
0))</f>
        <v>#NAME?</v>
      </c>
      <c r="M24" s="105"/>
      <c r="N24" s="119" t="e">
        <f t="array" aca="1" ref="N24" ca="1">IF(OR($B24="",$D24=""),"",
IFERROR(
  INDEX(
    'Tools &amp; Targets_Guideline'!$C$54:$I$269,
    MATCH(
      1,
      ('Tools &amp; Targets_Guideline'!$A$54:$A$269=$B24)*
      ('Tools &amp; Targets_Guideline'!$B$54:$B$269="PNC"),
      0
    ),
    MATCH(
      _xludf.IFNA(
        VLOOKUP($D24,{"PH","Provincial Hospital (H2)";"DH","District Hospital (H3)";"RH","Regional / National Hospital (H1)"},2,0),
        $D24
      ),
      'Tools &amp; Targets_Guideline'!$C$53:$I$53,
      0
    )
  ),
0))</f>
        <v>#NAME?</v>
      </c>
      <c r="O24" s="105"/>
      <c r="P24" s="119" t="e">
        <f t="array" aca="1" ref="P24" ca="1">IF(OR($B24="",$D24=""),"",
IFERROR(
  INDEX(
    'Tools &amp; Targets_Guideline'!$C$54:$I$269,
    MATCH(
      1,
      ('Tools &amp; Targets_Guideline'!$A$54:$A$269=$B24)*
      ('Tools &amp; Targets_Guideline'!$B$54:$B$269="Delivery"),
      0
    ),
    MATCH(
      _xludf.IFNA(
        VLOOKUP($D24,{"PH","Provincial Hospital (H2)";"DH","District Hospital (H3)";"RH","Regional / National Hospital (H1)"},2,0),
        $D24
      ),
      'Tools &amp; Targets_Guideline'!$C$53:$I$53,
      0
    )
  ),
0))</f>
        <v>#NAME?</v>
      </c>
      <c r="Q24" s="105"/>
      <c r="R24" s="119" t="e">
        <f t="array" aca="1" ref="R24" ca="1">IF(OR($B24="",$D24=""),"",
IFERROR(
  INDEX(
    'Tools &amp; Targets_Guideline'!$C$54:$I$269,
    MATCH(
      1,
      ('Tools &amp; Targets_Guideline'!$A$54:$A$269=$B24)*
      ('Tools &amp; Targets_Guideline'!$B$54:$B$269="TT"),
      0
    ),
    MATCH(
      _xludf.IFNA(
        VLOOKUP($D24,{"PH","Provincial Hospital (H2)";"DH","District Hospital (H3)";"RH","Regional / National Hospital (H1)"},2,0),
        $D24
      ),
      'Tools &amp; Targets_Guideline'!$C$53:$I$53,
      0
    )
  ),
0))</f>
        <v>#NAME?</v>
      </c>
      <c r="S24" s="105"/>
      <c r="T24" s="102"/>
      <c r="U24" s="106"/>
      <c r="V24" s="102" t="e">
        <f t="shared" ca="1" si="1"/>
        <v>#NAME?</v>
      </c>
      <c r="W24" s="102"/>
      <c r="X24" s="102"/>
      <c r="Y24" s="119" t="e">
        <f t="array" aca="1" ref="Y24" ca="1">IF(OR($B24="",$D24=""),"",
IFERROR(
  INDEX(
    'Tools &amp; Targets_Guideline'!$C$54:$I$269,
    MATCH(
      1,
      ('Tools &amp; Targets_Guideline'!$A$54:$A$269=$B24)*
      ('Tools &amp; Targets_Guideline'!$B$54:$B$269="GM"),
      0
    ),
    MATCH(
      _xludf.IFNA(
        VLOOKUP($D24,{"PH","Provincial Hospital (H2)";"DH","District Hospital (H3)";"RH","Regional / National Hospital (H1)"},2,0),
        $D24
      ),
      'Tools &amp; Targets_Guideline'!$C$53:$I$53,
      0
    )
  ),
0))</f>
        <v>#NAME?</v>
      </c>
      <c r="Z24" s="105"/>
      <c r="AA24" s="119" t="e">
        <f t="array" aca="1" ref="AA24" ca="1">IF(OR($B24="",$D24=""),"",
IFERROR(
  INDEX(
    'Tools &amp; Targets_Guideline'!$C$54:$I$269,
    MATCH(
      1,
      ('Tools &amp; Targets_Guideline'!$A$54:$A$269=$B24)*
      ('Tools &amp; Targets_Guideline'!$B$54:$B$269="Penta"),
      0
    ),
    MATCH(
      _xludf.IFNA(
        VLOOKUP($D24,{"PH","Provincial Hospital (H2)";"DH","District Hospital (H3)";"RH","Regional / National Hospital (H1)"},2,0),
        $D24
      ),
      'Tools &amp; Targets_Guideline'!$C$53:$I$53,
      0
    )
  ),
0))</f>
        <v>#NAME?</v>
      </c>
      <c r="AB24" s="105"/>
      <c r="AC24" s="119" t="e">
        <f t="array" aca="1" ref="AC24" ca="1">IF(OR($B24="",$D24=""),"",
IFERROR(
  INDEX(
    'Tools &amp; Targets_Guideline'!$C$54:$I$269,
    MATCH(
      1,
      ('Tools &amp; Targets_Guideline'!$A$54:$A$269=$B24)*
      ('Tools &amp; Targets_Guideline'!$B$54:$B$269="TB"),
      0
    ),
    MATCH(
      _xludf.IFNA(
        VLOOKUP($D24,{"PH","Provincial Hospital (H2)";"DH","District Hospital (H3)";"RH","Regional / National Hospital (H1)"},2,0),
        $D24
      ),
      'Tools &amp; Targets_Guideline'!$C$53:$I$53,
      0
    )
  ),
0))</f>
        <v>#NAME?</v>
      </c>
      <c r="AD24" s="105"/>
      <c r="AE24" s="119" t="e">
        <f t="array" aca="1" ref="AE24" ca="1">IF(OR($B24="",$D24=""),"",
IFERROR(
  INDEX(
    'Tools &amp; Targets_Guideline'!$C$54:$I$269,
    MATCH(
      1,
      ('Tools &amp; Targets_Guideline'!$A$54:$A$269=$B24)*
      ('Tools &amp; Targets_Guideline'!$B$54:$B$269="U5 Morbidity"),
      0
    ),
    MATCH(
      _xludf.IFNA(
        VLOOKUP($D24,{"PH","Provincial Hospital (H2)";"DH","District Hospital (H3)";"RH","Regional / National Hospital (H1)"},2,0),
        $D24
      ),
      'Tools &amp; Targets_Guideline'!$C$53:$I$53,
      0
    )
  ),
0))</f>
        <v>#NAME?</v>
      </c>
      <c r="AF24" s="105"/>
      <c r="AG24" s="119" t="e">
        <f t="array" aca="1" ref="AG24" ca="1">IF(OR($B24="",$D24=""),"",
IFERROR(
  INDEX(
    'Tools &amp; Targets_Guideline'!$C$54:$I$269,
    MATCH(
      1,
      ('Tools &amp; Targets_Guideline'!$A$54:$A$269=$B24)*
      ('Tools &amp; Targets_Guideline'!$B$54:$B$269="C-Section"),
      0
    ),
    MATCH(
      _xludf.IFNA(
        VLOOKUP($D24,{"PH","Provincial Hospital (H2)";"DH","District Hospital (H3)";"RH","Regional / National Hospital (H1)"},2,0),
        $D24
      ),
      'Tools &amp; Targets_Guideline'!$C$53:$I$53,
      0
    )
  ),
0))</f>
        <v>#NAME?</v>
      </c>
      <c r="AH24" s="105">
        <f ca="1">IF(A24&lt;&gt;"",COUNTIFS('QA Log'!D:D,A24,'QA Log'!M:M,"QQC",'QA Log'!L:L,"2. Hygiene and Sterilization",'QA Log'!Z:Z,"Approved"),"")</f>
        <v>0</v>
      </c>
      <c r="AI24" s="102"/>
      <c r="AJ24" s="102"/>
      <c r="AK24" s="103">
        <f t="shared" si="2"/>
        <v>1</v>
      </c>
      <c r="AL24" s="102"/>
      <c r="AM24" s="102"/>
      <c r="AN24" s="102"/>
      <c r="AO24" s="106"/>
      <c r="AP24" s="103"/>
      <c r="AQ24" s="102"/>
      <c r="AR24" s="102"/>
      <c r="AS24" s="102"/>
      <c r="AT24" s="107"/>
      <c r="AU24" s="102" t="e">
        <f t="shared" si="3"/>
        <v>#REF!</v>
      </c>
      <c r="AV24" s="102" t="e">
        <f t="shared" si="4"/>
        <v>#REF!</v>
      </c>
      <c r="AW24" s="102" t="e">
        <f t="shared" si="5"/>
        <v>#REF!</v>
      </c>
      <c r="AX24" s="102" t="e">
        <f t="shared" si="6"/>
        <v>#REF!</v>
      </c>
      <c r="AY24" s="107" t="e">
        <f t="shared" si="7"/>
        <v>#REF!</v>
      </c>
      <c r="AZ24" s="108" t="e">
        <f t="shared" ca="1" si="8"/>
        <v>#NAME?</v>
      </c>
      <c r="BA24" s="108" t="str">
        <f t="shared" si="9"/>
        <v>Not Applicable</v>
      </c>
      <c r="BB24" s="109" t="e">
        <f t="shared" si="10"/>
        <v>#REF!</v>
      </c>
      <c r="BC24" s="108" t="e">
        <f t="shared" ca="1" si="11"/>
        <v>#NAME?</v>
      </c>
      <c r="BD24" s="108" t="str">
        <f t="shared" si="12"/>
        <v>Not Applicable</v>
      </c>
      <c r="BE24" s="109" t="e">
        <f t="shared" si="13"/>
        <v>#REF!</v>
      </c>
      <c r="BF24" s="110" t="e">
        <f t="shared" ca="1" si="14"/>
        <v>#NAME?</v>
      </c>
      <c r="BG24" s="111"/>
    </row>
    <row r="25" spans="1:59" ht="12.75">
      <c r="A25" s="101" t="s">
        <v>25</v>
      </c>
      <c r="B25" s="102" t="e">
        <f ca="1"/>
        <v>#NAME?</v>
      </c>
      <c r="C25" s="102" t="e">
        <f t="array" aca="1" ref="C25" ca="1">_xludf.XLOOKUP(A25,'QA Log'!D:D,'QA Log'!F:F,"")</f>
        <v>#NAME?</v>
      </c>
      <c r="D25" s="102" t="s">
        <v>130</v>
      </c>
      <c r="E25" s="102" t="e">
        <f t="array" aca="1" ref="E25" ca="1">_xludf.XLOOKUP(A25,'QA Log'!D:D,'QA Log'!G:G,"")</f>
        <v>#NAME?</v>
      </c>
      <c r="F25" s="103"/>
      <c r="G25" s="104"/>
      <c r="H25" s="104"/>
      <c r="I25" s="103" t="e">
        <f t="shared" ca="1" si="0"/>
        <v>#NAME?</v>
      </c>
      <c r="J25" s="102"/>
      <c r="K25" s="102"/>
      <c r="L25" s="119" t="e">
        <f t="array" aca="1" ref="L25" ca="1">IF(OR($B25="",$D25=""),"",
IFERROR(
  INDEX(
    'Tools &amp; Targets_Guideline'!$C$54:$I$269,
    MATCH(
      1,
      ('Tools &amp; Targets_Guideline'!$A$54:$A$269=$B25)*
      ('Tools &amp; Targets_Guideline'!$B$54:$B$269="ANC"),
      0
    ),
    MATCH(
      _xludf.IFNA(
        VLOOKUP($D25,{"PH","Provincial Hospital (H2)";"DH","District Hospital (H3)";"RH","Regional / National Hospital (H1)"},2,0),
        $D25
      ),
      'Tools &amp; Targets_Guideline'!$C$53:$I$53,
      0
    )
  ),
0))</f>
        <v>#NAME?</v>
      </c>
      <c r="M25" s="105"/>
      <c r="N25" s="119" t="e">
        <f t="array" aca="1" ref="N25" ca="1">IF(OR($B25="",$D25=""),"",
IFERROR(
  INDEX(
    'Tools &amp; Targets_Guideline'!$C$54:$I$269,
    MATCH(
      1,
      ('Tools &amp; Targets_Guideline'!$A$54:$A$269=$B25)*
      ('Tools &amp; Targets_Guideline'!$B$54:$B$269="PNC"),
      0
    ),
    MATCH(
      _xludf.IFNA(
        VLOOKUP($D25,{"PH","Provincial Hospital (H2)";"DH","District Hospital (H3)";"RH","Regional / National Hospital (H1)"},2,0),
        $D25
      ),
      'Tools &amp; Targets_Guideline'!$C$53:$I$53,
      0
    )
  ),
0))</f>
        <v>#NAME?</v>
      </c>
      <c r="O25" s="105"/>
      <c r="P25" s="119" t="e">
        <f t="array" aca="1" ref="P25" ca="1">IF(OR($B25="",$D25=""),"",
IFERROR(
  INDEX(
    'Tools &amp; Targets_Guideline'!$C$54:$I$269,
    MATCH(
      1,
      ('Tools &amp; Targets_Guideline'!$A$54:$A$269=$B25)*
      ('Tools &amp; Targets_Guideline'!$B$54:$B$269="Delivery"),
      0
    ),
    MATCH(
      _xludf.IFNA(
        VLOOKUP($D25,{"PH","Provincial Hospital (H2)";"DH","District Hospital (H3)";"RH","Regional / National Hospital (H1)"},2,0),
        $D25
      ),
      'Tools &amp; Targets_Guideline'!$C$53:$I$53,
      0
    )
  ),
0))</f>
        <v>#NAME?</v>
      </c>
      <c r="Q25" s="105"/>
      <c r="R25" s="119" t="e">
        <f t="array" aca="1" ref="R25" ca="1">IF(OR($B25="",$D25=""),"",
IFERROR(
  INDEX(
    'Tools &amp; Targets_Guideline'!$C$54:$I$269,
    MATCH(
      1,
      ('Tools &amp; Targets_Guideline'!$A$54:$A$269=$B25)*
      ('Tools &amp; Targets_Guideline'!$B$54:$B$269="TT"),
      0
    ),
    MATCH(
      _xludf.IFNA(
        VLOOKUP($D25,{"PH","Provincial Hospital (H2)";"DH","District Hospital (H3)";"RH","Regional / National Hospital (H1)"},2,0),
        $D25
      ),
      'Tools &amp; Targets_Guideline'!$C$53:$I$53,
      0
    )
  ),
0))</f>
        <v>#NAME?</v>
      </c>
      <c r="S25" s="105"/>
      <c r="T25" s="102"/>
      <c r="U25" s="106"/>
      <c r="V25" s="102" t="e">
        <f t="shared" ca="1" si="1"/>
        <v>#NAME?</v>
      </c>
      <c r="W25" s="102"/>
      <c r="X25" s="102"/>
      <c r="Y25" s="119" t="e">
        <f t="array" aca="1" ref="Y25" ca="1">IF(OR($B25="",$D25=""),"",
IFERROR(
  INDEX(
    'Tools &amp; Targets_Guideline'!$C$54:$I$269,
    MATCH(
      1,
      ('Tools &amp; Targets_Guideline'!$A$54:$A$269=$B25)*
      ('Tools &amp; Targets_Guideline'!$B$54:$B$269="GM"),
      0
    ),
    MATCH(
      _xludf.IFNA(
        VLOOKUP($D25,{"PH","Provincial Hospital (H2)";"DH","District Hospital (H3)";"RH","Regional / National Hospital (H1)"},2,0),
        $D25
      ),
      'Tools &amp; Targets_Guideline'!$C$53:$I$53,
      0
    )
  ),
0))</f>
        <v>#NAME?</v>
      </c>
      <c r="Z25" s="105"/>
      <c r="AA25" s="119" t="e">
        <f t="array" aca="1" ref="AA25" ca="1">IF(OR($B25="",$D25=""),"",
IFERROR(
  INDEX(
    'Tools &amp; Targets_Guideline'!$C$54:$I$269,
    MATCH(
      1,
      ('Tools &amp; Targets_Guideline'!$A$54:$A$269=$B25)*
      ('Tools &amp; Targets_Guideline'!$B$54:$B$269="Penta"),
      0
    ),
    MATCH(
      _xludf.IFNA(
        VLOOKUP($D25,{"PH","Provincial Hospital (H2)";"DH","District Hospital (H3)";"RH","Regional / National Hospital (H1)"},2,0),
        $D25
      ),
      'Tools &amp; Targets_Guideline'!$C$53:$I$53,
      0
    )
  ),
0))</f>
        <v>#NAME?</v>
      </c>
      <c r="AB25" s="105"/>
      <c r="AC25" s="119" t="e">
        <f t="array" aca="1" ref="AC25" ca="1">IF(OR($B25="",$D25=""),"",
IFERROR(
  INDEX(
    'Tools &amp; Targets_Guideline'!$C$54:$I$269,
    MATCH(
      1,
      ('Tools &amp; Targets_Guideline'!$A$54:$A$269=$B25)*
      ('Tools &amp; Targets_Guideline'!$B$54:$B$269="TB"),
      0
    ),
    MATCH(
      _xludf.IFNA(
        VLOOKUP($D25,{"PH","Provincial Hospital (H2)";"DH","District Hospital (H3)";"RH","Regional / National Hospital (H1)"},2,0),
        $D25
      ),
      'Tools &amp; Targets_Guideline'!$C$53:$I$53,
      0
    )
  ),
0))</f>
        <v>#NAME?</v>
      </c>
      <c r="AD25" s="105"/>
      <c r="AE25" s="119" t="e">
        <f t="array" aca="1" ref="AE25" ca="1">IF(OR($B25="",$D25=""),"",
IFERROR(
  INDEX(
    'Tools &amp; Targets_Guideline'!$C$54:$I$269,
    MATCH(
      1,
      ('Tools &amp; Targets_Guideline'!$A$54:$A$269=$B25)*
      ('Tools &amp; Targets_Guideline'!$B$54:$B$269="U5 Morbidity"),
      0
    ),
    MATCH(
      _xludf.IFNA(
        VLOOKUP($D25,{"PH","Provincial Hospital (H2)";"DH","District Hospital (H3)";"RH","Regional / National Hospital (H1)"},2,0),
        $D25
      ),
      'Tools &amp; Targets_Guideline'!$C$53:$I$53,
      0
    )
  ),
0))</f>
        <v>#NAME?</v>
      </c>
      <c r="AF25" s="105"/>
      <c r="AG25" s="119" t="e">
        <f t="array" aca="1" ref="AG25" ca="1">IF(OR($B25="",$D25=""),"",
IFERROR(
  INDEX(
    'Tools &amp; Targets_Guideline'!$C$54:$I$269,
    MATCH(
      1,
      ('Tools &amp; Targets_Guideline'!$A$54:$A$269=$B25)*
      ('Tools &amp; Targets_Guideline'!$B$54:$B$269="C-Section"),
      0
    ),
    MATCH(
      _xludf.IFNA(
        VLOOKUP($D25,{"PH","Provincial Hospital (H2)";"DH","District Hospital (H3)";"RH","Regional / National Hospital (H1)"},2,0),
        $D25
      ),
      'Tools &amp; Targets_Guideline'!$C$53:$I$53,
      0
    )
  ),
0))</f>
        <v>#NAME?</v>
      </c>
      <c r="AH25" s="105">
        <f ca="1">IF(A25&lt;&gt;"",COUNTIFS('QA Log'!D:D,A25,'QA Log'!M:M,"QQC",'QA Log'!L:L,"2. Hygiene and Sterilization",'QA Log'!Z:Z,"Approved"),"")</f>
        <v>0</v>
      </c>
      <c r="AI25" s="102"/>
      <c r="AJ25" s="102"/>
      <c r="AK25" s="103">
        <f t="shared" si="2"/>
        <v>0</v>
      </c>
      <c r="AL25" s="102"/>
      <c r="AM25" s="102"/>
      <c r="AN25" s="102"/>
      <c r="AO25" s="106"/>
      <c r="AP25" s="103"/>
      <c r="AQ25" s="102"/>
      <c r="AR25" s="102"/>
      <c r="AS25" s="102"/>
      <c r="AT25" s="107"/>
      <c r="AU25" s="102" t="e">
        <f t="shared" si="3"/>
        <v>#REF!</v>
      </c>
      <c r="AV25" s="102" t="e">
        <f t="shared" si="4"/>
        <v>#REF!</v>
      </c>
      <c r="AW25" s="102" t="e">
        <f t="shared" si="5"/>
        <v>#REF!</v>
      </c>
      <c r="AX25" s="102" t="e">
        <f t="shared" si="6"/>
        <v>#REF!</v>
      </c>
      <c r="AY25" s="107" t="e">
        <f t="shared" si="7"/>
        <v>#REF!</v>
      </c>
      <c r="AZ25" s="108" t="str">
        <f t="shared" si="8"/>
        <v>Not Applicable</v>
      </c>
      <c r="BA25" s="108" t="e">
        <f t="shared" si="9"/>
        <v>#REF!</v>
      </c>
      <c r="BB25" s="109" t="e">
        <f t="shared" si="10"/>
        <v>#REF!</v>
      </c>
      <c r="BC25" s="108" t="str">
        <f t="shared" si="11"/>
        <v>Not Applicable</v>
      </c>
      <c r="BD25" s="108" t="e">
        <f t="shared" si="12"/>
        <v>#REF!</v>
      </c>
      <c r="BE25" s="109" t="e">
        <f t="shared" si="13"/>
        <v>#REF!</v>
      </c>
      <c r="BF25" s="110" t="e">
        <f t="shared" si="14"/>
        <v>#REF!</v>
      </c>
      <c r="BG25" s="111"/>
    </row>
    <row r="26" spans="1:59" ht="12.75">
      <c r="A26" s="101" t="s">
        <v>137</v>
      </c>
      <c r="B26" s="102" t="e">
        <f ca="1"/>
        <v>#NAME?</v>
      </c>
      <c r="C26" s="102" t="e">
        <f t="array" aca="1" ref="C26" ca="1">_xludf.XLOOKUP(A26,'QA Log'!D:D,'QA Log'!F:F,"")</f>
        <v>#NAME?</v>
      </c>
      <c r="D26" s="102" t="s">
        <v>131</v>
      </c>
      <c r="E26" s="102" t="e">
        <f t="array" aca="1" ref="E26" ca="1">_xludf.XLOOKUP(A26,'QA Log'!D:D,'QA Log'!G:G,"")</f>
        <v>#NAME?</v>
      </c>
      <c r="F26" s="103"/>
      <c r="G26" s="104"/>
      <c r="H26" s="104"/>
      <c r="I26" s="103" t="e">
        <f t="shared" ca="1" si="0"/>
        <v>#NAME?</v>
      </c>
      <c r="J26" s="102"/>
      <c r="K26" s="102"/>
      <c r="L26" s="119" t="e">
        <f t="array" aca="1" ref="L26" ca="1">IF(OR($B26="",$D26=""),"",
IFERROR(
  INDEX(
    'Tools &amp; Targets_Guideline'!$C$54:$I$269,
    MATCH(
      1,
      ('Tools &amp; Targets_Guideline'!$A$54:$A$269=$B26)*
      ('Tools &amp; Targets_Guideline'!$B$54:$B$269="ANC"),
      0
    ),
    MATCH(
      _xludf.IFNA(
        VLOOKUP($D26,{"PH","Provincial Hospital (H2)";"DH","District Hospital (H3)";"RH","Regional / National Hospital (H1)"},2,0),
        $D26
      ),
      'Tools &amp; Targets_Guideline'!$C$53:$I$53,
      0
    )
  ),
0))</f>
        <v>#NAME?</v>
      </c>
      <c r="M26" s="105"/>
      <c r="N26" s="119" t="e">
        <f t="array" aca="1" ref="N26" ca="1">IF(OR($B26="",$D26=""),"",
IFERROR(
  INDEX(
    'Tools &amp; Targets_Guideline'!$C$54:$I$269,
    MATCH(
      1,
      ('Tools &amp; Targets_Guideline'!$A$54:$A$269=$B26)*
      ('Tools &amp; Targets_Guideline'!$B$54:$B$269="PNC"),
      0
    ),
    MATCH(
      _xludf.IFNA(
        VLOOKUP($D26,{"PH","Provincial Hospital (H2)";"DH","District Hospital (H3)";"RH","Regional / National Hospital (H1)"},2,0),
        $D26
      ),
      'Tools &amp; Targets_Guideline'!$C$53:$I$53,
      0
    )
  ),
0))</f>
        <v>#NAME?</v>
      </c>
      <c r="O26" s="105"/>
      <c r="P26" s="119" t="e">
        <f t="array" aca="1" ref="P26" ca="1">IF(OR($B26="",$D26=""),"",
IFERROR(
  INDEX(
    'Tools &amp; Targets_Guideline'!$C$54:$I$269,
    MATCH(
      1,
      ('Tools &amp; Targets_Guideline'!$A$54:$A$269=$B26)*
      ('Tools &amp; Targets_Guideline'!$B$54:$B$269="Delivery"),
      0
    ),
    MATCH(
      _xludf.IFNA(
        VLOOKUP($D26,{"PH","Provincial Hospital (H2)";"DH","District Hospital (H3)";"RH","Regional / National Hospital (H1)"},2,0),
        $D26
      ),
      'Tools &amp; Targets_Guideline'!$C$53:$I$53,
      0
    )
  ),
0))</f>
        <v>#NAME?</v>
      </c>
      <c r="Q26" s="105"/>
      <c r="R26" s="119" t="e">
        <f t="array" aca="1" ref="R26" ca="1">IF(OR($B26="",$D26=""),"",
IFERROR(
  INDEX(
    'Tools &amp; Targets_Guideline'!$C$54:$I$269,
    MATCH(
      1,
      ('Tools &amp; Targets_Guideline'!$A$54:$A$269=$B26)*
      ('Tools &amp; Targets_Guideline'!$B$54:$B$269="TT"),
      0
    ),
    MATCH(
      _xludf.IFNA(
        VLOOKUP($D26,{"PH","Provincial Hospital (H2)";"DH","District Hospital (H3)";"RH","Regional / National Hospital (H1)"},2,0),
        $D26
      ),
      'Tools &amp; Targets_Guideline'!$C$53:$I$53,
      0
    )
  ),
0))</f>
        <v>#NAME?</v>
      </c>
      <c r="S26" s="105"/>
      <c r="T26" s="102"/>
      <c r="U26" s="106"/>
      <c r="V26" s="102" t="e">
        <f t="shared" ca="1" si="1"/>
        <v>#NAME?</v>
      </c>
      <c r="W26" s="102"/>
      <c r="X26" s="102"/>
      <c r="Y26" s="119" t="e">
        <f t="array" aca="1" ref="Y26" ca="1">IF(OR($B26="",$D26=""),"",
IFERROR(
  INDEX(
    'Tools &amp; Targets_Guideline'!$C$54:$I$269,
    MATCH(
      1,
      ('Tools &amp; Targets_Guideline'!$A$54:$A$269=$B26)*
      ('Tools &amp; Targets_Guideline'!$B$54:$B$269="GM"),
      0
    ),
    MATCH(
      _xludf.IFNA(
        VLOOKUP($D26,{"PH","Provincial Hospital (H2)";"DH","District Hospital (H3)";"RH","Regional / National Hospital (H1)"},2,0),
        $D26
      ),
      'Tools &amp; Targets_Guideline'!$C$53:$I$53,
      0
    )
  ),
0))</f>
        <v>#NAME?</v>
      </c>
      <c r="Z26" s="105"/>
      <c r="AA26" s="119" t="e">
        <f t="array" aca="1" ref="AA26" ca="1">IF(OR($B26="",$D26=""),"",
IFERROR(
  INDEX(
    'Tools &amp; Targets_Guideline'!$C$54:$I$269,
    MATCH(
      1,
      ('Tools &amp; Targets_Guideline'!$A$54:$A$269=$B26)*
      ('Tools &amp; Targets_Guideline'!$B$54:$B$269="Penta"),
      0
    ),
    MATCH(
      _xludf.IFNA(
        VLOOKUP($D26,{"PH","Provincial Hospital (H2)";"DH","District Hospital (H3)";"RH","Regional / National Hospital (H1)"},2,0),
        $D26
      ),
      'Tools &amp; Targets_Guideline'!$C$53:$I$53,
      0
    )
  ),
0))</f>
        <v>#NAME?</v>
      </c>
      <c r="AB26" s="105"/>
      <c r="AC26" s="119" t="e">
        <f t="array" aca="1" ref="AC26" ca="1">IF(OR($B26="",$D26=""),"",
IFERROR(
  INDEX(
    'Tools &amp; Targets_Guideline'!$C$54:$I$269,
    MATCH(
      1,
      ('Tools &amp; Targets_Guideline'!$A$54:$A$269=$B26)*
      ('Tools &amp; Targets_Guideline'!$B$54:$B$269="TB"),
      0
    ),
    MATCH(
      _xludf.IFNA(
        VLOOKUP($D26,{"PH","Provincial Hospital (H2)";"DH","District Hospital (H3)";"RH","Regional / National Hospital (H1)"},2,0),
        $D26
      ),
      'Tools &amp; Targets_Guideline'!$C$53:$I$53,
      0
    )
  ),
0))</f>
        <v>#NAME?</v>
      </c>
      <c r="AD26" s="105"/>
      <c r="AE26" s="119" t="e">
        <f t="array" aca="1" ref="AE26" ca="1">IF(OR($B26="",$D26=""),"",
IFERROR(
  INDEX(
    'Tools &amp; Targets_Guideline'!$C$54:$I$269,
    MATCH(
      1,
      ('Tools &amp; Targets_Guideline'!$A$54:$A$269=$B26)*
      ('Tools &amp; Targets_Guideline'!$B$54:$B$269="U5 Morbidity"),
      0
    ),
    MATCH(
      _xludf.IFNA(
        VLOOKUP($D26,{"PH","Provincial Hospital (H2)";"DH","District Hospital (H3)";"RH","Regional / National Hospital (H1)"},2,0),
        $D26
      ),
      'Tools &amp; Targets_Guideline'!$C$53:$I$53,
      0
    )
  ),
0))</f>
        <v>#NAME?</v>
      </c>
      <c r="AF26" s="105"/>
      <c r="AG26" s="119" t="e">
        <f t="array" aca="1" ref="AG26" ca="1">IF(OR($B26="",$D26=""),"",
IFERROR(
  INDEX(
    'Tools &amp; Targets_Guideline'!$C$54:$I$269,
    MATCH(
      1,
      ('Tools &amp; Targets_Guideline'!$A$54:$A$269=$B26)*
      ('Tools &amp; Targets_Guideline'!$B$54:$B$269="C-Section"),
      0
    ),
    MATCH(
      _xludf.IFNA(
        VLOOKUP($D26,{"PH","Provincial Hospital (H2)";"DH","District Hospital (H3)";"RH","Regional / National Hospital (H1)"},2,0),
        $D26
      ),
      'Tools &amp; Targets_Guideline'!$C$53:$I$53,
      0
    )
  ),
0))</f>
        <v>#NAME?</v>
      </c>
      <c r="AH26" s="105">
        <f ca="1">IF(A26&lt;&gt;"",COUNTIFS('QA Log'!D:D,A26,'QA Log'!M:M,"QQC",'QA Log'!L:L,"2. Hygiene and Sterilization",'QA Log'!Z:Z,"Approved"),"")</f>
        <v>0</v>
      </c>
      <c r="AI26" s="102"/>
      <c r="AJ26" s="102"/>
      <c r="AK26" s="103">
        <f t="shared" si="2"/>
        <v>0</v>
      </c>
      <c r="AL26" s="102"/>
      <c r="AM26" s="102"/>
      <c r="AN26" s="102"/>
      <c r="AO26" s="106"/>
      <c r="AP26" s="103"/>
      <c r="AQ26" s="102"/>
      <c r="AR26" s="102"/>
      <c r="AS26" s="102"/>
      <c r="AT26" s="107"/>
      <c r="AU26" s="102" t="e">
        <f t="shared" si="3"/>
        <v>#REF!</v>
      </c>
      <c r="AV26" s="102" t="e">
        <f t="shared" si="4"/>
        <v>#REF!</v>
      </c>
      <c r="AW26" s="102" t="e">
        <f t="shared" si="5"/>
        <v>#REF!</v>
      </c>
      <c r="AX26" s="102" t="e">
        <f t="shared" si="6"/>
        <v>#REF!</v>
      </c>
      <c r="AY26" s="107" t="e">
        <f t="shared" si="7"/>
        <v>#REF!</v>
      </c>
      <c r="AZ26" s="108" t="str">
        <f t="shared" si="8"/>
        <v>Not Applicable</v>
      </c>
      <c r="BA26" s="108" t="e">
        <f t="shared" si="9"/>
        <v>#REF!</v>
      </c>
      <c r="BB26" s="109" t="e">
        <f t="shared" si="10"/>
        <v>#REF!</v>
      </c>
      <c r="BC26" s="108" t="str">
        <f t="shared" si="11"/>
        <v>Not Applicable</v>
      </c>
      <c r="BD26" s="108" t="e">
        <f t="shared" si="12"/>
        <v>#REF!</v>
      </c>
      <c r="BE26" s="109" t="e">
        <f t="shared" si="13"/>
        <v>#REF!</v>
      </c>
      <c r="BF26" s="110" t="e">
        <f t="shared" si="14"/>
        <v>#REF!</v>
      </c>
      <c r="BG26" s="111"/>
    </row>
    <row r="27" spans="1:59" ht="12.75">
      <c r="A27" s="101"/>
      <c r="B27" s="102"/>
      <c r="C27" s="102" t="e">
        <f t="array" aca="1" ref="C27" ca="1">_xludf.XLOOKUP(A27,'QA Log'!D:D,'QA Log'!F:F,"")</f>
        <v>#NAME?</v>
      </c>
      <c r="D27" s="102"/>
      <c r="E27" s="102" t="e">
        <f t="array" aca="1" ref="E27" ca="1">_xludf.XLOOKUP(A27,'QA Log'!D:D,'QA Log'!G:G,"")</f>
        <v>#NAME?</v>
      </c>
      <c r="F27" s="103"/>
      <c r="G27" s="104"/>
      <c r="H27" s="104"/>
      <c r="I27" s="103" t="str">
        <f t="shared" si="0"/>
        <v/>
      </c>
      <c r="J27" s="102"/>
      <c r="K27" s="102"/>
      <c r="L27" s="119" t="str">
        <f t="array" ref="L27">IF(OR($B27="",$D27=""),"",
IFERROR(
  INDEX(
    'Tools &amp; Targets_Guideline'!$C$54:$I$269,
    MATCH(
      1,
      ('Tools &amp; Targets_Guideline'!$A$54:$A$269=$B27)*
      ('Tools &amp; Targets_Guideline'!$B$54:$B$269="ANC"),
      0
    ),
    MATCH(
      _xludf.IFNA(
        VLOOKUP($D27,{"PH","Provincial Hospital (H2)";"DH","District Hospital (H3)";"RH","Regional / National Hospital (H1)"},2,0),
        $D27
      ),
      'Tools &amp; Targets_Guideline'!$C$53:$I$53,
      0
    )
  ),
0))</f>
        <v/>
      </c>
      <c r="M27" s="105"/>
      <c r="N27" s="119" t="str">
        <f t="array" ref="N27">IF(OR($B27="",$D27=""),"",
IFERROR(
  INDEX(
    'Tools &amp; Targets_Guideline'!$C$54:$I$269,
    MATCH(
      1,
      ('Tools &amp; Targets_Guideline'!$A$54:$A$269=$B27)*
      ('Tools &amp; Targets_Guideline'!$B$54:$B$269="PNC"),
      0
    ),
    MATCH(
      _xludf.IFNA(
        VLOOKUP($D27,{"PH","Provincial Hospital (H2)";"DH","District Hospital (H3)";"RH","Regional / National Hospital (H1)"},2,0),
        $D27
      ),
      'Tools &amp; Targets_Guideline'!$C$53:$I$53,
      0
    )
  ),
0))</f>
        <v/>
      </c>
      <c r="O27" s="105"/>
      <c r="P27" s="119" t="str">
        <f t="array" ref="P27">IF(OR($B27="",$D27=""),"",
IFERROR(
  INDEX(
    'Tools &amp; Targets_Guideline'!$C$54:$I$269,
    MATCH(
      1,
      ('Tools &amp; Targets_Guideline'!$A$54:$A$269=$B27)*
      ('Tools &amp; Targets_Guideline'!$B$54:$B$269="Delivery"),
      0
    ),
    MATCH(
      _xludf.IFNA(
        VLOOKUP($D27,{"PH","Provincial Hospital (H2)";"DH","District Hospital (H3)";"RH","Regional / National Hospital (H1)"},2,0),
        $D27
      ),
      'Tools &amp; Targets_Guideline'!$C$53:$I$53,
      0
    )
  ),
0))</f>
        <v/>
      </c>
      <c r="Q27" s="105"/>
      <c r="R27" s="119" t="str">
        <f t="array" ref="R27">IF(OR($B27="",$D27=""),"",
IFERROR(
  INDEX(
    'Tools &amp; Targets_Guideline'!$C$54:$I$269,
    MATCH(
      1,
      ('Tools &amp; Targets_Guideline'!$A$54:$A$269=$B27)*
      ('Tools &amp; Targets_Guideline'!$B$54:$B$269="TT"),
      0
    ),
    MATCH(
      _xludf.IFNA(
        VLOOKUP($D27,{"PH","Provincial Hospital (H2)";"DH","District Hospital (H3)";"RH","Regional / National Hospital (H1)"},2,0),
        $D27
      ),
      'Tools &amp; Targets_Guideline'!$C$53:$I$53,
      0
    )
  ),
0))</f>
        <v/>
      </c>
      <c r="S27" s="105"/>
      <c r="T27" s="102"/>
      <c r="U27" s="106"/>
      <c r="V27" s="102" t="str">
        <f t="shared" si="1"/>
        <v/>
      </c>
      <c r="W27" s="102"/>
      <c r="X27" s="102"/>
      <c r="Y27" s="119" t="str">
        <f t="array" ref="Y27">IF(OR($B27="",$D27=""),"",
IFERROR(
  INDEX(
    'Tools &amp; Targets_Guideline'!$C$54:$I$269,
    MATCH(
      1,
      ('Tools &amp; Targets_Guideline'!$A$54:$A$269=$B27)*
      ('Tools &amp; Targets_Guideline'!$B$54:$B$269="GM"),
      0
    ),
    MATCH(
      _xludf.IFNA(
        VLOOKUP($D27,{"PH","Provincial Hospital (H2)";"DH","District Hospital (H3)";"RH","Regional / National Hospital (H1)"},2,0),
        $D27
      ),
      'Tools &amp; Targets_Guideline'!$C$53:$I$53,
      0
    )
  ),
0))</f>
        <v/>
      </c>
      <c r="Z27" s="105"/>
      <c r="AA27" s="119" t="str">
        <f t="array" ref="AA27">IF(OR($B27="",$D27=""),"",
IFERROR(
  INDEX(
    'Tools &amp; Targets_Guideline'!$C$54:$I$269,
    MATCH(
      1,
      ('Tools &amp; Targets_Guideline'!$A$54:$A$269=$B27)*
      ('Tools &amp; Targets_Guideline'!$B$54:$B$269="Penta"),
      0
    ),
    MATCH(
      _xludf.IFNA(
        VLOOKUP($D27,{"PH","Provincial Hospital (H2)";"DH","District Hospital (H3)";"RH","Regional / National Hospital (H1)"},2,0),
        $D27
      ),
      'Tools &amp; Targets_Guideline'!$C$53:$I$53,
      0
    )
  ),
0))</f>
        <v/>
      </c>
      <c r="AB27" s="105"/>
      <c r="AC27" s="119" t="str">
        <f t="array" ref="AC27">IF(OR($B27="",$D27=""),"",
IFERROR(
  INDEX(
    'Tools &amp; Targets_Guideline'!$C$54:$I$269,
    MATCH(
      1,
      ('Tools &amp; Targets_Guideline'!$A$54:$A$269=$B27)*
      ('Tools &amp; Targets_Guideline'!$B$54:$B$269="TB"),
      0
    ),
    MATCH(
      _xludf.IFNA(
        VLOOKUP($D27,{"PH","Provincial Hospital (H2)";"DH","District Hospital (H3)";"RH","Regional / National Hospital (H1)"},2,0),
        $D27
      ),
      'Tools &amp; Targets_Guideline'!$C$53:$I$53,
      0
    )
  ),
0))</f>
        <v/>
      </c>
      <c r="AD27" s="105"/>
      <c r="AE27" s="119" t="str">
        <f t="array" ref="AE27">IF(OR($B27="",$D27=""),"",
IFERROR(
  INDEX(
    'Tools &amp; Targets_Guideline'!$C$54:$I$269,
    MATCH(
      1,
      ('Tools &amp; Targets_Guideline'!$A$54:$A$269=$B27)*
      ('Tools &amp; Targets_Guideline'!$B$54:$B$269="U5 Morbidity"),
      0
    ),
    MATCH(
      _xludf.IFNA(
        VLOOKUP($D27,{"PH","Provincial Hospital (H2)";"DH","District Hospital (H3)";"RH","Regional / National Hospital (H1)"},2,0),
        $D27
      ),
      'Tools &amp; Targets_Guideline'!$C$53:$I$53,
      0
    )
  ),
0))</f>
        <v/>
      </c>
      <c r="AF27" s="105"/>
      <c r="AG27" s="119" t="str">
        <f t="array" ref="AG27">IF(OR($B27="",$D27=""),"",
IFERROR(
  INDEX(
    'Tools &amp; Targets_Guideline'!$C$54:$I$269,
    MATCH(
      1,
      ('Tools &amp; Targets_Guideline'!$A$54:$A$269=$B27)*
      ('Tools &amp; Targets_Guideline'!$B$54:$B$269="C-Section"),
      0
    ),
    MATCH(
      _xludf.IFNA(
        VLOOKUP($D27,{"PH","Provincial Hospital (H2)";"DH","District Hospital (H3)";"RH","Regional / National Hospital (H1)"},2,0),
        $D27
      ),
      'Tools &amp; Targets_Guideline'!$C$53:$I$53,
      0
    )
  ),
0))</f>
        <v/>
      </c>
      <c r="AH27" s="105" t="str">
        <f>IF(A27&lt;&gt;"",COUNTIFS('QA Log'!D:D,A27,'QA Log'!M:M,"QQC",'QA Log'!L:L,"2. Hygiene and Sterilization",'QA Log'!Z:Z,"Approved"),"")</f>
        <v/>
      </c>
      <c r="AI27" s="102"/>
      <c r="AJ27" s="102"/>
      <c r="AK27" s="103" t="str">
        <f t="shared" si="2"/>
        <v/>
      </c>
      <c r="AL27" s="102"/>
      <c r="AM27" s="102"/>
      <c r="AN27" s="102"/>
      <c r="AO27" s="106"/>
      <c r="AP27" s="103"/>
      <c r="AQ27" s="102"/>
      <c r="AR27" s="102"/>
      <c r="AS27" s="102"/>
      <c r="AT27" s="107"/>
      <c r="AU27" s="102" t="str">
        <f t="shared" si="3"/>
        <v/>
      </c>
      <c r="AV27" s="102" t="str">
        <f t="shared" si="4"/>
        <v/>
      </c>
      <c r="AW27" s="102" t="str">
        <f t="shared" si="5"/>
        <v/>
      </c>
      <c r="AX27" s="102" t="str">
        <f t="shared" si="6"/>
        <v/>
      </c>
      <c r="AY27" s="107" t="str">
        <f t="shared" si="7"/>
        <v/>
      </c>
      <c r="AZ27" s="108" t="str">
        <f t="shared" si="8"/>
        <v/>
      </c>
      <c r="BA27" s="108" t="str">
        <f t="shared" si="9"/>
        <v/>
      </c>
      <c r="BB27" s="109" t="str">
        <f t="shared" si="10"/>
        <v/>
      </c>
      <c r="BC27" s="108" t="str">
        <f t="shared" si="11"/>
        <v/>
      </c>
      <c r="BD27" s="108" t="str">
        <f t="shared" si="12"/>
        <v/>
      </c>
      <c r="BE27" s="109" t="str">
        <f t="shared" si="13"/>
        <v/>
      </c>
      <c r="BF27" s="110" t="str">
        <f t="shared" si="14"/>
        <v/>
      </c>
      <c r="BG27" s="111"/>
    </row>
    <row r="28" spans="1:59" ht="12.75">
      <c r="A28" s="101"/>
      <c r="B28" s="102"/>
      <c r="C28" s="102" t="e">
        <f t="array" aca="1" ref="C28" ca="1">_xludf.XLOOKUP(A28,'QA Log'!D:D,'QA Log'!F:F,"")</f>
        <v>#NAME?</v>
      </c>
      <c r="D28" s="102"/>
      <c r="E28" s="102" t="e">
        <f t="array" aca="1" ref="E28" ca="1">_xludf.XLOOKUP(A28,'QA Log'!D:D,'QA Log'!G:G,"")</f>
        <v>#NAME?</v>
      </c>
      <c r="F28" s="103"/>
      <c r="G28" s="104"/>
      <c r="H28" s="104"/>
      <c r="I28" s="103" t="str">
        <f t="shared" si="0"/>
        <v/>
      </c>
      <c r="J28" s="102"/>
      <c r="K28" s="102"/>
      <c r="L28" s="119" t="str">
        <f t="array" ref="L28">IF(OR($B28="",$D28=""),"",
IFERROR(
  INDEX(
    'Tools &amp; Targets_Guideline'!$C$54:$I$269,
    MATCH(
      1,
      ('Tools &amp; Targets_Guideline'!$A$54:$A$269=$B28)*
      ('Tools &amp; Targets_Guideline'!$B$54:$B$269="ANC"),
      0
    ),
    MATCH(
      _xludf.IFNA(
        VLOOKUP($D28,{"PH","Provincial Hospital (H2)";"DH","District Hospital (H3)";"RH","Regional / National Hospital (H1)"},2,0),
        $D28
      ),
      'Tools &amp; Targets_Guideline'!$C$53:$I$53,
      0
    )
  ),
0))</f>
        <v/>
      </c>
      <c r="M28" s="105"/>
      <c r="N28" s="119" t="str">
        <f t="array" ref="N28">IF(OR($B28="",$D28=""),"",
IFERROR(
  INDEX(
    'Tools &amp; Targets_Guideline'!$C$54:$I$269,
    MATCH(
      1,
      ('Tools &amp; Targets_Guideline'!$A$54:$A$269=$B28)*
      ('Tools &amp; Targets_Guideline'!$B$54:$B$269="PNC"),
      0
    ),
    MATCH(
      _xludf.IFNA(
        VLOOKUP($D28,{"PH","Provincial Hospital (H2)";"DH","District Hospital (H3)";"RH","Regional / National Hospital (H1)"},2,0),
        $D28
      ),
      'Tools &amp; Targets_Guideline'!$C$53:$I$53,
      0
    )
  ),
0))</f>
        <v/>
      </c>
      <c r="O28" s="105"/>
      <c r="P28" s="119" t="str">
        <f t="array" ref="P28">IF(OR($B28="",$D28=""),"",
IFERROR(
  INDEX(
    'Tools &amp; Targets_Guideline'!$C$54:$I$269,
    MATCH(
      1,
      ('Tools &amp; Targets_Guideline'!$A$54:$A$269=$B28)*
      ('Tools &amp; Targets_Guideline'!$B$54:$B$269="Delivery"),
      0
    ),
    MATCH(
      _xludf.IFNA(
        VLOOKUP($D28,{"PH","Provincial Hospital (H2)";"DH","District Hospital (H3)";"RH","Regional / National Hospital (H1)"},2,0),
        $D28
      ),
      'Tools &amp; Targets_Guideline'!$C$53:$I$53,
      0
    )
  ),
0))</f>
        <v/>
      </c>
      <c r="Q28" s="105"/>
      <c r="R28" s="119" t="str">
        <f t="array" ref="R28">IF(OR($B28="",$D28=""),"",
IFERROR(
  INDEX(
    'Tools &amp; Targets_Guideline'!$C$54:$I$269,
    MATCH(
      1,
      ('Tools &amp; Targets_Guideline'!$A$54:$A$269=$B28)*
      ('Tools &amp; Targets_Guideline'!$B$54:$B$269="TT"),
      0
    ),
    MATCH(
      _xludf.IFNA(
        VLOOKUP($D28,{"PH","Provincial Hospital (H2)";"DH","District Hospital (H3)";"RH","Regional / National Hospital (H1)"},2,0),
        $D28
      ),
      'Tools &amp; Targets_Guideline'!$C$53:$I$53,
      0
    )
  ),
0))</f>
        <v/>
      </c>
      <c r="S28" s="105"/>
      <c r="T28" s="102"/>
      <c r="U28" s="106"/>
      <c r="V28" s="102" t="str">
        <f t="shared" si="1"/>
        <v/>
      </c>
      <c r="W28" s="102"/>
      <c r="X28" s="102"/>
      <c r="Y28" s="119" t="str">
        <f t="array" ref="Y28">IF(OR($B28="",$D28=""),"",
IFERROR(
  INDEX(
    'Tools &amp; Targets_Guideline'!$C$54:$I$269,
    MATCH(
      1,
      ('Tools &amp; Targets_Guideline'!$A$54:$A$269=$B28)*
      ('Tools &amp; Targets_Guideline'!$B$54:$B$269="GM"),
      0
    ),
    MATCH(
      _xludf.IFNA(
        VLOOKUP($D28,{"PH","Provincial Hospital (H2)";"DH","District Hospital (H3)";"RH","Regional / National Hospital (H1)"},2,0),
        $D28
      ),
      'Tools &amp; Targets_Guideline'!$C$53:$I$53,
      0
    )
  ),
0))</f>
        <v/>
      </c>
      <c r="Z28" s="105"/>
      <c r="AA28" s="119" t="str">
        <f t="array" ref="AA28">IF(OR($B28="",$D28=""),"",
IFERROR(
  INDEX(
    'Tools &amp; Targets_Guideline'!$C$54:$I$269,
    MATCH(
      1,
      ('Tools &amp; Targets_Guideline'!$A$54:$A$269=$B28)*
      ('Tools &amp; Targets_Guideline'!$B$54:$B$269="Penta"),
      0
    ),
    MATCH(
      _xludf.IFNA(
        VLOOKUP($D28,{"PH","Provincial Hospital (H2)";"DH","District Hospital (H3)";"RH","Regional / National Hospital (H1)"},2,0),
        $D28
      ),
      'Tools &amp; Targets_Guideline'!$C$53:$I$53,
      0
    )
  ),
0))</f>
        <v/>
      </c>
      <c r="AB28" s="105"/>
      <c r="AC28" s="119" t="str">
        <f t="array" ref="AC28">IF(OR($B28="",$D28=""),"",
IFERROR(
  INDEX(
    'Tools &amp; Targets_Guideline'!$C$54:$I$269,
    MATCH(
      1,
      ('Tools &amp; Targets_Guideline'!$A$54:$A$269=$B28)*
      ('Tools &amp; Targets_Guideline'!$B$54:$B$269="TB"),
      0
    ),
    MATCH(
      _xludf.IFNA(
        VLOOKUP($D28,{"PH","Provincial Hospital (H2)";"DH","District Hospital (H3)";"RH","Regional / National Hospital (H1)"},2,0),
        $D28
      ),
      'Tools &amp; Targets_Guideline'!$C$53:$I$53,
      0
    )
  ),
0))</f>
        <v/>
      </c>
      <c r="AD28" s="105"/>
      <c r="AE28" s="119" t="str">
        <f t="array" ref="AE28">IF(OR($B28="",$D28=""),"",
IFERROR(
  INDEX(
    'Tools &amp; Targets_Guideline'!$C$54:$I$269,
    MATCH(
      1,
      ('Tools &amp; Targets_Guideline'!$A$54:$A$269=$B28)*
      ('Tools &amp; Targets_Guideline'!$B$54:$B$269="U5 Morbidity"),
      0
    ),
    MATCH(
      _xludf.IFNA(
        VLOOKUP($D28,{"PH","Provincial Hospital (H2)";"DH","District Hospital (H3)";"RH","Regional / National Hospital (H1)"},2,0),
        $D28
      ),
      'Tools &amp; Targets_Guideline'!$C$53:$I$53,
      0
    )
  ),
0))</f>
        <v/>
      </c>
      <c r="AF28" s="105"/>
      <c r="AG28" s="119" t="str">
        <f t="array" ref="AG28">IF(OR($B28="",$D28=""),"",
IFERROR(
  INDEX(
    'Tools &amp; Targets_Guideline'!$C$54:$I$269,
    MATCH(
      1,
      ('Tools &amp; Targets_Guideline'!$A$54:$A$269=$B28)*
      ('Tools &amp; Targets_Guideline'!$B$54:$B$269="C-Section"),
      0
    ),
    MATCH(
      _xludf.IFNA(
        VLOOKUP($D28,{"PH","Provincial Hospital (H2)";"DH","District Hospital (H3)";"RH","Regional / National Hospital (H1)"},2,0),
        $D28
      ),
      'Tools &amp; Targets_Guideline'!$C$53:$I$53,
      0
    )
  ),
0))</f>
        <v/>
      </c>
      <c r="AH28" s="105" t="str">
        <f>IF(A28&lt;&gt;"",COUNTIFS('QA Log'!D:D,A28,'QA Log'!M:M,"QQC",'QA Log'!L:L,"2. Hygiene and Sterilization",'QA Log'!Z:Z,"Approved"),"")</f>
        <v/>
      </c>
      <c r="AI28" s="102"/>
      <c r="AJ28" s="102"/>
      <c r="AK28" s="103" t="str">
        <f t="shared" si="2"/>
        <v/>
      </c>
      <c r="AL28" s="102"/>
      <c r="AM28" s="102"/>
      <c r="AN28" s="102"/>
      <c r="AO28" s="106"/>
      <c r="AP28" s="103"/>
      <c r="AQ28" s="102"/>
      <c r="AR28" s="102"/>
      <c r="AS28" s="102"/>
      <c r="AT28" s="107"/>
      <c r="AU28" s="102" t="str">
        <f t="shared" si="3"/>
        <v/>
      </c>
      <c r="AV28" s="102" t="str">
        <f t="shared" si="4"/>
        <v/>
      </c>
      <c r="AW28" s="102" t="str">
        <f t="shared" si="5"/>
        <v/>
      </c>
      <c r="AX28" s="102" t="str">
        <f t="shared" si="6"/>
        <v/>
      </c>
      <c r="AY28" s="107" t="str">
        <f t="shared" si="7"/>
        <v/>
      </c>
      <c r="AZ28" s="108" t="str">
        <f t="shared" si="8"/>
        <v/>
      </c>
      <c r="BA28" s="108" t="str">
        <f t="shared" si="9"/>
        <v/>
      </c>
      <c r="BB28" s="109" t="str">
        <f t="shared" si="10"/>
        <v/>
      </c>
      <c r="BC28" s="108" t="str">
        <f t="shared" si="11"/>
        <v/>
      </c>
      <c r="BD28" s="108" t="str">
        <f t="shared" si="12"/>
        <v/>
      </c>
      <c r="BE28" s="109" t="str">
        <f t="shared" si="13"/>
        <v/>
      </c>
      <c r="BF28" s="110" t="str">
        <f t="shared" si="14"/>
        <v/>
      </c>
      <c r="BG28" s="111"/>
    </row>
    <row r="29" spans="1:59" ht="12.75">
      <c r="A29" s="101"/>
      <c r="B29" s="102"/>
      <c r="C29" s="102" t="e">
        <f t="array" aca="1" ref="C29" ca="1">_xludf.XLOOKUP(A29,'QA Log'!D:D,'QA Log'!F:F,"")</f>
        <v>#NAME?</v>
      </c>
      <c r="D29" s="102"/>
      <c r="E29" s="102" t="e">
        <f t="array" aca="1" ref="E29" ca="1">_xludf.XLOOKUP(A29,'QA Log'!D:D,'QA Log'!G:G,"")</f>
        <v>#NAME?</v>
      </c>
      <c r="F29" s="103"/>
      <c r="G29" s="104"/>
      <c r="H29" s="104"/>
      <c r="I29" s="103" t="str">
        <f t="shared" si="0"/>
        <v/>
      </c>
      <c r="J29" s="102"/>
      <c r="K29" s="102"/>
      <c r="L29" s="119" t="str">
        <f t="array" ref="L29">IF(OR($B29="",$D29=""),"",
IFERROR(
  INDEX(
    'Tools &amp; Targets_Guideline'!$C$54:$I$269,
    MATCH(
      1,
      ('Tools &amp; Targets_Guideline'!$A$54:$A$269=$B29)*
      ('Tools &amp; Targets_Guideline'!$B$54:$B$269="ANC"),
      0
    ),
    MATCH(
      _xludf.IFNA(
        VLOOKUP($D29,{"PH","Provincial Hospital (H2)";"DH","District Hospital (H3)";"RH","Regional / National Hospital (H1)"},2,0),
        $D29
      ),
      'Tools &amp; Targets_Guideline'!$C$53:$I$53,
      0
    )
  ),
0))</f>
        <v/>
      </c>
      <c r="M29" s="105"/>
      <c r="N29" s="119" t="str">
        <f t="array" ref="N29">IF(OR($B29="",$D29=""),"",
IFERROR(
  INDEX(
    'Tools &amp; Targets_Guideline'!$C$54:$I$269,
    MATCH(
      1,
      ('Tools &amp; Targets_Guideline'!$A$54:$A$269=$B29)*
      ('Tools &amp; Targets_Guideline'!$B$54:$B$269="PNC"),
      0
    ),
    MATCH(
      _xludf.IFNA(
        VLOOKUP($D29,{"PH","Provincial Hospital (H2)";"DH","District Hospital (H3)";"RH","Regional / National Hospital (H1)"},2,0),
        $D29
      ),
      'Tools &amp; Targets_Guideline'!$C$53:$I$53,
      0
    )
  ),
0))</f>
        <v/>
      </c>
      <c r="O29" s="105"/>
      <c r="P29" s="119" t="str">
        <f t="array" ref="P29">IF(OR($B29="",$D29=""),"",
IFERROR(
  INDEX(
    'Tools &amp; Targets_Guideline'!$C$54:$I$269,
    MATCH(
      1,
      ('Tools &amp; Targets_Guideline'!$A$54:$A$269=$B29)*
      ('Tools &amp; Targets_Guideline'!$B$54:$B$269="Delivery"),
      0
    ),
    MATCH(
      _xludf.IFNA(
        VLOOKUP($D29,{"PH","Provincial Hospital (H2)";"DH","District Hospital (H3)";"RH","Regional / National Hospital (H1)"},2,0),
        $D29
      ),
      'Tools &amp; Targets_Guideline'!$C$53:$I$53,
      0
    )
  ),
0))</f>
        <v/>
      </c>
      <c r="Q29" s="105"/>
      <c r="R29" s="119" t="str">
        <f t="array" ref="R29">IF(OR($B29="",$D29=""),"",
IFERROR(
  INDEX(
    'Tools &amp; Targets_Guideline'!$C$54:$I$269,
    MATCH(
      1,
      ('Tools &amp; Targets_Guideline'!$A$54:$A$269=$B29)*
      ('Tools &amp; Targets_Guideline'!$B$54:$B$269="TT"),
      0
    ),
    MATCH(
      _xludf.IFNA(
        VLOOKUP($D29,{"PH","Provincial Hospital (H2)";"DH","District Hospital (H3)";"RH","Regional / National Hospital (H1)"},2,0),
        $D29
      ),
      'Tools &amp; Targets_Guideline'!$C$53:$I$53,
      0
    )
  ),
0))</f>
        <v/>
      </c>
      <c r="S29" s="105"/>
      <c r="T29" s="102"/>
      <c r="U29" s="106"/>
      <c r="V29" s="102" t="str">
        <f t="shared" si="1"/>
        <v/>
      </c>
      <c r="W29" s="102"/>
      <c r="X29" s="102"/>
      <c r="Y29" s="119" t="str">
        <f t="array" ref="Y29">IF(OR($B29="",$D29=""),"",
IFERROR(
  INDEX(
    'Tools &amp; Targets_Guideline'!$C$54:$I$269,
    MATCH(
      1,
      ('Tools &amp; Targets_Guideline'!$A$54:$A$269=$B29)*
      ('Tools &amp; Targets_Guideline'!$B$54:$B$269="GM"),
      0
    ),
    MATCH(
      _xludf.IFNA(
        VLOOKUP($D29,{"PH","Provincial Hospital (H2)";"DH","District Hospital (H3)";"RH","Regional / National Hospital (H1)"},2,0),
        $D29
      ),
      'Tools &amp; Targets_Guideline'!$C$53:$I$53,
      0
    )
  ),
0))</f>
        <v/>
      </c>
      <c r="Z29" s="105"/>
      <c r="AA29" s="119" t="str">
        <f t="array" ref="AA29">IF(OR($B29="",$D29=""),"",
IFERROR(
  INDEX(
    'Tools &amp; Targets_Guideline'!$C$54:$I$269,
    MATCH(
      1,
      ('Tools &amp; Targets_Guideline'!$A$54:$A$269=$B29)*
      ('Tools &amp; Targets_Guideline'!$B$54:$B$269="Penta"),
      0
    ),
    MATCH(
      _xludf.IFNA(
        VLOOKUP($D29,{"PH","Provincial Hospital (H2)";"DH","District Hospital (H3)";"RH","Regional / National Hospital (H1)"},2,0),
        $D29
      ),
      'Tools &amp; Targets_Guideline'!$C$53:$I$53,
      0
    )
  ),
0))</f>
        <v/>
      </c>
      <c r="AB29" s="105"/>
      <c r="AC29" s="119" t="str">
        <f t="array" ref="AC29">IF(OR($B29="",$D29=""),"",
IFERROR(
  INDEX(
    'Tools &amp; Targets_Guideline'!$C$54:$I$269,
    MATCH(
      1,
      ('Tools &amp; Targets_Guideline'!$A$54:$A$269=$B29)*
      ('Tools &amp; Targets_Guideline'!$B$54:$B$269="TB"),
      0
    ),
    MATCH(
      _xludf.IFNA(
        VLOOKUP($D29,{"PH","Provincial Hospital (H2)";"DH","District Hospital (H3)";"RH","Regional / National Hospital (H1)"},2,0),
        $D29
      ),
      'Tools &amp; Targets_Guideline'!$C$53:$I$53,
      0
    )
  ),
0))</f>
        <v/>
      </c>
      <c r="AD29" s="105"/>
      <c r="AE29" s="119" t="str">
        <f t="array" ref="AE29">IF(OR($B29="",$D29=""),"",
IFERROR(
  INDEX(
    'Tools &amp; Targets_Guideline'!$C$54:$I$269,
    MATCH(
      1,
      ('Tools &amp; Targets_Guideline'!$A$54:$A$269=$B29)*
      ('Tools &amp; Targets_Guideline'!$B$54:$B$269="U5 Morbidity"),
      0
    ),
    MATCH(
      _xludf.IFNA(
        VLOOKUP($D29,{"PH","Provincial Hospital (H2)";"DH","District Hospital (H3)";"RH","Regional / National Hospital (H1)"},2,0),
        $D29
      ),
      'Tools &amp; Targets_Guideline'!$C$53:$I$53,
      0
    )
  ),
0))</f>
        <v/>
      </c>
      <c r="AF29" s="105"/>
      <c r="AG29" s="119" t="str">
        <f t="array" ref="AG29">IF(OR($B29="",$D29=""),"",
IFERROR(
  INDEX(
    'Tools &amp; Targets_Guideline'!$C$54:$I$269,
    MATCH(
      1,
      ('Tools &amp; Targets_Guideline'!$A$54:$A$269=$B29)*
      ('Tools &amp; Targets_Guideline'!$B$54:$B$269="C-Section"),
      0
    ),
    MATCH(
      _xludf.IFNA(
        VLOOKUP($D29,{"PH","Provincial Hospital (H2)";"DH","District Hospital (H3)";"RH","Regional / National Hospital (H1)"},2,0),
        $D29
      ),
      'Tools &amp; Targets_Guideline'!$C$53:$I$53,
      0
    )
  ),
0))</f>
        <v/>
      </c>
      <c r="AH29" s="105" t="str">
        <f>IF(A29&lt;&gt;"",COUNTIFS('QA Log'!D:D,A29,'QA Log'!M:M,"QQC",'QA Log'!L:L,"2. Hygiene and Sterilization",'QA Log'!Z:Z,"Approved"),"")</f>
        <v/>
      </c>
      <c r="AI29" s="102"/>
      <c r="AJ29" s="102"/>
      <c r="AK29" s="103" t="str">
        <f t="shared" si="2"/>
        <v/>
      </c>
      <c r="AL29" s="102"/>
      <c r="AM29" s="102"/>
      <c r="AN29" s="102"/>
      <c r="AO29" s="106"/>
      <c r="AP29" s="103"/>
      <c r="AQ29" s="102"/>
      <c r="AR29" s="102"/>
      <c r="AS29" s="102"/>
      <c r="AT29" s="107"/>
      <c r="AU29" s="102" t="str">
        <f t="shared" si="3"/>
        <v/>
      </c>
      <c r="AV29" s="102" t="str">
        <f t="shared" si="4"/>
        <v/>
      </c>
      <c r="AW29" s="102" t="str">
        <f t="shared" si="5"/>
        <v/>
      </c>
      <c r="AX29" s="102" t="str">
        <f t="shared" si="6"/>
        <v/>
      </c>
      <c r="AY29" s="107" t="str">
        <f t="shared" si="7"/>
        <v/>
      </c>
      <c r="AZ29" s="108" t="str">
        <f t="shared" si="8"/>
        <v/>
      </c>
      <c r="BA29" s="108" t="str">
        <f t="shared" si="9"/>
        <v/>
      </c>
      <c r="BB29" s="109" t="str">
        <f t="shared" si="10"/>
        <v/>
      </c>
      <c r="BC29" s="108" t="str">
        <f t="shared" si="11"/>
        <v/>
      </c>
      <c r="BD29" s="108" t="str">
        <f t="shared" si="12"/>
        <v/>
      </c>
      <c r="BE29" s="109" t="str">
        <f t="shared" si="13"/>
        <v/>
      </c>
      <c r="BF29" s="110" t="str">
        <f t="shared" si="14"/>
        <v/>
      </c>
      <c r="BG29" s="111"/>
    </row>
    <row r="30" spans="1:59" ht="12.75">
      <c r="A30" s="101"/>
      <c r="B30" s="102"/>
      <c r="C30" s="102" t="e">
        <f t="array" aca="1" ref="C30" ca="1">_xludf.XLOOKUP(A30,'QA Log'!D:D,'QA Log'!F:F,"")</f>
        <v>#NAME?</v>
      </c>
      <c r="D30" s="102"/>
      <c r="E30" s="102" t="e">
        <f t="array" aca="1" ref="E30" ca="1">_xludf.XLOOKUP(A30,'QA Log'!D:D,'QA Log'!G:G,"")</f>
        <v>#NAME?</v>
      </c>
      <c r="F30" s="103"/>
      <c r="G30" s="104"/>
      <c r="H30" s="104"/>
      <c r="I30" s="103" t="str">
        <f t="shared" si="0"/>
        <v/>
      </c>
      <c r="J30" s="102"/>
      <c r="K30" s="102"/>
      <c r="L30" s="119" t="str">
        <f t="array" ref="L30">IF(OR($B30="",$D30=""),"",
IFERROR(
  INDEX(
    'Tools &amp; Targets_Guideline'!$C$54:$I$269,
    MATCH(
      1,
      ('Tools &amp; Targets_Guideline'!$A$54:$A$269=$B30)*
      ('Tools &amp; Targets_Guideline'!$B$54:$B$269="ANC"),
      0
    ),
    MATCH(
      _xludf.IFNA(
        VLOOKUP($D30,{"PH","Provincial Hospital (H2)";"DH","District Hospital (H3)";"RH","Regional / National Hospital (H1)"},2,0),
        $D30
      ),
      'Tools &amp; Targets_Guideline'!$C$53:$I$53,
      0
    )
  ),
0))</f>
        <v/>
      </c>
      <c r="M30" s="105"/>
      <c r="N30" s="119" t="str">
        <f t="array" ref="N30">IF(OR($B30="",$D30=""),"",
IFERROR(
  INDEX(
    'Tools &amp; Targets_Guideline'!$C$54:$I$269,
    MATCH(
      1,
      ('Tools &amp; Targets_Guideline'!$A$54:$A$269=$B30)*
      ('Tools &amp; Targets_Guideline'!$B$54:$B$269="PNC"),
      0
    ),
    MATCH(
      _xludf.IFNA(
        VLOOKUP($D30,{"PH","Provincial Hospital (H2)";"DH","District Hospital (H3)";"RH","Regional / National Hospital (H1)"},2,0),
        $D30
      ),
      'Tools &amp; Targets_Guideline'!$C$53:$I$53,
      0
    )
  ),
0))</f>
        <v/>
      </c>
      <c r="O30" s="105"/>
      <c r="P30" s="119" t="str">
        <f t="array" ref="P30">IF(OR($B30="",$D30=""),"",
IFERROR(
  INDEX(
    'Tools &amp; Targets_Guideline'!$C$54:$I$269,
    MATCH(
      1,
      ('Tools &amp; Targets_Guideline'!$A$54:$A$269=$B30)*
      ('Tools &amp; Targets_Guideline'!$B$54:$B$269="Delivery"),
      0
    ),
    MATCH(
      _xludf.IFNA(
        VLOOKUP($D30,{"PH","Provincial Hospital (H2)";"DH","District Hospital (H3)";"RH","Regional / National Hospital (H1)"},2,0),
        $D30
      ),
      'Tools &amp; Targets_Guideline'!$C$53:$I$53,
      0
    )
  ),
0))</f>
        <v/>
      </c>
      <c r="Q30" s="105"/>
      <c r="R30" s="119" t="str">
        <f t="array" ref="R30">IF(OR($B30="",$D30=""),"",
IFERROR(
  INDEX(
    'Tools &amp; Targets_Guideline'!$C$54:$I$269,
    MATCH(
      1,
      ('Tools &amp; Targets_Guideline'!$A$54:$A$269=$B30)*
      ('Tools &amp; Targets_Guideline'!$B$54:$B$269="TT"),
      0
    ),
    MATCH(
      _xludf.IFNA(
        VLOOKUP($D30,{"PH","Provincial Hospital (H2)";"DH","District Hospital (H3)";"RH","Regional / National Hospital (H1)"},2,0),
        $D30
      ),
      'Tools &amp; Targets_Guideline'!$C$53:$I$53,
      0
    )
  ),
0))</f>
        <v/>
      </c>
      <c r="S30" s="105"/>
      <c r="T30" s="102"/>
      <c r="U30" s="106"/>
      <c r="V30" s="102" t="str">
        <f t="shared" si="1"/>
        <v/>
      </c>
      <c r="W30" s="102"/>
      <c r="X30" s="102"/>
      <c r="Y30" s="119" t="str">
        <f t="array" ref="Y30">IF(OR($B30="",$D30=""),"",
IFERROR(
  INDEX(
    'Tools &amp; Targets_Guideline'!$C$54:$I$269,
    MATCH(
      1,
      ('Tools &amp; Targets_Guideline'!$A$54:$A$269=$B30)*
      ('Tools &amp; Targets_Guideline'!$B$54:$B$269="GM"),
      0
    ),
    MATCH(
      _xludf.IFNA(
        VLOOKUP($D30,{"PH","Provincial Hospital (H2)";"DH","District Hospital (H3)";"RH","Regional / National Hospital (H1)"},2,0),
        $D30
      ),
      'Tools &amp; Targets_Guideline'!$C$53:$I$53,
      0
    )
  ),
0))</f>
        <v/>
      </c>
      <c r="Z30" s="105"/>
      <c r="AA30" s="119" t="str">
        <f t="array" ref="AA30">IF(OR($B30="",$D30=""),"",
IFERROR(
  INDEX(
    'Tools &amp; Targets_Guideline'!$C$54:$I$269,
    MATCH(
      1,
      ('Tools &amp; Targets_Guideline'!$A$54:$A$269=$B30)*
      ('Tools &amp; Targets_Guideline'!$B$54:$B$269="Penta"),
      0
    ),
    MATCH(
      _xludf.IFNA(
        VLOOKUP($D30,{"PH","Provincial Hospital (H2)";"DH","District Hospital (H3)";"RH","Regional / National Hospital (H1)"},2,0),
        $D30
      ),
      'Tools &amp; Targets_Guideline'!$C$53:$I$53,
      0
    )
  ),
0))</f>
        <v/>
      </c>
      <c r="AB30" s="105"/>
      <c r="AC30" s="119" t="str">
        <f t="array" ref="AC30">IF(OR($B30="",$D30=""),"",
IFERROR(
  INDEX(
    'Tools &amp; Targets_Guideline'!$C$54:$I$269,
    MATCH(
      1,
      ('Tools &amp; Targets_Guideline'!$A$54:$A$269=$B30)*
      ('Tools &amp; Targets_Guideline'!$B$54:$B$269="TB"),
      0
    ),
    MATCH(
      _xludf.IFNA(
        VLOOKUP($D30,{"PH","Provincial Hospital (H2)";"DH","District Hospital (H3)";"RH","Regional / National Hospital (H1)"},2,0),
        $D30
      ),
      'Tools &amp; Targets_Guideline'!$C$53:$I$53,
      0
    )
  ),
0))</f>
        <v/>
      </c>
      <c r="AD30" s="105"/>
      <c r="AE30" s="119" t="str">
        <f t="array" ref="AE30">IF(OR($B30="",$D30=""),"",
IFERROR(
  INDEX(
    'Tools &amp; Targets_Guideline'!$C$54:$I$269,
    MATCH(
      1,
      ('Tools &amp; Targets_Guideline'!$A$54:$A$269=$B30)*
      ('Tools &amp; Targets_Guideline'!$B$54:$B$269="U5 Morbidity"),
      0
    ),
    MATCH(
      _xludf.IFNA(
        VLOOKUP($D30,{"PH","Provincial Hospital (H2)";"DH","District Hospital (H3)";"RH","Regional / National Hospital (H1)"},2,0),
        $D30
      ),
      'Tools &amp; Targets_Guideline'!$C$53:$I$53,
      0
    )
  ),
0))</f>
        <v/>
      </c>
      <c r="AF30" s="105"/>
      <c r="AG30" s="119" t="str">
        <f t="array" ref="AG30">IF(OR($B30="",$D30=""),"",
IFERROR(
  INDEX(
    'Tools &amp; Targets_Guideline'!$C$54:$I$269,
    MATCH(
      1,
      ('Tools &amp; Targets_Guideline'!$A$54:$A$269=$B30)*
      ('Tools &amp; Targets_Guideline'!$B$54:$B$269="C-Section"),
      0
    ),
    MATCH(
      _xludf.IFNA(
        VLOOKUP($D30,{"PH","Provincial Hospital (H2)";"DH","District Hospital (H3)";"RH","Regional / National Hospital (H1)"},2,0),
        $D30
      ),
      'Tools &amp; Targets_Guideline'!$C$53:$I$53,
      0
    )
  ),
0))</f>
        <v/>
      </c>
      <c r="AH30" s="105" t="str">
        <f>IF(A30&lt;&gt;"",COUNTIFS('QA Log'!D:D,A30,'QA Log'!M:M,"QQC",'QA Log'!L:L,"2. Hygiene and Sterilization",'QA Log'!Z:Z,"Approved"),"")</f>
        <v/>
      </c>
      <c r="AI30" s="102"/>
      <c r="AJ30" s="102"/>
      <c r="AK30" s="103" t="str">
        <f t="shared" si="2"/>
        <v/>
      </c>
      <c r="AL30" s="102"/>
      <c r="AM30" s="102"/>
      <c r="AN30" s="102"/>
      <c r="AO30" s="106"/>
      <c r="AP30" s="103"/>
      <c r="AQ30" s="102"/>
      <c r="AR30" s="102"/>
      <c r="AS30" s="102"/>
      <c r="AT30" s="107"/>
      <c r="AU30" s="102" t="str">
        <f t="shared" si="3"/>
        <v/>
      </c>
      <c r="AV30" s="102" t="str">
        <f t="shared" si="4"/>
        <v/>
      </c>
      <c r="AW30" s="102" t="str">
        <f t="shared" si="5"/>
        <v/>
      </c>
      <c r="AX30" s="102" t="str">
        <f t="shared" si="6"/>
        <v/>
      </c>
      <c r="AY30" s="107" t="str">
        <f t="shared" si="7"/>
        <v/>
      </c>
      <c r="AZ30" s="108" t="str">
        <f t="shared" si="8"/>
        <v/>
      </c>
      <c r="BA30" s="108" t="str">
        <f t="shared" si="9"/>
        <v/>
      </c>
      <c r="BB30" s="109" t="str">
        <f t="shared" si="10"/>
        <v/>
      </c>
      <c r="BC30" s="108" t="str">
        <f t="shared" si="11"/>
        <v/>
      </c>
      <c r="BD30" s="108" t="str">
        <f t="shared" si="12"/>
        <v/>
      </c>
      <c r="BE30" s="109" t="str">
        <f t="shared" si="13"/>
        <v/>
      </c>
      <c r="BF30" s="110" t="str">
        <f t="shared" si="14"/>
        <v/>
      </c>
      <c r="BG30" s="111"/>
    </row>
    <row r="31" spans="1:59" ht="12.75">
      <c r="A31" s="101"/>
      <c r="B31" s="102"/>
      <c r="C31" s="102" t="e">
        <f t="array" aca="1" ref="C31" ca="1">_xludf.XLOOKUP(A31,'QA Log'!D:D,'QA Log'!F:F,"")</f>
        <v>#NAME?</v>
      </c>
      <c r="D31" s="102"/>
      <c r="E31" s="102" t="e">
        <f t="array" aca="1" ref="E31" ca="1">_xludf.XLOOKUP(A31,'QA Log'!D:D,'QA Log'!G:G,"")</f>
        <v>#NAME?</v>
      </c>
      <c r="F31" s="103"/>
      <c r="G31" s="104"/>
      <c r="H31" s="104"/>
      <c r="I31" s="103" t="str">
        <f t="shared" si="0"/>
        <v/>
      </c>
      <c r="J31" s="102"/>
      <c r="K31" s="102"/>
      <c r="L31" s="119" t="str">
        <f t="array" ref="L31">IF(OR($B31="",$D31=""),"",
IFERROR(
  INDEX(
    'Tools &amp; Targets_Guideline'!$C$54:$I$269,
    MATCH(
      1,
      ('Tools &amp; Targets_Guideline'!$A$54:$A$269=$B31)*
      ('Tools &amp; Targets_Guideline'!$B$54:$B$269="ANC"),
      0
    ),
    MATCH(
      _xludf.IFNA(
        VLOOKUP($D31,{"PH","Provincial Hospital (H2)";"DH","District Hospital (H3)";"RH","Regional / National Hospital (H1)"},2,0),
        $D31
      ),
      'Tools &amp; Targets_Guideline'!$C$53:$I$53,
      0
    )
  ),
0))</f>
        <v/>
      </c>
      <c r="M31" s="105"/>
      <c r="N31" s="119" t="str">
        <f t="array" ref="N31">IF(OR($B31="",$D31=""),"",
IFERROR(
  INDEX(
    'Tools &amp; Targets_Guideline'!$C$54:$I$269,
    MATCH(
      1,
      ('Tools &amp; Targets_Guideline'!$A$54:$A$269=$B31)*
      ('Tools &amp; Targets_Guideline'!$B$54:$B$269="PNC"),
      0
    ),
    MATCH(
      _xludf.IFNA(
        VLOOKUP($D31,{"PH","Provincial Hospital (H2)";"DH","District Hospital (H3)";"RH","Regional / National Hospital (H1)"},2,0),
        $D31
      ),
      'Tools &amp; Targets_Guideline'!$C$53:$I$53,
      0
    )
  ),
0))</f>
        <v/>
      </c>
      <c r="O31" s="105"/>
      <c r="P31" s="119" t="str">
        <f t="array" ref="P31">IF(OR($B31="",$D31=""),"",
IFERROR(
  INDEX(
    'Tools &amp; Targets_Guideline'!$C$54:$I$269,
    MATCH(
      1,
      ('Tools &amp; Targets_Guideline'!$A$54:$A$269=$B31)*
      ('Tools &amp; Targets_Guideline'!$B$54:$B$269="Delivery"),
      0
    ),
    MATCH(
      _xludf.IFNA(
        VLOOKUP($D31,{"PH","Provincial Hospital (H2)";"DH","District Hospital (H3)";"RH","Regional / National Hospital (H1)"},2,0),
        $D31
      ),
      'Tools &amp; Targets_Guideline'!$C$53:$I$53,
      0
    )
  ),
0))</f>
        <v/>
      </c>
      <c r="Q31" s="105"/>
      <c r="R31" s="119" t="str">
        <f t="array" ref="R31">IF(OR($B31="",$D31=""),"",
IFERROR(
  INDEX(
    'Tools &amp; Targets_Guideline'!$C$54:$I$269,
    MATCH(
      1,
      ('Tools &amp; Targets_Guideline'!$A$54:$A$269=$B31)*
      ('Tools &amp; Targets_Guideline'!$B$54:$B$269="TT"),
      0
    ),
    MATCH(
      _xludf.IFNA(
        VLOOKUP($D31,{"PH","Provincial Hospital (H2)";"DH","District Hospital (H3)";"RH","Regional / National Hospital (H1)"},2,0),
        $D31
      ),
      'Tools &amp; Targets_Guideline'!$C$53:$I$53,
      0
    )
  ),
0))</f>
        <v/>
      </c>
      <c r="S31" s="105"/>
      <c r="T31" s="102"/>
      <c r="U31" s="106"/>
      <c r="V31" s="102" t="str">
        <f t="shared" si="1"/>
        <v/>
      </c>
      <c r="W31" s="102"/>
      <c r="X31" s="102"/>
      <c r="Y31" s="119" t="str">
        <f t="array" ref="Y31">IF(OR($B31="",$D31=""),"",
IFERROR(
  INDEX(
    'Tools &amp; Targets_Guideline'!$C$54:$I$269,
    MATCH(
      1,
      ('Tools &amp; Targets_Guideline'!$A$54:$A$269=$B31)*
      ('Tools &amp; Targets_Guideline'!$B$54:$B$269="GM"),
      0
    ),
    MATCH(
      _xludf.IFNA(
        VLOOKUP($D31,{"PH","Provincial Hospital (H2)";"DH","District Hospital (H3)";"RH","Regional / National Hospital (H1)"},2,0),
        $D31
      ),
      'Tools &amp; Targets_Guideline'!$C$53:$I$53,
      0
    )
  ),
0))</f>
        <v/>
      </c>
      <c r="Z31" s="105"/>
      <c r="AA31" s="119" t="str">
        <f t="array" ref="AA31">IF(OR($B31="",$D31=""),"",
IFERROR(
  INDEX(
    'Tools &amp; Targets_Guideline'!$C$54:$I$269,
    MATCH(
      1,
      ('Tools &amp; Targets_Guideline'!$A$54:$A$269=$B31)*
      ('Tools &amp; Targets_Guideline'!$B$54:$B$269="Penta"),
      0
    ),
    MATCH(
      _xludf.IFNA(
        VLOOKUP($D31,{"PH","Provincial Hospital (H2)";"DH","District Hospital (H3)";"RH","Regional / National Hospital (H1)"},2,0),
        $D31
      ),
      'Tools &amp; Targets_Guideline'!$C$53:$I$53,
      0
    )
  ),
0))</f>
        <v/>
      </c>
      <c r="AB31" s="105"/>
      <c r="AC31" s="119" t="str">
        <f t="array" ref="AC31">IF(OR($B31="",$D31=""),"",
IFERROR(
  INDEX(
    'Tools &amp; Targets_Guideline'!$C$54:$I$269,
    MATCH(
      1,
      ('Tools &amp; Targets_Guideline'!$A$54:$A$269=$B31)*
      ('Tools &amp; Targets_Guideline'!$B$54:$B$269="TB"),
      0
    ),
    MATCH(
      _xludf.IFNA(
        VLOOKUP($D31,{"PH","Provincial Hospital (H2)";"DH","District Hospital (H3)";"RH","Regional / National Hospital (H1)"},2,0),
        $D31
      ),
      'Tools &amp; Targets_Guideline'!$C$53:$I$53,
      0
    )
  ),
0))</f>
        <v/>
      </c>
      <c r="AD31" s="105"/>
      <c r="AE31" s="119" t="str">
        <f t="array" ref="AE31">IF(OR($B31="",$D31=""),"",
IFERROR(
  INDEX(
    'Tools &amp; Targets_Guideline'!$C$54:$I$269,
    MATCH(
      1,
      ('Tools &amp; Targets_Guideline'!$A$54:$A$269=$B31)*
      ('Tools &amp; Targets_Guideline'!$B$54:$B$269="U5 Morbidity"),
      0
    ),
    MATCH(
      _xludf.IFNA(
        VLOOKUP($D31,{"PH","Provincial Hospital (H2)";"DH","District Hospital (H3)";"RH","Regional / National Hospital (H1)"},2,0),
        $D31
      ),
      'Tools &amp; Targets_Guideline'!$C$53:$I$53,
      0
    )
  ),
0))</f>
        <v/>
      </c>
      <c r="AF31" s="105"/>
      <c r="AG31" s="119" t="str">
        <f t="array" ref="AG31">IF(OR($B31="",$D31=""),"",
IFERROR(
  INDEX(
    'Tools &amp; Targets_Guideline'!$C$54:$I$269,
    MATCH(
      1,
      ('Tools &amp; Targets_Guideline'!$A$54:$A$269=$B31)*
      ('Tools &amp; Targets_Guideline'!$B$54:$B$269="C-Section"),
      0
    ),
    MATCH(
      _xludf.IFNA(
        VLOOKUP($D31,{"PH","Provincial Hospital (H2)";"DH","District Hospital (H3)";"RH","Regional / National Hospital (H1)"},2,0),
        $D31
      ),
      'Tools &amp; Targets_Guideline'!$C$53:$I$53,
      0
    )
  ),
0))</f>
        <v/>
      </c>
      <c r="AH31" s="105" t="str">
        <f>IF(A31&lt;&gt;"",COUNTIFS('QA Log'!D:D,A31,'QA Log'!M:M,"QQC",'QA Log'!L:L,"2. Hygiene and Sterilization",'QA Log'!Z:Z,"Approved"),"")</f>
        <v/>
      </c>
      <c r="AI31" s="102"/>
      <c r="AJ31" s="102"/>
      <c r="AK31" s="103" t="str">
        <f t="shared" si="2"/>
        <v/>
      </c>
      <c r="AL31" s="102"/>
      <c r="AM31" s="102"/>
      <c r="AN31" s="102"/>
      <c r="AO31" s="106"/>
      <c r="AP31" s="103"/>
      <c r="AQ31" s="102"/>
      <c r="AR31" s="102"/>
      <c r="AS31" s="102"/>
      <c r="AT31" s="107"/>
      <c r="AU31" s="102" t="str">
        <f t="shared" si="3"/>
        <v/>
      </c>
      <c r="AV31" s="102" t="str">
        <f t="shared" si="4"/>
        <v/>
      </c>
      <c r="AW31" s="102" t="str">
        <f t="shared" si="5"/>
        <v/>
      </c>
      <c r="AX31" s="102" t="str">
        <f t="shared" si="6"/>
        <v/>
      </c>
      <c r="AY31" s="107" t="str">
        <f t="shared" si="7"/>
        <v/>
      </c>
      <c r="AZ31" s="108" t="str">
        <f t="shared" si="8"/>
        <v/>
      </c>
      <c r="BA31" s="108" t="str">
        <f t="shared" si="9"/>
        <v/>
      </c>
      <c r="BB31" s="109" t="str">
        <f t="shared" si="10"/>
        <v/>
      </c>
      <c r="BC31" s="108" t="str">
        <f t="shared" si="11"/>
        <v/>
      </c>
      <c r="BD31" s="108" t="str">
        <f t="shared" si="12"/>
        <v/>
      </c>
      <c r="BE31" s="109" t="str">
        <f t="shared" si="13"/>
        <v/>
      </c>
      <c r="BF31" s="110" t="str">
        <f t="shared" si="14"/>
        <v/>
      </c>
      <c r="BG31" s="111"/>
    </row>
    <row r="32" spans="1:59" ht="12.75">
      <c r="A32" s="101"/>
      <c r="B32" s="102"/>
      <c r="C32" s="102" t="e">
        <f t="array" aca="1" ref="C32" ca="1">_xludf.XLOOKUP(A32,'QA Log'!D:D,'QA Log'!F:F,"")</f>
        <v>#NAME?</v>
      </c>
      <c r="D32" s="102"/>
      <c r="E32" s="102" t="e">
        <f t="array" aca="1" ref="E32" ca="1">_xludf.XLOOKUP(A32,'QA Log'!D:D,'QA Log'!G:G,"")</f>
        <v>#NAME?</v>
      </c>
      <c r="F32" s="103"/>
      <c r="G32" s="104"/>
      <c r="H32" s="104"/>
      <c r="I32" s="103" t="str">
        <f t="shared" si="0"/>
        <v/>
      </c>
      <c r="J32" s="102"/>
      <c r="K32" s="102"/>
      <c r="L32" s="119" t="str">
        <f t="array" ref="L32">IF(OR($B32="",$D32=""),"",
IFERROR(
  INDEX(
    'Tools &amp; Targets_Guideline'!$C$54:$I$269,
    MATCH(
      1,
      ('Tools &amp; Targets_Guideline'!$A$54:$A$269=$B32)*
      ('Tools &amp; Targets_Guideline'!$B$54:$B$269="ANC"),
      0
    ),
    MATCH(
      _xludf.IFNA(
        VLOOKUP($D32,{"PH","Provincial Hospital (H2)";"DH","District Hospital (H3)";"RH","Regional / National Hospital (H1)"},2,0),
        $D32
      ),
      'Tools &amp; Targets_Guideline'!$C$53:$I$53,
      0
    )
  ),
0))</f>
        <v/>
      </c>
      <c r="M32" s="105"/>
      <c r="N32" s="119" t="str">
        <f t="array" ref="N32">IF(OR($B32="",$D32=""),"",
IFERROR(
  INDEX(
    'Tools &amp; Targets_Guideline'!$C$54:$I$269,
    MATCH(
      1,
      ('Tools &amp; Targets_Guideline'!$A$54:$A$269=$B32)*
      ('Tools &amp; Targets_Guideline'!$B$54:$B$269="PNC"),
      0
    ),
    MATCH(
      _xludf.IFNA(
        VLOOKUP($D32,{"PH","Provincial Hospital (H2)";"DH","District Hospital (H3)";"RH","Regional / National Hospital (H1)"},2,0),
        $D32
      ),
      'Tools &amp; Targets_Guideline'!$C$53:$I$53,
      0
    )
  ),
0))</f>
        <v/>
      </c>
      <c r="O32" s="105"/>
      <c r="P32" s="119" t="str">
        <f t="array" ref="P32">IF(OR($B32="",$D32=""),"",
IFERROR(
  INDEX(
    'Tools &amp; Targets_Guideline'!$C$54:$I$269,
    MATCH(
      1,
      ('Tools &amp; Targets_Guideline'!$A$54:$A$269=$B32)*
      ('Tools &amp; Targets_Guideline'!$B$54:$B$269="Delivery"),
      0
    ),
    MATCH(
      _xludf.IFNA(
        VLOOKUP($D32,{"PH","Provincial Hospital (H2)";"DH","District Hospital (H3)";"RH","Regional / National Hospital (H1)"},2,0),
        $D32
      ),
      'Tools &amp; Targets_Guideline'!$C$53:$I$53,
      0
    )
  ),
0))</f>
        <v/>
      </c>
      <c r="Q32" s="105"/>
      <c r="R32" s="119" t="str">
        <f t="array" ref="R32">IF(OR($B32="",$D32=""),"",
IFERROR(
  INDEX(
    'Tools &amp; Targets_Guideline'!$C$54:$I$269,
    MATCH(
      1,
      ('Tools &amp; Targets_Guideline'!$A$54:$A$269=$B32)*
      ('Tools &amp; Targets_Guideline'!$B$54:$B$269="TT"),
      0
    ),
    MATCH(
      _xludf.IFNA(
        VLOOKUP($D32,{"PH","Provincial Hospital (H2)";"DH","District Hospital (H3)";"RH","Regional / National Hospital (H1)"},2,0),
        $D32
      ),
      'Tools &amp; Targets_Guideline'!$C$53:$I$53,
      0
    )
  ),
0))</f>
        <v/>
      </c>
      <c r="S32" s="105"/>
      <c r="T32" s="102"/>
      <c r="U32" s="106"/>
      <c r="V32" s="102" t="str">
        <f t="shared" si="1"/>
        <v/>
      </c>
      <c r="W32" s="102"/>
      <c r="X32" s="102"/>
      <c r="Y32" s="119" t="str">
        <f t="array" ref="Y32">IF(OR($B32="",$D32=""),"",
IFERROR(
  INDEX(
    'Tools &amp; Targets_Guideline'!$C$54:$I$269,
    MATCH(
      1,
      ('Tools &amp; Targets_Guideline'!$A$54:$A$269=$B32)*
      ('Tools &amp; Targets_Guideline'!$B$54:$B$269="GM"),
      0
    ),
    MATCH(
      _xludf.IFNA(
        VLOOKUP($D32,{"PH","Provincial Hospital (H2)";"DH","District Hospital (H3)";"RH","Regional / National Hospital (H1)"},2,0),
        $D32
      ),
      'Tools &amp; Targets_Guideline'!$C$53:$I$53,
      0
    )
  ),
0))</f>
        <v/>
      </c>
      <c r="Z32" s="105"/>
      <c r="AA32" s="119" t="str">
        <f t="array" ref="AA32">IF(OR($B32="",$D32=""),"",
IFERROR(
  INDEX(
    'Tools &amp; Targets_Guideline'!$C$54:$I$269,
    MATCH(
      1,
      ('Tools &amp; Targets_Guideline'!$A$54:$A$269=$B32)*
      ('Tools &amp; Targets_Guideline'!$B$54:$B$269="Penta"),
      0
    ),
    MATCH(
      _xludf.IFNA(
        VLOOKUP($D32,{"PH","Provincial Hospital (H2)";"DH","District Hospital (H3)";"RH","Regional / National Hospital (H1)"},2,0),
        $D32
      ),
      'Tools &amp; Targets_Guideline'!$C$53:$I$53,
      0
    )
  ),
0))</f>
        <v/>
      </c>
      <c r="AB32" s="105"/>
      <c r="AC32" s="119" t="str">
        <f t="array" ref="AC32">IF(OR($B32="",$D32=""),"",
IFERROR(
  INDEX(
    'Tools &amp; Targets_Guideline'!$C$54:$I$269,
    MATCH(
      1,
      ('Tools &amp; Targets_Guideline'!$A$54:$A$269=$B32)*
      ('Tools &amp; Targets_Guideline'!$B$54:$B$269="TB"),
      0
    ),
    MATCH(
      _xludf.IFNA(
        VLOOKUP($D32,{"PH","Provincial Hospital (H2)";"DH","District Hospital (H3)";"RH","Regional / National Hospital (H1)"},2,0),
        $D32
      ),
      'Tools &amp; Targets_Guideline'!$C$53:$I$53,
      0
    )
  ),
0))</f>
        <v/>
      </c>
      <c r="AD32" s="105"/>
      <c r="AE32" s="119" t="str">
        <f t="array" ref="AE32">IF(OR($B32="",$D32=""),"",
IFERROR(
  INDEX(
    'Tools &amp; Targets_Guideline'!$C$54:$I$269,
    MATCH(
      1,
      ('Tools &amp; Targets_Guideline'!$A$54:$A$269=$B32)*
      ('Tools &amp; Targets_Guideline'!$B$54:$B$269="U5 Morbidity"),
      0
    ),
    MATCH(
      _xludf.IFNA(
        VLOOKUP($D32,{"PH","Provincial Hospital (H2)";"DH","District Hospital (H3)";"RH","Regional / National Hospital (H1)"},2,0),
        $D32
      ),
      'Tools &amp; Targets_Guideline'!$C$53:$I$53,
      0
    )
  ),
0))</f>
        <v/>
      </c>
      <c r="AF32" s="105"/>
      <c r="AG32" s="119" t="str">
        <f t="array" ref="AG32">IF(OR($B32="",$D32=""),"",
IFERROR(
  INDEX(
    'Tools &amp; Targets_Guideline'!$C$54:$I$269,
    MATCH(
      1,
      ('Tools &amp; Targets_Guideline'!$A$54:$A$269=$B32)*
      ('Tools &amp; Targets_Guideline'!$B$54:$B$269="C-Section"),
      0
    ),
    MATCH(
      _xludf.IFNA(
        VLOOKUP($D32,{"PH","Provincial Hospital (H2)";"DH","District Hospital (H3)";"RH","Regional / National Hospital (H1)"},2,0),
        $D32
      ),
      'Tools &amp; Targets_Guideline'!$C$53:$I$53,
      0
    )
  ),
0))</f>
        <v/>
      </c>
      <c r="AH32" s="105" t="str">
        <f>IF(A32&lt;&gt;"",COUNTIFS('QA Log'!D:D,A32,'QA Log'!M:M,"QQC",'QA Log'!L:L,"2. Hygiene and Sterilization",'QA Log'!Z:Z,"Approved"),"")</f>
        <v/>
      </c>
      <c r="AI32" s="102"/>
      <c r="AJ32" s="102"/>
      <c r="AK32" s="103" t="str">
        <f t="shared" si="2"/>
        <v/>
      </c>
      <c r="AL32" s="102"/>
      <c r="AM32" s="102"/>
      <c r="AN32" s="102"/>
      <c r="AO32" s="106"/>
      <c r="AP32" s="103"/>
      <c r="AQ32" s="102"/>
      <c r="AR32" s="102"/>
      <c r="AS32" s="102"/>
      <c r="AT32" s="107"/>
      <c r="AU32" s="102" t="str">
        <f t="shared" si="3"/>
        <v/>
      </c>
      <c r="AV32" s="102" t="str">
        <f t="shared" si="4"/>
        <v/>
      </c>
      <c r="AW32" s="102" t="str">
        <f t="shared" si="5"/>
        <v/>
      </c>
      <c r="AX32" s="102" t="str">
        <f t="shared" si="6"/>
        <v/>
      </c>
      <c r="AY32" s="107" t="str">
        <f t="shared" si="7"/>
        <v/>
      </c>
      <c r="AZ32" s="108" t="str">
        <f t="shared" si="8"/>
        <v/>
      </c>
      <c r="BA32" s="108" t="str">
        <f t="shared" si="9"/>
        <v/>
      </c>
      <c r="BB32" s="109" t="str">
        <f t="shared" si="10"/>
        <v/>
      </c>
      <c r="BC32" s="108" t="str">
        <f t="shared" si="11"/>
        <v/>
      </c>
      <c r="BD32" s="108" t="str">
        <f t="shared" si="12"/>
        <v/>
      </c>
      <c r="BE32" s="109" t="str">
        <f t="shared" si="13"/>
        <v/>
      </c>
      <c r="BF32" s="110" t="str">
        <f t="shared" si="14"/>
        <v/>
      </c>
      <c r="BG32" s="111"/>
    </row>
    <row r="33" spans="1:59" ht="12.75">
      <c r="A33" s="101"/>
      <c r="B33" s="102"/>
      <c r="C33" s="102" t="e">
        <f t="array" aca="1" ref="C33" ca="1">_xludf.XLOOKUP(A33,'QA Log'!D:D,'QA Log'!F:F,"")</f>
        <v>#NAME?</v>
      </c>
      <c r="D33" s="102"/>
      <c r="E33" s="102" t="e">
        <f t="array" aca="1" ref="E33" ca="1">_xludf.XLOOKUP(A33,'QA Log'!D:D,'QA Log'!G:G,"")</f>
        <v>#NAME?</v>
      </c>
      <c r="F33" s="103"/>
      <c r="G33" s="104"/>
      <c r="H33" s="104"/>
      <c r="I33" s="103" t="str">
        <f t="shared" si="0"/>
        <v/>
      </c>
      <c r="J33" s="102"/>
      <c r="K33" s="102"/>
      <c r="L33" s="119" t="str">
        <f t="array" ref="L33">IF(OR($B33="",$D33=""),"",
IFERROR(
  INDEX(
    'Tools &amp; Targets_Guideline'!$C$54:$I$269,
    MATCH(
      1,
      ('Tools &amp; Targets_Guideline'!$A$54:$A$269=$B33)*
      ('Tools &amp; Targets_Guideline'!$B$54:$B$269="ANC"),
      0
    ),
    MATCH(
      _xludf.IFNA(
        VLOOKUP($D33,{"PH","Provincial Hospital (H2)";"DH","District Hospital (H3)";"RH","Regional / National Hospital (H1)"},2,0),
        $D33
      ),
      'Tools &amp; Targets_Guideline'!$C$53:$I$53,
      0
    )
  ),
0))</f>
        <v/>
      </c>
      <c r="M33" s="105"/>
      <c r="N33" s="119" t="str">
        <f t="array" ref="N33">IF(OR($B33="",$D33=""),"",
IFERROR(
  INDEX(
    'Tools &amp; Targets_Guideline'!$C$54:$I$269,
    MATCH(
      1,
      ('Tools &amp; Targets_Guideline'!$A$54:$A$269=$B33)*
      ('Tools &amp; Targets_Guideline'!$B$54:$B$269="PNC"),
      0
    ),
    MATCH(
      _xludf.IFNA(
        VLOOKUP($D33,{"PH","Provincial Hospital (H2)";"DH","District Hospital (H3)";"RH","Regional / National Hospital (H1)"},2,0),
        $D33
      ),
      'Tools &amp; Targets_Guideline'!$C$53:$I$53,
      0
    )
  ),
0))</f>
        <v/>
      </c>
      <c r="O33" s="105"/>
      <c r="P33" s="119" t="str">
        <f t="array" ref="P33">IF(OR($B33="",$D33=""),"",
IFERROR(
  INDEX(
    'Tools &amp; Targets_Guideline'!$C$54:$I$269,
    MATCH(
      1,
      ('Tools &amp; Targets_Guideline'!$A$54:$A$269=$B33)*
      ('Tools &amp; Targets_Guideline'!$B$54:$B$269="Delivery"),
      0
    ),
    MATCH(
      _xludf.IFNA(
        VLOOKUP($D33,{"PH","Provincial Hospital (H2)";"DH","District Hospital (H3)";"RH","Regional / National Hospital (H1)"},2,0),
        $D33
      ),
      'Tools &amp; Targets_Guideline'!$C$53:$I$53,
      0
    )
  ),
0))</f>
        <v/>
      </c>
      <c r="Q33" s="105"/>
      <c r="R33" s="119" t="str">
        <f t="array" ref="R33">IF(OR($B33="",$D33=""),"",
IFERROR(
  INDEX(
    'Tools &amp; Targets_Guideline'!$C$54:$I$269,
    MATCH(
      1,
      ('Tools &amp; Targets_Guideline'!$A$54:$A$269=$B33)*
      ('Tools &amp; Targets_Guideline'!$B$54:$B$269="TT"),
      0
    ),
    MATCH(
      _xludf.IFNA(
        VLOOKUP($D33,{"PH","Provincial Hospital (H2)";"DH","District Hospital (H3)";"RH","Regional / National Hospital (H1)"},2,0),
        $D33
      ),
      'Tools &amp; Targets_Guideline'!$C$53:$I$53,
      0
    )
  ),
0))</f>
        <v/>
      </c>
      <c r="S33" s="105"/>
      <c r="T33" s="102"/>
      <c r="U33" s="106"/>
      <c r="V33" s="102" t="str">
        <f t="shared" si="1"/>
        <v/>
      </c>
      <c r="W33" s="102"/>
      <c r="X33" s="102"/>
      <c r="Y33" s="119" t="str">
        <f t="array" ref="Y33">IF(OR($B33="",$D33=""),"",
IFERROR(
  INDEX(
    'Tools &amp; Targets_Guideline'!$C$54:$I$269,
    MATCH(
      1,
      ('Tools &amp; Targets_Guideline'!$A$54:$A$269=$B33)*
      ('Tools &amp; Targets_Guideline'!$B$54:$B$269="GM"),
      0
    ),
    MATCH(
      _xludf.IFNA(
        VLOOKUP($D33,{"PH","Provincial Hospital (H2)";"DH","District Hospital (H3)";"RH","Regional / National Hospital (H1)"},2,0),
        $D33
      ),
      'Tools &amp; Targets_Guideline'!$C$53:$I$53,
      0
    )
  ),
0))</f>
        <v/>
      </c>
      <c r="Z33" s="105"/>
      <c r="AA33" s="119" t="str">
        <f t="array" ref="AA33">IF(OR($B33="",$D33=""),"",
IFERROR(
  INDEX(
    'Tools &amp; Targets_Guideline'!$C$54:$I$269,
    MATCH(
      1,
      ('Tools &amp; Targets_Guideline'!$A$54:$A$269=$B33)*
      ('Tools &amp; Targets_Guideline'!$B$54:$B$269="Penta"),
      0
    ),
    MATCH(
      _xludf.IFNA(
        VLOOKUP($D33,{"PH","Provincial Hospital (H2)";"DH","District Hospital (H3)";"RH","Regional / National Hospital (H1)"},2,0),
        $D33
      ),
      'Tools &amp; Targets_Guideline'!$C$53:$I$53,
      0
    )
  ),
0))</f>
        <v/>
      </c>
      <c r="AB33" s="105"/>
      <c r="AC33" s="119" t="str">
        <f t="array" ref="AC33">IF(OR($B33="",$D33=""),"",
IFERROR(
  INDEX(
    'Tools &amp; Targets_Guideline'!$C$54:$I$269,
    MATCH(
      1,
      ('Tools &amp; Targets_Guideline'!$A$54:$A$269=$B33)*
      ('Tools &amp; Targets_Guideline'!$B$54:$B$269="TB"),
      0
    ),
    MATCH(
      _xludf.IFNA(
        VLOOKUP($D33,{"PH","Provincial Hospital (H2)";"DH","District Hospital (H3)";"RH","Regional / National Hospital (H1)"},2,0),
        $D33
      ),
      'Tools &amp; Targets_Guideline'!$C$53:$I$53,
      0
    )
  ),
0))</f>
        <v/>
      </c>
      <c r="AD33" s="105"/>
      <c r="AE33" s="119" t="str">
        <f t="array" ref="AE33">IF(OR($B33="",$D33=""),"",
IFERROR(
  INDEX(
    'Tools &amp; Targets_Guideline'!$C$54:$I$269,
    MATCH(
      1,
      ('Tools &amp; Targets_Guideline'!$A$54:$A$269=$B33)*
      ('Tools &amp; Targets_Guideline'!$B$54:$B$269="U5 Morbidity"),
      0
    ),
    MATCH(
      _xludf.IFNA(
        VLOOKUP($D33,{"PH","Provincial Hospital (H2)";"DH","District Hospital (H3)";"RH","Regional / National Hospital (H1)"},2,0),
        $D33
      ),
      'Tools &amp; Targets_Guideline'!$C$53:$I$53,
      0
    )
  ),
0))</f>
        <v/>
      </c>
      <c r="AF33" s="105"/>
      <c r="AG33" s="119" t="str">
        <f t="array" ref="AG33">IF(OR($B33="",$D33=""),"",
IFERROR(
  INDEX(
    'Tools &amp; Targets_Guideline'!$C$54:$I$269,
    MATCH(
      1,
      ('Tools &amp; Targets_Guideline'!$A$54:$A$269=$B33)*
      ('Tools &amp; Targets_Guideline'!$B$54:$B$269="C-Section"),
      0
    ),
    MATCH(
      _xludf.IFNA(
        VLOOKUP($D33,{"PH","Provincial Hospital (H2)";"DH","District Hospital (H3)";"RH","Regional / National Hospital (H1)"},2,0),
        $D33
      ),
      'Tools &amp; Targets_Guideline'!$C$53:$I$53,
      0
    )
  ),
0))</f>
        <v/>
      </c>
      <c r="AH33" s="105" t="str">
        <f>IF(A33&lt;&gt;"",COUNTIFS('QA Log'!D:D,A33,'QA Log'!M:M,"QQC",'QA Log'!L:L,"2. Hygiene and Sterilization",'QA Log'!Z:Z,"Approved"),"")</f>
        <v/>
      </c>
      <c r="AI33" s="102"/>
      <c r="AJ33" s="102"/>
      <c r="AK33" s="103" t="str">
        <f t="shared" si="2"/>
        <v/>
      </c>
      <c r="AL33" s="102"/>
      <c r="AM33" s="102"/>
      <c r="AN33" s="102"/>
      <c r="AO33" s="106"/>
      <c r="AP33" s="103"/>
      <c r="AQ33" s="102"/>
      <c r="AR33" s="102"/>
      <c r="AS33" s="102"/>
      <c r="AT33" s="107"/>
      <c r="AU33" s="102" t="str">
        <f t="shared" si="3"/>
        <v/>
      </c>
      <c r="AV33" s="102" t="str">
        <f t="shared" si="4"/>
        <v/>
      </c>
      <c r="AW33" s="102" t="str">
        <f t="shared" si="5"/>
        <v/>
      </c>
      <c r="AX33" s="102" t="str">
        <f t="shared" si="6"/>
        <v/>
      </c>
      <c r="AY33" s="107" t="str">
        <f t="shared" si="7"/>
        <v/>
      </c>
      <c r="AZ33" s="108" t="str">
        <f t="shared" si="8"/>
        <v/>
      </c>
      <c r="BA33" s="108" t="str">
        <f t="shared" si="9"/>
        <v/>
      </c>
      <c r="BB33" s="109" t="str">
        <f t="shared" si="10"/>
        <v/>
      </c>
      <c r="BC33" s="108" t="str">
        <f t="shared" si="11"/>
        <v/>
      </c>
      <c r="BD33" s="108" t="str">
        <f t="shared" si="12"/>
        <v/>
      </c>
      <c r="BE33" s="109" t="str">
        <f t="shared" si="13"/>
        <v/>
      </c>
      <c r="BF33" s="110" t="str">
        <f t="shared" si="14"/>
        <v/>
      </c>
      <c r="BG33" s="111"/>
    </row>
    <row r="34" spans="1:59" ht="12.75">
      <c r="A34" s="101"/>
      <c r="B34" s="102"/>
      <c r="C34" s="102" t="e">
        <f t="array" aca="1" ref="C34" ca="1">_xludf.XLOOKUP(A34,'QA Log'!D:D,'QA Log'!F:F,"")</f>
        <v>#NAME?</v>
      </c>
      <c r="D34" s="102"/>
      <c r="E34" s="102" t="e">
        <f t="array" aca="1" ref="E34" ca="1">_xludf.XLOOKUP(A34,'QA Log'!D:D,'QA Log'!G:G,"")</f>
        <v>#NAME?</v>
      </c>
      <c r="F34" s="103"/>
      <c r="G34" s="104"/>
      <c r="H34" s="104"/>
      <c r="I34" s="103" t="str">
        <f t="shared" si="0"/>
        <v/>
      </c>
      <c r="J34" s="102"/>
      <c r="K34" s="102"/>
      <c r="L34" s="119" t="str">
        <f t="array" ref="L34">IF(OR($B34="",$D34=""),"",
IFERROR(
  INDEX(
    'Tools &amp; Targets_Guideline'!$C$54:$I$269,
    MATCH(
      1,
      ('Tools &amp; Targets_Guideline'!$A$54:$A$269=$B34)*
      ('Tools &amp; Targets_Guideline'!$B$54:$B$269="ANC"),
      0
    ),
    MATCH(
      _xludf.IFNA(
        VLOOKUP($D34,{"PH","Provincial Hospital (H2)";"DH","District Hospital (H3)";"RH","Regional / National Hospital (H1)"},2,0),
        $D34
      ),
      'Tools &amp; Targets_Guideline'!$C$53:$I$53,
      0
    )
  ),
0))</f>
        <v/>
      </c>
      <c r="M34" s="105"/>
      <c r="N34" s="119" t="str">
        <f t="array" ref="N34">IF(OR($B34="",$D34=""),"",
IFERROR(
  INDEX(
    'Tools &amp; Targets_Guideline'!$C$54:$I$269,
    MATCH(
      1,
      ('Tools &amp; Targets_Guideline'!$A$54:$A$269=$B34)*
      ('Tools &amp; Targets_Guideline'!$B$54:$B$269="PNC"),
      0
    ),
    MATCH(
      _xludf.IFNA(
        VLOOKUP($D34,{"PH","Provincial Hospital (H2)";"DH","District Hospital (H3)";"RH","Regional / National Hospital (H1)"},2,0),
        $D34
      ),
      'Tools &amp; Targets_Guideline'!$C$53:$I$53,
      0
    )
  ),
0))</f>
        <v/>
      </c>
      <c r="O34" s="105"/>
      <c r="P34" s="119" t="str">
        <f t="array" ref="P34">IF(OR($B34="",$D34=""),"",
IFERROR(
  INDEX(
    'Tools &amp; Targets_Guideline'!$C$54:$I$269,
    MATCH(
      1,
      ('Tools &amp; Targets_Guideline'!$A$54:$A$269=$B34)*
      ('Tools &amp; Targets_Guideline'!$B$54:$B$269="Delivery"),
      0
    ),
    MATCH(
      _xludf.IFNA(
        VLOOKUP($D34,{"PH","Provincial Hospital (H2)";"DH","District Hospital (H3)";"RH","Regional / National Hospital (H1)"},2,0),
        $D34
      ),
      'Tools &amp; Targets_Guideline'!$C$53:$I$53,
      0
    )
  ),
0))</f>
        <v/>
      </c>
      <c r="Q34" s="105"/>
      <c r="R34" s="119" t="str">
        <f t="array" ref="R34">IF(OR($B34="",$D34=""),"",
IFERROR(
  INDEX(
    'Tools &amp; Targets_Guideline'!$C$54:$I$269,
    MATCH(
      1,
      ('Tools &amp; Targets_Guideline'!$A$54:$A$269=$B34)*
      ('Tools &amp; Targets_Guideline'!$B$54:$B$269="TT"),
      0
    ),
    MATCH(
      _xludf.IFNA(
        VLOOKUP($D34,{"PH","Provincial Hospital (H2)";"DH","District Hospital (H3)";"RH","Regional / National Hospital (H1)"},2,0),
        $D34
      ),
      'Tools &amp; Targets_Guideline'!$C$53:$I$53,
      0
    )
  ),
0))</f>
        <v/>
      </c>
      <c r="S34" s="105"/>
      <c r="T34" s="102"/>
      <c r="U34" s="106"/>
      <c r="V34" s="102" t="str">
        <f t="shared" si="1"/>
        <v/>
      </c>
      <c r="W34" s="102"/>
      <c r="X34" s="102"/>
      <c r="Y34" s="119" t="str">
        <f t="array" ref="Y34">IF(OR($B34="",$D34=""),"",
IFERROR(
  INDEX(
    'Tools &amp; Targets_Guideline'!$C$54:$I$269,
    MATCH(
      1,
      ('Tools &amp; Targets_Guideline'!$A$54:$A$269=$B34)*
      ('Tools &amp; Targets_Guideline'!$B$54:$B$269="GM"),
      0
    ),
    MATCH(
      _xludf.IFNA(
        VLOOKUP($D34,{"PH","Provincial Hospital (H2)";"DH","District Hospital (H3)";"RH","Regional / National Hospital (H1)"},2,0),
        $D34
      ),
      'Tools &amp; Targets_Guideline'!$C$53:$I$53,
      0
    )
  ),
0))</f>
        <v/>
      </c>
      <c r="Z34" s="105"/>
      <c r="AA34" s="119" t="str">
        <f t="array" ref="AA34">IF(OR($B34="",$D34=""),"",
IFERROR(
  INDEX(
    'Tools &amp; Targets_Guideline'!$C$54:$I$269,
    MATCH(
      1,
      ('Tools &amp; Targets_Guideline'!$A$54:$A$269=$B34)*
      ('Tools &amp; Targets_Guideline'!$B$54:$B$269="Penta"),
      0
    ),
    MATCH(
      _xludf.IFNA(
        VLOOKUP($D34,{"PH","Provincial Hospital (H2)";"DH","District Hospital (H3)";"RH","Regional / National Hospital (H1)"},2,0),
        $D34
      ),
      'Tools &amp; Targets_Guideline'!$C$53:$I$53,
      0
    )
  ),
0))</f>
        <v/>
      </c>
      <c r="AB34" s="105"/>
      <c r="AC34" s="119" t="str">
        <f t="array" ref="AC34">IF(OR($B34="",$D34=""),"",
IFERROR(
  INDEX(
    'Tools &amp; Targets_Guideline'!$C$54:$I$269,
    MATCH(
      1,
      ('Tools &amp; Targets_Guideline'!$A$54:$A$269=$B34)*
      ('Tools &amp; Targets_Guideline'!$B$54:$B$269="TB"),
      0
    ),
    MATCH(
      _xludf.IFNA(
        VLOOKUP($D34,{"PH","Provincial Hospital (H2)";"DH","District Hospital (H3)";"RH","Regional / National Hospital (H1)"},2,0),
        $D34
      ),
      'Tools &amp; Targets_Guideline'!$C$53:$I$53,
      0
    )
  ),
0))</f>
        <v/>
      </c>
      <c r="AD34" s="105"/>
      <c r="AE34" s="119" t="str">
        <f t="array" ref="AE34">IF(OR($B34="",$D34=""),"",
IFERROR(
  INDEX(
    'Tools &amp; Targets_Guideline'!$C$54:$I$269,
    MATCH(
      1,
      ('Tools &amp; Targets_Guideline'!$A$54:$A$269=$B34)*
      ('Tools &amp; Targets_Guideline'!$B$54:$B$269="U5 Morbidity"),
      0
    ),
    MATCH(
      _xludf.IFNA(
        VLOOKUP($D34,{"PH","Provincial Hospital (H2)";"DH","District Hospital (H3)";"RH","Regional / National Hospital (H1)"},2,0),
        $D34
      ),
      'Tools &amp; Targets_Guideline'!$C$53:$I$53,
      0
    )
  ),
0))</f>
        <v/>
      </c>
      <c r="AF34" s="105"/>
      <c r="AG34" s="119" t="str">
        <f t="array" ref="AG34">IF(OR($B34="",$D34=""),"",
IFERROR(
  INDEX(
    'Tools &amp; Targets_Guideline'!$C$54:$I$269,
    MATCH(
      1,
      ('Tools &amp; Targets_Guideline'!$A$54:$A$269=$B34)*
      ('Tools &amp; Targets_Guideline'!$B$54:$B$269="C-Section"),
      0
    ),
    MATCH(
      _xludf.IFNA(
        VLOOKUP($D34,{"PH","Provincial Hospital (H2)";"DH","District Hospital (H3)";"RH","Regional / National Hospital (H1)"},2,0),
        $D34
      ),
      'Tools &amp; Targets_Guideline'!$C$53:$I$53,
      0
    )
  ),
0))</f>
        <v/>
      </c>
      <c r="AH34" s="105" t="str">
        <f>IF(A34&lt;&gt;"",COUNTIFS('QA Log'!D:D,A34,'QA Log'!M:M,"QQC",'QA Log'!L:L,"2. Hygiene and Sterilization",'QA Log'!Z:Z,"Approved"),"")</f>
        <v/>
      </c>
      <c r="AI34" s="102"/>
      <c r="AJ34" s="102"/>
      <c r="AK34" s="103" t="str">
        <f t="shared" si="2"/>
        <v/>
      </c>
      <c r="AL34" s="102"/>
      <c r="AM34" s="102"/>
      <c r="AN34" s="102"/>
      <c r="AO34" s="106"/>
      <c r="AP34" s="103"/>
      <c r="AQ34" s="102"/>
      <c r="AR34" s="102"/>
      <c r="AS34" s="102"/>
      <c r="AT34" s="107"/>
      <c r="AU34" s="102" t="str">
        <f t="shared" si="3"/>
        <v/>
      </c>
      <c r="AV34" s="102" t="str">
        <f t="shared" si="4"/>
        <v/>
      </c>
      <c r="AW34" s="102" t="str">
        <f t="shared" si="5"/>
        <v/>
      </c>
      <c r="AX34" s="102" t="str">
        <f t="shared" si="6"/>
        <v/>
      </c>
      <c r="AY34" s="107" t="str">
        <f t="shared" si="7"/>
        <v/>
      </c>
      <c r="AZ34" s="108" t="str">
        <f t="shared" si="8"/>
        <v/>
      </c>
      <c r="BA34" s="108" t="str">
        <f t="shared" si="9"/>
        <v/>
      </c>
      <c r="BB34" s="109" t="str">
        <f t="shared" si="10"/>
        <v/>
      </c>
      <c r="BC34" s="108" t="str">
        <f t="shared" si="11"/>
        <v/>
      </c>
      <c r="BD34" s="108" t="str">
        <f t="shared" si="12"/>
        <v/>
      </c>
      <c r="BE34" s="109" t="str">
        <f t="shared" si="13"/>
        <v/>
      </c>
      <c r="BF34" s="110" t="str">
        <f t="shared" si="14"/>
        <v/>
      </c>
      <c r="BG34" s="111"/>
    </row>
    <row r="35" spans="1:59" ht="12.75">
      <c r="A35" s="101"/>
      <c r="B35" s="102"/>
      <c r="C35" s="102" t="e">
        <f t="array" aca="1" ref="C35" ca="1">_xludf.XLOOKUP(A35,'QA Log'!D:D,'QA Log'!F:F,"")</f>
        <v>#NAME?</v>
      </c>
      <c r="D35" s="102"/>
      <c r="E35" s="102" t="e">
        <f t="array" aca="1" ref="E35" ca="1">_xludf.XLOOKUP(A35,'QA Log'!D:D,'QA Log'!G:G,"")</f>
        <v>#NAME?</v>
      </c>
      <c r="F35" s="103"/>
      <c r="G35" s="104"/>
      <c r="H35" s="104"/>
      <c r="I35" s="103" t="str">
        <f t="shared" si="0"/>
        <v/>
      </c>
      <c r="J35" s="102"/>
      <c r="K35" s="102"/>
      <c r="L35" s="119" t="str">
        <f t="array" ref="L35">IF(OR($B35="",$D35=""),"",
IFERROR(
  INDEX(
    'Tools &amp; Targets_Guideline'!$C$54:$I$269,
    MATCH(
      1,
      ('Tools &amp; Targets_Guideline'!$A$54:$A$269=$B35)*
      ('Tools &amp; Targets_Guideline'!$B$54:$B$269="ANC"),
      0
    ),
    MATCH(
      _xludf.IFNA(
        VLOOKUP($D35,{"PH","Provincial Hospital (H2)";"DH","District Hospital (H3)";"RH","Regional / National Hospital (H1)"},2,0),
        $D35
      ),
      'Tools &amp; Targets_Guideline'!$C$53:$I$53,
      0
    )
  ),
0))</f>
        <v/>
      </c>
      <c r="M35" s="105"/>
      <c r="N35" s="119" t="str">
        <f t="array" ref="N35">IF(OR($B35="",$D35=""),"",
IFERROR(
  INDEX(
    'Tools &amp; Targets_Guideline'!$C$54:$I$269,
    MATCH(
      1,
      ('Tools &amp; Targets_Guideline'!$A$54:$A$269=$B35)*
      ('Tools &amp; Targets_Guideline'!$B$54:$B$269="PNC"),
      0
    ),
    MATCH(
      _xludf.IFNA(
        VLOOKUP($D35,{"PH","Provincial Hospital (H2)";"DH","District Hospital (H3)";"RH","Regional / National Hospital (H1)"},2,0),
        $D35
      ),
      'Tools &amp; Targets_Guideline'!$C$53:$I$53,
      0
    )
  ),
0))</f>
        <v/>
      </c>
      <c r="O35" s="105"/>
      <c r="P35" s="119" t="str">
        <f t="array" ref="P35">IF(OR($B35="",$D35=""),"",
IFERROR(
  INDEX(
    'Tools &amp; Targets_Guideline'!$C$54:$I$269,
    MATCH(
      1,
      ('Tools &amp; Targets_Guideline'!$A$54:$A$269=$B35)*
      ('Tools &amp; Targets_Guideline'!$B$54:$B$269="Delivery"),
      0
    ),
    MATCH(
      _xludf.IFNA(
        VLOOKUP($D35,{"PH","Provincial Hospital (H2)";"DH","District Hospital (H3)";"RH","Regional / National Hospital (H1)"},2,0),
        $D35
      ),
      'Tools &amp; Targets_Guideline'!$C$53:$I$53,
      0
    )
  ),
0))</f>
        <v/>
      </c>
      <c r="Q35" s="105"/>
      <c r="R35" s="119" t="str">
        <f t="array" ref="R35">IF(OR($B35="",$D35=""),"",
IFERROR(
  INDEX(
    'Tools &amp; Targets_Guideline'!$C$54:$I$269,
    MATCH(
      1,
      ('Tools &amp; Targets_Guideline'!$A$54:$A$269=$B35)*
      ('Tools &amp; Targets_Guideline'!$B$54:$B$269="TT"),
      0
    ),
    MATCH(
      _xludf.IFNA(
        VLOOKUP($D35,{"PH","Provincial Hospital (H2)";"DH","District Hospital (H3)";"RH","Regional / National Hospital (H1)"},2,0),
        $D35
      ),
      'Tools &amp; Targets_Guideline'!$C$53:$I$53,
      0
    )
  ),
0))</f>
        <v/>
      </c>
      <c r="S35" s="105"/>
      <c r="T35" s="102"/>
      <c r="U35" s="106"/>
      <c r="V35" s="102" t="str">
        <f t="shared" si="1"/>
        <v/>
      </c>
      <c r="W35" s="102"/>
      <c r="X35" s="102"/>
      <c r="Y35" s="119" t="str">
        <f t="array" ref="Y35">IF(OR($B35="",$D35=""),"",
IFERROR(
  INDEX(
    'Tools &amp; Targets_Guideline'!$C$54:$I$269,
    MATCH(
      1,
      ('Tools &amp; Targets_Guideline'!$A$54:$A$269=$B35)*
      ('Tools &amp; Targets_Guideline'!$B$54:$B$269="GM"),
      0
    ),
    MATCH(
      _xludf.IFNA(
        VLOOKUP($D35,{"PH","Provincial Hospital (H2)";"DH","District Hospital (H3)";"RH","Regional / National Hospital (H1)"},2,0),
        $D35
      ),
      'Tools &amp; Targets_Guideline'!$C$53:$I$53,
      0
    )
  ),
0))</f>
        <v/>
      </c>
      <c r="Z35" s="105"/>
      <c r="AA35" s="119" t="str">
        <f t="array" ref="AA35">IF(OR($B35="",$D35=""),"",
IFERROR(
  INDEX(
    'Tools &amp; Targets_Guideline'!$C$54:$I$269,
    MATCH(
      1,
      ('Tools &amp; Targets_Guideline'!$A$54:$A$269=$B35)*
      ('Tools &amp; Targets_Guideline'!$B$54:$B$269="Penta"),
      0
    ),
    MATCH(
      _xludf.IFNA(
        VLOOKUP($D35,{"PH","Provincial Hospital (H2)";"DH","District Hospital (H3)";"RH","Regional / National Hospital (H1)"},2,0),
        $D35
      ),
      'Tools &amp; Targets_Guideline'!$C$53:$I$53,
      0
    )
  ),
0))</f>
        <v/>
      </c>
      <c r="AB35" s="105"/>
      <c r="AC35" s="119" t="str">
        <f t="array" ref="AC35">IF(OR($B35="",$D35=""),"",
IFERROR(
  INDEX(
    'Tools &amp; Targets_Guideline'!$C$54:$I$269,
    MATCH(
      1,
      ('Tools &amp; Targets_Guideline'!$A$54:$A$269=$B35)*
      ('Tools &amp; Targets_Guideline'!$B$54:$B$269="TB"),
      0
    ),
    MATCH(
      _xludf.IFNA(
        VLOOKUP($D35,{"PH","Provincial Hospital (H2)";"DH","District Hospital (H3)";"RH","Regional / National Hospital (H1)"},2,0),
        $D35
      ),
      'Tools &amp; Targets_Guideline'!$C$53:$I$53,
      0
    )
  ),
0))</f>
        <v/>
      </c>
      <c r="AD35" s="105"/>
      <c r="AE35" s="119" t="str">
        <f t="array" ref="AE35">IF(OR($B35="",$D35=""),"",
IFERROR(
  INDEX(
    'Tools &amp; Targets_Guideline'!$C$54:$I$269,
    MATCH(
      1,
      ('Tools &amp; Targets_Guideline'!$A$54:$A$269=$B35)*
      ('Tools &amp; Targets_Guideline'!$B$54:$B$269="U5 Morbidity"),
      0
    ),
    MATCH(
      _xludf.IFNA(
        VLOOKUP($D35,{"PH","Provincial Hospital (H2)";"DH","District Hospital (H3)";"RH","Regional / National Hospital (H1)"},2,0),
        $D35
      ),
      'Tools &amp; Targets_Guideline'!$C$53:$I$53,
      0
    )
  ),
0))</f>
        <v/>
      </c>
      <c r="AF35" s="105"/>
      <c r="AG35" s="119" t="str">
        <f t="array" ref="AG35">IF(OR($B35="",$D35=""),"",
IFERROR(
  INDEX(
    'Tools &amp; Targets_Guideline'!$C$54:$I$269,
    MATCH(
      1,
      ('Tools &amp; Targets_Guideline'!$A$54:$A$269=$B35)*
      ('Tools &amp; Targets_Guideline'!$B$54:$B$269="C-Section"),
      0
    ),
    MATCH(
      _xludf.IFNA(
        VLOOKUP($D35,{"PH","Provincial Hospital (H2)";"DH","District Hospital (H3)";"RH","Regional / National Hospital (H1)"},2,0),
        $D35
      ),
      'Tools &amp; Targets_Guideline'!$C$53:$I$53,
      0
    )
  ),
0))</f>
        <v/>
      </c>
      <c r="AH35" s="105" t="str">
        <f>IF(A35&lt;&gt;"",COUNTIFS('QA Log'!D:D,A35,'QA Log'!M:M,"QQC",'QA Log'!L:L,"2. Hygiene and Sterilization",'QA Log'!Z:Z,"Approved"),"")</f>
        <v/>
      </c>
      <c r="AI35" s="102"/>
      <c r="AJ35" s="102"/>
      <c r="AK35" s="103" t="str">
        <f t="shared" si="2"/>
        <v/>
      </c>
      <c r="AL35" s="102"/>
      <c r="AM35" s="102"/>
      <c r="AN35" s="102"/>
      <c r="AO35" s="106"/>
      <c r="AP35" s="103"/>
      <c r="AQ35" s="102"/>
      <c r="AR35" s="102"/>
      <c r="AS35" s="102"/>
      <c r="AT35" s="107"/>
      <c r="AU35" s="102" t="str">
        <f t="shared" si="3"/>
        <v/>
      </c>
      <c r="AV35" s="102" t="str">
        <f t="shared" si="4"/>
        <v/>
      </c>
      <c r="AW35" s="102" t="str">
        <f t="shared" si="5"/>
        <v/>
      </c>
      <c r="AX35" s="102" t="str">
        <f t="shared" si="6"/>
        <v/>
      </c>
      <c r="AY35" s="107" t="str">
        <f t="shared" si="7"/>
        <v/>
      </c>
      <c r="AZ35" s="108" t="str">
        <f t="shared" si="8"/>
        <v/>
      </c>
      <c r="BA35" s="108" t="str">
        <f t="shared" si="9"/>
        <v/>
      </c>
      <c r="BB35" s="109" t="str">
        <f t="shared" si="10"/>
        <v/>
      </c>
      <c r="BC35" s="108" t="str">
        <f t="shared" si="11"/>
        <v/>
      </c>
      <c r="BD35" s="108" t="str">
        <f t="shared" si="12"/>
        <v/>
      </c>
      <c r="BE35" s="109" t="str">
        <f t="shared" si="13"/>
        <v/>
      </c>
      <c r="BF35" s="110" t="str">
        <f t="shared" si="14"/>
        <v/>
      </c>
      <c r="BG35" s="111"/>
    </row>
    <row r="36" spans="1:59" ht="12.75">
      <c r="A36" s="101"/>
      <c r="B36" s="102"/>
      <c r="C36" s="102" t="e">
        <f t="array" aca="1" ref="C36" ca="1">_xludf.XLOOKUP(A36,'QA Log'!D:D,'QA Log'!F:F,"")</f>
        <v>#NAME?</v>
      </c>
      <c r="D36" s="102"/>
      <c r="E36" s="102" t="e">
        <f t="array" aca="1" ref="E36" ca="1">_xludf.XLOOKUP(A36,'QA Log'!D:D,'QA Log'!G:G,"")</f>
        <v>#NAME?</v>
      </c>
      <c r="F36" s="103"/>
      <c r="G36" s="104"/>
      <c r="H36" s="104"/>
      <c r="I36" s="103" t="str">
        <f t="shared" si="0"/>
        <v/>
      </c>
      <c r="J36" s="102"/>
      <c r="K36" s="102"/>
      <c r="L36" s="119" t="str">
        <f t="array" ref="L36">IF(OR($B36="",$D36=""),"",
IFERROR(
  INDEX(
    'Tools &amp; Targets_Guideline'!$C$54:$I$269,
    MATCH(
      1,
      ('Tools &amp; Targets_Guideline'!$A$54:$A$269=$B36)*
      ('Tools &amp; Targets_Guideline'!$B$54:$B$269="ANC"),
      0
    ),
    MATCH(
      _xludf.IFNA(
        VLOOKUP($D36,{"PH","Provincial Hospital (H2)";"DH","District Hospital (H3)";"RH","Regional / National Hospital (H1)"},2,0),
        $D36
      ),
      'Tools &amp; Targets_Guideline'!$C$53:$I$53,
      0
    )
  ),
0))</f>
        <v/>
      </c>
      <c r="M36" s="105"/>
      <c r="N36" s="119" t="str">
        <f t="array" ref="N36">IF(OR($B36="",$D36=""),"",
IFERROR(
  INDEX(
    'Tools &amp; Targets_Guideline'!$C$54:$I$269,
    MATCH(
      1,
      ('Tools &amp; Targets_Guideline'!$A$54:$A$269=$B36)*
      ('Tools &amp; Targets_Guideline'!$B$54:$B$269="PNC"),
      0
    ),
    MATCH(
      _xludf.IFNA(
        VLOOKUP($D36,{"PH","Provincial Hospital (H2)";"DH","District Hospital (H3)";"RH","Regional / National Hospital (H1)"},2,0),
        $D36
      ),
      'Tools &amp; Targets_Guideline'!$C$53:$I$53,
      0
    )
  ),
0))</f>
        <v/>
      </c>
      <c r="O36" s="105"/>
      <c r="P36" s="119" t="str">
        <f t="array" ref="P36">IF(OR($B36="",$D36=""),"",
IFERROR(
  INDEX(
    'Tools &amp; Targets_Guideline'!$C$54:$I$269,
    MATCH(
      1,
      ('Tools &amp; Targets_Guideline'!$A$54:$A$269=$B36)*
      ('Tools &amp; Targets_Guideline'!$B$54:$B$269="Delivery"),
      0
    ),
    MATCH(
      _xludf.IFNA(
        VLOOKUP($D36,{"PH","Provincial Hospital (H2)";"DH","District Hospital (H3)";"RH","Regional / National Hospital (H1)"},2,0),
        $D36
      ),
      'Tools &amp; Targets_Guideline'!$C$53:$I$53,
      0
    )
  ),
0))</f>
        <v/>
      </c>
      <c r="Q36" s="105"/>
      <c r="R36" s="119" t="str">
        <f t="array" ref="R36">IF(OR($B36="",$D36=""),"",
IFERROR(
  INDEX(
    'Tools &amp; Targets_Guideline'!$C$54:$I$269,
    MATCH(
      1,
      ('Tools &amp; Targets_Guideline'!$A$54:$A$269=$B36)*
      ('Tools &amp; Targets_Guideline'!$B$54:$B$269="TT"),
      0
    ),
    MATCH(
      _xludf.IFNA(
        VLOOKUP($D36,{"PH","Provincial Hospital (H2)";"DH","District Hospital (H3)";"RH","Regional / National Hospital (H1)"},2,0),
        $D36
      ),
      'Tools &amp; Targets_Guideline'!$C$53:$I$53,
      0
    )
  ),
0))</f>
        <v/>
      </c>
      <c r="S36" s="105"/>
      <c r="T36" s="102"/>
      <c r="U36" s="106"/>
      <c r="V36" s="102" t="str">
        <f t="shared" si="1"/>
        <v/>
      </c>
      <c r="W36" s="102"/>
      <c r="X36" s="102"/>
      <c r="Y36" s="119" t="str">
        <f t="array" ref="Y36">IF(OR($B36="",$D36=""),"",
IFERROR(
  INDEX(
    'Tools &amp; Targets_Guideline'!$C$54:$I$269,
    MATCH(
      1,
      ('Tools &amp; Targets_Guideline'!$A$54:$A$269=$B36)*
      ('Tools &amp; Targets_Guideline'!$B$54:$B$269="GM"),
      0
    ),
    MATCH(
      _xludf.IFNA(
        VLOOKUP($D36,{"PH","Provincial Hospital (H2)";"DH","District Hospital (H3)";"RH","Regional / National Hospital (H1)"},2,0),
        $D36
      ),
      'Tools &amp; Targets_Guideline'!$C$53:$I$53,
      0
    )
  ),
0))</f>
        <v/>
      </c>
      <c r="Z36" s="105"/>
      <c r="AA36" s="119" t="str">
        <f t="array" ref="AA36">IF(OR($B36="",$D36=""),"",
IFERROR(
  INDEX(
    'Tools &amp; Targets_Guideline'!$C$54:$I$269,
    MATCH(
      1,
      ('Tools &amp; Targets_Guideline'!$A$54:$A$269=$B36)*
      ('Tools &amp; Targets_Guideline'!$B$54:$B$269="Penta"),
      0
    ),
    MATCH(
      _xludf.IFNA(
        VLOOKUP($D36,{"PH","Provincial Hospital (H2)";"DH","District Hospital (H3)";"RH","Regional / National Hospital (H1)"},2,0),
        $D36
      ),
      'Tools &amp; Targets_Guideline'!$C$53:$I$53,
      0
    )
  ),
0))</f>
        <v/>
      </c>
      <c r="AB36" s="105"/>
      <c r="AC36" s="119" t="str">
        <f t="array" ref="AC36">IF(OR($B36="",$D36=""),"",
IFERROR(
  INDEX(
    'Tools &amp; Targets_Guideline'!$C$54:$I$269,
    MATCH(
      1,
      ('Tools &amp; Targets_Guideline'!$A$54:$A$269=$B36)*
      ('Tools &amp; Targets_Guideline'!$B$54:$B$269="TB"),
      0
    ),
    MATCH(
      _xludf.IFNA(
        VLOOKUP($D36,{"PH","Provincial Hospital (H2)";"DH","District Hospital (H3)";"RH","Regional / National Hospital (H1)"},2,0),
        $D36
      ),
      'Tools &amp; Targets_Guideline'!$C$53:$I$53,
      0
    )
  ),
0))</f>
        <v/>
      </c>
      <c r="AD36" s="105"/>
      <c r="AE36" s="119" t="str">
        <f t="array" ref="AE36">IF(OR($B36="",$D36=""),"",
IFERROR(
  INDEX(
    'Tools &amp; Targets_Guideline'!$C$54:$I$269,
    MATCH(
      1,
      ('Tools &amp; Targets_Guideline'!$A$54:$A$269=$B36)*
      ('Tools &amp; Targets_Guideline'!$B$54:$B$269="U5 Morbidity"),
      0
    ),
    MATCH(
      _xludf.IFNA(
        VLOOKUP($D36,{"PH","Provincial Hospital (H2)";"DH","District Hospital (H3)";"RH","Regional / National Hospital (H1)"},2,0),
        $D36
      ),
      'Tools &amp; Targets_Guideline'!$C$53:$I$53,
      0
    )
  ),
0))</f>
        <v/>
      </c>
      <c r="AF36" s="105"/>
      <c r="AG36" s="119" t="str">
        <f t="array" ref="AG36">IF(OR($B36="",$D36=""),"",
IFERROR(
  INDEX(
    'Tools &amp; Targets_Guideline'!$C$54:$I$269,
    MATCH(
      1,
      ('Tools &amp; Targets_Guideline'!$A$54:$A$269=$B36)*
      ('Tools &amp; Targets_Guideline'!$B$54:$B$269="C-Section"),
      0
    ),
    MATCH(
      _xludf.IFNA(
        VLOOKUP($D36,{"PH","Provincial Hospital (H2)";"DH","District Hospital (H3)";"RH","Regional / National Hospital (H1)"},2,0),
        $D36
      ),
      'Tools &amp; Targets_Guideline'!$C$53:$I$53,
      0
    )
  ),
0))</f>
        <v/>
      </c>
      <c r="AH36" s="105" t="str">
        <f>IF(A36&lt;&gt;"",COUNTIFS('QA Log'!D:D,A36,'QA Log'!M:M,"QQC",'QA Log'!L:L,"2. Hygiene and Sterilization",'QA Log'!Z:Z,"Approved"),"")</f>
        <v/>
      </c>
      <c r="AI36" s="102"/>
      <c r="AJ36" s="102"/>
      <c r="AK36" s="103" t="str">
        <f t="shared" si="2"/>
        <v/>
      </c>
      <c r="AL36" s="102"/>
      <c r="AM36" s="102"/>
      <c r="AN36" s="102"/>
      <c r="AO36" s="106"/>
      <c r="AP36" s="103"/>
      <c r="AQ36" s="102"/>
      <c r="AR36" s="102"/>
      <c r="AS36" s="102"/>
      <c r="AT36" s="107"/>
      <c r="AU36" s="102" t="str">
        <f t="shared" si="3"/>
        <v/>
      </c>
      <c r="AV36" s="102" t="str">
        <f t="shared" si="4"/>
        <v/>
      </c>
      <c r="AW36" s="102" t="str">
        <f t="shared" si="5"/>
        <v/>
      </c>
      <c r="AX36" s="102" t="str">
        <f t="shared" si="6"/>
        <v/>
      </c>
      <c r="AY36" s="107" t="str">
        <f t="shared" si="7"/>
        <v/>
      </c>
      <c r="AZ36" s="108" t="str">
        <f t="shared" si="8"/>
        <v/>
      </c>
      <c r="BA36" s="108" t="str">
        <f t="shared" si="9"/>
        <v/>
      </c>
      <c r="BB36" s="109" t="str">
        <f t="shared" si="10"/>
        <v/>
      </c>
      <c r="BC36" s="108" t="str">
        <f t="shared" si="11"/>
        <v/>
      </c>
      <c r="BD36" s="108" t="str">
        <f t="shared" si="12"/>
        <v/>
      </c>
      <c r="BE36" s="109" t="str">
        <f t="shared" si="13"/>
        <v/>
      </c>
      <c r="BF36" s="110" t="str">
        <f t="shared" si="14"/>
        <v/>
      </c>
      <c r="BG36" s="111"/>
    </row>
    <row r="37" spans="1:59" ht="12.75">
      <c r="A37" s="101"/>
      <c r="B37" s="102"/>
      <c r="C37" s="102" t="e">
        <f t="array" aca="1" ref="C37" ca="1">_xludf.XLOOKUP(A37,'QA Log'!D:D,'QA Log'!F:F,"")</f>
        <v>#NAME?</v>
      </c>
      <c r="D37" s="102"/>
      <c r="E37" s="102" t="e">
        <f t="array" aca="1" ref="E37" ca="1">_xludf.XLOOKUP(A37,'QA Log'!D:D,'QA Log'!G:G,"")</f>
        <v>#NAME?</v>
      </c>
      <c r="F37" s="103"/>
      <c r="G37" s="104"/>
      <c r="H37" s="104"/>
      <c r="I37" s="103" t="str">
        <f t="shared" si="0"/>
        <v/>
      </c>
      <c r="J37" s="102"/>
      <c r="K37" s="102"/>
      <c r="L37" s="119" t="str">
        <f t="array" ref="L37">IF(OR($B37="",$D37=""),"",
IFERROR(
  INDEX(
    'Tools &amp; Targets_Guideline'!$C$54:$I$269,
    MATCH(
      1,
      ('Tools &amp; Targets_Guideline'!$A$54:$A$269=$B37)*
      ('Tools &amp; Targets_Guideline'!$B$54:$B$269="ANC"),
      0
    ),
    MATCH(
      _xludf.IFNA(
        VLOOKUP($D37,{"PH","Provincial Hospital (H2)";"DH","District Hospital (H3)";"RH","Regional / National Hospital (H1)"},2,0),
        $D37
      ),
      'Tools &amp; Targets_Guideline'!$C$53:$I$53,
      0
    )
  ),
0))</f>
        <v/>
      </c>
      <c r="M37" s="105"/>
      <c r="N37" s="119" t="str">
        <f t="array" ref="N37">IF(OR($B37="",$D37=""),"",
IFERROR(
  INDEX(
    'Tools &amp; Targets_Guideline'!$C$54:$I$269,
    MATCH(
      1,
      ('Tools &amp; Targets_Guideline'!$A$54:$A$269=$B37)*
      ('Tools &amp; Targets_Guideline'!$B$54:$B$269="PNC"),
      0
    ),
    MATCH(
      _xludf.IFNA(
        VLOOKUP($D37,{"PH","Provincial Hospital (H2)";"DH","District Hospital (H3)";"RH","Regional / National Hospital (H1)"},2,0),
        $D37
      ),
      'Tools &amp; Targets_Guideline'!$C$53:$I$53,
      0
    )
  ),
0))</f>
        <v/>
      </c>
      <c r="O37" s="105"/>
      <c r="P37" s="119" t="str">
        <f t="array" ref="P37">IF(OR($B37="",$D37=""),"",
IFERROR(
  INDEX(
    'Tools &amp; Targets_Guideline'!$C$54:$I$269,
    MATCH(
      1,
      ('Tools &amp; Targets_Guideline'!$A$54:$A$269=$B37)*
      ('Tools &amp; Targets_Guideline'!$B$54:$B$269="Delivery"),
      0
    ),
    MATCH(
      _xludf.IFNA(
        VLOOKUP($D37,{"PH","Provincial Hospital (H2)";"DH","District Hospital (H3)";"RH","Regional / National Hospital (H1)"},2,0),
        $D37
      ),
      'Tools &amp; Targets_Guideline'!$C$53:$I$53,
      0
    )
  ),
0))</f>
        <v/>
      </c>
      <c r="Q37" s="105"/>
      <c r="R37" s="119" t="str">
        <f t="array" ref="R37">IF(OR($B37="",$D37=""),"",
IFERROR(
  INDEX(
    'Tools &amp; Targets_Guideline'!$C$54:$I$269,
    MATCH(
      1,
      ('Tools &amp; Targets_Guideline'!$A$54:$A$269=$B37)*
      ('Tools &amp; Targets_Guideline'!$B$54:$B$269="TT"),
      0
    ),
    MATCH(
      _xludf.IFNA(
        VLOOKUP($D37,{"PH","Provincial Hospital (H2)";"DH","District Hospital (H3)";"RH","Regional / National Hospital (H1)"},2,0),
        $D37
      ),
      'Tools &amp; Targets_Guideline'!$C$53:$I$53,
      0
    )
  ),
0))</f>
        <v/>
      </c>
      <c r="S37" s="105"/>
      <c r="T37" s="102"/>
      <c r="U37" s="106"/>
      <c r="V37" s="102" t="str">
        <f t="shared" si="1"/>
        <v/>
      </c>
      <c r="W37" s="102"/>
      <c r="X37" s="102"/>
      <c r="Y37" s="119" t="str">
        <f t="array" ref="Y37">IF(OR($B37="",$D37=""),"",
IFERROR(
  INDEX(
    'Tools &amp; Targets_Guideline'!$C$54:$I$269,
    MATCH(
      1,
      ('Tools &amp; Targets_Guideline'!$A$54:$A$269=$B37)*
      ('Tools &amp; Targets_Guideline'!$B$54:$B$269="GM"),
      0
    ),
    MATCH(
      _xludf.IFNA(
        VLOOKUP($D37,{"PH","Provincial Hospital (H2)";"DH","District Hospital (H3)";"RH","Regional / National Hospital (H1)"},2,0),
        $D37
      ),
      'Tools &amp; Targets_Guideline'!$C$53:$I$53,
      0
    )
  ),
0))</f>
        <v/>
      </c>
      <c r="Z37" s="105"/>
      <c r="AA37" s="119" t="str">
        <f t="array" ref="AA37">IF(OR($B37="",$D37=""),"",
IFERROR(
  INDEX(
    'Tools &amp; Targets_Guideline'!$C$54:$I$269,
    MATCH(
      1,
      ('Tools &amp; Targets_Guideline'!$A$54:$A$269=$B37)*
      ('Tools &amp; Targets_Guideline'!$B$54:$B$269="Penta"),
      0
    ),
    MATCH(
      _xludf.IFNA(
        VLOOKUP($D37,{"PH","Provincial Hospital (H2)";"DH","District Hospital (H3)";"RH","Regional / National Hospital (H1)"},2,0),
        $D37
      ),
      'Tools &amp; Targets_Guideline'!$C$53:$I$53,
      0
    )
  ),
0))</f>
        <v/>
      </c>
      <c r="AB37" s="105"/>
      <c r="AC37" s="119" t="str">
        <f t="array" ref="AC37">IF(OR($B37="",$D37=""),"",
IFERROR(
  INDEX(
    'Tools &amp; Targets_Guideline'!$C$54:$I$269,
    MATCH(
      1,
      ('Tools &amp; Targets_Guideline'!$A$54:$A$269=$B37)*
      ('Tools &amp; Targets_Guideline'!$B$54:$B$269="TB"),
      0
    ),
    MATCH(
      _xludf.IFNA(
        VLOOKUP($D37,{"PH","Provincial Hospital (H2)";"DH","District Hospital (H3)";"RH","Regional / National Hospital (H1)"},2,0),
        $D37
      ),
      'Tools &amp; Targets_Guideline'!$C$53:$I$53,
      0
    )
  ),
0))</f>
        <v/>
      </c>
      <c r="AD37" s="105"/>
      <c r="AE37" s="119" t="str">
        <f t="array" ref="AE37">IF(OR($B37="",$D37=""),"",
IFERROR(
  INDEX(
    'Tools &amp; Targets_Guideline'!$C$54:$I$269,
    MATCH(
      1,
      ('Tools &amp; Targets_Guideline'!$A$54:$A$269=$B37)*
      ('Tools &amp; Targets_Guideline'!$B$54:$B$269="U5 Morbidity"),
      0
    ),
    MATCH(
      _xludf.IFNA(
        VLOOKUP($D37,{"PH","Provincial Hospital (H2)";"DH","District Hospital (H3)";"RH","Regional / National Hospital (H1)"},2,0),
        $D37
      ),
      'Tools &amp; Targets_Guideline'!$C$53:$I$53,
      0
    )
  ),
0))</f>
        <v/>
      </c>
      <c r="AF37" s="105"/>
      <c r="AG37" s="119" t="str">
        <f t="array" ref="AG37">IF(OR($B37="",$D37=""),"",
IFERROR(
  INDEX(
    'Tools &amp; Targets_Guideline'!$C$54:$I$269,
    MATCH(
      1,
      ('Tools &amp; Targets_Guideline'!$A$54:$A$269=$B37)*
      ('Tools &amp; Targets_Guideline'!$B$54:$B$269="C-Section"),
      0
    ),
    MATCH(
      _xludf.IFNA(
        VLOOKUP($D37,{"PH","Provincial Hospital (H2)";"DH","District Hospital (H3)";"RH","Regional / National Hospital (H1)"},2,0),
        $D37
      ),
      'Tools &amp; Targets_Guideline'!$C$53:$I$53,
      0
    )
  ),
0))</f>
        <v/>
      </c>
      <c r="AH37" s="105" t="str">
        <f>IF(A37&lt;&gt;"",COUNTIFS('QA Log'!D:D,A37,'QA Log'!M:M,"QQC",'QA Log'!L:L,"2. Hygiene and Sterilization",'QA Log'!Z:Z,"Approved"),"")</f>
        <v/>
      </c>
      <c r="AI37" s="102"/>
      <c r="AJ37" s="102"/>
      <c r="AK37" s="103" t="str">
        <f t="shared" si="2"/>
        <v/>
      </c>
      <c r="AL37" s="102"/>
      <c r="AM37" s="102"/>
      <c r="AN37" s="102"/>
      <c r="AO37" s="106"/>
      <c r="AP37" s="103"/>
      <c r="AQ37" s="102"/>
      <c r="AR37" s="102"/>
      <c r="AS37" s="102"/>
      <c r="AT37" s="107"/>
      <c r="AU37" s="102" t="str">
        <f t="shared" si="3"/>
        <v/>
      </c>
      <c r="AV37" s="102" t="str">
        <f t="shared" si="4"/>
        <v/>
      </c>
      <c r="AW37" s="102" t="str">
        <f t="shared" si="5"/>
        <v/>
      </c>
      <c r="AX37" s="102" t="str">
        <f t="shared" si="6"/>
        <v/>
      </c>
      <c r="AY37" s="107" t="str">
        <f t="shared" si="7"/>
        <v/>
      </c>
      <c r="AZ37" s="108" t="str">
        <f t="shared" si="8"/>
        <v/>
      </c>
      <c r="BA37" s="108" t="str">
        <f t="shared" si="9"/>
        <v/>
      </c>
      <c r="BB37" s="109" t="str">
        <f t="shared" si="10"/>
        <v/>
      </c>
      <c r="BC37" s="108" t="str">
        <f t="shared" si="11"/>
        <v/>
      </c>
      <c r="BD37" s="108" t="str">
        <f t="shared" si="12"/>
        <v/>
      </c>
      <c r="BE37" s="109" t="str">
        <f t="shared" si="13"/>
        <v/>
      </c>
      <c r="BF37" s="110" t="str">
        <f t="shared" si="14"/>
        <v/>
      </c>
      <c r="BG37" s="111"/>
    </row>
    <row r="38" spans="1:59" ht="12.75">
      <c r="A38" s="101"/>
      <c r="B38" s="102"/>
      <c r="C38" s="102" t="e">
        <f t="array" aca="1" ref="C38" ca="1">_xludf.XLOOKUP(A38,'QA Log'!D:D,'QA Log'!F:F,"")</f>
        <v>#NAME?</v>
      </c>
      <c r="D38" s="102"/>
      <c r="E38" s="102" t="e">
        <f t="array" aca="1" ref="E38" ca="1">_xludf.XLOOKUP(A38,'QA Log'!D:D,'QA Log'!G:G,"")</f>
        <v>#NAME?</v>
      </c>
      <c r="F38" s="103"/>
      <c r="G38" s="104"/>
      <c r="H38" s="104"/>
      <c r="I38" s="103" t="str">
        <f t="shared" si="0"/>
        <v/>
      </c>
      <c r="J38" s="102"/>
      <c r="K38" s="102"/>
      <c r="L38" s="119" t="str">
        <f t="array" ref="L38">IF(OR($B38="",$D38=""),"",
IFERROR(
  INDEX(
    'Tools &amp; Targets_Guideline'!$C$54:$I$269,
    MATCH(
      1,
      ('Tools &amp; Targets_Guideline'!$A$54:$A$269=$B38)*
      ('Tools &amp; Targets_Guideline'!$B$54:$B$269="ANC"),
      0
    ),
    MATCH(
      _xludf.IFNA(
        VLOOKUP($D38,{"PH","Provincial Hospital (H2)";"DH","District Hospital (H3)";"RH","Regional / National Hospital (H1)"},2,0),
        $D38
      ),
      'Tools &amp; Targets_Guideline'!$C$53:$I$53,
      0
    )
  ),
0))</f>
        <v/>
      </c>
      <c r="M38" s="105"/>
      <c r="N38" s="119" t="str">
        <f t="array" ref="N38">IF(OR($B38="",$D38=""),"",
IFERROR(
  INDEX(
    'Tools &amp; Targets_Guideline'!$C$54:$I$269,
    MATCH(
      1,
      ('Tools &amp; Targets_Guideline'!$A$54:$A$269=$B38)*
      ('Tools &amp; Targets_Guideline'!$B$54:$B$269="PNC"),
      0
    ),
    MATCH(
      _xludf.IFNA(
        VLOOKUP($D38,{"PH","Provincial Hospital (H2)";"DH","District Hospital (H3)";"RH","Regional / National Hospital (H1)"},2,0),
        $D38
      ),
      'Tools &amp; Targets_Guideline'!$C$53:$I$53,
      0
    )
  ),
0))</f>
        <v/>
      </c>
      <c r="O38" s="105"/>
      <c r="P38" s="119" t="str">
        <f t="array" ref="P38">IF(OR($B38="",$D38=""),"",
IFERROR(
  INDEX(
    'Tools &amp; Targets_Guideline'!$C$54:$I$269,
    MATCH(
      1,
      ('Tools &amp; Targets_Guideline'!$A$54:$A$269=$B38)*
      ('Tools &amp; Targets_Guideline'!$B$54:$B$269="Delivery"),
      0
    ),
    MATCH(
      _xludf.IFNA(
        VLOOKUP($D38,{"PH","Provincial Hospital (H2)";"DH","District Hospital (H3)";"RH","Regional / National Hospital (H1)"},2,0),
        $D38
      ),
      'Tools &amp; Targets_Guideline'!$C$53:$I$53,
      0
    )
  ),
0))</f>
        <v/>
      </c>
      <c r="Q38" s="105"/>
      <c r="R38" s="119" t="str">
        <f t="array" ref="R38">IF(OR($B38="",$D38=""),"",
IFERROR(
  INDEX(
    'Tools &amp; Targets_Guideline'!$C$54:$I$269,
    MATCH(
      1,
      ('Tools &amp; Targets_Guideline'!$A$54:$A$269=$B38)*
      ('Tools &amp; Targets_Guideline'!$B$54:$B$269="TT"),
      0
    ),
    MATCH(
      _xludf.IFNA(
        VLOOKUP($D38,{"PH","Provincial Hospital (H2)";"DH","District Hospital (H3)";"RH","Regional / National Hospital (H1)"},2,0),
        $D38
      ),
      'Tools &amp; Targets_Guideline'!$C$53:$I$53,
      0
    )
  ),
0))</f>
        <v/>
      </c>
      <c r="S38" s="105"/>
      <c r="T38" s="102"/>
      <c r="U38" s="106"/>
      <c r="V38" s="102" t="str">
        <f t="shared" si="1"/>
        <v/>
      </c>
      <c r="W38" s="102"/>
      <c r="X38" s="102"/>
      <c r="Y38" s="119" t="str">
        <f t="array" ref="Y38">IF(OR($B38="",$D38=""),"",
IFERROR(
  INDEX(
    'Tools &amp; Targets_Guideline'!$C$54:$I$269,
    MATCH(
      1,
      ('Tools &amp; Targets_Guideline'!$A$54:$A$269=$B38)*
      ('Tools &amp; Targets_Guideline'!$B$54:$B$269="GM"),
      0
    ),
    MATCH(
      _xludf.IFNA(
        VLOOKUP($D38,{"PH","Provincial Hospital (H2)";"DH","District Hospital (H3)";"RH","Regional / National Hospital (H1)"},2,0),
        $D38
      ),
      'Tools &amp; Targets_Guideline'!$C$53:$I$53,
      0
    )
  ),
0))</f>
        <v/>
      </c>
      <c r="Z38" s="105"/>
      <c r="AA38" s="119" t="str">
        <f t="array" ref="AA38">IF(OR($B38="",$D38=""),"",
IFERROR(
  INDEX(
    'Tools &amp; Targets_Guideline'!$C$54:$I$269,
    MATCH(
      1,
      ('Tools &amp; Targets_Guideline'!$A$54:$A$269=$B38)*
      ('Tools &amp; Targets_Guideline'!$B$54:$B$269="Penta"),
      0
    ),
    MATCH(
      _xludf.IFNA(
        VLOOKUP($D38,{"PH","Provincial Hospital (H2)";"DH","District Hospital (H3)";"RH","Regional / National Hospital (H1)"},2,0),
        $D38
      ),
      'Tools &amp; Targets_Guideline'!$C$53:$I$53,
      0
    )
  ),
0))</f>
        <v/>
      </c>
      <c r="AB38" s="105"/>
      <c r="AC38" s="119" t="str">
        <f t="array" ref="AC38">IF(OR($B38="",$D38=""),"",
IFERROR(
  INDEX(
    'Tools &amp; Targets_Guideline'!$C$54:$I$269,
    MATCH(
      1,
      ('Tools &amp; Targets_Guideline'!$A$54:$A$269=$B38)*
      ('Tools &amp; Targets_Guideline'!$B$54:$B$269="TB"),
      0
    ),
    MATCH(
      _xludf.IFNA(
        VLOOKUP($D38,{"PH","Provincial Hospital (H2)";"DH","District Hospital (H3)";"RH","Regional / National Hospital (H1)"},2,0),
        $D38
      ),
      'Tools &amp; Targets_Guideline'!$C$53:$I$53,
      0
    )
  ),
0))</f>
        <v/>
      </c>
      <c r="AD38" s="105"/>
      <c r="AE38" s="119" t="str">
        <f t="array" ref="AE38">IF(OR($B38="",$D38=""),"",
IFERROR(
  INDEX(
    'Tools &amp; Targets_Guideline'!$C$54:$I$269,
    MATCH(
      1,
      ('Tools &amp; Targets_Guideline'!$A$54:$A$269=$B38)*
      ('Tools &amp; Targets_Guideline'!$B$54:$B$269="U5 Morbidity"),
      0
    ),
    MATCH(
      _xludf.IFNA(
        VLOOKUP($D38,{"PH","Provincial Hospital (H2)";"DH","District Hospital (H3)";"RH","Regional / National Hospital (H1)"},2,0),
        $D38
      ),
      'Tools &amp; Targets_Guideline'!$C$53:$I$53,
      0
    )
  ),
0))</f>
        <v/>
      </c>
      <c r="AF38" s="105"/>
      <c r="AG38" s="119" t="str">
        <f t="array" ref="AG38">IF(OR($B38="",$D38=""),"",
IFERROR(
  INDEX(
    'Tools &amp; Targets_Guideline'!$C$54:$I$269,
    MATCH(
      1,
      ('Tools &amp; Targets_Guideline'!$A$54:$A$269=$B38)*
      ('Tools &amp; Targets_Guideline'!$B$54:$B$269="C-Section"),
      0
    ),
    MATCH(
      _xludf.IFNA(
        VLOOKUP($D38,{"PH","Provincial Hospital (H2)";"DH","District Hospital (H3)";"RH","Regional / National Hospital (H1)"},2,0),
        $D38
      ),
      'Tools &amp; Targets_Guideline'!$C$53:$I$53,
      0
    )
  ),
0))</f>
        <v/>
      </c>
      <c r="AH38" s="105" t="str">
        <f>IF(A38&lt;&gt;"",COUNTIFS('QA Log'!D:D,A38,'QA Log'!M:M,"QQC",'QA Log'!L:L,"2. Hygiene and Sterilization",'QA Log'!Z:Z,"Approved"),"")</f>
        <v/>
      </c>
      <c r="AI38" s="102"/>
      <c r="AJ38" s="102"/>
      <c r="AK38" s="103" t="str">
        <f t="shared" si="2"/>
        <v/>
      </c>
      <c r="AL38" s="102"/>
      <c r="AM38" s="102"/>
      <c r="AN38" s="102"/>
      <c r="AO38" s="106"/>
      <c r="AP38" s="103"/>
      <c r="AQ38" s="102"/>
      <c r="AR38" s="102"/>
      <c r="AS38" s="102"/>
      <c r="AT38" s="107"/>
      <c r="AU38" s="102" t="str">
        <f t="shared" si="3"/>
        <v/>
      </c>
      <c r="AV38" s="102" t="str">
        <f t="shared" si="4"/>
        <v/>
      </c>
      <c r="AW38" s="102" t="str">
        <f t="shared" si="5"/>
        <v/>
      </c>
      <c r="AX38" s="102" t="str">
        <f t="shared" si="6"/>
        <v/>
      </c>
      <c r="AY38" s="107" t="str">
        <f t="shared" si="7"/>
        <v/>
      </c>
      <c r="AZ38" s="108" t="str">
        <f t="shared" si="8"/>
        <v/>
      </c>
      <c r="BA38" s="108" t="str">
        <f t="shared" si="9"/>
        <v/>
      </c>
      <c r="BB38" s="109" t="str">
        <f t="shared" si="10"/>
        <v/>
      </c>
      <c r="BC38" s="108" t="str">
        <f t="shared" si="11"/>
        <v/>
      </c>
      <c r="BD38" s="108" t="str">
        <f t="shared" si="12"/>
        <v/>
      </c>
      <c r="BE38" s="109" t="str">
        <f t="shared" si="13"/>
        <v/>
      </c>
      <c r="BF38" s="110" t="str">
        <f t="shared" si="14"/>
        <v/>
      </c>
      <c r="BG38" s="111"/>
    </row>
    <row r="39" spans="1:59" ht="12.75">
      <c r="A39" s="101"/>
      <c r="B39" s="102"/>
      <c r="C39" s="102" t="e">
        <f t="array" aca="1" ref="C39" ca="1">_xludf.XLOOKUP(A39,'QA Log'!D:D,'QA Log'!F:F,"")</f>
        <v>#NAME?</v>
      </c>
      <c r="D39" s="102"/>
      <c r="E39" s="102" t="e">
        <f t="array" aca="1" ref="E39" ca="1">_xludf.XLOOKUP(A39,'QA Log'!D:D,'QA Log'!G:G,"")</f>
        <v>#NAME?</v>
      </c>
      <c r="F39" s="103"/>
      <c r="G39" s="104"/>
      <c r="H39" s="104"/>
      <c r="I39" s="103" t="str">
        <f t="shared" si="0"/>
        <v/>
      </c>
      <c r="J39" s="102"/>
      <c r="K39" s="102"/>
      <c r="L39" s="119" t="str">
        <f t="array" ref="L39">IF(OR($B39="",$D39=""),"",
IFERROR(
  INDEX(
    'Tools &amp; Targets_Guideline'!$C$54:$I$269,
    MATCH(
      1,
      ('Tools &amp; Targets_Guideline'!$A$54:$A$269=$B39)*
      ('Tools &amp; Targets_Guideline'!$B$54:$B$269="ANC"),
      0
    ),
    MATCH(
      _xludf.IFNA(
        VLOOKUP($D39,{"PH","Provincial Hospital (H2)";"DH","District Hospital (H3)";"RH","Regional / National Hospital (H1)"},2,0),
        $D39
      ),
      'Tools &amp; Targets_Guideline'!$C$53:$I$53,
      0
    )
  ),
0))</f>
        <v/>
      </c>
      <c r="M39" s="105"/>
      <c r="N39" s="119" t="str">
        <f t="array" ref="N39">IF(OR($B39="",$D39=""),"",
IFERROR(
  INDEX(
    'Tools &amp; Targets_Guideline'!$C$54:$I$269,
    MATCH(
      1,
      ('Tools &amp; Targets_Guideline'!$A$54:$A$269=$B39)*
      ('Tools &amp; Targets_Guideline'!$B$54:$B$269="PNC"),
      0
    ),
    MATCH(
      _xludf.IFNA(
        VLOOKUP($D39,{"PH","Provincial Hospital (H2)";"DH","District Hospital (H3)";"RH","Regional / National Hospital (H1)"},2,0),
        $D39
      ),
      'Tools &amp; Targets_Guideline'!$C$53:$I$53,
      0
    )
  ),
0))</f>
        <v/>
      </c>
      <c r="O39" s="105"/>
      <c r="P39" s="119" t="str">
        <f t="array" ref="P39">IF(OR($B39="",$D39=""),"",
IFERROR(
  INDEX(
    'Tools &amp; Targets_Guideline'!$C$54:$I$269,
    MATCH(
      1,
      ('Tools &amp; Targets_Guideline'!$A$54:$A$269=$B39)*
      ('Tools &amp; Targets_Guideline'!$B$54:$B$269="Delivery"),
      0
    ),
    MATCH(
      _xludf.IFNA(
        VLOOKUP($D39,{"PH","Provincial Hospital (H2)";"DH","District Hospital (H3)";"RH","Regional / National Hospital (H1)"},2,0),
        $D39
      ),
      'Tools &amp; Targets_Guideline'!$C$53:$I$53,
      0
    )
  ),
0))</f>
        <v/>
      </c>
      <c r="Q39" s="105"/>
      <c r="R39" s="119" t="str">
        <f t="array" ref="R39">IF(OR($B39="",$D39=""),"",
IFERROR(
  INDEX(
    'Tools &amp; Targets_Guideline'!$C$54:$I$269,
    MATCH(
      1,
      ('Tools &amp; Targets_Guideline'!$A$54:$A$269=$B39)*
      ('Tools &amp; Targets_Guideline'!$B$54:$B$269="TT"),
      0
    ),
    MATCH(
      _xludf.IFNA(
        VLOOKUP($D39,{"PH","Provincial Hospital (H2)";"DH","District Hospital (H3)";"RH","Regional / National Hospital (H1)"},2,0),
        $D39
      ),
      'Tools &amp; Targets_Guideline'!$C$53:$I$53,
      0
    )
  ),
0))</f>
        <v/>
      </c>
      <c r="S39" s="105"/>
      <c r="T39" s="102"/>
      <c r="U39" s="106"/>
      <c r="V39" s="102" t="str">
        <f t="shared" si="1"/>
        <v/>
      </c>
      <c r="W39" s="102"/>
      <c r="X39" s="102"/>
      <c r="Y39" s="119" t="str">
        <f t="array" ref="Y39">IF(OR($B39="",$D39=""),"",
IFERROR(
  INDEX(
    'Tools &amp; Targets_Guideline'!$C$54:$I$269,
    MATCH(
      1,
      ('Tools &amp; Targets_Guideline'!$A$54:$A$269=$B39)*
      ('Tools &amp; Targets_Guideline'!$B$54:$B$269="GM"),
      0
    ),
    MATCH(
      _xludf.IFNA(
        VLOOKUP($D39,{"PH","Provincial Hospital (H2)";"DH","District Hospital (H3)";"RH","Regional / National Hospital (H1)"},2,0),
        $D39
      ),
      'Tools &amp; Targets_Guideline'!$C$53:$I$53,
      0
    )
  ),
0))</f>
        <v/>
      </c>
      <c r="Z39" s="105"/>
      <c r="AA39" s="119" t="str">
        <f t="array" ref="AA39">IF(OR($B39="",$D39=""),"",
IFERROR(
  INDEX(
    'Tools &amp; Targets_Guideline'!$C$54:$I$269,
    MATCH(
      1,
      ('Tools &amp; Targets_Guideline'!$A$54:$A$269=$B39)*
      ('Tools &amp; Targets_Guideline'!$B$54:$B$269="Penta"),
      0
    ),
    MATCH(
      _xludf.IFNA(
        VLOOKUP($D39,{"PH","Provincial Hospital (H2)";"DH","District Hospital (H3)";"RH","Regional / National Hospital (H1)"},2,0),
        $D39
      ),
      'Tools &amp; Targets_Guideline'!$C$53:$I$53,
      0
    )
  ),
0))</f>
        <v/>
      </c>
      <c r="AB39" s="105"/>
      <c r="AC39" s="119" t="str">
        <f t="array" ref="AC39">IF(OR($B39="",$D39=""),"",
IFERROR(
  INDEX(
    'Tools &amp; Targets_Guideline'!$C$54:$I$269,
    MATCH(
      1,
      ('Tools &amp; Targets_Guideline'!$A$54:$A$269=$B39)*
      ('Tools &amp; Targets_Guideline'!$B$54:$B$269="TB"),
      0
    ),
    MATCH(
      _xludf.IFNA(
        VLOOKUP($D39,{"PH","Provincial Hospital (H2)";"DH","District Hospital (H3)";"RH","Regional / National Hospital (H1)"},2,0),
        $D39
      ),
      'Tools &amp; Targets_Guideline'!$C$53:$I$53,
      0
    )
  ),
0))</f>
        <v/>
      </c>
      <c r="AD39" s="105"/>
      <c r="AE39" s="119" t="str">
        <f t="array" ref="AE39">IF(OR($B39="",$D39=""),"",
IFERROR(
  INDEX(
    'Tools &amp; Targets_Guideline'!$C$54:$I$269,
    MATCH(
      1,
      ('Tools &amp; Targets_Guideline'!$A$54:$A$269=$B39)*
      ('Tools &amp; Targets_Guideline'!$B$54:$B$269="U5 Morbidity"),
      0
    ),
    MATCH(
      _xludf.IFNA(
        VLOOKUP($D39,{"PH","Provincial Hospital (H2)";"DH","District Hospital (H3)";"RH","Regional / National Hospital (H1)"},2,0),
        $D39
      ),
      'Tools &amp; Targets_Guideline'!$C$53:$I$53,
      0
    )
  ),
0))</f>
        <v/>
      </c>
      <c r="AF39" s="105"/>
      <c r="AG39" s="119" t="str">
        <f t="array" ref="AG39">IF(OR($B39="",$D39=""),"",
IFERROR(
  INDEX(
    'Tools &amp; Targets_Guideline'!$C$54:$I$269,
    MATCH(
      1,
      ('Tools &amp; Targets_Guideline'!$A$54:$A$269=$B39)*
      ('Tools &amp; Targets_Guideline'!$B$54:$B$269="C-Section"),
      0
    ),
    MATCH(
      _xludf.IFNA(
        VLOOKUP($D39,{"PH","Provincial Hospital (H2)";"DH","District Hospital (H3)";"RH","Regional / National Hospital (H1)"},2,0),
        $D39
      ),
      'Tools &amp; Targets_Guideline'!$C$53:$I$53,
      0
    )
  ),
0))</f>
        <v/>
      </c>
      <c r="AH39" s="105" t="str">
        <f>IF(A39&lt;&gt;"",COUNTIFS('QA Log'!D:D,A39,'QA Log'!M:M,"QQC",'QA Log'!L:L,"2. Hygiene and Sterilization",'QA Log'!Z:Z,"Approved"),"")</f>
        <v/>
      </c>
      <c r="AI39" s="102"/>
      <c r="AJ39" s="102"/>
      <c r="AK39" s="103" t="str">
        <f t="shared" si="2"/>
        <v/>
      </c>
      <c r="AL39" s="102"/>
      <c r="AM39" s="102"/>
      <c r="AN39" s="102"/>
      <c r="AO39" s="106"/>
      <c r="AP39" s="103"/>
      <c r="AQ39" s="102"/>
      <c r="AR39" s="102"/>
      <c r="AS39" s="102"/>
      <c r="AT39" s="107"/>
      <c r="AU39" s="102" t="str">
        <f t="shared" si="3"/>
        <v/>
      </c>
      <c r="AV39" s="102" t="str">
        <f t="shared" si="4"/>
        <v/>
      </c>
      <c r="AW39" s="102" t="str">
        <f t="shared" si="5"/>
        <v/>
      </c>
      <c r="AX39" s="102" t="str">
        <f t="shared" si="6"/>
        <v/>
      </c>
      <c r="AY39" s="107" t="str">
        <f t="shared" si="7"/>
        <v/>
      </c>
      <c r="AZ39" s="108" t="str">
        <f t="shared" si="8"/>
        <v/>
      </c>
      <c r="BA39" s="108" t="str">
        <f t="shared" si="9"/>
        <v/>
      </c>
      <c r="BB39" s="109" t="str">
        <f t="shared" si="10"/>
        <v/>
      </c>
      <c r="BC39" s="108" t="str">
        <f t="shared" si="11"/>
        <v/>
      </c>
      <c r="BD39" s="108" t="str">
        <f t="shared" si="12"/>
        <v/>
      </c>
      <c r="BE39" s="109" t="str">
        <f t="shared" si="13"/>
        <v/>
      </c>
      <c r="BF39" s="110" t="str">
        <f t="shared" si="14"/>
        <v/>
      </c>
      <c r="BG39" s="111"/>
    </row>
    <row r="40" spans="1:59" ht="12.75">
      <c r="A40" s="101"/>
      <c r="B40" s="102"/>
      <c r="C40" s="102" t="e">
        <f t="array" aca="1" ref="C40" ca="1">_xludf.XLOOKUP(A40,'QA Log'!D:D,'QA Log'!F:F,"")</f>
        <v>#NAME?</v>
      </c>
      <c r="D40" s="102"/>
      <c r="E40" s="102" t="e">
        <f t="array" aca="1" ref="E40" ca="1">_xludf.XLOOKUP(A40,'QA Log'!D:D,'QA Log'!G:G,"")</f>
        <v>#NAME?</v>
      </c>
      <c r="F40" s="103"/>
      <c r="G40" s="104"/>
      <c r="H40" s="104"/>
      <c r="I40" s="103" t="str">
        <f t="shared" si="0"/>
        <v/>
      </c>
      <c r="J40" s="102"/>
      <c r="K40" s="102"/>
      <c r="L40" s="119" t="str">
        <f t="array" ref="L40">IF(OR($B40="",$D40=""),"",
IFERROR(
  INDEX(
    'Tools &amp; Targets_Guideline'!$C$54:$I$269,
    MATCH(
      1,
      ('Tools &amp; Targets_Guideline'!$A$54:$A$269=$B40)*
      ('Tools &amp; Targets_Guideline'!$B$54:$B$269="ANC"),
      0
    ),
    MATCH(
      _xludf.IFNA(
        VLOOKUP($D40,{"PH","Provincial Hospital (H2)";"DH","District Hospital (H3)";"RH","Regional / National Hospital (H1)"},2,0),
        $D40
      ),
      'Tools &amp; Targets_Guideline'!$C$53:$I$53,
      0
    )
  ),
0))</f>
        <v/>
      </c>
      <c r="M40" s="105"/>
      <c r="N40" s="119" t="str">
        <f t="array" ref="N40">IF(OR($B40="",$D40=""),"",
IFERROR(
  INDEX(
    'Tools &amp; Targets_Guideline'!$C$54:$I$269,
    MATCH(
      1,
      ('Tools &amp; Targets_Guideline'!$A$54:$A$269=$B40)*
      ('Tools &amp; Targets_Guideline'!$B$54:$B$269="PNC"),
      0
    ),
    MATCH(
      _xludf.IFNA(
        VLOOKUP($D40,{"PH","Provincial Hospital (H2)";"DH","District Hospital (H3)";"RH","Regional / National Hospital (H1)"},2,0),
        $D40
      ),
      'Tools &amp; Targets_Guideline'!$C$53:$I$53,
      0
    )
  ),
0))</f>
        <v/>
      </c>
      <c r="O40" s="105"/>
      <c r="P40" s="119" t="str">
        <f t="array" ref="P40">IF(OR($B40="",$D40=""),"",
IFERROR(
  INDEX(
    'Tools &amp; Targets_Guideline'!$C$54:$I$269,
    MATCH(
      1,
      ('Tools &amp; Targets_Guideline'!$A$54:$A$269=$B40)*
      ('Tools &amp; Targets_Guideline'!$B$54:$B$269="Delivery"),
      0
    ),
    MATCH(
      _xludf.IFNA(
        VLOOKUP($D40,{"PH","Provincial Hospital (H2)";"DH","District Hospital (H3)";"RH","Regional / National Hospital (H1)"},2,0),
        $D40
      ),
      'Tools &amp; Targets_Guideline'!$C$53:$I$53,
      0
    )
  ),
0))</f>
        <v/>
      </c>
      <c r="Q40" s="105"/>
      <c r="R40" s="119" t="str">
        <f t="array" ref="R40">IF(OR($B40="",$D40=""),"",
IFERROR(
  INDEX(
    'Tools &amp; Targets_Guideline'!$C$54:$I$269,
    MATCH(
      1,
      ('Tools &amp; Targets_Guideline'!$A$54:$A$269=$B40)*
      ('Tools &amp; Targets_Guideline'!$B$54:$B$269="TT"),
      0
    ),
    MATCH(
      _xludf.IFNA(
        VLOOKUP($D40,{"PH","Provincial Hospital (H2)";"DH","District Hospital (H3)";"RH","Regional / National Hospital (H1)"},2,0),
        $D40
      ),
      'Tools &amp; Targets_Guideline'!$C$53:$I$53,
      0
    )
  ),
0))</f>
        <v/>
      </c>
      <c r="S40" s="105"/>
      <c r="T40" s="102"/>
      <c r="U40" s="106"/>
      <c r="V40" s="102" t="str">
        <f t="shared" si="1"/>
        <v/>
      </c>
      <c r="W40" s="102"/>
      <c r="X40" s="102"/>
      <c r="Y40" s="119" t="str">
        <f t="array" ref="Y40">IF(OR($B40="",$D40=""),"",
IFERROR(
  INDEX(
    'Tools &amp; Targets_Guideline'!$C$54:$I$269,
    MATCH(
      1,
      ('Tools &amp; Targets_Guideline'!$A$54:$A$269=$B40)*
      ('Tools &amp; Targets_Guideline'!$B$54:$B$269="GM"),
      0
    ),
    MATCH(
      _xludf.IFNA(
        VLOOKUP($D40,{"PH","Provincial Hospital (H2)";"DH","District Hospital (H3)";"RH","Regional / National Hospital (H1)"},2,0),
        $D40
      ),
      'Tools &amp; Targets_Guideline'!$C$53:$I$53,
      0
    )
  ),
0))</f>
        <v/>
      </c>
      <c r="Z40" s="105"/>
      <c r="AA40" s="119" t="str">
        <f t="array" ref="AA40">IF(OR($B40="",$D40=""),"",
IFERROR(
  INDEX(
    'Tools &amp; Targets_Guideline'!$C$54:$I$269,
    MATCH(
      1,
      ('Tools &amp; Targets_Guideline'!$A$54:$A$269=$B40)*
      ('Tools &amp; Targets_Guideline'!$B$54:$B$269="Penta"),
      0
    ),
    MATCH(
      _xludf.IFNA(
        VLOOKUP($D40,{"PH","Provincial Hospital (H2)";"DH","District Hospital (H3)";"RH","Regional / National Hospital (H1)"},2,0),
        $D40
      ),
      'Tools &amp; Targets_Guideline'!$C$53:$I$53,
      0
    )
  ),
0))</f>
        <v/>
      </c>
      <c r="AB40" s="105"/>
      <c r="AC40" s="119" t="str">
        <f t="array" ref="AC40">IF(OR($B40="",$D40=""),"",
IFERROR(
  INDEX(
    'Tools &amp; Targets_Guideline'!$C$54:$I$269,
    MATCH(
      1,
      ('Tools &amp; Targets_Guideline'!$A$54:$A$269=$B40)*
      ('Tools &amp; Targets_Guideline'!$B$54:$B$269="TB"),
      0
    ),
    MATCH(
      _xludf.IFNA(
        VLOOKUP($D40,{"PH","Provincial Hospital (H2)";"DH","District Hospital (H3)";"RH","Regional / National Hospital (H1)"},2,0),
        $D40
      ),
      'Tools &amp; Targets_Guideline'!$C$53:$I$53,
      0
    )
  ),
0))</f>
        <v/>
      </c>
      <c r="AD40" s="105"/>
      <c r="AE40" s="119" t="str">
        <f t="array" ref="AE40">IF(OR($B40="",$D40=""),"",
IFERROR(
  INDEX(
    'Tools &amp; Targets_Guideline'!$C$54:$I$269,
    MATCH(
      1,
      ('Tools &amp; Targets_Guideline'!$A$54:$A$269=$B40)*
      ('Tools &amp; Targets_Guideline'!$B$54:$B$269="U5 Morbidity"),
      0
    ),
    MATCH(
      _xludf.IFNA(
        VLOOKUP($D40,{"PH","Provincial Hospital (H2)";"DH","District Hospital (H3)";"RH","Regional / National Hospital (H1)"},2,0),
        $D40
      ),
      'Tools &amp; Targets_Guideline'!$C$53:$I$53,
      0
    )
  ),
0))</f>
        <v/>
      </c>
      <c r="AF40" s="105"/>
      <c r="AG40" s="119" t="str">
        <f t="array" ref="AG40">IF(OR($B40="",$D40=""),"",
IFERROR(
  INDEX(
    'Tools &amp; Targets_Guideline'!$C$54:$I$269,
    MATCH(
      1,
      ('Tools &amp; Targets_Guideline'!$A$54:$A$269=$B40)*
      ('Tools &amp; Targets_Guideline'!$B$54:$B$269="C-Section"),
      0
    ),
    MATCH(
      _xludf.IFNA(
        VLOOKUP($D40,{"PH","Provincial Hospital (H2)";"DH","District Hospital (H3)";"RH","Regional / National Hospital (H1)"},2,0),
        $D40
      ),
      'Tools &amp; Targets_Guideline'!$C$53:$I$53,
      0
    )
  ),
0))</f>
        <v/>
      </c>
      <c r="AH40" s="105" t="str">
        <f>IF(A40&lt;&gt;"",COUNTIFS('QA Log'!D:D,A40,'QA Log'!M:M,"QQC",'QA Log'!L:L,"2. Hygiene and Sterilization",'QA Log'!Z:Z,"Approved"),"")</f>
        <v/>
      </c>
      <c r="AI40" s="102"/>
      <c r="AJ40" s="102"/>
      <c r="AK40" s="103" t="str">
        <f t="shared" si="2"/>
        <v/>
      </c>
      <c r="AL40" s="102"/>
      <c r="AM40" s="102"/>
      <c r="AN40" s="102"/>
      <c r="AO40" s="106"/>
      <c r="AP40" s="103"/>
      <c r="AQ40" s="102"/>
      <c r="AR40" s="102"/>
      <c r="AS40" s="102"/>
      <c r="AT40" s="107"/>
      <c r="AU40" s="102" t="str">
        <f t="shared" si="3"/>
        <v/>
      </c>
      <c r="AV40" s="102" t="str">
        <f t="shared" si="4"/>
        <v/>
      </c>
      <c r="AW40" s="102" t="str">
        <f t="shared" si="5"/>
        <v/>
      </c>
      <c r="AX40" s="102" t="str">
        <f t="shared" si="6"/>
        <v/>
      </c>
      <c r="AY40" s="107" t="str">
        <f t="shared" si="7"/>
        <v/>
      </c>
      <c r="AZ40" s="108" t="str">
        <f t="shared" si="8"/>
        <v/>
      </c>
      <c r="BA40" s="108" t="str">
        <f t="shared" si="9"/>
        <v/>
      </c>
      <c r="BB40" s="109" t="str">
        <f t="shared" si="10"/>
        <v/>
      </c>
      <c r="BC40" s="108" t="str">
        <f t="shared" si="11"/>
        <v/>
      </c>
      <c r="BD40" s="108" t="str">
        <f t="shared" si="12"/>
        <v/>
      </c>
      <c r="BE40" s="109" t="str">
        <f t="shared" si="13"/>
        <v/>
      </c>
      <c r="BF40" s="110" t="str">
        <f t="shared" si="14"/>
        <v/>
      </c>
      <c r="BG40" s="111"/>
    </row>
    <row r="41" spans="1:59" ht="12.75">
      <c r="A41" s="101"/>
      <c r="B41" s="102"/>
      <c r="C41" s="102" t="e">
        <f t="array" aca="1" ref="C41" ca="1">_xludf.XLOOKUP(A41,'QA Log'!D:D,'QA Log'!F:F,"")</f>
        <v>#NAME?</v>
      </c>
      <c r="D41" s="102"/>
      <c r="E41" s="102" t="e">
        <f t="array" aca="1" ref="E41" ca="1">_xludf.XLOOKUP(A41,'QA Log'!D:D,'QA Log'!G:G,"")</f>
        <v>#NAME?</v>
      </c>
      <c r="F41" s="103"/>
      <c r="G41" s="104"/>
      <c r="H41" s="104"/>
      <c r="I41" s="103" t="str">
        <f t="shared" si="0"/>
        <v/>
      </c>
      <c r="J41" s="102"/>
      <c r="K41" s="102"/>
      <c r="L41" s="119" t="str">
        <f t="array" ref="L41">IF(OR($B41="",$D41=""),"",
IFERROR(
  INDEX(
    'Tools &amp; Targets_Guideline'!$C$54:$I$269,
    MATCH(
      1,
      ('Tools &amp; Targets_Guideline'!$A$54:$A$269=$B41)*
      ('Tools &amp; Targets_Guideline'!$B$54:$B$269="ANC"),
      0
    ),
    MATCH(
      _xludf.IFNA(
        VLOOKUP($D41,{"PH","Provincial Hospital (H2)";"DH","District Hospital (H3)";"RH","Regional / National Hospital (H1)"},2,0),
        $D41
      ),
      'Tools &amp; Targets_Guideline'!$C$53:$I$53,
      0
    )
  ),
0))</f>
        <v/>
      </c>
      <c r="M41" s="105"/>
      <c r="N41" s="119" t="str">
        <f t="array" ref="N41">IF(OR($B41="",$D41=""),"",
IFERROR(
  INDEX(
    'Tools &amp; Targets_Guideline'!$C$54:$I$269,
    MATCH(
      1,
      ('Tools &amp; Targets_Guideline'!$A$54:$A$269=$B41)*
      ('Tools &amp; Targets_Guideline'!$B$54:$B$269="PNC"),
      0
    ),
    MATCH(
      _xludf.IFNA(
        VLOOKUP($D41,{"PH","Provincial Hospital (H2)";"DH","District Hospital (H3)";"RH","Regional / National Hospital (H1)"},2,0),
        $D41
      ),
      'Tools &amp; Targets_Guideline'!$C$53:$I$53,
      0
    )
  ),
0))</f>
        <v/>
      </c>
      <c r="O41" s="105"/>
      <c r="P41" s="119" t="str">
        <f t="array" ref="P41">IF(OR($B41="",$D41=""),"",
IFERROR(
  INDEX(
    'Tools &amp; Targets_Guideline'!$C$54:$I$269,
    MATCH(
      1,
      ('Tools &amp; Targets_Guideline'!$A$54:$A$269=$B41)*
      ('Tools &amp; Targets_Guideline'!$B$54:$B$269="Delivery"),
      0
    ),
    MATCH(
      _xludf.IFNA(
        VLOOKUP($D41,{"PH","Provincial Hospital (H2)";"DH","District Hospital (H3)";"RH","Regional / National Hospital (H1)"},2,0),
        $D41
      ),
      'Tools &amp; Targets_Guideline'!$C$53:$I$53,
      0
    )
  ),
0))</f>
        <v/>
      </c>
      <c r="Q41" s="105"/>
      <c r="R41" s="119" t="str">
        <f t="array" ref="R41">IF(OR($B41="",$D41=""),"",
IFERROR(
  INDEX(
    'Tools &amp; Targets_Guideline'!$C$54:$I$269,
    MATCH(
      1,
      ('Tools &amp; Targets_Guideline'!$A$54:$A$269=$B41)*
      ('Tools &amp; Targets_Guideline'!$B$54:$B$269="TT"),
      0
    ),
    MATCH(
      _xludf.IFNA(
        VLOOKUP($D41,{"PH","Provincial Hospital (H2)";"DH","District Hospital (H3)";"RH","Regional / National Hospital (H1)"},2,0),
        $D41
      ),
      'Tools &amp; Targets_Guideline'!$C$53:$I$53,
      0
    )
  ),
0))</f>
        <v/>
      </c>
      <c r="S41" s="105"/>
      <c r="T41" s="102"/>
      <c r="U41" s="106"/>
      <c r="V41" s="102" t="str">
        <f t="shared" si="1"/>
        <v/>
      </c>
      <c r="W41" s="102"/>
      <c r="X41" s="102"/>
      <c r="Y41" s="119" t="str">
        <f t="array" ref="Y41">IF(OR($B41="",$D41=""),"",
IFERROR(
  INDEX(
    'Tools &amp; Targets_Guideline'!$C$54:$I$269,
    MATCH(
      1,
      ('Tools &amp; Targets_Guideline'!$A$54:$A$269=$B41)*
      ('Tools &amp; Targets_Guideline'!$B$54:$B$269="GM"),
      0
    ),
    MATCH(
      _xludf.IFNA(
        VLOOKUP($D41,{"PH","Provincial Hospital (H2)";"DH","District Hospital (H3)";"RH","Regional / National Hospital (H1)"},2,0),
        $D41
      ),
      'Tools &amp; Targets_Guideline'!$C$53:$I$53,
      0
    )
  ),
0))</f>
        <v/>
      </c>
      <c r="Z41" s="105"/>
      <c r="AA41" s="119" t="str">
        <f t="array" ref="AA41">IF(OR($B41="",$D41=""),"",
IFERROR(
  INDEX(
    'Tools &amp; Targets_Guideline'!$C$54:$I$269,
    MATCH(
      1,
      ('Tools &amp; Targets_Guideline'!$A$54:$A$269=$B41)*
      ('Tools &amp; Targets_Guideline'!$B$54:$B$269="Penta"),
      0
    ),
    MATCH(
      _xludf.IFNA(
        VLOOKUP($D41,{"PH","Provincial Hospital (H2)";"DH","District Hospital (H3)";"RH","Regional / National Hospital (H1)"},2,0),
        $D41
      ),
      'Tools &amp; Targets_Guideline'!$C$53:$I$53,
      0
    )
  ),
0))</f>
        <v/>
      </c>
      <c r="AB41" s="105"/>
      <c r="AC41" s="119" t="str">
        <f t="array" ref="AC41">IF(OR($B41="",$D41=""),"",
IFERROR(
  INDEX(
    'Tools &amp; Targets_Guideline'!$C$54:$I$269,
    MATCH(
      1,
      ('Tools &amp; Targets_Guideline'!$A$54:$A$269=$B41)*
      ('Tools &amp; Targets_Guideline'!$B$54:$B$269="TB"),
      0
    ),
    MATCH(
      _xludf.IFNA(
        VLOOKUP($D41,{"PH","Provincial Hospital (H2)";"DH","District Hospital (H3)";"RH","Regional / National Hospital (H1)"},2,0),
        $D41
      ),
      'Tools &amp; Targets_Guideline'!$C$53:$I$53,
      0
    )
  ),
0))</f>
        <v/>
      </c>
      <c r="AD41" s="105"/>
      <c r="AE41" s="119" t="str">
        <f t="array" ref="AE41">IF(OR($B41="",$D41=""),"",
IFERROR(
  INDEX(
    'Tools &amp; Targets_Guideline'!$C$54:$I$269,
    MATCH(
      1,
      ('Tools &amp; Targets_Guideline'!$A$54:$A$269=$B41)*
      ('Tools &amp; Targets_Guideline'!$B$54:$B$269="U5 Morbidity"),
      0
    ),
    MATCH(
      _xludf.IFNA(
        VLOOKUP($D41,{"PH","Provincial Hospital (H2)";"DH","District Hospital (H3)";"RH","Regional / National Hospital (H1)"},2,0),
        $D41
      ),
      'Tools &amp; Targets_Guideline'!$C$53:$I$53,
      0
    )
  ),
0))</f>
        <v/>
      </c>
      <c r="AF41" s="105"/>
      <c r="AG41" s="119" t="str">
        <f t="array" ref="AG41">IF(OR($B41="",$D41=""),"",
IFERROR(
  INDEX(
    'Tools &amp; Targets_Guideline'!$C$54:$I$269,
    MATCH(
      1,
      ('Tools &amp; Targets_Guideline'!$A$54:$A$269=$B41)*
      ('Tools &amp; Targets_Guideline'!$B$54:$B$269="C-Section"),
      0
    ),
    MATCH(
      _xludf.IFNA(
        VLOOKUP($D41,{"PH","Provincial Hospital (H2)";"DH","District Hospital (H3)";"RH","Regional / National Hospital (H1)"},2,0),
        $D41
      ),
      'Tools &amp; Targets_Guideline'!$C$53:$I$53,
      0
    )
  ),
0))</f>
        <v/>
      </c>
      <c r="AH41" s="105" t="str">
        <f>IF(A41&lt;&gt;"",COUNTIFS('QA Log'!D:D,A41,'QA Log'!M:M,"QQC",'QA Log'!L:L,"2. Hygiene and Sterilization",'QA Log'!Z:Z,"Approved"),"")</f>
        <v/>
      </c>
      <c r="AI41" s="102"/>
      <c r="AJ41" s="102"/>
      <c r="AK41" s="103" t="str">
        <f t="shared" si="2"/>
        <v/>
      </c>
      <c r="AL41" s="102"/>
      <c r="AM41" s="102"/>
      <c r="AN41" s="102"/>
      <c r="AO41" s="106"/>
      <c r="AP41" s="103"/>
      <c r="AQ41" s="102"/>
      <c r="AR41" s="102"/>
      <c r="AS41" s="102"/>
      <c r="AT41" s="107"/>
      <c r="AU41" s="102" t="str">
        <f t="shared" si="3"/>
        <v/>
      </c>
      <c r="AV41" s="102" t="str">
        <f t="shared" si="4"/>
        <v/>
      </c>
      <c r="AW41" s="102" t="str">
        <f t="shared" si="5"/>
        <v/>
      </c>
      <c r="AX41" s="102" t="str">
        <f t="shared" si="6"/>
        <v/>
      </c>
      <c r="AY41" s="107" t="str">
        <f t="shared" si="7"/>
        <v/>
      </c>
      <c r="AZ41" s="108" t="str">
        <f t="shared" si="8"/>
        <v/>
      </c>
      <c r="BA41" s="108" t="str">
        <f t="shared" si="9"/>
        <v/>
      </c>
      <c r="BB41" s="109" t="str">
        <f t="shared" si="10"/>
        <v/>
      </c>
      <c r="BC41" s="108" t="str">
        <f t="shared" si="11"/>
        <v/>
      </c>
      <c r="BD41" s="108" t="str">
        <f t="shared" si="12"/>
        <v/>
      </c>
      <c r="BE41" s="109" t="str">
        <f t="shared" si="13"/>
        <v/>
      </c>
      <c r="BF41" s="110" t="str">
        <f t="shared" si="14"/>
        <v/>
      </c>
      <c r="BG41" s="111"/>
    </row>
    <row r="42" spans="1:59" ht="12.75">
      <c r="A42" s="101"/>
      <c r="B42" s="102"/>
      <c r="C42" s="102" t="e">
        <f t="array" aca="1" ref="C42" ca="1">_xludf.XLOOKUP(A42,'QA Log'!D:D,'QA Log'!F:F,"")</f>
        <v>#NAME?</v>
      </c>
      <c r="D42" s="102"/>
      <c r="E42" s="102" t="e">
        <f t="array" aca="1" ref="E42" ca="1">_xludf.XLOOKUP(A42,'QA Log'!D:D,'QA Log'!G:G,"")</f>
        <v>#NAME?</v>
      </c>
      <c r="F42" s="103"/>
      <c r="G42" s="104"/>
      <c r="H42" s="104"/>
      <c r="I42" s="103" t="str">
        <f t="shared" si="0"/>
        <v/>
      </c>
      <c r="J42" s="102"/>
      <c r="K42" s="102"/>
      <c r="L42" s="119" t="str">
        <f t="array" ref="L42">IF(OR($B42="",$D42=""),"",
IFERROR(
  INDEX(
    'Tools &amp; Targets_Guideline'!$C$54:$I$269,
    MATCH(
      1,
      ('Tools &amp; Targets_Guideline'!$A$54:$A$269=$B42)*
      ('Tools &amp; Targets_Guideline'!$B$54:$B$269="ANC"),
      0
    ),
    MATCH(
      _xludf.IFNA(
        VLOOKUP($D42,{"PH","Provincial Hospital (H2)";"DH","District Hospital (H3)";"RH","Regional / National Hospital (H1)"},2,0),
        $D42
      ),
      'Tools &amp; Targets_Guideline'!$C$53:$I$53,
      0
    )
  ),
0))</f>
        <v/>
      </c>
      <c r="M42" s="105"/>
      <c r="N42" s="119" t="str">
        <f t="array" ref="N42">IF(OR($B42="",$D42=""),"",
IFERROR(
  INDEX(
    'Tools &amp; Targets_Guideline'!$C$54:$I$269,
    MATCH(
      1,
      ('Tools &amp; Targets_Guideline'!$A$54:$A$269=$B42)*
      ('Tools &amp; Targets_Guideline'!$B$54:$B$269="PNC"),
      0
    ),
    MATCH(
      _xludf.IFNA(
        VLOOKUP($D42,{"PH","Provincial Hospital (H2)";"DH","District Hospital (H3)";"RH","Regional / National Hospital (H1)"},2,0),
        $D42
      ),
      'Tools &amp; Targets_Guideline'!$C$53:$I$53,
      0
    )
  ),
0))</f>
        <v/>
      </c>
      <c r="O42" s="105"/>
      <c r="P42" s="119" t="str">
        <f t="array" ref="P42">IF(OR($B42="",$D42=""),"",
IFERROR(
  INDEX(
    'Tools &amp; Targets_Guideline'!$C$54:$I$269,
    MATCH(
      1,
      ('Tools &amp; Targets_Guideline'!$A$54:$A$269=$B42)*
      ('Tools &amp; Targets_Guideline'!$B$54:$B$269="Delivery"),
      0
    ),
    MATCH(
      _xludf.IFNA(
        VLOOKUP($D42,{"PH","Provincial Hospital (H2)";"DH","District Hospital (H3)";"RH","Regional / National Hospital (H1)"},2,0),
        $D42
      ),
      'Tools &amp; Targets_Guideline'!$C$53:$I$53,
      0
    )
  ),
0))</f>
        <v/>
      </c>
      <c r="Q42" s="105"/>
      <c r="R42" s="119" t="str">
        <f t="array" ref="R42">IF(OR($B42="",$D42=""),"",
IFERROR(
  INDEX(
    'Tools &amp; Targets_Guideline'!$C$54:$I$269,
    MATCH(
      1,
      ('Tools &amp; Targets_Guideline'!$A$54:$A$269=$B42)*
      ('Tools &amp; Targets_Guideline'!$B$54:$B$269="TT"),
      0
    ),
    MATCH(
      _xludf.IFNA(
        VLOOKUP($D42,{"PH","Provincial Hospital (H2)";"DH","District Hospital (H3)";"RH","Regional / National Hospital (H1)"},2,0),
        $D42
      ),
      'Tools &amp; Targets_Guideline'!$C$53:$I$53,
      0
    )
  ),
0))</f>
        <v/>
      </c>
      <c r="S42" s="105"/>
      <c r="T42" s="102"/>
      <c r="U42" s="106"/>
      <c r="V42" s="102" t="str">
        <f t="shared" si="1"/>
        <v/>
      </c>
      <c r="W42" s="102"/>
      <c r="X42" s="102"/>
      <c r="Y42" s="119" t="str">
        <f t="array" ref="Y42">IF(OR($B42="",$D42=""),"",
IFERROR(
  INDEX(
    'Tools &amp; Targets_Guideline'!$C$54:$I$269,
    MATCH(
      1,
      ('Tools &amp; Targets_Guideline'!$A$54:$A$269=$B42)*
      ('Tools &amp; Targets_Guideline'!$B$54:$B$269="GM"),
      0
    ),
    MATCH(
      _xludf.IFNA(
        VLOOKUP($D42,{"PH","Provincial Hospital (H2)";"DH","District Hospital (H3)";"RH","Regional / National Hospital (H1)"},2,0),
        $D42
      ),
      'Tools &amp; Targets_Guideline'!$C$53:$I$53,
      0
    )
  ),
0))</f>
        <v/>
      </c>
      <c r="Z42" s="105"/>
      <c r="AA42" s="119" t="str">
        <f t="array" ref="AA42">IF(OR($B42="",$D42=""),"",
IFERROR(
  INDEX(
    'Tools &amp; Targets_Guideline'!$C$54:$I$269,
    MATCH(
      1,
      ('Tools &amp; Targets_Guideline'!$A$54:$A$269=$B42)*
      ('Tools &amp; Targets_Guideline'!$B$54:$B$269="Penta"),
      0
    ),
    MATCH(
      _xludf.IFNA(
        VLOOKUP($D42,{"PH","Provincial Hospital (H2)";"DH","District Hospital (H3)";"RH","Regional / National Hospital (H1)"},2,0),
        $D42
      ),
      'Tools &amp; Targets_Guideline'!$C$53:$I$53,
      0
    )
  ),
0))</f>
        <v/>
      </c>
      <c r="AB42" s="105"/>
      <c r="AC42" s="119" t="str">
        <f t="array" ref="AC42">IF(OR($B42="",$D42=""),"",
IFERROR(
  INDEX(
    'Tools &amp; Targets_Guideline'!$C$54:$I$269,
    MATCH(
      1,
      ('Tools &amp; Targets_Guideline'!$A$54:$A$269=$B42)*
      ('Tools &amp; Targets_Guideline'!$B$54:$B$269="TB"),
      0
    ),
    MATCH(
      _xludf.IFNA(
        VLOOKUP($D42,{"PH","Provincial Hospital (H2)";"DH","District Hospital (H3)";"RH","Regional / National Hospital (H1)"},2,0),
        $D42
      ),
      'Tools &amp; Targets_Guideline'!$C$53:$I$53,
      0
    )
  ),
0))</f>
        <v/>
      </c>
      <c r="AD42" s="105"/>
      <c r="AE42" s="119" t="str">
        <f t="array" ref="AE42">IF(OR($B42="",$D42=""),"",
IFERROR(
  INDEX(
    'Tools &amp; Targets_Guideline'!$C$54:$I$269,
    MATCH(
      1,
      ('Tools &amp; Targets_Guideline'!$A$54:$A$269=$B42)*
      ('Tools &amp; Targets_Guideline'!$B$54:$B$269="U5 Morbidity"),
      0
    ),
    MATCH(
      _xludf.IFNA(
        VLOOKUP($D42,{"PH","Provincial Hospital (H2)";"DH","District Hospital (H3)";"RH","Regional / National Hospital (H1)"},2,0),
        $D42
      ),
      'Tools &amp; Targets_Guideline'!$C$53:$I$53,
      0
    )
  ),
0))</f>
        <v/>
      </c>
      <c r="AF42" s="105"/>
      <c r="AG42" s="119" t="str">
        <f t="array" ref="AG42">IF(OR($B42="",$D42=""),"",
IFERROR(
  INDEX(
    'Tools &amp; Targets_Guideline'!$C$54:$I$269,
    MATCH(
      1,
      ('Tools &amp; Targets_Guideline'!$A$54:$A$269=$B42)*
      ('Tools &amp; Targets_Guideline'!$B$54:$B$269="C-Section"),
      0
    ),
    MATCH(
      _xludf.IFNA(
        VLOOKUP($D42,{"PH","Provincial Hospital (H2)";"DH","District Hospital (H3)";"RH","Regional / National Hospital (H1)"},2,0),
        $D42
      ),
      'Tools &amp; Targets_Guideline'!$C$53:$I$53,
      0
    )
  ),
0))</f>
        <v/>
      </c>
      <c r="AH42" s="105" t="str">
        <f>IF(A42&lt;&gt;"",COUNTIFS('QA Log'!D:D,A42,'QA Log'!M:M,"QQC",'QA Log'!L:L,"2. Hygiene and Sterilization",'QA Log'!Z:Z,"Approved"),"")</f>
        <v/>
      </c>
      <c r="AI42" s="102"/>
      <c r="AJ42" s="102"/>
      <c r="AK42" s="103" t="str">
        <f t="shared" si="2"/>
        <v/>
      </c>
      <c r="AL42" s="102"/>
      <c r="AM42" s="102"/>
      <c r="AN42" s="102"/>
      <c r="AO42" s="106"/>
      <c r="AP42" s="103"/>
      <c r="AQ42" s="102"/>
      <c r="AR42" s="102"/>
      <c r="AS42" s="102"/>
      <c r="AT42" s="107"/>
      <c r="AU42" s="102" t="str">
        <f t="shared" si="3"/>
        <v/>
      </c>
      <c r="AV42" s="102" t="str">
        <f t="shared" si="4"/>
        <v/>
      </c>
      <c r="AW42" s="102" t="str">
        <f t="shared" si="5"/>
        <v/>
      </c>
      <c r="AX42" s="102" t="str">
        <f t="shared" si="6"/>
        <v/>
      </c>
      <c r="AY42" s="107" t="str">
        <f t="shared" si="7"/>
        <v/>
      </c>
      <c r="AZ42" s="108" t="str">
        <f t="shared" si="8"/>
        <v/>
      </c>
      <c r="BA42" s="108" t="str">
        <f t="shared" si="9"/>
        <v/>
      </c>
      <c r="BB42" s="109" t="str">
        <f t="shared" si="10"/>
        <v/>
      </c>
      <c r="BC42" s="108" t="str">
        <f t="shared" si="11"/>
        <v/>
      </c>
      <c r="BD42" s="108" t="str">
        <f t="shared" si="12"/>
        <v/>
      </c>
      <c r="BE42" s="109" t="str">
        <f t="shared" si="13"/>
        <v/>
      </c>
      <c r="BF42" s="110" t="str">
        <f t="shared" si="14"/>
        <v/>
      </c>
      <c r="BG42" s="111"/>
    </row>
    <row r="43" spans="1:59" ht="12.75">
      <c r="A43" s="101"/>
      <c r="B43" s="102"/>
      <c r="C43" s="102" t="e">
        <f t="array" aca="1" ref="C43" ca="1">_xludf.XLOOKUP(A43,'QA Log'!D:D,'QA Log'!F:F,"")</f>
        <v>#NAME?</v>
      </c>
      <c r="D43" s="102"/>
      <c r="E43" s="102" t="e">
        <f t="array" aca="1" ref="E43" ca="1">_xludf.XLOOKUP(A43,'QA Log'!D:D,'QA Log'!G:G,"")</f>
        <v>#NAME?</v>
      </c>
      <c r="F43" s="103"/>
      <c r="G43" s="104"/>
      <c r="H43" s="104"/>
      <c r="I43" s="103" t="str">
        <f t="shared" si="0"/>
        <v/>
      </c>
      <c r="J43" s="102"/>
      <c r="K43" s="102"/>
      <c r="L43" s="119" t="str">
        <f t="array" ref="L43">IF(OR($B43="",$D43=""),"",
IFERROR(
  INDEX(
    'Tools &amp; Targets_Guideline'!$C$54:$I$269,
    MATCH(
      1,
      ('Tools &amp; Targets_Guideline'!$A$54:$A$269=$B43)*
      ('Tools &amp; Targets_Guideline'!$B$54:$B$269="ANC"),
      0
    ),
    MATCH(
      _xludf.IFNA(
        VLOOKUP($D43,{"PH","Provincial Hospital (H2)";"DH","District Hospital (H3)";"RH","Regional / National Hospital (H1)"},2,0),
        $D43
      ),
      'Tools &amp; Targets_Guideline'!$C$53:$I$53,
      0
    )
  ),
0))</f>
        <v/>
      </c>
      <c r="M43" s="105"/>
      <c r="N43" s="119" t="str">
        <f t="array" ref="N43">IF(OR($B43="",$D43=""),"",
IFERROR(
  INDEX(
    'Tools &amp; Targets_Guideline'!$C$54:$I$269,
    MATCH(
      1,
      ('Tools &amp; Targets_Guideline'!$A$54:$A$269=$B43)*
      ('Tools &amp; Targets_Guideline'!$B$54:$B$269="PNC"),
      0
    ),
    MATCH(
      _xludf.IFNA(
        VLOOKUP($D43,{"PH","Provincial Hospital (H2)";"DH","District Hospital (H3)";"RH","Regional / National Hospital (H1)"},2,0),
        $D43
      ),
      'Tools &amp; Targets_Guideline'!$C$53:$I$53,
      0
    )
  ),
0))</f>
        <v/>
      </c>
      <c r="O43" s="105"/>
      <c r="P43" s="119" t="str">
        <f t="array" ref="P43">IF(OR($B43="",$D43=""),"",
IFERROR(
  INDEX(
    'Tools &amp; Targets_Guideline'!$C$54:$I$269,
    MATCH(
      1,
      ('Tools &amp; Targets_Guideline'!$A$54:$A$269=$B43)*
      ('Tools &amp; Targets_Guideline'!$B$54:$B$269="Delivery"),
      0
    ),
    MATCH(
      _xludf.IFNA(
        VLOOKUP($D43,{"PH","Provincial Hospital (H2)";"DH","District Hospital (H3)";"RH","Regional / National Hospital (H1)"},2,0),
        $D43
      ),
      'Tools &amp; Targets_Guideline'!$C$53:$I$53,
      0
    )
  ),
0))</f>
        <v/>
      </c>
      <c r="Q43" s="105"/>
      <c r="R43" s="119" t="str">
        <f t="array" ref="R43">IF(OR($B43="",$D43=""),"",
IFERROR(
  INDEX(
    'Tools &amp; Targets_Guideline'!$C$54:$I$269,
    MATCH(
      1,
      ('Tools &amp; Targets_Guideline'!$A$54:$A$269=$B43)*
      ('Tools &amp; Targets_Guideline'!$B$54:$B$269="TT"),
      0
    ),
    MATCH(
      _xludf.IFNA(
        VLOOKUP($D43,{"PH","Provincial Hospital (H2)";"DH","District Hospital (H3)";"RH","Regional / National Hospital (H1)"},2,0),
        $D43
      ),
      'Tools &amp; Targets_Guideline'!$C$53:$I$53,
      0
    )
  ),
0))</f>
        <v/>
      </c>
      <c r="S43" s="105"/>
      <c r="T43" s="102"/>
      <c r="U43" s="106"/>
      <c r="V43" s="102" t="str">
        <f t="shared" si="1"/>
        <v/>
      </c>
      <c r="W43" s="102"/>
      <c r="X43" s="102"/>
      <c r="Y43" s="119" t="str">
        <f t="array" ref="Y43">IF(OR($B43="",$D43=""),"",
IFERROR(
  INDEX(
    'Tools &amp; Targets_Guideline'!$C$54:$I$269,
    MATCH(
      1,
      ('Tools &amp; Targets_Guideline'!$A$54:$A$269=$B43)*
      ('Tools &amp; Targets_Guideline'!$B$54:$B$269="GM"),
      0
    ),
    MATCH(
      _xludf.IFNA(
        VLOOKUP($D43,{"PH","Provincial Hospital (H2)";"DH","District Hospital (H3)";"RH","Regional / National Hospital (H1)"},2,0),
        $D43
      ),
      'Tools &amp; Targets_Guideline'!$C$53:$I$53,
      0
    )
  ),
0))</f>
        <v/>
      </c>
      <c r="Z43" s="105"/>
      <c r="AA43" s="119" t="str">
        <f t="array" ref="AA43">IF(OR($B43="",$D43=""),"",
IFERROR(
  INDEX(
    'Tools &amp; Targets_Guideline'!$C$54:$I$269,
    MATCH(
      1,
      ('Tools &amp; Targets_Guideline'!$A$54:$A$269=$B43)*
      ('Tools &amp; Targets_Guideline'!$B$54:$B$269="Penta"),
      0
    ),
    MATCH(
      _xludf.IFNA(
        VLOOKUP($D43,{"PH","Provincial Hospital (H2)";"DH","District Hospital (H3)";"RH","Regional / National Hospital (H1)"},2,0),
        $D43
      ),
      'Tools &amp; Targets_Guideline'!$C$53:$I$53,
      0
    )
  ),
0))</f>
        <v/>
      </c>
      <c r="AB43" s="105"/>
      <c r="AC43" s="119" t="str">
        <f t="array" ref="AC43">IF(OR($B43="",$D43=""),"",
IFERROR(
  INDEX(
    'Tools &amp; Targets_Guideline'!$C$54:$I$269,
    MATCH(
      1,
      ('Tools &amp; Targets_Guideline'!$A$54:$A$269=$B43)*
      ('Tools &amp; Targets_Guideline'!$B$54:$B$269="TB"),
      0
    ),
    MATCH(
      _xludf.IFNA(
        VLOOKUP($D43,{"PH","Provincial Hospital (H2)";"DH","District Hospital (H3)";"RH","Regional / National Hospital (H1)"},2,0),
        $D43
      ),
      'Tools &amp; Targets_Guideline'!$C$53:$I$53,
      0
    )
  ),
0))</f>
        <v/>
      </c>
      <c r="AD43" s="105"/>
      <c r="AE43" s="119" t="str">
        <f t="array" ref="AE43">IF(OR($B43="",$D43=""),"",
IFERROR(
  INDEX(
    'Tools &amp; Targets_Guideline'!$C$54:$I$269,
    MATCH(
      1,
      ('Tools &amp; Targets_Guideline'!$A$54:$A$269=$B43)*
      ('Tools &amp; Targets_Guideline'!$B$54:$B$269="U5 Morbidity"),
      0
    ),
    MATCH(
      _xludf.IFNA(
        VLOOKUP($D43,{"PH","Provincial Hospital (H2)";"DH","District Hospital (H3)";"RH","Regional / National Hospital (H1)"},2,0),
        $D43
      ),
      'Tools &amp; Targets_Guideline'!$C$53:$I$53,
      0
    )
  ),
0))</f>
        <v/>
      </c>
      <c r="AF43" s="105"/>
      <c r="AG43" s="119" t="str">
        <f t="array" ref="AG43">IF(OR($B43="",$D43=""),"",
IFERROR(
  INDEX(
    'Tools &amp; Targets_Guideline'!$C$54:$I$269,
    MATCH(
      1,
      ('Tools &amp; Targets_Guideline'!$A$54:$A$269=$B43)*
      ('Tools &amp; Targets_Guideline'!$B$54:$B$269="C-Section"),
      0
    ),
    MATCH(
      _xludf.IFNA(
        VLOOKUP($D43,{"PH","Provincial Hospital (H2)";"DH","District Hospital (H3)";"RH","Regional / National Hospital (H1)"},2,0),
        $D43
      ),
      'Tools &amp; Targets_Guideline'!$C$53:$I$53,
      0
    )
  ),
0))</f>
        <v/>
      </c>
      <c r="AH43" s="105" t="str">
        <f>IF(A43&lt;&gt;"",COUNTIFS('QA Log'!D:D,A43,'QA Log'!M:M,"QQC",'QA Log'!L:L,"2. Hygiene and Sterilization",'QA Log'!Z:Z,"Approved"),"")</f>
        <v/>
      </c>
      <c r="AI43" s="102"/>
      <c r="AJ43" s="102"/>
      <c r="AK43" s="103" t="str">
        <f t="shared" si="2"/>
        <v/>
      </c>
      <c r="AL43" s="102"/>
      <c r="AM43" s="102"/>
      <c r="AN43" s="102"/>
      <c r="AO43" s="106"/>
      <c r="AP43" s="103"/>
      <c r="AQ43" s="102"/>
      <c r="AR43" s="102"/>
      <c r="AS43" s="102"/>
      <c r="AT43" s="107"/>
      <c r="AU43" s="102" t="str">
        <f t="shared" si="3"/>
        <v/>
      </c>
      <c r="AV43" s="102" t="str">
        <f t="shared" si="4"/>
        <v/>
      </c>
      <c r="AW43" s="102" t="str">
        <f t="shared" si="5"/>
        <v/>
      </c>
      <c r="AX43" s="102" t="str">
        <f t="shared" si="6"/>
        <v/>
      </c>
      <c r="AY43" s="107" t="str">
        <f t="shared" si="7"/>
        <v/>
      </c>
      <c r="AZ43" s="108" t="str">
        <f t="shared" si="8"/>
        <v/>
      </c>
      <c r="BA43" s="108" t="str">
        <f t="shared" si="9"/>
        <v/>
      </c>
      <c r="BB43" s="109" t="str">
        <f t="shared" si="10"/>
        <v/>
      </c>
      <c r="BC43" s="108" t="str">
        <f t="shared" si="11"/>
        <v/>
      </c>
      <c r="BD43" s="108" t="str">
        <f t="shared" si="12"/>
        <v/>
      </c>
      <c r="BE43" s="109" t="str">
        <f t="shared" si="13"/>
        <v/>
      </c>
      <c r="BF43" s="110" t="str">
        <f t="shared" si="14"/>
        <v/>
      </c>
      <c r="BG43" s="111"/>
    </row>
    <row r="44" spans="1:59" ht="12.75">
      <c r="A44" s="101"/>
      <c r="B44" s="102"/>
      <c r="C44" s="102" t="e">
        <f t="array" aca="1" ref="C44" ca="1">_xludf.XLOOKUP(A44,'QA Log'!D:D,'QA Log'!F:F,"")</f>
        <v>#NAME?</v>
      </c>
      <c r="D44" s="102"/>
      <c r="E44" s="102" t="e">
        <f t="array" aca="1" ref="E44" ca="1">_xludf.XLOOKUP(A44,'QA Log'!D:D,'QA Log'!G:G,"")</f>
        <v>#NAME?</v>
      </c>
      <c r="F44" s="103"/>
      <c r="G44" s="104"/>
      <c r="H44" s="104"/>
      <c r="I44" s="103" t="str">
        <f t="shared" si="0"/>
        <v/>
      </c>
      <c r="J44" s="102"/>
      <c r="K44" s="102"/>
      <c r="L44" s="119" t="str">
        <f t="array" ref="L44">IF(OR($B44="",$D44=""),"",
IFERROR(
  INDEX(
    'Tools &amp; Targets_Guideline'!$C$54:$I$269,
    MATCH(
      1,
      ('Tools &amp; Targets_Guideline'!$A$54:$A$269=$B44)*
      ('Tools &amp; Targets_Guideline'!$B$54:$B$269="ANC"),
      0
    ),
    MATCH(
      _xludf.IFNA(
        VLOOKUP($D44,{"PH","Provincial Hospital (H2)";"DH","District Hospital (H3)";"RH","Regional / National Hospital (H1)"},2,0),
        $D44
      ),
      'Tools &amp; Targets_Guideline'!$C$53:$I$53,
      0
    )
  ),
0))</f>
        <v/>
      </c>
      <c r="M44" s="105"/>
      <c r="N44" s="119" t="str">
        <f t="array" ref="N44">IF(OR($B44="",$D44=""),"",
IFERROR(
  INDEX(
    'Tools &amp; Targets_Guideline'!$C$54:$I$269,
    MATCH(
      1,
      ('Tools &amp; Targets_Guideline'!$A$54:$A$269=$B44)*
      ('Tools &amp; Targets_Guideline'!$B$54:$B$269="PNC"),
      0
    ),
    MATCH(
      _xludf.IFNA(
        VLOOKUP($D44,{"PH","Provincial Hospital (H2)";"DH","District Hospital (H3)";"RH","Regional / National Hospital (H1)"},2,0),
        $D44
      ),
      'Tools &amp; Targets_Guideline'!$C$53:$I$53,
      0
    )
  ),
0))</f>
        <v/>
      </c>
      <c r="O44" s="105"/>
      <c r="P44" s="119" t="str">
        <f t="array" ref="P44">IF(OR($B44="",$D44=""),"",
IFERROR(
  INDEX(
    'Tools &amp; Targets_Guideline'!$C$54:$I$269,
    MATCH(
      1,
      ('Tools &amp; Targets_Guideline'!$A$54:$A$269=$B44)*
      ('Tools &amp; Targets_Guideline'!$B$54:$B$269="Delivery"),
      0
    ),
    MATCH(
      _xludf.IFNA(
        VLOOKUP($D44,{"PH","Provincial Hospital (H2)";"DH","District Hospital (H3)";"RH","Regional / National Hospital (H1)"},2,0),
        $D44
      ),
      'Tools &amp; Targets_Guideline'!$C$53:$I$53,
      0
    )
  ),
0))</f>
        <v/>
      </c>
      <c r="Q44" s="105"/>
      <c r="R44" s="119" t="str">
        <f t="array" ref="R44">IF(OR($B44="",$D44=""),"",
IFERROR(
  INDEX(
    'Tools &amp; Targets_Guideline'!$C$54:$I$269,
    MATCH(
      1,
      ('Tools &amp; Targets_Guideline'!$A$54:$A$269=$B44)*
      ('Tools &amp; Targets_Guideline'!$B$54:$B$269="TT"),
      0
    ),
    MATCH(
      _xludf.IFNA(
        VLOOKUP($D44,{"PH","Provincial Hospital (H2)";"DH","District Hospital (H3)";"RH","Regional / National Hospital (H1)"},2,0),
        $D44
      ),
      'Tools &amp; Targets_Guideline'!$C$53:$I$53,
      0
    )
  ),
0))</f>
        <v/>
      </c>
      <c r="S44" s="105"/>
      <c r="T44" s="102"/>
      <c r="U44" s="106"/>
      <c r="V44" s="102" t="str">
        <f t="shared" si="1"/>
        <v/>
      </c>
      <c r="W44" s="102"/>
      <c r="X44" s="102"/>
      <c r="Y44" s="119" t="str">
        <f t="array" ref="Y44">IF(OR($B44="",$D44=""),"",
IFERROR(
  INDEX(
    'Tools &amp; Targets_Guideline'!$C$54:$I$269,
    MATCH(
      1,
      ('Tools &amp; Targets_Guideline'!$A$54:$A$269=$B44)*
      ('Tools &amp; Targets_Guideline'!$B$54:$B$269="GM"),
      0
    ),
    MATCH(
      _xludf.IFNA(
        VLOOKUP($D44,{"PH","Provincial Hospital (H2)";"DH","District Hospital (H3)";"RH","Regional / National Hospital (H1)"},2,0),
        $D44
      ),
      'Tools &amp; Targets_Guideline'!$C$53:$I$53,
      0
    )
  ),
0))</f>
        <v/>
      </c>
      <c r="Z44" s="105"/>
      <c r="AA44" s="119" t="str">
        <f t="array" ref="AA44">IF(OR($B44="",$D44=""),"",
IFERROR(
  INDEX(
    'Tools &amp; Targets_Guideline'!$C$54:$I$269,
    MATCH(
      1,
      ('Tools &amp; Targets_Guideline'!$A$54:$A$269=$B44)*
      ('Tools &amp; Targets_Guideline'!$B$54:$B$269="Penta"),
      0
    ),
    MATCH(
      _xludf.IFNA(
        VLOOKUP($D44,{"PH","Provincial Hospital (H2)";"DH","District Hospital (H3)";"RH","Regional / National Hospital (H1)"},2,0),
        $D44
      ),
      'Tools &amp; Targets_Guideline'!$C$53:$I$53,
      0
    )
  ),
0))</f>
        <v/>
      </c>
      <c r="AB44" s="105"/>
      <c r="AC44" s="119" t="str">
        <f t="array" ref="AC44">IF(OR($B44="",$D44=""),"",
IFERROR(
  INDEX(
    'Tools &amp; Targets_Guideline'!$C$54:$I$269,
    MATCH(
      1,
      ('Tools &amp; Targets_Guideline'!$A$54:$A$269=$B44)*
      ('Tools &amp; Targets_Guideline'!$B$54:$B$269="TB"),
      0
    ),
    MATCH(
      _xludf.IFNA(
        VLOOKUP($D44,{"PH","Provincial Hospital (H2)";"DH","District Hospital (H3)";"RH","Regional / National Hospital (H1)"},2,0),
        $D44
      ),
      'Tools &amp; Targets_Guideline'!$C$53:$I$53,
      0
    )
  ),
0))</f>
        <v/>
      </c>
      <c r="AD44" s="105"/>
      <c r="AE44" s="119" t="str">
        <f t="array" ref="AE44">IF(OR($B44="",$D44=""),"",
IFERROR(
  INDEX(
    'Tools &amp; Targets_Guideline'!$C$54:$I$269,
    MATCH(
      1,
      ('Tools &amp; Targets_Guideline'!$A$54:$A$269=$B44)*
      ('Tools &amp; Targets_Guideline'!$B$54:$B$269="U5 Morbidity"),
      0
    ),
    MATCH(
      _xludf.IFNA(
        VLOOKUP($D44,{"PH","Provincial Hospital (H2)";"DH","District Hospital (H3)";"RH","Regional / National Hospital (H1)"},2,0),
        $D44
      ),
      'Tools &amp; Targets_Guideline'!$C$53:$I$53,
      0
    )
  ),
0))</f>
        <v/>
      </c>
      <c r="AF44" s="105"/>
      <c r="AG44" s="119" t="str">
        <f t="array" ref="AG44">IF(OR($B44="",$D44=""),"",
IFERROR(
  INDEX(
    'Tools &amp; Targets_Guideline'!$C$54:$I$269,
    MATCH(
      1,
      ('Tools &amp; Targets_Guideline'!$A$54:$A$269=$B44)*
      ('Tools &amp; Targets_Guideline'!$B$54:$B$269="C-Section"),
      0
    ),
    MATCH(
      _xludf.IFNA(
        VLOOKUP($D44,{"PH","Provincial Hospital (H2)";"DH","District Hospital (H3)";"RH","Regional / National Hospital (H1)"},2,0),
        $D44
      ),
      'Tools &amp; Targets_Guideline'!$C$53:$I$53,
      0
    )
  ),
0))</f>
        <v/>
      </c>
      <c r="AH44" s="105" t="str">
        <f>IF(A44&lt;&gt;"",COUNTIFS('QA Log'!D:D,A44,'QA Log'!M:M,"QQC",'QA Log'!L:L,"2. Hygiene and Sterilization",'QA Log'!Z:Z,"Approved"),"")</f>
        <v/>
      </c>
      <c r="AI44" s="102"/>
      <c r="AJ44" s="102"/>
      <c r="AK44" s="103" t="str">
        <f t="shared" si="2"/>
        <v/>
      </c>
      <c r="AL44" s="102"/>
      <c r="AM44" s="102"/>
      <c r="AN44" s="102"/>
      <c r="AO44" s="106"/>
      <c r="AP44" s="103"/>
      <c r="AQ44" s="102"/>
      <c r="AR44" s="102"/>
      <c r="AS44" s="102"/>
      <c r="AT44" s="107"/>
      <c r="AU44" s="102" t="str">
        <f t="shared" si="3"/>
        <v/>
      </c>
      <c r="AV44" s="102" t="str">
        <f t="shared" si="4"/>
        <v/>
      </c>
      <c r="AW44" s="102" t="str">
        <f t="shared" si="5"/>
        <v/>
      </c>
      <c r="AX44" s="102" t="str">
        <f t="shared" si="6"/>
        <v/>
      </c>
      <c r="AY44" s="107" t="str">
        <f t="shared" si="7"/>
        <v/>
      </c>
      <c r="AZ44" s="108" t="str">
        <f t="shared" si="8"/>
        <v/>
      </c>
      <c r="BA44" s="108" t="str">
        <f t="shared" si="9"/>
        <v/>
      </c>
      <c r="BB44" s="109" t="str">
        <f t="shared" si="10"/>
        <v/>
      </c>
      <c r="BC44" s="108" t="str">
        <f t="shared" si="11"/>
        <v/>
      </c>
      <c r="BD44" s="108" t="str">
        <f t="shared" si="12"/>
        <v/>
      </c>
      <c r="BE44" s="109" t="str">
        <f t="shared" si="13"/>
        <v/>
      </c>
      <c r="BF44" s="110" t="str">
        <f t="shared" si="14"/>
        <v/>
      </c>
      <c r="BG44" s="111"/>
    </row>
    <row r="45" spans="1:59" ht="12.75">
      <c r="A45" s="101"/>
      <c r="B45" s="102"/>
      <c r="C45" s="102" t="e">
        <f t="array" aca="1" ref="C45" ca="1">_xludf.XLOOKUP(A45,'QA Log'!D:D,'QA Log'!F:F,"")</f>
        <v>#NAME?</v>
      </c>
      <c r="D45" s="102"/>
      <c r="E45" s="102" t="e">
        <f t="array" aca="1" ref="E45" ca="1">_xludf.XLOOKUP(A45,'QA Log'!D:D,'QA Log'!G:G,"")</f>
        <v>#NAME?</v>
      </c>
      <c r="F45" s="103"/>
      <c r="G45" s="104"/>
      <c r="H45" s="104"/>
      <c r="I45" s="103" t="str">
        <f t="shared" si="0"/>
        <v/>
      </c>
      <c r="J45" s="102"/>
      <c r="K45" s="102"/>
      <c r="L45" s="119" t="str">
        <f t="array" ref="L45">IF(OR($B45="",$D45=""),"",
IFERROR(
  INDEX(
    'Tools &amp; Targets_Guideline'!$C$54:$I$269,
    MATCH(
      1,
      ('Tools &amp; Targets_Guideline'!$A$54:$A$269=$B45)*
      ('Tools &amp; Targets_Guideline'!$B$54:$B$269="ANC"),
      0
    ),
    MATCH(
      _xludf.IFNA(
        VLOOKUP($D45,{"PH","Provincial Hospital (H2)";"DH","District Hospital (H3)";"RH","Regional / National Hospital (H1)"},2,0),
        $D45
      ),
      'Tools &amp; Targets_Guideline'!$C$53:$I$53,
      0
    )
  ),
0))</f>
        <v/>
      </c>
      <c r="M45" s="105"/>
      <c r="N45" s="119" t="str">
        <f t="array" ref="N45">IF(OR($B45="",$D45=""),"",
IFERROR(
  INDEX(
    'Tools &amp; Targets_Guideline'!$C$54:$I$269,
    MATCH(
      1,
      ('Tools &amp; Targets_Guideline'!$A$54:$A$269=$B45)*
      ('Tools &amp; Targets_Guideline'!$B$54:$B$269="PNC"),
      0
    ),
    MATCH(
      _xludf.IFNA(
        VLOOKUP($D45,{"PH","Provincial Hospital (H2)";"DH","District Hospital (H3)";"RH","Regional / National Hospital (H1)"},2,0),
        $D45
      ),
      'Tools &amp; Targets_Guideline'!$C$53:$I$53,
      0
    )
  ),
0))</f>
        <v/>
      </c>
      <c r="O45" s="105"/>
      <c r="P45" s="119" t="str">
        <f t="array" ref="P45">IF(OR($B45="",$D45=""),"",
IFERROR(
  INDEX(
    'Tools &amp; Targets_Guideline'!$C$54:$I$269,
    MATCH(
      1,
      ('Tools &amp; Targets_Guideline'!$A$54:$A$269=$B45)*
      ('Tools &amp; Targets_Guideline'!$B$54:$B$269="Delivery"),
      0
    ),
    MATCH(
      _xludf.IFNA(
        VLOOKUP($D45,{"PH","Provincial Hospital (H2)";"DH","District Hospital (H3)";"RH","Regional / National Hospital (H1)"},2,0),
        $D45
      ),
      'Tools &amp; Targets_Guideline'!$C$53:$I$53,
      0
    )
  ),
0))</f>
        <v/>
      </c>
      <c r="Q45" s="105"/>
      <c r="R45" s="119" t="str">
        <f t="array" ref="R45">IF(OR($B45="",$D45=""),"",
IFERROR(
  INDEX(
    'Tools &amp; Targets_Guideline'!$C$54:$I$269,
    MATCH(
      1,
      ('Tools &amp; Targets_Guideline'!$A$54:$A$269=$B45)*
      ('Tools &amp; Targets_Guideline'!$B$54:$B$269="TT"),
      0
    ),
    MATCH(
      _xludf.IFNA(
        VLOOKUP($D45,{"PH","Provincial Hospital (H2)";"DH","District Hospital (H3)";"RH","Regional / National Hospital (H1)"},2,0),
        $D45
      ),
      'Tools &amp; Targets_Guideline'!$C$53:$I$53,
      0
    )
  ),
0))</f>
        <v/>
      </c>
      <c r="S45" s="105"/>
      <c r="T45" s="102"/>
      <c r="U45" s="106"/>
      <c r="V45" s="102" t="str">
        <f t="shared" si="1"/>
        <v/>
      </c>
      <c r="W45" s="102"/>
      <c r="X45" s="102"/>
      <c r="Y45" s="119" t="str">
        <f t="array" ref="Y45">IF(OR($B45="",$D45=""),"",
IFERROR(
  INDEX(
    'Tools &amp; Targets_Guideline'!$C$54:$I$269,
    MATCH(
      1,
      ('Tools &amp; Targets_Guideline'!$A$54:$A$269=$B45)*
      ('Tools &amp; Targets_Guideline'!$B$54:$B$269="GM"),
      0
    ),
    MATCH(
      _xludf.IFNA(
        VLOOKUP($D45,{"PH","Provincial Hospital (H2)";"DH","District Hospital (H3)";"RH","Regional / National Hospital (H1)"},2,0),
        $D45
      ),
      'Tools &amp; Targets_Guideline'!$C$53:$I$53,
      0
    )
  ),
0))</f>
        <v/>
      </c>
      <c r="Z45" s="105"/>
      <c r="AA45" s="119" t="str">
        <f t="array" ref="AA45">IF(OR($B45="",$D45=""),"",
IFERROR(
  INDEX(
    'Tools &amp; Targets_Guideline'!$C$54:$I$269,
    MATCH(
      1,
      ('Tools &amp; Targets_Guideline'!$A$54:$A$269=$B45)*
      ('Tools &amp; Targets_Guideline'!$B$54:$B$269="Penta"),
      0
    ),
    MATCH(
      _xludf.IFNA(
        VLOOKUP($D45,{"PH","Provincial Hospital (H2)";"DH","District Hospital (H3)";"RH","Regional / National Hospital (H1)"},2,0),
        $D45
      ),
      'Tools &amp; Targets_Guideline'!$C$53:$I$53,
      0
    )
  ),
0))</f>
        <v/>
      </c>
      <c r="AB45" s="105"/>
      <c r="AC45" s="119" t="str">
        <f t="array" ref="AC45">IF(OR($B45="",$D45=""),"",
IFERROR(
  INDEX(
    'Tools &amp; Targets_Guideline'!$C$54:$I$269,
    MATCH(
      1,
      ('Tools &amp; Targets_Guideline'!$A$54:$A$269=$B45)*
      ('Tools &amp; Targets_Guideline'!$B$54:$B$269="TB"),
      0
    ),
    MATCH(
      _xludf.IFNA(
        VLOOKUP($D45,{"PH","Provincial Hospital (H2)";"DH","District Hospital (H3)";"RH","Regional / National Hospital (H1)"},2,0),
        $D45
      ),
      'Tools &amp; Targets_Guideline'!$C$53:$I$53,
      0
    )
  ),
0))</f>
        <v/>
      </c>
      <c r="AD45" s="105"/>
      <c r="AE45" s="119" t="str">
        <f t="array" ref="AE45">IF(OR($B45="",$D45=""),"",
IFERROR(
  INDEX(
    'Tools &amp; Targets_Guideline'!$C$54:$I$269,
    MATCH(
      1,
      ('Tools &amp; Targets_Guideline'!$A$54:$A$269=$B45)*
      ('Tools &amp; Targets_Guideline'!$B$54:$B$269="U5 Morbidity"),
      0
    ),
    MATCH(
      _xludf.IFNA(
        VLOOKUP($D45,{"PH","Provincial Hospital (H2)";"DH","District Hospital (H3)";"RH","Regional / National Hospital (H1)"},2,0),
        $D45
      ),
      'Tools &amp; Targets_Guideline'!$C$53:$I$53,
      0
    )
  ),
0))</f>
        <v/>
      </c>
      <c r="AF45" s="105"/>
      <c r="AG45" s="119" t="str">
        <f t="array" ref="AG45">IF(OR($B45="",$D45=""),"",
IFERROR(
  INDEX(
    'Tools &amp; Targets_Guideline'!$C$54:$I$269,
    MATCH(
      1,
      ('Tools &amp; Targets_Guideline'!$A$54:$A$269=$B45)*
      ('Tools &amp; Targets_Guideline'!$B$54:$B$269="C-Section"),
      0
    ),
    MATCH(
      _xludf.IFNA(
        VLOOKUP($D45,{"PH","Provincial Hospital (H2)";"DH","District Hospital (H3)";"RH","Regional / National Hospital (H1)"},2,0),
        $D45
      ),
      'Tools &amp; Targets_Guideline'!$C$53:$I$53,
      0
    )
  ),
0))</f>
        <v/>
      </c>
      <c r="AH45" s="105" t="str">
        <f>IF(A45&lt;&gt;"",COUNTIFS('QA Log'!D:D,A45,'QA Log'!M:M,"QQC",'QA Log'!L:L,"2. Hygiene and Sterilization",'QA Log'!Z:Z,"Approved"),"")</f>
        <v/>
      </c>
      <c r="AI45" s="102"/>
      <c r="AJ45" s="102"/>
      <c r="AK45" s="103" t="str">
        <f t="shared" si="2"/>
        <v/>
      </c>
      <c r="AL45" s="102"/>
      <c r="AM45" s="102"/>
      <c r="AN45" s="102"/>
      <c r="AO45" s="106"/>
      <c r="AP45" s="103"/>
      <c r="AQ45" s="102"/>
      <c r="AR45" s="102"/>
      <c r="AS45" s="102"/>
      <c r="AT45" s="107"/>
      <c r="AU45" s="102" t="str">
        <f t="shared" si="3"/>
        <v/>
      </c>
      <c r="AV45" s="102" t="str">
        <f t="shared" si="4"/>
        <v/>
      </c>
      <c r="AW45" s="102" t="str">
        <f t="shared" si="5"/>
        <v/>
      </c>
      <c r="AX45" s="102" t="str">
        <f t="shared" si="6"/>
        <v/>
      </c>
      <c r="AY45" s="107" t="str">
        <f t="shared" si="7"/>
        <v/>
      </c>
      <c r="AZ45" s="108" t="str">
        <f t="shared" si="8"/>
        <v/>
      </c>
      <c r="BA45" s="108" t="str">
        <f t="shared" si="9"/>
        <v/>
      </c>
      <c r="BB45" s="109" t="str">
        <f t="shared" si="10"/>
        <v/>
      </c>
      <c r="BC45" s="108" t="str">
        <f t="shared" si="11"/>
        <v/>
      </c>
      <c r="BD45" s="108" t="str">
        <f t="shared" si="12"/>
        <v/>
      </c>
      <c r="BE45" s="109" t="str">
        <f t="shared" si="13"/>
        <v/>
      </c>
      <c r="BF45" s="110" t="str">
        <f t="shared" si="14"/>
        <v/>
      </c>
      <c r="BG45" s="111"/>
    </row>
    <row r="46" spans="1:59" ht="12.75">
      <c r="A46" s="101"/>
      <c r="B46" s="102"/>
      <c r="C46" s="102" t="e">
        <f t="array" aca="1" ref="C46" ca="1">_xludf.XLOOKUP(A46,'QA Log'!D:D,'QA Log'!F:F,"")</f>
        <v>#NAME?</v>
      </c>
      <c r="D46" s="102"/>
      <c r="E46" s="102" t="e">
        <f t="array" aca="1" ref="E46" ca="1">_xludf.XLOOKUP(A46,'QA Log'!D:D,'QA Log'!G:G,"")</f>
        <v>#NAME?</v>
      </c>
      <c r="F46" s="103"/>
      <c r="G46" s="104"/>
      <c r="H46" s="104"/>
      <c r="I46" s="103" t="str">
        <f t="shared" si="0"/>
        <v/>
      </c>
      <c r="J46" s="102"/>
      <c r="K46" s="102"/>
      <c r="L46" s="119" t="str">
        <f t="array" ref="L46">IF(OR($B46="",$D46=""),"",
IFERROR(
  INDEX(
    'Tools &amp; Targets_Guideline'!$C$54:$I$269,
    MATCH(
      1,
      ('Tools &amp; Targets_Guideline'!$A$54:$A$269=$B46)*
      ('Tools &amp; Targets_Guideline'!$B$54:$B$269="ANC"),
      0
    ),
    MATCH(
      _xludf.IFNA(
        VLOOKUP($D46,{"PH","Provincial Hospital (H2)";"DH","District Hospital (H3)";"RH","Regional / National Hospital (H1)"},2,0),
        $D46
      ),
      'Tools &amp; Targets_Guideline'!$C$53:$I$53,
      0
    )
  ),
0))</f>
        <v/>
      </c>
      <c r="M46" s="105"/>
      <c r="N46" s="119" t="str">
        <f t="array" ref="N46">IF(OR($B46="",$D46=""),"",
IFERROR(
  INDEX(
    'Tools &amp; Targets_Guideline'!$C$54:$I$269,
    MATCH(
      1,
      ('Tools &amp; Targets_Guideline'!$A$54:$A$269=$B46)*
      ('Tools &amp; Targets_Guideline'!$B$54:$B$269="PNC"),
      0
    ),
    MATCH(
      _xludf.IFNA(
        VLOOKUP($D46,{"PH","Provincial Hospital (H2)";"DH","District Hospital (H3)";"RH","Regional / National Hospital (H1)"},2,0),
        $D46
      ),
      'Tools &amp; Targets_Guideline'!$C$53:$I$53,
      0
    )
  ),
0))</f>
        <v/>
      </c>
      <c r="O46" s="105"/>
      <c r="P46" s="119" t="str">
        <f t="array" ref="P46">IF(OR($B46="",$D46=""),"",
IFERROR(
  INDEX(
    'Tools &amp; Targets_Guideline'!$C$54:$I$269,
    MATCH(
      1,
      ('Tools &amp; Targets_Guideline'!$A$54:$A$269=$B46)*
      ('Tools &amp; Targets_Guideline'!$B$54:$B$269="Delivery"),
      0
    ),
    MATCH(
      _xludf.IFNA(
        VLOOKUP($D46,{"PH","Provincial Hospital (H2)";"DH","District Hospital (H3)";"RH","Regional / National Hospital (H1)"},2,0),
        $D46
      ),
      'Tools &amp; Targets_Guideline'!$C$53:$I$53,
      0
    )
  ),
0))</f>
        <v/>
      </c>
      <c r="Q46" s="105"/>
      <c r="R46" s="119" t="str">
        <f t="array" ref="R46">IF(OR($B46="",$D46=""),"",
IFERROR(
  INDEX(
    'Tools &amp; Targets_Guideline'!$C$54:$I$269,
    MATCH(
      1,
      ('Tools &amp; Targets_Guideline'!$A$54:$A$269=$B46)*
      ('Tools &amp; Targets_Guideline'!$B$54:$B$269="TT"),
      0
    ),
    MATCH(
      _xludf.IFNA(
        VLOOKUP($D46,{"PH","Provincial Hospital (H2)";"DH","District Hospital (H3)";"RH","Regional / National Hospital (H1)"},2,0),
        $D46
      ),
      'Tools &amp; Targets_Guideline'!$C$53:$I$53,
      0
    )
  ),
0))</f>
        <v/>
      </c>
      <c r="S46" s="105"/>
      <c r="T46" s="102"/>
      <c r="U46" s="106"/>
      <c r="V46" s="102" t="str">
        <f t="shared" si="1"/>
        <v/>
      </c>
      <c r="W46" s="102"/>
      <c r="X46" s="102"/>
      <c r="Y46" s="119" t="str">
        <f t="array" ref="Y46">IF(OR($B46="",$D46=""),"",
IFERROR(
  INDEX(
    'Tools &amp; Targets_Guideline'!$C$54:$I$269,
    MATCH(
      1,
      ('Tools &amp; Targets_Guideline'!$A$54:$A$269=$B46)*
      ('Tools &amp; Targets_Guideline'!$B$54:$B$269="GM"),
      0
    ),
    MATCH(
      _xludf.IFNA(
        VLOOKUP($D46,{"PH","Provincial Hospital (H2)";"DH","District Hospital (H3)";"RH","Regional / National Hospital (H1)"},2,0),
        $D46
      ),
      'Tools &amp; Targets_Guideline'!$C$53:$I$53,
      0
    )
  ),
0))</f>
        <v/>
      </c>
      <c r="Z46" s="105"/>
      <c r="AA46" s="119" t="str">
        <f t="array" ref="AA46">IF(OR($B46="",$D46=""),"",
IFERROR(
  INDEX(
    'Tools &amp; Targets_Guideline'!$C$54:$I$269,
    MATCH(
      1,
      ('Tools &amp; Targets_Guideline'!$A$54:$A$269=$B46)*
      ('Tools &amp; Targets_Guideline'!$B$54:$B$269="Penta"),
      0
    ),
    MATCH(
      _xludf.IFNA(
        VLOOKUP($D46,{"PH","Provincial Hospital (H2)";"DH","District Hospital (H3)";"RH","Regional / National Hospital (H1)"},2,0),
        $D46
      ),
      'Tools &amp; Targets_Guideline'!$C$53:$I$53,
      0
    )
  ),
0))</f>
        <v/>
      </c>
      <c r="AB46" s="105"/>
      <c r="AC46" s="119" t="str">
        <f t="array" ref="AC46">IF(OR($B46="",$D46=""),"",
IFERROR(
  INDEX(
    'Tools &amp; Targets_Guideline'!$C$54:$I$269,
    MATCH(
      1,
      ('Tools &amp; Targets_Guideline'!$A$54:$A$269=$B46)*
      ('Tools &amp; Targets_Guideline'!$B$54:$B$269="TB"),
      0
    ),
    MATCH(
      _xludf.IFNA(
        VLOOKUP($D46,{"PH","Provincial Hospital (H2)";"DH","District Hospital (H3)";"RH","Regional / National Hospital (H1)"},2,0),
        $D46
      ),
      'Tools &amp; Targets_Guideline'!$C$53:$I$53,
      0
    )
  ),
0))</f>
        <v/>
      </c>
      <c r="AD46" s="105"/>
      <c r="AE46" s="119" t="str">
        <f t="array" ref="AE46">IF(OR($B46="",$D46=""),"",
IFERROR(
  INDEX(
    'Tools &amp; Targets_Guideline'!$C$54:$I$269,
    MATCH(
      1,
      ('Tools &amp; Targets_Guideline'!$A$54:$A$269=$B46)*
      ('Tools &amp; Targets_Guideline'!$B$54:$B$269="U5 Morbidity"),
      0
    ),
    MATCH(
      _xludf.IFNA(
        VLOOKUP($D46,{"PH","Provincial Hospital (H2)";"DH","District Hospital (H3)";"RH","Regional / National Hospital (H1)"},2,0),
        $D46
      ),
      'Tools &amp; Targets_Guideline'!$C$53:$I$53,
      0
    )
  ),
0))</f>
        <v/>
      </c>
      <c r="AF46" s="105"/>
      <c r="AG46" s="119" t="str">
        <f t="array" ref="AG46">IF(OR($B46="",$D46=""),"",
IFERROR(
  INDEX(
    'Tools &amp; Targets_Guideline'!$C$54:$I$269,
    MATCH(
      1,
      ('Tools &amp; Targets_Guideline'!$A$54:$A$269=$B46)*
      ('Tools &amp; Targets_Guideline'!$B$54:$B$269="C-Section"),
      0
    ),
    MATCH(
      _xludf.IFNA(
        VLOOKUP($D46,{"PH","Provincial Hospital (H2)";"DH","District Hospital (H3)";"RH","Regional / National Hospital (H1)"},2,0),
        $D46
      ),
      'Tools &amp; Targets_Guideline'!$C$53:$I$53,
      0
    )
  ),
0))</f>
        <v/>
      </c>
      <c r="AH46" s="105" t="str">
        <f>IF(A46&lt;&gt;"",COUNTIFS('QA Log'!D:D,A46,'QA Log'!M:M,"QQC",'QA Log'!L:L,"2. Hygiene and Sterilization",'QA Log'!Z:Z,"Approved"),"")</f>
        <v/>
      </c>
      <c r="AI46" s="102"/>
      <c r="AJ46" s="102"/>
      <c r="AK46" s="103" t="str">
        <f t="shared" si="2"/>
        <v/>
      </c>
      <c r="AL46" s="102"/>
      <c r="AM46" s="102"/>
      <c r="AN46" s="102"/>
      <c r="AO46" s="106"/>
      <c r="AP46" s="103"/>
      <c r="AQ46" s="102"/>
      <c r="AR46" s="102"/>
      <c r="AS46" s="102"/>
      <c r="AT46" s="107"/>
      <c r="AU46" s="102" t="str">
        <f t="shared" si="3"/>
        <v/>
      </c>
      <c r="AV46" s="102" t="str">
        <f t="shared" si="4"/>
        <v/>
      </c>
      <c r="AW46" s="102" t="str">
        <f t="shared" si="5"/>
        <v/>
      </c>
      <c r="AX46" s="102" t="str">
        <f t="shared" si="6"/>
        <v/>
      </c>
      <c r="AY46" s="107" t="str">
        <f t="shared" si="7"/>
        <v/>
      </c>
      <c r="AZ46" s="108" t="str">
        <f t="shared" si="8"/>
        <v/>
      </c>
      <c r="BA46" s="108" t="str">
        <f t="shared" si="9"/>
        <v/>
      </c>
      <c r="BB46" s="109" t="str">
        <f t="shared" si="10"/>
        <v/>
      </c>
      <c r="BC46" s="108" t="str">
        <f t="shared" si="11"/>
        <v/>
      </c>
      <c r="BD46" s="108" t="str">
        <f t="shared" si="12"/>
        <v/>
      </c>
      <c r="BE46" s="109" t="str">
        <f t="shared" si="13"/>
        <v/>
      </c>
      <c r="BF46" s="110" t="str">
        <f t="shared" si="14"/>
        <v/>
      </c>
      <c r="BG46" s="111"/>
    </row>
    <row r="47" spans="1:59" ht="12.75">
      <c r="A47" s="101"/>
      <c r="B47" s="102"/>
      <c r="C47" s="102" t="e">
        <f t="array" aca="1" ref="C47" ca="1">_xludf.XLOOKUP(A47,'QA Log'!D:D,'QA Log'!F:F,"")</f>
        <v>#NAME?</v>
      </c>
      <c r="D47" s="102"/>
      <c r="E47" s="102" t="e">
        <f t="array" aca="1" ref="E47" ca="1">_xludf.XLOOKUP(A47,'QA Log'!D:D,'QA Log'!G:G,"")</f>
        <v>#NAME?</v>
      </c>
      <c r="F47" s="103"/>
      <c r="G47" s="104"/>
      <c r="H47" s="104"/>
      <c r="I47" s="103" t="str">
        <f t="shared" si="0"/>
        <v/>
      </c>
      <c r="J47" s="102"/>
      <c r="K47" s="102"/>
      <c r="L47" s="119" t="str">
        <f t="array" ref="L47">IF(OR($B47="",$D47=""),"",
IFERROR(
  INDEX(
    'Tools &amp; Targets_Guideline'!$C$54:$I$269,
    MATCH(
      1,
      ('Tools &amp; Targets_Guideline'!$A$54:$A$269=$B47)*
      ('Tools &amp; Targets_Guideline'!$B$54:$B$269="ANC"),
      0
    ),
    MATCH(
      _xludf.IFNA(
        VLOOKUP($D47,{"PH","Provincial Hospital (H2)";"DH","District Hospital (H3)";"RH","Regional / National Hospital (H1)"},2,0),
        $D47
      ),
      'Tools &amp; Targets_Guideline'!$C$53:$I$53,
      0
    )
  ),
0))</f>
        <v/>
      </c>
      <c r="M47" s="105"/>
      <c r="N47" s="119" t="str">
        <f t="array" ref="N47">IF(OR($B47="",$D47=""),"",
IFERROR(
  INDEX(
    'Tools &amp; Targets_Guideline'!$C$54:$I$269,
    MATCH(
      1,
      ('Tools &amp; Targets_Guideline'!$A$54:$A$269=$B47)*
      ('Tools &amp; Targets_Guideline'!$B$54:$B$269="PNC"),
      0
    ),
    MATCH(
      _xludf.IFNA(
        VLOOKUP($D47,{"PH","Provincial Hospital (H2)";"DH","District Hospital (H3)";"RH","Regional / National Hospital (H1)"},2,0),
        $D47
      ),
      'Tools &amp; Targets_Guideline'!$C$53:$I$53,
      0
    )
  ),
0))</f>
        <v/>
      </c>
      <c r="O47" s="105"/>
      <c r="P47" s="119" t="str">
        <f t="array" ref="P47">IF(OR($B47="",$D47=""),"",
IFERROR(
  INDEX(
    'Tools &amp; Targets_Guideline'!$C$54:$I$269,
    MATCH(
      1,
      ('Tools &amp; Targets_Guideline'!$A$54:$A$269=$B47)*
      ('Tools &amp; Targets_Guideline'!$B$54:$B$269="Delivery"),
      0
    ),
    MATCH(
      _xludf.IFNA(
        VLOOKUP($D47,{"PH","Provincial Hospital (H2)";"DH","District Hospital (H3)";"RH","Regional / National Hospital (H1)"},2,0),
        $D47
      ),
      'Tools &amp; Targets_Guideline'!$C$53:$I$53,
      0
    )
  ),
0))</f>
        <v/>
      </c>
      <c r="Q47" s="105"/>
      <c r="R47" s="119" t="str">
        <f t="array" ref="R47">IF(OR($B47="",$D47=""),"",
IFERROR(
  INDEX(
    'Tools &amp; Targets_Guideline'!$C$54:$I$269,
    MATCH(
      1,
      ('Tools &amp; Targets_Guideline'!$A$54:$A$269=$B47)*
      ('Tools &amp; Targets_Guideline'!$B$54:$B$269="TT"),
      0
    ),
    MATCH(
      _xludf.IFNA(
        VLOOKUP($D47,{"PH","Provincial Hospital (H2)";"DH","District Hospital (H3)";"RH","Regional / National Hospital (H1)"},2,0),
        $D47
      ),
      'Tools &amp; Targets_Guideline'!$C$53:$I$53,
      0
    )
  ),
0))</f>
        <v/>
      </c>
      <c r="S47" s="105"/>
      <c r="T47" s="102"/>
      <c r="U47" s="106"/>
      <c r="V47" s="102" t="str">
        <f t="shared" si="1"/>
        <v/>
      </c>
      <c r="W47" s="102"/>
      <c r="X47" s="102"/>
      <c r="Y47" s="119" t="str">
        <f t="array" ref="Y47">IF(OR($B47="",$D47=""),"",
IFERROR(
  INDEX(
    'Tools &amp; Targets_Guideline'!$C$54:$I$269,
    MATCH(
      1,
      ('Tools &amp; Targets_Guideline'!$A$54:$A$269=$B47)*
      ('Tools &amp; Targets_Guideline'!$B$54:$B$269="GM"),
      0
    ),
    MATCH(
      _xludf.IFNA(
        VLOOKUP($D47,{"PH","Provincial Hospital (H2)";"DH","District Hospital (H3)";"RH","Regional / National Hospital (H1)"},2,0),
        $D47
      ),
      'Tools &amp; Targets_Guideline'!$C$53:$I$53,
      0
    )
  ),
0))</f>
        <v/>
      </c>
      <c r="Z47" s="105"/>
      <c r="AA47" s="119" t="str">
        <f t="array" ref="AA47">IF(OR($B47="",$D47=""),"",
IFERROR(
  INDEX(
    'Tools &amp; Targets_Guideline'!$C$54:$I$269,
    MATCH(
      1,
      ('Tools &amp; Targets_Guideline'!$A$54:$A$269=$B47)*
      ('Tools &amp; Targets_Guideline'!$B$54:$B$269="Penta"),
      0
    ),
    MATCH(
      _xludf.IFNA(
        VLOOKUP($D47,{"PH","Provincial Hospital (H2)";"DH","District Hospital (H3)";"RH","Regional / National Hospital (H1)"},2,0),
        $D47
      ),
      'Tools &amp; Targets_Guideline'!$C$53:$I$53,
      0
    )
  ),
0))</f>
        <v/>
      </c>
      <c r="AB47" s="105"/>
      <c r="AC47" s="119" t="str">
        <f t="array" ref="AC47">IF(OR($B47="",$D47=""),"",
IFERROR(
  INDEX(
    'Tools &amp; Targets_Guideline'!$C$54:$I$269,
    MATCH(
      1,
      ('Tools &amp; Targets_Guideline'!$A$54:$A$269=$B47)*
      ('Tools &amp; Targets_Guideline'!$B$54:$B$269="TB"),
      0
    ),
    MATCH(
      _xludf.IFNA(
        VLOOKUP($D47,{"PH","Provincial Hospital (H2)";"DH","District Hospital (H3)";"RH","Regional / National Hospital (H1)"},2,0),
        $D47
      ),
      'Tools &amp; Targets_Guideline'!$C$53:$I$53,
      0
    )
  ),
0))</f>
        <v/>
      </c>
      <c r="AD47" s="105"/>
      <c r="AE47" s="119" t="str">
        <f t="array" ref="AE47">IF(OR($B47="",$D47=""),"",
IFERROR(
  INDEX(
    'Tools &amp; Targets_Guideline'!$C$54:$I$269,
    MATCH(
      1,
      ('Tools &amp; Targets_Guideline'!$A$54:$A$269=$B47)*
      ('Tools &amp; Targets_Guideline'!$B$54:$B$269="U5 Morbidity"),
      0
    ),
    MATCH(
      _xludf.IFNA(
        VLOOKUP($D47,{"PH","Provincial Hospital (H2)";"DH","District Hospital (H3)";"RH","Regional / National Hospital (H1)"},2,0),
        $D47
      ),
      'Tools &amp; Targets_Guideline'!$C$53:$I$53,
      0
    )
  ),
0))</f>
        <v/>
      </c>
      <c r="AF47" s="105"/>
      <c r="AG47" s="119" t="str">
        <f t="array" ref="AG47">IF(OR($B47="",$D47=""),"",
IFERROR(
  INDEX(
    'Tools &amp; Targets_Guideline'!$C$54:$I$269,
    MATCH(
      1,
      ('Tools &amp; Targets_Guideline'!$A$54:$A$269=$B47)*
      ('Tools &amp; Targets_Guideline'!$B$54:$B$269="C-Section"),
      0
    ),
    MATCH(
      _xludf.IFNA(
        VLOOKUP($D47,{"PH","Provincial Hospital (H2)";"DH","District Hospital (H3)";"RH","Regional / National Hospital (H1)"},2,0),
        $D47
      ),
      'Tools &amp; Targets_Guideline'!$C$53:$I$53,
      0
    )
  ),
0))</f>
        <v/>
      </c>
      <c r="AH47" s="105" t="str">
        <f>IF(A47&lt;&gt;"",COUNTIFS('QA Log'!D:D,A47,'QA Log'!M:M,"QQC",'QA Log'!L:L,"2. Hygiene and Sterilization",'QA Log'!Z:Z,"Approved"),"")</f>
        <v/>
      </c>
      <c r="AI47" s="102"/>
      <c r="AJ47" s="102"/>
      <c r="AK47" s="103" t="str">
        <f t="shared" si="2"/>
        <v/>
      </c>
      <c r="AL47" s="102"/>
      <c r="AM47" s="102"/>
      <c r="AN47" s="102"/>
      <c r="AO47" s="106"/>
      <c r="AP47" s="103"/>
      <c r="AQ47" s="102"/>
      <c r="AR47" s="102"/>
      <c r="AS47" s="102"/>
      <c r="AT47" s="107"/>
      <c r="AU47" s="102" t="str">
        <f t="shared" si="3"/>
        <v/>
      </c>
      <c r="AV47" s="102" t="str">
        <f t="shared" si="4"/>
        <v/>
      </c>
      <c r="AW47" s="102" t="str">
        <f t="shared" si="5"/>
        <v/>
      </c>
      <c r="AX47" s="102" t="str">
        <f t="shared" si="6"/>
        <v/>
      </c>
      <c r="AY47" s="107" t="str">
        <f t="shared" si="7"/>
        <v/>
      </c>
      <c r="AZ47" s="108" t="str">
        <f t="shared" si="8"/>
        <v/>
      </c>
      <c r="BA47" s="108" t="str">
        <f t="shared" si="9"/>
        <v/>
      </c>
      <c r="BB47" s="109" t="str">
        <f t="shared" si="10"/>
        <v/>
      </c>
      <c r="BC47" s="108" t="str">
        <f t="shared" si="11"/>
        <v/>
      </c>
      <c r="BD47" s="108" t="str">
        <f t="shared" si="12"/>
        <v/>
      </c>
      <c r="BE47" s="109" t="str">
        <f t="shared" si="13"/>
        <v/>
      </c>
      <c r="BF47" s="110" t="str">
        <f t="shared" si="14"/>
        <v/>
      </c>
      <c r="BG47" s="111"/>
    </row>
    <row r="48" spans="1:59" ht="12.75">
      <c r="A48" s="101"/>
      <c r="B48" s="102"/>
      <c r="C48" s="102" t="e">
        <f t="array" aca="1" ref="C48" ca="1">_xludf.XLOOKUP(A48,'QA Log'!D:D,'QA Log'!F:F,"")</f>
        <v>#NAME?</v>
      </c>
      <c r="D48" s="102"/>
      <c r="E48" s="102" t="e">
        <f t="array" aca="1" ref="E48" ca="1">_xludf.XLOOKUP(A48,'QA Log'!D:D,'QA Log'!G:G,"")</f>
        <v>#NAME?</v>
      </c>
      <c r="F48" s="103"/>
      <c r="G48" s="104"/>
      <c r="H48" s="104"/>
      <c r="I48" s="103" t="str">
        <f t="shared" si="0"/>
        <v/>
      </c>
      <c r="J48" s="102"/>
      <c r="K48" s="102"/>
      <c r="L48" s="119" t="str">
        <f t="array" ref="L48">IF(OR($B48="",$D48=""),"",
IFERROR(
  INDEX(
    'Tools &amp; Targets_Guideline'!$C$54:$I$269,
    MATCH(
      1,
      ('Tools &amp; Targets_Guideline'!$A$54:$A$269=$B48)*
      ('Tools &amp; Targets_Guideline'!$B$54:$B$269="ANC"),
      0
    ),
    MATCH(
      _xludf.IFNA(
        VLOOKUP($D48,{"PH","Provincial Hospital (H2)";"DH","District Hospital (H3)";"RH","Regional / National Hospital (H1)"},2,0),
        $D48
      ),
      'Tools &amp; Targets_Guideline'!$C$53:$I$53,
      0
    )
  ),
0))</f>
        <v/>
      </c>
      <c r="M48" s="105"/>
      <c r="N48" s="119" t="str">
        <f t="array" ref="N48">IF(OR($B48="",$D48=""),"",
IFERROR(
  INDEX(
    'Tools &amp; Targets_Guideline'!$C$54:$I$269,
    MATCH(
      1,
      ('Tools &amp; Targets_Guideline'!$A$54:$A$269=$B48)*
      ('Tools &amp; Targets_Guideline'!$B$54:$B$269="PNC"),
      0
    ),
    MATCH(
      _xludf.IFNA(
        VLOOKUP($D48,{"PH","Provincial Hospital (H2)";"DH","District Hospital (H3)";"RH","Regional / National Hospital (H1)"},2,0),
        $D48
      ),
      'Tools &amp; Targets_Guideline'!$C$53:$I$53,
      0
    )
  ),
0))</f>
        <v/>
      </c>
      <c r="O48" s="105"/>
      <c r="P48" s="119" t="str">
        <f t="array" ref="P48">IF(OR($B48="",$D48=""),"",
IFERROR(
  INDEX(
    'Tools &amp; Targets_Guideline'!$C$54:$I$269,
    MATCH(
      1,
      ('Tools &amp; Targets_Guideline'!$A$54:$A$269=$B48)*
      ('Tools &amp; Targets_Guideline'!$B$54:$B$269="Delivery"),
      0
    ),
    MATCH(
      _xludf.IFNA(
        VLOOKUP($D48,{"PH","Provincial Hospital (H2)";"DH","District Hospital (H3)";"RH","Regional / National Hospital (H1)"},2,0),
        $D48
      ),
      'Tools &amp; Targets_Guideline'!$C$53:$I$53,
      0
    )
  ),
0))</f>
        <v/>
      </c>
      <c r="Q48" s="105"/>
      <c r="R48" s="119" t="str">
        <f t="array" ref="R48">IF(OR($B48="",$D48=""),"",
IFERROR(
  INDEX(
    'Tools &amp; Targets_Guideline'!$C$54:$I$269,
    MATCH(
      1,
      ('Tools &amp; Targets_Guideline'!$A$54:$A$269=$B48)*
      ('Tools &amp; Targets_Guideline'!$B$54:$B$269="TT"),
      0
    ),
    MATCH(
      _xludf.IFNA(
        VLOOKUP($D48,{"PH","Provincial Hospital (H2)";"DH","District Hospital (H3)";"RH","Regional / National Hospital (H1)"},2,0),
        $D48
      ),
      'Tools &amp; Targets_Guideline'!$C$53:$I$53,
      0
    )
  ),
0))</f>
        <v/>
      </c>
      <c r="S48" s="105"/>
      <c r="T48" s="102"/>
      <c r="U48" s="106"/>
      <c r="V48" s="102" t="str">
        <f t="shared" si="1"/>
        <v/>
      </c>
      <c r="W48" s="102"/>
      <c r="X48" s="102"/>
      <c r="Y48" s="119" t="str">
        <f t="array" ref="Y48">IF(OR($B48="",$D48=""),"",
IFERROR(
  INDEX(
    'Tools &amp; Targets_Guideline'!$C$54:$I$269,
    MATCH(
      1,
      ('Tools &amp; Targets_Guideline'!$A$54:$A$269=$B48)*
      ('Tools &amp; Targets_Guideline'!$B$54:$B$269="GM"),
      0
    ),
    MATCH(
      _xludf.IFNA(
        VLOOKUP($D48,{"PH","Provincial Hospital (H2)";"DH","District Hospital (H3)";"RH","Regional / National Hospital (H1)"},2,0),
        $D48
      ),
      'Tools &amp; Targets_Guideline'!$C$53:$I$53,
      0
    )
  ),
0))</f>
        <v/>
      </c>
      <c r="Z48" s="105"/>
      <c r="AA48" s="119" t="str">
        <f t="array" ref="AA48">IF(OR($B48="",$D48=""),"",
IFERROR(
  INDEX(
    'Tools &amp; Targets_Guideline'!$C$54:$I$269,
    MATCH(
      1,
      ('Tools &amp; Targets_Guideline'!$A$54:$A$269=$B48)*
      ('Tools &amp; Targets_Guideline'!$B$54:$B$269="Penta"),
      0
    ),
    MATCH(
      _xludf.IFNA(
        VLOOKUP($D48,{"PH","Provincial Hospital (H2)";"DH","District Hospital (H3)";"RH","Regional / National Hospital (H1)"},2,0),
        $D48
      ),
      'Tools &amp; Targets_Guideline'!$C$53:$I$53,
      0
    )
  ),
0))</f>
        <v/>
      </c>
      <c r="AB48" s="105"/>
      <c r="AC48" s="119" t="str">
        <f t="array" ref="AC48">IF(OR($B48="",$D48=""),"",
IFERROR(
  INDEX(
    'Tools &amp; Targets_Guideline'!$C$54:$I$269,
    MATCH(
      1,
      ('Tools &amp; Targets_Guideline'!$A$54:$A$269=$B48)*
      ('Tools &amp; Targets_Guideline'!$B$54:$B$269="TB"),
      0
    ),
    MATCH(
      _xludf.IFNA(
        VLOOKUP($D48,{"PH","Provincial Hospital (H2)";"DH","District Hospital (H3)";"RH","Regional / National Hospital (H1)"},2,0),
        $D48
      ),
      'Tools &amp; Targets_Guideline'!$C$53:$I$53,
      0
    )
  ),
0))</f>
        <v/>
      </c>
      <c r="AD48" s="105"/>
      <c r="AE48" s="119" t="str">
        <f t="array" ref="AE48">IF(OR($B48="",$D48=""),"",
IFERROR(
  INDEX(
    'Tools &amp; Targets_Guideline'!$C$54:$I$269,
    MATCH(
      1,
      ('Tools &amp; Targets_Guideline'!$A$54:$A$269=$B48)*
      ('Tools &amp; Targets_Guideline'!$B$54:$B$269="U5 Morbidity"),
      0
    ),
    MATCH(
      _xludf.IFNA(
        VLOOKUP($D48,{"PH","Provincial Hospital (H2)";"DH","District Hospital (H3)";"RH","Regional / National Hospital (H1)"},2,0),
        $D48
      ),
      'Tools &amp; Targets_Guideline'!$C$53:$I$53,
      0
    )
  ),
0))</f>
        <v/>
      </c>
      <c r="AF48" s="105"/>
      <c r="AG48" s="119" t="str">
        <f t="array" ref="AG48">IF(OR($B48="",$D48=""),"",
IFERROR(
  INDEX(
    'Tools &amp; Targets_Guideline'!$C$54:$I$269,
    MATCH(
      1,
      ('Tools &amp; Targets_Guideline'!$A$54:$A$269=$B48)*
      ('Tools &amp; Targets_Guideline'!$B$54:$B$269="C-Section"),
      0
    ),
    MATCH(
      _xludf.IFNA(
        VLOOKUP($D48,{"PH","Provincial Hospital (H2)";"DH","District Hospital (H3)";"RH","Regional / National Hospital (H1)"},2,0),
        $D48
      ),
      'Tools &amp; Targets_Guideline'!$C$53:$I$53,
      0
    )
  ),
0))</f>
        <v/>
      </c>
      <c r="AH48" s="105" t="str">
        <f>IF(A48&lt;&gt;"",COUNTIFS('QA Log'!D:D,A48,'QA Log'!M:M,"QQC",'QA Log'!L:L,"2. Hygiene and Sterilization",'QA Log'!Z:Z,"Approved"),"")</f>
        <v/>
      </c>
      <c r="AI48" s="102"/>
      <c r="AJ48" s="102"/>
      <c r="AK48" s="103" t="str">
        <f t="shared" si="2"/>
        <v/>
      </c>
      <c r="AL48" s="102"/>
      <c r="AM48" s="102"/>
      <c r="AN48" s="102"/>
      <c r="AO48" s="106"/>
      <c r="AP48" s="103"/>
      <c r="AQ48" s="102"/>
      <c r="AR48" s="102"/>
      <c r="AS48" s="102"/>
      <c r="AT48" s="107"/>
      <c r="AU48" s="102" t="str">
        <f t="shared" si="3"/>
        <v/>
      </c>
      <c r="AV48" s="102" t="str">
        <f t="shared" si="4"/>
        <v/>
      </c>
      <c r="AW48" s="102" t="str">
        <f t="shared" si="5"/>
        <v/>
      </c>
      <c r="AX48" s="102" t="str">
        <f t="shared" si="6"/>
        <v/>
      </c>
      <c r="AY48" s="107" t="str">
        <f t="shared" si="7"/>
        <v/>
      </c>
      <c r="AZ48" s="108" t="str">
        <f t="shared" si="8"/>
        <v/>
      </c>
      <c r="BA48" s="108" t="str">
        <f t="shared" si="9"/>
        <v/>
      </c>
      <c r="BB48" s="109" t="str">
        <f t="shared" si="10"/>
        <v/>
      </c>
      <c r="BC48" s="108" t="str">
        <f t="shared" si="11"/>
        <v/>
      </c>
      <c r="BD48" s="108" t="str">
        <f t="shared" si="12"/>
        <v/>
      </c>
      <c r="BE48" s="109" t="str">
        <f t="shared" si="13"/>
        <v/>
      </c>
      <c r="BF48" s="110" t="str">
        <f t="shared" si="14"/>
        <v/>
      </c>
      <c r="BG48" s="111"/>
    </row>
    <row r="49" spans="1:59" ht="12.75">
      <c r="A49" s="101"/>
      <c r="B49" s="102"/>
      <c r="C49" s="102" t="e">
        <f t="array" aca="1" ref="C49" ca="1">_xludf.XLOOKUP(A49,'QA Log'!D:D,'QA Log'!F:F,"")</f>
        <v>#NAME?</v>
      </c>
      <c r="D49" s="102"/>
      <c r="E49" s="102" t="e">
        <f t="array" aca="1" ref="E49" ca="1">_xludf.XLOOKUP(A49,'QA Log'!D:D,'QA Log'!G:G,"")</f>
        <v>#NAME?</v>
      </c>
      <c r="F49" s="103"/>
      <c r="G49" s="104"/>
      <c r="H49" s="104"/>
      <c r="I49" s="103" t="str">
        <f t="shared" si="0"/>
        <v/>
      </c>
      <c r="J49" s="102"/>
      <c r="K49" s="102"/>
      <c r="L49" s="119" t="str">
        <f t="array" ref="L49">IF(OR($B49="",$D49=""),"",
IFERROR(
  INDEX(
    'Tools &amp; Targets_Guideline'!$C$54:$I$269,
    MATCH(
      1,
      ('Tools &amp; Targets_Guideline'!$A$54:$A$269=$B49)*
      ('Tools &amp; Targets_Guideline'!$B$54:$B$269="ANC"),
      0
    ),
    MATCH(
      _xludf.IFNA(
        VLOOKUP($D49,{"PH","Provincial Hospital (H2)";"DH","District Hospital (H3)";"RH","Regional / National Hospital (H1)"},2,0),
        $D49
      ),
      'Tools &amp; Targets_Guideline'!$C$53:$I$53,
      0
    )
  ),
0))</f>
        <v/>
      </c>
      <c r="M49" s="105"/>
      <c r="N49" s="119" t="str">
        <f t="array" ref="N49">IF(OR($B49="",$D49=""),"",
IFERROR(
  INDEX(
    'Tools &amp; Targets_Guideline'!$C$54:$I$269,
    MATCH(
      1,
      ('Tools &amp; Targets_Guideline'!$A$54:$A$269=$B49)*
      ('Tools &amp; Targets_Guideline'!$B$54:$B$269="PNC"),
      0
    ),
    MATCH(
      _xludf.IFNA(
        VLOOKUP($D49,{"PH","Provincial Hospital (H2)";"DH","District Hospital (H3)";"RH","Regional / National Hospital (H1)"},2,0),
        $D49
      ),
      'Tools &amp; Targets_Guideline'!$C$53:$I$53,
      0
    )
  ),
0))</f>
        <v/>
      </c>
      <c r="O49" s="105"/>
      <c r="P49" s="119" t="str">
        <f t="array" ref="P49">IF(OR($B49="",$D49=""),"",
IFERROR(
  INDEX(
    'Tools &amp; Targets_Guideline'!$C$54:$I$269,
    MATCH(
      1,
      ('Tools &amp; Targets_Guideline'!$A$54:$A$269=$B49)*
      ('Tools &amp; Targets_Guideline'!$B$54:$B$269="Delivery"),
      0
    ),
    MATCH(
      _xludf.IFNA(
        VLOOKUP($D49,{"PH","Provincial Hospital (H2)";"DH","District Hospital (H3)";"RH","Regional / National Hospital (H1)"},2,0),
        $D49
      ),
      'Tools &amp; Targets_Guideline'!$C$53:$I$53,
      0
    )
  ),
0))</f>
        <v/>
      </c>
      <c r="Q49" s="105"/>
      <c r="R49" s="119" t="str">
        <f t="array" ref="R49">IF(OR($B49="",$D49=""),"",
IFERROR(
  INDEX(
    'Tools &amp; Targets_Guideline'!$C$54:$I$269,
    MATCH(
      1,
      ('Tools &amp; Targets_Guideline'!$A$54:$A$269=$B49)*
      ('Tools &amp; Targets_Guideline'!$B$54:$B$269="TT"),
      0
    ),
    MATCH(
      _xludf.IFNA(
        VLOOKUP($D49,{"PH","Provincial Hospital (H2)";"DH","District Hospital (H3)";"RH","Regional / National Hospital (H1)"},2,0),
        $D49
      ),
      'Tools &amp; Targets_Guideline'!$C$53:$I$53,
      0
    )
  ),
0))</f>
        <v/>
      </c>
      <c r="S49" s="105"/>
      <c r="T49" s="102"/>
      <c r="U49" s="106"/>
      <c r="V49" s="102" t="str">
        <f t="shared" si="1"/>
        <v/>
      </c>
      <c r="W49" s="102"/>
      <c r="X49" s="102"/>
      <c r="Y49" s="119" t="str">
        <f t="array" ref="Y49">IF(OR($B49="",$D49=""),"",
IFERROR(
  INDEX(
    'Tools &amp; Targets_Guideline'!$C$54:$I$269,
    MATCH(
      1,
      ('Tools &amp; Targets_Guideline'!$A$54:$A$269=$B49)*
      ('Tools &amp; Targets_Guideline'!$B$54:$B$269="GM"),
      0
    ),
    MATCH(
      _xludf.IFNA(
        VLOOKUP($D49,{"PH","Provincial Hospital (H2)";"DH","District Hospital (H3)";"RH","Regional / National Hospital (H1)"},2,0),
        $D49
      ),
      'Tools &amp; Targets_Guideline'!$C$53:$I$53,
      0
    )
  ),
0))</f>
        <v/>
      </c>
      <c r="Z49" s="105"/>
      <c r="AA49" s="119" t="str">
        <f t="array" ref="AA49">IF(OR($B49="",$D49=""),"",
IFERROR(
  INDEX(
    'Tools &amp; Targets_Guideline'!$C$54:$I$269,
    MATCH(
      1,
      ('Tools &amp; Targets_Guideline'!$A$54:$A$269=$B49)*
      ('Tools &amp; Targets_Guideline'!$B$54:$B$269="Penta"),
      0
    ),
    MATCH(
      _xludf.IFNA(
        VLOOKUP($D49,{"PH","Provincial Hospital (H2)";"DH","District Hospital (H3)";"RH","Regional / National Hospital (H1)"},2,0),
        $D49
      ),
      'Tools &amp; Targets_Guideline'!$C$53:$I$53,
      0
    )
  ),
0))</f>
        <v/>
      </c>
      <c r="AB49" s="105"/>
      <c r="AC49" s="119" t="str">
        <f t="array" ref="AC49">IF(OR($B49="",$D49=""),"",
IFERROR(
  INDEX(
    'Tools &amp; Targets_Guideline'!$C$54:$I$269,
    MATCH(
      1,
      ('Tools &amp; Targets_Guideline'!$A$54:$A$269=$B49)*
      ('Tools &amp; Targets_Guideline'!$B$54:$B$269="TB"),
      0
    ),
    MATCH(
      _xludf.IFNA(
        VLOOKUP($D49,{"PH","Provincial Hospital (H2)";"DH","District Hospital (H3)";"RH","Regional / National Hospital (H1)"},2,0),
        $D49
      ),
      'Tools &amp; Targets_Guideline'!$C$53:$I$53,
      0
    )
  ),
0))</f>
        <v/>
      </c>
      <c r="AD49" s="105"/>
      <c r="AE49" s="119" t="str">
        <f t="array" ref="AE49">IF(OR($B49="",$D49=""),"",
IFERROR(
  INDEX(
    'Tools &amp; Targets_Guideline'!$C$54:$I$269,
    MATCH(
      1,
      ('Tools &amp; Targets_Guideline'!$A$54:$A$269=$B49)*
      ('Tools &amp; Targets_Guideline'!$B$54:$B$269="U5 Morbidity"),
      0
    ),
    MATCH(
      _xludf.IFNA(
        VLOOKUP($D49,{"PH","Provincial Hospital (H2)";"DH","District Hospital (H3)";"RH","Regional / National Hospital (H1)"},2,0),
        $D49
      ),
      'Tools &amp; Targets_Guideline'!$C$53:$I$53,
      0
    )
  ),
0))</f>
        <v/>
      </c>
      <c r="AF49" s="105"/>
      <c r="AG49" s="119" t="str">
        <f t="array" ref="AG49">IF(OR($B49="",$D49=""),"",
IFERROR(
  INDEX(
    'Tools &amp; Targets_Guideline'!$C$54:$I$269,
    MATCH(
      1,
      ('Tools &amp; Targets_Guideline'!$A$54:$A$269=$B49)*
      ('Tools &amp; Targets_Guideline'!$B$54:$B$269="C-Section"),
      0
    ),
    MATCH(
      _xludf.IFNA(
        VLOOKUP($D49,{"PH","Provincial Hospital (H2)";"DH","District Hospital (H3)";"RH","Regional / National Hospital (H1)"},2,0),
        $D49
      ),
      'Tools &amp; Targets_Guideline'!$C$53:$I$53,
      0
    )
  ),
0))</f>
        <v/>
      </c>
      <c r="AH49" s="105" t="str">
        <f>IF(A49&lt;&gt;"",COUNTIFS('QA Log'!D:D,A49,'QA Log'!M:M,"QQC",'QA Log'!L:L,"2. Hygiene and Sterilization",'QA Log'!Z:Z,"Approved"),"")</f>
        <v/>
      </c>
      <c r="AI49" s="102"/>
      <c r="AJ49" s="102"/>
      <c r="AK49" s="103" t="str">
        <f t="shared" si="2"/>
        <v/>
      </c>
      <c r="AL49" s="102"/>
      <c r="AM49" s="102"/>
      <c r="AN49" s="102"/>
      <c r="AO49" s="106"/>
      <c r="AP49" s="103"/>
      <c r="AQ49" s="102"/>
      <c r="AR49" s="102"/>
      <c r="AS49" s="102"/>
      <c r="AT49" s="107"/>
      <c r="AU49" s="102" t="str">
        <f t="shared" si="3"/>
        <v/>
      </c>
      <c r="AV49" s="102" t="str">
        <f t="shared" si="4"/>
        <v/>
      </c>
      <c r="AW49" s="102" t="str">
        <f t="shared" si="5"/>
        <v/>
      </c>
      <c r="AX49" s="102" t="str">
        <f t="shared" si="6"/>
        <v/>
      </c>
      <c r="AY49" s="107" t="str">
        <f t="shared" si="7"/>
        <v/>
      </c>
      <c r="AZ49" s="108" t="str">
        <f t="shared" si="8"/>
        <v/>
      </c>
      <c r="BA49" s="108" t="str">
        <f t="shared" si="9"/>
        <v/>
      </c>
      <c r="BB49" s="109" t="str">
        <f t="shared" si="10"/>
        <v/>
      </c>
      <c r="BC49" s="108" t="str">
        <f t="shared" si="11"/>
        <v/>
      </c>
      <c r="BD49" s="108" t="str">
        <f t="shared" si="12"/>
        <v/>
      </c>
      <c r="BE49" s="109" t="str">
        <f t="shared" si="13"/>
        <v/>
      </c>
      <c r="BF49" s="110" t="str">
        <f t="shared" si="14"/>
        <v/>
      </c>
      <c r="BG49" s="111"/>
    </row>
    <row r="50" spans="1:59" ht="12.75">
      <c r="A50" s="101"/>
      <c r="B50" s="102"/>
      <c r="C50" s="102" t="e">
        <f t="array" aca="1" ref="C50" ca="1">_xludf.XLOOKUP(A50,'QA Log'!D:D,'QA Log'!F:F,"")</f>
        <v>#NAME?</v>
      </c>
      <c r="D50" s="102"/>
      <c r="E50" s="102" t="e">
        <f t="array" aca="1" ref="E50" ca="1">_xludf.XLOOKUP(A50,'QA Log'!D:D,'QA Log'!G:G,"")</f>
        <v>#NAME?</v>
      </c>
      <c r="F50" s="103"/>
      <c r="G50" s="104"/>
      <c r="H50" s="104"/>
      <c r="I50" s="103" t="str">
        <f t="shared" si="0"/>
        <v/>
      </c>
      <c r="J50" s="102"/>
      <c r="K50" s="102"/>
      <c r="L50" s="119" t="str">
        <f t="array" ref="L50">IF(OR($B50="",$D50=""),"",
IFERROR(
  INDEX(
    'Tools &amp; Targets_Guideline'!$C$54:$I$269,
    MATCH(
      1,
      ('Tools &amp; Targets_Guideline'!$A$54:$A$269=$B50)*
      ('Tools &amp; Targets_Guideline'!$B$54:$B$269="ANC"),
      0
    ),
    MATCH(
      _xludf.IFNA(
        VLOOKUP($D50,{"PH","Provincial Hospital (H2)";"DH","District Hospital (H3)";"RH","Regional / National Hospital (H1)"},2,0),
        $D50
      ),
      'Tools &amp; Targets_Guideline'!$C$53:$I$53,
      0
    )
  ),
0))</f>
        <v/>
      </c>
      <c r="M50" s="105"/>
      <c r="N50" s="119" t="str">
        <f t="array" ref="N50">IF(OR($B50="",$D50=""),"",
IFERROR(
  INDEX(
    'Tools &amp; Targets_Guideline'!$C$54:$I$269,
    MATCH(
      1,
      ('Tools &amp; Targets_Guideline'!$A$54:$A$269=$B50)*
      ('Tools &amp; Targets_Guideline'!$B$54:$B$269="PNC"),
      0
    ),
    MATCH(
      _xludf.IFNA(
        VLOOKUP($D50,{"PH","Provincial Hospital (H2)";"DH","District Hospital (H3)";"RH","Regional / National Hospital (H1)"},2,0),
        $D50
      ),
      'Tools &amp; Targets_Guideline'!$C$53:$I$53,
      0
    )
  ),
0))</f>
        <v/>
      </c>
      <c r="O50" s="105"/>
      <c r="P50" s="119" t="str">
        <f t="array" ref="P50">IF(OR($B50="",$D50=""),"",
IFERROR(
  INDEX(
    'Tools &amp; Targets_Guideline'!$C$54:$I$269,
    MATCH(
      1,
      ('Tools &amp; Targets_Guideline'!$A$54:$A$269=$B50)*
      ('Tools &amp; Targets_Guideline'!$B$54:$B$269="Delivery"),
      0
    ),
    MATCH(
      _xludf.IFNA(
        VLOOKUP($D50,{"PH","Provincial Hospital (H2)";"DH","District Hospital (H3)";"RH","Regional / National Hospital (H1)"},2,0),
        $D50
      ),
      'Tools &amp; Targets_Guideline'!$C$53:$I$53,
      0
    )
  ),
0))</f>
        <v/>
      </c>
      <c r="Q50" s="105"/>
      <c r="R50" s="119" t="str">
        <f t="array" ref="R50">IF(OR($B50="",$D50=""),"",
IFERROR(
  INDEX(
    'Tools &amp; Targets_Guideline'!$C$54:$I$269,
    MATCH(
      1,
      ('Tools &amp; Targets_Guideline'!$A$54:$A$269=$B50)*
      ('Tools &amp; Targets_Guideline'!$B$54:$B$269="TT"),
      0
    ),
    MATCH(
      _xludf.IFNA(
        VLOOKUP($D50,{"PH","Provincial Hospital (H2)";"DH","District Hospital (H3)";"RH","Regional / National Hospital (H1)"},2,0),
        $D50
      ),
      'Tools &amp; Targets_Guideline'!$C$53:$I$53,
      0
    )
  ),
0))</f>
        <v/>
      </c>
      <c r="S50" s="105"/>
      <c r="T50" s="102"/>
      <c r="U50" s="106"/>
      <c r="V50" s="102" t="str">
        <f t="shared" si="1"/>
        <v/>
      </c>
      <c r="W50" s="102"/>
      <c r="X50" s="102"/>
      <c r="Y50" s="119" t="str">
        <f t="array" ref="Y50">IF(OR($B50="",$D50=""),"",
IFERROR(
  INDEX(
    'Tools &amp; Targets_Guideline'!$C$54:$I$269,
    MATCH(
      1,
      ('Tools &amp; Targets_Guideline'!$A$54:$A$269=$B50)*
      ('Tools &amp; Targets_Guideline'!$B$54:$B$269="GM"),
      0
    ),
    MATCH(
      _xludf.IFNA(
        VLOOKUP($D50,{"PH","Provincial Hospital (H2)";"DH","District Hospital (H3)";"RH","Regional / National Hospital (H1)"},2,0),
        $D50
      ),
      'Tools &amp; Targets_Guideline'!$C$53:$I$53,
      0
    )
  ),
0))</f>
        <v/>
      </c>
      <c r="Z50" s="105"/>
      <c r="AA50" s="119" t="str">
        <f t="array" ref="AA50">IF(OR($B50="",$D50=""),"",
IFERROR(
  INDEX(
    'Tools &amp; Targets_Guideline'!$C$54:$I$269,
    MATCH(
      1,
      ('Tools &amp; Targets_Guideline'!$A$54:$A$269=$B50)*
      ('Tools &amp; Targets_Guideline'!$B$54:$B$269="Penta"),
      0
    ),
    MATCH(
      _xludf.IFNA(
        VLOOKUP($D50,{"PH","Provincial Hospital (H2)";"DH","District Hospital (H3)";"RH","Regional / National Hospital (H1)"},2,0),
        $D50
      ),
      'Tools &amp; Targets_Guideline'!$C$53:$I$53,
      0
    )
  ),
0))</f>
        <v/>
      </c>
      <c r="AB50" s="105"/>
      <c r="AC50" s="119" t="str">
        <f t="array" ref="AC50">IF(OR($B50="",$D50=""),"",
IFERROR(
  INDEX(
    'Tools &amp; Targets_Guideline'!$C$54:$I$269,
    MATCH(
      1,
      ('Tools &amp; Targets_Guideline'!$A$54:$A$269=$B50)*
      ('Tools &amp; Targets_Guideline'!$B$54:$B$269="TB"),
      0
    ),
    MATCH(
      _xludf.IFNA(
        VLOOKUP($D50,{"PH","Provincial Hospital (H2)";"DH","District Hospital (H3)";"RH","Regional / National Hospital (H1)"},2,0),
        $D50
      ),
      'Tools &amp; Targets_Guideline'!$C$53:$I$53,
      0
    )
  ),
0))</f>
        <v/>
      </c>
      <c r="AD50" s="105"/>
      <c r="AE50" s="119" t="str">
        <f t="array" ref="AE50">IF(OR($B50="",$D50=""),"",
IFERROR(
  INDEX(
    'Tools &amp; Targets_Guideline'!$C$54:$I$269,
    MATCH(
      1,
      ('Tools &amp; Targets_Guideline'!$A$54:$A$269=$B50)*
      ('Tools &amp; Targets_Guideline'!$B$54:$B$269="U5 Morbidity"),
      0
    ),
    MATCH(
      _xludf.IFNA(
        VLOOKUP($D50,{"PH","Provincial Hospital (H2)";"DH","District Hospital (H3)";"RH","Regional / National Hospital (H1)"},2,0),
        $D50
      ),
      'Tools &amp; Targets_Guideline'!$C$53:$I$53,
      0
    )
  ),
0))</f>
        <v/>
      </c>
      <c r="AF50" s="105"/>
      <c r="AG50" s="119" t="str">
        <f t="array" ref="AG50">IF(OR($B50="",$D50=""),"",
IFERROR(
  INDEX(
    'Tools &amp; Targets_Guideline'!$C$54:$I$269,
    MATCH(
      1,
      ('Tools &amp; Targets_Guideline'!$A$54:$A$269=$B50)*
      ('Tools &amp; Targets_Guideline'!$B$54:$B$269="C-Section"),
      0
    ),
    MATCH(
      _xludf.IFNA(
        VLOOKUP($D50,{"PH","Provincial Hospital (H2)";"DH","District Hospital (H3)";"RH","Regional / National Hospital (H1)"},2,0),
        $D50
      ),
      'Tools &amp; Targets_Guideline'!$C$53:$I$53,
      0
    )
  ),
0))</f>
        <v/>
      </c>
      <c r="AH50" s="105" t="str">
        <f>IF(A50&lt;&gt;"",COUNTIFS('QA Log'!D:D,A50,'QA Log'!M:M,"QQC",'QA Log'!L:L,"2. Hygiene and Sterilization",'QA Log'!Z:Z,"Approved"),"")</f>
        <v/>
      </c>
      <c r="AI50" s="102"/>
      <c r="AJ50" s="102"/>
      <c r="AK50" s="103" t="str">
        <f t="shared" si="2"/>
        <v/>
      </c>
      <c r="AL50" s="102"/>
      <c r="AM50" s="102"/>
      <c r="AN50" s="102"/>
      <c r="AO50" s="106"/>
      <c r="AP50" s="103"/>
      <c r="AQ50" s="102"/>
      <c r="AR50" s="102"/>
      <c r="AS50" s="102"/>
      <c r="AT50" s="107"/>
      <c r="AU50" s="102" t="str">
        <f t="shared" si="3"/>
        <v/>
      </c>
      <c r="AV50" s="102" t="str">
        <f t="shared" si="4"/>
        <v/>
      </c>
      <c r="AW50" s="102" t="str">
        <f t="shared" si="5"/>
        <v/>
      </c>
      <c r="AX50" s="102" t="str">
        <f t="shared" si="6"/>
        <v/>
      </c>
      <c r="AY50" s="107" t="str">
        <f t="shared" si="7"/>
        <v/>
      </c>
      <c r="AZ50" s="108" t="str">
        <f t="shared" si="8"/>
        <v/>
      </c>
      <c r="BA50" s="108" t="str">
        <f t="shared" si="9"/>
        <v/>
      </c>
      <c r="BB50" s="109" t="str">
        <f t="shared" si="10"/>
        <v/>
      </c>
      <c r="BC50" s="108" t="str">
        <f t="shared" si="11"/>
        <v/>
      </c>
      <c r="BD50" s="108" t="str">
        <f t="shared" si="12"/>
        <v/>
      </c>
      <c r="BE50" s="109" t="str">
        <f t="shared" si="13"/>
        <v/>
      </c>
      <c r="BF50" s="110" t="str">
        <f t="shared" si="14"/>
        <v/>
      </c>
      <c r="BG50" s="111"/>
    </row>
    <row r="51" spans="1:59" ht="12.75">
      <c r="A51" s="101"/>
      <c r="B51" s="102"/>
      <c r="C51" s="102" t="e">
        <f t="array" aca="1" ref="C51" ca="1">_xludf.XLOOKUP(A51,'QA Log'!D:D,'QA Log'!F:F,"")</f>
        <v>#NAME?</v>
      </c>
      <c r="D51" s="102"/>
      <c r="E51" s="102" t="e">
        <f t="array" aca="1" ref="E51" ca="1">_xludf.XLOOKUP(A51,'QA Log'!D:D,'QA Log'!G:G,"")</f>
        <v>#NAME?</v>
      </c>
      <c r="F51" s="103"/>
      <c r="G51" s="104"/>
      <c r="H51" s="104"/>
      <c r="I51" s="103" t="str">
        <f t="shared" si="0"/>
        <v/>
      </c>
      <c r="J51" s="102"/>
      <c r="K51" s="102"/>
      <c r="L51" s="119" t="str">
        <f t="array" ref="L51">IF(OR($B51="",$D51=""),"",
IFERROR(
  INDEX(
    'Tools &amp; Targets_Guideline'!$C$54:$I$269,
    MATCH(
      1,
      ('Tools &amp; Targets_Guideline'!$A$54:$A$269=$B51)*
      ('Tools &amp; Targets_Guideline'!$B$54:$B$269="ANC"),
      0
    ),
    MATCH(
      _xludf.IFNA(
        VLOOKUP($D51,{"PH","Provincial Hospital (H2)";"DH","District Hospital (H3)";"RH","Regional / National Hospital (H1)"},2,0),
        $D51
      ),
      'Tools &amp; Targets_Guideline'!$C$53:$I$53,
      0
    )
  ),
0))</f>
        <v/>
      </c>
      <c r="M51" s="105"/>
      <c r="N51" s="119" t="str">
        <f t="array" ref="N51">IF(OR($B51="",$D51=""),"",
IFERROR(
  INDEX(
    'Tools &amp; Targets_Guideline'!$C$54:$I$269,
    MATCH(
      1,
      ('Tools &amp; Targets_Guideline'!$A$54:$A$269=$B51)*
      ('Tools &amp; Targets_Guideline'!$B$54:$B$269="PNC"),
      0
    ),
    MATCH(
      _xludf.IFNA(
        VLOOKUP($D51,{"PH","Provincial Hospital (H2)";"DH","District Hospital (H3)";"RH","Regional / National Hospital (H1)"},2,0),
        $D51
      ),
      'Tools &amp; Targets_Guideline'!$C$53:$I$53,
      0
    )
  ),
0))</f>
        <v/>
      </c>
      <c r="O51" s="105"/>
      <c r="P51" s="119" t="str">
        <f t="array" ref="P51">IF(OR($B51="",$D51=""),"",
IFERROR(
  INDEX(
    'Tools &amp; Targets_Guideline'!$C$54:$I$269,
    MATCH(
      1,
      ('Tools &amp; Targets_Guideline'!$A$54:$A$269=$B51)*
      ('Tools &amp; Targets_Guideline'!$B$54:$B$269="Delivery"),
      0
    ),
    MATCH(
      _xludf.IFNA(
        VLOOKUP($D51,{"PH","Provincial Hospital (H2)";"DH","District Hospital (H3)";"RH","Regional / National Hospital (H1)"},2,0),
        $D51
      ),
      'Tools &amp; Targets_Guideline'!$C$53:$I$53,
      0
    )
  ),
0))</f>
        <v/>
      </c>
      <c r="Q51" s="105"/>
      <c r="R51" s="119" t="str">
        <f t="array" ref="R51">IF(OR($B51="",$D51=""),"",
IFERROR(
  INDEX(
    'Tools &amp; Targets_Guideline'!$C$54:$I$269,
    MATCH(
      1,
      ('Tools &amp; Targets_Guideline'!$A$54:$A$269=$B51)*
      ('Tools &amp; Targets_Guideline'!$B$54:$B$269="TT"),
      0
    ),
    MATCH(
      _xludf.IFNA(
        VLOOKUP($D51,{"PH","Provincial Hospital (H2)";"DH","District Hospital (H3)";"RH","Regional / National Hospital (H1)"},2,0),
        $D51
      ),
      'Tools &amp; Targets_Guideline'!$C$53:$I$53,
      0
    )
  ),
0))</f>
        <v/>
      </c>
      <c r="S51" s="105"/>
      <c r="T51" s="102"/>
      <c r="U51" s="106"/>
      <c r="V51" s="102" t="str">
        <f t="shared" si="1"/>
        <v/>
      </c>
      <c r="W51" s="102"/>
      <c r="X51" s="102"/>
      <c r="Y51" s="119" t="str">
        <f t="array" ref="Y51">IF(OR($B51="",$D51=""),"",
IFERROR(
  INDEX(
    'Tools &amp; Targets_Guideline'!$C$54:$I$269,
    MATCH(
      1,
      ('Tools &amp; Targets_Guideline'!$A$54:$A$269=$B51)*
      ('Tools &amp; Targets_Guideline'!$B$54:$B$269="GM"),
      0
    ),
    MATCH(
      _xludf.IFNA(
        VLOOKUP($D51,{"PH","Provincial Hospital (H2)";"DH","District Hospital (H3)";"RH","Regional / National Hospital (H1)"},2,0),
        $D51
      ),
      'Tools &amp; Targets_Guideline'!$C$53:$I$53,
      0
    )
  ),
0))</f>
        <v/>
      </c>
      <c r="Z51" s="105"/>
      <c r="AA51" s="119" t="str">
        <f t="array" ref="AA51">IF(OR($B51="",$D51=""),"",
IFERROR(
  INDEX(
    'Tools &amp; Targets_Guideline'!$C$54:$I$269,
    MATCH(
      1,
      ('Tools &amp; Targets_Guideline'!$A$54:$A$269=$B51)*
      ('Tools &amp; Targets_Guideline'!$B$54:$B$269="Penta"),
      0
    ),
    MATCH(
      _xludf.IFNA(
        VLOOKUP($D51,{"PH","Provincial Hospital (H2)";"DH","District Hospital (H3)";"RH","Regional / National Hospital (H1)"},2,0),
        $D51
      ),
      'Tools &amp; Targets_Guideline'!$C$53:$I$53,
      0
    )
  ),
0))</f>
        <v/>
      </c>
      <c r="AB51" s="105"/>
      <c r="AC51" s="119" t="str">
        <f t="array" ref="AC51">IF(OR($B51="",$D51=""),"",
IFERROR(
  INDEX(
    'Tools &amp; Targets_Guideline'!$C$54:$I$269,
    MATCH(
      1,
      ('Tools &amp; Targets_Guideline'!$A$54:$A$269=$B51)*
      ('Tools &amp; Targets_Guideline'!$B$54:$B$269="TB"),
      0
    ),
    MATCH(
      _xludf.IFNA(
        VLOOKUP($D51,{"PH","Provincial Hospital (H2)";"DH","District Hospital (H3)";"RH","Regional / National Hospital (H1)"},2,0),
        $D51
      ),
      'Tools &amp; Targets_Guideline'!$C$53:$I$53,
      0
    )
  ),
0))</f>
        <v/>
      </c>
      <c r="AD51" s="105"/>
      <c r="AE51" s="119" t="str">
        <f t="array" ref="AE51">IF(OR($B51="",$D51=""),"",
IFERROR(
  INDEX(
    'Tools &amp; Targets_Guideline'!$C$54:$I$269,
    MATCH(
      1,
      ('Tools &amp; Targets_Guideline'!$A$54:$A$269=$B51)*
      ('Tools &amp; Targets_Guideline'!$B$54:$B$269="U5 Morbidity"),
      0
    ),
    MATCH(
      _xludf.IFNA(
        VLOOKUP($D51,{"PH","Provincial Hospital (H2)";"DH","District Hospital (H3)";"RH","Regional / National Hospital (H1)"},2,0),
        $D51
      ),
      'Tools &amp; Targets_Guideline'!$C$53:$I$53,
      0
    )
  ),
0))</f>
        <v/>
      </c>
      <c r="AF51" s="105"/>
      <c r="AG51" s="119" t="str">
        <f t="array" ref="AG51">IF(OR($B51="",$D51=""),"",
IFERROR(
  INDEX(
    'Tools &amp; Targets_Guideline'!$C$54:$I$269,
    MATCH(
      1,
      ('Tools &amp; Targets_Guideline'!$A$54:$A$269=$B51)*
      ('Tools &amp; Targets_Guideline'!$B$54:$B$269="C-Section"),
      0
    ),
    MATCH(
      _xludf.IFNA(
        VLOOKUP($D51,{"PH","Provincial Hospital (H2)";"DH","District Hospital (H3)";"RH","Regional / National Hospital (H1)"},2,0),
        $D51
      ),
      'Tools &amp; Targets_Guideline'!$C$53:$I$53,
      0
    )
  ),
0))</f>
        <v/>
      </c>
      <c r="AH51" s="105" t="str">
        <f>IF(A51&lt;&gt;"",COUNTIFS('QA Log'!D:D,A51,'QA Log'!M:M,"QQC",'QA Log'!L:L,"2. Hygiene and Sterilization",'QA Log'!Z:Z,"Approved"),"")</f>
        <v/>
      </c>
      <c r="AI51" s="102"/>
      <c r="AJ51" s="102"/>
      <c r="AK51" s="103" t="str">
        <f t="shared" si="2"/>
        <v/>
      </c>
      <c r="AL51" s="102"/>
      <c r="AM51" s="102"/>
      <c r="AN51" s="102"/>
      <c r="AO51" s="106"/>
      <c r="AP51" s="103"/>
      <c r="AQ51" s="102"/>
      <c r="AR51" s="102"/>
      <c r="AS51" s="102"/>
      <c r="AT51" s="107"/>
      <c r="AU51" s="102" t="str">
        <f t="shared" si="3"/>
        <v/>
      </c>
      <c r="AV51" s="102" t="str">
        <f t="shared" si="4"/>
        <v/>
      </c>
      <c r="AW51" s="102" t="str">
        <f t="shared" si="5"/>
        <v/>
      </c>
      <c r="AX51" s="102" t="str">
        <f t="shared" si="6"/>
        <v/>
      </c>
      <c r="AY51" s="107" t="str">
        <f t="shared" si="7"/>
        <v/>
      </c>
      <c r="AZ51" s="108" t="str">
        <f t="shared" si="8"/>
        <v/>
      </c>
      <c r="BA51" s="108" t="str">
        <f t="shared" si="9"/>
        <v/>
      </c>
      <c r="BB51" s="109" t="str">
        <f t="shared" si="10"/>
        <v/>
      </c>
      <c r="BC51" s="108" t="str">
        <f t="shared" si="11"/>
        <v/>
      </c>
      <c r="BD51" s="108" t="str">
        <f t="shared" si="12"/>
        <v/>
      </c>
      <c r="BE51" s="109" t="str">
        <f t="shared" si="13"/>
        <v/>
      </c>
      <c r="BF51" s="110" t="str">
        <f t="shared" si="14"/>
        <v/>
      </c>
      <c r="BG51" s="111"/>
    </row>
    <row r="52" spans="1:59" ht="12.75">
      <c r="A52" s="101"/>
      <c r="B52" s="102"/>
      <c r="C52" s="102" t="e">
        <f t="array" aca="1" ref="C52" ca="1">_xludf.XLOOKUP(A52,'QA Log'!D:D,'QA Log'!F:F,"")</f>
        <v>#NAME?</v>
      </c>
      <c r="D52" s="102"/>
      <c r="E52" s="102" t="e">
        <f t="array" aca="1" ref="E52" ca="1">_xludf.XLOOKUP(A52,'QA Log'!D:D,'QA Log'!G:G,"")</f>
        <v>#NAME?</v>
      </c>
      <c r="F52" s="103"/>
      <c r="G52" s="104"/>
      <c r="H52" s="104"/>
      <c r="I52" s="103" t="str">
        <f t="shared" si="0"/>
        <v/>
      </c>
      <c r="J52" s="102"/>
      <c r="K52" s="102"/>
      <c r="L52" s="119" t="str">
        <f t="array" ref="L52">IF(OR($B52="",$D52=""),"",
IFERROR(
  INDEX(
    'Tools &amp; Targets_Guideline'!$C$54:$I$269,
    MATCH(
      1,
      ('Tools &amp; Targets_Guideline'!$A$54:$A$269=$B52)*
      ('Tools &amp; Targets_Guideline'!$B$54:$B$269="ANC"),
      0
    ),
    MATCH(
      _xludf.IFNA(
        VLOOKUP($D52,{"PH","Provincial Hospital (H2)";"DH","District Hospital (H3)";"RH","Regional / National Hospital (H1)"},2,0),
        $D52
      ),
      'Tools &amp; Targets_Guideline'!$C$53:$I$53,
      0
    )
  ),
0))</f>
        <v/>
      </c>
      <c r="M52" s="105"/>
      <c r="N52" s="119" t="str">
        <f t="array" ref="N52">IF(OR($B52="",$D52=""),"",
IFERROR(
  INDEX(
    'Tools &amp; Targets_Guideline'!$C$54:$I$269,
    MATCH(
      1,
      ('Tools &amp; Targets_Guideline'!$A$54:$A$269=$B52)*
      ('Tools &amp; Targets_Guideline'!$B$54:$B$269="PNC"),
      0
    ),
    MATCH(
      _xludf.IFNA(
        VLOOKUP($D52,{"PH","Provincial Hospital (H2)";"DH","District Hospital (H3)";"RH","Regional / National Hospital (H1)"},2,0),
        $D52
      ),
      'Tools &amp; Targets_Guideline'!$C$53:$I$53,
      0
    )
  ),
0))</f>
        <v/>
      </c>
      <c r="O52" s="105"/>
      <c r="P52" s="119" t="str">
        <f t="array" ref="P52">IF(OR($B52="",$D52=""),"",
IFERROR(
  INDEX(
    'Tools &amp; Targets_Guideline'!$C$54:$I$269,
    MATCH(
      1,
      ('Tools &amp; Targets_Guideline'!$A$54:$A$269=$B52)*
      ('Tools &amp; Targets_Guideline'!$B$54:$B$269="Delivery"),
      0
    ),
    MATCH(
      _xludf.IFNA(
        VLOOKUP($D52,{"PH","Provincial Hospital (H2)";"DH","District Hospital (H3)";"RH","Regional / National Hospital (H1)"},2,0),
        $D52
      ),
      'Tools &amp; Targets_Guideline'!$C$53:$I$53,
      0
    )
  ),
0))</f>
        <v/>
      </c>
      <c r="Q52" s="105"/>
      <c r="R52" s="119" t="str">
        <f t="array" ref="R52">IF(OR($B52="",$D52=""),"",
IFERROR(
  INDEX(
    'Tools &amp; Targets_Guideline'!$C$54:$I$269,
    MATCH(
      1,
      ('Tools &amp; Targets_Guideline'!$A$54:$A$269=$B52)*
      ('Tools &amp; Targets_Guideline'!$B$54:$B$269="TT"),
      0
    ),
    MATCH(
      _xludf.IFNA(
        VLOOKUP($D52,{"PH","Provincial Hospital (H2)";"DH","District Hospital (H3)";"RH","Regional / National Hospital (H1)"},2,0),
        $D52
      ),
      'Tools &amp; Targets_Guideline'!$C$53:$I$53,
      0
    )
  ),
0))</f>
        <v/>
      </c>
      <c r="S52" s="105"/>
      <c r="T52" s="102"/>
      <c r="U52" s="106"/>
      <c r="V52" s="102" t="str">
        <f t="shared" si="1"/>
        <v/>
      </c>
      <c r="W52" s="102"/>
      <c r="X52" s="102"/>
      <c r="Y52" s="119" t="str">
        <f t="array" ref="Y52">IF(OR($B52="",$D52=""),"",
IFERROR(
  INDEX(
    'Tools &amp; Targets_Guideline'!$C$54:$I$269,
    MATCH(
      1,
      ('Tools &amp; Targets_Guideline'!$A$54:$A$269=$B52)*
      ('Tools &amp; Targets_Guideline'!$B$54:$B$269="GM"),
      0
    ),
    MATCH(
      _xludf.IFNA(
        VLOOKUP($D52,{"PH","Provincial Hospital (H2)";"DH","District Hospital (H3)";"RH","Regional / National Hospital (H1)"},2,0),
        $D52
      ),
      'Tools &amp; Targets_Guideline'!$C$53:$I$53,
      0
    )
  ),
0))</f>
        <v/>
      </c>
      <c r="Z52" s="105"/>
      <c r="AA52" s="119" t="str">
        <f t="array" ref="AA52">IF(OR($B52="",$D52=""),"",
IFERROR(
  INDEX(
    'Tools &amp; Targets_Guideline'!$C$54:$I$269,
    MATCH(
      1,
      ('Tools &amp; Targets_Guideline'!$A$54:$A$269=$B52)*
      ('Tools &amp; Targets_Guideline'!$B$54:$B$269="Penta"),
      0
    ),
    MATCH(
      _xludf.IFNA(
        VLOOKUP($D52,{"PH","Provincial Hospital (H2)";"DH","District Hospital (H3)";"RH","Regional / National Hospital (H1)"},2,0),
        $D52
      ),
      'Tools &amp; Targets_Guideline'!$C$53:$I$53,
      0
    )
  ),
0))</f>
        <v/>
      </c>
      <c r="AB52" s="105"/>
      <c r="AC52" s="119" t="str">
        <f t="array" ref="AC52">IF(OR($B52="",$D52=""),"",
IFERROR(
  INDEX(
    'Tools &amp; Targets_Guideline'!$C$54:$I$269,
    MATCH(
      1,
      ('Tools &amp; Targets_Guideline'!$A$54:$A$269=$B52)*
      ('Tools &amp; Targets_Guideline'!$B$54:$B$269="TB"),
      0
    ),
    MATCH(
      _xludf.IFNA(
        VLOOKUP($D52,{"PH","Provincial Hospital (H2)";"DH","District Hospital (H3)";"RH","Regional / National Hospital (H1)"},2,0),
        $D52
      ),
      'Tools &amp; Targets_Guideline'!$C$53:$I$53,
      0
    )
  ),
0))</f>
        <v/>
      </c>
      <c r="AD52" s="105"/>
      <c r="AE52" s="119" t="str">
        <f t="array" ref="AE52">IF(OR($B52="",$D52=""),"",
IFERROR(
  INDEX(
    'Tools &amp; Targets_Guideline'!$C$54:$I$269,
    MATCH(
      1,
      ('Tools &amp; Targets_Guideline'!$A$54:$A$269=$B52)*
      ('Tools &amp; Targets_Guideline'!$B$54:$B$269="U5 Morbidity"),
      0
    ),
    MATCH(
      _xludf.IFNA(
        VLOOKUP($D52,{"PH","Provincial Hospital (H2)";"DH","District Hospital (H3)";"RH","Regional / National Hospital (H1)"},2,0),
        $D52
      ),
      'Tools &amp; Targets_Guideline'!$C$53:$I$53,
      0
    )
  ),
0))</f>
        <v/>
      </c>
      <c r="AF52" s="105"/>
      <c r="AG52" s="119" t="str">
        <f t="array" ref="AG52">IF(OR($B52="",$D52=""),"",
IFERROR(
  INDEX(
    'Tools &amp; Targets_Guideline'!$C$54:$I$269,
    MATCH(
      1,
      ('Tools &amp; Targets_Guideline'!$A$54:$A$269=$B52)*
      ('Tools &amp; Targets_Guideline'!$B$54:$B$269="C-Section"),
      0
    ),
    MATCH(
      _xludf.IFNA(
        VLOOKUP($D52,{"PH","Provincial Hospital (H2)";"DH","District Hospital (H3)";"RH","Regional / National Hospital (H1)"},2,0),
        $D52
      ),
      'Tools &amp; Targets_Guideline'!$C$53:$I$53,
      0
    )
  ),
0))</f>
        <v/>
      </c>
      <c r="AH52" s="105" t="str">
        <f>IF(A52&lt;&gt;"",COUNTIFS('QA Log'!D:D,A52,'QA Log'!M:M,"QQC",'QA Log'!L:L,"2. Hygiene and Sterilization",'QA Log'!Z:Z,"Approved"),"")</f>
        <v/>
      </c>
      <c r="AI52" s="102"/>
      <c r="AJ52" s="102"/>
      <c r="AK52" s="103" t="str">
        <f t="shared" si="2"/>
        <v/>
      </c>
      <c r="AL52" s="102"/>
      <c r="AM52" s="102"/>
      <c r="AN52" s="102"/>
      <c r="AO52" s="106"/>
      <c r="AP52" s="103"/>
      <c r="AQ52" s="102"/>
      <c r="AR52" s="102"/>
      <c r="AS52" s="102"/>
      <c r="AT52" s="107"/>
      <c r="AU52" s="102" t="str">
        <f t="shared" si="3"/>
        <v/>
      </c>
      <c r="AV52" s="102" t="str">
        <f t="shared" si="4"/>
        <v/>
      </c>
      <c r="AW52" s="102" t="str">
        <f t="shared" si="5"/>
        <v/>
      </c>
      <c r="AX52" s="102" t="str">
        <f t="shared" si="6"/>
        <v/>
      </c>
      <c r="AY52" s="107" t="str">
        <f t="shared" si="7"/>
        <v/>
      </c>
      <c r="AZ52" s="108" t="str">
        <f t="shared" si="8"/>
        <v/>
      </c>
      <c r="BA52" s="108" t="str">
        <f t="shared" si="9"/>
        <v/>
      </c>
      <c r="BB52" s="109" t="str">
        <f t="shared" si="10"/>
        <v/>
      </c>
      <c r="BC52" s="108" t="str">
        <f t="shared" si="11"/>
        <v/>
      </c>
      <c r="BD52" s="108" t="str">
        <f t="shared" si="12"/>
        <v/>
      </c>
      <c r="BE52" s="109" t="str">
        <f t="shared" si="13"/>
        <v/>
      </c>
      <c r="BF52" s="110" t="str">
        <f t="shared" si="14"/>
        <v/>
      </c>
      <c r="BG52" s="111"/>
    </row>
    <row r="53" spans="1:59" ht="12.75">
      <c r="A53" s="101"/>
      <c r="B53" s="102"/>
      <c r="C53" s="102" t="e">
        <f t="array" aca="1" ref="C53" ca="1">_xludf.XLOOKUP(A53,'QA Log'!D:D,'QA Log'!F:F,"")</f>
        <v>#NAME?</v>
      </c>
      <c r="D53" s="102"/>
      <c r="E53" s="102" t="e">
        <f t="array" aca="1" ref="E53" ca="1">_xludf.XLOOKUP(A53,'QA Log'!D:D,'QA Log'!G:G,"")</f>
        <v>#NAME?</v>
      </c>
      <c r="F53" s="103"/>
      <c r="G53" s="104"/>
      <c r="H53" s="104"/>
      <c r="I53" s="103" t="str">
        <f t="shared" si="0"/>
        <v/>
      </c>
      <c r="J53" s="102"/>
      <c r="K53" s="102"/>
      <c r="L53" s="119" t="str">
        <f t="array" ref="L53">IF(OR($B53="",$D53=""),"",
IFERROR(
  INDEX(
    'Tools &amp; Targets_Guideline'!$C$54:$I$269,
    MATCH(
      1,
      ('Tools &amp; Targets_Guideline'!$A$54:$A$269=$B53)*
      ('Tools &amp; Targets_Guideline'!$B$54:$B$269="ANC"),
      0
    ),
    MATCH(
      _xludf.IFNA(
        VLOOKUP($D53,{"PH","Provincial Hospital (H2)";"DH","District Hospital (H3)";"RH","Regional / National Hospital (H1)"},2,0),
        $D53
      ),
      'Tools &amp; Targets_Guideline'!$C$53:$I$53,
      0
    )
  ),
0))</f>
        <v/>
      </c>
      <c r="M53" s="105"/>
      <c r="N53" s="119" t="str">
        <f t="array" ref="N53">IF(OR($B53="",$D53=""),"",
IFERROR(
  INDEX(
    'Tools &amp; Targets_Guideline'!$C$54:$I$269,
    MATCH(
      1,
      ('Tools &amp; Targets_Guideline'!$A$54:$A$269=$B53)*
      ('Tools &amp; Targets_Guideline'!$B$54:$B$269="PNC"),
      0
    ),
    MATCH(
      _xludf.IFNA(
        VLOOKUP($D53,{"PH","Provincial Hospital (H2)";"DH","District Hospital (H3)";"RH","Regional / National Hospital (H1)"},2,0),
        $D53
      ),
      'Tools &amp; Targets_Guideline'!$C$53:$I$53,
      0
    )
  ),
0))</f>
        <v/>
      </c>
      <c r="O53" s="105"/>
      <c r="P53" s="119" t="str">
        <f t="array" ref="P53">IF(OR($B53="",$D53=""),"",
IFERROR(
  INDEX(
    'Tools &amp; Targets_Guideline'!$C$54:$I$269,
    MATCH(
      1,
      ('Tools &amp; Targets_Guideline'!$A$54:$A$269=$B53)*
      ('Tools &amp; Targets_Guideline'!$B$54:$B$269="Delivery"),
      0
    ),
    MATCH(
      _xludf.IFNA(
        VLOOKUP($D53,{"PH","Provincial Hospital (H2)";"DH","District Hospital (H3)";"RH","Regional / National Hospital (H1)"},2,0),
        $D53
      ),
      'Tools &amp; Targets_Guideline'!$C$53:$I$53,
      0
    )
  ),
0))</f>
        <v/>
      </c>
      <c r="Q53" s="105"/>
      <c r="R53" s="119" t="str">
        <f t="array" ref="R53">IF(OR($B53="",$D53=""),"",
IFERROR(
  INDEX(
    'Tools &amp; Targets_Guideline'!$C$54:$I$269,
    MATCH(
      1,
      ('Tools &amp; Targets_Guideline'!$A$54:$A$269=$B53)*
      ('Tools &amp; Targets_Guideline'!$B$54:$B$269="TT"),
      0
    ),
    MATCH(
      _xludf.IFNA(
        VLOOKUP($D53,{"PH","Provincial Hospital (H2)";"DH","District Hospital (H3)";"RH","Regional / National Hospital (H1)"},2,0),
        $D53
      ),
      'Tools &amp; Targets_Guideline'!$C$53:$I$53,
      0
    )
  ),
0))</f>
        <v/>
      </c>
      <c r="S53" s="105"/>
      <c r="T53" s="102"/>
      <c r="U53" s="106"/>
      <c r="V53" s="102" t="str">
        <f t="shared" si="1"/>
        <v/>
      </c>
      <c r="W53" s="102"/>
      <c r="X53" s="102"/>
      <c r="Y53" s="119" t="str">
        <f t="array" ref="Y53">IF(OR($B53="",$D53=""),"",
IFERROR(
  INDEX(
    'Tools &amp; Targets_Guideline'!$C$54:$I$269,
    MATCH(
      1,
      ('Tools &amp; Targets_Guideline'!$A$54:$A$269=$B53)*
      ('Tools &amp; Targets_Guideline'!$B$54:$B$269="GM"),
      0
    ),
    MATCH(
      _xludf.IFNA(
        VLOOKUP($D53,{"PH","Provincial Hospital (H2)";"DH","District Hospital (H3)";"RH","Regional / National Hospital (H1)"},2,0),
        $D53
      ),
      'Tools &amp; Targets_Guideline'!$C$53:$I$53,
      0
    )
  ),
0))</f>
        <v/>
      </c>
      <c r="Z53" s="105"/>
      <c r="AA53" s="119" t="str">
        <f t="array" ref="AA53">IF(OR($B53="",$D53=""),"",
IFERROR(
  INDEX(
    'Tools &amp; Targets_Guideline'!$C$54:$I$269,
    MATCH(
      1,
      ('Tools &amp; Targets_Guideline'!$A$54:$A$269=$B53)*
      ('Tools &amp; Targets_Guideline'!$B$54:$B$269="Penta"),
      0
    ),
    MATCH(
      _xludf.IFNA(
        VLOOKUP($D53,{"PH","Provincial Hospital (H2)";"DH","District Hospital (H3)";"RH","Regional / National Hospital (H1)"},2,0),
        $D53
      ),
      'Tools &amp; Targets_Guideline'!$C$53:$I$53,
      0
    )
  ),
0))</f>
        <v/>
      </c>
      <c r="AB53" s="105"/>
      <c r="AC53" s="119" t="str">
        <f t="array" ref="AC53">IF(OR($B53="",$D53=""),"",
IFERROR(
  INDEX(
    'Tools &amp; Targets_Guideline'!$C$54:$I$269,
    MATCH(
      1,
      ('Tools &amp; Targets_Guideline'!$A$54:$A$269=$B53)*
      ('Tools &amp; Targets_Guideline'!$B$54:$B$269="TB"),
      0
    ),
    MATCH(
      _xludf.IFNA(
        VLOOKUP($D53,{"PH","Provincial Hospital (H2)";"DH","District Hospital (H3)";"RH","Regional / National Hospital (H1)"},2,0),
        $D53
      ),
      'Tools &amp; Targets_Guideline'!$C$53:$I$53,
      0
    )
  ),
0))</f>
        <v/>
      </c>
      <c r="AD53" s="105"/>
      <c r="AE53" s="119" t="str">
        <f t="array" ref="AE53">IF(OR($B53="",$D53=""),"",
IFERROR(
  INDEX(
    'Tools &amp; Targets_Guideline'!$C$54:$I$269,
    MATCH(
      1,
      ('Tools &amp; Targets_Guideline'!$A$54:$A$269=$B53)*
      ('Tools &amp; Targets_Guideline'!$B$54:$B$269="U5 Morbidity"),
      0
    ),
    MATCH(
      _xludf.IFNA(
        VLOOKUP($D53,{"PH","Provincial Hospital (H2)";"DH","District Hospital (H3)";"RH","Regional / National Hospital (H1)"},2,0),
        $D53
      ),
      'Tools &amp; Targets_Guideline'!$C$53:$I$53,
      0
    )
  ),
0))</f>
        <v/>
      </c>
      <c r="AF53" s="105"/>
      <c r="AG53" s="119" t="str">
        <f t="array" ref="AG53">IF(OR($B53="",$D53=""),"",
IFERROR(
  INDEX(
    'Tools &amp; Targets_Guideline'!$C$54:$I$269,
    MATCH(
      1,
      ('Tools &amp; Targets_Guideline'!$A$54:$A$269=$B53)*
      ('Tools &amp; Targets_Guideline'!$B$54:$B$269="C-Section"),
      0
    ),
    MATCH(
      _xludf.IFNA(
        VLOOKUP($D53,{"PH","Provincial Hospital (H2)";"DH","District Hospital (H3)";"RH","Regional / National Hospital (H1)"},2,0),
        $D53
      ),
      'Tools &amp; Targets_Guideline'!$C$53:$I$53,
      0
    )
  ),
0))</f>
        <v/>
      </c>
      <c r="AH53" s="105" t="str">
        <f>IF(A53&lt;&gt;"",COUNTIFS('QA Log'!D:D,A53,'QA Log'!M:M,"QQC",'QA Log'!L:L,"2. Hygiene and Sterilization",'QA Log'!Z:Z,"Approved"),"")</f>
        <v/>
      </c>
      <c r="AI53" s="102"/>
      <c r="AJ53" s="102"/>
      <c r="AK53" s="103" t="str">
        <f t="shared" si="2"/>
        <v/>
      </c>
      <c r="AL53" s="102"/>
      <c r="AM53" s="102"/>
      <c r="AN53" s="102"/>
      <c r="AO53" s="106"/>
      <c r="AP53" s="103"/>
      <c r="AQ53" s="102"/>
      <c r="AR53" s="102"/>
      <c r="AS53" s="102"/>
      <c r="AT53" s="107"/>
      <c r="AU53" s="102" t="str">
        <f t="shared" si="3"/>
        <v/>
      </c>
      <c r="AV53" s="102" t="str">
        <f t="shared" si="4"/>
        <v/>
      </c>
      <c r="AW53" s="102" t="str">
        <f t="shared" si="5"/>
        <v/>
      </c>
      <c r="AX53" s="102" t="str">
        <f t="shared" si="6"/>
        <v/>
      </c>
      <c r="AY53" s="107" t="str">
        <f t="shared" si="7"/>
        <v/>
      </c>
      <c r="AZ53" s="108" t="str">
        <f t="shared" si="8"/>
        <v/>
      </c>
      <c r="BA53" s="108" t="str">
        <f t="shared" si="9"/>
        <v/>
      </c>
      <c r="BB53" s="109" t="str">
        <f t="shared" si="10"/>
        <v/>
      </c>
      <c r="BC53" s="108" t="str">
        <f t="shared" si="11"/>
        <v/>
      </c>
      <c r="BD53" s="108" t="str">
        <f t="shared" si="12"/>
        <v/>
      </c>
      <c r="BE53" s="109" t="str">
        <f t="shared" si="13"/>
        <v/>
      </c>
      <c r="BF53" s="110" t="str">
        <f t="shared" si="14"/>
        <v/>
      </c>
      <c r="BG53" s="111"/>
    </row>
    <row r="54" spans="1:59" ht="12.75">
      <c r="A54" s="101"/>
      <c r="B54" s="102"/>
      <c r="C54" s="102" t="e">
        <f t="array" aca="1" ref="C54" ca="1">_xludf.XLOOKUP(A54,'QA Log'!D:D,'QA Log'!F:F,"")</f>
        <v>#NAME?</v>
      </c>
      <c r="D54" s="102"/>
      <c r="E54" s="102" t="e">
        <f t="array" aca="1" ref="E54" ca="1">_xludf.XLOOKUP(A54,'QA Log'!D:D,'QA Log'!G:G,"")</f>
        <v>#NAME?</v>
      </c>
      <c r="F54" s="103"/>
      <c r="G54" s="104"/>
      <c r="H54" s="104"/>
      <c r="I54" s="103" t="str">
        <f t="shared" si="0"/>
        <v/>
      </c>
      <c r="J54" s="102"/>
      <c r="K54" s="102"/>
      <c r="L54" s="119" t="str">
        <f t="array" ref="L54">IF(OR($B54="",$D54=""),"",
IFERROR(
  INDEX(
    'Tools &amp; Targets_Guideline'!$C$54:$I$269,
    MATCH(
      1,
      ('Tools &amp; Targets_Guideline'!$A$54:$A$269=$B54)*
      ('Tools &amp; Targets_Guideline'!$B$54:$B$269="ANC"),
      0
    ),
    MATCH(
      _xludf.IFNA(
        VLOOKUP($D54,{"PH","Provincial Hospital (H2)";"DH","District Hospital (H3)";"RH","Regional / National Hospital (H1)"},2,0),
        $D54
      ),
      'Tools &amp; Targets_Guideline'!$C$53:$I$53,
      0
    )
  ),
0))</f>
        <v/>
      </c>
      <c r="M54" s="105"/>
      <c r="N54" s="119" t="str">
        <f t="array" ref="N54">IF(OR($B54="",$D54=""),"",
IFERROR(
  INDEX(
    'Tools &amp; Targets_Guideline'!$C$54:$I$269,
    MATCH(
      1,
      ('Tools &amp; Targets_Guideline'!$A$54:$A$269=$B54)*
      ('Tools &amp; Targets_Guideline'!$B$54:$B$269="PNC"),
      0
    ),
    MATCH(
      _xludf.IFNA(
        VLOOKUP($D54,{"PH","Provincial Hospital (H2)";"DH","District Hospital (H3)";"RH","Regional / National Hospital (H1)"},2,0),
        $D54
      ),
      'Tools &amp; Targets_Guideline'!$C$53:$I$53,
      0
    )
  ),
0))</f>
        <v/>
      </c>
      <c r="O54" s="105"/>
      <c r="P54" s="119" t="str">
        <f t="array" ref="P54">IF(OR($B54="",$D54=""),"",
IFERROR(
  INDEX(
    'Tools &amp; Targets_Guideline'!$C$54:$I$269,
    MATCH(
      1,
      ('Tools &amp; Targets_Guideline'!$A$54:$A$269=$B54)*
      ('Tools &amp; Targets_Guideline'!$B$54:$B$269="Delivery"),
      0
    ),
    MATCH(
      _xludf.IFNA(
        VLOOKUP($D54,{"PH","Provincial Hospital (H2)";"DH","District Hospital (H3)";"RH","Regional / National Hospital (H1)"},2,0),
        $D54
      ),
      'Tools &amp; Targets_Guideline'!$C$53:$I$53,
      0
    )
  ),
0))</f>
        <v/>
      </c>
      <c r="Q54" s="105"/>
      <c r="R54" s="119" t="str">
        <f t="array" ref="R54">IF(OR($B54="",$D54=""),"",
IFERROR(
  INDEX(
    'Tools &amp; Targets_Guideline'!$C$54:$I$269,
    MATCH(
      1,
      ('Tools &amp; Targets_Guideline'!$A$54:$A$269=$B54)*
      ('Tools &amp; Targets_Guideline'!$B$54:$B$269="TT"),
      0
    ),
    MATCH(
      _xludf.IFNA(
        VLOOKUP($D54,{"PH","Provincial Hospital (H2)";"DH","District Hospital (H3)";"RH","Regional / National Hospital (H1)"},2,0),
        $D54
      ),
      'Tools &amp; Targets_Guideline'!$C$53:$I$53,
      0
    )
  ),
0))</f>
        <v/>
      </c>
      <c r="S54" s="105"/>
      <c r="T54" s="102"/>
      <c r="U54" s="106"/>
      <c r="V54" s="102" t="str">
        <f t="shared" si="1"/>
        <v/>
      </c>
      <c r="W54" s="102"/>
      <c r="X54" s="102"/>
      <c r="Y54" s="119" t="str">
        <f t="array" ref="Y54">IF(OR($B54="",$D54=""),"",
IFERROR(
  INDEX(
    'Tools &amp; Targets_Guideline'!$C$54:$I$269,
    MATCH(
      1,
      ('Tools &amp; Targets_Guideline'!$A$54:$A$269=$B54)*
      ('Tools &amp; Targets_Guideline'!$B$54:$B$269="GM"),
      0
    ),
    MATCH(
      _xludf.IFNA(
        VLOOKUP($D54,{"PH","Provincial Hospital (H2)";"DH","District Hospital (H3)";"RH","Regional / National Hospital (H1)"},2,0),
        $D54
      ),
      'Tools &amp; Targets_Guideline'!$C$53:$I$53,
      0
    )
  ),
0))</f>
        <v/>
      </c>
      <c r="Z54" s="105"/>
      <c r="AA54" s="119" t="str">
        <f t="array" ref="AA54">IF(OR($B54="",$D54=""),"",
IFERROR(
  INDEX(
    'Tools &amp; Targets_Guideline'!$C$54:$I$269,
    MATCH(
      1,
      ('Tools &amp; Targets_Guideline'!$A$54:$A$269=$B54)*
      ('Tools &amp; Targets_Guideline'!$B$54:$B$269="Penta"),
      0
    ),
    MATCH(
      _xludf.IFNA(
        VLOOKUP($D54,{"PH","Provincial Hospital (H2)";"DH","District Hospital (H3)";"RH","Regional / National Hospital (H1)"},2,0),
        $D54
      ),
      'Tools &amp; Targets_Guideline'!$C$53:$I$53,
      0
    )
  ),
0))</f>
        <v/>
      </c>
      <c r="AB54" s="105"/>
      <c r="AC54" s="119" t="str">
        <f t="array" ref="AC54">IF(OR($B54="",$D54=""),"",
IFERROR(
  INDEX(
    'Tools &amp; Targets_Guideline'!$C$54:$I$269,
    MATCH(
      1,
      ('Tools &amp; Targets_Guideline'!$A$54:$A$269=$B54)*
      ('Tools &amp; Targets_Guideline'!$B$54:$B$269="TB"),
      0
    ),
    MATCH(
      _xludf.IFNA(
        VLOOKUP($D54,{"PH","Provincial Hospital (H2)";"DH","District Hospital (H3)";"RH","Regional / National Hospital (H1)"},2,0),
        $D54
      ),
      'Tools &amp; Targets_Guideline'!$C$53:$I$53,
      0
    )
  ),
0))</f>
        <v/>
      </c>
      <c r="AD54" s="105"/>
      <c r="AE54" s="119" t="str">
        <f t="array" ref="AE54">IF(OR($B54="",$D54=""),"",
IFERROR(
  INDEX(
    'Tools &amp; Targets_Guideline'!$C$54:$I$269,
    MATCH(
      1,
      ('Tools &amp; Targets_Guideline'!$A$54:$A$269=$B54)*
      ('Tools &amp; Targets_Guideline'!$B$54:$B$269="U5 Morbidity"),
      0
    ),
    MATCH(
      _xludf.IFNA(
        VLOOKUP($D54,{"PH","Provincial Hospital (H2)";"DH","District Hospital (H3)";"RH","Regional / National Hospital (H1)"},2,0),
        $D54
      ),
      'Tools &amp; Targets_Guideline'!$C$53:$I$53,
      0
    )
  ),
0))</f>
        <v/>
      </c>
      <c r="AF54" s="105"/>
      <c r="AG54" s="119" t="str">
        <f t="array" ref="AG54">IF(OR($B54="",$D54=""),"",
IFERROR(
  INDEX(
    'Tools &amp; Targets_Guideline'!$C$54:$I$269,
    MATCH(
      1,
      ('Tools &amp; Targets_Guideline'!$A$54:$A$269=$B54)*
      ('Tools &amp; Targets_Guideline'!$B$54:$B$269="C-Section"),
      0
    ),
    MATCH(
      _xludf.IFNA(
        VLOOKUP($D54,{"PH","Provincial Hospital (H2)";"DH","District Hospital (H3)";"RH","Regional / National Hospital (H1)"},2,0),
        $D54
      ),
      'Tools &amp; Targets_Guideline'!$C$53:$I$53,
      0
    )
  ),
0))</f>
        <v/>
      </c>
      <c r="AH54" s="105" t="str">
        <f>IF(A54&lt;&gt;"",COUNTIFS('QA Log'!D:D,A54,'QA Log'!M:M,"QQC",'QA Log'!L:L,"2. Hygiene and Sterilization",'QA Log'!Z:Z,"Approved"),"")</f>
        <v/>
      </c>
      <c r="AI54" s="102"/>
      <c r="AJ54" s="102"/>
      <c r="AK54" s="103" t="str">
        <f t="shared" si="2"/>
        <v/>
      </c>
      <c r="AL54" s="102"/>
      <c r="AM54" s="102"/>
      <c r="AN54" s="102"/>
      <c r="AO54" s="106"/>
      <c r="AP54" s="103"/>
      <c r="AQ54" s="102"/>
      <c r="AR54" s="102"/>
      <c r="AS54" s="102"/>
      <c r="AT54" s="107"/>
      <c r="AU54" s="102" t="str">
        <f t="shared" si="3"/>
        <v/>
      </c>
      <c r="AV54" s="102" t="str">
        <f t="shared" si="4"/>
        <v/>
      </c>
      <c r="AW54" s="102" t="str">
        <f t="shared" si="5"/>
        <v/>
      </c>
      <c r="AX54" s="102" t="str">
        <f t="shared" si="6"/>
        <v/>
      </c>
      <c r="AY54" s="107" t="str">
        <f t="shared" si="7"/>
        <v/>
      </c>
      <c r="AZ54" s="108" t="str">
        <f t="shared" si="8"/>
        <v/>
      </c>
      <c r="BA54" s="108" t="str">
        <f t="shared" si="9"/>
        <v/>
      </c>
      <c r="BB54" s="109" t="str">
        <f t="shared" si="10"/>
        <v/>
      </c>
      <c r="BC54" s="108" t="str">
        <f t="shared" si="11"/>
        <v/>
      </c>
      <c r="BD54" s="108" t="str">
        <f t="shared" si="12"/>
        <v/>
      </c>
      <c r="BE54" s="109" t="str">
        <f t="shared" si="13"/>
        <v/>
      </c>
      <c r="BF54" s="110" t="str">
        <f t="shared" si="14"/>
        <v/>
      </c>
      <c r="BG54" s="111"/>
    </row>
    <row r="55" spans="1:59" ht="12.75">
      <c r="A55" s="101"/>
      <c r="B55" s="102"/>
      <c r="C55" s="102" t="e">
        <f t="array" aca="1" ref="C55" ca="1">_xludf.XLOOKUP(A55,'QA Log'!D:D,'QA Log'!F:F,"")</f>
        <v>#NAME?</v>
      </c>
      <c r="D55" s="102"/>
      <c r="E55" s="102" t="e">
        <f t="array" aca="1" ref="E55" ca="1">_xludf.XLOOKUP(A55,'QA Log'!D:D,'QA Log'!G:G,"")</f>
        <v>#NAME?</v>
      </c>
      <c r="F55" s="103"/>
      <c r="G55" s="104"/>
      <c r="H55" s="104"/>
      <c r="I55" s="103" t="str">
        <f t="shared" si="0"/>
        <v/>
      </c>
      <c r="J55" s="102"/>
      <c r="K55" s="102"/>
      <c r="L55" s="119" t="str">
        <f t="array" ref="L55">IF(OR($B55="",$D55=""),"",
IFERROR(
  INDEX(
    'Tools &amp; Targets_Guideline'!$C$54:$I$269,
    MATCH(
      1,
      ('Tools &amp; Targets_Guideline'!$A$54:$A$269=$B55)*
      ('Tools &amp; Targets_Guideline'!$B$54:$B$269="ANC"),
      0
    ),
    MATCH(
      _xludf.IFNA(
        VLOOKUP($D55,{"PH","Provincial Hospital (H2)";"DH","District Hospital (H3)";"RH","Regional / National Hospital (H1)"},2,0),
        $D55
      ),
      'Tools &amp; Targets_Guideline'!$C$53:$I$53,
      0
    )
  ),
0))</f>
        <v/>
      </c>
      <c r="M55" s="105"/>
      <c r="N55" s="119" t="str">
        <f t="array" ref="N55">IF(OR($B55="",$D55=""),"",
IFERROR(
  INDEX(
    'Tools &amp; Targets_Guideline'!$C$54:$I$269,
    MATCH(
      1,
      ('Tools &amp; Targets_Guideline'!$A$54:$A$269=$B55)*
      ('Tools &amp; Targets_Guideline'!$B$54:$B$269="PNC"),
      0
    ),
    MATCH(
      _xludf.IFNA(
        VLOOKUP($D55,{"PH","Provincial Hospital (H2)";"DH","District Hospital (H3)";"RH","Regional / National Hospital (H1)"},2,0),
        $D55
      ),
      'Tools &amp; Targets_Guideline'!$C$53:$I$53,
      0
    )
  ),
0))</f>
        <v/>
      </c>
      <c r="O55" s="105"/>
      <c r="P55" s="119" t="str">
        <f t="array" ref="P55">IF(OR($B55="",$D55=""),"",
IFERROR(
  INDEX(
    'Tools &amp; Targets_Guideline'!$C$54:$I$269,
    MATCH(
      1,
      ('Tools &amp; Targets_Guideline'!$A$54:$A$269=$B55)*
      ('Tools &amp; Targets_Guideline'!$B$54:$B$269="Delivery"),
      0
    ),
    MATCH(
      _xludf.IFNA(
        VLOOKUP($D55,{"PH","Provincial Hospital (H2)";"DH","District Hospital (H3)";"RH","Regional / National Hospital (H1)"},2,0),
        $D55
      ),
      'Tools &amp; Targets_Guideline'!$C$53:$I$53,
      0
    )
  ),
0))</f>
        <v/>
      </c>
      <c r="Q55" s="105"/>
      <c r="R55" s="119" t="str">
        <f t="array" ref="R55">IF(OR($B55="",$D55=""),"",
IFERROR(
  INDEX(
    'Tools &amp; Targets_Guideline'!$C$54:$I$269,
    MATCH(
      1,
      ('Tools &amp; Targets_Guideline'!$A$54:$A$269=$B55)*
      ('Tools &amp; Targets_Guideline'!$B$54:$B$269="TT"),
      0
    ),
    MATCH(
      _xludf.IFNA(
        VLOOKUP($D55,{"PH","Provincial Hospital (H2)";"DH","District Hospital (H3)";"RH","Regional / National Hospital (H1)"},2,0),
        $D55
      ),
      'Tools &amp; Targets_Guideline'!$C$53:$I$53,
      0
    )
  ),
0))</f>
        <v/>
      </c>
      <c r="S55" s="105"/>
      <c r="T55" s="102"/>
      <c r="U55" s="106"/>
      <c r="V55" s="102" t="str">
        <f t="shared" si="1"/>
        <v/>
      </c>
      <c r="W55" s="102"/>
      <c r="X55" s="102"/>
      <c r="Y55" s="119" t="str">
        <f t="array" ref="Y55">IF(OR($B55="",$D55=""),"",
IFERROR(
  INDEX(
    'Tools &amp; Targets_Guideline'!$C$54:$I$269,
    MATCH(
      1,
      ('Tools &amp; Targets_Guideline'!$A$54:$A$269=$B55)*
      ('Tools &amp; Targets_Guideline'!$B$54:$B$269="GM"),
      0
    ),
    MATCH(
      _xludf.IFNA(
        VLOOKUP($D55,{"PH","Provincial Hospital (H2)";"DH","District Hospital (H3)";"RH","Regional / National Hospital (H1)"},2,0),
        $D55
      ),
      'Tools &amp; Targets_Guideline'!$C$53:$I$53,
      0
    )
  ),
0))</f>
        <v/>
      </c>
      <c r="Z55" s="105"/>
      <c r="AA55" s="119" t="str">
        <f t="array" ref="AA55">IF(OR($B55="",$D55=""),"",
IFERROR(
  INDEX(
    'Tools &amp; Targets_Guideline'!$C$54:$I$269,
    MATCH(
      1,
      ('Tools &amp; Targets_Guideline'!$A$54:$A$269=$B55)*
      ('Tools &amp; Targets_Guideline'!$B$54:$B$269="Penta"),
      0
    ),
    MATCH(
      _xludf.IFNA(
        VLOOKUP($D55,{"PH","Provincial Hospital (H2)";"DH","District Hospital (H3)";"RH","Regional / National Hospital (H1)"},2,0),
        $D55
      ),
      'Tools &amp; Targets_Guideline'!$C$53:$I$53,
      0
    )
  ),
0))</f>
        <v/>
      </c>
      <c r="AB55" s="105"/>
      <c r="AC55" s="119" t="str">
        <f t="array" ref="AC55">IF(OR($B55="",$D55=""),"",
IFERROR(
  INDEX(
    'Tools &amp; Targets_Guideline'!$C$54:$I$269,
    MATCH(
      1,
      ('Tools &amp; Targets_Guideline'!$A$54:$A$269=$B55)*
      ('Tools &amp; Targets_Guideline'!$B$54:$B$269="TB"),
      0
    ),
    MATCH(
      _xludf.IFNA(
        VLOOKUP($D55,{"PH","Provincial Hospital (H2)";"DH","District Hospital (H3)";"RH","Regional / National Hospital (H1)"},2,0),
        $D55
      ),
      'Tools &amp; Targets_Guideline'!$C$53:$I$53,
      0
    )
  ),
0))</f>
        <v/>
      </c>
      <c r="AD55" s="105"/>
      <c r="AE55" s="119" t="str">
        <f t="array" ref="AE55">IF(OR($B55="",$D55=""),"",
IFERROR(
  INDEX(
    'Tools &amp; Targets_Guideline'!$C$54:$I$269,
    MATCH(
      1,
      ('Tools &amp; Targets_Guideline'!$A$54:$A$269=$B55)*
      ('Tools &amp; Targets_Guideline'!$B$54:$B$269="U5 Morbidity"),
      0
    ),
    MATCH(
      _xludf.IFNA(
        VLOOKUP($D55,{"PH","Provincial Hospital (H2)";"DH","District Hospital (H3)";"RH","Regional / National Hospital (H1)"},2,0),
        $D55
      ),
      'Tools &amp; Targets_Guideline'!$C$53:$I$53,
      0
    )
  ),
0))</f>
        <v/>
      </c>
      <c r="AF55" s="105"/>
      <c r="AG55" s="119" t="str">
        <f t="array" ref="AG55">IF(OR($B55="",$D55=""),"",
IFERROR(
  INDEX(
    'Tools &amp; Targets_Guideline'!$C$54:$I$269,
    MATCH(
      1,
      ('Tools &amp; Targets_Guideline'!$A$54:$A$269=$B55)*
      ('Tools &amp; Targets_Guideline'!$B$54:$B$269="C-Section"),
      0
    ),
    MATCH(
      _xludf.IFNA(
        VLOOKUP($D55,{"PH","Provincial Hospital (H2)";"DH","District Hospital (H3)";"RH","Regional / National Hospital (H1)"},2,0),
        $D55
      ),
      'Tools &amp; Targets_Guideline'!$C$53:$I$53,
      0
    )
  ),
0))</f>
        <v/>
      </c>
      <c r="AH55" s="105" t="str">
        <f>IF(A55&lt;&gt;"",COUNTIFS('QA Log'!D:D,A55,'QA Log'!M:M,"QQC",'QA Log'!L:L,"2. Hygiene and Sterilization",'QA Log'!Z:Z,"Approved"),"")</f>
        <v/>
      </c>
      <c r="AI55" s="102"/>
      <c r="AJ55" s="102"/>
      <c r="AK55" s="103" t="str">
        <f t="shared" si="2"/>
        <v/>
      </c>
      <c r="AL55" s="102"/>
      <c r="AM55" s="102"/>
      <c r="AN55" s="102"/>
      <c r="AO55" s="106"/>
      <c r="AP55" s="103"/>
      <c r="AQ55" s="102"/>
      <c r="AR55" s="102"/>
      <c r="AS55" s="102"/>
      <c r="AT55" s="107"/>
      <c r="AU55" s="102" t="str">
        <f t="shared" si="3"/>
        <v/>
      </c>
      <c r="AV55" s="102" t="str">
        <f t="shared" si="4"/>
        <v/>
      </c>
      <c r="AW55" s="102" t="str">
        <f t="shared" si="5"/>
        <v/>
      </c>
      <c r="AX55" s="102" t="str">
        <f t="shared" si="6"/>
        <v/>
      </c>
      <c r="AY55" s="107" t="str">
        <f t="shared" si="7"/>
        <v/>
      </c>
      <c r="AZ55" s="108" t="str">
        <f t="shared" si="8"/>
        <v/>
      </c>
      <c r="BA55" s="108" t="str">
        <f t="shared" si="9"/>
        <v/>
      </c>
      <c r="BB55" s="109" t="str">
        <f t="shared" si="10"/>
        <v/>
      </c>
      <c r="BC55" s="108" t="str">
        <f t="shared" si="11"/>
        <v/>
      </c>
      <c r="BD55" s="108" t="str">
        <f t="shared" si="12"/>
        <v/>
      </c>
      <c r="BE55" s="109" t="str">
        <f t="shared" si="13"/>
        <v/>
      </c>
      <c r="BF55" s="110" t="str">
        <f t="shared" si="14"/>
        <v/>
      </c>
      <c r="BG55" s="111"/>
    </row>
    <row r="56" spans="1:59" ht="12.75">
      <c r="A56" s="101"/>
      <c r="B56" s="102"/>
      <c r="C56" s="102" t="e">
        <f t="array" aca="1" ref="C56" ca="1">_xludf.XLOOKUP(A56,'QA Log'!D:D,'QA Log'!F:F,"")</f>
        <v>#NAME?</v>
      </c>
      <c r="D56" s="102"/>
      <c r="E56" s="102" t="e">
        <f t="array" aca="1" ref="E56" ca="1">_xludf.XLOOKUP(A56,'QA Log'!D:D,'QA Log'!G:G,"")</f>
        <v>#NAME?</v>
      </c>
      <c r="F56" s="103"/>
      <c r="G56" s="104"/>
      <c r="H56" s="104"/>
      <c r="I56" s="103" t="str">
        <f t="shared" si="0"/>
        <v/>
      </c>
      <c r="J56" s="102"/>
      <c r="K56" s="102"/>
      <c r="L56" s="119" t="str">
        <f t="array" ref="L56">IF(OR($B56="",$D56=""),"",
IFERROR(
  INDEX(
    'Tools &amp; Targets_Guideline'!$C$54:$I$269,
    MATCH(
      1,
      ('Tools &amp; Targets_Guideline'!$A$54:$A$269=$B56)*
      ('Tools &amp; Targets_Guideline'!$B$54:$B$269="ANC"),
      0
    ),
    MATCH(
      _xludf.IFNA(
        VLOOKUP($D56,{"PH","Provincial Hospital (H2)";"DH","District Hospital (H3)";"RH","Regional / National Hospital (H1)"},2,0),
        $D56
      ),
      'Tools &amp; Targets_Guideline'!$C$53:$I$53,
      0
    )
  ),
0))</f>
        <v/>
      </c>
      <c r="M56" s="105"/>
      <c r="N56" s="119" t="str">
        <f t="array" ref="N56">IF(OR($B56="",$D56=""),"",
IFERROR(
  INDEX(
    'Tools &amp; Targets_Guideline'!$C$54:$I$269,
    MATCH(
      1,
      ('Tools &amp; Targets_Guideline'!$A$54:$A$269=$B56)*
      ('Tools &amp; Targets_Guideline'!$B$54:$B$269="PNC"),
      0
    ),
    MATCH(
      _xludf.IFNA(
        VLOOKUP($D56,{"PH","Provincial Hospital (H2)";"DH","District Hospital (H3)";"RH","Regional / National Hospital (H1)"},2,0),
        $D56
      ),
      'Tools &amp; Targets_Guideline'!$C$53:$I$53,
      0
    )
  ),
0))</f>
        <v/>
      </c>
      <c r="O56" s="105"/>
      <c r="P56" s="119" t="str">
        <f t="array" ref="P56">IF(OR($B56="",$D56=""),"",
IFERROR(
  INDEX(
    'Tools &amp; Targets_Guideline'!$C$54:$I$269,
    MATCH(
      1,
      ('Tools &amp; Targets_Guideline'!$A$54:$A$269=$B56)*
      ('Tools &amp; Targets_Guideline'!$B$54:$B$269="Delivery"),
      0
    ),
    MATCH(
      _xludf.IFNA(
        VLOOKUP($D56,{"PH","Provincial Hospital (H2)";"DH","District Hospital (H3)";"RH","Regional / National Hospital (H1)"},2,0),
        $D56
      ),
      'Tools &amp; Targets_Guideline'!$C$53:$I$53,
      0
    )
  ),
0))</f>
        <v/>
      </c>
      <c r="Q56" s="105"/>
      <c r="R56" s="119" t="str">
        <f t="array" ref="R56">IF(OR($B56="",$D56=""),"",
IFERROR(
  INDEX(
    'Tools &amp; Targets_Guideline'!$C$54:$I$269,
    MATCH(
      1,
      ('Tools &amp; Targets_Guideline'!$A$54:$A$269=$B56)*
      ('Tools &amp; Targets_Guideline'!$B$54:$B$269="TT"),
      0
    ),
    MATCH(
      _xludf.IFNA(
        VLOOKUP($D56,{"PH","Provincial Hospital (H2)";"DH","District Hospital (H3)";"RH","Regional / National Hospital (H1)"},2,0),
        $D56
      ),
      'Tools &amp; Targets_Guideline'!$C$53:$I$53,
      0
    )
  ),
0))</f>
        <v/>
      </c>
      <c r="S56" s="105"/>
      <c r="T56" s="102"/>
      <c r="U56" s="106"/>
      <c r="V56" s="102" t="str">
        <f t="shared" si="1"/>
        <v/>
      </c>
      <c r="W56" s="102"/>
      <c r="X56" s="102"/>
      <c r="Y56" s="119" t="str">
        <f t="array" ref="Y56">IF(OR($B56="",$D56=""),"",
IFERROR(
  INDEX(
    'Tools &amp; Targets_Guideline'!$C$54:$I$269,
    MATCH(
      1,
      ('Tools &amp; Targets_Guideline'!$A$54:$A$269=$B56)*
      ('Tools &amp; Targets_Guideline'!$B$54:$B$269="GM"),
      0
    ),
    MATCH(
      _xludf.IFNA(
        VLOOKUP($D56,{"PH","Provincial Hospital (H2)";"DH","District Hospital (H3)";"RH","Regional / National Hospital (H1)"},2,0),
        $D56
      ),
      'Tools &amp; Targets_Guideline'!$C$53:$I$53,
      0
    )
  ),
0))</f>
        <v/>
      </c>
      <c r="Z56" s="105"/>
      <c r="AA56" s="119" t="str">
        <f t="array" ref="AA56">IF(OR($B56="",$D56=""),"",
IFERROR(
  INDEX(
    'Tools &amp; Targets_Guideline'!$C$54:$I$269,
    MATCH(
      1,
      ('Tools &amp; Targets_Guideline'!$A$54:$A$269=$B56)*
      ('Tools &amp; Targets_Guideline'!$B$54:$B$269="Penta"),
      0
    ),
    MATCH(
      _xludf.IFNA(
        VLOOKUP($D56,{"PH","Provincial Hospital (H2)";"DH","District Hospital (H3)";"RH","Regional / National Hospital (H1)"},2,0),
        $D56
      ),
      'Tools &amp; Targets_Guideline'!$C$53:$I$53,
      0
    )
  ),
0))</f>
        <v/>
      </c>
      <c r="AB56" s="105"/>
      <c r="AC56" s="119" t="str">
        <f t="array" ref="AC56">IF(OR($B56="",$D56=""),"",
IFERROR(
  INDEX(
    'Tools &amp; Targets_Guideline'!$C$54:$I$269,
    MATCH(
      1,
      ('Tools &amp; Targets_Guideline'!$A$54:$A$269=$B56)*
      ('Tools &amp; Targets_Guideline'!$B$54:$B$269="TB"),
      0
    ),
    MATCH(
      _xludf.IFNA(
        VLOOKUP($D56,{"PH","Provincial Hospital (H2)";"DH","District Hospital (H3)";"RH","Regional / National Hospital (H1)"},2,0),
        $D56
      ),
      'Tools &amp; Targets_Guideline'!$C$53:$I$53,
      0
    )
  ),
0))</f>
        <v/>
      </c>
      <c r="AD56" s="105"/>
      <c r="AE56" s="119" t="str">
        <f t="array" ref="AE56">IF(OR($B56="",$D56=""),"",
IFERROR(
  INDEX(
    'Tools &amp; Targets_Guideline'!$C$54:$I$269,
    MATCH(
      1,
      ('Tools &amp; Targets_Guideline'!$A$54:$A$269=$B56)*
      ('Tools &amp; Targets_Guideline'!$B$54:$B$269="U5 Morbidity"),
      0
    ),
    MATCH(
      _xludf.IFNA(
        VLOOKUP($D56,{"PH","Provincial Hospital (H2)";"DH","District Hospital (H3)";"RH","Regional / National Hospital (H1)"},2,0),
        $D56
      ),
      'Tools &amp; Targets_Guideline'!$C$53:$I$53,
      0
    )
  ),
0))</f>
        <v/>
      </c>
      <c r="AF56" s="105"/>
      <c r="AG56" s="119" t="str">
        <f t="array" ref="AG56">IF(OR($B56="",$D56=""),"",
IFERROR(
  INDEX(
    'Tools &amp; Targets_Guideline'!$C$54:$I$269,
    MATCH(
      1,
      ('Tools &amp; Targets_Guideline'!$A$54:$A$269=$B56)*
      ('Tools &amp; Targets_Guideline'!$B$54:$B$269="C-Section"),
      0
    ),
    MATCH(
      _xludf.IFNA(
        VLOOKUP($D56,{"PH","Provincial Hospital (H2)";"DH","District Hospital (H3)";"RH","Regional / National Hospital (H1)"},2,0),
        $D56
      ),
      'Tools &amp; Targets_Guideline'!$C$53:$I$53,
      0
    )
  ),
0))</f>
        <v/>
      </c>
      <c r="AH56" s="105" t="str">
        <f>IF(A56&lt;&gt;"",COUNTIFS('QA Log'!D:D,A56,'QA Log'!M:M,"QQC",'QA Log'!L:L,"2. Hygiene and Sterilization",'QA Log'!Z:Z,"Approved"),"")</f>
        <v/>
      </c>
      <c r="AI56" s="102"/>
      <c r="AJ56" s="102"/>
      <c r="AK56" s="103" t="str">
        <f t="shared" si="2"/>
        <v/>
      </c>
      <c r="AL56" s="102"/>
      <c r="AM56" s="102"/>
      <c r="AN56" s="102"/>
      <c r="AO56" s="106"/>
      <c r="AP56" s="103"/>
      <c r="AQ56" s="102"/>
      <c r="AR56" s="102"/>
      <c r="AS56" s="102"/>
      <c r="AT56" s="107"/>
      <c r="AU56" s="102" t="str">
        <f t="shared" si="3"/>
        <v/>
      </c>
      <c r="AV56" s="102" t="str">
        <f t="shared" si="4"/>
        <v/>
      </c>
      <c r="AW56" s="102" t="str">
        <f t="shared" si="5"/>
        <v/>
      </c>
      <c r="AX56" s="102" t="str">
        <f t="shared" si="6"/>
        <v/>
      </c>
      <c r="AY56" s="107" t="str">
        <f t="shared" si="7"/>
        <v/>
      </c>
      <c r="AZ56" s="108" t="str">
        <f t="shared" si="8"/>
        <v/>
      </c>
      <c r="BA56" s="108" t="str">
        <f t="shared" si="9"/>
        <v/>
      </c>
      <c r="BB56" s="109" t="str">
        <f t="shared" si="10"/>
        <v/>
      </c>
      <c r="BC56" s="108" t="str">
        <f t="shared" si="11"/>
        <v/>
      </c>
      <c r="BD56" s="108" t="str">
        <f t="shared" si="12"/>
        <v/>
      </c>
      <c r="BE56" s="109" t="str">
        <f t="shared" si="13"/>
        <v/>
      </c>
      <c r="BF56" s="110" t="str">
        <f t="shared" si="14"/>
        <v/>
      </c>
      <c r="BG56" s="111"/>
    </row>
    <row r="57" spans="1:59" ht="12.75">
      <c r="A57" s="101"/>
      <c r="B57" s="102"/>
      <c r="C57" s="102" t="e">
        <f t="array" aca="1" ref="C57" ca="1">_xludf.XLOOKUP(A57,'QA Log'!D:D,'QA Log'!F:F,"")</f>
        <v>#NAME?</v>
      </c>
      <c r="D57" s="102"/>
      <c r="E57" s="102" t="e">
        <f t="array" aca="1" ref="E57" ca="1">_xludf.XLOOKUP(A57,'QA Log'!D:D,'QA Log'!G:G,"")</f>
        <v>#NAME?</v>
      </c>
      <c r="F57" s="103"/>
      <c r="G57" s="104"/>
      <c r="H57" s="104"/>
      <c r="I57" s="103" t="str">
        <f t="shared" si="0"/>
        <v/>
      </c>
      <c r="J57" s="102"/>
      <c r="K57" s="102"/>
      <c r="L57" s="119" t="str">
        <f t="array" ref="L57">IF(OR($B57="",$D57=""),"",
IFERROR(
  INDEX(
    'Tools &amp; Targets_Guideline'!$C$54:$I$269,
    MATCH(
      1,
      ('Tools &amp; Targets_Guideline'!$A$54:$A$269=$B57)*
      ('Tools &amp; Targets_Guideline'!$B$54:$B$269="ANC"),
      0
    ),
    MATCH(
      _xludf.IFNA(
        VLOOKUP($D57,{"PH","Provincial Hospital (H2)";"DH","District Hospital (H3)";"RH","Regional / National Hospital (H1)"},2,0),
        $D57
      ),
      'Tools &amp; Targets_Guideline'!$C$53:$I$53,
      0
    )
  ),
0))</f>
        <v/>
      </c>
      <c r="M57" s="105"/>
      <c r="N57" s="119" t="str">
        <f t="array" ref="N57">IF(OR($B57="",$D57=""),"",
IFERROR(
  INDEX(
    'Tools &amp; Targets_Guideline'!$C$54:$I$269,
    MATCH(
      1,
      ('Tools &amp; Targets_Guideline'!$A$54:$A$269=$B57)*
      ('Tools &amp; Targets_Guideline'!$B$54:$B$269="PNC"),
      0
    ),
    MATCH(
      _xludf.IFNA(
        VLOOKUP($D57,{"PH","Provincial Hospital (H2)";"DH","District Hospital (H3)";"RH","Regional / National Hospital (H1)"},2,0),
        $D57
      ),
      'Tools &amp; Targets_Guideline'!$C$53:$I$53,
      0
    )
  ),
0))</f>
        <v/>
      </c>
      <c r="O57" s="105"/>
      <c r="P57" s="119" t="str">
        <f t="array" ref="P57">IF(OR($B57="",$D57=""),"",
IFERROR(
  INDEX(
    'Tools &amp; Targets_Guideline'!$C$54:$I$269,
    MATCH(
      1,
      ('Tools &amp; Targets_Guideline'!$A$54:$A$269=$B57)*
      ('Tools &amp; Targets_Guideline'!$B$54:$B$269="Delivery"),
      0
    ),
    MATCH(
      _xludf.IFNA(
        VLOOKUP($D57,{"PH","Provincial Hospital (H2)";"DH","District Hospital (H3)";"RH","Regional / National Hospital (H1)"},2,0),
        $D57
      ),
      'Tools &amp; Targets_Guideline'!$C$53:$I$53,
      0
    )
  ),
0))</f>
        <v/>
      </c>
      <c r="Q57" s="105"/>
      <c r="R57" s="119" t="str">
        <f t="array" ref="R57">IF(OR($B57="",$D57=""),"",
IFERROR(
  INDEX(
    'Tools &amp; Targets_Guideline'!$C$54:$I$269,
    MATCH(
      1,
      ('Tools &amp; Targets_Guideline'!$A$54:$A$269=$B57)*
      ('Tools &amp; Targets_Guideline'!$B$54:$B$269="TT"),
      0
    ),
    MATCH(
      _xludf.IFNA(
        VLOOKUP($D57,{"PH","Provincial Hospital (H2)";"DH","District Hospital (H3)";"RH","Regional / National Hospital (H1)"},2,0),
        $D57
      ),
      'Tools &amp; Targets_Guideline'!$C$53:$I$53,
      0
    )
  ),
0))</f>
        <v/>
      </c>
      <c r="S57" s="105"/>
      <c r="T57" s="102"/>
      <c r="U57" s="106"/>
      <c r="V57" s="102" t="str">
        <f t="shared" si="1"/>
        <v/>
      </c>
      <c r="W57" s="102"/>
      <c r="X57" s="102"/>
      <c r="Y57" s="119" t="str">
        <f t="array" ref="Y57">IF(OR($B57="",$D57=""),"",
IFERROR(
  INDEX(
    'Tools &amp; Targets_Guideline'!$C$54:$I$269,
    MATCH(
      1,
      ('Tools &amp; Targets_Guideline'!$A$54:$A$269=$B57)*
      ('Tools &amp; Targets_Guideline'!$B$54:$B$269="GM"),
      0
    ),
    MATCH(
      _xludf.IFNA(
        VLOOKUP($D57,{"PH","Provincial Hospital (H2)";"DH","District Hospital (H3)";"RH","Regional / National Hospital (H1)"},2,0),
        $D57
      ),
      'Tools &amp; Targets_Guideline'!$C$53:$I$53,
      0
    )
  ),
0))</f>
        <v/>
      </c>
      <c r="Z57" s="105"/>
      <c r="AA57" s="119" t="str">
        <f t="array" ref="AA57">IF(OR($B57="",$D57=""),"",
IFERROR(
  INDEX(
    'Tools &amp; Targets_Guideline'!$C$54:$I$269,
    MATCH(
      1,
      ('Tools &amp; Targets_Guideline'!$A$54:$A$269=$B57)*
      ('Tools &amp; Targets_Guideline'!$B$54:$B$269="Penta"),
      0
    ),
    MATCH(
      _xludf.IFNA(
        VLOOKUP($D57,{"PH","Provincial Hospital (H2)";"DH","District Hospital (H3)";"RH","Regional / National Hospital (H1)"},2,0),
        $D57
      ),
      'Tools &amp; Targets_Guideline'!$C$53:$I$53,
      0
    )
  ),
0))</f>
        <v/>
      </c>
      <c r="AB57" s="105"/>
      <c r="AC57" s="119" t="str">
        <f t="array" ref="AC57">IF(OR($B57="",$D57=""),"",
IFERROR(
  INDEX(
    'Tools &amp; Targets_Guideline'!$C$54:$I$269,
    MATCH(
      1,
      ('Tools &amp; Targets_Guideline'!$A$54:$A$269=$B57)*
      ('Tools &amp; Targets_Guideline'!$B$54:$B$269="TB"),
      0
    ),
    MATCH(
      _xludf.IFNA(
        VLOOKUP($D57,{"PH","Provincial Hospital (H2)";"DH","District Hospital (H3)";"RH","Regional / National Hospital (H1)"},2,0),
        $D57
      ),
      'Tools &amp; Targets_Guideline'!$C$53:$I$53,
      0
    )
  ),
0))</f>
        <v/>
      </c>
      <c r="AD57" s="105"/>
      <c r="AE57" s="119" t="str">
        <f t="array" ref="AE57">IF(OR($B57="",$D57=""),"",
IFERROR(
  INDEX(
    'Tools &amp; Targets_Guideline'!$C$54:$I$269,
    MATCH(
      1,
      ('Tools &amp; Targets_Guideline'!$A$54:$A$269=$B57)*
      ('Tools &amp; Targets_Guideline'!$B$54:$B$269="U5 Morbidity"),
      0
    ),
    MATCH(
      _xludf.IFNA(
        VLOOKUP($D57,{"PH","Provincial Hospital (H2)";"DH","District Hospital (H3)";"RH","Regional / National Hospital (H1)"},2,0),
        $D57
      ),
      'Tools &amp; Targets_Guideline'!$C$53:$I$53,
      0
    )
  ),
0))</f>
        <v/>
      </c>
      <c r="AF57" s="105"/>
      <c r="AG57" s="119" t="str">
        <f t="array" ref="AG57">IF(OR($B57="",$D57=""),"",
IFERROR(
  INDEX(
    'Tools &amp; Targets_Guideline'!$C$54:$I$269,
    MATCH(
      1,
      ('Tools &amp; Targets_Guideline'!$A$54:$A$269=$B57)*
      ('Tools &amp; Targets_Guideline'!$B$54:$B$269="C-Section"),
      0
    ),
    MATCH(
      _xludf.IFNA(
        VLOOKUP($D57,{"PH","Provincial Hospital (H2)";"DH","District Hospital (H3)";"RH","Regional / National Hospital (H1)"},2,0),
        $D57
      ),
      'Tools &amp; Targets_Guideline'!$C$53:$I$53,
      0
    )
  ),
0))</f>
        <v/>
      </c>
      <c r="AH57" s="105" t="str">
        <f>IF(A57&lt;&gt;"",COUNTIFS('QA Log'!D:D,A57,'QA Log'!M:M,"QQC",'QA Log'!L:L,"2. Hygiene and Sterilization",'QA Log'!Z:Z,"Approved"),"")</f>
        <v/>
      </c>
      <c r="AI57" s="102"/>
      <c r="AJ57" s="102"/>
      <c r="AK57" s="103" t="str">
        <f t="shared" si="2"/>
        <v/>
      </c>
      <c r="AL57" s="102"/>
      <c r="AM57" s="102"/>
      <c r="AN57" s="102"/>
      <c r="AO57" s="106"/>
      <c r="AP57" s="103"/>
      <c r="AQ57" s="102"/>
      <c r="AR57" s="102"/>
      <c r="AS57" s="102"/>
      <c r="AT57" s="107"/>
      <c r="AU57" s="102" t="str">
        <f t="shared" si="3"/>
        <v/>
      </c>
      <c r="AV57" s="102" t="str">
        <f t="shared" si="4"/>
        <v/>
      </c>
      <c r="AW57" s="102" t="str">
        <f t="shared" si="5"/>
        <v/>
      </c>
      <c r="AX57" s="102" t="str">
        <f t="shared" si="6"/>
        <v/>
      </c>
      <c r="AY57" s="107" t="str">
        <f t="shared" si="7"/>
        <v/>
      </c>
      <c r="AZ57" s="108" t="str">
        <f t="shared" si="8"/>
        <v/>
      </c>
      <c r="BA57" s="108" t="str">
        <f t="shared" si="9"/>
        <v/>
      </c>
      <c r="BB57" s="109" t="str">
        <f t="shared" si="10"/>
        <v/>
      </c>
      <c r="BC57" s="108" t="str">
        <f t="shared" si="11"/>
        <v/>
      </c>
      <c r="BD57" s="108" t="str">
        <f t="shared" si="12"/>
        <v/>
      </c>
      <c r="BE57" s="109" t="str">
        <f t="shared" si="13"/>
        <v/>
      </c>
      <c r="BF57" s="110" t="str">
        <f t="shared" si="14"/>
        <v/>
      </c>
      <c r="BG57" s="111"/>
    </row>
    <row r="58" spans="1:59" ht="12.75">
      <c r="A58" s="101"/>
      <c r="B58" s="102"/>
      <c r="C58" s="102" t="e">
        <f t="array" aca="1" ref="C58" ca="1">_xludf.XLOOKUP(A58,'QA Log'!D:D,'QA Log'!F:F,"")</f>
        <v>#NAME?</v>
      </c>
      <c r="D58" s="102"/>
      <c r="E58" s="102" t="e">
        <f t="array" aca="1" ref="E58" ca="1">_xludf.XLOOKUP(A58,'QA Log'!D:D,'QA Log'!G:G,"")</f>
        <v>#NAME?</v>
      </c>
      <c r="F58" s="103"/>
      <c r="G58" s="104"/>
      <c r="H58" s="104"/>
      <c r="I58" s="103" t="str">
        <f t="shared" si="0"/>
        <v/>
      </c>
      <c r="J58" s="102"/>
      <c r="K58" s="102"/>
      <c r="L58" s="119" t="str">
        <f t="array" ref="L58">IF(OR($B58="",$D58=""),"",
IFERROR(
  INDEX(
    'Tools &amp; Targets_Guideline'!$C$54:$I$269,
    MATCH(
      1,
      ('Tools &amp; Targets_Guideline'!$A$54:$A$269=$B58)*
      ('Tools &amp; Targets_Guideline'!$B$54:$B$269="ANC"),
      0
    ),
    MATCH(
      _xludf.IFNA(
        VLOOKUP($D58,{"PH","Provincial Hospital (H2)";"DH","District Hospital (H3)";"RH","Regional / National Hospital (H1)"},2,0),
        $D58
      ),
      'Tools &amp; Targets_Guideline'!$C$53:$I$53,
      0
    )
  ),
0))</f>
        <v/>
      </c>
      <c r="M58" s="105"/>
      <c r="N58" s="119" t="str">
        <f t="array" ref="N58">IF(OR($B58="",$D58=""),"",
IFERROR(
  INDEX(
    'Tools &amp; Targets_Guideline'!$C$54:$I$269,
    MATCH(
      1,
      ('Tools &amp; Targets_Guideline'!$A$54:$A$269=$B58)*
      ('Tools &amp; Targets_Guideline'!$B$54:$B$269="PNC"),
      0
    ),
    MATCH(
      _xludf.IFNA(
        VLOOKUP($D58,{"PH","Provincial Hospital (H2)";"DH","District Hospital (H3)";"RH","Regional / National Hospital (H1)"},2,0),
        $D58
      ),
      'Tools &amp; Targets_Guideline'!$C$53:$I$53,
      0
    )
  ),
0))</f>
        <v/>
      </c>
      <c r="O58" s="105"/>
      <c r="P58" s="119" t="str">
        <f t="array" ref="P58">IF(OR($B58="",$D58=""),"",
IFERROR(
  INDEX(
    'Tools &amp; Targets_Guideline'!$C$54:$I$269,
    MATCH(
      1,
      ('Tools &amp; Targets_Guideline'!$A$54:$A$269=$B58)*
      ('Tools &amp; Targets_Guideline'!$B$54:$B$269="Delivery"),
      0
    ),
    MATCH(
      _xludf.IFNA(
        VLOOKUP($D58,{"PH","Provincial Hospital (H2)";"DH","District Hospital (H3)";"RH","Regional / National Hospital (H1)"},2,0),
        $D58
      ),
      'Tools &amp; Targets_Guideline'!$C$53:$I$53,
      0
    )
  ),
0))</f>
        <v/>
      </c>
      <c r="Q58" s="105"/>
      <c r="R58" s="119" t="str">
        <f t="array" ref="R58">IF(OR($B58="",$D58=""),"",
IFERROR(
  INDEX(
    'Tools &amp; Targets_Guideline'!$C$54:$I$269,
    MATCH(
      1,
      ('Tools &amp; Targets_Guideline'!$A$54:$A$269=$B58)*
      ('Tools &amp; Targets_Guideline'!$B$54:$B$269="TT"),
      0
    ),
    MATCH(
      _xludf.IFNA(
        VLOOKUP($D58,{"PH","Provincial Hospital (H2)";"DH","District Hospital (H3)";"RH","Regional / National Hospital (H1)"},2,0),
        $D58
      ),
      'Tools &amp; Targets_Guideline'!$C$53:$I$53,
      0
    )
  ),
0))</f>
        <v/>
      </c>
      <c r="S58" s="105"/>
      <c r="T58" s="102"/>
      <c r="U58" s="106"/>
      <c r="V58" s="102" t="str">
        <f t="shared" si="1"/>
        <v/>
      </c>
      <c r="W58" s="102"/>
      <c r="X58" s="102"/>
      <c r="Y58" s="119" t="str">
        <f t="array" ref="Y58">IF(OR($B58="",$D58=""),"",
IFERROR(
  INDEX(
    'Tools &amp; Targets_Guideline'!$C$54:$I$269,
    MATCH(
      1,
      ('Tools &amp; Targets_Guideline'!$A$54:$A$269=$B58)*
      ('Tools &amp; Targets_Guideline'!$B$54:$B$269="GM"),
      0
    ),
    MATCH(
      _xludf.IFNA(
        VLOOKUP($D58,{"PH","Provincial Hospital (H2)";"DH","District Hospital (H3)";"RH","Regional / National Hospital (H1)"},2,0),
        $D58
      ),
      'Tools &amp; Targets_Guideline'!$C$53:$I$53,
      0
    )
  ),
0))</f>
        <v/>
      </c>
      <c r="Z58" s="105"/>
      <c r="AA58" s="119" t="str">
        <f t="array" ref="AA58">IF(OR($B58="",$D58=""),"",
IFERROR(
  INDEX(
    'Tools &amp; Targets_Guideline'!$C$54:$I$269,
    MATCH(
      1,
      ('Tools &amp; Targets_Guideline'!$A$54:$A$269=$B58)*
      ('Tools &amp; Targets_Guideline'!$B$54:$B$269="Penta"),
      0
    ),
    MATCH(
      _xludf.IFNA(
        VLOOKUP($D58,{"PH","Provincial Hospital (H2)";"DH","District Hospital (H3)";"RH","Regional / National Hospital (H1)"},2,0),
        $D58
      ),
      'Tools &amp; Targets_Guideline'!$C$53:$I$53,
      0
    )
  ),
0))</f>
        <v/>
      </c>
      <c r="AB58" s="105"/>
      <c r="AC58" s="119" t="str">
        <f t="array" ref="AC58">IF(OR($B58="",$D58=""),"",
IFERROR(
  INDEX(
    'Tools &amp; Targets_Guideline'!$C$54:$I$269,
    MATCH(
      1,
      ('Tools &amp; Targets_Guideline'!$A$54:$A$269=$B58)*
      ('Tools &amp; Targets_Guideline'!$B$54:$B$269="TB"),
      0
    ),
    MATCH(
      _xludf.IFNA(
        VLOOKUP($D58,{"PH","Provincial Hospital (H2)";"DH","District Hospital (H3)";"RH","Regional / National Hospital (H1)"},2,0),
        $D58
      ),
      'Tools &amp; Targets_Guideline'!$C$53:$I$53,
      0
    )
  ),
0))</f>
        <v/>
      </c>
      <c r="AD58" s="105"/>
      <c r="AE58" s="119" t="str">
        <f t="array" ref="AE58">IF(OR($B58="",$D58=""),"",
IFERROR(
  INDEX(
    'Tools &amp; Targets_Guideline'!$C$54:$I$269,
    MATCH(
      1,
      ('Tools &amp; Targets_Guideline'!$A$54:$A$269=$B58)*
      ('Tools &amp; Targets_Guideline'!$B$54:$B$269="U5 Morbidity"),
      0
    ),
    MATCH(
      _xludf.IFNA(
        VLOOKUP($D58,{"PH","Provincial Hospital (H2)";"DH","District Hospital (H3)";"RH","Regional / National Hospital (H1)"},2,0),
        $D58
      ),
      'Tools &amp; Targets_Guideline'!$C$53:$I$53,
      0
    )
  ),
0))</f>
        <v/>
      </c>
      <c r="AF58" s="105"/>
      <c r="AG58" s="119" t="str">
        <f t="array" ref="AG58">IF(OR($B58="",$D58=""),"",
IFERROR(
  INDEX(
    'Tools &amp; Targets_Guideline'!$C$54:$I$269,
    MATCH(
      1,
      ('Tools &amp; Targets_Guideline'!$A$54:$A$269=$B58)*
      ('Tools &amp; Targets_Guideline'!$B$54:$B$269="C-Section"),
      0
    ),
    MATCH(
      _xludf.IFNA(
        VLOOKUP($D58,{"PH","Provincial Hospital (H2)";"DH","District Hospital (H3)";"RH","Regional / National Hospital (H1)"},2,0),
        $D58
      ),
      'Tools &amp; Targets_Guideline'!$C$53:$I$53,
      0
    )
  ),
0))</f>
        <v/>
      </c>
      <c r="AH58" s="105" t="str">
        <f>IF(A58&lt;&gt;"",COUNTIFS('QA Log'!D:D,A58,'QA Log'!M:M,"QQC",'QA Log'!L:L,"2. Hygiene and Sterilization",'QA Log'!Z:Z,"Approved"),"")</f>
        <v/>
      </c>
      <c r="AI58" s="102"/>
      <c r="AJ58" s="102"/>
      <c r="AK58" s="103" t="str">
        <f t="shared" si="2"/>
        <v/>
      </c>
      <c r="AL58" s="102"/>
      <c r="AM58" s="102"/>
      <c r="AN58" s="102"/>
      <c r="AO58" s="106"/>
      <c r="AP58" s="103"/>
      <c r="AQ58" s="102"/>
      <c r="AR58" s="102"/>
      <c r="AS58" s="102"/>
      <c r="AT58" s="107"/>
      <c r="AU58" s="102" t="str">
        <f t="shared" si="3"/>
        <v/>
      </c>
      <c r="AV58" s="102" t="str">
        <f t="shared" si="4"/>
        <v/>
      </c>
      <c r="AW58" s="102" t="str">
        <f t="shared" si="5"/>
        <v/>
      </c>
      <c r="AX58" s="102" t="str">
        <f t="shared" si="6"/>
        <v/>
      </c>
      <c r="AY58" s="107" t="str">
        <f t="shared" si="7"/>
        <v/>
      </c>
      <c r="AZ58" s="108" t="str">
        <f t="shared" si="8"/>
        <v/>
      </c>
      <c r="BA58" s="108" t="str">
        <f t="shared" si="9"/>
        <v/>
      </c>
      <c r="BB58" s="109" t="str">
        <f t="shared" si="10"/>
        <v/>
      </c>
      <c r="BC58" s="108" t="str">
        <f t="shared" si="11"/>
        <v/>
      </c>
      <c r="BD58" s="108" t="str">
        <f t="shared" si="12"/>
        <v/>
      </c>
      <c r="BE58" s="109" t="str">
        <f t="shared" si="13"/>
        <v/>
      </c>
      <c r="BF58" s="110" t="str">
        <f t="shared" si="14"/>
        <v/>
      </c>
      <c r="BG58" s="111"/>
    </row>
    <row r="59" spans="1:59" ht="12.75">
      <c r="A59" s="101"/>
      <c r="B59" s="102"/>
      <c r="C59" s="102" t="e">
        <f t="array" aca="1" ref="C59" ca="1">_xludf.XLOOKUP(A59,'QA Log'!D:D,'QA Log'!F:F,"")</f>
        <v>#NAME?</v>
      </c>
      <c r="D59" s="102"/>
      <c r="E59" s="102" t="e">
        <f t="array" aca="1" ref="E59" ca="1">_xludf.XLOOKUP(A59,'QA Log'!D:D,'QA Log'!G:G,"")</f>
        <v>#NAME?</v>
      </c>
      <c r="F59" s="103"/>
      <c r="G59" s="104"/>
      <c r="H59" s="104"/>
      <c r="I59" s="103" t="str">
        <f t="shared" si="0"/>
        <v/>
      </c>
      <c r="J59" s="102"/>
      <c r="K59" s="102"/>
      <c r="L59" s="119" t="str">
        <f t="array" ref="L59">IF(OR($B59="",$D59=""),"",
IFERROR(
  INDEX(
    'Tools &amp; Targets_Guideline'!$C$54:$I$269,
    MATCH(
      1,
      ('Tools &amp; Targets_Guideline'!$A$54:$A$269=$B59)*
      ('Tools &amp; Targets_Guideline'!$B$54:$B$269="ANC"),
      0
    ),
    MATCH(
      _xludf.IFNA(
        VLOOKUP($D59,{"PH","Provincial Hospital (H2)";"DH","District Hospital (H3)";"RH","Regional / National Hospital (H1)"},2,0),
        $D59
      ),
      'Tools &amp; Targets_Guideline'!$C$53:$I$53,
      0
    )
  ),
0))</f>
        <v/>
      </c>
      <c r="M59" s="105"/>
      <c r="N59" s="119" t="str">
        <f t="array" ref="N59">IF(OR($B59="",$D59=""),"",
IFERROR(
  INDEX(
    'Tools &amp; Targets_Guideline'!$C$54:$I$269,
    MATCH(
      1,
      ('Tools &amp; Targets_Guideline'!$A$54:$A$269=$B59)*
      ('Tools &amp; Targets_Guideline'!$B$54:$B$269="PNC"),
      0
    ),
    MATCH(
      _xludf.IFNA(
        VLOOKUP($D59,{"PH","Provincial Hospital (H2)";"DH","District Hospital (H3)";"RH","Regional / National Hospital (H1)"},2,0),
        $D59
      ),
      'Tools &amp; Targets_Guideline'!$C$53:$I$53,
      0
    )
  ),
0))</f>
        <v/>
      </c>
      <c r="O59" s="105"/>
      <c r="P59" s="119" t="str">
        <f t="array" ref="P59">IF(OR($B59="",$D59=""),"",
IFERROR(
  INDEX(
    'Tools &amp; Targets_Guideline'!$C$54:$I$269,
    MATCH(
      1,
      ('Tools &amp; Targets_Guideline'!$A$54:$A$269=$B59)*
      ('Tools &amp; Targets_Guideline'!$B$54:$B$269="Delivery"),
      0
    ),
    MATCH(
      _xludf.IFNA(
        VLOOKUP($D59,{"PH","Provincial Hospital (H2)";"DH","District Hospital (H3)";"RH","Regional / National Hospital (H1)"},2,0),
        $D59
      ),
      'Tools &amp; Targets_Guideline'!$C$53:$I$53,
      0
    )
  ),
0))</f>
        <v/>
      </c>
      <c r="Q59" s="105"/>
      <c r="R59" s="119" t="str">
        <f t="array" ref="R59">IF(OR($B59="",$D59=""),"",
IFERROR(
  INDEX(
    'Tools &amp; Targets_Guideline'!$C$54:$I$269,
    MATCH(
      1,
      ('Tools &amp; Targets_Guideline'!$A$54:$A$269=$B59)*
      ('Tools &amp; Targets_Guideline'!$B$54:$B$269="TT"),
      0
    ),
    MATCH(
      _xludf.IFNA(
        VLOOKUP($D59,{"PH","Provincial Hospital (H2)";"DH","District Hospital (H3)";"RH","Regional / National Hospital (H1)"},2,0),
        $D59
      ),
      'Tools &amp; Targets_Guideline'!$C$53:$I$53,
      0
    )
  ),
0))</f>
        <v/>
      </c>
      <c r="S59" s="105"/>
      <c r="T59" s="102"/>
      <c r="U59" s="106"/>
      <c r="V59" s="102" t="str">
        <f t="shared" si="1"/>
        <v/>
      </c>
      <c r="W59" s="102"/>
      <c r="X59" s="102"/>
      <c r="Y59" s="119" t="str">
        <f t="array" ref="Y59">IF(OR($B59="",$D59=""),"",
IFERROR(
  INDEX(
    'Tools &amp; Targets_Guideline'!$C$54:$I$269,
    MATCH(
      1,
      ('Tools &amp; Targets_Guideline'!$A$54:$A$269=$B59)*
      ('Tools &amp; Targets_Guideline'!$B$54:$B$269="GM"),
      0
    ),
    MATCH(
      _xludf.IFNA(
        VLOOKUP($D59,{"PH","Provincial Hospital (H2)";"DH","District Hospital (H3)";"RH","Regional / National Hospital (H1)"},2,0),
        $D59
      ),
      'Tools &amp; Targets_Guideline'!$C$53:$I$53,
      0
    )
  ),
0))</f>
        <v/>
      </c>
      <c r="Z59" s="105"/>
      <c r="AA59" s="119" t="str">
        <f t="array" ref="AA59">IF(OR($B59="",$D59=""),"",
IFERROR(
  INDEX(
    'Tools &amp; Targets_Guideline'!$C$54:$I$269,
    MATCH(
      1,
      ('Tools &amp; Targets_Guideline'!$A$54:$A$269=$B59)*
      ('Tools &amp; Targets_Guideline'!$B$54:$B$269="Penta"),
      0
    ),
    MATCH(
      _xludf.IFNA(
        VLOOKUP($D59,{"PH","Provincial Hospital (H2)";"DH","District Hospital (H3)";"RH","Regional / National Hospital (H1)"},2,0),
        $D59
      ),
      'Tools &amp; Targets_Guideline'!$C$53:$I$53,
      0
    )
  ),
0))</f>
        <v/>
      </c>
      <c r="AB59" s="105"/>
      <c r="AC59" s="119" t="str">
        <f t="array" ref="AC59">IF(OR($B59="",$D59=""),"",
IFERROR(
  INDEX(
    'Tools &amp; Targets_Guideline'!$C$54:$I$269,
    MATCH(
      1,
      ('Tools &amp; Targets_Guideline'!$A$54:$A$269=$B59)*
      ('Tools &amp; Targets_Guideline'!$B$54:$B$269="TB"),
      0
    ),
    MATCH(
      _xludf.IFNA(
        VLOOKUP($D59,{"PH","Provincial Hospital (H2)";"DH","District Hospital (H3)";"RH","Regional / National Hospital (H1)"},2,0),
        $D59
      ),
      'Tools &amp; Targets_Guideline'!$C$53:$I$53,
      0
    )
  ),
0))</f>
        <v/>
      </c>
      <c r="AD59" s="105"/>
      <c r="AE59" s="119" t="str">
        <f t="array" ref="AE59">IF(OR($B59="",$D59=""),"",
IFERROR(
  INDEX(
    'Tools &amp; Targets_Guideline'!$C$54:$I$269,
    MATCH(
      1,
      ('Tools &amp; Targets_Guideline'!$A$54:$A$269=$B59)*
      ('Tools &amp; Targets_Guideline'!$B$54:$B$269="U5 Morbidity"),
      0
    ),
    MATCH(
      _xludf.IFNA(
        VLOOKUP($D59,{"PH","Provincial Hospital (H2)";"DH","District Hospital (H3)";"RH","Regional / National Hospital (H1)"},2,0),
        $D59
      ),
      'Tools &amp; Targets_Guideline'!$C$53:$I$53,
      0
    )
  ),
0))</f>
        <v/>
      </c>
      <c r="AF59" s="105"/>
      <c r="AG59" s="119" t="str">
        <f t="array" ref="AG59">IF(OR($B59="",$D59=""),"",
IFERROR(
  INDEX(
    'Tools &amp; Targets_Guideline'!$C$54:$I$269,
    MATCH(
      1,
      ('Tools &amp; Targets_Guideline'!$A$54:$A$269=$B59)*
      ('Tools &amp; Targets_Guideline'!$B$54:$B$269="C-Section"),
      0
    ),
    MATCH(
      _xludf.IFNA(
        VLOOKUP($D59,{"PH","Provincial Hospital (H2)";"DH","District Hospital (H3)";"RH","Regional / National Hospital (H1)"},2,0),
        $D59
      ),
      'Tools &amp; Targets_Guideline'!$C$53:$I$53,
      0
    )
  ),
0))</f>
        <v/>
      </c>
      <c r="AH59" s="105" t="str">
        <f>IF(A59&lt;&gt;"",COUNTIFS('QA Log'!D:D,A59,'QA Log'!M:M,"QQC",'QA Log'!L:L,"2. Hygiene and Sterilization",'QA Log'!Z:Z,"Approved"),"")</f>
        <v/>
      </c>
      <c r="AI59" s="102"/>
      <c r="AJ59" s="102"/>
      <c r="AK59" s="103" t="str">
        <f t="shared" si="2"/>
        <v/>
      </c>
      <c r="AL59" s="102"/>
      <c r="AM59" s="102"/>
      <c r="AN59" s="102"/>
      <c r="AO59" s="106"/>
      <c r="AP59" s="103"/>
      <c r="AQ59" s="102"/>
      <c r="AR59" s="102"/>
      <c r="AS59" s="102"/>
      <c r="AT59" s="107"/>
      <c r="AU59" s="102" t="str">
        <f t="shared" si="3"/>
        <v/>
      </c>
      <c r="AV59" s="102" t="str">
        <f t="shared" si="4"/>
        <v/>
      </c>
      <c r="AW59" s="102" t="str">
        <f t="shared" si="5"/>
        <v/>
      </c>
      <c r="AX59" s="102" t="str">
        <f t="shared" si="6"/>
        <v/>
      </c>
      <c r="AY59" s="107" t="str">
        <f t="shared" si="7"/>
        <v/>
      </c>
      <c r="AZ59" s="108" t="str">
        <f t="shared" si="8"/>
        <v/>
      </c>
      <c r="BA59" s="108" t="str">
        <f t="shared" si="9"/>
        <v/>
      </c>
      <c r="BB59" s="109" t="str">
        <f t="shared" si="10"/>
        <v/>
      </c>
      <c r="BC59" s="108" t="str">
        <f t="shared" si="11"/>
        <v/>
      </c>
      <c r="BD59" s="108" t="str">
        <f t="shared" si="12"/>
        <v/>
      </c>
      <c r="BE59" s="109" t="str">
        <f t="shared" si="13"/>
        <v/>
      </c>
      <c r="BF59" s="110" t="str">
        <f t="shared" si="14"/>
        <v/>
      </c>
      <c r="BG59" s="111"/>
    </row>
    <row r="60" spans="1:59" ht="12.75">
      <c r="A60" s="101"/>
      <c r="B60" s="102"/>
      <c r="C60" s="102" t="e">
        <f t="array" aca="1" ref="C60" ca="1">_xludf.XLOOKUP(A60,'QA Log'!D:D,'QA Log'!F:F,"")</f>
        <v>#NAME?</v>
      </c>
      <c r="D60" s="102"/>
      <c r="E60" s="102" t="e">
        <f t="array" aca="1" ref="E60" ca="1">_xludf.XLOOKUP(A60,'QA Log'!D:D,'QA Log'!G:G,"")</f>
        <v>#NAME?</v>
      </c>
      <c r="F60" s="103"/>
      <c r="G60" s="104"/>
      <c r="H60" s="104"/>
      <c r="I60" s="103" t="str">
        <f t="shared" si="0"/>
        <v/>
      </c>
      <c r="J60" s="102"/>
      <c r="K60" s="102"/>
      <c r="L60" s="119" t="str">
        <f t="array" ref="L60">IF(OR($B60="",$D60=""),"",
IFERROR(
  INDEX(
    'Tools &amp; Targets_Guideline'!$C$54:$I$269,
    MATCH(
      1,
      ('Tools &amp; Targets_Guideline'!$A$54:$A$269=$B60)*
      ('Tools &amp; Targets_Guideline'!$B$54:$B$269="ANC"),
      0
    ),
    MATCH(
      _xludf.IFNA(
        VLOOKUP($D60,{"PH","Provincial Hospital (H2)";"DH","District Hospital (H3)";"RH","Regional / National Hospital (H1)"},2,0),
        $D60
      ),
      'Tools &amp; Targets_Guideline'!$C$53:$I$53,
      0
    )
  ),
0))</f>
        <v/>
      </c>
      <c r="M60" s="105"/>
      <c r="N60" s="119" t="str">
        <f t="array" ref="N60">IF(OR($B60="",$D60=""),"",
IFERROR(
  INDEX(
    'Tools &amp; Targets_Guideline'!$C$54:$I$269,
    MATCH(
      1,
      ('Tools &amp; Targets_Guideline'!$A$54:$A$269=$B60)*
      ('Tools &amp; Targets_Guideline'!$B$54:$B$269="PNC"),
      0
    ),
    MATCH(
      _xludf.IFNA(
        VLOOKUP($D60,{"PH","Provincial Hospital (H2)";"DH","District Hospital (H3)";"RH","Regional / National Hospital (H1)"},2,0),
        $D60
      ),
      'Tools &amp; Targets_Guideline'!$C$53:$I$53,
      0
    )
  ),
0))</f>
        <v/>
      </c>
      <c r="O60" s="105"/>
      <c r="P60" s="119" t="str">
        <f t="array" ref="P60">IF(OR($B60="",$D60=""),"",
IFERROR(
  INDEX(
    'Tools &amp; Targets_Guideline'!$C$54:$I$269,
    MATCH(
      1,
      ('Tools &amp; Targets_Guideline'!$A$54:$A$269=$B60)*
      ('Tools &amp; Targets_Guideline'!$B$54:$B$269="Delivery"),
      0
    ),
    MATCH(
      _xludf.IFNA(
        VLOOKUP($D60,{"PH","Provincial Hospital (H2)";"DH","District Hospital (H3)";"RH","Regional / National Hospital (H1)"},2,0),
        $D60
      ),
      'Tools &amp; Targets_Guideline'!$C$53:$I$53,
      0
    )
  ),
0))</f>
        <v/>
      </c>
      <c r="Q60" s="105"/>
      <c r="R60" s="119" t="str">
        <f t="array" ref="R60">IF(OR($B60="",$D60=""),"",
IFERROR(
  INDEX(
    'Tools &amp; Targets_Guideline'!$C$54:$I$269,
    MATCH(
      1,
      ('Tools &amp; Targets_Guideline'!$A$54:$A$269=$B60)*
      ('Tools &amp; Targets_Guideline'!$B$54:$B$269="TT"),
      0
    ),
    MATCH(
      _xludf.IFNA(
        VLOOKUP($D60,{"PH","Provincial Hospital (H2)";"DH","District Hospital (H3)";"RH","Regional / National Hospital (H1)"},2,0),
        $D60
      ),
      'Tools &amp; Targets_Guideline'!$C$53:$I$53,
      0
    )
  ),
0))</f>
        <v/>
      </c>
      <c r="S60" s="105"/>
      <c r="T60" s="102"/>
      <c r="U60" s="106"/>
      <c r="V60" s="102" t="str">
        <f t="shared" si="1"/>
        <v/>
      </c>
      <c r="W60" s="102"/>
      <c r="X60" s="102"/>
      <c r="Y60" s="119" t="str">
        <f t="array" ref="Y60">IF(OR($B60="",$D60=""),"",
IFERROR(
  INDEX(
    'Tools &amp; Targets_Guideline'!$C$54:$I$269,
    MATCH(
      1,
      ('Tools &amp; Targets_Guideline'!$A$54:$A$269=$B60)*
      ('Tools &amp; Targets_Guideline'!$B$54:$B$269="GM"),
      0
    ),
    MATCH(
      _xludf.IFNA(
        VLOOKUP($D60,{"PH","Provincial Hospital (H2)";"DH","District Hospital (H3)";"RH","Regional / National Hospital (H1)"},2,0),
        $D60
      ),
      'Tools &amp; Targets_Guideline'!$C$53:$I$53,
      0
    )
  ),
0))</f>
        <v/>
      </c>
      <c r="Z60" s="105"/>
      <c r="AA60" s="119" t="str">
        <f t="array" ref="AA60">IF(OR($B60="",$D60=""),"",
IFERROR(
  INDEX(
    'Tools &amp; Targets_Guideline'!$C$54:$I$269,
    MATCH(
      1,
      ('Tools &amp; Targets_Guideline'!$A$54:$A$269=$B60)*
      ('Tools &amp; Targets_Guideline'!$B$54:$B$269="Penta"),
      0
    ),
    MATCH(
      _xludf.IFNA(
        VLOOKUP($D60,{"PH","Provincial Hospital (H2)";"DH","District Hospital (H3)";"RH","Regional / National Hospital (H1)"},2,0),
        $D60
      ),
      'Tools &amp; Targets_Guideline'!$C$53:$I$53,
      0
    )
  ),
0))</f>
        <v/>
      </c>
      <c r="AB60" s="105"/>
      <c r="AC60" s="119" t="str">
        <f t="array" ref="AC60">IF(OR($B60="",$D60=""),"",
IFERROR(
  INDEX(
    'Tools &amp; Targets_Guideline'!$C$54:$I$269,
    MATCH(
      1,
      ('Tools &amp; Targets_Guideline'!$A$54:$A$269=$B60)*
      ('Tools &amp; Targets_Guideline'!$B$54:$B$269="TB"),
      0
    ),
    MATCH(
      _xludf.IFNA(
        VLOOKUP($D60,{"PH","Provincial Hospital (H2)";"DH","District Hospital (H3)";"RH","Regional / National Hospital (H1)"},2,0),
        $D60
      ),
      'Tools &amp; Targets_Guideline'!$C$53:$I$53,
      0
    )
  ),
0))</f>
        <v/>
      </c>
      <c r="AD60" s="105"/>
      <c r="AE60" s="119" t="str">
        <f t="array" ref="AE60">IF(OR($B60="",$D60=""),"",
IFERROR(
  INDEX(
    'Tools &amp; Targets_Guideline'!$C$54:$I$269,
    MATCH(
      1,
      ('Tools &amp; Targets_Guideline'!$A$54:$A$269=$B60)*
      ('Tools &amp; Targets_Guideline'!$B$54:$B$269="U5 Morbidity"),
      0
    ),
    MATCH(
      _xludf.IFNA(
        VLOOKUP($D60,{"PH","Provincial Hospital (H2)";"DH","District Hospital (H3)";"RH","Regional / National Hospital (H1)"},2,0),
        $D60
      ),
      'Tools &amp; Targets_Guideline'!$C$53:$I$53,
      0
    )
  ),
0))</f>
        <v/>
      </c>
      <c r="AF60" s="105"/>
      <c r="AG60" s="119" t="str">
        <f t="array" ref="AG60">IF(OR($B60="",$D60=""),"",
IFERROR(
  INDEX(
    'Tools &amp; Targets_Guideline'!$C$54:$I$269,
    MATCH(
      1,
      ('Tools &amp; Targets_Guideline'!$A$54:$A$269=$B60)*
      ('Tools &amp; Targets_Guideline'!$B$54:$B$269="C-Section"),
      0
    ),
    MATCH(
      _xludf.IFNA(
        VLOOKUP($D60,{"PH","Provincial Hospital (H2)";"DH","District Hospital (H3)";"RH","Regional / National Hospital (H1)"},2,0),
        $D60
      ),
      'Tools &amp; Targets_Guideline'!$C$53:$I$53,
      0
    )
  ),
0))</f>
        <v/>
      </c>
      <c r="AH60" s="105" t="str">
        <f>IF(A60&lt;&gt;"",COUNTIFS('QA Log'!D:D,A60,'QA Log'!M:M,"QQC",'QA Log'!L:L,"2. Hygiene and Sterilization",'QA Log'!Z:Z,"Approved"),"")</f>
        <v/>
      </c>
      <c r="AI60" s="102"/>
      <c r="AJ60" s="102"/>
      <c r="AK60" s="103" t="str">
        <f t="shared" si="2"/>
        <v/>
      </c>
      <c r="AL60" s="102"/>
      <c r="AM60" s="102"/>
      <c r="AN60" s="102"/>
      <c r="AO60" s="106"/>
      <c r="AP60" s="103"/>
      <c r="AQ60" s="102"/>
      <c r="AR60" s="102"/>
      <c r="AS60" s="102"/>
      <c r="AT60" s="107"/>
      <c r="AU60" s="102" t="str">
        <f t="shared" si="3"/>
        <v/>
      </c>
      <c r="AV60" s="102" t="str">
        <f t="shared" si="4"/>
        <v/>
      </c>
      <c r="AW60" s="102" t="str">
        <f t="shared" si="5"/>
        <v/>
      </c>
      <c r="AX60" s="102" t="str">
        <f t="shared" si="6"/>
        <v/>
      </c>
      <c r="AY60" s="107" t="str">
        <f t="shared" si="7"/>
        <v/>
      </c>
      <c r="AZ60" s="108" t="str">
        <f t="shared" si="8"/>
        <v/>
      </c>
      <c r="BA60" s="108" t="str">
        <f t="shared" si="9"/>
        <v/>
      </c>
      <c r="BB60" s="109" t="str">
        <f t="shared" si="10"/>
        <v/>
      </c>
      <c r="BC60" s="108" t="str">
        <f t="shared" si="11"/>
        <v/>
      </c>
      <c r="BD60" s="108" t="str">
        <f t="shared" si="12"/>
        <v/>
      </c>
      <c r="BE60" s="109" t="str">
        <f t="shared" si="13"/>
        <v/>
      </c>
      <c r="BF60" s="110" t="str">
        <f t="shared" si="14"/>
        <v/>
      </c>
      <c r="BG60" s="111"/>
    </row>
    <row r="61" spans="1:59" ht="12.75">
      <c r="A61" s="101"/>
      <c r="B61" s="102"/>
      <c r="C61" s="102" t="e">
        <f t="array" aca="1" ref="C61" ca="1">_xludf.XLOOKUP(A61,'QA Log'!D:D,'QA Log'!F:F,"")</f>
        <v>#NAME?</v>
      </c>
      <c r="D61" s="102"/>
      <c r="E61" s="102" t="e">
        <f t="array" aca="1" ref="E61" ca="1">_xludf.XLOOKUP(A61,'QA Log'!D:D,'QA Log'!G:G,"")</f>
        <v>#NAME?</v>
      </c>
      <c r="F61" s="103"/>
      <c r="G61" s="104"/>
      <c r="H61" s="104"/>
      <c r="I61" s="103" t="str">
        <f t="shared" si="0"/>
        <v/>
      </c>
      <c r="J61" s="102"/>
      <c r="K61" s="102"/>
      <c r="L61" s="119" t="str">
        <f t="array" ref="L61">IF(OR($B61="",$D61=""),"",
IFERROR(
  INDEX(
    'Tools &amp; Targets_Guideline'!$C$54:$I$269,
    MATCH(
      1,
      ('Tools &amp; Targets_Guideline'!$A$54:$A$269=$B61)*
      ('Tools &amp; Targets_Guideline'!$B$54:$B$269="ANC"),
      0
    ),
    MATCH(
      _xludf.IFNA(
        VLOOKUP($D61,{"PH","Provincial Hospital (H2)";"DH","District Hospital (H3)";"RH","Regional / National Hospital (H1)"},2,0),
        $D61
      ),
      'Tools &amp; Targets_Guideline'!$C$53:$I$53,
      0
    )
  ),
0))</f>
        <v/>
      </c>
      <c r="M61" s="105"/>
      <c r="N61" s="119" t="str">
        <f t="array" ref="N61">IF(OR($B61="",$D61=""),"",
IFERROR(
  INDEX(
    'Tools &amp; Targets_Guideline'!$C$54:$I$269,
    MATCH(
      1,
      ('Tools &amp; Targets_Guideline'!$A$54:$A$269=$B61)*
      ('Tools &amp; Targets_Guideline'!$B$54:$B$269="PNC"),
      0
    ),
    MATCH(
      _xludf.IFNA(
        VLOOKUP($D61,{"PH","Provincial Hospital (H2)";"DH","District Hospital (H3)";"RH","Regional / National Hospital (H1)"},2,0),
        $D61
      ),
      'Tools &amp; Targets_Guideline'!$C$53:$I$53,
      0
    )
  ),
0))</f>
        <v/>
      </c>
      <c r="O61" s="105"/>
      <c r="P61" s="119" t="str">
        <f t="array" ref="P61">IF(OR($B61="",$D61=""),"",
IFERROR(
  INDEX(
    'Tools &amp; Targets_Guideline'!$C$54:$I$269,
    MATCH(
      1,
      ('Tools &amp; Targets_Guideline'!$A$54:$A$269=$B61)*
      ('Tools &amp; Targets_Guideline'!$B$54:$B$269="Delivery"),
      0
    ),
    MATCH(
      _xludf.IFNA(
        VLOOKUP($D61,{"PH","Provincial Hospital (H2)";"DH","District Hospital (H3)";"RH","Regional / National Hospital (H1)"},2,0),
        $D61
      ),
      'Tools &amp; Targets_Guideline'!$C$53:$I$53,
      0
    )
  ),
0))</f>
        <v/>
      </c>
      <c r="Q61" s="105"/>
      <c r="R61" s="119" t="str">
        <f t="array" ref="R61">IF(OR($B61="",$D61=""),"",
IFERROR(
  INDEX(
    'Tools &amp; Targets_Guideline'!$C$54:$I$269,
    MATCH(
      1,
      ('Tools &amp; Targets_Guideline'!$A$54:$A$269=$B61)*
      ('Tools &amp; Targets_Guideline'!$B$54:$B$269="TT"),
      0
    ),
    MATCH(
      _xludf.IFNA(
        VLOOKUP($D61,{"PH","Provincial Hospital (H2)";"DH","District Hospital (H3)";"RH","Regional / National Hospital (H1)"},2,0),
        $D61
      ),
      'Tools &amp; Targets_Guideline'!$C$53:$I$53,
      0
    )
  ),
0))</f>
        <v/>
      </c>
      <c r="S61" s="105"/>
      <c r="T61" s="102"/>
      <c r="U61" s="106"/>
      <c r="V61" s="102" t="str">
        <f t="shared" si="1"/>
        <v/>
      </c>
      <c r="W61" s="102"/>
      <c r="X61" s="102"/>
      <c r="Y61" s="119" t="str">
        <f t="array" ref="Y61">IF(OR($B61="",$D61=""),"",
IFERROR(
  INDEX(
    'Tools &amp; Targets_Guideline'!$C$54:$I$269,
    MATCH(
      1,
      ('Tools &amp; Targets_Guideline'!$A$54:$A$269=$B61)*
      ('Tools &amp; Targets_Guideline'!$B$54:$B$269="GM"),
      0
    ),
    MATCH(
      _xludf.IFNA(
        VLOOKUP($D61,{"PH","Provincial Hospital (H2)";"DH","District Hospital (H3)";"RH","Regional / National Hospital (H1)"},2,0),
        $D61
      ),
      'Tools &amp; Targets_Guideline'!$C$53:$I$53,
      0
    )
  ),
0))</f>
        <v/>
      </c>
      <c r="Z61" s="105"/>
      <c r="AA61" s="119" t="str">
        <f t="array" ref="AA61">IF(OR($B61="",$D61=""),"",
IFERROR(
  INDEX(
    'Tools &amp; Targets_Guideline'!$C$54:$I$269,
    MATCH(
      1,
      ('Tools &amp; Targets_Guideline'!$A$54:$A$269=$B61)*
      ('Tools &amp; Targets_Guideline'!$B$54:$B$269="Penta"),
      0
    ),
    MATCH(
      _xludf.IFNA(
        VLOOKUP($D61,{"PH","Provincial Hospital (H2)";"DH","District Hospital (H3)";"RH","Regional / National Hospital (H1)"},2,0),
        $D61
      ),
      'Tools &amp; Targets_Guideline'!$C$53:$I$53,
      0
    )
  ),
0))</f>
        <v/>
      </c>
      <c r="AB61" s="105"/>
      <c r="AC61" s="119" t="str">
        <f t="array" ref="AC61">IF(OR($B61="",$D61=""),"",
IFERROR(
  INDEX(
    'Tools &amp; Targets_Guideline'!$C$54:$I$269,
    MATCH(
      1,
      ('Tools &amp; Targets_Guideline'!$A$54:$A$269=$B61)*
      ('Tools &amp; Targets_Guideline'!$B$54:$B$269="TB"),
      0
    ),
    MATCH(
      _xludf.IFNA(
        VLOOKUP($D61,{"PH","Provincial Hospital (H2)";"DH","District Hospital (H3)";"RH","Regional / National Hospital (H1)"},2,0),
        $D61
      ),
      'Tools &amp; Targets_Guideline'!$C$53:$I$53,
      0
    )
  ),
0))</f>
        <v/>
      </c>
      <c r="AD61" s="105"/>
      <c r="AE61" s="119" t="str">
        <f t="array" ref="AE61">IF(OR($B61="",$D61=""),"",
IFERROR(
  INDEX(
    'Tools &amp; Targets_Guideline'!$C$54:$I$269,
    MATCH(
      1,
      ('Tools &amp; Targets_Guideline'!$A$54:$A$269=$B61)*
      ('Tools &amp; Targets_Guideline'!$B$54:$B$269="U5 Morbidity"),
      0
    ),
    MATCH(
      _xludf.IFNA(
        VLOOKUP($D61,{"PH","Provincial Hospital (H2)";"DH","District Hospital (H3)";"RH","Regional / National Hospital (H1)"},2,0),
        $D61
      ),
      'Tools &amp; Targets_Guideline'!$C$53:$I$53,
      0
    )
  ),
0))</f>
        <v/>
      </c>
      <c r="AF61" s="105"/>
      <c r="AG61" s="119" t="str">
        <f t="array" ref="AG61">IF(OR($B61="",$D61=""),"",
IFERROR(
  INDEX(
    'Tools &amp; Targets_Guideline'!$C$54:$I$269,
    MATCH(
      1,
      ('Tools &amp; Targets_Guideline'!$A$54:$A$269=$B61)*
      ('Tools &amp; Targets_Guideline'!$B$54:$B$269="C-Section"),
      0
    ),
    MATCH(
      _xludf.IFNA(
        VLOOKUP($D61,{"PH","Provincial Hospital (H2)";"DH","District Hospital (H3)";"RH","Regional / National Hospital (H1)"},2,0),
        $D61
      ),
      'Tools &amp; Targets_Guideline'!$C$53:$I$53,
      0
    )
  ),
0))</f>
        <v/>
      </c>
      <c r="AH61" s="105" t="str">
        <f>IF(A61&lt;&gt;"",COUNTIFS('QA Log'!D:D,A61,'QA Log'!M:M,"QQC",'QA Log'!L:L,"2. Hygiene and Sterilization",'QA Log'!Z:Z,"Approved"),"")</f>
        <v/>
      </c>
      <c r="AI61" s="102"/>
      <c r="AJ61" s="102"/>
      <c r="AK61" s="103" t="str">
        <f t="shared" si="2"/>
        <v/>
      </c>
      <c r="AL61" s="102"/>
      <c r="AM61" s="102"/>
      <c r="AN61" s="102"/>
      <c r="AO61" s="106"/>
      <c r="AP61" s="103"/>
      <c r="AQ61" s="102"/>
      <c r="AR61" s="102"/>
      <c r="AS61" s="102"/>
      <c r="AT61" s="107"/>
      <c r="AU61" s="102" t="str">
        <f t="shared" si="3"/>
        <v/>
      </c>
      <c r="AV61" s="102" t="str">
        <f t="shared" si="4"/>
        <v/>
      </c>
      <c r="AW61" s="102" t="str">
        <f t="shared" si="5"/>
        <v/>
      </c>
      <c r="AX61" s="102" t="str">
        <f t="shared" si="6"/>
        <v/>
      </c>
      <c r="AY61" s="107" t="str">
        <f t="shared" si="7"/>
        <v/>
      </c>
      <c r="AZ61" s="108" t="str">
        <f t="shared" si="8"/>
        <v/>
      </c>
      <c r="BA61" s="108" t="str">
        <f t="shared" si="9"/>
        <v/>
      </c>
      <c r="BB61" s="109" t="str">
        <f t="shared" si="10"/>
        <v/>
      </c>
      <c r="BC61" s="108" t="str">
        <f t="shared" si="11"/>
        <v/>
      </c>
      <c r="BD61" s="108" t="str">
        <f t="shared" si="12"/>
        <v/>
      </c>
      <c r="BE61" s="109" t="str">
        <f t="shared" si="13"/>
        <v/>
      </c>
      <c r="BF61" s="110" t="str">
        <f t="shared" si="14"/>
        <v/>
      </c>
      <c r="BG61" s="111"/>
    </row>
    <row r="62" spans="1:59" ht="12.75">
      <c r="A62" s="101"/>
      <c r="B62" s="102"/>
      <c r="C62" s="102" t="e">
        <f t="array" aca="1" ref="C62" ca="1">_xludf.XLOOKUP(A62,'QA Log'!D:D,'QA Log'!F:F,"")</f>
        <v>#NAME?</v>
      </c>
      <c r="D62" s="102"/>
      <c r="E62" s="102" t="e">
        <f t="array" aca="1" ref="E62" ca="1">_xludf.XLOOKUP(A62,'QA Log'!D:D,'QA Log'!G:G,"")</f>
        <v>#NAME?</v>
      </c>
      <c r="F62" s="103"/>
      <c r="G62" s="104"/>
      <c r="H62" s="104"/>
      <c r="I62" s="103" t="str">
        <f t="shared" si="0"/>
        <v/>
      </c>
      <c r="J62" s="102"/>
      <c r="K62" s="102"/>
      <c r="L62" s="119" t="str">
        <f t="array" ref="L62">IF(OR($B62="",$D62=""),"",
IFERROR(
  INDEX(
    'Tools &amp; Targets_Guideline'!$C$54:$I$269,
    MATCH(
      1,
      ('Tools &amp; Targets_Guideline'!$A$54:$A$269=$B62)*
      ('Tools &amp; Targets_Guideline'!$B$54:$B$269="ANC"),
      0
    ),
    MATCH(
      _xludf.IFNA(
        VLOOKUP($D62,{"PH","Provincial Hospital (H2)";"DH","District Hospital (H3)";"RH","Regional / National Hospital (H1)"},2,0),
        $D62
      ),
      'Tools &amp; Targets_Guideline'!$C$53:$I$53,
      0
    )
  ),
0))</f>
        <v/>
      </c>
      <c r="M62" s="105"/>
      <c r="N62" s="119" t="str">
        <f t="array" ref="N62">IF(OR($B62="",$D62=""),"",
IFERROR(
  INDEX(
    'Tools &amp; Targets_Guideline'!$C$54:$I$269,
    MATCH(
      1,
      ('Tools &amp; Targets_Guideline'!$A$54:$A$269=$B62)*
      ('Tools &amp; Targets_Guideline'!$B$54:$B$269="PNC"),
      0
    ),
    MATCH(
      _xludf.IFNA(
        VLOOKUP($D62,{"PH","Provincial Hospital (H2)";"DH","District Hospital (H3)";"RH","Regional / National Hospital (H1)"},2,0),
        $D62
      ),
      'Tools &amp; Targets_Guideline'!$C$53:$I$53,
      0
    )
  ),
0))</f>
        <v/>
      </c>
      <c r="O62" s="105"/>
      <c r="P62" s="119" t="str">
        <f t="array" ref="P62">IF(OR($B62="",$D62=""),"",
IFERROR(
  INDEX(
    'Tools &amp; Targets_Guideline'!$C$54:$I$269,
    MATCH(
      1,
      ('Tools &amp; Targets_Guideline'!$A$54:$A$269=$B62)*
      ('Tools &amp; Targets_Guideline'!$B$54:$B$269="Delivery"),
      0
    ),
    MATCH(
      _xludf.IFNA(
        VLOOKUP($D62,{"PH","Provincial Hospital (H2)";"DH","District Hospital (H3)";"RH","Regional / National Hospital (H1)"},2,0),
        $D62
      ),
      'Tools &amp; Targets_Guideline'!$C$53:$I$53,
      0
    )
  ),
0))</f>
        <v/>
      </c>
      <c r="Q62" s="105"/>
      <c r="R62" s="119" t="str">
        <f t="array" ref="R62">IF(OR($B62="",$D62=""),"",
IFERROR(
  INDEX(
    'Tools &amp; Targets_Guideline'!$C$54:$I$269,
    MATCH(
      1,
      ('Tools &amp; Targets_Guideline'!$A$54:$A$269=$B62)*
      ('Tools &amp; Targets_Guideline'!$B$54:$B$269="TT"),
      0
    ),
    MATCH(
      _xludf.IFNA(
        VLOOKUP($D62,{"PH","Provincial Hospital (H2)";"DH","District Hospital (H3)";"RH","Regional / National Hospital (H1)"},2,0),
        $D62
      ),
      'Tools &amp; Targets_Guideline'!$C$53:$I$53,
      0
    )
  ),
0))</f>
        <v/>
      </c>
      <c r="S62" s="105"/>
      <c r="T62" s="102"/>
      <c r="U62" s="106"/>
      <c r="V62" s="102" t="str">
        <f t="shared" si="1"/>
        <v/>
      </c>
      <c r="W62" s="102"/>
      <c r="X62" s="102"/>
      <c r="Y62" s="119" t="str">
        <f t="array" ref="Y62">IF(OR($B62="",$D62=""),"",
IFERROR(
  INDEX(
    'Tools &amp; Targets_Guideline'!$C$54:$I$269,
    MATCH(
      1,
      ('Tools &amp; Targets_Guideline'!$A$54:$A$269=$B62)*
      ('Tools &amp; Targets_Guideline'!$B$54:$B$269="GM"),
      0
    ),
    MATCH(
      _xludf.IFNA(
        VLOOKUP($D62,{"PH","Provincial Hospital (H2)";"DH","District Hospital (H3)";"RH","Regional / National Hospital (H1)"},2,0),
        $D62
      ),
      'Tools &amp; Targets_Guideline'!$C$53:$I$53,
      0
    )
  ),
0))</f>
        <v/>
      </c>
      <c r="Z62" s="105"/>
      <c r="AA62" s="119" t="str">
        <f t="array" ref="AA62">IF(OR($B62="",$D62=""),"",
IFERROR(
  INDEX(
    'Tools &amp; Targets_Guideline'!$C$54:$I$269,
    MATCH(
      1,
      ('Tools &amp; Targets_Guideline'!$A$54:$A$269=$B62)*
      ('Tools &amp; Targets_Guideline'!$B$54:$B$269="Penta"),
      0
    ),
    MATCH(
      _xludf.IFNA(
        VLOOKUP($D62,{"PH","Provincial Hospital (H2)";"DH","District Hospital (H3)";"RH","Regional / National Hospital (H1)"},2,0),
        $D62
      ),
      'Tools &amp; Targets_Guideline'!$C$53:$I$53,
      0
    )
  ),
0))</f>
        <v/>
      </c>
      <c r="AB62" s="105"/>
      <c r="AC62" s="119" t="str">
        <f t="array" ref="AC62">IF(OR($B62="",$D62=""),"",
IFERROR(
  INDEX(
    'Tools &amp; Targets_Guideline'!$C$54:$I$269,
    MATCH(
      1,
      ('Tools &amp; Targets_Guideline'!$A$54:$A$269=$B62)*
      ('Tools &amp; Targets_Guideline'!$B$54:$B$269="TB"),
      0
    ),
    MATCH(
      _xludf.IFNA(
        VLOOKUP($D62,{"PH","Provincial Hospital (H2)";"DH","District Hospital (H3)";"RH","Regional / National Hospital (H1)"},2,0),
        $D62
      ),
      'Tools &amp; Targets_Guideline'!$C$53:$I$53,
      0
    )
  ),
0))</f>
        <v/>
      </c>
      <c r="AD62" s="105"/>
      <c r="AE62" s="119" t="str">
        <f t="array" ref="AE62">IF(OR($B62="",$D62=""),"",
IFERROR(
  INDEX(
    'Tools &amp; Targets_Guideline'!$C$54:$I$269,
    MATCH(
      1,
      ('Tools &amp; Targets_Guideline'!$A$54:$A$269=$B62)*
      ('Tools &amp; Targets_Guideline'!$B$54:$B$269="U5 Morbidity"),
      0
    ),
    MATCH(
      _xludf.IFNA(
        VLOOKUP($D62,{"PH","Provincial Hospital (H2)";"DH","District Hospital (H3)";"RH","Regional / National Hospital (H1)"},2,0),
        $D62
      ),
      'Tools &amp; Targets_Guideline'!$C$53:$I$53,
      0
    )
  ),
0))</f>
        <v/>
      </c>
      <c r="AF62" s="105"/>
      <c r="AG62" s="119" t="str">
        <f t="array" ref="AG62">IF(OR($B62="",$D62=""),"",
IFERROR(
  INDEX(
    'Tools &amp; Targets_Guideline'!$C$54:$I$269,
    MATCH(
      1,
      ('Tools &amp; Targets_Guideline'!$A$54:$A$269=$B62)*
      ('Tools &amp; Targets_Guideline'!$B$54:$B$269="C-Section"),
      0
    ),
    MATCH(
      _xludf.IFNA(
        VLOOKUP($D62,{"PH","Provincial Hospital (H2)";"DH","District Hospital (H3)";"RH","Regional / National Hospital (H1)"},2,0),
        $D62
      ),
      'Tools &amp; Targets_Guideline'!$C$53:$I$53,
      0
    )
  ),
0))</f>
        <v/>
      </c>
      <c r="AH62" s="105" t="str">
        <f>IF(A62&lt;&gt;"",COUNTIFS('QA Log'!D:D,A62,'QA Log'!M:M,"QQC",'QA Log'!L:L,"2. Hygiene and Sterilization",'QA Log'!Z:Z,"Approved"),"")</f>
        <v/>
      </c>
      <c r="AI62" s="102"/>
      <c r="AJ62" s="102"/>
      <c r="AK62" s="103" t="str">
        <f t="shared" si="2"/>
        <v/>
      </c>
      <c r="AL62" s="102"/>
      <c r="AM62" s="102"/>
      <c r="AN62" s="102"/>
      <c r="AO62" s="106"/>
      <c r="AP62" s="103"/>
      <c r="AQ62" s="102"/>
      <c r="AR62" s="102"/>
      <c r="AS62" s="102"/>
      <c r="AT62" s="107"/>
      <c r="AU62" s="102" t="str">
        <f t="shared" si="3"/>
        <v/>
      </c>
      <c r="AV62" s="102" t="str">
        <f t="shared" si="4"/>
        <v/>
      </c>
      <c r="AW62" s="102" t="str">
        <f t="shared" si="5"/>
        <v/>
      </c>
      <c r="AX62" s="102" t="str">
        <f t="shared" si="6"/>
        <v/>
      </c>
      <c r="AY62" s="107" t="str">
        <f t="shared" si="7"/>
        <v/>
      </c>
      <c r="AZ62" s="108" t="str">
        <f t="shared" si="8"/>
        <v/>
      </c>
      <c r="BA62" s="108" t="str">
        <f t="shared" si="9"/>
        <v/>
      </c>
      <c r="BB62" s="109" t="str">
        <f t="shared" si="10"/>
        <v/>
      </c>
      <c r="BC62" s="108" t="str">
        <f t="shared" si="11"/>
        <v/>
      </c>
      <c r="BD62" s="108" t="str">
        <f t="shared" si="12"/>
        <v/>
      </c>
      <c r="BE62" s="109" t="str">
        <f t="shared" si="13"/>
        <v/>
      </c>
      <c r="BF62" s="110" t="str">
        <f t="shared" si="14"/>
        <v/>
      </c>
      <c r="BG62" s="111"/>
    </row>
    <row r="63" spans="1:59" ht="12.75">
      <c r="A63" s="101"/>
      <c r="B63" s="102"/>
      <c r="C63" s="102" t="e">
        <f t="array" aca="1" ref="C63" ca="1">_xludf.XLOOKUP(A63,'QA Log'!D:D,'QA Log'!F:F,"")</f>
        <v>#NAME?</v>
      </c>
      <c r="D63" s="102"/>
      <c r="E63" s="102" t="e">
        <f t="array" aca="1" ref="E63" ca="1">_xludf.XLOOKUP(A63,'QA Log'!D:D,'QA Log'!G:G,"")</f>
        <v>#NAME?</v>
      </c>
      <c r="F63" s="103"/>
      <c r="G63" s="104"/>
      <c r="H63" s="104"/>
      <c r="I63" s="103" t="str">
        <f t="shared" si="0"/>
        <v/>
      </c>
      <c r="J63" s="102"/>
      <c r="K63" s="102"/>
      <c r="L63" s="119" t="str">
        <f t="array" ref="L63">IF(OR($B63="",$D63=""),"",
IFERROR(
  INDEX(
    'Tools &amp; Targets_Guideline'!$C$54:$I$269,
    MATCH(
      1,
      ('Tools &amp; Targets_Guideline'!$A$54:$A$269=$B63)*
      ('Tools &amp; Targets_Guideline'!$B$54:$B$269="ANC"),
      0
    ),
    MATCH(
      _xludf.IFNA(
        VLOOKUP($D63,{"PH","Provincial Hospital (H2)";"DH","District Hospital (H3)";"RH","Regional / National Hospital (H1)"},2,0),
        $D63
      ),
      'Tools &amp; Targets_Guideline'!$C$53:$I$53,
      0
    )
  ),
0))</f>
        <v/>
      </c>
      <c r="M63" s="105"/>
      <c r="N63" s="119" t="str">
        <f t="array" ref="N63">IF(OR($B63="",$D63=""),"",
IFERROR(
  INDEX(
    'Tools &amp; Targets_Guideline'!$C$54:$I$269,
    MATCH(
      1,
      ('Tools &amp; Targets_Guideline'!$A$54:$A$269=$B63)*
      ('Tools &amp; Targets_Guideline'!$B$54:$B$269="PNC"),
      0
    ),
    MATCH(
      _xludf.IFNA(
        VLOOKUP($D63,{"PH","Provincial Hospital (H2)";"DH","District Hospital (H3)";"RH","Regional / National Hospital (H1)"},2,0),
        $D63
      ),
      'Tools &amp; Targets_Guideline'!$C$53:$I$53,
      0
    )
  ),
0))</f>
        <v/>
      </c>
      <c r="O63" s="105"/>
      <c r="P63" s="119" t="str">
        <f t="array" ref="P63">IF(OR($B63="",$D63=""),"",
IFERROR(
  INDEX(
    'Tools &amp; Targets_Guideline'!$C$54:$I$269,
    MATCH(
      1,
      ('Tools &amp; Targets_Guideline'!$A$54:$A$269=$B63)*
      ('Tools &amp; Targets_Guideline'!$B$54:$B$269="Delivery"),
      0
    ),
    MATCH(
      _xludf.IFNA(
        VLOOKUP($D63,{"PH","Provincial Hospital (H2)";"DH","District Hospital (H3)";"RH","Regional / National Hospital (H1)"},2,0),
        $D63
      ),
      'Tools &amp; Targets_Guideline'!$C$53:$I$53,
      0
    )
  ),
0))</f>
        <v/>
      </c>
      <c r="Q63" s="105"/>
      <c r="R63" s="119" t="str">
        <f t="array" ref="R63">IF(OR($B63="",$D63=""),"",
IFERROR(
  INDEX(
    'Tools &amp; Targets_Guideline'!$C$54:$I$269,
    MATCH(
      1,
      ('Tools &amp; Targets_Guideline'!$A$54:$A$269=$B63)*
      ('Tools &amp; Targets_Guideline'!$B$54:$B$269="TT"),
      0
    ),
    MATCH(
      _xludf.IFNA(
        VLOOKUP($D63,{"PH","Provincial Hospital (H2)";"DH","District Hospital (H3)";"RH","Regional / National Hospital (H1)"},2,0),
        $D63
      ),
      'Tools &amp; Targets_Guideline'!$C$53:$I$53,
      0
    )
  ),
0))</f>
        <v/>
      </c>
      <c r="S63" s="105"/>
      <c r="T63" s="102"/>
      <c r="U63" s="106"/>
      <c r="V63" s="102" t="str">
        <f t="shared" si="1"/>
        <v/>
      </c>
      <c r="W63" s="102"/>
      <c r="X63" s="102"/>
      <c r="Y63" s="119" t="str">
        <f t="array" ref="Y63">IF(OR($B63="",$D63=""),"",
IFERROR(
  INDEX(
    'Tools &amp; Targets_Guideline'!$C$54:$I$269,
    MATCH(
      1,
      ('Tools &amp; Targets_Guideline'!$A$54:$A$269=$B63)*
      ('Tools &amp; Targets_Guideline'!$B$54:$B$269="GM"),
      0
    ),
    MATCH(
      _xludf.IFNA(
        VLOOKUP($D63,{"PH","Provincial Hospital (H2)";"DH","District Hospital (H3)";"RH","Regional / National Hospital (H1)"},2,0),
        $D63
      ),
      'Tools &amp; Targets_Guideline'!$C$53:$I$53,
      0
    )
  ),
0))</f>
        <v/>
      </c>
      <c r="Z63" s="105"/>
      <c r="AA63" s="119" t="str">
        <f t="array" ref="AA63">IF(OR($B63="",$D63=""),"",
IFERROR(
  INDEX(
    'Tools &amp; Targets_Guideline'!$C$54:$I$269,
    MATCH(
      1,
      ('Tools &amp; Targets_Guideline'!$A$54:$A$269=$B63)*
      ('Tools &amp; Targets_Guideline'!$B$54:$B$269="Penta"),
      0
    ),
    MATCH(
      _xludf.IFNA(
        VLOOKUP($D63,{"PH","Provincial Hospital (H2)";"DH","District Hospital (H3)";"RH","Regional / National Hospital (H1)"},2,0),
        $D63
      ),
      'Tools &amp; Targets_Guideline'!$C$53:$I$53,
      0
    )
  ),
0))</f>
        <v/>
      </c>
      <c r="AB63" s="105"/>
      <c r="AC63" s="119" t="str">
        <f t="array" ref="AC63">IF(OR($B63="",$D63=""),"",
IFERROR(
  INDEX(
    'Tools &amp; Targets_Guideline'!$C$54:$I$269,
    MATCH(
      1,
      ('Tools &amp; Targets_Guideline'!$A$54:$A$269=$B63)*
      ('Tools &amp; Targets_Guideline'!$B$54:$B$269="TB"),
      0
    ),
    MATCH(
      _xludf.IFNA(
        VLOOKUP($D63,{"PH","Provincial Hospital (H2)";"DH","District Hospital (H3)";"RH","Regional / National Hospital (H1)"},2,0),
        $D63
      ),
      'Tools &amp; Targets_Guideline'!$C$53:$I$53,
      0
    )
  ),
0))</f>
        <v/>
      </c>
      <c r="AD63" s="105"/>
      <c r="AE63" s="119" t="str">
        <f t="array" ref="AE63">IF(OR($B63="",$D63=""),"",
IFERROR(
  INDEX(
    'Tools &amp; Targets_Guideline'!$C$54:$I$269,
    MATCH(
      1,
      ('Tools &amp; Targets_Guideline'!$A$54:$A$269=$B63)*
      ('Tools &amp; Targets_Guideline'!$B$54:$B$269="U5 Morbidity"),
      0
    ),
    MATCH(
      _xludf.IFNA(
        VLOOKUP($D63,{"PH","Provincial Hospital (H2)";"DH","District Hospital (H3)";"RH","Regional / National Hospital (H1)"},2,0),
        $D63
      ),
      'Tools &amp; Targets_Guideline'!$C$53:$I$53,
      0
    )
  ),
0))</f>
        <v/>
      </c>
      <c r="AF63" s="105"/>
      <c r="AG63" s="119" t="str">
        <f t="array" ref="AG63">IF(OR($B63="",$D63=""),"",
IFERROR(
  INDEX(
    'Tools &amp; Targets_Guideline'!$C$54:$I$269,
    MATCH(
      1,
      ('Tools &amp; Targets_Guideline'!$A$54:$A$269=$B63)*
      ('Tools &amp; Targets_Guideline'!$B$54:$B$269="C-Section"),
      0
    ),
    MATCH(
      _xludf.IFNA(
        VLOOKUP($D63,{"PH","Provincial Hospital (H2)";"DH","District Hospital (H3)";"RH","Regional / National Hospital (H1)"},2,0),
        $D63
      ),
      'Tools &amp; Targets_Guideline'!$C$53:$I$53,
      0
    )
  ),
0))</f>
        <v/>
      </c>
      <c r="AH63" s="105" t="str">
        <f>IF(A63&lt;&gt;"",COUNTIFS('QA Log'!D:D,A63,'QA Log'!M:M,"QQC",'QA Log'!L:L,"2. Hygiene and Sterilization",'QA Log'!Z:Z,"Approved"),"")</f>
        <v/>
      </c>
      <c r="AI63" s="102"/>
      <c r="AJ63" s="102"/>
      <c r="AK63" s="103" t="str">
        <f t="shared" si="2"/>
        <v/>
      </c>
      <c r="AL63" s="102"/>
      <c r="AM63" s="102"/>
      <c r="AN63" s="102"/>
      <c r="AO63" s="106"/>
      <c r="AP63" s="103"/>
      <c r="AQ63" s="102"/>
      <c r="AR63" s="102"/>
      <c r="AS63" s="102"/>
      <c r="AT63" s="107"/>
      <c r="AU63" s="102" t="str">
        <f t="shared" si="3"/>
        <v/>
      </c>
      <c r="AV63" s="102" t="str">
        <f t="shared" si="4"/>
        <v/>
      </c>
      <c r="AW63" s="102" t="str">
        <f t="shared" si="5"/>
        <v/>
      </c>
      <c r="AX63" s="102" t="str">
        <f t="shared" si="6"/>
        <v/>
      </c>
      <c r="AY63" s="107" t="str">
        <f t="shared" si="7"/>
        <v/>
      </c>
      <c r="AZ63" s="108" t="str">
        <f t="shared" si="8"/>
        <v/>
      </c>
      <c r="BA63" s="108" t="str">
        <f t="shared" si="9"/>
        <v/>
      </c>
      <c r="BB63" s="109" t="str">
        <f t="shared" si="10"/>
        <v/>
      </c>
      <c r="BC63" s="108" t="str">
        <f t="shared" si="11"/>
        <v/>
      </c>
      <c r="BD63" s="108" t="str">
        <f t="shared" si="12"/>
        <v/>
      </c>
      <c r="BE63" s="109" t="str">
        <f t="shared" si="13"/>
        <v/>
      </c>
      <c r="BF63" s="110" t="str">
        <f t="shared" si="14"/>
        <v/>
      </c>
      <c r="BG63" s="111"/>
    </row>
    <row r="64" spans="1:59" ht="12.75">
      <c r="A64" s="101"/>
      <c r="B64" s="102"/>
      <c r="C64" s="102" t="e">
        <f t="array" aca="1" ref="C64" ca="1">_xludf.XLOOKUP(A64,'QA Log'!D:D,'QA Log'!F:F,"")</f>
        <v>#NAME?</v>
      </c>
      <c r="D64" s="102"/>
      <c r="E64" s="102" t="e">
        <f t="array" aca="1" ref="E64" ca="1">_xludf.XLOOKUP(A64,'QA Log'!D:D,'QA Log'!G:G,"")</f>
        <v>#NAME?</v>
      </c>
      <c r="F64" s="103"/>
      <c r="G64" s="104"/>
      <c r="H64" s="104"/>
      <c r="I64" s="103" t="str">
        <f t="shared" si="0"/>
        <v/>
      </c>
      <c r="J64" s="102"/>
      <c r="K64" s="102"/>
      <c r="L64" s="119" t="str">
        <f t="array" ref="L64">IF(OR($B64="",$D64=""),"",
IFERROR(
  INDEX(
    'Tools &amp; Targets_Guideline'!$C$54:$I$269,
    MATCH(
      1,
      ('Tools &amp; Targets_Guideline'!$A$54:$A$269=$B64)*
      ('Tools &amp; Targets_Guideline'!$B$54:$B$269="ANC"),
      0
    ),
    MATCH(
      _xludf.IFNA(
        VLOOKUP($D64,{"PH","Provincial Hospital (H2)";"DH","District Hospital (H3)";"RH","Regional / National Hospital (H1)"},2,0),
        $D64
      ),
      'Tools &amp; Targets_Guideline'!$C$53:$I$53,
      0
    )
  ),
0))</f>
        <v/>
      </c>
      <c r="M64" s="105"/>
      <c r="N64" s="119" t="str">
        <f t="array" ref="N64">IF(OR($B64="",$D64=""),"",
IFERROR(
  INDEX(
    'Tools &amp; Targets_Guideline'!$C$54:$I$269,
    MATCH(
      1,
      ('Tools &amp; Targets_Guideline'!$A$54:$A$269=$B64)*
      ('Tools &amp; Targets_Guideline'!$B$54:$B$269="PNC"),
      0
    ),
    MATCH(
      _xludf.IFNA(
        VLOOKUP($D64,{"PH","Provincial Hospital (H2)";"DH","District Hospital (H3)";"RH","Regional / National Hospital (H1)"},2,0),
        $D64
      ),
      'Tools &amp; Targets_Guideline'!$C$53:$I$53,
      0
    )
  ),
0))</f>
        <v/>
      </c>
      <c r="O64" s="105"/>
      <c r="P64" s="119" t="str">
        <f t="array" ref="P64">IF(OR($B64="",$D64=""),"",
IFERROR(
  INDEX(
    'Tools &amp; Targets_Guideline'!$C$54:$I$269,
    MATCH(
      1,
      ('Tools &amp; Targets_Guideline'!$A$54:$A$269=$B64)*
      ('Tools &amp; Targets_Guideline'!$B$54:$B$269="Delivery"),
      0
    ),
    MATCH(
      _xludf.IFNA(
        VLOOKUP($D64,{"PH","Provincial Hospital (H2)";"DH","District Hospital (H3)";"RH","Regional / National Hospital (H1)"},2,0),
        $D64
      ),
      'Tools &amp; Targets_Guideline'!$C$53:$I$53,
      0
    )
  ),
0))</f>
        <v/>
      </c>
      <c r="Q64" s="105"/>
      <c r="R64" s="119" t="str">
        <f t="array" ref="R64">IF(OR($B64="",$D64=""),"",
IFERROR(
  INDEX(
    'Tools &amp; Targets_Guideline'!$C$54:$I$269,
    MATCH(
      1,
      ('Tools &amp; Targets_Guideline'!$A$54:$A$269=$B64)*
      ('Tools &amp; Targets_Guideline'!$B$54:$B$269="TT"),
      0
    ),
    MATCH(
      _xludf.IFNA(
        VLOOKUP($D64,{"PH","Provincial Hospital (H2)";"DH","District Hospital (H3)";"RH","Regional / National Hospital (H1)"},2,0),
        $D64
      ),
      'Tools &amp; Targets_Guideline'!$C$53:$I$53,
      0
    )
  ),
0))</f>
        <v/>
      </c>
      <c r="S64" s="105"/>
      <c r="T64" s="102"/>
      <c r="U64" s="106"/>
      <c r="V64" s="102" t="str">
        <f t="shared" si="1"/>
        <v/>
      </c>
      <c r="W64" s="102"/>
      <c r="X64" s="102"/>
      <c r="Y64" s="119" t="str">
        <f t="array" ref="Y64">IF(OR($B64="",$D64=""),"",
IFERROR(
  INDEX(
    'Tools &amp; Targets_Guideline'!$C$54:$I$269,
    MATCH(
      1,
      ('Tools &amp; Targets_Guideline'!$A$54:$A$269=$B64)*
      ('Tools &amp; Targets_Guideline'!$B$54:$B$269="GM"),
      0
    ),
    MATCH(
      _xludf.IFNA(
        VLOOKUP($D64,{"PH","Provincial Hospital (H2)";"DH","District Hospital (H3)";"RH","Regional / National Hospital (H1)"},2,0),
        $D64
      ),
      'Tools &amp; Targets_Guideline'!$C$53:$I$53,
      0
    )
  ),
0))</f>
        <v/>
      </c>
      <c r="Z64" s="105"/>
      <c r="AA64" s="119" t="str">
        <f t="array" ref="AA64">IF(OR($B64="",$D64=""),"",
IFERROR(
  INDEX(
    'Tools &amp; Targets_Guideline'!$C$54:$I$269,
    MATCH(
      1,
      ('Tools &amp; Targets_Guideline'!$A$54:$A$269=$B64)*
      ('Tools &amp; Targets_Guideline'!$B$54:$B$269="Penta"),
      0
    ),
    MATCH(
      _xludf.IFNA(
        VLOOKUP($D64,{"PH","Provincial Hospital (H2)";"DH","District Hospital (H3)";"RH","Regional / National Hospital (H1)"},2,0),
        $D64
      ),
      'Tools &amp; Targets_Guideline'!$C$53:$I$53,
      0
    )
  ),
0))</f>
        <v/>
      </c>
      <c r="AB64" s="105"/>
      <c r="AC64" s="119" t="str">
        <f t="array" ref="AC64">IF(OR($B64="",$D64=""),"",
IFERROR(
  INDEX(
    'Tools &amp; Targets_Guideline'!$C$54:$I$269,
    MATCH(
      1,
      ('Tools &amp; Targets_Guideline'!$A$54:$A$269=$B64)*
      ('Tools &amp; Targets_Guideline'!$B$54:$B$269="TB"),
      0
    ),
    MATCH(
      _xludf.IFNA(
        VLOOKUP($D64,{"PH","Provincial Hospital (H2)";"DH","District Hospital (H3)";"RH","Regional / National Hospital (H1)"},2,0),
        $D64
      ),
      'Tools &amp; Targets_Guideline'!$C$53:$I$53,
      0
    )
  ),
0))</f>
        <v/>
      </c>
      <c r="AD64" s="105"/>
      <c r="AE64" s="119" t="str">
        <f t="array" ref="AE64">IF(OR($B64="",$D64=""),"",
IFERROR(
  INDEX(
    'Tools &amp; Targets_Guideline'!$C$54:$I$269,
    MATCH(
      1,
      ('Tools &amp; Targets_Guideline'!$A$54:$A$269=$B64)*
      ('Tools &amp; Targets_Guideline'!$B$54:$B$269="U5 Morbidity"),
      0
    ),
    MATCH(
      _xludf.IFNA(
        VLOOKUP($D64,{"PH","Provincial Hospital (H2)";"DH","District Hospital (H3)";"RH","Regional / National Hospital (H1)"},2,0),
        $D64
      ),
      'Tools &amp; Targets_Guideline'!$C$53:$I$53,
      0
    )
  ),
0))</f>
        <v/>
      </c>
      <c r="AF64" s="105"/>
      <c r="AG64" s="119" t="str">
        <f t="array" ref="AG64">IF(OR($B64="",$D64=""),"",
IFERROR(
  INDEX(
    'Tools &amp; Targets_Guideline'!$C$54:$I$269,
    MATCH(
      1,
      ('Tools &amp; Targets_Guideline'!$A$54:$A$269=$B64)*
      ('Tools &amp; Targets_Guideline'!$B$54:$B$269="C-Section"),
      0
    ),
    MATCH(
      _xludf.IFNA(
        VLOOKUP($D64,{"PH","Provincial Hospital (H2)";"DH","District Hospital (H3)";"RH","Regional / National Hospital (H1)"},2,0),
        $D64
      ),
      'Tools &amp; Targets_Guideline'!$C$53:$I$53,
      0
    )
  ),
0))</f>
        <v/>
      </c>
      <c r="AH64" s="105" t="str">
        <f>IF(A64&lt;&gt;"",COUNTIFS('QA Log'!D:D,A64,'QA Log'!M:M,"QQC",'QA Log'!L:L,"2. Hygiene and Sterilization",'QA Log'!Z:Z,"Approved"),"")</f>
        <v/>
      </c>
      <c r="AI64" s="102"/>
      <c r="AJ64" s="102"/>
      <c r="AK64" s="103" t="str">
        <f t="shared" si="2"/>
        <v/>
      </c>
      <c r="AL64" s="102"/>
      <c r="AM64" s="102"/>
      <c r="AN64" s="102"/>
      <c r="AO64" s="106"/>
      <c r="AP64" s="103"/>
      <c r="AQ64" s="102"/>
      <c r="AR64" s="102"/>
      <c r="AS64" s="102"/>
      <c r="AT64" s="107"/>
      <c r="AU64" s="102" t="str">
        <f t="shared" si="3"/>
        <v/>
      </c>
      <c r="AV64" s="102" t="str">
        <f t="shared" si="4"/>
        <v/>
      </c>
      <c r="AW64" s="102" t="str">
        <f t="shared" si="5"/>
        <v/>
      </c>
      <c r="AX64" s="102" t="str">
        <f t="shared" si="6"/>
        <v/>
      </c>
      <c r="AY64" s="107" t="str">
        <f t="shared" si="7"/>
        <v/>
      </c>
      <c r="AZ64" s="108" t="str">
        <f t="shared" si="8"/>
        <v/>
      </c>
      <c r="BA64" s="108" t="str">
        <f t="shared" si="9"/>
        <v/>
      </c>
      <c r="BB64" s="109" t="str">
        <f t="shared" si="10"/>
        <v/>
      </c>
      <c r="BC64" s="108" t="str">
        <f t="shared" si="11"/>
        <v/>
      </c>
      <c r="BD64" s="108" t="str">
        <f t="shared" si="12"/>
        <v/>
      </c>
      <c r="BE64" s="109" t="str">
        <f t="shared" si="13"/>
        <v/>
      </c>
      <c r="BF64" s="110" t="str">
        <f t="shared" si="14"/>
        <v/>
      </c>
      <c r="BG64" s="111"/>
    </row>
    <row r="65" spans="1:59" ht="12.75">
      <c r="A65" s="101"/>
      <c r="B65" s="102"/>
      <c r="C65" s="102" t="e">
        <f t="array" aca="1" ref="C65" ca="1">_xludf.XLOOKUP(A65,'QA Log'!D:D,'QA Log'!F:F,"")</f>
        <v>#NAME?</v>
      </c>
      <c r="D65" s="102"/>
      <c r="E65" s="102" t="e">
        <f t="array" aca="1" ref="E65" ca="1">_xludf.XLOOKUP(A65,'QA Log'!D:D,'QA Log'!G:G,"")</f>
        <v>#NAME?</v>
      </c>
      <c r="F65" s="103"/>
      <c r="G65" s="104"/>
      <c r="H65" s="104"/>
      <c r="I65" s="103" t="str">
        <f t="shared" si="0"/>
        <v/>
      </c>
      <c r="J65" s="102"/>
      <c r="K65" s="102"/>
      <c r="L65" s="119" t="str">
        <f t="array" ref="L65">IF(OR($B65="",$D65=""),"",
IFERROR(
  INDEX(
    'Tools &amp; Targets_Guideline'!$C$54:$I$269,
    MATCH(
      1,
      ('Tools &amp; Targets_Guideline'!$A$54:$A$269=$B65)*
      ('Tools &amp; Targets_Guideline'!$B$54:$B$269="ANC"),
      0
    ),
    MATCH(
      _xludf.IFNA(
        VLOOKUP($D65,{"PH","Provincial Hospital (H2)";"DH","District Hospital (H3)";"RH","Regional / National Hospital (H1)"},2,0),
        $D65
      ),
      'Tools &amp; Targets_Guideline'!$C$53:$I$53,
      0
    )
  ),
0))</f>
        <v/>
      </c>
      <c r="M65" s="105"/>
      <c r="N65" s="119" t="str">
        <f t="array" ref="N65">IF(OR($B65="",$D65=""),"",
IFERROR(
  INDEX(
    'Tools &amp; Targets_Guideline'!$C$54:$I$269,
    MATCH(
      1,
      ('Tools &amp; Targets_Guideline'!$A$54:$A$269=$B65)*
      ('Tools &amp; Targets_Guideline'!$B$54:$B$269="PNC"),
      0
    ),
    MATCH(
      _xludf.IFNA(
        VLOOKUP($D65,{"PH","Provincial Hospital (H2)";"DH","District Hospital (H3)";"RH","Regional / National Hospital (H1)"},2,0),
        $D65
      ),
      'Tools &amp; Targets_Guideline'!$C$53:$I$53,
      0
    )
  ),
0))</f>
        <v/>
      </c>
      <c r="O65" s="105"/>
      <c r="P65" s="119" t="str">
        <f t="array" ref="P65">IF(OR($B65="",$D65=""),"",
IFERROR(
  INDEX(
    'Tools &amp; Targets_Guideline'!$C$54:$I$269,
    MATCH(
      1,
      ('Tools &amp; Targets_Guideline'!$A$54:$A$269=$B65)*
      ('Tools &amp; Targets_Guideline'!$B$54:$B$269="Delivery"),
      0
    ),
    MATCH(
      _xludf.IFNA(
        VLOOKUP($D65,{"PH","Provincial Hospital (H2)";"DH","District Hospital (H3)";"RH","Regional / National Hospital (H1)"},2,0),
        $D65
      ),
      'Tools &amp; Targets_Guideline'!$C$53:$I$53,
      0
    )
  ),
0))</f>
        <v/>
      </c>
      <c r="Q65" s="105"/>
      <c r="R65" s="119" t="str">
        <f t="array" ref="R65">IF(OR($B65="",$D65=""),"",
IFERROR(
  INDEX(
    'Tools &amp; Targets_Guideline'!$C$54:$I$269,
    MATCH(
      1,
      ('Tools &amp; Targets_Guideline'!$A$54:$A$269=$B65)*
      ('Tools &amp; Targets_Guideline'!$B$54:$B$269="TT"),
      0
    ),
    MATCH(
      _xludf.IFNA(
        VLOOKUP($D65,{"PH","Provincial Hospital (H2)";"DH","District Hospital (H3)";"RH","Regional / National Hospital (H1)"},2,0),
        $D65
      ),
      'Tools &amp; Targets_Guideline'!$C$53:$I$53,
      0
    )
  ),
0))</f>
        <v/>
      </c>
      <c r="S65" s="105"/>
      <c r="T65" s="102"/>
      <c r="U65" s="106"/>
      <c r="V65" s="102" t="str">
        <f t="shared" si="1"/>
        <v/>
      </c>
      <c r="W65" s="102"/>
      <c r="X65" s="102"/>
      <c r="Y65" s="119" t="str">
        <f t="array" ref="Y65">IF(OR($B65="",$D65=""),"",
IFERROR(
  INDEX(
    'Tools &amp; Targets_Guideline'!$C$54:$I$269,
    MATCH(
      1,
      ('Tools &amp; Targets_Guideline'!$A$54:$A$269=$B65)*
      ('Tools &amp; Targets_Guideline'!$B$54:$B$269="GM"),
      0
    ),
    MATCH(
      _xludf.IFNA(
        VLOOKUP($D65,{"PH","Provincial Hospital (H2)";"DH","District Hospital (H3)";"RH","Regional / National Hospital (H1)"},2,0),
        $D65
      ),
      'Tools &amp; Targets_Guideline'!$C$53:$I$53,
      0
    )
  ),
0))</f>
        <v/>
      </c>
      <c r="Z65" s="105"/>
      <c r="AA65" s="119" t="str">
        <f t="array" ref="AA65">IF(OR($B65="",$D65=""),"",
IFERROR(
  INDEX(
    'Tools &amp; Targets_Guideline'!$C$54:$I$269,
    MATCH(
      1,
      ('Tools &amp; Targets_Guideline'!$A$54:$A$269=$B65)*
      ('Tools &amp; Targets_Guideline'!$B$54:$B$269="Penta"),
      0
    ),
    MATCH(
      _xludf.IFNA(
        VLOOKUP($D65,{"PH","Provincial Hospital (H2)";"DH","District Hospital (H3)";"RH","Regional / National Hospital (H1)"},2,0),
        $D65
      ),
      'Tools &amp; Targets_Guideline'!$C$53:$I$53,
      0
    )
  ),
0))</f>
        <v/>
      </c>
      <c r="AB65" s="105"/>
      <c r="AC65" s="119" t="str">
        <f t="array" ref="AC65">IF(OR($B65="",$D65=""),"",
IFERROR(
  INDEX(
    'Tools &amp; Targets_Guideline'!$C$54:$I$269,
    MATCH(
      1,
      ('Tools &amp; Targets_Guideline'!$A$54:$A$269=$B65)*
      ('Tools &amp; Targets_Guideline'!$B$54:$B$269="TB"),
      0
    ),
    MATCH(
      _xludf.IFNA(
        VLOOKUP($D65,{"PH","Provincial Hospital (H2)";"DH","District Hospital (H3)";"RH","Regional / National Hospital (H1)"},2,0),
        $D65
      ),
      'Tools &amp; Targets_Guideline'!$C$53:$I$53,
      0
    )
  ),
0))</f>
        <v/>
      </c>
      <c r="AD65" s="105"/>
      <c r="AE65" s="119" t="str">
        <f t="array" ref="AE65">IF(OR($B65="",$D65=""),"",
IFERROR(
  INDEX(
    'Tools &amp; Targets_Guideline'!$C$54:$I$269,
    MATCH(
      1,
      ('Tools &amp; Targets_Guideline'!$A$54:$A$269=$B65)*
      ('Tools &amp; Targets_Guideline'!$B$54:$B$269="U5 Morbidity"),
      0
    ),
    MATCH(
      _xludf.IFNA(
        VLOOKUP($D65,{"PH","Provincial Hospital (H2)";"DH","District Hospital (H3)";"RH","Regional / National Hospital (H1)"},2,0),
        $D65
      ),
      'Tools &amp; Targets_Guideline'!$C$53:$I$53,
      0
    )
  ),
0))</f>
        <v/>
      </c>
      <c r="AF65" s="105"/>
      <c r="AG65" s="119" t="str">
        <f t="array" ref="AG65">IF(OR($B65="",$D65=""),"",
IFERROR(
  INDEX(
    'Tools &amp; Targets_Guideline'!$C$54:$I$269,
    MATCH(
      1,
      ('Tools &amp; Targets_Guideline'!$A$54:$A$269=$B65)*
      ('Tools &amp; Targets_Guideline'!$B$54:$B$269="C-Section"),
      0
    ),
    MATCH(
      _xludf.IFNA(
        VLOOKUP($D65,{"PH","Provincial Hospital (H2)";"DH","District Hospital (H3)";"RH","Regional / National Hospital (H1)"},2,0),
        $D65
      ),
      'Tools &amp; Targets_Guideline'!$C$53:$I$53,
      0
    )
  ),
0))</f>
        <v/>
      </c>
      <c r="AH65" s="105" t="str">
        <f>IF(A65&lt;&gt;"",COUNTIFS('QA Log'!D:D,A65,'QA Log'!M:M,"QQC",'QA Log'!L:L,"2. Hygiene and Sterilization",'QA Log'!Z:Z,"Approved"),"")</f>
        <v/>
      </c>
      <c r="AI65" s="102"/>
      <c r="AJ65" s="102"/>
      <c r="AK65" s="103" t="str">
        <f t="shared" si="2"/>
        <v/>
      </c>
      <c r="AL65" s="102"/>
      <c r="AM65" s="102"/>
      <c r="AN65" s="102"/>
      <c r="AO65" s="106"/>
      <c r="AP65" s="103"/>
      <c r="AQ65" s="102"/>
      <c r="AR65" s="102"/>
      <c r="AS65" s="102"/>
      <c r="AT65" s="107"/>
      <c r="AU65" s="102" t="str">
        <f t="shared" si="3"/>
        <v/>
      </c>
      <c r="AV65" s="102" t="str">
        <f t="shared" si="4"/>
        <v/>
      </c>
      <c r="AW65" s="102" t="str">
        <f t="shared" si="5"/>
        <v/>
      </c>
      <c r="AX65" s="102" t="str">
        <f t="shared" si="6"/>
        <v/>
      </c>
      <c r="AY65" s="107" t="str">
        <f t="shared" si="7"/>
        <v/>
      </c>
      <c r="AZ65" s="108" t="str">
        <f t="shared" si="8"/>
        <v/>
      </c>
      <c r="BA65" s="108" t="str">
        <f t="shared" si="9"/>
        <v/>
      </c>
      <c r="BB65" s="109" t="str">
        <f t="shared" si="10"/>
        <v/>
      </c>
      <c r="BC65" s="108" t="str">
        <f t="shared" si="11"/>
        <v/>
      </c>
      <c r="BD65" s="108" t="str">
        <f t="shared" si="12"/>
        <v/>
      </c>
      <c r="BE65" s="109" t="str">
        <f t="shared" si="13"/>
        <v/>
      </c>
      <c r="BF65" s="110" t="str">
        <f t="shared" si="14"/>
        <v/>
      </c>
      <c r="BG65" s="111"/>
    </row>
    <row r="66" spans="1:59" ht="12.75">
      <c r="A66" s="101"/>
      <c r="B66" s="102"/>
      <c r="C66" s="102" t="e">
        <f t="array" aca="1" ref="C66" ca="1">_xludf.XLOOKUP(A66,'QA Log'!D:D,'QA Log'!F:F,"")</f>
        <v>#NAME?</v>
      </c>
      <c r="D66" s="102"/>
      <c r="E66" s="102" t="e">
        <f t="array" aca="1" ref="E66" ca="1">_xludf.XLOOKUP(A66,'QA Log'!D:D,'QA Log'!G:G,"")</f>
        <v>#NAME?</v>
      </c>
      <c r="F66" s="103"/>
      <c r="G66" s="104"/>
      <c r="H66" s="104"/>
      <c r="I66" s="103" t="str">
        <f t="shared" si="0"/>
        <v/>
      </c>
      <c r="J66" s="102"/>
      <c r="K66" s="102"/>
      <c r="L66" s="119" t="str">
        <f t="array" ref="L66">IF(OR($B66="",$D66=""),"",
IFERROR(
  INDEX(
    'Tools &amp; Targets_Guideline'!$C$54:$I$269,
    MATCH(
      1,
      ('Tools &amp; Targets_Guideline'!$A$54:$A$269=$B66)*
      ('Tools &amp; Targets_Guideline'!$B$54:$B$269="ANC"),
      0
    ),
    MATCH(
      _xludf.IFNA(
        VLOOKUP($D66,{"PH","Provincial Hospital (H2)";"DH","District Hospital (H3)";"RH","Regional / National Hospital (H1)"},2,0),
        $D66
      ),
      'Tools &amp; Targets_Guideline'!$C$53:$I$53,
      0
    )
  ),
0))</f>
        <v/>
      </c>
      <c r="M66" s="105"/>
      <c r="N66" s="119" t="str">
        <f t="array" ref="N66">IF(OR($B66="",$D66=""),"",
IFERROR(
  INDEX(
    'Tools &amp; Targets_Guideline'!$C$54:$I$269,
    MATCH(
      1,
      ('Tools &amp; Targets_Guideline'!$A$54:$A$269=$B66)*
      ('Tools &amp; Targets_Guideline'!$B$54:$B$269="PNC"),
      0
    ),
    MATCH(
      _xludf.IFNA(
        VLOOKUP($D66,{"PH","Provincial Hospital (H2)";"DH","District Hospital (H3)";"RH","Regional / National Hospital (H1)"},2,0),
        $D66
      ),
      'Tools &amp; Targets_Guideline'!$C$53:$I$53,
      0
    )
  ),
0))</f>
        <v/>
      </c>
      <c r="O66" s="105"/>
      <c r="P66" s="119" t="str">
        <f t="array" ref="P66">IF(OR($B66="",$D66=""),"",
IFERROR(
  INDEX(
    'Tools &amp; Targets_Guideline'!$C$54:$I$269,
    MATCH(
      1,
      ('Tools &amp; Targets_Guideline'!$A$54:$A$269=$B66)*
      ('Tools &amp; Targets_Guideline'!$B$54:$B$269="Delivery"),
      0
    ),
    MATCH(
      _xludf.IFNA(
        VLOOKUP($D66,{"PH","Provincial Hospital (H2)";"DH","District Hospital (H3)";"RH","Regional / National Hospital (H1)"},2,0),
        $D66
      ),
      'Tools &amp; Targets_Guideline'!$C$53:$I$53,
      0
    )
  ),
0))</f>
        <v/>
      </c>
      <c r="Q66" s="105"/>
      <c r="R66" s="119" t="str">
        <f t="array" ref="R66">IF(OR($B66="",$D66=""),"",
IFERROR(
  INDEX(
    'Tools &amp; Targets_Guideline'!$C$54:$I$269,
    MATCH(
      1,
      ('Tools &amp; Targets_Guideline'!$A$54:$A$269=$B66)*
      ('Tools &amp; Targets_Guideline'!$B$54:$B$269="TT"),
      0
    ),
    MATCH(
      _xludf.IFNA(
        VLOOKUP($D66,{"PH","Provincial Hospital (H2)";"DH","District Hospital (H3)";"RH","Regional / National Hospital (H1)"},2,0),
        $D66
      ),
      'Tools &amp; Targets_Guideline'!$C$53:$I$53,
      0
    )
  ),
0))</f>
        <v/>
      </c>
      <c r="S66" s="105"/>
      <c r="T66" s="102"/>
      <c r="U66" s="106"/>
      <c r="V66" s="102" t="str">
        <f t="shared" si="1"/>
        <v/>
      </c>
      <c r="W66" s="102"/>
      <c r="X66" s="102"/>
      <c r="Y66" s="119" t="str">
        <f t="array" ref="Y66">IF(OR($B66="",$D66=""),"",
IFERROR(
  INDEX(
    'Tools &amp; Targets_Guideline'!$C$54:$I$269,
    MATCH(
      1,
      ('Tools &amp; Targets_Guideline'!$A$54:$A$269=$B66)*
      ('Tools &amp; Targets_Guideline'!$B$54:$B$269="GM"),
      0
    ),
    MATCH(
      _xludf.IFNA(
        VLOOKUP($D66,{"PH","Provincial Hospital (H2)";"DH","District Hospital (H3)";"RH","Regional / National Hospital (H1)"},2,0),
        $D66
      ),
      'Tools &amp; Targets_Guideline'!$C$53:$I$53,
      0
    )
  ),
0))</f>
        <v/>
      </c>
      <c r="Z66" s="105"/>
      <c r="AA66" s="119" t="str">
        <f t="array" ref="AA66">IF(OR($B66="",$D66=""),"",
IFERROR(
  INDEX(
    'Tools &amp; Targets_Guideline'!$C$54:$I$269,
    MATCH(
      1,
      ('Tools &amp; Targets_Guideline'!$A$54:$A$269=$B66)*
      ('Tools &amp; Targets_Guideline'!$B$54:$B$269="Penta"),
      0
    ),
    MATCH(
      _xludf.IFNA(
        VLOOKUP($D66,{"PH","Provincial Hospital (H2)";"DH","District Hospital (H3)";"RH","Regional / National Hospital (H1)"},2,0),
        $D66
      ),
      'Tools &amp; Targets_Guideline'!$C$53:$I$53,
      0
    )
  ),
0))</f>
        <v/>
      </c>
      <c r="AB66" s="105"/>
      <c r="AC66" s="119" t="str">
        <f t="array" ref="AC66">IF(OR($B66="",$D66=""),"",
IFERROR(
  INDEX(
    'Tools &amp; Targets_Guideline'!$C$54:$I$269,
    MATCH(
      1,
      ('Tools &amp; Targets_Guideline'!$A$54:$A$269=$B66)*
      ('Tools &amp; Targets_Guideline'!$B$54:$B$269="TB"),
      0
    ),
    MATCH(
      _xludf.IFNA(
        VLOOKUP($D66,{"PH","Provincial Hospital (H2)";"DH","District Hospital (H3)";"RH","Regional / National Hospital (H1)"},2,0),
        $D66
      ),
      'Tools &amp; Targets_Guideline'!$C$53:$I$53,
      0
    )
  ),
0))</f>
        <v/>
      </c>
      <c r="AD66" s="105"/>
      <c r="AE66" s="119" t="str">
        <f t="array" ref="AE66">IF(OR($B66="",$D66=""),"",
IFERROR(
  INDEX(
    'Tools &amp; Targets_Guideline'!$C$54:$I$269,
    MATCH(
      1,
      ('Tools &amp; Targets_Guideline'!$A$54:$A$269=$B66)*
      ('Tools &amp; Targets_Guideline'!$B$54:$B$269="U5 Morbidity"),
      0
    ),
    MATCH(
      _xludf.IFNA(
        VLOOKUP($D66,{"PH","Provincial Hospital (H2)";"DH","District Hospital (H3)";"RH","Regional / National Hospital (H1)"},2,0),
        $D66
      ),
      'Tools &amp; Targets_Guideline'!$C$53:$I$53,
      0
    )
  ),
0))</f>
        <v/>
      </c>
      <c r="AF66" s="105"/>
      <c r="AG66" s="119" t="str">
        <f t="array" ref="AG66">IF(OR($B66="",$D66=""),"",
IFERROR(
  INDEX(
    'Tools &amp; Targets_Guideline'!$C$54:$I$269,
    MATCH(
      1,
      ('Tools &amp; Targets_Guideline'!$A$54:$A$269=$B66)*
      ('Tools &amp; Targets_Guideline'!$B$54:$B$269="C-Section"),
      0
    ),
    MATCH(
      _xludf.IFNA(
        VLOOKUP($D66,{"PH","Provincial Hospital (H2)";"DH","District Hospital (H3)";"RH","Regional / National Hospital (H1)"},2,0),
        $D66
      ),
      'Tools &amp; Targets_Guideline'!$C$53:$I$53,
      0
    )
  ),
0))</f>
        <v/>
      </c>
      <c r="AH66" s="105" t="str">
        <f>IF(A66&lt;&gt;"",COUNTIFS('QA Log'!D:D,A66,'QA Log'!M:M,"QQC",'QA Log'!L:L,"2. Hygiene and Sterilization",'QA Log'!Z:Z,"Approved"),"")</f>
        <v/>
      </c>
      <c r="AI66" s="102"/>
      <c r="AJ66" s="102"/>
      <c r="AK66" s="103" t="str">
        <f t="shared" si="2"/>
        <v/>
      </c>
      <c r="AL66" s="102"/>
      <c r="AM66" s="102"/>
      <c r="AN66" s="102"/>
      <c r="AO66" s="106"/>
      <c r="AP66" s="103"/>
      <c r="AQ66" s="102"/>
      <c r="AR66" s="102"/>
      <c r="AS66" s="102"/>
      <c r="AT66" s="107"/>
      <c r="AU66" s="102" t="str">
        <f t="shared" si="3"/>
        <v/>
      </c>
      <c r="AV66" s="102" t="str">
        <f t="shared" si="4"/>
        <v/>
      </c>
      <c r="AW66" s="102" t="str">
        <f t="shared" si="5"/>
        <v/>
      </c>
      <c r="AX66" s="102" t="str">
        <f t="shared" si="6"/>
        <v/>
      </c>
      <c r="AY66" s="107" t="str">
        <f t="shared" si="7"/>
        <v/>
      </c>
      <c r="AZ66" s="108" t="str">
        <f t="shared" si="8"/>
        <v/>
      </c>
      <c r="BA66" s="108" t="str">
        <f t="shared" si="9"/>
        <v/>
      </c>
      <c r="BB66" s="109" t="str">
        <f t="shared" si="10"/>
        <v/>
      </c>
      <c r="BC66" s="108" t="str">
        <f t="shared" si="11"/>
        <v/>
      </c>
      <c r="BD66" s="108" t="str">
        <f t="shared" si="12"/>
        <v/>
      </c>
      <c r="BE66" s="109" t="str">
        <f t="shared" si="13"/>
        <v/>
      </c>
      <c r="BF66" s="110" t="str">
        <f t="shared" si="14"/>
        <v/>
      </c>
      <c r="BG66" s="111"/>
    </row>
    <row r="67" spans="1:59" ht="12.75">
      <c r="A67" s="101"/>
      <c r="B67" s="102"/>
      <c r="C67" s="102" t="e">
        <f t="array" aca="1" ref="C67" ca="1">_xludf.XLOOKUP(A67,'QA Log'!D:D,'QA Log'!F:F,"")</f>
        <v>#NAME?</v>
      </c>
      <c r="D67" s="102"/>
      <c r="E67" s="102" t="e">
        <f t="array" aca="1" ref="E67" ca="1">_xludf.XLOOKUP(A67,'QA Log'!D:D,'QA Log'!G:G,"")</f>
        <v>#NAME?</v>
      </c>
      <c r="F67" s="103"/>
      <c r="G67" s="104"/>
      <c r="H67" s="104"/>
      <c r="I67" s="103" t="str">
        <f t="shared" si="0"/>
        <v/>
      </c>
      <c r="J67" s="102"/>
      <c r="K67" s="102"/>
      <c r="L67" s="119" t="str">
        <f t="array" ref="L67">IF(OR($B67="",$D67=""),"",
IFERROR(
  INDEX(
    'Tools &amp; Targets_Guideline'!$C$54:$I$269,
    MATCH(
      1,
      ('Tools &amp; Targets_Guideline'!$A$54:$A$269=$B67)*
      ('Tools &amp; Targets_Guideline'!$B$54:$B$269="ANC"),
      0
    ),
    MATCH(
      _xludf.IFNA(
        VLOOKUP($D67,{"PH","Provincial Hospital (H2)";"DH","District Hospital (H3)";"RH","Regional / National Hospital (H1)"},2,0),
        $D67
      ),
      'Tools &amp; Targets_Guideline'!$C$53:$I$53,
      0
    )
  ),
0))</f>
        <v/>
      </c>
      <c r="M67" s="105"/>
      <c r="N67" s="119" t="str">
        <f t="array" ref="N67">IF(OR($B67="",$D67=""),"",
IFERROR(
  INDEX(
    'Tools &amp; Targets_Guideline'!$C$54:$I$269,
    MATCH(
      1,
      ('Tools &amp; Targets_Guideline'!$A$54:$A$269=$B67)*
      ('Tools &amp; Targets_Guideline'!$B$54:$B$269="PNC"),
      0
    ),
    MATCH(
      _xludf.IFNA(
        VLOOKUP($D67,{"PH","Provincial Hospital (H2)";"DH","District Hospital (H3)";"RH","Regional / National Hospital (H1)"},2,0),
        $D67
      ),
      'Tools &amp; Targets_Guideline'!$C$53:$I$53,
      0
    )
  ),
0))</f>
        <v/>
      </c>
      <c r="O67" s="105"/>
      <c r="P67" s="119" t="str">
        <f t="array" ref="P67">IF(OR($B67="",$D67=""),"",
IFERROR(
  INDEX(
    'Tools &amp; Targets_Guideline'!$C$54:$I$269,
    MATCH(
      1,
      ('Tools &amp; Targets_Guideline'!$A$54:$A$269=$B67)*
      ('Tools &amp; Targets_Guideline'!$B$54:$B$269="Delivery"),
      0
    ),
    MATCH(
      _xludf.IFNA(
        VLOOKUP($D67,{"PH","Provincial Hospital (H2)";"DH","District Hospital (H3)";"RH","Regional / National Hospital (H1)"},2,0),
        $D67
      ),
      'Tools &amp; Targets_Guideline'!$C$53:$I$53,
      0
    )
  ),
0))</f>
        <v/>
      </c>
      <c r="Q67" s="105"/>
      <c r="R67" s="119" t="str">
        <f t="array" ref="R67">IF(OR($B67="",$D67=""),"",
IFERROR(
  INDEX(
    'Tools &amp; Targets_Guideline'!$C$54:$I$269,
    MATCH(
      1,
      ('Tools &amp; Targets_Guideline'!$A$54:$A$269=$B67)*
      ('Tools &amp; Targets_Guideline'!$B$54:$B$269="TT"),
      0
    ),
    MATCH(
      _xludf.IFNA(
        VLOOKUP($D67,{"PH","Provincial Hospital (H2)";"DH","District Hospital (H3)";"RH","Regional / National Hospital (H1)"},2,0),
        $D67
      ),
      'Tools &amp; Targets_Guideline'!$C$53:$I$53,
      0
    )
  ),
0))</f>
        <v/>
      </c>
      <c r="S67" s="105"/>
      <c r="T67" s="102"/>
      <c r="U67" s="106"/>
      <c r="V67" s="102" t="str">
        <f t="shared" si="1"/>
        <v/>
      </c>
      <c r="W67" s="102"/>
      <c r="X67" s="102"/>
      <c r="Y67" s="119" t="str">
        <f t="array" ref="Y67">IF(OR($B67="",$D67=""),"",
IFERROR(
  INDEX(
    'Tools &amp; Targets_Guideline'!$C$54:$I$269,
    MATCH(
      1,
      ('Tools &amp; Targets_Guideline'!$A$54:$A$269=$B67)*
      ('Tools &amp; Targets_Guideline'!$B$54:$B$269="GM"),
      0
    ),
    MATCH(
      _xludf.IFNA(
        VLOOKUP($D67,{"PH","Provincial Hospital (H2)";"DH","District Hospital (H3)";"RH","Regional / National Hospital (H1)"},2,0),
        $D67
      ),
      'Tools &amp; Targets_Guideline'!$C$53:$I$53,
      0
    )
  ),
0))</f>
        <v/>
      </c>
      <c r="Z67" s="105"/>
      <c r="AA67" s="119" t="str">
        <f t="array" ref="AA67">IF(OR($B67="",$D67=""),"",
IFERROR(
  INDEX(
    'Tools &amp; Targets_Guideline'!$C$54:$I$269,
    MATCH(
      1,
      ('Tools &amp; Targets_Guideline'!$A$54:$A$269=$B67)*
      ('Tools &amp; Targets_Guideline'!$B$54:$B$269="Penta"),
      0
    ),
    MATCH(
      _xludf.IFNA(
        VLOOKUP($D67,{"PH","Provincial Hospital (H2)";"DH","District Hospital (H3)";"RH","Regional / National Hospital (H1)"},2,0),
        $D67
      ),
      'Tools &amp; Targets_Guideline'!$C$53:$I$53,
      0
    )
  ),
0))</f>
        <v/>
      </c>
      <c r="AB67" s="105"/>
      <c r="AC67" s="119" t="str">
        <f t="array" ref="AC67">IF(OR($B67="",$D67=""),"",
IFERROR(
  INDEX(
    'Tools &amp; Targets_Guideline'!$C$54:$I$269,
    MATCH(
      1,
      ('Tools &amp; Targets_Guideline'!$A$54:$A$269=$B67)*
      ('Tools &amp; Targets_Guideline'!$B$54:$B$269="TB"),
      0
    ),
    MATCH(
      _xludf.IFNA(
        VLOOKUP($D67,{"PH","Provincial Hospital (H2)";"DH","District Hospital (H3)";"RH","Regional / National Hospital (H1)"},2,0),
        $D67
      ),
      'Tools &amp; Targets_Guideline'!$C$53:$I$53,
      0
    )
  ),
0))</f>
        <v/>
      </c>
      <c r="AD67" s="105"/>
      <c r="AE67" s="119" t="str">
        <f t="array" ref="AE67">IF(OR($B67="",$D67=""),"",
IFERROR(
  INDEX(
    'Tools &amp; Targets_Guideline'!$C$54:$I$269,
    MATCH(
      1,
      ('Tools &amp; Targets_Guideline'!$A$54:$A$269=$B67)*
      ('Tools &amp; Targets_Guideline'!$B$54:$B$269="U5 Morbidity"),
      0
    ),
    MATCH(
      _xludf.IFNA(
        VLOOKUP($D67,{"PH","Provincial Hospital (H2)";"DH","District Hospital (H3)";"RH","Regional / National Hospital (H1)"},2,0),
        $D67
      ),
      'Tools &amp; Targets_Guideline'!$C$53:$I$53,
      0
    )
  ),
0))</f>
        <v/>
      </c>
      <c r="AF67" s="105"/>
      <c r="AG67" s="119" t="str">
        <f t="array" ref="AG67">IF(OR($B67="",$D67=""),"",
IFERROR(
  INDEX(
    'Tools &amp; Targets_Guideline'!$C$54:$I$269,
    MATCH(
      1,
      ('Tools &amp; Targets_Guideline'!$A$54:$A$269=$B67)*
      ('Tools &amp; Targets_Guideline'!$B$54:$B$269="C-Section"),
      0
    ),
    MATCH(
      _xludf.IFNA(
        VLOOKUP($D67,{"PH","Provincial Hospital (H2)";"DH","District Hospital (H3)";"RH","Regional / National Hospital (H1)"},2,0),
        $D67
      ),
      'Tools &amp; Targets_Guideline'!$C$53:$I$53,
      0
    )
  ),
0))</f>
        <v/>
      </c>
      <c r="AH67" s="105" t="str">
        <f>IF(A67&lt;&gt;"",COUNTIFS('QA Log'!D:D,A67,'QA Log'!M:M,"QQC",'QA Log'!L:L,"2. Hygiene and Sterilization",'QA Log'!Z:Z,"Approved"),"")</f>
        <v/>
      </c>
      <c r="AI67" s="102"/>
      <c r="AJ67" s="102"/>
      <c r="AK67" s="103" t="str">
        <f t="shared" si="2"/>
        <v/>
      </c>
      <c r="AL67" s="102"/>
      <c r="AM67" s="102"/>
      <c r="AN67" s="102"/>
      <c r="AO67" s="106"/>
      <c r="AP67" s="103"/>
      <c r="AQ67" s="102"/>
      <c r="AR67" s="102"/>
      <c r="AS67" s="102"/>
      <c r="AT67" s="107"/>
      <c r="AU67" s="102" t="str">
        <f t="shared" si="3"/>
        <v/>
      </c>
      <c r="AV67" s="102" t="str">
        <f t="shared" si="4"/>
        <v/>
      </c>
      <c r="AW67" s="102" t="str">
        <f t="shared" si="5"/>
        <v/>
      </c>
      <c r="AX67" s="102" t="str">
        <f t="shared" si="6"/>
        <v/>
      </c>
      <c r="AY67" s="107" t="str">
        <f t="shared" si="7"/>
        <v/>
      </c>
      <c r="AZ67" s="108" t="str">
        <f t="shared" si="8"/>
        <v/>
      </c>
      <c r="BA67" s="108" t="str">
        <f t="shared" si="9"/>
        <v/>
      </c>
      <c r="BB67" s="109" t="str">
        <f t="shared" si="10"/>
        <v/>
      </c>
      <c r="BC67" s="108" t="str">
        <f t="shared" si="11"/>
        <v/>
      </c>
      <c r="BD67" s="108" t="str">
        <f t="shared" si="12"/>
        <v/>
      </c>
      <c r="BE67" s="109" t="str">
        <f t="shared" si="13"/>
        <v/>
      </c>
      <c r="BF67" s="110" t="str">
        <f t="shared" si="14"/>
        <v/>
      </c>
      <c r="BG67" s="111"/>
    </row>
    <row r="68" spans="1:59" ht="12.75">
      <c r="A68" s="101"/>
      <c r="B68" s="102"/>
      <c r="C68" s="102" t="e">
        <f t="array" aca="1" ref="C68" ca="1">_xludf.XLOOKUP(A68,'QA Log'!D:D,'QA Log'!F:F,"")</f>
        <v>#NAME?</v>
      </c>
      <c r="D68" s="102"/>
      <c r="E68" s="102" t="e">
        <f t="array" aca="1" ref="E68" ca="1">_xludf.XLOOKUP(A68,'QA Log'!D:D,'QA Log'!G:G,"")</f>
        <v>#NAME?</v>
      </c>
      <c r="F68" s="103"/>
      <c r="G68" s="104"/>
      <c r="H68" s="104"/>
      <c r="I68" s="103" t="str">
        <f t="shared" si="0"/>
        <v/>
      </c>
      <c r="J68" s="102"/>
      <c r="K68" s="102"/>
      <c r="L68" s="119" t="str">
        <f t="array" ref="L68">IF(OR($B68="",$D68=""),"",
IFERROR(
  INDEX(
    'Tools &amp; Targets_Guideline'!$C$54:$I$269,
    MATCH(
      1,
      ('Tools &amp; Targets_Guideline'!$A$54:$A$269=$B68)*
      ('Tools &amp; Targets_Guideline'!$B$54:$B$269="ANC"),
      0
    ),
    MATCH(
      _xludf.IFNA(
        VLOOKUP($D68,{"PH","Provincial Hospital (H2)";"DH","District Hospital (H3)";"RH","Regional / National Hospital (H1)"},2,0),
        $D68
      ),
      'Tools &amp; Targets_Guideline'!$C$53:$I$53,
      0
    )
  ),
0))</f>
        <v/>
      </c>
      <c r="M68" s="105"/>
      <c r="N68" s="119" t="str">
        <f t="array" ref="N68">IF(OR($B68="",$D68=""),"",
IFERROR(
  INDEX(
    'Tools &amp; Targets_Guideline'!$C$54:$I$269,
    MATCH(
      1,
      ('Tools &amp; Targets_Guideline'!$A$54:$A$269=$B68)*
      ('Tools &amp; Targets_Guideline'!$B$54:$B$269="PNC"),
      0
    ),
    MATCH(
      _xludf.IFNA(
        VLOOKUP($D68,{"PH","Provincial Hospital (H2)";"DH","District Hospital (H3)";"RH","Regional / National Hospital (H1)"},2,0),
        $D68
      ),
      'Tools &amp; Targets_Guideline'!$C$53:$I$53,
      0
    )
  ),
0))</f>
        <v/>
      </c>
      <c r="O68" s="105"/>
      <c r="P68" s="119" t="str">
        <f t="array" ref="P68">IF(OR($B68="",$D68=""),"",
IFERROR(
  INDEX(
    'Tools &amp; Targets_Guideline'!$C$54:$I$269,
    MATCH(
      1,
      ('Tools &amp; Targets_Guideline'!$A$54:$A$269=$B68)*
      ('Tools &amp; Targets_Guideline'!$B$54:$B$269="Delivery"),
      0
    ),
    MATCH(
      _xludf.IFNA(
        VLOOKUP($D68,{"PH","Provincial Hospital (H2)";"DH","District Hospital (H3)";"RH","Regional / National Hospital (H1)"},2,0),
        $D68
      ),
      'Tools &amp; Targets_Guideline'!$C$53:$I$53,
      0
    )
  ),
0))</f>
        <v/>
      </c>
      <c r="Q68" s="105"/>
      <c r="R68" s="119" t="str">
        <f t="array" ref="R68">IF(OR($B68="",$D68=""),"",
IFERROR(
  INDEX(
    'Tools &amp; Targets_Guideline'!$C$54:$I$269,
    MATCH(
      1,
      ('Tools &amp; Targets_Guideline'!$A$54:$A$269=$B68)*
      ('Tools &amp; Targets_Guideline'!$B$54:$B$269="TT"),
      0
    ),
    MATCH(
      _xludf.IFNA(
        VLOOKUP($D68,{"PH","Provincial Hospital (H2)";"DH","District Hospital (H3)";"RH","Regional / National Hospital (H1)"},2,0),
        $D68
      ),
      'Tools &amp; Targets_Guideline'!$C$53:$I$53,
      0
    )
  ),
0))</f>
        <v/>
      </c>
      <c r="S68" s="105"/>
      <c r="T68" s="102"/>
      <c r="U68" s="106"/>
      <c r="V68" s="102" t="str">
        <f t="shared" si="1"/>
        <v/>
      </c>
      <c r="W68" s="102"/>
      <c r="X68" s="102"/>
      <c r="Y68" s="119" t="str">
        <f t="array" ref="Y68">IF(OR($B68="",$D68=""),"",
IFERROR(
  INDEX(
    'Tools &amp; Targets_Guideline'!$C$54:$I$269,
    MATCH(
      1,
      ('Tools &amp; Targets_Guideline'!$A$54:$A$269=$B68)*
      ('Tools &amp; Targets_Guideline'!$B$54:$B$269="GM"),
      0
    ),
    MATCH(
      _xludf.IFNA(
        VLOOKUP($D68,{"PH","Provincial Hospital (H2)";"DH","District Hospital (H3)";"RH","Regional / National Hospital (H1)"},2,0),
        $D68
      ),
      'Tools &amp; Targets_Guideline'!$C$53:$I$53,
      0
    )
  ),
0))</f>
        <v/>
      </c>
      <c r="Z68" s="105"/>
      <c r="AA68" s="119" t="str">
        <f t="array" ref="AA68">IF(OR($B68="",$D68=""),"",
IFERROR(
  INDEX(
    'Tools &amp; Targets_Guideline'!$C$54:$I$269,
    MATCH(
      1,
      ('Tools &amp; Targets_Guideline'!$A$54:$A$269=$B68)*
      ('Tools &amp; Targets_Guideline'!$B$54:$B$269="Penta"),
      0
    ),
    MATCH(
      _xludf.IFNA(
        VLOOKUP($D68,{"PH","Provincial Hospital (H2)";"DH","District Hospital (H3)";"RH","Regional / National Hospital (H1)"},2,0),
        $D68
      ),
      'Tools &amp; Targets_Guideline'!$C$53:$I$53,
      0
    )
  ),
0))</f>
        <v/>
      </c>
      <c r="AB68" s="105"/>
      <c r="AC68" s="119" t="str">
        <f t="array" ref="AC68">IF(OR($B68="",$D68=""),"",
IFERROR(
  INDEX(
    'Tools &amp; Targets_Guideline'!$C$54:$I$269,
    MATCH(
      1,
      ('Tools &amp; Targets_Guideline'!$A$54:$A$269=$B68)*
      ('Tools &amp; Targets_Guideline'!$B$54:$B$269="TB"),
      0
    ),
    MATCH(
      _xludf.IFNA(
        VLOOKUP($D68,{"PH","Provincial Hospital (H2)";"DH","District Hospital (H3)";"RH","Regional / National Hospital (H1)"},2,0),
        $D68
      ),
      'Tools &amp; Targets_Guideline'!$C$53:$I$53,
      0
    )
  ),
0))</f>
        <v/>
      </c>
      <c r="AD68" s="105"/>
      <c r="AE68" s="119" t="str">
        <f t="array" ref="AE68">IF(OR($B68="",$D68=""),"",
IFERROR(
  INDEX(
    'Tools &amp; Targets_Guideline'!$C$54:$I$269,
    MATCH(
      1,
      ('Tools &amp; Targets_Guideline'!$A$54:$A$269=$B68)*
      ('Tools &amp; Targets_Guideline'!$B$54:$B$269="U5 Morbidity"),
      0
    ),
    MATCH(
      _xludf.IFNA(
        VLOOKUP($D68,{"PH","Provincial Hospital (H2)";"DH","District Hospital (H3)";"RH","Regional / National Hospital (H1)"},2,0),
        $D68
      ),
      'Tools &amp; Targets_Guideline'!$C$53:$I$53,
      0
    )
  ),
0))</f>
        <v/>
      </c>
      <c r="AF68" s="105"/>
      <c r="AG68" s="119" t="str">
        <f t="array" ref="AG68">IF(OR($B68="",$D68=""),"",
IFERROR(
  INDEX(
    'Tools &amp; Targets_Guideline'!$C$54:$I$269,
    MATCH(
      1,
      ('Tools &amp; Targets_Guideline'!$A$54:$A$269=$B68)*
      ('Tools &amp; Targets_Guideline'!$B$54:$B$269="C-Section"),
      0
    ),
    MATCH(
      _xludf.IFNA(
        VLOOKUP($D68,{"PH","Provincial Hospital (H2)";"DH","District Hospital (H3)";"RH","Regional / National Hospital (H1)"},2,0),
        $D68
      ),
      'Tools &amp; Targets_Guideline'!$C$53:$I$53,
      0
    )
  ),
0))</f>
        <v/>
      </c>
      <c r="AH68" s="105" t="str">
        <f>IF(A68&lt;&gt;"",COUNTIFS('QA Log'!D:D,A68,'QA Log'!M:M,"QQC",'QA Log'!L:L,"2. Hygiene and Sterilization",'QA Log'!Z:Z,"Approved"),"")</f>
        <v/>
      </c>
      <c r="AI68" s="102"/>
      <c r="AJ68" s="102"/>
      <c r="AK68" s="103" t="str">
        <f t="shared" si="2"/>
        <v/>
      </c>
      <c r="AL68" s="102"/>
      <c r="AM68" s="102"/>
      <c r="AN68" s="102"/>
      <c r="AO68" s="106"/>
      <c r="AP68" s="103"/>
      <c r="AQ68" s="102"/>
      <c r="AR68" s="102"/>
      <c r="AS68" s="102"/>
      <c r="AT68" s="107"/>
      <c r="AU68" s="102" t="str">
        <f t="shared" si="3"/>
        <v/>
      </c>
      <c r="AV68" s="102" t="str">
        <f t="shared" si="4"/>
        <v/>
      </c>
      <c r="AW68" s="102" t="str">
        <f t="shared" si="5"/>
        <v/>
      </c>
      <c r="AX68" s="102" t="str">
        <f t="shared" si="6"/>
        <v/>
      </c>
      <c r="AY68" s="107" t="str">
        <f t="shared" si="7"/>
        <v/>
      </c>
      <c r="AZ68" s="108" t="str">
        <f t="shared" si="8"/>
        <v/>
      </c>
      <c r="BA68" s="108" t="str">
        <f t="shared" si="9"/>
        <v/>
      </c>
      <c r="BB68" s="109" t="str">
        <f t="shared" si="10"/>
        <v/>
      </c>
      <c r="BC68" s="108" t="str">
        <f t="shared" si="11"/>
        <v/>
      </c>
      <c r="BD68" s="108" t="str">
        <f t="shared" si="12"/>
        <v/>
      </c>
      <c r="BE68" s="109" t="str">
        <f t="shared" si="13"/>
        <v/>
      </c>
      <c r="BF68" s="110" t="str">
        <f t="shared" si="14"/>
        <v/>
      </c>
      <c r="BG68" s="111"/>
    </row>
    <row r="69" spans="1:59" ht="12.75">
      <c r="A69" s="101"/>
      <c r="B69" s="102"/>
      <c r="C69" s="102" t="e">
        <f t="array" aca="1" ref="C69" ca="1">_xludf.XLOOKUP(A69,'QA Log'!D:D,'QA Log'!F:F,"")</f>
        <v>#NAME?</v>
      </c>
      <c r="D69" s="102"/>
      <c r="E69" s="102" t="e">
        <f t="array" aca="1" ref="E69" ca="1">_xludf.XLOOKUP(A69,'QA Log'!D:D,'QA Log'!G:G,"")</f>
        <v>#NAME?</v>
      </c>
      <c r="F69" s="103"/>
      <c r="G69" s="104"/>
      <c r="H69" s="104"/>
      <c r="I69" s="103" t="str">
        <f t="shared" si="0"/>
        <v/>
      </c>
      <c r="J69" s="102"/>
      <c r="K69" s="102"/>
      <c r="L69" s="119" t="str">
        <f t="array" ref="L69">IF(OR($B69="",$D69=""),"",
IFERROR(
  INDEX(
    'Tools &amp; Targets_Guideline'!$C$54:$I$269,
    MATCH(
      1,
      ('Tools &amp; Targets_Guideline'!$A$54:$A$269=$B69)*
      ('Tools &amp; Targets_Guideline'!$B$54:$B$269="ANC"),
      0
    ),
    MATCH(
      _xludf.IFNA(
        VLOOKUP($D69,{"PH","Provincial Hospital (H2)";"DH","District Hospital (H3)";"RH","Regional / National Hospital (H1)"},2,0),
        $D69
      ),
      'Tools &amp; Targets_Guideline'!$C$53:$I$53,
      0
    )
  ),
0))</f>
        <v/>
      </c>
      <c r="M69" s="105"/>
      <c r="N69" s="119" t="str">
        <f t="array" ref="N69">IF(OR($B69="",$D69=""),"",
IFERROR(
  INDEX(
    'Tools &amp; Targets_Guideline'!$C$54:$I$269,
    MATCH(
      1,
      ('Tools &amp; Targets_Guideline'!$A$54:$A$269=$B69)*
      ('Tools &amp; Targets_Guideline'!$B$54:$B$269="PNC"),
      0
    ),
    MATCH(
      _xludf.IFNA(
        VLOOKUP($D69,{"PH","Provincial Hospital (H2)";"DH","District Hospital (H3)";"RH","Regional / National Hospital (H1)"},2,0),
        $D69
      ),
      'Tools &amp; Targets_Guideline'!$C$53:$I$53,
      0
    )
  ),
0))</f>
        <v/>
      </c>
      <c r="O69" s="105"/>
      <c r="P69" s="119" t="str">
        <f t="array" ref="P69">IF(OR($B69="",$D69=""),"",
IFERROR(
  INDEX(
    'Tools &amp; Targets_Guideline'!$C$54:$I$269,
    MATCH(
      1,
      ('Tools &amp; Targets_Guideline'!$A$54:$A$269=$B69)*
      ('Tools &amp; Targets_Guideline'!$B$54:$B$269="Delivery"),
      0
    ),
    MATCH(
      _xludf.IFNA(
        VLOOKUP($D69,{"PH","Provincial Hospital (H2)";"DH","District Hospital (H3)";"RH","Regional / National Hospital (H1)"},2,0),
        $D69
      ),
      'Tools &amp; Targets_Guideline'!$C$53:$I$53,
      0
    )
  ),
0))</f>
        <v/>
      </c>
      <c r="Q69" s="105"/>
      <c r="R69" s="119" t="str">
        <f t="array" ref="R69">IF(OR($B69="",$D69=""),"",
IFERROR(
  INDEX(
    'Tools &amp; Targets_Guideline'!$C$54:$I$269,
    MATCH(
      1,
      ('Tools &amp; Targets_Guideline'!$A$54:$A$269=$B69)*
      ('Tools &amp; Targets_Guideline'!$B$54:$B$269="TT"),
      0
    ),
    MATCH(
      _xludf.IFNA(
        VLOOKUP($D69,{"PH","Provincial Hospital (H2)";"DH","District Hospital (H3)";"RH","Regional / National Hospital (H1)"},2,0),
        $D69
      ),
      'Tools &amp; Targets_Guideline'!$C$53:$I$53,
      0
    )
  ),
0))</f>
        <v/>
      </c>
      <c r="S69" s="105"/>
      <c r="T69" s="102"/>
      <c r="U69" s="106"/>
      <c r="V69" s="102" t="str">
        <f t="shared" si="1"/>
        <v/>
      </c>
      <c r="W69" s="102"/>
      <c r="X69" s="102"/>
      <c r="Y69" s="119" t="str">
        <f t="array" ref="Y69">IF(OR($B69="",$D69=""),"",
IFERROR(
  INDEX(
    'Tools &amp; Targets_Guideline'!$C$54:$I$269,
    MATCH(
      1,
      ('Tools &amp; Targets_Guideline'!$A$54:$A$269=$B69)*
      ('Tools &amp; Targets_Guideline'!$B$54:$B$269="GM"),
      0
    ),
    MATCH(
      _xludf.IFNA(
        VLOOKUP($D69,{"PH","Provincial Hospital (H2)";"DH","District Hospital (H3)";"RH","Regional / National Hospital (H1)"},2,0),
        $D69
      ),
      'Tools &amp; Targets_Guideline'!$C$53:$I$53,
      0
    )
  ),
0))</f>
        <v/>
      </c>
      <c r="Z69" s="105"/>
      <c r="AA69" s="119" t="str">
        <f t="array" ref="AA69">IF(OR($B69="",$D69=""),"",
IFERROR(
  INDEX(
    'Tools &amp; Targets_Guideline'!$C$54:$I$269,
    MATCH(
      1,
      ('Tools &amp; Targets_Guideline'!$A$54:$A$269=$B69)*
      ('Tools &amp; Targets_Guideline'!$B$54:$B$269="Penta"),
      0
    ),
    MATCH(
      _xludf.IFNA(
        VLOOKUP($D69,{"PH","Provincial Hospital (H2)";"DH","District Hospital (H3)";"RH","Regional / National Hospital (H1)"},2,0),
        $D69
      ),
      'Tools &amp; Targets_Guideline'!$C$53:$I$53,
      0
    )
  ),
0))</f>
        <v/>
      </c>
      <c r="AB69" s="105"/>
      <c r="AC69" s="119" t="str">
        <f t="array" ref="AC69">IF(OR($B69="",$D69=""),"",
IFERROR(
  INDEX(
    'Tools &amp; Targets_Guideline'!$C$54:$I$269,
    MATCH(
      1,
      ('Tools &amp; Targets_Guideline'!$A$54:$A$269=$B69)*
      ('Tools &amp; Targets_Guideline'!$B$54:$B$269="TB"),
      0
    ),
    MATCH(
      _xludf.IFNA(
        VLOOKUP($D69,{"PH","Provincial Hospital (H2)";"DH","District Hospital (H3)";"RH","Regional / National Hospital (H1)"},2,0),
        $D69
      ),
      'Tools &amp; Targets_Guideline'!$C$53:$I$53,
      0
    )
  ),
0))</f>
        <v/>
      </c>
      <c r="AD69" s="105"/>
      <c r="AE69" s="119" t="str">
        <f t="array" ref="AE69">IF(OR($B69="",$D69=""),"",
IFERROR(
  INDEX(
    'Tools &amp; Targets_Guideline'!$C$54:$I$269,
    MATCH(
      1,
      ('Tools &amp; Targets_Guideline'!$A$54:$A$269=$B69)*
      ('Tools &amp; Targets_Guideline'!$B$54:$B$269="U5 Morbidity"),
      0
    ),
    MATCH(
      _xludf.IFNA(
        VLOOKUP($D69,{"PH","Provincial Hospital (H2)";"DH","District Hospital (H3)";"RH","Regional / National Hospital (H1)"},2,0),
        $D69
      ),
      'Tools &amp; Targets_Guideline'!$C$53:$I$53,
      0
    )
  ),
0))</f>
        <v/>
      </c>
      <c r="AF69" s="105"/>
      <c r="AG69" s="119" t="str">
        <f t="array" ref="AG69">IF(OR($B69="",$D69=""),"",
IFERROR(
  INDEX(
    'Tools &amp; Targets_Guideline'!$C$54:$I$269,
    MATCH(
      1,
      ('Tools &amp; Targets_Guideline'!$A$54:$A$269=$B69)*
      ('Tools &amp; Targets_Guideline'!$B$54:$B$269="C-Section"),
      0
    ),
    MATCH(
      _xludf.IFNA(
        VLOOKUP($D69,{"PH","Provincial Hospital (H2)";"DH","District Hospital (H3)";"RH","Regional / National Hospital (H1)"},2,0),
        $D69
      ),
      'Tools &amp; Targets_Guideline'!$C$53:$I$53,
      0
    )
  ),
0))</f>
        <v/>
      </c>
      <c r="AH69" s="105" t="str">
        <f>IF(A69&lt;&gt;"",COUNTIFS('QA Log'!D:D,A69,'QA Log'!M:M,"QQC",'QA Log'!L:L,"2. Hygiene and Sterilization",'QA Log'!Z:Z,"Approved"),"")</f>
        <v/>
      </c>
      <c r="AI69" s="102"/>
      <c r="AJ69" s="102"/>
      <c r="AK69" s="103" t="str">
        <f t="shared" si="2"/>
        <v/>
      </c>
      <c r="AL69" s="102"/>
      <c r="AM69" s="102"/>
      <c r="AN69" s="102"/>
      <c r="AO69" s="106"/>
      <c r="AP69" s="103"/>
      <c r="AQ69" s="102"/>
      <c r="AR69" s="102"/>
      <c r="AS69" s="102"/>
      <c r="AT69" s="107"/>
      <c r="AU69" s="102" t="str">
        <f t="shared" si="3"/>
        <v/>
      </c>
      <c r="AV69" s="102" t="str">
        <f t="shared" si="4"/>
        <v/>
      </c>
      <c r="AW69" s="102" t="str">
        <f t="shared" si="5"/>
        <v/>
      </c>
      <c r="AX69" s="102" t="str">
        <f t="shared" si="6"/>
        <v/>
      </c>
      <c r="AY69" s="107" t="str">
        <f t="shared" si="7"/>
        <v/>
      </c>
      <c r="AZ69" s="108" t="str">
        <f t="shared" si="8"/>
        <v/>
      </c>
      <c r="BA69" s="108" t="str">
        <f t="shared" si="9"/>
        <v/>
      </c>
      <c r="BB69" s="109" t="str">
        <f t="shared" si="10"/>
        <v/>
      </c>
      <c r="BC69" s="108" t="str">
        <f t="shared" si="11"/>
        <v/>
      </c>
      <c r="BD69" s="108" t="str">
        <f t="shared" si="12"/>
        <v/>
      </c>
      <c r="BE69" s="109" t="str">
        <f t="shared" si="13"/>
        <v/>
      </c>
      <c r="BF69" s="110" t="str">
        <f t="shared" si="14"/>
        <v/>
      </c>
      <c r="BG69" s="111"/>
    </row>
    <row r="70" spans="1:59" ht="12.75">
      <c r="A70" s="101"/>
      <c r="B70" s="102"/>
      <c r="C70" s="102" t="e">
        <f t="array" aca="1" ref="C70" ca="1">_xludf.XLOOKUP(A70,'QA Log'!D:D,'QA Log'!F:F,"")</f>
        <v>#NAME?</v>
      </c>
      <c r="D70" s="102"/>
      <c r="E70" s="102" t="e">
        <f t="array" aca="1" ref="E70" ca="1">_xludf.XLOOKUP(A70,'QA Log'!D:D,'QA Log'!G:G,"")</f>
        <v>#NAME?</v>
      </c>
      <c r="F70" s="103"/>
      <c r="G70" s="104"/>
      <c r="H70" s="104"/>
      <c r="I70" s="103" t="str">
        <f t="shared" si="0"/>
        <v/>
      </c>
      <c r="J70" s="102"/>
      <c r="K70" s="102"/>
      <c r="L70" s="119" t="str">
        <f t="array" ref="L70">IF(OR($B70="",$D70=""),"",
IFERROR(
  INDEX(
    'Tools &amp; Targets_Guideline'!$C$54:$I$269,
    MATCH(
      1,
      ('Tools &amp; Targets_Guideline'!$A$54:$A$269=$B70)*
      ('Tools &amp; Targets_Guideline'!$B$54:$B$269="ANC"),
      0
    ),
    MATCH(
      _xludf.IFNA(
        VLOOKUP($D70,{"PH","Provincial Hospital (H2)";"DH","District Hospital (H3)";"RH","Regional / National Hospital (H1)"},2,0),
        $D70
      ),
      'Tools &amp; Targets_Guideline'!$C$53:$I$53,
      0
    )
  ),
0))</f>
        <v/>
      </c>
      <c r="M70" s="105"/>
      <c r="N70" s="119" t="str">
        <f t="array" ref="N70">IF(OR($B70="",$D70=""),"",
IFERROR(
  INDEX(
    'Tools &amp; Targets_Guideline'!$C$54:$I$269,
    MATCH(
      1,
      ('Tools &amp; Targets_Guideline'!$A$54:$A$269=$B70)*
      ('Tools &amp; Targets_Guideline'!$B$54:$B$269="PNC"),
      0
    ),
    MATCH(
      _xludf.IFNA(
        VLOOKUP($D70,{"PH","Provincial Hospital (H2)";"DH","District Hospital (H3)";"RH","Regional / National Hospital (H1)"},2,0),
        $D70
      ),
      'Tools &amp; Targets_Guideline'!$C$53:$I$53,
      0
    )
  ),
0))</f>
        <v/>
      </c>
      <c r="O70" s="105"/>
      <c r="P70" s="119" t="str">
        <f t="array" ref="P70">IF(OR($B70="",$D70=""),"",
IFERROR(
  INDEX(
    'Tools &amp; Targets_Guideline'!$C$54:$I$269,
    MATCH(
      1,
      ('Tools &amp; Targets_Guideline'!$A$54:$A$269=$B70)*
      ('Tools &amp; Targets_Guideline'!$B$54:$B$269="Delivery"),
      0
    ),
    MATCH(
      _xludf.IFNA(
        VLOOKUP($D70,{"PH","Provincial Hospital (H2)";"DH","District Hospital (H3)";"RH","Regional / National Hospital (H1)"},2,0),
        $D70
      ),
      'Tools &amp; Targets_Guideline'!$C$53:$I$53,
      0
    )
  ),
0))</f>
        <v/>
      </c>
      <c r="Q70" s="105"/>
      <c r="R70" s="119" t="str">
        <f t="array" ref="R70">IF(OR($B70="",$D70=""),"",
IFERROR(
  INDEX(
    'Tools &amp; Targets_Guideline'!$C$54:$I$269,
    MATCH(
      1,
      ('Tools &amp; Targets_Guideline'!$A$54:$A$269=$B70)*
      ('Tools &amp; Targets_Guideline'!$B$54:$B$269="TT"),
      0
    ),
    MATCH(
      _xludf.IFNA(
        VLOOKUP($D70,{"PH","Provincial Hospital (H2)";"DH","District Hospital (H3)";"RH","Regional / National Hospital (H1)"},2,0),
        $D70
      ),
      'Tools &amp; Targets_Guideline'!$C$53:$I$53,
      0
    )
  ),
0))</f>
        <v/>
      </c>
      <c r="S70" s="105"/>
      <c r="T70" s="102"/>
      <c r="U70" s="106"/>
      <c r="V70" s="102" t="str">
        <f t="shared" si="1"/>
        <v/>
      </c>
      <c r="W70" s="102"/>
      <c r="X70" s="102"/>
      <c r="Y70" s="119" t="str">
        <f t="array" ref="Y70">IF(OR($B70="",$D70=""),"",
IFERROR(
  INDEX(
    'Tools &amp; Targets_Guideline'!$C$54:$I$269,
    MATCH(
      1,
      ('Tools &amp; Targets_Guideline'!$A$54:$A$269=$B70)*
      ('Tools &amp; Targets_Guideline'!$B$54:$B$269="GM"),
      0
    ),
    MATCH(
      _xludf.IFNA(
        VLOOKUP($D70,{"PH","Provincial Hospital (H2)";"DH","District Hospital (H3)";"RH","Regional / National Hospital (H1)"},2,0),
        $D70
      ),
      'Tools &amp; Targets_Guideline'!$C$53:$I$53,
      0
    )
  ),
0))</f>
        <v/>
      </c>
      <c r="Z70" s="105"/>
      <c r="AA70" s="119" t="str">
        <f t="array" ref="AA70">IF(OR($B70="",$D70=""),"",
IFERROR(
  INDEX(
    'Tools &amp; Targets_Guideline'!$C$54:$I$269,
    MATCH(
      1,
      ('Tools &amp; Targets_Guideline'!$A$54:$A$269=$B70)*
      ('Tools &amp; Targets_Guideline'!$B$54:$B$269="Penta"),
      0
    ),
    MATCH(
      _xludf.IFNA(
        VLOOKUP($D70,{"PH","Provincial Hospital (H2)";"DH","District Hospital (H3)";"RH","Regional / National Hospital (H1)"},2,0),
        $D70
      ),
      'Tools &amp; Targets_Guideline'!$C$53:$I$53,
      0
    )
  ),
0))</f>
        <v/>
      </c>
      <c r="AB70" s="105"/>
      <c r="AC70" s="119" t="str">
        <f t="array" ref="AC70">IF(OR($B70="",$D70=""),"",
IFERROR(
  INDEX(
    'Tools &amp; Targets_Guideline'!$C$54:$I$269,
    MATCH(
      1,
      ('Tools &amp; Targets_Guideline'!$A$54:$A$269=$B70)*
      ('Tools &amp; Targets_Guideline'!$B$54:$B$269="TB"),
      0
    ),
    MATCH(
      _xludf.IFNA(
        VLOOKUP($D70,{"PH","Provincial Hospital (H2)";"DH","District Hospital (H3)";"RH","Regional / National Hospital (H1)"},2,0),
        $D70
      ),
      'Tools &amp; Targets_Guideline'!$C$53:$I$53,
      0
    )
  ),
0))</f>
        <v/>
      </c>
      <c r="AD70" s="105"/>
      <c r="AE70" s="119" t="str">
        <f t="array" ref="AE70">IF(OR($B70="",$D70=""),"",
IFERROR(
  INDEX(
    'Tools &amp; Targets_Guideline'!$C$54:$I$269,
    MATCH(
      1,
      ('Tools &amp; Targets_Guideline'!$A$54:$A$269=$B70)*
      ('Tools &amp; Targets_Guideline'!$B$54:$B$269="U5 Morbidity"),
      0
    ),
    MATCH(
      _xludf.IFNA(
        VLOOKUP($D70,{"PH","Provincial Hospital (H2)";"DH","District Hospital (H3)";"RH","Regional / National Hospital (H1)"},2,0),
        $D70
      ),
      'Tools &amp; Targets_Guideline'!$C$53:$I$53,
      0
    )
  ),
0))</f>
        <v/>
      </c>
      <c r="AF70" s="105"/>
      <c r="AG70" s="119" t="str">
        <f t="array" ref="AG70">IF(OR($B70="",$D70=""),"",
IFERROR(
  INDEX(
    'Tools &amp; Targets_Guideline'!$C$54:$I$269,
    MATCH(
      1,
      ('Tools &amp; Targets_Guideline'!$A$54:$A$269=$B70)*
      ('Tools &amp; Targets_Guideline'!$B$54:$B$269="C-Section"),
      0
    ),
    MATCH(
      _xludf.IFNA(
        VLOOKUP($D70,{"PH","Provincial Hospital (H2)";"DH","District Hospital (H3)";"RH","Regional / National Hospital (H1)"},2,0),
        $D70
      ),
      'Tools &amp; Targets_Guideline'!$C$53:$I$53,
      0
    )
  ),
0))</f>
        <v/>
      </c>
      <c r="AH70" s="105" t="str">
        <f>IF(A70&lt;&gt;"",COUNTIFS('QA Log'!D:D,A70,'QA Log'!M:M,"QQC",'QA Log'!L:L,"2. Hygiene and Sterilization",'QA Log'!Z:Z,"Approved"),"")</f>
        <v/>
      </c>
      <c r="AI70" s="102"/>
      <c r="AJ70" s="102"/>
      <c r="AK70" s="103" t="str">
        <f t="shared" si="2"/>
        <v/>
      </c>
      <c r="AL70" s="102"/>
      <c r="AM70" s="102"/>
      <c r="AN70" s="102"/>
      <c r="AO70" s="106"/>
      <c r="AP70" s="103"/>
      <c r="AQ70" s="102"/>
      <c r="AR70" s="102"/>
      <c r="AS70" s="102"/>
      <c r="AT70" s="107"/>
      <c r="AU70" s="102" t="str">
        <f t="shared" si="3"/>
        <v/>
      </c>
      <c r="AV70" s="102" t="str">
        <f t="shared" si="4"/>
        <v/>
      </c>
      <c r="AW70" s="102" t="str">
        <f t="shared" si="5"/>
        <v/>
      </c>
      <c r="AX70" s="102" t="str">
        <f t="shared" si="6"/>
        <v/>
      </c>
      <c r="AY70" s="107" t="str">
        <f t="shared" si="7"/>
        <v/>
      </c>
      <c r="AZ70" s="108" t="str">
        <f t="shared" si="8"/>
        <v/>
      </c>
      <c r="BA70" s="108" t="str">
        <f t="shared" si="9"/>
        <v/>
      </c>
      <c r="BB70" s="109" t="str">
        <f t="shared" si="10"/>
        <v/>
      </c>
      <c r="BC70" s="108" t="str">
        <f t="shared" si="11"/>
        <v/>
      </c>
      <c r="BD70" s="108" t="str">
        <f t="shared" si="12"/>
        <v/>
      </c>
      <c r="BE70" s="109" t="str">
        <f t="shared" si="13"/>
        <v/>
      </c>
      <c r="BF70" s="110" t="str">
        <f t="shared" si="14"/>
        <v/>
      </c>
      <c r="BG70" s="111"/>
    </row>
    <row r="71" spans="1:59" ht="12.75">
      <c r="A71" s="101"/>
      <c r="B71" s="102"/>
      <c r="C71" s="102" t="e">
        <f t="array" aca="1" ref="C71" ca="1">_xludf.XLOOKUP(A71,'QA Log'!D:D,'QA Log'!F:F,"")</f>
        <v>#NAME?</v>
      </c>
      <c r="D71" s="102"/>
      <c r="E71" s="102" t="e">
        <f t="array" aca="1" ref="E71" ca="1">_xludf.XLOOKUP(A71,'QA Log'!D:D,'QA Log'!G:G,"")</f>
        <v>#NAME?</v>
      </c>
      <c r="F71" s="103"/>
      <c r="G71" s="104"/>
      <c r="H71" s="104"/>
      <c r="I71" s="103" t="str">
        <f t="shared" si="0"/>
        <v/>
      </c>
      <c r="J71" s="102"/>
      <c r="K71" s="102"/>
      <c r="L71" s="119" t="str">
        <f t="array" ref="L71">IF(OR($B71="",$D71=""),"",
IFERROR(
  INDEX(
    'Tools &amp; Targets_Guideline'!$C$54:$I$269,
    MATCH(
      1,
      ('Tools &amp; Targets_Guideline'!$A$54:$A$269=$B71)*
      ('Tools &amp; Targets_Guideline'!$B$54:$B$269="ANC"),
      0
    ),
    MATCH(
      _xludf.IFNA(
        VLOOKUP($D71,{"PH","Provincial Hospital (H2)";"DH","District Hospital (H3)";"RH","Regional / National Hospital (H1)"},2,0),
        $D71
      ),
      'Tools &amp; Targets_Guideline'!$C$53:$I$53,
      0
    )
  ),
0))</f>
        <v/>
      </c>
      <c r="M71" s="105"/>
      <c r="N71" s="119" t="str">
        <f t="array" ref="N71">IF(OR($B71="",$D71=""),"",
IFERROR(
  INDEX(
    'Tools &amp; Targets_Guideline'!$C$54:$I$269,
    MATCH(
      1,
      ('Tools &amp; Targets_Guideline'!$A$54:$A$269=$B71)*
      ('Tools &amp; Targets_Guideline'!$B$54:$B$269="PNC"),
      0
    ),
    MATCH(
      _xludf.IFNA(
        VLOOKUP($D71,{"PH","Provincial Hospital (H2)";"DH","District Hospital (H3)";"RH","Regional / National Hospital (H1)"},2,0),
        $D71
      ),
      'Tools &amp; Targets_Guideline'!$C$53:$I$53,
      0
    )
  ),
0))</f>
        <v/>
      </c>
      <c r="O71" s="105"/>
      <c r="P71" s="119" t="str">
        <f t="array" ref="P71">IF(OR($B71="",$D71=""),"",
IFERROR(
  INDEX(
    'Tools &amp; Targets_Guideline'!$C$54:$I$269,
    MATCH(
      1,
      ('Tools &amp; Targets_Guideline'!$A$54:$A$269=$B71)*
      ('Tools &amp; Targets_Guideline'!$B$54:$B$269="Delivery"),
      0
    ),
    MATCH(
      _xludf.IFNA(
        VLOOKUP($D71,{"PH","Provincial Hospital (H2)";"DH","District Hospital (H3)";"RH","Regional / National Hospital (H1)"},2,0),
        $D71
      ),
      'Tools &amp; Targets_Guideline'!$C$53:$I$53,
      0
    )
  ),
0))</f>
        <v/>
      </c>
      <c r="Q71" s="105"/>
      <c r="R71" s="119" t="str">
        <f t="array" ref="R71">IF(OR($B71="",$D71=""),"",
IFERROR(
  INDEX(
    'Tools &amp; Targets_Guideline'!$C$54:$I$269,
    MATCH(
      1,
      ('Tools &amp; Targets_Guideline'!$A$54:$A$269=$B71)*
      ('Tools &amp; Targets_Guideline'!$B$54:$B$269="TT"),
      0
    ),
    MATCH(
      _xludf.IFNA(
        VLOOKUP($D71,{"PH","Provincial Hospital (H2)";"DH","District Hospital (H3)";"RH","Regional / National Hospital (H1)"},2,0),
        $D71
      ),
      'Tools &amp; Targets_Guideline'!$C$53:$I$53,
      0
    )
  ),
0))</f>
        <v/>
      </c>
      <c r="S71" s="105"/>
      <c r="T71" s="102"/>
      <c r="U71" s="106"/>
      <c r="V71" s="102" t="str">
        <f t="shared" si="1"/>
        <v/>
      </c>
      <c r="W71" s="102"/>
      <c r="X71" s="102"/>
      <c r="Y71" s="119" t="str">
        <f t="array" ref="Y71">IF(OR($B71="",$D71=""),"",
IFERROR(
  INDEX(
    'Tools &amp; Targets_Guideline'!$C$54:$I$269,
    MATCH(
      1,
      ('Tools &amp; Targets_Guideline'!$A$54:$A$269=$B71)*
      ('Tools &amp; Targets_Guideline'!$B$54:$B$269="GM"),
      0
    ),
    MATCH(
      _xludf.IFNA(
        VLOOKUP($D71,{"PH","Provincial Hospital (H2)";"DH","District Hospital (H3)";"RH","Regional / National Hospital (H1)"},2,0),
        $D71
      ),
      'Tools &amp; Targets_Guideline'!$C$53:$I$53,
      0
    )
  ),
0))</f>
        <v/>
      </c>
      <c r="Z71" s="105"/>
      <c r="AA71" s="119" t="str">
        <f t="array" ref="AA71">IF(OR($B71="",$D71=""),"",
IFERROR(
  INDEX(
    'Tools &amp; Targets_Guideline'!$C$54:$I$269,
    MATCH(
      1,
      ('Tools &amp; Targets_Guideline'!$A$54:$A$269=$B71)*
      ('Tools &amp; Targets_Guideline'!$B$54:$B$269="Penta"),
      0
    ),
    MATCH(
      _xludf.IFNA(
        VLOOKUP($D71,{"PH","Provincial Hospital (H2)";"DH","District Hospital (H3)";"RH","Regional / National Hospital (H1)"},2,0),
        $D71
      ),
      'Tools &amp; Targets_Guideline'!$C$53:$I$53,
      0
    )
  ),
0))</f>
        <v/>
      </c>
      <c r="AB71" s="105"/>
      <c r="AC71" s="119" t="str">
        <f t="array" ref="AC71">IF(OR($B71="",$D71=""),"",
IFERROR(
  INDEX(
    'Tools &amp; Targets_Guideline'!$C$54:$I$269,
    MATCH(
      1,
      ('Tools &amp; Targets_Guideline'!$A$54:$A$269=$B71)*
      ('Tools &amp; Targets_Guideline'!$B$54:$B$269="TB"),
      0
    ),
    MATCH(
      _xludf.IFNA(
        VLOOKUP($D71,{"PH","Provincial Hospital (H2)";"DH","District Hospital (H3)";"RH","Regional / National Hospital (H1)"},2,0),
        $D71
      ),
      'Tools &amp; Targets_Guideline'!$C$53:$I$53,
      0
    )
  ),
0))</f>
        <v/>
      </c>
      <c r="AD71" s="105"/>
      <c r="AE71" s="119" t="str">
        <f t="array" ref="AE71">IF(OR($B71="",$D71=""),"",
IFERROR(
  INDEX(
    'Tools &amp; Targets_Guideline'!$C$54:$I$269,
    MATCH(
      1,
      ('Tools &amp; Targets_Guideline'!$A$54:$A$269=$B71)*
      ('Tools &amp; Targets_Guideline'!$B$54:$B$269="U5 Morbidity"),
      0
    ),
    MATCH(
      _xludf.IFNA(
        VLOOKUP($D71,{"PH","Provincial Hospital (H2)";"DH","District Hospital (H3)";"RH","Regional / National Hospital (H1)"},2,0),
        $D71
      ),
      'Tools &amp; Targets_Guideline'!$C$53:$I$53,
      0
    )
  ),
0))</f>
        <v/>
      </c>
      <c r="AF71" s="105"/>
      <c r="AG71" s="119" t="str">
        <f t="array" ref="AG71">IF(OR($B71="",$D71=""),"",
IFERROR(
  INDEX(
    'Tools &amp; Targets_Guideline'!$C$54:$I$269,
    MATCH(
      1,
      ('Tools &amp; Targets_Guideline'!$A$54:$A$269=$B71)*
      ('Tools &amp; Targets_Guideline'!$B$54:$B$269="C-Section"),
      0
    ),
    MATCH(
      _xludf.IFNA(
        VLOOKUP($D71,{"PH","Provincial Hospital (H2)";"DH","District Hospital (H3)";"RH","Regional / National Hospital (H1)"},2,0),
        $D71
      ),
      'Tools &amp; Targets_Guideline'!$C$53:$I$53,
      0
    )
  ),
0))</f>
        <v/>
      </c>
      <c r="AH71" s="105" t="str">
        <f>IF(A71&lt;&gt;"",COUNTIFS('QA Log'!D:D,A71,'QA Log'!M:M,"QQC",'QA Log'!L:L,"2. Hygiene and Sterilization",'QA Log'!Z:Z,"Approved"),"")</f>
        <v/>
      </c>
      <c r="AI71" s="102"/>
      <c r="AJ71" s="102"/>
      <c r="AK71" s="103" t="str">
        <f t="shared" si="2"/>
        <v/>
      </c>
      <c r="AL71" s="102"/>
      <c r="AM71" s="102"/>
      <c r="AN71" s="102"/>
      <c r="AO71" s="106"/>
      <c r="AP71" s="103"/>
      <c r="AQ71" s="102"/>
      <c r="AR71" s="102"/>
      <c r="AS71" s="102"/>
      <c r="AT71" s="107"/>
      <c r="AU71" s="102" t="str">
        <f t="shared" si="3"/>
        <v/>
      </c>
      <c r="AV71" s="102" t="str">
        <f t="shared" si="4"/>
        <v/>
      </c>
      <c r="AW71" s="102" t="str">
        <f t="shared" si="5"/>
        <v/>
      </c>
      <c r="AX71" s="102" t="str">
        <f t="shared" si="6"/>
        <v/>
      </c>
      <c r="AY71" s="107" t="str">
        <f t="shared" si="7"/>
        <v/>
      </c>
      <c r="AZ71" s="108" t="str">
        <f t="shared" si="8"/>
        <v/>
      </c>
      <c r="BA71" s="108" t="str">
        <f t="shared" si="9"/>
        <v/>
      </c>
      <c r="BB71" s="109" t="str">
        <f t="shared" si="10"/>
        <v/>
      </c>
      <c r="BC71" s="108" t="str">
        <f t="shared" si="11"/>
        <v/>
      </c>
      <c r="BD71" s="108" t="str">
        <f t="shared" si="12"/>
        <v/>
      </c>
      <c r="BE71" s="109" t="str">
        <f t="shared" si="13"/>
        <v/>
      </c>
      <c r="BF71" s="110" t="str">
        <f t="shared" si="14"/>
        <v/>
      </c>
      <c r="BG71" s="111"/>
    </row>
    <row r="72" spans="1:59" ht="12.75">
      <c r="A72" s="101"/>
      <c r="B72" s="102"/>
      <c r="C72" s="102" t="e">
        <f t="array" aca="1" ref="C72" ca="1">_xludf.XLOOKUP(A72,'QA Log'!D:D,'QA Log'!F:F,"")</f>
        <v>#NAME?</v>
      </c>
      <c r="D72" s="102"/>
      <c r="E72" s="102" t="e">
        <f t="array" aca="1" ref="E72" ca="1">_xludf.XLOOKUP(A72,'QA Log'!D:D,'QA Log'!G:G,"")</f>
        <v>#NAME?</v>
      </c>
      <c r="F72" s="103"/>
      <c r="G72" s="104"/>
      <c r="H72" s="104"/>
      <c r="I72" s="103" t="str">
        <f t="shared" si="0"/>
        <v/>
      </c>
      <c r="J72" s="102"/>
      <c r="K72" s="102"/>
      <c r="L72" s="119" t="str">
        <f t="array" ref="L72">IF(OR($B72="",$D72=""),"",
IFERROR(
  INDEX(
    'Tools &amp; Targets_Guideline'!$C$54:$I$269,
    MATCH(
      1,
      ('Tools &amp; Targets_Guideline'!$A$54:$A$269=$B72)*
      ('Tools &amp; Targets_Guideline'!$B$54:$B$269="ANC"),
      0
    ),
    MATCH(
      _xludf.IFNA(
        VLOOKUP($D72,{"PH","Provincial Hospital (H2)";"DH","District Hospital (H3)";"RH","Regional / National Hospital (H1)"},2,0),
        $D72
      ),
      'Tools &amp; Targets_Guideline'!$C$53:$I$53,
      0
    )
  ),
0))</f>
        <v/>
      </c>
      <c r="M72" s="105"/>
      <c r="N72" s="119" t="str">
        <f t="array" ref="N72">IF(OR($B72="",$D72=""),"",
IFERROR(
  INDEX(
    'Tools &amp; Targets_Guideline'!$C$54:$I$269,
    MATCH(
      1,
      ('Tools &amp; Targets_Guideline'!$A$54:$A$269=$B72)*
      ('Tools &amp; Targets_Guideline'!$B$54:$B$269="PNC"),
      0
    ),
    MATCH(
      _xludf.IFNA(
        VLOOKUP($D72,{"PH","Provincial Hospital (H2)";"DH","District Hospital (H3)";"RH","Regional / National Hospital (H1)"},2,0),
        $D72
      ),
      'Tools &amp; Targets_Guideline'!$C$53:$I$53,
      0
    )
  ),
0))</f>
        <v/>
      </c>
      <c r="O72" s="105"/>
      <c r="P72" s="119" t="str">
        <f t="array" ref="P72">IF(OR($B72="",$D72=""),"",
IFERROR(
  INDEX(
    'Tools &amp; Targets_Guideline'!$C$54:$I$269,
    MATCH(
      1,
      ('Tools &amp; Targets_Guideline'!$A$54:$A$269=$B72)*
      ('Tools &amp; Targets_Guideline'!$B$54:$B$269="Delivery"),
      0
    ),
    MATCH(
      _xludf.IFNA(
        VLOOKUP($D72,{"PH","Provincial Hospital (H2)";"DH","District Hospital (H3)";"RH","Regional / National Hospital (H1)"},2,0),
        $D72
      ),
      'Tools &amp; Targets_Guideline'!$C$53:$I$53,
      0
    )
  ),
0))</f>
        <v/>
      </c>
      <c r="Q72" s="105"/>
      <c r="R72" s="119" t="str">
        <f t="array" ref="R72">IF(OR($B72="",$D72=""),"",
IFERROR(
  INDEX(
    'Tools &amp; Targets_Guideline'!$C$54:$I$269,
    MATCH(
      1,
      ('Tools &amp; Targets_Guideline'!$A$54:$A$269=$B72)*
      ('Tools &amp; Targets_Guideline'!$B$54:$B$269="TT"),
      0
    ),
    MATCH(
      _xludf.IFNA(
        VLOOKUP($D72,{"PH","Provincial Hospital (H2)";"DH","District Hospital (H3)";"RH","Regional / National Hospital (H1)"},2,0),
        $D72
      ),
      'Tools &amp; Targets_Guideline'!$C$53:$I$53,
      0
    )
  ),
0))</f>
        <v/>
      </c>
      <c r="S72" s="105"/>
      <c r="T72" s="102"/>
      <c r="U72" s="106"/>
      <c r="V72" s="102" t="str">
        <f t="shared" si="1"/>
        <v/>
      </c>
      <c r="W72" s="102"/>
      <c r="X72" s="102"/>
      <c r="Y72" s="119" t="str">
        <f t="array" ref="Y72">IF(OR($B72="",$D72=""),"",
IFERROR(
  INDEX(
    'Tools &amp; Targets_Guideline'!$C$54:$I$269,
    MATCH(
      1,
      ('Tools &amp; Targets_Guideline'!$A$54:$A$269=$B72)*
      ('Tools &amp; Targets_Guideline'!$B$54:$B$269="GM"),
      0
    ),
    MATCH(
      _xludf.IFNA(
        VLOOKUP($D72,{"PH","Provincial Hospital (H2)";"DH","District Hospital (H3)";"RH","Regional / National Hospital (H1)"},2,0),
        $D72
      ),
      'Tools &amp; Targets_Guideline'!$C$53:$I$53,
      0
    )
  ),
0))</f>
        <v/>
      </c>
      <c r="Z72" s="105"/>
      <c r="AA72" s="119" t="str">
        <f t="array" ref="AA72">IF(OR($B72="",$D72=""),"",
IFERROR(
  INDEX(
    'Tools &amp; Targets_Guideline'!$C$54:$I$269,
    MATCH(
      1,
      ('Tools &amp; Targets_Guideline'!$A$54:$A$269=$B72)*
      ('Tools &amp; Targets_Guideline'!$B$54:$B$269="Penta"),
      0
    ),
    MATCH(
      _xludf.IFNA(
        VLOOKUP($D72,{"PH","Provincial Hospital (H2)";"DH","District Hospital (H3)";"RH","Regional / National Hospital (H1)"},2,0),
        $D72
      ),
      'Tools &amp; Targets_Guideline'!$C$53:$I$53,
      0
    )
  ),
0))</f>
        <v/>
      </c>
      <c r="AB72" s="105"/>
      <c r="AC72" s="119" t="str">
        <f t="array" ref="AC72">IF(OR($B72="",$D72=""),"",
IFERROR(
  INDEX(
    'Tools &amp; Targets_Guideline'!$C$54:$I$269,
    MATCH(
      1,
      ('Tools &amp; Targets_Guideline'!$A$54:$A$269=$B72)*
      ('Tools &amp; Targets_Guideline'!$B$54:$B$269="TB"),
      0
    ),
    MATCH(
      _xludf.IFNA(
        VLOOKUP($D72,{"PH","Provincial Hospital (H2)";"DH","District Hospital (H3)";"RH","Regional / National Hospital (H1)"},2,0),
        $D72
      ),
      'Tools &amp; Targets_Guideline'!$C$53:$I$53,
      0
    )
  ),
0))</f>
        <v/>
      </c>
      <c r="AD72" s="105"/>
      <c r="AE72" s="119" t="str">
        <f t="array" ref="AE72">IF(OR($B72="",$D72=""),"",
IFERROR(
  INDEX(
    'Tools &amp; Targets_Guideline'!$C$54:$I$269,
    MATCH(
      1,
      ('Tools &amp; Targets_Guideline'!$A$54:$A$269=$B72)*
      ('Tools &amp; Targets_Guideline'!$B$54:$B$269="U5 Morbidity"),
      0
    ),
    MATCH(
      _xludf.IFNA(
        VLOOKUP($D72,{"PH","Provincial Hospital (H2)";"DH","District Hospital (H3)";"RH","Regional / National Hospital (H1)"},2,0),
        $D72
      ),
      'Tools &amp; Targets_Guideline'!$C$53:$I$53,
      0
    )
  ),
0))</f>
        <v/>
      </c>
      <c r="AF72" s="105"/>
      <c r="AG72" s="119" t="str">
        <f t="array" ref="AG72">IF(OR($B72="",$D72=""),"",
IFERROR(
  INDEX(
    'Tools &amp; Targets_Guideline'!$C$54:$I$269,
    MATCH(
      1,
      ('Tools &amp; Targets_Guideline'!$A$54:$A$269=$B72)*
      ('Tools &amp; Targets_Guideline'!$B$54:$B$269="C-Section"),
      0
    ),
    MATCH(
      _xludf.IFNA(
        VLOOKUP($D72,{"PH","Provincial Hospital (H2)";"DH","District Hospital (H3)";"RH","Regional / National Hospital (H1)"},2,0),
        $D72
      ),
      'Tools &amp; Targets_Guideline'!$C$53:$I$53,
      0
    )
  ),
0))</f>
        <v/>
      </c>
      <c r="AH72" s="105" t="str">
        <f>IF(A72&lt;&gt;"",COUNTIFS('QA Log'!D:D,A72,'QA Log'!M:M,"QQC",'QA Log'!L:L,"2. Hygiene and Sterilization",'QA Log'!Z:Z,"Approved"),"")</f>
        <v/>
      </c>
      <c r="AI72" s="102"/>
      <c r="AJ72" s="102"/>
      <c r="AK72" s="103" t="str">
        <f t="shared" si="2"/>
        <v/>
      </c>
      <c r="AL72" s="102"/>
      <c r="AM72" s="102"/>
      <c r="AN72" s="102"/>
      <c r="AO72" s="106"/>
      <c r="AP72" s="103"/>
      <c r="AQ72" s="102"/>
      <c r="AR72" s="102"/>
      <c r="AS72" s="102"/>
      <c r="AT72" s="107"/>
      <c r="AU72" s="102" t="str">
        <f t="shared" si="3"/>
        <v/>
      </c>
      <c r="AV72" s="102" t="str">
        <f t="shared" si="4"/>
        <v/>
      </c>
      <c r="AW72" s="102" t="str">
        <f t="shared" si="5"/>
        <v/>
      </c>
      <c r="AX72" s="102" t="str">
        <f t="shared" si="6"/>
        <v/>
      </c>
      <c r="AY72" s="107" t="str">
        <f t="shared" si="7"/>
        <v/>
      </c>
      <c r="AZ72" s="108" t="str">
        <f t="shared" si="8"/>
        <v/>
      </c>
      <c r="BA72" s="108" t="str">
        <f t="shared" si="9"/>
        <v/>
      </c>
      <c r="BB72" s="109" t="str">
        <f t="shared" si="10"/>
        <v/>
      </c>
      <c r="BC72" s="108" t="str">
        <f t="shared" si="11"/>
        <v/>
      </c>
      <c r="BD72" s="108" t="str">
        <f t="shared" si="12"/>
        <v/>
      </c>
      <c r="BE72" s="109" t="str">
        <f t="shared" si="13"/>
        <v/>
      </c>
      <c r="BF72" s="110" t="str">
        <f t="shared" si="14"/>
        <v/>
      </c>
      <c r="BG72" s="111"/>
    </row>
    <row r="73" spans="1:59" ht="12.75">
      <c r="A73" s="101"/>
      <c r="B73" s="102"/>
      <c r="C73" s="102" t="e">
        <f t="array" aca="1" ref="C73" ca="1">_xludf.XLOOKUP(A73,'QA Log'!D:D,'QA Log'!F:F,"")</f>
        <v>#NAME?</v>
      </c>
      <c r="D73" s="102"/>
      <c r="E73" s="102" t="e">
        <f t="array" aca="1" ref="E73" ca="1">_xludf.XLOOKUP(A73,'QA Log'!D:D,'QA Log'!G:G,"")</f>
        <v>#NAME?</v>
      </c>
      <c r="F73" s="103"/>
      <c r="G73" s="104"/>
      <c r="H73" s="104"/>
      <c r="I73" s="103" t="str">
        <f t="shared" si="0"/>
        <v/>
      </c>
      <c r="J73" s="102"/>
      <c r="K73" s="102"/>
      <c r="L73" s="119" t="str">
        <f t="array" ref="L73">IF(OR($B73="",$D73=""),"",
IFERROR(
  INDEX(
    'Tools &amp; Targets_Guideline'!$C$54:$I$269,
    MATCH(
      1,
      ('Tools &amp; Targets_Guideline'!$A$54:$A$269=$B73)*
      ('Tools &amp; Targets_Guideline'!$B$54:$B$269="ANC"),
      0
    ),
    MATCH(
      _xludf.IFNA(
        VLOOKUP($D73,{"PH","Provincial Hospital (H2)";"DH","District Hospital (H3)";"RH","Regional / National Hospital (H1)"},2,0),
        $D73
      ),
      'Tools &amp; Targets_Guideline'!$C$53:$I$53,
      0
    )
  ),
0))</f>
        <v/>
      </c>
      <c r="M73" s="105"/>
      <c r="N73" s="119" t="str">
        <f t="array" ref="N73">IF(OR($B73="",$D73=""),"",
IFERROR(
  INDEX(
    'Tools &amp; Targets_Guideline'!$C$54:$I$269,
    MATCH(
      1,
      ('Tools &amp; Targets_Guideline'!$A$54:$A$269=$B73)*
      ('Tools &amp; Targets_Guideline'!$B$54:$B$269="PNC"),
      0
    ),
    MATCH(
      _xludf.IFNA(
        VLOOKUP($D73,{"PH","Provincial Hospital (H2)";"DH","District Hospital (H3)";"RH","Regional / National Hospital (H1)"},2,0),
        $D73
      ),
      'Tools &amp; Targets_Guideline'!$C$53:$I$53,
      0
    )
  ),
0))</f>
        <v/>
      </c>
      <c r="O73" s="105"/>
      <c r="P73" s="119" t="str">
        <f t="array" ref="P73">IF(OR($B73="",$D73=""),"",
IFERROR(
  INDEX(
    'Tools &amp; Targets_Guideline'!$C$54:$I$269,
    MATCH(
      1,
      ('Tools &amp; Targets_Guideline'!$A$54:$A$269=$B73)*
      ('Tools &amp; Targets_Guideline'!$B$54:$B$269="Delivery"),
      0
    ),
    MATCH(
      _xludf.IFNA(
        VLOOKUP($D73,{"PH","Provincial Hospital (H2)";"DH","District Hospital (H3)";"RH","Regional / National Hospital (H1)"},2,0),
        $D73
      ),
      'Tools &amp; Targets_Guideline'!$C$53:$I$53,
      0
    )
  ),
0))</f>
        <v/>
      </c>
      <c r="Q73" s="105"/>
      <c r="R73" s="119" t="str">
        <f t="array" ref="R73">IF(OR($B73="",$D73=""),"",
IFERROR(
  INDEX(
    'Tools &amp; Targets_Guideline'!$C$54:$I$269,
    MATCH(
      1,
      ('Tools &amp; Targets_Guideline'!$A$54:$A$269=$B73)*
      ('Tools &amp; Targets_Guideline'!$B$54:$B$269="TT"),
      0
    ),
    MATCH(
      _xludf.IFNA(
        VLOOKUP($D73,{"PH","Provincial Hospital (H2)";"DH","District Hospital (H3)";"RH","Regional / National Hospital (H1)"},2,0),
        $D73
      ),
      'Tools &amp; Targets_Guideline'!$C$53:$I$53,
      0
    )
  ),
0))</f>
        <v/>
      </c>
      <c r="S73" s="105"/>
      <c r="T73" s="102"/>
      <c r="U73" s="106"/>
      <c r="V73" s="102" t="str">
        <f t="shared" si="1"/>
        <v/>
      </c>
      <c r="W73" s="102"/>
      <c r="X73" s="102"/>
      <c r="Y73" s="119" t="str">
        <f t="array" ref="Y73">IF(OR($B73="",$D73=""),"",
IFERROR(
  INDEX(
    'Tools &amp; Targets_Guideline'!$C$54:$I$269,
    MATCH(
      1,
      ('Tools &amp; Targets_Guideline'!$A$54:$A$269=$B73)*
      ('Tools &amp; Targets_Guideline'!$B$54:$B$269="GM"),
      0
    ),
    MATCH(
      _xludf.IFNA(
        VLOOKUP($D73,{"PH","Provincial Hospital (H2)";"DH","District Hospital (H3)";"RH","Regional / National Hospital (H1)"},2,0),
        $D73
      ),
      'Tools &amp; Targets_Guideline'!$C$53:$I$53,
      0
    )
  ),
0))</f>
        <v/>
      </c>
      <c r="Z73" s="105"/>
      <c r="AA73" s="119" t="str">
        <f t="array" ref="AA73">IF(OR($B73="",$D73=""),"",
IFERROR(
  INDEX(
    'Tools &amp; Targets_Guideline'!$C$54:$I$269,
    MATCH(
      1,
      ('Tools &amp; Targets_Guideline'!$A$54:$A$269=$B73)*
      ('Tools &amp; Targets_Guideline'!$B$54:$B$269="Penta"),
      0
    ),
    MATCH(
      _xludf.IFNA(
        VLOOKUP($D73,{"PH","Provincial Hospital (H2)";"DH","District Hospital (H3)";"RH","Regional / National Hospital (H1)"},2,0),
        $D73
      ),
      'Tools &amp; Targets_Guideline'!$C$53:$I$53,
      0
    )
  ),
0))</f>
        <v/>
      </c>
      <c r="AB73" s="105"/>
      <c r="AC73" s="119" t="str">
        <f t="array" ref="AC73">IF(OR($B73="",$D73=""),"",
IFERROR(
  INDEX(
    'Tools &amp; Targets_Guideline'!$C$54:$I$269,
    MATCH(
      1,
      ('Tools &amp; Targets_Guideline'!$A$54:$A$269=$B73)*
      ('Tools &amp; Targets_Guideline'!$B$54:$B$269="TB"),
      0
    ),
    MATCH(
      _xludf.IFNA(
        VLOOKUP($D73,{"PH","Provincial Hospital (H2)";"DH","District Hospital (H3)";"RH","Regional / National Hospital (H1)"},2,0),
        $D73
      ),
      'Tools &amp; Targets_Guideline'!$C$53:$I$53,
      0
    )
  ),
0))</f>
        <v/>
      </c>
      <c r="AD73" s="105"/>
      <c r="AE73" s="119" t="str">
        <f t="array" ref="AE73">IF(OR($B73="",$D73=""),"",
IFERROR(
  INDEX(
    'Tools &amp; Targets_Guideline'!$C$54:$I$269,
    MATCH(
      1,
      ('Tools &amp; Targets_Guideline'!$A$54:$A$269=$B73)*
      ('Tools &amp; Targets_Guideline'!$B$54:$B$269="U5 Morbidity"),
      0
    ),
    MATCH(
      _xludf.IFNA(
        VLOOKUP($D73,{"PH","Provincial Hospital (H2)";"DH","District Hospital (H3)";"RH","Regional / National Hospital (H1)"},2,0),
        $D73
      ),
      'Tools &amp; Targets_Guideline'!$C$53:$I$53,
      0
    )
  ),
0))</f>
        <v/>
      </c>
      <c r="AF73" s="105"/>
      <c r="AG73" s="119" t="str">
        <f t="array" ref="AG73">IF(OR($B73="",$D73=""),"",
IFERROR(
  INDEX(
    'Tools &amp; Targets_Guideline'!$C$54:$I$269,
    MATCH(
      1,
      ('Tools &amp; Targets_Guideline'!$A$54:$A$269=$B73)*
      ('Tools &amp; Targets_Guideline'!$B$54:$B$269="C-Section"),
      0
    ),
    MATCH(
      _xludf.IFNA(
        VLOOKUP($D73,{"PH","Provincial Hospital (H2)";"DH","District Hospital (H3)";"RH","Regional / National Hospital (H1)"},2,0),
        $D73
      ),
      'Tools &amp; Targets_Guideline'!$C$53:$I$53,
      0
    )
  ),
0))</f>
        <v/>
      </c>
      <c r="AH73" s="105" t="str">
        <f>IF(A73&lt;&gt;"",COUNTIFS('QA Log'!D:D,A73,'QA Log'!M:M,"QQC",'QA Log'!L:L,"2. Hygiene and Sterilization",'QA Log'!Z:Z,"Approved"),"")</f>
        <v/>
      </c>
      <c r="AI73" s="102"/>
      <c r="AJ73" s="102"/>
      <c r="AK73" s="103" t="str">
        <f t="shared" si="2"/>
        <v/>
      </c>
      <c r="AL73" s="102"/>
      <c r="AM73" s="102"/>
      <c r="AN73" s="102"/>
      <c r="AO73" s="106"/>
      <c r="AP73" s="103"/>
      <c r="AQ73" s="102"/>
      <c r="AR73" s="102"/>
      <c r="AS73" s="102"/>
      <c r="AT73" s="107"/>
      <c r="AU73" s="102" t="str">
        <f t="shared" si="3"/>
        <v/>
      </c>
      <c r="AV73" s="102" t="str">
        <f t="shared" si="4"/>
        <v/>
      </c>
      <c r="AW73" s="102" t="str">
        <f t="shared" si="5"/>
        <v/>
      </c>
      <c r="AX73" s="102" t="str">
        <f t="shared" si="6"/>
        <v/>
      </c>
      <c r="AY73" s="107" t="str">
        <f t="shared" si="7"/>
        <v/>
      </c>
      <c r="AZ73" s="108" t="str">
        <f t="shared" si="8"/>
        <v/>
      </c>
      <c r="BA73" s="108" t="str">
        <f t="shared" si="9"/>
        <v/>
      </c>
      <c r="BB73" s="109" t="str">
        <f t="shared" si="10"/>
        <v/>
      </c>
      <c r="BC73" s="108" t="str">
        <f t="shared" si="11"/>
        <v/>
      </c>
      <c r="BD73" s="108" t="str">
        <f t="shared" si="12"/>
        <v/>
      </c>
      <c r="BE73" s="109" t="str">
        <f t="shared" si="13"/>
        <v/>
      </c>
      <c r="BF73" s="110" t="str">
        <f t="shared" si="14"/>
        <v/>
      </c>
      <c r="BG73" s="111"/>
    </row>
    <row r="74" spans="1:59" ht="12.75">
      <c r="A74" s="101"/>
      <c r="B74" s="102"/>
      <c r="C74" s="102" t="e">
        <f t="array" aca="1" ref="C74" ca="1">_xludf.XLOOKUP(A74,'QA Log'!D:D,'QA Log'!F:F,"")</f>
        <v>#NAME?</v>
      </c>
      <c r="D74" s="102"/>
      <c r="E74" s="102" t="e">
        <f t="array" aca="1" ref="E74" ca="1">_xludf.XLOOKUP(A74,'QA Log'!D:D,'QA Log'!G:G,"")</f>
        <v>#NAME?</v>
      </c>
      <c r="F74" s="103"/>
      <c r="G74" s="104"/>
      <c r="H74" s="104"/>
      <c r="I74" s="103" t="str">
        <f t="shared" si="0"/>
        <v/>
      </c>
      <c r="J74" s="102"/>
      <c r="K74" s="102"/>
      <c r="L74" s="119" t="str">
        <f t="array" ref="L74">IF(OR($B74="",$D74=""),"",
IFERROR(
  INDEX(
    'Tools &amp; Targets_Guideline'!$C$54:$I$269,
    MATCH(
      1,
      ('Tools &amp; Targets_Guideline'!$A$54:$A$269=$B74)*
      ('Tools &amp; Targets_Guideline'!$B$54:$B$269="ANC"),
      0
    ),
    MATCH(
      _xludf.IFNA(
        VLOOKUP($D74,{"PH","Provincial Hospital (H2)";"DH","District Hospital (H3)";"RH","Regional / National Hospital (H1)"},2,0),
        $D74
      ),
      'Tools &amp; Targets_Guideline'!$C$53:$I$53,
      0
    )
  ),
0))</f>
        <v/>
      </c>
      <c r="M74" s="105"/>
      <c r="N74" s="119" t="str">
        <f t="array" ref="N74">IF(OR($B74="",$D74=""),"",
IFERROR(
  INDEX(
    'Tools &amp; Targets_Guideline'!$C$54:$I$269,
    MATCH(
      1,
      ('Tools &amp; Targets_Guideline'!$A$54:$A$269=$B74)*
      ('Tools &amp; Targets_Guideline'!$B$54:$B$269="PNC"),
      0
    ),
    MATCH(
      _xludf.IFNA(
        VLOOKUP($D74,{"PH","Provincial Hospital (H2)";"DH","District Hospital (H3)";"RH","Regional / National Hospital (H1)"},2,0),
        $D74
      ),
      'Tools &amp; Targets_Guideline'!$C$53:$I$53,
      0
    )
  ),
0))</f>
        <v/>
      </c>
      <c r="O74" s="105"/>
      <c r="P74" s="119" t="str">
        <f t="array" ref="P74">IF(OR($B74="",$D74=""),"",
IFERROR(
  INDEX(
    'Tools &amp; Targets_Guideline'!$C$54:$I$269,
    MATCH(
      1,
      ('Tools &amp; Targets_Guideline'!$A$54:$A$269=$B74)*
      ('Tools &amp; Targets_Guideline'!$B$54:$B$269="Delivery"),
      0
    ),
    MATCH(
      _xludf.IFNA(
        VLOOKUP($D74,{"PH","Provincial Hospital (H2)";"DH","District Hospital (H3)";"RH","Regional / National Hospital (H1)"},2,0),
        $D74
      ),
      'Tools &amp; Targets_Guideline'!$C$53:$I$53,
      0
    )
  ),
0))</f>
        <v/>
      </c>
      <c r="Q74" s="105"/>
      <c r="R74" s="119" t="str">
        <f t="array" ref="R74">IF(OR($B74="",$D74=""),"",
IFERROR(
  INDEX(
    'Tools &amp; Targets_Guideline'!$C$54:$I$269,
    MATCH(
      1,
      ('Tools &amp; Targets_Guideline'!$A$54:$A$269=$B74)*
      ('Tools &amp; Targets_Guideline'!$B$54:$B$269="TT"),
      0
    ),
    MATCH(
      _xludf.IFNA(
        VLOOKUP($D74,{"PH","Provincial Hospital (H2)";"DH","District Hospital (H3)";"RH","Regional / National Hospital (H1)"},2,0),
        $D74
      ),
      'Tools &amp; Targets_Guideline'!$C$53:$I$53,
      0
    )
  ),
0))</f>
        <v/>
      </c>
      <c r="S74" s="105"/>
      <c r="T74" s="102"/>
      <c r="U74" s="106"/>
      <c r="V74" s="102" t="str">
        <f t="shared" si="1"/>
        <v/>
      </c>
      <c r="W74" s="102"/>
      <c r="X74" s="102"/>
      <c r="Y74" s="119" t="str">
        <f t="array" ref="Y74">IF(OR($B74="",$D74=""),"",
IFERROR(
  INDEX(
    'Tools &amp; Targets_Guideline'!$C$54:$I$269,
    MATCH(
      1,
      ('Tools &amp; Targets_Guideline'!$A$54:$A$269=$B74)*
      ('Tools &amp; Targets_Guideline'!$B$54:$B$269="GM"),
      0
    ),
    MATCH(
      _xludf.IFNA(
        VLOOKUP($D74,{"PH","Provincial Hospital (H2)";"DH","District Hospital (H3)";"RH","Regional / National Hospital (H1)"},2,0),
        $D74
      ),
      'Tools &amp; Targets_Guideline'!$C$53:$I$53,
      0
    )
  ),
0))</f>
        <v/>
      </c>
      <c r="Z74" s="105"/>
      <c r="AA74" s="119" t="str">
        <f t="array" ref="AA74">IF(OR($B74="",$D74=""),"",
IFERROR(
  INDEX(
    'Tools &amp; Targets_Guideline'!$C$54:$I$269,
    MATCH(
      1,
      ('Tools &amp; Targets_Guideline'!$A$54:$A$269=$B74)*
      ('Tools &amp; Targets_Guideline'!$B$54:$B$269="Penta"),
      0
    ),
    MATCH(
      _xludf.IFNA(
        VLOOKUP($D74,{"PH","Provincial Hospital (H2)";"DH","District Hospital (H3)";"RH","Regional / National Hospital (H1)"},2,0),
        $D74
      ),
      'Tools &amp; Targets_Guideline'!$C$53:$I$53,
      0
    )
  ),
0))</f>
        <v/>
      </c>
      <c r="AB74" s="105"/>
      <c r="AC74" s="119" t="str">
        <f t="array" ref="AC74">IF(OR($B74="",$D74=""),"",
IFERROR(
  INDEX(
    'Tools &amp; Targets_Guideline'!$C$54:$I$269,
    MATCH(
      1,
      ('Tools &amp; Targets_Guideline'!$A$54:$A$269=$B74)*
      ('Tools &amp; Targets_Guideline'!$B$54:$B$269="TB"),
      0
    ),
    MATCH(
      _xludf.IFNA(
        VLOOKUP($D74,{"PH","Provincial Hospital (H2)";"DH","District Hospital (H3)";"RH","Regional / National Hospital (H1)"},2,0),
        $D74
      ),
      'Tools &amp; Targets_Guideline'!$C$53:$I$53,
      0
    )
  ),
0))</f>
        <v/>
      </c>
      <c r="AD74" s="105"/>
      <c r="AE74" s="119" t="str">
        <f t="array" ref="AE74">IF(OR($B74="",$D74=""),"",
IFERROR(
  INDEX(
    'Tools &amp; Targets_Guideline'!$C$54:$I$269,
    MATCH(
      1,
      ('Tools &amp; Targets_Guideline'!$A$54:$A$269=$B74)*
      ('Tools &amp; Targets_Guideline'!$B$54:$B$269="U5 Morbidity"),
      0
    ),
    MATCH(
      _xludf.IFNA(
        VLOOKUP($D74,{"PH","Provincial Hospital (H2)";"DH","District Hospital (H3)";"RH","Regional / National Hospital (H1)"},2,0),
        $D74
      ),
      'Tools &amp; Targets_Guideline'!$C$53:$I$53,
      0
    )
  ),
0))</f>
        <v/>
      </c>
      <c r="AF74" s="105"/>
      <c r="AG74" s="119" t="str">
        <f t="array" ref="AG74">IF(OR($B74="",$D74=""),"",
IFERROR(
  INDEX(
    'Tools &amp; Targets_Guideline'!$C$54:$I$269,
    MATCH(
      1,
      ('Tools &amp; Targets_Guideline'!$A$54:$A$269=$B74)*
      ('Tools &amp; Targets_Guideline'!$B$54:$B$269="C-Section"),
      0
    ),
    MATCH(
      _xludf.IFNA(
        VLOOKUP($D74,{"PH","Provincial Hospital (H2)";"DH","District Hospital (H3)";"RH","Regional / National Hospital (H1)"},2,0),
        $D74
      ),
      'Tools &amp; Targets_Guideline'!$C$53:$I$53,
      0
    )
  ),
0))</f>
        <v/>
      </c>
      <c r="AH74" s="105" t="str">
        <f>IF(A74&lt;&gt;"",COUNTIFS('QA Log'!D:D,A74,'QA Log'!M:M,"QQC",'QA Log'!L:L,"2. Hygiene and Sterilization",'QA Log'!Z:Z,"Approved"),"")</f>
        <v/>
      </c>
      <c r="AI74" s="102"/>
      <c r="AJ74" s="102"/>
      <c r="AK74" s="103" t="str">
        <f t="shared" si="2"/>
        <v/>
      </c>
      <c r="AL74" s="102"/>
      <c r="AM74" s="102"/>
      <c r="AN74" s="102"/>
      <c r="AO74" s="106"/>
      <c r="AP74" s="103"/>
      <c r="AQ74" s="102"/>
      <c r="AR74" s="102"/>
      <c r="AS74" s="102"/>
      <c r="AT74" s="107"/>
      <c r="AU74" s="102" t="str">
        <f t="shared" si="3"/>
        <v/>
      </c>
      <c r="AV74" s="102" t="str">
        <f t="shared" si="4"/>
        <v/>
      </c>
      <c r="AW74" s="102" t="str">
        <f t="shared" si="5"/>
        <v/>
      </c>
      <c r="AX74" s="102" t="str">
        <f t="shared" si="6"/>
        <v/>
      </c>
      <c r="AY74" s="107" t="str">
        <f t="shared" si="7"/>
        <v/>
      </c>
      <c r="AZ74" s="108" t="str">
        <f t="shared" si="8"/>
        <v/>
      </c>
      <c r="BA74" s="108" t="str">
        <f t="shared" si="9"/>
        <v/>
      </c>
      <c r="BB74" s="109" t="str">
        <f t="shared" si="10"/>
        <v/>
      </c>
      <c r="BC74" s="108" t="str">
        <f t="shared" si="11"/>
        <v/>
      </c>
      <c r="BD74" s="108" t="str">
        <f t="shared" si="12"/>
        <v/>
      </c>
      <c r="BE74" s="109" t="str">
        <f t="shared" si="13"/>
        <v/>
      </c>
      <c r="BF74" s="110" t="str">
        <f t="shared" si="14"/>
        <v/>
      </c>
      <c r="BG74" s="111"/>
    </row>
    <row r="75" spans="1:59" ht="12.75">
      <c r="A75" s="101"/>
      <c r="B75" s="102"/>
      <c r="C75" s="102" t="e">
        <f t="array" aca="1" ref="C75" ca="1">_xludf.XLOOKUP(A75,'QA Log'!D:D,'QA Log'!F:F,"")</f>
        <v>#NAME?</v>
      </c>
      <c r="D75" s="102"/>
      <c r="E75" s="102" t="e">
        <f t="array" aca="1" ref="E75" ca="1">_xludf.XLOOKUP(A75,'QA Log'!D:D,'QA Log'!G:G,"")</f>
        <v>#NAME?</v>
      </c>
      <c r="F75" s="103"/>
      <c r="G75" s="104"/>
      <c r="H75" s="104"/>
      <c r="I75" s="103" t="str">
        <f t="shared" si="0"/>
        <v/>
      </c>
      <c r="J75" s="102"/>
      <c r="K75" s="102"/>
      <c r="L75" s="119" t="str">
        <f t="array" ref="L75">IF(OR($B75="",$D75=""),"",
IFERROR(
  INDEX(
    'Tools &amp; Targets_Guideline'!$C$54:$I$269,
    MATCH(
      1,
      ('Tools &amp; Targets_Guideline'!$A$54:$A$269=$B75)*
      ('Tools &amp; Targets_Guideline'!$B$54:$B$269="ANC"),
      0
    ),
    MATCH(
      _xludf.IFNA(
        VLOOKUP($D75,{"PH","Provincial Hospital (H2)";"DH","District Hospital (H3)";"RH","Regional / National Hospital (H1)"},2,0),
        $D75
      ),
      'Tools &amp; Targets_Guideline'!$C$53:$I$53,
      0
    )
  ),
0))</f>
        <v/>
      </c>
      <c r="M75" s="105"/>
      <c r="N75" s="119" t="str">
        <f t="array" ref="N75">IF(OR($B75="",$D75=""),"",
IFERROR(
  INDEX(
    'Tools &amp; Targets_Guideline'!$C$54:$I$269,
    MATCH(
      1,
      ('Tools &amp; Targets_Guideline'!$A$54:$A$269=$B75)*
      ('Tools &amp; Targets_Guideline'!$B$54:$B$269="PNC"),
      0
    ),
    MATCH(
      _xludf.IFNA(
        VLOOKUP($D75,{"PH","Provincial Hospital (H2)";"DH","District Hospital (H3)";"RH","Regional / National Hospital (H1)"},2,0),
        $D75
      ),
      'Tools &amp; Targets_Guideline'!$C$53:$I$53,
      0
    )
  ),
0))</f>
        <v/>
      </c>
      <c r="O75" s="105"/>
      <c r="P75" s="119" t="str">
        <f t="array" ref="P75">IF(OR($B75="",$D75=""),"",
IFERROR(
  INDEX(
    'Tools &amp; Targets_Guideline'!$C$54:$I$269,
    MATCH(
      1,
      ('Tools &amp; Targets_Guideline'!$A$54:$A$269=$B75)*
      ('Tools &amp; Targets_Guideline'!$B$54:$B$269="Delivery"),
      0
    ),
    MATCH(
      _xludf.IFNA(
        VLOOKUP($D75,{"PH","Provincial Hospital (H2)";"DH","District Hospital (H3)";"RH","Regional / National Hospital (H1)"},2,0),
        $D75
      ),
      'Tools &amp; Targets_Guideline'!$C$53:$I$53,
      0
    )
  ),
0))</f>
        <v/>
      </c>
      <c r="Q75" s="105"/>
      <c r="R75" s="119" t="str">
        <f t="array" ref="R75">IF(OR($B75="",$D75=""),"",
IFERROR(
  INDEX(
    'Tools &amp; Targets_Guideline'!$C$54:$I$269,
    MATCH(
      1,
      ('Tools &amp; Targets_Guideline'!$A$54:$A$269=$B75)*
      ('Tools &amp; Targets_Guideline'!$B$54:$B$269="TT"),
      0
    ),
    MATCH(
      _xludf.IFNA(
        VLOOKUP($D75,{"PH","Provincial Hospital (H2)";"DH","District Hospital (H3)";"RH","Regional / National Hospital (H1)"},2,0),
        $D75
      ),
      'Tools &amp; Targets_Guideline'!$C$53:$I$53,
      0
    )
  ),
0))</f>
        <v/>
      </c>
      <c r="S75" s="105"/>
      <c r="T75" s="102"/>
      <c r="U75" s="106"/>
      <c r="V75" s="102" t="str">
        <f t="shared" si="1"/>
        <v/>
      </c>
      <c r="W75" s="102"/>
      <c r="X75" s="102"/>
      <c r="Y75" s="119" t="str">
        <f t="array" ref="Y75">IF(OR($B75="",$D75=""),"",
IFERROR(
  INDEX(
    'Tools &amp; Targets_Guideline'!$C$54:$I$269,
    MATCH(
      1,
      ('Tools &amp; Targets_Guideline'!$A$54:$A$269=$B75)*
      ('Tools &amp; Targets_Guideline'!$B$54:$B$269="GM"),
      0
    ),
    MATCH(
      _xludf.IFNA(
        VLOOKUP($D75,{"PH","Provincial Hospital (H2)";"DH","District Hospital (H3)";"RH","Regional / National Hospital (H1)"},2,0),
        $D75
      ),
      'Tools &amp; Targets_Guideline'!$C$53:$I$53,
      0
    )
  ),
0))</f>
        <v/>
      </c>
      <c r="Z75" s="105"/>
      <c r="AA75" s="119" t="str">
        <f t="array" ref="AA75">IF(OR($B75="",$D75=""),"",
IFERROR(
  INDEX(
    'Tools &amp; Targets_Guideline'!$C$54:$I$269,
    MATCH(
      1,
      ('Tools &amp; Targets_Guideline'!$A$54:$A$269=$B75)*
      ('Tools &amp; Targets_Guideline'!$B$54:$B$269="Penta"),
      0
    ),
    MATCH(
      _xludf.IFNA(
        VLOOKUP($D75,{"PH","Provincial Hospital (H2)";"DH","District Hospital (H3)";"RH","Regional / National Hospital (H1)"},2,0),
        $D75
      ),
      'Tools &amp; Targets_Guideline'!$C$53:$I$53,
      0
    )
  ),
0))</f>
        <v/>
      </c>
      <c r="AB75" s="105"/>
      <c r="AC75" s="119" t="str">
        <f t="array" ref="AC75">IF(OR($B75="",$D75=""),"",
IFERROR(
  INDEX(
    'Tools &amp; Targets_Guideline'!$C$54:$I$269,
    MATCH(
      1,
      ('Tools &amp; Targets_Guideline'!$A$54:$A$269=$B75)*
      ('Tools &amp; Targets_Guideline'!$B$54:$B$269="TB"),
      0
    ),
    MATCH(
      _xludf.IFNA(
        VLOOKUP($D75,{"PH","Provincial Hospital (H2)";"DH","District Hospital (H3)";"RH","Regional / National Hospital (H1)"},2,0),
        $D75
      ),
      'Tools &amp; Targets_Guideline'!$C$53:$I$53,
      0
    )
  ),
0))</f>
        <v/>
      </c>
      <c r="AD75" s="105"/>
      <c r="AE75" s="119" t="str">
        <f t="array" ref="AE75">IF(OR($B75="",$D75=""),"",
IFERROR(
  INDEX(
    'Tools &amp; Targets_Guideline'!$C$54:$I$269,
    MATCH(
      1,
      ('Tools &amp; Targets_Guideline'!$A$54:$A$269=$B75)*
      ('Tools &amp; Targets_Guideline'!$B$54:$B$269="U5 Morbidity"),
      0
    ),
    MATCH(
      _xludf.IFNA(
        VLOOKUP($D75,{"PH","Provincial Hospital (H2)";"DH","District Hospital (H3)";"RH","Regional / National Hospital (H1)"},2,0),
        $D75
      ),
      'Tools &amp; Targets_Guideline'!$C$53:$I$53,
      0
    )
  ),
0))</f>
        <v/>
      </c>
      <c r="AF75" s="105"/>
      <c r="AG75" s="119" t="str">
        <f t="array" ref="AG75">IF(OR($B75="",$D75=""),"",
IFERROR(
  INDEX(
    'Tools &amp; Targets_Guideline'!$C$54:$I$269,
    MATCH(
      1,
      ('Tools &amp; Targets_Guideline'!$A$54:$A$269=$B75)*
      ('Tools &amp; Targets_Guideline'!$B$54:$B$269="C-Section"),
      0
    ),
    MATCH(
      _xludf.IFNA(
        VLOOKUP($D75,{"PH","Provincial Hospital (H2)";"DH","District Hospital (H3)";"RH","Regional / National Hospital (H1)"},2,0),
        $D75
      ),
      'Tools &amp; Targets_Guideline'!$C$53:$I$53,
      0
    )
  ),
0))</f>
        <v/>
      </c>
      <c r="AH75" s="105" t="str">
        <f>IF(A75&lt;&gt;"",COUNTIFS('QA Log'!D:D,A75,'QA Log'!M:M,"QQC",'QA Log'!L:L,"2. Hygiene and Sterilization",'QA Log'!Z:Z,"Approved"),"")</f>
        <v/>
      </c>
      <c r="AI75" s="102"/>
      <c r="AJ75" s="102"/>
      <c r="AK75" s="103" t="str">
        <f t="shared" si="2"/>
        <v/>
      </c>
      <c r="AL75" s="102"/>
      <c r="AM75" s="102"/>
      <c r="AN75" s="102"/>
      <c r="AO75" s="106"/>
      <c r="AP75" s="103"/>
      <c r="AQ75" s="102"/>
      <c r="AR75" s="102"/>
      <c r="AS75" s="102"/>
      <c r="AT75" s="107"/>
      <c r="AU75" s="102" t="str">
        <f t="shared" si="3"/>
        <v/>
      </c>
      <c r="AV75" s="102" t="str">
        <f t="shared" si="4"/>
        <v/>
      </c>
      <c r="AW75" s="102" t="str">
        <f t="shared" si="5"/>
        <v/>
      </c>
      <c r="AX75" s="102" t="str">
        <f t="shared" si="6"/>
        <v/>
      </c>
      <c r="AY75" s="107" t="str">
        <f t="shared" si="7"/>
        <v/>
      </c>
      <c r="AZ75" s="108" t="str">
        <f t="shared" si="8"/>
        <v/>
      </c>
      <c r="BA75" s="108" t="str">
        <f t="shared" si="9"/>
        <v/>
      </c>
      <c r="BB75" s="109" t="str">
        <f t="shared" si="10"/>
        <v/>
      </c>
      <c r="BC75" s="108" t="str">
        <f t="shared" si="11"/>
        <v/>
      </c>
      <c r="BD75" s="108" t="str">
        <f t="shared" si="12"/>
        <v/>
      </c>
      <c r="BE75" s="109" t="str">
        <f t="shared" si="13"/>
        <v/>
      </c>
      <c r="BF75" s="110" t="str">
        <f t="shared" si="14"/>
        <v/>
      </c>
      <c r="BG75" s="111"/>
    </row>
    <row r="76" spans="1:59" ht="12.75">
      <c r="A76" s="101"/>
      <c r="B76" s="102"/>
      <c r="C76" s="102" t="e">
        <f t="array" aca="1" ref="C76" ca="1">_xludf.XLOOKUP(A76,'QA Log'!D:D,'QA Log'!F:F,"")</f>
        <v>#NAME?</v>
      </c>
      <c r="D76" s="102"/>
      <c r="E76" s="102" t="e">
        <f t="array" aca="1" ref="E76" ca="1">_xludf.XLOOKUP(A76,'QA Log'!D:D,'QA Log'!G:G,"")</f>
        <v>#NAME?</v>
      </c>
      <c r="F76" s="103"/>
      <c r="G76" s="104"/>
      <c r="H76" s="104"/>
      <c r="I76" s="103" t="str">
        <f t="shared" si="0"/>
        <v/>
      </c>
      <c r="J76" s="102"/>
      <c r="K76" s="102"/>
      <c r="L76" s="119" t="str">
        <f t="array" ref="L76">IF(OR($B76="",$D76=""),"",
IFERROR(
  INDEX(
    'Tools &amp; Targets_Guideline'!$C$54:$I$269,
    MATCH(
      1,
      ('Tools &amp; Targets_Guideline'!$A$54:$A$269=$B76)*
      ('Tools &amp; Targets_Guideline'!$B$54:$B$269="ANC"),
      0
    ),
    MATCH(
      _xludf.IFNA(
        VLOOKUP($D76,{"PH","Provincial Hospital (H2)";"DH","District Hospital (H3)";"RH","Regional / National Hospital (H1)"},2,0),
        $D76
      ),
      'Tools &amp; Targets_Guideline'!$C$53:$I$53,
      0
    )
  ),
0))</f>
        <v/>
      </c>
      <c r="M76" s="105"/>
      <c r="N76" s="119" t="str">
        <f t="array" ref="N76">IF(OR($B76="",$D76=""),"",
IFERROR(
  INDEX(
    'Tools &amp; Targets_Guideline'!$C$54:$I$269,
    MATCH(
      1,
      ('Tools &amp; Targets_Guideline'!$A$54:$A$269=$B76)*
      ('Tools &amp; Targets_Guideline'!$B$54:$B$269="PNC"),
      0
    ),
    MATCH(
      _xludf.IFNA(
        VLOOKUP($D76,{"PH","Provincial Hospital (H2)";"DH","District Hospital (H3)";"RH","Regional / National Hospital (H1)"},2,0),
        $D76
      ),
      'Tools &amp; Targets_Guideline'!$C$53:$I$53,
      0
    )
  ),
0))</f>
        <v/>
      </c>
      <c r="O76" s="105"/>
      <c r="P76" s="119" t="str">
        <f t="array" ref="P76">IF(OR($B76="",$D76=""),"",
IFERROR(
  INDEX(
    'Tools &amp; Targets_Guideline'!$C$54:$I$269,
    MATCH(
      1,
      ('Tools &amp; Targets_Guideline'!$A$54:$A$269=$B76)*
      ('Tools &amp; Targets_Guideline'!$B$54:$B$269="Delivery"),
      0
    ),
    MATCH(
      _xludf.IFNA(
        VLOOKUP($D76,{"PH","Provincial Hospital (H2)";"DH","District Hospital (H3)";"RH","Regional / National Hospital (H1)"},2,0),
        $D76
      ),
      'Tools &amp; Targets_Guideline'!$C$53:$I$53,
      0
    )
  ),
0))</f>
        <v/>
      </c>
      <c r="Q76" s="105"/>
      <c r="R76" s="119" t="str">
        <f t="array" ref="R76">IF(OR($B76="",$D76=""),"",
IFERROR(
  INDEX(
    'Tools &amp; Targets_Guideline'!$C$54:$I$269,
    MATCH(
      1,
      ('Tools &amp; Targets_Guideline'!$A$54:$A$269=$B76)*
      ('Tools &amp; Targets_Guideline'!$B$54:$B$269="TT"),
      0
    ),
    MATCH(
      _xludf.IFNA(
        VLOOKUP($D76,{"PH","Provincial Hospital (H2)";"DH","District Hospital (H3)";"RH","Regional / National Hospital (H1)"},2,0),
        $D76
      ),
      'Tools &amp; Targets_Guideline'!$C$53:$I$53,
      0
    )
  ),
0))</f>
        <v/>
      </c>
      <c r="S76" s="105"/>
      <c r="T76" s="102"/>
      <c r="U76" s="106"/>
      <c r="V76" s="102" t="str">
        <f t="shared" si="1"/>
        <v/>
      </c>
      <c r="W76" s="102"/>
      <c r="X76" s="102"/>
      <c r="Y76" s="119" t="str">
        <f t="array" ref="Y76">IF(OR($B76="",$D76=""),"",
IFERROR(
  INDEX(
    'Tools &amp; Targets_Guideline'!$C$54:$I$269,
    MATCH(
      1,
      ('Tools &amp; Targets_Guideline'!$A$54:$A$269=$B76)*
      ('Tools &amp; Targets_Guideline'!$B$54:$B$269="GM"),
      0
    ),
    MATCH(
      _xludf.IFNA(
        VLOOKUP($D76,{"PH","Provincial Hospital (H2)";"DH","District Hospital (H3)";"RH","Regional / National Hospital (H1)"},2,0),
        $D76
      ),
      'Tools &amp; Targets_Guideline'!$C$53:$I$53,
      0
    )
  ),
0))</f>
        <v/>
      </c>
      <c r="Z76" s="105"/>
      <c r="AA76" s="119" t="str">
        <f t="array" ref="AA76">IF(OR($B76="",$D76=""),"",
IFERROR(
  INDEX(
    'Tools &amp; Targets_Guideline'!$C$54:$I$269,
    MATCH(
      1,
      ('Tools &amp; Targets_Guideline'!$A$54:$A$269=$B76)*
      ('Tools &amp; Targets_Guideline'!$B$54:$B$269="Penta"),
      0
    ),
    MATCH(
      _xludf.IFNA(
        VLOOKUP($D76,{"PH","Provincial Hospital (H2)";"DH","District Hospital (H3)";"RH","Regional / National Hospital (H1)"},2,0),
        $D76
      ),
      'Tools &amp; Targets_Guideline'!$C$53:$I$53,
      0
    )
  ),
0))</f>
        <v/>
      </c>
      <c r="AB76" s="105"/>
      <c r="AC76" s="119" t="str">
        <f t="array" ref="AC76">IF(OR($B76="",$D76=""),"",
IFERROR(
  INDEX(
    'Tools &amp; Targets_Guideline'!$C$54:$I$269,
    MATCH(
      1,
      ('Tools &amp; Targets_Guideline'!$A$54:$A$269=$B76)*
      ('Tools &amp; Targets_Guideline'!$B$54:$B$269="TB"),
      0
    ),
    MATCH(
      _xludf.IFNA(
        VLOOKUP($D76,{"PH","Provincial Hospital (H2)";"DH","District Hospital (H3)";"RH","Regional / National Hospital (H1)"},2,0),
        $D76
      ),
      'Tools &amp; Targets_Guideline'!$C$53:$I$53,
      0
    )
  ),
0))</f>
        <v/>
      </c>
      <c r="AD76" s="105"/>
      <c r="AE76" s="119" t="str">
        <f t="array" ref="AE76">IF(OR($B76="",$D76=""),"",
IFERROR(
  INDEX(
    'Tools &amp; Targets_Guideline'!$C$54:$I$269,
    MATCH(
      1,
      ('Tools &amp; Targets_Guideline'!$A$54:$A$269=$B76)*
      ('Tools &amp; Targets_Guideline'!$B$54:$B$269="U5 Morbidity"),
      0
    ),
    MATCH(
      _xludf.IFNA(
        VLOOKUP($D76,{"PH","Provincial Hospital (H2)";"DH","District Hospital (H3)";"RH","Regional / National Hospital (H1)"},2,0),
        $D76
      ),
      'Tools &amp; Targets_Guideline'!$C$53:$I$53,
      0
    )
  ),
0))</f>
        <v/>
      </c>
      <c r="AF76" s="105"/>
      <c r="AG76" s="119" t="str">
        <f t="array" ref="AG76">IF(OR($B76="",$D76=""),"",
IFERROR(
  INDEX(
    'Tools &amp; Targets_Guideline'!$C$54:$I$269,
    MATCH(
      1,
      ('Tools &amp; Targets_Guideline'!$A$54:$A$269=$B76)*
      ('Tools &amp; Targets_Guideline'!$B$54:$B$269="C-Section"),
      0
    ),
    MATCH(
      _xludf.IFNA(
        VLOOKUP($D76,{"PH","Provincial Hospital (H2)";"DH","District Hospital (H3)";"RH","Regional / National Hospital (H1)"},2,0),
        $D76
      ),
      'Tools &amp; Targets_Guideline'!$C$53:$I$53,
      0
    )
  ),
0))</f>
        <v/>
      </c>
      <c r="AH76" s="105" t="str">
        <f>IF(A76&lt;&gt;"",COUNTIFS('QA Log'!D:D,A76,'QA Log'!M:M,"QQC",'QA Log'!L:L,"2. Hygiene and Sterilization",'QA Log'!Z:Z,"Approved"),"")</f>
        <v/>
      </c>
      <c r="AI76" s="102"/>
      <c r="AJ76" s="102"/>
      <c r="AK76" s="103" t="str">
        <f t="shared" si="2"/>
        <v/>
      </c>
      <c r="AL76" s="102"/>
      <c r="AM76" s="102"/>
      <c r="AN76" s="102"/>
      <c r="AO76" s="106"/>
      <c r="AP76" s="103"/>
      <c r="AQ76" s="102"/>
      <c r="AR76" s="102"/>
      <c r="AS76" s="102"/>
      <c r="AT76" s="107"/>
      <c r="AU76" s="102" t="str">
        <f t="shared" si="3"/>
        <v/>
      </c>
      <c r="AV76" s="102" t="str">
        <f t="shared" si="4"/>
        <v/>
      </c>
      <c r="AW76" s="102" t="str">
        <f t="shared" si="5"/>
        <v/>
      </c>
      <c r="AX76" s="102" t="str">
        <f t="shared" si="6"/>
        <v/>
      </c>
      <c r="AY76" s="107" t="str">
        <f t="shared" si="7"/>
        <v/>
      </c>
      <c r="AZ76" s="108" t="str">
        <f t="shared" si="8"/>
        <v/>
      </c>
      <c r="BA76" s="108" t="str">
        <f t="shared" si="9"/>
        <v/>
      </c>
      <c r="BB76" s="109" t="str">
        <f t="shared" si="10"/>
        <v/>
      </c>
      <c r="BC76" s="108" t="str">
        <f t="shared" si="11"/>
        <v/>
      </c>
      <c r="BD76" s="108" t="str">
        <f t="shared" si="12"/>
        <v/>
      </c>
      <c r="BE76" s="109" t="str">
        <f t="shared" si="13"/>
        <v/>
      </c>
      <c r="BF76" s="110" t="str">
        <f t="shared" si="14"/>
        <v/>
      </c>
      <c r="BG76" s="111"/>
    </row>
    <row r="77" spans="1:59" ht="12.75">
      <c r="A77" s="101"/>
      <c r="B77" s="102"/>
      <c r="C77" s="102" t="e">
        <f t="array" aca="1" ref="C77" ca="1">_xludf.XLOOKUP(A77,'QA Log'!D:D,'QA Log'!F:F,"")</f>
        <v>#NAME?</v>
      </c>
      <c r="D77" s="102"/>
      <c r="E77" s="102" t="e">
        <f t="array" aca="1" ref="E77" ca="1">_xludf.XLOOKUP(A77,'QA Log'!D:D,'QA Log'!G:G,"")</f>
        <v>#NAME?</v>
      </c>
      <c r="F77" s="103"/>
      <c r="G77" s="104"/>
      <c r="H77" s="104"/>
      <c r="I77" s="103" t="str">
        <f t="shared" si="0"/>
        <v/>
      </c>
      <c r="J77" s="102"/>
      <c r="K77" s="102"/>
      <c r="L77" s="119" t="str">
        <f t="array" ref="L77">IF(OR($B77="",$D77=""),"",
IFERROR(
  INDEX(
    'Tools &amp; Targets_Guideline'!$C$54:$I$269,
    MATCH(
      1,
      ('Tools &amp; Targets_Guideline'!$A$54:$A$269=$B77)*
      ('Tools &amp; Targets_Guideline'!$B$54:$B$269="ANC"),
      0
    ),
    MATCH(
      _xludf.IFNA(
        VLOOKUP($D77,{"PH","Provincial Hospital (H2)";"DH","District Hospital (H3)";"RH","Regional / National Hospital (H1)"},2,0),
        $D77
      ),
      'Tools &amp; Targets_Guideline'!$C$53:$I$53,
      0
    )
  ),
0))</f>
        <v/>
      </c>
      <c r="M77" s="105"/>
      <c r="N77" s="119" t="str">
        <f t="array" ref="N77">IF(OR($B77="",$D77=""),"",
IFERROR(
  INDEX(
    'Tools &amp; Targets_Guideline'!$C$54:$I$269,
    MATCH(
      1,
      ('Tools &amp; Targets_Guideline'!$A$54:$A$269=$B77)*
      ('Tools &amp; Targets_Guideline'!$B$54:$B$269="PNC"),
      0
    ),
    MATCH(
      _xludf.IFNA(
        VLOOKUP($D77,{"PH","Provincial Hospital (H2)";"DH","District Hospital (H3)";"RH","Regional / National Hospital (H1)"},2,0),
        $D77
      ),
      'Tools &amp; Targets_Guideline'!$C$53:$I$53,
      0
    )
  ),
0))</f>
        <v/>
      </c>
      <c r="O77" s="105"/>
      <c r="P77" s="119" t="str">
        <f t="array" ref="P77">IF(OR($B77="",$D77=""),"",
IFERROR(
  INDEX(
    'Tools &amp; Targets_Guideline'!$C$54:$I$269,
    MATCH(
      1,
      ('Tools &amp; Targets_Guideline'!$A$54:$A$269=$B77)*
      ('Tools &amp; Targets_Guideline'!$B$54:$B$269="Delivery"),
      0
    ),
    MATCH(
      _xludf.IFNA(
        VLOOKUP($D77,{"PH","Provincial Hospital (H2)";"DH","District Hospital (H3)";"RH","Regional / National Hospital (H1)"},2,0),
        $D77
      ),
      'Tools &amp; Targets_Guideline'!$C$53:$I$53,
      0
    )
  ),
0))</f>
        <v/>
      </c>
      <c r="Q77" s="105"/>
      <c r="R77" s="119" t="str">
        <f t="array" ref="R77">IF(OR($B77="",$D77=""),"",
IFERROR(
  INDEX(
    'Tools &amp; Targets_Guideline'!$C$54:$I$269,
    MATCH(
      1,
      ('Tools &amp; Targets_Guideline'!$A$54:$A$269=$B77)*
      ('Tools &amp; Targets_Guideline'!$B$54:$B$269="TT"),
      0
    ),
    MATCH(
      _xludf.IFNA(
        VLOOKUP($D77,{"PH","Provincial Hospital (H2)";"DH","District Hospital (H3)";"RH","Regional / National Hospital (H1)"},2,0),
        $D77
      ),
      'Tools &amp; Targets_Guideline'!$C$53:$I$53,
      0
    )
  ),
0))</f>
        <v/>
      </c>
      <c r="S77" s="105"/>
      <c r="T77" s="102"/>
      <c r="U77" s="106"/>
      <c r="V77" s="102" t="str">
        <f t="shared" si="1"/>
        <v/>
      </c>
      <c r="W77" s="102"/>
      <c r="X77" s="102"/>
      <c r="Y77" s="119" t="str">
        <f t="array" ref="Y77">IF(OR($B77="",$D77=""),"",
IFERROR(
  INDEX(
    'Tools &amp; Targets_Guideline'!$C$54:$I$269,
    MATCH(
      1,
      ('Tools &amp; Targets_Guideline'!$A$54:$A$269=$B77)*
      ('Tools &amp; Targets_Guideline'!$B$54:$B$269="GM"),
      0
    ),
    MATCH(
      _xludf.IFNA(
        VLOOKUP($D77,{"PH","Provincial Hospital (H2)";"DH","District Hospital (H3)";"RH","Regional / National Hospital (H1)"},2,0),
        $D77
      ),
      'Tools &amp; Targets_Guideline'!$C$53:$I$53,
      0
    )
  ),
0))</f>
        <v/>
      </c>
      <c r="Z77" s="105"/>
      <c r="AA77" s="119" t="str">
        <f t="array" ref="AA77">IF(OR($B77="",$D77=""),"",
IFERROR(
  INDEX(
    'Tools &amp; Targets_Guideline'!$C$54:$I$269,
    MATCH(
      1,
      ('Tools &amp; Targets_Guideline'!$A$54:$A$269=$B77)*
      ('Tools &amp; Targets_Guideline'!$B$54:$B$269="Penta"),
      0
    ),
    MATCH(
      _xludf.IFNA(
        VLOOKUP($D77,{"PH","Provincial Hospital (H2)";"DH","District Hospital (H3)";"RH","Regional / National Hospital (H1)"},2,0),
        $D77
      ),
      'Tools &amp; Targets_Guideline'!$C$53:$I$53,
      0
    )
  ),
0))</f>
        <v/>
      </c>
      <c r="AB77" s="105"/>
      <c r="AC77" s="119" t="str">
        <f t="array" ref="AC77">IF(OR($B77="",$D77=""),"",
IFERROR(
  INDEX(
    'Tools &amp; Targets_Guideline'!$C$54:$I$269,
    MATCH(
      1,
      ('Tools &amp; Targets_Guideline'!$A$54:$A$269=$B77)*
      ('Tools &amp; Targets_Guideline'!$B$54:$B$269="TB"),
      0
    ),
    MATCH(
      _xludf.IFNA(
        VLOOKUP($D77,{"PH","Provincial Hospital (H2)";"DH","District Hospital (H3)";"RH","Regional / National Hospital (H1)"},2,0),
        $D77
      ),
      'Tools &amp; Targets_Guideline'!$C$53:$I$53,
      0
    )
  ),
0))</f>
        <v/>
      </c>
      <c r="AD77" s="105"/>
      <c r="AE77" s="119" t="str">
        <f t="array" ref="AE77">IF(OR($B77="",$D77=""),"",
IFERROR(
  INDEX(
    'Tools &amp; Targets_Guideline'!$C$54:$I$269,
    MATCH(
      1,
      ('Tools &amp; Targets_Guideline'!$A$54:$A$269=$B77)*
      ('Tools &amp; Targets_Guideline'!$B$54:$B$269="U5 Morbidity"),
      0
    ),
    MATCH(
      _xludf.IFNA(
        VLOOKUP($D77,{"PH","Provincial Hospital (H2)";"DH","District Hospital (H3)";"RH","Regional / National Hospital (H1)"},2,0),
        $D77
      ),
      'Tools &amp; Targets_Guideline'!$C$53:$I$53,
      0
    )
  ),
0))</f>
        <v/>
      </c>
      <c r="AF77" s="105"/>
      <c r="AG77" s="119" t="str">
        <f t="array" ref="AG77">IF(OR($B77="",$D77=""),"",
IFERROR(
  INDEX(
    'Tools &amp; Targets_Guideline'!$C$54:$I$269,
    MATCH(
      1,
      ('Tools &amp; Targets_Guideline'!$A$54:$A$269=$B77)*
      ('Tools &amp; Targets_Guideline'!$B$54:$B$269="C-Section"),
      0
    ),
    MATCH(
      _xludf.IFNA(
        VLOOKUP($D77,{"PH","Provincial Hospital (H2)";"DH","District Hospital (H3)";"RH","Regional / National Hospital (H1)"},2,0),
        $D77
      ),
      'Tools &amp; Targets_Guideline'!$C$53:$I$53,
      0
    )
  ),
0))</f>
        <v/>
      </c>
      <c r="AH77" s="105" t="str">
        <f>IF(A77&lt;&gt;"",COUNTIFS('QA Log'!D:D,A77,'QA Log'!M:M,"QQC",'QA Log'!L:L,"2. Hygiene and Sterilization",'QA Log'!Z:Z,"Approved"),"")</f>
        <v/>
      </c>
      <c r="AI77" s="102"/>
      <c r="AJ77" s="102"/>
      <c r="AK77" s="103" t="str">
        <f t="shared" si="2"/>
        <v/>
      </c>
      <c r="AL77" s="102"/>
      <c r="AM77" s="102"/>
      <c r="AN77" s="102"/>
      <c r="AO77" s="106"/>
      <c r="AP77" s="103"/>
      <c r="AQ77" s="102"/>
      <c r="AR77" s="102"/>
      <c r="AS77" s="102"/>
      <c r="AT77" s="107"/>
      <c r="AU77" s="102" t="str">
        <f t="shared" si="3"/>
        <v/>
      </c>
      <c r="AV77" s="102" t="str">
        <f t="shared" si="4"/>
        <v/>
      </c>
      <c r="AW77" s="102" t="str">
        <f t="shared" si="5"/>
        <v/>
      </c>
      <c r="AX77" s="102" t="str">
        <f t="shared" si="6"/>
        <v/>
      </c>
      <c r="AY77" s="107" t="str">
        <f t="shared" si="7"/>
        <v/>
      </c>
      <c r="AZ77" s="108" t="str">
        <f t="shared" si="8"/>
        <v/>
      </c>
      <c r="BA77" s="108" t="str">
        <f t="shared" si="9"/>
        <v/>
      </c>
      <c r="BB77" s="109" t="str">
        <f t="shared" si="10"/>
        <v/>
      </c>
      <c r="BC77" s="108" t="str">
        <f t="shared" si="11"/>
        <v/>
      </c>
      <c r="BD77" s="108" t="str">
        <f t="shared" si="12"/>
        <v/>
      </c>
      <c r="BE77" s="109" t="str">
        <f t="shared" si="13"/>
        <v/>
      </c>
      <c r="BF77" s="110" t="str">
        <f t="shared" si="14"/>
        <v/>
      </c>
      <c r="BG77" s="111"/>
    </row>
    <row r="78" spans="1:59" ht="12.75">
      <c r="A78" s="101"/>
      <c r="B78" s="102"/>
      <c r="C78" s="102" t="e">
        <f t="array" aca="1" ref="C78" ca="1">_xludf.XLOOKUP(A78,'QA Log'!D:D,'QA Log'!F:F,"")</f>
        <v>#NAME?</v>
      </c>
      <c r="D78" s="102"/>
      <c r="E78" s="102" t="e">
        <f t="array" aca="1" ref="E78" ca="1">_xludf.XLOOKUP(A78,'QA Log'!D:D,'QA Log'!G:G,"")</f>
        <v>#NAME?</v>
      </c>
      <c r="F78" s="103"/>
      <c r="G78" s="104"/>
      <c r="H78" s="104"/>
      <c r="I78" s="103" t="str">
        <f t="shared" si="0"/>
        <v/>
      </c>
      <c r="J78" s="102"/>
      <c r="K78" s="102"/>
      <c r="L78" s="119" t="str">
        <f t="array" ref="L78">IF(OR($B78="",$D78=""),"",
IFERROR(
  INDEX(
    'Tools &amp; Targets_Guideline'!$C$54:$I$269,
    MATCH(
      1,
      ('Tools &amp; Targets_Guideline'!$A$54:$A$269=$B78)*
      ('Tools &amp; Targets_Guideline'!$B$54:$B$269="ANC"),
      0
    ),
    MATCH(
      _xludf.IFNA(
        VLOOKUP($D78,{"PH","Provincial Hospital (H2)";"DH","District Hospital (H3)";"RH","Regional / National Hospital (H1)"},2,0),
        $D78
      ),
      'Tools &amp; Targets_Guideline'!$C$53:$I$53,
      0
    )
  ),
0))</f>
        <v/>
      </c>
      <c r="M78" s="105"/>
      <c r="N78" s="119" t="str">
        <f t="array" ref="N78">IF(OR($B78="",$D78=""),"",
IFERROR(
  INDEX(
    'Tools &amp; Targets_Guideline'!$C$54:$I$269,
    MATCH(
      1,
      ('Tools &amp; Targets_Guideline'!$A$54:$A$269=$B78)*
      ('Tools &amp; Targets_Guideline'!$B$54:$B$269="PNC"),
      0
    ),
    MATCH(
      _xludf.IFNA(
        VLOOKUP($D78,{"PH","Provincial Hospital (H2)";"DH","District Hospital (H3)";"RH","Regional / National Hospital (H1)"},2,0),
        $D78
      ),
      'Tools &amp; Targets_Guideline'!$C$53:$I$53,
      0
    )
  ),
0))</f>
        <v/>
      </c>
      <c r="O78" s="105"/>
      <c r="P78" s="119" t="str">
        <f t="array" ref="P78">IF(OR($B78="",$D78=""),"",
IFERROR(
  INDEX(
    'Tools &amp; Targets_Guideline'!$C$54:$I$269,
    MATCH(
      1,
      ('Tools &amp; Targets_Guideline'!$A$54:$A$269=$B78)*
      ('Tools &amp; Targets_Guideline'!$B$54:$B$269="Delivery"),
      0
    ),
    MATCH(
      _xludf.IFNA(
        VLOOKUP($D78,{"PH","Provincial Hospital (H2)";"DH","District Hospital (H3)";"RH","Regional / National Hospital (H1)"},2,0),
        $D78
      ),
      'Tools &amp; Targets_Guideline'!$C$53:$I$53,
      0
    )
  ),
0))</f>
        <v/>
      </c>
      <c r="Q78" s="105"/>
      <c r="R78" s="119" t="str">
        <f t="array" ref="R78">IF(OR($B78="",$D78=""),"",
IFERROR(
  INDEX(
    'Tools &amp; Targets_Guideline'!$C$54:$I$269,
    MATCH(
      1,
      ('Tools &amp; Targets_Guideline'!$A$54:$A$269=$B78)*
      ('Tools &amp; Targets_Guideline'!$B$54:$B$269="TT"),
      0
    ),
    MATCH(
      _xludf.IFNA(
        VLOOKUP($D78,{"PH","Provincial Hospital (H2)";"DH","District Hospital (H3)";"RH","Regional / National Hospital (H1)"},2,0),
        $D78
      ),
      'Tools &amp; Targets_Guideline'!$C$53:$I$53,
      0
    )
  ),
0))</f>
        <v/>
      </c>
      <c r="S78" s="105"/>
      <c r="T78" s="102"/>
      <c r="U78" s="106"/>
      <c r="V78" s="102" t="str">
        <f t="shared" si="1"/>
        <v/>
      </c>
      <c r="W78" s="102"/>
      <c r="X78" s="102"/>
      <c r="Y78" s="119" t="str">
        <f t="array" ref="Y78">IF(OR($B78="",$D78=""),"",
IFERROR(
  INDEX(
    'Tools &amp; Targets_Guideline'!$C$54:$I$269,
    MATCH(
      1,
      ('Tools &amp; Targets_Guideline'!$A$54:$A$269=$B78)*
      ('Tools &amp; Targets_Guideline'!$B$54:$B$269="GM"),
      0
    ),
    MATCH(
      _xludf.IFNA(
        VLOOKUP($D78,{"PH","Provincial Hospital (H2)";"DH","District Hospital (H3)";"RH","Regional / National Hospital (H1)"},2,0),
        $D78
      ),
      'Tools &amp; Targets_Guideline'!$C$53:$I$53,
      0
    )
  ),
0))</f>
        <v/>
      </c>
      <c r="Z78" s="105"/>
      <c r="AA78" s="119" t="str">
        <f t="array" ref="AA78">IF(OR($B78="",$D78=""),"",
IFERROR(
  INDEX(
    'Tools &amp; Targets_Guideline'!$C$54:$I$269,
    MATCH(
      1,
      ('Tools &amp; Targets_Guideline'!$A$54:$A$269=$B78)*
      ('Tools &amp; Targets_Guideline'!$B$54:$B$269="Penta"),
      0
    ),
    MATCH(
      _xludf.IFNA(
        VLOOKUP($D78,{"PH","Provincial Hospital (H2)";"DH","District Hospital (H3)";"RH","Regional / National Hospital (H1)"},2,0),
        $D78
      ),
      'Tools &amp; Targets_Guideline'!$C$53:$I$53,
      0
    )
  ),
0))</f>
        <v/>
      </c>
      <c r="AB78" s="105"/>
      <c r="AC78" s="119" t="str">
        <f t="array" ref="AC78">IF(OR($B78="",$D78=""),"",
IFERROR(
  INDEX(
    'Tools &amp; Targets_Guideline'!$C$54:$I$269,
    MATCH(
      1,
      ('Tools &amp; Targets_Guideline'!$A$54:$A$269=$B78)*
      ('Tools &amp; Targets_Guideline'!$B$54:$B$269="TB"),
      0
    ),
    MATCH(
      _xludf.IFNA(
        VLOOKUP($D78,{"PH","Provincial Hospital (H2)";"DH","District Hospital (H3)";"RH","Regional / National Hospital (H1)"},2,0),
        $D78
      ),
      'Tools &amp; Targets_Guideline'!$C$53:$I$53,
      0
    )
  ),
0))</f>
        <v/>
      </c>
      <c r="AD78" s="105"/>
      <c r="AE78" s="119" t="str">
        <f t="array" ref="AE78">IF(OR($B78="",$D78=""),"",
IFERROR(
  INDEX(
    'Tools &amp; Targets_Guideline'!$C$54:$I$269,
    MATCH(
      1,
      ('Tools &amp; Targets_Guideline'!$A$54:$A$269=$B78)*
      ('Tools &amp; Targets_Guideline'!$B$54:$B$269="U5 Morbidity"),
      0
    ),
    MATCH(
      _xludf.IFNA(
        VLOOKUP($D78,{"PH","Provincial Hospital (H2)";"DH","District Hospital (H3)";"RH","Regional / National Hospital (H1)"},2,0),
        $D78
      ),
      'Tools &amp; Targets_Guideline'!$C$53:$I$53,
      0
    )
  ),
0))</f>
        <v/>
      </c>
      <c r="AF78" s="105"/>
      <c r="AG78" s="119" t="str">
        <f t="array" ref="AG78">IF(OR($B78="",$D78=""),"",
IFERROR(
  INDEX(
    'Tools &amp; Targets_Guideline'!$C$54:$I$269,
    MATCH(
      1,
      ('Tools &amp; Targets_Guideline'!$A$54:$A$269=$B78)*
      ('Tools &amp; Targets_Guideline'!$B$54:$B$269="C-Section"),
      0
    ),
    MATCH(
      _xludf.IFNA(
        VLOOKUP($D78,{"PH","Provincial Hospital (H2)";"DH","District Hospital (H3)";"RH","Regional / National Hospital (H1)"},2,0),
        $D78
      ),
      'Tools &amp; Targets_Guideline'!$C$53:$I$53,
      0
    )
  ),
0))</f>
        <v/>
      </c>
      <c r="AH78" s="105" t="str">
        <f>IF(A78&lt;&gt;"",COUNTIFS('QA Log'!D:D,A78,'QA Log'!M:M,"QQC",'QA Log'!L:L,"2. Hygiene and Sterilization",'QA Log'!Z:Z,"Approved"),"")</f>
        <v/>
      </c>
      <c r="AI78" s="102"/>
      <c r="AJ78" s="102"/>
      <c r="AK78" s="103" t="str">
        <f t="shared" si="2"/>
        <v/>
      </c>
      <c r="AL78" s="102"/>
      <c r="AM78" s="102"/>
      <c r="AN78" s="102"/>
      <c r="AO78" s="106"/>
      <c r="AP78" s="103"/>
      <c r="AQ78" s="102"/>
      <c r="AR78" s="102"/>
      <c r="AS78" s="102"/>
      <c r="AT78" s="107"/>
      <c r="AU78" s="102" t="str">
        <f t="shared" si="3"/>
        <v/>
      </c>
      <c r="AV78" s="102" t="str">
        <f t="shared" si="4"/>
        <v/>
      </c>
      <c r="AW78" s="102" t="str">
        <f t="shared" si="5"/>
        <v/>
      </c>
      <c r="AX78" s="102" t="str">
        <f t="shared" si="6"/>
        <v/>
      </c>
      <c r="AY78" s="107" t="str">
        <f t="shared" si="7"/>
        <v/>
      </c>
      <c r="AZ78" s="108" t="str">
        <f t="shared" si="8"/>
        <v/>
      </c>
      <c r="BA78" s="108" t="str">
        <f t="shared" si="9"/>
        <v/>
      </c>
      <c r="BB78" s="109" t="str">
        <f t="shared" si="10"/>
        <v/>
      </c>
      <c r="BC78" s="108" t="str">
        <f t="shared" si="11"/>
        <v/>
      </c>
      <c r="BD78" s="108" t="str">
        <f t="shared" si="12"/>
        <v/>
      </c>
      <c r="BE78" s="109" t="str">
        <f t="shared" si="13"/>
        <v/>
      </c>
      <c r="BF78" s="110" t="str">
        <f t="shared" si="14"/>
        <v/>
      </c>
      <c r="BG78" s="111"/>
    </row>
    <row r="79" spans="1:59" ht="12.75">
      <c r="A79" s="101"/>
      <c r="B79" s="102"/>
      <c r="C79" s="102" t="e">
        <f t="array" aca="1" ref="C79" ca="1">_xludf.XLOOKUP(A79,'QA Log'!D:D,'QA Log'!F:F,"")</f>
        <v>#NAME?</v>
      </c>
      <c r="D79" s="102"/>
      <c r="E79" s="102" t="e">
        <f t="array" aca="1" ref="E79" ca="1">_xludf.XLOOKUP(A79,'QA Log'!D:D,'QA Log'!G:G,"")</f>
        <v>#NAME?</v>
      </c>
      <c r="F79" s="103"/>
      <c r="G79" s="104"/>
      <c r="H79" s="104"/>
      <c r="I79" s="103" t="str">
        <f t="shared" si="0"/>
        <v/>
      </c>
      <c r="J79" s="102"/>
      <c r="K79" s="102"/>
      <c r="L79" s="119" t="str">
        <f t="array" ref="L79">IF(OR($B79="",$D79=""),"",
IFERROR(
  INDEX(
    'Tools &amp; Targets_Guideline'!$C$54:$I$269,
    MATCH(
      1,
      ('Tools &amp; Targets_Guideline'!$A$54:$A$269=$B79)*
      ('Tools &amp; Targets_Guideline'!$B$54:$B$269="ANC"),
      0
    ),
    MATCH(
      _xludf.IFNA(
        VLOOKUP($D79,{"PH","Provincial Hospital (H2)";"DH","District Hospital (H3)";"RH","Regional / National Hospital (H1)"},2,0),
        $D79
      ),
      'Tools &amp; Targets_Guideline'!$C$53:$I$53,
      0
    )
  ),
0))</f>
        <v/>
      </c>
      <c r="M79" s="105"/>
      <c r="N79" s="119" t="str">
        <f t="array" ref="N79">IF(OR($B79="",$D79=""),"",
IFERROR(
  INDEX(
    'Tools &amp; Targets_Guideline'!$C$54:$I$269,
    MATCH(
      1,
      ('Tools &amp; Targets_Guideline'!$A$54:$A$269=$B79)*
      ('Tools &amp; Targets_Guideline'!$B$54:$B$269="PNC"),
      0
    ),
    MATCH(
      _xludf.IFNA(
        VLOOKUP($D79,{"PH","Provincial Hospital (H2)";"DH","District Hospital (H3)";"RH","Regional / National Hospital (H1)"},2,0),
        $D79
      ),
      'Tools &amp; Targets_Guideline'!$C$53:$I$53,
      0
    )
  ),
0))</f>
        <v/>
      </c>
      <c r="O79" s="105"/>
      <c r="P79" s="119" t="str">
        <f t="array" ref="P79">IF(OR($B79="",$D79=""),"",
IFERROR(
  INDEX(
    'Tools &amp; Targets_Guideline'!$C$54:$I$269,
    MATCH(
      1,
      ('Tools &amp; Targets_Guideline'!$A$54:$A$269=$B79)*
      ('Tools &amp; Targets_Guideline'!$B$54:$B$269="Delivery"),
      0
    ),
    MATCH(
      _xludf.IFNA(
        VLOOKUP($D79,{"PH","Provincial Hospital (H2)";"DH","District Hospital (H3)";"RH","Regional / National Hospital (H1)"},2,0),
        $D79
      ),
      'Tools &amp; Targets_Guideline'!$C$53:$I$53,
      0
    )
  ),
0))</f>
        <v/>
      </c>
      <c r="Q79" s="105"/>
      <c r="R79" s="119" t="str">
        <f t="array" ref="R79">IF(OR($B79="",$D79=""),"",
IFERROR(
  INDEX(
    'Tools &amp; Targets_Guideline'!$C$54:$I$269,
    MATCH(
      1,
      ('Tools &amp; Targets_Guideline'!$A$54:$A$269=$B79)*
      ('Tools &amp; Targets_Guideline'!$B$54:$B$269="TT"),
      0
    ),
    MATCH(
      _xludf.IFNA(
        VLOOKUP($D79,{"PH","Provincial Hospital (H2)";"DH","District Hospital (H3)";"RH","Regional / National Hospital (H1)"},2,0),
        $D79
      ),
      'Tools &amp; Targets_Guideline'!$C$53:$I$53,
      0
    )
  ),
0))</f>
        <v/>
      </c>
      <c r="S79" s="105"/>
      <c r="T79" s="102"/>
      <c r="U79" s="106"/>
      <c r="V79" s="102" t="str">
        <f t="shared" si="1"/>
        <v/>
      </c>
      <c r="W79" s="102"/>
      <c r="X79" s="102"/>
      <c r="Y79" s="119" t="str">
        <f t="array" ref="Y79">IF(OR($B79="",$D79=""),"",
IFERROR(
  INDEX(
    'Tools &amp; Targets_Guideline'!$C$54:$I$269,
    MATCH(
      1,
      ('Tools &amp; Targets_Guideline'!$A$54:$A$269=$B79)*
      ('Tools &amp; Targets_Guideline'!$B$54:$B$269="GM"),
      0
    ),
    MATCH(
      _xludf.IFNA(
        VLOOKUP($D79,{"PH","Provincial Hospital (H2)";"DH","District Hospital (H3)";"RH","Regional / National Hospital (H1)"},2,0),
        $D79
      ),
      'Tools &amp; Targets_Guideline'!$C$53:$I$53,
      0
    )
  ),
0))</f>
        <v/>
      </c>
      <c r="Z79" s="105"/>
      <c r="AA79" s="119" t="str">
        <f t="array" ref="AA79">IF(OR($B79="",$D79=""),"",
IFERROR(
  INDEX(
    'Tools &amp; Targets_Guideline'!$C$54:$I$269,
    MATCH(
      1,
      ('Tools &amp; Targets_Guideline'!$A$54:$A$269=$B79)*
      ('Tools &amp; Targets_Guideline'!$B$54:$B$269="Penta"),
      0
    ),
    MATCH(
      _xludf.IFNA(
        VLOOKUP($D79,{"PH","Provincial Hospital (H2)";"DH","District Hospital (H3)";"RH","Regional / National Hospital (H1)"},2,0),
        $D79
      ),
      'Tools &amp; Targets_Guideline'!$C$53:$I$53,
      0
    )
  ),
0))</f>
        <v/>
      </c>
      <c r="AB79" s="105"/>
      <c r="AC79" s="119" t="str">
        <f t="array" ref="AC79">IF(OR($B79="",$D79=""),"",
IFERROR(
  INDEX(
    'Tools &amp; Targets_Guideline'!$C$54:$I$269,
    MATCH(
      1,
      ('Tools &amp; Targets_Guideline'!$A$54:$A$269=$B79)*
      ('Tools &amp; Targets_Guideline'!$B$54:$B$269="TB"),
      0
    ),
    MATCH(
      _xludf.IFNA(
        VLOOKUP($D79,{"PH","Provincial Hospital (H2)";"DH","District Hospital (H3)";"RH","Regional / National Hospital (H1)"},2,0),
        $D79
      ),
      'Tools &amp; Targets_Guideline'!$C$53:$I$53,
      0
    )
  ),
0))</f>
        <v/>
      </c>
      <c r="AD79" s="105"/>
      <c r="AE79" s="119" t="str">
        <f t="array" ref="AE79">IF(OR($B79="",$D79=""),"",
IFERROR(
  INDEX(
    'Tools &amp; Targets_Guideline'!$C$54:$I$269,
    MATCH(
      1,
      ('Tools &amp; Targets_Guideline'!$A$54:$A$269=$B79)*
      ('Tools &amp; Targets_Guideline'!$B$54:$B$269="U5 Morbidity"),
      0
    ),
    MATCH(
      _xludf.IFNA(
        VLOOKUP($D79,{"PH","Provincial Hospital (H2)";"DH","District Hospital (H3)";"RH","Regional / National Hospital (H1)"},2,0),
        $D79
      ),
      'Tools &amp; Targets_Guideline'!$C$53:$I$53,
      0
    )
  ),
0))</f>
        <v/>
      </c>
      <c r="AF79" s="105"/>
      <c r="AG79" s="119" t="str">
        <f t="array" ref="AG79">IF(OR($B79="",$D79=""),"",
IFERROR(
  INDEX(
    'Tools &amp; Targets_Guideline'!$C$54:$I$269,
    MATCH(
      1,
      ('Tools &amp; Targets_Guideline'!$A$54:$A$269=$B79)*
      ('Tools &amp; Targets_Guideline'!$B$54:$B$269="C-Section"),
      0
    ),
    MATCH(
      _xludf.IFNA(
        VLOOKUP($D79,{"PH","Provincial Hospital (H2)";"DH","District Hospital (H3)";"RH","Regional / National Hospital (H1)"},2,0),
        $D79
      ),
      'Tools &amp; Targets_Guideline'!$C$53:$I$53,
      0
    )
  ),
0))</f>
        <v/>
      </c>
      <c r="AH79" s="105" t="str">
        <f>IF(A79&lt;&gt;"",COUNTIFS('QA Log'!D:D,A79,'QA Log'!M:M,"QQC",'QA Log'!L:L,"2. Hygiene and Sterilization",'QA Log'!Z:Z,"Approved"),"")</f>
        <v/>
      </c>
      <c r="AI79" s="102"/>
      <c r="AJ79" s="102"/>
      <c r="AK79" s="103" t="str">
        <f t="shared" si="2"/>
        <v/>
      </c>
      <c r="AL79" s="102"/>
      <c r="AM79" s="102"/>
      <c r="AN79" s="102"/>
      <c r="AO79" s="106"/>
      <c r="AP79" s="103"/>
      <c r="AQ79" s="102"/>
      <c r="AR79" s="102"/>
      <c r="AS79" s="102"/>
      <c r="AT79" s="107"/>
      <c r="AU79" s="102" t="str">
        <f t="shared" si="3"/>
        <v/>
      </c>
      <c r="AV79" s="102" t="str">
        <f t="shared" si="4"/>
        <v/>
      </c>
      <c r="AW79" s="102" t="str">
        <f t="shared" si="5"/>
        <v/>
      </c>
      <c r="AX79" s="102" t="str">
        <f t="shared" si="6"/>
        <v/>
      </c>
      <c r="AY79" s="107" t="str">
        <f t="shared" si="7"/>
        <v/>
      </c>
      <c r="AZ79" s="108" t="str">
        <f t="shared" si="8"/>
        <v/>
      </c>
      <c r="BA79" s="108" t="str">
        <f t="shared" si="9"/>
        <v/>
      </c>
      <c r="BB79" s="109" t="str">
        <f t="shared" si="10"/>
        <v/>
      </c>
      <c r="BC79" s="108" t="str">
        <f t="shared" si="11"/>
        <v/>
      </c>
      <c r="BD79" s="108" t="str">
        <f t="shared" si="12"/>
        <v/>
      </c>
      <c r="BE79" s="109" t="str">
        <f t="shared" si="13"/>
        <v/>
      </c>
      <c r="BF79" s="110" t="str">
        <f t="shared" si="14"/>
        <v/>
      </c>
      <c r="BG79" s="111"/>
    </row>
    <row r="80" spans="1:59" ht="12.75">
      <c r="A80" s="101"/>
      <c r="B80" s="102"/>
      <c r="C80" s="102" t="e">
        <f t="array" aca="1" ref="C80" ca="1">_xludf.XLOOKUP(A80,'QA Log'!D:D,'QA Log'!F:F,"")</f>
        <v>#NAME?</v>
      </c>
      <c r="D80" s="102"/>
      <c r="E80" s="102" t="e">
        <f t="array" aca="1" ref="E80" ca="1">_xludf.XLOOKUP(A80,'QA Log'!D:D,'QA Log'!G:G,"")</f>
        <v>#NAME?</v>
      </c>
      <c r="F80" s="103"/>
      <c r="G80" s="104"/>
      <c r="H80" s="104"/>
      <c r="I80" s="103" t="str">
        <f t="shared" si="0"/>
        <v/>
      </c>
      <c r="J80" s="102"/>
      <c r="K80" s="102"/>
      <c r="L80" s="119" t="str">
        <f t="array" ref="L80">IF(OR($B80="",$D80=""),"",
IFERROR(
  INDEX(
    'Tools &amp; Targets_Guideline'!$C$54:$I$269,
    MATCH(
      1,
      ('Tools &amp; Targets_Guideline'!$A$54:$A$269=$B80)*
      ('Tools &amp; Targets_Guideline'!$B$54:$B$269="ANC"),
      0
    ),
    MATCH(
      _xludf.IFNA(
        VLOOKUP($D80,{"PH","Provincial Hospital (H2)";"DH","District Hospital (H3)";"RH","Regional / National Hospital (H1)"},2,0),
        $D80
      ),
      'Tools &amp; Targets_Guideline'!$C$53:$I$53,
      0
    )
  ),
0))</f>
        <v/>
      </c>
      <c r="M80" s="105"/>
      <c r="N80" s="119" t="str">
        <f t="array" ref="N80">IF(OR($B80="",$D80=""),"",
IFERROR(
  INDEX(
    'Tools &amp; Targets_Guideline'!$C$54:$I$269,
    MATCH(
      1,
      ('Tools &amp; Targets_Guideline'!$A$54:$A$269=$B80)*
      ('Tools &amp; Targets_Guideline'!$B$54:$B$269="PNC"),
      0
    ),
    MATCH(
      _xludf.IFNA(
        VLOOKUP($D80,{"PH","Provincial Hospital (H2)";"DH","District Hospital (H3)";"RH","Regional / National Hospital (H1)"},2,0),
        $D80
      ),
      'Tools &amp; Targets_Guideline'!$C$53:$I$53,
      0
    )
  ),
0))</f>
        <v/>
      </c>
      <c r="O80" s="105"/>
      <c r="P80" s="119" t="str">
        <f t="array" ref="P80">IF(OR($B80="",$D80=""),"",
IFERROR(
  INDEX(
    'Tools &amp; Targets_Guideline'!$C$54:$I$269,
    MATCH(
      1,
      ('Tools &amp; Targets_Guideline'!$A$54:$A$269=$B80)*
      ('Tools &amp; Targets_Guideline'!$B$54:$B$269="Delivery"),
      0
    ),
    MATCH(
      _xludf.IFNA(
        VLOOKUP($D80,{"PH","Provincial Hospital (H2)";"DH","District Hospital (H3)";"RH","Regional / National Hospital (H1)"},2,0),
        $D80
      ),
      'Tools &amp; Targets_Guideline'!$C$53:$I$53,
      0
    )
  ),
0))</f>
        <v/>
      </c>
      <c r="Q80" s="105"/>
      <c r="R80" s="119" t="str">
        <f t="array" ref="R80">IF(OR($B80="",$D80=""),"",
IFERROR(
  INDEX(
    'Tools &amp; Targets_Guideline'!$C$54:$I$269,
    MATCH(
      1,
      ('Tools &amp; Targets_Guideline'!$A$54:$A$269=$B80)*
      ('Tools &amp; Targets_Guideline'!$B$54:$B$269="TT"),
      0
    ),
    MATCH(
      _xludf.IFNA(
        VLOOKUP($D80,{"PH","Provincial Hospital (H2)";"DH","District Hospital (H3)";"RH","Regional / National Hospital (H1)"},2,0),
        $D80
      ),
      'Tools &amp; Targets_Guideline'!$C$53:$I$53,
      0
    )
  ),
0))</f>
        <v/>
      </c>
      <c r="S80" s="105"/>
      <c r="T80" s="102"/>
      <c r="U80" s="106"/>
      <c r="V80" s="102" t="str">
        <f t="shared" si="1"/>
        <v/>
      </c>
      <c r="W80" s="102"/>
      <c r="X80" s="102"/>
      <c r="Y80" s="119" t="str">
        <f t="array" ref="Y80">IF(OR($B80="",$D80=""),"",
IFERROR(
  INDEX(
    'Tools &amp; Targets_Guideline'!$C$54:$I$269,
    MATCH(
      1,
      ('Tools &amp; Targets_Guideline'!$A$54:$A$269=$B80)*
      ('Tools &amp; Targets_Guideline'!$B$54:$B$269="GM"),
      0
    ),
    MATCH(
      _xludf.IFNA(
        VLOOKUP($D80,{"PH","Provincial Hospital (H2)";"DH","District Hospital (H3)";"RH","Regional / National Hospital (H1)"},2,0),
        $D80
      ),
      'Tools &amp; Targets_Guideline'!$C$53:$I$53,
      0
    )
  ),
0))</f>
        <v/>
      </c>
      <c r="Z80" s="105"/>
      <c r="AA80" s="119" t="str">
        <f t="array" ref="AA80">IF(OR($B80="",$D80=""),"",
IFERROR(
  INDEX(
    'Tools &amp; Targets_Guideline'!$C$54:$I$269,
    MATCH(
      1,
      ('Tools &amp; Targets_Guideline'!$A$54:$A$269=$B80)*
      ('Tools &amp; Targets_Guideline'!$B$54:$B$269="Penta"),
      0
    ),
    MATCH(
      _xludf.IFNA(
        VLOOKUP($D80,{"PH","Provincial Hospital (H2)";"DH","District Hospital (H3)";"RH","Regional / National Hospital (H1)"},2,0),
        $D80
      ),
      'Tools &amp; Targets_Guideline'!$C$53:$I$53,
      0
    )
  ),
0))</f>
        <v/>
      </c>
      <c r="AB80" s="105"/>
      <c r="AC80" s="119" t="str">
        <f t="array" ref="AC80">IF(OR($B80="",$D80=""),"",
IFERROR(
  INDEX(
    'Tools &amp; Targets_Guideline'!$C$54:$I$269,
    MATCH(
      1,
      ('Tools &amp; Targets_Guideline'!$A$54:$A$269=$B80)*
      ('Tools &amp; Targets_Guideline'!$B$54:$B$269="TB"),
      0
    ),
    MATCH(
      _xludf.IFNA(
        VLOOKUP($D80,{"PH","Provincial Hospital (H2)";"DH","District Hospital (H3)";"RH","Regional / National Hospital (H1)"},2,0),
        $D80
      ),
      'Tools &amp; Targets_Guideline'!$C$53:$I$53,
      0
    )
  ),
0))</f>
        <v/>
      </c>
      <c r="AD80" s="105"/>
      <c r="AE80" s="119" t="str">
        <f t="array" ref="AE80">IF(OR($B80="",$D80=""),"",
IFERROR(
  INDEX(
    'Tools &amp; Targets_Guideline'!$C$54:$I$269,
    MATCH(
      1,
      ('Tools &amp; Targets_Guideline'!$A$54:$A$269=$B80)*
      ('Tools &amp; Targets_Guideline'!$B$54:$B$269="U5 Morbidity"),
      0
    ),
    MATCH(
      _xludf.IFNA(
        VLOOKUP($D80,{"PH","Provincial Hospital (H2)";"DH","District Hospital (H3)";"RH","Regional / National Hospital (H1)"},2,0),
        $D80
      ),
      'Tools &amp; Targets_Guideline'!$C$53:$I$53,
      0
    )
  ),
0))</f>
        <v/>
      </c>
      <c r="AF80" s="105"/>
      <c r="AG80" s="119" t="str">
        <f t="array" ref="AG80">IF(OR($B80="",$D80=""),"",
IFERROR(
  INDEX(
    'Tools &amp; Targets_Guideline'!$C$54:$I$269,
    MATCH(
      1,
      ('Tools &amp; Targets_Guideline'!$A$54:$A$269=$B80)*
      ('Tools &amp; Targets_Guideline'!$B$54:$B$269="C-Section"),
      0
    ),
    MATCH(
      _xludf.IFNA(
        VLOOKUP($D80,{"PH","Provincial Hospital (H2)";"DH","District Hospital (H3)";"RH","Regional / National Hospital (H1)"},2,0),
        $D80
      ),
      'Tools &amp; Targets_Guideline'!$C$53:$I$53,
      0
    )
  ),
0))</f>
        <v/>
      </c>
      <c r="AH80" s="105" t="str">
        <f>IF(A80&lt;&gt;"",COUNTIFS('QA Log'!D:D,A80,'QA Log'!M:M,"QQC",'QA Log'!L:L,"2. Hygiene and Sterilization",'QA Log'!Z:Z,"Approved"),"")</f>
        <v/>
      </c>
      <c r="AI80" s="102"/>
      <c r="AJ80" s="102"/>
      <c r="AK80" s="103" t="str">
        <f t="shared" si="2"/>
        <v/>
      </c>
      <c r="AL80" s="102"/>
      <c r="AM80" s="102"/>
      <c r="AN80" s="102"/>
      <c r="AO80" s="106"/>
      <c r="AP80" s="103"/>
      <c r="AQ80" s="102"/>
      <c r="AR80" s="102"/>
      <c r="AS80" s="102"/>
      <c r="AT80" s="107"/>
      <c r="AU80" s="102" t="str">
        <f t="shared" si="3"/>
        <v/>
      </c>
      <c r="AV80" s="102" t="str">
        <f t="shared" si="4"/>
        <v/>
      </c>
      <c r="AW80" s="102" t="str">
        <f t="shared" si="5"/>
        <v/>
      </c>
      <c r="AX80" s="102" t="str">
        <f t="shared" si="6"/>
        <v/>
      </c>
      <c r="AY80" s="107" t="str">
        <f t="shared" si="7"/>
        <v/>
      </c>
      <c r="AZ80" s="108" t="str">
        <f t="shared" si="8"/>
        <v/>
      </c>
      <c r="BA80" s="108" t="str">
        <f t="shared" si="9"/>
        <v/>
      </c>
      <c r="BB80" s="109" t="str">
        <f t="shared" si="10"/>
        <v/>
      </c>
      <c r="BC80" s="108" t="str">
        <f t="shared" si="11"/>
        <v/>
      </c>
      <c r="BD80" s="108" t="str">
        <f t="shared" si="12"/>
        <v/>
      </c>
      <c r="BE80" s="109" t="str">
        <f t="shared" si="13"/>
        <v/>
      </c>
      <c r="BF80" s="110" t="str">
        <f t="shared" si="14"/>
        <v/>
      </c>
      <c r="BG80" s="111"/>
    </row>
    <row r="81" spans="1:59" ht="12.75">
      <c r="A81" s="101"/>
      <c r="B81" s="102"/>
      <c r="C81" s="102" t="e">
        <f t="array" aca="1" ref="C81" ca="1">_xludf.XLOOKUP(A81,'QA Log'!D:D,'QA Log'!F:F,"")</f>
        <v>#NAME?</v>
      </c>
      <c r="D81" s="102"/>
      <c r="E81" s="102" t="e">
        <f t="array" aca="1" ref="E81" ca="1">_xludf.XLOOKUP(A81,'QA Log'!D:D,'QA Log'!G:G,"")</f>
        <v>#NAME?</v>
      </c>
      <c r="F81" s="103"/>
      <c r="G81" s="104"/>
      <c r="H81" s="104"/>
      <c r="I81" s="103" t="str">
        <f t="shared" si="0"/>
        <v/>
      </c>
      <c r="J81" s="102"/>
      <c r="K81" s="102"/>
      <c r="L81" s="119" t="str">
        <f t="array" ref="L81">IF(OR($B81="",$D81=""),"",
IFERROR(
  INDEX(
    'Tools &amp; Targets_Guideline'!$C$54:$I$269,
    MATCH(
      1,
      ('Tools &amp; Targets_Guideline'!$A$54:$A$269=$B81)*
      ('Tools &amp; Targets_Guideline'!$B$54:$B$269="ANC"),
      0
    ),
    MATCH(
      _xludf.IFNA(
        VLOOKUP($D81,{"PH","Provincial Hospital (H2)";"DH","District Hospital (H3)";"RH","Regional / National Hospital (H1)"},2,0),
        $D81
      ),
      'Tools &amp; Targets_Guideline'!$C$53:$I$53,
      0
    )
  ),
0))</f>
        <v/>
      </c>
      <c r="M81" s="105"/>
      <c r="N81" s="119" t="str">
        <f t="array" ref="N81">IF(OR($B81="",$D81=""),"",
IFERROR(
  INDEX(
    'Tools &amp; Targets_Guideline'!$C$54:$I$269,
    MATCH(
      1,
      ('Tools &amp; Targets_Guideline'!$A$54:$A$269=$B81)*
      ('Tools &amp; Targets_Guideline'!$B$54:$B$269="PNC"),
      0
    ),
    MATCH(
      _xludf.IFNA(
        VLOOKUP($D81,{"PH","Provincial Hospital (H2)";"DH","District Hospital (H3)";"RH","Regional / National Hospital (H1)"},2,0),
        $D81
      ),
      'Tools &amp; Targets_Guideline'!$C$53:$I$53,
      0
    )
  ),
0))</f>
        <v/>
      </c>
      <c r="O81" s="105"/>
      <c r="P81" s="119" t="str">
        <f t="array" ref="P81">IF(OR($B81="",$D81=""),"",
IFERROR(
  INDEX(
    'Tools &amp; Targets_Guideline'!$C$54:$I$269,
    MATCH(
      1,
      ('Tools &amp; Targets_Guideline'!$A$54:$A$269=$B81)*
      ('Tools &amp; Targets_Guideline'!$B$54:$B$269="Delivery"),
      0
    ),
    MATCH(
      _xludf.IFNA(
        VLOOKUP($D81,{"PH","Provincial Hospital (H2)";"DH","District Hospital (H3)";"RH","Regional / National Hospital (H1)"},2,0),
        $D81
      ),
      'Tools &amp; Targets_Guideline'!$C$53:$I$53,
      0
    )
  ),
0))</f>
        <v/>
      </c>
      <c r="Q81" s="105"/>
      <c r="R81" s="119" t="str">
        <f t="array" ref="R81">IF(OR($B81="",$D81=""),"",
IFERROR(
  INDEX(
    'Tools &amp; Targets_Guideline'!$C$54:$I$269,
    MATCH(
      1,
      ('Tools &amp; Targets_Guideline'!$A$54:$A$269=$B81)*
      ('Tools &amp; Targets_Guideline'!$B$54:$B$269="TT"),
      0
    ),
    MATCH(
      _xludf.IFNA(
        VLOOKUP($D81,{"PH","Provincial Hospital (H2)";"DH","District Hospital (H3)";"RH","Regional / National Hospital (H1)"},2,0),
        $D81
      ),
      'Tools &amp; Targets_Guideline'!$C$53:$I$53,
      0
    )
  ),
0))</f>
        <v/>
      </c>
      <c r="S81" s="105"/>
      <c r="T81" s="102"/>
      <c r="U81" s="106"/>
      <c r="V81" s="102" t="str">
        <f t="shared" si="1"/>
        <v/>
      </c>
      <c r="W81" s="102"/>
      <c r="X81" s="102"/>
      <c r="Y81" s="119" t="str">
        <f t="array" ref="Y81">IF(OR($B81="",$D81=""),"",
IFERROR(
  INDEX(
    'Tools &amp; Targets_Guideline'!$C$54:$I$269,
    MATCH(
      1,
      ('Tools &amp; Targets_Guideline'!$A$54:$A$269=$B81)*
      ('Tools &amp; Targets_Guideline'!$B$54:$B$269="GM"),
      0
    ),
    MATCH(
      _xludf.IFNA(
        VLOOKUP($D81,{"PH","Provincial Hospital (H2)";"DH","District Hospital (H3)";"RH","Regional / National Hospital (H1)"},2,0),
        $D81
      ),
      'Tools &amp; Targets_Guideline'!$C$53:$I$53,
      0
    )
  ),
0))</f>
        <v/>
      </c>
      <c r="Z81" s="105"/>
      <c r="AA81" s="119" t="str">
        <f t="array" ref="AA81">IF(OR($B81="",$D81=""),"",
IFERROR(
  INDEX(
    'Tools &amp; Targets_Guideline'!$C$54:$I$269,
    MATCH(
      1,
      ('Tools &amp; Targets_Guideline'!$A$54:$A$269=$B81)*
      ('Tools &amp; Targets_Guideline'!$B$54:$B$269="Penta"),
      0
    ),
    MATCH(
      _xludf.IFNA(
        VLOOKUP($D81,{"PH","Provincial Hospital (H2)";"DH","District Hospital (H3)";"RH","Regional / National Hospital (H1)"},2,0),
        $D81
      ),
      'Tools &amp; Targets_Guideline'!$C$53:$I$53,
      0
    )
  ),
0))</f>
        <v/>
      </c>
      <c r="AB81" s="105"/>
      <c r="AC81" s="119" t="str">
        <f t="array" ref="AC81">IF(OR($B81="",$D81=""),"",
IFERROR(
  INDEX(
    'Tools &amp; Targets_Guideline'!$C$54:$I$269,
    MATCH(
      1,
      ('Tools &amp; Targets_Guideline'!$A$54:$A$269=$B81)*
      ('Tools &amp; Targets_Guideline'!$B$54:$B$269="TB"),
      0
    ),
    MATCH(
      _xludf.IFNA(
        VLOOKUP($D81,{"PH","Provincial Hospital (H2)";"DH","District Hospital (H3)";"RH","Regional / National Hospital (H1)"},2,0),
        $D81
      ),
      'Tools &amp; Targets_Guideline'!$C$53:$I$53,
      0
    )
  ),
0))</f>
        <v/>
      </c>
      <c r="AD81" s="105"/>
      <c r="AE81" s="119" t="str">
        <f t="array" ref="AE81">IF(OR($B81="",$D81=""),"",
IFERROR(
  INDEX(
    'Tools &amp; Targets_Guideline'!$C$54:$I$269,
    MATCH(
      1,
      ('Tools &amp; Targets_Guideline'!$A$54:$A$269=$B81)*
      ('Tools &amp; Targets_Guideline'!$B$54:$B$269="U5 Morbidity"),
      0
    ),
    MATCH(
      _xludf.IFNA(
        VLOOKUP($D81,{"PH","Provincial Hospital (H2)";"DH","District Hospital (H3)";"RH","Regional / National Hospital (H1)"},2,0),
        $D81
      ),
      'Tools &amp; Targets_Guideline'!$C$53:$I$53,
      0
    )
  ),
0))</f>
        <v/>
      </c>
      <c r="AF81" s="105"/>
      <c r="AG81" s="119" t="str">
        <f t="array" ref="AG81">IF(OR($B81="",$D81=""),"",
IFERROR(
  INDEX(
    'Tools &amp; Targets_Guideline'!$C$54:$I$269,
    MATCH(
      1,
      ('Tools &amp; Targets_Guideline'!$A$54:$A$269=$B81)*
      ('Tools &amp; Targets_Guideline'!$B$54:$B$269="C-Section"),
      0
    ),
    MATCH(
      _xludf.IFNA(
        VLOOKUP($D81,{"PH","Provincial Hospital (H2)";"DH","District Hospital (H3)";"RH","Regional / National Hospital (H1)"},2,0),
        $D81
      ),
      'Tools &amp; Targets_Guideline'!$C$53:$I$53,
      0
    )
  ),
0))</f>
        <v/>
      </c>
      <c r="AH81" s="105" t="str">
        <f>IF(A81&lt;&gt;"",COUNTIFS('QA Log'!D:D,A81,'QA Log'!M:M,"QQC",'QA Log'!L:L,"2. Hygiene and Sterilization",'QA Log'!Z:Z,"Approved"),"")</f>
        <v/>
      </c>
      <c r="AI81" s="102"/>
      <c r="AJ81" s="102"/>
      <c r="AK81" s="103" t="str">
        <f t="shared" si="2"/>
        <v/>
      </c>
      <c r="AL81" s="102"/>
      <c r="AM81" s="102"/>
      <c r="AN81" s="102"/>
      <c r="AO81" s="106"/>
      <c r="AP81" s="103"/>
      <c r="AQ81" s="102"/>
      <c r="AR81" s="102"/>
      <c r="AS81" s="102"/>
      <c r="AT81" s="107"/>
      <c r="AU81" s="102" t="str">
        <f t="shared" si="3"/>
        <v/>
      </c>
      <c r="AV81" s="102" t="str">
        <f t="shared" si="4"/>
        <v/>
      </c>
      <c r="AW81" s="102" t="str">
        <f t="shared" si="5"/>
        <v/>
      </c>
      <c r="AX81" s="102" t="str">
        <f t="shared" si="6"/>
        <v/>
      </c>
      <c r="AY81" s="107" t="str">
        <f t="shared" si="7"/>
        <v/>
      </c>
      <c r="AZ81" s="108" t="str">
        <f t="shared" si="8"/>
        <v/>
      </c>
      <c r="BA81" s="108" t="str">
        <f t="shared" si="9"/>
        <v/>
      </c>
      <c r="BB81" s="109" t="str">
        <f t="shared" si="10"/>
        <v/>
      </c>
      <c r="BC81" s="108" t="str">
        <f t="shared" si="11"/>
        <v/>
      </c>
      <c r="BD81" s="108" t="str">
        <f t="shared" si="12"/>
        <v/>
      </c>
      <c r="BE81" s="109" t="str">
        <f t="shared" si="13"/>
        <v/>
      </c>
      <c r="BF81" s="110" t="str">
        <f t="shared" si="14"/>
        <v/>
      </c>
      <c r="BG81" s="111"/>
    </row>
    <row r="82" spans="1:59" ht="12.75">
      <c r="A82" s="101"/>
      <c r="B82" s="102"/>
      <c r="C82" s="102" t="e">
        <f t="array" aca="1" ref="C82" ca="1">_xludf.XLOOKUP(A82,'QA Log'!D:D,'QA Log'!F:F,"")</f>
        <v>#NAME?</v>
      </c>
      <c r="D82" s="102"/>
      <c r="E82" s="102" t="e">
        <f t="array" aca="1" ref="E82" ca="1">_xludf.XLOOKUP(A82,'QA Log'!D:D,'QA Log'!G:G,"")</f>
        <v>#NAME?</v>
      </c>
      <c r="F82" s="103"/>
      <c r="G82" s="104"/>
      <c r="H82" s="104"/>
      <c r="I82" s="103" t="str">
        <f t="shared" si="0"/>
        <v/>
      </c>
      <c r="J82" s="102"/>
      <c r="K82" s="102"/>
      <c r="L82" s="119" t="str">
        <f t="array" ref="L82">IF(OR($B82="",$D82=""),"",
IFERROR(
  INDEX(
    'Tools &amp; Targets_Guideline'!$C$54:$I$269,
    MATCH(
      1,
      ('Tools &amp; Targets_Guideline'!$A$54:$A$269=$B82)*
      ('Tools &amp; Targets_Guideline'!$B$54:$B$269="ANC"),
      0
    ),
    MATCH(
      _xludf.IFNA(
        VLOOKUP($D82,{"PH","Provincial Hospital (H2)";"DH","District Hospital (H3)";"RH","Regional / National Hospital (H1)"},2,0),
        $D82
      ),
      'Tools &amp; Targets_Guideline'!$C$53:$I$53,
      0
    )
  ),
0))</f>
        <v/>
      </c>
      <c r="M82" s="105"/>
      <c r="N82" s="119" t="str">
        <f t="array" ref="N82">IF(OR($B82="",$D82=""),"",
IFERROR(
  INDEX(
    'Tools &amp; Targets_Guideline'!$C$54:$I$269,
    MATCH(
      1,
      ('Tools &amp; Targets_Guideline'!$A$54:$A$269=$B82)*
      ('Tools &amp; Targets_Guideline'!$B$54:$B$269="PNC"),
      0
    ),
    MATCH(
      _xludf.IFNA(
        VLOOKUP($D82,{"PH","Provincial Hospital (H2)";"DH","District Hospital (H3)";"RH","Regional / National Hospital (H1)"},2,0),
        $D82
      ),
      'Tools &amp; Targets_Guideline'!$C$53:$I$53,
      0
    )
  ),
0))</f>
        <v/>
      </c>
      <c r="O82" s="105"/>
      <c r="P82" s="119" t="str">
        <f t="array" ref="P82">IF(OR($B82="",$D82=""),"",
IFERROR(
  INDEX(
    'Tools &amp; Targets_Guideline'!$C$54:$I$269,
    MATCH(
      1,
      ('Tools &amp; Targets_Guideline'!$A$54:$A$269=$B82)*
      ('Tools &amp; Targets_Guideline'!$B$54:$B$269="Delivery"),
      0
    ),
    MATCH(
      _xludf.IFNA(
        VLOOKUP($D82,{"PH","Provincial Hospital (H2)";"DH","District Hospital (H3)";"RH","Regional / National Hospital (H1)"},2,0),
        $D82
      ),
      'Tools &amp; Targets_Guideline'!$C$53:$I$53,
      0
    )
  ),
0))</f>
        <v/>
      </c>
      <c r="Q82" s="105"/>
      <c r="R82" s="119" t="str">
        <f t="array" ref="R82">IF(OR($B82="",$D82=""),"",
IFERROR(
  INDEX(
    'Tools &amp; Targets_Guideline'!$C$54:$I$269,
    MATCH(
      1,
      ('Tools &amp; Targets_Guideline'!$A$54:$A$269=$B82)*
      ('Tools &amp; Targets_Guideline'!$B$54:$B$269="TT"),
      0
    ),
    MATCH(
      _xludf.IFNA(
        VLOOKUP($D82,{"PH","Provincial Hospital (H2)";"DH","District Hospital (H3)";"RH","Regional / National Hospital (H1)"},2,0),
        $D82
      ),
      'Tools &amp; Targets_Guideline'!$C$53:$I$53,
      0
    )
  ),
0))</f>
        <v/>
      </c>
      <c r="S82" s="105"/>
      <c r="T82" s="102"/>
      <c r="U82" s="106"/>
      <c r="V82" s="102" t="str">
        <f t="shared" si="1"/>
        <v/>
      </c>
      <c r="W82" s="102"/>
      <c r="X82" s="102"/>
      <c r="Y82" s="119" t="str">
        <f t="array" ref="Y82">IF(OR($B82="",$D82=""),"",
IFERROR(
  INDEX(
    'Tools &amp; Targets_Guideline'!$C$54:$I$269,
    MATCH(
      1,
      ('Tools &amp; Targets_Guideline'!$A$54:$A$269=$B82)*
      ('Tools &amp; Targets_Guideline'!$B$54:$B$269="GM"),
      0
    ),
    MATCH(
      _xludf.IFNA(
        VLOOKUP($D82,{"PH","Provincial Hospital (H2)";"DH","District Hospital (H3)";"RH","Regional / National Hospital (H1)"},2,0),
        $D82
      ),
      'Tools &amp; Targets_Guideline'!$C$53:$I$53,
      0
    )
  ),
0))</f>
        <v/>
      </c>
      <c r="Z82" s="105"/>
      <c r="AA82" s="119" t="str">
        <f t="array" ref="AA82">IF(OR($B82="",$D82=""),"",
IFERROR(
  INDEX(
    'Tools &amp; Targets_Guideline'!$C$54:$I$269,
    MATCH(
      1,
      ('Tools &amp; Targets_Guideline'!$A$54:$A$269=$B82)*
      ('Tools &amp; Targets_Guideline'!$B$54:$B$269="Penta"),
      0
    ),
    MATCH(
      _xludf.IFNA(
        VLOOKUP($D82,{"PH","Provincial Hospital (H2)";"DH","District Hospital (H3)";"RH","Regional / National Hospital (H1)"},2,0),
        $D82
      ),
      'Tools &amp; Targets_Guideline'!$C$53:$I$53,
      0
    )
  ),
0))</f>
        <v/>
      </c>
      <c r="AB82" s="105"/>
      <c r="AC82" s="119" t="str">
        <f t="array" ref="AC82">IF(OR($B82="",$D82=""),"",
IFERROR(
  INDEX(
    'Tools &amp; Targets_Guideline'!$C$54:$I$269,
    MATCH(
      1,
      ('Tools &amp; Targets_Guideline'!$A$54:$A$269=$B82)*
      ('Tools &amp; Targets_Guideline'!$B$54:$B$269="TB"),
      0
    ),
    MATCH(
      _xludf.IFNA(
        VLOOKUP($D82,{"PH","Provincial Hospital (H2)";"DH","District Hospital (H3)";"RH","Regional / National Hospital (H1)"},2,0),
        $D82
      ),
      'Tools &amp; Targets_Guideline'!$C$53:$I$53,
      0
    )
  ),
0))</f>
        <v/>
      </c>
      <c r="AD82" s="105"/>
      <c r="AE82" s="119" t="str">
        <f t="array" ref="AE82">IF(OR($B82="",$D82=""),"",
IFERROR(
  INDEX(
    'Tools &amp; Targets_Guideline'!$C$54:$I$269,
    MATCH(
      1,
      ('Tools &amp; Targets_Guideline'!$A$54:$A$269=$B82)*
      ('Tools &amp; Targets_Guideline'!$B$54:$B$269="U5 Morbidity"),
      0
    ),
    MATCH(
      _xludf.IFNA(
        VLOOKUP($D82,{"PH","Provincial Hospital (H2)";"DH","District Hospital (H3)";"RH","Regional / National Hospital (H1)"},2,0),
        $D82
      ),
      'Tools &amp; Targets_Guideline'!$C$53:$I$53,
      0
    )
  ),
0))</f>
        <v/>
      </c>
      <c r="AF82" s="105"/>
      <c r="AG82" s="119" t="str">
        <f t="array" ref="AG82">IF(OR($B82="",$D82=""),"",
IFERROR(
  INDEX(
    'Tools &amp; Targets_Guideline'!$C$54:$I$269,
    MATCH(
      1,
      ('Tools &amp; Targets_Guideline'!$A$54:$A$269=$B82)*
      ('Tools &amp; Targets_Guideline'!$B$54:$B$269="C-Section"),
      0
    ),
    MATCH(
      _xludf.IFNA(
        VLOOKUP($D82,{"PH","Provincial Hospital (H2)";"DH","District Hospital (H3)";"RH","Regional / National Hospital (H1)"},2,0),
        $D82
      ),
      'Tools &amp; Targets_Guideline'!$C$53:$I$53,
      0
    )
  ),
0))</f>
        <v/>
      </c>
      <c r="AH82" s="105" t="str">
        <f>IF(A82&lt;&gt;"",COUNTIFS('QA Log'!D:D,A82,'QA Log'!M:M,"QQC",'QA Log'!L:L,"2. Hygiene and Sterilization",'QA Log'!Z:Z,"Approved"),"")</f>
        <v/>
      </c>
      <c r="AI82" s="102"/>
      <c r="AJ82" s="102"/>
      <c r="AK82" s="103" t="str">
        <f t="shared" si="2"/>
        <v/>
      </c>
      <c r="AL82" s="102"/>
      <c r="AM82" s="102"/>
      <c r="AN82" s="102"/>
      <c r="AO82" s="106"/>
      <c r="AP82" s="103"/>
      <c r="AQ82" s="102"/>
      <c r="AR82" s="102"/>
      <c r="AS82" s="102"/>
      <c r="AT82" s="107"/>
      <c r="AU82" s="102" t="str">
        <f t="shared" si="3"/>
        <v/>
      </c>
      <c r="AV82" s="102" t="str">
        <f t="shared" si="4"/>
        <v/>
      </c>
      <c r="AW82" s="102" t="str">
        <f t="shared" si="5"/>
        <v/>
      </c>
      <c r="AX82" s="102" t="str">
        <f t="shared" si="6"/>
        <v/>
      </c>
      <c r="AY82" s="107" t="str">
        <f t="shared" si="7"/>
        <v/>
      </c>
      <c r="AZ82" s="108" t="str">
        <f t="shared" si="8"/>
        <v/>
      </c>
      <c r="BA82" s="108" t="str">
        <f t="shared" si="9"/>
        <v/>
      </c>
      <c r="BB82" s="109" t="str">
        <f t="shared" si="10"/>
        <v/>
      </c>
      <c r="BC82" s="108" t="str">
        <f t="shared" si="11"/>
        <v/>
      </c>
      <c r="BD82" s="108" t="str">
        <f t="shared" si="12"/>
        <v/>
      </c>
      <c r="BE82" s="109" t="str">
        <f t="shared" si="13"/>
        <v/>
      </c>
      <c r="BF82" s="110" t="str">
        <f t="shared" si="14"/>
        <v/>
      </c>
      <c r="BG82" s="111"/>
    </row>
    <row r="83" spans="1:59" ht="12.75">
      <c r="A83" s="101"/>
      <c r="B83" s="102"/>
      <c r="C83" s="102" t="e">
        <f t="array" aca="1" ref="C83" ca="1">_xludf.XLOOKUP(A83,'QA Log'!D:D,'QA Log'!F:F,"")</f>
        <v>#NAME?</v>
      </c>
      <c r="D83" s="102"/>
      <c r="E83" s="102" t="e">
        <f t="array" aca="1" ref="E83" ca="1">_xludf.XLOOKUP(A83,'QA Log'!D:D,'QA Log'!G:G,"")</f>
        <v>#NAME?</v>
      </c>
      <c r="F83" s="103"/>
      <c r="G83" s="104"/>
      <c r="H83" s="104"/>
      <c r="I83" s="103" t="str">
        <f t="shared" si="0"/>
        <v/>
      </c>
      <c r="J83" s="102"/>
      <c r="K83" s="102"/>
      <c r="L83" s="119" t="str">
        <f t="array" ref="L83">IF(OR($B83="",$D83=""),"",
IFERROR(
  INDEX(
    'Tools &amp; Targets_Guideline'!$C$54:$I$269,
    MATCH(
      1,
      ('Tools &amp; Targets_Guideline'!$A$54:$A$269=$B83)*
      ('Tools &amp; Targets_Guideline'!$B$54:$B$269="ANC"),
      0
    ),
    MATCH(
      _xludf.IFNA(
        VLOOKUP($D83,{"PH","Provincial Hospital (H2)";"DH","District Hospital (H3)";"RH","Regional / National Hospital (H1)"},2,0),
        $D83
      ),
      'Tools &amp; Targets_Guideline'!$C$53:$I$53,
      0
    )
  ),
0))</f>
        <v/>
      </c>
      <c r="M83" s="105"/>
      <c r="N83" s="119" t="str">
        <f t="array" ref="N83">IF(OR($B83="",$D83=""),"",
IFERROR(
  INDEX(
    'Tools &amp; Targets_Guideline'!$C$54:$I$269,
    MATCH(
      1,
      ('Tools &amp; Targets_Guideline'!$A$54:$A$269=$B83)*
      ('Tools &amp; Targets_Guideline'!$B$54:$B$269="PNC"),
      0
    ),
    MATCH(
      _xludf.IFNA(
        VLOOKUP($D83,{"PH","Provincial Hospital (H2)";"DH","District Hospital (H3)";"RH","Regional / National Hospital (H1)"},2,0),
        $D83
      ),
      'Tools &amp; Targets_Guideline'!$C$53:$I$53,
      0
    )
  ),
0))</f>
        <v/>
      </c>
      <c r="O83" s="105"/>
      <c r="P83" s="119" t="str">
        <f t="array" ref="P83">IF(OR($B83="",$D83=""),"",
IFERROR(
  INDEX(
    'Tools &amp; Targets_Guideline'!$C$54:$I$269,
    MATCH(
      1,
      ('Tools &amp; Targets_Guideline'!$A$54:$A$269=$B83)*
      ('Tools &amp; Targets_Guideline'!$B$54:$B$269="Delivery"),
      0
    ),
    MATCH(
      _xludf.IFNA(
        VLOOKUP($D83,{"PH","Provincial Hospital (H2)";"DH","District Hospital (H3)";"RH","Regional / National Hospital (H1)"},2,0),
        $D83
      ),
      'Tools &amp; Targets_Guideline'!$C$53:$I$53,
      0
    )
  ),
0))</f>
        <v/>
      </c>
      <c r="Q83" s="105"/>
      <c r="R83" s="119" t="str">
        <f t="array" ref="R83">IF(OR($B83="",$D83=""),"",
IFERROR(
  INDEX(
    'Tools &amp; Targets_Guideline'!$C$54:$I$269,
    MATCH(
      1,
      ('Tools &amp; Targets_Guideline'!$A$54:$A$269=$B83)*
      ('Tools &amp; Targets_Guideline'!$B$54:$B$269="TT"),
      0
    ),
    MATCH(
      _xludf.IFNA(
        VLOOKUP($D83,{"PH","Provincial Hospital (H2)";"DH","District Hospital (H3)";"RH","Regional / National Hospital (H1)"},2,0),
        $D83
      ),
      'Tools &amp; Targets_Guideline'!$C$53:$I$53,
      0
    )
  ),
0))</f>
        <v/>
      </c>
      <c r="S83" s="105"/>
      <c r="T83" s="102"/>
      <c r="U83" s="106"/>
      <c r="V83" s="102" t="str">
        <f t="shared" si="1"/>
        <v/>
      </c>
      <c r="W83" s="102"/>
      <c r="X83" s="102"/>
      <c r="Y83" s="119" t="str">
        <f t="array" ref="Y83">IF(OR($B83="",$D83=""),"",
IFERROR(
  INDEX(
    'Tools &amp; Targets_Guideline'!$C$54:$I$269,
    MATCH(
      1,
      ('Tools &amp; Targets_Guideline'!$A$54:$A$269=$B83)*
      ('Tools &amp; Targets_Guideline'!$B$54:$B$269="GM"),
      0
    ),
    MATCH(
      _xludf.IFNA(
        VLOOKUP($D83,{"PH","Provincial Hospital (H2)";"DH","District Hospital (H3)";"RH","Regional / National Hospital (H1)"},2,0),
        $D83
      ),
      'Tools &amp; Targets_Guideline'!$C$53:$I$53,
      0
    )
  ),
0))</f>
        <v/>
      </c>
      <c r="Z83" s="105"/>
      <c r="AA83" s="119" t="str">
        <f t="array" ref="AA83">IF(OR($B83="",$D83=""),"",
IFERROR(
  INDEX(
    'Tools &amp; Targets_Guideline'!$C$54:$I$269,
    MATCH(
      1,
      ('Tools &amp; Targets_Guideline'!$A$54:$A$269=$B83)*
      ('Tools &amp; Targets_Guideline'!$B$54:$B$269="Penta"),
      0
    ),
    MATCH(
      _xludf.IFNA(
        VLOOKUP($D83,{"PH","Provincial Hospital (H2)";"DH","District Hospital (H3)";"RH","Regional / National Hospital (H1)"},2,0),
        $D83
      ),
      'Tools &amp; Targets_Guideline'!$C$53:$I$53,
      0
    )
  ),
0))</f>
        <v/>
      </c>
      <c r="AB83" s="105"/>
      <c r="AC83" s="119" t="str">
        <f t="array" ref="AC83">IF(OR($B83="",$D83=""),"",
IFERROR(
  INDEX(
    'Tools &amp; Targets_Guideline'!$C$54:$I$269,
    MATCH(
      1,
      ('Tools &amp; Targets_Guideline'!$A$54:$A$269=$B83)*
      ('Tools &amp; Targets_Guideline'!$B$54:$B$269="TB"),
      0
    ),
    MATCH(
      _xludf.IFNA(
        VLOOKUP($D83,{"PH","Provincial Hospital (H2)";"DH","District Hospital (H3)";"RH","Regional / National Hospital (H1)"},2,0),
        $D83
      ),
      'Tools &amp; Targets_Guideline'!$C$53:$I$53,
      0
    )
  ),
0))</f>
        <v/>
      </c>
      <c r="AD83" s="105"/>
      <c r="AE83" s="119" t="str">
        <f t="array" ref="AE83">IF(OR($B83="",$D83=""),"",
IFERROR(
  INDEX(
    'Tools &amp; Targets_Guideline'!$C$54:$I$269,
    MATCH(
      1,
      ('Tools &amp; Targets_Guideline'!$A$54:$A$269=$B83)*
      ('Tools &amp; Targets_Guideline'!$B$54:$B$269="U5 Morbidity"),
      0
    ),
    MATCH(
      _xludf.IFNA(
        VLOOKUP($D83,{"PH","Provincial Hospital (H2)";"DH","District Hospital (H3)";"RH","Regional / National Hospital (H1)"},2,0),
        $D83
      ),
      'Tools &amp; Targets_Guideline'!$C$53:$I$53,
      0
    )
  ),
0))</f>
        <v/>
      </c>
      <c r="AF83" s="105"/>
      <c r="AG83" s="119" t="str">
        <f t="array" ref="AG83">IF(OR($B83="",$D83=""),"",
IFERROR(
  INDEX(
    'Tools &amp; Targets_Guideline'!$C$54:$I$269,
    MATCH(
      1,
      ('Tools &amp; Targets_Guideline'!$A$54:$A$269=$B83)*
      ('Tools &amp; Targets_Guideline'!$B$54:$B$269="C-Section"),
      0
    ),
    MATCH(
      _xludf.IFNA(
        VLOOKUP($D83,{"PH","Provincial Hospital (H2)";"DH","District Hospital (H3)";"RH","Regional / National Hospital (H1)"},2,0),
        $D83
      ),
      'Tools &amp; Targets_Guideline'!$C$53:$I$53,
      0
    )
  ),
0))</f>
        <v/>
      </c>
      <c r="AH83" s="105" t="str">
        <f>IF(A83&lt;&gt;"",COUNTIFS('QA Log'!D:D,A83,'QA Log'!M:M,"QQC",'QA Log'!L:L,"2. Hygiene and Sterilization",'QA Log'!Z:Z,"Approved"),"")</f>
        <v/>
      </c>
      <c r="AI83" s="102"/>
      <c r="AJ83" s="102"/>
      <c r="AK83" s="103" t="str">
        <f t="shared" si="2"/>
        <v/>
      </c>
      <c r="AL83" s="102"/>
      <c r="AM83" s="102"/>
      <c r="AN83" s="102"/>
      <c r="AO83" s="106"/>
      <c r="AP83" s="103"/>
      <c r="AQ83" s="102"/>
      <c r="AR83" s="102"/>
      <c r="AS83" s="102"/>
      <c r="AT83" s="107"/>
      <c r="AU83" s="102" t="str">
        <f t="shared" si="3"/>
        <v/>
      </c>
      <c r="AV83" s="102" t="str">
        <f t="shared" si="4"/>
        <v/>
      </c>
      <c r="AW83" s="102" t="str">
        <f t="shared" si="5"/>
        <v/>
      </c>
      <c r="AX83" s="102" t="str">
        <f t="shared" si="6"/>
        <v/>
      </c>
      <c r="AY83" s="107" t="str">
        <f t="shared" si="7"/>
        <v/>
      </c>
      <c r="AZ83" s="108" t="str">
        <f t="shared" si="8"/>
        <v/>
      </c>
      <c r="BA83" s="108" t="str">
        <f t="shared" si="9"/>
        <v/>
      </c>
      <c r="BB83" s="109" t="str">
        <f t="shared" si="10"/>
        <v/>
      </c>
      <c r="BC83" s="108" t="str">
        <f t="shared" si="11"/>
        <v/>
      </c>
      <c r="BD83" s="108" t="str">
        <f t="shared" si="12"/>
        <v/>
      </c>
      <c r="BE83" s="109" t="str">
        <f t="shared" si="13"/>
        <v/>
      </c>
      <c r="BF83" s="110" t="str">
        <f t="shared" si="14"/>
        <v/>
      </c>
      <c r="BG83" s="111"/>
    </row>
    <row r="84" spans="1:59" ht="12.75">
      <c r="A84" s="101"/>
      <c r="B84" s="102"/>
      <c r="C84" s="102" t="e">
        <f t="array" aca="1" ref="C84" ca="1">_xludf.XLOOKUP(A84,'QA Log'!D:D,'QA Log'!F:F,"")</f>
        <v>#NAME?</v>
      </c>
      <c r="D84" s="102"/>
      <c r="E84" s="102" t="e">
        <f t="array" aca="1" ref="E84" ca="1">_xludf.XLOOKUP(A84,'QA Log'!D:D,'QA Log'!G:G,"")</f>
        <v>#NAME?</v>
      </c>
      <c r="F84" s="103"/>
      <c r="G84" s="104"/>
      <c r="H84" s="104"/>
      <c r="I84" s="103" t="str">
        <f t="shared" si="0"/>
        <v/>
      </c>
      <c r="J84" s="102"/>
      <c r="K84" s="102"/>
      <c r="L84" s="119" t="str">
        <f t="array" ref="L84">IF(OR($B84="",$D84=""),"",
IFERROR(
  INDEX(
    'Tools &amp; Targets_Guideline'!$C$54:$I$269,
    MATCH(
      1,
      ('Tools &amp; Targets_Guideline'!$A$54:$A$269=$B84)*
      ('Tools &amp; Targets_Guideline'!$B$54:$B$269="ANC"),
      0
    ),
    MATCH(
      _xludf.IFNA(
        VLOOKUP($D84,{"PH","Provincial Hospital (H2)";"DH","District Hospital (H3)";"RH","Regional / National Hospital (H1)"},2,0),
        $D84
      ),
      'Tools &amp; Targets_Guideline'!$C$53:$I$53,
      0
    )
  ),
0))</f>
        <v/>
      </c>
      <c r="M84" s="105"/>
      <c r="N84" s="119" t="str">
        <f t="array" ref="N84">IF(OR($B84="",$D84=""),"",
IFERROR(
  INDEX(
    'Tools &amp; Targets_Guideline'!$C$54:$I$269,
    MATCH(
      1,
      ('Tools &amp; Targets_Guideline'!$A$54:$A$269=$B84)*
      ('Tools &amp; Targets_Guideline'!$B$54:$B$269="PNC"),
      0
    ),
    MATCH(
      _xludf.IFNA(
        VLOOKUP($D84,{"PH","Provincial Hospital (H2)";"DH","District Hospital (H3)";"RH","Regional / National Hospital (H1)"},2,0),
        $D84
      ),
      'Tools &amp; Targets_Guideline'!$C$53:$I$53,
      0
    )
  ),
0))</f>
        <v/>
      </c>
      <c r="O84" s="105"/>
      <c r="P84" s="119" t="str">
        <f t="array" ref="P84">IF(OR($B84="",$D84=""),"",
IFERROR(
  INDEX(
    'Tools &amp; Targets_Guideline'!$C$54:$I$269,
    MATCH(
      1,
      ('Tools &amp; Targets_Guideline'!$A$54:$A$269=$B84)*
      ('Tools &amp; Targets_Guideline'!$B$54:$B$269="Delivery"),
      0
    ),
    MATCH(
      _xludf.IFNA(
        VLOOKUP($D84,{"PH","Provincial Hospital (H2)";"DH","District Hospital (H3)";"RH","Regional / National Hospital (H1)"},2,0),
        $D84
      ),
      'Tools &amp; Targets_Guideline'!$C$53:$I$53,
      0
    )
  ),
0))</f>
        <v/>
      </c>
      <c r="Q84" s="105"/>
      <c r="R84" s="119" t="str">
        <f t="array" ref="R84">IF(OR($B84="",$D84=""),"",
IFERROR(
  INDEX(
    'Tools &amp; Targets_Guideline'!$C$54:$I$269,
    MATCH(
      1,
      ('Tools &amp; Targets_Guideline'!$A$54:$A$269=$B84)*
      ('Tools &amp; Targets_Guideline'!$B$54:$B$269="TT"),
      0
    ),
    MATCH(
      _xludf.IFNA(
        VLOOKUP($D84,{"PH","Provincial Hospital (H2)";"DH","District Hospital (H3)";"RH","Regional / National Hospital (H1)"},2,0),
        $D84
      ),
      'Tools &amp; Targets_Guideline'!$C$53:$I$53,
      0
    )
  ),
0))</f>
        <v/>
      </c>
      <c r="S84" s="105"/>
      <c r="T84" s="102"/>
      <c r="U84" s="106"/>
      <c r="V84" s="102" t="str">
        <f t="shared" si="1"/>
        <v/>
      </c>
      <c r="W84" s="102"/>
      <c r="X84" s="102"/>
      <c r="Y84" s="119" t="str">
        <f t="array" ref="Y84">IF(OR($B84="",$D84=""),"",
IFERROR(
  INDEX(
    'Tools &amp; Targets_Guideline'!$C$54:$I$269,
    MATCH(
      1,
      ('Tools &amp; Targets_Guideline'!$A$54:$A$269=$B84)*
      ('Tools &amp; Targets_Guideline'!$B$54:$B$269="GM"),
      0
    ),
    MATCH(
      _xludf.IFNA(
        VLOOKUP($D84,{"PH","Provincial Hospital (H2)";"DH","District Hospital (H3)";"RH","Regional / National Hospital (H1)"},2,0),
        $D84
      ),
      'Tools &amp; Targets_Guideline'!$C$53:$I$53,
      0
    )
  ),
0))</f>
        <v/>
      </c>
      <c r="Z84" s="105"/>
      <c r="AA84" s="119" t="str">
        <f t="array" ref="AA84">IF(OR($B84="",$D84=""),"",
IFERROR(
  INDEX(
    'Tools &amp; Targets_Guideline'!$C$54:$I$269,
    MATCH(
      1,
      ('Tools &amp; Targets_Guideline'!$A$54:$A$269=$B84)*
      ('Tools &amp; Targets_Guideline'!$B$54:$B$269="Penta"),
      0
    ),
    MATCH(
      _xludf.IFNA(
        VLOOKUP($D84,{"PH","Provincial Hospital (H2)";"DH","District Hospital (H3)";"RH","Regional / National Hospital (H1)"},2,0),
        $D84
      ),
      'Tools &amp; Targets_Guideline'!$C$53:$I$53,
      0
    )
  ),
0))</f>
        <v/>
      </c>
      <c r="AB84" s="105"/>
      <c r="AC84" s="119" t="str">
        <f t="array" ref="AC84">IF(OR($B84="",$D84=""),"",
IFERROR(
  INDEX(
    'Tools &amp; Targets_Guideline'!$C$54:$I$269,
    MATCH(
      1,
      ('Tools &amp; Targets_Guideline'!$A$54:$A$269=$B84)*
      ('Tools &amp; Targets_Guideline'!$B$54:$B$269="TB"),
      0
    ),
    MATCH(
      _xludf.IFNA(
        VLOOKUP($D84,{"PH","Provincial Hospital (H2)";"DH","District Hospital (H3)";"RH","Regional / National Hospital (H1)"},2,0),
        $D84
      ),
      'Tools &amp; Targets_Guideline'!$C$53:$I$53,
      0
    )
  ),
0))</f>
        <v/>
      </c>
      <c r="AD84" s="105"/>
      <c r="AE84" s="119" t="str">
        <f t="array" ref="AE84">IF(OR($B84="",$D84=""),"",
IFERROR(
  INDEX(
    'Tools &amp; Targets_Guideline'!$C$54:$I$269,
    MATCH(
      1,
      ('Tools &amp; Targets_Guideline'!$A$54:$A$269=$B84)*
      ('Tools &amp; Targets_Guideline'!$B$54:$B$269="U5 Morbidity"),
      0
    ),
    MATCH(
      _xludf.IFNA(
        VLOOKUP($D84,{"PH","Provincial Hospital (H2)";"DH","District Hospital (H3)";"RH","Regional / National Hospital (H1)"},2,0),
        $D84
      ),
      'Tools &amp; Targets_Guideline'!$C$53:$I$53,
      0
    )
  ),
0))</f>
        <v/>
      </c>
      <c r="AF84" s="105"/>
      <c r="AG84" s="119" t="str">
        <f t="array" ref="AG84">IF(OR($B84="",$D84=""),"",
IFERROR(
  INDEX(
    'Tools &amp; Targets_Guideline'!$C$54:$I$269,
    MATCH(
      1,
      ('Tools &amp; Targets_Guideline'!$A$54:$A$269=$B84)*
      ('Tools &amp; Targets_Guideline'!$B$54:$B$269="C-Section"),
      0
    ),
    MATCH(
      _xludf.IFNA(
        VLOOKUP($D84,{"PH","Provincial Hospital (H2)";"DH","District Hospital (H3)";"RH","Regional / National Hospital (H1)"},2,0),
        $D84
      ),
      'Tools &amp; Targets_Guideline'!$C$53:$I$53,
      0
    )
  ),
0))</f>
        <v/>
      </c>
      <c r="AH84" s="105" t="str">
        <f>IF(A84&lt;&gt;"",COUNTIFS('QA Log'!D:D,A84,'QA Log'!M:M,"QQC",'QA Log'!L:L,"2. Hygiene and Sterilization",'QA Log'!Z:Z,"Approved"),"")</f>
        <v/>
      </c>
      <c r="AI84" s="102"/>
      <c r="AJ84" s="102"/>
      <c r="AK84" s="103" t="str">
        <f t="shared" si="2"/>
        <v/>
      </c>
      <c r="AL84" s="102"/>
      <c r="AM84" s="102"/>
      <c r="AN84" s="102"/>
      <c r="AO84" s="106"/>
      <c r="AP84" s="103"/>
      <c r="AQ84" s="102"/>
      <c r="AR84" s="102"/>
      <c r="AS84" s="102"/>
      <c r="AT84" s="107"/>
      <c r="AU84" s="102" t="str">
        <f t="shared" si="3"/>
        <v/>
      </c>
      <c r="AV84" s="102" t="str">
        <f t="shared" si="4"/>
        <v/>
      </c>
      <c r="AW84" s="102" t="str">
        <f t="shared" si="5"/>
        <v/>
      </c>
      <c r="AX84" s="102" t="str">
        <f t="shared" si="6"/>
        <v/>
      </c>
      <c r="AY84" s="107" t="str">
        <f t="shared" si="7"/>
        <v/>
      </c>
      <c r="AZ84" s="108" t="str">
        <f t="shared" si="8"/>
        <v/>
      </c>
      <c r="BA84" s="108" t="str">
        <f t="shared" si="9"/>
        <v/>
      </c>
      <c r="BB84" s="109" t="str">
        <f t="shared" si="10"/>
        <v/>
      </c>
      <c r="BC84" s="108" t="str">
        <f t="shared" si="11"/>
        <v/>
      </c>
      <c r="BD84" s="108" t="str">
        <f t="shared" si="12"/>
        <v/>
      </c>
      <c r="BE84" s="109" t="str">
        <f t="shared" si="13"/>
        <v/>
      </c>
      <c r="BF84" s="110" t="str">
        <f t="shared" si="14"/>
        <v/>
      </c>
      <c r="BG84" s="111"/>
    </row>
    <row r="85" spans="1:59" ht="12.75">
      <c r="A85" s="101"/>
      <c r="B85" s="102"/>
      <c r="C85" s="102" t="e">
        <f t="array" aca="1" ref="C85" ca="1">_xludf.XLOOKUP(A85,'QA Log'!D:D,'QA Log'!F:F,"")</f>
        <v>#NAME?</v>
      </c>
      <c r="D85" s="102"/>
      <c r="E85" s="102" t="e">
        <f t="array" aca="1" ref="E85" ca="1">_xludf.XLOOKUP(A85,'QA Log'!D:D,'QA Log'!G:G,"")</f>
        <v>#NAME?</v>
      </c>
      <c r="F85" s="103"/>
      <c r="G85" s="104"/>
      <c r="H85" s="104"/>
      <c r="I85" s="103" t="str">
        <f t="shared" si="0"/>
        <v/>
      </c>
      <c r="J85" s="102"/>
      <c r="K85" s="102"/>
      <c r="L85" s="119" t="str">
        <f t="array" ref="L85">IF(OR($B85="",$D85=""),"",
IFERROR(
  INDEX(
    'Tools &amp; Targets_Guideline'!$C$54:$I$269,
    MATCH(
      1,
      ('Tools &amp; Targets_Guideline'!$A$54:$A$269=$B85)*
      ('Tools &amp; Targets_Guideline'!$B$54:$B$269="ANC"),
      0
    ),
    MATCH(
      _xludf.IFNA(
        VLOOKUP($D85,{"PH","Provincial Hospital (H2)";"DH","District Hospital (H3)";"RH","Regional / National Hospital (H1)"},2,0),
        $D85
      ),
      'Tools &amp; Targets_Guideline'!$C$53:$I$53,
      0
    )
  ),
0))</f>
        <v/>
      </c>
      <c r="M85" s="105"/>
      <c r="N85" s="119" t="str">
        <f t="array" ref="N85">IF(OR($B85="",$D85=""),"",
IFERROR(
  INDEX(
    'Tools &amp; Targets_Guideline'!$C$54:$I$269,
    MATCH(
      1,
      ('Tools &amp; Targets_Guideline'!$A$54:$A$269=$B85)*
      ('Tools &amp; Targets_Guideline'!$B$54:$B$269="PNC"),
      0
    ),
    MATCH(
      _xludf.IFNA(
        VLOOKUP($D85,{"PH","Provincial Hospital (H2)";"DH","District Hospital (H3)";"RH","Regional / National Hospital (H1)"},2,0),
        $D85
      ),
      'Tools &amp; Targets_Guideline'!$C$53:$I$53,
      0
    )
  ),
0))</f>
        <v/>
      </c>
      <c r="O85" s="105"/>
      <c r="P85" s="119" t="str">
        <f t="array" ref="P85">IF(OR($B85="",$D85=""),"",
IFERROR(
  INDEX(
    'Tools &amp; Targets_Guideline'!$C$54:$I$269,
    MATCH(
      1,
      ('Tools &amp; Targets_Guideline'!$A$54:$A$269=$B85)*
      ('Tools &amp; Targets_Guideline'!$B$54:$B$269="Delivery"),
      0
    ),
    MATCH(
      _xludf.IFNA(
        VLOOKUP($D85,{"PH","Provincial Hospital (H2)";"DH","District Hospital (H3)";"RH","Regional / National Hospital (H1)"},2,0),
        $D85
      ),
      'Tools &amp; Targets_Guideline'!$C$53:$I$53,
      0
    )
  ),
0))</f>
        <v/>
      </c>
      <c r="Q85" s="105"/>
      <c r="R85" s="119" t="str">
        <f t="array" ref="R85">IF(OR($B85="",$D85=""),"",
IFERROR(
  INDEX(
    'Tools &amp; Targets_Guideline'!$C$54:$I$269,
    MATCH(
      1,
      ('Tools &amp; Targets_Guideline'!$A$54:$A$269=$B85)*
      ('Tools &amp; Targets_Guideline'!$B$54:$B$269="TT"),
      0
    ),
    MATCH(
      _xludf.IFNA(
        VLOOKUP($D85,{"PH","Provincial Hospital (H2)";"DH","District Hospital (H3)";"RH","Regional / National Hospital (H1)"},2,0),
        $D85
      ),
      'Tools &amp; Targets_Guideline'!$C$53:$I$53,
      0
    )
  ),
0))</f>
        <v/>
      </c>
      <c r="S85" s="105"/>
      <c r="T85" s="102"/>
      <c r="U85" s="106"/>
      <c r="V85" s="102" t="str">
        <f t="shared" si="1"/>
        <v/>
      </c>
      <c r="W85" s="102"/>
      <c r="X85" s="102"/>
      <c r="Y85" s="119" t="str">
        <f t="array" ref="Y85">IF(OR($B85="",$D85=""),"",
IFERROR(
  INDEX(
    'Tools &amp; Targets_Guideline'!$C$54:$I$269,
    MATCH(
      1,
      ('Tools &amp; Targets_Guideline'!$A$54:$A$269=$B85)*
      ('Tools &amp; Targets_Guideline'!$B$54:$B$269="GM"),
      0
    ),
    MATCH(
      _xludf.IFNA(
        VLOOKUP($D85,{"PH","Provincial Hospital (H2)";"DH","District Hospital (H3)";"RH","Regional / National Hospital (H1)"},2,0),
        $D85
      ),
      'Tools &amp; Targets_Guideline'!$C$53:$I$53,
      0
    )
  ),
0))</f>
        <v/>
      </c>
      <c r="Z85" s="105"/>
      <c r="AA85" s="119" t="str">
        <f t="array" ref="AA85">IF(OR($B85="",$D85=""),"",
IFERROR(
  INDEX(
    'Tools &amp; Targets_Guideline'!$C$54:$I$269,
    MATCH(
      1,
      ('Tools &amp; Targets_Guideline'!$A$54:$A$269=$B85)*
      ('Tools &amp; Targets_Guideline'!$B$54:$B$269="Penta"),
      0
    ),
    MATCH(
      _xludf.IFNA(
        VLOOKUP($D85,{"PH","Provincial Hospital (H2)";"DH","District Hospital (H3)";"RH","Regional / National Hospital (H1)"},2,0),
        $D85
      ),
      'Tools &amp; Targets_Guideline'!$C$53:$I$53,
      0
    )
  ),
0))</f>
        <v/>
      </c>
      <c r="AB85" s="105"/>
      <c r="AC85" s="119" t="str">
        <f t="array" ref="AC85">IF(OR($B85="",$D85=""),"",
IFERROR(
  INDEX(
    'Tools &amp; Targets_Guideline'!$C$54:$I$269,
    MATCH(
      1,
      ('Tools &amp; Targets_Guideline'!$A$54:$A$269=$B85)*
      ('Tools &amp; Targets_Guideline'!$B$54:$B$269="TB"),
      0
    ),
    MATCH(
      _xludf.IFNA(
        VLOOKUP($D85,{"PH","Provincial Hospital (H2)";"DH","District Hospital (H3)";"RH","Regional / National Hospital (H1)"},2,0),
        $D85
      ),
      'Tools &amp; Targets_Guideline'!$C$53:$I$53,
      0
    )
  ),
0))</f>
        <v/>
      </c>
      <c r="AD85" s="105"/>
      <c r="AE85" s="119" t="str">
        <f t="array" ref="AE85">IF(OR($B85="",$D85=""),"",
IFERROR(
  INDEX(
    'Tools &amp; Targets_Guideline'!$C$54:$I$269,
    MATCH(
      1,
      ('Tools &amp; Targets_Guideline'!$A$54:$A$269=$B85)*
      ('Tools &amp; Targets_Guideline'!$B$54:$B$269="U5 Morbidity"),
      0
    ),
    MATCH(
      _xludf.IFNA(
        VLOOKUP($D85,{"PH","Provincial Hospital (H2)";"DH","District Hospital (H3)";"RH","Regional / National Hospital (H1)"},2,0),
        $D85
      ),
      'Tools &amp; Targets_Guideline'!$C$53:$I$53,
      0
    )
  ),
0))</f>
        <v/>
      </c>
      <c r="AF85" s="105"/>
      <c r="AG85" s="119" t="str">
        <f t="array" ref="AG85">IF(OR($B85="",$D85=""),"",
IFERROR(
  INDEX(
    'Tools &amp; Targets_Guideline'!$C$54:$I$269,
    MATCH(
      1,
      ('Tools &amp; Targets_Guideline'!$A$54:$A$269=$B85)*
      ('Tools &amp; Targets_Guideline'!$B$54:$B$269="C-Section"),
      0
    ),
    MATCH(
      _xludf.IFNA(
        VLOOKUP($D85,{"PH","Provincial Hospital (H2)";"DH","District Hospital (H3)";"RH","Regional / National Hospital (H1)"},2,0),
        $D85
      ),
      'Tools &amp; Targets_Guideline'!$C$53:$I$53,
      0
    )
  ),
0))</f>
        <v/>
      </c>
      <c r="AH85" s="105" t="str">
        <f>IF(A85&lt;&gt;"",COUNTIFS('QA Log'!D:D,A85,'QA Log'!M:M,"QQC",'QA Log'!L:L,"2. Hygiene and Sterilization",'QA Log'!Z:Z,"Approved"),"")</f>
        <v/>
      </c>
      <c r="AI85" s="102"/>
      <c r="AJ85" s="102"/>
      <c r="AK85" s="103" t="str">
        <f t="shared" si="2"/>
        <v/>
      </c>
      <c r="AL85" s="102"/>
      <c r="AM85" s="102"/>
      <c r="AN85" s="102"/>
      <c r="AO85" s="106"/>
      <c r="AP85" s="103"/>
      <c r="AQ85" s="102"/>
      <c r="AR85" s="102"/>
      <c r="AS85" s="102"/>
      <c r="AT85" s="107"/>
      <c r="AU85" s="102" t="str">
        <f t="shared" si="3"/>
        <v/>
      </c>
      <c r="AV85" s="102" t="str">
        <f t="shared" si="4"/>
        <v/>
      </c>
      <c r="AW85" s="102" t="str">
        <f t="shared" si="5"/>
        <v/>
      </c>
      <c r="AX85" s="102" t="str">
        <f t="shared" si="6"/>
        <v/>
      </c>
      <c r="AY85" s="107" t="str">
        <f t="shared" si="7"/>
        <v/>
      </c>
      <c r="AZ85" s="108" t="str">
        <f t="shared" si="8"/>
        <v/>
      </c>
      <c r="BA85" s="108" t="str">
        <f t="shared" si="9"/>
        <v/>
      </c>
      <c r="BB85" s="109" t="str">
        <f t="shared" si="10"/>
        <v/>
      </c>
      <c r="BC85" s="108" t="str">
        <f t="shared" si="11"/>
        <v/>
      </c>
      <c r="BD85" s="108" t="str">
        <f t="shared" si="12"/>
        <v/>
      </c>
      <c r="BE85" s="109" t="str">
        <f t="shared" si="13"/>
        <v/>
      </c>
      <c r="BF85" s="110" t="str">
        <f t="shared" si="14"/>
        <v/>
      </c>
      <c r="BG85" s="111"/>
    </row>
    <row r="86" spans="1:59" ht="12.75">
      <c r="A86" s="101"/>
      <c r="B86" s="102"/>
      <c r="C86" s="102" t="e">
        <f t="array" aca="1" ref="C86" ca="1">_xludf.XLOOKUP(A86,'QA Log'!D:D,'QA Log'!F:F,"")</f>
        <v>#NAME?</v>
      </c>
      <c r="D86" s="102"/>
      <c r="E86" s="102" t="e">
        <f t="array" aca="1" ref="E86" ca="1">_xludf.XLOOKUP(A86,'QA Log'!D:D,'QA Log'!G:G,"")</f>
        <v>#NAME?</v>
      </c>
      <c r="F86" s="103"/>
      <c r="G86" s="104"/>
      <c r="H86" s="104"/>
      <c r="I86" s="103" t="str">
        <f t="shared" si="0"/>
        <v/>
      </c>
      <c r="J86" s="102"/>
      <c r="K86" s="102"/>
      <c r="L86" s="119" t="str">
        <f t="array" ref="L86">IF(OR($B86="",$D86=""),"",
IFERROR(
  INDEX(
    'Tools &amp; Targets_Guideline'!$C$54:$I$269,
    MATCH(
      1,
      ('Tools &amp; Targets_Guideline'!$A$54:$A$269=$B86)*
      ('Tools &amp; Targets_Guideline'!$B$54:$B$269="ANC"),
      0
    ),
    MATCH(
      _xludf.IFNA(
        VLOOKUP($D86,{"PH","Provincial Hospital (H2)";"DH","District Hospital (H3)";"RH","Regional / National Hospital (H1)"},2,0),
        $D86
      ),
      'Tools &amp; Targets_Guideline'!$C$53:$I$53,
      0
    )
  ),
0))</f>
        <v/>
      </c>
      <c r="M86" s="105"/>
      <c r="N86" s="119" t="str">
        <f t="array" ref="N86">IF(OR($B86="",$D86=""),"",
IFERROR(
  INDEX(
    'Tools &amp; Targets_Guideline'!$C$54:$I$269,
    MATCH(
      1,
      ('Tools &amp; Targets_Guideline'!$A$54:$A$269=$B86)*
      ('Tools &amp; Targets_Guideline'!$B$54:$B$269="PNC"),
      0
    ),
    MATCH(
      _xludf.IFNA(
        VLOOKUP($D86,{"PH","Provincial Hospital (H2)";"DH","District Hospital (H3)";"RH","Regional / National Hospital (H1)"},2,0),
        $D86
      ),
      'Tools &amp; Targets_Guideline'!$C$53:$I$53,
      0
    )
  ),
0))</f>
        <v/>
      </c>
      <c r="O86" s="105"/>
      <c r="P86" s="119" t="str">
        <f t="array" ref="P86">IF(OR($B86="",$D86=""),"",
IFERROR(
  INDEX(
    'Tools &amp; Targets_Guideline'!$C$54:$I$269,
    MATCH(
      1,
      ('Tools &amp; Targets_Guideline'!$A$54:$A$269=$B86)*
      ('Tools &amp; Targets_Guideline'!$B$54:$B$269="Delivery"),
      0
    ),
    MATCH(
      _xludf.IFNA(
        VLOOKUP($D86,{"PH","Provincial Hospital (H2)";"DH","District Hospital (H3)";"RH","Regional / National Hospital (H1)"},2,0),
        $D86
      ),
      'Tools &amp; Targets_Guideline'!$C$53:$I$53,
      0
    )
  ),
0))</f>
        <v/>
      </c>
      <c r="Q86" s="105"/>
      <c r="R86" s="119" t="str">
        <f t="array" ref="R86">IF(OR($B86="",$D86=""),"",
IFERROR(
  INDEX(
    'Tools &amp; Targets_Guideline'!$C$54:$I$269,
    MATCH(
      1,
      ('Tools &amp; Targets_Guideline'!$A$54:$A$269=$B86)*
      ('Tools &amp; Targets_Guideline'!$B$54:$B$269="TT"),
      0
    ),
    MATCH(
      _xludf.IFNA(
        VLOOKUP($D86,{"PH","Provincial Hospital (H2)";"DH","District Hospital (H3)";"RH","Regional / National Hospital (H1)"},2,0),
        $D86
      ),
      'Tools &amp; Targets_Guideline'!$C$53:$I$53,
      0
    )
  ),
0))</f>
        <v/>
      </c>
      <c r="S86" s="105"/>
      <c r="T86" s="102"/>
      <c r="U86" s="106"/>
      <c r="V86" s="102" t="str">
        <f t="shared" si="1"/>
        <v/>
      </c>
      <c r="W86" s="102"/>
      <c r="X86" s="102"/>
      <c r="Y86" s="119" t="str">
        <f t="array" ref="Y86">IF(OR($B86="",$D86=""),"",
IFERROR(
  INDEX(
    'Tools &amp; Targets_Guideline'!$C$54:$I$269,
    MATCH(
      1,
      ('Tools &amp; Targets_Guideline'!$A$54:$A$269=$B86)*
      ('Tools &amp; Targets_Guideline'!$B$54:$B$269="GM"),
      0
    ),
    MATCH(
      _xludf.IFNA(
        VLOOKUP($D86,{"PH","Provincial Hospital (H2)";"DH","District Hospital (H3)";"RH","Regional / National Hospital (H1)"},2,0),
        $D86
      ),
      'Tools &amp; Targets_Guideline'!$C$53:$I$53,
      0
    )
  ),
0))</f>
        <v/>
      </c>
      <c r="Z86" s="105"/>
      <c r="AA86" s="119" t="str">
        <f t="array" ref="AA86">IF(OR($B86="",$D86=""),"",
IFERROR(
  INDEX(
    'Tools &amp; Targets_Guideline'!$C$54:$I$269,
    MATCH(
      1,
      ('Tools &amp; Targets_Guideline'!$A$54:$A$269=$B86)*
      ('Tools &amp; Targets_Guideline'!$B$54:$B$269="Penta"),
      0
    ),
    MATCH(
      _xludf.IFNA(
        VLOOKUP($D86,{"PH","Provincial Hospital (H2)";"DH","District Hospital (H3)";"RH","Regional / National Hospital (H1)"},2,0),
        $D86
      ),
      'Tools &amp; Targets_Guideline'!$C$53:$I$53,
      0
    )
  ),
0))</f>
        <v/>
      </c>
      <c r="AB86" s="105"/>
      <c r="AC86" s="119" t="str">
        <f t="array" ref="AC86">IF(OR($B86="",$D86=""),"",
IFERROR(
  INDEX(
    'Tools &amp; Targets_Guideline'!$C$54:$I$269,
    MATCH(
      1,
      ('Tools &amp; Targets_Guideline'!$A$54:$A$269=$B86)*
      ('Tools &amp; Targets_Guideline'!$B$54:$B$269="TB"),
      0
    ),
    MATCH(
      _xludf.IFNA(
        VLOOKUP($D86,{"PH","Provincial Hospital (H2)";"DH","District Hospital (H3)";"RH","Regional / National Hospital (H1)"},2,0),
        $D86
      ),
      'Tools &amp; Targets_Guideline'!$C$53:$I$53,
      0
    )
  ),
0))</f>
        <v/>
      </c>
      <c r="AD86" s="105"/>
      <c r="AE86" s="119" t="str">
        <f t="array" ref="AE86">IF(OR($B86="",$D86=""),"",
IFERROR(
  INDEX(
    'Tools &amp; Targets_Guideline'!$C$54:$I$269,
    MATCH(
      1,
      ('Tools &amp; Targets_Guideline'!$A$54:$A$269=$B86)*
      ('Tools &amp; Targets_Guideline'!$B$54:$B$269="U5 Morbidity"),
      0
    ),
    MATCH(
      _xludf.IFNA(
        VLOOKUP($D86,{"PH","Provincial Hospital (H2)";"DH","District Hospital (H3)";"RH","Regional / National Hospital (H1)"},2,0),
        $D86
      ),
      'Tools &amp; Targets_Guideline'!$C$53:$I$53,
      0
    )
  ),
0))</f>
        <v/>
      </c>
      <c r="AF86" s="105"/>
      <c r="AG86" s="119" t="str">
        <f t="array" ref="AG86">IF(OR($B86="",$D86=""),"",
IFERROR(
  INDEX(
    'Tools &amp; Targets_Guideline'!$C$54:$I$269,
    MATCH(
      1,
      ('Tools &amp; Targets_Guideline'!$A$54:$A$269=$B86)*
      ('Tools &amp; Targets_Guideline'!$B$54:$B$269="C-Section"),
      0
    ),
    MATCH(
      _xludf.IFNA(
        VLOOKUP($D86,{"PH","Provincial Hospital (H2)";"DH","District Hospital (H3)";"RH","Regional / National Hospital (H1)"},2,0),
        $D86
      ),
      'Tools &amp; Targets_Guideline'!$C$53:$I$53,
      0
    )
  ),
0))</f>
        <v/>
      </c>
      <c r="AH86" s="105" t="str">
        <f>IF(A86&lt;&gt;"",COUNTIFS('QA Log'!D:D,A86,'QA Log'!M:M,"QQC",'QA Log'!L:L,"2. Hygiene and Sterilization",'QA Log'!Z:Z,"Approved"),"")</f>
        <v/>
      </c>
      <c r="AI86" s="102"/>
      <c r="AJ86" s="102"/>
      <c r="AK86" s="103" t="str">
        <f t="shared" si="2"/>
        <v/>
      </c>
      <c r="AL86" s="102"/>
      <c r="AM86" s="102"/>
      <c r="AN86" s="102"/>
      <c r="AO86" s="106"/>
      <c r="AP86" s="103"/>
      <c r="AQ86" s="102"/>
      <c r="AR86" s="102"/>
      <c r="AS86" s="102"/>
      <c r="AT86" s="107"/>
      <c r="AU86" s="102" t="str">
        <f t="shared" si="3"/>
        <v/>
      </c>
      <c r="AV86" s="102" t="str">
        <f t="shared" si="4"/>
        <v/>
      </c>
      <c r="AW86" s="102" t="str">
        <f t="shared" si="5"/>
        <v/>
      </c>
      <c r="AX86" s="102" t="str">
        <f t="shared" si="6"/>
        <v/>
      </c>
      <c r="AY86" s="107" t="str">
        <f t="shared" si="7"/>
        <v/>
      </c>
      <c r="AZ86" s="108" t="str">
        <f t="shared" si="8"/>
        <v/>
      </c>
      <c r="BA86" s="108" t="str">
        <f t="shared" si="9"/>
        <v/>
      </c>
      <c r="BB86" s="109" t="str">
        <f t="shared" si="10"/>
        <v/>
      </c>
      <c r="BC86" s="108" t="str">
        <f t="shared" si="11"/>
        <v/>
      </c>
      <c r="BD86" s="108" t="str">
        <f t="shared" si="12"/>
        <v/>
      </c>
      <c r="BE86" s="109" t="str">
        <f t="shared" si="13"/>
        <v/>
      </c>
      <c r="BF86" s="110" t="str">
        <f t="shared" si="14"/>
        <v/>
      </c>
      <c r="BG86" s="111"/>
    </row>
    <row r="87" spans="1:59" ht="12.75">
      <c r="A87" s="101"/>
      <c r="B87" s="102"/>
      <c r="C87" s="102" t="e">
        <f t="array" aca="1" ref="C87" ca="1">_xludf.XLOOKUP(A87,'QA Log'!D:D,'QA Log'!F:F,"")</f>
        <v>#NAME?</v>
      </c>
      <c r="D87" s="102"/>
      <c r="E87" s="102" t="e">
        <f t="array" aca="1" ref="E87" ca="1">_xludf.XLOOKUP(A87,'QA Log'!D:D,'QA Log'!G:G,"")</f>
        <v>#NAME?</v>
      </c>
      <c r="F87" s="103"/>
      <c r="G87" s="104"/>
      <c r="H87" s="104"/>
      <c r="I87" s="103" t="str">
        <f t="shared" si="0"/>
        <v/>
      </c>
      <c r="J87" s="102"/>
      <c r="K87" s="102"/>
      <c r="L87" s="119" t="str">
        <f t="array" ref="L87">IF(OR($B87="",$D87=""),"",
IFERROR(
  INDEX(
    'Tools &amp; Targets_Guideline'!$C$54:$I$269,
    MATCH(
      1,
      ('Tools &amp; Targets_Guideline'!$A$54:$A$269=$B87)*
      ('Tools &amp; Targets_Guideline'!$B$54:$B$269="ANC"),
      0
    ),
    MATCH(
      _xludf.IFNA(
        VLOOKUP($D87,{"PH","Provincial Hospital (H2)";"DH","District Hospital (H3)";"RH","Regional / National Hospital (H1)"},2,0),
        $D87
      ),
      'Tools &amp; Targets_Guideline'!$C$53:$I$53,
      0
    )
  ),
0))</f>
        <v/>
      </c>
      <c r="M87" s="105"/>
      <c r="N87" s="119" t="str">
        <f t="array" ref="N87">IF(OR($B87="",$D87=""),"",
IFERROR(
  INDEX(
    'Tools &amp; Targets_Guideline'!$C$54:$I$269,
    MATCH(
      1,
      ('Tools &amp; Targets_Guideline'!$A$54:$A$269=$B87)*
      ('Tools &amp; Targets_Guideline'!$B$54:$B$269="PNC"),
      0
    ),
    MATCH(
      _xludf.IFNA(
        VLOOKUP($D87,{"PH","Provincial Hospital (H2)";"DH","District Hospital (H3)";"RH","Regional / National Hospital (H1)"},2,0),
        $D87
      ),
      'Tools &amp; Targets_Guideline'!$C$53:$I$53,
      0
    )
  ),
0))</f>
        <v/>
      </c>
      <c r="O87" s="105"/>
      <c r="P87" s="119" t="str">
        <f t="array" ref="P87">IF(OR($B87="",$D87=""),"",
IFERROR(
  INDEX(
    'Tools &amp; Targets_Guideline'!$C$54:$I$269,
    MATCH(
      1,
      ('Tools &amp; Targets_Guideline'!$A$54:$A$269=$B87)*
      ('Tools &amp; Targets_Guideline'!$B$54:$B$269="Delivery"),
      0
    ),
    MATCH(
      _xludf.IFNA(
        VLOOKUP($D87,{"PH","Provincial Hospital (H2)";"DH","District Hospital (H3)";"RH","Regional / National Hospital (H1)"},2,0),
        $D87
      ),
      'Tools &amp; Targets_Guideline'!$C$53:$I$53,
      0
    )
  ),
0))</f>
        <v/>
      </c>
      <c r="Q87" s="105"/>
      <c r="R87" s="119" t="str">
        <f t="array" ref="R87">IF(OR($B87="",$D87=""),"",
IFERROR(
  INDEX(
    'Tools &amp; Targets_Guideline'!$C$54:$I$269,
    MATCH(
      1,
      ('Tools &amp; Targets_Guideline'!$A$54:$A$269=$B87)*
      ('Tools &amp; Targets_Guideline'!$B$54:$B$269="TT"),
      0
    ),
    MATCH(
      _xludf.IFNA(
        VLOOKUP($D87,{"PH","Provincial Hospital (H2)";"DH","District Hospital (H3)";"RH","Regional / National Hospital (H1)"},2,0),
        $D87
      ),
      'Tools &amp; Targets_Guideline'!$C$53:$I$53,
      0
    )
  ),
0))</f>
        <v/>
      </c>
      <c r="S87" s="105"/>
      <c r="T87" s="102"/>
      <c r="U87" s="106"/>
      <c r="V87" s="102" t="str">
        <f t="shared" si="1"/>
        <v/>
      </c>
      <c r="W87" s="102"/>
      <c r="X87" s="102"/>
      <c r="Y87" s="119" t="str">
        <f t="array" ref="Y87">IF(OR($B87="",$D87=""),"",
IFERROR(
  INDEX(
    'Tools &amp; Targets_Guideline'!$C$54:$I$269,
    MATCH(
      1,
      ('Tools &amp; Targets_Guideline'!$A$54:$A$269=$B87)*
      ('Tools &amp; Targets_Guideline'!$B$54:$B$269="GM"),
      0
    ),
    MATCH(
      _xludf.IFNA(
        VLOOKUP($D87,{"PH","Provincial Hospital (H2)";"DH","District Hospital (H3)";"RH","Regional / National Hospital (H1)"},2,0),
        $D87
      ),
      'Tools &amp; Targets_Guideline'!$C$53:$I$53,
      0
    )
  ),
0))</f>
        <v/>
      </c>
      <c r="Z87" s="105"/>
      <c r="AA87" s="119" t="str">
        <f t="array" ref="AA87">IF(OR($B87="",$D87=""),"",
IFERROR(
  INDEX(
    'Tools &amp; Targets_Guideline'!$C$54:$I$269,
    MATCH(
      1,
      ('Tools &amp; Targets_Guideline'!$A$54:$A$269=$B87)*
      ('Tools &amp; Targets_Guideline'!$B$54:$B$269="Penta"),
      0
    ),
    MATCH(
      _xludf.IFNA(
        VLOOKUP($D87,{"PH","Provincial Hospital (H2)";"DH","District Hospital (H3)";"RH","Regional / National Hospital (H1)"},2,0),
        $D87
      ),
      'Tools &amp; Targets_Guideline'!$C$53:$I$53,
      0
    )
  ),
0))</f>
        <v/>
      </c>
      <c r="AB87" s="105"/>
      <c r="AC87" s="119" t="str">
        <f t="array" ref="AC87">IF(OR($B87="",$D87=""),"",
IFERROR(
  INDEX(
    'Tools &amp; Targets_Guideline'!$C$54:$I$269,
    MATCH(
      1,
      ('Tools &amp; Targets_Guideline'!$A$54:$A$269=$B87)*
      ('Tools &amp; Targets_Guideline'!$B$54:$B$269="TB"),
      0
    ),
    MATCH(
      _xludf.IFNA(
        VLOOKUP($D87,{"PH","Provincial Hospital (H2)";"DH","District Hospital (H3)";"RH","Regional / National Hospital (H1)"},2,0),
        $D87
      ),
      'Tools &amp; Targets_Guideline'!$C$53:$I$53,
      0
    )
  ),
0))</f>
        <v/>
      </c>
      <c r="AD87" s="105"/>
      <c r="AE87" s="119" t="str">
        <f t="array" ref="AE87">IF(OR($B87="",$D87=""),"",
IFERROR(
  INDEX(
    'Tools &amp; Targets_Guideline'!$C$54:$I$269,
    MATCH(
      1,
      ('Tools &amp; Targets_Guideline'!$A$54:$A$269=$B87)*
      ('Tools &amp; Targets_Guideline'!$B$54:$B$269="U5 Morbidity"),
      0
    ),
    MATCH(
      _xludf.IFNA(
        VLOOKUP($D87,{"PH","Provincial Hospital (H2)";"DH","District Hospital (H3)";"RH","Regional / National Hospital (H1)"},2,0),
        $D87
      ),
      'Tools &amp; Targets_Guideline'!$C$53:$I$53,
      0
    )
  ),
0))</f>
        <v/>
      </c>
      <c r="AF87" s="105"/>
      <c r="AG87" s="119" t="str">
        <f t="array" ref="AG87">IF(OR($B87="",$D87=""),"",
IFERROR(
  INDEX(
    'Tools &amp; Targets_Guideline'!$C$54:$I$269,
    MATCH(
      1,
      ('Tools &amp; Targets_Guideline'!$A$54:$A$269=$B87)*
      ('Tools &amp; Targets_Guideline'!$B$54:$B$269="C-Section"),
      0
    ),
    MATCH(
      _xludf.IFNA(
        VLOOKUP($D87,{"PH","Provincial Hospital (H2)";"DH","District Hospital (H3)";"RH","Regional / National Hospital (H1)"},2,0),
        $D87
      ),
      'Tools &amp; Targets_Guideline'!$C$53:$I$53,
      0
    )
  ),
0))</f>
        <v/>
      </c>
      <c r="AH87" s="105" t="str">
        <f>IF(A87&lt;&gt;"",COUNTIFS('QA Log'!D:D,A87,'QA Log'!M:M,"QQC",'QA Log'!L:L,"2. Hygiene and Sterilization",'QA Log'!Z:Z,"Approved"),"")</f>
        <v/>
      </c>
      <c r="AI87" s="102"/>
      <c r="AJ87" s="102"/>
      <c r="AK87" s="103" t="str">
        <f t="shared" si="2"/>
        <v/>
      </c>
      <c r="AL87" s="102"/>
      <c r="AM87" s="102"/>
      <c r="AN87" s="102"/>
      <c r="AO87" s="106"/>
      <c r="AP87" s="103"/>
      <c r="AQ87" s="102"/>
      <c r="AR87" s="102"/>
      <c r="AS87" s="102"/>
      <c r="AT87" s="107"/>
      <c r="AU87" s="102" t="str">
        <f t="shared" si="3"/>
        <v/>
      </c>
      <c r="AV87" s="102" t="str">
        <f t="shared" si="4"/>
        <v/>
      </c>
      <c r="AW87" s="102" t="str">
        <f t="shared" si="5"/>
        <v/>
      </c>
      <c r="AX87" s="102" t="str">
        <f t="shared" si="6"/>
        <v/>
      </c>
      <c r="AY87" s="107" t="str">
        <f t="shared" si="7"/>
        <v/>
      </c>
      <c r="AZ87" s="108" t="str">
        <f t="shared" si="8"/>
        <v/>
      </c>
      <c r="BA87" s="108" t="str">
        <f t="shared" si="9"/>
        <v/>
      </c>
      <c r="BB87" s="109" t="str">
        <f t="shared" si="10"/>
        <v/>
      </c>
      <c r="BC87" s="108" t="str">
        <f t="shared" si="11"/>
        <v/>
      </c>
      <c r="BD87" s="108" t="str">
        <f t="shared" si="12"/>
        <v/>
      </c>
      <c r="BE87" s="109" t="str">
        <f t="shared" si="13"/>
        <v/>
      </c>
      <c r="BF87" s="110" t="str">
        <f t="shared" si="14"/>
        <v/>
      </c>
      <c r="BG87" s="111"/>
    </row>
    <row r="88" spans="1:59" ht="12.75">
      <c r="A88" s="101"/>
      <c r="B88" s="102"/>
      <c r="C88" s="102" t="e">
        <f t="array" aca="1" ref="C88" ca="1">_xludf.XLOOKUP(A88,'QA Log'!D:D,'QA Log'!F:F,"")</f>
        <v>#NAME?</v>
      </c>
      <c r="D88" s="102"/>
      <c r="E88" s="102" t="e">
        <f t="array" aca="1" ref="E88" ca="1">_xludf.XLOOKUP(A88,'QA Log'!D:D,'QA Log'!G:G,"")</f>
        <v>#NAME?</v>
      </c>
      <c r="F88" s="103"/>
      <c r="G88" s="104"/>
      <c r="H88" s="104"/>
      <c r="I88" s="103" t="str">
        <f t="shared" si="0"/>
        <v/>
      </c>
      <c r="J88" s="102"/>
      <c r="K88" s="102"/>
      <c r="L88" s="119" t="str">
        <f t="array" ref="L88">IF(OR($B88="",$D88=""),"",
IFERROR(
  INDEX(
    'Tools &amp; Targets_Guideline'!$C$54:$I$269,
    MATCH(
      1,
      ('Tools &amp; Targets_Guideline'!$A$54:$A$269=$B88)*
      ('Tools &amp; Targets_Guideline'!$B$54:$B$269="ANC"),
      0
    ),
    MATCH(
      _xludf.IFNA(
        VLOOKUP($D88,{"PH","Provincial Hospital (H2)";"DH","District Hospital (H3)";"RH","Regional / National Hospital (H1)"},2,0),
        $D88
      ),
      'Tools &amp; Targets_Guideline'!$C$53:$I$53,
      0
    )
  ),
0))</f>
        <v/>
      </c>
      <c r="M88" s="105"/>
      <c r="N88" s="119" t="str">
        <f t="array" ref="N88">IF(OR($B88="",$D88=""),"",
IFERROR(
  INDEX(
    'Tools &amp; Targets_Guideline'!$C$54:$I$269,
    MATCH(
      1,
      ('Tools &amp; Targets_Guideline'!$A$54:$A$269=$B88)*
      ('Tools &amp; Targets_Guideline'!$B$54:$B$269="PNC"),
      0
    ),
    MATCH(
      _xludf.IFNA(
        VLOOKUP($D88,{"PH","Provincial Hospital (H2)";"DH","District Hospital (H3)";"RH","Regional / National Hospital (H1)"},2,0),
        $D88
      ),
      'Tools &amp; Targets_Guideline'!$C$53:$I$53,
      0
    )
  ),
0))</f>
        <v/>
      </c>
      <c r="O88" s="105"/>
      <c r="P88" s="119" t="str">
        <f t="array" ref="P88">IF(OR($B88="",$D88=""),"",
IFERROR(
  INDEX(
    'Tools &amp; Targets_Guideline'!$C$54:$I$269,
    MATCH(
      1,
      ('Tools &amp; Targets_Guideline'!$A$54:$A$269=$B88)*
      ('Tools &amp; Targets_Guideline'!$B$54:$B$269="Delivery"),
      0
    ),
    MATCH(
      _xludf.IFNA(
        VLOOKUP($D88,{"PH","Provincial Hospital (H2)";"DH","District Hospital (H3)";"RH","Regional / National Hospital (H1)"},2,0),
        $D88
      ),
      'Tools &amp; Targets_Guideline'!$C$53:$I$53,
      0
    )
  ),
0))</f>
        <v/>
      </c>
      <c r="Q88" s="105"/>
      <c r="R88" s="119" t="str">
        <f t="array" ref="R88">IF(OR($B88="",$D88=""),"",
IFERROR(
  INDEX(
    'Tools &amp; Targets_Guideline'!$C$54:$I$269,
    MATCH(
      1,
      ('Tools &amp; Targets_Guideline'!$A$54:$A$269=$B88)*
      ('Tools &amp; Targets_Guideline'!$B$54:$B$269="TT"),
      0
    ),
    MATCH(
      _xludf.IFNA(
        VLOOKUP($D88,{"PH","Provincial Hospital (H2)";"DH","District Hospital (H3)";"RH","Regional / National Hospital (H1)"},2,0),
        $D88
      ),
      'Tools &amp; Targets_Guideline'!$C$53:$I$53,
      0
    )
  ),
0))</f>
        <v/>
      </c>
      <c r="S88" s="105"/>
      <c r="T88" s="102"/>
      <c r="U88" s="106"/>
      <c r="V88" s="102" t="str">
        <f t="shared" si="1"/>
        <v/>
      </c>
      <c r="W88" s="102"/>
      <c r="X88" s="102"/>
      <c r="Y88" s="119" t="str">
        <f t="array" ref="Y88">IF(OR($B88="",$D88=""),"",
IFERROR(
  INDEX(
    'Tools &amp; Targets_Guideline'!$C$54:$I$269,
    MATCH(
      1,
      ('Tools &amp; Targets_Guideline'!$A$54:$A$269=$B88)*
      ('Tools &amp; Targets_Guideline'!$B$54:$B$269="GM"),
      0
    ),
    MATCH(
      _xludf.IFNA(
        VLOOKUP($D88,{"PH","Provincial Hospital (H2)";"DH","District Hospital (H3)";"RH","Regional / National Hospital (H1)"},2,0),
        $D88
      ),
      'Tools &amp; Targets_Guideline'!$C$53:$I$53,
      0
    )
  ),
0))</f>
        <v/>
      </c>
      <c r="Z88" s="105"/>
      <c r="AA88" s="119" t="str">
        <f t="array" ref="AA88">IF(OR($B88="",$D88=""),"",
IFERROR(
  INDEX(
    'Tools &amp; Targets_Guideline'!$C$54:$I$269,
    MATCH(
      1,
      ('Tools &amp; Targets_Guideline'!$A$54:$A$269=$B88)*
      ('Tools &amp; Targets_Guideline'!$B$54:$B$269="Penta"),
      0
    ),
    MATCH(
      _xludf.IFNA(
        VLOOKUP($D88,{"PH","Provincial Hospital (H2)";"DH","District Hospital (H3)";"RH","Regional / National Hospital (H1)"},2,0),
        $D88
      ),
      'Tools &amp; Targets_Guideline'!$C$53:$I$53,
      0
    )
  ),
0))</f>
        <v/>
      </c>
      <c r="AB88" s="105"/>
      <c r="AC88" s="119" t="str">
        <f t="array" ref="AC88">IF(OR($B88="",$D88=""),"",
IFERROR(
  INDEX(
    'Tools &amp; Targets_Guideline'!$C$54:$I$269,
    MATCH(
      1,
      ('Tools &amp; Targets_Guideline'!$A$54:$A$269=$B88)*
      ('Tools &amp; Targets_Guideline'!$B$54:$B$269="TB"),
      0
    ),
    MATCH(
      _xludf.IFNA(
        VLOOKUP($D88,{"PH","Provincial Hospital (H2)";"DH","District Hospital (H3)";"RH","Regional / National Hospital (H1)"},2,0),
        $D88
      ),
      'Tools &amp; Targets_Guideline'!$C$53:$I$53,
      0
    )
  ),
0))</f>
        <v/>
      </c>
      <c r="AD88" s="105"/>
      <c r="AE88" s="119" t="str">
        <f t="array" ref="AE88">IF(OR($B88="",$D88=""),"",
IFERROR(
  INDEX(
    'Tools &amp; Targets_Guideline'!$C$54:$I$269,
    MATCH(
      1,
      ('Tools &amp; Targets_Guideline'!$A$54:$A$269=$B88)*
      ('Tools &amp; Targets_Guideline'!$B$54:$B$269="U5 Morbidity"),
      0
    ),
    MATCH(
      _xludf.IFNA(
        VLOOKUP($D88,{"PH","Provincial Hospital (H2)";"DH","District Hospital (H3)";"RH","Regional / National Hospital (H1)"},2,0),
        $D88
      ),
      'Tools &amp; Targets_Guideline'!$C$53:$I$53,
      0
    )
  ),
0))</f>
        <v/>
      </c>
      <c r="AF88" s="105"/>
      <c r="AG88" s="119" t="str">
        <f t="array" ref="AG88">IF(OR($B88="",$D88=""),"",
IFERROR(
  INDEX(
    'Tools &amp; Targets_Guideline'!$C$54:$I$269,
    MATCH(
      1,
      ('Tools &amp; Targets_Guideline'!$A$54:$A$269=$B88)*
      ('Tools &amp; Targets_Guideline'!$B$54:$B$269="C-Section"),
      0
    ),
    MATCH(
      _xludf.IFNA(
        VLOOKUP($D88,{"PH","Provincial Hospital (H2)";"DH","District Hospital (H3)";"RH","Regional / National Hospital (H1)"},2,0),
        $D88
      ),
      'Tools &amp; Targets_Guideline'!$C$53:$I$53,
      0
    )
  ),
0))</f>
        <v/>
      </c>
      <c r="AH88" s="105" t="str">
        <f>IF(A88&lt;&gt;"",COUNTIFS('QA Log'!D:D,A88,'QA Log'!M:M,"QQC",'QA Log'!L:L,"2. Hygiene and Sterilization",'QA Log'!Z:Z,"Approved"),"")</f>
        <v/>
      </c>
      <c r="AI88" s="102"/>
      <c r="AJ88" s="102"/>
      <c r="AK88" s="103" t="str">
        <f t="shared" si="2"/>
        <v/>
      </c>
      <c r="AL88" s="102"/>
      <c r="AM88" s="102"/>
      <c r="AN88" s="102"/>
      <c r="AO88" s="106"/>
      <c r="AP88" s="103"/>
      <c r="AQ88" s="102"/>
      <c r="AR88" s="102"/>
      <c r="AS88" s="102"/>
      <c r="AT88" s="107"/>
      <c r="AU88" s="102" t="str">
        <f t="shared" si="3"/>
        <v/>
      </c>
      <c r="AV88" s="102" t="str">
        <f t="shared" si="4"/>
        <v/>
      </c>
      <c r="AW88" s="102" t="str">
        <f t="shared" si="5"/>
        <v/>
      </c>
      <c r="AX88" s="102" t="str">
        <f t="shared" si="6"/>
        <v/>
      </c>
      <c r="AY88" s="107" t="str">
        <f t="shared" si="7"/>
        <v/>
      </c>
      <c r="AZ88" s="108" t="str">
        <f t="shared" si="8"/>
        <v/>
      </c>
      <c r="BA88" s="108" t="str">
        <f t="shared" si="9"/>
        <v/>
      </c>
      <c r="BB88" s="109" t="str">
        <f t="shared" si="10"/>
        <v/>
      </c>
      <c r="BC88" s="108" t="str">
        <f t="shared" si="11"/>
        <v/>
      </c>
      <c r="BD88" s="108" t="str">
        <f t="shared" si="12"/>
        <v/>
      </c>
      <c r="BE88" s="109" t="str">
        <f t="shared" si="13"/>
        <v/>
      </c>
      <c r="BF88" s="110" t="str">
        <f t="shared" si="14"/>
        <v/>
      </c>
      <c r="BG88" s="111"/>
    </row>
    <row r="89" spans="1:59" ht="12.75">
      <c r="A89" s="101"/>
      <c r="B89" s="102"/>
      <c r="C89" s="102" t="e">
        <f t="array" aca="1" ref="C89" ca="1">_xludf.XLOOKUP(A89,'QA Log'!D:D,'QA Log'!F:F,"")</f>
        <v>#NAME?</v>
      </c>
      <c r="D89" s="102"/>
      <c r="E89" s="102" t="e">
        <f t="array" aca="1" ref="E89" ca="1">_xludf.XLOOKUP(A89,'QA Log'!D:D,'QA Log'!G:G,"")</f>
        <v>#NAME?</v>
      </c>
      <c r="F89" s="103"/>
      <c r="G89" s="104"/>
      <c r="H89" s="104"/>
      <c r="I89" s="103" t="str">
        <f t="shared" si="0"/>
        <v/>
      </c>
      <c r="J89" s="102"/>
      <c r="K89" s="102"/>
      <c r="L89" s="119" t="str">
        <f t="array" ref="L89">IF(OR($B89="",$D89=""),"",
IFERROR(
  INDEX(
    'Tools &amp; Targets_Guideline'!$C$54:$I$269,
    MATCH(
      1,
      ('Tools &amp; Targets_Guideline'!$A$54:$A$269=$B89)*
      ('Tools &amp; Targets_Guideline'!$B$54:$B$269="ANC"),
      0
    ),
    MATCH(
      _xludf.IFNA(
        VLOOKUP($D89,{"PH","Provincial Hospital (H2)";"DH","District Hospital (H3)";"RH","Regional / National Hospital (H1)"},2,0),
        $D89
      ),
      'Tools &amp; Targets_Guideline'!$C$53:$I$53,
      0
    )
  ),
0))</f>
        <v/>
      </c>
      <c r="M89" s="105"/>
      <c r="N89" s="119" t="str">
        <f t="array" ref="N89">IF(OR($B89="",$D89=""),"",
IFERROR(
  INDEX(
    'Tools &amp; Targets_Guideline'!$C$54:$I$269,
    MATCH(
      1,
      ('Tools &amp; Targets_Guideline'!$A$54:$A$269=$B89)*
      ('Tools &amp; Targets_Guideline'!$B$54:$B$269="PNC"),
      0
    ),
    MATCH(
      _xludf.IFNA(
        VLOOKUP($D89,{"PH","Provincial Hospital (H2)";"DH","District Hospital (H3)";"RH","Regional / National Hospital (H1)"},2,0),
        $D89
      ),
      'Tools &amp; Targets_Guideline'!$C$53:$I$53,
      0
    )
  ),
0))</f>
        <v/>
      </c>
      <c r="O89" s="105"/>
      <c r="P89" s="119" t="str">
        <f t="array" ref="P89">IF(OR($B89="",$D89=""),"",
IFERROR(
  INDEX(
    'Tools &amp; Targets_Guideline'!$C$54:$I$269,
    MATCH(
      1,
      ('Tools &amp; Targets_Guideline'!$A$54:$A$269=$B89)*
      ('Tools &amp; Targets_Guideline'!$B$54:$B$269="Delivery"),
      0
    ),
    MATCH(
      _xludf.IFNA(
        VLOOKUP($D89,{"PH","Provincial Hospital (H2)";"DH","District Hospital (H3)";"RH","Regional / National Hospital (H1)"},2,0),
        $D89
      ),
      'Tools &amp; Targets_Guideline'!$C$53:$I$53,
      0
    )
  ),
0))</f>
        <v/>
      </c>
      <c r="Q89" s="105"/>
      <c r="R89" s="119" t="str">
        <f t="array" ref="R89">IF(OR($B89="",$D89=""),"",
IFERROR(
  INDEX(
    'Tools &amp; Targets_Guideline'!$C$54:$I$269,
    MATCH(
      1,
      ('Tools &amp; Targets_Guideline'!$A$54:$A$269=$B89)*
      ('Tools &amp; Targets_Guideline'!$B$54:$B$269="TT"),
      0
    ),
    MATCH(
      _xludf.IFNA(
        VLOOKUP($D89,{"PH","Provincial Hospital (H2)";"DH","District Hospital (H3)";"RH","Regional / National Hospital (H1)"},2,0),
        $D89
      ),
      'Tools &amp; Targets_Guideline'!$C$53:$I$53,
      0
    )
  ),
0))</f>
        <v/>
      </c>
      <c r="S89" s="105"/>
      <c r="T89" s="102"/>
      <c r="U89" s="106"/>
      <c r="V89" s="102" t="str">
        <f t="shared" si="1"/>
        <v/>
      </c>
      <c r="W89" s="102"/>
      <c r="X89" s="102"/>
      <c r="Y89" s="119" t="str">
        <f t="array" ref="Y89">IF(OR($B89="",$D89=""),"",
IFERROR(
  INDEX(
    'Tools &amp; Targets_Guideline'!$C$54:$I$269,
    MATCH(
      1,
      ('Tools &amp; Targets_Guideline'!$A$54:$A$269=$B89)*
      ('Tools &amp; Targets_Guideline'!$B$54:$B$269="GM"),
      0
    ),
    MATCH(
      _xludf.IFNA(
        VLOOKUP($D89,{"PH","Provincial Hospital (H2)";"DH","District Hospital (H3)";"RH","Regional / National Hospital (H1)"},2,0),
        $D89
      ),
      'Tools &amp; Targets_Guideline'!$C$53:$I$53,
      0
    )
  ),
0))</f>
        <v/>
      </c>
      <c r="Z89" s="105"/>
      <c r="AA89" s="119" t="str">
        <f t="array" ref="AA89">IF(OR($B89="",$D89=""),"",
IFERROR(
  INDEX(
    'Tools &amp; Targets_Guideline'!$C$54:$I$269,
    MATCH(
      1,
      ('Tools &amp; Targets_Guideline'!$A$54:$A$269=$B89)*
      ('Tools &amp; Targets_Guideline'!$B$54:$B$269="Penta"),
      0
    ),
    MATCH(
      _xludf.IFNA(
        VLOOKUP($D89,{"PH","Provincial Hospital (H2)";"DH","District Hospital (H3)";"RH","Regional / National Hospital (H1)"},2,0),
        $D89
      ),
      'Tools &amp; Targets_Guideline'!$C$53:$I$53,
      0
    )
  ),
0))</f>
        <v/>
      </c>
      <c r="AB89" s="105"/>
      <c r="AC89" s="119" t="str">
        <f t="array" ref="AC89">IF(OR($B89="",$D89=""),"",
IFERROR(
  INDEX(
    'Tools &amp; Targets_Guideline'!$C$54:$I$269,
    MATCH(
      1,
      ('Tools &amp; Targets_Guideline'!$A$54:$A$269=$B89)*
      ('Tools &amp; Targets_Guideline'!$B$54:$B$269="TB"),
      0
    ),
    MATCH(
      _xludf.IFNA(
        VLOOKUP($D89,{"PH","Provincial Hospital (H2)";"DH","District Hospital (H3)";"RH","Regional / National Hospital (H1)"},2,0),
        $D89
      ),
      'Tools &amp; Targets_Guideline'!$C$53:$I$53,
      0
    )
  ),
0))</f>
        <v/>
      </c>
      <c r="AD89" s="105"/>
      <c r="AE89" s="119" t="str">
        <f t="array" ref="AE89">IF(OR($B89="",$D89=""),"",
IFERROR(
  INDEX(
    'Tools &amp; Targets_Guideline'!$C$54:$I$269,
    MATCH(
      1,
      ('Tools &amp; Targets_Guideline'!$A$54:$A$269=$B89)*
      ('Tools &amp; Targets_Guideline'!$B$54:$B$269="U5 Morbidity"),
      0
    ),
    MATCH(
      _xludf.IFNA(
        VLOOKUP($D89,{"PH","Provincial Hospital (H2)";"DH","District Hospital (H3)";"RH","Regional / National Hospital (H1)"},2,0),
        $D89
      ),
      'Tools &amp; Targets_Guideline'!$C$53:$I$53,
      0
    )
  ),
0))</f>
        <v/>
      </c>
      <c r="AF89" s="105"/>
      <c r="AG89" s="119" t="str">
        <f t="array" ref="AG89">IF(OR($B89="",$D89=""),"",
IFERROR(
  INDEX(
    'Tools &amp; Targets_Guideline'!$C$54:$I$269,
    MATCH(
      1,
      ('Tools &amp; Targets_Guideline'!$A$54:$A$269=$B89)*
      ('Tools &amp; Targets_Guideline'!$B$54:$B$269="C-Section"),
      0
    ),
    MATCH(
      _xludf.IFNA(
        VLOOKUP($D89,{"PH","Provincial Hospital (H2)";"DH","District Hospital (H3)";"RH","Regional / National Hospital (H1)"},2,0),
        $D89
      ),
      'Tools &amp; Targets_Guideline'!$C$53:$I$53,
      0
    )
  ),
0))</f>
        <v/>
      </c>
      <c r="AH89" s="105" t="str">
        <f>IF(A89&lt;&gt;"",COUNTIFS('QA Log'!D:D,A89,'QA Log'!M:M,"QQC",'QA Log'!L:L,"2. Hygiene and Sterilization",'QA Log'!Z:Z,"Approved"),"")</f>
        <v/>
      </c>
      <c r="AI89" s="102"/>
      <c r="AJ89" s="102"/>
      <c r="AK89" s="103" t="str">
        <f t="shared" si="2"/>
        <v/>
      </c>
      <c r="AL89" s="102"/>
      <c r="AM89" s="102"/>
      <c r="AN89" s="102"/>
      <c r="AO89" s="106"/>
      <c r="AP89" s="103"/>
      <c r="AQ89" s="102"/>
      <c r="AR89" s="102"/>
      <c r="AS89" s="102"/>
      <c r="AT89" s="107"/>
      <c r="AU89" s="102" t="str">
        <f t="shared" si="3"/>
        <v/>
      </c>
      <c r="AV89" s="102" t="str">
        <f t="shared" si="4"/>
        <v/>
      </c>
      <c r="AW89" s="102" t="str">
        <f t="shared" si="5"/>
        <v/>
      </c>
      <c r="AX89" s="102" t="str">
        <f t="shared" si="6"/>
        <v/>
      </c>
      <c r="AY89" s="107" t="str">
        <f t="shared" si="7"/>
        <v/>
      </c>
      <c r="AZ89" s="108" t="str">
        <f t="shared" si="8"/>
        <v/>
      </c>
      <c r="BA89" s="108" t="str">
        <f t="shared" si="9"/>
        <v/>
      </c>
      <c r="BB89" s="109" t="str">
        <f t="shared" si="10"/>
        <v/>
      </c>
      <c r="BC89" s="108" t="str">
        <f t="shared" si="11"/>
        <v/>
      </c>
      <c r="BD89" s="108" t="str">
        <f t="shared" si="12"/>
        <v/>
      </c>
      <c r="BE89" s="109" t="str">
        <f t="shared" si="13"/>
        <v/>
      </c>
      <c r="BF89" s="110" t="str">
        <f t="shared" si="14"/>
        <v/>
      </c>
      <c r="BG89" s="111"/>
    </row>
    <row r="90" spans="1:59" ht="12.75">
      <c r="A90" s="101"/>
      <c r="B90" s="102"/>
      <c r="C90" s="102" t="e">
        <f t="array" aca="1" ref="C90" ca="1">_xludf.XLOOKUP(A90,'QA Log'!D:D,'QA Log'!F:F,"")</f>
        <v>#NAME?</v>
      </c>
      <c r="D90" s="102"/>
      <c r="E90" s="102" t="e">
        <f t="array" aca="1" ref="E90" ca="1">_xludf.XLOOKUP(A90,'QA Log'!D:D,'QA Log'!G:G,"")</f>
        <v>#NAME?</v>
      </c>
      <c r="F90" s="103"/>
      <c r="G90" s="104"/>
      <c r="H90" s="104"/>
      <c r="I90" s="103" t="str">
        <f t="shared" si="0"/>
        <v/>
      </c>
      <c r="J90" s="102"/>
      <c r="K90" s="102"/>
      <c r="L90" s="119" t="str">
        <f t="array" ref="L90">IF(OR($B90="",$D90=""),"",
IFERROR(
  INDEX(
    'Tools &amp; Targets_Guideline'!$C$54:$I$269,
    MATCH(
      1,
      ('Tools &amp; Targets_Guideline'!$A$54:$A$269=$B90)*
      ('Tools &amp; Targets_Guideline'!$B$54:$B$269="ANC"),
      0
    ),
    MATCH(
      _xludf.IFNA(
        VLOOKUP($D90,{"PH","Provincial Hospital (H2)";"DH","District Hospital (H3)";"RH","Regional / National Hospital (H1)"},2,0),
        $D90
      ),
      'Tools &amp; Targets_Guideline'!$C$53:$I$53,
      0
    )
  ),
0))</f>
        <v/>
      </c>
      <c r="M90" s="105"/>
      <c r="N90" s="119" t="str">
        <f t="array" ref="N90">IF(OR($B90="",$D90=""),"",
IFERROR(
  INDEX(
    'Tools &amp; Targets_Guideline'!$C$54:$I$269,
    MATCH(
      1,
      ('Tools &amp; Targets_Guideline'!$A$54:$A$269=$B90)*
      ('Tools &amp; Targets_Guideline'!$B$54:$B$269="PNC"),
      0
    ),
    MATCH(
      _xludf.IFNA(
        VLOOKUP($D90,{"PH","Provincial Hospital (H2)";"DH","District Hospital (H3)";"RH","Regional / National Hospital (H1)"},2,0),
        $D90
      ),
      'Tools &amp; Targets_Guideline'!$C$53:$I$53,
      0
    )
  ),
0))</f>
        <v/>
      </c>
      <c r="O90" s="105"/>
      <c r="P90" s="119" t="str">
        <f t="array" ref="P90">IF(OR($B90="",$D90=""),"",
IFERROR(
  INDEX(
    'Tools &amp; Targets_Guideline'!$C$54:$I$269,
    MATCH(
      1,
      ('Tools &amp; Targets_Guideline'!$A$54:$A$269=$B90)*
      ('Tools &amp; Targets_Guideline'!$B$54:$B$269="Delivery"),
      0
    ),
    MATCH(
      _xludf.IFNA(
        VLOOKUP($D90,{"PH","Provincial Hospital (H2)";"DH","District Hospital (H3)";"RH","Regional / National Hospital (H1)"},2,0),
        $D90
      ),
      'Tools &amp; Targets_Guideline'!$C$53:$I$53,
      0
    )
  ),
0))</f>
        <v/>
      </c>
      <c r="Q90" s="105"/>
      <c r="R90" s="119" t="str">
        <f t="array" ref="R90">IF(OR($B90="",$D90=""),"",
IFERROR(
  INDEX(
    'Tools &amp; Targets_Guideline'!$C$54:$I$269,
    MATCH(
      1,
      ('Tools &amp; Targets_Guideline'!$A$54:$A$269=$B90)*
      ('Tools &amp; Targets_Guideline'!$B$54:$B$269="TT"),
      0
    ),
    MATCH(
      _xludf.IFNA(
        VLOOKUP($D90,{"PH","Provincial Hospital (H2)";"DH","District Hospital (H3)";"RH","Regional / National Hospital (H1)"},2,0),
        $D90
      ),
      'Tools &amp; Targets_Guideline'!$C$53:$I$53,
      0
    )
  ),
0))</f>
        <v/>
      </c>
      <c r="S90" s="105"/>
      <c r="T90" s="102"/>
      <c r="U90" s="106"/>
      <c r="V90" s="102" t="str">
        <f t="shared" si="1"/>
        <v/>
      </c>
      <c r="W90" s="102"/>
      <c r="X90" s="102"/>
      <c r="Y90" s="119" t="str">
        <f t="array" ref="Y90">IF(OR($B90="",$D90=""),"",
IFERROR(
  INDEX(
    'Tools &amp; Targets_Guideline'!$C$54:$I$269,
    MATCH(
      1,
      ('Tools &amp; Targets_Guideline'!$A$54:$A$269=$B90)*
      ('Tools &amp; Targets_Guideline'!$B$54:$B$269="GM"),
      0
    ),
    MATCH(
      _xludf.IFNA(
        VLOOKUP($D90,{"PH","Provincial Hospital (H2)";"DH","District Hospital (H3)";"RH","Regional / National Hospital (H1)"},2,0),
        $D90
      ),
      'Tools &amp; Targets_Guideline'!$C$53:$I$53,
      0
    )
  ),
0))</f>
        <v/>
      </c>
      <c r="Z90" s="105"/>
      <c r="AA90" s="119" t="str">
        <f t="array" ref="AA90">IF(OR($B90="",$D90=""),"",
IFERROR(
  INDEX(
    'Tools &amp; Targets_Guideline'!$C$54:$I$269,
    MATCH(
      1,
      ('Tools &amp; Targets_Guideline'!$A$54:$A$269=$B90)*
      ('Tools &amp; Targets_Guideline'!$B$54:$B$269="Penta"),
      0
    ),
    MATCH(
      _xludf.IFNA(
        VLOOKUP($D90,{"PH","Provincial Hospital (H2)";"DH","District Hospital (H3)";"RH","Regional / National Hospital (H1)"},2,0),
        $D90
      ),
      'Tools &amp; Targets_Guideline'!$C$53:$I$53,
      0
    )
  ),
0))</f>
        <v/>
      </c>
      <c r="AB90" s="105"/>
      <c r="AC90" s="119" t="str">
        <f t="array" ref="AC90">IF(OR($B90="",$D90=""),"",
IFERROR(
  INDEX(
    'Tools &amp; Targets_Guideline'!$C$54:$I$269,
    MATCH(
      1,
      ('Tools &amp; Targets_Guideline'!$A$54:$A$269=$B90)*
      ('Tools &amp; Targets_Guideline'!$B$54:$B$269="TB"),
      0
    ),
    MATCH(
      _xludf.IFNA(
        VLOOKUP($D90,{"PH","Provincial Hospital (H2)";"DH","District Hospital (H3)";"RH","Regional / National Hospital (H1)"},2,0),
        $D90
      ),
      'Tools &amp; Targets_Guideline'!$C$53:$I$53,
      0
    )
  ),
0))</f>
        <v/>
      </c>
      <c r="AD90" s="105"/>
      <c r="AE90" s="119" t="str">
        <f t="array" ref="AE90">IF(OR($B90="",$D90=""),"",
IFERROR(
  INDEX(
    'Tools &amp; Targets_Guideline'!$C$54:$I$269,
    MATCH(
      1,
      ('Tools &amp; Targets_Guideline'!$A$54:$A$269=$B90)*
      ('Tools &amp; Targets_Guideline'!$B$54:$B$269="U5 Morbidity"),
      0
    ),
    MATCH(
      _xludf.IFNA(
        VLOOKUP($D90,{"PH","Provincial Hospital (H2)";"DH","District Hospital (H3)";"RH","Regional / National Hospital (H1)"},2,0),
        $D90
      ),
      'Tools &amp; Targets_Guideline'!$C$53:$I$53,
      0
    )
  ),
0))</f>
        <v/>
      </c>
      <c r="AF90" s="105"/>
      <c r="AG90" s="119" t="str">
        <f t="array" ref="AG90">IF(OR($B90="",$D90=""),"",
IFERROR(
  INDEX(
    'Tools &amp; Targets_Guideline'!$C$54:$I$269,
    MATCH(
      1,
      ('Tools &amp; Targets_Guideline'!$A$54:$A$269=$B90)*
      ('Tools &amp; Targets_Guideline'!$B$54:$B$269="C-Section"),
      0
    ),
    MATCH(
      _xludf.IFNA(
        VLOOKUP($D90,{"PH","Provincial Hospital (H2)";"DH","District Hospital (H3)";"RH","Regional / National Hospital (H1)"},2,0),
        $D90
      ),
      'Tools &amp; Targets_Guideline'!$C$53:$I$53,
      0
    )
  ),
0))</f>
        <v/>
      </c>
      <c r="AH90" s="105" t="str">
        <f>IF(A90&lt;&gt;"",COUNTIFS('QA Log'!D:D,A90,'QA Log'!M:M,"QQC",'QA Log'!L:L,"2. Hygiene and Sterilization",'QA Log'!Z:Z,"Approved"),"")</f>
        <v/>
      </c>
      <c r="AI90" s="102"/>
      <c r="AJ90" s="102"/>
      <c r="AK90" s="103" t="str">
        <f t="shared" si="2"/>
        <v/>
      </c>
      <c r="AL90" s="102"/>
      <c r="AM90" s="102"/>
      <c r="AN90" s="102"/>
      <c r="AO90" s="106"/>
      <c r="AP90" s="103"/>
      <c r="AQ90" s="102"/>
      <c r="AR90" s="102"/>
      <c r="AS90" s="102"/>
      <c r="AT90" s="107"/>
      <c r="AU90" s="102" t="str">
        <f t="shared" si="3"/>
        <v/>
      </c>
      <c r="AV90" s="102" t="str">
        <f t="shared" si="4"/>
        <v/>
      </c>
      <c r="AW90" s="102" t="str">
        <f t="shared" si="5"/>
        <v/>
      </c>
      <c r="AX90" s="102" t="str">
        <f t="shared" si="6"/>
        <v/>
      </c>
      <c r="AY90" s="107" t="str">
        <f t="shared" si="7"/>
        <v/>
      </c>
      <c r="AZ90" s="108" t="str">
        <f t="shared" si="8"/>
        <v/>
      </c>
      <c r="BA90" s="108" t="str">
        <f t="shared" si="9"/>
        <v/>
      </c>
      <c r="BB90" s="109" t="str">
        <f t="shared" si="10"/>
        <v/>
      </c>
      <c r="BC90" s="108" t="str">
        <f t="shared" si="11"/>
        <v/>
      </c>
      <c r="BD90" s="108" t="str">
        <f t="shared" si="12"/>
        <v/>
      </c>
      <c r="BE90" s="109" t="str">
        <f t="shared" si="13"/>
        <v/>
      </c>
      <c r="BF90" s="110" t="str">
        <f t="shared" si="14"/>
        <v/>
      </c>
      <c r="BG90" s="111"/>
    </row>
    <row r="91" spans="1:59" ht="12.75">
      <c r="A91" s="101"/>
      <c r="B91" s="102"/>
      <c r="C91" s="102" t="e">
        <f t="array" aca="1" ref="C91" ca="1">_xludf.XLOOKUP(A91,'QA Log'!D:D,'QA Log'!F:F,"")</f>
        <v>#NAME?</v>
      </c>
      <c r="D91" s="102"/>
      <c r="E91" s="102" t="e">
        <f t="array" aca="1" ref="E91" ca="1">_xludf.XLOOKUP(A91,'QA Log'!D:D,'QA Log'!G:G,"")</f>
        <v>#NAME?</v>
      </c>
      <c r="F91" s="103"/>
      <c r="G91" s="104"/>
      <c r="H91" s="104"/>
      <c r="I91" s="103" t="str">
        <f t="shared" si="0"/>
        <v/>
      </c>
      <c r="J91" s="102"/>
      <c r="K91" s="102"/>
      <c r="L91" s="119" t="str">
        <f t="array" ref="L91">IF(OR($B91="",$D91=""),"",
IFERROR(
  INDEX(
    'Tools &amp; Targets_Guideline'!$C$54:$I$269,
    MATCH(
      1,
      ('Tools &amp; Targets_Guideline'!$A$54:$A$269=$B91)*
      ('Tools &amp; Targets_Guideline'!$B$54:$B$269="ANC"),
      0
    ),
    MATCH(
      _xludf.IFNA(
        VLOOKUP($D91,{"PH","Provincial Hospital (H2)";"DH","District Hospital (H3)";"RH","Regional / National Hospital (H1)"},2,0),
        $D91
      ),
      'Tools &amp; Targets_Guideline'!$C$53:$I$53,
      0
    )
  ),
0))</f>
        <v/>
      </c>
      <c r="M91" s="105"/>
      <c r="N91" s="119" t="str">
        <f t="array" ref="N91">IF(OR($B91="",$D91=""),"",
IFERROR(
  INDEX(
    'Tools &amp; Targets_Guideline'!$C$54:$I$269,
    MATCH(
      1,
      ('Tools &amp; Targets_Guideline'!$A$54:$A$269=$B91)*
      ('Tools &amp; Targets_Guideline'!$B$54:$B$269="PNC"),
      0
    ),
    MATCH(
      _xludf.IFNA(
        VLOOKUP($D91,{"PH","Provincial Hospital (H2)";"DH","District Hospital (H3)";"RH","Regional / National Hospital (H1)"},2,0),
        $D91
      ),
      'Tools &amp; Targets_Guideline'!$C$53:$I$53,
      0
    )
  ),
0))</f>
        <v/>
      </c>
      <c r="O91" s="105"/>
      <c r="P91" s="119" t="str">
        <f t="array" ref="P91">IF(OR($B91="",$D91=""),"",
IFERROR(
  INDEX(
    'Tools &amp; Targets_Guideline'!$C$54:$I$269,
    MATCH(
      1,
      ('Tools &amp; Targets_Guideline'!$A$54:$A$269=$B91)*
      ('Tools &amp; Targets_Guideline'!$B$54:$B$269="Delivery"),
      0
    ),
    MATCH(
      _xludf.IFNA(
        VLOOKUP($D91,{"PH","Provincial Hospital (H2)";"DH","District Hospital (H3)";"RH","Regional / National Hospital (H1)"},2,0),
        $D91
      ),
      'Tools &amp; Targets_Guideline'!$C$53:$I$53,
      0
    )
  ),
0))</f>
        <v/>
      </c>
      <c r="Q91" s="105"/>
      <c r="R91" s="119" t="str">
        <f t="array" ref="R91">IF(OR($B91="",$D91=""),"",
IFERROR(
  INDEX(
    'Tools &amp; Targets_Guideline'!$C$54:$I$269,
    MATCH(
      1,
      ('Tools &amp; Targets_Guideline'!$A$54:$A$269=$B91)*
      ('Tools &amp; Targets_Guideline'!$B$54:$B$269="TT"),
      0
    ),
    MATCH(
      _xludf.IFNA(
        VLOOKUP($D91,{"PH","Provincial Hospital (H2)";"DH","District Hospital (H3)";"RH","Regional / National Hospital (H1)"},2,0),
        $D91
      ),
      'Tools &amp; Targets_Guideline'!$C$53:$I$53,
      0
    )
  ),
0))</f>
        <v/>
      </c>
      <c r="S91" s="105"/>
      <c r="T91" s="102"/>
      <c r="U91" s="106"/>
      <c r="V91" s="102" t="str">
        <f t="shared" si="1"/>
        <v/>
      </c>
      <c r="W91" s="102"/>
      <c r="X91" s="102"/>
      <c r="Y91" s="119" t="str">
        <f t="array" ref="Y91">IF(OR($B91="",$D91=""),"",
IFERROR(
  INDEX(
    'Tools &amp; Targets_Guideline'!$C$54:$I$269,
    MATCH(
      1,
      ('Tools &amp; Targets_Guideline'!$A$54:$A$269=$B91)*
      ('Tools &amp; Targets_Guideline'!$B$54:$B$269="GM"),
      0
    ),
    MATCH(
      _xludf.IFNA(
        VLOOKUP($D91,{"PH","Provincial Hospital (H2)";"DH","District Hospital (H3)";"RH","Regional / National Hospital (H1)"},2,0),
        $D91
      ),
      'Tools &amp; Targets_Guideline'!$C$53:$I$53,
      0
    )
  ),
0))</f>
        <v/>
      </c>
      <c r="Z91" s="105"/>
      <c r="AA91" s="119" t="str">
        <f t="array" ref="AA91">IF(OR($B91="",$D91=""),"",
IFERROR(
  INDEX(
    'Tools &amp; Targets_Guideline'!$C$54:$I$269,
    MATCH(
      1,
      ('Tools &amp; Targets_Guideline'!$A$54:$A$269=$B91)*
      ('Tools &amp; Targets_Guideline'!$B$54:$B$269="Penta"),
      0
    ),
    MATCH(
      _xludf.IFNA(
        VLOOKUP($D91,{"PH","Provincial Hospital (H2)";"DH","District Hospital (H3)";"RH","Regional / National Hospital (H1)"},2,0),
        $D91
      ),
      'Tools &amp; Targets_Guideline'!$C$53:$I$53,
      0
    )
  ),
0))</f>
        <v/>
      </c>
      <c r="AB91" s="105"/>
      <c r="AC91" s="119" t="str">
        <f t="array" ref="AC91">IF(OR($B91="",$D91=""),"",
IFERROR(
  INDEX(
    'Tools &amp; Targets_Guideline'!$C$54:$I$269,
    MATCH(
      1,
      ('Tools &amp; Targets_Guideline'!$A$54:$A$269=$B91)*
      ('Tools &amp; Targets_Guideline'!$B$54:$B$269="TB"),
      0
    ),
    MATCH(
      _xludf.IFNA(
        VLOOKUP($D91,{"PH","Provincial Hospital (H2)";"DH","District Hospital (H3)";"RH","Regional / National Hospital (H1)"},2,0),
        $D91
      ),
      'Tools &amp; Targets_Guideline'!$C$53:$I$53,
      0
    )
  ),
0))</f>
        <v/>
      </c>
      <c r="AD91" s="105"/>
      <c r="AE91" s="119" t="str">
        <f t="array" ref="AE91">IF(OR($B91="",$D91=""),"",
IFERROR(
  INDEX(
    'Tools &amp; Targets_Guideline'!$C$54:$I$269,
    MATCH(
      1,
      ('Tools &amp; Targets_Guideline'!$A$54:$A$269=$B91)*
      ('Tools &amp; Targets_Guideline'!$B$54:$B$269="U5 Morbidity"),
      0
    ),
    MATCH(
      _xludf.IFNA(
        VLOOKUP($D91,{"PH","Provincial Hospital (H2)";"DH","District Hospital (H3)";"RH","Regional / National Hospital (H1)"},2,0),
        $D91
      ),
      'Tools &amp; Targets_Guideline'!$C$53:$I$53,
      0
    )
  ),
0))</f>
        <v/>
      </c>
      <c r="AF91" s="105"/>
      <c r="AG91" s="119" t="str">
        <f t="array" ref="AG91">IF(OR($B91="",$D91=""),"",
IFERROR(
  INDEX(
    'Tools &amp; Targets_Guideline'!$C$54:$I$269,
    MATCH(
      1,
      ('Tools &amp; Targets_Guideline'!$A$54:$A$269=$B91)*
      ('Tools &amp; Targets_Guideline'!$B$54:$B$269="C-Section"),
      0
    ),
    MATCH(
      _xludf.IFNA(
        VLOOKUP($D91,{"PH","Provincial Hospital (H2)";"DH","District Hospital (H3)";"RH","Regional / National Hospital (H1)"},2,0),
        $D91
      ),
      'Tools &amp; Targets_Guideline'!$C$53:$I$53,
      0
    )
  ),
0))</f>
        <v/>
      </c>
      <c r="AH91" s="105" t="str">
        <f>IF(A91&lt;&gt;"",COUNTIFS('QA Log'!D:D,A91,'QA Log'!M:M,"QQC",'QA Log'!L:L,"2. Hygiene and Sterilization",'QA Log'!Z:Z,"Approved"),"")</f>
        <v/>
      </c>
      <c r="AI91" s="102"/>
      <c r="AJ91" s="102"/>
      <c r="AK91" s="103" t="str">
        <f t="shared" si="2"/>
        <v/>
      </c>
      <c r="AL91" s="102"/>
      <c r="AM91" s="102"/>
      <c r="AN91" s="102"/>
      <c r="AO91" s="106"/>
      <c r="AP91" s="103"/>
      <c r="AQ91" s="102"/>
      <c r="AR91" s="102"/>
      <c r="AS91" s="102"/>
      <c r="AT91" s="107"/>
      <c r="AU91" s="102" t="str">
        <f t="shared" si="3"/>
        <v/>
      </c>
      <c r="AV91" s="102" t="str">
        <f t="shared" si="4"/>
        <v/>
      </c>
      <c r="AW91" s="102" t="str">
        <f t="shared" si="5"/>
        <v/>
      </c>
      <c r="AX91" s="102" t="str">
        <f t="shared" si="6"/>
        <v/>
      </c>
      <c r="AY91" s="107" t="str">
        <f t="shared" si="7"/>
        <v/>
      </c>
      <c r="AZ91" s="108" t="str">
        <f t="shared" si="8"/>
        <v/>
      </c>
      <c r="BA91" s="108" t="str">
        <f t="shared" si="9"/>
        <v/>
      </c>
      <c r="BB91" s="109" t="str">
        <f t="shared" si="10"/>
        <v/>
      </c>
      <c r="BC91" s="108" t="str">
        <f t="shared" si="11"/>
        <v/>
      </c>
      <c r="BD91" s="108" t="str">
        <f t="shared" si="12"/>
        <v/>
      </c>
      <c r="BE91" s="109" t="str">
        <f t="shared" si="13"/>
        <v/>
      </c>
      <c r="BF91" s="110" t="str">
        <f t="shared" si="14"/>
        <v/>
      </c>
      <c r="BG91" s="111"/>
    </row>
    <row r="92" spans="1:59" ht="12.75">
      <c r="A92" s="101"/>
      <c r="B92" s="102"/>
      <c r="C92" s="102" t="e">
        <f t="array" aca="1" ref="C92" ca="1">_xludf.XLOOKUP(A92,'QA Log'!D:D,'QA Log'!F:F,"")</f>
        <v>#NAME?</v>
      </c>
      <c r="D92" s="102"/>
      <c r="E92" s="102" t="e">
        <f t="array" aca="1" ref="E92" ca="1">_xludf.XLOOKUP(A92,'QA Log'!D:D,'QA Log'!G:G,"")</f>
        <v>#NAME?</v>
      </c>
      <c r="F92" s="103"/>
      <c r="G92" s="104"/>
      <c r="H92" s="104"/>
      <c r="I92" s="103" t="str">
        <f t="shared" si="0"/>
        <v/>
      </c>
      <c r="J92" s="102"/>
      <c r="K92" s="102"/>
      <c r="L92" s="119" t="str">
        <f t="array" ref="L92">IF(OR($B92="",$D92=""),"",
IFERROR(
  INDEX(
    'Tools &amp; Targets_Guideline'!$C$54:$I$269,
    MATCH(
      1,
      ('Tools &amp; Targets_Guideline'!$A$54:$A$269=$B92)*
      ('Tools &amp; Targets_Guideline'!$B$54:$B$269="ANC"),
      0
    ),
    MATCH(
      _xludf.IFNA(
        VLOOKUP($D92,{"PH","Provincial Hospital (H2)";"DH","District Hospital (H3)";"RH","Regional / National Hospital (H1)"},2,0),
        $D92
      ),
      'Tools &amp; Targets_Guideline'!$C$53:$I$53,
      0
    )
  ),
0))</f>
        <v/>
      </c>
      <c r="M92" s="105"/>
      <c r="N92" s="119" t="str">
        <f t="array" ref="N92">IF(OR($B92="",$D92=""),"",
IFERROR(
  INDEX(
    'Tools &amp; Targets_Guideline'!$C$54:$I$269,
    MATCH(
      1,
      ('Tools &amp; Targets_Guideline'!$A$54:$A$269=$B92)*
      ('Tools &amp; Targets_Guideline'!$B$54:$B$269="PNC"),
      0
    ),
    MATCH(
      _xludf.IFNA(
        VLOOKUP($D92,{"PH","Provincial Hospital (H2)";"DH","District Hospital (H3)";"RH","Regional / National Hospital (H1)"},2,0),
        $D92
      ),
      'Tools &amp; Targets_Guideline'!$C$53:$I$53,
      0
    )
  ),
0))</f>
        <v/>
      </c>
      <c r="O92" s="105"/>
      <c r="P92" s="119" t="str">
        <f t="array" ref="P92">IF(OR($B92="",$D92=""),"",
IFERROR(
  INDEX(
    'Tools &amp; Targets_Guideline'!$C$54:$I$269,
    MATCH(
      1,
      ('Tools &amp; Targets_Guideline'!$A$54:$A$269=$B92)*
      ('Tools &amp; Targets_Guideline'!$B$54:$B$269="Delivery"),
      0
    ),
    MATCH(
      _xludf.IFNA(
        VLOOKUP($D92,{"PH","Provincial Hospital (H2)";"DH","District Hospital (H3)";"RH","Regional / National Hospital (H1)"},2,0),
        $D92
      ),
      'Tools &amp; Targets_Guideline'!$C$53:$I$53,
      0
    )
  ),
0))</f>
        <v/>
      </c>
      <c r="Q92" s="105"/>
      <c r="R92" s="119" t="str">
        <f t="array" ref="R92">IF(OR($B92="",$D92=""),"",
IFERROR(
  INDEX(
    'Tools &amp; Targets_Guideline'!$C$54:$I$269,
    MATCH(
      1,
      ('Tools &amp; Targets_Guideline'!$A$54:$A$269=$B92)*
      ('Tools &amp; Targets_Guideline'!$B$54:$B$269="TT"),
      0
    ),
    MATCH(
      _xludf.IFNA(
        VLOOKUP($D92,{"PH","Provincial Hospital (H2)";"DH","District Hospital (H3)";"RH","Regional / National Hospital (H1)"},2,0),
        $D92
      ),
      'Tools &amp; Targets_Guideline'!$C$53:$I$53,
      0
    )
  ),
0))</f>
        <v/>
      </c>
      <c r="S92" s="105"/>
      <c r="T92" s="102"/>
      <c r="U92" s="106"/>
      <c r="V92" s="102" t="str">
        <f t="shared" si="1"/>
        <v/>
      </c>
      <c r="W92" s="102"/>
      <c r="X92" s="102"/>
      <c r="Y92" s="119" t="str">
        <f t="array" ref="Y92">IF(OR($B92="",$D92=""),"",
IFERROR(
  INDEX(
    'Tools &amp; Targets_Guideline'!$C$54:$I$269,
    MATCH(
      1,
      ('Tools &amp; Targets_Guideline'!$A$54:$A$269=$B92)*
      ('Tools &amp; Targets_Guideline'!$B$54:$B$269="GM"),
      0
    ),
    MATCH(
      _xludf.IFNA(
        VLOOKUP($D92,{"PH","Provincial Hospital (H2)";"DH","District Hospital (H3)";"RH","Regional / National Hospital (H1)"},2,0),
        $D92
      ),
      'Tools &amp; Targets_Guideline'!$C$53:$I$53,
      0
    )
  ),
0))</f>
        <v/>
      </c>
      <c r="Z92" s="105"/>
      <c r="AA92" s="119" t="str">
        <f t="array" ref="AA92">IF(OR($B92="",$D92=""),"",
IFERROR(
  INDEX(
    'Tools &amp; Targets_Guideline'!$C$54:$I$269,
    MATCH(
      1,
      ('Tools &amp; Targets_Guideline'!$A$54:$A$269=$B92)*
      ('Tools &amp; Targets_Guideline'!$B$54:$B$269="Penta"),
      0
    ),
    MATCH(
      _xludf.IFNA(
        VLOOKUP($D92,{"PH","Provincial Hospital (H2)";"DH","District Hospital (H3)";"RH","Regional / National Hospital (H1)"},2,0),
        $D92
      ),
      'Tools &amp; Targets_Guideline'!$C$53:$I$53,
      0
    )
  ),
0))</f>
        <v/>
      </c>
      <c r="AB92" s="105"/>
      <c r="AC92" s="119" t="str">
        <f t="array" ref="AC92">IF(OR($B92="",$D92=""),"",
IFERROR(
  INDEX(
    'Tools &amp; Targets_Guideline'!$C$54:$I$269,
    MATCH(
      1,
      ('Tools &amp; Targets_Guideline'!$A$54:$A$269=$B92)*
      ('Tools &amp; Targets_Guideline'!$B$54:$B$269="TB"),
      0
    ),
    MATCH(
      _xludf.IFNA(
        VLOOKUP($D92,{"PH","Provincial Hospital (H2)";"DH","District Hospital (H3)";"RH","Regional / National Hospital (H1)"},2,0),
        $D92
      ),
      'Tools &amp; Targets_Guideline'!$C$53:$I$53,
      0
    )
  ),
0))</f>
        <v/>
      </c>
      <c r="AD92" s="105"/>
      <c r="AE92" s="119" t="str">
        <f t="array" ref="AE92">IF(OR($B92="",$D92=""),"",
IFERROR(
  INDEX(
    'Tools &amp; Targets_Guideline'!$C$54:$I$269,
    MATCH(
      1,
      ('Tools &amp; Targets_Guideline'!$A$54:$A$269=$B92)*
      ('Tools &amp; Targets_Guideline'!$B$54:$B$269="U5 Morbidity"),
      0
    ),
    MATCH(
      _xludf.IFNA(
        VLOOKUP($D92,{"PH","Provincial Hospital (H2)";"DH","District Hospital (H3)";"RH","Regional / National Hospital (H1)"},2,0),
        $D92
      ),
      'Tools &amp; Targets_Guideline'!$C$53:$I$53,
      0
    )
  ),
0))</f>
        <v/>
      </c>
      <c r="AF92" s="105"/>
      <c r="AG92" s="119" t="str">
        <f t="array" ref="AG92">IF(OR($B92="",$D92=""),"",
IFERROR(
  INDEX(
    'Tools &amp; Targets_Guideline'!$C$54:$I$269,
    MATCH(
      1,
      ('Tools &amp; Targets_Guideline'!$A$54:$A$269=$B92)*
      ('Tools &amp; Targets_Guideline'!$B$54:$B$269="C-Section"),
      0
    ),
    MATCH(
      _xludf.IFNA(
        VLOOKUP($D92,{"PH","Provincial Hospital (H2)";"DH","District Hospital (H3)";"RH","Regional / National Hospital (H1)"},2,0),
        $D92
      ),
      'Tools &amp; Targets_Guideline'!$C$53:$I$53,
      0
    )
  ),
0))</f>
        <v/>
      </c>
      <c r="AH92" s="105" t="str">
        <f>IF(A92&lt;&gt;"",COUNTIFS('QA Log'!D:D,A92,'QA Log'!M:M,"QQC",'QA Log'!L:L,"2. Hygiene and Sterilization",'QA Log'!Z:Z,"Approved"),"")</f>
        <v/>
      </c>
      <c r="AI92" s="102"/>
      <c r="AJ92" s="102"/>
      <c r="AK92" s="103" t="str">
        <f t="shared" si="2"/>
        <v/>
      </c>
      <c r="AL92" s="102"/>
      <c r="AM92" s="102"/>
      <c r="AN92" s="102"/>
      <c r="AO92" s="106"/>
      <c r="AP92" s="103"/>
      <c r="AQ92" s="102"/>
      <c r="AR92" s="102"/>
      <c r="AS92" s="102"/>
      <c r="AT92" s="107"/>
      <c r="AU92" s="102" t="str">
        <f t="shared" si="3"/>
        <v/>
      </c>
      <c r="AV92" s="102" t="str">
        <f t="shared" si="4"/>
        <v/>
      </c>
      <c r="AW92" s="102" t="str">
        <f t="shared" si="5"/>
        <v/>
      </c>
      <c r="AX92" s="102" t="str">
        <f t="shared" si="6"/>
        <v/>
      </c>
      <c r="AY92" s="107" t="str">
        <f t="shared" si="7"/>
        <v/>
      </c>
      <c r="AZ92" s="108" t="str">
        <f t="shared" si="8"/>
        <v/>
      </c>
      <c r="BA92" s="108" t="str">
        <f t="shared" si="9"/>
        <v/>
      </c>
      <c r="BB92" s="109" t="str">
        <f t="shared" si="10"/>
        <v/>
      </c>
      <c r="BC92" s="108" t="str">
        <f t="shared" si="11"/>
        <v/>
      </c>
      <c r="BD92" s="108" t="str">
        <f t="shared" si="12"/>
        <v/>
      </c>
      <c r="BE92" s="109" t="str">
        <f t="shared" si="13"/>
        <v/>
      </c>
      <c r="BF92" s="110" t="str">
        <f t="shared" si="14"/>
        <v/>
      </c>
      <c r="BG92" s="111"/>
    </row>
    <row r="93" spans="1:59" ht="12.75">
      <c r="A93" s="101"/>
      <c r="B93" s="102"/>
      <c r="C93" s="102" t="e">
        <f t="array" aca="1" ref="C93" ca="1">_xludf.XLOOKUP(A93,'QA Log'!D:D,'QA Log'!F:F,"")</f>
        <v>#NAME?</v>
      </c>
      <c r="D93" s="102"/>
      <c r="E93" s="102" t="e">
        <f t="array" aca="1" ref="E93" ca="1">_xludf.XLOOKUP(A93,'QA Log'!D:D,'QA Log'!G:G,"")</f>
        <v>#NAME?</v>
      </c>
      <c r="F93" s="103"/>
      <c r="G93" s="104"/>
      <c r="H93" s="104"/>
      <c r="I93" s="103" t="str">
        <f t="shared" si="0"/>
        <v/>
      </c>
      <c r="J93" s="102"/>
      <c r="K93" s="102"/>
      <c r="L93" s="119" t="str">
        <f t="array" ref="L93">IF(OR($B93="",$D93=""),"",
IFERROR(
  INDEX(
    'Tools &amp; Targets_Guideline'!$C$54:$I$269,
    MATCH(
      1,
      ('Tools &amp; Targets_Guideline'!$A$54:$A$269=$B93)*
      ('Tools &amp; Targets_Guideline'!$B$54:$B$269="ANC"),
      0
    ),
    MATCH(
      _xludf.IFNA(
        VLOOKUP($D93,{"PH","Provincial Hospital (H2)";"DH","District Hospital (H3)";"RH","Regional / National Hospital (H1)"},2,0),
        $D93
      ),
      'Tools &amp; Targets_Guideline'!$C$53:$I$53,
      0
    )
  ),
0))</f>
        <v/>
      </c>
      <c r="M93" s="105"/>
      <c r="N93" s="119" t="str">
        <f t="array" ref="N93">IF(OR($B93="",$D93=""),"",
IFERROR(
  INDEX(
    'Tools &amp; Targets_Guideline'!$C$54:$I$269,
    MATCH(
      1,
      ('Tools &amp; Targets_Guideline'!$A$54:$A$269=$B93)*
      ('Tools &amp; Targets_Guideline'!$B$54:$B$269="PNC"),
      0
    ),
    MATCH(
      _xludf.IFNA(
        VLOOKUP($D93,{"PH","Provincial Hospital (H2)";"DH","District Hospital (H3)";"RH","Regional / National Hospital (H1)"},2,0),
        $D93
      ),
      'Tools &amp; Targets_Guideline'!$C$53:$I$53,
      0
    )
  ),
0))</f>
        <v/>
      </c>
      <c r="O93" s="105"/>
      <c r="P93" s="119" t="str">
        <f t="array" ref="P93">IF(OR($B93="",$D93=""),"",
IFERROR(
  INDEX(
    'Tools &amp; Targets_Guideline'!$C$54:$I$269,
    MATCH(
      1,
      ('Tools &amp; Targets_Guideline'!$A$54:$A$269=$B93)*
      ('Tools &amp; Targets_Guideline'!$B$54:$B$269="Delivery"),
      0
    ),
    MATCH(
      _xludf.IFNA(
        VLOOKUP($D93,{"PH","Provincial Hospital (H2)";"DH","District Hospital (H3)";"RH","Regional / National Hospital (H1)"},2,0),
        $D93
      ),
      'Tools &amp; Targets_Guideline'!$C$53:$I$53,
      0
    )
  ),
0))</f>
        <v/>
      </c>
      <c r="Q93" s="105"/>
      <c r="R93" s="119" t="str">
        <f t="array" ref="R93">IF(OR($B93="",$D93=""),"",
IFERROR(
  INDEX(
    'Tools &amp; Targets_Guideline'!$C$54:$I$269,
    MATCH(
      1,
      ('Tools &amp; Targets_Guideline'!$A$54:$A$269=$B93)*
      ('Tools &amp; Targets_Guideline'!$B$54:$B$269="TT"),
      0
    ),
    MATCH(
      _xludf.IFNA(
        VLOOKUP($D93,{"PH","Provincial Hospital (H2)";"DH","District Hospital (H3)";"RH","Regional / National Hospital (H1)"},2,0),
        $D93
      ),
      'Tools &amp; Targets_Guideline'!$C$53:$I$53,
      0
    )
  ),
0))</f>
        <v/>
      </c>
      <c r="S93" s="105"/>
      <c r="T93" s="102"/>
      <c r="U93" s="106"/>
      <c r="V93" s="102" t="str">
        <f t="shared" si="1"/>
        <v/>
      </c>
      <c r="W93" s="102"/>
      <c r="X93" s="102"/>
      <c r="Y93" s="119" t="str">
        <f t="array" ref="Y93">IF(OR($B93="",$D93=""),"",
IFERROR(
  INDEX(
    'Tools &amp; Targets_Guideline'!$C$54:$I$269,
    MATCH(
      1,
      ('Tools &amp; Targets_Guideline'!$A$54:$A$269=$B93)*
      ('Tools &amp; Targets_Guideline'!$B$54:$B$269="GM"),
      0
    ),
    MATCH(
      _xludf.IFNA(
        VLOOKUP($D93,{"PH","Provincial Hospital (H2)";"DH","District Hospital (H3)";"RH","Regional / National Hospital (H1)"},2,0),
        $D93
      ),
      'Tools &amp; Targets_Guideline'!$C$53:$I$53,
      0
    )
  ),
0))</f>
        <v/>
      </c>
      <c r="Z93" s="105"/>
      <c r="AA93" s="119" t="str">
        <f t="array" ref="AA93">IF(OR($B93="",$D93=""),"",
IFERROR(
  INDEX(
    'Tools &amp; Targets_Guideline'!$C$54:$I$269,
    MATCH(
      1,
      ('Tools &amp; Targets_Guideline'!$A$54:$A$269=$B93)*
      ('Tools &amp; Targets_Guideline'!$B$54:$B$269="Penta"),
      0
    ),
    MATCH(
      _xludf.IFNA(
        VLOOKUP($D93,{"PH","Provincial Hospital (H2)";"DH","District Hospital (H3)";"RH","Regional / National Hospital (H1)"},2,0),
        $D93
      ),
      'Tools &amp; Targets_Guideline'!$C$53:$I$53,
      0
    )
  ),
0))</f>
        <v/>
      </c>
      <c r="AB93" s="105"/>
      <c r="AC93" s="119" t="str">
        <f t="array" ref="AC93">IF(OR($B93="",$D93=""),"",
IFERROR(
  INDEX(
    'Tools &amp; Targets_Guideline'!$C$54:$I$269,
    MATCH(
      1,
      ('Tools &amp; Targets_Guideline'!$A$54:$A$269=$B93)*
      ('Tools &amp; Targets_Guideline'!$B$54:$B$269="TB"),
      0
    ),
    MATCH(
      _xludf.IFNA(
        VLOOKUP($D93,{"PH","Provincial Hospital (H2)";"DH","District Hospital (H3)";"RH","Regional / National Hospital (H1)"},2,0),
        $D93
      ),
      'Tools &amp; Targets_Guideline'!$C$53:$I$53,
      0
    )
  ),
0))</f>
        <v/>
      </c>
      <c r="AD93" s="105"/>
      <c r="AE93" s="119" t="str">
        <f t="array" ref="AE93">IF(OR($B93="",$D93=""),"",
IFERROR(
  INDEX(
    'Tools &amp; Targets_Guideline'!$C$54:$I$269,
    MATCH(
      1,
      ('Tools &amp; Targets_Guideline'!$A$54:$A$269=$B93)*
      ('Tools &amp; Targets_Guideline'!$B$54:$B$269="U5 Morbidity"),
      0
    ),
    MATCH(
      _xludf.IFNA(
        VLOOKUP($D93,{"PH","Provincial Hospital (H2)";"DH","District Hospital (H3)";"RH","Regional / National Hospital (H1)"},2,0),
        $D93
      ),
      'Tools &amp; Targets_Guideline'!$C$53:$I$53,
      0
    )
  ),
0))</f>
        <v/>
      </c>
      <c r="AF93" s="105"/>
      <c r="AG93" s="119" t="str">
        <f t="array" ref="AG93">IF(OR($B93="",$D93=""),"",
IFERROR(
  INDEX(
    'Tools &amp; Targets_Guideline'!$C$54:$I$269,
    MATCH(
      1,
      ('Tools &amp; Targets_Guideline'!$A$54:$A$269=$B93)*
      ('Tools &amp; Targets_Guideline'!$B$54:$B$269="C-Section"),
      0
    ),
    MATCH(
      _xludf.IFNA(
        VLOOKUP($D93,{"PH","Provincial Hospital (H2)";"DH","District Hospital (H3)";"RH","Regional / National Hospital (H1)"},2,0),
        $D93
      ),
      'Tools &amp; Targets_Guideline'!$C$53:$I$53,
      0
    )
  ),
0))</f>
        <v/>
      </c>
      <c r="AH93" s="105" t="str">
        <f>IF(A93&lt;&gt;"",COUNTIFS('QA Log'!D:D,A93,'QA Log'!M:M,"QQC",'QA Log'!L:L,"2. Hygiene and Sterilization",'QA Log'!Z:Z,"Approved"),"")</f>
        <v/>
      </c>
      <c r="AI93" s="102"/>
      <c r="AJ93" s="102"/>
      <c r="AK93" s="103" t="str">
        <f t="shared" si="2"/>
        <v/>
      </c>
      <c r="AL93" s="102"/>
      <c r="AM93" s="102"/>
      <c r="AN93" s="102"/>
      <c r="AO93" s="106"/>
      <c r="AP93" s="103"/>
      <c r="AQ93" s="102"/>
      <c r="AR93" s="102"/>
      <c r="AS93" s="102"/>
      <c r="AT93" s="107"/>
      <c r="AU93" s="102" t="str">
        <f t="shared" si="3"/>
        <v/>
      </c>
      <c r="AV93" s="102" t="str">
        <f t="shared" si="4"/>
        <v/>
      </c>
      <c r="AW93" s="102" t="str">
        <f t="shared" si="5"/>
        <v/>
      </c>
      <c r="AX93" s="102" t="str">
        <f t="shared" si="6"/>
        <v/>
      </c>
      <c r="AY93" s="107" t="str">
        <f t="shared" si="7"/>
        <v/>
      </c>
      <c r="AZ93" s="108" t="str">
        <f t="shared" si="8"/>
        <v/>
      </c>
      <c r="BA93" s="108" t="str">
        <f t="shared" si="9"/>
        <v/>
      </c>
      <c r="BB93" s="109" t="str">
        <f t="shared" si="10"/>
        <v/>
      </c>
      <c r="BC93" s="108" t="str">
        <f t="shared" si="11"/>
        <v/>
      </c>
      <c r="BD93" s="108" t="str">
        <f t="shared" si="12"/>
        <v/>
      </c>
      <c r="BE93" s="109" t="str">
        <f t="shared" si="13"/>
        <v/>
      </c>
      <c r="BF93" s="110" t="str">
        <f t="shared" si="14"/>
        <v/>
      </c>
      <c r="BG93" s="111"/>
    </row>
    <row r="94" spans="1:59" ht="12.75">
      <c r="A94" s="101"/>
      <c r="B94" s="102"/>
      <c r="C94" s="102" t="e">
        <f t="array" aca="1" ref="C94" ca="1">_xludf.XLOOKUP(A94,'QA Log'!D:D,'QA Log'!F:F,"")</f>
        <v>#NAME?</v>
      </c>
      <c r="D94" s="102"/>
      <c r="E94" s="102" t="e">
        <f t="array" aca="1" ref="E94" ca="1">_xludf.XLOOKUP(A94,'QA Log'!D:D,'QA Log'!G:G,"")</f>
        <v>#NAME?</v>
      </c>
      <c r="F94" s="103"/>
      <c r="G94" s="104"/>
      <c r="H94" s="104"/>
      <c r="I94" s="103" t="str">
        <f t="shared" si="0"/>
        <v/>
      </c>
      <c r="J94" s="102"/>
      <c r="K94" s="102"/>
      <c r="L94" s="119" t="str">
        <f t="array" ref="L94">IF(OR($B94="",$D94=""),"",
IFERROR(
  INDEX(
    'Tools &amp; Targets_Guideline'!$C$54:$I$269,
    MATCH(
      1,
      ('Tools &amp; Targets_Guideline'!$A$54:$A$269=$B94)*
      ('Tools &amp; Targets_Guideline'!$B$54:$B$269="ANC"),
      0
    ),
    MATCH(
      _xludf.IFNA(
        VLOOKUP($D94,{"PH","Provincial Hospital (H2)";"DH","District Hospital (H3)";"RH","Regional / National Hospital (H1)"},2,0),
        $D94
      ),
      'Tools &amp; Targets_Guideline'!$C$53:$I$53,
      0
    )
  ),
0))</f>
        <v/>
      </c>
      <c r="M94" s="105"/>
      <c r="N94" s="119" t="str">
        <f t="array" ref="N94">IF(OR($B94="",$D94=""),"",
IFERROR(
  INDEX(
    'Tools &amp; Targets_Guideline'!$C$54:$I$269,
    MATCH(
      1,
      ('Tools &amp; Targets_Guideline'!$A$54:$A$269=$B94)*
      ('Tools &amp; Targets_Guideline'!$B$54:$B$269="PNC"),
      0
    ),
    MATCH(
      _xludf.IFNA(
        VLOOKUP($D94,{"PH","Provincial Hospital (H2)";"DH","District Hospital (H3)";"RH","Regional / National Hospital (H1)"},2,0),
        $D94
      ),
      'Tools &amp; Targets_Guideline'!$C$53:$I$53,
      0
    )
  ),
0))</f>
        <v/>
      </c>
      <c r="O94" s="105"/>
      <c r="P94" s="119" t="str">
        <f t="array" ref="P94">IF(OR($B94="",$D94=""),"",
IFERROR(
  INDEX(
    'Tools &amp; Targets_Guideline'!$C$54:$I$269,
    MATCH(
      1,
      ('Tools &amp; Targets_Guideline'!$A$54:$A$269=$B94)*
      ('Tools &amp; Targets_Guideline'!$B$54:$B$269="Delivery"),
      0
    ),
    MATCH(
      _xludf.IFNA(
        VLOOKUP($D94,{"PH","Provincial Hospital (H2)";"DH","District Hospital (H3)";"RH","Regional / National Hospital (H1)"},2,0),
        $D94
      ),
      'Tools &amp; Targets_Guideline'!$C$53:$I$53,
      0
    )
  ),
0))</f>
        <v/>
      </c>
      <c r="Q94" s="105"/>
      <c r="R94" s="119" t="str">
        <f t="array" ref="R94">IF(OR($B94="",$D94=""),"",
IFERROR(
  INDEX(
    'Tools &amp; Targets_Guideline'!$C$54:$I$269,
    MATCH(
      1,
      ('Tools &amp; Targets_Guideline'!$A$54:$A$269=$B94)*
      ('Tools &amp; Targets_Guideline'!$B$54:$B$269="TT"),
      0
    ),
    MATCH(
      _xludf.IFNA(
        VLOOKUP($D94,{"PH","Provincial Hospital (H2)";"DH","District Hospital (H3)";"RH","Regional / National Hospital (H1)"},2,0),
        $D94
      ),
      'Tools &amp; Targets_Guideline'!$C$53:$I$53,
      0
    )
  ),
0))</f>
        <v/>
      </c>
      <c r="S94" s="105"/>
      <c r="T94" s="102"/>
      <c r="U94" s="106"/>
      <c r="V94" s="102" t="str">
        <f t="shared" si="1"/>
        <v/>
      </c>
      <c r="W94" s="102"/>
      <c r="X94" s="102"/>
      <c r="Y94" s="119" t="str">
        <f t="array" ref="Y94">IF(OR($B94="",$D94=""),"",
IFERROR(
  INDEX(
    'Tools &amp; Targets_Guideline'!$C$54:$I$269,
    MATCH(
      1,
      ('Tools &amp; Targets_Guideline'!$A$54:$A$269=$B94)*
      ('Tools &amp; Targets_Guideline'!$B$54:$B$269="GM"),
      0
    ),
    MATCH(
      _xludf.IFNA(
        VLOOKUP($D94,{"PH","Provincial Hospital (H2)";"DH","District Hospital (H3)";"RH","Regional / National Hospital (H1)"},2,0),
        $D94
      ),
      'Tools &amp; Targets_Guideline'!$C$53:$I$53,
      0
    )
  ),
0))</f>
        <v/>
      </c>
      <c r="Z94" s="105"/>
      <c r="AA94" s="119" t="str">
        <f t="array" ref="AA94">IF(OR($B94="",$D94=""),"",
IFERROR(
  INDEX(
    'Tools &amp; Targets_Guideline'!$C$54:$I$269,
    MATCH(
      1,
      ('Tools &amp; Targets_Guideline'!$A$54:$A$269=$B94)*
      ('Tools &amp; Targets_Guideline'!$B$54:$B$269="Penta"),
      0
    ),
    MATCH(
      _xludf.IFNA(
        VLOOKUP($D94,{"PH","Provincial Hospital (H2)";"DH","District Hospital (H3)";"RH","Regional / National Hospital (H1)"},2,0),
        $D94
      ),
      'Tools &amp; Targets_Guideline'!$C$53:$I$53,
      0
    )
  ),
0))</f>
        <v/>
      </c>
      <c r="AB94" s="105"/>
      <c r="AC94" s="119" t="str">
        <f t="array" ref="AC94">IF(OR($B94="",$D94=""),"",
IFERROR(
  INDEX(
    'Tools &amp; Targets_Guideline'!$C$54:$I$269,
    MATCH(
      1,
      ('Tools &amp; Targets_Guideline'!$A$54:$A$269=$B94)*
      ('Tools &amp; Targets_Guideline'!$B$54:$B$269="TB"),
      0
    ),
    MATCH(
      _xludf.IFNA(
        VLOOKUP($D94,{"PH","Provincial Hospital (H2)";"DH","District Hospital (H3)";"RH","Regional / National Hospital (H1)"},2,0),
        $D94
      ),
      'Tools &amp; Targets_Guideline'!$C$53:$I$53,
      0
    )
  ),
0))</f>
        <v/>
      </c>
      <c r="AD94" s="105"/>
      <c r="AE94" s="119" t="str">
        <f t="array" ref="AE94">IF(OR($B94="",$D94=""),"",
IFERROR(
  INDEX(
    'Tools &amp; Targets_Guideline'!$C$54:$I$269,
    MATCH(
      1,
      ('Tools &amp; Targets_Guideline'!$A$54:$A$269=$B94)*
      ('Tools &amp; Targets_Guideline'!$B$54:$B$269="U5 Morbidity"),
      0
    ),
    MATCH(
      _xludf.IFNA(
        VLOOKUP($D94,{"PH","Provincial Hospital (H2)";"DH","District Hospital (H3)";"RH","Regional / National Hospital (H1)"},2,0),
        $D94
      ),
      'Tools &amp; Targets_Guideline'!$C$53:$I$53,
      0
    )
  ),
0))</f>
        <v/>
      </c>
      <c r="AF94" s="105"/>
      <c r="AG94" s="119" t="str">
        <f t="array" ref="AG94">IF(OR($B94="",$D94=""),"",
IFERROR(
  INDEX(
    'Tools &amp; Targets_Guideline'!$C$54:$I$269,
    MATCH(
      1,
      ('Tools &amp; Targets_Guideline'!$A$54:$A$269=$B94)*
      ('Tools &amp; Targets_Guideline'!$B$54:$B$269="C-Section"),
      0
    ),
    MATCH(
      _xludf.IFNA(
        VLOOKUP($D94,{"PH","Provincial Hospital (H2)";"DH","District Hospital (H3)";"RH","Regional / National Hospital (H1)"},2,0),
        $D94
      ),
      'Tools &amp; Targets_Guideline'!$C$53:$I$53,
      0
    )
  ),
0))</f>
        <v/>
      </c>
      <c r="AH94" s="105" t="str">
        <f>IF(A94&lt;&gt;"",COUNTIFS('QA Log'!D:D,A94,'QA Log'!M:M,"QQC",'QA Log'!L:L,"2. Hygiene and Sterilization",'QA Log'!Z:Z,"Approved"),"")</f>
        <v/>
      </c>
      <c r="AI94" s="102"/>
      <c r="AJ94" s="102"/>
      <c r="AK94" s="103" t="str">
        <f t="shared" si="2"/>
        <v/>
      </c>
      <c r="AL94" s="102"/>
      <c r="AM94" s="102"/>
      <c r="AN94" s="102"/>
      <c r="AO94" s="106"/>
      <c r="AP94" s="103"/>
      <c r="AQ94" s="102"/>
      <c r="AR94" s="102"/>
      <c r="AS94" s="102"/>
      <c r="AT94" s="107"/>
      <c r="AU94" s="102" t="str">
        <f t="shared" si="3"/>
        <v/>
      </c>
      <c r="AV94" s="102" t="str">
        <f t="shared" si="4"/>
        <v/>
      </c>
      <c r="AW94" s="102" t="str">
        <f t="shared" si="5"/>
        <v/>
      </c>
      <c r="AX94" s="102" t="str">
        <f t="shared" si="6"/>
        <v/>
      </c>
      <c r="AY94" s="107" t="str">
        <f t="shared" si="7"/>
        <v/>
      </c>
      <c r="AZ94" s="108" t="str">
        <f t="shared" si="8"/>
        <v/>
      </c>
      <c r="BA94" s="108" t="str">
        <f t="shared" si="9"/>
        <v/>
      </c>
      <c r="BB94" s="109" t="str">
        <f t="shared" si="10"/>
        <v/>
      </c>
      <c r="BC94" s="108" t="str">
        <f t="shared" si="11"/>
        <v/>
      </c>
      <c r="BD94" s="108" t="str">
        <f t="shared" si="12"/>
        <v/>
      </c>
      <c r="BE94" s="109" t="str">
        <f t="shared" si="13"/>
        <v/>
      </c>
      <c r="BF94" s="110" t="str">
        <f t="shared" si="14"/>
        <v/>
      </c>
      <c r="BG94" s="111"/>
    </row>
    <row r="95" spans="1:59" ht="12.75">
      <c r="A95" s="101"/>
      <c r="B95" s="102"/>
      <c r="C95" s="102" t="e">
        <f t="array" aca="1" ref="C95" ca="1">_xludf.XLOOKUP(A95,'QA Log'!D:D,'QA Log'!F:F,"")</f>
        <v>#NAME?</v>
      </c>
      <c r="D95" s="102"/>
      <c r="E95" s="102" t="e">
        <f t="array" aca="1" ref="E95" ca="1">_xludf.XLOOKUP(A95,'QA Log'!D:D,'QA Log'!G:G,"")</f>
        <v>#NAME?</v>
      </c>
      <c r="F95" s="103"/>
      <c r="G95" s="104"/>
      <c r="H95" s="104"/>
      <c r="I95" s="103" t="str">
        <f t="shared" si="0"/>
        <v/>
      </c>
      <c r="J95" s="102"/>
      <c r="K95" s="102"/>
      <c r="L95" s="119" t="str">
        <f t="array" ref="L95">IF(OR($B95="",$D95=""),"",
IFERROR(
  INDEX(
    'Tools &amp; Targets_Guideline'!$C$54:$I$269,
    MATCH(
      1,
      ('Tools &amp; Targets_Guideline'!$A$54:$A$269=$B95)*
      ('Tools &amp; Targets_Guideline'!$B$54:$B$269="ANC"),
      0
    ),
    MATCH(
      _xludf.IFNA(
        VLOOKUP($D95,{"PH","Provincial Hospital (H2)";"DH","District Hospital (H3)";"RH","Regional / National Hospital (H1)"},2,0),
        $D95
      ),
      'Tools &amp; Targets_Guideline'!$C$53:$I$53,
      0
    )
  ),
0))</f>
        <v/>
      </c>
      <c r="M95" s="105"/>
      <c r="N95" s="119" t="str">
        <f t="array" ref="N95">IF(OR($B95="",$D95=""),"",
IFERROR(
  INDEX(
    'Tools &amp; Targets_Guideline'!$C$54:$I$269,
    MATCH(
      1,
      ('Tools &amp; Targets_Guideline'!$A$54:$A$269=$B95)*
      ('Tools &amp; Targets_Guideline'!$B$54:$B$269="PNC"),
      0
    ),
    MATCH(
      _xludf.IFNA(
        VLOOKUP($D95,{"PH","Provincial Hospital (H2)";"DH","District Hospital (H3)";"RH","Regional / National Hospital (H1)"},2,0),
        $D95
      ),
      'Tools &amp; Targets_Guideline'!$C$53:$I$53,
      0
    )
  ),
0))</f>
        <v/>
      </c>
      <c r="O95" s="105"/>
      <c r="P95" s="119" t="str">
        <f t="array" ref="P95">IF(OR($B95="",$D95=""),"",
IFERROR(
  INDEX(
    'Tools &amp; Targets_Guideline'!$C$54:$I$269,
    MATCH(
      1,
      ('Tools &amp; Targets_Guideline'!$A$54:$A$269=$B95)*
      ('Tools &amp; Targets_Guideline'!$B$54:$B$269="Delivery"),
      0
    ),
    MATCH(
      _xludf.IFNA(
        VLOOKUP($D95,{"PH","Provincial Hospital (H2)";"DH","District Hospital (H3)";"RH","Regional / National Hospital (H1)"},2,0),
        $D95
      ),
      'Tools &amp; Targets_Guideline'!$C$53:$I$53,
      0
    )
  ),
0))</f>
        <v/>
      </c>
      <c r="Q95" s="105"/>
      <c r="R95" s="119" t="str">
        <f t="array" ref="R95">IF(OR($B95="",$D95=""),"",
IFERROR(
  INDEX(
    'Tools &amp; Targets_Guideline'!$C$54:$I$269,
    MATCH(
      1,
      ('Tools &amp; Targets_Guideline'!$A$54:$A$269=$B95)*
      ('Tools &amp; Targets_Guideline'!$B$54:$B$269="TT"),
      0
    ),
    MATCH(
      _xludf.IFNA(
        VLOOKUP($D95,{"PH","Provincial Hospital (H2)";"DH","District Hospital (H3)";"RH","Regional / National Hospital (H1)"},2,0),
        $D95
      ),
      'Tools &amp; Targets_Guideline'!$C$53:$I$53,
      0
    )
  ),
0))</f>
        <v/>
      </c>
      <c r="S95" s="105"/>
      <c r="T95" s="102"/>
      <c r="U95" s="106"/>
      <c r="V95" s="102" t="str">
        <f t="shared" si="1"/>
        <v/>
      </c>
      <c r="W95" s="102"/>
      <c r="X95" s="102"/>
      <c r="Y95" s="119" t="str">
        <f t="array" ref="Y95">IF(OR($B95="",$D95=""),"",
IFERROR(
  INDEX(
    'Tools &amp; Targets_Guideline'!$C$54:$I$269,
    MATCH(
      1,
      ('Tools &amp; Targets_Guideline'!$A$54:$A$269=$B95)*
      ('Tools &amp; Targets_Guideline'!$B$54:$B$269="GM"),
      0
    ),
    MATCH(
      _xludf.IFNA(
        VLOOKUP($D95,{"PH","Provincial Hospital (H2)";"DH","District Hospital (H3)";"RH","Regional / National Hospital (H1)"},2,0),
        $D95
      ),
      'Tools &amp; Targets_Guideline'!$C$53:$I$53,
      0
    )
  ),
0))</f>
        <v/>
      </c>
      <c r="Z95" s="105"/>
      <c r="AA95" s="119" t="str">
        <f t="array" ref="AA95">IF(OR($B95="",$D95=""),"",
IFERROR(
  INDEX(
    'Tools &amp; Targets_Guideline'!$C$54:$I$269,
    MATCH(
      1,
      ('Tools &amp; Targets_Guideline'!$A$54:$A$269=$B95)*
      ('Tools &amp; Targets_Guideline'!$B$54:$B$269="Penta"),
      0
    ),
    MATCH(
      _xludf.IFNA(
        VLOOKUP($D95,{"PH","Provincial Hospital (H2)";"DH","District Hospital (H3)";"RH","Regional / National Hospital (H1)"},2,0),
        $D95
      ),
      'Tools &amp; Targets_Guideline'!$C$53:$I$53,
      0
    )
  ),
0))</f>
        <v/>
      </c>
      <c r="AB95" s="105"/>
      <c r="AC95" s="119" t="str">
        <f t="array" ref="AC95">IF(OR($B95="",$D95=""),"",
IFERROR(
  INDEX(
    'Tools &amp; Targets_Guideline'!$C$54:$I$269,
    MATCH(
      1,
      ('Tools &amp; Targets_Guideline'!$A$54:$A$269=$B95)*
      ('Tools &amp; Targets_Guideline'!$B$54:$B$269="TB"),
      0
    ),
    MATCH(
      _xludf.IFNA(
        VLOOKUP($D95,{"PH","Provincial Hospital (H2)";"DH","District Hospital (H3)";"RH","Regional / National Hospital (H1)"},2,0),
        $D95
      ),
      'Tools &amp; Targets_Guideline'!$C$53:$I$53,
      0
    )
  ),
0))</f>
        <v/>
      </c>
      <c r="AD95" s="105"/>
      <c r="AE95" s="119" t="str">
        <f t="array" ref="AE95">IF(OR($B95="",$D95=""),"",
IFERROR(
  INDEX(
    'Tools &amp; Targets_Guideline'!$C$54:$I$269,
    MATCH(
      1,
      ('Tools &amp; Targets_Guideline'!$A$54:$A$269=$B95)*
      ('Tools &amp; Targets_Guideline'!$B$54:$B$269="U5 Morbidity"),
      0
    ),
    MATCH(
      _xludf.IFNA(
        VLOOKUP($D95,{"PH","Provincial Hospital (H2)";"DH","District Hospital (H3)";"RH","Regional / National Hospital (H1)"},2,0),
        $D95
      ),
      'Tools &amp; Targets_Guideline'!$C$53:$I$53,
      0
    )
  ),
0))</f>
        <v/>
      </c>
      <c r="AF95" s="105"/>
      <c r="AG95" s="119" t="str">
        <f t="array" ref="AG95">IF(OR($B95="",$D95=""),"",
IFERROR(
  INDEX(
    'Tools &amp; Targets_Guideline'!$C$54:$I$269,
    MATCH(
      1,
      ('Tools &amp; Targets_Guideline'!$A$54:$A$269=$B95)*
      ('Tools &amp; Targets_Guideline'!$B$54:$B$269="C-Section"),
      0
    ),
    MATCH(
      _xludf.IFNA(
        VLOOKUP($D95,{"PH","Provincial Hospital (H2)";"DH","District Hospital (H3)";"RH","Regional / National Hospital (H1)"},2,0),
        $D95
      ),
      'Tools &amp; Targets_Guideline'!$C$53:$I$53,
      0
    )
  ),
0))</f>
        <v/>
      </c>
      <c r="AH95" s="105" t="str">
        <f>IF(A95&lt;&gt;"",COUNTIFS('QA Log'!D:D,A95,'QA Log'!M:M,"QQC",'QA Log'!L:L,"2. Hygiene and Sterilization",'QA Log'!Z:Z,"Approved"),"")</f>
        <v/>
      </c>
      <c r="AI95" s="102"/>
      <c r="AJ95" s="102"/>
      <c r="AK95" s="103" t="str">
        <f t="shared" si="2"/>
        <v/>
      </c>
      <c r="AL95" s="102"/>
      <c r="AM95" s="102"/>
      <c r="AN95" s="102"/>
      <c r="AO95" s="106"/>
      <c r="AP95" s="103"/>
      <c r="AQ95" s="102"/>
      <c r="AR95" s="102"/>
      <c r="AS95" s="102"/>
      <c r="AT95" s="107"/>
      <c r="AU95" s="102" t="str">
        <f t="shared" si="3"/>
        <v/>
      </c>
      <c r="AV95" s="102" t="str">
        <f t="shared" si="4"/>
        <v/>
      </c>
      <c r="AW95" s="102" t="str">
        <f t="shared" si="5"/>
        <v/>
      </c>
      <c r="AX95" s="102" t="str">
        <f t="shared" si="6"/>
        <v/>
      </c>
      <c r="AY95" s="107" t="str">
        <f t="shared" si="7"/>
        <v/>
      </c>
      <c r="AZ95" s="108" t="str">
        <f t="shared" si="8"/>
        <v/>
      </c>
      <c r="BA95" s="108" t="str">
        <f t="shared" si="9"/>
        <v/>
      </c>
      <c r="BB95" s="109" t="str">
        <f t="shared" si="10"/>
        <v/>
      </c>
      <c r="BC95" s="108" t="str">
        <f t="shared" si="11"/>
        <v/>
      </c>
      <c r="BD95" s="108" t="str">
        <f t="shared" si="12"/>
        <v/>
      </c>
      <c r="BE95" s="109" t="str">
        <f t="shared" si="13"/>
        <v/>
      </c>
      <c r="BF95" s="110" t="str">
        <f t="shared" si="14"/>
        <v/>
      </c>
      <c r="BG95" s="111"/>
    </row>
    <row r="96" spans="1:59" ht="12.75">
      <c r="A96" s="101"/>
      <c r="B96" s="102"/>
      <c r="C96" s="102" t="e">
        <f t="array" aca="1" ref="C96" ca="1">_xludf.XLOOKUP(A96,'QA Log'!D:D,'QA Log'!F:F,"")</f>
        <v>#NAME?</v>
      </c>
      <c r="D96" s="102"/>
      <c r="E96" s="102" t="e">
        <f t="array" aca="1" ref="E96" ca="1">_xludf.XLOOKUP(A96,'QA Log'!D:D,'QA Log'!G:G,"")</f>
        <v>#NAME?</v>
      </c>
      <c r="F96" s="103"/>
      <c r="G96" s="104"/>
      <c r="H96" s="104"/>
      <c r="I96" s="103" t="str">
        <f t="shared" si="0"/>
        <v/>
      </c>
      <c r="J96" s="102"/>
      <c r="K96" s="102"/>
      <c r="L96" s="119" t="str">
        <f t="array" ref="L96">IF(OR($B96="",$D96=""),"",
IFERROR(
  INDEX(
    'Tools &amp; Targets_Guideline'!$C$54:$I$269,
    MATCH(
      1,
      ('Tools &amp; Targets_Guideline'!$A$54:$A$269=$B96)*
      ('Tools &amp; Targets_Guideline'!$B$54:$B$269="ANC"),
      0
    ),
    MATCH(
      _xludf.IFNA(
        VLOOKUP($D96,{"PH","Provincial Hospital (H2)";"DH","District Hospital (H3)";"RH","Regional / National Hospital (H1)"},2,0),
        $D96
      ),
      'Tools &amp; Targets_Guideline'!$C$53:$I$53,
      0
    )
  ),
0))</f>
        <v/>
      </c>
      <c r="M96" s="105"/>
      <c r="N96" s="119" t="str">
        <f t="array" ref="N96">IF(OR($B96="",$D96=""),"",
IFERROR(
  INDEX(
    'Tools &amp; Targets_Guideline'!$C$54:$I$269,
    MATCH(
      1,
      ('Tools &amp; Targets_Guideline'!$A$54:$A$269=$B96)*
      ('Tools &amp; Targets_Guideline'!$B$54:$B$269="PNC"),
      0
    ),
    MATCH(
      _xludf.IFNA(
        VLOOKUP($D96,{"PH","Provincial Hospital (H2)";"DH","District Hospital (H3)";"RH","Regional / National Hospital (H1)"},2,0),
        $D96
      ),
      'Tools &amp; Targets_Guideline'!$C$53:$I$53,
      0
    )
  ),
0))</f>
        <v/>
      </c>
      <c r="O96" s="105"/>
      <c r="P96" s="119" t="str">
        <f t="array" ref="P96">IF(OR($B96="",$D96=""),"",
IFERROR(
  INDEX(
    'Tools &amp; Targets_Guideline'!$C$54:$I$269,
    MATCH(
      1,
      ('Tools &amp; Targets_Guideline'!$A$54:$A$269=$B96)*
      ('Tools &amp; Targets_Guideline'!$B$54:$B$269="Delivery"),
      0
    ),
    MATCH(
      _xludf.IFNA(
        VLOOKUP($D96,{"PH","Provincial Hospital (H2)";"DH","District Hospital (H3)";"RH","Regional / National Hospital (H1)"},2,0),
        $D96
      ),
      'Tools &amp; Targets_Guideline'!$C$53:$I$53,
      0
    )
  ),
0))</f>
        <v/>
      </c>
      <c r="Q96" s="105"/>
      <c r="R96" s="119" t="str">
        <f t="array" ref="R96">IF(OR($B96="",$D96=""),"",
IFERROR(
  INDEX(
    'Tools &amp; Targets_Guideline'!$C$54:$I$269,
    MATCH(
      1,
      ('Tools &amp; Targets_Guideline'!$A$54:$A$269=$B96)*
      ('Tools &amp; Targets_Guideline'!$B$54:$B$269="TT"),
      0
    ),
    MATCH(
      _xludf.IFNA(
        VLOOKUP($D96,{"PH","Provincial Hospital (H2)";"DH","District Hospital (H3)";"RH","Regional / National Hospital (H1)"},2,0),
        $D96
      ),
      'Tools &amp; Targets_Guideline'!$C$53:$I$53,
      0
    )
  ),
0))</f>
        <v/>
      </c>
      <c r="S96" s="105"/>
      <c r="T96" s="102"/>
      <c r="U96" s="106"/>
      <c r="V96" s="102" t="str">
        <f t="shared" si="1"/>
        <v/>
      </c>
      <c r="W96" s="102"/>
      <c r="X96" s="102"/>
      <c r="Y96" s="119" t="str">
        <f t="array" ref="Y96">IF(OR($B96="",$D96=""),"",
IFERROR(
  INDEX(
    'Tools &amp; Targets_Guideline'!$C$54:$I$269,
    MATCH(
      1,
      ('Tools &amp; Targets_Guideline'!$A$54:$A$269=$B96)*
      ('Tools &amp; Targets_Guideline'!$B$54:$B$269="GM"),
      0
    ),
    MATCH(
      _xludf.IFNA(
        VLOOKUP($D96,{"PH","Provincial Hospital (H2)";"DH","District Hospital (H3)";"RH","Regional / National Hospital (H1)"},2,0),
        $D96
      ),
      'Tools &amp; Targets_Guideline'!$C$53:$I$53,
      0
    )
  ),
0))</f>
        <v/>
      </c>
      <c r="Z96" s="105"/>
      <c r="AA96" s="119" t="str">
        <f t="array" ref="AA96">IF(OR($B96="",$D96=""),"",
IFERROR(
  INDEX(
    'Tools &amp; Targets_Guideline'!$C$54:$I$269,
    MATCH(
      1,
      ('Tools &amp; Targets_Guideline'!$A$54:$A$269=$B96)*
      ('Tools &amp; Targets_Guideline'!$B$54:$B$269="Penta"),
      0
    ),
    MATCH(
      _xludf.IFNA(
        VLOOKUP($D96,{"PH","Provincial Hospital (H2)";"DH","District Hospital (H3)";"RH","Regional / National Hospital (H1)"},2,0),
        $D96
      ),
      'Tools &amp; Targets_Guideline'!$C$53:$I$53,
      0
    )
  ),
0))</f>
        <v/>
      </c>
      <c r="AB96" s="105"/>
      <c r="AC96" s="119" t="str">
        <f t="array" ref="AC96">IF(OR($B96="",$D96=""),"",
IFERROR(
  INDEX(
    'Tools &amp; Targets_Guideline'!$C$54:$I$269,
    MATCH(
      1,
      ('Tools &amp; Targets_Guideline'!$A$54:$A$269=$B96)*
      ('Tools &amp; Targets_Guideline'!$B$54:$B$269="TB"),
      0
    ),
    MATCH(
      _xludf.IFNA(
        VLOOKUP($D96,{"PH","Provincial Hospital (H2)";"DH","District Hospital (H3)";"RH","Regional / National Hospital (H1)"},2,0),
        $D96
      ),
      'Tools &amp; Targets_Guideline'!$C$53:$I$53,
      0
    )
  ),
0))</f>
        <v/>
      </c>
      <c r="AD96" s="105"/>
      <c r="AE96" s="119" t="str">
        <f t="array" ref="AE96">IF(OR($B96="",$D96=""),"",
IFERROR(
  INDEX(
    'Tools &amp; Targets_Guideline'!$C$54:$I$269,
    MATCH(
      1,
      ('Tools &amp; Targets_Guideline'!$A$54:$A$269=$B96)*
      ('Tools &amp; Targets_Guideline'!$B$54:$B$269="U5 Morbidity"),
      0
    ),
    MATCH(
      _xludf.IFNA(
        VLOOKUP($D96,{"PH","Provincial Hospital (H2)";"DH","District Hospital (H3)";"RH","Regional / National Hospital (H1)"},2,0),
        $D96
      ),
      'Tools &amp; Targets_Guideline'!$C$53:$I$53,
      0
    )
  ),
0))</f>
        <v/>
      </c>
      <c r="AF96" s="105"/>
      <c r="AG96" s="119" t="str">
        <f t="array" ref="AG96">IF(OR($B96="",$D96=""),"",
IFERROR(
  INDEX(
    'Tools &amp; Targets_Guideline'!$C$54:$I$269,
    MATCH(
      1,
      ('Tools &amp; Targets_Guideline'!$A$54:$A$269=$B96)*
      ('Tools &amp; Targets_Guideline'!$B$54:$B$269="C-Section"),
      0
    ),
    MATCH(
      _xludf.IFNA(
        VLOOKUP($D96,{"PH","Provincial Hospital (H2)";"DH","District Hospital (H3)";"RH","Regional / National Hospital (H1)"},2,0),
        $D96
      ),
      'Tools &amp; Targets_Guideline'!$C$53:$I$53,
      0
    )
  ),
0))</f>
        <v/>
      </c>
      <c r="AH96" s="105" t="str">
        <f>IF(A96&lt;&gt;"",COUNTIFS('QA Log'!D:D,A96,'QA Log'!M:M,"QQC",'QA Log'!L:L,"2. Hygiene and Sterilization",'QA Log'!Z:Z,"Approved"),"")</f>
        <v/>
      </c>
      <c r="AI96" s="102"/>
      <c r="AJ96" s="102"/>
      <c r="AK96" s="103" t="str">
        <f t="shared" si="2"/>
        <v/>
      </c>
      <c r="AL96" s="102"/>
      <c r="AM96" s="102"/>
      <c r="AN96" s="102"/>
      <c r="AO96" s="106"/>
      <c r="AP96" s="103"/>
      <c r="AQ96" s="102"/>
      <c r="AR96" s="102"/>
      <c r="AS96" s="102"/>
      <c r="AT96" s="107"/>
      <c r="AU96" s="102" t="str">
        <f t="shared" si="3"/>
        <v/>
      </c>
      <c r="AV96" s="102" t="str">
        <f t="shared" si="4"/>
        <v/>
      </c>
      <c r="AW96" s="102" t="str">
        <f t="shared" si="5"/>
        <v/>
      </c>
      <c r="AX96" s="102" t="str">
        <f t="shared" si="6"/>
        <v/>
      </c>
      <c r="AY96" s="107" t="str">
        <f t="shared" si="7"/>
        <v/>
      </c>
      <c r="AZ96" s="108" t="str">
        <f t="shared" si="8"/>
        <v/>
      </c>
      <c r="BA96" s="108" t="str">
        <f t="shared" si="9"/>
        <v/>
      </c>
      <c r="BB96" s="109" t="str">
        <f t="shared" si="10"/>
        <v/>
      </c>
      <c r="BC96" s="108" t="str">
        <f t="shared" si="11"/>
        <v/>
      </c>
      <c r="BD96" s="108" t="str">
        <f t="shared" si="12"/>
        <v/>
      </c>
      <c r="BE96" s="109" t="str">
        <f t="shared" si="13"/>
        <v/>
      </c>
      <c r="BF96" s="110" t="str">
        <f t="shared" si="14"/>
        <v/>
      </c>
      <c r="BG96" s="111"/>
    </row>
    <row r="97" spans="1:59" ht="12.75">
      <c r="A97" s="101"/>
      <c r="B97" s="102"/>
      <c r="C97" s="102" t="e">
        <f t="array" aca="1" ref="C97" ca="1">_xludf.XLOOKUP(A97,'QA Log'!D:D,'QA Log'!F:F,"")</f>
        <v>#NAME?</v>
      </c>
      <c r="D97" s="102"/>
      <c r="E97" s="102" t="e">
        <f t="array" aca="1" ref="E97" ca="1">_xludf.XLOOKUP(A97,'QA Log'!D:D,'QA Log'!G:G,"")</f>
        <v>#NAME?</v>
      </c>
      <c r="F97" s="103"/>
      <c r="G97" s="104"/>
      <c r="H97" s="104"/>
      <c r="I97" s="103" t="str">
        <f t="shared" si="0"/>
        <v/>
      </c>
      <c r="J97" s="102"/>
      <c r="K97" s="102"/>
      <c r="L97" s="119" t="str">
        <f t="array" ref="L97">IF(OR($B97="",$D97=""),"",
IFERROR(
  INDEX(
    'Tools &amp; Targets_Guideline'!$C$54:$I$269,
    MATCH(
      1,
      ('Tools &amp; Targets_Guideline'!$A$54:$A$269=$B97)*
      ('Tools &amp; Targets_Guideline'!$B$54:$B$269="ANC"),
      0
    ),
    MATCH(
      _xludf.IFNA(
        VLOOKUP($D97,{"PH","Provincial Hospital (H2)";"DH","District Hospital (H3)";"RH","Regional / National Hospital (H1)"},2,0),
        $D97
      ),
      'Tools &amp; Targets_Guideline'!$C$53:$I$53,
      0
    )
  ),
0))</f>
        <v/>
      </c>
      <c r="M97" s="105"/>
      <c r="N97" s="119" t="str">
        <f t="array" ref="N97">IF(OR($B97="",$D97=""),"",
IFERROR(
  INDEX(
    'Tools &amp; Targets_Guideline'!$C$54:$I$269,
    MATCH(
      1,
      ('Tools &amp; Targets_Guideline'!$A$54:$A$269=$B97)*
      ('Tools &amp; Targets_Guideline'!$B$54:$B$269="PNC"),
      0
    ),
    MATCH(
      _xludf.IFNA(
        VLOOKUP($D97,{"PH","Provincial Hospital (H2)";"DH","District Hospital (H3)";"RH","Regional / National Hospital (H1)"},2,0),
        $D97
      ),
      'Tools &amp; Targets_Guideline'!$C$53:$I$53,
      0
    )
  ),
0))</f>
        <v/>
      </c>
      <c r="O97" s="105"/>
      <c r="P97" s="119" t="str">
        <f t="array" ref="P97">IF(OR($B97="",$D97=""),"",
IFERROR(
  INDEX(
    'Tools &amp; Targets_Guideline'!$C$54:$I$269,
    MATCH(
      1,
      ('Tools &amp; Targets_Guideline'!$A$54:$A$269=$B97)*
      ('Tools &amp; Targets_Guideline'!$B$54:$B$269="Delivery"),
      0
    ),
    MATCH(
      _xludf.IFNA(
        VLOOKUP($D97,{"PH","Provincial Hospital (H2)";"DH","District Hospital (H3)";"RH","Regional / National Hospital (H1)"},2,0),
        $D97
      ),
      'Tools &amp; Targets_Guideline'!$C$53:$I$53,
      0
    )
  ),
0))</f>
        <v/>
      </c>
      <c r="Q97" s="105"/>
      <c r="R97" s="119" t="str">
        <f t="array" ref="R97">IF(OR($B97="",$D97=""),"",
IFERROR(
  INDEX(
    'Tools &amp; Targets_Guideline'!$C$54:$I$269,
    MATCH(
      1,
      ('Tools &amp; Targets_Guideline'!$A$54:$A$269=$B97)*
      ('Tools &amp; Targets_Guideline'!$B$54:$B$269="TT"),
      0
    ),
    MATCH(
      _xludf.IFNA(
        VLOOKUP($D97,{"PH","Provincial Hospital (H2)";"DH","District Hospital (H3)";"RH","Regional / National Hospital (H1)"},2,0),
        $D97
      ),
      'Tools &amp; Targets_Guideline'!$C$53:$I$53,
      0
    )
  ),
0))</f>
        <v/>
      </c>
      <c r="S97" s="105"/>
      <c r="T97" s="102"/>
      <c r="U97" s="106"/>
      <c r="V97" s="102" t="str">
        <f t="shared" si="1"/>
        <v/>
      </c>
      <c r="W97" s="102"/>
      <c r="X97" s="102"/>
      <c r="Y97" s="119" t="str">
        <f t="array" ref="Y97">IF(OR($B97="",$D97=""),"",
IFERROR(
  INDEX(
    'Tools &amp; Targets_Guideline'!$C$54:$I$269,
    MATCH(
      1,
      ('Tools &amp; Targets_Guideline'!$A$54:$A$269=$B97)*
      ('Tools &amp; Targets_Guideline'!$B$54:$B$269="GM"),
      0
    ),
    MATCH(
      _xludf.IFNA(
        VLOOKUP($D97,{"PH","Provincial Hospital (H2)";"DH","District Hospital (H3)";"RH","Regional / National Hospital (H1)"},2,0),
        $D97
      ),
      'Tools &amp; Targets_Guideline'!$C$53:$I$53,
      0
    )
  ),
0))</f>
        <v/>
      </c>
      <c r="Z97" s="105"/>
      <c r="AA97" s="119" t="str">
        <f t="array" ref="AA97">IF(OR($B97="",$D97=""),"",
IFERROR(
  INDEX(
    'Tools &amp; Targets_Guideline'!$C$54:$I$269,
    MATCH(
      1,
      ('Tools &amp; Targets_Guideline'!$A$54:$A$269=$B97)*
      ('Tools &amp; Targets_Guideline'!$B$54:$B$269="Penta"),
      0
    ),
    MATCH(
      _xludf.IFNA(
        VLOOKUP($D97,{"PH","Provincial Hospital (H2)";"DH","District Hospital (H3)";"RH","Regional / National Hospital (H1)"},2,0),
        $D97
      ),
      'Tools &amp; Targets_Guideline'!$C$53:$I$53,
      0
    )
  ),
0))</f>
        <v/>
      </c>
      <c r="AB97" s="105"/>
      <c r="AC97" s="119" t="str">
        <f t="array" ref="AC97">IF(OR($B97="",$D97=""),"",
IFERROR(
  INDEX(
    'Tools &amp; Targets_Guideline'!$C$54:$I$269,
    MATCH(
      1,
      ('Tools &amp; Targets_Guideline'!$A$54:$A$269=$B97)*
      ('Tools &amp; Targets_Guideline'!$B$54:$B$269="TB"),
      0
    ),
    MATCH(
      _xludf.IFNA(
        VLOOKUP($D97,{"PH","Provincial Hospital (H2)";"DH","District Hospital (H3)";"RH","Regional / National Hospital (H1)"},2,0),
        $D97
      ),
      'Tools &amp; Targets_Guideline'!$C$53:$I$53,
      0
    )
  ),
0))</f>
        <v/>
      </c>
      <c r="AD97" s="105"/>
      <c r="AE97" s="119" t="str">
        <f t="array" ref="AE97">IF(OR($B97="",$D97=""),"",
IFERROR(
  INDEX(
    'Tools &amp; Targets_Guideline'!$C$54:$I$269,
    MATCH(
      1,
      ('Tools &amp; Targets_Guideline'!$A$54:$A$269=$B97)*
      ('Tools &amp; Targets_Guideline'!$B$54:$B$269="U5 Morbidity"),
      0
    ),
    MATCH(
      _xludf.IFNA(
        VLOOKUP($D97,{"PH","Provincial Hospital (H2)";"DH","District Hospital (H3)";"RH","Regional / National Hospital (H1)"},2,0),
        $D97
      ),
      'Tools &amp; Targets_Guideline'!$C$53:$I$53,
      0
    )
  ),
0))</f>
        <v/>
      </c>
      <c r="AF97" s="105"/>
      <c r="AG97" s="119" t="str">
        <f t="array" ref="AG97">IF(OR($B97="",$D97=""),"",
IFERROR(
  INDEX(
    'Tools &amp; Targets_Guideline'!$C$54:$I$269,
    MATCH(
      1,
      ('Tools &amp; Targets_Guideline'!$A$54:$A$269=$B97)*
      ('Tools &amp; Targets_Guideline'!$B$54:$B$269="C-Section"),
      0
    ),
    MATCH(
      _xludf.IFNA(
        VLOOKUP($D97,{"PH","Provincial Hospital (H2)";"DH","District Hospital (H3)";"RH","Regional / National Hospital (H1)"},2,0),
        $D97
      ),
      'Tools &amp; Targets_Guideline'!$C$53:$I$53,
      0
    )
  ),
0))</f>
        <v/>
      </c>
      <c r="AH97" s="105" t="str">
        <f>IF(A97&lt;&gt;"",COUNTIFS('QA Log'!D:D,A97,'QA Log'!M:M,"QQC",'QA Log'!L:L,"2. Hygiene and Sterilization",'QA Log'!Z:Z,"Approved"),"")</f>
        <v/>
      </c>
      <c r="AI97" s="102"/>
      <c r="AJ97" s="102"/>
      <c r="AK97" s="103" t="str">
        <f t="shared" si="2"/>
        <v/>
      </c>
      <c r="AL97" s="102"/>
      <c r="AM97" s="102"/>
      <c r="AN97" s="102"/>
      <c r="AO97" s="106"/>
      <c r="AP97" s="103"/>
      <c r="AQ97" s="102"/>
      <c r="AR97" s="102"/>
      <c r="AS97" s="102"/>
      <c r="AT97" s="107"/>
      <c r="AU97" s="102" t="str">
        <f t="shared" si="3"/>
        <v/>
      </c>
      <c r="AV97" s="102" t="str">
        <f t="shared" si="4"/>
        <v/>
      </c>
      <c r="AW97" s="102" t="str">
        <f t="shared" si="5"/>
        <v/>
      </c>
      <c r="AX97" s="102" t="str">
        <f t="shared" si="6"/>
        <v/>
      </c>
      <c r="AY97" s="107" t="str">
        <f t="shared" si="7"/>
        <v/>
      </c>
      <c r="AZ97" s="108" t="str">
        <f t="shared" si="8"/>
        <v/>
      </c>
      <c r="BA97" s="108" t="str">
        <f t="shared" si="9"/>
        <v/>
      </c>
      <c r="BB97" s="109" t="str">
        <f t="shared" si="10"/>
        <v/>
      </c>
      <c r="BC97" s="108" t="str">
        <f t="shared" si="11"/>
        <v/>
      </c>
      <c r="BD97" s="108" t="str">
        <f t="shared" si="12"/>
        <v/>
      </c>
      <c r="BE97" s="109" t="str">
        <f t="shared" si="13"/>
        <v/>
      </c>
      <c r="BF97" s="110" t="str">
        <f t="shared" si="14"/>
        <v/>
      </c>
      <c r="BG97" s="111"/>
    </row>
    <row r="98" spans="1:59" ht="12.75">
      <c r="A98" s="101"/>
      <c r="B98" s="102"/>
      <c r="C98" s="102" t="e">
        <f t="array" aca="1" ref="C98" ca="1">_xludf.XLOOKUP(A98,'QA Log'!D:D,'QA Log'!F:F,"")</f>
        <v>#NAME?</v>
      </c>
      <c r="D98" s="102"/>
      <c r="E98" s="102" t="e">
        <f t="array" aca="1" ref="E98" ca="1">_xludf.XLOOKUP(A98,'QA Log'!D:D,'QA Log'!G:G,"")</f>
        <v>#NAME?</v>
      </c>
      <c r="F98" s="103"/>
      <c r="G98" s="104"/>
      <c r="H98" s="104"/>
      <c r="I98" s="103" t="str">
        <f t="shared" si="0"/>
        <v/>
      </c>
      <c r="J98" s="102"/>
      <c r="K98" s="102"/>
      <c r="L98" s="119" t="str">
        <f t="array" ref="L98">IF(OR($B98="",$D98=""),"",
IFERROR(
  INDEX(
    'Tools &amp; Targets_Guideline'!$C$54:$I$269,
    MATCH(
      1,
      ('Tools &amp; Targets_Guideline'!$A$54:$A$269=$B98)*
      ('Tools &amp; Targets_Guideline'!$B$54:$B$269="ANC"),
      0
    ),
    MATCH(
      _xludf.IFNA(
        VLOOKUP($D98,{"PH","Provincial Hospital (H2)";"DH","District Hospital (H3)";"RH","Regional / National Hospital (H1)"},2,0),
        $D98
      ),
      'Tools &amp; Targets_Guideline'!$C$53:$I$53,
      0
    )
  ),
0))</f>
        <v/>
      </c>
      <c r="M98" s="105"/>
      <c r="N98" s="119" t="str">
        <f t="array" ref="N98">IF(OR($B98="",$D98=""),"",
IFERROR(
  INDEX(
    'Tools &amp; Targets_Guideline'!$C$54:$I$269,
    MATCH(
      1,
      ('Tools &amp; Targets_Guideline'!$A$54:$A$269=$B98)*
      ('Tools &amp; Targets_Guideline'!$B$54:$B$269="PNC"),
      0
    ),
    MATCH(
      _xludf.IFNA(
        VLOOKUP($D98,{"PH","Provincial Hospital (H2)";"DH","District Hospital (H3)";"RH","Regional / National Hospital (H1)"},2,0),
        $D98
      ),
      'Tools &amp; Targets_Guideline'!$C$53:$I$53,
      0
    )
  ),
0))</f>
        <v/>
      </c>
      <c r="O98" s="105"/>
      <c r="P98" s="119" t="str">
        <f t="array" ref="P98">IF(OR($B98="",$D98=""),"",
IFERROR(
  INDEX(
    'Tools &amp; Targets_Guideline'!$C$54:$I$269,
    MATCH(
      1,
      ('Tools &amp; Targets_Guideline'!$A$54:$A$269=$B98)*
      ('Tools &amp; Targets_Guideline'!$B$54:$B$269="Delivery"),
      0
    ),
    MATCH(
      _xludf.IFNA(
        VLOOKUP($D98,{"PH","Provincial Hospital (H2)";"DH","District Hospital (H3)";"RH","Regional / National Hospital (H1)"},2,0),
        $D98
      ),
      'Tools &amp; Targets_Guideline'!$C$53:$I$53,
      0
    )
  ),
0))</f>
        <v/>
      </c>
      <c r="Q98" s="105"/>
      <c r="R98" s="119" t="str">
        <f t="array" ref="R98">IF(OR($B98="",$D98=""),"",
IFERROR(
  INDEX(
    'Tools &amp; Targets_Guideline'!$C$54:$I$269,
    MATCH(
      1,
      ('Tools &amp; Targets_Guideline'!$A$54:$A$269=$B98)*
      ('Tools &amp; Targets_Guideline'!$B$54:$B$269="TT"),
      0
    ),
    MATCH(
      _xludf.IFNA(
        VLOOKUP($D98,{"PH","Provincial Hospital (H2)";"DH","District Hospital (H3)";"RH","Regional / National Hospital (H1)"},2,0),
        $D98
      ),
      'Tools &amp; Targets_Guideline'!$C$53:$I$53,
      0
    )
  ),
0))</f>
        <v/>
      </c>
      <c r="S98" s="105"/>
      <c r="T98" s="102"/>
      <c r="U98" s="106"/>
      <c r="V98" s="102" t="str">
        <f t="shared" si="1"/>
        <v/>
      </c>
      <c r="W98" s="102"/>
      <c r="X98" s="102"/>
      <c r="Y98" s="119" t="str">
        <f t="array" ref="Y98">IF(OR($B98="",$D98=""),"",
IFERROR(
  INDEX(
    'Tools &amp; Targets_Guideline'!$C$54:$I$269,
    MATCH(
      1,
      ('Tools &amp; Targets_Guideline'!$A$54:$A$269=$B98)*
      ('Tools &amp; Targets_Guideline'!$B$54:$B$269="GM"),
      0
    ),
    MATCH(
      _xludf.IFNA(
        VLOOKUP($D98,{"PH","Provincial Hospital (H2)";"DH","District Hospital (H3)";"RH","Regional / National Hospital (H1)"},2,0),
        $D98
      ),
      'Tools &amp; Targets_Guideline'!$C$53:$I$53,
      0
    )
  ),
0))</f>
        <v/>
      </c>
      <c r="Z98" s="105"/>
      <c r="AA98" s="119" t="str">
        <f t="array" ref="AA98">IF(OR($B98="",$D98=""),"",
IFERROR(
  INDEX(
    'Tools &amp; Targets_Guideline'!$C$54:$I$269,
    MATCH(
      1,
      ('Tools &amp; Targets_Guideline'!$A$54:$A$269=$B98)*
      ('Tools &amp; Targets_Guideline'!$B$54:$B$269="Penta"),
      0
    ),
    MATCH(
      _xludf.IFNA(
        VLOOKUP($D98,{"PH","Provincial Hospital (H2)";"DH","District Hospital (H3)";"RH","Regional / National Hospital (H1)"},2,0),
        $D98
      ),
      'Tools &amp; Targets_Guideline'!$C$53:$I$53,
      0
    )
  ),
0))</f>
        <v/>
      </c>
      <c r="AB98" s="105"/>
      <c r="AC98" s="119" t="str">
        <f t="array" ref="AC98">IF(OR($B98="",$D98=""),"",
IFERROR(
  INDEX(
    'Tools &amp; Targets_Guideline'!$C$54:$I$269,
    MATCH(
      1,
      ('Tools &amp; Targets_Guideline'!$A$54:$A$269=$B98)*
      ('Tools &amp; Targets_Guideline'!$B$54:$B$269="TB"),
      0
    ),
    MATCH(
      _xludf.IFNA(
        VLOOKUP($D98,{"PH","Provincial Hospital (H2)";"DH","District Hospital (H3)";"RH","Regional / National Hospital (H1)"},2,0),
        $D98
      ),
      'Tools &amp; Targets_Guideline'!$C$53:$I$53,
      0
    )
  ),
0))</f>
        <v/>
      </c>
      <c r="AD98" s="105"/>
      <c r="AE98" s="119" t="str">
        <f t="array" ref="AE98">IF(OR($B98="",$D98=""),"",
IFERROR(
  INDEX(
    'Tools &amp; Targets_Guideline'!$C$54:$I$269,
    MATCH(
      1,
      ('Tools &amp; Targets_Guideline'!$A$54:$A$269=$B98)*
      ('Tools &amp; Targets_Guideline'!$B$54:$B$269="U5 Morbidity"),
      0
    ),
    MATCH(
      _xludf.IFNA(
        VLOOKUP($D98,{"PH","Provincial Hospital (H2)";"DH","District Hospital (H3)";"RH","Regional / National Hospital (H1)"},2,0),
        $D98
      ),
      'Tools &amp; Targets_Guideline'!$C$53:$I$53,
      0
    )
  ),
0))</f>
        <v/>
      </c>
      <c r="AF98" s="105"/>
      <c r="AG98" s="119" t="str">
        <f t="array" ref="AG98">IF(OR($B98="",$D98=""),"",
IFERROR(
  INDEX(
    'Tools &amp; Targets_Guideline'!$C$54:$I$269,
    MATCH(
      1,
      ('Tools &amp; Targets_Guideline'!$A$54:$A$269=$B98)*
      ('Tools &amp; Targets_Guideline'!$B$54:$B$269="C-Section"),
      0
    ),
    MATCH(
      _xludf.IFNA(
        VLOOKUP($D98,{"PH","Provincial Hospital (H2)";"DH","District Hospital (H3)";"RH","Regional / National Hospital (H1)"},2,0),
        $D98
      ),
      'Tools &amp; Targets_Guideline'!$C$53:$I$53,
      0
    )
  ),
0))</f>
        <v/>
      </c>
      <c r="AH98" s="105" t="str">
        <f>IF(A98&lt;&gt;"",COUNTIFS('QA Log'!D:D,A98,'QA Log'!M:M,"QQC",'QA Log'!L:L,"2. Hygiene and Sterilization",'QA Log'!Z:Z,"Approved"),"")</f>
        <v/>
      </c>
      <c r="AI98" s="102"/>
      <c r="AJ98" s="102"/>
      <c r="AK98" s="103" t="str">
        <f t="shared" si="2"/>
        <v/>
      </c>
      <c r="AL98" s="102"/>
      <c r="AM98" s="102"/>
      <c r="AN98" s="102"/>
      <c r="AO98" s="106"/>
      <c r="AP98" s="103"/>
      <c r="AQ98" s="102"/>
      <c r="AR98" s="102"/>
      <c r="AS98" s="102"/>
      <c r="AT98" s="107"/>
      <c r="AU98" s="102" t="str">
        <f t="shared" si="3"/>
        <v/>
      </c>
      <c r="AV98" s="102" t="str">
        <f t="shared" si="4"/>
        <v/>
      </c>
      <c r="AW98" s="102" t="str">
        <f t="shared" si="5"/>
        <v/>
      </c>
      <c r="AX98" s="102" t="str">
        <f t="shared" si="6"/>
        <v/>
      </c>
      <c r="AY98" s="107" t="str">
        <f t="shared" si="7"/>
        <v/>
      </c>
      <c r="AZ98" s="108" t="str">
        <f t="shared" si="8"/>
        <v/>
      </c>
      <c r="BA98" s="108" t="str">
        <f t="shared" si="9"/>
        <v/>
      </c>
      <c r="BB98" s="109" t="str">
        <f t="shared" si="10"/>
        <v/>
      </c>
      <c r="BC98" s="108" t="str">
        <f t="shared" si="11"/>
        <v/>
      </c>
      <c r="BD98" s="108" t="str">
        <f t="shared" si="12"/>
        <v/>
      </c>
      <c r="BE98" s="109" t="str">
        <f t="shared" si="13"/>
        <v/>
      </c>
      <c r="BF98" s="110" t="str">
        <f t="shared" si="14"/>
        <v/>
      </c>
      <c r="BG98" s="111"/>
    </row>
    <row r="99" spans="1:59" ht="12.75">
      <c r="A99" s="101"/>
      <c r="B99" s="102"/>
      <c r="C99" s="102" t="e">
        <f t="array" aca="1" ref="C99" ca="1">_xludf.XLOOKUP(A99,'QA Log'!D:D,'QA Log'!F:F,"")</f>
        <v>#NAME?</v>
      </c>
      <c r="D99" s="102"/>
      <c r="E99" s="102" t="e">
        <f t="array" aca="1" ref="E99" ca="1">_xludf.XLOOKUP(A99,'QA Log'!D:D,'QA Log'!G:G,"")</f>
        <v>#NAME?</v>
      </c>
      <c r="F99" s="103"/>
      <c r="G99" s="104"/>
      <c r="H99" s="104"/>
      <c r="I99" s="103" t="str">
        <f t="shared" si="0"/>
        <v/>
      </c>
      <c r="J99" s="102"/>
      <c r="K99" s="102"/>
      <c r="L99" s="119" t="str">
        <f t="array" ref="L99">IF(OR($B99="",$D99=""),"",
IFERROR(
  INDEX(
    'Tools &amp; Targets_Guideline'!$C$54:$I$269,
    MATCH(
      1,
      ('Tools &amp; Targets_Guideline'!$A$54:$A$269=$B99)*
      ('Tools &amp; Targets_Guideline'!$B$54:$B$269="ANC"),
      0
    ),
    MATCH(
      _xludf.IFNA(
        VLOOKUP($D99,{"PH","Provincial Hospital (H2)";"DH","District Hospital (H3)";"RH","Regional / National Hospital (H1)"},2,0),
        $D99
      ),
      'Tools &amp; Targets_Guideline'!$C$53:$I$53,
      0
    )
  ),
0))</f>
        <v/>
      </c>
      <c r="M99" s="105"/>
      <c r="N99" s="119" t="str">
        <f t="array" ref="N99">IF(OR($B99="",$D99=""),"",
IFERROR(
  INDEX(
    'Tools &amp; Targets_Guideline'!$C$54:$I$269,
    MATCH(
      1,
      ('Tools &amp; Targets_Guideline'!$A$54:$A$269=$B99)*
      ('Tools &amp; Targets_Guideline'!$B$54:$B$269="PNC"),
      0
    ),
    MATCH(
      _xludf.IFNA(
        VLOOKUP($D99,{"PH","Provincial Hospital (H2)";"DH","District Hospital (H3)";"RH","Regional / National Hospital (H1)"},2,0),
        $D99
      ),
      'Tools &amp; Targets_Guideline'!$C$53:$I$53,
      0
    )
  ),
0))</f>
        <v/>
      </c>
      <c r="O99" s="105"/>
      <c r="P99" s="119" t="str">
        <f t="array" ref="P99">IF(OR($B99="",$D99=""),"",
IFERROR(
  INDEX(
    'Tools &amp; Targets_Guideline'!$C$54:$I$269,
    MATCH(
      1,
      ('Tools &amp; Targets_Guideline'!$A$54:$A$269=$B99)*
      ('Tools &amp; Targets_Guideline'!$B$54:$B$269="Delivery"),
      0
    ),
    MATCH(
      _xludf.IFNA(
        VLOOKUP($D99,{"PH","Provincial Hospital (H2)";"DH","District Hospital (H3)";"RH","Regional / National Hospital (H1)"},2,0),
        $D99
      ),
      'Tools &amp; Targets_Guideline'!$C$53:$I$53,
      0
    )
  ),
0))</f>
        <v/>
      </c>
      <c r="Q99" s="105"/>
      <c r="R99" s="119" t="str">
        <f t="array" ref="R99">IF(OR($B99="",$D99=""),"",
IFERROR(
  INDEX(
    'Tools &amp; Targets_Guideline'!$C$54:$I$269,
    MATCH(
      1,
      ('Tools &amp; Targets_Guideline'!$A$54:$A$269=$B99)*
      ('Tools &amp; Targets_Guideline'!$B$54:$B$269="TT"),
      0
    ),
    MATCH(
      _xludf.IFNA(
        VLOOKUP($D99,{"PH","Provincial Hospital (H2)";"DH","District Hospital (H3)";"RH","Regional / National Hospital (H1)"},2,0),
        $D99
      ),
      'Tools &amp; Targets_Guideline'!$C$53:$I$53,
      0
    )
  ),
0))</f>
        <v/>
      </c>
      <c r="S99" s="105"/>
      <c r="T99" s="102"/>
      <c r="U99" s="106"/>
      <c r="V99" s="102" t="str">
        <f t="shared" si="1"/>
        <v/>
      </c>
      <c r="W99" s="102"/>
      <c r="X99" s="102"/>
      <c r="Y99" s="119" t="str">
        <f t="array" ref="Y99">IF(OR($B99="",$D99=""),"",
IFERROR(
  INDEX(
    'Tools &amp; Targets_Guideline'!$C$54:$I$269,
    MATCH(
      1,
      ('Tools &amp; Targets_Guideline'!$A$54:$A$269=$B99)*
      ('Tools &amp; Targets_Guideline'!$B$54:$B$269="GM"),
      0
    ),
    MATCH(
      _xludf.IFNA(
        VLOOKUP($D99,{"PH","Provincial Hospital (H2)";"DH","District Hospital (H3)";"RH","Regional / National Hospital (H1)"},2,0),
        $D99
      ),
      'Tools &amp; Targets_Guideline'!$C$53:$I$53,
      0
    )
  ),
0))</f>
        <v/>
      </c>
      <c r="Z99" s="105"/>
      <c r="AA99" s="119" t="str">
        <f t="array" ref="AA99">IF(OR($B99="",$D99=""),"",
IFERROR(
  INDEX(
    'Tools &amp; Targets_Guideline'!$C$54:$I$269,
    MATCH(
      1,
      ('Tools &amp; Targets_Guideline'!$A$54:$A$269=$B99)*
      ('Tools &amp; Targets_Guideline'!$B$54:$B$269="Penta"),
      0
    ),
    MATCH(
      _xludf.IFNA(
        VLOOKUP($D99,{"PH","Provincial Hospital (H2)";"DH","District Hospital (H3)";"RH","Regional / National Hospital (H1)"},2,0),
        $D99
      ),
      'Tools &amp; Targets_Guideline'!$C$53:$I$53,
      0
    )
  ),
0))</f>
        <v/>
      </c>
      <c r="AB99" s="105"/>
      <c r="AC99" s="119" t="str">
        <f t="array" ref="AC99">IF(OR($B99="",$D99=""),"",
IFERROR(
  INDEX(
    'Tools &amp; Targets_Guideline'!$C$54:$I$269,
    MATCH(
      1,
      ('Tools &amp; Targets_Guideline'!$A$54:$A$269=$B99)*
      ('Tools &amp; Targets_Guideline'!$B$54:$B$269="TB"),
      0
    ),
    MATCH(
      _xludf.IFNA(
        VLOOKUP($D99,{"PH","Provincial Hospital (H2)";"DH","District Hospital (H3)";"RH","Regional / National Hospital (H1)"},2,0),
        $D99
      ),
      'Tools &amp; Targets_Guideline'!$C$53:$I$53,
      0
    )
  ),
0))</f>
        <v/>
      </c>
      <c r="AD99" s="105"/>
      <c r="AE99" s="119" t="str">
        <f t="array" ref="AE99">IF(OR($B99="",$D99=""),"",
IFERROR(
  INDEX(
    'Tools &amp; Targets_Guideline'!$C$54:$I$269,
    MATCH(
      1,
      ('Tools &amp; Targets_Guideline'!$A$54:$A$269=$B99)*
      ('Tools &amp; Targets_Guideline'!$B$54:$B$269="U5 Morbidity"),
      0
    ),
    MATCH(
      _xludf.IFNA(
        VLOOKUP($D99,{"PH","Provincial Hospital (H2)";"DH","District Hospital (H3)";"RH","Regional / National Hospital (H1)"},2,0),
        $D99
      ),
      'Tools &amp; Targets_Guideline'!$C$53:$I$53,
      0
    )
  ),
0))</f>
        <v/>
      </c>
      <c r="AF99" s="105"/>
      <c r="AG99" s="119" t="str">
        <f t="array" ref="AG99">IF(OR($B99="",$D99=""),"",
IFERROR(
  INDEX(
    'Tools &amp; Targets_Guideline'!$C$54:$I$269,
    MATCH(
      1,
      ('Tools &amp; Targets_Guideline'!$A$54:$A$269=$B99)*
      ('Tools &amp; Targets_Guideline'!$B$54:$B$269="C-Section"),
      0
    ),
    MATCH(
      _xludf.IFNA(
        VLOOKUP($D99,{"PH","Provincial Hospital (H2)";"DH","District Hospital (H3)";"RH","Regional / National Hospital (H1)"},2,0),
        $D99
      ),
      'Tools &amp; Targets_Guideline'!$C$53:$I$53,
      0
    )
  ),
0))</f>
        <v/>
      </c>
      <c r="AH99" s="105" t="str">
        <f>IF(A99&lt;&gt;"",COUNTIFS('QA Log'!D:D,A99,'QA Log'!M:M,"QQC",'QA Log'!L:L,"2. Hygiene and Sterilization",'QA Log'!Z:Z,"Approved"),"")</f>
        <v/>
      </c>
      <c r="AI99" s="102"/>
      <c r="AJ99" s="102"/>
      <c r="AK99" s="103" t="str">
        <f t="shared" si="2"/>
        <v/>
      </c>
      <c r="AL99" s="102"/>
      <c r="AM99" s="102"/>
      <c r="AN99" s="102"/>
      <c r="AO99" s="106"/>
      <c r="AP99" s="103"/>
      <c r="AQ99" s="102"/>
      <c r="AR99" s="102"/>
      <c r="AS99" s="102"/>
      <c r="AT99" s="107"/>
      <c r="AU99" s="102" t="str">
        <f t="shared" si="3"/>
        <v/>
      </c>
      <c r="AV99" s="102" t="str">
        <f t="shared" si="4"/>
        <v/>
      </c>
      <c r="AW99" s="102" t="str">
        <f t="shared" si="5"/>
        <v/>
      </c>
      <c r="AX99" s="102" t="str">
        <f t="shared" si="6"/>
        <v/>
      </c>
      <c r="AY99" s="107" t="str">
        <f t="shared" si="7"/>
        <v/>
      </c>
      <c r="AZ99" s="108" t="str">
        <f t="shared" si="8"/>
        <v/>
      </c>
      <c r="BA99" s="108" t="str">
        <f t="shared" si="9"/>
        <v/>
      </c>
      <c r="BB99" s="109" t="str">
        <f t="shared" si="10"/>
        <v/>
      </c>
      <c r="BC99" s="108" t="str">
        <f t="shared" si="11"/>
        <v/>
      </c>
      <c r="BD99" s="108" t="str">
        <f t="shared" si="12"/>
        <v/>
      </c>
      <c r="BE99" s="109" t="str">
        <f t="shared" si="13"/>
        <v/>
      </c>
      <c r="BF99" s="110" t="str">
        <f t="shared" si="14"/>
        <v/>
      </c>
      <c r="BG99" s="111"/>
    </row>
    <row r="100" spans="1:59" ht="12.75">
      <c r="A100" s="101"/>
      <c r="B100" s="102"/>
      <c r="C100" s="102" t="e">
        <f t="array" aca="1" ref="C100" ca="1">_xludf.XLOOKUP(A100,'QA Log'!D:D,'QA Log'!F:F,"")</f>
        <v>#NAME?</v>
      </c>
      <c r="D100" s="102"/>
      <c r="E100" s="102" t="e">
        <f t="array" aca="1" ref="E100" ca="1">_xludf.XLOOKUP(A100,'QA Log'!D:D,'QA Log'!G:G,"")</f>
        <v>#NAME?</v>
      </c>
      <c r="F100" s="103"/>
      <c r="G100" s="104"/>
      <c r="H100" s="104"/>
      <c r="I100" s="103" t="str">
        <f t="shared" si="0"/>
        <v/>
      </c>
      <c r="J100" s="102"/>
      <c r="K100" s="102"/>
      <c r="L100" s="119" t="str">
        <f t="array" ref="L100">IF(OR($B100="",$D100=""),"",
IFERROR(
  INDEX(
    'Tools &amp; Targets_Guideline'!$C$54:$I$269,
    MATCH(
      1,
      ('Tools &amp; Targets_Guideline'!$A$54:$A$269=$B100)*
      ('Tools &amp; Targets_Guideline'!$B$54:$B$269="ANC"),
      0
    ),
    MATCH(
      _xludf.IFNA(
        VLOOKUP($D100,{"PH","Provincial Hospital (H2)";"DH","District Hospital (H3)";"RH","Regional / National Hospital (H1)"},2,0),
        $D100
      ),
      'Tools &amp; Targets_Guideline'!$C$53:$I$53,
      0
    )
  ),
0))</f>
        <v/>
      </c>
      <c r="M100" s="105"/>
      <c r="N100" s="119" t="str">
        <f t="array" ref="N100">IF(OR($B100="",$D100=""),"",
IFERROR(
  INDEX(
    'Tools &amp; Targets_Guideline'!$C$54:$I$269,
    MATCH(
      1,
      ('Tools &amp; Targets_Guideline'!$A$54:$A$269=$B100)*
      ('Tools &amp; Targets_Guideline'!$B$54:$B$269="PNC"),
      0
    ),
    MATCH(
      _xludf.IFNA(
        VLOOKUP($D100,{"PH","Provincial Hospital (H2)";"DH","District Hospital (H3)";"RH","Regional / National Hospital (H1)"},2,0),
        $D100
      ),
      'Tools &amp; Targets_Guideline'!$C$53:$I$53,
      0
    )
  ),
0))</f>
        <v/>
      </c>
      <c r="O100" s="105"/>
      <c r="P100" s="119" t="str">
        <f t="array" ref="P100">IF(OR($B100="",$D100=""),"",
IFERROR(
  INDEX(
    'Tools &amp; Targets_Guideline'!$C$54:$I$269,
    MATCH(
      1,
      ('Tools &amp; Targets_Guideline'!$A$54:$A$269=$B100)*
      ('Tools &amp; Targets_Guideline'!$B$54:$B$269="Delivery"),
      0
    ),
    MATCH(
      _xludf.IFNA(
        VLOOKUP($D100,{"PH","Provincial Hospital (H2)";"DH","District Hospital (H3)";"RH","Regional / National Hospital (H1)"},2,0),
        $D100
      ),
      'Tools &amp; Targets_Guideline'!$C$53:$I$53,
      0
    )
  ),
0))</f>
        <v/>
      </c>
      <c r="Q100" s="105"/>
      <c r="R100" s="119" t="str">
        <f t="array" ref="R100">IF(OR($B100="",$D100=""),"",
IFERROR(
  INDEX(
    'Tools &amp; Targets_Guideline'!$C$54:$I$269,
    MATCH(
      1,
      ('Tools &amp; Targets_Guideline'!$A$54:$A$269=$B100)*
      ('Tools &amp; Targets_Guideline'!$B$54:$B$269="TT"),
      0
    ),
    MATCH(
      _xludf.IFNA(
        VLOOKUP($D100,{"PH","Provincial Hospital (H2)";"DH","District Hospital (H3)";"RH","Regional / National Hospital (H1)"},2,0),
        $D100
      ),
      'Tools &amp; Targets_Guideline'!$C$53:$I$53,
      0
    )
  ),
0))</f>
        <v/>
      </c>
      <c r="S100" s="105"/>
      <c r="T100" s="102"/>
      <c r="U100" s="106"/>
      <c r="V100" s="102" t="str">
        <f t="shared" si="1"/>
        <v/>
      </c>
      <c r="W100" s="102"/>
      <c r="X100" s="102"/>
      <c r="Y100" s="119" t="str">
        <f t="array" ref="Y100">IF(OR($B100="",$D100=""),"",
IFERROR(
  INDEX(
    'Tools &amp; Targets_Guideline'!$C$54:$I$269,
    MATCH(
      1,
      ('Tools &amp; Targets_Guideline'!$A$54:$A$269=$B100)*
      ('Tools &amp; Targets_Guideline'!$B$54:$B$269="GM"),
      0
    ),
    MATCH(
      _xludf.IFNA(
        VLOOKUP($D100,{"PH","Provincial Hospital (H2)";"DH","District Hospital (H3)";"RH","Regional / National Hospital (H1)"},2,0),
        $D100
      ),
      'Tools &amp; Targets_Guideline'!$C$53:$I$53,
      0
    )
  ),
0))</f>
        <v/>
      </c>
      <c r="Z100" s="105"/>
      <c r="AA100" s="119" t="str">
        <f t="array" ref="AA100">IF(OR($B100="",$D100=""),"",
IFERROR(
  INDEX(
    'Tools &amp; Targets_Guideline'!$C$54:$I$269,
    MATCH(
      1,
      ('Tools &amp; Targets_Guideline'!$A$54:$A$269=$B100)*
      ('Tools &amp; Targets_Guideline'!$B$54:$B$269="Penta"),
      0
    ),
    MATCH(
      _xludf.IFNA(
        VLOOKUP($D100,{"PH","Provincial Hospital (H2)";"DH","District Hospital (H3)";"RH","Regional / National Hospital (H1)"},2,0),
        $D100
      ),
      'Tools &amp; Targets_Guideline'!$C$53:$I$53,
      0
    )
  ),
0))</f>
        <v/>
      </c>
      <c r="AB100" s="105"/>
      <c r="AC100" s="119" t="str">
        <f t="array" ref="AC100">IF(OR($B100="",$D100=""),"",
IFERROR(
  INDEX(
    'Tools &amp; Targets_Guideline'!$C$54:$I$269,
    MATCH(
      1,
      ('Tools &amp; Targets_Guideline'!$A$54:$A$269=$B100)*
      ('Tools &amp; Targets_Guideline'!$B$54:$B$269="TB"),
      0
    ),
    MATCH(
      _xludf.IFNA(
        VLOOKUP($D100,{"PH","Provincial Hospital (H2)";"DH","District Hospital (H3)";"RH","Regional / National Hospital (H1)"},2,0),
        $D100
      ),
      'Tools &amp; Targets_Guideline'!$C$53:$I$53,
      0
    )
  ),
0))</f>
        <v/>
      </c>
      <c r="AD100" s="105"/>
      <c r="AE100" s="119" t="str">
        <f t="array" ref="AE100">IF(OR($B100="",$D100=""),"",
IFERROR(
  INDEX(
    'Tools &amp; Targets_Guideline'!$C$54:$I$269,
    MATCH(
      1,
      ('Tools &amp; Targets_Guideline'!$A$54:$A$269=$B100)*
      ('Tools &amp; Targets_Guideline'!$B$54:$B$269="U5 Morbidity"),
      0
    ),
    MATCH(
      _xludf.IFNA(
        VLOOKUP($D100,{"PH","Provincial Hospital (H2)";"DH","District Hospital (H3)";"RH","Regional / National Hospital (H1)"},2,0),
        $D100
      ),
      'Tools &amp; Targets_Guideline'!$C$53:$I$53,
      0
    )
  ),
0))</f>
        <v/>
      </c>
      <c r="AF100" s="105"/>
      <c r="AG100" s="119" t="str">
        <f t="array" ref="AG100">IF(OR($B100="",$D100=""),"",
IFERROR(
  INDEX(
    'Tools &amp; Targets_Guideline'!$C$54:$I$269,
    MATCH(
      1,
      ('Tools &amp; Targets_Guideline'!$A$54:$A$269=$B100)*
      ('Tools &amp; Targets_Guideline'!$B$54:$B$269="C-Section"),
      0
    ),
    MATCH(
      _xludf.IFNA(
        VLOOKUP($D100,{"PH","Provincial Hospital (H2)";"DH","District Hospital (H3)";"RH","Regional / National Hospital (H1)"},2,0),
        $D100
      ),
      'Tools &amp; Targets_Guideline'!$C$53:$I$53,
      0
    )
  ),
0))</f>
        <v/>
      </c>
      <c r="AH100" s="105" t="str">
        <f>IF(A100&lt;&gt;"",COUNTIFS('QA Log'!D:D,A100,'QA Log'!M:M,"QQC",'QA Log'!L:L,"2. Hygiene and Sterilization",'QA Log'!Z:Z,"Approved"),"")</f>
        <v/>
      </c>
      <c r="AI100" s="102"/>
      <c r="AJ100" s="102"/>
      <c r="AK100" s="103" t="str">
        <f t="shared" si="2"/>
        <v/>
      </c>
      <c r="AL100" s="102"/>
      <c r="AM100" s="102"/>
      <c r="AN100" s="102"/>
      <c r="AO100" s="106"/>
      <c r="AP100" s="103"/>
      <c r="AQ100" s="102"/>
      <c r="AR100" s="102"/>
      <c r="AS100" s="102"/>
      <c r="AT100" s="107"/>
      <c r="AU100" s="102" t="str">
        <f t="shared" si="3"/>
        <v/>
      </c>
      <c r="AV100" s="102" t="str">
        <f t="shared" si="4"/>
        <v/>
      </c>
      <c r="AW100" s="102" t="str">
        <f t="shared" si="5"/>
        <v/>
      </c>
      <c r="AX100" s="102" t="str">
        <f t="shared" si="6"/>
        <v/>
      </c>
      <c r="AY100" s="107" t="str">
        <f t="shared" si="7"/>
        <v/>
      </c>
      <c r="AZ100" s="108" t="str">
        <f t="shared" si="8"/>
        <v/>
      </c>
      <c r="BA100" s="108" t="str">
        <f t="shared" si="9"/>
        <v/>
      </c>
      <c r="BB100" s="109" t="str">
        <f t="shared" si="10"/>
        <v/>
      </c>
      <c r="BC100" s="108" t="str">
        <f t="shared" si="11"/>
        <v/>
      </c>
      <c r="BD100" s="108" t="str">
        <f t="shared" si="12"/>
        <v/>
      </c>
      <c r="BE100" s="109" t="str">
        <f t="shared" si="13"/>
        <v/>
      </c>
      <c r="BF100" s="110" t="str">
        <f t="shared" si="14"/>
        <v/>
      </c>
      <c r="BG100" s="111"/>
    </row>
    <row r="101" spans="1:59" ht="12.75">
      <c r="A101" s="101"/>
      <c r="B101" s="102"/>
      <c r="C101" s="102" t="e">
        <f t="array" aca="1" ref="C101" ca="1">_xludf.XLOOKUP(A101,'QA Log'!D:D,'QA Log'!F:F,"")</f>
        <v>#NAME?</v>
      </c>
      <c r="D101" s="102"/>
      <c r="E101" s="102" t="e">
        <f t="array" aca="1" ref="E101" ca="1">_xludf.XLOOKUP(A101,'QA Log'!D:D,'QA Log'!G:G,"")</f>
        <v>#NAME?</v>
      </c>
      <c r="F101" s="103"/>
      <c r="G101" s="104"/>
      <c r="H101" s="104"/>
      <c r="I101" s="103" t="str">
        <f t="shared" si="0"/>
        <v/>
      </c>
      <c r="J101" s="102"/>
      <c r="K101" s="102"/>
      <c r="L101" s="119" t="str">
        <f t="array" ref="L101">IF(OR($B101="",$D101=""),"",
IFERROR(
  INDEX(
    'Tools &amp; Targets_Guideline'!$C$54:$I$269,
    MATCH(
      1,
      ('Tools &amp; Targets_Guideline'!$A$54:$A$269=$B101)*
      ('Tools &amp; Targets_Guideline'!$B$54:$B$269="ANC"),
      0
    ),
    MATCH(
      _xludf.IFNA(
        VLOOKUP($D101,{"PH","Provincial Hospital (H2)";"DH","District Hospital (H3)";"RH","Regional / National Hospital (H1)"},2,0),
        $D101
      ),
      'Tools &amp; Targets_Guideline'!$C$53:$I$53,
      0
    )
  ),
0))</f>
        <v/>
      </c>
      <c r="M101" s="105"/>
      <c r="N101" s="119" t="str">
        <f t="array" ref="N101">IF(OR($B101="",$D101=""),"",
IFERROR(
  INDEX(
    'Tools &amp; Targets_Guideline'!$C$54:$I$269,
    MATCH(
      1,
      ('Tools &amp; Targets_Guideline'!$A$54:$A$269=$B101)*
      ('Tools &amp; Targets_Guideline'!$B$54:$B$269="PNC"),
      0
    ),
    MATCH(
      _xludf.IFNA(
        VLOOKUP($D101,{"PH","Provincial Hospital (H2)";"DH","District Hospital (H3)";"RH","Regional / National Hospital (H1)"},2,0),
        $D101
      ),
      'Tools &amp; Targets_Guideline'!$C$53:$I$53,
      0
    )
  ),
0))</f>
        <v/>
      </c>
      <c r="O101" s="105"/>
      <c r="P101" s="119" t="str">
        <f t="array" ref="P101">IF(OR($B101="",$D101=""),"",
IFERROR(
  INDEX(
    'Tools &amp; Targets_Guideline'!$C$54:$I$269,
    MATCH(
      1,
      ('Tools &amp; Targets_Guideline'!$A$54:$A$269=$B101)*
      ('Tools &amp; Targets_Guideline'!$B$54:$B$269="Delivery"),
      0
    ),
    MATCH(
      _xludf.IFNA(
        VLOOKUP($D101,{"PH","Provincial Hospital (H2)";"DH","District Hospital (H3)";"RH","Regional / National Hospital (H1)"},2,0),
        $D101
      ),
      'Tools &amp; Targets_Guideline'!$C$53:$I$53,
      0
    )
  ),
0))</f>
        <v/>
      </c>
      <c r="Q101" s="105"/>
      <c r="R101" s="119" t="str">
        <f t="array" ref="R101">IF(OR($B101="",$D101=""),"",
IFERROR(
  INDEX(
    'Tools &amp; Targets_Guideline'!$C$54:$I$269,
    MATCH(
      1,
      ('Tools &amp; Targets_Guideline'!$A$54:$A$269=$B101)*
      ('Tools &amp; Targets_Guideline'!$B$54:$B$269="TT"),
      0
    ),
    MATCH(
      _xludf.IFNA(
        VLOOKUP($D101,{"PH","Provincial Hospital (H2)";"DH","District Hospital (H3)";"RH","Regional / National Hospital (H1)"},2,0),
        $D101
      ),
      'Tools &amp; Targets_Guideline'!$C$53:$I$53,
      0
    )
  ),
0))</f>
        <v/>
      </c>
      <c r="S101" s="105"/>
      <c r="T101" s="102"/>
      <c r="U101" s="106"/>
      <c r="V101" s="102" t="str">
        <f t="shared" si="1"/>
        <v/>
      </c>
      <c r="W101" s="102"/>
      <c r="X101" s="102"/>
      <c r="Y101" s="119" t="str">
        <f t="array" ref="Y101">IF(OR($B101="",$D101=""),"",
IFERROR(
  INDEX(
    'Tools &amp; Targets_Guideline'!$C$54:$I$269,
    MATCH(
      1,
      ('Tools &amp; Targets_Guideline'!$A$54:$A$269=$B101)*
      ('Tools &amp; Targets_Guideline'!$B$54:$B$269="GM"),
      0
    ),
    MATCH(
      _xludf.IFNA(
        VLOOKUP($D101,{"PH","Provincial Hospital (H2)";"DH","District Hospital (H3)";"RH","Regional / National Hospital (H1)"},2,0),
        $D101
      ),
      'Tools &amp; Targets_Guideline'!$C$53:$I$53,
      0
    )
  ),
0))</f>
        <v/>
      </c>
      <c r="Z101" s="105"/>
      <c r="AA101" s="119" t="str">
        <f t="array" ref="AA101">IF(OR($B101="",$D101=""),"",
IFERROR(
  INDEX(
    'Tools &amp; Targets_Guideline'!$C$54:$I$269,
    MATCH(
      1,
      ('Tools &amp; Targets_Guideline'!$A$54:$A$269=$B101)*
      ('Tools &amp; Targets_Guideline'!$B$54:$B$269="Penta"),
      0
    ),
    MATCH(
      _xludf.IFNA(
        VLOOKUP($D101,{"PH","Provincial Hospital (H2)";"DH","District Hospital (H3)";"RH","Regional / National Hospital (H1)"},2,0),
        $D101
      ),
      'Tools &amp; Targets_Guideline'!$C$53:$I$53,
      0
    )
  ),
0))</f>
        <v/>
      </c>
      <c r="AB101" s="105"/>
      <c r="AC101" s="119" t="str">
        <f t="array" ref="AC101">IF(OR($B101="",$D101=""),"",
IFERROR(
  INDEX(
    'Tools &amp; Targets_Guideline'!$C$54:$I$269,
    MATCH(
      1,
      ('Tools &amp; Targets_Guideline'!$A$54:$A$269=$B101)*
      ('Tools &amp; Targets_Guideline'!$B$54:$B$269="TB"),
      0
    ),
    MATCH(
      _xludf.IFNA(
        VLOOKUP($D101,{"PH","Provincial Hospital (H2)";"DH","District Hospital (H3)";"RH","Regional / National Hospital (H1)"},2,0),
        $D101
      ),
      'Tools &amp; Targets_Guideline'!$C$53:$I$53,
      0
    )
  ),
0))</f>
        <v/>
      </c>
      <c r="AD101" s="105"/>
      <c r="AE101" s="119" t="str">
        <f t="array" ref="AE101">IF(OR($B101="",$D101=""),"",
IFERROR(
  INDEX(
    'Tools &amp; Targets_Guideline'!$C$54:$I$269,
    MATCH(
      1,
      ('Tools &amp; Targets_Guideline'!$A$54:$A$269=$B101)*
      ('Tools &amp; Targets_Guideline'!$B$54:$B$269="U5 Morbidity"),
      0
    ),
    MATCH(
      _xludf.IFNA(
        VLOOKUP($D101,{"PH","Provincial Hospital (H2)";"DH","District Hospital (H3)";"RH","Regional / National Hospital (H1)"},2,0),
        $D101
      ),
      'Tools &amp; Targets_Guideline'!$C$53:$I$53,
      0
    )
  ),
0))</f>
        <v/>
      </c>
      <c r="AF101" s="105"/>
      <c r="AG101" s="119" t="str">
        <f t="array" ref="AG101">IF(OR($B101="",$D101=""),"",
IFERROR(
  INDEX(
    'Tools &amp; Targets_Guideline'!$C$54:$I$269,
    MATCH(
      1,
      ('Tools &amp; Targets_Guideline'!$A$54:$A$269=$B101)*
      ('Tools &amp; Targets_Guideline'!$B$54:$B$269="C-Section"),
      0
    ),
    MATCH(
      _xludf.IFNA(
        VLOOKUP($D101,{"PH","Provincial Hospital (H2)";"DH","District Hospital (H3)";"RH","Regional / National Hospital (H1)"},2,0),
        $D101
      ),
      'Tools &amp; Targets_Guideline'!$C$53:$I$53,
      0
    )
  ),
0))</f>
        <v/>
      </c>
      <c r="AH101" s="105" t="str">
        <f>IF(A101&lt;&gt;"",COUNTIFS('QA Log'!D:D,A101,'QA Log'!M:M,"QQC",'QA Log'!L:L,"2. Hygiene and Sterilization",'QA Log'!Z:Z,"Approved"),"")</f>
        <v/>
      </c>
      <c r="AI101" s="102"/>
      <c r="AJ101" s="102"/>
      <c r="AK101" s="103" t="str">
        <f t="shared" si="2"/>
        <v/>
      </c>
      <c r="AL101" s="102"/>
      <c r="AM101" s="102"/>
      <c r="AN101" s="102"/>
      <c r="AO101" s="106"/>
      <c r="AP101" s="103"/>
      <c r="AQ101" s="102"/>
      <c r="AR101" s="102"/>
      <c r="AS101" s="102"/>
      <c r="AT101" s="107"/>
      <c r="AU101" s="102" t="str">
        <f t="shared" si="3"/>
        <v/>
      </c>
      <c r="AV101" s="102" t="str">
        <f t="shared" si="4"/>
        <v/>
      </c>
      <c r="AW101" s="102" t="str">
        <f t="shared" si="5"/>
        <v/>
      </c>
      <c r="AX101" s="102" t="str">
        <f t="shared" si="6"/>
        <v/>
      </c>
      <c r="AY101" s="107" t="str">
        <f t="shared" si="7"/>
        <v/>
      </c>
      <c r="AZ101" s="108" t="str">
        <f t="shared" si="8"/>
        <v/>
      </c>
      <c r="BA101" s="108" t="str">
        <f t="shared" si="9"/>
        <v/>
      </c>
      <c r="BB101" s="109" t="str">
        <f t="shared" si="10"/>
        <v/>
      </c>
      <c r="BC101" s="108" t="str">
        <f t="shared" si="11"/>
        <v/>
      </c>
      <c r="BD101" s="108" t="str">
        <f t="shared" si="12"/>
        <v/>
      </c>
      <c r="BE101" s="109" t="str">
        <f t="shared" si="13"/>
        <v/>
      </c>
      <c r="BF101" s="110" t="str">
        <f t="shared" si="14"/>
        <v/>
      </c>
      <c r="BG101" s="111"/>
    </row>
    <row r="102" spans="1:59" ht="12.75">
      <c r="A102" s="101"/>
      <c r="B102" s="102"/>
      <c r="C102" s="102" t="e">
        <f t="array" aca="1" ref="C102" ca="1">_xludf.XLOOKUP(A102,'QA Log'!D:D,'QA Log'!F:F,"")</f>
        <v>#NAME?</v>
      </c>
      <c r="D102" s="102"/>
      <c r="E102" s="102" t="e">
        <f t="array" aca="1" ref="E102" ca="1">_xludf.XLOOKUP(A102,'QA Log'!D:D,'QA Log'!G:G,"")</f>
        <v>#NAME?</v>
      </c>
      <c r="F102" s="103"/>
      <c r="G102" s="104"/>
      <c r="H102" s="104"/>
      <c r="I102" s="103" t="str">
        <f t="shared" si="0"/>
        <v/>
      </c>
      <c r="J102" s="102"/>
      <c r="K102" s="102"/>
      <c r="L102" s="119" t="str">
        <f t="array" ref="L102">IF(OR($B102="",$D102=""),"",
IFERROR(
  INDEX(
    'Tools &amp; Targets_Guideline'!$C$54:$I$269,
    MATCH(
      1,
      ('Tools &amp; Targets_Guideline'!$A$54:$A$269=$B102)*
      ('Tools &amp; Targets_Guideline'!$B$54:$B$269="ANC"),
      0
    ),
    MATCH(
      _xludf.IFNA(
        VLOOKUP($D102,{"PH","Provincial Hospital (H2)";"DH","District Hospital (H3)";"RH","Regional / National Hospital (H1)"},2,0),
        $D102
      ),
      'Tools &amp; Targets_Guideline'!$C$53:$I$53,
      0
    )
  ),
0))</f>
        <v/>
      </c>
      <c r="M102" s="105"/>
      <c r="N102" s="119" t="str">
        <f t="array" ref="N102">IF(OR($B102="",$D102=""),"",
IFERROR(
  INDEX(
    'Tools &amp; Targets_Guideline'!$C$54:$I$269,
    MATCH(
      1,
      ('Tools &amp; Targets_Guideline'!$A$54:$A$269=$B102)*
      ('Tools &amp; Targets_Guideline'!$B$54:$B$269="PNC"),
      0
    ),
    MATCH(
      _xludf.IFNA(
        VLOOKUP($D102,{"PH","Provincial Hospital (H2)";"DH","District Hospital (H3)";"RH","Regional / National Hospital (H1)"},2,0),
        $D102
      ),
      'Tools &amp; Targets_Guideline'!$C$53:$I$53,
      0
    )
  ),
0))</f>
        <v/>
      </c>
      <c r="O102" s="105"/>
      <c r="P102" s="119" t="str">
        <f t="array" ref="P102">IF(OR($B102="",$D102=""),"",
IFERROR(
  INDEX(
    'Tools &amp; Targets_Guideline'!$C$54:$I$269,
    MATCH(
      1,
      ('Tools &amp; Targets_Guideline'!$A$54:$A$269=$B102)*
      ('Tools &amp; Targets_Guideline'!$B$54:$B$269="Delivery"),
      0
    ),
    MATCH(
      _xludf.IFNA(
        VLOOKUP($D102,{"PH","Provincial Hospital (H2)";"DH","District Hospital (H3)";"RH","Regional / National Hospital (H1)"},2,0),
        $D102
      ),
      'Tools &amp; Targets_Guideline'!$C$53:$I$53,
      0
    )
  ),
0))</f>
        <v/>
      </c>
      <c r="Q102" s="105"/>
      <c r="R102" s="119" t="str">
        <f t="array" ref="R102">IF(OR($B102="",$D102=""),"",
IFERROR(
  INDEX(
    'Tools &amp; Targets_Guideline'!$C$54:$I$269,
    MATCH(
      1,
      ('Tools &amp; Targets_Guideline'!$A$54:$A$269=$B102)*
      ('Tools &amp; Targets_Guideline'!$B$54:$B$269="TT"),
      0
    ),
    MATCH(
      _xludf.IFNA(
        VLOOKUP($D102,{"PH","Provincial Hospital (H2)";"DH","District Hospital (H3)";"RH","Regional / National Hospital (H1)"},2,0),
        $D102
      ),
      'Tools &amp; Targets_Guideline'!$C$53:$I$53,
      0
    )
  ),
0))</f>
        <v/>
      </c>
      <c r="S102" s="105"/>
      <c r="T102" s="102"/>
      <c r="U102" s="106"/>
      <c r="V102" s="102" t="str">
        <f t="shared" si="1"/>
        <v/>
      </c>
      <c r="W102" s="102"/>
      <c r="X102" s="102"/>
      <c r="Y102" s="119" t="str">
        <f t="array" ref="Y102">IF(OR($B102="",$D102=""),"",
IFERROR(
  INDEX(
    'Tools &amp; Targets_Guideline'!$C$54:$I$269,
    MATCH(
      1,
      ('Tools &amp; Targets_Guideline'!$A$54:$A$269=$B102)*
      ('Tools &amp; Targets_Guideline'!$B$54:$B$269="GM"),
      0
    ),
    MATCH(
      _xludf.IFNA(
        VLOOKUP($D102,{"PH","Provincial Hospital (H2)";"DH","District Hospital (H3)";"RH","Regional / National Hospital (H1)"},2,0),
        $D102
      ),
      'Tools &amp; Targets_Guideline'!$C$53:$I$53,
      0
    )
  ),
0))</f>
        <v/>
      </c>
      <c r="Z102" s="105"/>
      <c r="AA102" s="119" t="str">
        <f t="array" ref="AA102">IF(OR($B102="",$D102=""),"",
IFERROR(
  INDEX(
    'Tools &amp; Targets_Guideline'!$C$54:$I$269,
    MATCH(
      1,
      ('Tools &amp; Targets_Guideline'!$A$54:$A$269=$B102)*
      ('Tools &amp; Targets_Guideline'!$B$54:$B$269="Penta"),
      0
    ),
    MATCH(
      _xludf.IFNA(
        VLOOKUP($D102,{"PH","Provincial Hospital (H2)";"DH","District Hospital (H3)";"RH","Regional / National Hospital (H1)"},2,0),
        $D102
      ),
      'Tools &amp; Targets_Guideline'!$C$53:$I$53,
      0
    )
  ),
0))</f>
        <v/>
      </c>
      <c r="AB102" s="105"/>
      <c r="AC102" s="119" t="str">
        <f t="array" ref="AC102">IF(OR($B102="",$D102=""),"",
IFERROR(
  INDEX(
    'Tools &amp; Targets_Guideline'!$C$54:$I$269,
    MATCH(
      1,
      ('Tools &amp; Targets_Guideline'!$A$54:$A$269=$B102)*
      ('Tools &amp; Targets_Guideline'!$B$54:$B$269="TB"),
      0
    ),
    MATCH(
      _xludf.IFNA(
        VLOOKUP($D102,{"PH","Provincial Hospital (H2)";"DH","District Hospital (H3)";"RH","Regional / National Hospital (H1)"},2,0),
        $D102
      ),
      'Tools &amp; Targets_Guideline'!$C$53:$I$53,
      0
    )
  ),
0))</f>
        <v/>
      </c>
      <c r="AD102" s="105"/>
      <c r="AE102" s="119" t="str">
        <f t="array" ref="AE102">IF(OR($B102="",$D102=""),"",
IFERROR(
  INDEX(
    'Tools &amp; Targets_Guideline'!$C$54:$I$269,
    MATCH(
      1,
      ('Tools &amp; Targets_Guideline'!$A$54:$A$269=$B102)*
      ('Tools &amp; Targets_Guideline'!$B$54:$B$269="U5 Morbidity"),
      0
    ),
    MATCH(
      _xludf.IFNA(
        VLOOKUP($D102,{"PH","Provincial Hospital (H2)";"DH","District Hospital (H3)";"RH","Regional / National Hospital (H1)"},2,0),
        $D102
      ),
      'Tools &amp; Targets_Guideline'!$C$53:$I$53,
      0
    )
  ),
0))</f>
        <v/>
      </c>
      <c r="AF102" s="105"/>
      <c r="AG102" s="119" t="str">
        <f t="array" ref="AG102">IF(OR($B102="",$D102=""),"",
IFERROR(
  INDEX(
    'Tools &amp; Targets_Guideline'!$C$54:$I$269,
    MATCH(
      1,
      ('Tools &amp; Targets_Guideline'!$A$54:$A$269=$B102)*
      ('Tools &amp; Targets_Guideline'!$B$54:$B$269="C-Section"),
      0
    ),
    MATCH(
      _xludf.IFNA(
        VLOOKUP($D102,{"PH","Provincial Hospital (H2)";"DH","District Hospital (H3)";"RH","Regional / National Hospital (H1)"},2,0),
        $D102
      ),
      'Tools &amp; Targets_Guideline'!$C$53:$I$53,
      0
    )
  ),
0))</f>
        <v/>
      </c>
      <c r="AH102" s="105" t="str">
        <f>IF(A102&lt;&gt;"",COUNTIFS('QA Log'!D:D,A102,'QA Log'!M:M,"QQC",'QA Log'!L:L,"2. Hygiene and Sterilization",'QA Log'!Z:Z,"Approved"),"")</f>
        <v/>
      </c>
      <c r="AI102" s="102"/>
      <c r="AJ102" s="102"/>
      <c r="AK102" s="103" t="str">
        <f t="shared" si="2"/>
        <v/>
      </c>
      <c r="AL102" s="102"/>
      <c r="AM102" s="102"/>
      <c r="AN102" s="102"/>
      <c r="AO102" s="106"/>
      <c r="AP102" s="103"/>
      <c r="AQ102" s="102"/>
      <c r="AR102" s="102"/>
      <c r="AS102" s="102"/>
      <c r="AT102" s="107"/>
      <c r="AU102" s="102" t="str">
        <f t="shared" si="3"/>
        <v/>
      </c>
      <c r="AV102" s="102" t="str">
        <f t="shared" si="4"/>
        <v/>
      </c>
      <c r="AW102" s="102" t="str">
        <f t="shared" si="5"/>
        <v/>
      </c>
      <c r="AX102" s="102" t="str">
        <f t="shared" si="6"/>
        <v/>
      </c>
      <c r="AY102" s="107" t="str">
        <f t="shared" si="7"/>
        <v/>
      </c>
      <c r="AZ102" s="108" t="str">
        <f t="shared" si="8"/>
        <v/>
      </c>
      <c r="BA102" s="108" t="str">
        <f t="shared" si="9"/>
        <v/>
      </c>
      <c r="BB102" s="109" t="str">
        <f t="shared" si="10"/>
        <v/>
      </c>
      <c r="BC102" s="108" t="str">
        <f t="shared" si="11"/>
        <v/>
      </c>
      <c r="BD102" s="108" t="str">
        <f t="shared" si="12"/>
        <v/>
      </c>
      <c r="BE102" s="109" t="str">
        <f t="shared" si="13"/>
        <v/>
      </c>
      <c r="BF102" s="110" t="str">
        <f t="shared" si="14"/>
        <v/>
      </c>
      <c r="BG102" s="111"/>
    </row>
    <row r="103" spans="1:59" ht="12.75">
      <c r="A103" s="101"/>
      <c r="B103" s="102"/>
      <c r="C103" s="102" t="e">
        <f t="array" aca="1" ref="C103" ca="1">_xludf.XLOOKUP(A103,'QA Log'!D:D,'QA Log'!F:F,"")</f>
        <v>#NAME?</v>
      </c>
      <c r="D103" s="102"/>
      <c r="E103" s="102" t="e">
        <f t="array" aca="1" ref="E103" ca="1">_xludf.XLOOKUP(A103,'QA Log'!D:D,'QA Log'!G:G,"")</f>
        <v>#NAME?</v>
      </c>
      <c r="F103" s="103"/>
      <c r="G103" s="104"/>
      <c r="H103" s="104"/>
      <c r="I103" s="103" t="str">
        <f t="shared" si="0"/>
        <v/>
      </c>
      <c r="J103" s="102"/>
      <c r="K103" s="102"/>
      <c r="L103" s="119" t="str">
        <f t="array" ref="L103">IF(OR($B103="",$D103=""),"",
IFERROR(
  INDEX(
    'Tools &amp; Targets_Guideline'!$C$54:$I$269,
    MATCH(
      1,
      ('Tools &amp; Targets_Guideline'!$A$54:$A$269=$B103)*
      ('Tools &amp; Targets_Guideline'!$B$54:$B$269="ANC"),
      0
    ),
    MATCH(
      _xludf.IFNA(
        VLOOKUP($D103,{"PH","Provincial Hospital (H2)";"DH","District Hospital (H3)";"RH","Regional / National Hospital (H1)"},2,0),
        $D103
      ),
      'Tools &amp; Targets_Guideline'!$C$53:$I$53,
      0
    )
  ),
0))</f>
        <v/>
      </c>
      <c r="M103" s="105"/>
      <c r="N103" s="119" t="str">
        <f t="array" ref="N103">IF(OR($B103="",$D103=""),"",
IFERROR(
  INDEX(
    'Tools &amp; Targets_Guideline'!$C$54:$I$269,
    MATCH(
      1,
      ('Tools &amp; Targets_Guideline'!$A$54:$A$269=$B103)*
      ('Tools &amp; Targets_Guideline'!$B$54:$B$269="PNC"),
      0
    ),
    MATCH(
      _xludf.IFNA(
        VLOOKUP($D103,{"PH","Provincial Hospital (H2)";"DH","District Hospital (H3)";"RH","Regional / National Hospital (H1)"},2,0),
        $D103
      ),
      'Tools &amp; Targets_Guideline'!$C$53:$I$53,
      0
    )
  ),
0))</f>
        <v/>
      </c>
      <c r="O103" s="105"/>
      <c r="P103" s="119" t="str">
        <f t="array" ref="P103">IF(OR($B103="",$D103=""),"",
IFERROR(
  INDEX(
    'Tools &amp; Targets_Guideline'!$C$54:$I$269,
    MATCH(
      1,
      ('Tools &amp; Targets_Guideline'!$A$54:$A$269=$B103)*
      ('Tools &amp; Targets_Guideline'!$B$54:$B$269="Delivery"),
      0
    ),
    MATCH(
      _xludf.IFNA(
        VLOOKUP($D103,{"PH","Provincial Hospital (H2)";"DH","District Hospital (H3)";"RH","Regional / National Hospital (H1)"},2,0),
        $D103
      ),
      'Tools &amp; Targets_Guideline'!$C$53:$I$53,
      0
    )
  ),
0))</f>
        <v/>
      </c>
      <c r="Q103" s="105"/>
      <c r="R103" s="119" t="str">
        <f t="array" ref="R103">IF(OR($B103="",$D103=""),"",
IFERROR(
  INDEX(
    'Tools &amp; Targets_Guideline'!$C$54:$I$269,
    MATCH(
      1,
      ('Tools &amp; Targets_Guideline'!$A$54:$A$269=$B103)*
      ('Tools &amp; Targets_Guideline'!$B$54:$B$269="TT"),
      0
    ),
    MATCH(
      _xludf.IFNA(
        VLOOKUP($D103,{"PH","Provincial Hospital (H2)";"DH","District Hospital (H3)";"RH","Regional / National Hospital (H1)"},2,0),
        $D103
      ),
      'Tools &amp; Targets_Guideline'!$C$53:$I$53,
      0
    )
  ),
0))</f>
        <v/>
      </c>
      <c r="S103" s="105"/>
      <c r="T103" s="102"/>
      <c r="U103" s="106"/>
      <c r="V103" s="102" t="str">
        <f t="shared" si="1"/>
        <v/>
      </c>
      <c r="W103" s="102"/>
      <c r="X103" s="102"/>
      <c r="Y103" s="119" t="str">
        <f t="array" ref="Y103">IF(OR($B103="",$D103=""),"",
IFERROR(
  INDEX(
    'Tools &amp; Targets_Guideline'!$C$54:$I$269,
    MATCH(
      1,
      ('Tools &amp; Targets_Guideline'!$A$54:$A$269=$B103)*
      ('Tools &amp; Targets_Guideline'!$B$54:$B$269="GM"),
      0
    ),
    MATCH(
      _xludf.IFNA(
        VLOOKUP($D103,{"PH","Provincial Hospital (H2)";"DH","District Hospital (H3)";"RH","Regional / National Hospital (H1)"},2,0),
        $D103
      ),
      'Tools &amp; Targets_Guideline'!$C$53:$I$53,
      0
    )
  ),
0))</f>
        <v/>
      </c>
      <c r="Z103" s="105"/>
      <c r="AA103" s="119" t="str">
        <f t="array" ref="AA103">IF(OR($B103="",$D103=""),"",
IFERROR(
  INDEX(
    'Tools &amp; Targets_Guideline'!$C$54:$I$269,
    MATCH(
      1,
      ('Tools &amp; Targets_Guideline'!$A$54:$A$269=$B103)*
      ('Tools &amp; Targets_Guideline'!$B$54:$B$269="Penta"),
      0
    ),
    MATCH(
      _xludf.IFNA(
        VLOOKUP($D103,{"PH","Provincial Hospital (H2)";"DH","District Hospital (H3)";"RH","Regional / National Hospital (H1)"},2,0),
        $D103
      ),
      'Tools &amp; Targets_Guideline'!$C$53:$I$53,
      0
    )
  ),
0))</f>
        <v/>
      </c>
      <c r="AB103" s="105"/>
      <c r="AC103" s="119" t="str">
        <f t="array" ref="AC103">IF(OR($B103="",$D103=""),"",
IFERROR(
  INDEX(
    'Tools &amp; Targets_Guideline'!$C$54:$I$269,
    MATCH(
      1,
      ('Tools &amp; Targets_Guideline'!$A$54:$A$269=$B103)*
      ('Tools &amp; Targets_Guideline'!$B$54:$B$269="TB"),
      0
    ),
    MATCH(
      _xludf.IFNA(
        VLOOKUP($D103,{"PH","Provincial Hospital (H2)";"DH","District Hospital (H3)";"RH","Regional / National Hospital (H1)"},2,0),
        $D103
      ),
      'Tools &amp; Targets_Guideline'!$C$53:$I$53,
      0
    )
  ),
0))</f>
        <v/>
      </c>
      <c r="AD103" s="105"/>
      <c r="AE103" s="119" t="str">
        <f t="array" ref="AE103">IF(OR($B103="",$D103=""),"",
IFERROR(
  INDEX(
    'Tools &amp; Targets_Guideline'!$C$54:$I$269,
    MATCH(
      1,
      ('Tools &amp; Targets_Guideline'!$A$54:$A$269=$B103)*
      ('Tools &amp; Targets_Guideline'!$B$54:$B$269="U5 Morbidity"),
      0
    ),
    MATCH(
      _xludf.IFNA(
        VLOOKUP($D103,{"PH","Provincial Hospital (H2)";"DH","District Hospital (H3)";"RH","Regional / National Hospital (H1)"},2,0),
        $D103
      ),
      'Tools &amp; Targets_Guideline'!$C$53:$I$53,
      0
    )
  ),
0))</f>
        <v/>
      </c>
      <c r="AF103" s="105"/>
      <c r="AG103" s="119" t="str">
        <f t="array" ref="AG103">IF(OR($B103="",$D103=""),"",
IFERROR(
  INDEX(
    'Tools &amp; Targets_Guideline'!$C$54:$I$269,
    MATCH(
      1,
      ('Tools &amp; Targets_Guideline'!$A$54:$A$269=$B103)*
      ('Tools &amp; Targets_Guideline'!$B$54:$B$269="C-Section"),
      0
    ),
    MATCH(
      _xludf.IFNA(
        VLOOKUP($D103,{"PH","Provincial Hospital (H2)";"DH","District Hospital (H3)";"RH","Regional / National Hospital (H1)"},2,0),
        $D103
      ),
      'Tools &amp; Targets_Guideline'!$C$53:$I$53,
      0
    )
  ),
0))</f>
        <v/>
      </c>
      <c r="AH103" s="105" t="str">
        <f>IF(A103&lt;&gt;"",COUNTIFS('QA Log'!D:D,A103,'QA Log'!M:M,"QQC",'QA Log'!L:L,"2. Hygiene and Sterilization",'QA Log'!Z:Z,"Approved"),"")</f>
        <v/>
      </c>
      <c r="AI103" s="102"/>
      <c r="AJ103" s="102"/>
      <c r="AK103" s="103" t="str">
        <f t="shared" si="2"/>
        <v/>
      </c>
      <c r="AL103" s="102"/>
      <c r="AM103" s="102"/>
      <c r="AN103" s="102"/>
      <c r="AO103" s="106"/>
      <c r="AP103" s="103"/>
      <c r="AQ103" s="102"/>
      <c r="AR103" s="102"/>
      <c r="AS103" s="102"/>
      <c r="AT103" s="107"/>
      <c r="AU103" s="102" t="str">
        <f t="shared" si="3"/>
        <v/>
      </c>
      <c r="AV103" s="102" t="str">
        <f t="shared" si="4"/>
        <v/>
      </c>
      <c r="AW103" s="102" t="str">
        <f t="shared" si="5"/>
        <v/>
      </c>
      <c r="AX103" s="102" t="str">
        <f t="shared" si="6"/>
        <v/>
      </c>
      <c r="AY103" s="107" t="str">
        <f t="shared" si="7"/>
        <v/>
      </c>
      <c r="AZ103" s="108" t="str">
        <f t="shared" si="8"/>
        <v/>
      </c>
      <c r="BA103" s="108" t="str">
        <f t="shared" si="9"/>
        <v/>
      </c>
      <c r="BB103" s="109" t="str">
        <f t="shared" si="10"/>
        <v/>
      </c>
      <c r="BC103" s="108" t="str">
        <f t="shared" si="11"/>
        <v/>
      </c>
      <c r="BD103" s="108" t="str">
        <f t="shared" si="12"/>
        <v/>
      </c>
      <c r="BE103" s="109" t="str">
        <f t="shared" si="13"/>
        <v/>
      </c>
      <c r="BF103" s="110" t="str">
        <f t="shared" si="14"/>
        <v/>
      </c>
      <c r="BG103" s="111"/>
    </row>
    <row r="104" spans="1:59" ht="12.75">
      <c r="A104" s="101"/>
      <c r="B104" s="102"/>
      <c r="C104" s="102" t="e">
        <f t="array" aca="1" ref="C104" ca="1">_xludf.XLOOKUP(A104,'QA Log'!D:D,'QA Log'!F:F,"")</f>
        <v>#NAME?</v>
      </c>
      <c r="D104" s="102"/>
      <c r="E104" s="102" t="e">
        <f t="array" aca="1" ref="E104" ca="1">_xludf.XLOOKUP(A104,'QA Log'!D:D,'QA Log'!G:G,"")</f>
        <v>#NAME?</v>
      </c>
      <c r="F104" s="103"/>
      <c r="G104" s="104"/>
      <c r="H104" s="104"/>
      <c r="I104" s="103" t="str">
        <f t="shared" si="0"/>
        <v/>
      </c>
      <c r="J104" s="102"/>
      <c r="K104" s="102"/>
      <c r="L104" s="119" t="str">
        <f t="array" ref="L104">IF(OR($B104="",$D104=""),"",
IFERROR(
  INDEX(
    'Tools &amp; Targets_Guideline'!$C$54:$I$269,
    MATCH(
      1,
      ('Tools &amp; Targets_Guideline'!$A$54:$A$269=$B104)*
      ('Tools &amp; Targets_Guideline'!$B$54:$B$269="ANC"),
      0
    ),
    MATCH(
      _xludf.IFNA(
        VLOOKUP($D104,{"PH","Provincial Hospital (H2)";"DH","District Hospital (H3)";"RH","Regional / National Hospital (H1)"},2,0),
        $D104
      ),
      'Tools &amp; Targets_Guideline'!$C$53:$I$53,
      0
    )
  ),
0))</f>
        <v/>
      </c>
      <c r="M104" s="105"/>
      <c r="N104" s="119" t="str">
        <f t="array" ref="N104">IF(OR($B104="",$D104=""),"",
IFERROR(
  INDEX(
    'Tools &amp; Targets_Guideline'!$C$54:$I$269,
    MATCH(
      1,
      ('Tools &amp; Targets_Guideline'!$A$54:$A$269=$B104)*
      ('Tools &amp; Targets_Guideline'!$B$54:$B$269="PNC"),
      0
    ),
    MATCH(
      _xludf.IFNA(
        VLOOKUP($D104,{"PH","Provincial Hospital (H2)";"DH","District Hospital (H3)";"RH","Regional / National Hospital (H1)"},2,0),
        $D104
      ),
      'Tools &amp; Targets_Guideline'!$C$53:$I$53,
      0
    )
  ),
0))</f>
        <v/>
      </c>
      <c r="O104" s="105"/>
      <c r="P104" s="119" t="str">
        <f t="array" ref="P104">IF(OR($B104="",$D104=""),"",
IFERROR(
  INDEX(
    'Tools &amp; Targets_Guideline'!$C$54:$I$269,
    MATCH(
      1,
      ('Tools &amp; Targets_Guideline'!$A$54:$A$269=$B104)*
      ('Tools &amp; Targets_Guideline'!$B$54:$B$269="Delivery"),
      0
    ),
    MATCH(
      _xludf.IFNA(
        VLOOKUP($D104,{"PH","Provincial Hospital (H2)";"DH","District Hospital (H3)";"RH","Regional / National Hospital (H1)"},2,0),
        $D104
      ),
      'Tools &amp; Targets_Guideline'!$C$53:$I$53,
      0
    )
  ),
0))</f>
        <v/>
      </c>
      <c r="Q104" s="105"/>
      <c r="R104" s="119" t="str">
        <f t="array" ref="R104">IF(OR($B104="",$D104=""),"",
IFERROR(
  INDEX(
    'Tools &amp; Targets_Guideline'!$C$54:$I$269,
    MATCH(
      1,
      ('Tools &amp; Targets_Guideline'!$A$54:$A$269=$B104)*
      ('Tools &amp; Targets_Guideline'!$B$54:$B$269="TT"),
      0
    ),
    MATCH(
      _xludf.IFNA(
        VLOOKUP($D104,{"PH","Provincial Hospital (H2)";"DH","District Hospital (H3)";"RH","Regional / National Hospital (H1)"},2,0),
        $D104
      ),
      'Tools &amp; Targets_Guideline'!$C$53:$I$53,
      0
    )
  ),
0))</f>
        <v/>
      </c>
      <c r="S104" s="105"/>
      <c r="T104" s="102"/>
      <c r="U104" s="106"/>
      <c r="V104" s="102" t="str">
        <f t="shared" si="1"/>
        <v/>
      </c>
      <c r="W104" s="102"/>
      <c r="X104" s="102"/>
      <c r="Y104" s="119" t="str">
        <f t="array" ref="Y104">IF(OR($B104="",$D104=""),"",
IFERROR(
  INDEX(
    'Tools &amp; Targets_Guideline'!$C$54:$I$269,
    MATCH(
      1,
      ('Tools &amp; Targets_Guideline'!$A$54:$A$269=$B104)*
      ('Tools &amp; Targets_Guideline'!$B$54:$B$269="GM"),
      0
    ),
    MATCH(
      _xludf.IFNA(
        VLOOKUP($D104,{"PH","Provincial Hospital (H2)";"DH","District Hospital (H3)";"RH","Regional / National Hospital (H1)"},2,0),
        $D104
      ),
      'Tools &amp; Targets_Guideline'!$C$53:$I$53,
      0
    )
  ),
0))</f>
        <v/>
      </c>
      <c r="Z104" s="105"/>
      <c r="AA104" s="119" t="str">
        <f t="array" ref="AA104">IF(OR($B104="",$D104=""),"",
IFERROR(
  INDEX(
    'Tools &amp; Targets_Guideline'!$C$54:$I$269,
    MATCH(
      1,
      ('Tools &amp; Targets_Guideline'!$A$54:$A$269=$B104)*
      ('Tools &amp; Targets_Guideline'!$B$54:$B$269="Penta"),
      0
    ),
    MATCH(
      _xludf.IFNA(
        VLOOKUP($D104,{"PH","Provincial Hospital (H2)";"DH","District Hospital (H3)";"RH","Regional / National Hospital (H1)"},2,0),
        $D104
      ),
      'Tools &amp; Targets_Guideline'!$C$53:$I$53,
      0
    )
  ),
0))</f>
        <v/>
      </c>
      <c r="AB104" s="105"/>
      <c r="AC104" s="119" t="str">
        <f t="array" ref="AC104">IF(OR($B104="",$D104=""),"",
IFERROR(
  INDEX(
    'Tools &amp; Targets_Guideline'!$C$54:$I$269,
    MATCH(
      1,
      ('Tools &amp; Targets_Guideline'!$A$54:$A$269=$B104)*
      ('Tools &amp; Targets_Guideline'!$B$54:$B$269="TB"),
      0
    ),
    MATCH(
      _xludf.IFNA(
        VLOOKUP($D104,{"PH","Provincial Hospital (H2)";"DH","District Hospital (H3)";"RH","Regional / National Hospital (H1)"},2,0),
        $D104
      ),
      'Tools &amp; Targets_Guideline'!$C$53:$I$53,
      0
    )
  ),
0))</f>
        <v/>
      </c>
      <c r="AD104" s="105"/>
      <c r="AE104" s="119" t="str">
        <f t="array" ref="AE104">IF(OR($B104="",$D104=""),"",
IFERROR(
  INDEX(
    'Tools &amp; Targets_Guideline'!$C$54:$I$269,
    MATCH(
      1,
      ('Tools &amp; Targets_Guideline'!$A$54:$A$269=$B104)*
      ('Tools &amp; Targets_Guideline'!$B$54:$B$269="U5 Morbidity"),
      0
    ),
    MATCH(
      _xludf.IFNA(
        VLOOKUP($D104,{"PH","Provincial Hospital (H2)";"DH","District Hospital (H3)";"RH","Regional / National Hospital (H1)"},2,0),
        $D104
      ),
      'Tools &amp; Targets_Guideline'!$C$53:$I$53,
      0
    )
  ),
0))</f>
        <v/>
      </c>
      <c r="AF104" s="105"/>
      <c r="AG104" s="119" t="str">
        <f t="array" ref="AG104">IF(OR($B104="",$D104=""),"",
IFERROR(
  INDEX(
    'Tools &amp; Targets_Guideline'!$C$54:$I$269,
    MATCH(
      1,
      ('Tools &amp; Targets_Guideline'!$A$54:$A$269=$B104)*
      ('Tools &amp; Targets_Guideline'!$B$54:$B$269="C-Section"),
      0
    ),
    MATCH(
      _xludf.IFNA(
        VLOOKUP($D104,{"PH","Provincial Hospital (H2)";"DH","District Hospital (H3)";"RH","Regional / National Hospital (H1)"},2,0),
        $D104
      ),
      'Tools &amp; Targets_Guideline'!$C$53:$I$53,
      0
    )
  ),
0))</f>
        <v/>
      </c>
      <c r="AH104" s="105" t="str">
        <f>IF(A104&lt;&gt;"",COUNTIFS('QA Log'!D:D,A104,'QA Log'!M:M,"QQC",'QA Log'!L:L,"2. Hygiene and Sterilization",'QA Log'!Z:Z,"Approved"),"")</f>
        <v/>
      </c>
      <c r="AI104" s="102"/>
      <c r="AJ104" s="102"/>
      <c r="AK104" s="103" t="str">
        <f t="shared" si="2"/>
        <v/>
      </c>
      <c r="AL104" s="102"/>
      <c r="AM104" s="102"/>
      <c r="AN104" s="102"/>
      <c r="AO104" s="106"/>
      <c r="AP104" s="103"/>
      <c r="AQ104" s="102"/>
      <c r="AR104" s="102"/>
      <c r="AS104" s="102"/>
      <c r="AT104" s="107"/>
      <c r="AU104" s="102" t="str">
        <f t="shared" si="3"/>
        <v/>
      </c>
      <c r="AV104" s="102" t="str">
        <f t="shared" si="4"/>
        <v/>
      </c>
      <c r="AW104" s="102" t="str">
        <f t="shared" si="5"/>
        <v/>
      </c>
      <c r="AX104" s="102" t="str">
        <f t="shared" si="6"/>
        <v/>
      </c>
      <c r="AY104" s="107" t="str">
        <f t="shared" si="7"/>
        <v/>
      </c>
      <c r="AZ104" s="108" t="str">
        <f t="shared" si="8"/>
        <v/>
      </c>
      <c r="BA104" s="108" t="str">
        <f t="shared" si="9"/>
        <v/>
      </c>
      <c r="BB104" s="109" t="str">
        <f t="shared" si="10"/>
        <v/>
      </c>
      <c r="BC104" s="108" t="str">
        <f t="shared" si="11"/>
        <v/>
      </c>
      <c r="BD104" s="108" t="str">
        <f t="shared" si="12"/>
        <v/>
      </c>
      <c r="BE104" s="109" t="str">
        <f t="shared" si="13"/>
        <v/>
      </c>
      <c r="BF104" s="110" t="str">
        <f t="shared" si="14"/>
        <v/>
      </c>
      <c r="BG104" s="111"/>
    </row>
    <row r="105" spans="1:59" ht="12.75">
      <c r="A105" s="101"/>
      <c r="B105" s="102"/>
      <c r="C105" s="102" t="e">
        <f t="array" aca="1" ref="C105" ca="1">_xludf.XLOOKUP(A105,'QA Log'!D:D,'QA Log'!F:F,"")</f>
        <v>#NAME?</v>
      </c>
      <c r="D105" s="102"/>
      <c r="E105" s="102" t="e">
        <f t="array" aca="1" ref="E105" ca="1">_xludf.XLOOKUP(A105,'QA Log'!D:D,'QA Log'!G:G,"")</f>
        <v>#NAME?</v>
      </c>
      <c r="F105" s="103"/>
      <c r="G105" s="104"/>
      <c r="H105" s="104"/>
      <c r="I105" s="103" t="str">
        <f t="shared" si="0"/>
        <v/>
      </c>
      <c r="J105" s="102"/>
      <c r="K105" s="102"/>
      <c r="L105" s="119" t="str">
        <f t="array" ref="L105">IF(OR($B105="",$D105=""),"",
IFERROR(
  INDEX(
    'Tools &amp; Targets_Guideline'!$C$54:$I$269,
    MATCH(
      1,
      ('Tools &amp; Targets_Guideline'!$A$54:$A$269=$B105)*
      ('Tools &amp; Targets_Guideline'!$B$54:$B$269="ANC"),
      0
    ),
    MATCH(
      _xludf.IFNA(
        VLOOKUP($D105,{"PH","Provincial Hospital (H2)";"DH","District Hospital (H3)";"RH","Regional / National Hospital (H1)"},2,0),
        $D105
      ),
      'Tools &amp; Targets_Guideline'!$C$53:$I$53,
      0
    )
  ),
0))</f>
        <v/>
      </c>
      <c r="M105" s="105"/>
      <c r="N105" s="119" t="str">
        <f t="array" ref="N105">IF(OR($B105="",$D105=""),"",
IFERROR(
  INDEX(
    'Tools &amp; Targets_Guideline'!$C$54:$I$269,
    MATCH(
      1,
      ('Tools &amp; Targets_Guideline'!$A$54:$A$269=$B105)*
      ('Tools &amp; Targets_Guideline'!$B$54:$B$269="PNC"),
      0
    ),
    MATCH(
      _xludf.IFNA(
        VLOOKUP($D105,{"PH","Provincial Hospital (H2)";"DH","District Hospital (H3)";"RH","Regional / National Hospital (H1)"},2,0),
        $D105
      ),
      'Tools &amp; Targets_Guideline'!$C$53:$I$53,
      0
    )
  ),
0))</f>
        <v/>
      </c>
      <c r="O105" s="105"/>
      <c r="P105" s="119" t="str">
        <f t="array" ref="P105">IF(OR($B105="",$D105=""),"",
IFERROR(
  INDEX(
    'Tools &amp; Targets_Guideline'!$C$54:$I$269,
    MATCH(
      1,
      ('Tools &amp; Targets_Guideline'!$A$54:$A$269=$B105)*
      ('Tools &amp; Targets_Guideline'!$B$54:$B$269="Delivery"),
      0
    ),
    MATCH(
      _xludf.IFNA(
        VLOOKUP($D105,{"PH","Provincial Hospital (H2)";"DH","District Hospital (H3)";"RH","Regional / National Hospital (H1)"},2,0),
        $D105
      ),
      'Tools &amp; Targets_Guideline'!$C$53:$I$53,
      0
    )
  ),
0))</f>
        <v/>
      </c>
      <c r="Q105" s="105"/>
      <c r="R105" s="119" t="str">
        <f t="array" ref="R105">IF(OR($B105="",$D105=""),"",
IFERROR(
  INDEX(
    'Tools &amp; Targets_Guideline'!$C$54:$I$269,
    MATCH(
      1,
      ('Tools &amp; Targets_Guideline'!$A$54:$A$269=$B105)*
      ('Tools &amp; Targets_Guideline'!$B$54:$B$269="TT"),
      0
    ),
    MATCH(
      _xludf.IFNA(
        VLOOKUP($D105,{"PH","Provincial Hospital (H2)";"DH","District Hospital (H3)";"RH","Regional / National Hospital (H1)"},2,0),
        $D105
      ),
      'Tools &amp; Targets_Guideline'!$C$53:$I$53,
      0
    )
  ),
0))</f>
        <v/>
      </c>
      <c r="S105" s="105"/>
      <c r="T105" s="102"/>
      <c r="U105" s="106"/>
      <c r="V105" s="102" t="str">
        <f t="shared" si="1"/>
        <v/>
      </c>
      <c r="W105" s="102"/>
      <c r="X105" s="102"/>
      <c r="Y105" s="119" t="str">
        <f t="array" ref="Y105">IF(OR($B105="",$D105=""),"",
IFERROR(
  INDEX(
    'Tools &amp; Targets_Guideline'!$C$54:$I$269,
    MATCH(
      1,
      ('Tools &amp; Targets_Guideline'!$A$54:$A$269=$B105)*
      ('Tools &amp; Targets_Guideline'!$B$54:$B$269="GM"),
      0
    ),
    MATCH(
      _xludf.IFNA(
        VLOOKUP($D105,{"PH","Provincial Hospital (H2)";"DH","District Hospital (H3)";"RH","Regional / National Hospital (H1)"},2,0),
        $D105
      ),
      'Tools &amp; Targets_Guideline'!$C$53:$I$53,
      0
    )
  ),
0))</f>
        <v/>
      </c>
      <c r="Z105" s="105"/>
      <c r="AA105" s="119" t="str">
        <f t="array" ref="AA105">IF(OR($B105="",$D105=""),"",
IFERROR(
  INDEX(
    'Tools &amp; Targets_Guideline'!$C$54:$I$269,
    MATCH(
      1,
      ('Tools &amp; Targets_Guideline'!$A$54:$A$269=$B105)*
      ('Tools &amp; Targets_Guideline'!$B$54:$B$269="Penta"),
      0
    ),
    MATCH(
      _xludf.IFNA(
        VLOOKUP($D105,{"PH","Provincial Hospital (H2)";"DH","District Hospital (H3)";"RH","Regional / National Hospital (H1)"},2,0),
        $D105
      ),
      'Tools &amp; Targets_Guideline'!$C$53:$I$53,
      0
    )
  ),
0))</f>
        <v/>
      </c>
      <c r="AB105" s="105"/>
      <c r="AC105" s="119" t="str">
        <f t="array" ref="AC105">IF(OR($B105="",$D105=""),"",
IFERROR(
  INDEX(
    'Tools &amp; Targets_Guideline'!$C$54:$I$269,
    MATCH(
      1,
      ('Tools &amp; Targets_Guideline'!$A$54:$A$269=$B105)*
      ('Tools &amp; Targets_Guideline'!$B$54:$B$269="TB"),
      0
    ),
    MATCH(
      _xludf.IFNA(
        VLOOKUP($D105,{"PH","Provincial Hospital (H2)";"DH","District Hospital (H3)";"RH","Regional / National Hospital (H1)"},2,0),
        $D105
      ),
      'Tools &amp; Targets_Guideline'!$C$53:$I$53,
      0
    )
  ),
0))</f>
        <v/>
      </c>
      <c r="AD105" s="105"/>
      <c r="AE105" s="119" t="str">
        <f t="array" ref="AE105">IF(OR($B105="",$D105=""),"",
IFERROR(
  INDEX(
    'Tools &amp; Targets_Guideline'!$C$54:$I$269,
    MATCH(
      1,
      ('Tools &amp; Targets_Guideline'!$A$54:$A$269=$B105)*
      ('Tools &amp; Targets_Guideline'!$B$54:$B$269="U5 Morbidity"),
      0
    ),
    MATCH(
      _xludf.IFNA(
        VLOOKUP($D105,{"PH","Provincial Hospital (H2)";"DH","District Hospital (H3)";"RH","Regional / National Hospital (H1)"},2,0),
        $D105
      ),
      'Tools &amp; Targets_Guideline'!$C$53:$I$53,
      0
    )
  ),
0))</f>
        <v/>
      </c>
      <c r="AF105" s="105"/>
      <c r="AG105" s="119" t="str">
        <f t="array" ref="AG105">IF(OR($B105="",$D105=""),"",
IFERROR(
  INDEX(
    'Tools &amp; Targets_Guideline'!$C$54:$I$269,
    MATCH(
      1,
      ('Tools &amp; Targets_Guideline'!$A$54:$A$269=$B105)*
      ('Tools &amp; Targets_Guideline'!$B$54:$B$269="C-Section"),
      0
    ),
    MATCH(
      _xludf.IFNA(
        VLOOKUP($D105,{"PH","Provincial Hospital (H2)";"DH","District Hospital (H3)";"RH","Regional / National Hospital (H1)"},2,0),
        $D105
      ),
      'Tools &amp; Targets_Guideline'!$C$53:$I$53,
      0
    )
  ),
0))</f>
        <v/>
      </c>
      <c r="AH105" s="105" t="str">
        <f>IF(A105&lt;&gt;"",COUNTIFS('QA Log'!D:D,A105,'QA Log'!M:M,"QQC",'QA Log'!L:L,"2. Hygiene and Sterilization",'QA Log'!Z:Z,"Approved"),"")</f>
        <v/>
      </c>
      <c r="AI105" s="102"/>
      <c r="AJ105" s="102"/>
      <c r="AK105" s="103" t="str">
        <f t="shared" si="2"/>
        <v/>
      </c>
      <c r="AL105" s="102"/>
      <c r="AM105" s="102"/>
      <c r="AN105" s="102"/>
      <c r="AO105" s="106"/>
      <c r="AP105" s="103"/>
      <c r="AQ105" s="102"/>
      <c r="AR105" s="102"/>
      <c r="AS105" s="102"/>
      <c r="AT105" s="107"/>
      <c r="AU105" s="102" t="str">
        <f t="shared" si="3"/>
        <v/>
      </c>
      <c r="AV105" s="102" t="str">
        <f t="shared" si="4"/>
        <v/>
      </c>
      <c r="AW105" s="102" t="str">
        <f t="shared" si="5"/>
        <v/>
      </c>
      <c r="AX105" s="102" t="str">
        <f t="shared" si="6"/>
        <v/>
      </c>
      <c r="AY105" s="107" t="str">
        <f t="shared" si="7"/>
        <v/>
      </c>
      <c r="AZ105" s="108" t="str">
        <f t="shared" si="8"/>
        <v/>
      </c>
      <c r="BA105" s="108" t="str">
        <f t="shared" si="9"/>
        <v/>
      </c>
      <c r="BB105" s="109" t="str">
        <f t="shared" si="10"/>
        <v/>
      </c>
      <c r="BC105" s="108" t="str">
        <f t="shared" si="11"/>
        <v/>
      </c>
      <c r="BD105" s="108" t="str">
        <f t="shared" si="12"/>
        <v/>
      </c>
      <c r="BE105" s="109" t="str">
        <f t="shared" si="13"/>
        <v/>
      </c>
      <c r="BF105" s="110" t="str">
        <f t="shared" si="14"/>
        <v/>
      </c>
      <c r="BG105" s="111"/>
    </row>
    <row r="106" spans="1:59" ht="12.75">
      <c r="A106" s="101"/>
      <c r="B106" s="102"/>
      <c r="C106" s="102" t="e">
        <f t="array" aca="1" ref="C106" ca="1">_xludf.XLOOKUP(A106,'QA Log'!D:D,'QA Log'!F:F,"")</f>
        <v>#NAME?</v>
      </c>
      <c r="D106" s="102"/>
      <c r="E106" s="102" t="e">
        <f t="array" aca="1" ref="E106" ca="1">_xludf.XLOOKUP(A106,'QA Log'!D:D,'QA Log'!G:G,"")</f>
        <v>#NAME?</v>
      </c>
      <c r="F106" s="103"/>
      <c r="G106" s="104"/>
      <c r="H106" s="104"/>
      <c r="I106" s="103" t="str">
        <f t="shared" si="0"/>
        <v/>
      </c>
      <c r="J106" s="102"/>
      <c r="K106" s="102"/>
      <c r="L106" s="119" t="str">
        <f t="array" ref="L106">IF(OR($B106="",$D106=""),"",
IFERROR(
  INDEX(
    'Tools &amp; Targets_Guideline'!$C$54:$I$269,
    MATCH(
      1,
      ('Tools &amp; Targets_Guideline'!$A$54:$A$269=$B106)*
      ('Tools &amp; Targets_Guideline'!$B$54:$B$269="ANC"),
      0
    ),
    MATCH(
      _xludf.IFNA(
        VLOOKUP($D106,{"PH","Provincial Hospital (H2)";"DH","District Hospital (H3)";"RH","Regional / National Hospital (H1)"},2,0),
        $D106
      ),
      'Tools &amp; Targets_Guideline'!$C$53:$I$53,
      0
    )
  ),
0))</f>
        <v/>
      </c>
      <c r="M106" s="105"/>
      <c r="N106" s="119" t="str">
        <f t="array" ref="N106">IF(OR($B106="",$D106=""),"",
IFERROR(
  INDEX(
    'Tools &amp; Targets_Guideline'!$C$54:$I$269,
    MATCH(
      1,
      ('Tools &amp; Targets_Guideline'!$A$54:$A$269=$B106)*
      ('Tools &amp; Targets_Guideline'!$B$54:$B$269="PNC"),
      0
    ),
    MATCH(
      _xludf.IFNA(
        VLOOKUP($D106,{"PH","Provincial Hospital (H2)";"DH","District Hospital (H3)";"RH","Regional / National Hospital (H1)"},2,0),
        $D106
      ),
      'Tools &amp; Targets_Guideline'!$C$53:$I$53,
      0
    )
  ),
0))</f>
        <v/>
      </c>
      <c r="O106" s="105"/>
      <c r="P106" s="119" t="str">
        <f t="array" ref="P106">IF(OR($B106="",$D106=""),"",
IFERROR(
  INDEX(
    'Tools &amp; Targets_Guideline'!$C$54:$I$269,
    MATCH(
      1,
      ('Tools &amp; Targets_Guideline'!$A$54:$A$269=$B106)*
      ('Tools &amp; Targets_Guideline'!$B$54:$B$269="Delivery"),
      0
    ),
    MATCH(
      _xludf.IFNA(
        VLOOKUP($D106,{"PH","Provincial Hospital (H2)";"DH","District Hospital (H3)";"RH","Regional / National Hospital (H1)"},2,0),
        $D106
      ),
      'Tools &amp; Targets_Guideline'!$C$53:$I$53,
      0
    )
  ),
0))</f>
        <v/>
      </c>
      <c r="Q106" s="105"/>
      <c r="R106" s="119" t="str">
        <f t="array" ref="R106">IF(OR($B106="",$D106=""),"",
IFERROR(
  INDEX(
    'Tools &amp; Targets_Guideline'!$C$54:$I$269,
    MATCH(
      1,
      ('Tools &amp; Targets_Guideline'!$A$54:$A$269=$B106)*
      ('Tools &amp; Targets_Guideline'!$B$54:$B$269="TT"),
      0
    ),
    MATCH(
      _xludf.IFNA(
        VLOOKUP($D106,{"PH","Provincial Hospital (H2)";"DH","District Hospital (H3)";"RH","Regional / National Hospital (H1)"},2,0),
        $D106
      ),
      'Tools &amp; Targets_Guideline'!$C$53:$I$53,
      0
    )
  ),
0))</f>
        <v/>
      </c>
      <c r="S106" s="105"/>
      <c r="T106" s="102"/>
      <c r="U106" s="106"/>
      <c r="V106" s="102" t="str">
        <f t="shared" si="1"/>
        <v/>
      </c>
      <c r="W106" s="102"/>
      <c r="X106" s="102"/>
      <c r="Y106" s="119" t="str">
        <f t="array" ref="Y106">IF(OR($B106="",$D106=""),"",
IFERROR(
  INDEX(
    'Tools &amp; Targets_Guideline'!$C$54:$I$269,
    MATCH(
      1,
      ('Tools &amp; Targets_Guideline'!$A$54:$A$269=$B106)*
      ('Tools &amp; Targets_Guideline'!$B$54:$B$269="GM"),
      0
    ),
    MATCH(
      _xludf.IFNA(
        VLOOKUP($D106,{"PH","Provincial Hospital (H2)";"DH","District Hospital (H3)";"RH","Regional / National Hospital (H1)"},2,0),
        $D106
      ),
      'Tools &amp; Targets_Guideline'!$C$53:$I$53,
      0
    )
  ),
0))</f>
        <v/>
      </c>
      <c r="Z106" s="105"/>
      <c r="AA106" s="119" t="str">
        <f t="array" ref="AA106">IF(OR($B106="",$D106=""),"",
IFERROR(
  INDEX(
    'Tools &amp; Targets_Guideline'!$C$54:$I$269,
    MATCH(
      1,
      ('Tools &amp; Targets_Guideline'!$A$54:$A$269=$B106)*
      ('Tools &amp; Targets_Guideline'!$B$54:$B$269="Penta"),
      0
    ),
    MATCH(
      _xludf.IFNA(
        VLOOKUP($D106,{"PH","Provincial Hospital (H2)";"DH","District Hospital (H3)";"RH","Regional / National Hospital (H1)"},2,0),
        $D106
      ),
      'Tools &amp; Targets_Guideline'!$C$53:$I$53,
      0
    )
  ),
0))</f>
        <v/>
      </c>
      <c r="AB106" s="105"/>
      <c r="AC106" s="119" t="str">
        <f t="array" ref="AC106">IF(OR($B106="",$D106=""),"",
IFERROR(
  INDEX(
    'Tools &amp; Targets_Guideline'!$C$54:$I$269,
    MATCH(
      1,
      ('Tools &amp; Targets_Guideline'!$A$54:$A$269=$B106)*
      ('Tools &amp; Targets_Guideline'!$B$54:$B$269="TB"),
      0
    ),
    MATCH(
      _xludf.IFNA(
        VLOOKUP($D106,{"PH","Provincial Hospital (H2)";"DH","District Hospital (H3)";"RH","Regional / National Hospital (H1)"},2,0),
        $D106
      ),
      'Tools &amp; Targets_Guideline'!$C$53:$I$53,
      0
    )
  ),
0))</f>
        <v/>
      </c>
      <c r="AD106" s="105"/>
      <c r="AE106" s="119" t="str">
        <f t="array" ref="AE106">IF(OR($B106="",$D106=""),"",
IFERROR(
  INDEX(
    'Tools &amp; Targets_Guideline'!$C$54:$I$269,
    MATCH(
      1,
      ('Tools &amp; Targets_Guideline'!$A$54:$A$269=$B106)*
      ('Tools &amp; Targets_Guideline'!$B$54:$B$269="U5 Morbidity"),
      0
    ),
    MATCH(
      _xludf.IFNA(
        VLOOKUP($D106,{"PH","Provincial Hospital (H2)";"DH","District Hospital (H3)";"RH","Regional / National Hospital (H1)"},2,0),
        $D106
      ),
      'Tools &amp; Targets_Guideline'!$C$53:$I$53,
      0
    )
  ),
0))</f>
        <v/>
      </c>
      <c r="AF106" s="105"/>
      <c r="AG106" s="119" t="str">
        <f t="array" ref="AG106">IF(OR($B106="",$D106=""),"",
IFERROR(
  INDEX(
    'Tools &amp; Targets_Guideline'!$C$54:$I$269,
    MATCH(
      1,
      ('Tools &amp; Targets_Guideline'!$A$54:$A$269=$B106)*
      ('Tools &amp; Targets_Guideline'!$B$54:$B$269="C-Section"),
      0
    ),
    MATCH(
      _xludf.IFNA(
        VLOOKUP($D106,{"PH","Provincial Hospital (H2)";"DH","District Hospital (H3)";"RH","Regional / National Hospital (H1)"},2,0),
        $D106
      ),
      'Tools &amp; Targets_Guideline'!$C$53:$I$53,
      0
    )
  ),
0))</f>
        <v/>
      </c>
      <c r="AH106" s="105" t="str">
        <f>IF(A106&lt;&gt;"",COUNTIFS('QA Log'!D:D,A106,'QA Log'!M:M,"QQC",'QA Log'!L:L,"2. Hygiene and Sterilization",'QA Log'!Z:Z,"Approved"),"")</f>
        <v/>
      </c>
      <c r="AI106" s="102"/>
      <c r="AJ106" s="102"/>
      <c r="AK106" s="103" t="str">
        <f t="shared" si="2"/>
        <v/>
      </c>
      <c r="AL106" s="102"/>
      <c r="AM106" s="102"/>
      <c r="AN106" s="102"/>
      <c r="AO106" s="106"/>
      <c r="AP106" s="103"/>
      <c r="AQ106" s="102"/>
      <c r="AR106" s="102"/>
      <c r="AS106" s="102"/>
      <c r="AT106" s="107"/>
      <c r="AU106" s="102" t="str">
        <f t="shared" si="3"/>
        <v/>
      </c>
      <c r="AV106" s="102" t="str">
        <f t="shared" si="4"/>
        <v/>
      </c>
      <c r="AW106" s="102" t="str">
        <f t="shared" si="5"/>
        <v/>
      </c>
      <c r="AX106" s="102" t="str">
        <f t="shared" si="6"/>
        <v/>
      </c>
      <c r="AY106" s="107" t="str">
        <f t="shared" si="7"/>
        <v/>
      </c>
      <c r="AZ106" s="108" t="str">
        <f t="shared" si="8"/>
        <v/>
      </c>
      <c r="BA106" s="108" t="str">
        <f t="shared" si="9"/>
        <v/>
      </c>
      <c r="BB106" s="109" t="str">
        <f t="shared" si="10"/>
        <v/>
      </c>
      <c r="BC106" s="108" t="str">
        <f t="shared" si="11"/>
        <v/>
      </c>
      <c r="BD106" s="108" t="str">
        <f t="shared" si="12"/>
        <v/>
      </c>
      <c r="BE106" s="109" t="str">
        <f t="shared" si="13"/>
        <v/>
      </c>
      <c r="BF106" s="110" t="str">
        <f t="shared" si="14"/>
        <v/>
      </c>
      <c r="BG106" s="111"/>
    </row>
    <row r="107" spans="1:59" ht="12.75">
      <c r="A107" s="101"/>
      <c r="B107" s="102"/>
      <c r="C107" s="102" t="e">
        <f t="array" aca="1" ref="C107" ca="1">_xludf.XLOOKUP(A107,'QA Log'!D:D,'QA Log'!F:F,"")</f>
        <v>#NAME?</v>
      </c>
      <c r="D107" s="102"/>
      <c r="E107" s="102" t="e">
        <f t="array" aca="1" ref="E107" ca="1">_xludf.XLOOKUP(A107,'QA Log'!D:D,'QA Log'!G:G,"")</f>
        <v>#NAME?</v>
      </c>
      <c r="F107" s="103"/>
      <c r="G107" s="104"/>
      <c r="H107" s="104"/>
      <c r="I107" s="103" t="str">
        <f t="shared" si="0"/>
        <v/>
      </c>
      <c r="J107" s="102"/>
      <c r="K107" s="102"/>
      <c r="L107" s="119" t="str">
        <f t="array" ref="L107">IF(OR($B107="",$D107=""),"",
IFERROR(
  INDEX(
    'Tools &amp; Targets_Guideline'!$C$54:$I$269,
    MATCH(
      1,
      ('Tools &amp; Targets_Guideline'!$A$54:$A$269=$B107)*
      ('Tools &amp; Targets_Guideline'!$B$54:$B$269="ANC"),
      0
    ),
    MATCH(
      _xludf.IFNA(
        VLOOKUP($D107,{"PH","Provincial Hospital (H2)";"DH","District Hospital (H3)";"RH","Regional / National Hospital (H1)"},2,0),
        $D107
      ),
      'Tools &amp; Targets_Guideline'!$C$53:$I$53,
      0
    )
  ),
0))</f>
        <v/>
      </c>
      <c r="M107" s="105"/>
      <c r="N107" s="119" t="str">
        <f t="array" ref="N107">IF(OR($B107="",$D107=""),"",
IFERROR(
  INDEX(
    'Tools &amp; Targets_Guideline'!$C$54:$I$269,
    MATCH(
      1,
      ('Tools &amp; Targets_Guideline'!$A$54:$A$269=$B107)*
      ('Tools &amp; Targets_Guideline'!$B$54:$B$269="PNC"),
      0
    ),
    MATCH(
      _xludf.IFNA(
        VLOOKUP($D107,{"PH","Provincial Hospital (H2)";"DH","District Hospital (H3)";"RH","Regional / National Hospital (H1)"},2,0),
        $D107
      ),
      'Tools &amp; Targets_Guideline'!$C$53:$I$53,
      0
    )
  ),
0))</f>
        <v/>
      </c>
      <c r="O107" s="105"/>
      <c r="P107" s="119" t="str">
        <f t="array" ref="P107">IF(OR($B107="",$D107=""),"",
IFERROR(
  INDEX(
    'Tools &amp; Targets_Guideline'!$C$54:$I$269,
    MATCH(
      1,
      ('Tools &amp; Targets_Guideline'!$A$54:$A$269=$B107)*
      ('Tools &amp; Targets_Guideline'!$B$54:$B$269="Delivery"),
      0
    ),
    MATCH(
      _xludf.IFNA(
        VLOOKUP($D107,{"PH","Provincial Hospital (H2)";"DH","District Hospital (H3)";"RH","Regional / National Hospital (H1)"},2,0),
        $D107
      ),
      'Tools &amp; Targets_Guideline'!$C$53:$I$53,
      0
    )
  ),
0))</f>
        <v/>
      </c>
      <c r="Q107" s="105"/>
      <c r="R107" s="119" t="str">
        <f t="array" ref="R107">IF(OR($B107="",$D107=""),"",
IFERROR(
  INDEX(
    'Tools &amp; Targets_Guideline'!$C$54:$I$269,
    MATCH(
      1,
      ('Tools &amp; Targets_Guideline'!$A$54:$A$269=$B107)*
      ('Tools &amp; Targets_Guideline'!$B$54:$B$269="TT"),
      0
    ),
    MATCH(
      _xludf.IFNA(
        VLOOKUP($D107,{"PH","Provincial Hospital (H2)";"DH","District Hospital (H3)";"RH","Regional / National Hospital (H1)"},2,0),
        $D107
      ),
      'Tools &amp; Targets_Guideline'!$C$53:$I$53,
      0
    )
  ),
0))</f>
        <v/>
      </c>
      <c r="S107" s="105"/>
      <c r="T107" s="102"/>
      <c r="U107" s="106"/>
      <c r="V107" s="102" t="str">
        <f t="shared" si="1"/>
        <v/>
      </c>
      <c r="W107" s="102"/>
      <c r="X107" s="102"/>
      <c r="Y107" s="119" t="str">
        <f t="array" ref="Y107">IF(OR($B107="",$D107=""),"",
IFERROR(
  INDEX(
    'Tools &amp; Targets_Guideline'!$C$54:$I$269,
    MATCH(
      1,
      ('Tools &amp; Targets_Guideline'!$A$54:$A$269=$B107)*
      ('Tools &amp; Targets_Guideline'!$B$54:$B$269="GM"),
      0
    ),
    MATCH(
      _xludf.IFNA(
        VLOOKUP($D107,{"PH","Provincial Hospital (H2)";"DH","District Hospital (H3)";"RH","Regional / National Hospital (H1)"},2,0),
        $D107
      ),
      'Tools &amp; Targets_Guideline'!$C$53:$I$53,
      0
    )
  ),
0))</f>
        <v/>
      </c>
      <c r="Z107" s="105"/>
      <c r="AA107" s="119" t="str">
        <f t="array" ref="AA107">IF(OR($B107="",$D107=""),"",
IFERROR(
  INDEX(
    'Tools &amp; Targets_Guideline'!$C$54:$I$269,
    MATCH(
      1,
      ('Tools &amp; Targets_Guideline'!$A$54:$A$269=$B107)*
      ('Tools &amp; Targets_Guideline'!$B$54:$B$269="Penta"),
      0
    ),
    MATCH(
      _xludf.IFNA(
        VLOOKUP($D107,{"PH","Provincial Hospital (H2)";"DH","District Hospital (H3)";"RH","Regional / National Hospital (H1)"},2,0),
        $D107
      ),
      'Tools &amp; Targets_Guideline'!$C$53:$I$53,
      0
    )
  ),
0))</f>
        <v/>
      </c>
      <c r="AB107" s="105"/>
      <c r="AC107" s="119" t="str">
        <f t="array" ref="AC107">IF(OR($B107="",$D107=""),"",
IFERROR(
  INDEX(
    'Tools &amp; Targets_Guideline'!$C$54:$I$269,
    MATCH(
      1,
      ('Tools &amp; Targets_Guideline'!$A$54:$A$269=$B107)*
      ('Tools &amp; Targets_Guideline'!$B$54:$B$269="TB"),
      0
    ),
    MATCH(
      _xludf.IFNA(
        VLOOKUP($D107,{"PH","Provincial Hospital (H2)";"DH","District Hospital (H3)";"RH","Regional / National Hospital (H1)"},2,0),
        $D107
      ),
      'Tools &amp; Targets_Guideline'!$C$53:$I$53,
      0
    )
  ),
0))</f>
        <v/>
      </c>
      <c r="AD107" s="105"/>
      <c r="AE107" s="119" t="str">
        <f t="array" ref="AE107">IF(OR($B107="",$D107=""),"",
IFERROR(
  INDEX(
    'Tools &amp; Targets_Guideline'!$C$54:$I$269,
    MATCH(
      1,
      ('Tools &amp; Targets_Guideline'!$A$54:$A$269=$B107)*
      ('Tools &amp; Targets_Guideline'!$B$54:$B$269="U5 Morbidity"),
      0
    ),
    MATCH(
      _xludf.IFNA(
        VLOOKUP($D107,{"PH","Provincial Hospital (H2)";"DH","District Hospital (H3)";"RH","Regional / National Hospital (H1)"},2,0),
        $D107
      ),
      'Tools &amp; Targets_Guideline'!$C$53:$I$53,
      0
    )
  ),
0))</f>
        <v/>
      </c>
      <c r="AF107" s="105"/>
      <c r="AG107" s="119" t="str">
        <f t="array" ref="AG107">IF(OR($B107="",$D107=""),"",
IFERROR(
  INDEX(
    'Tools &amp; Targets_Guideline'!$C$54:$I$269,
    MATCH(
      1,
      ('Tools &amp; Targets_Guideline'!$A$54:$A$269=$B107)*
      ('Tools &amp; Targets_Guideline'!$B$54:$B$269="C-Section"),
      0
    ),
    MATCH(
      _xludf.IFNA(
        VLOOKUP($D107,{"PH","Provincial Hospital (H2)";"DH","District Hospital (H3)";"RH","Regional / National Hospital (H1)"},2,0),
        $D107
      ),
      'Tools &amp; Targets_Guideline'!$C$53:$I$53,
      0
    )
  ),
0))</f>
        <v/>
      </c>
      <c r="AH107" s="105" t="str">
        <f>IF(A107&lt;&gt;"",COUNTIFS('QA Log'!D:D,A107,'QA Log'!M:M,"QQC",'QA Log'!L:L,"2. Hygiene and Sterilization",'QA Log'!Z:Z,"Approved"),"")</f>
        <v/>
      </c>
      <c r="AI107" s="102"/>
      <c r="AJ107" s="102"/>
      <c r="AK107" s="103" t="str">
        <f t="shared" si="2"/>
        <v/>
      </c>
      <c r="AL107" s="102"/>
      <c r="AM107" s="102"/>
      <c r="AN107" s="102"/>
      <c r="AO107" s="106"/>
      <c r="AP107" s="103"/>
      <c r="AQ107" s="102"/>
      <c r="AR107" s="102"/>
      <c r="AS107" s="102"/>
      <c r="AT107" s="107"/>
      <c r="AU107" s="102" t="str">
        <f t="shared" si="3"/>
        <v/>
      </c>
      <c r="AV107" s="102" t="str">
        <f t="shared" si="4"/>
        <v/>
      </c>
      <c r="AW107" s="102" t="str">
        <f t="shared" si="5"/>
        <v/>
      </c>
      <c r="AX107" s="102" t="str">
        <f t="shared" si="6"/>
        <v/>
      </c>
      <c r="AY107" s="107" t="str">
        <f t="shared" si="7"/>
        <v/>
      </c>
      <c r="AZ107" s="108" t="str">
        <f t="shared" si="8"/>
        <v/>
      </c>
      <c r="BA107" s="108" t="str">
        <f t="shared" si="9"/>
        <v/>
      </c>
      <c r="BB107" s="109" t="str">
        <f t="shared" si="10"/>
        <v/>
      </c>
      <c r="BC107" s="108" t="str">
        <f t="shared" si="11"/>
        <v/>
      </c>
      <c r="BD107" s="108" t="str">
        <f t="shared" si="12"/>
        <v/>
      </c>
      <c r="BE107" s="109" t="str">
        <f t="shared" si="13"/>
        <v/>
      </c>
      <c r="BF107" s="110" t="str">
        <f t="shared" si="14"/>
        <v/>
      </c>
      <c r="BG107" s="111"/>
    </row>
    <row r="108" spans="1:59" ht="12.75">
      <c r="A108" s="101"/>
      <c r="B108" s="102"/>
      <c r="C108" s="102" t="e">
        <f t="array" aca="1" ref="C108" ca="1">_xludf.XLOOKUP(A108,'QA Log'!D:D,'QA Log'!F:F,"")</f>
        <v>#NAME?</v>
      </c>
      <c r="D108" s="102"/>
      <c r="E108" s="102" t="e">
        <f t="array" aca="1" ref="E108" ca="1">_xludf.XLOOKUP(A108,'QA Log'!D:D,'QA Log'!G:G,"")</f>
        <v>#NAME?</v>
      </c>
      <c r="F108" s="103"/>
      <c r="G108" s="104"/>
      <c r="H108" s="104"/>
      <c r="I108" s="103" t="str">
        <f t="shared" si="0"/>
        <v/>
      </c>
      <c r="J108" s="102"/>
      <c r="K108" s="102"/>
      <c r="L108" s="119" t="str">
        <f t="array" ref="L108">IF(OR($B108="",$D108=""),"",
IFERROR(
  INDEX(
    'Tools &amp; Targets_Guideline'!$C$54:$I$269,
    MATCH(
      1,
      ('Tools &amp; Targets_Guideline'!$A$54:$A$269=$B108)*
      ('Tools &amp; Targets_Guideline'!$B$54:$B$269="ANC"),
      0
    ),
    MATCH(
      _xludf.IFNA(
        VLOOKUP($D108,{"PH","Provincial Hospital (H2)";"DH","District Hospital (H3)";"RH","Regional / National Hospital (H1)"},2,0),
        $D108
      ),
      'Tools &amp; Targets_Guideline'!$C$53:$I$53,
      0
    )
  ),
0))</f>
        <v/>
      </c>
      <c r="M108" s="105"/>
      <c r="N108" s="119" t="str">
        <f t="array" ref="N108">IF(OR($B108="",$D108=""),"",
IFERROR(
  INDEX(
    'Tools &amp; Targets_Guideline'!$C$54:$I$269,
    MATCH(
      1,
      ('Tools &amp; Targets_Guideline'!$A$54:$A$269=$B108)*
      ('Tools &amp; Targets_Guideline'!$B$54:$B$269="PNC"),
      0
    ),
    MATCH(
      _xludf.IFNA(
        VLOOKUP($D108,{"PH","Provincial Hospital (H2)";"DH","District Hospital (H3)";"RH","Regional / National Hospital (H1)"},2,0),
        $D108
      ),
      'Tools &amp; Targets_Guideline'!$C$53:$I$53,
      0
    )
  ),
0))</f>
        <v/>
      </c>
      <c r="O108" s="105"/>
      <c r="P108" s="119" t="str">
        <f t="array" ref="P108">IF(OR($B108="",$D108=""),"",
IFERROR(
  INDEX(
    'Tools &amp; Targets_Guideline'!$C$54:$I$269,
    MATCH(
      1,
      ('Tools &amp; Targets_Guideline'!$A$54:$A$269=$B108)*
      ('Tools &amp; Targets_Guideline'!$B$54:$B$269="Delivery"),
      0
    ),
    MATCH(
      _xludf.IFNA(
        VLOOKUP($D108,{"PH","Provincial Hospital (H2)";"DH","District Hospital (H3)";"RH","Regional / National Hospital (H1)"},2,0),
        $D108
      ),
      'Tools &amp; Targets_Guideline'!$C$53:$I$53,
      0
    )
  ),
0))</f>
        <v/>
      </c>
      <c r="Q108" s="105"/>
      <c r="R108" s="119" t="str">
        <f t="array" ref="R108">IF(OR($B108="",$D108=""),"",
IFERROR(
  INDEX(
    'Tools &amp; Targets_Guideline'!$C$54:$I$269,
    MATCH(
      1,
      ('Tools &amp; Targets_Guideline'!$A$54:$A$269=$B108)*
      ('Tools &amp; Targets_Guideline'!$B$54:$B$269="TT"),
      0
    ),
    MATCH(
      _xludf.IFNA(
        VLOOKUP($D108,{"PH","Provincial Hospital (H2)";"DH","District Hospital (H3)";"RH","Regional / National Hospital (H1)"},2,0),
        $D108
      ),
      'Tools &amp; Targets_Guideline'!$C$53:$I$53,
      0
    )
  ),
0))</f>
        <v/>
      </c>
      <c r="S108" s="105"/>
      <c r="T108" s="102"/>
      <c r="U108" s="106"/>
      <c r="V108" s="102" t="str">
        <f t="shared" si="1"/>
        <v/>
      </c>
      <c r="W108" s="102"/>
      <c r="X108" s="102"/>
      <c r="Y108" s="119" t="str">
        <f t="array" ref="Y108">IF(OR($B108="",$D108=""),"",
IFERROR(
  INDEX(
    'Tools &amp; Targets_Guideline'!$C$54:$I$269,
    MATCH(
      1,
      ('Tools &amp; Targets_Guideline'!$A$54:$A$269=$B108)*
      ('Tools &amp; Targets_Guideline'!$B$54:$B$269="GM"),
      0
    ),
    MATCH(
      _xludf.IFNA(
        VLOOKUP($D108,{"PH","Provincial Hospital (H2)";"DH","District Hospital (H3)";"RH","Regional / National Hospital (H1)"},2,0),
        $D108
      ),
      'Tools &amp; Targets_Guideline'!$C$53:$I$53,
      0
    )
  ),
0))</f>
        <v/>
      </c>
      <c r="Z108" s="105"/>
      <c r="AA108" s="119" t="str">
        <f t="array" ref="AA108">IF(OR($B108="",$D108=""),"",
IFERROR(
  INDEX(
    'Tools &amp; Targets_Guideline'!$C$54:$I$269,
    MATCH(
      1,
      ('Tools &amp; Targets_Guideline'!$A$54:$A$269=$B108)*
      ('Tools &amp; Targets_Guideline'!$B$54:$B$269="Penta"),
      0
    ),
    MATCH(
      _xludf.IFNA(
        VLOOKUP($D108,{"PH","Provincial Hospital (H2)";"DH","District Hospital (H3)";"RH","Regional / National Hospital (H1)"},2,0),
        $D108
      ),
      'Tools &amp; Targets_Guideline'!$C$53:$I$53,
      0
    )
  ),
0))</f>
        <v/>
      </c>
      <c r="AB108" s="105"/>
      <c r="AC108" s="119" t="str">
        <f t="array" ref="AC108">IF(OR($B108="",$D108=""),"",
IFERROR(
  INDEX(
    'Tools &amp; Targets_Guideline'!$C$54:$I$269,
    MATCH(
      1,
      ('Tools &amp; Targets_Guideline'!$A$54:$A$269=$B108)*
      ('Tools &amp; Targets_Guideline'!$B$54:$B$269="TB"),
      0
    ),
    MATCH(
      _xludf.IFNA(
        VLOOKUP($D108,{"PH","Provincial Hospital (H2)";"DH","District Hospital (H3)";"RH","Regional / National Hospital (H1)"},2,0),
        $D108
      ),
      'Tools &amp; Targets_Guideline'!$C$53:$I$53,
      0
    )
  ),
0))</f>
        <v/>
      </c>
      <c r="AD108" s="105"/>
      <c r="AE108" s="119" t="str">
        <f t="array" ref="AE108">IF(OR($B108="",$D108=""),"",
IFERROR(
  INDEX(
    'Tools &amp; Targets_Guideline'!$C$54:$I$269,
    MATCH(
      1,
      ('Tools &amp; Targets_Guideline'!$A$54:$A$269=$B108)*
      ('Tools &amp; Targets_Guideline'!$B$54:$B$269="U5 Morbidity"),
      0
    ),
    MATCH(
      _xludf.IFNA(
        VLOOKUP($D108,{"PH","Provincial Hospital (H2)";"DH","District Hospital (H3)";"RH","Regional / National Hospital (H1)"},2,0),
        $D108
      ),
      'Tools &amp; Targets_Guideline'!$C$53:$I$53,
      0
    )
  ),
0))</f>
        <v/>
      </c>
      <c r="AF108" s="105"/>
      <c r="AG108" s="119" t="str">
        <f t="array" ref="AG108">IF(OR($B108="",$D108=""),"",
IFERROR(
  INDEX(
    'Tools &amp; Targets_Guideline'!$C$54:$I$269,
    MATCH(
      1,
      ('Tools &amp; Targets_Guideline'!$A$54:$A$269=$B108)*
      ('Tools &amp; Targets_Guideline'!$B$54:$B$269="C-Section"),
      0
    ),
    MATCH(
      _xludf.IFNA(
        VLOOKUP($D108,{"PH","Provincial Hospital (H2)";"DH","District Hospital (H3)";"RH","Regional / National Hospital (H1)"},2,0),
        $D108
      ),
      'Tools &amp; Targets_Guideline'!$C$53:$I$53,
      0
    )
  ),
0))</f>
        <v/>
      </c>
      <c r="AH108" s="105" t="str">
        <f>IF(A108&lt;&gt;"",COUNTIFS('QA Log'!D:D,A108,'QA Log'!M:M,"QQC",'QA Log'!L:L,"2. Hygiene and Sterilization",'QA Log'!Z:Z,"Approved"),"")</f>
        <v/>
      </c>
      <c r="AI108" s="102"/>
      <c r="AJ108" s="102"/>
      <c r="AK108" s="103" t="str">
        <f t="shared" si="2"/>
        <v/>
      </c>
      <c r="AL108" s="102"/>
      <c r="AM108" s="102"/>
      <c r="AN108" s="102"/>
      <c r="AO108" s="106"/>
      <c r="AP108" s="103"/>
      <c r="AQ108" s="102"/>
      <c r="AR108" s="102"/>
      <c r="AS108" s="102"/>
      <c r="AT108" s="107"/>
      <c r="AU108" s="102" t="str">
        <f t="shared" si="3"/>
        <v/>
      </c>
      <c r="AV108" s="102" t="str">
        <f t="shared" si="4"/>
        <v/>
      </c>
      <c r="AW108" s="102" t="str">
        <f t="shared" si="5"/>
        <v/>
      </c>
      <c r="AX108" s="102" t="str">
        <f t="shared" si="6"/>
        <v/>
      </c>
      <c r="AY108" s="107" t="str">
        <f t="shared" si="7"/>
        <v/>
      </c>
      <c r="AZ108" s="108" t="str">
        <f t="shared" si="8"/>
        <v/>
      </c>
      <c r="BA108" s="108" t="str">
        <f t="shared" si="9"/>
        <v/>
      </c>
      <c r="BB108" s="109" t="str">
        <f t="shared" si="10"/>
        <v/>
      </c>
      <c r="BC108" s="108" t="str">
        <f t="shared" si="11"/>
        <v/>
      </c>
      <c r="BD108" s="108" t="str">
        <f t="shared" si="12"/>
        <v/>
      </c>
      <c r="BE108" s="109" t="str">
        <f t="shared" si="13"/>
        <v/>
      </c>
      <c r="BF108" s="110" t="str">
        <f t="shared" si="14"/>
        <v/>
      </c>
      <c r="BG108" s="111"/>
    </row>
    <row r="109" spans="1:59" ht="12.75">
      <c r="A109" s="101"/>
      <c r="B109" s="102"/>
      <c r="C109" s="102" t="e">
        <f t="array" aca="1" ref="C109" ca="1">_xludf.XLOOKUP(A109,'QA Log'!D:D,'QA Log'!F:F,"")</f>
        <v>#NAME?</v>
      </c>
      <c r="D109" s="102"/>
      <c r="E109" s="102" t="e">
        <f t="array" aca="1" ref="E109" ca="1">_xludf.XLOOKUP(A109,'QA Log'!D:D,'QA Log'!G:G,"")</f>
        <v>#NAME?</v>
      </c>
      <c r="F109" s="103"/>
      <c r="G109" s="104"/>
      <c r="H109" s="104"/>
      <c r="I109" s="103" t="str">
        <f t="shared" si="0"/>
        <v/>
      </c>
      <c r="J109" s="102"/>
      <c r="K109" s="102"/>
      <c r="L109" s="119" t="str">
        <f t="array" ref="L109">IF(OR($B109="",$D109=""),"",
IFERROR(
  INDEX(
    'Tools &amp; Targets_Guideline'!$C$54:$I$269,
    MATCH(
      1,
      ('Tools &amp; Targets_Guideline'!$A$54:$A$269=$B109)*
      ('Tools &amp; Targets_Guideline'!$B$54:$B$269="ANC"),
      0
    ),
    MATCH(
      _xludf.IFNA(
        VLOOKUP($D109,{"PH","Provincial Hospital (H2)";"DH","District Hospital (H3)";"RH","Regional / National Hospital (H1)"},2,0),
        $D109
      ),
      'Tools &amp; Targets_Guideline'!$C$53:$I$53,
      0
    )
  ),
0))</f>
        <v/>
      </c>
      <c r="M109" s="105"/>
      <c r="N109" s="119" t="str">
        <f t="array" ref="N109">IF(OR($B109="",$D109=""),"",
IFERROR(
  INDEX(
    'Tools &amp; Targets_Guideline'!$C$54:$I$269,
    MATCH(
      1,
      ('Tools &amp; Targets_Guideline'!$A$54:$A$269=$B109)*
      ('Tools &amp; Targets_Guideline'!$B$54:$B$269="PNC"),
      0
    ),
    MATCH(
      _xludf.IFNA(
        VLOOKUP($D109,{"PH","Provincial Hospital (H2)";"DH","District Hospital (H3)";"RH","Regional / National Hospital (H1)"},2,0),
        $D109
      ),
      'Tools &amp; Targets_Guideline'!$C$53:$I$53,
      0
    )
  ),
0))</f>
        <v/>
      </c>
      <c r="O109" s="105"/>
      <c r="P109" s="119" t="str">
        <f t="array" ref="P109">IF(OR($B109="",$D109=""),"",
IFERROR(
  INDEX(
    'Tools &amp; Targets_Guideline'!$C$54:$I$269,
    MATCH(
      1,
      ('Tools &amp; Targets_Guideline'!$A$54:$A$269=$B109)*
      ('Tools &amp; Targets_Guideline'!$B$54:$B$269="Delivery"),
      0
    ),
    MATCH(
      _xludf.IFNA(
        VLOOKUP($D109,{"PH","Provincial Hospital (H2)";"DH","District Hospital (H3)";"RH","Regional / National Hospital (H1)"},2,0),
        $D109
      ),
      'Tools &amp; Targets_Guideline'!$C$53:$I$53,
      0
    )
  ),
0))</f>
        <v/>
      </c>
      <c r="Q109" s="105"/>
      <c r="R109" s="119" t="str">
        <f t="array" ref="R109">IF(OR($B109="",$D109=""),"",
IFERROR(
  INDEX(
    'Tools &amp; Targets_Guideline'!$C$54:$I$269,
    MATCH(
      1,
      ('Tools &amp; Targets_Guideline'!$A$54:$A$269=$B109)*
      ('Tools &amp; Targets_Guideline'!$B$54:$B$269="TT"),
      0
    ),
    MATCH(
      _xludf.IFNA(
        VLOOKUP($D109,{"PH","Provincial Hospital (H2)";"DH","District Hospital (H3)";"RH","Regional / National Hospital (H1)"},2,0),
        $D109
      ),
      'Tools &amp; Targets_Guideline'!$C$53:$I$53,
      0
    )
  ),
0))</f>
        <v/>
      </c>
      <c r="S109" s="105"/>
      <c r="T109" s="102"/>
      <c r="U109" s="106"/>
      <c r="V109" s="102" t="str">
        <f t="shared" si="1"/>
        <v/>
      </c>
      <c r="W109" s="102"/>
      <c r="X109" s="102"/>
      <c r="Y109" s="119" t="str">
        <f t="array" ref="Y109">IF(OR($B109="",$D109=""),"",
IFERROR(
  INDEX(
    'Tools &amp; Targets_Guideline'!$C$54:$I$269,
    MATCH(
      1,
      ('Tools &amp; Targets_Guideline'!$A$54:$A$269=$B109)*
      ('Tools &amp; Targets_Guideline'!$B$54:$B$269="GM"),
      0
    ),
    MATCH(
      _xludf.IFNA(
        VLOOKUP($D109,{"PH","Provincial Hospital (H2)";"DH","District Hospital (H3)";"RH","Regional / National Hospital (H1)"},2,0),
        $D109
      ),
      'Tools &amp; Targets_Guideline'!$C$53:$I$53,
      0
    )
  ),
0))</f>
        <v/>
      </c>
      <c r="Z109" s="105"/>
      <c r="AA109" s="119" t="str">
        <f t="array" ref="AA109">IF(OR($B109="",$D109=""),"",
IFERROR(
  INDEX(
    'Tools &amp; Targets_Guideline'!$C$54:$I$269,
    MATCH(
      1,
      ('Tools &amp; Targets_Guideline'!$A$54:$A$269=$B109)*
      ('Tools &amp; Targets_Guideline'!$B$54:$B$269="Penta"),
      0
    ),
    MATCH(
      _xludf.IFNA(
        VLOOKUP($D109,{"PH","Provincial Hospital (H2)";"DH","District Hospital (H3)";"RH","Regional / National Hospital (H1)"},2,0),
        $D109
      ),
      'Tools &amp; Targets_Guideline'!$C$53:$I$53,
      0
    )
  ),
0))</f>
        <v/>
      </c>
      <c r="AB109" s="105"/>
      <c r="AC109" s="119" t="str">
        <f t="array" ref="AC109">IF(OR($B109="",$D109=""),"",
IFERROR(
  INDEX(
    'Tools &amp; Targets_Guideline'!$C$54:$I$269,
    MATCH(
      1,
      ('Tools &amp; Targets_Guideline'!$A$54:$A$269=$B109)*
      ('Tools &amp; Targets_Guideline'!$B$54:$B$269="TB"),
      0
    ),
    MATCH(
      _xludf.IFNA(
        VLOOKUP($D109,{"PH","Provincial Hospital (H2)";"DH","District Hospital (H3)";"RH","Regional / National Hospital (H1)"},2,0),
        $D109
      ),
      'Tools &amp; Targets_Guideline'!$C$53:$I$53,
      0
    )
  ),
0))</f>
        <v/>
      </c>
      <c r="AD109" s="105"/>
      <c r="AE109" s="119" t="str">
        <f t="array" ref="AE109">IF(OR($B109="",$D109=""),"",
IFERROR(
  INDEX(
    'Tools &amp; Targets_Guideline'!$C$54:$I$269,
    MATCH(
      1,
      ('Tools &amp; Targets_Guideline'!$A$54:$A$269=$B109)*
      ('Tools &amp; Targets_Guideline'!$B$54:$B$269="U5 Morbidity"),
      0
    ),
    MATCH(
      _xludf.IFNA(
        VLOOKUP($D109,{"PH","Provincial Hospital (H2)";"DH","District Hospital (H3)";"RH","Regional / National Hospital (H1)"},2,0),
        $D109
      ),
      'Tools &amp; Targets_Guideline'!$C$53:$I$53,
      0
    )
  ),
0))</f>
        <v/>
      </c>
      <c r="AF109" s="105"/>
      <c r="AG109" s="119" t="str">
        <f t="array" ref="AG109">IF(OR($B109="",$D109=""),"",
IFERROR(
  INDEX(
    'Tools &amp; Targets_Guideline'!$C$54:$I$269,
    MATCH(
      1,
      ('Tools &amp; Targets_Guideline'!$A$54:$A$269=$B109)*
      ('Tools &amp; Targets_Guideline'!$B$54:$B$269="C-Section"),
      0
    ),
    MATCH(
      _xludf.IFNA(
        VLOOKUP($D109,{"PH","Provincial Hospital (H2)";"DH","District Hospital (H3)";"RH","Regional / National Hospital (H1)"},2,0),
        $D109
      ),
      'Tools &amp; Targets_Guideline'!$C$53:$I$53,
      0
    )
  ),
0))</f>
        <v/>
      </c>
      <c r="AH109" s="105" t="str">
        <f>IF(A109&lt;&gt;"",COUNTIFS('QA Log'!D:D,A109,'QA Log'!M:M,"QQC",'QA Log'!L:L,"2. Hygiene and Sterilization",'QA Log'!Z:Z,"Approved"),"")</f>
        <v/>
      </c>
      <c r="AI109" s="102"/>
      <c r="AJ109" s="102"/>
      <c r="AK109" s="103" t="str">
        <f t="shared" si="2"/>
        <v/>
      </c>
      <c r="AL109" s="102"/>
      <c r="AM109" s="102"/>
      <c r="AN109" s="102"/>
      <c r="AO109" s="106"/>
      <c r="AP109" s="103"/>
      <c r="AQ109" s="102"/>
      <c r="AR109" s="102"/>
      <c r="AS109" s="102"/>
      <c r="AT109" s="107"/>
      <c r="AU109" s="102" t="str">
        <f t="shared" si="3"/>
        <v/>
      </c>
      <c r="AV109" s="102" t="str">
        <f t="shared" si="4"/>
        <v/>
      </c>
      <c r="AW109" s="102" t="str">
        <f t="shared" si="5"/>
        <v/>
      </c>
      <c r="AX109" s="102" t="str">
        <f t="shared" si="6"/>
        <v/>
      </c>
      <c r="AY109" s="107" t="str">
        <f t="shared" si="7"/>
        <v/>
      </c>
      <c r="AZ109" s="108" t="str">
        <f t="shared" si="8"/>
        <v/>
      </c>
      <c r="BA109" s="108" t="str">
        <f t="shared" si="9"/>
        <v/>
      </c>
      <c r="BB109" s="109" t="str">
        <f t="shared" si="10"/>
        <v/>
      </c>
      <c r="BC109" s="108" t="str">
        <f t="shared" si="11"/>
        <v/>
      </c>
      <c r="BD109" s="108" t="str">
        <f t="shared" si="12"/>
        <v/>
      </c>
      <c r="BE109" s="109" t="str">
        <f t="shared" si="13"/>
        <v/>
      </c>
      <c r="BF109" s="110" t="str">
        <f t="shared" si="14"/>
        <v/>
      </c>
      <c r="BG109" s="111"/>
    </row>
    <row r="110" spans="1:59" ht="12.75">
      <c r="A110" s="101"/>
      <c r="B110" s="102"/>
      <c r="C110" s="102" t="e">
        <f t="array" aca="1" ref="C110" ca="1">_xludf.XLOOKUP(A110,'QA Log'!D:D,'QA Log'!F:F,"")</f>
        <v>#NAME?</v>
      </c>
      <c r="D110" s="102"/>
      <c r="E110" s="102" t="e">
        <f t="array" aca="1" ref="E110" ca="1">_xludf.XLOOKUP(A110,'QA Log'!D:D,'QA Log'!G:G,"")</f>
        <v>#NAME?</v>
      </c>
      <c r="F110" s="103"/>
      <c r="G110" s="104"/>
      <c r="H110" s="104"/>
      <c r="I110" s="103" t="str">
        <f t="shared" si="0"/>
        <v/>
      </c>
      <c r="J110" s="102"/>
      <c r="K110" s="102"/>
      <c r="L110" s="119" t="str">
        <f t="array" ref="L110">IF(OR($B110="",$D110=""),"",
IFERROR(
  INDEX(
    'Tools &amp; Targets_Guideline'!$C$54:$I$269,
    MATCH(
      1,
      ('Tools &amp; Targets_Guideline'!$A$54:$A$269=$B110)*
      ('Tools &amp; Targets_Guideline'!$B$54:$B$269="ANC"),
      0
    ),
    MATCH(
      _xludf.IFNA(
        VLOOKUP($D110,{"PH","Provincial Hospital (H2)";"DH","District Hospital (H3)";"RH","Regional / National Hospital (H1)"},2,0),
        $D110
      ),
      'Tools &amp; Targets_Guideline'!$C$53:$I$53,
      0
    )
  ),
0))</f>
        <v/>
      </c>
      <c r="M110" s="105"/>
      <c r="N110" s="119" t="str">
        <f t="array" ref="N110">IF(OR($B110="",$D110=""),"",
IFERROR(
  INDEX(
    'Tools &amp; Targets_Guideline'!$C$54:$I$269,
    MATCH(
      1,
      ('Tools &amp; Targets_Guideline'!$A$54:$A$269=$B110)*
      ('Tools &amp; Targets_Guideline'!$B$54:$B$269="PNC"),
      0
    ),
    MATCH(
      _xludf.IFNA(
        VLOOKUP($D110,{"PH","Provincial Hospital (H2)";"DH","District Hospital (H3)";"RH","Regional / National Hospital (H1)"},2,0),
        $D110
      ),
      'Tools &amp; Targets_Guideline'!$C$53:$I$53,
      0
    )
  ),
0))</f>
        <v/>
      </c>
      <c r="O110" s="105"/>
      <c r="P110" s="119" t="str">
        <f t="array" ref="P110">IF(OR($B110="",$D110=""),"",
IFERROR(
  INDEX(
    'Tools &amp; Targets_Guideline'!$C$54:$I$269,
    MATCH(
      1,
      ('Tools &amp; Targets_Guideline'!$A$54:$A$269=$B110)*
      ('Tools &amp; Targets_Guideline'!$B$54:$B$269="Delivery"),
      0
    ),
    MATCH(
      _xludf.IFNA(
        VLOOKUP($D110,{"PH","Provincial Hospital (H2)";"DH","District Hospital (H3)";"RH","Regional / National Hospital (H1)"},2,0),
        $D110
      ),
      'Tools &amp; Targets_Guideline'!$C$53:$I$53,
      0
    )
  ),
0))</f>
        <v/>
      </c>
      <c r="Q110" s="105"/>
      <c r="R110" s="119" t="str">
        <f t="array" ref="R110">IF(OR($B110="",$D110=""),"",
IFERROR(
  INDEX(
    'Tools &amp; Targets_Guideline'!$C$54:$I$269,
    MATCH(
      1,
      ('Tools &amp; Targets_Guideline'!$A$54:$A$269=$B110)*
      ('Tools &amp; Targets_Guideline'!$B$54:$B$269="TT"),
      0
    ),
    MATCH(
      _xludf.IFNA(
        VLOOKUP($D110,{"PH","Provincial Hospital (H2)";"DH","District Hospital (H3)";"RH","Regional / National Hospital (H1)"},2,0),
        $D110
      ),
      'Tools &amp; Targets_Guideline'!$C$53:$I$53,
      0
    )
  ),
0))</f>
        <v/>
      </c>
      <c r="S110" s="105"/>
      <c r="T110" s="102"/>
      <c r="U110" s="106"/>
      <c r="V110" s="102" t="str">
        <f t="shared" si="1"/>
        <v/>
      </c>
      <c r="W110" s="102"/>
      <c r="X110" s="102"/>
      <c r="Y110" s="119" t="str">
        <f t="array" ref="Y110">IF(OR($B110="",$D110=""),"",
IFERROR(
  INDEX(
    'Tools &amp; Targets_Guideline'!$C$54:$I$269,
    MATCH(
      1,
      ('Tools &amp; Targets_Guideline'!$A$54:$A$269=$B110)*
      ('Tools &amp; Targets_Guideline'!$B$54:$B$269="GM"),
      0
    ),
    MATCH(
      _xludf.IFNA(
        VLOOKUP($D110,{"PH","Provincial Hospital (H2)";"DH","District Hospital (H3)";"RH","Regional / National Hospital (H1)"},2,0),
        $D110
      ),
      'Tools &amp; Targets_Guideline'!$C$53:$I$53,
      0
    )
  ),
0))</f>
        <v/>
      </c>
      <c r="Z110" s="105"/>
      <c r="AA110" s="119" t="str">
        <f t="array" ref="AA110">IF(OR($B110="",$D110=""),"",
IFERROR(
  INDEX(
    'Tools &amp; Targets_Guideline'!$C$54:$I$269,
    MATCH(
      1,
      ('Tools &amp; Targets_Guideline'!$A$54:$A$269=$B110)*
      ('Tools &amp; Targets_Guideline'!$B$54:$B$269="Penta"),
      0
    ),
    MATCH(
      _xludf.IFNA(
        VLOOKUP($D110,{"PH","Provincial Hospital (H2)";"DH","District Hospital (H3)";"RH","Regional / National Hospital (H1)"},2,0),
        $D110
      ),
      'Tools &amp; Targets_Guideline'!$C$53:$I$53,
      0
    )
  ),
0))</f>
        <v/>
      </c>
      <c r="AB110" s="105"/>
      <c r="AC110" s="119" t="str">
        <f t="array" ref="AC110">IF(OR($B110="",$D110=""),"",
IFERROR(
  INDEX(
    'Tools &amp; Targets_Guideline'!$C$54:$I$269,
    MATCH(
      1,
      ('Tools &amp; Targets_Guideline'!$A$54:$A$269=$B110)*
      ('Tools &amp; Targets_Guideline'!$B$54:$B$269="TB"),
      0
    ),
    MATCH(
      _xludf.IFNA(
        VLOOKUP($D110,{"PH","Provincial Hospital (H2)";"DH","District Hospital (H3)";"RH","Regional / National Hospital (H1)"},2,0),
        $D110
      ),
      'Tools &amp; Targets_Guideline'!$C$53:$I$53,
      0
    )
  ),
0))</f>
        <v/>
      </c>
      <c r="AD110" s="105"/>
      <c r="AE110" s="119" t="str">
        <f t="array" ref="AE110">IF(OR($B110="",$D110=""),"",
IFERROR(
  INDEX(
    'Tools &amp; Targets_Guideline'!$C$54:$I$269,
    MATCH(
      1,
      ('Tools &amp; Targets_Guideline'!$A$54:$A$269=$B110)*
      ('Tools &amp; Targets_Guideline'!$B$54:$B$269="U5 Morbidity"),
      0
    ),
    MATCH(
      _xludf.IFNA(
        VLOOKUP($D110,{"PH","Provincial Hospital (H2)";"DH","District Hospital (H3)";"RH","Regional / National Hospital (H1)"},2,0),
        $D110
      ),
      'Tools &amp; Targets_Guideline'!$C$53:$I$53,
      0
    )
  ),
0))</f>
        <v/>
      </c>
      <c r="AF110" s="105"/>
      <c r="AG110" s="119" t="str">
        <f t="array" ref="AG110">IF(OR($B110="",$D110=""),"",
IFERROR(
  INDEX(
    'Tools &amp; Targets_Guideline'!$C$54:$I$269,
    MATCH(
      1,
      ('Tools &amp; Targets_Guideline'!$A$54:$A$269=$B110)*
      ('Tools &amp; Targets_Guideline'!$B$54:$B$269="C-Section"),
      0
    ),
    MATCH(
      _xludf.IFNA(
        VLOOKUP($D110,{"PH","Provincial Hospital (H2)";"DH","District Hospital (H3)";"RH","Regional / National Hospital (H1)"},2,0),
        $D110
      ),
      'Tools &amp; Targets_Guideline'!$C$53:$I$53,
      0
    )
  ),
0))</f>
        <v/>
      </c>
      <c r="AH110" s="105" t="str">
        <f>IF(A110&lt;&gt;"",COUNTIFS('QA Log'!D:D,A110,'QA Log'!M:M,"QQC",'QA Log'!L:L,"2. Hygiene and Sterilization",'QA Log'!Z:Z,"Approved"),"")</f>
        <v/>
      </c>
      <c r="AI110" s="102"/>
      <c r="AJ110" s="102"/>
      <c r="AK110" s="103" t="str">
        <f t="shared" si="2"/>
        <v/>
      </c>
      <c r="AL110" s="102"/>
      <c r="AM110" s="102"/>
      <c r="AN110" s="102"/>
      <c r="AO110" s="106"/>
      <c r="AP110" s="103"/>
      <c r="AQ110" s="102"/>
      <c r="AR110" s="102"/>
      <c r="AS110" s="102"/>
      <c r="AT110" s="107"/>
      <c r="AU110" s="102" t="str">
        <f t="shared" si="3"/>
        <v/>
      </c>
      <c r="AV110" s="102" t="str">
        <f t="shared" si="4"/>
        <v/>
      </c>
      <c r="AW110" s="102" t="str">
        <f t="shared" si="5"/>
        <v/>
      </c>
      <c r="AX110" s="102" t="str">
        <f t="shared" si="6"/>
        <v/>
      </c>
      <c r="AY110" s="107" t="str">
        <f t="shared" si="7"/>
        <v/>
      </c>
      <c r="AZ110" s="108" t="str">
        <f t="shared" si="8"/>
        <v/>
      </c>
      <c r="BA110" s="108" t="str">
        <f t="shared" si="9"/>
        <v/>
      </c>
      <c r="BB110" s="109" t="str">
        <f t="shared" si="10"/>
        <v/>
      </c>
      <c r="BC110" s="108" t="str">
        <f t="shared" si="11"/>
        <v/>
      </c>
      <c r="BD110" s="108" t="str">
        <f t="shared" si="12"/>
        <v/>
      </c>
      <c r="BE110" s="109" t="str">
        <f t="shared" si="13"/>
        <v/>
      </c>
      <c r="BF110" s="110" t="str">
        <f t="shared" si="14"/>
        <v/>
      </c>
      <c r="BG110" s="111"/>
    </row>
    <row r="111" spans="1:59" ht="12.75">
      <c r="A111" s="101"/>
      <c r="B111" s="102"/>
      <c r="C111" s="102" t="e">
        <f t="array" aca="1" ref="C111" ca="1">_xludf.XLOOKUP(A111,'QA Log'!D:D,'QA Log'!F:F,"")</f>
        <v>#NAME?</v>
      </c>
      <c r="D111" s="102"/>
      <c r="E111" s="102" t="e">
        <f t="array" aca="1" ref="E111" ca="1">_xludf.XLOOKUP(A111,'QA Log'!D:D,'QA Log'!G:G,"")</f>
        <v>#NAME?</v>
      </c>
      <c r="F111" s="103"/>
      <c r="G111" s="104"/>
      <c r="H111" s="104"/>
      <c r="I111" s="103" t="str">
        <f t="shared" si="0"/>
        <v/>
      </c>
      <c r="J111" s="102"/>
      <c r="K111" s="102"/>
      <c r="L111" s="119" t="str">
        <f t="array" ref="L111">IF(OR($B111="",$D111=""),"",
IFERROR(
  INDEX(
    'Tools &amp; Targets_Guideline'!$C$54:$I$269,
    MATCH(
      1,
      ('Tools &amp; Targets_Guideline'!$A$54:$A$269=$B111)*
      ('Tools &amp; Targets_Guideline'!$B$54:$B$269="ANC"),
      0
    ),
    MATCH(
      _xludf.IFNA(
        VLOOKUP($D111,{"PH","Provincial Hospital (H2)";"DH","District Hospital (H3)";"RH","Regional / National Hospital (H1)"},2,0),
        $D111
      ),
      'Tools &amp; Targets_Guideline'!$C$53:$I$53,
      0
    )
  ),
0))</f>
        <v/>
      </c>
      <c r="M111" s="105"/>
      <c r="N111" s="119" t="str">
        <f t="array" ref="N111">IF(OR($B111="",$D111=""),"",
IFERROR(
  INDEX(
    'Tools &amp; Targets_Guideline'!$C$54:$I$269,
    MATCH(
      1,
      ('Tools &amp; Targets_Guideline'!$A$54:$A$269=$B111)*
      ('Tools &amp; Targets_Guideline'!$B$54:$B$269="PNC"),
      0
    ),
    MATCH(
      _xludf.IFNA(
        VLOOKUP($D111,{"PH","Provincial Hospital (H2)";"DH","District Hospital (H3)";"RH","Regional / National Hospital (H1)"},2,0),
        $D111
      ),
      'Tools &amp; Targets_Guideline'!$C$53:$I$53,
      0
    )
  ),
0))</f>
        <v/>
      </c>
      <c r="O111" s="105"/>
      <c r="P111" s="119" t="str">
        <f t="array" ref="P111">IF(OR($B111="",$D111=""),"",
IFERROR(
  INDEX(
    'Tools &amp; Targets_Guideline'!$C$54:$I$269,
    MATCH(
      1,
      ('Tools &amp; Targets_Guideline'!$A$54:$A$269=$B111)*
      ('Tools &amp; Targets_Guideline'!$B$54:$B$269="Delivery"),
      0
    ),
    MATCH(
      _xludf.IFNA(
        VLOOKUP($D111,{"PH","Provincial Hospital (H2)";"DH","District Hospital (H3)";"RH","Regional / National Hospital (H1)"},2,0),
        $D111
      ),
      'Tools &amp; Targets_Guideline'!$C$53:$I$53,
      0
    )
  ),
0))</f>
        <v/>
      </c>
      <c r="Q111" s="105"/>
      <c r="R111" s="119" t="str">
        <f t="array" ref="R111">IF(OR($B111="",$D111=""),"",
IFERROR(
  INDEX(
    'Tools &amp; Targets_Guideline'!$C$54:$I$269,
    MATCH(
      1,
      ('Tools &amp; Targets_Guideline'!$A$54:$A$269=$B111)*
      ('Tools &amp; Targets_Guideline'!$B$54:$B$269="TT"),
      0
    ),
    MATCH(
      _xludf.IFNA(
        VLOOKUP($D111,{"PH","Provincial Hospital (H2)";"DH","District Hospital (H3)";"RH","Regional / National Hospital (H1)"},2,0),
        $D111
      ),
      'Tools &amp; Targets_Guideline'!$C$53:$I$53,
      0
    )
  ),
0))</f>
        <v/>
      </c>
      <c r="S111" s="105"/>
      <c r="T111" s="102"/>
      <c r="U111" s="106"/>
      <c r="V111" s="102" t="str">
        <f t="shared" si="1"/>
        <v/>
      </c>
      <c r="W111" s="102"/>
      <c r="X111" s="102"/>
      <c r="Y111" s="119" t="str">
        <f t="array" ref="Y111">IF(OR($B111="",$D111=""),"",
IFERROR(
  INDEX(
    'Tools &amp; Targets_Guideline'!$C$54:$I$269,
    MATCH(
      1,
      ('Tools &amp; Targets_Guideline'!$A$54:$A$269=$B111)*
      ('Tools &amp; Targets_Guideline'!$B$54:$B$269="GM"),
      0
    ),
    MATCH(
      _xludf.IFNA(
        VLOOKUP($D111,{"PH","Provincial Hospital (H2)";"DH","District Hospital (H3)";"RH","Regional / National Hospital (H1)"},2,0),
        $D111
      ),
      'Tools &amp; Targets_Guideline'!$C$53:$I$53,
      0
    )
  ),
0))</f>
        <v/>
      </c>
      <c r="Z111" s="105"/>
      <c r="AA111" s="119" t="str">
        <f t="array" ref="AA111">IF(OR($B111="",$D111=""),"",
IFERROR(
  INDEX(
    'Tools &amp; Targets_Guideline'!$C$54:$I$269,
    MATCH(
      1,
      ('Tools &amp; Targets_Guideline'!$A$54:$A$269=$B111)*
      ('Tools &amp; Targets_Guideline'!$B$54:$B$269="Penta"),
      0
    ),
    MATCH(
      _xludf.IFNA(
        VLOOKUP($D111,{"PH","Provincial Hospital (H2)";"DH","District Hospital (H3)";"RH","Regional / National Hospital (H1)"},2,0),
        $D111
      ),
      'Tools &amp; Targets_Guideline'!$C$53:$I$53,
      0
    )
  ),
0))</f>
        <v/>
      </c>
      <c r="AB111" s="105"/>
      <c r="AC111" s="119" t="str">
        <f t="array" ref="AC111">IF(OR($B111="",$D111=""),"",
IFERROR(
  INDEX(
    'Tools &amp; Targets_Guideline'!$C$54:$I$269,
    MATCH(
      1,
      ('Tools &amp; Targets_Guideline'!$A$54:$A$269=$B111)*
      ('Tools &amp; Targets_Guideline'!$B$54:$B$269="TB"),
      0
    ),
    MATCH(
      _xludf.IFNA(
        VLOOKUP($D111,{"PH","Provincial Hospital (H2)";"DH","District Hospital (H3)";"RH","Regional / National Hospital (H1)"},2,0),
        $D111
      ),
      'Tools &amp; Targets_Guideline'!$C$53:$I$53,
      0
    )
  ),
0))</f>
        <v/>
      </c>
      <c r="AD111" s="105"/>
      <c r="AE111" s="119" t="str">
        <f t="array" ref="AE111">IF(OR($B111="",$D111=""),"",
IFERROR(
  INDEX(
    'Tools &amp; Targets_Guideline'!$C$54:$I$269,
    MATCH(
      1,
      ('Tools &amp; Targets_Guideline'!$A$54:$A$269=$B111)*
      ('Tools &amp; Targets_Guideline'!$B$54:$B$269="U5 Morbidity"),
      0
    ),
    MATCH(
      _xludf.IFNA(
        VLOOKUP($D111,{"PH","Provincial Hospital (H2)";"DH","District Hospital (H3)";"RH","Regional / National Hospital (H1)"},2,0),
        $D111
      ),
      'Tools &amp; Targets_Guideline'!$C$53:$I$53,
      0
    )
  ),
0))</f>
        <v/>
      </c>
      <c r="AF111" s="105"/>
      <c r="AG111" s="119" t="str">
        <f t="array" ref="AG111">IF(OR($B111="",$D111=""),"",
IFERROR(
  INDEX(
    'Tools &amp; Targets_Guideline'!$C$54:$I$269,
    MATCH(
      1,
      ('Tools &amp; Targets_Guideline'!$A$54:$A$269=$B111)*
      ('Tools &amp; Targets_Guideline'!$B$54:$B$269="C-Section"),
      0
    ),
    MATCH(
      _xludf.IFNA(
        VLOOKUP($D111,{"PH","Provincial Hospital (H2)";"DH","District Hospital (H3)";"RH","Regional / National Hospital (H1)"},2,0),
        $D111
      ),
      'Tools &amp; Targets_Guideline'!$C$53:$I$53,
      0
    )
  ),
0))</f>
        <v/>
      </c>
      <c r="AH111" s="105" t="str">
        <f>IF(A111&lt;&gt;"",COUNTIFS('QA Log'!D:D,A111,'QA Log'!M:M,"QQC",'QA Log'!L:L,"2. Hygiene and Sterilization",'QA Log'!Z:Z,"Approved"),"")</f>
        <v/>
      </c>
      <c r="AI111" s="102"/>
      <c r="AJ111" s="102"/>
      <c r="AK111" s="103" t="str">
        <f t="shared" si="2"/>
        <v/>
      </c>
      <c r="AL111" s="102"/>
      <c r="AM111" s="102"/>
      <c r="AN111" s="102"/>
      <c r="AO111" s="106"/>
      <c r="AP111" s="103"/>
      <c r="AQ111" s="102"/>
      <c r="AR111" s="102"/>
      <c r="AS111" s="102"/>
      <c r="AT111" s="107"/>
      <c r="AU111" s="102" t="str">
        <f t="shared" si="3"/>
        <v/>
      </c>
      <c r="AV111" s="102" t="str">
        <f t="shared" si="4"/>
        <v/>
      </c>
      <c r="AW111" s="102" t="str">
        <f t="shared" si="5"/>
        <v/>
      </c>
      <c r="AX111" s="102" t="str">
        <f t="shared" si="6"/>
        <v/>
      </c>
      <c r="AY111" s="107" t="str">
        <f t="shared" si="7"/>
        <v/>
      </c>
      <c r="AZ111" s="108" t="str">
        <f t="shared" si="8"/>
        <v/>
      </c>
      <c r="BA111" s="108" t="str">
        <f t="shared" si="9"/>
        <v/>
      </c>
      <c r="BB111" s="109" t="str">
        <f t="shared" si="10"/>
        <v/>
      </c>
      <c r="BC111" s="108" t="str">
        <f t="shared" si="11"/>
        <v/>
      </c>
      <c r="BD111" s="108" t="str">
        <f t="shared" si="12"/>
        <v/>
      </c>
      <c r="BE111" s="109" t="str">
        <f t="shared" si="13"/>
        <v/>
      </c>
      <c r="BF111" s="110" t="str">
        <f t="shared" si="14"/>
        <v/>
      </c>
      <c r="BG111" s="111"/>
    </row>
    <row r="112" spans="1:59" ht="12.75">
      <c r="A112" s="101"/>
      <c r="B112" s="102"/>
      <c r="C112" s="102" t="e">
        <f t="array" aca="1" ref="C112" ca="1">_xludf.XLOOKUP(A112,'QA Log'!D:D,'QA Log'!F:F,"")</f>
        <v>#NAME?</v>
      </c>
      <c r="D112" s="102"/>
      <c r="E112" s="102" t="e">
        <f t="array" aca="1" ref="E112" ca="1">_xludf.XLOOKUP(A112,'QA Log'!D:D,'QA Log'!G:G,"")</f>
        <v>#NAME?</v>
      </c>
      <c r="F112" s="103"/>
      <c r="G112" s="104"/>
      <c r="H112" s="104"/>
      <c r="I112" s="103" t="str">
        <f t="shared" si="0"/>
        <v/>
      </c>
      <c r="J112" s="102"/>
      <c r="K112" s="102"/>
      <c r="L112" s="119" t="str">
        <f t="array" ref="L112">IF(OR($B112="",$D112=""),"",
IFERROR(
  INDEX(
    'Tools &amp; Targets_Guideline'!$C$54:$I$269,
    MATCH(
      1,
      ('Tools &amp; Targets_Guideline'!$A$54:$A$269=$B112)*
      ('Tools &amp; Targets_Guideline'!$B$54:$B$269="ANC"),
      0
    ),
    MATCH(
      _xludf.IFNA(
        VLOOKUP($D112,{"PH","Provincial Hospital (H2)";"DH","District Hospital (H3)";"RH","Regional / National Hospital (H1)"},2,0),
        $D112
      ),
      'Tools &amp; Targets_Guideline'!$C$53:$I$53,
      0
    )
  ),
0))</f>
        <v/>
      </c>
      <c r="M112" s="105"/>
      <c r="N112" s="119" t="str">
        <f t="array" ref="N112">IF(OR($B112="",$D112=""),"",
IFERROR(
  INDEX(
    'Tools &amp; Targets_Guideline'!$C$54:$I$269,
    MATCH(
      1,
      ('Tools &amp; Targets_Guideline'!$A$54:$A$269=$B112)*
      ('Tools &amp; Targets_Guideline'!$B$54:$B$269="PNC"),
      0
    ),
    MATCH(
      _xludf.IFNA(
        VLOOKUP($D112,{"PH","Provincial Hospital (H2)";"DH","District Hospital (H3)";"RH","Regional / National Hospital (H1)"},2,0),
        $D112
      ),
      'Tools &amp; Targets_Guideline'!$C$53:$I$53,
      0
    )
  ),
0))</f>
        <v/>
      </c>
      <c r="O112" s="105"/>
      <c r="P112" s="119" t="str">
        <f t="array" ref="P112">IF(OR($B112="",$D112=""),"",
IFERROR(
  INDEX(
    'Tools &amp; Targets_Guideline'!$C$54:$I$269,
    MATCH(
      1,
      ('Tools &amp; Targets_Guideline'!$A$54:$A$269=$B112)*
      ('Tools &amp; Targets_Guideline'!$B$54:$B$269="Delivery"),
      0
    ),
    MATCH(
      _xludf.IFNA(
        VLOOKUP($D112,{"PH","Provincial Hospital (H2)";"DH","District Hospital (H3)";"RH","Regional / National Hospital (H1)"},2,0),
        $D112
      ),
      'Tools &amp; Targets_Guideline'!$C$53:$I$53,
      0
    )
  ),
0))</f>
        <v/>
      </c>
      <c r="Q112" s="105"/>
      <c r="R112" s="119" t="str">
        <f t="array" ref="R112">IF(OR($B112="",$D112=""),"",
IFERROR(
  INDEX(
    'Tools &amp; Targets_Guideline'!$C$54:$I$269,
    MATCH(
      1,
      ('Tools &amp; Targets_Guideline'!$A$54:$A$269=$B112)*
      ('Tools &amp; Targets_Guideline'!$B$54:$B$269="TT"),
      0
    ),
    MATCH(
      _xludf.IFNA(
        VLOOKUP($D112,{"PH","Provincial Hospital (H2)";"DH","District Hospital (H3)";"RH","Regional / National Hospital (H1)"},2,0),
        $D112
      ),
      'Tools &amp; Targets_Guideline'!$C$53:$I$53,
      0
    )
  ),
0))</f>
        <v/>
      </c>
      <c r="S112" s="105"/>
      <c r="T112" s="102"/>
      <c r="U112" s="106"/>
      <c r="V112" s="102" t="str">
        <f t="shared" si="1"/>
        <v/>
      </c>
      <c r="W112" s="102"/>
      <c r="X112" s="102"/>
      <c r="Y112" s="119" t="str">
        <f t="array" ref="Y112">IF(OR($B112="",$D112=""),"",
IFERROR(
  INDEX(
    'Tools &amp; Targets_Guideline'!$C$54:$I$269,
    MATCH(
      1,
      ('Tools &amp; Targets_Guideline'!$A$54:$A$269=$B112)*
      ('Tools &amp; Targets_Guideline'!$B$54:$B$269="GM"),
      0
    ),
    MATCH(
      _xludf.IFNA(
        VLOOKUP($D112,{"PH","Provincial Hospital (H2)";"DH","District Hospital (H3)";"RH","Regional / National Hospital (H1)"},2,0),
        $D112
      ),
      'Tools &amp; Targets_Guideline'!$C$53:$I$53,
      0
    )
  ),
0))</f>
        <v/>
      </c>
      <c r="Z112" s="105"/>
      <c r="AA112" s="119" t="str">
        <f t="array" ref="AA112">IF(OR($B112="",$D112=""),"",
IFERROR(
  INDEX(
    'Tools &amp; Targets_Guideline'!$C$54:$I$269,
    MATCH(
      1,
      ('Tools &amp; Targets_Guideline'!$A$54:$A$269=$B112)*
      ('Tools &amp; Targets_Guideline'!$B$54:$B$269="Penta"),
      0
    ),
    MATCH(
      _xludf.IFNA(
        VLOOKUP($D112,{"PH","Provincial Hospital (H2)";"DH","District Hospital (H3)";"RH","Regional / National Hospital (H1)"},2,0),
        $D112
      ),
      'Tools &amp; Targets_Guideline'!$C$53:$I$53,
      0
    )
  ),
0))</f>
        <v/>
      </c>
      <c r="AB112" s="105"/>
      <c r="AC112" s="119" t="str">
        <f t="array" ref="AC112">IF(OR($B112="",$D112=""),"",
IFERROR(
  INDEX(
    'Tools &amp; Targets_Guideline'!$C$54:$I$269,
    MATCH(
      1,
      ('Tools &amp; Targets_Guideline'!$A$54:$A$269=$B112)*
      ('Tools &amp; Targets_Guideline'!$B$54:$B$269="TB"),
      0
    ),
    MATCH(
      _xludf.IFNA(
        VLOOKUP($D112,{"PH","Provincial Hospital (H2)";"DH","District Hospital (H3)";"RH","Regional / National Hospital (H1)"},2,0),
        $D112
      ),
      'Tools &amp; Targets_Guideline'!$C$53:$I$53,
      0
    )
  ),
0))</f>
        <v/>
      </c>
      <c r="AD112" s="105"/>
      <c r="AE112" s="119" t="str">
        <f t="array" ref="AE112">IF(OR($B112="",$D112=""),"",
IFERROR(
  INDEX(
    'Tools &amp; Targets_Guideline'!$C$54:$I$269,
    MATCH(
      1,
      ('Tools &amp; Targets_Guideline'!$A$54:$A$269=$B112)*
      ('Tools &amp; Targets_Guideline'!$B$54:$B$269="U5 Morbidity"),
      0
    ),
    MATCH(
      _xludf.IFNA(
        VLOOKUP($D112,{"PH","Provincial Hospital (H2)";"DH","District Hospital (H3)";"RH","Regional / National Hospital (H1)"},2,0),
        $D112
      ),
      'Tools &amp; Targets_Guideline'!$C$53:$I$53,
      0
    )
  ),
0))</f>
        <v/>
      </c>
      <c r="AF112" s="105"/>
      <c r="AG112" s="119" t="str">
        <f t="array" ref="AG112">IF(OR($B112="",$D112=""),"",
IFERROR(
  INDEX(
    'Tools &amp; Targets_Guideline'!$C$54:$I$269,
    MATCH(
      1,
      ('Tools &amp; Targets_Guideline'!$A$54:$A$269=$B112)*
      ('Tools &amp; Targets_Guideline'!$B$54:$B$269="C-Section"),
      0
    ),
    MATCH(
      _xludf.IFNA(
        VLOOKUP($D112,{"PH","Provincial Hospital (H2)";"DH","District Hospital (H3)";"RH","Regional / National Hospital (H1)"},2,0),
        $D112
      ),
      'Tools &amp; Targets_Guideline'!$C$53:$I$53,
      0
    )
  ),
0))</f>
        <v/>
      </c>
      <c r="AH112" s="105" t="str">
        <f>IF(A112&lt;&gt;"",COUNTIFS('QA Log'!D:D,A112,'QA Log'!M:M,"QQC",'QA Log'!L:L,"2. Hygiene and Sterilization",'QA Log'!Z:Z,"Approved"),"")</f>
        <v/>
      </c>
      <c r="AI112" s="102"/>
      <c r="AJ112" s="102"/>
      <c r="AK112" s="103" t="str">
        <f t="shared" si="2"/>
        <v/>
      </c>
      <c r="AL112" s="102"/>
      <c r="AM112" s="102"/>
      <c r="AN112" s="102"/>
      <c r="AO112" s="106"/>
      <c r="AP112" s="103"/>
      <c r="AQ112" s="102"/>
      <c r="AR112" s="102"/>
      <c r="AS112" s="102"/>
      <c r="AT112" s="107"/>
      <c r="AU112" s="102" t="str">
        <f t="shared" si="3"/>
        <v/>
      </c>
      <c r="AV112" s="102" t="str">
        <f t="shared" si="4"/>
        <v/>
      </c>
      <c r="AW112" s="102" t="str">
        <f t="shared" si="5"/>
        <v/>
      </c>
      <c r="AX112" s="102" t="str">
        <f t="shared" si="6"/>
        <v/>
      </c>
      <c r="AY112" s="107" t="str">
        <f t="shared" si="7"/>
        <v/>
      </c>
      <c r="AZ112" s="108" t="str">
        <f t="shared" si="8"/>
        <v/>
      </c>
      <c r="BA112" s="108" t="str">
        <f t="shared" si="9"/>
        <v/>
      </c>
      <c r="BB112" s="109" t="str">
        <f t="shared" si="10"/>
        <v/>
      </c>
      <c r="BC112" s="108" t="str">
        <f t="shared" si="11"/>
        <v/>
      </c>
      <c r="BD112" s="108" t="str">
        <f t="shared" si="12"/>
        <v/>
      </c>
      <c r="BE112" s="109" t="str">
        <f t="shared" si="13"/>
        <v/>
      </c>
      <c r="BF112" s="110" t="str">
        <f t="shared" si="14"/>
        <v/>
      </c>
      <c r="BG112" s="111"/>
    </row>
    <row r="113" spans="1:59" ht="12.75">
      <c r="A113" s="101"/>
      <c r="B113" s="102"/>
      <c r="C113" s="102" t="e">
        <f t="array" aca="1" ref="C113" ca="1">_xludf.XLOOKUP(A113,'QA Log'!D:D,'QA Log'!F:F,"")</f>
        <v>#NAME?</v>
      </c>
      <c r="D113" s="102"/>
      <c r="E113" s="102" t="e">
        <f t="array" aca="1" ref="E113" ca="1">_xludf.XLOOKUP(A113,'QA Log'!D:D,'QA Log'!G:G,"")</f>
        <v>#NAME?</v>
      </c>
      <c r="F113" s="103"/>
      <c r="G113" s="104"/>
      <c r="H113" s="104"/>
      <c r="I113" s="103" t="str">
        <f t="shared" si="0"/>
        <v/>
      </c>
      <c r="J113" s="102"/>
      <c r="K113" s="102"/>
      <c r="L113" s="119" t="str">
        <f t="array" ref="L113">IF(OR($B113="",$D113=""),"",
IFERROR(
  INDEX(
    'Tools &amp; Targets_Guideline'!$C$54:$I$269,
    MATCH(
      1,
      ('Tools &amp; Targets_Guideline'!$A$54:$A$269=$B113)*
      ('Tools &amp; Targets_Guideline'!$B$54:$B$269="ANC"),
      0
    ),
    MATCH(
      _xludf.IFNA(
        VLOOKUP($D113,{"PH","Provincial Hospital (H2)";"DH","District Hospital (H3)";"RH","Regional / National Hospital (H1)"},2,0),
        $D113
      ),
      'Tools &amp; Targets_Guideline'!$C$53:$I$53,
      0
    )
  ),
0))</f>
        <v/>
      </c>
      <c r="M113" s="105"/>
      <c r="N113" s="119" t="str">
        <f t="array" ref="N113">IF(OR($B113="",$D113=""),"",
IFERROR(
  INDEX(
    'Tools &amp; Targets_Guideline'!$C$54:$I$269,
    MATCH(
      1,
      ('Tools &amp; Targets_Guideline'!$A$54:$A$269=$B113)*
      ('Tools &amp; Targets_Guideline'!$B$54:$B$269="PNC"),
      0
    ),
    MATCH(
      _xludf.IFNA(
        VLOOKUP($D113,{"PH","Provincial Hospital (H2)";"DH","District Hospital (H3)";"RH","Regional / National Hospital (H1)"},2,0),
        $D113
      ),
      'Tools &amp; Targets_Guideline'!$C$53:$I$53,
      0
    )
  ),
0))</f>
        <v/>
      </c>
      <c r="O113" s="105"/>
      <c r="P113" s="119" t="str">
        <f t="array" ref="P113">IF(OR($B113="",$D113=""),"",
IFERROR(
  INDEX(
    'Tools &amp; Targets_Guideline'!$C$54:$I$269,
    MATCH(
      1,
      ('Tools &amp; Targets_Guideline'!$A$54:$A$269=$B113)*
      ('Tools &amp; Targets_Guideline'!$B$54:$B$269="Delivery"),
      0
    ),
    MATCH(
      _xludf.IFNA(
        VLOOKUP($D113,{"PH","Provincial Hospital (H2)";"DH","District Hospital (H3)";"RH","Regional / National Hospital (H1)"},2,0),
        $D113
      ),
      'Tools &amp; Targets_Guideline'!$C$53:$I$53,
      0
    )
  ),
0))</f>
        <v/>
      </c>
      <c r="Q113" s="105"/>
      <c r="R113" s="119" t="str">
        <f t="array" ref="R113">IF(OR($B113="",$D113=""),"",
IFERROR(
  INDEX(
    'Tools &amp; Targets_Guideline'!$C$54:$I$269,
    MATCH(
      1,
      ('Tools &amp; Targets_Guideline'!$A$54:$A$269=$B113)*
      ('Tools &amp; Targets_Guideline'!$B$54:$B$269="TT"),
      0
    ),
    MATCH(
      _xludf.IFNA(
        VLOOKUP($D113,{"PH","Provincial Hospital (H2)";"DH","District Hospital (H3)";"RH","Regional / National Hospital (H1)"},2,0),
        $D113
      ),
      'Tools &amp; Targets_Guideline'!$C$53:$I$53,
      0
    )
  ),
0))</f>
        <v/>
      </c>
      <c r="S113" s="105"/>
      <c r="T113" s="102"/>
      <c r="U113" s="106"/>
      <c r="V113" s="102" t="str">
        <f t="shared" si="1"/>
        <v/>
      </c>
      <c r="W113" s="102"/>
      <c r="X113" s="102"/>
      <c r="Y113" s="119" t="str">
        <f t="array" ref="Y113">IF(OR($B113="",$D113=""),"",
IFERROR(
  INDEX(
    'Tools &amp; Targets_Guideline'!$C$54:$I$269,
    MATCH(
      1,
      ('Tools &amp; Targets_Guideline'!$A$54:$A$269=$B113)*
      ('Tools &amp; Targets_Guideline'!$B$54:$B$269="GM"),
      0
    ),
    MATCH(
      _xludf.IFNA(
        VLOOKUP($D113,{"PH","Provincial Hospital (H2)";"DH","District Hospital (H3)";"RH","Regional / National Hospital (H1)"},2,0),
        $D113
      ),
      'Tools &amp; Targets_Guideline'!$C$53:$I$53,
      0
    )
  ),
0))</f>
        <v/>
      </c>
      <c r="Z113" s="105"/>
      <c r="AA113" s="119" t="str">
        <f t="array" ref="AA113">IF(OR($B113="",$D113=""),"",
IFERROR(
  INDEX(
    'Tools &amp; Targets_Guideline'!$C$54:$I$269,
    MATCH(
      1,
      ('Tools &amp; Targets_Guideline'!$A$54:$A$269=$B113)*
      ('Tools &amp; Targets_Guideline'!$B$54:$B$269="Penta"),
      0
    ),
    MATCH(
      _xludf.IFNA(
        VLOOKUP($D113,{"PH","Provincial Hospital (H2)";"DH","District Hospital (H3)";"RH","Regional / National Hospital (H1)"},2,0),
        $D113
      ),
      'Tools &amp; Targets_Guideline'!$C$53:$I$53,
      0
    )
  ),
0))</f>
        <v/>
      </c>
      <c r="AB113" s="105"/>
      <c r="AC113" s="119" t="str">
        <f t="array" ref="AC113">IF(OR($B113="",$D113=""),"",
IFERROR(
  INDEX(
    'Tools &amp; Targets_Guideline'!$C$54:$I$269,
    MATCH(
      1,
      ('Tools &amp; Targets_Guideline'!$A$54:$A$269=$B113)*
      ('Tools &amp; Targets_Guideline'!$B$54:$B$269="TB"),
      0
    ),
    MATCH(
      _xludf.IFNA(
        VLOOKUP($D113,{"PH","Provincial Hospital (H2)";"DH","District Hospital (H3)";"RH","Regional / National Hospital (H1)"},2,0),
        $D113
      ),
      'Tools &amp; Targets_Guideline'!$C$53:$I$53,
      0
    )
  ),
0))</f>
        <v/>
      </c>
      <c r="AD113" s="105"/>
      <c r="AE113" s="119" t="str">
        <f t="array" ref="AE113">IF(OR($B113="",$D113=""),"",
IFERROR(
  INDEX(
    'Tools &amp; Targets_Guideline'!$C$54:$I$269,
    MATCH(
      1,
      ('Tools &amp; Targets_Guideline'!$A$54:$A$269=$B113)*
      ('Tools &amp; Targets_Guideline'!$B$54:$B$269="U5 Morbidity"),
      0
    ),
    MATCH(
      _xludf.IFNA(
        VLOOKUP($D113,{"PH","Provincial Hospital (H2)";"DH","District Hospital (H3)";"RH","Regional / National Hospital (H1)"},2,0),
        $D113
      ),
      'Tools &amp; Targets_Guideline'!$C$53:$I$53,
      0
    )
  ),
0))</f>
        <v/>
      </c>
      <c r="AF113" s="105"/>
      <c r="AG113" s="119" t="str">
        <f t="array" ref="AG113">IF(OR($B113="",$D113=""),"",
IFERROR(
  INDEX(
    'Tools &amp; Targets_Guideline'!$C$54:$I$269,
    MATCH(
      1,
      ('Tools &amp; Targets_Guideline'!$A$54:$A$269=$B113)*
      ('Tools &amp; Targets_Guideline'!$B$54:$B$269="C-Section"),
      0
    ),
    MATCH(
      _xludf.IFNA(
        VLOOKUP($D113,{"PH","Provincial Hospital (H2)";"DH","District Hospital (H3)";"RH","Regional / National Hospital (H1)"},2,0),
        $D113
      ),
      'Tools &amp; Targets_Guideline'!$C$53:$I$53,
      0
    )
  ),
0))</f>
        <v/>
      </c>
      <c r="AH113" s="105" t="str">
        <f>IF(A113&lt;&gt;"",COUNTIFS('QA Log'!D:D,A113,'QA Log'!M:M,"QQC",'QA Log'!L:L,"2. Hygiene and Sterilization",'QA Log'!Z:Z,"Approved"),"")</f>
        <v/>
      </c>
      <c r="AI113" s="102"/>
      <c r="AJ113" s="102"/>
      <c r="AK113" s="103" t="str">
        <f t="shared" si="2"/>
        <v/>
      </c>
      <c r="AL113" s="102"/>
      <c r="AM113" s="102"/>
      <c r="AN113" s="102"/>
      <c r="AO113" s="106"/>
      <c r="AP113" s="103"/>
      <c r="AQ113" s="102"/>
      <c r="AR113" s="102"/>
      <c r="AS113" s="102"/>
      <c r="AT113" s="107"/>
      <c r="AU113" s="102" t="str">
        <f t="shared" si="3"/>
        <v/>
      </c>
      <c r="AV113" s="102" t="str">
        <f t="shared" si="4"/>
        <v/>
      </c>
      <c r="AW113" s="102" t="str">
        <f t="shared" si="5"/>
        <v/>
      </c>
      <c r="AX113" s="102" t="str">
        <f t="shared" si="6"/>
        <v/>
      </c>
      <c r="AY113" s="107" t="str">
        <f t="shared" si="7"/>
        <v/>
      </c>
      <c r="AZ113" s="108" t="str">
        <f t="shared" si="8"/>
        <v/>
      </c>
      <c r="BA113" s="108" t="str">
        <f t="shared" si="9"/>
        <v/>
      </c>
      <c r="BB113" s="109" t="str">
        <f t="shared" si="10"/>
        <v/>
      </c>
      <c r="BC113" s="108" t="str">
        <f t="shared" si="11"/>
        <v/>
      </c>
      <c r="BD113" s="108" t="str">
        <f t="shared" si="12"/>
        <v/>
      </c>
      <c r="BE113" s="109" t="str">
        <f t="shared" si="13"/>
        <v/>
      </c>
      <c r="BF113" s="110" t="str">
        <f t="shared" si="14"/>
        <v/>
      </c>
      <c r="BG113" s="111"/>
    </row>
    <row r="114" spans="1:59" ht="12.75">
      <c r="A114" s="101"/>
      <c r="B114" s="102"/>
      <c r="C114" s="102" t="e">
        <f t="array" aca="1" ref="C114" ca="1">_xludf.XLOOKUP(A114,'QA Log'!D:D,'QA Log'!F:F,"")</f>
        <v>#NAME?</v>
      </c>
      <c r="D114" s="102"/>
      <c r="E114" s="102" t="e">
        <f t="array" aca="1" ref="E114" ca="1">_xludf.XLOOKUP(A114,'QA Log'!D:D,'QA Log'!G:G,"")</f>
        <v>#NAME?</v>
      </c>
      <c r="F114" s="103"/>
      <c r="G114" s="104"/>
      <c r="H114" s="104"/>
      <c r="I114" s="103" t="str">
        <f t="shared" si="0"/>
        <v/>
      </c>
      <c r="J114" s="102"/>
      <c r="K114" s="102"/>
      <c r="L114" s="119" t="str">
        <f t="array" ref="L114">IF(OR($B114="",$D114=""),"",
IFERROR(
  INDEX(
    'Tools &amp; Targets_Guideline'!$C$54:$I$269,
    MATCH(
      1,
      ('Tools &amp; Targets_Guideline'!$A$54:$A$269=$B114)*
      ('Tools &amp; Targets_Guideline'!$B$54:$B$269="ANC"),
      0
    ),
    MATCH(
      _xludf.IFNA(
        VLOOKUP($D114,{"PH","Provincial Hospital (H2)";"DH","District Hospital (H3)";"RH","Regional / National Hospital (H1)"},2,0),
        $D114
      ),
      'Tools &amp; Targets_Guideline'!$C$53:$I$53,
      0
    )
  ),
0))</f>
        <v/>
      </c>
      <c r="M114" s="105"/>
      <c r="N114" s="119" t="str">
        <f t="array" ref="N114">IF(OR($B114="",$D114=""),"",
IFERROR(
  INDEX(
    'Tools &amp; Targets_Guideline'!$C$54:$I$269,
    MATCH(
      1,
      ('Tools &amp; Targets_Guideline'!$A$54:$A$269=$B114)*
      ('Tools &amp; Targets_Guideline'!$B$54:$B$269="PNC"),
      0
    ),
    MATCH(
      _xludf.IFNA(
        VLOOKUP($D114,{"PH","Provincial Hospital (H2)";"DH","District Hospital (H3)";"RH","Regional / National Hospital (H1)"},2,0),
        $D114
      ),
      'Tools &amp; Targets_Guideline'!$C$53:$I$53,
      0
    )
  ),
0))</f>
        <v/>
      </c>
      <c r="O114" s="105"/>
      <c r="P114" s="119" t="str">
        <f t="array" ref="P114">IF(OR($B114="",$D114=""),"",
IFERROR(
  INDEX(
    'Tools &amp; Targets_Guideline'!$C$54:$I$269,
    MATCH(
      1,
      ('Tools &amp; Targets_Guideline'!$A$54:$A$269=$B114)*
      ('Tools &amp; Targets_Guideline'!$B$54:$B$269="Delivery"),
      0
    ),
    MATCH(
      _xludf.IFNA(
        VLOOKUP($D114,{"PH","Provincial Hospital (H2)";"DH","District Hospital (H3)";"RH","Regional / National Hospital (H1)"},2,0),
        $D114
      ),
      'Tools &amp; Targets_Guideline'!$C$53:$I$53,
      0
    )
  ),
0))</f>
        <v/>
      </c>
      <c r="Q114" s="105"/>
      <c r="R114" s="119" t="str">
        <f t="array" ref="R114">IF(OR($B114="",$D114=""),"",
IFERROR(
  INDEX(
    'Tools &amp; Targets_Guideline'!$C$54:$I$269,
    MATCH(
      1,
      ('Tools &amp; Targets_Guideline'!$A$54:$A$269=$B114)*
      ('Tools &amp; Targets_Guideline'!$B$54:$B$269="TT"),
      0
    ),
    MATCH(
      _xludf.IFNA(
        VLOOKUP($D114,{"PH","Provincial Hospital (H2)";"DH","District Hospital (H3)";"RH","Regional / National Hospital (H1)"},2,0),
        $D114
      ),
      'Tools &amp; Targets_Guideline'!$C$53:$I$53,
      0
    )
  ),
0))</f>
        <v/>
      </c>
      <c r="S114" s="105"/>
      <c r="T114" s="102"/>
      <c r="U114" s="106"/>
      <c r="V114" s="102" t="str">
        <f t="shared" si="1"/>
        <v/>
      </c>
      <c r="W114" s="102"/>
      <c r="X114" s="102"/>
      <c r="Y114" s="119" t="str">
        <f t="array" ref="Y114">IF(OR($B114="",$D114=""),"",
IFERROR(
  INDEX(
    'Tools &amp; Targets_Guideline'!$C$54:$I$269,
    MATCH(
      1,
      ('Tools &amp; Targets_Guideline'!$A$54:$A$269=$B114)*
      ('Tools &amp; Targets_Guideline'!$B$54:$B$269="GM"),
      0
    ),
    MATCH(
      _xludf.IFNA(
        VLOOKUP($D114,{"PH","Provincial Hospital (H2)";"DH","District Hospital (H3)";"RH","Regional / National Hospital (H1)"},2,0),
        $D114
      ),
      'Tools &amp; Targets_Guideline'!$C$53:$I$53,
      0
    )
  ),
0))</f>
        <v/>
      </c>
      <c r="Z114" s="105"/>
      <c r="AA114" s="119" t="str">
        <f t="array" ref="AA114">IF(OR($B114="",$D114=""),"",
IFERROR(
  INDEX(
    'Tools &amp; Targets_Guideline'!$C$54:$I$269,
    MATCH(
      1,
      ('Tools &amp; Targets_Guideline'!$A$54:$A$269=$B114)*
      ('Tools &amp; Targets_Guideline'!$B$54:$B$269="Penta"),
      0
    ),
    MATCH(
      _xludf.IFNA(
        VLOOKUP($D114,{"PH","Provincial Hospital (H2)";"DH","District Hospital (H3)";"RH","Regional / National Hospital (H1)"},2,0),
        $D114
      ),
      'Tools &amp; Targets_Guideline'!$C$53:$I$53,
      0
    )
  ),
0))</f>
        <v/>
      </c>
      <c r="AB114" s="105"/>
      <c r="AC114" s="119" t="str">
        <f t="array" ref="AC114">IF(OR($B114="",$D114=""),"",
IFERROR(
  INDEX(
    'Tools &amp; Targets_Guideline'!$C$54:$I$269,
    MATCH(
      1,
      ('Tools &amp; Targets_Guideline'!$A$54:$A$269=$B114)*
      ('Tools &amp; Targets_Guideline'!$B$54:$B$269="TB"),
      0
    ),
    MATCH(
      _xludf.IFNA(
        VLOOKUP($D114,{"PH","Provincial Hospital (H2)";"DH","District Hospital (H3)";"RH","Regional / National Hospital (H1)"},2,0),
        $D114
      ),
      'Tools &amp; Targets_Guideline'!$C$53:$I$53,
      0
    )
  ),
0))</f>
        <v/>
      </c>
      <c r="AD114" s="105"/>
      <c r="AE114" s="119" t="str">
        <f t="array" ref="AE114">IF(OR($B114="",$D114=""),"",
IFERROR(
  INDEX(
    'Tools &amp; Targets_Guideline'!$C$54:$I$269,
    MATCH(
      1,
      ('Tools &amp; Targets_Guideline'!$A$54:$A$269=$B114)*
      ('Tools &amp; Targets_Guideline'!$B$54:$B$269="U5 Morbidity"),
      0
    ),
    MATCH(
      _xludf.IFNA(
        VLOOKUP($D114,{"PH","Provincial Hospital (H2)";"DH","District Hospital (H3)";"RH","Regional / National Hospital (H1)"},2,0),
        $D114
      ),
      'Tools &amp; Targets_Guideline'!$C$53:$I$53,
      0
    )
  ),
0))</f>
        <v/>
      </c>
      <c r="AF114" s="105"/>
      <c r="AG114" s="119" t="str">
        <f t="array" ref="AG114">IF(OR($B114="",$D114=""),"",
IFERROR(
  INDEX(
    'Tools &amp; Targets_Guideline'!$C$54:$I$269,
    MATCH(
      1,
      ('Tools &amp; Targets_Guideline'!$A$54:$A$269=$B114)*
      ('Tools &amp; Targets_Guideline'!$B$54:$B$269="C-Section"),
      0
    ),
    MATCH(
      _xludf.IFNA(
        VLOOKUP($D114,{"PH","Provincial Hospital (H2)";"DH","District Hospital (H3)";"RH","Regional / National Hospital (H1)"},2,0),
        $D114
      ),
      'Tools &amp; Targets_Guideline'!$C$53:$I$53,
      0
    )
  ),
0))</f>
        <v/>
      </c>
      <c r="AH114" s="105" t="str">
        <f>IF(A114&lt;&gt;"",COUNTIFS('QA Log'!D:D,A114,'QA Log'!M:M,"QQC",'QA Log'!L:L,"2. Hygiene and Sterilization",'QA Log'!Z:Z,"Approved"),"")</f>
        <v/>
      </c>
      <c r="AI114" s="102"/>
      <c r="AJ114" s="102"/>
      <c r="AK114" s="103" t="str">
        <f t="shared" si="2"/>
        <v/>
      </c>
      <c r="AL114" s="102"/>
      <c r="AM114" s="102"/>
      <c r="AN114" s="102"/>
      <c r="AO114" s="106"/>
      <c r="AP114" s="103"/>
      <c r="AQ114" s="102"/>
      <c r="AR114" s="102"/>
      <c r="AS114" s="102"/>
      <c r="AT114" s="107"/>
      <c r="AU114" s="102" t="str">
        <f t="shared" si="3"/>
        <v/>
      </c>
      <c r="AV114" s="102" t="str">
        <f t="shared" si="4"/>
        <v/>
      </c>
      <c r="AW114" s="102" t="str">
        <f t="shared" si="5"/>
        <v/>
      </c>
      <c r="AX114" s="102" t="str">
        <f t="shared" si="6"/>
        <v/>
      </c>
      <c r="AY114" s="107" t="str">
        <f t="shared" si="7"/>
        <v/>
      </c>
      <c r="AZ114" s="108" t="str">
        <f t="shared" si="8"/>
        <v/>
      </c>
      <c r="BA114" s="108" t="str">
        <f t="shared" si="9"/>
        <v/>
      </c>
      <c r="BB114" s="109" t="str">
        <f t="shared" si="10"/>
        <v/>
      </c>
      <c r="BC114" s="108" t="str">
        <f t="shared" si="11"/>
        <v/>
      </c>
      <c r="BD114" s="108" t="str">
        <f t="shared" si="12"/>
        <v/>
      </c>
      <c r="BE114" s="109" t="str">
        <f t="shared" si="13"/>
        <v/>
      </c>
      <c r="BF114" s="110" t="str">
        <f t="shared" si="14"/>
        <v/>
      </c>
      <c r="BG114" s="111"/>
    </row>
    <row r="115" spans="1:59" ht="12.75">
      <c r="A115" s="101"/>
      <c r="B115" s="102"/>
      <c r="C115" s="102" t="e">
        <f t="array" aca="1" ref="C115" ca="1">_xludf.XLOOKUP(A115,'QA Log'!D:D,'QA Log'!F:F,"")</f>
        <v>#NAME?</v>
      </c>
      <c r="D115" s="102"/>
      <c r="E115" s="102" t="e">
        <f t="array" aca="1" ref="E115" ca="1">_xludf.XLOOKUP(A115,'QA Log'!D:D,'QA Log'!G:G,"")</f>
        <v>#NAME?</v>
      </c>
      <c r="F115" s="103"/>
      <c r="G115" s="104"/>
      <c r="H115" s="104"/>
      <c r="I115" s="103" t="str">
        <f t="shared" si="0"/>
        <v/>
      </c>
      <c r="J115" s="102"/>
      <c r="K115" s="102"/>
      <c r="L115" s="119" t="str">
        <f t="array" ref="L115">IF(OR($B115="",$D115=""),"",
IFERROR(
  INDEX(
    'Tools &amp; Targets_Guideline'!$C$54:$I$269,
    MATCH(
      1,
      ('Tools &amp; Targets_Guideline'!$A$54:$A$269=$B115)*
      ('Tools &amp; Targets_Guideline'!$B$54:$B$269="ANC"),
      0
    ),
    MATCH(
      _xludf.IFNA(
        VLOOKUP($D115,{"PH","Provincial Hospital (H2)";"DH","District Hospital (H3)";"RH","Regional / National Hospital (H1)"},2,0),
        $D115
      ),
      'Tools &amp; Targets_Guideline'!$C$53:$I$53,
      0
    )
  ),
0))</f>
        <v/>
      </c>
      <c r="M115" s="105"/>
      <c r="N115" s="119" t="str">
        <f t="array" ref="N115">IF(OR($B115="",$D115=""),"",
IFERROR(
  INDEX(
    'Tools &amp; Targets_Guideline'!$C$54:$I$269,
    MATCH(
      1,
      ('Tools &amp; Targets_Guideline'!$A$54:$A$269=$B115)*
      ('Tools &amp; Targets_Guideline'!$B$54:$B$269="PNC"),
      0
    ),
    MATCH(
      _xludf.IFNA(
        VLOOKUP($D115,{"PH","Provincial Hospital (H2)";"DH","District Hospital (H3)";"RH","Regional / National Hospital (H1)"},2,0),
        $D115
      ),
      'Tools &amp; Targets_Guideline'!$C$53:$I$53,
      0
    )
  ),
0))</f>
        <v/>
      </c>
      <c r="O115" s="105"/>
      <c r="P115" s="119" t="str">
        <f t="array" ref="P115">IF(OR($B115="",$D115=""),"",
IFERROR(
  INDEX(
    'Tools &amp; Targets_Guideline'!$C$54:$I$269,
    MATCH(
      1,
      ('Tools &amp; Targets_Guideline'!$A$54:$A$269=$B115)*
      ('Tools &amp; Targets_Guideline'!$B$54:$B$269="Delivery"),
      0
    ),
    MATCH(
      _xludf.IFNA(
        VLOOKUP($D115,{"PH","Provincial Hospital (H2)";"DH","District Hospital (H3)";"RH","Regional / National Hospital (H1)"},2,0),
        $D115
      ),
      'Tools &amp; Targets_Guideline'!$C$53:$I$53,
      0
    )
  ),
0))</f>
        <v/>
      </c>
      <c r="Q115" s="105"/>
      <c r="R115" s="119" t="str">
        <f t="array" ref="R115">IF(OR($B115="",$D115=""),"",
IFERROR(
  INDEX(
    'Tools &amp; Targets_Guideline'!$C$54:$I$269,
    MATCH(
      1,
      ('Tools &amp; Targets_Guideline'!$A$54:$A$269=$B115)*
      ('Tools &amp; Targets_Guideline'!$B$54:$B$269="TT"),
      0
    ),
    MATCH(
      _xludf.IFNA(
        VLOOKUP($D115,{"PH","Provincial Hospital (H2)";"DH","District Hospital (H3)";"RH","Regional / National Hospital (H1)"},2,0),
        $D115
      ),
      'Tools &amp; Targets_Guideline'!$C$53:$I$53,
      0
    )
  ),
0))</f>
        <v/>
      </c>
      <c r="S115" s="105"/>
      <c r="T115" s="102"/>
      <c r="U115" s="106"/>
      <c r="V115" s="102" t="str">
        <f t="shared" si="1"/>
        <v/>
      </c>
      <c r="W115" s="102"/>
      <c r="X115" s="102"/>
      <c r="Y115" s="119" t="str">
        <f t="array" ref="Y115">IF(OR($B115="",$D115=""),"",
IFERROR(
  INDEX(
    'Tools &amp; Targets_Guideline'!$C$54:$I$269,
    MATCH(
      1,
      ('Tools &amp; Targets_Guideline'!$A$54:$A$269=$B115)*
      ('Tools &amp; Targets_Guideline'!$B$54:$B$269="GM"),
      0
    ),
    MATCH(
      _xludf.IFNA(
        VLOOKUP($D115,{"PH","Provincial Hospital (H2)";"DH","District Hospital (H3)";"RH","Regional / National Hospital (H1)"},2,0),
        $D115
      ),
      'Tools &amp; Targets_Guideline'!$C$53:$I$53,
      0
    )
  ),
0))</f>
        <v/>
      </c>
      <c r="Z115" s="105"/>
      <c r="AA115" s="119" t="str">
        <f t="array" ref="AA115">IF(OR($B115="",$D115=""),"",
IFERROR(
  INDEX(
    'Tools &amp; Targets_Guideline'!$C$54:$I$269,
    MATCH(
      1,
      ('Tools &amp; Targets_Guideline'!$A$54:$A$269=$B115)*
      ('Tools &amp; Targets_Guideline'!$B$54:$B$269="Penta"),
      0
    ),
    MATCH(
      _xludf.IFNA(
        VLOOKUP($D115,{"PH","Provincial Hospital (H2)";"DH","District Hospital (H3)";"RH","Regional / National Hospital (H1)"},2,0),
        $D115
      ),
      'Tools &amp; Targets_Guideline'!$C$53:$I$53,
      0
    )
  ),
0))</f>
        <v/>
      </c>
      <c r="AB115" s="105"/>
      <c r="AC115" s="119" t="str">
        <f t="array" ref="AC115">IF(OR($B115="",$D115=""),"",
IFERROR(
  INDEX(
    'Tools &amp; Targets_Guideline'!$C$54:$I$269,
    MATCH(
      1,
      ('Tools &amp; Targets_Guideline'!$A$54:$A$269=$B115)*
      ('Tools &amp; Targets_Guideline'!$B$54:$B$269="TB"),
      0
    ),
    MATCH(
      _xludf.IFNA(
        VLOOKUP($D115,{"PH","Provincial Hospital (H2)";"DH","District Hospital (H3)";"RH","Regional / National Hospital (H1)"},2,0),
        $D115
      ),
      'Tools &amp; Targets_Guideline'!$C$53:$I$53,
      0
    )
  ),
0))</f>
        <v/>
      </c>
      <c r="AD115" s="105"/>
      <c r="AE115" s="119" t="str">
        <f t="array" ref="AE115">IF(OR($B115="",$D115=""),"",
IFERROR(
  INDEX(
    'Tools &amp; Targets_Guideline'!$C$54:$I$269,
    MATCH(
      1,
      ('Tools &amp; Targets_Guideline'!$A$54:$A$269=$B115)*
      ('Tools &amp; Targets_Guideline'!$B$54:$B$269="U5 Morbidity"),
      0
    ),
    MATCH(
      _xludf.IFNA(
        VLOOKUP($D115,{"PH","Provincial Hospital (H2)";"DH","District Hospital (H3)";"RH","Regional / National Hospital (H1)"},2,0),
        $D115
      ),
      'Tools &amp; Targets_Guideline'!$C$53:$I$53,
      0
    )
  ),
0))</f>
        <v/>
      </c>
      <c r="AF115" s="105"/>
      <c r="AG115" s="119" t="str">
        <f t="array" ref="AG115">IF(OR($B115="",$D115=""),"",
IFERROR(
  INDEX(
    'Tools &amp; Targets_Guideline'!$C$54:$I$269,
    MATCH(
      1,
      ('Tools &amp; Targets_Guideline'!$A$54:$A$269=$B115)*
      ('Tools &amp; Targets_Guideline'!$B$54:$B$269="C-Section"),
      0
    ),
    MATCH(
      _xludf.IFNA(
        VLOOKUP($D115,{"PH","Provincial Hospital (H2)";"DH","District Hospital (H3)";"RH","Regional / National Hospital (H1)"},2,0),
        $D115
      ),
      'Tools &amp; Targets_Guideline'!$C$53:$I$53,
      0
    )
  ),
0))</f>
        <v/>
      </c>
      <c r="AH115" s="105" t="str">
        <f>IF(A115&lt;&gt;"",COUNTIFS('QA Log'!D:D,A115,'QA Log'!M:M,"QQC",'QA Log'!L:L,"2. Hygiene and Sterilization",'QA Log'!Z:Z,"Approved"),"")</f>
        <v/>
      </c>
      <c r="AI115" s="102"/>
      <c r="AJ115" s="102"/>
      <c r="AK115" s="103" t="str">
        <f t="shared" si="2"/>
        <v/>
      </c>
      <c r="AL115" s="102"/>
      <c r="AM115" s="102"/>
      <c r="AN115" s="102"/>
      <c r="AO115" s="106"/>
      <c r="AP115" s="103"/>
      <c r="AQ115" s="102"/>
      <c r="AR115" s="102"/>
      <c r="AS115" s="102"/>
      <c r="AT115" s="107"/>
      <c r="AU115" s="102" t="str">
        <f t="shared" si="3"/>
        <v/>
      </c>
      <c r="AV115" s="102" t="str">
        <f t="shared" si="4"/>
        <v/>
      </c>
      <c r="AW115" s="102" t="str">
        <f t="shared" si="5"/>
        <v/>
      </c>
      <c r="AX115" s="102" t="str">
        <f t="shared" si="6"/>
        <v/>
      </c>
      <c r="AY115" s="107" t="str">
        <f t="shared" si="7"/>
        <v/>
      </c>
      <c r="AZ115" s="108" t="str">
        <f t="shared" si="8"/>
        <v/>
      </c>
      <c r="BA115" s="108" t="str">
        <f t="shared" si="9"/>
        <v/>
      </c>
      <c r="BB115" s="109" t="str">
        <f t="shared" si="10"/>
        <v/>
      </c>
      <c r="BC115" s="108" t="str">
        <f t="shared" si="11"/>
        <v/>
      </c>
      <c r="BD115" s="108" t="str">
        <f t="shared" si="12"/>
        <v/>
      </c>
      <c r="BE115" s="109" t="str">
        <f t="shared" si="13"/>
        <v/>
      </c>
      <c r="BF115" s="110" t="str">
        <f t="shared" si="14"/>
        <v/>
      </c>
      <c r="BG115" s="111"/>
    </row>
    <row r="116" spans="1:59" ht="12.75">
      <c r="A116" s="101"/>
      <c r="B116" s="102"/>
      <c r="C116" s="102" t="e">
        <f t="array" aca="1" ref="C116" ca="1">_xludf.XLOOKUP(A116,'QA Log'!D:D,'QA Log'!F:F,"")</f>
        <v>#NAME?</v>
      </c>
      <c r="D116" s="102"/>
      <c r="E116" s="102" t="e">
        <f t="array" aca="1" ref="E116" ca="1">_xludf.XLOOKUP(A116,'QA Log'!D:D,'QA Log'!G:G,"")</f>
        <v>#NAME?</v>
      </c>
      <c r="F116" s="103"/>
      <c r="G116" s="104"/>
      <c r="H116" s="104"/>
      <c r="I116" s="103" t="str">
        <f t="shared" si="0"/>
        <v/>
      </c>
      <c r="J116" s="102"/>
      <c r="K116" s="102"/>
      <c r="L116" s="119" t="str">
        <f t="array" ref="L116">IF(OR($B116="",$D116=""),"",
IFERROR(
  INDEX(
    'Tools &amp; Targets_Guideline'!$C$54:$I$269,
    MATCH(
      1,
      ('Tools &amp; Targets_Guideline'!$A$54:$A$269=$B116)*
      ('Tools &amp; Targets_Guideline'!$B$54:$B$269="ANC"),
      0
    ),
    MATCH(
      _xludf.IFNA(
        VLOOKUP($D116,{"PH","Provincial Hospital (H2)";"DH","District Hospital (H3)";"RH","Regional / National Hospital (H1)"},2,0),
        $D116
      ),
      'Tools &amp; Targets_Guideline'!$C$53:$I$53,
      0
    )
  ),
0))</f>
        <v/>
      </c>
      <c r="M116" s="105"/>
      <c r="N116" s="119" t="str">
        <f t="array" ref="N116">IF(OR($B116="",$D116=""),"",
IFERROR(
  INDEX(
    'Tools &amp; Targets_Guideline'!$C$54:$I$269,
    MATCH(
      1,
      ('Tools &amp; Targets_Guideline'!$A$54:$A$269=$B116)*
      ('Tools &amp; Targets_Guideline'!$B$54:$B$269="PNC"),
      0
    ),
    MATCH(
      _xludf.IFNA(
        VLOOKUP($D116,{"PH","Provincial Hospital (H2)";"DH","District Hospital (H3)";"RH","Regional / National Hospital (H1)"},2,0),
        $D116
      ),
      'Tools &amp; Targets_Guideline'!$C$53:$I$53,
      0
    )
  ),
0))</f>
        <v/>
      </c>
      <c r="O116" s="105"/>
      <c r="P116" s="119" t="str">
        <f t="array" ref="P116">IF(OR($B116="",$D116=""),"",
IFERROR(
  INDEX(
    'Tools &amp; Targets_Guideline'!$C$54:$I$269,
    MATCH(
      1,
      ('Tools &amp; Targets_Guideline'!$A$54:$A$269=$B116)*
      ('Tools &amp; Targets_Guideline'!$B$54:$B$269="Delivery"),
      0
    ),
    MATCH(
      _xludf.IFNA(
        VLOOKUP($D116,{"PH","Provincial Hospital (H2)";"DH","District Hospital (H3)";"RH","Regional / National Hospital (H1)"},2,0),
        $D116
      ),
      'Tools &amp; Targets_Guideline'!$C$53:$I$53,
      0
    )
  ),
0))</f>
        <v/>
      </c>
      <c r="Q116" s="105"/>
      <c r="R116" s="119" t="str">
        <f t="array" ref="R116">IF(OR($B116="",$D116=""),"",
IFERROR(
  INDEX(
    'Tools &amp; Targets_Guideline'!$C$54:$I$269,
    MATCH(
      1,
      ('Tools &amp; Targets_Guideline'!$A$54:$A$269=$B116)*
      ('Tools &amp; Targets_Guideline'!$B$54:$B$269="TT"),
      0
    ),
    MATCH(
      _xludf.IFNA(
        VLOOKUP($D116,{"PH","Provincial Hospital (H2)";"DH","District Hospital (H3)";"RH","Regional / National Hospital (H1)"},2,0),
        $D116
      ),
      'Tools &amp; Targets_Guideline'!$C$53:$I$53,
      0
    )
  ),
0))</f>
        <v/>
      </c>
      <c r="S116" s="105"/>
      <c r="T116" s="102"/>
      <c r="U116" s="106"/>
      <c r="V116" s="102" t="str">
        <f t="shared" si="1"/>
        <v/>
      </c>
      <c r="W116" s="102"/>
      <c r="X116" s="102"/>
      <c r="Y116" s="119" t="str">
        <f t="array" ref="Y116">IF(OR($B116="",$D116=""),"",
IFERROR(
  INDEX(
    'Tools &amp; Targets_Guideline'!$C$54:$I$269,
    MATCH(
      1,
      ('Tools &amp; Targets_Guideline'!$A$54:$A$269=$B116)*
      ('Tools &amp; Targets_Guideline'!$B$54:$B$269="GM"),
      0
    ),
    MATCH(
      _xludf.IFNA(
        VLOOKUP($D116,{"PH","Provincial Hospital (H2)";"DH","District Hospital (H3)";"RH","Regional / National Hospital (H1)"},2,0),
        $D116
      ),
      'Tools &amp; Targets_Guideline'!$C$53:$I$53,
      0
    )
  ),
0))</f>
        <v/>
      </c>
      <c r="Z116" s="105"/>
      <c r="AA116" s="119" t="str">
        <f t="array" ref="AA116">IF(OR($B116="",$D116=""),"",
IFERROR(
  INDEX(
    'Tools &amp; Targets_Guideline'!$C$54:$I$269,
    MATCH(
      1,
      ('Tools &amp; Targets_Guideline'!$A$54:$A$269=$B116)*
      ('Tools &amp; Targets_Guideline'!$B$54:$B$269="Penta"),
      0
    ),
    MATCH(
      _xludf.IFNA(
        VLOOKUP($D116,{"PH","Provincial Hospital (H2)";"DH","District Hospital (H3)";"RH","Regional / National Hospital (H1)"},2,0),
        $D116
      ),
      'Tools &amp; Targets_Guideline'!$C$53:$I$53,
      0
    )
  ),
0))</f>
        <v/>
      </c>
      <c r="AB116" s="105"/>
      <c r="AC116" s="119" t="str">
        <f t="array" ref="AC116">IF(OR($B116="",$D116=""),"",
IFERROR(
  INDEX(
    'Tools &amp; Targets_Guideline'!$C$54:$I$269,
    MATCH(
      1,
      ('Tools &amp; Targets_Guideline'!$A$54:$A$269=$B116)*
      ('Tools &amp; Targets_Guideline'!$B$54:$B$269="TB"),
      0
    ),
    MATCH(
      _xludf.IFNA(
        VLOOKUP($D116,{"PH","Provincial Hospital (H2)";"DH","District Hospital (H3)";"RH","Regional / National Hospital (H1)"},2,0),
        $D116
      ),
      'Tools &amp; Targets_Guideline'!$C$53:$I$53,
      0
    )
  ),
0))</f>
        <v/>
      </c>
      <c r="AD116" s="105"/>
      <c r="AE116" s="119" t="str">
        <f t="array" ref="AE116">IF(OR($B116="",$D116=""),"",
IFERROR(
  INDEX(
    'Tools &amp; Targets_Guideline'!$C$54:$I$269,
    MATCH(
      1,
      ('Tools &amp; Targets_Guideline'!$A$54:$A$269=$B116)*
      ('Tools &amp; Targets_Guideline'!$B$54:$B$269="U5 Morbidity"),
      0
    ),
    MATCH(
      _xludf.IFNA(
        VLOOKUP($D116,{"PH","Provincial Hospital (H2)";"DH","District Hospital (H3)";"RH","Regional / National Hospital (H1)"},2,0),
        $D116
      ),
      'Tools &amp; Targets_Guideline'!$C$53:$I$53,
      0
    )
  ),
0))</f>
        <v/>
      </c>
      <c r="AF116" s="105"/>
      <c r="AG116" s="119" t="str">
        <f t="array" ref="AG116">IF(OR($B116="",$D116=""),"",
IFERROR(
  INDEX(
    'Tools &amp; Targets_Guideline'!$C$54:$I$269,
    MATCH(
      1,
      ('Tools &amp; Targets_Guideline'!$A$54:$A$269=$B116)*
      ('Tools &amp; Targets_Guideline'!$B$54:$B$269="C-Section"),
      0
    ),
    MATCH(
      _xludf.IFNA(
        VLOOKUP($D116,{"PH","Provincial Hospital (H2)";"DH","District Hospital (H3)";"RH","Regional / National Hospital (H1)"},2,0),
        $D116
      ),
      'Tools &amp; Targets_Guideline'!$C$53:$I$53,
      0
    )
  ),
0))</f>
        <v/>
      </c>
      <c r="AH116" s="105" t="str">
        <f>IF(A116&lt;&gt;"",COUNTIFS('QA Log'!D:D,A116,'QA Log'!M:M,"QQC",'QA Log'!L:L,"2. Hygiene and Sterilization",'QA Log'!Z:Z,"Approved"),"")</f>
        <v/>
      </c>
      <c r="AI116" s="102"/>
      <c r="AJ116" s="102"/>
      <c r="AK116" s="103" t="str">
        <f t="shared" si="2"/>
        <v/>
      </c>
      <c r="AL116" s="102"/>
      <c r="AM116" s="102"/>
      <c r="AN116" s="102"/>
      <c r="AO116" s="106"/>
      <c r="AP116" s="103"/>
      <c r="AQ116" s="102"/>
      <c r="AR116" s="102"/>
      <c r="AS116" s="102"/>
      <c r="AT116" s="107"/>
      <c r="AU116" s="102" t="str">
        <f t="shared" si="3"/>
        <v/>
      </c>
      <c r="AV116" s="102" t="str">
        <f t="shared" si="4"/>
        <v/>
      </c>
      <c r="AW116" s="102" t="str">
        <f t="shared" si="5"/>
        <v/>
      </c>
      <c r="AX116" s="102" t="str">
        <f t="shared" si="6"/>
        <v/>
      </c>
      <c r="AY116" s="107" t="str">
        <f t="shared" si="7"/>
        <v/>
      </c>
      <c r="AZ116" s="108" t="str">
        <f t="shared" si="8"/>
        <v/>
      </c>
      <c r="BA116" s="108" t="str">
        <f t="shared" si="9"/>
        <v/>
      </c>
      <c r="BB116" s="109" t="str">
        <f t="shared" si="10"/>
        <v/>
      </c>
      <c r="BC116" s="108" t="str">
        <f t="shared" si="11"/>
        <v/>
      </c>
      <c r="BD116" s="108" t="str">
        <f t="shared" si="12"/>
        <v/>
      </c>
      <c r="BE116" s="109" t="str">
        <f t="shared" si="13"/>
        <v/>
      </c>
      <c r="BF116" s="110" t="str">
        <f t="shared" si="14"/>
        <v/>
      </c>
      <c r="BG116" s="111"/>
    </row>
    <row r="117" spans="1:59" ht="12.75">
      <c r="A117" s="101"/>
      <c r="B117" s="102"/>
      <c r="C117" s="102" t="e">
        <f t="array" aca="1" ref="C117" ca="1">_xludf.XLOOKUP(A117,'QA Log'!D:D,'QA Log'!F:F,"")</f>
        <v>#NAME?</v>
      </c>
      <c r="D117" s="102"/>
      <c r="E117" s="102" t="e">
        <f t="array" aca="1" ref="E117" ca="1">_xludf.XLOOKUP(A117,'QA Log'!D:D,'QA Log'!G:G,"")</f>
        <v>#NAME?</v>
      </c>
      <c r="F117" s="103"/>
      <c r="G117" s="104"/>
      <c r="H117" s="104"/>
      <c r="I117" s="103" t="str">
        <f t="shared" si="0"/>
        <v/>
      </c>
      <c r="J117" s="102"/>
      <c r="K117" s="102"/>
      <c r="L117" s="119" t="str">
        <f t="array" ref="L117">IF(OR($B117="",$D117=""),"",
IFERROR(
  INDEX(
    'Tools &amp; Targets_Guideline'!$C$54:$I$269,
    MATCH(
      1,
      ('Tools &amp; Targets_Guideline'!$A$54:$A$269=$B117)*
      ('Tools &amp; Targets_Guideline'!$B$54:$B$269="ANC"),
      0
    ),
    MATCH(
      _xludf.IFNA(
        VLOOKUP($D117,{"PH","Provincial Hospital (H2)";"DH","District Hospital (H3)";"RH","Regional / National Hospital (H1)"},2,0),
        $D117
      ),
      'Tools &amp; Targets_Guideline'!$C$53:$I$53,
      0
    )
  ),
0))</f>
        <v/>
      </c>
      <c r="M117" s="105"/>
      <c r="N117" s="119" t="str">
        <f t="array" ref="N117">IF(OR($B117="",$D117=""),"",
IFERROR(
  INDEX(
    'Tools &amp; Targets_Guideline'!$C$54:$I$269,
    MATCH(
      1,
      ('Tools &amp; Targets_Guideline'!$A$54:$A$269=$B117)*
      ('Tools &amp; Targets_Guideline'!$B$54:$B$269="PNC"),
      0
    ),
    MATCH(
      _xludf.IFNA(
        VLOOKUP($D117,{"PH","Provincial Hospital (H2)";"DH","District Hospital (H3)";"RH","Regional / National Hospital (H1)"},2,0),
        $D117
      ),
      'Tools &amp; Targets_Guideline'!$C$53:$I$53,
      0
    )
  ),
0))</f>
        <v/>
      </c>
      <c r="O117" s="105"/>
      <c r="P117" s="119" t="str">
        <f t="array" ref="P117">IF(OR($B117="",$D117=""),"",
IFERROR(
  INDEX(
    'Tools &amp; Targets_Guideline'!$C$54:$I$269,
    MATCH(
      1,
      ('Tools &amp; Targets_Guideline'!$A$54:$A$269=$B117)*
      ('Tools &amp; Targets_Guideline'!$B$54:$B$269="Delivery"),
      0
    ),
    MATCH(
      _xludf.IFNA(
        VLOOKUP($D117,{"PH","Provincial Hospital (H2)";"DH","District Hospital (H3)";"RH","Regional / National Hospital (H1)"},2,0),
        $D117
      ),
      'Tools &amp; Targets_Guideline'!$C$53:$I$53,
      0
    )
  ),
0))</f>
        <v/>
      </c>
      <c r="Q117" s="105"/>
      <c r="R117" s="119" t="str">
        <f t="array" ref="R117">IF(OR($B117="",$D117=""),"",
IFERROR(
  INDEX(
    'Tools &amp; Targets_Guideline'!$C$54:$I$269,
    MATCH(
      1,
      ('Tools &amp; Targets_Guideline'!$A$54:$A$269=$B117)*
      ('Tools &amp; Targets_Guideline'!$B$54:$B$269="TT"),
      0
    ),
    MATCH(
      _xludf.IFNA(
        VLOOKUP($D117,{"PH","Provincial Hospital (H2)";"DH","District Hospital (H3)";"RH","Regional / National Hospital (H1)"},2,0),
        $D117
      ),
      'Tools &amp; Targets_Guideline'!$C$53:$I$53,
      0
    )
  ),
0))</f>
        <v/>
      </c>
      <c r="S117" s="105"/>
      <c r="T117" s="102"/>
      <c r="U117" s="106"/>
      <c r="V117" s="102" t="str">
        <f t="shared" si="1"/>
        <v/>
      </c>
      <c r="W117" s="102"/>
      <c r="X117" s="102"/>
      <c r="Y117" s="119" t="str">
        <f t="array" ref="Y117">IF(OR($B117="",$D117=""),"",
IFERROR(
  INDEX(
    'Tools &amp; Targets_Guideline'!$C$54:$I$269,
    MATCH(
      1,
      ('Tools &amp; Targets_Guideline'!$A$54:$A$269=$B117)*
      ('Tools &amp; Targets_Guideline'!$B$54:$B$269="GM"),
      0
    ),
    MATCH(
      _xludf.IFNA(
        VLOOKUP($D117,{"PH","Provincial Hospital (H2)";"DH","District Hospital (H3)";"RH","Regional / National Hospital (H1)"},2,0),
        $D117
      ),
      'Tools &amp; Targets_Guideline'!$C$53:$I$53,
      0
    )
  ),
0))</f>
        <v/>
      </c>
      <c r="Z117" s="105"/>
      <c r="AA117" s="119" t="str">
        <f t="array" ref="AA117">IF(OR($B117="",$D117=""),"",
IFERROR(
  INDEX(
    'Tools &amp; Targets_Guideline'!$C$54:$I$269,
    MATCH(
      1,
      ('Tools &amp; Targets_Guideline'!$A$54:$A$269=$B117)*
      ('Tools &amp; Targets_Guideline'!$B$54:$B$269="Penta"),
      0
    ),
    MATCH(
      _xludf.IFNA(
        VLOOKUP($D117,{"PH","Provincial Hospital (H2)";"DH","District Hospital (H3)";"RH","Regional / National Hospital (H1)"},2,0),
        $D117
      ),
      'Tools &amp; Targets_Guideline'!$C$53:$I$53,
      0
    )
  ),
0))</f>
        <v/>
      </c>
      <c r="AB117" s="105"/>
      <c r="AC117" s="119" t="str">
        <f t="array" ref="AC117">IF(OR($B117="",$D117=""),"",
IFERROR(
  INDEX(
    'Tools &amp; Targets_Guideline'!$C$54:$I$269,
    MATCH(
      1,
      ('Tools &amp; Targets_Guideline'!$A$54:$A$269=$B117)*
      ('Tools &amp; Targets_Guideline'!$B$54:$B$269="TB"),
      0
    ),
    MATCH(
      _xludf.IFNA(
        VLOOKUP($D117,{"PH","Provincial Hospital (H2)";"DH","District Hospital (H3)";"RH","Regional / National Hospital (H1)"},2,0),
        $D117
      ),
      'Tools &amp; Targets_Guideline'!$C$53:$I$53,
      0
    )
  ),
0))</f>
        <v/>
      </c>
      <c r="AD117" s="105"/>
      <c r="AE117" s="119" t="str">
        <f t="array" ref="AE117">IF(OR($B117="",$D117=""),"",
IFERROR(
  INDEX(
    'Tools &amp; Targets_Guideline'!$C$54:$I$269,
    MATCH(
      1,
      ('Tools &amp; Targets_Guideline'!$A$54:$A$269=$B117)*
      ('Tools &amp; Targets_Guideline'!$B$54:$B$269="U5 Morbidity"),
      0
    ),
    MATCH(
      _xludf.IFNA(
        VLOOKUP($D117,{"PH","Provincial Hospital (H2)";"DH","District Hospital (H3)";"RH","Regional / National Hospital (H1)"},2,0),
        $D117
      ),
      'Tools &amp; Targets_Guideline'!$C$53:$I$53,
      0
    )
  ),
0))</f>
        <v/>
      </c>
      <c r="AF117" s="105"/>
      <c r="AG117" s="119" t="str">
        <f t="array" ref="AG117">IF(OR($B117="",$D117=""),"",
IFERROR(
  INDEX(
    'Tools &amp; Targets_Guideline'!$C$54:$I$269,
    MATCH(
      1,
      ('Tools &amp; Targets_Guideline'!$A$54:$A$269=$B117)*
      ('Tools &amp; Targets_Guideline'!$B$54:$B$269="C-Section"),
      0
    ),
    MATCH(
      _xludf.IFNA(
        VLOOKUP($D117,{"PH","Provincial Hospital (H2)";"DH","District Hospital (H3)";"RH","Regional / National Hospital (H1)"},2,0),
        $D117
      ),
      'Tools &amp; Targets_Guideline'!$C$53:$I$53,
      0
    )
  ),
0))</f>
        <v/>
      </c>
      <c r="AH117" s="105" t="str">
        <f>IF(A117&lt;&gt;"",COUNTIFS('QA Log'!D:D,A117,'QA Log'!M:M,"QQC",'QA Log'!L:L,"2. Hygiene and Sterilization",'QA Log'!Z:Z,"Approved"),"")</f>
        <v/>
      </c>
      <c r="AI117" s="102"/>
      <c r="AJ117" s="102"/>
      <c r="AK117" s="103" t="str">
        <f t="shared" si="2"/>
        <v/>
      </c>
      <c r="AL117" s="102"/>
      <c r="AM117" s="102"/>
      <c r="AN117" s="102"/>
      <c r="AO117" s="106"/>
      <c r="AP117" s="103"/>
      <c r="AQ117" s="102"/>
      <c r="AR117" s="102"/>
      <c r="AS117" s="102"/>
      <c r="AT117" s="107"/>
      <c r="AU117" s="102" t="str">
        <f t="shared" si="3"/>
        <v/>
      </c>
      <c r="AV117" s="102" t="str">
        <f t="shared" si="4"/>
        <v/>
      </c>
      <c r="AW117" s="102" t="str">
        <f t="shared" si="5"/>
        <v/>
      </c>
      <c r="AX117" s="102" t="str">
        <f t="shared" si="6"/>
        <v/>
      </c>
      <c r="AY117" s="107" t="str">
        <f t="shared" si="7"/>
        <v/>
      </c>
      <c r="AZ117" s="108" t="str">
        <f t="shared" si="8"/>
        <v/>
      </c>
      <c r="BA117" s="108" t="str">
        <f t="shared" si="9"/>
        <v/>
      </c>
      <c r="BB117" s="109" t="str">
        <f t="shared" si="10"/>
        <v/>
      </c>
      <c r="BC117" s="108" t="str">
        <f t="shared" si="11"/>
        <v/>
      </c>
      <c r="BD117" s="108" t="str">
        <f t="shared" si="12"/>
        <v/>
      </c>
      <c r="BE117" s="109" t="str">
        <f t="shared" si="13"/>
        <v/>
      </c>
      <c r="BF117" s="110" t="str">
        <f t="shared" si="14"/>
        <v/>
      </c>
      <c r="BG117" s="111"/>
    </row>
    <row r="118" spans="1:59" ht="12.75">
      <c r="A118" s="101"/>
      <c r="B118" s="102"/>
      <c r="C118" s="102" t="e">
        <f t="array" aca="1" ref="C118" ca="1">_xludf.XLOOKUP(A118,'QA Log'!D:D,'QA Log'!F:F,"")</f>
        <v>#NAME?</v>
      </c>
      <c r="D118" s="102"/>
      <c r="E118" s="102" t="e">
        <f t="array" aca="1" ref="E118" ca="1">_xludf.XLOOKUP(A118,'QA Log'!D:D,'QA Log'!G:G,"")</f>
        <v>#NAME?</v>
      </c>
      <c r="F118" s="103"/>
      <c r="G118" s="104"/>
      <c r="H118" s="104"/>
      <c r="I118" s="103" t="str">
        <f t="shared" si="0"/>
        <v/>
      </c>
      <c r="J118" s="102"/>
      <c r="K118" s="102"/>
      <c r="L118" s="119" t="str">
        <f t="array" ref="L118">IF(OR($B118="",$D118=""),"",
IFERROR(
  INDEX(
    'Tools &amp; Targets_Guideline'!$C$54:$I$269,
    MATCH(
      1,
      ('Tools &amp; Targets_Guideline'!$A$54:$A$269=$B118)*
      ('Tools &amp; Targets_Guideline'!$B$54:$B$269="ANC"),
      0
    ),
    MATCH(
      _xludf.IFNA(
        VLOOKUP($D118,{"PH","Provincial Hospital (H2)";"DH","District Hospital (H3)";"RH","Regional / National Hospital (H1)"},2,0),
        $D118
      ),
      'Tools &amp; Targets_Guideline'!$C$53:$I$53,
      0
    )
  ),
0))</f>
        <v/>
      </c>
      <c r="M118" s="105"/>
      <c r="N118" s="119" t="str">
        <f t="array" ref="N118">IF(OR($B118="",$D118=""),"",
IFERROR(
  INDEX(
    'Tools &amp; Targets_Guideline'!$C$54:$I$269,
    MATCH(
      1,
      ('Tools &amp; Targets_Guideline'!$A$54:$A$269=$B118)*
      ('Tools &amp; Targets_Guideline'!$B$54:$B$269="PNC"),
      0
    ),
    MATCH(
      _xludf.IFNA(
        VLOOKUP($D118,{"PH","Provincial Hospital (H2)";"DH","District Hospital (H3)";"RH","Regional / National Hospital (H1)"},2,0),
        $D118
      ),
      'Tools &amp; Targets_Guideline'!$C$53:$I$53,
      0
    )
  ),
0))</f>
        <v/>
      </c>
      <c r="O118" s="105"/>
      <c r="P118" s="119" t="str">
        <f t="array" ref="P118">IF(OR($B118="",$D118=""),"",
IFERROR(
  INDEX(
    'Tools &amp; Targets_Guideline'!$C$54:$I$269,
    MATCH(
      1,
      ('Tools &amp; Targets_Guideline'!$A$54:$A$269=$B118)*
      ('Tools &amp; Targets_Guideline'!$B$54:$B$269="Delivery"),
      0
    ),
    MATCH(
      _xludf.IFNA(
        VLOOKUP($D118,{"PH","Provincial Hospital (H2)";"DH","District Hospital (H3)";"RH","Regional / National Hospital (H1)"},2,0),
        $D118
      ),
      'Tools &amp; Targets_Guideline'!$C$53:$I$53,
      0
    )
  ),
0))</f>
        <v/>
      </c>
      <c r="Q118" s="105"/>
      <c r="R118" s="119" t="str">
        <f t="array" ref="R118">IF(OR($B118="",$D118=""),"",
IFERROR(
  INDEX(
    'Tools &amp; Targets_Guideline'!$C$54:$I$269,
    MATCH(
      1,
      ('Tools &amp; Targets_Guideline'!$A$54:$A$269=$B118)*
      ('Tools &amp; Targets_Guideline'!$B$54:$B$269="TT"),
      0
    ),
    MATCH(
      _xludf.IFNA(
        VLOOKUP($D118,{"PH","Provincial Hospital (H2)";"DH","District Hospital (H3)";"RH","Regional / National Hospital (H1)"},2,0),
        $D118
      ),
      'Tools &amp; Targets_Guideline'!$C$53:$I$53,
      0
    )
  ),
0))</f>
        <v/>
      </c>
      <c r="S118" s="105"/>
      <c r="T118" s="102"/>
      <c r="U118" s="106"/>
      <c r="V118" s="102" t="str">
        <f t="shared" si="1"/>
        <v/>
      </c>
      <c r="W118" s="102"/>
      <c r="X118" s="102"/>
      <c r="Y118" s="119" t="str">
        <f t="array" ref="Y118">IF(OR($B118="",$D118=""),"",
IFERROR(
  INDEX(
    'Tools &amp; Targets_Guideline'!$C$54:$I$269,
    MATCH(
      1,
      ('Tools &amp; Targets_Guideline'!$A$54:$A$269=$B118)*
      ('Tools &amp; Targets_Guideline'!$B$54:$B$269="GM"),
      0
    ),
    MATCH(
      _xludf.IFNA(
        VLOOKUP($D118,{"PH","Provincial Hospital (H2)";"DH","District Hospital (H3)";"RH","Regional / National Hospital (H1)"},2,0),
        $D118
      ),
      'Tools &amp; Targets_Guideline'!$C$53:$I$53,
      0
    )
  ),
0))</f>
        <v/>
      </c>
      <c r="Z118" s="105"/>
      <c r="AA118" s="119" t="str">
        <f t="array" ref="AA118">IF(OR($B118="",$D118=""),"",
IFERROR(
  INDEX(
    'Tools &amp; Targets_Guideline'!$C$54:$I$269,
    MATCH(
      1,
      ('Tools &amp; Targets_Guideline'!$A$54:$A$269=$B118)*
      ('Tools &amp; Targets_Guideline'!$B$54:$B$269="Penta"),
      0
    ),
    MATCH(
      _xludf.IFNA(
        VLOOKUP($D118,{"PH","Provincial Hospital (H2)";"DH","District Hospital (H3)";"RH","Regional / National Hospital (H1)"},2,0),
        $D118
      ),
      'Tools &amp; Targets_Guideline'!$C$53:$I$53,
      0
    )
  ),
0))</f>
        <v/>
      </c>
      <c r="AB118" s="105"/>
      <c r="AC118" s="119" t="str">
        <f t="array" ref="AC118">IF(OR($B118="",$D118=""),"",
IFERROR(
  INDEX(
    'Tools &amp; Targets_Guideline'!$C$54:$I$269,
    MATCH(
      1,
      ('Tools &amp; Targets_Guideline'!$A$54:$A$269=$B118)*
      ('Tools &amp; Targets_Guideline'!$B$54:$B$269="TB"),
      0
    ),
    MATCH(
      _xludf.IFNA(
        VLOOKUP($D118,{"PH","Provincial Hospital (H2)";"DH","District Hospital (H3)";"RH","Regional / National Hospital (H1)"},2,0),
        $D118
      ),
      'Tools &amp; Targets_Guideline'!$C$53:$I$53,
      0
    )
  ),
0))</f>
        <v/>
      </c>
      <c r="AD118" s="105"/>
      <c r="AE118" s="119" t="str">
        <f t="array" ref="AE118">IF(OR($B118="",$D118=""),"",
IFERROR(
  INDEX(
    'Tools &amp; Targets_Guideline'!$C$54:$I$269,
    MATCH(
      1,
      ('Tools &amp; Targets_Guideline'!$A$54:$A$269=$B118)*
      ('Tools &amp; Targets_Guideline'!$B$54:$B$269="U5 Morbidity"),
      0
    ),
    MATCH(
      _xludf.IFNA(
        VLOOKUP($D118,{"PH","Provincial Hospital (H2)";"DH","District Hospital (H3)";"RH","Regional / National Hospital (H1)"},2,0),
        $D118
      ),
      'Tools &amp; Targets_Guideline'!$C$53:$I$53,
      0
    )
  ),
0))</f>
        <v/>
      </c>
      <c r="AF118" s="105"/>
      <c r="AG118" s="119" t="str">
        <f t="array" ref="AG118">IF(OR($B118="",$D118=""),"",
IFERROR(
  INDEX(
    'Tools &amp; Targets_Guideline'!$C$54:$I$269,
    MATCH(
      1,
      ('Tools &amp; Targets_Guideline'!$A$54:$A$269=$B118)*
      ('Tools &amp; Targets_Guideline'!$B$54:$B$269="C-Section"),
      0
    ),
    MATCH(
      _xludf.IFNA(
        VLOOKUP($D118,{"PH","Provincial Hospital (H2)";"DH","District Hospital (H3)";"RH","Regional / National Hospital (H1)"},2,0),
        $D118
      ),
      'Tools &amp; Targets_Guideline'!$C$53:$I$53,
      0
    )
  ),
0))</f>
        <v/>
      </c>
      <c r="AH118" s="105" t="str">
        <f>IF(A118&lt;&gt;"",COUNTIFS('QA Log'!D:D,A118,'QA Log'!M:M,"QQC",'QA Log'!L:L,"2. Hygiene and Sterilization",'QA Log'!Z:Z,"Approved"),"")</f>
        <v/>
      </c>
      <c r="AI118" s="102"/>
      <c r="AJ118" s="102"/>
      <c r="AK118" s="103" t="str">
        <f t="shared" si="2"/>
        <v/>
      </c>
      <c r="AL118" s="102"/>
      <c r="AM118" s="102"/>
      <c r="AN118" s="102"/>
      <c r="AO118" s="106"/>
      <c r="AP118" s="103"/>
      <c r="AQ118" s="102"/>
      <c r="AR118" s="102"/>
      <c r="AS118" s="102"/>
      <c r="AT118" s="107"/>
      <c r="AU118" s="102" t="str">
        <f t="shared" si="3"/>
        <v/>
      </c>
      <c r="AV118" s="102" t="str">
        <f t="shared" si="4"/>
        <v/>
      </c>
      <c r="AW118" s="102" t="str">
        <f t="shared" si="5"/>
        <v/>
      </c>
      <c r="AX118" s="102" t="str">
        <f t="shared" si="6"/>
        <v/>
      </c>
      <c r="AY118" s="107" t="str">
        <f t="shared" si="7"/>
        <v/>
      </c>
      <c r="AZ118" s="108" t="str">
        <f t="shared" si="8"/>
        <v/>
      </c>
      <c r="BA118" s="108" t="str">
        <f t="shared" si="9"/>
        <v/>
      </c>
      <c r="BB118" s="109" t="str">
        <f t="shared" si="10"/>
        <v/>
      </c>
      <c r="BC118" s="108" t="str">
        <f t="shared" si="11"/>
        <v/>
      </c>
      <c r="BD118" s="108" t="str">
        <f t="shared" si="12"/>
        <v/>
      </c>
      <c r="BE118" s="109" t="str">
        <f t="shared" si="13"/>
        <v/>
      </c>
      <c r="BF118" s="110" t="str">
        <f t="shared" si="14"/>
        <v/>
      </c>
      <c r="BG118" s="111"/>
    </row>
    <row r="119" spans="1:59" ht="12.75">
      <c r="A119" s="101"/>
      <c r="B119" s="102"/>
      <c r="C119" s="102" t="e">
        <f t="array" aca="1" ref="C119" ca="1">_xludf.XLOOKUP(A119,'QA Log'!D:D,'QA Log'!F:F,"")</f>
        <v>#NAME?</v>
      </c>
      <c r="D119" s="102"/>
      <c r="E119" s="102" t="e">
        <f t="array" aca="1" ref="E119" ca="1">_xludf.XLOOKUP(A119,'QA Log'!D:D,'QA Log'!G:G,"")</f>
        <v>#NAME?</v>
      </c>
      <c r="F119" s="103"/>
      <c r="G119" s="104"/>
      <c r="H119" s="104"/>
      <c r="I119" s="103" t="str">
        <f t="shared" si="0"/>
        <v/>
      </c>
      <c r="J119" s="102"/>
      <c r="K119" s="102"/>
      <c r="L119" s="119" t="str">
        <f t="array" ref="L119">IF(OR($B119="",$D119=""),"",
IFERROR(
  INDEX(
    'Tools &amp; Targets_Guideline'!$C$54:$I$269,
    MATCH(
      1,
      ('Tools &amp; Targets_Guideline'!$A$54:$A$269=$B119)*
      ('Tools &amp; Targets_Guideline'!$B$54:$B$269="ANC"),
      0
    ),
    MATCH(
      _xludf.IFNA(
        VLOOKUP($D119,{"PH","Provincial Hospital (H2)";"DH","District Hospital (H3)";"RH","Regional / National Hospital (H1)"},2,0),
        $D119
      ),
      'Tools &amp; Targets_Guideline'!$C$53:$I$53,
      0
    )
  ),
0))</f>
        <v/>
      </c>
      <c r="M119" s="105"/>
      <c r="N119" s="119" t="str">
        <f t="array" ref="N119">IF(OR($B119="",$D119=""),"",
IFERROR(
  INDEX(
    'Tools &amp; Targets_Guideline'!$C$54:$I$269,
    MATCH(
      1,
      ('Tools &amp; Targets_Guideline'!$A$54:$A$269=$B119)*
      ('Tools &amp; Targets_Guideline'!$B$54:$B$269="PNC"),
      0
    ),
    MATCH(
      _xludf.IFNA(
        VLOOKUP($D119,{"PH","Provincial Hospital (H2)";"DH","District Hospital (H3)";"RH","Regional / National Hospital (H1)"},2,0),
        $D119
      ),
      'Tools &amp; Targets_Guideline'!$C$53:$I$53,
      0
    )
  ),
0))</f>
        <v/>
      </c>
      <c r="O119" s="105"/>
      <c r="P119" s="119" t="str">
        <f t="array" ref="P119">IF(OR($B119="",$D119=""),"",
IFERROR(
  INDEX(
    'Tools &amp; Targets_Guideline'!$C$54:$I$269,
    MATCH(
      1,
      ('Tools &amp; Targets_Guideline'!$A$54:$A$269=$B119)*
      ('Tools &amp; Targets_Guideline'!$B$54:$B$269="Delivery"),
      0
    ),
    MATCH(
      _xludf.IFNA(
        VLOOKUP($D119,{"PH","Provincial Hospital (H2)";"DH","District Hospital (H3)";"RH","Regional / National Hospital (H1)"},2,0),
        $D119
      ),
      'Tools &amp; Targets_Guideline'!$C$53:$I$53,
      0
    )
  ),
0))</f>
        <v/>
      </c>
      <c r="Q119" s="105"/>
      <c r="R119" s="119" t="str">
        <f t="array" ref="R119">IF(OR($B119="",$D119=""),"",
IFERROR(
  INDEX(
    'Tools &amp; Targets_Guideline'!$C$54:$I$269,
    MATCH(
      1,
      ('Tools &amp; Targets_Guideline'!$A$54:$A$269=$B119)*
      ('Tools &amp; Targets_Guideline'!$B$54:$B$269="TT"),
      0
    ),
    MATCH(
      _xludf.IFNA(
        VLOOKUP($D119,{"PH","Provincial Hospital (H2)";"DH","District Hospital (H3)";"RH","Regional / National Hospital (H1)"},2,0),
        $D119
      ),
      'Tools &amp; Targets_Guideline'!$C$53:$I$53,
      0
    )
  ),
0))</f>
        <v/>
      </c>
      <c r="S119" s="105"/>
      <c r="T119" s="102"/>
      <c r="U119" s="106"/>
      <c r="V119" s="102" t="str">
        <f t="shared" si="1"/>
        <v/>
      </c>
      <c r="W119" s="102"/>
      <c r="X119" s="102"/>
      <c r="Y119" s="119" t="str">
        <f t="array" ref="Y119">IF(OR($B119="",$D119=""),"",
IFERROR(
  INDEX(
    'Tools &amp; Targets_Guideline'!$C$54:$I$269,
    MATCH(
      1,
      ('Tools &amp; Targets_Guideline'!$A$54:$A$269=$B119)*
      ('Tools &amp; Targets_Guideline'!$B$54:$B$269="GM"),
      0
    ),
    MATCH(
      _xludf.IFNA(
        VLOOKUP($D119,{"PH","Provincial Hospital (H2)";"DH","District Hospital (H3)";"RH","Regional / National Hospital (H1)"},2,0),
        $D119
      ),
      'Tools &amp; Targets_Guideline'!$C$53:$I$53,
      0
    )
  ),
0))</f>
        <v/>
      </c>
      <c r="Z119" s="105"/>
      <c r="AA119" s="119" t="str">
        <f t="array" ref="AA119">IF(OR($B119="",$D119=""),"",
IFERROR(
  INDEX(
    'Tools &amp; Targets_Guideline'!$C$54:$I$269,
    MATCH(
      1,
      ('Tools &amp; Targets_Guideline'!$A$54:$A$269=$B119)*
      ('Tools &amp; Targets_Guideline'!$B$54:$B$269="Penta"),
      0
    ),
    MATCH(
      _xludf.IFNA(
        VLOOKUP($D119,{"PH","Provincial Hospital (H2)";"DH","District Hospital (H3)";"RH","Regional / National Hospital (H1)"},2,0),
        $D119
      ),
      'Tools &amp; Targets_Guideline'!$C$53:$I$53,
      0
    )
  ),
0))</f>
        <v/>
      </c>
      <c r="AB119" s="105"/>
      <c r="AC119" s="119" t="str">
        <f t="array" ref="AC119">IF(OR($B119="",$D119=""),"",
IFERROR(
  INDEX(
    'Tools &amp; Targets_Guideline'!$C$54:$I$269,
    MATCH(
      1,
      ('Tools &amp; Targets_Guideline'!$A$54:$A$269=$B119)*
      ('Tools &amp; Targets_Guideline'!$B$54:$B$269="TB"),
      0
    ),
    MATCH(
      _xludf.IFNA(
        VLOOKUP($D119,{"PH","Provincial Hospital (H2)";"DH","District Hospital (H3)";"RH","Regional / National Hospital (H1)"},2,0),
        $D119
      ),
      'Tools &amp; Targets_Guideline'!$C$53:$I$53,
      0
    )
  ),
0))</f>
        <v/>
      </c>
      <c r="AD119" s="105"/>
      <c r="AE119" s="119" t="str">
        <f t="array" ref="AE119">IF(OR($B119="",$D119=""),"",
IFERROR(
  INDEX(
    'Tools &amp; Targets_Guideline'!$C$54:$I$269,
    MATCH(
      1,
      ('Tools &amp; Targets_Guideline'!$A$54:$A$269=$B119)*
      ('Tools &amp; Targets_Guideline'!$B$54:$B$269="U5 Morbidity"),
      0
    ),
    MATCH(
      _xludf.IFNA(
        VLOOKUP($D119,{"PH","Provincial Hospital (H2)";"DH","District Hospital (H3)";"RH","Regional / National Hospital (H1)"},2,0),
        $D119
      ),
      'Tools &amp; Targets_Guideline'!$C$53:$I$53,
      0
    )
  ),
0))</f>
        <v/>
      </c>
      <c r="AF119" s="105"/>
      <c r="AG119" s="119" t="str">
        <f t="array" ref="AG119">IF(OR($B119="",$D119=""),"",
IFERROR(
  INDEX(
    'Tools &amp; Targets_Guideline'!$C$54:$I$269,
    MATCH(
      1,
      ('Tools &amp; Targets_Guideline'!$A$54:$A$269=$B119)*
      ('Tools &amp; Targets_Guideline'!$B$54:$B$269="C-Section"),
      0
    ),
    MATCH(
      _xludf.IFNA(
        VLOOKUP($D119,{"PH","Provincial Hospital (H2)";"DH","District Hospital (H3)";"RH","Regional / National Hospital (H1)"},2,0),
        $D119
      ),
      'Tools &amp; Targets_Guideline'!$C$53:$I$53,
      0
    )
  ),
0))</f>
        <v/>
      </c>
      <c r="AH119" s="105" t="str">
        <f>IF(A119&lt;&gt;"",COUNTIFS('QA Log'!D:D,A119,'QA Log'!M:M,"QQC",'QA Log'!L:L,"2. Hygiene and Sterilization",'QA Log'!Z:Z,"Approved"),"")</f>
        <v/>
      </c>
      <c r="AI119" s="102"/>
      <c r="AJ119" s="102"/>
      <c r="AK119" s="103" t="str">
        <f t="shared" si="2"/>
        <v/>
      </c>
      <c r="AL119" s="102"/>
      <c r="AM119" s="102"/>
      <c r="AN119" s="102"/>
      <c r="AO119" s="106"/>
      <c r="AP119" s="103"/>
      <c r="AQ119" s="102"/>
      <c r="AR119" s="102"/>
      <c r="AS119" s="102"/>
      <c r="AT119" s="107"/>
      <c r="AU119" s="102" t="str">
        <f t="shared" si="3"/>
        <v/>
      </c>
      <c r="AV119" s="102" t="str">
        <f t="shared" si="4"/>
        <v/>
      </c>
      <c r="AW119" s="102" t="str">
        <f t="shared" si="5"/>
        <v/>
      </c>
      <c r="AX119" s="102" t="str">
        <f t="shared" si="6"/>
        <v/>
      </c>
      <c r="AY119" s="107" t="str">
        <f t="shared" si="7"/>
        <v/>
      </c>
      <c r="AZ119" s="108" t="str">
        <f t="shared" si="8"/>
        <v/>
      </c>
      <c r="BA119" s="108" t="str">
        <f t="shared" si="9"/>
        <v/>
      </c>
      <c r="BB119" s="109" t="str">
        <f t="shared" si="10"/>
        <v/>
      </c>
      <c r="BC119" s="108" t="str">
        <f t="shared" si="11"/>
        <v/>
      </c>
      <c r="BD119" s="108" t="str">
        <f t="shared" si="12"/>
        <v/>
      </c>
      <c r="BE119" s="109" t="str">
        <f t="shared" si="13"/>
        <v/>
      </c>
      <c r="BF119" s="110" t="str">
        <f t="shared" si="14"/>
        <v/>
      </c>
      <c r="BG119" s="111"/>
    </row>
    <row r="120" spans="1:59" ht="12.75">
      <c r="A120" s="101"/>
      <c r="B120" s="102"/>
      <c r="C120" s="102" t="e">
        <f t="array" aca="1" ref="C120" ca="1">_xludf.XLOOKUP(A120,'QA Log'!D:D,'QA Log'!F:F,"")</f>
        <v>#NAME?</v>
      </c>
      <c r="D120" s="102"/>
      <c r="E120" s="102" t="e">
        <f t="array" aca="1" ref="E120" ca="1">_xludf.XLOOKUP(A120,'QA Log'!D:D,'QA Log'!G:G,"")</f>
        <v>#NAME?</v>
      </c>
      <c r="F120" s="103"/>
      <c r="G120" s="104"/>
      <c r="H120" s="104"/>
      <c r="I120" s="103" t="str">
        <f t="shared" si="0"/>
        <v/>
      </c>
      <c r="J120" s="102"/>
      <c r="K120" s="102"/>
      <c r="L120" s="119" t="str">
        <f t="array" ref="L120">IF(OR($B120="",$D120=""),"",
IFERROR(
  INDEX(
    'Tools &amp; Targets_Guideline'!$C$54:$I$269,
    MATCH(
      1,
      ('Tools &amp; Targets_Guideline'!$A$54:$A$269=$B120)*
      ('Tools &amp; Targets_Guideline'!$B$54:$B$269="ANC"),
      0
    ),
    MATCH(
      _xludf.IFNA(
        VLOOKUP($D120,{"PH","Provincial Hospital (H2)";"DH","District Hospital (H3)";"RH","Regional / National Hospital (H1)"},2,0),
        $D120
      ),
      'Tools &amp; Targets_Guideline'!$C$53:$I$53,
      0
    )
  ),
0))</f>
        <v/>
      </c>
      <c r="M120" s="105"/>
      <c r="N120" s="119" t="str">
        <f t="array" ref="N120">IF(OR($B120="",$D120=""),"",
IFERROR(
  INDEX(
    'Tools &amp; Targets_Guideline'!$C$54:$I$269,
    MATCH(
      1,
      ('Tools &amp; Targets_Guideline'!$A$54:$A$269=$B120)*
      ('Tools &amp; Targets_Guideline'!$B$54:$B$269="PNC"),
      0
    ),
    MATCH(
      _xludf.IFNA(
        VLOOKUP($D120,{"PH","Provincial Hospital (H2)";"DH","District Hospital (H3)";"RH","Regional / National Hospital (H1)"},2,0),
        $D120
      ),
      'Tools &amp; Targets_Guideline'!$C$53:$I$53,
      0
    )
  ),
0))</f>
        <v/>
      </c>
      <c r="O120" s="105"/>
      <c r="P120" s="119" t="str">
        <f t="array" ref="P120">IF(OR($B120="",$D120=""),"",
IFERROR(
  INDEX(
    'Tools &amp; Targets_Guideline'!$C$54:$I$269,
    MATCH(
      1,
      ('Tools &amp; Targets_Guideline'!$A$54:$A$269=$B120)*
      ('Tools &amp; Targets_Guideline'!$B$54:$B$269="Delivery"),
      0
    ),
    MATCH(
      _xludf.IFNA(
        VLOOKUP($D120,{"PH","Provincial Hospital (H2)";"DH","District Hospital (H3)";"RH","Regional / National Hospital (H1)"},2,0),
        $D120
      ),
      'Tools &amp; Targets_Guideline'!$C$53:$I$53,
      0
    )
  ),
0))</f>
        <v/>
      </c>
      <c r="Q120" s="105"/>
      <c r="R120" s="119" t="str">
        <f t="array" ref="R120">IF(OR($B120="",$D120=""),"",
IFERROR(
  INDEX(
    'Tools &amp; Targets_Guideline'!$C$54:$I$269,
    MATCH(
      1,
      ('Tools &amp; Targets_Guideline'!$A$54:$A$269=$B120)*
      ('Tools &amp; Targets_Guideline'!$B$54:$B$269="TT"),
      0
    ),
    MATCH(
      _xludf.IFNA(
        VLOOKUP($D120,{"PH","Provincial Hospital (H2)";"DH","District Hospital (H3)";"RH","Regional / National Hospital (H1)"},2,0),
        $D120
      ),
      'Tools &amp; Targets_Guideline'!$C$53:$I$53,
      0
    )
  ),
0))</f>
        <v/>
      </c>
      <c r="S120" s="105"/>
      <c r="T120" s="102"/>
      <c r="U120" s="106"/>
      <c r="V120" s="102" t="str">
        <f t="shared" si="1"/>
        <v/>
      </c>
      <c r="W120" s="102"/>
      <c r="X120" s="102"/>
      <c r="Y120" s="119" t="str">
        <f t="array" ref="Y120">IF(OR($B120="",$D120=""),"",
IFERROR(
  INDEX(
    'Tools &amp; Targets_Guideline'!$C$54:$I$269,
    MATCH(
      1,
      ('Tools &amp; Targets_Guideline'!$A$54:$A$269=$B120)*
      ('Tools &amp; Targets_Guideline'!$B$54:$B$269="GM"),
      0
    ),
    MATCH(
      _xludf.IFNA(
        VLOOKUP($D120,{"PH","Provincial Hospital (H2)";"DH","District Hospital (H3)";"RH","Regional / National Hospital (H1)"},2,0),
        $D120
      ),
      'Tools &amp; Targets_Guideline'!$C$53:$I$53,
      0
    )
  ),
0))</f>
        <v/>
      </c>
      <c r="Z120" s="105"/>
      <c r="AA120" s="119" t="str">
        <f t="array" ref="AA120">IF(OR($B120="",$D120=""),"",
IFERROR(
  INDEX(
    'Tools &amp; Targets_Guideline'!$C$54:$I$269,
    MATCH(
      1,
      ('Tools &amp; Targets_Guideline'!$A$54:$A$269=$B120)*
      ('Tools &amp; Targets_Guideline'!$B$54:$B$269="Penta"),
      0
    ),
    MATCH(
      _xludf.IFNA(
        VLOOKUP($D120,{"PH","Provincial Hospital (H2)";"DH","District Hospital (H3)";"RH","Regional / National Hospital (H1)"},2,0),
        $D120
      ),
      'Tools &amp; Targets_Guideline'!$C$53:$I$53,
      0
    )
  ),
0))</f>
        <v/>
      </c>
      <c r="AB120" s="105"/>
      <c r="AC120" s="119" t="str">
        <f t="array" ref="AC120">IF(OR($B120="",$D120=""),"",
IFERROR(
  INDEX(
    'Tools &amp; Targets_Guideline'!$C$54:$I$269,
    MATCH(
      1,
      ('Tools &amp; Targets_Guideline'!$A$54:$A$269=$B120)*
      ('Tools &amp; Targets_Guideline'!$B$54:$B$269="TB"),
      0
    ),
    MATCH(
      _xludf.IFNA(
        VLOOKUP($D120,{"PH","Provincial Hospital (H2)";"DH","District Hospital (H3)";"RH","Regional / National Hospital (H1)"},2,0),
        $D120
      ),
      'Tools &amp; Targets_Guideline'!$C$53:$I$53,
      0
    )
  ),
0))</f>
        <v/>
      </c>
      <c r="AD120" s="105"/>
      <c r="AE120" s="119" t="str">
        <f t="array" ref="AE120">IF(OR($B120="",$D120=""),"",
IFERROR(
  INDEX(
    'Tools &amp; Targets_Guideline'!$C$54:$I$269,
    MATCH(
      1,
      ('Tools &amp; Targets_Guideline'!$A$54:$A$269=$B120)*
      ('Tools &amp; Targets_Guideline'!$B$54:$B$269="U5 Morbidity"),
      0
    ),
    MATCH(
      _xludf.IFNA(
        VLOOKUP($D120,{"PH","Provincial Hospital (H2)";"DH","District Hospital (H3)";"RH","Regional / National Hospital (H1)"},2,0),
        $D120
      ),
      'Tools &amp; Targets_Guideline'!$C$53:$I$53,
      0
    )
  ),
0))</f>
        <v/>
      </c>
      <c r="AF120" s="105"/>
      <c r="AG120" s="119" t="str">
        <f t="array" ref="AG120">IF(OR($B120="",$D120=""),"",
IFERROR(
  INDEX(
    'Tools &amp; Targets_Guideline'!$C$54:$I$269,
    MATCH(
      1,
      ('Tools &amp; Targets_Guideline'!$A$54:$A$269=$B120)*
      ('Tools &amp; Targets_Guideline'!$B$54:$B$269="C-Section"),
      0
    ),
    MATCH(
      _xludf.IFNA(
        VLOOKUP($D120,{"PH","Provincial Hospital (H2)";"DH","District Hospital (H3)";"RH","Regional / National Hospital (H1)"},2,0),
        $D120
      ),
      'Tools &amp; Targets_Guideline'!$C$53:$I$53,
      0
    )
  ),
0))</f>
        <v/>
      </c>
      <c r="AH120" s="105" t="str">
        <f>IF(A120&lt;&gt;"",COUNTIFS('QA Log'!D:D,A120,'QA Log'!M:M,"QQC",'QA Log'!L:L,"2. Hygiene and Sterilization",'QA Log'!Z:Z,"Approved"),"")</f>
        <v/>
      </c>
      <c r="AI120" s="102"/>
      <c r="AJ120" s="102"/>
      <c r="AK120" s="103" t="str">
        <f t="shared" si="2"/>
        <v/>
      </c>
      <c r="AL120" s="102"/>
      <c r="AM120" s="102"/>
      <c r="AN120" s="102"/>
      <c r="AO120" s="106"/>
      <c r="AP120" s="103"/>
      <c r="AQ120" s="102"/>
      <c r="AR120" s="102"/>
      <c r="AS120" s="102"/>
      <c r="AT120" s="107"/>
      <c r="AU120" s="102" t="str">
        <f t="shared" si="3"/>
        <v/>
      </c>
      <c r="AV120" s="102" t="str">
        <f t="shared" si="4"/>
        <v/>
      </c>
      <c r="AW120" s="102" t="str">
        <f t="shared" si="5"/>
        <v/>
      </c>
      <c r="AX120" s="102" t="str">
        <f t="shared" si="6"/>
        <v/>
      </c>
      <c r="AY120" s="107" t="str">
        <f t="shared" si="7"/>
        <v/>
      </c>
      <c r="AZ120" s="108" t="str">
        <f t="shared" si="8"/>
        <v/>
      </c>
      <c r="BA120" s="108" t="str">
        <f t="shared" si="9"/>
        <v/>
      </c>
      <c r="BB120" s="109" t="str">
        <f t="shared" si="10"/>
        <v/>
      </c>
      <c r="BC120" s="108" t="str">
        <f t="shared" si="11"/>
        <v/>
      </c>
      <c r="BD120" s="108" t="str">
        <f t="shared" si="12"/>
        <v/>
      </c>
      <c r="BE120" s="109" t="str">
        <f t="shared" si="13"/>
        <v/>
      </c>
      <c r="BF120" s="110" t="str">
        <f t="shared" si="14"/>
        <v/>
      </c>
      <c r="BG120" s="111"/>
    </row>
    <row r="121" spans="1:59" ht="12.75">
      <c r="A121" s="101"/>
      <c r="B121" s="102"/>
      <c r="C121" s="102" t="e">
        <f t="array" aca="1" ref="C121" ca="1">_xludf.XLOOKUP(A121,'QA Log'!D:D,'QA Log'!F:F,"")</f>
        <v>#NAME?</v>
      </c>
      <c r="D121" s="102"/>
      <c r="E121" s="102" t="e">
        <f t="array" aca="1" ref="E121" ca="1">_xludf.XLOOKUP(A121,'QA Log'!D:D,'QA Log'!G:G,"")</f>
        <v>#NAME?</v>
      </c>
      <c r="F121" s="103"/>
      <c r="G121" s="104"/>
      <c r="H121" s="104"/>
      <c r="I121" s="103" t="str">
        <f t="shared" si="0"/>
        <v/>
      </c>
      <c r="J121" s="102"/>
      <c r="K121" s="102"/>
      <c r="L121" s="119" t="str">
        <f t="array" ref="L121">IF(OR($B121="",$D121=""),"",
IFERROR(
  INDEX(
    'Tools &amp; Targets_Guideline'!$C$54:$I$269,
    MATCH(
      1,
      ('Tools &amp; Targets_Guideline'!$A$54:$A$269=$B121)*
      ('Tools &amp; Targets_Guideline'!$B$54:$B$269="ANC"),
      0
    ),
    MATCH(
      _xludf.IFNA(
        VLOOKUP($D121,{"PH","Provincial Hospital (H2)";"DH","District Hospital (H3)";"RH","Regional / National Hospital (H1)"},2,0),
        $D121
      ),
      'Tools &amp; Targets_Guideline'!$C$53:$I$53,
      0
    )
  ),
0))</f>
        <v/>
      </c>
      <c r="M121" s="105"/>
      <c r="N121" s="119" t="str">
        <f t="array" ref="N121">IF(OR($B121="",$D121=""),"",
IFERROR(
  INDEX(
    'Tools &amp; Targets_Guideline'!$C$54:$I$269,
    MATCH(
      1,
      ('Tools &amp; Targets_Guideline'!$A$54:$A$269=$B121)*
      ('Tools &amp; Targets_Guideline'!$B$54:$B$269="PNC"),
      0
    ),
    MATCH(
      _xludf.IFNA(
        VLOOKUP($D121,{"PH","Provincial Hospital (H2)";"DH","District Hospital (H3)";"RH","Regional / National Hospital (H1)"},2,0),
        $D121
      ),
      'Tools &amp; Targets_Guideline'!$C$53:$I$53,
      0
    )
  ),
0))</f>
        <v/>
      </c>
      <c r="O121" s="105"/>
      <c r="P121" s="119" t="str">
        <f t="array" ref="P121">IF(OR($B121="",$D121=""),"",
IFERROR(
  INDEX(
    'Tools &amp; Targets_Guideline'!$C$54:$I$269,
    MATCH(
      1,
      ('Tools &amp; Targets_Guideline'!$A$54:$A$269=$B121)*
      ('Tools &amp; Targets_Guideline'!$B$54:$B$269="Delivery"),
      0
    ),
    MATCH(
      _xludf.IFNA(
        VLOOKUP($D121,{"PH","Provincial Hospital (H2)";"DH","District Hospital (H3)";"RH","Regional / National Hospital (H1)"},2,0),
        $D121
      ),
      'Tools &amp; Targets_Guideline'!$C$53:$I$53,
      0
    )
  ),
0))</f>
        <v/>
      </c>
      <c r="Q121" s="105"/>
      <c r="R121" s="119" t="str">
        <f t="array" ref="R121">IF(OR($B121="",$D121=""),"",
IFERROR(
  INDEX(
    'Tools &amp; Targets_Guideline'!$C$54:$I$269,
    MATCH(
      1,
      ('Tools &amp; Targets_Guideline'!$A$54:$A$269=$B121)*
      ('Tools &amp; Targets_Guideline'!$B$54:$B$269="TT"),
      0
    ),
    MATCH(
      _xludf.IFNA(
        VLOOKUP($D121,{"PH","Provincial Hospital (H2)";"DH","District Hospital (H3)";"RH","Regional / National Hospital (H1)"},2,0),
        $D121
      ),
      'Tools &amp; Targets_Guideline'!$C$53:$I$53,
      0
    )
  ),
0))</f>
        <v/>
      </c>
      <c r="S121" s="105"/>
      <c r="T121" s="102"/>
      <c r="U121" s="106"/>
      <c r="V121" s="102" t="str">
        <f t="shared" si="1"/>
        <v/>
      </c>
      <c r="W121" s="102"/>
      <c r="X121" s="102"/>
      <c r="Y121" s="119" t="str">
        <f t="array" ref="Y121">IF(OR($B121="",$D121=""),"",
IFERROR(
  INDEX(
    'Tools &amp; Targets_Guideline'!$C$54:$I$269,
    MATCH(
      1,
      ('Tools &amp; Targets_Guideline'!$A$54:$A$269=$B121)*
      ('Tools &amp; Targets_Guideline'!$B$54:$B$269="GM"),
      0
    ),
    MATCH(
      _xludf.IFNA(
        VLOOKUP($D121,{"PH","Provincial Hospital (H2)";"DH","District Hospital (H3)";"RH","Regional / National Hospital (H1)"},2,0),
        $D121
      ),
      'Tools &amp; Targets_Guideline'!$C$53:$I$53,
      0
    )
  ),
0))</f>
        <v/>
      </c>
      <c r="Z121" s="105"/>
      <c r="AA121" s="119" t="str">
        <f t="array" ref="AA121">IF(OR($B121="",$D121=""),"",
IFERROR(
  INDEX(
    'Tools &amp; Targets_Guideline'!$C$54:$I$269,
    MATCH(
      1,
      ('Tools &amp; Targets_Guideline'!$A$54:$A$269=$B121)*
      ('Tools &amp; Targets_Guideline'!$B$54:$B$269="Penta"),
      0
    ),
    MATCH(
      _xludf.IFNA(
        VLOOKUP($D121,{"PH","Provincial Hospital (H2)";"DH","District Hospital (H3)";"RH","Regional / National Hospital (H1)"},2,0),
        $D121
      ),
      'Tools &amp; Targets_Guideline'!$C$53:$I$53,
      0
    )
  ),
0))</f>
        <v/>
      </c>
      <c r="AB121" s="105"/>
      <c r="AC121" s="119" t="str">
        <f t="array" ref="AC121">IF(OR($B121="",$D121=""),"",
IFERROR(
  INDEX(
    'Tools &amp; Targets_Guideline'!$C$54:$I$269,
    MATCH(
      1,
      ('Tools &amp; Targets_Guideline'!$A$54:$A$269=$B121)*
      ('Tools &amp; Targets_Guideline'!$B$54:$B$269="TB"),
      0
    ),
    MATCH(
      _xludf.IFNA(
        VLOOKUP($D121,{"PH","Provincial Hospital (H2)";"DH","District Hospital (H3)";"RH","Regional / National Hospital (H1)"},2,0),
        $D121
      ),
      'Tools &amp; Targets_Guideline'!$C$53:$I$53,
      0
    )
  ),
0))</f>
        <v/>
      </c>
      <c r="AD121" s="105"/>
      <c r="AE121" s="119" t="str">
        <f t="array" ref="AE121">IF(OR($B121="",$D121=""),"",
IFERROR(
  INDEX(
    'Tools &amp; Targets_Guideline'!$C$54:$I$269,
    MATCH(
      1,
      ('Tools &amp; Targets_Guideline'!$A$54:$A$269=$B121)*
      ('Tools &amp; Targets_Guideline'!$B$54:$B$269="U5 Morbidity"),
      0
    ),
    MATCH(
      _xludf.IFNA(
        VLOOKUP($D121,{"PH","Provincial Hospital (H2)";"DH","District Hospital (H3)";"RH","Regional / National Hospital (H1)"},2,0),
        $D121
      ),
      'Tools &amp; Targets_Guideline'!$C$53:$I$53,
      0
    )
  ),
0))</f>
        <v/>
      </c>
      <c r="AF121" s="105"/>
      <c r="AG121" s="119" t="str">
        <f t="array" ref="AG121">IF(OR($B121="",$D121=""),"",
IFERROR(
  INDEX(
    'Tools &amp; Targets_Guideline'!$C$54:$I$269,
    MATCH(
      1,
      ('Tools &amp; Targets_Guideline'!$A$54:$A$269=$B121)*
      ('Tools &amp; Targets_Guideline'!$B$54:$B$269="C-Section"),
      0
    ),
    MATCH(
      _xludf.IFNA(
        VLOOKUP($D121,{"PH","Provincial Hospital (H2)";"DH","District Hospital (H3)";"RH","Regional / National Hospital (H1)"},2,0),
        $D121
      ),
      'Tools &amp; Targets_Guideline'!$C$53:$I$53,
      0
    )
  ),
0))</f>
        <v/>
      </c>
      <c r="AH121" s="105" t="str">
        <f>IF(A121&lt;&gt;"",COUNTIFS('QA Log'!D:D,A121,'QA Log'!M:M,"QQC",'QA Log'!L:L,"2. Hygiene and Sterilization",'QA Log'!Z:Z,"Approved"),"")</f>
        <v/>
      </c>
      <c r="AI121" s="102"/>
      <c r="AJ121" s="102"/>
      <c r="AK121" s="103" t="str">
        <f t="shared" si="2"/>
        <v/>
      </c>
      <c r="AL121" s="102"/>
      <c r="AM121" s="102"/>
      <c r="AN121" s="102"/>
      <c r="AO121" s="106"/>
      <c r="AP121" s="103"/>
      <c r="AQ121" s="102"/>
      <c r="AR121" s="102"/>
      <c r="AS121" s="102"/>
      <c r="AT121" s="107"/>
      <c r="AU121" s="102" t="str">
        <f t="shared" si="3"/>
        <v/>
      </c>
      <c r="AV121" s="102" t="str">
        <f t="shared" si="4"/>
        <v/>
      </c>
      <c r="AW121" s="102" t="str">
        <f t="shared" si="5"/>
        <v/>
      </c>
      <c r="AX121" s="102" t="str">
        <f t="shared" si="6"/>
        <v/>
      </c>
      <c r="AY121" s="107" t="str">
        <f t="shared" si="7"/>
        <v/>
      </c>
      <c r="AZ121" s="108" t="str">
        <f t="shared" si="8"/>
        <v/>
      </c>
      <c r="BA121" s="108" t="str">
        <f t="shared" si="9"/>
        <v/>
      </c>
      <c r="BB121" s="109" t="str">
        <f t="shared" si="10"/>
        <v/>
      </c>
      <c r="BC121" s="108" t="str">
        <f t="shared" si="11"/>
        <v/>
      </c>
      <c r="BD121" s="108" t="str">
        <f t="shared" si="12"/>
        <v/>
      </c>
      <c r="BE121" s="109" t="str">
        <f t="shared" si="13"/>
        <v/>
      </c>
      <c r="BF121" s="110" t="str">
        <f t="shared" si="14"/>
        <v/>
      </c>
      <c r="BG121" s="111"/>
    </row>
    <row r="122" spans="1:59" ht="12.75">
      <c r="A122" s="101"/>
      <c r="B122" s="102"/>
      <c r="C122" s="102" t="e">
        <f t="array" aca="1" ref="C122" ca="1">_xludf.XLOOKUP(A122,'QA Log'!D:D,'QA Log'!F:F,"")</f>
        <v>#NAME?</v>
      </c>
      <c r="D122" s="102"/>
      <c r="E122" s="102" t="e">
        <f t="array" aca="1" ref="E122" ca="1">_xludf.XLOOKUP(A122,'QA Log'!D:D,'QA Log'!G:G,"")</f>
        <v>#NAME?</v>
      </c>
      <c r="F122" s="103"/>
      <c r="G122" s="104"/>
      <c r="H122" s="104"/>
      <c r="I122" s="103" t="str">
        <f t="shared" si="0"/>
        <v/>
      </c>
      <c r="J122" s="102"/>
      <c r="K122" s="102"/>
      <c r="L122" s="119" t="str">
        <f t="array" ref="L122">IF(OR($B122="",$D122=""),"",
IFERROR(
  INDEX(
    'Tools &amp; Targets_Guideline'!$C$54:$I$269,
    MATCH(
      1,
      ('Tools &amp; Targets_Guideline'!$A$54:$A$269=$B122)*
      ('Tools &amp; Targets_Guideline'!$B$54:$B$269="ANC"),
      0
    ),
    MATCH(
      _xludf.IFNA(
        VLOOKUP($D122,{"PH","Provincial Hospital (H2)";"DH","District Hospital (H3)";"RH","Regional / National Hospital (H1)"},2,0),
        $D122
      ),
      'Tools &amp; Targets_Guideline'!$C$53:$I$53,
      0
    )
  ),
0))</f>
        <v/>
      </c>
      <c r="M122" s="105"/>
      <c r="N122" s="119" t="str">
        <f t="array" ref="N122">IF(OR($B122="",$D122=""),"",
IFERROR(
  INDEX(
    'Tools &amp; Targets_Guideline'!$C$54:$I$269,
    MATCH(
      1,
      ('Tools &amp; Targets_Guideline'!$A$54:$A$269=$B122)*
      ('Tools &amp; Targets_Guideline'!$B$54:$B$269="PNC"),
      0
    ),
    MATCH(
      _xludf.IFNA(
        VLOOKUP($D122,{"PH","Provincial Hospital (H2)";"DH","District Hospital (H3)";"RH","Regional / National Hospital (H1)"},2,0),
        $D122
      ),
      'Tools &amp; Targets_Guideline'!$C$53:$I$53,
      0
    )
  ),
0))</f>
        <v/>
      </c>
      <c r="O122" s="105"/>
      <c r="P122" s="119" t="str">
        <f t="array" ref="P122">IF(OR($B122="",$D122=""),"",
IFERROR(
  INDEX(
    'Tools &amp; Targets_Guideline'!$C$54:$I$269,
    MATCH(
      1,
      ('Tools &amp; Targets_Guideline'!$A$54:$A$269=$B122)*
      ('Tools &amp; Targets_Guideline'!$B$54:$B$269="Delivery"),
      0
    ),
    MATCH(
      _xludf.IFNA(
        VLOOKUP($D122,{"PH","Provincial Hospital (H2)";"DH","District Hospital (H3)";"RH","Regional / National Hospital (H1)"},2,0),
        $D122
      ),
      'Tools &amp; Targets_Guideline'!$C$53:$I$53,
      0
    )
  ),
0))</f>
        <v/>
      </c>
      <c r="Q122" s="105"/>
      <c r="R122" s="119" t="str">
        <f t="array" ref="R122">IF(OR($B122="",$D122=""),"",
IFERROR(
  INDEX(
    'Tools &amp; Targets_Guideline'!$C$54:$I$269,
    MATCH(
      1,
      ('Tools &amp; Targets_Guideline'!$A$54:$A$269=$B122)*
      ('Tools &amp; Targets_Guideline'!$B$54:$B$269="TT"),
      0
    ),
    MATCH(
      _xludf.IFNA(
        VLOOKUP($D122,{"PH","Provincial Hospital (H2)";"DH","District Hospital (H3)";"RH","Regional / National Hospital (H1)"},2,0),
        $D122
      ),
      'Tools &amp; Targets_Guideline'!$C$53:$I$53,
      0
    )
  ),
0))</f>
        <v/>
      </c>
      <c r="S122" s="105"/>
      <c r="T122" s="102"/>
      <c r="U122" s="106"/>
      <c r="V122" s="102" t="str">
        <f t="shared" si="1"/>
        <v/>
      </c>
      <c r="W122" s="102"/>
      <c r="X122" s="102"/>
      <c r="Y122" s="119" t="str">
        <f t="array" ref="Y122">IF(OR($B122="",$D122=""),"",
IFERROR(
  INDEX(
    'Tools &amp; Targets_Guideline'!$C$54:$I$269,
    MATCH(
      1,
      ('Tools &amp; Targets_Guideline'!$A$54:$A$269=$B122)*
      ('Tools &amp; Targets_Guideline'!$B$54:$B$269="GM"),
      0
    ),
    MATCH(
      _xludf.IFNA(
        VLOOKUP($D122,{"PH","Provincial Hospital (H2)";"DH","District Hospital (H3)";"RH","Regional / National Hospital (H1)"},2,0),
        $D122
      ),
      'Tools &amp; Targets_Guideline'!$C$53:$I$53,
      0
    )
  ),
0))</f>
        <v/>
      </c>
      <c r="Z122" s="105"/>
      <c r="AA122" s="119" t="str">
        <f t="array" ref="AA122">IF(OR($B122="",$D122=""),"",
IFERROR(
  INDEX(
    'Tools &amp; Targets_Guideline'!$C$54:$I$269,
    MATCH(
      1,
      ('Tools &amp; Targets_Guideline'!$A$54:$A$269=$B122)*
      ('Tools &amp; Targets_Guideline'!$B$54:$B$269="Penta"),
      0
    ),
    MATCH(
      _xludf.IFNA(
        VLOOKUP($D122,{"PH","Provincial Hospital (H2)";"DH","District Hospital (H3)";"RH","Regional / National Hospital (H1)"},2,0),
        $D122
      ),
      'Tools &amp; Targets_Guideline'!$C$53:$I$53,
      0
    )
  ),
0))</f>
        <v/>
      </c>
      <c r="AB122" s="105"/>
      <c r="AC122" s="119" t="str">
        <f t="array" ref="AC122">IF(OR($B122="",$D122=""),"",
IFERROR(
  INDEX(
    'Tools &amp; Targets_Guideline'!$C$54:$I$269,
    MATCH(
      1,
      ('Tools &amp; Targets_Guideline'!$A$54:$A$269=$B122)*
      ('Tools &amp; Targets_Guideline'!$B$54:$B$269="TB"),
      0
    ),
    MATCH(
      _xludf.IFNA(
        VLOOKUP($D122,{"PH","Provincial Hospital (H2)";"DH","District Hospital (H3)";"RH","Regional / National Hospital (H1)"},2,0),
        $D122
      ),
      'Tools &amp; Targets_Guideline'!$C$53:$I$53,
      0
    )
  ),
0))</f>
        <v/>
      </c>
      <c r="AD122" s="105"/>
      <c r="AE122" s="119" t="str">
        <f t="array" ref="AE122">IF(OR($B122="",$D122=""),"",
IFERROR(
  INDEX(
    'Tools &amp; Targets_Guideline'!$C$54:$I$269,
    MATCH(
      1,
      ('Tools &amp; Targets_Guideline'!$A$54:$A$269=$B122)*
      ('Tools &amp; Targets_Guideline'!$B$54:$B$269="U5 Morbidity"),
      0
    ),
    MATCH(
      _xludf.IFNA(
        VLOOKUP($D122,{"PH","Provincial Hospital (H2)";"DH","District Hospital (H3)";"RH","Regional / National Hospital (H1)"},2,0),
        $D122
      ),
      'Tools &amp; Targets_Guideline'!$C$53:$I$53,
      0
    )
  ),
0))</f>
        <v/>
      </c>
      <c r="AF122" s="105"/>
      <c r="AG122" s="119" t="str">
        <f t="array" ref="AG122">IF(OR($B122="",$D122=""),"",
IFERROR(
  INDEX(
    'Tools &amp; Targets_Guideline'!$C$54:$I$269,
    MATCH(
      1,
      ('Tools &amp; Targets_Guideline'!$A$54:$A$269=$B122)*
      ('Tools &amp; Targets_Guideline'!$B$54:$B$269="C-Section"),
      0
    ),
    MATCH(
      _xludf.IFNA(
        VLOOKUP($D122,{"PH","Provincial Hospital (H2)";"DH","District Hospital (H3)";"RH","Regional / National Hospital (H1)"},2,0),
        $D122
      ),
      'Tools &amp; Targets_Guideline'!$C$53:$I$53,
      0
    )
  ),
0))</f>
        <v/>
      </c>
      <c r="AH122" s="105" t="str">
        <f>IF(A122&lt;&gt;"",COUNTIFS('QA Log'!D:D,A122,'QA Log'!M:M,"QQC",'QA Log'!L:L,"2. Hygiene and Sterilization",'QA Log'!Z:Z,"Approved"),"")</f>
        <v/>
      </c>
      <c r="AI122" s="102"/>
      <c r="AJ122" s="102"/>
      <c r="AK122" s="103" t="str">
        <f t="shared" si="2"/>
        <v/>
      </c>
      <c r="AL122" s="102"/>
      <c r="AM122" s="102"/>
      <c r="AN122" s="102"/>
      <c r="AO122" s="106"/>
      <c r="AP122" s="103"/>
      <c r="AQ122" s="102"/>
      <c r="AR122" s="102"/>
      <c r="AS122" s="102"/>
      <c r="AT122" s="107"/>
      <c r="AU122" s="102" t="str">
        <f t="shared" si="3"/>
        <v/>
      </c>
      <c r="AV122" s="102" t="str">
        <f t="shared" si="4"/>
        <v/>
      </c>
      <c r="AW122" s="102" t="str">
        <f t="shared" si="5"/>
        <v/>
      </c>
      <c r="AX122" s="102" t="str">
        <f t="shared" si="6"/>
        <v/>
      </c>
      <c r="AY122" s="107" t="str">
        <f t="shared" si="7"/>
        <v/>
      </c>
      <c r="AZ122" s="108" t="str">
        <f t="shared" si="8"/>
        <v/>
      </c>
      <c r="BA122" s="108" t="str">
        <f t="shared" si="9"/>
        <v/>
      </c>
      <c r="BB122" s="109" t="str">
        <f t="shared" si="10"/>
        <v/>
      </c>
      <c r="BC122" s="108" t="str">
        <f t="shared" si="11"/>
        <v/>
      </c>
      <c r="BD122" s="108" t="str">
        <f t="shared" si="12"/>
        <v/>
      </c>
      <c r="BE122" s="109" t="str">
        <f t="shared" si="13"/>
        <v/>
      </c>
      <c r="BF122" s="110" t="str">
        <f t="shared" si="14"/>
        <v/>
      </c>
      <c r="BG122" s="111"/>
    </row>
    <row r="123" spans="1:59" ht="12.75">
      <c r="A123" s="101"/>
      <c r="B123" s="102"/>
      <c r="C123" s="102" t="e">
        <f t="array" aca="1" ref="C123" ca="1">_xludf.XLOOKUP(A123,'QA Log'!D:D,'QA Log'!F:F,"")</f>
        <v>#NAME?</v>
      </c>
      <c r="D123" s="102"/>
      <c r="E123" s="102" t="e">
        <f t="array" aca="1" ref="E123" ca="1">_xludf.XLOOKUP(A123,'QA Log'!D:D,'QA Log'!G:G,"")</f>
        <v>#NAME?</v>
      </c>
      <c r="F123" s="103"/>
      <c r="G123" s="104"/>
      <c r="H123" s="104"/>
      <c r="I123" s="103" t="str">
        <f t="shared" si="0"/>
        <v/>
      </c>
      <c r="J123" s="102"/>
      <c r="K123" s="102"/>
      <c r="L123" s="119" t="str">
        <f t="array" ref="L123">IF(OR($B123="",$D123=""),"",
IFERROR(
  INDEX(
    'Tools &amp; Targets_Guideline'!$C$54:$I$269,
    MATCH(
      1,
      ('Tools &amp; Targets_Guideline'!$A$54:$A$269=$B123)*
      ('Tools &amp; Targets_Guideline'!$B$54:$B$269="ANC"),
      0
    ),
    MATCH(
      _xludf.IFNA(
        VLOOKUP($D123,{"PH","Provincial Hospital (H2)";"DH","District Hospital (H3)";"RH","Regional / National Hospital (H1)"},2,0),
        $D123
      ),
      'Tools &amp; Targets_Guideline'!$C$53:$I$53,
      0
    )
  ),
0))</f>
        <v/>
      </c>
      <c r="M123" s="105"/>
      <c r="N123" s="119" t="str">
        <f t="array" ref="N123">IF(OR($B123="",$D123=""),"",
IFERROR(
  INDEX(
    'Tools &amp; Targets_Guideline'!$C$54:$I$269,
    MATCH(
      1,
      ('Tools &amp; Targets_Guideline'!$A$54:$A$269=$B123)*
      ('Tools &amp; Targets_Guideline'!$B$54:$B$269="PNC"),
      0
    ),
    MATCH(
      _xludf.IFNA(
        VLOOKUP($D123,{"PH","Provincial Hospital (H2)";"DH","District Hospital (H3)";"RH","Regional / National Hospital (H1)"},2,0),
        $D123
      ),
      'Tools &amp; Targets_Guideline'!$C$53:$I$53,
      0
    )
  ),
0))</f>
        <v/>
      </c>
      <c r="O123" s="105"/>
      <c r="P123" s="119" t="str">
        <f t="array" ref="P123">IF(OR($B123="",$D123=""),"",
IFERROR(
  INDEX(
    'Tools &amp; Targets_Guideline'!$C$54:$I$269,
    MATCH(
      1,
      ('Tools &amp; Targets_Guideline'!$A$54:$A$269=$B123)*
      ('Tools &amp; Targets_Guideline'!$B$54:$B$269="Delivery"),
      0
    ),
    MATCH(
      _xludf.IFNA(
        VLOOKUP($D123,{"PH","Provincial Hospital (H2)";"DH","District Hospital (H3)";"RH","Regional / National Hospital (H1)"},2,0),
        $D123
      ),
      'Tools &amp; Targets_Guideline'!$C$53:$I$53,
      0
    )
  ),
0))</f>
        <v/>
      </c>
      <c r="Q123" s="105"/>
      <c r="R123" s="119" t="str">
        <f t="array" ref="R123">IF(OR($B123="",$D123=""),"",
IFERROR(
  INDEX(
    'Tools &amp; Targets_Guideline'!$C$54:$I$269,
    MATCH(
      1,
      ('Tools &amp; Targets_Guideline'!$A$54:$A$269=$B123)*
      ('Tools &amp; Targets_Guideline'!$B$54:$B$269="TT"),
      0
    ),
    MATCH(
      _xludf.IFNA(
        VLOOKUP($D123,{"PH","Provincial Hospital (H2)";"DH","District Hospital (H3)";"RH","Regional / National Hospital (H1)"},2,0),
        $D123
      ),
      'Tools &amp; Targets_Guideline'!$C$53:$I$53,
      0
    )
  ),
0))</f>
        <v/>
      </c>
      <c r="S123" s="105"/>
      <c r="T123" s="102"/>
      <c r="U123" s="106"/>
      <c r="V123" s="102" t="str">
        <f t="shared" si="1"/>
        <v/>
      </c>
      <c r="W123" s="102"/>
      <c r="X123" s="102"/>
      <c r="Y123" s="119" t="str">
        <f t="array" ref="Y123">IF(OR($B123="",$D123=""),"",
IFERROR(
  INDEX(
    'Tools &amp; Targets_Guideline'!$C$54:$I$269,
    MATCH(
      1,
      ('Tools &amp; Targets_Guideline'!$A$54:$A$269=$B123)*
      ('Tools &amp; Targets_Guideline'!$B$54:$B$269="GM"),
      0
    ),
    MATCH(
      _xludf.IFNA(
        VLOOKUP($D123,{"PH","Provincial Hospital (H2)";"DH","District Hospital (H3)";"RH","Regional / National Hospital (H1)"},2,0),
        $D123
      ),
      'Tools &amp; Targets_Guideline'!$C$53:$I$53,
      0
    )
  ),
0))</f>
        <v/>
      </c>
      <c r="Z123" s="105"/>
      <c r="AA123" s="119" t="str">
        <f t="array" ref="AA123">IF(OR($B123="",$D123=""),"",
IFERROR(
  INDEX(
    'Tools &amp; Targets_Guideline'!$C$54:$I$269,
    MATCH(
      1,
      ('Tools &amp; Targets_Guideline'!$A$54:$A$269=$B123)*
      ('Tools &amp; Targets_Guideline'!$B$54:$B$269="Penta"),
      0
    ),
    MATCH(
      _xludf.IFNA(
        VLOOKUP($D123,{"PH","Provincial Hospital (H2)";"DH","District Hospital (H3)";"RH","Regional / National Hospital (H1)"},2,0),
        $D123
      ),
      'Tools &amp; Targets_Guideline'!$C$53:$I$53,
      0
    )
  ),
0))</f>
        <v/>
      </c>
      <c r="AB123" s="105"/>
      <c r="AC123" s="119" t="str">
        <f t="array" ref="AC123">IF(OR($B123="",$D123=""),"",
IFERROR(
  INDEX(
    'Tools &amp; Targets_Guideline'!$C$54:$I$269,
    MATCH(
      1,
      ('Tools &amp; Targets_Guideline'!$A$54:$A$269=$B123)*
      ('Tools &amp; Targets_Guideline'!$B$54:$B$269="TB"),
      0
    ),
    MATCH(
      _xludf.IFNA(
        VLOOKUP($D123,{"PH","Provincial Hospital (H2)";"DH","District Hospital (H3)";"RH","Regional / National Hospital (H1)"},2,0),
        $D123
      ),
      'Tools &amp; Targets_Guideline'!$C$53:$I$53,
      0
    )
  ),
0))</f>
        <v/>
      </c>
      <c r="AD123" s="105"/>
      <c r="AE123" s="119" t="str">
        <f t="array" ref="AE123">IF(OR($B123="",$D123=""),"",
IFERROR(
  INDEX(
    'Tools &amp; Targets_Guideline'!$C$54:$I$269,
    MATCH(
      1,
      ('Tools &amp; Targets_Guideline'!$A$54:$A$269=$B123)*
      ('Tools &amp; Targets_Guideline'!$B$54:$B$269="U5 Morbidity"),
      0
    ),
    MATCH(
      _xludf.IFNA(
        VLOOKUP($D123,{"PH","Provincial Hospital (H2)";"DH","District Hospital (H3)";"RH","Regional / National Hospital (H1)"},2,0),
        $D123
      ),
      'Tools &amp; Targets_Guideline'!$C$53:$I$53,
      0
    )
  ),
0))</f>
        <v/>
      </c>
      <c r="AF123" s="105"/>
      <c r="AG123" s="119" t="str">
        <f t="array" ref="AG123">IF(OR($B123="",$D123=""),"",
IFERROR(
  INDEX(
    'Tools &amp; Targets_Guideline'!$C$54:$I$269,
    MATCH(
      1,
      ('Tools &amp; Targets_Guideline'!$A$54:$A$269=$B123)*
      ('Tools &amp; Targets_Guideline'!$B$54:$B$269="C-Section"),
      0
    ),
    MATCH(
      _xludf.IFNA(
        VLOOKUP($D123,{"PH","Provincial Hospital (H2)";"DH","District Hospital (H3)";"RH","Regional / National Hospital (H1)"},2,0),
        $D123
      ),
      'Tools &amp; Targets_Guideline'!$C$53:$I$53,
      0
    )
  ),
0))</f>
        <v/>
      </c>
      <c r="AH123" s="105" t="str">
        <f>IF(A123&lt;&gt;"",COUNTIFS('QA Log'!D:D,A123,'QA Log'!M:M,"QQC",'QA Log'!L:L,"2. Hygiene and Sterilization",'QA Log'!Z:Z,"Approved"),"")</f>
        <v/>
      </c>
      <c r="AI123" s="102"/>
      <c r="AJ123" s="102"/>
      <c r="AK123" s="103" t="str">
        <f t="shared" si="2"/>
        <v/>
      </c>
      <c r="AL123" s="102"/>
      <c r="AM123" s="102"/>
      <c r="AN123" s="102"/>
      <c r="AO123" s="106"/>
      <c r="AP123" s="103"/>
      <c r="AQ123" s="102"/>
      <c r="AR123" s="102"/>
      <c r="AS123" s="102"/>
      <c r="AT123" s="107"/>
      <c r="AU123" s="102" t="str">
        <f t="shared" si="3"/>
        <v/>
      </c>
      <c r="AV123" s="102" t="str">
        <f t="shared" si="4"/>
        <v/>
      </c>
      <c r="AW123" s="102" t="str">
        <f t="shared" si="5"/>
        <v/>
      </c>
      <c r="AX123" s="102" t="str">
        <f t="shared" si="6"/>
        <v/>
      </c>
      <c r="AY123" s="107" t="str">
        <f t="shared" si="7"/>
        <v/>
      </c>
      <c r="AZ123" s="108" t="str">
        <f t="shared" si="8"/>
        <v/>
      </c>
      <c r="BA123" s="108" t="str">
        <f t="shared" si="9"/>
        <v/>
      </c>
      <c r="BB123" s="109" t="str">
        <f t="shared" si="10"/>
        <v/>
      </c>
      <c r="BC123" s="108" t="str">
        <f t="shared" si="11"/>
        <v/>
      </c>
      <c r="BD123" s="108" t="str">
        <f t="shared" si="12"/>
        <v/>
      </c>
      <c r="BE123" s="109" t="str">
        <f t="shared" si="13"/>
        <v/>
      </c>
      <c r="BF123" s="110" t="str">
        <f t="shared" si="14"/>
        <v/>
      </c>
      <c r="BG123" s="111"/>
    </row>
    <row r="124" spans="1:59" ht="12.75">
      <c r="A124" s="101"/>
      <c r="B124" s="102"/>
      <c r="C124" s="102" t="e">
        <f t="array" aca="1" ref="C124" ca="1">_xludf.XLOOKUP(A124,'QA Log'!D:D,'QA Log'!F:F,"")</f>
        <v>#NAME?</v>
      </c>
      <c r="D124" s="102"/>
      <c r="E124" s="102" t="e">
        <f t="array" aca="1" ref="E124" ca="1">_xludf.XLOOKUP(A124,'QA Log'!D:D,'QA Log'!G:G,"")</f>
        <v>#NAME?</v>
      </c>
      <c r="F124" s="103"/>
      <c r="G124" s="104"/>
      <c r="H124" s="104"/>
      <c r="I124" s="103" t="str">
        <f t="shared" si="0"/>
        <v/>
      </c>
      <c r="J124" s="102"/>
      <c r="K124" s="102"/>
      <c r="L124" s="119" t="str">
        <f t="array" ref="L124">IF(OR($B124="",$D124=""),"",
IFERROR(
  INDEX(
    'Tools &amp; Targets_Guideline'!$C$54:$I$269,
    MATCH(
      1,
      ('Tools &amp; Targets_Guideline'!$A$54:$A$269=$B124)*
      ('Tools &amp; Targets_Guideline'!$B$54:$B$269="ANC"),
      0
    ),
    MATCH(
      _xludf.IFNA(
        VLOOKUP($D124,{"PH","Provincial Hospital (H2)";"DH","District Hospital (H3)";"RH","Regional / National Hospital (H1)"},2,0),
        $D124
      ),
      'Tools &amp; Targets_Guideline'!$C$53:$I$53,
      0
    )
  ),
0))</f>
        <v/>
      </c>
      <c r="M124" s="105"/>
      <c r="N124" s="119" t="str">
        <f t="array" ref="N124">IF(OR($B124="",$D124=""),"",
IFERROR(
  INDEX(
    'Tools &amp; Targets_Guideline'!$C$54:$I$269,
    MATCH(
      1,
      ('Tools &amp; Targets_Guideline'!$A$54:$A$269=$B124)*
      ('Tools &amp; Targets_Guideline'!$B$54:$B$269="PNC"),
      0
    ),
    MATCH(
      _xludf.IFNA(
        VLOOKUP($D124,{"PH","Provincial Hospital (H2)";"DH","District Hospital (H3)";"RH","Regional / National Hospital (H1)"},2,0),
        $D124
      ),
      'Tools &amp; Targets_Guideline'!$C$53:$I$53,
      0
    )
  ),
0))</f>
        <v/>
      </c>
      <c r="O124" s="105"/>
      <c r="P124" s="119" t="str">
        <f t="array" ref="P124">IF(OR($B124="",$D124=""),"",
IFERROR(
  INDEX(
    'Tools &amp; Targets_Guideline'!$C$54:$I$269,
    MATCH(
      1,
      ('Tools &amp; Targets_Guideline'!$A$54:$A$269=$B124)*
      ('Tools &amp; Targets_Guideline'!$B$54:$B$269="Delivery"),
      0
    ),
    MATCH(
      _xludf.IFNA(
        VLOOKUP($D124,{"PH","Provincial Hospital (H2)";"DH","District Hospital (H3)";"RH","Regional / National Hospital (H1)"},2,0),
        $D124
      ),
      'Tools &amp; Targets_Guideline'!$C$53:$I$53,
      0
    )
  ),
0))</f>
        <v/>
      </c>
      <c r="Q124" s="105"/>
      <c r="R124" s="119" t="str">
        <f t="array" ref="R124">IF(OR($B124="",$D124=""),"",
IFERROR(
  INDEX(
    'Tools &amp; Targets_Guideline'!$C$54:$I$269,
    MATCH(
      1,
      ('Tools &amp; Targets_Guideline'!$A$54:$A$269=$B124)*
      ('Tools &amp; Targets_Guideline'!$B$54:$B$269="TT"),
      0
    ),
    MATCH(
      _xludf.IFNA(
        VLOOKUP($D124,{"PH","Provincial Hospital (H2)";"DH","District Hospital (H3)";"RH","Regional / National Hospital (H1)"},2,0),
        $D124
      ),
      'Tools &amp; Targets_Guideline'!$C$53:$I$53,
      0
    )
  ),
0))</f>
        <v/>
      </c>
      <c r="S124" s="105"/>
      <c r="T124" s="102"/>
      <c r="U124" s="106"/>
      <c r="V124" s="102" t="str">
        <f t="shared" si="1"/>
        <v/>
      </c>
      <c r="W124" s="102"/>
      <c r="X124" s="102"/>
      <c r="Y124" s="119" t="str">
        <f t="array" ref="Y124">IF(OR($B124="",$D124=""),"",
IFERROR(
  INDEX(
    'Tools &amp; Targets_Guideline'!$C$54:$I$269,
    MATCH(
      1,
      ('Tools &amp; Targets_Guideline'!$A$54:$A$269=$B124)*
      ('Tools &amp; Targets_Guideline'!$B$54:$B$269="GM"),
      0
    ),
    MATCH(
      _xludf.IFNA(
        VLOOKUP($D124,{"PH","Provincial Hospital (H2)";"DH","District Hospital (H3)";"RH","Regional / National Hospital (H1)"},2,0),
        $D124
      ),
      'Tools &amp; Targets_Guideline'!$C$53:$I$53,
      0
    )
  ),
0))</f>
        <v/>
      </c>
      <c r="Z124" s="105"/>
      <c r="AA124" s="119" t="str">
        <f t="array" ref="AA124">IF(OR($B124="",$D124=""),"",
IFERROR(
  INDEX(
    'Tools &amp; Targets_Guideline'!$C$54:$I$269,
    MATCH(
      1,
      ('Tools &amp; Targets_Guideline'!$A$54:$A$269=$B124)*
      ('Tools &amp; Targets_Guideline'!$B$54:$B$269="Penta"),
      0
    ),
    MATCH(
      _xludf.IFNA(
        VLOOKUP($D124,{"PH","Provincial Hospital (H2)";"DH","District Hospital (H3)";"RH","Regional / National Hospital (H1)"},2,0),
        $D124
      ),
      'Tools &amp; Targets_Guideline'!$C$53:$I$53,
      0
    )
  ),
0))</f>
        <v/>
      </c>
      <c r="AB124" s="105"/>
      <c r="AC124" s="119" t="str">
        <f t="array" ref="AC124">IF(OR($B124="",$D124=""),"",
IFERROR(
  INDEX(
    'Tools &amp; Targets_Guideline'!$C$54:$I$269,
    MATCH(
      1,
      ('Tools &amp; Targets_Guideline'!$A$54:$A$269=$B124)*
      ('Tools &amp; Targets_Guideline'!$B$54:$B$269="TB"),
      0
    ),
    MATCH(
      _xludf.IFNA(
        VLOOKUP($D124,{"PH","Provincial Hospital (H2)";"DH","District Hospital (H3)";"RH","Regional / National Hospital (H1)"},2,0),
        $D124
      ),
      'Tools &amp; Targets_Guideline'!$C$53:$I$53,
      0
    )
  ),
0))</f>
        <v/>
      </c>
      <c r="AD124" s="105"/>
      <c r="AE124" s="119" t="str">
        <f t="array" ref="AE124">IF(OR($B124="",$D124=""),"",
IFERROR(
  INDEX(
    'Tools &amp; Targets_Guideline'!$C$54:$I$269,
    MATCH(
      1,
      ('Tools &amp; Targets_Guideline'!$A$54:$A$269=$B124)*
      ('Tools &amp; Targets_Guideline'!$B$54:$B$269="U5 Morbidity"),
      0
    ),
    MATCH(
      _xludf.IFNA(
        VLOOKUP($D124,{"PH","Provincial Hospital (H2)";"DH","District Hospital (H3)";"RH","Regional / National Hospital (H1)"},2,0),
        $D124
      ),
      'Tools &amp; Targets_Guideline'!$C$53:$I$53,
      0
    )
  ),
0))</f>
        <v/>
      </c>
      <c r="AF124" s="105"/>
      <c r="AG124" s="119" t="str">
        <f t="array" ref="AG124">IF(OR($B124="",$D124=""),"",
IFERROR(
  INDEX(
    'Tools &amp; Targets_Guideline'!$C$54:$I$269,
    MATCH(
      1,
      ('Tools &amp; Targets_Guideline'!$A$54:$A$269=$B124)*
      ('Tools &amp; Targets_Guideline'!$B$54:$B$269="C-Section"),
      0
    ),
    MATCH(
      _xludf.IFNA(
        VLOOKUP($D124,{"PH","Provincial Hospital (H2)";"DH","District Hospital (H3)";"RH","Regional / National Hospital (H1)"},2,0),
        $D124
      ),
      'Tools &amp; Targets_Guideline'!$C$53:$I$53,
      0
    )
  ),
0))</f>
        <v/>
      </c>
      <c r="AH124" s="105" t="str">
        <f>IF(A124&lt;&gt;"",COUNTIFS('QA Log'!D:D,A124,'QA Log'!M:M,"QQC",'QA Log'!L:L,"2. Hygiene and Sterilization",'QA Log'!Z:Z,"Approved"),"")</f>
        <v/>
      </c>
      <c r="AI124" s="102"/>
      <c r="AJ124" s="102"/>
      <c r="AK124" s="103" t="str">
        <f t="shared" si="2"/>
        <v/>
      </c>
      <c r="AL124" s="102"/>
      <c r="AM124" s="102"/>
      <c r="AN124" s="102"/>
      <c r="AO124" s="106"/>
      <c r="AP124" s="103"/>
      <c r="AQ124" s="102"/>
      <c r="AR124" s="102"/>
      <c r="AS124" s="102"/>
      <c r="AT124" s="107"/>
      <c r="AU124" s="102" t="str">
        <f t="shared" si="3"/>
        <v/>
      </c>
      <c r="AV124" s="102" t="str">
        <f t="shared" si="4"/>
        <v/>
      </c>
      <c r="AW124" s="102" t="str">
        <f t="shared" si="5"/>
        <v/>
      </c>
      <c r="AX124" s="102" t="str">
        <f t="shared" si="6"/>
        <v/>
      </c>
      <c r="AY124" s="107" t="str">
        <f t="shared" si="7"/>
        <v/>
      </c>
      <c r="AZ124" s="108" t="str">
        <f t="shared" si="8"/>
        <v/>
      </c>
      <c r="BA124" s="108" t="str">
        <f t="shared" si="9"/>
        <v/>
      </c>
      <c r="BB124" s="109" t="str">
        <f t="shared" si="10"/>
        <v/>
      </c>
      <c r="BC124" s="108" t="str">
        <f t="shared" si="11"/>
        <v/>
      </c>
      <c r="BD124" s="108" t="str">
        <f t="shared" si="12"/>
        <v/>
      </c>
      <c r="BE124" s="109" t="str">
        <f t="shared" si="13"/>
        <v/>
      </c>
      <c r="BF124" s="110" t="str">
        <f t="shared" si="14"/>
        <v/>
      </c>
      <c r="BG124" s="111"/>
    </row>
    <row r="125" spans="1:59" ht="12.75">
      <c r="A125" s="101"/>
      <c r="B125" s="102"/>
      <c r="C125" s="102" t="e">
        <f t="array" aca="1" ref="C125" ca="1">_xludf.XLOOKUP(A125,'QA Log'!D:D,'QA Log'!F:F,"")</f>
        <v>#NAME?</v>
      </c>
      <c r="D125" s="102"/>
      <c r="E125" s="102" t="e">
        <f t="array" aca="1" ref="E125" ca="1">_xludf.XLOOKUP(A125,'QA Log'!D:D,'QA Log'!G:G,"")</f>
        <v>#NAME?</v>
      </c>
      <c r="F125" s="103"/>
      <c r="G125" s="104"/>
      <c r="H125" s="104"/>
      <c r="I125" s="103" t="str">
        <f t="shared" si="0"/>
        <v/>
      </c>
      <c r="J125" s="102"/>
      <c r="K125" s="102"/>
      <c r="L125" s="119" t="str">
        <f t="array" ref="L125">IF(OR($B125="",$D125=""),"",
IFERROR(
  INDEX(
    'Tools &amp; Targets_Guideline'!$C$54:$I$269,
    MATCH(
      1,
      ('Tools &amp; Targets_Guideline'!$A$54:$A$269=$B125)*
      ('Tools &amp; Targets_Guideline'!$B$54:$B$269="ANC"),
      0
    ),
    MATCH(
      _xludf.IFNA(
        VLOOKUP($D125,{"PH","Provincial Hospital (H2)";"DH","District Hospital (H3)";"RH","Regional / National Hospital (H1)"},2,0),
        $D125
      ),
      'Tools &amp; Targets_Guideline'!$C$53:$I$53,
      0
    )
  ),
0))</f>
        <v/>
      </c>
      <c r="M125" s="105"/>
      <c r="N125" s="119" t="str">
        <f t="array" ref="N125">IF(OR($B125="",$D125=""),"",
IFERROR(
  INDEX(
    'Tools &amp; Targets_Guideline'!$C$54:$I$269,
    MATCH(
      1,
      ('Tools &amp; Targets_Guideline'!$A$54:$A$269=$B125)*
      ('Tools &amp; Targets_Guideline'!$B$54:$B$269="PNC"),
      0
    ),
    MATCH(
      _xludf.IFNA(
        VLOOKUP($D125,{"PH","Provincial Hospital (H2)";"DH","District Hospital (H3)";"RH","Regional / National Hospital (H1)"},2,0),
        $D125
      ),
      'Tools &amp; Targets_Guideline'!$C$53:$I$53,
      0
    )
  ),
0))</f>
        <v/>
      </c>
      <c r="O125" s="105"/>
      <c r="P125" s="119" t="str">
        <f t="array" ref="P125">IF(OR($B125="",$D125=""),"",
IFERROR(
  INDEX(
    'Tools &amp; Targets_Guideline'!$C$54:$I$269,
    MATCH(
      1,
      ('Tools &amp; Targets_Guideline'!$A$54:$A$269=$B125)*
      ('Tools &amp; Targets_Guideline'!$B$54:$B$269="Delivery"),
      0
    ),
    MATCH(
      _xludf.IFNA(
        VLOOKUP($D125,{"PH","Provincial Hospital (H2)";"DH","District Hospital (H3)";"RH","Regional / National Hospital (H1)"},2,0),
        $D125
      ),
      'Tools &amp; Targets_Guideline'!$C$53:$I$53,
      0
    )
  ),
0))</f>
        <v/>
      </c>
      <c r="Q125" s="105"/>
      <c r="R125" s="119" t="str">
        <f t="array" ref="R125">IF(OR($B125="",$D125=""),"",
IFERROR(
  INDEX(
    'Tools &amp; Targets_Guideline'!$C$54:$I$269,
    MATCH(
      1,
      ('Tools &amp; Targets_Guideline'!$A$54:$A$269=$B125)*
      ('Tools &amp; Targets_Guideline'!$B$54:$B$269="TT"),
      0
    ),
    MATCH(
      _xludf.IFNA(
        VLOOKUP($D125,{"PH","Provincial Hospital (H2)";"DH","District Hospital (H3)";"RH","Regional / National Hospital (H1)"},2,0),
        $D125
      ),
      'Tools &amp; Targets_Guideline'!$C$53:$I$53,
      0
    )
  ),
0))</f>
        <v/>
      </c>
      <c r="S125" s="105"/>
      <c r="T125" s="102"/>
      <c r="U125" s="106"/>
      <c r="V125" s="102" t="str">
        <f t="shared" si="1"/>
        <v/>
      </c>
      <c r="W125" s="102"/>
      <c r="X125" s="102"/>
      <c r="Y125" s="119" t="str">
        <f t="array" ref="Y125">IF(OR($B125="",$D125=""),"",
IFERROR(
  INDEX(
    'Tools &amp; Targets_Guideline'!$C$54:$I$269,
    MATCH(
      1,
      ('Tools &amp; Targets_Guideline'!$A$54:$A$269=$B125)*
      ('Tools &amp; Targets_Guideline'!$B$54:$B$269="GM"),
      0
    ),
    MATCH(
      _xludf.IFNA(
        VLOOKUP($D125,{"PH","Provincial Hospital (H2)";"DH","District Hospital (H3)";"RH","Regional / National Hospital (H1)"},2,0),
        $D125
      ),
      'Tools &amp; Targets_Guideline'!$C$53:$I$53,
      0
    )
  ),
0))</f>
        <v/>
      </c>
      <c r="Z125" s="105"/>
      <c r="AA125" s="119" t="str">
        <f t="array" ref="AA125">IF(OR($B125="",$D125=""),"",
IFERROR(
  INDEX(
    'Tools &amp; Targets_Guideline'!$C$54:$I$269,
    MATCH(
      1,
      ('Tools &amp; Targets_Guideline'!$A$54:$A$269=$B125)*
      ('Tools &amp; Targets_Guideline'!$B$54:$B$269="Penta"),
      0
    ),
    MATCH(
      _xludf.IFNA(
        VLOOKUP($D125,{"PH","Provincial Hospital (H2)";"DH","District Hospital (H3)";"RH","Regional / National Hospital (H1)"},2,0),
        $D125
      ),
      'Tools &amp; Targets_Guideline'!$C$53:$I$53,
      0
    )
  ),
0))</f>
        <v/>
      </c>
      <c r="AB125" s="105"/>
      <c r="AC125" s="119" t="str">
        <f t="array" ref="AC125">IF(OR($B125="",$D125=""),"",
IFERROR(
  INDEX(
    'Tools &amp; Targets_Guideline'!$C$54:$I$269,
    MATCH(
      1,
      ('Tools &amp; Targets_Guideline'!$A$54:$A$269=$B125)*
      ('Tools &amp; Targets_Guideline'!$B$54:$B$269="TB"),
      0
    ),
    MATCH(
      _xludf.IFNA(
        VLOOKUP($D125,{"PH","Provincial Hospital (H2)";"DH","District Hospital (H3)";"RH","Regional / National Hospital (H1)"},2,0),
        $D125
      ),
      'Tools &amp; Targets_Guideline'!$C$53:$I$53,
      0
    )
  ),
0))</f>
        <v/>
      </c>
      <c r="AD125" s="105"/>
      <c r="AE125" s="119" t="str">
        <f t="array" ref="AE125">IF(OR($B125="",$D125=""),"",
IFERROR(
  INDEX(
    'Tools &amp; Targets_Guideline'!$C$54:$I$269,
    MATCH(
      1,
      ('Tools &amp; Targets_Guideline'!$A$54:$A$269=$B125)*
      ('Tools &amp; Targets_Guideline'!$B$54:$B$269="U5 Morbidity"),
      0
    ),
    MATCH(
      _xludf.IFNA(
        VLOOKUP($D125,{"PH","Provincial Hospital (H2)";"DH","District Hospital (H3)";"RH","Regional / National Hospital (H1)"},2,0),
        $D125
      ),
      'Tools &amp; Targets_Guideline'!$C$53:$I$53,
      0
    )
  ),
0))</f>
        <v/>
      </c>
      <c r="AF125" s="105"/>
      <c r="AG125" s="119" t="str">
        <f t="array" ref="AG125">IF(OR($B125="",$D125=""),"",
IFERROR(
  INDEX(
    'Tools &amp; Targets_Guideline'!$C$54:$I$269,
    MATCH(
      1,
      ('Tools &amp; Targets_Guideline'!$A$54:$A$269=$B125)*
      ('Tools &amp; Targets_Guideline'!$B$54:$B$269="C-Section"),
      0
    ),
    MATCH(
      _xludf.IFNA(
        VLOOKUP($D125,{"PH","Provincial Hospital (H2)";"DH","District Hospital (H3)";"RH","Regional / National Hospital (H1)"},2,0),
        $D125
      ),
      'Tools &amp; Targets_Guideline'!$C$53:$I$53,
      0
    )
  ),
0))</f>
        <v/>
      </c>
      <c r="AH125" s="105" t="str">
        <f>IF(A125&lt;&gt;"",COUNTIFS('QA Log'!D:D,A125,'QA Log'!M:M,"QQC",'QA Log'!L:L,"2. Hygiene and Sterilization",'QA Log'!Z:Z,"Approved"),"")</f>
        <v/>
      </c>
      <c r="AI125" s="102"/>
      <c r="AJ125" s="102"/>
      <c r="AK125" s="103" t="str">
        <f t="shared" si="2"/>
        <v/>
      </c>
      <c r="AL125" s="102"/>
      <c r="AM125" s="102"/>
      <c r="AN125" s="102"/>
      <c r="AO125" s="106"/>
      <c r="AP125" s="103"/>
      <c r="AQ125" s="102"/>
      <c r="AR125" s="102"/>
      <c r="AS125" s="102"/>
      <c r="AT125" s="107"/>
      <c r="AU125" s="102" t="str">
        <f t="shared" si="3"/>
        <v/>
      </c>
      <c r="AV125" s="102" t="str">
        <f t="shared" si="4"/>
        <v/>
      </c>
      <c r="AW125" s="102" t="str">
        <f t="shared" si="5"/>
        <v/>
      </c>
      <c r="AX125" s="102" t="str">
        <f t="shared" si="6"/>
        <v/>
      </c>
      <c r="AY125" s="107" t="str">
        <f t="shared" si="7"/>
        <v/>
      </c>
      <c r="AZ125" s="108" t="str">
        <f t="shared" si="8"/>
        <v/>
      </c>
      <c r="BA125" s="108" t="str">
        <f t="shared" si="9"/>
        <v/>
      </c>
      <c r="BB125" s="109" t="str">
        <f t="shared" si="10"/>
        <v/>
      </c>
      <c r="BC125" s="108" t="str">
        <f t="shared" si="11"/>
        <v/>
      </c>
      <c r="BD125" s="108" t="str">
        <f t="shared" si="12"/>
        <v/>
      </c>
      <c r="BE125" s="109" t="str">
        <f t="shared" si="13"/>
        <v/>
      </c>
      <c r="BF125" s="110" t="str">
        <f t="shared" si="14"/>
        <v/>
      </c>
      <c r="BG125" s="111"/>
    </row>
    <row r="126" spans="1:59" ht="12.75">
      <c r="A126" s="101"/>
      <c r="B126" s="102"/>
      <c r="C126" s="102" t="e">
        <f t="array" aca="1" ref="C126" ca="1">_xludf.XLOOKUP(A126,'QA Log'!D:D,'QA Log'!F:F,"")</f>
        <v>#NAME?</v>
      </c>
      <c r="D126" s="102"/>
      <c r="E126" s="102" t="e">
        <f t="array" aca="1" ref="E126" ca="1">_xludf.XLOOKUP(A126,'QA Log'!D:D,'QA Log'!G:G,"")</f>
        <v>#NAME?</v>
      </c>
      <c r="F126" s="103"/>
      <c r="G126" s="104"/>
      <c r="H126" s="104"/>
      <c r="I126" s="103" t="str">
        <f t="shared" si="0"/>
        <v/>
      </c>
      <c r="J126" s="102"/>
      <c r="K126" s="102"/>
      <c r="L126" s="119" t="str">
        <f t="array" ref="L126">IF(OR($B126="",$D126=""),"",
IFERROR(
  INDEX(
    'Tools &amp; Targets_Guideline'!$C$54:$I$269,
    MATCH(
      1,
      ('Tools &amp; Targets_Guideline'!$A$54:$A$269=$B126)*
      ('Tools &amp; Targets_Guideline'!$B$54:$B$269="ANC"),
      0
    ),
    MATCH(
      _xludf.IFNA(
        VLOOKUP($D126,{"PH","Provincial Hospital (H2)";"DH","District Hospital (H3)";"RH","Regional / National Hospital (H1)"},2,0),
        $D126
      ),
      'Tools &amp; Targets_Guideline'!$C$53:$I$53,
      0
    )
  ),
0))</f>
        <v/>
      </c>
      <c r="M126" s="105"/>
      <c r="N126" s="119" t="str">
        <f t="array" ref="N126">IF(OR($B126="",$D126=""),"",
IFERROR(
  INDEX(
    'Tools &amp; Targets_Guideline'!$C$54:$I$269,
    MATCH(
      1,
      ('Tools &amp; Targets_Guideline'!$A$54:$A$269=$B126)*
      ('Tools &amp; Targets_Guideline'!$B$54:$B$269="PNC"),
      0
    ),
    MATCH(
      _xludf.IFNA(
        VLOOKUP($D126,{"PH","Provincial Hospital (H2)";"DH","District Hospital (H3)";"RH","Regional / National Hospital (H1)"},2,0),
        $D126
      ),
      'Tools &amp; Targets_Guideline'!$C$53:$I$53,
      0
    )
  ),
0))</f>
        <v/>
      </c>
      <c r="O126" s="105"/>
      <c r="P126" s="119" t="str">
        <f t="array" ref="P126">IF(OR($B126="",$D126=""),"",
IFERROR(
  INDEX(
    'Tools &amp; Targets_Guideline'!$C$54:$I$269,
    MATCH(
      1,
      ('Tools &amp; Targets_Guideline'!$A$54:$A$269=$B126)*
      ('Tools &amp; Targets_Guideline'!$B$54:$B$269="Delivery"),
      0
    ),
    MATCH(
      _xludf.IFNA(
        VLOOKUP($D126,{"PH","Provincial Hospital (H2)";"DH","District Hospital (H3)";"RH","Regional / National Hospital (H1)"},2,0),
        $D126
      ),
      'Tools &amp; Targets_Guideline'!$C$53:$I$53,
      0
    )
  ),
0))</f>
        <v/>
      </c>
      <c r="Q126" s="105"/>
      <c r="R126" s="119" t="str">
        <f t="array" ref="R126">IF(OR($B126="",$D126=""),"",
IFERROR(
  INDEX(
    'Tools &amp; Targets_Guideline'!$C$54:$I$269,
    MATCH(
      1,
      ('Tools &amp; Targets_Guideline'!$A$54:$A$269=$B126)*
      ('Tools &amp; Targets_Guideline'!$B$54:$B$269="TT"),
      0
    ),
    MATCH(
      _xludf.IFNA(
        VLOOKUP($D126,{"PH","Provincial Hospital (H2)";"DH","District Hospital (H3)";"RH","Regional / National Hospital (H1)"},2,0),
        $D126
      ),
      'Tools &amp; Targets_Guideline'!$C$53:$I$53,
      0
    )
  ),
0))</f>
        <v/>
      </c>
      <c r="S126" s="105"/>
      <c r="T126" s="102"/>
      <c r="U126" s="106"/>
      <c r="V126" s="102" t="str">
        <f t="shared" si="1"/>
        <v/>
      </c>
      <c r="W126" s="102"/>
      <c r="X126" s="102"/>
      <c r="Y126" s="119" t="str">
        <f t="array" ref="Y126">IF(OR($B126="",$D126=""),"",
IFERROR(
  INDEX(
    'Tools &amp; Targets_Guideline'!$C$54:$I$269,
    MATCH(
      1,
      ('Tools &amp; Targets_Guideline'!$A$54:$A$269=$B126)*
      ('Tools &amp; Targets_Guideline'!$B$54:$B$269="GM"),
      0
    ),
    MATCH(
      _xludf.IFNA(
        VLOOKUP($D126,{"PH","Provincial Hospital (H2)";"DH","District Hospital (H3)";"RH","Regional / National Hospital (H1)"},2,0),
        $D126
      ),
      'Tools &amp; Targets_Guideline'!$C$53:$I$53,
      0
    )
  ),
0))</f>
        <v/>
      </c>
      <c r="Z126" s="105"/>
      <c r="AA126" s="119" t="str">
        <f t="array" ref="AA126">IF(OR($B126="",$D126=""),"",
IFERROR(
  INDEX(
    'Tools &amp; Targets_Guideline'!$C$54:$I$269,
    MATCH(
      1,
      ('Tools &amp; Targets_Guideline'!$A$54:$A$269=$B126)*
      ('Tools &amp; Targets_Guideline'!$B$54:$B$269="Penta"),
      0
    ),
    MATCH(
      _xludf.IFNA(
        VLOOKUP($D126,{"PH","Provincial Hospital (H2)";"DH","District Hospital (H3)";"RH","Regional / National Hospital (H1)"},2,0),
        $D126
      ),
      'Tools &amp; Targets_Guideline'!$C$53:$I$53,
      0
    )
  ),
0))</f>
        <v/>
      </c>
      <c r="AB126" s="105"/>
      <c r="AC126" s="119" t="str">
        <f t="array" ref="AC126">IF(OR($B126="",$D126=""),"",
IFERROR(
  INDEX(
    'Tools &amp; Targets_Guideline'!$C$54:$I$269,
    MATCH(
      1,
      ('Tools &amp; Targets_Guideline'!$A$54:$A$269=$B126)*
      ('Tools &amp; Targets_Guideline'!$B$54:$B$269="TB"),
      0
    ),
    MATCH(
      _xludf.IFNA(
        VLOOKUP($D126,{"PH","Provincial Hospital (H2)";"DH","District Hospital (H3)";"RH","Regional / National Hospital (H1)"},2,0),
        $D126
      ),
      'Tools &amp; Targets_Guideline'!$C$53:$I$53,
      0
    )
  ),
0))</f>
        <v/>
      </c>
      <c r="AD126" s="105"/>
      <c r="AE126" s="119" t="str">
        <f t="array" ref="AE126">IF(OR($B126="",$D126=""),"",
IFERROR(
  INDEX(
    'Tools &amp; Targets_Guideline'!$C$54:$I$269,
    MATCH(
      1,
      ('Tools &amp; Targets_Guideline'!$A$54:$A$269=$B126)*
      ('Tools &amp; Targets_Guideline'!$B$54:$B$269="U5 Morbidity"),
      0
    ),
    MATCH(
      _xludf.IFNA(
        VLOOKUP($D126,{"PH","Provincial Hospital (H2)";"DH","District Hospital (H3)";"RH","Regional / National Hospital (H1)"},2,0),
        $D126
      ),
      'Tools &amp; Targets_Guideline'!$C$53:$I$53,
      0
    )
  ),
0))</f>
        <v/>
      </c>
      <c r="AF126" s="105"/>
      <c r="AG126" s="119" t="str">
        <f t="array" ref="AG126">IF(OR($B126="",$D126=""),"",
IFERROR(
  INDEX(
    'Tools &amp; Targets_Guideline'!$C$54:$I$269,
    MATCH(
      1,
      ('Tools &amp; Targets_Guideline'!$A$54:$A$269=$B126)*
      ('Tools &amp; Targets_Guideline'!$B$54:$B$269="C-Section"),
      0
    ),
    MATCH(
      _xludf.IFNA(
        VLOOKUP($D126,{"PH","Provincial Hospital (H2)";"DH","District Hospital (H3)";"RH","Regional / National Hospital (H1)"},2,0),
        $D126
      ),
      'Tools &amp; Targets_Guideline'!$C$53:$I$53,
      0
    )
  ),
0))</f>
        <v/>
      </c>
      <c r="AH126" s="105" t="str">
        <f>IF(A126&lt;&gt;"",COUNTIFS('QA Log'!D:D,A126,'QA Log'!M:M,"QQC",'QA Log'!L:L,"2. Hygiene and Sterilization",'QA Log'!Z:Z,"Approved"),"")</f>
        <v/>
      </c>
      <c r="AI126" s="102"/>
      <c r="AJ126" s="102"/>
      <c r="AK126" s="103" t="str">
        <f t="shared" si="2"/>
        <v/>
      </c>
      <c r="AL126" s="102"/>
      <c r="AM126" s="102"/>
      <c r="AN126" s="102"/>
      <c r="AO126" s="106"/>
      <c r="AP126" s="103"/>
      <c r="AQ126" s="102"/>
      <c r="AR126" s="102"/>
      <c r="AS126" s="102"/>
      <c r="AT126" s="107"/>
      <c r="AU126" s="102" t="str">
        <f t="shared" si="3"/>
        <v/>
      </c>
      <c r="AV126" s="102" t="str">
        <f t="shared" si="4"/>
        <v/>
      </c>
      <c r="AW126" s="102" t="str">
        <f t="shared" si="5"/>
        <v/>
      </c>
      <c r="AX126" s="102" t="str">
        <f t="shared" si="6"/>
        <v/>
      </c>
      <c r="AY126" s="107" t="str">
        <f t="shared" si="7"/>
        <v/>
      </c>
      <c r="AZ126" s="108" t="str">
        <f t="shared" si="8"/>
        <v/>
      </c>
      <c r="BA126" s="108" t="str">
        <f t="shared" si="9"/>
        <v/>
      </c>
      <c r="BB126" s="109" t="str">
        <f t="shared" si="10"/>
        <v/>
      </c>
      <c r="BC126" s="108" t="str">
        <f t="shared" si="11"/>
        <v/>
      </c>
      <c r="BD126" s="108" t="str">
        <f t="shared" si="12"/>
        <v/>
      </c>
      <c r="BE126" s="109" t="str">
        <f t="shared" si="13"/>
        <v/>
      </c>
      <c r="BF126" s="110" t="str">
        <f t="shared" si="14"/>
        <v/>
      </c>
      <c r="BG126" s="111"/>
    </row>
    <row r="127" spans="1:59" ht="12.75">
      <c r="A127" s="101"/>
      <c r="B127" s="102"/>
      <c r="C127" s="102" t="e">
        <f t="array" aca="1" ref="C127" ca="1">_xludf.XLOOKUP(A127,'QA Log'!D:D,'QA Log'!F:F,"")</f>
        <v>#NAME?</v>
      </c>
      <c r="D127" s="102"/>
      <c r="E127" s="102" t="e">
        <f t="array" aca="1" ref="E127" ca="1">_xludf.XLOOKUP(A127,'QA Log'!D:D,'QA Log'!G:G,"")</f>
        <v>#NAME?</v>
      </c>
      <c r="F127" s="103"/>
      <c r="G127" s="104"/>
      <c r="H127" s="104"/>
      <c r="I127" s="103" t="str">
        <f t="shared" si="0"/>
        <v/>
      </c>
      <c r="J127" s="102"/>
      <c r="K127" s="102"/>
      <c r="L127" s="119" t="str">
        <f t="array" ref="L127">IF(OR($B127="",$D127=""),"",
IFERROR(
  INDEX(
    'Tools &amp; Targets_Guideline'!$C$54:$I$269,
    MATCH(
      1,
      ('Tools &amp; Targets_Guideline'!$A$54:$A$269=$B127)*
      ('Tools &amp; Targets_Guideline'!$B$54:$B$269="ANC"),
      0
    ),
    MATCH(
      _xludf.IFNA(
        VLOOKUP($D127,{"PH","Provincial Hospital (H2)";"DH","District Hospital (H3)";"RH","Regional / National Hospital (H1)"},2,0),
        $D127
      ),
      'Tools &amp; Targets_Guideline'!$C$53:$I$53,
      0
    )
  ),
0))</f>
        <v/>
      </c>
      <c r="M127" s="105"/>
      <c r="N127" s="119" t="str">
        <f t="array" ref="N127">IF(OR($B127="",$D127=""),"",
IFERROR(
  INDEX(
    'Tools &amp; Targets_Guideline'!$C$54:$I$269,
    MATCH(
      1,
      ('Tools &amp; Targets_Guideline'!$A$54:$A$269=$B127)*
      ('Tools &amp; Targets_Guideline'!$B$54:$B$269="PNC"),
      0
    ),
    MATCH(
      _xludf.IFNA(
        VLOOKUP($D127,{"PH","Provincial Hospital (H2)";"DH","District Hospital (H3)";"RH","Regional / National Hospital (H1)"},2,0),
        $D127
      ),
      'Tools &amp; Targets_Guideline'!$C$53:$I$53,
      0
    )
  ),
0))</f>
        <v/>
      </c>
      <c r="O127" s="105"/>
      <c r="P127" s="119" t="str">
        <f t="array" ref="P127">IF(OR($B127="",$D127=""),"",
IFERROR(
  INDEX(
    'Tools &amp; Targets_Guideline'!$C$54:$I$269,
    MATCH(
      1,
      ('Tools &amp; Targets_Guideline'!$A$54:$A$269=$B127)*
      ('Tools &amp; Targets_Guideline'!$B$54:$B$269="Delivery"),
      0
    ),
    MATCH(
      _xludf.IFNA(
        VLOOKUP($D127,{"PH","Provincial Hospital (H2)";"DH","District Hospital (H3)";"RH","Regional / National Hospital (H1)"},2,0),
        $D127
      ),
      'Tools &amp; Targets_Guideline'!$C$53:$I$53,
      0
    )
  ),
0))</f>
        <v/>
      </c>
      <c r="Q127" s="105"/>
      <c r="R127" s="119" t="str">
        <f t="array" ref="R127">IF(OR($B127="",$D127=""),"",
IFERROR(
  INDEX(
    'Tools &amp; Targets_Guideline'!$C$54:$I$269,
    MATCH(
      1,
      ('Tools &amp; Targets_Guideline'!$A$54:$A$269=$B127)*
      ('Tools &amp; Targets_Guideline'!$B$54:$B$269="TT"),
      0
    ),
    MATCH(
      _xludf.IFNA(
        VLOOKUP($D127,{"PH","Provincial Hospital (H2)";"DH","District Hospital (H3)";"RH","Regional / National Hospital (H1)"},2,0),
        $D127
      ),
      'Tools &amp; Targets_Guideline'!$C$53:$I$53,
      0
    )
  ),
0))</f>
        <v/>
      </c>
      <c r="S127" s="105"/>
      <c r="T127" s="102"/>
      <c r="U127" s="106"/>
      <c r="V127" s="102" t="str">
        <f t="shared" si="1"/>
        <v/>
      </c>
      <c r="W127" s="102"/>
      <c r="X127" s="102"/>
      <c r="Y127" s="119" t="str">
        <f t="array" ref="Y127">IF(OR($B127="",$D127=""),"",
IFERROR(
  INDEX(
    'Tools &amp; Targets_Guideline'!$C$54:$I$269,
    MATCH(
      1,
      ('Tools &amp; Targets_Guideline'!$A$54:$A$269=$B127)*
      ('Tools &amp; Targets_Guideline'!$B$54:$B$269="GM"),
      0
    ),
    MATCH(
      _xludf.IFNA(
        VLOOKUP($D127,{"PH","Provincial Hospital (H2)";"DH","District Hospital (H3)";"RH","Regional / National Hospital (H1)"},2,0),
        $D127
      ),
      'Tools &amp; Targets_Guideline'!$C$53:$I$53,
      0
    )
  ),
0))</f>
        <v/>
      </c>
      <c r="Z127" s="105"/>
      <c r="AA127" s="119" t="str">
        <f t="array" ref="AA127">IF(OR($B127="",$D127=""),"",
IFERROR(
  INDEX(
    'Tools &amp; Targets_Guideline'!$C$54:$I$269,
    MATCH(
      1,
      ('Tools &amp; Targets_Guideline'!$A$54:$A$269=$B127)*
      ('Tools &amp; Targets_Guideline'!$B$54:$B$269="Penta"),
      0
    ),
    MATCH(
      _xludf.IFNA(
        VLOOKUP($D127,{"PH","Provincial Hospital (H2)";"DH","District Hospital (H3)";"RH","Regional / National Hospital (H1)"},2,0),
        $D127
      ),
      'Tools &amp; Targets_Guideline'!$C$53:$I$53,
      0
    )
  ),
0))</f>
        <v/>
      </c>
      <c r="AB127" s="105"/>
      <c r="AC127" s="119" t="str">
        <f t="array" ref="AC127">IF(OR($B127="",$D127=""),"",
IFERROR(
  INDEX(
    'Tools &amp; Targets_Guideline'!$C$54:$I$269,
    MATCH(
      1,
      ('Tools &amp; Targets_Guideline'!$A$54:$A$269=$B127)*
      ('Tools &amp; Targets_Guideline'!$B$54:$B$269="TB"),
      0
    ),
    MATCH(
      _xludf.IFNA(
        VLOOKUP($D127,{"PH","Provincial Hospital (H2)";"DH","District Hospital (H3)";"RH","Regional / National Hospital (H1)"},2,0),
        $D127
      ),
      'Tools &amp; Targets_Guideline'!$C$53:$I$53,
      0
    )
  ),
0))</f>
        <v/>
      </c>
      <c r="AD127" s="105"/>
      <c r="AE127" s="119" t="str">
        <f t="array" ref="AE127">IF(OR($B127="",$D127=""),"",
IFERROR(
  INDEX(
    'Tools &amp; Targets_Guideline'!$C$54:$I$269,
    MATCH(
      1,
      ('Tools &amp; Targets_Guideline'!$A$54:$A$269=$B127)*
      ('Tools &amp; Targets_Guideline'!$B$54:$B$269="U5 Morbidity"),
      0
    ),
    MATCH(
      _xludf.IFNA(
        VLOOKUP($D127,{"PH","Provincial Hospital (H2)";"DH","District Hospital (H3)";"RH","Regional / National Hospital (H1)"},2,0),
        $D127
      ),
      'Tools &amp; Targets_Guideline'!$C$53:$I$53,
      0
    )
  ),
0))</f>
        <v/>
      </c>
      <c r="AF127" s="105"/>
      <c r="AG127" s="119" t="str">
        <f t="array" ref="AG127">IF(OR($B127="",$D127=""),"",
IFERROR(
  INDEX(
    'Tools &amp; Targets_Guideline'!$C$54:$I$269,
    MATCH(
      1,
      ('Tools &amp; Targets_Guideline'!$A$54:$A$269=$B127)*
      ('Tools &amp; Targets_Guideline'!$B$54:$B$269="C-Section"),
      0
    ),
    MATCH(
      _xludf.IFNA(
        VLOOKUP($D127,{"PH","Provincial Hospital (H2)";"DH","District Hospital (H3)";"RH","Regional / National Hospital (H1)"},2,0),
        $D127
      ),
      'Tools &amp; Targets_Guideline'!$C$53:$I$53,
      0
    )
  ),
0))</f>
        <v/>
      </c>
      <c r="AH127" s="105" t="str">
        <f>IF(A127&lt;&gt;"",COUNTIFS('QA Log'!D:D,A127,'QA Log'!M:M,"QQC",'QA Log'!L:L,"2. Hygiene and Sterilization",'QA Log'!Z:Z,"Approved"),"")</f>
        <v/>
      </c>
      <c r="AI127" s="102"/>
      <c r="AJ127" s="102"/>
      <c r="AK127" s="103" t="str">
        <f t="shared" si="2"/>
        <v/>
      </c>
      <c r="AL127" s="102"/>
      <c r="AM127" s="102"/>
      <c r="AN127" s="102"/>
      <c r="AO127" s="106"/>
      <c r="AP127" s="103"/>
      <c r="AQ127" s="102"/>
      <c r="AR127" s="102"/>
      <c r="AS127" s="102"/>
      <c r="AT127" s="107"/>
      <c r="AU127" s="102" t="str">
        <f t="shared" si="3"/>
        <v/>
      </c>
      <c r="AV127" s="102" t="str">
        <f t="shared" si="4"/>
        <v/>
      </c>
      <c r="AW127" s="102" t="str">
        <f t="shared" si="5"/>
        <v/>
      </c>
      <c r="AX127" s="102" t="str">
        <f t="shared" si="6"/>
        <v/>
      </c>
      <c r="AY127" s="107" t="str">
        <f t="shared" si="7"/>
        <v/>
      </c>
      <c r="AZ127" s="108" t="str">
        <f t="shared" si="8"/>
        <v/>
      </c>
      <c r="BA127" s="108" t="str">
        <f t="shared" si="9"/>
        <v/>
      </c>
      <c r="BB127" s="109" t="str">
        <f t="shared" si="10"/>
        <v/>
      </c>
      <c r="BC127" s="108" t="str">
        <f t="shared" si="11"/>
        <v/>
      </c>
      <c r="BD127" s="108" t="str">
        <f t="shared" si="12"/>
        <v/>
      </c>
      <c r="BE127" s="109" t="str">
        <f t="shared" si="13"/>
        <v/>
      </c>
      <c r="BF127" s="110" t="str">
        <f t="shared" si="14"/>
        <v/>
      </c>
      <c r="BG127" s="111"/>
    </row>
    <row r="128" spans="1:59" ht="12.75">
      <c r="A128" s="101"/>
      <c r="B128" s="102"/>
      <c r="C128" s="102" t="e">
        <f t="array" aca="1" ref="C128" ca="1">_xludf.XLOOKUP(A128,'QA Log'!D:D,'QA Log'!F:F,"")</f>
        <v>#NAME?</v>
      </c>
      <c r="D128" s="102"/>
      <c r="E128" s="102" t="e">
        <f t="array" aca="1" ref="E128" ca="1">_xludf.XLOOKUP(A128,'QA Log'!D:D,'QA Log'!G:G,"")</f>
        <v>#NAME?</v>
      </c>
      <c r="F128" s="103"/>
      <c r="G128" s="104"/>
      <c r="H128" s="104"/>
      <c r="I128" s="103" t="str">
        <f t="shared" si="0"/>
        <v/>
      </c>
      <c r="J128" s="102"/>
      <c r="K128" s="102"/>
      <c r="L128" s="119" t="str">
        <f t="array" ref="L128">IF(OR($B128="",$D128=""),"",
IFERROR(
  INDEX(
    'Tools &amp; Targets_Guideline'!$C$54:$I$269,
    MATCH(
      1,
      ('Tools &amp; Targets_Guideline'!$A$54:$A$269=$B128)*
      ('Tools &amp; Targets_Guideline'!$B$54:$B$269="ANC"),
      0
    ),
    MATCH(
      _xludf.IFNA(
        VLOOKUP($D128,{"PH","Provincial Hospital (H2)";"DH","District Hospital (H3)";"RH","Regional / National Hospital (H1)"},2,0),
        $D128
      ),
      'Tools &amp; Targets_Guideline'!$C$53:$I$53,
      0
    )
  ),
0))</f>
        <v/>
      </c>
      <c r="M128" s="105"/>
      <c r="N128" s="119" t="str">
        <f t="array" ref="N128">IF(OR($B128="",$D128=""),"",
IFERROR(
  INDEX(
    'Tools &amp; Targets_Guideline'!$C$54:$I$269,
    MATCH(
      1,
      ('Tools &amp; Targets_Guideline'!$A$54:$A$269=$B128)*
      ('Tools &amp; Targets_Guideline'!$B$54:$B$269="PNC"),
      0
    ),
    MATCH(
      _xludf.IFNA(
        VLOOKUP($D128,{"PH","Provincial Hospital (H2)";"DH","District Hospital (H3)";"RH","Regional / National Hospital (H1)"},2,0),
        $D128
      ),
      'Tools &amp; Targets_Guideline'!$C$53:$I$53,
      0
    )
  ),
0))</f>
        <v/>
      </c>
      <c r="O128" s="105"/>
      <c r="P128" s="119" t="str">
        <f t="array" ref="P128">IF(OR($B128="",$D128=""),"",
IFERROR(
  INDEX(
    'Tools &amp; Targets_Guideline'!$C$54:$I$269,
    MATCH(
      1,
      ('Tools &amp; Targets_Guideline'!$A$54:$A$269=$B128)*
      ('Tools &amp; Targets_Guideline'!$B$54:$B$269="Delivery"),
      0
    ),
    MATCH(
      _xludf.IFNA(
        VLOOKUP($D128,{"PH","Provincial Hospital (H2)";"DH","District Hospital (H3)";"RH","Regional / National Hospital (H1)"},2,0),
        $D128
      ),
      'Tools &amp; Targets_Guideline'!$C$53:$I$53,
      0
    )
  ),
0))</f>
        <v/>
      </c>
      <c r="Q128" s="105"/>
      <c r="R128" s="119" t="str">
        <f t="array" ref="R128">IF(OR($B128="",$D128=""),"",
IFERROR(
  INDEX(
    'Tools &amp; Targets_Guideline'!$C$54:$I$269,
    MATCH(
      1,
      ('Tools &amp; Targets_Guideline'!$A$54:$A$269=$B128)*
      ('Tools &amp; Targets_Guideline'!$B$54:$B$269="TT"),
      0
    ),
    MATCH(
      _xludf.IFNA(
        VLOOKUP($D128,{"PH","Provincial Hospital (H2)";"DH","District Hospital (H3)";"RH","Regional / National Hospital (H1)"},2,0),
        $D128
      ),
      'Tools &amp; Targets_Guideline'!$C$53:$I$53,
      0
    )
  ),
0))</f>
        <v/>
      </c>
      <c r="S128" s="105"/>
      <c r="T128" s="102"/>
      <c r="U128" s="106"/>
      <c r="V128" s="102" t="str">
        <f t="shared" si="1"/>
        <v/>
      </c>
      <c r="W128" s="102"/>
      <c r="X128" s="102"/>
      <c r="Y128" s="119" t="str">
        <f t="array" ref="Y128">IF(OR($B128="",$D128=""),"",
IFERROR(
  INDEX(
    'Tools &amp; Targets_Guideline'!$C$54:$I$269,
    MATCH(
      1,
      ('Tools &amp; Targets_Guideline'!$A$54:$A$269=$B128)*
      ('Tools &amp; Targets_Guideline'!$B$54:$B$269="GM"),
      0
    ),
    MATCH(
      _xludf.IFNA(
        VLOOKUP($D128,{"PH","Provincial Hospital (H2)";"DH","District Hospital (H3)";"RH","Regional / National Hospital (H1)"},2,0),
        $D128
      ),
      'Tools &amp; Targets_Guideline'!$C$53:$I$53,
      0
    )
  ),
0))</f>
        <v/>
      </c>
      <c r="Z128" s="105"/>
      <c r="AA128" s="119" t="str">
        <f t="array" ref="AA128">IF(OR($B128="",$D128=""),"",
IFERROR(
  INDEX(
    'Tools &amp; Targets_Guideline'!$C$54:$I$269,
    MATCH(
      1,
      ('Tools &amp; Targets_Guideline'!$A$54:$A$269=$B128)*
      ('Tools &amp; Targets_Guideline'!$B$54:$B$269="Penta"),
      0
    ),
    MATCH(
      _xludf.IFNA(
        VLOOKUP($D128,{"PH","Provincial Hospital (H2)";"DH","District Hospital (H3)";"RH","Regional / National Hospital (H1)"},2,0),
        $D128
      ),
      'Tools &amp; Targets_Guideline'!$C$53:$I$53,
      0
    )
  ),
0))</f>
        <v/>
      </c>
      <c r="AB128" s="105"/>
      <c r="AC128" s="119" t="str">
        <f t="array" ref="AC128">IF(OR($B128="",$D128=""),"",
IFERROR(
  INDEX(
    'Tools &amp; Targets_Guideline'!$C$54:$I$269,
    MATCH(
      1,
      ('Tools &amp; Targets_Guideline'!$A$54:$A$269=$B128)*
      ('Tools &amp; Targets_Guideline'!$B$54:$B$269="TB"),
      0
    ),
    MATCH(
      _xludf.IFNA(
        VLOOKUP($D128,{"PH","Provincial Hospital (H2)";"DH","District Hospital (H3)";"RH","Regional / National Hospital (H1)"},2,0),
        $D128
      ),
      'Tools &amp; Targets_Guideline'!$C$53:$I$53,
      0
    )
  ),
0))</f>
        <v/>
      </c>
      <c r="AD128" s="105"/>
      <c r="AE128" s="119" t="str">
        <f t="array" ref="AE128">IF(OR($B128="",$D128=""),"",
IFERROR(
  INDEX(
    'Tools &amp; Targets_Guideline'!$C$54:$I$269,
    MATCH(
      1,
      ('Tools &amp; Targets_Guideline'!$A$54:$A$269=$B128)*
      ('Tools &amp; Targets_Guideline'!$B$54:$B$269="U5 Morbidity"),
      0
    ),
    MATCH(
      _xludf.IFNA(
        VLOOKUP($D128,{"PH","Provincial Hospital (H2)";"DH","District Hospital (H3)";"RH","Regional / National Hospital (H1)"},2,0),
        $D128
      ),
      'Tools &amp; Targets_Guideline'!$C$53:$I$53,
      0
    )
  ),
0))</f>
        <v/>
      </c>
      <c r="AF128" s="105"/>
      <c r="AG128" s="119" t="str">
        <f t="array" ref="AG128">IF(OR($B128="",$D128=""),"",
IFERROR(
  INDEX(
    'Tools &amp; Targets_Guideline'!$C$54:$I$269,
    MATCH(
      1,
      ('Tools &amp; Targets_Guideline'!$A$54:$A$269=$B128)*
      ('Tools &amp; Targets_Guideline'!$B$54:$B$269="C-Section"),
      0
    ),
    MATCH(
      _xludf.IFNA(
        VLOOKUP($D128,{"PH","Provincial Hospital (H2)";"DH","District Hospital (H3)";"RH","Regional / National Hospital (H1)"},2,0),
        $D128
      ),
      'Tools &amp; Targets_Guideline'!$C$53:$I$53,
      0
    )
  ),
0))</f>
        <v/>
      </c>
      <c r="AH128" s="105" t="str">
        <f>IF(A128&lt;&gt;"",COUNTIFS('QA Log'!D:D,A128,'QA Log'!M:M,"QQC",'QA Log'!L:L,"2. Hygiene and Sterilization",'QA Log'!Z:Z,"Approved"),"")</f>
        <v/>
      </c>
      <c r="AI128" s="102"/>
      <c r="AJ128" s="102"/>
      <c r="AK128" s="103" t="str">
        <f t="shared" si="2"/>
        <v/>
      </c>
      <c r="AL128" s="102"/>
      <c r="AM128" s="102"/>
      <c r="AN128" s="102"/>
      <c r="AO128" s="106"/>
      <c r="AP128" s="103"/>
      <c r="AQ128" s="102"/>
      <c r="AR128" s="102"/>
      <c r="AS128" s="102"/>
      <c r="AT128" s="107"/>
      <c r="AU128" s="102" t="str">
        <f t="shared" si="3"/>
        <v/>
      </c>
      <c r="AV128" s="102" t="str">
        <f t="shared" si="4"/>
        <v/>
      </c>
      <c r="AW128" s="102" t="str">
        <f t="shared" si="5"/>
        <v/>
      </c>
      <c r="AX128" s="102" t="str">
        <f t="shared" si="6"/>
        <v/>
      </c>
      <c r="AY128" s="107" t="str">
        <f t="shared" si="7"/>
        <v/>
      </c>
      <c r="AZ128" s="108" t="str">
        <f t="shared" si="8"/>
        <v/>
      </c>
      <c r="BA128" s="108" t="str">
        <f t="shared" si="9"/>
        <v/>
      </c>
      <c r="BB128" s="109" t="str">
        <f t="shared" si="10"/>
        <v/>
      </c>
      <c r="BC128" s="108" t="str">
        <f t="shared" si="11"/>
        <v/>
      </c>
      <c r="BD128" s="108" t="str">
        <f t="shared" si="12"/>
        <v/>
      </c>
      <c r="BE128" s="109" t="str">
        <f t="shared" si="13"/>
        <v/>
      </c>
      <c r="BF128" s="110" t="str">
        <f t="shared" si="14"/>
        <v/>
      </c>
      <c r="BG128" s="111"/>
    </row>
    <row r="129" spans="1:59" ht="12.75">
      <c r="A129" s="101"/>
      <c r="B129" s="102"/>
      <c r="C129" s="102" t="e">
        <f t="array" aca="1" ref="C129" ca="1">_xludf.XLOOKUP(A129,'QA Log'!D:D,'QA Log'!F:F,"")</f>
        <v>#NAME?</v>
      </c>
      <c r="D129" s="102"/>
      <c r="E129" s="102" t="e">
        <f t="array" aca="1" ref="E129" ca="1">_xludf.XLOOKUP(A129,'QA Log'!D:D,'QA Log'!G:G,"")</f>
        <v>#NAME?</v>
      </c>
      <c r="F129" s="103"/>
      <c r="G129" s="104"/>
      <c r="H129" s="104"/>
      <c r="I129" s="103" t="str">
        <f t="shared" si="0"/>
        <v/>
      </c>
      <c r="J129" s="102"/>
      <c r="K129" s="102"/>
      <c r="L129" s="119" t="str">
        <f t="array" ref="L129">IF(OR($B129="",$D129=""),"",
IFERROR(
  INDEX(
    'Tools &amp; Targets_Guideline'!$C$54:$I$269,
    MATCH(
      1,
      ('Tools &amp; Targets_Guideline'!$A$54:$A$269=$B129)*
      ('Tools &amp; Targets_Guideline'!$B$54:$B$269="ANC"),
      0
    ),
    MATCH(
      _xludf.IFNA(
        VLOOKUP($D129,{"PH","Provincial Hospital (H2)";"DH","District Hospital (H3)";"RH","Regional / National Hospital (H1)"},2,0),
        $D129
      ),
      'Tools &amp; Targets_Guideline'!$C$53:$I$53,
      0
    )
  ),
0))</f>
        <v/>
      </c>
      <c r="M129" s="105"/>
      <c r="N129" s="119" t="str">
        <f t="array" ref="N129">IF(OR($B129="",$D129=""),"",
IFERROR(
  INDEX(
    'Tools &amp; Targets_Guideline'!$C$54:$I$269,
    MATCH(
      1,
      ('Tools &amp; Targets_Guideline'!$A$54:$A$269=$B129)*
      ('Tools &amp; Targets_Guideline'!$B$54:$B$269="PNC"),
      0
    ),
    MATCH(
      _xludf.IFNA(
        VLOOKUP($D129,{"PH","Provincial Hospital (H2)";"DH","District Hospital (H3)";"RH","Regional / National Hospital (H1)"},2,0),
        $D129
      ),
      'Tools &amp; Targets_Guideline'!$C$53:$I$53,
      0
    )
  ),
0))</f>
        <v/>
      </c>
      <c r="O129" s="105"/>
      <c r="P129" s="119" t="str">
        <f t="array" ref="P129">IF(OR($B129="",$D129=""),"",
IFERROR(
  INDEX(
    'Tools &amp; Targets_Guideline'!$C$54:$I$269,
    MATCH(
      1,
      ('Tools &amp; Targets_Guideline'!$A$54:$A$269=$B129)*
      ('Tools &amp; Targets_Guideline'!$B$54:$B$269="Delivery"),
      0
    ),
    MATCH(
      _xludf.IFNA(
        VLOOKUP($D129,{"PH","Provincial Hospital (H2)";"DH","District Hospital (H3)";"RH","Regional / National Hospital (H1)"},2,0),
        $D129
      ),
      'Tools &amp; Targets_Guideline'!$C$53:$I$53,
      0
    )
  ),
0))</f>
        <v/>
      </c>
      <c r="Q129" s="105"/>
      <c r="R129" s="119" t="str">
        <f t="array" ref="R129">IF(OR($B129="",$D129=""),"",
IFERROR(
  INDEX(
    'Tools &amp; Targets_Guideline'!$C$54:$I$269,
    MATCH(
      1,
      ('Tools &amp; Targets_Guideline'!$A$54:$A$269=$B129)*
      ('Tools &amp; Targets_Guideline'!$B$54:$B$269="TT"),
      0
    ),
    MATCH(
      _xludf.IFNA(
        VLOOKUP($D129,{"PH","Provincial Hospital (H2)";"DH","District Hospital (H3)";"RH","Regional / National Hospital (H1)"},2,0),
        $D129
      ),
      'Tools &amp; Targets_Guideline'!$C$53:$I$53,
      0
    )
  ),
0))</f>
        <v/>
      </c>
      <c r="S129" s="105"/>
      <c r="T129" s="102"/>
      <c r="U129" s="106"/>
      <c r="V129" s="102" t="str">
        <f t="shared" si="1"/>
        <v/>
      </c>
      <c r="W129" s="102"/>
      <c r="X129" s="102"/>
      <c r="Y129" s="119" t="str">
        <f t="array" ref="Y129">IF(OR($B129="",$D129=""),"",
IFERROR(
  INDEX(
    'Tools &amp; Targets_Guideline'!$C$54:$I$269,
    MATCH(
      1,
      ('Tools &amp; Targets_Guideline'!$A$54:$A$269=$B129)*
      ('Tools &amp; Targets_Guideline'!$B$54:$B$269="GM"),
      0
    ),
    MATCH(
      _xludf.IFNA(
        VLOOKUP($D129,{"PH","Provincial Hospital (H2)";"DH","District Hospital (H3)";"RH","Regional / National Hospital (H1)"},2,0),
        $D129
      ),
      'Tools &amp; Targets_Guideline'!$C$53:$I$53,
      0
    )
  ),
0))</f>
        <v/>
      </c>
      <c r="Z129" s="105"/>
      <c r="AA129" s="119" t="str">
        <f t="array" ref="AA129">IF(OR($B129="",$D129=""),"",
IFERROR(
  INDEX(
    'Tools &amp; Targets_Guideline'!$C$54:$I$269,
    MATCH(
      1,
      ('Tools &amp; Targets_Guideline'!$A$54:$A$269=$B129)*
      ('Tools &amp; Targets_Guideline'!$B$54:$B$269="Penta"),
      0
    ),
    MATCH(
      _xludf.IFNA(
        VLOOKUP($D129,{"PH","Provincial Hospital (H2)";"DH","District Hospital (H3)";"RH","Regional / National Hospital (H1)"},2,0),
        $D129
      ),
      'Tools &amp; Targets_Guideline'!$C$53:$I$53,
      0
    )
  ),
0))</f>
        <v/>
      </c>
      <c r="AB129" s="105"/>
      <c r="AC129" s="119" t="str">
        <f t="array" ref="AC129">IF(OR($B129="",$D129=""),"",
IFERROR(
  INDEX(
    'Tools &amp; Targets_Guideline'!$C$54:$I$269,
    MATCH(
      1,
      ('Tools &amp; Targets_Guideline'!$A$54:$A$269=$B129)*
      ('Tools &amp; Targets_Guideline'!$B$54:$B$269="TB"),
      0
    ),
    MATCH(
      _xludf.IFNA(
        VLOOKUP($D129,{"PH","Provincial Hospital (H2)";"DH","District Hospital (H3)";"RH","Regional / National Hospital (H1)"},2,0),
        $D129
      ),
      'Tools &amp; Targets_Guideline'!$C$53:$I$53,
      0
    )
  ),
0))</f>
        <v/>
      </c>
      <c r="AD129" s="105"/>
      <c r="AE129" s="119" t="str">
        <f t="array" ref="AE129">IF(OR($B129="",$D129=""),"",
IFERROR(
  INDEX(
    'Tools &amp; Targets_Guideline'!$C$54:$I$269,
    MATCH(
      1,
      ('Tools &amp; Targets_Guideline'!$A$54:$A$269=$B129)*
      ('Tools &amp; Targets_Guideline'!$B$54:$B$269="U5 Morbidity"),
      0
    ),
    MATCH(
      _xludf.IFNA(
        VLOOKUP($D129,{"PH","Provincial Hospital (H2)";"DH","District Hospital (H3)";"RH","Regional / National Hospital (H1)"},2,0),
        $D129
      ),
      'Tools &amp; Targets_Guideline'!$C$53:$I$53,
      0
    )
  ),
0))</f>
        <v/>
      </c>
      <c r="AF129" s="105"/>
      <c r="AG129" s="119" t="str">
        <f t="array" ref="AG129">IF(OR($B129="",$D129=""),"",
IFERROR(
  INDEX(
    'Tools &amp; Targets_Guideline'!$C$54:$I$269,
    MATCH(
      1,
      ('Tools &amp; Targets_Guideline'!$A$54:$A$269=$B129)*
      ('Tools &amp; Targets_Guideline'!$B$54:$B$269="C-Section"),
      0
    ),
    MATCH(
      _xludf.IFNA(
        VLOOKUP($D129,{"PH","Provincial Hospital (H2)";"DH","District Hospital (H3)";"RH","Regional / National Hospital (H1)"},2,0),
        $D129
      ),
      'Tools &amp; Targets_Guideline'!$C$53:$I$53,
      0
    )
  ),
0))</f>
        <v/>
      </c>
      <c r="AH129" s="105" t="str">
        <f>IF(A129&lt;&gt;"",COUNTIFS('QA Log'!D:D,A129,'QA Log'!M:M,"QQC",'QA Log'!L:L,"2. Hygiene and Sterilization",'QA Log'!Z:Z,"Approved"),"")</f>
        <v/>
      </c>
      <c r="AI129" s="102"/>
      <c r="AJ129" s="102"/>
      <c r="AK129" s="103" t="str">
        <f t="shared" si="2"/>
        <v/>
      </c>
      <c r="AL129" s="102"/>
      <c r="AM129" s="102"/>
      <c r="AN129" s="102"/>
      <c r="AO129" s="106"/>
      <c r="AP129" s="103"/>
      <c r="AQ129" s="102"/>
      <c r="AR129" s="102"/>
      <c r="AS129" s="102"/>
      <c r="AT129" s="107"/>
      <c r="AU129" s="102" t="str">
        <f t="shared" si="3"/>
        <v/>
      </c>
      <c r="AV129" s="102" t="str">
        <f t="shared" si="4"/>
        <v/>
      </c>
      <c r="AW129" s="102" t="str">
        <f t="shared" si="5"/>
        <v/>
      </c>
      <c r="AX129" s="102" t="str">
        <f t="shared" si="6"/>
        <v/>
      </c>
      <c r="AY129" s="107" t="str">
        <f t="shared" si="7"/>
        <v/>
      </c>
      <c r="AZ129" s="108" t="str">
        <f t="shared" si="8"/>
        <v/>
      </c>
      <c r="BA129" s="108" t="str">
        <f t="shared" si="9"/>
        <v/>
      </c>
      <c r="BB129" s="109" t="str">
        <f t="shared" si="10"/>
        <v/>
      </c>
      <c r="BC129" s="108" t="str">
        <f t="shared" si="11"/>
        <v/>
      </c>
      <c r="BD129" s="108" t="str">
        <f t="shared" si="12"/>
        <v/>
      </c>
      <c r="BE129" s="109" t="str">
        <f t="shared" si="13"/>
        <v/>
      </c>
      <c r="BF129" s="110" t="str">
        <f t="shared" si="14"/>
        <v/>
      </c>
      <c r="BG129" s="111"/>
    </row>
    <row r="130" spans="1:59" ht="12.75">
      <c r="A130" s="101"/>
      <c r="B130" s="102"/>
      <c r="C130" s="102" t="e">
        <f t="array" aca="1" ref="C130" ca="1">_xludf.XLOOKUP(A130,'QA Log'!D:D,'QA Log'!F:F,"")</f>
        <v>#NAME?</v>
      </c>
      <c r="D130" s="102"/>
      <c r="E130" s="102" t="e">
        <f t="array" aca="1" ref="E130" ca="1">_xludf.XLOOKUP(A130,'QA Log'!D:D,'QA Log'!G:G,"")</f>
        <v>#NAME?</v>
      </c>
      <c r="F130" s="103"/>
      <c r="G130" s="104"/>
      <c r="H130" s="104"/>
      <c r="I130" s="103" t="str">
        <f t="shared" si="0"/>
        <v/>
      </c>
      <c r="J130" s="102"/>
      <c r="K130" s="102"/>
      <c r="L130" s="119" t="str">
        <f t="array" ref="L130">IF(OR($B130="",$D130=""),"",
IFERROR(
  INDEX(
    'Tools &amp; Targets_Guideline'!$C$54:$I$269,
    MATCH(
      1,
      ('Tools &amp; Targets_Guideline'!$A$54:$A$269=$B130)*
      ('Tools &amp; Targets_Guideline'!$B$54:$B$269="ANC"),
      0
    ),
    MATCH(
      _xludf.IFNA(
        VLOOKUP($D130,{"PH","Provincial Hospital (H2)";"DH","District Hospital (H3)";"RH","Regional / National Hospital (H1)"},2,0),
        $D130
      ),
      'Tools &amp; Targets_Guideline'!$C$53:$I$53,
      0
    )
  ),
0))</f>
        <v/>
      </c>
      <c r="M130" s="105"/>
      <c r="N130" s="119" t="str">
        <f t="array" ref="N130">IF(OR($B130="",$D130=""),"",
IFERROR(
  INDEX(
    'Tools &amp; Targets_Guideline'!$C$54:$I$269,
    MATCH(
      1,
      ('Tools &amp; Targets_Guideline'!$A$54:$A$269=$B130)*
      ('Tools &amp; Targets_Guideline'!$B$54:$B$269="PNC"),
      0
    ),
    MATCH(
      _xludf.IFNA(
        VLOOKUP($D130,{"PH","Provincial Hospital (H2)";"DH","District Hospital (H3)";"RH","Regional / National Hospital (H1)"},2,0),
        $D130
      ),
      'Tools &amp; Targets_Guideline'!$C$53:$I$53,
      0
    )
  ),
0))</f>
        <v/>
      </c>
      <c r="O130" s="105"/>
      <c r="P130" s="119" t="str">
        <f t="array" ref="P130">IF(OR($B130="",$D130=""),"",
IFERROR(
  INDEX(
    'Tools &amp; Targets_Guideline'!$C$54:$I$269,
    MATCH(
      1,
      ('Tools &amp; Targets_Guideline'!$A$54:$A$269=$B130)*
      ('Tools &amp; Targets_Guideline'!$B$54:$B$269="Delivery"),
      0
    ),
    MATCH(
      _xludf.IFNA(
        VLOOKUP($D130,{"PH","Provincial Hospital (H2)";"DH","District Hospital (H3)";"RH","Regional / National Hospital (H1)"},2,0),
        $D130
      ),
      'Tools &amp; Targets_Guideline'!$C$53:$I$53,
      0
    )
  ),
0))</f>
        <v/>
      </c>
      <c r="Q130" s="105"/>
      <c r="R130" s="119" t="str">
        <f t="array" ref="R130">IF(OR($B130="",$D130=""),"",
IFERROR(
  INDEX(
    'Tools &amp; Targets_Guideline'!$C$54:$I$269,
    MATCH(
      1,
      ('Tools &amp; Targets_Guideline'!$A$54:$A$269=$B130)*
      ('Tools &amp; Targets_Guideline'!$B$54:$B$269="TT"),
      0
    ),
    MATCH(
      _xludf.IFNA(
        VLOOKUP($D130,{"PH","Provincial Hospital (H2)";"DH","District Hospital (H3)";"RH","Regional / National Hospital (H1)"},2,0),
        $D130
      ),
      'Tools &amp; Targets_Guideline'!$C$53:$I$53,
      0
    )
  ),
0))</f>
        <v/>
      </c>
      <c r="S130" s="105"/>
      <c r="T130" s="102"/>
      <c r="U130" s="106"/>
      <c r="V130" s="102" t="str">
        <f t="shared" si="1"/>
        <v/>
      </c>
      <c r="W130" s="102"/>
      <c r="X130" s="102"/>
      <c r="Y130" s="119" t="str">
        <f t="array" ref="Y130">IF(OR($B130="",$D130=""),"",
IFERROR(
  INDEX(
    'Tools &amp; Targets_Guideline'!$C$54:$I$269,
    MATCH(
      1,
      ('Tools &amp; Targets_Guideline'!$A$54:$A$269=$B130)*
      ('Tools &amp; Targets_Guideline'!$B$54:$B$269="GM"),
      0
    ),
    MATCH(
      _xludf.IFNA(
        VLOOKUP($D130,{"PH","Provincial Hospital (H2)";"DH","District Hospital (H3)";"RH","Regional / National Hospital (H1)"},2,0),
        $D130
      ),
      'Tools &amp; Targets_Guideline'!$C$53:$I$53,
      0
    )
  ),
0))</f>
        <v/>
      </c>
      <c r="Z130" s="105"/>
      <c r="AA130" s="119" t="str">
        <f t="array" ref="AA130">IF(OR($B130="",$D130=""),"",
IFERROR(
  INDEX(
    'Tools &amp; Targets_Guideline'!$C$54:$I$269,
    MATCH(
      1,
      ('Tools &amp; Targets_Guideline'!$A$54:$A$269=$B130)*
      ('Tools &amp; Targets_Guideline'!$B$54:$B$269="Penta"),
      0
    ),
    MATCH(
      _xludf.IFNA(
        VLOOKUP($D130,{"PH","Provincial Hospital (H2)";"DH","District Hospital (H3)";"RH","Regional / National Hospital (H1)"},2,0),
        $D130
      ),
      'Tools &amp; Targets_Guideline'!$C$53:$I$53,
      0
    )
  ),
0))</f>
        <v/>
      </c>
      <c r="AB130" s="105"/>
      <c r="AC130" s="119" t="str">
        <f t="array" ref="AC130">IF(OR($B130="",$D130=""),"",
IFERROR(
  INDEX(
    'Tools &amp; Targets_Guideline'!$C$54:$I$269,
    MATCH(
      1,
      ('Tools &amp; Targets_Guideline'!$A$54:$A$269=$B130)*
      ('Tools &amp; Targets_Guideline'!$B$54:$B$269="TB"),
      0
    ),
    MATCH(
      _xludf.IFNA(
        VLOOKUP($D130,{"PH","Provincial Hospital (H2)";"DH","District Hospital (H3)";"RH","Regional / National Hospital (H1)"},2,0),
        $D130
      ),
      'Tools &amp; Targets_Guideline'!$C$53:$I$53,
      0
    )
  ),
0))</f>
        <v/>
      </c>
      <c r="AD130" s="105"/>
      <c r="AE130" s="119" t="str">
        <f t="array" ref="AE130">IF(OR($B130="",$D130=""),"",
IFERROR(
  INDEX(
    'Tools &amp; Targets_Guideline'!$C$54:$I$269,
    MATCH(
      1,
      ('Tools &amp; Targets_Guideline'!$A$54:$A$269=$B130)*
      ('Tools &amp; Targets_Guideline'!$B$54:$B$269="U5 Morbidity"),
      0
    ),
    MATCH(
      _xludf.IFNA(
        VLOOKUP($D130,{"PH","Provincial Hospital (H2)";"DH","District Hospital (H3)";"RH","Regional / National Hospital (H1)"},2,0),
        $D130
      ),
      'Tools &amp; Targets_Guideline'!$C$53:$I$53,
      0
    )
  ),
0))</f>
        <v/>
      </c>
      <c r="AF130" s="105"/>
      <c r="AG130" s="119" t="str">
        <f t="array" ref="AG130">IF(OR($B130="",$D130=""),"",
IFERROR(
  INDEX(
    'Tools &amp; Targets_Guideline'!$C$54:$I$269,
    MATCH(
      1,
      ('Tools &amp; Targets_Guideline'!$A$54:$A$269=$B130)*
      ('Tools &amp; Targets_Guideline'!$B$54:$B$269="C-Section"),
      0
    ),
    MATCH(
      _xludf.IFNA(
        VLOOKUP($D130,{"PH","Provincial Hospital (H2)";"DH","District Hospital (H3)";"RH","Regional / National Hospital (H1)"},2,0),
        $D130
      ),
      'Tools &amp; Targets_Guideline'!$C$53:$I$53,
      0
    )
  ),
0))</f>
        <v/>
      </c>
      <c r="AH130" s="105" t="str">
        <f>IF(A130&lt;&gt;"",COUNTIFS('QA Log'!D:D,A130,'QA Log'!M:M,"QQC",'QA Log'!L:L,"2. Hygiene and Sterilization",'QA Log'!Z:Z,"Approved"),"")</f>
        <v/>
      </c>
      <c r="AI130" s="102"/>
      <c r="AJ130" s="102"/>
      <c r="AK130" s="103" t="str">
        <f t="shared" si="2"/>
        <v/>
      </c>
      <c r="AL130" s="102"/>
      <c r="AM130" s="102"/>
      <c r="AN130" s="102"/>
      <c r="AO130" s="106"/>
      <c r="AP130" s="103"/>
      <c r="AQ130" s="102"/>
      <c r="AR130" s="102"/>
      <c r="AS130" s="102"/>
      <c r="AT130" s="107"/>
      <c r="AU130" s="102" t="str">
        <f t="shared" si="3"/>
        <v/>
      </c>
      <c r="AV130" s="102" t="str">
        <f t="shared" si="4"/>
        <v/>
      </c>
      <c r="AW130" s="102" t="str">
        <f t="shared" si="5"/>
        <v/>
      </c>
      <c r="AX130" s="102" t="str">
        <f t="shared" si="6"/>
        <v/>
      </c>
      <c r="AY130" s="107" t="str">
        <f t="shared" si="7"/>
        <v/>
      </c>
      <c r="AZ130" s="108" t="str">
        <f t="shared" si="8"/>
        <v/>
      </c>
      <c r="BA130" s="108" t="str">
        <f t="shared" si="9"/>
        <v/>
      </c>
      <c r="BB130" s="109" t="str">
        <f t="shared" si="10"/>
        <v/>
      </c>
      <c r="BC130" s="108" t="str">
        <f t="shared" si="11"/>
        <v/>
      </c>
      <c r="BD130" s="108" t="str">
        <f t="shared" si="12"/>
        <v/>
      </c>
      <c r="BE130" s="109" t="str">
        <f t="shared" si="13"/>
        <v/>
      </c>
      <c r="BF130" s="110" t="str">
        <f t="shared" si="14"/>
        <v/>
      </c>
      <c r="BG130" s="111"/>
    </row>
    <row r="131" spans="1:59" ht="12.75">
      <c r="A131" s="101"/>
      <c r="B131" s="102"/>
      <c r="C131" s="102" t="e">
        <f t="array" aca="1" ref="C131" ca="1">_xludf.XLOOKUP(A131,'QA Log'!D:D,'QA Log'!F:F,"")</f>
        <v>#NAME?</v>
      </c>
      <c r="D131" s="102"/>
      <c r="E131" s="102" t="e">
        <f t="array" aca="1" ref="E131" ca="1">_xludf.XLOOKUP(A131,'QA Log'!D:D,'QA Log'!G:G,"")</f>
        <v>#NAME?</v>
      </c>
      <c r="F131" s="103"/>
      <c r="G131" s="104"/>
      <c r="H131" s="104"/>
      <c r="I131" s="103" t="str">
        <f t="shared" si="0"/>
        <v/>
      </c>
      <c r="J131" s="102"/>
      <c r="K131" s="102"/>
      <c r="L131" s="119" t="str">
        <f t="array" ref="L131">IF(OR($B131="",$D131=""),"",
IFERROR(
  INDEX(
    'Tools &amp; Targets_Guideline'!$C$54:$I$269,
    MATCH(
      1,
      ('Tools &amp; Targets_Guideline'!$A$54:$A$269=$B131)*
      ('Tools &amp; Targets_Guideline'!$B$54:$B$269="ANC"),
      0
    ),
    MATCH(
      _xludf.IFNA(
        VLOOKUP($D131,{"PH","Provincial Hospital (H2)";"DH","District Hospital (H3)";"RH","Regional / National Hospital (H1)"},2,0),
        $D131
      ),
      'Tools &amp; Targets_Guideline'!$C$53:$I$53,
      0
    )
  ),
0))</f>
        <v/>
      </c>
      <c r="M131" s="105"/>
      <c r="N131" s="119" t="str">
        <f t="array" ref="N131">IF(OR($B131="",$D131=""),"",
IFERROR(
  INDEX(
    'Tools &amp; Targets_Guideline'!$C$54:$I$269,
    MATCH(
      1,
      ('Tools &amp; Targets_Guideline'!$A$54:$A$269=$B131)*
      ('Tools &amp; Targets_Guideline'!$B$54:$B$269="PNC"),
      0
    ),
    MATCH(
      _xludf.IFNA(
        VLOOKUP($D131,{"PH","Provincial Hospital (H2)";"DH","District Hospital (H3)";"RH","Regional / National Hospital (H1)"},2,0),
        $D131
      ),
      'Tools &amp; Targets_Guideline'!$C$53:$I$53,
      0
    )
  ),
0))</f>
        <v/>
      </c>
      <c r="O131" s="105"/>
      <c r="P131" s="119" t="str">
        <f t="array" ref="P131">IF(OR($B131="",$D131=""),"",
IFERROR(
  INDEX(
    'Tools &amp; Targets_Guideline'!$C$54:$I$269,
    MATCH(
      1,
      ('Tools &amp; Targets_Guideline'!$A$54:$A$269=$B131)*
      ('Tools &amp; Targets_Guideline'!$B$54:$B$269="Delivery"),
      0
    ),
    MATCH(
      _xludf.IFNA(
        VLOOKUP($D131,{"PH","Provincial Hospital (H2)";"DH","District Hospital (H3)";"RH","Regional / National Hospital (H1)"},2,0),
        $D131
      ),
      'Tools &amp; Targets_Guideline'!$C$53:$I$53,
      0
    )
  ),
0))</f>
        <v/>
      </c>
      <c r="Q131" s="105"/>
      <c r="R131" s="119" t="str">
        <f t="array" ref="R131">IF(OR($B131="",$D131=""),"",
IFERROR(
  INDEX(
    'Tools &amp; Targets_Guideline'!$C$54:$I$269,
    MATCH(
      1,
      ('Tools &amp; Targets_Guideline'!$A$54:$A$269=$B131)*
      ('Tools &amp; Targets_Guideline'!$B$54:$B$269="TT"),
      0
    ),
    MATCH(
      _xludf.IFNA(
        VLOOKUP($D131,{"PH","Provincial Hospital (H2)";"DH","District Hospital (H3)";"RH","Regional / National Hospital (H1)"},2,0),
        $D131
      ),
      'Tools &amp; Targets_Guideline'!$C$53:$I$53,
      0
    )
  ),
0))</f>
        <v/>
      </c>
      <c r="S131" s="105"/>
      <c r="T131" s="102"/>
      <c r="U131" s="106"/>
      <c r="V131" s="102" t="str">
        <f t="shared" si="1"/>
        <v/>
      </c>
      <c r="W131" s="102"/>
      <c r="X131" s="102"/>
      <c r="Y131" s="119" t="str">
        <f t="array" ref="Y131">IF(OR($B131="",$D131=""),"",
IFERROR(
  INDEX(
    'Tools &amp; Targets_Guideline'!$C$54:$I$269,
    MATCH(
      1,
      ('Tools &amp; Targets_Guideline'!$A$54:$A$269=$B131)*
      ('Tools &amp; Targets_Guideline'!$B$54:$B$269="GM"),
      0
    ),
    MATCH(
      _xludf.IFNA(
        VLOOKUP($D131,{"PH","Provincial Hospital (H2)";"DH","District Hospital (H3)";"RH","Regional / National Hospital (H1)"},2,0),
        $D131
      ),
      'Tools &amp; Targets_Guideline'!$C$53:$I$53,
      0
    )
  ),
0))</f>
        <v/>
      </c>
      <c r="Z131" s="105"/>
      <c r="AA131" s="119" t="str">
        <f t="array" ref="AA131">IF(OR($B131="",$D131=""),"",
IFERROR(
  INDEX(
    'Tools &amp; Targets_Guideline'!$C$54:$I$269,
    MATCH(
      1,
      ('Tools &amp; Targets_Guideline'!$A$54:$A$269=$B131)*
      ('Tools &amp; Targets_Guideline'!$B$54:$B$269="Penta"),
      0
    ),
    MATCH(
      _xludf.IFNA(
        VLOOKUP($D131,{"PH","Provincial Hospital (H2)";"DH","District Hospital (H3)";"RH","Regional / National Hospital (H1)"},2,0),
        $D131
      ),
      'Tools &amp; Targets_Guideline'!$C$53:$I$53,
      0
    )
  ),
0))</f>
        <v/>
      </c>
      <c r="AB131" s="105"/>
      <c r="AC131" s="119" t="str">
        <f t="array" ref="AC131">IF(OR($B131="",$D131=""),"",
IFERROR(
  INDEX(
    'Tools &amp; Targets_Guideline'!$C$54:$I$269,
    MATCH(
      1,
      ('Tools &amp; Targets_Guideline'!$A$54:$A$269=$B131)*
      ('Tools &amp; Targets_Guideline'!$B$54:$B$269="TB"),
      0
    ),
    MATCH(
      _xludf.IFNA(
        VLOOKUP($D131,{"PH","Provincial Hospital (H2)";"DH","District Hospital (H3)";"RH","Regional / National Hospital (H1)"},2,0),
        $D131
      ),
      'Tools &amp; Targets_Guideline'!$C$53:$I$53,
      0
    )
  ),
0))</f>
        <v/>
      </c>
      <c r="AD131" s="105"/>
      <c r="AE131" s="119" t="str">
        <f t="array" ref="AE131">IF(OR($B131="",$D131=""),"",
IFERROR(
  INDEX(
    'Tools &amp; Targets_Guideline'!$C$54:$I$269,
    MATCH(
      1,
      ('Tools &amp; Targets_Guideline'!$A$54:$A$269=$B131)*
      ('Tools &amp; Targets_Guideline'!$B$54:$B$269="U5 Morbidity"),
      0
    ),
    MATCH(
      _xludf.IFNA(
        VLOOKUP($D131,{"PH","Provincial Hospital (H2)";"DH","District Hospital (H3)";"RH","Regional / National Hospital (H1)"},2,0),
        $D131
      ),
      'Tools &amp; Targets_Guideline'!$C$53:$I$53,
      0
    )
  ),
0))</f>
        <v/>
      </c>
      <c r="AF131" s="105"/>
      <c r="AG131" s="119" t="str">
        <f t="array" ref="AG131">IF(OR($B131="",$D131=""),"",
IFERROR(
  INDEX(
    'Tools &amp; Targets_Guideline'!$C$54:$I$269,
    MATCH(
      1,
      ('Tools &amp; Targets_Guideline'!$A$54:$A$269=$B131)*
      ('Tools &amp; Targets_Guideline'!$B$54:$B$269="C-Section"),
      0
    ),
    MATCH(
      _xludf.IFNA(
        VLOOKUP($D131,{"PH","Provincial Hospital (H2)";"DH","District Hospital (H3)";"RH","Regional / National Hospital (H1)"},2,0),
        $D131
      ),
      'Tools &amp; Targets_Guideline'!$C$53:$I$53,
      0
    )
  ),
0))</f>
        <v/>
      </c>
      <c r="AH131" s="105" t="str">
        <f>IF(A131&lt;&gt;"",COUNTIFS('QA Log'!D:D,A131,'QA Log'!M:M,"QQC",'QA Log'!L:L,"2. Hygiene and Sterilization",'QA Log'!Z:Z,"Approved"),"")</f>
        <v/>
      </c>
      <c r="AI131" s="102"/>
      <c r="AJ131" s="102"/>
      <c r="AK131" s="103" t="str">
        <f t="shared" si="2"/>
        <v/>
      </c>
      <c r="AL131" s="102"/>
      <c r="AM131" s="102"/>
      <c r="AN131" s="102"/>
      <c r="AO131" s="106"/>
      <c r="AP131" s="103"/>
      <c r="AQ131" s="102"/>
      <c r="AR131" s="102"/>
      <c r="AS131" s="102"/>
      <c r="AT131" s="107"/>
      <c r="AU131" s="102" t="str">
        <f t="shared" si="3"/>
        <v/>
      </c>
      <c r="AV131" s="102" t="str">
        <f t="shared" si="4"/>
        <v/>
      </c>
      <c r="AW131" s="102" t="str">
        <f t="shared" si="5"/>
        <v/>
      </c>
      <c r="AX131" s="102" t="str">
        <f t="shared" si="6"/>
        <v/>
      </c>
      <c r="AY131" s="107" t="str">
        <f t="shared" si="7"/>
        <v/>
      </c>
      <c r="AZ131" s="108" t="str">
        <f t="shared" si="8"/>
        <v/>
      </c>
      <c r="BA131" s="108" t="str">
        <f t="shared" si="9"/>
        <v/>
      </c>
      <c r="BB131" s="109" t="str">
        <f t="shared" si="10"/>
        <v/>
      </c>
      <c r="BC131" s="108" t="str">
        <f t="shared" si="11"/>
        <v/>
      </c>
      <c r="BD131" s="108" t="str">
        <f t="shared" si="12"/>
        <v/>
      </c>
      <c r="BE131" s="109" t="str">
        <f t="shared" si="13"/>
        <v/>
      </c>
      <c r="BF131" s="110" t="str">
        <f t="shared" si="14"/>
        <v/>
      </c>
      <c r="BG131" s="111"/>
    </row>
    <row r="132" spans="1:59" ht="12.75">
      <c r="A132" s="101"/>
      <c r="B132" s="102"/>
      <c r="C132" s="102" t="e">
        <f t="array" aca="1" ref="C132" ca="1">_xludf.XLOOKUP(A132,'QA Log'!D:D,'QA Log'!F:F,"")</f>
        <v>#NAME?</v>
      </c>
      <c r="D132" s="102"/>
      <c r="E132" s="102" t="e">
        <f t="array" aca="1" ref="E132" ca="1">_xludf.XLOOKUP(A132,'QA Log'!D:D,'QA Log'!G:G,"")</f>
        <v>#NAME?</v>
      </c>
      <c r="F132" s="103"/>
      <c r="G132" s="104"/>
      <c r="H132" s="104"/>
      <c r="I132" s="103" t="str">
        <f t="shared" si="0"/>
        <v/>
      </c>
      <c r="J132" s="102"/>
      <c r="K132" s="102"/>
      <c r="L132" s="119" t="str">
        <f t="array" ref="L132">IF(OR($B132="",$D132=""),"",
IFERROR(
  INDEX(
    'Tools &amp; Targets_Guideline'!$C$54:$I$269,
    MATCH(
      1,
      ('Tools &amp; Targets_Guideline'!$A$54:$A$269=$B132)*
      ('Tools &amp; Targets_Guideline'!$B$54:$B$269="ANC"),
      0
    ),
    MATCH(
      _xludf.IFNA(
        VLOOKUP($D132,{"PH","Provincial Hospital (H2)";"DH","District Hospital (H3)";"RH","Regional / National Hospital (H1)"},2,0),
        $D132
      ),
      'Tools &amp; Targets_Guideline'!$C$53:$I$53,
      0
    )
  ),
0))</f>
        <v/>
      </c>
      <c r="M132" s="105"/>
      <c r="N132" s="119" t="str">
        <f t="array" ref="N132">IF(OR($B132="",$D132=""),"",
IFERROR(
  INDEX(
    'Tools &amp; Targets_Guideline'!$C$54:$I$269,
    MATCH(
      1,
      ('Tools &amp; Targets_Guideline'!$A$54:$A$269=$B132)*
      ('Tools &amp; Targets_Guideline'!$B$54:$B$269="PNC"),
      0
    ),
    MATCH(
      _xludf.IFNA(
        VLOOKUP($D132,{"PH","Provincial Hospital (H2)";"DH","District Hospital (H3)";"RH","Regional / National Hospital (H1)"},2,0),
        $D132
      ),
      'Tools &amp; Targets_Guideline'!$C$53:$I$53,
      0
    )
  ),
0))</f>
        <v/>
      </c>
      <c r="O132" s="105"/>
      <c r="P132" s="119" t="str">
        <f t="array" ref="P132">IF(OR($B132="",$D132=""),"",
IFERROR(
  INDEX(
    'Tools &amp; Targets_Guideline'!$C$54:$I$269,
    MATCH(
      1,
      ('Tools &amp; Targets_Guideline'!$A$54:$A$269=$B132)*
      ('Tools &amp; Targets_Guideline'!$B$54:$B$269="Delivery"),
      0
    ),
    MATCH(
      _xludf.IFNA(
        VLOOKUP($D132,{"PH","Provincial Hospital (H2)";"DH","District Hospital (H3)";"RH","Regional / National Hospital (H1)"},2,0),
        $D132
      ),
      'Tools &amp; Targets_Guideline'!$C$53:$I$53,
      0
    )
  ),
0))</f>
        <v/>
      </c>
      <c r="Q132" s="105"/>
      <c r="R132" s="119" t="str">
        <f t="array" ref="R132">IF(OR($B132="",$D132=""),"",
IFERROR(
  INDEX(
    'Tools &amp; Targets_Guideline'!$C$54:$I$269,
    MATCH(
      1,
      ('Tools &amp; Targets_Guideline'!$A$54:$A$269=$B132)*
      ('Tools &amp; Targets_Guideline'!$B$54:$B$269="TT"),
      0
    ),
    MATCH(
      _xludf.IFNA(
        VLOOKUP($D132,{"PH","Provincial Hospital (H2)";"DH","District Hospital (H3)";"RH","Regional / National Hospital (H1)"},2,0),
        $D132
      ),
      'Tools &amp; Targets_Guideline'!$C$53:$I$53,
      0
    )
  ),
0))</f>
        <v/>
      </c>
      <c r="S132" s="105"/>
      <c r="T132" s="102"/>
      <c r="U132" s="106"/>
      <c r="V132" s="102" t="str">
        <f t="shared" si="1"/>
        <v/>
      </c>
      <c r="W132" s="102"/>
      <c r="X132" s="102"/>
      <c r="Y132" s="119" t="str">
        <f t="array" ref="Y132">IF(OR($B132="",$D132=""),"",
IFERROR(
  INDEX(
    'Tools &amp; Targets_Guideline'!$C$54:$I$269,
    MATCH(
      1,
      ('Tools &amp; Targets_Guideline'!$A$54:$A$269=$B132)*
      ('Tools &amp; Targets_Guideline'!$B$54:$B$269="GM"),
      0
    ),
    MATCH(
      _xludf.IFNA(
        VLOOKUP($D132,{"PH","Provincial Hospital (H2)";"DH","District Hospital (H3)";"RH","Regional / National Hospital (H1)"},2,0),
        $D132
      ),
      'Tools &amp; Targets_Guideline'!$C$53:$I$53,
      0
    )
  ),
0))</f>
        <v/>
      </c>
      <c r="Z132" s="105"/>
      <c r="AA132" s="119" t="str">
        <f t="array" ref="AA132">IF(OR($B132="",$D132=""),"",
IFERROR(
  INDEX(
    'Tools &amp; Targets_Guideline'!$C$54:$I$269,
    MATCH(
      1,
      ('Tools &amp; Targets_Guideline'!$A$54:$A$269=$B132)*
      ('Tools &amp; Targets_Guideline'!$B$54:$B$269="Penta"),
      0
    ),
    MATCH(
      _xludf.IFNA(
        VLOOKUP($D132,{"PH","Provincial Hospital (H2)";"DH","District Hospital (H3)";"RH","Regional / National Hospital (H1)"},2,0),
        $D132
      ),
      'Tools &amp; Targets_Guideline'!$C$53:$I$53,
      0
    )
  ),
0))</f>
        <v/>
      </c>
      <c r="AB132" s="105"/>
      <c r="AC132" s="119" t="str">
        <f t="array" ref="AC132">IF(OR($B132="",$D132=""),"",
IFERROR(
  INDEX(
    'Tools &amp; Targets_Guideline'!$C$54:$I$269,
    MATCH(
      1,
      ('Tools &amp; Targets_Guideline'!$A$54:$A$269=$B132)*
      ('Tools &amp; Targets_Guideline'!$B$54:$B$269="TB"),
      0
    ),
    MATCH(
      _xludf.IFNA(
        VLOOKUP($D132,{"PH","Provincial Hospital (H2)";"DH","District Hospital (H3)";"RH","Regional / National Hospital (H1)"},2,0),
        $D132
      ),
      'Tools &amp; Targets_Guideline'!$C$53:$I$53,
      0
    )
  ),
0))</f>
        <v/>
      </c>
      <c r="AD132" s="105"/>
      <c r="AE132" s="119" t="str">
        <f t="array" ref="AE132">IF(OR($B132="",$D132=""),"",
IFERROR(
  INDEX(
    'Tools &amp; Targets_Guideline'!$C$54:$I$269,
    MATCH(
      1,
      ('Tools &amp; Targets_Guideline'!$A$54:$A$269=$B132)*
      ('Tools &amp; Targets_Guideline'!$B$54:$B$269="U5 Morbidity"),
      0
    ),
    MATCH(
      _xludf.IFNA(
        VLOOKUP($D132,{"PH","Provincial Hospital (H2)";"DH","District Hospital (H3)";"RH","Regional / National Hospital (H1)"},2,0),
        $D132
      ),
      'Tools &amp; Targets_Guideline'!$C$53:$I$53,
      0
    )
  ),
0))</f>
        <v/>
      </c>
      <c r="AF132" s="105"/>
      <c r="AG132" s="119" t="str">
        <f t="array" ref="AG132">IF(OR($B132="",$D132=""),"",
IFERROR(
  INDEX(
    'Tools &amp; Targets_Guideline'!$C$54:$I$269,
    MATCH(
      1,
      ('Tools &amp; Targets_Guideline'!$A$54:$A$269=$B132)*
      ('Tools &amp; Targets_Guideline'!$B$54:$B$269="C-Section"),
      0
    ),
    MATCH(
      _xludf.IFNA(
        VLOOKUP($D132,{"PH","Provincial Hospital (H2)";"DH","District Hospital (H3)";"RH","Regional / National Hospital (H1)"},2,0),
        $D132
      ),
      'Tools &amp; Targets_Guideline'!$C$53:$I$53,
      0
    )
  ),
0))</f>
        <v/>
      </c>
      <c r="AH132" s="105" t="str">
        <f>IF(A132&lt;&gt;"",COUNTIFS('QA Log'!D:D,A132,'QA Log'!M:M,"QQC",'QA Log'!L:L,"2. Hygiene and Sterilization",'QA Log'!Z:Z,"Approved"),"")</f>
        <v/>
      </c>
      <c r="AI132" s="102"/>
      <c r="AJ132" s="102"/>
      <c r="AK132" s="103" t="str">
        <f t="shared" si="2"/>
        <v/>
      </c>
      <c r="AL132" s="102"/>
      <c r="AM132" s="102"/>
      <c r="AN132" s="102"/>
      <c r="AO132" s="106"/>
      <c r="AP132" s="103"/>
      <c r="AQ132" s="102"/>
      <c r="AR132" s="102"/>
      <c r="AS132" s="102"/>
      <c r="AT132" s="107"/>
      <c r="AU132" s="102" t="str">
        <f t="shared" si="3"/>
        <v/>
      </c>
      <c r="AV132" s="102" t="str">
        <f t="shared" si="4"/>
        <v/>
      </c>
      <c r="AW132" s="102" t="str">
        <f t="shared" si="5"/>
        <v/>
      </c>
      <c r="AX132" s="102" t="str">
        <f t="shared" si="6"/>
        <v/>
      </c>
      <c r="AY132" s="107" t="str">
        <f t="shared" si="7"/>
        <v/>
      </c>
      <c r="AZ132" s="108" t="str">
        <f t="shared" si="8"/>
        <v/>
      </c>
      <c r="BA132" s="108" t="str">
        <f t="shared" si="9"/>
        <v/>
      </c>
      <c r="BB132" s="109" t="str">
        <f t="shared" si="10"/>
        <v/>
      </c>
      <c r="BC132" s="108" t="str">
        <f t="shared" si="11"/>
        <v/>
      </c>
      <c r="BD132" s="108" t="str">
        <f t="shared" si="12"/>
        <v/>
      </c>
      <c r="BE132" s="109" t="str">
        <f t="shared" si="13"/>
        <v/>
      </c>
      <c r="BF132" s="110" t="str">
        <f t="shared" si="14"/>
        <v/>
      </c>
      <c r="BG132" s="111"/>
    </row>
    <row r="133" spans="1:59" ht="12.75">
      <c r="A133" s="101"/>
      <c r="B133" s="102"/>
      <c r="C133" s="102" t="e">
        <f t="array" aca="1" ref="C133" ca="1">_xludf.XLOOKUP(A133,'QA Log'!D:D,'QA Log'!F:F,"")</f>
        <v>#NAME?</v>
      </c>
      <c r="D133" s="102"/>
      <c r="E133" s="102" t="e">
        <f t="array" aca="1" ref="E133" ca="1">_xludf.XLOOKUP(A133,'QA Log'!D:D,'QA Log'!G:G,"")</f>
        <v>#NAME?</v>
      </c>
      <c r="F133" s="103"/>
      <c r="G133" s="104"/>
      <c r="H133" s="104"/>
      <c r="I133" s="103" t="str">
        <f t="shared" si="0"/>
        <v/>
      </c>
      <c r="J133" s="102"/>
      <c r="K133" s="102"/>
      <c r="L133" s="119" t="str">
        <f t="array" ref="L133">IF(OR($B133="",$D133=""),"",
IFERROR(
  INDEX(
    'Tools &amp; Targets_Guideline'!$C$54:$I$269,
    MATCH(
      1,
      ('Tools &amp; Targets_Guideline'!$A$54:$A$269=$B133)*
      ('Tools &amp; Targets_Guideline'!$B$54:$B$269="ANC"),
      0
    ),
    MATCH(
      _xludf.IFNA(
        VLOOKUP($D133,{"PH","Provincial Hospital (H2)";"DH","District Hospital (H3)";"RH","Regional / National Hospital (H1)"},2,0),
        $D133
      ),
      'Tools &amp; Targets_Guideline'!$C$53:$I$53,
      0
    )
  ),
0))</f>
        <v/>
      </c>
      <c r="M133" s="105"/>
      <c r="N133" s="119" t="str">
        <f t="array" ref="N133">IF(OR($B133="",$D133=""),"",
IFERROR(
  INDEX(
    'Tools &amp; Targets_Guideline'!$C$54:$I$269,
    MATCH(
      1,
      ('Tools &amp; Targets_Guideline'!$A$54:$A$269=$B133)*
      ('Tools &amp; Targets_Guideline'!$B$54:$B$269="PNC"),
      0
    ),
    MATCH(
      _xludf.IFNA(
        VLOOKUP($D133,{"PH","Provincial Hospital (H2)";"DH","District Hospital (H3)";"RH","Regional / National Hospital (H1)"},2,0),
        $D133
      ),
      'Tools &amp; Targets_Guideline'!$C$53:$I$53,
      0
    )
  ),
0))</f>
        <v/>
      </c>
      <c r="O133" s="105"/>
      <c r="P133" s="119" t="str">
        <f t="array" ref="P133">IF(OR($B133="",$D133=""),"",
IFERROR(
  INDEX(
    'Tools &amp; Targets_Guideline'!$C$54:$I$269,
    MATCH(
      1,
      ('Tools &amp; Targets_Guideline'!$A$54:$A$269=$B133)*
      ('Tools &amp; Targets_Guideline'!$B$54:$B$269="Delivery"),
      0
    ),
    MATCH(
      _xludf.IFNA(
        VLOOKUP($D133,{"PH","Provincial Hospital (H2)";"DH","District Hospital (H3)";"RH","Regional / National Hospital (H1)"},2,0),
        $D133
      ),
      'Tools &amp; Targets_Guideline'!$C$53:$I$53,
      0
    )
  ),
0))</f>
        <v/>
      </c>
      <c r="Q133" s="105"/>
      <c r="R133" s="119" t="str">
        <f t="array" ref="R133">IF(OR($B133="",$D133=""),"",
IFERROR(
  INDEX(
    'Tools &amp; Targets_Guideline'!$C$54:$I$269,
    MATCH(
      1,
      ('Tools &amp; Targets_Guideline'!$A$54:$A$269=$B133)*
      ('Tools &amp; Targets_Guideline'!$B$54:$B$269="TT"),
      0
    ),
    MATCH(
      _xludf.IFNA(
        VLOOKUP($D133,{"PH","Provincial Hospital (H2)";"DH","District Hospital (H3)";"RH","Regional / National Hospital (H1)"},2,0),
        $D133
      ),
      'Tools &amp; Targets_Guideline'!$C$53:$I$53,
      0
    )
  ),
0))</f>
        <v/>
      </c>
      <c r="S133" s="105"/>
      <c r="T133" s="102"/>
      <c r="U133" s="106"/>
      <c r="V133" s="102" t="str">
        <f t="shared" si="1"/>
        <v/>
      </c>
      <c r="W133" s="102"/>
      <c r="X133" s="102"/>
      <c r="Y133" s="119" t="str">
        <f t="array" ref="Y133">IF(OR($B133="",$D133=""),"",
IFERROR(
  INDEX(
    'Tools &amp; Targets_Guideline'!$C$54:$I$269,
    MATCH(
      1,
      ('Tools &amp; Targets_Guideline'!$A$54:$A$269=$B133)*
      ('Tools &amp; Targets_Guideline'!$B$54:$B$269="GM"),
      0
    ),
    MATCH(
      _xludf.IFNA(
        VLOOKUP($D133,{"PH","Provincial Hospital (H2)";"DH","District Hospital (H3)";"RH","Regional / National Hospital (H1)"},2,0),
        $D133
      ),
      'Tools &amp; Targets_Guideline'!$C$53:$I$53,
      0
    )
  ),
0))</f>
        <v/>
      </c>
      <c r="Z133" s="105"/>
      <c r="AA133" s="119" t="str">
        <f t="array" ref="AA133">IF(OR($B133="",$D133=""),"",
IFERROR(
  INDEX(
    'Tools &amp; Targets_Guideline'!$C$54:$I$269,
    MATCH(
      1,
      ('Tools &amp; Targets_Guideline'!$A$54:$A$269=$B133)*
      ('Tools &amp; Targets_Guideline'!$B$54:$B$269="Penta"),
      0
    ),
    MATCH(
      _xludf.IFNA(
        VLOOKUP($D133,{"PH","Provincial Hospital (H2)";"DH","District Hospital (H3)";"RH","Regional / National Hospital (H1)"},2,0),
        $D133
      ),
      'Tools &amp; Targets_Guideline'!$C$53:$I$53,
      0
    )
  ),
0))</f>
        <v/>
      </c>
      <c r="AB133" s="105"/>
      <c r="AC133" s="119" t="str">
        <f t="array" ref="AC133">IF(OR($B133="",$D133=""),"",
IFERROR(
  INDEX(
    'Tools &amp; Targets_Guideline'!$C$54:$I$269,
    MATCH(
      1,
      ('Tools &amp; Targets_Guideline'!$A$54:$A$269=$B133)*
      ('Tools &amp; Targets_Guideline'!$B$54:$B$269="TB"),
      0
    ),
    MATCH(
      _xludf.IFNA(
        VLOOKUP($D133,{"PH","Provincial Hospital (H2)";"DH","District Hospital (H3)";"RH","Regional / National Hospital (H1)"},2,0),
        $D133
      ),
      'Tools &amp; Targets_Guideline'!$C$53:$I$53,
      0
    )
  ),
0))</f>
        <v/>
      </c>
      <c r="AD133" s="105"/>
      <c r="AE133" s="119" t="str">
        <f t="array" ref="AE133">IF(OR($B133="",$D133=""),"",
IFERROR(
  INDEX(
    'Tools &amp; Targets_Guideline'!$C$54:$I$269,
    MATCH(
      1,
      ('Tools &amp; Targets_Guideline'!$A$54:$A$269=$B133)*
      ('Tools &amp; Targets_Guideline'!$B$54:$B$269="U5 Morbidity"),
      0
    ),
    MATCH(
      _xludf.IFNA(
        VLOOKUP($D133,{"PH","Provincial Hospital (H2)";"DH","District Hospital (H3)";"RH","Regional / National Hospital (H1)"},2,0),
        $D133
      ),
      'Tools &amp; Targets_Guideline'!$C$53:$I$53,
      0
    )
  ),
0))</f>
        <v/>
      </c>
      <c r="AF133" s="105"/>
      <c r="AG133" s="119" t="str">
        <f t="array" ref="AG133">IF(OR($B133="",$D133=""),"",
IFERROR(
  INDEX(
    'Tools &amp; Targets_Guideline'!$C$54:$I$269,
    MATCH(
      1,
      ('Tools &amp; Targets_Guideline'!$A$54:$A$269=$B133)*
      ('Tools &amp; Targets_Guideline'!$B$54:$B$269="C-Section"),
      0
    ),
    MATCH(
      _xludf.IFNA(
        VLOOKUP($D133,{"PH","Provincial Hospital (H2)";"DH","District Hospital (H3)";"RH","Regional / National Hospital (H1)"},2,0),
        $D133
      ),
      'Tools &amp; Targets_Guideline'!$C$53:$I$53,
      0
    )
  ),
0))</f>
        <v/>
      </c>
      <c r="AH133" s="105" t="str">
        <f>IF(A133&lt;&gt;"",COUNTIFS('QA Log'!D:D,A133,'QA Log'!M:M,"QQC",'QA Log'!L:L,"2. Hygiene and Sterilization",'QA Log'!Z:Z,"Approved"),"")</f>
        <v/>
      </c>
      <c r="AI133" s="102"/>
      <c r="AJ133" s="102"/>
      <c r="AK133" s="103" t="str">
        <f t="shared" si="2"/>
        <v/>
      </c>
      <c r="AL133" s="102"/>
      <c r="AM133" s="102"/>
      <c r="AN133" s="102"/>
      <c r="AO133" s="106"/>
      <c r="AP133" s="103"/>
      <c r="AQ133" s="102"/>
      <c r="AR133" s="102"/>
      <c r="AS133" s="102"/>
      <c r="AT133" s="107"/>
      <c r="AU133" s="102" t="str">
        <f t="shared" si="3"/>
        <v/>
      </c>
      <c r="AV133" s="102" t="str">
        <f t="shared" si="4"/>
        <v/>
      </c>
      <c r="AW133" s="102" t="str">
        <f t="shared" si="5"/>
        <v/>
      </c>
      <c r="AX133" s="102" t="str">
        <f t="shared" si="6"/>
        <v/>
      </c>
      <c r="AY133" s="107" t="str">
        <f t="shared" si="7"/>
        <v/>
      </c>
      <c r="AZ133" s="108" t="str">
        <f t="shared" si="8"/>
        <v/>
      </c>
      <c r="BA133" s="108" t="str">
        <f t="shared" si="9"/>
        <v/>
      </c>
      <c r="BB133" s="109" t="str">
        <f t="shared" si="10"/>
        <v/>
      </c>
      <c r="BC133" s="108" t="str">
        <f t="shared" si="11"/>
        <v/>
      </c>
      <c r="BD133" s="108" t="str">
        <f t="shared" si="12"/>
        <v/>
      </c>
      <c r="BE133" s="109" t="str">
        <f t="shared" si="13"/>
        <v/>
      </c>
      <c r="BF133" s="110" t="str">
        <f t="shared" si="14"/>
        <v/>
      </c>
      <c r="BG133" s="111"/>
    </row>
    <row r="134" spans="1:59" ht="12.75">
      <c r="A134" s="101"/>
      <c r="B134" s="102"/>
      <c r="C134" s="102" t="e">
        <f t="array" aca="1" ref="C134" ca="1">_xludf.XLOOKUP(A134,'QA Log'!D:D,'QA Log'!F:F,"")</f>
        <v>#NAME?</v>
      </c>
      <c r="D134" s="102"/>
      <c r="E134" s="102" t="e">
        <f t="array" aca="1" ref="E134" ca="1">_xludf.XLOOKUP(A134,'QA Log'!D:D,'QA Log'!G:G,"")</f>
        <v>#NAME?</v>
      </c>
      <c r="F134" s="103"/>
      <c r="G134" s="104"/>
      <c r="H134" s="104"/>
      <c r="I134" s="103" t="str">
        <f t="shared" si="0"/>
        <v/>
      </c>
      <c r="J134" s="102"/>
      <c r="K134" s="102"/>
      <c r="L134" s="119" t="str">
        <f t="array" ref="L134">IF(OR($B134="",$D134=""),"",
IFERROR(
  INDEX(
    'Tools &amp; Targets_Guideline'!$C$54:$I$269,
    MATCH(
      1,
      ('Tools &amp; Targets_Guideline'!$A$54:$A$269=$B134)*
      ('Tools &amp; Targets_Guideline'!$B$54:$B$269="ANC"),
      0
    ),
    MATCH(
      _xludf.IFNA(
        VLOOKUP($D134,{"PH","Provincial Hospital (H2)";"DH","District Hospital (H3)";"RH","Regional / National Hospital (H1)"},2,0),
        $D134
      ),
      'Tools &amp; Targets_Guideline'!$C$53:$I$53,
      0
    )
  ),
0))</f>
        <v/>
      </c>
      <c r="M134" s="105"/>
      <c r="N134" s="119" t="str">
        <f t="array" ref="N134">IF(OR($B134="",$D134=""),"",
IFERROR(
  INDEX(
    'Tools &amp; Targets_Guideline'!$C$54:$I$269,
    MATCH(
      1,
      ('Tools &amp; Targets_Guideline'!$A$54:$A$269=$B134)*
      ('Tools &amp; Targets_Guideline'!$B$54:$B$269="PNC"),
      0
    ),
    MATCH(
      _xludf.IFNA(
        VLOOKUP($D134,{"PH","Provincial Hospital (H2)";"DH","District Hospital (H3)";"RH","Regional / National Hospital (H1)"},2,0),
        $D134
      ),
      'Tools &amp; Targets_Guideline'!$C$53:$I$53,
      0
    )
  ),
0))</f>
        <v/>
      </c>
      <c r="O134" s="105"/>
      <c r="P134" s="119" t="str">
        <f t="array" ref="P134">IF(OR($B134="",$D134=""),"",
IFERROR(
  INDEX(
    'Tools &amp; Targets_Guideline'!$C$54:$I$269,
    MATCH(
      1,
      ('Tools &amp; Targets_Guideline'!$A$54:$A$269=$B134)*
      ('Tools &amp; Targets_Guideline'!$B$54:$B$269="Delivery"),
      0
    ),
    MATCH(
      _xludf.IFNA(
        VLOOKUP($D134,{"PH","Provincial Hospital (H2)";"DH","District Hospital (H3)";"RH","Regional / National Hospital (H1)"},2,0),
        $D134
      ),
      'Tools &amp; Targets_Guideline'!$C$53:$I$53,
      0
    )
  ),
0))</f>
        <v/>
      </c>
      <c r="Q134" s="105"/>
      <c r="R134" s="119" t="str">
        <f t="array" ref="R134">IF(OR($B134="",$D134=""),"",
IFERROR(
  INDEX(
    'Tools &amp; Targets_Guideline'!$C$54:$I$269,
    MATCH(
      1,
      ('Tools &amp; Targets_Guideline'!$A$54:$A$269=$B134)*
      ('Tools &amp; Targets_Guideline'!$B$54:$B$269="TT"),
      0
    ),
    MATCH(
      _xludf.IFNA(
        VLOOKUP($D134,{"PH","Provincial Hospital (H2)";"DH","District Hospital (H3)";"RH","Regional / National Hospital (H1)"},2,0),
        $D134
      ),
      'Tools &amp; Targets_Guideline'!$C$53:$I$53,
      0
    )
  ),
0))</f>
        <v/>
      </c>
      <c r="S134" s="105"/>
      <c r="T134" s="102"/>
      <c r="U134" s="106"/>
      <c r="V134" s="102" t="str">
        <f t="shared" si="1"/>
        <v/>
      </c>
      <c r="W134" s="102"/>
      <c r="X134" s="102"/>
      <c r="Y134" s="119" t="str">
        <f t="array" ref="Y134">IF(OR($B134="",$D134=""),"",
IFERROR(
  INDEX(
    'Tools &amp; Targets_Guideline'!$C$54:$I$269,
    MATCH(
      1,
      ('Tools &amp; Targets_Guideline'!$A$54:$A$269=$B134)*
      ('Tools &amp; Targets_Guideline'!$B$54:$B$269="GM"),
      0
    ),
    MATCH(
      _xludf.IFNA(
        VLOOKUP($D134,{"PH","Provincial Hospital (H2)";"DH","District Hospital (H3)";"RH","Regional / National Hospital (H1)"},2,0),
        $D134
      ),
      'Tools &amp; Targets_Guideline'!$C$53:$I$53,
      0
    )
  ),
0))</f>
        <v/>
      </c>
      <c r="Z134" s="105"/>
      <c r="AA134" s="119" t="str">
        <f t="array" ref="AA134">IF(OR($B134="",$D134=""),"",
IFERROR(
  INDEX(
    'Tools &amp; Targets_Guideline'!$C$54:$I$269,
    MATCH(
      1,
      ('Tools &amp; Targets_Guideline'!$A$54:$A$269=$B134)*
      ('Tools &amp; Targets_Guideline'!$B$54:$B$269="Penta"),
      0
    ),
    MATCH(
      _xludf.IFNA(
        VLOOKUP($D134,{"PH","Provincial Hospital (H2)";"DH","District Hospital (H3)";"RH","Regional / National Hospital (H1)"},2,0),
        $D134
      ),
      'Tools &amp; Targets_Guideline'!$C$53:$I$53,
      0
    )
  ),
0))</f>
        <v/>
      </c>
      <c r="AB134" s="105"/>
      <c r="AC134" s="119" t="str">
        <f t="array" ref="AC134">IF(OR($B134="",$D134=""),"",
IFERROR(
  INDEX(
    'Tools &amp; Targets_Guideline'!$C$54:$I$269,
    MATCH(
      1,
      ('Tools &amp; Targets_Guideline'!$A$54:$A$269=$B134)*
      ('Tools &amp; Targets_Guideline'!$B$54:$B$269="TB"),
      0
    ),
    MATCH(
      _xludf.IFNA(
        VLOOKUP($D134,{"PH","Provincial Hospital (H2)";"DH","District Hospital (H3)";"RH","Regional / National Hospital (H1)"},2,0),
        $D134
      ),
      'Tools &amp; Targets_Guideline'!$C$53:$I$53,
      0
    )
  ),
0))</f>
        <v/>
      </c>
      <c r="AD134" s="105"/>
      <c r="AE134" s="119" t="str">
        <f t="array" ref="AE134">IF(OR($B134="",$D134=""),"",
IFERROR(
  INDEX(
    'Tools &amp; Targets_Guideline'!$C$54:$I$269,
    MATCH(
      1,
      ('Tools &amp; Targets_Guideline'!$A$54:$A$269=$B134)*
      ('Tools &amp; Targets_Guideline'!$B$54:$B$269="U5 Morbidity"),
      0
    ),
    MATCH(
      _xludf.IFNA(
        VLOOKUP($D134,{"PH","Provincial Hospital (H2)";"DH","District Hospital (H3)";"RH","Regional / National Hospital (H1)"},2,0),
        $D134
      ),
      'Tools &amp; Targets_Guideline'!$C$53:$I$53,
      0
    )
  ),
0))</f>
        <v/>
      </c>
      <c r="AF134" s="105"/>
      <c r="AG134" s="119" t="str">
        <f t="array" ref="AG134">IF(OR($B134="",$D134=""),"",
IFERROR(
  INDEX(
    'Tools &amp; Targets_Guideline'!$C$54:$I$269,
    MATCH(
      1,
      ('Tools &amp; Targets_Guideline'!$A$54:$A$269=$B134)*
      ('Tools &amp; Targets_Guideline'!$B$54:$B$269="C-Section"),
      0
    ),
    MATCH(
      _xludf.IFNA(
        VLOOKUP($D134,{"PH","Provincial Hospital (H2)";"DH","District Hospital (H3)";"RH","Regional / National Hospital (H1)"},2,0),
        $D134
      ),
      'Tools &amp; Targets_Guideline'!$C$53:$I$53,
      0
    )
  ),
0))</f>
        <v/>
      </c>
      <c r="AH134" s="105" t="str">
        <f>IF(A134&lt;&gt;"",COUNTIFS('QA Log'!D:D,A134,'QA Log'!M:M,"QQC",'QA Log'!L:L,"2. Hygiene and Sterilization",'QA Log'!Z:Z,"Approved"),"")</f>
        <v/>
      </c>
      <c r="AI134" s="102"/>
      <c r="AJ134" s="102"/>
      <c r="AK134" s="103" t="str">
        <f t="shared" si="2"/>
        <v/>
      </c>
      <c r="AL134" s="102"/>
      <c r="AM134" s="102"/>
      <c r="AN134" s="102"/>
      <c r="AO134" s="106"/>
      <c r="AP134" s="103"/>
      <c r="AQ134" s="102"/>
      <c r="AR134" s="102"/>
      <c r="AS134" s="102"/>
      <c r="AT134" s="107"/>
      <c r="AU134" s="102" t="str">
        <f t="shared" si="3"/>
        <v/>
      </c>
      <c r="AV134" s="102" t="str">
        <f t="shared" si="4"/>
        <v/>
      </c>
      <c r="AW134" s="102" t="str">
        <f t="shared" si="5"/>
        <v/>
      </c>
      <c r="AX134" s="102" t="str">
        <f t="shared" si="6"/>
        <v/>
      </c>
      <c r="AY134" s="107" t="str">
        <f t="shared" si="7"/>
        <v/>
      </c>
      <c r="AZ134" s="108" t="str">
        <f t="shared" si="8"/>
        <v/>
      </c>
      <c r="BA134" s="108" t="str">
        <f t="shared" si="9"/>
        <v/>
      </c>
      <c r="BB134" s="109" t="str">
        <f t="shared" si="10"/>
        <v/>
      </c>
      <c r="BC134" s="108" t="str">
        <f t="shared" si="11"/>
        <v/>
      </c>
      <c r="BD134" s="108" t="str">
        <f t="shared" si="12"/>
        <v/>
      </c>
      <c r="BE134" s="109" t="str">
        <f t="shared" si="13"/>
        <v/>
      </c>
      <c r="BF134" s="110" t="str">
        <f t="shared" si="14"/>
        <v/>
      </c>
      <c r="BG134" s="111"/>
    </row>
    <row r="135" spans="1:59" ht="12.75">
      <c r="A135" s="101"/>
      <c r="B135" s="102"/>
      <c r="C135" s="102" t="e">
        <f t="array" aca="1" ref="C135" ca="1">_xludf.XLOOKUP(A135,'QA Log'!D:D,'QA Log'!F:F,"")</f>
        <v>#NAME?</v>
      </c>
      <c r="D135" s="102"/>
      <c r="E135" s="102" t="e">
        <f t="array" aca="1" ref="E135" ca="1">_xludf.XLOOKUP(A135,'QA Log'!D:D,'QA Log'!G:G,"")</f>
        <v>#NAME?</v>
      </c>
      <c r="F135" s="103"/>
      <c r="G135" s="104"/>
      <c r="H135" s="104"/>
      <c r="I135" s="103" t="str">
        <f t="shared" si="0"/>
        <v/>
      </c>
      <c r="J135" s="102"/>
      <c r="K135" s="102"/>
      <c r="L135" s="119" t="str">
        <f t="array" ref="L135">IF(OR($B135="",$D135=""),"",
IFERROR(
  INDEX(
    'Tools &amp; Targets_Guideline'!$C$54:$I$269,
    MATCH(
      1,
      ('Tools &amp; Targets_Guideline'!$A$54:$A$269=$B135)*
      ('Tools &amp; Targets_Guideline'!$B$54:$B$269="ANC"),
      0
    ),
    MATCH(
      _xludf.IFNA(
        VLOOKUP($D135,{"PH","Provincial Hospital (H2)";"DH","District Hospital (H3)";"RH","Regional / National Hospital (H1)"},2,0),
        $D135
      ),
      'Tools &amp; Targets_Guideline'!$C$53:$I$53,
      0
    )
  ),
0))</f>
        <v/>
      </c>
      <c r="M135" s="105"/>
      <c r="N135" s="119" t="str">
        <f t="array" ref="N135">IF(OR($B135="",$D135=""),"",
IFERROR(
  INDEX(
    'Tools &amp; Targets_Guideline'!$C$54:$I$269,
    MATCH(
      1,
      ('Tools &amp; Targets_Guideline'!$A$54:$A$269=$B135)*
      ('Tools &amp; Targets_Guideline'!$B$54:$B$269="PNC"),
      0
    ),
    MATCH(
      _xludf.IFNA(
        VLOOKUP($D135,{"PH","Provincial Hospital (H2)";"DH","District Hospital (H3)";"RH","Regional / National Hospital (H1)"},2,0),
        $D135
      ),
      'Tools &amp; Targets_Guideline'!$C$53:$I$53,
      0
    )
  ),
0))</f>
        <v/>
      </c>
      <c r="O135" s="105"/>
      <c r="P135" s="119" t="str">
        <f t="array" ref="P135">IF(OR($B135="",$D135=""),"",
IFERROR(
  INDEX(
    'Tools &amp; Targets_Guideline'!$C$54:$I$269,
    MATCH(
      1,
      ('Tools &amp; Targets_Guideline'!$A$54:$A$269=$B135)*
      ('Tools &amp; Targets_Guideline'!$B$54:$B$269="Delivery"),
      0
    ),
    MATCH(
      _xludf.IFNA(
        VLOOKUP($D135,{"PH","Provincial Hospital (H2)";"DH","District Hospital (H3)";"RH","Regional / National Hospital (H1)"},2,0),
        $D135
      ),
      'Tools &amp; Targets_Guideline'!$C$53:$I$53,
      0
    )
  ),
0))</f>
        <v/>
      </c>
      <c r="Q135" s="105"/>
      <c r="R135" s="119" t="str">
        <f t="array" ref="R135">IF(OR($B135="",$D135=""),"",
IFERROR(
  INDEX(
    'Tools &amp; Targets_Guideline'!$C$54:$I$269,
    MATCH(
      1,
      ('Tools &amp; Targets_Guideline'!$A$54:$A$269=$B135)*
      ('Tools &amp; Targets_Guideline'!$B$54:$B$269="TT"),
      0
    ),
    MATCH(
      _xludf.IFNA(
        VLOOKUP($D135,{"PH","Provincial Hospital (H2)";"DH","District Hospital (H3)";"RH","Regional / National Hospital (H1)"},2,0),
        $D135
      ),
      'Tools &amp; Targets_Guideline'!$C$53:$I$53,
      0
    )
  ),
0))</f>
        <v/>
      </c>
      <c r="S135" s="105"/>
      <c r="T135" s="102"/>
      <c r="U135" s="106"/>
      <c r="V135" s="102" t="str">
        <f t="shared" si="1"/>
        <v/>
      </c>
      <c r="W135" s="102"/>
      <c r="X135" s="102"/>
      <c r="Y135" s="119" t="str">
        <f t="array" ref="Y135">IF(OR($B135="",$D135=""),"",
IFERROR(
  INDEX(
    'Tools &amp; Targets_Guideline'!$C$54:$I$269,
    MATCH(
      1,
      ('Tools &amp; Targets_Guideline'!$A$54:$A$269=$B135)*
      ('Tools &amp; Targets_Guideline'!$B$54:$B$269="GM"),
      0
    ),
    MATCH(
      _xludf.IFNA(
        VLOOKUP($D135,{"PH","Provincial Hospital (H2)";"DH","District Hospital (H3)";"RH","Regional / National Hospital (H1)"},2,0),
        $D135
      ),
      'Tools &amp; Targets_Guideline'!$C$53:$I$53,
      0
    )
  ),
0))</f>
        <v/>
      </c>
      <c r="Z135" s="105"/>
      <c r="AA135" s="119" t="str">
        <f t="array" ref="AA135">IF(OR($B135="",$D135=""),"",
IFERROR(
  INDEX(
    'Tools &amp; Targets_Guideline'!$C$54:$I$269,
    MATCH(
      1,
      ('Tools &amp; Targets_Guideline'!$A$54:$A$269=$B135)*
      ('Tools &amp; Targets_Guideline'!$B$54:$B$269="Penta"),
      0
    ),
    MATCH(
      _xludf.IFNA(
        VLOOKUP($D135,{"PH","Provincial Hospital (H2)";"DH","District Hospital (H3)";"RH","Regional / National Hospital (H1)"},2,0),
        $D135
      ),
      'Tools &amp; Targets_Guideline'!$C$53:$I$53,
      0
    )
  ),
0))</f>
        <v/>
      </c>
      <c r="AB135" s="105"/>
      <c r="AC135" s="119" t="str">
        <f t="array" ref="AC135">IF(OR($B135="",$D135=""),"",
IFERROR(
  INDEX(
    'Tools &amp; Targets_Guideline'!$C$54:$I$269,
    MATCH(
      1,
      ('Tools &amp; Targets_Guideline'!$A$54:$A$269=$B135)*
      ('Tools &amp; Targets_Guideline'!$B$54:$B$269="TB"),
      0
    ),
    MATCH(
      _xludf.IFNA(
        VLOOKUP($D135,{"PH","Provincial Hospital (H2)";"DH","District Hospital (H3)";"RH","Regional / National Hospital (H1)"},2,0),
        $D135
      ),
      'Tools &amp; Targets_Guideline'!$C$53:$I$53,
      0
    )
  ),
0))</f>
        <v/>
      </c>
      <c r="AD135" s="105"/>
      <c r="AE135" s="119" t="str">
        <f t="array" ref="AE135">IF(OR($B135="",$D135=""),"",
IFERROR(
  INDEX(
    'Tools &amp; Targets_Guideline'!$C$54:$I$269,
    MATCH(
      1,
      ('Tools &amp; Targets_Guideline'!$A$54:$A$269=$B135)*
      ('Tools &amp; Targets_Guideline'!$B$54:$B$269="U5 Morbidity"),
      0
    ),
    MATCH(
      _xludf.IFNA(
        VLOOKUP($D135,{"PH","Provincial Hospital (H2)";"DH","District Hospital (H3)";"RH","Regional / National Hospital (H1)"},2,0),
        $D135
      ),
      'Tools &amp; Targets_Guideline'!$C$53:$I$53,
      0
    )
  ),
0))</f>
        <v/>
      </c>
      <c r="AF135" s="105"/>
      <c r="AG135" s="119" t="str">
        <f t="array" ref="AG135">IF(OR($B135="",$D135=""),"",
IFERROR(
  INDEX(
    'Tools &amp; Targets_Guideline'!$C$54:$I$269,
    MATCH(
      1,
      ('Tools &amp; Targets_Guideline'!$A$54:$A$269=$B135)*
      ('Tools &amp; Targets_Guideline'!$B$54:$B$269="C-Section"),
      0
    ),
    MATCH(
      _xludf.IFNA(
        VLOOKUP($D135,{"PH","Provincial Hospital (H2)";"DH","District Hospital (H3)";"RH","Regional / National Hospital (H1)"},2,0),
        $D135
      ),
      'Tools &amp; Targets_Guideline'!$C$53:$I$53,
      0
    )
  ),
0))</f>
        <v/>
      </c>
      <c r="AH135" s="105" t="str">
        <f>IF(A135&lt;&gt;"",COUNTIFS('QA Log'!D:D,A135,'QA Log'!M:M,"QQC",'QA Log'!L:L,"2. Hygiene and Sterilization",'QA Log'!Z:Z,"Approved"),"")</f>
        <v/>
      </c>
      <c r="AI135" s="102"/>
      <c r="AJ135" s="102"/>
      <c r="AK135" s="103" t="str">
        <f t="shared" si="2"/>
        <v/>
      </c>
      <c r="AL135" s="102"/>
      <c r="AM135" s="102"/>
      <c r="AN135" s="102"/>
      <c r="AO135" s="106"/>
      <c r="AP135" s="103"/>
      <c r="AQ135" s="102"/>
      <c r="AR135" s="102"/>
      <c r="AS135" s="102"/>
      <c r="AT135" s="107"/>
      <c r="AU135" s="102" t="str">
        <f t="shared" si="3"/>
        <v/>
      </c>
      <c r="AV135" s="102" t="str">
        <f t="shared" si="4"/>
        <v/>
      </c>
      <c r="AW135" s="102" t="str">
        <f t="shared" si="5"/>
        <v/>
      </c>
      <c r="AX135" s="102" t="str">
        <f t="shared" si="6"/>
        <v/>
      </c>
      <c r="AY135" s="107" t="str">
        <f t="shared" si="7"/>
        <v/>
      </c>
      <c r="AZ135" s="108" t="str">
        <f t="shared" si="8"/>
        <v/>
      </c>
      <c r="BA135" s="108" t="str">
        <f t="shared" si="9"/>
        <v/>
      </c>
      <c r="BB135" s="109" t="str">
        <f t="shared" si="10"/>
        <v/>
      </c>
      <c r="BC135" s="108" t="str">
        <f t="shared" si="11"/>
        <v/>
      </c>
      <c r="BD135" s="108" t="str">
        <f t="shared" si="12"/>
        <v/>
      </c>
      <c r="BE135" s="109" t="str">
        <f t="shared" si="13"/>
        <v/>
      </c>
      <c r="BF135" s="110" t="str">
        <f t="shared" si="14"/>
        <v/>
      </c>
      <c r="BG135" s="111"/>
    </row>
    <row r="136" spans="1:59" ht="12.75">
      <c r="A136" s="101"/>
      <c r="B136" s="102"/>
      <c r="C136" s="102" t="e">
        <f t="array" aca="1" ref="C136" ca="1">_xludf.XLOOKUP(A136,'QA Log'!D:D,'QA Log'!F:F,"")</f>
        <v>#NAME?</v>
      </c>
      <c r="D136" s="102"/>
      <c r="E136" s="102" t="e">
        <f t="array" aca="1" ref="E136" ca="1">_xludf.XLOOKUP(A136,'QA Log'!D:D,'QA Log'!G:G,"")</f>
        <v>#NAME?</v>
      </c>
      <c r="F136" s="103"/>
      <c r="G136" s="104"/>
      <c r="H136" s="104"/>
      <c r="I136" s="103" t="str">
        <f t="shared" si="0"/>
        <v/>
      </c>
      <c r="J136" s="102"/>
      <c r="K136" s="102"/>
      <c r="L136" s="119" t="str">
        <f t="array" ref="L136">IF(OR($B136="",$D136=""),"",
IFERROR(
  INDEX(
    'Tools &amp; Targets_Guideline'!$C$54:$I$269,
    MATCH(
      1,
      ('Tools &amp; Targets_Guideline'!$A$54:$A$269=$B136)*
      ('Tools &amp; Targets_Guideline'!$B$54:$B$269="ANC"),
      0
    ),
    MATCH(
      _xludf.IFNA(
        VLOOKUP($D136,{"PH","Provincial Hospital (H2)";"DH","District Hospital (H3)";"RH","Regional / National Hospital (H1)"},2,0),
        $D136
      ),
      'Tools &amp; Targets_Guideline'!$C$53:$I$53,
      0
    )
  ),
0))</f>
        <v/>
      </c>
      <c r="M136" s="105"/>
      <c r="N136" s="119" t="str">
        <f t="array" ref="N136">IF(OR($B136="",$D136=""),"",
IFERROR(
  INDEX(
    'Tools &amp; Targets_Guideline'!$C$54:$I$269,
    MATCH(
      1,
      ('Tools &amp; Targets_Guideline'!$A$54:$A$269=$B136)*
      ('Tools &amp; Targets_Guideline'!$B$54:$B$269="PNC"),
      0
    ),
    MATCH(
      _xludf.IFNA(
        VLOOKUP($D136,{"PH","Provincial Hospital (H2)";"DH","District Hospital (H3)";"RH","Regional / National Hospital (H1)"},2,0),
        $D136
      ),
      'Tools &amp; Targets_Guideline'!$C$53:$I$53,
      0
    )
  ),
0))</f>
        <v/>
      </c>
      <c r="O136" s="105"/>
      <c r="P136" s="119" t="str">
        <f t="array" ref="P136">IF(OR($B136="",$D136=""),"",
IFERROR(
  INDEX(
    'Tools &amp; Targets_Guideline'!$C$54:$I$269,
    MATCH(
      1,
      ('Tools &amp; Targets_Guideline'!$A$54:$A$269=$B136)*
      ('Tools &amp; Targets_Guideline'!$B$54:$B$269="Delivery"),
      0
    ),
    MATCH(
      _xludf.IFNA(
        VLOOKUP($D136,{"PH","Provincial Hospital (H2)";"DH","District Hospital (H3)";"RH","Regional / National Hospital (H1)"},2,0),
        $D136
      ),
      'Tools &amp; Targets_Guideline'!$C$53:$I$53,
      0
    )
  ),
0))</f>
        <v/>
      </c>
      <c r="Q136" s="105"/>
      <c r="R136" s="119" t="str">
        <f t="array" ref="R136">IF(OR($B136="",$D136=""),"",
IFERROR(
  INDEX(
    'Tools &amp; Targets_Guideline'!$C$54:$I$269,
    MATCH(
      1,
      ('Tools &amp; Targets_Guideline'!$A$54:$A$269=$B136)*
      ('Tools &amp; Targets_Guideline'!$B$54:$B$269="TT"),
      0
    ),
    MATCH(
      _xludf.IFNA(
        VLOOKUP($D136,{"PH","Provincial Hospital (H2)";"DH","District Hospital (H3)";"RH","Regional / National Hospital (H1)"},2,0),
        $D136
      ),
      'Tools &amp; Targets_Guideline'!$C$53:$I$53,
      0
    )
  ),
0))</f>
        <v/>
      </c>
      <c r="S136" s="105"/>
      <c r="T136" s="102"/>
      <c r="U136" s="106"/>
      <c r="V136" s="102" t="str">
        <f t="shared" si="1"/>
        <v/>
      </c>
      <c r="W136" s="102"/>
      <c r="X136" s="102"/>
      <c r="Y136" s="119" t="str">
        <f t="array" ref="Y136">IF(OR($B136="",$D136=""),"",
IFERROR(
  INDEX(
    'Tools &amp; Targets_Guideline'!$C$54:$I$269,
    MATCH(
      1,
      ('Tools &amp; Targets_Guideline'!$A$54:$A$269=$B136)*
      ('Tools &amp; Targets_Guideline'!$B$54:$B$269="GM"),
      0
    ),
    MATCH(
      _xludf.IFNA(
        VLOOKUP($D136,{"PH","Provincial Hospital (H2)";"DH","District Hospital (H3)";"RH","Regional / National Hospital (H1)"},2,0),
        $D136
      ),
      'Tools &amp; Targets_Guideline'!$C$53:$I$53,
      0
    )
  ),
0))</f>
        <v/>
      </c>
      <c r="Z136" s="105"/>
      <c r="AA136" s="119" t="str">
        <f t="array" ref="AA136">IF(OR($B136="",$D136=""),"",
IFERROR(
  INDEX(
    'Tools &amp; Targets_Guideline'!$C$54:$I$269,
    MATCH(
      1,
      ('Tools &amp; Targets_Guideline'!$A$54:$A$269=$B136)*
      ('Tools &amp; Targets_Guideline'!$B$54:$B$269="Penta"),
      0
    ),
    MATCH(
      _xludf.IFNA(
        VLOOKUP($D136,{"PH","Provincial Hospital (H2)";"DH","District Hospital (H3)";"RH","Regional / National Hospital (H1)"},2,0),
        $D136
      ),
      'Tools &amp; Targets_Guideline'!$C$53:$I$53,
      0
    )
  ),
0))</f>
        <v/>
      </c>
      <c r="AB136" s="105"/>
      <c r="AC136" s="119" t="str">
        <f t="array" ref="AC136">IF(OR($B136="",$D136=""),"",
IFERROR(
  INDEX(
    'Tools &amp; Targets_Guideline'!$C$54:$I$269,
    MATCH(
      1,
      ('Tools &amp; Targets_Guideline'!$A$54:$A$269=$B136)*
      ('Tools &amp; Targets_Guideline'!$B$54:$B$269="TB"),
      0
    ),
    MATCH(
      _xludf.IFNA(
        VLOOKUP($D136,{"PH","Provincial Hospital (H2)";"DH","District Hospital (H3)";"RH","Regional / National Hospital (H1)"},2,0),
        $D136
      ),
      'Tools &amp; Targets_Guideline'!$C$53:$I$53,
      0
    )
  ),
0))</f>
        <v/>
      </c>
      <c r="AD136" s="105"/>
      <c r="AE136" s="119" t="str">
        <f t="array" ref="AE136">IF(OR($B136="",$D136=""),"",
IFERROR(
  INDEX(
    'Tools &amp; Targets_Guideline'!$C$54:$I$269,
    MATCH(
      1,
      ('Tools &amp; Targets_Guideline'!$A$54:$A$269=$B136)*
      ('Tools &amp; Targets_Guideline'!$B$54:$B$269="U5 Morbidity"),
      0
    ),
    MATCH(
      _xludf.IFNA(
        VLOOKUP($D136,{"PH","Provincial Hospital (H2)";"DH","District Hospital (H3)";"RH","Regional / National Hospital (H1)"},2,0),
        $D136
      ),
      'Tools &amp; Targets_Guideline'!$C$53:$I$53,
      0
    )
  ),
0))</f>
        <v/>
      </c>
      <c r="AF136" s="105"/>
      <c r="AG136" s="119" t="str">
        <f t="array" ref="AG136">IF(OR($B136="",$D136=""),"",
IFERROR(
  INDEX(
    'Tools &amp; Targets_Guideline'!$C$54:$I$269,
    MATCH(
      1,
      ('Tools &amp; Targets_Guideline'!$A$54:$A$269=$B136)*
      ('Tools &amp; Targets_Guideline'!$B$54:$B$269="C-Section"),
      0
    ),
    MATCH(
      _xludf.IFNA(
        VLOOKUP($D136,{"PH","Provincial Hospital (H2)";"DH","District Hospital (H3)";"RH","Regional / National Hospital (H1)"},2,0),
        $D136
      ),
      'Tools &amp; Targets_Guideline'!$C$53:$I$53,
      0
    )
  ),
0))</f>
        <v/>
      </c>
      <c r="AH136" s="105" t="str">
        <f>IF(A136&lt;&gt;"",COUNTIFS('QA Log'!D:D,A136,'QA Log'!M:M,"QQC",'QA Log'!L:L,"2. Hygiene and Sterilization",'QA Log'!Z:Z,"Approved"),"")</f>
        <v/>
      </c>
      <c r="AI136" s="102"/>
      <c r="AJ136" s="102"/>
      <c r="AK136" s="103" t="str">
        <f t="shared" si="2"/>
        <v/>
      </c>
      <c r="AL136" s="102"/>
      <c r="AM136" s="102"/>
      <c r="AN136" s="102"/>
      <c r="AO136" s="106"/>
      <c r="AP136" s="103"/>
      <c r="AQ136" s="102"/>
      <c r="AR136" s="102"/>
      <c r="AS136" s="102"/>
      <c r="AT136" s="107"/>
      <c r="AU136" s="102" t="str">
        <f t="shared" si="3"/>
        <v/>
      </c>
      <c r="AV136" s="102" t="str">
        <f t="shared" si="4"/>
        <v/>
      </c>
      <c r="AW136" s="102" t="str">
        <f t="shared" si="5"/>
        <v/>
      </c>
      <c r="AX136" s="102" t="str">
        <f t="shared" si="6"/>
        <v/>
      </c>
      <c r="AY136" s="107" t="str">
        <f t="shared" si="7"/>
        <v/>
      </c>
      <c r="AZ136" s="108" t="str">
        <f t="shared" si="8"/>
        <v/>
      </c>
      <c r="BA136" s="108" t="str">
        <f t="shared" si="9"/>
        <v/>
      </c>
      <c r="BB136" s="109" t="str">
        <f t="shared" si="10"/>
        <v/>
      </c>
      <c r="BC136" s="108" t="str">
        <f t="shared" si="11"/>
        <v/>
      </c>
      <c r="BD136" s="108" t="str">
        <f t="shared" si="12"/>
        <v/>
      </c>
      <c r="BE136" s="109" t="str">
        <f t="shared" si="13"/>
        <v/>
      </c>
      <c r="BF136" s="110" t="str">
        <f t="shared" si="14"/>
        <v/>
      </c>
      <c r="BG136" s="111"/>
    </row>
    <row r="137" spans="1:59" ht="12.75">
      <c r="A137" s="101"/>
      <c r="B137" s="102"/>
      <c r="C137" s="102" t="e">
        <f t="array" aca="1" ref="C137" ca="1">_xludf.XLOOKUP(A137,'QA Log'!D:D,'QA Log'!F:F,"")</f>
        <v>#NAME?</v>
      </c>
      <c r="D137" s="102"/>
      <c r="E137" s="102" t="e">
        <f t="array" aca="1" ref="E137" ca="1">_xludf.XLOOKUP(A137,'QA Log'!D:D,'QA Log'!G:G,"")</f>
        <v>#NAME?</v>
      </c>
      <c r="F137" s="103"/>
      <c r="G137" s="104"/>
      <c r="H137" s="104"/>
      <c r="I137" s="103" t="str">
        <f t="shared" si="0"/>
        <v/>
      </c>
      <c r="J137" s="102"/>
      <c r="K137" s="102"/>
      <c r="L137" s="119" t="str">
        <f t="array" ref="L137">IF(OR($B137="",$D137=""),"",
IFERROR(
  INDEX(
    'Tools &amp; Targets_Guideline'!$C$54:$I$269,
    MATCH(
      1,
      ('Tools &amp; Targets_Guideline'!$A$54:$A$269=$B137)*
      ('Tools &amp; Targets_Guideline'!$B$54:$B$269="ANC"),
      0
    ),
    MATCH(
      _xludf.IFNA(
        VLOOKUP($D137,{"PH","Provincial Hospital (H2)";"DH","District Hospital (H3)";"RH","Regional / National Hospital (H1)"},2,0),
        $D137
      ),
      'Tools &amp; Targets_Guideline'!$C$53:$I$53,
      0
    )
  ),
0))</f>
        <v/>
      </c>
      <c r="M137" s="105"/>
      <c r="N137" s="119" t="str">
        <f t="array" ref="N137">IF(OR($B137="",$D137=""),"",
IFERROR(
  INDEX(
    'Tools &amp; Targets_Guideline'!$C$54:$I$269,
    MATCH(
      1,
      ('Tools &amp; Targets_Guideline'!$A$54:$A$269=$B137)*
      ('Tools &amp; Targets_Guideline'!$B$54:$B$269="PNC"),
      0
    ),
    MATCH(
      _xludf.IFNA(
        VLOOKUP($D137,{"PH","Provincial Hospital (H2)";"DH","District Hospital (H3)";"RH","Regional / National Hospital (H1)"},2,0),
        $D137
      ),
      'Tools &amp; Targets_Guideline'!$C$53:$I$53,
      0
    )
  ),
0))</f>
        <v/>
      </c>
      <c r="O137" s="105"/>
      <c r="P137" s="119" t="str">
        <f t="array" ref="P137">IF(OR($B137="",$D137=""),"",
IFERROR(
  INDEX(
    'Tools &amp; Targets_Guideline'!$C$54:$I$269,
    MATCH(
      1,
      ('Tools &amp; Targets_Guideline'!$A$54:$A$269=$B137)*
      ('Tools &amp; Targets_Guideline'!$B$54:$B$269="Delivery"),
      0
    ),
    MATCH(
      _xludf.IFNA(
        VLOOKUP($D137,{"PH","Provincial Hospital (H2)";"DH","District Hospital (H3)";"RH","Regional / National Hospital (H1)"},2,0),
        $D137
      ),
      'Tools &amp; Targets_Guideline'!$C$53:$I$53,
      0
    )
  ),
0))</f>
        <v/>
      </c>
      <c r="Q137" s="105"/>
      <c r="R137" s="119" t="str">
        <f t="array" ref="R137">IF(OR($B137="",$D137=""),"",
IFERROR(
  INDEX(
    'Tools &amp; Targets_Guideline'!$C$54:$I$269,
    MATCH(
      1,
      ('Tools &amp; Targets_Guideline'!$A$54:$A$269=$B137)*
      ('Tools &amp; Targets_Guideline'!$B$54:$B$269="TT"),
      0
    ),
    MATCH(
      _xludf.IFNA(
        VLOOKUP($D137,{"PH","Provincial Hospital (H2)";"DH","District Hospital (H3)";"RH","Regional / National Hospital (H1)"},2,0),
        $D137
      ),
      'Tools &amp; Targets_Guideline'!$C$53:$I$53,
      0
    )
  ),
0))</f>
        <v/>
      </c>
      <c r="S137" s="105"/>
      <c r="T137" s="102"/>
      <c r="U137" s="106"/>
      <c r="V137" s="102" t="str">
        <f t="shared" si="1"/>
        <v/>
      </c>
      <c r="W137" s="102"/>
      <c r="X137" s="102"/>
      <c r="Y137" s="119" t="str">
        <f t="array" ref="Y137">IF(OR($B137="",$D137=""),"",
IFERROR(
  INDEX(
    'Tools &amp; Targets_Guideline'!$C$54:$I$269,
    MATCH(
      1,
      ('Tools &amp; Targets_Guideline'!$A$54:$A$269=$B137)*
      ('Tools &amp; Targets_Guideline'!$B$54:$B$269="GM"),
      0
    ),
    MATCH(
      _xludf.IFNA(
        VLOOKUP($D137,{"PH","Provincial Hospital (H2)";"DH","District Hospital (H3)";"RH","Regional / National Hospital (H1)"},2,0),
        $D137
      ),
      'Tools &amp; Targets_Guideline'!$C$53:$I$53,
      0
    )
  ),
0))</f>
        <v/>
      </c>
      <c r="Z137" s="105"/>
      <c r="AA137" s="119" t="str">
        <f t="array" ref="AA137">IF(OR($B137="",$D137=""),"",
IFERROR(
  INDEX(
    'Tools &amp; Targets_Guideline'!$C$54:$I$269,
    MATCH(
      1,
      ('Tools &amp; Targets_Guideline'!$A$54:$A$269=$B137)*
      ('Tools &amp; Targets_Guideline'!$B$54:$B$269="Penta"),
      0
    ),
    MATCH(
      _xludf.IFNA(
        VLOOKUP($D137,{"PH","Provincial Hospital (H2)";"DH","District Hospital (H3)";"RH","Regional / National Hospital (H1)"},2,0),
        $D137
      ),
      'Tools &amp; Targets_Guideline'!$C$53:$I$53,
      0
    )
  ),
0))</f>
        <v/>
      </c>
      <c r="AB137" s="105"/>
      <c r="AC137" s="119" t="str">
        <f t="array" ref="AC137">IF(OR($B137="",$D137=""),"",
IFERROR(
  INDEX(
    'Tools &amp; Targets_Guideline'!$C$54:$I$269,
    MATCH(
      1,
      ('Tools &amp; Targets_Guideline'!$A$54:$A$269=$B137)*
      ('Tools &amp; Targets_Guideline'!$B$54:$B$269="TB"),
      0
    ),
    MATCH(
      _xludf.IFNA(
        VLOOKUP($D137,{"PH","Provincial Hospital (H2)";"DH","District Hospital (H3)";"RH","Regional / National Hospital (H1)"},2,0),
        $D137
      ),
      'Tools &amp; Targets_Guideline'!$C$53:$I$53,
      0
    )
  ),
0))</f>
        <v/>
      </c>
      <c r="AD137" s="105"/>
      <c r="AE137" s="119" t="str">
        <f t="array" ref="AE137">IF(OR($B137="",$D137=""),"",
IFERROR(
  INDEX(
    'Tools &amp; Targets_Guideline'!$C$54:$I$269,
    MATCH(
      1,
      ('Tools &amp; Targets_Guideline'!$A$54:$A$269=$B137)*
      ('Tools &amp; Targets_Guideline'!$B$54:$B$269="U5 Morbidity"),
      0
    ),
    MATCH(
      _xludf.IFNA(
        VLOOKUP($D137,{"PH","Provincial Hospital (H2)";"DH","District Hospital (H3)";"RH","Regional / National Hospital (H1)"},2,0),
        $D137
      ),
      'Tools &amp; Targets_Guideline'!$C$53:$I$53,
      0
    )
  ),
0))</f>
        <v/>
      </c>
      <c r="AF137" s="105"/>
      <c r="AG137" s="119" t="str">
        <f t="array" ref="AG137">IF(OR($B137="",$D137=""),"",
IFERROR(
  INDEX(
    'Tools &amp; Targets_Guideline'!$C$54:$I$269,
    MATCH(
      1,
      ('Tools &amp; Targets_Guideline'!$A$54:$A$269=$B137)*
      ('Tools &amp; Targets_Guideline'!$B$54:$B$269="C-Section"),
      0
    ),
    MATCH(
      _xludf.IFNA(
        VLOOKUP($D137,{"PH","Provincial Hospital (H2)";"DH","District Hospital (H3)";"RH","Regional / National Hospital (H1)"},2,0),
        $D137
      ),
      'Tools &amp; Targets_Guideline'!$C$53:$I$53,
      0
    )
  ),
0))</f>
        <v/>
      </c>
      <c r="AH137" s="105" t="str">
        <f>IF(A137&lt;&gt;"",COUNTIFS('QA Log'!D:D,A137,'QA Log'!M:M,"QQC",'QA Log'!L:L,"2. Hygiene and Sterilization",'QA Log'!Z:Z,"Approved"),"")</f>
        <v/>
      </c>
      <c r="AI137" s="102"/>
      <c r="AJ137" s="102"/>
      <c r="AK137" s="103" t="str">
        <f t="shared" si="2"/>
        <v/>
      </c>
      <c r="AL137" s="102"/>
      <c r="AM137" s="102"/>
      <c r="AN137" s="102"/>
      <c r="AO137" s="106"/>
      <c r="AP137" s="103"/>
      <c r="AQ137" s="102"/>
      <c r="AR137" s="102"/>
      <c r="AS137" s="102"/>
      <c r="AT137" s="107"/>
      <c r="AU137" s="102" t="str">
        <f t="shared" si="3"/>
        <v/>
      </c>
      <c r="AV137" s="102" t="str">
        <f t="shared" si="4"/>
        <v/>
      </c>
      <c r="AW137" s="102" t="str">
        <f t="shared" si="5"/>
        <v/>
      </c>
      <c r="AX137" s="102" t="str">
        <f t="shared" si="6"/>
        <v/>
      </c>
      <c r="AY137" s="107" t="str">
        <f t="shared" si="7"/>
        <v/>
      </c>
      <c r="AZ137" s="108" t="str">
        <f t="shared" si="8"/>
        <v/>
      </c>
      <c r="BA137" s="108" t="str">
        <f t="shared" si="9"/>
        <v/>
      </c>
      <c r="BB137" s="109" t="str">
        <f t="shared" si="10"/>
        <v/>
      </c>
      <c r="BC137" s="108" t="str">
        <f t="shared" si="11"/>
        <v/>
      </c>
      <c r="BD137" s="108" t="str">
        <f t="shared" si="12"/>
        <v/>
      </c>
      <c r="BE137" s="109" t="str">
        <f t="shared" si="13"/>
        <v/>
      </c>
      <c r="BF137" s="110" t="str">
        <f t="shared" si="14"/>
        <v/>
      </c>
      <c r="BG137" s="111"/>
    </row>
    <row r="138" spans="1:59" ht="12.75">
      <c r="A138" s="101"/>
      <c r="B138" s="102"/>
      <c r="C138" s="102" t="e">
        <f t="array" aca="1" ref="C138" ca="1">_xludf.XLOOKUP(A138,'QA Log'!D:D,'QA Log'!F:F,"")</f>
        <v>#NAME?</v>
      </c>
      <c r="D138" s="102"/>
      <c r="E138" s="102" t="e">
        <f t="array" aca="1" ref="E138" ca="1">_xludf.XLOOKUP(A138,'QA Log'!D:D,'QA Log'!G:G,"")</f>
        <v>#NAME?</v>
      </c>
      <c r="F138" s="103"/>
      <c r="G138" s="104"/>
      <c r="H138" s="104"/>
      <c r="I138" s="103" t="str">
        <f t="shared" si="0"/>
        <v/>
      </c>
      <c r="J138" s="102"/>
      <c r="K138" s="102"/>
      <c r="L138" s="119" t="str">
        <f t="array" ref="L138">IF(OR($B138="",$D138=""),"",
IFERROR(
  INDEX(
    'Tools &amp; Targets_Guideline'!$C$54:$I$269,
    MATCH(
      1,
      ('Tools &amp; Targets_Guideline'!$A$54:$A$269=$B138)*
      ('Tools &amp; Targets_Guideline'!$B$54:$B$269="ANC"),
      0
    ),
    MATCH(
      _xludf.IFNA(
        VLOOKUP($D138,{"PH","Provincial Hospital (H2)";"DH","District Hospital (H3)";"RH","Regional / National Hospital (H1)"},2,0),
        $D138
      ),
      'Tools &amp; Targets_Guideline'!$C$53:$I$53,
      0
    )
  ),
0))</f>
        <v/>
      </c>
      <c r="M138" s="105"/>
      <c r="N138" s="119" t="str">
        <f t="array" ref="N138">IF(OR($B138="",$D138=""),"",
IFERROR(
  INDEX(
    'Tools &amp; Targets_Guideline'!$C$54:$I$269,
    MATCH(
      1,
      ('Tools &amp; Targets_Guideline'!$A$54:$A$269=$B138)*
      ('Tools &amp; Targets_Guideline'!$B$54:$B$269="PNC"),
      0
    ),
    MATCH(
      _xludf.IFNA(
        VLOOKUP($D138,{"PH","Provincial Hospital (H2)";"DH","District Hospital (H3)";"RH","Regional / National Hospital (H1)"},2,0),
        $D138
      ),
      'Tools &amp; Targets_Guideline'!$C$53:$I$53,
      0
    )
  ),
0))</f>
        <v/>
      </c>
      <c r="O138" s="105"/>
      <c r="P138" s="119" t="str">
        <f t="array" ref="P138">IF(OR($B138="",$D138=""),"",
IFERROR(
  INDEX(
    'Tools &amp; Targets_Guideline'!$C$54:$I$269,
    MATCH(
      1,
      ('Tools &amp; Targets_Guideline'!$A$54:$A$269=$B138)*
      ('Tools &amp; Targets_Guideline'!$B$54:$B$269="Delivery"),
      0
    ),
    MATCH(
      _xludf.IFNA(
        VLOOKUP($D138,{"PH","Provincial Hospital (H2)";"DH","District Hospital (H3)";"RH","Regional / National Hospital (H1)"},2,0),
        $D138
      ),
      'Tools &amp; Targets_Guideline'!$C$53:$I$53,
      0
    )
  ),
0))</f>
        <v/>
      </c>
      <c r="Q138" s="105"/>
      <c r="R138" s="119" t="str">
        <f t="array" ref="R138">IF(OR($B138="",$D138=""),"",
IFERROR(
  INDEX(
    'Tools &amp; Targets_Guideline'!$C$54:$I$269,
    MATCH(
      1,
      ('Tools &amp; Targets_Guideline'!$A$54:$A$269=$B138)*
      ('Tools &amp; Targets_Guideline'!$B$54:$B$269="TT"),
      0
    ),
    MATCH(
      _xludf.IFNA(
        VLOOKUP($D138,{"PH","Provincial Hospital (H2)";"DH","District Hospital (H3)";"RH","Regional / National Hospital (H1)"},2,0),
        $D138
      ),
      'Tools &amp; Targets_Guideline'!$C$53:$I$53,
      0
    )
  ),
0))</f>
        <v/>
      </c>
      <c r="S138" s="105"/>
      <c r="T138" s="102"/>
      <c r="U138" s="106"/>
      <c r="V138" s="102" t="str">
        <f t="shared" si="1"/>
        <v/>
      </c>
      <c r="W138" s="102"/>
      <c r="X138" s="102"/>
      <c r="Y138" s="119" t="str">
        <f t="array" ref="Y138">IF(OR($B138="",$D138=""),"",
IFERROR(
  INDEX(
    'Tools &amp; Targets_Guideline'!$C$54:$I$269,
    MATCH(
      1,
      ('Tools &amp; Targets_Guideline'!$A$54:$A$269=$B138)*
      ('Tools &amp; Targets_Guideline'!$B$54:$B$269="GM"),
      0
    ),
    MATCH(
      _xludf.IFNA(
        VLOOKUP($D138,{"PH","Provincial Hospital (H2)";"DH","District Hospital (H3)";"RH","Regional / National Hospital (H1)"},2,0),
        $D138
      ),
      'Tools &amp; Targets_Guideline'!$C$53:$I$53,
      0
    )
  ),
0))</f>
        <v/>
      </c>
      <c r="Z138" s="105"/>
      <c r="AA138" s="119" t="str">
        <f t="array" ref="AA138">IF(OR($B138="",$D138=""),"",
IFERROR(
  INDEX(
    'Tools &amp; Targets_Guideline'!$C$54:$I$269,
    MATCH(
      1,
      ('Tools &amp; Targets_Guideline'!$A$54:$A$269=$B138)*
      ('Tools &amp; Targets_Guideline'!$B$54:$B$269="Penta"),
      0
    ),
    MATCH(
      _xludf.IFNA(
        VLOOKUP($D138,{"PH","Provincial Hospital (H2)";"DH","District Hospital (H3)";"RH","Regional / National Hospital (H1)"},2,0),
        $D138
      ),
      'Tools &amp; Targets_Guideline'!$C$53:$I$53,
      0
    )
  ),
0))</f>
        <v/>
      </c>
      <c r="AB138" s="105"/>
      <c r="AC138" s="119" t="str">
        <f t="array" ref="AC138">IF(OR($B138="",$D138=""),"",
IFERROR(
  INDEX(
    'Tools &amp; Targets_Guideline'!$C$54:$I$269,
    MATCH(
      1,
      ('Tools &amp; Targets_Guideline'!$A$54:$A$269=$B138)*
      ('Tools &amp; Targets_Guideline'!$B$54:$B$269="TB"),
      0
    ),
    MATCH(
      _xludf.IFNA(
        VLOOKUP($D138,{"PH","Provincial Hospital (H2)";"DH","District Hospital (H3)";"RH","Regional / National Hospital (H1)"},2,0),
        $D138
      ),
      'Tools &amp; Targets_Guideline'!$C$53:$I$53,
      0
    )
  ),
0))</f>
        <v/>
      </c>
      <c r="AD138" s="105"/>
      <c r="AE138" s="119" t="str">
        <f t="array" ref="AE138">IF(OR($B138="",$D138=""),"",
IFERROR(
  INDEX(
    'Tools &amp; Targets_Guideline'!$C$54:$I$269,
    MATCH(
      1,
      ('Tools &amp; Targets_Guideline'!$A$54:$A$269=$B138)*
      ('Tools &amp; Targets_Guideline'!$B$54:$B$269="U5 Morbidity"),
      0
    ),
    MATCH(
      _xludf.IFNA(
        VLOOKUP($D138,{"PH","Provincial Hospital (H2)";"DH","District Hospital (H3)";"RH","Regional / National Hospital (H1)"},2,0),
        $D138
      ),
      'Tools &amp; Targets_Guideline'!$C$53:$I$53,
      0
    )
  ),
0))</f>
        <v/>
      </c>
      <c r="AF138" s="105"/>
      <c r="AG138" s="119" t="str">
        <f t="array" ref="AG138">IF(OR($B138="",$D138=""),"",
IFERROR(
  INDEX(
    'Tools &amp; Targets_Guideline'!$C$54:$I$269,
    MATCH(
      1,
      ('Tools &amp; Targets_Guideline'!$A$54:$A$269=$B138)*
      ('Tools &amp; Targets_Guideline'!$B$54:$B$269="C-Section"),
      0
    ),
    MATCH(
      _xludf.IFNA(
        VLOOKUP($D138,{"PH","Provincial Hospital (H2)";"DH","District Hospital (H3)";"RH","Regional / National Hospital (H1)"},2,0),
        $D138
      ),
      'Tools &amp; Targets_Guideline'!$C$53:$I$53,
      0
    )
  ),
0))</f>
        <v/>
      </c>
      <c r="AH138" s="105" t="str">
        <f>IF(A138&lt;&gt;"",COUNTIFS('QA Log'!D:D,A138,'QA Log'!M:M,"QQC",'QA Log'!L:L,"2. Hygiene and Sterilization",'QA Log'!Z:Z,"Approved"),"")</f>
        <v/>
      </c>
      <c r="AI138" s="102"/>
      <c r="AJ138" s="102"/>
      <c r="AK138" s="103" t="str">
        <f t="shared" si="2"/>
        <v/>
      </c>
      <c r="AL138" s="102"/>
      <c r="AM138" s="102"/>
      <c r="AN138" s="102"/>
      <c r="AO138" s="106"/>
      <c r="AP138" s="103"/>
      <c r="AQ138" s="102"/>
      <c r="AR138" s="102"/>
      <c r="AS138" s="102"/>
      <c r="AT138" s="107"/>
      <c r="AU138" s="102" t="str">
        <f t="shared" si="3"/>
        <v/>
      </c>
      <c r="AV138" s="102" t="str">
        <f t="shared" si="4"/>
        <v/>
      </c>
      <c r="AW138" s="102" t="str">
        <f t="shared" si="5"/>
        <v/>
      </c>
      <c r="AX138" s="102" t="str">
        <f t="shared" si="6"/>
        <v/>
      </c>
      <c r="AY138" s="107" t="str">
        <f t="shared" si="7"/>
        <v/>
      </c>
      <c r="AZ138" s="108" t="str">
        <f t="shared" si="8"/>
        <v/>
      </c>
      <c r="BA138" s="108" t="str">
        <f t="shared" si="9"/>
        <v/>
      </c>
      <c r="BB138" s="109" t="str">
        <f t="shared" si="10"/>
        <v/>
      </c>
      <c r="BC138" s="108" t="str">
        <f t="shared" si="11"/>
        <v/>
      </c>
      <c r="BD138" s="108" t="str">
        <f t="shared" si="12"/>
        <v/>
      </c>
      <c r="BE138" s="109" t="str">
        <f t="shared" si="13"/>
        <v/>
      </c>
      <c r="BF138" s="110" t="str">
        <f t="shared" si="14"/>
        <v/>
      </c>
      <c r="BG138" s="111"/>
    </row>
    <row r="139" spans="1:59" ht="12.75">
      <c r="A139" s="101"/>
      <c r="B139" s="102"/>
      <c r="C139" s="102" t="e">
        <f t="array" aca="1" ref="C139" ca="1">_xludf.XLOOKUP(A139,'QA Log'!D:D,'QA Log'!F:F,"")</f>
        <v>#NAME?</v>
      </c>
      <c r="D139" s="102"/>
      <c r="E139" s="102" t="e">
        <f t="array" aca="1" ref="E139" ca="1">_xludf.XLOOKUP(A139,'QA Log'!D:D,'QA Log'!G:G,"")</f>
        <v>#NAME?</v>
      </c>
      <c r="F139" s="103"/>
      <c r="G139" s="104"/>
      <c r="H139" s="104"/>
      <c r="I139" s="103" t="str">
        <f t="shared" si="0"/>
        <v/>
      </c>
      <c r="J139" s="102"/>
      <c r="K139" s="102"/>
      <c r="L139" s="119" t="str">
        <f t="array" ref="L139">IF(OR($B139="",$D139=""),"",
IFERROR(
  INDEX(
    'Tools &amp; Targets_Guideline'!$C$54:$I$269,
    MATCH(
      1,
      ('Tools &amp; Targets_Guideline'!$A$54:$A$269=$B139)*
      ('Tools &amp; Targets_Guideline'!$B$54:$B$269="ANC"),
      0
    ),
    MATCH(
      _xludf.IFNA(
        VLOOKUP($D139,{"PH","Provincial Hospital (H2)";"DH","District Hospital (H3)";"RH","Regional / National Hospital (H1)"},2,0),
        $D139
      ),
      'Tools &amp; Targets_Guideline'!$C$53:$I$53,
      0
    )
  ),
0))</f>
        <v/>
      </c>
      <c r="M139" s="105"/>
      <c r="N139" s="119" t="str">
        <f t="array" ref="N139">IF(OR($B139="",$D139=""),"",
IFERROR(
  INDEX(
    'Tools &amp; Targets_Guideline'!$C$54:$I$269,
    MATCH(
      1,
      ('Tools &amp; Targets_Guideline'!$A$54:$A$269=$B139)*
      ('Tools &amp; Targets_Guideline'!$B$54:$B$269="PNC"),
      0
    ),
    MATCH(
      _xludf.IFNA(
        VLOOKUP($D139,{"PH","Provincial Hospital (H2)";"DH","District Hospital (H3)";"RH","Regional / National Hospital (H1)"},2,0),
        $D139
      ),
      'Tools &amp; Targets_Guideline'!$C$53:$I$53,
      0
    )
  ),
0))</f>
        <v/>
      </c>
      <c r="O139" s="105"/>
      <c r="P139" s="119" t="str">
        <f t="array" ref="P139">IF(OR($B139="",$D139=""),"",
IFERROR(
  INDEX(
    'Tools &amp; Targets_Guideline'!$C$54:$I$269,
    MATCH(
      1,
      ('Tools &amp; Targets_Guideline'!$A$54:$A$269=$B139)*
      ('Tools &amp; Targets_Guideline'!$B$54:$B$269="Delivery"),
      0
    ),
    MATCH(
      _xludf.IFNA(
        VLOOKUP($D139,{"PH","Provincial Hospital (H2)";"DH","District Hospital (H3)";"RH","Regional / National Hospital (H1)"},2,0),
        $D139
      ),
      'Tools &amp; Targets_Guideline'!$C$53:$I$53,
      0
    )
  ),
0))</f>
        <v/>
      </c>
      <c r="Q139" s="105"/>
      <c r="R139" s="119" t="str">
        <f t="array" ref="R139">IF(OR($B139="",$D139=""),"",
IFERROR(
  INDEX(
    'Tools &amp; Targets_Guideline'!$C$54:$I$269,
    MATCH(
      1,
      ('Tools &amp; Targets_Guideline'!$A$54:$A$269=$B139)*
      ('Tools &amp; Targets_Guideline'!$B$54:$B$269="TT"),
      0
    ),
    MATCH(
      _xludf.IFNA(
        VLOOKUP($D139,{"PH","Provincial Hospital (H2)";"DH","District Hospital (H3)";"RH","Regional / National Hospital (H1)"},2,0),
        $D139
      ),
      'Tools &amp; Targets_Guideline'!$C$53:$I$53,
      0
    )
  ),
0))</f>
        <v/>
      </c>
      <c r="S139" s="105"/>
      <c r="T139" s="102"/>
      <c r="U139" s="106"/>
      <c r="V139" s="102" t="str">
        <f t="shared" si="1"/>
        <v/>
      </c>
      <c r="W139" s="102"/>
      <c r="X139" s="102"/>
      <c r="Y139" s="119" t="str">
        <f t="array" ref="Y139">IF(OR($B139="",$D139=""),"",
IFERROR(
  INDEX(
    'Tools &amp; Targets_Guideline'!$C$54:$I$269,
    MATCH(
      1,
      ('Tools &amp; Targets_Guideline'!$A$54:$A$269=$B139)*
      ('Tools &amp; Targets_Guideline'!$B$54:$B$269="GM"),
      0
    ),
    MATCH(
      _xludf.IFNA(
        VLOOKUP($D139,{"PH","Provincial Hospital (H2)";"DH","District Hospital (H3)";"RH","Regional / National Hospital (H1)"},2,0),
        $D139
      ),
      'Tools &amp; Targets_Guideline'!$C$53:$I$53,
      0
    )
  ),
0))</f>
        <v/>
      </c>
      <c r="Z139" s="105"/>
      <c r="AA139" s="119" t="str">
        <f t="array" ref="AA139">IF(OR($B139="",$D139=""),"",
IFERROR(
  INDEX(
    'Tools &amp; Targets_Guideline'!$C$54:$I$269,
    MATCH(
      1,
      ('Tools &amp; Targets_Guideline'!$A$54:$A$269=$B139)*
      ('Tools &amp; Targets_Guideline'!$B$54:$B$269="Penta"),
      0
    ),
    MATCH(
      _xludf.IFNA(
        VLOOKUP($D139,{"PH","Provincial Hospital (H2)";"DH","District Hospital (H3)";"RH","Regional / National Hospital (H1)"},2,0),
        $D139
      ),
      'Tools &amp; Targets_Guideline'!$C$53:$I$53,
      0
    )
  ),
0))</f>
        <v/>
      </c>
      <c r="AB139" s="105"/>
      <c r="AC139" s="119" t="str">
        <f t="array" ref="AC139">IF(OR($B139="",$D139=""),"",
IFERROR(
  INDEX(
    'Tools &amp; Targets_Guideline'!$C$54:$I$269,
    MATCH(
      1,
      ('Tools &amp; Targets_Guideline'!$A$54:$A$269=$B139)*
      ('Tools &amp; Targets_Guideline'!$B$54:$B$269="TB"),
      0
    ),
    MATCH(
      _xludf.IFNA(
        VLOOKUP($D139,{"PH","Provincial Hospital (H2)";"DH","District Hospital (H3)";"RH","Regional / National Hospital (H1)"},2,0),
        $D139
      ),
      'Tools &amp; Targets_Guideline'!$C$53:$I$53,
      0
    )
  ),
0))</f>
        <v/>
      </c>
      <c r="AD139" s="105"/>
      <c r="AE139" s="119" t="str">
        <f t="array" ref="AE139">IF(OR($B139="",$D139=""),"",
IFERROR(
  INDEX(
    'Tools &amp; Targets_Guideline'!$C$54:$I$269,
    MATCH(
      1,
      ('Tools &amp; Targets_Guideline'!$A$54:$A$269=$B139)*
      ('Tools &amp; Targets_Guideline'!$B$54:$B$269="U5 Morbidity"),
      0
    ),
    MATCH(
      _xludf.IFNA(
        VLOOKUP($D139,{"PH","Provincial Hospital (H2)";"DH","District Hospital (H3)";"RH","Regional / National Hospital (H1)"},2,0),
        $D139
      ),
      'Tools &amp; Targets_Guideline'!$C$53:$I$53,
      0
    )
  ),
0))</f>
        <v/>
      </c>
      <c r="AF139" s="105"/>
      <c r="AG139" s="119" t="str">
        <f t="array" ref="AG139">IF(OR($B139="",$D139=""),"",
IFERROR(
  INDEX(
    'Tools &amp; Targets_Guideline'!$C$54:$I$269,
    MATCH(
      1,
      ('Tools &amp; Targets_Guideline'!$A$54:$A$269=$B139)*
      ('Tools &amp; Targets_Guideline'!$B$54:$B$269="C-Section"),
      0
    ),
    MATCH(
      _xludf.IFNA(
        VLOOKUP($D139,{"PH","Provincial Hospital (H2)";"DH","District Hospital (H3)";"RH","Regional / National Hospital (H1)"},2,0),
        $D139
      ),
      'Tools &amp; Targets_Guideline'!$C$53:$I$53,
      0
    )
  ),
0))</f>
        <v/>
      </c>
      <c r="AH139" s="105" t="str">
        <f>IF(A139&lt;&gt;"",COUNTIFS('QA Log'!D:D,A139,'QA Log'!M:M,"QQC",'QA Log'!L:L,"2. Hygiene and Sterilization",'QA Log'!Z:Z,"Approved"),"")</f>
        <v/>
      </c>
      <c r="AI139" s="102"/>
      <c r="AJ139" s="102"/>
      <c r="AK139" s="103" t="str">
        <f t="shared" si="2"/>
        <v/>
      </c>
      <c r="AL139" s="102"/>
      <c r="AM139" s="102"/>
      <c r="AN139" s="102"/>
      <c r="AO139" s="106"/>
      <c r="AP139" s="103"/>
      <c r="AQ139" s="102"/>
      <c r="AR139" s="102"/>
      <c r="AS139" s="102"/>
      <c r="AT139" s="107"/>
      <c r="AU139" s="102" t="str">
        <f t="shared" si="3"/>
        <v/>
      </c>
      <c r="AV139" s="102" t="str">
        <f t="shared" si="4"/>
        <v/>
      </c>
      <c r="AW139" s="102" t="str">
        <f t="shared" si="5"/>
        <v/>
      </c>
      <c r="AX139" s="102" t="str">
        <f t="shared" si="6"/>
        <v/>
      </c>
      <c r="AY139" s="107" t="str">
        <f t="shared" si="7"/>
        <v/>
      </c>
      <c r="AZ139" s="108" t="str">
        <f t="shared" si="8"/>
        <v/>
      </c>
      <c r="BA139" s="108" t="str">
        <f t="shared" si="9"/>
        <v/>
      </c>
      <c r="BB139" s="109" t="str">
        <f t="shared" si="10"/>
        <v/>
      </c>
      <c r="BC139" s="108" t="str">
        <f t="shared" si="11"/>
        <v/>
      </c>
      <c r="BD139" s="108" t="str">
        <f t="shared" si="12"/>
        <v/>
      </c>
      <c r="BE139" s="109" t="str">
        <f t="shared" si="13"/>
        <v/>
      </c>
      <c r="BF139" s="110" t="str">
        <f t="shared" si="14"/>
        <v/>
      </c>
      <c r="BG139" s="111"/>
    </row>
    <row r="140" spans="1:59" ht="12.75">
      <c r="A140" s="101"/>
      <c r="B140" s="102"/>
      <c r="C140" s="102" t="e">
        <f t="array" aca="1" ref="C140" ca="1">_xludf.XLOOKUP(A140,'QA Log'!D:D,'QA Log'!F:F,"")</f>
        <v>#NAME?</v>
      </c>
      <c r="D140" s="102"/>
      <c r="E140" s="102" t="e">
        <f t="array" aca="1" ref="E140" ca="1">_xludf.XLOOKUP(A140,'QA Log'!D:D,'QA Log'!G:G,"")</f>
        <v>#NAME?</v>
      </c>
      <c r="F140" s="103"/>
      <c r="G140" s="104"/>
      <c r="H140" s="104"/>
      <c r="I140" s="103" t="str">
        <f t="shared" si="0"/>
        <v/>
      </c>
      <c r="J140" s="102"/>
      <c r="K140" s="102"/>
      <c r="L140" s="119" t="str">
        <f t="array" ref="L140">IF(OR($B140="",$D140=""),"",
IFERROR(
  INDEX(
    'Tools &amp; Targets_Guideline'!$C$54:$I$269,
    MATCH(
      1,
      ('Tools &amp; Targets_Guideline'!$A$54:$A$269=$B140)*
      ('Tools &amp; Targets_Guideline'!$B$54:$B$269="ANC"),
      0
    ),
    MATCH(
      _xludf.IFNA(
        VLOOKUP($D140,{"PH","Provincial Hospital (H2)";"DH","District Hospital (H3)";"RH","Regional / National Hospital (H1)"},2,0),
        $D140
      ),
      'Tools &amp; Targets_Guideline'!$C$53:$I$53,
      0
    )
  ),
0))</f>
        <v/>
      </c>
      <c r="M140" s="105"/>
      <c r="N140" s="119" t="str">
        <f t="array" ref="N140">IF(OR($B140="",$D140=""),"",
IFERROR(
  INDEX(
    'Tools &amp; Targets_Guideline'!$C$54:$I$269,
    MATCH(
      1,
      ('Tools &amp; Targets_Guideline'!$A$54:$A$269=$B140)*
      ('Tools &amp; Targets_Guideline'!$B$54:$B$269="PNC"),
      0
    ),
    MATCH(
      _xludf.IFNA(
        VLOOKUP($D140,{"PH","Provincial Hospital (H2)";"DH","District Hospital (H3)";"RH","Regional / National Hospital (H1)"},2,0),
        $D140
      ),
      'Tools &amp; Targets_Guideline'!$C$53:$I$53,
      0
    )
  ),
0))</f>
        <v/>
      </c>
      <c r="O140" s="105"/>
      <c r="P140" s="119" t="str">
        <f t="array" ref="P140">IF(OR($B140="",$D140=""),"",
IFERROR(
  INDEX(
    'Tools &amp; Targets_Guideline'!$C$54:$I$269,
    MATCH(
      1,
      ('Tools &amp; Targets_Guideline'!$A$54:$A$269=$B140)*
      ('Tools &amp; Targets_Guideline'!$B$54:$B$269="Delivery"),
      0
    ),
    MATCH(
      _xludf.IFNA(
        VLOOKUP($D140,{"PH","Provincial Hospital (H2)";"DH","District Hospital (H3)";"RH","Regional / National Hospital (H1)"},2,0),
        $D140
      ),
      'Tools &amp; Targets_Guideline'!$C$53:$I$53,
      0
    )
  ),
0))</f>
        <v/>
      </c>
      <c r="Q140" s="105"/>
      <c r="R140" s="119" t="str">
        <f t="array" ref="R140">IF(OR($B140="",$D140=""),"",
IFERROR(
  INDEX(
    'Tools &amp; Targets_Guideline'!$C$54:$I$269,
    MATCH(
      1,
      ('Tools &amp; Targets_Guideline'!$A$54:$A$269=$B140)*
      ('Tools &amp; Targets_Guideline'!$B$54:$B$269="TT"),
      0
    ),
    MATCH(
      _xludf.IFNA(
        VLOOKUP($D140,{"PH","Provincial Hospital (H2)";"DH","District Hospital (H3)";"RH","Regional / National Hospital (H1)"},2,0),
        $D140
      ),
      'Tools &amp; Targets_Guideline'!$C$53:$I$53,
      0
    )
  ),
0))</f>
        <v/>
      </c>
      <c r="S140" s="105"/>
      <c r="T140" s="102"/>
      <c r="U140" s="106"/>
      <c r="V140" s="102" t="str">
        <f t="shared" si="1"/>
        <v/>
      </c>
      <c r="W140" s="102"/>
      <c r="X140" s="102"/>
      <c r="Y140" s="119" t="str">
        <f t="array" ref="Y140">IF(OR($B140="",$D140=""),"",
IFERROR(
  INDEX(
    'Tools &amp; Targets_Guideline'!$C$54:$I$269,
    MATCH(
      1,
      ('Tools &amp; Targets_Guideline'!$A$54:$A$269=$B140)*
      ('Tools &amp; Targets_Guideline'!$B$54:$B$269="GM"),
      0
    ),
    MATCH(
      _xludf.IFNA(
        VLOOKUP($D140,{"PH","Provincial Hospital (H2)";"DH","District Hospital (H3)";"RH","Regional / National Hospital (H1)"},2,0),
        $D140
      ),
      'Tools &amp; Targets_Guideline'!$C$53:$I$53,
      0
    )
  ),
0))</f>
        <v/>
      </c>
      <c r="Z140" s="105"/>
      <c r="AA140" s="119" t="str">
        <f t="array" ref="AA140">IF(OR($B140="",$D140=""),"",
IFERROR(
  INDEX(
    'Tools &amp; Targets_Guideline'!$C$54:$I$269,
    MATCH(
      1,
      ('Tools &amp; Targets_Guideline'!$A$54:$A$269=$B140)*
      ('Tools &amp; Targets_Guideline'!$B$54:$B$269="Penta"),
      0
    ),
    MATCH(
      _xludf.IFNA(
        VLOOKUP($D140,{"PH","Provincial Hospital (H2)";"DH","District Hospital (H3)";"RH","Regional / National Hospital (H1)"},2,0),
        $D140
      ),
      'Tools &amp; Targets_Guideline'!$C$53:$I$53,
      0
    )
  ),
0))</f>
        <v/>
      </c>
      <c r="AB140" s="105"/>
      <c r="AC140" s="119" t="str">
        <f t="array" ref="AC140">IF(OR($B140="",$D140=""),"",
IFERROR(
  INDEX(
    'Tools &amp; Targets_Guideline'!$C$54:$I$269,
    MATCH(
      1,
      ('Tools &amp; Targets_Guideline'!$A$54:$A$269=$B140)*
      ('Tools &amp; Targets_Guideline'!$B$54:$B$269="TB"),
      0
    ),
    MATCH(
      _xludf.IFNA(
        VLOOKUP($D140,{"PH","Provincial Hospital (H2)";"DH","District Hospital (H3)";"RH","Regional / National Hospital (H1)"},2,0),
        $D140
      ),
      'Tools &amp; Targets_Guideline'!$C$53:$I$53,
      0
    )
  ),
0))</f>
        <v/>
      </c>
      <c r="AD140" s="105"/>
      <c r="AE140" s="119" t="str">
        <f t="array" ref="AE140">IF(OR($B140="",$D140=""),"",
IFERROR(
  INDEX(
    'Tools &amp; Targets_Guideline'!$C$54:$I$269,
    MATCH(
      1,
      ('Tools &amp; Targets_Guideline'!$A$54:$A$269=$B140)*
      ('Tools &amp; Targets_Guideline'!$B$54:$B$269="U5 Morbidity"),
      0
    ),
    MATCH(
      _xludf.IFNA(
        VLOOKUP($D140,{"PH","Provincial Hospital (H2)";"DH","District Hospital (H3)";"RH","Regional / National Hospital (H1)"},2,0),
        $D140
      ),
      'Tools &amp; Targets_Guideline'!$C$53:$I$53,
      0
    )
  ),
0))</f>
        <v/>
      </c>
      <c r="AF140" s="105"/>
      <c r="AG140" s="119" t="str">
        <f t="array" ref="AG140">IF(OR($B140="",$D140=""),"",
IFERROR(
  INDEX(
    'Tools &amp; Targets_Guideline'!$C$54:$I$269,
    MATCH(
      1,
      ('Tools &amp; Targets_Guideline'!$A$54:$A$269=$B140)*
      ('Tools &amp; Targets_Guideline'!$B$54:$B$269="C-Section"),
      0
    ),
    MATCH(
      _xludf.IFNA(
        VLOOKUP($D140,{"PH","Provincial Hospital (H2)";"DH","District Hospital (H3)";"RH","Regional / National Hospital (H1)"},2,0),
        $D140
      ),
      'Tools &amp; Targets_Guideline'!$C$53:$I$53,
      0
    )
  ),
0))</f>
        <v/>
      </c>
      <c r="AH140" s="105" t="str">
        <f>IF(A140&lt;&gt;"",COUNTIFS('QA Log'!D:D,A140,'QA Log'!M:M,"QQC",'QA Log'!L:L,"2. Hygiene and Sterilization",'QA Log'!Z:Z,"Approved"),"")</f>
        <v/>
      </c>
      <c r="AI140" s="102"/>
      <c r="AJ140" s="102"/>
      <c r="AK140" s="103" t="str">
        <f t="shared" si="2"/>
        <v/>
      </c>
      <c r="AL140" s="102"/>
      <c r="AM140" s="102"/>
      <c r="AN140" s="102"/>
      <c r="AO140" s="106"/>
      <c r="AP140" s="103"/>
      <c r="AQ140" s="102"/>
      <c r="AR140" s="102"/>
      <c r="AS140" s="102"/>
      <c r="AT140" s="107"/>
      <c r="AU140" s="102" t="str">
        <f t="shared" si="3"/>
        <v/>
      </c>
      <c r="AV140" s="102" t="str">
        <f t="shared" si="4"/>
        <v/>
      </c>
      <c r="AW140" s="102" t="str">
        <f t="shared" si="5"/>
        <v/>
      </c>
      <c r="AX140" s="102" t="str">
        <f t="shared" si="6"/>
        <v/>
      </c>
      <c r="AY140" s="107" t="str">
        <f t="shared" si="7"/>
        <v/>
      </c>
      <c r="AZ140" s="108" t="str">
        <f t="shared" si="8"/>
        <v/>
      </c>
      <c r="BA140" s="108" t="str">
        <f t="shared" si="9"/>
        <v/>
      </c>
      <c r="BB140" s="109" t="str">
        <f t="shared" si="10"/>
        <v/>
      </c>
      <c r="BC140" s="108" t="str">
        <f t="shared" si="11"/>
        <v/>
      </c>
      <c r="BD140" s="108" t="str">
        <f t="shared" si="12"/>
        <v/>
      </c>
      <c r="BE140" s="109" t="str">
        <f t="shared" si="13"/>
        <v/>
      </c>
      <c r="BF140" s="110" t="str">
        <f t="shared" si="14"/>
        <v/>
      </c>
      <c r="BG140" s="111"/>
    </row>
    <row r="141" spans="1:59" ht="12.75">
      <c r="A141" s="101"/>
      <c r="B141" s="102"/>
      <c r="C141" s="102" t="e">
        <f t="array" aca="1" ref="C141" ca="1">_xludf.XLOOKUP(A141,'QA Log'!D:D,'QA Log'!F:F,"")</f>
        <v>#NAME?</v>
      </c>
      <c r="D141" s="102"/>
      <c r="E141" s="102" t="e">
        <f t="array" aca="1" ref="E141" ca="1">_xludf.XLOOKUP(A141,'QA Log'!D:D,'QA Log'!G:G,"")</f>
        <v>#NAME?</v>
      </c>
      <c r="F141" s="103"/>
      <c r="G141" s="104"/>
      <c r="H141" s="104"/>
      <c r="I141" s="103" t="str">
        <f t="shared" si="0"/>
        <v/>
      </c>
      <c r="J141" s="102"/>
      <c r="K141" s="102"/>
      <c r="L141" s="119" t="str">
        <f t="array" ref="L141">IF(OR($B141="",$D141=""),"",
IFERROR(
  INDEX(
    'Tools &amp; Targets_Guideline'!$C$54:$I$269,
    MATCH(
      1,
      ('Tools &amp; Targets_Guideline'!$A$54:$A$269=$B141)*
      ('Tools &amp; Targets_Guideline'!$B$54:$B$269="ANC"),
      0
    ),
    MATCH(
      _xludf.IFNA(
        VLOOKUP($D141,{"PH","Provincial Hospital (H2)";"DH","District Hospital (H3)";"RH","Regional / National Hospital (H1)"},2,0),
        $D141
      ),
      'Tools &amp; Targets_Guideline'!$C$53:$I$53,
      0
    )
  ),
0))</f>
        <v/>
      </c>
      <c r="M141" s="105"/>
      <c r="N141" s="119" t="str">
        <f t="array" ref="N141">IF(OR($B141="",$D141=""),"",
IFERROR(
  INDEX(
    'Tools &amp; Targets_Guideline'!$C$54:$I$269,
    MATCH(
      1,
      ('Tools &amp; Targets_Guideline'!$A$54:$A$269=$B141)*
      ('Tools &amp; Targets_Guideline'!$B$54:$B$269="PNC"),
      0
    ),
    MATCH(
      _xludf.IFNA(
        VLOOKUP($D141,{"PH","Provincial Hospital (H2)";"DH","District Hospital (H3)";"RH","Regional / National Hospital (H1)"},2,0),
        $D141
      ),
      'Tools &amp; Targets_Guideline'!$C$53:$I$53,
      0
    )
  ),
0))</f>
        <v/>
      </c>
      <c r="O141" s="105"/>
      <c r="P141" s="119" t="str">
        <f t="array" ref="P141">IF(OR($B141="",$D141=""),"",
IFERROR(
  INDEX(
    'Tools &amp; Targets_Guideline'!$C$54:$I$269,
    MATCH(
      1,
      ('Tools &amp; Targets_Guideline'!$A$54:$A$269=$B141)*
      ('Tools &amp; Targets_Guideline'!$B$54:$B$269="Delivery"),
      0
    ),
    MATCH(
      _xludf.IFNA(
        VLOOKUP($D141,{"PH","Provincial Hospital (H2)";"DH","District Hospital (H3)";"RH","Regional / National Hospital (H1)"},2,0),
        $D141
      ),
      'Tools &amp; Targets_Guideline'!$C$53:$I$53,
      0
    )
  ),
0))</f>
        <v/>
      </c>
      <c r="Q141" s="105"/>
      <c r="R141" s="119" t="str">
        <f t="array" ref="R141">IF(OR($B141="",$D141=""),"",
IFERROR(
  INDEX(
    'Tools &amp; Targets_Guideline'!$C$54:$I$269,
    MATCH(
      1,
      ('Tools &amp; Targets_Guideline'!$A$54:$A$269=$B141)*
      ('Tools &amp; Targets_Guideline'!$B$54:$B$269="TT"),
      0
    ),
    MATCH(
      _xludf.IFNA(
        VLOOKUP($D141,{"PH","Provincial Hospital (H2)";"DH","District Hospital (H3)";"RH","Regional / National Hospital (H1)"},2,0),
        $D141
      ),
      'Tools &amp; Targets_Guideline'!$C$53:$I$53,
      0
    )
  ),
0))</f>
        <v/>
      </c>
      <c r="S141" s="105"/>
      <c r="T141" s="102"/>
      <c r="U141" s="106"/>
      <c r="V141" s="102" t="str">
        <f t="shared" si="1"/>
        <v/>
      </c>
      <c r="W141" s="102"/>
      <c r="X141" s="102"/>
      <c r="Y141" s="119" t="str">
        <f t="array" ref="Y141">IF(OR($B141="",$D141=""),"",
IFERROR(
  INDEX(
    'Tools &amp; Targets_Guideline'!$C$54:$I$269,
    MATCH(
      1,
      ('Tools &amp; Targets_Guideline'!$A$54:$A$269=$B141)*
      ('Tools &amp; Targets_Guideline'!$B$54:$B$269="GM"),
      0
    ),
    MATCH(
      _xludf.IFNA(
        VLOOKUP($D141,{"PH","Provincial Hospital (H2)";"DH","District Hospital (H3)";"RH","Regional / National Hospital (H1)"},2,0),
        $D141
      ),
      'Tools &amp; Targets_Guideline'!$C$53:$I$53,
      0
    )
  ),
0))</f>
        <v/>
      </c>
      <c r="Z141" s="105"/>
      <c r="AA141" s="119" t="str">
        <f t="array" ref="AA141">IF(OR($B141="",$D141=""),"",
IFERROR(
  INDEX(
    'Tools &amp; Targets_Guideline'!$C$54:$I$269,
    MATCH(
      1,
      ('Tools &amp; Targets_Guideline'!$A$54:$A$269=$B141)*
      ('Tools &amp; Targets_Guideline'!$B$54:$B$269="Penta"),
      0
    ),
    MATCH(
      _xludf.IFNA(
        VLOOKUP($D141,{"PH","Provincial Hospital (H2)";"DH","District Hospital (H3)";"RH","Regional / National Hospital (H1)"},2,0),
        $D141
      ),
      'Tools &amp; Targets_Guideline'!$C$53:$I$53,
      0
    )
  ),
0))</f>
        <v/>
      </c>
      <c r="AB141" s="105"/>
      <c r="AC141" s="119" t="str">
        <f t="array" ref="AC141">IF(OR($B141="",$D141=""),"",
IFERROR(
  INDEX(
    'Tools &amp; Targets_Guideline'!$C$54:$I$269,
    MATCH(
      1,
      ('Tools &amp; Targets_Guideline'!$A$54:$A$269=$B141)*
      ('Tools &amp; Targets_Guideline'!$B$54:$B$269="TB"),
      0
    ),
    MATCH(
      _xludf.IFNA(
        VLOOKUP($D141,{"PH","Provincial Hospital (H2)";"DH","District Hospital (H3)";"RH","Regional / National Hospital (H1)"},2,0),
        $D141
      ),
      'Tools &amp; Targets_Guideline'!$C$53:$I$53,
      0
    )
  ),
0))</f>
        <v/>
      </c>
      <c r="AD141" s="105"/>
      <c r="AE141" s="119" t="str">
        <f t="array" ref="AE141">IF(OR($B141="",$D141=""),"",
IFERROR(
  INDEX(
    'Tools &amp; Targets_Guideline'!$C$54:$I$269,
    MATCH(
      1,
      ('Tools &amp; Targets_Guideline'!$A$54:$A$269=$B141)*
      ('Tools &amp; Targets_Guideline'!$B$54:$B$269="U5 Morbidity"),
      0
    ),
    MATCH(
      _xludf.IFNA(
        VLOOKUP($D141,{"PH","Provincial Hospital (H2)";"DH","District Hospital (H3)";"RH","Regional / National Hospital (H1)"},2,0),
        $D141
      ),
      'Tools &amp; Targets_Guideline'!$C$53:$I$53,
      0
    )
  ),
0))</f>
        <v/>
      </c>
      <c r="AF141" s="105"/>
      <c r="AG141" s="119" t="str">
        <f t="array" ref="AG141">IF(OR($B141="",$D141=""),"",
IFERROR(
  INDEX(
    'Tools &amp; Targets_Guideline'!$C$54:$I$269,
    MATCH(
      1,
      ('Tools &amp; Targets_Guideline'!$A$54:$A$269=$B141)*
      ('Tools &amp; Targets_Guideline'!$B$54:$B$269="C-Section"),
      0
    ),
    MATCH(
      _xludf.IFNA(
        VLOOKUP($D141,{"PH","Provincial Hospital (H2)";"DH","District Hospital (H3)";"RH","Regional / National Hospital (H1)"},2,0),
        $D141
      ),
      'Tools &amp; Targets_Guideline'!$C$53:$I$53,
      0
    )
  ),
0))</f>
        <v/>
      </c>
      <c r="AH141" s="105" t="str">
        <f>IF(A141&lt;&gt;"",COUNTIFS('QA Log'!D:D,A141,'QA Log'!M:M,"QQC",'QA Log'!L:L,"2. Hygiene and Sterilization",'QA Log'!Z:Z,"Approved"),"")</f>
        <v/>
      </c>
      <c r="AI141" s="102"/>
      <c r="AJ141" s="102"/>
      <c r="AK141" s="103" t="str">
        <f t="shared" si="2"/>
        <v/>
      </c>
      <c r="AL141" s="102"/>
      <c r="AM141" s="102"/>
      <c r="AN141" s="102"/>
      <c r="AO141" s="106"/>
      <c r="AP141" s="103"/>
      <c r="AQ141" s="102"/>
      <c r="AR141" s="102"/>
      <c r="AS141" s="102"/>
      <c r="AT141" s="107"/>
      <c r="AU141" s="102" t="str">
        <f t="shared" si="3"/>
        <v/>
      </c>
      <c r="AV141" s="102" t="str">
        <f t="shared" si="4"/>
        <v/>
      </c>
      <c r="AW141" s="102" t="str">
        <f t="shared" si="5"/>
        <v/>
      </c>
      <c r="AX141" s="102" t="str">
        <f t="shared" si="6"/>
        <v/>
      </c>
      <c r="AY141" s="107" t="str">
        <f t="shared" si="7"/>
        <v/>
      </c>
      <c r="AZ141" s="108" t="str">
        <f t="shared" si="8"/>
        <v/>
      </c>
      <c r="BA141" s="108" t="str">
        <f t="shared" si="9"/>
        <v/>
      </c>
      <c r="BB141" s="109" t="str">
        <f t="shared" si="10"/>
        <v/>
      </c>
      <c r="BC141" s="108" t="str">
        <f t="shared" si="11"/>
        <v/>
      </c>
      <c r="BD141" s="108" t="str">
        <f t="shared" si="12"/>
        <v/>
      </c>
      <c r="BE141" s="109" t="str">
        <f t="shared" si="13"/>
        <v/>
      </c>
      <c r="BF141" s="110" t="str">
        <f t="shared" si="14"/>
        <v/>
      </c>
      <c r="BG141" s="111"/>
    </row>
    <row r="142" spans="1:59" ht="12.75">
      <c r="A142" s="101"/>
      <c r="B142" s="102"/>
      <c r="C142" s="102" t="e">
        <f t="array" aca="1" ref="C142" ca="1">_xludf.XLOOKUP(A142,'QA Log'!D:D,'QA Log'!F:F,"")</f>
        <v>#NAME?</v>
      </c>
      <c r="D142" s="102"/>
      <c r="E142" s="102" t="e">
        <f t="array" aca="1" ref="E142" ca="1">_xludf.XLOOKUP(A142,'QA Log'!D:D,'QA Log'!G:G,"")</f>
        <v>#NAME?</v>
      </c>
      <c r="F142" s="103"/>
      <c r="G142" s="104"/>
      <c r="H142" s="104"/>
      <c r="I142" s="103" t="str">
        <f t="shared" si="0"/>
        <v/>
      </c>
      <c r="J142" s="102"/>
      <c r="K142" s="102"/>
      <c r="L142" s="119" t="str">
        <f t="array" ref="L142">IF(OR($B142="",$D142=""),"",
IFERROR(
  INDEX(
    'Tools &amp; Targets_Guideline'!$C$54:$I$269,
    MATCH(
      1,
      ('Tools &amp; Targets_Guideline'!$A$54:$A$269=$B142)*
      ('Tools &amp; Targets_Guideline'!$B$54:$B$269="ANC"),
      0
    ),
    MATCH(
      _xludf.IFNA(
        VLOOKUP($D142,{"PH","Provincial Hospital (H2)";"DH","District Hospital (H3)";"RH","Regional / National Hospital (H1)"},2,0),
        $D142
      ),
      'Tools &amp; Targets_Guideline'!$C$53:$I$53,
      0
    )
  ),
0))</f>
        <v/>
      </c>
      <c r="M142" s="105"/>
      <c r="N142" s="119" t="str">
        <f t="array" ref="N142">IF(OR($B142="",$D142=""),"",
IFERROR(
  INDEX(
    'Tools &amp; Targets_Guideline'!$C$54:$I$269,
    MATCH(
      1,
      ('Tools &amp; Targets_Guideline'!$A$54:$A$269=$B142)*
      ('Tools &amp; Targets_Guideline'!$B$54:$B$269="PNC"),
      0
    ),
    MATCH(
      _xludf.IFNA(
        VLOOKUP($D142,{"PH","Provincial Hospital (H2)";"DH","District Hospital (H3)";"RH","Regional / National Hospital (H1)"},2,0),
        $D142
      ),
      'Tools &amp; Targets_Guideline'!$C$53:$I$53,
      0
    )
  ),
0))</f>
        <v/>
      </c>
      <c r="O142" s="105"/>
      <c r="P142" s="119" t="str">
        <f t="array" ref="P142">IF(OR($B142="",$D142=""),"",
IFERROR(
  INDEX(
    'Tools &amp; Targets_Guideline'!$C$54:$I$269,
    MATCH(
      1,
      ('Tools &amp; Targets_Guideline'!$A$54:$A$269=$B142)*
      ('Tools &amp; Targets_Guideline'!$B$54:$B$269="Delivery"),
      0
    ),
    MATCH(
      _xludf.IFNA(
        VLOOKUP($D142,{"PH","Provincial Hospital (H2)";"DH","District Hospital (H3)";"RH","Regional / National Hospital (H1)"},2,0),
        $D142
      ),
      'Tools &amp; Targets_Guideline'!$C$53:$I$53,
      0
    )
  ),
0))</f>
        <v/>
      </c>
      <c r="Q142" s="105"/>
      <c r="R142" s="119" t="str">
        <f t="array" ref="R142">IF(OR($B142="",$D142=""),"",
IFERROR(
  INDEX(
    'Tools &amp; Targets_Guideline'!$C$54:$I$269,
    MATCH(
      1,
      ('Tools &amp; Targets_Guideline'!$A$54:$A$269=$B142)*
      ('Tools &amp; Targets_Guideline'!$B$54:$B$269="TT"),
      0
    ),
    MATCH(
      _xludf.IFNA(
        VLOOKUP($D142,{"PH","Provincial Hospital (H2)";"DH","District Hospital (H3)";"RH","Regional / National Hospital (H1)"},2,0),
        $D142
      ),
      'Tools &amp; Targets_Guideline'!$C$53:$I$53,
      0
    )
  ),
0))</f>
        <v/>
      </c>
      <c r="S142" s="105"/>
      <c r="T142" s="102"/>
      <c r="U142" s="106"/>
      <c r="V142" s="102" t="str">
        <f t="shared" si="1"/>
        <v/>
      </c>
      <c r="W142" s="102"/>
      <c r="X142" s="102"/>
      <c r="Y142" s="119" t="str">
        <f t="array" ref="Y142">IF(OR($B142="",$D142=""),"",
IFERROR(
  INDEX(
    'Tools &amp; Targets_Guideline'!$C$54:$I$269,
    MATCH(
      1,
      ('Tools &amp; Targets_Guideline'!$A$54:$A$269=$B142)*
      ('Tools &amp; Targets_Guideline'!$B$54:$B$269="GM"),
      0
    ),
    MATCH(
      _xludf.IFNA(
        VLOOKUP($D142,{"PH","Provincial Hospital (H2)";"DH","District Hospital (H3)";"RH","Regional / National Hospital (H1)"},2,0),
        $D142
      ),
      'Tools &amp; Targets_Guideline'!$C$53:$I$53,
      0
    )
  ),
0))</f>
        <v/>
      </c>
      <c r="Z142" s="105"/>
      <c r="AA142" s="119" t="str">
        <f t="array" ref="AA142">IF(OR($B142="",$D142=""),"",
IFERROR(
  INDEX(
    'Tools &amp; Targets_Guideline'!$C$54:$I$269,
    MATCH(
      1,
      ('Tools &amp; Targets_Guideline'!$A$54:$A$269=$B142)*
      ('Tools &amp; Targets_Guideline'!$B$54:$B$269="Penta"),
      0
    ),
    MATCH(
      _xludf.IFNA(
        VLOOKUP($D142,{"PH","Provincial Hospital (H2)";"DH","District Hospital (H3)";"RH","Regional / National Hospital (H1)"},2,0),
        $D142
      ),
      'Tools &amp; Targets_Guideline'!$C$53:$I$53,
      0
    )
  ),
0))</f>
        <v/>
      </c>
      <c r="AB142" s="105"/>
      <c r="AC142" s="119" t="str">
        <f t="array" ref="AC142">IF(OR($B142="",$D142=""),"",
IFERROR(
  INDEX(
    'Tools &amp; Targets_Guideline'!$C$54:$I$269,
    MATCH(
      1,
      ('Tools &amp; Targets_Guideline'!$A$54:$A$269=$B142)*
      ('Tools &amp; Targets_Guideline'!$B$54:$B$269="TB"),
      0
    ),
    MATCH(
      _xludf.IFNA(
        VLOOKUP($D142,{"PH","Provincial Hospital (H2)";"DH","District Hospital (H3)";"RH","Regional / National Hospital (H1)"},2,0),
        $D142
      ),
      'Tools &amp; Targets_Guideline'!$C$53:$I$53,
      0
    )
  ),
0))</f>
        <v/>
      </c>
      <c r="AD142" s="105"/>
      <c r="AE142" s="119" t="str">
        <f t="array" ref="AE142">IF(OR($B142="",$D142=""),"",
IFERROR(
  INDEX(
    'Tools &amp; Targets_Guideline'!$C$54:$I$269,
    MATCH(
      1,
      ('Tools &amp; Targets_Guideline'!$A$54:$A$269=$B142)*
      ('Tools &amp; Targets_Guideline'!$B$54:$B$269="U5 Morbidity"),
      0
    ),
    MATCH(
      _xludf.IFNA(
        VLOOKUP($D142,{"PH","Provincial Hospital (H2)";"DH","District Hospital (H3)";"RH","Regional / National Hospital (H1)"},2,0),
        $D142
      ),
      'Tools &amp; Targets_Guideline'!$C$53:$I$53,
      0
    )
  ),
0))</f>
        <v/>
      </c>
      <c r="AF142" s="105"/>
      <c r="AG142" s="119" t="str">
        <f t="array" ref="AG142">IF(OR($B142="",$D142=""),"",
IFERROR(
  INDEX(
    'Tools &amp; Targets_Guideline'!$C$54:$I$269,
    MATCH(
      1,
      ('Tools &amp; Targets_Guideline'!$A$54:$A$269=$B142)*
      ('Tools &amp; Targets_Guideline'!$B$54:$B$269="C-Section"),
      0
    ),
    MATCH(
      _xludf.IFNA(
        VLOOKUP($D142,{"PH","Provincial Hospital (H2)";"DH","District Hospital (H3)";"RH","Regional / National Hospital (H1)"},2,0),
        $D142
      ),
      'Tools &amp; Targets_Guideline'!$C$53:$I$53,
      0
    )
  ),
0))</f>
        <v/>
      </c>
      <c r="AH142" s="105" t="str">
        <f>IF(A142&lt;&gt;"",COUNTIFS('QA Log'!D:D,A142,'QA Log'!M:M,"QQC",'QA Log'!L:L,"2. Hygiene and Sterilization",'QA Log'!Z:Z,"Approved"),"")</f>
        <v/>
      </c>
      <c r="AI142" s="102"/>
      <c r="AJ142" s="102"/>
      <c r="AK142" s="103" t="str">
        <f t="shared" si="2"/>
        <v/>
      </c>
      <c r="AL142" s="102"/>
      <c r="AM142" s="102"/>
      <c r="AN142" s="102"/>
      <c r="AO142" s="106"/>
      <c r="AP142" s="103"/>
      <c r="AQ142" s="102"/>
      <c r="AR142" s="102"/>
      <c r="AS142" s="102"/>
      <c r="AT142" s="107"/>
      <c r="AU142" s="102" t="str">
        <f t="shared" si="3"/>
        <v/>
      </c>
      <c r="AV142" s="102" t="str">
        <f t="shared" si="4"/>
        <v/>
      </c>
      <c r="AW142" s="102" t="str">
        <f t="shared" si="5"/>
        <v/>
      </c>
      <c r="AX142" s="102" t="str">
        <f t="shared" si="6"/>
        <v/>
      </c>
      <c r="AY142" s="107" t="str">
        <f t="shared" si="7"/>
        <v/>
      </c>
      <c r="AZ142" s="108" t="str">
        <f t="shared" si="8"/>
        <v/>
      </c>
      <c r="BA142" s="108" t="str">
        <f t="shared" si="9"/>
        <v/>
      </c>
      <c r="BB142" s="109" t="str">
        <f t="shared" si="10"/>
        <v/>
      </c>
      <c r="BC142" s="108" t="str">
        <f t="shared" si="11"/>
        <v/>
      </c>
      <c r="BD142" s="108" t="str">
        <f t="shared" si="12"/>
        <v/>
      </c>
      <c r="BE142" s="109" t="str">
        <f t="shared" si="13"/>
        <v/>
      </c>
      <c r="BF142" s="110" t="str">
        <f t="shared" si="14"/>
        <v/>
      </c>
      <c r="BG142" s="111"/>
    </row>
    <row r="143" spans="1:59" ht="12.75">
      <c r="A143" s="101"/>
      <c r="B143" s="102"/>
      <c r="C143" s="102" t="e">
        <f t="array" aca="1" ref="C143" ca="1">_xludf.XLOOKUP(A143,'QA Log'!D:D,'QA Log'!F:F,"")</f>
        <v>#NAME?</v>
      </c>
      <c r="D143" s="102"/>
      <c r="E143" s="102" t="e">
        <f t="array" aca="1" ref="E143" ca="1">_xludf.XLOOKUP(A143,'QA Log'!D:D,'QA Log'!G:G,"")</f>
        <v>#NAME?</v>
      </c>
      <c r="F143" s="103"/>
      <c r="G143" s="104"/>
      <c r="H143" s="104"/>
      <c r="I143" s="103" t="str">
        <f t="shared" si="0"/>
        <v/>
      </c>
      <c r="J143" s="102"/>
      <c r="K143" s="102"/>
      <c r="L143" s="119" t="str">
        <f t="array" ref="L143">IF(OR($B143="",$D143=""),"",
IFERROR(
  INDEX(
    'Tools &amp; Targets_Guideline'!$C$54:$I$269,
    MATCH(
      1,
      ('Tools &amp; Targets_Guideline'!$A$54:$A$269=$B143)*
      ('Tools &amp; Targets_Guideline'!$B$54:$B$269="ANC"),
      0
    ),
    MATCH(
      _xludf.IFNA(
        VLOOKUP($D143,{"PH","Provincial Hospital (H2)";"DH","District Hospital (H3)";"RH","Regional / National Hospital (H1)"},2,0),
        $D143
      ),
      'Tools &amp; Targets_Guideline'!$C$53:$I$53,
      0
    )
  ),
0))</f>
        <v/>
      </c>
      <c r="M143" s="105"/>
      <c r="N143" s="119" t="str">
        <f t="array" ref="N143">IF(OR($B143="",$D143=""),"",
IFERROR(
  INDEX(
    'Tools &amp; Targets_Guideline'!$C$54:$I$269,
    MATCH(
      1,
      ('Tools &amp; Targets_Guideline'!$A$54:$A$269=$B143)*
      ('Tools &amp; Targets_Guideline'!$B$54:$B$269="PNC"),
      0
    ),
    MATCH(
      _xludf.IFNA(
        VLOOKUP($D143,{"PH","Provincial Hospital (H2)";"DH","District Hospital (H3)";"RH","Regional / National Hospital (H1)"},2,0),
        $D143
      ),
      'Tools &amp; Targets_Guideline'!$C$53:$I$53,
      0
    )
  ),
0))</f>
        <v/>
      </c>
      <c r="O143" s="105"/>
      <c r="P143" s="119" t="str">
        <f t="array" ref="P143">IF(OR($B143="",$D143=""),"",
IFERROR(
  INDEX(
    'Tools &amp; Targets_Guideline'!$C$54:$I$269,
    MATCH(
      1,
      ('Tools &amp; Targets_Guideline'!$A$54:$A$269=$B143)*
      ('Tools &amp; Targets_Guideline'!$B$54:$B$269="Delivery"),
      0
    ),
    MATCH(
      _xludf.IFNA(
        VLOOKUP($D143,{"PH","Provincial Hospital (H2)";"DH","District Hospital (H3)";"RH","Regional / National Hospital (H1)"},2,0),
        $D143
      ),
      'Tools &amp; Targets_Guideline'!$C$53:$I$53,
      0
    )
  ),
0))</f>
        <v/>
      </c>
      <c r="Q143" s="105"/>
      <c r="R143" s="119" t="str">
        <f t="array" ref="R143">IF(OR($B143="",$D143=""),"",
IFERROR(
  INDEX(
    'Tools &amp; Targets_Guideline'!$C$54:$I$269,
    MATCH(
      1,
      ('Tools &amp; Targets_Guideline'!$A$54:$A$269=$B143)*
      ('Tools &amp; Targets_Guideline'!$B$54:$B$269="TT"),
      0
    ),
    MATCH(
      _xludf.IFNA(
        VLOOKUP($D143,{"PH","Provincial Hospital (H2)";"DH","District Hospital (H3)";"RH","Regional / National Hospital (H1)"},2,0),
        $D143
      ),
      'Tools &amp; Targets_Guideline'!$C$53:$I$53,
      0
    )
  ),
0))</f>
        <v/>
      </c>
      <c r="S143" s="105"/>
      <c r="T143" s="102"/>
      <c r="U143" s="106"/>
      <c r="V143" s="102" t="str">
        <f t="shared" si="1"/>
        <v/>
      </c>
      <c r="W143" s="102"/>
      <c r="X143" s="102"/>
      <c r="Y143" s="119" t="str">
        <f t="array" ref="Y143">IF(OR($B143="",$D143=""),"",
IFERROR(
  INDEX(
    'Tools &amp; Targets_Guideline'!$C$54:$I$269,
    MATCH(
      1,
      ('Tools &amp; Targets_Guideline'!$A$54:$A$269=$B143)*
      ('Tools &amp; Targets_Guideline'!$B$54:$B$269="GM"),
      0
    ),
    MATCH(
      _xludf.IFNA(
        VLOOKUP($D143,{"PH","Provincial Hospital (H2)";"DH","District Hospital (H3)";"RH","Regional / National Hospital (H1)"},2,0),
        $D143
      ),
      'Tools &amp; Targets_Guideline'!$C$53:$I$53,
      0
    )
  ),
0))</f>
        <v/>
      </c>
      <c r="Z143" s="105"/>
      <c r="AA143" s="119" t="str">
        <f t="array" ref="AA143">IF(OR($B143="",$D143=""),"",
IFERROR(
  INDEX(
    'Tools &amp; Targets_Guideline'!$C$54:$I$269,
    MATCH(
      1,
      ('Tools &amp; Targets_Guideline'!$A$54:$A$269=$B143)*
      ('Tools &amp; Targets_Guideline'!$B$54:$B$269="Penta"),
      0
    ),
    MATCH(
      _xludf.IFNA(
        VLOOKUP($D143,{"PH","Provincial Hospital (H2)";"DH","District Hospital (H3)";"RH","Regional / National Hospital (H1)"},2,0),
        $D143
      ),
      'Tools &amp; Targets_Guideline'!$C$53:$I$53,
      0
    )
  ),
0))</f>
        <v/>
      </c>
      <c r="AB143" s="105"/>
      <c r="AC143" s="119" t="str">
        <f t="array" ref="AC143">IF(OR($B143="",$D143=""),"",
IFERROR(
  INDEX(
    'Tools &amp; Targets_Guideline'!$C$54:$I$269,
    MATCH(
      1,
      ('Tools &amp; Targets_Guideline'!$A$54:$A$269=$B143)*
      ('Tools &amp; Targets_Guideline'!$B$54:$B$269="TB"),
      0
    ),
    MATCH(
      _xludf.IFNA(
        VLOOKUP($D143,{"PH","Provincial Hospital (H2)";"DH","District Hospital (H3)";"RH","Regional / National Hospital (H1)"},2,0),
        $D143
      ),
      'Tools &amp; Targets_Guideline'!$C$53:$I$53,
      0
    )
  ),
0))</f>
        <v/>
      </c>
      <c r="AD143" s="105"/>
      <c r="AE143" s="119" t="str">
        <f t="array" ref="AE143">IF(OR($B143="",$D143=""),"",
IFERROR(
  INDEX(
    'Tools &amp; Targets_Guideline'!$C$54:$I$269,
    MATCH(
      1,
      ('Tools &amp; Targets_Guideline'!$A$54:$A$269=$B143)*
      ('Tools &amp; Targets_Guideline'!$B$54:$B$269="U5 Morbidity"),
      0
    ),
    MATCH(
      _xludf.IFNA(
        VLOOKUP($D143,{"PH","Provincial Hospital (H2)";"DH","District Hospital (H3)";"RH","Regional / National Hospital (H1)"},2,0),
        $D143
      ),
      'Tools &amp; Targets_Guideline'!$C$53:$I$53,
      0
    )
  ),
0))</f>
        <v/>
      </c>
      <c r="AF143" s="105"/>
      <c r="AG143" s="119" t="str">
        <f t="array" ref="AG143">IF(OR($B143="",$D143=""),"",
IFERROR(
  INDEX(
    'Tools &amp; Targets_Guideline'!$C$54:$I$269,
    MATCH(
      1,
      ('Tools &amp; Targets_Guideline'!$A$54:$A$269=$B143)*
      ('Tools &amp; Targets_Guideline'!$B$54:$B$269="C-Section"),
      0
    ),
    MATCH(
      _xludf.IFNA(
        VLOOKUP($D143,{"PH","Provincial Hospital (H2)";"DH","District Hospital (H3)";"RH","Regional / National Hospital (H1)"},2,0),
        $D143
      ),
      'Tools &amp; Targets_Guideline'!$C$53:$I$53,
      0
    )
  ),
0))</f>
        <v/>
      </c>
      <c r="AH143" s="105" t="str">
        <f>IF(A143&lt;&gt;"",COUNTIFS('QA Log'!D:D,A143,'QA Log'!M:M,"QQC",'QA Log'!L:L,"2. Hygiene and Sterilization",'QA Log'!Z:Z,"Approved"),"")</f>
        <v/>
      </c>
      <c r="AI143" s="102"/>
      <c r="AJ143" s="102"/>
      <c r="AK143" s="103" t="str">
        <f t="shared" si="2"/>
        <v/>
      </c>
      <c r="AL143" s="102"/>
      <c r="AM143" s="102"/>
      <c r="AN143" s="102"/>
      <c r="AO143" s="106"/>
      <c r="AP143" s="103"/>
      <c r="AQ143" s="102"/>
      <c r="AR143" s="102"/>
      <c r="AS143" s="102"/>
      <c r="AT143" s="107"/>
      <c r="AU143" s="102" t="str">
        <f t="shared" si="3"/>
        <v/>
      </c>
      <c r="AV143" s="102" t="str">
        <f t="shared" si="4"/>
        <v/>
      </c>
      <c r="AW143" s="102" t="str">
        <f t="shared" si="5"/>
        <v/>
      </c>
      <c r="AX143" s="102" t="str">
        <f t="shared" si="6"/>
        <v/>
      </c>
      <c r="AY143" s="107" t="str">
        <f t="shared" si="7"/>
        <v/>
      </c>
      <c r="AZ143" s="108" t="str">
        <f t="shared" si="8"/>
        <v/>
      </c>
      <c r="BA143" s="108" t="str">
        <f t="shared" si="9"/>
        <v/>
      </c>
      <c r="BB143" s="109" t="str">
        <f t="shared" si="10"/>
        <v/>
      </c>
      <c r="BC143" s="108" t="str">
        <f t="shared" si="11"/>
        <v/>
      </c>
      <c r="BD143" s="108" t="str">
        <f t="shared" si="12"/>
        <v/>
      </c>
      <c r="BE143" s="109" t="str">
        <f t="shared" si="13"/>
        <v/>
      </c>
      <c r="BF143" s="110" t="str">
        <f t="shared" si="14"/>
        <v/>
      </c>
      <c r="BG143" s="111"/>
    </row>
    <row r="144" spans="1:59" ht="12.75">
      <c r="A144" s="101"/>
      <c r="B144" s="102"/>
      <c r="C144" s="102" t="e">
        <f t="array" aca="1" ref="C144" ca="1">_xludf.XLOOKUP(A144,'QA Log'!D:D,'QA Log'!F:F,"")</f>
        <v>#NAME?</v>
      </c>
      <c r="D144" s="102"/>
      <c r="E144" s="102" t="e">
        <f t="array" aca="1" ref="E144" ca="1">_xludf.XLOOKUP(A144,'QA Log'!D:D,'QA Log'!G:G,"")</f>
        <v>#NAME?</v>
      </c>
      <c r="F144" s="103"/>
      <c r="G144" s="104"/>
      <c r="H144" s="104"/>
      <c r="I144" s="103" t="str">
        <f t="shared" si="0"/>
        <v/>
      </c>
      <c r="J144" s="102"/>
      <c r="K144" s="102"/>
      <c r="L144" s="119" t="str">
        <f t="array" ref="L144">IF(OR($B144="",$D144=""),"",
IFERROR(
  INDEX(
    'Tools &amp; Targets_Guideline'!$C$54:$I$269,
    MATCH(
      1,
      ('Tools &amp; Targets_Guideline'!$A$54:$A$269=$B144)*
      ('Tools &amp; Targets_Guideline'!$B$54:$B$269="ANC"),
      0
    ),
    MATCH(
      _xludf.IFNA(
        VLOOKUP($D144,{"PH","Provincial Hospital (H2)";"DH","District Hospital (H3)";"RH","Regional / National Hospital (H1)"},2,0),
        $D144
      ),
      'Tools &amp; Targets_Guideline'!$C$53:$I$53,
      0
    )
  ),
0))</f>
        <v/>
      </c>
      <c r="M144" s="105"/>
      <c r="N144" s="119" t="str">
        <f t="array" ref="N144">IF(OR($B144="",$D144=""),"",
IFERROR(
  INDEX(
    'Tools &amp; Targets_Guideline'!$C$54:$I$269,
    MATCH(
      1,
      ('Tools &amp; Targets_Guideline'!$A$54:$A$269=$B144)*
      ('Tools &amp; Targets_Guideline'!$B$54:$B$269="PNC"),
      0
    ),
    MATCH(
      _xludf.IFNA(
        VLOOKUP($D144,{"PH","Provincial Hospital (H2)";"DH","District Hospital (H3)";"RH","Regional / National Hospital (H1)"},2,0),
        $D144
      ),
      'Tools &amp; Targets_Guideline'!$C$53:$I$53,
      0
    )
  ),
0))</f>
        <v/>
      </c>
      <c r="O144" s="105"/>
      <c r="P144" s="119" t="str">
        <f t="array" ref="P144">IF(OR($B144="",$D144=""),"",
IFERROR(
  INDEX(
    'Tools &amp; Targets_Guideline'!$C$54:$I$269,
    MATCH(
      1,
      ('Tools &amp; Targets_Guideline'!$A$54:$A$269=$B144)*
      ('Tools &amp; Targets_Guideline'!$B$54:$B$269="Delivery"),
      0
    ),
    MATCH(
      _xludf.IFNA(
        VLOOKUP($D144,{"PH","Provincial Hospital (H2)";"DH","District Hospital (H3)";"RH","Regional / National Hospital (H1)"},2,0),
        $D144
      ),
      'Tools &amp; Targets_Guideline'!$C$53:$I$53,
      0
    )
  ),
0))</f>
        <v/>
      </c>
      <c r="Q144" s="105"/>
      <c r="R144" s="119" t="str">
        <f t="array" ref="R144">IF(OR($B144="",$D144=""),"",
IFERROR(
  INDEX(
    'Tools &amp; Targets_Guideline'!$C$54:$I$269,
    MATCH(
      1,
      ('Tools &amp; Targets_Guideline'!$A$54:$A$269=$B144)*
      ('Tools &amp; Targets_Guideline'!$B$54:$B$269="TT"),
      0
    ),
    MATCH(
      _xludf.IFNA(
        VLOOKUP($D144,{"PH","Provincial Hospital (H2)";"DH","District Hospital (H3)";"RH","Regional / National Hospital (H1)"},2,0),
        $D144
      ),
      'Tools &amp; Targets_Guideline'!$C$53:$I$53,
      0
    )
  ),
0))</f>
        <v/>
      </c>
      <c r="S144" s="105"/>
      <c r="T144" s="102"/>
      <c r="U144" s="106"/>
      <c r="V144" s="102" t="str">
        <f t="shared" si="1"/>
        <v/>
      </c>
      <c r="W144" s="102"/>
      <c r="X144" s="102"/>
      <c r="Y144" s="119" t="str">
        <f t="array" ref="Y144">IF(OR($B144="",$D144=""),"",
IFERROR(
  INDEX(
    'Tools &amp; Targets_Guideline'!$C$54:$I$269,
    MATCH(
      1,
      ('Tools &amp; Targets_Guideline'!$A$54:$A$269=$B144)*
      ('Tools &amp; Targets_Guideline'!$B$54:$B$269="GM"),
      0
    ),
    MATCH(
      _xludf.IFNA(
        VLOOKUP($D144,{"PH","Provincial Hospital (H2)";"DH","District Hospital (H3)";"RH","Regional / National Hospital (H1)"},2,0),
        $D144
      ),
      'Tools &amp; Targets_Guideline'!$C$53:$I$53,
      0
    )
  ),
0))</f>
        <v/>
      </c>
      <c r="Z144" s="105"/>
      <c r="AA144" s="119" t="str">
        <f t="array" ref="AA144">IF(OR($B144="",$D144=""),"",
IFERROR(
  INDEX(
    'Tools &amp; Targets_Guideline'!$C$54:$I$269,
    MATCH(
      1,
      ('Tools &amp; Targets_Guideline'!$A$54:$A$269=$B144)*
      ('Tools &amp; Targets_Guideline'!$B$54:$B$269="Penta"),
      0
    ),
    MATCH(
      _xludf.IFNA(
        VLOOKUP($D144,{"PH","Provincial Hospital (H2)";"DH","District Hospital (H3)";"RH","Regional / National Hospital (H1)"},2,0),
        $D144
      ),
      'Tools &amp; Targets_Guideline'!$C$53:$I$53,
      0
    )
  ),
0))</f>
        <v/>
      </c>
      <c r="AB144" s="105"/>
      <c r="AC144" s="119" t="str">
        <f t="array" ref="AC144">IF(OR($B144="",$D144=""),"",
IFERROR(
  INDEX(
    'Tools &amp; Targets_Guideline'!$C$54:$I$269,
    MATCH(
      1,
      ('Tools &amp; Targets_Guideline'!$A$54:$A$269=$B144)*
      ('Tools &amp; Targets_Guideline'!$B$54:$B$269="TB"),
      0
    ),
    MATCH(
      _xludf.IFNA(
        VLOOKUP($D144,{"PH","Provincial Hospital (H2)";"DH","District Hospital (H3)";"RH","Regional / National Hospital (H1)"},2,0),
        $D144
      ),
      'Tools &amp; Targets_Guideline'!$C$53:$I$53,
      0
    )
  ),
0))</f>
        <v/>
      </c>
      <c r="AD144" s="105"/>
      <c r="AE144" s="119" t="str">
        <f t="array" ref="AE144">IF(OR($B144="",$D144=""),"",
IFERROR(
  INDEX(
    'Tools &amp; Targets_Guideline'!$C$54:$I$269,
    MATCH(
      1,
      ('Tools &amp; Targets_Guideline'!$A$54:$A$269=$B144)*
      ('Tools &amp; Targets_Guideline'!$B$54:$B$269="U5 Morbidity"),
      0
    ),
    MATCH(
      _xludf.IFNA(
        VLOOKUP($D144,{"PH","Provincial Hospital (H2)";"DH","District Hospital (H3)";"RH","Regional / National Hospital (H1)"},2,0),
        $D144
      ),
      'Tools &amp; Targets_Guideline'!$C$53:$I$53,
      0
    )
  ),
0))</f>
        <v/>
      </c>
      <c r="AF144" s="105"/>
      <c r="AG144" s="119" t="str">
        <f t="array" ref="AG144">IF(OR($B144="",$D144=""),"",
IFERROR(
  INDEX(
    'Tools &amp; Targets_Guideline'!$C$54:$I$269,
    MATCH(
      1,
      ('Tools &amp; Targets_Guideline'!$A$54:$A$269=$B144)*
      ('Tools &amp; Targets_Guideline'!$B$54:$B$269="C-Section"),
      0
    ),
    MATCH(
      _xludf.IFNA(
        VLOOKUP($D144,{"PH","Provincial Hospital (H2)";"DH","District Hospital (H3)";"RH","Regional / National Hospital (H1)"},2,0),
        $D144
      ),
      'Tools &amp; Targets_Guideline'!$C$53:$I$53,
      0
    )
  ),
0))</f>
        <v/>
      </c>
      <c r="AH144" s="105" t="str">
        <f>IF(A144&lt;&gt;"",COUNTIFS('QA Log'!D:D,A144,'QA Log'!M:M,"QQC",'QA Log'!L:L,"2. Hygiene and Sterilization",'QA Log'!Z:Z,"Approved"),"")</f>
        <v/>
      </c>
      <c r="AI144" s="102"/>
      <c r="AJ144" s="102"/>
      <c r="AK144" s="103" t="str">
        <f t="shared" si="2"/>
        <v/>
      </c>
      <c r="AL144" s="102"/>
      <c r="AM144" s="102"/>
      <c r="AN144" s="102"/>
      <c r="AO144" s="106"/>
      <c r="AP144" s="103"/>
      <c r="AQ144" s="102"/>
      <c r="AR144" s="102"/>
      <c r="AS144" s="102"/>
      <c r="AT144" s="107"/>
      <c r="AU144" s="102" t="str">
        <f t="shared" si="3"/>
        <v/>
      </c>
      <c r="AV144" s="102" t="str">
        <f t="shared" si="4"/>
        <v/>
      </c>
      <c r="AW144" s="102" t="str">
        <f t="shared" si="5"/>
        <v/>
      </c>
      <c r="AX144" s="102" t="str">
        <f t="shared" si="6"/>
        <v/>
      </c>
      <c r="AY144" s="107" t="str">
        <f t="shared" si="7"/>
        <v/>
      </c>
      <c r="AZ144" s="108" t="str">
        <f t="shared" si="8"/>
        <v/>
      </c>
      <c r="BA144" s="108" t="str">
        <f t="shared" si="9"/>
        <v/>
      </c>
      <c r="BB144" s="109" t="str">
        <f t="shared" si="10"/>
        <v/>
      </c>
      <c r="BC144" s="108" t="str">
        <f t="shared" si="11"/>
        <v/>
      </c>
      <c r="BD144" s="108" t="str">
        <f t="shared" si="12"/>
        <v/>
      </c>
      <c r="BE144" s="109" t="str">
        <f t="shared" si="13"/>
        <v/>
      </c>
      <c r="BF144" s="110" t="str">
        <f t="shared" si="14"/>
        <v/>
      </c>
      <c r="BG144" s="111"/>
    </row>
    <row r="145" spans="1:59" ht="12.75">
      <c r="A145" s="101"/>
      <c r="B145" s="102"/>
      <c r="C145" s="102" t="e">
        <f t="array" aca="1" ref="C145" ca="1">_xludf.XLOOKUP(A145,'QA Log'!D:D,'QA Log'!F:F,"")</f>
        <v>#NAME?</v>
      </c>
      <c r="D145" s="102"/>
      <c r="E145" s="102" t="e">
        <f t="array" aca="1" ref="E145" ca="1">_xludf.XLOOKUP(A145,'QA Log'!D:D,'QA Log'!G:G,"")</f>
        <v>#NAME?</v>
      </c>
      <c r="F145" s="103"/>
      <c r="G145" s="104"/>
      <c r="H145" s="104"/>
      <c r="I145" s="103" t="str">
        <f t="shared" si="0"/>
        <v/>
      </c>
      <c r="J145" s="102"/>
      <c r="K145" s="102"/>
      <c r="L145" s="119" t="str">
        <f t="array" ref="L145">IF(OR($B145="",$D145=""),"",
IFERROR(
  INDEX(
    'Tools &amp; Targets_Guideline'!$C$54:$I$269,
    MATCH(
      1,
      ('Tools &amp; Targets_Guideline'!$A$54:$A$269=$B145)*
      ('Tools &amp; Targets_Guideline'!$B$54:$B$269="ANC"),
      0
    ),
    MATCH(
      _xludf.IFNA(
        VLOOKUP($D145,{"PH","Provincial Hospital (H2)";"DH","District Hospital (H3)";"RH","Regional / National Hospital (H1)"},2,0),
        $D145
      ),
      'Tools &amp; Targets_Guideline'!$C$53:$I$53,
      0
    )
  ),
0))</f>
        <v/>
      </c>
      <c r="M145" s="105"/>
      <c r="N145" s="119" t="str">
        <f t="array" ref="N145">IF(OR($B145="",$D145=""),"",
IFERROR(
  INDEX(
    'Tools &amp; Targets_Guideline'!$C$54:$I$269,
    MATCH(
      1,
      ('Tools &amp; Targets_Guideline'!$A$54:$A$269=$B145)*
      ('Tools &amp; Targets_Guideline'!$B$54:$B$269="PNC"),
      0
    ),
    MATCH(
      _xludf.IFNA(
        VLOOKUP($D145,{"PH","Provincial Hospital (H2)";"DH","District Hospital (H3)";"RH","Regional / National Hospital (H1)"},2,0),
        $D145
      ),
      'Tools &amp; Targets_Guideline'!$C$53:$I$53,
      0
    )
  ),
0))</f>
        <v/>
      </c>
      <c r="O145" s="105"/>
      <c r="P145" s="119" t="str">
        <f t="array" ref="P145">IF(OR($B145="",$D145=""),"",
IFERROR(
  INDEX(
    'Tools &amp; Targets_Guideline'!$C$54:$I$269,
    MATCH(
      1,
      ('Tools &amp; Targets_Guideline'!$A$54:$A$269=$B145)*
      ('Tools &amp; Targets_Guideline'!$B$54:$B$269="Delivery"),
      0
    ),
    MATCH(
      _xludf.IFNA(
        VLOOKUP($D145,{"PH","Provincial Hospital (H2)";"DH","District Hospital (H3)";"RH","Regional / National Hospital (H1)"},2,0),
        $D145
      ),
      'Tools &amp; Targets_Guideline'!$C$53:$I$53,
      0
    )
  ),
0))</f>
        <v/>
      </c>
      <c r="Q145" s="105"/>
      <c r="R145" s="119" t="str">
        <f t="array" ref="R145">IF(OR($B145="",$D145=""),"",
IFERROR(
  INDEX(
    'Tools &amp; Targets_Guideline'!$C$54:$I$269,
    MATCH(
      1,
      ('Tools &amp; Targets_Guideline'!$A$54:$A$269=$B145)*
      ('Tools &amp; Targets_Guideline'!$B$54:$B$269="TT"),
      0
    ),
    MATCH(
      _xludf.IFNA(
        VLOOKUP($D145,{"PH","Provincial Hospital (H2)";"DH","District Hospital (H3)";"RH","Regional / National Hospital (H1)"},2,0),
        $D145
      ),
      'Tools &amp; Targets_Guideline'!$C$53:$I$53,
      0
    )
  ),
0))</f>
        <v/>
      </c>
      <c r="S145" s="105"/>
      <c r="T145" s="102"/>
      <c r="U145" s="106"/>
      <c r="V145" s="102" t="str">
        <f t="shared" si="1"/>
        <v/>
      </c>
      <c r="W145" s="102"/>
      <c r="X145" s="102"/>
      <c r="Y145" s="119" t="str">
        <f t="array" ref="Y145">IF(OR($B145="",$D145=""),"",
IFERROR(
  INDEX(
    'Tools &amp; Targets_Guideline'!$C$54:$I$269,
    MATCH(
      1,
      ('Tools &amp; Targets_Guideline'!$A$54:$A$269=$B145)*
      ('Tools &amp; Targets_Guideline'!$B$54:$B$269="GM"),
      0
    ),
    MATCH(
      _xludf.IFNA(
        VLOOKUP($D145,{"PH","Provincial Hospital (H2)";"DH","District Hospital (H3)";"RH","Regional / National Hospital (H1)"},2,0),
        $D145
      ),
      'Tools &amp; Targets_Guideline'!$C$53:$I$53,
      0
    )
  ),
0))</f>
        <v/>
      </c>
      <c r="Z145" s="105"/>
      <c r="AA145" s="119" t="str">
        <f t="array" ref="AA145">IF(OR($B145="",$D145=""),"",
IFERROR(
  INDEX(
    'Tools &amp; Targets_Guideline'!$C$54:$I$269,
    MATCH(
      1,
      ('Tools &amp; Targets_Guideline'!$A$54:$A$269=$B145)*
      ('Tools &amp; Targets_Guideline'!$B$54:$B$269="Penta"),
      0
    ),
    MATCH(
      _xludf.IFNA(
        VLOOKUP($D145,{"PH","Provincial Hospital (H2)";"DH","District Hospital (H3)";"RH","Regional / National Hospital (H1)"},2,0),
        $D145
      ),
      'Tools &amp; Targets_Guideline'!$C$53:$I$53,
      0
    )
  ),
0))</f>
        <v/>
      </c>
      <c r="AB145" s="105"/>
      <c r="AC145" s="119" t="str">
        <f t="array" ref="AC145">IF(OR($B145="",$D145=""),"",
IFERROR(
  INDEX(
    'Tools &amp; Targets_Guideline'!$C$54:$I$269,
    MATCH(
      1,
      ('Tools &amp; Targets_Guideline'!$A$54:$A$269=$B145)*
      ('Tools &amp; Targets_Guideline'!$B$54:$B$269="TB"),
      0
    ),
    MATCH(
      _xludf.IFNA(
        VLOOKUP($D145,{"PH","Provincial Hospital (H2)";"DH","District Hospital (H3)";"RH","Regional / National Hospital (H1)"},2,0),
        $D145
      ),
      'Tools &amp; Targets_Guideline'!$C$53:$I$53,
      0
    )
  ),
0))</f>
        <v/>
      </c>
      <c r="AD145" s="105"/>
      <c r="AE145" s="119" t="str">
        <f t="array" ref="AE145">IF(OR($B145="",$D145=""),"",
IFERROR(
  INDEX(
    'Tools &amp; Targets_Guideline'!$C$54:$I$269,
    MATCH(
      1,
      ('Tools &amp; Targets_Guideline'!$A$54:$A$269=$B145)*
      ('Tools &amp; Targets_Guideline'!$B$54:$B$269="U5 Morbidity"),
      0
    ),
    MATCH(
      _xludf.IFNA(
        VLOOKUP($D145,{"PH","Provincial Hospital (H2)";"DH","District Hospital (H3)";"RH","Regional / National Hospital (H1)"},2,0),
        $D145
      ),
      'Tools &amp; Targets_Guideline'!$C$53:$I$53,
      0
    )
  ),
0))</f>
        <v/>
      </c>
      <c r="AF145" s="105"/>
      <c r="AG145" s="119" t="str">
        <f t="array" ref="AG145">IF(OR($B145="",$D145=""),"",
IFERROR(
  INDEX(
    'Tools &amp; Targets_Guideline'!$C$54:$I$269,
    MATCH(
      1,
      ('Tools &amp; Targets_Guideline'!$A$54:$A$269=$B145)*
      ('Tools &amp; Targets_Guideline'!$B$54:$B$269="C-Section"),
      0
    ),
    MATCH(
      _xludf.IFNA(
        VLOOKUP($D145,{"PH","Provincial Hospital (H2)";"DH","District Hospital (H3)";"RH","Regional / National Hospital (H1)"},2,0),
        $D145
      ),
      'Tools &amp; Targets_Guideline'!$C$53:$I$53,
      0
    )
  ),
0))</f>
        <v/>
      </c>
      <c r="AH145" s="105" t="str">
        <f>IF(A145&lt;&gt;"",COUNTIFS('QA Log'!D:D,A145,'QA Log'!M:M,"QQC",'QA Log'!L:L,"2. Hygiene and Sterilization",'QA Log'!Z:Z,"Approved"),"")</f>
        <v/>
      </c>
      <c r="AI145" s="102"/>
      <c r="AJ145" s="102"/>
      <c r="AK145" s="103" t="str">
        <f t="shared" si="2"/>
        <v/>
      </c>
      <c r="AL145" s="102"/>
      <c r="AM145" s="102"/>
      <c r="AN145" s="102"/>
      <c r="AO145" s="106"/>
      <c r="AP145" s="103"/>
      <c r="AQ145" s="102"/>
      <c r="AR145" s="102"/>
      <c r="AS145" s="102"/>
      <c r="AT145" s="107"/>
      <c r="AU145" s="102" t="str">
        <f t="shared" si="3"/>
        <v/>
      </c>
      <c r="AV145" s="102" t="str">
        <f t="shared" si="4"/>
        <v/>
      </c>
      <c r="AW145" s="102" t="str">
        <f t="shared" si="5"/>
        <v/>
      </c>
      <c r="AX145" s="102" t="str">
        <f t="shared" si="6"/>
        <v/>
      </c>
      <c r="AY145" s="107" t="str">
        <f t="shared" si="7"/>
        <v/>
      </c>
      <c r="AZ145" s="108" t="str">
        <f t="shared" si="8"/>
        <v/>
      </c>
      <c r="BA145" s="108" t="str">
        <f t="shared" si="9"/>
        <v/>
      </c>
      <c r="BB145" s="109" t="str">
        <f t="shared" si="10"/>
        <v/>
      </c>
      <c r="BC145" s="108" t="str">
        <f t="shared" si="11"/>
        <v/>
      </c>
      <c r="BD145" s="108" t="str">
        <f t="shared" si="12"/>
        <v/>
      </c>
      <c r="BE145" s="109" t="str">
        <f t="shared" si="13"/>
        <v/>
      </c>
      <c r="BF145" s="110" t="str">
        <f t="shared" si="14"/>
        <v/>
      </c>
      <c r="BG145" s="111"/>
    </row>
    <row r="146" spans="1:59" ht="12.75">
      <c r="A146" s="101"/>
      <c r="B146" s="102"/>
      <c r="C146" s="102" t="e">
        <f t="array" aca="1" ref="C146" ca="1">_xludf.XLOOKUP(A146,'QA Log'!D:D,'QA Log'!F:F,"")</f>
        <v>#NAME?</v>
      </c>
      <c r="D146" s="102"/>
      <c r="E146" s="102" t="e">
        <f t="array" aca="1" ref="E146" ca="1">_xludf.XLOOKUP(A146,'QA Log'!D:D,'QA Log'!G:G,"")</f>
        <v>#NAME?</v>
      </c>
      <c r="F146" s="103"/>
      <c r="G146" s="104"/>
      <c r="H146" s="104"/>
      <c r="I146" s="103" t="str">
        <f t="shared" si="0"/>
        <v/>
      </c>
      <c r="J146" s="102"/>
      <c r="K146" s="102"/>
      <c r="L146" s="119" t="str">
        <f t="array" ref="L146">IF(OR($B146="",$D146=""),"",
IFERROR(
  INDEX(
    'Tools &amp; Targets_Guideline'!$C$54:$I$269,
    MATCH(
      1,
      ('Tools &amp; Targets_Guideline'!$A$54:$A$269=$B146)*
      ('Tools &amp; Targets_Guideline'!$B$54:$B$269="ANC"),
      0
    ),
    MATCH(
      _xludf.IFNA(
        VLOOKUP($D146,{"PH","Provincial Hospital (H2)";"DH","District Hospital (H3)";"RH","Regional / National Hospital (H1)"},2,0),
        $D146
      ),
      'Tools &amp; Targets_Guideline'!$C$53:$I$53,
      0
    )
  ),
0))</f>
        <v/>
      </c>
      <c r="M146" s="105"/>
      <c r="N146" s="119" t="str">
        <f t="array" ref="N146">IF(OR($B146="",$D146=""),"",
IFERROR(
  INDEX(
    'Tools &amp; Targets_Guideline'!$C$54:$I$269,
    MATCH(
      1,
      ('Tools &amp; Targets_Guideline'!$A$54:$A$269=$B146)*
      ('Tools &amp; Targets_Guideline'!$B$54:$B$269="PNC"),
      0
    ),
    MATCH(
      _xludf.IFNA(
        VLOOKUP($D146,{"PH","Provincial Hospital (H2)";"DH","District Hospital (H3)";"RH","Regional / National Hospital (H1)"},2,0),
        $D146
      ),
      'Tools &amp; Targets_Guideline'!$C$53:$I$53,
      0
    )
  ),
0))</f>
        <v/>
      </c>
      <c r="O146" s="105"/>
      <c r="P146" s="119" t="str">
        <f t="array" ref="P146">IF(OR($B146="",$D146=""),"",
IFERROR(
  INDEX(
    'Tools &amp; Targets_Guideline'!$C$54:$I$269,
    MATCH(
      1,
      ('Tools &amp; Targets_Guideline'!$A$54:$A$269=$B146)*
      ('Tools &amp; Targets_Guideline'!$B$54:$B$269="Delivery"),
      0
    ),
    MATCH(
      _xludf.IFNA(
        VLOOKUP($D146,{"PH","Provincial Hospital (H2)";"DH","District Hospital (H3)";"RH","Regional / National Hospital (H1)"},2,0),
        $D146
      ),
      'Tools &amp; Targets_Guideline'!$C$53:$I$53,
      0
    )
  ),
0))</f>
        <v/>
      </c>
      <c r="Q146" s="105"/>
      <c r="R146" s="119" t="str">
        <f t="array" ref="R146">IF(OR($B146="",$D146=""),"",
IFERROR(
  INDEX(
    'Tools &amp; Targets_Guideline'!$C$54:$I$269,
    MATCH(
      1,
      ('Tools &amp; Targets_Guideline'!$A$54:$A$269=$B146)*
      ('Tools &amp; Targets_Guideline'!$B$54:$B$269="TT"),
      0
    ),
    MATCH(
      _xludf.IFNA(
        VLOOKUP($D146,{"PH","Provincial Hospital (H2)";"DH","District Hospital (H3)";"RH","Regional / National Hospital (H1)"},2,0),
        $D146
      ),
      'Tools &amp; Targets_Guideline'!$C$53:$I$53,
      0
    )
  ),
0))</f>
        <v/>
      </c>
      <c r="S146" s="105"/>
      <c r="T146" s="102"/>
      <c r="U146" s="106"/>
      <c r="V146" s="102" t="str">
        <f t="shared" si="1"/>
        <v/>
      </c>
      <c r="W146" s="102"/>
      <c r="X146" s="102"/>
      <c r="Y146" s="119" t="str">
        <f t="array" ref="Y146">IF(OR($B146="",$D146=""),"",
IFERROR(
  INDEX(
    'Tools &amp; Targets_Guideline'!$C$54:$I$269,
    MATCH(
      1,
      ('Tools &amp; Targets_Guideline'!$A$54:$A$269=$B146)*
      ('Tools &amp; Targets_Guideline'!$B$54:$B$269="GM"),
      0
    ),
    MATCH(
      _xludf.IFNA(
        VLOOKUP($D146,{"PH","Provincial Hospital (H2)";"DH","District Hospital (H3)";"RH","Regional / National Hospital (H1)"},2,0),
        $D146
      ),
      'Tools &amp; Targets_Guideline'!$C$53:$I$53,
      0
    )
  ),
0))</f>
        <v/>
      </c>
      <c r="Z146" s="105"/>
      <c r="AA146" s="119" t="str">
        <f t="array" ref="AA146">IF(OR($B146="",$D146=""),"",
IFERROR(
  INDEX(
    'Tools &amp; Targets_Guideline'!$C$54:$I$269,
    MATCH(
      1,
      ('Tools &amp; Targets_Guideline'!$A$54:$A$269=$B146)*
      ('Tools &amp; Targets_Guideline'!$B$54:$B$269="Penta"),
      0
    ),
    MATCH(
      _xludf.IFNA(
        VLOOKUP($D146,{"PH","Provincial Hospital (H2)";"DH","District Hospital (H3)";"RH","Regional / National Hospital (H1)"},2,0),
        $D146
      ),
      'Tools &amp; Targets_Guideline'!$C$53:$I$53,
      0
    )
  ),
0))</f>
        <v/>
      </c>
      <c r="AB146" s="105"/>
      <c r="AC146" s="119" t="str">
        <f t="array" ref="AC146">IF(OR($B146="",$D146=""),"",
IFERROR(
  INDEX(
    'Tools &amp; Targets_Guideline'!$C$54:$I$269,
    MATCH(
      1,
      ('Tools &amp; Targets_Guideline'!$A$54:$A$269=$B146)*
      ('Tools &amp; Targets_Guideline'!$B$54:$B$269="TB"),
      0
    ),
    MATCH(
      _xludf.IFNA(
        VLOOKUP($D146,{"PH","Provincial Hospital (H2)";"DH","District Hospital (H3)";"RH","Regional / National Hospital (H1)"},2,0),
        $D146
      ),
      'Tools &amp; Targets_Guideline'!$C$53:$I$53,
      0
    )
  ),
0))</f>
        <v/>
      </c>
      <c r="AD146" s="105"/>
      <c r="AE146" s="119" t="str">
        <f t="array" ref="AE146">IF(OR($B146="",$D146=""),"",
IFERROR(
  INDEX(
    'Tools &amp; Targets_Guideline'!$C$54:$I$269,
    MATCH(
      1,
      ('Tools &amp; Targets_Guideline'!$A$54:$A$269=$B146)*
      ('Tools &amp; Targets_Guideline'!$B$54:$B$269="U5 Morbidity"),
      0
    ),
    MATCH(
      _xludf.IFNA(
        VLOOKUP($D146,{"PH","Provincial Hospital (H2)";"DH","District Hospital (H3)";"RH","Regional / National Hospital (H1)"},2,0),
        $D146
      ),
      'Tools &amp; Targets_Guideline'!$C$53:$I$53,
      0
    )
  ),
0))</f>
        <v/>
      </c>
      <c r="AF146" s="105"/>
      <c r="AG146" s="119" t="str">
        <f t="array" ref="AG146">IF(OR($B146="",$D146=""),"",
IFERROR(
  INDEX(
    'Tools &amp; Targets_Guideline'!$C$54:$I$269,
    MATCH(
      1,
      ('Tools &amp; Targets_Guideline'!$A$54:$A$269=$B146)*
      ('Tools &amp; Targets_Guideline'!$B$54:$B$269="C-Section"),
      0
    ),
    MATCH(
      _xludf.IFNA(
        VLOOKUP($D146,{"PH","Provincial Hospital (H2)";"DH","District Hospital (H3)";"RH","Regional / National Hospital (H1)"},2,0),
        $D146
      ),
      'Tools &amp; Targets_Guideline'!$C$53:$I$53,
      0
    )
  ),
0))</f>
        <v/>
      </c>
      <c r="AH146" s="105" t="str">
        <f>IF(A146&lt;&gt;"",COUNTIFS('QA Log'!D:D,A146,'QA Log'!M:M,"QQC",'QA Log'!L:L,"2. Hygiene and Sterilization",'QA Log'!Z:Z,"Approved"),"")</f>
        <v/>
      </c>
      <c r="AI146" s="102"/>
      <c r="AJ146" s="102"/>
      <c r="AK146" s="103" t="str">
        <f t="shared" si="2"/>
        <v/>
      </c>
      <c r="AL146" s="102"/>
      <c r="AM146" s="102"/>
      <c r="AN146" s="102"/>
      <c r="AO146" s="106"/>
      <c r="AP146" s="103"/>
      <c r="AQ146" s="102"/>
      <c r="AR146" s="102"/>
      <c r="AS146" s="102"/>
      <c r="AT146" s="107"/>
      <c r="AU146" s="102" t="str">
        <f t="shared" si="3"/>
        <v/>
      </c>
      <c r="AV146" s="102" t="str">
        <f t="shared" si="4"/>
        <v/>
      </c>
      <c r="AW146" s="102" t="str">
        <f t="shared" si="5"/>
        <v/>
      </c>
      <c r="AX146" s="102" t="str">
        <f t="shared" si="6"/>
        <v/>
      </c>
      <c r="AY146" s="107" t="str">
        <f t="shared" si="7"/>
        <v/>
      </c>
      <c r="AZ146" s="108" t="str">
        <f t="shared" si="8"/>
        <v/>
      </c>
      <c r="BA146" s="108" t="str">
        <f t="shared" si="9"/>
        <v/>
      </c>
      <c r="BB146" s="109" t="str">
        <f t="shared" si="10"/>
        <v/>
      </c>
      <c r="BC146" s="108" t="str">
        <f t="shared" si="11"/>
        <v/>
      </c>
      <c r="BD146" s="108" t="str">
        <f t="shared" si="12"/>
        <v/>
      </c>
      <c r="BE146" s="109" t="str">
        <f t="shared" si="13"/>
        <v/>
      </c>
      <c r="BF146" s="110" t="str">
        <f t="shared" si="14"/>
        <v/>
      </c>
      <c r="BG146" s="111"/>
    </row>
    <row r="147" spans="1:59" ht="12.75">
      <c r="A147" s="101"/>
      <c r="B147" s="102"/>
      <c r="C147" s="102" t="e">
        <f t="array" aca="1" ref="C147" ca="1">_xludf.XLOOKUP(A147,'QA Log'!D:D,'QA Log'!F:F,"")</f>
        <v>#NAME?</v>
      </c>
      <c r="D147" s="102"/>
      <c r="E147" s="102" t="e">
        <f t="array" aca="1" ref="E147" ca="1">_xludf.XLOOKUP(A147,'QA Log'!D:D,'QA Log'!G:G,"")</f>
        <v>#NAME?</v>
      </c>
      <c r="F147" s="103"/>
      <c r="G147" s="104"/>
      <c r="H147" s="104"/>
      <c r="I147" s="103" t="str">
        <f t="shared" si="0"/>
        <v/>
      </c>
      <c r="J147" s="102"/>
      <c r="K147" s="102"/>
      <c r="L147" s="119" t="str">
        <f t="array" ref="L147">IF(OR($B147="",$D147=""),"",
IFERROR(
  INDEX(
    'Tools &amp; Targets_Guideline'!$C$54:$I$269,
    MATCH(
      1,
      ('Tools &amp; Targets_Guideline'!$A$54:$A$269=$B147)*
      ('Tools &amp; Targets_Guideline'!$B$54:$B$269="ANC"),
      0
    ),
    MATCH(
      _xludf.IFNA(
        VLOOKUP($D147,{"PH","Provincial Hospital (H2)";"DH","District Hospital (H3)";"RH","Regional / National Hospital (H1)"},2,0),
        $D147
      ),
      'Tools &amp; Targets_Guideline'!$C$53:$I$53,
      0
    )
  ),
0))</f>
        <v/>
      </c>
      <c r="M147" s="105"/>
      <c r="N147" s="119" t="str">
        <f t="array" ref="N147">IF(OR($B147="",$D147=""),"",
IFERROR(
  INDEX(
    'Tools &amp; Targets_Guideline'!$C$54:$I$269,
    MATCH(
      1,
      ('Tools &amp; Targets_Guideline'!$A$54:$A$269=$B147)*
      ('Tools &amp; Targets_Guideline'!$B$54:$B$269="PNC"),
      0
    ),
    MATCH(
      _xludf.IFNA(
        VLOOKUP($D147,{"PH","Provincial Hospital (H2)";"DH","District Hospital (H3)";"RH","Regional / National Hospital (H1)"},2,0),
        $D147
      ),
      'Tools &amp; Targets_Guideline'!$C$53:$I$53,
      0
    )
  ),
0))</f>
        <v/>
      </c>
      <c r="O147" s="105"/>
      <c r="P147" s="119" t="str">
        <f t="array" ref="P147">IF(OR($B147="",$D147=""),"",
IFERROR(
  INDEX(
    'Tools &amp; Targets_Guideline'!$C$54:$I$269,
    MATCH(
      1,
      ('Tools &amp; Targets_Guideline'!$A$54:$A$269=$B147)*
      ('Tools &amp; Targets_Guideline'!$B$54:$B$269="Delivery"),
      0
    ),
    MATCH(
      _xludf.IFNA(
        VLOOKUP($D147,{"PH","Provincial Hospital (H2)";"DH","District Hospital (H3)";"RH","Regional / National Hospital (H1)"},2,0),
        $D147
      ),
      'Tools &amp; Targets_Guideline'!$C$53:$I$53,
      0
    )
  ),
0))</f>
        <v/>
      </c>
      <c r="Q147" s="105"/>
      <c r="R147" s="119" t="str">
        <f t="array" ref="R147">IF(OR($B147="",$D147=""),"",
IFERROR(
  INDEX(
    'Tools &amp; Targets_Guideline'!$C$54:$I$269,
    MATCH(
      1,
      ('Tools &amp; Targets_Guideline'!$A$54:$A$269=$B147)*
      ('Tools &amp; Targets_Guideline'!$B$54:$B$269="TT"),
      0
    ),
    MATCH(
      _xludf.IFNA(
        VLOOKUP($D147,{"PH","Provincial Hospital (H2)";"DH","District Hospital (H3)";"RH","Regional / National Hospital (H1)"},2,0),
        $D147
      ),
      'Tools &amp; Targets_Guideline'!$C$53:$I$53,
      0
    )
  ),
0))</f>
        <v/>
      </c>
      <c r="S147" s="105"/>
      <c r="T147" s="102"/>
      <c r="U147" s="106"/>
      <c r="V147" s="102" t="str">
        <f t="shared" si="1"/>
        <v/>
      </c>
      <c r="W147" s="102"/>
      <c r="X147" s="102"/>
      <c r="Y147" s="119" t="str">
        <f t="array" ref="Y147">IF(OR($B147="",$D147=""),"",
IFERROR(
  INDEX(
    'Tools &amp; Targets_Guideline'!$C$54:$I$269,
    MATCH(
      1,
      ('Tools &amp; Targets_Guideline'!$A$54:$A$269=$B147)*
      ('Tools &amp; Targets_Guideline'!$B$54:$B$269="GM"),
      0
    ),
    MATCH(
      _xludf.IFNA(
        VLOOKUP($D147,{"PH","Provincial Hospital (H2)";"DH","District Hospital (H3)";"RH","Regional / National Hospital (H1)"},2,0),
        $D147
      ),
      'Tools &amp; Targets_Guideline'!$C$53:$I$53,
      0
    )
  ),
0))</f>
        <v/>
      </c>
      <c r="Z147" s="105"/>
      <c r="AA147" s="119" t="str">
        <f t="array" ref="AA147">IF(OR($B147="",$D147=""),"",
IFERROR(
  INDEX(
    'Tools &amp; Targets_Guideline'!$C$54:$I$269,
    MATCH(
      1,
      ('Tools &amp; Targets_Guideline'!$A$54:$A$269=$B147)*
      ('Tools &amp; Targets_Guideline'!$B$54:$B$269="Penta"),
      0
    ),
    MATCH(
      _xludf.IFNA(
        VLOOKUP($D147,{"PH","Provincial Hospital (H2)";"DH","District Hospital (H3)";"RH","Regional / National Hospital (H1)"},2,0),
        $D147
      ),
      'Tools &amp; Targets_Guideline'!$C$53:$I$53,
      0
    )
  ),
0))</f>
        <v/>
      </c>
      <c r="AB147" s="105"/>
      <c r="AC147" s="119" t="str">
        <f t="array" ref="AC147">IF(OR($B147="",$D147=""),"",
IFERROR(
  INDEX(
    'Tools &amp; Targets_Guideline'!$C$54:$I$269,
    MATCH(
      1,
      ('Tools &amp; Targets_Guideline'!$A$54:$A$269=$B147)*
      ('Tools &amp; Targets_Guideline'!$B$54:$B$269="TB"),
      0
    ),
    MATCH(
      _xludf.IFNA(
        VLOOKUP($D147,{"PH","Provincial Hospital (H2)";"DH","District Hospital (H3)";"RH","Regional / National Hospital (H1)"},2,0),
        $D147
      ),
      'Tools &amp; Targets_Guideline'!$C$53:$I$53,
      0
    )
  ),
0))</f>
        <v/>
      </c>
      <c r="AD147" s="105"/>
      <c r="AE147" s="119" t="str">
        <f t="array" ref="AE147">IF(OR($B147="",$D147=""),"",
IFERROR(
  INDEX(
    'Tools &amp; Targets_Guideline'!$C$54:$I$269,
    MATCH(
      1,
      ('Tools &amp; Targets_Guideline'!$A$54:$A$269=$B147)*
      ('Tools &amp; Targets_Guideline'!$B$54:$B$269="U5 Morbidity"),
      0
    ),
    MATCH(
      _xludf.IFNA(
        VLOOKUP($D147,{"PH","Provincial Hospital (H2)";"DH","District Hospital (H3)";"RH","Regional / National Hospital (H1)"},2,0),
        $D147
      ),
      'Tools &amp; Targets_Guideline'!$C$53:$I$53,
      0
    )
  ),
0))</f>
        <v/>
      </c>
      <c r="AF147" s="105"/>
      <c r="AG147" s="119" t="str">
        <f t="array" ref="AG147">IF(OR($B147="",$D147=""),"",
IFERROR(
  INDEX(
    'Tools &amp; Targets_Guideline'!$C$54:$I$269,
    MATCH(
      1,
      ('Tools &amp; Targets_Guideline'!$A$54:$A$269=$B147)*
      ('Tools &amp; Targets_Guideline'!$B$54:$B$269="C-Section"),
      0
    ),
    MATCH(
      _xludf.IFNA(
        VLOOKUP($D147,{"PH","Provincial Hospital (H2)";"DH","District Hospital (H3)";"RH","Regional / National Hospital (H1)"},2,0),
        $D147
      ),
      'Tools &amp; Targets_Guideline'!$C$53:$I$53,
      0
    )
  ),
0))</f>
        <v/>
      </c>
      <c r="AH147" s="105" t="str">
        <f>IF(A147&lt;&gt;"",COUNTIFS('QA Log'!D:D,A147,'QA Log'!M:M,"QQC",'QA Log'!L:L,"2. Hygiene and Sterilization",'QA Log'!Z:Z,"Approved"),"")</f>
        <v/>
      </c>
      <c r="AI147" s="102"/>
      <c r="AJ147" s="102"/>
      <c r="AK147" s="103" t="str">
        <f t="shared" si="2"/>
        <v/>
      </c>
      <c r="AL147" s="102"/>
      <c r="AM147" s="102"/>
      <c r="AN147" s="102"/>
      <c r="AO147" s="106"/>
      <c r="AP147" s="103"/>
      <c r="AQ147" s="102"/>
      <c r="AR147" s="102"/>
      <c r="AS147" s="102"/>
      <c r="AT147" s="107"/>
      <c r="AU147" s="102" t="str">
        <f t="shared" si="3"/>
        <v/>
      </c>
      <c r="AV147" s="102" t="str">
        <f t="shared" si="4"/>
        <v/>
      </c>
      <c r="AW147" s="102" t="str">
        <f t="shared" si="5"/>
        <v/>
      </c>
      <c r="AX147" s="102" t="str">
        <f t="shared" si="6"/>
        <v/>
      </c>
      <c r="AY147" s="107" t="str">
        <f t="shared" si="7"/>
        <v/>
      </c>
      <c r="AZ147" s="108" t="str">
        <f t="shared" si="8"/>
        <v/>
      </c>
      <c r="BA147" s="108" t="str">
        <f t="shared" si="9"/>
        <v/>
      </c>
      <c r="BB147" s="109" t="str">
        <f t="shared" si="10"/>
        <v/>
      </c>
      <c r="BC147" s="108" t="str">
        <f t="shared" si="11"/>
        <v/>
      </c>
      <c r="BD147" s="108" t="str">
        <f t="shared" si="12"/>
        <v/>
      </c>
      <c r="BE147" s="109" t="str">
        <f t="shared" si="13"/>
        <v/>
      </c>
      <c r="BF147" s="110" t="str">
        <f t="shared" si="14"/>
        <v/>
      </c>
      <c r="BG147" s="111"/>
    </row>
    <row r="148" spans="1:59" ht="12.75">
      <c r="A148" s="101"/>
      <c r="B148" s="102"/>
      <c r="C148" s="102" t="e">
        <f t="array" aca="1" ref="C148" ca="1">_xludf.XLOOKUP(A148,'QA Log'!D:D,'QA Log'!F:F,"")</f>
        <v>#NAME?</v>
      </c>
      <c r="D148" s="102"/>
      <c r="E148" s="102" t="e">
        <f t="array" aca="1" ref="E148" ca="1">_xludf.XLOOKUP(A148,'QA Log'!D:D,'QA Log'!G:G,"")</f>
        <v>#NAME?</v>
      </c>
      <c r="F148" s="103"/>
      <c r="G148" s="104"/>
      <c r="H148" s="104"/>
      <c r="I148" s="103" t="str">
        <f t="shared" si="0"/>
        <v/>
      </c>
      <c r="J148" s="102"/>
      <c r="K148" s="102"/>
      <c r="L148" s="119" t="str">
        <f t="array" ref="L148">IF(OR($B148="",$D148=""),"",
IFERROR(
  INDEX(
    'Tools &amp; Targets_Guideline'!$C$54:$I$269,
    MATCH(
      1,
      ('Tools &amp; Targets_Guideline'!$A$54:$A$269=$B148)*
      ('Tools &amp; Targets_Guideline'!$B$54:$B$269="ANC"),
      0
    ),
    MATCH(
      _xludf.IFNA(
        VLOOKUP($D148,{"PH","Provincial Hospital (H2)";"DH","District Hospital (H3)";"RH","Regional / National Hospital (H1)"},2,0),
        $D148
      ),
      'Tools &amp; Targets_Guideline'!$C$53:$I$53,
      0
    )
  ),
0))</f>
        <v/>
      </c>
      <c r="M148" s="105"/>
      <c r="N148" s="119" t="str">
        <f t="array" ref="N148">IF(OR($B148="",$D148=""),"",
IFERROR(
  INDEX(
    'Tools &amp; Targets_Guideline'!$C$54:$I$269,
    MATCH(
      1,
      ('Tools &amp; Targets_Guideline'!$A$54:$A$269=$B148)*
      ('Tools &amp; Targets_Guideline'!$B$54:$B$269="PNC"),
      0
    ),
    MATCH(
      _xludf.IFNA(
        VLOOKUP($D148,{"PH","Provincial Hospital (H2)";"DH","District Hospital (H3)";"RH","Regional / National Hospital (H1)"},2,0),
        $D148
      ),
      'Tools &amp; Targets_Guideline'!$C$53:$I$53,
      0
    )
  ),
0))</f>
        <v/>
      </c>
      <c r="O148" s="105"/>
      <c r="P148" s="119" t="str">
        <f t="array" ref="P148">IF(OR($B148="",$D148=""),"",
IFERROR(
  INDEX(
    'Tools &amp; Targets_Guideline'!$C$54:$I$269,
    MATCH(
      1,
      ('Tools &amp; Targets_Guideline'!$A$54:$A$269=$B148)*
      ('Tools &amp; Targets_Guideline'!$B$54:$B$269="Delivery"),
      0
    ),
    MATCH(
      _xludf.IFNA(
        VLOOKUP($D148,{"PH","Provincial Hospital (H2)";"DH","District Hospital (H3)";"RH","Regional / National Hospital (H1)"},2,0),
        $D148
      ),
      'Tools &amp; Targets_Guideline'!$C$53:$I$53,
      0
    )
  ),
0))</f>
        <v/>
      </c>
      <c r="Q148" s="105"/>
      <c r="R148" s="119" t="str">
        <f t="array" ref="R148">IF(OR($B148="",$D148=""),"",
IFERROR(
  INDEX(
    'Tools &amp; Targets_Guideline'!$C$54:$I$269,
    MATCH(
      1,
      ('Tools &amp; Targets_Guideline'!$A$54:$A$269=$B148)*
      ('Tools &amp; Targets_Guideline'!$B$54:$B$269="TT"),
      0
    ),
    MATCH(
      _xludf.IFNA(
        VLOOKUP($D148,{"PH","Provincial Hospital (H2)";"DH","District Hospital (H3)";"RH","Regional / National Hospital (H1)"},2,0),
        $D148
      ),
      'Tools &amp; Targets_Guideline'!$C$53:$I$53,
      0
    )
  ),
0))</f>
        <v/>
      </c>
      <c r="S148" s="105"/>
      <c r="T148" s="102"/>
      <c r="U148" s="106"/>
      <c r="V148" s="102" t="str">
        <f t="shared" si="1"/>
        <v/>
      </c>
      <c r="W148" s="102"/>
      <c r="X148" s="102"/>
      <c r="Y148" s="119" t="str">
        <f t="array" ref="Y148">IF(OR($B148="",$D148=""),"",
IFERROR(
  INDEX(
    'Tools &amp; Targets_Guideline'!$C$54:$I$269,
    MATCH(
      1,
      ('Tools &amp; Targets_Guideline'!$A$54:$A$269=$B148)*
      ('Tools &amp; Targets_Guideline'!$B$54:$B$269="GM"),
      0
    ),
    MATCH(
      _xludf.IFNA(
        VLOOKUP($D148,{"PH","Provincial Hospital (H2)";"DH","District Hospital (H3)";"RH","Regional / National Hospital (H1)"},2,0),
        $D148
      ),
      'Tools &amp; Targets_Guideline'!$C$53:$I$53,
      0
    )
  ),
0))</f>
        <v/>
      </c>
      <c r="Z148" s="105"/>
      <c r="AA148" s="119" t="str">
        <f t="array" ref="AA148">IF(OR($B148="",$D148=""),"",
IFERROR(
  INDEX(
    'Tools &amp; Targets_Guideline'!$C$54:$I$269,
    MATCH(
      1,
      ('Tools &amp; Targets_Guideline'!$A$54:$A$269=$B148)*
      ('Tools &amp; Targets_Guideline'!$B$54:$B$269="Penta"),
      0
    ),
    MATCH(
      _xludf.IFNA(
        VLOOKUP($D148,{"PH","Provincial Hospital (H2)";"DH","District Hospital (H3)";"RH","Regional / National Hospital (H1)"},2,0),
        $D148
      ),
      'Tools &amp; Targets_Guideline'!$C$53:$I$53,
      0
    )
  ),
0))</f>
        <v/>
      </c>
      <c r="AB148" s="105"/>
      <c r="AC148" s="119" t="str">
        <f t="array" ref="AC148">IF(OR($B148="",$D148=""),"",
IFERROR(
  INDEX(
    'Tools &amp; Targets_Guideline'!$C$54:$I$269,
    MATCH(
      1,
      ('Tools &amp; Targets_Guideline'!$A$54:$A$269=$B148)*
      ('Tools &amp; Targets_Guideline'!$B$54:$B$269="TB"),
      0
    ),
    MATCH(
      _xludf.IFNA(
        VLOOKUP($D148,{"PH","Provincial Hospital (H2)";"DH","District Hospital (H3)";"RH","Regional / National Hospital (H1)"},2,0),
        $D148
      ),
      'Tools &amp; Targets_Guideline'!$C$53:$I$53,
      0
    )
  ),
0))</f>
        <v/>
      </c>
      <c r="AD148" s="105"/>
      <c r="AE148" s="119" t="str">
        <f t="array" ref="AE148">IF(OR($B148="",$D148=""),"",
IFERROR(
  INDEX(
    'Tools &amp; Targets_Guideline'!$C$54:$I$269,
    MATCH(
      1,
      ('Tools &amp; Targets_Guideline'!$A$54:$A$269=$B148)*
      ('Tools &amp; Targets_Guideline'!$B$54:$B$269="U5 Morbidity"),
      0
    ),
    MATCH(
      _xludf.IFNA(
        VLOOKUP($D148,{"PH","Provincial Hospital (H2)";"DH","District Hospital (H3)";"RH","Regional / National Hospital (H1)"},2,0),
        $D148
      ),
      'Tools &amp; Targets_Guideline'!$C$53:$I$53,
      0
    )
  ),
0))</f>
        <v/>
      </c>
      <c r="AF148" s="105"/>
      <c r="AG148" s="119" t="str">
        <f t="array" ref="AG148">IF(OR($B148="",$D148=""),"",
IFERROR(
  INDEX(
    'Tools &amp; Targets_Guideline'!$C$54:$I$269,
    MATCH(
      1,
      ('Tools &amp; Targets_Guideline'!$A$54:$A$269=$B148)*
      ('Tools &amp; Targets_Guideline'!$B$54:$B$269="C-Section"),
      0
    ),
    MATCH(
      _xludf.IFNA(
        VLOOKUP($D148,{"PH","Provincial Hospital (H2)";"DH","District Hospital (H3)";"RH","Regional / National Hospital (H1)"},2,0),
        $D148
      ),
      'Tools &amp; Targets_Guideline'!$C$53:$I$53,
      0
    )
  ),
0))</f>
        <v/>
      </c>
      <c r="AH148" s="105" t="str">
        <f>IF(A148&lt;&gt;"",COUNTIFS('QA Log'!D:D,A148,'QA Log'!M:M,"QQC",'QA Log'!L:L,"2. Hygiene and Sterilization",'QA Log'!Z:Z,"Approved"),"")</f>
        <v/>
      </c>
      <c r="AI148" s="102"/>
      <c r="AJ148" s="102"/>
      <c r="AK148" s="103" t="str">
        <f t="shared" si="2"/>
        <v/>
      </c>
      <c r="AL148" s="102"/>
      <c r="AM148" s="102"/>
      <c r="AN148" s="102"/>
      <c r="AO148" s="106"/>
      <c r="AP148" s="103"/>
      <c r="AQ148" s="102"/>
      <c r="AR148" s="102"/>
      <c r="AS148" s="102"/>
      <c r="AT148" s="107"/>
      <c r="AU148" s="102" t="str">
        <f t="shared" si="3"/>
        <v/>
      </c>
      <c r="AV148" s="102" t="str">
        <f t="shared" si="4"/>
        <v/>
      </c>
      <c r="AW148" s="102" t="str">
        <f t="shared" si="5"/>
        <v/>
      </c>
      <c r="AX148" s="102" t="str">
        <f t="shared" si="6"/>
        <v/>
      </c>
      <c r="AY148" s="107" t="str">
        <f t="shared" si="7"/>
        <v/>
      </c>
      <c r="AZ148" s="108" t="str">
        <f t="shared" si="8"/>
        <v/>
      </c>
      <c r="BA148" s="108" t="str">
        <f t="shared" si="9"/>
        <v/>
      </c>
      <c r="BB148" s="109" t="str">
        <f t="shared" si="10"/>
        <v/>
      </c>
      <c r="BC148" s="108" t="str">
        <f t="shared" si="11"/>
        <v/>
      </c>
      <c r="BD148" s="108" t="str">
        <f t="shared" si="12"/>
        <v/>
      </c>
      <c r="BE148" s="109" t="str">
        <f t="shared" si="13"/>
        <v/>
      </c>
      <c r="BF148" s="110" t="str">
        <f t="shared" si="14"/>
        <v/>
      </c>
      <c r="BG148" s="111"/>
    </row>
    <row r="149" spans="1:59" ht="12.75">
      <c r="A149" s="101"/>
      <c r="B149" s="102"/>
      <c r="C149" s="102" t="e">
        <f t="array" aca="1" ref="C149" ca="1">_xludf.XLOOKUP(A149,'QA Log'!D:D,'QA Log'!F:F,"")</f>
        <v>#NAME?</v>
      </c>
      <c r="D149" s="102"/>
      <c r="E149" s="102" t="e">
        <f t="array" aca="1" ref="E149" ca="1">_xludf.XLOOKUP(A149,'QA Log'!D:D,'QA Log'!G:G,"")</f>
        <v>#NAME?</v>
      </c>
      <c r="F149" s="103"/>
      <c r="G149" s="104"/>
      <c r="H149" s="104"/>
      <c r="I149" s="103" t="str">
        <f t="shared" si="0"/>
        <v/>
      </c>
      <c r="J149" s="102"/>
      <c r="K149" s="102"/>
      <c r="L149" s="119" t="str">
        <f t="array" ref="L149">IF(OR($B149="",$D149=""),"",
IFERROR(
  INDEX(
    'Tools &amp; Targets_Guideline'!$C$54:$I$269,
    MATCH(
      1,
      ('Tools &amp; Targets_Guideline'!$A$54:$A$269=$B149)*
      ('Tools &amp; Targets_Guideline'!$B$54:$B$269="ANC"),
      0
    ),
    MATCH(
      _xludf.IFNA(
        VLOOKUP($D149,{"PH","Provincial Hospital (H2)";"DH","District Hospital (H3)";"RH","Regional / National Hospital (H1)"},2,0),
        $D149
      ),
      'Tools &amp; Targets_Guideline'!$C$53:$I$53,
      0
    )
  ),
0))</f>
        <v/>
      </c>
      <c r="M149" s="105"/>
      <c r="N149" s="119" t="str">
        <f t="array" ref="N149">IF(OR($B149="",$D149=""),"",
IFERROR(
  INDEX(
    'Tools &amp; Targets_Guideline'!$C$54:$I$269,
    MATCH(
      1,
      ('Tools &amp; Targets_Guideline'!$A$54:$A$269=$B149)*
      ('Tools &amp; Targets_Guideline'!$B$54:$B$269="PNC"),
      0
    ),
    MATCH(
      _xludf.IFNA(
        VLOOKUP($D149,{"PH","Provincial Hospital (H2)";"DH","District Hospital (H3)";"RH","Regional / National Hospital (H1)"},2,0),
        $D149
      ),
      'Tools &amp; Targets_Guideline'!$C$53:$I$53,
      0
    )
  ),
0))</f>
        <v/>
      </c>
      <c r="O149" s="105"/>
      <c r="P149" s="119" t="str">
        <f t="array" ref="P149">IF(OR($B149="",$D149=""),"",
IFERROR(
  INDEX(
    'Tools &amp; Targets_Guideline'!$C$54:$I$269,
    MATCH(
      1,
      ('Tools &amp; Targets_Guideline'!$A$54:$A$269=$B149)*
      ('Tools &amp; Targets_Guideline'!$B$54:$B$269="Delivery"),
      0
    ),
    MATCH(
      _xludf.IFNA(
        VLOOKUP($D149,{"PH","Provincial Hospital (H2)";"DH","District Hospital (H3)";"RH","Regional / National Hospital (H1)"},2,0),
        $D149
      ),
      'Tools &amp; Targets_Guideline'!$C$53:$I$53,
      0
    )
  ),
0))</f>
        <v/>
      </c>
      <c r="Q149" s="105"/>
      <c r="R149" s="119" t="str">
        <f t="array" ref="R149">IF(OR($B149="",$D149=""),"",
IFERROR(
  INDEX(
    'Tools &amp; Targets_Guideline'!$C$54:$I$269,
    MATCH(
      1,
      ('Tools &amp; Targets_Guideline'!$A$54:$A$269=$B149)*
      ('Tools &amp; Targets_Guideline'!$B$54:$B$269="TT"),
      0
    ),
    MATCH(
      _xludf.IFNA(
        VLOOKUP($D149,{"PH","Provincial Hospital (H2)";"DH","District Hospital (H3)";"RH","Regional / National Hospital (H1)"},2,0),
        $D149
      ),
      'Tools &amp; Targets_Guideline'!$C$53:$I$53,
      0
    )
  ),
0))</f>
        <v/>
      </c>
      <c r="S149" s="105"/>
      <c r="T149" s="102"/>
      <c r="U149" s="106"/>
      <c r="V149" s="102" t="str">
        <f t="shared" si="1"/>
        <v/>
      </c>
      <c r="W149" s="102"/>
      <c r="X149" s="102"/>
      <c r="Y149" s="119" t="str">
        <f t="array" ref="Y149">IF(OR($B149="",$D149=""),"",
IFERROR(
  INDEX(
    'Tools &amp; Targets_Guideline'!$C$54:$I$269,
    MATCH(
      1,
      ('Tools &amp; Targets_Guideline'!$A$54:$A$269=$B149)*
      ('Tools &amp; Targets_Guideline'!$B$54:$B$269="GM"),
      0
    ),
    MATCH(
      _xludf.IFNA(
        VLOOKUP($D149,{"PH","Provincial Hospital (H2)";"DH","District Hospital (H3)";"RH","Regional / National Hospital (H1)"},2,0),
        $D149
      ),
      'Tools &amp; Targets_Guideline'!$C$53:$I$53,
      0
    )
  ),
0))</f>
        <v/>
      </c>
      <c r="Z149" s="105"/>
      <c r="AA149" s="119" t="str">
        <f t="array" ref="AA149">IF(OR($B149="",$D149=""),"",
IFERROR(
  INDEX(
    'Tools &amp; Targets_Guideline'!$C$54:$I$269,
    MATCH(
      1,
      ('Tools &amp; Targets_Guideline'!$A$54:$A$269=$B149)*
      ('Tools &amp; Targets_Guideline'!$B$54:$B$269="Penta"),
      0
    ),
    MATCH(
      _xludf.IFNA(
        VLOOKUP($D149,{"PH","Provincial Hospital (H2)";"DH","District Hospital (H3)";"RH","Regional / National Hospital (H1)"},2,0),
        $D149
      ),
      'Tools &amp; Targets_Guideline'!$C$53:$I$53,
      0
    )
  ),
0))</f>
        <v/>
      </c>
      <c r="AB149" s="105"/>
      <c r="AC149" s="119" t="str">
        <f t="array" ref="AC149">IF(OR($B149="",$D149=""),"",
IFERROR(
  INDEX(
    'Tools &amp; Targets_Guideline'!$C$54:$I$269,
    MATCH(
      1,
      ('Tools &amp; Targets_Guideline'!$A$54:$A$269=$B149)*
      ('Tools &amp; Targets_Guideline'!$B$54:$B$269="TB"),
      0
    ),
    MATCH(
      _xludf.IFNA(
        VLOOKUP($D149,{"PH","Provincial Hospital (H2)";"DH","District Hospital (H3)";"RH","Regional / National Hospital (H1)"},2,0),
        $D149
      ),
      'Tools &amp; Targets_Guideline'!$C$53:$I$53,
      0
    )
  ),
0))</f>
        <v/>
      </c>
      <c r="AD149" s="105"/>
      <c r="AE149" s="119" t="str">
        <f t="array" ref="AE149">IF(OR($B149="",$D149=""),"",
IFERROR(
  INDEX(
    'Tools &amp; Targets_Guideline'!$C$54:$I$269,
    MATCH(
      1,
      ('Tools &amp; Targets_Guideline'!$A$54:$A$269=$B149)*
      ('Tools &amp; Targets_Guideline'!$B$54:$B$269="U5 Morbidity"),
      0
    ),
    MATCH(
      _xludf.IFNA(
        VLOOKUP($D149,{"PH","Provincial Hospital (H2)";"DH","District Hospital (H3)";"RH","Regional / National Hospital (H1)"},2,0),
        $D149
      ),
      'Tools &amp; Targets_Guideline'!$C$53:$I$53,
      0
    )
  ),
0))</f>
        <v/>
      </c>
      <c r="AF149" s="105"/>
      <c r="AG149" s="119" t="str">
        <f t="array" ref="AG149">IF(OR($B149="",$D149=""),"",
IFERROR(
  INDEX(
    'Tools &amp; Targets_Guideline'!$C$54:$I$269,
    MATCH(
      1,
      ('Tools &amp; Targets_Guideline'!$A$54:$A$269=$B149)*
      ('Tools &amp; Targets_Guideline'!$B$54:$B$269="C-Section"),
      0
    ),
    MATCH(
      _xludf.IFNA(
        VLOOKUP($D149,{"PH","Provincial Hospital (H2)";"DH","District Hospital (H3)";"RH","Regional / National Hospital (H1)"},2,0),
        $D149
      ),
      'Tools &amp; Targets_Guideline'!$C$53:$I$53,
      0
    )
  ),
0))</f>
        <v/>
      </c>
      <c r="AH149" s="105" t="str">
        <f>IF(A149&lt;&gt;"",COUNTIFS('QA Log'!D:D,A149,'QA Log'!M:M,"QQC",'QA Log'!L:L,"2. Hygiene and Sterilization",'QA Log'!Z:Z,"Approved"),"")</f>
        <v/>
      </c>
      <c r="AI149" s="102"/>
      <c r="AJ149" s="102"/>
      <c r="AK149" s="103" t="str">
        <f t="shared" si="2"/>
        <v/>
      </c>
      <c r="AL149" s="102"/>
      <c r="AM149" s="102"/>
      <c r="AN149" s="102"/>
      <c r="AO149" s="106"/>
      <c r="AP149" s="103"/>
      <c r="AQ149" s="102"/>
      <c r="AR149" s="102"/>
      <c r="AS149" s="102"/>
      <c r="AT149" s="107"/>
      <c r="AU149" s="102" t="str">
        <f t="shared" si="3"/>
        <v/>
      </c>
      <c r="AV149" s="102" t="str">
        <f t="shared" si="4"/>
        <v/>
      </c>
      <c r="AW149" s="102" t="str">
        <f t="shared" si="5"/>
        <v/>
      </c>
      <c r="AX149" s="102" t="str">
        <f t="shared" si="6"/>
        <v/>
      </c>
      <c r="AY149" s="107" t="str">
        <f t="shared" si="7"/>
        <v/>
      </c>
      <c r="AZ149" s="108" t="str">
        <f t="shared" si="8"/>
        <v/>
      </c>
      <c r="BA149" s="108" t="str">
        <f t="shared" si="9"/>
        <v/>
      </c>
      <c r="BB149" s="109" t="str">
        <f t="shared" si="10"/>
        <v/>
      </c>
      <c r="BC149" s="108" t="str">
        <f t="shared" si="11"/>
        <v/>
      </c>
      <c r="BD149" s="108" t="str">
        <f t="shared" si="12"/>
        <v/>
      </c>
      <c r="BE149" s="109" t="str">
        <f t="shared" si="13"/>
        <v/>
      </c>
      <c r="BF149" s="110" t="str">
        <f t="shared" si="14"/>
        <v/>
      </c>
      <c r="BG149" s="111"/>
    </row>
    <row r="150" spans="1:59" ht="12.75">
      <c r="A150" s="101"/>
      <c r="B150" s="102"/>
      <c r="C150" s="102" t="e">
        <f t="array" aca="1" ref="C150" ca="1">_xludf.XLOOKUP(A150,'QA Log'!D:D,'QA Log'!F:F,"")</f>
        <v>#NAME?</v>
      </c>
      <c r="D150" s="102"/>
      <c r="E150" s="102" t="e">
        <f t="array" aca="1" ref="E150" ca="1">_xludf.XLOOKUP(A150,'QA Log'!D:D,'QA Log'!G:G,"")</f>
        <v>#NAME?</v>
      </c>
      <c r="F150" s="103"/>
      <c r="G150" s="104"/>
      <c r="H150" s="104"/>
      <c r="I150" s="103" t="str">
        <f t="shared" si="0"/>
        <v/>
      </c>
      <c r="J150" s="102"/>
      <c r="K150" s="102"/>
      <c r="L150" s="119" t="str">
        <f t="array" ref="L150">IF(OR($B150="",$D150=""),"",
IFERROR(
  INDEX(
    'Tools &amp; Targets_Guideline'!$C$54:$I$269,
    MATCH(
      1,
      ('Tools &amp; Targets_Guideline'!$A$54:$A$269=$B150)*
      ('Tools &amp; Targets_Guideline'!$B$54:$B$269="ANC"),
      0
    ),
    MATCH(
      _xludf.IFNA(
        VLOOKUP($D150,{"PH","Provincial Hospital (H2)";"DH","District Hospital (H3)";"RH","Regional / National Hospital (H1)"},2,0),
        $D150
      ),
      'Tools &amp; Targets_Guideline'!$C$53:$I$53,
      0
    )
  ),
0))</f>
        <v/>
      </c>
      <c r="M150" s="105"/>
      <c r="N150" s="119" t="str">
        <f t="array" ref="N150">IF(OR($B150="",$D150=""),"",
IFERROR(
  INDEX(
    'Tools &amp; Targets_Guideline'!$C$54:$I$269,
    MATCH(
      1,
      ('Tools &amp; Targets_Guideline'!$A$54:$A$269=$B150)*
      ('Tools &amp; Targets_Guideline'!$B$54:$B$269="PNC"),
      0
    ),
    MATCH(
      _xludf.IFNA(
        VLOOKUP($D150,{"PH","Provincial Hospital (H2)";"DH","District Hospital (H3)";"RH","Regional / National Hospital (H1)"},2,0),
        $D150
      ),
      'Tools &amp; Targets_Guideline'!$C$53:$I$53,
      0
    )
  ),
0))</f>
        <v/>
      </c>
      <c r="O150" s="105"/>
      <c r="P150" s="119" t="str">
        <f t="array" ref="P150">IF(OR($B150="",$D150=""),"",
IFERROR(
  INDEX(
    'Tools &amp; Targets_Guideline'!$C$54:$I$269,
    MATCH(
      1,
      ('Tools &amp; Targets_Guideline'!$A$54:$A$269=$B150)*
      ('Tools &amp; Targets_Guideline'!$B$54:$B$269="Delivery"),
      0
    ),
    MATCH(
      _xludf.IFNA(
        VLOOKUP($D150,{"PH","Provincial Hospital (H2)";"DH","District Hospital (H3)";"RH","Regional / National Hospital (H1)"},2,0),
        $D150
      ),
      'Tools &amp; Targets_Guideline'!$C$53:$I$53,
      0
    )
  ),
0))</f>
        <v/>
      </c>
      <c r="Q150" s="105"/>
      <c r="R150" s="119" t="str">
        <f t="array" ref="R150">IF(OR($B150="",$D150=""),"",
IFERROR(
  INDEX(
    'Tools &amp; Targets_Guideline'!$C$54:$I$269,
    MATCH(
      1,
      ('Tools &amp; Targets_Guideline'!$A$54:$A$269=$B150)*
      ('Tools &amp; Targets_Guideline'!$B$54:$B$269="TT"),
      0
    ),
    MATCH(
      _xludf.IFNA(
        VLOOKUP($D150,{"PH","Provincial Hospital (H2)";"DH","District Hospital (H3)";"RH","Regional / National Hospital (H1)"},2,0),
        $D150
      ),
      'Tools &amp; Targets_Guideline'!$C$53:$I$53,
      0
    )
  ),
0))</f>
        <v/>
      </c>
      <c r="S150" s="105"/>
      <c r="T150" s="102"/>
      <c r="U150" s="106"/>
      <c r="V150" s="102" t="str">
        <f t="shared" si="1"/>
        <v/>
      </c>
      <c r="W150" s="102"/>
      <c r="X150" s="102"/>
      <c r="Y150" s="119" t="str">
        <f t="array" ref="Y150">IF(OR($B150="",$D150=""),"",
IFERROR(
  INDEX(
    'Tools &amp; Targets_Guideline'!$C$54:$I$269,
    MATCH(
      1,
      ('Tools &amp; Targets_Guideline'!$A$54:$A$269=$B150)*
      ('Tools &amp; Targets_Guideline'!$B$54:$B$269="GM"),
      0
    ),
    MATCH(
      _xludf.IFNA(
        VLOOKUP($D150,{"PH","Provincial Hospital (H2)";"DH","District Hospital (H3)";"RH","Regional / National Hospital (H1)"},2,0),
        $D150
      ),
      'Tools &amp; Targets_Guideline'!$C$53:$I$53,
      0
    )
  ),
0))</f>
        <v/>
      </c>
      <c r="Z150" s="105"/>
      <c r="AA150" s="119" t="str">
        <f t="array" ref="AA150">IF(OR($B150="",$D150=""),"",
IFERROR(
  INDEX(
    'Tools &amp; Targets_Guideline'!$C$54:$I$269,
    MATCH(
      1,
      ('Tools &amp; Targets_Guideline'!$A$54:$A$269=$B150)*
      ('Tools &amp; Targets_Guideline'!$B$54:$B$269="Penta"),
      0
    ),
    MATCH(
      _xludf.IFNA(
        VLOOKUP($D150,{"PH","Provincial Hospital (H2)";"DH","District Hospital (H3)";"RH","Regional / National Hospital (H1)"},2,0),
        $D150
      ),
      'Tools &amp; Targets_Guideline'!$C$53:$I$53,
      0
    )
  ),
0))</f>
        <v/>
      </c>
      <c r="AB150" s="105"/>
      <c r="AC150" s="119" t="str">
        <f t="array" ref="AC150">IF(OR($B150="",$D150=""),"",
IFERROR(
  INDEX(
    'Tools &amp; Targets_Guideline'!$C$54:$I$269,
    MATCH(
      1,
      ('Tools &amp; Targets_Guideline'!$A$54:$A$269=$B150)*
      ('Tools &amp; Targets_Guideline'!$B$54:$B$269="TB"),
      0
    ),
    MATCH(
      _xludf.IFNA(
        VLOOKUP($D150,{"PH","Provincial Hospital (H2)";"DH","District Hospital (H3)";"RH","Regional / National Hospital (H1)"},2,0),
        $D150
      ),
      'Tools &amp; Targets_Guideline'!$C$53:$I$53,
      0
    )
  ),
0))</f>
        <v/>
      </c>
      <c r="AD150" s="105"/>
      <c r="AE150" s="119" t="str">
        <f t="array" ref="AE150">IF(OR($B150="",$D150=""),"",
IFERROR(
  INDEX(
    'Tools &amp; Targets_Guideline'!$C$54:$I$269,
    MATCH(
      1,
      ('Tools &amp; Targets_Guideline'!$A$54:$A$269=$B150)*
      ('Tools &amp; Targets_Guideline'!$B$54:$B$269="U5 Morbidity"),
      0
    ),
    MATCH(
      _xludf.IFNA(
        VLOOKUP($D150,{"PH","Provincial Hospital (H2)";"DH","District Hospital (H3)";"RH","Regional / National Hospital (H1)"},2,0),
        $D150
      ),
      'Tools &amp; Targets_Guideline'!$C$53:$I$53,
      0
    )
  ),
0))</f>
        <v/>
      </c>
      <c r="AF150" s="105"/>
      <c r="AG150" s="119" t="str">
        <f t="array" ref="AG150">IF(OR($B150="",$D150=""),"",
IFERROR(
  INDEX(
    'Tools &amp; Targets_Guideline'!$C$54:$I$269,
    MATCH(
      1,
      ('Tools &amp; Targets_Guideline'!$A$54:$A$269=$B150)*
      ('Tools &amp; Targets_Guideline'!$B$54:$B$269="C-Section"),
      0
    ),
    MATCH(
      _xludf.IFNA(
        VLOOKUP($D150,{"PH","Provincial Hospital (H2)";"DH","District Hospital (H3)";"RH","Regional / National Hospital (H1)"},2,0),
        $D150
      ),
      'Tools &amp; Targets_Guideline'!$C$53:$I$53,
      0
    )
  ),
0))</f>
        <v/>
      </c>
      <c r="AH150" s="105" t="str">
        <f>IF(A150&lt;&gt;"",COUNTIFS('QA Log'!D:D,A150,'QA Log'!M:M,"QQC",'QA Log'!L:L,"2. Hygiene and Sterilization",'QA Log'!Z:Z,"Approved"),"")</f>
        <v/>
      </c>
      <c r="AI150" s="102"/>
      <c r="AJ150" s="102"/>
      <c r="AK150" s="103" t="str">
        <f t="shared" si="2"/>
        <v/>
      </c>
      <c r="AL150" s="102"/>
      <c r="AM150" s="102"/>
      <c r="AN150" s="102"/>
      <c r="AO150" s="106"/>
      <c r="AP150" s="103"/>
      <c r="AQ150" s="102"/>
      <c r="AR150" s="102"/>
      <c r="AS150" s="102"/>
      <c r="AT150" s="107"/>
      <c r="AU150" s="102" t="str">
        <f t="shared" si="3"/>
        <v/>
      </c>
      <c r="AV150" s="102" t="str">
        <f t="shared" si="4"/>
        <v/>
      </c>
      <c r="AW150" s="102" t="str">
        <f t="shared" si="5"/>
        <v/>
      </c>
      <c r="AX150" s="102" t="str">
        <f t="shared" si="6"/>
        <v/>
      </c>
      <c r="AY150" s="107" t="str">
        <f t="shared" si="7"/>
        <v/>
      </c>
      <c r="AZ150" s="108" t="str">
        <f t="shared" si="8"/>
        <v/>
      </c>
      <c r="BA150" s="108" t="str">
        <f t="shared" si="9"/>
        <v/>
      </c>
      <c r="BB150" s="109" t="str">
        <f t="shared" si="10"/>
        <v/>
      </c>
      <c r="BC150" s="108" t="str">
        <f t="shared" si="11"/>
        <v/>
      </c>
      <c r="BD150" s="108" t="str">
        <f t="shared" si="12"/>
        <v/>
      </c>
      <c r="BE150" s="109" t="str">
        <f t="shared" si="13"/>
        <v/>
      </c>
      <c r="BF150" s="110" t="str">
        <f t="shared" si="14"/>
        <v/>
      </c>
      <c r="BG150" s="111"/>
    </row>
    <row r="151" spans="1:59" ht="12.75">
      <c r="A151" s="101"/>
      <c r="B151" s="102"/>
      <c r="C151" s="102" t="e">
        <f t="array" aca="1" ref="C151" ca="1">_xludf.XLOOKUP(A151,'QA Log'!D:D,'QA Log'!F:F,"")</f>
        <v>#NAME?</v>
      </c>
      <c r="D151" s="102"/>
      <c r="E151" s="102" t="e">
        <f t="array" aca="1" ref="E151" ca="1">_xludf.XLOOKUP(A151,'QA Log'!D:D,'QA Log'!G:G,"")</f>
        <v>#NAME?</v>
      </c>
      <c r="F151" s="103"/>
      <c r="G151" s="104"/>
      <c r="H151" s="104"/>
      <c r="I151" s="103" t="str">
        <f t="shared" si="0"/>
        <v/>
      </c>
      <c r="J151" s="102"/>
      <c r="K151" s="102"/>
      <c r="L151" s="119" t="str">
        <f t="array" ref="L151">IF(OR($B151="",$D151=""),"",
IFERROR(
  INDEX(
    'Tools &amp; Targets_Guideline'!$C$54:$I$269,
    MATCH(
      1,
      ('Tools &amp; Targets_Guideline'!$A$54:$A$269=$B151)*
      ('Tools &amp; Targets_Guideline'!$B$54:$B$269="ANC"),
      0
    ),
    MATCH(
      _xludf.IFNA(
        VLOOKUP($D151,{"PH","Provincial Hospital (H2)";"DH","District Hospital (H3)";"RH","Regional / National Hospital (H1)"},2,0),
        $D151
      ),
      'Tools &amp; Targets_Guideline'!$C$53:$I$53,
      0
    )
  ),
0))</f>
        <v/>
      </c>
      <c r="M151" s="105"/>
      <c r="N151" s="119" t="str">
        <f t="array" ref="N151">IF(OR($B151="",$D151=""),"",
IFERROR(
  INDEX(
    'Tools &amp; Targets_Guideline'!$C$54:$I$269,
    MATCH(
      1,
      ('Tools &amp; Targets_Guideline'!$A$54:$A$269=$B151)*
      ('Tools &amp; Targets_Guideline'!$B$54:$B$269="PNC"),
      0
    ),
    MATCH(
      _xludf.IFNA(
        VLOOKUP($D151,{"PH","Provincial Hospital (H2)";"DH","District Hospital (H3)";"RH","Regional / National Hospital (H1)"},2,0),
        $D151
      ),
      'Tools &amp; Targets_Guideline'!$C$53:$I$53,
      0
    )
  ),
0))</f>
        <v/>
      </c>
      <c r="O151" s="105"/>
      <c r="P151" s="119" t="str">
        <f t="array" ref="P151">IF(OR($B151="",$D151=""),"",
IFERROR(
  INDEX(
    'Tools &amp; Targets_Guideline'!$C$54:$I$269,
    MATCH(
      1,
      ('Tools &amp; Targets_Guideline'!$A$54:$A$269=$B151)*
      ('Tools &amp; Targets_Guideline'!$B$54:$B$269="Delivery"),
      0
    ),
    MATCH(
      _xludf.IFNA(
        VLOOKUP($D151,{"PH","Provincial Hospital (H2)";"DH","District Hospital (H3)";"RH","Regional / National Hospital (H1)"},2,0),
        $D151
      ),
      'Tools &amp; Targets_Guideline'!$C$53:$I$53,
      0
    )
  ),
0))</f>
        <v/>
      </c>
      <c r="Q151" s="105"/>
      <c r="R151" s="119" t="str">
        <f t="array" ref="R151">IF(OR($B151="",$D151=""),"",
IFERROR(
  INDEX(
    'Tools &amp; Targets_Guideline'!$C$54:$I$269,
    MATCH(
      1,
      ('Tools &amp; Targets_Guideline'!$A$54:$A$269=$B151)*
      ('Tools &amp; Targets_Guideline'!$B$54:$B$269="TT"),
      0
    ),
    MATCH(
      _xludf.IFNA(
        VLOOKUP($D151,{"PH","Provincial Hospital (H2)";"DH","District Hospital (H3)";"RH","Regional / National Hospital (H1)"},2,0),
        $D151
      ),
      'Tools &amp; Targets_Guideline'!$C$53:$I$53,
      0
    )
  ),
0))</f>
        <v/>
      </c>
      <c r="S151" s="105"/>
      <c r="T151" s="102"/>
      <c r="U151" s="106"/>
      <c r="V151" s="102" t="str">
        <f t="shared" si="1"/>
        <v/>
      </c>
      <c r="W151" s="102"/>
      <c r="X151" s="102"/>
      <c r="Y151" s="119" t="str">
        <f t="array" ref="Y151">IF(OR($B151="",$D151=""),"",
IFERROR(
  INDEX(
    'Tools &amp; Targets_Guideline'!$C$54:$I$269,
    MATCH(
      1,
      ('Tools &amp; Targets_Guideline'!$A$54:$A$269=$B151)*
      ('Tools &amp; Targets_Guideline'!$B$54:$B$269="GM"),
      0
    ),
    MATCH(
      _xludf.IFNA(
        VLOOKUP($D151,{"PH","Provincial Hospital (H2)";"DH","District Hospital (H3)";"RH","Regional / National Hospital (H1)"},2,0),
        $D151
      ),
      'Tools &amp; Targets_Guideline'!$C$53:$I$53,
      0
    )
  ),
0))</f>
        <v/>
      </c>
      <c r="Z151" s="105"/>
      <c r="AA151" s="119" t="str">
        <f t="array" ref="AA151">IF(OR($B151="",$D151=""),"",
IFERROR(
  INDEX(
    'Tools &amp; Targets_Guideline'!$C$54:$I$269,
    MATCH(
      1,
      ('Tools &amp; Targets_Guideline'!$A$54:$A$269=$B151)*
      ('Tools &amp; Targets_Guideline'!$B$54:$B$269="Penta"),
      0
    ),
    MATCH(
      _xludf.IFNA(
        VLOOKUP($D151,{"PH","Provincial Hospital (H2)";"DH","District Hospital (H3)";"RH","Regional / National Hospital (H1)"},2,0),
        $D151
      ),
      'Tools &amp; Targets_Guideline'!$C$53:$I$53,
      0
    )
  ),
0))</f>
        <v/>
      </c>
      <c r="AB151" s="105"/>
      <c r="AC151" s="119" t="str">
        <f t="array" ref="AC151">IF(OR($B151="",$D151=""),"",
IFERROR(
  INDEX(
    'Tools &amp; Targets_Guideline'!$C$54:$I$269,
    MATCH(
      1,
      ('Tools &amp; Targets_Guideline'!$A$54:$A$269=$B151)*
      ('Tools &amp; Targets_Guideline'!$B$54:$B$269="TB"),
      0
    ),
    MATCH(
      _xludf.IFNA(
        VLOOKUP($D151,{"PH","Provincial Hospital (H2)";"DH","District Hospital (H3)";"RH","Regional / National Hospital (H1)"},2,0),
        $D151
      ),
      'Tools &amp; Targets_Guideline'!$C$53:$I$53,
      0
    )
  ),
0))</f>
        <v/>
      </c>
      <c r="AD151" s="105"/>
      <c r="AE151" s="119" t="str">
        <f t="array" ref="AE151">IF(OR($B151="",$D151=""),"",
IFERROR(
  INDEX(
    'Tools &amp; Targets_Guideline'!$C$54:$I$269,
    MATCH(
      1,
      ('Tools &amp; Targets_Guideline'!$A$54:$A$269=$B151)*
      ('Tools &amp; Targets_Guideline'!$B$54:$B$269="U5 Morbidity"),
      0
    ),
    MATCH(
      _xludf.IFNA(
        VLOOKUP($D151,{"PH","Provincial Hospital (H2)";"DH","District Hospital (H3)";"RH","Regional / National Hospital (H1)"},2,0),
        $D151
      ),
      'Tools &amp; Targets_Guideline'!$C$53:$I$53,
      0
    )
  ),
0))</f>
        <v/>
      </c>
      <c r="AF151" s="105"/>
      <c r="AG151" s="119" t="str">
        <f t="array" ref="AG151">IF(OR($B151="",$D151=""),"",
IFERROR(
  INDEX(
    'Tools &amp; Targets_Guideline'!$C$54:$I$269,
    MATCH(
      1,
      ('Tools &amp; Targets_Guideline'!$A$54:$A$269=$B151)*
      ('Tools &amp; Targets_Guideline'!$B$54:$B$269="C-Section"),
      0
    ),
    MATCH(
      _xludf.IFNA(
        VLOOKUP($D151,{"PH","Provincial Hospital (H2)";"DH","District Hospital (H3)";"RH","Regional / National Hospital (H1)"},2,0),
        $D151
      ),
      'Tools &amp; Targets_Guideline'!$C$53:$I$53,
      0
    )
  ),
0))</f>
        <v/>
      </c>
      <c r="AH151" s="105" t="str">
        <f>IF(A151&lt;&gt;"",COUNTIFS('QA Log'!D:D,A151,'QA Log'!M:M,"QQC",'QA Log'!L:L,"2. Hygiene and Sterilization",'QA Log'!Z:Z,"Approved"),"")</f>
        <v/>
      </c>
      <c r="AI151" s="102"/>
      <c r="AJ151" s="102"/>
      <c r="AK151" s="103" t="str">
        <f t="shared" si="2"/>
        <v/>
      </c>
      <c r="AL151" s="102"/>
      <c r="AM151" s="102"/>
      <c r="AN151" s="102"/>
      <c r="AO151" s="106"/>
      <c r="AP151" s="103"/>
      <c r="AQ151" s="102"/>
      <c r="AR151" s="102"/>
      <c r="AS151" s="102"/>
      <c r="AT151" s="107"/>
      <c r="AU151" s="102" t="str">
        <f t="shared" si="3"/>
        <v/>
      </c>
      <c r="AV151" s="102" t="str">
        <f t="shared" si="4"/>
        <v/>
      </c>
      <c r="AW151" s="102" t="str">
        <f t="shared" si="5"/>
        <v/>
      </c>
      <c r="AX151" s="102" t="str">
        <f t="shared" si="6"/>
        <v/>
      </c>
      <c r="AY151" s="107" t="str">
        <f t="shared" si="7"/>
        <v/>
      </c>
      <c r="AZ151" s="108" t="str">
        <f t="shared" si="8"/>
        <v/>
      </c>
      <c r="BA151" s="108" t="str">
        <f t="shared" si="9"/>
        <v/>
      </c>
      <c r="BB151" s="109" t="str">
        <f t="shared" si="10"/>
        <v/>
      </c>
      <c r="BC151" s="108" t="str">
        <f t="shared" si="11"/>
        <v/>
      </c>
      <c r="BD151" s="108" t="str">
        <f t="shared" si="12"/>
        <v/>
      </c>
      <c r="BE151" s="109" t="str">
        <f t="shared" si="13"/>
        <v/>
      </c>
      <c r="BF151" s="110" t="str">
        <f t="shared" si="14"/>
        <v/>
      </c>
      <c r="BG151" s="111"/>
    </row>
    <row r="152" spans="1:59" ht="12.75">
      <c r="A152" s="101"/>
      <c r="B152" s="102"/>
      <c r="C152" s="102" t="e">
        <f t="array" aca="1" ref="C152" ca="1">_xludf.XLOOKUP(A152,'QA Log'!D:D,'QA Log'!F:F,"")</f>
        <v>#NAME?</v>
      </c>
      <c r="D152" s="102"/>
      <c r="E152" s="102" t="e">
        <f t="array" aca="1" ref="E152" ca="1">_xludf.XLOOKUP(A152,'QA Log'!D:D,'QA Log'!G:G,"")</f>
        <v>#NAME?</v>
      </c>
      <c r="F152" s="103"/>
      <c r="G152" s="104"/>
      <c r="H152" s="104"/>
      <c r="I152" s="103" t="str">
        <f t="shared" si="0"/>
        <v/>
      </c>
      <c r="J152" s="102"/>
      <c r="K152" s="102"/>
      <c r="L152" s="119" t="str">
        <f t="array" ref="L152">IF(OR($B152="",$D152=""),"",
IFERROR(
  INDEX(
    'Tools &amp; Targets_Guideline'!$C$54:$I$269,
    MATCH(
      1,
      ('Tools &amp; Targets_Guideline'!$A$54:$A$269=$B152)*
      ('Tools &amp; Targets_Guideline'!$B$54:$B$269="ANC"),
      0
    ),
    MATCH(
      _xludf.IFNA(
        VLOOKUP($D152,{"PH","Provincial Hospital (H2)";"DH","District Hospital (H3)";"RH","Regional / National Hospital (H1)"},2,0),
        $D152
      ),
      'Tools &amp; Targets_Guideline'!$C$53:$I$53,
      0
    )
  ),
0))</f>
        <v/>
      </c>
      <c r="M152" s="105"/>
      <c r="N152" s="119" t="str">
        <f t="array" ref="N152">IF(OR($B152="",$D152=""),"",
IFERROR(
  INDEX(
    'Tools &amp; Targets_Guideline'!$C$54:$I$269,
    MATCH(
      1,
      ('Tools &amp; Targets_Guideline'!$A$54:$A$269=$B152)*
      ('Tools &amp; Targets_Guideline'!$B$54:$B$269="PNC"),
      0
    ),
    MATCH(
      _xludf.IFNA(
        VLOOKUP($D152,{"PH","Provincial Hospital (H2)";"DH","District Hospital (H3)";"RH","Regional / National Hospital (H1)"},2,0),
        $D152
      ),
      'Tools &amp; Targets_Guideline'!$C$53:$I$53,
      0
    )
  ),
0))</f>
        <v/>
      </c>
      <c r="O152" s="105"/>
      <c r="P152" s="119" t="str">
        <f t="array" ref="P152">IF(OR($B152="",$D152=""),"",
IFERROR(
  INDEX(
    'Tools &amp; Targets_Guideline'!$C$54:$I$269,
    MATCH(
      1,
      ('Tools &amp; Targets_Guideline'!$A$54:$A$269=$B152)*
      ('Tools &amp; Targets_Guideline'!$B$54:$B$269="Delivery"),
      0
    ),
    MATCH(
      _xludf.IFNA(
        VLOOKUP($D152,{"PH","Provincial Hospital (H2)";"DH","District Hospital (H3)";"RH","Regional / National Hospital (H1)"},2,0),
        $D152
      ),
      'Tools &amp; Targets_Guideline'!$C$53:$I$53,
      0
    )
  ),
0))</f>
        <v/>
      </c>
      <c r="Q152" s="105"/>
      <c r="R152" s="119" t="str">
        <f t="array" ref="R152">IF(OR($B152="",$D152=""),"",
IFERROR(
  INDEX(
    'Tools &amp; Targets_Guideline'!$C$54:$I$269,
    MATCH(
      1,
      ('Tools &amp; Targets_Guideline'!$A$54:$A$269=$B152)*
      ('Tools &amp; Targets_Guideline'!$B$54:$B$269="TT"),
      0
    ),
    MATCH(
      _xludf.IFNA(
        VLOOKUP($D152,{"PH","Provincial Hospital (H2)";"DH","District Hospital (H3)";"RH","Regional / National Hospital (H1)"},2,0),
        $D152
      ),
      'Tools &amp; Targets_Guideline'!$C$53:$I$53,
      0
    )
  ),
0))</f>
        <v/>
      </c>
      <c r="S152" s="105"/>
      <c r="T152" s="102"/>
      <c r="U152" s="106"/>
      <c r="V152" s="102" t="str">
        <f t="shared" si="1"/>
        <v/>
      </c>
      <c r="W152" s="102"/>
      <c r="X152" s="102"/>
      <c r="Y152" s="119" t="str">
        <f t="array" ref="Y152">IF(OR($B152="",$D152=""),"",
IFERROR(
  INDEX(
    'Tools &amp; Targets_Guideline'!$C$54:$I$269,
    MATCH(
      1,
      ('Tools &amp; Targets_Guideline'!$A$54:$A$269=$B152)*
      ('Tools &amp; Targets_Guideline'!$B$54:$B$269="GM"),
      0
    ),
    MATCH(
      _xludf.IFNA(
        VLOOKUP($D152,{"PH","Provincial Hospital (H2)";"DH","District Hospital (H3)";"RH","Regional / National Hospital (H1)"},2,0),
        $D152
      ),
      'Tools &amp; Targets_Guideline'!$C$53:$I$53,
      0
    )
  ),
0))</f>
        <v/>
      </c>
      <c r="Z152" s="105"/>
      <c r="AA152" s="119" t="str">
        <f t="array" ref="AA152">IF(OR($B152="",$D152=""),"",
IFERROR(
  INDEX(
    'Tools &amp; Targets_Guideline'!$C$54:$I$269,
    MATCH(
      1,
      ('Tools &amp; Targets_Guideline'!$A$54:$A$269=$B152)*
      ('Tools &amp; Targets_Guideline'!$B$54:$B$269="Penta"),
      0
    ),
    MATCH(
      _xludf.IFNA(
        VLOOKUP($D152,{"PH","Provincial Hospital (H2)";"DH","District Hospital (H3)";"RH","Regional / National Hospital (H1)"},2,0),
        $D152
      ),
      'Tools &amp; Targets_Guideline'!$C$53:$I$53,
      0
    )
  ),
0))</f>
        <v/>
      </c>
      <c r="AB152" s="105"/>
      <c r="AC152" s="119" t="str">
        <f t="array" ref="AC152">IF(OR($B152="",$D152=""),"",
IFERROR(
  INDEX(
    'Tools &amp; Targets_Guideline'!$C$54:$I$269,
    MATCH(
      1,
      ('Tools &amp; Targets_Guideline'!$A$54:$A$269=$B152)*
      ('Tools &amp; Targets_Guideline'!$B$54:$B$269="TB"),
      0
    ),
    MATCH(
      _xludf.IFNA(
        VLOOKUP($D152,{"PH","Provincial Hospital (H2)";"DH","District Hospital (H3)";"RH","Regional / National Hospital (H1)"},2,0),
        $D152
      ),
      'Tools &amp; Targets_Guideline'!$C$53:$I$53,
      0
    )
  ),
0))</f>
        <v/>
      </c>
      <c r="AD152" s="105"/>
      <c r="AE152" s="119" t="str">
        <f t="array" ref="AE152">IF(OR($B152="",$D152=""),"",
IFERROR(
  INDEX(
    'Tools &amp; Targets_Guideline'!$C$54:$I$269,
    MATCH(
      1,
      ('Tools &amp; Targets_Guideline'!$A$54:$A$269=$B152)*
      ('Tools &amp; Targets_Guideline'!$B$54:$B$269="U5 Morbidity"),
      0
    ),
    MATCH(
      _xludf.IFNA(
        VLOOKUP($D152,{"PH","Provincial Hospital (H2)";"DH","District Hospital (H3)";"RH","Regional / National Hospital (H1)"},2,0),
        $D152
      ),
      'Tools &amp; Targets_Guideline'!$C$53:$I$53,
      0
    )
  ),
0))</f>
        <v/>
      </c>
      <c r="AF152" s="105"/>
      <c r="AG152" s="119" t="str">
        <f t="array" ref="AG152">IF(OR($B152="",$D152=""),"",
IFERROR(
  INDEX(
    'Tools &amp; Targets_Guideline'!$C$54:$I$269,
    MATCH(
      1,
      ('Tools &amp; Targets_Guideline'!$A$54:$A$269=$B152)*
      ('Tools &amp; Targets_Guideline'!$B$54:$B$269="C-Section"),
      0
    ),
    MATCH(
      _xludf.IFNA(
        VLOOKUP($D152,{"PH","Provincial Hospital (H2)";"DH","District Hospital (H3)";"RH","Regional / National Hospital (H1)"},2,0),
        $D152
      ),
      'Tools &amp; Targets_Guideline'!$C$53:$I$53,
      0
    )
  ),
0))</f>
        <v/>
      </c>
      <c r="AH152" s="105" t="str">
        <f>IF(A152&lt;&gt;"",COUNTIFS('QA Log'!D:D,A152,'QA Log'!M:M,"QQC",'QA Log'!L:L,"2. Hygiene and Sterilization",'QA Log'!Z:Z,"Approved"),"")</f>
        <v/>
      </c>
      <c r="AI152" s="102"/>
      <c r="AJ152" s="102"/>
      <c r="AK152" s="103" t="str">
        <f t="shared" si="2"/>
        <v/>
      </c>
      <c r="AL152" s="102"/>
      <c r="AM152" s="102"/>
      <c r="AN152" s="102"/>
      <c r="AO152" s="106"/>
      <c r="AP152" s="103"/>
      <c r="AQ152" s="102"/>
      <c r="AR152" s="102"/>
      <c r="AS152" s="102"/>
      <c r="AT152" s="107"/>
      <c r="AU152" s="102" t="str">
        <f t="shared" si="3"/>
        <v/>
      </c>
      <c r="AV152" s="102" t="str">
        <f t="shared" si="4"/>
        <v/>
      </c>
      <c r="AW152" s="102" t="str">
        <f t="shared" si="5"/>
        <v/>
      </c>
      <c r="AX152" s="102" t="str">
        <f t="shared" si="6"/>
        <v/>
      </c>
      <c r="AY152" s="107" t="str">
        <f t="shared" si="7"/>
        <v/>
      </c>
      <c r="AZ152" s="108" t="str">
        <f t="shared" si="8"/>
        <v/>
      </c>
      <c r="BA152" s="108" t="str">
        <f t="shared" si="9"/>
        <v/>
      </c>
      <c r="BB152" s="109" t="str">
        <f t="shared" si="10"/>
        <v/>
      </c>
      <c r="BC152" s="108" t="str">
        <f t="shared" si="11"/>
        <v/>
      </c>
      <c r="BD152" s="108" t="str">
        <f t="shared" si="12"/>
        <v/>
      </c>
      <c r="BE152" s="109" t="str">
        <f t="shared" si="13"/>
        <v/>
      </c>
      <c r="BF152" s="110" t="str">
        <f t="shared" si="14"/>
        <v/>
      </c>
      <c r="BG152" s="111"/>
    </row>
    <row r="153" spans="1:59" ht="12.75">
      <c r="A153" s="101"/>
      <c r="B153" s="102"/>
      <c r="C153" s="102" t="e">
        <f t="array" aca="1" ref="C153" ca="1">_xludf.XLOOKUP(A153,'QA Log'!D:D,'QA Log'!F:F,"")</f>
        <v>#NAME?</v>
      </c>
      <c r="D153" s="102"/>
      <c r="E153" s="102" t="e">
        <f t="array" aca="1" ref="E153" ca="1">_xludf.XLOOKUP(A153,'QA Log'!D:D,'QA Log'!G:G,"")</f>
        <v>#NAME?</v>
      </c>
      <c r="F153" s="103"/>
      <c r="G153" s="104"/>
      <c r="H153" s="104"/>
      <c r="I153" s="103" t="str">
        <f t="shared" si="0"/>
        <v/>
      </c>
      <c r="J153" s="102"/>
      <c r="K153" s="102"/>
      <c r="L153" s="119" t="str">
        <f t="array" ref="L153">IF(OR($B153="",$D153=""),"",
IFERROR(
  INDEX(
    'Tools &amp; Targets_Guideline'!$C$54:$I$269,
    MATCH(
      1,
      ('Tools &amp; Targets_Guideline'!$A$54:$A$269=$B153)*
      ('Tools &amp; Targets_Guideline'!$B$54:$B$269="ANC"),
      0
    ),
    MATCH(
      _xludf.IFNA(
        VLOOKUP($D153,{"PH","Provincial Hospital (H2)";"DH","District Hospital (H3)";"RH","Regional / National Hospital (H1)"},2,0),
        $D153
      ),
      'Tools &amp; Targets_Guideline'!$C$53:$I$53,
      0
    )
  ),
0))</f>
        <v/>
      </c>
      <c r="M153" s="105"/>
      <c r="N153" s="119" t="str">
        <f t="array" ref="N153">IF(OR($B153="",$D153=""),"",
IFERROR(
  INDEX(
    'Tools &amp; Targets_Guideline'!$C$54:$I$269,
    MATCH(
      1,
      ('Tools &amp; Targets_Guideline'!$A$54:$A$269=$B153)*
      ('Tools &amp; Targets_Guideline'!$B$54:$B$269="PNC"),
      0
    ),
    MATCH(
      _xludf.IFNA(
        VLOOKUP($D153,{"PH","Provincial Hospital (H2)";"DH","District Hospital (H3)";"RH","Regional / National Hospital (H1)"},2,0),
        $D153
      ),
      'Tools &amp; Targets_Guideline'!$C$53:$I$53,
      0
    )
  ),
0))</f>
        <v/>
      </c>
      <c r="O153" s="105"/>
      <c r="P153" s="119" t="str">
        <f t="array" ref="P153">IF(OR($B153="",$D153=""),"",
IFERROR(
  INDEX(
    'Tools &amp; Targets_Guideline'!$C$54:$I$269,
    MATCH(
      1,
      ('Tools &amp; Targets_Guideline'!$A$54:$A$269=$B153)*
      ('Tools &amp; Targets_Guideline'!$B$54:$B$269="Delivery"),
      0
    ),
    MATCH(
      _xludf.IFNA(
        VLOOKUP($D153,{"PH","Provincial Hospital (H2)";"DH","District Hospital (H3)";"RH","Regional / National Hospital (H1)"},2,0),
        $D153
      ),
      'Tools &amp; Targets_Guideline'!$C$53:$I$53,
      0
    )
  ),
0))</f>
        <v/>
      </c>
      <c r="Q153" s="105"/>
      <c r="R153" s="119" t="str">
        <f t="array" ref="R153">IF(OR($B153="",$D153=""),"",
IFERROR(
  INDEX(
    'Tools &amp; Targets_Guideline'!$C$54:$I$269,
    MATCH(
      1,
      ('Tools &amp; Targets_Guideline'!$A$54:$A$269=$B153)*
      ('Tools &amp; Targets_Guideline'!$B$54:$B$269="TT"),
      0
    ),
    MATCH(
      _xludf.IFNA(
        VLOOKUP($D153,{"PH","Provincial Hospital (H2)";"DH","District Hospital (H3)";"RH","Regional / National Hospital (H1)"},2,0),
        $D153
      ),
      'Tools &amp; Targets_Guideline'!$C$53:$I$53,
      0
    )
  ),
0))</f>
        <v/>
      </c>
      <c r="S153" s="105"/>
      <c r="T153" s="102"/>
      <c r="U153" s="106"/>
      <c r="V153" s="102" t="str">
        <f t="shared" si="1"/>
        <v/>
      </c>
      <c r="W153" s="102"/>
      <c r="X153" s="102"/>
      <c r="Y153" s="119" t="str">
        <f t="array" ref="Y153">IF(OR($B153="",$D153=""),"",
IFERROR(
  INDEX(
    'Tools &amp; Targets_Guideline'!$C$54:$I$269,
    MATCH(
      1,
      ('Tools &amp; Targets_Guideline'!$A$54:$A$269=$B153)*
      ('Tools &amp; Targets_Guideline'!$B$54:$B$269="GM"),
      0
    ),
    MATCH(
      _xludf.IFNA(
        VLOOKUP($D153,{"PH","Provincial Hospital (H2)";"DH","District Hospital (H3)";"RH","Regional / National Hospital (H1)"},2,0),
        $D153
      ),
      'Tools &amp; Targets_Guideline'!$C$53:$I$53,
      0
    )
  ),
0))</f>
        <v/>
      </c>
      <c r="Z153" s="105"/>
      <c r="AA153" s="119" t="str">
        <f t="array" ref="AA153">IF(OR($B153="",$D153=""),"",
IFERROR(
  INDEX(
    'Tools &amp; Targets_Guideline'!$C$54:$I$269,
    MATCH(
      1,
      ('Tools &amp; Targets_Guideline'!$A$54:$A$269=$B153)*
      ('Tools &amp; Targets_Guideline'!$B$54:$B$269="Penta"),
      0
    ),
    MATCH(
      _xludf.IFNA(
        VLOOKUP($D153,{"PH","Provincial Hospital (H2)";"DH","District Hospital (H3)";"RH","Regional / National Hospital (H1)"},2,0),
        $D153
      ),
      'Tools &amp; Targets_Guideline'!$C$53:$I$53,
      0
    )
  ),
0))</f>
        <v/>
      </c>
      <c r="AB153" s="105"/>
      <c r="AC153" s="119" t="str">
        <f t="array" ref="AC153">IF(OR($B153="",$D153=""),"",
IFERROR(
  INDEX(
    'Tools &amp; Targets_Guideline'!$C$54:$I$269,
    MATCH(
      1,
      ('Tools &amp; Targets_Guideline'!$A$54:$A$269=$B153)*
      ('Tools &amp; Targets_Guideline'!$B$54:$B$269="TB"),
      0
    ),
    MATCH(
      _xludf.IFNA(
        VLOOKUP($D153,{"PH","Provincial Hospital (H2)";"DH","District Hospital (H3)";"RH","Regional / National Hospital (H1)"},2,0),
        $D153
      ),
      'Tools &amp; Targets_Guideline'!$C$53:$I$53,
      0
    )
  ),
0))</f>
        <v/>
      </c>
      <c r="AD153" s="105"/>
      <c r="AE153" s="119" t="str">
        <f t="array" ref="AE153">IF(OR($B153="",$D153=""),"",
IFERROR(
  INDEX(
    'Tools &amp; Targets_Guideline'!$C$54:$I$269,
    MATCH(
      1,
      ('Tools &amp; Targets_Guideline'!$A$54:$A$269=$B153)*
      ('Tools &amp; Targets_Guideline'!$B$54:$B$269="U5 Morbidity"),
      0
    ),
    MATCH(
      _xludf.IFNA(
        VLOOKUP($D153,{"PH","Provincial Hospital (H2)";"DH","District Hospital (H3)";"RH","Regional / National Hospital (H1)"},2,0),
        $D153
      ),
      'Tools &amp; Targets_Guideline'!$C$53:$I$53,
      0
    )
  ),
0))</f>
        <v/>
      </c>
      <c r="AF153" s="105"/>
      <c r="AG153" s="119" t="str">
        <f t="array" ref="AG153">IF(OR($B153="",$D153=""),"",
IFERROR(
  INDEX(
    'Tools &amp; Targets_Guideline'!$C$54:$I$269,
    MATCH(
      1,
      ('Tools &amp; Targets_Guideline'!$A$54:$A$269=$B153)*
      ('Tools &amp; Targets_Guideline'!$B$54:$B$269="C-Section"),
      0
    ),
    MATCH(
      _xludf.IFNA(
        VLOOKUP($D153,{"PH","Provincial Hospital (H2)";"DH","District Hospital (H3)";"RH","Regional / National Hospital (H1)"},2,0),
        $D153
      ),
      'Tools &amp; Targets_Guideline'!$C$53:$I$53,
      0
    )
  ),
0))</f>
        <v/>
      </c>
      <c r="AH153" s="105" t="str">
        <f>IF(A153&lt;&gt;"",COUNTIFS('QA Log'!D:D,A153,'QA Log'!M:M,"QQC",'QA Log'!L:L,"2. Hygiene and Sterilization",'QA Log'!Z:Z,"Approved"),"")</f>
        <v/>
      </c>
      <c r="AI153" s="102"/>
      <c r="AJ153" s="102"/>
      <c r="AK153" s="103" t="str">
        <f t="shared" si="2"/>
        <v/>
      </c>
      <c r="AL153" s="102"/>
      <c r="AM153" s="102"/>
      <c r="AN153" s="102"/>
      <c r="AO153" s="106"/>
      <c r="AP153" s="103"/>
      <c r="AQ153" s="102"/>
      <c r="AR153" s="102"/>
      <c r="AS153" s="102"/>
      <c r="AT153" s="107"/>
      <c r="AU153" s="102" t="str">
        <f t="shared" si="3"/>
        <v/>
      </c>
      <c r="AV153" s="102" t="str">
        <f t="shared" si="4"/>
        <v/>
      </c>
      <c r="AW153" s="102" t="str">
        <f t="shared" si="5"/>
        <v/>
      </c>
      <c r="AX153" s="102" t="str">
        <f t="shared" si="6"/>
        <v/>
      </c>
      <c r="AY153" s="107" t="str">
        <f t="shared" si="7"/>
        <v/>
      </c>
      <c r="AZ153" s="108" t="str">
        <f t="shared" si="8"/>
        <v/>
      </c>
      <c r="BA153" s="108" t="str">
        <f t="shared" si="9"/>
        <v/>
      </c>
      <c r="BB153" s="109" t="str">
        <f t="shared" si="10"/>
        <v/>
      </c>
      <c r="BC153" s="108" t="str">
        <f t="shared" si="11"/>
        <v/>
      </c>
      <c r="BD153" s="108" t="str">
        <f t="shared" si="12"/>
        <v/>
      </c>
      <c r="BE153" s="109" t="str">
        <f t="shared" si="13"/>
        <v/>
      </c>
      <c r="BF153" s="110" t="str">
        <f t="shared" si="14"/>
        <v/>
      </c>
      <c r="BG153" s="111"/>
    </row>
    <row r="154" spans="1:59" ht="12.75">
      <c r="A154" s="101"/>
      <c r="B154" s="102"/>
      <c r="C154" s="102" t="e">
        <f t="array" aca="1" ref="C154" ca="1">_xludf.XLOOKUP(A154,'QA Log'!D:D,'QA Log'!F:F,"")</f>
        <v>#NAME?</v>
      </c>
      <c r="D154" s="102"/>
      <c r="E154" s="102" t="e">
        <f t="array" aca="1" ref="E154" ca="1">_xludf.XLOOKUP(A154,'QA Log'!D:D,'QA Log'!G:G,"")</f>
        <v>#NAME?</v>
      </c>
      <c r="F154" s="103"/>
      <c r="G154" s="104"/>
      <c r="H154" s="104"/>
      <c r="I154" s="103" t="str">
        <f t="shared" si="0"/>
        <v/>
      </c>
      <c r="J154" s="102"/>
      <c r="K154" s="102"/>
      <c r="L154" s="119" t="str">
        <f t="array" ref="L154">IF(OR($B154="",$D154=""),"",
IFERROR(
  INDEX(
    'Tools &amp; Targets_Guideline'!$C$54:$I$269,
    MATCH(
      1,
      ('Tools &amp; Targets_Guideline'!$A$54:$A$269=$B154)*
      ('Tools &amp; Targets_Guideline'!$B$54:$B$269="ANC"),
      0
    ),
    MATCH(
      _xludf.IFNA(
        VLOOKUP($D154,{"PH","Provincial Hospital (H2)";"DH","District Hospital (H3)";"RH","Regional / National Hospital (H1)"},2,0),
        $D154
      ),
      'Tools &amp; Targets_Guideline'!$C$53:$I$53,
      0
    )
  ),
0))</f>
        <v/>
      </c>
      <c r="M154" s="105"/>
      <c r="N154" s="119" t="str">
        <f t="array" ref="N154">IF(OR($B154="",$D154=""),"",
IFERROR(
  INDEX(
    'Tools &amp; Targets_Guideline'!$C$54:$I$269,
    MATCH(
      1,
      ('Tools &amp; Targets_Guideline'!$A$54:$A$269=$B154)*
      ('Tools &amp; Targets_Guideline'!$B$54:$B$269="PNC"),
      0
    ),
    MATCH(
      _xludf.IFNA(
        VLOOKUP($D154,{"PH","Provincial Hospital (H2)";"DH","District Hospital (H3)";"RH","Regional / National Hospital (H1)"},2,0),
        $D154
      ),
      'Tools &amp; Targets_Guideline'!$C$53:$I$53,
      0
    )
  ),
0))</f>
        <v/>
      </c>
      <c r="O154" s="105"/>
      <c r="P154" s="119" t="str">
        <f t="array" ref="P154">IF(OR($B154="",$D154=""),"",
IFERROR(
  INDEX(
    'Tools &amp; Targets_Guideline'!$C$54:$I$269,
    MATCH(
      1,
      ('Tools &amp; Targets_Guideline'!$A$54:$A$269=$B154)*
      ('Tools &amp; Targets_Guideline'!$B$54:$B$269="Delivery"),
      0
    ),
    MATCH(
      _xludf.IFNA(
        VLOOKUP($D154,{"PH","Provincial Hospital (H2)";"DH","District Hospital (H3)";"RH","Regional / National Hospital (H1)"},2,0),
        $D154
      ),
      'Tools &amp; Targets_Guideline'!$C$53:$I$53,
      0
    )
  ),
0))</f>
        <v/>
      </c>
      <c r="Q154" s="105"/>
      <c r="R154" s="119" t="str">
        <f t="array" ref="R154">IF(OR($B154="",$D154=""),"",
IFERROR(
  INDEX(
    'Tools &amp; Targets_Guideline'!$C$54:$I$269,
    MATCH(
      1,
      ('Tools &amp; Targets_Guideline'!$A$54:$A$269=$B154)*
      ('Tools &amp; Targets_Guideline'!$B$54:$B$269="TT"),
      0
    ),
    MATCH(
      _xludf.IFNA(
        VLOOKUP($D154,{"PH","Provincial Hospital (H2)";"DH","District Hospital (H3)";"RH","Regional / National Hospital (H1)"},2,0),
        $D154
      ),
      'Tools &amp; Targets_Guideline'!$C$53:$I$53,
      0
    )
  ),
0))</f>
        <v/>
      </c>
      <c r="S154" s="105"/>
      <c r="T154" s="102"/>
      <c r="U154" s="106"/>
      <c r="V154" s="102" t="str">
        <f t="shared" si="1"/>
        <v/>
      </c>
      <c r="W154" s="102"/>
      <c r="X154" s="102"/>
      <c r="Y154" s="119" t="str">
        <f t="array" ref="Y154">IF(OR($B154="",$D154=""),"",
IFERROR(
  INDEX(
    'Tools &amp; Targets_Guideline'!$C$54:$I$269,
    MATCH(
      1,
      ('Tools &amp; Targets_Guideline'!$A$54:$A$269=$B154)*
      ('Tools &amp; Targets_Guideline'!$B$54:$B$269="GM"),
      0
    ),
    MATCH(
      _xludf.IFNA(
        VLOOKUP($D154,{"PH","Provincial Hospital (H2)";"DH","District Hospital (H3)";"RH","Regional / National Hospital (H1)"},2,0),
        $D154
      ),
      'Tools &amp; Targets_Guideline'!$C$53:$I$53,
      0
    )
  ),
0))</f>
        <v/>
      </c>
      <c r="Z154" s="105"/>
      <c r="AA154" s="119" t="str">
        <f t="array" ref="AA154">IF(OR($B154="",$D154=""),"",
IFERROR(
  INDEX(
    'Tools &amp; Targets_Guideline'!$C$54:$I$269,
    MATCH(
      1,
      ('Tools &amp; Targets_Guideline'!$A$54:$A$269=$B154)*
      ('Tools &amp; Targets_Guideline'!$B$54:$B$269="Penta"),
      0
    ),
    MATCH(
      _xludf.IFNA(
        VLOOKUP($D154,{"PH","Provincial Hospital (H2)";"DH","District Hospital (H3)";"RH","Regional / National Hospital (H1)"},2,0),
        $D154
      ),
      'Tools &amp; Targets_Guideline'!$C$53:$I$53,
      0
    )
  ),
0))</f>
        <v/>
      </c>
      <c r="AB154" s="105"/>
      <c r="AC154" s="119" t="str">
        <f t="array" ref="AC154">IF(OR($B154="",$D154=""),"",
IFERROR(
  INDEX(
    'Tools &amp; Targets_Guideline'!$C$54:$I$269,
    MATCH(
      1,
      ('Tools &amp; Targets_Guideline'!$A$54:$A$269=$B154)*
      ('Tools &amp; Targets_Guideline'!$B$54:$B$269="TB"),
      0
    ),
    MATCH(
      _xludf.IFNA(
        VLOOKUP($D154,{"PH","Provincial Hospital (H2)";"DH","District Hospital (H3)";"RH","Regional / National Hospital (H1)"},2,0),
        $D154
      ),
      'Tools &amp; Targets_Guideline'!$C$53:$I$53,
      0
    )
  ),
0))</f>
        <v/>
      </c>
      <c r="AD154" s="105"/>
      <c r="AE154" s="119" t="str">
        <f t="array" ref="AE154">IF(OR($B154="",$D154=""),"",
IFERROR(
  INDEX(
    'Tools &amp; Targets_Guideline'!$C$54:$I$269,
    MATCH(
      1,
      ('Tools &amp; Targets_Guideline'!$A$54:$A$269=$B154)*
      ('Tools &amp; Targets_Guideline'!$B$54:$B$269="U5 Morbidity"),
      0
    ),
    MATCH(
      _xludf.IFNA(
        VLOOKUP($D154,{"PH","Provincial Hospital (H2)";"DH","District Hospital (H3)";"RH","Regional / National Hospital (H1)"},2,0),
        $D154
      ),
      'Tools &amp; Targets_Guideline'!$C$53:$I$53,
      0
    )
  ),
0))</f>
        <v/>
      </c>
      <c r="AF154" s="105"/>
      <c r="AG154" s="119" t="str">
        <f t="array" ref="AG154">IF(OR($B154="",$D154=""),"",
IFERROR(
  INDEX(
    'Tools &amp; Targets_Guideline'!$C$54:$I$269,
    MATCH(
      1,
      ('Tools &amp; Targets_Guideline'!$A$54:$A$269=$B154)*
      ('Tools &amp; Targets_Guideline'!$B$54:$B$269="C-Section"),
      0
    ),
    MATCH(
      _xludf.IFNA(
        VLOOKUP($D154,{"PH","Provincial Hospital (H2)";"DH","District Hospital (H3)";"RH","Regional / National Hospital (H1)"},2,0),
        $D154
      ),
      'Tools &amp; Targets_Guideline'!$C$53:$I$53,
      0
    )
  ),
0))</f>
        <v/>
      </c>
      <c r="AH154" s="105" t="str">
        <f>IF(A154&lt;&gt;"",COUNTIFS('QA Log'!D:D,A154,'QA Log'!M:M,"QQC",'QA Log'!L:L,"2. Hygiene and Sterilization",'QA Log'!Z:Z,"Approved"),"")</f>
        <v/>
      </c>
      <c r="AI154" s="102"/>
      <c r="AJ154" s="102"/>
      <c r="AK154" s="103" t="str">
        <f t="shared" si="2"/>
        <v/>
      </c>
      <c r="AL154" s="102"/>
      <c r="AM154" s="102"/>
      <c r="AN154" s="102"/>
      <c r="AO154" s="106"/>
      <c r="AP154" s="103"/>
      <c r="AQ154" s="102"/>
      <c r="AR154" s="102"/>
      <c r="AS154" s="102"/>
      <c r="AT154" s="107"/>
      <c r="AU154" s="102" t="str">
        <f t="shared" si="3"/>
        <v/>
      </c>
      <c r="AV154" s="102" t="str">
        <f t="shared" si="4"/>
        <v/>
      </c>
      <c r="AW154" s="102" t="str">
        <f t="shared" si="5"/>
        <v/>
      </c>
      <c r="AX154" s="102" t="str">
        <f t="shared" si="6"/>
        <v/>
      </c>
      <c r="AY154" s="107" t="str">
        <f t="shared" si="7"/>
        <v/>
      </c>
      <c r="AZ154" s="108" t="str">
        <f t="shared" si="8"/>
        <v/>
      </c>
      <c r="BA154" s="108" t="str">
        <f t="shared" si="9"/>
        <v/>
      </c>
      <c r="BB154" s="109" t="str">
        <f t="shared" si="10"/>
        <v/>
      </c>
      <c r="BC154" s="108" t="str">
        <f t="shared" si="11"/>
        <v/>
      </c>
      <c r="BD154" s="108" t="str">
        <f t="shared" si="12"/>
        <v/>
      </c>
      <c r="BE154" s="109" t="str">
        <f t="shared" si="13"/>
        <v/>
      </c>
      <c r="BF154" s="110" t="str">
        <f t="shared" si="14"/>
        <v/>
      </c>
      <c r="BG154" s="111"/>
    </row>
    <row r="155" spans="1:59" ht="12.75">
      <c r="A155" s="101"/>
      <c r="B155" s="102"/>
      <c r="C155" s="102" t="e">
        <f t="array" aca="1" ref="C155" ca="1">_xludf.XLOOKUP(A155,'QA Log'!D:D,'QA Log'!F:F,"")</f>
        <v>#NAME?</v>
      </c>
      <c r="D155" s="102"/>
      <c r="E155" s="102" t="e">
        <f t="array" aca="1" ref="E155" ca="1">_xludf.XLOOKUP(A155,'QA Log'!D:D,'QA Log'!G:G,"")</f>
        <v>#NAME?</v>
      </c>
      <c r="F155" s="103"/>
      <c r="G155" s="104"/>
      <c r="H155" s="104"/>
      <c r="I155" s="103" t="str">
        <f t="shared" si="0"/>
        <v/>
      </c>
      <c r="J155" s="102"/>
      <c r="K155" s="102"/>
      <c r="L155" s="119" t="str">
        <f t="array" ref="L155">IF(OR($B155="",$D155=""),"",
IFERROR(
  INDEX(
    'Tools &amp; Targets_Guideline'!$C$54:$I$269,
    MATCH(
      1,
      ('Tools &amp; Targets_Guideline'!$A$54:$A$269=$B155)*
      ('Tools &amp; Targets_Guideline'!$B$54:$B$269="ANC"),
      0
    ),
    MATCH(
      _xludf.IFNA(
        VLOOKUP($D155,{"PH","Provincial Hospital (H2)";"DH","District Hospital (H3)";"RH","Regional / National Hospital (H1)"},2,0),
        $D155
      ),
      'Tools &amp; Targets_Guideline'!$C$53:$I$53,
      0
    )
  ),
0))</f>
        <v/>
      </c>
      <c r="M155" s="105"/>
      <c r="N155" s="119" t="str">
        <f t="array" ref="N155">IF(OR($B155="",$D155=""),"",
IFERROR(
  INDEX(
    'Tools &amp; Targets_Guideline'!$C$54:$I$269,
    MATCH(
      1,
      ('Tools &amp; Targets_Guideline'!$A$54:$A$269=$B155)*
      ('Tools &amp; Targets_Guideline'!$B$54:$B$269="PNC"),
      0
    ),
    MATCH(
      _xludf.IFNA(
        VLOOKUP($D155,{"PH","Provincial Hospital (H2)";"DH","District Hospital (H3)";"RH","Regional / National Hospital (H1)"},2,0),
        $D155
      ),
      'Tools &amp; Targets_Guideline'!$C$53:$I$53,
      0
    )
  ),
0))</f>
        <v/>
      </c>
      <c r="O155" s="105"/>
      <c r="P155" s="119" t="str">
        <f t="array" ref="P155">IF(OR($B155="",$D155=""),"",
IFERROR(
  INDEX(
    'Tools &amp; Targets_Guideline'!$C$54:$I$269,
    MATCH(
      1,
      ('Tools &amp; Targets_Guideline'!$A$54:$A$269=$B155)*
      ('Tools &amp; Targets_Guideline'!$B$54:$B$269="Delivery"),
      0
    ),
    MATCH(
      _xludf.IFNA(
        VLOOKUP($D155,{"PH","Provincial Hospital (H2)";"DH","District Hospital (H3)";"RH","Regional / National Hospital (H1)"},2,0),
        $D155
      ),
      'Tools &amp; Targets_Guideline'!$C$53:$I$53,
      0
    )
  ),
0))</f>
        <v/>
      </c>
      <c r="Q155" s="105"/>
      <c r="R155" s="119" t="str">
        <f t="array" ref="R155">IF(OR($B155="",$D155=""),"",
IFERROR(
  INDEX(
    'Tools &amp; Targets_Guideline'!$C$54:$I$269,
    MATCH(
      1,
      ('Tools &amp; Targets_Guideline'!$A$54:$A$269=$B155)*
      ('Tools &amp; Targets_Guideline'!$B$54:$B$269="TT"),
      0
    ),
    MATCH(
      _xludf.IFNA(
        VLOOKUP($D155,{"PH","Provincial Hospital (H2)";"DH","District Hospital (H3)";"RH","Regional / National Hospital (H1)"},2,0),
        $D155
      ),
      'Tools &amp; Targets_Guideline'!$C$53:$I$53,
      0
    )
  ),
0))</f>
        <v/>
      </c>
      <c r="S155" s="105"/>
      <c r="T155" s="102"/>
      <c r="U155" s="106"/>
      <c r="V155" s="102" t="str">
        <f t="shared" si="1"/>
        <v/>
      </c>
      <c r="W155" s="102"/>
      <c r="X155" s="102"/>
      <c r="Y155" s="119" t="str">
        <f t="array" ref="Y155">IF(OR($B155="",$D155=""),"",
IFERROR(
  INDEX(
    'Tools &amp; Targets_Guideline'!$C$54:$I$269,
    MATCH(
      1,
      ('Tools &amp; Targets_Guideline'!$A$54:$A$269=$B155)*
      ('Tools &amp; Targets_Guideline'!$B$54:$B$269="GM"),
      0
    ),
    MATCH(
      _xludf.IFNA(
        VLOOKUP($D155,{"PH","Provincial Hospital (H2)";"DH","District Hospital (H3)";"RH","Regional / National Hospital (H1)"},2,0),
        $D155
      ),
      'Tools &amp; Targets_Guideline'!$C$53:$I$53,
      0
    )
  ),
0))</f>
        <v/>
      </c>
      <c r="Z155" s="105"/>
      <c r="AA155" s="119" t="str">
        <f t="array" ref="AA155">IF(OR($B155="",$D155=""),"",
IFERROR(
  INDEX(
    'Tools &amp; Targets_Guideline'!$C$54:$I$269,
    MATCH(
      1,
      ('Tools &amp; Targets_Guideline'!$A$54:$A$269=$B155)*
      ('Tools &amp; Targets_Guideline'!$B$54:$B$269="Penta"),
      0
    ),
    MATCH(
      _xludf.IFNA(
        VLOOKUP($D155,{"PH","Provincial Hospital (H2)";"DH","District Hospital (H3)";"RH","Regional / National Hospital (H1)"},2,0),
        $D155
      ),
      'Tools &amp; Targets_Guideline'!$C$53:$I$53,
      0
    )
  ),
0))</f>
        <v/>
      </c>
      <c r="AB155" s="105"/>
      <c r="AC155" s="119" t="str">
        <f t="array" ref="AC155">IF(OR($B155="",$D155=""),"",
IFERROR(
  INDEX(
    'Tools &amp; Targets_Guideline'!$C$54:$I$269,
    MATCH(
      1,
      ('Tools &amp; Targets_Guideline'!$A$54:$A$269=$B155)*
      ('Tools &amp; Targets_Guideline'!$B$54:$B$269="TB"),
      0
    ),
    MATCH(
      _xludf.IFNA(
        VLOOKUP($D155,{"PH","Provincial Hospital (H2)";"DH","District Hospital (H3)";"RH","Regional / National Hospital (H1)"},2,0),
        $D155
      ),
      'Tools &amp; Targets_Guideline'!$C$53:$I$53,
      0
    )
  ),
0))</f>
        <v/>
      </c>
      <c r="AD155" s="105"/>
      <c r="AE155" s="119" t="str">
        <f t="array" ref="AE155">IF(OR($B155="",$D155=""),"",
IFERROR(
  INDEX(
    'Tools &amp; Targets_Guideline'!$C$54:$I$269,
    MATCH(
      1,
      ('Tools &amp; Targets_Guideline'!$A$54:$A$269=$B155)*
      ('Tools &amp; Targets_Guideline'!$B$54:$B$269="U5 Morbidity"),
      0
    ),
    MATCH(
      _xludf.IFNA(
        VLOOKUP($D155,{"PH","Provincial Hospital (H2)";"DH","District Hospital (H3)";"RH","Regional / National Hospital (H1)"},2,0),
        $D155
      ),
      'Tools &amp; Targets_Guideline'!$C$53:$I$53,
      0
    )
  ),
0))</f>
        <v/>
      </c>
      <c r="AF155" s="105"/>
      <c r="AG155" s="119" t="str">
        <f t="array" ref="AG155">IF(OR($B155="",$D155=""),"",
IFERROR(
  INDEX(
    'Tools &amp; Targets_Guideline'!$C$54:$I$269,
    MATCH(
      1,
      ('Tools &amp; Targets_Guideline'!$A$54:$A$269=$B155)*
      ('Tools &amp; Targets_Guideline'!$B$54:$B$269="C-Section"),
      0
    ),
    MATCH(
      _xludf.IFNA(
        VLOOKUP($D155,{"PH","Provincial Hospital (H2)";"DH","District Hospital (H3)";"RH","Regional / National Hospital (H1)"},2,0),
        $D155
      ),
      'Tools &amp; Targets_Guideline'!$C$53:$I$53,
      0
    )
  ),
0))</f>
        <v/>
      </c>
      <c r="AH155" s="105" t="str">
        <f>IF(A155&lt;&gt;"",COUNTIFS('QA Log'!D:D,A155,'QA Log'!M:M,"QQC",'QA Log'!L:L,"2. Hygiene and Sterilization",'QA Log'!Z:Z,"Approved"),"")</f>
        <v/>
      </c>
      <c r="AI155" s="102"/>
      <c r="AJ155" s="102"/>
      <c r="AK155" s="103" t="str">
        <f t="shared" si="2"/>
        <v/>
      </c>
      <c r="AL155" s="102"/>
      <c r="AM155" s="102"/>
      <c r="AN155" s="102"/>
      <c r="AO155" s="106"/>
      <c r="AP155" s="103"/>
      <c r="AQ155" s="102"/>
      <c r="AR155" s="102"/>
      <c r="AS155" s="102"/>
      <c r="AT155" s="107"/>
      <c r="AU155" s="102" t="str">
        <f t="shared" si="3"/>
        <v/>
      </c>
      <c r="AV155" s="102" t="str">
        <f t="shared" si="4"/>
        <v/>
      </c>
      <c r="AW155" s="102" t="str">
        <f t="shared" si="5"/>
        <v/>
      </c>
      <c r="AX155" s="102" t="str">
        <f t="shared" si="6"/>
        <v/>
      </c>
      <c r="AY155" s="107" t="str">
        <f t="shared" si="7"/>
        <v/>
      </c>
      <c r="AZ155" s="108" t="str">
        <f t="shared" si="8"/>
        <v/>
      </c>
      <c r="BA155" s="108" t="str">
        <f t="shared" si="9"/>
        <v/>
      </c>
      <c r="BB155" s="109" t="str">
        <f t="shared" si="10"/>
        <v/>
      </c>
      <c r="BC155" s="108" t="str">
        <f t="shared" si="11"/>
        <v/>
      </c>
      <c r="BD155" s="108" t="str">
        <f t="shared" si="12"/>
        <v/>
      </c>
      <c r="BE155" s="109" t="str">
        <f t="shared" si="13"/>
        <v/>
      </c>
      <c r="BF155" s="110" t="str">
        <f t="shared" si="14"/>
        <v/>
      </c>
      <c r="BG155" s="111"/>
    </row>
    <row r="156" spans="1:59" ht="12.75">
      <c r="A156" s="101"/>
      <c r="B156" s="102"/>
      <c r="C156" s="102" t="e">
        <f t="array" aca="1" ref="C156" ca="1">_xludf.XLOOKUP(A156,'QA Log'!D:D,'QA Log'!F:F,"")</f>
        <v>#NAME?</v>
      </c>
      <c r="D156" s="102"/>
      <c r="E156" s="102" t="e">
        <f t="array" aca="1" ref="E156" ca="1">_xludf.XLOOKUP(A156,'QA Log'!D:D,'QA Log'!G:G,"")</f>
        <v>#NAME?</v>
      </c>
      <c r="F156" s="103"/>
      <c r="G156" s="104"/>
      <c r="H156" s="104"/>
      <c r="I156" s="103" t="str">
        <f t="shared" si="0"/>
        <v/>
      </c>
      <c r="J156" s="102"/>
      <c r="K156" s="102"/>
      <c r="L156" s="119" t="str">
        <f t="array" ref="L156">IF(OR($B156="",$D156=""),"",
IFERROR(
  INDEX(
    'Tools &amp; Targets_Guideline'!$C$54:$I$269,
    MATCH(
      1,
      ('Tools &amp; Targets_Guideline'!$A$54:$A$269=$B156)*
      ('Tools &amp; Targets_Guideline'!$B$54:$B$269="ANC"),
      0
    ),
    MATCH(
      _xludf.IFNA(
        VLOOKUP($D156,{"PH","Provincial Hospital (H2)";"DH","District Hospital (H3)";"RH","Regional / National Hospital (H1)"},2,0),
        $D156
      ),
      'Tools &amp; Targets_Guideline'!$C$53:$I$53,
      0
    )
  ),
0))</f>
        <v/>
      </c>
      <c r="M156" s="105"/>
      <c r="N156" s="119" t="str">
        <f t="array" ref="N156">IF(OR($B156="",$D156=""),"",
IFERROR(
  INDEX(
    'Tools &amp; Targets_Guideline'!$C$54:$I$269,
    MATCH(
      1,
      ('Tools &amp; Targets_Guideline'!$A$54:$A$269=$B156)*
      ('Tools &amp; Targets_Guideline'!$B$54:$B$269="PNC"),
      0
    ),
    MATCH(
      _xludf.IFNA(
        VLOOKUP($D156,{"PH","Provincial Hospital (H2)";"DH","District Hospital (H3)";"RH","Regional / National Hospital (H1)"},2,0),
        $D156
      ),
      'Tools &amp; Targets_Guideline'!$C$53:$I$53,
      0
    )
  ),
0))</f>
        <v/>
      </c>
      <c r="O156" s="105"/>
      <c r="P156" s="119" t="str">
        <f t="array" ref="P156">IF(OR($B156="",$D156=""),"",
IFERROR(
  INDEX(
    'Tools &amp; Targets_Guideline'!$C$54:$I$269,
    MATCH(
      1,
      ('Tools &amp; Targets_Guideline'!$A$54:$A$269=$B156)*
      ('Tools &amp; Targets_Guideline'!$B$54:$B$269="Delivery"),
      0
    ),
    MATCH(
      _xludf.IFNA(
        VLOOKUP($D156,{"PH","Provincial Hospital (H2)";"DH","District Hospital (H3)";"RH","Regional / National Hospital (H1)"},2,0),
        $D156
      ),
      'Tools &amp; Targets_Guideline'!$C$53:$I$53,
      0
    )
  ),
0))</f>
        <v/>
      </c>
      <c r="Q156" s="105"/>
      <c r="R156" s="119" t="str">
        <f t="array" ref="R156">IF(OR($B156="",$D156=""),"",
IFERROR(
  INDEX(
    'Tools &amp; Targets_Guideline'!$C$54:$I$269,
    MATCH(
      1,
      ('Tools &amp; Targets_Guideline'!$A$54:$A$269=$B156)*
      ('Tools &amp; Targets_Guideline'!$B$54:$B$269="TT"),
      0
    ),
    MATCH(
      _xludf.IFNA(
        VLOOKUP($D156,{"PH","Provincial Hospital (H2)";"DH","District Hospital (H3)";"RH","Regional / National Hospital (H1)"},2,0),
        $D156
      ),
      'Tools &amp; Targets_Guideline'!$C$53:$I$53,
      0
    )
  ),
0))</f>
        <v/>
      </c>
      <c r="S156" s="105"/>
      <c r="T156" s="102"/>
      <c r="U156" s="106"/>
      <c r="V156" s="102" t="str">
        <f t="shared" si="1"/>
        <v/>
      </c>
      <c r="W156" s="102"/>
      <c r="X156" s="102"/>
      <c r="Y156" s="119" t="str">
        <f t="array" ref="Y156">IF(OR($B156="",$D156=""),"",
IFERROR(
  INDEX(
    'Tools &amp; Targets_Guideline'!$C$54:$I$269,
    MATCH(
      1,
      ('Tools &amp; Targets_Guideline'!$A$54:$A$269=$B156)*
      ('Tools &amp; Targets_Guideline'!$B$54:$B$269="GM"),
      0
    ),
    MATCH(
      _xludf.IFNA(
        VLOOKUP($D156,{"PH","Provincial Hospital (H2)";"DH","District Hospital (H3)";"RH","Regional / National Hospital (H1)"},2,0),
        $D156
      ),
      'Tools &amp; Targets_Guideline'!$C$53:$I$53,
      0
    )
  ),
0))</f>
        <v/>
      </c>
      <c r="Z156" s="105"/>
      <c r="AA156" s="119" t="str">
        <f t="array" ref="AA156">IF(OR($B156="",$D156=""),"",
IFERROR(
  INDEX(
    'Tools &amp; Targets_Guideline'!$C$54:$I$269,
    MATCH(
      1,
      ('Tools &amp; Targets_Guideline'!$A$54:$A$269=$B156)*
      ('Tools &amp; Targets_Guideline'!$B$54:$B$269="Penta"),
      0
    ),
    MATCH(
      _xludf.IFNA(
        VLOOKUP($D156,{"PH","Provincial Hospital (H2)";"DH","District Hospital (H3)";"RH","Regional / National Hospital (H1)"},2,0),
        $D156
      ),
      'Tools &amp; Targets_Guideline'!$C$53:$I$53,
      0
    )
  ),
0))</f>
        <v/>
      </c>
      <c r="AB156" s="105"/>
      <c r="AC156" s="119" t="str">
        <f t="array" ref="AC156">IF(OR($B156="",$D156=""),"",
IFERROR(
  INDEX(
    'Tools &amp; Targets_Guideline'!$C$54:$I$269,
    MATCH(
      1,
      ('Tools &amp; Targets_Guideline'!$A$54:$A$269=$B156)*
      ('Tools &amp; Targets_Guideline'!$B$54:$B$269="TB"),
      0
    ),
    MATCH(
      _xludf.IFNA(
        VLOOKUP($D156,{"PH","Provincial Hospital (H2)";"DH","District Hospital (H3)";"RH","Regional / National Hospital (H1)"},2,0),
        $D156
      ),
      'Tools &amp; Targets_Guideline'!$C$53:$I$53,
      0
    )
  ),
0))</f>
        <v/>
      </c>
      <c r="AD156" s="105"/>
      <c r="AE156" s="119" t="str">
        <f t="array" ref="AE156">IF(OR($B156="",$D156=""),"",
IFERROR(
  INDEX(
    'Tools &amp; Targets_Guideline'!$C$54:$I$269,
    MATCH(
      1,
      ('Tools &amp; Targets_Guideline'!$A$54:$A$269=$B156)*
      ('Tools &amp; Targets_Guideline'!$B$54:$B$269="U5 Morbidity"),
      0
    ),
    MATCH(
      _xludf.IFNA(
        VLOOKUP($D156,{"PH","Provincial Hospital (H2)";"DH","District Hospital (H3)";"RH","Regional / National Hospital (H1)"},2,0),
        $D156
      ),
      'Tools &amp; Targets_Guideline'!$C$53:$I$53,
      0
    )
  ),
0))</f>
        <v/>
      </c>
      <c r="AF156" s="105"/>
      <c r="AG156" s="119" t="str">
        <f t="array" ref="AG156">IF(OR($B156="",$D156=""),"",
IFERROR(
  INDEX(
    'Tools &amp; Targets_Guideline'!$C$54:$I$269,
    MATCH(
      1,
      ('Tools &amp; Targets_Guideline'!$A$54:$A$269=$B156)*
      ('Tools &amp; Targets_Guideline'!$B$54:$B$269="C-Section"),
      0
    ),
    MATCH(
      _xludf.IFNA(
        VLOOKUP($D156,{"PH","Provincial Hospital (H2)";"DH","District Hospital (H3)";"RH","Regional / National Hospital (H1)"},2,0),
        $D156
      ),
      'Tools &amp; Targets_Guideline'!$C$53:$I$53,
      0
    )
  ),
0))</f>
        <v/>
      </c>
      <c r="AH156" s="105" t="str">
        <f>IF(A156&lt;&gt;"",COUNTIFS('QA Log'!D:D,A156,'QA Log'!M:M,"QQC",'QA Log'!L:L,"2. Hygiene and Sterilization",'QA Log'!Z:Z,"Approved"),"")</f>
        <v/>
      </c>
      <c r="AI156" s="102"/>
      <c r="AJ156" s="102"/>
      <c r="AK156" s="103" t="str">
        <f t="shared" si="2"/>
        <v/>
      </c>
      <c r="AL156" s="102"/>
      <c r="AM156" s="102"/>
      <c r="AN156" s="102"/>
      <c r="AO156" s="106"/>
      <c r="AP156" s="103"/>
      <c r="AQ156" s="102"/>
      <c r="AR156" s="102"/>
      <c r="AS156" s="102"/>
      <c r="AT156" s="107"/>
      <c r="AU156" s="102" t="str">
        <f t="shared" si="3"/>
        <v/>
      </c>
      <c r="AV156" s="102" t="str">
        <f t="shared" si="4"/>
        <v/>
      </c>
      <c r="AW156" s="102" t="str">
        <f t="shared" si="5"/>
        <v/>
      </c>
      <c r="AX156" s="102" t="str">
        <f t="shared" si="6"/>
        <v/>
      </c>
      <c r="AY156" s="107" t="str">
        <f t="shared" si="7"/>
        <v/>
      </c>
      <c r="AZ156" s="108" t="str">
        <f t="shared" si="8"/>
        <v/>
      </c>
      <c r="BA156" s="108" t="str">
        <f t="shared" si="9"/>
        <v/>
      </c>
      <c r="BB156" s="109" t="str">
        <f t="shared" si="10"/>
        <v/>
      </c>
      <c r="BC156" s="108" t="str">
        <f t="shared" si="11"/>
        <v/>
      </c>
      <c r="BD156" s="108" t="str">
        <f t="shared" si="12"/>
        <v/>
      </c>
      <c r="BE156" s="109" t="str">
        <f t="shared" si="13"/>
        <v/>
      </c>
      <c r="BF156" s="110" t="str">
        <f t="shared" si="14"/>
        <v/>
      </c>
      <c r="BG156" s="111"/>
    </row>
    <row r="157" spans="1:59" ht="12.75">
      <c r="A157" s="101"/>
      <c r="B157" s="102"/>
      <c r="C157" s="102" t="e">
        <f t="array" aca="1" ref="C157" ca="1">_xludf.XLOOKUP(A157,'QA Log'!D:D,'QA Log'!F:F,"")</f>
        <v>#NAME?</v>
      </c>
      <c r="D157" s="102"/>
      <c r="E157" s="102" t="e">
        <f t="array" aca="1" ref="E157" ca="1">_xludf.XLOOKUP(A157,'QA Log'!D:D,'QA Log'!G:G,"")</f>
        <v>#NAME?</v>
      </c>
      <c r="F157" s="103"/>
      <c r="G157" s="104"/>
      <c r="H157" s="104"/>
      <c r="I157" s="103" t="str">
        <f t="shared" si="0"/>
        <v/>
      </c>
      <c r="J157" s="102"/>
      <c r="K157" s="102"/>
      <c r="L157" s="119" t="str">
        <f t="array" ref="L157">IF(OR($B157="",$D157=""),"",
IFERROR(
  INDEX(
    'Tools &amp; Targets_Guideline'!$C$54:$I$269,
    MATCH(
      1,
      ('Tools &amp; Targets_Guideline'!$A$54:$A$269=$B157)*
      ('Tools &amp; Targets_Guideline'!$B$54:$B$269="ANC"),
      0
    ),
    MATCH(
      _xludf.IFNA(
        VLOOKUP($D157,{"PH","Provincial Hospital (H2)";"DH","District Hospital (H3)";"RH","Regional / National Hospital (H1)"},2,0),
        $D157
      ),
      'Tools &amp; Targets_Guideline'!$C$53:$I$53,
      0
    )
  ),
0))</f>
        <v/>
      </c>
      <c r="M157" s="105"/>
      <c r="N157" s="119" t="str">
        <f t="array" ref="N157">IF(OR($B157="",$D157=""),"",
IFERROR(
  INDEX(
    'Tools &amp; Targets_Guideline'!$C$54:$I$269,
    MATCH(
      1,
      ('Tools &amp; Targets_Guideline'!$A$54:$A$269=$B157)*
      ('Tools &amp; Targets_Guideline'!$B$54:$B$269="PNC"),
      0
    ),
    MATCH(
      _xludf.IFNA(
        VLOOKUP($D157,{"PH","Provincial Hospital (H2)";"DH","District Hospital (H3)";"RH","Regional / National Hospital (H1)"},2,0),
        $D157
      ),
      'Tools &amp; Targets_Guideline'!$C$53:$I$53,
      0
    )
  ),
0))</f>
        <v/>
      </c>
      <c r="O157" s="105"/>
      <c r="P157" s="119" t="str">
        <f t="array" ref="P157">IF(OR($B157="",$D157=""),"",
IFERROR(
  INDEX(
    'Tools &amp; Targets_Guideline'!$C$54:$I$269,
    MATCH(
      1,
      ('Tools &amp; Targets_Guideline'!$A$54:$A$269=$B157)*
      ('Tools &amp; Targets_Guideline'!$B$54:$B$269="Delivery"),
      0
    ),
    MATCH(
      _xludf.IFNA(
        VLOOKUP($D157,{"PH","Provincial Hospital (H2)";"DH","District Hospital (H3)";"RH","Regional / National Hospital (H1)"},2,0),
        $D157
      ),
      'Tools &amp; Targets_Guideline'!$C$53:$I$53,
      0
    )
  ),
0))</f>
        <v/>
      </c>
      <c r="Q157" s="105"/>
      <c r="R157" s="119" t="str">
        <f t="array" ref="R157">IF(OR($B157="",$D157=""),"",
IFERROR(
  INDEX(
    'Tools &amp; Targets_Guideline'!$C$54:$I$269,
    MATCH(
      1,
      ('Tools &amp; Targets_Guideline'!$A$54:$A$269=$B157)*
      ('Tools &amp; Targets_Guideline'!$B$54:$B$269="TT"),
      0
    ),
    MATCH(
      _xludf.IFNA(
        VLOOKUP($D157,{"PH","Provincial Hospital (H2)";"DH","District Hospital (H3)";"RH","Regional / National Hospital (H1)"},2,0),
        $D157
      ),
      'Tools &amp; Targets_Guideline'!$C$53:$I$53,
      0
    )
  ),
0))</f>
        <v/>
      </c>
      <c r="S157" s="105"/>
      <c r="T157" s="102"/>
      <c r="U157" s="106"/>
      <c r="V157" s="102" t="str">
        <f t="shared" si="1"/>
        <v/>
      </c>
      <c r="W157" s="102"/>
      <c r="X157" s="102"/>
      <c r="Y157" s="119" t="str">
        <f t="array" ref="Y157">IF(OR($B157="",$D157=""),"",
IFERROR(
  INDEX(
    'Tools &amp; Targets_Guideline'!$C$54:$I$269,
    MATCH(
      1,
      ('Tools &amp; Targets_Guideline'!$A$54:$A$269=$B157)*
      ('Tools &amp; Targets_Guideline'!$B$54:$B$269="GM"),
      0
    ),
    MATCH(
      _xludf.IFNA(
        VLOOKUP($D157,{"PH","Provincial Hospital (H2)";"DH","District Hospital (H3)";"RH","Regional / National Hospital (H1)"},2,0),
        $D157
      ),
      'Tools &amp; Targets_Guideline'!$C$53:$I$53,
      0
    )
  ),
0))</f>
        <v/>
      </c>
      <c r="Z157" s="105"/>
      <c r="AA157" s="119" t="str">
        <f t="array" ref="AA157">IF(OR($B157="",$D157=""),"",
IFERROR(
  INDEX(
    'Tools &amp; Targets_Guideline'!$C$54:$I$269,
    MATCH(
      1,
      ('Tools &amp; Targets_Guideline'!$A$54:$A$269=$B157)*
      ('Tools &amp; Targets_Guideline'!$B$54:$B$269="Penta"),
      0
    ),
    MATCH(
      _xludf.IFNA(
        VLOOKUP($D157,{"PH","Provincial Hospital (H2)";"DH","District Hospital (H3)";"RH","Regional / National Hospital (H1)"},2,0),
        $D157
      ),
      'Tools &amp; Targets_Guideline'!$C$53:$I$53,
      0
    )
  ),
0))</f>
        <v/>
      </c>
      <c r="AB157" s="105"/>
      <c r="AC157" s="119" t="str">
        <f t="array" ref="AC157">IF(OR($B157="",$D157=""),"",
IFERROR(
  INDEX(
    'Tools &amp; Targets_Guideline'!$C$54:$I$269,
    MATCH(
      1,
      ('Tools &amp; Targets_Guideline'!$A$54:$A$269=$B157)*
      ('Tools &amp; Targets_Guideline'!$B$54:$B$269="TB"),
      0
    ),
    MATCH(
      _xludf.IFNA(
        VLOOKUP($D157,{"PH","Provincial Hospital (H2)";"DH","District Hospital (H3)";"RH","Regional / National Hospital (H1)"},2,0),
        $D157
      ),
      'Tools &amp; Targets_Guideline'!$C$53:$I$53,
      0
    )
  ),
0))</f>
        <v/>
      </c>
      <c r="AD157" s="105"/>
      <c r="AE157" s="119" t="str">
        <f t="array" ref="AE157">IF(OR($B157="",$D157=""),"",
IFERROR(
  INDEX(
    'Tools &amp; Targets_Guideline'!$C$54:$I$269,
    MATCH(
      1,
      ('Tools &amp; Targets_Guideline'!$A$54:$A$269=$B157)*
      ('Tools &amp; Targets_Guideline'!$B$54:$B$269="U5 Morbidity"),
      0
    ),
    MATCH(
      _xludf.IFNA(
        VLOOKUP($D157,{"PH","Provincial Hospital (H2)";"DH","District Hospital (H3)";"RH","Regional / National Hospital (H1)"},2,0),
        $D157
      ),
      'Tools &amp; Targets_Guideline'!$C$53:$I$53,
      0
    )
  ),
0))</f>
        <v/>
      </c>
      <c r="AF157" s="105"/>
      <c r="AG157" s="119" t="str">
        <f t="array" ref="AG157">IF(OR($B157="",$D157=""),"",
IFERROR(
  INDEX(
    'Tools &amp; Targets_Guideline'!$C$54:$I$269,
    MATCH(
      1,
      ('Tools &amp; Targets_Guideline'!$A$54:$A$269=$B157)*
      ('Tools &amp; Targets_Guideline'!$B$54:$B$269="C-Section"),
      0
    ),
    MATCH(
      _xludf.IFNA(
        VLOOKUP($D157,{"PH","Provincial Hospital (H2)";"DH","District Hospital (H3)";"RH","Regional / National Hospital (H1)"},2,0),
        $D157
      ),
      'Tools &amp; Targets_Guideline'!$C$53:$I$53,
      0
    )
  ),
0))</f>
        <v/>
      </c>
      <c r="AH157" s="105" t="str">
        <f>IF(A157&lt;&gt;"",COUNTIFS('QA Log'!D:D,A157,'QA Log'!M:M,"QQC",'QA Log'!L:L,"2. Hygiene and Sterilization",'QA Log'!Z:Z,"Approved"),"")</f>
        <v/>
      </c>
      <c r="AI157" s="102"/>
      <c r="AJ157" s="102"/>
      <c r="AK157" s="103" t="str">
        <f t="shared" si="2"/>
        <v/>
      </c>
      <c r="AL157" s="102"/>
      <c r="AM157" s="102"/>
      <c r="AN157" s="102"/>
      <c r="AO157" s="106"/>
      <c r="AP157" s="103"/>
      <c r="AQ157" s="102"/>
      <c r="AR157" s="102"/>
      <c r="AS157" s="102"/>
      <c r="AT157" s="107"/>
      <c r="AU157" s="102" t="str">
        <f t="shared" si="3"/>
        <v/>
      </c>
      <c r="AV157" s="102" t="str">
        <f t="shared" si="4"/>
        <v/>
      </c>
      <c r="AW157" s="102" t="str">
        <f t="shared" si="5"/>
        <v/>
      </c>
      <c r="AX157" s="102" t="str">
        <f t="shared" si="6"/>
        <v/>
      </c>
      <c r="AY157" s="107" t="str">
        <f t="shared" si="7"/>
        <v/>
      </c>
      <c r="AZ157" s="108" t="str">
        <f t="shared" si="8"/>
        <v/>
      </c>
      <c r="BA157" s="108" t="str">
        <f t="shared" si="9"/>
        <v/>
      </c>
      <c r="BB157" s="109" t="str">
        <f t="shared" si="10"/>
        <v/>
      </c>
      <c r="BC157" s="108" t="str">
        <f t="shared" si="11"/>
        <v/>
      </c>
      <c r="BD157" s="108" t="str">
        <f t="shared" si="12"/>
        <v/>
      </c>
      <c r="BE157" s="109" t="str">
        <f t="shared" si="13"/>
        <v/>
      </c>
      <c r="BF157" s="110" t="str">
        <f t="shared" si="14"/>
        <v/>
      </c>
      <c r="BG157" s="111"/>
    </row>
    <row r="158" spans="1:59" ht="12.75">
      <c r="A158" s="101"/>
      <c r="B158" s="102"/>
      <c r="C158" s="102" t="e">
        <f t="array" aca="1" ref="C158" ca="1">_xludf.XLOOKUP(A158,'QA Log'!D:D,'QA Log'!F:F,"")</f>
        <v>#NAME?</v>
      </c>
      <c r="D158" s="102"/>
      <c r="E158" s="102" t="e">
        <f t="array" aca="1" ref="E158" ca="1">_xludf.XLOOKUP(A158,'QA Log'!D:D,'QA Log'!G:G,"")</f>
        <v>#NAME?</v>
      </c>
      <c r="F158" s="103"/>
      <c r="G158" s="104"/>
      <c r="H158" s="104"/>
      <c r="I158" s="103" t="str">
        <f t="shared" si="0"/>
        <v/>
      </c>
      <c r="J158" s="102"/>
      <c r="K158" s="102"/>
      <c r="L158" s="119" t="str">
        <f t="array" ref="L158">IF(OR($B158="",$D158=""),"",
IFERROR(
  INDEX(
    'Tools &amp; Targets_Guideline'!$C$54:$I$269,
    MATCH(
      1,
      ('Tools &amp; Targets_Guideline'!$A$54:$A$269=$B158)*
      ('Tools &amp; Targets_Guideline'!$B$54:$B$269="ANC"),
      0
    ),
    MATCH(
      _xludf.IFNA(
        VLOOKUP($D158,{"PH","Provincial Hospital (H2)";"DH","District Hospital (H3)";"RH","Regional / National Hospital (H1)"},2,0),
        $D158
      ),
      'Tools &amp; Targets_Guideline'!$C$53:$I$53,
      0
    )
  ),
0))</f>
        <v/>
      </c>
      <c r="M158" s="105"/>
      <c r="N158" s="119" t="str">
        <f t="array" ref="N158">IF(OR($B158="",$D158=""),"",
IFERROR(
  INDEX(
    'Tools &amp; Targets_Guideline'!$C$54:$I$269,
    MATCH(
      1,
      ('Tools &amp; Targets_Guideline'!$A$54:$A$269=$B158)*
      ('Tools &amp; Targets_Guideline'!$B$54:$B$269="PNC"),
      0
    ),
    MATCH(
      _xludf.IFNA(
        VLOOKUP($D158,{"PH","Provincial Hospital (H2)";"DH","District Hospital (H3)";"RH","Regional / National Hospital (H1)"},2,0),
        $D158
      ),
      'Tools &amp; Targets_Guideline'!$C$53:$I$53,
      0
    )
  ),
0))</f>
        <v/>
      </c>
      <c r="O158" s="105"/>
      <c r="P158" s="119" t="str">
        <f t="array" ref="P158">IF(OR($B158="",$D158=""),"",
IFERROR(
  INDEX(
    'Tools &amp; Targets_Guideline'!$C$54:$I$269,
    MATCH(
      1,
      ('Tools &amp; Targets_Guideline'!$A$54:$A$269=$B158)*
      ('Tools &amp; Targets_Guideline'!$B$54:$B$269="Delivery"),
      0
    ),
    MATCH(
      _xludf.IFNA(
        VLOOKUP($D158,{"PH","Provincial Hospital (H2)";"DH","District Hospital (H3)";"RH","Regional / National Hospital (H1)"},2,0),
        $D158
      ),
      'Tools &amp; Targets_Guideline'!$C$53:$I$53,
      0
    )
  ),
0))</f>
        <v/>
      </c>
      <c r="Q158" s="105"/>
      <c r="R158" s="119" t="str">
        <f t="array" ref="R158">IF(OR($B158="",$D158=""),"",
IFERROR(
  INDEX(
    'Tools &amp; Targets_Guideline'!$C$54:$I$269,
    MATCH(
      1,
      ('Tools &amp; Targets_Guideline'!$A$54:$A$269=$B158)*
      ('Tools &amp; Targets_Guideline'!$B$54:$B$269="TT"),
      0
    ),
    MATCH(
      _xludf.IFNA(
        VLOOKUP($D158,{"PH","Provincial Hospital (H2)";"DH","District Hospital (H3)";"RH","Regional / National Hospital (H1)"},2,0),
        $D158
      ),
      'Tools &amp; Targets_Guideline'!$C$53:$I$53,
      0
    )
  ),
0))</f>
        <v/>
      </c>
      <c r="S158" s="105"/>
      <c r="T158" s="102"/>
      <c r="U158" s="106"/>
      <c r="V158" s="102" t="str">
        <f t="shared" si="1"/>
        <v/>
      </c>
      <c r="W158" s="102"/>
      <c r="X158" s="102"/>
      <c r="Y158" s="119" t="str">
        <f t="array" ref="Y158">IF(OR($B158="",$D158=""),"",
IFERROR(
  INDEX(
    'Tools &amp; Targets_Guideline'!$C$54:$I$269,
    MATCH(
      1,
      ('Tools &amp; Targets_Guideline'!$A$54:$A$269=$B158)*
      ('Tools &amp; Targets_Guideline'!$B$54:$B$269="GM"),
      0
    ),
    MATCH(
      _xludf.IFNA(
        VLOOKUP($D158,{"PH","Provincial Hospital (H2)";"DH","District Hospital (H3)";"RH","Regional / National Hospital (H1)"},2,0),
        $D158
      ),
      'Tools &amp; Targets_Guideline'!$C$53:$I$53,
      0
    )
  ),
0))</f>
        <v/>
      </c>
      <c r="Z158" s="105"/>
      <c r="AA158" s="119" t="str">
        <f t="array" ref="AA158">IF(OR($B158="",$D158=""),"",
IFERROR(
  INDEX(
    'Tools &amp; Targets_Guideline'!$C$54:$I$269,
    MATCH(
      1,
      ('Tools &amp; Targets_Guideline'!$A$54:$A$269=$B158)*
      ('Tools &amp; Targets_Guideline'!$B$54:$B$269="Penta"),
      0
    ),
    MATCH(
      _xludf.IFNA(
        VLOOKUP($D158,{"PH","Provincial Hospital (H2)";"DH","District Hospital (H3)";"RH","Regional / National Hospital (H1)"},2,0),
        $D158
      ),
      'Tools &amp; Targets_Guideline'!$C$53:$I$53,
      0
    )
  ),
0))</f>
        <v/>
      </c>
      <c r="AB158" s="105"/>
      <c r="AC158" s="119" t="str">
        <f t="array" ref="AC158">IF(OR($B158="",$D158=""),"",
IFERROR(
  INDEX(
    'Tools &amp; Targets_Guideline'!$C$54:$I$269,
    MATCH(
      1,
      ('Tools &amp; Targets_Guideline'!$A$54:$A$269=$B158)*
      ('Tools &amp; Targets_Guideline'!$B$54:$B$269="TB"),
      0
    ),
    MATCH(
      _xludf.IFNA(
        VLOOKUP($D158,{"PH","Provincial Hospital (H2)";"DH","District Hospital (H3)";"RH","Regional / National Hospital (H1)"},2,0),
        $D158
      ),
      'Tools &amp; Targets_Guideline'!$C$53:$I$53,
      0
    )
  ),
0))</f>
        <v/>
      </c>
      <c r="AD158" s="105"/>
      <c r="AE158" s="119" t="str">
        <f t="array" ref="AE158">IF(OR($B158="",$D158=""),"",
IFERROR(
  INDEX(
    'Tools &amp; Targets_Guideline'!$C$54:$I$269,
    MATCH(
      1,
      ('Tools &amp; Targets_Guideline'!$A$54:$A$269=$B158)*
      ('Tools &amp; Targets_Guideline'!$B$54:$B$269="U5 Morbidity"),
      0
    ),
    MATCH(
      _xludf.IFNA(
        VLOOKUP($D158,{"PH","Provincial Hospital (H2)";"DH","District Hospital (H3)";"RH","Regional / National Hospital (H1)"},2,0),
        $D158
      ),
      'Tools &amp; Targets_Guideline'!$C$53:$I$53,
      0
    )
  ),
0))</f>
        <v/>
      </c>
      <c r="AF158" s="105"/>
      <c r="AG158" s="119" t="str">
        <f t="array" ref="AG158">IF(OR($B158="",$D158=""),"",
IFERROR(
  INDEX(
    'Tools &amp; Targets_Guideline'!$C$54:$I$269,
    MATCH(
      1,
      ('Tools &amp; Targets_Guideline'!$A$54:$A$269=$B158)*
      ('Tools &amp; Targets_Guideline'!$B$54:$B$269="C-Section"),
      0
    ),
    MATCH(
      _xludf.IFNA(
        VLOOKUP($D158,{"PH","Provincial Hospital (H2)";"DH","District Hospital (H3)";"RH","Regional / National Hospital (H1)"},2,0),
        $D158
      ),
      'Tools &amp; Targets_Guideline'!$C$53:$I$53,
      0
    )
  ),
0))</f>
        <v/>
      </c>
      <c r="AH158" s="105" t="str">
        <f>IF(A158&lt;&gt;"",COUNTIFS('QA Log'!D:D,A158,'QA Log'!M:M,"QQC",'QA Log'!L:L,"2. Hygiene and Sterilization",'QA Log'!Z:Z,"Approved"),"")</f>
        <v/>
      </c>
      <c r="AI158" s="102"/>
      <c r="AJ158" s="102"/>
      <c r="AK158" s="103" t="str">
        <f t="shared" si="2"/>
        <v/>
      </c>
      <c r="AL158" s="102"/>
      <c r="AM158" s="102"/>
      <c r="AN158" s="102"/>
      <c r="AO158" s="106"/>
      <c r="AP158" s="103"/>
      <c r="AQ158" s="102"/>
      <c r="AR158" s="102"/>
      <c r="AS158" s="102"/>
      <c r="AT158" s="107"/>
      <c r="AU158" s="102" t="str">
        <f t="shared" si="3"/>
        <v/>
      </c>
      <c r="AV158" s="102" t="str">
        <f t="shared" si="4"/>
        <v/>
      </c>
      <c r="AW158" s="102" t="str">
        <f t="shared" si="5"/>
        <v/>
      </c>
      <c r="AX158" s="102" t="str">
        <f t="shared" si="6"/>
        <v/>
      </c>
      <c r="AY158" s="107" t="str">
        <f t="shared" si="7"/>
        <v/>
      </c>
      <c r="AZ158" s="108" t="str">
        <f t="shared" si="8"/>
        <v/>
      </c>
      <c r="BA158" s="108" t="str">
        <f t="shared" si="9"/>
        <v/>
      </c>
      <c r="BB158" s="109" t="str">
        <f t="shared" si="10"/>
        <v/>
      </c>
      <c r="BC158" s="108" t="str">
        <f t="shared" si="11"/>
        <v/>
      </c>
      <c r="BD158" s="108" t="str">
        <f t="shared" si="12"/>
        <v/>
      </c>
      <c r="BE158" s="109" t="str">
        <f t="shared" si="13"/>
        <v/>
      </c>
      <c r="BF158" s="110" t="str">
        <f t="shared" si="14"/>
        <v/>
      </c>
      <c r="BG158" s="111"/>
    </row>
    <row r="159" spans="1:59" ht="12.75">
      <c r="A159" s="101"/>
      <c r="B159" s="102"/>
      <c r="C159" s="102" t="e">
        <f t="array" aca="1" ref="C159" ca="1">_xludf.XLOOKUP(A159,'QA Log'!D:D,'QA Log'!F:F,"")</f>
        <v>#NAME?</v>
      </c>
      <c r="D159" s="102"/>
      <c r="E159" s="102" t="e">
        <f t="array" aca="1" ref="E159" ca="1">_xludf.XLOOKUP(A159,'QA Log'!D:D,'QA Log'!G:G,"")</f>
        <v>#NAME?</v>
      </c>
      <c r="F159" s="103"/>
      <c r="G159" s="104"/>
      <c r="H159" s="104"/>
      <c r="I159" s="103" t="str">
        <f t="shared" si="0"/>
        <v/>
      </c>
      <c r="J159" s="102"/>
      <c r="K159" s="102"/>
      <c r="L159" s="119" t="str">
        <f t="array" ref="L159">IF(OR($B159="",$D159=""),"",
IFERROR(
  INDEX(
    'Tools &amp; Targets_Guideline'!$C$54:$I$269,
    MATCH(
      1,
      ('Tools &amp; Targets_Guideline'!$A$54:$A$269=$B159)*
      ('Tools &amp; Targets_Guideline'!$B$54:$B$269="ANC"),
      0
    ),
    MATCH(
      _xludf.IFNA(
        VLOOKUP($D159,{"PH","Provincial Hospital (H2)";"DH","District Hospital (H3)";"RH","Regional / National Hospital (H1)"},2,0),
        $D159
      ),
      'Tools &amp; Targets_Guideline'!$C$53:$I$53,
      0
    )
  ),
0))</f>
        <v/>
      </c>
      <c r="M159" s="105"/>
      <c r="N159" s="119" t="str">
        <f t="array" ref="N159">IF(OR($B159="",$D159=""),"",
IFERROR(
  INDEX(
    'Tools &amp; Targets_Guideline'!$C$54:$I$269,
    MATCH(
      1,
      ('Tools &amp; Targets_Guideline'!$A$54:$A$269=$B159)*
      ('Tools &amp; Targets_Guideline'!$B$54:$B$269="PNC"),
      0
    ),
    MATCH(
      _xludf.IFNA(
        VLOOKUP($D159,{"PH","Provincial Hospital (H2)";"DH","District Hospital (H3)";"RH","Regional / National Hospital (H1)"},2,0),
        $D159
      ),
      'Tools &amp; Targets_Guideline'!$C$53:$I$53,
      0
    )
  ),
0))</f>
        <v/>
      </c>
      <c r="O159" s="105"/>
      <c r="P159" s="119" t="str">
        <f t="array" ref="P159">IF(OR($B159="",$D159=""),"",
IFERROR(
  INDEX(
    'Tools &amp; Targets_Guideline'!$C$54:$I$269,
    MATCH(
      1,
      ('Tools &amp; Targets_Guideline'!$A$54:$A$269=$B159)*
      ('Tools &amp; Targets_Guideline'!$B$54:$B$269="Delivery"),
      0
    ),
    MATCH(
      _xludf.IFNA(
        VLOOKUP($D159,{"PH","Provincial Hospital (H2)";"DH","District Hospital (H3)";"RH","Regional / National Hospital (H1)"},2,0),
        $D159
      ),
      'Tools &amp; Targets_Guideline'!$C$53:$I$53,
      0
    )
  ),
0))</f>
        <v/>
      </c>
      <c r="Q159" s="105"/>
      <c r="R159" s="119" t="str">
        <f t="array" ref="R159">IF(OR($B159="",$D159=""),"",
IFERROR(
  INDEX(
    'Tools &amp; Targets_Guideline'!$C$54:$I$269,
    MATCH(
      1,
      ('Tools &amp; Targets_Guideline'!$A$54:$A$269=$B159)*
      ('Tools &amp; Targets_Guideline'!$B$54:$B$269="TT"),
      0
    ),
    MATCH(
      _xludf.IFNA(
        VLOOKUP($D159,{"PH","Provincial Hospital (H2)";"DH","District Hospital (H3)";"RH","Regional / National Hospital (H1)"},2,0),
        $D159
      ),
      'Tools &amp; Targets_Guideline'!$C$53:$I$53,
      0
    )
  ),
0))</f>
        <v/>
      </c>
      <c r="S159" s="105"/>
      <c r="T159" s="102"/>
      <c r="U159" s="106"/>
      <c r="V159" s="102" t="str">
        <f t="shared" si="1"/>
        <v/>
      </c>
      <c r="W159" s="102"/>
      <c r="X159" s="102"/>
      <c r="Y159" s="119" t="str">
        <f t="array" ref="Y159">IF(OR($B159="",$D159=""),"",
IFERROR(
  INDEX(
    'Tools &amp; Targets_Guideline'!$C$54:$I$269,
    MATCH(
      1,
      ('Tools &amp; Targets_Guideline'!$A$54:$A$269=$B159)*
      ('Tools &amp; Targets_Guideline'!$B$54:$B$269="GM"),
      0
    ),
    MATCH(
      _xludf.IFNA(
        VLOOKUP($D159,{"PH","Provincial Hospital (H2)";"DH","District Hospital (H3)";"RH","Regional / National Hospital (H1)"},2,0),
        $D159
      ),
      'Tools &amp; Targets_Guideline'!$C$53:$I$53,
      0
    )
  ),
0))</f>
        <v/>
      </c>
      <c r="Z159" s="105"/>
      <c r="AA159" s="119" t="str">
        <f t="array" ref="AA159">IF(OR($B159="",$D159=""),"",
IFERROR(
  INDEX(
    'Tools &amp; Targets_Guideline'!$C$54:$I$269,
    MATCH(
      1,
      ('Tools &amp; Targets_Guideline'!$A$54:$A$269=$B159)*
      ('Tools &amp; Targets_Guideline'!$B$54:$B$269="Penta"),
      0
    ),
    MATCH(
      _xludf.IFNA(
        VLOOKUP($D159,{"PH","Provincial Hospital (H2)";"DH","District Hospital (H3)";"RH","Regional / National Hospital (H1)"},2,0),
        $D159
      ),
      'Tools &amp; Targets_Guideline'!$C$53:$I$53,
      0
    )
  ),
0))</f>
        <v/>
      </c>
      <c r="AB159" s="105"/>
      <c r="AC159" s="119" t="str">
        <f t="array" ref="AC159">IF(OR($B159="",$D159=""),"",
IFERROR(
  INDEX(
    'Tools &amp; Targets_Guideline'!$C$54:$I$269,
    MATCH(
      1,
      ('Tools &amp; Targets_Guideline'!$A$54:$A$269=$B159)*
      ('Tools &amp; Targets_Guideline'!$B$54:$B$269="TB"),
      0
    ),
    MATCH(
      _xludf.IFNA(
        VLOOKUP($D159,{"PH","Provincial Hospital (H2)";"DH","District Hospital (H3)";"RH","Regional / National Hospital (H1)"},2,0),
        $D159
      ),
      'Tools &amp; Targets_Guideline'!$C$53:$I$53,
      0
    )
  ),
0))</f>
        <v/>
      </c>
      <c r="AD159" s="105"/>
      <c r="AE159" s="119" t="str">
        <f t="array" ref="AE159">IF(OR($B159="",$D159=""),"",
IFERROR(
  INDEX(
    'Tools &amp; Targets_Guideline'!$C$54:$I$269,
    MATCH(
      1,
      ('Tools &amp; Targets_Guideline'!$A$54:$A$269=$B159)*
      ('Tools &amp; Targets_Guideline'!$B$54:$B$269="U5 Morbidity"),
      0
    ),
    MATCH(
      _xludf.IFNA(
        VLOOKUP($D159,{"PH","Provincial Hospital (H2)";"DH","District Hospital (H3)";"RH","Regional / National Hospital (H1)"},2,0),
        $D159
      ),
      'Tools &amp; Targets_Guideline'!$C$53:$I$53,
      0
    )
  ),
0))</f>
        <v/>
      </c>
      <c r="AF159" s="105"/>
      <c r="AG159" s="119" t="str">
        <f t="array" ref="AG159">IF(OR($B159="",$D159=""),"",
IFERROR(
  INDEX(
    'Tools &amp; Targets_Guideline'!$C$54:$I$269,
    MATCH(
      1,
      ('Tools &amp; Targets_Guideline'!$A$54:$A$269=$B159)*
      ('Tools &amp; Targets_Guideline'!$B$54:$B$269="C-Section"),
      0
    ),
    MATCH(
      _xludf.IFNA(
        VLOOKUP($D159,{"PH","Provincial Hospital (H2)";"DH","District Hospital (H3)";"RH","Regional / National Hospital (H1)"},2,0),
        $D159
      ),
      'Tools &amp; Targets_Guideline'!$C$53:$I$53,
      0
    )
  ),
0))</f>
        <v/>
      </c>
      <c r="AH159" s="105" t="str">
        <f>IF(A159&lt;&gt;"",COUNTIFS('QA Log'!D:D,A159,'QA Log'!M:M,"QQC",'QA Log'!L:L,"2. Hygiene and Sterilization",'QA Log'!Z:Z,"Approved"),"")</f>
        <v/>
      </c>
      <c r="AI159" s="102"/>
      <c r="AJ159" s="102"/>
      <c r="AK159" s="103" t="str">
        <f t="shared" si="2"/>
        <v/>
      </c>
      <c r="AL159" s="102"/>
      <c r="AM159" s="102"/>
      <c r="AN159" s="102"/>
      <c r="AO159" s="106"/>
      <c r="AP159" s="103"/>
      <c r="AQ159" s="102"/>
      <c r="AR159" s="102"/>
      <c r="AS159" s="102"/>
      <c r="AT159" s="107"/>
      <c r="AU159" s="102" t="str">
        <f t="shared" si="3"/>
        <v/>
      </c>
      <c r="AV159" s="102" t="str">
        <f t="shared" si="4"/>
        <v/>
      </c>
      <c r="AW159" s="102" t="str">
        <f t="shared" si="5"/>
        <v/>
      </c>
      <c r="AX159" s="102" t="str">
        <f t="shared" si="6"/>
        <v/>
      </c>
      <c r="AY159" s="107" t="str">
        <f t="shared" si="7"/>
        <v/>
      </c>
      <c r="AZ159" s="108" t="str">
        <f t="shared" si="8"/>
        <v/>
      </c>
      <c r="BA159" s="108" t="str">
        <f t="shared" si="9"/>
        <v/>
      </c>
      <c r="BB159" s="109" t="str">
        <f t="shared" si="10"/>
        <v/>
      </c>
      <c r="BC159" s="108" t="str">
        <f t="shared" si="11"/>
        <v/>
      </c>
      <c r="BD159" s="108" t="str">
        <f t="shared" si="12"/>
        <v/>
      </c>
      <c r="BE159" s="109" t="str">
        <f t="shared" si="13"/>
        <v/>
      </c>
      <c r="BF159" s="110" t="str">
        <f t="shared" si="14"/>
        <v/>
      </c>
      <c r="BG159" s="111"/>
    </row>
    <row r="160" spans="1:59" ht="12.75">
      <c r="A160" s="101"/>
      <c r="B160" s="102"/>
      <c r="C160" s="102" t="e">
        <f t="array" aca="1" ref="C160" ca="1">_xludf.XLOOKUP(A160,'QA Log'!D:D,'QA Log'!F:F,"")</f>
        <v>#NAME?</v>
      </c>
      <c r="D160" s="102"/>
      <c r="E160" s="102" t="e">
        <f t="array" aca="1" ref="E160" ca="1">_xludf.XLOOKUP(A160,'QA Log'!D:D,'QA Log'!G:G,"")</f>
        <v>#NAME?</v>
      </c>
      <c r="F160" s="103"/>
      <c r="G160" s="104"/>
      <c r="H160" s="104"/>
      <c r="I160" s="103" t="str">
        <f t="shared" si="0"/>
        <v/>
      </c>
      <c r="J160" s="102"/>
      <c r="K160" s="102"/>
      <c r="L160" s="119" t="str">
        <f t="array" ref="L160">IF(OR($B160="",$D160=""),"",
IFERROR(
  INDEX(
    'Tools &amp; Targets_Guideline'!$C$54:$I$269,
    MATCH(
      1,
      ('Tools &amp; Targets_Guideline'!$A$54:$A$269=$B160)*
      ('Tools &amp; Targets_Guideline'!$B$54:$B$269="ANC"),
      0
    ),
    MATCH(
      _xludf.IFNA(
        VLOOKUP($D160,{"PH","Provincial Hospital (H2)";"DH","District Hospital (H3)";"RH","Regional / National Hospital (H1)"},2,0),
        $D160
      ),
      'Tools &amp; Targets_Guideline'!$C$53:$I$53,
      0
    )
  ),
0))</f>
        <v/>
      </c>
      <c r="M160" s="105"/>
      <c r="N160" s="119" t="str">
        <f t="array" ref="N160">IF(OR($B160="",$D160=""),"",
IFERROR(
  INDEX(
    'Tools &amp; Targets_Guideline'!$C$54:$I$269,
    MATCH(
      1,
      ('Tools &amp; Targets_Guideline'!$A$54:$A$269=$B160)*
      ('Tools &amp; Targets_Guideline'!$B$54:$B$269="PNC"),
      0
    ),
    MATCH(
      _xludf.IFNA(
        VLOOKUP($D160,{"PH","Provincial Hospital (H2)";"DH","District Hospital (H3)";"RH","Regional / National Hospital (H1)"},2,0),
        $D160
      ),
      'Tools &amp; Targets_Guideline'!$C$53:$I$53,
      0
    )
  ),
0))</f>
        <v/>
      </c>
      <c r="O160" s="105"/>
      <c r="P160" s="119" t="str">
        <f t="array" ref="P160">IF(OR($B160="",$D160=""),"",
IFERROR(
  INDEX(
    'Tools &amp; Targets_Guideline'!$C$54:$I$269,
    MATCH(
      1,
      ('Tools &amp; Targets_Guideline'!$A$54:$A$269=$B160)*
      ('Tools &amp; Targets_Guideline'!$B$54:$B$269="Delivery"),
      0
    ),
    MATCH(
      _xludf.IFNA(
        VLOOKUP($D160,{"PH","Provincial Hospital (H2)";"DH","District Hospital (H3)";"RH","Regional / National Hospital (H1)"},2,0),
        $D160
      ),
      'Tools &amp; Targets_Guideline'!$C$53:$I$53,
      0
    )
  ),
0))</f>
        <v/>
      </c>
      <c r="Q160" s="105"/>
      <c r="R160" s="119" t="str">
        <f t="array" ref="R160">IF(OR($B160="",$D160=""),"",
IFERROR(
  INDEX(
    'Tools &amp; Targets_Guideline'!$C$54:$I$269,
    MATCH(
      1,
      ('Tools &amp; Targets_Guideline'!$A$54:$A$269=$B160)*
      ('Tools &amp; Targets_Guideline'!$B$54:$B$269="TT"),
      0
    ),
    MATCH(
      _xludf.IFNA(
        VLOOKUP($D160,{"PH","Provincial Hospital (H2)";"DH","District Hospital (H3)";"RH","Regional / National Hospital (H1)"},2,0),
        $D160
      ),
      'Tools &amp; Targets_Guideline'!$C$53:$I$53,
      0
    )
  ),
0))</f>
        <v/>
      </c>
      <c r="S160" s="105"/>
      <c r="T160" s="102"/>
      <c r="U160" s="106"/>
      <c r="V160" s="102" t="str">
        <f t="shared" si="1"/>
        <v/>
      </c>
      <c r="W160" s="102"/>
      <c r="X160" s="102"/>
      <c r="Y160" s="119" t="str">
        <f t="array" ref="Y160">IF(OR($B160="",$D160=""),"",
IFERROR(
  INDEX(
    'Tools &amp; Targets_Guideline'!$C$54:$I$269,
    MATCH(
      1,
      ('Tools &amp; Targets_Guideline'!$A$54:$A$269=$B160)*
      ('Tools &amp; Targets_Guideline'!$B$54:$B$269="GM"),
      0
    ),
    MATCH(
      _xludf.IFNA(
        VLOOKUP($D160,{"PH","Provincial Hospital (H2)";"DH","District Hospital (H3)";"RH","Regional / National Hospital (H1)"},2,0),
        $D160
      ),
      'Tools &amp; Targets_Guideline'!$C$53:$I$53,
      0
    )
  ),
0))</f>
        <v/>
      </c>
      <c r="Z160" s="105"/>
      <c r="AA160" s="119" t="str">
        <f t="array" ref="AA160">IF(OR($B160="",$D160=""),"",
IFERROR(
  INDEX(
    'Tools &amp; Targets_Guideline'!$C$54:$I$269,
    MATCH(
      1,
      ('Tools &amp; Targets_Guideline'!$A$54:$A$269=$B160)*
      ('Tools &amp; Targets_Guideline'!$B$54:$B$269="Penta"),
      0
    ),
    MATCH(
      _xludf.IFNA(
        VLOOKUP($D160,{"PH","Provincial Hospital (H2)";"DH","District Hospital (H3)";"RH","Regional / National Hospital (H1)"},2,0),
        $D160
      ),
      'Tools &amp; Targets_Guideline'!$C$53:$I$53,
      0
    )
  ),
0))</f>
        <v/>
      </c>
      <c r="AB160" s="105"/>
      <c r="AC160" s="119" t="str">
        <f t="array" ref="AC160">IF(OR($B160="",$D160=""),"",
IFERROR(
  INDEX(
    'Tools &amp; Targets_Guideline'!$C$54:$I$269,
    MATCH(
      1,
      ('Tools &amp; Targets_Guideline'!$A$54:$A$269=$B160)*
      ('Tools &amp; Targets_Guideline'!$B$54:$B$269="TB"),
      0
    ),
    MATCH(
      _xludf.IFNA(
        VLOOKUP($D160,{"PH","Provincial Hospital (H2)";"DH","District Hospital (H3)";"RH","Regional / National Hospital (H1)"},2,0),
        $D160
      ),
      'Tools &amp; Targets_Guideline'!$C$53:$I$53,
      0
    )
  ),
0))</f>
        <v/>
      </c>
      <c r="AD160" s="105"/>
      <c r="AE160" s="119" t="str">
        <f t="array" ref="AE160">IF(OR($B160="",$D160=""),"",
IFERROR(
  INDEX(
    'Tools &amp; Targets_Guideline'!$C$54:$I$269,
    MATCH(
      1,
      ('Tools &amp; Targets_Guideline'!$A$54:$A$269=$B160)*
      ('Tools &amp; Targets_Guideline'!$B$54:$B$269="U5 Morbidity"),
      0
    ),
    MATCH(
      _xludf.IFNA(
        VLOOKUP($D160,{"PH","Provincial Hospital (H2)";"DH","District Hospital (H3)";"RH","Regional / National Hospital (H1)"},2,0),
        $D160
      ),
      'Tools &amp; Targets_Guideline'!$C$53:$I$53,
      0
    )
  ),
0))</f>
        <v/>
      </c>
      <c r="AF160" s="105"/>
      <c r="AG160" s="119" t="str">
        <f t="array" ref="AG160">IF(OR($B160="",$D160=""),"",
IFERROR(
  INDEX(
    'Tools &amp; Targets_Guideline'!$C$54:$I$269,
    MATCH(
      1,
      ('Tools &amp; Targets_Guideline'!$A$54:$A$269=$B160)*
      ('Tools &amp; Targets_Guideline'!$B$54:$B$269="C-Section"),
      0
    ),
    MATCH(
      _xludf.IFNA(
        VLOOKUP($D160,{"PH","Provincial Hospital (H2)";"DH","District Hospital (H3)";"RH","Regional / National Hospital (H1)"},2,0),
        $D160
      ),
      'Tools &amp; Targets_Guideline'!$C$53:$I$53,
      0
    )
  ),
0))</f>
        <v/>
      </c>
      <c r="AH160" s="105" t="str">
        <f>IF(A160&lt;&gt;"",COUNTIFS('QA Log'!D:D,A160,'QA Log'!M:M,"QQC",'QA Log'!L:L,"2. Hygiene and Sterilization",'QA Log'!Z:Z,"Approved"),"")</f>
        <v/>
      </c>
      <c r="AI160" s="102"/>
      <c r="AJ160" s="102"/>
      <c r="AK160" s="103" t="str">
        <f t="shared" si="2"/>
        <v/>
      </c>
      <c r="AL160" s="102"/>
      <c r="AM160" s="102"/>
      <c r="AN160" s="102"/>
      <c r="AO160" s="106"/>
      <c r="AP160" s="103"/>
      <c r="AQ160" s="102"/>
      <c r="AR160" s="102"/>
      <c r="AS160" s="102"/>
      <c r="AT160" s="107"/>
      <c r="AU160" s="102" t="str">
        <f t="shared" si="3"/>
        <v/>
      </c>
      <c r="AV160" s="102" t="str">
        <f t="shared" si="4"/>
        <v/>
      </c>
      <c r="AW160" s="102" t="str">
        <f t="shared" si="5"/>
        <v/>
      </c>
      <c r="AX160" s="102" t="str">
        <f t="shared" si="6"/>
        <v/>
      </c>
      <c r="AY160" s="107" t="str">
        <f t="shared" si="7"/>
        <v/>
      </c>
      <c r="AZ160" s="108" t="str">
        <f t="shared" si="8"/>
        <v/>
      </c>
      <c r="BA160" s="108" t="str">
        <f t="shared" si="9"/>
        <v/>
      </c>
      <c r="BB160" s="109" t="str">
        <f t="shared" si="10"/>
        <v/>
      </c>
      <c r="BC160" s="108" t="str">
        <f t="shared" si="11"/>
        <v/>
      </c>
      <c r="BD160" s="108" t="str">
        <f t="shared" si="12"/>
        <v/>
      </c>
      <c r="BE160" s="109" t="str">
        <f t="shared" si="13"/>
        <v/>
      </c>
      <c r="BF160" s="110" t="str">
        <f t="shared" si="14"/>
        <v/>
      </c>
      <c r="BG160" s="111"/>
    </row>
    <row r="161" spans="1:59" ht="12.75">
      <c r="A161" s="101"/>
      <c r="B161" s="102"/>
      <c r="C161" s="102" t="e">
        <f t="array" aca="1" ref="C161" ca="1">_xludf.XLOOKUP(A161,'QA Log'!D:D,'QA Log'!F:F,"")</f>
        <v>#NAME?</v>
      </c>
      <c r="D161" s="102"/>
      <c r="E161" s="102" t="e">
        <f t="array" aca="1" ref="E161" ca="1">_xludf.XLOOKUP(A161,'QA Log'!D:D,'QA Log'!G:G,"")</f>
        <v>#NAME?</v>
      </c>
      <c r="F161" s="103"/>
      <c r="G161" s="104"/>
      <c r="H161" s="104"/>
      <c r="I161" s="103" t="str">
        <f t="shared" si="0"/>
        <v/>
      </c>
      <c r="J161" s="102"/>
      <c r="K161" s="102"/>
      <c r="L161" s="119" t="str">
        <f t="array" ref="L161">IF(OR($B161="",$D161=""),"",
IFERROR(
  INDEX(
    'Tools &amp; Targets_Guideline'!$C$54:$I$269,
    MATCH(
      1,
      ('Tools &amp; Targets_Guideline'!$A$54:$A$269=$B161)*
      ('Tools &amp; Targets_Guideline'!$B$54:$B$269="ANC"),
      0
    ),
    MATCH(
      _xludf.IFNA(
        VLOOKUP($D161,{"PH","Provincial Hospital (H2)";"DH","District Hospital (H3)";"RH","Regional / National Hospital (H1)"},2,0),
        $D161
      ),
      'Tools &amp; Targets_Guideline'!$C$53:$I$53,
      0
    )
  ),
0))</f>
        <v/>
      </c>
      <c r="M161" s="105"/>
      <c r="N161" s="119" t="str">
        <f t="array" ref="N161">IF(OR($B161="",$D161=""),"",
IFERROR(
  INDEX(
    'Tools &amp; Targets_Guideline'!$C$54:$I$269,
    MATCH(
      1,
      ('Tools &amp; Targets_Guideline'!$A$54:$A$269=$B161)*
      ('Tools &amp; Targets_Guideline'!$B$54:$B$269="PNC"),
      0
    ),
    MATCH(
      _xludf.IFNA(
        VLOOKUP($D161,{"PH","Provincial Hospital (H2)";"DH","District Hospital (H3)";"RH","Regional / National Hospital (H1)"},2,0),
        $D161
      ),
      'Tools &amp; Targets_Guideline'!$C$53:$I$53,
      0
    )
  ),
0))</f>
        <v/>
      </c>
      <c r="O161" s="105"/>
      <c r="P161" s="119" t="str">
        <f t="array" ref="P161">IF(OR($B161="",$D161=""),"",
IFERROR(
  INDEX(
    'Tools &amp; Targets_Guideline'!$C$54:$I$269,
    MATCH(
      1,
      ('Tools &amp; Targets_Guideline'!$A$54:$A$269=$B161)*
      ('Tools &amp; Targets_Guideline'!$B$54:$B$269="Delivery"),
      0
    ),
    MATCH(
      _xludf.IFNA(
        VLOOKUP($D161,{"PH","Provincial Hospital (H2)";"DH","District Hospital (H3)";"RH","Regional / National Hospital (H1)"},2,0),
        $D161
      ),
      'Tools &amp; Targets_Guideline'!$C$53:$I$53,
      0
    )
  ),
0))</f>
        <v/>
      </c>
      <c r="Q161" s="105"/>
      <c r="R161" s="119" t="str">
        <f t="array" ref="R161">IF(OR($B161="",$D161=""),"",
IFERROR(
  INDEX(
    'Tools &amp; Targets_Guideline'!$C$54:$I$269,
    MATCH(
      1,
      ('Tools &amp; Targets_Guideline'!$A$54:$A$269=$B161)*
      ('Tools &amp; Targets_Guideline'!$B$54:$B$269="TT"),
      0
    ),
    MATCH(
      _xludf.IFNA(
        VLOOKUP($D161,{"PH","Provincial Hospital (H2)";"DH","District Hospital (H3)";"RH","Regional / National Hospital (H1)"},2,0),
        $D161
      ),
      'Tools &amp; Targets_Guideline'!$C$53:$I$53,
      0
    )
  ),
0))</f>
        <v/>
      </c>
      <c r="S161" s="105"/>
      <c r="T161" s="102"/>
      <c r="U161" s="106"/>
      <c r="V161" s="102" t="str">
        <f t="shared" si="1"/>
        <v/>
      </c>
      <c r="W161" s="102"/>
      <c r="X161" s="102"/>
      <c r="Y161" s="119" t="str">
        <f t="array" ref="Y161">IF(OR($B161="",$D161=""),"",
IFERROR(
  INDEX(
    'Tools &amp; Targets_Guideline'!$C$54:$I$269,
    MATCH(
      1,
      ('Tools &amp; Targets_Guideline'!$A$54:$A$269=$B161)*
      ('Tools &amp; Targets_Guideline'!$B$54:$B$269="GM"),
      0
    ),
    MATCH(
      _xludf.IFNA(
        VLOOKUP($D161,{"PH","Provincial Hospital (H2)";"DH","District Hospital (H3)";"RH","Regional / National Hospital (H1)"},2,0),
        $D161
      ),
      'Tools &amp; Targets_Guideline'!$C$53:$I$53,
      0
    )
  ),
0))</f>
        <v/>
      </c>
      <c r="Z161" s="105"/>
      <c r="AA161" s="119" t="str">
        <f t="array" ref="AA161">IF(OR($B161="",$D161=""),"",
IFERROR(
  INDEX(
    'Tools &amp; Targets_Guideline'!$C$54:$I$269,
    MATCH(
      1,
      ('Tools &amp; Targets_Guideline'!$A$54:$A$269=$B161)*
      ('Tools &amp; Targets_Guideline'!$B$54:$B$269="Penta"),
      0
    ),
    MATCH(
      _xludf.IFNA(
        VLOOKUP($D161,{"PH","Provincial Hospital (H2)";"DH","District Hospital (H3)";"RH","Regional / National Hospital (H1)"},2,0),
        $D161
      ),
      'Tools &amp; Targets_Guideline'!$C$53:$I$53,
      0
    )
  ),
0))</f>
        <v/>
      </c>
      <c r="AB161" s="105"/>
      <c r="AC161" s="119" t="str">
        <f t="array" ref="AC161">IF(OR($B161="",$D161=""),"",
IFERROR(
  INDEX(
    'Tools &amp; Targets_Guideline'!$C$54:$I$269,
    MATCH(
      1,
      ('Tools &amp; Targets_Guideline'!$A$54:$A$269=$B161)*
      ('Tools &amp; Targets_Guideline'!$B$54:$B$269="TB"),
      0
    ),
    MATCH(
      _xludf.IFNA(
        VLOOKUP($D161,{"PH","Provincial Hospital (H2)";"DH","District Hospital (H3)";"RH","Regional / National Hospital (H1)"},2,0),
        $D161
      ),
      'Tools &amp; Targets_Guideline'!$C$53:$I$53,
      0
    )
  ),
0))</f>
        <v/>
      </c>
      <c r="AD161" s="105"/>
      <c r="AE161" s="119" t="str">
        <f t="array" ref="AE161">IF(OR($B161="",$D161=""),"",
IFERROR(
  INDEX(
    'Tools &amp; Targets_Guideline'!$C$54:$I$269,
    MATCH(
      1,
      ('Tools &amp; Targets_Guideline'!$A$54:$A$269=$B161)*
      ('Tools &amp; Targets_Guideline'!$B$54:$B$269="U5 Morbidity"),
      0
    ),
    MATCH(
      _xludf.IFNA(
        VLOOKUP($D161,{"PH","Provincial Hospital (H2)";"DH","District Hospital (H3)";"RH","Regional / National Hospital (H1)"},2,0),
        $D161
      ),
      'Tools &amp; Targets_Guideline'!$C$53:$I$53,
      0
    )
  ),
0))</f>
        <v/>
      </c>
      <c r="AF161" s="105"/>
      <c r="AG161" s="119" t="str">
        <f t="array" ref="AG161">IF(OR($B161="",$D161=""),"",
IFERROR(
  INDEX(
    'Tools &amp; Targets_Guideline'!$C$54:$I$269,
    MATCH(
      1,
      ('Tools &amp; Targets_Guideline'!$A$54:$A$269=$B161)*
      ('Tools &amp; Targets_Guideline'!$B$54:$B$269="C-Section"),
      0
    ),
    MATCH(
      _xludf.IFNA(
        VLOOKUP($D161,{"PH","Provincial Hospital (H2)";"DH","District Hospital (H3)";"RH","Regional / National Hospital (H1)"},2,0),
        $D161
      ),
      'Tools &amp; Targets_Guideline'!$C$53:$I$53,
      0
    )
  ),
0))</f>
        <v/>
      </c>
      <c r="AH161" s="105" t="str">
        <f>IF(A161&lt;&gt;"",COUNTIFS('QA Log'!D:D,A161,'QA Log'!M:M,"QQC",'QA Log'!L:L,"2. Hygiene and Sterilization",'QA Log'!Z:Z,"Approved"),"")</f>
        <v/>
      </c>
      <c r="AI161" s="102"/>
      <c r="AJ161" s="102"/>
      <c r="AK161" s="103" t="str">
        <f t="shared" si="2"/>
        <v/>
      </c>
      <c r="AL161" s="102"/>
      <c r="AM161" s="102"/>
      <c r="AN161" s="102"/>
      <c r="AO161" s="106"/>
      <c r="AP161" s="103"/>
      <c r="AQ161" s="102"/>
      <c r="AR161" s="102"/>
      <c r="AS161" s="102"/>
      <c r="AT161" s="107"/>
      <c r="AU161" s="102" t="str">
        <f t="shared" si="3"/>
        <v/>
      </c>
      <c r="AV161" s="102" t="str">
        <f t="shared" si="4"/>
        <v/>
      </c>
      <c r="AW161" s="102" t="str">
        <f t="shared" si="5"/>
        <v/>
      </c>
      <c r="AX161" s="102" t="str">
        <f t="shared" si="6"/>
        <v/>
      </c>
      <c r="AY161" s="107" t="str">
        <f t="shared" si="7"/>
        <v/>
      </c>
      <c r="AZ161" s="108" t="str">
        <f t="shared" si="8"/>
        <v/>
      </c>
      <c r="BA161" s="108" t="str">
        <f t="shared" si="9"/>
        <v/>
      </c>
      <c r="BB161" s="109" t="str">
        <f t="shared" si="10"/>
        <v/>
      </c>
      <c r="BC161" s="108" t="str">
        <f t="shared" si="11"/>
        <v/>
      </c>
      <c r="BD161" s="108" t="str">
        <f t="shared" si="12"/>
        <v/>
      </c>
      <c r="BE161" s="109" t="str">
        <f t="shared" si="13"/>
        <v/>
      </c>
      <c r="BF161" s="110" t="str">
        <f t="shared" si="14"/>
        <v/>
      </c>
      <c r="BG161" s="111"/>
    </row>
    <row r="162" spans="1:59" ht="12.75">
      <c r="A162" s="101"/>
      <c r="B162" s="102"/>
      <c r="C162" s="102" t="e">
        <f t="array" aca="1" ref="C162" ca="1">_xludf.XLOOKUP(A162,'QA Log'!D:D,'QA Log'!F:F,"")</f>
        <v>#NAME?</v>
      </c>
      <c r="D162" s="102"/>
      <c r="E162" s="102" t="e">
        <f t="array" aca="1" ref="E162" ca="1">_xludf.XLOOKUP(A162,'QA Log'!D:D,'QA Log'!G:G,"")</f>
        <v>#NAME?</v>
      </c>
      <c r="F162" s="103"/>
      <c r="G162" s="104"/>
      <c r="H162" s="104"/>
      <c r="I162" s="103" t="str">
        <f t="shared" si="0"/>
        <v/>
      </c>
      <c r="J162" s="102"/>
      <c r="K162" s="102"/>
      <c r="L162" s="119" t="str">
        <f t="array" ref="L162">IF(OR($B162="",$D162=""),"",
IFERROR(
  INDEX(
    'Tools &amp; Targets_Guideline'!$C$54:$I$269,
    MATCH(
      1,
      ('Tools &amp; Targets_Guideline'!$A$54:$A$269=$B162)*
      ('Tools &amp; Targets_Guideline'!$B$54:$B$269="ANC"),
      0
    ),
    MATCH(
      _xludf.IFNA(
        VLOOKUP($D162,{"PH","Provincial Hospital (H2)";"DH","District Hospital (H3)";"RH","Regional / National Hospital (H1)"},2,0),
        $D162
      ),
      'Tools &amp; Targets_Guideline'!$C$53:$I$53,
      0
    )
  ),
0))</f>
        <v/>
      </c>
      <c r="M162" s="105"/>
      <c r="N162" s="119" t="str">
        <f t="array" ref="N162">IF(OR($B162="",$D162=""),"",
IFERROR(
  INDEX(
    'Tools &amp; Targets_Guideline'!$C$54:$I$269,
    MATCH(
      1,
      ('Tools &amp; Targets_Guideline'!$A$54:$A$269=$B162)*
      ('Tools &amp; Targets_Guideline'!$B$54:$B$269="PNC"),
      0
    ),
    MATCH(
      _xludf.IFNA(
        VLOOKUP($D162,{"PH","Provincial Hospital (H2)";"DH","District Hospital (H3)";"RH","Regional / National Hospital (H1)"},2,0),
        $D162
      ),
      'Tools &amp; Targets_Guideline'!$C$53:$I$53,
      0
    )
  ),
0))</f>
        <v/>
      </c>
      <c r="O162" s="105"/>
      <c r="P162" s="119" t="str">
        <f t="array" ref="P162">IF(OR($B162="",$D162=""),"",
IFERROR(
  INDEX(
    'Tools &amp; Targets_Guideline'!$C$54:$I$269,
    MATCH(
      1,
      ('Tools &amp; Targets_Guideline'!$A$54:$A$269=$B162)*
      ('Tools &amp; Targets_Guideline'!$B$54:$B$269="Delivery"),
      0
    ),
    MATCH(
      _xludf.IFNA(
        VLOOKUP($D162,{"PH","Provincial Hospital (H2)";"DH","District Hospital (H3)";"RH","Regional / National Hospital (H1)"},2,0),
        $D162
      ),
      'Tools &amp; Targets_Guideline'!$C$53:$I$53,
      0
    )
  ),
0))</f>
        <v/>
      </c>
      <c r="Q162" s="105"/>
      <c r="R162" s="119" t="str">
        <f t="array" ref="R162">IF(OR($B162="",$D162=""),"",
IFERROR(
  INDEX(
    'Tools &amp; Targets_Guideline'!$C$54:$I$269,
    MATCH(
      1,
      ('Tools &amp; Targets_Guideline'!$A$54:$A$269=$B162)*
      ('Tools &amp; Targets_Guideline'!$B$54:$B$269="TT"),
      0
    ),
    MATCH(
      _xludf.IFNA(
        VLOOKUP($D162,{"PH","Provincial Hospital (H2)";"DH","District Hospital (H3)";"RH","Regional / National Hospital (H1)"},2,0),
        $D162
      ),
      'Tools &amp; Targets_Guideline'!$C$53:$I$53,
      0
    )
  ),
0))</f>
        <v/>
      </c>
      <c r="S162" s="105"/>
      <c r="T162" s="102"/>
      <c r="U162" s="106"/>
      <c r="V162" s="102" t="str">
        <f t="shared" si="1"/>
        <v/>
      </c>
      <c r="W162" s="102"/>
      <c r="X162" s="102"/>
      <c r="Y162" s="119" t="str">
        <f t="array" ref="Y162">IF(OR($B162="",$D162=""),"",
IFERROR(
  INDEX(
    'Tools &amp; Targets_Guideline'!$C$54:$I$269,
    MATCH(
      1,
      ('Tools &amp; Targets_Guideline'!$A$54:$A$269=$B162)*
      ('Tools &amp; Targets_Guideline'!$B$54:$B$269="GM"),
      0
    ),
    MATCH(
      _xludf.IFNA(
        VLOOKUP($D162,{"PH","Provincial Hospital (H2)";"DH","District Hospital (H3)";"RH","Regional / National Hospital (H1)"},2,0),
        $D162
      ),
      'Tools &amp; Targets_Guideline'!$C$53:$I$53,
      0
    )
  ),
0))</f>
        <v/>
      </c>
      <c r="Z162" s="105"/>
      <c r="AA162" s="119" t="str">
        <f t="array" ref="AA162">IF(OR($B162="",$D162=""),"",
IFERROR(
  INDEX(
    'Tools &amp; Targets_Guideline'!$C$54:$I$269,
    MATCH(
      1,
      ('Tools &amp; Targets_Guideline'!$A$54:$A$269=$B162)*
      ('Tools &amp; Targets_Guideline'!$B$54:$B$269="Penta"),
      0
    ),
    MATCH(
      _xludf.IFNA(
        VLOOKUP($D162,{"PH","Provincial Hospital (H2)";"DH","District Hospital (H3)";"RH","Regional / National Hospital (H1)"},2,0),
        $D162
      ),
      'Tools &amp; Targets_Guideline'!$C$53:$I$53,
      0
    )
  ),
0))</f>
        <v/>
      </c>
      <c r="AB162" s="105"/>
      <c r="AC162" s="119" t="str">
        <f t="array" ref="AC162">IF(OR($B162="",$D162=""),"",
IFERROR(
  INDEX(
    'Tools &amp; Targets_Guideline'!$C$54:$I$269,
    MATCH(
      1,
      ('Tools &amp; Targets_Guideline'!$A$54:$A$269=$B162)*
      ('Tools &amp; Targets_Guideline'!$B$54:$B$269="TB"),
      0
    ),
    MATCH(
      _xludf.IFNA(
        VLOOKUP($D162,{"PH","Provincial Hospital (H2)";"DH","District Hospital (H3)";"RH","Regional / National Hospital (H1)"},2,0),
        $D162
      ),
      'Tools &amp; Targets_Guideline'!$C$53:$I$53,
      0
    )
  ),
0))</f>
        <v/>
      </c>
      <c r="AD162" s="105"/>
      <c r="AE162" s="119" t="str">
        <f t="array" ref="AE162">IF(OR($B162="",$D162=""),"",
IFERROR(
  INDEX(
    'Tools &amp; Targets_Guideline'!$C$54:$I$269,
    MATCH(
      1,
      ('Tools &amp; Targets_Guideline'!$A$54:$A$269=$B162)*
      ('Tools &amp; Targets_Guideline'!$B$54:$B$269="U5 Morbidity"),
      0
    ),
    MATCH(
      _xludf.IFNA(
        VLOOKUP($D162,{"PH","Provincial Hospital (H2)";"DH","District Hospital (H3)";"RH","Regional / National Hospital (H1)"},2,0),
        $D162
      ),
      'Tools &amp; Targets_Guideline'!$C$53:$I$53,
      0
    )
  ),
0))</f>
        <v/>
      </c>
      <c r="AF162" s="105"/>
      <c r="AG162" s="119" t="str">
        <f t="array" ref="AG162">IF(OR($B162="",$D162=""),"",
IFERROR(
  INDEX(
    'Tools &amp; Targets_Guideline'!$C$54:$I$269,
    MATCH(
      1,
      ('Tools &amp; Targets_Guideline'!$A$54:$A$269=$B162)*
      ('Tools &amp; Targets_Guideline'!$B$54:$B$269="C-Section"),
      0
    ),
    MATCH(
      _xludf.IFNA(
        VLOOKUP($D162,{"PH","Provincial Hospital (H2)";"DH","District Hospital (H3)";"RH","Regional / National Hospital (H1)"},2,0),
        $D162
      ),
      'Tools &amp; Targets_Guideline'!$C$53:$I$53,
      0
    )
  ),
0))</f>
        <v/>
      </c>
      <c r="AH162" s="105" t="str">
        <f>IF(A162&lt;&gt;"",COUNTIFS('QA Log'!D:D,A162,'QA Log'!M:M,"QQC",'QA Log'!L:L,"2. Hygiene and Sterilization",'QA Log'!Z:Z,"Approved"),"")</f>
        <v/>
      </c>
      <c r="AI162" s="102"/>
      <c r="AJ162" s="102"/>
      <c r="AK162" s="103" t="str">
        <f t="shared" si="2"/>
        <v/>
      </c>
      <c r="AL162" s="102"/>
      <c r="AM162" s="102"/>
      <c r="AN162" s="102"/>
      <c r="AO162" s="106"/>
      <c r="AP162" s="103"/>
      <c r="AQ162" s="102"/>
      <c r="AR162" s="102"/>
      <c r="AS162" s="102"/>
      <c r="AT162" s="107"/>
      <c r="AU162" s="102" t="str">
        <f t="shared" si="3"/>
        <v/>
      </c>
      <c r="AV162" s="102" t="str">
        <f t="shared" si="4"/>
        <v/>
      </c>
      <c r="AW162" s="102" t="str">
        <f t="shared" si="5"/>
        <v/>
      </c>
      <c r="AX162" s="102" t="str">
        <f t="shared" si="6"/>
        <v/>
      </c>
      <c r="AY162" s="107" t="str">
        <f t="shared" si="7"/>
        <v/>
      </c>
      <c r="AZ162" s="108" t="str">
        <f t="shared" si="8"/>
        <v/>
      </c>
      <c r="BA162" s="108" t="str">
        <f t="shared" si="9"/>
        <v/>
      </c>
      <c r="BB162" s="109" t="str">
        <f t="shared" si="10"/>
        <v/>
      </c>
      <c r="BC162" s="108" t="str">
        <f t="shared" si="11"/>
        <v/>
      </c>
      <c r="BD162" s="108" t="str">
        <f t="shared" si="12"/>
        <v/>
      </c>
      <c r="BE162" s="109" t="str">
        <f t="shared" si="13"/>
        <v/>
      </c>
      <c r="BF162" s="110" t="str">
        <f t="shared" si="14"/>
        <v/>
      </c>
      <c r="BG162" s="111"/>
    </row>
    <row r="163" spans="1:59" ht="12.75">
      <c r="A163" s="101"/>
      <c r="B163" s="102"/>
      <c r="C163" s="102" t="e">
        <f t="array" aca="1" ref="C163" ca="1">_xludf.XLOOKUP(A163,'QA Log'!D:D,'QA Log'!F:F,"")</f>
        <v>#NAME?</v>
      </c>
      <c r="D163" s="102"/>
      <c r="E163" s="102" t="e">
        <f t="array" aca="1" ref="E163" ca="1">_xludf.XLOOKUP(A163,'QA Log'!D:D,'QA Log'!G:G,"")</f>
        <v>#NAME?</v>
      </c>
      <c r="F163" s="103"/>
      <c r="G163" s="104"/>
      <c r="H163" s="104"/>
      <c r="I163" s="103" t="str">
        <f t="shared" si="0"/>
        <v/>
      </c>
      <c r="J163" s="102"/>
      <c r="K163" s="102"/>
      <c r="L163" s="119" t="str">
        <f t="array" ref="L163">IF(OR($B163="",$D163=""),"",
IFERROR(
  INDEX(
    'Tools &amp; Targets_Guideline'!$C$54:$I$269,
    MATCH(
      1,
      ('Tools &amp; Targets_Guideline'!$A$54:$A$269=$B163)*
      ('Tools &amp; Targets_Guideline'!$B$54:$B$269="ANC"),
      0
    ),
    MATCH(
      _xludf.IFNA(
        VLOOKUP($D163,{"PH","Provincial Hospital (H2)";"DH","District Hospital (H3)";"RH","Regional / National Hospital (H1)"},2,0),
        $D163
      ),
      'Tools &amp; Targets_Guideline'!$C$53:$I$53,
      0
    )
  ),
0))</f>
        <v/>
      </c>
      <c r="M163" s="105"/>
      <c r="N163" s="119" t="str">
        <f t="array" ref="N163">IF(OR($B163="",$D163=""),"",
IFERROR(
  INDEX(
    'Tools &amp; Targets_Guideline'!$C$54:$I$269,
    MATCH(
      1,
      ('Tools &amp; Targets_Guideline'!$A$54:$A$269=$B163)*
      ('Tools &amp; Targets_Guideline'!$B$54:$B$269="PNC"),
      0
    ),
    MATCH(
      _xludf.IFNA(
        VLOOKUP($D163,{"PH","Provincial Hospital (H2)";"DH","District Hospital (H3)";"RH","Regional / National Hospital (H1)"},2,0),
        $D163
      ),
      'Tools &amp; Targets_Guideline'!$C$53:$I$53,
      0
    )
  ),
0))</f>
        <v/>
      </c>
      <c r="O163" s="105"/>
      <c r="P163" s="119" t="str">
        <f t="array" ref="P163">IF(OR($B163="",$D163=""),"",
IFERROR(
  INDEX(
    'Tools &amp; Targets_Guideline'!$C$54:$I$269,
    MATCH(
      1,
      ('Tools &amp; Targets_Guideline'!$A$54:$A$269=$B163)*
      ('Tools &amp; Targets_Guideline'!$B$54:$B$269="Delivery"),
      0
    ),
    MATCH(
      _xludf.IFNA(
        VLOOKUP($D163,{"PH","Provincial Hospital (H2)";"DH","District Hospital (H3)";"RH","Regional / National Hospital (H1)"},2,0),
        $D163
      ),
      'Tools &amp; Targets_Guideline'!$C$53:$I$53,
      0
    )
  ),
0))</f>
        <v/>
      </c>
      <c r="Q163" s="105"/>
      <c r="R163" s="119" t="str">
        <f t="array" ref="R163">IF(OR($B163="",$D163=""),"",
IFERROR(
  INDEX(
    'Tools &amp; Targets_Guideline'!$C$54:$I$269,
    MATCH(
      1,
      ('Tools &amp; Targets_Guideline'!$A$54:$A$269=$B163)*
      ('Tools &amp; Targets_Guideline'!$B$54:$B$269="TT"),
      0
    ),
    MATCH(
      _xludf.IFNA(
        VLOOKUP($D163,{"PH","Provincial Hospital (H2)";"DH","District Hospital (H3)";"RH","Regional / National Hospital (H1)"},2,0),
        $D163
      ),
      'Tools &amp; Targets_Guideline'!$C$53:$I$53,
      0
    )
  ),
0))</f>
        <v/>
      </c>
      <c r="S163" s="105"/>
      <c r="T163" s="102"/>
      <c r="U163" s="106"/>
      <c r="V163" s="102" t="str">
        <f t="shared" si="1"/>
        <v/>
      </c>
      <c r="W163" s="102"/>
      <c r="X163" s="102"/>
      <c r="Y163" s="119" t="str">
        <f t="array" ref="Y163">IF(OR($B163="",$D163=""),"",
IFERROR(
  INDEX(
    'Tools &amp; Targets_Guideline'!$C$54:$I$269,
    MATCH(
      1,
      ('Tools &amp; Targets_Guideline'!$A$54:$A$269=$B163)*
      ('Tools &amp; Targets_Guideline'!$B$54:$B$269="GM"),
      0
    ),
    MATCH(
      _xludf.IFNA(
        VLOOKUP($D163,{"PH","Provincial Hospital (H2)";"DH","District Hospital (H3)";"RH","Regional / National Hospital (H1)"},2,0),
        $D163
      ),
      'Tools &amp; Targets_Guideline'!$C$53:$I$53,
      0
    )
  ),
0))</f>
        <v/>
      </c>
      <c r="Z163" s="105"/>
      <c r="AA163" s="119" t="str">
        <f t="array" ref="AA163">IF(OR($B163="",$D163=""),"",
IFERROR(
  INDEX(
    'Tools &amp; Targets_Guideline'!$C$54:$I$269,
    MATCH(
      1,
      ('Tools &amp; Targets_Guideline'!$A$54:$A$269=$B163)*
      ('Tools &amp; Targets_Guideline'!$B$54:$B$269="Penta"),
      0
    ),
    MATCH(
      _xludf.IFNA(
        VLOOKUP($D163,{"PH","Provincial Hospital (H2)";"DH","District Hospital (H3)";"RH","Regional / National Hospital (H1)"},2,0),
        $D163
      ),
      'Tools &amp; Targets_Guideline'!$C$53:$I$53,
      0
    )
  ),
0))</f>
        <v/>
      </c>
      <c r="AB163" s="105"/>
      <c r="AC163" s="119" t="str">
        <f t="array" ref="AC163">IF(OR($B163="",$D163=""),"",
IFERROR(
  INDEX(
    'Tools &amp; Targets_Guideline'!$C$54:$I$269,
    MATCH(
      1,
      ('Tools &amp; Targets_Guideline'!$A$54:$A$269=$B163)*
      ('Tools &amp; Targets_Guideline'!$B$54:$B$269="TB"),
      0
    ),
    MATCH(
      _xludf.IFNA(
        VLOOKUP($D163,{"PH","Provincial Hospital (H2)";"DH","District Hospital (H3)";"RH","Regional / National Hospital (H1)"},2,0),
        $D163
      ),
      'Tools &amp; Targets_Guideline'!$C$53:$I$53,
      0
    )
  ),
0))</f>
        <v/>
      </c>
      <c r="AD163" s="105"/>
      <c r="AE163" s="119" t="str">
        <f t="array" ref="AE163">IF(OR($B163="",$D163=""),"",
IFERROR(
  INDEX(
    'Tools &amp; Targets_Guideline'!$C$54:$I$269,
    MATCH(
      1,
      ('Tools &amp; Targets_Guideline'!$A$54:$A$269=$B163)*
      ('Tools &amp; Targets_Guideline'!$B$54:$B$269="U5 Morbidity"),
      0
    ),
    MATCH(
      _xludf.IFNA(
        VLOOKUP($D163,{"PH","Provincial Hospital (H2)";"DH","District Hospital (H3)";"RH","Regional / National Hospital (H1)"},2,0),
        $D163
      ),
      'Tools &amp; Targets_Guideline'!$C$53:$I$53,
      0
    )
  ),
0))</f>
        <v/>
      </c>
      <c r="AF163" s="105"/>
      <c r="AG163" s="119" t="str">
        <f t="array" ref="AG163">IF(OR($B163="",$D163=""),"",
IFERROR(
  INDEX(
    'Tools &amp; Targets_Guideline'!$C$54:$I$269,
    MATCH(
      1,
      ('Tools &amp; Targets_Guideline'!$A$54:$A$269=$B163)*
      ('Tools &amp; Targets_Guideline'!$B$54:$B$269="C-Section"),
      0
    ),
    MATCH(
      _xludf.IFNA(
        VLOOKUP($D163,{"PH","Provincial Hospital (H2)";"DH","District Hospital (H3)";"RH","Regional / National Hospital (H1)"},2,0),
        $D163
      ),
      'Tools &amp; Targets_Guideline'!$C$53:$I$53,
      0
    )
  ),
0))</f>
        <v/>
      </c>
      <c r="AH163" s="105" t="str">
        <f>IF(A163&lt;&gt;"",COUNTIFS('QA Log'!D:D,A163,'QA Log'!M:M,"QQC",'QA Log'!L:L,"2. Hygiene and Sterilization",'QA Log'!Z:Z,"Approved"),"")</f>
        <v/>
      </c>
      <c r="AI163" s="102"/>
      <c r="AJ163" s="102"/>
      <c r="AK163" s="103" t="str">
        <f t="shared" si="2"/>
        <v/>
      </c>
      <c r="AL163" s="102"/>
      <c r="AM163" s="102"/>
      <c r="AN163" s="102"/>
      <c r="AO163" s="106"/>
      <c r="AP163" s="103"/>
      <c r="AQ163" s="102"/>
      <c r="AR163" s="102"/>
      <c r="AS163" s="102"/>
      <c r="AT163" s="107"/>
      <c r="AU163" s="102" t="str">
        <f t="shared" si="3"/>
        <v/>
      </c>
      <c r="AV163" s="102" t="str">
        <f t="shared" si="4"/>
        <v/>
      </c>
      <c r="AW163" s="102" t="str">
        <f t="shared" si="5"/>
        <v/>
      </c>
      <c r="AX163" s="102" t="str">
        <f t="shared" si="6"/>
        <v/>
      </c>
      <c r="AY163" s="107" t="str">
        <f t="shared" si="7"/>
        <v/>
      </c>
      <c r="AZ163" s="108" t="str">
        <f t="shared" si="8"/>
        <v/>
      </c>
      <c r="BA163" s="108" t="str">
        <f t="shared" si="9"/>
        <v/>
      </c>
      <c r="BB163" s="109" t="str">
        <f t="shared" si="10"/>
        <v/>
      </c>
      <c r="BC163" s="108" t="str">
        <f t="shared" si="11"/>
        <v/>
      </c>
      <c r="BD163" s="108" t="str">
        <f t="shared" si="12"/>
        <v/>
      </c>
      <c r="BE163" s="109" t="str">
        <f t="shared" si="13"/>
        <v/>
      </c>
      <c r="BF163" s="110" t="str">
        <f t="shared" si="14"/>
        <v/>
      </c>
      <c r="BG163" s="111"/>
    </row>
    <row r="164" spans="1:59" ht="12.75">
      <c r="A164" s="101"/>
      <c r="B164" s="102"/>
      <c r="C164" s="102" t="e">
        <f t="array" aca="1" ref="C164" ca="1">_xludf.XLOOKUP(A164,'QA Log'!D:D,'QA Log'!F:F,"")</f>
        <v>#NAME?</v>
      </c>
      <c r="D164" s="102"/>
      <c r="E164" s="102" t="e">
        <f t="array" aca="1" ref="E164" ca="1">_xludf.XLOOKUP(A164,'QA Log'!D:D,'QA Log'!G:G,"")</f>
        <v>#NAME?</v>
      </c>
      <c r="F164" s="103"/>
      <c r="G164" s="104"/>
      <c r="H164" s="104"/>
      <c r="I164" s="103" t="str">
        <f t="shared" si="0"/>
        <v/>
      </c>
      <c r="J164" s="102"/>
      <c r="K164" s="102"/>
      <c r="L164" s="119" t="str">
        <f t="array" ref="L164">IF(OR($B164="",$D164=""),"",
IFERROR(
  INDEX(
    'Tools &amp; Targets_Guideline'!$C$54:$I$269,
    MATCH(
      1,
      ('Tools &amp; Targets_Guideline'!$A$54:$A$269=$B164)*
      ('Tools &amp; Targets_Guideline'!$B$54:$B$269="ANC"),
      0
    ),
    MATCH(
      _xludf.IFNA(
        VLOOKUP($D164,{"PH","Provincial Hospital (H2)";"DH","District Hospital (H3)";"RH","Regional / National Hospital (H1)"},2,0),
        $D164
      ),
      'Tools &amp; Targets_Guideline'!$C$53:$I$53,
      0
    )
  ),
0))</f>
        <v/>
      </c>
      <c r="M164" s="105"/>
      <c r="N164" s="119" t="str">
        <f t="array" ref="N164">IF(OR($B164="",$D164=""),"",
IFERROR(
  INDEX(
    'Tools &amp; Targets_Guideline'!$C$54:$I$269,
    MATCH(
      1,
      ('Tools &amp; Targets_Guideline'!$A$54:$A$269=$B164)*
      ('Tools &amp; Targets_Guideline'!$B$54:$B$269="PNC"),
      0
    ),
    MATCH(
      _xludf.IFNA(
        VLOOKUP($D164,{"PH","Provincial Hospital (H2)";"DH","District Hospital (H3)";"RH","Regional / National Hospital (H1)"},2,0),
        $D164
      ),
      'Tools &amp; Targets_Guideline'!$C$53:$I$53,
      0
    )
  ),
0))</f>
        <v/>
      </c>
      <c r="O164" s="105"/>
      <c r="P164" s="119" t="str">
        <f t="array" ref="P164">IF(OR($B164="",$D164=""),"",
IFERROR(
  INDEX(
    'Tools &amp; Targets_Guideline'!$C$54:$I$269,
    MATCH(
      1,
      ('Tools &amp; Targets_Guideline'!$A$54:$A$269=$B164)*
      ('Tools &amp; Targets_Guideline'!$B$54:$B$269="Delivery"),
      0
    ),
    MATCH(
      _xludf.IFNA(
        VLOOKUP($D164,{"PH","Provincial Hospital (H2)";"DH","District Hospital (H3)";"RH","Regional / National Hospital (H1)"},2,0),
        $D164
      ),
      'Tools &amp; Targets_Guideline'!$C$53:$I$53,
      0
    )
  ),
0))</f>
        <v/>
      </c>
      <c r="Q164" s="105"/>
      <c r="R164" s="119" t="str">
        <f t="array" ref="R164">IF(OR($B164="",$D164=""),"",
IFERROR(
  INDEX(
    'Tools &amp; Targets_Guideline'!$C$54:$I$269,
    MATCH(
      1,
      ('Tools &amp; Targets_Guideline'!$A$54:$A$269=$B164)*
      ('Tools &amp; Targets_Guideline'!$B$54:$B$269="TT"),
      0
    ),
    MATCH(
      _xludf.IFNA(
        VLOOKUP($D164,{"PH","Provincial Hospital (H2)";"DH","District Hospital (H3)";"RH","Regional / National Hospital (H1)"},2,0),
        $D164
      ),
      'Tools &amp; Targets_Guideline'!$C$53:$I$53,
      0
    )
  ),
0))</f>
        <v/>
      </c>
      <c r="S164" s="105"/>
      <c r="T164" s="102"/>
      <c r="U164" s="106"/>
      <c r="V164" s="102" t="str">
        <f t="shared" si="1"/>
        <v/>
      </c>
      <c r="W164" s="102"/>
      <c r="X164" s="102"/>
      <c r="Y164" s="119" t="str">
        <f t="array" ref="Y164">IF(OR($B164="",$D164=""),"",
IFERROR(
  INDEX(
    'Tools &amp; Targets_Guideline'!$C$54:$I$269,
    MATCH(
      1,
      ('Tools &amp; Targets_Guideline'!$A$54:$A$269=$B164)*
      ('Tools &amp; Targets_Guideline'!$B$54:$B$269="GM"),
      0
    ),
    MATCH(
      _xludf.IFNA(
        VLOOKUP($D164,{"PH","Provincial Hospital (H2)";"DH","District Hospital (H3)";"RH","Regional / National Hospital (H1)"},2,0),
        $D164
      ),
      'Tools &amp; Targets_Guideline'!$C$53:$I$53,
      0
    )
  ),
0))</f>
        <v/>
      </c>
      <c r="Z164" s="105"/>
      <c r="AA164" s="119" t="str">
        <f t="array" ref="AA164">IF(OR($B164="",$D164=""),"",
IFERROR(
  INDEX(
    'Tools &amp; Targets_Guideline'!$C$54:$I$269,
    MATCH(
      1,
      ('Tools &amp; Targets_Guideline'!$A$54:$A$269=$B164)*
      ('Tools &amp; Targets_Guideline'!$B$54:$B$269="Penta"),
      0
    ),
    MATCH(
      _xludf.IFNA(
        VLOOKUP($D164,{"PH","Provincial Hospital (H2)";"DH","District Hospital (H3)";"RH","Regional / National Hospital (H1)"},2,0),
        $D164
      ),
      'Tools &amp; Targets_Guideline'!$C$53:$I$53,
      0
    )
  ),
0))</f>
        <v/>
      </c>
      <c r="AB164" s="105"/>
      <c r="AC164" s="119" t="str">
        <f t="array" ref="AC164">IF(OR($B164="",$D164=""),"",
IFERROR(
  INDEX(
    'Tools &amp; Targets_Guideline'!$C$54:$I$269,
    MATCH(
      1,
      ('Tools &amp; Targets_Guideline'!$A$54:$A$269=$B164)*
      ('Tools &amp; Targets_Guideline'!$B$54:$B$269="TB"),
      0
    ),
    MATCH(
      _xludf.IFNA(
        VLOOKUP($D164,{"PH","Provincial Hospital (H2)";"DH","District Hospital (H3)";"RH","Regional / National Hospital (H1)"},2,0),
        $D164
      ),
      'Tools &amp; Targets_Guideline'!$C$53:$I$53,
      0
    )
  ),
0))</f>
        <v/>
      </c>
      <c r="AD164" s="105"/>
      <c r="AE164" s="119" t="str">
        <f t="array" ref="AE164">IF(OR($B164="",$D164=""),"",
IFERROR(
  INDEX(
    'Tools &amp; Targets_Guideline'!$C$54:$I$269,
    MATCH(
      1,
      ('Tools &amp; Targets_Guideline'!$A$54:$A$269=$B164)*
      ('Tools &amp; Targets_Guideline'!$B$54:$B$269="U5 Morbidity"),
      0
    ),
    MATCH(
      _xludf.IFNA(
        VLOOKUP($D164,{"PH","Provincial Hospital (H2)";"DH","District Hospital (H3)";"RH","Regional / National Hospital (H1)"},2,0),
        $D164
      ),
      'Tools &amp; Targets_Guideline'!$C$53:$I$53,
      0
    )
  ),
0))</f>
        <v/>
      </c>
      <c r="AF164" s="105"/>
      <c r="AG164" s="119" t="str">
        <f t="array" ref="AG164">IF(OR($B164="",$D164=""),"",
IFERROR(
  INDEX(
    'Tools &amp; Targets_Guideline'!$C$54:$I$269,
    MATCH(
      1,
      ('Tools &amp; Targets_Guideline'!$A$54:$A$269=$B164)*
      ('Tools &amp; Targets_Guideline'!$B$54:$B$269="C-Section"),
      0
    ),
    MATCH(
      _xludf.IFNA(
        VLOOKUP($D164,{"PH","Provincial Hospital (H2)";"DH","District Hospital (H3)";"RH","Regional / National Hospital (H1)"},2,0),
        $D164
      ),
      'Tools &amp; Targets_Guideline'!$C$53:$I$53,
      0
    )
  ),
0))</f>
        <v/>
      </c>
      <c r="AH164" s="105" t="str">
        <f>IF(A164&lt;&gt;"",COUNTIFS('QA Log'!D:D,A164,'QA Log'!M:M,"QQC",'QA Log'!L:L,"2. Hygiene and Sterilization",'QA Log'!Z:Z,"Approved"),"")</f>
        <v/>
      </c>
      <c r="AI164" s="102"/>
      <c r="AJ164" s="102"/>
      <c r="AK164" s="103" t="str">
        <f t="shared" si="2"/>
        <v/>
      </c>
      <c r="AL164" s="102"/>
      <c r="AM164" s="102"/>
      <c r="AN164" s="102"/>
      <c r="AO164" s="106"/>
      <c r="AP164" s="103"/>
      <c r="AQ164" s="102"/>
      <c r="AR164" s="102"/>
      <c r="AS164" s="102"/>
      <c r="AT164" s="107"/>
      <c r="AU164" s="102" t="str">
        <f t="shared" si="3"/>
        <v/>
      </c>
      <c r="AV164" s="102" t="str">
        <f t="shared" si="4"/>
        <v/>
      </c>
      <c r="AW164" s="102" t="str">
        <f t="shared" si="5"/>
        <v/>
      </c>
      <c r="AX164" s="102" t="str">
        <f t="shared" si="6"/>
        <v/>
      </c>
      <c r="AY164" s="107" t="str">
        <f t="shared" si="7"/>
        <v/>
      </c>
      <c r="AZ164" s="108" t="str">
        <f t="shared" si="8"/>
        <v/>
      </c>
      <c r="BA164" s="108" t="str">
        <f t="shared" si="9"/>
        <v/>
      </c>
      <c r="BB164" s="109" t="str">
        <f t="shared" si="10"/>
        <v/>
      </c>
      <c r="BC164" s="108" t="str">
        <f t="shared" si="11"/>
        <v/>
      </c>
      <c r="BD164" s="108" t="str">
        <f t="shared" si="12"/>
        <v/>
      </c>
      <c r="BE164" s="109" t="str">
        <f t="shared" si="13"/>
        <v/>
      </c>
      <c r="BF164" s="110" t="str">
        <f t="shared" si="14"/>
        <v/>
      </c>
      <c r="BG164" s="111"/>
    </row>
    <row r="165" spans="1:59" ht="12.75">
      <c r="A165" s="101"/>
      <c r="B165" s="102"/>
      <c r="C165" s="102" t="e">
        <f t="array" aca="1" ref="C165" ca="1">_xludf.XLOOKUP(A165,'QA Log'!D:D,'QA Log'!F:F,"")</f>
        <v>#NAME?</v>
      </c>
      <c r="D165" s="102"/>
      <c r="E165" s="102" t="e">
        <f t="array" aca="1" ref="E165" ca="1">_xludf.XLOOKUP(A165,'QA Log'!D:D,'QA Log'!G:G,"")</f>
        <v>#NAME?</v>
      </c>
      <c r="F165" s="103"/>
      <c r="G165" s="104"/>
      <c r="H165" s="104"/>
      <c r="I165" s="103" t="str">
        <f t="shared" si="0"/>
        <v/>
      </c>
      <c r="J165" s="102"/>
      <c r="K165" s="102"/>
      <c r="L165" s="119" t="str">
        <f t="array" ref="L165">IF(OR($B165="",$D165=""),"",
IFERROR(
  INDEX(
    'Tools &amp; Targets_Guideline'!$C$54:$I$269,
    MATCH(
      1,
      ('Tools &amp; Targets_Guideline'!$A$54:$A$269=$B165)*
      ('Tools &amp; Targets_Guideline'!$B$54:$B$269="ANC"),
      0
    ),
    MATCH(
      _xludf.IFNA(
        VLOOKUP($D165,{"PH","Provincial Hospital (H2)";"DH","District Hospital (H3)";"RH","Regional / National Hospital (H1)"},2,0),
        $D165
      ),
      'Tools &amp; Targets_Guideline'!$C$53:$I$53,
      0
    )
  ),
0))</f>
        <v/>
      </c>
      <c r="M165" s="105"/>
      <c r="N165" s="119" t="str">
        <f t="array" ref="N165">IF(OR($B165="",$D165=""),"",
IFERROR(
  INDEX(
    'Tools &amp; Targets_Guideline'!$C$54:$I$269,
    MATCH(
      1,
      ('Tools &amp; Targets_Guideline'!$A$54:$A$269=$B165)*
      ('Tools &amp; Targets_Guideline'!$B$54:$B$269="PNC"),
      0
    ),
    MATCH(
      _xludf.IFNA(
        VLOOKUP($D165,{"PH","Provincial Hospital (H2)";"DH","District Hospital (H3)";"RH","Regional / National Hospital (H1)"},2,0),
        $D165
      ),
      'Tools &amp; Targets_Guideline'!$C$53:$I$53,
      0
    )
  ),
0))</f>
        <v/>
      </c>
      <c r="O165" s="105"/>
      <c r="P165" s="119" t="str">
        <f t="array" ref="P165">IF(OR($B165="",$D165=""),"",
IFERROR(
  INDEX(
    'Tools &amp; Targets_Guideline'!$C$54:$I$269,
    MATCH(
      1,
      ('Tools &amp; Targets_Guideline'!$A$54:$A$269=$B165)*
      ('Tools &amp; Targets_Guideline'!$B$54:$B$269="Delivery"),
      0
    ),
    MATCH(
      _xludf.IFNA(
        VLOOKUP($D165,{"PH","Provincial Hospital (H2)";"DH","District Hospital (H3)";"RH","Regional / National Hospital (H1)"},2,0),
        $D165
      ),
      'Tools &amp; Targets_Guideline'!$C$53:$I$53,
      0
    )
  ),
0))</f>
        <v/>
      </c>
      <c r="Q165" s="105"/>
      <c r="R165" s="119" t="str">
        <f t="array" ref="R165">IF(OR($B165="",$D165=""),"",
IFERROR(
  INDEX(
    'Tools &amp; Targets_Guideline'!$C$54:$I$269,
    MATCH(
      1,
      ('Tools &amp; Targets_Guideline'!$A$54:$A$269=$B165)*
      ('Tools &amp; Targets_Guideline'!$B$54:$B$269="TT"),
      0
    ),
    MATCH(
      _xludf.IFNA(
        VLOOKUP($D165,{"PH","Provincial Hospital (H2)";"DH","District Hospital (H3)";"RH","Regional / National Hospital (H1)"},2,0),
        $D165
      ),
      'Tools &amp; Targets_Guideline'!$C$53:$I$53,
      0
    )
  ),
0))</f>
        <v/>
      </c>
      <c r="S165" s="105"/>
      <c r="T165" s="102"/>
      <c r="U165" s="106"/>
      <c r="V165" s="102" t="str">
        <f t="shared" si="1"/>
        <v/>
      </c>
      <c r="W165" s="102"/>
      <c r="X165" s="102"/>
      <c r="Y165" s="119" t="str">
        <f t="array" ref="Y165">IF(OR($B165="",$D165=""),"",
IFERROR(
  INDEX(
    'Tools &amp; Targets_Guideline'!$C$54:$I$269,
    MATCH(
      1,
      ('Tools &amp; Targets_Guideline'!$A$54:$A$269=$B165)*
      ('Tools &amp; Targets_Guideline'!$B$54:$B$269="GM"),
      0
    ),
    MATCH(
      _xludf.IFNA(
        VLOOKUP($D165,{"PH","Provincial Hospital (H2)";"DH","District Hospital (H3)";"RH","Regional / National Hospital (H1)"},2,0),
        $D165
      ),
      'Tools &amp; Targets_Guideline'!$C$53:$I$53,
      0
    )
  ),
0))</f>
        <v/>
      </c>
      <c r="Z165" s="105"/>
      <c r="AA165" s="119" t="str">
        <f t="array" ref="AA165">IF(OR($B165="",$D165=""),"",
IFERROR(
  INDEX(
    'Tools &amp; Targets_Guideline'!$C$54:$I$269,
    MATCH(
      1,
      ('Tools &amp; Targets_Guideline'!$A$54:$A$269=$B165)*
      ('Tools &amp; Targets_Guideline'!$B$54:$B$269="Penta"),
      0
    ),
    MATCH(
      _xludf.IFNA(
        VLOOKUP($D165,{"PH","Provincial Hospital (H2)";"DH","District Hospital (H3)";"RH","Regional / National Hospital (H1)"},2,0),
        $D165
      ),
      'Tools &amp; Targets_Guideline'!$C$53:$I$53,
      0
    )
  ),
0))</f>
        <v/>
      </c>
      <c r="AB165" s="105"/>
      <c r="AC165" s="119" t="str">
        <f t="array" ref="AC165">IF(OR($B165="",$D165=""),"",
IFERROR(
  INDEX(
    'Tools &amp; Targets_Guideline'!$C$54:$I$269,
    MATCH(
      1,
      ('Tools &amp; Targets_Guideline'!$A$54:$A$269=$B165)*
      ('Tools &amp; Targets_Guideline'!$B$54:$B$269="TB"),
      0
    ),
    MATCH(
      _xludf.IFNA(
        VLOOKUP($D165,{"PH","Provincial Hospital (H2)";"DH","District Hospital (H3)";"RH","Regional / National Hospital (H1)"},2,0),
        $D165
      ),
      'Tools &amp; Targets_Guideline'!$C$53:$I$53,
      0
    )
  ),
0))</f>
        <v/>
      </c>
      <c r="AD165" s="105"/>
      <c r="AE165" s="119" t="str">
        <f t="array" ref="AE165">IF(OR($B165="",$D165=""),"",
IFERROR(
  INDEX(
    'Tools &amp; Targets_Guideline'!$C$54:$I$269,
    MATCH(
      1,
      ('Tools &amp; Targets_Guideline'!$A$54:$A$269=$B165)*
      ('Tools &amp; Targets_Guideline'!$B$54:$B$269="U5 Morbidity"),
      0
    ),
    MATCH(
      _xludf.IFNA(
        VLOOKUP($D165,{"PH","Provincial Hospital (H2)";"DH","District Hospital (H3)";"RH","Regional / National Hospital (H1)"},2,0),
        $D165
      ),
      'Tools &amp; Targets_Guideline'!$C$53:$I$53,
      0
    )
  ),
0))</f>
        <v/>
      </c>
      <c r="AF165" s="105"/>
      <c r="AG165" s="119" t="str">
        <f t="array" ref="AG165">IF(OR($B165="",$D165=""),"",
IFERROR(
  INDEX(
    'Tools &amp; Targets_Guideline'!$C$54:$I$269,
    MATCH(
      1,
      ('Tools &amp; Targets_Guideline'!$A$54:$A$269=$B165)*
      ('Tools &amp; Targets_Guideline'!$B$54:$B$269="C-Section"),
      0
    ),
    MATCH(
      _xludf.IFNA(
        VLOOKUP($D165,{"PH","Provincial Hospital (H2)";"DH","District Hospital (H3)";"RH","Regional / National Hospital (H1)"},2,0),
        $D165
      ),
      'Tools &amp; Targets_Guideline'!$C$53:$I$53,
      0
    )
  ),
0))</f>
        <v/>
      </c>
      <c r="AH165" s="105" t="str">
        <f>IF(A165&lt;&gt;"",COUNTIFS('QA Log'!D:D,A165,'QA Log'!M:M,"QQC",'QA Log'!L:L,"2. Hygiene and Sterilization",'QA Log'!Z:Z,"Approved"),"")</f>
        <v/>
      </c>
      <c r="AI165" s="102"/>
      <c r="AJ165" s="102"/>
      <c r="AK165" s="103" t="str">
        <f t="shared" si="2"/>
        <v/>
      </c>
      <c r="AL165" s="102"/>
      <c r="AM165" s="102"/>
      <c r="AN165" s="102"/>
      <c r="AO165" s="106"/>
      <c r="AP165" s="103"/>
      <c r="AQ165" s="102"/>
      <c r="AR165" s="102"/>
      <c r="AS165" s="102"/>
      <c r="AT165" s="107"/>
      <c r="AU165" s="102" t="str">
        <f t="shared" si="3"/>
        <v/>
      </c>
      <c r="AV165" s="102" t="str">
        <f t="shared" si="4"/>
        <v/>
      </c>
      <c r="AW165" s="102" t="str">
        <f t="shared" si="5"/>
        <v/>
      </c>
      <c r="AX165" s="102" t="str">
        <f t="shared" si="6"/>
        <v/>
      </c>
      <c r="AY165" s="107" t="str">
        <f t="shared" si="7"/>
        <v/>
      </c>
      <c r="AZ165" s="108" t="str">
        <f t="shared" si="8"/>
        <v/>
      </c>
      <c r="BA165" s="108" t="str">
        <f t="shared" si="9"/>
        <v/>
      </c>
      <c r="BB165" s="109" t="str">
        <f t="shared" si="10"/>
        <v/>
      </c>
      <c r="BC165" s="108" t="str">
        <f t="shared" si="11"/>
        <v/>
      </c>
      <c r="BD165" s="108" t="str">
        <f t="shared" si="12"/>
        <v/>
      </c>
      <c r="BE165" s="109" t="str">
        <f t="shared" si="13"/>
        <v/>
      </c>
      <c r="BF165" s="110" t="str">
        <f t="shared" si="14"/>
        <v/>
      </c>
      <c r="BG165" s="111"/>
    </row>
    <row r="166" spans="1:59" ht="12.75">
      <c r="A166" s="101"/>
      <c r="B166" s="102"/>
      <c r="C166" s="102" t="e">
        <f t="array" aca="1" ref="C166" ca="1">_xludf.XLOOKUP(A166,'QA Log'!D:D,'QA Log'!F:F,"")</f>
        <v>#NAME?</v>
      </c>
      <c r="D166" s="102"/>
      <c r="E166" s="102" t="e">
        <f t="array" aca="1" ref="E166" ca="1">_xludf.XLOOKUP(A166,'QA Log'!D:D,'QA Log'!G:G,"")</f>
        <v>#NAME?</v>
      </c>
      <c r="F166" s="103"/>
      <c r="G166" s="104"/>
      <c r="H166" s="104"/>
      <c r="I166" s="103" t="str">
        <f t="shared" si="0"/>
        <v/>
      </c>
      <c r="J166" s="102"/>
      <c r="K166" s="102"/>
      <c r="L166" s="119" t="str">
        <f t="array" ref="L166">IF(OR($B166="",$D166=""),"",
IFERROR(
  INDEX(
    'Tools &amp; Targets_Guideline'!$C$54:$I$269,
    MATCH(
      1,
      ('Tools &amp; Targets_Guideline'!$A$54:$A$269=$B166)*
      ('Tools &amp; Targets_Guideline'!$B$54:$B$269="ANC"),
      0
    ),
    MATCH(
      _xludf.IFNA(
        VLOOKUP($D166,{"PH","Provincial Hospital (H2)";"DH","District Hospital (H3)";"RH","Regional / National Hospital (H1)"},2,0),
        $D166
      ),
      'Tools &amp; Targets_Guideline'!$C$53:$I$53,
      0
    )
  ),
0))</f>
        <v/>
      </c>
      <c r="M166" s="105"/>
      <c r="N166" s="119" t="str">
        <f t="array" ref="N166">IF(OR($B166="",$D166=""),"",
IFERROR(
  INDEX(
    'Tools &amp; Targets_Guideline'!$C$54:$I$269,
    MATCH(
      1,
      ('Tools &amp; Targets_Guideline'!$A$54:$A$269=$B166)*
      ('Tools &amp; Targets_Guideline'!$B$54:$B$269="PNC"),
      0
    ),
    MATCH(
      _xludf.IFNA(
        VLOOKUP($D166,{"PH","Provincial Hospital (H2)";"DH","District Hospital (H3)";"RH","Regional / National Hospital (H1)"},2,0),
        $D166
      ),
      'Tools &amp; Targets_Guideline'!$C$53:$I$53,
      0
    )
  ),
0))</f>
        <v/>
      </c>
      <c r="O166" s="105"/>
      <c r="P166" s="119" t="str">
        <f t="array" ref="P166">IF(OR($B166="",$D166=""),"",
IFERROR(
  INDEX(
    'Tools &amp; Targets_Guideline'!$C$54:$I$269,
    MATCH(
      1,
      ('Tools &amp; Targets_Guideline'!$A$54:$A$269=$B166)*
      ('Tools &amp; Targets_Guideline'!$B$54:$B$269="Delivery"),
      0
    ),
    MATCH(
      _xludf.IFNA(
        VLOOKUP($D166,{"PH","Provincial Hospital (H2)";"DH","District Hospital (H3)";"RH","Regional / National Hospital (H1)"},2,0),
        $D166
      ),
      'Tools &amp; Targets_Guideline'!$C$53:$I$53,
      0
    )
  ),
0))</f>
        <v/>
      </c>
      <c r="Q166" s="105"/>
      <c r="R166" s="119" t="str">
        <f t="array" ref="R166">IF(OR($B166="",$D166=""),"",
IFERROR(
  INDEX(
    'Tools &amp; Targets_Guideline'!$C$54:$I$269,
    MATCH(
      1,
      ('Tools &amp; Targets_Guideline'!$A$54:$A$269=$B166)*
      ('Tools &amp; Targets_Guideline'!$B$54:$B$269="TT"),
      0
    ),
    MATCH(
      _xludf.IFNA(
        VLOOKUP($D166,{"PH","Provincial Hospital (H2)";"DH","District Hospital (H3)";"RH","Regional / National Hospital (H1)"},2,0),
        $D166
      ),
      'Tools &amp; Targets_Guideline'!$C$53:$I$53,
      0
    )
  ),
0))</f>
        <v/>
      </c>
      <c r="S166" s="105"/>
      <c r="T166" s="102"/>
      <c r="U166" s="106"/>
      <c r="V166" s="102" t="str">
        <f t="shared" si="1"/>
        <v/>
      </c>
      <c r="W166" s="102"/>
      <c r="X166" s="102"/>
      <c r="Y166" s="119" t="str">
        <f t="array" ref="Y166">IF(OR($B166="",$D166=""),"",
IFERROR(
  INDEX(
    'Tools &amp; Targets_Guideline'!$C$54:$I$269,
    MATCH(
      1,
      ('Tools &amp; Targets_Guideline'!$A$54:$A$269=$B166)*
      ('Tools &amp; Targets_Guideline'!$B$54:$B$269="GM"),
      0
    ),
    MATCH(
      _xludf.IFNA(
        VLOOKUP($D166,{"PH","Provincial Hospital (H2)";"DH","District Hospital (H3)";"RH","Regional / National Hospital (H1)"},2,0),
        $D166
      ),
      'Tools &amp; Targets_Guideline'!$C$53:$I$53,
      0
    )
  ),
0))</f>
        <v/>
      </c>
      <c r="Z166" s="105"/>
      <c r="AA166" s="119" t="str">
        <f t="array" ref="AA166">IF(OR($B166="",$D166=""),"",
IFERROR(
  INDEX(
    'Tools &amp; Targets_Guideline'!$C$54:$I$269,
    MATCH(
      1,
      ('Tools &amp; Targets_Guideline'!$A$54:$A$269=$B166)*
      ('Tools &amp; Targets_Guideline'!$B$54:$B$269="Penta"),
      0
    ),
    MATCH(
      _xludf.IFNA(
        VLOOKUP($D166,{"PH","Provincial Hospital (H2)";"DH","District Hospital (H3)";"RH","Regional / National Hospital (H1)"},2,0),
        $D166
      ),
      'Tools &amp; Targets_Guideline'!$C$53:$I$53,
      0
    )
  ),
0))</f>
        <v/>
      </c>
      <c r="AB166" s="105"/>
      <c r="AC166" s="119" t="str">
        <f t="array" ref="AC166">IF(OR($B166="",$D166=""),"",
IFERROR(
  INDEX(
    'Tools &amp; Targets_Guideline'!$C$54:$I$269,
    MATCH(
      1,
      ('Tools &amp; Targets_Guideline'!$A$54:$A$269=$B166)*
      ('Tools &amp; Targets_Guideline'!$B$54:$B$269="TB"),
      0
    ),
    MATCH(
      _xludf.IFNA(
        VLOOKUP($D166,{"PH","Provincial Hospital (H2)";"DH","District Hospital (H3)";"RH","Regional / National Hospital (H1)"},2,0),
        $D166
      ),
      'Tools &amp; Targets_Guideline'!$C$53:$I$53,
      0
    )
  ),
0))</f>
        <v/>
      </c>
      <c r="AD166" s="105"/>
      <c r="AE166" s="119" t="str">
        <f t="array" ref="AE166">IF(OR($B166="",$D166=""),"",
IFERROR(
  INDEX(
    'Tools &amp; Targets_Guideline'!$C$54:$I$269,
    MATCH(
      1,
      ('Tools &amp; Targets_Guideline'!$A$54:$A$269=$B166)*
      ('Tools &amp; Targets_Guideline'!$B$54:$B$269="U5 Morbidity"),
      0
    ),
    MATCH(
      _xludf.IFNA(
        VLOOKUP($D166,{"PH","Provincial Hospital (H2)";"DH","District Hospital (H3)";"RH","Regional / National Hospital (H1)"},2,0),
        $D166
      ),
      'Tools &amp; Targets_Guideline'!$C$53:$I$53,
      0
    )
  ),
0))</f>
        <v/>
      </c>
      <c r="AF166" s="105"/>
      <c r="AG166" s="119" t="str">
        <f t="array" ref="AG166">IF(OR($B166="",$D166=""),"",
IFERROR(
  INDEX(
    'Tools &amp; Targets_Guideline'!$C$54:$I$269,
    MATCH(
      1,
      ('Tools &amp; Targets_Guideline'!$A$54:$A$269=$B166)*
      ('Tools &amp; Targets_Guideline'!$B$54:$B$269="C-Section"),
      0
    ),
    MATCH(
      _xludf.IFNA(
        VLOOKUP($D166,{"PH","Provincial Hospital (H2)";"DH","District Hospital (H3)";"RH","Regional / National Hospital (H1)"},2,0),
        $D166
      ),
      'Tools &amp; Targets_Guideline'!$C$53:$I$53,
      0
    )
  ),
0))</f>
        <v/>
      </c>
      <c r="AH166" s="105" t="str">
        <f>IF(A166&lt;&gt;"",COUNTIFS('QA Log'!D:D,A166,'QA Log'!M:M,"QQC",'QA Log'!L:L,"2. Hygiene and Sterilization",'QA Log'!Z:Z,"Approved"),"")</f>
        <v/>
      </c>
      <c r="AI166" s="102"/>
      <c r="AJ166" s="102"/>
      <c r="AK166" s="103" t="str">
        <f t="shared" si="2"/>
        <v/>
      </c>
      <c r="AL166" s="102"/>
      <c r="AM166" s="102"/>
      <c r="AN166" s="102"/>
      <c r="AO166" s="106"/>
      <c r="AP166" s="103"/>
      <c r="AQ166" s="102"/>
      <c r="AR166" s="102"/>
      <c r="AS166" s="102"/>
      <c r="AT166" s="107"/>
      <c r="AU166" s="102" t="str">
        <f t="shared" si="3"/>
        <v/>
      </c>
      <c r="AV166" s="102" t="str">
        <f t="shared" si="4"/>
        <v/>
      </c>
      <c r="AW166" s="102" t="str">
        <f t="shared" si="5"/>
        <v/>
      </c>
      <c r="AX166" s="102" t="str">
        <f t="shared" si="6"/>
        <v/>
      </c>
      <c r="AY166" s="107" t="str">
        <f t="shared" si="7"/>
        <v/>
      </c>
      <c r="AZ166" s="108" t="str">
        <f t="shared" si="8"/>
        <v/>
      </c>
      <c r="BA166" s="108" t="str">
        <f t="shared" si="9"/>
        <v/>
      </c>
      <c r="BB166" s="109" t="str">
        <f t="shared" si="10"/>
        <v/>
      </c>
      <c r="BC166" s="108" t="str">
        <f t="shared" si="11"/>
        <v/>
      </c>
      <c r="BD166" s="108" t="str">
        <f t="shared" si="12"/>
        <v/>
      </c>
      <c r="BE166" s="109" t="str">
        <f t="shared" si="13"/>
        <v/>
      </c>
      <c r="BF166" s="110" t="str">
        <f t="shared" si="14"/>
        <v/>
      </c>
      <c r="BG166" s="111"/>
    </row>
    <row r="167" spans="1:59" ht="12.75">
      <c r="A167" s="101"/>
      <c r="B167" s="102"/>
      <c r="C167" s="102" t="e">
        <f t="array" aca="1" ref="C167" ca="1">_xludf.XLOOKUP(A167,'QA Log'!D:D,'QA Log'!F:F,"")</f>
        <v>#NAME?</v>
      </c>
      <c r="D167" s="102"/>
      <c r="E167" s="102" t="e">
        <f t="array" aca="1" ref="E167" ca="1">_xludf.XLOOKUP(A167,'QA Log'!D:D,'QA Log'!G:G,"")</f>
        <v>#NAME?</v>
      </c>
      <c r="F167" s="103"/>
      <c r="G167" s="104"/>
      <c r="H167" s="104"/>
      <c r="I167" s="103" t="str">
        <f t="shared" si="0"/>
        <v/>
      </c>
      <c r="J167" s="102"/>
      <c r="K167" s="102"/>
      <c r="L167" s="119" t="str">
        <f t="array" ref="L167">IF(OR($B167="",$D167=""),"",
IFERROR(
  INDEX(
    'Tools &amp; Targets_Guideline'!$C$54:$I$269,
    MATCH(
      1,
      ('Tools &amp; Targets_Guideline'!$A$54:$A$269=$B167)*
      ('Tools &amp; Targets_Guideline'!$B$54:$B$269="ANC"),
      0
    ),
    MATCH(
      _xludf.IFNA(
        VLOOKUP($D167,{"PH","Provincial Hospital (H2)";"DH","District Hospital (H3)";"RH","Regional / National Hospital (H1)"},2,0),
        $D167
      ),
      'Tools &amp; Targets_Guideline'!$C$53:$I$53,
      0
    )
  ),
0))</f>
        <v/>
      </c>
      <c r="M167" s="105"/>
      <c r="N167" s="119" t="str">
        <f t="array" ref="N167">IF(OR($B167="",$D167=""),"",
IFERROR(
  INDEX(
    'Tools &amp; Targets_Guideline'!$C$54:$I$269,
    MATCH(
      1,
      ('Tools &amp; Targets_Guideline'!$A$54:$A$269=$B167)*
      ('Tools &amp; Targets_Guideline'!$B$54:$B$269="PNC"),
      0
    ),
    MATCH(
      _xludf.IFNA(
        VLOOKUP($D167,{"PH","Provincial Hospital (H2)";"DH","District Hospital (H3)";"RH","Regional / National Hospital (H1)"},2,0),
        $D167
      ),
      'Tools &amp; Targets_Guideline'!$C$53:$I$53,
      0
    )
  ),
0))</f>
        <v/>
      </c>
      <c r="O167" s="105"/>
      <c r="P167" s="119" t="str">
        <f t="array" ref="P167">IF(OR($B167="",$D167=""),"",
IFERROR(
  INDEX(
    'Tools &amp; Targets_Guideline'!$C$54:$I$269,
    MATCH(
      1,
      ('Tools &amp; Targets_Guideline'!$A$54:$A$269=$B167)*
      ('Tools &amp; Targets_Guideline'!$B$54:$B$269="Delivery"),
      0
    ),
    MATCH(
      _xludf.IFNA(
        VLOOKUP($D167,{"PH","Provincial Hospital (H2)";"DH","District Hospital (H3)";"RH","Regional / National Hospital (H1)"},2,0),
        $D167
      ),
      'Tools &amp; Targets_Guideline'!$C$53:$I$53,
      0
    )
  ),
0))</f>
        <v/>
      </c>
      <c r="Q167" s="105"/>
      <c r="R167" s="119" t="str">
        <f t="array" ref="R167">IF(OR($B167="",$D167=""),"",
IFERROR(
  INDEX(
    'Tools &amp; Targets_Guideline'!$C$54:$I$269,
    MATCH(
      1,
      ('Tools &amp; Targets_Guideline'!$A$54:$A$269=$B167)*
      ('Tools &amp; Targets_Guideline'!$B$54:$B$269="TT"),
      0
    ),
    MATCH(
      _xludf.IFNA(
        VLOOKUP($D167,{"PH","Provincial Hospital (H2)";"DH","District Hospital (H3)";"RH","Regional / National Hospital (H1)"},2,0),
        $D167
      ),
      'Tools &amp; Targets_Guideline'!$C$53:$I$53,
      0
    )
  ),
0))</f>
        <v/>
      </c>
      <c r="S167" s="105"/>
      <c r="T167" s="102"/>
      <c r="U167" s="106"/>
      <c r="V167" s="102" t="str">
        <f t="shared" si="1"/>
        <v/>
      </c>
      <c r="W167" s="102"/>
      <c r="X167" s="102"/>
      <c r="Y167" s="119" t="str">
        <f t="array" ref="Y167">IF(OR($B167="",$D167=""),"",
IFERROR(
  INDEX(
    'Tools &amp; Targets_Guideline'!$C$54:$I$269,
    MATCH(
      1,
      ('Tools &amp; Targets_Guideline'!$A$54:$A$269=$B167)*
      ('Tools &amp; Targets_Guideline'!$B$54:$B$269="GM"),
      0
    ),
    MATCH(
      _xludf.IFNA(
        VLOOKUP($D167,{"PH","Provincial Hospital (H2)";"DH","District Hospital (H3)";"RH","Regional / National Hospital (H1)"},2,0),
        $D167
      ),
      'Tools &amp; Targets_Guideline'!$C$53:$I$53,
      0
    )
  ),
0))</f>
        <v/>
      </c>
      <c r="Z167" s="105"/>
      <c r="AA167" s="119" t="str">
        <f t="array" ref="AA167">IF(OR($B167="",$D167=""),"",
IFERROR(
  INDEX(
    'Tools &amp; Targets_Guideline'!$C$54:$I$269,
    MATCH(
      1,
      ('Tools &amp; Targets_Guideline'!$A$54:$A$269=$B167)*
      ('Tools &amp; Targets_Guideline'!$B$54:$B$269="Penta"),
      0
    ),
    MATCH(
      _xludf.IFNA(
        VLOOKUP($D167,{"PH","Provincial Hospital (H2)";"DH","District Hospital (H3)";"RH","Regional / National Hospital (H1)"},2,0),
        $D167
      ),
      'Tools &amp; Targets_Guideline'!$C$53:$I$53,
      0
    )
  ),
0))</f>
        <v/>
      </c>
      <c r="AB167" s="105"/>
      <c r="AC167" s="119" t="str">
        <f t="array" ref="AC167">IF(OR($B167="",$D167=""),"",
IFERROR(
  INDEX(
    'Tools &amp; Targets_Guideline'!$C$54:$I$269,
    MATCH(
      1,
      ('Tools &amp; Targets_Guideline'!$A$54:$A$269=$B167)*
      ('Tools &amp; Targets_Guideline'!$B$54:$B$269="TB"),
      0
    ),
    MATCH(
      _xludf.IFNA(
        VLOOKUP($D167,{"PH","Provincial Hospital (H2)";"DH","District Hospital (H3)";"RH","Regional / National Hospital (H1)"},2,0),
        $D167
      ),
      'Tools &amp; Targets_Guideline'!$C$53:$I$53,
      0
    )
  ),
0))</f>
        <v/>
      </c>
      <c r="AD167" s="105"/>
      <c r="AE167" s="119" t="str">
        <f t="array" ref="AE167">IF(OR($B167="",$D167=""),"",
IFERROR(
  INDEX(
    'Tools &amp; Targets_Guideline'!$C$54:$I$269,
    MATCH(
      1,
      ('Tools &amp; Targets_Guideline'!$A$54:$A$269=$B167)*
      ('Tools &amp; Targets_Guideline'!$B$54:$B$269="U5 Morbidity"),
      0
    ),
    MATCH(
      _xludf.IFNA(
        VLOOKUP($D167,{"PH","Provincial Hospital (H2)";"DH","District Hospital (H3)";"RH","Regional / National Hospital (H1)"},2,0),
        $D167
      ),
      'Tools &amp; Targets_Guideline'!$C$53:$I$53,
      0
    )
  ),
0))</f>
        <v/>
      </c>
      <c r="AF167" s="105"/>
      <c r="AG167" s="119" t="str">
        <f t="array" ref="AG167">IF(OR($B167="",$D167=""),"",
IFERROR(
  INDEX(
    'Tools &amp; Targets_Guideline'!$C$54:$I$269,
    MATCH(
      1,
      ('Tools &amp; Targets_Guideline'!$A$54:$A$269=$B167)*
      ('Tools &amp; Targets_Guideline'!$B$54:$B$269="C-Section"),
      0
    ),
    MATCH(
      _xludf.IFNA(
        VLOOKUP($D167,{"PH","Provincial Hospital (H2)";"DH","District Hospital (H3)";"RH","Regional / National Hospital (H1)"},2,0),
        $D167
      ),
      'Tools &amp; Targets_Guideline'!$C$53:$I$53,
      0
    )
  ),
0))</f>
        <v/>
      </c>
      <c r="AH167" s="105" t="str">
        <f>IF(A167&lt;&gt;"",COUNTIFS('QA Log'!D:D,A167,'QA Log'!M:M,"QQC",'QA Log'!L:L,"2. Hygiene and Sterilization",'QA Log'!Z:Z,"Approved"),"")</f>
        <v/>
      </c>
      <c r="AI167" s="102"/>
      <c r="AJ167" s="102"/>
      <c r="AK167" s="103" t="str">
        <f t="shared" si="2"/>
        <v/>
      </c>
      <c r="AL167" s="102"/>
      <c r="AM167" s="102"/>
      <c r="AN167" s="102"/>
      <c r="AO167" s="106"/>
      <c r="AP167" s="103"/>
      <c r="AQ167" s="102"/>
      <c r="AR167" s="102"/>
      <c r="AS167" s="102"/>
      <c r="AT167" s="107"/>
      <c r="AU167" s="102" t="str">
        <f t="shared" si="3"/>
        <v/>
      </c>
      <c r="AV167" s="102" t="str">
        <f t="shared" si="4"/>
        <v/>
      </c>
      <c r="AW167" s="102" t="str">
        <f t="shared" si="5"/>
        <v/>
      </c>
      <c r="AX167" s="102" t="str">
        <f t="shared" si="6"/>
        <v/>
      </c>
      <c r="AY167" s="107" t="str">
        <f t="shared" si="7"/>
        <v/>
      </c>
      <c r="AZ167" s="108" t="str">
        <f t="shared" si="8"/>
        <v/>
      </c>
      <c r="BA167" s="108" t="str">
        <f t="shared" si="9"/>
        <v/>
      </c>
      <c r="BB167" s="109" t="str">
        <f t="shared" si="10"/>
        <v/>
      </c>
      <c r="BC167" s="108" t="str">
        <f t="shared" si="11"/>
        <v/>
      </c>
      <c r="BD167" s="108" t="str">
        <f t="shared" si="12"/>
        <v/>
      </c>
      <c r="BE167" s="109" t="str">
        <f t="shared" si="13"/>
        <v/>
      </c>
      <c r="BF167" s="110" t="str">
        <f t="shared" si="14"/>
        <v/>
      </c>
      <c r="BG167" s="111"/>
    </row>
    <row r="168" spans="1:59" ht="12.75">
      <c r="A168" s="101"/>
      <c r="B168" s="102"/>
      <c r="C168" s="102" t="e">
        <f t="array" aca="1" ref="C168" ca="1">_xludf.XLOOKUP(A168,'QA Log'!D:D,'QA Log'!F:F,"")</f>
        <v>#NAME?</v>
      </c>
      <c r="D168" s="102"/>
      <c r="E168" s="102" t="e">
        <f t="array" aca="1" ref="E168" ca="1">_xludf.XLOOKUP(A168,'QA Log'!D:D,'QA Log'!G:G,"")</f>
        <v>#NAME?</v>
      </c>
      <c r="F168" s="103"/>
      <c r="G168" s="104"/>
      <c r="H168" s="104"/>
      <c r="I168" s="103" t="str">
        <f t="shared" si="0"/>
        <v/>
      </c>
      <c r="J168" s="102"/>
      <c r="K168" s="102"/>
      <c r="L168" s="119" t="str">
        <f t="array" ref="L168">IF(OR($B168="",$D168=""),"",
IFERROR(
  INDEX(
    'Tools &amp; Targets_Guideline'!$C$54:$I$269,
    MATCH(
      1,
      ('Tools &amp; Targets_Guideline'!$A$54:$A$269=$B168)*
      ('Tools &amp; Targets_Guideline'!$B$54:$B$269="ANC"),
      0
    ),
    MATCH(
      _xludf.IFNA(
        VLOOKUP($D168,{"PH","Provincial Hospital (H2)";"DH","District Hospital (H3)";"RH","Regional / National Hospital (H1)"},2,0),
        $D168
      ),
      'Tools &amp; Targets_Guideline'!$C$53:$I$53,
      0
    )
  ),
0))</f>
        <v/>
      </c>
      <c r="M168" s="105"/>
      <c r="N168" s="119" t="str">
        <f t="array" ref="N168">IF(OR($B168="",$D168=""),"",
IFERROR(
  INDEX(
    'Tools &amp; Targets_Guideline'!$C$54:$I$269,
    MATCH(
      1,
      ('Tools &amp; Targets_Guideline'!$A$54:$A$269=$B168)*
      ('Tools &amp; Targets_Guideline'!$B$54:$B$269="PNC"),
      0
    ),
    MATCH(
      _xludf.IFNA(
        VLOOKUP($D168,{"PH","Provincial Hospital (H2)";"DH","District Hospital (H3)";"RH","Regional / National Hospital (H1)"},2,0),
        $D168
      ),
      'Tools &amp; Targets_Guideline'!$C$53:$I$53,
      0
    )
  ),
0))</f>
        <v/>
      </c>
      <c r="O168" s="105"/>
      <c r="P168" s="119" t="str">
        <f t="array" ref="P168">IF(OR($B168="",$D168=""),"",
IFERROR(
  INDEX(
    'Tools &amp; Targets_Guideline'!$C$54:$I$269,
    MATCH(
      1,
      ('Tools &amp; Targets_Guideline'!$A$54:$A$269=$B168)*
      ('Tools &amp; Targets_Guideline'!$B$54:$B$269="Delivery"),
      0
    ),
    MATCH(
      _xludf.IFNA(
        VLOOKUP($D168,{"PH","Provincial Hospital (H2)";"DH","District Hospital (H3)";"RH","Regional / National Hospital (H1)"},2,0),
        $D168
      ),
      'Tools &amp; Targets_Guideline'!$C$53:$I$53,
      0
    )
  ),
0))</f>
        <v/>
      </c>
      <c r="Q168" s="105"/>
      <c r="R168" s="119" t="str">
        <f t="array" ref="R168">IF(OR($B168="",$D168=""),"",
IFERROR(
  INDEX(
    'Tools &amp; Targets_Guideline'!$C$54:$I$269,
    MATCH(
      1,
      ('Tools &amp; Targets_Guideline'!$A$54:$A$269=$B168)*
      ('Tools &amp; Targets_Guideline'!$B$54:$B$269="TT"),
      0
    ),
    MATCH(
      _xludf.IFNA(
        VLOOKUP($D168,{"PH","Provincial Hospital (H2)";"DH","District Hospital (H3)";"RH","Regional / National Hospital (H1)"},2,0),
        $D168
      ),
      'Tools &amp; Targets_Guideline'!$C$53:$I$53,
      0
    )
  ),
0))</f>
        <v/>
      </c>
      <c r="S168" s="105"/>
      <c r="T168" s="102"/>
      <c r="U168" s="106"/>
      <c r="V168" s="102" t="str">
        <f t="shared" si="1"/>
        <v/>
      </c>
      <c r="W168" s="102"/>
      <c r="X168" s="102"/>
      <c r="Y168" s="119" t="str">
        <f t="array" ref="Y168">IF(OR($B168="",$D168=""),"",
IFERROR(
  INDEX(
    'Tools &amp; Targets_Guideline'!$C$54:$I$269,
    MATCH(
      1,
      ('Tools &amp; Targets_Guideline'!$A$54:$A$269=$B168)*
      ('Tools &amp; Targets_Guideline'!$B$54:$B$269="GM"),
      0
    ),
    MATCH(
      _xludf.IFNA(
        VLOOKUP($D168,{"PH","Provincial Hospital (H2)";"DH","District Hospital (H3)";"RH","Regional / National Hospital (H1)"},2,0),
        $D168
      ),
      'Tools &amp; Targets_Guideline'!$C$53:$I$53,
      0
    )
  ),
0))</f>
        <v/>
      </c>
      <c r="Z168" s="105"/>
      <c r="AA168" s="119" t="str">
        <f t="array" ref="AA168">IF(OR($B168="",$D168=""),"",
IFERROR(
  INDEX(
    'Tools &amp; Targets_Guideline'!$C$54:$I$269,
    MATCH(
      1,
      ('Tools &amp; Targets_Guideline'!$A$54:$A$269=$B168)*
      ('Tools &amp; Targets_Guideline'!$B$54:$B$269="Penta"),
      0
    ),
    MATCH(
      _xludf.IFNA(
        VLOOKUP($D168,{"PH","Provincial Hospital (H2)";"DH","District Hospital (H3)";"RH","Regional / National Hospital (H1)"},2,0),
        $D168
      ),
      'Tools &amp; Targets_Guideline'!$C$53:$I$53,
      0
    )
  ),
0))</f>
        <v/>
      </c>
      <c r="AB168" s="105"/>
      <c r="AC168" s="119" t="str">
        <f t="array" ref="AC168">IF(OR($B168="",$D168=""),"",
IFERROR(
  INDEX(
    'Tools &amp; Targets_Guideline'!$C$54:$I$269,
    MATCH(
      1,
      ('Tools &amp; Targets_Guideline'!$A$54:$A$269=$B168)*
      ('Tools &amp; Targets_Guideline'!$B$54:$B$269="TB"),
      0
    ),
    MATCH(
      _xludf.IFNA(
        VLOOKUP($D168,{"PH","Provincial Hospital (H2)";"DH","District Hospital (H3)";"RH","Regional / National Hospital (H1)"},2,0),
        $D168
      ),
      'Tools &amp; Targets_Guideline'!$C$53:$I$53,
      0
    )
  ),
0))</f>
        <v/>
      </c>
      <c r="AD168" s="105"/>
      <c r="AE168" s="119" t="str">
        <f t="array" ref="AE168">IF(OR($B168="",$D168=""),"",
IFERROR(
  INDEX(
    'Tools &amp; Targets_Guideline'!$C$54:$I$269,
    MATCH(
      1,
      ('Tools &amp; Targets_Guideline'!$A$54:$A$269=$B168)*
      ('Tools &amp; Targets_Guideline'!$B$54:$B$269="U5 Morbidity"),
      0
    ),
    MATCH(
      _xludf.IFNA(
        VLOOKUP($D168,{"PH","Provincial Hospital (H2)";"DH","District Hospital (H3)";"RH","Regional / National Hospital (H1)"},2,0),
        $D168
      ),
      'Tools &amp; Targets_Guideline'!$C$53:$I$53,
      0
    )
  ),
0))</f>
        <v/>
      </c>
      <c r="AF168" s="105"/>
      <c r="AG168" s="119" t="str">
        <f t="array" ref="AG168">IF(OR($B168="",$D168=""),"",
IFERROR(
  INDEX(
    'Tools &amp; Targets_Guideline'!$C$54:$I$269,
    MATCH(
      1,
      ('Tools &amp; Targets_Guideline'!$A$54:$A$269=$B168)*
      ('Tools &amp; Targets_Guideline'!$B$54:$B$269="C-Section"),
      0
    ),
    MATCH(
      _xludf.IFNA(
        VLOOKUP($D168,{"PH","Provincial Hospital (H2)";"DH","District Hospital (H3)";"RH","Regional / National Hospital (H1)"},2,0),
        $D168
      ),
      'Tools &amp; Targets_Guideline'!$C$53:$I$53,
      0
    )
  ),
0))</f>
        <v/>
      </c>
      <c r="AH168" s="105" t="str">
        <f>IF(A168&lt;&gt;"",COUNTIFS('QA Log'!D:D,A168,'QA Log'!M:M,"QQC",'QA Log'!L:L,"2. Hygiene and Sterilization",'QA Log'!Z:Z,"Approved"),"")</f>
        <v/>
      </c>
      <c r="AI168" s="102"/>
      <c r="AJ168" s="102"/>
      <c r="AK168" s="103" t="str">
        <f t="shared" si="2"/>
        <v/>
      </c>
      <c r="AL168" s="102"/>
      <c r="AM168" s="102"/>
      <c r="AN168" s="102"/>
      <c r="AO168" s="106"/>
      <c r="AP168" s="103"/>
      <c r="AQ168" s="102"/>
      <c r="AR168" s="102"/>
      <c r="AS168" s="102"/>
      <c r="AT168" s="107"/>
      <c r="AU168" s="102" t="str">
        <f t="shared" si="3"/>
        <v/>
      </c>
      <c r="AV168" s="102" t="str">
        <f t="shared" si="4"/>
        <v/>
      </c>
      <c r="AW168" s="102" t="str">
        <f t="shared" si="5"/>
        <v/>
      </c>
      <c r="AX168" s="102" t="str">
        <f t="shared" si="6"/>
        <v/>
      </c>
      <c r="AY168" s="107" t="str">
        <f t="shared" si="7"/>
        <v/>
      </c>
      <c r="AZ168" s="108" t="str">
        <f t="shared" si="8"/>
        <v/>
      </c>
      <c r="BA168" s="108" t="str">
        <f t="shared" si="9"/>
        <v/>
      </c>
      <c r="BB168" s="109" t="str">
        <f t="shared" si="10"/>
        <v/>
      </c>
      <c r="BC168" s="108" t="str">
        <f t="shared" si="11"/>
        <v/>
      </c>
      <c r="BD168" s="108" t="str">
        <f t="shared" si="12"/>
        <v/>
      </c>
      <c r="BE168" s="109" t="str">
        <f t="shared" si="13"/>
        <v/>
      </c>
      <c r="BF168" s="110" t="str">
        <f t="shared" si="14"/>
        <v/>
      </c>
      <c r="BG168" s="111"/>
    </row>
    <row r="169" spans="1:59" ht="12.75">
      <c r="A169" s="101"/>
      <c r="B169" s="102"/>
      <c r="C169" s="102" t="e">
        <f t="array" aca="1" ref="C169" ca="1">_xludf.XLOOKUP(A169,'QA Log'!D:D,'QA Log'!F:F,"")</f>
        <v>#NAME?</v>
      </c>
      <c r="D169" s="102"/>
      <c r="E169" s="102" t="e">
        <f t="array" aca="1" ref="E169" ca="1">_xludf.XLOOKUP(A169,'QA Log'!D:D,'QA Log'!G:G,"")</f>
        <v>#NAME?</v>
      </c>
      <c r="F169" s="103"/>
      <c r="G169" s="104"/>
      <c r="H169" s="104"/>
      <c r="I169" s="103" t="str">
        <f t="shared" si="0"/>
        <v/>
      </c>
      <c r="J169" s="102"/>
      <c r="K169" s="102"/>
      <c r="L169" s="119" t="str">
        <f t="array" ref="L169">IF(OR($B169="",$D169=""),"",
IFERROR(
  INDEX(
    'Tools &amp; Targets_Guideline'!$C$54:$I$269,
    MATCH(
      1,
      ('Tools &amp; Targets_Guideline'!$A$54:$A$269=$B169)*
      ('Tools &amp; Targets_Guideline'!$B$54:$B$269="ANC"),
      0
    ),
    MATCH(
      _xludf.IFNA(
        VLOOKUP($D169,{"PH","Provincial Hospital (H2)";"DH","District Hospital (H3)";"RH","Regional / National Hospital (H1)"},2,0),
        $D169
      ),
      'Tools &amp; Targets_Guideline'!$C$53:$I$53,
      0
    )
  ),
0))</f>
        <v/>
      </c>
      <c r="M169" s="105"/>
      <c r="N169" s="119" t="str">
        <f t="array" ref="N169">IF(OR($B169="",$D169=""),"",
IFERROR(
  INDEX(
    'Tools &amp; Targets_Guideline'!$C$54:$I$269,
    MATCH(
      1,
      ('Tools &amp; Targets_Guideline'!$A$54:$A$269=$B169)*
      ('Tools &amp; Targets_Guideline'!$B$54:$B$269="PNC"),
      0
    ),
    MATCH(
      _xludf.IFNA(
        VLOOKUP($D169,{"PH","Provincial Hospital (H2)";"DH","District Hospital (H3)";"RH","Regional / National Hospital (H1)"},2,0),
        $D169
      ),
      'Tools &amp; Targets_Guideline'!$C$53:$I$53,
      0
    )
  ),
0))</f>
        <v/>
      </c>
      <c r="O169" s="105"/>
      <c r="P169" s="119" t="str">
        <f t="array" ref="P169">IF(OR($B169="",$D169=""),"",
IFERROR(
  INDEX(
    'Tools &amp; Targets_Guideline'!$C$54:$I$269,
    MATCH(
      1,
      ('Tools &amp; Targets_Guideline'!$A$54:$A$269=$B169)*
      ('Tools &amp; Targets_Guideline'!$B$54:$B$269="Delivery"),
      0
    ),
    MATCH(
      _xludf.IFNA(
        VLOOKUP($D169,{"PH","Provincial Hospital (H2)";"DH","District Hospital (H3)";"RH","Regional / National Hospital (H1)"},2,0),
        $D169
      ),
      'Tools &amp; Targets_Guideline'!$C$53:$I$53,
      0
    )
  ),
0))</f>
        <v/>
      </c>
      <c r="Q169" s="105"/>
      <c r="R169" s="119" t="str">
        <f t="array" ref="R169">IF(OR($B169="",$D169=""),"",
IFERROR(
  INDEX(
    'Tools &amp; Targets_Guideline'!$C$54:$I$269,
    MATCH(
      1,
      ('Tools &amp; Targets_Guideline'!$A$54:$A$269=$B169)*
      ('Tools &amp; Targets_Guideline'!$B$54:$B$269="TT"),
      0
    ),
    MATCH(
      _xludf.IFNA(
        VLOOKUP($D169,{"PH","Provincial Hospital (H2)";"DH","District Hospital (H3)";"RH","Regional / National Hospital (H1)"},2,0),
        $D169
      ),
      'Tools &amp; Targets_Guideline'!$C$53:$I$53,
      0
    )
  ),
0))</f>
        <v/>
      </c>
      <c r="S169" s="105"/>
      <c r="T169" s="102"/>
      <c r="U169" s="106"/>
      <c r="V169" s="102" t="str">
        <f t="shared" si="1"/>
        <v/>
      </c>
      <c r="W169" s="102"/>
      <c r="X169" s="102"/>
      <c r="Y169" s="119" t="str">
        <f t="array" ref="Y169">IF(OR($B169="",$D169=""),"",
IFERROR(
  INDEX(
    'Tools &amp; Targets_Guideline'!$C$54:$I$269,
    MATCH(
      1,
      ('Tools &amp; Targets_Guideline'!$A$54:$A$269=$B169)*
      ('Tools &amp; Targets_Guideline'!$B$54:$B$269="GM"),
      0
    ),
    MATCH(
      _xludf.IFNA(
        VLOOKUP($D169,{"PH","Provincial Hospital (H2)";"DH","District Hospital (H3)";"RH","Regional / National Hospital (H1)"},2,0),
        $D169
      ),
      'Tools &amp; Targets_Guideline'!$C$53:$I$53,
      0
    )
  ),
0))</f>
        <v/>
      </c>
      <c r="Z169" s="105"/>
      <c r="AA169" s="119" t="str">
        <f t="array" ref="AA169">IF(OR($B169="",$D169=""),"",
IFERROR(
  INDEX(
    'Tools &amp; Targets_Guideline'!$C$54:$I$269,
    MATCH(
      1,
      ('Tools &amp; Targets_Guideline'!$A$54:$A$269=$B169)*
      ('Tools &amp; Targets_Guideline'!$B$54:$B$269="Penta"),
      0
    ),
    MATCH(
      _xludf.IFNA(
        VLOOKUP($D169,{"PH","Provincial Hospital (H2)";"DH","District Hospital (H3)";"RH","Regional / National Hospital (H1)"},2,0),
        $D169
      ),
      'Tools &amp; Targets_Guideline'!$C$53:$I$53,
      0
    )
  ),
0))</f>
        <v/>
      </c>
      <c r="AB169" s="105"/>
      <c r="AC169" s="119" t="str">
        <f t="array" ref="AC169">IF(OR($B169="",$D169=""),"",
IFERROR(
  INDEX(
    'Tools &amp; Targets_Guideline'!$C$54:$I$269,
    MATCH(
      1,
      ('Tools &amp; Targets_Guideline'!$A$54:$A$269=$B169)*
      ('Tools &amp; Targets_Guideline'!$B$54:$B$269="TB"),
      0
    ),
    MATCH(
      _xludf.IFNA(
        VLOOKUP($D169,{"PH","Provincial Hospital (H2)";"DH","District Hospital (H3)";"RH","Regional / National Hospital (H1)"},2,0),
        $D169
      ),
      'Tools &amp; Targets_Guideline'!$C$53:$I$53,
      0
    )
  ),
0))</f>
        <v/>
      </c>
      <c r="AD169" s="105"/>
      <c r="AE169" s="119" t="str">
        <f t="array" ref="AE169">IF(OR($B169="",$D169=""),"",
IFERROR(
  INDEX(
    'Tools &amp; Targets_Guideline'!$C$54:$I$269,
    MATCH(
      1,
      ('Tools &amp; Targets_Guideline'!$A$54:$A$269=$B169)*
      ('Tools &amp; Targets_Guideline'!$B$54:$B$269="U5 Morbidity"),
      0
    ),
    MATCH(
      _xludf.IFNA(
        VLOOKUP($D169,{"PH","Provincial Hospital (H2)";"DH","District Hospital (H3)";"RH","Regional / National Hospital (H1)"},2,0),
        $D169
      ),
      'Tools &amp; Targets_Guideline'!$C$53:$I$53,
      0
    )
  ),
0))</f>
        <v/>
      </c>
      <c r="AF169" s="105"/>
      <c r="AG169" s="119" t="str">
        <f t="array" ref="AG169">IF(OR($B169="",$D169=""),"",
IFERROR(
  INDEX(
    'Tools &amp; Targets_Guideline'!$C$54:$I$269,
    MATCH(
      1,
      ('Tools &amp; Targets_Guideline'!$A$54:$A$269=$B169)*
      ('Tools &amp; Targets_Guideline'!$B$54:$B$269="C-Section"),
      0
    ),
    MATCH(
      _xludf.IFNA(
        VLOOKUP($D169,{"PH","Provincial Hospital (H2)";"DH","District Hospital (H3)";"RH","Regional / National Hospital (H1)"},2,0),
        $D169
      ),
      'Tools &amp; Targets_Guideline'!$C$53:$I$53,
      0
    )
  ),
0))</f>
        <v/>
      </c>
      <c r="AH169" s="105" t="str">
        <f>IF(A169&lt;&gt;"",COUNTIFS('QA Log'!D:D,A169,'QA Log'!M:M,"QQC",'QA Log'!L:L,"2. Hygiene and Sterilization",'QA Log'!Z:Z,"Approved"),"")</f>
        <v/>
      </c>
      <c r="AI169" s="102"/>
      <c r="AJ169" s="102"/>
      <c r="AK169" s="103" t="str">
        <f t="shared" si="2"/>
        <v/>
      </c>
      <c r="AL169" s="102"/>
      <c r="AM169" s="102"/>
      <c r="AN169" s="102"/>
      <c r="AO169" s="106"/>
      <c r="AP169" s="103"/>
      <c r="AQ169" s="102"/>
      <c r="AR169" s="102"/>
      <c r="AS169" s="102"/>
      <c r="AT169" s="107"/>
      <c r="AU169" s="102" t="str">
        <f t="shared" si="3"/>
        <v/>
      </c>
      <c r="AV169" s="102" t="str">
        <f t="shared" si="4"/>
        <v/>
      </c>
      <c r="AW169" s="102" t="str">
        <f t="shared" si="5"/>
        <v/>
      </c>
      <c r="AX169" s="102" t="str">
        <f t="shared" si="6"/>
        <v/>
      </c>
      <c r="AY169" s="107" t="str">
        <f t="shared" si="7"/>
        <v/>
      </c>
      <c r="AZ169" s="108" t="str">
        <f t="shared" si="8"/>
        <v/>
      </c>
      <c r="BA169" s="108" t="str">
        <f t="shared" si="9"/>
        <v/>
      </c>
      <c r="BB169" s="109" t="str">
        <f t="shared" si="10"/>
        <v/>
      </c>
      <c r="BC169" s="108" t="str">
        <f t="shared" si="11"/>
        <v/>
      </c>
      <c r="BD169" s="108" t="str">
        <f t="shared" si="12"/>
        <v/>
      </c>
      <c r="BE169" s="109" t="str">
        <f t="shared" si="13"/>
        <v/>
      </c>
      <c r="BF169" s="110" t="str">
        <f t="shared" si="14"/>
        <v/>
      </c>
      <c r="BG169" s="111"/>
    </row>
    <row r="170" spans="1:59" ht="12.75">
      <c r="A170" s="101"/>
      <c r="B170" s="102"/>
      <c r="C170" s="102" t="e">
        <f t="array" aca="1" ref="C170" ca="1">_xludf.XLOOKUP(A170,'QA Log'!D:D,'QA Log'!F:F,"")</f>
        <v>#NAME?</v>
      </c>
      <c r="D170" s="102"/>
      <c r="E170" s="102" t="e">
        <f t="array" aca="1" ref="E170" ca="1">_xludf.XLOOKUP(A170,'QA Log'!D:D,'QA Log'!G:G,"")</f>
        <v>#NAME?</v>
      </c>
      <c r="F170" s="103"/>
      <c r="G170" s="104"/>
      <c r="H170" s="104"/>
      <c r="I170" s="103" t="str">
        <f t="shared" si="0"/>
        <v/>
      </c>
      <c r="J170" s="102"/>
      <c r="K170" s="102"/>
      <c r="L170" s="119" t="str">
        <f t="array" ref="L170">IF(OR($B170="",$D170=""),"",
IFERROR(
  INDEX(
    'Tools &amp; Targets_Guideline'!$C$54:$I$269,
    MATCH(
      1,
      ('Tools &amp; Targets_Guideline'!$A$54:$A$269=$B170)*
      ('Tools &amp; Targets_Guideline'!$B$54:$B$269="ANC"),
      0
    ),
    MATCH(
      _xludf.IFNA(
        VLOOKUP($D170,{"PH","Provincial Hospital (H2)";"DH","District Hospital (H3)";"RH","Regional / National Hospital (H1)"},2,0),
        $D170
      ),
      'Tools &amp; Targets_Guideline'!$C$53:$I$53,
      0
    )
  ),
0))</f>
        <v/>
      </c>
      <c r="M170" s="105"/>
      <c r="N170" s="119" t="str">
        <f t="array" ref="N170">IF(OR($B170="",$D170=""),"",
IFERROR(
  INDEX(
    'Tools &amp; Targets_Guideline'!$C$54:$I$269,
    MATCH(
      1,
      ('Tools &amp; Targets_Guideline'!$A$54:$A$269=$B170)*
      ('Tools &amp; Targets_Guideline'!$B$54:$B$269="PNC"),
      0
    ),
    MATCH(
      _xludf.IFNA(
        VLOOKUP($D170,{"PH","Provincial Hospital (H2)";"DH","District Hospital (H3)";"RH","Regional / National Hospital (H1)"},2,0),
        $D170
      ),
      'Tools &amp; Targets_Guideline'!$C$53:$I$53,
      0
    )
  ),
0))</f>
        <v/>
      </c>
      <c r="O170" s="105"/>
      <c r="P170" s="119" t="str">
        <f t="array" ref="P170">IF(OR($B170="",$D170=""),"",
IFERROR(
  INDEX(
    'Tools &amp; Targets_Guideline'!$C$54:$I$269,
    MATCH(
      1,
      ('Tools &amp; Targets_Guideline'!$A$54:$A$269=$B170)*
      ('Tools &amp; Targets_Guideline'!$B$54:$B$269="Delivery"),
      0
    ),
    MATCH(
      _xludf.IFNA(
        VLOOKUP($D170,{"PH","Provincial Hospital (H2)";"DH","District Hospital (H3)";"RH","Regional / National Hospital (H1)"},2,0),
        $D170
      ),
      'Tools &amp; Targets_Guideline'!$C$53:$I$53,
      0
    )
  ),
0))</f>
        <v/>
      </c>
      <c r="Q170" s="105"/>
      <c r="R170" s="119" t="str">
        <f t="array" ref="R170">IF(OR($B170="",$D170=""),"",
IFERROR(
  INDEX(
    'Tools &amp; Targets_Guideline'!$C$54:$I$269,
    MATCH(
      1,
      ('Tools &amp; Targets_Guideline'!$A$54:$A$269=$B170)*
      ('Tools &amp; Targets_Guideline'!$B$54:$B$269="TT"),
      0
    ),
    MATCH(
      _xludf.IFNA(
        VLOOKUP($D170,{"PH","Provincial Hospital (H2)";"DH","District Hospital (H3)";"RH","Regional / National Hospital (H1)"},2,0),
        $D170
      ),
      'Tools &amp; Targets_Guideline'!$C$53:$I$53,
      0
    )
  ),
0))</f>
        <v/>
      </c>
      <c r="S170" s="105"/>
      <c r="T170" s="102"/>
      <c r="U170" s="106"/>
      <c r="V170" s="102" t="str">
        <f t="shared" si="1"/>
        <v/>
      </c>
      <c r="W170" s="102"/>
      <c r="X170" s="102"/>
      <c r="Y170" s="119" t="str">
        <f t="array" ref="Y170">IF(OR($B170="",$D170=""),"",
IFERROR(
  INDEX(
    'Tools &amp; Targets_Guideline'!$C$54:$I$269,
    MATCH(
      1,
      ('Tools &amp; Targets_Guideline'!$A$54:$A$269=$B170)*
      ('Tools &amp; Targets_Guideline'!$B$54:$B$269="GM"),
      0
    ),
    MATCH(
      _xludf.IFNA(
        VLOOKUP($D170,{"PH","Provincial Hospital (H2)";"DH","District Hospital (H3)";"RH","Regional / National Hospital (H1)"},2,0),
        $D170
      ),
      'Tools &amp; Targets_Guideline'!$C$53:$I$53,
      0
    )
  ),
0))</f>
        <v/>
      </c>
      <c r="Z170" s="105"/>
      <c r="AA170" s="119" t="str">
        <f t="array" ref="AA170">IF(OR($B170="",$D170=""),"",
IFERROR(
  INDEX(
    'Tools &amp; Targets_Guideline'!$C$54:$I$269,
    MATCH(
      1,
      ('Tools &amp; Targets_Guideline'!$A$54:$A$269=$B170)*
      ('Tools &amp; Targets_Guideline'!$B$54:$B$269="Penta"),
      0
    ),
    MATCH(
      _xludf.IFNA(
        VLOOKUP($D170,{"PH","Provincial Hospital (H2)";"DH","District Hospital (H3)";"RH","Regional / National Hospital (H1)"},2,0),
        $D170
      ),
      'Tools &amp; Targets_Guideline'!$C$53:$I$53,
      0
    )
  ),
0))</f>
        <v/>
      </c>
      <c r="AB170" s="105"/>
      <c r="AC170" s="119" t="str">
        <f t="array" ref="AC170">IF(OR($B170="",$D170=""),"",
IFERROR(
  INDEX(
    'Tools &amp; Targets_Guideline'!$C$54:$I$269,
    MATCH(
      1,
      ('Tools &amp; Targets_Guideline'!$A$54:$A$269=$B170)*
      ('Tools &amp; Targets_Guideline'!$B$54:$B$269="TB"),
      0
    ),
    MATCH(
      _xludf.IFNA(
        VLOOKUP($D170,{"PH","Provincial Hospital (H2)";"DH","District Hospital (H3)";"RH","Regional / National Hospital (H1)"},2,0),
        $D170
      ),
      'Tools &amp; Targets_Guideline'!$C$53:$I$53,
      0
    )
  ),
0))</f>
        <v/>
      </c>
      <c r="AD170" s="105"/>
      <c r="AE170" s="119" t="str">
        <f t="array" ref="AE170">IF(OR($B170="",$D170=""),"",
IFERROR(
  INDEX(
    'Tools &amp; Targets_Guideline'!$C$54:$I$269,
    MATCH(
      1,
      ('Tools &amp; Targets_Guideline'!$A$54:$A$269=$B170)*
      ('Tools &amp; Targets_Guideline'!$B$54:$B$269="U5 Morbidity"),
      0
    ),
    MATCH(
      _xludf.IFNA(
        VLOOKUP($D170,{"PH","Provincial Hospital (H2)";"DH","District Hospital (H3)";"RH","Regional / National Hospital (H1)"},2,0),
        $D170
      ),
      'Tools &amp; Targets_Guideline'!$C$53:$I$53,
      0
    )
  ),
0))</f>
        <v/>
      </c>
      <c r="AF170" s="105"/>
      <c r="AG170" s="119" t="str">
        <f t="array" ref="AG170">IF(OR($B170="",$D170=""),"",
IFERROR(
  INDEX(
    'Tools &amp; Targets_Guideline'!$C$54:$I$269,
    MATCH(
      1,
      ('Tools &amp; Targets_Guideline'!$A$54:$A$269=$B170)*
      ('Tools &amp; Targets_Guideline'!$B$54:$B$269="C-Section"),
      0
    ),
    MATCH(
      _xludf.IFNA(
        VLOOKUP($D170,{"PH","Provincial Hospital (H2)";"DH","District Hospital (H3)";"RH","Regional / National Hospital (H1)"},2,0),
        $D170
      ),
      'Tools &amp; Targets_Guideline'!$C$53:$I$53,
      0
    )
  ),
0))</f>
        <v/>
      </c>
      <c r="AH170" s="105" t="str">
        <f>IF(A170&lt;&gt;"",COUNTIFS('QA Log'!D:D,A170,'QA Log'!M:M,"QQC",'QA Log'!L:L,"2. Hygiene and Sterilization",'QA Log'!Z:Z,"Approved"),"")</f>
        <v/>
      </c>
      <c r="AI170" s="102"/>
      <c r="AJ170" s="102"/>
      <c r="AK170" s="103" t="str">
        <f t="shared" si="2"/>
        <v/>
      </c>
      <c r="AL170" s="102"/>
      <c r="AM170" s="102"/>
      <c r="AN170" s="102"/>
      <c r="AO170" s="106"/>
      <c r="AP170" s="103"/>
      <c r="AQ170" s="102"/>
      <c r="AR170" s="102"/>
      <c r="AS170" s="102"/>
      <c r="AT170" s="107"/>
      <c r="AU170" s="102" t="str">
        <f t="shared" si="3"/>
        <v/>
      </c>
      <c r="AV170" s="102" t="str">
        <f t="shared" si="4"/>
        <v/>
      </c>
      <c r="AW170" s="102" t="str">
        <f t="shared" si="5"/>
        <v/>
      </c>
      <c r="AX170" s="102" t="str">
        <f t="shared" si="6"/>
        <v/>
      </c>
      <c r="AY170" s="107" t="str">
        <f t="shared" si="7"/>
        <v/>
      </c>
      <c r="AZ170" s="108" t="str">
        <f t="shared" si="8"/>
        <v/>
      </c>
      <c r="BA170" s="108" t="str">
        <f t="shared" si="9"/>
        <v/>
      </c>
      <c r="BB170" s="109" t="str">
        <f t="shared" si="10"/>
        <v/>
      </c>
      <c r="BC170" s="108" t="str">
        <f t="shared" si="11"/>
        <v/>
      </c>
      <c r="BD170" s="108" t="str">
        <f t="shared" si="12"/>
        <v/>
      </c>
      <c r="BE170" s="109" t="str">
        <f t="shared" si="13"/>
        <v/>
      </c>
      <c r="BF170" s="110" t="str">
        <f t="shared" si="14"/>
        <v/>
      </c>
      <c r="BG170" s="111"/>
    </row>
    <row r="171" spans="1:59" ht="12.75">
      <c r="A171" s="101"/>
      <c r="B171" s="102"/>
      <c r="C171" s="102" t="e">
        <f t="array" aca="1" ref="C171" ca="1">_xludf.XLOOKUP(A171,'QA Log'!D:D,'QA Log'!F:F,"")</f>
        <v>#NAME?</v>
      </c>
      <c r="D171" s="102"/>
      <c r="E171" s="102" t="e">
        <f t="array" aca="1" ref="E171" ca="1">_xludf.XLOOKUP(A171,'QA Log'!D:D,'QA Log'!G:G,"")</f>
        <v>#NAME?</v>
      </c>
      <c r="F171" s="103"/>
      <c r="G171" s="104"/>
      <c r="H171" s="104"/>
      <c r="I171" s="103" t="str">
        <f t="shared" si="0"/>
        <v/>
      </c>
      <c r="J171" s="102"/>
      <c r="K171" s="102"/>
      <c r="L171" s="119" t="str">
        <f t="array" ref="L171">IF(OR($B171="",$D171=""),"",
IFERROR(
  INDEX(
    'Tools &amp; Targets_Guideline'!$C$54:$I$269,
    MATCH(
      1,
      ('Tools &amp; Targets_Guideline'!$A$54:$A$269=$B171)*
      ('Tools &amp; Targets_Guideline'!$B$54:$B$269="ANC"),
      0
    ),
    MATCH(
      _xludf.IFNA(
        VLOOKUP($D171,{"PH","Provincial Hospital (H2)";"DH","District Hospital (H3)";"RH","Regional / National Hospital (H1)"},2,0),
        $D171
      ),
      'Tools &amp; Targets_Guideline'!$C$53:$I$53,
      0
    )
  ),
0))</f>
        <v/>
      </c>
      <c r="M171" s="105"/>
      <c r="N171" s="119" t="str">
        <f t="array" ref="N171">IF(OR($B171="",$D171=""),"",
IFERROR(
  INDEX(
    'Tools &amp; Targets_Guideline'!$C$54:$I$269,
    MATCH(
      1,
      ('Tools &amp; Targets_Guideline'!$A$54:$A$269=$B171)*
      ('Tools &amp; Targets_Guideline'!$B$54:$B$269="PNC"),
      0
    ),
    MATCH(
      _xludf.IFNA(
        VLOOKUP($D171,{"PH","Provincial Hospital (H2)";"DH","District Hospital (H3)";"RH","Regional / National Hospital (H1)"},2,0),
        $D171
      ),
      'Tools &amp; Targets_Guideline'!$C$53:$I$53,
      0
    )
  ),
0))</f>
        <v/>
      </c>
      <c r="O171" s="105"/>
      <c r="P171" s="119" t="str">
        <f t="array" ref="P171">IF(OR($B171="",$D171=""),"",
IFERROR(
  INDEX(
    'Tools &amp; Targets_Guideline'!$C$54:$I$269,
    MATCH(
      1,
      ('Tools &amp; Targets_Guideline'!$A$54:$A$269=$B171)*
      ('Tools &amp; Targets_Guideline'!$B$54:$B$269="Delivery"),
      0
    ),
    MATCH(
      _xludf.IFNA(
        VLOOKUP($D171,{"PH","Provincial Hospital (H2)";"DH","District Hospital (H3)";"RH","Regional / National Hospital (H1)"},2,0),
        $D171
      ),
      'Tools &amp; Targets_Guideline'!$C$53:$I$53,
      0
    )
  ),
0))</f>
        <v/>
      </c>
      <c r="Q171" s="105"/>
      <c r="R171" s="119" t="str">
        <f t="array" ref="R171">IF(OR($B171="",$D171=""),"",
IFERROR(
  INDEX(
    'Tools &amp; Targets_Guideline'!$C$54:$I$269,
    MATCH(
      1,
      ('Tools &amp; Targets_Guideline'!$A$54:$A$269=$B171)*
      ('Tools &amp; Targets_Guideline'!$B$54:$B$269="TT"),
      0
    ),
    MATCH(
      _xludf.IFNA(
        VLOOKUP($D171,{"PH","Provincial Hospital (H2)";"DH","District Hospital (H3)";"RH","Regional / National Hospital (H1)"},2,0),
        $D171
      ),
      'Tools &amp; Targets_Guideline'!$C$53:$I$53,
      0
    )
  ),
0))</f>
        <v/>
      </c>
      <c r="S171" s="105"/>
      <c r="T171" s="102"/>
      <c r="U171" s="106"/>
      <c r="V171" s="102" t="str">
        <f t="shared" si="1"/>
        <v/>
      </c>
      <c r="W171" s="102"/>
      <c r="X171" s="102"/>
      <c r="Y171" s="119" t="str">
        <f t="array" ref="Y171">IF(OR($B171="",$D171=""),"",
IFERROR(
  INDEX(
    'Tools &amp; Targets_Guideline'!$C$54:$I$269,
    MATCH(
      1,
      ('Tools &amp; Targets_Guideline'!$A$54:$A$269=$B171)*
      ('Tools &amp; Targets_Guideline'!$B$54:$B$269="GM"),
      0
    ),
    MATCH(
      _xludf.IFNA(
        VLOOKUP($D171,{"PH","Provincial Hospital (H2)";"DH","District Hospital (H3)";"RH","Regional / National Hospital (H1)"},2,0),
        $D171
      ),
      'Tools &amp; Targets_Guideline'!$C$53:$I$53,
      0
    )
  ),
0))</f>
        <v/>
      </c>
      <c r="Z171" s="105"/>
      <c r="AA171" s="119" t="str">
        <f t="array" ref="AA171">IF(OR($B171="",$D171=""),"",
IFERROR(
  INDEX(
    'Tools &amp; Targets_Guideline'!$C$54:$I$269,
    MATCH(
      1,
      ('Tools &amp; Targets_Guideline'!$A$54:$A$269=$B171)*
      ('Tools &amp; Targets_Guideline'!$B$54:$B$269="Penta"),
      0
    ),
    MATCH(
      _xludf.IFNA(
        VLOOKUP($D171,{"PH","Provincial Hospital (H2)";"DH","District Hospital (H3)";"RH","Regional / National Hospital (H1)"},2,0),
        $D171
      ),
      'Tools &amp; Targets_Guideline'!$C$53:$I$53,
      0
    )
  ),
0))</f>
        <v/>
      </c>
      <c r="AB171" s="105"/>
      <c r="AC171" s="119" t="str">
        <f t="array" ref="AC171">IF(OR($B171="",$D171=""),"",
IFERROR(
  INDEX(
    'Tools &amp; Targets_Guideline'!$C$54:$I$269,
    MATCH(
      1,
      ('Tools &amp; Targets_Guideline'!$A$54:$A$269=$B171)*
      ('Tools &amp; Targets_Guideline'!$B$54:$B$269="TB"),
      0
    ),
    MATCH(
      _xludf.IFNA(
        VLOOKUP($D171,{"PH","Provincial Hospital (H2)";"DH","District Hospital (H3)";"RH","Regional / National Hospital (H1)"},2,0),
        $D171
      ),
      'Tools &amp; Targets_Guideline'!$C$53:$I$53,
      0
    )
  ),
0))</f>
        <v/>
      </c>
      <c r="AD171" s="105"/>
      <c r="AE171" s="119" t="str">
        <f t="array" ref="AE171">IF(OR($B171="",$D171=""),"",
IFERROR(
  INDEX(
    'Tools &amp; Targets_Guideline'!$C$54:$I$269,
    MATCH(
      1,
      ('Tools &amp; Targets_Guideline'!$A$54:$A$269=$B171)*
      ('Tools &amp; Targets_Guideline'!$B$54:$B$269="U5 Morbidity"),
      0
    ),
    MATCH(
      _xludf.IFNA(
        VLOOKUP($D171,{"PH","Provincial Hospital (H2)";"DH","District Hospital (H3)";"RH","Regional / National Hospital (H1)"},2,0),
        $D171
      ),
      'Tools &amp; Targets_Guideline'!$C$53:$I$53,
      0
    )
  ),
0))</f>
        <v/>
      </c>
      <c r="AF171" s="105"/>
      <c r="AG171" s="119" t="str">
        <f t="array" ref="AG171">IF(OR($B171="",$D171=""),"",
IFERROR(
  INDEX(
    'Tools &amp; Targets_Guideline'!$C$54:$I$269,
    MATCH(
      1,
      ('Tools &amp; Targets_Guideline'!$A$54:$A$269=$B171)*
      ('Tools &amp; Targets_Guideline'!$B$54:$B$269="C-Section"),
      0
    ),
    MATCH(
      _xludf.IFNA(
        VLOOKUP($D171,{"PH","Provincial Hospital (H2)";"DH","District Hospital (H3)";"RH","Regional / National Hospital (H1)"},2,0),
        $D171
      ),
      'Tools &amp; Targets_Guideline'!$C$53:$I$53,
      0
    )
  ),
0))</f>
        <v/>
      </c>
      <c r="AH171" s="105" t="str">
        <f>IF(A171&lt;&gt;"",COUNTIFS('QA Log'!D:D,A171,'QA Log'!M:M,"QQC",'QA Log'!L:L,"2. Hygiene and Sterilization",'QA Log'!Z:Z,"Approved"),"")</f>
        <v/>
      </c>
      <c r="AI171" s="102"/>
      <c r="AJ171" s="102"/>
      <c r="AK171" s="103" t="str">
        <f t="shared" si="2"/>
        <v/>
      </c>
      <c r="AL171" s="102"/>
      <c r="AM171" s="102"/>
      <c r="AN171" s="102"/>
      <c r="AO171" s="106"/>
      <c r="AP171" s="103"/>
      <c r="AQ171" s="102"/>
      <c r="AR171" s="102"/>
      <c r="AS171" s="102"/>
      <c r="AT171" s="107"/>
      <c r="AU171" s="102" t="str">
        <f t="shared" si="3"/>
        <v/>
      </c>
      <c r="AV171" s="102" t="str">
        <f t="shared" si="4"/>
        <v/>
      </c>
      <c r="AW171" s="102" t="str">
        <f t="shared" si="5"/>
        <v/>
      </c>
      <c r="AX171" s="102" t="str">
        <f t="shared" si="6"/>
        <v/>
      </c>
      <c r="AY171" s="107" t="str">
        <f t="shared" si="7"/>
        <v/>
      </c>
      <c r="AZ171" s="108" t="str">
        <f t="shared" si="8"/>
        <v/>
      </c>
      <c r="BA171" s="108" t="str">
        <f t="shared" si="9"/>
        <v/>
      </c>
      <c r="BB171" s="109" t="str">
        <f t="shared" si="10"/>
        <v/>
      </c>
      <c r="BC171" s="108" t="str">
        <f t="shared" si="11"/>
        <v/>
      </c>
      <c r="BD171" s="108" t="str">
        <f t="shared" si="12"/>
        <v/>
      </c>
      <c r="BE171" s="109" t="str">
        <f t="shared" si="13"/>
        <v/>
      </c>
      <c r="BF171" s="110" t="str">
        <f t="shared" si="14"/>
        <v/>
      </c>
      <c r="BG171" s="111"/>
    </row>
    <row r="172" spans="1:59" ht="12.75">
      <c r="A172" s="101"/>
      <c r="B172" s="102"/>
      <c r="C172" s="102" t="e">
        <f t="array" aca="1" ref="C172" ca="1">_xludf.XLOOKUP(A172,'QA Log'!D:D,'QA Log'!F:F,"")</f>
        <v>#NAME?</v>
      </c>
      <c r="D172" s="102"/>
      <c r="E172" s="102" t="e">
        <f t="array" aca="1" ref="E172" ca="1">_xludf.XLOOKUP(A172,'QA Log'!D:D,'QA Log'!G:G,"")</f>
        <v>#NAME?</v>
      </c>
      <c r="F172" s="103"/>
      <c r="G172" s="104"/>
      <c r="H172" s="104"/>
      <c r="I172" s="103" t="str">
        <f t="shared" si="0"/>
        <v/>
      </c>
      <c r="J172" s="102"/>
      <c r="K172" s="102"/>
      <c r="L172" s="119" t="str">
        <f t="array" ref="L172">IF(OR($B172="",$D172=""),"",
IFERROR(
  INDEX(
    'Tools &amp; Targets_Guideline'!$C$54:$I$269,
    MATCH(
      1,
      ('Tools &amp; Targets_Guideline'!$A$54:$A$269=$B172)*
      ('Tools &amp; Targets_Guideline'!$B$54:$B$269="ANC"),
      0
    ),
    MATCH(
      _xludf.IFNA(
        VLOOKUP($D172,{"PH","Provincial Hospital (H2)";"DH","District Hospital (H3)";"RH","Regional / National Hospital (H1)"},2,0),
        $D172
      ),
      'Tools &amp; Targets_Guideline'!$C$53:$I$53,
      0
    )
  ),
0))</f>
        <v/>
      </c>
      <c r="M172" s="105"/>
      <c r="N172" s="119" t="str">
        <f t="array" ref="N172">IF(OR($B172="",$D172=""),"",
IFERROR(
  INDEX(
    'Tools &amp; Targets_Guideline'!$C$54:$I$269,
    MATCH(
      1,
      ('Tools &amp; Targets_Guideline'!$A$54:$A$269=$B172)*
      ('Tools &amp; Targets_Guideline'!$B$54:$B$269="PNC"),
      0
    ),
    MATCH(
      _xludf.IFNA(
        VLOOKUP($D172,{"PH","Provincial Hospital (H2)";"DH","District Hospital (H3)";"RH","Regional / National Hospital (H1)"},2,0),
        $D172
      ),
      'Tools &amp; Targets_Guideline'!$C$53:$I$53,
      0
    )
  ),
0))</f>
        <v/>
      </c>
      <c r="O172" s="105"/>
      <c r="P172" s="119" t="str">
        <f t="array" ref="P172">IF(OR($B172="",$D172=""),"",
IFERROR(
  INDEX(
    'Tools &amp; Targets_Guideline'!$C$54:$I$269,
    MATCH(
      1,
      ('Tools &amp; Targets_Guideline'!$A$54:$A$269=$B172)*
      ('Tools &amp; Targets_Guideline'!$B$54:$B$269="Delivery"),
      0
    ),
    MATCH(
      _xludf.IFNA(
        VLOOKUP($D172,{"PH","Provincial Hospital (H2)";"DH","District Hospital (H3)";"RH","Regional / National Hospital (H1)"},2,0),
        $D172
      ),
      'Tools &amp; Targets_Guideline'!$C$53:$I$53,
      0
    )
  ),
0))</f>
        <v/>
      </c>
      <c r="Q172" s="105"/>
      <c r="R172" s="119" t="str">
        <f t="array" ref="R172">IF(OR($B172="",$D172=""),"",
IFERROR(
  INDEX(
    'Tools &amp; Targets_Guideline'!$C$54:$I$269,
    MATCH(
      1,
      ('Tools &amp; Targets_Guideline'!$A$54:$A$269=$B172)*
      ('Tools &amp; Targets_Guideline'!$B$54:$B$269="TT"),
      0
    ),
    MATCH(
      _xludf.IFNA(
        VLOOKUP($D172,{"PH","Provincial Hospital (H2)";"DH","District Hospital (H3)";"RH","Regional / National Hospital (H1)"},2,0),
        $D172
      ),
      'Tools &amp; Targets_Guideline'!$C$53:$I$53,
      0
    )
  ),
0))</f>
        <v/>
      </c>
      <c r="S172" s="105"/>
      <c r="T172" s="102"/>
      <c r="U172" s="106"/>
      <c r="V172" s="102" t="str">
        <f t="shared" si="1"/>
        <v/>
      </c>
      <c r="W172" s="102"/>
      <c r="X172" s="102"/>
      <c r="Y172" s="119" t="str">
        <f t="array" ref="Y172">IF(OR($B172="",$D172=""),"",
IFERROR(
  INDEX(
    'Tools &amp; Targets_Guideline'!$C$54:$I$269,
    MATCH(
      1,
      ('Tools &amp; Targets_Guideline'!$A$54:$A$269=$B172)*
      ('Tools &amp; Targets_Guideline'!$B$54:$B$269="GM"),
      0
    ),
    MATCH(
      _xludf.IFNA(
        VLOOKUP($D172,{"PH","Provincial Hospital (H2)";"DH","District Hospital (H3)";"RH","Regional / National Hospital (H1)"},2,0),
        $D172
      ),
      'Tools &amp; Targets_Guideline'!$C$53:$I$53,
      0
    )
  ),
0))</f>
        <v/>
      </c>
      <c r="Z172" s="105"/>
      <c r="AA172" s="119" t="str">
        <f t="array" ref="AA172">IF(OR($B172="",$D172=""),"",
IFERROR(
  INDEX(
    'Tools &amp; Targets_Guideline'!$C$54:$I$269,
    MATCH(
      1,
      ('Tools &amp; Targets_Guideline'!$A$54:$A$269=$B172)*
      ('Tools &amp; Targets_Guideline'!$B$54:$B$269="Penta"),
      0
    ),
    MATCH(
      _xludf.IFNA(
        VLOOKUP($D172,{"PH","Provincial Hospital (H2)";"DH","District Hospital (H3)";"RH","Regional / National Hospital (H1)"},2,0),
        $D172
      ),
      'Tools &amp; Targets_Guideline'!$C$53:$I$53,
      0
    )
  ),
0))</f>
        <v/>
      </c>
      <c r="AB172" s="105"/>
      <c r="AC172" s="119" t="str">
        <f t="array" ref="AC172">IF(OR($B172="",$D172=""),"",
IFERROR(
  INDEX(
    'Tools &amp; Targets_Guideline'!$C$54:$I$269,
    MATCH(
      1,
      ('Tools &amp; Targets_Guideline'!$A$54:$A$269=$B172)*
      ('Tools &amp; Targets_Guideline'!$B$54:$B$269="TB"),
      0
    ),
    MATCH(
      _xludf.IFNA(
        VLOOKUP($D172,{"PH","Provincial Hospital (H2)";"DH","District Hospital (H3)";"RH","Regional / National Hospital (H1)"},2,0),
        $D172
      ),
      'Tools &amp; Targets_Guideline'!$C$53:$I$53,
      0
    )
  ),
0))</f>
        <v/>
      </c>
      <c r="AD172" s="105"/>
      <c r="AE172" s="119" t="str">
        <f t="array" ref="AE172">IF(OR($B172="",$D172=""),"",
IFERROR(
  INDEX(
    'Tools &amp; Targets_Guideline'!$C$54:$I$269,
    MATCH(
      1,
      ('Tools &amp; Targets_Guideline'!$A$54:$A$269=$B172)*
      ('Tools &amp; Targets_Guideline'!$B$54:$B$269="U5 Morbidity"),
      0
    ),
    MATCH(
      _xludf.IFNA(
        VLOOKUP($D172,{"PH","Provincial Hospital (H2)";"DH","District Hospital (H3)";"RH","Regional / National Hospital (H1)"},2,0),
        $D172
      ),
      'Tools &amp; Targets_Guideline'!$C$53:$I$53,
      0
    )
  ),
0))</f>
        <v/>
      </c>
      <c r="AF172" s="105"/>
      <c r="AG172" s="119" t="str">
        <f t="array" ref="AG172">IF(OR($B172="",$D172=""),"",
IFERROR(
  INDEX(
    'Tools &amp; Targets_Guideline'!$C$54:$I$269,
    MATCH(
      1,
      ('Tools &amp; Targets_Guideline'!$A$54:$A$269=$B172)*
      ('Tools &amp; Targets_Guideline'!$B$54:$B$269="C-Section"),
      0
    ),
    MATCH(
      _xludf.IFNA(
        VLOOKUP($D172,{"PH","Provincial Hospital (H2)";"DH","District Hospital (H3)";"RH","Regional / National Hospital (H1)"},2,0),
        $D172
      ),
      'Tools &amp; Targets_Guideline'!$C$53:$I$53,
      0
    )
  ),
0))</f>
        <v/>
      </c>
      <c r="AH172" s="105" t="str">
        <f>IF(A172&lt;&gt;"",COUNTIFS('QA Log'!D:D,A172,'QA Log'!M:M,"QQC",'QA Log'!L:L,"2. Hygiene and Sterilization",'QA Log'!Z:Z,"Approved"),"")</f>
        <v/>
      </c>
      <c r="AI172" s="102"/>
      <c r="AJ172" s="102"/>
      <c r="AK172" s="103" t="str">
        <f t="shared" si="2"/>
        <v/>
      </c>
      <c r="AL172" s="102"/>
      <c r="AM172" s="102"/>
      <c r="AN172" s="102"/>
      <c r="AO172" s="106"/>
      <c r="AP172" s="103"/>
      <c r="AQ172" s="102"/>
      <c r="AR172" s="102"/>
      <c r="AS172" s="102"/>
      <c r="AT172" s="107"/>
      <c r="AU172" s="102" t="str">
        <f t="shared" si="3"/>
        <v/>
      </c>
      <c r="AV172" s="102" t="str">
        <f t="shared" si="4"/>
        <v/>
      </c>
      <c r="AW172" s="102" t="str">
        <f t="shared" si="5"/>
        <v/>
      </c>
      <c r="AX172" s="102" t="str">
        <f t="shared" si="6"/>
        <v/>
      </c>
      <c r="AY172" s="107" t="str">
        <f t="shared" si="7"/>
        <v/>
      </c>
      <c r="AZ172" s="108" t="str">
        <f t="shared" si="8"/>
        <v/>
      </c>
      <c r="BA172" s="108" t="str">
        <f t="shared" si="9"/>
        <v/>
      </c>
      <c r="BB172" s="109" t="str">
        <f t="shared" si="10"/>
        <v/>
      </c>
      <c r="BC172" s="108" t="str">
        <f t="shared" si="11"/>
        <v/>
      </c>
      <c r="BD172" s="108" t="str">
        <f t="shared" si="12"/>
        <v/>
      </c>
      <c r="BE172" s="109" t="str">
        <f t="shared" si="13"/>
        <v/>
      </c>
      <c r="BF172" s="110" t="str">
        <f t="shared" si="14"/>
        <v/>
      </c>
      <c r="BG172" s="111"/>
    </row>
    <row r="173" spans="1:59" ht="12.75">
      <c r="A173" s="101"/>
      <c r="B173" s="102"/>
      <c r="C173" s="102" t="e">
        <f t="array" aca="1" ref="C173" ca="1">_xludf.XLOOKUP(A173,'QA Log'!D:D,'QA Log'!F:F,"")</f>
        <v>#NAME?</v>
      </c>
      <c r="D173" s="102"/>
      <c r="E173" s="102" t="e">
        <f t="array" aca="1" ref="E173" ca="1">_xludf.XLOOKUP(A173,'QA Log'!D:D,'QA Log'!G:G,"")</f>
        <v>#NAME?</v>
      </c>
      <c r="F173" s="103"/>
      <c r="G173" s="104"/>
      <c r="H173" s="104"/>
      <c r="I173" s="103" t="str">
        <f t="shared" si="0"/>
        <v/>
      </c>
      <c r="J173" s="102"/>
      <c r="K173" s="102"/>
      <c r="L173" s="119" t="str">
        <f t="array" ref="L173">IF(OR($B173="",$D173=""),"",
IFERROR(
  INDEX(
    'Tools &amp; Targets_Guideline'!$C$54:$I$269,
    MATCH(
      1,
      ('Tools &amp; Targets_Guideline'!$A$54:$A$269=$B173)*
      ('Tools &amp; Targets_Guideline'!$B$54:$B$269="ANC"),
      0
    ),
    MATCH(
      _xludf.IFNA(
        VLOOKUP($D173,{"PH","Provincial Hospital (H2)";"DH","District Hospital (H3)";"RH","Regional / National Hospital (H1)"},2,0),
        $D173
      ),
      'Tools &amp; Targets_Guideline'!$C$53:$I$53,
      0
    )
  ),
0))</f>
        <v/>
      </c>
      <c r="M173" s="105"/>
      <c r="N173" s="119" t="str">
        <f t="array" ref="N173">IF(OR($B173="",$D173=""),"",
IFERROR(
  INDEX(
    'Tools &amp; Targets_Guideline'!$C$54:$I$269,
    MATCH(
      1,
      ('Tools &amp; Targets_Guideline'!$A$54:$A$269=$B173)*
      ('Tools &amp; Targets_Guideline'!$B$54:$B$269="PNC"),
      0
    ),
    MATCH(
      _xludf.IFNA(
        VLOOKUP($D173,{"PH","Provincial Hospital (H2)";"DH","District Hospital (H3)";"RH","Regional / National Hospital (H1)"},2,0),
        $D173
      ),
      'Tools &amp; Targets_Guideline'!$C$53:$I$53,
      0
    )
  ),
0))</f>
        <v/>
      </c>
      <c r="O173" s="105"/>
      <c r="P173" s="119" t="str">
        <f t="array" ref="P173">IF(OR($B173="",$D173=""),"",
IFERROR(
  INDEX(
    'Tools &amp; Targets_Guideline'!$C$54:$I$269,
    MATCH(
      1,
      ('Tools &amp; Targets_Guideline'!$A$54:$A$269=$B173)*
      ('Tools &amp; Targets_Guideline'!$B$54:$B$269="Delivery"),
      0
    ),
    MATCH(
      _xludf.IFNA(
        VLOOKUP($D173,{"PH","Provincial Hospital (H2)";"DH","District Hospital (H3)";"RH","Regional / National Hospital (H1)"},2,0),
        $D173
      ),
      'Tools &amp; Targets_Guideline'!$C$53:$I$53,
      0
    )
  ),
0))</f>
        <v/>
      </c>
      <c r="Q173" s="105"/>
      <c r="R173" s="119" t="str">
        <f t="array" ref="R173">IF(OR($B173="",$D173=""),"",
IFERROR(
  INDEX(
    'Tools &amp; Targets_Guideline'!$C$54:$I$269,
    MATCH(
      1,
      ('Tools &amp; Targets_Guideline'!$A$54:$A$269=$B173)*
      ('Tools &amp; Targets_Guideline'!$B$54:$B$269="TT"),
      0
    ),
    MATCH(
      _xludf.IFNA(
        VLOOKUP($D173,{"PH","Provincial Hospital (H2)";"DH","District Hospital (H3)";"RH","Regional / National Hospital (H1)"},2,0),
        $D173
      ),
      'Tools &amp; Targets_Guideline'!$C$53:$I$53,
      0
    )
  ),
0))</f>
        <v/>
      </c>
      <c r="S173" s="105"/>
      <c r="T173" s="102"/>
      <c r="U173" s="106"/>
      <c r="V173" s="102" t="str">
        <f t="shared" si="1"/>
        <v/>
      </c>
      <c r="W173" s="102"/>
      <c r="X173" s="102"/>
      <c r="Y173" s="119" t="str">
        <f t="array" ref="Y173">IF(OR($B173="",$D173=""),"",
IFERROR(
  INDEX(
    'Tools &amp; Targets_Guideline'!$C$54:$I$269,
    MATCH(
      1,
      ('Tools &amp; Targets_Guideline'!$A$54:$A$269=$B173)*
      ('Tools &amp; Targets_Guideline'!$B$54:$B$269="GM"),
      0
    ),
    MATCH(
      _xludf.IFNA(
        VLOOKUP($D173,{"PH","Provincial Hospital (H2)";"DH","District Hospital (H3)";"RH","Regional / National Hospital (H1)"},2,0),
        $D173
      ),
      'Tools &amp; Targets_Guideline'!$C$53:$I$53,
      0
    )
  ),
0))</f>
        <v/>
      </c>
      <c r="Z173" s="105"/>
      <c r="AA173" s="119" t="str">
        <f t="array" ref="AA173">IF(OR($B173="",$D173=""),"",
IFERROR(
  INDEX(
    'Tools &amp; Targets_Guideline'!$C$54:$I$269,
    MATCH(
      1,
      ('Tools &amp; Targets_Guideline'!$A$54:$A$269=$B173)*
      ('Tools &amp; Targets_Guideline'!$B$54:$B$269="Penta"),
      0
    ),
    MATCH(
      _xludf.IFNA(
        VLOOKUP($D173,{"PH","Provincial Hospital (H2)";"DH","District Hospital (H3)";"RH","Regional / National Hospital (H1)"},2,0),
        $D173
      ),
      'Tools &amp; Targets_Guideline'!$C$53:$I$53,
      0
    )
  ),
0))</f>
        <v/>
      </c>
      <c r="AB173" s="105"/>
      <c r="AC173" s="119" t="str">
        <f t="array" ref="AC173">IF(OR($B173="",$D173=""),"",
IFERROR(
  INDEX(
    'Tools &amp; Targets_Guideline'!$C$54:$I$269,
    MATCH(
      1,
      ('Tools &amp; Targets_Guideline'!$A$54:$A$269=$B173)*
      ('Tools &amp; Targets_Guideline'!$B$54:$B$269="TB"),
      0
    ),
    MATCH(
      _xludf.IFNA(
        VLOOKUP($D173,{"PH","Provincial Hospital (H2)";"DH","District Hospital (H3)";"RH","Regional / National Hospital (H1)"},2,0),
        $D173
      ),
      'Tools &amp; Targets_Guideline'!$C$53:$I$53,
      0
    )
  ),
0))</f>
        <v/>
      </c>
      <c r="AD173" s="105"/>
      <c r="AE173" s="119" t="str">
        <f t="array" ref="AE173">IF(OR($B173="",$D173=""),"",
IFERROR(
  INDEX(
    'Tools &amp; Targets_Guideline'!$C$54:$I$269,
    MATCH(
      1,
      ('Tools &amp; Targets_Guideline'!$A$54:$A$269=$B173)*
      ('Tools &amp; Targets_Guideline'!$B$54:$B$269="U5 Morbidity"),
      0
    ),
    MATCH(
      _xludf.IFNA(
        VLOOKUP($D173,{"PH","Provincial Hospital (H2)";"DH","District Hospital (H3)";"RH","Regional / National Hospital (H1)"},2,0),
        $D173
      ),
      'Tools &amp; Targets_Guideline'!$C$53:$I$53,
      0
    )
  ),
0))</f>
        <v/>
      </c>
      <c r="AF173" s="105"/>
      <c r="AG173" s="119" t="str">
        <f t="array" ref="AG173">IF(OR($B173="",$D173=""),"",
IFERROR(
  INDEX(
    'Tools &amp; Targets_Guideline'!$C$54:$I$269,
    MATCH(
      1,
      ('Tools &amp; Targets_Guideline'!$A$54:$A$269=$B173)*
      ('Tools &amp; Targets_Guideline'!$B$54:$B$269="C-Section"),
      0
    ),
    MATCH(
      _xludf.IFNA(
        VLOOKUP($D173,{"PH","Provincial Hospital (H2)";"DH","District Hospital (H3)";"RH","Regional / National Hospital (H1)"},2,0),
        $D173
      ),
      'Tools &amp; Targets_Guideline'!$C$53:$I$53,
      0
    )
  ),
0))</f>
        <v/>
      </c>
      <c r="AH173" s="105" t="str">
        <f>IF(A173&lt;&gt;"",COUNTIFS('QA Log'!D:D,A173,'QA Log'!M:M,"QQC",'QA Log'!L:L,"2. Hygiene and Sterilization",'QA Log'!Z:Z,"Approved"),"")</f>
        <v/>
      </c>
      <c r="AI173" s="102"/>
      <c r="AJ173" s="102"/>
      <c r="AK173" s="103" t="str">
        <f t="shared" si="2"/>
        <v/>
      </c>
      <c r="AL173" s="102"/>
      <c r="AM173" s="102"/>
      <c r="AN173" s="102"/>
      <c r="AO173" s="106"/>
      <c r="AP173" s="103"/>
      <c r="AQ173" s="102"/>
      <c r="AR173" s="102"/>
      <c r="AS173" s="102"/>
      <c r="AT173" s="107"/>
      <c r="AU173" s="102" t="str">
        <f t="shared" si="3"/>
        <v/>
      </c>
      <c r="AV173" s="102" t="str">
        <f t="shared" si="4"/>
        <v/>
      </c>
      <c r="AW173" s="102" t="str">
        <f t="shared" si="5"/>
        <v/>
      </c>
      <c r="AX173" s="102" t="str">
        <f t="shared" si="6"/>
        <v/>
      </c>
      <c r="AY173" s="107" t="str">
        <f t="shared" si="7"/>
        <v/>
      </c>
      <c r="AZ173" s="108" t="str">
        <f t="shared" si="8"/>
        <v/>
      </c>
      <c r="BA173" s="108" t="str">
        <f t="shared" si="9"/>
        <v/>
      </c>
      <c r="BB173" s="109" t="str">
        <f t="shared" si="10"/>
        <v/>
      </c>
      <c r="BC173" s="108" t="str">
        <f t="shared" si="11"/>
        <v/>
      </c>
      <c r="BD173" s="108" t="str">
        <f t="shared" si="12"/>
        <v/>
      </c>
      <c r="BE173" s="109" t="str">
        <f t="shared" si="13"/>
        <v/>
      </c>
      <c r="BF173" s="110" t="str">
        <f t="shared" si="14"/>
        <v/>
      </c>
      <c r="BG173" s="111"/>
    </row>
    <row r="174" spans="1:59" ht="12.75">
      <c r="A174" s="101"/>
      <c r="B174" s="102"/>
      <c r="C174" s="102" t="e">
        <f t="array" aca="1" ref="C174" ca="1">_xludf.XLOOKUP(A174,'QA Log'!D:D,'QA Log'!F:F,"")</f>
        <v>#NAME?</v>
      </c>
      <c r="D174" s="102"/>
      <c r="E174" s="102" t="e">
        <f t="array" aca="1" ref="E174" ca="1">_xludf.XLOOKUP(A174,'QA Log'!D:D,'QA Log'!G:G,"")</f>
        <v>#NAME?</v>
      </c>
      <c r="F174" s="103"/>
      <c r="G174" s="104"/>
      <c r="H174" s="104"/>
      <c r="I174" s="103" t="str">
        <f t="shared" si="0"/>
        <v/>
      </c>
      <c r="J174" s="102"/>
      <c r="K174" s="102"/>
      <c r="L174" s="119" t="str">
        <f t="array" ref="L174">IF(OR($B174="",$D174=""),"",
IFERROR(
  INDEX(
    'Tools &amp; Targets_Guideline'!$C$54:$I$269,
    MATCH(
      1,
      ('Tools &amp; Targets_Guideline'!$A$54:$A$269=$B174)*
      ('Tools &amp; Targets_Guideline'!$B$54:$B$269="ANC"),
      0
    ),
    MATCH(
      _xludf.IFNA(
        VLOOKUP($D174,{"PH","Provincial Hospital (H2)";"DH","District Hospital (H3)";"RH","Regional / National Hospital (H1)"},2,0),
        $D174
      ),
      'Tools &amp; Targets_Guideline'!$C$53:$I$53,
      0
    )
  ),
0))</f>
        <v/>
      </c>
      <c r="M174" s="105"/>
      <c r="N174" s="119" t="str">
        <f t="array" ref="N174">IF(OR($B174="",$D174=""),"",
IFERROR(
  INDEX(
    'Tools &amp; Targets_Guideline'!$C$54:$I$269,
    MATCH(
      1,
      ('Tools &amp; Targets_Guideline'!$A$54:$A$269=$B174)*
      ('Tools &amp; Targets_Guideline'!$B$54:$B$269="PNC"),
      0
    ),
    MATCH(
      _xludf.IFNA(
        VLOOKUP($D174,{"PH","Provincial Hospital (H2)";"DH","District Hospital (H3)";"RH","Regional / National Hospital (H1)"},2,0),
        $D174
      ),
      'Tools &amp; Targets_Guideline'!$C$53:$I$53,
      0
    )
  ),
0))</f>
        <v/>
      </c>
      <c r="O174" s="105"/>
      <c r="P174" s="119" t="str">
        <f t="array" ref="P174">IF(OR($B174="",$D174=""),"",
IFERROR(
  INDEX(
    'Tools &amp; Targets_Guideline'!$C$54:$I$269,
    MATCH(
      1,
      ('Tools &amp; Targets_Guideline'!$A$54:$A$269=$B174)*
      ('Tools &amp; Targets_Guideline'!$B$54:$B$269="Delivery"),
      0
    ),
    MATCH(
      _xludf.IFNA(
        VLOOKUP($D174,{"PH","Provincial Hospital (H2)";"DH","District Hospital (H3)";"RH","Regional / National Hospital (H1)"},2,0),
        $D174
      ),
      'Tools &amp; Targets_Guideline'!$C$53:$I$53,
      0
    )
  ),
0))</f>
        <v/>
      </c>
      <c r="Q174" s="105"/>
      <c r="R174" s="119" t="str">
        <f t="array" ref="R174">IF(OR($B174="",$D174=""),"",
IFERROR(
  INDEX(
    'Tools &amp; Targets_Guideline'!$C$54:$I$269,
    MATCH(
      1,
      ('Tools &amp; Targets_Guideline'!$A$54:$A$269=$B174)*
      ('Tools &amp; Targets_Guideline'!$B$54:$B$269="TT"),
      0
    ),
    MATCH(
      _xludf.IFNA(
        VLOOKUP($D174,{"PH","Provincial Hospital (H2)";"DH","District Hospital (H3)";"RH","Regional / National Hospital (H1)"},2,0),
        $D174
      ),
      'Tools &amp; Targets_Guideline'!$C$53:$I$53,
      0
    )
  ),
0))</f>
        <v/>
      </c>
      <c r="S174" s="105"/>
      <c r="T174" s="102"/>
      <c r="U174" s="106"/>
      <c r="V174" s="102" t="str">
        <f t="shared" si="1"/>
        <v/>
      </c>
      <c r="W174" s="102"/>
      <c r="X174" s="102"/>
      <c r="Y174" s="119" t="str">
        <f t="array" ref="Y174">IF(OR($B174="",$D174=""),"",
IFERROR(
  INDEX(
    'Tools &amp; Targets_Guideline'!$C$54:$I$269,
    MATCH(
      1,
      ('Tools &amp; Targets_Guideline'!$A$54:$A$269=$B174)*
      ('Tools &amp; Targets_Guideline'!$B$54:$B$269="GM"),
      0
    ),
    MATCH(
      _xludf.IFNA(
        VLOOKUP($D174,{"PH","Provincial Hospital (H2)";"DH","District Hospital (H3)";"RH","Regional / National Hospital (H1)"},2,0),
        $D174
      ),
      'Tools &amp; Targets_Guideline'!$C$53:$I$53,
      0
    )
  ),
0))</f>
        <v/>
      </c>
      <c r="Z174" s="105"/>
      <c r="AA174" s="119" t="str">
        <f t="array" ref="AA174">IF(OR($B174="",$D174=""),"",
IFERROR(
  INDEX(
    'Tools &amp; Targets_Guideline'!$C$54:$I$269,
    MATCH(
      1,
      ('Tools &amp; Targets_Guideline'!$A$54:$A$269=$B174)*
      ('Tools &amp; Targets_Guideline'!$B$54:$B$269="Penta"),
      0
    ),
    MATCH(
      _xludf.IFNA(
        VLOOKUP($D174,{"PH","Provincial Hospital (H2)";"DH","District Hospital (H3)";"RH","Regional / National Hospital (H1)"},2,0),
        $D174
      ),
      'Tools &amp; Targets_Guideline'!$C$53:$I$53,
      0
    )
  ),
0))</f>
        <v/>
      </c>
      <c r="AB174" s="105"/>
      <c r="AC174" s="119" t="str">
        <f t="array" ref="AC174">IF(OR($B174="",$D174=""),"",
IFERROR(
  INDEX(
    'Tools &amp; Targets_Guideline'!$C$54:$I$269,
    MATCH(
      1,
      ('Tools &amp; Targets_Guideline'!$A$54:$A$269=$B174)*
      ('Tools &amp; Targets_Guideline'!$B$54:$B$269="TB"),
      0
    ),
    MATCH(
      _xludf.IFNA(
        VLOOKUP($D174,{"PH","Provincial Hospital (H2)";"DH","District Hospital (H3)";"RH","Regional / National Hospital (H1)"},2,0),
        $D174
      ),
      'Tools &amp; Targets_Guideline'!$C$53:$I$53,
      0
    )
  ),
0))</f>
        <v/>
      </c>
      <c r="AD174" s="105"/>
      <c r="AE174" s="119" t="str">
        <f t="array" ref="AE174">IF(OR($B174="",$D174=""),"",
IFERROR(
  INDEX(
    'Tools &amp; Targets_Guideline'!$C$54:$I$269,
    MATCH(
      1,
      ('Tools &amp; Targets_Guideline'!$A$54:$A$269=$B174)*
      ('Tools &amp; Targets_Guideline'!$B$54:$B$269="U5 Morbidity"),
      0
    ),
    MATCH(
      _xludf.IFNA(
        VLOOKUP($D174,{"PH","Provincial Hospital (H2)";"DH","District Hospital (H3)";"RH","Regional / National Hospital (H1)"},2,0),
        $D174
      ),
      'Tools &amp; Targets_Guideline'!$C$53:$I$53,
      0
    )
  ),
0))</f>
        <v/>
      </c>
      <c r="AF174" s="105"/>
      <c r="AG174" s="119" t="str">
        <f t="array" ref="AG174">IF(OR($B174="",$D174=""),"",
IFERROR(
  INDEX(
    'Tools &amp; Targets_Guideline'!$C$54:$I$269,
    MATCH(
      1,
      ('Tools &amp; Targets_Guideline'!$A$54:$A$269=$B174)*
      ('Tools &amp; Targets_Guideline'!$B$54:$B$269="C-Section"),
      0
    ),
    MATCH(
      _xludf.IFNA(
        VLOOKUP($D174,{"PH","Provincial Hospital (H2)";"DH","District Hospital (H3)";"RH","Regional / National Hospital (H1)"},2,0),
        $D174
      ),
      'Tools &amp; Targets_Guideline'!$C$53:$I$53,
      0
    )
  ),
0))</f>
        <v/>
      </c>
      <c r="AH174" s="105" t="str">
        <f>IF(A174&lt;&gt;"",COUNTIFS('QA Log'!D:D,A174,'QA Log'!M:M,"QQC",'QA Log'!L:L,"2. Hygiene and Sterilization",'QA Log'!Z:Z,"Approved"),"")</f>
        <v/>
      </c>
      <c r="AI174" s="102"/>
      <c r="AJ174" s="102"/>
      <c r="AK174" s="103" t="str">
        <f t="shared" si="2"/>
        <v/>
      </c>
      <c r="AL174" s="102"/>
      <c r="AM174" s="102"/>
      <c r="AN174" s="102"/>
      <c r="AO174" s="106"/>
      <c r="AP174" s="103"/>
      <c r="AQ174" s="102"/>
      <c r="AR174" s="102"/>
      <c r="AS174" s="102"/>
      <c r="AT174" s="107"/>
      <c r="AU174" s="102" t="str">
        <f t="shared" si="3"/>
        <v/>
      </c>
      <c r="AV174" s="102" t="str">
        <f t="shared" si="4"/>
        <v/>
      </c>
      <c r="AW174" s="102" t="str">
        <f t="shared" si="5"/>
        <v/>
      </c>
      <c r="AX174" s="102" t="str">
        <f t="shared" si="6"/>
        <v/>
      </c>
      <c r="AY174" s="107" t="str">
        <f t="shared" si="7"/>
        <v/>
      </c>
      <c r="AZ174" s="108" t="str">
        <f t="shared" si="8"/>
        <v/>
      </c>
      <c r="BA174" s="108" t="str">
        <f t="shared" si="9"/>
        <v/>
      </c>
      <c r="BB174" s="109" t="str">
        <f t="shared" si="10"/>
        <v/>
      </c>
      <c r="BC174" s="108" t="str">
        <f t="shared" si="11"/>
        <v/>
      </c>
      <c r="BD174" s="108" t="str">
        <f t="shared" si="12"/>
        <v/>
      </c>
      <c r="BE174" s="109" t="str">
        <f t="shared" si="13"/>
        <v/>
      </c>
      <c r="BF174" s="110" t="str">
        <f t="shared" si="14"/>
        <v/>
      </c>
      <c r="BG174" s="111"/>
    </row>
    <row r="175" spans="1:59" ht="12.75">
      <c r="A175" s="101"/>
      <c r="B175" s="102"/>
      <c r="C175" s="102" t="e">
        <f t="array" aca="1" ref="C175" ca="1">_xludf.XLOOKUP(A175,'QA Log'!D:D,'QA Log'!F:F,"")</f>
        <v>#NAME?</v>
      </c>
      <c r="D175" s="102"/>
      <c r="E175" s="102" t="e">
        <f t="array" aca="1" ref="E175" ca="1">_xludf.XLOOKUP(A175,'QA Log'!D:D,'QA Log'!G:G,"")</f>
        <v>#NAME?</v>
      </c>
      <c r="F175" s="103"/>
      <c r="G175" s="104"/>
      <c r="H175" s="104"/>
      <c r="I175" s="103" t="str">
        <f t="shared" si="0"/>
        <v/>
      </c>
      <c r="J175" s="102"/>
      <c r="K175" s="102"/>
      <c r="L175" s="119" t="str">
        <f t="array" ref="L175">IF(OR($B175="",$D175=""),"",
IFERROR(
  INDEX(
    'Tools &amp; Targets_Guideline'!$C$54:$I$269,
    MATCH(
      1,
      ('Tools &amp; Targets_Guideline'!$A$54:$A$269=$B175)*
      ('Tools &amp; Targets_Guideline'!$B$54:$B$269="ANC"),
      0
    ),
    MATCH(
      _xludf.IFNA(
        VLOOKUP($D175,{"PH","Provincial Hospital (H2)";"DH","District Hospital (H3)";"RH","Regional / National Hospital (H1)"},2,0),
        $D175
      ),
      'Tools &amp; Targets_Guideline'!$C$53:$I$53,
      0
    )
  ),
0))</f>
        <v/>
      </c>
      <c r="M175" s="105"/>
      <c r="N175" s="119" t="str">
        <f t="array" ref="N175">IF(OR($B175="",$D175=""),"",
IFERROR(
  INDEX(
    'Tools &amp; Targets_Guideline'!$C$54:$I$269,
    MATCH(
      1,
      ('Tools &amp; Targets_Guideline'!$A$54:$A$269=$B175)*
      ('Tools &amp; Targets_Guideline'!$B$54:$B$269="PNC"),
      0
    ),
    MATCH(
      _xludf.IFNA(
        VLOOKUP($D175,{"PH","Provincial Hospital (H2)";"DH","District Hospital (H3)";"RH","Regional / National Hospital (H1)"},2,0),
        $D175
      ),
      'Tools &amp; Targets_Guideline'!$C$53:$I$53,
      0
    )
  ),
0))</f>
        <v/>
      </c>
      <c r="O175" s="105"/>
      <c r="P175" s="119" t="str">
        <f t="array" ref="P175">IF(OR($B175="",$D175=""),"",
IFERROR(
  INDEX(
    'Tools &amp; Targets_Guideline'!$C$54:$I$269,
    MATCH(
      1,
      ('Tools &amp; Targets_Guideline'!$A$54:$A$269=$B175)*
      ('Tools &amp; Targets_Guideline'!$B$54:$B$269="Delivery"),
      0
    ),
    MATCH(
      _xludf.IFNA(
        VLOOKUP($D175,{"PH","Provincial Hospital (H2)";"DH","District Hospital (H3)";"RH","Regional / National Hospital (H1)"},2,0),
        $D175
      ),
      'Tools &amp; Targets_Guideline'!$C$53:$I$53,
      0
    )
  ),
0))</f>
        <v/>
      </c>
      <c r="Q175" s="105"/>
      <c r="R175" s="119" t="str">
        <f t="array" ref="R175">IF(OR($B175="",$D175=""),"",
IFERROR(
  INDEX(
    'Tools &amp; Targets_Guideline'!$C$54:$I$269,
    MATCH(
      1,
      ('Tools &amp; Targets_Guideline'!$A$54:$A$269=$B175)*
      ('Tools &amp; Targets_Guideline'!$B$54:$B$269="TT"),
      0
    ),
    MATCH(
      _xludf.IFNA(
        VLOOKUP($D175,{"PH","Provincial Hospital (H2)";"DH","District Hospital (H3)";"RH","Regional / National Hospital (H1)"},2,0),
        $D175
      ),
      'Tools &amp; Targets_Guideline'!$C$53:$I$53,
      0
    )
  ),
0))</f>
        <v/>
      </c>
      <c r="S175" s="105"/>
      <c r="T175" s="102"/>
      <c r="U175" s="106"/>
      <c r="V175" s="102" t="str">
        <f t="shared" si="1"/>
        <v/>
      </c>
      <c r="W175" s="102"/>
      <c r="X175" s="102"/>
      <c r="Y175" s="119" t="str">
        <f t="array" ref="Y175">IF(OR($B175="",$D175=""),"",
IFERROR(
  INDEX(
    'Tools &amp; Targets_Guideline'!$C$54:$I$269,
    MATCH(
      1,
      ('Tools &amp; Targets_Guideline'!$A$54:$A$269=$B175)*
      ('Tools &amp; Targets_Guideline'!$B$54:$B$269="GM"),
      0
    ),
    MATCH(
      _xludf.IFNA(
        VLOOKUP($D175,{"PH","Provincial Hospital (H2)";"DH","District Hospital (H3)";"RH","Regional / National Hospital (H1)"},2,0),
        $D175
      ),
      'Tools &amp; Targets_Guideline'!$C$53:$I$53,
      0
    )
  ),
0))</f>
        <v/>
      </c>
      <c r="Z175" s="105"/>
      <c r="AA175" s="119" t="str">
        <f t="array" ref="AA175">IF(OR($B175="",$D175=""),"",
IFERROR(
  INDEX(
    'Tools &amp; Targets_Guideline'!$C$54:$I$269,
    MATCH(
      1,
      ('Tools &amp; Targets_Guideline'!$A$54:$A$269=$B175)*
      ('Tools &amp; Targets_Guideline'!$B$54:$B$269="Penta"),
      0
    ),
    MATCH(
      _xludf.IFNA(
        VLOOKUP($D175,{"PH","Provincial Hospital (H2)";"DH","District Hospital (H3)";"RH","Regional / National Hospital (H1)"},2,0),
        $D175
      ),
      'Tools &amp; Targets_Guideline'!$C$53:$I$53,
      0
    )
  ),
0))</f>
        <v/>
      </c>
      <c r="AB175" s="105"/>
      <c r="AC175" s="119" t="str">
        <f t="array" ref="AC175">IF(OR($B175="",$D175=""),"",
IFERROR(
  INDEX(
    'Tools &amp; Targets_Guideline'!$C$54:$I$269,
    MATCH(
      1,
      ('Tools &amp; Targets_Guideline'!$A$54:$A$269=$B175)*
      ('Tools &amp; Targets_Guideline'!$B$54:$B$269="TB"),
      0
    ),
    MATCH(
      _xludf.IFNA(
        VLOOKUP($D175,{"PH","Provincial Hospital (H2)";"DH","District Hospital (H3)";"RH","Regional / National Hospital (H1)"},2,0),
        $D175
      ),
      'Tools &amp; Targets_Guideline'!$C$53:$I$53,
      0
    )
  ),
0))</f>
        <v/>
      </c>
      <c r="AD175" s="105"/>
      <c r="AE175" s="119" t="str">
        <f t="array" ref="AE175">IF(OR($B175="",$D175=""),"",
IFERROR(
  INDEX(
    'Tools &amp; Targets_Guideline'!$C$54:$I$269,
    MATCH(
      1,
      ('Tools &amp; Targets_Guideline'!$A$54:$A$269=$B175)*
      ('Tools &amp; Targets_Guideline'!$B$54:$B$269="U5 Morbidity"),
      0
    ),
    MATCH(
      _xludf.IFNA(
        VLOOKUP($D175,{"PH","Provincial Hospital (H2)";"DH","District Hospital (H3)";"RH","Regional / National Hospital (H1)"},2,0),
        $D175
      ),
      'Tools &amp; Targets_Guideline'!$C$53:$I$53,
      0
    )
  ),
0))</f>
        <v/>
      </c>
      <c r="AF175" s="105"/>
      <c r="AG175" s="119" t="str">
        <f t="array" ref="AG175">IF(OR($B175="",$D175=""),"",
IFERROR(
  INDEX(
    'Tools &amp; Targets_Guideline'!$C$54:$I$269,
    MATCH(
      1,
      ('Tools &amp; Targets_Guideline'!$A$54:$A$269=$B175)*
      ('Tools &amp; Targets_Guideline'!$B$54:$B$269="C-Section"),
      0
    ),
    MATCH(
      _xludf.IFNA(
        VLOOKUP($D175,{"PH","Provincial Hospital (H2)";"DH","District Hospital (H3)";"RH","Regional / National Hospital (H1)"},2,0),
        $D175
      ),
      'Tools &amp; Targets_Guideline'!$C$53:$I$53,
      0
    )
  ),
0))</f>
        <v/>
      </c>
      <c r="AH175" s="105" t="str">
        <f>IF(A175&lt;&gt;"",COUNTIFS('QA Log'!D:D,A175,'QA Log'!M:M,"QQC",'QA Log'!L:L,"2. Hygiene and Sterilization",'QA Log'!Z:Z,"Approved"),"")</f>
        <v/>
      </c>
      <c r="AI175" s="102"/>
      <c r="AJ175" s="102"/>
      <c r="AK175" s="103" t="str">
        <f t="shared" si="2"/>
        <v/>
      </c>
      <c r="AL175" s="102"/>
      <c r="AM175" s="102"/>
      <c r="AN175" s="102"/>
      <c r="AO175" s="106"/>
      <c r="AP175" s="103"/>
      <c r="AQ175" s="102"/>
      <c r="AR175" s="102"/>
      <c r="AS175" s="102"/>
      <c r="AT175" s="107"/>
      <c r="AU175" s="102" t="str">
        <f t="shared" si="3"/>
        <v/>
      </c>
      <c r="AV175" s="102" t="str">
        <f t="shared" si="4"/>
        <v/>
      </c>
      <c r="AW175" s="102" t="str">
        <f t="shared" si="5"/>
        <v/>
      </c>
      <c r="AX175" s="102" t="str">
        <f t="shared" si="6"/>
        <v/>
      </c>
      <c r="AY175" s="107" t="str">
        <f t="shared" si="7"/>
        <v/>
      </c>
      <c r="AZ175" s="108" t="str">
        <f t="shared" si="8"/>
        <v/>
      </c>
      <c r="BA175" s="108" t="str">
        <f t="shared" si="9"/>
        <v/>
      </c>
      <c r="BB175" s="109" t="str">
        <f t="shared" si="10"/>
        <v/>
      </c>
      <c r="BC175" s="108" t="str">
        <f t="shared" si="11"/>
        <v/>
      </c>
      <c r="BD175" s="108" t="str">
        <f t="shared" si="12"/>
        <v/>
      </c>
      <c r="BE175" s="109" t="str">
        <f t="shared" si="13"/>
        <v/>
      </c>
      <c r="BF175" s="110" t="str">
        <f t="shared" si="14"/>
        <v/>
      </c>
      <c r="BG175" s="111"/>
    </row>
    <row r="176" spans="1:59" ht="12.75">
      <c r="A176" s="101"/>
      <c r="B176" s="102"/>
      <c r="C176" s="102" t="e">
        <f t="array" aca="1" ref="C176" ca="1">_xludf.XLOOKUP(A176,'QA Log'!D:D,'QA Log'!F:F,"")</f>
        <v>#NAME?</v>
      </c>
      <c r="D176" s="102"/>
      <c r="E176" s="102" t="e">
        <f t="array" aca="1" ref="E176" ca="1">_xludf.XLOOKUP(A176,'QA Log'!D:D,'QA Log'!G:G,"")</f>
        <v>#NAME?</v>
      </c>
      <c r="F176" s="103"/>
      <c r="G176" s="104"/>
      <c r="H176" s="104"/>
      <c r="I176" s="103" t="str">
        <f t="shared" si="0"/>
        <v/>
      </c>
      <c r="J176" s="102"/>
      <c r="K176" s="102"/>
      <c r="L176" s="119" t="str">
        <f t="array" ref="L176">IF(OR($B176="",$D176=""),"",
IFERROR(
  INDEX(
    'Tools &amp; Targets_Guideline'!$C$54:$I$269,
    MATCH(
      1,
      ('Tools &amp; Targets_Guideline'!$A$54:$A$269=$B176)*
      ('Tools &amp; Targets_Guideline'!$B$54:$B$269="ANC"),
      0
    ),
    MATCH(
      _xludf.IFNA(
        VLOOKUP($D176,{"PH","Provincial Hospital (H2)";"DH","District Hospital (H3)";"RH","Regional / National Hospital (H1)"},2,0),
        $D176
      ),
      'Tools &amp; Targets_Guideline'!$C$53:$I$53,
      0
    )
  ),
0))</f>
        <v/>
      </c>
      <c r="M176" s="105"/>
      <c r="N176" s="119" t="str">
        <f t="array" ref="N176">IF(OR($B176="",$D176=""),"",
IFERROR(
  INDEX(
    'Tools &amp; Targets_Guideline'!$C$54:$I$269,
    MATCH(
      1,
      ('Tools &amp; Targets_Guideline'!$A$54:$A$269=$B176)*
      ('Tools &amp; Targets_Guideline'!$B$54:$B$269="PNC"),
      0
    ),
    MATCH(
      _xludf.IFNA(
        VLOOKUP($D176,{"PH","Provincial Hospital (H2)";"DH","District Hospital (H3)";"RH","Regional / National Hospital (H1)"},2,0),
        $D176
      ),
      'Tools &amp; Targets_Guideline'!$C$53:$I$53,
      0
    )
  ),
0))</f>
        <v/>
      </c>
      <c r="O176" s="105"/>
      <c r="P176" s="119" t="str">
        <f t="array" ref="P176">IF(OR($B176="",$D176=""),"",
IFERROR(
  INDEX(
    'Tools &amp; Targets_Guideline'!$C$54:$I$269,
    MATCH(
      1,
      ('Tools &amp; Targets_Guideline'!$A$54:$A$269=$B176)*
      ('Tools &amp; Targets_Guideline'!$B$54:$B$269="Delivery"),
      0
    ),
    MATCH(
      _xludf.IFNA(
        VLOOKUP($D176,{"PH","Provincial Hospital (H2)";"DH","District Hospital (H3)";"RH","Regional / National Hospital (H1)"},2,0),
        $D176
      ),
      'Tools &amp; Targets_Guideline'!$C$53:$I$53,
      0
    )
  ),
0))</f>
        <v/>
      </c>
      <c r="Q176" s="105"/>
      <c r="R176" s="119" t="str">
        <f t="array" ref="R176">IF(OR($B176="",$D176=""),"",
IFERROR(
  INDEX(
    'Tools &amp; Targets_Guideline'!$C$54:$I$269,
    MATCH(
      1,
      ('Tools &amp; Targets_Guideline'!$A$54:$A$269=$B176)*
      ('Tools &amp; Targets_Guideline'!$B$54:$B$269="TT"),
      0
    ),
    MATCH(
      _xludf.IFNA(
        VLOOKUP($D176,{"PH","Provincial Hospital (H2)";"DH","District Hospital (H3)";"RH","Regional / National Hospital (H1)"},2,0),
        $D176
      ),
      'Tools &amp; Targets_Guideline'!$C$53:$I$53,
      0
    )
  ),
0))</f>
        <v/>
      </c>
      <c r="S176" s="105"/>
      <c r="T176" s="102"/>
      <c r="U176" s="106"/>
      <c r="V176" s="102" t="str">
        <f t="shared" si="1"/>
        <v/>
      </c>
      <c r="W176" s="102"/>
      <c r="X176" s="102"/>
      <c r="Y176" s="119" t="str">
        <f t="array" ref="Y176">IF(OR($B176="",$D176=""),"",
IFERROR(
  INDEX(
    'Tools &amp; Targets_Guideline'!$C$54:$I$269,
    MATCH(
      1,
      ('Tools &amp; Targets_Guideline'!$A$54:$A$269=$B176)*
      ('Tools &amp; Targets_Guideline'!$B$54:$B$269="GM"),
      0
    ),
    MATCH(
      _xludf.IFNA(
        VLOOKUP($D176,{"PH","Provincial Hospital (H2)";"DH","District Hospital (H3)";"RH","Regional / National Hospital (H1)"},2,0),
        $D176
      ),
      'Tools &amp; Targets_Guideline'!$C$53:$I$53,
      0
    )
  ),
0))</f>
        <v/>
      </c>
      <c r="Z176" s="105"/>
      <c r="AA176" s="119" t="str">
        <f t="array" ref="AA176">IF(OR($B176="",$D176=""),"",
IFERROR(
  INDEX(
    'Tools &amp; Targets_Guideline'!$C$54:$I$269,
    MATCH(
      1,
      ('Tools &amp; Targets_Guideline'!$A$54:$A$269=$B176)*
      ('Tools &amp; Targets_Guideline'!$B$54:$B$269="Penta"),
      0
    ),
    MATCH(
      _xludf.IFNA(
        VLOOKUP($D176,{"PH","Provincial Hospital (H2)";"DH","District Hospital (H3)";"RH","Regional / National Hospital (H1)"},2,0),
        $D176
      ),
      'Tools &amp; Targets_Guideline'!$C$53:$I$53,
      0
    )
  ),
0))</f>
        <v/>
      </c>
      <c r="AB176" s="105"/>
      <c r="AC176" s="119" t="str">
        <f t="array" ref="AC176">IF(OR($B176="",$D176=""),"",
IFERROR(
  INDEX(
    'Tools &amp; Targets_Guideline'!$C$54:$I$269,
    MATCH(
      1,
      ('Tools &amp; Targets_Guideline'!$A$54:$A$269=$B176)*
      ('Tools &amp; Targets_Guideline'!$B$54:$B$269="TB"),
      0
    ),
    MATCH(
      _xludf.IFNA(
        VLOOKUP($D176,{"PH","Provincial Hospital (H2)";"DH","District Hospital (H3)";"RH","Regional / National Hospital (H1)"},2,0),
        $D176
      ),
      'Tools &amp; Targets_Guideline'!$C$53:$I$53,
      0
    )
  ),
0))</f>
        <v/>
      </c>
      <c r="AD176" s="105"/>
      <c r="AE176" s="119" t="str">
        <f t="array" ref="AE176">IF(OR($B176="",$D176=""),"",
IFERROR(
  INDEX(
    'Tools &amp; Targets_Guideline'!$C$54:$I$269,
    MATCH(
      1,
      ('Tools &amp; Targets_Guideline'!$A$54:$A$269=$B176)*
      ('Tools &amp; Targets_Guideline'!$B$54:$B$269="U5 Morbidity"),
      0
    ),
    MATCH(
      _xludf.IFNA(
        VLOOKUP($D176,{"PH","Provincial Hospital (H2)";"DH","District Hospital (H3)";"RH","Regional / National Hospital (H1)"},2,0),
        $D176
      ),
      'Tools &amp; Targets_Guideline'!$C$53:$I$53,
      0
    )
  ),
0))</f>
        <v/>
      </c>
      <c r="AF176" s="105"/>
      <c r="AG176" s="119" t="str">
        <f t="array" ref="AG176">IF(OR($B176="",$D176=""),"",
IFERROR(
  INDEX(
    'Tools &amp; Targets_Guideline'!$C$54:$I$269,
    MATCH(
      1,
      ('Tools &amp; Targets_Guideline'!$A$54:$A$269=$B176)*
      ('Tools &amp; Targets_Guideline'!$B$54:$B$269="C-Section"),
      0
    ),
    MATCH(
      _xludf.IFNA(
        VLOOKUP($D176,{"PH","Provincial Hospital (H2)";"DH","District Hospital (H3)";"RH","Regional / National Hospital (H1)"},2,0),
        $D176
      ),
      'Tools &amp; Targets_Guideline'!$C$53:$I$53,
      0
    )
  ),
0))</f>
        <v/>
      </c>
      <c r="AH176" s="105" t="str">
        <f>IF(A176&lt;&gt;"",COUNTIFS('QA Log'!D:D,A176,'QA Log'!M:M,"QQC",'QA Log'!L:L,"2. Hygiene and Sterilization",'QA Log'!Z:Z,"Approved"),"")</f>
        <v/>
      </c>
      <c r="AI176" s="102"/>
      <c r="AJ176" s="102"/>
      <c r="AK176" s="103" t="str">
        <f t="shared" si="2"/>
        <v/>
      </c>
      <c r="AL176" s="102"/>
      <c r="AM176" s="102"/>
      <c r="AN176" s="102"/>
      <c r="AO176" s="106"/>
      <c r="AP176" s="103"/>
      <c r="AQ176" s="102"/>
      <c r="AR176" s="102"/>
      <c r="AS176" s="102"/>
      <c r="AT176" s="107"/>
      <c r="AU176" s="102" t="str">
        <f t="shared" si="3"/>
        <v/>
      </c>
      <c r="AV176" s="102" t="str">
        <f t="shared" si="4"/>
        <v/>
      </c>
      <c r="AW176" s="102" t="str">
        <f t="shared" si="5"/>
        <v/>
      </c>
      <c r="AX176" s="102" t="str">
        <f t="shared" si="6"/>
        <v/>
      </c>
      <c r="AY176" s="107" t="str">
        <f t="shared" si="7"/>
        <v/>
      </c>
      <c r="AZ176" s="108" t="str">
        <f t="shared" si="8"/>
        <v/>
      </c>
      <c r="BA176" s="108" t="str">
        <f t="shared" si="9"/>
        <v/>
      </c>
      <c r="BB176" s="109" t="str">
        <f t="shared" si="10"/>
        <v/>
      </c>
      <c r="BC176" s="108" t="str">
        <f t="shared" si="11"/>
        <v/>
      </c>
      <c r="BD176" s="108" t="str">
        <f t="shared" si="12"/>
        <v/>
      </c>
      <c r="BE176" s="109" t="str">
        <f t="shared" si="13"/>
        <v/>
      </c>
      <c r="BF176" s="110" t="str">
        <f t="shared" si="14"/>
        <v/>
      </c>
      <c r="BG176" s="111"/>
    </row>
    <row r="177" spans="1:59" ht="12.75">
      <c r="A177" s="101"/>
      <c r="B177" s="102"/>
      <c r="C177" s="102" t="e">
        <f t="array" aca="1" ref="C177" ca="1">_xludf.XLOOKUP(A177,'QA Log'!D:D,'QA Log'!F:F,"")</f>
        <v>#NAME?</v>
      </c>
      <c r="D177" s="102"/>
      <c r="E177" s="102" t="e">
        <f t="array" aca="1" ref="E177" ca="1">_xludf.XLOOKUP(A177,'QA Log'!D:D,'QA Log'!G:G,"")</f>
        <v>#NAME?</v>
      </c>
      <c r="F177" s="103"/>
      <c r="G177" s="104"/>
      <c r="H177" s="104"/>
      <c r="I177" s="103" t="str">
        <f t="shared" si="0"/>
        <v/>
      </c>
      <c r="J177" s="102"/>
      <c r="K177" s="102"/>
      <c r="L177" s="119" t="str">
        <f t="array" ref="L177">IF(OR($B177="",$D177=""),"",
IFERROR(
  INDEX(
    'Tools &amp; Targets_Guideline'!$C$54:$I$269,
    MATCH(
      1,
      ('Tools &amp; Targets_Guideline'!$A$54:$A$269=$B177)*
      ('Tools &amp; Targets_Guideline'!$B$54:$B$269="ANC"),
      0
    ),
    MATCH(
      _xludf.IFNA(
        VLOOKUP($D177,{"PH","Provincial Hospital (H2)";"DH","District Hospital (H3)";"RH","Regional / National Hospital (H1)"},2,0),
        $D177
      ),
      'Tools &amp; Targets_Guideline'!$C$53:$I$53,
      0
    )
  ),
0))</f>
        <v/>
      </c>
      <c r="M177" s="105"/>
      <c r="N177" s="119" t="str">
        <f t="array" ref="N177">IF(OR($B177="",$D177=""),"",
IFERROR(
  INDEX(
    'Tools &amp; Targets_Guideline'!$C$54:$I$269,
    MATCH(
      1,
      ('Tools &amp; Targets_Guideline'!$A$54:$A$269=$B177)*
      ('Tools &amp; Targets_Guideline'!$B$54:$B$269="PNC"),
      0
    ),
    MATCH(
      _xludf.IFNA(
        VLOOKUP($D177,{"PH","Provincial Hospital (H2)";"DH","District Hospital (H3)";"RH","Regional / National Hospital (H1)"},2,0),
        $D177
      ),
      'Tools &amp; Targets_Guideline'!$C$53:$I$53,
      0
    )
  ),
0))</f>
        <v/>
      </c>
      <c r="O177" s="105"/>
      <c r="P177" s="119" t="str">
        <f t="array" ref="P177">IF(OR($B177="",$D177=""),"",
IFERROR(
  INDEX(
    'Tools &amp; Targets_Guideline'!$C$54:$I$269,
    MATCH(
      1,
      ('Tools &amp; Targets_Guideline'!$A$54:$A$269=$B177)*
      ('Tools &amp; Targets_Guideline'!$B$54:$B$269="Delivery"),
      0
    ),
    MATCH(
      _xludf.IFNA(
        VLOOKUP($D177,{"PH","Provincial Hospital (H2)";"DH","District Hospital (H3)";"RH","Regional / National Hospital (H1)"},2,0),
        $D177
      ),
      'Tools &amp; Targets_Guideline'!$C$53:$I$53,
      0
    )
  ),
0))</f>
        <v/>
      </c>
      <c r="Q177" s="105"/>
      <c r="R177" s="119" t="str">
        <f t="array" ref="R177">IF(OR($B177="",$D177=""),"",
IFERROR(
  INDEX(
    'Tools &amp; Targets_Guideline'!$C$54:$I$269,
    MATCH(
      1,
      ('Tools &amp; Targets_Guideline'!$A$54:$A$269=$B177)*
      ('Tools &amp; Targets_Guideline'!$B$54:$B$269="TT"),
      0
    ),
    MATCH(
      _xludf.IFNA(
        VLOOKUP($D177,{"PH","Provincial Hospital (H2)";"DH","District Hospital (H3)";"RH","Regional / National Hospital (H1)"},2,0),
        $D177
      ),
      'Tools &amp; Targets_Guideline'!$C$53:$I$53,
      0
    )
  ),
0))</f>
        <v/>
      </c>
      <c r="S177" s="105"/>
      <c r="T177" s="102"/>
      <c r="U177" s="106"/>
      <c r="V177" s="102" t="str">
        <f t="shared" si="1"/>
        <v/>
      </c>
      <c r="W177" s="102"/>
      <c r="X177" s="102"/>
      <c r="Y177" s="119" t="str">
        <f t="array" ref="Y177">IF(OR($B177="",$D177=""),"",
IFERROR(
  INDEX(
    'Tools &amp; Targets_Guideline'!$C$54:$I$269,
    MATCH(
      1,
      ('Tools &amp; Targets_Guideline'!$A$54:$A$269=$B177)*
      ('Tools &amp; Targets_Guideline'!$B$54:$B$269="GM"),
      0
    ),
    MATCH(
      _xludf.IFNA(
        VLOOKUP($D177,{"PH","Provincial Hospital (H2)";"DH","District Hospital (H3)";"RH","Regional / National Hospital (H1)"},2,0),
        $D177
      ),
      'Tools &amp; Targets_Guideline'!$C$53:$I$53,
      0
    )
  ),
0))</f>
        <v/>
      </c>
      <c r="Z177" s="105"/>
      <c r="AA177" s="119" t="str">
        <f t="array" ref="AA177">IF(OR($B177="",$D177=""),"",
IFERROR(
  INDEX(
    'Tools &amp; Targets_Guideline'!$C$54:$I$269,
    MATCH(
      1,
      ('Tools &amp; Targets_Guideline'!$A$54:$A$269=$B177)*
      ('Tools &amp; Targets_Guideline'!$B$54:$B$269="Penta"),
      0
    ),
    MATCH(
      _xludf.IFNA(
        VLOOKUP($D177,{"PH","Provincial Hospital (H2)";"DH","District Hospital (H3)";"RH","Regional / National Hospital (H1)"},2,0),
        $D177
      ),
      'Tools &amp; Targets_Guideline'!$C$53:$I$53,
      0
    )
  ),
0))</f>
        <v/>
      </c>
      <c r="AB177" s="105"/>
      <c r="AC177" s="119" t="str">
        <f t="array" ref="AC177">IF(OR($B177="",$D177=""),"",
IFERROR(
  INDEX(
    'Tools &amp; Targets_Guideline'!$C$54:$I$269,
    MATCH(
      1,
      ('Tools &amp; Targets_Guideline'!$A$54:$A$269=$B177)*
      ('Tools &amp; Targets_Guideline'!$B$54:$B$269="TB"),
      0
    ),
    MATCH(
      _xludf.IFNA(
        VLOOKUP($D177,{"PH","Provincial Hospital (H2)";"DH","District Hospital (H3)";"RH","Regional / National Hospital (H1)"},2,0),
        $D177
      ),
      'Tools &amp; Targets_Guideline'!$C$53:$I$53,
      0
    )
  ),
0))</f>
        <v/>
      </c>
      <c r="AD177" s="105"/>
      <c r="AE177" s="119" t="str">
        <f t="array" ref="AE177">IF(OR($B177="",$D177=""),"",
IFERROR(
  INDEX(
    'Tools &amp; Targets_Guideline'!$C$54:$I$269,
    MATCH(
      1,
      ('Tools &amp; Targets_Guideline'!$A$54:$A$269=$B177)*
      ('Tools &amp; Targets_Guideline'!$B$54:$B$269="U5 Morbidity"),
      0
    ),
    MATCH(
      _xludf.IFNA(
        VLOOKUP($D177,{"PH","Provincial Hospital (H2)";"DH","District Hospital (H3)";"RH","Regional / National Hospital (H1)"},2,0),
        $D177
      ),
      'Tools &amp; Targets_Guideline'!$C$53:$I$53,
      0
    )
  ),
0))</f>
        <v/>
      </c>
      <c r="AF177" s="105"/>
      <c r="AG177" s="119" t="str">
        <f t="array" ref="AG177">IF(OR($B177="",$D177=""),"",
IFERROR(
  INDEX(
    'Tools &amp; Targets_Guideline'!$C$54:$I$269,
    MATCH(
      1,
      ('Tools &amp; Targets_Guideline'!$A$54:$A$269=$B177)*
      ('Tools &amp; Targets_Guideline'!$B$54:$B$269="C-Section"),
      0
    ),
    MATCH(
      _xludf.IFNA(
        VLOOKUP($D177,{"PH","Provincial Hospital (H2)";"DH","District Hospital (H3)";"RH","Regional / National Hospital (H1)"},2,0),
        $D177
      ),
      'Tools &amp; Targets_Guideline'!$C$53:$I$53,
      0
    )
  ),
0))</f>
        <v/>
      </c>
      <c r="AH177" s="105" t="str">
        <f>IF(A177&lt;&gt;"",COUNTIFS('QA Log'!D:D,A177,'QA Log'!M:M,"QQC",'QA Log'!L:L,"2. Hygiene and Sterilization",'QA Log'!Z:Z,"Approved"),"")</f>
        <v/>
      </c>
      <c r="AI177" s="102"/>
      <c r="AJ177" s="102"/>
      <c r="AK177" s="103" t="str">
        <f t="shared" si="2"/>
        <v/>
      </c>
      <c r="AL177" s="102"/>
      <c r="AM177" s="102"/>
      <c r="AN177" s="102"/>
      <c r="AO177" s="106"/>
      <c r="AP177" s="103"/>
      <c r="AQ177" s="102"/>
      <c r="AR177" s="102"/>
      <c r="AS177" s="102"/>
      <c r="AT177" s="107"/>
      <c r="AU177" s="102" t="str">
        <f t="shared" si="3"/>
        <v/>
      </c>
      <c r="AV177" s="102" t="str">
        <f t="shared" si="4"/>
        <v/>
      </c>
      <c r="AW177" s="102" t="str">
        <f t="shared" si="5"/>
        <v/>
      </c>
      <c r="AX177" s="102" t="str">
        <f t="shared" si="6"/>
        <v/>
      </c>
      <c r="AY177" s="107" t="str">
        <f t="shared" si="7"/>
        <v/>
      </c>
      <c r="AZ177" s="108" t="str">
        <f t="shared" si="8"/>
        <v/>
      </c>
      <c r="BA177" s="108" t="str">
        <f t="shared" si="9"/>
        <v/>
      </c>
      <c r="BB177" s="109" t="str">
        <f t="shared" si="10"/>
        <v/>
      </c>
      <c r="BC177" s="108" t="str">
        <f t="shared" si="11"/>
        <v/>
      </c>
      <c r="BD177" s="108" t="str">
        <f t="shared" si="12"/>
        <v/>
      </c>
      <c r="BE177" s="109" t="str">
        <f t="shared" si="13"/>
        <v/>
      </c>
      <c r="BF177" s="110" t="str">
        <f t="shared" si="14"/>
        <v/>
      </c>
      <c r="BG177" s="111"/>
    </row>
    <row r="178" spans="1:59" ht="12.75">
      <c r="A178" s="101"/>
      <c r="B178" s="102"/>
      <c r="C178" s="102" t="e">
        <f t="array" aca="1" ref="C178" ca="1">_xludf.XLOOKUP(A178,'QA Log'!D:D,'QA Log'!F:F,"")</f>
        <v>#NAME?</v>
      </c>
      <c r="D178" s="102"/>
      <c r="E178" s="102" t="e">
        <f t="array" aca="1" ref="E178" ca="1">_xludf.XLOOKUP(A178,'QA Log'!D:D,'QA Log'!G:G,"")</f>
        <v>#NAME?</v>
      </c>
      <c r="F178" s="103"/>
      <c r="G178" s="104"/>
      <c r="H178" s="104"/>
      <c r="I178" s="103" t="str">
        <f t="shared" si="0"/>
        <v/>
      </c>
      <c r="J178" s="102"/>
      <c r="K178" s="102"/>
      <c r="L178" s="119" t="str">
        <f t="array" ref="L178">IF(OR($B178="",$D178=""),"",
IFERROR(
  INDEX(
    'Tools &amp; Targets_Guideline'!$C$54:$I$269,
    MATCH(
      1,
      ('Tools &amp; Targets_Guideline'!$A$54:$A$269=$B178)*
      ('Tools &amp; Targets_Guideline'!$B$54:$B$269="ANC"),
      0
    ),
    MATCH(
      _xludf.IFNA(
        VLOOKUP($D178,{"PH","Provincial Hospital (H2)";"DH","District Hospital (H3)";"RH","Regional / National Hospital (H1)"},2,0),
        $D178
      ),
      'Tools &amp; Targets_Guideline'!$C$53:$I$53,
      0
    )
  ),
0))</f>
        <v/>
      </c>
      <c r="M178" s="105"/>
      <c r="N178" s="119" t="str">
        <f t="array" ref="N178">IF(OR($B178="",$D178=""),"",
IFERROR(
  INDEX(
    'Tools &amp; Targets_Guideline'!$C$54:$I$269,
    MATCH(
      1,
      ('Tools &amp; Targets_Guideline'!$A$54:$A$269=$B178)*
      ('Tools &amp; Targets_Guideline'!$B$54:$B$269="PNC"),
      0
    ),
    MATCH(
      _xludf.IFNA(
        VLOOKUP($D178,{"PH","Provincial Hospital (H2)";"DH","District Hospital (H3)";"RH","Regional / National Hospital (H1)"},2,0),
        $D178
      ),
      'Tools &amp; Targets_Guideline'!$C$53:$I$53,
      0
    )
  ),
0))</f>
        <v/>
      </c>
      <c r="O178" s="105"/>
      <c r="P178" s="119" t="str">
        <f t="array" ref="P178">IF(OR($B178="",$D178=""),"",
IFERROR(
  INDEX(
    'Tools &amp; Targets_Guideline'!$C$54:$I$269,
    MATCH(
      1,
      ('Tools &amp; Targets_Guideline'!$A$54:$A$269=$B178)*
      ('Tools &amp; Targets_Guideline'!$B$54:$B$269="Delivery"),
      0
    ),
    MATCH(
      _xludf.IFNA(
        VLOOKUP($D178,{"PH","Provincial Hospital (H2)";"DH","District Hospital (H3)";"RH","Regional / National Hospital (H1)"},2,0),
        $D178
      ),
      'Tools &amp; Targets_Guideline'!$C$53:$I$53,
      0
    )
  ),
0))</f>
        <v/>
      </c>
      <c r="Q178" s="105"/>
      <c r="R178" s="119" t="str">
        <f t="array" ref="R178">IF(OR($B178="",$D178=""),"",
IFERROR(
  INDEX(
    'Tools &amp; Targets_Guideline'!$C$54:$I$269,
    MATCH(
      1,
      ('Tools &amp; Targets_Guideline'!$A$54:$A$269=$B178)*
      ('Tools &amp; Targets_Guideline'!$B$54:$B$269="TT"),
      0
    ),
    MATCH(
      _xludf.IFNA(
        VLOOKUP($D178,{"PH","Provincial Hospital (H2)";"DH","District Hospital (H3)";"RH","Regional / National Hospital (H1)"},2,0),
        $D178
      ),
      'Tools &amp; Targets_Guideline'!$C$53:$I$53,
      0
    )
  ),
0))</f>
        <v/>
      </c>
      <c r="S178" s="105"/>
      <c r="T178" s="102"/>
      <c r="U178" s="106"/>
      <c r="V178" s="102" t="str">
        <f t="shared" si="1"/>
        <v/>
      </c>
      <c r="W178" s="102"/>
      <c r="X178" s="102"/>
      <c r="Y178" s="119" t="str">
        <f t="array" ref="Y178">IF(OR($B178="",$D178=""),"",
IFERROR(
  INDEX(
    'Tools &amp; Targets_Guideline'!$C$54:$I$269,
    MATCH(
      1,
      ('Tools &amp; Targets_Guideline'!$A$54:$A$269=$B178)*
      ('Tools &amp; Targets_Guideline'!$B$54:$B$269="GM"),
      0
    ),
    MATCH(
      _xludf.IFNA(
        VLOOKUP($D178,{"PH","Provincial Hospital (H2)";"DH","District Hospital (H3)";"RH","Regional / National Hospital (H1)"},2,0),
        $D178
      ),
      'Tools &amp; Targets_Guideline'!$C$53:$I$53,
      0
    )
  ),
0))</f>
        <v/>
      </c>
      <c r="Z178" s="105"/>
      <c r="AA178" s="119" t="str">
        <f t="array" ref="AA178">IF(OR($B178="",$D178=""),"",
IFERROR(
  INDEX(
    'Tools &amp; Targets_Guideline'!$C$54:$I$269,
    MATCH(
      1,
      ('Tools &amp; Targets_Guideline'!$A$54:$A$269=$B178)*
      ('Tools &amp; Targets_Guideline'!$B$54:$B$269="Penta"),
      0
    ),
    MATCH(
      _xludf.IFNA(
        VLOOKUP($D178,{"PH","Provincial Hospital (H2)";"DH","District Hospital (H3)";"RH","Regional / National Hospital (H1)"},2,0),
        $D178
      ),
      'Tools &amp; Targets_Guideline'!$C$53:$I$53,
      0
    )
  ),
0))</f>
        <v/>
      </c>
      <c r="AB178" s="105"/>
      <c r="AC178" s="119" t="str">
        <f t="array" ref="AC178">IF(OR($B178="",$D178=""),"",
IFERROR(
  INDEX(
    'Tools &amp; Targets_Guideline'!$C$54:$I$269,
    MATCH(
      1,
      ('Tools &amp; Targets_Guideline'!$A$54:$A$269=$B178)*
      ('Tools &amp; Targets_Guideline'!$B$54:$B$269="TB"),
      0
    ),
    MATCH(
      _xludf.IFNA(
        VLOOKUP($D178,{"PH","Provincial Hospital (H2)";"DH","District Hospital (H3)";"RH","Regional / National Hospital (H1)"},2,0),
        $D178
      ),
      'Tools &amp; Targets_Guideline'!$C$53:$I$53,
      0
    )
  ),
0))</f>
        <v/>
      </c>
      <c r="AD178" s="105"/>
      <c r="AE178" s="119" t="str">
        <f t="array" ref="AE178">IF(OR($B178="",$D178=""),"",
IFERROR(
  INDEX(
    'Tools &amp; Targets_Guideline'!$C$54:$I$269,
    MATCH(
      1,
      ('Tools &amp; Targets_Guideline'!$A$54:$A$269=$B178)*
      ('Tools &amp; Targets_Guideline'!$B$54:$B$269="U5 Morbidity"),
      0
    ),
    MATCH(
      _xludf.IFNA(
        VLOOKUP($D178,{"PH","Provincial Hospital (H2)";"DH","District Hospital (H3)";"RH","Regional / National Hospital (H1)"},2,0),
        $D178
      ),
      'Tools &amp; Targets_Guideline'!$C$53:$I$53,
      0
    )
  ),
0))</f>
        <v/>
      </c>
      <c r="AF178" s="105"/>
      <c r="AG178" s="119" t="str">
        <f t="array" ref="AG178">IF(OR($B178="",$D178=""),"",
IFERROR(
  INDEX(
    'Tools &amp; Targets_Guideline'!$C$54:$I$269,
    MATCH(
      1,
      ('Tools &amp; Targets_Guideline'!$A$54:$A$269=$B178)*
      ('Tools &amp; Targets_Guideline'!$B$54:$B$269="C-Section"),
      0
    ),
    MATCH(
      _xludf.IFNA(
        VLOOKUP($D178,{"PH","Provincial Hospital (H2)";"DH","District Hospital (H3)";"RH","Regional / National Hospital (H1)"},2,0),
        $D178
      ),
      'Tools &amp; Targets_Guideline'!$C$53:$I$53,
      0
    )
  ),
0))</f>
        <v/>
      </c>
      <c r="AH178" s="105" t="str">
        <f>IF(A178&lt;&gt;"",COUNTIFS('QA Log'!D:D,A178,'QA Log'!M:M,"QQC",'QA Log'!L:L,"2. Hygiene and Sterilization",'QA Log'!Z:Z,"Approved"),"")</f>
        <v/>
      </c>
      <c r="AI178" s="102"/>
      <c r="AJ178" s="102"/>
      <c r="AK178" s="103" t="str">
        <f t="shared" si="2"/>
        <v/>
      </c>
      <c r="AL178" s="102"/>
      <c r="AM178" s="102"/>
      <c r="AN178" s="102"/>
      <c r="AO178" s="106"/>
      <c r="AP178" s="103"/>
      <c r="AQ178" s="102"/>
      <c r="AR178" s="102"/>
      <c r="AS178" s="102"/>
      <c r="AT178" s="107"/>
      <c r="AU178" s="102" t="str">
        <f t="shared" si="3"/>
        <v/>
      </c>
      <c r="AV178" s="102" t="str">
        <f t="shared" si="4"/>
        <v/>
      </c>
      <c r="AW178" s="102" t="str">
        <f t="shared" si="5"/>
        <v/>
      </c>
      <c r="AX178" s="102" t="str">
        <f t="shared" si="6"/>
        <v/>
      </c>
      <c r="AY178" s="107" t="str">
        <f t="shared" si="7"/>
        <v/>
      </c>
      <c r="AZ178" s="108" t="str">
        <f t="shared" si="8"/>
        <v/>
      </c>
      <c r="BA178" s="108" t="str">
        <f t="shared" si="9"/>
        <v/>
      </c>
      <c r="BB178" s="109" t="str">
        <f t="shared" si="10"/>
        <v/>
      </c>
      <c r="BC178" s="108" t="str">
        <f t="shared" si="11"/>
        <v/>
      </c>
      <c r="BD178" s="108" t="str">
        <f t="shared" si="12"/>
        <v/>
      </c>
      <c r="BE178" s="109" t="str">
        <f t="shared" si="13"/>
        <v/>
      </c>
      <c r="BF178" s="110" t="str">
        <f t="shared" si="14"/>
        <v/>
      </c>
      <c r="BG178" s="111"/>
    </row>
    <row r="179" spans="1:59" ht="12.75">
      <c r="A179" s="101"/>
      <c r="B179" s="102"/>
      <c r="C179" s="102" t="e">
        <f t="array" aca="1" ref="C179" ca="1">_xludf.XLOOKUP(A179,'QA Log'!D:D,'QA Log'!F:F,"")</f>
        <v>#NAME?</v>
      </c>
      <c r="D179" s="102"/>
      <c r="E179" s="102" t="e">
        <f t="array" aca="1" ref="E179" ca="1">_xludf.XLOOKUP(A179,'QA Log'!D:D,'QA Log'!G:G,"")</f>
        <v>#NAME?</v>
      </c>
      <c r="F179" s="103"/>
      <c r="G179" s="104"/>
      <c r="H179" s="104"/>
      <c r="I179" s="103" t="str">
        <f t="shared" si="0"/>
        <v/>
      </c>
      <c r="J179" s="102"/>
      <c r="K179" s="102"/>
      <c r="L179" s="119" t="str">
        <f t="array" ref="L179">IF(OR($B179="",$D179=""),"",
IFERROR(
  INDEX(
    'Tools &amp; Targets_Guideline'!$C$54:$I$269,
    MATCH(
      1,
      ('Tools &amp; Targets_Guideline'!$A$54:$A$269=$B179)*
      ('Tools &amp; Targets_Guideline'!$B$54:$B$269="ANC"),
      0
    ),
    MATCH(
      _xludf.IFNA(
        VLOOKUP($D179,{"PH","Provincial Hospital (H2)";"DH","District Hospital (H3)";"RH","Regional / National Hospital (H1)"},2,0),
        $D179
      ),
      'Tools &amp; Targets_Guideline'!$C$53:$I$53,
      0
    )
  ),
0))</f>
        <v/>
      </c>
      <c r="M179" s="105"/>
      <c r="N179" s="119" t="str">
        <f t="array" ref="N179">IF(OR($B179="",$D179=""),"",
IFERROR(
  INDEX(
    'Tools &amp; Targets_Guideline'!$C$54:$I$269,
    MATCH(
      1,
      ('Tools &amp; Targets_Guideline'!$A$54:$A$269=$B179)*
      ('Tools &amp; Targets_Guideline'!$B$54:$B$269="PNC"),
      0
    ),
    MATCH(
      _xludf.IFNA(
        VLOOKUP($D179,{"PH","Provincial Hospital (H2)";"DH","District Hospital (H3)";"RH","Regional / National Hospital (H1)"},2,0),
        $D179
      ),
      'Tools &amp; Targets_Guideline'!$C$53:$I$53,
      0
    )
  ),
0))</f>
        <v/>
      </c>
      <c r="O179" s="105"/>
      <c r="P179" s="119" t="str">
        <f t="array" ref="P179">IF(OR($B179="",$D179=""),"",
IFERROR(
  INDEX(
    'Tools &amp; Targets_Guideline'!$C$54:$I$269,
    MATCH(
      1,
      ('Tools &amp; Targets_Guideline'!$A$54:$A$269=$B179)*
      ('Tools &amp; Targets_Guideline'!$B$54:$B$269="Delivery"),
      0
    ),
    MATCH(
      _xludf.IFNA(
        VLOOKUP($D179,{"PH","Provincial Hospital (H2)";"DH","District Hospital (H3)";"RH","Regional / National Hospital (H1)"},2,0),
        $D179
      ),
      'Tools &amp; Targets_Guideline'!$C$53:$I$53,
      0
    )
  ),
0))</f>
        <v/>
      </c>
      <c r="Q179" s="105"/>
      <c r="R179" s="119" t="str">
        <f t="array" ref="R179">IF(OR($B179="",$D179=""),"",
IFERROR(
  INDEX(
    'Tools &amp; Targets_Guideline'!$C$54:$I$269,
    MATCH(
      1,
      ('Tools &amp; Targets_Guideline'!$A$54:$A$269=$B179)*
      ('Tools &amp; Targets_Guideline'!$B$54:$B$269="TT"),
      0
    ),
    MATCH(
      _xludf.IFNA(
        VLOOKUP($D179,{"PH","Provincial Hospital (H2)";"DH","District Hospital (H3)";"RH","Regional / National Hospital (H1)"},2,0),
        $D179
      ),
      'Tools &amp; Targets_Guideline'!$C$53:$I$53,
      0
    )
  ),
0))</f>
        <v/>
      </c>
      <c r="S179" s="105"/>
      <c r="T179" s="102"/>
      <c r="U179" s="106"/>
      <c r="V179" s="102" t="str">
        <f t="shared" si="1"/>
        <v/>
      </c>
      <c r="W179" s="102"/>
      <c r="X179" s="102"/>
      <c r="Y179" s="119" t="str">
        <f t="array" ref="Y179">IF(OR($B179="",$D179=""),"",
IFERROR(
  INDEX(
    'Tools &amp; Targets_Guideline'!$C$54:$I$269,
    MATCH(
      1,
      ('Tools &amp; Targets_Guideline'!$A$54:$A$269=$B179)*
      ('Tools &amp; Targets_Guideline'!$B$54:$B$269="GM"),
      0
    ),
    MATCH(
      _xludf.IFNA(
        VLOOKUP($D179,{"PH","Provincial Hospital (H2)";"DH","District Hospital (H3)";"RH","Regional / National Hospital (H1)"},2,0),
        $D179
      ),
      'Tools &amp; Targets_Guideline'!$C$53:$I$53,
      0
    )
  ),
0))</f>
        <v/>
      </c>
      <c r="Z179" s="105"/>
      <c r="AA179" s="119" t="str">
        <f t="array" ref="AA179">IF(OR($B179="",$D179=""),"",
IFERROR(
  INDEX(
    'Tools &amp; Targets_Guideline'!$C$54:$I$269,
    MATCH(
      1,
      ('Tools &amp; Targets_Guideline'!$A$54:$A$269=$B179)*
      ('Tools &amp; Targets_Guideline'!$B$54:$B$269="Penta"),
      0
    ),
    MATCH(
      _xludf.IFNA(
        VLOOKUP($D179,{"PH","Provincial Hospital (H2)";"DH","District Hospital (H3)";"RH","Regional / National Hospital (H1)"},2,0),
        $D179
      ),
      'Tools &amp; Targets_Guideline'!$C$53:$I$53,
      0
    )
  ),
0))</f>
        <v/>
      </c>
      <c r="AB179" s="105"/>
      <c r="AC179" s="119" t="str">
        <f t="array" ref="AC179">IF(OR($B179="",$D179=""),"",
IFERROR(
  INDEX(
    'Tools &amp; Targets_Guideline'!$C$54:$I$269,
    MATCH(
      1,
      ('Tools &amp; Targets_Guideline'!$A$54:$A$269=$B179)*
      ('Tools &amp; Targets_Guideline'!$B$54:$B$269="TB"),
      0
    ),
    MATCH(
      _xludf.IFNA(
        VLOOKUP($D179,{"PH","Provincial Hospital (H2)";"DH","District Hospital (H3)";"RH","Regional / National Hospital (H1)"},2,0),
        $D179
      ),
      'Tools &amp; Targets_Guideline'!$C$53:$I$53,
      0
    )
  ),
0))</f>
        <v/>
      </c>
      <c r="AD179" s="105"/>
      <c r="AE179" s="119" t="str">
        <f t="array" ref="AE179">IF(OR($B179="",$D179=""),"",
IFERROR(
  INDEX(
    'Tools &amp; Targets_Guideline'!$C$54:$I$269,
    MATCH(
      1,
      ('Tools &amp; Targets_Guideline'!$A$54:$A$269=$B179)*
      ('Tools &amp; Targets_Guideline'!$B$54:$B$269="U5 Morbidity"),
      0
    ),
    MATCH(
      _xludf.IFNA(
        VLOOKUP($D179,{"PH","Provincial Hospital (H2)";"DH","District Hospital (H3)";"RH","Regional / National Hospital (H1)"},2,0),
        $D179
      ),
      'Tools &amp; Targets_Guideline'!$C$53:$I$53,
      0
    )
  ),
0))</f>
        <v/>
      </c>
      <c r="AF179" s="105"/>
      <c r="AG179" s="119" t="str">
        <f t="array" ref="AG179">IF(OR($B179="",$D179=""),"",
IFERROR(
  INDEX(
    'Tools &amp; Targets_Guideline'!$C$54:$I$269,
    MATCH(
      1,
      ('Tools &amp; Targets_Guideline'!$A$54:$A$269=$B179)*
      ('Tools &amp; Targets_Guideline'!$B$54:$B$269="C-Section"),
      0
    ),
    MATCH(
      _xludf.IFNA(
        VLOOKUP($D179,{"PH","Provincial Hospital (H2)";"DH","District Hospital (H3)";"RH","Regional / National Hospital (H1)"},2,0),
        $D179
      ),
      'Tools &amp; Targets_Guideline'!$C$53:$I$53,
      0
    )
  ),
0))</f>
        <v/>
      </c>
      <c r="AH179" s="105" t="str">
        <f>IF(A179&lt;&gt;"",COUNTIFS('QA Log'!D:D,A179,'QA Log'!M:M,"QQC",'QA Log'!L:L,"2. Hygiene and Sterilization",'QA Log'!Z:Z,"Approved"),"")</f>
        <v/>
      </c>
      <c r="AI179" s="102"/>
      <c r="AJ179" s="102"/>
      <c r="AK179" s="103" t="str">
        <f t="shared" si="2"/>
        <v/>
      </c>
      <c r="AL179" s="102"/>
      <c r="AM179" s="102"/>
      <c r="AN179" s="102"/>
      <c r="AO179" s="106"/>
      <c r="AP179" s="103"/>
      <c r="AQ179" s="102"/>
      <c r="AR179" s="102"/>
      <c r="AS179" s="102"/>
      <c r="AT179" s="107"/>
      <c r="AU179" s="102" t="str">
        <f t="shared" si="3"/>
        <v/>
      </c>
      <c r="AV179" s="102" t="str">
        <f t="shared" si="4"/>
        <v/>
      </c>
      <c r="AW179" s="102" t="str">
        <f t="shared" si="5"/>
        <v/>
      </c>
      <c r="AX179" s="102" t="str">
        <f t="shared" si="6"/>
        <v/>
      </c>
      <c r="AY179" s="107" t="str">
        <f t="shared" si="7"/>
        <v/>
      </c>
      <c r="AZ179" s="108" t="str">
        <f t="shared" si="8"/>
        <v/>
      </c>
      <c r="BA179" s="108" t="str">
        <f t="shared" si="9"/>
        <v/>
      </c>
      <c r="BB179" s="109" t="str">
        <f t="shared" si="10"/>
        <v/>
      </c>
      <c r="BC179" s="108" t="str">
        <f t="shared" si="11"/>
        <v/>
      </c>
      <c r="BD179" s="108" t="str">
        <f t="shared" si="12"/>
        <v/>
      </c>
      <c r="BE179" s="109" t="str">
        <f t="shared" si="13"/>
        <v/>
      </c>
      <c r="BF179" s="110" t="str">
        <f t="shared" si="14"/>
        <v/>
      </c>
      <c r="BG179" s="111"/>
    </row>
    <row r="180" spans="1:59" ht="12.75">
      <c r="A180" s="101"/>
      <c r="B180" s="102"/>
      <c r="C180" s="102" t="e">
        <f t="array" aca="1" ref="C180" ca="1">_xludf.XLOOKUP(A180,'QA Log'!D:D,'QA Log'!F:F,"")</f>
        <v>#NAME?</v>
      </c>
      <c r="D180" s="102"/>
      <c r="E180" s="102" t="e">
        <f t="array" aca="1" ref="E180" ca="1">_xludf.XLOOKUP(A180,'QA Log'!D:D,'QA Log'!G:G,"")</f>
        <v>#NAME?</v>
      </c>
      <c r="F180" s="103"/>
      <c r="G180" s="104"/>
      <c r="H180" s="104"/>
      <c r="I180" s="103" t="str">
        <f t="shared" si="0"/>
        <v/>
      </c>
      <c r="J180" s="102"/>
      <c r="K180" s="102"/>
      <c r="L180" s="119" t="str">
        <f t="array" ref="L180">IF(OR($B180="",$D180=""),"",
IFERROR(
  INDEX(
    'Tools &amp; Targets_Guideline'!$C$54:$I$269,
    MATCH(
      1,
      ('Tools &amp; Targets_Guideline'!$A$54:$A$269=$B180)*
      ('Tools &amp; Targets_Guideline'!$B$54:$B$269="ANC"),
      0
    ),
    MATCH(
      _xludf.IFNA(
        VLOOKUP($D180,{"PH","Provincial Hospital (H2)";"DH","District Hospital (H3)";"RH","Regional / National Hospital (H1)"},2,0),
        $D180
      ),
      'Tools &amp; Targets_Guideline'!$C$53:$I$53,
      0
    )
  ),
0))</f>
        <v/>
      </c>
      <c r="M180" s="105"/>
      <c r="N180" s="119" t="str">
        <f t="array" ref="N180">IF(OR($B180="",$D180=""),"",
IFERROR(
  INDEX(
    'Tools &amp; Targets_Guideline'!$C$54:$I$269,
    MATCH(
      1,
      ('Tools &amp; Targets_Guideline'!$A$54:$A$269=$B180)*
      ('Tools &amp; Targets_Guideline'!$B$54:$B$269="PNC"),
      0
    ),
    MATCH(
      _xludf.IFNA(
        VLOOKUP($D180,{"PH","Provincial Hospital (H2)";"DH","District Hospital (H3)";"RH","Regional / National Hospital (H1)"},2,0),
        $D180
      ),
      'Tools &amp; Targets_Guideline'!$C$53:$I$53,
      0
    )
  ),
0))</f>
        <v/>
      </c>
      <c r="O180" s="105"/>
      <c r="P180" s="119" t="str">
        <f t="array" ref="P180">IF(OR($B180="",$D180=""),"",
IFERROR(
  INDEX(
    'Tools &amp; Targets_Guideline'!$C$54:$I$269,
    MATCH(
      1,
      ('Tools &amp; Targets_Guideline'!$A$54:$A$269=$B180)*
      ('Tools &amp; Targets_Guideline'!$B$54:$B$269="Delivery"),
      0
    ),
    MATCH(
      _xludf.IFNA(
        VLOOKUP($D180,{"PH","Provincial Hospital (H2)";"DH","District Hospital (H3)";"RH","Regional / National Hospital (H1)"},2,0),
        $D180
      ),
      'Tools &amp; Targets_Guideline'!$C$53:$I$53,
      0
    )
  ),
0))</f>
        <v/>
      </c>
      <c r="Q180" s="105"/>
      <c r="R180" s="119" t="str">
        <f t="array" ref="R180">IF(OR($B180="",$D180=""),"",
IFERROR(
  INDEX(
    'Tools &amp; Targets_Guideline'!$C$54:$I$269,
    MATCH(
      1,
      ('Tools &amp; Targets_Guideline'!$A$54:$A$269=$B180)*
      ('Tools &amp; Targets_Guideline'!$B$54:$B$269="TT"),
      0
    ),
    MATCH(
      _xludf.IFNA(
        VLOOKUP($D180,{"PH","Provincial Hospital (H2)";"DH","District Hospital (H3)";"RH","Regional / National Hospital (H1)"},2,0),
        $D180
      ),
      'Tools &amp; Targets_Guideline'!$C$53:$I$53,
      0
    )
  ),
0))</f>
        <v/>
      </c>
      <c r="S180" s="105"/>
      <c r="T180" s="102"/>
      <c r="U180" s="106"/>
      <c r="V180" s="102" t="str">
        <f t="shared" si="1"/>
        <v/>
      </c>
      <c r="W180" s="102"/>
      <c r="X180" s="102"/>
      <c r="Y180" s="119" t="str">
        <f t="array" ref="Y180">IF(OR($B180="",$D180=""),"",
IFERROR(
  INDEX(
    'Tools &amp; Targets_Guideline'!$C$54:$I$269,
    MATCH(
      1,
      ('Tools &amp; Targets_Guideline'!$A$54:$A$269=$B180)*
      ('Tools &amp; Targets_Guideline'!$B$54:$B$269="GM"),
      0
    ),
    MATCH(
      _xludf.IFNA(
        VLOOKUP($D180,{"PH","Provincial Hospital (H2)";"DH","District Hospital (H3)";"RH","Regional / National Hospital (H1)"},2,0),
        $D180
      ),
      'Tools &amp; Targets_Guideline'!$C$53:$I$53,
      0
    )
  ),
0))</f>
        <v/>
      </c>
      <c r="Z180" s="105"/>
      <c r="AA180" s="119" t="str">
        <f t="array" ref="AA180">IF(OR($B180="",$D180=""),"",
IFERROR(
  INDEX(
    'Tools &amp; Targets_Guideline'!$C$54:$I$269,
    MATCH(
      1,
      ('Tools &amp; Targets_Guideline'!$A$54:$A$269=$B180)*
      ('Tools &amp; Targets_Guideline'!$B$54:$B$269="Penta"),
      0
    ),
    MATCH(
      _xludf.IFNA(
        VLOOKUP($D180,{"PH","Provincial Hospital (H2)";"DH","District Hospital (H3)";"RH","Regional / National Hospital (H1)"},2,0),
        $D180
      ),
      'Tools &amp; Targets_Guideline'!$C$53:$I$53,
      0
    )
  ),
0))</f>
        <v/>
      </c>
      <c r="AB180" s="105"/>
      <c r="AC180" s="119" t="str">
        <f t="array" ref="AC180">IF(OR($B180="",$D180=""),"",
IFERROR(
  INDEX(
    'Tools &amp; Targets_Guideline'!$C$54:$I$269,
    MATCH(
      1,
      ('Tools &amp; Targets_Guideline'!$A$54:$A$269=$B180)*
      ('Tools &amp; Targets_Guideline'!$B$54:$B$269="TB"),
      0
    ),
    MATCH(
      _xludf.IFNA(
        VLOOKUP($D180,{"PH","Provincial Hospital (H2)";"DH","District Hospital (H3)";"RH","Regional / National Hospital (H1)"},2,0),
        $D180
      ),
      'Tools &amp; Targets_Guideline'!$C$53:$I$53,
      0
    )
  ),
0))</f>
        <v/>
      </c>
      <c r="AD180" s="105"/>
      <c r="AE180" s="119" t="str">
        <f t="array" ref="AE180">IF(OR($B180="",$D180=""),"",
IFERROR(
  INDEX(
    'Tools &amp; Targets_Guideline'!$C$54:$I$269,
    MATCH(
      1,
      ('Tools &amp; Targets_Guideline'!$A$54:$A$269=$B180)*
      ('Tools &amp; Targets_Guideline'!$B$54:$B$269="U5 Morbidity"),
      0
    ),
    MATCH(
      _xludf.IFNA(
        VLOOKUP($D180,{"PH","Provincial Hospital (H2)";"DH","District Hospital (H3)";"RH","Regional / National Hospital (H1)"},2,0),
        $D180
      ),
      'Tools &amp; Targets_Guideline'!$C$53:$I$53,
      0
    )
  ),
0))</f>
        <v/>
      </c>
      <c r="AF180" s="105"/>
      <c r="AG180" s="119" t="str">
        <f t="array" ref="AG180">IF(OR($B180="",$D180=""),"",
IFERROR(
  INDEX(
    'Tools &amp; Targets_Guideline'!$C$54:$I$269,
    MATCH(
      1,
      ('Tools &amp; Targets_Guideline'!$A$54:$A$269=$B180)*
      ('Tools &amp; Targets_Guideline'!$B$54:$B$269="C-Section"),
      0
    ),
    MATCH(
      _xludf.IFNA(
        VLOOKUP($D180,{"PH","Provincial Hospital (H2)";"DH","District Hospital (H3)";"RH","Regional / National Hospital (H1)"},2,0),
        $D180
      ),
      'Tools &amp; Targets_Guideline'!$C$53:$I$53,
      0
    )
  ),
0))</f>
        <v/>
      </c>
      <c r="AH180" s="105" t="str">
        <f>IF(A180&lt;&gt;"",COUNTIFS('QA Log'!D:D,A180,'QA Log'!M:M,"QQC",'QA Log'!L:L,"2. Hygiene and Sterilization",'QA Log'!Z:Z,"Approved"),"")</f>
        <v/>
      </c>
      <c r="AI180" s="102"/>
      <c r="AJ180" s="102"/>
      <c r="AK180" s="103" t="str">
        <f t="shared" si="2"/>
        <v/>
      </c>
      <c r="AL180" s="102"/>
      <c r="AM180" s="102"/>
      <c r="AN180" s="102"/>
      <c r="AO180" s="106"/>
      <c r="AP180" s="103"/>
      <c r="AQ180" s="102"/>
      <c r="AR180" s="102"/>
      <c r="AS180" s="102"/>
      <c r="AT180" s="107"/>
      <c r="AU180" s="102" t="str">
        <f t="shared" si="3"/>
        <v/>
      </c>
      <c r="AV180" s="102" t="str">
        <f t="shared" si="4"/>
        <v/>
      </c>
      <c r="AW180" s="102" t="str">
        <f t="shared" si="5"/>
        <v/>
      </c>
      <c r="AX180" s="102" t="str">
        <f t="shared" si="6"/>
        <v/>
      </c>
      <c r="AY180" s="107" t="str">
        <f t="shared" si="7"/>
        <v/>
      </c>
      <c r="AZ180" s="108" t="str">
        <f t="shared" si="8"/>
        <v/>
      </c>
      <c r="BA180" s="108" t="str">
        <f t="shared" si="9"/>
        <v/>
      </c>
      <c r="BB180" s="109" t="str">
        <f t="shared" si="10"/>
        <v/>
      </c>
      <c r="BC180" s="108" t="str">
        <f t="shared" si="11"/>
        <v/>
      </c>
      <c r="BD180" s="108" t="str">
        <f t="shared" si="12"/>
        <v/>
      </c>
      <c r="BE180" s="109" t="str">
        <f t="shared" si="13"/>
        <v/>
      </c>
      <c r="BF180" s="110" t="str">
        <f t="shared" si="14"/>
        <v/>
      </c>
      <c r="BG180" s="111"/>
    </row>
    <row r="181" spans="1:59" ht="12.75">
      <c r="A181" s="101"/>
      <c r="B181" s="102"/>
      <c r="C181" s="102" t="e">
        <f t="array" aca="1" ref="C181" ca="1">_xludf.XLOOKUP(A181,'QA Log'!D:D,'QA Log'!F:F,"")</f>
        <v>#NAME?</v>
      </c>
      <c r="D181" s="102"/>
      <c r="E181" s="102" t="e">
        <f t="array" aca="1" ref="E181" ca="1">_xludf.XLOOKUP(A181,'QA Log'!D:D,'QA Log'!G:G,"")</f>
        <v>#NAME?</v>
      </c>
      <c r="F181" s="103"/>
      <c r="G181" s="104"/>
      <c r="H181" s="104"/>
      <c r="I181" s="103" t="str">
        <f t="shared" si="0"/>
        <v/>
      </c>
      <c r="J181" s="102"/>
      <c r="K181" s="102"/>
      <c r="L181" s="119" t="str">
        <f t="array" ref="L181">IF(OR($B181="",$D181=""),"",
IFERROR(
  INDEX(
    'Tools &amp; Targets_Guideline'!$C$54:$I$269,
    MATCH(
      1,
      ('Tools &amp; Targets_Guideline'!$A$54:$A$269=$B181)*
      ('Tools &amp; Targets_Guideline'!$B$54:$B$269="ANC"),
      0
    ),
    MATCH(
      _xludf.IFNA(
        VLOOKUP($D181,{"PH","Provincial Hospital (H2)";"DH","District Hospital (H3)";"RH","Regional / National Hospital (H1)"},2,0),
        $D181
      ),
      'Tools &amp; Targets_Guideline'!$C$53:$I$53,
      0
    )
  ),
0))</f>
        <v/>
      </c>
      <c r="M181" s="105"/>
      <c r="N181" s="119" t="str">
        <f t="array" ref="N181">IF(OR($B181="",$D181=""),"",
IFERROR(
  INDEX(
    'Tools &amp; Targets_Guideline'!$C$54:$I$269,
    MATCH(
      1,
      ('Tools &amp; Targets_Guideline'!$A$54:$A$269=$B181)*
      ('Tools &amp; Targets_Guideline'!$B$54:$B$269="PNC"),
      0
    ),
    MATCH(
      _xludf.IFNA(
        VLOOKUP($D181,{"PH","Provincial Hospital (H2)";"DH","District Hospital (H3)";"RH","Regional / National Hospital (H1)"},2,0),
        $D181
      ),
      'Tools &amp; Targets_Guideline'!$C$53:$I$53,
      0
    )
  ),
0))</f>
        <v/>
      </c>
      <c r="O181" s="105"/>
      <c r="P181" s="119" t="str">
        <f t="array" ref="P181">IF(OR($B181="",$D181=""),"",
IFERROR(
  INDEX(
    'Tools &amp; Targets_Guideline'!$C$54:$I$269,
    MATCH(
      1,
      ('Tools &amp; Targets_Guideline'!$A$54:$A$269=$B181)*
      ('Tools &amp; Targets_Guideline'!$B$54:$B$269="Delivery"),
      0
    ),
    MATCH(
      _xludf.IFNA(
        VLOOKUP($D181,{"PH","Provincial Hospital (H2)";"DH","District Hospital (H3)";"RH","Regional / National Hospital (H1)"},2,0),
        $D181
      ),
      'Tools &amp; Targets_Guideline'!$C$53:$I$53,
      0
    )
  ),
0))</f>
        <v/>
      </c>
      <c r="Q181" s="105"/>
      <c r="R181" s="119" t="str">
        <f t="array" ref="R181">IF(OR($B181="",$D181=""),"",
IFERROR(
  INDEX(
    'Tools &amp; Targets_Guideline'!$C$54:$I$269,
    MATCH(
      1,
      ('Tools &amp; Targets_Guideline'!$A$54:$A$269=$B181)*
      ('Tools &amp; Targets_Guideline'!$B$54:$B$269="TT"),
      0
    ),
    MATCH(
      _xludf.IFNA(
        VLOOKUP($D181,{"PH","Provincial Hospital (H2)";"DH","District Hospital (H3)";"RH","Regional / National Hospital (H1)"},2,0),
        $D181
      ),
      'Tools &amp; Targets_Guideline'!$C$53:$I$53,
      0
    )
  ),
0))</f>
        <v/>
      </c>
      <c r="S181" s="105"/>
      <c r="T181" s="102"/>
      <c r="U181" s="106"/>
      <c r="V181" s="102" t="str">
        <f t="shared" si="1"/>
        <v/>
      </c>
      <c r="W181" s="102"/>
      <c r="X181" s="102"/>
      <c r="Y181" s="119" t="str">
        <f t="array" ref="Y181">IF(OR($B181="",$D181=""),"",
IFERROR(
  INDEX(
    'Tools &amp; Targets_Guideline'!$C$54:$I$269,
    MATCH(
      1,
      ('Tools &amp; Targets_Guideline'!$A$54:$A$269=$B181)*
      ('Tools &amp; Targets_Guideline'!$B$54:$B$269="GM"),
      0
    ),
    MATCH(
      _xludf.IFNA(
        VLOOKUP($D181,{"PH","Provincial Hospital (H2)";"DH","District Hospital (H3)";"RH","Regional / National Hospital (H1)"},2,0),
        $D181
      ),
      'Tools &amp; Targets_Guideline'!$C$53:$I$53,
      0
    )
  ),
0))</f>
        <v/>
      </c>
      <c r="Z181" s="105"/>
      <c r="AA181" s="119" t="str">
        <f t="array" ref="AA181">IF(OR($B181="",$D181=""),"",
IFERROR(
  INDEX(
    'Tools &amp; Targets_Guideline'!$C$54:$I$269,
    MATCH(
      1,
      ('Tools &amp; Targets_Guideline'!$A$54:$A$269=$B181)*
      ('Tools &amp; Targets_Guideline'!$B$54:$B$269="Penta"),
      0
    ),
    MATCH(
      _xludf.IFNA(
        VLOOKUP($D181,{"PH","Provincial Hospital (H2)";"DH","District Hospital (H3)";"RH","Regional / National Hospital (H1)"},2,0),
        $D181
      ),
      'Tools &amp; Targets_Guideline'!$C$53:$I$53,
      0
    )
  ),
0))</f>
        <v/>
      </c>
      <c r="AB181" s="105"/>
      <c r="AC181" s="119" t="str">
        <f t="array" ref="AC181">IF(OR($B181="",$D181=""),"",
IFERROR(
  INDEX(
    'Tools &amp; Targets_Guideline'!$C$54:$I$269,
    MATCH(
      1,
      ('Tools &amp; Targets_Guideline'!$A$54:$A$269=$B181)*
      ('Tools &amp; Targets_Guideline'!$B$54:$B$269="TB"),
      0
    ),
    MATCH(
      _xludf.IFNA(
        VLOOKUP($D181,{"PH","Provincial Hospital (H2)";"DH","District Hospital (H3)";"RH","Regional / National Hospital (H1)"},2,0),
        $D181
      ),
      'Tools &amp; Targets_Guideline'!$C$53:$I$53,
      0
    )
  ),
0))</f>
        <v/>
      </c>
      <c r="AD181" s="105"/>
      <c r="AE181" s="119" t="str">
        <f t="array" ref="AE181">IF(OR($B181="",$D181=""),"",
IFERROR(
  INDEX(
    'Tools &amp; Targets_Guideline'!$C$54:$I$269,
    MATCH(
      1,
      ('Tools &amp; Targets_Guideline'!$A$54:$A$269=$B181)*
      ('Tools &amp; Targets_Guideline'!$B$54:$B$269="U5 Morbidity"),
      0
    ),
    MATCH(
      _xludf.IFNA(
        VLOOKUP($D181,{"PH","Provincial Hospital (H2)";"DH","District Hospital (H3)";"RH","Regional / National Hospital (H1)"},2,0),
        $D181
      ),
      'Tools &amp; Targets_Guideline'!$C$53:$I$53,
      0
    )
  ),
0))</f>
        <v/>
      </c>
      <c r="AF181" s="105"/>
      <c r="AG181" s="119" t="str">
        <f t="array" ref="AG181">IF(OR($B181="",$D181=""),"",
IFERROR(
  INDEX(
    'Tools &amp; Targets_Guideline'!$C$54:$I$269,
    MATCH(
      1,
      ('Tools &amp; Targets_Guideline'!$A$54:$A$269=$B181)*
      ('Tools &amp; Targets_Guideline'!$B$54:$B$269="C-Section"),
      0
    ),
    MATCH(
      _xludf.IFNA(
        VLOOKUP($D181,{"PH","Provincial Hospital (H2)";"DH","District Hospital (H3)";"RH","Regional / National Hospital (H1)"},2,0),
        $D181
      ),
      'Tools &amp; Targets_Guideline'!$C$53:$I$53,
      0
    )
  ),
0))</f>
        <v/>
      </c>
      <c r="AH181" s="105" t="str">
        <f>IF(A181&lt;&gt;"",COUNTIFS('QA Log'!D:D,A181,'QA Log'!M:M,"QQC",'QA Log'!L:L,"2. Hygiene and Sterilization",'QA Log'!Z:Z,"Approved"),"")</f>
        <v/>
      </c>
      <c r="AI181" s="102"/>
      <c r="AJ181" s="102"/>
      <c r="AK181" s="103" t="str">
        <f t="shared" si="2"/>
        <v/>
      </c>
      <c r="AL181" s="102"/>
      <c r="AM181" s="102"/>
      <c r="AN181" s="102"/>
      <c r="AO181" s="106"/>
      <c r="AP181" s="103"/>
      <c r="AQ181" s="102"/>
      <c r="AR181" s="102"/>
      <c r="AS181" s="102"/>
      <c r="AT181" s="107"/>
      <c r="AU181" s="102" t="str">
        <f t="shared" si="3"/>
        <v/>
      </c>
      <c r="AV181" s="102" t="str">
        <f t="shared" si="4"/>
        <v/>
      </c>
      <c r="AW181" s="102" t="str">
        <f t="shared" si="5"/>
        <v/>
      </c>
      <c r="AX181" s="102" t="str">
        <f t="shared" si="6"/>
        <v/>
      </c>
      <c r="AY181" s="107" t="str">
        <f t="shared" si="7"/>
        <v/>
      </c>
      <c r="AZ181" s="108" t="str">
        <f t="shared" si="8"/>
        <v/>
      </c>
      <c r="BA181" s="108" t="str">
        <f t="shared" si="9"/>
        <v/>
      </c>
      <c r="BB181" s="109" t="str">
        <f t="shared" si="10"/>
        <v/>
      </c>
      <c r="BC181" s="108" t="str">
        <f t="shared" si="11"/>
        <v/>
      </c>
      <c r="BD181" s="108" t="str">
        <f t="shared" si="12"/>
        <v/>
      </c>
      <c r="BE181" s="109" t="str">
        <f t="shared" si="13"/>
        <v/>
      </c>
      <c r="BF181" s="110" t="str">
        <f t="shared" si="14"/>
        <v/>
      </c>
      <c r="BG181" s="111"/>
    </row>
    <row r="182" spans="1:59" ht="12.75">
      <c r="A182" s="101"/>
      <c r="B182" s="102"/>
      <c r="C182" s="102" t="e">
        <f t="array" aca="1" ref="C182" ca="1">_xludf.XLOOKUP(A182,'QA Log'!D:D,'QA Log'!F:F,"")</f>
        <v>#NAME?</v>
      </c>
      <c r="D182" s="102"/>
      <c r="E182" s="102" t="e">
        <f t="array" aca="1" ref="E182" ca="1">_xludf.XLOOKUP(A182,'QA Log'!D:D,'QA Log'!G:G,"")</f>
        <v>#NAME?</v>
      </c>
      <c r="F182" s="103"/>
      <c r="G182" s="104"/>
      <c r="H182" s="104"/>
      <c r="I182" s="103" t="str">
        <f t="shared" si="0"/>
        <v/>
      </c>
      <c r="J182" s="102"/>
      <c r="K182" s="102"/>
      <c r="L182" s="119" t="str">
        <f t="array" ref="L182">IF(OR($B182="",$D182=""),"",
IFERROR(
  INDEX(
    'Tools &amp; Targets_Guideline'!$C$54:$I$269,
    MATCH(
      1,
      ('Tools &amp; Targets_Guideline'!$A$54:$A$269=$B182)*
      ('Tools &amp; Targets_Guideline'!$B$54:$B$269="ANC"),
      0
    ),
    MATCH(
      _xludf.IFNA(
        VLOOKUP($D182,{"PH","Provincial Hospital (H2)";"DH","District Hospital (H3)";"RH","Regional / National Hospital (H1)"},2,0),
        $D182
      ),
      'Tools &amp; Targets_Guideline'!$C$53:$I$53,
      0
    )
  ),
0))</f>
        <v/>
      </c>
      <c r="M182" s="105"/>
      <c r="N182" s="119" t="str">
        <f t="array" ref="N182">IF(OR($B182="",$D182=""),"",
IFERROR(
  INDEX(
    'Tools &amp; Targets_Guideline'!$C$54:$I$269,
    MATCH(
      1,
      ('Tools &amp; Targets_Guideline'!$A$54:$A$269=$B182)*
      ('Tools &amp; Targets_Guideline'!$B$54:$B$269="PNC"),
      0
    ),
    MATCH(
      _xludf.IFNA(
        VLOOKUP($D182,{"PH","Provincial Hospital (H2)";"DH","District Hospital (H3)";"RH","Regional / National Hospital (H1)"},2,0),
        $D182
      ),
      'Tools &amp; Targets_Guideline'!$C$53:$I$53,
      0
    )
  ),
0))</f>
        <v/>
      </c>
      <c r="O182" s="105"/>
      <c r="P182" s="119" t="str">
        <f t="array" ref="P182">IF(OR($B182="",$D182=""),"",
IFERROR(
  INDEX(
    'Tools &amp; Targets_Guideline'!$C$54:$I$269,
    MATCH(
      1,
      ('Tools &amp; Targets_Guideline'!$A$54:$A$269=$B182)*
      ('Tools &amp; Targets_Guideline'!$B$54:$B$269="Delivery"),
      0
    ),
    MATCH(
      _xludf.IFNA(
        VLOOKUP($D182,{"PH","Provincial Hospital (H2)";"DH","District Hospital (H3)";"RH","Regional / National Hospital (H1)"},2,0),
        $D182
      ),
      'Tools &amp; Targets_Guideline'!$C$53:$I$53,
      0
    )
  ),
0))</f>
        <v/>
      </c>
      <c r="Q182" s="105"/>
      <c r="R182" s="119" t="str">
        <f t="array" ref="R182">IF(OR($B182="",$D182=""),"",
IFERROR(
  INDEX(
    'Tools &amp; Targets_Guideline'!$C$54:$I$269,
    MATCH(
      1,
      ('Tools &amp; Targets_Guideline'!$A$54:$A$269=$B182)*
      ('Tools &amp; Targets_Guideline'!$B$54:$B$269="TT"),
      0
    ),
    MATCH(
      _xludf.IFNA(
        VLOOKUP($D182,{"PH","Provincial Hospital (H2)";"DH","District Hospital (H3)";"RH","Regional / National Hospital (H1)"},2,0),
        $D182
      ),
      'Tools &amp; Targets_Guideline'!$C$53:$I$53,
      0
    )
  ),
0))</f>
        <v/>
      </c>
      <c r="S182" s="105"/>
      <c r="T182" s="102"/>
      <c r="U182" s="106"/>
      <c r="V182" s="102" t="str">
        <f t="shared" si="1"/>
        <v/>
      </c>
      <c r="W182" s="102"/>
      <c r="X182" s="102"/>
      <c r="Y182" s="119" t="str">
        <f t="array" ref="Y182">IF(OR($B182="",$D182=""),"",
IFERROR(
  INDEX(
    'Tools &amp; Targets_Guideline'!$C$54:$I$269,
    MATCH(
      1,
      ('Tools &amp; Targets_Guideline'!$A$54:$A$269=$B182)*
      ('Tools &amp; Targets_Guideline'!$B$54:$B$269="GM"),
      0
    ),
    MATCH(
      _xludf.IFNA(
        VLOOKUP($D182,{"PH","Provincial Hospital (H2)";"DH","District Hospital (H3)";"RH","Regional / National Hospital (H1)"},2,0),
        $D182
      ),
      'Tools &amp; Targets_Guideline'!$C$53:$I$53,
      0
    )
  ),
0))</f>
        <v/>
      </c>
      <c r="Z182" s="105"/>
      <c r="AA182" s="119" t="str">
        <f t="array" ref="AA182">IF(OR($B182="",$D182=""),"",
IFERROR(
  INDEX(
    'Tools &amp; Targets_Guideline'!$C$54:$I$269,
    MATCH(
      1,
      ('Tools &amp; Targets_Guideline'!$A$54:$A$269=$B182)*
      ('Tools &amp; Targets_Guideline'!$B$54:$B$269="Penta"),
      0
    ),
    MATCH(
      _xludf.IFNA(
        VLOOKUP($D182,{"PH","Provincial Hospital (H2)";"DH","District Hospital (H3)";"RH","Regional / National Hospital (H1)"},2,0),
        $D182
      ),
      'Tools &amp; Targets_Guideline'!$C$53:$I$53,
      0
    )
  ),
0))</f>
        <v/>
      </c>
      <c r="AB182" s="105"/>
      <c r="AC182" s="119" t="str">
        <f t="array" ref="AC182">IF(OR($B182="",$D182=""),"",
IFERROR(
  INDEX(
    'Tools &amp; Targets_Guideline'!$C$54:$I$269,
    MATCH(
      1,
      ('Tools &amp; Targets_Guideline'!$A$54:$A$269=$B182)*
      ('Tools &amp; Targets_Guideline'!$B$54:$B$269="TB"),
      0
    ),
    MATCH(
      _xludf.IFNA(
        VLOOKUP($D182,{"PH","Provincial Hospital (H2)";"DH","District Hospital (H3)";"RH","Regional / National Hospital (H1)"},2,0),
        $D182
      ),
      'Tools &amp; Targets_Guideline'!$C$53:$I$53,
      0
    )
  ),
0))</f>
        <v/>
      </c>
      <c r="AD182" s="105"/>
      <c r="AE182" s="119" t="str">
        <f t="array" ref="AE182">IF(OR($B182="",$D182=""),"",
IFERROR(
  INDEX(
    'Tools &amp; Targets_Guideline'!$C$54:$I$269,
    MATCH(
      1,
      ('Tools &amp; Targets_Guideline'!$A$54:$A$269=$B182)*
      ('Tools &amp; Targets_Guideline'!$B$54:$B$269="U5 Morbidity"),
      0
    ),
    MATCH(
      _xludf.IFNA(
        VLOOKUP($D182,{"PH","Provincial Hospital (H2)";"DH","District Hospital (H3)";"RH","Regional / National Hospital (H1)"},2,0),
        $D182
      ),
      'Tools &amp; Targets_Guideline'!$C$53:$I$53,
      0
    )
  ),
0))</f>
        <v/>
      </c>
      <c r="AF182" s="105"/>
      <c r="AG182" s="119" t="str">
        <f t="array" ref="AG182">IF(OR($B182="",$D182=""),"",
IFERROR(
  INDEX(
    'Tools &amp; Targets_Guideline'!$C$54:$I$269,
    MATCH(
      1,
      ('Tools &amp; Targets_Guideline'!$A$54:$A$269=$B182)*
      ('Tools &amp; Targets_Guideline'!$B$54:$B$269="C-Section"),
      0
    ),
    MATCH(
      _xludf.IFNA(
        VLOOKUP($D182,{"PH","Provincial Hospital (H2)";"DH","District Hospital (H3)";"RH","Regional / National Hospital (H1)"},2,0),
        $D182
      ),
      'Tools &amp; Targets_Guideline'!$C$53:$I$53,
      0
    )
  ),
0))</f>
        <v/>
      </c>
      <c r="AH182" s="105" t="str">
        <f>IF(A182&lt;&gt;"",COUNTIFS('QA Log'!D:D,A182,'QA Log'!M:M,"QQC",'QA Log'!L:L,"2. Hygiene and Sterilization",'QA Log'!Z:Z,"Approved"),"")</f>
        <v/>
      </c>
      <c r="AI182" s="102"/>
      <c r="AJ182" s="102"/>
      <c r="AK182" s="103" t="str">
        <f t="shared" si="2"/>
        <v/>
      </c>
      <c r="AL182" s="102"/>
      <c r="AM182" s="102"/>
      <c r="AN182" s="102"/>
      <c r="AO182" s="106"/>
      <c r="AP182" s="103"/>
      <c r="AQ182" s="102"/>
      <c r="AR182" s="102"/>
      <c r="AS182" s="102"/>
      <c r="AT182" s="107"/>
      <c r="AU182" s="102" t="str">
        <f t="shared" si="3"/>
        <v/>
      </c>
      <c r="AV182" s="102" t="str">
        <f t="shared" si="4"/>
        <v/>
      </c>
      <c r="AW182" s="102" t="str">
        <f t="shared" si="5"/>
        <v/>
      </c>
      <c r="AX182" s="102" t="str">
        <f t="shared" si="6"/>
        <v/>
      </c>
      <c r="AY182" s="107" t="str">
        <f t="shared" si="7"/>
        <v/>
      </c>
      <c r="AZ182" s="108" t="str">
        <f t="shared" si="8"/>
        <v/>
      </c>
      <c r="BA182" s="108" t="str">
        <f t="shared" si="9"/>
        <v/>
      </c>
      <c r="BB182" s="109" t="str">
        <f t="shared" si="10"/>
        <v/>
      </c>
      <c r="BC182" s="108" t="str">
        <f t="shared" si="11"/>
        <v/>
      </c>
      <c r="BD182" s="108" t="str">
        <f t="shared" si="12"/>
        <v/>
      </c>
      <c r="BE182" s="109" t="str">
        <f t="shared" si="13"/>
        <v/>
      </c>
      <c r="BF182" s="110" t="str">
        <f t="shared" si="14"/>
        <v/>
      </c>
      <c r="BG182" s="111"/>
    </row>
    <row r="183" spans="1:59" ht="12.75">
      <c r="A183" s="101"/>
      <c r="B183" s="102"/>
      <c r="C183" s="102" t="e">
        <f t="array" aca="1" ref="C183" ca="1">_xludf.XLOOKUP(A183,'QA Log'!D:D,'QA Log'!F:F,"")</f>
        <v>#NAME?</v>
      </c>
      <c r="D183" s="102"/>
      <c r="E183" s="102" t="e">
        <f t="array" aca="1" ref="E183" ca="1">_xludf.XLOOKUP(A183,'QA Log'!D:D,'QA Log'!G:G,"")</f>
        <v>#NAME?</v>
      </c>
      <c r="F183" s="103"/>
      <c r="G183" s="104"/>
      <c r="H183" s="104"/>
      <c r="I183" s="103" t="str">
        <f t="shared" si="0"/>
        <v/>
      </c>
      <c r="J183" s="102"/>
      <c r="K183" s="102"/>
      <c r="L183" s="119" t="str">
        <f t="array" ref="L183">IF(OR($B183="",$D183=""),"",
IFERROR(
  INDEX(
    'Tools &amp; Targets_Guideline'!$C$54:$I$269,
    MATCH(
      1,
      ('Tools &amp; Targets_Guideline'!$A$54:$A$269=$B183)*
      ('Tools &amp; Targets_Guideline'!$B$54:$B$269="ANC"),
      0
    ),
    MATCH(
      _xludf.IFNA(
        VLOOKUP($D183,{"PH","Provincial Hospital (H2)";"DH","District Hospital (H3)";"RH","Regional / National Hospital (H1)"},2,0),
        $D183
      ),
      'Tools &amp; Targets_Guideline'!$C$53:$I$53,
      0
    )
  ),
0))</f>
        <v/>
      </c>
      <c r="M183" s="105"/>
      <c r="N183" s="119" t="str">
        <f t="array" ref="N183">IF(OR($B183="",$D183=""),"",
IFERROR(
  INDEX(
    'Tools &amp; Targets_Guideline'!$C$54:$I$269,
    MATCH(
      1,
      ('Tools &amp; Targets_Guideline'!$A$54:$A$269=$B183)*
      ('Tools &amp; Targets_Guideline'!$B$54:$B$269="PNC"),
      0
    ),
    MATCH(
      _xludf.IFNA(
        VLOOKUP($D183,{"PH","Provincial Hospital (H2)";"DH","District Hospital (H3)";"RH","Regional / National Hospital (H1)"},2,0),
        $D183
      ),
      'Tools &amp; Targets_Guideline'!$C$53:$I$53,
      0
    )
  ),
0))</f>
        <v/>
      </c>
      <c r="O183" s="105"/>
      <c r="P183" s="119" t="str">
        <f t="array" ref="P183">IF(OR($B183="",$D183=""),"",
IFERROR(
  INDEX(
    'Tools &amp; Targets_Guideline'!$C$54:$I$269,
    MATCH(
      1,
      ('Tools &amp; Targets_Guideline'!$A$54:$A$269=$B183)*
      ('Tools &amp; Targets_Guideline'!$B$54:$B$269="Delivery"),
      0
    ),
    MATCH(
      _xludf.IFNA(
        VLOOKUP($D183,{"PH","Provincial Hospital (H2)";"DH","District Hospital (H3)";"RH","Regional / National Hospital (H1)"},2,0),
        $D183
      ),
      'Tools &amp; Targets_Guideline'!$C$53:$I$53,
      0
    )
  ),
0))</f>
        <v/>
      </c>
      <c r="Q183" s="105"/>
      <c r="R183" s="119" t="str">
        <f t="array" ref="R183">IF(OR($B183="",$D183=""),"",
IFERROR(
  INDEX(
    'Tools &amp; Targets_Guideline'!$C$54:$I$269,
    MATCH(
      1,
      ('Tools &amp; Targets_Guideline'!$A$54:$A$269=$B183)*
      ('Tools &amp; Targets_Guideline'!$B$54:$B$269="TT"),
      0
    ),
    MATCH(
      _xludf.IFNA(
        VLOOKUP($D183,{"PH","Provincial Hospital (H2)";"DH","District Hospital (H3)";"RH","Regional / National Hospital (H1)"},2,0),
        $D183
      ),
      'Tools &amp; Targets_Guideline'!$C$53:$I$53,
      0
    )
  ),
0))</f>
        <v/>
      </c>
      <c r="S183" s="105"/>
      <c r="T183" s="102"/>
      <c r="U183" s="106"/>
      <c r="V183" s="102" t="str">
        <f t="shared" si="1"/>
        <v/>
      </c>
      <c r="W183" s="102"/>
      <c r="X183" s="102"/>
      <c r="Y183" s="119" t="str">
        <f t="array" ref="Y183">IF(OR($B183="",$D183=""),"",
IFERROR(
  INDEX(
    'Tools &amp; Targets_Guideline'!$C$54:$I$269,
    MATCH(
      1,
      ('Tools &amp; Targets_Guideline'!$A$54:$A$269=$B183)*
      ('Tools &amp; Targets_Guideline'!$B$54:$B$269="GM"),
      0
    ),
    MATCH(
      _xludf.IFNA(
        VLOOKUP($D183,{"PH","Provincial Hospital (H2)";"DH","District Hospital (H3)";"RH","Regional / National Hospital (H1)"},2,0),
        $D183
      ),
      'Tools &amp; Targets_Guideline'!$C$53:$I$53,
      0
    )
  ),
0))</f>
        <v/>
      </c>
      <c r="Z183" s="105"/>
      <c r="AA183" s="119" t="str">
        <f t="array" ref="AA183">IF(OR($B183="",$D183=""),"",
IFERROR(
  INDEX(
    'Tools &amp; Targets_Guideline'!$C$54:$I$269,
    MATCH(
      1,
      ('Tools &amp; Targets_Guideline'!$A$54:$A$269=$B183)*
      ('Tools &amp; Targets_Guideline'!$B$54:$B$269="Penta"),
      0
    ),
    MATCH(
      _xludf.IFNA(
        VLOOKUP($D183,{"PH","Provincial Hospital (H2)";"DH","District Hospital (H3)";"RH","Regional / National Hospital (H1)"},2,0),
        $D183
      ),
      'Tools &amp; Targets_Guideline'!$C$53:$I$53,
      0
    )
  ),
0))</f>
        <v/>
      </c>
      <c r="AB183" s="105"/>
      <c r="AC183" s="119" t="str">
        <f t="array" ref="AC183">IF(OR($B183="",$D183=""),"",
IFERROR(
  INDEX(
    'Tools &amp; Targets_Guideline'!$C$54:$I$269,
    MATCH(
      1,
      ('Tools &amp; Targets_Guideline'!$A$54:$A$269=$B183)*
      ('Tools &amp; Targets_Guideline'!$B$54:$B$269="TB"),
      0
    ),
    MATCH(
      _xludf.IFNA(
        VLOOKUP($D183,{"PH","Provincial Hospital (H2)";"DH","District Hospital (H3)";"RH","Regional / National Hospital (H1)"},2,0),
        $D183
      ),
      'Tools &amp; Targets_Guideline'!$C$53:$I$53,
      0
    )
  ),
0))</f>
        <v/>
      </c>
      <c r="AD183" s="105"/>
      <c r="AE183" s="119" t="str">
        <f t="array" ref="AE183">IF(OR($B183="",$D183=""),"",
IFERROR(
  INDEX(
    'Tools &amp; Targets_Guideline'!$C$54:$I$269,
    MATCH(
      1,
      ('Tools &amp; Targets_Guideline'!$A$54:$A$269=$B183)*
      ('Tools &amp; Targets_Guideline'!$B$54:$B$269="U5 Morbidity"),
      0
    ),
    MATCH(
      _xludf.IFNA(
        VLOOKUP($D183,{"PH","Provincial Hospital (H2)";"DH","District Hospital (H3)";"RH","Regional / National Hospital (H1)"},2,0),
        $D183
      ),
      'Tools &amp; Targets_Guideline'!$C$53:$I$53,
      0
    )
  ),
0))</f>
        <v/>
      </c>
      <c r="AF183" s="105"/>
      <c r="AG183" s="119" t="str">
        <f t="array" ref="AG183">IF(OR($B183="",$D183=""),"",
IFERROR(
  INDEX(
    'Tools &amp; Targets_Guideline'!$C$54:$I$269,
    MATCH(
      1,
      ('Tools &amp; Targets_Guideline'!$A$54:$A$269=$B183)*
      ('Tools &amp; Targets_Guideline'!$B$54:$B$269="C-Section"),
      0
    ),
    MATCH(
      _xludf.IFNA(
        VLOOKUP($D183,{"PH","Provincial Hospital (H2)";"DH","District Hospital (H3)";"RH","Regional / National Hospital (H1)"},2,0),
        $D183
      ),
      'Tools &amp; Targets_Guideline'!$C$53:$I$53,
      0
    )
  ),
0))</f>
        <v/>
      </c>
      <c r="AH183" s="105" t="str">
        <f>IF(A183&lt;&gt;"",COUNTIFS('QA Log'!D:D,A183,'QA Log'!M:M,"QQC",'QA Log'!L:L,"2. Hygiene and Sterilization",'QA Log'!Z:Z,"Approved"),"")</f>
        <v/>
      </c>
      <c r="AI183" s="102"/>
      <c r="AJ183" s="102"/>
      <c r="AK183" s="103" t="str">
        <f t="shared" si="2"/>
        <v/>
      </c>
      <c r="AL183" s="102"/>
      <c r="AM183" s="102"/>
      <c r="AN183" s="102"/>
      <c r="AO183" s="106"/>
      <c r="AP183" s="103"/>
      <c r="AQ183" s="102"/>
      <c r="AR183" s="102"/>
      <c r="AS183" s="102"/>
      <c r="AT183" s="107"/>
      <c r="AU183" s="102" t="str">
        <f t="shared" si="3"/>
        <v/>
      </c>
      <c r="AV183" s="102" t="str">
        <f t="shared" si="4"/>
        <v/>
      </c>
      <c r="AW183" s="102" t="str">
        <f t="shared" si="5"/>
        <v/>
      </c>
      <c r="AX183" s="102" t="str">
        <f t="shared" si="6"/>
        <v/>
      </c>
      <c r="AY183" s="107" t="str">
        <f t="shared" si="7"/>
        <v/>
      </c>
      <c r="AZ183" s="108" t="str">
        <f t="shared" si="8"/>
        <v/>
      </c>
      <c r="BA183" s="108" t="str">
        <f t="shared" si="9"/>
        <v/>
      </c>
      <c r="BB183" s="109" t="str">
        <f t="shared" si="10"/>
        <v/>
      </c>
      <c r="BC183" s="108" t="str">
        <f t="shared" si="11"/>
        <v/>
      </c>
      <c r="BD183" s="108" t="str">
        <f t="shared" si="12"/>
        <v/>
      </c>
      <c r="BE183" s="109" t="str">
        <f t="shared" si="13"/>
        <v/>
      </c>
      <c r="BF183" s="110" t="str">
        <f t="shared" si="14"/>
        <v/>
      </c>
      <c r="BG183" s="111"/>
    </row>
    <row r="184" spans="1:59" ht="12.75">
      <c r="A184" s="101"/>
      <c r="B184" s="102"/>
      <c r="C184" s="102" t="e">
        <f t="array" aca="1" ref="C184" ca="1">_xludf.XLOOKUP(A184,'QA Log'!D:D,'QA Log'!F:F,"")</f>
        <v>#NAME?</v>
      </c>
      <c r="D184" s="102"/>
      <c r="E184" s="102" t="e">
        <f t="array" aca="1" ref="E184" ca="1">_xludf.XLOOKUP(A184,'QA Log'!D:D,'QA Log'!G:G,"")</f>
        <v>#NAME?</v>
      </c>
      <c r="F184" s="103"/>
      <c r="G184" s="104"/>
      <c r="H184" s="104"/>
      <c r="I184" s="103" t="str">
        <f t="shared" si="0"/>
        <v/>
      </c>
      <c r="J184" s="102"/>
      <c r="K184" s="102"/>
      <c r="L184" s="119" t="str">
        <f t="array" ref="L184">IF(OR($B184="",$D184=""),"",
IFERROR(
  INDEX(
    'Tools &amp; Targets_Guideline'!$C$54:$I$269,
    MATCH(
      1,
      ('Tools &amp; Targets_Guideline'!$A$54:$A$269=$B184)*
      ('Tools &amp; Targets_Guideline'!$B$54:$B$269="ANC"),
      0
    ),
    MATCH(
      _xludf.IFNA(
        VLOOKUP($D184,{"PH","Provincial Hospital (H2)";"DH","District Hospital (H3)";"RH","Regional / National Hospital (H1)"},2,0),
        $D184
      ),
      'Tools &amp; Targets_Guideline'!$C$53:$I$53,
      0
    )
  ),
0))</f>
        <v/>
      </c>
      <c r="M184" s="105"/>
      <c r="N184" s="119" t="str">
        <f t="array" ref="N184">IF(OR($B184="",$D184=""),"",
IFERROR(
  INDEX(
    'Tools &amp; Targets_Guideline'!$C$54:$I$269,
    MATCH(
      1,
      ('Tools &amp; Targets_Guideline'!$A$54:$A$269=$B184)*
      ('Tools &amp; Targets_Guideline'!$B$54:$B$269="PNC"),
      0
    ),
    MATCH(
      _xludf.IFNA(
        VLOOKUP($D184,{"PH","Provincial Hospital (H2)";"DH","District Hospital (H3)";"RH","Regional / National Hospital (H1)"},2,0),
        $D184
      ),
      'Tools &amp; Targets_Guideline'!$C$53:$I$53,
      0
    )
  ),
0))</f>
        <v/>
      </c>
      <c r="O184" s="105"/>
      <c r="P184" s="119" t="str">
        <f t="array" ref="P184">IF(OR($B184="",$D184=""),"",
IFERROR(
  INDEX(
    'Tools &amp; Targets_Guideline'!$C$54:$I$269,
    MATCH(
      1,
      ('Tools &amp; Targets_Guideline'!$A$54:$A$269=$B184)*
      ('Tools &amp; Targets_Guideline'!$B$54:$B$269="Delivery"),
      0
    ),
    MATCH(
      _xludf.IFNA(
        VLOOKUP($D184,{"PH","Provincial Hospital (H2)";"DH","District Hospital (H3)";"RH","Regional / National Hospital (H1)"},2,0),
        $D184
      ),
      'Tools &amp; Targets_Guideline'!$C$53:$I$53,
      0
    )
  ),
0))</f>
        <v/>
      </c>
      <c r="Q184" s="105"/>
      <c r="R184" s="119" t="str">
        <f t="array" ref="R184">IF(OR($B184="",$D184=""),"",
IFERROR(
  INDEX(
    'Tools &amp; Targets_Guideline'!$C$54:$I$269,
    MATCH(
      1,
      ('Tools &amp; Targets_Guideline'!$A$54:$A$269=$B184)*
      ('Tools &amp; Targets_Guideline'!$B$54:$B$269="TT"),
      0
    ),
    MATCH(
      _xludf.IFNA(
        VLOOKUP($D184,{"PH","Provincial Hospital (H2)";"DH","District Hospital (H3)";"RH","Regional / National Hospital (H1)"},2,0),
        $D184
      ),
      'Tools &amp; Targets_Guideline'!$C$53:$I$53,
      0
    )
  ),
0))</f>
        <v/>
      </c>
      <c r="S184" s="105"/>
      <c r="T184" s="102"/>
      <c r="U184" s="106"/>
      <c r="V184" s="102" t="str">
        <f t="shared" si="1"/>
        <v/>
      </c>
      <c r="W184" s="102"/>
      <c r="X184" s="102"/>
      <c r="Y184" s="119" t="str">
        <f t="array" ref="Y184">IF(OR($B184="",$D184=""),"",
IFERROR(
  INDEX(
    'Tools &amp; Targets_Guideline'!$C$54:$I$269,
    MATCH(
      1,
      ('Tools &amp; Targets_Guideline'!$A$54:$A$269=$B184)*
      ('Tools &amp; Targets_Guideline'!$B$54:$B$269="GM"),
      0
    ),
    MATCH(
      _xludf.IFNA(
        VLOOKUP($D184,{"PH","Provincial Hospital (H2)";"DH","District Hospital (H3)";"RH","Regional / National Hospital (H1)"},2,0),
        $D184
      ),
      'Tools &amp; Targets_Guideline'!$C$53:$I$53,
      0
    )
  ),
0))</f>
        <v/>
      </c>
      <c r="Z184" s="105"/>
      <c r="AA184" s="119" t="str">
        <f t="array" ref="AA184">IF(OR($B184="",$D184=""),"",
IFERROR(
  INDEX(
    'Tools &amp; Targets_Guideline'!$C$54:$I$269,
    MATCH(
      1,
      ('Tools &amp; Targets_Guideline'!$A$54:$A$269=$B184)*
      ('Tools &amp; Targets_Guideline'!$B$54:$B$269="Penta"),
      0
    ),
    MATCH(
      _xludf.IFNA(
        VLOOKUP($D184,{"PH","Provincial Hospital (H2)";"DH","District Hospital (H3)";"RH","Regional / National Hospital (H1)"},2,0),
        $D184
      ),
      'Tools &amp; Targets_Guideline'!$C$53:$I$53,
      0
    )
  ),
0))</f>
        <v/>
      </c>
      <c r="AB184" s="105"/>
      <c r="AC184" s="119" t="str">
        <f t="array" ref="AC184">IF(OR($B184="",$D184=""),"",
IFERROR(
  INDEX(
    'Tools &amp; Targets_Guideline'!$C$54:$I$269,
    MATCH(
      1,
      ('Tools &amp; Targets_Guideline'!$A$54:$A$269=$B184)*
      ('Tools &amp; Targets_Guideline'!$B$54:$B$269="TB"),
      0
    ),
    MATCH(
      _xludf.IFNA(
        VLOOKUP($D184,{"PH","Provincial Hospital (H2)";"DH","District Hospital (H3)";"RH","Regional / National Hospital (H1)"},2,0),
        $D184
      ),
      'Tools &amp; Targets_Guideline'!$C$53:$I$53,
      0
    )
  ),
0))</f>
        <v/>
      </c>
      <c r="AD184" s="105"/>
      <c r="AE184" s="119" t="str">
        <f t="array" ref="AE184">IF(OR($B184="",$D184=""),"",
IFERROR(
  INDEX(
    'Tools &amp; Targets_Guideline'!$C$54:$I$269,
    MATCH(
      1,
      ('Tools &amp; Targets_Guideline'!$A$54:$A$269=$B184)*
      ('Tools &amp; Targets_Guideline'!$B$54:$B$269="U5 Morbidity"),
      0
    ),
    MATCH(
      _xludf.IFNA(
        VLOOKUP($D184,{"PH","Provincial Hospital (H2)";"DH","District Hospital (H3)";"RH","Regional / National Hospital (H1)"},2,0),
        $D184
      ),
      'Tools &amp; Targets_Guideline'!$C$53:$I$53,
      0
    )
  ),
0))</f>
        <v/>
      </c>
      <c r="AF184" s="105"/>
      <c r="AG184" s="119" t="str">
        <f t="array" ref="AG184">IF(OR($B184="",$D184=""),"",
IFERROR(
  INDEX(
    'Tools &amp; Targets_Guideline'!$C$54:$I$269,
    MATCH(
      1,
      ('Tools &amp; Targets_Guideline'!$A$54:$A$269=$B184)*
      ('Tools &amp; Targets_Guideline'!$B$54:$B$269="C-Section"),
      0
    ),
    MATCH(
      _xludf.IFNA(
        VLOOKUP($D184,{"PH","Provincial Hospital (H2)";"DH","District Hospital (H3)";"RH","Regional / National Hospital (H1)"},2,0),
        $D184
      ),
      'Tools &amp; Targets_Guideline'!$C$53:$I$53,
      0
    )
  ),
0))</f>
        <v/>
      </c>
      <c r="AH184" s="105" t="str">
        <f>IF(A184&lt;&gt;"",COUNTIFS('QA Log'!D:D,A184,'QA Log'!M:M,"QQC",'QA Log'!L:L,"2. Hygiene and Sterilization",'QA Log'!Z:Z,"Approved"),"")</f>
        <v/>
      </c>
      <c r="AI184" s="102"/>
      <c r="AJ184" s="102"/>
      <c r="AK184" s="103" t="str">
        <f t="shared" si="2"/>
        <v/>
      </c>
      <c r="AL184" s="102"/>
      <c r="AM184" s="102"/>
      <c r="AN184" s="102"/>
      <c r="AO184" s="106"/>
      <c r="AP184" s="103"/>
      <c r="AQ184" s="102"/>
      <c r="AR184" s="102"/>
      <c r="AS184" s="102"/>
      <c r="AT184" s="107"/>
      <c r="AU184" s="102" t="str">
        <f t="shared" si="3"/>
        <v/>
      </c>
      <c r="AV184" s="102" t="str">
        <f t="shared" si="4"/>
        <v/>
      </c>
      <c r="AW184" s="102" t="str">
        <f t="shared" si="5"/>
        <v/>
      </c>
      <c r="AX184" s="102" t="str">
        <f t="shared" si="6"/>
        <v/>
      </c>
      <c r="AY184" s="107" t="str">
        <f t="shared" si="7"/>
        <v/>
      </c>
      <c r="AZ184" s="108" t="str">
        <f t="shared" si="8"/>
        <v/>
      </c>
      <c r="BA184" s="108" t="str">
        <f t="shared" si="9"/>
        <v/>
      </c>
      <c r="BB184" s="109" t="str">
        <f t="shared" si="10"/>
        <v/>
      </c>
      <c r="BC184" s="108" t="str">
        <f t="shared" si="11"/>
        <v/>
      </c>
      <c r="BD184" s="108" t="str">
        <f t="shared" si="12"/>
        <v/>
      </c>
      <c r="BE184" s="109" t="str">
        <f t="shared" si="13"/>
        <v/>
      </c>
      <c r="BF184" s="110" t="str">
        <f t="shared" si="14"/>
        <v/>
      </c>
      <c r="BG184" s="111"/>
    </row>
    <row r="185" spans="1:59" ht="12.75">
      <c r="A185" s="101"/>
      <c r="B185" s="102"/>
      <c r="C185" s="102" t="e">
        <f t="array" aca="1" ref="C185" ca="1">_xludf.XLOOKUP(A185,'QA Log'!D:D,'QA Log'!F:F,"")</f>
        <v>#NAME?</v>
      </c>
      <c r="D185" s="102"/>
      <c r="E185" s="102" t="e">
        <f t="array" aca="1" ref="E185" ca="1">_xludf.XLOOKUP(A185,'QA Log'!D:D,'QA Log'!G:G,"")</f>
        <v>#NAME?</v>
      </c>
      <c r="F185" s="103"/>
      <c r="G185" s="104"/>
      <c r="H185" s="104"/>
      <c r="I185" s="103" t="str">
        <f t="shared" si="0"/>
        <v/>
      </c>
      <c r="J185" s="102"/>
      <c r="K185" s="102"/>
      <c r="L185" s="119" t="str">
        <f t="array" ref="L185">IF(OR($B185="",$D185=""),"",
IFERROR(
  INDEX(
    'Tools &amp; Targets_Guideline'!$C$54:$I$269,
    MATCH(
      1,
      ('Tools &amp; Targets_Guideline'!$A$54:$A$269=$B185)*
      ('Tools &amp; Targets_Guideline'!$B$54:$B$269="ANC"),
      0
    ),
    MATCH(
      _xludf.IFNA(
        VLOOKUP($D185,{"PH","Provincial Hospital (H2)";"DH","District Hospital (H3)";"RH","Regional / National Hospital (H1)"},2,0),
        $D185
      ),
      'Tools &amp; Targets_Guideline'!$C$53:$I$53,
      0
    )
  ),
0))</f>
        <v/>
      </c>
      <c r="M185" s="105"/>
      <c r="N185" s="119" t="str">
        <f t="array" ref="N185">IF(OR($B185="",$D185=""),"",
IFERROR(
  INDEX(
    'Tools &amp; Targets_Guideline'!$C$54:$I$269,
    MATCH(
      1,
      ('Tools &amp; Targets_Guideline'!$A$54:$A$269=$B185)*
      ('Tools &amp; Targets_Guideline'!$B$54:$B$269="PNC"),
      0
    ),
    MATCH(
      _xludf.IFNA(
        VLOOKUP($D185,{"PH","Provincial Hospital (H2)";"DH","District Hospital (H3)";"RH","Regional / National Hospital (H1)"},2,0),
        $D185
      ),
      'Tools &amp; Targets_Guideline'!$C$53:$I$53,
      0
    )
  ),
0))</f>
        <v/>
      </c>
      <c r="O185" s="105"/>
      <c r="P185" s="119" t="str">
        <f t="array" ref="P185">IF(OR($B185="",$D185=""),"",
IFERROR(
  INDEX(
    'Tools &amp; Targets_Guideline'!$C$54:$I$269,
    MATCH(
      1,
      ('Tools &amp; Targets_Guideline'!$A$54:$A$269=$B185)*
      ('Tools &amp; Targets_Guideline'!$B$54:$B$269="Delivery"),
      0
    ),
    MATCH(
      _xludf.IFNA(
        VLOOKUP($D185,{"PH","Provincial Hospital (H2)";"DH","District Hospital (H3)";"RH","Regional / National Hospital (H1)"},2,0),
        $D185
      ),
      'Tools &amp; Targets_Guideline'!$C$53:$I$53,
      0
    )
  ),
0))</f>
        <v/>
      </c>
      <c r="Q185" s="105"/>
      <c r="R185" s="119" t="str">
        <f t="array" ref="R185">IF(OR($B185="",$D185=""),"",
IFERROR(
  INDEX(
    'Tools &amp; Targets_Guideline'!$C$54:$I$269,
    MATCH(
      1,
      ('Tools &amp; Targets_Guideline'!$A$54:$A$269=$B185)*
      ('Tools &amp; Targets_Guideline'!$B$54:$B$269="TT"),
      0
    ),
    MATCH(
      _xludf.IFNA(
        VLOOKUP($D185,{"PH","Provincial Hospital (H2)";"DH","District Hospital (H3)";"RH","Regional / National Hospital (H1)"},2,0),
        $D185
      ),
      'Tools &amp; Targets_Guideline'!$C$53:$I$53,
      0
    )
  ),
0))</f>
        <v/>
      </c>
      <c r="S185" s="105"/>
      <c r="T185" s="102"/>
      <c r="U185" s="106"/>
      <c r="V185" s="102" t="str">
        <f t="shared" si="1"/>
        <v/>
      </c>
      <c r="W185" s="102"/>
      <c r="X185" s="102"/>
      <c r="Y185" s="119" t="str">
        <f t="array" ref="Y185">IF(OR($B185="",$D185=""),"",
IFERROR(
  INDEX(
    'Tools &amp; Targets_Guideline'!$C$54:$I$269,
    MATCH(
      1,
      ('Tools &amp; Targets_Guideline'!$A$54:$A$269=$B185)*
      ('Tools &amp; Targets_Guideline'!$B$54:$B$269="GM"),
      0
    ),
    MATCH(
      _xludf.IFNA(
        VLOOKUP($D185,{"PH","Provincial Hospital (H2)";"DH","District Hospital (H3)";"RH","Regional / National Hospital (H1)"},2,0),
        $D185
      ),
      'Tools &amp; Targets_Guideline'!$C$53:$I$53,
      0
    )
  ),
0))</f>
        <v/>
      </c>
      <c r="Z185" s="105"/>
      <c r="AA185" s="119" t="str">
        <f t="array" ref="AA185">IF(OR($B185="",$D185=""),"",
IFERROR(
  INDEX(
    'Tools &amp; Targets_Guideline'!$C$54:$I$269,
    MATCH(
      1,
      ('Tools &amp; Targets_Guideline'!$A$54:$A$269=$B185)*
      ('Tools &amp; Targets_Guideline'!$B$54:$B$269="Penta"),
      0
    ),
    MATCH(
      _xludf.IFNA(
        VLOOKUP($D185,{"PH","Provincial Hospital (H2)";"DH","District Hospital (H3)";"RH","Regional / National Hospital (H1)"},2,0),
        $D185
      ),
      'Tools &amp; Targets_Guideline'!$C$53:$I$53,
      0
    )
  ),
0))</f>
        <v/>
      </c>
      <c r="AB185" s="105"/>
      <c r="AC185" s="119" t="str">
        <f t="array" ref="AC185">IF(OR($B185="",$D185=""),"",
IFERROR(
  INDEX(
    'Tools &amp; Targets_Guideline'!$C$54:$I$269,
    MATCH(
      1,
      ('Tools &amp; Targets_Guideline'!$A$54:$A$269=$B185)*
      ('Tools &amp; Targets_Guideline'!$B$54:$B$269="TB"),
      0
    ),
    MATCH(
      _xludf.IFNA(
        VLOOKUP($D185,{"PH","Provincial Hospital (H2)";"DH","District Hospital (H3)";"RH","Regional / National Hospital (H1)"},2,0),
        $D185
      ),
      'Tools &amp; Targets_Guideline'!$C$53:$I$53,
      0
    )
  ),
0))</f>
        <v/>
      </c>
      <c r="AD185" s="105"/>
      <c r="AE185" s="119" t="str">
        <f t="array" ref="AE185">IF(OR($B185="",$D185=""),"",
IFERROR(
  INDEX(
    'Tools &amp; Targets_Guideline'!$C$54:$I$269,
    MATCH(
      1,
      ('Tools &amp; Targets_Guideline'!$A$54:$A$269=$B185)*
      ('Tools &amp; Targets_Guideline'!$B$54:$B$269="U5 Morbidity"),
      0
    ),
    MATCH(
      _xludf.IFNA(
        VLOOKUP($D185,{"PH","Provincial Hospital (H2)";"DH","District Hospital (H3)";"RH","Regional / National Hospital (H1)"},2,0),
        $D185
      ),
      'Tools &amp; Targets_Guideline'!$C$53:$I$53,
      0
    )
  ),
0))</f>
        <v/>
      </c>
      <c r="AF185" s="105"/>
      <c r="AG185" s="119" t="str">
        <f t="array" ref="AG185">IF(OR($B185="",$D185=""),"",
IFERROR(
  INDEX(
    'Tools &amp; Targets_Guideline'!$C$54:$I$269,
    MATCH(
      1,
      ('Tools &amp; Targets_Guideline'!$A$54:$A$269=$B185)*
      ('Tools &amp; Targets_Guideline'!$B$54:$B$269="C-Section"),
      0
    ),
    MATCH(
      _xludf.IFNA(
        VLOOKUP($D185,{"PH","Provincial Hospital (H2)";"DH","District Hospital (H3)";"RH","Regional / National Hospital (H1)"},2,0),
        $D185
      ),
      'Tools &amp; Targets_Guideline'!$C$53:$I$53,
      0
    )
  ),
0))</f>
        <v/>
      </c>
      <c r="AH185" s="105" t="str">
        <f>IF(A185&lt;&gt;"",COUNTIFS('QA Log'!D:D,A185,'QA Log'!M:M,"QQC",'QA Log'!L:L,"2. Hygiene and Sterilization",'QA Log'!Z:Z,"Approved"),"")</f>
        <v/>
      </c>
      <c r="AI185" s="102"/>
      <c r="AJ185" s="102"/>
      <c r="AK185" s="103" t="str">
        <f t="shared" si="2"/>
        <v/>
      </c>
      <c r="AL185" s="102"/>
      <c r="AM185" s="102"/>
      <c r="AN185" s="102"/>
      <c r="AO185" s="106"/>
      <c r="AP185" s="103"/>
      <c r="AQ185" s="102"/>
      <c r="AR185" s="102"/>
      <c r="AS185" s="102"/>
      <c r="AT185" s="107"/>
      <c r="AU185" s="102" t="str">
        <f t="shared" si="3"/>
        <v/>
      </c>
      <c r="AV185" s="102" t="str">
        <f t="shared" si="4"/>
        <v/>
      </c>
      <c r="AW185" s="102" t="str">
        <f t="shared" si="5"/>
        <v/>
      </c>
      <c r="AX185" s="102" t="str">
        <f t="shared" si="6"/>
        <v/>
      </c>
      <c r="AY185" s="107" t="str">
        <f t="shared" si="7"/>
        <v/>
      </c>
      <c r="AZ185" s="108" t="str">
        <f t="shared" si="8"/>
        <v/>
      </c>
      <c r="BA185" s="108" t="str">
        <f t="shared" si="9"/>
        <v/>
      </c>
      <c r="BB185" s="109" t="str">
        <f t="shared" si="10"/>
        <v/>
      </c>
      <c r="BC185" s="108" t="str">
        <f t="shared" si="11"/>
        <v/>
      </c>
      <c r="BD185" s="108" t="str">
        <f t="shared" si="12"/>
        <v/>
      </c>
      <c r="BE185" s="109" t="str">
        <f t="shared" si="13"/>
        <v/>
      </c>
      <c r="BF185" s="110" t="str">
        <f t="shared" si="14"/>
        <v/>
      </c>
      <c r="BG185" s="111"/>
    </row>
    <row r="186" spans="1:59" ht="12.75">
      <c r="A186" s="101"/>
      <c r="B186" s="102"/>
      <c r="C186" s="102" t="e">
        <f t="array" aca="1" ref="C186" ca="1">_xludf.XLOOKUP(A186,'QA Log'!D:D,'QA Log'!F:F,"")</f>
        <v>#NAME?</v>
      </c>
      <c r="D186" s="102"/>
      <c r="E186" s="102" t="e">
        <f t="array" aca="1" ref="E186" ca="1">_xludf.XLOOKUP(A186,'QA Log'!D:D,'QA Log'!G:G,"")</f>
        <v>#NAME?</v>
      </c>
      <c r="F186" s="103"/>
      <c r="G186" s="104"/>
      <c r="H186" s="104"/>
      <c r="I186" s="103" t="str">
        <f t="shared" si="0"/>
        <v/>
      </c>
      <c r="J186" s="102"/>
      <c r="K186" s="102"/>
      <c r="L186" s="119" t="str">
        <f t="array" ref="L186">IF(OR($B186="",$D186=""),"",
IFERROR(
  INDEX(
    'Tools &amp; Targets_Guideline'!$C$54:$I$269,
    MATCH(
      1,
      ('Tools &amp; Targets_Guideline'!$A$54:$A$269=$B186)*
      ('Tools &amp; Targets_Guideline'!$B$54:$B$269="ANC"),
      0
    ),
    MATCH(
      _xludf.IFNA(
        VLOOKUP($D186,{"PH","Provincial Hospital (H2)";"DH","District Hospital (H3)";"RH","Regional / National Hospital (H1)"},2,0),
        $D186
      ),
      'Tools &amp; Targets_Guideline'!$C$53:$I$53,
      0
    )
  ),
0))</f>
        <v/>
      </c>
      <c r="M186" s="105"/>
      <c r="N186" s="119" t="str">
        <f t="array" ref="N186">IF(OR($B186="",$D186=""),"",
IFERROR(
  INDEX(
    'Tools &amp; Targets_Guideline'!$C$54:$I$269,
    MATCH(
      1,
      ('Tools &amp; Targets_Guideline'!$A$54:$A$269=$B186)*
      ('Tools &amp; Targets_Guideline'!$B$54:$B$269="PNC"),
      0
    ),
    MATCH(
      _xludf.IFNA(
        VLOOKUP($D186,{"PH","Provincial Hospital (H2)";"DH","District Hospital (H3)";"RH","Regional / National Hospital (H1)"},2,0),
        $D186
      ),
      'Tools &amp; Targets_Guideline'!$C$53:$I$53,
      0
    )
  ),
0))</f>
        <v/>
      </c>
      <c r="O186" s="105"/>
      <c r="P186" s="119" t="str">
        <f t="array" ref="P186">IF(OR($B186="",$D186=""),"",
IFERROR(
  INDEX(
    'Tools &amp; Targets_Guideline'!$C$54:$I$269,
    MATCH(
      1,
      ('Tools &amp; Targets_Guideline'!$A$54:$A$269=$B186)*
      ('Tools &amp; Targets_Guideline'!$B$54:$B$269="Delivery"),
      0
    ),
    MATCH(
      _xludf.IFNA(
        VLOOKUP($D186,{"PH","Provincial Hospital (H2)";"DH","District Hospital (H3)";"RH","Regional / National Hospital (H1)"},2,0),
        $D186
      ),
      'Tools &amp; Targets_Guideline'!$C$53:$I$53,
      0
    )
  ),
0))</f>
        <v/>
      </c>
      <c r="Q186" s="105"/>
      <c r="R186" s="119" t="str">
        <f t="array" ref="R186">IF(OR($B186="",$D186=""),"",
IFERROR(
  INDEX(
    'Tools &amp; Targets_Guideline'!$C$54:$I$269,
    MATCH(
      1,
      ('Tools &amp; Targets_Guideline'!$A$54:$A$269=$B186)*
      ('Tools &amp; Targets_Guideline'!$B$54:$B$269="TT"),
      0
    ),
    MATCH(
      _xludf.IFNA(
        VLOOKUP($D186,{"PH","Provincial Hospital (H2)";"DH","District Hospital (H3)";"RH","Regional / National Hospital (H1)"},2,0),
        $D186
      ),
      'Tools &amp; Targets_Guideline'!$C$53:$I$53,
      0
    )
  ),
0))</f>
        <v/>
      </c>
      <c r="S186" s="105"/>
      <c r="T186" s="102"/>
      <c r="U186" s="106"/>
      <c r="V186" s="102" t="str">
        <f t="shared" si="1"/>
        <v/>
      </c>
      <c r="W186" s="102"/>
      <c r="X186" s="102"/>
      <c r="Y186" s="119" t="str">
        <f t="array" ref="Y186">IF(OR($B186="",$D186=""),"",
IFERROR(
  INDEX(
    'Tools &amp; Targets_Guideline'!$C$54:$I$269,
    MATCH(
      1,
      ('Tools &amp; Targets_Guideline'!$A$54:$A$269=$B186)*
      ('Tools &amp; Targets_Guideline'!$B$54:$B$269="GM"),
      0
    ),
    MATCH(
      _xludf.IFNA(
        VLOOKUP($D186,{"PH","Provincial Hospital (H2)";"DH","District Hospital (H3)";"RH","Regional / National Hospital (H1)"},2,0),
        $D186
      ),
      'Tools &amp; Targets_Guideline'!$C$53:$I$53,
      0
    )
  ),
0))</f>
        <v/>
      </c>
      <c r="Z186" s="105"/>
      <c r="AA186" s="119" t="str">
        <f t="array" ref="AA186">IF(OR($B186="",$D186=""),"",
IFERROR(
  INDEX(
    'Tools &amp; Targets_Guideline'!$C$54:$I$269,
    MATCH(
      1,
      ('Tools &amp; Targets_Guideline'!$A$54:$A$269=$B186)*
      ('Tools &amp; Targets_Guideline'!$B$54:$B$269="Penta"),
      0
    ),
    MATCH(
      _xludf.IFNA(
        VLOOKUP($D186,{"PH","Provincial Hospital (H2)";"DH","District Hospital (H3)";"RH","Regional / National Hospital (H1)"},2,0),
        $D186
      ),
      'Tools &amp; Targets_Guideline'!$C$53:$I$53,
      0
    )
  ),
0))</f>
        <v/>
      </c>
      <c r="AB186" s="105"/>
      <c r="AC186" s="119" t="str">
        <f t="array" ref="AC186">IF(OR($B186="",$D186=""),"",
IFERROR(
  INDEX(
    'Tools &amp; Targets_Guideline'!$C$54:$I$269,
    MATCH(
      1,
      ('Tools &amp; Targets_Guideline'!$A$54:$A$269=$B186)*
      ('Tools &amp; Targets_Guideline'!$B$54:$B$269="TB"),
      0
    ),
    MATCH(
      _xludf.IFNA(
        VLOOKUP($D186,{"PH","Provincial Hospital (H2)";"DH","District Hospital (H3)";"RH","Regional / National Hospital (H1)"},2,0),
        $D186
      ),
      'Tools &amp; Targets_Guideline'!$C$53:$I$53,
      0
    )
  ),
0))</f>
        <v/>
      </c>
      <c r="AD186" s="105"/>
      <c r="AE186" s="119" t="str">
        <f t="array" ref="AE186">IF(OR($B186="",$D186=""),"",
IFERROR(
  INDEX(
    'Tools &amp; Targets_Guideline'!$C$54:$I$269,
    MATCH(
      1,
      ('Tools &amp; Targets_Guideline'!$A$54:$A$269=$B186)*
      ('Tools &amp; Targets_Guideline'!$B$54:$B$269="U5 Morbidity"),
      0
    ),
    MATCH(
      _xludf.IFNA(
        VLOOKUP($D186,{"PH","Provincial Hospital (H2)";"DH","District Hospital (H3)";"RH","Regional / National Hospital (H1)"},2,0),
        $D186
      ),
      'Tools &amp; Targets_Guideline'!$C$53:$I$53,
      0
    )
  ),
0))</f>
        <v/>
      </c>
      <c r="AF186" s="105"/>
      <c r="AG186" s="119" t="str">
        <f t="array" ref="AG186">IF(OR($B186="",$D186=""),"",
IFERROR(
  INDEX(
    'Tools &amp; Targets_Guideline'!$C$54:$I$269,
    MATCH(
      1,
      ('Tools &amp; Targets_Guideline'!$A$54:$A$269=$B186)*
      ('Tools &amp; Targets_Guideline'!$B$54:$B$269="C-Section"),
      0
    ),
    MATCH(
      _xludf.IFNA(
        VLOOKUP($D186,{"PH","Provincial Hospital (H2)";"DH","District Hospital (H3)";"RH","Regional / National Hospital (H1)"},2,0),
        $D186
      ),
      'Tools &amp; Targets_Guideline'!$C$53:$I$53,
      0
    )
  ),
0))</f>
        <v/>
      </c>
      <c r="AH186" s="105" t="str">
        <f>IF(A186&lt;&gt;"",COUNTIFS('QA Log'!D:D,A186,'QA Log'!M:M,"QQC",'QA Log'!L:L,"2. Hygiene and Sterilization",'QA Log'!Z:Z,"Approved"),"")</f>
        <v/>
      </c>
      <c r="AI186" s="102"/>
      <c r="AJ186" s="102"/>
      <c r="AK186" s="103" t="str">
        <f t="shared" si="2"/>
        <v/>
      </c>
      <c r="AL186" s="102"/>
      <c r="AM186" s="102"/>
      <c r="AN186" s="102"/>
      <c r="AO186" s="106"/>
      <c r="AP186" s="103"/>
      <c r="AQ186" s="102"/>
      <c r="AR186" s="102"/>
      <c r="AS186" s="102"/>
      <c r="AT186" s="107"/>
      <c r="AU186" s="102" t="str">
        <f t="shared" si="3"/>
        <v/>
      </c>
      <c r="AV186" s="102" t="str">
        <f t="shared" si="4"/>
        <v/>
      </c>
      <c r="AW186" s="102" t="str">
        <f t="shared" si="5"/>
        <v/>
      </c>
      <c r="AX186" s="102" t="str">
        <f t="shared" si="6"/>
        <v/>
      </c>
      <c r="AY186" s="107" t="str">
        <f t="shared" si="7"/>
        <v/>
      </c>
      <c r="AZ186" s="108" t="str">
        <f t="shared" si="8"/>
        <v/>
      </c>
      <c r="BA186" s="108" t="str">
        <f t="shared" si="9"/>
        <v/>
      </c>
      <c r="BB186" s="109" t="str">
        <f t="shared" si="10"/>
        <v/>
      </c>
      <c r="BC186" s="108" t="str">
        <f t="shared" si="11"/>
        <v/>
      </c>
      <c r="BD186" s="108" t="str">
        <f t="shared" si="12"/>
        <v/>
      </c>
      <c r="BE186" s="109" t="str">
        <f t="shared" si="13"/>
        <v/>
      </c>
      <c r="BF186" s="110" t="str">
        <f t="shared" si="14"/>
        <v/>
      </c>
      <c r="BG186" s="111"/>
    </row>
    <row r="187" spans="1:59" ht="12.75">
      <c r="A187" s="101"/>
      <c r="B187" s="102"/>
      <c r="C187" s="102" t="e">
        <f t="array" aca="1" ref="C187" ca="1">_xludf.XLOOKUP(A187,'QA Log'!D:D,'QA Log'!F:F,"")</f>
        <v>#NAME?</v>
      </c>
      <c r="D187" s="102"/>
      <c r="E187" s="102" t="e">
        <f t="array" aca="1" ref="E187" ca="1">_xludf.XLOOKUP(A187,'QA Log'!D:D,'QA Log'!G:G,"")</f>
        <v>#NAME?</v>
      </c>
      <c r="F187" s="103"/>
      <c r="G187" s="104"/>
      <c r="H187" s="104"/>
      <c r="I187" s="103" t="str">
        <f t="shared" si="0"/>
        <v/>
      </c>
      <c r="J187" s="102"/>
      <c r="K187" s="102"/>
      <c r="L187" s="119" t="str">
        <f t="array" ref="L187">IF(OR($B187="",$D187=""),"",
IFERROR(
  INDEX(
    'Tools &amp; Targets_Guideline'!$C$54:$I$269,
    MATCH(
      1,
      ('Tools &amp; Targets_Guideline'!$A$54:$A$269=$B187)*
      ('Tools &amp; Targets_Guideline'!$B$54:$B$269="ANC"),
      0
    ),
    MATCH(
      _xludf.IFNA(
        VLOOKUP($D187,{"PH","Provincial Hospital (H2)";"DH","District Hospital (H3)";"RH","Regional / National Hospital (H1)"},2,0),
        $D187
      ),
      'Tools &amp; Targets_Guideline'!$C$53:$I$53,
      0
    )
  ),
0))</f>
        <v/>
      </c>
      <c r="M187" s="105"/>
      <c r="N187" s="119" t="str">
        <f t="array" ref="N187">IF(OR($B187="",$D187=""),"",
IFERROR(
  INDEX(
    'Tools &amp; Targets_Guideline'!$C$54:$I$269,
    MATCH(
      1,
      ('Tools &amp; Targets_Guideline'!$A$54:$A$269=$B187)*
      ('Tools &amp; Targets_Guideline'!$B$54:$B$269="PNC"),
      0
    ),
    MATCH(
      _xludf.IFNA(
        VLOOKUP($D187,{"PH","Provincial Hospital (H2)";"DH","District Hospital (H3)";"RH","Regional / National Hospital (H1)"},2,0),
        $D187
      ),
      'Tools &amp; Targets_Guideline'!$C$53:$I$53,
      0
    )
  ),
0))</f>
        <v/>
      </c>
      <c r="O187" s="105"/>
      <c r="P187" s="119" t="str">
        <f t="array" ref="P187">IF(OR($B187="",$D187=""),"",
IFERROR(
  INDEX(
    'Tools &amp; Targets_Guideline'!$C$54:$I$269,
    MATCH(
      1,
      ('Tools &amp; Targets_Guideline'!$A$54:$A$269=$B187)*
      ('Tools &amp; Targets_Guideline'!$B$54:$B$269="Delivery"),
      0
    ),
    MATCH(
      _xludf.IFNA(
        VLOOKUP($D187,{"PH","Provincial Hospital (H2)";"DH","District Hospital (H3)";"RH","Regional / National Hospital (H1)"},2,0),
        $D187
      ),
      'Tools &amp; Targets_Guideline'!$C$53:$I$53,
      0
    )
  ),
0))</f>
        <v/>
      </c>
      <c r="Q187" s="105"/>
      <c r="R187" s="119" t="str">
        <f t="array" ref="R187">IF(OR($B187="",$D187=""),"",
IFERROR(
  INDEX(
    'Tools &amp; Targets_Guideline'!$C$54:$I$269,
    MATCH(
      1,
      ('Tools &amp; Targets_Guideline'!$A$54:$A$269=$B187)*
      ('Tools &amp; Targets_Guideline'!$B$54:$B$269="TT"),
      0
    ),
    MATCH(
      _xludf.IFNA(
        VLOOKUP($D187,{"PH","Provincial Hospital (H2)";"DH","District Hospital (H3)";"RH","Regional / National Hospital (H1)"},2,0),
        $D187
      ),
      'Tools &amp; Targets_Guideline'!$C$53:$I$53,
      0
    )
  ),
0))</f>
        <v/>
      </c>
      <c r="S187" s="105"/>
      <c r="T187" s="102"/>
      <c r="U187" s="106"/>
      <c r="V187" s="102" t="str">
        <f t="shared" si="1"/>
        <v/>
      </c>
      <c r="W187" s="102"/>
      <c r="X187" s="102"/>
      <c r="Y187" s="119" t="str">
        <f t="array" ref="Y187">IF(OR($B187="",$D187=""),"",
IFERROR(
  INDEX(
    'Tools &amp; Targets_Guideline'!$C$54:$I$269,
    MATCH(
      1,
      ('Tools &amp; Targets_Guideline'!$A$54:$A$269=$B187)*
      ('Tools &amp; Targets_Guideline'!$B$54:$B$269="GM"),
      0
    ),
    MATCH(
      _xludf.IFNA(
        VLOOKUP($D187,{"PH","Provincial Hospital (H2)";"DH","District Hospital (H3)";"RH","Regional / National Hospital (H1)"},2,0),
        $D187
      ),
      'Tools &amp; Targets_Guideline'!$C$53:$I$53,
      0
    )
  ),
0))</f>
        <v/>
      </c>
      <c r="Z187" s="105"/>
      <c r="AA187" s="119" t="str">
        <f t="array" ref="AA187">IF(OR($B187="",$D187=""),"",
IFERROR(
  INDEX(
    'Tools &amp; Targets_Guideline'!$C$54:$I$269,
    MATCH(
      1,
      ('Tools &amp; Targets_Guideline'!$A$54:$A$269=$B187)*
      ('Tools &amp; Targets_Guideline'!$B$54:$B$269="Penta"),
      0
    ),
    MATCH(
      _xludf.IFNA(
        VLOOKUP($D187,{"PH","Provincial Hospital (H2)";"DH","District Hospital (H3)";"RH","Regional / National Hospital (H1)"},2,0),
        $D187
      ),
      'Tools &amp; Targets_Guideline'!$C$53:$I$53,
      0
    )
  ),
0))</f>
        <v/>
      </c>
      <c r="AB187" s="105"/>
      <c r="AC187" s="119" t="str">
        <f t="array" ref="AC187">IF(OR($B187="",$D187=""),"",
IFERROR(
  INDEX(
    'Tools &amp; Targets_Guideline'!$C$54:$I$269,
    MATCH(
      1,
      ('Tools &amp; Targets_Guideline'!$A$54:$A$269=$B187)*
      ('Tools &amp; Targets_Guideline'!$B$54:$B$269="TB"),
      0
    ),
    MATCH(
      _xludf.IFNA(
        VLOOKUP($D187,{"PH","Provincial Hospital (H2)";"DH","District Hospital (H3)";"RH","Regional / National Hospital (H1)"},2,0),
        $D187
      ),
      'Tools &amp; Targets_Guideline'!$C$53:$I$53,
      0
    )
  ),
0))</f>
        <v/>
      </c>
      <c r="AD187" s="105"/>
      <c r="AE187" s="119" t="str">
        <f t="array" ref="AE187">IF(OR($B187="",$D187=""),"",
IFERROR(
  INDEX(
    'Tools &amp; Targets_Guideline'!$C$54:$I$269,
    MATCH(
      1,
      ('Tools &amp; Targets_Guideline'!$A$54:$A$269=$B187)*
      ('Tools &amp; Targets_Guideline'!$B$54:$B$269="U5 Morbidity"),
      0
    ),
    MATCH(
      _xludf.IFNA(
        VLOOKUP($D187,{"PH","Provincial Hospital (H2)";"DH","District Hospital (H3)";"RH","Regional / National Hospital (H1)"},2,0),
        $D187
      ),
      'Tools &amp; Targets_Guideline'!$C$53:$I$53,
      0
    )
  ),
0))</f>
        <v/>
      </c>
      <c r="AF187" s="105"/>
      <c r="AG187" s="119" t="str">
        <f t="array" ref="AG187">IF(OR($B187="",$D187=""),"",
IFERROR(
  INDEX(
    'Tools &amp; Targets_Guideline'!$C$54:$I$269,
    MATCH(
      1,
      ('Tools &amp; Targets_Guideline'!$A$54:$A$269=$B187)*
      ('Tools &amp; Targets_Guideline'!$B$54:$B$269="C-Section"),
      0
    ),
    MATCH(
      _xludf.IFNA(
        VLOOKUP($D187,{"PH","Provincial Hospital (H2)";"DH","District Hospital (H3)";"RH","Regional / National Hospital (H1)"},2,0),
        $D187
      ),
      'Tools &amp; Targets_Guideline'!$C$53:$I$53,
      0
    )
  ),
0))</f>
        <v/>
      </c>
      <c r="AH187" s="105" t="str">
        <f>IF(A187&lt;&gt;"",COUNTIFS('QA Log'!D:D,A187,'QA Log'!M:M,"QQC",'QA Log'!L:L,"2. Hygiene and Sterilization",'QA Log'!Z:Z,"Approved"),"")</f>
        <v/>
      </c>
      <c r="AI187" s="102"/>
      <c r="AJ187" s="102"/>
      <c r="AK187" s="103" t="str">
        <f t="shared" si="2"/>
        <v/>
      </c>
      <c r="AL187" s="102"/>
      <c r="AM187" s="102"/>
      <c r="AN187" s="102"/>
      <c r="AO187" s="106"/>
      <c r="AP187" s="103"/>
      <c r="AQ187" s="102"/>
      <c r="AR187" s="102"/>
      <c r="AS187" s="102"/>
      <c r="AT187" s="107"/>
      <c r="AU187" s="102" t="str">
        <f t="shared" si="3"/>
        <v/>
      </c>
      <c r="AV187" s="102" t="str">
        <f t="shared" si="4"/>
        <v/>
      </c>
      <c r="AW187" s="102" t="str">
        <f t="shared" si="5"/>
        <v/>
      </c>
      <c r="AX187" s="102" t="str">
        <f t="shared" si="6"/>
        <v/>
      </c>
      <c r="AY187" s="107" t="str">
        <f t="shared" si="7"/>
        <v/>
      </c>
      <c r="AZ187" s="108" t="str">
        <f t="shared" si="8"/>
        <v/>
      </c>
      <c r="BA187" s="108" t="str">
        <f t="shared" si="9"/>
        <v/>
      </c>
      <c r="BB187" s="109" t="str">
        <f t="shared" si="10"/>
        <v/>
      </c>
      <c r="BC187" s="108" t="str">
        <f t="shared" si="11"/>
        <v/>
      </c>
      <c r="BD187" s="108" t="str">
        <f t="shared" si="12"/>
        <v/>
      </c>
      <c r="BE187" s="109" t="str">
        <f t="shared" si="13"/>
        <v/>
      </c>
      <c r="BF187" s="110" t="str">
        <f t="shared" si="14"/>
        <v/>
      </c>
      <c r="BG187" s="111"/>
    </row>
    <row r="188" spans="1:59" ht="12.75">
      <c r="A188" s="101"/>
      <c r="B188" s="102"/>
      <c r="C188" s="102" t="e">
        <f t="array" aca="1" ref="C188" ca="1">_xludf.XLOOKUP(A188,'QA Log'!D:D,'QA Log'!F:F,"")</f>
        <v>#NAME?</v>
      </c>
      <c r="D188" s="102"/>
      <c r="E188" s="102" t="e">
        <f t="array" aca="1" ref="E188" ca="1">_xludf.XLOOKUP(A188,'QA Log'!D:D,'QA Log'!G:G,"")</f>
        <v>#NAME?</v>
      </c>
      <c r="F188" s="103"/>
      <c r="G188" s="104"/>
      <c r="H188" s="104"/>
      <c r="I188" s="103" t="str">
        <f t="shared" si="0"/>
        <v/>
      </c>
      <c r="J188" s="102"/>
      <c r="K188" s="102"/>
      <c r="L188" s="119" t="str">
        <f t="array" ref="L188">IF(OR($B188="",$D188=""),"",
IFERROR(
  INDEX(
    'Tools &amp; Targets_Guideline'!$C$54:$I$269,
    MATCH(
      1,
      ('Tools &amp; Targets_Guideline'!$A$54:$A$269=$B188)*
      ('Tools &amp; Targets_Guideline'!$B$54:$B$269="ANC"),
      0
    ),
    MATCH(
      _xludf.IFNA(
        VLOOKUP($D188,{"PH","Provincial Hospital (H2)";"DH","District Hospital (H3)";"RH","Regional / National Hospital (H1)"},2,0),
        $D188
      ),
      'Tools &amp; Targets_Guideline'!$C$53:$I$53,
      0
    )
  ),
0))</f>
        <v/>
      </c>
      <c r="M188" s="105"/>
      <c r="N188" s="119" t="str">
        <f t="array" ref="N188">IF(OR($B188="",$D188=""),"",
IFERROR(
  INDEX(
    'Tools &amp; Targets_Guideline'!$C$54:$I$269,
    MATCH(
      1,
      ('Tools &amp; Targets_Guideline'!$A$54:$A$269=$B188)*
      ('Tools &amp; Targets_Guideline'!$B$54:$B$269="PNC"),
      0
    ),
    MATCH(
      _xludf.IFNA(
        VLOOKUP($D188,{"PH","Provincial Hospital (H2)";"DH","District Hospital (H3)";"RH","Regional / National Hospital (H1)"},2,0),
        $D188
      ),
      'Tools &amp; Targets_Guideline'!$C$53:$I$53,
      0
    )
  ),
0))</f>
        <v/>
      </c>
      <c r="O188" s="105"/>
      <c r="P188" s="119" t="str">
        <f t="array" ref="P188">IF(OR($B188="",$D188=""),"",
IFERROR(
  INDEX(
    'Tools &amp; Targets_Guideline'!$C$54:$I$269,
    MATCH(
      1,
      ('Tools &amp; Targets_Guideline'!$A$54:$A$269=$B188)*
      ('Tools &amp; Targets_Guideline'!$B$54:$B$269="Delivery"),
      0
    ),
    MATCH(
      _xludf.IFNA(
        VLOOKUP($D188,{"PH","Provincial Hospital (H2)";"DH","District Hospital (H3)";"RH","Regional / National Hospital (H1)"},2,0),
        $D188
      ),
      'Tools &amp; Targets_Guideline'!$C$53:$I$53,
      0
    )
  ),
0))</f>
        <v/>
      </c>
      <c r="Q188" s="105"/>
      <c r="R188" s="119" t="str">
        <f t="array" ref="R188">IF(OR($B188="",$D188=""),"",
IFERROR(
  INDEX(
    'Tools &amp; Targets_Guideline'!$C$54:$I$269,
    MATCH(
      1,
      ('Tools &amp; Targets_Guideline'!$A$54:$A$269=$B188)*
      ('Tools &amp; Targets_Guideline'!$B$54:$B$269="TT"),
      0
    ),
    MATCH(
      _xludf.IFNA(
        VLOOKUP($D188,{"PH","Provincial Hospital (H2)";"DH","District Hospital (H3)";"RH","Regional / National Hospital (H1)"},2,0),
        $D188
      ),
      'Tools &amp; Targets_Guideline'!$C$53:$I$53,
      0
    )
  ),
0))</f>
        <v/>
      </c>
      <c r="S188" s="105"/>
      <c r="T188" s="102"/>
      <c r="U188" s="106"/>
      <c r="V188" s="102" t="str">
        <f t="shared" si="1"/>
        <v/>
      </c>
      <c r="W188" s="102"/>
      <c r="X188" s="102"/>
      <c r="Y188" s="119" t="str">
        <f t="array" ref="Y188">IF(OR($B188="",$D188=""),"",
IFERROR(
  INDEX(
    'Tools &amp; Targets_Guideline'!$C$54:$I$269,
    MATCH(
      1,
      ('Tools &amp; Targets_Guideline'!$A$54:$A$269=$B188)*
      ('Tools &amp; Targets_Guideline'!$B$54:$B$269="GM"),
      0
    ),
    MATCH(
      _xludf.IFNA(
        VLOOKUP($D188,{"PH","Provincial Hospital (H2)";"DH","District Hospital (H3)";"RH","Regional / National Hospital (H1)"},2,0),
        $D188
      ),
      'Tools &amp; Targets_Guideline'!$C$53:$I$53,
      0
    )
  ),
0))</f>
        <v/>
      </c>
      <c r="Z188" s="105"/>
      <c r="AA188" s="119" t="str">
        <f t="array" ref="AA188">IF(OR($B188="",$D188=""),"",
IFERROR(
  INDEX(
    'Tools &amp; Targets_Guideline'!$C$54:$I$269,
    MATCH(
      1,
      ('Tools &amp; Targets_Guideline'!$A$54:$A$269=$B188)*
      ('Tools &amp; Targets_Guideline'!$B$54:$B$269="Penta"),
      0
    ),
    MATCH(
      _xludf.IFNA(
        VLOOKUP($D188,{"PH","Provincial Hospital (H2)";"DH","District Hospital (H3)";"RH","Regional / National Hospital (H1)"},2,0),
        $D188
      ),
      'Tools &amp; Targets_Guideline'!$C$53:$I$53,
      0
    )
  ),
0))</f>
        <v/>
      </c>
      <c r="AB188" s="105"/>
      <c r="AC188" s="119" t="str">
        <f t="array" ref="AC188">IF(OR($B188="",$D188=""),"",
IFERROR(
  INDEX(
    'Tools &amp; Targets_Guideline'!$C$54:$I$269,
    MATCH(
      1,
      ('Tools &amp; Targets_Guideline'!$A$54:$A$269=$B188)*
      ('Tools &amp; Targets_Guideline'!$B$54:$B$269="TB"),
      0
    ),
    MATCH(
      _xludf.IFNA(
        VLOOKUP($D188,{"PH","Provincial Hospital (H2)";"DH","District Hospital (H3)";"RH","Regional / National Hospital (H1)"},2,0),
        $D188
      ),
      'Tools &amp; Targets_Guideline'!$C$53:$I$53,
      0
    )
  ),
0))</f>
        <v/>
      </c>
      <c r="AD188" s="105"/>
      <c r="AE188" s="119" t="str">
        <f t="array" ref="AE188">IF(OR($B188="",$D188=""),"",
IFERROR(
  INDEX(
    'Tools &amp; Targets_Guideline'!$C$54:$I$269,
    MATCH(
      1,
      ('Tools &amp; Targets_Guideline'!$A$54:$A$269=$B188)*
      ('Tools &amp; Targets_Guideline'!$B$54:$B$269="U5 Morbidity"),
      0
    ),
    MATCH(
      _xludf.IFNA(
        VLOOKUP($D188,{"PH","Provincial Hospital (H2)";"DH","District Hospital (H3)";"RH","Regional / National Hospital (H1)"},2,0),
        $D188
      ),
      'Tools &amp; Targets_Guideline'!$C$53:$I$53,
      0
    )
  ),
0))</f>
        <v/>
      </c>
      <c r="AF188" s="105"/>
      <c r="AG188" s="119" t="str">
        <f t="array" ref="AG188">IF(OR($B188="",$D188=""),"",
IFERROR(
  INDEX(
    'Tools &amp; Targets_Guideline'!$C$54:$I$269,
    MATCH(
      1,
      ('Tools &amp; Targets_Guideline'!$A$54:$A$269=$B188)*
      ('Tools &amp; Targets_Guideline'!$B$54:$B$269="C-Section"),
      0
    ),
    MATCH(
      _xludf.IFNA(
        VLOOKUP($D188,{"PH","Provincial Hospital (H2)";"DH","District Hospital (H3)";"RH","Regional / National Hospital (H1)"},2,0),
        $D188
      ),
      'Tools &amp; Targets_Guideline'!$C$53:$I$53,
      0
    )
  ),
0))</f>
        <v/>
      </c>
      <c r="AH188" s="105" t="str">
        <f>IF(A188&lt;&gt;"",COUNTIFS('QA Log'!D:D,A188,'QA Log'!M:M,"QQC",'QA Log'!L:L,"2. Hygiene and Sterilization",'QA Log'!Z:Z,"Approved"),"")</f>
        <v/>
      </c>
      <c r="AI188" s="102"/>
      <c r="AJ188" s="102"/>
      <c r="AK188" s="103" t="str">
        <f t="shared" si="2"/>
        <v/>
      </c>
      <c r="AL188" s="102"/>
      <c r="AM188" s="102"/>
      <c r="AN188" s="102"/>
      <c r="AO188" s="106"/>
      <c r="AP188" s="103"/>
      <c r="AQ188" s="102"/>
      <c r="AR188" s="102"/>
      <c r="AS188" s="102"/>
      <c r="AT188" s="107"/>
      <c r="AU188" s="102" t="str">
        <f t="shared" si="3"/>
        <v/>
      </c>
      <c r="AV188" s="102" t="str">
        <f t="shared" si="4"/>
        <v/>
      </c>
      <c r="AW188" s="102" t="str">
        <f t="shared" si="5"/>
        <v/>
      </c>
      <c r="AX188" s="102" t="str">
        <f t="shared" si="6"/>
        <v/>
      </c>
      <c r="AY188" s="107" t="str">
        <f t="shared" si="7"/>
        <v/>
      </c>
      <c r="AZ188" s="108" t="str">
        <f t="shared" si="8"/>
        <v/>
      </c>
      <c r="BA188" s="108" t="str">
        <f t="shared" si="9"/>
        <v/>
      </c>
      <c r="BB188" s="109" t="str">
        <f t="shared" si="10"/>
        <v/>
      </c>
      <c r="BC188" s="108" t="str">
        <f t="shared" si="11"/>
        <v/>
      </c>
      <c r="BD188" s="108" t="str">
        <f t="shared" si="12"/>
        <v/>
      </c>
      <c r="BE188" s="109" t="str">
        <f t="shared" si="13"/>
        <v/>
      </c>
      <c r="BF188" s="110" t="str">
        <f t="shared" si="14"/>
        <v/>
      </c>
      <c r="BG188" s="111"/>
    </row>
    <row r="189" spans="1:59" ht="12.75">
      <c r="A189" s="101"/>
      <c r="B189" s="102"/>
      <c r="C189" s="102" t="e">
        <f t="array" aca="1" ref="C189" ca="1">_xludf.XLOOKUP(A189,'QA Log'!D:D,'QA Log'!F:F,"")</f>
        <v>#NAME?</v>
      </c>
      <c r="D189" s="102"/>
      <c r="E189" s="102" t="e">
        <f t="array" aca="1" ref="E189" ca="1">_xludf.XLOOKUP(A189,'QA Log'!D:D,'QA Log'!G:G,"")</f>
        <v>#NAME?</v>
      </c>
      <c r="F189" s="103"/>
      <c r="G189" s="104"/>
      <c r="H189" s="104"/>
      <c r="I189" s="103" t="str">
        <f t="shared" si="0"/>
        <v/>
      </c>
      <c r="J189" s="102"/>
      <c r="K189" s="102"/>
      <c r="L189" s="119" t="str">
        <f t="array" ref="L189">IF(OR($B189="",$D189=""),"",
IFERROR(
  INDEX(
    'Tools &amp; Targets_Guideline'!$C$54:$I$269,
    MATCH(
      1,
      ('Tools &amp; Targets_Guideline'!$A$54:$A$269=$B189)*
      ('Tools &amp; Targets_Guideline'!$B$54:$B$269="ANC"),
      0
    ),
    MATCH(
      _xludf.IFNA(
        VLOOKUP($D189,{"PH","Provincial Hospital (H2)";"DH","District Hospital (H3)";"RH","Regional / National Hospital (H1)"},2,0),
        $D189
      ),
      'Tools &amp; Targets_Guideline'!$C$53:$I$53,
      0
    )
  ),
0))</f>
        <v/>
      </c>
      <c r="M189" s="105"/>
      <c r="N189" s="119" t="str">
        <f t="array" ref="N189">IF(OR($B189="",$D189=""),"",
IFERROR(
  INDEX(
    'Tools &amp; Targets_Guideline'!$C$54:$I$269,
    MATCH(
      1,
      ('Tools &amp; Targets_Guideline'!$A$54:$A$269=$B189)*
      ('Tools &amp; Targets_Guideline'!$B$54:$B$269="PNC"),
      0
    ),
    MATCH(
      _xludf.IFNA(
        VLOOKUP($D189,{"PH","Provincial Hospital (H2)";"DH","District Hospital (H3)";"RH","Regional / National Hospital (H1)"},2,0),
        $D189
      ),
      'Tools &amp; Targets_Guideline'!$C$53:$I$53,
      0
    )
  ),
0))</f>
        <v/>
      </c>
      <c r="O189" s="105"/>
      <c r="P189" s="119" t="str">
        <f t="array" ref="P189">IF(OR($B189="",$D189=""),"",
IFERROR(
  INDEX(
    'Tools &amp; Targets_Guideline'!$C$54:$I$269,
    MATCH(
      1,
      ('Tools &amp; Targets_Guideline'!$A$54:$A$269=$B189)*
      ('Tools &amp; Targets_Guideline'!$B$54:$B$269="Delivery"),
      0
    ),
    MATCH(
      _xludf.IFNA(
        VLOOKUP($D189,{"PH","Provincial Hospital (H2)";"DH","District Hospital (H3)";"RH","Regional / National Hospital (H1)"},2,0),
        $D189
      ),
      'Tools &amp; Targets_Guideline'!$C$53:$I$53,
      0
    )
  ),
0))</f>
        <v/>
      </c>
      <c r="Q189" s="105"/>
      <c r="R189" s="119" t="str">
        <f t="array" ref="R189">IF(OR($B189="",$D189=""),"",
IFERROR(
  INDEX(
    'Tools &amp; Targets_Guideline'!$C$54:$I$269,
    MATCH(
      1,
      ('Tools &amp; Targets_Guideline'!$A$54:$A$269=$B189)*
      ('Tools &amp; Targets_Guideline'!$B$54:$B$269="TT"),
      0
    ),
    MATCH(
      _xludf.IFNA(
        VLOOKUP($D189,{"PH","Provincial Hospital (H2)";"DH","District Hospital (H3)";"RH","Regional / National Hospital (H1)"},2,0),
        $D189
      ),
      'Tools &amp; Targets_Guideline'!$C$53:$I$53,
      0
    )
  ),
0))</f>
        <v/>
      </c>
      <c r="S189" s="105"/>
      <c r="T189" s="102"/>
      <c r="U189" s="106"/>
      <c r="V189" s="102" t="str">
        <f t="shared" si="1"/>
        <v/>
      </c>
      <c r="W189" s="102"/>
      <c r="X189" s="102"/>
      <c r="Y189" s="119" t="str">
        <f t="array" ref="Y189">IF(OR($B189="",$D189=""),"",
IFERROR(
  INDEX(
    'Tools &amp; Targets_Guideline'!$C$54:$I$269,
    MATCH(
      1,
      ('Tools &amp; Targets_Guideline'!$A$54:$A$269=$B189)*
      ('Tools &amp; Targets_Guideline'!$B$54:$B$269="GM"),
      0
    ),
    MATCH(
      _xludf.IFNA(
        VLOOKUP($D189,{"PH","Provincial Hospital (H2)";"DH","District Hospital (H3)";"RH","Regional / National Hospital (H1)"},2,0),
        $D189
      ),
      'Tools &amp; Targets_Guideline'!$C$53:$I$53,
      0
    )
  ),
0))</f>
        <v/>
      </c>
      <c r="Z189" s="105"/>
      <c r="AA189" s="119" t="str">
        <f t="array" ref="AA189">IF(OR($B189="",$D189=""),"",
IFERROR(
  INDEX(
    'Tools &amp; Targets_Guideline'!$C$54:$I$269,
    MATCH(
      1,
      ('Tools &amp; Targets_Guideline'!$A$54:$A$269=$B189)*
      ('Tools &amp; Targets_Guideline'!$B$54:$B$269="Penta"),
      0
    ),
    MATCH(
      _xludf.IFNA(
        VLOOKUP($D189,{"PH","Provincial Hospital (H2)";"DH","District Hospital (H3)";"RH","Regional / National Hospital (H1)"},2,0),
        $D189
      ),
      'Tools &amp; Targets_Guideline'!$C$53:$I$53,
      0
    )
  ),
0))</f>
        <v/>
      </c>
      <c r="AB189" s="105"/>
      <c r="AC189" s="119" t="str">
        <f t="array" ref="AC189">IF(OR($B189="",$D189=""),"",
IFERROR(
  INDEX(
    'Tools &amp; Targets_Guideline'!$C$54:$I$269,
    MATCH(
      1,
      ('Tools &amp; Targets_Guideline'!$A$54:$A$269=$B189)*
      ('Tools &amp; Targets_Guideline'!$B$54:$B$269="TB"),
      0
    ),
    MATCH(
      _xludf.IFNA(
        VLOOKUP($D189,{"PH","Provincial Hospital (H2)";"DH","District Hospital (H3)";"RH","Regional / National Hospital (H1)"},2,0),
        $D189
      ),
      'Tools &amp; Targets_Guideline'!$C$53:$I$53,
      0
    )
  ),
0))</f>
        <v/>
      </c>
      <c r="AD189" s="105"/>
      <c r="AE189" s="119" t="str">
        <f t="array" ref="AE189">IF(OR($B189="",$D189=""),"",
IFERROR(
  INDEX(
    'Tools &amp; Targets_Guideline'!$C$54:$I$269,
    MATCH(
      1,
      ('Tools &amp; Targets_Guideline'!$A$54:$A$269=$B189)*
      ('Tools &amp; Targets_Guideline'!$B$54:$B$269="U5 Morbidity"),
      0
    ),
    MATCH(
      _xludf.IFNA(
        VLOOKUP($D189,{"PH","Provincial Hospital (H2)";"DH","District Hospital (H3)";"RH","Regional / National Hospital (H1)"},2,0),
        $D189
      ),
      'Tools &amp; Targets_Guideline'!$C$53:$I$53,
      0
    )
  ),
0))</f>
        <v/>
      </c>
      <c r="AF189" s="105"/>
      <c r="AG189" s="119" t="str">
        <f t="array" ref="AG189">IF(OR($B189="",$D189=""),"",
IFERROR(
  INDEX(
    'Tools &amp; Targets_Guideline'!$C$54:$I$269,
    MATCH(
      1,
      ('Tools &amp; Targets_Guideline'!$A$54:$A$269=$B189)*
      ('Tools &amp; Targets_Guideline'!$B$54:$B$269="C-Section"),
      0
    ),
    MATCH(
      _xludf.IFNA(
        VLOOKUP($D189,{"PH","Provincial Hospital (H2)";"DH","District Hospital (H3)";"RH","Regional / National Hospital (H1)"},2,0),
        $D189
      ),
      'Tools &amp; Targets_Guideline'!$C$53:$I$53,
      0
    )
  ),
0))</f>
        <v/>
      </c>
      <c r="AH189" s="105" t="str">
        <f>IF(A189&lt;&gt;"",COUNTIFS('QA Log'!D:D,A189,'QA Log'!M:M,"QQC",'QA Log'!L:L,"2. Hygiene and Sterilization",'QA Log'!Z:Z,"Approved"),"")</f>
        <v/>
      </c>
      <c r="AI189" s="102"/>
      <c r="AJ189" s="102"/>
      <c r="AK189" s="103" t="str">
        <f t="shared" si="2"/>
        <v/>
      </c>
      <c r="AL189" s="102"/>
      <c r="AM189" s="102"/>
      <c r="AN189" s="102"/>
      <c r="AO189" s="106"/>
      <c r="AP189" s="103"/>
      <c r="AQ189" s="102"/>
      <c r="AR189" s="102"/>
      <c r="AS189" s="102"/>
      <c r="AT189" s="107"/>
      <c r="AU189" s="102" t="str">
        <f t="shared" si="3"/>
        <v/>
      </c>
      <c r="AV189" s="102" t="str">
        <f t="shared" si="4"/>
        <v/>
      </c>
      <c r="AW189" s="102" t="str">
        <f t="shared" si="5"/>
        <v/>
      </c>
      <c r="AX189" s="102" t="str">
        <f t="shared" si="6"/>
        <v/>
      </c>
      <c r="AY189" s="107" t="str">
        <f t="shared" si="7"/>
        <v/>
      </c>
      <c r="AZ189" s="108" t="str">
        <f t="shared" si="8"/>
        <v/>
      </c>
      <c r="BA189" s="108" t="str">
        <f t="shared" si="9"/>
        <v/>
      </c>
      <c r="BB189" s="109" t="str">
        <f t="shared" si="10"/>
        <v/>
      </c>
      <c r="BC189" s="108" t="str">
        <f t="shared" si="11"/>
        <v/>
      </c>
      <c r="BD189" s="108" t="str">
        <f t="shared" si="12"/>
        <v/>
      </c>
      <c r="BE189" s="109" t="str">
        <f t="shared" si="13"/>
        <v/>
      </c>
      <c r="BF189" s="110" t="str">
        <f t="shared" si="14"/>
        <v/>
      </c>
      <c r="BG189" s="111"/>
    </row>
    <row r="190" spans="1:59" ht="12.75">
      <c r="A190" s="101"/>
      <c r="B190" s="102"/>
      <c r="C190" s="102" t="e">
        <f t="array" aca="1" ref="C190" ca="1">_xludf.XLOOKUP(A190,'QA Log'!D:D,'QA Log'!F:F,"")</f>
        <v>#NAME?</v>
      </c>
      <c r="D190" s="102"/>
      <c r="E190" s="102" t="e">
        <f t="array" aca="1" ref="E190" ca="1">_xludf.XLOOKUP(A190,'QA Log'!D:D,'QA Log'!G:G,"")</f>
        <v>#NAME?</v>
      </c>
      <c r="F190" s="103"/>
      <c r="G190" s="104"/>
      <c r="H190" s="104"/>
      <c r="I190" s="103" t="str">
        <f t="shared" si="0"/>
        <v/>
      </c>
      <c r="J190" s="102"/>
      <c r="K190" s="102"/>
      <c r="L190" s="119" t="str">
        <f t="array" ref="L190">IF(OR($B190="",$D190=""),"",
IFERROR(
  INDEX(
    'Tools &amp; Targets_Guideline'!$C$54:$I$269,
    MATCH(
      1,
      ('Tools &amp; Targets_Guideline'!$A$54:$A$269=$B190)*
      ('Tools &amp; Targets_Guideline'!$B$54:$B$269="ANC"),
      0
    ),
    MATCH(
      _xludf.IFNA(
        VLOOKUP($D190,{"PH","Provincial Hospital (H2)";"DH","District Hospital (H3)";"RH","Regional / National Hospital (H1)"},2,0),
        $D190
      ),
      'Tools &amp; Targets_Guideline'!$C$53:$I$53,
      0
    )
  ),
0))</f>
        <v/>
      </c>
      <c r="M190" s="105"/>
      <c r="N190" s="119" t="str">
        <f t="array" ref="N190">IF(OR($B190="",$D190=""),"",
IFERROR(
  INDEX(
    'Tools &amp; Targets_Guideline'!$C$54:$I$269,
    MATCH(
      1,
      ('Tools &amp; Targets_Guideline'!$A$54:$A$269=$B190)*
      ('Tools &amp; Targets_Guideline'!$B$54:$B$269="PNC"),
      0
    ),
    MATCH(
      _xludf.IFNA(
        VLOOKUP($D190,{"PH","Provincial Hospital (H2)";"DH","District Hospital (H3)";"RH","Regional / National Hospital (H1)"},2,0),
        $D190
      ),
      'Tools &amp; Targets_Guideline'!$C$53:$I$53,
      0
    )
  ),
0))</f>
        <v/>
      </c>
      <c r="O190" s="105"/>
      <c r="P190" s="119" t="str">
        <f t="array" ref="P190">IF(OR($B190="",$D190=""),"",
IFERROR(
  INDEX(
    'Tools &amp; Targets_Guideline'!$C$54:$I$269,
    MATCH(
      1,
      ('Tools &amp; Targets_Guideline'!$A$54:$A$269=$B190)*
      ('Tools &amp; Targets_Guideline'!$B$54:$B$269="Delivery"),
      0
    ),
    MATCH(
      _xludf.IFNA(
        VLOOKUP($D190,{"PH","Provincial Hospital (H2)";"DH","District Hospital (H3)";"RH","Regional / National Hospital (H1)"},2,0),
        $D190
      ),
      'Tools &amp; Targets_Guideline'!$C$53:$I$53,
      0
    )
  ),
0))</f>
        <v/>
      </c>
      <c r="Q190" s="105"/>
      <c r="R190" s="119" t="str">
        <f t="array" ref="R190">IF(OR($B190="",$D190=""),"",
IFERROR(
  INDEX(
    'Tools &amp; Targets_Guideline'!$C$54:$I$269,
    MATCH(
      1,
      ('Tools &amp; Targets_Guideline'!$A$54:$A$269=$B190)*
      ('Tools &amp; Targets_Guideline'!$B$54:$B$269="TT"),
      0
    ),
    MATCH(
      _xludf.IFNA(
        VLOOKUP($D190,{"PH","Provincial Hospital (H2)";"DH","District Hospital (H3)";"RH","Regional / National Hospital (H1)"},2,0),
        $D190
      ),
      'Tools &amp; Targets_Guideline'!$C$53:$I$53,
      0
    )
  ),
0))</f>
        <v/>
      </c>
      <c r="S190" s="105"/>
      <c r="T190" s="102"/>
      <c r="U190" s="106"/>
      <c r="V190" s="102" t="str">
        <f t="shared" si="1"/>
        <v/>
      </c>
      <c r="W190" s="102"/>
      <c r="X190" s="102"/>
      <c r="Y190" s="119" t="str">
        <f t="array" ref="Y190">IF(OR($B190="",$D190=""),"",
IFERROR(
  INDEX(
    'Tools &amp; Targets_Guideline'!$C$54:$I$269,
    MATCH(
      1,
      ('Tools &amp; Targets_Guideline'!$A$54:$A$269=$B190)*
      ('Tools &amp; Targets_Guideline'!$B$54:$B$269="GM"),
      0
    ),
    MATCH(
      _xludf.IFNA(
        VLOOKUP($D190,{"PH","Provincial Hospital (H2)";"DH","District Hospital (H3)";"RH","Regional / National Hospital (H1)"},2,0),
        $D190
      ),
      'Tools &amp; Targets_Guideline'!$C$53:$I$53,
      0
    )
  ),
0))</f>
        <v/>
      </c>
      <c r="Z190" s="105"/>
      <c r="AA190" s="119" t="str">
        <f t="array" ref="AA190">IF(OR($B190="",$D190=""),"",
IFERROR(
  INDEX(
    'Tools &amp; Targets_Guideline'!$C$54:$I$269,
    MATCH(
      1,
      ('Tools &amp; Targets_Guideline'!$A$54:$A$269=$B190)*
      ('Tools &amp; Targets_Guideline'!$B$54:$B$269="Penta"),
      0
    ),
    MATCH(
      _xludf.IFNA(
        VLOOKUP($D190,{"PH","Provincial Hospital (H2)";"DH","District Hospital (H3)";"RH","Regional / National Hospital (H1)"},2,0),
        $D190
      ),
      'Tools &amp; Targets_Guideline'!$C$53:$I$53,
      0
    )
  ),
0))</f>
        <v/>
      </c>
      <c r="AB190" s="105"/>
      <c r="AC190" s="119" t="str">
        <f t="array" ref="AC190">IF(OR($B190="",$D190=""),"",
IFERROR(
  INDEX(
    'Tools &amp; Targets_Guideline'!$C$54:$I$269,
    MATCH(
      1,
      ('Tools &amp; Targets_Guideline'!$A$54:$A$269=$B190)*
      ('Tools &amp; Targets_Guideline'!$B$54:$B$269="TB"),
      0
    ),
    MATCH(
      _xludf.IFNA(
        VLOOKUP($D190,{"PH","Provincial Hospital (H2)";"DH","District Hospital (H3)";"RH","Regional / National Hospital (H1)"},2,0),
        $D190
      ),
      'Tools &amp; Targets_Guideline'!$C$53:$I$53,
      0
    )
  ),
0))</f>
        <v/>
      </c>
      <c r="AD190" s="105"/>
      <c r="AE190" s="119" t="str">
        <f t="array" ref="AE190">IF(OR($B190="",$D190=""),"",
IFERROR(
  INDEX(
    'Tools &amp; Targets_Guideline'!$C$54:$I$269,
    MATCH(
      1,
      ('Tools &amp; Targets_Guideline'!$A$54:$A$269=$B190)*
      ('Tools &amp; Targets_Guideline'!$B$54:$B$269="U5 Morbidity"),
      0
    ),
    MATCH(
      _xludf.IFNA(
        VLOOKUP($D190,{"PH","Provincial Hospital (H2)";"DH","District Hospital (H3)";"RH","Regional / National Hospital (H1)"},2,0),
        $D190
      ),
      'Tools &amp; Targets_Guideline'!$C$53:$I$53,
      0
    )
  ),
0))</f>
        <v/>
      </c>
      <c r="AF190" s="105"/>
      <c r="AG190" s="119" t="str">
        <f t="array" ref="AG190">IF(OR($B190="",$D190=""),"",
IFERROR(
  INDEX(
    'Tools &amp; Targets_Guideline'!$C$54:$I$269,
    MATCH(
      1,
      ('Tools &amp; Targets_Guideline'!$A$54:$A$269=$B190)*
      ('Tools &amp; Targets_Guideline'!$B$54:$B$269="C-Section"),
      0
    ),
    MATCH(
      _xludf.IFNA(
        VLOOKUP($D190,{"PH","Provincial Hospital (H2)";"DH","District Hospital (H3)";"RH","Regional / National Hospital (H1)"},2,0),
        $D190
      ),
      'Tools &amp; Targets_Guideline'!$C$53:$I$53,
      0
    )
  ),
0))</f>
        <v/>
      </c>
      <c r="AH190" s="105" t="str">
        <f>IF(A190&lt;&gt;"",COUNTIFS('QA Log'!D:D,A190,'QA Log'!M:M,"QQC",'QA Log'!L:L,"2. Hygiene and Sterilization",'QA Log'!Z:Z,"Approved"),"")</f>
        <v/>
      </c>
      <c r="AI190" s="102"/>
      <c r="AJ190" s="102"/>
      <c r="AK190" s="103" t="str">
        <f t="shared" si="2"/>
        <v/>
      </c>
      <c r="AL190" s="102"/>
      <c r="AM190" s="102"/>
      <c r="AN190" s="102"/>
      <c r="AO190" s="106"/>
      <c r="AP190" s="103"/>
      <c r="AQ190" s="102"/>
      <c r="AR190" s="102"/>
      <c r="AS190" s="102"/>
      <c r="AT190" s="107"/>
      <c r="AU190" s="102" t="str">
        <f t="shared" si="3"/>
        <v/>
      </c>
      <c r="AV190" s="102" t="str">
        <f t="shared" si="4"/>
        <v/>
      </c>
      <c r="AW190" s="102" t="str">
        <f t="shared" si="5"/>
        <v/>
      </c>
      <c r="AX190" s="102" t="str">
        <f t="shared" si="6"/>
        <v/>
      </c>
      <c r="AY190" s="107" t="str">
        <f t="shared" si="7"/>
        <v/>
      </c>
      <c r="AZ190" s="108" t="str">
        <f t="shared" si="8"/>
        <v/>
      </c>
      <c r="BA190" s="108" t="str">
        <f t="shared" si="9"/>
        <v/>
      </c>
      <c r="BB190" s="109" t="str">
        <f t="shared" si="10"/>
        <v/>
      </c>
      <c r="BC190" s="108" t="str">
        <f t="shared" si="11"/>
        <v/>
      </c>
      <c r="BD190" s="108" t="str">
        <f t="shared" si="12"/>
        <v/>
      </c>
      <c r="BE190" s="109" t="str">
        <f t="shared" si="13"/>
        <v/>
      </c>
      <c r="BF190" s="110" t="str">
        <f t="shared" si="14"/>
        <v/>
      </c>
      <c r="BG190" s="111"/>
    </row>
    <row r="191" spans="1:59" ht="12.75">
      <c r="A191" s="101"/>
      <c r="B191" s="102"/>
      <c r="C191" s="102" t="e">
        <f t="array" aca="1" ref="C191" ca="1">_xludf.XLOOKUP(A191,'QA Log'!D:D,'QA Log'!F:F,"")</f>
        <v>#NAME?</v>
      </c>
      <c r="D191" s="102"/>
      <c r="E191" s="102" t="e">
        <f t="array" aca="1" ref="E191" ca="1">_xludf.XLOOKUP(A191,'QA Log'!D:D,'QA Log'!G:G,"")</f>
        <v>#NAME?</v>
      </c>
      <c r="F191" s="103"/>
      <c r="G191" s="104"/>
      <c r="H191" s="104"/>
      <c r="I191" s="103" t="str">
        <f t="shared" si="0"/>
        <v/>
      </c>
      <c r="J191" s="102"/>
      <c r="K191" s="102"/>
      <c r="L191" s="119" t="str">
        <f t="array" ref="L191">IF(OR($B191="",$D191=""),"",
IFERROR(
  INDEX(
    'Tools &amp; Targets_Guideline'!$C$54:$I$269,
    MATCH(
      1,
      ('Tools &amp; Targets_Guideline'!$A$54:$A$269=$B191)*
      ('Tools &amp; Targets_Guideline'!$B$54:$B$269="ANC"),
      0
    ),
    MATCH(
      _xludf.IFNA(
        VLOOKUP($D191,{"PH","Provincial Hospital (H2)";"DH","District Hospital (H3)";"RH","Regional / National Hospital (H1)"},2,0),
        $D191
      ),
      'Tools &amp; Targets_Guideline'!$C$53:$I$53,
      0
    )
  ),
0))</f>
        <v/>
      </c>
      <c r="M191" s="105"/>
      <c r="N191" s="119" t="str">
        <f t="array" ref="N191">IF(OR($B191="",$D191=""),"",
IFERROR(
  INDEX(
    'Tools &amp; Targets_Guideline'!$C$54:$I$269,
    MATCH(
      1,
      ('Tools &amp; Targets_Guideline'!$A$54:$A$269=$B191)*
      ('Tools &amp; Targets_Guideline'!$B$54:$B$269="PNC"),
      0
    ),
    MATCH(
      _xludf.IFNA(
        VLOOKUP($D191,{"PH","Provincial Hospital (H2)";"DH","District Hospital (H3)";"RH","Regional / National Hospital (H1)"},2,0),
        $D191
      ),
      'Tools &amp; Targets_Guideline'!$C$53:$I$53,
      0
    )
  ),
0))</f>
        <v/>
      </c>
      <c r="O191" s="105"/>
      <c r="P191" s="119" t="str">
        <f t="array" ref="P191">IF(OR($B191="",$D191=""),"",
IFERROR(
  INDEX(
    'Tools &amp; Targets_Guideline'!$C$54:$I$269,
    MATCH(
      1,
      ('Tools &amp; Targets_Guideline'!$A$54:$A$269=$B191)*
      ('Tools &amp; Targets_Guideline'!$B$54:$B$269="Delivery"),
      0
    ),
    MATCH(
      _xludf.IFNA(
        VLOOKUP($D191,{"PH","Provincial Hospital (H2)";"DH","District Hospital (H3)";"RH","Regional / National Hospital (H1)"},2,0),
        $D191
      ),
      'Tools &amp; Targets_Guideline'!$C$53:$I$53,
      0
    )
  ),
0))</f>
        <v/>
      </c>
      <c r="Q191" s="105"/>
      <c r="R191" s="119" t="str">
        <f t="array" ref="R191">IF(OR($B191="",$D191=""),"",
IFERROR(
  INDEX(
    'Tools &amp; Targets_Guideline'!$C$54:$I$269,
    MATCH(
      1,
      ('Tools &amp; Targets_Guideline'!$A$54:$A$269=$B191)*
      ('Tools &amp; Targets_Guideline'!$B$54:$B$269="TT"),
      0
    ),
    MATCH(
      _xludf.IFNA(
        VLOOKUP($D191,{"PH","Provincial Hospital (H2)";"DH","District Hospital (H3)";"RH","Regional / National Hospital (H1)"},2,0),
        $D191
      ),
      'Tools &amp; Targets_Guideline'!$C$53:$I$53,
      0
    )
  ),
0))</f>
        <v/>
      </c>
      <c r="S191" s="105"/>
      <c r="T191" s="102"/>
      <c r="U191" s="106"/>
      <c r="V191" s="102" t="str">
        <f t="shared" si="1"/>
        <v/>
      </c>
      <c r="W191" s="102"/>
      <c r="X191" s="102"/>
      <c r="Y191" s="119" t="str">
        <f t="array" ref="Y191">IF(OR($B191="",$D191=""),"",
IFERROR(
  INDEX(
    'Tools &amp; Targets_Guideline'!$C$54:$I$269,
    MATCH(
      1,
      ('Tools &amp; Targets_Guideline'!$A$54:$A$269=$B191)*
      ('Tools &amp; Targets_Guideline'!$B$54:$B$269="GM"),
      0
    ),
    MATCH(
      _xludf.IFNA(
        VLOOKUP($D191,{"PH","Provincial Hospital (H2)";"DH","District Hospital (H3)";"RH","Regional / National Hospital (H1)"},2,0),
        $D191
      ),
      'Tools &amp; Targets_Guideline'!$C$53:$I$53,
      0
    )
  ),
0))</f>
        <v/>
      </c>
      <c r="Z191" s="105"/>
      <c r="AA191" s="119" t="str">
        <f t="array" ref="AA191">IF(OR($B191="",$D191=""),"",
IFERROR(
  INDEX(
    'Tools &amp; Targets_Guideline'!$C$54:$I$269,
    MATCH(
      1,
      ('Tools &amp; Targets_Guideline'!$A$54:$A$269=$B191)*
      ('Tools &amp; Targets_Guideline'!$B$54:$B$269="Penta"),
      0
    ),
    MATCH(
      _xludf.IFNA(
        VLOOKUP($D191,{"PH","Provincial Hospital (H2)";"DH","District Hospital (H3)";"RH","Regional / National Hospital (H1)"},2,0),
        $D191
      ),
      'Tools &amp; Targets_Guideline'!$C$53:$I$53,
      0
    )
  ),
0))</f>
        <v/>
      </c>
      <c r="AB191" s="105"/>
      <c r="AC191" s="119" t="str">
        <f t="array" ref="AC191">IF(OR($B191="",$D191=""),"",
IFERROR(
  INDEX(
    'Tools &amp; Targets_Guideline'!$C$54:$I$269,
    MATCH(
      1,
      ('Tools &amp; Targets_Guideline'!$A$54:$A$269=$B191)*
      ('Tools &amp; Targets_Guideline'!$B$54:$B$269="TB"),
      0
    ),
    MATCH(
      _xludf.IFNA(
        VLOOKUP($D191,{"PH","Provincial Hospital (H2)";"DH","District Hospital (H3)";"RH","Regional / National Hospital (H1)"},2,0),
        $D191
      ),
      'Tools &amp; Targets_Guideline'!$C$53:$I$53,
      0
    )
  ),
0))</f>
        <v/>
      </c>
      <c r="AD191" s="105"/>
      <c r="AE191" s="119" t="str">
        <f t="array" ref="AE191">IF(OR($B191="",$D191=""),"",
IFERROR(
  INDEX(
    'Tools &amp; Targets_Guideline'!$C$54:$I$269,
    MATCH(
      1,
      ('Tools &amp; Targets_Guideline'!$A$54:$A$269=$B191)*
      ('Tools &amp; Targets_Guideline'!$B$54:$B$269="U5 Morbidity"),
      0
    ),
    MATCH(
      _xludf.IFNA(
        VLOOKUP($D191,{"PH","Provincial Hospital (H2)";"DH","District Hospital (H3)";"RH","Regional / National Hospital (H1)"},2,0),
        $D191
      ),
      'Tools &amp; Targets_Guideline'!$C$53:$I$53,
      0
    )
  ),
0))</f>
        <v/>
      </c>
      <c r="AF191" s="105"/>
      <c r="AG191" s="119" t="str">
        <f t="array" ref="AG191">IF(OR($B191="",$D191=""),"",
IFERROR(
  INDEX(
    'Tools &amp; Targets_Guideline'!$C$54:$I$269,
    MATCH(
      1,
      ('Tools &amp; Targets_Guideline'!$A$54:$A$269=$B191)*
      ('Tools &amp; Targets_Guideline'!$B$54:$B$269="C-Section"),
      0
    ),
    MATCH(
      _xludf.IFNA(
        VLOOKUP($D191,{"PH","Provincial Hospital (H2)";"DH","District Hospital (H3)";"RH","Regional / National Hospital (H1)"},2,0),
        $D191
      ),
      'Tools &amp; Targets_Guideline'!$C$53:$I$53,
      0
    )
  ),
0))</f>
        <v/>
      </c>
      <c r="AH191" s="105" t="str">
        <f>IF(A191&lt;&gt;"",COUNTIFS('QA Log'!D:D,A191,'QA Log'!M:M,"QQC",'QA Log'!L:L,"2. Hygiene and Sterilization",'QA Log'!Z:Z,"Approved"),"")</f>
        <v/>
      </c>
      <c r="AI191" s="102"/>
      <c r="AJ191" s="102"/>
      <c r="AK191" s="103" t="str">
        <f t="shared" si="2"/>
        <v/>
      </c>
      <c r="AL191" s="102"/>
      <c r="AM191" s="102"/>
      <c r="AN191" s="102"/>
      <c r="AO191" s="106"/>
      <c r="AP191" s="103"/>
      <c r="AQ191" s="102"/>
      <c r="AR191" s="102"/>
      <c r="AS191" s="102"/>
      <c r="AT191" s="107"/>
      <c r="AU191" s="102" t="str">
        <f t="shared" si="3"/>
        <v/>
      </c>
      <c r="AV191" s="102" t="str">
        <f t="shared" si="4"/>
        <v/>
      </c>
      <c r="AW191" s="102" t="str">
        <f t="shared" si="5"/>
        <v/>
      </c>
      <c r="AX191" s="102" t="str">
        <f t="shared" si="6"/>
        <v/>
      </c>
      <c r="AY191" s="107" t="str">
        <f t="shared" si="7"/>
        <v/>
      </c>
      <c r="AZ191" s="108" t="str">
        <f t="shared" si="8"/>
        <v/>
      </c>
      <c r="BA191" s="108" t="str">
        <f t="shared" si="9"/>
        <v/>
      </c>
      <c r="BB191" s="109" t="str">
        <f t="shared" si="10"/>
        <v/>
      </c>
      <c r="BC191" s="108" t="str">
        <f t="shared" si="11"/>
        <v/>
      </c>
      <c r="BD191" s="108" t="str">
        <f t="shared" si="12"/>
        <v/>
      </c>
      <c r="BE191" s="109" t="str">
        <f t="shared" si="13"/>
        <v/>
      </c>
      <c r="BF191" s="110" t="str">
        <f t="shared" si="14"/>
        <v/>
      </c>
      <c r="BG191" s="111"/>
    </row>
    <row r="192" spans="1:59" ht="12.75">
      <c r="A192" s="101"/>
      <c r="B192" s="102"/>
      <c r="C192" s="102" t="e">
        <f t="array" aca="1" ref="C192" ca="1">_xludf.XLOOKUP(A192,'QA Log'!D:D,'QA Log'!F:F,"")</f>
        <v>#NAME?</v>
      </c>
      <c r="D192" s="102"/>
      <c r="E192" s="102" t="e">
        <f t="array" aca="1" ref="E192" ca="1">_xludf.XLOOKUP(A192,'QA Log'!D:D,'QA Log'!G:G,"")</f>
        <v>#NAME?</v>
      </c>
      <c r="F192" s="103"/>
      <c r="G192" s="104"/>
      <c r="H192" s="104"/>
      <c r="I192" s="103" t="str">
        <f t="shared" si="0"/>
        <v/>
      </c>
      <c r="J192" s="102"/>
      <c r="K192" s="102"/>
      <c r="L192" s="119" t="str">
        <f t="array" ref="L192">IF(OR($B192="",$D192=""),"",
IFERROR(
  INDEX(
    'Tools &amp; Targets_Guideline'!$C$54:$I$269,
    MATCH(
      1,
      ('Tools &amp; Targets_Guideline'!$A$54:$A$269=$B192)*
      ('Tools &amp; Targets_Guideline'!$B$54:$B$269="ANC"),
      0
    ),
    MATCH(
      _xludf.IFNA(
        VLOOKUP($D192,{"PH","Provincial Hospital (H2)";"DH","District Hospital (H3)";"RH","Regional / National Hospital (H1)"},2,0),
        $D192
      ),
      'Tools &amp; Targets_Guideline'!$C$53:$I$53,
      0
    )
  ),
0))</f>
        <v/>
      </c>
      <c r="M192" s="105"/>
      <c r="N192" s="119" t="str">
        <f t="array" ref="N192">IF(OR($B192="",$D192=""),"",
IFERROR(
  INDEX(
    'Tools &amp; Targets_Guideline'!$C$54:$I$269,
    MATCH(
      1,
      ('Tools &amp; Targets_Guideline'!$A$54:$A$269=$B192)*
      ('Tools &amp; Targets_Guideline'!$B$54:$B$269="PNC"),
      0
    ),
    MATCH(
      _xludf.IFNA(
        VLOOKUP($D192,{"PH","Provincial Hospital (H2)";"DH","District Hospital (H3)";"RH","Regional / National Hospital (H1)"},2,0),
        $D192
      ),
      'Tools &amp; Targets_Guideline'!$C$53:$I$53,
      0
    )
  ),
0))</f>
        <v/>
      </c>
      <c r="O192" s="105"/>
      <c r="P192" s="119" t="str">
        <f t="array" ref="P192">IF(OR($B192="",$D192=""),"",
IFERROR(
  INDEX(
    'Tools &amp; Targets_Guideline'!$C$54:$I$269,
    MATCH(
      1,
      ('Tools &amp; Targets_Guideline'!$A$54:$A$269=$B192)*
      ('Tools &amp; Targets_Guideline'!$B$54:$B$269="Delivery"),
      0
    ),
    MATCH(
      _xludf.IFNA(
        VLOOKUP($D192,{"PH","Provincial Hospital (H2)";"DH","District Hospital (H3)";"RH","Regional / National Hospital (H1)"},2,0),
        $D192
      ),
      'Tools &amp; Targets_Guideline'!$C$53:$I$53,
      0
    )
  ),
0))</f>
        <v/>
      </c>
      <c r="Q192" s="105"/>
      <c r="R192" s="119" t="str">
        <f t="array" ref="R192">IF(OR($B192="",$D192=""),"",
IFERROR(
  INDEX(
    'Tools &amp; Targets_Guideline'!$C$54:$I$269,
    MATCH(
      1,
      ('Tools &amp; Targets_Guideline'!$A$54:$A$269=$B192)*
      ('Tools &amp; Targets_Guideline'!$B$54:$B$269="TT"),
      0
    ),
    MATCH(
      _xludf.IFNA(
        VLOOKUP($D192,{"PH","Provincial Hospital (H2)";"DH","District Hospital (H3)";"RH","Regional / National Hospital (H1)"},2,0),
        $D192
      ),
      'Tools &amp; Targets_Guideline'!$C$53:$I$53,
      0
    )
  ),
0))</f>
        <v/>
      </c>
      <c r="S192" s="105"/>
      <c r="T192" s="102"/>
      <c r="U192" s="106"/>
      <c r="V192" s="102" t="str">
        <f t="shared" si="1"/>
        <v/>
      </c>
      <c r="W192" s="102"/>
      <c r="X192" s="102"/>
      <c r="Y192" s="119" t="str">
        <f t="array" ref="Y192">IF(OR($B192="",$D192=""),"",
IFERROR(
  INDEX(
    'Tools &amp; Targets_Guideline'!$C$54:$I$269,
    MATCH(
      1,
      ('Tools &amp; Targets_Guideline'!$A$54:$A$269=$B192)*
      ('Tools &amp; Targets_Guideline'!$B$54:$B$269="GM"),
      0
    ),
    MATCH(
      _xludf.IFNA(
        VLOOKUP($D192,{"PH","Provincial Hospital (H2)";"DH","District Hospital (H3)";"RH","Regional / National Hospital (H1)"},2,0),
        $D192
      ),
      'Tools &amp; Targets_Guideline'!$C$53:$I$53,
      0
    )
  ),
0))</f>
        <v/>
      </c>
      <c r="Z192" s="105"/>
      <c r="AA192" s="119" t="str">
        <f t="array" ref="AA192">IF(OR($B192="",$D192=""),"",
IFERROR(
  INDEX(
    'Tools &amp; Targets_Guideline'!$C$54:$I$269,
    MATCH(
      1,
      ('Tools &amp; Targets_Guideline'!$A$54:$A$269=$B192)*
      ('Tools &amp; Targets_Guideline'!$B$54:$B$269="Penta"),
      0
    ),
    MATCH(
      _xludf.IFNA(
        VLOOKUP($D192,{"PH","Provincial Hospital (H2)";"DH","District Hospital (H3)";"RH","Regional / National Hospital (H1)"},2,0),
        $D192
      ),
      'Tools &amp; Targets_Guideline'!$C$53:$I$53,
      0
    )
  ),
0))</f>
        <v/>
      </c>
      <c r="AB192" s="105"/>
      <c r="AC192" s="119" t="str">
        <f t="array" ref="AC192">IF(OR($B192="",$D192=""),"",
IFERROR(
  INDEX(
    'Tools &amp; Targets_Guideline'!$C$54:$I$269,
    MATCH(
      1,
      ('Tools &amp; Targets_Guideline'!$A$54:$A$269=$B192)*
      ('Tools &amp; Targets_Guideline'!$B$54:$B$269="TB"),
      0
    ),
    MATCH(
      _xludf.IFNA(
        VLOOKUP($D192,{"PH","Provincial Hospital (H2)";"DH","District Hospital (H3)";"RH","Regional / National Hospital (H1)"},2,0),
        $D192
      ),
      'Tools &amp; Targets_Guideline'!$C$53:$I$53,
      0
    )
  ),
0))</f>
        <v/>
      </c>
      <c r="AD192" s="105"/>
      <c r="AE192" s="119" t="str">
        <f t="array" ref="AE192">IF(OR($B192="",$D192=""),"",
IFERROR(
  INDEX(
    'Tools &amp; Targets_Guideline'!$C$54:$I$269,
    MATCH(
      1,
      ('Tools &amp; Targets_Guideline'!$A$54:$A$269=$B192)*
      ('Tools &amp; Targets_Guideline'!$B$54:$B$269="U5 Morbidity"),
      0
    ),
    MATCH(
      _xludf.IFNA(
        VLOOKUP($D192,{"PH","Provincial Hospital (H2)";"DH","District Hospital (H3)";"RH","Regional / National Hospital (H1)"},2,0),
        $D192
      ),
      'Tools &amp; Targets_Guideline'!$C$53:$I$53,
      0
    )
  ),
0))</f>
        <v/>
      </c>
      <c r="AF192" s="105"/>
      <c r="AG192" s="119" t="str">
        <f t="array" ref="AG192">IF(OR($B192="",$D192=""),"",
IFERROR(
  INDEX(
    'Tools &amp; Targets_Guideline'!$C$54:$I$269,
    MATCH(
      1,
      ('Tools &amp; Targets_Guideline'!$A$54:$A$269=$B192)*
      ('Tools &amp; Targets_Guideline'!$B$54:$B$269="C-Section"),
      0
    ),
    MATCH(
      _xludf.IFNA(
        VLOOKUP($D192,{"PH","Provincial Hospital (H2)";"DH","District Hospital (H3)";"RH","Regional / National Hospital (H1)"},2,0),
        $D192
      ),
      'Tools &amp; Targets_Guideline'!$C$53:$I$53,
      0
    )
  ),
0))</f>
        <v/>
      </c>
      <c r="AH192" s="105" t="str">
        <f>IF(A192&lt;&gt;"",COUNTIFS('QA Log'!D:D,A192,'QA Log'!M:M,"QQC",'QA Log'!L:L,"2. Hygiene and Sterilization",'QA Log'!Z:Z,"Approved"),"")</f>
        <v/>
      </c>
      <c r="AI192" s="102"/>
      <c r="AJ192" s="102"/>
      <c r="AK192" s="103" t="str">
        <f t="shared" si="2"/>
        <v/>
      </c>
      <c r="AL192" s="102"/>
      <c r="AM192" s="102"/>
      <c r="AN192" s="102"/>
      <c r="AO192" s="106"/>
      <c r="AP192" s="103"/>
      <c r="AQ192" s="102"/>
      <c r="AR192" s="102"/>
      <c r="AS192" s="102"/>
      <c r="AT192" s="107"/>
      <c r="AU192" s="102" t="str">
        <f t="shared" si="3"/>
        <v/>
      </c>
      <c r="AV192" s="102" t="str">
        <f t="shared" si="4"/>
        <v/>
      </c>
      <c r="AW192" s="102" t="str">
        <f t="shared" si="5"/>
        <v/>
      </c>
      <c r="AX192" s="102" t="str">
        <f t="shared" si="6"/>
        <v/>
      </c>
      <c r="AY192" s="107" t="str">
        <f t="shared" si="7"/>
        <v/>
      </c>
      <c r="AZ192" s="108" t="str">
        <f t="shared" si="8"/>
        <v/>
      </c>
      <c r="BA192" s="108" t="str">
        <f t="shared" si="9"/>
        <v/>
      </c>
      <c r="BB192" s="109" t="str">
        <f t="shared" si="10"/>
        <v/>
      </c>
      <c r="BC192" s="108" t="str">
        <f t="shared" si="11"/>
        <v/>
      </c>
      <c r="BD192" s="108" t="str">
        <f t="shared" si="12"/>
        <v/>
      </c>
      <c r="BE192" s="109" t="str">
        <f t="shared" si="13"/>
        <v/>
      </c>
      <c r="BF192" s="110" t="str">
        <f t="shared" si="14"/>
        <v/>
      </c>
      <c r="BG192" s="111"/>
    </row>
    <row r="193" spans="1:59" ht="12.75">
      <c r="A193" s="101"/>
      <c r="B193" s="102"/>
      <c r="C193" s="102" t="e">
        <f t="array" aca="1" ref="C193" ca="1">_xludf.XLOOKUP(A193,'QA Log'!D:D,'QA Log'!F:F,"")</f>
        <v>#NAME?</v>
      </c>
      <c r="D193" s="102"/>
      <c r="E193" s="102" t="e">
        <f t="array" aca="1" ref="E193" ca="1">_xludf.XLOOKUP(A193,'QA Log'!D:D,'QA Log'!G:G,"")</f>
        <v>#NAME?</v>
      </c>
      <c r="F193" s="103"/>
      <c r="G193" s="104"/>
      <c r="H193" s="104"/>
      <c r="I193" s="103" t="str">
        <f t="shared" si="0"/>
        <v/>
      </c>
      <c r="J193" s="102"/>
      <c r="K193" s="102"/>
      <c r="L193" s="119" t="str">
        <f t="array" ref="L193">IF(OR($B193="",$D193=""),"",
IFERROR(
  INDEX(
    'Tools &amp; Targets_Guideline'!$C$54:$I$269,
    MATCH(
      1,
      ('Tools &amp; Targets_Guideline'!$A$54:$A$269=$B193)*
      ('Tools &amp; Targets_Guideline'!$B$54:$B$269="ANC"),
      0
    ),
    MATCH(
      _xludf.IFNA(
        VLOOKUP($D193,{"PH","Provincial Hospital (H2)";"DH","District Hospital (H3)";"RH","Regional / National Hospital (H1)"},2,0),
        $D193
      ),
      'Tools &amp; Targets_Guideline'!$C$53:$I$53,
      0
    )
  ),
0))</f>
        <v/>
      </c>
      <c r="M193" s="105"/>
      <c r="N193" s="119" t="str">
        <f t="array" ref="N193">IF(OR($B193="",$D193=""),"",
IFERROR(
  INDEX(
    'Tools &amp; Targets_Guideline'!$C$54:$I$269,
    MATCH(
      1,
      ('Tools &amp; Targets_Guideline'!$A$54:$A$269=$B193)*
      ('Tools &amp; Targets_Guideline'!$B$54:$B$269="PNC"),
      0
    ),
    MATCH(
      _xludf.IFNA(
        VLOOKUP($D193,{"PH","Provincial Hospital (H2)";"DH","District Hospital (H3)";"RH","Regional / National Hospital (H1)"},2,0),
        $D193
      ),
      'Tools &amp; Targets_Guideline'!$C$53:$I$53,
      0
    )
  ),
0))</f>
        <v/>
      </c>
      <c r="O193" s="105"/>
      <c r="P193" s="119" t="str">
        <f t="array" ref="P193">IF(OR($B193="",$D193=""),"",
IFERROR(
  INDEX(
    'Tools &amp; Targets_Guideline'!$C$54:$I$269,
    MATCH(
      1,
      ('Tools &amp; Targets_Guideline'!$A$54:$A$269=$B193)*
      ('Tools &amp; Targets_Guideline'!$B$54:$B$269="Delivery"),
      0
    ),
    MATCH(
      _xludf.IFNA(
        VLOOKUP($D193,{"PH","Provincial Hospital (H2)";"DH","District Hospital (H3)";"RH","Regional / National Hospital (H1)"},2,0),
        $D193
      ),
      'Tools &amp; Targets_Guideline'!$C$53:$I$53,
      0
    )
  ),
0))</f>
        <v/>
      </c>
      <c r="Q193" s="105"/>
      <c r="R193" s="119" t="str">
        <f t="array" ref="R193">IF(OR($B193="",$D193=""),"",
IFERROR(
  INDEX(
    'Tools &amp; Targets_Guideline'!$C$54:$I$269,
    MATCH(
      1,
      ('Tools &amp; Targets_Guideline'!$A$54:$A$269=$B193)*
      ('Tools &amp; Targets_Guideline'!$B$54:$B$269="TT"),
      0
    ),
    MATCH(
      _xludf.IFNA(
        VLOOKUP($D193,{"PH","Provincial Hospital (H2)";"DH","District Hospital (H3)";"RH","Regional / National Hospital (H1)"},2,0),
        $D193
      ),
      'Tools &amp; Targets_Guideline'!$C$53:$I$53,
      0
    )
  ),
0))</f>
        <v/>
      </c>
      <c r="S193" s="105"/>
      <c r="T193" s="102"/>
      <c r="U193" s="106"/>
      <c r="V193" s="102" t="str">
        <f t="shared" si="1"/>
        <v/>
      </c>
      <c r="W193" s="102"/>
      <c r="X193" s="102"/>
      <c r="Y193" s="119" t="str">
        <f t="array" ref="Y193">IF(OR($B193="",$D193=""),"",
IFERROR(
  INDEX(
    'Tools &amp; Targets_Guideline'!$C$54:$I$269,
    MATCH(
      1,
      ('Tools &amp; Targets_Guideline'!$A$54:$A$269=$B193)*
      ('Tools &amp; Targets_Guideline'!$B$54:$B$269="GM"),
      0
    ),
    MATCH(
      _xludf.IFNA(
        VLOOKUP($D193,{"PH","Provincial Hospital (H2)";"DH","District Hospital (H3)";"RH","Regional / National Hospital (H1)"},2,0),
        $D193
      ),
      'Tools &amp; Targets_Guideline'!$C$53:$I$53,
      0
    )
  ),
0))</f>
        <v/>
      </c>
      <c r="Z193" s="105"/>
      <c r="AA193" s="119" t="str">
        <f t="array" ref="AA193">IF(OR($B193="",$D193=""),"",
IFERROR(
  INDEX(
    'Tools &amp; Targets_Guideline'!$C$54:$I$269,
    MATCH(
      1,
      ('Tools &amp; Targets_Guideline'!$A$54:$A$269=$B193)*
      ('Tools &amp; Targets_Guideline'!$B$54:$B$269="Penta"),
      0
    ),
    MATCH(
      _xludf.IFNA(
        VLOOKUP($D193,{"PH","Provincial Hospital (H2)";"DH","District Hospital (H3)";"RH","Regional / National Hospital (H1)"},2,0),
        $D193
      ),
      'Tools &amp; Targets_Guideline'!$C$53:$I$53,
      0
    )
  ),
0))</f>
        <v/>
      </c>
      <c r="AB193" s="105"/>
      <c r="AC193" s="119" t="str">
        <f t="array" ref="AC193">IF(OR($B193="",$D193=""),"",
IFERROR(
  INDEX(
    'Tools &amp; Targets_Guideline'!$C$54:$I$269,
    MATCH(
      1,
      ('Tools &amp; Targets_Guideline'!$A$54:$A$269=$B193)*
      ('Tools &amp; Targets_Guideline'!$B$54:$B$269="TB"),
      0
    ),
    MATCH(
      _xludf.IFNA(
        VLOOKUP($D193,{"PH","Provincial Hospital (H2)";"DH","District Hospital (H3)";"RH","Regional / National Hospital (H1)"},2,0),
        $D193
      ),
      'Tools &amp; Targets_Guideline'!$C$53:$I$53,
      0
    )
  ),
0))</f>
        <v/>
      </c>
      <c r="AD193" s="105"/>
      <c r="AE193" s="119" t="str">
        <f t="array" ref="AE193">IF(OR($B193="",$D193=""),"",
IFERROR(
  INDEX(
    'Tools &amp; Targets_Guideline'!$C$54:$I$269,
    MATCH(
      1,
      ('Tools &amp; Targets_Guideline'!$A$54:$A$269=$B193)*
      ('Tools &amp; Targets_Guideline'!$B$54:$B$269="U5 Morbidity"),
      0
    ),
    MATCH(
      _xludf.IFNA(
        VLOOKUP($D193,{"PH","Provincial Hospital (H2)";"DH","District Hospital (H3)";"RH","Regional / National Hospital (H1)"},2,0),
        $D193
      ),
      'Tools &amp; Targets_Guideline'!$C$53:$I$53,
      0
    )
  ),
0))</f>
        <v/>
      </c>
      <c r="AF193" s="105"/>
      <c r="AG193" s="119" t="str">
        <f t="array" ref="AG193">IF(OR($B193="",$D193=""),"",
IFERROR(
  INDEX(
    'Tools &amp; Targets_Guideline'!$C$54:$I$269,
    MATCH(
      1,
      ('Tools &amp; Targets_Guideline'!$A$54:$A$269=$B193)*
      ('Tools &amp; Targets_Guideline'!$B$54:$B$269="C-Section"),
      0
    ),
    MATCH(
      _xludf.IFNA(
        VLOOKUP($D193,{"PH","Provincial Hospital (H2)";"DH","District Hospital (H3)";"RH","Regional / National Hospital (H1)"},2,0),
        $D193
      ),
      'Tools &amp; Targets_Guideline'!$C$53:$I$53,
      0
    )
  ),
0))</f>
        <v/>
      </c>
      <c r="AH193" s="105" t="str">
        <f>IF(A193&lt;&gt;"",COUNTIFS('QA Log'!D:D,A193,'QA Log'!M:M,"QQC",'QA Log'!L:L,"2. Hygiene and Sterilization",'QA Log'!Z:Z,"Approved"),"")</f>
        <v/>
      </c>
      <c r="AI193" s="102"/>
      <c r="AJ193" s="102"/>
      <c r="AK193" s="103" t="str">
        <f t="shared" si="2"/>
        <v/>
      </c>
      <c r="AL193" s="102"/>
      <c r="AM193" s="102"/>
      <c r="AN193" s="102"/>
      <c r="AO193" s="106"/>
      <c r="AP193" s="103"/>
      <c r="AQ193" s="102"/>
      <c r="AR193" s="102"/>
      <c r="AS193" s="102"/>
      <c r="AT193" s="107"/>
      <c r="AU193" s="102" t="str">
        <f t="shared" si="3"/>
        <v/>
      </c>
      <c r="AV193" s="102" t="str">
        <f t="shared" si="4"/>
        <v/>
      </c>
      <c r="AW193" s="102" t="str">
        <f t="shared" si="5"/>
        <v/>
      </c>
      <c r="AX193" s="102" t="str">
        <f t="shared" si="6"/>
        <v/>
      </c>
      <c r="AY193" s="107" t="str">
        <f t="shared" si="7"/>
        <v/>
      </c>
      <c r="AZ193" s="108" t="str">
        <f t="shared" si="8"/>
        <v/>
      </c>
      <c r="BA193" s="108" t="str">
        <f t="shared" si="9"/>
        <v/>
      </c>
      <c r="BB193" s="109" t="str">
        <f t="shared" si="10"/>
        <v/>
      </c>
      <c r="BC193" s="108" t="str">
        <f t="shared" si="11"/>
        <v/>
      </c>
      <c r="BD193" s="108" t="str">
        <f t="shared" si="12"/>
        <v/>
      </c>
      <c r="BE193" s="109" t="str">
        <f t="shared" si="13"/>
        <v/>
      </c>
      <c r="BF193" s="110" t="str">
        <f t="shared" si="14"/>
        <v/>
      </c>
      <c r="BG193" s="111"/>
    </row>
    <row r="194" spans="1:59" ht="12.75">
      <c r="A194" s="101"/>
      <c r="B194" s="102"/>
      <c r="C194" s="102" t="e">
        <f t="array" aca="1" ref="C194" ca="1">_xludf.XLOOKUP(A194,'QA Log'!D:D,'QA Log'!F:F,"")</f>
        <v>#NAME?</v>
      </c>
      <c r="D194" s="102"/>
      <c r="E194" s="102" t="e">
        <f t="array" aca="1" ref="E194" ca="1">_xludf.XLOOKUP(A194,'QA Log'!D:D,'QA Log'!G:G,"")</f>
        <v>#NAME?</v>
      </c>
      <c r="F194" s="103"/>
      <c r="G194" s="104"/>
      <c r="H194" s="104"/>
      <c r="I194" s="103" t="str">
        <f t="shared" si="0"/>
        <v/>
      </c>
      <c r="J194" s="102"/>
      <c r="K194" s="102"/>
      <c r="L194" s="119" t="str">
        <f t="array" ref="L194">IF(OR($B194="",$D194=""),"",
IFERROR(
  INDEX(
    'Tools &amp; Targets_Guideline'!$C$54:$I$269,
    MATCH(
      1,
      ('Tools &amp; Targets_Guideline'!$A$54:$A$269=$B194)*
      ('Tools &amp; Targets_Guideline'!$B$54:$B$269="ANC"),
      0
    ),
    MATCH(
      _xludf.IFNA(
        VLOOKUP($D194,{"PH","Provincial Hospital (H2)";"DH","District Hospital (H3)";"RH","Regional / National Hospital (H1)"},2,0),
        $D194
      ),
      'Tools &amp; Targets_Guideline'!$C$53:$I$53,
      0
    )
  ),
0))</f>
        <v/>
      </c>
      <c r="M194" s="105"/>
      <c r="N194" s="119" t="str">
        <f t="array" ref="N194">IF(OR($B194="",$D194=""),"",
IFERROR(
  INDEX(
    'Tools &amp; Targets_Guideline'!$C$54:$I$269,
    MATCH(
      1,
      ('Tools &amp; Targets_Guideline'!$A$54:$A$269=$B194)*
      ('Tools &amp; Targets_Guideline'!$B$54:$B$269="PNC"),
      0
    ),
    MATCH(
      _xludf.IFNA(
        VLOOKUP($D194,{"PH","Provincial Hospital (H2)";"DH","District Hospital (H3)";"RH","Regional / National Hospital (H1)"},2,0),
        $D194
      ),
      'Tools &amp; Targets_Guideline'!$C$53:$I$53,
      0
    )
  ),
0))</f>
        <v/>
      </c>
      <c r="O194" s="105"/>
      <c r="P194" s="119" t="str">
        <f t="array" ref="P194">IF(OR($B194="",$D194=""),"",
IFERROR(
  INDEX(
    'Tools &amp; Targets_Guideline'!$C$54:$I$269,
    MATCH(
      1,
      ('Tools &amp; Targets_Guideline'!$A$54:$A$269=$B194)*
      ('Tools &amp; Targets_Guideline'!$B$54:$B$269="Delivery"),
      0
    ),
    MATCH(
      _xludf.IFNA(
        VLOOKUP($D194,{"PH","Provincial Hospital (H2)";"DH","District Hospital (H3)";"RH","Regional / National Hospital (H1)"},2,0),
        $D194
      ),
      'Tools &amp; Targets_Guideline'!$C$53:$I$53,
      0
    )
  ),
0))</f>
        <v/>
      </c>
      <c r="Q194" s="105"/>
      <c r="R194" s="119" t="str">
        <f t="array" ref="R194">IF(OR($B194="",$D194=""),"",
IFERROR(
  INDEX(
    'Tools &amp; Targets_Guideline'!$C$54:$I$269,
    MATCH(
      1,
      ('Tools &amp; Targets_Guideline'!$A$54:$A$269=$B194)*
      ('Tools &amp; Targets_Guideline'!$B$54:$B$269="TT"),
      0
    ),
    MATCH(
      _xludf.IFNA(
        VLOOKUP($D194,{"PH","Provincial Hospital (H2)";"DH","District Hospital (H3)";"RH","Regional / National Hospital (H1)"},2,0),
        $D194
      ),
      'Tools &amp; Targets_Guideline'!$C$53:$I$53,
      0
    )
  ),
0))</f>
        <v/>
      </c>
      <c r="S194" s="105"/>
      <c r="T194" s="102"/>
      <c r="U194" s="106"/>
      <c r="V194" s="102" t="str">
        <f t="shared" si="1"/>
        <v/>
      </c>
      <c r="W194" s="102"/>
      <c r="X194" s="102"/>
      <c r="Y194" s="119" t="str">
        <f t="array" ref="Y194">IF(OR($B194="",$D194=""),"",
IFERROR(
  INDEX(
    'Tools &amp; Targets_Guideline'!$C$54:$I$269,
    MATCH(
      1,
      ('Tools &amp; Targets_Guideline'!$A$54:$A$269=$B194)*
      ('Tools &amp; Targets_Guideline'!$B$54:$B$269="GM"),
      0
    ),
    MATCH(
      _xludf.IFNA(
        VLOOKUP($D194,{"PH","Provincial Hospital (H2)";"DH","District Hospital (H3)";"RH","Regional / National Hospital (H1)"},2,0),
        $D194
      ),
      'Tools &amp; Targets_Guideline'!$C$53:$I$53,
      0
    )
  ),
0))</f>
        <v/>
      </c>
      <c r="Z194" s="105"/>
      <c r="AA194" s="119" t="str">
        <f t="array" ref="AA194">IF(OR($B194="",$D194=""),"",
IFERROR(
  INDEX(
    'Tools &amp; Targets_Guideline'!$C$54:$I$269,
    MATCH(
      1,
      ('Tools &amp; Targets_Guideline'!$A$54:$A$269=$B194)*
      ('Tools &amp; Targets_Guideline'!$B$54:$B$269="Penta"),
      0
    ),
    MATCH(
      _xludf.IFNA(
        VLOOKUP($D194,{"PH","Provincial Hospital (H2)";"DH","District Hospital (H3)";"RH","Regional / National Hospital (H1)"},2,0),
        $D194
      ),
      'Tools &amp; Targets_Guideline'!$C$53:$I$53,
      0
    )
  ),
0))</f>
        <v/>
      </c>
      <c r="AB194" s="105"/>
      <c r="AC194" s="119" t="str">
        <f t="array" ref="AC194">IF(OR($B194="",$D194=""),"",
IFERROR(
  INDEX(
    'Tools &amp; Targets_Guideline'!$C$54:$I$269,
    MATCH(
      1,
      ('Tools &amp; Targets_Guideline'!$A$54:$A$269=$B194)*
      ('Tools &amp; Targets_Guideline'!$B$54:$B$269="TB"),
      0
    ),
    MATCH(
      _xludf.IFNA(
        VLOOKUP($D194,{"PH","Provincial Hospital (H2)";"DH","District Hospital (H3)";"RH","Regional / National Hospital (H1)"},2,0),
        $D194
      ),
      'Tools &amp; Targets_Guideline'!$C$53:$I$53,
      0
    )
  ),
0))</f>
        <v/>
      </c>
      <c r="AD194" s="105"/>
      <c r="AE194" s="119" t="str">
        <f t="array" ref="AE194">IF(OR($B194="",$D194=""),"",
IFERROR(
  INDEX(
    'Tools &amp; Targets_Guideline'!$C$54:$I$269,
    MATCH(
      1,
      ('Tools &amp; Targets_Guideline'!$A$54:$A$269=$B194)*
      ('Tools &amp; Targets_Guideline'!$B$54:$B$269="U5 Morbidity"),
      0
    ),
    MATCH(
      _xludf.IFNA(
        VLOOKUP($D194,{"PH","Provincial Hospital (H2)";"DH","District Hospital (H3)";"RH","Regional / National Hospital (H1)"},2,0),
        $D194
      ),
      'Tools &amp; Targets_Guideline'!$C$53:$I$53,
      0
    )
  ),
0))</f>
        <v/>
      </c>
      <c r="AF194" s="105"/>
      <c r="AG194" s="119" t="str">
        <f t="array" ref="AG194">IF(OR($B194="",$D194=""),"",
IFERROR(
  INDEX(
    'Tools &amp; Targets_Guideline'!$C$54:$I$269,
    MATCH(
      1,
      ('Tools &amp; Targets_Guideline'!$A$54:$A$269=$B194)*
      ('Tools &amp; Targets_Guideline'!$B$54:$B$269="C-Section"),
      0
    ),
    MATCH(
      _xludf.IFNA(
        VLOOKUP($D194,{"PH","Provincial Hospital (H2)";"DH","District Hospital (H3)";"RH","Regional / National Hospital (H1)"},2,0),
        $D194
      ),
      'Tools &amp; Targets_Guideline'!$C$53:$I$53,
      0
    )
  ),
0))</f>
        <v/>
      </c>
      <c r="AH194" s="105" t="str">
        <f>IF(A194&lt;&gt;"",COUNTIFS('QA Log'!D:D,A194,'QA Log'!M:M,"QQC",'QA Log'!L:L,"2. Hygiene and Sterilization",'QA Log'!Z:Z,"Approved"),"")</f>
        <v/>
      </c>
      <c r="AI194" s="102"/>
      <c r="AJ194" s="102"/>
      <c r="AK194" s="103" t="str">
        <f t="shared" si="2"/>
        <v/>
      </c>
      <c r="AL194" s="102"/>
      <c r="AM194" s="102"/>
      <c r="AN194" s="102"/>
      <c r="AO194" s="106"/>
      <c r="AP194" s="103"/>
      <c r="AQ194" s="102"/>
      <c r="AR194" s="102"/>
      <c r="AS194" s="102"/>
      <c r="AT194" s="107"/>
      <c r="AU194" s="102" t="str">
        <f t="shared" si="3"/>
        <v/>
      </c>
      <c r="AV194" s="102" t="str">
        <f t="shared" si="4"/>
        <v/>
      </c>
      <c r="AW194" s="102" t="str">
        <f t="shared" si="5"/>
        <v/>
      </c>
      <c r="AX194" s="102" t="str">
        <f t="shared" si="6"/>
        <v/>
      </c>
      <c r="AY194" s="107" t="str">
        <f t="shared" si="7"/>
        <v/>
      </c>
      <c r="AZ194" s="108" t="str">
        <f t="shared" si="8"/>
        <v/>
      </c>
      <c r="BA194" s="108" t="str">
        <f t="shared" si="9"/>
        <v/>
      </c>
      <c r="BB194" s="109" t="str">
        <f t="shared" si="10"/>
        <v/>
      </c>
      <c r="BC194" s="108" t="str">
        <f t="shared" si="11"/>
        <v/>
      </c>
      <c r="BD194" s="108" t="str">
        <f t="shared" si="12"/>
        <v/>
      </c>
      <c r="BE194" s="109" t="str">
        <f t="shared" si="13"/>
        <v/>
      </c>
      <c r="BF194" s="110" t="str">
        <f t="shared" si="14"/>
        <v/>
      </c>
      <c r="BG194" s="111"/>
    </row>
    <row r="195" spans="1:59" ht="12.75">
      <c r="A195" s="101"/>
      <c r="B195" s="102"/>
      <c r="C195" s="102" t="e">
        <f t="array" aca="1" ref="C195" ca="1">_xludf.XLOOKUP(A195,'QA Log'!D:D,'QA Log'!F:F,"")</f>
        <v>#NAME?</v>
      </c>
      <c r="D195" s="102"/>
      <c r="E195" s="102" t="e">
        <f t="array" aca="1" ref="E195" ca="1">_xludf.XLOOKUP(A195,'QA Log'!D:D,'QA Log'!G:G,"")</f>
        <v>#NAME?</v>
      </c>
      <c r="F195" s="103"/>
      <c r="G195" s="104"/>
      <c r="H195" s="104"/>
      <c r="I195" s="103" t="str">
        <f t="shared" si="0"/>
        <v/>
      </c>
      <c r="J195" s="102"/>
      <c r="K195" s="102"/>
      <c r="L195" s="119" t="str">
        <f t="array" ref="L195">IF(OR($B195="",$D195=""),"",
IFERROR(
  INDEX(
    'Tools &amp; Targets_Guideline'!$C$54:$I$269,
    MATCH(
      1,
      ('Tools &amp; Targets_Guideline'!$A$54:$A$269=$B195)*
      ('Tools &amp; Targets_Guideline'!$B$54:$B$269="ANC"),
      0
    ),
    MATCH(
      _xludf.IFNA(
        VLOOKUP($D195,{"PH","Provincial Hospital (H2)";"DH","District Hospital (H3)";"RH","Regional / National Hospital (H1)"},2,0),
        $D195
      ),
      'Tools &amp; Targets_Guideline'!$C$53:$I$53,
      0
    )
  ),
0))</f>
        <v/>
      </c>
      <c r="M195" s="105"/>
      <c r="N195" s="119" t="str">
        <f t="array" ref="N195">IF(OR($B195="",$D195=""),"",
IFERROR(
  INDEX(
    'Tools &amp; Targets_Guideline'!$C$54:$I$269,
    MATCH(
      1,
      ('Tools &amp; Targets_Guideline'!$A$54:$A$269=$B195)*
      ('Tools &amp; Targets_Guideline'!$B$54:$B$269="PNC"),
      0
    ),
    MATCH(
      _xludf.IFNA(
        VLOOKUP($D195,{"PH","Provincial Hospital (H2)";"DH","District Hospital (H3)";"RH","Regional / National Hospital (H1)"},2,0),
        $D195
      ),
      'Tools &amp; Targets_Guideline'!$C$53:$I$53,
      0
    )
  ),
0))</f>
        <v/>
      </c>
      <c r="O195" s="105"/>
      <c r="P195" s="119" t="str">
        <f t="array" ref="P195">IF(OR($B195="",$D195=""),"",
IFERROR(
  INDEX(
    'Tools &amp; Targets_Guideline'!$C$54:$I$269,
    MATCH(
      1,
      ('Tools &amp; Targets_Guideline'!$A$54:$A$269=$B195)*
      ('Tools &amp; Targets_Guideline'!$B$54:$B$269="Delivery"),
      0
    ),
    MATCH(
      _xludf.IFNA(
        VLOOKUP($D195,{"PH","Provincial Hospital (H2)";"DH","District Hospital (H3)";"RH","Regional / National Hospital (H1)"},2,0),
        $D195
      ),
      'Tools &amp; Targets_Guideline'!$C$53:$I$53,
      0
    )
  ),
0))</f>
        <v/>
      </c>
      <c r="Q195" s="105"/>
      <c r="R195" s="119" t="str">
        <f t="array" ref="R195">IF(OR($B195="",$D195=""),"",
IFERROR(
  INDEX(
    'Tools &amp; Targets_Guideline'!$C$54:$I$269,
    MATCH(
      1,
      ('Tools &amp; Targets_Guideline'!$A$54:$A$269=$B195)*
      ('Tools &amp; Targets_Guideline'!$B$54:$B$269="TT"),
      0
    ),
    MATCH(
      _xludf.IFNA(
        VLOOKUP($D195,{"PH","Provincial Hospital (H2)";"DH","District Hospital (H3)";"RH","Regional / National Hospital (H1)"},2,0),
        $D195
      ),
      'Tools &amp; Targets_Guideline'!$C$53:$I$53,
      0
    )
  ),
0))</f>
        <v/>
      </c>
      <c r="S195" s="105"/>
      <c r="T195" s="102"/>
      <c r="U195" s="106"/>
      <c r="V195" s="102" t="str">
        <f t="shared" si="1"/>
        <v/>
      </c>
      <c r="W195" s="102"/>
      <c r="X195" s="102"/>
      <c r="Y195" s="119" t="str">
        <f t="array" ref="Y195">IF(OR($B195="",$D195=""),"",
IFERROR(
  INDEX(
    'Tools &amp; Targets_Guideline'!$C$54:$I$269,
    MATCH(
      1,
      ('Tools &amp; Targets_Guideline'!$A$54:$A$269=$B195)*
      ('Tools &amp; Targets_Guideline'!$B$54:$B$269="GM"),
      0
    ),
    MATCH(
      _xludf.IFNA(
        VLOOKUP($D195,{"PH","Provincial Hospital (H2)";"DH","District Hospital (H3)";"RH","Regional / National Hospital (H1)"},2,0),
        $D195
      ),
      'Tools &amp; Targets_Guideline'!$C$53:$I$53,
      0
    )
  ),
0))</f>
        <v/>
      </c>
      <c r="Z195" s="105"/>
      <c r="AA195" s="119" t="str">
        <f t="array" ref="AA195">IF(OR($B195="",$D195=""),"",
IFERROR(
  INDEX(
    'Tools &amp; Targets_Guideline'!$C$54:$I$269,
    MATCH(
      1,
      ('Tools &amp; Targets_Guideline'!$A$54:$A$269=$B195)*
      ('Tools &amp; Targets_Guideline'!$B$54:$B$269="Penta"),
      0
    ),
    MATCH(
      _xludf.IFNA(
        VLOOKUP($D195,{"PH","Provincial Hospital (H2)";"DH","District Hospital (H3)";"RH","Regional / National Hospital (H1)"},2,0),
        $D195
      ),
      'Tools &amp; Targets_Guideline'!$C$53:$I$53,
      0
    )
  ),
0))</f>
        <v/>
      </c>
      <c r="AB195" s="105"/>
      <c r="AC195" s="119" t="str">
        <f t="array" ref="AC195">IF(OR($B195="",$D195=""),"",
IFERROR(
  INDEX(
    'Tools &amp; Targets_Guideline'!$C$54:$I$269,
    MATCH(
      1,
      ('Tools &amp; Targets_Guideline'!$A$54:$A$269=$B195)*
      ('Tools &amp; Targets_Guideline'!$B$54:$B$269="TB"),
      0
    ),
    MATCH(
      _xludf.IFNA(
        VLOOKUP($D195,{"PH","Provincial Hospital (H2)";"DH","District Hospital (H3)";"RH","Regional / National Hospital (H1)"},2,0),
        $D195
      ),
      'Tools &amp; Targets_Guideline'!$C$53:$I$53,
      0
    )
  ),
0))</f>
        <v/>
      </c>
      <c r="AD195" s="105"/>
      <c r="AE195" s="119" t="str">
        <f t="array" ref="AE195">IF(OR($B195="",$D195=""),"",
IFERROR(
  INDEX(
    'Tools &amp; Targets_Guideline'!$C$54:$I$269,
    MATCH(
      1,
      ('Tools &amp; Targets_Guideline'!$A$54:$A$269=$B195)*
      ('Tools &amp; Targets_Guideline'!$B$54:$B$269="U5 Morbidity"),
      0
    ),
    MATCH(
      _xludf.IFNA(
        VLOOKUP($D195,{"PH","Provincial Hospital (H2)";"DH","District Hospital (H3)";"RH","Regional / National Hospital (H1)"},2,0),
        $D195
      ),
      'Tools &amp; Targets_Guideline'!$C$53:$I$53,
      0
    )
  ),
0))</f>
        <v/>
      </c>
      <c r="AF195" s="105"/>
      <c r="AG195" s="119" t="str">
        <f t="array" ref="AG195">IF(OR($B195="",$D195=""),"",
IFERROR(
  INDEX(
    'Tools &amp; Targets_Guideline'!$C$54:$I$269,
    MATCH(
      1,
      ('Tools &amp; Targets_Guideline'!$A$54:$A$269=$B195)*
      ('Tools &amp; Targets_Guideline'!$B$54:$B$269="C-Section"),
      0
    ),
    MATCH(
      _xludf.IFNA(
        VLOOKUP($D195,{"PH","Provincial Hospital (H2)";"DH","District Hospital (H3)";"RH","Regional / National Hospital (H1)"},2,0),
        $D195
      ),
      'Tools &amp; Targets_Guideline'!$C$53:$I$53,
      0
    )
  ),
0))</f>
        <v/>
      </c>
      <c r="AH195" s="105" t="str">
        <f>IF(A195&lt;&gt;"",COUNTIFS('QA Log'!D:D,A195,'QA Log'!M:M,"QQC",'QA Log'!L:L,"2. Hygiene and Sterilization",'QA Log'!Z:Z,"Approved"),"")</f>
        <v/>
      </c>
      <c r="AI195" s="102"/>
      <c r="AJ195" s="102"/>
      <c r="AK195" s="103" t="str">
        <f t="shared" si="2"/>
        <v/>
      </c>
      <c r="AL195" s="102"/>
      <c r="AM195" s="102"/>
      <c r="AN195" s="102"/>
      <c r="AO195" s="106"/>
      <c r="AP195" s="103"/>
      <c r="AQ195" s="102"/>
      <c r="AR195" s="102"/>
      <c r="AS195" s="102"/>
      <c r="AT195" s="107"/>
      <c r="AU195" s="102" t="str">
        <f t="shared" si="3"/>
        <v/>
      </c>
      <c r="AV195" s="102" t="str">
        <f t="shared" si="4"/>
        <v/>
      </c>
      <c r="AW195" s="102" t="str">
        <f t="shared" si="5"/>
        <v/>
      </c>
      <c r="AX195" s="102" t="str">
        <f t="shared" si="6"/>
        <v/>
      </c>
      <c r="AY195" s="107" t="str">
        <f t="shared" si="7"/>
        <v/>
      </c>
      <c r="AZ195" s="108" t="str">
        <f t="shared" si="8"/>
        <v/>
      </c>
      <c r="BA195" s="108" t="str">
        <f t="shared" si="9"/>
        <v/>
      </c>
      <c r="BB195" s="109" t="str">
        <f t="shared" si="10"/>
        <v/>
      </c>
      <c r="BC195" s="108" t="str">
        <f t="shared" si="11"/>
        <v/>
      </c>
      <c r="BD195" s="108" t="str">
        <f t="shared" si="12"/>
        <v/>
      </c>
      <c r="BE195" s="109" t="str">
        <f t="shared" si="13"/>
        <v/>
      </c>
      <c r="BF195" s="110" t="str">
        <f t="shared" si="14"/>
        <v/>
      </c>
      <c r="BG195" s="111"/>
    </row>
    <row r="196" spans="1:59" ht="12.75">
      <c r="A196" s="101"/>
      <c r="B196" s="102"/>
      <c r="C196" s="102" t="e">
        <f t="array" aca="1" ref="C196" ca="1">_xludf.XLOOKUP(A196,'QA Log'!D:D,'QA Log'!F:F,"")</f>
        <v>#NAME?</v>
      </c>
      <c r="D196" s="102"/>
      <c r="E196" s="102" t="e">
        <f t="array" aca="1" ref="E196" ca="1">_xludf.XLOOKUP(A196,'QA Log'!D:D,'QA Log'!G:G,"")</f>
        <v>#NAME?</v>
      </c>
      <c r="F196" s="103"/>
      <c r="G196" s="104"/>
      <c r="H196" s="104"/>
      <c r="I196" s="103" t="str">
        <f t="shared" si="0"/>
        <v/>
      </c>
      <c r="J196" s="102"/>
      <c r="K196" s="102"/>
      <c r="L196" s="119" t="str">
        <f t="array" ref="L196">IF(OR($B196="",$D196=""),"",
IFERROR(
  INDEX(
    'Tools &amp; Targets_Guideline'!$C$54:$I$269,
    MATCH(
      1,
      ('Tools &amp; Targets_Guideline'!$A$54:$A$269=$B196)*
      ('Tools &amp; Targets_Guideline'!$B$54:$B$269="ANC"),
      0
    ),
    MATCH(
      _xludf.IFNA(
        VLOOKUP($D196,{"PH","Provincial Hospital (H2)";"DH","District Hospital (H3)";"RH","Regional / National Hospital (H1)"},2,0),
        $D196
      ),
      'Tools &amp; Targets_Guideline'!$C$53:$I$53,
      0
    )
  ),
0))</f>
        <v/>
      </c>
      <c r="M196" s="105"/>
      <c r="N196" s="119" t="str">
        <f t="array" ref="N196">IF(OR($B196="",$D196=""),"",
IFERROR(
  INDEX(
    'Tools &amp; Targets_Guideline'!$C$54:$I$269,
    MATCH(
      1,
      ('Tools &amp; Targets_Guideline'!$A$54:$A$269=$B196)*
      ('Tools &amp; Targets_Guideline'!$B$54:$B$269="PNC"),
      0
    ),
    MATCH(
      _xludf.IFNA(
        VLOOKUP($D196,{"PH","Provincial Hospital (H2)";"DH","District Hospital (H3)";"RH","Regional / National Hospital (H1)"},2,0),
        $D196
      ),
      'Tools &amp; Targets_Guideline'!$C$53:$I$53,
      0
    )
  ),
0))</f>
        <v/>
      </c>
      <c r="O196" s="105"/>
      <c r="P196" s="119" t="str">
        <f t="array" ref="P196">IF(OR($B196="",$D196=""),"",
IFERROR(
  INDEX(
    'Tools &amp; Targets_Guideline'!$C$54:$I$269,
    MATCH(
      1,
      ('Tools &amp; Targets_Guideline'!$A$54:$A$269=$B196)*
      ('Tools &amp; Targets_Guideline'!$B$54:$B$269="Delivery"),
      0
    ),
    MATCH(
      _xludf.IFNA(
        VLOOKUP($D196,{"PH","Provincial Hospital (H2)";"DH","District Hospital (H3)";"RH","Regional / National Hospital (H1)"},2,0),
        $D196
      ),
      'Tools &amp; Targets_Guideline'!$C$53:$I$53,
      0
    )
  ),
0))</f>
        <v/>
      </c>
      <c r="Q196" s="105"/>
      <c r="R196" s="119" t="str">
        <f t="array" ref="R196">IF(OR($B196="",$D196=""),"",
IFERROR(
  INDEX(
    'Tools &amp; Targets_Guideline'!$C$54:$I$269,
    MATCH(
      1,
      ('Tools &amp; Targets_Guideline'!$A$54:$A$269=$B196)*
      ('Tools &amp; Targets_Guideline'!$B$54:$B$269="TT"),
      0
    ),
    MATCH(
      _xludf.IFNA(
        VLOOKUP($D196,{"PH","Provincial Hospital (H2)";"DH","District Hospital (H3)";"RH","Regional / National Hospital (H1)"},2,0),
        $D196
      ),
      'Tools &amp; Targets_Guideline'!$C$53:$I$53,
      0
    )
  ),
0))</f>
        <v/>
      </c>
      <c r="S196" s="105"/>
      <c r="T196" s="102"/>
      <c r="U196" s="106"/>
      <c r="V196" s="102" t="str">
        <f t="shared" si="1"/>
        <v/>
      </c>
      <c r="W196" s="102"/>
      <c r="X196" s="102"/>
      <c r="Y196" s="119" t="str">
        <f t="array" ref="Y196">IF(OR($B196="",$D196=""),"",
IFERROR(
  INDEX(
    'Tools &amp; Targets_Guideline'!$C$54:$I$269,
    MATCH(
      1,
      ('Tools &amp; Targets_Guideline'!$A$54:$A$269=$B196)*
      ('Tools &amp; Targets_Guideline'!$B$54:$B$269="GM"),
      0
    ),
    MATCH(
      _xludf.IFNA(
        VLOOKUP($D196,{"PH","Provincial Hospital (H2)";"DH","District Hospital (H3)";"RH","Regional / National Hospital (H1)"},2,0),
        $D196
      ),
      'Tools &amp; Targets_Guideline'!$C$53:$I$53,
      0
    )
  ),
0))</f>
        <v/>
      </c>
      <c r="Z196" s="105"/>
      <c r="AA196" s="119" t="str">
        <f t="array" ref="AA196">IF(OR($B196="",$D196=""),"",
IFERROR(
  INDEX(
    'Tools &amp; Targets_Guideline'!$C$54:$I$269,
    MATCH(
      1,
      ('Tools &amp; Targets_Guideline'!$A$54:$A$269=$B196)*
      ('Tools &amp; Targets_Guideline'!$B$54:$B$269="Penta"),
      0
    ),
    MATCH(
      _xludf.IFNA(
        VLOOKUP($D196,{"PH","Provincial Hospital (H2)";"DH","District Hospital (H3)";"RH","Regional / National Hospital (H1)"},2,0),
        $D196
      ),
      'Tools &amp; Targets_Guideline'!$C$53:$I$53,
      0
    )
  ),
0))</f>
        <v/>
      </c>
      <c r="AB196" s="105"/>
      <c r="AC196" s="119" t="str">
        <f t="array" ref="AC196">IF(OR($B196="",$D196=""),"",
IFERROR(
  INDEX(
    'Tools &amp; Targets_Guideline'!$C$54:$I$269,
    MATCH(
      1,
      ('Tools &amp; Targets_Guideline'!$A$54:$A$269=$B196)*
      ('Tools &amp; Targets_Guideline'!$B$54:$B$269="TB"),
      0
    ),
    MATCH(
      _xludf.IFNA(
        VLOOKUP($D196,{"PH","Provincial Hospital (H2)";"DH","District Hospital (H3)";"RH","Regional / National Hospital (H1)"},2,0),
        $D196
      ),
      'Tools &amp; Targets_Guideline'!$C$53:$I$53,
      0
    )
  ),
0))</f>
        <v/>
      </c>
      <c r="AD196" s="105"/>
      <c r="AE196" s="119" t="str">
        <f t="array" ref="AE196">IF(OR($B196="",$D196=""),"",
IFERROR(
  INDEX(
    'Tools &amp; Targets_Guideline'!$C$54:$I$269,
    MATCH(
      1,
      ('Tools &amp; Targets_Guideline'!$A$54:$A$269=$B196)*
      ('Tools &amp; Targets_Guideline'!$B$54:$B$269="U5 Morbidity"),
      0
    ),
    MATCH(
      _xludf.IFNA(
        VLOOKUP($D196,{"PH","Provincial Hospital (H2)";"DH","District Hospital (H3)";"RH","Regional / National Hospital (H1)"},2,0),
        $D196
      ),
      'Tools &amp; Targets_Guideline'!$C$53:$I$53,
      0
    )
  ),
0))</f>
        <v/>
      </c>
      <c r="AF196" s="105"/>
      <c r="AG196" s="119" t="str">
        <f t="array" ref="AG196">IF(OR($B196="",$D196=""),"",
IFERROR(
  INDEX(
    'Tools &amp; Targets_Guideline'!$C$54:$I$269,
    MATCH(
      1,
      ('Tools &amp; Targets_Guideline'!$A$54:$A$269=$B196)*
      ('Tools &amp; Targets_Guideline'!$B$54:$B$269="C-Section"),
      0
    ),
    MATCH(
      _xludf.IFNA(
        VLOOKUP($D196,{"PH","Provincial Hospital (H2)";"DH","District Hospital (H3)";"RH","Regional / National Hospital (H1)"},2,0),
        $D196
      ),
      'Tools &amp; Targets_Guideline'!$C$53:$I$53,
      0
    )
  ),
0))</f>
        <v/>
      </c>
      <c r="AH196" s="105" t="str">
        <f>IF(A196&lt;&gt;"",COUNTIFS('QA Log'!D:D,A196,'QA Log'!M:M,"QQC",'QA Log'!L:L,"2. Hygiene and Sterilization",'QA Log'!Z:Z,"Approved"),"")</f>
        <v/>
      </c>
      <c r="AI196" s="102"/>
      <c r="AJ196" s="102"/>
      <c r="AK196" s="103" t="str">
        <f t="shared" si="2"/>
        <v/>
      </c>
      <c r="AL196" s="102"/>
      <c r="AM196" s="102"/>
      <c r="AN196" s="102"/>
      <c r="AO196" s="106"/>
      <c r="AP196" s="103"/>
      <c r="AQ196" s="102"/>
      <c r="AR196" s="102"/>
      <c r="AS196" s="102"/>
      <c r="AT196" s="107"/>
      <c r="AU196" s="102" t="str">
        <f t="shared" si="3"/>
        <v/>
      </c>
      <c r="AV196" s="102" t="str">
        <f t="shared" si="4"/>
        <v/>
      </c>
      <c r="AW196" s="102" t="str">
        <f t="shared" si="5"/>
        <v/>
      </c>
      <c r="AX196" s="102" t="str">
        <f t="shared" si="6"/>
        <v/>
      </c>
      <c r="AY196" s="107" t="str">
        <f t="shared" si="7"/>
        <v/>
      </c>
      <c r="AZ196" s="108" t="str">
        <f t="shared" si="8"/>
        <v/>
      </c>
      <c r="BA196" s="108" t="str">
        <f t="shared" si="9"/>
        <v/>
      </c>
      <c r="BB196" s="109" t="str">
        <f t="shared" si="10"/>
        <v/>
      </c>
      <c r="BC196" s="108" t="str">
        <f t="shared" si="11"/>
        <v/>
      </c>
      <c r="BD196" s="108" t="str">
        <f t="shared" si="12"/>
        <v/>
      </c>
      <c r="BE196" s="109" t="str">
        <f t="shared" si="13"/>
        <v/>
      </c>
      <c r="BF196" s="110" t="str">
        <f t="shared" si="14"/>
        <v/>
      </c>
      <c r="BG196" s="111"/>
    </row>
    <row r="197" spans="1:59" ht="12.75">
      <c r="A197" s="101"/>
      <c r="B197" s="102"/>
      <c r="C197" s="102" t="e">
        <f t="array" aca="1" ref="C197" ca="1">_xludf.XLOOKUP(A197,'QA Log'!D:D,'QA Log'!F:F,"")</f>
        <v>#NAME?</v>
      </c>
      <c r="D197" s="102"/>
      <c r="E197" s="102" t="e">
        <f t="array" aca="1" ref="E197" ca="1">_xludf.XLOOKUP(A197,'QA Log'!D:D,'QA Log'!G:G,"")</f>
        <v>#NAME?</v>
      </c>
      <c r="F197" s="103"/>
      <c r="G197" s="104"/>
      <c r="H197" s="104"/>
      <c r="I197" s="103" t="str">
        <f t="shared" si="0"/>
        <v/>
      </c>
      <c r="J197" s="102"/>
      <c r="K197" s="102"/>
      <c r="L197" s="119" t="str">
        <f t="array" ref="L197">IF(OR($B197="",$D197=""),"",
IFERROR(
  INDEX(
    'Tools &amp; Targets_Guideline'!$C$54:$I$269,
    MATCH(
      1,
      ('Tools &amp; Targets_Guideline'!$A$54:$A$269=$B197)*
      ('Tools &amp; Targets_Guideline'!$B$54:$B$269="ANC"),
      0
    ),
    MATCH(
      _xludf.IFNA(
        VLOOKUP($D197,{"PH","Provincial Hospital (H2)";"DH","District Hospital (H3)";"RH","Regional / National Hospital (H1)"},2,0),
        $D197
      ),
      'Tools &amp; Targets_Guideline'!$C$53:$I$53,
      0
    )
  ),
0))</f>
        <v/>
      </c>
      <c r="M197" s="105"/>
      <c r="N197" s="119" t="str">
        <f t="array" ref="N197">IF(OR($B197="",$D197=""),"",
IFERROR(
  INDEX(
    'Tools &amp; Targets_Guideline'!$C$54:$I$269,
    MATCH(
      1,
      ('Tools &amp; Targets_Guideline'!$A$54:$A$269=$B197)*
      ('Tools &amp; Targets_Guideline'!$B$54:$B$269="PNC"),
      0
    ),
    MATCH(
      _xludf.IFNA(
        VLOOKUP($D197,{"PH","Provincial Hospital (H2)";"DH","District Hospital (H3)";"RH","Regional / National Hospital (H1)"},2,0),
        $D197
      ),
      'Tools &amp; Targets_Guideline'!$C$53:$I$53,
      0
    )
  ),
0))</f>
        <v/>
      </c>
      <c r="O197" s="105"/>
      <c r="P197" s="119" t="str">
        <f t="array" ref="P197">IF(OR($B197="",$D197=""),"",
IFERROR(
  INDEX(
    'Tools &amp; Targets_Guideline'!$C$54:$I$269,
    MATCH(
      1,
      ('Tools &amp; Targets_Guideline'!$A$54:$A$269=$B197)*
      ('Tools &amp; Targets_Guideline'!$B$54:$B$269="Delivery"),
      0
    ),
    MATCH(
      _xludf.IFNA(
        VLOOKUP($D197,{"PH","Provincial Hospital (H2)";"DH","District Hospital (H3)";"RH","Regional / National Hospital (H1)"},2,0),
        $D197
      ),
      'Tools &amp; Targets_Guideline'!$C$53:$I$53,
      0
    )
  ),
0))</f>
        <v/>
      </c>
      <c r="Q197" s="105"/>
      <c r="R197" s="119" t="str">
        <f t="array" ref="R197">IF(OR($B197="",$D197=""),"",
IFERROR(
  INDEX(
    'Tools &amp; Targets_Guideline'!$C$54:$I$269,
    MATCH(
      1,
      ('Tools &amp; Targets_Guideline'!$A$54:$A$269=$B197)*
      ('Tools &amp; Targets_Guideline'!$B$54:$B$269="TT"),
      0
    ),
    MATCH(
      _xludf.IFNA(
        VLOOKUP($D197,{"PH","Provincial Hospital (H2)";"DH","District Hospital (H3)";"RH","Regional / National Hospital (H1)"},2,0),
        $D197
      ),
      'Tools &amp; Targets_Guideline'!$C$53:$I$53,
      0
    )
  ),
0))</f>
        <v/>
      </c>
      <c r="S197" s="105"/>
      <c r="T197" s="102"/>
      <c r="U197" s="106"/>
      <c r="V197" s="102" t="str">
        <f t="shared" si="1"/>
        <v/>
      </c>
      <c r="W197" s="102"/>
      <c r="X197" s="102"/>
      <c r="Y197" s="119" t="str">
        <f t="array" ref="Y197">IF(OR($B197="",$D197=""),"",
IFERROR(
  INDEX(
    'Tools &amp; Targets_Guideline'!$C$54:$I$269,
    MATCH(
      1,
      ('Tools &amp; Targets_Guideline'!$A$54:$A$269=$B197)*
      ('Tools &amp; Targets_Guideline'!$B$54:$B$269="GM"),
      0
    ),
    MATCH(
      _xludf.IFNA(
        VLOOKUP($D197,{"PH","Provincial Hospital (H2)";"DH","District Hospital (H3)";"RH","Regional / National Hospital (H1)"},2,0),
        $D197
      ),
      'Tools &amp; Targets_Guideline'!$C$53:$I$53,
      0
    )
  ),
0))</f>
        <v/>
      </c>
      <c r="Z197" s="105"/>
      <c r="AA197" s="119" t="str">
        <f t="array" ref="AA197">IF(OR($B197="",$D197=""),"",
IFERROR(
  INDEX(
    'Tools &amp; Targets_Guideline'!$C$54:$I$269,
    MATCH(
      1,
      ('Tools &amp; Targets_Guideline'!$A$54:$A$269=$B197)*
      ('Tools &amp; Targets_Guideline'!$B$54:$B$269="Penta"),
      0
    ),
    MATCH(
      _xludf.IFNA(
        VLOOKUP($D197,{"PH","Provincial Hospital (H2)";"DH","District Hospital (H3)";"RH","Regional / National Hospital (H1)"},2,0),
        $D197
      ),
      'Tools &amp; Targets_Guideline'!$C$53:$I$53,
      0
    )
  ),
0))</f>
        <v/>
      </c>
      <c r="AB197" s="105"/>
      <c r="AC197" s="119" t="str">
        <f t="array" ref="AC197">IF(OR($B197="",$D197=""),"",
IFERROR(
  INDEX(
    'Tools &amp; Targets_Guideline'!$C$54:$I$269,
    MATCH(
      1,
      ('Tools &amp; Targets_Guideline'!$A$54:$A$269=$B197)*
      ('Tools &amp; Targets_Guideline'!$B$54:$B$269="TB"),
      0
    ),
    MATCH(
      _xludf.IFNA(
        VLOOKUP($D197,{"PH","Provincial Hospital (H2)";"DH","District Hospital (H3)";"RH","Regional / National Hospital (H1)"},2,0),
        $D197
      ),
      'Tools &amp; Targets_Guideline'!$C$53:$I$53,
      0
    )
  ),
0))</f>
        <v/>
      </c>
      <c r="AD197" s="105"/>
      <c r="AE197" s="119" t="str">
        <f t="array" ref="AE197">IF(OR($B197="",$D197=""),"",
IFERROR(
  INDEX(
    'Tools &amp; Targets_Guideline'!$C$54:$I$269,
    MATCH(
      1,
      ('Tools &amp; Targets_Guideline'!$A$54:$A$269=$B197)*
      ('Tools &amp; Targets_Guideline'!$B$54:$B$269="U5 Morbidity"),
      0
    ),
    MATCH(
      _xludf.IFNA(
        VLOOKUP($D197,{"PH","Provincial Hospital (H2)";"DH","District Hospital (H3)";"RH","Regional / National Hospital (H1)"},2,0),
        $D197
      ),
      'Tools &amp; Targets_Guideline'!$C$53:$I$53,
      0
    )
  ),
0))</f>
        <v/>
      </c>
      <c r="AF197" s="105"/>
      <c r="AG197" s="119" t="str">
        <f t="array" ref="AG197">IF(OR($B197="",$D197=""),"",
IFERROR(
  INDEX(
    'Tools &amp; Targets_Guideline'!$C$54:$I$269,
    MATCH(
      1,
      ('Tools &amp; Targets_Guideline'!$A$54:$A$269=$B197)*
      ('Tools &amp; Targets_Guideline'!$B$54:$B$269="C-Section"),
      0
    ),
    MATCH(
      _xludf.IFNA(
        VLOOKUP($D197,{"PH","Provincial Hospital (H2)";"DH","District Hospital (H3)";"RH","Regional / National Hospital (H1)"},2,0),
        $D197
      ),
      'Tools &amp; Targets_Guideline'!$C$53:$I$53,
      0
    )
  ),
0))</f>
        <v/>
      </c>
      <c r="AH197" s="105" t="str">
        <f>IF(A197&lt;&gt;"",COUNTIFS('QA Log'!D:D,A197,'QA Log'!M:M,"QQC",'QA Log'!L:L,"2. Hygiene and Sterilization",'QA Log'!Z:Z,"Approved"),"")</f>
        <v/>
      </c>
      <c r="AI197" s="102"/>
      <c r="AJ197" s="102"/>
      <c r="AK197" s="103" t="str">
        <f t="shared" si="2"/>
        <v/>
      </c>
      <c r="AL197" s="102"/>
      <c r="AM197" s="102"/>
      <c r="AN197" s="102"/>
      <c r="AO197" s="106"/>
      <c r="AP197" s="103"/>
      <c r="AQ197" s="102"/>
      <c r="AR197" s="102"/>
      <c r="AS197" s="102"/>
      <c r="AT197" s="107"/>
      <c r="AU197" s="102" t="str">
        <f t="shared" si="3"/>
        <v/>
      </c>
      <c r="AV197" s="102" t="str">
        <f t="shared" si="4"/>
        <v/>
      </c>
      <c r="AW197" s="102" t="str">
        <f t="shared" si="5"/>
        <v/>
      </c>
      <c r="AX197" s="102" t="str">
        <f t="shared" si="6"/>
        <v/>
      </c>
      <c r="AY197" s="107" t="str">
        <f t="shared" si="7"/>
        <v/>
      </c>
      <c r="AZ197" s="108" t="str">
        <f t="shared" si="8"/>
        <v/>
      </c>
      <c r="BA197" s="108" t="str">
        <f t="shared" si="9"/>
        <v/>
      </c>
      <c r="BB197" s="109" t="str">
        <f t="shared" si="10"/>
        <v/>
      </c>
      <c r="BC197" s="108" t="str">
        <f t="shared" si="11"/>
        <v/>
      </c>
      <c r="BD197" s="108" t="str">
        <f t="shared" si="12"/>
        <v/>
      </c>
      <c r="BE197" s="109" t="str">
        <f t="shared" si="13"/>
        <v/>
      </c>
      <c r="BF197" s="110" t="str">
        <f t="shared" si="14"/>
        <v/>
      </c>
      <c r="BG197" s="111"/>
    </row>
    <row r="198" spans="1:59" ht="12.75">
      <c r="A198" s="101"/>
      <c r="B198" s="102"/>
      <c r="C198" s="102" t="e">
        <f t="array" aca="1" ref="C198" ca="1">_xludf.XLOOKUP(A198,'QA Log'!D:D,'QA Log'!F:F,"")</f>
        <v>#NAME?</v>
      </c>
      <c r="D198" s="102"/>
      <c r="E198" s="102" t="e">
        <f t="array" aca="1" ref="E198" ca="1">_xludf.XLOOKUP(A198,'QA Log'!D:D,'QA Log'!G:G,"")</f>
        <v>#NAME?</v>
      </c>
      <c r="F198" s="103"/>
      <c r="G198" s="104"/>
      <c r="H198" s="104"/>
      <c r="I198" s="103" t="str">
        <f t="shared" si="0"/>
        <v/>
      </c>
      <c r="J198" s="102"/>
      <c r="K198" s="102"/>
      <c r="L198" s="119" t="str">
        <f t="array" ref="L198">IF(OR($B198="",$D198=""),"",
IFERROR(
  INDEX(
    'Tools &amp; Targets_Guideline'!$C$54:$I$269,
    MATCH(
      1,
      ('Tools &amp; Targets_Guideline'!$A$54:$A$269=$B198)*
      ('Tools &amp; Targets_Guideline'!$B$54:$B$269="ANC"),
      0
    ),
    MATCH(
      _xludf.IFNA(
        VLOOKUP($D198,{"PH","Provincial Hospital (H2)";"DH","District Hospital (H3)";"RH","Regional / National Hospital (H1)"},2,0),
        $D198
      ),
      'Tools &amp; Targets_Guideline'!$C$53:$I$53,
      0
    )
  ),
0))</f>
        <v/>
      </c>
      <c r="M198" s="105"/>
      <c r="N198" s="119" t="str">
        <f t="array" ref="N198">IF(OR($B198="",$D198=""),"",
IFERROR(
  INDEX(
    'Tools &amp; Targets_Guideline'!$C$54:$I$269,
    MATCH(
      1,
      ('Tools &amp; Targets_Guideline'!$A$54:$A$269=$B198)*
      ('Tools &amp; Targets_Guideline'!$B$54:$B$269="PNC"),
      0
    ),
    MATCH(
      _xludf.IFNA(
        VLOOKUP($D198,{"PH","Provincial Hospital (H2)";"DH","District Hospital (H3)";"RH","Regional / National Hospital (H1)"},2,0),
        $D198
      ),
      'Tools &amp; Targets_Guideline'!$C$53:$I$53,
      0
    )
  ),
0))</f>
        <v/>
      </c>
      <c r="O198" s="105"/>
      <c r="P198" s="119" t="str">
        <f t="array" ref="P198">IF(OR($B198="",$D198=""),"",
IFERROR(
  INDEX(
    'Tools &amp; Targets_Guideline'!$C$54:$I$269,
    MATCH(
      1,
      ('Tools &amp; Targets_Guideline'!$A$54:$A$269=$B198)*
      ('Tools &amp; Targets_Guideline'!$B$54:$B$269="Delivery"),
      0
    ),
    MATCH(
      _xludf.IFNA(
        VLOOKUP($D198,{"PH","Provincial Hospital (H2)";"DH","District Hospital (H3)";"RH","Regional / National Hospital (H1)"},2,0),
        $D198
      ),
      'Tools &amp; Targets_Guideline'!$C$53:$I$53,
      0
    )
  ),
0))</f>
        <v/>
      </c>
      <c r="Q198" s="105"/>
      <c r="R198" s="119" t="str">
        <f t="array" ref="R198">IF(OR($B198="",$D198=""),"",
IFERROR(
  INDEX(
    'Tools &amp; Targets_Guideline'!$C$54:$I$269,
    MATCH(
      1,
      ('Tools &amp; Targets_Guideline'!$A$54:$A$269=$B198)*
      ('Tools &amp; Targets_Guideline'!$B$54:$B$269="TT"),
      0
    ),
    MATCH(
      _xludf.IFNA(
        VLOOKUP($D198,{"PH","Provincial Hospital (H2)";"DH","District Hospital (H3)";"RH","Regional / National Hospital (H1)"},2,0),
        $D198
      ),
      'Tools &amp; Targets_Guideline'!$C$53:$I$53,
      0
    )
  ),
0))</f>
        <v/>
      </c>
      <c r="S198" s="105"/>
      <c r="T198" s="102"/>
      <c r="U198" s="106"/>
      <c r="V198" s="102" t="str">
        <f t="shared" si="1"/>
        <v/>
      </c>
      <c r="W198" s="102"/>
      <c r="X198" s="102"/>
      <c r="Y198" s="119" t="str">
        <f t="array" ref="Y198">IF(OR($B198="",$D198=""),"",
IFERROR(
  INDEX(
    'Tools &amp; Targets_Guideline'!$C$54:$I$269,
    MATCH(
      1,
      ('Tools &amp; Targets_Guideline'!$A$54:$A$269=$B198)*
      ('Tools &amp; Targets_Guideline'!$B$54:$B$269="GM"),
      0
    ),
    MATCH(
      _xludf.IFNA(
        VLOOKUP($D198,{"PH","Provincial Hospital (H2)";"DH","District Hospital (H3)";"RH","Regional / National Hospital (H1)"},2,0),
        $D198
      ),
      'Tools &amp; Targets_Guideline'!$C$53:$I$53,
      0
    )
  ),
0))</f>
        <v/>
      </c>
      <c r="Z198" s="105"/>
      <c r="AA198" s="119" t="str">
        <f t="array" ref="AA198">IF(OR($B198="",$D198=""),"",
IFERROR(
  INDEX(
    'Tools &amp; Targets_Guideline'!$C$54:$I$269,
    MATCH(
      1,
      ('Tools &amp; Targets_Guideline'!$A$54:$A$269=$B198)*
      ('Tools &amp; Targets_Guideline'!$B$54:$B$269="Penta"),
      0
    ),
    MATCH(
      _xludf.IFNA(
        VLOOKUP($D198,{"PH","Provincial Hospital (H2)";"DH","District Hospital (H3)";"RH","Regional / National Hospital (H1)"},2,0),
        $D198
      ),
      'Tools &amp; Targets_Guideline'!$C$53:$I$53,
      0
    )
  ),
0))</f>
        <v/>
      </c>
      <c r="AB198" s="105"/>
      <c r="AC198" s="119" t="str">
        <f t="array" ref="AC198">IF(OR($B198="",$D198=""),"",
IFERROR(
  INDEX(
    'Tools &amp; Targets_Guideline'!$C$54:$I$269,
    MATCH(
      1,
      ('Tools &amp; Targets_Guideline'!$A$54:$A$269=$B198)*
      ('Tools &amp; Targets_Guideline'!$B$54:$B$269="TB"),
      0
    ),
    MATCH(
      _xludf.IFNA(
        VLOOKUP($D198,{"PH","Provincial Hospital (H2)";"DH","District Hospital (H3)";"RH","Regional / National Hospital (H1)"},2,0),
        $D198
      ),
      'Tools &amp; Targets_Guideline'!$C$53:$I$53,
      0
    )
  ),
0))</f>
        <v/>
      </c>
      <c r="AD198" s="105"/>
      <c r="AE198" s="119" t="str">
        <f t="array" ref="AE198">IF(OR($B198="",$D198=""),"",
IFERROR(
  INDEX(
    'Tools &amp; Targets_Guideline'!$C$54:$I$269,
    MATCH(
      1,
      ('Tools &amp; Targets_Guideline'!$A$54:$A$269=$B198)*
      ('Tools &amp; Targets_Guideline'!$B$54:$B$269="U5 Morbidity"),
      0
    ),
    MATCH(
      _xludf.IFNA(
        VLOOKUP($D198,{"PH","Provincial Hospital (H2)";"DH","District Hospital (H3)";"RH","Regional / National Hospital (H1)"},2,0),
        $D198
      ),
      'Tools &amp; Targets_Guideline'!$C$53:$I$53,
      0
    )
  ),
0))</f>
        <v/>
      </c>
      <c r="AF198" s="105"/>
      <c r="AG198" s="119" t="str">
        <f t="array" ref="AG198">IF(OR($B198="",$D198=""),"",
IFERROR(
  INDEX(
    'Tools &amp; Targets_Guideline'!$C$54:$I$269,
    MATCH(
      1,
      ('Tools &amp; Targets_Guideline'!$A$54:$A$269=$B198)*
      ('Tools &amp; Targets_Guideline'!$B$54:$B$269="C-Section"),
      0
    ),
    MATCH(
      _xludf.IFNA(
        VLOOKUP($D198,{"PH","Provincial Hospital (H2)";"DH","District Hospital (H3)";"RH","Regional / National Hospital (H1)"},2,0),
        $D198
      ),
      'Tools &amp; Targets_Guideline'!$C$53:$I$53,
      0
    )
  ),
0))</f>
        <v/>
      </c>
      <c r="AH198" s="105" t="str">
        <f>IF(A198&lt;&gt;"",COUNTIFS('QA Log'!D:D,A198,'QA Log'!M:M,"QQC",'QA Log'!L:L,"2. Hygiene and Sterilization",'QA Log'!Z:Z,"Approved"),"")</f>
        <v/>
      </c>
      <c r="AI198" s="102"/>
      <c r="AJ198" s="102"/>
      <c r="AK198" s="103" t="str">
        <f t="shared" si="2"/>
        <v/>
      </c>
      <c r="AL198" s="102"/>
      <c r="AM198" s="102"/>
      <c r="AN198" s="102"/>
      <c r="AO198" s="106"/>
      <c r="AP198" s="103"/>
      <c r="AQ198" s="102"/>
      <c r="AR198" s="102"/>
      <c r="AS198" s="102"/>
      <c r="AT198" s="107"/>
      <c r="AU198" s="102" t="str">
        <f t="shared" si="3"/>
        <v/>
      </c>
      <c r="AV198" s="102" t="str">
        <f t="shared" si="4"/>
        <v/>
      </c>
      <c r="AW198" s="102" t="str">
        <f t="shared" si="5"/>
        <v/>
      </c>
      <c r="AX198" s="102" t="str">
        <f t="shared" si="6"/>
        <v/>
      </c>
      <c r="AY198" s="107" t="str">
        <f t="shared" si="7"/>
        <v/>
      </c>
      <c r="AZ198" s="108" t="str">
        <f t="shared" si="8"/>
        <v/>
      </c>
      <c r="BA198" s="108" t="str">
        <f t="shared" si="9"/>
        <v/>
      </c>
      <c r="BB198" s="109" t="str">
        <f t="shared" si="10"/>
        <v/>
      </c>
      <c r="BC198" s="108" t="str">
        <f t="shared" si="11"/>
        <v/>
      </c>
      <c r="BD198" s="108" t="str">
        <f t="shared" si="12"/>
        <v/>
      </c>
      <c r="BE198" s="109" t="str">
        <f t="shared" si="13"/>
        <v/>
      </c>
      <c r="BF198" s="110" t="str">
        <f t="shared" si="14"/>
        <v/>
      </c>
      <c r="BG198" s="111"/>
    </row>
    <row r="199" spans="1:59" ht="12.75">
      <c r="A199" s="101"/>
      <c r="B199" s="102"/>
      <c r="C199" s="102" t="e">
        <f t="array" aca="1" ref="C199" ca="1">_xludf.XLOOKUP(A199,'QA Log'!D:D,'QA Log'!F:F,"")</f>
        <v>#NAME?</v>
      </c>
      <c r="D199" s="102"/>
      <c r="E199" s="102" t="e">
        <f t="array" aca="1" ref="E199" ca="1">_xludf.XLOOKUP(A199,'QA Log'!D:D,'QA Log'!G:G,"")</f>
        <v>#NAME?</v>
      </c>
      <c r="F199" s="103"/>
      <c r="G199" s="104"/>
      <c r="H199" s="104"/>
      <c r="I199" s="103" t="str">
        <f t="shared" si="0"/>
        <v/>
      </c>
      <c r="J199" s="102"/>
      <c r="K199" s="102"/>
      <c r="L199" s="119" t="str">
        <f t="array" ref="L199">IF(OR($B199="",$D199=""),"",
IFERROR(
  INDEX(
    'Tools &amp; Targets_Guideline'!$C$54:$I$269,
    MATCH(
      1,
      ('Tools &amp; Targets_Guideline'!$A$54:$A$269=$B199)*
      ('Tools &amp; Targets_Guideline'!$B$54:$B$269="ANC"),
      0
    ),
    MATCH(
      _xludf.IFNA(
        VLOOKUP($D199,{"PH","Provincial Hospital (H2)";"DH","District Hospital (H3)";"RH","Regional / National Hospital (H1)"},2,0),
        $D199
      ),
      'Tools &amp; Targets_Guideline'!$C$53:$I$53,
      0
    )
  ),
0))</f>
        <v/>
      </c>
      <c r="M199" s="105"/>
      <c r="N199" s="119" t="str">
        <f t="array" ref="N199">IF(OR($B199="",$D199=""),"",
IFERROR(
  INDEX(
    'Tools &amp; Targets_Guideline'!$C$54:$I$269,
    MATCH(
      1,
      ('Tools &amp; Targets_Guideline'!$A$54:$A$269=$B199)*
      ('Tools &amp; Targets_Guideline'!$B$54:$B$269="PNC"),
      0
    ),
    MATCH(
      _xludf.IFNA(
        VLOOKUP($D199,{"PH","Provincial Hospital (H2)";"DH","District Hospital (H3)";"RH","Regional / National Hospital (H1)"},2,0),
        $D199
      ),
      'Tools &amp; Targets_Guideline'!$C$53:$I$53,
      0
    )
  ),
0))</f>
        <v/>
      </c>
      <c r="O199" s="105"/>
      <c r="P199" s="119" t="str">
        <f t="array" ref="P199">IF(OR($B199="",$D199=""),"",
IFERROR(
  INDEX(
    'Tools &amp; Targets_Guideline'!$C$54:$I$269,
    MATCH(
      1,
      ('Tools &amp; Targets_Guideline'!$A$54:$A$269=$B199)*
      ('Tools &amp; Targets_Guideline'!$B$54:$B$269="Delivery"),
      0
    ),
    MATCH(
      _xludf.IFNA(
        VLOOKUP($D199,{"PH","Provincial Hospital (H2)";"DH","District Hospital (H3)";"RH","Regional / National Hospital (H1)"},2,0),
        $D199
      ),
      'Tools &amp; Targets_Guideline'!$C$53:$I$53,
      0
    )
  ),
0))</f>
        <v/>
      </c>
      <c r="Q199" s="105"/>
      <c r="R199" s="119" t="str">
        <f t="array" ref="R199">IF(OR($B199="",$D199=""),"",
IFERROR(
  INDEX(
    'Tools &amp; Targets_Guideline'!$C$54:$I$269,
    MATCH(
      1,
      ('Tools &amp; Targets_Guideline'!$A$54:$A$269=$B199)*
      ('Tools &amp; Targets_Guideline'!$B$54:$B$269="TT"),
      0
    ),
    MATCH(
      _xludf.IFNA(
        VLOOKUP($D199,{"PH","Provincial Hospital (H2)";"DH","District Hospital (H3)";"RH","Regional / National Hospital (H1)"},2,0),
        $D199
      ),
      'Tools &amp; Targets_Guideline'!$C$53:$I$53,
      0
    )
  ),
0))</f>
        <v/>
      </c>
      <c r="S199" s="105"/>
      <c r="T199" s="102"/>
      <c r="U199" s="106"/>
      <c r="V199" s="102" t="str">
        <f t="shared" si="1"/>
        <v/>
      </c>
      <c r="W199" s="102"/>
      <c r="X199" s="102"/>
      <c r="Y199" s="119" t="str">
        <f t="array" ref="Y199">IF(OR($B199="",$D199=""),"",
IFERROR(
  INDEX(
    'Tools &amp; Targets_Guideline'!$C$54:$I$269,
    MATCH(
      1,
      ('Tools &amp; Targets_Guideline'!$A$54:$A$269=$B199)*
      ('Tools &amp; Targets_Guideline'!$B$54:$B$269="GM"),
      0
    ),
    MATCH(
      _xludf.IFNA(
        VLOOKUP($D199,{"PH","Provincial Hospital (H2)";"DH","District Hospital (H3)";"RH","Regional / National Hospital (H1)"},2,0),
        $D199
      ),
      'Tools &amp; Targets_Guideline'!$C$53:$I$53,
      0
    )
  ),
0))</f>
        <v/>
      </c>
      <c r="Z199" s="105"/>
      <c r="AA199" s="119" t="str">
        <f t="array" ref="AA199">IF(OR($B199="",$D199=""),"",
IFERROR(
  INDEX(
    'Tools &amp; Targets_Guideline'!$C$54:$I$269,
    MATCH(
      1,
      ('Tools &amp; Targets_Guideline'!$A$54:$A$269=$B199)*
      ('Tools &amp; Targets_Guideline'!$B$54:$B$269="Penta"),
      0
    ),
    MATCH(
      _xludf.IFNA(
        VLOOKUP($D199,{"PH","Provincial Hospital (H2)";"DH","District Hospital (H3)";"RH","Regional / National Hospital (H1)"},2,0),
        $D199
      ),
      'Tools &amp; Targets_Guideline'!$C$53:$I$53,
      0
    )
  ),
0))</f>
        <v/>
      </c>
      <c r="AB199" s="105"/>
      <c r="AC199" s="119" t="str">
        <f t="array" ref="AC199">IF(OR($B199="",$D199=""),"",
IFERROR(
  INDEX(
    'Tools &amp; Targets_Guideline'!$C$54:$I$269,
    MATCH(
      1,
      ('Tools &amp; Targets_Guideline'!$A$54:$A$269=$B199)*
      ('Tools &amp; Targets_Guideline'!$B$54:$B$269="TB"),
      0
    ),
    MATCH(
      _xludf.IFNA(
        VLOOKUP($D199,{"PH","Provincial Hospital (H2)";"DH","District Hospital (H3)";"RH","Regional / National Hospital (H1)"},2,0),
        $D199
      ),
      'Tools &amp; Targets_Guideline'!$C$53:$I$53,
      0
    )
  ),
0))</f>
        <v/>
      </c>
      <c r="AD199" s="105"/>
      <c r="AE199" s="119" t="str">
        <f t="array" ref="AE199">IF(OR($B199="",$D199=""),"",
IFERROR(
  INDEX(
    'Tools &amp; Targets_Guideline'!$C$54:$I$269,
    MATCH(
      1,
      ('Tools &amp; Targets_Guideline'!$A$54:$A$269=$B199)*
      ('Tools &amp; Targets_Guideline'!$B$54:$B$269="U5 Morbidity"),
      0
    ),
    MATCH(
      _xludf.IFNA(
        VLOOKUP($D199,{"PH","Provincial Hospital (H2)";"DH","District Hospital (H3)";"RH","Regional / National Hospital (H1)"},2,0),
        $D199
      ),
      'Tools &amp; Targets_Guideline'!$C$53:$I$53,
      0
    )
  ),
0))</f>
        <v/>
      </c>
      <c r="AF199" s="105"/>
      <c r="AG199" s="119" t="str">
        <f t="array" ref="AG199">IF(OR($B199="",$D199=""),"",
IFERROR(
  INDEX(
    'Tools &amp; Targets_Guideline'!$C$54:$I$269,
    MATCH(
      1,
      ('Tools &amp; Targets_Guideline'!$A$54:$A$269=$B199)*
      ('Tools &amp; Targets_Guideline'!$B$54:$B$269="C-Section"),
      0
    ),
    MATCH(
      _xludf.IFNA(
        VLOOKUP($D199,{"PH","Provincial Hospital (H2)";"DH","District Hospital (H3)";"RH","Regional / National Hospital (H1)"},2,0),
        $D199
      ),
      'Tools &amp; Targets_Guideline'!$C$53:$I$53,
      0
    )
  ),
0))</f>
        <v/>
      </c>
      <c r="AH199" s="105" t="str">
        <f>IF(A199&lt;&gt;"",COUNTIFS('QA Log'!D:D,A199,'QA Log'!M:M,"QQC",'QA Log'!L:L,"2. Hygiene and Sterilization",'QA Log'!Z:Z,"Approved"),"")</f>
        <v/>
      </c>
      <c r="AI199" s="102"/>
      <c r="AJ199" s="102"/>
      <c r="AK199" s="103" t="str">
        <f t="shared" si="2"/>
        <v/>
      </c>
      <c r="AL199" s="102"/>
      <c r="AM199" s="102"/>
      <c r="AN199" s="102"/>
      <c r="AO199" s="106"/>
      <c r="AP199" s="103"/>
      <c r="AQ199" s="102"/>
      <c r="AR199" s="102"/>
      <c r="AS199" s="102"/>
      <c r="AT199" s="107"/>
      <c r="AU199" s="102" t="str">
        <f t="shared" si="3"/>
        <v/>
      </c>
      <c r="AV199" s="102" t="str">
        <f t="shared" si="4"/>
        <v/>
      </c>
      <c r="AW199" s="102" t="str">
        <f t="shared" si="5"/>
        <v/>
      </c>
      <c r="AX199" s="102" t="str">
        <f t="shared" si="6"/>
        <v/>
      </c>
      <c r="AY199" s="107" t="str">
        <f t="shared" si="7"/>
        <v/>
      </c>
      <c r="AZ199" s="108" t="str">
        <f t="shared" si="8"/>
        <v/>
      </c>
      <c r="BA199" s="108" t="str">
        <f t="shared" si="9"/>
        <v/>
      </c>
      <c r="BB199" s="109" t="str">
        <f t="shared" si="10"/>
        <v/>
      </c>
      <c r="BC199" s="108" t="str">
        <f t="shared" si="11"/>
        <v/>
      </c>
      <c r="BD199" s="108" t="str">
        <f t="shared" si="12"/>
        <v/>
      </c>
      <c r="BE199" s="109" t="str">
        <f t="shared" si="13"/>
        <v/>
      </c>
      <c r="BF199" s="110" t="str">
        <f t="shared" si="14"/>
        <v/>
      </c>
      <c r="BG199" s="111"/>
    </row>
    <row r="200" spans="1:59" ht="12.75">
      <c r="A200" s="101"/>
      <c r="B200" s="102"/>
      <c r="C200" s="102" t="e">
        <f t="array" aca="1" ref="C200" ca="1">_xludf.XLOOKUP(A200,'QA Log'!D:D,'QA Log'!F:F,"")</f>
        <v>#NAME?</v>
      </c>
      <c r="D200" s="102"/>
      <c r="E200" s="102" t="e">
        <f t="array" aca="1" ref="E200" ca="1">_xludf.XLOOKUP(A200,'QA Log'!D:D,'QA Log'!G:G,"")</f>
        <v>#NAME?</v>
      </c>
      <c r="F200" s="103"/>
      <c r="G200" s="104"/>
      <c r="H200" s="104"/>
      <c r="I200" s="103" t="str">
        <f t="shared" si="0"/>
        <v/>
      </c>
      <c r="J200" s="102"/>
      <c r="K200" s="102"/>
      <c r="L200" s="119" t="str">
        <f t="array" ref="L200">IF(OR($B200="",$D200=""),"",
IFERROR(
  INDEX(
    'Tools &amp; Targets_Guideline'!$C$54:$I$269,
    MATCH(
      1,
      ('Tools &amp; Targets_Guideline'!$A$54:$A$269=$B200)*
      ('Tools &amp; Targets_Guideline'!$B$54:$B$269="ANC"),
      0
    ),
    MATCH(
      _xludf.IFNA(
        VLOOKUP($D200,{"PH","Provincial Hospital (H2)";"DH","District Hospital (H3)";"RH","Regional / National Hospital (H1)"},2,0),
        $D200
      ),
      'Tools &amp; Targets_Guideline'!$C$53:$I$53,
      0
    )
  ),
0))</f>
        <v/>
      </c>
      <c r="M200" s="105"/>
      <c r="N200" s="119" t="str">
        <f t="array" ref="N200">IF(OR($B200="",$D200=""),"",
IFERROR(
  INDEX(
    'Tools &amp; Targets_Guideline'!$C$54:$I$269,
    MATCH(
      1,
      ('Tools &amp; Targets_Guideline'!$A$54:$A$269=$B200)*
      ('Tools &amp; Targets_Guideline'!$B$54:$B$269="PNC"),
      0
    ),
    MATCH(
      _xludf.IFNA(
        VLOOKUP($D200,{"PH","Provincial Hospital (H2)";"DH","District Hospital (H3)";"RH","Regional / National Hospital (H1)"},2,0),
        $D200
      ),
      'Tools &amp; Targets_Guideline'!$C$53:$I$53,
      0
    )
  ),
0))</f>
        <v/>
      </c>
      <c r="O200" s="105"/>
      <c r="P200" s="119" t="str">
        <f t="array" ref="P200">IF(OR($B200="",$D200=""),"",
IFERROR(
  INDEX(
    'Tools &amp; Targets_Guideline'!$C$54:$I$269,
    MATCH(
      1,
      ('Tools &amp; Targets_Guideline'!$A$54:$A$269=$B200)*
      ('Tools &amp; Targets_Guideline'!$B$54:$B$269="Delivery"),
      0
    ),
    MATCH(
      _xludf.IFNA(
        VLOOKUP($D200,{"PH","Provincial Hospital (H2)";"DH","District Hospital (H3)";"RH","Regional / National Hospital (H1)"},2,0),
        $D200
      ),
      'Tools &amp; Targets_Guideline'!$C$53:$I$53,
      0
    )
  ),
0))</f>
        <v/>
      </c>
      <c r="Q200" s="105"/>
      <c r="R200" s="119" t="str">
        <f t="array" ref="R200">IF(OR($B200="",$D200=""),"",
IFERROR(
  INDEX(
    'Tools &amp; Targets_Guideline'!$C$54:$I$269,
    MATCH(
      1,
      ('Tools &amp; Targets_Guideline'!$A$54:$A$269=$B200)*
      ('Tools &amp; Targets_Guideline'!$B$54:$B$269="TT"),
      0
    ),
    MATCH(
      _xludf.IFNA(
        VLOOKUP($D200,{"PH","Provincial Hospital (H2)";"DH","District Hospital (H3)";"RH","Regional / National Hospital (H1)"},2,0),
        $D200
      ),
      'Tools &amp; Targets_Guideline'!$C$53:$I$53,
      0
    )
  ),
0))</f>
        <v/>
      </c>
      <c r="S200" s="105"/>
      <c r="T200" s="102"/>
      <c r="U200" s="106"/>
      <c r="V200" s="102" t="str">
        <f t="shared" si="1"/>
        <v/>
      </c>
      <c r="W200" s="102"/>
      <c r="X200" s="102"/>
      <c r="Y200" s="119" t="str">
        <f t="array" ref="Y200">IF(OR($B200="",$D200=""),"",
IFERROR(
  INDEX(
    'Tools &amp; Targets_Guideline'!$C$54:$I$269,
    MATCH(
      1,
      ('Tools &amp; Targets_Guideline'!$A$54:$A$269=$B200)*
      ('Tools &amp; Targets_Guideline'!$B$54:$B$269="GM"),
      0
    ),
    MATCH(
      _xludf.IFNA(
        VLOOKUP($D200,{"PH","Provincial Hospital (H2)";"DH","District Hospital (H3)";"RH","Regional / National Hospital (H1)"},2,0),
        $D200
      ),
      'Tools &amp; Targets_Guideline'!$C$53:$I$53,
      0
    )
  ),
0))</f>
        <v/>
      </c>
      <c r="Z200" s="105"/>
      <c r="AA200" s="119" t="str">
        <f t="array" ref="AA200">IF(OR($B200="",$D200=""),"",
IFERROR(
  INDEX(
    'Tools &amp; Targets_Guideline'!$C$54:$I$269,
    MATCH(
      1,
      ('Tools &amp; Targets_Guideline'!$A$54:$A$269=$B200)*
      ('Tools &amp; Targets_Guideline'!$B$54:$B$269="Penta"),
      0
    ),
    MATCH(
      _xludf.IFNA(
        VLOOKUP($D200,{"PH","Provincial Hospital (H2)";"DH","District Hospital (H3)";"RH","Regional / National Hospital (H1)"},2,0),
        $D200
      ),
      'Tools &amp; Targets_Guideline'!$C$53:$I$53,
      0
    )
  ),
0))</f>
        <v/>
      </c>
      <c r="AB200" s="105"/>
      <c r="AC200" s="119" t="str">
        <f t="array" ref="AC200">IF(OR($B200="",$D200=""),"",
IFERROR(
  INDEX(
    'Tools &amp; Targets_Guideline'!$C$54:$I$269,
    MATCH(
      1,
      ('Tools &amp; Targets_Guideline'!$A$54:$A$269=$B200)*
      ('Tools &amp; Targets_Guideline'!$B$54:$B$269="TB"),
      0
    ),
    MATCH(
      _xludf.IFNA(
        VLOOKUP($D200,{"PH","Provincial Hospital (H2)";"DH","District Hospital (H3)";"RH","Regional / National Hospital (H1)"},2,0),
        $D200
      ),
      'Tools &amp; Targets_Guideline'!$C$53:$I$53,
      0
    )
  ),
0))</f>
        <v/>
      </c>
      <c r="AD200" s="105"/>
      <c r="AE200" s="119" t="str">
        <f t="array" ref="AE200">IF(OR($B200="",$D200=""),"",
IFERROR(
  INDEX(
    'Tools &amp; Targets_Guideline'!$C$54:$I$269,
    MATCH(
      1,
      ('Tools &amp; Targets_Guideline'!$A$54:$A$269=$B200)*
      ('Tools &amp; Targets_Guideline'!$B$54:$B$269="U5 Morbidity"),
      0
    ),
    MATCH(
      _xludf.IFNA(
        VLOOKUP($D200,{"PH","Provincial Hospital (H2)";"DH","District Hospital (H3)";"RH","Regional / National Hospital (H1)"},2,0),
        $D200
      ),
      'Tools &amp; Targets_Guideline'!$C$53:$I$53,
      0
    )
  ),
0))</f>
        <v/>
      </c>
      <c r="AF200" s="105"/>
      <c r="AG200" s="119" t="str">
        <f t="array" ref="AG200">IF(OR($B200="",$D200=""),"",
IFERROR(
  INDEX(
    'Tools &amp; Targets_Guideline'!$C$54:$I$269,
    MATCH(
      1,
      ('Tools &amp; Targets_Guideline'!$A$54:$A$269=$B200)*
      ('Tools &amp; Targets_Guideline'!$B$54:$B$269="C-Section"),
      0
    ),
    MATCH(
      _xludf.IFNA(
        VLOOKUP($D200,{"PH","Provincial Hospital (H2)";"DH","District Hospital (H3)";"RH","Regional / National Hospital (H1)"},2,0),
        $D200
      ),
      'Tools &amp; Targets_Guideline'!$C$53:$I$53,
      0
    )
  ),
0))</f>
        <v/>
      </c>
      <c r="AH200" s="105" t="str">
        <f>IF(A200&lt;&gt;"",COUNTIFS('QA Log'!D:D,A200,'QA Log'!M:M,"QQC",'QA Log'!L:L,"2. Hygiene and Sterilization",'QA Log'!Z:Z,"Approved"),"")</f>
        <v/>
      </c>
      <c r="AI200" s="102"/>
      <c r="AJ200" s="102"/>
      <c r="AK200" s="103" t="str">
        <f t="shared" si="2"/>
        <v/>
      </c>
      <c r="AL200" s="102"/>
      <c r="AM200" s="102"/>
      <c r="AN200" s="102"/>
      <c r="AO200" s="106"/>
      <c r="AP200" s="103"/>
      <c r="AQ200" s="102"/>
      <c r="AR200" s="102"/>
      <c r="AS200" s="102"/>
      <c r="AT200" s="107"/>
      <c r="AU200" s="102" t="str">
        <f t="shared" si="3"/>
        <v/>
      </c>
      <c r="AV200" s="102" t="str">
        <f t="shared" si="4"/>
        <v/>
      </c>
      <c r="AW200" s="102" t="str">
        <f t="shared" si="5"/>
        <v/>
      </c>
      <c r="AX200" s="102" t="str">
        <f t="shared" si="6"/>
        <v/>
      </c>
      <c r="AY200" s="107" t="str">
        <f t="shared" si="7"/>
        <v/>
      </c>
      <c r="AZ200" s="108" t="str">
        <f t="shared" si="8"/>
        <v/>
      </c>
      <c r="BA200" s="108" t="str">
        <f t="shared" si="9"/>
        <v/>
      </c>
      <c r="BB200" s="109" t="str">
        <f t="shared" si="10"/>
        <v/>
      </c>
      <c r="BC200" s="108" t="str">
        <f t="shared" si="11"/>
        <v/>
      </c>
      <c r="BD200" s="108" t="str">
        <f t="shared" si="12"/>
        <v/>
      </c>
      <c r="BE200" s="109" t="str">
        <f t="shared" si="13"/>
        <v/>
      </c>
      <c r="BF200" s="110" t="str">
        <f t="shared" si="14"/>
        <v/>
      </c>
      <c r="BG200" s="111"/>
    </row>
    <row r="201" spans="1:59" ht="12.75">
      <c r="A201" s="101"/>
      <c r="B201" s="102"/>
      <c r="C201" s="102" t="e">
        <f t="array" aca="1" ref="C201" ca="1">_xludf.XLOOKUP(A201,'QA Log'!D:D,'QA Log'!F:F,"")</f>
        <v>#NAME?</v>
      </c>
      <c r="D201" s="102"/>
      <c r="E201" s="102" t="e">
        <f t="array" aca="1" ref="E201" ca="1">_xludf.XLOOKUP(A201,'QA Log'!D:D,'QA Log'!G:G,"")</f>
        <v>#NAME?</v>
      </c>
      <c r="F201" s="103"/>
      <c r="G201" s="104"/>
      <c r="H201" s="104"/>
      <c r="I201" s="103" t="str">
        <f t="shared" si="0"/>
        <v/>
      </c>
      <c r="J201" s="102"/>
      <c r="K201" s="102"/>
      <c r="L201" s="119" t="str">
        <f t="array" ref="L201">IF(OR($B201="",$D201=""),"",
IFERROR(
  INDEX(
    'Tools &amp; Targets_Guideline'!$C$54:$I$269,
    MATCH(
      1,
      ('Tools &amp; Targets_Guideline'!$A$54:$A$269=$B201)*
      ('Tools &amp; Targets_Guideline'!$B$54:$B$269="ANC"),
      0
    ),
    MATCH(
      _xludf.IFNA(
        VLOOKUP($D201,{"PH","Provincial Hospital (H2)";"DH","District Hospital (H3)";"RH","Regional / National Hospital (H1)"},2,0),
        $D201
      ),
      'Tools &amp; Targets_Guideline'!$C$53:$I$53,
      0
    )
  ),
0))</f>
        <v/>
      </c>
      <c r="M201" s="105"/>
      <c r="N201" s="119" t="str">
        <f t="array" ref="N201">IF(OR($B201="",$D201=""),"",
IFERROR(
  INDEX(
    'Tools &amp; Targets_Guideline'!$C$54:$I$269,
    MATCH(
      1,
      ('Tools &amp; Targets_Guideline'!$A$54:$A$269=$B201)*
      ('Tools &amp; Targets_Guideline'!$B$54:$B$269="PNC"),
      0
    ),
    MATCH(
      _xludf.IFNA(
        VLOOKUP($D201,{"PH","Provincial Hospital (H2)";"DH","District Hospital (H3)";"RH","Regional / National Hospital (H1)"},2,0),
        $D201
      ),
      'Tools &amp; Targets_Guideline'!$C$53:$I$53,
      0
    )
  ),
0))</f>
        <v/>
      </c>
      <c r="O201" s="105"/>
      <c r="P201" s="119" t="str">
        <f t="array" ref="P201">IF(OR($B201="",$D201=""),"",
IFERROR(
  INDEX(
    'Tools &amp; Targets_Guideline'!$C$54:$I$269,
    MATCH(
      1,
      ('Tools &amp; Targets_Guideline'!$A$54:$A$269=$B201)*
      ('Tools &amp; Targets_Guideline'!$B$54:$B$269="Delivery"),
      0
    ),
    MATCH(
      _xludf.IFNA(
        VLOOKUP($D201,{"PH","Provincial Hospital (H2)";"DH","District Hospital (H3)";"RH","Regional / National Hospital (H1)"},2,0),
        $D201
      ),
      'Tools &amp; Targets_Guideline'!$C$53:$I$53,
      0
    )
  ),
0))</f>
        <v/>
      </c>
      <c r="Q201" s="105"/>
      <c r="R201" s="119" t="str">
        <f t="array" ref="R201">IF(OR($B201="",$D201=""),"",
IFERROR(
  INDEX(
    'Tools &amp; Targets_Guideline'!$C$54:$I$269,
    MATCH(
      1,
      ('Tools &amp; Targets_Guideline'!$A$54:$A$269=$B201)*
      ('Tools &amp; Targets_Guideline'!$B$54:$B$269="TT"),
      0
    ),
    MATCH(
      _xludf.IFNA(
        VLOOKUP($D201,{"PH","Provincial Hospital (H2)";"DH","District Hospital (H3)";"RH","Regional / National Hospital (H1)"},2,0),
        $D201
      ),
      'Tools &amp; Targets_Guideline'!$C$53:$I$53,
      0
    )
  ),
0))</f>
        <v/>
      </c>
      <c r="S201" s="105"/>
      <c r="T201" s="102"/>
      <c r="U201" s="106"/>
      <c r="V201" s="102" t="str">
        <f t="shared" si="1"/>
        <v/>
      </c>
      <c r="W201" s="102"/>
      <c r="X201" s="102"/>
      <c r="Y201" s="119" t="str">
        <f t="array" ref="Y201">IF(OR($B201="",$D201=""),"",
IFERROR(
  INDEX(
    'Tools &amp; Targets_Guideline'!$C$54:$I$269,
    MATCH(
      1,
      ('Tools &amp; Targets_Guideline'!$A$54:$A$269=$B201)*
      ('Tools &amp; Targets_Guideline'!$B$54:$B$269="GM"),
      0
    ),
    MATCH(
      _xludf.IFNA(
        VLOOKUP($D201,{"PH","Provincial Hospital (H2)";"DH","District Hospital (H3)";"RH","Regional / National Hospital (H1)"},2,0),
        $D201
      ),
      'Tools &amp; Targets_Guideline'!$C$53:$I$53,
      0
    )
  ),
0))</f>
        <v/>
      </c>
      <c r="Z201" s="105"/>
      <c r="AA201" s="119" t="str">
        <f t="array" ref="AA201">IF(OR($B201="",$D201=""),"",
IFERROR(
  INDEX(
    'Tools &amp; Targets_Guideline'!$C$54:$I$269,
    MATCH(
      1,
      ('Tools &amp; Targets_Guideline'!$A$54:$A$269=$B201)*
      ('Tools &amp; Targets_Guideline'!$B$54:$B$269="Penta"),
      0
    ),
    MATCH(
      _xludf.IFNA(
        VLOOKUP($D201,{"PH","Provincial Hospital (H2)";"DH","District Hospital (H3)";"RH","Regional / National Hospital (H1)"},2,0),
        $D201
      ),
      'Tools &amp; Targets_Guideline'!$C$53:$I$53,
      0
    )
  ),
0))</f>
        <v/>
      </c>
      <c r="AB201" s="105"/>
      <c r="AC201" s="119" t="str">
        <f t="array" ref="AC201">IF(OR($B201="",$D201=""),"",
IFERROR(
  INDEX(
    'Tools &amp; Targets_Guideline'!$C$54:$I$269,
    MATCH(
      1,
      ('Tools &amp; Targets_Guideline'!$A$54:$A$269=$B201)*
      ('Tools &amp; Targets_Guideline'!$B$54:$B$269="TB"),
      0
    ),
    MATCH(
      _xludf.IFNA(
        VLOOKUP($D201,{"PH","Provincial Hospital (H2)";"DH","District Hospital (H3)";"RH","Regional / National Hospital (H1)"},2,0),
        $D201
      ),
      'Tools &amp; Targets_Guideline'!$C$53:$I$53,
      0
    )
  ),
0))</f>
        <v/>
      </c>
      <c r="AD201" s="105"/>
      <c r="AE201" s="119" t="str">
        <f t="array" ref="AE201">IF(OR($B201="",$D201=""),"",
IFERROR(
  INDEX(
    'Tools &amp; Targets_Guideline'!$C$54:$I$269,
    MATCH(
      1,
      ('Tools &amp; Targets_Guideline'!$A$54:$A$269=$B201)*
      ('Tools &amp; Targets_Guideline'!$B$54:$B$269="U5 Morbidity"),
      0
    ),
    MATCH(
      _xludf.IFNA(
        VLOOKUP($D201,{"PH","Provincial Hospital (H2)";"DH","District Hospital (H3)";"RH","Regional / National Hospital (H1)"},2,0),
        $D201
      ),
      'Tools &amp; Targets_Guideline'!$C$53:$I$53,
      0
    )
  ),
0))</f>
        <v/>
      </c>
      <c r="AF201" s="105"/>
      <c r="AG201" s="119" t="str">
        <f t="array" ref="AG201">IF(OR($B201="",$D201=""),"",
IFERROR(
  INDEX(
    'Tools &amp; Targets_Guideline'!$C$54:$I$269,
    MATCH(
      1,
      ('Tools &amp; Targets_Guideline'!$A$54:$A$269=$B201)*
      ('Tools &amp; Targets_Guideline'!$B$54:$B$269="C-Section"),
      0
    ),
    MATCH(
      _xludf.IFNA(
        VLOOKUP($D201,{"PH","Provincial Hospital (H2)";"DH","District Hospital (H3)";"RH","Regional / National Hospital (H1)"},2,0),
        $D201
      ),
      'Tools &amp; Targets_Guideline'!$C$53:$I$53,
      0
    )
  ),
0))</f>
        <v/>
      </c>
      <c r="AH201" s="105" t="str">
        <f>IF(A201&lt;&gt;"",COUNTIFS('QA Log'!D:D,A201,'QA Log'!M:M,"QQC",'QA Log'!L:L,"2. Hygiene and Sterilization",'QA Log'!Z:Z,"Approved"),"")</f>
        <v/>
      </c>
      <c r="AI201" s="102"/>
      <c r="AJ201" s="102"/>
      <c r="AK201" s="103" t="str">
        <f t="shared" si="2"/>
        <v/>
      </c>
      <c r="AL201" s="102"/>
      <c r="AM201" s="102"/>
      <c r="AN201" s="102"/>
      <c r="AO201" s="106"/>
      <c r="AP201" s="103"/>
      <c r="AQ201" s="102"/>
      <c r="AR201" s="102"/>
      <c r="AS201" s="102"/>
      <c r="AT201" s="107"/>
      <c r="AU201" s="102" t="str">
        <f t="shared" si="3"/>
        <v/>
      </c>
      <c r="AV201" s="102" t="str">
        <f t="shared" si="4"/>
        <v/>
      </c>
      <c r="AW201" s="102" t="str">
        <f t="shared" si="5"/>
        <v/>
      </c>
      <c r="AX201" s="102" t="str">
        <f t="shared" si="6"/>
        <v/>
      </c>
      <c r="AY201" s="107" t="str">
        <f t="shared" si="7"/>
        <v/>
      </c>
      <c r="AZ201" s="108" t="str">
        <f t="shared" si="8"/>
        <v/>
      </c>
      <c r="BA201" s="108" t="str">
        <f t="shared" si="9"/>
        <v/>
      </c>
      <c r="BB201" s="109" t="str">
        <f t="shared" si="10"/>
        <v/>
      </c>
      <c r="BC201" s="108" t="str">
        <f t="shared" si="11"/>
        <v/>
      </c>
      <c r="BD201" s="108" t="str">
        <f t="shared" si="12"/>
        <v/>
      </c>
      <c r="BE201" s="109" t="str">
        <f t="shared" si="13"/>
        <v/>
      </c>
      <c r="BF201" s="110" t="str">
        <f t="shared" si="14"/>
        <v/>
      </c>
      <c r="BG201" s="111"/>
    </row>
    <row r="202" spans="1:59" ht="12.75">
      <c r="A202" s="101"/>
      <c r="B202" s="102"/>
      <c r="C202" s="102" t="e">
        <f t="array" aca="1" ref="C202" ca="1">_xludf.XLOOKUP(A202,'QA Log'!D:D,'QA Log'!F:F,"")</f>
        <v>#NAME?</v>
      </c>
      <c r="D202" s="102"/>
      <c r="E202" s="102" t="e">
        <f t="array" aca="1" ref="E202" ca="1">_xludf.XLOOKUP(A202,'QA Log'!D:D,'QA Log'!G:G,"")</f>
        <v>#NAME?</v>
      </c>
      <c r="F202" s="103"/>
      <c r="G202" s="104"/>
      <c r="H202" s="104"/>
      <c r="I202" s="103" t="str">
        <f t="shared" si="0"/>
        <v/>
      </c>
      <c r="J202" s="102"/>
      <c r="K202" s="102"/>
      <c r="L202" s="119" t="str">
        <f t="array" ref="L202">IF(OR($B202="",$D202=""),"",
IFERROR(
  INDEX(
    'Tools &amp; Targets_Guideline'!$C$54:$I$269,
    MATCH(
      1,
      ('Tools &amp; Targets_Guideline'!$A$54:$A$269=$B202)*
      ('Tools &amp; Targets_Guideline'!$B$54:$B$269="ANC"),
      0
    ),
    MATCH(
      _xludf.IFNA(
        VLOOKUP($D202,{"PH","Provincial Hospital (H2)";"DH","District Hospital (H3)";"RH","Regional / National Hospital (H1)"},2,0),
        $D202
      ),
      'Tools &amp; Targets_Guideline'!$C$53:$I$53,
      0
    )
  ),
0))</f>
        <v/>
      </c>
      <c r="M202" s="105"/>
      <c r="N202" s="119" t="str">
        <f t="array" ref="N202">IF(OR($B202="",$D202=""),"",
IFERROR(
  INDEX(
    'Tools &amp; Targets_Guideline'!$C$54:$I$269,
    MATCH(
      1,
      ('Tools &amp; Targets_Guideline'!$A$54:$A$269=$B202)*
      ('Tools &amp; Targets_Guideline'!$B$54:$B$269="PNC"),
      0
    ),
    MATCH(
      _xludf.IFNA(
        VLOOKUP($D202,{"PH","Provincial Hospital (H2)";"DH","District Hospital (H3)";"RH","Regional / National Hospital (H1)"},2,0),
        $D202
      ),
      'Tools &amp; Targets_Guideline'!$C$53:$I$53,
      0
    )
  ),
0))</f>
        <v/>
      </c>
      <c r="O202" s="105"/>
      <c r="P202" s="119" t="str">
        <f t="array" ref="P202">IF(OR($B202="",$D202=""),"",
IFERROR(
  INDEX(
    'Tools &amp; Targets_Guideline'!$C$54:$I$269,
    MATCH(
      1,
      ('Tools &amp; Targets_Guideline'!$A$54:$A$269=$B202)*
      ('Tools &amp; Targets_Guideline'!$B$54:$B$269="Delivery"),
      0
    ),
    MATCH(
      _xludf.IFNA(
        VLOOKUP($D202,{"PH","Provincial Hospital (H2)";"DH","District Hospital (H3)";"RH","Regional / National Hospital (H1)"},2,0),
        $D202
      ),
      'Tools &amp; Targets_Guideline'!$C$53:$I$53,
      0
    )
  ),
0))</f>
        <v/>
      </c>
      <c r="Q202" s="105"/>
      <c r="R202" s="119" t="str">
        <f t="array" ref="R202">IF(OR($B202="",$D202=""),"",
IFERROR(
  INDEX(
    'Tools &amp; Targets_Guideline'!$C$54:$I$269,
    MATCH(
      1,
      ('Tools &amp; Targets_Guideline'!$A$54:$A$269=$B202)*
      ('Tools &amp; Targets_Guideline'!$B$54:$B$269="TT"),
      0
    ),
    MATCH(
      _xludf.IFNA(
        VLOOKUP($D202,{"PH","Provincial Hospital (H2)";"DH","District Hospital (H3)";"RH","Regional / National Hospital (H1)"},2,0),
        $D202
      ),
      'Tools &amp; Targets_Guideline'!$C$53:$I$53,
      0
    )
  ),
0))</f>
        <v/>
      </c>
      <c r="S202" s="105"/>
      <c r="T202" s="102"/>
      <c r="U202" s="106"/>
      <c r="V202" s="102" t="str">
        <f t="shared" si="1"/>
        <v/>
      </c>
      <c r="W202" s="102"/>
      <c r="X202" s="102"/>
      <c r="Y202" s="119" t="str">
        <f t="array" ref="Y202">IF(OR($B202="",$D202=""),"",
IFERROR(
  INDEX(
    'Tools &amp; Targets_Guideline'!$C$54:$I$269,
    MATCH(
      1,
      ('Tools &amp; Targets_Guideline'!$A$54:$A$269=$B202)*
      ('Tools &amp; Targets_Guideline'!$B$54:$B$269="GM"),
      0
    ),
    MATCH(
      _xludf.IFNA(
        VLOOKUP($D202,{"PH","Provincial Hospital (H2)";"DH","District Hospital (H3)";"RH","Regional / National Hospital (H1)"},2,0),
        $D202
      ),
      'Tools &amp; Targets_Guideline'!$C$53:$I$53,
      0
    )
  ),
0))</f>
        <v/>
      </c>
      <c r="Z202" s="105"/>
      <c r="AA202" s="119" t="str">
        <f t="array" ref="AA202">IF(OR($B202="",$D202=""),"",
IFERROR(
  INDEX(
    'Tools &amp; Targets_Guideline'!$C$54:$I$269,
    MATCH(
      1,
      ('Tools &amp; Targets_Guideline'!$A$54:$A$269=$B202)*
      ('Tools &amp; Targets_Guideline'!$B$54:$B$269="Penta"),
      0
    ),
    MATCH(
      _xludf.IFNA(
        VLOOKUP($D202,{"PH","Provincial Hospital (H2)";"DH","District Hospital (H3)";"RH","Regional / National Hospital (H1)"},2,0),
        $D202
      ),
      'Tools &amp; Targets_Guideline'!$C$53:$I$53,
      0
    )
  ),
0))</f>
        <v/>
      </c>
      <c r="AB202" s="105"/>
      <c r="AC202" s="119" t="str">
        <f t="array" ref="AC202">IF(OR($B202="",$D202=""),"",
IFERROR(
  INDEX(
    'Tools &amp; Targets_Guideline'!$C$54:$I$269,
    MATCH(
      1,
      ('Tools &amp; Targets_Guideline'!$A$54:$A$269=$B202)*
      ('Tools &amp; Targets_Guideline'!$B$54:$B$269="TB"),
      0
    ),
    MATCH(
      _xludf.IFNA(
        VLOOKUP($D202,{"PH","Provincial Hospital (H2)";"DH","District Hospital (H3)";"RH","Regional / National Hospital (H1)"},2,0),
        $D202
      ),
      'Tools &amp; Targets_Guideline'!$C$53:$I$53,
      0
    )
  ),
0))</f>
        <v/>
      </c>
      <c r="AD202" s="105"/>
      <c r="AE202" s="119" t="str">
        <f t="array" ref="AE202">IF(OR($B202="",$D202=""),"",
IFERROR(
  INDEX(
    'Tools &amp; Targets_Guideline'!$C$54:$I$269,
    MATCH(
      1,
      ('Tools &amp; Targets_Guideline'!$A$54:$A$269=$B202)*
      ('Tools &amp; Targets_Guideline'!$B$54:$B$269="U5 Morbidity"),
      0
    ),
    MATCH(
      _xludf.IFNA(
        VLOOKUP($D202,{"PH","Provincial Hospital (H2)";"DH","District Hospital (H3)";"RH","Regional / National Hospital (H1)"},2,0),
        $D202
      ),
      'Tools &amp; Targets_Guideline'!$C$53:$I$53,
      0
    )
  ),
0))</f>
        <v/>
      </c>
      <c r="AF202" s="105"/>
      <c r="AG202" s="119" t="str">
        <f t="array" ref="AG202">IF(OR($B202="",$D202=""),"",
IFERROR(
  INDEX(
    'Tools &amp; Targets_Guideline'!$C$54:$I$269,
    MATCH(
      1,
      ('Tools &amp; Targets_Guideline'!$A$54:$A$269=$B202)*
      ('Tools &amp; Targets_Guideline'!$B$54:$B$269="C-Section"),
      0
    ),
    MATCH(
      _xludf.IFNA(
        VLOOKUP($D202,{"PH","Provincial Hospital (H2)";"DH","District Hospital (H3)";"RH","Regional / National Hospital (H1)"},2,0),
        $D202
      ),
      'Tools &amp; Targets_Guideline'!$C$53:$I$53,
      0
    )
  ),
0))</f>
        <v/>
      </c>
      <c r="AH202" s="105" t="str">
        <f>IF(A202&lt;&gt;"",COUNTIFS('QA Log'!D:D,A202,'QA Log'!M:M,"QQC",'QA Log'!L:L,"2. Hygiene and Sterilization",'QA Log'!Z:Z,"Approved"),"")</f>
        <v/>
      </c>
      <c r="AI202" s="102"/>
      <c r="AJ202" s="102"/>
      <c r="AK202" s="103" t="str">
        <f t="shared" si="2"/>
        <v/>
      </c>
      <c r="AL202" s="102"/>
      <c r="AM202" s="102"/>
      <c r="AN202" s="102"/>
      <c r="AO202" s="106"/>
      <c r="AP202" s="103"/>
      <c r="AQ202" s="102"/>
      <c r="AR202" s="102"/>
      <c r="AS202" s="102"/>
      <c r="AT202" s="107"/>
      <c r="AU202" s="102" t="str">
        <f t="shared" si="3"/>
        <v/>
      </c>
      <c r="AV202" s="102" t="str">
        <f t="shared" si="4"/>
        <v/>
      </c>
      <c r="AW202" s="102" t="str">
        <f t="shared" si="5"/>
        <v/>
      </c>
      <c r="AX202" s="102" t="str">
        <f t="shared" si="6"/>
        <v/>
      </c>
      <c r="AY202" s="107" t="str">
        <f t="shared" si="7"/>
        <v/>
      </c>
      <c r="AZ202" s="108" t="str">
        <f t="shared" si="8"/>
        <v/>
      </c>
      <c r="BA202" s="108" t="str">
        <f t="shared" si="9"/>
        <v/>
      </c>
      <c r="BB202" s="109" t="str">
        <f t="shared" si="10"/>
        <v/>
      </c>
      <c r="BC202" s="108" t="str">
        <f t="shared" si="11"/>
        <v/>
      </c>
      <c r="BD202" s="108" t="str">
        <f t="shared" si="12"/>
        <v/>
      </c>
      <c r="BE202" s="109" t="str">
        <f t="shared" si="13"/>
        <v/>
      </c>
      <c r="BF202" s="110" t="str">
        <f t="shared" si="14"/>
        <v/>
      </c>
      <c r="BG202" s="111"/>
    </row>
    <row r="203" spans="1:59" ht="12.75">
      <c r="A203" s="101"/>
      <c r="B203" s="102"/>
      <c r="C203" s="102" t="e">
        <f t="array" aca="1" ref="C203" ca="1">_xludf.XLOOKUP(A203,'QA Log'!D:D,'QA Log'!F:F,"")</f>
        <v>#NAME?</v>
      </c>
      <c r="D203" s="102"/>
      <c r="E203" s="102" t="e">
        <f t="array" aca="1" ref="E203" ca="1">_xludf.XLOOKUP(A203,'QA Log'!D:D,'QA Log'!G:G,"")</f>
        <v>#NAME?</v>
      </c>
      <c r="F203" s="103"/>
      <c r="G203" s="104"/>
      <c r="H203" s="104"/>
      <c r="I203" s="103" t="str">
        <f t="shared" si="0"/>
        <v/>
      </c>
      <c r="J203" s="102"/>
      <c r="K203" s="102"/>
      <c r="L203" s="119" t="str">
        <f t="array" ref="L203">IF(OR($B203="",$D203=""),"",
IFERROR(
  INDEX(
    'Tools &amp; Targets_Guideline'!$C$54:$I$269,
    MATCH(
      1,
      ('Tools &amp; Targets_Guideline'!$A$54:$A$269=$B203)*
      ('Tools &amp; Targets_Guideline'!$B$54:$B$269="ANC"),
      0
    ),
    MATCH(
      _xludf.IFNA(
        VLOOKUP($D203,{"PH","Provincial Hospital (H2)";"DH","District Hospital (H3)";"RH","Regional / National Hospital (H1)"},2,0),
        $D203
      ),
      'Tools &amp; Targets_Guideline'!$C$53:$I$53,
      0
    )
  ),
0))</f>
        <v/>
      </c>
      <c r="M203" s="105"/>
      <c r="N203" s="119" t="str">
        <f t="array" ref="N203">IF(OR($B203="",$D203=""),"",
IFERROR(
  INDEX(
    'Tools &amp; Targets_Guideline'!$C$54:$I$269,
    MATCH(
      1,
      ('Tools &amp; Targets_Guideline'!$A$54:$A$269=$B203)*
      ('Tools &amp; Targets_Guideline'!$B$54:$B$269="PNC"),
      0
    ),
    MATCH(
      _xludf.IFNA(
        VLOOKUP($D203,{"PH","Provincial Hospital (H2)";"DH","District Hospital (H3)";"RH","Regional / National Hospital (H1)"},2,0),
        $D203
      ),
      'Tools &amp; Targets_Guideline'!$C$53:$I$53,
      0
    )
  ),
0))</f>
        <v/>
      </c>
      <c r="O203" s="105"/>
      <c r="P203" s="119" t="str">
        <f t="array" ref="P203">IF(OR($B203="",$D203=""),"",
IFERROR(
  INDEX(
    'Tools &amp; Targets_Guideline'!$C$54:$I$269,
    MATCH(
      1,
      ('Tools &amp; Targets_Guideline'!$A$54:$A$269=$B203)*
      ('Tools &amp; Targets_Guideline'!$B$54:$B$269="Delivery"),
      0
    ),
    MATCH(
      _xludf.IFNA(
        VLOOKUP($D203,{"PH","Provincial Hospital (H2)";"DH","District Hospital (H3)";"RH","Regional / National Hospital (H1)"},2,0),
        $D203
      ),
      'Tools &amp; Targets_Guideline'!$C$53:$I$53,
      0
    )
  ),
0))</f>
        <v/>
      </c>
      <c r="Q203" s="105"/>
      <c r="R203" s="119" t="str">
        <f t="array" ref="R203">IF(OR($B203="",$D203=""),"",
IFERROR(
  INDEX(
    'Tools &amp; Targets_Guideline'!$C$54:$I$269,
    MATCH(
      1,
      ('Tools &amp; Targets_Guideline'!$A$54:$A$269=$B203)*
      ('Tools &amp; Targets_Guideline'!$B$54:$B$269="TT"),
      0
    ),
    MATCH(
      _xludf.IFNA(
        VLOOKUP($D203,{"PH","Provincial Hospital (H2)";"DH","District Hospital (H3)";"RH","Regional / National Hospital (H1)"},2,0),
        $D203
      ),
      'Tools &amp; Targets_Guideline'!$C$53:$I$53,
      0
    )
  ),
0))</f>
        <v/>
      </c>
      <c r="S203" s="105"/>
      <c r="T203" s="102"/>
      <c r="U203" s="106"/>
      <c r="V203" s="102" t="str">
        <f t="shared" si="1"/>
        <v/>
      </c>
      <c r="W203" s="102"/>
      <c r="X203" s="102"/>
      <c r="Y203" s="119" t="str">
        <f t="array" ref="Y203">IF(OR($B203="",$D203=""),"",
IFERROR(
  INDEX(
    'Tools &amp; Targets_Guideline'!$C$54:$I$269,
    MATCH(
      1,
      ('Tools &amp; Targets_Guideline'!$A$54:$A$269=$B203)*
      ('Tools &amp; Targets_Guideline'!$B$54:$B$269="GM"),
      0
    ),
    MATCH(
      _xludf.IFNA(
        VLOOKUP($D203,{"PH","Provincial Hospital (H2)";"DH","District Hospital (H3)";"RH","Regional / National Hospital (H1)"},2,0),
        $D203
      ),
      'Tools &amp; Targets_Guideline'!$C$53:$I$53,
      0
    )
  ),
0))</f>
        <v/>
      </c>
      <c r="Z203" s="105"/>
      <c r="AA203" s="119" t="str">
        <f t="array" ref="AA203">IF(OR($B203="",$D203=""),"",
IFERROR(
  INDEX(
    'Tools &amp; Targets_Guideline'!$C$54:$I$269,
    MATCH(
      1,
      ('Tools &amp; Targets_Guideline'!$A$54:$A$269=$B203)*
      ('Tools &amp; Targets_Guideline'!$B$54:$B$269="Penta"),
      0
    ),
    MATCH(
      _xludf.IFNA(
        VLOOKUP($D203,{"PH","Provincial Hospital (H2)";"DH","District Hospital (H3)";"RH","Regional / National Hospital (H1)"},2,0),
        $D203
      ),
      'Tools &amp; Targets_Guideline'!$C$53:$I$53,
      0
    )
  ),
0))</f>
        <v/>
      </c>
      <c r="AB203" s="105"/>
      <c r="AC203" s="119" t="str">
        <f t="array" ref="AC203">IF(OR($B203="",$D203=""),"",
IFERROR(
  INDEX(
    'Tools &amp; Targets_Guideline'!$C$54:$I$269,
    MATCH(
      1,
      ('Tools &amp; Targets_Guideline'!$A$54:$A$269=$B203)*
      ('Tools &amp; Targets_Guideline'!$B$54:$B$269="TB"),
      0
    ),
    MATCH(
      _xludf.IFNA(
        VLOOKUP($D203,{"PH","Provincial Hospital (H2)";"DH","District Hospital (H3)";"RH","Regional / National Hospital (H1)"},2,0),
        $D203
      ),
      'Tools &amp; Targets_Guideline'!$C$53:$I$53,
      0
    )
  ),
0))</f>
        <v/>
      </c>
      <c r="AD203" s="105"/>
      <c r="AE203" s="119" t="str">
        <f t="array" ref="AE203">IF(OR($B203="",$D203=""),"",
IFERROR(
  INDEX(
    'Tools &amp; Targets_Guideline'!$C$54:$I$269,
    MATCH(
      1,
      ('Tools &amp; Targets_Guideline'!$A$54:$A$269=$B203)*
      ('Tools &amp; Targets_Guideline'!$B$54:$B$269="U5 Morbidity"),
      0
    ),
    MATCH(
      _xludf.IFNA(
        VLOOKUP($D203,{"PH","Provincial Hospital (H2)";"DH","District Hospital (H3)";"RH","Regional / National Hospital (H1)"},2,0),
        $D203
      ),
      'Tools &amp; Targets_Guideline'!$C$53:$I$53,
      0
    )
  ),
0))</f>
        <v/>
      </c>
      <c r="AF203" s="105"/>
      <c r="AG203" s="119" t="str">
        <f t="array" ref="AG203">IF(OR($B203="",$D203=""),"",
IFERROR(
  INDEX(
    'Tools &amp; Targets_Guideline'!$C$54:$I$269,
    MATCH(
      1,
      ('Tools &amp; Targets_Guideline'!$A$54:$A$269=$B203)*
      ('Tools &amp; Targets_Guideline'!$B$54:$B$269="C-Section"),
      0
    ),
    MATCH(
      _xludf.IFNA(
        VLOOKUP($D203,{"PH","Provincial Hospital (H2)";"DH","District Hospital (H3)";"RH","Regional / National Hospital (H1)"},2,0),
        $D203
      ),
      'Tools &amp; Targets_Guideline'!$C$53:$I$53,
      0
    )
  ),
0))</f>
        <v/>
      </c>
      <c r="AH203" s="105" t="str">
        <f>IF(A203&lt;&gt;"",COUNTIFS('QA Log'!D:D,A203,'QA Log'!M:M,"QQC",'QA Log'!L:L,"2. Hygiene and Sterilization",'QA Log'!Z:Z,"Approved"),"")</f>
        <v/>
      </c>
      <c r="AI203" s="102"/>
      <c r="AJ203" s="102"/>
      <c r="AK203" s="103" t="str">
        <f t="shared" si="2"/>
        <v/>
      </c>
      <c r="AL203" s="102"/>
      <c r="AM203" s="102"/>
      <c r="AN203" s="102"/>
      <c r="AO203" s="106"/>
      <c r="AP203" s="103"/>
      <c r="AQ203" s="102"/>
      <c r="AR203" s="102"/>
      <c r="AS203" s="102"/>
      <c r="AT203" s="107"/>
      <c r="AU203" s="102" t="str">
        <f t="shared" si="3"/>
        <v/>
      </c>
      <c r="AV203" s="102" t="str">
        <f t="shared" si="4"/>
        <v/>
      </c>
      <c r="AW203" s="102" t="str">
        <f t="shared" si="5"/>
        <v/>
      </c>
      <c r="AX203" s="102" t="str">
        <f t="shared" si="6"/>
        <v/>
      </c>
      <c r="AY203" s="107" t="str">
        <f t="shared" si="7"/>
        <v/>
      </c>
      <c r="AZ203" s="108" t="str">
        <f t="shared" si="8"/>
        <v/>
      </c>
      <c r="BA203" s="108" t="str">
        <f t="shared" si="9"/>
        <v/>
      </c>
      <c r="BB203" s="109" t="str">
        <f t="shared" si="10"/>
        <v/>
      </c>
      <c r="BC203" s="108" t="str">
        <f t="shared" si="11"/>
        <v/>
      </c>
      <c r="BD203" s="108" t="str">
        <f t="shared" si="12"/>
        <v/>
      </c>
      <c r="BE203" s="109" t="str">
        <f t="shared" si="13"/>
        <v/>
      </c>
      <c r="BF203" s="110" t="str">
        <f t="shared" si="14"/>
        <v/>
      </c>
      <c r="BG203" s="111"/>
    </row>
    <row r="204" spans="1:59" ht="12.75">
      <c r="A204" s="101"/>
      <c r="B204" s="102"/>
      <c r="C204" s="102" t="e">
        <f t="array" aca="1" ref="C204" ca="1">_xludf.XLOOKUP(A204,'QA Log'!D:D,'QA Log'!F:F,"")</f>
        <v>#NAME?</v>
      </c>
      <c r="D204" s="102"/>
      <c r="E204" s="102" t="e">
        <f t="array" aca="1" ref="E204" ca="1">_xludf.XLOOKUP(A204,'QA Log'!D:D,'QA Log'!G:G,"")</f>
        <v>#NAME?</v>
      </c>
      <c r="F204" s="103"/>
      <c r="G204" s="104"/>
      <c r="H204" s="104"/>
      <c r="I204" s="103" t="str">
        <f t="shared" si="0"/>
        <v/>
      </c>
      <c r="J204" s="102"/>
      <c r="K204" s="102"/>
      <c r="L204" s="119" t="str">
        <f t="array" ref="L204">IF(OR($B204="",$D204=""),"",
IFERROR(
  INDEX(
    'Tools &amp; Targets_Guideline'!$C$54:$I$269,
    MATCH(
      1,
      ('Tools &amp; Targets_Guideline'!$A$54:$A$269=$B204)*
      ('Tools &amp; Targets_Guideline'!$B$54:$B$269="ANC"),
      0
    ),
    MATCH(
      _xludf.IFNA(
        VLOOKUP($D204,{"PH","Provincial Hospital (H2)";"DH","District Hospital (H3)";"RH","Regional / National Hospital (H1)"},2,0),
        $D204
      ),
      'Tools &amp; Targets_Guideline'!$C$53:$I$53,
      0
    )
  ),
0))</f>
        <v/>
      </c>
      <c r="M204" s="105"/>
      <c r="N204" s="119" t="str">
        <f t="array" ref="N204">IF(OR($B204="",$D204=""),"",
IFERROR(
  INDEX(
    'Tools &amp; Targets_Guideline'!$C$54:$I$269,
    MATCH(
      1,
      ('Tools &amp; Targets_Guideline'!$A$54:$A$269=$B204)*
      ('Tools &amp; Targets_Guideline'!$B$54:$B$269="PNC"),
      0
    ),
    MATCH(
      _xludf.IFNA(
        VLOOKUP($D204,{"PH","Provincial Hospital (H2)";"DH","District Hospital (H3)";"RH","Regional / National Hospital (H1)"},2,0),
        $D204
      ),
      'Tools &amp; Targets_Guideline'!$C$53:$I$53,
      0
    )
  ),
0))</f>
        <v/>
      </c>
      <c r="O204" s="105"/>
      <c r="P204" s="119" t="str">
        <f t="array" ref="P204">IF(OR($B204="",$D204=""),"",
IFERROR(
  INDEX(
    'Tools &amp; Targets_Guideline'!$C$54:$I$269,
    MATCH(
      1,
      ('Tools &amp; Targets_Guideline'!$A$54:$A$269=$B204)*
      ('Tools &amp; Targets_Guideline'!$B$54:$B$269="Delivery"),
      0
    ),
    MATCH(
      _xludf.IFNA(
        VLOOKUP($D204,{"PH","Provincial Hospital (H2)";"DH","District Hospital (H3)";"RH","Regional / National Hospital (H1)"},2,0),
        $D204
      ),
      'Tools &amp; Targets_Guideline'!$C$53:$I$53,
      0
    )
  ),
0))</f>
        <v/>
      </c>
      <c r="Q204" s="105"/>
      <c r="R204" s="119" t="str">
        <f t="array" ref="R204">IF(OR($B204="",$D204=""),"",
IFERROR(
  INDEX(
    'Tools &amp; Targets_Guideline'!$C$54:$I$269,
    MATCH(
      1,
      ('Tools &amp; Targets_Guideline'!$A$54:$A$269=$B204)*
      ('Tools &amp; Targets_Guideline'!$B$54:$B$269="TT"),
      0
    ),
    MATCH(
      _xludf.IFNA(
        VLOOKUP($D204,{"PH","Provincial Hospital (H2)";"DH","District Hospital (H3)";"RH","Regional / National Hospital (H1)"},2,0),
        $D204
      ),
      'Tools &amp; Targets_Guideline'!$C$53:$I$53,
      0
    )
  ),
0))</f>
        <v/>
      </c>
      <c r="S204" s="105"/>
      <c r="T204" s="102"/>
      <c r="U204" s="106"/>
      <c r="V204" s="102" t="str">
        <f t="shared" si="1"/>
        <v/>
      </c>
      <c r="W204" s="102"/>
      <c r="X204" s="102"/>
      <c r="Y204" s="119" t="str">
        <f t="array" ref="Y204">IF(OR($B204="",$D204=""),"",
IFERROR(
  INDEX(
    'Tools &amp; Targets_Guideline'!$C$54:$I$269,
    MATCH(
      1,
      ('Tools &amp; Targets_Guideline'!$A$54:$A$269=$B204)*
      ('Tools &amp; Targets_Guideline'!$B$54:$B$269="GM"),
      0
    ),
    MATCH(
      _xludf.IFNA(
        VLOOKUP($D204,{"PH","Provincial Hospital (H2)";"DH","District Hospital (H3)";"RH","Regional / National Hospital (H1)"},2,0),
        $D204
      ),
      'Tools &amp; Targets_Guideline'!$C$53:$I$53,
      0
    )
  ),
0))</f>
        <v/>
      </c>
      <c r="Z204" s="105"/>
      <c r="AA204" s="119" t="str">
        <f t="array" ref="AA204">IF(OR($B204="",$D204=""),"",
IFERROR(
  INDEX(
    'Tools &amp; Targets_Guideline'!$C$54:$I$269,
    MATCH(
      1,
      ('Tools &amp; Targets_Guideline'!$A$54:$A$269=$B204)*
      ('Tools &amp; Targets_Guideline'!$B$54:$B$269="Penta"),
      0
    ),
    MATCH(
      _xludf.IFNA(
        VLOOKUP($D204,{"PH","Provincial Hospital (H2)";"DH","District Hospital (H3)";"RH","Regional / National Hospital (H1)"},2,0),
        $D204
      ),
      'Tools &amp; Targets_Guideline'!$C$53:$I$53,
      0
    )
  ),
0))</f>
        <v/>
      </c>
      <c r="AB204" s="105"/>
      <c r="AC204" s="119" t="str">
        <f t="array" ref="AC204">IF(OR($B204="",$D204=""),"",
IFERROR(
  INDEX(
    'Tools &amp; Targets_Guideline'!$C$54:$I$269,
    MATCH(
      1,
      ('Tools &amp; Targets_Guideline'!$A$54:$A$269=$B204)*
      ('Tools &amp; Targets_Guideline'!$B$54:$B$269="TB"),
      0
    ),
    MATCH(
      _xludf.IFNA(
        VLOOKUP($D204,{"PH","Provincial Hospital (H2)";"DH","District Hospital (H3)";"RH","Regional / National Hospital (H1)"},2,0),
        $D204
      ),
      'Tools &amp; Targets_Guideline'!$C$53:$I$53,
      0
    )
  ),
0))</f>
        <v/>
      </c>
      <c r="AD204" s="105"/>
      <c r="AE204" s="119" t="str">
        <f t="array" ref="AE204">IF(OR($B204="",$D204=""),"",
IFERROR(
  INDEX(
    'Tools &amp; Targets_Guideline'!$C$54:$I$269,
    MATCH(
      1,
      ('Tools &amp; Targets_Guideline'!$A$54:$A$269=$B204)*
      ('Tools &amp; Targets_Guideline'!$B$54:$B$269="U5 Morbidity"),
      0
    ),
    MATCH(
      _xludf.IFNA(
        VLOOKUP($D204,{"PH","Provincial Hospital (H2)";"DH","District Hospital (H3)";"RH","Regional / National Hospital (H1)"},2,0),
        $D204
      ),
      'Tools &amp; Targets_Guideline'!$C$53:$I$53,
      0
    )
  ),
0))</f>
        <v/>
      </c>
      <c r="AF204" s="105"/>
      <c r="AG204" s="119" t="str">
        <f t="array" ref="AG204">IF(OR($B204="",$D204=""),"",
IFERROR(
  INDEX(
    'Tools &amp; Targets_Guideline'!$C$54:$I$269,
    MATCH(
      1,
      ('Tools &amp; Targets_Guideline'!$A$54:$A$269=$B204)*
      ('Tools &amp; Targets_Guideline'!$B$54:$B$269="C-Section"),
      0
    ),
    MATCH(
      _xludf.IFNA(
        VLOOKUP($D204,{"PH","Provincial Hospital (H2)";"DH","District Hospital (H3)";"RH","Regional / National Hospital (H1)"},2,0),
        $D204
      ),
      'Tools &amp; Targets_Guideline'!$C$53:$I$53,
      0
    )
  ),
0))</f>
        <v/>
      </c>
      <c r="AH204" s="105" t="str">
        <f>IF(A204&lt;&gt;"",COUNTIFS('QA Log'!D:D,A204,'QA Log'!M:M,"QQC",'QA Log'!L:L,"2. Hygiene and Sterilization",'QA Log'!Z:Z,"Approved"),"")</f>
        <v/>
      </c>
      <c r="AI204" s="102"/>
      <c r="AJ204" s="102"/>
      <c r="AK204" s="103" t="str">
        <f t="shared" si="2"/>
        <v/>
      </c>
      <c r="AL204" s="102"/>
      <c r="AM204" s="102"/>
      <c r="AN204" s="102"/>
      <c r="AO204" s="106"/>
      <c r="AP204" s="103"/>
      <c r="AQ204" s="102"/>
      <c r="AR204" s="102"/>
      <c r="AS204" s="102"/>
      <c r="AT204" s="107"/>
      <c r="AU204" s="102" t="str">
        <f t="shared" si="3"/>
        <v/>
      </c>
      <c r="AV204" s="102" t="str">
        <f t="shared" si="4"/>
        <v/>
      </c>
      <c r="AW204" s="102" t="str">
        <f t="shared" si="5"/>
        <v/>
      </c>
      <c r="AX204" s="102" t="str">
        <f t="shared" si="6"/>
        <v/>
      </c>
      <c r="AY204" s="107" t="str">
        <f t="shared" si="7"/>
        <v/>
      </c>
      <c r="AZ204" s="108" t="str">
        <f t="shared" si="8"/>
        <v/>
      </c>
      <c r="BA204" s="108" t="str">
        <f t="shared" si="9"/>
        <v/>
      </c>
      <c r="BB204" s="109" t="str">
        <f t="shared" si="10"/>
        <v/>
      </c>
      <c r="BC204" s="108" t="str">
        <f t="shared" si="11"/>
        <v/>
      </c>
      <c r="BD204" s="108" t="str">
        <f t="shared" si="12"/>
        <v/>
      </c>
      <c r="BE204" s="109" t="str">
        <f t="shared" si="13"/>
        <v/>
      </c>
      <c r="BF204" s="110" t="str">
        <f t="shared" si="14"/>
        <v/>
      </c>
      <c r="BG204" s="111"/>
    </row>
    <row r="205" spans="1:59" ht="12.75">
      <c r="A205" s="101"/>
      <c r="B205" s="102"/>
      <c r="C205" s="102" t="e">
        <f t="array" aca="1" ref="C205" ca="1">_xludf.XLOOKUP(A205,'QA Log'!D:D,'QA Log'!F:F,"")</f>
        <v>#NAME?</v>
      </c>
      <c r="D205" s="102"/>
      <c r="E205" s="102" t="e">
        <f t="array" aca="1" ref="E205" ca="1">_xludf.XLOOKUP(A205,'QA Log'!D:D,'QA Log'!G:G,"")</f>
        <v>#NAME?</v>
      </c>
      <c r="F205" s="103"/>
      <c r="G205" s="104"/>
      <c r="H205" s="104"/>
      <c r="I205" s="103" t="str">
        <f t="shared" si="0"/>
        <v/>
      </c>
      <c r="J205" s="102"/>
      <c r="K205" s="102"/>
      <c r="L205" s="119" t="str">
        <f t="array" ref="L205">IF(OR($B205="",$D205=""),"",
IFERROR(
  INDEX(
    'Tools &amp; Targets_Guideline'!$C$54:$I$269,
    MATCH(
      1,
      ('Tools &amp; Targets_Guideline'!$A$54:$A$269=$B205)*
      ('Tools &amp; Targets_Guideline'!$B$54:$B$269="ANC"),
      0
    ),
    MATCH(
      _xludf.IFNA(
        VLOOKUP($D205,{"PH","Provincial Hospital (H2)";"DH","District Hospital (H3)";"RH","Regional / National Hospital (H1)"},2,0),
        $D205
      ),
      'Tools &amp; Targets_Guideline'!$C$53:$I$53,
      0
    )
  ),
0))</f>
        <v/>
      </c>
      <c r="M205" s="105"/>
      <c r="N205" s="119" t="str">
        <f t="array" ref="N205">IF(OR($B205="",$D205=""),"",
IFERROR(
  INDEX(
    'Tools &amp; Targets_Guideline'!$C$54:$I$269,
    MATCH(
      1,
      ('Tools &amp; Targets_Guideline'!$A$54:$A$269=$B205)*
      ('Tools &amp; Targets_Guideline'!$B$54:$B$269="PNC"),
      0
    ),
    MATCH(
      _xludf.IFNA(
        VLOOKUP($D205,{"PH","Provincial Hospital (H2)";"DH","District Hospital (H3)";"RH","Regional / National Hospital (H1)"},2,0),
        $D205
      ),
      'Tools &amp; Targets_Guideline'!$C$53:$I$53,
      0
    )
  ),
0))</f>
        <v/>
      </c>
      <c r="O205" s="105"/>
      <c r="P205" s="119" t="str">
        <f t="array" ref="P205">IF(OR($B205="",$D205=""),"",
IFERROR(
  INDEX(
    'Tools &amp; Targets_Guideline'!$C$54:$I$269,
    MATCH(
      1,
      ('Tools &amp; Targets_Guideline'!$A$54:$A$269=$B205)*
      ('Tools &amp; Targets_Guideline'!$B$54:$B$269="Delivery"),
      0
    ),
    MATCH(
      _xludf.IFNA(
        VLOOKUP($D205,{"PH","Provincial Hospital (H2)";"DH","District Hospital (H3)";"RH","Regional / National Hospital (H1)"},2,0),
        $D205
      ),
      'Tools &amp; Targets_Guideline'!$C$53:$I$53,
      0
    )
  ),
0))</f>
        <v/>
      </c>
      <c r="Q205" s="105"/>
      <c r="R205" s="119" t="str">
        <f t="array" ref="R205">IF(OR($B205="",$D205=""),"",
IFERROR(
  INDEX(
    'Tools &amp; Targets_Guideline'!$C$54:$I$269,
    MATCH(
      1,
      ('Tools &amp; Targets_Guideline'!$A$54:$A$269=$B205)*
      ('Tools &amp; Targets_Guideline'!$B$54:$B$269="TT"),
      0
    ),
    MATCH(
      _xludf.IFNA(
        VLOOKUP($D205,{"PH","Provincial Hospital (H2)";"DH","District Hospital (H3)";"RH","Regional / National Hospital (H1)"},2,0),
        $D205
      ),
      'Tools &amp; Targets_Guideline'!$C$53:$I$53,
      0
    )
  ),
0))</f>
        <v/>
      </c>
      <c r="S205" s="105"/>
      <c r="T205" s="102"/>
      <c r="U205" s="106"/>
      <c r="V205" s="102" t="str">
        <f t="shared" si="1"/>
        <v/>
      </c>
      <c r="W205" s="102"/>
      <c r="X205" s="102"/>
      <c r="Y205" s="119" t="str">
        <f t="array" ref="Y205">IF(OR($B205="",$D205=""),"",
IFERROR(
  INDEX(
    'Tools &amp; Targets_Guideline'!$C$54:$I$269,
    MATCH(
      1,
      ('Tools &amp; Targets_Guideline'!$A$54:$A$269=$B205)*
      ('Tools &amp; Targets_Guideline'!$B$54:$B$269="GM"),
      0
    ),
    MATCH(
      _xludf.IFNA(
        VLOOKUP($D205,{"PH","Provincial Hospital (H2)";"DH","District Hospital (H3)";"RH","Regional / National Hospital (H1)"},2,0),
        $D205
      ),
      'Tools &amp; Targets_Guideline'!$C$53:$I$53,
      0
    )
  ),
0))</f>
        <v/>
      </c>
      <c r="Z205" s="105"/>
      <c r="AA205" s="119" t="str">
        <f t="array" ref="AA205">IF(OR($B205="",$D205=""),"",
IFERROR(
  INDEX(
    'Tools &amp; Targets_Guideline'!$C$54:$I$269,
    MATCH(
      1,
      ('Tools &amp; Targets_Guideline'!$A$54:$A$269=$B205)*
      ('Tools &amp; Targets_Guideline'!$B$54:$B$269="Penta"),
      0
    ),
    MATCH(
      _xludf.IFNA(
        VLOOKUP($D205,{"PH","Provincial Hospital (H2)";"DH","District Hospital (H3)";"RH","Regional / National Hospital (H1)"},2,0),
        $D205
      ),
      'Tools &amp; Targets_Guideline'!$C$53:$I$53,
      0
    )
  ),
0))</f>
        <v/>
      </c>
      <c r="AB205" s="105"/>
      <c r="AC205" s="119" t="str">
        <f t="array" ref="AC205">IF(OR($B205="",$D205=""),"",
IFERROR(
  INDEX(
    'Tools &amp; Targets_Guideline'!$C$54:$I$269,
    MATCH(
      1,
      ('Tools &amp; Targets_Guideline'!$A$54:$A$269=$B205)*
      ('Tools &amp; Targets_Guideline'!$B$54:$B$269="TB"),
      0
    ),
    MATCH(
      _xludf.IFNA(
        VLOOKUP($D205,{"PH","Provincial Hospital (H2)";"DH","District Hospital (H3)";"RH","Regional / National Hospital (H1)"},2,0),
        $D205
      ),
      'Tools &amp; Targets_Guideline'!$C$53:$I$53,
      0
    )
  ),
0))</f>
        <v/>
      </c>
      <c r="AD205" s="105"/>
      <c r="AE205" s="119" t="str">
        <f t="array" ref="AE205">IF(OR($B205="",$D205=""),"",
IFERROR(
  INDEX(
    'Tools &amp; Targets_Guideline'!$C$54:$I$269,
    MATCH(
      1,
      ('Tools &amp; Targets_Guideline'!$A$54:$A$269=$B205)*
      ('Tools &amp; Targets_Guideline'!$B$54:$B$269="U5 Morbidity"),
      0
    ),
    MATCH(
      _xludf.IFNA(
        VLOOKUP($D205,{"PH","Provincial Hospital (H2)";"DH","District Hospital (H3)";"RH","Regional / National Hospital (H1)"},2,0),
        $D205
      ),
      'Tools &amp; Targets_Guideline'!$C$53:$I$53,
      0
    )
  ),
0))</f>
        <v/>
      </c>
      <c r="AF205" s="105"/>
      <c r="AG205" s="119" t="str">
        <f t="array" ref="AG205">IF(OR($B205="",$D205=""),"",
IFERROR(
  INDEX(
    'Tools &amp; Targets_Guideline'!$C$54:$I$269,
    MATCH(
      1,
      ('Tools &amp; Targets_Guideline'!$A$54:$A$269=$B205)*
      ('Tools &amp; Targets_Guideline'!$B$54:$B$269="C-Section"),
      0
    ),
    MATCH(
      _xludf.IFNA(
        VLOOKUP($D205,{"PH","Provincial Hospital (H2)";"DH","District Hospital (H3)";"RH","Regional / National Hospital (H1)"},2,0),
        $D205
      ),
      'Tools &amp; Targets_Guideline'!$C$53:$I$53,
      0
    )
  ),
0))</f>
        <v/>
      </c>
      <c r="AH205" s="105" t="str">
        <f>IF(A205&lt;&gt;"",COUNTIFS('QA Log'!D:D,A205,'QA Log'!M:M,"QQC",'QA Log'!L:L,"2. Hygiene and Sterilization",'QA Log'!Z:Z,"Approved"),"")</f>
        <v/>
      </c>
      <c r="AI205" s="102"/>
      <c r="AJ205" s="102"/>
      <c r="AK205" s="103" t="str">
        <f t="shared" si="2"/>
        <v/>
      </c>
      <c r="AL205" s="102"/>
      <c r="AM205" s="102"/>
      <c r="AN205" s="102"/>
      <c r="AO205" s="106"/>
      <c r="AP205" s="103"/>
      <c r="AQ205" s="102"/>
      <c r="AR205" s="102"/>
      <c r="AS205" s="102"/>
      <c r="AT205" s="107"/>
      <c r="AU205" s="102" t="str">
        <f t="shared" si="3"/>
        <v/>
      </c>
      <c r="AV205" s="102" t="str">
        <f t="shared" si="4"/>
        <v/>
      </c>
      <c r="AW205" s="102" t="str">
        <f t="shared" si="5"/>
        <v/>
      </c>
      <c r="AX205" s="102" t="str">
        <f t="shared" si="6"/>
        <v/>
      </c>
      <c r="AY205" s="107" t="str">
        <f t="shared" si="7"/>
        <v/>
      </c>
      <c r="AZ205" s="108" t="str">
        <f t="shared" si="8"/>
        <v/>
      </c>
      <c r="BA205" s="108" t="str">
        <f t="shared" si="9"/>
        <v/>
      </c>
      <c r="BB205" s="109" t="str">
        <f t="shared" si="10"/>
        <v/>
      </c>
      <c r="BC205" s="108" t="str">
        <f t="shared" si="11"/>
        <v/>
      </c>
      <c r="BD205" s="108" t="str">
        <f t="shared" si="12"/>
        <v/>
      </c>
      <c r="BE205" s="109" t="str">
        <f t="shared" si="13"/>
        <v/>
      </c>
      <c r="BF205" s="110" t="str">
        <f t="shared" si="14"/>
        <v/>
      </c>
      <c r="BG205" s="111"/>
    </row>
    <row r="206" spans="1:59" ht="12.75">
      <c r="A206" s="101"/>
      <c r="B206" s="102"/>
      <c r="C206" s="102" t="e">
        <f t="array" aca="1" ref="C206" ca="1">_xludf.XLOOKUP(A206,'QA Log'!D:D,'QA Log'!F:F,"")</f>
        <v>#NAME?</v>
      </c>
      <c r="D206" s="102"/>
      <c r="E206" s="102" t="e">
        <f t="array" aca="1" ref="E206" ca="1">_xludf.XLOOKUP(A206,'QA Log'!D:D,'QA Log'!G:G,"")</f>
        <v>#NAME?</v>
      </c>
      <c r="F206" s="103"/>
      <c r="G206" s="104"/>
      <c r="H206" s="104"/>
      <c r="I206" s="103" t="str">
        <f t="shared" si="0"/>
        <v/>
      </c>
      <c r="J206" s="102"/>
      <c r="K206" s="102"/>
      <c r="L206" s="119" t="str">
        <f t="array" ref="L206">IF(OR($B206="",$D206=""),"",
IFERROR(
  INDEX(
    'Tools &amp; Targets_Guideline'!$C$54:$I$269,
    MATCH(
      1,
      ('Tools &amp; Targets_Guideline'!$A$54:$A$269=$B206)*
      ('Tools &amp; Targets_Guideline'!$B$54:$B$269="ANC"),
      0
    ),
    MATCH(
      _xludf.IFNA(
        VLOOKUP($D206,{"PH","Provincial Hospital (H2)";"DH","District Hospital (H3)";"RH","Regional / National Hospital (H1)"},2,0),
        $D206
      ),
      'Tools &amp; Targets_Guideline'!$C$53:$I$53,
      0
    )
  ),
0))</f>
        <v/>
      </c>
      <c r="M206" s="105"/>
      <c r="N206" s="119" t="str">
        <f t="array" ref="N206">IF(OR($B206="",$D206=""),"",
IFERROR(
  INDEX(
    'Tools &amp; Targets_Guideline'!$C$54:$I$269,
    MATCH(
      1,
      ('Tools &amp; Targets_Guideline'!$A$54:$A$269=$B206)*
      ('Tools &amp; Targets_Guideline'!$B$54:$B$269="PNC"),
      0
    ),
    MATCH(
      _xludf.IFNA(
        VLOOKUP($D206,{"PH","Provincial Hospital (H2)";"DH","District Hospital (H3)";"RH","Regional / National Hospital (H1)"},2,0),
        $D206
      ),
      'Tools &amp; Targets_Guideline'!$C$53:$I$53,
      0
    )
  ),
0))</f>
        <v/>
      </c>
      <c r="O206" s="105"/>
      <c r="P206" s="119" t="str">
        <f t="array" ref="P206">IF(OR($B206="",$D206=""),"",
IFERROR(
  INDEX(
    'Tools &amp; Targets_Guideline'!$C$54:$I$269,
    MATCH(
      1,
      ('Tools &amp; Targets_Guideline'!$A$54:$A$269=$B206)*
      ('Tools &amp; Targets_Guideline'!$B$54:$B$269="Delivery"),
      0
    ),
    MATCH(
      _xludf.IFNA(
        VLOOKUP($D206,{"PH","Provincial Hospital (H2)";"DH","District Hospital (H3)";"RH","Regional / National Hospital (H1)"},2,0),
        $D206
      ),
      'Tools &amp; Targets_Guideline'!$C$53:$I$53,
      0
    )
  ),
0))</f>
        <v/>
      </c>
      <c r="Q206" s="105"/>
      <c r="R206" s="119" t="str">
        <f t="array" ref="R206">IF(OR($B206="",$D206=""),"",
IFERROR(
  INDEX(
    'Tools &amp; Targets_Guideline'!$C$54:$I$269,
    MATCH(
      1,
      ('Tools &amp; Targets_Guideline'!$A$54:$A$269=$B206)*
      ('Tools &amp; Targets_Guideline'!$B$54:$B$269="TT"),
      0
    ),
    MATCH(
      _xludf.IFNA(
        VLOOKUP($D206,{"PH","Provincial Hospital (H2)";"DH","District Hospital (H3)";"RH","Regional / National Hospital (H1)"},2,0),
        $D206
      ),
      'Tools &amp; Targets_Guideline'!$C$53:$I$53,
      0
    )
  ),
0))</f>
        <v/>
      </c>
      <c r="S206" s="105"/>
      <c r="T206" s="102"/>
      <c r="U206" s="106"/>
      <c r="V206" s="102" t="str">
        <f t="shared" si="1"/>
        <v/>
      </c>
      <c r="W206" s="102"/>
      <c r="X206" s="102"/>
      <c r="Y206" s="119" t="str">
        <f t="array" ref="Y206">IF(OR($B206="",$D206=""),"",
IFERROR(
  INDEX(
    'Tools &amp; Targets_Guideline'!$C$54:$I$269,
    MATCH(
      1,
      ('Tools &amp; Targets_Guideline'!$A$54:$A$269=$B206)*
      ('Tools &amp; Targets_Guideline'!$B$54:$B$269="GM"),
      0
    ),
    MATCH(
      _xludf.IFNA(
        VLOOKUP($D206,{"PH","Provincial Hospital (H2)";"DH","District Hospital (H3)";"RH","Regional / National Hospital (H1)"},2,0),
        $D206
      ),
      'Tools &amp; Targets_Guideline'!$C$53:$I$53,
      0
    )
  ),
0))</f>
        <v/>
      </c>
      <c r="Z206" s="105"/>
      <c r="AA206" s="119" t="str">
        <f t="array" ref="AA206">IF(OR($B206="",$D206=""),"",
IFERROR(
  INDEX(
    'Tools &amp; Targets_Guideline'!$C$54:$I$269,
    MATCH(
      1,
      ('Tools &amp; Targets_Guideline'!$A$54:$A$269=$B206)*
      ('Tools &amp; Targets_Guideline'!$B$54:$B$269="Penta"),
      0
    ),
    MATCH(
      _xludf.IFNA(
        VLOOKUP($D206,{"PH","Provincial Hospital (H2)";"DH","District Hospital (H3)";"RH","Regional / National Hospital (H1)"},2,0),
        $D206
      ),
      'Tools &amp; Targets_Guideline'!$C$53:$I$53,
      0
    )
  ),
0))</f>
        <v/>
      </c>
      <c r="AB206" s="105"/>
      <c r="AC206" s="119" t="str">
        <f t="array" ref="AC206">IF(OR($B206="",$D206=""),"",
IFERROR(
  INDEX(
    'Tools &amp; Targets_Guideline'!$C$54:$I$269,
    MATCH(
      1,
      ('Tools &amp; Targets_Guideline'!$A$54:$A$269=$B206)*
      ('Tools &amp; Targets_Guideline'!$B$54:$B$269="TB"),
      0
    ),
    MATCH(
      _xludf.IFNA(
        VLOOKUP($D206,{"PH","Provincial Hospital (H2)";"DH","District Hospital (H3)";"RH","Regional / National Hospital (H1)"},2,0),
        $D206
      ),
      'Tools &amp; Targets_Guideline'!$C$53:$I$53,
      0
    )
  ),
0))</f>
        <v/>
      </c>
      <c r="AD206" s="105"/>
      <c r="AE206" s="119" t="str">
        <f t="array" ref="AE206">IF(OR($B206="",$D206=""),"",
IFERROR(
  INDEX(
    'Tools &amp; Targets_Guideline'!$C$54:$I$269,
    MATCH(
      1,
      ('Tools &amp; Targets_Guideline'!$A$54:$A$269=$B206)*
      ('Tools &amp; Targets_Guideline'!$B$54:$B$269="U5 Morbidity"),
      0
    ),
    MATCH(
      _xludf.IFNA(
        VLOOKUP($D206,{"PH","Provincial Hospital (H2)";"DH","District Hospital (H3)";"RH","Regional / National Hospital (H1)"},2,0),
        $D206
      ),
      'Tools &amp; Targets_Guideline'!$C$53:$I$53,
      0
    )
  ),
0))</f>
        <v/>
      </c>
      <c r="AF206" s="105"/>
      <c r="AG206" s="119" t="str">
        <f t="array" ref="AG206">IF(OR($B206="",$D206=""),"",
IFERROR(
  INDEX(
    'Tools &amp; Targets_Guideline'!$C$54:$I$269,
    MATCH(
      1,
      ('Tools &amp; Targets_Guideline'!$A$54:$A$269=$B206)*
      ('Tools &amp; Targets_Guideline'!$B$54:$B$269="C-Section"),
      0
    ),
    MATCH(
      _xludf.IFNA(
        VLOOKUP($D206,{"PH","Provincial Hospital (H2)";"DH","District Hospital (H3)";"RH","Regional / National Hospital (H1)"},2,0),
        $D206
      ),
      'Tools &amp; Targets_Guideline'!$C$53:$I$53,
      0
    )
  ),
0))</f>
        <v/>
      </c>
      <c r="AH206" s="105" t="str">
        <f>IF(A206&lt;&gt;"",COUNTIFS('QA Log'!D:D,A206,'QA Log'!M:M,"QQC",'QA Log'!L:L,"2. Hygiene and Sterilization",'QA Log'!Z:Z,"Approved"),"")</f>
        <v/>
      </c>
      <c r="AI206" s="102"/>
      <c r="AJ206" s="102"/>
      <c r="AK206" s="103" t="str">
        <f t="shared" si="2"/>
        <v/>
      </c>
      <c r="AL206" s="102"/>
      <c r="AM206" s="102"/>
      <c r="AN206" s="102"/>
      <c r="AO206" s="106"/>
      <c r="AP206" s="103"/>
      <c r="AQ206" s="102"/>
      <c r="AR206" s="102"/>
      <c r="AS206" s="102"/>
      <c r="AT206" s="107"/>
      <c r="AU206" s="102" t="str">
        <f t="shared" si="3"/>
        <v/>
      </c>
      <c r="AV206" s="102" t="str">
        <f t="shared" si="4"/>
        <v/>
      </c>
      <c r="AW206" s="102" t="str">
        <f t="shared" si="5"/>
        <v/>
      </c>
      <c r="AX206" s="102" t="str">
        <f t="shared" si="6"/>
        <v/>
      </c>
      <c r="AY206" s="107" t="str">
        <f t="shared" si="7"/>
        <v/>
      </c>
      <c r="AZ206" s="108" t="str">
        <f t="shared" si="8"/>
        <v/>
      </c>
      <c r="BA206" s="108" t="str">
        <f t="shared" si="9"/>
        <v/>
      </c>
      <c r="BB206" s="109" t="str">
        <f t="shared" si="10"/>
        <v/>
      </c>
      <c r="BC206" s="108" t="str">
        <f t="shared" si="11"/>
        <v/>
      </c>
      <c r="BD206" s="108" t="str">
        <f t="shared" si="12"/>
        <v/>
      </c>
      <c r="BE206" s="109" t="str">
        <f t="shared" si="13"/>
        <v/>
      </c>
      <c r="BF206" s="110" t="str">
        <f t="shared" si="14"/>
        <v/>
      </c>
      <c r="BG206" s="111"/>
    </row>
    <row r="207" spans="1:59" ht="12.75">
      <c r="A207" s="101"/>
      <c r="B207" s="102"/>
      <c r="C207" s="102" t="e">
        <f t="array" aca="1" ref="C207" ca="1">_xludf.XLOOKUP(A207,'QA Log'!D:D,'QA Log'!F:F,"")</f>
        <v>#NAME?</v>
      </c>
      <c r="D207" s="102"/>
      <c r="E207" s="102" t="e">
        <f t="array" aca="1" ref="E207" ca="1">_xludf.XLOOKUP(A207,'QA Log'!D:D,'QA Log'!G:G,"")</f>
        <v>#NAME?</v>
      </c>
      <c r="F207" s="103"/>
      <c r="G207" s="104"/>
      <c r="H207" s="104"/>
      <c r="I207" s="103" t="str">
        <f t="shared" si="0"/>
        <v/>
      </c>
      <c r="J207" s="102"/>
      <c r="K207" s="102"/>
      <c r="L207" s="119" t="str">
        <f t="array" ref="L207">IF(OR($B207="",$D207=""),"",
IFERROR(
  INDEX(
    'Tools &amp; Targets_Guideline'!$C$54:$I$269,
    MATCH(
      1,
      ('Tools &amp; Targets_Guideline'!$A$54:$A$269=$B207)*
      ('Tools &amp; Targets_Guideline'!$B$54:$B$269="ANC"),
      0
    ),
    MATCH(
      _xludf.IFNA(
        VLOOKUP($D207,{"PH","Provincial Hospital (H2)";"DH","District Hospital (H3)";"RH","Regional / National Hospital (H1)"},2,0),
        $D207
      ),
      'Tools &amp; Targets_Guideline'!$C$53:$I$53,
      0
    )
  ),
0))</f>
        <v/>
      </c>
      <c r="M207" s="105"/>
      <c r="N207" s="119" t="str">
        <f t="array" ref="N207">IF(OR($B207="",$D207=""),"",
IFERROR(
  INDEX(
    'Tools &amp; Targets_Guideline'!$C$54:$I$269,
    MATCH(
      1,
      ('Tools &amp; Targets_Guideline'!$A$54:$A$269=$B207)*
      ('Tools &amp; Targets_Guideline'!$B$54:$B$269="PNC"),
      0
    ),
    MATCH(
      _xludf.IFNA(
        VLOOKUP($D207,{"PH","Provincial Hospital (H2)";"DH","District Hospital (H3)";"RH","Regional / National Hospital (H1)"},2,0),
        $D207
      ),
      'Tools &amp; Targets_Guideline'!$C$53:$I$53,
      0
    )
  ),
0))</f>
        <v/>
      </c>
      <c r="O207" s="105"/>
      <c r="P207" s="119" t="str">
        <f t="array" ref="P207">IF(OR($B207="",$D207=""),"",
IFERROR(
  INDEX(
    'Tools &amp; Targets_Guideline'!$C$54:$I$269,
    MATCH(
      1,
      ('Tools &amp; Targets_Guideline'!$A$54:$A$269=$B207)*
      ('Tools &amp; Targets_Guideline'!$B$54:$B$269="Delivery"),
      0
    ),
    MATCH(
      _xludf.IFNA(
        VLOOKUP($D207,{"PH","Provincial Hospital (H2)";"DH","District Hospital (H3)";"RH","Regional / National Hospital (H1)"},2,0),
        $D207
      ),
      'Tools &amp; Targets_Guideline'!$C$53:$I$53,
      0
    )
  ),
0))</f>
        <v/>
      </c>
      <c r="Q207" s="105"/>
      <c r="R207" s="119" t="str">
        <f t="array" ref="R207">IF(OR($B207="",$D207=""),"",
IFERROR(
  INDEX(
    'Tools &amp; Targets_Guideline'!$C$54:$I$269,
    MATCH(
      1,
      ('Tools &amp; Targets_Guideline'!$A$54:$A$269=$B207)*
      ('Tools &amp; Targets_Guideline'!$B$54:$B$269="TT"),
      0
    ),
    MATCH(
      _xludf.IFNA(
        VLOOKUP($D207,{"PH","Provincial Hospital (H2)";"DH","District Hospital (H3)";"RH","Regional / National Hospital (H1)"},2,0),
        $D207
      ),
      'Tools &amp; Targets_Guideline'!$C$53:$I$53,
      0
    )
  ),
0))</f>
        <v/>
      </c>
      <c r="S207" s="105"/>
      <c r="T207" s="102"/>
      <c r="U207" s="106"/>
      <c r="V207" s="102" t="str">
        <f t="shared" si="1"/>
        <v/>
      </c>
      <c r="W207" s="102"/>
      <c r="X207" s="102"/>
      <c r="Y207" s="119" t="str">
        <f t="array" ref="Y207">IF(OR($B207="",$D207=""),"",
IFERROR(
  INDEX(
    'Tools &amp; Targets_Guideline'!$C$54:$I$269,
    MATCH(
      1,
      ('Tools &amp; Targets_Guideline'!$A$54:$A$269=$B207)*
      ('Tools &amp; Targets_Guideline'!$B$54:$B$269="GM"),
      0
    ),
    MATCH(
      _xludf.IFNA(
        VLOOKUP($D207,{"PH","Provincial Hospital (H2)";"DH","District Hospital (H3)";"RH","Regional / National Hospital (H1)"},2,0),
        $D207
      ),
      'Tools &amp; Targets_Guideline'!$C$53:$I$53,
      0
    )
  ),
0))</f>
        <v/>
      </c>
      <c r="Z207" s="105"/>
      <c r="AA207" s="119" t="str">
        <f t="array" ref="AA207">IF(OR($B207="",$D207=""),"",
IFERROR(
  INDEX(
    'Tools &amp; Targets_Guideline'!$C$54:$I$269,
    MATCH(
      1,
      ('Tools &amp; Targets_Guideline'!$A$54:$A$269=$B207)*
      ('Tools &amp; Targets_Guideline'!$B$54:$B$269="Penta"),
      0
    ),
    MATCH(
      _xludf.IFNA(
        VLOOKUP($D207,{"PH","Provincial Hospital (H2)";"DH","District Hospital (H3)";"RH","Regional / National Hospital (H1)"},2,0),
        $D207
      ),
      'Tools &amp; Targets_Guideline'!$C$53:$I$53,
      0
    )
  ),
0))</f>
        <v/>
      </c>
      <c r="AB207" s="105"/>
      <c r="AC207" s="119" t="str">
        <f t="array" ref="AC207">IF(OR($B207="",$D207=""),"",
IFERROR(
  INDEX(
    'Tools &amp; Targets_Guideline'!$C$54:$I$269,
    MATCH(
      1,
      ('Tools &amp; Targets_Guideline'!$A$54:$A$269=$B207)*
      ('Tools &amp; Targets_Guideline'!$B$54:$B$269="TB"),
      0
    ),
    MATCH(
      _xludf.IFNA(
        VLOOKUP($D207,{"PH","Provincial Hospital (H2)";"DH","District Hospital (H3)";"RH","Regional / National Hospital (H1)"},2,0),
        $D207
      ),
      'Tools &amp; Targets_Guideline'!$C$53:$I$53,
      0
    )
  ),
0))</f>
        <v/>
      </c>
      <c r="AD207" s="105"/>
      <c r="AE207" s="119" t="str">
        <f t="array" ref="AE207">IF(OR($B207="",$D207=""),"",
IFERROR(
  INDEX(
    'Tools &amp; Targets_Guideline'!$C$54:$I$269,
    MATCH(
      1,
      ('Tools &amp; Targets_Guideline'!$A$54:$A$269=$B207)*
      ('Tools &amp; Targets_Guideline'!$B$54:$B$269="U5 Morbidity"),
      0
    ),
    MATCH(
      _xludf.IFNA(
        VLOOKUP($D207,{"PH","Provincial Hospital (H2)";"DH","District Hospital (H3)";"RH","Regional / National Hospital (H1)"},2,0),
        $D207
      ),
      'Tools &amp; Targets_Guideline'!$C$53:$I$53,
      0
    )
  ),
0))</f>
        <v/>
      </c>
      <c r="AF207" s="105"/>
      <c r="AG207" s="119" t="str">
        <f t="array" ref="AG207">IF(OR($B207="",$D207=""),"",
IFERROR(
  INDEX(
    'Tools &amp; Targets_Guideline'!$C$54:$I$269,
    MATCH(
      1,
      ('Tools &amp; Targets_Guideline'!$A$54:$A$269=$B207)*
      ('Tools &amp; Targets_Guideline'!$B$54:$B$269="C-Section"),
      0
    ),
    MATCH(
      _xludf.IFNA(
        VLOOKUP($D207,{"PH","Provincial Hospital (H2)";"DH","District Hospital (H3)";"RH","Regional / National Hospital (H1)"},2,0),
        $D207
      ),
      'Tools &amp; Targets_Guideline'!$C$53:$I$53,
      0
    )
  ),
0))</f>
        <v/>
      </c>
      <c r="AH207" s="105" t="str">
        <f>IF(A207&lt;&gt;"",COUNTIFS('QA Log'!D:D,A207,'QA Log'!M:M,"QQC",'QA Log'!L:L,"2. Hygiene and Sterilization",'QA Log'!Z:Z,"Approved"),"")</f>
        <v/>
      </c>
      <c r="AI207" s="102"/>
      <c r="AJ207" s="102"/>
      <c r="AK207" s="103" t="str">
        <f t="shared" si="2"/>
        <v/>
      </c>
      <c r="AL207" s="102"/>
      <c r="AM207" s="102"/>
      <c r="AN207" s="102"/>
      <c r="AO207" s="106"/>
      <c r="AP207" s="103"/>
      <c r="AQ207" s="102"/>
      <c r="AR207" s="102"/>
      <c r="AS207" s="102"/>
      <c r="AT207" s="107"/>
      <c r="AU207" s="102" t="str">
        <f t="shared" si="3"/>
        <v/>
      </c>
      <c r="AV207" s="102" t="str">
        <f t="shared" si="4"/>
        <v/>
      </c>
      <c r="AW207" s="102" t="str">
        <f t="shared" si="5"/>
        <v/>
      </c>
      <c r="AX207" s="102" t="str">
        <f t="shared" si="6"/>
        <v/>
      </c>
      <c r="AY207" s="107" t="str">
        <f t="shared" si="7"/>
        <v/>
      </c>
      <c r="AZ207" s="108" t="str">
        <f t="shared" si="8"/>
        <v/>
      </c>
      <c r="BA207" s="108" t="str">
        <f t="shared" si="9"/>
        <v/>
      </c>
      <c r="BB207" s="109" t="str">
        <f t="shared" si="10"/>
        <v/>
      </c>
      <c r="BC207" s="108" t="str">
        <f t="shared" si="11"/>
        <v/>
      </c>
      <c r="BD207" s="108" t="str">
        <f t="shared" si="12"/>
        <v/>
      </c>
      <c r="BE207" s="109" t="str">
        <f t="shared" si="13"/>
        <v/>
      </c>
      <c r="BF207" s="110" t="str">
        <f t="shared" si="14"/>
        <v/>
      </c>
      <c r="BG207" s="111"/>
    </row>
    <row r="208" spans="1:59" ht="12.75">
      <c r="A208" s="101"/>
      <c r="B208" s="102"/>
      <c r="C208" s="102" t="e">
        <f t="array" aca="1" ref="C208" ca="1">_xludf.XLOOKUP(A208,'QA Log'!D:D,'QA Log'!F:F,"")</f>
        <v>#NAME?</v>
      </c>
      <c r="D208" s="102"/>
      <c r="E208" s="102" t="e">
        <f t="array" aca="1" ref="E208" ca="1">_xludf.XLOOKUP(A208,'QA Log'!D:D,'QA Log'!G:G,"")</f>
        <v>#NAME?</v>
      </c>
      <c r="F208" s="103"/>
      <c r="G208" s="104"/>
      <c r="H208" s="104"/>
      <c r="I208" s="103" t="str">
        <f t="shared" si="0"/>
        <v/>
      </c>
      <c r="J208" s="102"/>
      <c r="K208" s="102"/>
      <c r="L208" s="119" t="str">
        <f t="array" ref="L208">IF(OR($B208="",$D208=""),"",
IFERROR(
  INDEX(
    'Tools &amp; Targets_Guideline'!$C$54:$I$269,
    MATCH(
      1,
      ('Tools &amp; Targets_Guideline'!$A$54:$A$269=$B208)*
      ('Tools &amp; Targets_Guideline'!$B$54:$B$269="ANC"),
      0
    ),
    MATCH(
      _xludf.IFNA(
        VLOOKUP($D208,{"PH","Provincial Hospital (H2)";"DH","District Hospital (H3)";"RH","Regional / National Hospital (H1)"},2,0),
        $D208
      ),
      'Tools &amp; Targets_Guideline'!$C$53:$I$53,
      0
    )
  ),
0))</f>
        <v/>
      </c>
      <c r="M208" s="105"/>
      <c r="N208" s="119" t="str">
        <f t="array" ref="N208">IF(OR($B208="",$D208=""),"",
IFERROR(
  INDEX(
    'Tools &amp; Targets_Guideline'!$C$54:$I$269,
    MATCH(
      1,
      ('Tools &amp; Targets_Guideline'!$A$54:$A$269=$B208)*
      ('Tools &amp; Targets_Guideline'!$B$54:$B$269="PNC"),
      0
    ),
    MATCH(
      _xludf.IFNA(
        VLOOKUP($D208,{"PH","Provincial Hospital (H2)";"DH","District Hospital (H3)";"RH","Regional / National Hospital (H1)"},2,0),
        $D208
      ),
      'Tools &amp; Targets_Guideline'!$C$53:$I$53,
      0
    )
  ),
0))</f>
        <v/>
      </c>
      <c r="O208" s="105"/>
      <c r="P208" s="119" t="str">
        <f t="array" ref="P208">IF(OR($B208="",$D208=""),"",
IFERROR(
  INDEX(
    'Tools &amp; Targets_Guideline'!$C$54:$I$269,
    MATCH(
      1,
      ('Tools &amp; Targets_Guideline'!$A$54:$A$269=$B208)*
      ('Tools &amp; Targets_Guideline'!$B$54:$B$269="Delivery"),
      0
    ),
    MATCH(
      _xludf.IFNA(
        VLOOKUP($D208,{"PH","Provincial Hospital (H2)";"DH","District Hospital (H3)";"RH","Regional / National Hospital (H1)"},2,0),
        $D208
      ),
      'Tools &amp; Targets_Guideline'!$C$53:$I$53,
      0
    )
  ),
0))</f>
        <v/>
      </c>
      <c r="Q208" s="105"/>
      <c r="R208" s="119" t="str">
        <f t="array" ref="R208">IF(OR($B208="",$D208=""),"",
IFERROR(
  INDEX(
    'Tools &amp; Targets_Guideline'!$C$54:$I$269,
    MATCH(
      1,
      ('Tools &amp; Targets_Guideline'!$A$54:$A$269=$B208)*
      ('Tools &amp; Targets_Guideline'!$B$54:$B$269="TT"),
      0
    ),
    MATCH(
      _xludf.IFNA(
        VLOOKUP($D208,{"PH","Provincial Hospital (H2)";"DH","District Hospital (H3)";"RH","Regional / National Hospital (H1)"},2,0),
        $D208
      ),
      'Tools &amp; Targets_Guideline'!$C$53:$I$53,
      0
    )
  ),
0))</f>
        <v/>
      </c>
      <c r="S208" s="105"/>
      <c r="T208" s="102"/>
      <c r="U208" s="106"/>
      <c r="V208" s="102" t="str">
        <f t="shared" si="1"/>
        <v/>
      </c>
      <c r="W208" s="102"/>
      <c r="X208" s="102"/>
      <c r="Y208" s="119" t="str">
        <f t="array" ref="Y208">IF(OR($B208="",$D208=""),"",
IFERROR(
  INDEX(
    'Tools &amp; Targets_Guideline'!$C$54:$I$269,
    MATCH(
      1,
      ('Tools &amp; Targets_Guideline'!$A$54:$A$269=$B208)*
      ('Tools &amp; Targets_Guideline'!$B$54:$B$269="GM"),
      0
    ),
    MATCH(
      _xludf.IFNA(
        VLOOKUP($D208,{"PH","Provincial Hospital (H2)";"DH","District Hospital (H3)";"RH","Regional / National Hospital (H1)"},2,0),
        $D208
      ),
      'Tools &amp; Targets_Guideline'!$C$53:$I$53,
      0
    )
  ),
0))</f>
        <v/>
      </c>
      <c r="Z208" s="105"/>
      <c r="AA208" s="119" t="str">
        <f t="array" ref="AA208">IF(OR($B208="",$D208=""),"",
IFERROR(
  INDEX(
    'Tools &amp; Targets_Guideline'!$C$54:$I$269,
    MATCH(
      1,
      ('Tools &amp; Targets_Guideline'!$A$54:$A$269=$B208)*
      ('Tools &amp; Targets_Guideline'!$B$54:$B$269="Penta"),
      0
    ),
    MATCH(
      _xludf.IFNA(
        VLOOKUP($D208,{"PH","Provincial Hospital (H2)";"DH","District Hospital (H3)";"RH","Regional / National Hospital (H1)"},2,0),
        $D208
      ),
      'Tools &amp; Targets_Guideline'!$C$53:$I$53,
      0
    )
  ),
0))</f>
        <v/>
      </c>
      <c r="AB208" s="105"/>
      <c r="AC208" s="119" t="str">
        <f t="array" ref="AC208">IF(OR($B208="",$D208=""),"",
IFERROR(
  INDEX(
    'Tools &amp; Targets_Guideline'!$C$54:$I$269,
    MATCH(
      1,
      ('Tools &amp; Targets_Guideline'!$A$54:$A$269=$B208)*
      ('Tools &amp; Targets_Guideline'!$B$54:$B$269="TB"),
      0
    ),
    MATCH(
      _xludf.IFNA(
        VLOOKUP($D208,{"PH","Provincial Hospital (H2)";"DH","District Hospital (H3)";"RH","Regional / National Hospital (H1)"},2,0),
        $D208
      ),
      'Tools &amp; Targets_Guideline'!$C$53:$I$53,
      0
    )
  ),
0))</f>
        <v/>
      </c>
      <c r="AD208" s="105"/>
      <c r="AE208" s="119" t="str">
        <f t="array" ref="AE208">IF(OR($B208="",$D208=""),"",
IFERROR(
  INDEX(
    'Tools &amp; Targets_Guideline'!$C$54:$I$269,
    MATCH(
      1,
      ('Tools &amp; Targets_Guideline'!$A$54:$A$269=$B208)*
      ('Tools &amp; Targets_Guideline'!$B$54:$B$269="U5 Morbidity"),
      0
    ),
    MATCH(
      _xludf.IFNA(
        VLOOKUP($D208,{"PH","Provincial Hospital (H2)";"DH","District Hospital (H3)";"RH","Regional / National Hospital (H1)"},2,0),
        $D208
      ),
      'Tools &amp; Targets_Guideline'!$C$53:$I$53,
      0
    )
  ),
0))</f>
        <v/>
      </c>
      <c r="AF208" s="105"/>
      <c r="AG208" s="119" t="str">
        <f t="array" ref="AG208">IF(OR($B208="",$D208=""),"",
IFERROR(
  INDEX(
    'Tools &amp; Targets_Guideline'!$C$54:$I$269,
    MATCH(
      1,
      ('Tools &amp; Targets_Guideline'!$A$54:$A$269=$B208)*
      ('Tools &amp; Targets_Guideline'!$B$54:$B$269="C-Section"),
      0
    ),
    MATCH(
      _xludf.IFNA(
        VLOOKUP($D208,{"PH","Provincial Hospital (H2)";"DH","District Hospital (H3)";"RH","Regional / National Hospital (H1)"},2,0),
        $D208
      ),
      'Tools &amp; Targets_Guideline'!$C$53:$I$53,
      0
    )
  ),
0))</f>
        <v/>
      </c>
      <c r="AH208" s="105" t="str">
        <f>IF(A208&lt;&gt;"",COUNTIFS('QA Log'!D:D,A208,'QA Log'!M:M,"QQC",'QA Log'!L:L,"2. Hygiene and Sterilization",'QA Log'!Z:Z,"Approved"),"")</f>
        <v/>
      </c>
      <c r="AI208" s="102"/>
      <c r="AJ208" s="102"/>
      <c r="AK208" s="103" t="str">
        <f t="shared" si="2"/>
        <v/>
      </c>
      <c r="AL208" s="102"/>
      <c r="AM208" s="102"/>
      <c r="AN208" s="102"/>
      <c r="AO208" s="106"/>
      <c r="AP208" s="103"/>
      <c r="AQ208" s="102"/>
      <c r="AR208" s="102"/>
      <c r="AS208" s="102"/>
      <c r="AT208" s="107"/>
      <c r="AU208" s="102" t="str">
        <f t="shared" si="3"/>
        <v/>
      </c>
      <c r="AV208" s="102" t="str">
        <f t="shared" si="4"/>
        <v/>
      </c>
      <c r="AW208" s="102" t="str">
        <f t="shared" si="5"/>
        <v/>
      </c>
      <c r="AX208" s="102" t="str">
        <f t="shared" si="6"/>
        <v/>
      </c>
      <c r="AY208" s="107" t="str">
        <f t="shared" si="7"/>
        <v/>
      </c>
      <c r="AZ208" s="108" t="str">
        <f t="shared" si="8"/>
        <v/>
      </c>
      <c r="BA208" s="108" t="str">
        <f t="shared" si="9"/>
        <v/>
      </c>
      <c r="BB208" s="109" t="str">
        <f t="shared" si="10"/>
        <v/>
      </c>
      <c r="BC208" s="108" t="str">
        <f t="shared" si="11"/>
        <v/>
      </c>
      <c r="BD208" s="108" t="str">
        <f t="shared" si="12"/>
        <v/>
      </c>
      <c r="BE208" s="109" t="str">
        <f t="shared" si="13"/>
        <v/>
      </c>
      <c r="BF208" s="110" t="str">
        <f t="shared" si="14"/>
        <v/>
      </c>
      <c r="BG208" s="111"/>
    </row>
    <row r="209" spans="1:59" ht="12.75">
      <c r="A209" s="101"/>
      <c r="B209" s="102"/>
      <c r="C209" s="102" t="e">
        <f t="array" aca="1" ref="C209" ca="1">_xludf.XLOOKUP(A209,'QA Log'!D:D,'QA Log'!F:F,"")</f>
        <v>#NAME?</v>
      </c>
      <c r="D209" s="102"/>
      <c r="E209" s="102" t="e">
        <f t="array" aca="1" ref="E209" ca="1">_xludf.XLOOKUP(A209,'QA Log'!D:D,'QA Log'!G:G,"")</f>
        <v>#NAME?</v>
      </c>
      <c r="F209" s="103"/>
      <c r="G209" s="104"/>
      <c r="H209" s="104"/>
      <c r="I209" s="103" t="str">
        <f t="shared" si="0"/>
        <v/>
      </c>
      <c r="J209" s="102"/>
      <c r="K209" s="102"/>
      <c r="L209" s="119" t="str">
        <f t="array" ref="L209">IF(OR($B209="",$D209=""),"",
IFERROR(
  INDEX(
    'Tools &amp; Targets_Guideline'!$C$54:$I$269,
    MATCH(
      1,
      ('Tools &amp; Targets_Guideline'!$A$54:$A$269=$B209)*
      ('Tools &amp; Targets_Guideline'!$B$54:$B$269="ANC"),
      0
    ),
    MATCH(
      _xludf.IFNA(
        VLOOKUP($D209,{"PH","Provincial Hospital (H2)";"DH","District Hospital (H3)";"RH","Regional / National Hospital (H1)"},2,0),
        $D209
      ),
      'Tools &amp; Targets_Guideline'!$C$53:$I$53,
      0
    )
  ),
0))</f>
        <v/>
      </c>
      <c r="M209" s="105"/>
      <c r="N209" s="119" t="str">
        <f t="array" ref="N209">IF(OR($B209="",$D209=""),"",
IFERROR(
  INDEX(
    'Tools &amp; Targets_Guideline'!$C$54:$I$269,
    MATCH(
      1,
      ('Tools &amp; Targets_Guideline'!$A$54:$A$269=$B209)*
      ('Tools &amp; Targets_Guideline'!$B$54:$B$269="PNC"),
      0
    ),
    MATCH(
      _xludf.IFNA(
        VLOOKUP($D209,{"PH","Provincial Hospital (H2)";"DH","District Hospital (H3)";"RH","Regional / National Hospital (H1)"},2,0),
        $D209
      ),
      'Tools &amp; Targets_Guideline'!$C$53:$I$53,
      0
    )
  ),
0))</f>
        <v/>
      </c>
      <c r="O209" s="105"/>
      <c r="P209" s="119" t="str">
        <f t="array" ref="P209">IF(OR($B209="",$D209=""),"",
IFERROR(
  INDEX(
    'Tools &amp; Targets_Guideline'!$C$54:$I$269,
    MATCH(
      1,
      ('Tools &amp; Targets_Guideline'!$A$54:$A$269=$B209)*
      ('Tools &amp; Targets_Guideline'!$B$54:$B$269="Delivery"),
      0
    ),
    MATCH(
      _xludf.IFNA(
        VLOOKUP($D209,{"PH","Provincial Hospital (H2)";"DH","District Hospital (H3)";"RH","Regional / National Hospital (H1)"},2,0),
        $D209
      ),
      'Tools &amp; Targets_Guideline'!$C$53:$I$53,
      0
    )
  ),
0))</f>
        <v/>
      </c>
      <c r="Q209" s="105"/>
      <c r="R209" s="119" t="str">
        <f t="array" ref="R209">IF(OR($B209="",$D209=""),"",
IFERROR(
  INDEX(
    'Tools &amp; Targets_Guideline'!$C$54:$I$269,
    MATCH(
      1,
      ('Tools &amp; Targets_Guideline'!$A$54:$A$269=$B209)*
      ('Tools &amp; Targets_Guideline'!$B$54:$B$269="TT"),
      0
    ),
    MATCH(
      _xludf.IFNA(
        VLOOKUP($D209,{"PH","Provincial Hospital (H2)";"DH","District Hospital (H3)";"RH","Regional / National Hospital (H1)"},2,0),
        $D209
      ),
      'Tools &amp; Targets_Guideline'!$C$53:$I$53,
      0
    )
  ),
0))</f>
        <v/>
      </c>
      <c r="S209" s="105"/>
      <c r="T209" s="102"/>
      <c r="U209" s="106"/>
      <c r="V209" s="102" t="str">
        <f t="shared" si="1"/>
        <v/>
      </c>
      <c r="W209" s="102"/>
      <c r="X209" s="102"/>
      <c r="Y209" s="119" t="str">
        <f t="array" ref="Y209">IF(OR($B209="",$D209=""),"",
IFERROR(
  INDEX(
    'Tools &amp; Targets_Guideline'!$C$54:$I$269,
    MATCH(
      1,
      ('Tools &amp; Targets_Guideline'!$A$54:$A$269=$B209)*
      ('Tools &amp; Targets_Guideline'!$B$54:$B$269="GM"),
      0
    ),
    MATCH(
      _xludf.IFNA(
        VLOOKUP($D209,{"PH","Provincial Hospital (H2)";"DH","District Hospital (H3)";"RH","Regional / National Hospital (H1)"},2,0),
        $D209
      ),
      'Tools &amp; Targets_Guideline'!$C$53:$I$53,
      0
    )
  ),
0))</f>
        <v/>
      </c>
      <c r="Z209" s="105"/>
      <c r="AA209" s="119" t="str">
        <f t="array" ref="AA209">IF(OR($B209="",$D209=""),"",
IFERROR(
  INDEX(
    'Tools &amp; Targets_Guideline'!$C$54:$I$269,
    MATCH(
      1,
      ('Tools &amp; Targets_Guideline'!$A$54:$A$269=$B209)*
      ('Tools &amp; Targets_Guideline'!$B$54:$B$269="Penta"),
      0
    ),
    MATCH(
      _xludf.IFNA(
        VLOOKUP($D209,{"PH","Provincial Hospital (H2)";"DH","District Hospital (H3)";"RH","Regional / National Hospital (H1)"},2,0),
        $D209
      ),
      'Tools &amp; Targets_Guideline'!$C$53:$I$53,
      0
    )
  ),
0))</f>
        <v/>
      </c>
      <c r="AB209" s="105"/>
      <c r="AC209" s="119" t="str">
        <f t="array" ref="AC209">IF(OR($B209="",$D209=""),"",
IFERROR(
  INDEX(
    'Tools &amp; Targets_Guideline'!$C$54:$I$269,
    MATCH(
      1,
      ('Tools &amp; Targets_Guideline'!$A$54:$A$269=$B209)*
      ('Tools &amp; Targets_Guideline'!$B$54:$B$269="TB"),
      0
    ),
    MATCH(
      _xludf.IFNA(
        VLOOKUP($D209,{"PH","Provincial Hospital (H2)";"DH","District Hospital (H3)";"RH","Regional / National Hospital (H1)"},2,0),
        $D209
      ),
      'Tools &amp; Targets_Guideline'!$C$53:$I$53,
      0
    )
  ),
0))</f>
        <v/>
      </c>
      <c r="AD209" s="105"/>
      <c r="AE209" s="119" t="str">
        <f t="array" ref="AE209">IF(OR($B209="",$D209=""),"",
IFERROR(
  INDEX(
    'Tools &amp; Targets_Guideline'!$C$54:$I$269,
    MATCH(
      1,
      ('Tools &amp; Targets_Guideline'!$A$54:$A$269=$B209)*
      ('Tools &amp; Targets_Guideline'!$B$54:$B$269="U5 Morbidity"),
      0
    ),
    MATCH(
      _xludf.IFNA(
        VLOOKUP($D209,{"PH","Provincial Hospital (H2)";"DH","District Hospital (H3)";"RH","Regional / National Hospital (H1)"},2,0),
        $D209
      ),
      'Tools &amp; Targets_Guideline'!$C$53:$I$53,
      0
    )
  ),
0))</f>
        <v/>
      </c>
      <c r="AF209" s="105"/>
      <c r="AG209" s="119" t="str">
        <f t="array" ref="AG209">IF(OR($B209="",$D209=""),"",
IFERROR(
  INDEX(
    'Tools &amp; Targets_Guideline'!$C$54:$I$269,
    MATCH(
      1,
      ('Tools &amp; Targets_Guideline'!$A$54:$A$269=$B209)*
      ('Tools &amp; Targets_Guideline'!$B$54:$B$269="C-Section"),
      0
    ),
    MATCH(
      _xludf.IFNA(
        VLOOKUP($D209,{"PH","Provincial Hospital (H2)";"DH","District Hospital (H3)";"RH","Regional / National Hospital (H1)"},2,0),
        $D209
      ),
      'Tools &amp; Targets_Guideline'!$C$53:$I$53,
      0
    )
  ),
0))</f>
        <v/>
      </c>
      <c r="AH209" s="105" t="str">
        <f>IF(A209&lt;&gt;"",COUNTIFS('QA Log'!D:D,A209,'QA Log'!M:M,"QQC",'QA Log'!L:L,"2. Hygiene and Sterilization",'QA Log'!Z:Z,"Approved"),"")</f>
        <v/>
      </c>
      <c r="AI209" s="102"/>
      <c r="AJ209" s="102"/>
      <c r="AK209" s="103" t="str">
        <f t="shared" si="2"/>
        <v/>
      </c>
      <c r="AL209" s="102"/>
      <c r="AM209" s="102"/>
      <c r="AN209" s="102"/>
      <c r="AO209" s="106"/>
      <c r="AP209" s="103"/>
      <c r="AQ209" s="102"/>
      <c r="AR209" s="102"/>
      <c r="AS209" s="102"/>
      <c r="AT209" s="107"/>
      <c r="AU209" s="102" t="str">
        <f t="shared" si="3"/>
        <v/>
      </c>
      <c r="AV209" s="102" t="str">
        <f t="shared" si="4"/>
        <v/>
      </c>
      <c r="AW209" s="102" t="str">
        <f t="shared" si="5"/>
        <v/>
      </c>
      <c r="AX209" s="102" t="str">
        <f t="shared" si="6"/>
        <v/>
      </c>
      <c r="AY209" s="107" t="str">
        <f t="shared" si="7"/>
        <v/>
      </c>
      <c r="AZ209" s="108" t="str">
        <f t="shared" si="8"/>
        <v/>
      </c>
      <c r="BA209" s="108" t="str">
        <f t="shared" si="9"/>
        <v/>
      </c>
      <c r="BB209" s="109" t="str">
        <f t="shared" si="10"/>
        <v/>
      </c>
      <c r="BC209" s="108" t="str">
        <f t="shared" si="11"/>
        <v/>
      </c>
      <c r="BD209" s="108" t="str">
        <f t="shared" si="12"/>
        <v/>
      </c>
      <c r="BE209" s="109" t="str">
        <f t="shared" si="13"/>
        <v/>
      </c>
      <c r="BF209" s="110" t="str">
        <f t="shared" si="14"/>
        <v/>
      </c>
      <c r="BG209" s="111"/>
    </row>
    <row r="210" spans="1:59" ht="12.75">
      <c r="A210" s="101"/>
      <c r="B210" s="102"/>
      <c r="C210" s="102" t="e">
        <f t="array" aca="1" ref="C210" ca="1">_xludf.XLOOKUP(A210,'QA Log'!D:D,'QA Log'!F:F,"")</f>
        <v>#NAME?</v>
      </c>
      <c r="D210" s="102"/>
      <c r="E210" s="102" t="e">
        <f t="array" aca="1" ref="E210" ca="1">_xludf.XLOOKUP(A210,'QA Log'!D:D,'QA Log'!G:G,"")</f>
        <v>#NAME?</v>
      </c>
      <c r="F210" s="103"/>
      <c r="G210" s="104"/>
      <c r="H210" s="104"/>
      <c r="I210" s="103" t="str">
        <f t="shared" si="0"/>
        <v/>
      </c>
      <c r="J210" s="102"/>
      <c r="K210" s="102"/>
      <c r="L210" s="119" t="str">
        <f t="array" ref="L210">IF(OR($B210="",$D210=""),"",
IFERROR(
  INDEX(
    'Tools &amp; Targets_Guideline'!$C$54:$I$269,
    MATCH(
      1,
      ('Tools &amp; Targets_Guideline'!$A$54:$A$269=$B210)*
      ('Tools &amp; Targets_Guideline'!$B$54:$B$269="ANC"),
      0
    ),
    MATCH(
      _xludf.IFNA(
        VLOOKUP($D210,{"PH","Provincial Hospital (H2)";"DH","District Hospital (H3)";"RH","Regional / National Hospital (H1)"},2,0),
        $D210
      ),
      'Tools &amp; Targets_Guideline'!$C$53:$I$53,
      0
    )
  ),
0))</f>
        <v/>
      </c>
      <c r="M210" s="105"/>
      <c r="N210" s="119" t="str">
        <f t="array" ref="N210">IF(OR($B210="",$D210=""),"",
IFERROR(
  INDEX(
    'Tools &amp; Targets_Guideline'!$C$54:$I$269,
    MATCH(
      1,
      ('Tools &amp; Targets_Guideline'!$A$54:$A$269=$B210)*
      ('Tools &amp; Targets_Guideline'!$B$54:$B$269="PNC"),
      0
    ),
    MATCH(
      _xludf.IFNA(
        VLOOKUP($D210,{"PH","Provincial Hospital (H2)";"DH","District Hospital (H3)";"RH","Regional / National Hospital (H1)"},2,0),
        $D210
      ),
      'Tools &amp; Targets_Guideline'!$C$53:$I$53,
      0
    )
  ),
0))</f>
        <v/>
      </c>
      <c r="O210" s="105"/>
      <c r="P210" s="119" t="str">
        <f t="array" ref="P210">IF(OR($B210="",$D210=""),"",
IFERROR(
  INDEX(
    'Tools &amp; Targets_Guideline'!$C$54:$I$269,
    MATCH(
      1,
      ('Tools &amp; Targets_Guideline'!$A$54:$A$269=$B210)*
      ('Tools &amp; Targets_Guideline'!$B$54:$B$269="Delivery"),
      0
    ),
    MATCH(
      _xludf.IFNA(
        VLOOKUP($D210,{"PH","Provincial Hospital (H2)";"DH","District Hospital (H3)";"RH","Regional / National Hospital (H1)"},2,0),
        $D210
      ),
      'Tools &amp; Targets_Guideline'!$C$53:$I$53,
      0
    )
  ),
0))</f>
        <v/>
      </c>
      <c r="Q210" s="105"/>
      <c r="R210" s="119" t="str">
        <f t="array" ref="R210">IF(OR($B210="",$D210=""),"",
IFERROR(
  INDEX(
    'Tools &amp; Targets_Guideline'!$C$54:$I$269,
    MATCH(
      1,
      ('Tools &amp; Targets_Guideline'!$A$54:$A$269=$B210)*
      ('Tools &amp; Targets_Guideline'!$B$54:$B$269="TT"),
      0
    ),
    MATCH(
      _xludf.IFNA(
        VLOOKUP($D210,{"PH","Provincial Hospital (H2)";"DH","District Hospital (H3)";"RH","Regional / National Hospital (H1)"},2,0),
        $D210
      ),
      'Tools &amp; Targets_Guideline'!$C$53:$I$53,
      0
    )
  ),
0))</f>
        <v/>
      </c>
      <c r="S210" s="105"/>
      <c r="T210" s="102"/>
      <c r="U210" s="106"/>
      <c r="V210" s="102" t="str">
        <f t="shared" si="1"/>
        <v/>
      </c>
      <c r="W210" s="102"/>
      <c r="X210" s="102"/>
      <c r="Y210" s="119" t="str">
        <f t="array" ref="Y210">IF(OR($B210="",$D210=""),"",
IFERROR(
  INDEX(
    'Tools &amp; Targets_Guideline'!$C$54:$I$269,
    MATCH(
      1,
      ('Tools &amp; Targets_Guideline'!$A$54:$A$269=$B210)*
      ('Tools &amp; Targets_Guideline'!$B$54:$B$269="GM"),
      0
    ),
    MATCH(
      _xludf.IFNA(
        VLOOKUP($D210,{"PH","Provincial Hospital (H2)";"DH","District Hospital (H3)";"RH","Regional / National Hospital (H1)"},2,0),
        $D210
      ),
      'Tools &amp; Targets_Guideline'!$C$53:$I$53,
      0
    )
  ),
0))</f>
        <v/>
      </c>
      <c r="Z210" s="105"/>
      <c r="AA210" s="119" t="str">
        <f t="array" ref="AA210">IF(OR($B210="",$D210=""),"",
IFERROR(
  INDEX(
    'Tools &amp; Targets_Guideline'!$C$54:$I$269,
    MATCH(
      1,
      ('Tools &amp; Targets_Guideline'!$A$54:$A$269=$B210)*
      ('Tools &amp; Targets_Guideline'!$B$54:$B$269="Penta"),
      0
    ),
    MATCH(
      _xludf.IFNA(
        VLOOKUP($D210,{"PH","Provincial Hospital (H2)";"DH","District Hospital (H3)";"RH","Regional / National Hospital (H1)"},2,0),
        $D210
      ),
      'Tools &amp; Targets_Guideline'!$C$53:$I$53,
      0
    )
  ),
0))</f>
        <v/>
      </c>
      <c r="AB210" s="105"/>
      <c r="AC210" s="119" t="str">
        <f t="array" ref="AC210">IF(OR($B210="",$D210=""),"",
IFERROR(
  INDEX(
    'Tools &amp; Targets_Guideline'!$C$54:$I$269,
    MATCH(
      1,
      ('Tools &amp; Targets_Guideline'!$A$54:$A$269=$B210)*
      ('Tools &amp; Targets_Guideline'!$B$54:$B$269="TB"),
      0
    ),
    MATCH(
      _xludf.IFNA(
        VLOOKUP($D210,{"PH","Provincial Hospital (H2)";"DH","District Hospital (H3)";"RH","Regional / National Hospital (H1)"},2,0),
        $D210
      ),
      'Tools &amp; Targets_Guideline'!$C$53:$I$53,
      0
    )
  ),
0))</f>
        <v/>
      </c>
      <c r="AD210" s="105"/>
      <c r="AE210" s="119" t="str">
        <f t="array" ref="AE210">IF(OR($B210="",$D210=""),"",
IFERROR(
  INDEX(
    'Tools &amp; Targets_Guideline'!$C$54:$I$269,
    MATCH(
      1,
      ('Tools &amp; Targets_Guideline'!$A$54:$A$269=$B210)*
      ('Tools &amp; Targets_Guideline'!$B$54:$B$269="U5 Morbidity"),
      0
    ),
    MATCH(
      _xludf.IFNA(
        VLOOKUP($D210,{"PH","Provincial Hospital (H2)";"DH","District Hospital (H3)";"RH","Regional / National Hospital (H1)"},2,0),
        $D210
      ),
      'Tools &amp; Targets_Guideline'!$C$53:$I$53,
      0
    )
  ),
0))</f>
        <v/>
      </c>
      <c r="AF210" s="105"/>
      <c r="AG210" s="119" t="str">
        <f t="array" ref="AG210">IF(OR($B210="",$D210=""),"",
IFERROR(
  INDEX(
    'Tools &amp; Targets_Guideline'!$C$54:$I$269,
    MATCH(
      1,
      ('Tools &amp; Targets_Guideline'!$A$54:$A$269=$B210)*
      ('Tools &amp; Targets_Guideline'!$B$54:$B$269="C-Section"),
      0
    ),
    MATCH(
      _xludf.IFNA(
        VLOOKUP($D210,{"PH","Provincial Hospital (H2)";"DH","District Hospital (H3)";"RH","Regional / National Hospital (H1)"},2,0),
        $D210
      ),
      'Tools &amp; Targets_Guideline'!$C$53:$I$53,
      0
    )
  ),
0))</f>
        <v/>
      </c>
      <c r="AH210" s="105" t="str">
        <f>IF(A210&lt;&gt;"",COUNTIFS('QA Log'!D:D,A210,'QA Log'!M:M,"QQC",'QA Log'!L:L,"2. Hygiene and Sterilization",'QA Log'!Z:Z,"Approved"),"")</f>
        <v/>
      </c>
      <c r="AI210" s="102"/>
      <c r="AJ210" s="102"/>
      <c r="AK210" s="103" t="str">
        <f t="shared" si="2"/>
        <v/>
      </c>
      <c r="AL210" s="102"/>
      <c r="AM210" s="102"/>
      <c r="AN210" s="102"/>
      <c r="AO210" s="106"/>
      <c r="AP210" s="103"/>
      <c r="AQ210" s="102"/>
      <c r="AR210" s="102"/>
      <c r="AS210" s="102"/>
      <c r="AT210" s="107"/>
      <c r="AU210" s="102" t="str">
        <f t="shared" si="3"/>
        <v/>
      </c>
      <c r="AV210" s="102" t="str">
        <f t="shared" si="4"/>
        <v/>
      </c>
      <c r="AW210" s="102" t="str">
        <f t="shared" si="5"/>
        <v/>
      </c>
      <c r="AX210" s="102" t="str">
        <f t="shared" si="6"/>
        <v/>
      </c>
      <c r="AY210" s="107" t="str">
        <f t="shared" si="7"/>
        <v/>
      </c>
      <c r="AZ210" s="108" t="str">
        <f t="shared" si="8"/>
        <v/>
      </c>
      <c r="BA210" s="108" t="str">
        <f t="shared" si="9"/>
        <v/>
      </c>
      <c r="BB210" s="109" t="str">
        <f t="shared" si="10"/>
        <v/>
      </c>
      <c r="BC210" s="108" t="str">
        <f t="shared" si="11"/>
        <v/>
      </c>
      <c r="BD210" s="108" t="str">
        <f t="shared" si="12"/>
        <v/>
      </c>
      <c r="BE210" s="109" t="str">
        <f t="shared" si="13"/>
        <v/>
      </c>
      <c r="BF210" s="110" t="str">
        <f t="shared" si="14"/>
        <v/>
      </c>
      <c r="BG210" s="111"/>
    </row>
    <row r="211" spans="1:59" ht="12.75">
      <c r="A211" s="101"/>
      <c r="B211" s="102"/>
      <c r="C211" s="102" t="e">
        <f t="array" aca="1" ref="C211" ca="1">_xludf.XLOOKUP(A211,'QA Log'!D:D,'QA Log'!F:F,"")</f>
        <v>#NAME?</v>
      </c>
      <c r="D211" s="102"/>
      <c r="E211" s="102" t="e">
        <f t="array" aca="1" ref="E211" ca="1">_xludf.XLOOKUP(A211,'QA Log'!D:D,'QA Log'!G:G,"")</f>
        <v>#NAME?</v>
      </c>
      <c r="F211" s="103"/>
      <c r="G211" s="104"/>
      <c r="H211" s="104"/>
      <c r="I211" s="103" t="str">
        <f t="shared" si="0"/>
        <v/>
      </c>
      <c r="J211" s="102"/>
      <c r="K211" s="102"/>
      <c r="L211" s="119" t="str">
        <f t="array" ref="L211">IF(OR($B211="",$D211=""),"",
IFERROR(
  INDEX(
    'Tools &amp; Targets_Guideline'!$C$54:$I$269,
    MATCH(
      1,
      ('Tools &amp; Targets_Guideline'!$A$54:$A$269=$B211)*
      ('Tools &amp; Targets_Guideline'!$B$54:$B$269="ANC"),
      0
    ),
    MATCH(
      _xludf.IFNA(
        VLOOKUP($D211,{"PH","Provincial Hospital (H2)";"DH","District Hospital (H3)";"RH","Regional / National Hospital (H1)"},2,0),
        $D211
      ),
      'Tools &amp; Targets_Guideline'!$C$53:$I$53,
      0
    )
  ),
0))</f>
        <v/>
      </c>
      <c r="M211" s="105"/>
      <c r="N211" s="119" t="str">
        <f t="array" ref="N211">IF(OR($B211="",$D211=""),"",
IFERROR(
  INDEX(
    'Tools &amp; Targets_Guideline'!$C$54:$I$269,
    MATCH(
      1,
      ('Tools &amp; Targets_Guideline'!$A$54:$A$269=$B211)*
      ('Tools &amp; Targets_Guideline'!$B$54:$B$269="PNC"),
      0
    ),
    MATCH(
      _xludf.IFNA(
        VLOOKUP($D211,{"PH","Provincial Hospital (H2)";"DH","District Hospital (H3)";"RH","Regional / National Hospital (H1)"},2,0),
        $D211
      ),
      'Tools &amp; Targets_Guideline'!$C$53:$I$53,
      0
    )
  ),
0))</f>
        <v/>
      </c>
      <c r="O211" s="105"/>
      <c r="P211" s="119" t="str">
        <f t="array" ref="P211">IF(OR($B211="",$D211=""),"",
IFERROR(
  INDEX(
    'Tools &amp; Targets_Guideline'!$C$54:$I$269,
    MATCH(
      1,
      ('Tools &amp; Targets_Guideline'!$A$54:$A$269=$B211)*
      ('Tools &amp; Targets_Guideline'!$B$54:$B$269="Delivery"),
      0
    ),
    MATCH(
      _xludf.IFNA(
        VLOOKUP($D211,{"PH","Provincial Hospital (H2)";"DH","District Hospital (H3)";"RH","Regional / National Hospital (H1)"},2,0),
        $D211
      ),
      'Tools &amp; Targets_Guideline'!$C$53:$I$53,
      0
    )
  ),
0))</f>
        <v/>
      </c>
      <c r="Q211" s="105"/>
      <c r="R211" s="119" t="str">
        <f t="array" ref="R211">IF(OR($B211="",$D211=""),"",
IFERROR(
  INDEX(
    'Tools &amp; Targets_Guideline'!$C$54:$I$269,
    MATCH(
      1,
      ('Tools &amp; Targets_Guideline'!$A$54:$A$269=$B211)*
      ('Tools &amp; Targets_Guideline'!$B$54:$B$269="TT"),
      0
    ),
    MATCH(
      _xludf.IFNA(
        VLOOKUP($D211,{"PH","Provincial Hospital (H2)";"DH","District Hospital (H3)";"RH","Regional / National Hospital (H1)"},2,0),
        $D211
      ),
      'Tools &amp; Targets_Guideline'!$C$53:$I$53,
      0
    )
  ),
0))</f>
        <v/>
      </c>
      <c r="S211" s="105"/>
      <c r="T211" s="102"/>
      <c r="U211" s="106"/>
      <c r="V211" s="102" t="str">
        <f t="shared" si="1"/>
        <v/>
      </c>
      <c r="W211" s="102"/>
      <c r="X211" s="102"/>
      <c r="Y211" s="119" t="str">
        <f t="array" ref="Y211">IF(OR($B211="",$D211=""),"",
IFERROR(
  INDEX(
    'Tools &amp; Targets_Guideline'!$C$54:$I$269,
    MATCH(
      1,
      ('Tools &amp; Targets_Guideline'!$A$54:$A$269=$B211)*
      ('Tools &amp; Targets_Guideline'!$B$54:$B$269="GM"),
      0
    ),
    MATCH(
      _xludf.IFNA(
        VLOOKUP($D211,{"PH","Provincial Hospital (H2)";"DH","District Hospital (H3)";"RH","Regional / National Hospital (H1)"},2,0),
        $D211
      ),
      'Tools &amp; Targets_Guideline'!$C$53:$I$53,
      0
    )
  ),
0))</f>
        <v/>
      </c>
      <c r="Z211" s="105"/>
      <c r="AA211" s="119" t="str">
        <f t="array" ref="AA211">IF(OR($B211="",$D211=""),"",
IFERROR(
  INDEX(
    'Tools &amp; Targets_Guideline'!$C$54:$I$269,
    MATCH(
      1,
      ('Tools &amp; Targets_Guideline'!$A$54:$A$269=$B211)*
      ('Tools &amp; Targets_Guideline'!$B$54:$B$269="Penta"),
      0
    ),
    MATCH(
      _xludf.IFNA(
        VLOOKUP($D211,{"PH","Provincial Hospital (H2)";"DH","District Hospital (H3)";"RH","Regional / National Hospital (H1)"},2,0),
        $D211
      ),
      'Tools &amp; Targets_Guideline'!$C$53:$I$53,
      0
    )
  ),
0))</f>
        <v/>
      </c>
      <c r="AB211" s="105"/>
      <c r="AC211" s="119" t="str">
        <f t="array" ref="AC211">IF(OR($B211="",$D211=""),"",
IFERROR(
  INDEX(
    'Tools &amp; Targets_Guideline'!$C$54:$I$269,
    MATCH(
      1,
      ('Tools &amp; Targets_Guideline'!$A$54:$A$269=$B211)*
      ('Tools &amp; Targets_Guideline'!$B$54:$B$269="TB"),
      0
    ),
    MATCH(
      _xludf.IFNA(
        VLOOKUP($D211,{"PH","Provincial Hospital (H2)";"DH","District Hospital (H3)";"RH","Regional / National Hospital (H1)"},2,0),
        $D211
      ),
      'Tools &amp; Targets_Guideline'!$C$53:$I$53,
      0
    )
  ),
0))</f>
        <v/>
      </c>
      <c r="AD211" s="105"/>
      <c r="AE211" s="119" t="str">
        <f t="array" ref="AE211">IF(OR($B211="",$D211=""),"",
IFERROR(
  INDEX(
    'Tools &amp; Targets_Guideline'!$C$54:$I$269,
    MATCH(
      1,
      ('Tools &amp; Targets_Guideline'!$A$54:$A$269=$B211)*
      ('Tools &amp; Targets_Guideline'!$B$54:$B$269="U5 Morbidity"),
      0
    ),
    MATCH(
      _xludf.IFNA(
        VLOOKUP($D211,{"PH","Provincial Hospital (H2)";"DH","District Hospital (H3)";"RH","Regional / National Hospital (H1)"},2,0),
        $D211
      ),
      'Tools &amp; Targets_Guideline'!$C$53:$I$53,
      0
    )
  ),
0))</f>
        <v/>
      </c>
      <c r="AF211" s="105"/>
      <c r="AG211" s="119" t="str">
        <f t="array" ref="AG211">IF(OR($B211="",$D211=""),"",
IFERROR(
  INDEX(
    'Tools &amp; Targets_Guideline'!$C$54:$I$269,
    MATCH(
      1,
      ('Tools &amp; Targets_Guideline'!$A$54:$A$269=$B211)*
      ('Tools &amp; Targets_Guideline'!$B$54:$B$269="C-Section"),
      0
    ),
    MATCH(
      _xludf.IFNA(
        VLOOKUP($D211,{"PH","Provincial Hospital (H2)";"DH","District Hospital (H3)";"RH","Regional / National Hospital (H1)"},2,0),
        $D211
      ),
      'Tools &amp; Targets_Guideline'!$C$53:$I$53,
      0
    )
  ),
0))</f>
        <v/>
      </c>
      <c r="AH211" s="105" t="str">
        <f>IF(A211&lt;&gt;"",COUNTIFS('QA Log'!D:D,A211,'QA Log'!M:M,"QQC",'QA Log'!L:L,"2. Hygiene and Sterilization",'QA Log'!Z:Z,"Approved"),"")</f>
        <v/>
      </c>
      <c r="AI211" s="102"/>
      <c r="AJ211" s="102"/>
      <c r="AK211" s="103" t="str">
        <f t="shared" si="2"/>
        <v/>
      </c>
      <c r="AL211" s="102"/>
      <c r="AM211" s="102"/>
      <c r="AN211" s="102"/>
      <c r="AO211" s="106"/>
      <c r="AP211" s="103"/>
      <c r="AQ211" s="102"/>
      <c r="AR211" s="102"/>
      <c r="AS211" s="102"/>
      <c r="AT211" s="107"/>
      <c r="AU211" s="102" t="str">
        <f t="shared" si="3"/>
        <v/>
      </c>
      <c r="AV211" s="102" t="str">
        <f t="shared" si="4"/>
        <v/>
      </c>
      <c r="AW211" s="102" t="str">
        <f t="shared" si="5"/>
        <v/>
      </c>
      <c r="AX211" s="102" t="str">
        <f t="shared" si="6"/>
        <v/>
      </c>
      <c r="AY211" s="107" t="str">
        <f t="shared" si="7"/>
        <v/>
      </c>
      <c r="AZ211" s="108" t="str">
        <f t="shared" si="8"/>
        <v/>
      </c>
      <c r="BA211" s="108" t="str">
        <f t="shared" si="9"/>
        <v/>
      </c>
      <c r="BB211" s="109" t="str">
        <f t="shared" si="10"/>
        <v/>
      </c>
      <c r="BC211" s="108" t="str">
        <f t="shared" si="11"/>
        <v/>
      </c>
      <c r="BD211" s="108" t="str">
        <f t="shared" si="12"/>
        <v/>
      </c>
      <c r="BE211" s="109" t="str">
        <f t="shared" si="13"/>
        <v/>
      </c>
      <c r="BF211" s="110" t="str">
        <f t="shared" si="14"/>
        <v/>
      </c>
      <c r="BG211" s="111"/>
    </row>
    <row r="212" spans="1:59" ht="12.75">
      <c r="A212" s="101"/>
      <c r="B212" s="102"/>
      <c r="C212" s="102" t="e">
        <f t="array" aca="1" ref="C212" ca="1">_xludf.XLOOKUP(A212,'QA Log'!D:D,'QA Log'!F:F,"")</f>
        <v>#NAME?</v>
      </c>
      <c r="D212" s="102"/>
      <c r="E212" s="102" t="e">
        <f t="array" aca="1" ref="E212" ca="1">_xludf.XLOOKUP(A212,'QA Log'!D:D,'QA Log'!G:G,"")</f>
        <v>#NAME?</v>
      </c>
      <c r="F212" s="103"/>
      <c r="G212" s="104"/>
      <c r="H212" s="104"/>
      <c r="I212" s="103" t="str">
        <f t="shared" si="0"/>
        <v/>
      </c>
      <c r="J212" s="102"/>
      <c r="K212" s="102"/>
      <c r="L212" s="119" t="str">
        <f t="array" ref="L212">IF(OR($B212="",$D212=""),"",
IFERROR(
  INDEX(
    'Tools &amp; Targets_Guideline'!$C$54:$I$269,
    MATCH(
      1,
      ('Tools &amp; Targets_Guideline'!$A$54:$A$269=$B212)*
      ('Tools &amp; Targets_Guideline'!$B$54:$B$269="ANC"),
      0
    ),
    MATCH(
      _xludf.IFNA(
        VLOOKUP($D212,{"PH","Provincial Hospital (H2)";"DH","District Hospital (H3)";"RH","Regional / National Hospital (H1)"},2,0),
        $D212
      ),
      'Tools &amp; Targets_Guideline'!$C$53:$I$53,
      0
    )
  ),
0))</f>
        <v/>
      </c>
      <c r="M212" s="105"/>
      <c r="N212" s="119" t="str">
        <f t="array" ref="N212">IF(OR($B212="",$D212=""),"",
IFERROR(
  INDEX(
    'Tools &amp; Targets_Guideline'!$C$54:$I$269,
    MATCH(
      1,
      ('Tools &amp; Targets_Guideline'!$A$54:$A$269=$B212)*
      ('Tools &amp; Targets_Guideline'!$B$54:$B$269="PNC"),
      0
    ),
    MATCH(
      _xludf.IFNA(
        VLOOKUP($D212,{"PH","Provincial Hospital (H2)";"DH","District Hospital (H3)";"RH","Regional / National Hospital (H1)"},2,0),
        $D212
      ),
      'Tools &amp; Targets_Guideline'!$C$53:$I$53,
      0
    )
  ),
0))</f>
        <v/>
      </c>
      <c r="O212" s="105"/>
      <c r="P212" s="119" t="str">
        <f t="array" ref="P212">IF(OR($B212="",$D212=""),"",
IFERROR(
  INDEX(
    'Tools &amp; Targets_Guideline'!$C$54:$I$269,
    MATCH(
      1,
      ('Tools &amp; Targets_Guideline'!$A$54:$A$269=$B212)*
      ('Tools &amp; Targets_Guideline'!$B$54:$B$269="Delivery"),
      0
    ),
    MATCH(
      _xludf.IFNA(
        VLOOKUP($D212,{"PH","Provincial Hospital (H2)";"DH","District Hospital (H3)";"RH","Regional / National Hospital (H1)"},2,0),
        $D212
      ),
      'Tools &amp; Targets_Guideline'!$C$53:$I$53,
      0
    )
  ),
0))</f>
        <v/>
      </c>
      <c r="Q212" s="105"/>
      <c r="R212" s="119" t="str">
        <f t="array" ref="R212">IF(OR($B212="",$D212=""),"",
IFERROR(
  INDEX(
    'Tools &amp; Targets_Guideline'!$C$54:$I$269,
    MATCH(
      1,
      ('Tools &amp; Targets_Guideline'!$A$54:$A$269=$B212)*
      ('Tools &amp; Targets_Guideline'!$B$54:$B$269="TT"),
      0
    ),
    MATCH(
      _xludf.IFNA(
        VLOOKUP($D212,{"PH","Provincial Hospital (H2)";"DH","District Hospital (H3)";"RH","Regional / National Hospital (H1)"},2,0),
        $D212
      ),
      'Tools &amp; Targets_Guideline'!$C$53:$I$53,
      0
    )
  ),
0))</f>
        <v/>
      </c>
      <c r="S212" s="105"/>
      <c r="T212" s="102"/>
      <c r="U212" s="106"/>
      <c r="V212" s="102" t="str">
        <f t="shared" si="1"/>
        <v/>
      </c>
      <c r="W212" s="102"/>
      <c r="X212" s="102"/>
      <c r="Y212" s="119" t="str">
        <f t="array" ref="Y212">IF(OR($B212="",$D212=""),"",
IFERROR(
  INDEX(
    'Tools &amp; Targets_Guideline'!$C$54:$I$269,
    MATCH(
      1,
      ('Tools &amp; Targets_Guideline'!$A$54:$A$269=$B212)*
      ('Tools &amp; Targets_Guideline'!$B$54:$B$269="GM"),
      0
    ),
    MATCH(
      _xludf.IFNA(
        VLOOKUP($D212,{"PH","Provincial Hospital (H2)";"DH","District Hospital (H3)";"RH","Regional / National Hospital (H1)"},2,0),
        $D212
      ),
      'Tools &amp; Targets_Guideline'!$C$53:$I$53,
      0
    )
  ),
0))</f>
        <v/>
      </c>
      <c r="Z212" s="105"/>
      <c r="AA212" s="119" t="str">
        <f t="array" ref="AA212">IF(OR($B212="",$D212=""),"",
IFERROR(
  INDEX(
    'Tools &amp; Targets_Guideline'!$C$54:$I$269,
    MATCH(
      1,
      ('Tools &amp; Targets_Guideline'!$A$54:$A$269=$B212)*
      ('Tools &amp; Targets_Guideline'!$B$54:$B$269="Penta"),
      0
    ),
    MATCH(
      _xludf.IFNA(
        VLOOKUP($D212,{"PH","Provincial Hospital (H2)";"DH","District Hospital (H3)";"RH","Regional / National Hospital (H1)"},2,0),
        $D212
      ),
      'Tools &amp; Targets_Guideline'!$C$53:$I$53,
      0
    )
  ),
0))</f>
        <v/>
      </c>
      <c r="AB212" s="105"/>
      <c r="AC212" s="119" t="str">
        <f t="array" ref="AC212">IF(OR($B212="",$D212=""),"",
IFERROR(
  INDEX(
    'Tools &amp; Targets_Guideline'!$C$54:$I$269,
    MATCH(
      1,
      ('Tools &amp; Targets_Guideline'!$A$54:$A$269=$B212)*
      ('Tools &amp; Targets_Guideline'!$B$54:$B$269="TB"),
      0
    ),
    MATCH(
      _xludf.IFNA(
        VLOOKUP($D212,{"PH","Provincial Hospital (H2)";"DH","District Hospital (H3)";"RH","Regional / National Hospital (H1)"},2,0),
        $D212
      ),
      'Tools &amp; Targets_Guideline'!$C$53:$I$53,
      0
    )
  ),
0))</f>
        <v/>
      </c>
      <c r="AD212" s="105"/>
      <c r="AE212" s="119" t="str">
        <f t="array" ref="AE212">IF(OR($B212="",$D212=""),"",
IFERROR(
  INDEX(
    'Tools &amp; Targets_Guideline'!$C$54:$I$269,
    MATCH(
      1,
      ('Tools &amp; Targets_Guideline'!$A$54:$A$269=$B212)*
      ('Tools &amp; Targets_Guideline'!$B$54:$B$269="U5 Morbidity"),
      0
    ),
    MATCH(
      _xludf.IFNA(
        VLOOKUP($D212,{"PH","Provincial Hospital (H2)";"DH","District Hospital (H3)";"RH","Regional / National Hospital (H1)"},2,0),
        $D212
      ),
      'Tools &amp; Targets_Guideline'!$C$53:$I$53,
      0
    )
  ),
0))</f>
        <v/>
      </c>
      <c r="AF212" s="105"/>
      <c r="AG212" s="119" t="str">
        <f t="array" ref="AG212">IF(OR($B212="",$D212=""),"",
IFERROR(
  INDEX(
    'Tools &amp; Targets_Guideline'!$C$54:$I$269,
    MATCH(
      1,
      ('Tools &amp; Targets_Guideline'!$A$54:$A$269=$B212)*
      ('Tools &amp; Targets_Guideline'!$B$54:$B$269="C-Section"),
      0
    ),
    MATCH(
      _xludf.IFNA(
        VLOOKUP($D212,{"PH","Provincial Hospital (H2)";"DH","District Hospital (H3)";"RH","Regional / National Hospital (H1)"},2,0),
        $D212
      ),
      'Tools &amp; Targets_Guideline'!$C$53:$I$53,
      0
    )
  ),
0))</f>
        <v/>
      </c>
      <c r="AH212" s="105" t="str">
        <f>IF(A212&lt;&gt;"",COUNTIFS('QA Log'!D:D,A212,'QA Log'!M:M,"QQC",'QA Log'!L:L,"2. Hygiene and Sterilization",'QA Log'!Z:Z,"Approved"),"")</f>
        <v/>
      </c>
      <c r="AI212" s="102"/>
      <c r="AJ212" s="102"/>
      <c r="AK212" s="103" t="str">
        <f t="shared" si="2"/>
        <v/>
      </c>
      <c r="AL212" s="102"/>
      <c r="AM212" s="102"/>
      <c r="AN212" s="102"/>
      <c r="AO212" s="106"/>
      <c r="AP212" s="103"/>
      <c r="AQ212" s="102"/>
      <c r="AR212" s="102"/>
      <c r="AS212" s="102"/>
      <c r="AT212" s="107"/>
      <c r="AU212" s="102" t="str">
        <f t="shared" si="3"/>
        <v/>
      </c>
      <c r="AV212" s="102" t="str">
        <f t="shared" si="4"/>
        <v/>
      </c>
      <c r="AW212" s="102" t="str">
        <f t="shared" si="5"/>
        <v/>
      </c>
      <c r="AX212" s="102" t="str">
        <f t="shared" si="6"/>
        <v/>
      </c>
      <c r="AY212" s="107" t="str">
        <f t="shared" si="7"/>
        <v/>
      </c>
      <c r="AZ212" s="108" t="str">
        <f t="shared" si="8"/>
        <v/>
      </c>
      <c r="BA212" s="108" t="str">
        <f t="shared" si="9"/>
        <v/>
      </c>
      <c r="BB212" s="109" t="str">
        <f t="shared" si="10"/>
        <v/>
      </c>
      <c r="BC212" s="108" t="str">
        <f t="shared" si="11"/>
        <v/>
      </c>
      <c r="BD212" s="108" t="str">
        <f t="shared" si="12"/>
        <v/>
      </c>
      <c r="BE212" s="109" t="str">
        <f t="shared" si="13"/>
        <v/>
      </c>
      <c r="BF212" s="110" t="str">
        <f t="shared" si="14"/>
        <v/>
      </c>
      <c r="BG212" s="111"/>
    </row>
    <row r="213" spans="1:59" ht="12.75">
      <c r="A213" s="101"/>
      <c r="B213" s="102"/>
      <c r="C213" s="102" t="e">
        <f t="array" aca="1" ref="C213" ca="1">_xludf.XLOOKUP(A213,'QA Log'!D:D,'QA Log'!F:F,"")</f>
        <v>#NAME?</v>
      </c>
      <c r="D213" s="102"/>
      <c r="E213" s="102" t="e">
        <f t="array" aca="1" ref="E213" ca="1">_xludf.XLOOKUP(A213,'QA Log'!D:D,'QA Log'!G:G,"")</f>
        <v>#NAME?</v>
      </c>
      <c r="F213" s="103"/>
      <c r="G213" s="104"/>
      <c r="H213" s="104"/>
      <c r="I213" s="103" t="str">
        <f t="shared" si="0"/>
        <v/>
      </c>
      <c r="J213" s="102"/>
      <c r="K213" s="102"/>
      <c r="L213" s="119" t="str">
        <f t="array" ref="L213">IF(OR($B213="",$D213=""),"",
IFERROR(
  INDEX(
    'Tools &amp; Targets_Guideline'!$C$54:$I$269,
    MATCH(
      1,
      ('Tools &amp; Targets_Guideline'!$A$54:$A$269=$B213)*
      ('Tools &amp; Targets_Guideline'!$B$54:$B$269="ANC"),
      0
    ),
    MATCH(
      _xludf.IFNA(
        VLOOKUP($D213,{"PH","Provincial Hospital (H2)";"DH","District Hospital (H3)";"RH","Regional / National Hospital (H1)"},2,0),
        $D213
      ),
      'Tools &amp; Targets_Guideline'!$C$53:$I$53,
      0
    )
  ),
0))</f>
        <v/>
      </c>
      <c r="M213" s="105"/>
      <c r="N213" s="119" t="str">
        <f t="array" ref="N213">IF(OR($B213="",$D213=""),"",
IFERROR(
  INDEX(
    'Tools &amp; Targets_Guideline'!$C$54:$I$269,
    MATCH(
      1,
      ('Tools &amp; Targets_Guideline'!$A$54:$A$269=$B213)*
      ('Tools &amp; Targets_Guideline'!$B$54:$B$269="PNC"),
      0
    ),
    MATCH(
      _xludf.IFNA(
        VLOOKUP($D213,{"PH","Provincial Hospital (H2)";"DH","District Hospital (H3)";"RH","Regional / National Hospital (H1)"},2,0),
        $D213
      ),
      'Tools &amp; Targets_Guideline'!$C$53:$I$53,
      0
    )
  ),
0))</f>
        <v/>
      </c>
      <c r="O213" s="105"/>
      <c r="P213" s="119" t="str">
        <f t="array" ref="P213">IF(OR($B213="",$D213=""),"",
IFERROR(
  INDEX(
    'Tools &amp; Targets_Guideline'!$C$54:$I$269,
    MATCH(
      1,
      ('Tools &amp; Targets_Guideline'!$A$54:$A$269=$B213)*
      ('Tools &amp; Targets_Guideline'!$B$54:$B$269="Delivery"),
      0
    ),
    MATCH(
      _xludf.IFNA(
        VLOOKUP($D213,{"PH","Provincial Hospital (H2)";"DH","District Hospital (H3)";"RH","Regional / National Hospital (H1)"},2,0),
        $D213
      ),
      'Tools &amp; Targets_Guideline'!$C$53:$I$53,
      0
    )
  ),
0))</f>
        <v/>
      </c>
      <c r="Q213" s="105"/>
      <c r="R213" s="119" t="str">
        <f t="array" ref="R213">IF(OR($B213="",$D213=""),"",
IFERROR(
  INDEX(
    'Tools &amp; Targets_Guideline'!$C$54:$I$269,
    MATCH(
      1,
      ('Tools &amp; Targets_Guideline'!$A$54:$A$269=$B213)*
      ('Tools &amp; Targets_Guideline'!$B$54:$B$269="TT"),
      0
    ),
    MATCH(
      _xludf.IFNA(
        VLOOKUP($D213,{"PH","Provincial Hospital (H2)";"DH","District Hospital (H3)";"RH","Regional / National Hospital (H1)"},2,0),
        $D213
      ),
      'Tools &amp; Targets_Guideline'!$C$53:$I$53,
      0
    )
  ),
0))</f>
        <v/>
      </c>
      <c r="S213" s="105"/>
      <c r="T213" s="102"/>
      <c r="U213" s="106"/>
      <c r="V213" s="102" t="str">
        <f t="shared" si="1"/>
        <v/>
      </c>
      <c r="W213" s="102"/>
      <c r="X213" s="102"/>
      <c r="Y213" s="119" t="str">
        <f t="array" ref="Y213">IF(OR($B213="",$D213=""),"",
IFERROR(
  INDEX(
    'Tools &amp; Targets_Guideline'!$C$54:$I$269,
    MATCH(
      1,
      ('Tools &amp; Targets_Guideline'!$A$54:$A$269=$B213)*
      ('Tools &amp; Targets_Guideline'!$B$54:$B$269="GM"),
      0
    ),
    MATCH(
      _xludf.IFNA(
        VLOOKUP($D213,{"PH","Provincial Hospital (H2)";"DH","District Hospital (H3)";"RH","Regional / National Hospital (H1)"},2,0),
        $D213
      ),
      'Tools &amp; Targets_Guideline'!$C$53:$I$53,
      0
    )
  ),
0))</f>
        <v/>
      </c>
      <c r="Z213" s="105"/>
      <c r="AA213" s="119" t="str">
        <f t="array" ref="AA213">IF(OR($B213="",$D213=""),"",
IFERROR(
  INDEX(
    'Tools &amp; Targets_Guideline'!$C$54:$I$269,
    MATCH(
      1,
      ('Tools &amp; Targets_Guideline'!$A$54:$A$269=$B213)*
      ('Tools &amp; Targets_Guideline'!$B$54:$B$269="Penta"),
      0
    ),
    MATCH(
      _xludf.IFNA(
        VLOOKUP($D213,{"PH","Provincial Hospital (H2)";"DH","District Hospital (H3)";"RH","Regional / National Hospital (H1)"},2,0),
        $D213
      ),
      'Tools &amp; Targets_Guideline'!$C$53:$I$53,
      0
    )
  ),
0))</f>
        <v/>
      </c>
      <c r="AB213" s="105"/>
      <c r="AC213" s="119" t="str">
        <f t="array" ref="AC213">IF(OR($B213="",$D213=""),"",
IFERROR(
  INDEX(
    'Tools &amp; Targets_Guideline'!$C$54:$I$269,
    MATCH(
      1,
      ('Tools &amp; Targets_Guideline'!$A$54:$A$269=$B213)*
      ('Tools &amp; Targets_Guideline'!$B$54:$B$269="TB"),
      0
    ),
    MATCH(
      _xludf.IFNA(
        VLOOKUP($D213,{"PH","Provincial Hospital (H2)";"DH","District Hospital (H3)";"RH","Regional / National Hospital (H1)"},2,0),
        $D213
      ),
      'Tools &amp; Targets_Guideline'!$C$53:$I$53,
      0
    )
  ),
0))</f>
        <v/>
      </c>
      <c r="AD213" s="105"/>
      <c r="AE213" s="119" t="str">
        <f t="array" ref="AE213">IF(OR($B213="",$D213=""),"",
IFERROR(
  INDEX(
    'Tools &amp; Targets_Guideline'!$C$54:$I$269,
    MATCH(
      1,
      ('Tools &amp; Targets_Guideline'!$A$54:$A$269=$B213)*
      ('Tools &amp; Targets_Guideline'!$B$54:$B$269="U5 Morbidity"),
      0
    ),
    MATCH(
      _xludf.IFNA(
        VLOOKUP($D213,{"PH","Provincial Hospital (H2)";"DH","District Hospital (H3)";"RH","Regional / National Hospital (H1)"},2,0),
        $D213
      ),
      'Tools &amp; Targets_Guideline'!$C$53:$I$53,
      0
    )
  ),
0))</f>
        <v/>
      </c>
      <c r="AF213" s="105"/>
      <c r="AG213" s="119" t="str">
        <f t="array" ref="AG213">IF(OR($B213="",$D213=""),"",
IFERROR(
  INDEX(
    'Tools &amp; Targets_Guideline'!$C$54:$I$269,
    MATCH(
      1,
      ('Tools &amp; Targets_Guideline'!$A$54:$A$269=$B213)*
      ('Tools &amp; Targets_Guideline'!$B$54:$B$269="C-Section"),
      0
    ),
    MATCH(
      _xludf.IFNA(
        VLOOKUP($D213,{"PH","Provincial Hospital (H2)";"DH","District Hospital (H3)";"RH","Regional / National Hospital (H1)"},2,0),
        $D213
      ),
      'Tools &amp; Targets_Guideline'!$C$53:$I$53,
      0
    )
  ),
0))</f>
        <v/>
      </c>
      <c r="AH213" s="105" t="str">
        <f>IF(A213&lt;&gt;"",COUNTIFS('QA Log'!D:D,A213,'QA Log'!M:M,"QQC",'QA Log'!L:L,"2. Hygiene and Sterilization",'QA Log'!Z:Z,"Approved"),"")</f>
        <v/>
      </c>
      <c r="AI213" s="102"/>
      <c r="AJ213" s="102"/>
      <c r="AK213" s="103" t="str">
        <f t="shared" si="2"/>
        <v/>
      </c>
      <c r="AL213" s="102"/>
      <c r="AM213" s="102"/>
      <c r="AN213" s="102"/>
      <c r="AO213" s="106"/>
      <c r="AP213" s="103"/>
      <c r="AQ213" s="102"/>
      <c r="AR213" s="102"/>
      <c r="AS213" s="102"/>
      <c r="AT213" s="107"/>
      <c r="AU213" s="102" t="str">
        <f t="shared" si="3"/>
        <v/>
      </c>
      <c r="AV213" s="102" t="str">
        <f t="shared" si="4"/>
        <v/>
      </c>
      <c r="AW213" s="102" t="str">
        <f t="shared" si="5"/>
        <v/>
      </c>
      <c r="AX213" s="102" t="str">
        <f t="shared" si="6"/>
        <v/>
      </c>
      <c r="AY213" s="107" t="str">
        <f t="shared" si="7"/>
        <v/>
      </c>
      <c r="AZ213" s="108" t="str">
        <f t="shared" si="8"/>
        <v/>
      </c>
      <c r="BA213" s="108" t="str">
        <f t="shared" si="9"/>
        <v/>
      </c>
      <c r="BB213" s="109" t="str">
        <f t="shared" si="10"/>
        <v/>
      </c>
      <c r="BC213" s="108" t="str">
        <f t="shared" si="11"/>
        <v/>
      </c>
      <c r="BD213" s="108" t="str">
        <f t="shared" si="12"/>
        <v/>
      </c>
      <c r="BE213" s="109" t="str">
        <f t="shared" si="13"/>
        <v/>
      </c>
      <c r="BF213" s="110" t="str">
        <f t="shared" si="14"/>
        <v/>
      </c>
      <c r="BG213" s="111"/>
    </row>
    <row r="214" spans="1:59" ht="12.75">
      <c r="A214" s="101"/>
      <c r="B214" s="102"/>
      <c r="C214" s="102" t="e">
        <f t="array" aca="1" ref="C214" ca="1">_xludf.XLOOKUP(A214,'QA Log'!D:D,'QA Log'!F:F,"")</f>
        <v>#NAME?</v>
      </c>
      <c r="D214" s="102"/>
      <c r="E214" s="102" t="e">
        <f t="array" aca="1" ref="E214" ca="1">_xludf.XLOOKUP(A214,'QA Log'!D:D,'QA Log'!G:G,"")</f>
        <v>#NAME?</v>
      </c>
      <c r="F214" s="103"/>
      <c r="G214" s="104"/>
      <c r="H214" s="104"/>
      <c r="I214" s="103" t="str">
        <f t="shared" si="0"/>
        <v/>
      </c>
      <c r="J214" s="102"/>
      <c r="K214" s="102"/>
      <c r="L214" s="119" t="str">
        <f t="array" ref="L214">IF(OR($B214="",$D214=""),"",
IFERROR(
  INDEX(
    'Tools &amp; Targets_Guideline'!$C$54:$I$269,
    MATCH(
      1,
      ('Tools &amp; Targets_Guideline'!$A$54:$A$269=$B214)*
      ('Tools &amp; Targets_Guideline'!$B$54:$B$269="ANC"),
      0
    ),
    MATCH(
      _xludf.IFNA(
        VLOOKUP($D214,{"PH","Provincial Hospital (H2)";"DH","District Hospital (H3)";"RH","Regional / National Hospital (H1)"},2,0),
        $D214
      ),
      'Tools &amp; Targets_Guideline'!$C$53:$I$53,
      0
    )
  ),
0))</f>
        <v/>
      </c>
      <c r="M214" s="105"/>
      <c r="N214" s="119" t="str">
        <f t="array" ref="N214">IF(OR($B214="",$D214=""),"",
IFERROR(
  INDEX(
    'Tools &amp; Targets_Guideline'!$C$54:$I$269,
    MATCH(
      1,
      ('Tools &amp; Targets_Guideline'!$A$54:$A$269=$B214)*
      ('Tools &amp; Targets_Guideline'!$B$54:$B$269="PNC"),
      0
    ),
    MATCH(
      _xludf.IFNA(
        VLOOKUP($D214,{"PH","Provincial Hospital (H2)";"DH","District Hospital (H3)";"RH","Regional / National Hospital (H1)"},2,0),
        $D214
      ),
      'Tools &amp; Targets_Guideline'!$C$53:$I$53,
      0
    )
  ),
0))</f>
        <v/>
      </c>
      <c r="O214" s="105"/>
      <c r="P214" s="119" t="str">
        <f t="array" ref="P214">IF(OR($B214="",$D214=""),"",
IFERROR(
  INDEX(
    'Tools &amp; Targets_Guideline'!$C$54:$I$269,
    MATCH(
      1,
      ('Tools &amp; Targets_Guideline'!$A$54:$A$269=$B214)*
      ('Tools &amp; Targets_Guideline'!$B$54:$B$269="Delivery"),
      0
    ),
    MATCH(
      _xludf.IFNA(
        VLOOKUP($D214,{"PH","Provincial Hospital (H2)";"DH","District Hospital (H3)";"RH","Regional / National Hospital (H1)"},2,0),
        $D214
      ),
      'Tools &amp; Targets_Guideline'!$C$53:$I$53,
      0
    )
  ),
0))</f>
        <v/>
      </c>
      <c r="Q214" s="105"/>
      <c r="R214" s="119" t="str">
        <f t="array" ref="R214">IF(OR($B214="",$D214=""),"",
IFERROR(
  INDEX(
    'Tools &amp; Targets_Guideline'!$C$54:$I$269,
    MATCH(
      1,
      ('Tools &amp; Targets_Guideline'!$A$54:$A$269=$B214)*
      ('Tools &amp; Targets_Guideline'!$B$54:$B$269="TT"),
      0
    ),
    MATCH(
      _xludf.IFNA(
        VLOOKUP($D214,{"PH","Provincial Hospital (H2)";"DH","District Hospital (H3)";"RH","Regional / National Hospital (H1)"},2,0),
        $D214
      ),
      'Tools &amp; Targets_Guideline'!$C$53:$I$53,
      0
    )
  ),
0))</f>
        <v/>
      </c>
      <c r="S214" s="105"/>
      <c r="T214" s="102"/>
      <c r="U214" s="106"/>
      <c r="V214" s="102" t="str">
        <f t="shared" si="1"/>
        <v/>
      </c>
      <c r="W214" s="102"/>
      <c r="X214" s="102"/>
      <c r="Y214" s="119" t="str">
        <f t="array" ref="Y214">IF(OR($B214="",$D214=""),"",
IFERROR(
  INDEX(
    'Tools &amp; Targets_Guideline'!$C$54:$I$269,
    MATCH(
      1,
      ('Tools &amp; Targets_Guideline'!$A$54:$A$269=$B214)*
      ('Tools &amp; Targets_Guideline'!$B$54:$B$269="GM"),
      0
    ),
    MATCH(
      _xludf.IFNA(
        VLOOKUP($D214,{"PH","Provincial Hospital (H2)";"DH","District Hospital (H3)";"RH","Regional / National Hospital (H1)"},2,0),
        $D214
      ),
      'Tools &amp; Targets_Guideline'!$C$53:$I$53,
      0
    )
  ),
0))</f>
        <v/>
      </c>
      <c r="Z214" s="105"/>
      <c r="AA214" s="119" t="str">
        <f t="array" ref="AA214">IF(OR($B214="",$D214=""),"",
IFERROR(
  INDEX(
    'Tools &amp; Targets_Guideline'!$C$54:$I$269,
    MATCH(
      1,
      ('Tools &amp; Targets_Guideline'!$A$54:$A$269=$B214)*
      ('Tools &amp; Targets_Guideline'!$B$54:$B$269="Penta"),
      0
    ),
    MATCH(
      _xludf.IFNA(
        VLOOKUP($D214,{"PH","Provincial Hospital (H2)";"DH","District Hospital (H3)";"RH","Regional / National Hospital (H1)"},2,0),
        $D214
      ),
      'Tools &amp; Targets_Guideline'!$C$53:$I$53,
      0
    )
  ),
0))</f>
        <v/>
      </c>
      <c r="AB214" s="105"/>
      <c r="AC214" s="119" t="str">
        <f t="array" ref="AC214">IF(OR($B214="",$D214=""),"",
IFERROR(
  INDEX(
    'Tools &amp; Targets_Guideline'!$C$54:$I$269,
    MATCH(
      1,
      ('Tools &amp; Targets_Guideline'!$A$54:$A$269=$B214)*
      ('Tools &amp; Targets_Guideline'!$B$54:$B$269="TB"),
      0
    ),
    MATCH(
      _xludf.IFNA(
        VLOOKUP($D214,{"PH","Provincial Hospital (H2)";"DH","District Hospital (H3)";"RH","Regional / National Hospital (H1)"},2,0),
        $D214
      ),
      'Tools &amp; Targets_Guideline'!$C$53:$I$53,
      0
    )
  ),
0))</f>
        <v/>
      </c>
      <c r="AD214" s="105"/>
      <c r="AE214" s="119" t="str">
        <f t="array" ref="AE214">IF(OR($B214="",$D214=""),"",
IFERROR(
  INDEX(
    'Tools &amp; Targets_Guideline'!$C$54:$I$269,
    MATCH(
      1,
      ('Tools &amp; Targets_Guideline'!$A$54:$A$269=$B214)*
      ('Tools &amp; Targets_Guideline'!$B$54:$B$269="U5 Morbidity"),
      0
    ),
    MATCH(
      _xludf.IFNA(
        VLOOKUP($D214,{"PH","Provincial Hospital (H2)";"DH","District Hospital (H3)";"RH","Regional / National Hospital (H1)"},2,0),
        $D214
      ),
      'Tools &amp; Targets_Guideline'!$C$53:$I$53,
      0
    )
  ),
0))</f>
        <v/>
      </c>
      <c r="AF214" s="105"/>
      <c r="AG214" s="119" t="str">
        <f t="array" ref="AG214">IF(OR($B214="",$D214=""),"",
IFERROR(
  INDEX(
    'Tools &amp; Targets_Guideline'!$C$54:$I$269,
    MATCH(
      1,
      ('Tools &amp; Targets_Guideline'!$A$54:$A$269=$B214)*
      ('Tools &amp; Targets_Guideline'!$B$54:$B$269="C-Section"),
      0
    ),
    MATCH(
      _xludf.IFNA(
        VLOOKUP($D214,{"PH","Provincial Hospital (H2)";"DH","District Hospital (H3)";"RH","Regional / National Hospital (H1)"},2,0),
        $D214
      ),
      'Tools &amp; Targets_Guideline'!$C$53:$I$53,
      0
    )
  ),
0))</f>
        <v/>
      </c>
      <c r="AH214" s="105" t="str">
        <f>IF(A214&lt;&gt;"",COUNTIFS('QA Log'!D:D,A214,'QA Log'!M:M,"QQC",'QA Log'!L:L,"2. Hygiene and Sterilization",'QA Log'!Z:Z,"Approved"),"")</f>
        <v/>
      </c>
      <c r="AI214" s="102"/>
      <c r="AJ214" s="102"/>
      <c r="AK214" s="103" t="str">
        <f t="shared" si="2"/>
        <v/>
      </c>
      <c r="AL214" s="102"/>
      <c r="AM214" s="102"/>
      <c r="AN214" s="102"/>
      <c r="AO214" s="106"/>
      <c r="AP214" s="103"/>
      <c r="AQ214" s="102"/>
      <c r="AR214" s="102"/>
      <c r="AS214" s="102"/>
      <c r="AT214" s="107"/>
      <c r="AU214" s="102" t="str">
        <f t="shared" si="3"/>
        <v/>
      </c>
      <c r="AV214" s="102" t="str">
        <f t="shared" si="4"/>
        <v/>
      </c>
      <c r="AW214" s="102" t="str">
        <f t="shared" si="5"/>
        <v/>
      </c>
      <c r="AX214" s="102" t="str">
        <f t="shared" si="6"/>
        <v/>
      </c>
      <c r="AY214" s="107" t="str">
        <f t="shared" si="7"/>
        <v/>
      </c>
      <c r="AZ214" s="108" t="str">
        <f t="shared" si="8"/>
        <v/>
      </c>
      <c r="BA214" s="108" t="str">
        <f t="shared" si="9"/>
        <v/>
      </c>
      <c r="BB214" s="109" t="str">
        <f t="shared" si="10"/>
        <v/>
      </c>
      <c r="BC214" s="108" t="str">
        <f t="shared" si="11"/>
        <v/>
      </c>
      <c r="BD214" s="108" t="str">
        <f t="shared" si="12"/>
        <v/>
      </c>
      <c r="BE214" s="109" t="str">
        <f t="shared" si="13"/>
        <v/>
      </c>
      <c r="BF214" s="110" t="str">
        <f t="shared" si="14"/>
        <v/>
      </c>
      <c r="BG214" s="111"/>
    </row>
    <row r="215" spans="1:59" ht="12.75">
      <c r="A215" s="101"/>
      <c r="B215" s="102"/>
      <c r="C215" s="102" t="e">
        <f t="array" aca="1" ref="C215" ca="1">_xludf.XLOOKUP(A215,'QA Log'!D:D,'QA Log'!F:F,"")</f>
        <v>#NAME?</v>
      </c>
      <c r="D215" s="102"/>
      <c r="E215" s="102" t="e">
        <f t="array" aca="1" ref="E215" ca="1">_xludf.XLOOKUP(A215,'QA Log'!D:D,'QA Log'!G:G,"")</f>
        <v>#NAME?</v>
      </c>
      <c r="F215" s="103"/>
      <c r="G215" s="104"/>
      <c r="H215" s="104"/>
      <c r="I215" s="103" t="str">
        <f t="shared" si="0"/>
        <v/>
      </c>
      <c r="J215" s="102"/>
      <c r="K215" s="102"/>
      <c r="L215" s="119" t="str">
        <f t="array" ref="L215">IF(OR($B215="",$D215=""),"",
IFERROR(
  INDEX(
    'Tools &amp; Targets_Guideline'!$C$54:$I$269,
    MATCH(
      1,
      ('Tools &amp; Targets_Guideline'!$A$54:$A$269=$B215)*
      ('Tools &amp; Targets_Guideline'!$B$54:$B$269="ANC"),
      0
    ),
    MATCH(
      _xludf.IFNA(
        VLOOKUP($D215,{"PH","Provincial Hospital (H2)";"DH","District Hospital (H3)";"RH","Regional / National Hospital (H1)"},2,0),
        $D215
      ),
      'Tools &amp; Targets_Guideline'!$C$53:$I$53,
      0
    )
  ),
0))</f>
        <v/>
      </c>
      <c r="M215" s="105"/>
      <c r="N215" s="119" t="str">
        <f t="array" ref="N215">IF(OR($B215="",$D215=""),"",
IFERROR(
  INDEX(
    'Tools &amp; Targets_Guideline'!$C$54:$I$269,
    MATCH(
      1,
      ('Tools &amp; Targets_Guideline'!$A$54:$A$269=$B215)*
      ('Tools &amp; Targets_Guideline'!$B$54:$B$269="PNC"),
      0
    ),
    MATCH(
      _xludf.IFNA(
        VLOOKUP($D215,{"PH","Provincial Hospital (H2)";"DH","District Hospital (H3)";"RH","Regional / National Hospital (H1)"},2,0),
        $D215
      ),
      'Tools &amp; Targets_Guideline'!$C$53:$I$53,
      0
    )
  ),
0))</f>
        <v/>
      </c>
      <c r="O215" s="105"/>
      <c r="P215" s="119" t="str">
        <f t="array" ref="P215">IF(OR($B215="",$D215=""),"",
IFERROR(
  INDEX(
    'Tools &amp; Targets_Guideline'!$C$54:$I$269,
    MATCH(
      1,
      ('Tools &amp; Targets_Guideline'!$A$54:$A$269=$B215)*
      ('Tools &amp; Targets_Guideline'!$B$54:$B$269="Delivery"),
      0
    ),
    MATCH(
      _xludf.IFNA(
        VLOOKUP($D215,{"PH","Provincial Hospital (H2)";"DH","District Hospital (H3)";"RH","Regional / National Hospital (H1)"},2,0),
        $D215
      ),
      'Tools &amp; Targets_Guideline'!$C$53:$I$53,
      0
    )
  ),
0))</f>
        <v/>
      </c>
      <c r="Q215" s="105"/>
      <c r="R215" s="119" t="str">
        <f t="array" ref="R215">IF(OR($B215="",$D215=""),"",
IFERROR(
  INDEX(
    'Tools &amp; Targets_Guideline'!$C$54:$I$269,
    MATCH(
      1,
      ('Tools &amp; Targets_Guideline'!$A$54:$A$269=$B215)*
      ('Tools &amp; Targets_Guideline'!$B$54:$B$269="TT"),
      0
    ),
    MATCH(
      _xludf.IFNA(
        VLOOKUP($D215,{"PH","Provincial Hospital (H2)";"DH","District Hospital (H3)";"RH","Regional / National Hospital (H1)"},2,0),
        $D215
      ),
      'Tools &amp; Targets_Guideline'!$C$53:$I$53,
      0
    )
  ),
0))</f>
        <v/>
      </c>
      <c r="S215" s="105"/>
      <c r="T215" s="102"/>
      <c r="U215" s="106"/>
      <c r="V215" s="102" t="str">
        <f t="shared" si="1"/>
        <v/>
      </c>
      <c r="W215" s="102"/>
      <c r="X215" s="102"/>
      <c r="Y215" s="119" t="str">
        <f t="array" ref="Y215">IF(OR($B215="",$D215=""),"",
IFERROR(
  INDEX(
    'Tools &amp; Targets_Guideline'!$C$54:$I$269,
    MATCH(
      1,
      ('Tools &amp; Targets_Guideline'!$A$54:$A$269=$B215)*
      ('Tools &amp; Targets_Guideline'!$B$54:$B$269="GM"),
      0
    ),
    MATCH(
      _xludf.IFNA(
        VLOOKUP($D215,{"PH","Provincial Hospital (H2)";"DH","District Hospital (H3)";"RH","Regional / National Hospital (H1)"},2,0),
        $D215
      ),
      'Tools &amp; Targets_Guideline'!$C$53:$I$53,
      0
    )
  ),
0))</f>
        <v/>
      </c>
      <c r="Z215" s="105"/>
      <c r="AA215" s="119" t="str">
        <f t="array" ref="AA215">IF(OR($B215="",$D215=""),"",
IFERROR(
  INDEX(
    'Tools &amp; Targets_Guideline'!$C$54:$I$269,
    MATCH(
      1,
      ('Tools &amp; Targets_Guideline'!$A$54:$A$269=$B215)*
      ('Tools &amp; Targets_Guideline'!$B$54:$B$269="Penta"),
      0
    ),
    MATCH(
      _xludf.IFNA(
        VLOOKUP($D215,{"PH","Provincial Hospital (H2)";"DH","District Hospital (H3)";"RH","Regional / National Hospital (H1)"},2,0),
        $D215
      ),
      'Tools &amp; Targets_Guideline'!$C$53:$I$53,
      0
    )
  ),
0))</f>
        <v/>
      </c>
      <c r="AB215" s="105"/>
      <c r="AC215" s="119" t="str">
        <f t="array" ref="AC215">IF(OR($B215="",$D215=""),"",
IFERROR(
  INDEX(
    'Tools &amp; Targets_Guideline'!$C$54:$I$269,
    MATCH(
      1,
      ('Tools &amp; Targets_Guideline'!$A$54:$A$269=$B215)*
      ('Tools &amp; Targets_Guideline'!$B$54:$B$269="TB"),
      0
    ),
    MATCH(
      _xludf.IFNA(
        VLOOKUP($D215,{"PH","Provincial Hospital (H2)";"DH","District Hospital (H3)";"RH","Regional / National Hospital (H1)"},2,0),
        $D215
      ),
      'Tools &amp; Targets_Guideline'!$C$53:$I$53,
      0
    )
  ),
0))</f>
        <v/>
      </c>
      <c r="AD215" s="105"/>
      <c r="AE215" s="119" t="str">
        <f t="array" ref="AE215">IF(OR($B215="",$D215=""),"",
IFERROR(
  INDEX(
    'Tools &amp; Targets_Guideline'!$C$54:$I$269,
    MATCH(
      1,
      ('Tools &amp; Targets_Guideline'!$A$54:$A$269=$B215)*
      ('Tools &amp; Targets_Guideline'!$B$54:$B$269="U5 Morbidity"),
      0
    ),
    MATCH(
      _xludf.IFNA(
        VLOOKUP($D215,{"PH","Provincial Hospital (H2)";"DH","District Hospital (H3)";"RH","Regional / National Hospital (H1)"},2,0),
        $D215
      ),
      'Tools &amp; Targets_Guideline'!$C$53:$I$53,
      0
    )
  ),
0))</f>
        <v/>
      </c>
      <c r="AF215" s="105"/>
      <c r="AG215" s="119" t="str">
        <f t="array" ref="AG215">IF(OR($B215="",$D215=""),"",
IFERROR(
  INDEX(
    'Tools &amp; Targets_Guideline'!$C$54:$I$269,
    MATCH(
      1,
      ('Tools &amp; Targets_Guideline'!$A$54:$A$269=$B215)*
      ('Tools &amp; Targets_Guideline'!$B$54:$B$269="C-Section"),
      0
    ),
    MATCH(
      _xludf.IFNA(
        VLOOKUP($D215,{"PH","Provincial Hospital (H2)";"DH","District Hospital (H3)";"RH","Regional / National Hospital (H1)"},2,0),
        $D215
      ),
      'Tools &amp; Targets_Guideline'!$C$53:$I$53,
      0
    )
  ),
0))</f>
        <v/>
      </c>
      <c r="AH215" s="105" t="str">
        <f>IF(A215&lt;&gt;"",COUNTIFS('QA Log'!D:D,A215,'QA Log'!M:M,"QQC",'QA Log'!L:L,"2. Hygiene and Sterilization",'QA Log'!Z:Z,"Approved"),"")</f>
        <v/>
      </c>
      <c r="AI215" s="102"/>
      <c r="AJ215" s="102"/>
      <c r="AK215" s="103" t="str">
        <f t="shared" si="2"/>
        <v/>
      </c>
      <c r="AL215" s="102"/>
      <c r="AM215" s="102"/>
      <c r="AN215" s="102"/>
      <c r="AO215" s="106"/>
      <c r="AP215" s="103"/>
      <c r="AQ215" s="102"/>
      <c r="AR215" s="102"/>
      <c r="AS215" s="102"/>
      <c r="AT215" s="107"/>
      <c r="AU215" s="102" t="str">
        <f t="shared" si="3"/>
        <v/>
      </c>
      <c r="AV215" s="102" t="str">
        <f t="shared" si="4"/>
        <v/>
      </c>
      <c r="AW215" s="102" t="str">
        <f t="shared" si="5"/>
        <v/>
      </c>
      <c r="AX215" s="102" t="str">
        <f t="shared" si="6"/>
        <v/>
      </c>
      <c r="AY215" s="107" t="str">
        <f t="shared" si="7"/>
        <v/>
      </c>
      <c r="AZ215" s="108" t="str">
        <f t="shared" si="8"/>
        <v/>
      </c>
      <c r="BA215" s="108" t="str">
        <f t="shared" si="9"/>
        <v/>
      </c>
      <c r="BB215" s="109" t="str">
        <f t="shared" si="10"/>
        <v/>
      </c>
      <c r="BC215" s="108" t="str">
        <f t="shared" si="11"/>
        <v/>
      </c>
      <c r="BD215" s="108" t="str">
        <f t="shared" si="12"/>
        <v/>
      </c>
      <c r="BE215" s="109" t="str">
        <f t="shared" si="13"/>
        <v/>
      </c>
      <c r="BF215" s="110" t="str">
        <f t="shared" si="14"/>
        <v/>
      </c>
      <c r="BG215" s="111"/>
    </row>
    <row r="216" spans="1:59" ht="12.75">
      <c r="A216" s="101"/>
      <c r="B216" s="102"/>
      <c r="C216" s="102" t="e">
        <f t="array" aca="1" ref="C216" ca="1">_xludf.XLOOKUP(A216,'QA Log'!D:D,'QA Log'!F:F,"")</f>
        <v>#NAME?</v>
      </c>
      <c r="D216" s="102"/>
      <c r="E216" s="102" t="e">
        <f t="array" aca="1" ref="E216" ca="1">_xludf.XLOOKUP(A216,'QA Log'!D:D,'QA Log'!G:G,"")</f>
        <v>#NAME?</v>
      </c>
      <c r="F216" s="103"/>
      <c r="G216" s="104"/>
      <c r="H216" s="104"/>
      <c r="I216" s="103" t="str">
        <f t="shared" si="0"/>
        <v/>
      </c>
      <c r="J216" s="102"/>
      <c r="K216" s="102"/>
      <c r="L216" s="119" t="str">
        <f t="array" ref="L216">IF(OR($B216="",$D216=""),"",
IFERROR(
  INDEX(
    'Tools &amp; Targets_Guideline'!$C$54:$I$269,
    MATCH(
      1,
      ('Tools &amp; Targets_Guideline'!$A$54:$A$269=$B216)*
      ('Tools &amp; Targets_Guideline'!$B$54:$B$269="ANC"),
      0
    ),
    MATCH(
      _xludf.IFNA(
        VLOOKUP($D216,{"PH","Provincial Hospital (H2)";"DH","District Hospital (H3)";"RH","Regional / National Hospital (H1)"},2,0),
        $D216
      ),
      'Tools &amp; Targets_Guideline'!$C$53:$I$53,
      0
    )
  ),
0))</f>
        <v/>
      </c>
      <c r="M216" s="105"/>
      <c r="N216" s="119" t="str">
        <f t="array" ref="N216">IF(OR($B216="",$D216=""),"",
IFERROR(
  INDEX(
    'Tools &amp; Targets_Guideline'!$C$54:$I$269,
    MATCH(
      1,
      ('Tools &amp; Targets_Guideline'!$A$54:$A$269=$B216)*
      ('Tools &amp; Targets_Guideline'!$B$54:$B$269="PNC"),
      0
    ),
    MATCH(
      _xludf.IFNA(
        VLOOKUP($D216,{"PH","Provincial Hospital (H2)";"DH","District Hospital (H3)";"RH","Regional / National Hospital (H1)"},2,0),
        $D216
      ),
      'Tools &amp; Targets_Guideline'!$C$53:$I$53,
      0
    )
  ),
0))</f>
        <v/>
      </c>
      <c r="O216" s="105"/>
      <c r="P216" s="119" t="str">
        <f t="array" ref="P216">IF(OR($B216="",$D216=""),"",
IFERROR(
  INDEX(
    'Tools &amp; Targets_Guideline'!$C$54:$I$269,
    MATCH(
      1,
      ('Tools &amp; Targets_Guideline'!$A$54:$A$269=$B216)*
      ('Tools &amp; Targets_Guideline'!$B$54:$B$269="Delivery"),
      0
    ),
    MATCH(
      _xludf.IFNA(
        VLOOKUP($D216,{"PH","Provincial Hospital (H2)";"DH","District Hospital (H3)";"RH","Regional / National Hospital (H1)"},2,0),
        $D216
      ),
      'Tools &amp; Targets_Guideline'!$C$53:$I$53,
      0
    )
  ),
0))</f>
        <v/>
      </c>
      <c r="Q216" s="105"/>
      <c r="R216" s="119" t="str">
        <f t="array" ref="R216">IF(OR($B216="",$D216=""),"",
IFERROR(
  INDEX(
    'Tools &amp; Targets_Guideline'!$C$54:$I$269,
    MATCH(
      1,
      ('Tools &amp; Targets_Guideline'!$A$54:$A$269=$B216)*
      ('Tools &amp; Targets_Guideline'!$B$54:$B$269="TT"),
      0
    ),
    MATCH(
      _xludf.IFNA(
        VLOOKUP($D216,{"PH","Provincial Hospital (H2)";"DH","District Hospital (H3)";"RH","Regional / National Hospital (H1)"},2,0),
        $D216
      ),
      'Tools &amp; Targets_Guideline'!$C$53:$I$53,
      0
    )
  ),
0))</f>
        <v/>
      </c>
      <c r="S216" s="105"/>
      <c r="T216" s="102"/>
      <c r="U216" s="106"/>
      <c r="V216" s="102" t="str">
        <f t="shared" si="1"/>
        <v/>
      </c>
      <c r="W216" s="102"/>
      <c r="X216" s="102"/>
      <c r="Y216" s="119" t="str">
        <f t="array" ref="Y216">IF(OR($B216="",$D216=""),"",
IFERROR(
  INDEX(
    'Tools &amp; Targets_Guideline'!$C$54:$I$269,
    MATCH(
      1,
      ('Tools &amp; Targets_Guideline'!$A$54:$A$269=$B216)*
      ('Tools &amp; Targets_Guideline'!$B$54:$B$269="GM"),
      0
    ),
    MATCH(
      _xludf.IFNA(
        VLOOKUP($D216,{"PH","Provincial Hospital (H2)";"DH","District Hospital (H3)";"RH","Regional / National Hospital (H1)"},2,0),
        $D216
      ),
      'Tools &amp; Targets_Guideline'!$C$53:$I$53,
      0
    )
  ),
0))</f>
        <v/>
      </c>
      <c r="Z216" s="105"/>
      <c r="AA216" s="119" t="str">
        <f t="array" ref="AA216">IF(OR($B216="",$D216=""),"",
IFERROR(
  INDEX(
    'Tools &amp; Targets_Guideline'!$C$54:$I$269,
    MATCH(
      1,
      ('Tools &amp; Targets_Guideline'!$A$54:$A$269=$B216)*
      ('Tools &amp; Targets_Guideline'!$B$54:$B$269="Penta"),
      0
    ),
    MATCH(
      _xludf.IFNA(
        VLOOKUP($D216,{"PH","Provincial Hospital (H2)";"DH","District Hospital (H3)";"RH","Regional / National Hospital (H1)"},2,0),
        $D216
      ),
      'Tools &amp; Targets_Guideline'!$C$53:$I$53,
      0
    )
  ),
0))</f>
        <v/>
      </c>
      <c r="AB216" s="105"/>
      <c r="AC216" s="119" t="str">
        <f t="array" ref="AC216">IF(OR($B216="",$D216=""),"",
IFERROR(
  INDEX(
    'Tools &amp; Targets_Guideline'!$C$54:$I$269,
    MATCH(
      1,
      ('Tools &amp; Targets_Guideline'!$A$54:$A$269=$B216)*
      ('Tools &amp; Targets_Guideline'!$B$54:$B$269="TB"),
      0
    ),
    MATCH(
      _xludf.IFNA(
        VLOOKUP($D216,{"PH","Provincial Hospital (H2)";"DH","District Hospital (H3)";"RH","Regional / National Hospital (H1)"},2,0),
        $D216
      ),
      'Tools &amp; Targets_Guideline'!$C$53:$I$53,
      0
    )
  ),
0))</f>
        <v/>
      </c>
      <c r="AD216" s="105"/>
      <c r="AE216" s="119" t="str">
        <f t="array" ref="AE216">IF(OR($B216="",$D216=""),"",
IFERROR(
  INDEX(
    'Tools &amp; Targets_Guideline'!$C$54:$I$269,
    MATCH(
      1,
      ('Tools &amp; Targets_Guideline'!$A$54:$A$269=$B216)*
      ('Tools &amp; Targets_Guideline'!$B$54:$B$269="U5 Morbidity"),
      0
    ),
    MATCH(
      _xludf.IFNA(
        VLOOKUP($D216,{"PH","Provincial Hospital (H2)";"DH","District Hospital (H3)";"RH","Regional / National Hospital (H1)"},2,0),
        $D216
      ),
      'Tools &amp; Targets_Guideline'!$C$53:$I$53,
      0
    )
  ),
0))</f>
        <v/>
      </c>
      <c r="AF216" s="105"/>
      <c r="AG216" s="119" t="str">
        <f t="array" ref="AG216">IF(OR($B216="",$D216=""),"",
IFERROR(
  INDEX(
    'Tools &amp; Targets_Guideline'!$C$54:$I$269,
    MATCH(
      1,
      ('Tools &amp; Targets_Guideline'!$A$54:$A$269=$B216)*
      ('Tools &amp; Targets_Guideline'!$B$54:$B$269="C-Section"),
      0
    ),
    MATCH(
      _xludf.IFNA(
        VLOOKUP($D216,{"PH","Provincial Hospital (H2)";"DH","District Hospital (H3)";"RH","Regional / National Hospital (H1)"},2,0),
        $D216
      ),
      'Tools &amp; Targets_Guideline'!$C$53:$I$53,
      0
    )
  ),
0))</f>
        <v/>
      </c>
      <c r="AH216" s="105" t="str">
        <f>IF(A216&lt;&gt;"",COUNTIFS('QA Log'!D:D,A216,'QA Log'!M:M,"QQC",'QA Log'!L:L,"2. Hygiene and Sterilization",'QA Log'!Z:Z,"Approved"),"")</f>
        <v/>
      </c>
      <c r="AI216" s="102"/>
      <c r="AJ216" s="102"/>
      <c r="AK216" s="103" t="str">
        <f t="shared" si="2"/>
        <v/>
      </c>
      <c r="AL216" s="102"/>
      <c r="AM216" s="102"/>
      <c r="AN216" s="102"/>
      <c r="AO216" s="106"/>
      <c r="AP216" s="103"/>
      <c r="AQ216" s="102"/>
      <c r="AR216" s="102"/>
      <c r="AS216" s="102"/>
      <c r="AT216" s="107"/>
      <c r="AU216" s="102" t="str">
        <f t="shared" si="3"/>
        <v/>
      </c>
      <c r="AV216" s="102" t="str">
        <f t="shared" si="4"/>
        <v/>
      </c>
      <c r="AW216" s="102" t="str">
        <f t="shared" si="5"/>
        <v/>
      </c>
      <c r="AX216" s="102" t="str">
        <f t="shared" si="6"/>
        <v/>
      </c>
      <c r="AY216" s="107" t="str">
        <f t="shared" si="7"/>
        <v/>
      </c>
      <c r="AZ216" s="108" t="str">
        <f t="shared" si="8"/>
        <v/>
      </c>
      <c r="BA216" s="108" t="str">
        <f t="shared" si="9"/>
        <v/>
      </c>
      <c r="BB216" s="109" t="str">
        <f t="shared" si="10"/>
        <v/>
      </c>
      <c r="BC216" s="108" t="str">
        <f t="shared" si="11"/>
        <v/>
      </c>
      <c r="BD216" s="108" t="str">
        <f t="shared" si="12"/>
        <v/>
      </c>
      <c r="BE216" s="109" t="str">
        <f t="shared" si="13"/>
        <v/>
      </c>
      <c r="BF216" s="110" t="str">
        <f t="shared" si="14"/>
        <v/>
      </c>
      <c r="BG216" s="111"/>
    </row>
    <row r="217" spans="1:59" ht="12.75">
      <c r="A217" s="101"/>
      <c r="B217" s="102"/>
      <c r="C217" s="102" t="e">
        <f t="array" aca="1" ref="C217" ca="1">_xludf.XLOOKUP(A217,'QA Log'!D:D,'QA Log'!F:F,"")</f>
        <v>#NAME?</v>
      </c>
      <c r="D217" s="102"/>
      <c r="E217" s="102" t="e">
        <f t="array" aca="1" ref="E217" ca="1">_xludf.XLOOKUP(A217,'QA Log'!D:D,'QA Log'!G:G,"")</f>
        <v>#NAME?</v>
      </c>
      <c r="F217" s="103"/>
      <c r="G217" s="104"/>
      <c r="H217" s="104"/>
      <c r="I217" s="103" t="str">
        <f t="shared" si="0"/>
        <v/>
      </c>
      <c r="J217" s="102"/>
      <c r="K217" s="102"/>
      <c r="L217" s="119" t="str">
        <f t="array" ref="L217">IF(OR($B217="",$D217=""),"",
IFERROR(
  INDEX(
    'Tools &amp; Targets_Guideline'!$C$54:$I$269,
    MATCH(
      1,
      ('Tools &amp; Targets_Guideline'!$A$54:$A$269=$B217)*
      ('Tools &amp; Targets_Guideline'!$B$54:$B$269="ANC"),
      0
    ),
    MATCH(
      _xludf.IFNA(
        VLOOKUP($D217,{"PH","Provincial Hospital (H2)";"DH","District Hospital (H3)";"RH","Regional / National Hospital (H1)"},2,0),
        $D217
      ),
      'Tools &amp; Targets_Guideline'!$C$53:$I$53,
      0
    )
  ),
0))</f>
        <v/>
      </c>
      <c r="M217" s="105"/>
      <c r="N217" s="119" t="str">
        <f t="array" ref="N217">IF(OR($B217="",$D217=""),"",
IFERROR(
  INDEX(
    'Tools &amp; Targets_Guideline'!$C$54:$I$269,
    MATCH(
      1,
      ('Tools &amp; Targets_Guideline'!$A$54:$A$269=$B217)*
      ('Tools &amp; Targets_Guideline'!$B$54:$B$269="PNC"),
      0
    ),
    MATCH(
      _xludf.IFNA(
        VLOOKUP($D217,{"PH","Provincial Hospital (H2)";"DH","District Hospital (H3)";"RH","Regional / National Hospital (H1)"},2,0),
        $D217
      ),
      'Tools &amp; Targets_Guideline'!$C$53:$I$53,
      0
    )
  ),
0))</f>
        <v/>
      </c>
      <c r="O217" s="105"/>
      <c r="P217" s="119" t="str">
        <f t="array" ref="P217">IF(OR($B217="",$D217=""),"",
IFERROR(
  INDEX(
    'Tools &amp; Targets_Guideline'!$C$54:$I$269,
    MATCH(
      1,
      ('Tools &amp; Targets_Guideline'!$A$54:$A$269=$B217)*
      ('Tools &amp; Targets_Guideline'!$B$54:$B$269="Delivery"),
      0
    ),
    MATCH(
      _xludf.IFNA(
        VLOOKUP($D217,{"PH","Provincial Hospital (H2)";"DH","District Hospital (H3)";"RH","Regional / National Hospital (H1)"},2,0),
        $D217
      ),
      'Tools &amp; Targets_Guideline'!$C$53:$I$53,
      0
    )
  ),
0))</f>
        <v/>
      </c>
      <c r="Q217" s="105"/>
      <c r="R217" s="119" t="str">
        <f t="array" ref="R217">IF(OR($B217="",$D217=""),"",
IFERROR(
  INDEX(
    'Tools &amp; Targets_Guideline'!$C$54:$I$269,
    MATCH(
      1,
      ('Tools &amp; Targets_Guideline'!$A$54:$A$269=$B217)*
      ('Tools &amp; Targets_Guideline'!$B$54:$B$269="TT"),
      0
    ),
    MATCH(
      _xludf.IFNA(
        VLOOKUP($D217,{"PH","Provincial Hospital (H2)";"DH","District Hospital (H3)";"RH","Regional / National Hospital (H1)"},2,0),
        $D217
      ),
      'Tools &amp; Targets_Guideline'!$C$53:$I$53,
      0
    )
  ),
0))</f>
        <v/>
      </c>
      <c r="S217" s="105"/>
      <c r="T217" s="102"/>
      <c r="U217" s="106"/>
      <c r="V217" s="102" t="str">
        <f t="shared" si="1"/>
        <v/>
      </c>
      <c r="W217" s="102"/>
      <c r="X217" s="102"/>
      <c r="Y217" s="119" t="str">
        <f t="array" ref="Y217">IF(OR($B217="",$D217=""),"",
IFERROR(
  INDEX(
    'Tools &amp; Targets_Guideline'!$C$54:$I$269,
    MATCH(
      1,
      ('Tools &amp; Targets_Guideline'!$A$54:$A$269=$B217)*
      ('Tools &amp; Targets_Guideline'!$B$54:$B$269="GM"),
      0
    ),
    MATCH(
      _xludf.IFNA(
        VLOOKUP($D217,{"PH","Provincial Hospital (H2)";"DH","District Hospital (H3)";"RH","Regional / National Hospital (H1)"},2,0),
        $D217
      ),
      'Tools &amp; Targets_Guideline'!$C$53:$I$53,
      0
    )
  ),
0))</f>
        <v/>
      </c>
      <c r="Z217" s="105"/>
      <c r="AA217" s="119" t="str">
        <f t="array" ref="AA217">IF(OR($B217="",$D217=""),"",
IFERROR(
  INDEX(
    'Tools &amp; Targets_Guideline'!$C$54:$I$269,
    MATCH(
      1,
      ('Tools &amp; Targets_Guideline'!$A$54:$A$269=$B217)*
      ('Tools &amp; Targets_Guideline'!$B$54:$B$269="Penta"),
      0
    ),
    MATCH(
      _xludf.IFNA(
        VLOOKUP($D217,{"PH","Provincial Hospital (H2)";"DH","District Hospital (H3)";"RH","Regional / National Hospital (H1)"},2,0),
        $D217
      ),
      'Tools &amp; Targets_Guideline'!$C$53:$I$53,
      0
    )
  ),
0))</f>
        <v/>
      </c>
      <c r="AB217" s="105"/>
      <c r="AC217" s="119" t="str">
        <f t="array" ref="AC217">IF(OR($B217="",$D217=""),"",
IFERROR(
  INDEX(
    'Tools &amp; Targets_Guideline'!$C$54:$I$269,
    MATCH(
      1,
      ('Tools &amp; Targets_Guideline'!$A$54:$A$269=$B217)*
      ('Tools &amp; Targets_Guideline'!$B$54:$B$269="TB"),
      0
    ),
    MATCH(
      _xludf.IFNA(
        VLOOKUP($D217,{"PH","Provincial Hospital (H2)";"DH","District Hospital (H3)";"RH","Regional / National Hospital (H1)"},2,0),
        $D217
      ),
      'Tools &amp; Targets_Guideline'!$C$53:$I$53,
      0
    )
  ),
0))</f>
        <v/>
      </c>
      <c r="AD217" s="105"/>
      <c r="AE217" s="119" t="str">
        <f t="array" ref="AE217">IF(OR($B217="",$D217=""),"",
IFERROR(
  INDEX(
    'Tools &amp; Targets_Guideline'!$C$54:$I$269,
    MATCH(
      1,
      ('Tools &amp; Targets_Guideline'!$A$54:$A$269=$B217)*
      ('Tools &amp; Targets_Guideline'!$B$54:$B$269="U5 Morbidity"),
      0
    ),
    MATCH(
      _xludf.IFNA(
        VLOOKUP($D217,{"PH","Provincial Hospital (H2)";"DH","District Hospital (H3)";"RH","Regional / National Hospital (H1)"},2,0),
        $D217
      ),
      'Tools &amp; Targets_Guideline'!$C$53:$I$53,
      0
    )
  ),
0))</f>
        <v/>
      </c>
      <c r="AF217" s="105"/>
      <c r="AG217" s="119" t="str">
        <f t="array" ref="AG217">IF(OR($B217="",$D217=""),"",
IFERROR(
  INDEX(
    'Tools &amp; Targets_Guideline'!$C$54:$I$269,
    MATCH(
      1,
      ('Tools &amp; Targets_Guideline'!$A$54:$A$269=$B217)*
      ('Tools &amp; Targets_Guideline'!$B$54:$B$269="C-Section"),
      0
    ),
    MATCH(
      _xludf.IFNA(
        VLOOKUP($D217,{"PH","Provincial Hospital (H2)";"DH","District Hospital (H3)";"RH","Regional / National Hospital (H1)"},2,0),
        $D217
      ),
      'Tools &amp; Targets_Guideline'!$C$53:$I$53,
      0
    )
  ),
0))</f>
        <v/>
      </c>
      <c r="AH217" s="105" t="str">
        <f>IF(A217&lt;&gt;"",COUNTIFS('QA Log'!D:D,A217,'QA Log'!M:M,"QQC",'QA Log'!L:L,"2. Hygiene and Sterilization",'QA Log'!Z:Z,"Approved"),"")</f>
        <v/>
      </c>
      <c r="AI217" s="102"/>
      <c r="AJ217" s="102"/>
      <c r="AK217" s="103" t="str">
        <f t="shared" si="2"/>
        <v/>
      </c>
      <c r="AL217" s="102"/>
      <c r="AM217" s="102"/>
      <c r="AN217" s="102"/>
      <c r="AO217" s="106"/>
      <c r="AP217" s="103"/>
      <c r="AQ217" s="102"/>
      <c r="AR217" s="102"/>
      <c r="AS217" s="102"/>
      <c r="AT217" s="107"/>
      <c r="AU217" s="102" t="str">
        <f t="shared" si="3"/>
        <v/>
      </c>
      <c r="AV217" s="102" t="str">
        <f t="shared" si="4"/>
        <v/>
      </c>
      <c r="AW217" s="102" t="str">
        <f t="shared" si="5"/>
        <v/>
      </c>
      <c r="AX217" s="102" t="str">
        <f t="shared" si="6"/>
        <v/>
      </c>
      <c r="AY217" s="107" t="str">
        <f t="shared" si="7"/>
        <v/>
      </c>
      <c r="AZ217" s="108" t="str">
        <f t="shared" si="8"/>
        <v/>
      </c>
      <c r="BA217" s="108" t="str">
        <f t="shared" si="9"/>
        <v/>
      </c>
      <c r="BB217" s="109" t="str">
        <f t="shared" si="10"/>
        <v/>
      </c>
      <c r="BC217" s="108" t="str">
        <f t="shared" si="11"/>
        <v/>
      </c>
      <c r="BD217" s="108" t="str">
        <f t="shared" si="12"/>
        <v/>
      </c>
      <c r="BE217" s="109" t="str">
        <f t="shared" si="13"/>
        <v/>
      </c>
      <c r="BF217" s="110" t="str">
        <f t="shared" si="14"/>
        <v/>
      </c>
      <c r="BG217" s="111"/>
    </row>
    <row r="218" spans="1:59" ht="12.75">
      <c r="A218" s="101"/>
      <c r="B218" s="102"/>
      <c r="C218" s="102" t="e">
        <f t="array" aca="1" ref="C218" ca="1">_xludf.XLOOKUP(A218,'QA Log'!D:D,'QA Log'!F:F,"")</f>
        <v>#NAME?</v>
      </c>
      <c r="D218" s="102"/>
      <c r="E218" s="102" t="e">
        <f t="array" aca="1" ref="E218" ca="1">_xludf.XLOOKUP(A218,'QA Log'!D:D,'QA Log'!G:G,"")</f>
        <v>#NAME?</v>
      </c>
      <c r="F218" s="103"/>
      <c r="G218" s="104"/>
      <c r="H218" s="104"/>
      <c r="I218" s="103" t="str">
        <f t="shared" si="0"/>
        <v/>
      </c>
      <c r="J218" s="102"/>
      <c r="K218" s="102"/>
      <c r="L218" s="119" t="str">
        <f t="array" ref="L218">IF(OR($B218="",$D218=""),"",
IFERROR(
  INDEX(
    'Tools &amp; Targets_Guideline'!$C$54:$I$269,
    MATCH(
      1,
      ('Tools &amp; Targets_Guideline'!$A$54:$A$269=$B218)*
      ('Tools &amp; Targets_Guideline'!$B$54:$B$269="ANC"),
      0
    ),
    MATCH(
      _xludf.IFNA(
        VLOOKUP($D218,{"PH","Provincial Hospital (H2)";"DH","District Hospital (H3)";"RH","Regional / National Hospital (H1)"},2,0),
        $D218
      ),
      'Tools &amp; Targets_Guideline'!$C$53:$I$53,
      0
    )
  ),
0))</f>
        <v/>
      </c>
      <c r="M218" s="105"/>
      <c r="N218" s="119" t="str">
        <f t="array" ref="N218">IF(OR($B218="",$D218=""),"",
IFERROR(
  INDEX(
    'Tools &amp; Targets_Guideline'!$C$54:$I$269,
    MATCH(
      1,
      ('Tools &amp; Targets_Guideline'!$A$54:$A$269=$B218)*
      ('Tools &amp; Targets_Guideline'!$B$54:$B$269="PNC"),
      0
    ),
    MATCH(
      _xludf.IFNA(
        VLOOKUP($D218,{"PH","Provincial Hospital (H2)";"DH","District Hospital (H3)";"RH","Regional / National Hospital (H1)"},2,0),
        $D218
      ),
      'Tools &amp; Targets_Guideline'!$C$53:$I$53,
      0
    )
  ),
0))</f>
        <v/>
      </c>
      <c r="O218" s="105"/>
      <c r="P218" s="119" t="str">
        <f t="array" ref="P218">IF(OR($B218="",$D218=""),"",
IFERROR(
  INDEX(
    'Tools &amp; Targets_Guideline'!$C$54:$I$269,
    MATCH(
      1,
      ('Tools &amp; Targets_Guideline'!$A$54:$A$269=$B218)*
      ('Tools &amp; Targets_Guideline'!$B$54:$B$269="Delivery"),
      0
    ),
    MATCH(
      _xludf.IFNA(
        VLOOKUP($D218,{"PH","Provincial Hospital (H2)";"DH","District Hospital (H3)";"RH","Regional / National Hospital (H1)"},2,0),
        $D218
      ),
      'Tools &amp; Targets_Guideline'!$C$53:$I$53,
      0
    )
  ),
0))</f>
        <v/>
      </c>
      <c r="Q218" s="105"/>
      <c r="R218" s="119" t="str">
        <f t="array" ref="R218">IF(OR($B218="",$D218=""),"",
IFERROR(
  INDEX(
    'Tools &amp; Targets_Guideline'!$C$54:$I$269,
    MATCH(
      1,
      ('Tools &amp; Targets_Guideline'!$A$54:$A$269=$B218)*
      ('Tools &amp; Targets_Guideline'!$B$54:$B$269="TT"),
      0
    ),
    MATCH(
      _xludf.IFNA(
        VLOOKUP($D218,{"PH","Provincial Hospital (H2)";"DH","District Hospital (H3)";"RH","Regional / National Hospital (H1)"},2,0),
        $D218
      ),
      'Tools &amp; Targets_Guideline'!$C$53:$I$53,
      0
    )
  ),
0))</f>
        <v/>
      </c>
      <c r="S218" s="105"/>
      <c r="T218" s="102"/>
      <c r="U218" s="106"/>
      <c r="V218" s="102" t="str">
        <f t="shared" si="1"/>
        <v/>
      </c>
      <c r="W218" s="102"/>
      <c r="X218" s="102"/>
      <c r="Y218" s="119" t="str">
        <f t="array" ref="Y218">IF(OR($B218="",$D218=""),"",
IFERROR(
  INDEX(
    'Tools &amp; Targets_Guideline'!$C$54:$I$269,
    MATCH(
      1,
      ('Tools &amp; Targets_Guideline'!$A$54:$A$269=$B218)*
      ('Tools &amp; Targets_Guideline'!$B$54:$B$269="GM"),
      0
    ),
    MATCH(
      _xludf.IFNA(
        VLOOKUP($D218,{"PH","Provincial Hospital (H2)";"DH","District Hospital (H3)";"RH","Regional / National Hospital (H1)"},2,0),
        $D218
      ),
      'Tools &amp; Targets_Guideline'!$C$53:$I$53,
      0
    )
  ),
0))</f>
        <v/>
      </c>
      <c r="Z218" s="105"/>
      <c r="AA218" s="119" t="str">
        <f t="array" ref="AA218">IF(OR($B218="",$D218=""),"",
IFERROR(
  INDEX(
    'Tools &amp; Targets_Guideline'!$C$54:$I$269,
    MATCH(
      1,
      ('Tools &amp; Targets_Guideline'!$A$54:$A$269=$B218)*
      ('Tools &amp; Targets_Guideline'!$B$54:$B$269="Penta"),
      0
    ),
    MATCH(
      _xludf.IFNA(
        VLOOKUP($D218,{"PH","Provincial Hospital (H2)";"DH","District Hospital (H3)";"RH","Regional / National Hospital (H1)"},2,0),
        $D218
      ),
      'Tools &amp; Targets_Guideline'!$C$53:$I$53,
      0
    )
  ),
0))</f>
        <v/>
      </c>
      <c r="AB218" s="105"/>
      <c r="AC218" s="119" t="str">
        <f t="array" ref="AC218">IF(OR($B218="",$D218=""),"",
IFERROR(
  INDEX(
    'Tools &amp; Targets_Guideline'!$C$54:$I$269,
    MATCH(
      1,
      ('Tools &amp; Targets_Guideline'!$A$54:$A$269=$B218)*
      ('Tools &amp; Targets_Guideline'!$B$54:$B$269="TB"),
      0
    ),
    MATCH(
      _xludf.IFNA(
        VLOOKUP($D218,{"PH","Provincial Hospital (H2)";"DH","District Hospital (H3)";"RH","Regional / National Hospital (H1)"},2,0),
        $D218
      ),
      'Tools &amp; Targets_Guideline'!$C$53:$I$53,
      0
    )
  ),
0))</f>
        <v/>
      </c>
      <c r="AD218" s="105"/>
      <c r="AE218" s="119" t="str">
        <f t="array" ref="AE218">IF(OR($B218="",$D218=""),"",
IFERROR(
  INDEX(
    'Tools &amp; Targets_Guideline'!$C$54:$I$269,
    MATCH(
      1,
      ('Tools &amp; Targets_Guideline'!$A$54:$A$269=$B218)*
      ('Tools &amp; Targets_Guideline'!$B$54:$B$269="U5 Morbidity"),
      0
    ),
    MATCH(
      _xludf.IFNA(
        VLOOKUP($D218,{"PH","Provincial Hospital (H2)";"DH","District Hospital (H3)";"RH","Regional / National Hospital (H1)"},2,0),
        $D218
      ),
      'Tools &amp; Targets_Guideline'!$C$53:$I$53,
      0
    )
  ),
0))</f>
        <v/>
      </c>
      <c r="AF218" s="105"/>
      <c r="AG218" s="119" t="str">
        <f t="array" ref="AG218">IF(OR($B218="",$D218=""),"",
IFERROR(
  INDEX(
    'Tools &amp; Targets_Guideline'!$C$54:$I$269,
    MATCH(
      1,
      ('Tools &amp; Targets_Guideline'!$A$54:$A$269=$B218)*
      ('Tools &amp; Targets_Guideline'!$B$54:$B$269="C-Section"),
      0
    ),
    MATCH(
      _xludf.IFNA(
        VLOOKUP($D218,{"PH","Provincial Hospital (H2)";"DH","District Hospital (H3)";"RH","Regional / National Hospital (H1)"},2,0),
        $D218
      ),
      'Tools &amp; Targets_Guideline'!$C$53:$I$53,
      0
    )
  ),
0))</f>
        <v/>
      </c>
      <c r="AH218" s="105" t="str">
        <f>IF(A218&lt;&gt;"",COUNTIFS('QA Log'!D:D,A218,'QA Log'!M:M,"QQC",'QA Log'!L:L,"2. Hygiene and Sterilization",'QA Log'!Z:Z,"Approved"),"")</f>
        <v/>
      </c>
      <c r="AI218" s="102"/>
      <c r="AJ218" s="102"/>
      <c r="AK218" s="103" t="str">
        <f t="shared" si="2"/>
        <v/>
      </c>
      <c r="AL218" s="102"/>
      <c r="AM218" s="102"/>
      <c r="AN218" s="102"/>
      <c r="AO218" s="106"/>
      <c r="AP218" s="103"/>
      <c r="AQ218" s="102"/>
      <c r="AR218" s="102"/>
      <c r="AS218" s="102"/>
      <c r="AT218" s="107"/>
      <c r="AU218" s="102" t="str">
        <f t="shared" si="3"/>
        <v/>
      </c>
      <c r="AV218" s="102" t="str">
        <f t="shared" si="4"/>
        <v/>
      </c>
      <c r="AW218" s="102" t="str">
        <f t="shared" si="5"/>
        <v/>
      </c>
      <c r="AX218" s="102" t="str">
        <f t="shared" si="6"/>
        <v/>
      </c>
      <c r="AY218" s="107" t="str">
        <f t="shared" si="7"/>
        <v/>
      </c>
      <c r="AZ218" s="108" t="str">
        <f t="shared" si="8"/>
        <v/>
      </c>
      <c r="BA218" s="108" t="str">
        <f t="shared" si="9"/>
        <v/>
      </c>
      <c r="BB218" s="109" t="str">
        <f t="shared" si="10"/>
        <v/>
      </c>
      <c r="BC218" s="108" t="str">
        <f t="shared" si="11"/>
        <v/>
      </c>
      <c r="BD218" s="108" t="str">
        <f t="shared" si="12"/>
        <v/>
      </c>
      <c r="BE218" s="109" t="str">
        <f t="shared" si="13"/>
        <v/>
      </c>
      <c r="BF218" s="110" t="str">
        <f t="shared" si="14"/>
        <v/>
      </c>
      <c r="BG218" s="111"/>
    </row>
    <row r="219" spans="1:59" ht="12.75">
      <c r="A219" s="101"/>
      <c r="B219" s="102"/>
      <c r="C219" s="102" t="e">
        <f t="array" aca="1" ref="C219" ca="1">_xludf.XLOOKUP(A219,'QA Log'!D:D,'QA Log'!F:F,"")</f>
        <v>#NAME?</v>
      </c>
      <c r="D219" s="102"/>
      <c r="E219" s="102" t="e">
        <f t="array" aca="1" ref="E219" ca="1">_xludf.XLOOKUP(A219,'QA Log'!D:D,'QA Log'!G:G,"")</f>
        <v>#NAME?</v>
      </c>
      <c r="F219" s="103"/>
      <c r="G219" s="104"/>
      <c r="H219" s="104"/>
      <c r="I219" s="103" t="str">
        <f t="shared" si="0"/>
        <v/>
      </c>
      <c r="J219" s="102"/>
      <c r="K219" s="102"/>
      <c r="L219" s="119" t="str">
        <f t="array" ref="L219">IF(OR($B219="",$D219=""),"",
IFERROR(
  INDEX(
    'Tools &amp; Targets_Guideline'!$C$54:$I$269,
    MATCH(
      1,
      ('Tools &amp; Targets_Guideline'!$A$54:$A$269=$B219)*
      ('Tools &amp; Targets_Guideline'!$B$54:$B$269="ANC"),
      0
    ),
    MATCH(
      _xludf.IFNA(
        VLOOKUP($D219,{"PH","Provincial Hospital (H2)";"DH","District Hospital (H3)";"RH","Regional / National Hospital (H1)"},2,0),
        $D219
      ),
      'Tools &amp; Targets_Guideline'!$C$53:$I$53,
      0
    )
  ),
0))</f>
        <v/>
      </c>
      <c r="M219" s="105"/>
      <c r="N219" s="119" t="str">
        <f t="array" ref="N219">IF(OR($B219="",$D219=""),"",
IFERROR(
  INDEX(
    'Tools &amp; Targets_Guideline'!$C$54:$I$269,
    MATCH(
      1,
      ('Tools &amp; Targets_Guideline'!$A$54:$A$269=$B219)*
      ('Tools &amp; Targets_Guideline'!$B$54:$B$269="PNC"),
      0
    ),
    MATCH(
      _xludf.IFNA(
        VLOOKUP($D219,{"PH","Provincial Hospital (H2)";"DH","District Hospital (H3)";"RH","Regional / National Hospital (H1)"},2,0),
        $D219
      ),
      'Tools &amp; Targets_Guideline'!$C$53:$I$53,
      0
    )
  ),
0))</f>
        <v/>
      </c>
      <c r="O219" s="105"/>
      <c r="P219" s="119" t="str">
        <f t="array" ref="P219">IF(OR($B219="",$D219=""),"",
IFERROR(
  INDEX(
    'Tools &amp; Targets_Guideline'!$C$54:$I$269,
    MATCH(
      1,
      ('Tools &amp; Targets_Guideline'!$A$54:$A$269=$B219)*
      ('Tools &amp; Targets_Guideline'!$B$54:$B$269="Delivery"),
      0
    ),
    MATCH(
      _xludf.IFNA(
        VLOOKUP($D219,{"PH","Provincial Hospital (H2)";"DH","District Hospital (H3)";"RH","Regional / National Hospital (H1)"},2,0),
        $D219
      ),
      'Tools &amp; Targets_Guideline'!$C$53:$I$53,
      0
    )
  ),
0))</f>
        <v/>
      </c>
      <c r="Q219" s="105"/>
      <c r="R219" s="119" t="str">
        <f t="array" ref="R219">IF(OR($B219="",$D219=""),"",
IFERROR(
  INDEX(
    'Tools &amp; Targets_Guideline'!$C$54:$I$269,
    MATCH(
      1,
      ('Tools &amp; Targets_Guideline'!$A$54:$A$269=$B219)*
      ('Tools &amp; Targets_Guideline'!$B$54:$B$269="TT"),
      0
    ),
    MATCH(
      _xludf.IFNA(
        VLOOKUP($D219,{"PH","Provincial Hospital (H2)";"DH","District Hospital (H3)";"RH","Regional / National Hospital (H1)"},2,0),
        $D219
      ),
      'Tools &amp; Targets_Guideline'!$C$53:$I$53,
      0
    )
  ),
0))</f>
        <v/>
      </c>
      <c r="S219" s="105"/>
      <c r="T219" s="102"/>
      <c r="U219" s="106"/>
      <c r="V219" s="102" t="str">
        <f t="shared" si="1"/>
        <v/>
      </c>
      <c r="W219" s="102"/>
      <c r="X219" s="102"/>
      <c r="Y219" s="119" t="str">
        <f t="array" ref="Y219">IF(OR($B219="",$D219=""),"",
IFERROR(
  INDEX(
    'Tools &amp; Targets_Guideline'!$C$54:$I$269,
    MATCH(
      1,
      ('Tools &amp; Targets_Guideline'!$A$54:$A$269=$B219)*
      ('Tools &amp; Targets_Guideline'!$B$54:$B$269="GM"),
      0
    ),
    MATCH(
      _xludf.IFNA(
        VLOOKUP($D219,{"PH","Provincial Hospital (H2)";"DH","District Hospital (H3)";"RH","Regional / National Hospital (H1)"},2,0),
        $D219
      ),
      'Tools &amp; Targets_Guideline'!$C$53:$I$53,
      0
    )
  ),
0))</f>
        <v/>
      </c>
      <c r="Z219" s="105"/>
      <c r="AA219" s="119" t="str">
        <f t="array" ref="AA219">IF(OR($B219="",$D219=""),"",
IFERROR(
  INDEX(
    'Tools &amp; Targets_Guideline'!$C$54:$I$269,
    MATCH(
      1,
      ('Tools &amp; Targets_Guideline'!$A$54:$A$269=$B219)*
      ('Tools &amp; Targets_Guideline'!$B$54:$B$269="Penta"),
      0
    ),
    MATCH(
      _xludf.IFNA(
        VLOOKUP($D219,{"PH","Provincial Hospital (H2)";"DH","District Hospital (H3)";"RH","Regional / National Hospital (H1)"},2,0),
        $D219
      ),
      'Tools &amp; Targets_Guideline'!$C$53:$I$53,
      0
    )
  ),
0))</f>
        <v/>
      </c>
      <c r="AB219" s="105"/>
      <c r="AC219" s="119" t="str">
        <f t="array" ref="AC219">IF(OR($B219="",$D219=""),"",
IFERROR(
  INDEX(
    'Tools &amp; Targets_Guideline'!$C$54:$I$269,
    MATCH(
      1,
      ('Tools &amp; Targets_Guideline'!$A$54:$A$269=$B219)*
      ('Tools &amp; Targets_Guideline'!$B$54:$B$269="TB"),
      0
    ),
    MATCH(
      _xludf.IFNA(
        VLOOKUP($D219,{"PH","Provincial Hospital (H2)";"DH","District Hospital (H3)";"RH","Regional / National Hospital (H1)"},2,0),
        $D219
      ),
      'Tools &amp; Targets_Guideline'!$C$53:$I$53,
      0
    )
  ),
0))</f>
        <v/>
      </c>
      <c r="AD219" s="105"/>
      <c r="AE219" s="119" t="str">
        <f t="array" ref="AE219">IF(OR($B219="",$D219=""),"",
IFERROR(
  INDEX(
    'Tools &amp; Targets_Guideline'!$C$54:$I$269,
    MATCH(
      1,
      ('Tools &amp; Targets_Guideline'!$A$54:$A$269=$B219)*
      ('Tools &amp; Targets_Guideline'!$B$54:$B$269="U5 Morbidity"),
      0
    ),
    MATCH(
      _xludf.IFNA(
        VLOOKUP($D219,{"PH","Provincial Hospital (H2)";"DH","District Hospital (H3)";"RH","Regional / National Hospital (H1)"},2,0),
        $D219
      ),
      'Tools &amp; Targets_Guideline'!$C$53:$I$53,
      0
    )
  ),
0))</f>
        <v/>
      </c>
      <c r="AF219" s="105"/>
      <c r="AG219" s="119" t="str">
        <f t="array" ref="AG219">IF(OR($B219="",$D219=""),"",
IFERROR(
  INDEX(
    'Tools &amp; Targets_Guideline'!$C$54:$I$269,
    MATCH(
      1,
      ('Tools &amp; Targets_Guideline'!$A$54:$A$269=$B219)*
      ('Tools &amp; Targets_Guideline'!$B$54:$B$269="C-Section"),
      0
    ),
    MATCH(
      _xludf.IFNA(
        VLOOKUP($D219,{"PH","Provincial Hospital (H2)";"DH","District Hospital (H3)";"RH","Regional / National Hospital (H1)"},2,0),
        $D219
      ),
      'Tools &amp; Targets_Guideline'!$C$53:$I$53,
      0
    )
  ),
0))</f>
        <v/>
      </c>
      <c r="AH219" s="105" t="str">
        <f>IF(A219&lt;&gt;"",COUNTIFS('QA Log'!D:D,A219,'QA Log'!M:M,"QQC",'QA Log'!L:L,"2. Hygiene and Sterilization",'QA Log'!Z:Z,"Approved"),"")</f>
        <v/>
      </c>
      <c r="AI219" s="102"/>
      <c r="AJ219" s="102"/>
      <c r="AK219" s="103" t="str">
        <f t="shared" si="2"/>
        <v/>
      </c>
      <c r="AL219" s="102"/>
      <c r="AM219" s="102"/>
      <c r="AN219" s="102"/>
      <c r="AO219" s="106"/>
      <c r="AP219" s="103"/>
      <c r="AQ219" s="102"/>
      <c r="AR219" s="102"/>
      <c r="AS219" s="102"/>
      <c r="AT219" s="107"/>
      <c r="AU219" s="102" t="str">
        <f t="shared" si="3"/>
        <v/>
      </c>
      <c r="AV219" s="102" t="str">
        <f t="shared" si="4"/>
        <v/>
      </c>
      <c r="AW219" s="102" t="str">
        <f t="shared" si="5"/>
        <v/>
      </c>
      <c r="AX219" s="102" t="str">
        <f t="shared" si="6"/>
        <v/>
      </c>
      <c r="AY219" s="107" t="str">
        <f t="shared" si="7"/>
        <v/>
      </c>
      <c r="AZ219" s="108" t="str">
        <f t="shared" si="8"/>
        <v/>
      </c>
      <c r="BA219" s="108" t="str">
        <f t="shared" si="9"/>
        <v/>
      </c>
      <c r="BB219" s="109" t="str">
        <f t="shared" si="10"/>
        <v/>
      </c>
      <c r="BC219" s="108" t="str">
        <f t="shared" si="11"/>
        <v/>
      </c>
      <c r="BD219" s="108" t="str">
        <f t="shared" si="12"/>
        <v/>
      </c>
      <c r="BE219" s="109" t="str">
        <f t="shared" si="13"/>
        <v/>
      </c>
      <c r="BF219" s="110" t="str">
        <f t="shared" si="14"/>
        <v/>
      </c>
      <c r="BG219" s="111"/>
    </row>
    <row r="220" spans="1:59" ht="12.75">
      <c r="A220" s="101"/>
      <c r="B220" s="102"/>
      <c r="C220" s="102" t="e">
        <f t="array" aca="1" ref="C220" ca="1">_xludf.XLOOKUP(A220,'QA Log'!D:D,'QA Log'!F:F,"")</f>
        <v>#NAME?</v>
      </c>
      <c r="D220" s="102"/>
      <c r="E220" s="102" t="e">
        <f t="array" aca="1" ref="E220" ca="1">_xludf.XLOOKUP(A220,'QA Log'!D:D,'QA Log'!G:G,"")</f>
        <v>#NAME?</v>
      </c>
      <c r="F220" s="103"/>
      <c r="G220" s="104"/>
      <c r="H220" s="104"/>
      <c r="I220" s="103" t="str">
        <f t="shared" si="0"/>
        <v/>
      </c>
      <c r="J220" s="102"/>
      <c r="K220" s="102"/>
      <c r="L220" s="119" t="str">
        <f t="array" ref="L220">IF(OR($B220="",$D220=""),"",
IFERROR(
  INDEX(
    'Tools &amp; Targets_Guideline'!$C$54:$I$269,
    MATCH(
      1,
      ('Tools &amp; Targets_Guideline'!$A$54:$A$269=$B220)*
      ('Tools &amp; Targets_Guideline'!$B$54:$B$269="ANC"),
      0
    ),
    MATCH(
      _xludf.IFNA(
        VLOOKUP($D220,{"PH","Provincial Hospital (H2)";"DH","District Hospital (H3)";"RH","Regional / National Hospital (H1)"},2,0),
        $D220
      ),
      'Tools &amp; Targets_Guideline'!$C$53:$I$53,
      0
    )
  ),
0))</f>
        <v/>
      </c>
      <c r="M220" s="105"/>
      <c r="N220" s="119" t="str">
        <f t="array" ref="N220">IF(OR($B220="",$D220=""),"",
IFERROR(
  INDEX(
    'Tools &amp; Targets_Guideline'!$C$54:$I$269,
    MATCH(
      1,
      ('Tools &amp; Targets_Guideline'!$A$54:$A$269=$B220)*
      ('Tools &amp; Targets_Guideline'!$B$54:$B$269="PNC"),
      0
    ),
    MATCH(
      _xludf.IFNA(
        VLOOKUP($D220,{"PH","Provincial Hospital (H2)";"DH","District Hospital (H3)";"RH","Regional / National Hospital (H1)"},2,0),
        $D220
      ),
      'Tools &amp; Targets_Guideline'!$C$53:$I$53,
      0
    )
  ),
0))</f>
        <v/>
      </c>
      <c r="O220" s="105"/>
      <c r="P220" s="119" t="str">
        <f t="array" ref="P220">IF(OR($B220="",$D220=""),"",
IFERROR(
  INDEX(
    'Tools &amp; Targets_Guideline'!$C$54:$I$269,
    MATCH(
      1,
      ('Tools &amp; Targets_Guideline'!$A$54:$A$269=$B220)*
      ('Tools &amp; Targets_Guideline'!$B$54:$B$269="Delivery"),
      0
    ),
    MATCH(
      _xludf.IFNA(
        VLOOKUP($D220,{"PH","Provincial Hospital (H2)";"DH","District Hospital (H3)";"RH","Regional / National Hospital (H1)"},2,0),
        $D220
      ),
      'Tools &amp; Targets_Guideline'!$C$53:$I$53,
      0
    )
  ),
0))</f>
        <v/>
      </c>
      <c r="Q220" s="105"/>
      <c r="R220" s="119" t="str">
        <f t="array" ref="R220">IF(OR($B220="",$D220=""),"",
IFERROR(
  INDEX(
    'Tools &amp; Targets_Guideline'!$C$54:$I$269,
    MATCH(
      1,
      ('Tools &amp; Targets_Guideline'!$A$54:$A$269=$B220)*
      ('Tools &amp; Targets_Guideline'!$B$54:$B$269="TT"),
      0
    ),
    MATCH(
      _xludf.IFNA(
        VLOOKUP($D220,{"PH","Provincial Hospital (H2)";"DH","District Hospital (H3)";"RH","Regional / National Hospital (H1)"},2,0),
        $D220
      ),
      'Tools &amp; Targets_Guideline'!$C$53:$I$53,
      0
    )
  ),
0))</f>
        <v/>
      </c>
      <c r="S220" s="105"/>
      <c r="T220" s="102"/>
      <c r="U220" s="106"/>
      <c r="V220" s="102" t="str">
        <f t="shared" si="1"/>
        <v/>
      </c>
      <c r="W220" s="102"/>
      <c r="X220" s="102"/>
      <c r="Y220" s="119" t="str">
        <f t="array" ref="Y220">IF(OR($B220="",$D220=""),"",
IFERROR(
  INDEX(
    'Tools &amp; Targets_Guideline'!$C$54:$I$269,
    MATCH(
      1,
      ('Tools &amp; Targets_Guideline'!$A$54:$A$269=$B220)*
      ('Tools &amp; Targets_Guideline'!$B$54:$B$269="GM"),
      0
    ),
    MATCH(
      _xludf.IFNA(
        VLOOKUP($D220,{"PH","Provincial Hospital (H2)";"DH","District Hospital (H3)";"RH","Regional / National Hospital (H1)"},2,0),
        $D220
      ),
      'Tools &amp; Targets_Guideline'!$C$53:$I$53,
      0
    )
  ),
0))</f>
        <v/>
      </c>
      <c r="Z220" s="105"/>
      <c r="AA220" s="119" t="str">
        <f t="array" ref="AA220">IF(OR($B220="",$D220=""),"",
IFERROR(
  INDEX(
    'Tools &amp; Targets_Guideline'!$C$54:$I$269,
    MATCH(
      1,
      ('Tools &amp; Targets_Guideline'!$A$54:$A$269=$B220)*
      ('Tools &amp; Targets_Guideline'!$B$54:$B$269="Penta"),
      0
    ),
    MATCH(
      _xludf.IFNA(
        VLOOKUP($D220,{"PH","Provincial Hospital (H2)";"DH","District Hospital (H3)";"RH","Regional / National Hospital (H1)"},2,0),
        $D220
      ),
      'Tools &amp; Targets_Guideline'!$C$53:$I$53,
      0
    )
  ),
0))</f>
        <v/>
      </c>
      <c r="AB220" s="105"/>
      <c r="AC220" s="119" t="str">
        <f t="array" ref="AC220">IF(OR($B220="",$D220=""),"",
IFERROR(
  INDEX(
    'Tools &amp; Targets_Guideline'!$C$54:$I$269,
    MATCH(
      1,
      ('Tools &amp; Targets_Guideline'!$A$54:$A$269=$B220)*
      ('Tools &amp; Targets_Guideline'!$B$54:$B$269="TB"),
      0
    ),
    MATCH(
      _xludf.IFNA(
        VLOOKUP($D220,{"PH","Provincial Hospital (H2)";"DH","District Hospital (H3)";"RH","Regional / National Hospital (H1)"},2,0),
        $D220
      ),
      'Tools &amp; Targets_Guideline'!$C$53:$I$53,
      0
    )
  ),
0))</f>
        <v/>
      </c>
      <c r="AD220" s="105"/>
      <c r="AE220" s="119" t="str">
        <f t="array" ref="AE220">IF(OR($B220="",$D220=""),"",
IFERROR(
  INDEX(
    'Tools &amp; Targets_Guideline'!$C$54:$I$269,
    MATCH(
      1,
      ('Tools &amp; Targets_Guideline'!$A$54:$A$269=$B220)*
      ('Tools &amp; Targets_Guideline'!$B$54:$B$269="U5 Morbidity"),
      0
    ),
    MATCH(
      _xludf.IFNA(
        VLOOKUP($D220,{"PH","Provincial Hospital (H2)";"DH","District Hospital (H3)";"RH","Regional / National Hospital (H1)"},2,0),
        $D220
      ),
      'Tools &amp; Targets_Guideline'!$C$53:$I$53,
      0
    )
  ),
0))</f>
        <v/>
      </c>
      <c r="AF220" s="105"/>
      <c r="AG220" s="119" t="str">
        <f t="array" ref="AG220">IF(OR($B220="",$D220=""),"",
IFERROR(
  INDEX(
    'Tools &amp; Targets_Guideline'!$C$54:$I$269,
    MATCH(
      1,
      ('Tools &amp; Targets_Guideline'!$A$54:$A$269=$B220)*
      ('Tools &amp; Targets_Guideline'!$B$54:$B$269="C-Section"),
      0
    ),
    MATCH(
      _xludf.IFNA(
        VLOOKUP($D220,{"PH","Provincial Hospital (H2)";"DH","District Hospital (H3)";"RH","Regional / National Hospital (H1)"},2,0),
        $D220
      ),
      'Tools &amp; Targets_Guideline'!$C$53:$I$53,
      0
    )
  ),
0))</f>
        <v/>
      </c>
      <c r="AH220" s="105" t="str">
        <f>IF(A220&lt;&gt;"",COUNTIFS('QA Log'!D:D,A220,'QA Log'!M:M,"QQC",'QA Log'!L:L,"2. Hygiene and Sterilization",'QA Log'!Z:Z,"Approved"),"")</f>
        <v/>
      </c>
      <c r="AI220" s="102"/>
      <c r="AJ220" s="102"/>
      <c r="AK220" s="103" t="str">
        <f t="shared" si="2"/>
        <v/>
      </c>
      <c r="AL220" s="102"/>
      <c r="AM220" s="102"/>
      <c r="AN220" s="102"/>
      <c r="AO220" s="106"/>
      <c r="AP220" s="103"/>
      <c r="AQ220" s="102"/>
      <c r="AR220" s="102"/>
      <c r="AS220" s="102"/>
      <c r="AT220" s="107"/>
      <c r="AU220" s="102" t="str">
        <f t="shared" si="3"/>
        <v/>
      </c>
      <c r="AV220" s="102" t="str">
        <f t="shared" si="4"/>
        <v/>
      </c>
      <c r="AW220" s="102" t="str">
        <f t="shared" si="5"/>
        <v/>
      </c>
      <c r="AX220" s="102" t="str">
        <f t="shared" si="6"/>
        <v/>
      </c>
      <c r="AY220" s="107" t="str">
        <f t="shared" si="7"/>
        <v/>
      </c>
      <c r="AZ220" s="108" t="str">
        <f t="shared" si="8"/>
        <v/>
      </c>
      <c r="BA220" s="108" t="str">
        <f t="shared" si="9"/>
        <v/>
      </c>
      <c r="BB220" s="109" t="str">
        <f t="shared" si="10"/>
        <v/>
      </c>
      <c r="BC220" s="108" t="str">
        <f t="shared" si="11"/>
        <v/>
      </c>
      <c r="BD220" s="108" t="str">
        <f t="shared" si="12"/>
        <v/>
      </c>
      <c r="BE220" s="109" t="str">
        <f t="shared" si="13"/>
        <v/>
      </c>
      <c r="BF220" s="110" t="str">
        <f t="shared" si="14"/>
        <v/>
      </c>
      <c r="BG220" s="111"/>
    </row>
    <row r="221" spans="1:59" ht="12.75">
      <c r="A221" s="101"/>
      <c r="B221" s="102"/>
      <c r="C221" s="102" t="e">
        <f t="array" aca="1" ref="C221" ca="1">_xludf.XLOOKUP(A221,'QA Log'!D:D,'QA Log'!F:F,"")</f>
        <v>#NAME?</v>
      </c>
      <c r="D221" s="102"/>
      <c r="E221" s="102" t="e">
        <f t="array" aca="1" ref="E221" ca="1">_xludf.XLOOKUP(A221,'QA Log'!D:D,'QA Log'!G:G,"")</f>
        <v>#NAME?</v>
      </c>
      <c r="F221" s="103"/>
      <c r="G221" s="104"/>
      <c r="H221" s="104"/>
      <c r="I221" s="103" t="str">
        <f t="shared" si="0"/>
        <v/>
      </c>
      <c r="J221" s="102"/>
      <c r="K221" s="102"/>
      <c r="L221" s="119" t="str">
        <f t="array" ref="L221">IF(OR($B221="",$D221=""),"",
IFERROR(
  INDEX(
    'Tools &amp; Targets_Guideline'!$C$54:$I$269,
    MATCH(
      1,
      ('Tools &amp; Targets_Guideline'!$A$54:$A$269=$B221)*
      ('Tools &amp; Targets_Guideline'!$B$54:$B$269="ANC"),
      0
    ),
    MATCH(
      _xludf.IFNA(
        VLOOKUP($D221,{"PH","Provincial Hospital (H2)";"DH","District Hospital (H3)";"RH","Regional / National Hospital (H1)"},2,0),
        $D221
      ),
      'Tools &amp; Targets_Guideline'!$C$53:$I$53,
      0
    )
  ),
0))</f>
        <v/>
      </c>
      <c r="M221" s="105"/>
      <c r="N221" s="119" t="str">
        <f t="array" ref="N221">IF(OR($B221="",$D221=""),"",
IFERROR(
  INDEX(
    'Tools &amp; Targets_Guideline'!$C$54:$I$269,
    MATCH(
      1,
      ('Tools &amp; Targets_Guideline'!$A$54:$A$269=$B221)*
      ('Tools &amp; Targets_Guideline'!$B$54:$B$269="PNC"),
      0
    ),
    MATCH(
      _xludf.IFNA(
        VLOOKUP($D221,{"PH","Provincial Hospital (H2)";"DH","District Hospital (H3)";"RH","Regional / National Hospital (H1)"},2,0),
        $D221
      ),
      'Tools &amp; Targets_Guideline'!$C$53:$I$53,
      0
    )
  ),
0))</f>
        <v/>
      </c>
      <c r="O221" s="105"/>
      <c r="P221" s="119" t="str">
        <f t="array" ref="P221">IF(OR($B221="",$D221=""),"",
IFERROR(
  INDEX(
    'Tools &amp; Targets_Guideline'!$C$54:$I$269,
    MATCH(
      1,
      ('Tools &amp; Targets_Guideline'!$A$54:$A$269=$B221)*
      ('Tools &amp; Targets_Guideline'!$B$54:$B$269="Delivery"),
      0
    ),
    MATCH(
      _xludf.IFNA(
        VLOOKUP($D221,{"PH","Provincial Hospital (H2)";"DH","District Hospital (H3)";"RH","Regional / National Hospital (H1)"},2,0),
        $D221
      ),
      'Tools &amp; Targets_Guideline'!$C$53:$I$53,
      0
    )
  ),
0))</f>
        <v/>
      </c>
      <c r="Q221" s="105"/>
      <c r="R221" s="119" t="str">
        <f t="array" ref="R221">IF(OR($B221="",$D221=""),"",
IFERROR(
  INDEX(
    'Tools &amp; Targets_Guideline'!$C$54:$I$269,
    MATCH(
      1,
      ('Tools &amp; Targets_Guideline'!$A$54:$A$269=$B221)*
      ('Tools &amp; Targets_Guideline'!$B$54:$B$269="TT"),
      0
    ),
    MATCH(
      _xludf.IFNA(
        VLOOKUP($D221,{"PH","Provincial Hospital (H2)";"DH","District Hospital (H3)";"RH","Regional / National Hospital (H1)"},2,0),
        $D221
      ),
      'Tools &amp; Targets_Guideline'!$C$53:$I$53,
      0
    )
  ),
0))</f>
        <v/>
      </c>
      <c r="S221" s="105"/>
      <c r="T221" s="102"/>
      <c r="U221" s="106"/>
      <c r="V221" s="102" t="str">
        <f t="shared" si="1"/>
        <v/>
      </c>
      <c r="W221" s="102"/>
      <c r="X221" s="102"/>
      <c r="Y221" s="119" t="str">
        <f t="array" ref="Y221">IF(OR($B221="",$D221=""),"",
IFERROR(
  INDEX(
    'Tools &amp; Targets_Guideline'!$C$54:$I$269,
    MATCH(
      1,
      ('Tools &amp; Targets_Guideline'!$A$54:$A$269=$B221)*
      ('Tools &amp; Targets_Guideline'!$B$54:$B$269="GM"),
      0
    ),
    MATCH(
      _xludf.IFNA(
        VLOOKUP($D221,{"PH","Provincial Hospital (H2)";"DH","District Hospital (H3)";"RH","Regional / National Hospital (H1)"},2,0),
        $D221
      ),
      'Tools &amp; Targets_Guideline'!$C$53:$I$53,
      0
    )
  ),
0))</f>
        <v/>
      </c>
      <c r="Z221" s="105"/>
      <c r="AA221" s="119" t="str">
        <f t="array" ref="AA221">IF(OR($B221="",$D221=""),"",
IFERROR(
  INDEX(
    'Tools &amp; Targets_Guideline'!$C$54:$I$269,
    MATCH(
      1,
      ('Tools &amp; Targets_Guideline'!$A$54:$A$269=$B221)*
      ('Tools &amp; Targets_Guideline'!$B$54:$B$269="Penta"),
      0
    ),
    MATCH(
      _xludf.IFNA(
        VLOOKUP($D221,{"PH","Provincial Hospital (H2)";"DH","District Hospital (H3)";"RH","Regional / National Hospital (H1)"},2,0),
        $D221
      ),
      'Tools &amp; Targets_Guideline'!$C$53:$I$53,
      0
    )
  ),
0))</f>
        <v/>
      </c>
      <c r="AB221" s="105"/>
      <c r="AC221" s="119" t="str">
        <f t="array" ref="AC221">IF(OR($B221="",$D221=""),"",
IFERROR(
  INDEX(
    'Tools &amp; Targets_Guideline'!$C$54:$I$269,
    MATCH(
      1,
      ('Tools &amp; Targets_Guideline'!$A$54:$A$269=$B221)*
      ('Tools &amp; Targets_Guideline'!$B$54:$B$269="TB"),
      0
    ),
    MATCH(
      _xludf.IFNA(
        VLOOKUP($D221,{"PH","Provincial Hospital (H2)";"DH","District Hospital (H3)";"RH","Regional / National Hospital (H1)"},2,0),
        $D221
      ),
      'Tools &amp; Targets_Guideline'!$C$53:$I$53,
      0
    )
  ),
0))</f>
        <v/>
      </c>
      <c r="AD221" s="105"/>
      <c r="AE221" s="119" t="str">
        <f t="array" ref="AE221">IF(OR($B221="",$D221=""),"",
IFERROR(
  INDEX(
    'Tools &amp; Targets_Guideline'!$C$54:$I$269,
    MATCH(
      1,
      ('Tools &amp; Targets_Guideline'!$A$54:$A$269=$B221)*
      ('Tools &amp; Targets_Guideline'!$B$54:$B$269="U5 Morbidity"),
      0
    ),
    MATCH(
      _xludf.IFNA(
        VLOOKUP($D221,{"PH","Provincial Hospital (H2)";"DH","District Hospital (H3)";"RH","Regional / National Hospital (H1)"},2,0),
        $D221
      ),
      'Tools &amp; Targets_Guideline'!$C$53:$I$53,
      0
    )
  ),
0))</f>
        <v/>
      </c>
      <c r="AF221" s="105"/>
      <c r="AG221" s="119" t="str">
        <f t="array" ref="AG221">IF(OR($B221="",$D221=""),"",
IFERROR(
  INDEX(
    'Tools &amp; Targets_Guideline'!$C$54:$I$269,
    MATCH(
      1,
      ('Tools &amp; Targets_Guideline'!$A$54:$A$269=$B221)*
      ('Tools &amp; Targets_Guideline'!$B$54:$B$269="C-Section"),
      0
    ),
    MATCH(
      _xludf.IFNA(
        VLOOKUP($D221,{"PH","Provincial Hospital (H2)";"DH","District Hospital (H3)";"RH","Regional / National Hospital (H1)"},2,0),
        $D221
      ),
      'Tools &amp; Targets_Guideline'!$C$53:$I$53,
      0
    )
  ),
0))</f>
        <v/>
      </c>
      <c r="AH221" s="105" t="str">
        <f>IF(A221&lt;&gt;"",COUNTIFS('QA Log'!D:D,A221,'QA Log'!M:M,"QQC",'QA Log'!L:L,"2. Hygiene and Sterilization",'QA Log'!Z:Z,"Approved"),"")</f>
        <v/>
      </c>
      <c r="AI221" s="102"/>
      <c r="AJ221" s="102"/>
      <c r="AK221" s="103" t="str">
        <f t="shared" si="2"/>
        <v/>
      </c>
      <c r="AL221" s="102"/>
      <c r="AM221" s="102"/>
      <c r="AN221" s="102"/>
      <c r="AO221" s="106"/>
      <c r="AP221" s="103"/>
      <c r="AQ221" s="102"/>
      <c r="AR221" s="102"/>
      <c r="AS221" s="102"/>
      <c r="AT221" s="107"/>
      <c r="AU221" s="102" t="str">
        <f t="shared" si="3"/>
        <v/>
      </c>
      <c r="AV221" s="102" t="str">
        <f t="shared" si="4"/>
        <v/>
      </c>
      <c r="AW221" s="102" t="str">
        <f t="shared" si="5"/>
        <v/>
      </c>
      <c r="AX221" s="102" t="str">
        <f t="shared" si="6"/>
        <v/>
      </c>
      <c r="AY221" s="107" t="str">
        <f t="shared" si="7"/>
        <v/>
      </c>
      <c r="AZ221" s="108" t="str">
        <f t="shared" si="8"/>
        <v/>
      </c>
      <c r="BA221" s="108" t="str">
        <f t="shared" si="9"/>
        <v/>
      </c>
      <c r="BB221" s="109" t="str">
        <f t="shared" si="10"/>
        <v/>
      </c>
      <c r="BC221" s="108" t="str">
        <f t="shared" si="11"/>
        <v/>
      </c>
      <c r="BD221" s="108" t="str">
        <f t="shared" si="12"/>
        <v/>
      </c>
      <c r="BE221" s="109" t="str">
        <f t="shared" si="13"/>
        <v/>
      </c>
      <c r="BF221" s="110" t="str">
        <f t="shared" si="14"/>
        <v/>
      </c>
      <c r="BG221" s="111"/>
    </row>
    <row r="222" spans="1:59" ht="12.75">
      <c r="A222" s="101"/>
      <c r="B222" s="102"/>
      <c r="C222" s="102" t="e">
        <f t="array" aca="1" ref="C222" ca="1">_xludf.XLOOKUP(A222,'QA Log'!D:D,'QA Log'!F:F,"")</f>
        <v>#NAME?</v>
      </c>
      <c r="D222" s="102"/>
      <c r="E222" s="102" t="e">
        <f t="array" aca="1" ref="E222" ca="1">_xludf.XLOOKUP(A222,'QA Log'!D:D,'QA Log'!G:G,"")</f>
        <v>#NAME?</v>
      </c>
      <c r="F222" s="103"/>
      <c r="G222" s="104"/>
      <c r="H222" s="104"/>
      <c r="I222" s="103" t="str">
        <f t="shared" si="0"/>
        <v/>
      </c>
      <c r="J222" s="102"/>
      <c r="K222" s="102"/>
      <c r="L222" s="119" t="str">
        <f t="array" ref="L222">IF(OR($B222="",$D222=""),"",
IFERROR(
  INDEX(
    'Tools &amp; Targets_Guideline'!$C$54:$I$269,
    MATCH(
      1,
      ('Tools &amp; Targets_Guideline'!$A$54:$A$269=$B222)*
      ('Tools &amp; Targets_Guideline'!$B$54:$B$269="ANC"),
      0
    ),
    MATCH(
      _xludf.IFNA(
        VLOOKUP($D222,{"PH","Provincial Hospital (H2)";"DH","District Hospital (H3)";"RH","Regional / National Hospital (H1)"},2,0),
        $D222
      ),
      'Tools &amp; Targets_Guideline'!$C$53:$I$53,
      0
    )
  ),
0))</f>
        <v/>
      </c>
      <c r="M222" s="105"/>
      <c r="N222" s="119" t="str">
        <f t="array" ref="N222">IF(OR($B222="",$D222=""),"",
IFERROR(
  INDEX(
    'Tools &amp; Targets_Guideline'!$C$54:$I$269,
    MATCH(
      1,
      ('Tools &amp; Targets_Guideline'!$A$54:$A$269=$B222)*
      ('Tools &amp; Targets_Guideline'!$B$54:$B$269="PNC"),
      0
    ),
    MATCH(
      _xludf.IFNA(
        VLOOKUP($D222,{"PH","Provincial Hospital (H2)";"DH","District Hospital (H3)";"RH","Regional / National Hospital (H1)"},2,0),
        $D222
      ),
      'Tools &amp; Targets_Guideline'!$C$53:$I$53,
      0
    )
  ),
0))</f>
        <v/>
      </c>
      <c r="O222" s="105"/>
      <c r="P222" s="119" t="str">
        <f t="array" ref="P222">IF(OR($B222="",$D222=""),"",
IFERROR(
  INDEX(
    'Tools &amp; Targets_Guideline'!$C$54:$I$269,
    MATCH(
      1,
      ('Tools &amp; Targets_Guideline'!$A$54:$A$269=$B222)*
      ('Tools &amp; Targets_Guideline'!$B$54:$B$269="Delivery"),
      0
    ),
    MATCH(
      _xludf.IFNA(
        VLOOKUP($D222,{"PH","Provincial Hospital (H2)";"DH","District Hospital (H3)";"RH","Regional / National Hospital (H1)"},2,0),
        $D222
      ),
      'Tools &amp; Targets_Guideline'!$C$53:$I$53,
      0
    )
  ),
0))</f>
        <v/>
      </c>
      <c r="Q222" s="105"/>
      <c r="R222" s="119" t="str">
        <f t="array" ref="R222">IF(OR($B222="",$D222=""),"",
IFERROR(
  INDEX(
    'Tools &amp; Targets_Guideline'!$C$54:$I$269,
    MATCH(
      1,
      ('Tools &amp; Targets_Guideline'!$A$54:$A$269=$B222)*
      ('Tools &amp; Targets_Guideline'!$B$54:$B$269="TT"),
      0
    ),
    MATCH(
      _xludf.IFNA(
        VLOOKUP($D222,{"PH","Provincial Hospital (H2)";"DH","District Hospital (H3)";"RH","Regional / National Hospital (H1)"},2,0),
        $D222
      ),
      'Tools &amp; Targets_Guideline'!$C$53:$I$53,
      0
    )
  ),
0))</f>
        <v/>
      </c>
      <c r="S222" s="105"/>
      <c r="T222" s="102"/>
      <c r="U222" s="106"/>
      <c r="V222" s="102" t="str">
        <f t="shared" si="1"/>
        <v/>
      </c>
      <c r="W222" s="102"/>
      <c r="X222" s="102"/>
      <c r="Y222" s="119" t="str">
        <f t="array" ref="Y222">IF(OR($B222="",$D222=""),"",
IFERROR(
  INDEX(
    'Tools &amp; Targets_Guideline'!$C$54:$I$269,
    MATCH(
      1,
      ('Tools &amp; Targets_Guideline'!$A$54:$A$269=$B222)*
      ('Tools &amp; Targets_Guideline'!$B$54:$B$269="GM"),
      0
    ),
    MATCH(
      _xludf.IFNA(
        VLOOKUP($D222,{"PH","Provincial Hospital (H2)";"DH","District Hospital (H3)";"RH","Regional / National Hospital (H1)"},2,0),
        $D222
      ),
      'Tools &amp; Targets_Guideline'!$C$53:$I$53,
      0
    )
  ),
0))</f>
        <v/>
      </c>
      <c r="Z222" s="105"/>
      <c r="AA222" s="119" t="str">
        <f t="array" ref="AA222">IF(OR($B222="",$D222=""),"",
IFERROR(
  INDEX(
    'Tools &amp; Targets_Guideline'!$C$54:$I$269,
    MATCH(
      1,
      ('Tools &amp; Targets_Guideline'!$A$54:$A$269=$B222)*
      ('Tools &amp; Targets_Guideline'!$B$54:$B$269="Penta"),
      0
    ),
    MATCH(
      _xludf.IFNA(
        VLOOKUP($D222,{"PH","Provincial Hospital (H2)";"DH","District Hospital (H3)";"RH","Regional / National Hospital (H1)"},2,0),
        $D222
      ),
      'Tools &amp; Targets_Guideline'!$C$53:$I$53,
      0
    )
  ),
0))</f>
        <v/>
      </c>
      <c r="AB222" s="105"/>
      <c r="AC222" s="119" t="str">
        <f t="array" ref="AC222">IF(OR($B222="",$D222=""),"",
IFERROR(
  INDEX(
    'Tools &amp; Targets_Guideline'!$C$54:$I$269,
    MATCH(
      1,
      ('Tools &amp; Targets_Guideline'!$A$54:$A$269=$B222)*
      ('Tools &amp; Targets_Guideline'!$B$54:$B$269="TB"),
      0
    ),
    MATCH(
      _xludf.IFNA(
        VLOOKUP($D222,{"PH","Provincial Hospital (H2)";"DH","District Hospital (H3)";"RH","Regional / National Hospital (H1)"},2,0),
        $D222
      ),
      'Tools &amp; Targets_Guideline'!$C$53:$I$53,
      0
    )
  ),
0))</f>
        <v/>
      </c>
      <c r="AD222" s="105"/>
      <c r="AE222" s="119" t="str">
        <f t="array" ref="AE222">IF(OR($B222="",$D222=""),"",
IFERROR(
  INDEX(
    'Tools &amp; Targets_Guideline'!$C$54:$I$269,
    MATCH(
      1,
      ('Tools &amp; Targets_Guideline'!$A$54:$A$269=$B222)*
      ('Tools &amp; Targets_Guideline'!$B$54:$B$269="U5 Morbidity"),
      0
    ),
    MATCH(
      _xludf.IFNA(
        VLOOKUP($D222,{"PH","Provincial Hospital (H2)";"DH","District Hospital (H3)";"RH","Regional / National Hospital (H1)"},2,0),
        $D222
      ),
      'Tools &amp; Targets_Guideline'!$C$53:$I$53,
      0
    )
  ),
0))</f>
        <v/>
      </c>
      <c r="AF222" s="105"/>
      <c r="AG222" s="119" t="str">
        <f t="array" ref="AG222">IF(OR($B222="",$D222=""),"",
IFERROR(
  INDEX(
    'Tools &amp; Targets_Guideline'!$C$54:$I$269,
    MATCH(
      1,
      ('Tools &amp; Targets_Guideline'!$A$54:$A$269=$B222)*
      ('Tools &amp; Targets_Guideline'!$B$54:$B$269="C-Section"),
      0
    ),
    MATCH(
      _xludf.IFNA(
        VLOOKUP($D222,{"PH","Provincial Hospital (H2)";"DH","District Hospital (H3)";"RH","Regional / National Hospital (H1)"},2,0),
        $D222
      ),
      'Tools &amp; Targets_Guideline'!$C$53:$I$53,
      0
    )
  ),
0))</f>
        <v/>
      </c>
      <c r="AH222" s="105" t="str">
        <f>IF(A222&lt;&gt;"",COUNTIFS('QA Log'!D:D,A222,'QA Log'!M:M,"QQC",'QA Log'!L:L,"2. Hygiene and Sterilization",'QA Log'!Z:Z,"Approved"),"")</f>
        <v/>
      </c>
      <c r="AI222" s="102"/>
      <c r="AJ222" s="102"/>
      <c r="AK222" s="103" t="str">
        <f t="shared" si="2"/>
        <v/>
      </c>
      <c r="AL222" s="102"/>
      <c r="AM222" s="102"/>
      <c r="AN222" s="102"/>
      <c r="AO222" s="106"/>
      <c r="AP222" s="103"/>
      <c r="AQ222" s="102"/>
      <c r="AR222" s="102"/>
      <c r="AS222" s="102"/>
      <c r="AT222" s="107"/>
      <c r="AU222" s="102" t="str">
        <f t="shared" si="3"/>
        <v/>
      </c>
      <c r="AV222" s="102" t="str">
        <f t="shared" si="4"/>
        <v/>
      </c>
      <c r="AW222" s="102" t="str">
        <f t="shared" si="5"/>
        <v/>
      </c>
      <c r="AX222" s="102" t="str">
        <f t="shared" si="6"/>
        <v/>
      </c>
      <c r="AY222" s="107" t="str">
        <f t="shared" si="7"/>
        <v/>
      </c>
      <c r="AZ222" s="108" t="str">
        <f t="shared" si="8"/>
        <v/>
      </c>
      <c r="BA222" s="108" t="str">
        <f t="shared" si="9"/>
        <v/>
      </c>
      <c r="BB222" s="109" t="str">
        <f t="shared" si="10"/>
        <v/>
      </c>
      <c r="BC222" s="108" t="str">
        <f t="shared" si="11"/>
        <v/>
      </c>
      <c r="BD222" s="108" t="str">
        <f t="shared" si="12"/>
        <v/>
      </c>
      <c r="BE222" s="109" t="str">
        <f t="shared" si="13"/>
        <v/>
      </c>
      <c r="BF222" s="110" t="str">
        <f t="shared" si="14"/>
        <v/>
      </c>
      <c r="BG222" s="111"/>
    </row>
    <row r="223" spans="1:59" ht="12.75">
      <c r="A223" s="101"/>
      <c r="B223" s="102"/>
      <c r="C223" s="102" t="e">
        <f t="array" aca="1" ref="C223" ca="1">_xludf.XLOOKUP(A223,'QA Log'!D:D,'QA Log'!F:F,"")</f>
        <v>#NAME?</v>
      </c>
      <c r="D223" s="102"/>
      <c r="E223" s="102" t="e">
        <f t="array" aca="1" ref="E223" ca="1">_xludf.XLOOKUP(A223,'QA Log'!D:D,'QA Log'!G:G,"")</f>
        <v>#NAME?</v>
      </c>
      <c r="F223" s="103"/>
      <c r="G223" s="104"/>
      <c r="H223" s="104"/>
      <c r="I223" s="103" t="str">
        <f t="shared" si="0"/>
        <v/>
      </c>
      <c r="J223" s="102"/>
      <c r="K223" s="102"/>
      <c r="L223" s="119" t="str">
        <f t="array" ref="L223">IF(OR($B223="",$D223=""),"",
IFERROR(
  INDEX(
    'Tools &amp; Targets_Guideline'!$C$54:$I$269,
    MATCH(
      1,
      ('Tools &amp; Targets_Guideline'!$A$54:$A$269=$B223)*
      ('Tools &amp; Targets_Guideline'!$B$54:$B$269="ANC"),
      0
    ),
    MATCH(
      _xludf.IFNA(
        VLOOKUP($D223,{"PH","Provincial Hospital (H2)";"DH","District Hospital (H3)";"RH","Regional / National Hospital (H1)"},2,0),
        $D223
      ),
      'Tools &amp; Targets_Guideline'!$C$53:$I$53,
      0
    )
  ),
0))</f>
        <v/>
      </c>
      <c r="M223" s="105"/>
      <c r="N223" s="119" t="str">
        <f t="array" ref="N223">IF(OR($B223="",$D223=""),"",
IFERROR(
  INDEX(
    'Tools &amp; Targets_Guideline'!$C$54:$I$269,
    MATCH(
      1,
      ('Tools &amp; Targets_Guideline'!$A$54:$A$269=$B223)*
      ('Tools &amp; Targets_Guideline'!$B$54:$B$269="PNC"),
      0
    ),
    MATCH(
      _xludf.IFNA(
        VLOOKUP($D223,{"PH","Provincial Hospital (H2)";"DH","District Hospital (H3)";"RH","Regional / National Hospital (H1)"},2,0),
        $D223
      ),
      'Tools &amp; Targets_Guideline'!$C$53:$I$53,
      0
    )
  ),
0))</f>
        <v/>
      </c>
      <c r="O223" s="105"/>
      <c r="P223" s="119" t="str">
        <f t="array" ref="P223">IF(OR($B223="",$D223=""),"",
IFERROR(
  INDEX(
    'Tools &amp; Targets_Guideline'!$C$54:$I$269,
    MATCH(
      1,
      ('Tools &amp; Targets_Guideline'!$A$54:$A$269=$B223)*
      ('Tools &amp; Targets_Guideline'!$B$54:$B$269="Delivery"),
      0
    ),
    MATCH(
      _xludf.IFNA(
        VLOOKUP($D223,{"PH","Provincial Hospital (H2)";"DH","District Hospital (H3)";"RH","Regional / National Hospital (H1)"},2,0),
        $D223
      ),
      'Tools &amp; Targets_Guideline'!$C$53:$I$53,
      0
    )
  ),
0))</f>
        <v/>
      </c>
      <c r="Q223" s="105"/>
      <c r="R223" s="119" t="str">
        <f t="array" ref="R223">IF(OR($B223="",$D223=""),"",
IFERROR(
  INDEX(
    'Tools &amp; Targets_Guideline'!$C$54:$I$269,
    MATCH(
      1,
      ('Tools &amp; Targets_Guideline'!$A$54:$A$269=$B223)*
      ('Tools &amp; Targets_Guideline'!$B$54:$B$269="TT"),
      0
    ),
    MATCH(
      _xludf.IFNA(
        VLOOKUP($D223,{"PH","Provincial Hospital (H2)";"DH","District Hospital (H3)";"RH","Regional / National Hospital (H1)"},2,0),
        $D223
      ),
      'Tools &amp; Targets_Guideline'!$C$53:$I$53,
      0
    )
  ),
0))</f>
        <v/>
      </c>
      <c r="S223" s="105"/>
      <c r="T223" s="102"/>
      <c r="U223" s="106"/>
      <c r="V223" s="102" t="str">
        <f t="shared" si="1"/>
        <v/>
      </c>
      <c r="W223" s="102"/>
      <c r="X223" s="102"/>
      <c r="Y223" s="119" t="str">
        <f t="array" ref="Y223">IF(OR($B223="",$D223=""),"",
IFERROR(
  INDEX(
    'Tools &amp; Targets_Guideline'!$C$54:$I$269,
    MATCH(
      1,
      ('Tools &amp; Targets_Guideline'!$A$54:$A$269=$B223)*
      ('Tools &amp; Targets_Guideline'!$B$54:$B$269="GM"),
      0
    ),
    MATCH(
      _xludf.IFNA(
        VLOOKUP($D223,{"PH","Provincial Hospital (H2)";"DH","District Hospital (H3)";"RH","Regional / National Hospital (H1)"},2,0),
        $D223
      ),
      'Tools &amp; Targets_Guideline'!$C$53:$I$53,
      0
    )
  ),
0))</f>
        <v/>
      </c>
      <c r="Z223" s="105"/>
      <c r="AA223" s="119" t="str">
        <f t="array" ref="AA223">IF(OR($B223="",$D223=""),"",
IFERROR(
  INDEX(
    'Tools &amp; Targets_Guideline'!$C$54:$I$269,
    MATCH(
      1,
      ('Tools &amp; Targets_Guideline'!$A$54:$A$269=$B223)*
      ('Tools &amp; Targets_Guideline'!$B$54:$B$269="Penta"),
      0
    ),
    MATCH(
      _xludf.IFNA(
        VLOOKUP($D223,{"PH","Provincial Hospital (H2)";"DH","District Hospital (H3)";"RH","Regional / National Hospital (H1)"},2,0),
        $D223
      ),
      'Tools &amp; Targets_Guideline'!$C$53:$I$53,
      0
    )
  ),
0))</f>
        <v/>
      </c>
      <c r="AB223" s="105"/>
      <c r="AC223" s="119" t="str">
        <f t="array" ref="AC223">IF(OR($B223="",$D223=""),"",
IFERROR(
  INDEX(
    'Tools &amp; Targets_Guideline'!$C$54:$I$269,
    MATCH(
      1,
      ('Tools &amp; Targets_Guideline'!$A$54:$A$269=$B223)*
      ('Tools &amp; Targets_Guideline'!$B$54:$B$269="TB"),
      0
    ),
    MATCH(
      _xludf.IFNA(
        VLOOKUP($D223,{"PH","Provincial Hospital (H2)";"DH","District Hospital (H3)";"RH","Regional / National Hospital (H1)"},2,0),
        $D223
      ),
      'Tools &amp; Targets_Guideline'!$C$53:$I$53,
      0
    )
  ),
0))</f>
        <v/>
      </c>
      <c r="AD223" s="105"/>
      <c r="AE223" s="119" t="str">
        <f t="array" ref="AE223">IF(OR($B223="",$D223=""),"",
IFERROR(
  INDEX(
    'Tools &amp; Targets_Guideline'!$C$54:$I$269,
    MATCH(
      1,
      ('Tools &amp; Targets_Guideline'!$A$54:$A$269=$B223)*
      ('Tools &amp; Targets_Guideline'!$B$54:$B$269="U5 Morbidity"),
      0
    ),
    MATCH(
      _xludf.IFNA(
        VLOOKUP($D223,{"PH","Provincial Hospital (H2)";"DH","District Hospital (H3)";"RH","Regional / National Hospital (H1)"},2,0),
        $D223
      ),
      'Tools &amp; Targets_Guideline'!$C$53:$I$53,
      0
    )
  ),
0))</f>
        <v/>
      </c>
      <c r="AF223" s="105"/>
      <c r="AG223" s="119" t="str">
        <f t="array" ref="AG223">IF(OR($B223="",$D223=""),"",
IFERROR(
  INDEX(
    'Tools &amp; Targets_Guideline'!$C$54:$I$269,
    MATCH(
      1,
      ('Tools &amp; Targets_Guideline'!$A$54:$A$269=$B223)*
      ('Tools &amp; Targets_Guideline'!$B$54:$B$269="C-Section"),
      0
    ),
    MATCH(
      _xludf.IFNA(
        VLOOKUP($D223,{"PH","Provincial Hospital (H2)";"DH","District Hospital (H3)";"RH","Regional / National Hospital (H1)"},2,0),
        $D223
      ),
      'Tools &amp; Targets_Guideline'!$C$53:$I$53,
      0
    )
  ),
0))</f>
        <v/>
      </c>
      <c r="AH223" s="105" t="str">
        <f>IF(A223&lt;&gt;"",COUNTIFS('QA Log'!D:D,A223,'QA Log'!M:M,"QQC",'QA Log'!L:L,"2. Hygiene and Sterilization",'QA Log'!Z:Z,"Approved"),"")</f>
        <v/>
      </c>
      <c r="AI223" s="102"/>
      <c r="AJ223" s="102"/>
      <c r="AK223" s="103" t="str">
        <f t="shared" si="2"/>
        <v/>
      </c>
      <c r="AL223" s="102"/>
      <c r="AM223" s="102"/>
      <c r="AN223" s="102"/>
      <c r="AO223" s="106"/>
      <c r="AP223" s="103"/>
      <c r="AQ223" s="102"/>
      <c r="AR223" s="102"/>
      <c r="AS223" s="102"/>
      <c r="AT223" s="107"/>
      <c r="AU223" s="102" t="str">
        <f t="shared" si="3"/>
        <v/>
      </c>
      <c r="AV223" s="102" t="str">
        <f t="shared" si="4"/>
        <v/>
      </c>
      <c r="AW223" s="102" t="str">
        <f t="shared" si="5"/>
        <v/>
      </c>
      <c r="AX223" s="102" t="str">
        <f t="shared" si="6"/>
        <v/>
      </c>
      <c r="AY223" s="107" t="str">
        <f t="shared" si="7"/>
        <v/>
      </c>
      <c r="AZ223" s="108" t="str">
        <f t="shared" si="8"/>
        <v/>
      </c>
      <c r="BA223" s="108" t="str">
        <f t="shared" si="9"/>
        <v/>
      </c>
      <c r="BB223" s="109" t="str">
        <f t="shared" si="10"/>
        <v/>
      </c>
      <c r="BC223" s="108" t="str">
        <f t="shared" si="11"/>
        <v/>
      </c>
      <c r="BD223" s="108" t="str">
        <f t="shared" si="12"/>
        <v/>
      </c>
      <c r="BE223" s="109" t="str">
        <f t="shared" si="13"/>
        <v/>
      </c>
      <c r="BF223" s="110" t="str">
        <f t="shared" si="14"/>
        <v/>
      </c>
      <c r="BG223" s="111"/>
    </row>
    <row r="224" spans="1:59" ht="12.75">
      <c r="A224" s="101"/>
      <c r="B224" s="102"/>
      <c r="C224" s="102" t="e">
        <f t="array" aca="1" ref="C224" ca="1">_xludf.XLOOKUP(A224,'QA Log'!D:D,'QA Log'!F:F,"")</f>
        <v>#NAME?</v>
      </c>
      <c r="D224" s="102"/>
      <c r="E224" s="102" t="e">
        <f t="array" aca="1" ref="E224" ca="1">_xludf.XLOOKUP(A224,'QA Log'!D:D,'QA Log'!G:G,"")</f>
        <v>#NAME?</v>
      </c>
      <c r="F224" s="103"/>
      <c r="G224" s="104"/>
      <c r="H224" s="104"/>
      <c r="I224" s="103" t="str">
        <f t="shared" si="0"/>
        <v/>
      </c>
      <c r="J224" s="102"/>
      <c r="K224" s="102"/>
      <c r="L224" s="119" t="str">
        <f t="array" ref="L224">IF(OR($B224="",$D224=""),"",
IFERROR(
  INDEX(
    'Tools &amp; Targets_Guideline'!$C$54:$I$269,
    MATCH(
      1,
      ('Tools &amp; Targets_Guideline'!$A$54:$A$269=$B224)*
      ('Tools &amp; Targets_Guideline'!$B$54:$B$269="ANC"),
      0
    ),
    MATCH(
      _xludf.IFNA(
        VLOOKUP($D224,{"PH","Provincial Hospital (H2)";"DH","District Hospital (H3)";"RH","Regional / National Hospital (H1)"},2,0),
        $D224
      ),
      'Tools &amp; Targets_Guideline'!$C$53:$I$53,
      0
    )
  ),
0))</f>
        <v/>
      </c>
      <c r="M224" s="105"/>
      <c r="N224" s="119" t="str">
        <f t="array" ref="N224">IF(OR($B224="",$D224=""),"",
IFERROR(
  INDEX(
    'Tools &amp; Targets_Guideline'!$C$54:$I$269,
    MATCH(
      1,
      ('Tools &amp; Targets_Guideline'!$A$54:$A$269=$B224)*
      ('Tools &amp; Targets_Guideline'!$B$54:$B$269="PNC"),
      0
    ),
    MATCH(
      _xludf.IFNA(
        VLOOKUP($D224,{"PH","Provincial Hospital (H2)";"DH","District Hospital (H3)";"RH","Regional / National Hospital (H1)"},2,0),
        $D224
      ),
      'Tools &amp; Targets_Guideline'!$C$53:$I$53,
      0
    )
  ),
0))</f>
        <v/>
      </c>
      <c r="O224" s="105"/>
      <c r="P224" s="119" t="str">
        <f t="array" ref="P224">IF(OR($B224="",$D224=""),"",
IFERROR(
  INDEX(
    'Tools &amp; Targets_Guideline'!$C$54:$I$269,
    MATCH(
      1,
      ('Tools &amp; Targets_Guideline'!$A$54:$A$269=$B224)*
      ('Tools &amp; Targets_Guideline'!$B$54:$B$269="Delivery"),
      0
    ),
    MATCH(
      _xludf.IFNA(
        VLOOKUP($D224,{"PH","Provincial Hospital (H2)";"DH","District Hospital (H3)";"RH","Regional / National Hospital (H1)"},2,0),
        $D224
      ),
      'Tools &amp; Targets_Guideline'!$C$53:$I$53,
      0
    )
  ),
0))</f>
        <v/>
      </c>
      <c r="Q224" s="105"/>
      <c r="R224" s="119" t="str">
        <f t="array" ref="R224">IF(OR($B224="",$D224=""),"",
IFERROR(
  INDEX(
    'Tools &amp; Targets_Guideline'!$C$54:$I$269,
    MATCH(
      1,
      ('Tools &amp; Targets_Guideline'!$A$54:$A$269=$B224)*
      ('Tools &amp; Targets_Guideline'!$B$54:$B$269="TT"),
      0
    ),
    MATCH(
      _xludf.IFNA(
        VLOOKUP($D224,{"PH","Provincial Hospital (H2)";"DH","District Hospital (H3)";"RH","Regional / National Hospital (H1)"},2,0),
        $D224
      ),
      'Tools &amp; Targets_Guideline'!$C$53:$I$53,
      0
    )
  ),
0))</f>
        <v/>
      </c>
      <c r="S224" s="105"/>
      <c r="T224" s="102"/>
      <c r="U224" s="106"/>
      <c r="V224" s="102" t="str">
        <f t="shared" si="1"/>
        <v/>
      </c>
      <c r="W224" s="102"/>
      <c r="X224" s="102"/>
      <c r="Y224" s="119" t="str">
        <f t="array" ref="Y224">IF(OR($B224="",$D224=""),"",
IFERROR(
  INDEX(
    'Tools &amp; Targets_Guideline'!$C$54:$I$269,
    MATCH(
      1,
      ('Tools &amp; Targets_Guideline'!$A$54:$A$269=$B224)*
      ('Tools &amp; Targets_Guideline'!$B$54:$B$269="GM"),
      0
    ),
    MATCH(
      _xludf.IFNA(
        VLOOKUP($D224,{"PH","Provincial Hospital (H2)";"DH","District Hospital (H3)";"RH","Regional / National Hospital (H1)"},2,0),
        $D224
      ),
      'Tools &amp; Targets_Guideline'!$C$53:$I$53,
      0
    )
  ),
0))</f>
        <v/>
      </c>
      <c r="Z224" s="105"/>
      <c r="AA224" s="119" t="str">
        <f t="array" ref="AA224">IF(OR($B224="",$D224=""),"",
IFERROR(
  INDEX(
    'Tools &amp; Targets_Guideline'!$C$54:$I$269,
    MATCH(
      1,
      ('Tools &amp; Targets_Guideline'!$A$54:$A$269=$B224)*
      ('Tools &amp; Targets_Guideline'!$B$54:$B$269="Penta"),
      0
    ),
    MATCH(
      _xludf.IFNA(
        VLOOKUP($D224,{"PH","Provincial Hospital (H2)";"DH","District Hospital (H3)";"RH","Regional / National Hospital (H1)"},2,0),
        $D224
      ),
      'Tools &amp; Targets_Guideline'!$C$53:$I$53,
      0
    )
  ),
0))</f>
        <v/>
      </c>
      <c r="AB224" s="105"/>
      <c r="AC224" s="119" t="str">
        <f t="array" ref="AC224">IF(OR($B224="",$D224=""),"",
IFERROR(
  INDEX(
    'Tools &amp; Targets_Guideline'!$C$54:$I$269,
    MATCH(
      1,
      ('Tools &amp; Targets_Guideline'!$A$54:$A$269=$B224)*
      ('Tools &amp; Targets_Guideline'!$B$54:$B$269="TB"),
      0
    ),
    MATCH(
      _xludf.IFNA(
        VLOOKUP($D224,{"PH","Provincial Hospital (H2)";"DH","District Hospital (H3)";"RH","Regional / National Hospital (H1)"},2,0),
        $D224
      ),
      'Tools &amp; Targets_Guideline'!$C$53:$I$53,
      0
    )
  ),
0))</f>
        <v/>
      </c>
      <c r="AD224" s="105"/>
      <c r="AE224" s="119" t="str">
        <f t="array" ref="AE224">IF(OR($B224="",$D224=""),"",
IFERROR(
  INDEX(
    'Tools &amp; Targets_Guideline'!$C$54:$I$269,
    MATCH(
      1,
      ('Tools &amp; Targets_Guideline'!$A$54:$A$269=$B224)*
      ('Tools &amp; Targets_Guideline'!$B$54:$B$269="U5 Morbidity"),
      0
    ),
    MATCH(
      _xludf.IFNA(
        VLOOKUP($D224,{"PH","Provincial Hospital (H2)";"DH","District Hospital (H3)";"RH","Regional / National Hospital (H1)"},2,0),
        $D224
      ),
      'Tools &amp; Targets_Guideline'!$C$53:$I$53,
      0
    )
  ),
0))</f>
        <v/>
      </c>
      <c r="AF224" s="105"/>
      <c r="AG224" s="119" t="str">
        <f t="array" ref="AG224">IF(OR($B224="",$D224=""),"",
IFERROR(
  INDEX(
    'Tools &amp; Targets_Guideline'!$C$54:$I$269,
    MATCH(
      1,
      ('Tools &amp; Targets_Guideline'!$A$54:$A$269=$B224)*
      ('Tools &amp; Targets_Guideline'!$B$54:$B$269="C-Section"),
      0
    ),
    MATCH(
      _xludf.IFNA(
        VLOOKUP($D224,{"PH","Provincial Hospital (H2)";"DH","District Hospital (H3)";"RH","Regional / National Hospital (H1)"},2,0),
        $D224
      ),
      'Tools &amp; Targets_Guideline'!$C$53:$I$53,
      0
    )
  ),
0))</f>
        <v/>
      </c>
      <c r="AH224" s="105" t="str">
        <f>IF(A224&lt;&gt;"",COUNTIFS('QA Log'!D:D,A224,'QA Log'!M:M,"QQC",'QA Log'!L:L,"2. Hygiene and Sterilization",'QA Log'!Z:Z,"Approved"),"")</f>
        <v/>
      </c>
      <c r="AI224" s="102"/>
      <c r="AJ224" s="102"/>
      <c r="AK224" s="103" t="str">
        <f t="shared" si="2"/>
        <v/>
      </c>
      <c r="AL224" s="102"/>
      <c r="AM224" s="102"/>
      <c r="AN224" s="102"/>
      <c r="AO224" s="106"/>
      <c r="AP224" s="103"/>
      <c r="AQ224" s="102"/>
      <c r="AR224" s="102"/>
      <c r="AS224" s="102"/>
      <c r="AT224" s="107"/>
      <c r="AU224" s="102" t="str">
        <f t="shared" si="3"/>
        <v/>
      </c>
      <c r="AV224" s="102" t="str">
        <f t="shared" si="4"/>
        <v/>
      </c>
      <c r="AW224" s="102" t="str">
        <f t="shared" si="5"/>
        <v/>
      </c>
      <c r="AX224" s="102" t="str">
        <f t="shared" si="6"/>
        <v/>
      </c>
      <c r="AY224" s="107" t="str">
        <f t="shared" si="7"/>
        <v/>
      </c>
      <c r="AZ224" s="108" t="str">
        <f t="shared" si="8"/>
        <v/>
      </c>
      <c r="BA224" s="108" t="str">
        <f t="shared" si="9"/>
        <v/>
      </c>
      <c r="BB224" s="109" t="str">
        <f t="shared" si="10"/>
        <v/>
      </c>
      <c r="BC224" s="108" t="str">
        <f t="shared" si="11"/>
        <v/>
      </c>
      <c r="BD224" s="108" t="str">
        <f t="shared" si="12"/>
        <v/>
      </c>
      <c r="BE224" s="109" t="str">
        <f t="shared" si="13"/>
        <v/>
      </c>
      <c r="BF224" s="110" t="str">
        <f t="shared" si="14"/>
        <v/>
      </c>
      <c r="BG224" s="111"/>
    </row>
    <row r="225" spans="1:59" ht="12.75">
      <c r="A225" s="101"/>
      <c r="B225" s="102"/>
      <c r="C225" s="102" t="e">
        <f t="array" aca="1" ref="C225" ca="1">_xludf.XLOOKUP(A225,'QA Log'!D:D,'QA Log'!F:F,"")</f>
        <v>#NAME?</v>
      </c>
      <c r="D225" s="102"/>
      <c r="E225" s="102" t="e">
        <f t="array" aca="1" ref="E225" ca="1">_xludf.XLOOKUP(A225,'QA Log'!D:D,'QA Log'!G:G,"")</f>
        <v>#NAME?</v>
      </c>
      <c r="F225" s="103"/>
      <c r="G225" s="104"/>
      <c r="H225" s="104"/>
      <c r="I225" s="103" t="str">
        <f t="shared" si="0"/>
        <v/>
      </c>
      <c r="J225" s="102"/>
      <c r="K225" s="102"/>
      <c r="L225" s="119" t="str">
        <f t="array" ref="L225">IF(OR($B225="",$D225=""),"",
IFERROR(
  INDEX(
    'Tools &amp; Targets_Guideline'!$C$54:$I$269,
    MATCH(
      1,
      ('Tools &amp; Targets_Guideline'!$A$54:$A$269=$B225)*
      ('Tools &amp; Targets_Guideline'!$B$54:$B$269="ANC"),
      0
    ),
    MATCH(
      _xludf.IFNA(
        VLOOKUP($D225,{"PH","Provincial Hospital (H2)";"DH","District Hospital (H3)";"RH","Regional / National Hospital (H1)"},2,0),
        $D225
      ),
      'Tools &amp; Targets_Guideline'!$C$53:$I$53,
      0
    )
  ),
0))</f>
        <v/>
      </c>
      <c r="M225" s="105"/>
      <c r="N225" s="119" t="str">
        <f t="array" ref="N225">IF(OR($B225="",$D225=""),"",
IFERROR(
  INDEX(
    'Tools &amp; Targets_Guideline'!$C$54:$I$269,
    MATCH(
      1,
      ('Tools &amp; Targets_Guideline'!$A$54:$A$269=$B225)*
      ('Tools &amp; Targets_Guideline'!$B$54:$B$269="PNC"),
      0
    ),
    MATCH(
      _xludf.IFNA(
        VLOOKUP($D225,{"PH","Provincial Hospital (H2)";"DH","District Hospital (H3)";"RH","Regional / National Hospital (H1)"},2,0),
        $D225
      ),
      'Tools &amp; Targets_Guideline'!$C$53:$I$53,
      0
    )
  ),
0))</f>
        <v/>
      </c>
      <c r="O225" s="105"/>
      <c r="P225" s="119" t="str">
        <f t="array" ref="P225">IF(OR($B225="",$D225=""),"",
IFERROR(
  INDEX(
    'Tools &amp; Targets_Guideline'!$C$54:$I$269,
    MATCH(
      1,
      ('Tools &amp; Targets_Guideline'!$A$54:$A$269=$B225)*
      ('Tools &amp; Targets_Guideline'!$B$54:$B$269="Delivery"),
      0
    ),
    MATCH(
      _xludf.IFNA(
        VLOOKUP($D225,{"PH","Provincial Hospital (H2)";"DH","District Hospital (H3)";"RH","Regional / National Hospital (H1)"},2,0),
        $D225
      ),
      'Tools &amp; Targets_Guideline'!$C$53:$I$53,
      0
    )
  ),
0))</f>
        <v/>
      </c>
      <c r="Q225" s="105"/>
      <c r="R225" s="119" t="str">
        <f t="array" ref="R225">IF(OR($B225="",$D225=""),"",
IFERROR(
  INDEX(
    'Tools &amp; Targets_Guideline'!$C$54:$I$269,
    MATCH(
      1,
      ('Tools &amp; Targets_Guideline'!$A$54:$A$269=$B225)*
      ('Tools &amp; Targets_Guideline'!$B$54:$B$269="TT"),
      0
    ),
    MATCH(
      _xludf.IFNA(
        VLOOKUP($D225,{"PH","Provincial Hospital (H2)";"DH","District Hospital (H3)";"RH","Regional / National Hospital (H1)"},2,0),
        $D225
      ),
      'Tools &amp; Targets_Guideline'!$C$53:$I$53,
      0
    )
  ),
0))</f>
        <v/>
      </c>
      <c r="S225" s="105"/>
      <c r="T225" s="102"/>
      <c r="U225" s="106"/>
      <c r="V225" s="102" t="str">
        <f t="shared" si="1"/>
        <v/>
      </c>
      <c r="W225" s="102"/>
      <c r="X225" s="102"/>
      <c r="Y225" s="119" t="str">
        <f t="array" ref="Y225">IF(OR($B225="",$D225=""),"",
IFERROR(
  INDEX(
    'Tools &amp; Targets_Guideline'!$C$54:$I$269,
    MATCH(
      1,
      ('Tools &amp; Targets_Guideline'!$A$54:$A$269=$B225)*
      ('Tools &amp; Targets_Guideline'!$B$54:$B$269="GM"),
      0
    ),
    MATCH(
      _xludf.IFNA(
        VLOOKUP($D225,{"PH","Provincial Hospital (H2)";"DH","District Hospital (H3)";"RH","Regional / National Hospital (H1)"},2,0),
        $D225
      ),
      'Tools &amp; Targets_Guideline'!$C$53:$I$53,
      0
    )
  ),
0))</f>
        <v/>
      </c>
      <c r="Z225" s="105"/>
      <c r="AA225" s="119" t="str">
        <f t="array" ref="AA225">IF(OR($B225="",$D225=""),"",
IFERROR(
  INDEX(
    'Tools &amp; Targets_Guideline'!$C$54:$I$269,
    MATCH(
      1,
      ('Tools &amp; Targets_Guideline'!$A$54:$A$269=$B225)*
      ('Tools &amp; Targets_Guideline'!$B$54:$B$269="Penta"),
      0
    ),
    MATCH(
      _xludf.IFNA(
        VLOOKUP($D225,{"PH","Provincial Hospital (H2)";"DH","District Hospital (H3)";"RH","Regional / National Hospital (H1)"},2,0),
        $D225
      ),
      'Tools &amp; Targets_Guideline'!$C$53:$I$53,
      0
    )
  ),
0))</f>
        <v/>
      </c>
      <c r="AB225" s="105"/>
      <c r="AC225" s="119" t="str">
        <f t="array" ref="AC225">IF(OR($B225="",$D225=""),"",
IFERROR(
  INDEX(
    'Tools &amp; Targets_Guideline'!$C$54:$I$269,
    MATCH(
      1,
      ('Tools &amp; Targets_Guideline'!$A$54:$A$269=$B225)*
      ('Tools &amp; Targets_Guideline'!$B$54:$B$269="TB"),
      0
    ),
    MATCH(
      _xludf.IFNA(
        VLOOKUP($D225,{"PH","Provincial Hospital (H2)";"DH","District Hospital (H3)";"RH","Regional / National Hospital (H1)"},2,0),
        $D225
      ),
      'Tools &amp; Targets_Guideline'!$C$53:$I$53,
      0
    )
  ),
0))</f>
        <v/>
      </c>
      <c r="AD225" s="105"/>
      <c r="AE225" s="119" t="str">
        <f t="array" ref="AE225">IF(OR($B225="",$D225=""),"",
IFERROR(
  INDEX(
    'Tools &amp; Targets_Guideline'!$C$54:$I$269,
    MATCH(
      1,
      ('Tools &amp; Targets_Guideline'!$A$54:$A$269=$B225)*
      ('Tools &amp; Targets_Guideline'!$B$54:$B$269="U5 Morbidity"),
      0
    ),
    MATCH(
      _xludf.IFNA(
        VLOOKUP($D225,{"PH","Provincial Hospital (H2)";"DH","District Hospital (H3)";"RH","Regional / National Hospital (H1)"},2,0),
        $D225
      ),
      'Tools &amp; Targets_Guideline'!$C$53:$I$53,
      0
    )
  ),
0))</f>
        <v/>
      </c>
      <c r="AF225" s="105"/>
      <c r="AG225" s="119" t="str">
        <f t="array" ref="AG225">IF(OR($B225="",$D225=""),"",
IFERROR(
  INDEX(
    'Tools &amp; Targets_Guideline'!$C$54:$I$269,
    MATCH(
      1,
      ('Tools &amp; Targets_Guideline'!$A$54:$A$269=$B225)*
      ('Tools &amp; Targets_Guideline'!$B$54:$B$269="C-Section"),
      0
    ),
    MATCH(
      _xludf.IFNA(
        VLOOKUP($D225,{"PH","Provincial Hospital (H2)";"DH","District Hospital (H3)";"RH","Regional / National Hospital (H1)"},2,0),
        $D225
      ),
      'Tools &amp; Targets_Guideline'!$C$53:$I$53,
      0
    )
  ),
0))</f>
        <v/>
      </c>
      <c r="AH225" s="105" t="str">
        <f>IF(A225&lt;&gt;"",COUNTIFS('QA Log'!D:D,A225,'QA Log'!M:M,"QQC",'QA Log'!L:L,"2. Hygiene and Sterilization",'QA Log'!Z:Z,"Approved"),"")</f>
        <v/>
      </c>
      <c r="AI225" s="102"/>
      <c r="AJ225" s="102"/>
      <c r="AK225" s="103" t="str">
        <f t="shared" si="2"/>
        <v/>
      </c>
      <c r="AL225" s="102"/>
      <c r="AM225" s="102"/>
      <c r="AN225" s="102"/>
      <c r="AO225" s="106"/>
      <c r="AP225" s="103"/>
      <c r="AQ225" s="102"/>
      <c r="AR225" s="102"/>
      <c r="AS225" s="102"/>
      <c r="AT225" s="107"/>
      <c r="AU225" s="102" t="str">
        <f t="shared" si="3"/>
        <v/>
      </c>
      <c r="AV225" s="102" t="str">
        <f t="shared" si="4"/>
        <v/>
      </c>
      <c r="AW225" s="102" t="str">
        <f t="shared" si="5"/>
        <v/>
      </c>
      <c r="AX225" s="102" t="str">
        <f t="shared" si="6"/>
        <v/>
      </c>
      <c r="AY225" s="107" t="str">
        <f t="shared" si="7"/>
        <v/>
      </c>
      <c r="AZ225" s="108" t="str">
        <f t="shared" si="8"/>
        <v/>
      </c>
      <c r="BA225" s="108" t="str">
        <f t="shared" si="9"/>
        <v/>
      </c>
      <c r="BB225" s="109" t="str">
        <f t="shared" si="10"/>
        <v/>
      </c>
      <c r="BC225" s="108" t="str">
        <f t="shared" si="11"/>
        <v/>
      </c>
      <c r="BD225" s="108" t="str">
        <f t="shared" si="12"/>
        <v/>
      </c>
      <c r="BE225" s="109" t="str">
        <f t="shared" si="13"/>
        <v/>
      </c>
      <c r="BF225" s="110" t="str">
        <f t="shared" si="14"/>
        <v/>
      </c>
      <c r="BG225" s="111"/>
    </row>
    <row r="226" spans="1:59" ht="12.75">
      <c r="A226" s="101"/>
      <c r="B226" s="102"/>
      <c r="C226" s="102" t="e">
        <f t="array" aca="1" ref="C226" ca="1">_xludf.XLOOKUP(A226,'QA Log'!D:D,'QA Log'!F:F,"")</f>
        <v>#NAME?</v>
      </c>
      <c r="D226" s="102"/>
      <c r="E226" s="102" t="e">
        <f t="array" aca="1" ref="E226" ca="1">_xludf.XLOOKUP(A226,'QA Log'!D:D,'QA Log'!G:G,"")</f>
        <v>#NAME?</v>
      </c>
      <c r="F226" s="103"/>
      <c r="G226" s="104"/>
      <c r="H226" s="104"/>
      <c r="I226" s="103" t="str">
        <f t="shared" si="0"/>
        <v/>
      </c>
      <c r="J226" s="102"/>
      <c r="K226" s="102"/>
      <c r="L226" s="119" t="str">
        <f t="array" ref="L226">IF(OR($B226="",$D226=""),"",
IFERROR(
  INDEX(
    'Tools &amp; Targets_Guideline'!$C$54:$I$269,
    MATCH(
      1,
      ('Tools &amp; Targets_Guideline'!$A$54:$A$269=$B226)*
      ('Tools &amp; Targets_Guideline'!$B$54:$B$269="ANC"),
      0
    ),
    MATCH(
      _xludf.IFNA(
        VLOOKUP($D226,{"PH","Provincial Hospital (H2)";"DH","District Hospital (H3)";"RH","Regional / National Hospital (H1)"},2,0),
        $D226
      ),
      'Tools &amp; Targets_Guideline'!$C$53:$I$53,
      0
    )
  ),
0))</f>
        <v/>
      </c>
      <c r="M226" s="105"/>
      <c r="N226" s="119" t="str">
        <f t="array" ref="N226">IF(OR($B226="",$D226=""),"",
IFERROR(
  INDEX(
    'Tools &amp; Targets_Guideline'!$C$54:$I$269,
    MATCH(
      1,
      ('Tools &amp; Targets_Guideline'!$A$54:$A$269=$B226)*
      ('Tools &amp; Targets_Guideline'!$B$54:$B$269="PNC"),
      0
    ),
    MATCH(
      _xludf.IFNA(
        VLOOKUP($D226,{"PH","Provincial Hospital (H2)";"DH","District Hospital (H3)";"RH","Regional / National Hospital (H1)"},2,0),
        $D226
      ),
      'Tools &amp; Targets_Guideline'!$C$53:$I$53,
      0
    )
  ),
0))</f>
        <v/>
      </c>
      <c r="O226" s="105"/>
      <c r="P226" s="119" t="str">
        <f t="array" ref="P226">IF(OR($B226="",$D226=""),"",
IFERROR(
  INDEX(
    'Tools &amp; Targets_Guideline'!$C$54:$I$269,
    MATCH(
      1,
      ('Tools &amp; Targets_Guideline'!$A$54:$A$269=$B226)*
      ('Tools &amp; Targets_Guideline'!$B$54:$B$269="Delivery"),
      0
    ),
    MATCH(
      _xludf.IFNA(
        VLOOKUP($D226,{"PH","Provincial Hospital (H2)";"DH","District Hospital (H3)";"RH","Regional / National Hospital (H1)"},2,0),
        $D226
      ),
      'Tools &amp; Targets_Guideline'!$C$53:$I$53,
      0
    )
  ),
0))</f>
        <v/>
      </c>
      <c r="Q226" s="105"/>
      <c r="R226" s="119" t="str">
        <f t="array" ref="R226">IF(OR($B226="",$D226=""),"",
IFERROR(
  INDEX(
    'Tools &amp; Targets_Guideline'!$C$54:$I$269,
    MATCH(
      1,
      ('Tools &amp; Targets_Guideline'!$A$54:$A$269=$B226)*
      ('Tools &amp; Targets_Guideline'!$B$54:$B$269="TT"),
      0
    ),
    MATCH(
      _xludf.IFNA(
        VLOOKUP($D226,{"PH","Provincial Hospital (H2)";"DH","District Hospital (H3)";"RH","Regional / National Hospital (H1)"},2,0),
        $D226
      ),
      'Tools &amp; Targets_Guideline'!$C$53:$I$53,
      0
    )
  ),
0))</f>
        <v/>
      </c>
      <c r="S226" s="105"/>
      <c r="T226" s="102"/>
      <c r="U226" s="106"/>
      <c r="V226" s="102" t="str">
        <f t="shared" si="1"/>
        <v/>
      </c>
      <c r="W226" s="102"/>
      <c r="X226" s="102"/>
      <c r="Y226" s="119" t="str">
        <f t="array" ref="Y226">IF(OR($B226="",$D226=""),"",
IFERROR(
  INDEX(
    'Tools &amp; Targets_Guideline'!$C$54:$I$269,
    MATCH(
      1,
      ('Tools &amp; Targets_Guideline'!$A$54:$A$269=$B226)*
      ('Tools &amp; Targets_Guideline'!$B$54:$B$269="GM"),
      0
    ),
    MATCH(
      _xludf.IFNA(
        VLOOKUP($D226,{"PH","Provincial Hospital (H2)";"DH","District Hospital (H3)";"RH","Regional / National Hospital (H1)"},2,0),
        $D226
      ),
      'Tools &amp; Targets_Guideline'!$C$53:$I$53,
      0
    )
  ),
0))</f>
        <v/>
      </c>
      <c r="Z226" s="105"/>
      <c r="AA226" s="119" t="str">
        <f t="array" ref="AA226">IF(OR($B226="",$D226=""),"",
IFERROR(
  INDEX(
    'Tools &amp; Targets_Guideline'!$C$54:$I$269,
    MATCH(
      1,
      ('Tools &amp; Targets_Guideline'!$A$54:$A$269=$B226)*
      ('Tools &amp; Targets_Guideline'!$B$54:$B$269="Penta"),
      0
    ),
    MATCH(
      _xludf.IFNA(
        VLOOKUP($D226,{"PH","Provincial Hospital (H2)";"DH","District Hospital (H3)";"RH","Regional / National Hospital (H1)"},2,0),
        $D226
      ),
      'Tools &amp; Targets_Guideline'!$C$53:$I$53,
      0
    )
  ),
0))</f>
        <v/>
      </c>
      <c r="AB226" s="105"/>
      <c r="AC226" s="119" t="str">
        <f t="array" ref="AC226">IF(OR($B226="",$D226=""),"",
IFERROR(
  INDEX(
    'Tools &amp; Targets_Guideline'!$C$54:$I$269,
    MATCH(
      1,
      ('Tools &amp; Targets_Guideline'!$A$54:$A$269=$B226)*
      ('Tools &amp; Targets_Guideline'!$B$54:$B$269="TB"),
      0
    ),
    MATCH(
      _xludf.IFNA(
        VLOOKUP($D226,{"PH","Provincial Hospital (H2)";"DH","District Hospital (H3)";"RH","Regional / National Hospital (H1)"},2,0),
        $D226
      ),
      'Tools &amp; Targets_Guideline'!$C$53:$I$53,
      0
    )
  ),
0))</f>
        <v/>
      </c>
      <c r="AD226" s="105"/>
      <c r="AE226" s="119" t="str">
        <f t="array" ref="AE226">IF(OR($B226="",$D226=""),"",
IFERROR(
  INDEX(
    'Tools &amp; Targets_Guideline'!$C$54:$I$269,
    MATCH(
      1,
      ('Tools &amp; Targets_Guideline'!$A$54:$A$269=$B226)*
      ('Tools &amp; Targets_Guideline'!$B$54:$B$269="U5 Morbidity"),
      0
    ),
    MATCH(
      _xludf.IFNA(
        VLOOKUP($D226,{"PH","Provincial Hospital (H2)";"DH","District Hospital (H3)";"RH","Regional / National Hospital (H1)"},2,0),
        $D226
      ),
      'Tools &amp; Targets_Guideline'!$C$53:$I$53,
      0
    )
  ),
0))</f>
        <v/>
      </c>
      <c r="AF226" s="105"/>
      <c r="AG226" s="119" t="str">
        <f t="array" ref="AG226">IF(OR($B226="",$D226=""),"",
IFERROR(
  INDEX(
    'Tools &amp; Targets_Guideline'!$C$54:$I$269,
    MATCH(
      1,
      ('Tools &amp; Targets_Guideline'!$A$54:$A$269=$B226)*
      ('Tools &amp; Targets_Guideline'!$B$54:$B$269="C-Section"),
      0
    ),
    MATCH(
      _xludf.IFNA(
        VLOOKUP($D226,{"PH","Provincial Hospital (H2)";"DH","District Hospital (H3)";"RH","Regional / National Hospital (H1)"},2,0),
        $D226
      ),
      'Tools &amp; Targets_Guideline'!$C$53:$I$53,
      0
    )
  ),
0))</f>
        <v/>
      </c>
      <c r="AH226" s="105" t="str">
        <f>IF(A226&lt;&gt;"",COUNTIFS('QA Log'!D:D,A226,'QA Log'!M:M,"QQC",'QA Log'!L:L,"2. Hygiene and Sterilization",'QA Log'!Z:Z,"Approved"),"")</f>
        <v/>
      </c>
      <c r="AI226" s="102"/>
      <c r="AJ226" s="102"/>
      <c r="AK226" s="103" t="str">
        <f t="shared" si="2"/>
        <v/>
      </c>
      <c r="AL226" s="102"/>
      <c r="AM226" s="102"/>
      <c r="AN226" s="102"/>
      <c r="AO226" s="106"/>
      <c r="AP226" s="103"/>
      <c r="AQ226" s="102"/>
      <c r="AR226" s="102"/>
      <c r="AS226" s="102"/>
      <c r="AT226" s="107"/>
      <c r="AU226" s="102" t="str">
        <f t="shared" si="3"/>
        <v/>
      </c>
      <c r="AV226" s="102" t="str">
        <f t="shared" si="4"/>
        <v/>
      </c>
      <c r="AW226" s="102" t="str">
        <f t="shared" si="5"/>
        <v/>
      </c>
      <c r="AX226" s="102" t="str">
        <f t="shared" si="6"/>
        <v/>
      </c>
      <c r="AY226" s="107" t="str">
        <f t="shared" si="7"/>
        <v/>
      </c>
      <c r="AZ226" s="108" t="str">
        <f t="shared" si="8"/>
        <v/>
      </c>
      <c r="BA226" s="108" t="str">
        <f t="shared" si="9"/>
        <v/>
      </c>
      <c r="BB226" s="109" t="str">
        <f t="shared" si="10"/>
        <v/>
      </c>
      <c r="BC226" s="108" t="str">
        <f t="shared" si="11"/>
        <v/>
      </c>
      <c r="BD226" s="108" t="str">
        <f t="shared" si="12"/>
        <v/>
      </c>
      <c r="BE226" s="109" t="str">
        <f t="shared" si="13"/>
        <v/>
      </c>
      <c r="BF226" s="110" t="str">
        <f t="shared" si="14"/>
        <v/>
      </c>
      <c r="BG226" s="111"/>
    </row>
    <row r="227" spans="1:59" ht="12.75">
      <c r="A227" s="101"/>
      <c r="B227" s="102"/>
      <c r="C227" s="102" t="e">
        <f t="array" aca="1" ref="C227" ca="1">_xludf.XLOOKUP(A227,'QA Log'!D:D,'QA Log'!F:F,"")</f>
        <v>#NAME?</v>
      </c>
      <c r="D227" s="102"/>
      <c r="E227" s="102" t="e">
        <f t="array" aca="1" ref="E227" ca="1">_xludf.XLOOKUP(A227,'QA Log'!D:D,'QA Log'!G:G,"")</f>
        <v>#NAME?</v>
      </c>
      <c r="F227" s="103"/>
      <c r="G227" s="104"/>
      <c r="H227" s="104"/>
      <c r="I227" s="103" t="str">
        <f t="shared" si="0"/>
        <v/>
      </c>
      <c r="J227" s="102"/>
      <c r="K227" s="102"/>
      <c r="L227" s="119" t="str">
        <f t="array" ref="L227">IF(OR($B227="",$D227=""),"",
IFERROR(
  INDEX(
    'Tools &amp; Targets_Guideline'!$C$54:$I$269,
    MATCH(
      1,
      ('Tools &amp; Targets_Guideline'!$A$54:$A$269=$B227)*
      ('Tools &amp; Targets_Guideline'!$B$54:$B$269="ANC"),
      0
    ),
    MATCH(
      _xludf.IFNA(
        VLOOKUP($D227,{"PH","Provincial Hospital (H2)";"DH","District Hospital (H3)";"RH","Regional / National Hospital (H1)"},2,0),
        $D227
      ),
      'Tools &amp; Targets_Guideline'!$C$53:$I$53,
      0
    )
  ),
0))</f>
        <v/>
      </c>
      <c r="M227" s="105"/>
      <c r="N227" s="119" t="str">
        <f t="array" ref="N227">IF(OR($B227="",$D227=""),"",
IFERROR(
  INDEX(
    'Tools &amp; Targets_Guideline'!$C$54:$I$269,
    MATCH(
      1,
      ('Tools &amp; Targets_Guideline'!$A$54:$A$269=$B227)*
      ('Tools &amp; Targets_Guideline'!$B$54:$B$269="PNC"),
      0
    ),
    MATCH(
      _xludf.IFNA(
        VLOOKUP($D227,{"PH","Provincial Hospital (H2)";"DH","District Hospital (H3)";"RH","Regional / National Hospital (H1)"},2,0),
        $D227
      ),
      'Tools &amp; Targets_Guideline'!$C$53:$I$53,
      0
    )
  ),
0))</f>
        <v/>
      </c>
      <c r="O227" s="105"/>
      <c r="P227" s="119" t="str">
        <f t="array" ref="P227">IF(OR($B227="",$D227=""),"",
IFERROR(
  INDEX(
    'Tools &amp; Targets_Guideline'!$C$54:$I$269,
    MATCH(
      1,
      ('Tools &amp; Targets_Guideline'!$A$54:$A$269=$B227)*
      ('Tools &amp; Targets_Guideline'!$B$54:$B$269="Delivery"),
      0
    ),
    MATCH(
      _xludf.IFNA(
        VLOOKUP($D227,{"PH","Provincial Hospital (H2)";"DH","District Hospital (H3)";"RH","Regional / National Hospital (H1)"},2,0),
        $D227
      ),
      'Tools &amp; Targets_Guideline'!$C$53:$I$53,
      0
    )
  ),
0))</f>
        <v/>
      </c>
      <c r="Q227" s="105"/>
      <c r="R227" s="119" t="str">
        <f t="array" ref="R227">IF(OR($B227="",$D227=""),"",
IFERROR(
  INDEX(
    'Tools &amp; Targets_Guideline'!$C$54:$I$269,
    MATCH(
      1,
      ('Tools &amp; Targets_Guideline'!$A$54:$A$269=$B227)*
      ('Tools &amp; Targets_Guideline'!$B$54:$B$269="TT"),
      0
    ),
    MATCH(
      _xludf.IFNA(
        VLOOKUP($D227,{"PH","Provincial Hospital (H2)";"DH","District Hospital (H3)";"RH","Regional / National Hospital (H1)"},2,0),
        $D227
      ),
      'Tools &amp; Targets_Guideline'!$C$53:$I$53,
      0
    )
  ),
0))</f>
        <v/>
      </c>
      <c r="S227" s="105"/>
      <c r="T227" s="102"/>
      <c r="U227" s="106"/>
      <c r="V227" s="102" t="str">
        <f t="shared" si="1"/>
        <v/>
      </c>
      <c r="W227" s="102"/>
      <c r="X227" s="102"/>
      <c r="Y227" s="119" t="str">
        <f t="array" ref="Y227">IF(OR($B227="",$D227=""),"",
IFERROR(
  INDEX(
    'Tools &amp; Targets_Guideline'!$C$54:$I$269,
    MATCH(
      1,
      ('Tools &amp; Targets_Guideline'!$A$54:$A$269=$B227)*
      ('Tools &amp; Targets_Guideline'!$B$54:$B$269="GM"),
      0
    ),
    MATCH(
      _xludf.IFNA(
        VLOOKUP($D227,{"PH","Provincial Hospital (H2)";"DH","District Hospital (H3)";"RH","Regional / National Hospital (H1)"},2,0),
        $D227
      ),
      'Tools &amp; Targets_Guideline'!$C$53:$I$53,
      0
    )
  ),
0))</f>
        <v/>
      </c>
      <c r="Z227" s="105"/>
      <c r="AA227" s="119" t="str">
        <f t="array" ref="AA227">IF(OR($B227="",$D227=""),"",
IFERROR(
  INDEX(
    'Tools &amp; Targets_Guideline'!$C$54:$I$269,
    MATCH(
      1,
      ('Tools &amp; Targets_Guideline'!$A$54:$A$269=$B227)*
      ('Tools &amp; Targets_Guideline'!$B$54:$B$269="Penta"),
      0
    ),
    MATCH(
      _xludf.IFNA(
        VLOOKUP($D227,{"PH","Provincial Hospital (H2)";"DH","District Hospital (H3)";"RH","Regional / National Hospital (H1)"},2,0),
        $D227
      ),
      'Tools &amp; Targets_Guideline'!$C$53:$I$53,
      0
    )
  ),
0))</f>
        <v/>
      </c>
      <c r="AB227" s="105"/>
      <c r="AC227" s="119" t="str">
        <f t="array" ref="AC227">IF(OR($B227="",$D227=""),"",
IFERROR(
  INDEX(
    'Tools &amp; Targets_Guideline'!$C$54:$I$269,
    MATCH(
      1,
      ('Tools &amp; Targets_Guideline'!$A$54:$A$269=$B227)*
      ('Tools &amp; Targets_Guideline'!$B$54:$B$269="TB"),
      0
    ),
    MATCH(
      _xludf.IFNA(
        VLOOKUP($D227,{"PH","Provincial Hospital (H2)";"DH","District Hospital (H3)";"RH","Regional / National Hospital (H1)"},2,0),
        $D227
      ),
      'Tools &amp; Targets_Guideline'!$C$53:$I$53,
      0
    )
  ),
0))</f>
        <v/>
      </c>
      <c r="AD227" s="105"/>
      <c r="AE227" s="119" t="str">
        <f t="array" ref="AE227">IF(OR($B227="",$D227=""),"",
IFERROR(
  INDEX(
    'Tools &amp; Targets_Guideline'!$C$54:$I$269,
    MATCH(
      1,
      ('Tools &amp; Targets_Guideline'!$A$54:$A$269=$B227)*
      ('Tools &amp; Targets_Guideline'!$B$54:$B$269="U5 Morbidity"),
      0
    ),
    MATCH(
      _xludf.IFNA(
        VLOOKUP($D227,{"PH","Provincial Hospital (H2)";"DH","District Hospital (H3)";"RH","Regional / National Hospital (H1)"},2,0),
        $D227
      ),
      'Tools &amp; Targets_Guideline'!$C$53:$I$53,
      0
    )
  ),
0))</f>
        <v/>
      </c>
      <c r="AF227" s="105"/>
      <c r="AG227" s="119" t="str">
        <f t="array" ref="AG227">IF(OR($B227="",$D227=""),"",
IFERROR(
  INDEX(
    'Tools &amp; Targets_Guideline'!$C$54:$I$269,
    MATCH(
      1,
      ('Tools &amp; Targets_Guideline'!$A$54:$A$269=$B227)*
      ('Tools &amp; Targets_Guideline'!$B$54:$B$269="C-Section"),
      0
    ),
    MATCH(
      _xludf.IFNA(
        VLOOKUP($D227,{"PH","Provincial Hospital (H2)";"DH","District Hospital (H3)";"RH","Regional / National Hospital (H1)"},2,0),
        $D227
      ),
      'Tools &amp; Targets_Guideline'!$C$53:$I$53,
      0
    )
  ),
0))</f>
        <v/>
      </c>
      <c r="AH227" s="105" t="str">
        <f>IF(A227&lt;&gt;"",COUNTIFS('QA Log'!D:D,A227,'QA Log'!M:M,"QQC",'QA Log'!L:L,"2. Hygiene and Sterilization",'QA Log'!Z:Z,"Approved"),"")</f>
        <v/>
      </c>
      <c r="AI227" s="102"/>
      <c r="AJ227" s="102"/>
      <c r="AK227" s="103" t="str">
        <f t="shared" si="2"/>
        <v/>
      </c>
      <c r="AL227" s="102"/>
      <c r="AM227" s="102"/>
      <c r="AN227" s="102"/>
      <c r="AO227" s="106"/>
      <c r="AP227" s="103"/>
      <c r="AQ227" s="102"/>
      <c r="AR227" s="102"/>
      <c r="AS227" s="102"/>
      <c r="AT227" s="107"/>
      <c r="AU227" s="102" t="str">
        <f t="shared" si="3"/>
        <v/>
      </c>
      <c r="AV227" s="102" t="str">
        <f t="shared" si="4"/>
        <v/>
      </c>
      <c r="AW227" s="102" t="str">
        <f t="shared" si="5"/>
        <v/>
      </c>
      <c r="AX227" s="102" t="str">
        <f t="shared" si="6"/>
        <v/>
      </c>
      <c r="AY227" s="107" t="str">
        <f t="shared" si="7"/>
        <v/>
      </c>
      <c r="AZ227" s="108" t="str">
        <f t="shared" si="8"/>
        <v/>
      </c>
      <c r="BA227" s="108" t="str">
        <f t="shared" si="9"/>
        <v/>
      </c>
      <c r="BB227" s="109" t="str">
        <f t="shared" si="10"/>
        <v/>
      </c>
      <c r="BC227" s="108" t="str">
        <f t="shared" si="11"/>
        <v/>
      </c>
      <c r="BD227" s="108" t="str">
        <f t="shared" si="12"/>
        <v/>
      </c>
      <c r="BE227" s="109" t="str">
        <f t="shared" si="13"/>
        <v/>
      </c>
      <c r="BF227" s="110" t="str">
        <f t="shared" si="14"/>
        <v/>
      </c>
      <c r="BG227" s="111"/>
    </row>
    <row r="228" spans="1:59" ht="12.75">
      <c r="A228" s="101"/>
      <c r="B228" s="102"/>
      <c r="C228" s="102" t="e">
        <f t="array" aca="1" ref="C228" ca="1">_xludf.XLOOKUP(A228,'QA Log'!D:D,'QA Log'!F:F,"")</f>
        <v>#NAME?</v>
      </c>
      <c r="D228" s="102"/>
      <c r="E228" s="102" t="e">
        <f t="array" aca="1" ref="E228" ca="1">_xludf.XLOOKUP(A228,'QA Log'!D:D,'QA Log'!G:G,"")</f>
        <v>#NAME?</v>
      </c>
      <c r="F228" s="103"/>
      <c r="G228" s="104"/>
      <c r="H228" s="104"/>
      <c r="I228" s="103" t="str">
        <f t="shared" si="0"/>
        <v/>
      </c>
      <c r="J228" s="102"/>
      <c r="K228" s="102"/>
      <c r="L228" s="119" t="str">
        <f t="array" ref="L228">IF(OR($B228="",$D228=""),"",
IFERROR(
  INDEX(
    'Tools &amp; Targets_Guideline'!$C$54:$I$269,
    MATCH(
      1,
      ('Tools &amp; Targets_Guideline'!$A$54:$A$269=$B228)*
      ('Tools &amp; Targets_Guideline'!$B$54:$B$269="ANC"),
      0
    ),
    MATCH(
      _xludf.IFNA(
        VLOOKUP($D228,{"PH","Provincial Hospital (H2)";"DH","District Hospital (H3)";"RH","Regional / National Hospital (H1)"},2,0),
        $D228
      ),
      'Tools &amp; Targets_Guideline'!$C$53:$I$53,
      0
    )
  ),
0))</f>
        <v/>
      </c>
      <c r="M228" s="105"/>
      <c r="N228" s="119" t="str">
        <f t="array" ref="N228">IF(OR($B228="",$D228=""),"",
IFERROR(
  INDEX(
    'Tools &amp; Targets_Guideline'!$C$54:$I$269,
    MATCH(
      1,
      ('Tools &amp; Targets_Guideline'!$A$54:$A$269=$B228)*
      ('Tools &amp; Targets_Guideline'!$B$54:$B$269="PNC"),
      0
    ),
    MATCH(
      _xludf.IFNA(
        VLOOKUP($D228,{"PH","Provincial Hospital (H2)";"DH","District Hospital (H3)";"RH","Regional / National Hospital (H1)"},2,0),
        $D228
      ),
      'Tools &amp; Targets_Guideline'!$C$53:$I$53,
      0
    )
  ),
0))</f>
        <v/>
      </c>
      <c r="O228" s="105"/>
      <c r="P228" s="119" t="str">
        <f t="array" ref="P228">IF(OR($B228="",$D228=""),"",
IFERROR(
  INDEX(
    'Tools &amp; Targets_Guideline'!$C$54:$I$269,
    MATCH(
      1,
      ('Tools &amp; Targets_Guideline'!$A$54:$A$269=$B228)*
      ('Tools &amp; Targets_Guideline'!$B$54:$B$269="Delivery"),
      0
    ),
    MATCH(
      _xludf.IFNA(
        VLOOKUP($D228,{"PH","Provincial Hospital (H2)";"DH","District Hospital (H3)";"RH","Regional / National Hospital (H1)"},2,0),
        $D228
      ),
      'Tools &amp; Targets_Guideline'!$C$53:$I$53,
      0
    )
  ),
0))</f>
        <v/>
      </c>
      <c r="Q228" s="105"/>
      <c r="R228" s="119" t="str">
        <f t="array" ref="R228">IF(OR($B228="",$D228=""),"",
IFERROR(
  INDEX(
    'Tools &amp; Targets_Guideline'!$C$54:$I$269,
    MATCH(
      1,
      ('Tools &amp; Targets_Guideline'!$A$54:$A$269=$B228)*
      ('Tools &amp; Targets_Guideline'!$B$54:$B$269="TT"),
      0
    ),
    MATCH(
      _xludf.IFNA(
        VLOOKUP($D228,{"PH","Provincial Hospital (H2)";"DH","District Hospital (H3)";"RH","Regional / National Hospital (H1)"},2,0),
        $D228
      ),
      'Tools &amp; Targets_Guideline'!$C$53:$I$53,
      0
    )
  ),
0))</f>
        <v/>
      </c>
      <c r="S228" s="105"/>
      <c r="T228" s="102"/>
      <c r="U228" s="106"/>
      <c r="V228" s="102" t="str">
        <f t="shared" si="1"/>
        <v/>
      </c>
      <c r="W228" s="102"/>
      <c r="X228" s="102"/>
      <c r="Y228" s="119" t="str">
        <f t="array" ref="Y228">IF(OR($B228="",$D228=""),"",
IFERROR(
  INDEX(
    'Tools &amp; Targets_Guideline'!$C$54:$I$269,
    MATCH(
      1,
      ('Tools &amp; Targets_Guideline'!$A$54:$A$269=$B228)*
      ('Tools &amp; Targets_Guideline'!$B$54:$B$269="GM"),
      0
    ),
    MATCH(
      _xludf.IFNA(
        VLOOKUP($D228,{"PH","Provincial Hospital (H2)";"DH","District Hospital (H3)";"RH","Regional / National Hospital (H1)"},2,0),
        $D228
      ),
      'Tools &amp; Targets_Guideline'!$C$53:$I$53,
      0
    )
  ),
0))</f>
        <v/>
      </c>
      <c r="Z228" s="105"/>
      <c r="AA228" s="119" t="str">
        <f t="array" ref="AA228">IF(OR($B228="",$D228=""),"",
IFERROR(
  INDEX(
    'Tools &amp; Targets_Guideline'!$C$54:$I$269,
    MATCH(
      1,
      ('Tools &amp; Targets_Guideline'!$A$54:$A$269=$B228)*
      ('Tools &amp; Targets_Guideline'!$B$54:$B$269="Penta"),
      0
    ),
    MATCH(
      _xludf.IFNA(
        VLOOKUP($D228,{"PH","Provincial Hospital (H2)";"DH","District Hospital (H3)";"RH","Regional / National Hospital (H1)"},2,0),
        $D228
      ),
      'Tools &amp; Targets_Guideline'!$C$53:$I$53,
      0
    )
  ),
0))</f>
        <v/>
      </c>
      <c r="AB228" s="105"/>
      <c r="AC228" s="119" t="str">
        <f t="array" ref="AC228">IF(OR($B228="",$D228=""),"",
IFERROR(
  INDEX(
    'Tools &amp; Targets_Guideline'!$C$54:$I$269,
    MATCH(
      1,
      ('Tools &amp; Targets_Guideline'!$A$54:$A$269=$B228)*
      ('Tools &amp; Targets_Guideline'!$B$54:$B$269="TB"),
      0
    ),
    MATCH(
      _xludf.IFNA(
        VLOOKUP($D228,{"PH","Provincial Hospital (H2)";"DH","District Hospital (H3)";"RH","Regional / National Hospital (H1)"},2,0),
        $D228
      ),
      'Tools &amp; Targets_Guideline'!$C$53:$I$53,
      0
    )
  ),
0))</f>
        <v/>
      </c>
      <c r="AD228" s="105"/>
      <c r="AE228" s="119" t="str">
        <f t="array" ref="AE228">IF(OR($B228="",$D228=""),"",
IFERROR(
  INDEX(
    'Tools &amp; Targets_Guideline'!$C$54:$I$269,
    MATCH(
      1,
      ('Tools &amp; Targets_Guideline'!$A$54:$A$269=$B228)*
      ('Tools &amp; Targets_Guideline'!$B$54:$B$269="U5 Morbidity"),
      0
    ),
    MATCH(
      _xludf.IFNA(
        VLOOKUP($D228,{"PH","Provincial Hospital (H2)";"DH","District Hospital (H3)";"RH","Regional / National Hospital (H1)"},2,0),
        $D228
      ),
      'Tools &amp; Targets_Guideline'!$C$53:$I$53,
      0
    )
  ),
0))</f>
        <v/>
      </c>
      <c r="AF228" s="105"/>
      <c r="AG228" s="119" t="str">
        <f t="array" ref="AG228">IF(OR($B228="",$D228=""),"",
IFERROR(
  INDEX(
    'Tools &amp; Targets_Guideline'!$C$54:$I$269,
    MATCH(
      1,
      ('Tools &amp; Targets_Guideline'!$A$54:$A$269=$B228)*
      ('Tools &amp; Targets_Guideline'!$B$54:$B$269="C-Section"),
      0
    ),
    MATCH(
      _xludf.IFNA(
        VLOOKUP($D228,{"PH","Provincial Hospital (H2)";"DH","District Hospital (H3)";"RH","Regional / National Hospital (H1)"},2,0),
        $D228
      ),
      'Tools &amp; Targets_Guideline'!$C$53:$I$53,
      0
    )
  ),
0))</f>
        <v/>
      </c>
      <c r="AH228" s="105" t="str">
        <f>IF(A228&lt;&gt;"",COUNTIFS('QA Log'!D:D,A228,'QA Log'!M:M,"QQC",'QA Log'!L:L,"2. Hygiene and Sterilization",'QA Log'!Z:Z,"Approved"),"")</f>
        <v/>
      </c>
      <c r="AI228" s="102"/>
      <c r="AJ228" s="102"/>
      <c r="AK228" s="103" t="str">
        <f t="shared" si="2"/>
        <v/>
      </c>
      <c r="AL228" s="102"/>
      <c r="AM228" s="102"/>
      <c r="AN228" s="102"/>
      <c r="AO228" s="106"/>
      <c r="AP228" s="103"/>
      <c r="AQ228" s="102"/>
      <c r="AR228" s="102"/>
      <c r="AS228" s="102"/>
      <c r="AT228" s="107"/>
      <c r="AU228" s="102" t="str">
        <f t="shared" si="3"/>
        <v/>
      </c>
      <c r="AV228" s="102" t="str">
        <f t="shared" si="4"/>
        <v/>
      </c>
      <c r="AW228" s="102" t="str">
        <f t="shared" si="5"/>
        <v/>
      </c>
      <c r="AX228" s="102" t="str">
        <f t="shared" si="6"/>
        <v/>
      </c>
      <c r="AY228" s="107" t="str">
        <f t="shared" si="7"/>
        <v/>
      </c>
      <c r="AZ228" s="108" t="str">
        <f t="shared" si="8"/>
        <v/>
      </c>
      <c r="BA228" s="108" t="str">
        <f t="shared" si="9"/>
        <v/>
      </c>
      <c r="BB228" s="109" t="str">
        <f t="shared" si="10"/>
        <v/>
      </c>
      <c r="BC228" s="108" t="str">
        <f t="shared" si="11"/>
        <v/>
      </c>
      <c r="BD228" s="108" t="str">
        <f t="shared" si="12"/>
        <v/>
      </c>
      <c r="BE228" s="109" t="str">
        <f t="shared" si="13"/>
        <v/>
      </c>
      <c r="BF228" s="110" t="str">
        <f t="shared" si="14"/>
        <v/>
      </c>
      <c r="BG228" s="111"/>
    </row>
    <row r="229" spans="1:59" ht="12.75">
      <c r="A229" s="101"/>
      <c r="B229" s="102"/>
      <c r="C229" s="102" t="e">
        <f t="array" aca="1" ref="C229" ca="1">_xludf.XLOOKUP(A229,'QA Log'!D:D,'QA Log'!F:F,"")</f>
        <v>#NAME?</v>
      </c>
      <c r="D229" s="102"/>
      <c r="E229" s="102" t="e">
        <f t="array" aca="1" ref="E229" ca="1">_xludf.XLOOKUP(A229,'QA Log'!D:D,'QA Log'!G:G,"")</f>
        <v>#NAME?</v>
      </c>
      <c r="F229" s="103"/>
      <c r="G229" s="104"/>
      <c r="H229" s="104"/>
      <c r="I229" s="103" t="str">
        <f t="shared" si="0"/>
        <v/>
      </c>
      <c r="J229" s="102"/>
      <c r="K229" s="102"/>
      <c r="L229" s="119" t="str">
        <f t="array" ref="L229">IF(OR($B229="",$D229=""),"",
IFERROR(
  INDEX(
    'Tools &amp; Targets_Guideline'!$C$54:$I$269,
    MATCH(
      1,
      ('Tools &amp; Targets_Guideline'!$A$54:$A$269=$B229)*
      ('Tools &amp; Targets_Guideline'!$B$54:$B$269="ANC"),
      0
    ),
    MATCH(
      _xludf.IFNA(
        VLOOKUP($D229,{"PH","Provincial Hospital (H2)";"DH","District Hospital (H3)";"RH","Regional / National Hospital (H1)"},2,0),
        $D229
      ),
      'Tools &amp; Targets_Guideline'!$C$53:$I$53,
      0
    )
  ),
0))</f>
        <v/>
      </c>
      <c r="M229" s="105"/>
      <c r="N229" s="119" t="str">
        <f t="array" ref="N229">IF(OR($B229="",$D229=""),"",
IFERROR(
  INDEX(
    'Tools &amp; Targets_Guideline'!$C$54:$I$269,
    MATCH(
      1,
      ('Tools &amp; Targets_Guideline'!$A$54:$A$269=$B229)*
      ('Tools &amp; Targets_Guideline'!$B$54:$B$269="PNC"),
      0
    ),
    MATCH(
      _xludf.IFNA(
        VLOOKUP($D229,{"PH","Provincial Hospital (H2)";"DH","District Hospital (H3)";"RH","Regional / National Hospital (H1)"},2,0),
        $D229
      ),
      'Tools &amp; Targets_Guideline'!$C$53:$I$53,
      0
    )
  ),
0))</f>
        <v/>
      </c>
      <c r="O229" s="105"/>
      <c r="P229" s="119" t="str">
        <f t="array" ref="P229">IF(OR($B229="",$D229=""),"",
IFERROR(
  INDEX(
    'Tools &amp; Targets_Guideline'!$C$54:$I$269,
    MATCH(
      1,
      ('Tools &amp; Targets_Guideline'!$A$54:$A$269=$B229)*
      ('Tools &amp; Targets_Guideline'!$B$54:$B$269="Delivery"),
      0
    ),
    MATCH(
      _xludf.IFNA(
        VLOOKUP($D229,{"PH","Provincial Hospital (H2)";"DH","District Hospital (H3)";"RH","Regional / National Hospital (H1)"},2,0),
        $D229
      ),
      'Tools &amp; Targets_Guideline'!$C$53:$I$53,
      0
    )
  ),
0))</f>
        <v/>
      </c>
      <c r="Q229" s="105"/>
      <c r="R229" s="119" t="str">
        <f t="array" ref="R229">IF(OR($B229="",$D229=""),"",
IFERROR(
  INDEX(
    'Tools &amp; Targets_Guideline'!$C$54:$I$269,
    MATCH(
      1,
      ('Tools &amp; Targets_Guideline'!$A$54:$A$269=$B229)*
      ('Tools &amp; Targets_Guideline'!$B$54:$B$269="TT"),
      0
    ),
    MATCH(
      _xludf.IFNA(
        VLOOKUP($D229,{"PH","Provincial Hospital (H2)";"DH","District Hospital (H3)";"RH","Regional / National Hospital (H1)"},2,0),
        $D229
      ),
      'Tools &amp; Targets_Guideline'!$C$53:$I$53,
      0
    )
  ),
0))</f>
        <v/>
      </c>
      <c r="S229" s="105"/>
      <c r="T229" s="102"/>
      <c r="U229" s="106"/>
      <c r="V229" s="102" t="str">
        <f t="shared" si="1"/>
        <v/>
      </c>
      <c r="W229" s="102"/>
      <c r="X229" s="102"/>
      <c r="Y229" s="119" t="str">
        <f t="array" ref="Y229">IF(OR($B229="",$D229=""),"",
IFERROR(
  INDEX(
    'Tools &amp; Targets_Guideline'!$C$54:$I$269,
    MATCH(
      1,
      ('Tools &amp; Targets_Guideline'!$A$54:$A$269=$B229)*
      ('Tools &amp; Targets_Guideline'!$B$54:$B$269="GM"),
      0
    ),
    MATCH(
      _xludf.IFNA(
        VLOOKUP($D229,{"PH","Provincial Hospital (H2)";"DH","District Hospital (H3)";"RH","Regional / National Hospital (H1)"},2,0),
        $D229
      ),
      'Tools &amp; Targets_Guideline'!$C$53:$I$53,
      0
    )
  ),
0))</f>
        <v/>
      </c>
      <c r="Z229" s="105"/>
      <c r="AA229" s="119" t="str">
        <f t="array" ref="AA229">IF(OR($B229="",$D229=""),"",
IFERROR(
  INDEX(
    'Tools &amp; Targets_Guideline'!$C$54:$I$269,
    MATCH(
      1,
      ('Tools &amp; Targets_Guideline'!$A$54:$A$269=$B229)*
      ('Tools &amp; Targets_Guideline'!$B$54:$B$269="Penta"),
      0
    ),
    MATCH(
      _xludf.IFNA(
        VLOOKUP($D229,{"PH","Provincial Hospital (H2)";"DH","District Hospital (H3)";"RH","Regional / National Hospital (H1)"},2,0),
        $D229
      ),
      'Tools &amp; Targets_Guideline'!$C$53:$I$53,
      0
    )
  ),
0))</f>
        <v/>
      </c>
      <c r="AB229" s="105"/>
      <c r="AC229" s="119" t="str">
        <f t="array" ref="AC229">IF(OR($B229="",$D229=""),"",
IFERROR(
  INDEX(
    'Tools &amp; Targets_Guideline'!$C$54:$I$269,
    MATCH(
      1,
      ('Tools &amp; Targets_Guideline'!$A$54:$A$269=$B229)*
      ('Tools &amp; Targets_Guideline'!$B$54:$B$269="TB"),
      0
    ),
    MATCH(
      _xludf.IFNA(
        VLOOKUP($D229,{"PH","Provincial Hospital (H2)";"DH","District Hospital (H3)";"RH","Regional / National Hospital (H1)"},2,0),
        $D229
      ),
      'Tools &amp; Targets_Guideline'!$C$53:$I$53,
      0
    )
  ),
0))</f>
        <v/>
      </c>
      <c r="AD229" s="105"/>
      <c r="AE229" s="119" t="str">
        <f t="array" ref="AE229">IF(OR($B229="",$D229=""),"",
IFERROR(
  INDEX(
    'Tools &amp; Targets_Guideline'!$C$54:$I$269,
    MATCH(
      1,
      ('Tools &amp; Targets_Guideline'!$A$54:$A$269=$B229)*
      ('Tools &amp; Targets_Guideline'!$B$54:$B$269="U5 Morbidity"),
      0
    ),
    MATCH(
      _xludf.IFNA(
        VLOOKUP($D229,{"PH","Provincial Hospital (H2)";"DH","District Hospital (H3)";"RH","Regional / National Hospital (H1)"},2,0),
        $D229
      ),
      'Tools &amp; Targets_Guideline'!$C$53:$I$53,
      0
    )
  ),
0))</f>
        <v/>
      </c>
      <c r="AF229" s="105"/>
      <c r="AG229" s="119" t="str">
        <f t="array" ref="AG229">IF(OR($B229="",$D229=""),"",
IFERROR(
  INDEX(
    'Tools &amp; Targets_Guideline'!$C$54:$I$269,
    MATCH(
      1,
      ('Tools &amp; Targets_Guideline'!$A$54:$A$269=$B229)*
      ('Tools &amp; Targets_Guideline'!$B$54:$B$269="C-Section"),
      0
    ),
    MATCH(
      _xludf.IFNA(
        VLOOKUP($D229,{"PH","Provincial Hospital (H2)";"DH","District Hospital (H3)";"RH","Regional / National Hospital (H1)"},2,0),
        $D229
      ),
      'Tools &amp; Targets_Guideline'!$C$53:$I$53,
      0
    )
  ),
0))</f>
        <v/>
      </c>
      <c r="AH229" s="105" t="str">
        <f>IF(A229&lt;&gt;"",COUNTIFS('QA Log'!D:D,A229,'QA Log'!M:M,"QQC",'QA Log'!L:L,"2. Hygiene and Sterilization",'QA Log'!Z:Z,"Approved"),"")</f>
        <v/>
      </c>
      <c r="AI229" s="102"/>
      <c r="AJ229" s="102"/>
      <c r="AK229" s="103" t="str">
        <f t="shared" si="2"/>
        <v/>
      </c>
      <c r="AL229" s="102"/>
      <c r="AM229" s="102"/>
      <c r="AN229" s="102"/>
      <c r="AO229" s="106"/>
      <c r="AP229" s="103"/>
      <c r="AQ229" s="102"/>
      <c r="AR229" s="102"/>
      <c r="AS229" s="102"/>
      <c r="AT229" s="107"/>
      <c r="AU229" s="102" t="str">
        <f t="shared" si="3"/>
        <v/>
      </c>
      <c r="AV229" s="102" t="str">
        <f t="shared" si="4"/>
        <v/>
      </c>
      <c r="AW229" s="102" t="str">
        <f t="shared" si="5"/>
        <v/>
      </c>
      <c r="AX229" s="102" t="str">
        <f t="shared" si="6"/>
        <v/>
      </c>
      <c r="AY229" s="107" t="str">
        <f t="shared" si="7"/>
        <v/>
      </c>
      <c r="AZ229" s="108" t="str">
        <f t="shared" si="8"/>
        <v/>
      </c>
      <c r="BA229" s="108" t="str">
        <f t="shared" si="9"/>
        <v/>
      </c>
      <c r="BB229" s="109" t="str">
        <f t="shared" si="10"/>
        <v/>
      </c>
      <c r="BC229" s="108" t="str">
        <f t="shared" si="11"/>
        <v/>
      </c>
      <c r="BD229" s="108" t="str">
        <f t="shared" si="12"/>
        <v/>
      </c>
      <c r="BE229" s="109" t="str">
        <f t="shared" si="13"/>
        <v/>
      </c>
      <c r="BF229" s="110" t="str">
        <f t="shared" si="14"/>
        <v/>
      </c>
      <c r="BG229" s="111"/>
    </row>
    <row r="230" spans="1:59" ht="12.75">
      <c r="A230" s="101"/>
      <c r="B230" s="102"/>
      <c r="C230" s="102" t="e">
        <f t="array" aca="1" ref="C230" ca="1">_xludf.XLOOKUP(A230,'QA Log'!D:D,'QA Log'!F:F,"")</f>
        <v>#NAME?</v>
      </c>
      <c r="D230" s="102"/>
      <c r="E230" s="102" t="e">
        <f t="array" aca="1" ref="E230" ca="1">_xludf.XLOOKUP(A230,'QA Log'!D:D,'QA Log'!G:G,"")</f>
        <v>#NAME?</v>
      </c>
      <c r="F230" s="103"/>
      <c r="G230" s="104"/>
      <c r="H230" s="104"/>
      <c r="I230" s="103" t="str">
        <f t="shared" si="0"/>
        <v/>
      </c>
      <c r="J230" s="102"/>
      <c r="K230" s="102"/>
      <c r="L230" s="119" t="str">
        <f t="array" ref="L230">IF(OR($B230="",$D230=""),"",
IFERROR(
  INDEX(
    'Tools &amp; Targets_Guideline'!$C$54:$I$269,
    MATCH(
      1,
      ('Tools &amp; Targets_Guideline'!$A$54:$A$269=$B230)*
      ('Tools &amp; Targets_Guideline'!$B$54:$B$269="ANC"),
      0
    ),
    MATCH(
      _xludf.IFNA(
        VLOOKUP($D230,{"PH","Provincial Hospital (H2)";"DH","District Hospital (H3)";"RH","Regional / National Hospital (H1)"},2,0),
        $D230
      ),
      'Tools &amp; Targets_Guideline'!$C$53:$I$53,
      0
    )
  ),
0))</f>
        <v/>
      </c>
      <c r="M230" s="105"/>
      <c r="N230" s="119" t="str">
        <f t="array" ref="N230">IF(OR($B230="",$D230=""),"",
IFERROR(
  INDEX(
    'Tools &amp; Targets_Guideline'!$C$54:$I$269,
    MATCH(
      1,
      ('Tools &amp; Targets_Guideline'!$A$54:$A$269=$B230)*
      ('Tools &amp; Targets_Guideline'!$B$54:$B$269="PNC"),
      0
    ),
    MATCH(
      _xludf.IFNA(
        VLOOKUP($D230,{"PH","Provincial Hospital (H2)";"DH","District Hospital (H3)";"RH","Regional / National Hospital (H1)"},2,0),
        $D230
      ),
      'Tools &amp; Targets_Guideline'!$C$53:$I$53,
      0
    )
  ),
0))</f>
        <v/>
      </c>
      <c r="O230" s="105"/>
      <c r="P230" s="119" t="str">
        <f t="array" ref="P230">IF(OR($B230="",$D230=""),"",
IFERROR(
  INDEX(
    'Tools &amp; Targets_Guideline'!$C$54:$I$269,
    MATCH(
      1,
      ('Tools &amp; Targets_Guideline'!$A$54:$A$269=$B230)*
      ('Tools &amp; Targets_Guideline'!$B$54:$B$269="Delivery"),
      0
    ),
    MATCH(
      _xludf.IFNA(
        VLOOKUP($D230,{"PH","Provincial Hospital (H2)";"DH","District Hospital (H3)";"RH","Regional / National Hospital (H1)"},2,0),
        $D230
      ),
      'Tools &amp; Targets_Guideline'!$C$53:$I$53,
      0
    )
  ),
0))</f>
        <v/>
      </c>
      <c r="Q230" s="105"/>
      <c r="R230" s="119" t="str">
        <f t="array" ref="R230">IF(OR($B230="",$D230=""),"",
IFERROR(
  INDEX(
    'Tools &amp; Targets_Guideline'!$C$54:$I$269,
    MATCH(
      1,
      ('Tools &amp; Targets_Guideline'!$A$54:$A$269=$B230)*
      ('Tools &amp; Targets_Guideline'!$B$54:$B$269="TT"),
      0
    ),
    MATCH(
      _xludf.IFNA(
        VLOOKUP($D230,{"PH","Provincial Hospital (H2)";"DH","District Hospital (H3)";"RH","Regional / National Hospital (H1)"},2,0),
        $D230
      ),
      'Tools &amp; Targets_Guideline'!$C$53:$I$53,
      0
    )
  ),
0))</f>
        <v/>
      </c>
      <c r="S230" s="105"/>
      <c r="T230" s="102"/>
      <c r="U230" s="106"/>
      <c r="V230" s="102" t="str">
        <f t="shared" si="1"/>
        <v/>
      </c>
      <c r="W230" s="102"/>
      <c r="X230" s="102"/>
      <c r="Y230" s="119" t="str">
        <f t="array" ref="Y230">IF(OR($B230="",$D230=""),"",
IFERROR(
  INDEX(
    'Tools &amp; Targets_Guideline'!$C$54:$I$269,
    MATCH(
      1,
      ('Tools &amp; Targets_Guideline'!$A$54:$A$269=$B230)*
      ('Tools &amp; Targets_Guideline'!$B$54:$B$269="GM"),
      0
    ),
    MATCH(
      _xludf.IFNA(
        VLOOKUP($D230,{"PH","Provincial Hospital (H2)";"DH","District Hospital (H3)";"RH","Regional / National Hospital (H1)"},2,0),
        $D230
      ),
      'Tools &amp; Targets_Guideline'!$C$53:$I$53,
      0
    )
  ),
0))</f>
        <v/>
      </c>
      <c r="Z230" s="105"/>
      <c r="AA230" s="119" t="str">
        <f t="array" ref="AA230">IF(OR($B230="",$D230=""),"",
IFERROR(
  INDEX(
    'Tools &amp; Targets_Guideline'!$C$54:$I$269,
    MATCH(
      1,
      ('Tools &amp; Targets_Guideline'!$A$54:$A$269=$B230)*
      ('Tools &amp; Targets_Guideline'!$B$54:$B$269="Penta"),
      0
    ),
    MATCH(
      _xludf.IFNA(
        VLOOKUP($D230,{"PH","Provincial Hospital (H2)";"DH","District Hospital (H3)";"RH","Regional / National Hospital (H1)"},2,0),
        $D230
      ),
      'Tools &amp; Targets_Guideline'!$C$53:$I$53,
      0
    )
  ),
0))</f>
        <v/>
      </c>
      <c r="AB230" s="105"/>
      <c r="AC230" s="119" t="str">
        <f t="array" ref="AC230">IF(OR($B230="",$D230=""),"",
IFERROR(
  INDEX(
    'Tools &amp; Targets_Guideline'!$C$54:$I$269,
    MATCH(
      1,
      ('Tools &amp; Targets_Guideline'!$A$54:$A$269=$B230)*
      ('Tools &amp; Targets_Guideline'!$B$54:$B$269="TB"),
      0
    ),
    MATCH(
      _xludf.IFNA(
        VLOOKUP($D230,{"PH","Provincial Hospital (H2)";"DH","District Hospital (H3)";"RH","Regional / National Hospital (H1)"},2,0),
        $D230
      ),
      'Tools &amp; Targets_Guideline'!$C$53:$I$53,
      0
    )
  ),
0))</f>
        <v/>
      </c>
      <c r="AD230" s="105"/>
      <c r="AE230" s="119" t="str">
        <f t="array" ref="AE230">IF(OR($B230="",$D230=""),"",
IFERROR(
  INDEX(
    'Tools &amp; Targets_Guideline'!$C$54:$I$269,
    MATCH(
      1,
      ('Tools &amp; Targets_Guideline'!$A$54:$A$269=$B230)*
      ('Tools &amp; Targets_Guideline'!$B$54:$B$269="U5 Morbidity"),
      0
    ),
    MATCH(
      _xludf.IFNA(
        VLOOKUP($D230,{"PH","Provincial Hospital (H2)";"DH","District Hospital (H3)";"RH","Regional / National Hospital (H1)"},2,0),
        $D230
      ),
      'Tools &amp; Targets_Guideline'!$C$53:$I$53,
      0
    )
  ),
0))</f>
        <v/>
      </c>
      <c r="AF230" s="105"/>
      <c r="AG230" s="119" t="str">
        <f t="array" ref="AG230">IF(OR($B230="",$D230=""),"",
IFERROR(
  INDEX(
    'Tools &amp; Targets_Guideline'!$C$54:$I$269,
    MATCH(
      1,
      ('Tools &amp; Targets_Guideline'!$A$54:$A$269=$B230)*
      ('Tools &amp; Targets_Guideline'!$B$54:$B$269="C-Section"),
      0
    ),
    MATCH(
      _xludf.IFNA(
        VLOOKUP($D230,{"PH","Provincial Hospital (H2)";"DH","District Hospital (H3)";"RH","Regional / National Hospital (H1)"},2,0),
        $D230
      ),
      'Tools &amp; Targets_Guideline'!$C$53:$I$53,
      0
    )
  ),
0))</f>
        <v/>
      </c>
      <c r="AH230" s="105" t="str">
        <f>IF(A230&lt;&gt;"",COUNTIFS('QA Log'!D:D,A230,'QA Log'!M:M,"QQC",'QA Log'!L:L,"2. Hygiene and Sterilization",'QA Log'!Z:Z,"Approved"),"")</f>
        <v/>
      </c>
      <c r="AI230" s="102"/>
      <c r="AJ230" s="102"/>
      <c r="AK230" s="103" t="str">
        <f t="shared" si="2"/>
        <v/>
      </c>
      <c r="AL230" s="102"/>
      <c r="AM230" s="102"/>
      <c r="AN230" s="102"/>
      <c r="AO230" s="106"/>
      <c r="AP230" s="103"/>
      <c r="AQ230" s="102"/>
      <c r="AR230" s="102"/>
      <c r="AS230" s="102"/>
      <c r="AT230" s="107"/>
      <c r="AU230" s="102" t="str">
        <f t="shared" si="3"/>
        <v/>
      </c>
      <c r="AV230" s="102" t="str">
        <f t="shared" si="4"/>
        <v/>
      </c>
      <c r="AW230" s="102" t="str">
        <f t="shared" si="5"/>
        <v/>
      </c>
      <c r="AX230" s="102" t="str">
        <f t="shared" si="6"/>
        <v/>
      </c>
      <c r="AY230" s="107" t="str">
        <f t="shared" si="7"/>
        <v/>
      </c>
      <c r="AZ230" s="108" t="str">
        <f t="shared" si="8"/>
        <v/>
      </c>
      <c r="BA230" s="108" t="str">
        <f t="shared" si="9"/>
        <v/>
      </c>
      <c r="BB230" s="109" t="str">
        <f t="shared" si="10"/>
        <v/>
      </c>
      <c r="BC230" s="108" t="str">
        <f t="shared" si="11"/>
        <v/>
      </c>
      <c r="BD230" s="108" t="str">
        <f t="shared" si="12"/>
        <v/>
      </c>
      <c r="BE230" s="109" t="str">
        <f t="shared" si="13"/>
        <v/>
      </c>
      <c r="BF230" s="110" t="str">
        <f t="shared" si="14"/>
        <v/>
      </c>
      <c r="BG230" s="111"/>
    </row>
    <row r="231" spans="1:59" ht="12.75">
      <c r="A231" s="101"/>
      <c r="B231" s="102"/>
      <c r="C231" s="102" t="e">
        <f t="array" aca="1" ref="C231" ca="1">_xludf.XLOOKUP(A231,'QA Log'!D:D,'QA Log'!F:F,"")</f>
        <v>#NAME?</v>
      </c>
      <c r="D231" s="102"/>
      <c r="E231" s="102" t="e">
        <f t="array" aca="1" ref="E231" ca="1">_xludf.XLOOKUP(A231,'QA Log'!D:D,'QA Log'!G:G,"")</f>
        <v>#NAME?</v>
      </c>
      <c r="F231" s="103"/>
      <c r="G231" s="104"/>
      <c r="H231" s="104"/>
      <c r="I231" s="103" t="str">
        <f t="shared" si="0"/>
        <v/>
      </c>
      <c r="J231" s="102"/>
      <c r="K231" s="102"/>
      <c r="L231" s="119" t="str">
        <f t="array" ref="L231">IF(OR($B231="",$D231=""),"",
IFERROR(
  INDEX(
    'Tools &amp; Targets_Guideline'!$C$54:$I$269,
    MATCH(
      1,
      ('Tools &amp; Targets_Guideline'!$A$54:$A$269=$B231)*
      ('Tools &amp; Targets_Guideline'!$B$54:$B$269="ANC"),
      0
    ),
    MATCH(
      _xludf.IFNA(
        VLOOKUP($D231,{"PH","Provincial Hospital (H2)";"DH","District Hospital (H3)";"RH","Regional / National Hospital (H1)"},2,0),
        $D231
      ),
      'Tools &amp; Targets_Guideline'!$C$53:$I$53,
      0
    )
  ),
0))</f>
        <v/>
      </c>
      <c r="M231" s="105"/>
      <c r="N231" s="119" t="str">
        <f t="array" ref="N231">IF(OR($B231="",$D231=""),"",
IFERROR(
  INDEX(
    'Tools &amp; Targets_Guideline'!$C$54:$I$269,
    MATCH(
      1,
      ('Tools &amp; Targets_Guideline'!$A$54:$A$269=$B231)*
      ('Tools &amp; Targets_Guideline'!$B$54:$B$269="PNC"),
      0
    ),
    MATCH(
      _xludf.IFNA(
        VLOOKUP($D231,{"PH","Provincial Hospital (H2)";"DH","District Hospital (H3)";"RH","Regional / National Hospital (H1)"},2,0),
        $D231
      ),
      'Tools &amp; Targets_Guideline'!$C$53:$I$53,
      0
    )
  ),
0))</f>
        <v/>
      </c>
      <c r="O231" s="105"/>
      <c r="P231" s="119" t="str">
        <f t="array" ref="P231">IF(OR($B231="",$D231=""),"",
IFERROR(
  INDEX(
    'Tools &amp; Targets_Guideline'!$C$54:$I$269,
    MATCH(
      1,
      ('Tools &amp; Targets_Guideline'!$A$54:$A$269=$B231)*
      ('Tools &amp; Targets_Guideline'!$B$54:$B$269="Delivery"),
      0
    ),
    MATCH(
      _xludf.IFNA(
        VLOOKUP($D231,{"PH","Provincial Hospital (H2)";"DH","District Hospital (H3)";"RH","Regional / National Hospital (H1)"},2,0),
        $D231
      ),
      'Tools &amp; Targets_Guideline'!$C$53:$I$53,
      0
    )
  ),
0))</f>
        <v/>
      </c>
      <c r="Q231" s="105"/>
      <c r="R231" s="119" t="str">
        <f t="array" ref="R231">IF(OR($B231="",$D231=""),"",
IFERROR(
  INDEX(
    'Tools &amp; Targets_Guideline'!$C$54:$I$269,
    MATCH(
      1,
      ('Tools &amp; Targets_Guideline'!$A$54:$A$269=$B231)*
      ('Tools &amp; Targets_Guideline'!$B$54:$B$269="TT"),
      0
    ),
    MATCH(
      _xludf.IFNA(
        VLOOKUP($D231,{"PH","Provincial Hospital (H2)";"DH","District Hospital (H3)";"RH","Regional / National Hospital (H1)"},2,0),
        $D231
      ),
      'Tools &amp; Targets_Guideline'!$C$53:$I$53,
      0
    )
  ),
0))</f>
        <v/>
      </c>
      <c r="S231" s="105"/>
      <c r="T231" s="102"/>
      <c r="U231" s="106"/>
      <c r="V231" s="102" t="str">
        <f t="shared" si="1"/>
        <v/>
      </c>
      <c r="W231" s="102"/>
      <c r="X231" s="102"/>
      <c r="Y231" s="119" t="str">
        <f t="array" ref="Y231">IF(OR($B231="",$D231=""),"",
IFERROR(
  INDEX(
    'Tools &amp; Targets_Guideline'!$C$54:$I$269,
    MATCH(
      1,
      ('Tools &amp; Targets_Guideline'!$A$54:$A$269=$B231)*
      ('Tools &amp; Targets_Guideline'!$B$54:$B$269="GM"),
      0
    ),
    MATCH(
      _xludf.IFNA(
        VLOOKUP($D231,{"PH","Provincial Hospital (H2)";"DH","District Hospital (H3)";"RH","Regional / National Hospital (H1)"},2,0),
        $D231
      ),
      'Tools &amp; Targets_Guideline'!$C$53:$I$53,
      0
    )
  ),
0))</f>
        <v/>
      </c>
      <c r="Z231" s="105"/>
      <c r="AA231" s="119" t="str">
        <f t="array" ref="AA231">IF(OR($B231="",$D231=""),"",
IFERROR(
  INDEX(
    'Tools &amp; Targets_Guideline'!$C$54:$I$269,
    MATCH(
      1,
      ('Tools &amp; Targets_Guideline'!$A$54:$A$269=$B231)*
      ('Tools &amp; Targets_Guideline'!$B$54:$B$269="Penta"),
      0
    ),
    MATCH(
      _xludf.IFNA(
        VLOOKUP($D231,{"PH","Provincial Hospital (H2)";"DH","District Hospital (H3)";"RH","Regional / National Hospital (H1)"},2,0),
        $D231
      ),
      'Tools &amp; Targets_Guideline'!$C$53:$I$53,
      0
    )
  ),
0))</f>
        <v/>
      </c>
      <c r="AB231" s="105"/>
      <c r="AC231" s="119" t="str">
        <f t="array" ref="AC231">IF(OR($B231="",$D231=""),"",
IFERROR(
  INDEX(
    'Tools &amp; Targets_Guideline'!$C$54:$I$269,
    MATCH(
      1,
      ('Tools &amp; Targets_Guideline'!$A$54:$A$269=$B231)*
      ('Tools &amp; Targets_Guideline'!$B$54:$B$269="TB"),
      0
    ),
    MATCH(
      _xludf.IFNA(
        VLOOKUP($D231,{"PH","Provincial Hospital (H2)";"DH","District Hospital (H3)";"RH","Regional / National Hospital (H1)"},2,0),
        $D231
      ),
      'Tools &amp; Targets_Guideline'!$C$53:$I$53,
      0
    )
  ),
0))</f>
        <v/>
      </c>
      <c r="AD231" s="105"/>
      <c r="AE231" s="119" t="str">
        <f t="array" ref="AE231">IF(OR($B231="",$D231=""),"",
IFERROR(
  INDEX(
    'Tools &amp; Targets_Guideline'!$C$54:$I$269,
    MATCH(
      1,
      ('Tools &amp; Targets_Guideline'!$A$54:$A$269=$B231)*
      ('Tools &amp; Targets_Guideline'!$B$54:$B$269="U5 Morbidity"),
      0
    ),
    MATCH(
      _xludf.IFNA(
        VLOOKUP($D231,{"PH","Provincial Hospital (H2)";"DH","District Hospital (H3)";"RH","Regional / National Hospital (H1)"},2,0),
        $D231
      ),
      'Tools &amp; Targets_Guideline'!$C$53:$I$53,
      0
    )
  ),
0))</f>
        <v/>
      </c>
      <c r="AF231" s="105"/>
      <c r="AG231" s="119" t="str">
        <f t="array" ref="AG231">IF(OR($B231="",$D231=""),"",
IFERROR(
  INDEX(
    'Tools &amp; Targets_Guideline'!$C$54:$I$269,
    MATCH(
      1,
      ('Tools &amp; Targets_Guideline'!$A$54:$A$269=$B231)*
      ('Tools &amp; Targets_Guideline'!$B$54:$B$269="C-Section"),
      0
    ),
    MATCH(
      _xludf.IFNA(
        VLOOKUP($D231,{"PH","Provincial Hospital (H2)";"DH","District Hospital (H3)";"RH","Regional / National Hospital (H1)"},2,0),
        $D231
      ),
      'Tools &amp; Targets_Guideline'!$C$53:$I$53,
      0
    )
  ),
0))</f>
        <v/>
      </c>
      <c r="AH231" s="105" t="str">
        <f>IF(A231&lt;&gt;"",COUNTIFS('QA Log'!D:D,A231,'QA Log'!M:M,"QQC",'QA Log'!L:L,"2. Hygiene and Sterilization",'QA Log'!Z:Z,"Approved"),"")</f>
        <v/>
      </c>
      <c r="AI231" s="102"/>
      <c r="AJ231" s="102"/>
      <c r="AK231" s="103" t="str">
        <f t="shared" si="2"/>
        <v/>
      </c>
      <c r="AL231" s="102"/>
      <c r="AM231" s="102"/>
      <c r="AN231" s="102"/>
      <c r="AO231" s="106"/>
      <c r="AP231" s="103"/>
      <c r="AQ231" s="102"/>
      <c r="AR231" s="102"/>
      <c r="AS231" s="102"/>
      <c r="AT231" s="107"/>
      <c r="AU231" s="102" t="str">
        <f t="shared" si="3"/>
        <v/>
      </c>
      <c r="AV231" s="102" t="str">
        <f t="shared" si="4"/>
        <v/>
      </c>
      <c r="AW231" s="102" t="str">
        <f t="shared" si="5"/>
        <v/>
      </c>
      <c r="AX231" s="102" t="str">
        <f t="shared" si="6"/>
        <v/>
      </c>
      <c r="AY231" s="107" t="str">
        <f t="shared" si="7"/>
        <v/>
      </c>
      <c r="AZ231" s="108" t="str">
        <f t="shared" si="8"/>
        <v/>
      </c>
      <c r="BA231" s="108" t="str">
        <f t="shared" si="9"/>
        <v/>
      </c>
      <c r="BB231" s="109" t="str">
        <f t="shared" si="10"/>
        <v/>
      </c>
      <c r="BC231" s="108" t="str">
        <f t="shared" si="11"/>
        <v/>
      </c>
      <c r="BD231" s="108" t="str">
        <f t="shared" si="12"/>
        <v/>
      </c>
      <c r="BE231" s="109" t="str">
        <f t="shared" si="13"/>
        <v/>
      </c>
      <c r="BF231" s="110" t="str">
        <f t="shared" si="14"/>
        <v/>
      </c>
      <c r="BG231" s="111"/>
    </row>
    <row r="232" spans="1:59" ht="12.75">
      <c r="A232" s="101"/>
      <c r="B232" s="102"/>
      <c r="C232" s="102" t="e">
        <f t="array" aca="1" ref="C232" ca="1">_xludf.XLOOKUP(A232,'QA Log'!D:D,'QA Log'!F:F,"")</f>
        <v>#NAME?</v>
      </c>
      <c r="D232" s="102"/>
      <c r="E232" s="102" t="e">
        <f t="array" aca="1" ref="E232" ca="1">_xludf.XLOOKUP(A232,'QA Log'!D:D,'QA Log'!G:G,"")</f>
        <v>#NAME?</v>
      </c>
      <c r="F232" s="103"/>
      <c r="G232" s="104"/>
      <c r="H232" s="104"/>
      <c r="I232" s="103" t="str">
        <f t="shared" si="0"/>
        <v/>
      </c>
      <c r="J232" s="102"/>
      <c r="K232" s="102"/>
      <c r="L232" s="119" t="str">
        <f t="array" ref="L232">IF(OR($B232="",$D232=""),"",
IFERROR(
  INDEX(
    'Tools &amp; Targets_Guideline'!$C$54:$I$269,
    MATCH(
      1,
      ('Tools &amp; Targets_Guideline'!$A$54:$A$269=$B232)*
      ('Tools &amp; Targets_Guideline'!$B$54:$B$269="ANC"),
      0
    ),
    MATCH(
      _xludf.IFNA(
        VLOOKUP($D232,{"PH","Provincial Hospital (H2)";"DH","District Hospital (H3)";"RH","Regional / National Hospital (H1)"},2,0),
        $D232
      ),
      'Tools &amp; Targets_Guideline'!$C$53:$I$53,
      0
    )
  ),
0))</f>
        <v/>
      </c>
      <c r="M232" s="105"/>
      <c r="N232" s="119" t="str">
        <f t="array" ref="N232">IF(OR($B232="",$D232=""),"",
IFERROR(
  INDEX(
    'Tools &amp; Targets_Guideline'!$C$54:$I$269,
    MATCH(
      1,
      ('Tools &amp; Targets_Guideline'!$A$54:$A$269=$B232)*
      ('Tools &amp; Targets_Guideline'!$B$54:$B$269="PNC"),
      0
    ),
    MATCH(
      _xludf.IFNA(
        VLOOKUP($D232,{"PH","Provincial Hospital (H2)";"DH","District Hospital (H3)";"RH","Regional / National Hospital (H1)"},2,0),
        $D232
      ),
      'Tools &amp; Targets_Guideline'!$C$53:$I$53,
      0
    )
  ),
0))</f>
        <v/>
      </c>
      <c r="O232" s="105"/>
      <c r="P232" s="119" t="str">
        <f t="array" ref="P232">IF(OR($B232="",$D232=""),"",
IFERROR(
  INDEX(
    'Tools &amp; Targets_Guideline'!$C$54:$I$269,
    MATCH(
      1,
      ('Tools &amp; Targets_Guideline'!$A$54:$A$269=$B232)*
      ('Tools &amp; Targets_Guideline'!$B$54:$B$269="Delivery"),
      0
    ),
    MATCH(
      _xludf.IFNA(
        VLOOKUP($D232,{"PH","Provincial Hospital (H2)";"DH","District Hospital (H3)";"RH","Regional / National Hospital (H1)"},2,0),
        $D232
      ),
      'Tools &amp; Targets_Guideline'!$C$53:$I$53,
      0
    )
  ),
0))</f>
        <v/>
      </c>
      <c r="Q232" s="105"/>
      <c r="R232" s="119" t="str">
        <f t="array" ref="R232">IF(OR($B232="",$D232=""),"",
IFERROR(
  INDEX(
    'Tools &amp; Targets_Guideline'!$C$54:$I$269,
    MATCH(
      1,
      ('Tools &amp; Targets_Guideline'!$A$54:$A$269=$B232)*
      ('Tools &amp; Targets_Guideline'!$B$54:$B$269="TT"),
      0
    ),
    MATCH(
      _xludf.IFNA(
        VLOOKUP($D232,{"PH","Provincial Hospital (H2)";"DH","District Hospital (H3)";"RH","Regional / National Hospital (H1)"},2,0),
        $D232
      ),
      'Tools &amp; Targets_Guideline'!$C$53:$I$53,
      0
    )
  ),
0))</f>
        <v/>
      </c>
      <c r="S232" s="105"/>
      <c r="T232" s="102"/>
      <c r="U232" s="106"/>
      <c r="V232" s="102" t="str">
        <f t="shared" si="1"/>
        <v/>
      </c>
      <c r="W232" s="102"/>
      <c r="X232" s="102"/>
      <c r="Y232" s="119" t="str">
        <f t="array" ref="Y232">IF(OR($B232="",$D232=""),"",
IFERROR(
  INDEX(
    'Tools &amp; Targets_Guideline'!$C$54:$I$269,
    MATCH(
      1,
      ('Tools &amp; Targets_Guideline'!$A$54:$A$269=$B232)*
      ('Tools &amp; Targets_Guideline'!$B$54:$B$269="GM"),
      0
    ),
    MATCH(
      _xludf.IFNA(
        VLOOKUP($D232,{"PH","Provincial Hospital (H2)";"DH","District Hospital (H3)";"RH","Regional / National Hospital (H1)"},2,0),
        $D232
      ),
      'Tools &amp; Targets_Guideline'!$C$53:$I$53,
      0
    )
  ),
0))</f>
        <v/>
      </c>
      <c r="Z232" s="105"/>
      <c r="AA232" s="119" t="str">
        <f t="array" ref="AA232">IF(OR($B232="",$D232=""),"",
IFERROR(
  INDEX(
    'Tools &amp; Targets_Guideline'!$C$54:$I$269,
    MATCH(
      1,
      ('Tools &amp; Targets_Guideline'!$A$54:$A$269=$B232)*
      ('Tools &amp; Targets_Guideline'!$B$54:$B$269="Penta"),
      0
    ),
    MATCH(
      _xludf.IFNA(
        VLOOKUP($D232,{"PH","Provincial Hospital (H2)";"DH","District Hospital (H3)";"RH","Regional / National Hospital (H1)"},2,0),
        $D232
      ),
      'Tools &amp; Targets_Guideline'!$C$53:$I$53,
      0
    )
  ),
0))</f>
        <v/>
      </c>
      <c r="AB232" s="105"/>
      <c r="AC232" s="119" t="str">
        <f t="array" ref="AC232">IF(OR($B232="",$D232=""),"",
IFERROR(
  INDEX(
    'Tools &amp; Targets_Guideline'!$C$54:$I$269,
    MATCH(
      1,
      ('Tools &amp; Targets_Guideline'!$A$54:$A$269=$B232)*
      ('Tools &amp; Targets_Guideline'!$B$54:$B$269="TB"),
      0
    ),
    MATCH(
      _xludf.IFNA(
        VLOOKUP($D232,{"PH","Provincial Hospital (H2)";"DH","District Hospital (H3)";"RH","Regional / National Hospital (H1)"},2,0),
        $D232
      ),
      'Tools &amp; Targets_Guideline'!$C$53:$I$53,
      0
    )
  ),
0))</f>
        <v/>
      </c>
      <c r="AD232" s="105"/>
      <c r="AE232" s="119" t="str">
        <f t="array" ref="AE232">IF(OR($B232="",$D232=""),"",
IFERROR(
  INDEX(
    'Tools &amp; Targets_Guideline'!$C$54:$I$269,
    MATCH(
      1,
      ('Tools &amp; Targets_Guideline'!$A$54:$A$269=$B232)*
      ('Tools &amp; Targets_Guideline'!$B$54:$B$269="U5 Morbidity"),
      0
    ),
    MATCH(
      _xludf.IFNA(
        VLOOKUP($D232,{"PH","Provincial Hospital (H2)";"DH","District Hospital (H3)";"RH","Regional / National Hospital (H1)"},2,0),
        $D232
      ),
      'Tools &amp; Targets_Guideline'!$C$53:$I$53,
      0
    )
  ),
0))</f>
        <v/>
      </c>
      <c r="AF232" s="105"/>
      <c r="AG232" s="119" t="str">
        <f t="array" ref="AG232">IF(OR($B232="",$D232=""),"",
IFERROR(
  INDEX(
    'Tools &amp; Targets_Guideline'!$C$54:$I$269,
    MATCH(
      1,
      ('Tools &amp; Targets_Guideline'!$A$54:$A$269=$B232)*
      ('Tools &amp; Targets_Guideline'!$B$54:$B$269="C-Section"),
      0
    ),
    MATCH(
      _xludf.IFNA(
        VLOOKUP($D232,{"PH","Provincial Hospital (H2)";"DH","District Hospital (H3)";"RH","Regional / National Hospital (H1)"},2,0),
        $D232
      ),
      'Tools &amp; Targets_Guideline'!$C$53:$I$53,
      0
    )
  ),
0))</f>
        <v/>
      </c>
      <c r="AH232" s="105" t="str">
        <f>IF(A232&lt;&gt;"",COUNTIFS('QA Log'!D:D,A232,'QA Log'!M:M,"QQC",'QA Log'!L:L,"2. Hygiene and Sterilization",'QA Log'!Z:Z,"Approved"),"")</f>
        <v/>
      </c>
      <c r="AI232" s="102"/>
      <c r="AJ232" s="102"/>
      <c r="AK232" s="103" t="str">
        <f t="shared" si="2"/>
        <v/>
      </c>
      <c r="AL232" s="102"/>
      <c r="AM232" s="102"/>
      <c r="AN232" s="102"/>
      <c r="AO232" s="106"/>
      <c r="AP232" s="103"/>
      <c r="AQ232" s="102"/>
      <c r="AR232" s="102"/>
      <c r="AS232" s="102"/>
      <c r="AT232" s="107"/>
      <c r="AU232" s="102" t="str">
        <f t="shared" si="3"/>
        <v/>
      </c>
      <c r="AV232" s="102" t="str">
        <f t="shared" si="4"/>
        <v/>
      </c>
      <c r="AW232" s="102" t="str">
        <f t="shared" si="5"/>
        <v/>
      </c>
      <c r="AX232" s="102" t="str">
        <f t="shared" si="6"/>
        <v/>
      </c>
      <c r="AY232" s="107" t="str">
        <f t="shared" si="7"/>
        <v/>
      </c>
      <c r="AZ232" s="108" t="str">
        <f t="shared" si="8"/>
        <v/>
      </c>
      <c r="BA232" s="108" t="str">
        <f t="shared" si="9"/>
        <v/>
      </c>
      <c r="BB232" s="109" t="str">
        <f t="shared" si="10"/>
        <v/>
      </c>
      <c r="BC232" s="108" t="str">
        <f t="shared" si="11"/>
        <v/>
      </c>
      <c r="BD232" s="108" t="str">
        <f t="shared" si="12"/>
        <v/>
      </c>
      <c r="BE232" s="109" t="str">
        <f t="shared" si="13"/>
        <v/>
      </c>
      <c r="BF232" s="110" t="str">
        <f t="shared" si="14"/>
        <v/>
      </c>
      <c r="BG232" s="111"/>
    </row>
    <row r="233" spans="1:59" ht="12.75">
      <c r="A233" s="101"/>
      <c r="B233" s="102"/>
      <c r="C233" s="102" t="e">
        <f t="array" aca="1" ref="C233" ca="1">_xludf.XLOOKUP(A233,'QA Log'!D:D,'QA Log'!F:F,"")</f>
        <v>#NAME?</v>
      </c>
      <c r="D233" s="102"/>
      <c r="E233" s="102" t="e">
        <f t="array" aca="1" ref="E233" ca="1">_xludf.XLOOKUP(A233,'QA Log'!D:D,'QA Log'!G:G,"")</f>
        <v>#NAME?</v>
      </c>
      <c r="F233" s="103"/>
      <c r="G233" s="104"/>
      <c r="H233" s="104"/>
      <c r="I233" s="103" t="str">
        <f t="shared" si="0"/>
        <v/>
      </c>
      <c r="J233" s="102"/>
      <c r="K233" s="102"/>
      <c r="L233" s="119" t="str">
        <f t="array" ref="L233">IF(OR($B233="",$D233=""),"",
IFERROR(
  INDEX(
    'Tools &amp; Targets_Guideline'!$C$54:$I$269,
    MATCH(
      1,
      ('Tools &amp; Targets_Guideline'!$A$54:$A$269=$B233)*
      ('Tools &amp; Targets_Guideline'!$B$54:$B$269="ANC"),
      0
    ),
    MATCH(
      _xludf.IFNA(
        VLOOKUP($D233,{"PH","Provincial Hospital (H2)";"DH","District Hospital (H3)";"RH","Regional / National Hospital (H1)"},2,0),
        $D233
      ),
      'Tools &amp; Targets_Guideline'!$C$53:$I$53,
      0
    )
  ),
0))</f>
        <v/>
      </c>
      <c r="M233" s="105"/>
      <c r="N233" s="119" t="str">
        <f t="array" ref="N233">IF(OR($B233="",$D233=""),"",
IFERROR(
  INDEX(
    'Tools &amp; Targets_Guideline'!$C$54:$I$269,
    MATCH(
      1,
      ('Tools &amp; Targets_Guideline'!$A$54:$A$269=$B233)*
      ('Tools &amp; Targets_Guideline'!$B$54:$B$269="PNC"),
      0
    ),
    MATCH(
      _xludf.IFNA(
        VLOOKUP($D233,{"PH","Provincial Hospital (H2)";"DH","District Hospital (H3)";"RH","Regional / National Hospital (H1)"},2,0),
        $D233
      ),
      'Tools &amp; Targets_Guideline'!$C$53:$I$53,
      0
    )
  ),
0))</f>
        <v/>
      </c>
      <c r="O233" s="105"/>
      <c r="P233" s="119" t="str">
        <f t="array" ref="P233">IF(OR($B233="",$D233=""),"",
IFERROR(
  INDEX(
    'Tools &amp; Targets_Guideline'!$C$54:$I$269,
    MATCH(
      1,
      ('Tools &amp; Targets_Guideline'!$A$54:$A$269=$B233)*
      ('Tools &amp; Targets_Guideline'!$B$54:$B$269="Delivery"),
      0
    ),
    MATCH(
      _xludf.IFNA(
        VLOOKUP($D233,{"PH","Provincial Hospital (H2)";"DH","District Hospital (H3)";"RH","Regional / National Hospital (H1)"},2,0),
        $D233
      ),
      'Tools &amp; Targets_Guideline'!$C$53:$I$53,
      0
    )
  ),
0))</f>
        <v/>
      </c>
      <c r="Q233" s="105"/>
      <c r="R233" s="119" t="str">
        <f t="array" ref="R233">IF(OR($B233="",$D233=""),"",
IFERROR(
  INDEX(
    'Tools &amp; Targets_Guideline'!$C$54:$I$269,
    MATCH(
      1,
      ('Tools &amp; Targets_Guideline'!$A$54:$A$269=$B233)*
      ('Tools &amp; Targets_Guideline'!$B$54:$B$269="TT"),
      0
    ),
    MATCH(
      _xludf.IFNA(
        VLOOKUP($D233,{"PH","Provincial Hospital (H2)";"DH","District Hospital (H3)";"RH","Regional / National Hospital (H1)"},2,0),
        $D233
      ),
      'Tools &amp; Targets_Guideline'!$C$53:$I$53,
      0
    )
  ),
0))</f>
        <v/>
      </c>
      <c r="S233" s="105"/>
      <c r="T233" s="102"/>
      <c r="U233" s="106"/>
      <c r="V233" s="102" t="str">
        <f t="shared" si="1"/>
        <v/>
      </c>
      <c r="W233" s="102"/>
      <c r="X233" s="102"/>
      <c r="Y233" s="119" t="str">
        <f t="array" ref="Y233">IF(OR($B233="",$D233=""),"",
IFERROR(
  INDEX(
    'Tools &amp; Targets_Guideline'!$C$54:$I$269,
    MATCH(
      1,
      ('Tools &amp; Targets_Guideline'!$A$54:$A$269=$B233)*
      ('Tools &amp; Targets_Guideline'!$B$54:$B$269="GM"),
      0
    ),
    MATCH(
      _xludf.IFNA(
        VLOOKUP($D233,{"PH","Provincial Hospital (H2)";"DH","District Hospital (H3)";"RH","Regional / National Hospital (H1)"},2,0),
        $D233
      ),
      'Tools &amp; Targets_Guideline'!$C$53:$I$53,
      0
    )
  ),
0))</f>
        <v/>
      </c>
      <c r="Z233" s="105"/>
      <c r="AA233" s="119" t="str">
        <f t="array" ref="AA233">IF(OR($B233="",$D233=""),"",
IFERROR(
  INDEX(
    'Tools &amp; Targets_Guideline'!$C$54:$I$269,
    MATCH(
      1,
      ('Tools &amp; Targets_Guideline'!$A$54:$A$269=$B233)*
      ('Tools &amp; Targets_Guideline'!$B$54:$B$269="Penta"),
      0
    ),
    MATCH(
      _xludf.IFNA(
        VLOOKUP($D233,{"PH","Provincial Hospital (H2)";"DH","District Hospital (H3)";"RH","Regional / National Hospital (H1)"},2,0),
        $D233
      ),
      'Tools &amp; Targets_Guideline'!$C$53:$I$53,
      0
    )
  ),
0))</f>
        <v/>
      </c>
      <c r="AB233" s="105"/>
      <c r="AC233" s="119" t="str">
        <f t="array" ref="AC233">IF(OR($B233="",$D233=""),"",
IFERROR(
  INDEX(
    'Tools &amp; Targets_Guideline'!$C$54:$I$269,
    MATCH(
      1,
      ('Tools &amp; Targets_Guideline'!$A$54:$A$269=$B233)*
      ('Tools &amp; Targets_Guideline'!$B$54:$B$269="TB"),
      0
    ),
    MATCH(
      _xludf.IFNA(
        VLOOKUP($D233,{"PH","Provincial Hospital (H2)";"DH","District Hospital (H3)";"RH","Regional / National Hospital (H1)"},2,0),
        $D233
      ),
      'Tools &amp; Targets_Guideline'!$C$53:$I$53,
      0
    )
  ),
0))</f>
        <v/>
      </c>
      <c r="AD233" s="105"/>
      <c r="AE233" s="119" t="str">
        <f t="array" ref="AE233">IF(OR($B233="",$D233=""),"",
IFERROR(
  INDEX(
    'Tools &amp; Targets_Guideline'!$C$54:$I$269,
    MATCH(
      1,
      ('Tools &amp; Targets_Guideline'!$A$54:$A$269=$B233)*
      ('Tools &amp; Targets_Guideline'!$B$54:$B$269="U5 Morbidity"),
      0
    ),
    MATCH(
      _xludf.IFNA(
        VLOOKUP($D233,{"PH","Provincial Hospital (H2)";"DH","District Hospital (H3)";"RH","Regional / National Hospital (H1)"},2,0),
        $D233
      ),
      'Tools &amp; Targets_Guideline'!$C$53:$I$53,
      0
    )
  ),
0))</f>
        <v/>
      </c>
      <c r="AF233" s="105"/>
      <c r="AG233" s="119" t="str">
        <f t="array" ref="AG233">IF(OR($B233="",$D233=""),"",
IFERROR(
  INDEX(
    'Tools &amp; Targets_Guideline'!$C$54:$I$269,
    MATCH(
      1,
      ('Tools &amp; Targets_Guideline'!$A$54:$A$269=$B233)*
      ('Tools &amp; Targets_Guideline'!$B$54:$B$269="C-Section"),
      0
    ),
    MATCH(
      _xludf.IFNA(
        VLOOKUP($D233,{"PH","Provincial Hospital (H2)";"DH","District Hospital (H3)";"RH","Regional / National Hospital (H1)"},2,0),
        $D233
      ),
      'Tools &amp; Targets_Guideline'!$C$53:$I$53,
      0
    )
  ),
0))</f>
        <v/>
      </c>
      <c r="AH233" s="105" t="str">
        <f>IF(A233&lt;&gt;"",COUNTIFS('QA Log'!D:D,A233,'QA Log'!M:M,"QQC",'QA Log'!L:L,"2. Hygiene and Sterilization",'QA Log'!Z:Z,"Approved"),"")</f>
        <v/>
      </c>
      <c r="AI233" s="102"/>
      <c r="AJ233" s="102"/>
      <c r="AK233" s="103" t="str">
        <f t="shared" si="2"/>
        <v/>
      </c>
      <c r="AL233" s="102"/>
      <c r="AM233" s="102"/>
      <c r="AN233" s="102"/>
      <c r="AO233" s="106"/>
      <c r="AP233" s="103"/>
      <c r="AQ233" s="102"/>
      <c r="AR233" s="102"/>
      <c r="AS233" s="102"/>
      <c r="AT233" s="107"/>
      <c r="AU233" s="102" t="str">
        <f t="shared" si="3"/>
        <v/>
      </c>
      <c r="AV233" s="102" t="str">
        <f t="shared" si="4"/>
        <v/>
      </c>
      <c r="AW233" s="102" t="str">
        <f t="shared" si="5"/>
        <v/>
      </c>
      <c r="AX233" s="102" t="str">
        <f t="shared" si="6"/>
        <v/>
      </c>
      <c r="AY233" s="107" t="str">
        <f t="shared" si="7"/>
        <v/>
      </c>
      <c r="AZ233" s="108" t="str">
        <f t="shared" si="8"/>
        <v/>
      </c>
      <c r="BA233" s="108" t="str">
        <f t="shared" si="9"/>
        <v/>
      </c>
      <c r="BB233" s="109" t="str">
        <f t="shared" si="10"/>
        <v/>
      </c>
      <c r="BC233" s="108" t="str">
        <f t="shared" si="11"/>
        <v/>
      </c>
      <c r="BD233" s="108" t="str">
        <f t="shared" si="12"/>
        <v/>
      </c>
      <c r="BE233" s="109" t="str">
        <f t="shared" si="13"/>
        <v/>
      </c>
      <c r="BF233" s="110" t="str">
        <f t="shared" si="14"/>
        <v/>
      </c>
      <c r="BG233" s="111"/>
    </row>
    <row r="234" spans="1:59" ht="12.75">
      <c r="A234" s="101"/>
      <c r="B234" s="102"/>
      <c r="C234" s="102" t="e">
        <f t="array" aca="1" ref="C234" ca="1">_xludf.XLOOKUP(A234,'QA Log'!D:D,'QA Log'!F:F,"")</f>
        <v>#NAME?</v>
      </c>
      <c r="D234" s="102"/>
      <c r="E234" s="102" t="e">
        <f t="array" aca="1" ref="E234" ca="1">_xludf.XLOOKUP(A234,'QA Log'!D:D,'QA Log'!G:G,"")</f>
        <v>#NAME?</v>
      </c>
      <c r="F234" s="103"/>
      <c r="G234" s="104"/>
      <c r="H234" s="104"/>
      <c r="I234" s="103" t="str">
        <f t="shared" si="0"/>
        <v/>
      </c>
      <c r="J234" s="102"/>
      <c r="K234" s="102"/>
      <c r="L234" s="119" t="str">
        <f t="array" ref="L234">IF(OR($B234="",$D234=""),"",
IFERROR(
  INDEX(
    'Tools &amp; Targets_Guideline'!$C$54:$I$269,
    MATCH(
      1,
      ('Tools &amp; Targets_Guideline'!$A$54:$A$269=$B234)*
      ('Tools &amp; Targets_Guideline'!$B$54:$B$269="ANC"),
      0
    ),
    MATCH(
      _xludf.IFNA(
        VLOOKUP($D234,{"PH","Provincial Hospital (H2)";"DH","District Hospital (H3)";"RH","Regional / National Hospital (H1)"},2,0),
        $D234
      ),
      'Tools &amp; Targets_Guideline'!$C$53:$I$53,
      0
    )
  ),
0))</f>
        <v/>
      </c>
      <c r="M234" s="105"/>
      <c r="N234" s="119" t="str">
        <f t="array" ref="N234">IF(OR($B234="",$D234=""),"",
IFERROR(
  INDEX(
    'Tools &amp; Targets_Guideline'!$C$54:$I$269,
    MATCH(
      1,
      ('Tools &amp; Targets_Guideline'!$A$54:$A$269=$B234)*
      ('Tools &amp; Targets_Guideline'!$B$54:$B$269="PNC"),
      0
    ),
    MATCH(
      _xludf.IFNA(
        VLOOKUP($D234,{"PH","Provincial Hospital (H2)";"DH","District Hospital (H3)";"RH","Regional / National Hospital (H1)"},2,0),
        $D234
      ),
      'Tools &amp; Targets_Guideline'!$C$53:$I$53,
      0
    )
  ),
0))</f>
        <v/>
      </c>
      <c r="O234" s="105"/>
      <c r="P234" s="119" t="str">
        <f t="array" ref="P234">IF(OR($B234="",$D234=""),"",
IFERROR(
  INDEX(
    'Tools &amp; Targets_Guideline'!$C$54:$I$269,
    MATCH(
      1,
      ('Tools &amp; Targets_Guideline'!$A$54:$A$269=$B234)*
      ('Tools &amp; Targets_Guideline'!$B$54:$B$269="Delivery"),
      0
    ),
    MATCH(
      _xludf.IFNA(
        VLOOKUP($D234,{"PH","Provincial Hospital (H2)";"DH","District Hospital (H3)";"RH","Regional / National Hospital (H1)"},2,0),
        $D234
      ),
      'Tools &amp; Targets_Guideline'!$C$53:$I$53,
      0
    )
  ),
0))</f>
        <v/>
      </c>
      <c r="Q234" s="105"/>
      <c r="R234" s="119" t="str">
        <f t="array" ref="R234">IF(OR($B234="",$D234=""),"",
IFERROR(
  INDEX(
    'Tools &amp; Targets_Guideline'!$C$54:$I$269,
    MATCH(
      1,
      ('Tools &amp; Targets_Guideline'!$A$54:$A$269=$B234)*
      ('Tools &amp; Targets_Guideline'!$B$54:$B$269="TT"),
      0
    ),
    MATCH(
      _xludf.IFNA(
        VLOOKUP($D234,{"PH","Provincial Hospital (H2)";"DH","District Hospital (H3)";"RH","Regional / National Hospital (H1)"},2,0),
        $D234
      ),
      'Tools &amp; Targets_Guideline'!$C$53:$I$53,
      0
    )
  ),
0))</f>
        <v/>
      </c>
      <c r="S234" s="105"/>
      <c r="T234" s="102"/>
      <c r="U234" s="106"/>
      <c r="V234" s="102" t="str">
        <f t="shared" si="1"/>
        <v/>
      </c>
      <c r="W234" s="102"/>
      <c r="X234" s="102"/>
      <c r="Y234" s="119" t="str">
        <f t="array" ref="Y234">IF(OR($B234="",$D234=""),"",
IFERROR(
  INDEX(
    'Tools &amp; Targets_Guideline'!$C$54:$I$269,
    MATCH(
      1,
      ('Tools &amp; Targets_Guideline'!$A$54:$A$269=$B234)*
      ('Tools &amp; Targets_Guideline'!$B$54:$B$269="GM"),
      0
    ),
    MATCH(
      _xludf.IFNA(
        VLOOKUP($D234,{"PH","Provincial Hospital (H2)";"DH","District Hospital (H3)";"RH","Regional / National Hospital (H1)"},2,0),
        $D234
      ),
      'Tools &amp; Targets_Guideline'!$C$53:$I$53,
      0
    )
  ),
0))</f>
        <v/>
      </c>
      <c r="Z234" s="105"/>
      <c r="AA234" s="119" t="str">
        <f t="array" ref="AA234">IF(OR($B234="",$D234=""),"",
IFERROR(
  INDEX(
    'Tools &amp; Targets_Guideline'!$C$54:$I$269,
    MATCH(
      1,
      ('Tools &amp; Targets_Guideline'!$A$54:$A$269=$B234)*
      ('Tools &amp; Targets_Guideline'!$B$54:$B$269="Penta"),
      0
    ),
    MATCH(
      _xludf.IFNA(
        VLOOKUP($D234,{"PH","Provincial Hospital (H2)";"DH","District Hospital (H3)";"RH","Regional / National Hospital (H1)"},2,0),
        $D234
      ),
      'Tools &amp; Targets_Guideline'!$C$53:$I$53,
      0
    )
  ),
0))</f>
        <v/>
      </c>
      <c r="AB234" s="105"/>
      <c r="AC234" s="119" t="str">
        <f t="array" ref="AC234">IF(OR($B234="",$D234=""),"",
IFERROR(
  INDEX(
    'Tools &amp; Targets_Guideline'!$C$54:$I$269,
    MATCH(
      1,
      ('Tools &amp; Targets_Guideline'!$A$54:$A$269=$B234)*
      ('Tools &amp; Targets_Guideline'!$B$54:$B$269="TB"),
      0
    ),
    MATCH(
      _xludf.IFNA(
        VLOOKUP($D234,{"PH","Provincial Hospital (H2)";"DH","District Hospital (H3)";"RH","Regional / National Hospital (H1)"},2,0),
        $D234
      ),
      'Tools &amp; Targets_Guideline'!$C$53:$I$53,
      0
    )
  ),
0))</f>
        <v/>
      </c>
      <c r="AD234" s="105"/>
      <c r="AE234" s="119" t="str">
        <f t="array" ref="AE234">IF(OR($B234="",$D234=""),"",
IFERROR(
  INDEX(
    'Tools &amp; Targets_Guideline'!$C$54:$I$269,
    MATCH(
      1,
      ('Tools &amp; Targets_Guideline'!$A$54:$A$269=$B234)*
      ('Tools &amp; Targets_Guideline'!$B$54:$B$269="U5 Morbidity"),
      0
    ),
    MATCH(
      _xludf.IFNA(
        VLOOKUP($D234,{"PH","Provincial Hospital (H2)";"DH","District Hospital (H3)";"RH","Regional / National Hospital (H1)"},2,0),
        $D234
      ),
      'Tools &amp; Targets_Guideline'!$C$53:$I$53,
      0
    )
  ),
0))</f>
        <v/>
      </c>
      <c r="AF234" s="105"/>
      <c r="AG234" s="119" t="str">
        <f t="array" ref="AG234">IF(OR($B234="",$D234=""),"",
IFERROR(
  INDEX(
    'Tools &amp; Targets_Guideline'!$C$54:$I$269,
    MATCH(
      1,
      ('Tools &amp; Targets_Guideline'!$A$54:$A$269=$B234)*
      ('Tools &amp; Targets_Guideline'!$B$54:$B$269="C-Section"),
      0
    ),
    MATCH(
      _xludf.IFNA(
        VLOOKUP($D234,{"PH","Provincial Hospital (H2)";"DH","District Hospital (H3)";"RH","Regional / National Hospital (H1)"},2,0),
        $D234
      ),
      'Tools &amp; Targets_Guideline'!$C$53:$I$53,
      0
    )
  ),
0))</f>
        <v/>
      </c>
      <c r="AH234" s="105" t="str">
        <f>IF(A234&lt;&gt;"",COUNTIFS('QA Log'!D:D,A234,'QA Log'!M:M,"QQC",'QA Log'!L:L,"2. Hygiene and Sterilization",'QA Log'!Z:Z,"Approved"),"")</f>
        <v/>
      </c>
      <c r="AI234" s="102"/>
      <c r="AJ234" s="102"/>
      <c r="AK234" s="103" t="str">
        <f t="shared" si="2"/>
        <v/>
      </c>
      <c r="AL234" s="102"/>
      <c r="AM234" s="102"/>
      <c r="AN234" s="102"/>
      <c r="AO234" s="106"/>
      <c r="AP234" s="103"/>
      <c r="AQ234" s="102"/>
      <c r="AR234" s="102"/>
      <c r="AS234" s="102"/>
      <c r="AT234" s="107"/>
      <c r="AU234" s="102" t="str">
        <f t="shared" si="3"/>
        <v/>
      </c>
      <c r="AV234" s="102" t="str">
        <f t="shared" si="4"/>
        <v/>
      </c>
      <c r="AW234" s="102" t="str">
        <f t="shared" si="5"/>
        <v/>
      </c>
      <c r="AX234" s="102" t="str">
        <f t="shared" si="6"/>
        <v/>
      </c>
      <c r="AY234" s="107" t="str">
        <f t="shared" si="7"/>
        <v/>
      </c>
      <c r="AZ234" s="108" t="str">
        <f t="shared" si="8"/>
        <v/>
      </c>
      <c r="BA234" s="108" t="str">
        <f t="shared" si="9"/>
        <v/>
      </c>
      <c r="BB234" s="109" t="str">
        <f t="shared" si="10"/>
        <v/>
      </c>
      <c r="BC234" s="108" t="str">
        <f t="shared" si="11"/>
        <v/>
      </c>
      <c r="BD234" s="108" t="str">
        <f t="shared" si="12"/>
        <v/>
      </c>
      <c r="BE234" s="109" t="str">
        <f t="shared" si="13"/>
        <v/>
      </c>
      <c r="BF234" s="110" t="str">
        <f t="shared" si="14"/>
        <v/>
      </c>
      <c r="BG234" s="111"/>
    </row>
    <row r="235" spans="1:59" ht="12.75">
      <c r="A235" s="101"/>
      <c r="B235" s="102"/>
      <c r="C235" s="102" t="e">
        <f t="array" aca="1" ref="C235" ca="1">_xludf.XLOOKUP(A235,'QA Log'!D:D,'QA Log'!F:F,"")</f>
        <v>#NAME?</v>
      </c>
      <c r="D235" s="102"/>
      <c r="E235" s="102" t="e">
        <f t="array" aca="1" ref="E235" ca="1">_xludf.XLOOKUP(A235,'QA Log'!D:D,'QA Log'!G:G,"")</f>
        <v>#NAME?</v>
      </c>
      <c r="F235" s="103"/>
      <c r="G235" s="104"/>
      <c r="H235" s="104"/>
      <c r="I235" s="103" t="str">
        <f t="shared" si="0"/>
        <v/>
      </c>
      <c r="J235" s="102"/>
      <c r="K235" s="102"/>
      <c r="L235" s="119" t="str">
        <f t="array" ref="L235">IF(OR($B235="",$D235=""),"",
IFERROR(
  INDEX(
    'Tools &amp; Targets_Guideline'!$C$54:$I$269,
    MATCH(
      1,
      ('Tools &amp; Targets_Guideline'!$A$54:$A$269=$B235)*
      ('Tools &amp; Targets_Guideline'!$B$54:$B$269="ANC"),
      0
    ),
    MATCH(
      _xludf.IFNA(
        VLOOKUP($D235,{"PH","Provincial Hospital (H2)";"DH","District Hospital (H3)";"RH","Regional / National Hospital (H1)"},2,0),
        $D235
      ),
      'Tools &amp; Targets_Guideline'!$C$53:$I$53,
      0
    )
  ),
0))</f>
        <v/>
      </c>
      <c r="M235" s="105"/>
      <c r="N235" s="119" t="str">
        <f t="array" ref="N235">IF(OR($B235="",$D235=""),"",
IFERROR(
  INDEX(
    'Tools &amp; Targets_Guideline'!$C$54:$I$269,
    MATCH(
      1,
      ('Tools &amp; Targets_Guideline'!$A$54:$A$269=$B235)*
      ('Tools &amp; Targets_Guideline'!$B$54:$B$269="PNC"),
      0
    ),
    MATCH(
      _xludf.IFNA(
        VLOOKUP($D235,{"PH","Provincial Hospital (H2)";"DH","District Hospital (H3)";"RH","Regional / National Hospital (H1)"},2,0),
        $D235
      ),
      'Tools &amp; Targets_Guideline'!$C$53:$I$53,
      0
    )
  ),
0))</f>
        <v/>
      </c>
      <c r="O235" s="105"/>
      <c r="P235" s="119" t="str">
        <f t="array" ref="P235">IF(OR($B235="",$D235=""),"",
IFERROR(
  INDEX(
    'Tools &amp; Targets_Guideline'!$C$54:$I$269,
    MATCH(
      1,
      ('Tools &amp; Targets_Guideline'!$A$54:$A$269=$B235)*
      ('Tools &amp; Targets_Guideline'!$B$54:$B$269="Delivery"),
      0
    ),
    MATCH(
      _xludf.IFNA(
        VLOOKUP($D235,{"PH","Provincial Hospital (H2)";"DH","District Hospital (H3)";"RH","Regional / National Hospital (H1)"},2,0),
        $D235
      ),
      'Tools &amp; Targets_Guideline'!$C$53:$I$53,
      0
    )
  ),
0))</f>
        <v/>
      </c>
      <c r="Q235" s="105"/>
      <c r="R235" s="119" t="str">
        <f t="array" ref="R235">IF(OR($B235="",$D235=""),"",
IFERROR(
  INDEX(
    'Tools &amp; Targets_Guideline'!$C$54:$I$269,
    MATCH(
      1,
      ('Tools &amp; Targets_Guideline'!$A$54:$A$269=$B235)*
      ('Tools &amp; Targets_Guideline'!$B$54:$B$269="TT"),
      0
    ),
    MATCH(
      _xludf.IFNA(
        VLOOKUP($D235,{"PH","Provincial Hospital (H2)";"DH","District Hospital (H3)";"RH","Regional / National Hospital (H1)"},2,0),
        $D235
      ),
      'Tools &amp; Targets_Guideline'!$C$53:$I$53,
      0
    )
  ),
0))</f>
        <v/>
      </c>
      <c r="S235" s="105"/>
      <c r="T235" s="102"/>
      <c r="U235" s="106"/>
      <c r="V235" s="102" t="str">
        <f t="shared" si="1"/>
        <v/>
      </c>
      <c r="W235" s="102"/>
      <c r="X235" s="102"/>
      <c r="Y235" s="119" t="str">
        <f t="array" ref="Y235">IF(OR($B235="",$D235=""),"",
IFERROR(
  INDEX(
    'Tools &amp; Targets_Guideline'!$C$54:$I$269,
    MATCH(
      1,
      ('Tools &amp; Targets_Guideline'!$A$54:$A$269=$B235)*
      ('Tools &amp; Targets_Guideline'!$B$54:$B$269="GM"),
      0
    ),
    MATCH(
      _xludf.IFNA(
        VLOOKUP($D235,{"PH","Provincial Hospital (H2)";"DH","District Hospital (H3)";"RH","Regional / National Hospital (H1)"},2,0),
        $D235
      ),
      'Tools &amp; Targets_Guideline'!$C$53:$I$53,
      0
    )
  ),
0))</f>
        <v/>
      </c>
      <c r="Z235" s="105"/>
      <c r="AA235" s="119" t="str">
        <f t="array" ref="AA235">IF(OR($B235="",$D235=""),"",
IFERROR(
  INDEX(
    'Tools &amp; Targets_Guideline'!$C$54:$I$269,
    MATCH(
      1,
      ('Tools &amp; Targets_Guideline'!$A$54:$A$269=$B235)*
      ('Tools &amp; Targets_Guideline'!$B$54:$B$269="Penta"),
      0
    ),
    MATCH(
      _xludf.IFNA(
        VLOOKUP($D235,{"PH","Provincial Hospital (H2)";"DH","District Hospital (H3)";"RH","Regional / National Hospital (H1)"},2,0),
        $D235
      ),
      'Tools &amp; Targets_Guideline'!$C$53:$I$53,
      0
    )
  ),
0))</f>
        <v/>
      </c>
      <c r="AB235" s="105"/>
      <c r="AC235" s="119" t="str">
        <f t="array" ref="AC235">IF(OR($B235="",$D235=""),"",
IFERROR(
  INDEX(
    'Tools &amp; Targets_Guideline'!$C$54:$I$269,
    MATCH(
      1,
      ('Tools &amp; Targets_Guideline'!$A$54:$A$269=$B235)*
      ('Tools &amp; Targets_Guideline'!$B$54:$B$269="TB"),
      0
    ),
    MATCH(
      _xludf.IFNA(
        VLOOKUP($D235,{"PH","Provincial Hospital (H2)";"DH","District Hospital (H3)";"RH","Regional / National Hospital (H1)"},2,0),
        $D235
      ),
      'Tools &amp; Targets_Guideline'!$C$53:$I$53,
      0
    )
  ),
0))</f>
        <v/>
      </c>
      <c r="AD235" s="105"/>
      <c r="AE235" s="119" t="str">
        <f t="array" ref="AE235">IF(OR($B235="",$D235=""),"",
IFERROR(
  INDEX(
    'Tools &amp; Targets_Guideline'!$C$54:$I$269,
    MATCH(
      1,
      ('Tools &amp; Targets_Guideline'!$A$54:$A$269=$B235)*
      ('Tools &amp; Targets_Guideline'!$B$54:$B$269="U5 Morbidity"),
      0
    ),
    MATCH(
      _xludf.IFNA(
        VLOOKUP($D235,{"PH","Provincial Hospital (H2)";"DH","District Hospital (H3)";"RH","Regional / National Hospital (H1)"},2,0),
        $D235
      ),
      'Tools &amp; Targets_Guideline'!$C$53:$I$53,
      0
    )
  ),
0))</f>
        <v/>
      </c>
      <c r="AF235" s="105"/>
      <c r="AG235" s="119" t="str">
        <f t="array" ref="AG235">IF(OR($B235="",$D235=""),"",
IFERROR(
  INDEX(
    'Tools &amp; Targets_Guideline'!$C$54:$I$269,
    MATCH(
      1,
      ('Tools &amp; Targets_Guideline'!$A$54:$A$269=$B235)*
      ('Tools &amp; Targets_Guideline'!$B$54:$B$269="C-Section"),
      0
    ),
    MATCH(
      _xludf.IFNA(
        VLOOKUP($D235,{"PH","Provincial Hospital (H2)";"DH","District Hospital (H3)";"RH","Regional / National Hospital (H1)"},2,0),
        $D235
      ),
      'Tools &amp; Targets_Guideline'!$C$53:$I$53,
      0
    )
  ),
0))</f>
        <v/>
      </c>
      <c r="AH235" s="105" t="str">
        <f>IF(A235&lt;&gt;"",COUNTIFS('QA Log'!D:D,A235,'QA Log'!M:M,"QQC",'QA Log'!L:L,"2. Hygiene and Sterilization",'QA Log'!Z:Z,"Approved"),"")</f>
        <v/>
      </c>
      <c r="AI235" s="102"/>
      <c r="AJ235" s="102"/>
      <c r="AK235" s="103" t="str">
        <f t="shared" si="2"/>
        <v/>
      </c>
      <c r="AL235" s="102"/>
      <c r="AM235" s="102"/>
      <c r="AN235" s="102"/>
      <c r="AO235" s="106"/>
      <c r="AP235" s="103"/>
      <c r="AQ235" s="102"/>
      <c r="AR235" s="102"/>
      <c r="AS235" s="102"/>
      <c r="AT235" s="107"/>
      <c r="AU235" s="102" t="str">
        <f t="shared" si="3"/>
        <v/>
      </c>
      <c r="AV235" s="102" t="str">
        <f t="shared" si="4"/>
        <v/>
      </c>
      <c r="AW235" s="102" t="str">
        <f t="shared" si="5"/>
        <v/>
      </c>
      <c r="AX235" s="102" t="str">
        <f t="shared" si="6"/>
        <v/>
      </c>
      <c r="AY235" s="107" t="str">
        <f t="shared" si="7"/>
        <v/>
      </c>
      <c r="AZ235" s="108" t="str">
        <f t="shared" si="8"/>
        <v/>
      </c>
      <c r="BA235" s="108" t="str">
        <f t="shared" si="9"/>
        <v/>
      </c>
      <c r="BB235" s="109" t="str">
        <f t="shared" si="10"/>
        <v/>
      </c>
      <c r="BC235" s="108" t="str">
        <f t="shared" si="11"/>
        <v/>
      </c>
      <c r="BD235" s="108" t="str">
        <f t="shared" si="12"/>
        <v/>
      </c>
      <c r="BE235" s="109" t="str">
        <f t="shared" si="13"/>
        <v/>
      </c>
      <c r="BF235" s="110" t="str">
        <f t="shared" si="14"/>
        <v/>
      </c>
      <c r="BG235" s="111"/>
    </row>
    <row r="236" spans="1:59" ht="12.75">
      <c r="A236" s="101"/>
      <c r="B236" s="102"/>
      <c r="C236" s="102" t="e">
        <f t="array" aca="1" ref="C236" ca="1">_xludf.XLOOKUP(A236,'QA Log'!D:D,'QA Log'!F:F,"")</f>
        <v>#NAME?</v>
      </c>
      <c r="D236" s="102"/>
      <c r="E236" s="102" t="e">
        <f t="array" aca="1" ref="E236" ca="1">_xludf.XLOOKUP(A236,'QA Log'!D:D,'QA Log'!G:G,"")</f>
        <v>#NAME?</v>
      </c>
      <c r="F236" s="103"/>
      <c r="G236" s="104"/>
      <c r="H236" s="104"/>
      <c r="I236" s="103" t="str">
        <f t="shared" si="0"/>
        <v/>
      </c>
      <c r="J236" s="102"/>
      <c r="K236" s="102"/>
      <c r="L236" s="119" t="str">
        <f t="array" ref="L236">IF(OR($B236="",$D236=""),"",
IFERROR(
  INDEX(
    'Tools &amp; Targets_Guideline'!$C$54:$I$269,
    MATCH(
      1,
      ('Tools &amp; Targets_Guideline'!$A$54:$A$269=$B236)*
      ('Tools &amp; Targets_Guideline'!$B$54:$B$269="ANC"),
      0
    ),
    MATCH(
      _xludf.IFNA(
        VLOOKUP($D236,{"PH","Provincial Hospital (H2)";"DH","District Hospital (H3)";"RH","Regional / National Hospital (H1)"},2,0),
        $D236
      ),
      'Tools &amp; Targets_Guideline'!$C$53:$I$53,
      0
    )
  ),
0))</f>
        <v/>
      </c>
      <c r="M236" s="105"/>
      <c r="N236" s="119" t="str">
        <f t="array" ref="N236">IF(OR($B236="",$D236=""),"",
IFERROR(
  INDEX(
    'Tools &amp; Targets_Guideline'!$C$54:$I$269,
    MATCH(
      1,
      ('Tools &amp; Targets_Guideline'!$A$54:$A$269=$B236)*
      ('Tools &amp; Targets_Guideline'!$B$54:$B$269="PNC"),
      0
    ),
    MATCH(
      _xludf.IFNA(
        VLOOKUP($D236,{"PH","Provincial Hospital (H2)";"DH","District Hospital (H3)";"RH","Regional / National Hospital (H1)"},2,0),
        $D236
      ),
      'Tools &amp; Targets_Guideline'!$C$53:$I$53,
      0
    )
  ),
0))</f>
        <v/>
      </c>
      <c r="O236" s="105"/>
      <c r="P236" s="119" t="str">
        <f t="array" ref="P236">IF(OR($B236="",$D236=""),"",
IFERROR(
  INDEX(
    'Tools &amp; Targets_Guideline'!$C$54:$I$269,
    MATCH(
      1,
      ('Tools &amp; Targets_Guideline'!$A$54:$A$269=$B236)*
      ('Tools &amp; Targets_Guideline'!$B$54:$B$269="Delivery"),
      0
    ),
    MATCH(
      _xludf.IFNA(
        VLOOKUP($D236,{"PH","Provincial Hospital (H2)";"DH","District Hospital (H3)";"RH","Regional / National Hospital (H1)"},2,0),
        $D236
      ),
      'Tools &amp; Targets_Guideline'!$C$53:$I$53,
      0
    )
  ),
0))</f>
        <v/>
      </c>
      <c r="Q236" s="105"/>
      <c r="R236" s="119" t="str">
        <f t="array" ref="R236">IF(OR($B236="",$D236=""),"",
IFERROR(
  INDEX(
    'Tools &amp; Targets_Guideline'!$C$54:$I$269,
    MATCH(
      1,
      ('Tools &amp; Targets_Guideline'!$A$54:$A$269=$B236)*
      ('Tools &amp; Targets_Guideline'!$B$54:$B$269="TT"),
      0
    ),
    MATCH(
      _xludf.IFNA(
        VLOOKUP($D236,{"PH","Provincial Hospital (H2)";"DH","District Hospital (H3)";"RH","Regional / National Hospital (H1)"},2,0),
        $D236
      ),
      'Tools &amp; Targets_Guideline'!$C$53:$I$53,
      0
    )
  ),
0))</f>
        <v/>
      </c>
      <c r="S236" s="105"/>
      <c r="T236" s="102"/>
      <c r="U236" s="106"/>
      <c r="V236" s="102" t="str">
        <f t="shared" si="1"/>
        <v/>
      </c>
      <c r="W236" s="102"/>
      <c r="X236" s="102"/>
      <c r="Y236" s="119" t="str">
        <f t="array" ref="Y236">IF(OR($B236="",$D236=""),"",
IFERROR(
  INDEX(
    'Tools &amp; Targets_Guideline'!$C$54:$I$269,
    MATCH(
      1,
      ('Tools &amp; Targets_Guideline'!$A$54:$A$269=$B236)*
      ('Tools &amp; Targets_Guideline'!$B$54:$B$269="GM"),
      0
    ),
    MATCH(
      _xludf.IFNA(
        VLOOKUP($D236,{"PH","Provincial Hospital (H2)";"DH","District Hospital (H3)";"RH","Regional / National Hospital (H1)"},2,0),
        $D236
      ),
      'Tools &amp; Targets_Guideline'!$C$53:$I$53,
      0
    )
  ),
0))</f>
        <v/>
      </c>
      <c r="Z236" s="105"/>
      <c r="AA236" s="119" t="str">
        <f t="array" ref="AA236">IF(OR($B236="",$D236=""),"",
IFERROR(
  INDEX(
    'Tools &amp; Targets_Guideline'!$C$54:$I$269,
    MATCH(
      1,
      ('Tools &amp; Targets_Guideline'!$A$54:$A$269=$B236)*
      ('Tools &amp; Targets_Guideline'!$B$54:$B$269="Penta"),
      0
    ),
    MATCH(
      _xludf.IFNA(
        VLOOKUP($D236,{"PH","Provincial Hospital (H2)";"DH","District Hospital (H3)";"RH","Regional / National Hospital (H1)"},2,0),
        $D236
      ),
      'Tools &amp; Targets_Guideline'!$C$53:$I$53,
      0
    )
  ),
0))</f>
        <v/>
      </c>
      <c r="AB236" s="105"/>
      <c r="AC236" s="119" t="str">
        <f t="array" ref="AC236">IF(OR($B236="",$D236=""),"",
IFERROR(
  INDEX(
    'Tools &amp; Targets_Guideline'!$C$54:$I$269,
    MATCH(
      1,
      ('Tools &amp; Targets_Guideline'!$A$54:$A$269=$B236)*
      ('Tools &amp; Targets_Guideline'!$B$54:$B$269="TB"),
      0
    ),
    MATCH(
      _xludf.IFNA(
        VLOOKUP($D236,{"PH","Provincial Hospital (H2)";"DH","District Hospital (H3)";"RH","Regional / National Hospital (H1)"},2,0),
        $D236
      ),
      'Tools &amp; Targets_Guideline'!$C$53:$I$53,
      0
    )
  ),
0))</f>
        <v/>
      </c>
      <c r="AD236" s="105"/>
      <c r="AE236" s="119" t="str">
        <f t="array" ref="AE236">IF(OR($B236="",$D236=""),"",
IFERROR(
  INDEX(
    'Tools &amp; Targets_Guideline'!$C$54:$I$269,
    MATCH(
      1,
      ('Tools &amp; Targets_Guideline'!$A$54:$A$269=$B236)*
      ('Tools &amp; Targets_Guideline'!$B$54:$B$269="U5 Morbidity"),
      0
    ),
    MATCH(
      _xludf.IFNA(
        VLOOKUP($D236,{"PH","Provincial Hospital (H2)";"DH","District Hospital (H3)";"RH","Regional / National Hospital (H1)"},2,0),
        $D236
      ),
      'Tools &amp; Targets_Guideline'!$C$53:$I$53,
      0
    )
  ),
0))</f>
        <v/>
      </c>
      <c r="AF236" s="105"/>
      <c r="AG236" s="119" t="str">
        <f t="array" ref="AG236">IF(OR($B236="",$D236=""),"",
IFERROR(
  INDEX(
    'Tools &amp; Targets_Guideline'!$C$54:$I$269,
    MATCH(
      1,
      ('Tools &amp; Targets_Guideline'!$A$54:$A$269=$B236)*
      ('Tools &amp; Targets_Guideline'!$B$54:$B$269="C-Section"),
      0
    ),
    MATCH(
      _xludf.IFNA(
        VLOOKUP($D236,{"PH","Provincial Hospital (H2)";"DH","District Hospital (H3)";"RH","Regional / National Hospital (H1)"},2,0),
        $D236
      ),
      'Tools &amp; Targets_Guideline'!$C$53:$I$53,
      0
    )
  ),
0))</f>
        <v/>
      </c>
      <c r="AH236" s="105" t="str">
        <f>IF(A236&lt;&gt;"",COUNTIFS('QA Log'!D:D,A236,'QA Log'!M:M,"QQC",'QA Log'!L:L,"2. Hygiene and Sterilization",'QA Log'!Z:Z,"Approved"),"")</f>
        <v/>
      </c>
      <c r="AI236" s="102"/>
      <c r="AJ236" s="102"/>
      <c r="AK236" s="103" t="str">
        <f t="shared" si="2"/>
        <v/>
      </c>
      <c r="AL236" s="102"/>
      <c r="AM236" s="102"/>
      <c r="AN236" s="102"/>
      <c r="AO236" s="106"/>
      <c r="AP236" s="103"/>
      <c r="AQ236" s="102"/>
      <c r="AR236" s="102"/>
      <c r="AS236" s="102"/>
      <c r="AT236" s="107"/>
      <c r="AU236" s="102" t="str">
        <f t="shared" si="3"/>
        <v/>
      </c>
      <c r="AV236" s="102" t="str">
        <f t="shared" si="4"/>
        <v/>
      </c>
      <c r="AW236" s="102" t="str">
        <f t="shared" si="5"/>
        <v/>
      </c>
      <c r="AX236" s="102" t="str">
        <f t="shared" si="6"/>
        <v/>
      </c>
      <c r="AY236" s="107" t="str">
        <f t="shared" si="7"/>
        <v/>
      </c>
      <c r="AZ236" s="108" t="str">
        <f t="shared" si="8"/>
        <v/>
      </c>
      <c r="BA236" s="108" t="str">
        <f t="shared" si="9"/>
        <v/>
      </c>
      <c r="BB236" s="109" t="str">
        <f t="shared" si="10"/>
        <v/>
      </c>
      <c r="BC236" s="108" t="str">
        <f t="shared" si="11"/>
        <v/>
      </c>
      <c r="BD236" s="108" t="str">
        <f t="shared" si="12"/>
        <v/>
      </c>
      <c r="BE236" s="109" t="str">
        <f t="shared" si="13"/>
        <v/>
      </c>
      <c r="BF236" s="110" t="str">
        <f t="shared" si="14"/>
        <v/>
      </c>
      <c r="BG236" s="111"/>
    </row>
    <row r="237" spans="1:59" ht="12.75">
      <c r="A237" s="101"/>
      <c r="B237" s="102"/>
      <c r="C237" s="102" t="e">
        <f t="array" aca="1" ref="C237" ca="1">_xludf.XLOOKUP(A237,'QA Log'!D:D,'QA Log'!F:F,"")</f>
        <v>#NAME?</v>
      </c>
      <c r="D237" s="102"/>
      <c r="E237" s="102" t="e">
        <f t="array" aca="1" ref="E237" ca="1">_xludf.XLOOKUP(A237,'QA Log'!D:D,'QA Log'!G:G,"")</f>
        <v>#NAME?</v>
      </c>
      <c r="F237" s="103"/>
      <c r="G237" s="104"/>
      <c r="H237" s="104"/>
      <c r="I237" s="103" t="str">
        <f t="shared" si="0"/>
        <v/>
      </c>
      <c r="J237" s="102"/>
      <c r="K237" s="102"/>
      <c r="L237" s="119" t="str">
        <f t="array" ref="L237">IF(OR($B237="",$D237=""),"",
IFERROR(
  INDEX(
    'Tools &amp; Targets_Guideline'!$C$54:$I$269,
    MATCH(
      1,
      ('Tools &amp; Targets_Guideline'!$A$54:$A$269=$B237)*
      ('Tools &amp; Targets_Guideline'!$B$54:$B$269="ANC"),
      0
    ),
    MATCH(
      _xludf.IFNA(
        VLOOKUP($D237,{"PH","Provincial Hospital (H2)";"DH","District Hospital (H3)";"RH","Regional / National Hospital (H1)"},2,0),
        $D237
      ),
      'Tools &amp; Targets_Guideline'!$C$53:$I$53,
      0
    )
  ),
0))</f>
        <v/>
      </c>
      <c r="M237" s="105"/>
      <c r="N237" s="119" t="str">
        <f t="array" ref="N237">IF(OR($B237="",$D237=""),"",
IFERROR(
  INDEX(
    'Tools &amp; Targets_Guideline'!$C$54:$I$269,
    MATCH(
      1,
      ('Tools &amp; Targets_Guideline'!$A$54:$A$269=$B237)*
      ('Tools &amp; Targets_Guideline'!$B$54:$B$269="PNC"),
      0
    ),
    MATCH(
      _xludf.IFNA(
        VLOOKUP($D237,{"PH","Provincial Hospital (H2)";"DH","District Hospital (H3)";"RH","Regional / National Hospital (H1)"},2,0),
        $D237
      ),
      'Tools &amp; Targets_Guideline'!$C$53:$I$53,
      0
    )
  ),
0))</f>
        <v/>
      </c>
      <c r="O237" s="105"/>
      <c r="P237" s="119" t="str">
        <f t="array" ref="P237">IF(OR($B237="",$D237=""),"",
IFERROR(
  INDEX(
    'Tools &amp; Targets_Guideline'!$C$54:$I$269,
    MATCH(
      1,
      ('Tools &amp; Targets_Guideline'!$A$54:$A$269=$B237)*
      ('Tools &amp; Targets_Guideline'!$B$54:$B$269="Delivery"),
      0
    ),
    MATCH(
      _xludf.IFNA(
        VLOOKUP($D237,{"PH","Provincial Hospital (H2)";"DH","District Hospital (H3)";"RH","Regional / National Hospital (H1)"},2,0),
        $D237
      ),
      'Tools &amp; Targets_Guideline'!$C$53:$I$53,
      0
    )
  ),
0))</f>
        <v/>
      </c>
      <c r="Q237" s="105"/>
      <c r="R237" s="119" t="str">
        <f t="array" ref="R237">IF(OR($B237="",$D237=""),"",
IFERROR(
  INDEX(
    'Tools &amp; Targets_Guideline'!$C$54:$I$269,
    MATCH(
      1,
      ('Tools &amp; Targets_Guideline'!$A$54:$A$269=$B237)*
      ('Tools &amp; Targets_Guideline'!$B$54:$B$269="TT"),
      0
    ),
    MATCH(
      _xludf.IFNA(
        VLOOKUP($D237,{"PH","Provincial Hospital (H2)";"DH","District Hospital (H3)";"RH","Regional / National Hospital (H1)"},2,0),
        $D237
      ),
      'Tools &amp; Targets_Guideline'!$C$53:$I$53,
      0
    )
  ),
0))</f>
        <v/>
      </c>
      <c r="S237" s="105"/>
      <c r="T237" s="102"/>
      <c r="U237" s="106"/>
      <c r="V237" s="102" t="str">
        <f t="shared" si="1"/>
        <v/>
      </c>
      <c r="W237" s="102"/>
      <c r="X237" s="102"/>
      <c r="Y237" s="119" t="str">
        <f t="array" ref="Y237">IF(OR($B237="",$D237=""),"",
IFERROR(
  INDEX(
    'Tools &amp; Targets_Guideline'!$C$54:$I$269,
    MATCH(
      1,
      ('Tools &amp; Targets_Guideline'!$A$54:$A$269=$B237)*
      ('Tools &amp; Targets_Guideline'!$B$54:$B$269="GM"),
      0
    ),
    MATCH(
      _xludf.IFNA(
        VLOOKUP($D237,{"PH","Provincial Hospital (H2)";"DH","District Hospital (H3)";"RH","Regional / National Hospital (H1)"},2,0),
        $D237
      ),
      'Tools &amp; Targets_Guideline'!$C$53:$I$53,
      0
    )
  ),
0))</f>
        <v/>
      </c>
      <c r="Z237" s="105"/>
      <c r="AA237" s="119" t="str">
        <f t="array" ref="AA237">IF(OR($B237="",$D237=""),"",
IFERROR(
  INDEX(
    'Tools &amp; Targets_Guideline'!$C$54:$I$269,
    MATCH(
      1,
      ('Tools &amp; Targets_Guideline'!$A$54:$A$269=$B237)*
      ('Tools &amp; Targets_Guideline'!$B$54:$B$269="Penta"),
      0
    ),
    MATCH(
      _xludf.IFNA(
        VLOOKUP($D237,{"PH","Provincial Hospital (H2)";"DH","District Hospital (H3)";"RH","Regional / National Hospital (H1)"},2,0),
        $D237
      ),
      'Tools &amp; Targets_Guideline'!$C$53:$I$53,
      0
    )
  ),
0))</f>
        <v/>
      </c>
      <c r="AB237" s="105"/>
      <c r="AC237" s="119" t="str">
        <f t="array" ref="AC237">IF(OR($B237="",$D237=""),"",
IFERROR(
  INDEX(
    'Tools &amp; Targets_Guideline'!$C$54:$I$269,
    MATCH(
      1,
      ('Tools &amp; Targets_Guideline'!$A$54:$A$269=$B237)*
      ('Tools &amp; Targets_Guideline'!$B$54:$B$269="TB"),
      0
    ),
    MATCH(
      _xludf.IFNA(
        VLOOKUP($D237,{"PH","Provincial Hospital (H2)";"DH","District Hospital (H3)";"RH","Regional / National Hospital (H1)"},2,0),
        $D237
      ),
      'Tools &amp; Targets_Guideline'!$C$53:$I$53,
      0
    )
  ),
0))</f>
        <v/>
      </c>
      <c r="AD237" s="105"/>
      <c r="AE237" s="119" t="str">
        <f t="array" ref="AE237">IF(OR($B237="",$D237=""),"",
IFERROR(
  INDEX(
    'Tools &amp; Targets_Guideline'!$C$54:$I$269,
    MATCH(
      1,
      ('Tools &amp; Targets_Guideline'!$A$54:$A$269=$B237)*
      ('Tools &amp; Targets_Guideline'!$B$54:$B$269="U5 Morbidity"),
      0
    ),
    MATCH(
      _xludf.IFNA(
        VLOOKUP($D237,{"PH","Provincial Hospital (H2)";"DH","District Hospital (H3)";"RH","Regional / National Hospital (H1)"},2,0),
        $D237
      ),
      'Tools &amp; Targets_Guideline'!$C$53:$I$53,
      0
    )
  ),
0))</f>
        <v/>
      </c>
      <c r="AF237" s="105"/>
      <c r="AG237" s="119" t="str">
        <f t="array" ref="AG237">IF(OR($B237="",$D237=""),"",
IFERROR(
  INDEX(
    'Tools &amp; Targets_Guideline'!$C$54:$I$269,
    MATCH(
      1,
      ('Tools &amp; Targets_Guideline'!$A$54:$A$269=$B237)*
      ('Tools &amp; Targets_Guideline'!$B$54:$B$269="C-Section"),
      0
    ),
    MATCH(
      _xludf.IFNA(
        VLOOKUP($D237,{"PH","Provincial Hospital (H2)";"DH","District Hospital (H3)";"RH","Regional / National Hospital (H1)"},2,0),
        $D237
      ),
      'Tools &amp; Targets_Guideline'!$C$53:$I$53,
      0
    )
  ),
0))</f>
        <v/>
      </c>
      <c r="AH237" s="105" t="str">
        <f>IF(A237&lt;&gt;"",COUNTIFS('QA Log'!D:D,A237,'QA Log'!M:M,"QQC",'QA Log'!L:L,"2. Hygiene and Sterilization",'QA Log'!Z:Z,"Approved"),"")</f>
        <v/>
      </c>
      <c r="AI237" s="102"/>
      <c r="AJ237" s="102"/>
      <c r="AK237" s="103" t="str">
        <f t="shared" si="2"/>
        <v/>
      </c>
      <c r="AL237" s="102"/>
      <c r="AM237" s="102"/>
      <c r="AN237" s="102"/>
      <c r="AO237" s="106"/>
      <c r="AP237" s="103"/>
      <c r="AQ237" s="102"/>
      <c r="AR237" s="102"/>
      <c r="AS237" s="102"/>
      <c r="AT237" s="107"/>
      <c r="AU237" s="102" t="str">
        <f t="shared" si="3"/>
        <v/>
      </c>
      <c r="AV237" s="102" t="str">
        <f t="shared" si="4"/>
        <v/>
      </c>
      <c r="AW237" s="102" t="str">
        <f t="shared" si="5"/>
        <v/>
      </c>
      <c r="AX237" s="102" t="str">
        <f t="shared" si="6"/>
        <v/>
      </c>
      <c r="AY237" s="107" t="str">
        <f t="shared" si="7"/>
        <v/>
      </c>
      <c r="AZ237" s="108" t="str">
        <f t="shared" si="8"/>
        <v/>
      </c>
      <c r="BA237" s="108" t="str">
        <f t="shared" si="9"/>
        <v/>
      </c>
      <c r="BB237" s="109" t="str">
        <f t="shared" si="10"/>
        <v/>
      </c>
      <c r="BC237" s="108" t="str">
        <f t="shared" si="11"/>
        <v/>
      </c>
      <c r="BD237" s="108" t="str">
        <f t="shared" si="12"/>
        <v/>
      </c>
      <c r="BE237" s="109" t="str">
        <f t="shared" si="13"/>
        <v/>
      </c>
      <c r="BF237" s="110" t="str">
        <f t="shared" si="14"/>
        <v/>
      </c>
      <c r="BG237" s="111"/>
    </row>
    <row r="238" spans="1:59" ht="12.75">
      <c r="A238" s="101"/>
      <c r="B238" s="102"/>
      <c r="C238" s="102" t="e">
        <f t="array" aca="1" ref="C238" ca="1">_xludf.XLOOKUP(A238,'QA Log'!D:D,'QA Log'!F:F,"")</f>
        <v>#NAME?</v>
      </c>
      <c r="D238" s="102"/>
      <c r="E238" s="102" t="e">
        <f t="array" aca="1" ref="E238" ca="1">_xludf.XLOOKUP(A238,'QA Log'!D:D,'QA Log'!G:G,"")</f>
        <v>#NAME?</v>
      </c>
      <c r="F238" s="103"/>
      <c r="G238" s="104"/>
      <c r="H238" s="104"/>
      <c r="I238" s="103" t="str">
        <f t="shared" si="0"/>
        <v/>
      </c>
      <c r="J238" s="102"/>
      <c r="K238" s="102"/>
      <c r="L238" s="119" t="str">
        <f t="array" ref="L238">IF(OR($B238="",$D238=""),"",
IFERROR(
  INDEX(
    'Tools &amp; Targets_Guideline'!$C$54:$I$269,
    MATCH(
      1,
      ('Tools &amp; Targets_Guideline'!$A$54:$A$269=$B238)*
      ('Tools &amp; Targets_Guideline'!$B$54:$B$269="ANC"),
      0
    ),
    MATCH(
      _xludf.IFNA(
        VLOOKUP($D238,{"PH","Provincial Hospital (H2)";"DH","District Hospital (H3)";"RH","Regional / National Hospital (H1)"},2,0),
        $D238
      ),
      'Tools &amp; Targets_Guideline'!$C$53:$I$53,
      0
    )
  ),
0))</f>
        <v/>
      </c>
      <c r="M238" s="105"/>
      <c r="N238" s="119" t="str">
        <f t="array" ref="N238">IF(OR($B238="",$D238=""),"",
IFERROR(
  INDEX(
    'Tools &amp; Targets_Guideline'!$C$54:$I$269,
    MATCH(
      1,
      ('Tools &amp; Targets_Guideline'!$A$54:$A$269=$B238)*
      ('Tools &amp; Targets_Guideline'!$B$54:$B$269="PNC"),
      0
    ),
    MATCH(
      _xludf.IFNA(
        VLOOKUP($D238,{"PH","Provincial Hospital (H2)";"DH","District Hospital (H3)";"RH","Regional / National Hospital (H1)"},2,0),
        $D238
      ),
      'Tools &amp; Targets_Guideline'!$C$53:$I$53,
      0
    )
  ),
0))</f>
        <v/>
      </c>
      <c r="O238" s="105"/>
      <c r="P238" s="119" t="str">
        <f t="array" ref="P238">IF(OR($B238="",$D238=""),"",
IFERROR(
  INDEX(
    'Tools &amp; Targets_Guideline'!$C$54:$I$269,
    MATCH(
      1,
      ('Tools &amp; Targets_Guideline'!$A$54:$A$269=$B238)*
      ('Tools &amp; Targets_Guideline'!$B$54:$B$269="Delivery"),
      0
    ),
    MATCH(
      _xludf.IFNA(
        VLOOKUP($D238,{"PH","Provincial Hospital (H2)";"DH","District Hospital (H3)";"RH","Regional / National Hospital (H1)"},2,0),
        $D238
      ),
      'Tools &amp; Targets_Guideline'!$C$53:$I$53,
      0
    )
  ),
0))</f>
        <v/>
      </c>
      <c r="Q238" s="105"/>
      <c r="R238" s="119" t="str">
        <f t="array" ref="R238">IF(OR($B238="",$D238=""),"",
IFERROR(
  INDEX(
    'Tools &amp; Targets_Guideline'!$C$54:$I$269,
    MATCH(
      1,
      ('Tools &amp; Targets_Guideline'!$A$54:$A$269=$B238)*
      ('Tools &amp; Targets_Guideline'!$B$54:$B$269="TT"),
      0
    ),
    MATCH(
      _xludf.IFNA(
        VLOOKUP($D238,{"PH","Provincial Hospital (H2)";"DH","District Hospital (H3)";"RH","Regional / National Hospital (H1)"},2,0),
        $D238
      ),
      'Tools &amp; Targets_Guideline'!$C$53:$I$53,
      0
    )
  ),
0))</f>
        <v/>
      </c>
      <c r="S238" s="105"/>
      <c r="T238" s="102"/>
      <c r="U238" s="106"/>
      <c r="V238" s="102" t="str">
        <f t="shared" si="1"/>
        <v/>
      </c>
      <c r="W238" s="102"/>
      <c r="X238" s="102"/>
      <c r="Y238" s="119" t="str">
        <f t="array" ref="Y238">IF(OR($B238="",$D238=""),"",
IFERROR(
  INDEX(
    'Tools &amp; Targets_Guideline'!$C$54:$I$269,
    MATCH(
      1,
      ('Tools &amp; Targets_Guideline'!$A$54:$A$269=$B238)*
      ('Tools &amp; Targets_Guideline'!$B$54:$B$269="GM"),
      0
    ),
    MATCH(
      _xludf.IFNA(
        VLOOKUP($D238,{"PH","Provincial Hospital (H2)";"DH","District Hospital (H3)";"RH","Regional / National Hospital (H1)"},2,0),
        $D238
      ),
      'Tools &amp; Targets_Guideline'!$C$53:$I$53,
      0
    )
  ),
0))</f>
        <v/>
      </c>
      <c r="Z238" s="105"/>
      <c r="AA238" s="119" t="str">
        <f t="array" ref="AA238">IF(OR($B238="",$D238=""),"",
IFERROR(
  INDEX(
    'Tools &amp; Targets_Guideline'!$C$54:$I$269,
    MATCH(
      1,
      ('Tools &amp; Targets_Guideline'!$A$54:$A$269=$B238)*
      ('Tools &amp; Targets_Guideline'!$B$54:$B$269="Penta"),
      0
    ),
    MATCH(
      _xludf.IFNA(
        VLOOKUP($D238,{"PH","Provincial Hospital (H2)";"DH","District Hospital (H3)";"RH","Regional / National Hospital (H1)"},2,0),
        $D238
      ),
      'Tools &amp; Targets_Guideline'!$C$53:$I$53,
      0
    )
  ),
0))</f>
        <v/>
      </c>
      <c r="AB238" s="105"/>
      <c r="AC238" s="119" t="str">
        <f t="array" ref="AC238">IF(OR($B238="",$D238=""),"",
IFERROR(
  INDEX(
    'Tools &amp; Targets_Guideline'!$C$54:$I$269,
    MATCH(
      1,
      ('Tools &amp; Targets_Guideline'!$A$54:$A$269=$B238)*
      ('Tools &amp; Targets_Guideline'!$B$54:$B$269="TB"),
      0
    ),
    MATCH(
      _xludf.IFNA(
        VLOOKUP($D238,{"PH","Provincial Hospital (H2)";"DH","District Hospital (H3)";"RH","Regional / National Hospital (H1)"},2,0),
        $D238
      ),
      'Tools &amp; Targets_Guideline'!$C$53:$I$53,
      0
    )
  ),
0))</f>
        <v/>
      </c>
      <c r="AD238" s="105"/>
      <c r="AE238" s="119" t="str">
        <f t="array" ref="AE238">IF(OR($B238="",$D238=""),"",
IFERROR(
  INDEX(
    'Tools &amp; Targets_Guideline'!$C$54:$I$269,
    MATCH(
      1,
      ('Tools &amp; Targets_Guideline'!$A$54:$A$269=$B238)*
      ('Tools &amp; Targets_Guideline'!$B$54:$B$269="U5 Morbidity"),
      0
    ),
    MATCH(
      _xludf.IFNA(
        VLOOKUP($D238,{"PH","Provincial Hospital (H2)";"DH","District Hospital (H3)";"RH","Regional / National Hospital (H1)"},2,0),
        $D238
      ),
      'Tools &amp; Targets_Guideline'!$C$53:$I$53,
      0
    )
  ),
0))</f>
        <v/>
      </c>
      <c r="AF238" s="105"/>
      <c r="AG238" s="119" t="str">
        <f t="array" ref="AG238">IF(OR($B238="",$D238=""),"",
IFERROR(
  INDEX(
    'Tools &amp; Targets_Guideline'!$C$54:$I$269,
    MATCH(
      1,
      ('Tools &amp; Targets_Guideline'!$A$54:$A$269=$B238)*
      ('Tools &amp; Targets_Guideline'!$B$54:$B$269="C-Section"),
      0
    ),
    MATCH(
      _xludf.IFNA(
        VLOOKUP($D238,{"PH","Provincial Hospital (H2)";"DH","District Hospital (H3)";"RH","Regional / National Hospital (H1)"},2,0),
        $D238
      ),
      'Tools &amp; Targets_Guideline'!$C$53:$I$53,
      0
    )
  ),
0))</f>
        <v/>
      </c>
      <c r="AH238" s="105" t="str">
        <f>IF(A238&lt;&gt;"",COUNTIFS('QA Log'!D:D,A238,'QA Log'!M:M,"QQC",'QA Log'!L:L,"2. Hygiene and Sterilization",'QA Log'!Z:Z,"Approved"),"")</f>
        <v/>
      </c>
      <c r="AI238" s="102"/>
      <c r="AJ238" s="102"/>
      <c r="AK238" s="103" t="str">
        <f t="shared" si="2"/>
        <v/>
      </c>
      <c r="AL238" s="102"/>
      <c r="AM238" s="102"/>
      <c r="AN238" s="102"/>
      <c r="AO238" s="106"/>
      <c r="AP238" s="103"/>
      <c r="AQ238" s="102"/>
      <c r="AR238" s="102"/>
      <c r="AS238" s="102"/>
      <c r="AT238" s="107"/>
      <c r="AU238" s="102" t="str">
        <f t="shared" si="3"/>
        <v/>
      </c>
      <c r="AV238" s="102" t="str">
        <f t="shared" si="4"/>
        <v/>
      </c>
      <c r="AW238" s="102" t="str">
        <f t="shared" si="5"/>
        <v/>
      </c>
      <c r="AX238" s="102" t="str">
        <f t="shared" si="6"/>
        <v/>
      </c>
      <c r="AY238" s="107" t="str">
        <f t="shared" si="7"/>
        <v/>
      </c>
      <c r="AZ238" s="108" t="str">
        <f t="shared" si="8"/>
        <v/>
      </c>
      <c r="BA238" s="108" t="str">
        <f t="shared" si="9"/>
        <v/>
      </c>
      <c r="BB238" s="109" t="str">
        <f t="shared" si="10"/>
        <v/>
      </c>
      <c r="BC238" s="108" t="str">
        <f t="shared" si="11"/>
        <v/>
      </c>
      <c r="BD238" s="108" t="str">
        <f t="shared" si="12"/>
        <v/>
      </c>
      <c r="BE238" s="109" t="str">
        <f t="shared" si="13"/>
        <v/>
      </c>
      <c r="BF238" s="110" t="str">
        <f t="shared" si="14"/>
        <v/>
      </c>
      <c r="BG238" s="111"/>
    </row>
    <row r="239" spans="1:59" ht="12.75">
      <c r="A239" s="101"/>
      <c r="B239" s="102"/>
      <c r="C239" s="102" t="e">
        <f t="array" aca="1" ref="C239" ca="1">_xludf.XLOOKUP(A239,'QA Log'!D:D,'QA Log'!F:F,"")</f>
        <v>#NAME?</v>
      </c>
      <c r="D239" s="102"/>
      <c r="E239" s="102" t="e">
        <f t="array" aca="1" ref="E239" ca="1">_xludf.XLOOKUP(A239,'QA Log'!D:D,'QA Log'!G:G,"")</f>
        <v>#NAME?</v>
      </c>
      <c r="F239" s="103"/>
      <c r="G239" s="104"/>
      <c r="H239" s="104"/>
      <c r="I239" s="103" t="str">
        <f t="shared" si="0"/>
        <v/>
      </c>
      <c r="J239" s="102"/>
      <c r="K239" s="102"/>
      <c r="L239" s="119" t="str">
        <f t="array" ref="L239">IF(OR($B239="",$D239=""),"",
IFERROR(
  INDEX(
    'Tools &amp; Targets_Guideline'!$C$54:$I$269,
    MATCH(
      1,
      ('Tools &amp; Targets_Guideline'!$A$54:$A$269=$B239)*
      ('Tools &amp; Targets_Guideline'!$B$54:$B$269="ANC"),
      0
    ),
    MATCH(
      _xludf.IFNA(
        VLOOKUP($D239,{"PH","Provincial Hospital (H2)";"DH","District Hospital (H3)";"RH","Regional / National Hospital (H1)"},2,0),
        $D239
      ),
      'Tools &amp; Targets_Guideline'!$C$53:$I$53,
      0
    )
  ),
0))</f>
        <v/>
      </c>
      <c r="M239" s="105"/>
      <c r="N239" s="119" t="str">
        <f t="array" ref="N239">IF(OR($B239="",$D239=""),"",
IFERROR(
  INDEX(
    'Tools &amp; Targets_Guideline'!$C$54:$I$269,
    MATCH(
      1,
      ('Tools &amp; Targets_Guideline'!$A$54:$A$269=$B239)*
      ('Tools &amp; Targets_Guideline'!$B$54:$B$269="PNC"),
      0
    ),
    MATCH(
      _xludf.IFNA(
        VLOOKUP($D239,{"PH","Provincial Hospital (H2)";"DH","District Hospital (H3)";"RH","Regional / National Hospital (H1)"},2,0),
        $D239
      ),
      'Tools &amp; Targets_Guideline'!$C$53:$I$53,
      0
    )
  ),
0))</f>
        <v/>
      </c>
      <c r="O239" s="105"/>
      <c r="P239" s="119" t="str">
        <f t="array" ref="P239">IF(OR($B239="",$D239=""),"",
IFERROR(
  INDEX(
    'Tools &amp; Targets_Guideline'!$C$54:$I$269,
    MATCH(
      1,
      ('Tools &amp; Targets_Guideline'!$A$54:$A$269=$B239)*
      ('Tools &amp; Targets_Guideline'!$B$54:$B$269="Delivery"),
      0
    ),
    MATCH(
      _xludf.IFNA(
        VLOOKUP($D239,{"PH","Provincial Hospital (H2)";"DH","District Hospital (H3)";"RH","Regional / National Hospital (H1)"},2,0),
        $D239
      ),
      'Tools &amp; Targets_Guideline'!$C$53:$I$53,
      0
    )
  ),
0))</f>
        <v/>
      </c>
      <c r="Q239" s="105"/>
      <c r="R239" s="119" t="str">
        <f t="array" ref="R239">IF(OR($B239="",$D239=""),"",
IFERROR(
  INDEX(
    'Tools &amp; Targets_Guideline'!$C$54:$I$269,
    MATCH(
      1,
      ('Tools &amp; Targets_Guideline'!$A$54:$A$269=$B239)*
      ('Tools &amp; Targets_Guideline'!$B$54:$B$269="TT"),
      0
    ),
    MATCH(
      _xludf.IFNA(
        VLOOKUP($D239,{"PH","Provincial Hospital (H2)";"DH","District Hospital (H3)";"RH","Regional / National Hospital (H1)"},2,0),
        $D239
      ),
      'Tools &amp; Targets_Guideline'!$C$53:$I$53,
      0
    )
  ),
0))</f>
        <v/>
      </c>
      <c r="S239" s="105"/>
      <c r="T239" s="102"/>
      <c r="U239" s="106"/>
      <c r="V239" s="102" t="str">
        <f t="shared" si="1"/>
        <v/>
      </c>
      <c r="W239" s="102"/>
      <c r="X239" s="102"/>
      <c r="Y239" s="119" t="str">
        <f t="array" ref="Y239">IF(OR($B239="",$D239=""),"",
IFERROR(
  INDEX(
    'Tools &amp; Targets_Guideline'!$C$54:$I$269,
    MATCH(
      1,
      ('Tools &amp; Targets_Guideline'!$A$54:$A$269=$B239)*
      ('Tools &amp; Targets_Guideline'!$B$54:$B$269="GM"),
      0
    ),
    MATCH(
      _xludf.IFNA(
        VLOOKUP($D239,{"PH","Provincial Hospital (H2)";"DH","District Hospital (H3)";"RH","Regional / National Hospital (H1)"},2,0),
        $D239
      ),
      'Tools &amp; Targets_Guideline'!$C$53:$I$53,
      0
    )
  ),
0))</f>
        <v/>
      </c>
      <c r="Z239" s="105"/>
      <c r="AA239" s="119" t="str">
        <f t="array" ref="AA239">IF(OR($B239="",$D239=""),"",
IFERROR(
  INDEX(
    'Tools &amp; Targets_Guideline'!$C$54:$I$269,
    MATCH(
      1,
      ('Tools &amp; Targets_Guideline'!$A$54:$A$269=$B239)*
      ('Tools &amp; Targets_Guideline'!$B$54:$B$269="Penta"),
      0
    ),
    MATCH(
      _xludf.IFNA(
        VLOOKUP($D239,{"PH","Provincial Hospital (H2)";"DH","District Hospital (H3)";"RH","Regional / National Hospital (H1)"},2,0),
        $D239
      ),
      'Tools &amp; Targets_Guideline'!$C$53:$I$53,
      0
    )
  ),
0))</f>
        <v/>
      </c>
      <c r="AB239" s="105"/>
      <c r="AC239" s="119" t="str">
        <f t="array" ref="AC239">IF(OR($B239="",$D239=""),"",
IFERROR(
  INDEX(
    'Tools &amp; Targets_Guideline'!$C$54:$I$269,
    MATCH(
      1,
      ('Tools &amp; Targets_Guideline'!$A$54:$A$269=$B239)*
      ('Tools &amp; Targets_Guideline'!$B$54:$B$269="TB"),
      0
    ),
    MATCH(
      _xludf.IFNA(
        VLOOKUP($D239,{"PH","Provincial Hospital (H2)";"DH","District Hospital (H3)";"RH","Regional / National Hospital (H1)"},2,0),
        $D239
      ),
      'Tools &amp; Targets_Guideline'!$C$53:$I$53,
      0
    )
  ),
0))</f>
        <v/>
      </c>
      <c r="AD239" s="105"/>
      <c r="AE239" s="119" t="str">
        <f t="array" ref="AE239">IF(OR($B239="",$D239=""),"",
IFERROR(
  INDEX(
    'Tools &amp; Targets_Guideline'!$C$54:$I$269,
    MATCH(
      1,
      ('Tools &amp; Targets_Guideline'!$A$54:$A$269=$B239)*
      ('Tools &amp; Targets_Guideline'!$B$54:$B$269="U5 Morbidity"),
      0
    ),
    MATCH(
      _xludf.IFNA(
        VLOOKUP($D239,{"PH","Provincial Hospital (H2)";"DH","District Hospital (H3)";"RH","Regional / National Hospital (H1)"},2,0),
        $D239
      ),
      'Tools &amp; Targets_Guideline'!$C$53:$I$53,
      0
    )
  ),
0))</f>
        <v/>
      </c>
      <c r="AF239" s="105"/>
      <c r="AG239" s="119" t="str">
        <f t="array" ref="AG239">IF(OR($B239="",$D239=""),"",
IFERROR(
  INDEX(
    'Tools &amp; Targets_Guideline'!$C$54:$I$269,
    MATCH(
      1,
      ('Tools &amp; Targets_Guideline'!$A$54:$A$269=$B239)*
      ('Tools &amp; Targets_Guideline'!$B$54:$B$269="C-Section"),
      0
    ),
    MATCH(
      _xludf.IFNA(
        VLOOKUP($D239,{"PH","Provincial Hospital (H2)";"DH","District Hospital (H3)";"RH","Regional / National Hospital (H1)"},2,0),
        $D239
      ),
      'Tools &amp; Targets_Guideline'!$C$53:$I$53,
      0
    )
  ),
0))</f>
        <v/>
      </c>
      <c r="AH239" s="105" t="str">
        <f>IF(A239&lt;&gt;"",COUNTIFS('QA Log'!D:D,A239,'QA Log'!M:M,"QQC",'QA Log'!L:L,"2. Hygiene and Sterilization",'QA Log'!Z:Z,"Approved"),"")</f>
        <v/>
      </c>
      <c r="AI239" s="102"/>
      <c r="AJ239" s="102"/>
      <c r="AK239" s="103" t="str">
        <f t="shared" si="2"/>
        <v/>
      </c>
      <c r="AL239" s="102"/>
      <c r="AM239" s="102"/>
      <c r="AN239" s="102"/>
      <c r="AO239" s="106"/>
      <c r="AP239" s="103"/>
      <c r="AQ239" s="102"/>
      <c r="AR239" s="102"/>
      <c r="AS239" s="102"/>
      <c r="AT239" s="107"/>
      <c r="AU239" s="102" t="str">
        <f t="shared" si="3"/>
        <v/>
      </c>
      <c r="AV239" s="102" t="str">
        <f t="shared" si="4"/>
        <v/>
      </c>
      <c r="AW239" s="102" t="str">
        <f t="shared" si="5"/>
        <v/>
      </c>
      <c r="AX239" s="102" t="str">
        <f t="shared" si="6"/>
        <v/>
      </c>
      <c r="AY239" s="107" t="str">
        <f t="shared" si="7"/>
        <v/>
      </c>
      <c r="AZ239" s="108" t="str">
        <f t="shared" si="8"/>
        <v/>
      </c>
      <c r="BA239" s="108" t="str">
        <f t="shared" si="9"/>
        <v/>
      </c>
      <c r="BB239" s="109" t="str">
        <f t="shared" si="10"/>
        <v/>
      </c>
      <c r="BC239" s="108" t="str">
        <f t="shared" si="11"/>
        <v/>
      </c>
      <c r="BD239" s="108" t="str">
        <f t="shared" si="12"/>
        <v/>
      </c>
      <c r="BE239" s="109" t="str">
        <f t="shared" si="13"/>
        <v/>
      </c>
      <c r="BF239" s="110" t="str">
        <f t="shared" si="14"/>
        <v/>
      </c>
      <c r="BG239" s="111"/>
    </row>
    <row r="240" spans="1:59" ht="12.75">
      <c r="A240" s="101"/>
      <c r="B240" s="102"/>
      <c r="C240" s="102" t="e">
        <f t="array" aca="1" ref="C240" ca="1">_xludf.XLOOKUP(A240,'QA Log'!D:D,'QA Log'!F:F,"")</f>
        <v>#NAME?</v>
      </c>
      <c r="D240" s="102"/>
      <c r="E240" s="102" t="e">
        <f t="array" aca="1" ref="E240" ca="1">_xludf.XLOOKUP(A240,'QA Log'!D:D,'QA Log'!G:G,"")</f>
        <v>#NAME?</v>
      </c>
      <c r="F240" s="103"/>
      <c r="G240" s="104"/>
      <c r="H240" s="104"/>
      <c r="I240" s="103" t="str">
        <f t="shared" si="0"/>
        <v/>
      </c>
      <c r="J240" s="102"/>
      <c r="K240" s="102"/>
      <c r="L240" s="119" t="str">
        <f t="array" ref="L240">IF(OR($B240="",$D240=""),"",
IFERROR(
  INDEX(
    'Tools &amp; Targets_Guideline'!$C$54:$I$269,
    MATCH(
      1,
      ('Tools &amp; Targets_Guideline'!$A$54:$A$269=$B240)*
      ('Tools &amp; Targets_Guideline'!$B$54:$B$269="ANC"),
      0
    ),
    MATCH(
      _xludf.IFNA(
        VLOOKUP($D240,{"PH","Provincial Hospital (H2)";"DH","District Hospital (H3)";"RH","Regional / National Hospital (H1)"},2,0),
        $D240
      ),
      'Tools &amp; Targets_Guideline'!$C$53:$I$53,
      0
    )
  ),
0))</f>
        <v/>
      </c>
      <c r="M240" s="105"/>
      <c r="N240" s="119" t="str">
        <f t="array" ref="N240">IF(OR($B240="",$D240=""),"",
IFERROR(
  INDEX(
    'Tools &amp; Targets_Guideline'!$C$54:$I$269,
    MATCH(
      1,
      ('Tools &amp; Targets_Guideline'!$A$54:$A$269=$B240)*
      ('Tools &amp; Targets_Guideline'!$B$54:$B$269="PNC"),
      0
    ),
    MATCH(
      _xludf.IFNA(
        VLOOKUP($D240,{"PH","Provincial Hospital (H2)";"DH","District Hospital (H3)";"RH","Regional / National Hospital (H1)"},2,0),
        $D240
      ),
      'Tools &amp; Targets_Guideline'!$C$53:$I$53,
      0
    )
  ),
0))</f>
        <v/>
      </c>
      <c r="O240" s="105"/>
      <c r="P240" s="119" t="str">
        <f t="array" ref="P240">IF(OR($B240="",$D240=""),"",
IFERROR(
  INDEX(
    'Tools &amp; Targets_Guideline'!$C$54:$I$269,
    MATCH(
      1,
      ('Tools &amp; Targets_Guideline'!$A$54:$A$269=$B240)*
      ('Tools &amp; Targets_Guideline'!$B$54:$B$269="Delivery"),
      0
    ),
    MATCH(
      _xludf.IFNA(
        VLOOKUP($D240,{"PH","Provincial Hospital (H2)";"DH","District Hospital (H3)";"RH","Regional / National Hospital (H1)"},2,0),
        $D240
      ),
      'Tools &amp; Targets_Guideline'!$C$53:$I$53,
      0
    )
  ),
0))</f>
        <v/>
      </c>
      <c r="Q240" s="105"/>
      <c r="R240" s="119" t="str">
        <f t="array" ref="R240">IF(OR($B240="",$D240=""),"",
IFERROR(
  INDEX(
    'Tools &amp; Targets_Guideline'!$C$54:$I$269,
    MATCH(
      1,
      ('Tools &amp; Targets_Guideline'!$A$54:$A$269=$B240)*
      ('Tools &amp; Targets_Guideline'!$B$54:$B$269="TT"),
      0
    ),
    MATCH(
      _xludf.IFNA(
        VLOOKUP($D240,{"PH","Provincial Hospital (H2)";"DH","District Hospital (H3)";"RH","Regional / National Hospital (H1)"},2,0),
        $D240
      ),
      'Tools &amp; Targets_Guideline'!$C$53:$I$53,
      0
    )
  ),
0))</f>
        <v/>
      </c>
      <c r="S240" s="105"/>
      <c r="T240" s="102"/>
      <c r="U240" s="106"/>
      <c r="V240" s="102" t="str">
        <f t="shared" si="1"/>
        <v/>
      </c>
      <c r="W240" s="102"/>
      <c r="X240" s="102"/>
      <c r="Y240" s="119" t="str">
        <f t="array" ref="Y240">IF(OR($B240="",$D240=""),"",
IFERROR(
  INDEX(
    'Tools &amp; Targets_Guideline'!$C$54:$I$269,
    MATCH(
      1,
      ('Tools &amp; Targets_Guideline'!$A$54:$A$269=$B240)*
      ('Tools &amp; Targets_Guideline'!$B$54:$B$269="GM"),
      0
    ),
    MATCH(
      _xludf.IFNA(
        VLOOKUP($D240,{"PH","Provincial Hospital (H2)";"DH","District Hospital (H3)";"RH","Regional / National Hospital (H1)"},2,0),
        $D240
      ),
      'Tools &amp; Targets_Guideline'!$C$53:$I$53,
      0
    )
  ),
0))</f>
        <v/>
      </c>
      <c r="Z240" s="105"/>
      <c r="AA240" s="119" t="str">
        <f t="array" ref="AA240">IF(OR($B240="",$D240=""),"",
IFERROR(
  INDEX(
    'Tools &amp; Targets_Guideline'!$C$54:$I$269,
    MATCH(
      1,
      ('Tools &amp; Targets_Guideline'!$A$54:$A$269=$B240)*
      ('Tools &amp; Targets_Guideline'!$B$54:$B$269="Penta"),
      0
    ),
    MATCH(
      _xludf.IFNA(
        VLOOKUP($D240,{"PH","Provincial Hospital (H2)";"DH","District Hospital (H3)";"RH","Regional / National Hospital (H1)"},2,0),
        $D240
      ),
      'Tools &amp; Targets_Guideline'!$C$53:$I$53,
      0
    )
  ),
0))</f>
        <v/>
      </c>
      <c r="AB240" s="105"/>
      <c r="AC240" s="119" t="str">
        <f t="array" ref="AC240">IF(OR($B240="",$D240=""),"",
IFERROR(
  INDEX(
    'Tools &amp; Targets_Guideline'!$C$54:$I$269,
    MATCH(
      1,
      ('Tools &amp; Targets_Guideline'!$A$54:$A$269=$B240)*
      ('Tools &amp; Targets_Guideline'!$B$54:$B$269="TB"),
      0
    ),
    MATCH(
      _xludf.IFNA(
        VLOOKUP($D240,{"PH","Provincial Hospital (H2)";"DH","District Hospital (H3)";"RH","Regional / National Hospital (H1)"},2,0),
        $D240
      ),
      'Tools &amp; Targets_Guideline'!$C$53:$I$53,
      0
    )
  ),
0))</f>
        <v/>
      </c>
      <c r="AD240" s="105"/>
      <c r="AE240" s="119" t="str">
        <f t="array" ref="AE240">IF(OR($B240="",$D240=""),"",
IFERROR(
  INDEX(
    'Tools &amp; Targets_Guideline'!$C$54:$I$269,
    MATCH(
      1,
      ('Tools &amp; Targets_Guideline'!$A$54:$A$269=$B240)*
      ('Tools &amp; Targets_Guideline'!$B$54:$B$269="U5 Morbidity"),
      0
    ),
    MATCH(
      _xludf.IFNA(
        VLOOKUP($D240,{"PH","Provincial Hospital (H2)";"DH","District Hospital (H3)";"RH","Regional / National Hospital (H1)"},2,0),
        $D240
      ),
      'Tools &amp; Targets_Guideline'!$C$53:$I$53,
      0
    )
  ),
0))</f>
        <v/>
      </c>
      <c r="AF240" s="105"/>
      <c r="AG240" s="119" t="str">
        <f t="array" ref="AG240">IF(OR($B240="",$D240=""),"",
IFERROR(
  INDEX(
    'Tools &amp; Targets_Guideline'!$C$54:$I$269,
    MATCH(
      1,
      ('Tools &amp; Targets_Guideline'!$A$54:$A$269=$B240)*
      ('Tools &amp; Targets_Guideline'!$B$54:$B$269="C-Section"),
      0
    ),
    MATCH(
      _xludf.IFNA(
        VLOOKUP($D240,{"PH","Provincial Hospital (H2)";"DH","District Hospital (H3)";"RH","Regional / National Hospital (H1)"},2,0),
        $D240
      ),
      'Tools &amp; Targets_Guideline'!$C$53:$I$53,
      0
    )
  ),
0))</f>
        <v/>
      </c>
      <c r="AH240" s="105" t="str">
        <f>IF(A240&lt;&gt;"",COUNTIFS('QA Log'!D:D,A240,'QA Log'!M:M,"QQC",'QA Log'!L:L,"2. Hygiene and Sterilization",'QA Log'!Z:Z,"Approved"),"")</f>
        <v/>
      </c>
      <c r="AI240" s="102"/>
      <c r="AJ240" s="102"/>
      <c r="AK240" s="103" t="str">
        <f t="shared" si="2"/>
        <v/>
      </c>
      <c r="AL240" s="102"/>
      <c r="AM240" s="102"/>
      <c r="AN240" s="102"/>
      <c r="AO240" s="106"/>
      <c r="AP240" s="103"/>
      <c r="AQ240" s="102"/>
      <c r="AR240" s="102"/>
      <c r="AS240" s="102"/>
      <c r="AT240" s="107"/>
      <c r="AU240" s="102" t="str">
        <f t="shared" si="3"/>
        <v/>
      </c>
      <c r="AV240" s="102" t="str">
        <f t="shared" si="4"/>
        <v/>
      </c>
      <c r="AW240" s="102" t="str">
        <f t="shared" si="5"/>
        <v/>
      </c>
      <c r="AX240" s="102" t="str">
        <f t="shared" si="6"/>
        <v/>
      </c>
      <c r="AY240" s="107" t="str">
        <f t="shared" si="7"/>
        <v/>
      </c>
      <c r="AZ240" s="108" t="str">
        <f t="shared" si="8"/>
        <v/>
      </c>
      <c r="BA240" s="108" t="str">
        <f t="shared" si="9"/>
        <v/>
      </c>
      <c r="BB240" s="109" t="str">
        <f t="shared" si="10"/>
        <v/>
      </c>
      <c r="BC240" s="108" t="str">
        <f t="shared" si="11"/>
        <v/>
      </c>
      <c r="BD240" s="108" t="str">
        <f t="shared" si="12"/>
        <v/>
      </c>
      <c r="BE240" s="109" t="str">
        <f t="shared" si="13"/>
        <v/>
      </c>
      <c r="BF240" s="110" t="str">
        <f t="shared" si="14"/>
        <v/>
      </c>
      <c r="BG240" s="111"/>
    </row>
    <row r="241" spans="1:59" ht="12.75">
      <c r="A241" s="101"/>
      <c r="B241" s="102"/>
      <c r="C241" s="102" t="e">
        <f t="array" aca="1" ref="C241" ca="1">_xludf.XLOOKUP(A241,'QA Log'!D:D,'QA Log'!F:F,"")</f>
        <v>#NAME?</v>
      </c>
      <c r="D241" s="102"/>
      <c r="E241" s="102" t="e">
        <f t="array" aca="1" ref="E241" ca="1">_xludf.XLOOKUP(A241,'QA Log'!D:D,'QA Log'!G:G,"")</f>
        <v>#NAME?</v>
      </c>
      <c r="F241" s="103"/>
      <c r="G241" s="104"/>
      <c r="H241" s="104"/>
      <c r="I241" s="103" t="str">
        <f t="shared" si="0"/>
        <v/>
      </c>
      <c r="J241" s="102"/>
      <c r="K241" s="102"/>
      <c r="L241" s="119" t="str">
        <f t="array" ref="L241">IF(OR($B241="",$D241=""),"",
IFERROR(
  INDEX(
    'Tools &amp; Targets_Guideline'!$C$54:$I$269,
    MATCH(
      1,
      ('Tools &amp; Targets_Guideline'!$A$54:$A$269=$B241)*
      ('Tools &amp; Targets_Guideline'!$B$54:$B$269="ANC"),
      0
    ),
    MATCH(
      _xludf.IFNA(
        VLOOKUP($D241,{"PH","Provincial Hospital (H2)";"DH","District Hospital (H3)";"RH","Regional / National Hospital (H1)"},2,0),
        $D241
      ),
      'Tools &amp; Targets_Guideline'!$C$53:$I$53,
      0
    )
  ),
0))</f>
        <v/>
      </c>
      <c r="M241" s="105"/>
      <c r="N241" s="119" t="str">
        <f t="array" ref="N241">IF(OR($B241="",$D241=""),"",
IFERROR(
  INDEX(
    'Tools &amp; Targets_Guideline'!$C$54:$I$269,
    MATCH(
      1,
      ('Tools &amp; Targets_Guideline'!$A$54:$A$269=$B241)*
      ('Tools &amp; Targets_Guideline'!$B$54:$B$269="PNC"),
      0
    ),
    MATCH(
      _xludf.IFNA(
        VLOOKUP($D241,{"PH","Provincial Hospital (H2)";"DH","District Hospital (H3)";"RH","Regional / National Hospital (H1)"},2,0),
        $D241
      ),
      'Tools &amp; Targets_Guideline'!$C$53:$I$53,
      0
    )
  ),
0))</f>
        <v/>
      </c>
      <c r="O241" s="105"/>
      <c r="P241" s="119" t="str">
        <f t="array" ref="P241">IF(OR($B241="",$D241=""),"",
IFERROR(
  INDEX(
    'Tools &amp; Targets_Guideline'!$C$54:$I$269,
    MATCH(
      1,
      ('Tools &amp; Targets_Guideline'!$A$54:$A$269=$B241)*
      ('Tools &amp; Targets_Guideline'!$B$54:$B$269="Delivery"),
      0
    ),
    MATCH(
      _xludf.IFNA(
        VLOOKUP($D241,{"PH","Provincial Hospital (H2)";"DH","District Hospital (H3)";"RH","Regional / National Hospital (H1)"},2,0),
        $D241
      ),
      'Tools &amp; Targets_Guideline'!$C$53:$I$53,
      0
    )
  ),
0))</f>
        <v/>
      </c>
      <c r="Q241" s="105"/>
      <c r="R241" s="119" t="str">
        <f t="array" ref="R241">IF(OR($B241="",$D241=""),"",
IFERROR(
  INDEX(
    'Tools &amp; Targets_Guideline'!$C$54:$I$269,
    MATCH(
      1,
      ('Tools &amp; Targets_Guideline'!$A$54:$A$269=$B241)*
      ('Tools &amp; Targets_Guideline'!$B$54:$B$269="TT"),
      0
    ),
    MATCH(
      _xludf.IFNA(
        VLOOKUP($D241,{"PH","Provincial Hospital (H2)";"DH","District Hospital (H3)";"RH","Regional / National Hospital (H1)"},2,0),
        $D241
      ),
      'Tools &amp; Targets_Guideline'!$C$53:$I$53,
      0
    )
  ),
0))</f>
        <v/>
      </c>
      <c r="S241" s="105"/>
      <c r="T241" s="102"/>
      <c r="U241" s="106"/>
      <c r="V241" s="102" t="str">
        <f t="shared" si="1"/>
        <v/>
      </c>
      <c r="W241" s="102"/>
      <c r="X241" s="102"/>
      <c r="Y241" s="119" t="str">
        <f t="array" ref="Y241">IF(OR($B241="",$D241=""),"",
IFERROR(
  INDEX(
    'Tools &amp; Targets_Guideline'!$C$54:$I$269,
    MATCH(
      1,
      ('Tools &amp; Targets_Guideline'!$A$54:$A$269=$B241)*
      ('Tools &amp; Targets_Guideline'!$B$54:$B$269="GM"),
      0
    ),
    MATCH(
      _xludf.IFNA(
        VLOOKUP($D241,{"PH","Provincial Hospital (H2)";"DH","District Hospital (H3)";"RH","Regional / National Hospital (H1)"},2,0),
        $D241
      ),
      'Tools &amp; Targets_Guideline'!$C$53:$I$53,
      0
    )
  ),
0))</f>
        <v/>
      </c>
      <c r="Z241" s="105"/>
      <c r="AA241" s="119" t="str">
        <f t="array" ref="AA241">IF(OR($B241="",$D241=""),"",
IFERROR(
  INDEX(
    'Tools &amp; Targets_Guideline'!$C$54:$I$269,
    MATCH(
      1,
      ('Tools &amp; Targets_Guideline'!$A$54:$A$269=$B241)*
      ('Tools &amp; Targets_Guideline'!$B$54:$B$269="Penta"),
      0
    ),
    MATCH(
      _xludf.IFNA(
        VLOOKUP($D241,{"PH","Provincial Hospital (H2)";"DH","District Hospital (H3)";"RH","Regional / National Hospital (H1)"},2,0),
        $D241
      ),
      'Tools &amp; Targets_Guideline'!$C$53:$I$53,
      0
    )
  ),
0))</f>
        <v/>
      </c>
      <c r="AB241" s="105"/>
      <c r="AC241" s="119" t="str">
        <f t="array" ref="AC241">IF(OR($B241="",$D241=""),"",
IFERROR(
  INDEX(
    'Tools &amp; Targets_Guideline'!$C$54:$I$269,
    MATCH(
      1,
      ('Tools &amp; Targets_Guideline'!$A$54:$A$269=$B241)*
      ('Tools &amp; Targets_Guideline'!$B$54:$B$269="TB"),
      0
    ),
    MATCH(
      _xludf.IFNA(
        VLOOKUP($D241,{"PH","Provincial Hospital (H2)";"DH","District Hospital (H3)";"RH","Regional / National Hospital (H1)"},2,0),
        $D241
      ),
      'Tools &amp; Targets_Guideline'!$C$53:$I$53,
      0
    )
  ),
0))</f>
        <v/>
      </c>
      <c r="AD241" s="105"/>
      <c r="AE241" s="119" t="str">
        <f t="array" ref="AE241">IF(OR($B241="",$D241=""),"",
IFERROR(
  INDEX(
    'Tools &amp; Targets_Guideline'!$C$54:$I$269,
    MATCH(
      1,
      ('Tools &amp; Targets_Guideline'!$A$54:$A$269=$B241)*
      ('Tools &amp; Targets_Guideline'!$B$54:$B$269="U5 Morbidity"),
      0
    ),
    MATCH(
      _xludf.IFNA(
        VLOOKUP($D241,{"PH","Provincial Hospital (H2)";"DH","District Hospital (H3)";"RH","Regional / National Hospital (H1)"},2,0),
        $D241
      ),
      'Tools &amp; Targets_Guideline'!$C$53:$I$53,
      0
    )
  ),
0))</f>
        <v/>
      </c>
      <c r="AF241" s="105"/>
      <c r="AG241" s="119" t="str">
        <f t="array" ref="AG241">IF(OR($B241="",$D241=""),"",
IFERROR(
  INDEX(
    'Tools &amp; Targets_Guideline'!$C$54:$I$269,
    MATCH(
      1,
      ('Tools &amp; Targets_Guideline'!$A$54:$A$269=$B241)*
      ('Tools &amp; Targets_Guideline'!$B$54:$B$269="C-Section"),
      0
    ),
    MATCH(
      _xludf.IFNA(
        VLOOKUP($D241,{"PH","Provincial Hospital (H2)";"DH","District Hospital (H3)";"RH","Regional / National Hospital (H1)"},2,0),
        $D241
      ),
      'Tools &amp; Targets_Guideline'!$C$53:$I$53,
      0
    )
  ),
0))</f>
        <v/>
      </c>
      <c r="AH241" s="105" t="str">
        <f>IF(A241&lt;&gt;"",COUNTIFS('QA Log'!D:D,A241,'QA Log'!M:M,"QQC",'QA Log'!L:L,"2. Hygiene and Sterilization",'QA Log'!Z:Z,"Approved"),"")</f>
        <v/>
      </c>
      <c r="AI241" s="102"/>
      <c r="AJ241" s="102"/>
      <c r="AK241" s="103" t="str">
        <f t="shared" si="2"/>
        <v/>
      </c>
      <c r="AL241" s="102"/>
      <c r="AM241" s="102"/>
      <c r="AN241" s="102"/>
      <c r="AO241" s="106"/>
      <c r="AP241" s="103"/>
      <c r="AQ241" s="102"/>
      <c r="AR241" s="102"/>
      <c r="AS241" s="102"/>
      <c r="AT241" s="107"/>
      <c r="AU241" s="102" t="str">
        <f t="shared" si="3"/>
        <v/>
      </c>
      <c r="AV241" s="102" t="str">
        <f t="shared" si="4"/>
        <v/>
      </c>
      <c r="AW241" s="102" t="str">
        <f t="shared" si="5"/>
        <v/>
      </c>
      <c r="AX241" s="102" t="str">
        <f t="shared" si="6"/>
        <v/>
      </c>
      <c r="AY241" s="107" t="str">
        <f t="shared" si="7"/>
        <v/>
      </c>
      <c r="AZ241" s="108" t="str">
        <f t="shared" si="8"/>
        <v/>
      </c>
      <c r="BA241" s="108" t="str">
        <f t="shared" si="9"/>
        <v/>
      </c>
      <c r="BB241" s="109" t="str">
        <f t="shared" si="10"/>
        <v/>
      </c>
      <c r="BC241" s="108" t="str">
        <f t="shared" si="11"/>
        <v/>
      </c>
      <c r="BD241" s="108" t="str">
        <f t="shared" si="12"/>
        <v/>
      </c>
      <c r="BE241" s="109" t="str">
        <f t="shared" si="13"/>
        <v/>
      </c>
      <c r="BF241" s="110" t="str">
        <f t="shared" si="14"/>
        <v/>
      </c>
      <c r="BG241" s="111"/>
    </row>
    <row r="242" spans="1:59" ht="12.75">
      <c r="A242" s="101"/>
      <c r="B242" s="102"/>
      <c r="C242" s="102" t="e">
        <f t="array" aca="1" ref="C242" ca="1">_xludf.XLOOKUP(A242,'QA Log'!D:D,'QA Log'!F:F,"")</f>
        <v>#NAME?</v>
      </c>
      <c r="D242" s="102"/>
      <c r="E242" s="102" t="e">
        <f t="array" aca="1" ref="E242" ca="1">_xludf.XLOOKUP(A242,'QA Log'!D:D,'QA Log'!G:G,"")</f>
        <v>#NAME?</v>
      </c>
      <c r="F242" s="103"/>
      <c r="G242" s="104"/>
      <c r="H242" s="104"/>
      <c r="I242" s="103" t="str">
        <f t="shared" si="0"/>
        <v/>
      </c>
      <c r="J242" s="102"/>
      <c r="K242" s="102"/>
      <c r="L242" s="119" t="str">
        <f t="array" ref="L242">IF(OR($B242="",$D242=""),"",
IFERROR(
  INDEX(
    'Tools &amp; Targets_Guideline'!$C$54:$I$269,
    MATCH(
      1,
      ('Tools &amp; Targets_Guideline'!$A$54:$A$269=$B242)*
      ('Tools &amp; Targets_Guideline'!$B$54:$B$269="ANC"),
      0
    ),
    MATCH(
      _xludf.IFNA(
        VLOOKUP($D242,{"PH","Provincial Hospital (H2)";"DH","District Hospital (H3)";"RH","Regional / National Hospital (H1)"},2,0),
        $D242
      ),
      'Tools &amp; Targets_Guideline'!$C$53:$I$53,
      0
    )
  ),
0))</f>
        <v/>
      </c>
      <c r="M242" s="105"/>
      <c r="N242" s="119" t="str">
        <f t="array" ref="N242">IF(OR($B242="",$D242=""),"",
IFERROR(
  INDEX(
    'Tools &amp; Targets_Guideline'!$C$54:$I$269,
    MATCH(
      1,
      ('Tools &amp; Targets_Guideline'!$A$54:$A$269=$B242)*
      ('Tools &amp; Targets_Guideline'!$B$54:$B$269="PNC"),
      0
    ),
    MATCH(
      _xludf.IFNA(
        VLOOKUP($D242,{"PH","Provincial Hospital (H2)";"DH","District Hospital (H3)";"RH","Regional / National Hospital (H1)"},2,0),
        $D242
      ),
      'Tools &amp; Targets_Guideline'!$C$53:$I$53,
      0
    )
  ),
0))</f>
        <v/>
      </c>
      <c r="O242" s="105"/>
      <c r="P242" s="119" t="str">
        <f t="array" ref="P242">IF(OR($B242="",$D242=""),"",
IFERROR(
  INDEX(
    'Tools &amp; Targets_Guideline'!$C$54:$I$269,
    MATCH(
      1,
      ('Tools &amp; Targets_Guideline'!$A$54:$A$269=$B242)*
      ('Tools &amp; Targets_Guideline'!$B$54:$B$269="Delivery"),
      0
    ),
    MATCH(
      _xludf.IFNA(
        VLOOKUP($D242,{"PH","Provincial Hospital (H2)";"DH","District Hospital (H3)";"RH","Regional / National Hospital (H1)"},2,0),
        $D242
      ),
      'Tools &amp; Targets_Guideline'!$C$53:$I$53,
      0
    )
  ),
0))</f>
        <v/>
      </c>
      <c r="Q242" s="105"/>
      <c r="R242" s="119" t="str">
        <f t="array" ref="R242">IF(OR($B242="",$D242=""),"",
IFERROR(
  INDEX(
    'Tools &amp; Targets_Guideline'!$C$54:$I$269,
    MATCH(
      1,
      ('Tools &amp; Targets_Guideline'!$A$54:$A$269=$B242)*
      ('Tools &amp; Targets_Guideline'!$B$54:$B$269="TT"),
      0
    ),
    MATCH(
      _xludf.IFNA(
        VLOOKUP($D242,{"PH","Provincial Hospital (H2)";"DH","District Hospital (H3)";"RH","Regional / National Hospital (H1)"},2,0),
        $D242
      ),
      'Tools &amp; Targets_Guideline'!$C$53:$I$53,
      0
    )
  ),
0))</f>
        <v/>
      </c>
      <c r="S242" s="105"/>
      <c r="T242" s="102"/>
      <c r="U242" s="106"/>
      <c r="V242" s="102" t="str">
        <f t="shared" si="1"/>
        <v/>
      </c>
      <c r="W242" s="102"/>
      <c r="X242" s="102"/>
      <c r="Y242" s="119" t="str">
        <f t="array" ref="Y242">IF(OR($B242="",$D242=""),"",
IFERROR(
  INDEX(
    'Tools &amp; Targets_Guideline'!$C$54:$I$269,
    MATCH(
      1,
      ('Tools &amp; Targets_Guideline'!$A$54:$A$269=$B242)*
      ('Tools &amp; Targets_Guideline'!$B$54:$B$269="GM"),
      0
    ),
    MATCH(
      _xludf.IFNA(
        VLOOKUP($D242,{"PH","Provincial Hospital (H2)";"DH","District Hospital (H3)";"RH","Regional / National Hospital (H1)"},2,0),
        $D242
      ),
      'Tools &amp; Targets_Guideline'!$C$53:$I$53,
      0
    )
  ),
0))</f>
        <v/>
      </c>
      <c r="Z242" s="105"/>
      <c r="AA242" s="119" t="str">
        <f t="array" ref="AA242">IF(OR($B242="",$D242=""),"",
IFERROR(
  INDEX(
    'Tools &amp; Targets_Guideline'!$C$54:$I$269,
    MATCH(
      1,
      ('Tools &amp; Targets_Guideline'!$A$54:$A$269=$B242)*
      ('Tools &amp; Targets_Guideline'!$B$54:$B$269="Penta"),
      0
    ),
    MATCH(
      _xludf.IFNA(
        VLOOKUP($D242,{"PH","Provincial Hospital (H2)";"DH","District Hospital (H3)";"RH","Regional / National Hospital (H1)"},2,0),
        $D242
      ),
      'Tools &amp; Targets_Guideline'!$C$53:$I$53,
      0
    )
  ),
0))</f>
        <v/>
      </c>
      <c r="AB242" s="105"/>
      <c r="AC242" s="119" t="str">
        <f t="array" ref="AC242">IF(OR($B242="",$D242=""),"",
IFERROR(
  INDEX(
    'Tools &amp; Targets_Guideline'!$C$54:$I$269,
    MATCH(
      1,
      ('Tools &amp; Targets_Guideline'!$A$54:$A$269=$B242)*
      ('Tools &amp; Targets_Guideline'!$B$54:$B$269="TB"),
      0
    ),
    MATCH(
      _xludf.IFNA(
        VLOOKUP($D242,{"PH","Provincial Hospital (H2)";"DH","District Hospital (H3)";"RH","Regional / National Hospital (H1)"},2,0),
        $D242
      ),
      'Tools &amp; Targets_Guideline'!$C$53:$I$53,
      0
    )
  ),
0))</f>
        <v/>
      </c>
      <c r="AD242" s="105"/>
      <c r="AE242" s="119" t="str">
        <f t="array" ref="AE242">IF(OR($B242="",$D242=""),"",
IFERROR(
  INDEX(
    'Tools &amp; Targets_Guideline'!$C$54:$I$269,
    MATCH(
      1,
      ('Tools &amp; Targets_Guideline'!$A$54:$A$269=$B242)*
      ('Tools &amp; Targets_Guideline'!$B$54:$B$269="U5 Morbidity"),
      0
    ),
    MATCH(
      _xludf.IFNA(
        VLOOKUP($D242,{"PH","Provincial Hospital (H2)";"DH","District Hospital (H3)";"RH","Regional / National Hospital (H1)"},2,0),
        $D242
      ),
      'Tools &amp; Targets_Guideline'!$C$53:$I$53,
      0
    )
  ),
0))</f>
        <v/>
      </c>
      <c r="AF242" s="105"/>
      <c r="AG242" s="119" t="str">
        <f t="array" ref="AG242">IF(OR($B242="",$D242=""),"",
IFERROR(
  INDEX(
    'Tools &amp; Targets_Guideline'!$C$54:$I$269,
    MATCH(
      1,
      ('Tools &amp; Targets_Guideline'!$A$54:$A$269=$B242)*
      ('Tools &amp; Targets_Guideline'!$B$54:$B$269="C-Section"),
      0
    ),
    MATCH(
      _xludf.IFNA(
        VLOOKUP($D242,{"PH","Provincial Hospital (H2)";"DH","District Hospital (H3)";"RH","Regional / National Hospital (H1)"},2,0),
        $D242
      ),
      'Tools &amp; Targets_Guideline'!$C$53:$I$53,
      0
    )
  ),
0))</f>
        <v/>
      </c>
      <c r="AH242" s="105" t="str">
        <f>IF(A242&lt;&gt;"",COUNTIFS('QA Log'!D:D,A242,'QA Log'!M:M,"QQC",'QA Log'!L:L,"2. Hygiene and Sterilization",'QA Log'!Z:Z,"Approved"),"")</f>
        <v/>
      </c>
      <c r="AI242" s="102"/>
      <c r="AJ242" s="102"/>
      <c r="AK242" s="103" t="str">
        <f t="shared" si="2"/>
        <v/>
      </c>
      <c r="AL242" s="102"/>
      <c r="AM242" s="102"/>
      <c r="AN242" s="102"/>
      <c r="AO242" s="106"/>
      <c r="AP242" s="103"/>
      <c r="AQ242" s="102"/>
      <c r="AR242" s="102"/>
      <c r="AS242" s="102"/>
      <c r="AT242" s="107"/>
      <c r="AU242" s="102" t="str">
        <f t="shared" si="3"/>
        <v/>
      </c>
      <c r="AV242" s="102" t="str">
        <f t="shared" si="4"/>
        <v/>
      </c>
      <c r="AW242" s="102" t="str">
        <f t="shared" si="5"/>
        <v/>
      </c>
      <c r="AX242" s="102" t="str">
        <f t="shared" si="6"/>
        <v/>
      </c>
      <c r="AY242" s="107" t="str">
        <f t="shared" si="7"/>
        <v/>
      </c>
      <c r="AZ242" s="108" t="str">
        <f t="shared" si="8"/>
        <v/>
      </c>
      <c r="BA242" s="108" t="str">
        <f t="shared" si="9"/>
        <v/>
      </c>
      <c r="BB242" s="109" t="str">
        <f t="shared" si="10"/>
        <v/>
      </c>
      <c r="BC242" s="108" t="str">
        <f t="shared" si="11"/>
        <v/>
      </c>
      <c r="BD242" s="108" t="str">
        <f t="shared" si="12"/>
        <v/>
      </c>
      <c r="BE242" s="109" t="str">
        <f t="shared" si="13"/>
        <v/>
      </c>
      <c r="BF242" s="110" t="str">
        <f t="shared" si="14"/>
        <v/>
      </c>
      <c r="BG242" s="111"/>
    </row>
    <row r="243" spans="1:59" ht="12.75">
      <c r="A243" s="101"/>
      <c r="B243" s="102"/>
      <c r="C243" s="102" t="e">
        <f t="array" aca="1" ref="C243" ca="1">_xludf.XLOOKUP(A243,'QA Log'!D:D,'QA Log'!F:F,"")</f>
        <v>#NAME?</v>
      </c>
      <c r="D243" s="102"/>
      <c r="E243" s="102" t="e">
        <f t="array" aca="1" ref="E243" ca="1">_xludf.XLOOKUP(A243,'QA Log'!D:D,'QA Log'!G:G,"")</f>
        <v>#NAME?</v>
      </c>
      <c r="F243" s="103"/>
      <c r="G243" s="104"/>
      <c r="H243" s="104"/>
      <c r="I243" s="103" t="str">
        <f t="shared" si="0"/>
        <v/>
      </c>
      <c r="J243" s="102"/>
      <c r="K243" s="102"/>
      <c r="L243" s="119" t="str">
        <f t="array" ref="L243">IF(OR($B243="",$D243=""),"",
IFERROR(
  INDEX(
    'Tools &amp; Targets_Guideline'!$C$54:$I$269,
    MATCH(
      1,
      ('Tools &amp; Targets_Guideline'!$A$54:$A$269=$B243)*
      ('Tools &amp; Targets_Guideline'!$B$54:$B$269="ANC"),
      0
    ),
    MATCH(
      _xludf.IFNA(
        VLOOKUP($D243,{"PH","Provincial Hospital (H2)";"DH","District Hospital (H3)";"RH","Regional / National Hospital (H1)"},2,0),
        $D243
      ),
      'Tools &amp; Targets_Guideline'!$C$53:$I$53,
      0
    )
  ),
0))</f>
        <v/>
      </c>
      <c r="M243" s="105"/>
      <c r="N243" s="119" t="str">
        <f t="array" ref="N243">IF(OR($B243="",$D243=""),"",
IFERROR(
  INDEX(
    'Tools &amp; Targets_Guideline'!$C$54:$I$269,
    MATCH(
      1,
      ('Tools &amp; Targets_Guideline'!$A$54:$A$269=$B243)*
      ('Tools &amp; Targets_Guideline'!$B$54:$B$269="PNC"),
      0
    ),
    MATCH(
      _xludf.IFNA(
        VLOOKUP($D243,{"PH","Provincial Hospital (H2)";"DH","District Hospital (H3)";"RH","Regional / National Hospital (H1)"},2,0),
        $D243
      ),
      'Tools &amp; Targets_Guideline'!$C$53:$I$53,
      0
    )
  ),
0))</f>
        <v/>
      </c>
      <c r="O243" s="105"/>
      <c r="P243" s="119" t="str">
        <f t="array" ref="P243">IF(OR($B243="",$D243=""),"",
IFERROR(
  INDEX(
    'Tools &amp; Targets_Guideline'!$C$54:$I$269,
    MATCH(
      1,
      ('Tools &amp; Targets_Guideline'!$A$54:$A$269=$B243)*
      ('Tools &amp; Targets_Guideline'!$B$54:$B$269="Delivery"),
      0
    ),
    MATCH(
      _xludf.IFNA(
        VLOOKUP($D243,{"PH","Provincial Hospital (H2)";"DH","District Hospital (H3)";"RH","Regional / National Hospital (H1)"},2,0),
        $D243
      ),
      'Tools &amp; Targets_Guideline'!$C$53:$I$53,
      0
    )
  ),
0))</f>
        <v/>
      </c>
      <c r="Q243" s="105"/>
      <c r="R243" s="119" t="str">
        <f t="array" ref="R243">IF(OR($B243="",$D243=""),"",
IFERROR(
  INDEX(
    'Tools &amp; Targets_Guideline'!$C$54:$I$269,
    MATCH(
      1,
      ('Tools &amp; Targets_Guideline'!$A$54:$A$269=$B243)*
      ('Tools &amp; Targets_Guideline'!$B$54:$B$269="TT"),
      0
    ),
    MATCH(
      _xludf.IFNA(
        VLOOKUP($D243,{"PH","Provincial Hospital (H2)";"DH","District Hospital (H3)";"RH","Regional / National Hospital (H1)"},2,0),
        $D243
      ),
      'Tools &amp; Targets_Guideline'!$C$53:$I$53,
      0
    )
  ),
0))</f>
        <v/>
      </c>
      <c r="S243" s="105"/>
      <c r="T243" s="102"/>
      <c r="U243" s="106"/>
      <c r="V243" s="102" t="str">
        <f t="shared" si="1"/>
        <v/>
      </c>
      <c r="W243" s="102"/>
      <c r="X243" s="102"/>
      <c r="Y243" s="119" t="str">
        <f t="array" ref="Y243">IF(OR($B243="",$D243=""),"",
IFERROR(
  INDEX(
    'Tools &amp; Targets_Guideline'!$C$54:$I$269,
    MATCH(
      1,
      ('Tools &amp; Targets_Guideline'!$A$54:$A$269=$B243)*
      ('Tools &amp; Targets_Guideline'!$B$54:$B$269="GM"),
      0
    ),
    MATCH(
      _xludf.IFNA(
        VLOOKUP($D243,{"PH","Provincial Hospital (H2)";"DH","District Hospital (H3)";"RH","Regional / National Hospital (H1)"},2,0),
        $D243
      ),
      'Tools &amp; Targets_Guideline'!$C$53:$I$53,
      0
    )
  ),
0))</f>
        <v/>
      </c>
      <c r="Z243" s="105"/>
      <c r="AA243" s="119" t="str">
        <f t="array" ref="AA243">IF(OR($B243="",$D243=""),"",
IFERROR(
  INDEX(
    'Tools &amp; Targets_Guideline'!$C$54:$I$269,
    MATCH(
      1,
      ('Tools &amp; Targets_Guideline'!$A$54:$A$269=$B243)*
      ('Tools &amp; Targets_Guideline'!$B$54:$B$269="Penta"),
      0
    ),
    MATCH(
      _xludf.IFNA(
        VLOOKUP($D243,{"PH","Provincial Hospital (H2)";"DH","District Hospital (H3)";"RH","Regional / National Hospital (H1)"},2,0),
        $D243
      ),
      'Tools &amp; Targets_Guideline'!$C$53:$I$53,
      0
    )
  ),
0))</f>
        <v/>
      </c>
      <c r="AB243" s="105"/>
      <c r="AC243" s="119" t="str">
        <f t="array" ref="AC243">IF(OR($B243="",$D243=""),"",
IFERROR(
  INDEX(
    'Tools &amp; Targets_Guideline'!$C$54:$I$269,
    MATCH(
      1,
      ('Tools &amp; Targets_Guideline'!$A$54:$A$269=$B243)*
      ('Tools &amp; Targets_Guideline'!$B$54:$B$269="TB"),
      0
    ),
    MATCH(
      _xludf.IFNA(
        VLOOKUP($D243,{"PH","Provincial Hospital (H2)";"DH","District Hospital (H3)";"RH","Regional / National Hospital (H1)"},2,0),
        $D243
      ),
      'Tools &amp; Targets_Guideline'!$C$53:$I$53,
      0
    )
  ),
0))</f>
        <v/>
      </c>
      <c r="AD243" s="105"/>
      <c r="AE243" s="119" t="str">
        <f t="array" ref="AE243">IF(OR($B243="",$D243=""),"",
IFERROR(
  INDEX(
    'Tools &amp; Targets_Guideline'!$C$54:$I$269,
    MATCH(
      1,
      ('Tools &amp; Targets_Guideline'!$A$54:$A$269=$B243)*
      ('Tools &amp; Targets_Guideline'!$B$54:$B$269="U5 Morbidity"),
      0
    ),
    MATCH(
      _xludf.IFNA(
        VLOOKUP($D243,{"PH","Provincial Hospital (H2)";"DH","District Hospital (H3)";"RH","Regional / National Hospital (H1)"},2,0),
        $D243
      ),
      'Tools &amp; Targets_Guideline'!$C$53:$I$53,
      0
    )
  ),
0))</f>
        <v/>
      </c>
      <c r="AF243" s="105"/>
      <c r="AG243" s="119" t="str">
        <f t="array" ref="AG243">IF(OR($B243="",$D243=""),"",
IFERROR(
  INDEX(
    'Tools &amp; Targets_Guideline'!$C$54:$I$269,
    MATCH(
      1,
      ('Tools &amp; Targets_Guideline'!$A$54:$A$269=$B243)*
      ('Tools &amp; Targets_Guideline'!$B$54:$B$269="C-Section"),
      0
    ),
    MATCH(
      _xludf.IFNA(
        VLOOKUP($D243,{"PH","Provincial Hospital (H2)";"DH","District Hospital (H3)";"RH","Regional / National Hospital (H1)"},2,0),
        $D243
      ),
      'Tools &amp; Targets_Guideline'!$C$53:$I$53,
      0
    )
  ),
0))</f>
        <v/>
      </c>
      <c r="AH243" s="105" t="str">
        <f>IF(A243&lt;&gt;"",COUNTIFS('QA Log'!D:D,A243,'QA Log'!M:M,"QQC",'QA Log'!L:L,"2. Hygiene and Sterilization",'QA Log'!Z:Z,"Approved"),"")</f>
        <v/>
      </c>
      <c r="AI243" s="102"/>
      <c r="AJ243" s="102"/>
      <c r="AK243" s="103" t="str">
        <f t="shared" si="2"/>
        <v/>
      </c>
      <c r="AL243" s="102"/>
      <c r="AM243" s="102"/>
      <c r="AN243" s="102"/>
      <c r="AO243" s="106"/>
      <c r="AP243" s="103"/>
      <c r="AQ243" s="102"/>
      <c r="AR243" s="102"/>
      <c r="AS243" s="102"/>
      <c r="AT243" s="107"/>
      <c r="AU243" s="102" t="str">
        <f t="shared" si="3"/>
        <v/>
      </c>
      <c r="AV243" s="102" t="str">
        <f t="shared" si="4"/>
        <v/>
      </c>
      <c r="AW243" s="102" t="str">
        <f t="shared" si="5"/>
        <v/>
      </c>
      <c r="AX243" s="102" t="str">
        <f t="shared" si="6"/>
        <v/>
      </c>
      <c r="AY243" s="107" t="str">
        <f t="shared" si="7"/>
        <v/>
      </c>
      <c r="AZ243" s="108" t="str">
        <f t="shared" si="8"/>
        <v/>
      </c>
      <c r="BA243" s="108" t="str">
        <f t="shared" si="9"/>
        <v/>
      </c>
      <c r="BB243" s="109" t="str">
        <f t="shared" si="10"/>
        <v/>
      </c>
      <c r="BC243" s="108" t="str">
        <f t="shared" si="11"/>
        <v/>
      </c>
      <c r="BD243" s="108" t="str">
        <f t="shared" si="12"/>
        <v/>
      </c>
      <c r="BE243" s="109" t="str">
        <f t="shared" si="13"/>
        <v/>
      </c>
      <c r="BF243" s="110" t="str">
        <f t="shared" si="14"/>
        <v/>
      </c>
      <c r="BG243" s="111"/>
    </row>
    <row r="244" spans="1:59" ht="12.75">
      <c r="A244" s="101"/>
      <c r="B244" s="102"/>
      <c r="C244" s="102" t="e">
        <f t="array" aca="1" ref="C244" ca="1">_xludf.XLOOKUP(A244,'QA Log'!D:D,'QA Log'!F:F,"")</f>
        <v>#NAME?</v>
      </c>
      <c r="D244" s="102"/>
      <c r="E244" s="102" t="e">
        <f t="array" aca="1" ref="E244" ca="1">_xludf.XLOOKUP(A244,'QA Log'!D:D,'QA Log'!G:G,"")</f>
        <v>#NAME?</v>
      </c>
      <c r="F244" s="103"/>
      <c r="G244" s="104"/>
      <c r="H244" s="104"/>
      <c r="I244" s="103" t="str">
        <f t="shared" si="0"/>
        <v/>
      </c>
      <c r="J244" s="102"/>
      <c r="K244" s="102"/>
      <c r="L244" s="119" t="str">
        <f t="array" ref="L244">IF(OR($B244="",$D244=""),"",
IFERROR(
  INDEX(
    'Tools &amp; Targets_Guideline'!$C$54:$I$269,
    MATCH(
      1,
      ('Tools &amp; Targets_Guideline'!$A$54:$A$269=$B244)*
      ('Tools &amp; Targets_Guideline'!$B$54:$B$269="ANC"),
      0
    ),
    MATCH(
      _xludf.IFNA(
        VLOOKUP($D244,{"PH","Provincial Hospital (H2)";"DH","District Hospital (H3)";"RH","Regional / National Hospital (H1)"},2,0),
        $D244
      ),
      'Tools &amp; Targets_Guideline'!$C$53:$I$53,
      0
    )
  ),
0))</f>
        <v/>
      </c>
      <c r="M244" s="105"/>
      <c r="N244" s="119" t="str">
        <f t="array" ref="N244">IF(OR($B244="",$D244=""),"",
IFERROR(
  INDEX(
    'Tools &amp; Targets_Guideline'!$C$54:$I$269,
    MATCH(
      1,
      ('Tools &amp; Targets_Guideline'!$A$54:$A$269=$B244)*
      ('Tools &amp; Targets_Guideline'!$B$54:$B$269="PNC"),
      0
    ),
    MATCH(
      _xludf.IFNA(
        VLOOKUP($D244,{"PH","Provincial Hospital (H2)";"DH","District Hospital (H3)";"RH","Regional / National Hospital (H1)"},2,0),
        $D244
      ),
      'Tools &amp; Targets_Guideline'!$C$53:$I$53,
      0
    )
  ),
0))</f>
        <v/>
      </c>
      <c r="O244" s="105"/>
      <c r="P244" s="119" t="str">
        <f t="array" ref="P244">IF(OR($B244="",$D244=""),"",
IFERROR(
  INDEX(
    'Tools &amp; Targets_Guideline'!$C$54:$I$269,
    MATCH(
      1,
      ('Tools &amp; Targets_Guideline'!$A$54:$A$269=$B244)*
      ('Tools &amp; Targets_Guideline'!$B$54:$B$269="Delivery"),
      0
    ),
    MATCH(
      _xludf.IFNA(
        VLOOKUP($D244,{"PH","Provincial Hospital (H2)";"DH","District Hospital (H3)";"RH","Regional / National Hospital (H1)"},2,0),
        $D244
      ),
      'Tools &amp; Targets_Guideline'!$C$53:$I$53,
      0
    )
  ),
0))</f>
        <v/>
      </c>
      <c r="Q244" s="105"/>
      <c r="R244" s="119" t="str">
        <f t="array" ref="R244">IF(OR($B244="",$D244=""),"",
IFERROR(
  INDEX(
    'Tools &amp; Targets_Guideline'!$C$54:$I$269,
    MATCH(
      1,
      ('Tools &amp; Targets_Guideline'!$A$54:$A$269=$B244)*
      ('Tools &amp; Targets_Guideline'!$B$54:$B$269="TT"),
      0
    ),
    MATCH(
      _xludf.IFNA(
        VLOOKUP($D244,{"PH","Provincial Hospital (H2)";"DH","District Hospital (H3)";"RH","Regional / National Hospital (H1)"},2,0),
        $D244
      ),
      'Tools &amp; Targets_Guideline'!$C$53:$I$53,
      0
    )
  ),
0))</f>
        <v/>
      </c>
      <c r="S244" s="105"/>
      <c r="T244" s="102"/>
      <c r="U244" s="106"/>
      <c r="V244" s="102" t="str">
        <f t="shared" si="1"/>
        <v/>
      </c>
      <c r="W244" s="102"/>
      <c r="X244" s="102"/>
      <c r="Y244" s="119" t="str">
        <f t="array" ref="Y244">IF(OR($B244="",$D244=""),"",
IFERROR(
  INDEX(
    'Tools &amp; Targets_Guideline'!$C$54:$I$269,
    MATCH(
      1,
      ('Tools &amp; Targets_Guideline'!$A$54:$A$269=$B244)*
      ('Tools &amp; Targets_Guideline'!$B$54:$B$269="GM"),
      0
    ),
    MATCH(
      _xludf.IFNA(
        VLOOKUP($D244,{"PH","Provincial Hospital (H2)";"DH","District Hospital (H3)";"RH","Regional / National Hospital (H1)"},2,0),
        $D244
      ),
      'Tools &amp; Targets_Guideline'!$C$53:$I$53,
      0
    )
  ),
0))</f>
        <v/>
      </c>
      <c r="Z244" s="105"/>
      <c r="AA244" s="119" t="str">
        <f t="array" ref="AA244">IF(OR($B244="",$D244=""),"",
IFERROR(
  INDEX(
    'Tools &amp; Targets_Guideline'!$C$54:$I$269,
    MATCH(
      1,
      ('Tools &amp; Targets_Guideline'!$A$54:$A$269=$B244)*
      ('Tools &amp; Targets_Guideline'!$B$54:$B$269="Penta"),
      0
    ),
    MATCH(
      _xludf.IFNA(
        VLOOKUP($D244,{"PH","Provincial Hospital (H2)";"DH","District Hospital (H3)";"RH","Regional / National Hospital (H1)"},2,0),
        $D244
      ),
      'Tools &amp; Targets_Guideline'!$C$53:$I$53,
      0
    )
  ),
0))</f>
        <v/>
      </c>
      <c r="AB244" s="105"/>
      <c r="AC244" s="119" t="str">
        <f t="array" ref="AC244">IF(OR($B244="",$D244=""),"",
IFERROR(
  INDEX(
    'Tools &amp; Targets_Guideline'!$C$54:$I$269,
    MATCH(
      1,
      ('Tools &amp; Targets_Guideline'!$A$54:$A$269=$B244)*
      ('Tools &amp; Targets_Guideline'!$B$54:$B$269="TB"),
      0
    ),
    MATCH(
      _xludf.IFNA(
        VLOOKUP($D244,{"PH","Provincial Hospital (H2)";"DH","District Hospital (H3)";"RH","Regional / National Hospital (H1)"},2,0),
        $D244
      ),
      'Tools &amp; Targets_Guideline'!$C$53:$I$53,
      0
    )
  ),
0))</f>
        <v/>
      </c>
      <c r="AD244" s="105"/>
      <c r="AE244" s="119" t="str">
        <f t="array" ref="AE244">IF(OR($B244="",$D244=""),"",
IFERROR(
  INDEX(
    'Tools &amp; Targets_Guideline'!$C$54:$I$269,
    MATCH(
      1,
      ('Tools &amp; Targets_Guideline'!$A$54:$A$269=$B244)*
      ('Tools &amp; Targets_Guideline'!$B$54:$B$269="U5 Morbidity"),
      0
    ),
    MATCH(
      _xludf.IFNA(
        VLOOKUP($D244,{"PH","Provincial Hospital (H2)";"DH","District Hospital (H3)";"RH","Regional / National Hospital (H1)"},2,0),
        $D244
      ),
      'Tools &amp; Targets_Guideline'!$C$53:$I$53,
      0
    )
  ),
0))</f>
        <v/>
      </c>
      <c r="AF244" s="105"/>
      <c r="AG244" s="119" t="str">
        <f t="array" ref="AG244">IF(OR($B244="",$D244=""),"",
IFERROR(
  INDEX(
    'Tools &amp; Targets_Guideline'!$C$54:$I$269,
    MATCH(
      1,
      ('Tools &amp; Targets_Guideline'!$A$54:$A$269=$B244)*
      ('Tools &amp; Targets_Guideline'!$B$54:$B$269="C-Section"),
      0
    ),
    MATCH(
      _xludf.IFNA(
        VLOOKUP($D244,{"PH","Provincial Hospital (H2)";"DH","District Hospital (H3)";"RH","Regional / National Hospital (H1)"},2,0),
        $D244
      ),
      'Tools &amp; Targets_Guideline'!$C$53:$I$53,
      0
    )
  ),
0))</f>
        <v/>
      </c>
      <c r="AH244" s="105" t="str">
        <f>IF(A244&lt;&gt;"",COUNTIFS('QA Log'!D:D,A244,'QA Log'!M:M,"QQC",'QA Log'!L:L,"2. Hygiene and Sterilization",'QA Log'!Z:Z,"Approved"),"")</f>
        <v/>
      </c>
      <c r="AI244" s="102"/>
      <c r="AJ244" s="102"/>
      <c r="AK244" s="103" t="str">
        <f t="shared" si="2"/>
        <v/>
      </c>
      <c r="AL244" s="102"/>
      <c r="AM244" s="102"/>
      <c r="AN244" s="102"/>
      <c r="AO244" s="106"/>
      <c r="AP244" s="103"/>
      <c r="AQ244" s="102"/>
      <c r="AR244" s="102"/>
      <c r="AS244" s="102"/>
      <c r="AT244" s="107"/>
      <c r="AU244" s="102" t="str">
        <f t="shared" si="3"/>
        <v/>
      </c>
      <c r="AV244" s="102" t="str">
        <f t="shared" si="4"/>
        <v/>
      </c>
      <c r="AW244" s="102" t="str">
        <f t="shared" si="5"/>
        <v/>
      </c>
      <c r="AX244" s="102" t="str">
        <f t="shared" si="6"/>
        <v/>
      </c>
      <c r="AY244" s="107" t="str">
        <f t="shared" si="7"/>
        <v/>
      </c>
      <c r="AZ244" s="108" t="str">
        <f t="shared" si="8"/>
        <v/>
      </c>
      <c r="BA244" s="108" t="str">
        <f t="shared" si="9"/>
        <v/>
      </c>
      <c r="BB244" s="109" t="str">
        <f t="shared" si="10"/>
        <v/>
      </c>
      <c r="BC244" s="108" t="str">
        <f t="shared" si="11"/>
        <v/>
      </c>
      <c r="BD244" s="108" t="str">
        <f t="shared" si="12"/>
        <v/>
      </c>
      <c r="BE244" s="109" t="str">
        <f t="shared" si="13"/>
        <v/>
      </c>
      <c r="BF244" s="110" t="str">
        <f t="shared" si="14"/>
        <v/>
      </c>
      <c r="BG244" s="111"/>
    </row>
    <row r="245" spans="1:59" ht="12.75">
      <c r="A245" s="101"/>
      <c r="B245" s="102"/>
      <c r="C245" s="102" t="e">
        <f t="array" aca="1" ref="C245" ca="1">_xludf.XLOOKUP(A245,'QA Log'!D:D,'QA Log'!F:F,"")</f>
        <v>#NAME?</v>
      </c>
      <c r="D245" s="102"/>
      <c r="E245" s="102" t="e">
        <f t="array" aca="1" ref="E245" ca="1">_xludf.XLOOKUP(A245,'QA Log'!D:D,'QA Log'!G:G,"")</f>
        <v>#NAME?</v>
      </c>
      <c r="F245" s="103"/>
      <c r="G245" s="104"/>
      <c r="H245" s="104"/>
      <c r="I245" s="103" t="str">
        <f t="shared" si="0"/>
        <v/>
      </c>
      <c r="J245" s="102"/>
      <c r="K245" s="102"/>
      <c r="L245" s="119" t="str">
        <f t="array" ref="L245">IF(OR($B245="",$D245=""),"",
IFERROR(
  INDEX(
    'Tools &amp; Targets_Guideline'!$C$54:$I$269,
    MATCH(
      1,
      ('Tools &amp; Targets_Guideline'!$A$54:$A$269=$B245)*
      ('Tools &amp; Targets_Guideline'!$B$54:$B$269="ANC"),
      0
    ),
    MATCH(
      _xludf.IFNA(
        VLOOKUP($D245,{"PH","Provincial Hospital (H2)";"DH","District Hospital (H3)";"RH","Regional / National Hospital (H1)"},2,0),
        $D245
      ),
      'Tools &amp; Targets_Guideline'!$C$53:$I$53,
      0
    )
  ),
0))</f>
        <v/>
      </c>
      <c r="M245" s="105"/>
      <c r="N245" s="119" t="str">
        <f t="array" ref="N245">IF(OR($B245="",$D245=""),"",
IFERROR(
  INDEX(
    'Tools &amp; Targets_Guideline'!$C$54:$I$269,
    MATCH(
      1,
      ('Tools &amp; Targets_Guideline'!$A$54:$A$269=$B245)*
      ('Tools &amp; Targets_Guideline'!$B$54:$B$269="PNC"),
      0
    ),
    MATCH(
      _xludf.IFNA(
        VLOOKUP($D245,{"PH","Provincial Hospital (H2)";"DH","District Hospital (H3)";"RH","Regional / National Hospital (H1)"},2,0),
        $D245
      ),
      'Tools &amp; Targets_Guideline'!$C$53:$I$53,
      0
    )
  ),
0))</f>
        <v/>
      </c>
      <c r="O245" s="105"/>
      <c r="P245" s="119" t="str">
        <f t="array" ref="P245">IF(OR($B245="",$D245=""),"",
IFERROR(
  INDEX(
    'Tools &amp; Targets_Guideline'!$C$54:$I$269,
    MATCH(
      1,
      ('Tools &amp; Targets_Guideline'!$A$54:$A$269=$B245)*
      ('Tools &amp; Targets_Guideline'!$B$54:$B$269="Delivery"),
      0
    ),
    MATCH(
      _xludf.IFNA(
        VLOOKUP($D245,{"PH","Provincial Hospital (H2)";"DH","District Hospital (H3)";"RH","Regional / National Hospital (H1)"},2,0),
        $D245
      ),
      'Tools &amp; Targets_Guideline'!$C$53:$I$53,
      0
    )
  ),
0))</f>
        <v/>
      </c>
      <c r="Q245" s="105"/>
      <c r="R245" s="119" t="str">
        <f t="array" ref="R245">IF(OR($B245="",$D245=""),"",
IFERROR(
  INDEX(
    'Tools &amp; Targets_Guideline'!$C$54:$I$269,
    MATCH(
      1,
      ('Tools &amp; Targets_Guideline'!$A$54:$A$269=$B245)*
      ('Tools &amp; Targets_Guideline'!$B$54:$B$269="TT"),
      0
    ),
    MATCH(
      _xludf.IFNA(
        VLOOKUP($D245,{"PH","Provincial Hospital (H2)";"DH","District Hospital (H3)";"RH","Regional / National Hospital (H1)"},2,0),
        $D245
      ),
      'Tools &amp; Targets_Guideline'!$C$53:$I$53,
      0
    )
  ),
0))</f>
        <v/>
      </c>
      <c r="S245" s="105"/>
      <c r="T245" s="102"/>
      <c r="U245" s="106"/>
      <c r="V245" s="102" t="str">
        <f t="shared" si="1"/>
        <v/>
      </c>
      <c r="W245" s="102"/>
      <c r="X245" s="102"/>
      <c r="Y245" s="119" t="str">
        <f t="array" ref="Y245">IF(OR($B245="",$D245=""),"",
IFERROR(
  INDEX(
    'Tools &amp; Targets_Guideline'!$C$54:$I$269,
    MATCH(
      1,
      ('Tools &amp; Targets_Guideline'!$A$54:$A$269=$B245)*
      ('Tools &amp; Targets_Guideline'!$B$54:$B$269="GM"),
      0
    ),
    MATCH(
      _xludf.IFNA(
        VLOOKUP($D245,{"PH","Provincial Hospital (H2)";"DH","District Hospital (H3)";"RH","Regional / National Hospital (H1)"},2,0),
        $D245
      ),
      'Tools &amp; Targets_Guideline'!$C$53:$I$53,
      0
    )
  ),
0))</f>
        <v/>
      </c>
      <c r="Z245" s="105"/>
      <c r="AA245" s="119" t="str">
        <f t="array" ref="AA245">IF(OR($B245="",$D245=""),"",
IFERROR(
  INDEX(
    'Tools &amp; Targets_Guideline'!$C$54:$I$269,
    MATCH(
      1,
      ('Tools &amp; Targets_Guideline'!$A$54:$A$269=$B245)*
      ('Tools &amp; Targets_Guideline'!$B$54:$B$269="Penta"),
      0
    ),
    MATCH(
      _xludf.IFNA(
        VLOOKUP($D245,{"PH","Provincial Hospital (H2)";"DH","District Hospital (H3)";"RH","Regional / National Hospital (H1)"},2,0),
        $D245
      ),
      'Tools &amp; Targets_Guideline'!$C$53:$I$53,
      0
    )
  ),
0))</f>
        <v/>
      </c>
      <c r="AB245" s="105"/>
      <c r="AC245" s="119" t="str">
        <f t="array" ref="AC245">IF(OR($B245="",$D245=""),"",
IFERROR(
  INDEX(
    'Tools &amp; Targets_Guideline'!$C$54:$I$269,
    MATCH(
      1,
      ('Tools &amp; Targets_Guideline'!$A$54:$A$269=$B245)*
      ('Tools &amp; Targets_Guideline'!$B$54:$B$269="TB"),
      0
    ),
    MATCH(
      _xludf.IFNA(
        VLOOKUP($D245,{"PH","Provincial Hospital (H2)";"DH","District Hospital (H3)";"RH","Regional / National Hospital (H1)"},2,0),
        $D245
      ),
      'Tools &amp; Targets_Guideline'!$C$53:$I$53,
      0
    )
  ),
0))</f>
        <v/>
      </c>
      <c r="AD245" s="105"/>
      <c r="AE245" s="119" t="str">
        <f t="array" ref="AE245">IF(OR($B245="",$D245=""),"",
IFERROR(
  INDEX(
    'Tools &amp; Targets_Guideline'!$C$54:$I$269,
    MATCH(
      1,
      ('Tools &amp; Targets_Guideline'!$A$54:$A$269=$B245)*
      ('Tools &amp; Targets_Guideline'!$B$54:$B$269="U5 Morbidity"),
      0
    ),
    MATCH(
      _xludf.IFNA(
        VLOOKUP($D245,{"PH","Provincial Hospital (H2)";"DH","District Hospital (H3)";"RH","Regional / National Hospital (H1)"},2,0),
        $D245
      ),
      'Tools &amp; Targets_Guideline'!$C$53:$I$53,
      0
    )
  ),
0))</f>
        <v/>
      </c>
      <c r="AF245" s="105"/>
      <c r="AG245" s="119" t="str">
        <f t="array" ref="AG245">IF(OR($B245="",$D245=""),"",
IFERROR(
  INDEX(
    'Tools &amp; Targets_Guideline'!$C$54:$I$269,
    MATCH(
      1,
      ('Tools &amp; Targets_Guideline'!$A$54:$A$269=$B245)*
      ('Tools &amp; Targets_Guideline'!$B$54:$B$269="C-Section"),
      0
    ),
    MATCH(
      _xludf.IFNA(
        VLOOKUP($D245,{"PH","Provincial Hospital (H2)";"DH","District Hospital (H3)";"RH","Regional / National Hospital (H1)"},2,0),
        $D245
      ),
      'Tools &amp; Targets_Guideline'!$C$53:$I$53,
      0
    )
  ),
0))</f>
        <v/>
      </c>
      <c r="AH245" s="105" t="str">
        <f>IF(A245&lt;&gt;"",COUNTIFS('QA Log'!D:D,A245,'QA Log'!M:M,"QQC",'QA Log'!L:L,"2. Hygiene and Sterilization",'QA Log'!Z:Z,"Approved"),"")</f>
        <v/>
      </c>
      <c r="AI245" s="102"/>
      <c r="AJ245" s="102"/>
      <c r="AK245" s="103" t="str">
        <f t="shared" si="2"/>
        <v/>
      </c>
      <c r="AL245" s="102"/>
      <c r="AM245" s="102"/>
      <c r="AN245" s="102"/>
      <c r="AO245" s="106"/>
      <c r="AP245" s="103"/>
      <c r="AQ245" s="102"/>
      <c r="AR245" s="102"/>
      <c r="AS245" s="102"/>
      <c r="AT245" s="107"/>
      <c r="AU245" s="102" t="str">
        <f t="shared" si="3"/>
        <v/>
      </c>
      <c r="AV245" s="102" t="str">
        <f t="shared" si="4"/>
        <v/>
      </c>
      <c r="AW245" s="102" t="str">
        <f t="shared" si="5"/>
        <v/>
      </c>
      <c r="AX245" s="102" t="str">
        <f t="shared" si="6"/>
        <v/>
      </c>
      <c r="AY245" s="107" t="str">
        <f t="shared" si="7"/>
        <v/>
      </c>
      <c r="AZ245" s="108" t="str">
        <f t="shared" si="8"/>
        <v/>
      </c>
      <c r="BA245" s="108" t="str">
        <f t="shared" si="9"/>
        <v/>
      </c>
      <c r="BB245" s="109" t="str">
        <f t="shared" si="10"/>
        <v/>
      </c>
      <c r="BC245" s="108" t="str">
        <f t="shared" si="11"/>
        <v/>
      </c>
      <c r="BD245" s="108" t="str">
        <f t="shared" si="12"/>
        <v/>
      </c>
      <c r="BE245" s="109" t="str">
        <f t="shared" si="13"/>
        <v/>
      </c>
      <c r="BF245" s="110" t="str">
        <f t="shared" si="14"/>
        <v/>
      </c>
      <c r="BG245" s="111"/>
    </row>
    <row r="246" spans="1:59" ht="12.75">
      <c r="A246" s="101"/>
      <c r="B246" s="102"/>
      <c r="C246" s="102" t="e">
        <f t="array" aca="1" ref="C246" ca="1">_xludf.XLOOKUP(A246,'QA Log'!D:D,'QA Log'!F:F,"")</f>
        <v>#NAME?</v>
      </c>
      <c r="D246" s="102"/>
      <c r="E246" s="102" t="e">
        <f t="array" aca="1" ref="E246" ca="1">_xludf.XLOOKUP(A246,'QA Log'!D:D,'QA Log'!G:G,"")</f>
        <v>#NAME?</v>
      </c>
      <c r="F246" s="103"/>
      <c r="G246" s="104"/>
      <c r="H246" s="104"/>
      <c r="I246" s="103" t="str">
        <f t="shared" si="0"/>
        <v/>
      </c>
      <c r="J246" s="102"/>
      <c r="K246" s="102"/>
      <c r="L246" s="119" t="str">
        <f t="array" ref="L246">IF(OR($B246="",$D246=""),"",
IFERROR(
  INDEX(
    'Tools &amp; Targets_Guideline'!$C$54:$I$269,
    MATCH(
      1,
      ('Tools &amp; Targets_Guideline'!$A$54:$A$269=$B246)*
      ('Tools &amp; Targets_Guideline'!$B$54:$B$269="ANC"),
      0
    ),
    MATCH(
      _xludf.IFNA(
        VLOOKUP($D246,{"PH","Provincial Hospital (H2)";"DH","District Hospital (H3)";"RH","Regional / National Hospital (H1)"},2,0),
        $D246
      ),
      'Tools &amp; Targets_Guideline'!$C$53:$I$53,
      0
    )
  ),
0))</f>
        <v/>
      </c>
      <c r="M246" s="105"/>
      <c r="N246" s="119" t="str">
        <f t="array" ref="N246">IF(OR($B246="",$D246=""),"",
IFERROR(
  INDEX(
    'Tools &amp; Targets_Guideline'!$C$54:$I$269,
    MATCH(
      1,
      ('Tools &amp; Targets_Guideline'!$A$54:$A$269=$B246)*
      ('Tools &amp; Targets_Guideline'!$B$54:$B$269="PNC"),
      0
    ),
    MATCH(
      _xludf.IFNA(
        VLOOKUP($D246,{"PH","Provincial Hospital (H2)";"DH","District Hospital (H3)";"RH","Regional / National Hospital (H1)"},2,0),
        $D246
      ),
      'Tools &amp; Targets_Guideline'!$C$53:$I$53,
      0
    )
  ),
0))</f>
        <v/>
      </c>
      <c r="O246" s="105"/>
      <c r="P246" s="119" t="str">
        <f t="array" ref="P246">IF(OR($B246="",$D246=""),"",
IFERROR(
  INDEX(
    'Tools &amp; Targets_Guideline'!$C$54:$I$269,
    MATCH(
      1,
      ('Tools &amp; Targets_Guideline'!$A$54:$A$269=$B246)*
      ('Tools &amp; Targets_Guideline'!$B$54:$B$269="Delivery"),
      0
    ),
    MATCH(
      _xludf.IFNA(
        VLOOKUP($D246,{"PH","Provincial Hospital (H2)";"DH","District Hospital (H3)";"RH","Regional / National Hospital (H1)"},2,0),
        $D246
      ),
      'Tools &amp; Targets_Guideline'!$C$53:$I$53,
      0
    )
  ),
0))</f>
        <v/>
      </c>
      <c r="Q246" s="105"/>
      <c r="R246" s="119" t="str">
        <f t="array" ref="R246">IF(OR($B246="",$D246=""),"",
IFERROR(
  INDEX(
    'Tools &amp; Targets_Guideline'!$C$54:$I$269,
    MATCH(
      1,
      ('Tools &amp; Targets_Guideline'!$A$54:$A$269=$B246)*
      ('Tools &amp; Targets_Guideline'!$B$54:$B$269="TT"),
      0
    ),
    MATCH(
      _xludf.IFNA(
        VLOOKUP($D246,{"PH","Provincial Hospital (H2)";"DH","District Hospital (H3)";"RH","Regional / National Hospital (H1)"},2,0),
        $D246
      ),
      'Tools &amp; Targets_Guideline'!$C$53:$I$53,
      0
    )
  ),
0))</f>
        <v/>
      </c>
      <c r="S246" s="105"/>
      <c r="T246" s="102"/>
      <c r="U246" s="106"/>
      <c r="V246" s="102" t="str">
        <f t="shared" si="1"/>
        <v/>
      </c>
      <c r="W246" s="102"/>
      <c r="X246" s="102"/>
      <c r="Y246" s="119" t="str">
        <f t="array" ref="Y246">IF(OR($B246="",$D246=""),"",
IFERROR(
  INDEX(
    'Tools &amp; Targets_Guideline'!$C$54:$I$269,
    MATCH(
      1,
      ('Tools &amp; Targets_Guideline'!$A$54:$A$269=$B246)*
      ('Tools &amp; Targets_Guideline'!$B$54:$B$269="GM"),
      0
    ),
    MATCH(
      _xludf.IFNA(
        VLOOKUP($D246,{"PH","Provincial Hospital (H2)";"DH","District Hospital (H3)";"RH","Regional / National Hospital (H1)"},2,0),
        $D246
      ),
      'Tools &amp; Targets_Guideline'!$C$53:$I$53,
      0
    )
  ),
0))</f>
        <v/>
      </c>
      <c r="Z246" s="105"/>
      <c r="AA246" s="119" t="str">
        <f t="array" ref="AA246">IF(OR($B246="",$D246=""),"",
IFERROR(
  INDEX(
    'Tools &amp; Targets_Guideline'!$C$54:$I$269,
    MATCH(
      1,
      ('Tools &amp; Targets_Guideline'!$A$54:$A$269=$B246)*
      ('Tools &amp; Targets_Guideline'!$B$54:$B$269="Penta"),
      0
    ),
    MATCH(
      _xludf.IFNA(
        VLOOKUP($D246,{"PH","Provincial Hospital (H2)";"DH","District Hospital (H3)";"RH","Regional / National Hospital (H1)"},2,0),
        $D246
      ),
      'Tools &amp; Targets_Guideline'!$C$53:$I$53,
      0
    )
  ),
0))</f>
        <v/>
      </c>
      <c r="AB246" s="105"/>
      <c r="AC246" s="119" t="str">
        <f t="array" ref="AC246">IF(OR($B246="",$D246=""),"",
IFERROR(
  INDEX(
    'Tools &amp; Targets_Guideline'!$C$54:$I$269,
    MATCH(
      1,
      ('Tools &amp; Targets_Guideline'!$A$54:$A$269=$B246)*
      ('Tools &amp; Targets_Guideline'!$B$54:$B$269="TB"),
      0
    ),
    MATCH(
      _xludf.IFNA(
        VLOOKUP($D246,{"PH","Provincial Hospital (H2)";"DH","District Hospital (H3)";"RH","Regional / National Hospital (H1)"},2,0),
        $D246
      ),
      'Tools &amp; Targets_Guideline'!$C$53:$I$53,
      0
    )
  ),
0))</f>
        <v/>
      </c>
      <c r="AD246" s="105"/>
      <c r="AE246" s="119" t="str">
        <f t="array" ref="AE246">IF(OR($B246="",$D246=""),"",
IFERROR(
  INDEX(
    'Tools &amp; Targets_Guideline'!$C$54:$I$269,
    MATCH(
      1,
      ('Tools &amp; Targets_Guideline'!$A$54:$A$269=$B246)*
      ('Tools &amp; Targets_Guideline'!$B$54:$B$269="U5 Morbidity"),
      0
    ),
    MATCH(
      _xludf.IFNA(
        VLOOKUP($D246,{"PH","Provincial Hospital (H2)";"DH","District Hospital (H3)";"RH","Regional / National Hospital (H1)"},2,0),
        $D246
      ),
      'Tools &amp; Targets_Guideline'!$C$53:$I$53,
      0
    )
  ),
0))</f>
        <v/>
      </c>
      <c r="AF246" s="105"/>
      <c r="AG246" s="119" t="str">
        <f t="array" ref="AG246">IF(OR($B246="",$D246=""),"",
IFERROR(
  INDEX(
    'Tools &amp; Targets_Guideline'!$C$54:$I$269,
    MATCH(
      1,
      ('Tools &amp; Targets_Guideline'!$A$54:$A$269=$B246)*
      ('Tools &amp; Targets_Guideline'!$B$54:$B$269="C-Section"),
      0
    ),
    MATCH(
      _xludf.IFNA(
        VLOOKUP($D246,{"PH","Provincial Hospital (H2)";"DH","District Hospital (H3)";"RH","Regional / National Hospital (H1)"},2,0),
        $D246
      ),
      'Tools &amp; Targets_Guideline'!$C$53:$I$53,
      0
    )
  ),
0))</f>
        <v/>
      </c>
      <c r="AH246" s="105" t="str">
        <f>IF(A246&lt;&gt;"",COUNTIFS('QA Log'!D:D,A246,'QA Log'!M:M,"QQC",'QA Log'!L:L,"2. Hygiene and Sterilization",'QA Log'!Z:Z,"Approved"),"")</f>
        <v/>
      </c>
      <c r="AI246" s="102"/>
      <c r="AJ246" s="102"/>
      <c r="AK246" s="103" t="str">
        <f t="shared" si="2"/>
        <v/>
      </c>
      <c r="AL246" s="102"/>
      <c r="AM246" s="102"/>
      <c r="AN246" s="102"/>
      <c r="AO246" s="106"/>
      <c r="AP246" s="103"/>
      <c r="AQ246" s="102"/>
      <c r="AR246" s="102"/>
      <c r="AS246" s="102"/>
      <c r="AT246" s="107"/>
      <c r="AU246" s="102" t="str">
        <f t="shared" si="3"/>
        <v/>
      </c>
      <c r="AV246" s="102" t="str">
        <f t="shared" si="4"/>
        <v/>
      </c>
      <c r="AW246" s="102" t="str">
        <f t="shared" si="5"/>
        <v/>
      </c>
      <c r="AX246" s="102" t="str">
        <f t="shared" si="6"/>
        <v/>
      </c>
      <c r="AY246" s="107" t="str">
        <f t="shared" si="7"/>
        <v/>
      </c>
      <c r="AZ246" s="108" t="str">
        <f t="shared" si="8"/>
        <v/>
      </c>
      <c r="BA246" s="108" t="str">
        <f t="shared" si="9"/>
        <v/>
      </c>
      <c r="BB246" s="109" t="str">
        <f t="shared" si="10"/>
        <v/>
      </c>
      <c r="BC246" s="108" t="str">
        <f t="shared" si="11"/>
        <v/>
      </c>
      <c r="BD246" s="108" t="str">
        <f t="shared" si="12"/>
        <v/>
      </c>
      <c r="BE246" s="109" t="str">
        <f t="shared" si="13"/>
        <v/>
      </c>
      <c r="BF246" s="110" t="str">
        <f t="shared" si="14"/>
        <v/>
      </c>
      <c r="BG246" s="111"/>
    </row>
    <row r="247" spans="1:59" ht="12.75">
      <c r="A247" s="101"/>
      <c r="B247" s="102"/>
      <c r="C247" s="102" t="e">
        <f t="array" aca="1" ref="C247" ca="1">_xludf.XLOOKUP(A247,'QA Log'!D:D,'QA Log'!F:F,"")</f>
        <v>#NAME?</v>
      </c>
      <c r="D247" s="102"/>
      <c r="E247" s="102" t="e">
        <f t="array" aca="1" ref="E247" ca="1">_xludf.XLOOKUP(A247,'QA Log'!D:D,'QA Log'!G:G,"")</f>
        <v>#NAME?</v>
      </c>
      <c r="F247" s="103"/>
      <c r="G247" s="104"/>
      <c r="H247" s="104"/>
      <c r="I247" s="103" t="str">
        <f t="shared" si="0"/>
        <v/>
      </c>
      <c r="J247" s="102"/>
      <c r="K247" s="102"/>
      <c r="L247" s="119" t="str">
        <f t="array" ref="L247">IF(OR($B247="",$D247=""),"",
IFERROR(
  INDEX(
    'Tools &amp; Targets_Guideline'!$C$54:$I$269,
    MATCH(
      1,
      ('Tools &amp; Targets_Guideline'!$A$54:$A$269=$B247)*
      ('Tools &amp; Targets_Guideline'!$B$54:$B$269="ANC"),
      0
    ),
    MATCH(
      _xludf.IFNA(
        VLOOKUP($D247,{"PH","Provincial Hospital (H2)";"DH","District Hospital (H3)";"RH","Regional / National Hospital (H1)"},2,0),
        $D247
      ),
      'Tools &amp; Targets_Guideline'!$C$53:$I$53,
      0
    )
  ),
0))</f>
        <v/>
      </c>
      <c r="M247" s="105"/>
      <c r="N247" s="119" t="str">
        <f t="array" ref="N247">IF(OR($B247="",$D247=""),"",
IFERROR(
  INDEX(
    'Tools &amp; Targets_Guideline'!$C$54:$I$269,
    MATCH(
      1,
      ('Tools &amp; Targets_Guideline'!$A$54:$A$269=$B247)*
      ('Tools &amp; Targets_Guideline'!$B$54:$B$269="PNC"),
      0
    ),
    MATCH(
      _xludf.IFNA(
        VLOOKUP($D247,{"PH","Provincial Hospital (H2)";"DH","District Hospital (H3)";"RH","Regional / National Hospital (H1)"},2,0),
        $D247
      ),
      'Tools &amp; Targets_Guideline'!$C$53:$I$53,
      0
    )
  ),
0))</f>
        <v/>
      </c>
      <c r="O247" s="105"/>
      <c r="P247" s="119" t="str">
        <f t="array" ref="P247">IF(OR($B247="",$D247=""),"",
IFERROR(
  INDEX(
    'Tools &amp; Targets_Guideline'!$C$54:$I$269,
    MATCH(
      1,
      ('Tools &amp; Targets_Guideline'!$A$54:$A$269=$B247)*
      ('Tools &amp; Targets_Guideline'!$B$54:$B$269="Delivery"),
      0
    ),
    MATCH(
      _xludf.IFNA(
        VLOOKUP($D247,{"PH","Provincial Hospital (H2)";"DH","District Hospital (H3)";"RH","Regional / National Hospital (H1)"},2,0),
        $D247
      ),
      'Tools &amp; Targets_Guideline'!$C$53:$I$53,
      0
    )
  ),
0))</f>
        <v/>
      </c>
      <c r="Q247" s="105"/>
      <c r="R247" s="119" t="str">
        <f t="array" ref="R247">IF(OR($B247="",$D247=""),"",
IFERROR(
  INDEX(
    'Tools &amp; Targets_Guideline'!$C$54:$I$269,
    MATCH(
      1,
      ('Tools &amp; Targets_Guideline'!$A$54:$A$269=$B247)*
      ('Tools &amp; Targets_Guideline'!$B$54:$B$269="TT"),
      0
    ),
    MATCH(
      _xludf.IFNA(
        VLOOKUP($D247,{"PH","Provincial Hospital (H2)";"DH","District Hospital (H3)";"RH","Regional / National Hospital (H1)"},2,0),
        $D247
      ),
      'Tools &amp; Targets_Guideline'!$C$53:$I$53,
      0
    )
  ),
0))</f>
        <v/>
      </c>
      <c r="S247" s="105"/>
      <c r="T247" s="102"/>
      <c r="U247" s="106"/>
      <c r="V247" s="102" t="str">
        <f t="shared" si="1"/>
        <v/>
      </c>
      <c r="W247" s="102"/>
      <c r="X247" s="102"/>
      <c r="Y247" s="119" t="str">
        <f t="array" ref="Y247">IF(OR($B247="",$D247=""),"",
IFERROR(
  INDEX(
    'Tools &amp; Targets_Guideline'!$C$54:$I$269,
    MATCH(
      1,
      ('Tools &amp; Targets_Guideline'!$A$54:$A$269=$B247)*
      ('Tools &amp; Targets_Guideline'!$B$54:$B$269="GM"),
      0
    ),
    MATCH(
      _xludf.IFNA(
        VLOOKUP($D247,{"PH","Provincial Hospital (H2)";"DH","District Hospital (H3)";"RH","Regional / National Hospital (H1)"},2,0),
        $D247
      ),
      'Tools &amp; Targets_Guideline'!$C$53:$I$53,
      0
    )
  ),
0))</f>
        <v/>
      </c>
      <c r="Z247" s="105"/>
      <c r="AA247" s="119" t="str">
        <f t="array" ref="AA247">IF(OR($B247="",$D247=""),"",
IFERROR(
  INDEX(
    'Tools &amp; Targets_Guideline'!$C$54:$I$269,
    MATCH(
      1,
      ('Tools &amp; Targets_Guideline'!$A$54:$A$269=$B247)*
      ('Tools &amp; Targets_Guideline'!$B$54:$B$269="Penta"),
      0
    ),
    MATCH(
      _xludf.IFNA(
        VLOOKUP($D247,{"PH","Provincial Hospital (H2)";"DH","District Hospital (H3)";"RH","Regional / National Hospital (H1)"},2,0),
        $D247
      ),
      'Tools &amp; Targets_Guideline'!$C$53:$I$53,
      0
    )
  ),
0))</f>
        <v/>
      </c>
      <c r="AB247" s="105"/>
      <c r="AC247" s="119" t="str">
        <f t="array" ref="AC247">IF(OR($B247="",$D247=""),"",
IFERROR(
  INDEX(
    'Tools &amp; Targets_Guideline'!$C$54:$I$269,
    MATCH(
      1,
      ('Tools &amp; Targets_Guideline'!$A$54:$A$269=$B247)*
      ('Tools &amp; Targets_Guideline'!$B$54:$B$269="TB"),
      0
    ),
    MATCH(
      _xludf.IFNA(
        VLOOKUP($D247,{"PH","Provincial Hospital (H2)";"DH","District Hospital (H3)";"RH","Regional / National Hospital (H1)"},2,0),
        $D247
      ),
      'Tools &amp; Targets_Guideline'!$C$53:$I$53,
      0
    )
  ),
0))</f>
        <v/>
      </c>
      <c r="AD247" s="105"/>
      <c r="AE247" s="119" t="str">
        <f t="array" ref="AE247">IF(OR($B247="",$D247=""),"",
IFERROR(
  INDEX(
    'Tools &amp; Targets_Guideline'!$C$54:$I$269,
    MATCH(
      1,
      ('Tools &amp; Targets_Guideline'!$A$54:$A$269=$B247)*
      ('Tools &amp; Targets_Guideline'!$B$54:$B$269="U5 Morbidity"),
      0
    ),
    MATCH(
      _xludf.IFNA(
        VLOOKUP($D247,{"PH","Provincial Hospital (H2)";"DH","District Hospital (H3)";"RH","Regional / National Hospital (H1)"},2,0),
        $D247
      ),
      'Tools &amp; Targets_Guideline'!$C$53:$I$53,
      0
    )
  ),
0))</f>
        <v/>
      </c>
      <c r="AF247" s="105"/>
      <c r="AG247" s="119" t="str">
        <f t="array" ref="AG247">IF(OR($B247="",$D247=""),"",
IFERROR(
  INDEX(
    'Tools &amp; Targets_Guideline'!$C$54:$I$269,
    MATCH(
      1,
      ('Tools &amp; Targets_Guideline'!$A$54:$A$269=$B247)*
      ('Tools &amp; Targets_Guideline'!$B$54:$B$269="C-Section"),
      0
    ),
    MATCH(
      _xludf.IFNA(
        VLOOKUP($D247,{"PH","Provincial Hospital (H2)";"DH","District Hospital (H3)";"RH","Regional / National Hospital (H1)"},2,0),
        $D247
      ),
      'Tools &amp; Targets_Guideline'!$C$53:$I$53,
      0
    )
  ),
0))</f>
        <v/>
      </c>
      <c r="AH247" s="105" t="str">
        <f>IF(A247&lt;&gt;"",COUNTIFS('QA Log'!D:D,A247,'QA Log'!M:M,"QQC",'QA Log'!L:L,"2. Hygiene and Sterilization",'QA Log'!Z:Z,"Approved"),"")</f>
        <v/>
      </c>
      <c r="AI247" s="102"/>
      <c r="AJ247" s="102"/>
      <c r="AK247" s="103" t="str">
        <f t="shared" si="2"/>
        <v/>
      </c>
      <c r="AL247" s="102"/>
      <c r="AM247" s="102"/>
      <c r="AN247" s="102"/>
      <c r="AO247" s="106"/>
      <c r="AP247" s="103"/>
      <c r="AQ247" s="102"/>
      <c r="AR247" s="102"/>
      <c r="AS247" s="102"/>
      <c r="AT247" s="107"/>
      <c r="AU247" s="102" t="str">
        <f t="shared" si="3"/>
        <v/>
      </c>
      <c r="AV247" s="102" t="str">
        <f t="shared" si="4"/>
        <v/>
      </c>
      <c r="AW247" s="102" t="str">
        <f t="shared" si="5"/>
        <v/>
      </c>
      <c r="AX247" s="102" t="str">
        <f t="shared" si="6"/>
        <v/>
      </c>
      <c r="AY247" s="107" t="str">
        <f t="shared" si="7"/>
        <v/>
      </c>
      <c r="AZ247" s="108" t="str">
        <f t="shared" si="8"/>
        <v/>
      </c>
      <c r="BA247" s="108" t="str">
        <f t="shared" si="9"/>
        <v/>
      </c>
      <c r="BB247" s="109" t="str">
        <f t="shared" si="10"/>
        <v/>
      </c>
      <c r="BC247" s="108" t="str">
        <f t="shared" si="11"/>
        <v/>
      </c>
      <c r="BD247" s="108" t="str">
        <f t="shared" si="12"/>
        <v/>
      </c>
      <c r="BE247" s="109" t="str">
        <f t="shared" si="13"/>
        <v/>
      </c>
      <c r="BF247" s="110" t="str">
        <f t="shared" si="14"/>
        <v/>
      </c>
      <c r="BG247" s="111"/>
    </row>
    <row r="248" spans="1:59" ht="12.75">
      <c r="A248" s="101"/>
      <c r="B248" s="102"/>
      <c r="C248" s="102" t="e">
        <f t="array" aca="1" ref="C248" ca="1">_xludf.XLOOKUP(A248,'QA Log'!D:D,'QA Log'!F:F,"")</f>
        <v>#NAME?</v>
      </c>
      <c r="D248" s="102"/>
      <c r="E248" s="102" t="e">
        <f t="array" aca="1" ref="E248" ca="1">_xludf.XLOOKUP(A248,'QA Log'!D:D,'QA Log'!G:G,"")</f>
        <v>#NAME?</v>
      </c>
      <c r="F248" s="103"/>
      <c r="G248" s="104"/>
      <c r="H248" s="104"/>
      <c r="I248" s="103" t="str">
        <f t="shared" si="0"/>
        <v/>
      </c>
      <c r="J248" s="102"/>
      <c r="K248" s="102"/>
      <c r="L248" s="119" t="str">
        <f t="array" ref="L248">IF(OR($B248="",$D248=""),"",
IFERROR(
  INDEX(
    'Tools &amp; Targets_Guideline'!$C$54:$I$269,
    MATCH(
      1,
      ('Tools &amp; Targets_Guideline'!$A$54:$A$269=$B248)*
      ('Tools &amp; Targets_Guideline'!$B$54:$B$269="ANC"),
      0
    ),
    MATCH(
      _xludf.IFNA(
        VLOOKUP($D248,{"PH","Provincial Hospital (H2)";"DH","District Hospital (H3)";"RH","Regional / National Hospital (H1)"},2,0),
        $D248
      ),
      'Tools &amp; Targets_Guideline'!$C$53:$I$53,
      0
    )
  ),
0))</f>
        <v/>
      </c>
      <c r="M248" s="105"/>
      <c r="N248" s="119" t="str">
        <f t="array" ref="N248">IF(OR($B248="",$D248=""),"",
IFERROR(
  INDEX(
    'Tools &amp; Targets_Guideline'!$C$54:$I$269,
    MATCH(
      1,
      ('Tools &amp; Targets_Guideline'!$A$54:$A$269=$B248)*
      ('Tools &amp; Targets_Guideline'!$B$54:$B$269="PNC"),
      0
    ),
    MATCH(
      _xludf.IFNA(
        VLOOKUP($D248,{"PH","Provincial Hospital (H2)";"DH","District Hospital (H3)";"RH","Regional / National Hospital (H1)"},2,0),
        $D248
      ),
      'Tools &amp; Targets_Guideline'!$C$53:$I$53,
      0
    )
  ),
0))</f>
        <v/>
      </c>
      <c r="O248" s="105"/>
      <c r="P248" s="119" t="str">
        <f t="array" ref="P248">IF(OR($B248="",$D248=""),"",
IFERROR(
  INDEX(
    'Tools &amp; Targets_Guideline'!$C$54:$I$269,
    MATCH(
      1,
      ('Tools &amp; Targets_Guideline'!$A$54:$A$269=$B248)*
      ('Tools &amp; Targets_Guideline'!$B$54:$B$269="Delivery"),
      0
    ),
    MATCH(
      _xludf.IFNA(
        VLOOKUP($D248,{"PH","Provincial Hospital (H2)";"DH","District Hospital (H3)";"RH","Regional / National Hospital (H1)"},2,0),
        $D248
      ),
      'Tools &amp; Targets_Guideline'!$C$53:$I$53,
      0
    )
  ),
0))</f>
        <v/>
      </c>
      <c r="Q248" s="105"/>
      <c r="R248" s="119" t="str">
        <f t="array" ref="R248">IF(OR($B248="",$D248=""),"",
IFERROR(
  INDEX(
    'Tools &amp; Targets_Guideline'!$C$54:$I$269,
    MATCH(
      1,
      ('Tools &amp; Targets_Guideline'!$A$54:$A$269=$B248)*
      ('Tools &amp; Targets_Guideline'!$B$54:$B$269="TT"),
      0
    ),
    MATCH(
      _xludf.IFNA(
        VLOOKUP($D248,{"PH","Provincial Hospital (H2)";"DH","District Hospital (H3)";"RH","Regional / National Hospital (H1)"},2,0),
        $D248
      ),
      'Tools &amp; Targets_Guideline'!$C$53:$I$53,
      0
    )
  ),
0))</f>
        <v/>
      </c>
      <c r="S248" s="105"/>
      <c r="T248" s="102"/>
      <c r="U248" s="106"/>
      <c r="V248" s="102" t="str">
        <f t="shared" si="1"/>
        <v/>
      </c>
      <c r="W248" s="102"/>
      <c r="X248" s="102"/>
      <c r="Y248" s="119" t="str">
        <f t="array" ref="Y248">IF(OR($B248="",$D248=""),"",
IFERROR(
  INDEX(
    'Tools &amp; Targets_Guideline'!$C$54:$I$269,
    MATCH(
      1,
      ('Tools &amp; Targets_Guideline'!$A$54:$A$269=$B248)*
      ('Tools &amp; Targets_Guideline'!$B$54:$B$269="GM"),
      0
    ),
    MATCH(
      _xludf.IFNA(
        VLOOKUP($D248,{"PH","Provincial Hospital (H2)";"DH","District Hospital (H3)";"RH","Regional / National Hospital (H1)"},2,0),
        $D248
      ),
      'Tools &amp; Targets_Guideline'!$C$53:$I$53,
      0
    )
  ),
0))</f>
        <v/>
      </c>
      <c r="Z248" s="105"/>
      <c r="AA248" s="119" t="str">
        <f t="array" ref="AA248">IF(OR($B248="",$D248=""),"",
IFERROR(
  INDEX(
    'Tools &amp; Targets_Guideline'!$C$54:$I$269,
    MATCH(
      1,
      ('Tools &amp; Targets_Guideline'!$A$54:$A$269=$B248)*
      ('Tools &amp; Targets_Guideline'!$B$54:$B$269="Penta"),
      0
    ),
    MATCH(
      _xludf.IFNA(
        VLOOKUP($D248,{"PH","Provincial Hospital (H2)";"DH","District Hospital (H3)";"RH","Regional / National Hospital (H1)"},2,0),
        $D248
      ),
      'Tools &amp; Targets_Guideline'!$C$53:$I$53,
      0
    )
  ),
0))</f>
        <v/>
      </c>
      <c r="AB248" s="105"/>
      <c r="AC248" s="119" t="str">
        <f t="array" ref="AC248">IF(OR($B248="",$D248=""),"",
IFERROR(
  INDEX(
    'Tools &amp; Targets_Guideline'!$C$54:$I$269,
    MATCH(
      1,
      ('Tools &amp; Targets_Guideline'!$A$54:$A$269=$B248)*
      ('Tools &amp; Targets_Guideline'!$B$54:$B$269="TB"),
      0
    ),
    MATCH(
      _xludf.IFNA(
        VLOOKUP($D248,{"PH","Provincial Hospital (H2)";"DH","District Hospital (H3)";"RH","Regional / National Hospital (H1)"},2,0),
        $D248
      ),
      'Tools &amp; Targets_Guideline'!$C$53:$I$53,
      0
    )
  ),
0))</f>
        <v/>
      </c>
      <c r="AD248" s="105"/>
      <c r="AE248" s="119" t="str">
        <f t="array" ref="AE248">IF(OR($B248="",$D248=""),"",
IFERROR(
  INDEX(
    'Tools &amp; Targets_Guideline'!$C$54:$I$269,
    MATCH(
      1,
      ('Tools &amp; Targets_Guideline'!$A$54:$A$269=$B248)*
      ('Tools &amp; Targets_Guideline'!$B$54:$B$269="U5 Morbidity"),
      0
    ),
    MATCH(
      _xludf.IFNA(
        VLOOKUP($D248,{"PH","Provincial Hospital (H2)";"DH","District Hospital (H3)";"RH","Regional / National Hospital (H1)"},2,0),
        $D248
      ),
      'Tools &amp; Targets_Guideline'!$C$53:$I$53,
      0
    )
  ),
0))</f>
        <v/>
      </c>
      <c r="AF248" s="105"/>
      <c r="AG248" s="119" t="str">
        <f t="array" ref="AG248">IF(OR($B248="",$D248=""),"",
IFERROR(
  INDEX(
    'Tools &amp; Targets_Guideline'!$C$54:$I$269,
    MATCH(
      1,
      ('Tools &amp; Targets_Guideline'!$A$54:$A$269=$B248)*
      ('Tools &amp; Targets_Guideline'!$B$54:$B$269="C-Section"),
      0
    ),
    MATCH(
      _xludf.IFNA(
        VLOOKUP($D248,{"PH","Provincial Hospital (H2)";"DH","District Hospital (H3)";"RH","Regional / National Hospital (H1)"},2,0),
        $D248
      ),
      'Tools &amp; Targets_Guideline'!$C$53:$I$53,
      0
    )
  ),
0))</f>
        <v/>
      </c>
      <c r="AH248" s="105" t="str">
        <f>IF(A248&lt;&gt;"",COUNTIFS('QA Log'!D:D,A248,'QA Log'!M:M,"QQC",'QA Log'!L:L,"2. Hygiene and Sterilization",'QA Log'!Z:Z,"Approved"),"")</f>
        <v/>
      </c>
      <c r="AI248" s="102"/>
      <c r="AJ248" s="102"/>
      <c r="AK248" s="103" t="str">
        <f t="shared" si="2"/>
        <v/>
      </c>
      <c r="AL248" s="102"/>
      <c r="AM248" s="102"/>
      <c r="AN248" s="102"/>
      <c r="AO248" s="106"/>
      <c r="AP248" s="103"/>
      <c r="AQ248" s="102"/>
      <c r="AR248" s="102"/>
      <c r="AS248" s="102"/>
      <c r="AT248" s="107"/>
      <c r="AU248" s="102" t="str">
        <f t="shared" si="3"/>
        <v/>
      </c>
      <c r="AV248" s="102" t="str">
        <f t="shared" si="4"/>
        <v/>
      </c>
      <c r="AW248" s="102" t="str">
        <f t="shared" si="5"/>
        <v/>
      </c>
      <c r="AX248" s="102" t="str">
        <f t="shared" si="6"/>
        <v/>
      </c>
      <c r="AY248" s="107" t="str">
        <f t="shared" si="7"/>
        <v/>
      </c>
      <c r="AZ248" s="108" t="str">
        <f t="shared" si="8"/>
        <v/>
      </c>
      <c r="BA248" s="108" t="str">
        <f t="shared" si="9"/>
        <v/>
      </c>
      <c r="BB248" s="109" t="str">
        <f t="shared" si="10"/>
        <v/>
      </c>
      <c r="BC248" s="108" t="str">
        <f t="shared" si="11"/>
        <v/>
      </c>
      <c r="BD248" s="108" t="str">
        <f t="shared" si="12"/>
        <v/>
      </c>
      <c r="BE248" s="109" t="str">
        <f t="shared" si="13"/>
        <v/>
      </c>
      <c r="BF248" s="110" t="str">
        <f t="shared" si="14"/>
        <v/>
      </c>
      <c r="BG248" s="111"/>
    </row>
    <row r="249" spans="1:59" ht="12.75">
      <c r="A249" s="101"/>
      <c r="B249" s="102"/>
      <c r="C249" s="102" t="e">
        <f t="array" aca="1" ref="C249" ca="1">_xludf.XLOOKUP(A249,'QA Log'!D:D,'QA Log'!F:F,"")</f>
        <v>#NAME?</v>
      </c>
      <c r="D249" s="102"/>
      <c r="E249" s="102" t="e">
        <f t="array" aca="1" ref="E249" ca="1">_xludf.XLOOKUP(A249,'QA Log'!D:D,'QA Log'!G:G,"")</f>
        <v>#NAME?</v>
      </c>
      <c r="F249" s="103"/>
      <c r="G249" s="104"/>
      <c r="H249" s="104"/>
      <c r="I249" s="103" t="str">
        <f t="shared" si="0"/>
        <v/>
      </c>
      <c r="J249" s="102"/>
      <c r="K249" s="102"/>
      <c r="L249" s="119" t="str">
        <f t="array" ref="L249">IF(OR($B249="",$D249=""),"",
IFERROR(
  INDEX(
    'Tools &amp; Targets_Guideline'!$C$54:$I$269,
    MATCH(
      1,
      ('Tools &amp; Targets_Guideline'!$A$54:$A$269=$B249)*
      ('Tools &amp; Targets_Guideline'!$B$54:$B$269="ANC"),
      0
    ),
    MATCH(
      _xludf.IFNA(
        VLOOKUP($D249,{"PH","Provincial Hospital (H2)";"DH","District Hospital (H3)";"RH","Regional / National Hospital (H1)"},2,0),
        $D249
      ),
      'Tools &amp; Targets_Guideline'!$C$53:$I$53,
      0
    )
  ),
0))</f>
        <v/>
      </c>
      <c r="M249" s="105"/>
      <c r="N249" s="119" t="str">
        <f t="array" ref="N249">IF(OR($B249="",$D249=""),"",
IFERROR(
  INDEX(
    'Tools &amp; Targets_Guideline'!$C$54:$I$269,
    MATCH(
      1,
      ('Tools &amp; Targets_Guideline'!$A$54:$A$269=$B249)*
      ('Tools &amp; Targets_Guideline'!$B$54:$B$269="PNC"),
      0
    ),
    MATCH(
      _xludf.IFNA(
        VLOOKUP($D249,{"PH","Provincial Hospital (H2)";"DH","District Hospital (H3)";"RH","Regional / National Hospital (H1)"},2,0),
        $D249
      ),
      'Tools &amp; Targets_Guideline'!$C$53:$I$53,
      0
    )
  ),
0))</f>
        <v/>
      </c>
      <c r="O249" s="105"/>
      <c r="P249" s="119" t="str">
        <f t="array" ref="P249">IF(OR($B249="",$D249=""),"",
IFERROR(
  INDEX(
    'Tools &amp; Targets_Guideline'!$C$54:$I$269,
    MATCH(
      1,
      ('Tools &amp; Targets_Guideline'!$A$54:$A$269=$B249)*
      ('Tools &amp; Targets_Guideline'!$B$54:$B$269="Delivery"),
      0
    ),
    MATCH(
      _xludf.IFNA(
        VLOOKUP($D249,{"PH","Provincial Hospital (H2)";"DH","District Hospital (H3)";"RH","Regional / National Hospital (H1)"},2,0),
        $D249
      ),
      'Tools &amp; Targets_Guideline'!$C$53:$I$53,
      0
    )
  ),
0))</f>
        <v/>
      </c>
      <c r="Q249" s="105"/>
      <c r="R249" s="119" t="str">
        <f t="array" ref="R249">IF(OR($B249="",$D249=""),"",
IFERROR(
  INDEX(
    'Tools &amp; Targets_Guideline'!$C$54:$I$269,
    MATCH(
      1,
      ('Tools &amp; Targets_Guideline'!$A$54:$A$269=$B249)*
      ('Tools &amp; Targets_Guideline'!$B$54:$B$269="TT"),
      0
    ),
    MATCH(
      _xludf.IFNA(
        VLOOKUP($D249,{"PH","Provincial Hospital (H2)";"DH","District Hospital (H3)";"RH","Regional / National Hospital (H1)"},2,0),
        $D249
      ),
      'Tools &amp; Targets_Guideline'!$C$53:$I$53,
      0
    )
  ),
0))</f>
        <v/>
      </c>
      <c r="S249" s="105"/>
      <c r="T249" s="102"/>
      <c r="U249" s="106"/>
      <c r="V249" s="102" t="str">
        <f t="shared" si="1"/>
        <v/>
      </c>
      <c r="W249" s="102"/>
      <c r="X249" s="102"/>
      <c r="Y249" s="119" t="str">
        <f t="array" ref="Y249">IF(OR($B249="",$D249=""),"",
IFERROR(
  INDEX(
    'Tools &amp; Targets_Guideline'!$C$54:$I$269,
    MATCH(
      1,
      ('Tools &amp; Targets_Guideline'!$A$54:$A$269=$B249)*
      ('Tools &amp; Targets_Guideline'!$B$54:$B$269="GM"),
      0
    ),
    MATCH(
      _xludf.IFNA(
        VLOOKUP($D249,{"PH","Provincial Hospital (H2)";"DH","District Hospital (H3)";"RH","Regional / National Hospital (H1)"},2,0),
        $D249
      ),
      'Tools &amp; Targets_Guideline'!$C$53:$I$53,
      0
    )
  ),
0))</f>
        <v/>
      </c>
      <c r="Z249" s="105"/>
      <c r="AA249" s="119" t="str">
        <f t="array" ref="AA249">IF(OR($B249="",$D249=""),"",
IFERROR(
  INDEX(
    'Tools &amp; Targets_Guideline'!$C$54:$I$269,
    MATCH(
      1,
      ('Tools &amp; Targets_Guideline'!$A$54:$A$269=$B249)*
      ('Tools &amp; Targets_Guideline'!$B$54:$B$269="Penta"),
      0
    ),
    MATCH(
      _xludf.IFNA(
        VLOOKUP($D249,{"PH","Provincial Hospital (H2)";"DH","District Hospital (H3)";"RH","Regional / National Hospital (H1)"},2,0),
        $D249
      ),
      'Tools &amp; Targets_Guideline'!$C$53:$I$53,
      0
    )
  ),
0))</f>
        <v/>
      </c>
      <c r="AB249" s="105"/>
      <c r="AC249" s="119" t="str">
        <f t="array" ref="AC249">IF(OR($B249="",$D249=""),"",
IFERROR(
  INDEX(
    'Tools &amp; Targets_Guideline'!$C$54:$I$269,
    MATCH(
      1,
      ('Tools &amp; Targets_Guideline'!$A$54:$A$269=$B249)*
      ('Tools &amp; Targets_Guideline'!$B$54:$B$269="TB"),
      0
    ),
    MATCH(
      _xludf.IFNA(
        VLOOKUP($D249,{"PH","Provincial Hospital (H2)";"DH","District Hospital (H3)";"RH","Regional / National Hospital (H1)"},2,0),
        $D249
      ),
      'Tools &amp; Targets_Guideline'!$C$53:$I$53,
      0
    )
  ),
0))</f>
        <v/>
      </c>
      <c r="AD249" s="105"/>
      <c r="AE249" s="119" t="str">
        <f t="array" ref="AE249">IF(OR($B249="",$D249=""),"",
IFERROR(
  INDEX(
    'Tools &amp; Targets_Guideline'!$C$54:$I$269,
    MATCH(
      1,
      ('Tools &amp; Targets_Guideline'!$A$54:$A$269=$B249)*
      ('Tools &amp; Targets_Guideline'!$B$54:$B$269="U5 Morbidity"),
      0
    ),
    MATCH(
      _xludf.IFNA(
        VLOOKUP($D249,{"PH","Provincial Hospital (H2)";"DH","District Hospital (H3)";"RH","Regional / National Hospital (H1)"},2,0),
        $D249
      ),
      'Tools &amp; Targets_Guideline'!$C$53:$I$53,
      0
    )
  ),
0))</f>
        <v/>
      </c>
      <c r="AF249" s="105"/>
      <c r="AG249" s="119" t="str">
        <f t="array" ref="AG249">IF(OR($B249="",$D249=""),"",
IFERROR(
  INDEX(
    'Tools &amp; Targets_Guideline'!$C$54:$I$269,
    MATCH(
      1,
      ('Tools &amp; Targets_Guideline'!$A$54:$A$269=$B249)*
      ('Tools &amp; Targets_Guideline'!$B$54:$B$269="C-Section"),
      0
    ),
    MATCH(
      _xludf.IFNA(
        VLOOKUP($D249,{"PH","Provincial Hospital (H2)";"DH","District Hospital (H3)";"RH","Regional / National Hospital (H1)"},2,0),
        $D249
      ),
      'Tools &amp; Targets_Guideline'!$C$53:$I$53,
      0
    )
  ),
0))</f>
        <v/>
      </c>
      <c r="AH249" s="105" t="str">
        <f>IF(A249&lt;&gt;"",COUNTIFS('QA Log'!D:D,A249,'QA Log'!M:M,"QQC",'QA Log'!L:L,"2. Hygiene and Sterilization",'QA Log'!Z:Z,"Approved"),"")</f>
        <v/>
      </c>
      <c r="AI249" s="102"/>
      <c r="AJ249" s="102"/>
      <c r="AK249" s="103" t="str">
        <f t="shared" si="2"/>
        <v/>
      </c>
      <c r="AL249" s="102"/>
      <c r="AM249" s="102"/>
      <c r="AN249" s="102"/>
      <c r="AO249" s="106"/>
      <c r="AP249" s="103"/>
      <c r="AQ249" s="102"/>
      <c r="AR249" s="102"/>
      <c r="AS249" s="102"/>
      <c r="AT249" s="107"/>
      <c r="AU249" s="102" t="str">
        <f t="shared" si="3"/>
        <v/>
      </c>
      <c r="AV249" s="102" t="str">
        <f t="shared" si="4"/>
        <v/>
      </c>
      <c r="AW249" s="102" t="str">
        <f t="shared" si="5"/>
        <v/>
      </c>
      <c r="AX249" s="102" t="str">
        <f t="shared" si="6"/>
        <v/>
      </c>
      <c r="AY249" s="107" t="str">
        <f t="shared" si="7"/>
        <v/>
      </c>
      <c r="AZ249" s="108" t="str">
        <f t="shared" si="8"/>
        <v/>
      </c>
      <c r="BA249" s="108" t="str">
        <f t="shared" si="9"/>
        <v/>
      </c>
      <c r="BB249" s="109" t="str">
        <f t="shared" si="10"/>
        <v/>
      </c>
      <c r="BC249" s="108" t="str">
        <f t="shared" si="11"/>
        <v/>
      </c>
      <c r="BD249" s="108" t="str">
        <f t="shared" si="12"/>
        <v/>
      </c>
      <c r="BE249" s="109" t="str">
        <f t="shared" si="13"/>
        <v/>
      </c>
      <c r="BF249" s="110" t="str">
        <f t="shared" si="14"/>
        <v/>
      </c>
      <c r="BG249" s="111"/>
    </row>
    <row r="250" spans="1:59" ht="12.75">
      <c r="A250" s="101"/>
      <c r="B250" s="102"/>
      <c r="C250" s="102" t="e">
        <f t="array" aca="1" ref="C250" ca="1">_xludf.XLOOKUP(A250,'QA Log'!D:D,'QA Log'!F:F,"")</f>
        <v>#NAME?</v>
      </c>
      <c r="D250" s="102"/>
      <c r="E250" s="102" t="e">
        <f t="array" aca="1" ref="E250" ca="1">_xludf.XLOOKUP(A250,'QA Log'!D:D,'QA Log'!G:G,"")</f>
        <v>#NAME?</v>
      </c>
      <c r="F250" s="103"/>
      <c r="G250" s="104"/>
      <c r="H250" s="104"/>
      <c r="I250" s="103" t="str">
        <f t="shared" si="0"/>
        <v/>
      </c>
      <c r="J250" s="102"/>
      <c r="K250" s="102"/>
      <c r="L250" s="119" t="str">
        <f t="array" ref="L250">IF(OR($B250="",$D250=""),"",
IFERROR(
  INDEX(
    'Tools &amp; Targets_Guideline'!$C$54:$I$269,
    MATCH(
      1,
      ('Tools &amp; Targets_Guideline'!$A$54:$A$269=$B250)*
      ('Tools &amp; Targets_Guideline'!$B$54:$B$269="ANC"),
      0
    ),
    MATCH(
      _xludf.IFNA(
        VLOOKUP($D250,{"PH","Provincial Hospital (H2)";"DH","District Hospital (H3)";"RH","Regional / National Hospital (H1)"},2,0),
        $D250
      ),
      'Tools &amp; Targets_Guideline'!$C$53:$I$53,
      0
    )
  ),
0))</f>
        <v/>
      </c>
      <c r="M250" s="105"/>
      <c r="N250" s="119" t="str">
        <f t="array" ref="N250">IF(OR($B250="",$D250=""),"",
IFERROR(
  INDEX(
    'Tools &amp; Targets_Guideline'!$C$54:$I$269,
    MATCH(
      1,
      ('Tools &amp; Targets_Guideline'!$A$54:$A$269=$B250)*
      ('Tools &amp; Targets_Guideline'!$B$54:$B$269="PNC"),
      0
    ),
    MATCH(
      _xludf.IFNA(
        VLOOKUP($D250,{"PH","Provincial Hospital (H2)";"DH","District Hospital (H3)";"RH","Regional / National Hospital (H1)"},2,0),
        $D250
      ),
      'Tools &amp; Targets_Guideline'!$C$53:$I$53,
      0
    )
  ),
0))</f>
        <v/>
      </c>
      <c r="O250" s="105"/>
      <c r="P250" s="119" t="str">
        <f t="array" ref="P250">IF(OR($B250="",$D250=""),"",
IFERROR(
  INDEX(
    'Tools &amp; Targets_Guideline'!$C$54:$I$269,
    MATCH(
      1,
      ('Tools &amp; Targets_Guideline'!$A$54:$A$269=$B250)*
      ('Tools &amp; Targets_Guideline'!$B$54:$B$269="Delivery"),
      0
    ),
    MATCH(
      _xludf.IFNA(
        VLOOKUP($D250,{"PH","Provincial Hospital (H2)";"DH","District Hospital (H3)";"RH","Regional / National Hospital (H1)"},2,0),
        $D250
      ),
      'Tools &amp; Targets_Guideline'!$C$53:$I$53,
      0
    )
  ),
0))</f>
        <v/>
      </c>
      <c r="Q250" s="105"/>
      <c r="R250" s="119" t="str">
        <f t="array" ref="R250">IF(OR($B250="",$D250=""),"",
IFERROR(
  INDEX(
    'Tools &amp; Targets_Guideline'!$C$54:$I$269,
    MATCH(
      1,
      ('Tools &amp; Targets_Guideline'!$A$54:$A$269=$B250)*
      ('Tools &amp; Targets_Guideline'!$B$54:$B$269="TT"),
      0
    ),
    MATCH(
      _xludf.IFNA(
        VLOOKUP($D250,{"PH","Provincial Hospital (H2)";"DH","District Hospital (H3)";"RH","Regional / National Hospital (H1)"},2,0),
        $D250
      ),
      'Tools &amp; Targets_Guideline'!$C$53:$I$53,
      0
    )
  ),
0))</f>
        <v/>
      </c>
      <c r="S250" s="105"/>
      <c r="T250" s="102"/>
      <c r="U250" s="106"/>
      <c r="V250" s="102" t="str">
        <f t="shared" si="1"/>
        <v/>
      </c>
      <c r="W250" s="102"/>
      <c r="X250" s="102"/>
      <c r="Y250" s="119" t="str">
        <f t="array" ref="Y250">IF(OR($B250="",$D250=""),"",
IFERROR(
  INDEX(
    'Tools &amp; Targets_Guideline'!$C$54:$I$269,
    MATCH(
      1,
      ('Tools &amp; Targets_Guideline'!$A$54:$A$269=$B250)*
      ('Tools &amp; Targets_Guideline'!$B$54:$B$269="GM"),
      0
    ),
    MATCH(
      _xludf.IFNA(
        VLOOKUP($D250,{"PH","Provincial Hospital (H2)";"DH","District Hospital (H3)";"RH","Regional / National Hospital (H1)"},2,0),
        $D250
      ),
      'Tools &amp; Targets_Guideline'!$C$53:$I$53,
      0
    )
  ),
0))</f>
        <v/>
      </c>
      <c r="Z250" s="105"/>
      <c r="AA250" s="119" t="str">
        <f t="array" ref="AA250">IF(OR($B250="",$D250=""),"",
IFERROR(
  INDEX(
    'Tools &amp; Targets_Guideline'!$C$54:$I$269,
    MATCH(
      1,
      ('Tools &amp; Targets_Guideline'!$A$54:$A$269=$B250)*
      ('Tools &amp; Targets_Guideline'!$B$54:$B$269="Penta"),
      0
    ),
    MATCH(
      _xludf.IFNA(
        VLOOKUP($D250,{"PH","Provincial Hospital (H2)";"DH","District Hospital (H3)";"RH","Regional / National Hospital (H1)"},2,0),
        $D250
      ),
      'Tools &amp; Targets_Guideline'!$C$53:$I$53,
      0
    )
  ),
0))</f>
        <v/>
      </c>
      <c r="AB250" s="105"/>
      <c r="AC250" s="119" t="str">
        <f t="array" ref="AC250">IF(OR($B250="",$D250=""),"",
IFERROR(
  INDEX(
    'Tools &amp; Targets_Guideline'!$C$54:$I$269,
    MATCH(
      1,
      ('Tools &amp; Targets_Guideline'!$A$54:$A$269=$B250)*
      ('Tools &amp; Targets_Guideline'!$B$54:$B$269="TB"),
      0
    ),
    MATCH(
      _xludf.IFNA(
        VLOOKUP($D250,{"PH","Provincial Hospital (H2)";"DH","District Hospital (H3)";"RH","Regional / National Hospital (H1)"},2,0),
        $D250
      ),
      'Tools &amp; Targets_Guideline'!$C$53:$I$53,
      0
    )
  ),
0))</f>
        <v/>
      </c>
      <c r="AD250" s="105"/>
      <c r="AE250" s="119" t="str">
        <f t="array" ref="AE250">IF(OR($B250="",$D250=""),"",
IFERROR(
  INDEX(
    'Tools &amp; Targets_Guideline'!$C$54:$I$269,
    MATCH(
      1,
      ('Tools &amp; Targets_Guideline'!$A$54:$A$269=$B250)*
      ('Tools &amp; Targets_Guideline'!$B$54:$B$269="U5 Morbidity"),
      0
    ),
    MATCH(
      _xludf.IFNA(
        VLOOKUP($D250,{"PH","Provincial Hospital (H2)";"DH","District Hospital (H3)";"RH","Regional / National Hospital (H1)"},2,0),
        $D250
      ),
      'Tools &amp; Targets_Guideline'!$C$53:$I$53,
      0
    )
  ),
0))</f>
        <v/>
      </c>
      <c r="AF250" s="105"/>
      <c r="AG250" s="119" t="str">
        <f t="array" ref="AG250">IF(OR($B250="",$D250=""),"",
IFERROR(
  INDEX(
    'Tools &amp; Targets_Guideline'!$C$54:$I$269,
    MATCH(
      1,
      ('Tools &amp; Targets_Guideline'!$A$54:$A$269=$B250)*
      ('Tools &amp; Targets_Guideline'!$B$54:$B$269="C-Section"),
      0
    ),
    MATCH(
      _xludf.IFNA(
        VLOOKUP($D250,{"PH","Provincial Hospital (H2)";"DH","District Hospital (H3)";"RH","Regional / National Hospital (H1)"},2,0),
        $D250
      ),
      'Tools &amp; Targets_Guideline'!$C$53:$I$53,
      0
    )
  ),
0))</f>
        <v/>
      </c>
      <c r="AH250" s="105" t="str">
        <f>IF(A250&lt;&gt;"",COUNTIFS('QA Log'!D:D,A250,'QA Log'!M:M,"QQC",'QA Log'!L:L,"2. Hygiene and Sterilization",'QA Log'!Z:Z,"Approved"),"")</f>
        <v/>
      </c>
      <c r="AI250" s="102"/>
      <c r="AJ250" s="102"/>
      <c r="AK250" s="103" t="str">
        <f t="shared" si="2"/>
        <v/>
      </c>
      <c r="AL250" s="102"/>
      <c r="AM250" s="102"/>
      <c r="AN250" s="102"/>
      <c r="AO250" s="106"/>
      <c r="AP250" s="103"/>
      <c r="AQ250" s="102"/>
      <c r="AR250" s="102"/>
      <c r="AS250" s="102"/>
      <c r="AT250" s="107"/>
      <c r="AU250" s="102" t="str">
        <f t="shared" si="3"/>
        <v/>
      </c>
      <c r="AV250" s="102" t="str">
        <f t="shared" si="4"/>
        <v/>
      </c>
      <c r="AW250" s="102" t="str">
        <f t="shared" si="5"/>
        <v/>
      </c>
      <c r="AX250" s="102" t="str">
        <f t="shared" si="6"/>
        <v/>
      </c>
      <c r="AY250" s="107" t="str">
        <f t="shared" si="7"/>
        <v/>
      </c>
      <c r="AZ250" s="108" t="str">
        <f t="shared" si="8"/>
        <v/>
      </c>
      <c r="BA250" s="108" t="str">
        <f t="shared" si="9"/>
        <v/>
      </c>
      <c r="BB250" s="109" t="str">
        <f t="shared" si="10"/>
        <v/>
      </c>
      <c r="BC250" s="108" t="str">
        <f t="shared" si="11"/>
        <v/>
      </c>
      <c r="BD250" s="108" t="str">
        <f t="shared" si="12"/>
        <v/>
      </c>
      <c r="BE250" s="109" t="str">
        <f t="shared" si="13"/>
        <v/>
      </c>
      <c r="BF250" s="110" t="str">
        <f t="shared" si="14"/>
        <v/>
      </c>
      <c r="BG250" s="111"/>
    </row>
    <row r="251" spans="1:59" ht="12.75">
      <c r="A251" s="101"/>
      <c r="B251" s="102"/>
      <c r="C251" s="102" t="e">
        <f t="array" aca="1" ref="C251" ca="1">_xludf.XLOOKUP(A251,'QA Log'!D:D,'QA Log'!F:F,"")</f>
        <v>#NAME?</v>
      </c>
      <c r="D251" s="102"/>
      <c r="E251" s="102" t="e">
        <f t="array" aca="1" ref="E251" ca="1">_xludf.XLOOKUP(A251,'QA Log'!D:D,'QA Log'!G:G,"")</f>
        <v>#NAME?</v>
      </c>
      <c r="F251" s="103"/>
      <c r="G251" s="104"/>
      <c r="H251" s="104"/>
      <c r="I251" s="103" t="str">
        <f t="shared" si="0"/>
        <v/>
      </c>
      <c r="J251" s="102"/>
      <c r="K251" s="102"/>
      <c r="L251" s="119" t="str">
        <f t="array" ref="L251">IF(OR($B251="",$D251=""),"",
IFERROR(
  INDEX(
    'Tools &amp; Targets_Guideline'!$C$54:$I$269,
    MATCH(
      1,
      ('Tools &amp; Targets_Guideline'!$A$54:$A$269=$B251)*
      ('Tools &amp; Targets_Guideline'!$B$54:$B$269="ANC"),
      0
    ),
    MATCH(
      _xludf.IFNA(
        VLOOKUP($D251,{"PH","Provincial Hospital (H2)";"DH","District Hospital (H3)";"RH","Regional / National Hospital (H1)"},2,0),
        $D251
      ),
      'Tools &amp; Targets_Guideline'!$C$53:$I$53,
      0
    )
  ),
0))</f>
        <v/>
      </c>
      <c r="M251" s="105"/>
      <c r="N251" s="119" t="str">
        <f t="array" ref="N251">IF(OR($B251="",$D251=""),"",
IFERROR(
  INDEX(
    'Tools &amp; Targets_Guideline'!$C$54:$I$269,
    MATCH(
      1,
      ('Tools &amp; Targets_Guideline'!$A$54:$A$269=$B251)*
      ('Tools &amp; Targets_Guideline'!$B$54:$B$269="PNC"),
      0
    ),
    MATCH(
      _xludf.IFNA(
        VLOOKUP($D251,{"PH","Provincial Hospital (H2)";"DH","District Hospital (H3)";"RH","Regional / National Hospital (H1)"},2,0),
        $D251
      ),
      'Tools &amp; Targets_Guideline'!$C$53:$I$53,
      0
    )
  ),
0))</f>
        <v/>
      </c>
      <c r="O251" s="105"/>
      <c r="P251" s="119" t="str">
        <f t="array" ref="P251">IF(OR($B251="",$D251=""),"",
IFERROR(
  INDEX(
    'Tools &amp; Targets_Guideline'!$C$54:$I$269,
    MATCH(
      1,
      ('Tools &amp; Targets_Guideline'!$A$54:$A$269=$B251)*
      ('Tools &amp; Targets_Guideline'!$B$54:$B$269="Delivery"),
      0
    ),
    MATCH(
      _xludf.IFNA(
        VLOOKUP($D251,{"PH","Provincial Hospital (H2)";"DH","District Hospital (H3)";"RH","Regional / National Hospital (H1)"},2,0),
        $D251
      ),
      'Tools &amp; Targets_Guideline'!$C$53:$I$53,
      0
    )
  ),
0))</f>
        <v/>
      </c>
      <c r="Q251" s="105"/>
      <c r="R251" s="119" t="str">
        <f t="array" ref="R251">IF(OR($B251="",$D251=""),"",
IFERROR(
  INDEX(
    'Tools &amp; Targets_Guideline'!$C$54:$I$269,
    MATCH(
      1,
      ('Tools &amp; Targets_Guideline'!$A$54:$A$269=$B251)*
      ('Tools &amp; Targets_Guideline'!$B$54:$B$269="TT"),
      0
    ),
    MATCH(
      _xludf.IFNA(
        VLOOKUP($D251,{"PH","Provincial Hospital (H2)";"DH","District Hospital (H3)";"RH","Regional / National Hospital (H1)"},2,0),
        $D251
      ),
      'Tools &amp; Targets_Guideline'!$C$53:$I$53,
      0
    )
  ),
0))</f>
        <v/>
      </c>
      <c r="S251" s="105"/>
      <c r="T251" s="102"/>
      <c r="U251" s="106"/>
      <c r="V251" s="102" t="str">
        <f t="shared" si="1"/>
        <v/>
      </c>
      <c r="W251" s="102"/>
      <c r="X251" s="102"/>
      <c r="Y251" s="119" t="str">
        <f t="array" ref="Y251">IF(OR($B251="",$D251=""),"",
IFERROR(
  INDEX(
    'Tools &amp; Targets_Guideline'!$C$54:$I$269,
    MATCH(
      1,
      ('Tools &amp; Targets_Guideline'!$A$54:$A$269=$B251)*
      ('Tools &amp; Targets_Guideline'!$B$54:$B$269="GM"),
      0
    ),
    MATCH(
      _xludf.IFNA(
        VLOOKUP($D251,{"PH","Provincial Hospital (H2)";"DH","District Hospital (H3)";"RH","Regional / National Hospital (H1)"},2,0),
        $D251
      ),
      'Tools &amp; Targets_Guideline'!$C$53:$I$53,
      0
    )
  ),
0))</f>
        <v/>
      </c>
      <c r="Z251" s="105"/>
      <c r="AA251" s="119" t="str">
        <f t="array" ref="AA251">IF(OR($B251="",$D251=""),"",
IFERROR(
  INDEX(
    'Tools &amp; Targets_Guideline'!$C$54:$I$269,
    MATCH(
      1,
      ('Tools &amp; Targets_Guideline'!$A$54:$A$269=$B251)*
      ('Tools &amp; Targets_Guideline'!$B$54:$B$269="Penta"),
      0
    ),
    MATCH(
      _xludf.IFNA(
        VLOOKUP($D251,{"PH","Provincial Hospital (H2)";"DH","District Hospital (H3)";"RH","Regional / National Hospital (H1)"},2,0),
        $D251
      ),
      'Tools &amp; Targets_Guideline'!$C$53:$I$53,
      0
    )
  ),
0))</f>
        <v/>
      </c>
      <c r="AB251" s="105"/>
      <c r="AC251" s="119" t="str">
        <f t="array" ref="AC251">IF(OR($B251="",$D251=""),"",
IFERROR(
  INDEX(
    'Tools &amp; Targets_Guideline'!$C$54:$I$269,
    MATCH(
      1,
      ('Tools &amp; Targets_Guideline'!$A$54:$A$269=$B251)*
      ('Tools &amp; Targets_Guideline'!$B$54:$B$269="TB"),
      0
    ),
    MATCH(
      _xludf.IFNA(
        VLOOKUP($D251,{"PH","Provincial Hospital (H2)";"DH","District Hospital (H3)";"RH","Regional / National Hospital (H1)"},2,0),
        $D251
      ),
      'Tools &amp; Targets_Guideline'!$C$53:$I$53,
      0
    )
  ),
0))</f>
        <v/>
      </c>
      <c r="AD251" s="105"/>
      <c r="AE251" s="119" t="str">
        <f t="array" ref="AE251">IF(OR($B251="",$D251=""),"",
IFERROR(
  INDEX(
    'Tools &amp; Targets_Guideline'!$C$54:$I$269,
    MATCH(
      1,
      ('Tools &amp; Targets_Guideline'!$A$54:$A$269=$B251)*
      ('Tools &amp; Targets_Guideline'!$B$54:$B$269="U5 Morbidity"),
      0
    ),
    MATCH(
      _xludf.IFNA(
        VLOOKUP($D251,{"PH","Provincial Hospital (H2)";"DH","District Hospital (H3)";"RH","Regional / National Hospital (H1)"},2,0),
        $D251
      ),
      'Tools &amp; Targets_Guideline'!$C$53:$I$53,
      0
    )
  ),
0))</f>
        <v/>
      </c>
      <c r="AF251" s="105"/>
      <c r="AG251" s="119" t="str">
        <f t="array" ref="AG251">IF(OR($B251="",$D251=""),"",
IFERROR(
  INDEX(
    'Tools &amp; Targets_Guideline'!$C$54:$I$269,
    MATCH(
      1,
      ('Tools &amp; Targets_Guideline'!$A$54:$A$269=$B251)*
      ('Tools &amp; Targets_Guideline'!$B$54:$B$269="C-Section"),
      0
    ),
    MATCH(
      _xludf.IFNA(
        VLOOKUP($D251,{"PH","Provincial Hospital (H2)";"DH","District Hospital (H3)";"RH","Regional / National Hospital (H1)"},2,0),
        $D251
      ),
      'Tools &amp; Targets_Guideline'!$C$53:$I$53,
      0
    )
  ),
0))</f>
        <v/>
      </c>
      <c r="AH251" s="105" t="str">
        <f>IF(A251&lt;&gt;"",COUNTIFS('QA Log'!D:D,A251,'QA Log'!M:M,"QQC",'QA Log'!L:L,"2. Hygiene and Sterilization",'QA Log'!Z:Z,"Approved"),"")</f>
        <v/>
      </c>
      <c r="AI251" s="102"/>
      <c r="AJ251" s="102"/>
      <c r="AK251" s="103" t="str">
        <f t="shared" si="2"/>
        <v/>
      </c>
      <c r="AL251" s="102"/>
      <c r="AM251" s="102"/>
      <c r="AN251" s="102"/>
      <c r="AO251" s="106"/>
      <c r="AP251" s="103"/>
      <c r="AQ251" s="102"/>
      <c r="AR251" s="102"/>
      <c r="AS251" s="102"/>
      <c r="AT251" s="107"/>
      <c r="AU251" s="102" t="str">
        <f t="shared" si="3"/>
        <v/>
      </c>
      <c r="AV251" s="102" t="str">
        <f t="shared" si="4"/>
        <v/>
      </c>
      <c r="AW251" s="102" t="str">
        <f t="shared" si="5"/>
        <v/>
      </c>
      <c r="AX251" s="102" t="str">
        <f t="shared" si="6"/>
        <v/>
      </c>
      <c r="AY251" s="107" t="str">
        <f t="shared" si="7"/>
        <v/>
      </c>
      <c r="AZ251" s="108" t="str">
        <f t="shared" si="8"/>
        <v/>
      </c>
      <c r="BA251" s="108" t="str">
        <f t="shared" si="9"/>
        <v/>
      </c>
      <c r="BB251" s="109" t="str">
        <f t="shared" si="10"/>
        <v/>
      </c>
      <c r="BC251" s="108" t="str">
        <f t="shared" si="11"/>
        <v/>
      </c>
      <c r="BD251" s="108" t="str">
        <f t="shared" si="12"/>
        <v/>
      </c>
      <c r="BE251" s="109" t="str">
        <f t="shared" si="13"/>
        <v/>
      </c>
      <c r="BF251" s="110" t="str">
        <f t="shared" si="14"/>
        <v/>
      </c>
      <c r="BG251" s="111"/>
    </row>
    <row r="252" spans="1:59" ht="12.75">
      <c r="A252" s="101"/>
      <c r="B252" s="102"/>
      <c r="C252" s="102" t="e">
        <f t="array" aca="1" ref="C252" ca="1">_xludf.XLOOKUP(A252,'QA Log'!D:D,'QA Log'!F:F,"")</f>
        <v>#NAME?</v>
      </c>
      <c r="D252" s="102"/>
      <c r="E252" s="102" t="e">
        <f t="array" aca="1" ref="E252" ca="1">_xludf.XLOOKUP(A252,'QA Log'!D:D,'QA Log'!G:G,"")</f>
        <v>#NAME?</v>
      </c>
      <c r="F252" s="103"/>
      <c r="G252" s="104"/>
      <c r="H252" s="104"/>
      <c r="I252" s="103" t="str">
        <f t="shared" si="0"/>
        <v/>
      </c>
      <c r="J252" s="102"/>
      <c r="K252" s="102"/>
      <c r="L252" s="119" t="str">
        <f t="array" ref="L252">IF(OR($B252="",$D252=""),"",
IFERROR(
  INDEX(
    'Tools &amp; Targets_Guideline'!$C$54:$I$269,
    MATCH(
      1,
      ('Tools &amp; Targets_Guideline'!$A$54:$A$269=$B252)*
      ('Tools &amp; Targets_Guideline'!$B$54:$B$269="ANC"),
      0
    ),
    MATCH(
      _xludf.IFNA(
        VLOOKUP($D252,{"PH","Provincial Hospital (H2)";"DH","District Hospital (H3)";"RH","Regional / National Hospital (H1)"},2,0),
        $D252
      ),
      'Tools &amp; Targets_Guideline'!$C$53:$I$53,
      0
    )
  ),
0))</f>
        <v/>
      </c>
      <c r="M252" s="105"/>
      <c r="N252" s="119" t="str">
        <f t="array" ref="N252">IF(OR($B252="",$D252=""),"",
IFERROR(
  INDEX(
    'Tools &amp; Targets_Guideline'!$C$54:$I$269,
    MATCH(
      1,
      ('Tools &amp; Targets_Guideline'!$A$54:$A$269=$B252)*
      ('Tools &amp; Targets_Guideline'!$B$54:$B$269="PNC"),
      0
    ),
    MATCH(
      _xludf.IFNA(
        VLOOKUP($D252,{"PH","Provincial Hospital (H2)";"DH","District Hospital (H3)";"RH","Regional / National Hospital (H1)"},2,0),
        $D252
      ),
      'Tools &amp; Targets_Guideline'!$C$53:$I$53,
      0
    )
  ),
0))</f>
        <v/>
      </c>
      <c r="O252" s="105"/>
      <c r="P252" s="119" t="str">
        <f t="array" ref="P252">IF(OR($B252="",$D252=""),"",
IFERROR(
  INDEX(
    'Tools &amp; Targets_Guideline'!$C$54:$I$269,
    MATCH(
      1,
      ('Tools &amp; Targets_Guideline'!$A$54:$A$269=$B252)*
      ('Tools &amp; Targets_Guideline'!$B$54:$B$269="Delivery"),
      0
    ),
    MATCH(
      _xludf.IFNA(
        VLOOKUP($D252,{"PH","Provincial Hospital (H2)";"DH","District Hospital (H3)";"RH","Regional / National Hospital (H1)"},2,0),
        $D252
      ),
      'Tools &amp; Targets_Guideline'!$C$53:$I$53,
      0
    )
  ),
0))</f>
        <v/>
      </c>
      <c r="Q252" s="105"/>
      <c r="R252" s="119" t="str">
        <f t="array" ref="R252">IF(OR($B252="",$D252=""),"",
IFERROR(
  INDEX(
    'Tools &amp; Targets_Guideline'!$C$54:$I$269,
    MATCH(
      1,
      ('Tools &amp; Targets_Guideline'!$A$54:$A$269=$B252)*
      ('Tools &amp; Targets_Guideline'!$B$54:$B$269="TT"),
      0
    ),
    MATCH(
      _xludf.IFNA(
        VLOOKUP($D252,{"PH","Provincial Hospital (H2)";"DH","District Hospital (H3)";"RH","Regional / National Hospital (H1)"},2,0),
        $D252
      ),
      'Tools &amp; Targets_Guideline'!$C$53:$I$53,
      0
    )
  ),
0))</f>
        <v/>
      </c>
      <c r="S252" s="105"/>
      <c r="T252" s="102"/>
      <c r="U252" s="106"/>
      <c r="V252" s="102" t="str">
        <f t="shared" si="1"/>
        <v/>
      </c>
      <c r="W252" s="102"/>
      <c r="X252" s="102"/>
      <c r="Y252" s="119" t="str">
        <f t="array" ref="Y252">IF(OR($B252="",$D252=""),"",
IFERROR(
  INDEX(
    'Tools &amp; Targets_Guideline'!$C$54:$I$269,
    MATCH(
      1,
      ('Tools &amp; Targets_Guideline'!$A$54:$A$269=$B252)*
      ('Tools &amp; Targets_Guideline'!$B$54:$B$269="GM"),
      0
    ),
    MATCH(
      _xludf.IFNA(
        VLOOKUP($D252,{"PH","Provincial Hospital (H2)";"DH","District Hospital (H3)";"RH","Regional / National Hospital (H1)"},2,0),
        $D252
      ),
      'Tools &amp; Targets_Guideline'!$C$53:$I$53,
      0
    )
  ),
0))</f>
        <v/>
      </c>
      <c r="Z252" s="105"/>
      <c r="AA252" s="119" t="str">
        <f t="array" ref="AA252">IF(OR($B252="",$D252=""),"",
IFERROR(
  INDEX(
    'Tools &amp; Targets_Guideline'!$C$54:$I$269,
    MATCH(
      1,
      ('Tools &amp; Targets_Guideline'!$A$54:$A$269=$B252)*
      ('Tools &amp; Targets_Guideline'!$B$54:$B$269="Penta"),
      0
    ),
    MATCH(
      _xludf.IFNA(
        VLOOKUP($D252,{"PH","Provincial Hospital (H2)";"DH","District Hospital (H3)";"RH","Regional / National Hospital (H1)"},2,0),
        $D252
      ),
      'Tools &amp; Targets_Guideline'!$C$53:$I$53,
      0
    )
  ),
0))</f>
        <v/>
      </c>
      <c r="AB252" s="105"/>
      <c r="AC252" s="119" t="str">
        <f t="array" ref="AC252">IF(OR($B252="",$D252=""),"",
IFERROR(
  INDEX(
    'Tools &amp; Targets_Guideline'!$C$54:$I$269,
    MATCH(
      1,
      ('Tools &amp; Targets_Guideline'!$A$54:$A$269=$B252)*
      ('Tools &amp; Targets_Guideline'!$B$54:$B$269="TB"),
      0
    ),
    MATCH(
      _xludf.IFNA(
        VLOOKUP($D252,{"PH","Provincial Hospital (H2)";"DH","District Hospital (H3)";"RH","Regional / National Hospital (H1)"},2,0),
        $D252
      ),
      'Tools &amp; Targets_Guideline'!$C$53:$I$53,
      0
    )
  ),
0))</f>
        <v/>
      </c>
      <c r="AD252" s="105"/>
      <c r="AE252" s="119" t="str">
        <f t="array" ref="AE252">IF(OR($B252="",$D252=""),"",
IFERROR(
  INDEX(
    'Tools &amp; Targets_Guideline'!$C$54:$I$269,
    MATCH(
      1,
      ('Tools &amp; Targets_Guideline'!$A$54:$A$269=$B252)*
      ('Tools &amp; Targets_Guideline'!$B$54:$B$269="U5 Morbidity"),
      0
    ),
    MATCH(
      _xludf.IFNA(
        VLOOKUP($D252,{"PH","Provincial Hospital (H2)";"DH","District Hospital (H3)";"RH","Regional / National Hospital (H1)"},2,0),
        $D252
      ),
      'Tools &amp; Targets_Guideline'!$C$53:$I$53,
      0
    )
  ),
0))</f>
        <v/>
      </c>
      <c r="AF252" s="105"/>
      <c r="AG252" s="119" t="str">
        <f t="array" ref="AG252">IF(OR($B252="",$D252=""),"",
IFERROR(
  INDEX(
    'Tools &amp; Targets_Guideline'!$C$54:$I$269,
    MATCH(
      1,
      ('Tools &amp; Targets_Guideline'!$A$54:$A$269=$B252)*
      ('Tools &amp; Targets_Guideline'!$B$54:$B$269="C-Section"),
      0
    ),
    MATCH(
      _xludf.IFNA(
        VLOOKUP($D252,{"PH","Provincial Hospital (H2)";"DH","District Hospital (H3)";"RH","Regional / National Hospital (H1)"},2,0),
        $D252
      ),
      'Tools &amp; Targets_Guideline'!$C$53:$I$53,
      0
    )
  ),
0))</f>
        <v/>
      </c>
      <c r="AH252" s="105" t="str">
        <f>IF(A252&lt;&gt;"",COUNTIFS('QA Log'!D:D,A252,'QA Log'!M:M,"QQC",'QA Log'!L:L,"2. Hygiene and Sterilization",'QA Log'!Z:Z,"Approved"),"")</f>
        <v/>
      </c>
      <c r="AI252" s="102"/>
      <c r="AJ252" s="102"/>
      <c r="AK252" s="103" t="str">
        <f t="shared" si="2"/>
        <v/>
      </c>
      <c r="AL252" s="102"/>
      <c r="AM252" s="102"/>
      <c r="AN252" s="102"/>
      <c r="AO252" s="106"/>
      <c r="AP252" s="103"/>
      <c r="AQ252" s="102"/>
      <c r="AR252" s="102"/>
      <c r="AS252" s="102"/>
      <c r="AT252" s="107"/>
      <c r="AU252" s="102" t="str">
        <f t="shared" si="3"/>
        <v/>
      </c>
      <c r="AV252" s="102" t="str">
        <f t="shared" si="4"/>
        <v/>
      </c>
      <c r="AW252" s="102" t="str">
        <f t="shared" si="5"/>
        <v/>
      </c>
      <c r="AX252" s="102" t="str">
        <f t="shared" si="6"/>
        <v/>
      </c>
      <c r="AY252" s="107" t="str">
        <f t="shared" si="7"/>
        <v/>
      </c>
      <c r="AZ252" s="108" t="str">
        <f t="shared" si="8"/>
        <v/>
      </c>
      <c r="BA252" s="108" t="str">
        <f t="shared" si="9"/>
        <v/>
      </c>
      <c r="BB252" s="109" t="str">
        <f t="shared" si="10"/>
        <v/>
      </c>
      <c r="BC252" s="108" t="str">
        <f t="shared" si="11"/>
        <v/>
      </c>
      <c r="BD252" s="108" t="str">
        <f t="shared" si="12"/>
        <v/>
      </c>
      <c r="BE252" s="109" t="str">
        <f t="shared" si="13"/>
        <v/>
      </c>
      <c r="BF252" s="110" t="str">
        <f t="shared" si="14"/>
        <v/>
      </c>
      <c r="BG252" s="111"/>
    </row>
    <row r="253" spans="1:59" ht="12.75">
      <c r="A253" s="101"/>
      <c r="B253" s="102"/>
      <c r="C253" s="102" t="e">
        <f t="array" aca="1" ref="C253" ca="1">_xludf.XLOOKUP(A253,'QA Log'!D:D,'QA Log'!F:F,"")</f>
        <v>#NAME?</v>
      </c>
      <c r="D253" s="102"/>
      <c r="E253" s="102" t="e">
        <f t="array" aca="1" ref="E253" ca="1">_xludf.XLOOKUP(A253,'QA Log'!D:D,'QA Log'!G:G,"")</f>
        <v>#NAME?</v>
      </c>
      <c r="F253" s="103"/>
      <c r="G253" s="104"/>
      <c r="H253" s="104"/>
      <c r="I253" s="103" t="str">
        <f t="shared" si="0"/>
        <v/>
      </c>
      <c r="J253" s="102"/>
      <c r="K253" s="102"/>
      <c r="L253" s="119" t="str">
        <f t="array" ref="L253">IF(OR($B253="",$D253=""),"",
IFERROR(
  INDEX(
    'Tools &amp; Targets_Guideline'!$C$54:$I$269,
    MATCH(
      1,
      ('Tools &amp; Targets_Guideline'!$A$54:$A$269=$B253)*
      ('Tools &amp; Targets_Guideline'!$B$54:$B$269="ANC"),
      0
    ),
    MATCH(
      _xludf.IFNA(
        VLOOKUP($D253,{"PH","Provincial Hospital (H2)";"DH","District Hospital (H3)";"RH","Regional / National Hospital (H1)"},2,0),
        $D253
      ),
      'Tools &amp; Targets_Guideline'!$C$53:$I$53,
      0
    )
  ),
0))</f>
        <v/>
      </c>
      <c r="M253" s="105"/>
      <c r="N253" s="119" t="str">
        <f t="array" ref="N253">IF(OR($B253="",$D253=""),"",
IFERROR(
  INDEX(
    'Tools &amp; Targets_Guideline'!$C$54:$I$269,
    MATCH(
      1,
      ('Tools &amp; Targets_Guideline'!$A$54:$A$269=$B253)*
      ('Tools &amp; Targets_Guideline'!$B$54:$B$269="PNC"),
      0
    ),
    MATCH(
      _xludf.IFNA(
        VLOOKUP($D253,{"PH","Provincial Hospital (H2)";"DH","District Hospital (H3)";"RH","Regional / National Hospital (H1)"},2,0),
        $D253
      ),
      'Tools &amp; Targets_Guideline'!$C$53:$I$53,
      0
    )
  ),
0))</f>
        <v/>
      </c>
      <c r="O253" s="105"/>
      <c r="P253" s="119" t="str">
        <f t="array" ref="P253">IF(OR($B253="",$D253=""),"",
IFERROR(
  INDEX(
    'Tools &amp; Targets_Guideline'!$C$54:$I$269,
    MATCH(
      1,
      ('Tools &amp; Targets_Guideline'!$A$54:$A$269=$B253)*
      ('Tools &amp; Targets_Guideline'!$B$54:$B$269="Delivery"),
      0
    ),
    MATCH(
      _xludf.IFNA(
        VLOOKUP($D253,{"PH","Provincial Hospital (H2)";"DH","District Hospital (H3)";"RH","Regional / National Hospital (H1)"},2,0),
        $D253
      ),
      'Tools &amp; Targets_Guideline'!$C$53:$I$53,
      0
    )
  ),
0))</f>
        <v/>
      </c>
      <c r="Q253" s="105"/>
      <c r="R253" s="119" t="str">
        <f t="array" ref="R253">IF(OR($B253="",$D253=""),"",
IFERROR(
  INDEX(
    'Tools &amp; Targets_Guideline'!$C$54:$I$269,
    MATCH(
      1,
      ('Tools &amp; Targets_Guideline'!$A$54:$A$269=$B253)*
      ('Tools &amp; Targets_Guideline'!$B$54:$B$269="TT"),
      0
    ),
    MATCH(
      _xludf.IFNA(
        VLOOKUP($D253,{"PH","Provincial Hospital (H2)";"DH","District Hospital (H3)";"RH","Regional / National Hospital (H1)"},2,0),
        $D253
      ),
      'Tools &amp; Targets_Guideline'!$C$53:$I$53,
      0
    )
  ),
0))</f>
        <v/>
      </c>
      <c r="S253" s="105"/>
      <c r="T253" s="102"/>
      <c r="U253" s="106"/>
      <c r="V253" s="102" t="str">
        <f t="shared" si="1"/>
        <v/>
      </c>
      <c r="W253" s="102"/>
      <c r="X253" s="102"/>
      <c r="Y253" s="119" t="str">
        <f t="array" ref="Y253">IF(OR($B253="",$D253=""),"",
IFERROR(
  INDEX(
    'Tools &amp; Targets_Guideline'!$C$54:$I$269,
    MATCH(
      1,
      ('Tools &amp; Targets_Guideline'!$A$54:$A$269=$B253)*
      ('Tools &amp; Targets_Guideline'!$B$54:$B$269="GM"),
      0
    ),
    MATCH(
      _xludf.IFNA(
        VLOOKUP($D253,{"PH","Provincial Hospital (H2)";"DH","District Hospital (H3)";"RH","Regional / National Hospital (H1)"},2,0),
        $D253
      ),
      'Tools &amp; Targets_Guideline'!$C$53:$I$53,
      0
    )
  ),
0))</f>
        <v/>
      </c>
      <c r="Z253" s="105"/>
      <c r="AA253" s="119" t="str">
        <f t="array" ref="AA253">IF(OR($B253="",$D253=""),"",
IFERROR(
  INDEX(
    'Tools &amp; Targets_Guideline'!$C$54:$I$269,
    MATCH(
      1,
      ('Tools &amp; Targets_Guideline'!$A$54:$A$269=$B253)*
      ('Tools &amp; Targets_Guideline'!$B$54:$B$269="Penta"),
      0
    ),
    MATCH(
      _xludf.IFNA(
        VLOOKUP($D253,{"PH","Provincial Hospital (H2)";"DH","District Hospital (H3)";"RH","Regional / National Hospital (H1)"},2,0),
        $D253
      ),
      'Tools &amp; Targets_Guideline'!$C$53:$I$53,
      0
    )
  ),
0))</f>
        <v/>
      </c>
      <c r="AB253" s="105"/>
      <c r="AC253" s="119" t="str">
        <f t="array" ref="AC253">IF(OR($B253="",$D253=""),"",
IFERROR(
  INDEX(
    'Tools &amp; Targets_Guideline'!$C$54:$I$269,
    MATCH(
      1,
      ('Tools &amp; Targets_Guideline'!$A$54:$A$269=$B253)*
      ('Tools &amp; Targets_Guideline'!$B$54:$B$269="TB"),
      0
    ),
    MATCH(
      _xludf.IFNA(
        VLOOKUP($D253,{"PH","Provincial Hospital (H2)";"DH","District Hospital (H3)";"RH","Regional / National Hospital (H1)"},2,0),
        $D253
      ),
      'Tools &amp; Targets_Guideline'!$C$53:$I$53,
      0
    )
  ),
0))</f>
        <v/>
      </c>
      <c r="AD253" s="105"/>
      <c r="AE253" s="119" t="str">
        <f t="array" ref="AE253">IF(OR($B253="",$D253=""),"",
IFERROR(
  INDEX(
    'Tools &amp; Targets_Guideline'!$C$54:$I$269,
    MATCH(
      1,
      ('Tools &amp; Targets_Guideline'!$A$54:$A$269=$B253)*
      ('Tools &amp; Targets_Guideline'!$B$54:$B$269="U5 Morbidity"),
      0
    ),
    MATCH(
      _xludf.IFNA(
        VLOOKUP($D253,{"PH","Provincial Hospital (H2)";"DH","District Hospital (H3)";"RH","Regional / National Hospital (H1)"},2,0),
        $D253
      ),
      'Tools &amp; Targets_Guideline'!$C$53:$I$53,
      0
    )
  ),
0))</f>
        <v/>
      </c>
      <c r="AF253" s="105"/>
      <c r="AG253" s="119" t="str">
        <f t="array" ref="AG253">IF(OR($B253="",$D253=""),"",
IFERROR(
  INDEX(
    'Tools &amp; Targets_Guideline'!$C$54:$I$269,
    MATCH(
      1,
      ('Tools &amp; Targets_Guideline'!$A$54:$A$269=$B253)*
      ('Tools &amp; Targets_Guideline'!$B$54:$B$269="C-Section"),
      0
    ),
    MATCH(
      _xludf.IFNA(
        VLOOKUP($D253,{"PH","Provincial Hospital (H2)";"DH","District Hospital (H3)";"RH","Regional / National Hospital (H1)"},2,0),
        $D253
      ),
      'Tools &amp; Targets_Guideline'!$C$53:$I$53,
      0
    )
  ),
0))</f>
        <v/>
      </c>
      <c r="AH253" s="105" t="str">
        <f>IF(A253&lt;&gt;"",COUNTIFS('QA Log'!D:D,A253,'QA Log'!M:M,"QQC",'QA Log'!L:L,"2. Hygiene and Sterilization",'QA Log'!Z:Z,"Approved"),"")</f>
        <v/>
      </c>
      <c r="AI253" s="102"/>
      <c r="AJ253" s="102"/>
      <c r="AK253" s="103" t="str">
        <f t="shared" si="2"/>
        <v/>
      </c>
      <c r="AL253" s="102"/>
      <c r="AM253" s="102"/>
      <c r="AN253" s="102"/>
      <c r="AO253" s="106"/>
      <c r="AP253" s="103"/>
      <c r="AQ253" s="102"/>
      <c r="AR253" s="102"/>
      <c r="AS253" s="102"/>
      <c r="AT253" s="107"/>
      <c r="AU253" s="102" t="str">
        <f t="shared" si="3"/>
        <v/>
      </c>
      <c r="AV253" s="102" t="str">
        <f t="shared" si="4"/>
        <v/>
      </c>
      <c r="AW253" s="102" t="str">
        <f t="shared" si="5"/>
        <v/>
      </c>
      <c r="AX253" s="102" t="str">
        <f t="shared" si="6"/>
        <v/>
      </c>
      <c r="AY253" s="107" t="str">
        <f t="shared" si="7"/>
        <v/>
      </c>
      <c r="AZ253" s="108" t="str">
        <f t="shared" si="8"/>
        <v/>
      </c>
      <c r="BA253" s="108" t="str">
        <f t="shared" si="9"/>
        <v/>
      </c>
      <c r="BB253" s="109" t="str">
        <f t="shared" si="10"/>
        <v/>
      </c>
      <c r="BC253" s="108" t="str">
        <f t="shared" si="11"/>
        <v/>
      </c>
      <c r="BD253" s="108" t="str">
        <f t="shared" si="12"/>
        <v/>
      </c>
      <c r="BE253" s="109" t="str">
        <f t="shared" si="13"/>
        <v/>
      </c>
      <c r="BF253" s="110" t="str">
        <f t="shared" si="14"/>
        <v/>
      </c>
      <c r="BG253" s="111"/>
    </row>
    <row r="254" spans="1:59" ht="12.75">
      <c r="A254" s="101"/>
      <c r="B254" s="102"/>
      <c r="C254" s="102" t="e">
        <f t="array" aca="1" ref="C254" ca="1">_xludf.XLOOKUP(A254,'QA Log'!D:D,'QA Log'!F:F,"")</f>
        <v>#NAME?</v>
      </c>
      <c r="D254" s="102"/>
      <c r="E254" s="102" t="e">
        <f t="array" aca="1" ref="E254" ca="1">_xludf.XLOOKUP(A254,'QA Log'!D:D,'QA Log'!G:G,"")</f>
        <v>#NAME?</v>
      </c>
      <c r="F254" s="103"/>
      <c r="G254" s="104"/>
      <c r="H254" s="104"/>
      <c r="I254" s="103" t="str">
        <f t="shared" si="0"/>
        <v/>
      </c>
      <c r="J254" s="102"/>
      <c r="K254" s="102"/>
      <c r="L254" s="119" t="str">
        <f t="array" ref="L254">IF(OR($B254="",$D254=""),"",
IFERROR(
  INDEX(
    'Tools &amp; Targets_Guideline'!$C$54:$I$269,
    MATCH(
      1,
      ('Tools &amp; Targets_Guideline'!$A$54:$A$269=$B254)*
      ('Tools &amp; Targets_Guideline'!$B$54:$B$269="ANC"),
      0
    ),
    MATCH(
      _xludf.IFNA(
        VLOOKUP($D254,{"PH","Provincial Hospital (H2)";"DH","District Hospital (H3)";"RH","Regional / National Hospital (H1)"},2,0),
        $D254
      ),
      'Tools &amp; Targets_Guideline'!$C$53:$I$53,
      0
    )
  ),
0))</f>
        <v/>
      </c>
      <c r="M254" s="105"/>
      <c r="N254" s="119" t="str">
        <f t="array" ref="N254">IF(OR($B254="",$D254=""),"",
IFERROR(
  INDEX(
    'Tools &amp; Targets_Guideline'!$C$54:$I$269,
    MATCH(
      1,
      ('Tools &amp; Targets_Guideline'!$A$54:$A$269=$B254)*
      ('Tools &amp; Targets_Guideline'!$B$54:$B$269="PNC"),
      0
    ),
    MATCH(
      _xludf.IFNA(
        VLOOKUP($D254,{"PH","Provincial Hospital (H2)";"DH","District Hospital (H3)";"RH","Regional / National Hospital (H1)"},2,0),
        $D254
      ),
      'Tools &amp; Targets_Guideline'!$C$53:$I$53,
      0
    )
  ),
0))</f>
        <v/>
      </c>
      <c r="O254" s="105"/>
      <c r="P254" s="119" t="str">
        <f t="array" ref="P254">IF(OR($B254="",$D254=""),"",
IFERROR(
  INDEX(
    'Tools &amp; Targets_Guideline'!$C$54:$I$269,
    MATCH(
      1,
      ('Tools &amp; Targets_Guideline'!$A$54:$A$269=$B254)*
      ('Tools &amp; Targets_Guideline'!$B$54:$B$269="Delivery"),
      0
    ),
    MATCH(
      _xludf.IFNA(
        VLOOKUP($D254,{"PH","Provincial Hospital (H2)";"DH","District Hospital (H3)";"RH","Regional / National Hospital (H1)"},2,0),
        $D254
      ),
      'Tools &amp; Targets_Guideline'!$C$53:$I$53,
      0
    )
  ),
0))</f>
        <v/>
      </c>
      <c r="Q254" s="105"/>
      <c r="R254" s="119" t="str">
        <f t="array" ref="R254">IF(OR($B254="",$D254=""),"",
IFERROR(
  INDEX(
    'Tools &amp; Targets_Guideline'!$C$54:$I$269,
    MATCH(
      1,
      ('Tools &amp; Targets_Guideline'!$A$54:$A$269=$B254)*
      ('Tools &amp; Targets_Guideline'!$B$54:$B$269="TT"),
      0
    ),
    MATCH(
      _xludf.IFNA(
        VLOOKUP($D254,{"PH","Provincial Hospital (H2)";"DH","District Hospital (H3)";"RH","Regional / National Hospital (H1)"},2,0),
        $D254
      ),
      'Tools &amp; Targets_Guideline'!$C$53:$I$53,
      0
    )
  ),
0))</f>
        <v/>
      </c>
      <c r="S254" s="105"/>
      <c r="T254" s="102"/>
      <c r="U254" s="106"/>
      <c r="V254" s="102" t="str">
        <f t="shared" si="1"/>
        <v/>
      </c>
      <c r="W254" s="102"/>
      <c r="X254" s="102"/>
      <c r="Y254" s="119" t="str">
        <f t="array" ref="Y254">IF(OR($B254="",$D254=""),"",
IFERROR(
  INDEX(
    'Tools &amp; Targets_Guideline'!$C$54:$I$269,
    MATCH(
      1,
      ('Tools &amp; Targets_Guideline'!$A$54:$A$269=$B254)*
      ('Tools &amp; Targets_Guideline'!$B$54:$B$269="GM"),
      0
    ),
    MATCH(
      _xludf.IFNA(
        VLOOKUP($D254,{"PH","Provincial Hospital (H2)";"DH","District Hospital (H3)";"RH","Regional / National Hospital (H1)"},2,0),
        $D254
      ),
      'Tools &amp; Targets_Guideline'!$C$53:$I$53,
      0
    )
  ),
0))</f>
        <v/>
      </c>
      <c r="Z254" s="105"/>
      <c r="AA254" s="119" t="str">
        <f t="array" ref="AA254">IF(OR($B254="",$D254=""),"",
IFERROR(
  INDEX(
    'Tools &amp; Targets_Guideline'!$C$54:$I$269,
    MATCH(
      1,
      ('Tools &amp; Targets_Guideline'!$A$54:$A$269=$B254)*
      ('Tools &amp; Targets_Guideline'!$B$54:$B$269="Penta"),
      0
    ),
    MATCH(
      _xludf.IFNA(
        VLOOKUP($D254,{"PH","Provincial Hospital (H2)";"DH","District Hospital (H3)";"RH","Regional / National Hospital (H1)"},2,0),
        $D254
      ),
      'Tools &amp; Targets_Guideline'!$C$53:$I$53,
      0
    )
  ),
0))</f>
        <v/>
      </c>
      <c r="AB254" s="105"/>
      <c r="AC254" s="119" t="str">
        <f t="array" ref="AC254">IF(OR($B254="",$D254=""),"",
IFERROR(
  INDEX(
    'Tools &amp; Targets_Guideline'!$C$54:$I$269,
    MATCH(
      1,
      ('Tools &amp; Targets_Guideline'!$A$54:$A$269=$B254)*
      ('Tools &amp; Targets_Guideline'!$B$54:$B$269="TB"),
      0
    ),
    MATCH(
      _xludf.IFNA(
        VLOOKUP($D254,{"PH","Provincial Hospital (H2)";"DH","District Hospital (H3)";"RH","Regional / National Hospital (H1)"},2,0),
        $D254
      ),
      'Tools &amp; Targets_Guideline'!$C$53:$I$53,
      0
    )
  ),
0))</f>
        <v/>
      </c>
      <c r="AD254" s="105"/>
      <c r="AE254" s="119" t="str">
        <f t="array" ref="AE254">IF(OR($B254="",$D254=""),"",
IFERROR(
  INDEX(
    'Tools &amp; Targets_Guideline'!$C$54:$I$269,
    MATCH(
      1,
      ('Tools &amp; Targets_Guideline'!$A$54:$A$269=$B254)*
      ('Tools &amp; Targets_Guideline'!$B$54:$B$269="U5 Morbidity"),
      0
    ),
    MATCH(
      _xludf.IFNA(
        VLOOKUP($D254,{"PH","Provincial Hospital (H2)";"DH","District Hospital (H3)";"RH","Regional / National Hospital (H1)"},2,0),
        $D254
      ),
      'Tools &amp; Targets_Guideline'!$C$53:$I$53,
      0
    )
  ),
0))</f>
        <v/>
      </c>
      <c r="AF254" s="105"/>
      <c r="AG254" s="119" t="str">
        <f t="array" ref="AG254">IF(OR($B254="",$D254=""),"",
IFERROR(
  INDEX(
    'Tools &amp; Targets_Guideline'!$C$54:$I$269,
    MATCH(
      1,
      ('Tools &amp; Targets_Guideline'!$A$54:$A$269=$B254)*
      ('Tools &amp; Targets_Guideline'!$B$54:$B$269="C-Section"),
      0
    ),
    MATCH(
      _xludf.IFNA(
        VLOOKUP($D254,{"PH","Provincial Hospital (H2)";"DH","District Hospital (H3)";"RH","Regional / National Hospital (H1)"},2,0),
        $D254
      ),
      'Tools &amp; Targets_Guideline'!$C$53:$I$53,
      0
    )
  ),
0))</f>
        <v/>
      </c>
      <c r="AH254" s="105" t="str">
        <f>IF(A254&lt;&gt;"",COUNTIFS('QA Log'!D:D,A254,'QA Log'!M:M,"QQC",'QA Log'!L:L,"2. Hygiene and Sterilization",'QA Log'!Z:Z,"Approved"),"")</f>
        <v/>
      </c>
      <c r="AI254" s="102"/>
      <c r="AJ254" s="102"/>
      <c r="AK254" s="103" t="str">
        <f t="shared" si="2"/>
        <v/>
      </c>
      <c r="AL254" s="102"/>
      <c r="AM254" s="102"/>
      <c r="AN254" s="102"/>
      <c r="AO254" s="106"/>
      <c r="AP254" s="103"/>
      <c r="AQ254" s="102"/>
      <c r="AR254" s="102"/>
      <c r="AS254" s="102"/>
      <c r="AT254" s="107"/>
      <c r="AU254" s="102" t="str">
        <f t="shared" si="3"/>
        <v/>
      </c>
      <c r="AV254" s="102" t="str">
        <f t="shared" si="4"/>
        <v/>
      </c>
      <c r="AW254" s="102" t="str">
        <f t="shared" si="5"/>
        <v/>
      </c>
      <c r="AX254" s="102" t="str">
        <f t="shared" si="6"/>
        <v/>
      </c>
      <c r="AY254" s="107" t="str">
        <f t="shared" si="7"/>
        <v/>
      </c>
      <c r="AZ254" s="108" t="str">
        <f t="shared" si="8"/>
        <v/>
      </c>
      <c r="BA254" s="108" t="str">
        <f t="shared" si="9"/>
        <v/>
      </c>
      <c r="BB254" s="109" t="str">
        <f t="shared" si="10"/>
        <v/>
      </c>
      <c r="BC254" s="108" t="str">
        <f t="shared" si="11"/>
        <v/>
      </c>
      <c r="BD254" s="108" t="str">
        <f t="shared" si="12"/>
        <v/>
      </c>
      <c r="BE254" s="109" t="str">
        <f t="shared" si="13"/>
        <v/>
      </c>
      <c r="BF254" s="110" t="str">
        <f t="shared" si="14"/>
        <v/>
      </c>
      <c r="BG254" s="111"/>
    </row>
    <row r="255" spans="1:59" ht="12.75">
      <c r="A255" s="101"/>
      <c r="B255" s="102"/>
      <c r="C255" s="102" t="e">
        <f t="array" aca="1" ref="C255" ca="1">_xludf.XLOOKUP(A255,'QA Log'!D:D,'QA Log'!F:F,"")</f>
        <v>#NAME?</v>
      </c>
      <c r="D255" s="102"/>
      <c r="E255" s="102" t="e">
        <f t="array" aca="1" ref="E255" ca="1">_xludf.XLOOKUP(A255,'QA Log'!D:D,'QA Log'!G:G,"")</f>
        <v>#NAME?</v>
      </c>
      <c r="F255" s="103"/>
      <c r="G255" s="104"/>
      <c r="H255" s="104"/>
      <c r="I255" s="103" t="str">
        <f t="shared" si="0"/>
        <v/>
      </c>
      <c r="J255" s="102"/>
      <c r="K255" s="102"/>
      <c r="L255" s="119" t="str">
        <f t="array" ref="L255">IF(OR($B255="",$D255=""),"",
IFERROR(
  INDEX(
    'Tools &amp; Targets_Guideline'!$C$54:$I$269,
    MATCH(
      1,
      ('Tools &amp; Targets_Guideline'!$A$54:$A$269=$B255)*
      ('Tools &amp; Targets_Guideline'!$B$54:$B$269="ANC"),
      0
    ),
    MATCH(
      _xludf.IFNA(
        VLOOKUP($D255,{"PH","Provincial Hospital (H2)";"DH","District Hospital (H3)";"RH","Regional / National Hospital (H1)"},2,0),
        $D255
      ),
      'Tools &amp; Targets_Guideline'!$C$53:$I$53,
      0
    )
  ),
0))</f>
        <v/>
      </c>
      <c r="M255" s="105"/>
      <c r="N255" s="119" t="str">
        <f t="array" ref="N255">IF(OR($B255="",$D255=""),"",
IFERROR(
  INDEX(
    'Tools &amp; Targets_Guideline'!$C$54:$I$269,
    MATCH(
      1,
      ('Tools &amp; Targets_Guideline'!$A$54:$A$269=$B255)*
      ('Tools &amp; Targets_Guideline'!$B$54:$B$269="PNC"),
      0
    ),
    MATCH(
      _xludf.IFNA(
        VLOOKUP($D255,{"PH","Provincial Hospital (H2)";"DH","District Hospital (H3)";"RH","Regional / National Hospital (H1)"},2,0),
        $D255
      ),
      'Tools &amp; Targets_Guideline'!$C$53:$I$53,
      0
    )
  ),
0))</f>
        <v/>
      </c>
      <c r="O255" s="105"/>
      <c r="P255" s="119" t="str">
        <f t="array" ref="P255">IF(OR($B255="",$D255=""),"",
IFERROR(
  INDEX(
    'Tools &amp; Targets_Guideline'!$C$54:$I$269,
    MATCH(
      1,
      ('Tools &amp; Targets_Guideline'!$A$54:$A$269=$B255)*
      ('Tools &amp; Targets_Guideline'!$B$54:$B$269="Delivery"),
      0
    ),
    MATCH(
      _xludf.IFNA(
        VLOOKUP($D255,{"PH","Provincial Hospital (H2)";"DH","District Hospital (H3)";"RH","Regional / National Hospital (H1)"},2,0),
        $D255
      ),
      'Tools &amp; Targets_Guideline'!$C$53:$I$53,
      0
    )
  ),
0))</f>
        <v/>
      </c>
      <c r="Q255" s="105"/>
      <c r="R255" s="119" t="str">
        <f t="array" ref="R255">IF(OR($B255="",$D255=""),"",
IFERROR(
  INDEX(
    'Tools &amp; Targets_Guideline'!$C$54:$I$269,
    MATCH(
      1,
      ('Tools &amp; Targets_Guideline'!$A$54:$A$269=$B255)*
      ('Tools &amp; Targets_Guideline'!$B$54:$B$269="TT"),
      0
    ),
    MATCH(
      _xludf.IFNA(
        VLOOKUP($D255,{"PH","Provincial Hospital (H2)";"DH","District Hospital (H3)";"RH","Regional / National Hospital (H1)"},2,0),
        $D255
      ),
      'Tools &amp; Targets_Guideline'!$C$53:$I$53,
      0
    )
  ),
0))</f>
        <v/>
      </c>
      <c r="S255" s="105"/>
      <c r="T255" s="102"/>
      <c r="U255" s="106"/>
      <c r="V255" s="102" t="str">
        <f t="shared" si="1"/>
        <v/>
      </c>
      <c r="W255" s="102"/>
      <c r="X255" s="102"/>
      <c r="Y255" s="119" t="str">
        <f t="array" ref="Y255">IF(OR($B255="",$D255=""),"",
IFERROR(
  INDEX(
    'Tools &amp; Targets_Guideline'!$C$54:$I$269,
    MATCH(
      1,
      ('Tools &amp; Targets_Guideline'!$A$54:$A$269=$B255)*
      ('Tools &amp; Targets_Guideline'!$B$54:$B$269="GM"),
      0
    ),
    MATCH(
      _xludf.IFNA(
        VLOOKUP($D255,{"PH","Provincial Hospital (H2)";"DH","District Hospital (H3)";"RH","Regional / National Hospital (H1)"},2,0),
        $D255
      ),
      'Tools &amp; Targets_Guideline'!$C$53:$I$53,
      0
    )
  ),
0))</f>
        <v/>
      </c>
      <c r="Z255" s="105"/>
      <c r="AA255" s="119" t="str">
        <f t="array" ref="AA255">IF(OR($B255="",$D255=""),"",
IFERROR(
  INDEX(
    'Tools &amp; Targets_Guideline'!$C$54:$I$269,
    MATCH(
      1,
      ('Tools &amp; Targets_Guideline'!$A$54:$A$269=$B255)*
      ('Tools &amp; Targets_Guideline'!$B$54:$B$269="Penta"),
      0
    ),
    MATCH(
      _xludf.IFNA(
        VLOOKUP($D255,{"PH","Provincial Hospital (H2)";"DH","District Hospital (H3)";"RH","Regional / National Hospital (H1)"},2,0),
        $D255
      ),
      'Tools &amp; Targets_Guideline'!$C$53:$I$53,
      0
    )
  ),
0))</f>
        <v/>
      </c>
      <c r="AB255" s="105"/>
      <c r="AC255" s="119" t="str">
        <f t="array" ref="AC255">IF(OR($B255="",$D255=""),"",
IFERROR(
  INDEX(
    'Tools &amp; Targets_Guideline'!$C$54:$I$269,
    MATCH(
      1,
      ('Tools &amp; Targets_Guideline'!$A$54:$A$269=$B255)*
      ('Tools &amp; Targets_Guideline'!$B$54:$B$269="TB"),
      0
    ),
    MATCH(
      _xludf.IFNA(
        VLOOKUP($D255,{"PH","Provincial Hospital (H2)";"DH","District Hospital (H3)";"RH","Regional / National Hospital (H1)"},2,0),
        $D255
      ),
      'Tools &amp; Targets_Guideline'!$C$53:$I$53,
      0
    )
  ),
0))</f>
        <v/>
      </c>
      <c r="AD255" s="105"/>
      <c r="AE255" s="119" t="str">
        <f t="array" ref="AE255">IF(OR($B255="",$D255=""),"",
IFERROR(
  INDEX(
    'Tools &amp; Targets_Guideline'!$C$54:$I$269,
    MATCH(
      1,
      ('Tools &amp; Targets_Guideline'!$A$54:$A$269=$B255)*
      ('Tools &amp; Targets_Guideline'!$B$54:$B$269="U5 Morbidity"),
      0
    ),
    MATCH(
      _xludf.IFNA(
        VLOOKUP($D255,{"PH","Provincial Hospital (H2)";"DH","District Hospital (H3)";"RH","Regional / National Hospital (H1)"},2,0),
        $D255
      ),
      'Tools &amp; Targets_Guideline'!$C$53:$I$53,
      0
    )
  ),
0))</f>
        <v/>
      </c>
      <c r="AF255" s="105"/>
      <c r="AG255" s="119" t="str">
        <f t="array" ref="AG255">IF(OR($B255="",$D255=""),"",
IFERROR(
  INDEX(
    'Tools &amp; Targets_Guideline'!$C$54:$I$269,
    MATCH(
      1,
      ('Tools &amp; Targets_Guideline'!$A$54:$A$269=$B255)*
      ('Tools &amp; Targets_Guideline'!$B$54:$B$269="C-Section"),
      0
    ),
    MATCH(
      _xludf.IFNA(
        VLOOKUP($D255,{"PH","Provincial Hospital (H2)";"DH","District Hospital (H3)";"RH","Regional / National Hospital (H1)"},2,0),
        $D255
      ),
      'Tools &amp; Targets_Guideline'!$C$53:$I$53,
      0
    )
  ),
0))</f>
        <v/>
      </c>
      <c r="AH255" s="105" t="str">
        <f>IF(A255&lt;&gt;"",COUNTIFS('QA Log'!D:D,A255,'QA Log'!M:M,"QQC",'QA Log'!L:L,"2. Hygiene and Sterilization",'QA Log'!Z:Z,"Approved"),"")</f>
        <v/>
      </c>
      <c r="AI255" s="102"/>
      <c r="AJ255" s="102"/>
      <c r="AK255" s="103" t="str">
        <f t="shared" si="2"/>
        <v/>
      </c>
      <c r="AL255" s="102"/>
      <c r="AM255" s="102"/>
      <c r="AN255" s="102"/>
      <c r="AO255" s="106"/>
      <c r="AP255" s="103"/>
      <c r="AQ255" s="102"/>
      <c r="AR255" s="102"/>
      <c r="AS255" s="102"/>
      <c r="AT255" s="107"/>
      <c r="AU255" s="102" t="str">
        <f t="shared" si="3"/>
        <v/>
      </c>
      <c r="AV255" s="102" t="str">
        <f t="shared" si="4"/>
        <v/>
      </c>
      <c r="AW255" s="102" t="str">
        <f t="shared" si="5"/>
        <v/>
      </c>
      <c r="AX255" s="102" t="str">
        <f t="shared" si="6"/>
        <v/>
      </c>
      <c r="AY255" s="107" t="str">
        <f t="shared" si="7"/>
        <v/>
      </c>
      <c r="AZ255" s="108" t="str">
        <f t="shared" si="8"/>
        <v/>
      </c>
      <c r="BA255" s="108" t="str">
        <f t="shared" si="9"/>
        <v/>
      </c>
      <c r="BB255" s="109" t="str">
        <f t="shared" si="10"/>
        <v/>
      </c>
      <c r="BC255" s="108" t="str">
        <f t="shared" si="11"/>
        <v/>
      </c>
      <c r="BD255" s="108" t="str">
        <f t="shared" si="12"/>
        <v/>
      </c>
      <c r="BE255" s="109" t="str">
        <f t="shared" si="13"/>
        <v/>
      </c>
      <c r="BF255" s="110" t="str">
        <f t="shared" si="14"/>
        <v/>
      </c>
      <c r="BG255" s="111"/>
    </row>
    <row r="256" spans="1:59" ht="12.75">
      <c r="A256" s="101"/>
      <c r="B256" s="102"/>
      <c r="C256" s="102" t="e">
        <f t="array" aca="1" ref="C256" ca="1">_xludf.XLOOKUP(A256,'QA Log'!D:D,'QA Log'!F:F,"")</f>
        <v>#NAME?</v>
      </c>
      <c r="D256" s="102"/>
      <c r="E256" s="102" t="e">
        <f t="array" aca="1" ref="E256" ca="1">_xludf.XLOOKUP(A256,'QA Log'!D:D,'QA Log'!G:G,"")</f>
        <v>#NAME?</v>
      </c>
      <c r="F256" s="103"/>
      <c r="G256" s="104"/>
      <c r="H256" s="104"/>
      <c r="I256" s="103" t="str">
        <f t="shared" si="0"/>
        <v/>
      </c>
      <c r="J256" s="102"/>
      <c r="K256" s="102"/>
      <c r="L256" s="119" t="str">
        <f t="array" ref="L256">IF(OR($B256="",$D256=""),"",
IFERROR(
  INDEX(
    'Tools &amp; Targets_Guideline'!$C$54:$I$269,
    MATCH(
      1,
      ('Tools &amp; Targets_Guideline'!$A$54:$A$269=$B256)*
      ('Tools &amp; Targets_Guideline'!$B$54:$B$269="ANC"),
      0
    ),
    MATCH(
      _xludf.IFNA(
        VLOOKUP($D256,{"PH","Provincial Hospital (H2)";"DH","District Hospital (H3)";"RH","Regional / National Hospital (H1)"},2,0),
        $D256
      ),
      'Tools &amp; Targets_Guideline'!$C$53:$I$53,
      0
    )
  ),
0))</f>
        <v/>
      </c>
      <c r="M256" s="105"/>
      <c r="N256" s="119" t="str">
        <f t="array" ref="N256">IF(OR($B256="",$D256=""),"",
IFERROR(
  INDEX(
    'Tools &amp; Targets_Guideline'!$C$54:$I$269,
    MATCH(
      1,
      ('Tools &amp; Targets_Guideline'!$A$54:$A$269=$B256)*
      ('Tools &amp; Targets_Guideline'!$B$54:$B$269="PNC"),
      0
    ),
    MATCH(
      _xludf.IFNA(
        VLOOKUP($D256,{"PH","Provincial Hospital (H2)";"DH","District Hospital (H3)";"RH","Regional / National Hospital (H1)"},2,0),
        $D256
      ),
      'Tools &amp; Targets_Guideline'!$C$53:$I$53,
      0
    )
  ),
0))</f>
        <v/>
      </c>
      <c r="O256" s="105"/>
      <c r="P256" s="119" t="str">
        <f t="array" ref="P256">IF(OR($B256="",$D256=""),"",
IFERROR(
  INDEX(
    'Tools &amp; Targets_Guideline'!$C$54:$I$269,
    MATCH(
      1,
      ('Tools &amp; Targets_Guideline'!$A$54:$A$269=$B256)*
      ('Tools &amp; Targets_Guideline'!$B$54:$B$269="Delivery"),
      0
    ),
    MATCH(
      _xludf.IFNA(
        VLOOKUP($D256,{"PH","Provincial Hospital (H2)";"DH","District Hospital (H3)";"RH","Regional / National Hospital (H1)"},2,0),
        $D256
      ),
      'Tools &amp; Targets_Guideline'!$C$53:$I$53,
      0
    )
  ),
0))</f>
        <v/>
      </c>
      <c r="Q256" s="105"/>
      <c r="R256" s="119" t="str">
        <f t="array" ref="R256">IF(OR($B256="",$D256=""),"",
IFERROR(
  INDEX(
    'Tools &amp; Targets_Guideline'!$C$54:$I$269,
    MATCH(
      1,
      ('Tools &amp; Targets_Guideline'!$A$54:$A$269=$B256)*
      ('Tools &amp; Targets_Guideline'!$B$54:$B$269="TT"),
      0
    ),
    MATCH(
      _xludf.IFNA(
        VLOOKUP($D256,{"PH","Provincial Hospital (H2)";"DH","District Hospital (H3)";"RH","Regional / National Hospital (H1)"},2,0),
        $D256
      ),
      'Tools &amp; Targets_Guideline'!$C$53:$I$53,
      0
    )
  ),
0))</f>
        <v/>
      </c>
      <c r="S256" s="105"/>
      <c r="T256" s="102"/>
      <c r="U256" s="106"/>
      <c r="V256" s="102" t="str">
        <f t="shared" si="1"/>
        <v/>
      </c>
      <c r="W256" s="102"/>
      <c r="X256" s="102"/>
      <c r="Y256" s="119" t="str">
        <f t="array" ref="Y256">IF(OR($B256="",$D256=""),"",
IFERROR(
  INDEX(
    'Tools &amp; Targets_Guideline'!$C$54:$I$269,
    MATCH(
      1,
      ('Tools &amp; Targets_Guideline'!$A$54:$A$269=$B256)*
      ('Tools &amp; Targets_Guideline'!$B$54:$B$269="GM"),
      0
    ),
    MATCH(
      _xludf.IFNA(
        VLOOKUP($D256,{"PH","Provincial Hospital (H2)";"DH","District Hospital (H3)";"RH","Regional / National Hospital (H1)"},2,0),
        $D256
      ),
      'Tools &amp; Targets_Guideline'!$C$53:$I$53,
      0
    )
  ),
0))</f>
        <v/>
      </c>
      <c r="Z256" s="105"/>
      <c r="AA256" s="119" t="str">
        <f t="array" ref="AA256">IF(OR($B256="",$D256=""),"",
IFERROR(
  INDEX(
    'Tools &amp; Targets_Guideline'!$C$54:$I$269,
    MATCH(
      1,
      ('Tools &amp; Targets_Guideline'!$A$54:$A$269=$B256)*
      ('Tools &amp; Targets_Guideline'!$B$54:$B$269="Penta"),
      0
    ),
    MATCH(
      _xludf.IFNA(
        VLOOKUP($D256,{"PH","Provincial Hospital (H2)";"DH","District Hospital (H3)";"RH","Regional / National Hospital (H1)"},2,0),
        $D256
      ),
      'Tools &amp; Targets_Guideline'!$C$53:$I$53,
      0
    )
  ),
0))</f>
        <v/>
      </c>
      <c r="AB256" s="105"/>
      <c r="AC256" s="119" t="str">
        <f t="array" ref="AC256">IF(OR($B256="",$D256=""),"",
IFERROR(
  INDEX(
    'Tools &amp; Targets_Guideline'!$C$54:$I$269,
    MATCH(
      1,
      ('Tools &amp; Targets_Guideline'!$A$54:$A$269=$B256)*
      ('Tools &amp; Targets_Guideline'!$B$54:$B$269="TB"),
      0
    ),
    MATCH(
      _xludf.IFNA(
        VLOOKUP($D256,{"PH","Provincial Hospital (H2)";"DH","District Hospital (H3)";"RH","Regional / National Hospital (H1)"},2,0),
        $D256
      ),
      'Tools &amp; Targets_Guideline'!$C$53:$I$53,
      0
    )
  ),
0))</f>
        <v/>
      </c>
      <c r="AD256" s="105"/>
      <c r="AE256" s="119" t="str">
        <f t="array" ref="AE256">IF(OR($B256="",$D256=""),"",
IFERROR(
  INDEX(
    'Tools &amp; Targets_Guideline'!$C$54:$I$269,
    MATCH(
      1,
      ('Tools &amp; Targets_Guideline'!$A$54:$A$269=$B256)*
      ('Tools &amp; Targets_Guideline'!$B$54:$B$269="U5 Morbidity"),
      0
    ),
    MATCH(
      _xludf.IFNA(
        VLOOKUP($D256,{"PH","Provincial Hospital (H2)";"DH","District Hospital (H3)";"RH","Regional / National Hospital (H1)"},2,0),
        $D256
      ),
      'Tools &amp; Targets_Guideline'!$C$53:$I$53,
      0
    )
  ),
0))</f>
        <v/>
      </c>
      <c r="AF256" s="105"/>
      <c r="AG256" s="119" t="str">
        <f t="array" ref="AG256">IF(OR($B256="",$D256=""),"",
IFERROR(
  INDEX(
    'Tools &amp; Targets_Guideline'!$C$54:$I$269,
    MATCH(
      1,
      ('Tools &amp; Targets_Guideline'!$A$54:$A$269=$B256)*
      ('Tools &amp; Targets_Guideline'!$B$54:$B$269="C-Section"),
      0
    ),
    MATCH(
      _xludf.IFNA(
        VLOOKUP($D256,{"PH","Provincial Hospital (H2)";"DH","District Hospital (H3)";"RH","Regional / National Hospital (H1)"},2,0),
        $D256
      ),
      'Tools &amp; Targets_Guideline'!$C$53:$I$53,
      0
    )
  ),
0))</f>
        <v/>
      </c>
      <c r="AH256" s="105" t="str">
        <f>IF(A256&lt;&gt;"",COUNTIFS('QA Log'!D:D,A256,'QA Log'!M:M,"QQC",'QA Log'!L:L,"2. Hygiene and Sterilization",'QA Log'!Z:Z,"Approved"),"")</f>
        <v/>
      </c>
      <c r="AI256" s="102"/>
      <c r="AJ256" s="102"/>
      <c r="AK256" s="103" t="str">
        <f t="shared" si="2"/>
        <v/>
      </c>
      <c r="AL256" s="102"/>
      <c r="AM256" s="102"/>
      <c r="AN256" s="102"/>
      <c r="AO256" s="106"/>
      <c r="AP256" s="103"/>
      <c r="AQ256" s="102"/>
      <c r="AR256" s="102"/>
      <c r="AS256" s="102"/>
      <c r="AT256" s="107"/>
      <c r="AU256" s="102" t="str">
        <f t="shared" si="3"/>
        <v/>
      </c>
      <c r="AV256" s="102" t="str">
        <f t="shared" si="4"/>
        <v/>
      </c>
      <c r="AW256" s="102" t="str">
        <f t="shared" si="5"/>
        <v/>
      </c>
      <c r="AX256" s="102" t="str">
        <f t="shared" si="6"/>
        <v/>
      </c>
      <c r="AY256" s="107" t="str">
        <f t="shared" si="7"/>
        <v/>
      </c>
      <c r="AZ256" s="108" t="str">
        <f t="shared" si="8"/>
        <v/>
      </c>
      <c r="BA256" s="108" t="str">
        <f t="shared" si="9"/>
        <v/>
      </c>
      <c r="BB256" s="109" t="str">
        <f t="shared" si="10"/>
        <v/>
      </c>
      <c r="BC256" s="108" t="str">
        <f t="shared" si="11"/>
        <v/>
      </c>
      <c r="BD256" s="108" t="str">
        <f t="shared" si="12"/>
        <v/>
      </c>
      <c r="BE256" s="109" t="str">
        <f t="shared" si="13"/>
        <v/>
      </c>
      <c r="BF256" s="110" t="str">
        <f t="shared" si="14"/>
        <v/>
      </c>
      <c r="BG256" s="111"/>
    </row>
    <row r="257" spans="1:59" ht="12.75">
      <c r="A257" s="101"/>
      <c r="B257" s="102"/>
      <c r="C257" s="102" t="e">
        <f t="array" aca="1" ref="C257" ca="1">_xludf.XLOOKUP(A257,'QA Log'!D:D,'QA Log'!F:F,"")</f>
        <v>#NAME?</v>
      </c>
      <c r="D257" s="102"/>
      <c r="E257" s="102" t="e">
        <f t="array" aca="1" ref="E257" ca="1">_xludf.XLOOKUP(A257,'QA Log'!D:D,'QA Log'!G:G,"")</f>
        <v>#NAME?</v>
      </c>
      <c r="F257" s="103"/>
      <c r="G257" s="104"/>
      <c r="H257" s="104"/>
      <c r="I257" s="103" t="str">
        <f t="shared" si="0"/>
        <v/>
      </c>
      <c r="J257" s="102"/>
      <c r="K257" s="102"/>
      <c r="L257" s="119" t="str">
        <f t="array" ref="L257">IF(OR($B257="",$D257=""),"",
IFERROR(
  INDEX(
    'Tools &amp; Targets_Guideline'!$C$54:$I$269,
    MATCH(
      1,
      ('Tools &amp; Targets_Guideline'!$A$54:$A$269=$B257)*
      ('Tools &amp; Targets_Guideline'!$B$54:$B$269="ANC"),
      0
    ),
    MATCH(
      _xludf.IFNA(
        VLOOKUP($D257,{"PH","Provincial Hospital (H2)";"DH","District Hospital (H3)";"RH","Regional / National Hospital (H1)"},2,0),
        $D257
      ),
      'Tools &amp; Targets_Guideline'!$C$53:$I$53,
      0
    )
  ),
0))</f>
        <v/>
      </c>
      <c r="M257" s="105"/>
      <c r="N257" s="119" t="str">
        <f t="array" ref="N257">IF(OR($B257="",$D257=""),"",
IFERROR(
  INDEX(
    'Tools &amp; Targets_Guideline'!$C$54:$I$269,
    MATCH(
      1,
      ('Tools &amp; Targets_Guideline'!$A$54:$A$269=$B257)*
      ('Tools &amp; Targets_Guideline'!$B$54:$B$269="PNC"),
      0
    ),
    MATCH(
      _xludf.IFNA(
        VLOOKUP($D257,{"PH","Provincial Hospital (H2)";"DH","District Hospital (H3)";"RH","Regional / National Hospital (H1)"},2,0),
        $D257
      ),
      'Tools &amp; Targets_Guideline'!$C$53:$I$53,
      0
    )
  ),
0))</f>
        <v/>
      </c>
      <c r="O257" s="105"/>
      <c r="P257" s="119" t="str">
        <f t="array" ref="P257">IF(OR($B257="",$D257=""),"",
IFERROR(
  INDEX(
    'Tools &amp; Targets_Guideline'!$C$54:$I$269,
    MATCH(
      1,
      ('Tools &amp; Targets_Guideline'!$A$54:$A$269=$B257)*
      ('Tools &amp; Targets_Guideline'!$B$54:$B$269="Delivery"),
      0
    ),
    MATCH(
      _xludf.IFNA(
        VLOOKUP($D257,{"PH","Provincial Hospital (H2)";"DH","District Hospital (H3)";"RH","Regional / National Hospital (H1)"},2,0),
        $D257
      ),
      'Tools &amp; Targets_Guideline'!$C$53:$I$53,
      0
    )
  ),
0))</f>
        <v/>
      </c>
      <c r="Q257" s="105"/>
      <c r="R257" s="119" t="str">
        <f t="array" ref="R257">IF(OR($B257="",$D257=""),"",
IFERROR(
  INDEX(
    'Tools &amp; Targets_Guideline'!$C$54:$I$269,
    MATCH(
      1,
      ('Tools &amp; Targets_Guideline'!$A$54:$A$269=$B257)*
      ('Tools &amp; Targets_Guideline'!$B$54:$B$269="TT"),
      0
    ),
    MATCH(
      _xludf.IFNA(
        VLOOKUP($D257,{"PH","Provincial Hospital (H2)";"DH","District Hospital (H3)";"RH","Regional / National Hospital (H1)"},2,0),
        $D257
      ),
      'Tools &amp; Targets_Guideline'!$C$53:$I$53,
      0
    )
  ),
0))</f>
        <v/>
      </c>
      <c r="S257" s="105"/>
      <c r="T257" s="102"/>
      <c r="U257" s="106"/>
      <c r="V257" s="102" t="str">
        <f t="shared" si="1"/>
        <v/>
      </c>
      <c r="W257" s="102"/>
      <c r="X257" s="102"/>
      <c r="Y257" s="119" t="str">
        <f t="array" ref="Y257">IF(OR($B257="",$D257=""),"",
IFERROR(
  INDEX(
    'Tools &amp; Targets_Guideline'!$C$54:$I$269,
    MATCH(
      1,
      ('Tools &amp; Targets_Guideline'!$A$54:$A$269=$B257)*
      ('Tools &amp; Targets_Guideline'!$B$54:$B$269="GM"),
      0
    ),
    MATCH(
      _xludf.IFNA(
        VLOOKUP($D257,{"PH","Provincial Hospital (H2)";"DH","District Hospital (H3)";"RH","Regional / National Hospital (H1)"},2,0),
        $D257
      ),
      'Tools &amp; Targets_Guideline'!$C$53:$I$53,
      0
    )
  ),
0))</f>
        <v/>
      </c>
      <c r="Z257" s="105"/>
      <c r="AA257" s="119" t="str">
        <f t="array" ref="AA257">IF(OR($B257="",$D257=""),"",
IFERROR(
  INDEX(
    'Tools &amp; Targets_Guideline'!$C$54:$I$269,
    MATCH(
      1,
      ('Tools &amp; Targets_Guideline'!$A$54:$A$269=$B257)*
      ('Tools &amp; Targets_Guideline'!$B$54:$B$269="Penta"),
      0
    ),
    MATCH(
      _xludf.IFNA(
        VLOOKUP($D257,{"PH","Provincial Hospital (H2)";"DH","District Hospital (H3)";"RH","Regional / National Hospital (H1)"},2,0),
        $D257
      ),
      'Tools &amp; Targets_Guideline'!$C$53:$I$53,
      0
    )
  ),
0))</f>
        <v/>
      </c>
      <c r="AB257" s="105"/>
      <c r="AC257" s="119" t="str">
        <f t="array" ref="AC257">IF(OR($B257="",$D257=""),"",
IFERROR(
  INDEX(
    'Tools &amp; Targets_Guideline'!$C$54:$I$269,
    MATCH(
      1,
      ('Tools &amp; Targets_Guideline'!$A$54:$A$269=$B257)*
      ('Tools &amp; Targets_Guideline'!$B$54:$B$269="TB"),
      0
    ),
    MATCH(
      _xludf.IFNA(
        VLOOKUP($D257,{"PH","Provincial Hospital (H2)";"DH","District Hospital (H3)";"RH","Regional / National Hospital (H1)"},2,0),
        $D257
      ),
      'Tools &amp; Targets_Guideline'!$C$53:$I$53,
      0
    )
  ),
0))</f>
        <v/>
      </c>
      <c r="AD257" s="105"/>
      <c r="AE257" s="119" t="str">
        <f t="array" ref="AE257">IF(OR($B257="",$D257=""),"",
IFERROR(
  INDEX(
    'Tools &amp; Targets_Guideline'!$C$54:$I$269,
    MATCH(
      1,
      ('Tools &amp; Targets_Guideline'!$A$54:$A$269=$B257)*
      ('Tools &amp; Targets_Guideline'!$B$54:$B$269="U5 Morbidity"),
      0
    ),
    MATCH(
      _xludf.IFNA(
        VLOOKUP($D257,{"PH","Provincial Hospital (H2)";"DH","District Hospital (H3)";"RH","Regional / National Hospital (H1)"},2,0),
        $D257
      ),
      'Tools &amp; Targets_Guideline'!$C$53:$I$53,
      0
    )
  ),
0))</f>
        <v/>
      </c>
      <c r="AF257" s="105"/>
      <c r="AG257" s="119" t="str">
        <f t="array" ref="AG257">IF(OR($B257="",$D257=""),"",
IFERROR(
  INDEX(
    'Tools &amp; Targets_Guideline'!$C$54:$I$269,
    MATCH(
      1,
      ('Tools &amp; Targets_Guideline'!$A$54:$A$269=$B257)*
      ('Tools &amp; Targets_Guideline'!$B$54:$B$269="C-Section"),
      0
    ),
    MATCH(
      _xludf.IFNA(
        VLOOKUP($D257,{"PH","Provincial Hospital (H2)";"DH","District Hospital (H3)";"RH","Regional / National Hospital (H1)"},2,0),
        $D257
      ),
      'Tools &amp; Targets_Guideline'!$C$53:$I$53,
      0
    )
  ),
0))</f>
        <v/>
      </c>
      <c r="AH257" s="105" t="str">
        <f>IF(A257&lt;&gt;"",COUNTIFS('QA Log'!D:D,A257,'QA Log'!M:M,"QQC",'QA Log'!L:L,"2. Hygiene and Sterilization",'QA Log'!Z:Z,"Approved"),"")</f>
        <v/>
      </c>
      <c r="AI257" s="102"/>
      <c r="AJ257" s="102"/>
      <c r="AK257" s="103" t="str">
        <f t="shared" si="2"/>
        <v/>
      </c>
      <c r="AL257" s="102"/>
      <c r="AM257" s="102"/>
      <c r="AN257" s="102"/>
      <c r="AO257" s="106"/>
      <c r="AP257" s="103"/>
      <c r="AQ257" s="102"/>
      <c r="AR257" s="102"/>
      <c r="AS257" s="102"/>
      <c r="AT257" s="107"/>
      <c r="AU257" s="102" t="str">
        <f t="shared" si="3"/>
        <v/>
      </c>
      <c r="AV257" s="102" t="str">
        <f t="shared" si="4"/>
        <v/>
      </c>
      <c r="AW257" s="102" t="str">
        <f t="shared" si="5"/>
        <v/>
      </c>
      <c r="AX257" s="102" t="str">
        <f t="shared" si="6"/>
        <v/>
      </c>
      <c r="AY257" s="107" t="str">
        <f t="shared" si="7"/>
        <v/>
      </c>
      <c r="AZ257" s="108" t="str">
        <f t="shared" si="8"/>
        <v/>
      </c>
      <c r="BA257" s="108" t="str">
        <f t="shared" si="9"/>
        <v/>
      </c>
      <c r="BB257" s="109" t="str">
        <f t="shared" si="10"/>
        <v/>
      </c>
      <c r="BC257" s="108" t="str">
        <f t="shared" si="11"/>
        <v/>
      </c>
      <c r="BD257" s="108" t="str">
        <f t="shared" si="12"/>
        <v/>
      </c>
      <c r="BE257" s="109" t="str">
        <f t="shared" si="13"/>
        <v/>
      </c>
      <c r="BF257" s="110" t="str">
        <f t="shared" si="14"/>
        <v/>
      </c>
      <c r="BG257" s="111"/>
    </row>
    <row r="258" spans="1:59" ht="12.75">
      <c r="A258" s="101"/>
      <c r="B258" s="102"/>
      <c r="C258" s="102" t="e">
        <f t="array" aca="1" ref="C258" ca="1">_xludf.XLOOKUP(A258,'QA Log'!D:D,'QA Log'!F:F,"")</f>
        <v>#NAME?</v>
      </c>
      <c r="D258" s="102"/>
      <c r="E258" s="102" t="e">
        <f t="array" aca="1" ref="E258" ca="1">_xludf.XLOOKUP(A258,'QA Log'!D:D,'QA Log'!G:G,"")</f>
        <v>#NAME?</v>
      </c>
      <c r="F258" s="103"/>
      <c r="G258" s="104"/>
      <c r="H258" s="104"/>
      <c r="I258" s="103" t="str">
        <f t="shared" ref="I258:I512" si="15">IF(A258&lt;&gt;"",SUM(L258,N258,P258,R258),"")</f>
        <v/>
      </c>
      <c r="J258" s="102"/>
      <c r="K258" s="102"/>
      <c r="L258" s="119" t="str">
        <f t="array" ref="L258">IF(OR($B258="",$D258=""),"",
IFERROR(
  INDEX(
    'Tools &amp; Targets_Guideline'!$C$54:$I$269,
    MATCH(
      1,
      ('Tools &amp; Targets_Guideline'!$A$54:$A$269=$B258)*
      ('Tools &amp; Targets_Guideline'!$B$54:$B$269="ANC"),
      0
    ),
    MATCH(
      _xludf.IFNA(
        VLOOKUP($D258,{"PH","Provincial Hospital (H2)";"DH","District Hospital (H3)";"RH","Regional / National Hospital (H1)"},2,0),
        $D258
      ),
      'Tools &amp; Targets_Guideline'!$C$53:$I$53,
      0
    )
  ),
0))</f>
        <v/>
      </c>
      <c r="M258" s="105"/>
      <c r="N258" s="119" t="str">
        <f t="array" ref="N258">IF(OR($B258="",$D258=""),"",
IFERROR(
  INDEX(
    'Tools &amp; Targets_Guideline'!$C$54:$I$269,
    MATCH(
      1,
      ('Tools &amp; Targets_Guideline'!$A$54:$A$269=$B258)*
      ('Tools &amp; Targets_Guideline'!$B$54:$B$269="PNC"),
      0
    ),
    MATCH(
      _xludf.IFNA(
        VLOOKUP($D258,{"PH","Provincial Hospital (H2)";"DH","District Hospital (H3)";"RH","Regional / National Hospital (H1)"},2,0),
        $D258
      ),
      'Tools &amp; Targets_Guideline'!$C$53:$I$53,
      0
    )
  ),
0))</f>
        <v/>
      </c>
      <c r="O258" s="105"/>
      <c r="P258" s="119" t="str">
        <f t="array" ref="P258">IF(OR($B258="",$D258=""),"",
IFERROR(
  INDEX(
    'Tools &amp; Targets_Guideline'!$C$54:$I$269,
    MATCH(
      1,
      ('Tools &amp; Targets_Guideline'!$A$54:$A$269=$B258)*
      ('Tools &amp; Targets_Guideline'!$B$54:$B$269="Delivery"),
      0
    ),
    MATCH(
      _xludf.IFNA(
        VLOOKUP($D258,{"PH","Provincial Hospital (H2)";"DH","District Hospital (H3)";"RH","Regional / National Hospital (H1)"},2,0),
        $D258
      ),
      'Tools &amp; Targets_Guideline'!$C$53:$I$53,
      0
    )
  ),
0))</f>
        <v/>
      </c>
      <c r="Q258" s="105"/>
      <c r="R258" s="119" t="str">
        <f t="array" ref="R258">IF(OR($B258="",$D258=""),"",
IFERROR(
  INDEX(
    'Tools &amp; Targets_Guideline'!$C$54:$I$269,
    MATCH(
      1,
      ('Tools &amp; Targets_Guideline'!$A$54:$A$269=$B258)*
      ('Tools &amp; Targets_Guideline'!$B$54:$B$269="TT"),
      0
    ),
    MATCH(
      _xludf.IFNA(
        VLOOKUP($D258,{"PH","Provincial Hospital (H2)";"DH","District Hospital (H3)";"RH","Regional / National Hospital (H1)"},2,0),
        $D258
      ),
      'Tools &amp; Targets_Guideline'!$C$53:$I$53,
      0
    )
  ),
0))</f>
        <v/>
      </c>
      <c r="S258" s="105"/>
      <c r="T258" s="102"/>
      <c r="U258" s="106"/>
      <c r="V258" s="102" t="str">
        <f t="shared" ref="V258:V512" si="16">IF(A258&lt;&gt;"",SUM(Y258,AA258,AC258,AE258,AG258),"")</f>
        <v/>
      </c>
      <c r="W258" s="102"/>
      <c r="X258" s="102"/>
      <c r="Y258" s="119" t="str">
        <f t="array" ref="Y258">IF(OR($B258="",$D258=""),"",
IFERROR(
  INDEX(
    'Tools &amp; Targets_Guideline'!$C$54:$I$269,
    MATCH(
      1,
      ('Tools &amp; Targets_Guideline'!$A$54:$A$269=$B258)*
      ('Tools &amp; Targets_Guideline'!$B$54:$B$269="GM"),
      0
    ),
    MATCH(
      _xludf.IFNA(
        VLOOKUP($D258,{"PH","Provincial Hospital (H2)";"DH","District Hospital (H3)";"RH","Regional / National Hospital (H1)"},2,0),
        $D258
      ),
      'Tools &amp; Targets_Guideline'!$C$53:$I$53,
      0
    )
  ),
0))</f>
        <v/>
      </c>
      <c r="Z258" s="105"/>
      <c r="AA258" s="119" t="str">
        <f t="array" ref="AA258">IF(OR($B258="",$D258=""),"",
IFERROR(
  INDEX(
    'Tools &amp; Targets_Guideline'!$C$54:$I$269,
    MATCH(
      1,
      ('Tools &amp; Targets_Guideline'!$A$54:$A$269=$B258)*
      ('Tools &amp; Targets_Guideline'!$B$54:$B$269="Penta"),
      0
    ),
    MATCH(
      _xludf.IFNA(
        VLOOKUP($D258,{"PH","Provincial Hospital (H2)";"DH","District Hospital (H3)";"RH","Regional / National Hospital (H1)"},2,0),
        $D258
      ),
      'Tools &amp; Targets_Guideline'!$C$53:$I$53,
      0
    )
  ),
0))</f>
        <v/>
      </c>
      <c r="AB258" s="105"/>
      <c r="AC258" s="119" t="str">
        <f t="array" ref="AC258">IF(OR($B258="",$D258=""),"",
IFERROR(
  INDEX(
    'Tools &amp; Targets_Guideline'!$C$54:$I$269,
    MATCH(
      1,
      ('Tools &amp; Targets_Guideline'!$A$54:$A$269=$B258)*
      ('Tools &amp; Targets_Guideline'!$B$54:$B$269="TB"),
      0
    ),
    MATCH(
      _xludf.IFNA(
        VLOOKUP($D258,{"PH","Provincial Hospital (H2)";"DH","District Hospital (H3)";"RH","Regional / National Hospital (H1)"},2,0),
        $D258
      ),
      'Tools &amp; Targets_Guideline'!$C$53:$I$53,
      0
    )
  ),
0))</f>
        <v/>
      </c>
      <c r="AD258" s="105"/>
      <c r="AE258" s="119" t="str">
        <f t="array" ref="AE258">IF(OR($B258="",$D258=""),"",
IFERROR(
  INDEX(
    'Tools &amp; Targets_Guideline'!$C$54:$I$269,
    MATCH(
      1,
      ('Tools &amp; Targets_Guideline'!$A$54:$A$269=$B258)*
      ('Tools &amp; Targets_Guideline'!$B$54:$B$269="U5 Morbidity"),
      0
    ),
    MATCH(
      _xludf.IFNA(
        VLOOKUP($D258,{"PH","Provincial Hospital (H2)";"DH","District Hospital (H3)";"RH","Regional / National Hospital (H1)"},2,0),
        $D258
      ),
      'Tools &amp; Targets_Guideline'!$C$53:$I$53,
      0
    )
  ),
0))</f>
        <v/>
      </c>
      <c r="AF258" s="105"/>
      <c r="AG258" s="119" t="str">
        <f t="array" ref="AG258">IF(OR($B258="",$D258=""),"",
IFERROR(
  INDEX(
    'Tools &amp; Targets_Guideline'!$C$54:$I$269,
    MATCH(
      1,
      ('Tools &amp; Targets_Guideline'!$A$54:$A$269=$B258)*
      ('Tools &amp; Targets_Guideline'!$B$54:$B$269="C-Section"),
      0
    ),
    MATCH(
      _xludf.IFNA(
        VLOOKUP($D258,{"PH","Provincial Hospital (H2)";"DH","District Hospital (H3)";"RH","Regional / National Hospital (H1)"},2,0),
        $D258
      ),
      'Tools &amp; Targets_Guideline'!$C$53:$I$53,
      0
    )
  ),
0))</f>
        <v/>
      </c>
      <c r="AH258" s="105" t="str">
        <f>IF(A258&lt;&gt;"",COUNTIFS('QA Log'!D:D,A258,'QA Log'!M:M,"QQC",'QA Log'!L:L,"2. Hygiene and Sterilization",'QA Log'!Z:Z,"Approved"),"")</f>
        <v/>
      </c>
      <c r="AI258" s="102"/>
      <c r="AJ258" s="102"/>
      <c r="AK258" s="103" t="str">
        <f t="shared" ref="AK258:AK512" si="17">IF(A258="", "", IF(OR(D258="RH", D258="PH", D258="SHC"), 0,1))</f>
        <v/>
      </c>
      <c r="AL258" s="102"/>
      <c r="AM258" s="102"/>
      <c r="AN258" s="102"/>
      <c r="AO258" s="106"/>
      <c r="AP258" s="103"/>
      <c r="AQ258" s="102"/>
      <c r="AR258" s="102"/>
      <c r="AS258" s="102"/>
      <c r="AT258" s="107"/>
      <c r="AU258" s="102" t="str">
        <f t="shared" ref="AU258:AU512" si="18">IF(A258&lt;&gt;"",SUM(#REF!,#REF!,AP258,#REF!,AK258,V258,I258),"")</f>
        <v/>
      </c>
      <c r="AV258" s="102" t="str">
        <f t="shared" ref="AV258:AV512" si="19">IF(A258&lt;&gt;"",SUM(#REF!,#REF!,AQ258,#REF!,AL258,W258,J258),"")</f>
        <v/>
      </c>
      <c r="AW258" s="102" t="str">
        <f t="shared" ref="AW258:AW512" si="20">IF(A258&lt;&gt;"",SUM(#REF!,#REF!,AR258,#REF!,AM258,X258,K258),"")</f>
        <v/>
      </c>
      <c r="AX258" s="102" t="str">
        <f t="shared" ref="AX258:AX512" si="21">IF(A258&lt;&gt;"",SUM(#REF!,#REF!,AS258,#REF!,AN258,AI258,T258),"")</f>
        <v/>
      </c>
      <c r="AY258" s="107" t="str">
        <f t="shared" ref="AY258:AY512" si="22">IF(A258&lt;&gt;"",AU258-AW258,"")</f>
        <v/>
      </c>
      <c r="AZ258" s="108" t="str">
        <f t="shared" ref="AZ258:AZ512" si="23">IF(
  A258="","",
  IF(
    OR(D258="RH",D258="PH",D258="SHC"),
    "Not Applicable",
    IF(AND(I258&lt;=J258,V258&lt;=W258),"Fully Received","Not Received")
  )
)</f>
        <v/>
      </c>
      <c r="BA258" s="108" t="str">
        <f t="shared" ref="BA258:BA512" si="24">IF(A258&lt;&gt;"", IF(OR(D258="DH",D258="CHC",D258="BHC"),"Not Applicable",IF(AND(AK258&lt;=AL258,#REF!&lt;=#REF!),"Fully Received","Not Received")),"")</f>
        <v/>
      </c>
      <c r="BB258" s="109" t="str">
        <f t="shared" ref="BB258:BB512" si="25">IF(A258&lt;&gt;"",IF(AND(AP258&lt;=AQ258,#REF!&lt;=#REF!,#REF!&lt;=#REF!),"Fully Received","Not Received"),"")</f>
        <v/>
      </c>
      <c r="BC258" s="108" t="str">
        <f t="shared" ref="BC258:BC512" si="26">IF(
  A258="","",
  IF(
    OR(D258="RH",D258="PH",D258="SHC"),
    "Not Applicable",
    IF(AND(I258&lt;=K258,V258&lt;=X258),"Fully Received","Not Received")
  )
)</f>
        <v/>
      </c>
      <c r="BD258" s="108" t="str">
        <f t="shared" ref="BD258:BD512" si="27">IF(A258&lt;&gt;"",IF(OR(D258="DH",D258="CHC",D258="BHC"),"Not Applicable",IF(AND(AK258&lt;=AM258,#REF!&lt;=#REF!),"Fully Received","Not Received")),"")</f>
        <v/>
      </c>
      <c r="BE258" s="109" t="str">
        <f t="shared" ref="BE258:BE512" si="28">IF(A258&lt;&gt;"",IF(AND(AP258&lt;=AR258,#REF!&lt;=#REF!,#REF!&lt;=#REF!),"Fully Received","Not Received"),"")</f>
        <v/>
      </c>
      <c r="BF258" s="110" t="str">
        <f t="shared" ref="BF258:BF512" si="29">IF(A258&lt;&gt;"",IF(AND(BC258="Fully Received", BD258="Fully Received", BE258="Fully Received"),"Completed Based on Data",IF(AND(BC258="Not Received", BD258="Not Received", BE258="Not Received"),"Not Completed Based on Data","Partially Completed")),"")</f>
        <v/>
      </c>
      <c r="BG258" s="111"/>
    </row>
    <row r="259" spans="1:59" ht="12.75">
      <c r="A259" s="101"/>
      <c r="B259" s="102"/>
      <c r="C259" s="102" t="e">
        <f t="array" aca="1" ref="C259" ca="1">_xludf.XLOOKUP(A259,'QA Log'!D:D,'QA Log'!F:F,"")</f>
        <v>#NAME?</v>
      </c>
      <c r="D259" s="102"/>
      <c r="E259" s="102" t="e">
        <f t="array" aca="1" ref="E259" ca="1">_xludf.XLOOKUP(A259,'QA Log'!D:D,'QA Log'!G:G,"")</f>
        <v>#NAME?</v>
      </c>
      <c r="F259" s="103"/>
      <c r="G259" s="104"/>
      <c r="H259" s="104"/>
      <c r="I259" s="103" t="str">
        <f t="shared" si="15"/>
        <v/>
      </c>
      <c r="J259" s="102"/>
      <c r="K259" s="102"/>
      <c r="L259" s="119" t="str">
        <f t="array" ref="L259">IF(OR($B259="",$D259=""),"",
IFERROR(
  INDEX(
    'Tools &amp; Targets_Guideline'!$C$54:$I$269,
    MATCH(
      1,
      ('Tools &amp; Targets_Guideline'!$A$54:$A$269=$B259)*
      ('Tools &amp; Targets_Guideline'!$B$54:$B$269="ANC"),
      0
    ),
    MATCH(
      _xludf.IFNA(
        VLOOKUP($D259,{"PH","Provincial Hospital (H2)";"DH","District Hospital (H3)";"RH","Regional / National Hospital (H1)"},2,0),
        $D259
      ),
      'Tools &amp; Targets_Guideline'!$C$53:$I$53,
      0
    )
  ),
0))</f>
        <v/>
      </c>
      <c r="M259" s="105"/>
      <c r="N259" s="119" t="str">
        <f t="array" ref="N259">IF(OR($B259="",$D259=""),"",
IFERROR(
  INDEX(
    'Tools &amp; Targets_Guideline'!$C$54:$I$269,
    MATCH(
      1,
      ('Tools &amp; Targets_Guideline'!$A$54:$A$269=$B259)*
      ('Tools &amp; Targets_Guideline'!$B$54:$B$269="PNC"),
      0
    ),
    MATCH(
      _xludf.IFNA(
        VLOOKUP($D259,{"PH","Provincial Hospital (H2)";"DH","District Hospital (H3)";"RH","Regional / National Hospital (H1)"},2,0),
        $D259
      ),
      'Tools &amp; Targets_Guideline'!$C$53:$I$53,
      0
    )
  ),
0))</f>
        <v/>
      </c>
      <c r="O259" s="105"/>
      <c r="P259" s="119" t="str">
        <f t="array" ref="P259">IF(OR($B259="",$D259=""),"",
IFERROR(
  INDEX(
    'Tools &amp; Targets_Guideline'!$C$54:$I$269,
    MATCH(
      1,
      ('Tools &amp; Targets_Guideline'!$A$54:$A$269=$B259)*
      ('Tools &amp; Targets_Guideline'!$B$54:$B$269="Delivery"),
      0
    ),
    MATCH(
      _xludf.IFNA(
        VLOOKUP($D259,{"PH","Provincial Hospital (H2)";"DH","District Hospital (H3)";"RH","Regional / National Hospital (H1)"},2,0),
        $D259
      ),
      'Tools &amp; Targets_Guideline'!$C$53:$I$53,
      0
    )
  ),
0))</f>
        <v/>
      </c>
      <c r="Q259" s="105"/>
      <c r="R259" s="119" t="str">
        <f t="array" ref="R259">IF(OR($B259="",$D259=""),"",
IFERROR(
  INDEX(
    'Tools &amp; Targets_Guideline'!$C$54:$I$269,
    MATCH(
      1,
      ('Tools &amp; Targets_Guideline'!$A$54:$A$269=$B259)*
      ('Tools &amp; Targets_Guideline'!$B$54:$B$269="TT"),
      0
    ),
    MATCH(
      _xludf.IFNA(
        VLOOKUP($D259,{"PH","Provincial Hospital (H2)";"DH","District Hospital (H3)";"RH","Regional / National Hospital (H1)"},2,0),
        $D259
      ),
      'Tools &amp; Targets_Guideline'!$C$53:$I$53,
      0
    )
  ),
0))</f>
        <v/>
      </c>
      <c r="S259" s="105"/>
      <c r="T259" s="102"/>
      <c r="U259" s="106"/>
      <c r="V259" s="102" t="str">
        <f t="shared" si="16"/>
        <v/>
      </c>
      <c r="W259" s="102"/>
      <c r="X259" s="102"/>
      <c r="Y259" s="119" t="str">
        <f t="array" ref="Y259">IF(OR($B259="",$D259=""),"",
IFERROR(
  INDEX(
    'Tools &amp; Targets_Guideline'!$C$54:$I$269,
    MATCH(
      1,
      ('Tools &amp; Targets_Guideline'!$A$54:$A$269=$B259)*
      ('Tools &amp; Targets_Guideline'!$B$54:$B$269="GM"),
      0
    ),
    MATCH(
      _xludf.IFNA(
        VLOOKUP($D259,{"PH","Provincial Hospital (H2)";"DH","District Hospital (H3)";"RH","Regional / National Hospital (H1)"},2,0),
        $D259
      ),
      'Tools &amp; Targets_Guideline'!$C$53:$I$53,
      0
    )
  ),
0))</f>
        <v/>
      </c>
      <c r="Z259" s="105"/>
      <c r="AA259" s="119" t="str">
        <f t="array" ref="AA259">IF(OR($B259="",$D259=""),"",
IFERROR(
  INDEX(
    'Tools &amp; Targets_Guideline'!$C$54:$I$269,
    MATCH(
      1,
      ('Tools &amp; Targets_Guideline'!$A$54:$A$269=$B259)*
      ('Tools &amp; Targets_Guideline'!$B$54:$B$269="Penta"),
      0
    ),
    MATCH(
      _xludf.IFNA(
        VLOOKUP($D259,{"PH","Provincial Hospital (H2)";"DH","District Hospital (H3)";"RH","Regional / National Hospital (H1)"},2,0),
        $D259
      ),
      'Tools &amp; Targets_Guideline'!$C$53:$I$53,
      0
    )
  ),
0))</f>
        <v/>
      </c>
      <c r="AB259" s="105"/>
      <c r="AC259" s="119" t="str">
        <f t="array" ref="AC259">IF(OR($B259="",$D259=""),"",
IFERROR(
  INDEX(
    'Tools &amp; Targets_Guideline'!$C$54:$I$269,
    MATCH(
      1,
      ('Tools &amp; Targets_Guideline'!$A$54:$A$269=$B259)*
      ('Tools &amp; Targets_Guideline'!$B$54:$B$269="TB"),
      0
    ),
    MATCH(
      _xludf.IFNA(
        VLOOKUP($D259,{"PH","Provincial Hospital (H2)";"DH","District Hospital (H3)";"RH","Regional / National Hospital (H1)"},2,0),
        $D259
      ),
      'Tools &amp; Targets_Guideline'!$C$53:$I$53,
      0
    )
  ),
0))</f>
        <v/>
      </c>
      <c r="AD259" s="105"/>
      <c r="AE259" s="119" t="str">
        <f t="array" ref="AE259">IF(OR($B259="",$D259=""),"",
IFERROR(
  INDEX(
    'Tools &amp; Targets_Guideline'!$C$54:$I$269,
    MATCH(
      1,
      ('Tools &amp; Targets_Guideline'!$A$54:$A$269=$B259)*
      ('Tools &amp; Targets_Guideline'!$B$54:$B$269="U5 Morbidity"),
      0
    ),
    MATCH(
      _xludf.IFNA(
        VLOOKUP($D259,{"PH","Provincial Hospital (H2)";"DH","District Hospital (H3)";"RH","Regional / National Hospital (H1)"},2,0),
        $D259
      ),
      'Tools &amp; Targets_Guideline'!$C$53:$I$53,
      0
    )
  ),
0))</f>
        <v/>
      </c>
      <c r="AF259" s="105"/>
      <c r="AG259" s="119" t="str">
        <f t="array" ref="AG259">IF(OR($B259="",$D259=""),"",
IFERROR(
  INDEX(
    'Tools &amp; Targets_Guideline'!$C$54:$I$269,
    MATCH(
      1,
      ('Tools &amp; Targets_Guideline'!$A$54:$A$269=$B259)*
      ('Tools &amp; Targets_Guideline'!$B$54:$B$269="C-Section"),
      0
    ),
    MATCH(
      _xludf.IFNA(
        VLOOKUP($D259,{"PH","Provincial Hospital (H2)";"DH","District Hospital (H3)";"RH","Regional / National Hospital (H1)"},2,0),
        $D259
      ),
      'Tools &amp; Targets_Guideline'!$C$53:$I$53,
      0
    )
  ),
0))</f>
        <v/>
      </c>
      <c r="AH259" s="105" t="str">
        <f>IF(A259&lt;&gt;"",COUNTIFS('QA Log'!D:D,A259,'QA Log'!M:M,"QQC",'QA Log'!L:L,"2. Hygiene and Sterilization",'QA Log'!Z:Z,"Approved"),"")</f>
        <v/>
      </c>
      <c r="AI259" s="102"/>
      <c r="AJ259" s="102"/>
      <c r="AK259" s="103" t="str">
        <f t="shared" si="17"/>
        <v/>
      </c>
      <c r="AL259" s="102"/>
      <c r="AM259" s="102"/>
      <c r="AN259" s="102"/>
      <c r="AO259" s="106"/>
      <c r="AP259" s="103"/>
      <c r="AQ259" s="102"/>
      <c r="AR259" s="102"/>
      <c r="AS259" s="102"/>
      <c r="AT259" s="107"/>
      <c r="AU259" s="102" t="str">
        <f t="shared" si="18"/>
        <v/>
      </c>
      <c r="AV259" s="102" t="str">
        <f t="shared" si="19"/>
        <v/>
      </c>
      <c r="AW259" s="102" t="str">
        <f t="shared" si="20"/>
        <v/>
      </c>
      <c r="AX259" s="102" t="str">
        <f t="shared" si="21"/>
        <v/>
      </c>
      <c r="AY259" s="107" t="str">
        <f t="shared" si="22"/>
        <v/>
      </c>
      <c r="AZ259" s="108" t="str">
        <f t="shared" si="23"/>
        <v/>
      </c>
      <c r="BA259" s="108" t="str">
        <f t="shared" si="24"/>
        <v/>
      </c>
      <c r="BB259" s="109" t="str">
        <f t="shared" si="25"/>
        <v/>
      </c>
      <c r="BC259" s="108" t="str">
        <f t="shared" si="26"/>
        <v/>
      </c>
      <c r="BD259" s="108" t="str">
        <f t="shared" si="27"/>
        <v/>
      </c>
      <c r="BE259" s="109" t="str">
        <f t="shared" si="28"/>
        <v/>
      </c>
      <c r="BF259" s="110" t="str">
        <f t="shared" si="29"/>
        <v/>
      </c>
      <c r="BG259" s="111"/>
    </row>
    <row r="260" spans="1:59" ht="12.75">
      <c r="A260" s="101"/>
      <c r="B260" s="102"/>
      <c r="C260" s="102" t="e">
        <f t="array" aca="1" ref="C260" ca="1">_xludf.XLOOKUP(A260,'QA Log'!D:D,'QA Log'!F:F,"")</f>
        <v>#NAME?</v>
      </c>
      <c r="D260" s="102"/>
      <c r="E260" s="102" t="e">
        <f t="array" aca="1" ref="E260" ca="1">_xludf.XLOOKUP(A260,'QA Log'!D:D,'QA Log'!G:G,"")</f>
        <v>#NAME?</v>
      </c>
      <c r="F260" s="103"/>
      <c r="G260" s="104"/>
      <c r="H260" s="104"/>
      <c r="I260" s="103" t="str">
        <f t="shared" si="15"/>
        <v/>
      </c>
      <c r="J260" s="102"/>
      <c r="K260" s="102"/>
      <c r="L260" s="119" t="str">
        <f t="array" ref="L260">IF(OR($B260="",$D260=""),"",
IFERROR(
  INDEX(
    'Tools &amp; Targets_Guideline'!$C$54:$I$269,
    MATCH(
      1,
      ('Tools &amp; Targets_Guideline'!$A$54:$A$269=$B260)*
      ('Tools &amp; Targets_Guideline'!$B$54:$B$269="ANC"),
      0
    ),
    MATCH(
      _xludf.IFNA(
        VLOOKUP($D260,{"PH","Provincial Hospital (H2)";"DH","District Hospital (H3)";"RH","Regional / National Hospital (H1)"},2,0),
        $D260
      ),
      'Tools &amp; Targets_Guideline'!$C$53:$I$53,
      0
    )
  ),
0))</f>
        <v/>
      </c>
      <c r="M260" s="105"/>
      <c r="N260" s="119" t="str">
        <f t="array" ref="N260">IF(OR($B260="",$D260=""),"",
IFERROR(
  INDEX(
    'Tools &amp; Targets_Guideline'!$C$54:$I$269,
    MATCH(
      1,
      ('Tools &amp; Targets_Guideline'!$A$54:$A$269=$B260)*
      ('Tools &amp; Targets_Guideline'!$B$54:$B$269="PNC"),
      0
    ),
    MATCH(
      _xludf.IFNA(
        VLOOKUP($D260,{"PH","Provincial Hospital (H2)";"DH","District Hospital (H3)";"RH","Regional / National Hospital (H1)"},2,0),
        $D260
      ),
      'Tools &amp; Targets_Guideline'!$C$53:$I$53,
      0
    )
  ),
0))</f>
        <v/>
      </c>
      <c r="O260" s="105"/>
      <c r="P260" s="119" t="str">
        <f t="array" ref="P260">IF(OR($B260="",$D260=""),"",
IFERROR(
  INDEX(
    'Tools &amp; Targets_Guideline'!$C$54:$I$269,
    MATCH(
      1,
      ('Tools &amp; Targets_Guideline'!$A$54:$A$269=$B260)*
      ('Tools &amp; Targets_Guideline'!$B$54:$B$269="Delivery"),
      0
    ),
    MATCH(
      _xludf.IFNA(
        VLOOKUP($D260,{"PH","Provincial Hospital (H2)";"DH","District Hospital (H3)";"RH","Regional / National Hospital (H1)"},2,0),
        $D260
      ),
      'Tools &amp; Targets_Guideline'!$C$53:$I$53,
      0
    )
  ),
0))</f>
        <v/>
      </c>
      <c r="Q260" s="105"/>
      <c r="R260" s="119" t="str">
        <f t="array" ref="R260">IF(OR($B260="",$D260=""),"",
IFERROR(
  INDEX(
    'Tools &amp; Targets_Guideline'!$C$54:$I$269,
    MATCH(
      1,
      ('Tools &amp; Targets_Guideline'!$A$54:$A$269=$B260)*
      ('Tools &amp; Targets_Guideline'!$B$54:$B$269="TT"),
      0
    ),
    MATCH(
      _xludf.IFNA(
        VLOOKUP($D260,{"PH","Provincial Hospital (H2)";"DH","District Hospital (H3)";"RH","Regional / National Hospital (H1)"},2,0),
        $D260
      ),
      'Tools &amp; Targets_Guideline'!$C$53:$I$53,
      0
    )
  ),
0))</f>
        <v/>
      </c>
      <c r="S260" s="105"/>
      <c r="T260" s="102"/>
      <c r="U260" s="106"/>
      <c r="V260" s="102" t="str">
        <f t="shared" si="16"/>
        <v/>
      </c>
      <c r="W260" s="102"/>
      <c r="X260" s="102"/>
      <c r="Y260" s="119" t="str">
        <f t="array" ref="Y260">IF(OR($B260="",$D260=""),"",
IFERROR(
  INDEX(
    'Tools &amp; Targets_Guideline'!$C$54:$I$269,
    MATCH(
      1,
      ('Tools &amp; Targets_Guideline'!$A$54:$A$269=$B260)*
      ('Tools &amp; Targets_Guideline'!$B$54:$B$269="GM"),
      0
    ),
    MATCH(
      _xludf.IFNA(
        VLOOKUP($D260,{"PH","Provincial Hospital (H2)";"DH","District Hospital (H3)";"RH","Regional / National Hospital (H1)"},2,0),
        $D260
      ),
      'Tools &amp; Targets_Guideline'!$C$53:$I$53,
      0
    )
  ),
0))</f>
        <v/>
      </c>
      <c r="Z260" s="105"/>
      <c r="AA260" s="119" t="str">
        <f t="array" ref="AA260">IF(OR($B260="",$D260=""),"",
IFERROR(
  INDEX(
    'Tools &amp; Targets_Guideline'!$C$54:$I$269,
    MATCH(
      1,
      ('Tools &amp; Targets_Guideline'!$A$54:$A$269=$B260)*
      ('Tools &amp; Targets_Guideline'!$B$54:$B$269="Penta"),
      0
    ),
    MATCH(
      _xludf.IFNA(
        VLOOKUP($D260,{"PH","Provincial Hospital (H2)";"DH","District Hospital (H3)";"RH","Regional / National Hospital (H1)"},2,0),
        $D260
      ),
      'Tools &amp; Targets_Guideline'!$C$53:$I$53,
      0
    )
  ),
0))</f>
        <v/>
      </c>
      <c r="AB260" s="105"/>
      <c r="AC260" s="119" t="str">
        <f t="array" ref="AC260">IF(OR($B260="",$D260=""),"",
IFERROR(
  INDEX(
    'Tools &amp; Targets_Guideline'!$C$54:$I$269,
    MATCH(
      1,
      ('Tools &amp; Targets_Guideline'!$A$54:$A$269=$B260)*
      ('Tools &amp; Targets_Guideline'!$B$54:$B$269="TB"),
      0
    ),
    MATCH(
      _xludf.IFNA(
        VLOOKUP($D260,{"PH","Provincial Hospital (H2)";"DH","District Hospital (H3)";"RH","Regional / National Hospital (H1)"},2,0),
        $D260
      ),
      'Tools &amp; Targets_Guideline'!$C$53:$I$53,
      0
    )
  ),
0))</f>
        <v/>
      </c>
      <c r="AD260" s="105"/>
      <c r="AE260" s="119" t="str">
        <f t="array" ref="AE260">IF(OR($B260="",$D260=""),"",
IFERROR(
  INDEX(
    'Tools &amp; Targets_Guideline'!$C$54:$I$269,
    MATCH(
      1,
      ('Tools &amp; Targets_Guideline'!$A$54:$A$269=$B260)*
      ('Tools &amp; Targets_Guideline'!$B$54:$B$269="U5 Morbidity"),
      0
    ),
    MATCH(
      _xludf.IFNA(
        VLOOKUP($D260,{"PH","Provincial Hospital (H2)";"DH","District Hospital (H3)";"RH","Regional / National Hospital (H1)"},2,0),
        $D260
      ),
      'Tools &amp; Targets_Guideline'!$C$53:$I$53,
      0
    )
  ),
0))</f>
        <v/>
      </c>
      <c r="AF260" s="105"/>
      <c r="AG260" s="119" t="str">
        <f t="array" ref="AG260">IF(OR($B260="",$D260=""),"",
IFERROR(
  INDEX(
    'Tools &amp; Targets_Guideline'!$C$54:$I$269,
    MATCH(
      1,
      ('Tools &amp; Targets_Guideline'!$A$54:$A$269=$B260)*
      ('Tools &amp; Targets_Guideline'!$B$54:$B$269="C-Section"),
      0
    ),
    MATCH(
      _xludf.IFNA(
        VLOOKUP($D260,{"PH","Provincial Hospital (H2)";"DH","District Hospital (H3)";"RH","Regional / National Hospital (H1)"},2,0),
        $D260
      ),
      'Tools &amp; Targets_Guideline'!$C$53:$I$53,
      0
    )
  ),
0))</f>
        <v/>
      </c>
      <c r="AH260" s="105" t="str">
        <f>IF(A260&lt;&gt;"",COUNTIFS('QA Log'!D:D,A260,'QA Log'!M:M,"QQC",'QA Log'!L:L,"2. Hygiene and Sterilization",'QA Log'!Z:Z,"Approved"),"")</f>
        <v/>
      </c>
      <c r="AI260" s="102"/>
      <c r="AJ260" s="102"/>
      <c r="AK260" s="103" t="str">
        <f t="shared" si="17"/>
        <v/>
      </c>
      <c r="AL260" s="102"/>
      <c r="AM260" s="102"/>
      <c r="AN260" s="102"/>
      <c r="AO260" s="106"/>
      <c r="AP260" s="103"/>
      <c r="AQ260" s="102"/>
      <c r="AR260" s="102"/>
      <c r="AS260" s="102"/>
      <c r="AT260" s="107"/>
      <c r="AU260" s="102" t="str">
        <f t="shared" si="18"/>
        <v/>
      </c>
      <c r="AV260" s="102" t="str">
        <f t="shared" si="19"/>
        <v/>
      </c>
      <c r="AW260" s="102" t="str">
        <f t="shared" si="20"/>
        <v/>
      </c>
      <c r="AX260" s="102" t="str">
        <f t="shared" si="21"/>
        <v/>
      </c>
      <c r="AY260" s="107" t="str">
        <f t="shared" si="22"/>
        <v/>
      </c>
      <c r="AZ260" s="108" t="str">
        <f t="shared" si="23"/>
        <v/>
      </c>
      <c r="BA260" s="108" t="str">
        <f t="shared" si="24"/>
        <v/>
      </c>
      <c r="BB260" s="109" t="str">
        <f t="shared" si="25"/>
        <v/>
      </c>
      <c r="BC260" s="108" t="str">
        <f t="shared" si="26"/>
        <v/>
      </c>
      <c r="BD260" s="108" t="str">
        <f t="shared" si="27"/>
        <v/>
      </c>
      <c r="BE260" s="109" t="str">
        <f t="shared" si="28"/>
        <v/>
      </c>
      <c r="BF260" s="110" t="str">
        <f t="shared" si="29"/>
        <v/>
      </c>
      <c r="BG260" s="111"/>
    </row>
    <row r="261" spans="1:59" ht="12.75">
      <c r="A261" s="101"/>
      <c r="B261" s="102"/>
      <c r="C261" s="102" t="e">
        <f t="array" aca="1" ref="C261" ca="1">_xludf.XLOOKUP(A261,'QA Log'!D:D,'QA Log'!F:F,"")</f>
        <v>#NAME?</v>
      </c>
      <c r="D261" s="102"/>
      <c r="E261" s="102" t="e">
        <f t="array" aca="1" ref="E261" ca="1">_xludf.XLOOKUP(A261,'QA Log'!D:D,'QA Log'!G:G,"")</f>
        <v>#NAME?</v>
      </c>
      <c r="F261" s="103"/>
      <c r="G261" s="104"/>
      <c r="H261" s="104"/>
      <c r="I261" s="103" t="str">
        <f t="shared" si="15"/>
        <v/>
      </c>
      <c r="J261" s="102"/>
      <c r="K261" s="102"/>
      <c r="L261" s="119" t="str">
        <f t="array" ref="L261">IF(OR($B261="",$D261=""),"",
IFERROR(
  INDEX(
    'Tools &amp; Targets_Guideline'!$C$54:$I$269,
    MATCH(
      1,
      ('Tools &amp; Targets_Guideline'!$A$54:$A$269=$B261)*
      ('Tools &amp; Targets_Guideline'!$B$54:$B$269="ANC"),
      0
    ),
    MATCH(
      _xludf.IFNA(
        VLOOKUP($D261,{"PH","Provincial Hospital (H2)";"DH","District Hospital (H3)";"RH","Regional / National Hospital (H1)"},2,0),
        $D261
      ),
      'Tools &amp; Targets_Guideline'!$C$53:$I$53,
      0
    )
  ),
0))</f>
        <v/>
      </c>
      <c r="M261" s="105"/>
      <c r="N261" s="119" t="str">
        <f t="array" ref="N261">IF(OR($B261="",$D261=""),"",
IFERROR(
  INDEX(
    'Tools &amp; Targets_Guideline'!$C$54:$I$269,
    MATCH(
      1,
      ('Tools &amp; Targets_Guideline'!$A$54:$A$269=$B261)*
      ('Tools &amp; Targets_Guideline'!$B$54:$B$269="PNC"),
      0
    ),
    MATCH(
      _xludf.IFNA(
        VLOOKUP($D261,{"PH","Provincial Hospital (H2)";"DH","District Hospital (H3)";"RH","Regional / National Hospital (H1)"},2,0),
        $D261
      ),
      'Tools &amp; Targets_Guideline'!$C$53:$I$53,
      0
    )
  ),
0))</f>
        <v/>
      </c>
      <c r="O261" s="105"/>
      <c r="P261" s="119" t="str">
        <f t="array" ref="P261">IF(OR($B261="",$D261=""),"",
IFERROR(
  INDEX(
    'Tools &amp; Targets_Guideline'!$C$54:$I$269,
    MATCH(
      1,
      ('Tools &amp; Targets_Guideline'!$A$54:$A$269=$B261)*
      ('Tools &amp; Targets_Guideline'!$B$54:$B$269="Delivery"),
      0
    ),
    MATCH(
      _xludf.IFNA(
        VLOOKUP($D261,{"PH","Provincial Hospital (H2)";"DH","District Hospital (H3)";"RH","Regional / National Hospital (H1)"},2,0),
        $D261
      ),
      'Tools &amp; Targets_Guideline'!$C$53:$I$53,
      0
    )
  ),
0))</f>
        <v/>
      </c>
      <c r="Q261" s="105"/>
      <c r="R261" s="119" t="str">
        <f t="array" ref="R261">IF(OR($B261="",$D261=""),"",
IFERROR(
  INDEX(
    'Tools &amp; Targets_Guideline'!$C$54:$I$269,
    MATCH(
      1,
      ('Tools &amp; Targets_Guideline'!$A$54:$A$269=$B261)*
      ('Tools &amp; Targets_Guideline'!$B$54:$B$269="TT"),
      0
    ),
    MATCH(
      _xludf.IFNA(
        VLOOKUP($D261,{"PH","Provincial Hospital (H2)";"DH","District Hospital (H3)";"RH","Regional / National Hospital (H1)"},2,0),
        $D261
      ),
      'Tools &amp; Targets_Guideline'!$C$53:$I$53,
      0
    )
  ),
0))</f>
        <v/>
      </c>
      <c r="S261" s="105"/>
      <c r="T261" s="102"/>
      <c r="U261" s="106"/>
      <c r="V261" s="102" t="str">
        <f t="shared" si="16"/>
        <v/>
      </c>
      <c r="W261" s="102"/>
      <c r="X261" s="102"/>
      <c r="Y261" s="119" t="str">
        <f t="array" ref="Y261">IF(OR($B261="",$D261=""),"",
IFERROR(
  INDEX(
    'Tools &amp; Targets_Guideline'!$C$54:$I$269,
    MATCH(
      1,
      ('Tools &amp; Targets_Guideline'!$A$54:$A$269=$B261)*
      ('Tools &amp; Targets_Guideline'!$B$54:$B$269="GM"),
      0
    ),
    MATCH(
      _xludf.IFNA(
        VLOOKUP($D261,{"PH","Provincial Hospital (H2)";"DH","District Hospital (H3)";"RH","Regional / National Hospital (H1)"},2,0),
        $D261
      ),
      'Tools &amp; Targets_Guideline'!$C$53:$I$53,
      0
    )
  ),
0))</f>
        <v/>
      </c>
      <c r="Z261" s="105"/>
      <c r="AA261" s="119" t="str">
        <f t="array" ref="AA261">IF(OR($B261="",$D261=""),"",
IFERROR(
  INDEX(
    'Tools &amp; Targets_Guideline'!$C$54:$I$269,
    MATCH(
      1,
      ('Tools &amp; Targets_Guideline'!$A$54:$A$269=$B261)*
      ('Tools &amp; Targets_Guideline'!$B$54:$B$269="Penta"),
      0
    ),
    MATCH(
      _xludf.IFNA(
        VLOOKUP($D261,{"PH","Provincial Hospital (H2)";"DH","District Hospital (H3)";"RH","Regional / National Hospital (H1)"},2,0),
        $D261
      ),
      'Tools &amp; Targets_Guideline'!$C$53:$I$53,
      0
    )
  ),
0))</f>
        <v/>
      </c>
      <c r="AB261" s="105"/>
      <c r="AC261" s="119" t="str">
        <f t="array" ref="AC261">IF(OR($B261="",$D261=""),"",
IFERROR(
  INDEX(
    'Tools &amp; Targets_Guideline'!$C$54:$I$269,
    MATCH(
      1,
      ('Tools &amp; Targets_Guideline'!$A$54:$A$269=$B261)*
      ('Tools &amp; Targets_Guideline'!$B$54:$B$269="TB"),
      0
    ),
    MATCH(
      _xludf.IFNA(
        VLOOKUP($D261,{"PH","Provincial Hospital (H2)";"DH","District Hospital (H3)";"RH","Regional / National Hospital (H1)"},2,0),
        $D261
      ),
      'Tools &amp; Targets_Guideline'!$C$53:$I$53,
      0
    )
  ),
0))</f>
        <v/>
      </c>
      <c r="AD261" s="105"/>
      <c r="AE261" s="119" t="str">
        <f t="array" ref="AE261">IF(OR($B261="",$D261=""),"",
IFERROR(
  INDEX(
    'Tools &amp; Targets_Guideline'!$C$54:$I$269,
    MATCH(
      1,
      ('Tools &amp; Targets_Guideline'!$A$54:$A$269=$B261)*
      ('Tools &amp; Targets_Guideline'!$B$54:$B$269="U5 Morbidity"),
      0
    ),
    MATCH(
      _xludf.IFNA(
        VLOOKUP($D261,{"PH","Provincial Hospital (H2)";"DH","District Hospital (H3)";"RH","Regional / National Hospital (H1)"},2,0),
        $D261
      ),
      'Tools &amp; Targets_Guideline'!$C$53:$I$53,
      0
    )
  ),
0))</f>
        <v/>
      </c>
      <c r="AF261" s="105"/>
      <c r="AG261" s="119" t="str">
        <f t="array" ref="AG261">IF(OR($B261="",$D261=""),"",
IFERROR(
  INDEX(
    'Tools &amp; Targets_Guideline'!$C$54:$I$269,
    MATCH(
      1,
      ('Tools &amp; Targets_Guideline'!$A$54:$A$269=$B261)*
      ('Tools &amp; Targets_Guideline'!$B$54:$B$269="C-Section"),
      0
    ),
    MATCH(
      _xludf.IFNA(
        VLOOKUP($D261,{"PH","Provincial Hospital (H2)";"DH","District Hospital (H3)";"RH","Regional / National Hospital (H1)"},2,0),
        $D261
      ),
      'Tools &amp; Targets_Guideline'!$C$53:$I$53,
      0
    )
  ),
0))</f>
        <v/>
      </c>
      <c r="AH261" s="105" t="str">
        <f>IF(A261&lt;&gt;"",COUNTIFS('QA Log'!D:D,A261,'QA Log'!M:M,"QQC",'QA Log'!L:L,"2. Hygiene and Sterilization",'QA Log'!Z:Z,"Approved"),"")</f>
        <v/>
      </c>
      <c r="AI261" s="102"/>
      <c r="AJ261" s="102"/>
      <c r="AK261" s="103" t="str">
        <f t="shared" si="17"/>
        <v/>
      </c>
      <c r="AL261" s="102"/>
      <c r="AM261" s="102"/>
      <c r="AN261" s="102"/>
      <c r="AO261" s="106"/>
      <c r="AP261" s="103"/>
      <c r="AQ261" s="102"/>
      <c r="AR261" s="102"/>
      <c r="AS261" s="102"/>
      <c r="AT261" s="107"/>
      <c r="AU261" s="102" t="str">
        <f t="shared" si="18"/>
        <v/>
      </c>
      <c r="AV261" s="102" t="str">
        <f t="shared" si="19"/>
        <v/>
      </c>
      <c r="AW261" s="102" t="str">
        <f t="shared" si="20"/>
        <v/>
      </c>
      <c r="AX261" s="102" t="str">
        <f t="shared" si="21"/>
        <v/>
      </c>
      <c r="AY261" s="107" t="str">
        <f t="shared" si="22"/>
        <v/>
      </c>
      <c r="AZ261" s="108" t="str">
        <f t="shared" si="23"/>
        <v/>
      </c>
      <c r="BA261" s="108" t="str">
        <f t="shared" si="24"/>
        <v/>
      </c>
      <c r="BB261" s="109" t="str">
        <f t="shared" si="25"/>
        <v/>
      </c>
      <c r="BC261" s="108" t="str">
        <f t="shared" si="26"/>
        <v/>
      </c>
      <c r="BD261" s="108" t="str">
        <f t="shared" si="27"/>
        <v/>
      </c>
      <c r="BE261" s="109" t="str">
        <f t="shared" si="28"/>
        <v/>
      </c>
      <c r="BF261" s="110" t="str">
        <f t="shared" si="29"/>
        <v/>
      </c>
      <c r="BG261" s="111"/>
    </row>
    <row r="262" spans="1:59" ht="12.75">
      <c r="A262" s="101"/>
      <c r="B262" s="102"/>
      <c r="C262" s="102" t="e">
        <f t="array" aca="1" ref="C262" ca="1">_xludf.XLOOKUP(A262,'QA Log'!D:D,'QA Log'!F:F,"")</f>
        <v>#NAME?</v>
      </c>
      <c r="D262" s="102"/>
      <c r="E262" s="102" t="e">
        <f t="array" aca="1" ref="E262" ca="1">_xludf.XLOOKUP(A262,'QA Log'!D:D,'QA Log'!G:G,"")</f>
        <v>#NAME?</v>
      </c>
      <c r="F262" s="103"/>
      <c r="G262" s="104"/>
      <c r="H262" s="104"/>
      <c r="I262" s="103" t="str">
        <f t="shared" si="15"/>
        <v/>
      </c>
      <c r="J262" s="102"/>
      <c r="K262" s="102"/>
      <c r="L262" s="119" t="str">
        <f t="array" ref="L262">IF(OR($B262="",$D262=""),"",
IFERROR(
  INDEX(
    'Tools &amp; Targets_Guideline'!$C$54:$I$269,
    MATCH(
      1,
      ('Tools &amp; Targets_Guideline'!$A$54:$A$269=$B262)*
      ('Tools &amp; Targets_Guideline'!$B$54:$B$269="ANC"),
      0
    ),
    MATCH(
      _xludf.IFNA(
        VLOOKUP($D262,{"PH","Provincial Hospital (H2)";"DH","District Hospital (H3)";"RH","Regional / National Hospital (H1)"},2,0),
        $D262
      ),
      'Tools &amp; Targets_Guideline'!$C$53:$I$53,
      0
    )
  ),
0))</f>
        <v/>
      </c>
      <c r="M262" s="105"/>
      <c r="N262" s="119" t="str">
        <f t="array" ref="N262">IF(OR($B262="",$D262=""),"",
IFERROR(
  INDEX(
    'Tools &amp; Targets_Guideline'!$C$54:$I$269,
    MATCH(
      1,
      ('Tools &amp; Targets_Guideline'!$A$54:$A$269=$B262)*
      ('Tools &amp; Targets_Guideline'!$B$54:$B$269="PNC"),
      0
    ),
    MATCH(
      _xludf.IFNA(
        VLOOKUP($D262,{"PH","Provincial Hospital (H2)";"DH","District Hospital (H3)";"RH","Regional / National Hospital (H1)"},2,0),
        $D262
      ),
      'Tools &amp; Targets_Guideline'!$C$53:$I$53,
      0
    )
  ),
0))</f>
        <v/>
      </c>
      <c r="O262" s="105"/>
      <c r="P262" s="119" t="str">
        <f t="array" ref="P262">IF(OR($B262="",$D262=""),"",
IFERROR(
  INDEX(
    'Tools &amp; Targets_Guideline'!$C$54:$I$269,
    MATCH(
      1,
      ('Tools &amp; Targets_Guideline'!$A$54:$A$269=$B262)*
      ('Tools &amp; Targets_Guideline'!$B$54:$B$269="Delivery"),
      0
    ),
    MATCH(
      _xludf.IFNA(
        VLOOKUP($D262,{"PH","Provincial Hospital (H2)";"DH","District Hospital (H3)";"RH","Regional / National Hospital (H1)"},2,0),
        $D262
      ),
      'Tools &amp; Targets_Guideline'!$C$53:$I$53,
      0
    )
  ),
0))</f>
        <v/>
      </c>
      <c r="Q262" s="105"/>
      <c r="R262" s="119" t="str">
        <f t="array" ref="R262">IF(OR($B262="",$D262=""),"",
IFERROR(
  INDEX(
    'Tools &amp; Targets_Guideline'!$C$54:$I$269,
    MATCH(
      1,
      ('Tools &amp; Targets_Guideline'!$A$54:$A$269=$B262)*
      ('Tools &amp; Targets_Guideline'!$B$54:$B$269="TT"),
      0
    ),
    MATCH(
      _xludf.IFNA(
        VLOOKUP($D262,{"PH","Provincial Hospital (H2)";"DH","District Hospital (H3)";"RH","Regional / National Hospital (H1)"},2,0),
        $D262
      ),
      'Tools &amp; Targets_Guideline'!$C$53:$I$53,
      0
    )
  ),
0))</f>
        <v/>
      </c>
      <c r="S262" s="105"/>
      <c r="T262" s="102"/>
      <c r="U262" s="106"/>
      <c r="V262" s="102" t="str">
        <f t="shared" si="16"/>
        <v/>
      </c>
      <c r="W262" s="102"/>
      <c r="X262" s="102"/>
      <c r="Y262" s="119" t="str">
        <f t="array" ref="Y262">IF(OR($B262="",$D262=""),"",
IFERROR(
  INDEX(
    'Tools &amp; Targets_Guideline'!$C$54:$I$269,
    MATCH(
      1,
      ('Tools &amp; Targets_Guideline'!$A$54:$A$269=$B262)*
      ('Tools &amp; Targets_Guideline'!$B$54:$B$269="GM"),
      0
    ),
    MATCH(
      _xludf.IFNA(
        VLOOKUP($D262,{"PH","Provincial Hospital (H2)";"DH","District Hospital (H3)";"RH","Regional / National Hospital (H1)"},2,0),
        $D262
      ),
      'Tools &amp; Targets_Guideline'!$C$53:$I$53,
      0
    )
  ),
0))</f>
        <v/>
      </c>
      <c r="Z262" s="105"/>
      <c r="AA262" s="119" t="str">
        <f t="array" ref="AA262">IF(OR($B262="",$D262=""),"",
IFERROR(
  INDEX(
    'Tools &amp; Targets_Guideline'!$C$54:$I$269,
    MATCH(
      1,
      ('Tools &amp; Targets_Guideline'!$A$54:$A$269=$B262)*
      ('Tools &amp; Targets_Guideline'!$B$54:$B$269="Penta"),
      0
    ),
    MATCH(
      _xludf.IFNA(
        VLOOKUP($D262,{"PH","Provincial Hospital (H2)";"DH","District Hospital (H3)";"RH","Regional / National Hospital (H1)"},2,0),
        $D262
      ),
      'Tools &amp; Targets_Guideline'!$C$53:$I$53,
      0
    )
  ),
0))</f>
        <v/>
      </c>
      <c r="AB262" s="105"/>
      <c r="AC262" s="119" t="str">
        <f t="array" ref="AC262">IF(OR($B262="",$D262=""),"",
IFERROR(
  INDEX(
    'Tools &amp; Targets_Guideline'!$C$54:$I$269,
    MATCH(
      1,
      ('Tools &amp; Targets_Guideline'!$A$54:$A$269=$B262)*
      ('Tools &amp; Targets_Guideline'!$B$54:$B$269="TB"),
      0
    ),
    MATCH(
      _xludf.IFNA(
        VLOOKUP($D262,{"PH","Provincial Hospital (H2)";"DH","District Hospital (H3)";"RH","Regional / National Hospital (H1)"},2,0),
        $D262
      ),
      'Tools &amp; Targets_Guideline'!$C$53:$I$53,
      0
    )
  ),
0))</f>
        <v/>
      </c>
      <c r="AD262" s="105"/>
      <c r="AE262" s="119" t="str">
        <f t="array" ref="AE262">IF(OR($B262="",$D262=""),"",
IFERROR(
  INDEX(
    'Tools &amp; Targets_Guideline'!$C$54:$I$269,
    MATCH(
      1,
      ('Tools &amp; Targets_Guideline'!$A$54:$A$269=$B262)*
      ('Tools &amp; Targets_Guideline'!$B$54:$B$269="U5 Morbidity"),
      0
    ),
    MATCH(
      _xludf.IFNA(
        VLOOKUP($D262,{"PH","Provincial Hospital (H2)";"DH","District Hospital (H3)";"RH","Regional / National Hospital (H1)"},2,0),
        $D262
      ),
      'Tools &amp; Targets_Guideline'!$C$53:$I$53,
      0
    )
  ),
0))</f>
        <v/>
      </c>
      <c r="AF262" s="105"/>
      <c r="AG262" s="119" t="str">
        <f t="array" ref="AG262">IF(OR($B262="",$D262=""),"",
IFERROR(
  INDEX(
    'Tools &amp; Targets_Guideline'!$C$54:$I$269,
    MATCH(
      1,
      ('Tools &amp; Targets_Guideline'!$A$54:$A$269=$B262)*
      ('Tools &amp; Targets_Guideline'!$B$54:$B$269="C-Section"),
      0
    ),
    MATCH(
      _xludf.IFNA(
        VLOOKUP($D262,{"PH","Provincial Hospital (H2)";"DH","District Hospital (H3)";"RH","Regional / National Hospital (H1)"},2,0),
        $D262
      ),
      'Tools &amp; Targets_Guideline'!$C$53:$I$53,
      0
    )
  ),
0))</f>
        <v/>
      </c>
      <c r="AH262" s="105" t="str">
        <f>IF(A262&lt;&gt;"",COUNTIFS('QA Log'!D:D,A262,'QA Log'!M:M,"QQC",'QA Log'!L:L,"2. Hygiene and Sterilization",'QA Log'!Z:Z,"Approved"),"")</f>
        <v/>
      </c>
      <c r="AI262" s="102"/>
      <c r="AJ262" s="102"/>
      <c r="AK262" s="103" t="str">
        <f t="shared" si="17"/>
        <v/>
      </c>
      <c r="AL262" s="102"/>
      <c r="AM262" s="102"/>
      <c r="AN262" s="102"/>
      <c r="AO262" s="106"/>
      <c r="AP262" s="103"/>
      <c r="AQ262" s="102"/>
      <c r="AR262" s="102"/>
      <c r="AS262" s="102"/>
      <c r="AT262" s="107"/>
      <c r="AU262" s="102" t="str">
        <f t="shared" si="18"/>
        <v/>
      </c>
      <c r="AV262" s="102" t="str">
        <f t="shared" si="19"/>
        <v/>
      </c>
      <c r="AW262" s="102" t="str">
        <f t="shared" si="20"/>
        <v/>
      </c>
      <c r="AX262" s="102" t="str">
        <f t="shared" si="21"/>
        <v/>
      </c>
      <c r="AY262" s="107" t="str">
        <f t="shared" si="22"/>
        <v/>
      </c>
      <c r="AZ262" s="108" t="str">
        <f t="shared" si="23"/>
        <v/>
      </c>
      <c r="BA262" s="108" t="str">
        <f t="shared" si="24"/>
        <v/>
      </c>
      <c r="BB262" s="109" t="str">
        <f t="shared" si="25"/>
        <v/>
      </c>
      <c r="BC262" s="108" t="str">
        <f t="shared" si="26"/>
        <v/>
      </c>
      <c r="BD262" s="108" t="str">
        <f t="shared" si="27"/>
        <v/>
      </c>
      <c r="BE262" s="109" t="str">
        <f t="shared" si="28"/>
        <v/>
      </c>
      <c r="BF262" s="110" t="str">
        <f t="shared" si="29"/>
        <v/>
      </c>
      <c r="BG262" s="111"/>
    </row>
    <row r="263" spans="1:59" ht="12.75">
      <c r="A263" s="101"/>
      <c r="B263" s="102"/>
      <c r="C263" s="102" t="e">
        <f t="array" aca="1" ref="C263" ca="1">_xludf.XLOOKUP(A263,'QA Log'!D:D,'QA Log'!F:F,"")</f>
        <v>#NAME?</v>
      </c>
      <c r="D263" s="102"/>
      <c r="E263" s="102" t="e">
        <f t="array" aca="1" ref="E263" ca="1">_xludf.XLOOKUP(A263,'QA Log'!D:D,'QA Log'!G:G,"")</f>
        <v>#NAME?</v>
      </c>
      <c r="F263" s="103"/>
      <c r="G263" s="104"/>
      <c r="H263" s="104"/>
      <c r="I263" s="103" t="str">
        <f t="shared" si="15"/>
        <v/>
      </c>
      <c r="J263" s="102"/>
      <c r="K263" s="102"/>
      <c r="L263" s="119" t="str">
        <f t="array" ref="L263">IF(OR($B263="",$D263=""),"",
IFERROR(
  INDEX(
    'Tools &amp; Targets_Guideline'!$C$54:$I$269,
    MATCH(
      1,
      ('Tools &amp; Targets_Guideline'!$A$54:$A$269=$B263)*
      ('Tools &amp; Targets_Guideline'!$B$54:$B$269="ANC"),
      0
    ),
    MATCH(
      _xludf.IFNA(
        VLOOKUP($D263,{"PH","Provincial Hospital (H2)";"DH","District Hospital (H3)";"RH","Regional / National Hospital (H1)"},2,0),
        $D263
      ),
      'Tools &amp; Targets_Guideline'!$C$53:$I$53,
      0
    )
  ),
0))</f>
        <v/>
      </c>
      <c r="M263" s="105"/>
      <c r="N263" s="119" t="str">
        <f t="array" ref="N263">IF(OR($B263="",$D263=""),"",
IFERROR(
  INDEX(
    'Tools &amp; Targets_Guideline'!$C$54:$I$269,
    MATCH(
      1,
      ('Tools &amp; Targets_Guideline'!$A$54:$A$269=$B263)*
      ('Tools &amp; Targets_Guideline'!$B$54:$B$269="PNC"),
      0
    ),
    MATCH(
      _xludf.IFNA(
        VLOOKUP($D263,{"PH","Provincial Hospital (H2)";"DH","District Hospital (H3)";"RH","Regional / National Hospital (H1)"},2,0),
        $D263
      ),
      'Tools &amp; Targets_Guideline'!$C$53:$I$53,
      0
    )
  ),
0))</f>
        <v/>
      </c>
      <c r="O263" s="105"/>
      <c r="P263" s="119" t="str">
        <f t="array" ref="P263">IF(OR($B263="",$D263=""),"",
IFERROR(
  INDEX(
    'Tools &amp; Targets_Guideline'!$C$54:$I$269,
    MATCH(
      1,
      ('Tools &amp; Targets_Guideline'!$A$54:$A$269=$B263)*
      ('Tools &amp; Targets_Guideline'!$B$54:$B$269="Delivery"),
      0
    ),
    MATCH(
      _xludf.IFNA(
        VLOOKUP($D263,{"PH","Provincial Hospital (H2)";"DH","District Hospital (H3)";"RH","Regional / National Hospital (H1)"},2,0),
        $D263
      ),
      'Tools &amp; Targets_Guideline'!$C$53:$I$53,
      0
    )
  ),
0))</f>
        <v/>
      </c>
      <c r="Q263" s="105"/>
      <c r="R263" s="119" t="str">
        <f t="array" ref="R263">IF(OR($B263="",$D263=""),"",
IFERROR(
  INDEX(
    'Tools &amp; Targets_Guideline'!$C$54:$I$269,
    MATCH(
      1,
      ('Tools &amp; Targets_Guideline'!$A$54:$A$269=$B263)*
      ('Tools &amp; Targets_Guideline'!$B$54:$B$269="TT"),
      0
    ),
    MATCH(
      _xludf.IFNA(
        VLOOKUP($D263,{"PH","Provincial Hospital (H2)";"DH","District Hospital (H3)";"RH","Regional / National Hospital (H1)"},2,0),
        $D263
      ),
      'Tools &amp; Targets_Guideline'!$C$53:$I$53,
      0
    )
  ),
0))</f>
        <v/>
      </c>
      <c r="S263" s="105"/>
      <c r="T263" s="102"/>
      <c r="U263" s="106"/>
      <c r="V263" s="102" t="str">
        <f t="shared" si="16"/>
        <v/>
      </c>
      <c r="W263" s="102"/>
      <c r="X263" s="102"/>
      <c r="Y263" s="119" t="str">
        <f t="array" ref="Y263">IF(OR($B263="",$D263=""),"",
IFERROR(
  INDEX(
    'Tools &amp; Targets_Guideline'!$C$54:$I$269,
    MATCH(
      1,
      ('Tools &amp; Targets_Guideline'!$A$54:$A$269=$B263)*
      ('Tools &amp; Targets_Guideline'!$B$54:$B$269="GM"),
      0
    ),
    MATCH(
      _xludf.IFNA(
        VLOOKUP($D263,{"PH","Provincial Hospital (H2)";"DH","District Hospital (H3)";"RH","Regional / National Hospital (H1)"},2,0),
        $D263
      ),
      'Tools &amp; Targets_Guideline'!$C$53:$I$53,
      0
    )
  ),
0))</f>
        <v/>
      </c>
      <c r="Z263" s="105"/>
      <c r="AA263" s="119" t="str">
        <f t="array" ref="AA263">IF(OR($B263="",$D263=""),"",
IFERROR(
  INDEX(
    'Tools &amp; Targets_Guideline'!$C$54:$I$269,
    MATCH(
      1,
      ('Tools &amp; Targets_Guideline'!$A$54:$A$269=$B263)*
      ('Tools &amp; Targets_Guideline'!$B$54:$B$269="Penta"),
      0
    ),
    MATCH(
      _xludf.IFNA(
        VLOOKUP($D263,{"PH","Provincial Hospital (H2)";"DH","District Hospital (H3)";"RH","Regional / National Hospital (H1)"},2,0),
        $D263
      ),
      'Tools &amp; Targets_Guideline'!$C$53:$I$53,
      0
    )
  ),
0))</f>
        <v/>
      </c>
      <c r="AB263" s="105"/>
      <c r="AC263" s="119" t="str">
        <f t="array" ref="AC263">IF(OR($B263="",$D263=""),"",
IFERROR(
  INDEX(
    'Tools &amp; Targets_Guideline'!$C$54:$I$269,
    MATCH(
      1,
      ('Tools &amp; Targets_Guideline'!$A$54:$A$269=$B263)*
      ('Tools &amp; Targets_Guideline'!$B$54:$B$269="TB"),
      0
    ),
    MATCH(
      _xludf.IFNA(
        VLOOKUP($D263,{"PH","Provincial Hospital (H2)";"DH","District Hospital (H3)";"RH","Regional / National Hospital (H1)"},2,0),
        $D263
      ),
      'Tools &amp; Targets_Guideline'!$C$53:$I$53,
      0
    )
  ),
0))</f>
        <v/>
      </c>
      <c r="AD263" s="105"/>
      <c r="AE263" s="119" t="str">
        <f t="array" ref="AE263">IF(OR($B263="",$D263=""),"",
IFERROR(
  INDEX(
    'Tools &amp; Targets_Guideline'!$C$54:$I$269,
    MATCH(
      1,
      ('Tools &amp; Targets_Guideline'!$A$54:$A$269=$B263)*
      ('Tools &amp; Targets_Guideline'!$B$54:$B$269="U5 Morbidity"),
      0
    ),
    MATCH(
      _xludf.IFNA(
        VLOOKUP($D263,{"PH","Provincial Hospital (H2)";"DH","District Hospital (H3)";"RH","Regional / National Hospital (H1)"},2,0),
        $D263
      ),
      'Tools &amp; Targets_Guideline'!$C$53:$I$53,
      0
    )
  ),
0))</f>
        <v/>
      </c>
      <c r="AF263" s="105"/>
      <c r="AG263" s="119" t="str">
        <f t="array" ref="AG263">IF(OR($B263="",$D263=""),"",
IFERROR(
  INDEX(
    'Tools &amp; Targets_Guideline'!$C$54:$I$269,
    MATCH(
      1,
      ('Tools &amp; Targets_Guideline'!$A$54:$A$269=$B263)*
      ('Tools &amp; Targets_Guideline'!$B$54:$B$269="C-Section"),
      0
    ),
    MATCH(
      _xludf.IFNA(
        VLOOKUP($D263,{"PH","Provincial Hospital (H2)";"DH","District Hospital (H3)";"RH","Regional / National Hospital (H1)"},2,0),
        $D263
      ),
      'Tools &amp; Targets_Guideline'!$C$53:$I$53,
      0
    )
  ),
0))</f>
        <v/>
      </c>
      <c r="AH263" s="105" t="str">
        <f>IF(A263&lt;&gt;"",COUNTIFS('QA Log'!D:D,A263,'QA Log'!M:M,"QQC",'QA Log'!L:L,"2. Hygiene and Sterilization",'QA Log'!Z:Z,"Approved"),"")</f>
        <v/>
      </c>
      <c r="AI263" s="102"/>
      <c r="AJ263" s="102"/>
      <c r="AK263" s="103" t="str">
        <f t="shared" si="17"/>
        <v/>
      </c>
      <c r="AL263" s="102"/>
      <c r="AM263" s="102"/>
      <c r="AN263" s="102"/>
      <c r="AO263" s="106"/>
      <c r="AP263" s="103"/>
      <c r="AQ263" s="102"/>
      <c r="AR263" s="102"/>
      <c r="AS263" s="102"/>
      <c r="AT263" s="107"/>
      <c r="AU263" s="102" t="str">
        <f t="shared" si="18"/>
        <v/>
      </c>
      <c r="AV263" s="102" t="str">
        <f t="shared" si="19"/>
        <v/>
      </c>
      <c r="AW263" s="102" t="str">
        <f t="shared" si="20"/>
        <v/>
      </c>
      <c r="AX263" s="102" t="str">
        <f t="shared" si="21"/>
        <v/>
      </c>
      <c r="AY263" s="107" t="str">
        <f t="shared" si="22"/>
        <v/>
      </c>
      <c r="AZ263" s="108" t="str">
        <f t="shared" si="23"/>
        <v/>
      </c>
      <c r="BA263" s="108" t="str">
        <f t="shared" si="24"/>
        <v/>
      </c>
      <c r="BB263" s="109" t="str">
        <f t="shared" si="25"/>
        <v/>
      </c>
      <c r="BC263" s="108" t="str">
        <f t="shared" si="26"/>
        <v/>
      </c>
      <c r="BD263" s="108" t="str">
        <f t="shared" si="27"/>
        <v/>
      </c>
      <c r="BE263" s="109" t="str">
        <f t="shared" si="28"/>
        <v/>
      </c>
      <c r="BF263" s="110" t="str">
        <f t="shared" si="29"/>
        <v/>
      </c>
      <c r="BG263" s="111"/>
    </row>
    <row r="264" spans="1:59" ht="12.75">
      <c r="A264" s="101"/>
      <c r="B264" s="102"/>
      <c r="C264" s="102" t="e">
        <f t="array" aca="1" ref="C264" ca="1">_xludf.XLOOKUP(A264,'QA Log'!D:D,'QA Log'!F:F,"")</f>
        <v>#NAME?</v>
      </c>
      <c r="D264" s="102"/>
      <c r="E264" s="102" t="e">
        <f t="array" aca="1" ref="E264" ca="1">_xludf.XLOOKUP(A264,'QA Log'!D:D,'QA Log'!G:G,"")</f>
        <v>#NAME?</v>
      </c>
      <c r="F264" s="103"/>
      <c r="G264" s="104"/>
      <c r="H264" s="104"/>
      <c r="I264" s="103" t="str">
        <f t="shared" si="15"/>
        <v/>
      </c>
      <c r="J264" s="102"/>
      <c r="K264" s="102"/>
      <c r="L264" s="119" t="str">
        <f t="array" ref="L264">IF(OR($B264="",$D264=""),"",
IFERROR(
  INDEX(
    'Tools &amp; Targets_Guideline'!$C$54:$I$269,
    MATCH(
      1,
      ('Tools &amp; Targets_Guideline'!$A$54:$A$269=$B264)*
      ('Tools &amp; Targets_Guideline'!$B$54:$B$269="ANC"),
      0
    ),
    MATCH(
      _xludf.IFNA(
        VLOOKUP($D264,{"PH","Provincial Hospital (H2)";"DH","District Hospital (H3)";"RH","Regional / National Hospital (H1)"},2,0),
        $D264
      ),
      'Tools &amp; Targets_Guideline'!$C$53:$I$53,
      0
    )
  ),
0))</f>
        <v/>
      </c>
      <c r="M264" s="105"/>
      <c r="N264" s="119" t="str">
        <f t="array" ref="N264">IF(OR($B264="",$D264=""),"",
IFERROR(
  INDEX(
    'Tools &amp; Targets_Guideline'!$C$54:$I$269,
    MATCH(
      1,
      ('Tools &amp; Targets_Guideline'!$A$54:$A$269=$B264)*
      ('Tools &amp; Targets_Guideline'!$B$54:$B$269="PNC"),
      0
    ),
    MATCH(
      _xludf.IFNA(
        VLOOKUP($D264,{"PH","Provincial Hospital (H2)";"DH","District Hospital (H3)";"RH","Regional / National Hospital (H1)"},2,0),
        $D264
      ),
      'Tools &amp; Targets_Guideline'!$C$53:$I$53,
      0
    )
  ),
0))</f>
        <v/>
      </c>
      <c r="O264" s="105"/>
      <c r="P264" s="119" t="str">
        <f t="array" ref="P264">IF(OR($B264="",$D264=""),"",
IFERROR(
  INDEX(
    'Tools &amp; Targets_Guideline'!$C$54:$I$269,
    MATCH(
      1,
      ('Tools &amp; Targets_Guideline'!$A$54:$A$269=$B264)*
      ('Tools &amp; Targets_Guideline'!$B$54:$B$269="Delivery"),
      0
    ),
    MATCH(
      _xludf.IFNA(
        VLOOKUP($D264,{"PH","Provincial Hospital (H2)";"DH","District Hospital (H3)";"RH","Regional / National Hospital (H1)"},2,0),
        $D264
      ),
      'Tools &amp; Targets_Guideline'!$C$53:$I$53,
      0
    )
  ),
0))</f>
        <v/>
      </c>
      <c r="Q264" s="105"/>
      <c r="R264" s="119" t="str">
        <f t="array" ref="R264">IF(OR($B264="",$D264=""),"",
IFERROR(
  INDEX(
    'Tools &amp; Targets_Guideline'!$C$54:$I$269,
    MATCH(
      1,
      ('Tools &amp; Targets_Guideline'!$A$54:$A$269=$B264)*
      ('Tools &amp; Targets_Guideline'!$B$54:$B$269="TT"),
      0
    ),
    MATCH(
      _xludf.IFNA(
        VLOOKUP($D264,{"PH","Provincial Hospital (H2)";"DH","District Hospital (H3)";"RH","Regional / National Hospital (H1)"},2,0),
        $D264
      ),
      'Tools &amp; Targets_Guideline'!$C$53:$I$53,
      0
    )
  ),
0))</f>
        <v/>
      </c>
      <c r="S264" s="105"/>
      <c r="T264" s="102"/>
      <c r="U264" s="106"/>
      <c r="V264" s="102" t="str">
        <f t="shared" si="16"/>
        <v/>
      </c>
      <c r="W264" s="102"/>
      <c r="X264" s="102"/>
      <c r="Y264" s="119" t="str">
        <f t="array" ref="Y264">IF(OR($B264="",$D264=""),"",
IFERROR(
  INDEX(
    'Tools &amp; Targets_Guideline'!$C$54:$I$269,
    MATCH(
      1,
      ('Tools &amp; Targets_Guideline'!$A$54:$A$269=$B264)*
      ('Tools &amp; Targets_Guideline'!$B$54:$B$269="GM"),
      0
    ),
    MATCH(
      _xludf.IFNA(
        VLOOKUP($D264,{"PH","Provincial Hospital (H2)";"DH","District Hospital (H3)";"RH","Regional / National Hospital (H1)"},2,0),
        $D264
      ),
      'Tools &amp; Targets_Guideline'!$C$53:$I$53,
      0
    )
  ),
0))</f>
        <v/>
      </c>
      <c r="Z264" s="105"/>
      <c r="AA264" s="119" t="str">
        <f t="array" ref="AA264">IF(OR($B264="",$D264=""),"",
IFERROR(
  INDEX(
    'Tools &amp; Targets_Guideline'!$C$54:$I$269,
    MATCH(
      1,
      ('Tools &amp; Targets_Guideline'!$A$54:$A$269=$B264)*
      ('Tools &amp; Targets_Guideline'!$B$54:$B$269="Penta"),
      0
    ),
    MATCH(
      _xludf.IFNA(
        VLOOKUP($D264,{"PH","Provincial Hospital (H2)";"DH","District Hospital (H3)";"RH","Regional / National Hospital (H1)"},2,0),
        $D264
      ),
      'Tools &amp; Targets_Guideline'!$C$53:$I$53,
      0
    )
  ),
0))</f>
        <v/>
      </c>
      <c r="AB264" s="105"/>
      <c r="AC264" s="119" t="str">
        <f t="array" ref="AC264">IF(OR($B264="",$D264=""),"",
IFERROR(
  INDEX(
    'Tools &amp; Targets_Guideline'!$C$54:$I$269,
    MATCH(
      1,
      ('Tools &amp; Targets_Guideline'!$A$54:$A$269=$B264)*
      ('Tools &amp; Targets_Guideline'!$B$54:$B$269="TB"),
      0
    ),
    MATCH(
      _xludf.IFNA(
        VLOOKUP($D264,{"PH","Provincial Hospital (H2)";"DH","District Hospital (H3)";"RH","Regional / National Hospital (H1)"},2,0),
        $D264
      ),
      'Tools &amp; Targets_Guideline'!$C$53:$I$53,
      0
    )
  ),
0))</f>
        <v/>
      </c>
      <c r="AD264" s="105"/>
      <c r="AE264" s="119" t="str">
        <f t="array" ref="AE264">IF(OR($B264="",$D264=""),"",
IFERROR(
  INDEX(
    'Tools &amp; Targets_Guideline'!$C$54:$I$269,
    MATCH(
      1,
      ('Tools &amp; Targets_Guideline'!$A$54:$A$269=$B264)*
      ('Tools &amp; Targets_Guideline'!$B$54:$B$269="U5 Morbidity"),
      0
    ),
    MATCH(
      _xludf.IFNA(
        VLOOKUP($D264,{"PH","Provincial Hospital (H2)";"DH","District Hospital (H3)";"RH","Regional / National Hospital (H1)"},2,0),
        $D264
      ),
      'Tools &amp; Targets_Guideline'!$C$53:$I$53,
      0
    )
  ),
0))</f>
        <v/>
      </c>
      <c r="AF264" s="105"/>
      <c r="AG264" s="119" t="str">
        <f t="array" ref="AG264">IF(OR($B264="",$D264=""),"",
IFERROR(
  INDEX(
    'Tools &amp; Targets_Guideline'!$C$54:$I$269,
    MATCH(
      1,
      ('Tools &amp; Targets_Guideline'!$A$54:$A$269=$B264)*
      ('Tools &amp; Targets_Guideline'!$B$54:$B$269="C-Section"),
      0
    ),
    MATCH(
      _xludf.IFNA(
        VLOOKUP($D264,{"PH","Provincial Hospital (H2)";"DH","District Hospital (H3)";"RH","Regional / National Hospital (H1)"},2,0),
        $D264
      ),
      'Tools &amp; Targets_Guideline'!$C$53:$I$53,
      0
    )
  ),
0))</f>
        <v/>
      </c>
      <c r="AH264" s="105" t="str">
        <f>IF(A264&lt;&gt;"",COUNTIFS('QA Log'!D:D,A264,'QA Log'!M:M,"QQC",'QA Log'!L:L,"2. Hygiene and Sterilization",'QA Log'!Z:Z,"Approved"),"")</f>
        <v/>
      </c>
      <c r="AI264" s="102"/>
      <c r="AJ264" s="102"/>
      <c r="AK264" s="103" t="str">
        <f t="shared" si="17"/>
        <v/>
      </c>
      <c r="AL264" s="102"/>
      <c r="AM264" s="102"/>
      <c r="AN264" s="102"/>
      <c r="AO264" s="106"/>
      <c r="AP264" s="103"/>
      <c r="AQ264" s="102"/>
      <c r="AR264" s="102"/>
      <c r="AS264" s="102"/>
      <c r="AT264" s="107"/>
      <c r="AU264" s="102" t="str">
        <f t="shared" si="18"/>
        <v/>
      </c>
      <c r="AV264" s="102" t="str">
        <f t="shared" si="19"/>
        <v/>
      </c>
      <c r="AW264" s="102" t="str">
        <f t="shared" si="20"/>
        <v/>
      </c>
      <c r="AX264" s="102" t="str">
        <f t="shared" si="21"/>
        <v/>
      </c>
      <c r="AY264" s="107" t="str">
        <f t="shared" si="22"/>
        <v/>
      </c>
      <c r="AZ264" s="108" t="str">
        <f t="shared" si="23"/>
        <v/>
      </c>
      <c r="BA264" s="108" t="str">
        <f t="shared" si="24"/>
        <v/>
      </c>
      <c r="BB264" s="109" t="str">
        <f t="shared" si="25"/>
        <v/>
      </c>
      <c r="BC264" s="108" t="str">
        <f t="shared" si="26"/>
        <v/>
      </c>
      <c r="BD264" s="108" t="str">
        <f t="shared" si="27"/>
        <v/>
      </c>
      <c r="BE264" s="109" t="str">
        <f t="shared" si="28"/>
        <v/>
      </c>
      <c r="BF264" s="110" t="str">
        <f t="shared" si="29"/>
        <v/>
      </c>
      <c r="BG264" s="111"/>
    </row>
    <row r="265" spans="1:59" ht="12.75">
      <c r="A265" s="101"/>
      <c r="B265" s="102"/>
      <c r="C265" s="102" t="e">
        <f t="array" aca="1" ref="C265" ca="1">_xludf.XLOOKUP(A265,'QA Log'!D:D,'QA Log'!F:F,"")</f>
        <v>#NAME?</v>
      </c>
      <c r="D265" s="102"/>
      <c r="E265" s="102" t="e">
        <f t="array" aca="1" ref="E265" ca="1">_xludf.XLOOKUP(A265,'QA Log'!D:D,'QA Log'!G:G,"")</f>
        <v>#NAME?</v>
      </c>
      <c r="F265" s="103"/>
      <c r="G265" s="104"/>
      <c r="H265" s="104"/>
      <c r="I265" s="103" t="str">
        <f t="shared" si="15"/>
        <v/>
      </c>
      <c r="J265" s="102"/>
      <c r="K265" s="102"/>
      <c r="L265" s="119" t="str">
        <f t="array" ref="L265">IF(OR($B265="",$D265=""),"",
IFERROR(
  INDEX(
    'Tools &amp; Targets_Guideline'!$C$54:$I$269,
    MATCH(
      1,
      ('Tools &amp; Targets_Guideline'!$A$54:$A$269=$B265)*
      ('Tools &amp; Targets_Guideline'!$B$54:$B$269="ANC"),
      0
    ),
    MATCH(
      _xludf.IFNA(
        VLOOKUP($D265,{"PH","Provincial Hospital (H2)";"DH","District Hospital (H3)";"RH","Regional / National Hospital (H1)"},2,0),
        $D265
      ),
      'Tools &amp; Targets_Guideline'!$C$53:$I$53,
      0
    )
  ),
0))</f>
        <v/>
      </c>
      <c r="M265" s="105"/>
      <c r="N265" s="119" t="str">
        <f t="array" ref="N265">IF(OR($B265="",$D265=""),"",
IFERROR(
  INDEX(
    'Tools &amp; Targets_Guideline'!$C$54:$I$269,
    MATCH(
      1,
      ('Tools &amp; Targets_Guideline'!$A$54:$A$269=$B265)*
      ('Tools &amp; Targets_Guideline'!$B$54:$B$269="PNC"),
      0
    ),
    MATCH(
      _xludf.IFNA(
        VLOOKUP($D265,{"PH","Provincial Hospital (H2)";"DH","District Hospital (H3)";"RH","Regional / National Hospital (H1)"},2,0),
        $D265
      ),
      'Tools &amp; Targets_Guideline'!$C$53:$I$53,
      0
    )
  ),
0))</f>
        <v/>
      </c>
      <c r="O265" s="105"/>
      <c r="P265" s="119" t="str">
        <f t="array" ref="P265">IF(OR($B265="",$D265=""),"",
IFERROR(
  INDEX(
    'Tools &amp; Targets_Guideline'!$C$54:$I$269,
    MATCH(
      1,
      ('Tools &amp; Targets_Guideline'!$A$54:$A$269=$B265)*
      ('Tools &amp; Targets_Guideline'!$B$54:$B$269="Delivery"),
      0
    ),
    MATCH(
      _xludf.IFNA(
        VLOOKUP($D265,{"PH","Provincial Hospital (H2)";"DH","District Hospital (H3)";"RH","Regional / National Hospital (H1)"},2,0),
        $D265
      ),
      'Tools &amp; Targets_Guideline'!$C$53:$I$53,
      0
    )
  ),
0))</f>
        <v/>
      </c>
      <c r="Q265" s="105"/>
      <c r="R265" s="119" t="str">
        <f t="array" ref="R265">IF(OR($B265="",$D265=""),"",
IFERROR(
  INDEX(
    'Tools &amp; Targets_Guideline'!$C$54:$I$269,
    MATCH(
      1,
      ('Tools &amp; Targets_Guideline'!$A$54:$A$269=$B265)*
      ('Tools &amp; Targets_Guideline'!$B$54:$B$269="TT"),
      0
    ),
    MATCH(
      _xludf.IFNA(
        VLOOKUP($D265,{"PH","Provincial Hospital (H2)";"DH","District Hospital (H3)";"RH","Regional / National Hospital (H1)"},2,0),
        $D265
      ),
      'Tools &amp; Targets_Guideline'!$C$53:$I$53,
      0
    )
  ),
0))</f>
        <v/>
      </c>
      <c r="S265" s="105"/>
      <c r="T265" s="102"/>
      <c r="U265" s="106"/>
      <c r="V265" s="102" t="str">
        <f t="shared" si="16"/>
        <v/>
      </c>
      <c r="W265" s="102"/>
      <c r="X265" s="102"/>
      <c r="Y265" s="119" t="str">
        <f t="array" ref="Y265">IF(OR($B265="",$D265=""),"",
IFERROR(
  INDEX(
    'Tools &amp; Targets_Guideline'!$C$54:$I$269,
    MATCH(
      1,
      ('Tools &amp; Targets_Guideline'!$A$54:$A$269=$B265)*
      ('Tools &amp; Targets_Guideline'!$B$54:$B$269="GM"),
      0
    ),
    MATCH(
      _xludf.IFNA(
        VLOOKUP($D265,{"PH","Provincial Hospital (H2)";"DH","District Hospital (H3)";"RH","Regional / National Hospital (H1)"},2,0),
        $D265
      ),
      'Tools &amp; Targets_Guideline'!$C$53:$I$53,
      0
    )
  ),
0))</f>
        <v/>
      </c>
      <c r="Z265" s="105"/>
      <c r="AA265" s="119" t="str">
        <f t="array" ref="AA265">IF(OR($B265="",$D265=""),"",
IFERROR(
  INDEX(
    'Tools &amp; Targets_Guideline'!$C$54:$I$269,
    MATCH(
      1,
      ('Tools &amp; Targets_Guideline'!$A$54:$A$269=$B265)*
      ('Tools &amp; Targets_Guideline'!$B$54:$B$269="Penta"),
      0
    ),
    MATCH(
      _xludf.IFNA(
        VLOOKUP($D265,{"PH","Provincial Hospital (H2)";"DH","District Hospital (H3)";"RH","Regional / National Hospital (H1)"},2,0),
        $D265
      ),
      'Tools &amp; Targets_Guideline'!$C$53:$I$53,
      0
    )
  ),
0))</f>
        <v/>
      </c>
      <c r="AB265" s="105"/>
      <c r="AC265" s="119" t="str">
        <f t="array" ref="AC265">IF(OR($B265="",$D265=""),"",
IFERROR(
  INDEX(
    'Tools &amp; Targets_Guideline'!$C$54:$I$269,
    MATCH(
      1,
      ('Tools &amp; Targets_Guideline'!$A$54:$A$269=$B265)*
      ('Tools &amp; Targets_Guideline'!$B$54:$B$269="TB"),
      0
    ),
    MATCH(
      _xludf.IFNA(
        VLOOKUP($D265,{"PH","Provincial Hospital (H2)";"DH","District Hospital (H3)";"RH","Regional / National Hospital (H1)"},2,0),
        $D265
      ),
      'Tools &amp; Targets_Guideline'!$C$53:$I$53,
      0
    )
  ),
0))</f>
        <v/>
      </c>
      <c r="AD265" s="105"/>
      <c r="AE265" s="119" t="str">
        <f t="array" ref="AE265">IF(OR($B265="",$D265=""),"",
IFERROR(
  INDEX(
    'Tools &amp; Targets_Guideline'!$C$54:$I$269,
    MATCH(
      1,
      ('Tools &amp; Targets_Guideline'!$A$54:$A$269=$B265)*
      ('Tools &amp; Targets_Guideline'!$B$54:$B$269="U5 Morbidity"),
      0
    ),
    MATCH(
      _xludf.IFNA(
        VLOOKUP($D265,{"PH","Provincial Hospital (H2)";"DH","District Hospital (H3)";"RH","Regional / National Hospital (H1)"},2,0),
        $D265
      ),
      'Tools &amp; Targets_Guideline'!$C$53:$I$53,
      0
    )
  ),
0))</f>
        <v/>
      </c>
      <c r="AF265" s="105"/>
      <c r="AG265" s="119" t="str">
        <f t="array" ref="AG265">IF(OR($B265="",$D265=""),"",
IFERROR(
  INDEX(
    'Tools &amp; Targets_Guideline'!$C$54:$I$269,
    MATCH(
      1,
      ('Tools &amp; Targets_Guideline'!$A$54:$A$269=$B265)*
      ('Tools &amp; Targets_Guideline'!$B$54:$B$269="C-Section"),
      0
    ),
    MATCH(
      _xludf.IFNA(
        VLOOKUP($D265,{"PH","Provincial Hospital (H2)";"DH","District Hospital (H3)";"RH","Regional / National Hospital (H1)"},2,0),
        $D265
      ),
      'Tools &amp; Targets_Guideline'!$C$53:$I$53,
      0
    )
  ),
0))</f>
        <v/>
      </c>
      <c r="AH265" s="105" t="str">
        <f>IF(A265&lt;&gt;"",COUNTIFS('QA Log'!D:D,A265,'QA Log'!M:M,"QQC",'QA Log'!L:L,"2. Hygiene and Sterilization",'QA Log'!Z:Z,"Approved"),"")</f>
        <v/>
      </c>
      <c r="AI265" s="102"/>
      <c r="AJ265" s="102"/>
      <c r="AK265" s="103" t="str">
        <f t="shared" si="17"/>
        <v/>
      </c>
      <c r="AL265" s="102"/>
      <c r="AM265" s="102"/>
      <c r="AN265" s="102"/>
      <c r="AO265" s="106"/>
      <c r="AP265" s="103"/>
      <c r="AQ265" s="102"/>
      <c r="AR265" s="102"/>
      <c r="AS265" s="102"/>
      <c r="AT265" s="107"/>
      <c r="AU265" s="102" t="str">
        <f t="shared" si="18"/>
        <v/>
      </c>
      <c r="AV265" s="102" t="str">
        <f t="shared" si="19"/>
        <v/>
      </c>
      <c r="AW265" s="102" t="str">
        <f t="shared" si="20"/>
        <v/>
      </c>
      <c r="AX265" s="102" t="str">
        <f t="shared" si="21"/>
        <v/>
      </c>
      <c r="AY265" s="107" t="str">
        <f t="shared" si="22"/>
        <v/>
      </c>
      <c r="AZ265" s="108" t="str">
        <f t="shared" si="23"/>
        <v/>
      </c>
      <c r="BA265" s="108" t="str">
        <f t="shared" si="24"/>
        <v/>
      </c>
      <c r="BB265" s="109" t="str">
        <f t="shared" si="25"/>
        <v/>
      </c>
      <c r="BC265" s="108" t="str">
        <f t="shared" si="26"/>
        <v/>
      </c>
      <c r="BD265" s="108" t="str">
        <f t="shared" si="27"/>
        <v/>
      </c>
      <c r="BE265" s="109" t="str">
        <f t="shared" si="28"/>
        <v/>
      </c>
      <c r="BF265" s="110" t="str">
        <f t="shared" si="29"/>
        <v/>
      </c>
      <c r="BG265" s="111"/>
    </row>
    <row r="266" spans="1:59" ht="12.75">
      <c r="A266" s="101"/>
      <c r="B266" s="102"/>
      <c r="C266" s="102" t="e">
        <f t="array" aca="1" ref="C266" ca="1">_xludf.XLOOKUP(A266,'QA Log'!D:D,'QA Log'!F:F,"")</f>
        <v>#NAME?</v>
      </c>
      <c r="D266" s="102"/>
      <c r="E266" s="102" t="e">
        <f t="array" aca="1" ref="E266" ca="1">_xludf.XLOOKUP(A266,'QA Log'!D:D,'QA Log'!G:G,"")</f>
        <v>#NAME?</v>
      </c>
      <c r="F266" s="103"/>
      <c r="G266" s="104"/>
      <c r="H266" s="104"/>
      <c r="I266" s="103" t="str">
        <f t="shared" si="15"/>
        <v/>
      </c>
      <c r="J266" s="102"/>
      <c r="K266" s="102"/>
      <c r="L266" s="119" t="str">
        <f t="array" ref="L266">IF(OR($B266="",$D266=""),"",
IFERROR(
  INDEX(
    'Tools &amp; Targets_Guideline'!$C$54:$I$269,
    MATCH(
      1,
      ('Tools &amp; Targets_Guideline'!$A$54:$A$269=$B266)*
      ('Tools &amp; Targets_Guideline'!$B$54:$B$269="ANC"),
      0
    ),
    MATCH(
      _xludf.IFNA(
        VLOOKUP($D266,{"PH","Provincial Hospital (H2)";"DH","District Hospital (H3)";"RH","Regional / National Hospital (H1)"},2,0),
        $D266
      ),
      'Tools &amp; Targets_Guideline'!$C$53:$I$53,
      0
    )
  ),
0))</f>
        <v/>
      </c>
      <c r="M266" s="105"/>
      <c r="N266" s="119" t="str">
        <f t="array" ref="N266">IF(OR($B266="",$D266=""),"",
IFERROR(
  INDEX(
    'Tools &amp; Targets_Guideline'!$C$54:$I$269,
    MATCH(
      1,
      ('Tools &amp; Targets_Guideline'!$A$54:$A$269=$B266)*
      ('Tools &amp; Targets_Guideline'!$B$54:$B$269="PNC"),
      0
    ),
    MATCH(
      _xludf.IFNA(
        VLOOKUP($D266,{"PH","Provincial Hospital (H2)";"DH","District Hospital (H3)";"RH","Regional / National Hospital (H1)"},2,0),
        $D266
      ),
      'Tools &amp; Targets_Guideline'!$C$53:$I$53,
      0
    )
  ),
0))</f>
        <v/>
      </c>
      <c r="O266" s="105"/>
      <c r="P266" s="119" t="str">
        <f t="array" ref="P266">IF(OR($B266="",$D266=""),"",
IFERROR(
  INDEX(
    'Tools &amp; Targets_Guideline'!$C$54:$I$269,
    MATCH(
      1,
      ('Tools &amp; Targets_Guideline'!$A$54:$A$269=$B266)*
      ('Tools &amp; Targets_Guideline'!$B$54:$B$269="Delivery"),
      0
    ),
    MATCH(
      _xludf.IFNA(
        VLOOKUP($D266,{"PH","Provincial Hospital (H2)";"DH","District Hospital (H3)";"RH","Regional / National Hospital (H1)"},2,0),
        $D266
      ),
      'Tools &amp; Targets_Guideline'!$C$53:$I$53,
      0
    )
  ),
0))</f>
        <v/>
      </c>
      <c r="Q266" s="105"/>
      <c r="R266" s="119" t="str">
        <f t="array" ref="R266">IF(OR($B266="",$D266=""),"",
IFERROR(
  INDEX(
    'Tools &amp; Targets_Guideline'!$C$54:$I$269,
    MATCH(
      1,
      ('Tools &amp; Targets_Guideline'!$A$54:$A$269=$B266)*
      ('Tools &amp; Targets_Guideline'!$B$54:$B$269="TT"),
      0
    ),
    MATCH(
      _xludf.IFNA(
        VLOOKUP($D266,{"PH","Provincial Hospital (H2)";"DH","District Hospital (H3)";"RH","Regional / National Hospital (H1)"},2,0),
        $D266
      ),
      'Tools &amp; Targets_Guideline'!$C$53:$I$53,
      0
    )
  ),
0))</f>
        <v/>
      </c>
      <c r="S266" s="105"/>
      <c r="T266" s="102"/>
      <c r="U266" s="106"/>
      <c r="V266" s="102" t="str">
        <f t="shared" si="16"/>
        <v/>
      </c>
      <c r="W266" s="102"/>
      <c r="X266" s="102"/>
      <c r="Y266" s="119" t="str">
        <f t="array" ref="Y266">IF(OR($B266="",$D266=""),"",
IFERROR(
  INDEX(
    'Tools &amp; Targets_Guideline'!$C$54:$I$269,
    MATCH(
      1,
      ('Tools &amp; Targets_Guideline'!$A$54:$A$269=$B266)*
      ('Tools &amp; Targets_Guideline'!$B$54:$B$269="GM"),
      0
    ),
    MATCH(
      _xludf.IFNA(
        VLOOKUP($D266,{"PH","Provincial Hospital (H2)";"DH","District Hospital (H3)";"RH","Regional / National Hospital (H1)"},2,0),
        $D266
      ),
      'Tools &amp; Targets_Guideline'!$C$53:$I$53,
      0
    )
  ),
0))</f>
        <v/>
      </c>
      <c r="Z266" s="105"/>
      <c r="AA266" s="119" t="str">
        <f t="array" ref="AA266">IF(OR($B266="",$D266=""),"",
IFERROR(
  INDEX(
    'Tools &amp; Targets_Guideline'!$C$54:$I$269,
    MATCH(
      1,
      ('Tools &amp; Targets_Guideline'!$A$54:$A$269=$B266)*
      ('Tools &amp; Targets_Guideline'!$B$54:$B$269="Penta"),
      0
    ),
    MATCH(
      _xludf.IFNA(
        VLOOKUP($D266,{"PH","Provincial Hospital (H2)";"DH","District Hospital (H3)";"RH","Regional / National Hospital (H1)"},2,0),
        $D266
      ),
      'Tools &amp; Targets_Guideline'!$C$53:$I$53,
      0
    )
  ),
0))</f>
        <v/>
      </c>
      <c r="AB266" s="105"/>
      <c r="AC266" s="119" t="str">
        <f t="array" ref="AC266">IF(OR($B266="",$D266=""),"",
IFERROR(
  INDEX(
    'Tools &amp; Targets_Guideline'!$C$54:$I$269,
    MATCH(
      1,
      ('Tools &amp; Targets_Guideline'!$A$54:$A$269=$B266)*
      ('Tools &amp; Targets_Guideline'!$B$54:$B$269="TB"),
      0
    ),
    MATCH(
      _xludf.IFNA(
        VLOOKUP($D266,{"PH","Provincial Hospital (H2)";"DH","District Hospital (H3)";"RH","Regional / National Hospital (H1)"},2,0),
        $D266
      ),
      'Tools &amp; Targets_Guideline'!$C$53:$I$53,
      0
    )
  ),
0))</f>
        <v/>
      </c>
      <c r="AD266" s="105"/>
      <c r="AE266" s="119" t="str">
        <f t="array" ref="AE266">IF(OR($B266="",$D266=""),"",
IFERROR(
  INDEX(
    'Tools &amp; Targets_Guideline'!$C$54:$I$269,
    MATCH(
      1,
      ('Tools &amp; Targets_Guideline'!$A$54:$A$269=$B266)*
      ('Tools &amp; Targets_Guideline'!$B$54:$B$269="U5 Morbidity"),
      0
    ),
    MATCH(
      _xludf.IFNA(
        VLOOKUP($D266,{"PH","Provincial Hospital (H2)";"DH","District Hospital (H3)";"RH","Regional / National Hospital (H1)"},2,0),
        $D266
      ),
      'Tools &amp; Targets_Guideline'!$C$53:$I$53,
      0
    )
  ),
0))</f>
        <v/>
      </c>
      <c r="AF266" s="105"/>
      <c r="AG266" s="119" t="str">
        <f t="array" ref="AG266">IF(OR($B266="",$D266=""),"",
IFERROR(
  INDEX(
    'Tools &amp; Targets_Guideline'!$C$54:$I$269,
    MATCH(
      1,
      ('Tools &amp; Targets_Guideline'!$A$54:$A$269=$B266)*
      ('Tools &amp; Targets_Guideline'!$B$54:$B$269="C-Section"),
      0
    ),
    MATCH(
      _xludf.IFNA(
        VLOOKUP($D266,{"PH","Provincial Hospital (H2)";"DH","District Hospital (H3)";"RH","Regional / National Hospital (H1)"},2,0),
        $D266
      ),
      'Tools &amp; Targets_Guideline'!$C$53:$I$53,
      0
    )
  ),
0))</f>
        <v/>
      </c>
      <c r="AH266" s="105" t="str">
        <f>IF(A266&lt;&gt;"",COUNTIFS('QA Log'!D:D,A266,'QA Log'!M:M,"QQC",'QA Log'!L:L,"2. Hygiene and Sterilization",'QA Log'!Z:Z,"Approved"),"")</f>
        <v/>
      </c>
      <c r="AI266" s="102"/>
      <c r="AJ266" s="102"/>
      <c r="AK266" s="103" t="str">
        <f t="shared" si="17"/>
        <v/>
      </c>
      <c r="AL266" s="102"/>
      <c r="AM266" s="102"/>
      <c r="AN266" s="102"/>
      <c r="AO266" s="106"/>
      <c r="AP266" s="103"/>
      <c r="AQ266" s="102"/>
      <c r="AR266" s="102"/>
      <c r="AS266" s="102"/>
      <c r="AT266" s="107"/>
      <c r="AU266" s="102" t="str">
        <f t="shared" si="18"/>
        <v/>
      </c>
      <c r="AV266" s="102" t="str">
        <f t="shared" si="19"/>
        <v/>
      </c>
      <c r="AW266" s="102" t="str">
        <f t="shared" si="20"/>
        <v/>
      </c>
      <c r="AX266" s="102" t="str">
        <f t="shared" si="21"/>
        <v/>
      </c>
      <c r="AY266" s="107" t="str">
        <f t="shared" si="22"/>
        <v/>
      </c>
      <c r="AZ266" s="108" t="str">
        <f t="shared" si="23"/>
        <v/>
      </c>
      <c r="BA266" s="108" t="str">
        <f t="shared" si="24"/>
        <v/>
      </c>
      <c r="BB266" s="109" t="str">
        <f t="shared" si="25"/>
        <v/>
      </c>
      <c r="BC266" s="108" t="str">
        <f t="shared" si="26"/>
        <v/>
      </c>
      <c r="BD266" s="108" t="str">
        <f t="shared" si="27"/>
        <v/>
      </c>
      <c r="BE266" s="109" t="str">
        <f t="shared" si="28"/>
        <v/>
      </c>
      <c r="BF266" s="110" t="str">
        <f t="shared" si="29"/>
        <v/>
      </c>
      <c r="BG266" s="111"/>
    </row>
    <row r="267" spans="1:59" ht="12.75">
      <c r="A267" s="101"/>
      <c r="B267" s="102"/>
      <c r="C267" s="102" t="e">
        <f t="array" aca="1" ref="C267" ca="1">_xludf.XLOOKUP(A267,'QA Log'!D:D,'QA Log'!F:F,"")</f>
        <v>#NAME?</v>
      </c>
      <c r="D267" s="102"/>
      <c r="E267" s="102" t="e">
        <f t="array" aca="1" ref="E267" ca="1">_xludf.XLOOKUP(A267,'QA Log'!D:D,'QA Log'!G:G,"")</f>
        <v>#NAME?</v>
      </c>
      <c r="F267" s="103"/>
      <c r="G267" s="104"/>
      <c r="H267" s="104"/>
      <c r="I267" s="103" t="str">
        <f t="shared" si="15"/>
        <v/>
      </c>
      <c r="J267" s="102"/>
      <c r="K267" s="102"/>
      <c r="L267" s="119" t="str">
        <f t="array" ref="L267">IF(OR($B267="",$D267=""),"",
IFERROR(
  INDEX(
    'Tools &amp; Targets_Guideline'!$C$54:$I$269,
    MATCH(
      1,
      ('Tools &amp; Targets_Guideline'!$A$54:$A$269=$B267)*
      ('Tools &amp; Targets_Guideline'!$B$54:$B$269="ANC"),
      0
    ),
    MATCH(
      _xludf.IFNA(
        VLOOKUP($D267,{"PH","Provincial Hospital (H2)";"DH","District Hospital (H3)";"RH","Regional / National Hospital (H1)"},2,0),
        $D267
      ),
      'Tools &amp; Targets_Guideline'!$C$53:$I$53,
      0
    )
  ),
0))</f>
        <v/>
      </c>
      <c r="M267" s="105"/>
      <c r="N267" s="119" t="str">
        <f t="array" ref="N267">IF(OR($B267="",$D267=""),"",
IFERROR(
  INDEX(
    'Tools &amp; Targets_Guideline'!$C$54:$I$269,
    MATCH(
      1,
      ('Tools &amp; Targets_Guideline'!$A$54:$A$269=$B267)*
      ('Tools &amp; Targets_Guideline'!$B$54:$B$269="PNC"),
      0
    ),
    MATCH(
      _xludf.IFNA(
        VLOOKUP($D267,{"PH","Provincial Hospital (H2)";"DH","District Hospital (H3)";"RH","Regional / National Hospital (H1)"},2,0),
        $D267
      ),
      'Tools &amp; Targets_Guideline'!$C$53:$I$53,
      0
    )
  ),
0))</f>
        <v/>
      </c>
      <c r="O267" s="105"/>
      <c r="P267" s="119" t="str">
        <f t="array" ref="P267">IF(OR($B267="",$D267=""),"",
IFERROR(
  INDEX(
    'Tools &amp; Targets_Guideline'!$C$54:$I$269,
    MATCH(
      1,
      ('Tools &amp; Targets_Guideline'!$A$54:$A$269=$B267)*
      ('Tools &amp; Targets_Guideline'!$B$54:$B$269="Delivery"),
      0
    ),
    MATCH(
      _xludf.IFNA(
        VLOOKUP($D267,{"PH","Provincial Hospital (H2)";"DH","District Hospital (H3)";"RH","Regional / National Hospital (H1)"},2,0),
        $D267
      ),
      'Tools &amp; Targets_Guideline'!$C$53:$I$53,
      0
    )
  ),
0))</f>
        <v/>
      </c>
      <c r="Q267" s="105"/>
      <c r="R267" s="119" t="str">
        <f t="array" ref="R267">IF(OR($B267="",$D267=""),"",
IFERROR(
  INDEX(
    'Tools &amp; Targets_Guideline'!$C$54:$I$269,
    MATCH(
      1,
      ('Tools &amp; Targets_Guideline'!$A$54:$A$269=$B267)*
      ('Tools &amp; Targets_Guideline'!$B$54:$B$269="TT"),
      0
    ),
    MATCH(
      _xludf.IFNA(
        VLOOKUP($D267,{"PH","Provincial Hospital (H2)";"DH","District Hospital (H3)";"RH","Regional / National Hospital (H1)"},2,0),
        $D267
      ),
      'Tools &amp; Targets_Guideline'!$C$53:$I$53,
      0
    )
  ),
0))</f>
        <v/>
      </c>
      <c r="S267" s="105"/>
      <c r="T267" s="102"/>
      <c r="U267" s="106"/>
      <c r="V267" s="102" t="str">
        <f t="shared" si="16"/>
        <v/>
      </c>
      <c r="W267" s="102"/>
      <c r="X267" s="102"/>
      <c r="Y267" s="119" t="str">
        <f t="array" ref="Y267">IF(OR($B267="",$D267=""),"",
IFERROR(
  INDEX(
    'Tools &amp; Targets_Guideline'!$C$54:$I$269,
    MATCH(
      1,
      ('Tools &amp; Targets_Guideline'!$A$54:$A$269=$B267)*
      ('Tools &amp; Targets_Guideline'!$B$54:$B$269="GM"),
      0
    ),
    MATCH(
      _xludf.IFNA(
        VLOOKUP($D267,{"PH","Provincial Hospital (H2)";"DH","District Hospital (H3)";"RH","Regional / National Hospital (H1)"},2,0),
        $D267
      ),
      'Tools &amp; Targets_Guideline'!$C$53:$I$53,
      0
    )
  ),
0))</f>
        <v/>
      </c>
      <c r="Z267" s="105"/>
      <c r="AA267" s="119" t="str">
        <f t="array" ref="AA267">IF(OR($B267="",$D267=""),"",
IFERROR(
  INDEX(
    'Tools &amp; Targets_Guideline'!$C$54:$I$269,
    MATCH(
      1,
      ('Tools &amp; Targets_Guideline'!$A$54:$A$269=$B267)*
      ('Tools &amp; Targets_Guideline'!$B$54:$B$269="Penta"),
      0
    ),
    MATCH(
      _xludf.IFNA(
        VLOOKUP($D267,{"PH","Provincial Hospital (H2)";"DH","District Hospital (H3)";"RH","Regional / National Hospital (H1)"},2,0),
        $D267
      ),
      'Tools &amp; Targets_Guideline'!$C$53:$I$53,
      0
    )
  ),
0))</f>
        <v/>
      </c>
      <c r="AB267" s="105"/>
      <c r="AC267" s="119" t="str">
        <f t="array" ref="AC267">IF(OR($B267="",$D267=""),"",
IFERROR(
  INDEX(
    'Tools &amp; Targets_Guideline'!$C$54:$I$269,
    MATCH(
      1,
      ('Tools &amp; Targets_Guideline'!$A$54:$A$269=$B267)*
      ('Tools &amp; Targets_Guideline'!$B$54:$B$269="TB"),
      0
    ),
    MATCH(
      _xludf.IFNA(
        VLOOKUP($D267,{"PH","Provincial Hospital (H2)";"DH","District Hospital (H3)";"RH","Regional / National Hospital (H1)"},2,0),
        $D267
      ),
      'Tools &amp; Targets_Guideline'!$C$53:$I$53,
      0
    )
  ),
0))</f>
        <v/>
      </c>
      <c r="AD267" s="105"/>
      <c r="AE267" s="119" t="str">
        <f t="array" ref="AE267">IF(OR($B267="",$D267=""),"",
IFERROR(
  INDEX(
    'Tools &amp; Targets_Guideline'!$C$54:$I$269,
    MATCH(
      1,
      ('Tools &amp; Targets_Guideline'!$A$54:$A$269=$B267)*
      ('Tools &amp; Targets_Guideline'!$B$54:$B$269="U5 Morbidity"),
      0
    ),
    MATCH(
      _xludf.IFNA(
        VLOOKUP($D267,{"PH","Provincial Hospital (H2)";"DH","District Hospital (H3)";"RH","Regional / National Hospital (H1)"},2,0),
        $D267
      ),
      'Tools &amp; Targets_Guideline'!$C$53:$I$53,
      0
    )
  ),
0))</f>
        <v/>
      </c>
      <c r="AF267" s="105"/>
      <c r="AG267" s="119" t="str">
        <f t="array" ref="AG267">IF(OR($B267="",$D267=""),"",
IFERROR(
  INDEX(
    'Tools &amp; Targets_Guideline'!$C$54:$I$269,
    MATCH(
      1,
      ('Tools &amp; Targets_Guideline'!$A$54:$A$269=$B267)*
      ('Tools &amp; Targets_Guideline'!$B$54:$B$269="C-Section"),
      0
    ),
    MATCH(
      _xludf.IFNA(
        VLOOKUP($D267,{"PH","Provincial Hospital (H2)";"DH","District Hospital (H3)";"RH","Regional / National Hospital (H1)"},2,0),
        $D267
      ),
      'Tools &amp; Targets_Guideline'!$C$53:$I$53,
      0
    )
  ),
0))</f>
        <v/>
      </c>
      <c r="AH267" s="105" t="str">
        <f>IF(A267&lt;&gt;"",COUNTIFS('QA Log'!D:D,A267,'QA Log'!M:M,"QQC",'QA Log'!L:L,"2. Hygiene and Sterilization",'QA Log'!Z:Z,"Approved"),"")</f>
        <v/>
      </c>
      <c r="AI267" s="102"/>
      <c r="AJ267" s="102"/>
      <c r="AK267" s="103" t="str">
        <f t="shared" si="17"/>
        <v/>
      </c>
      <c r="AL267" s="102"/>
      <c r="AM267" s="102"/>
      <c r="AN267" s="102"/>
      <c r="AO267" s="106"/>
      <c r="AP267" s="103"/>
      <c r="AQ267" s="102"/>
      <c r="AR267" s="102"/>
      <c r="AS267" s="102"/>
      <c r="AT267" s="107"/>
      <c r="AU267" s="102" t="str">
        <f t="shared" si="18"/>
        <v/>
      </c>
      <c r="AV267" s="102" t="str">
        <f t="shared" si="19"/>
        <v/>
      </c>
      <c r="AW267" s="102" t="str">
        <f t="shared" si="20"/>
        <v/>
      </c>
      <c r="AX267" s="102" t="str">
        <f t="shared" si="21"/>
        <v/>
      </c>
      <c r="AY267" s="107" t="str">
        <f t="shared" si="22"/>
        <v/>
      </c>
      <c r="AZ267" s="108" t="str">
        <f t="shared" si="23"/>
        <v/>
      </c>
      <c r="BA267" s="108" t="str">
        <f t="shared" si="24"/>
        <v/>
      </c>
      <c r="BB267" s="109" t="str">
        <f t="shared" si="25"/>
        <v/>
      </c>
      <c r="BC267" s="108" t="str">
        <f t="shared" si="26"/>
        <v/>
      </c>
      <c r="BD267" s="108" t="str">
        <f t="shared" si="27"/>
        <v/>
      </c>
      <c r="BE267" s="109" t="str">
        <f t="shared" si="28"/>
        <v/>
      </c>
      <c r="BF267" s="110" t="str">
        <f t="shared" si="29"/>
        <v/>
      </c>
      <c r="BG267" s="111"/>
    </row>
    <row r="268" spans="1:59" ht="12.75">
      <c r="A268" s="101"/>
      <c r="B268" s="102"/>
      <c r="C268" s="102" t="e">
        <f t="array" aca="1" ref="C268" ca="1">_xludf.XLOOKUP(A268,'QA Log'!D:D,'QA Log'!F:F,"")</f>
        <v>#NAME?</v>
      </c>
      <c r="D268" s="102"/>
      <c r="E268" s="102" t="e">
        <f t="array" aca="1" ref="E268" ca="1">_xludf.XLOOKUP(A268,'QA Log'!D:D,'QA Log'!G:G,"")</f>
        <v>#NAME?</v>
      </c>
      <c r="F268" s="103"/>
      <c r="G268" s="104"/>
      <c r="H268" s="104"/>
      <c r="I268" s="103" t="str">
        <f t="shared" si="15"/>
        <v/>
      </c>
      <c r="J268" s="102"/>
      <c r="K268" s="102"/>
      <c r="L268" s="119" t="str">
        <f t="array" ref="L268">IF(OR($B268="",$D268=""),"",
IFERROR(
  INDEX(
    'Tools &amp; Targets_Guideline'!$C$54:$I$269,
    MATCH(
      1,
      ('Tools &amp; Targets_Guideline'!$A$54:$A$269=$B268)*
      ('Tools &amp; Targets_Guideline'!$B$54:$B$269="ANC"),
      0
    ),
    MATCH(
      _xludf.IFNA(
        VLOOKUP($D268,{"PH","Provincial Hospital (H2)";"DH","District Hospital (H3)";"RH","Regional / National Hospital (H1)"},2,0),
        $D268
      ),
      'Tools &amp; Targets_Guideline'!$C$53:$I$53,
      0
    )
  ),
0))</f>
        <v/>
      </c>
      <c r="M268" s="105"/>
      <c r="N268" s="119" t="str">
        <f t="array" ref="N268">IF(OR($B268="",$D268=""),"",
IFERROR(
  INDEX(
    'Tools &amp; Targets_Guideline'!$C$54:$I$269,
    MATCH(
      1,
      ('Tools &amp; Targets_Guideline'!$A$54:$A$269=$B268)*
      ('Tools &amp; Targets_Guideline'!$B$54:$B$269="PNC"),
      0
    ),
    MATCH(
      _xludf.IFNA(
        VLOOKUP($D268,{"PH","Provincial Hospital (H2)";"DH","District Hospital (H3)";"RH","Regional / National Hospital (H1)"},2,0),
        $D268
      ),
      'Tools &amp; Targets_Guideline'!$C$53:$I$53,
      0
    )
  ),
0))</f>
        <v/>
      </c>
      <c r="O268" s="105"/>
      <c r="P268" s="119" t="str">
        <f t="array" ref="P268">IF(OR($B268="",$D268=""),"",
IFERROR(
  INDEX(
    'Tools &amp; Targets_Guideline'!$C$54:$I$269,
    MATCH(
      1,
      ('Tools &amp; Targets_Guideline'!$A$54:$A$269=$B268)*
      ('Tools &amp; Targets_Guideline'!$B$54:$B$269="Delivery"),
      0
    ),
    MATCH(
      _xludf.IFNA(
        VLOOKUP($D268,{"PH","Provincial Hospital (H2)";"DH","District Hospital (H3)";"RH","Regional / National Hospital (H1)"},2,0),
        $D268
      ),
      'Tools &amp; Targets_Guideline'!$C$53:$I$53,
      0
    )
  ),
0))</f>
        <v/>
      </c>
      <c r="Q268" s="105"/>
      <c r="R268" s="119" t="str">
        <f t="array" ref="R268">IF(OR($B268="",$D268=""),"",
IFERROR(
  INDEX(
    'Tools &amp; Targets_Guideline'!$C$54:$I$269,
    MATCH(
      1,
      ('Tools &amp; Targets_Guideline'!$A$54:$A$269=$B268)*
      ('Tools &amp; Targets_Guideline'!$B$54:$B$269="TT"),
      0
    ),
    MATCH(
      _xludf.IFNA(
        VLOOKUP($D268,{"PH","Provincial Hospital (H2)";"DH","District Hospital (H3)";"RH","Regional / National Hospital (H1)"},2,0),
        $D268
      ),
      'Tools &amp; Targets_Guideline'!$C$53:$I$53,
      0
    )
  ),
0))</f>
        <v/>
      </c>
      <c r="S268" s="105"/>
      <c r="T268" s="102"/>
      <c r="U268" s="106"/>
      <c r="V268" s="102" t="str">
        <f t="shared" si="16"/>
        <v/>
      </c>
      <c r="W268" s="102"/>
      <c r="X268" s="102"/>
      <c r="Y268" s="119" t="str">
        <f t="array" ref="Y268">IF(OR($B268="",$D268=""),"",
IFERROR(
  INDEX(
    'Tools &amp; Targets_Guideline'!$C$54:$I$269,
    MATCH(
      1,
      ('Tools &amp; Targets_Guideline'!$A$54:$A$269=$B268)*
      ('Tools &amp; Targets_Guideline'!$B$54:$B$269="GM"),
      0
    ),
    MATCH(
      _xludf.IFNA(
        VLOOKUP($D268,{"PH","Provincial Hospital (H2)";"DH","District Hospital (H3)";"RH","Regional / National Hospital (H1)"},2,0),
        $D268
      ),
      'Tools &amp; Targets_Guideline'!$C$53:$I$53,
      0
    )
  ),
0))</f>
        <v/>
      </c>
      <c r="Z268" s="105"/>
      <c r="AA268" s="119" t="str">
        <f t="array" ref="AA268">IF(OR($B268="",$D268=""),"",
IFERROR(
  INDEX(
    'Tools &amp; Targets_Guideline'!$C$54:$I$269,
    MATCH(
      1,
      ('Tools &amp; Targets_Guideline'!$A$54:$A$269=$B268)*
      ('Tools &amp; Targets_Guideline'!$B$54:$B$269="Penta"),
      0
    ),
    MATCH(
      _xludf.IFNA(
        VLOOKUP($D268,{"PH","Provincial Hospital (H2)";"DH","District Hospital (H3)";"RH","Regional / National Hospital (H1)"},2,0),
        $D268
      ),
      'Tools &amp; Targets_Guideline'!$C$53:$I$53,
      0
    )
  ),
0))</f>
        <v/>
      </c>
      <c r="AB268" s="105"/>
      <c r="AC268" s="119" t="str">
        <f t="array" ref="AC268">IF(OR($B268="",$D268=""),"",
IFERROR(
  INDEX(
    'Tools &amp; Targets_Guideline'!$C$54:$I$269,
    MATCH(
      1,
      ('Tools &amp; Targets_Guideline'!$A$54:$A$269=$B268)*
      ('Tools &amp; Targets_Guideline'!$B$54:$B$269="TB"),
      0
    ),
    MATCH(
      _xludf.IFNA(
        VLOOKUP($D268,{"PH","Provincial Hospital (H2)";"DH","District Hospital (H3)";"RH","Regional / National Hospital (H1)"},2,0),
        $D268
      ),
      'Tools &amp; Targets_Guideline'!$C$53:$I$53,
      0
    )
  ),
0))</f>
        <v/>
      </c>
      <c r="AD268" s="105"/>
      <c r="AE268" s="119" t="str">
        <f t="array" ref="AE268">IF(OR($B268="",$D268=""),"",
IFERROR(
  INDEX(
    'Tools &amp; Targets_Guideline'!$C$54:$I$269,
    MATCH(
      1,
      ('Tools &amp; Targets_Guideline'!$A$54:$A$269=$B268)*
      ('Tools &amp; Targets_Guideline'!$B$54:$B$269="U5 Morbidity"),
      0
    ),
    MATCH(
      _xludf.IFNA(
        VLOOKUP($D268,{"PH","Provincial Hospital (H2)";"DH","District Hospital (H3)";"RH","Regional / National Hospital (H1)"},2,0),
        $D268
      ),
      'Tools &amp; Targets_Guideline'!$C$53:$I$53,
      0
    )
  ),
0))</f>
        <v/>
      </c>
      <c r="AF268" s="105"/>
      <c r="AG268" s="119" t="str">
        <f t="array" ref="AG268">IF(OR($B268="",$D268=""),"",
IFERROR(
  INDEX(
    'Tools &amp; Targets_Guideline'!$C$54:$I$269,
    MATCH(
      1,
      ('Tools &amp; Targets_Guideline'!$A$54:$A$269=$B268)*
      ('Tools &amp; Targets_Guideline'!$B$54:$B$269="C-Section"),
      0
    ),
    MATCH(
      _xludf.IFNA(
        VLOOKUP($D268,{"PH","Provincial Hospital (H2)";"DH","District Hospital (H3)";"RH","Regional / National Hospital (H1)"},2,0),
        $D268
      ),
      'Tools &amp; Targets_Guideline'!$C$53:$I$53,
      0
    )
  ),
0))</f>
        <v/>
      </c>
      <c r="AH268" s="105" t="str">
        <f>IF(A268&lt;&gt;"",COUNTIFS('QA Log'!D:D,A268,'QA Log'!M:M,"QQC",'QA Log'!L:L,"2. Hygiene and Sterilization",'QA Log'!Z:Z,"Approved"),"")</f>
        <v/>
      </c>
      <c r="AI268" s="102"/>
      <c r="AJ268" s="102"/>
      <c r="AK268" s="103" t="str">
        <f t="shared" si="17"/>
        <v/>
      </c>
      <c r="AL268" s="102"/>
      <c r="AM268" s="102"/>
      <c r="AN268" s="102"/>
      <c r="AO268" s="106"/>
      <c r="AP268" s="103"/>
      <c r="AQ268" s="102"/>
      <c r="AR268" s="102"/>
      <c r="AS268" s="102"/>
      <c r="AT268" s="107"/>
      <c r="AU268" s="102" t="str">
        <f t="shared" si="18"/>
        <v/>
      </c>
      <c r="AV268" s="102" t="str">
        <f t="shared" si="19"/>
        <v/>
      </c>
      <c r="AW268" s="102" t="str">
        <f t="shared" si="20"/>
        <v/>
      </c>
      <c r="AX268" s="102" t="str">
        <f t="shared" si="21"/>
        <v/>
      </c>
      <c r="AY268" s="107" t="str">
        <f t="shared" si="22"/>
        <v/>
      </c>
      <c r="AZ268" s="108" t="str">
        <f t="shared" si="23"/>
        <v/>
      </c>
      <c r="BA268" s="108" t="str">
        <f t="shared" si="24"/>
        <v/>
      </c>
      <c r="BB268" s="109" t="str">
        <f t="shared" si="25"/>
        <v/>
      </c>
      <c r="BC268" s="108" t="str">
        <f t="shared" si="26"/>
        <v/>
      </c>
      <c r="BD268" s="108" t="str">
        <f t="shared" si="27"/>
        <v/>
      </c>
      <c r="BE268" s="109" t="str">
        <f t="shared" si="28"/>
        <v/>
      </c>
      <c r="BF268" s="110" t="str">
        <f t="shared" si="29"/>
        <v/>
      </c>
      <c r="BG268" s="111"/>
    </row>
    <row r="269" spans="1:59" ht="12.75">
      <c r="A269" s="101"/>
      <c r="B269" s="102"/>
      <c r="C269" s="102" t="e">
        <f t="array" aca="1" ref="C269" ca="1">_xludf.XLOOKUP(A269,'QA Log'!D:D,'QA Log'!F:F,"")</f>
        <v>#NAME?</v>
      </c>
      <c r="D269" s="102"/>
      <c r="E269" s="102" t="e">
        <f t="array" aca="1" ref="E269" ca="1">_xludf.XLOOKUP(A269,'QA Log'!D:D,'QA Log'!G:G,"")</f>
        <v>#NAME?</v>
      </c>
      <c r="F269" s="103"/>
      <c r="G269" s="104"/>
      <c r="H269" s="104"/>
      <c r="I269" s="103" t="str">
        <f t="shared" si="15"/>
        <v/>
      </c>
      <c r="J269" s="102"/>
      <c r="K269" s="102"/>
      <c r="L269" s="119" t="str">
        <f t="array" ref="L269">IF(OR($B269="",$D269=""),"",
IFERROR(
  INDEX(
    'Tools &amp; Targets_Guideline'!$C$54:$I$269,
    MATCH(
      1,
      ('Tools &amp; Targets_Guideline'!$A$54:$A$269=$B269)*
      ('Tools &amp; Targets_Guideline'!$B$54:$B$269="ANC"),
      0
    ),
    MATCH(
      _xludf.IFNA(
        VLOOKUP($D269,{"PH","Provincial Hospital (H2)";"DH","District Hospital (H3)";"RH","Regional / National Hospital (H1)"},2,0),
        $D269
      ),
      'Tools &amp; Targets_Guideline'!$C$53:$I$53,
      0
    )
  ),
0))</f>
        <v/>
      </c>
      <c r="M269" s="105"/>
      <c r="N269" s="119" t="str">
        <f t="array" ref="N269">IF(OR($B269="",$D269=""),"",
IFERROR(
  INDEX(
    'Tools &amp; Targets_Guideline'!$C$54:$I$269,
    MATCH(
      1,
      ('Tools &amp; Targets_Guideline'!$A$54:$A$269=$B269)*
      ('Tools &amp; Targets_Guideline'!$B$54:$B$269="PNC"),
      0
    ),
    MATCH(
      _xludf.IFNA(
        VLOOKUP($D269,{"PH","Provincial Hospital (H2)";"DH","District Hospital (H3)";"RH","Regional / National Hospital (H1)"},2,0),
        $D269
      ),
      'Tools &amp; Targets_Guideline'!$C$53:$I$53,
      0
    )
  ),
0))</f>
        <v/>
      </c>
      <c r="O269" s="105"/>
      <c r="P269" s="119" t="str">
        <f t="array" ref="P269">IF(OR($B269="",$D269=""),"",
IFERROR(
  INDEX(
    'Tools &amp; Targets_Guideline'!$C$54:$I$269,
    MATCH(
      1,
      ('Tools &amp; Targets_Guideline'!$A$54:$A$269=$B269)*
      ('Tools &amp; Targets_Guideline'!$B$54:$B$269="Delivery"),
      0
    ),
    MATCH(
      _xludf.IFNA(
        VLOOKUP($D269,{"PH","Provincial Hospital (H2)";"DH","District Hospital (H3)";"RH","Regional / National Hospital (H1)"},2,0),
        $D269
      ),
      'Tools &amp; Targets_Guideline'!$C$53:$I$53,
      0
    )
  ),
0))</f>
        <v/>
      </c>
      <c r="Q269" s="105"/>
      <c r="R269" s="119" t="str">
        <f t="array" ref="R269">IF(OR($B269="",$D269=""),"",
IFERROR(
  INDEX(
    'Tools &amp; Targets_Guideline'!$C$54:$I$269,
    MATCH(
      1,
      ('Tools &amp; Targets_Guideline'!$A$54:$A$269=$B269)*
      ('Tools &amp; Targets_Guideline'!$B$54:$B$269="TT"),
      0
    ),
    MATCH(
      _xludf.IFNA(
        VLOOKUP($D269,{"PH","Provincial Hospital (H2)";"DH","District Hospital (H3)";"RH","Regional / National Hospital (H1)"},2,0),
        $D269
      ),
      'Tools &amp; Targets_Guideline'!$C$53:$I$53,
      0
    )
  ),
0))</f>
        <v/>
      </c>
      <c r="S269" s="105"/>
      <c r="T269" s="102"/>
      <c r="U269" s="106"/>
      <c r="V269" s="102" t="str">
        <f t="shared" si="16"/>
        <v/>
      </c>
      <c r="W269" s="102"/>
      <c r="X269" s="102"/>
      <c r="Y269" s="119" t="str">
        <f t="array" ref="Y269">IF(OR($B269="",$D269=""),"",
IFERROR(
  INDEX(
    'Tools &amp; Targets_Guideline'!$C$54:$I$269,
    MATCH(
      1,
      ('Tools &amp; Targets_Guideline'!$A$54:$A$269=$B269)*
      ('Tools &amp; Targets_Guideline'!$B$54:$B$269="GM"),
      0
    ),
    MATCH(
      _xludf.IFNA(
        VLOOKUP($D269,{"PH","Provincial Hospital (H2)";"DH","District Hospital (H3)";"RH","Regional / National Hospital (H1)"},2,0),
        $D269
      ),
      'Tools &amp; Targets_Guideline'!$C$53:$I$53,
      0
    )
  ),
0))</f>
        <v/>
      </c>
      <c r="Z269" s="105"/>
      <c r="AA269" s="119" t="str">
        <f t="array" ref="AA269">IF(OR($B269="",$D269=""),"",
IFERROR(
  INDEX(
    'Tools &amp; Targets_Guideline'!$C$54:$I$269,
    MATCH(
      1,
      ('Tools &amp; Targets_Guideline'!$A$54:$A$269=$B269)*
      ('Tools &amp; Targets_Guideline'!$B$54:$B$269="Penta"),
      0
    ),
    MATCH(
      _xludf.IFNA(
        VLOOKUP($D269,{"PH","Provincial Hospital (H2)";"DH","District Hospital (H3)";"RH","Regional / National Hospital (H1)"},2,0),
        $D269
      ),
      'Tools &amp; Targets_Guideline'!$C$53:$I$53,
      0
    )
  ),
0))</f>
        <v/>
      </c>
      <c r="AB269" s="105"/>
      <c r="AC269" s="119" t="str">
        <f t="array" ref="AC269">IF(OR($B269="",$D269=""),"",
IFERROR(
  INDEX(
    'Tools &amp; Targets_Guideline'!$C$54:$I$269,
    MATCH(
      1,
      ('Tools &amp; Targets_Guideline'!$A$54:$A$269=$B269)*
      ('Tools &amp; Targets_Guideline'!$B$54:$B$269="TB"),
      0
    ),
    MATCH(
      _xludf.IFNA(
        VLOOKUP($D269,{"PH","Provincial Hospital (H2)";"DH","District Hospital (H3)";"RH","Regional / National Hospital (H1)"},2,0),
        $D269
      ),
      'Tools &amp; Targets_Guideline'!$C$53:$I$53,
      0
    )
  ),
0))</f>
        <v/>
      </c>
      <c r="AD269" s="105"/>
      <c r="AE269" s="119" t="str">
        <f t="array" ref="AE269">IF(OR($B269="",$D269=""),"",
IFERROR(
  INDEX(
    'Tools &amp; Targets_Guideline'!$C$54:$I$269,
    MATCH(
      1,
      ('Tools &amp; Targets_Guideline'!$A$54:$A$269=$B269)*
      ('Tools &amp; Targets_Guideline'!$B$54:$B$269="U5 Morbidity"),
      0
    ),
    MATCH(
      _xludf.IFNA(
        VLOOKUP($D269,{"PH","Provincial Hospital (H2)";"DH","District Hospital (H3)";"RH","Regional / National Hospital (H1)"},2,0),
        $D269
      ),
      'Tools &amp; Targets_Guideline'!$C$53:$I$53,
      0
    )
  ),
0))</f>
        <v/>
      </c>
      <c r="AF269" s="105"/>
      <c r="AG269" s="119" t="str">
        <f t="array" ref="AG269">IF(OR($B269="",$D269=""),"",
IFERROR(
  INDEX(
    'Tools &amp; Targets_Guideline'!$C$54:$I$269,
    MATCH(
      1,
      ('Tools &amp; Targets_Guideline'!$A$54:$A$269=$B269)*
      ('Tools &amp; Targets_Guideline'!$B$54:$B$269="C-Section"),
      0
    ),
    MATCH(
      _xludf.IFNA(
        VLOOKUP($D269,{"PH","Provincial Hospital (H2)";"DH","District Hospital (H3)";"RH","Regional / National Hospital (H1)"},2,0),
        $D269
      ),
      'Tools &amp; Targets_Guideline'!$C$53:$I$53,
      0
    )
  ),
0))</f>
        <v/>
      </c>
      <c r="AH269" s="105" t="str">
        <f>IF(A269&lt;&gt;"",COUNTIFS('QA Log'!D:D,A269,'QA Log'!M:M,"QQC",'QA Log'!L:L,"2. Hygiene and Sterilization",'QA Log'!Z:Z,"Approved"),"")</f>
        <v/>
      </c>
      <c r="AI269" s="102"/>
      <c r="AJ269" s="102"/>
      <c r="AK269" s="103" t="str">
        <f t="shared" si="17"/>
        <v/>
      </c>
      <c r="AL269" s="102"/>
      <c r="AM269" s="102"/>
      <c r="AN269" s="102"/>
      <c r="AO269" s="106"/>
      <c r="AP269" s="103"/>
      <c r="AQ269" s="102"/>
      <c r="AR269" s="102"/>
      <c r="AS269" s="102"/>
      <c r="AT269" s="107"/>
      <c r="AU269" s="102" t="str">
        <f t="shared" si="18"/>
        <v/>
      </c>
      <c r="AV269" s="102" t="str">
        <f t="shared" si="19"/>
        <v/>
      </c>
      <c r="AW269" s="102" t="str">
        <f t="shared" si="20"/>
        <v/>
      </c>
      <c r="AX269" s="102" t="str">
        <f t="shared" si="21"/>
        <v/>
      </c>
      <c r="AY269" s="107" t="str">
        <f t="shared" si="22"/>
        <v/>
      </c>
      <c r="AZ269" s="108" t="str">
        <f t="shared" si="23"/>
        <v/>
      </c>
      <c r="BA269" s="108" t="str">
        <f t="shared" si="24"/>
        <v/>
      </c>
      <c r="BB269" s="109" t="str">
        <f t="shared" si="25"/>
        <v/>
      </c>
      <c r="BC269" s="108" t="str">
        <f t="shared" si="26"/>
        <v/>
      </c>
      <c r="BD269" s="108" t="str">
        <f t="shared" si="27"/>
        <v/>
      </c>
      <c r="BE269" s="109" t="str">
        <f t="shared" si="28"/>
        <v/>
      </c>
      <c r="BF269" s="110" t="str">
        <f t="shared" si="29"/>
        <v/>
      </c>
      <c r="BG269" s="111"/>
    </row>
    <row r="270" spans="1:59" ht="12.75">
      <c r="A270" s="101"/>
      <c r="B270" s="102"/>
      <c r="C270" s="102" t="e">
        <f t="array" aca="1" ref="C270" ca="1">_xludf.XLOOKUP(A270,'QA Log'!D:D,'QA Log'!F:F,"")</f>
        <v>#NAME?</v>
      </c>
      <c r="D270" s="102"/>
      <c r="E270" s="102" t="e">
        <f t="array" aca="1" ref="E270" ca="1">_xludf.XLOOKUP(A270,'QA Log'!D:D,'QA Log'!G:G,"")</f>
        <v>#NAME?</v>
      </c>
      <c r="F270" s="103"/>
      <c r="G270" s="104"/>
      <c r="H270" s="104"/>
      <c r="I270" s="103" t="str">
        <f t="shared" si="15"/>
        <v/>
      </c>
      <c r="J270" s="102"/>
      <c r="K270" s="102"/>
      <c r="L270" s="119" t="str">
        <f t="array" ref="L270">IF(OR($B270="",$D270=""),"",
IFERROR(
  INDEX(
    'Tools &amp; Targets_Guideline'!$C$54:$I$269,
    MATCH(
      1,
      ('Tools &amp; Targets_Guideline'!$A$54:$A$269=$B270)*
      ('Tools &amp; Targets_Guideline'!$B$54:$B$269="ANC"),
      0
    ),
    MATCH(
      _xludf.IFNA(
        VLOOKUP($D270,{"PH","Provincial Hospital (H2)";"DH","District Hospital (H3)";"RH","Regional / National Hospital (H1)"},2,0),
        $D270
      ),
      'Tools &amp; Targets_Guideline'!$C$53:$I$53,
      0
    )
  ),
0))</f>
        <v/>
      </c>
      <c r="M270" s="105"/>
      <c r="N270" s="119" t="str">
        <f t="array" ref="N270">IF(OR($B270="",$D270=""),"",
IFERROR(
  INDEX(
    'Tools &amp; Targets_Guideline'!$C$54:$I$269,
    MATCH(
      1,
      ('Tools &amp; Targets_Guideline'!$A$54:$A$269=$B270)*
      ('Tools &amp; Targets_Guideline'!$B$54:$B$269="PNC"),
      0
    ),
    MATCH(
      _xludf.IFNA(
        VLOOKUP($D270,{"PH","Provincial Hospital (H2)";"DH","District Hospital (H3)";"RH","Regional / National Hospital (H1)"},2,0),
        $D270
      ),
      'Tools &amp; Targets_Guideline'!$C$53:$I$53,
      0
    )
  ),
0))</f>
        <v/>
      </c>
      <c r="O270" s="105"/>
      <c r="P270" s="119" t="str">
        <f t="array" ref="P270">IF(OR($B270="",$D270=""),"",
IFERROR(
  INDEX(
    'Tools &amp; Targets_Guideline'!$C$54:$I$269,
    MATCH(
      1,
      ('Tools &amp; Targets_Guideline'!$A$54:$A$269=$B270)*
      ('Tools &amp; Targets_Guideline'!$B$54:$B$269="Delivery"),
      0
    ),
    MATCH(
      _xludf.IFNA(
        VLOOKUP($D270,{"PH","Provincial Hospital (H2)";"DH","District Hospital (H3)";"RH","Regional / National Hospital (H1)"},2,0),
        $D270
      ),
      'Tools &amp; Targets_Guideline'!$C$53:$I$53,
      0
    )
  ),
0))</f>
        <v/>
      </c>
      <c r="Q270" s="105"/>
      <c r="R270" s="119" t="str">
        <f t="array" ref="R270">IF(OR($B270="",$D270=""),"",
IFERROR(
  INDEX(
    'Tools &amp; Targets_Guideline'!$C$54:$I$269,
    MATCH(
      1,
      ('Tools &amp; Targets_Guideline'!$A$54:$A$269=$B270)*
      ('Tools &amp; Targets_Guideline'!$B$54:$B$269="TT"),
      0
    ),
    MATCH(
      _xludf.IFNA(
        VLOOKUP($D270,{"PH","Provincial Hospital (H2)";"DH","District Hospital (H3)";"RH","Regional / National Hospital (H1)"},2,0),
        $D270
      ),
      'Tools &amp; Targets_Guideline'!$C$53:$I$53,
      0
    )
  ),
0))</f>
        <v/>
      </c>
      <c r="S270" s="105"/>
      <c r="T270" s="102"/>
      <c r="U270" s="106"/>
      <c r="V270" s="102" t="str">
        <f t="shared" si="16"/>
        <v/>
      </c>
      <c r="W270" s="102"/>
      <c r="X270" s="102"/>
      <c r="Y270" s="119" t="str">
        <f t="array" ref="Y270">IF(OR($B270="",$D270=""),"",
IFERROR(
  INDEX(
    'Tools &amp; Targets_Guideline'!$C$54:$I$269,
    MATCH(
      1,
      ('Tools &amp; Targets_Guideline'!$A$54:$A$269=$B270)*
      ('Tools &amp; Targets_Guideline'!$B$54:$B$269="GM"),
      0
    ),
    MATCH(
      _xludf.IFNA(
        VLOOKUP($D270,{"PH","Provincial Hospital (H2)";"DH","District Hospital (H3)";"RH","Regional / National Hospital (H1)"},2,0),
        $D270
      ),
      'Tools &amp; Targets_Guideline'!$C$53:$I$53,
      0
    )
  ),
0))</f>
        <v/>
      </c>
      <c r="Z270" s="105"/>
      <c r="AA270" s="119" t="str">
        <f t="array" ref="AA270">IF(OR($B270="",$D270=""),"",
IFERROR(
  INDEX(
    'Tools &amp; Targets_Guideline'!$C$54:$I$269,
    MATCH(
      1,
      ('Tools &amp; Targets_Guideline'!$A$54:$A$269=$B270)*
      ('Tools &amp; Targets_Guideline'!$B$54:$B$269="Penta"),
      0
    ),
    MATCH(
      _xludf.IFNA(
        VLOOKUP($D270,{"PH","Provincial Hospital (H2)";"DH","District Hospital (H3)";"RH","Regional / National Hospital (H1)"},2,0),
        $D270
      ),
      'Tools &amp; Targets_Guideline'!$C$53:$I$53,
      0
    )
  ),
0))</f>
        <v/>
      </c>
      <c r="AB270" s="105"/>
      <c r="AC270" s="119" t="str">
        <f t="array" ref="AC270">IF(OR($B270="",$D270=""),"",
IFERROR(
  INDEX(
    'Tools &amp; Targets_Guideline'!$C$54:$I$269,
    MATCH(
      1,
      ('Tools &amp; Targets_Guideline'!$A$54:$A$269=$B270)*
      ('Tools &amp; Targets_Guideline'!$B$54:$B$269="TB"),
      0
    ),
    MATCH(
      _xludf.IFNA(
        VLOOKUP($D270,{"PH","Provincial Hospital (H2)";"DH","District Hospital (H3)";"RH","Regional / National Hospital (H1)"},2,0),
        $D270
      ),
      'Tools &amp; Targets_Guideline'!$C$53:$I$53,
      0
    )
  ),
0))</f>
        <v/>
      </c>
      <c r="AD270" s="105"/>
      <c r="AE270" s="119" t="str">
        <f t="array" ref="AE270">IF(OR($B270="",$D270=""),"",
IFERROR(
  INDEX(
    'Tools &amp; Targets_Guideline'!$C$54:$I$269,
    MATCH(
      1,
      ('Tools &amp; Targets_Guideline'!$A$54:$A$269=$B270)*
      ('Tools &amp; Targets_Guideline'!$B$54:$B$269="U5 Morbidity"),
      0
    ),
    MATCH(
      _xludf.IFNA(
        VLOOKUP($D270,{"PH","Provincial Hospital (H2)";"DH","District Hospital (H3)";"RH","Regional / National Hospital (H1)"},2,0),
        $D270
      ),
      'Tools &amp; Targets_Guideline'!$C$53:$I$53,
      0
    )
  ),
0))</f>
        <v/>
      </c>
      <c r="AF270" s="105"/>
      <c r="AG270" s="119" t="str">
        <f t="array" ref="AG270">IF(OR($B270="",$D270=""),"",
IFERROR(
  INDEX(
    'Tools &amp; Targets_Guideline'!$C$54:$I$269,
    MATCH(
      1,
      ('Tools &amp; Targets_Guideline'!$A$54:$A$269=$B270)*
      ('Tools &amp; Targets_Guideline'!$B$54:$B$269="C-Section"),
      0
    ),
    MATCH(
      _xludf.IFNA(
        VLOOKUP($D270,{"PH","Provincial Hospital (H2)";"DH","District Hospital (H3)";"RH","Regional / National Hospital (H1)"},2,0),
        $D270
      ),
      'Tools &amp; Targets_Guideline'!$C$53:$I$53,
      0
    )
  ),
0))</f>
        <v/>
      </c>
      <c r="AH270" s="105" t="str">
        <f>IF(A270&lt;&gt;"",COUNTIFS('QA Log'!D:D,A270,'QA Log'!M:M,"QQC",'QA Log'!L:L,"2. Hygiene and Sterilization",'QA Log'!Z:Z,"Approved"),"")</f>
        <v/>
      </c>
      <c r="AI270" s="102"/>
      <c r="AJ270" s="102"/>
      <c r="AK270" s="103" t="str">
        <f t="shared" si="17"/>
        <v/>
      </c>
      <c r="AL270" s="102"/>
      <c r="AM270" s="102"/>
      <c r="AN270" s="102"/>
      <c r="AO270" s="106"/>
      <c r="AP270" s="103"/>
      <c r="AQ270" s="102"/>
      <c r="AR270" s="102"/>
      <c r="AS270" s="102"/>
      <c r="AT270" s="107"/>
      <c r="AU270" s="102" t="str">
        <f t="shared" si="18"/>
        <v/>
      </c>
      <c r="AV270" s="102" t="str">
        <f t="shared" si="19"/>
        <v/>
      </c>
      <c r="AW270" s="102" t="str">
        <f t="shared" si="20"/>
        <v/>
      </c>
      <c r="AX270" s="102" t="str">
        <f t="shared" si="21"/>
        <v/>
      </c>
      <c r="AY270" s="107" t="str">
        <f t="shared" si="22"/>
        <v/>
      </c>
      <c r="AZ270" s="108" t="str">
        <f t="shared" si="23"/>
        <v/>
      </c>
      <c r="BA270" s="108" t="str">
        <f t="shared" si="24"/>
        <v/>
      </c>
      <c r="BB270" s="109" t="str">
        <f t="shared" si="25"/>
        <v/>
      </c>
      <c r="BC270" s="108" t="str">
        <f t="shared" si="26"/>
        <v/>
      </c>
      <c r="BD270" s="108" t="str">
        <f t="shared" si="27"/>
        <v/>
      </c>
      <c r="BE270" s="109" t="str">
        <f t="shared" si="28"/>
        <v/>
      </c>
      <c r="BF270" s="110" t="str">
        <f t="shared" si="29"/>
        <v/>
      </c>
      <c r="BG270" s="111"/>
    </row>
    <row r="271" spans="1:59" ht="12.75">
      <c r="A271" s="101"/>
      <c r="B271" s="102"/>
      <c r="C271" s="102" t="e">
        <f t="array" aca="1" ref="C271" ca="1">_xludf.XLOOKUP(A271,'QA Log'!D:D,'QA Log'!F:F,"")</f>
        <v>#NAME?</v>
      </c>
      <c r="D271" s="102"/>
      <c r="E271" s="102" t="e">
        <f t="array" aca="1" ref="E271" ca="1">_xludf.XLOOKUP(A271,'QA Log'!D:D,'QA Log'!G:G,"")</f>
        <v>#NAME?</v>
      </c>
      <c r="F271" s="103"/>
      <c r="G271" s="104"/>
      <c r="H271" s="104"/>
      <c r="I271" s="103" t="str">
        <f t="shared" si="15"/>
        <v/>
      </c>
      <c r="J271" s="102"/>
      <c r="K271" s="102"/>
      <c r="L271" s="119" t="str">
        <f t="array" ref="L271">IF(OR($B271="",$D271=""),"",
IFERROR(
  INDEX(
    'Tools &amp; Targets_Guideline'!$C$54:$I$269,
    MATCH(
      1,
      ('Tools &amp; Targets_Guideline'!$A$54:$A$269=$B271)*
      ('Tools &amp; Targets_Guideline'!$B$54:$B$269="ANC"),
      0
    ),
    MATCH(
      _xludf.IFNA(
        VLOOKUP($D271,{"PH","Provincial Hospital (H2)";"DH","District Hospital (H3)";"RH","Regional / National Hospital (H1)"},2,0),
        $D271
      ),
      'Tools &amp; Targets_Guideline'!$C$53:$I$53,
      0
    )
  ),
0))</f>
        <v/>
      </c>
      <c r="M271" s="105"/>
      <c r="N271" s="119" t="str">
        <f t="array" ref="N271">IF(OR($B271="",$D271=""),"",
IFERROR(
  INDEX(
    'Tools &amp; Targets_Guideline'!$C$54:$I$269,
    MATCH(
      1,
      ('Tools &amp; Targets_Guideline'!$A$54:$A$269=$B271)*
      ('Tools &amp; Targets_Guideline'!$B$54:$B$269="PNC"),
      0
    ),
    MATCH(
      _xludf.IFNA(
        VLOOKUP($D271,{"PH","Provincial Hospital (H2)";"DH","District Hospital (H3)";"RH","Regional / National Hospital (H1)"},2,0),
        $D271
      ),
      'Tools &amp; Targets_Guideline'!$C$53:$I$53,
      0
    )
  ),
0))</f>
        <v/>
      </c>
      <c r="O271" s="105"/>
      <c r="P271" s="119" t="str">
        <f t="array" ref="P271">IF(OR($B271="",$D271=""),"",
IFERROR(
  INDEX(
    'Tools &amp; Targets_Guideline'!$C$54:$I$269,
    MATCH(
      1,
      ('Tools &amp; Targets_Guideline'!$A$54:$A$269=$B271)*
      ('Tools &amp; Targets_Guideline'!$B$54:$B$269="Delivery"),
      0
    ),
    MATCH(
      _xludf.IFNA(
        VLOOKUP($D271,{"PH","Provincial Hospital (H2)";"DH","District Hospital (H3)";"RH","Regional / National Hospital (H1)"},2,0),
        $D271
      ),
      'Tools &amp; Targets_Guideline'!$C$53:$I$53,
      0
    )
  ),
0))</f>
        <v/>
      </c>
      <c r="Q271" s="105"/>
      <c r="R271" s="119" t="str">
        <f t="array" ref="R271">IF(OR($B271="",$D271=""),"",
IFERROR(
  INDEX(
    'Tools &amp; Targets_Guideline'!$C$54:$I$269,
    MATCH(
      1,
      ('Tools &amp; Targets_Guideline'!$A$54:$A$269=$B271)*
      ('Tools &amp; Targets_Guideline'!$B$54:$B$269="TT"),
      0
    ),
    MATCH(
      _xludf.IFNA(
        VLOOKUP($D271,{"PH","Provincial Hospital (H2)";"DH","District Hospital (H3)";"RH","Regional / National Hospital (H1)"},2,0),
        $D271
      ),
      'Tools &amp; Targets_Guideline'!$C$53:$I$53,
      0
    )
  ),
0))</f>
        <v/>
      </c>
      <c r="S271" s="105"/>
      <c r="T271" s="102"/>
      <c r="U271" s="106"/>
      <c r="V271" s="102" t="str">
        <f t="shared" si="16"/>
        <v/>
      </c>
      <c r="W271" s="102"/>
      <c r="X271" s="102"/>
      <c r="Y271" s="119" t="str">
        <f t="array" ref="Y271">IF(OR($B271="",$D271=""),"",
IFERROR(
  INDEX(
    'Tools &amp; Targets_Guideline'!$C$54:$I$269,
    MATCH(
      1,
      ('Tools &amp; Targets_Guideline'!$A$54:$A$269=$B271)*
      ('Tools &amp; Targets_Guideline'!$B$54:$B$269="GM"),
      0
    ),
    MATCH(
      _xludf.IFNA(
        VLOOKUP($D271,{"PH","Provincial Hospital (H2)";"DH","District Hospital (H3)";"RH","Regional / National Hospital (H1)"},2,0),
        $D271
      ),
      'Tools &amp; Targets_Guideline'!$C$53:$I$53,
      0
    )
  ),
0))</f>
        <v/>
      </c>
      <c r="Z271" s="105"/>
      <c r="AA271" s="119" t="str">
        <f t="array" ref="AA271">IF(OR($B271="",$D271=""),"",
IFERROR(
  INDEX(
    'Tools &amp; Targets_Guideline'!$C$54:$I$269,
    MATCH(
      1,
      ('Tools &amp; Targets_Guideline'!$A$54:$A$269=$B271)*
      ('Tools &amp; Targets_Guideline'!$B$54:$B$269="Penta"),
      0
    ),
    MATCH(
      _xludf.IFNA(
        VLOOKUP($D271,{"PH","Provincial Hospital (H2)";"DH","District Hospital (H3)";"RH","Regional / National Hospital (H1)"},2,0),
        $D271
      ),
      'Tools &amp; Targets_Guideline'!$C$53:$I$53,
      0
    )
  ),
0))</f>
        <v/>
      </c>
      <c r="AB271" s="105"/>
      <c r="AC271" s="119" t="str">
        <f t="array" ref="AC271">IF(OR($B271="",$D271=""),"",
IFERROR(
  INDEX(
    'Tools &amp; Targets_Guideline'!$C$54:$I$269,
    MATCH(
      1,
      ('Tools &amp; Targets_Guideline'!$A$54:$A$269=$B271)*
      ('Tools &amp; Targets_Guideline'!$B$54:$B$269="TB"),
      0
    ),
    MATCH(
      _xludf.IFNA(
        VLOOKUP($D271,{"PH","Provincial Hospital (H2)";"DH","District Hospital (H3)";"RH","Regional / National Hospital (H1)"},2,0),
        $D271
      ),
      'Tools &amp; Targets_Guideline'!$C$53:$I$53,
      0
    )
  ),
0))</f>
        <v/>
      </c>
      <c r="AD271" s="105"/>
      <c r="AE271" s="119" t="str">
        <f t="array" ref="AE271">IF(OR($B271="",$D271=""),"",
IFERROR(
  INDEX(
    'Tools &amp; Targets_Guideline'!$C$54:$I$269,
    MATCH(
      1,
      ('Tools &amp; Targets_Guideline'!$A$54:$A$269=$B271)*
      ('Tools &amp; Targets_Guideline'!$B$54:$B$269="U5 Morbidity"),
      0
    ),
    MATCH(
      _xludf.IFNA(
        VLOOKUP($D271,{"PH","Provincial Hospital (H2)";"DH","District Hospital (H3)";"RH","Regional / National Hospital (H1)"},2,0),
        $D271
      ),
      'Tools &amp; Targets_Guideline'!$C$53:$I$53,
      0
    )
  ),
0))</f>
        <v/>
      </c>
      <c r="AF271" s="105"/>
      <c r="AG271" s="119" t="str">
        <f t="array" ref="AG271">IF(OR($B271="",$D271=""),"",
IFERROR(
  INDEX(
    'Tools &amp; Targets_Guideline'!$C$54:$I$269,
    MATCH(
      1,
      ('Tools &amp; Targets_Guideline'!$A$54:$A$269=$B271)*
      ('Tools &amp; Targets_Guideline'!$B$54:$B$269="C-Section"),
      0
    ),
    MATCH(
      _xludf.IFNA(
        VLOOKUP($D271,{"PH","Provincial Hospital (H2)";"DH","District Hospital (H3)";"RH","Regional / National Hospital (H1)"},2,0),
        $D271
      ),
      'Tools &amp; Targets_Guideline'!$C$53:$I$53,
      0
    )
  ),
0))</f>
        <v/>
      </c>
      <c r="AH271" s="105" t="str">
        <f>IF(A271&lt;&gt;"",COUNTIFS('QA Log'!D:D,A271,'QA Log'!M:M,"QQC",'QA Log'!L:L,"2. Hygiene and Sterilization",'QA Log'!Z:Z,"Approved"),"")</f>
        <v/>
      </c>
      <c r="AI271" s="102"/>
      <c r="AJ271" s="102"/>
      <c r="AK271" s="103" t="str">
        <f t="shared" si="17"/>
        <v/>
      </c>
      <c r="AL271" s="102"/>
      <c r="AM271" s="102"/>
      <c r="AN271" s="102"/>
      <c r="AO271" s="106"/>
      <c r="AP271" s="103"/>
      <c r="AQ271" s="102"/>
      <c r="AR271" s="102"/>
      <c r="AS271" s="102"/>
      <c r="AT271" s="107"/>
      <c r="AU271" s="102" t="str">
        <f t="shared" si="18"/>
        <v/>
      </c>
      <c r="AV271" s="102" t="str">
        <f t="shared" si="19"/>
        <v/>
      </c>
      <c r="AW271" s="102" t="str">
        <f t="shared" si="20"/>
        <v/>
      </c>
      <c r="AX271" s="102" t="str">
        <f t="shared" si="21"/>
        <v/>
      </c>
      <c r="AY271" s="107" t="str">
        <f t="shared" si="22"/>
        <v/>
      </c>
      <c r="AZ271" s="108" t="str">
        <f t="shared" si="23"/>
        <v/>
      </c>
      <c r="BA271" s="108" t="str">
        <f t="shared" si="24"/>
        <v/>
      </c>
      <c r="BB271" s="109" t="str">
        <f t="shared" si="25"/>
        <v/>
      </c>
      <c r="BC271" s="108" t="str">
        <f t="shared" si="26"/>
        <v/>
      </c>
      <c r="BD271" s="108" t="str">
        <f t="shared" si="27"/>
        <v/>
      </c>
      <c r="BE271" s="109" t="str">
        <f t="shared" si="28"/>
        <v/>
      </c>
      <c r="BF271" s="110" t="str">
        <f t="shared" si="29"/>
        <v/>
      </c>
      <c r="BG271" s="111"/>
    </row>
    <row r="272" spans="1:59" ht="12.75">
      <c r="A272" s="101"/>
      <c r="B272" s="102"/>
      <c r="C272" s="102" t="e">
        <f t="array" aca="1" ref="C272" ca="1">_xludf.XLOOKUP(A272,'QA Log'!D:D,'QA Log'!F:F,"")</f>
        <v>#NAME?</v>
      </c>
      <c r="D272" s="102"/>
      <c r="E272" s="102" t="e">
        <f t="array" aca="1" ref="E272" ca="1">_xludf.XLOOKUP(A272,'QA Log'!D:D,'QA Log'!G:G,"")</f>
        <v>#NAME?</v>
      </c>
      <c r="F272" s="103"/>
      <c r="G272" s="104"/>
      <c r="H272" s="104"/>
      <c r="I272" s="103" t="str">
        <f t="shared" si="15"/>
        <v/>
      </c>
      <c r="J272" s="102"/>
      <c r="K272" s="102"/>
      <c r="L272" s="119" t="str">
        <f t="array" ref="L272">IF(OR($B272="",$D272=""),"",
IFERROR(
  INDEX(
    'Tools &amp; Targets_Guideline'!$C$54:$I$269,
    MATCH(
      1,
      ('Tools &amp; Targets_Guideline'!$A$54:$A$269=$B272)*
      ('Tools &amp; Targets_Guideline'!$B$54:$B$269="ANC"),
      0
    ),
    MATCH(
      _xludf.IFNA(
        VLOOKUP($D272,{"PH","Provincial Hospital (H2)";"DH","District Hospital (H3)";"RH","Regional / National Hospital (H1)"},2,0),
        $D272
      ),
      'Tools &amp; Targets_Guideline'!$C$53:$I$53,
      0
    )
  ),
0))</f>
        <v/>
      </c>
      <c r="M272" s="105"/>
      <c r="N272" s="119" t="str">
        <f t="array" ref="N272">IF(OR($B272="",$D272=""),"",
IFERROR(
  INDEX(
    'Tools &amp; Targets_Guideline'!$C$54:$I$269,
    MATCH(
      1,
      ('Tools &amp; Targets_Guideline'!$A$54:$A$269=$B272)*
      ('Tools &amp; Targets_Guideline'!$B$54:$B$269="PNC"),
      0
    ),
    MATCH(
      _xludf.IFNA(
        VLOOKUP($D272,{"PH","Provincial Hospital (H2)";"DH","District Hospital (H3)";"RH","Regional / National Hospital (H1)"},2,0),
        $D272
      ),
      'Tools &amp; Targets_Guideline'!$C$53:$I$53,
      0
    )
  ),
0))</f>
        <v/>
      </c>
      <c r="O272" s="105"/>
      <c r="P272" s="119" t="str">
        <f t="array" ref="P272">IF(OR($B272="",$D272=""),"",
IFERROR(
  INDEX(
    'Tools &amp; Targets_Guideline'!$C$54:$I$269,
    MATCH(
      1,
      ('Tools &amp; Targets_Guideline'!$A$54:$A$269=$B272)*
      ('Tools &amp; Targets_Guideline'!$B$54:$B$269="Delivery"),
      0
    ),
    MATCH(
      _xludf.IFNA(
        VLOOKUP($D272,{"PH","Provincial Hospital (H2)";"DH","District Hospital (H3)";"RH","Regional / National Hospital (H1)"},2,0),
        $D272
      ),
      'Tools &amp; Targets_Guideline'!$C$53:$I$53,
      0
    )
  ),
0))</f>
        <v/>
      </c>
      <c r="Q272" s="105"/>
      <c r="R272" s="119" t="str">
        <f t="array" ref="R272">IF(OR($B272="",$D272=""),"",
IFERROR(
  INDEX(
    'Tools &amp; Targets_Guideline'!$C$54:$I$269,
    MATCH(
      1,
      ('Tools &amp; Targets_Guideline'!$A$54:$A$269=$B272)*
      ('Tools &amp; Targets_Guideline'!$B$54:$B$269="TT"),
      0
    ),
    MATCH(
      _xludf.IFNA(
        VLOOKUP($D272,{"PH","Provincial Hospital (H2)";"DH","District Hospital (H3)";"RH","Regional / National Hospital (H1)"},2,0),
        $D272
      ),
      'Tools &amp; Targets_Guideline'!$C$53:$I$53,
      0
    )
  ),
0))</f>
        <v/>
      </c>
      <c r="S272" s="105"/>
      <c r="T272" s="102"/>
      <c r="U272" s="106"/>
      <c r="V272" s="102" t="str">
        <f t="shared" si="16"/>
        <v/>
      </c>
      <c r="W272" s="102"/>
      <c r="X272" s="102"/>
      <c r="Y272" s="119" t="str">
        <f t="array" ref="Y272">IF(OR($B272="",$D272=""),"",
IFERROR(
  INDEX(
    'Tools &amp; Targets_Guideline'!$C$54:$I$269,
    MATCH(
      1,
      ('Tools &amp; Targets_Guideline'!$A$54:$A$269=$B272)*
      ('Tools &amp; Targets_Guideline'!$B$54:$B$269="GM"),
      0
    ),
    MATCH(
      _xludf.IFNA(
        VLOOKUP($D272,{"PH","Provincial Hospital (H2)";"DH","District Hospital (H3)";"RH","Regional / National Hospital (H1)"},2,0),
        $D272
      ),
      'Tools &amp; Targets_Guideline'!$C$53:$I$53,
      0
    )
  ),
0))</f>
        <v/>
      </c>
      <c r="Z272" s="105"/>
      <c r="AA272" s="119" t="str">
        <f t="array" ref="AA272">IF(OR($B272="",$D272=""),"",
IFERROR(
  INDEX(
    'Tools &amp; Targets_Guideline'!$C$54:$I$269,
    MATCH(
      1,
      ('Tools &amp; Targets_Guideline'!$A$54:$A$269=$B272)*
      ('Tools &amp; Targets_Guideline'!$B$54:$B$269="Penta"),
      0
    ),
    MATCH(
      _xludf.IFNA(
        VLOOKUP($D272,{"PH","Provincial Hospital (H2)";"DH","District Hospital (H3)";"RH","Regional / National Hospital (H1)"},2,0),
        $D272
      ),
      'Tools &amp; Targets_Guideline'!$C$53:$I$53,
      0
    )
  ),
0))</f>
        <v/>
      </c>
      <c r="AB272" s="105"/>
      <c r="AC272" s="119" t="str">
        <f t="array" ref="AC272">IF(OR($B272="",$D272=""),"",
IFERROR(
  INDEX(
    'Tools &amp; Targets_Guideline'!$C$54:$I$269,
    MATCH(
      1,
      ('Tools &amp; Targets_Guideline'!$A$54:$A$269=$B272)*
      ('Tools &amp; Targets_Guideline'!$B$54:$B$269="TB"),
      0
    ),
    MATCH(
      _xludf.IFNA(
        VLOOKUP($D272,{"PH","Provincial Hospital (H2)";"DH","District Hospital (H3)";"RH","Regional / National Hospital (H1)"},2,0),
        $D272
      ),
      'Tools &amp; Targets_Guideline'!$C$53:$I$53,
      0
    )
  ),
0))</f>
        <v/>
      </c>
      <c r="AD272" s="105"/>
      <c r="AE272" s="119" t="str">
        <f t="array" ref="AE272">IF(OR($B272="",$D272=""),"",
IFERROR(
  INDEX(
    'Tools &amp; Targets_Guideline'!$C$54:$I$269,
    MATCH(
      1,
      ('Tools &amp; Targets_Guideline'!$A$54:$A$269=$B272)*
      ('Tools &amp; Targets_Guideline'!$B$54:$B$269="U5 Morbidity"),
      0
    ),
    MATCH(
      _xludf.IFNA(
        VLOOKUP($D272,{"PH","Provincial Hospital (H2)";"DH","District Hospital (H3)";"RH","Regional / National Hospital (H1)"},2,0),
        $D272
      ),
      'Tools &amp; Targets_Guideline'!$C$53:$I$53,
      0
    )
  ),
0))</f>
        <v/>
      </c>
      <c r="AF272" s="105"/>
      <c r="AG272" s="119" t="str">
        <f t="array" ref="AG272">IF(OR($B272="",$D272=""),"",
IFERROR(
  INDEX(
    'Tools &amp; Targets_Guideline'!$C$54:$I$269,
    MATCH(
      1,
      ('Tools &amp; Targets_Guideline'!$A$54:$A$269=$B272)*
      ('Tools &amp; Targets_Guideline'!$B$54:$B$269="C-Section"),
      0
    ),
    MATCH(
      _xludf.IFNA(
        VLOOKUP($D272,{"PH","Provincial Hospital (H2)";"DH","District Hospital (H3)";"RH","Regional / National Hospital (H1)"},2,0),
        $D272
      ),
      'Tools &amp; Targets_Guideline'!$C$53:$I$53,
      0
    )
  ),
0))</f>
        <v/>
      </c>
      <c r="AH272" s="105" t="str">
        <f>IF(A272&lt;&gt;"",COUNTIFS('QA Log'!D:D,A272,'QA Log'!M:M,"QQC",'QA Log'!L:L,"2. Hygiene and Sterilization",'QA Log'!Z:Z,"Approved"),"")</f>
        <v/>
      </c>
      <c r="AI272" s="102"/>
      <c r="AJ272" s="102"/>
      <c r="AK272" s="103" t="str">
        <f t="shared" si="17"/>
        <v/>
      </c>
      <c r="AL272" s="102"/>
      <c r="AM272" s="102"/>
      <c r="AN272" s="102"/>
      <c r="AO272" s="106"/>
      <c r="AP272" s="103"/>
      <c r="AQ272" s="102"/>
      <c r="AR272" s="102"/>
      <c r="AS272" s="102"/>
      <c r="AT272" s="107"/>
      <c r="AU272" s="102" t="str">
        <f t="shared" si="18"/>
        <v/>
      </c>
      <c r="AV272" s="102" t="str">
        <f t="shared" si="19"/>
        <v/>
      </c>
      <c r="AW272" s="102" t="str">
        <f t="shared" si="20"/>
        <v/>
      </c>
      <c r="AX272" s="102" t="str">
        <f t="shared" si="21"/>
        <v/>
      </c>
      <c r="AY272" s="107" t="str">
        <f t="shared" si="22"/>
        <v/>
      </c>
      <c r="AZ272" s="108" t="str">
        <f t="shared" si="23"/>
        <v/>
      </c>
      <c r="BA272" s="108" t="str">
        <f t="shared" si="24"/>
        <v/>
      </c>
      <c r="BB272" s="109" t="str">
        <f t="shared" si="25"/>
        <v/>
      </c>
      <c r="BC272" s="108" t="str">
        <f t="shared" si="26"/>
        <v/>
      </c>
      <c r="BD272" s="108" t="str">
        <f t="shared" si="27"/>
        <v/>
      </c>
      <c r="BE272" s="109" t="str">
        <f t="shared" si="28"/>
        <v/>
      </c>
      <c r="BF272" s="110" t="str">
        <f t="shared" si="29"/>
        <v/>
      </c>
      <c r="BG272" s="111"/>
    </row>
    <row r="273" spans="1:59" ht="12.75">
      <c r="A273" s="101"/>
      <c r="B273" s="102"/>
      <c r="C273" s="102" t="e">
        <f t="array" aca="1" ref="C273" ca="1">_xludf.XLOOKUP(A273,'QA Log'!D:D,'QA Log'!F:F,"")</f>
        <v>#NAME?</v>
      </c>
      <c r="D273" s="102"/>
      <c r="E273" s="102" t="e">
        <f t="array" aca="1" ref="E273" ca="1">_xludf.XLOOKUP(A273,'QA Log'!D:D,'QA Log'!G:G,"")</f>
        <v>#NAME?</v>
      </c>
      <c r="F273" s="103"/>
      <c r="G273" s="104"/>
      <c r="H273" s="104"/>
      <c r="I273" s="103" t="str">
        <f t="shared" si="15"/>
        <v/>
      </c>
      <c r="J273" s="102"/>
      <c r="K273" s="102"/>
      <c r="L273" s="119" t="str">
        <f t="array" ref="L273">IF(OR($B273="",$D273=""),"",
IFERROR(
  INDEX(
    'Tools &amp; Targets_Guideline'!$C$54:$I$269,
    MATCH(
      1,
      ('Tools &amp; Targets_Guideline'!$A$54:$A$269=$B273)*
      ('Tools &amp; Targets_Guideline'!$B$54:$B$269="ANC"),
      0
    ),
    MATCH(
      _xludf.IFNA(
        VLOOKUP($D273,{"PH","Provincial Hospital (H2)";"DH","District Hospital (H3)";"RH","Regional / National Hospital (H1)"},2,0),
        $D273
      ),
      'Tools &amp; Targets_Guideline'!$C$53:$I$53,
      0
    )
  ),
0))</f>
        <v/>
      </c>
      <c r="M273" s="105"/>
      <c r="N273" s="119" t="str">
        <f t="array" ref="N273">IF(OR($B273="",$D273=""),"",
IFERROR(
  INDEX(
    'Tools &amp; Targets_Guideline'!$C$54:$I$269,
    MATCH(
      1,
      ('Tools &amp; Targets_Guideline'!$A$54:$A$269=$B273)*
      ('Tools &amp; Targets_Guideline'!$B$54:$B$269="PNC"),
      0
    ),
    MATCH(
      _xludf.IFNA(
        VLOOKUP($D273,{"PH","Provincial Hospital (H2)";"DH","District Hospital (H3)";"RH","Regional / National Hospital (H1)"},2,0),
        $D273
      ),
      'Tools &amp; Targets_Guideline'!$C$53:$I$53,
      0
    )
  ),
0))</f>
        <v/>
      </c>
      <c r="O273" s="105"/>
      <c r="P273" s="119" t="str">
        <f t="array" ref="P273">IF(OR($B273="",$D273=""),"",
IFERROR(
  INDEX(
    'Tools &amp; Targets_Guideline'!$C$54:$I$269,
    MATCH(
      1,
      ('Tools &amp; Targets_Guideline'!$A$54:$A$269=$B273)*
      ('Tools &amp; Targets_Guideline'!$B$54:$B$269="Delivery"),
      0
    ),
    MATCH(
      _xludf.IFNA(
        VLOOKUP($D273,{"PH","Provincial Hospital (H2)";"DH","District Hospital (H3)";"RH","Regional / National Hospital (H1)"},2,0),
        $D273
      ),
      'Tools &amp; Targets_Guideline'!$C$53:$I$53,
      0
    )
  ),
0))</f>
        <v/>
      </c>
      <c r="Q273" s="105"/>
      <c r="R273" s="119" t="str">
        <f t="array" ref="R273">IF(OR($B273="",$D273=""),"",
IFERROR(
  INDEX(
    'Tools &amp; Targets_Guideline'!$C$54:$I$269,
    MATCH(
      1,
      ('Tools &amp; Targets_Guideline'!$A$54:$A$269=$B273)*
      ('Tools &amp; Targets_Guideline'!$B$54:$B$269="TT"),
      0
    ),
    MATCH(
      _xludf.IFNA(
        VLOOKUP($D273,{"PH","Provincial Hospital (H2)";"DH","District Hospital (H3)";"RH","Regional / National Hospital (H1)"},2,0),
        $D273
      ),
      'Tools &amp; Targets_Guideline'!$C$53:$I$53,
      0
    )
  ),
0))</f>
        <v/>
      </c>
      <c r="S273" s="105"/>
      <c r="T273" s="102"/>
      <c r="U273" s="106"/>
      <c r="V273" s="102" t="str">
        <f t="shared" si="16"/>
        <v/>
      </c>
      <c r="W273" s="102"/>
      <c r="X273" s="102"/>
      <c r="Y273" s="119" t="str">
        <f t="array" ref="Y273">IF(OR($B273="",$D273=""),"",
IFERROR(
  INDEX(
    'Tools &amp; Targets_Guideline'!$C$54:$I$269,
    MATCH(
      1,
      ('Tools &amp; Targets_Guideline'!$A$54:$A$269=$B273)*
      ('Tools &amp; Targets_Guideline'!$B$54:$B$269="GM"),
      0
    ),
    MATCH(
      _xludf.IFNA(
        VLOOKUP($D273,{"PH","Provincial Hospital (H2)";"DH","District Hospital (H3)";"RH","Regional / National Hospital (H1)"},2,0),
        $D273
      ),
      'Tools &amp; Targets_Guideline'!$C$53:$I$53,
      0
    )
  ),
0))</f>
        <v/>
      </c>
      <c r="Z273" s="105"/>
      <c r="AA273" s="119" t="str">
        <f t="array" ref="AA273">IF(OR($B273="",$D273=""),"",
IFERROR(
  INDEX(
    'Tools &amp; Targets_Guideline'!$C$54:$I$269,
    MATCH(
      1,
      ('Tools &amp; Targets_Guideline'!$A$54:$A$269=$B273)*
      ('Tools &amp; Targets_Guideline'!$B$54:$B$269="Penta"),
      0
    ),
    MATCH(
      _xludf.IFNA(
        VLOOKUP($D273,{"PH","Provincial Hospital (H2)";"DH","District Hospital (H3)";"RH","Regional / National Hospital (H1)"},2,0),
        $D273
      ),
      'Tools &amp; Targets_Guideline'!$C$53:$I$53,
      0
    )
  ),
0))</f>
        <v/>
      </c>
      <c r="AB273" s="105"/>
      <c r="AC273" s="119" t="str">
        <f t="array" ref="AC273">IF(OR($B273="",$D273=""),"",
IFERROR(
  INDEX(
    'Tools &amp; Targets_Guideline'!$C$54:$I$269,
    MATCH(
      1,
      ('Tools &amp; Targets_Guideline'!$A$54:$A$269=$B273)*
      ('Tools &amp; Targets_Guideline'!$B$54:$B$269="TB"),
      0
    ),
    MATCH(
      _xludf.IFNA(
        VLOOKUP($D273,{"PH","Provincial Hospital (H2)";"DH","District Hospital (H3)";"RH","Regional / National Hospital (H1)"},2,0),
        $D273
      ),
      'Tools &amp; Targets_Guideline'!$C$53:$I$53,
      0
    )
  ),
0))</f>
        <v/>
      </c>
      <c r="AD273" s="105"/>
      <c r="AE273" s="119" t="str">
        <f t="array" ref="AE273">IF(OR($B273="",$D273=""),"",
IFERROR(
  INDEX(
    'Tools &amp; Targets_Guideline'!$C$54:$I$269,
    MATCH(
      1,
      ('Tools &amp; Targets_Guideline'!$A$54:$A$269=$B273)*
      ('Tools &amp; Targets_Guideline'!$B$54:$B$269="U5 Morbidity"),
      0
    ),
    MATCH(
      _xludf.IFNA(
        VLOOKUP($D273,{"PH","Provincial Hospital (H2)";"DH","District Hospital (H3)";"RH","Regional / National Hospital (H1)"},2,0),
        $D273
      ),
      'Tools &amp; Targets_Guideline'!$C$53:$I$53,
      0
    )
  ),
0))</f>
        <v/>
      </c>
      <c r="AF273" s="105"/>
      <c r="AG273" s="119" t="str">
        <f t="array" ref="AG273">IF(OR($B273="",$D273=""),"",
IFERROR(
  INDEX(
    'Tools &amp; Targets_Guideline'!$C$54:$I$269,
    MATCH(
      1,
      ('Tools &amp; Targets_Guideline'!$A$54:$A$269=$B273)*
      ('Tools &amp; Targets_Guideline'!$B$54:$B$269="C-Section"),
      0
    ),
    MATCH(
      _xludf.IFNA(
        VLOOKUP($D273,{"PH","Provincial Hospital (H2)";"DH","District Hospital (H3)";"RH","Regional / National Hospital (H1)"},2,0),
        $D273
      ),
      'Tools &amp; Targets_Guideline'!$C$53:$I$53,
      0
    )
  ),
0))</f>
        <v/>
      </c>
      <c r="AH273" s="105" t="str">
        <f>IF(A273&lt;&gt;"",COUNTIFS('QA Log'!D:D,A273,'QA Log'!M:M,"QQC",'QA Log'!L:L,"2. Hygiene and Sterilization",'QA Log'!Z:Z,"Approved"),"")</f>
        <v/>
      </c>
      <c r="AI273" s="102"/>
      <c r="AJ273" s="102"/>
      <c r="AK273" s="103" t="str">
        <f t="shared" si="17"/>
        <v/>
      </c>
      <c r="AL273" s="102"/>
      <c r="AM273" s="102"/>
      <c r="AN273" s="102"/>
      <c r="AO273" s="106"/>
      <c r="AP273" s="103"/>
      <c r="AQ273" s="102"/>
      <c r="AR273" s="102"/>
      <c r="AS273" s="102"/>
      <c r="AT273" s="107"/>
      <c r="AU273" s="102" t="str">
        <f t="shared" si="18"/>
        <v/>
      </c>
      <c r="AV273" s="102" t="str">
        <f t="shared" si="19"/>
        <v/>
      </c>
      <c r="AW273" s="102" t="str">
        <f t="shared" si="20"/>
        <v/>
      </c>
      <c r="AX273" s="102" t="str">
        <f t="shared" si="21"/>
        <v/>
      </c>
      <c r="AY273" s="107" t="str">
        <f t="shared" si="22"/>
        <v/>
      </c>
      <c r="AZ273" s="108" t="str">
        <f t="shared" si="23"/>
        <v/>
      </c>
      <c r="BA273" s="108" t="str">
        <f t="shared" si="24"/>
        <v/>
      </c>
      <c r="BB273" s="109" t="str">
        <f t="shared" si="25"/>
        <v/>
      </c>
      <c r="BC273" s="108" t="str">
        <f t="shared" si="26"/>
        <v/>
      </c>
      <c r="BD273" s="108" t="str">
        <f t="shared" si="27"/>
        <v/>
      </c>
      <c r="BE273" s="109" t="str">
        <f t="shared" si="28"/>
        <v/>
      </c>
      <c r="BF273" s="110" t="str">
        <f t="shared" si="29"/>
        <v/>
      </c>
      <c r="BG273" s="111"/>
    </row>
    <row r="274" spans="1:59" ht="12.75">
      <c r="A274" s="101"/>
      <c r="B274" s="102"/>
      <c r="C274" s="102" t="e">
        <f t="array" aca="1" ref="C274" ca="1">_xludf.XLOOKUP(A274,'QA Log'!D:D,'QA Log'!F:F,"")</f>
        <v>#NAME?</v>
      </c>
      <c r="D274" s="102"/>
      <c r="E274" s="102" t="e">
        <f t="array" aca="1" ref="E274" ca="1">_xludf.XLOOKUP(A274,'QA Log'!D:D,'QA Log'!G:G,"")</f>
        <v>#NAME?</v>
      </c>
      <c r="F274" s="103"/>
      <c r="G274" s="104"/>
      <c r="H274" s="104"/>
      <c r="I274" s="103" t="str">
        <f t="shared" si="15"/>
        <v/>
      </c>
      <c r="J274" s="102"/>
      <c r="K274" s="102"/>
      <c r="L274" s="119" t="str">
        <f t="array" ref="L274">IF(OR($B274="",$D274=""),"",
IFERROR(
  INDEX(
    'Tools &amp; Targets_Guideline'!$C$54:$I$269,
    MATCH(
      1,
      ('Tools &amp; Targets_Guideline'!$A$54:$A$269=$B274)*
      ('Tools &amp; Targets_Guideline'!$B$54:$B$269="ANC"),
      0
    ),
    MATCH(
      _xludf.IFNA(
        VLOOKUP($D274,{"PH","Provincial Hospital (H2)";"DH","District Hospital (H3)";"RH","Regional / National Hospital (H1)"},2,0),
        $D274
      ),
      'Tools &amp; Targets_Guideline'!$C$53:$I$53,
      0
    )
  ),
0))</f>
        <v/>
      </c>
      <c r="M274" s="105"/>
      <c r="N274" s="119" t="str">
        <f t="array" ref="N274">IF(OR($B274="",$D274=""),"",
IFERROR(
  INDEX(
    'Tools &amp; Targets_Guideline'!$C$54:$I$269,
    MATCH(
      1,
      ('Tools &amp; Targets_Guideline'!$A$54:$A$269=$B274)*
      ('Tools &amp; Targets_Guideline'!$B$54:$B$269="PNC"),
      0
    ),
    MATCH(
      _xludf.IFNA(
        VLOOKUP($D274,{"PH","Provincial Hospital (H2)";"DH","District Hospital (H3)";"RH","Regional / National Hospital (H1)"},2,0),
        $D274
      ),
      'Tools &amp; Targets_Guideline'!$C$53:$I$53,
      0
    )
  ),
0))</f>
        <v/>
      </c>
      <c r="O274" s="105"/>
      <c r="P274" s="119" t="str">
        <f t="array" ref="P274">IF(OR($B274="",$D274=""),"",
IFERROR(
  INDEX(
    'Tools &amp; Targets_Guideline'!$C$54:$I$269,
    MATCH(
      1,
      ('Tools &amp; Targets_Guideline'!$A$54:$A$269=$B274)*
      ('Tools &amp; Targets_Guideline'!$B$54:$B$269="Delivery"),
      0
    ),
    MATCH(
      _xludf.IFNA(
        VLOOKUP($D274,{"PH","Provincial Hospital (H2)";"DH","District Hospital (H3)";"RH","Regional / National Hospital (H1)"},2,0),
        $D274
      ),
      'Tools &amp; Targets_Guideline'!$C$53:$I$53,
      0
    )
  ),
0))</f>
        <v/>
      </c>
      <c r="Q274" s="105"/>
      <c r="R274" s="119" t="str">
        <f t="array" ref="R274">IF(OR($B274="",$D274=""),"",
IFERROR(
  INDEX(
    'Tools &amp; Targets_Guideline'!$C$54:$I$269,
    MATCH(
      1,
      ('Tools &amp; Targets_Guideline'!$A$54:$A$269=$B274)*
      ('Tools &amp; Targets_Guideline'!$B$54:$B$269="TT"),
      0
    ),
    MATCH(
      _xludf.IFNA(
        VLOOKUP($D274,{"PH","Provincial Hospital (H2)";"DH","District Hospital (H3)";"RH","Regional / National Hospital (H1)"},2,0),
        $D274
      ),
      'Tools &amp; Targets_Guideline'!$C$53:$I$53,
      0
    )
  ),
0))</f>
        <v/>
      </c>
      <c r="S274" s="105"/>
      <c r="T274" s="102"/>
      <c r="U274" s="106"/>
      <c r="V274" s="102" t="str">
        <f t="shared" si="16"/>
        <v/>
      </c>
      <c r="W274" s="102"/>
      <c r="X274" s="102"/>
      <c r="Y274" s="119" t="str">
        <f t="array" ref="Y274">IF(OR($B274="",$D274=""),"",
IFERROR(
  INDEX(
    'Tools &amp; Targets_Guideline'!$C$54:$I$269,
    MATCH(
      1,
      ('Tools &amp; Targets_Guideline'!$A$54:$A$269=$B274)*
      ('Tools &amp; Targets_Guideline'!$B$54:$B$269="GM"),
      0
    ),
    MATCH(
      _xludf.IFNA(
        VLOOKUP($D274,{"PH","Provincial Hospital (H2)";"DH","District Hospital (H3)";"RH","Regional / National Hospital (H1)"},2,0),
        $D274
      ),
      'Tools &amp; Targets_Guideline'!$C$53:$I$53,
      0
    )
  ),
0))</f>
        <v/>
      </c>
      <c r="Z274" s="105"/>
      <c r="AA274" s="119" t="str">
        <f t="array" ref="AA274">IF(OR($B274="",$D274=""),"",
IFERROR(
  INDEX(
    'Tools &amp; Targets_Guideline'!$C$54:$I$269,
    MATCH(
      1,
      ('Tools &amp; Targets_Guideline'!$A$54:$A$269=$B274)*
      ('Tools &amp; Targets_Guideline'!$B$54:$B$269="Penta"),
      0
    ),
    MATCH(
      _xludf.IFNA(
        VLOOKUP($D274,{"PH","Provincial Hospital (H2)";"DH","District Hospital (H3)";"RH","Regional / National Hospital (H1)"},2,0),
        $D274
      ),
      'Tools &amp; Targets_Guideline'!$C$53:$I$53,
      0
    )
  ),
0))</f>
        <v/>
      </c>
      <c r="AB274" s="105"/>
      <c r="AC274" s="119" t="str">
        <f t="array" ref="AC274">IF(OR($B274="",$D274=""),"",
IFERROR(
  INDEX(
    'Tools &amp; Targets_Guideline'!$C$54:$I$269,
    MATCH(
      1,
      ('Tools &amp; Targets_Guideline'!$A$54:$A$269=$B274)*
      ('Tools &amp; Targets_Guideline'!$B$54:$B$269="TB"),
      0
    ),
    MATCH(
      _xludf.IFNA(
        VLOOKUP($D274,{"PH","Provincial Hospital (H2)";"DH","District Hospital (H3)";"RH","Regional / National Hospital (H1)"},2,0),
        $D274
      ),
      'Tools &amp; Targets_Guideline'!$C$53:$I$53,
      0
    )
  ),
0))</f>
        <v/>
      </c>
      <c r="AD274" s="105"/>
      <c r="AE274" s="119" t="str">
        <f t="array" ref="AE274">IF(OR($B274="",$D274=""),"",
IFERROR(
  INDEX(
    'Tools &amp; Targets_Guideline'!$C$54:$I$269,
    MATCH(
      1,
      ('Tools &amp; Targets_Guideline'!$A$54:$A$269=$B274)*
      ('Tools &amp; Targets_Guideline'!$B$54:$B$269="U5 Morbidity"),
      0
    ),
    MATCH(
      _xludf.IFNA(
        VLOOKUP($D274,{"PH","Provincial Hospital (H2)";"DH","District Hospital (H3)";"RH","Regional / National Hospital (H1)"},2,0),
        $D274
      ),
      'Tools &amp; Targets_Guideline'!$C$53:$I$53,
      0
    )
  ),
0))</f>
        <v/>
      </c>
      <c r="AF274" s="105"/>
      <c r="AG274" s="119" t="str">
        <f t="array" ref="AG274">IF(OR($B274="",$D274=""),"",
IFERROR(
  INDEX(
    'Tools &amp; Targets_Guideline'!$C$54:$I$269,
    MATCH(
      1,
      ('Tools &amp; Targets_Guideline'!$A$54:$A$269=$B274)*
      ('Tools &amp; Targets_Guideline'!$B$54:$B$269="C-Section"),
      0
    ),
    MATCH(
      _xludf.IFNA(
        VLOOKUP($D274,{"PH","Provincial Hospital (H2)";"DH","District Hospital (H3)";"RH","Regional / National Hospital (H1)"},2,0),
        $D274
      ),
      'Tools &amp; Targets_Guideline'!$C$53:$I$53,
      0
    )
  ),
0))</f>
        <v/>
      </c>
      <c r="AH274" s="105" t="str">
        <f>IF(A274&lt;&gt;"",COUNTIFS('QA Log'!D:D,A274,'QA Log'!M:M,"QQC",'QA Log'!L:L,"2. Hygiene and Sterilization",'QA Log'!Z:Z,"Approved"),"")</f>
        <v/>
      </c>
      <c r="AI274" s="102"/>
      <c r="AJ274" s="102"/>
      <c r="AK274" s="103" t="str">
        <f t="shared" si="17"/>
        <v/>
      </c>
      <c r="AL274" s="102"/>
      <c r="AM274" s="102"/>
      <c r="AN274" s="102"/>
      <c r="AO274" s="106"/>
      <c r="AP274" s="103"/>
      <c r="AQ274" s="102"/>
      <c r="AR274" s="102"/>
      <c r="AS274" s="102"/>
      <c r="AT274" s="107"/>
      <c r="AU274" s="102" t="str">
        <f t="shared" si="18"/>
        <v/>
      </c>
      <c r="AV274" s="102" t="str">
        <f t="shared" si="19"/>
        <v/>
      </c>
      <c r="AW274" s="102" t="str">
        <f t="shared" si="20"/>
        <v/>
      </c>
      <c r="AX274" s="102" t="str">
        <f t="shared" si="21"/>
        <v/>
      </c>
      <c r="AY274" s="107" t="str">
        <f t="shared" si="22"/>
        <v/>
      </c>
      <c r="AZ274" s="108" t="str">
        <f t="shared" si="23"/>
        <v/>
      </c>
      <c r="BA274" s="108" t="str">
        <f t="shared" si="24"/>
        <v/>
      </c>
      <c r="BB274" s="109" t="str">
        <f t="shared" si="25"/>
        <v/>
      </c>
      <c r="BC274" s="108" t="str">
        <f t="shared" si="26"/>
        <v/>
      </c>
      <c r="BD274" s="108" t="str">
        <f t="shared" si="27"/>
        <v/>
      </c>
      <c r="BE274" s="109" t="str">
        <f t="shared" si="28"/>
        <v/>
      </c>
      <c r="BF274" s="110" t="str">
        <f t="shared" si="29"/>
        <v/>
      </c>
      <c r="BG274" s="111"/>
    </row>
    <row r="275" spans="1:59" ht="12.75">
      <c r="A275" s="101"/>
      <c r="B275" s="102"/>
      <c r="C275" s="102" t="e">
        <f t="array" aca="1" ref="C275" ca="1">_xludf.XLOOKUP(A275,'QA Log'!D:D,'QA Log'!F:F,"")</f>
        <v>#NAME?</v>
      </c>
      <c r="D275" s="102"/>
      <c r="E275" s="102" t="e">
        <f t="array" aca="1" ref="E275" ca="1">_xludf.XLOOKUP(A275,'QA Log'!D:D,'QA Log'!G:G,"")</f>
        <v>#NAME?</v>
      </c>
      <c r="F275" s="103"/>
      <c r="G275" s="104"/>
      <c r="H275" s="104"/>
      <c r="I275" s="103" t="str">
        <f t="shared" si="15"/>
        <v/>
      </c>
      <c r="J275" s="102"/>
      <c r="K275" s="102"/>
      <c r="L275" s="119" t="str">
        <f t="array" ref="L275">IF(OR($B275="",$D275=""),"",
IFERROR(
  INDEX(
    'Tools &amp; Targets_Guideline'!$C$54:$I$269,
    MATCH(
      1,
      ('Tools &amp; Targets_Guideline'!$A$54:$A$269=$B275)*
      ('Tools &amp; Targets_Guideline'!$B$54:$B$269="ANC"),
      0
    ),
    MATCH(
      _xludf.IFNA(
        VLOOKUP($D275,{"PH","Provincial Hospital (H2)";"DH","District Hospital (H3)";"RH","Regional / National Hospital (H1)"},2,0),
        $D275
      ),
      'Tools &amp; Targets_Guideline'!$C$53:$I$53,
      0
    )
  ),
0))</f>
        <v/>
      </c>
      <c r="M275" s="105"/>
      <c r="N275" s="119" t="str">
        <f t="array" ref="N275">IF(OR($B275="",$D275=""),"",
IFERROR(
  INDEX(
    'Tools &amp; Targets_Guideline'!$C$54:$I$269,
    MATCH(
      1,
      ('Tools &amp; Targets_Guideline'!$A$54:$A$269=$B275)*
      ('Tools &amp; Targets_Guideline'!$B$54:$B$269="PNC"),
      0
    ),
    MATCH(
      _xludf.IFNA(
        VLOOKUP($D275,{"PH","Provincial Hospital (H2)";"DH","District Hospital (H3)";"RH","Regional / National Hospital (H1)"},2,0),
        $D275
      ),
      'Tools &amp; Targets_Guideline'!$C$53:$I$53,
      0
    )
  ),
0))</f>
        <v/>
      </c>
      <c r="O275" s="105"/>
      <c r="P275" s="119" t="str">
        <f t="array" ref="P275">IF(OR($B275="",$D275=""),"",
IFERROR(
  INDEX(
    'Tools &amp; Targets_Guideline'!$C$54:$I$269,
    MATCH(
      1,
      ('Tools &amp; Targets_Guideline'!$A$54:$A$269=$B275)*
      ('Tools &amp; Targets_Guideline'!$B$54:$B$269="Delivery"),
      0
    ),
    MATCH(
      _xludf.IFNA(
        VLOOKUP($D275,{"PH","Provincial Hospital (H2)";"DH","District Hospital (H3)";"RH","Regional / National Hospital (H1)"},2,0),
        $D275
      ),
      'Tools &amp; Targets_Guideline'!$C$53:$I$53,
      0
    )
  ),
0))</f>
        <v/>
      </c>
      <c r="Q275" s="105"/>
      <c r="R275" s="119" t="str">
        <f t="array" ref="R275">IF(OR($B275="",$D275=""),"",
IFERROR(
  INDEX(
    'Tools &amp; Targets_Guideline'!$C$54:$I$269,
    MATCH(
      1,
      ('Tools &amp; Targets_Guideline'!$A$54:$A$269=$B275)*
      ('Tools &amp; Targets_Guideline'!$B$54:$B$269="TT"),
      0
    ),
    MATCH(
      _xludf.IFNA(
        VLOOKUP($D275,{"PH","Provincial Hospital (H2)";"DH","District Hospital (H3)";"RH","Regional / National Hospital (H1)"},2,0),
        $D275
      ),
      'Tools &amp; Targets_Guideline'!$C$53:$I$53,
      0
    )
  ),
0))</f>
        <v/>
      </c>
      <c r="S275" s="105"/>
      <c r="T275" s="102"/>
      <c r="U275" s="106"/>
      <c r="V275" s="102" t="str">
        <f t="shared" si="16"/>
        <v/>
      </c>
      <c r="W275" s="102"/>
      <c r="X275" s="102"/>
      <c r="Y275" s="119" t="str">
        <f t="array" ref="Y275">IF(OR($B275="",$D275=""),"",
IFERROR(
  INDEX(
    'Tools &amp; Targets_Guideline'!$C$54:$I$269,
    MATCH(
      1,
      ('Tools &amp; Targets_Guideline'!$A$54:$A$269=$B275)*
      ('Tools &amp; Targets_Guideline'!$B$54:$B$269="GM"),
      0
    ),
    MATCH(
      _xludf.IFNA(
        VLOOKUP($D275,{"PH","Provincial Hospital (H2)";"DH","District Hospital (H3)";"RH","Regional / National Hospital (H1)"},2,0),
        $D275
      ),
      'Tools &amp; Targets_Guideline'!$C$53:$I$53,
      0
    )
  ),
0))</f>
        <v/>
      </c>
      <c r="Z275" s="105"/>
      <c r="AA275" s="119" t="str">
        <f t="array" ref="AA275">IF(OR($B275="",$D275=""),"",
IFERROR(
  INDEX(
    'Tools &amp; Targets_Guideline'!$C$54:$I$269,
    MATCH(
      1,
      ('Tools &amp; Targets_Guideline'!$A$54:$A$269=$B275)*
      ('Tools &amp; Targets_Guideline'!$B$54:$B$269="Penta"),
      0
    ),
    MATCH(
      _xludf.IFNA(
        VLOOKUP($D275,{"PH","Provincial Hospital (H2)";"DH","District Hospital (H3)";"RH","Regional / National Hospital (H1)"},2,0),
        $D275
      ),
      'Tools &amp; Targets_Guideline'!$C$53:$I$53,
      0
    )
  ),
0))</f>
        <v/>
      </c>
      <c r="AB275" s="105"/>
      <c r="AC275" s="119" t="str">
        <f t="array" ref="AC275">IF(OR($B275="",$D275=""),"",
IFERROR(
  INDEX(
    'Tools &amp; Targets_Guideline'!$C$54:$I$269,
    MATCH(
      1,
      ('Tools &amp; Targets_Guideline'!$A$54:$A$269=$B275)*
      ('Tools &amp; Targets_Guideline'!$B$54:$B$269="TB"),
      0
    ),
    MATCH(
      _xludf.IFNA(
        VLOOKUP($D275,{"PH","Provincial Hospital (H2)";"DH","District Hospital (H3)";"RH","Regional / National Hospital (H1)"},2,0),
        $D275
      ),
      'Tools &amp; Targets_Guideline'!$C$53:$I$53,
      0
    )
  ),
0))</f>
        <v/>
      </c>
      <c r="AD275" s="105"/>
      <c r="AE275" s="119" t="str">
        <f t="array" ref="AE275">IF(OR($B275="",$D275=""),"",
IFERROR(
  INDEX(
    'Tools &amp; Targets_Guideline'!$C$54:$I$269,
    MATCH(
      1,
      ('Tools &amp; Targets_Guideline'!$A$54:$A$269=$B275)*
      ('Tools &amp; Targets_Guideline'!$B$54:$B$269="U5 Morbidity"),
      0
    ),
    MATCH(
      _xludf.IFNA(
        VLOOKUP($D275,{"PH","Provincial Hospital (H2)";"DH","District Hospital (H3)";"RH","Regional / National Hospital (H1)"},2,0),
        $D275
      ),
      'Tools &amp; Targets_Guideline'!$C$53:$I$53,
      0
    )
  ),
0))</f>
        <v/>
      </c>
      <c r="AF275" s="105"/>
      <c r="AG275" s="119" t="str">
        <f t="array" ref="AG275">IF(OR($B275="",$D275=""),"",
IFERROR(
  INDEX(
    'Tools &amp; Targets_Guideline'!$C$54:$I$269,
    MATCH(
      1,
      ('Tools &amp; Targets_Guideline'!$A$54:$A$269=$B275)*
      ('Tools &amp; Targets_Guideline'!$B$54:$B$269="C-Section"),
      0
    ),
    MATCH(
      _xludf.IFNA(
        VLOOKUP($D275,{"PH","Provincial Hospital (H2)";"DH","District Hospital (H3)";"RH","Regional / National Hospital (H1)"},2,0),
        $D275
      ),
      'Tools &amp; Targets_Guideline'!$C$53:$I$53,
      0
    )
  ),
0))</f>
        <v/>
      </c>
      <c r="AH275" s="105" t="str">
        <f>IF(A275&lt;&gt;"",COUNTIFS('QA Log'!D:D,A275,'QA Log'!M:M,"QQC",'QA Log'!L:L,"2. Hygiene and Sterilization",'QA Log'!Z:Z,"Approved"),"")</f>
        <v/>
      </c>
      <c r="AI275" s="102"/>
      <c r="AJ275" s="102"/>
      <c r="AK275" s="103" t="str">
        <f t="shared" si="17"/>
        <v/>
      </c>
      <c r="AL275" s="102"/>
      <c r="AM275" s="102"/>
      <c r="AN275" s="102"/>
      <c r="AO275" s="106"/>
      <c r="AP275" s="103"/>
      <c r="AQ275" s="102"/>
      <c r="AR275" s="102"/>
      <c r="AS275" s="102"/>
      <c r="AT275" s="107"/>
      <c r="AU275" s="102" t="str">
        <f t="shared" si="18"/>
        <v/>
      </c>
      <c r="AV275" s="102" t="str">
        <f t="shared" si="19"/>
        <v/>
      </c>
      <c r="AW275" s="102" t="str">
        <f t="shared" si="20"/>
        <v/>
      </c>
      <c r="AX275" s="102" t="str">
        <f t="shared" si="21"/>
        <v/>
      </c>
      <c r="AY275" s="107" t="str">
        <f t="shared" si="22"/>
        <v/>
      </c>
      <c r="AZ275" s="108" t="str">
        <f t="shared" si="23"/>
        <v/>
      </c>
      <c r="BA275" s="108" t="str">
        <f t="shared" si="24"/>
        <v/>
      </c>
      <c r="BB275" s="109" t="str">
        <f t="shared" si="25"/>
        <v/>
      </c>
      <c r="BC275" s="108" t="str">
        <f t="shared" si="26"/>
        <v/>
      </c>
      <c r="BD275" s="108" t="str">
        <f t="shared" si="27"/>
        <v/>
      </c>
      <c r="BE275" s="109" t="str">
        <f t="shared" si="28"/>
        <v/>
      </c>
      <c r="BF275" s="110" t="str">
        <f t="shared" si="29"/>
        <v/>
      </c>
      <c r="BG275" s="111"/>
    </row>
    <row r="276" spans="1:59" ht="12.75">
      <c r="A276" s="101"/>
      <c r="B276" s="102"/>
      <c r="C276" s="102" t="e">
        <f t="array" aca="1" ref="C276" ca="1">_xludf.XLOOKUP(A276,'QA Log'!D:D,'QA Log'!F:F,"")</f>
        <v>#NAME?</v>
      </c>
      <c r="D276" s="102"/>
      <c r="E276" s="102" t="e">
        <f t="array" aca="1" ref="E276" ca="1">_xludf.XLOOKUP(A276,'QA Log'!D:D,'QA Log'!G:G,"")</f>
        <v>#NAME?</v>
      </c>
      <c r="F276" s="103"/>
      <c r="G276" s="104"/>
      <c r="H276" s="104"/>
      <c r="I276" s="103" t="str">
        <f t="shared" si="15"/>
        <v/>
      </c>
      <c r="J276" s="102"/>
      <c r="K276" s="102"/>
      <c r="L276" s="119" t="str">
        <f t="array" ref="L276">IF(OR($B276="",$D276=""),"",
IFERROR(
  INDEX(
    'Tools &amp; Targets_Guideline'!$C$54:$I$269,
    MATCH(
      1,
      ('Tools &amp; Targets_Guideline'!$A$54:$A$269=$B276)*
      ('Tools &amp; Targets_Guideline'!$B$54:$B$269="ANC"),
      0
    ),
    MATCH(
      _xludf.IFNA(
        VLOOKUP($D276,{"PH","Provincial Hospital (H2)";"DH","District Hospital (H3)";"RH","Regional / National Hospital (H1)"},2,0),
        $D276
      ),
      'Tools &amp; Targets_Guideline'!$C$53:$I$53,
      0
    )
  ),
0))</f>
        <v/>
      </c>
      <c r="M276" s="105"/>
      <c r="N276" s="119" t="str">
        <f t="array" ref="N276">IF(OR($B276="",$D276=""),"",
IFERROR(
  INDEX(
    'Tools &amp; Targets_Guideline'!$C$54:$I$269,
    MATCH(
      1,
      ('Tools &amp; Targets_Guideline'!$A$54:$A$269=$B276)*
      ('Tools &amp; Targets_Guideline'!$B$54:$B$269="PNC"),
      0
    ),
    MATCH(
      _xludf.IFNA(
        VLOOKUP($D276,{"PH","Provincial Hospital (H2)";"DH","District Hospital (H3)";"RH","Regional / National Hospital (H1)"},2,0),
        $D276
      ),
      'Tools &amp; Targets_Guideline'!$C$53:$I$53,
      0
    )
  ),
0))</f>
        <v/>
      </c>
      <c r="O276" s="105"/>
      <c r="P276" s="119" t="str">
        <f t="array" ref="P276">IF(OR($B276="",$D276=""),"",
IFERROR(
  INDEX(
    'Tools &amp; Targets_Guideline'!$C$54:$I$269,
    MATCH(
      1,
      ('Tools &amp; Targets_Guideline'!$A$54:$A$269=$B276)*
      ('Tools &amp; Targets_Guideline'!$B$54:$B$269="Delivery"),
      0
    ),
    MATCH(
      _xludf.IFNA(
        VLOOKUP($D276,{"PH","Provincial Hospital (H2)";"DH","District Hospital (H3)";"RH","Regional / National Hospital (H1)"},2,0),
        $D276
      ),
      'Tools &amp; Targets_Guideline'!$C$53:$I$53,
      0
    )
  ),
0))</f>
        <v/>
      </c>
      <c r="Q276" s="105"/>
      <c r="R276" s="119" t="str">
        <f t="array" ref="R276">IF(OR($B276="",$D276=""),"",
IFERROR(
  INDEX(
    'Tools &amp; Targets_Guideline'!$C$54:$I$269,
    MATCH(
      1,
      ('Tools &amp; Targets_Guideline'!$A$54:$A$269=$B276)*
      ('Tools &amp; Targets_Guideline'!$B$54:$B$269="TT"),
      0
    ),
    MATCH(
      _xludf.IFNA(
        VLOOKUP($D276,{"PH","Provincial Hospital (H2)";"DH","District Hospital (H3)";"RH","Regional / National Hospital (H1)"},2,0),
        $D276
      ),
      'Tools &amp; Targets_Guideline'!$C$53:$I$53,
      0
    )
  ),
0))</f>
        <v/>
      </c>
      <c r="S276" s="105"/>
      <c r="T276" s="102"/>
      <c r="U276" s="106"/>
      <c r="V276" s="102" t="str">
        <f t="shared" si="16"/>
        <v/>
      </c>
      <c r="W276" s="102"/>
      <c r="X276" s="102"/>
      <c r="Y276" s="119" t="str">
        <f t="array" ref="Y276">IF(OR($B276="",$D276=""),"",
IFERROR(
  INDEX(
    'Tools &amp; Targets_Guideline'!$C$54:$I$269,
    MATCH(
      1,
      ('Tools &amp; Targets_Guideline'!$A$54:$A$269=$B276)*
      ('Tools &amp; Targets_Guideline'!$B$54:$B$269="GM"),
      0
    ),
    MATCH(
      _xludf.IFNA(
        VLOOKUP($D276,{"PH","Provincial Hospital (H2)";"DH","District Hospital (H3)";"RH","Regional / National Hospital (H1)"},2,0),
        $D276
      ),
      'Tools &amp; Targets_Guideline'!$C$53:$I$53,
      0
    )
  ),
0))</f>
        <v/>
      </c>
      <c r="Z276" s="105"/>
      <c r="AA276" s="119" t="str">
        <f t="array" ref="AA276">IF(OR($B276="",$D276=""),"",
IFERROR(
  INDEX(
    'Tools &amp; Targets_Guideline'!$C$54:$I$269,
    MATCH(
      1,
      ('Tools &amp; Targets_Guideline'!$A$54:$A$269=$B276)*
      ('Tools &amp; Targets_Guideline'!$B$54:$B$269="Penta"),
      0
    ),
    MATCH(
      _xludf.IFNA(
        VLOOKUP($D276,{"PH","Provincial Hospital (H2)";"DH","District Hospital (H3)";"RH","Regional / National Hospital (H1)"},2,0),
        $D276
      ),
      'Tools &amp; Targets_Guideline'!$C$53:$I$53,
      0
    )
  ),
0))</f>
        <v/>
      </c>
      <c r="AB276" s="105"/>
      <c r="AC276" s="119" t="str">
        <f t="array" ref="AC276">IF(OR($B276="",$D276=""),"",
IFERROR(
  INDEX(
    'Tools &amp; Targets_Guideline'!$C$54:$I$269,
    MATCH(
      1,
      ('Tools &amp; Targets_Guideline'!$A$54:$A$269=$B276)*
      ('Tools &amp; Targets_Guideline'!$B$54:$B$269="TB"),
      0
    ),
    MATCH(
      _xludf.IFNA(
        VLOOKUP($D276,{"PH","Provincial Hospital (H2)";"DH","District Hospital (H3)";"RH","Regional / National Hospital (H1)"},2,0),
        $D276
      ),
      'Tools &amp; Targets_Guideline'!$C$53:$I$53,
      0
    )
  ),
0))</f>
        <v/>
      </c>
      <c r="AD276" s="105"/>
      <c r="AE276" s="119" t="str">
        <f t="array" ref="AE276">IF(OR($B276="",$D276=""),"",
IFERROR(
  INDEX(
    'Tools &amp; Targets_Guideline'!$C$54:$I$269,
    MATCH(
      1,
      ('Tools &amp; Targets_Guideline'!$A$54:$A$269=$B276)*
      ('Tools &amp; Targets_Guideline'!$B$54:$B$269="U5 Morbidity"),
      0
    ),
    MATCH(
      _xludf.IFNA(
        VLOOKUP($D276,{"PH","Provincial Hospital (H2)";"DH","District Hospital (H3)";"RH","Regional / National Hospital (H1)"},2,0),
        $D276
      ),
      'Tools &amp; Targets_Guideline'!$C$53:$I$53,
      0
    )
  ),
0))</f>
        <v/>
      </c>
      <c r="AF276" s="105"/>
      <c r="AG276" s="119" t="str">
        <f t="array" ref="AG276">IF(OR($B276="",$D276=""),"",
IFERROR(
  INDEX(
    'Tools &amp; Targets_Guideline'!$C$54:$I$269,
    MATCH(
      1,
      ('Tools &amp; Targets_Guideline'!$A$54:$A$269=$B276)*
      ('Tools &amp; Targets_Guideline'!$B$54:$B$269="C-Section"),
      0
    ),
    MATCH(
      _xludf.IFNA(
        VLOOKUP($D276,{"PH","Provincial Hospital (H2)";"DH","District Hospital (H3)";"RH","Regional / National Hospital (H1)"},2,0),
        $D276
      ),
      'Tools &amp; Targets_Guideline'!$C$53:$I$53,
      0
    )
  ),
0))</f>
        <v/>
      </c>
      <c r="AH276" s="105" t="str">
        <f>IF(A276&lt;&gt;"",COUNTIFS('QA Log'!D:D,A276,'QA Log'!M:M,"QQC",'QA Log'!L:L,"2. Hygiene and Sterilization",'QA Log'!Z:Z,"Approved"),"")</f>
        <v/>
      </c>
      <c r="AI276" s="102"/>
      <c r="AJ276" s="102"/>
      <c r="AK276" s="103" t="str">
        <f t="shared" si="17"/>
        <v/>
      </c>
      <c r="AL276" s="102"/>
      <c r="AM276" s="102"/>
      <c r="AN276" s="102"/>
      <c r="AO276" s="106"/>
      <c r="AP276" s="103"/>
      <c r="AQ276" s="102"/>
      <c r="AR276" s="102"/>
      <c r="AS276" s="102"/>
      <c r="AT276" s="107"/>
      <c r="AU276" s="102" t="str">
        <f t="shared" si="18"/>
        <v/>
      </c>
      <c r="AV276" s="102" t="str">
        <f t="shared" si="19"/>
        <v/>
      </c>
      <c r="AW276" s="102" t="str">
        <f t="shared" si="20"/>
        <v/>
      </c>
      <c r="AX276" s="102" t="str">
        <f t="shared" si="21"/>
        <v/>
      </c>
      <c r="AY276" s="107" t="str">
        <f t="shared" si="22"/>
        <v/>
      </c>
      <c r="AZ276" s="108" t="str">
        <f t="shared" si="23"/>
        <v/>
      </c>
      <c r="BA276" s="108" t="str">
        <f t="shared" si="24"/>
        <v/>
      </c>
      <c r="BB276" s="109" t="str">
        <f t="shared" si="25"/>
        <v/>
      </c>
      <c r="BC276" s="108" t="str">
        <f t="shared" si="26"/>
        <v/>
      </c>
      <c r="BD276" s="108" t="str">
        <f t="shared" si="27"/>
        <v/>
      </c>
      <c r="BE276" s="109" t="str">
        <f t="shared" si="28"/>
        <v/>
      </c>
      <c r="BF276" s="110" t="str">
        <f t="shared" si="29"/>
        <v/>
      </c>
      <c r="BG276" s="111"/>
    </row>
    <row r="277" spans="1:59" ht="12.75">
      <c r="A277" s="101"/>
      <c r="B277" s="102"/>
      <c r="C277" s="102" t="e">
        <f t="array" aca="1" ref="C277" ca="1">_xludf.XLOOKUP(A277,'QA Log'!D:D,'QA Log'!F:F,"")</f>
        <v>#NAME?</v>
      </c>
      <c r="D277" s="102"/>
      <c r="E277" s="102" t="e">
        <f t="array" aca="1" ref="E277" ca="1">_xludf.XLOOKUP(A277,'QA Log'!D:D,'QA Log'!G:G,"")</f>
        <v>#NAME?</v>
      </c>
      <c r="F277" s="103"/>
      <c r="G277" s="104"/>
      <c r="H277" s="104"/>
      <c r="I277" s="103" t="str">
        <f t="shared" si="15"/>
        <v/>
      </c>
      <c r="J277" s="102"/>
      <c r="K277" s="102"/>
      <c r="L277" s="119" t="str">
        <f t="array" ref="L277">IF(OR($B277="",$D277=""),"",
IFERROR(
  INDEX(
    'Tools &amp; Targets_Guideline'!$C$54:$I$269,
    MATCH(
      1,
      ('Tools &amp; Targets_Guideline'!$A$54:$A$269=$B277)*
      ('Tools &amp; Targets_Guideline'!$B$54:$B$269="ANC"),
      0
    ),
    MATCH(
      _xludf.IFNA(
        VLOOKUP($D277,{"PH","Provincial Hospital (H2)";"DH","District Hospital (H3)";"RH","Regional / National Hospital (H1)"},2,0),
        $D277
      ),
      'Tools &amp; Targets_Guideline'!$C$53:$I$53,
      0
    )
  ),
0))</f>
        <v/>
      </c>
      <c r="M277" s="105"/>
      <c r="N277" s="119" t="str">
        <f t="array" ref="N277">IF(OR($B277="",$D277=""),"",
IFERROR(
  INDEX(
    'Tools &amp; Targets_Guideline'!$C$54:$I$269,
    MATCH(
      1,
      ('Tools &amp; Targets_Guideline'!$A$54:$A$269=$B277)*
      ('Tools &amp; Targets_Guideline'!$B$54:$B$269="PNC"),
      0
    ),
    MATCH(
      _xludf.IFNA(
        VLOOKUP($D277,{"PH","Provincial Hospital (H2)";"DH","District Hospital (H3)";"RH","Regional / National Hospital (H1)"},2,0),
        $D277
      ),
      'Tools &amp; Targets_Guideline'!$C$53:$I$53,
      0
    )
  ),
0))</f>
        <v/>
      </c>
      <c r="O277" s="105"/>
      <c r="P277" s="119" t="str">
        <f t="array" ref="P277">IF(OR($B277="",$D277=""),"",
IFERROR(
  INDEX(
    'Tools &amp; Targets_Guideline'!$C$54:$I$269,
    MATCH(
      1,
      ('Tools &amp; Targets_Guideline'!$A$54:$A$269=$B277)*
      ('Tools &amp; Targets_Guideline'!$B$54:$B$269="Delivery"),
      0
    ),
    MATCH(
      _xludf.IFNA(
        VLOOKUP($D277,{"PH","Provincial Hospital (H2)";"DH","District Hospital (H3)";"RH","Regional / National Hospital (H1)"},2,0),
        $D277
      ),
      'Tools &amp; Targets_Guideline'!$C$53:$I$53,
      0
    )
  ),
0))</f>
        <v/>
      </c>
      <c r="Q277" s="105"/>
      <c r="R277" s="119" t="str">
        <f t="array" ref="R277">IF(OR($B277="",$D277=""),"",
IFERROR(
  INDEX(
    'Tools &amp; Targets_Guideline'!$C$54:$I$269,
    MATCH(
      1,
      ('Tools &amp; Targets_Guideline'!$A$54:$A$269=$B277)*
      ('Tools &amp; Targets_Guideline'!$B$54:$B$269="TT"),
      0
    ),
    MATCH(
      _xludf.IFNA(
        VLOOKUP($D277,{"PH","Provincial Hospital (H2)";"DH","District Hospital (H3)";"RH","Regional / National Hospital (H1)"},2,0),
        $D277
      ),
      'Tools &amp; Targets_Guideline'!$C$53:$I$53,
      0
    )
  ),
0))</f>
        <v/>
      </c>
      <c r="S277" s="105"/>
      <c r="T277" s="102"/>
      <c r="U277" s="106"/>
      <c r="V277" s="102" t="str">
        <f t="shared" si="16"/>
        <v/>
      </c>
      <c r="W277" s="102"/>
      <c r="X277" s="102"/>
      <c r="Y277" s="119" t="str">
        <f t="array" ref="Y277">IF(OR($B277="",$D277=""),"",
IFERROR(
  INDEX(
    'Tools &amp; Targets_Guideline'!$C$54:$I$269,
    MATCH(
      1,
      ('Tools &amp; Targets_Guideline'!$A$54:$A$269=$B277)*
      ('Tools &amp; Targets_Guideline'!$B$54:$B$269="GM"),
      0
    ),
    MATCH(
      _xludf.IFNA(
        VLOOKUP($D277,{"PH","Provincial Hospital (H2)";"DH","District Hospital (H3)";"RH","Regional / National Hospital (H1)"},2,0),
        $D277
      ),
      'Tools &amp; Targets_Guideline'!$C$53:$I$53,
      0
    )
  ),
0))</f>
        <v/>
      </c>
      <c r="Z277" s="105"/>
      <c r="AA277" s="119" t="str">
        <f t="array" ref="AA277">IF(OR($B277="",$D277=""),"",
IFERROR(
  INDEX(
    'Tools &amp; Targets_Guideline'!$C$54:$I$269,
    MATCH(
      1,
      ('Tools &amp; Targets_Guideline'!$A$54:$A$269=$B277)*
      ('Tools &amp; Targets_Guideline'!$B$54:$B$269="Penta"),
      0
    ),
    MATCH(
      _xludf.IFNA(
        VLOOKUP($D277,{"PH","Provincial Hospital (H2)";"DH","District Hospital (H3)";"RH","Regional / National Hospital (H1)"},2,0),
        $D277
      ),
      'Tools &amp; Targets_Guideline'!$C$53:$I$53,
      0
    )
  ),
0))</f>
        <v/>
      </c>
      <c r="AB277" s="105"/>
      <c r="AC277" s="119" t="str">
        <f t="array" ref="AC277">IF(OR($B277="",$D277=""),"",
IFERROR(
  INDEX(
    'Tools &amp; Targets_Guideline'!$C$54:$I$269,
    MATCH(
      1,
      ('Tools &amp; Targets_Guideline'!$A$54:$A$269=$B277)*
      ('Tools &amp; Targets_Guideline'!$B$54:$B$269="TB"),
      0
    ),
    MATCH(
      _xludf.IFNA(
        VLOOKUP($D277,{"PH","Provincial Hospital (H2)";"DH","District Hospital (H3)";"RH","Regional / National Hospital (H1)"},2,0),
        $D277
      ),
      'Tools &amp; Targets_Guideline'!$C$53:$I$53,
      0
    )
  ),
0))</f>
        <v/>
      </c>
      <c r="AD277" s="105"/>
      <c r="AE277" s="119" t="str">
        <f t="array" ref="AE277">IF(OR($B277="",$D277=""),"",
IFERROR(
  INDEX(
    'Tools &amp; Targets_Guideline'!$C$54:$I$269,
    MATCH(
      1,
      ('Tools &amp; Targets_Guideline'!$A$54:$A$269=$B277)*
      ('Tools &amp; Targets_Guideline'!$B$54:$B$269="U5 Morbidity"),
      0
    ),
    MATCH(
      _xludf.IFNA(
        VLOOKUP($D277,{"PH","Provincial Hospital (H2)";"DH","District Hospital (H3)";"RH","Regional / National Hospital (H1)"},2,0),
        $D277
      ),
      'Tools &amp; Targets_Guideline'!$C$53:$I$53,
      0
    )
  ),
0))</f>
        <v/>
      </c>
      <c r="AF277" s="105"/>
      <c r="AG277" s="119" t="str">
        <f t="array" ref="AG277">IF(OR($B277="",$D277=""),"",
IFERROR(
  INDEX(
    'Tools &amp; Targets_Guideline'!$C$54:$I$269,
    MATCH(
      1,
      ('Tools &amp; Targets_Guideline'!$A$54:$A$269=$B277)*
      ('Tools &amp; Targets_Guideline'!$B$54:$B$269="C-Section"),
      0
    ),
    MATCH(
      _xludf.IFNA(
        VLOOKUP($D277,{"PH","Provincial Hospital (H2)";"DH","District Hospital (H3)";"RH","Regional / National Hospital (H1)"},2,0),
        $D277
      ),
      'Tools &amp; Targets_Guideline'!$C$53:$I$53,
      0
    )
  ),
0))</f>
        <v/>
      </c>
      <c r="AH277" s="105" t="str">
        <f>IF(A277&lt;&gt;"",COUNTIFS('QA Log'!D:D,A277,'QA Log'!M:M,"QQC",'QA Log'!L:L,"2. Hygiene and Sterilization",'QA Log'!Z:Z,"Approved"),"")</f>
        <v/>
      </c>
      <c r="AI277" s="102"/>
      <c r="AJ277" s="102"/>
      <c r="AK277" s="103" t="str">
        <f t="shared" si="17"/>
        <v/>
      </c>
      <c r="AL277" s="102"/>
      <c r="AM277" s="102"/>
      <c r="AN277" s="102"/>
      <c r="AO277" s="106"/>
      <c r="AP277" s="103"/>
      <c r="AQ277" s="102"/>
      <c r="AR277" s="102"/>
      <c r="AS277" s="102"/>
      <c r="AT277" s="107"/>
      <c r="AU277" s="102" t="str">
        <f t="shared" si="18"/>
        <v/>
      </c>
      <c r="AV277" s="102" t="str">
        <f t="shared" si="19"/>
        <v/>
      </c>
      <c r="AW277" s="102" t="str">
        <f t="shared" si="20"/>
        <v/>
      </c>
      <c r="AX277" s="102" t="str">
        <f t="shared" si="21"/>
        <v/>
      </c>
      <c r="AY277" s="107" t="str">
        <f t="shared" si="22"/>
        <v/>
      </c>
      <c r="AZ277" s="108" t="str">
        <f t="shared" si="23"/>
        <v/>
      </c>
      <c r="BA277" s="108" t="str">
        <f t="shared" si="24"/>
        <v/>
      </c>
      <c r="BB277" s="109" t="str">
        <f t="shared" si="25"/>
        <v/>
      </c>
      <c r="BC277" s="108" t="str">
        <f t="shared" si="26"/>
        <v/>
      </c>
      <c r="BD277" s="108" t="str">
        <f t="shared" si="27"/>
        <v/>
      </c>
      <c r="BE277" s="109" t="str">
        <f t="shared" si="28"/>
        <v/>
      </c>
      <c r="BF277" s="110" t="str">
        <f t="shared" si="29"/>
        <v/>
      </c>
      <c r="BG277" s="111"/>
    </row>
    <row r="278" spans="1:59" ht="12.75">
      <c r="A278" s="101"/>
      <c r="B278" s="102"/>
      <c r="C278" s="102" t="e">
        <f t="array" aca="1" ref="C278" ca="1">_xludf.XLOOKUP(A278,'QA Log'!D:D,'QA Log'!F:F,"")</f>
        <v>#NAME?</v>
      </c>
      <c r="D278" s="102"/>
      <c r="E278" s="102" t="e">
        <f t="array" aca="1" ref="E278" ca="1">_xludf.XLOOKUP(A278,'QA Log'!D:D,'QA Log'!G:G,"")</f>
        <v>#NAME?</v>
      </c>
      <c r="F278" s="103"/>
      <c r="G278" s="104"/>
      <c r="H278" s="104"/>
      <c r="I278" s="103" t="str">
        <f t="shared" si="15"/>
        <v/>
      </c>
      <c r="J278" s="102"/>
      <c r="K278" s="102"/>
      <c r="L278" s="119" t="str">
        <f t="array" ref="L278">IF(OR($B278="",$D278=""),"",
IFERROR(
  INDEX(
    'Tools &amp; Targets_Guideline'!$C$54:$I$269,
    MATCH(
      1,
      ('Tools &amp; Targets_Guideline'!$A$54:$A$269=$B278)*
      ('Tools &amp; Targets_Guideline'!$B$54:$B$269="ANC"),
      0
    ),
    MATCH(
      _xludf.IFNA(
        VLOOKUP($D278,{"PH","Provincial Hospital (H2)";"DH","District Hospital (H3)";"RH","Regional / National Hospital (H1)"},2,0),
        $D278
      ),
      'Tools &amp; Targets_Guideline'!$C$53:$I$53,
      0
    )
  ),
0))</f>
        <v/>
      </c>
      <c r="M278" s="105"/>
      <c r="N278" s="119" t="str">
        <f t="array" ref="N278">IF(OR($B278="",$D278=""),"",
IFERROR(
  INDEX(
    'Tools &amp; Targets_Guideline'!$C$54:$I$269,
    MATCH(
      1,
      ('Tools &amp; Targets_Guideline'!$A$54:$A$269=$B278)*
      ('Tools &amp; Targets_Guideline'!$B$54:$B$269="PNC"),
      0
    ),
    MATCH(
      _xludf.IFNA(
        VLOOKUP($D278,{"PH","Provincial Hospital (H2)";"DH","District Hospital (H3)";"RH","Regional / National Hospital (H1)"},2,0),
        $D278
      ),
      'Tools &amp; Targets_Guideline'!$C$53:$I$53,
      0
    )
  ),
0))</f>
        <v/>
      </c>
      <c r="O278" s="105"/>
      <c r="P278" s="119" t="str">
        <f t="array" ref="P278">IF(OR($B278="",$D278=""),"",
IFERROR(
  INDEX(
    'Tools &amp; Targets_Guideline'!$C$54:$I$269,
    MATCH(
      1,
      ('Tools &amp; Targets_Guideline'!$A$54:$A$269=$B278)*
      ('Tools &amp; Targets_Guideline'!$B$54:$B$269="Delivery"),
      0
    ),
    MATCH(
      _xludf.IFNA(
        VLOOKUP($D278,{"PH","Provincial Hospital (H2)";"DH","District Hospital (H3)";"RH","Regional / National Hospital (H1)"},2,0),
        $D278
      ),
      'Tools &amp; Targets_Guideline'!$C$53:$I$53,
      0
    )
  ),
0))</f>
        <v/>
      </c>
      <c r="Q278" s="105"/>
      <c r="R278" s="119" t="str">
        <f t="array" ref="R278">IF(OR($B278="",$D278=""),"",
IFERROR(
  INDEX(
    'Tools &amp; Targets_Guideline'!$C$54:$I$269,
    MATCH(
      1,
      ('Tools &amp; Targets_Guideline'!$A$54:$A$269=$B278)*
      ('Tools &amp; Targets_Guideline'!$B$54:$B$269="TT"),
      0
    ),
    MATCH(
      _xludf.IFNA(
        VLOOKUP($D278,{"PH","Provincial Hospital (H2)";"DH","District Hospital (H3)";"RH","Regional / National Hospital (H1)"},2,0),
        $D278
      ),
      'Tools &amp; Targets_Guideline'!$C$53:$I$53,
      0
    )
  ),
0))</f>
        <v/>
      </c>
      <c r="S278" s="105"/>
      <c r="T278" s="102"/>
      <c r="U278" s="106"/>
      <c r="V278" s="102" t="str">
        <f t="shared" si="16"/>
        <v/>
      </c>
      <c r="W278" s="102"/>
      <c r="X278" s="102"/>
      <c r="Y278" s="119" t="str">
        <f t="array" ref="Y278">IF(OR($B278="",$D278=""),"",
IFERROR(
  INDEX(
    'Tools &amp; Targets_Guideline'!$C$54:$I$269,
    MATCH(
      1,
      ('Tools &amp; Targets_Guideline'!$A$54:$A$269=$B278)*
      ('Tools &amp; Targets_Guideline'!$B$54:$B$269="GM"),
      0
    ),
    MATCH(
      _xludf.IFNA(
        VLOOKUP($D278,{"PH","Provincial Hospital (H2)";"DH","District Hospital (H3)";"RH","Regional / National Hospital (H1)"},2,0),
        $D278
      ),
      'Tools &amp; Targets_Guideline'!$C$53:$I$53,
      0
    )
  ),
0))</f>
        <v/>
      </c>
      <c r="Z278" s="105"/>
      <c r="AA278" s="119" t="str">
        <f t="array" ref="AA278">IF(OR($B278="",$D278=""),"",
IFERROR(
  INDEX(
    'Tools &amp; Targets_Guideline'!$C$54:$I$269,
    MATCH(
      1,
      ('Tools &amp; Targets_Guideline'!$A$54:$A$269=$B278)*
      ('Tools &amp; Targets_Guideline'!$B$54:$B$269="Penta"),
      0
    ),
    MATCH(
      _xludf.IFNA(
        VLOOKUP($D278,{"PH","Provincial Hospital (H2)";"DH","District Hospital (H3)";"RH","Regional / National Hospital (H1)"},2,0),
        $D278
      ),
      'Tools &amp; Targets_Guideline'!$C$53:$I$53,
      0
    )
  ),
0))</f>
        <v/>
      </c>
      <c r="AB278" s="105"/>
      <c r="AC278" s="119" t="str">
        <f t="array" ref="AC278">IF(OR($B278="",$D278=""),"",
IFERROR(
  INDEX(
    'Tools &amp; Targets_Guideline'!$C$54:$I$269,
    MATCH(
      1,
      ('Tools &amp; Targets_Guideline'!$A$54:$A$269=$B278)*
      ('Tools &amp; Targets_Guideline'!$B$54:$B$269="TB"),
      0
    ),
    MATCH(
      _xludf.IFNA(
        VLOOKUP($D278,{"PH","Provincial Hospital (H2)";"DH","District Hospital (H3)";"RH","Regional / National Hospital (H1)"},2,0),
        $D278
      ),
      'Tools &amp; Targets_Guideline'!$C$53:$I$53,
      0
    )
  ),
0))</f>
        <v/>
      </c>
      <c r="AD278" s="105"/>
      <c r="AE278" s="119" t="str">
        <f t="array" ref="AE278">IF(OR($B278="",$D278=""),"",
IFERROR(
  INDEX(
    'Tools &amp; Targets_Guideline'!$C$54:$I$269,
    MATCH(
      1,
      ('Tools &amp; Targets_Guideline'!$A$54:$A$269=$B278)*
      ('Tools &amp; Targets_Guideline'!$B$54:$B$269="U5 Morbidity"),
      0
    ),
    MATCH(
      _xludf.IFNA(
        VLOOKUP($D278,{"PH","Provincial Hospital (H2)";"DH","District Hospital (H3)";"RH","Regional / National Hospital (H1)"},2,0),
        $D278
      ),
      'Tools &amp; Targets_Guideline'!$C$53:$I$53,
      0
    )
  ),
0))</f>
        <v/>
      </c>
      <c r="AF278" s="105"/>
      <c r="AG278" s="119" t="str">
        <f t="array" ref="AG278">IF(OR($B278="",$D278=""),"",
IFERROR(
  INDEX(
    'Tools &amp; Targets_Guideline'!$C$54:$I$269,
    MATCH(
      1,
      ('Tools &amp; Targets_Guideline'!$A$54:$A$269=$B278)*
      ('Tools &amp; Targets_Guideline'!$B$54:$B$269="C-Section"),
      0
    ),
    MATCH(
      _xludf.IFNA(
        VLOOKUP($D278,{"PH","Provincial Hospital (H2)";"DH","District Hospital (H3)";"RH","Regional / National Hospital (H1)"},2,0),
        $D278
      ),
      'Tools &amp; Targets_Guideline'!$C$53:$I$53,
      0
    )
  ),
0))</f>
        <v/>
      </c>
      <c r="AH278" s="105" t="str">
        <f>IF(A278&lt;&gt;"",COUNTIFS('QA Log'!D:D,A278,'QA Log'!M:M,"QQC",'QA Log'!L:L,"2. Hygiene and Sterilization",'QA Log'!Z:Z,"Approved"),"")</f>
        <v/>
      </c>
      <c r="AI278" s="102"/>
      <c r="AJ278" s="102"/>
      <c r="AK278" s="103" t="str">
        <f t="shared" si="17"/>
        <v/>
      </c>
      <c r="AL278" s="102"/>
      <c r="AM278" s="102"/>
      <c r="AN278" s="102"/>
      <c r="AO278" s="106"/>
      <c r="AP278" s="103"/>
      <c r="AQ278" s="102"/>
      <c r="AR278" s="102"/>
      <c r="AS278" s="102"/>
      <c r="AT278" s="107"/>
      <c r="AU278" s="102" t="str">
        <f t="shared" si="18"/>
        <v/>
      </c>
      <c r="AV278" s="102" t="str">
        <f t="shared" si="19"/>
        <v/>
      </c>
      <c r="AW278" s="102" t="str">
        <f t="shared" si="20"/>
        <v/>
      </c>
      <c r="AX278" s="102" t="str">
        <f t="shared" si="21"/>
        <v/>
      </c>
      <c r="AY278" s="107" t="str">
        <f t="shared" si="22"/>
        <v/>
      </c>
      <c r="AZ278" s="108" t="str">
        <f t="shared" si="23"/>
        <v/>
      </c>
      <c r="BA278" s="108" t="str">
        <f t="shared" si="24"/>
        <v/>
      </c>
      <c r="BB278" s="109" t="str">
        <f t="shared" si="25"/>
        <v/>
      </c>
      <c r="BC278" s="108" t="str">
        <f t="shared" si="26"/>
        <v/>
      </c>
      <c r="BD278" s="108" t="str">
        <f t="shared" si="27"/>
        <v/>
      </c>
      <c r="BE278" s="109" t="str">
        <f t="shared" si="28"/>
        <v/>
      </c>
      <c r="BF278" s="110" t="str">
        <f t="shared" si="29"/>
        <v/>
      </c>
      <c r="BG278" s="111"/>
    </row>
    <row r="279" spans="1:59" ht="12.75">
      <c r="A279" s="101"/>
      <c r="B279" s="102"/>
      <c r="C279" s="102" t="e">
        <f t="array" aca="1" ref="C279" ca="1">_xludf.XLOOKUP(A279,'QA Log'!D:D,'QA Log'!F:F,"")</f>
        <v>#NAME?</v>
      </c>
      <c r="D279" s="102"/>
      <c r="E279" s="102" t="e">
        <f t="array" aca="1" ref="E279" ca="1">_xludf.XLOOKUP(A279,'QA Log'!D:D,'QA Log'!G:G,"")</f>
        <v>#NAME?</v>
      </c>
      <c r="F279" s="103"/>
      <c r="G279" s="104"/>
      <c r="H279" s="104"/>
      <c r="I279" s="103" t="str">
        <f t="shared" si="15"/>
        <v/>
      </c>
      <c r="J279" s="102"/>
      <c r="K279" s="102"/>
      <c r="L279" s="119" t="str">
        <f t="array" ref="L279">IF(OR($B279="",$D279=""),"",
IFERROR(
  INDEX(
    'Tools &amp; Targets_Guideline'!$C$54:$I$269,
    MATCH(
      1,
      ('Tools &amp; Targets_Guideline'!$A$54:$A$269=$B279)*
      ('Tools &amp; Targets_Guideline'!$B$54:$B$269="ANC"),
      0
    ),
    MATCH(
      _xludf.IFNA(
        VLOOKUP($D279,{"PH","Provincial Hospital (H2)";"DH","District Hospital (H3)";"RH","Regional / National Hospital (H1)"},2,0),
        $D279
      ),
      'Tools &amp; Targets_Guideline'!$C$53:$I$53,
      0
    )
  ),
0))</f>
        <v/>
      </c>
      <c r="M279" s="105"/>
      <c r="N279" s="119" t="str">
        <f t="array" ref="N279">IF(OR($B279="",$D279=""),"",
IFERROR(
  INDEX(
    'Tools &amp; Targets_Guideline'!$C$54:$I$269,
    MATCH(
      1,
      ('Tools &amp; Targets_Guideline'!$A$54:$A$269=$B279)*
      ('Tools &amp; Targets_Guideline'!$B$54:$B$269="PNC"),
      0
    ),
    MATCH(
      _xludf.IFNA(
        VLOOKUP($D279,{"PH","Provincial Hospital (H2)";"DH","District Hospital (H3)";"RH","Regional / National Hospital (H1)"},2,0),
        $D279
      ),
      'Tools &amp; Targets_Guideline'!$C$53:$I$53,
      0
    )
  ),
0))</f>
        <v/>
      </c>
      <c r="O279" s="105"/>
      <c r="P279" s="119" t="str">
        <f t="array" ref="P279">IF(OR($B279="",$D279=""),"",
IFERROR(
  INDEX(
    'Tools &amp; Targets_Guideline'!$C$54:$I$269,
    MATCH(
      1,
      ('Tools &amp; Targets_Guideline'!$A$54:$A$269=$B279)*
      ('Tools &amp; Targets_Guideline'!$B$54:$B$269="Delivery"),
      0
    ),
    MATCH(
      _xludf.IFNA(
        VLOOKUP($D279,{"PH","Provincial Hospital (H2)";"DH","District Hospital (H3)";"RH","Regional / National Hospital (H1)"},2,0),
        $D279
      ),
      'Tools &amp; Targets_Guideline'!$C$53:$I$53,
      0
    )
  ),
0))</f>
        <v/>
      </c>
      <c r="Q279" s="105"/>
      <c r="R279" s="119" t="str">
        <f t="array" ref="R279">IF(OR($B279="",$D279=""),"",
IFERROR(
  INDEX(
    'Tools &amp; Targets_Guideline'!$C$54:$I$269,
    MATCH(
      1,
      ('Tools &amp; Targets_Guideline'!$A$54:$A$269=$B279)*
      ('Tools &amp; Targets_Guideline'!$B$54:$B$269="TT"),
      0
    ),
    MATCH(
      _xludf.IFNA(
        VLOOKUP($D279,{"PH","Provincial Hospital (H2)";"DH","District Hospital (H3)";"RH","Regional / National Hospital (H1)"},2,0),
        $D279
      ),
      'Tools &amp; Targets_Guideline'!$C$53:$I$53,
      0
    )
  ),
0))</f>
        <v/>
      </c>
      <c r="S279" s="105"/>
      <c r="T279" s="102"/>
      <c r="U279" s="106"/>
      <c r="V279" s="102" t="str">
        <f t="shared" si="16"/>
        <v/>
      </c>
      <c r="W279" s="102"/>
      <c r="X279" s="102"/>
      <c r="Y279" s="119" t="str">
        <f t="array" ref="Y279">IF(OR($B279="",$D279=""),"",
IFERROR(
  INDEX(
    'Tools &amp; Targets_Guideline'!$C$54:$I$269,
    MATCH(
      1,
      ('Tools &amp; Targets_Guideline'!$A$54:$A$269=$B279)*
      ('Tools &amp; Targets_Guideline'!$B$54:$B$269="GM"),
      0
    ),
    MATCH(
      _xludf.IFNA(
        VLOOKUP($D279,{"PH","Provincial Hospital (H2)";"DH","District Hospital (H3)";"RH","Regional / National Hospital (H1)"},2,0),
        $D279
      ),
      'Tools &amp; Targets_Guideline'!$C$53:$I$53,
      0
    )
  ),
0))</f>
        <v/>
      </c>
      <c r="Z279" s="105"/>
      <c r="AA279" s="119" t="str">
        <f t="array" ref="AA279">IF(OR($B279="",$D279=""),"",
IFERROR(
  INDEX(
    'Tools &amp; Targets_Guideline'!$C$54:$I$269,
    MATCH(
      1,
      ('Tools &amp; Targets_Guideline'!$A$54:$A$269=$B279)*
      ('Tools &amp; Targets_Guideline'!$B$54:$B$269="Penta"),
      0
    ),
    MATCH(
      _xludf.IFNA(
        VLOOKUP($D279,{"PH","Provincial Hospital (H2)";"DH","District Hospital (H3)";"RH","Regional / National Hospital (H1)"},2,0),
        $D279
      ),
      'Tools &amp; Targets_Guideline'!$C$53:$I$53,
      0
    )
  ),
0))</f>
        <v/>
      </c>
      <c r="AB279" s="105"/>
      <c r="AC279" s="119" t="str">
        <f t="array" ref="AC279">IF(OR($B279="",$D279=""),"",
IFERROR(
  INDEX(
    'Tools &amp; Targets_Guideline'!$C$54:$I$269,
    MATCH(
      1,
      ('Tools &amp; Targets_Guideline'!$A$54:$A$269=$B279)*
      ('Tools &amp; Targets_Guideline'!$B$54:$B$269="TB"),
      0
    ),
    MATCH(
      _xludf.IFNA(
        VLOOKUP($D279,{"PH","Provincial Hospital (H2)";"DH","District Hospital (H3)";"RH","Regional / National Hospital (H1)"},2,0),
        $D279
      ),
      'Tools &amp; Targets_Guideline'!$C$53:$I$53,
      0
    )
  ),
0))</f>
        <v/>
      </c>
      <c r="AD279" s="105"/>
      <c r="AE279" s="119" t="str">
        <f t="array" ref="AE279">IF(OR($B279="",$D279=""),"",
IFERROR(
  INDEX(
    'Tools &amp; Targets_Guideline'!$C$54:$I$269,
    MATCH(
      1,
      ('Tools &amp; Targets_Guideline'!$A$54:$A$269=$B279)*
      ('Tools &amp; Targets_Guideline'!$B$54:$B$269="U5 Morbidity"),
      0
    ),
    MATCH(
      _xludf.IFNA(
        VLOOKUP($D279,{"PH","Provincial Hospital (H2)";"DH","District Hospital (H3)";"RH","Regional / National Hospital (H1)"},2,0),
        $D279
      ),
      'Tools &amp; Targets_Guideline'!$C$53:$I$53,
      0
    )
  ),
0))</f>
        <v/>
      </c>
      <c r="AF279" s="105"/>
      <c r="AG279" s="119" t="str">
        <f t="array" ref="AG279">IF(OR($B279="",$D279=""),"",
IFERROR(
  INDEX(
    'Tools &amp; Targets_Guideline'!$C$54:$I$269,
    MATCH(
      1,
      ('Tools &amp; Targets_Guideline'!$A$54:$A$269=$B279)*
      ('Tools &amp; Targets_Guideline'!$B$54:$B$269="C-Section"),
      0
    ),
    MATCH(
      _xludf.IFNA(
        VLOOKUP($D279,{"PH","Provincial Hospital (H2)";"DH","District Hospital (H3)";"RH","Regional / National Hospital (H1)"},2,0),
        $D279
      ),
      'Tools &amp; Targets_Guideline'!$C$53:$I$53,
      0
    )
  ),
0))</f>
        <v/>
      </c>
      <c r="AH279" s="105" t="str">
        <f>IF(A279&lt;&gt;"",COUNTIFS('QA Log'!D:D,A279,'QA Log'!M:M,"QQC",'QA Log'!L:L,"2. Hygiene and Sterilization",'QA Log'!Z:Z,"Approved"),"")</f>
        <v/>
      </c>
      <c r="AI279" s="102"/>
      <c r="AJ279" s="102"/>
      <c r="AK279" s="103" t="str">
        <f t="shared" si="17"/>
        <v/>
      </c>
      <c r="AL279" s="102"/>
      <c r="AM279" s="102"/>
      <c r="AN279" s="102"/>
      <c r="AO279" s="106"/>
      <c r="AP279" s="103"/>
      <c r="AQ279" s="102"/>
      <c r="AR279" s="102"/>
      <c r="AS279" s="102"/>
      <c r="AT279" s="107"/>
      <c r="AU279" s="102" t="str">
        <f t="shared" si="18"/>
        <v/>
      </c>
      <c r="AV279" s="102" t="str">
        <f t="shared" si="19"/>
        <v/>
      </c>
      <c r="AW279" s="102" t="str">
        <f t="shared" si="20"/>
        <v/>
      </c>
      <c r="AX279" s="102" t="str">
        <f t="shared" si="21"/>
        <v/>
      </c>
      <c r="AY279" s="107" t="str">
        <f t="shared" si="22"/>
        <v/>
      </c>
      <c r="AZ279" s="108" t="str">
        <f t="shared" si="23"/>
        <v/>
      </c>
      <c r="BA279" s="108" t="str">
        <f t="shared" si="24"/>
        <v/>
      </c>
      <c r="BB279" s="109" t="str">
        <f t="shared" si="25"/>
        <v/>
      </c>
      <c r="BC279" s="108" t="str">
        <f t="shared" si="26"/>
        <v/>
      </c>
      <c r="BD279" s="108" t="str">
        <f t="shared" si="27"/>
        <v/>
      </c>
      <c r="BE279" s="109" t="str">
        <f t="shared" si="28"/>
        <v/>
      </c>
      <c r="BF279" s="110" t="str">
        <f t="shared" si="29"/>
        <v/>
      </c>
      <c r="BG279" s="111"/>
    </row>
    <row r="280" spans="1:59" ht="12.75">
      <c r="A280" s="101"/>
      <c r="B280" s="102"/>
      <c r="C280" s="102" t="e">
        <f t="array" aca="1" ref="C280" ca="1">_xludf.XLOOKUP(A280,'QA Log'!D:D,'QA Log'!F:F,"")</f>
        <v>#NAME?</v>
      </c>
      <c r="D280" s="102"/>
      <c r="E280" s="102" t="e">
        <f t="array" aca="1" ref="E280" ca="1">_xludf.XLOOKUP(A280,'QA Log'!D:D,'QA Log'!G:G,"")</f>
        <v>#NAME?</v>
      </c>
      <c r="F280" s="103"/>
      <c r="G280" s="104"/>
      <c r="H280" s="104"/>
      <c r="I280" s="103" t="str">
        <f t="shared" si="15"/>
        <v/>
      </c>
      <c r="J280" s="102"/>
      <c r="K280" s="102"/>
      <c r="L280" s="119" t="str">
        <f t="array" ref="L280">IF(OR($B280="",$D280=""),"",
IFERROR(
  INDEX(
    'Tools &amp; Targets_Guideline'!$C$54:$I$269,
    MATCH(
      1,
      ('Tools &amp; Targets_Guideline'!$A$54:$A$269=$B280)*
      ('Tools &amp; Targets_Guideline'!$B$54:$B$269="ANC"),
      0
    ),
    MATCH(
      _xludf.IFNA(
        VLOOKUP($D280,{"PH","Provincial Hospital (H2)";"DH","District Hospital (H3)";"RH","Regional / National Hospital (H1)"},2,0),
        $D280
      ),
      'Tools &amp; Targets_Guideline'!$C$53:$I$53,
      0
    )
  ),
0))</f>
        <v/>
      </c>
      <c r="M280" s="105"/>
      <c r="N280" s="119" t="str">
        <f t="array" ref="N280">IF(OR($B280="",$D280=""),"",
IFERROR(
  INDEX(
    'Tools &amp; Targets_Guideline'!$C$54:$I$269,
    MATCH(
      1,
      ('Tools &amp; Targets_Guideline'!$A$54:$A$269=$B280)*
      ('Tools &amp; Targets_Guideline'!$B$54:$B$269="PNC"),
      0
    ),
    MATCH(
      _xludf.IFNA(
        VLOOKUP($D280,{"PH","Provincial Hospital (H2)";"DH","District Hospital (H3)";"RH","Regional / National Hospital (H1)"},2,0),
        $D280
      ),
      'Tools &amp; Targets_Guideline'!$C$53:$I$53,
      0
    )
  ),
0))</f>
        <v/>
      </c>
      <c r="O280" s="105"/>
      <c r="P280" s="119" t="str">
        <f t="array" ref="P280">IF(OR($B280="",$D280=""),"",
IFERROR(
  INDEX(
    'Tools &amp; Targets_Guideline'!$C$54:$I$269,
    MATCH(
      1,
      ('Tools &amp; Targets_Guideline'!$A$54:$A$269=$B280)*
      ('Tools &amp; Targets_Guideline'!$B$54:$B$269="Delivery"),
      0
    ),
    MATCH(
      _xludf.IFNA(
        VLOOKUP($D280,{"PH","Provincial Hospital (H2)";"DH","District Hospital (H3)";"RH","Regional / National Hospital (H1)"},2,0),
        $D280
      ),
      'Tools &amp; Targets_Guideline'!$C$53:$I$53,
      0
    )
  ),
0))</f>
        <v/>
      </c>
      <c r="Q280" s="105"/>
      <c r="R280" s="119" t="str">
        <f t="array" ref="R280">IF(OR($B280="",$D280=""),"",
IFERROR(
  INDEX(
    'Tools &amp; Targets_Guideline'!$C$54:$I$269,
    MATCH(
      1,
      ('Tools &amp; Targets_Guideline'!$A$54:$A$269=$B280)*
      ('Tools &amp; Targets_Guideline'!$B$54:$B$269="TT"),
      0
    ),
    MATCH(
      _xludf.IFNA(
        VLOOKUP($D280,{"PH","Provincial Hospital (H2)";"DH","District Hospital (H3)";"RH","Regional / National Hospital (H1)"},2,0),
        $D280
      ),
      'Tools &amp; Targets_Guideline'!$C$53:$I$53,
      0
    )
  ),
0))</f>
        <v/>
      </c>
      <c r="S280" s="105"/>
      <c r="T280" s="102"/>
      <c r="U280" s="106"/>
      <c r="V280" s="102" t="str">
        <f t="shared" si="16"/>
        <v/>
      </c>
      <c r="W280" s="102"/>
      <c r="X280" s="102"/>
      <c r="Y280" s="119" t="str">
        <f t="array" ref="Y280">IF(OR($B280="",$D280=""),"",
IFERROR(
  INDEX(
    'Tools &amp; Targets_Guideline'!$C$54:$I$269,
    MATCH(
      1,
      ('Tools &amp; Targets_Guideline'!$A$54:$A$269=$B280)*
      ('Tools &amp; Targets_Guideline'!$B$54:$B$269="GM"),
      0
    ),
    MATCH(
      _xludf.IFNA(
        VLOOKUP($D280,{"PH","Provincial Hospital (H2)";"DH","District Hospital (H3)";"RH","Regional / National Hospital (H1)"},2,0),
        $D280
      ),
      'Tools &amp; Targets_Guideline'!$C$53:$I$53,
      0
    )
  ),
0))</f>
        <v/>
      </c>
      <c r="Z280" s="105"/>
      <c r="AA280" s="119" t="str">
        <f t="array" ref="AA280">IF(OR($B280="",$D280=""),"",
IFERROR(
  INDEX(
    'Tools &amp; Targets_Guideline'!$C$54:$I$269,
    MATCH(
      1,
      ('Tools &amp; Targets_Guideline'!$A$54:$A$269=$B280)*
      ('Tools &amp; Targets_Guideline'!$B$54:$B$269="Penta"),
      0
    ),
    MATCH(
      _xludf.IFNA(
        VLOOKUP($D280,{"PH","Provincial Hospital (H2)";"DH","District Hospital (H3)";"RH","Regional / National Hospital (H1)"},2,0),
        $D280
      ),
      'Tools &amp; Targets_Guideline'!$C$53:$I$53,
      0
    )
  ),
0))</f>
        <v/>
      </c>
      <c r="AB280" s="105"/>
      <c r="AC280" s="119" t="str">
        <f t="array" ref="AC280">IF(OR($B280="",$D280=""),"",
IFERROR(
  INDEX(
    'Tools &amp; Targets_Guideline'!$C$54:$I$269,
    MATCH(
      1,
      ('Tools &amp; Targets_Guideline'!$A$54:$A$269=$B280)*
      ('Tools &amp; Targets_Guideline'!$B$54:$B$269="TB"),
      0
    ),
    MATCH(
      _xludf.IFNA(
        VLOOKUP($D280,{"PH","Provincial Hospital (H2)";"DH","District Hospital (H3)";"RH","Regional / National Hospital (H1)"},2,0),
        $D280
      ),
      'Tools &amp; Targets_Guideline'!$C$53:$I$53,
      0
    )
  ),
0))</f>
        <v/>
      </c>
      <c r="AD280" s="105"/>
      <c r="AE280" s="119" t="str">
        <f t="array" ref="AE280">IF(OR($B280="",$D280=""),"",
IFERROR(
  INDEX(
    'Tools &amp; Targets_Guideline'!$C$54:$I$269,
    MATCH(
      1,
      ('Tools &amp; Targets_Guideline'!$A$54:$A$269=$B280)*
      ('Tools &amp; Targets_Guideline'!$B$54:$B$269="U5 Morbidity"),
      0
    ),
    MATCH(
      _xludf.IFNA(
        VLOOKUP($D280,{"PH","Provincial Hospital (H2)";"DH","District Hospital (H3)";"RH","Regional / National Hospital (H1)"},2,0),
        $D280
      ),
      'Tools &amp; Targets_Guideline'!$C$53:$I$53,
      0
    )
  ),
0))</f>
        <v/>
      </c>
      <c r="AF280" s="105"/>
      <c r="AG280" s="119" t="str">
        <f t="array" ref="AG280">IF(OR($B280="",$D280=""),"",
IFERROR(
  INDEX(
    'Tools &amp; Targets_Guideline'!$C$54:$I$269,
    MATCH(
      1,
      ('Tools &amp; Targets_Guideline'!$A$54:$A$269=$B280)*
      ('Tools &amp; Targets_Guideline'!$B$54:$B$269="C-Section"),
      0
    ),
    MATCH(
      _xludf.IFNA(
        VLOOKUP($D280,{"PH","Provincial Hospital (H2)";"DH","District Hospital (H3)";"RH","Regional / National Hospital (H1)"},2,0),
        $D280
      ),
      'Tools &amp; Targets_Guideline'!$C$53:$I$53,
      0
    )
  ),
0))</f>
        <v/>
      </c>
      <c r="AH280" s="105" t="str">
        <f>IF(A280&lt;&gt;"",COUNTIFS('QA Log'!D:D,A280,'QA Log'!M:M,"QQC",'QA Log'!L:L,"2. Hygiene and Sterilization",'QA Log'!Z:Z,"Approved"),"")</f>
        <v/>
      </c>
      <c r="AI280" s="102"/>
      <c r="AJ280" s="102"/>
      <c r="AK280" s="103" t="str">
        <f t="shared" si="17"/>
        <v/>
      </c>
      <c r="AL280" s="102"/>
      <c r="AM280" s="102"/>
      <c r="AN280" s="102"/>
      <c r="AO280" s="106"/>
      <c r="AP280" s="103"/>
      <c r="AQ280" s="102"/>
      <c r="AR280" s="102"/>
      <c r="AS280" s="102"/>
      <c r="AT280" s="107"/>
      <c r="AU280" s="102" t="str">
        <f t="shared" si="18"/>
        <v/>
      </c>
      <c r="AV280" s="102" t="str">
        <f t="shared" si="19"/>
        <v/>
      </c>
      <c r="AW280" s="102" t="str">
        <f t="shared" si="20"/>
        <v/>
      </c>
      <c r="AX280" s="102" t="str">
        <f t="shared" si="21"/>
        <v/>
      </c>
      <c r="AY280" s="107" t="str">
        <f t="shared" si="22"/>
        <v/>
      </c>
      <c r="AZ280" s="108" t="str">
        <f t="shared" si="23"/>
        <v/>
      </c>
      <c r="BA280" s="108" t="str">
        <f t="shared" si="24"/>
        <v/>
      </c>
      <c r="BB280" s="109" t="str">
        <f t="shared" si="25"/>
        <v/>
      </c>
      <c r="BC280" s="108" t="str">
        <f t="shared" si="26"/>
        <v/>
      </c>
      <c r="BD280" s="108" t="str">
        <f t="shared" si="27"/>
        <v/>
      </c>
      <c r="BE280" s="109" t="str">
        <f t="shared" si="28"/>
        <v/>
      </c>
      <c r="BF280" s="110" t="str">
        <f t="shared" si="29"/>
        <v/>
      </c>
      <c r="BG280" s="111"/>
    </row>
    <row r="281" spans="1:59" ht="12.75">
      <c r="A281" s="101"/>
      <c r="B281" s="102"/>
      <c r="C281" s="102" t="e">
        <f t="array" aca="1" ref="C281" ca="1">_xludf.XLOOKUP(A281,'QA Log'!D:D,'QA Log'!F:F,"")</f>
        <v>#NAME?</v>
      </c>
      <c r="D281" s="102"/>
      <c r="E281" s="102" t="e">
        <f t="array" aca="1" ref="E281" ca="1">_xludf.XLOOKUP(A281,'QA Log'!D:D,'QA Log'!G:G,"")</f>
        <v>#NAME?</v>
      </c>
      <c r="F281" s="103"/>
      <c r="G281" s="104"/>
      <c r="H281" s="104"/>
      <c r="I281" s="103" t="str">
        <f t="shared" si="15"/>
        <v/>
      </c>
      <c r="J281" s="102"/>
      <c r="K281" s="102"/>
      <c r="L281" s="119" t="str">
        <f t="array" ref="L281">IF(OR($B281="",$D281=""),"",
IFERROR(
  INDEX(
    'Tools &amp; Targets_Guideline'!$C$54:$I$269,
    MATCH(
      1,
      ('Tools &amp; Targets_Guideline'!$A$54:$A$269=$B281)*
      ('Tools &amp; Targets_Guideline'!$B$54:$B$269="ANC"),
      0
    ),
    MATCH(
      _xludf.IFNA(
        VLOOKUP($D281,{"PH","Provincial Hospital (H2)";"DH","District Hospital (H3)";"RH","Regional / National Hospital (H1)"},2,0),
        $D281
      ),
      'Tools &amp; Targets_Guideline'!$C$53:$I$53,
      0
    )
  ),
0))</f>
        <v/>
      </c>
      <c r="M281" s="105"/>
      <c r="N281" s="119" t="str">
        <f t="array" ref="N281">IF(OR($B281="",$D281=""),"",
IFERROR(
  INDEX(
    'Tools &amp; Targets_Guideline'!$C$54:$I$269,
    MATCH(
      1,
      ('Tools &amp; Targets_Guideline'!$A$54:$A$269=$B281)*
      ('Tools &amp; Targets_Guideline'!$B$54:$B$269="PNC"),
      0
    ),
    MATCH(
      _xludf.IFNA(
        VLOOKUP($D281,{"PH","Provincial Hospital (H2)";"DH","District Hospital (H3)";"RH","Regional / National Hospital (H1)"},2,0),
        $D281
      ),
      'Tools &amp; Targets_Guideline'!$C$53:$I$53,
      0
    )
  ),
0))</f>
        <v/>
      </c>
      <c r="O281" s="105"/>
      <c r="P281" s="119" t="str">
        <f t="array" ref="P281">IF(OR($B281="",$D281=""),"",
IFERROR(
  INDEX(
    'Tools &amp; Targets_Guideline'!$C$54:$I$269,
    MATCH(
      1,
      ('Tools &amp; Targets_Guideline'!$A$54:$A$269=$B281)*
      ('Tools &amp; Targets_Guideline'!$B$54:$B$269="Delivery"),
      0
    ),
    MATCH(
      _xludf.IFNA(
        VLOOKUP($D281,{"PH","Provincial Hospital (H2)";"DH","District Hospital (H3)";"RH","Regional / National Hospital (H1)"},2,0),
        $D281
      ),
      'Tools &amp; Targets_Guideline'!$C$53:$I$53,
      0
    )
  ),
0))</f>
        <v/>
      </c>
      <c r="Q281" s="105"/>
      <c r="R281" s="119" t="str">
        <f t="array" ref="R281">IF(OR($B281="",$D281=""),"",
IFERROR(
  INDEX(
    'Tools &amp; Targets_Guideline'!$C$54:$I$269,
    MATCH(
      1,
      ('Tools &amp; Targets_Guideline'!$A$54:$A$269=$B281)*
      ('Tools &amp; Targets_Guideline'!$B$54:$B$269="TT"),
      0
    ),
    MATCH(
      _xludf.IFNA(
        VLOOKUP($D281,{"PH","Provincial Hospital (H2)";"DH","District Hospital (H3)";"RH","Regional / National Hospital (H1)"},2,0),
        $D281
      ),
      'Tools &amp; Targets_Guideline'!$C$53:$I$53,
      0
    )
  ),
0))</f>
        <v/>
      </c>
      <c r="S281" s="105"/>
      <c r="T281" s="102"/>
      <c r="U281" s="106"/>
      <c r="V281" s="102" t="str">
        <f t="shared" si="16"/>
        <v/>
      </c>
      <c r="W281" s="102"/>
      <c r="X281" s="102"/>
      <c r="Y281" s="119" t="str">
        <f t="array" ref="Y281">IF(OR($B281="",$D281=""),"",
IFERROR(
  INDEX(
    'Tools &amp; Targets_Guideline'!$C$54:$I$269,
    MATCH(
      1,
      ('Tools &amp; Targets_Guideline'!$A$54:$A$269=$B281)*
      ('Tools &amp; Targets_Guideline'!$B$54:$B$269="GM"),
      0
    ),
    MATCH(
      _xludf.IFNA(
        VLOOKUP($D281,{"PH","Provincial Hospital (H2)";"DH","District Hospital (H3)";"RH","Regional / National Hospital (H1)"},2,0),
        $D281
      ),
      'Tools &amp; Targets_Guideline'!$C$53:$I$53,
      0
    )
  ),
0))</f>
        <v/>
      </c>
      <c r="Z281" s="105"/>
      <c r="AA281" s="119" t="str">
        <f t="array" ref="AA281">IF(OR($B281="",$D281=""),"",
IFERROR(
  INDEX(
    'Tools &amp; Targets_Guideline'!$C$54:$I$269,
    MATCH(
      1,
      ('Tools &amp; Targets_Guideline'!$A$54:$A$269=$B281)*
      ('Tools &amp; Targets_Guideline'!$B$54:$B$269="Penta"),
      0
    ),
    MATCH(
      _xludf.IFNA(
        VLOOKUP($D281,{"PH","Provincial Hospital (H2)";"DH","District Hospital (H3)";"RH","Regional / National Hospital (H1)"},2,0),
        $D281
      ),
      'Tools &amp; Targets_Guideline'!$C$53:$I$53,
      0
    )
  ),
0))</f>
        <v/>
      </c>
      <c r="AB281" s="105"/>
      <c r="AC281" s="119" t="str">
        <f t="array" ref="AC281">IF(OR($B281="",$D281=""),"",
IFERROR(
  INDEX(
    'Tools &amp; Targets_Guideline'!$C$54:$I$269,
    MATCH(
      1,
      ('Tools &amp; Targets_Guideline'!$A$54:$A$269=$B281)*
      ('Tools &amp; Targets_Guideline'!$B$54:$B$269="TB"),
      0
    ),
    MATCH(
      _xludf.IFNA(
        VLOOKUP($D281,{"PH","Provincial Hospital (H2)";"DH","District Hospital (H3)";"RH","Regional / National Hospital (H1)"},2,0),
        $D281
      ),
      'Tools &amp; Targets_Guideline'!$C$53:$I$53,
      0
    )
  ),
0))</f>
        <v/>
      </c>
      <c r="AD281" s="105"/>
      <c r="AE281" s="119" t="str">
        <f t="array" ref="AE281">IF(OR($B281="",$D281=""),"",
IFERROR(
  INDEX(
    'Tools &amp; Targets_Guideline'!$C$54:$I$269,
    MATCH(
      1,
      ('Tools &amp; Targets_Guideline'!$A$54:$A$269=$B281)*
      ('Tools &amp; Targets_Guideline'!$B$54:$B$269="U5 Morbidity"),
      0
    ),
    MATCH(
      _xludf.IFNA(
        VLOOKUP($D281,{"PH","Provincial Hospital (H2)";"DH","District Hospital (H3)";"RH","Regional / National Hospital (H1)"},2,0),
        $D281
      ),
      'Tools &amp; Targets_Guideline'!$C$53:$I$53,
      0
    )
  ),
0))</f>
        <v/>
      </c>
      <c r="AF281" s="105"/>
      <c r="AG281" s="119" t="str">
        <f t="array" ref="AG281">IF(OR($B281="",$D281=""),"",
IFERROR(
  INDEX(
    'Tools &amp; Targets_Guideline'!$C$54:$I$269,
    MATCH(
      1,
      ('Tools &amp; Targets_Guideline'!$A$54:$A$269=$B281)*
      ('Tools &amp; Targets_Guideline'!$B$54:$B$269="C-Section"),
      0
    ),
    MATCH(
      _xludf.IFNA(
        VLOOKUP($D281,{"PH","Provincial Hospital (H2)";"DH","District Hospital (H3)";"RH","Regional / National Hospital (H1)"},2,0),
        $D281
      ),
      'Tools &amp; Targets_Guideline'!$C$53:$I$53,
      0
    )
  ),
0))</f>
        <v/>
      </c>
      <c r="AH281" s="105" t="str">
        <f>IF(A281&lt;&gt;"",COUNTIFS('QA Log'!D:D,A281,'QA Log'!M:M,"QQC",'QA Log'!L:L,"2. Hygiene and Sterilization",'QA Log'!Z:Z,"Approved"),"")</f>
        <v/>
      </c>
      <c r="AI281" s="102"/>
      <c r="AJ281" s="102"/>
      <c r="AK281" s="103" t="str">
        <f t="shared" si="17"/>
        <v/>
      </c>
      <c r="AL281" s="102"/>
      <c r="AM281" s="102"/>
      <c r="AN281" s="102"/>
      <c r="AO281" s="106"/>
      <c r="AP281" s="103"/>
      <c r="AQ281" s="102"/>
      <c r="AR281" s="102"/>
      <c r="AS281" s="102"/>
      <c r="AT281" s="107"/>
      <c r="AU281" s="102" t="str">
        <f t="shared" si="18"/>
        <v/>
      </c>
      <c r="AV281" s="102" t="str">
        <f t="shared" si="19"/>
        <v/>
      </c>
      <c r="AW281" s="102" t="str">
        <f t="shared" si="20"/>
        <v/>
      </c>
      <c r="AX281" s="102" t="str">
        <f t="shared" si="21"/>
        <v/>
      </c>
      <c r="AY281" s="107" t="str">
        <f t="shared" si="22"/>
        <v/>
      </c>
      <c r="AZ281" s="108" t="str">
        <f t="shared" si="23"/>
        <v/>
      </c>
      <c r="BA281" s="108" t="str">
        <f t="shared" si="24"/>
        <v/>
      </c>
      <c r="BB281" s="109" t="str">
        <f t="shared" si="25"/>
        <v/>
      </c>
      <c r="BC281" s="108" t="str">
        <f t="shared" si="26"/>
        <v/>
      </c>
      <c r="BD281" s="108" t="str">
        <f t="shared" si="27"/>
        <v/>
      </c>
      <c r="BE281" s="109" t="str">
        <f t="shared" si="28"/>
        <v/>
      </c>
      <c r="BF281" s="110" t="str">
        <f t="shared" si="29"/>
        <v/>
      </c>
      <c r="BG281" s="111"/>
    </row>
    <row r="282" spans="1:59" ht="12.75">
      <c r="A282" s="101"/>
      <c r="B282" s="102"/>
      <c r="C282" s="102" t="e">
        <f t="array" aca="1" ref="C282" ca="1">_xludf.XLOOKUP(A282,'QA Log'!D:D,'QA Log'!F:F,"")</f>
        <v>#NAME?</v>
      </c>
      <c r="D282" s="102"/>
      <c r="E282" s="102" t="e">
        <f t="array" aca="1" ref="E282" ca="1">_xludf.XLOOKUP(A282,'QA Log'!D:D,'QA Log'!G:G,"")</f>
        <v>#NAME?</v>
      </c>
      <c r="F282" s="103"/>
      <c r="G282" s="104"/>
      <c r="H282" s="104"/>
      <c r="I282" s="103" t="str">
        <f t="shared" si="15"/>
        <v/>
      </c>
      <c r="J282" s="102"/>
      <c r="K282" s="102"/>
      <c r="L282" s="119" t="str">
        <f t="array" ref="L282">IF(OR($B282="",$D282=""),"",
IFERROR(
  INDEX(
    'Tools &amp; Targets_Guideline'!$C$54:$I$269,
    MATCH(
      1,
      ('Tools &amp; Targets_Guideline'!$A$54:$A$269=$B282)*
      ('Tools &amp; Targets_Guideline'!$B$54:$B$269="ANC"),
      0
    ),
    MATCH(
      _xludf.IFNA(
        VLOOKUP($D282,{"PH","Provincial Hospital (H2)";"DH","District Hospital (H3)";"RH","Regional / National Hospital (H1)"},2,0),
        $D282
      ),
      'Tools &amp; Targets_Guideline'!$C$53:$I$53,
      0
    )
  ),
0))</f>
        <v/>
      </c>
      <c r="M282" s="105"/>
      <c r="N282" s="119" t="str">
        <f t="array" ref="N282">IF(OR($B282="",$D282=""),"",
IFERROR(
  INDEX(
    'Tools &amp; Targets_Guideline'!$C$54:$I$269,
    MATCH(
      1,
      ('Tools &amp; Targets_Guideline'!$A$54:$A$269=$B282)*
      ('Tools &amp; Targets_Guideline'!$B$54:$B$269="PNC"),
      0
    ),
    MATCH(
      _xludf.IFNA(
        VLOOKUP($D282,{"PH","Provincial Hospital (H2)";"DH","District Hospital (H3)";"RH","Regional / National Hospital (H1)"},2,0),
        $D282
      ),
      'Tools &amp; Targets_Guideline'!$C$53:$I$53,
      0
    )
  ),
0))</f>
        <v/>
      </c>
      <c r="O282" s="105"/>
      <c r="P282" s="119" t="str">
        <f t="array" ref="P282">IF(OR($B282="",$D282=""),"",
IFERROR(
  INDEX(
    'Tools &amp; Targets_Guideline'!$C$54:$I$269,
    MATCH(
      1,
      ('Tools &amp; Targets_Guideline'!$A$54:$A$269=$B282)*
      ('Tools &amp; Targets_Guideline'!$B$54:$B$269="Delivery"),
      0
    ),
    MATCH(
      _xludf.IFNA(
        VLOOKUP($D282,{"PH","Provincial Hospital (H2)";"DH","District Hospital (H3)";"RH","Regional / National Hospital (H1)"},2,0),
        $D282
      ),
      'Tools &amp; Targets_Guideline'!$C$53:$I$53,
      0
    )
  ),
0))</f>
        <v/>
      </c>
      <c r="Q282" s="105"/>
      <c r="R282" s="119" t="str">
        <f t="array" ref="R282">IF(OR($B282="",$D282=""),"",
IFERROR(
  INDEX(
    'Tools &amp; Targets_Guideline'!$C$54:$I$269,
    MATCH(
      1,
      ('Tools &amp; Targets_Guideline'!$A$54:$A$269=$B282)*
      ('Tools &amp; Targets_Guideline'!$B$54:$B$269="TT"),
      0
    ),
    MATCH(
      _xludf.IFNA(
        VLOOKUP($D282,{"PH","Provincial Hospital (H2)";"DH","District Hospital (H3)";"RH","Regional / National Hospital (H1)"},2,0),
        $D282
      ),
      'Tools &amp; Targets_Guideline'!$C$53:$I$53,
      0
    )
  ),
0))</f>
        <v/>
      </c>
      <c r="S282" s="105"/>
      <c r="T282" s="102"/>
      <c r="U282" s="106"/>
      <c r="V282" s="102" t="str">
        <f t="shared" si="16"/>
        <v/>
      </c>
      <c r="W282" s="102"/>
      <c r="X282" s="102"/>
      <c r="Y282" s="119" t="str">
        <f t="array" ref="Y282">IF(OR($B282="",$D282=""),"",
IFERROR(
  INDEX(
    'Tools &amp; Targets_Guideline'!$C$54:$I$269,
    MATCH(
      1,
      ('Tools &amp; Targets_Guideline'!$A$54:$A$269=$B282)*
      ('Tools &amp; Targets_Guideline'!$B$54:$B$269="GM"),
      0
    ),
    MATCH(
      _xludf.IFNA(
        VLOOKUP($D282,{"PH","Provincial Hospital (H2)";"DH","District Hospital (H3)";"RH","Regional / National Hospital (H1)"},2,0),
        $D282
      ),
      'Tools &amp; Targets_Guideline'!$C$53:$I$53,
      0
    )
  ),
0))</f>
        <v/>
      </c>
      <c r="Z282" s="105"/>
      <c r="AA282" s="119" t="str">
        <f t="array" ref="AA282">IF(OR($B282="",$D282=""),"",
IFERROR(
  INDEX(
    'Tools &amp; Targets_Guideline'!$C$54:$I$269,
    MATCH(
      1,
      ('Tools &amp; Targets_Guideline'!$A$54:$A$269=$B282)*
      ('Tools &amp; Targets_Guideline'!$B$54:$B$269="Penta"),
      0
    ),
    MATCH(
      _xludf.IFNA(
        VLOOKUP($D282,{"PH","Provincial Hospital (H2)";"DH","District Hospital (H3)";"RH","Regional / National Hospital (H1)"},2,0),
        $D282
      ),
      'Tools &amp; Targets_Guideline'!$C$53:$I$53,
      0
    )
  ),
0))</f>
        <v/>
      </c>
      <c r="AB282" s="105"/>
      <c r="AC282" s="119" t="str">
        <f t="array" ref="AC282">IF(OR($B282="",$D282=""),"",
IFERROR(
  INDEX(
    'Tools &amp; Targets_Guideline'!$C$54:$I$269,
    MATCH(
      1,
      ('Tools &amp; Targets_Guideline'!$A$54:$A$269=$B282)*
      ('Tools &amp; Targets_Guideline'!$B$54:$B$269="TB"),
      0
    ),
    MATCH(
      _xludf.IFNA(
        VLOOKUP($D282,{"PH","Provincial Hospital (H2)";"DH","District Hospital (H3)";"RH","Regional / National Hospital (H1)"},2,0),
        $D282
      ),
      'Tools &amp; Targets_Guideline'!$C$53:$I$53,
      0
    )
  ),
0))</f>
        <v/>
      </c>
      <c r="AD282" s="105"/>
      <c r="AE282" s="119" t="str">
        <f t="array" ref="AE282">IF(OR($B282="",$D282=""),"",
IFERROR(
  INDEX(
    'Tools &amp; Targets_Guideline'!$C$54:$I$269,
    MATCH(
      1,
      ('Tools &amp; Targets_Guideline'!$A$54:$A$269=$B282)*
      ('Tools &amp; Targets_Guideline'!$B$54:$B$269="U5 Morbidity"),
      0
    ),
    MATCH(
      _xludf.IFNA(
        VLOOKUP($D282,{"PH","Provincial Hospital (H2)";"DH","District Hospital (H3)";"RH","Regional / National Hospital (H1)"},2,0),
        $D282
      ),
      'Tools &amp; Targets_Guideline'!$C$53:$I$53,
      0
    )
  ),
0))</f>
        <v/>
      </c>
      <c r="AF282" s="105"/>
      <c r="AG282" s="119" t="str">
        <f t="array" ref="AG282">IF(OR($B282="",$D282=""),"",
IFERROR(
  INDEX(
    'Tools &amp; Targets_Guideline'!$C$54:$I$269,
    MATCH(
      1,
      ('Tools &amp; Targets_Guideline'!$A$54:$A$269=$B282)*
      ('Tools &amp; Targets_Guideline'!$B$54:$B$269="C-Section"),
      0
    ),
    MATCH(
      _xludf.IFNA(
        VLOOKUP($D282,{"PH","Provincial Hospital (H2)";"DH","District Hospital (H3)";"RH","Regional / National Hospital (H1)"},2,0),
        $D282
      ),
      'Tools &amp; Targets_Guideline'!$C$53:$I$53,
      0
    )
  ),
0))</f>
        <v/>
      </c>
      <c r="AH282" s="105" t="str">
        <f>IF(A282&lt;&gt;"",COUNTIFS('QA Log'!D:D,A282,'QA Log'!M:M,"QQC",'QA Log'!L:L,"2. Hygiene and Sterilization",'QA Log'!Z:Z,"Approved"),"")</f>
        <v/>
      </c>
      <c r="AI282" s="102"/>
      <c r="AJ282" s="102"/>
      <c r="AK282" s="103" t="str">
        <f t="shared" si="17"/>
        <v/>
      </c>
      <c r="AL282" s="102"/>
      <c r="AM282" s="102"/>
      <c r="AN282" s="102"/>
      <c r="AO282" s="106"/>
      <c r="AP282" s="103"/>
      <c r="AQ282" s="102"/>
      <c r="AR282" s="102"/>
      <c r="AS282" s="102"/>
      <c r="AT282" s="107"/>
      <c r="AU282" s="102" t="str">
        <f t="shared" si="18"/>
        <v/>
      </c>
      <c r="AV282" s="102" t="str">
        <f t="shared" si="19"/>
        <v/>
      </c>
      <c r="AW282" s="102" t="str">
        <f t="shared" si="20"/>
        <v/>
      </c>
      <c r="AX282" s="102" t="str">
        <f t="shared" si="21"/>
        <v/>
      </c>
      <c r="AY282" s="107" t="str">
        <f t="shared" si="22"/>
        <v/>
      </c>
      <c r="AZ282" s="108" t="str">
        <f t="shared" si="23"/>
        <v/>
      </c>
      <c r="BA282" s="108" t="str">
        <f t="shared" si="24"/>
        <v/>
      </c>
      <c r="BB282" s="109" t="str">
        <f t="shared" si="25"/>
        <v/>
      </c>
      <c r="BC282" s="108" t="str">
        <f t="shared" si="26"/>
        <v/>
      </c>
      <c r="BD282" s="108" t="str">
        <f t="shared" si="27"/>
        <v/>
      </c>
      <c r="BE282" s="109" t="str">
        <f t="shared" si="28"/>
        <v/>
      </c>
      <c r="BF282" s="110" t="str">
        <f t="shared" si="29"/>
        <v/>
      </c>
      <c r="BG282" s="111"/>
    </row>
    <row r="283" spans="1:59" ht="12.75">
      <c r="A283" s="101"/>
      <c r="B283" s="102"/>
      <c r="C283" s="102" t="e">
        <f t="array" aca="1" ref="C283" ca="1">_xludf.XLOOKUP(A283,'QA Log'!D:D,'QA Log'!F:F,"")</f>
        <v>#NAME?</v>
      </c>
      <c r="D283" s="102"/>
      <c r="E283" s="102" t="e">
        <f t="array" aca="1" ref="E283" ca="1">_xludf.XLOOKUP(A283,'QA Log'!D:D,'QA Log'!G:G,"")</f>
        <v>#NAME?</v>
      </c>
      <c r="F283" s="103"/>
      <c r="G283" s="104"/>
      <c r="H283" s="104"/>
      <c r="I283" s="103" t="str">
        <f t="shared" si="15"/>
        <v/>
      </c>
      <c r="J283" s="102"/>
      <c r="K283" s="102"/>
      <c r="L283" s="119" t="str">
        <f t="array" ref="L283">IF(OR($B283="",$D283=""),"",
IFERROR(
  INDEX(
    'Tools &amp; Targets_Guideline'!$C$54:$I$269,
    MATCH(
      1,
      ('Tools &amp; Targets_Guideline'!$A$54:$A$269=$B283)*
      ('Tools &amp; Targets_Guideline'!$B$54:$B$269="ANC"),
      0
    ),
    MATCH(
      _xludf.IFNA(
        VLOOKUP($D283,{"PH","Provincial Hospital (H2)";"DH","District Hospital (H3)";"RH","Regional / National Hospital (H1)"},2,0),
        $D283
      ),
      'Tools &amp; Targets_Guideline'!$C$53:$I$53,
      0
    )
  ),
0))</f>
        <v/>
      </c>
      <c r="M283" s="105"/>
      <c r="N283" s="119" t="str">
        <f t="array" ref="N283">IF(OR($B283="",$D283=""),"",
IFERROR(
  INDEX(
    'Tools &amp; Targets_Guideline'!$C$54:$I$269,
    MATCH(
      1,
      ('Tools &amp; Targets_Guideline'!$A$54:$A$269=$B283)*
      ('Tools &amp; Targets_Guideline'!$B$54:$B$269="PNC"),
      0
    ),
    MATCH(
      _xludf.IFNA(
        VLOOKUP($D283,{"PH","Provincial Hospital (H2)";"DH","District Hospital (H3)";"RH","Regional / National Hospital (H1)"},2,0),
        $D283
      ),
      'Tools &amp; Targets_Guideline'!$C$53:$I$53,
      0
    )
  ),
0))</f>
        <v/>
      </c>
      <c r="O283" s="105"/>
      <c r="P283" s="119" t="str">
        <f t="array" ref="P283">IF(OR($B283="",$D283=""),"",
IFERROR(
  INDEX(
    'Tools &amp; Targets_Guideline'!$C$54:$I$269,
    MATCH(
      1,
      ('Tools &amp; Targets_Guideline'!$A$54:$A$269=$B283)*
      ('Tools &amp; Targets_Guideline'!$B$54:$B$269="Delivery"),
      0
    ),
    MATCH(
      _xludf.IFNA(
        VLOOKUP($D283,{"PH","Provincial Hospital (H2)";"DH","District Hospital (H3)";"RH","Regional / National Hospital (H1)"},2,0),
        $D283
      ),
      'Tools &amp; Targets_Guideline'!$C$53:$I$53,
      0
    )
  ),
0))</f>
        <v/>
      </c>
      <c r="Q283" s="105"/>
      <c r="R283" s="119" t="str">
        <f t="array" ref="R283">IF(OR($B283="",$D283=""),"",
IFERROR(
  INDEX(
    'Tools &amp; Targets_Guideline'!$C$54:$I$269,
    MATCH(
      1,
      ('Tools &amp; Targets_Guideline'!$A$54:$A$269=$B283)*
      ('Tools &amp; Targets_Guideline'!$B$54:$B$269="TT"),
      0
    ),
    MATCH(
      _xludf.IFNA(
        VLOOKUP($D283,{"PH","Provincial Hospital (H2)";"DH","District Hospital (H3)";"RH","Regional / National Hospital (H1)"},2,0),
        $D283
      ),
      'Tools &amp; Targets_Guideline'!$C$53:$I$53,
      0
    )
  ),
0))</f>
        <v/>
      </c>
      <c r="S283" s="105"/>
      <c r="T283" s="102"/>
      <c r="U283" s="106"/>
      <c r="V283" s="102" t="str">
        <f t="shared" si="16"/>
        <v/>
      </c>
      <c r="W283" s="102"/>
      <c r="X283" s="102"/>
      <c r="Y283" s="119" t="str">
        <f t="array" ref="Y283">IF(OR($B283="",$D283=""),"",
IFERROR(
  INDEX(
    'Tools &amp; Targets_Guideline'!$C$54:$I$269,
    MATCH(
      1,
      ('Tools &amp; Targets_Guideline'!$A$54:$A$269=$B283)*
      ('Tools &amp; Targets_Guideline'!$B$54:$B$269="GM"),
      0
    ),
    MATCH(
      _xludf.IFNA(
        VLOOKUP($D283,{"PH","Provincial Hospital (H2)";"DH","District Hospital (H3)";"RH","Regional / National Hospital (H1)"},2,0),
        $D283
      ),
      'Tools &amp; Targets_Guideline'!$C$53:$I$53,
      0
    )
  ),
0))</f>
        <v/>
      </c>
      <c r="Z283" s="105"/>
      <c r="AA283" s="119" t="str">
        <f t="array" ref="AA283">IF(OR($B283="",$D283=""),"",
IFERROR(
  INDEX(
    'Tools &amp; Targets_Guideline'!$C$54:$I$269,
    MATCH(
      1,
      ('Tools &amp; Targets_Guideline'!$A$54:$A$269=$B283)*
      ('Tools &amp; Targets_Guideline'!$B$54:$B$269="Penta"),
      0
    ),
    MATCH(
      _xludf.IFNA(
        VLOOKUP($D283,{"PH","Provincial Hospital (H2)";"DH","District Hospital (H3)";"RH","Regional / National Hospital (H1)"},2,0),
        $D283
      ),
      'Tools &amp; Targets_Guideline'!$C$53:$I$53,
      0
    )
  ),
0))</f>
        <v/>
      </c>
      <c r="AB283" s="105"/>
      <c r="AC283" s="119" t="str">
        <f t="array" ref="AC283">IF(OR($B283="",$D283=""),"",
IFERROR(
  INDEX(
    'Tools &amp; Targets_Guideline'!$C$54:$I$269,
    MATCH(
      1,
      ('Tools &amp; Targets_Guideline'!$A$54:$A$269=$B283)*
      ('Tools &amp; Targets_Guideline'!$B$54:$B$269="TB"),
      0
    ),
    MATCH(
      _xludf.IFNA(
        VLOOKUP($D283,{"PH","Provincial Hospital (H2)";"DH","District Hospital (H3)";"RH","Regional / National Hospital (H1)"},2,0),
        $D283
      ),
      'Tools &amp; Targets_Guideline'!$C$53:$I$53,
      0
    )
  ),
0))</f>
        <v/>
      </c>
      <c r="AD283" s="105"/>
      <c r="AE283" s="119" t="str">
        <f t="array" ref="AE283">IF(OR($B283="",$D283=""),"",
IFERROR(
  INDEX(
    'Tools &amp; Targets_Guideline'!$C$54:$I$269,
    MATCH(
      1,
      ('Tools &amp; Targets_Guideline'!$A$54:$A$269=$B283)*
      ('Tools &amp; Targets_Guideline'!$B$54:$B$269="U5 Morbidity"),
      0
    ),
    MATCH(
      _xludf.IFNA(
        VLOOKUP($D283,{"PH","Provincial Hospital (H2)";"DH","District Hospital (H3)";"RH","Regional / National Hospital (H1)"},2,0),
        $D283
      ),
      'Tools &amp; Targets_Guideline'!$C$53:$I$53,
      0
    )
  ),
0))</f>
        <v/>
      </c>
      <c r="AF283" s="105"/>
      <c r="AG283" s="119" t="str">
        <f t="array" ref="AG283">IF(OR($B283="",$D283=""),"",
IFERROR(
  INDEX(
    'Tools &amp; Targets_Guideline'!$C$54:$I$269,
    MATCH(
      1,
      ('Tools &amp; Targets_Guideline'!$A$54:$A$269=$B283)*
      ('Tools &amp; Targets_Guideline'!$B$54:$B$269="C-Section"),
      0
    ),
    MATCH(
      _xludf.IFNA(
        VLOOKUP($D283,{"PH","Provincial Hospital (H2)";"DH","District Hospital (H3)";"RH","Regional / National Hospital (H1)"},2,0),
        $D283
      ),
      'Tools &amp; Targets_Guideline'!$C$53:$I$53,
      0
    )
  ),
0))</f>
        <v/>
      </c>
      <c r="AH283" s="105" t="str">
        <f>IF(A283&lt;&gt;"",COUNTIFS('QA Log'!D:D,A283,'QA Log'!M:M,"QQC",'QA Log'!L:L,"2. Hygiene and Sterilization",'QA Log'!Z:Z,"Approved"),"")</f>
        <v/>
      </c>
      <c r="AI283" s="102"/>
      <c r="AJ283" s="102"/>
      <c r="AK283" s="103" t="str">
        <f t="shared" si="17"/>
        <v/>
      </c>
      <c r="AL283" s="102"/>
      <c r="AM283" s="102"/>
      <c r="AN283" s="102"/>
      <c r="AO283" s="106"/>
      <c r="AP283" s="103"/>
      <c r="AQ283" s="102"/>
      <c r="AR283" s="102"/>
      <c r="AS283" s="102"/>
      <c r="AT283" s="107"/>
      <c r="AU283" s="102" t="str">
        <f t="shared" si="18"/>
        <v/>
      </c>
      <c r="AV283" s="102" t="str">
        <f t="shared" si="19"/>
        <v/>
      </c>
      <c r="AW283" s="102" t="str">
        <f t="shared" si="20"/>
        <v/>
      </c>
      <c r="AX283" s="102" t="str">
        <f t="shared" si="21"/>
        <v/>
      </c>
      <c r="AY283" s="107" t="str">
        <f t="shared" si="22"/>
        <v/>
      </c>
      <c r="AZ283" s="108" t="str">
        <f t="shared" si="23"/>
        <v/>
      </c>
      <c r="BA283" s="108" t="str">
        <f t="shared" si="24"/>
        <v/>
      </c>
      <c r="BB283" s="109" t="str">
        <f t="shared" si="25"/>
        <v/>
      </c>
      <c r="BC283" s="108" t="str">
        <f t="shared" si="26"/>
        <v/>
      </c>
      <c r="BD283" s="108" t="str">
        <f t="shared" si="27"/>
        <v/>
      </c>
      <c r="BE283" s="109" t="str">
        <f t="shared" si="28"/>
        <v/>
      </c>
      <c r="BF283" s="110" t="str">
        <f t="shared" si="29"/>
        <v/>
      </c>
      <c r="BG283" s="111"/>
    </row>
    <row r="284" spans="1:59" ht="12.75">
      <c r="A284" s="101"/>
      <c r="B284" s="102"/>
      <c r="C284" s="102" t="e">
        <f t="array" aca="1" ref="C284" ca="1">_xludf.XLOOKUP(A284,'QA Log'!D:D,'QA Log'!F:F,"")</f>
        <v>#NAME?</v>
      </c>
      <c r="D284" s="102"/>
      <c r="E284" s="102" t="e">
        <f t="array" aca="1" ref="E284" ca="1">_xludf.XLOOKUP(A284,'QA Log'!D:D,'QA Log'!G:G,"")</f>
        <v>#NAME?</v>
      </c>
      <c r="F284" s="103"/>
      <c r="G284" s="104"/>
      <c r="H284" s="104"/>
      <c r="I284" s="103" t="str">
        <f t="shared" si="15"/>
        <v/>
      </c>
      <c r="J284" s="102"/>
      <c r="K284" s="102"/>
      <c r="L284" s="119" t="str">
        <f t="array" ref="L284">IF(OR($B284="",$D284=""),"",
IFERROR(
  INDEX(
    'Tools &amp; Targets_Guideline'!$C$54:$I$269,
    MATCH(
      1,
      ('Tools &amp; Targets_Guideline'!$A$54:$A$269=$B284)*
      ('Tools &amp; Targets_Guideline'!$B$54:$B$269="ANC"),
      0
    ),
    MATCH(
      _xludf.IFNA(
        VLOOKUP($D284,{"PH","Provincial Hospital (H2)";"DH","District Hospital (H3)";"RH","Regional / National Hospital (H1)"},2,0),
        $D284
      ),
      'Tools &amp; Targets_Guideline'!$C$53:$I$53,
      0
    )
  ),
0))</f>
        <v/>
      </c>
      <c r="M284" s="105"/>
      <c r="N284" s="119" t="str">
        <f t="array" ref="N284">IF(OR($B284="",$D284=""),"",
IFERROR(
  INDEX(
    'Tools &amp; Targets_Guideline'!$C$54:$I$269,
    MATCH(
      1,
      ('Tools &amp; Targets_Guideline'!$A$54:$A$269=$B284)*
      ('Tools &amp; Targets_Guideline'!$B$54:$B$269="PNC"),
      0
    ),
    MATCH(
      _xludf.IFNA(
        VLOOKUP($D284,{"PH","Provincial Hospital (H2)";"DH","District Hospital (H3)";"RH","Regional / National Hospital (H1)"},2,0),
        $D284
      ),
      'Tools &amp; Targets_Guideline'!$C$53:$I$53,
      0
    )
  ),
0))</f>
        <v/>
      </c>
      <c r="O284" s="105"/>
      <c r="P284" s="119" t="str">
        <f t="array" ref="P284">IF(OR($B284="",$D284=""),"",
IFERROR(
  INDEX(
    'Tools &amp; Targets_Guideline'!$C$54:$I$269,
    MATCH(
      1,
      ('Tools &amp; Targets_Guideline'!$A$54:$A$269=$B284)*
      ('Tools &amp; Targets_Guideline'!$B$54:$B$269="Delivery"),
      0
    ),
    MATCH(
      _xludf.IFNA(
        VLOOKUP($D284,{"PH","Provincial Hospital (H2)";"DH","District Hospital (H3)";"RH","Regional / National Hospital (H1)"},2,0),
        $D284
      ),
      'Tools &amp; Targets_Guideline'!$C$53:$I$53,
      0
    )
  ),
0))</f>
        <v/>
      </c>
      <c r="Q284" s="105"/>
      <c r="R284" s="119" t="str">
        <f t="array" ref="R284">IF(OR($B284="",$D284=""),"",
IFERROR(
  INDEX(
    'Tools &amp; Targets_Guideline'!$C$54:$I$269,
    MATCH(
      1,
      ('Tools &amp; Targets_Guideline'!$A$54:$A$269=$B284)*
      ('Tools &amp; Targets_Guideline'!$B$54:$B$269="TT"),
      0
    ),
    MATCH(
      _xludf.IFNA(
        VLOOKUP($D284,{"PH","Provincial Hospital (H2)";"DH","District Hospital (H3)";"RH","Regional / National Hospital (H1)"},2,0),
        $D284
      ),
      'Tools &amp; Targets_Guideline'!$C$53:$I$53,
      0
    )
  ),
0))</f>
        <v/>
      </c>
      <c r="S284" s="105"/>
      <c r="T284" s="102"/>
      <c r="U284" s="106"/>
      <c r="V284" s="102" t="str">
        <f t="shared" si="16"/>
        <v/>
      </c>
      <c r="W284" s="102"/>
      <c r="X284" s="102"/>
      <c r="Y284" s="119" t="str">
        <f t="array" ref="Y284">IF(OR($B284="",$D284=""),"",
IFERROR(
  INDEX(
    'Tools &amp; Targets_Guideline'!$C$54:$I$269,
    MATCH(
      1,
      ('Tools &amp; Targets_Guideline'!$A$54:$A$269=$B284)*
      ('Tools &amp; Targets_Guideline'!$B$54:$B$269="GM"),
      0
    ),
    MATCH(
      _xludf.IFNA(
        VLOOKUP($D284,{"PH","Provincial Hospital (H2)";"DH","District Hospital (H3)";"RH","Regional / National Hospital (H1)"},2,0),
        $D284
      ),
      'Tools &amp; Targets_Guideline'!$C$53:$I$53,
      0
    )
  ),
0))</f>
        <v/>
      </c>
      <c r="Z284" s="105"/>
      <c r="AA284" s="119" t="str">
        <f t="array" ref="AA284">IF(OR($B284="",$D284=""),"",
IFERROR(
  INDEX(
    'Tools &amp; Targets_Guideline'!$C$54:$I$269,
    MATCH(
      1,
      ('Tools &amp; Targets_Guideline'!$A$54:$A$269=$B284)*
      ('Tools &amp; Targets_Guideline'!$B$54:$B$269="Penta"),
      0
    ),
    MATCH(
      _xludf.IFNA(
        VLOOKUP($D284,{"PH","Provincial Hospital (H2)";"DH","District Hospital (H3)";"RH","Regional / National Hospital (H1)"},2,0),
        $D284
      ),
      'Tools &amp; Targets_Guideline'!$C$53:$I$53,
      0
    )
  ),
0))</f>
        <v/>
      </c>
      <c r="AB284" s="105"/>
      <c r="AC284" s="119" t="str">
        <f t="array" ref="AC284">IF(OR($B284="",$D284=""),"",
IFERROR(
  INDEX(
    'Tools &amp; Targets_Guideline'!$C$54:$I$269,
    MATCH(
      1,
      ('Tools &amp; Targets_Guideline'!$A$54:$A$269=$B284)*
      ('Tools &amp; Targets_Guideline'!$B$54:$B$269="TB"),
      0
    ),
    MATCH(
      _xludf.IFNA(
        VLOOKUP($D284,{"PH","Provincial Hospital (H2)";"DH","District Hospital (H3)";"RH","Regional / National Hospital (H1)"},2,0),
        $D284
      ),
      'Tools &amp; Targets_Guideline'!$C$53:$I$53,
      0
    )
  ),
0))</f>
        <v/>
      </c>
      <c r="AD284" s="105"/>
      <c r="AE284" s="119" t="str">
        <f t="array" ref="AE284">IF(OR($B284="",$D284=""),"",
IFERROR(
  INDEX(
    'Tools &amp; Targets_Guideline'!$C$54:$I$269,
    MATCH(
      1,
      ('Tools &amp; Targets_Guideline'!$A$54:$A$269=$B284)*
      ('Tools &amp; Targets_Guideline'!$B$54:$B$269="U5 Morbidity"),
      0
    ),
    MATCH(
      _xludf.IFNA(
        VLOOKUP($D284,{"PH","Provincial Hospital (H2)";"DH","District Hospital (H3)";"RH","Regional / National Hospital (H1)"},2,0),
        $D284
      ),
      'Tools &amp; Targets_Guideline'!$C$53:$I$53,
      0
    )
  ),
0))</f>
        <v/>
      </c>
      <c r="AF284" s="105"/>
      <c r="AG284" s="119" t="str">
        <f t="array" ref="AG284">IF(OR($B284="",$D284=""),"",
IFERROR(
  INDEX(
    'Tools &amp; Targets_Guideline'!$C$54:$I$269,
    MATCH(
      1,
      ('Tools &amp; Targets_Guideline'!$A$54:$A$269=$B284)*
      ('Tools &amp; Targets_Guideline'!$B$54:$B$269="C-Section"),
      0
    ),
    MATCH(
      _xludf.IFNA(
        VLOOKUP($D284,{"PH","Provincial Hospital (H2)";"DH","District Hospital (H3)";"RH","Regional / National Hospital (H1)"},2,0),
        $D284
      ),
      'Tools &amp; Targets_Guideline'!$C$53:$I$53,
      0
    )
  ),
0))</f>
        <v/>
      </c>
      <c r="AH284" s="105" t="str">
        <f>IF(A284&lt;&gt;"",COUNTIFS('QA Log'!D:D,A284,'QA Log'!M:M,"QQC",'QA Log'!L:L,"2. Hygiene and Sterilization",'QA Log'!Z:Z,"Approved"),"")</f>
        <v/>
      </c>
      <c r="AI284" s="102"/>
      <c r="AJ284" s="102"/>
      <c r="AK284" s="103" t="str">
        <f t="shared" si="17"/>
        <v/>
      </c>
      <c r="AL284" s="102"/>
      <c r="AM284" s="102"/>
      <c r="AN284" s="102"/>
      <c r="AO284" s="106"/>
      <c r="AP284" s="103"/>
      <c r="AQ284" s="102"/>
      <c r="AR284" s="102"/>
      <c r="AS284" s="102"/>
      <c r="AT284" s="107"/>
      <c r="AU284" s="102" t="str">
        <f t="shared" si="18"/>
        <v/>
      </c>
      <c r="AV284" s="102" t="str">
        <f t="shared" si="19"/>
        <v/>
      </c>
      <c r="AW284" s="102" t="str">
        <f t="shared" si="20"/>
        <v/>
      </c>
      <c r="AX284" s="102" t="str">
        <f t="shared" si="21"/>
        <v/>
      </c>
      <c r="AY284" s="107" t="str">
        <f t="shared" si="22"/>
        <v/>
      </c>
      <c r="AZ284" s="108" t="str">
        <f t="shared" si="23"/>
        <v/>
      </c>
      <c r="BA284" s="108" t="str">
        <f t="shared" si="24"/>
        <v/>
      </c>
      <c r="BB284" s="109" t="str">
        <f t="shared" si="25"/>
        <v/>
      </c>
      <c r="BC284" s="108" t="str">
        <f t="shared" si="26"/>
        <v/>
      </c>
      <c r="BD284" s="108" t="str">
        <f t="shared" si="27"/>
        <v/>
      </c>
      <c r="BE284" s="109" t="str">
        <f t="shared" si="28"/>
        <v/>
      </c>
      <c r="BF284" s="110" t="str">
        <f t="shared" si="29"/>
        <v/>
      </c>
      <c r="BG284" s="111"/>
    </row>
    <row r="285" spans="1:59" ht="12.75">
      <c r="A285" s="101"/>
      <c r="B285" s="102"/>
      <c r="C285" s="102" t="e">
        <f t="array" aca="1" ref="C285" ca="1">_xludf.XLOOKUP(A285,'QA Log'!D:D,'QA Log'!F:F,"")</f>
        <v>#NAME?</v>
      </c>
      <c r="D285" s="102"/>
      <c r="E285" s="102" t="e">
        <f t="array" aca="1" ref="E285" ca="1">_xludf.XLOOKUP(A285,'QA Log'!D:D,'QA Log'!G:G,"")</f>
        <v>#NAME?</v>
      </c>
      <c r="F285" s="103"/>
      <c r="G285" s="104"/>
      <c r="H285" s="104"/>
      <c r="I285" s="103" t="str">
        <f t="shared" si="15"/>
        <v/>
      </c>
      <c r="J285" s="102"/>
      <c r="K285" s="102"/>
      <c r="L285" s="119" t="str">
        <f t="array" ref="L285">IF(OR($B285="",$D285=""),"",
IFERROR(
  INDEX(
    'Tools &amp; Targets_Guideline'!$C$54:$I$269,
    MATCH(
      1,
      ('Tools &amp; Targets_Guideline'!$A$54:$A$269=$B285)*
      ('Tools &amp; Targets_Guideline'!$B$54:$B$269="ANC"),
      0
    ),
    MATCH(
      _xludf.IFNA(
        VLOOKUP($D285,{"PH","Provincial Hospital (H2)";"DH","District Hospital (H3)";"RH","Regional / National Hospital (H1)"},2,0),
        $D285
      ),
      'Tools &amp; Targets_Guideline'!$C$53:$I$53,
      0
    )
  ),
0))</f>
        <v/>
      </c>
      <c r="M285" s="105"/>
      <c r="N285" s="119" t="str">
        <f t="array" ref="N285">IF(OR($B285="",$D285=""),"",
IFERROR(
  INDEX(
    'Tools &amp; Targets_Guideline'!$C$54:$I$269,
    MATCH(
      1,
      ('Tools &amp; Targets_Guideline'!$A$54:$A$269=$B285)*
      ('Tools &amp; Targets_Guideline'!$B$54:$B$269="PNC"),
      0
    ),
    MATCH(
      _xludf.IFNA(
        VLOOKUP($D285,{"PH","Provincial Hospital (H2)";"DH","District Hospital (H3)";"RH","Regional / National Hospital (H1)"},2,0),
        $D285
      ),
      'Tools &amp; Targets_Guideline'!$C$53:$I$53,
      0
    )
  ),
0))</f>
        <v/>
      </c>
      <c r="O285" s="105"/>
      <c r="P285" s="119" t="str">
        <f t="array" ref="P285">IF(OR($B285="",$D285=""),"",
IFERROR(
  INDEX(
    'Tools &amp; Targets_Guideline'!$C$54:$I$269,
    MATCH(
      1,
      ('Tools &amp; Targets_Guideline'!$A$54:$A$269=$B285)*
      ('Tools &amp; Targets_Guideline'!$B$54:$B$269="Delivery"),
      0
    ),
    MATCH(
      _xludf.IFNA(
        VLOOKUP($D285,{"PH","Provincial Hospital (H2)";"DH","District Hospital (H3)";"RH","Regional / National Hospital (H1)"},2,0),
        $D285
      ),
      'Tools &amp; Targets_Guideline'!$C$53:$I$53,
      0
    )
  ),
0))</f>
        <v/>
      </c>
      <c r="Q285" s="105"/>
      <c r="R285" s="119" t="str">
        <f t="array" ref="R285">IF(OR($B285="",$D285=""),"",
IFERROR(
  INDEX(
    'Tools &amp; Targets_Guideline'!$C$54:$I$269,
    MATCH(
      1,
      ('Tools &amp; Targets_Guideline'!$A$54:$A$269=$B285)*
      ('Tools &amp; Targets_Guideline'!$B$54:$B$269="TT"),
      0
    ),
    MATCH(
      _xludf.IFNA(
        VLOOKUP($D285,{"PH","Provincial Hospital (H2)";"DH","District Hospital (H3)";"RH","Regional / National Hospital (H1)"},2,0),
        $D285
      ),
      'Tools &amp; Targets_Guideline'!$C$53:$I$53,
      0
    )
  ),
0))</f>
        <v/>
      </c>
      <c r="S285" s="105"/>
      <c r="T285" s="102"/>
      <c r="U285" s="106"/>
      <c r="V285" s="102" t="str">
        <f t="shared" si="16"/>
        <v/>
      </c>
      <c r="W285" s="102"/>
      <c r="X285" s="102"/>
      <c r="Y285" s="119" t="str">
        <f t="array" ref="Y285">IF(OR($B285="",$D285=""),"",
IFERROR(
  INDEX(
    'Tools &amp; Targets_Guideline'!$C$54:$I$269,
    MATCH(
      1,
      ('Tools &amp; Targets_Guideline'!$A$54:$A$269=$B285)*
      ('Tools &amp; Targets_Guideline'!$B$54:$B$269="GM"),
      0
    ),
    MATCH(
      _xludf.IFNA(
        VLOOKUP($D285,{"PH","Provincial Hospital (H2)";"DH","District Hospital (H3)";"RH","Regional / National Hospital (H1)"},2,0),
        $D285
      ),
      'Tools &amp; Targets_Guideline'!$C$53:$I$53,
      0
    )
  ),
0))</f>
        <v/>
      </c>
      <c r="Z285" s="105"/>
      <c r="AA285" s="119" t="str">
        <f t="array" ref="AA285">IF(OR($B285="",$D285=""),"",
IFERROR(
  INDEX(
    'Tools &amp; Targets_Guideline'!$C$54:$I$269,
    MATCH(
      1,
      ('Tools &amp; Targets_Guideline'!$A$54:$A$269=$B285)*
      ('Tools &amp; Targets_Guideline'!$B$54:$B$269="Penta"),
      0
    ),
    MATCH(
      _xludf.IFNA(
        VLOOKUP($D285,{"PH","Provincial Hospital (H2)";"DH","District Hospital (H3)";"RH","Regional / National Hospital (H1)"},2,0),
        $D285
      ),
      'Tools &amp; Targets_Guideline'!$C$53:$I$53,
      0
    )
  ),
0))</f>
        <v/>
      </c>
      <c r="AB285" s="105"/>
      <c r="AC285" s="119" t="str">
        <f t="array" ref="AC285">IF(OR($B285="",$D285=""),"",
IFERROR(
  INDEX(
    'Tools &amp; Targets_Guideline'!$C$54:$I$269,
    MATCH(
      1,
      ('Tools &amp; Targets_Guideline'!$A$54:$A$269=$B285)*
      ('Tools &amp; Targets_Guideline'!$B$54:$B$269="TB"),
      0
    ),
    MATCH(
      _xludf.IFNA(
        VLOOKUP($D285,{"PH","Provincial Hospital (H2)";"DH","District Hospital (H3)";"RH","Regional / National Hospital (H1)"},2,0),
        $D285
      ),
      'Tools &amp; Targets_Guideline'!$C$53:$I$53,
      0
    )
  ),
0))</f>
        <v/>
      </c>
      <c r="AD285" s="105"/>
      <c r="AE285" s="119" t="str">
        <f t="array" ref="AE285">IF(OR($B285="",$D285=""),"",
IFERROR(
  INDEX(
    'Tools &amp; Targets_Guideline'!$C$54:$I$269,
    MATCH(
      1,
      ('Tools &amp; Targets_Guideline'!$A$54:$A$269=$B285)*
      ('Tools &amp; Targets_Guideline'!$B$54:$B$269="U5 Morbidity"),
      0
    ),
    MATCH(
      _xludf.IFNA(
        VLOOKUP($D285,{"PH","Provincial Hospital (H2)";"DH","District Hospital (H3)";"RH","Regional / National Hospital (H1)"},2,0),
        $D285
      ),
      'Tools &amp; Targets_Guideline'!$C$53:$I$53,
      0
    )
  ),
0))</f>
        <v/>
      </c>
      <c r="AF285" s="105"/>
      <c r="AG285" s="119" t="str">
        <f t="array" ref="AG285">IF(OR($B285="",$D285=""),"",
IFERROR(
  INDEX(
    'Tools &amp; Targets_Guideline'!$C$54:$I$269,
    MATCH(
      1,
      ('Tools &amp; Targets_Guideline'!$A$54:$A$269=$B285)*
      ('Tools &amp; Targets_Guideline'!$B$54:$B$269="C-Section"),
      0
    ),
    MATCH(
      _xludf.IFNA(
        VLOOKUP($D285,{"PH","Provincial Hospital (H2)";"DH","District Hospital (H3)";"RH","Regional / National Hospital (H1)"},2,0),
        $D285
      ),
      'Tools &amp; Targets_Guideline'!$C$53:$I$53,
      0
    )
  ),
0))</f>
        <v/>
      </c>
      <c r="AH285" s="105" t="str">
        <f>IF(A285&lt;&gt;"",COUNTIFS('QA Log'!D:D,A285,'QA Log'!M:M,"QQC",'QA Log'!L:L,"2. Hygiene and Sterilization",'QA Log'!Z:Z,"Approved"),"")</f>
        <v/>
      </c>
      <c r="AI285" s="102"/>
      <c r="AJ285" s="102"/>
      <c r="AK285" s="103" t="str">
        <f t="shared" si="17"/>
        <v/>
      </c>
      <c r="AL285" s="102"/>
      <c r="AM285" s="102"/>
      <c r="AN285" s="102"/>
      <c r="AO285" s="106"/>
      <c r="AP285" s="103"/>
      <c r="AQ285" s="102"/>
      <c r="AR285" s="102"/>
      <c r="AS285" s="102"/>
      <c r="AT285" s="107"/>
      <c r="AU285" s="102" t="str">
        <f t="shared" si="18"/>
        <v/>
      </c>
      <c r="AV285" s="102" t="str">
        <f t="shared" si="19"/>
        <v/>
      </c>
      <c r="AW285" s="102" t="str">
        <f t="shared" si="20"/>
        <v/>
      </c>
      <c r="AX285" s="102" t="str">
        <f t="shared" si="21"/>
        <v/>
      </c>
      <c r="AY285" s="107" t="str">
        <f t="shared" si="22"/>
        <v/>
      </c>
      <c r="AZ285" s="108" t="str">
        <f t="shared" si="23"/>
        <v/>
      </c>
      <c r="BA285" s="108" t="str">
        <f t="shared" si="24"/>
        <v/>
      </c>
      <c r="BB285" s="109" t="str">
        <f t="shared" si="25"/>
        <v/>
      </c>
      <c r="BC285" s="108" t="str">
        <f t="shared" si="26"/>
        <v/>
      </c>
      <c r="BD285" s="108" t="str">
        <f t="shared" si="27"/>
        <v/>
      </c>
      <c r="BE285" s="109" t="str">
        <f t="shared" si="28"/>
        <v/>
      </c>
      <c r="BF285" s="110" t="str">
        <f t="shared" si="29"/>
        <v/>
      </c>
      <c r="BG285" s="111"/>
    </row>
    <row r="286" spans="1:59" ht="12.75">
      <c r="A286" s="101"/>
      <c r="B286" s="102"/>
      <c r="C286" s="102" t="e">
        <f t="array" aca="1" ref="C286" ca="1">_xludf.XLOOKUP(A286,'QA Log'!D:D,'QA Log'!F:F,"")</f>
        <v>#NAME?</v>
      </c>
      <c r="D286" s="102"/>
      <c r="E286" s="102" t="e">
        <f t="array" aca="1" ref="E286" ca="1">_xludf.XLOOKUP(A286,'QA Log'!D:D,'QA Log'!G:G,"")</f>
        <v>#NAME?</v>
      </c>
      <c r="F286" s="103"/>
      <c r="G286" s="104"/>
      <c r="H286" s="104"/>
      <c r="I286" s="103" t="str">
        <f t="shared" si="15"/>
        <v/>
      </c>
      <c r="J286" s="102"/>
      <c r="K286" s="102"/>
      <c r="L286" s="119" t="str">
        <f t="array" ref="L286">IF(OR($B286="",$D286=""),"",
IFERROR(
  INDEX(
    'Tools &amp; Targets_Guideline'!$C$54:$I$269,
    MATCH(
      1,
      ('Tools &amp; Targets_Guideline'!$A$54:$A$269=$B286)*
      ('Tools &amp; Targets_Guideline'!$B$54:$B$269="ANC"),
      0
    ),
    MATCH(
      _xludf.IFNA(
        VLOOKUP($D286,{"PH","Provincial Hospital (H2)";"DH","District Hospital (H3)";"RH","Regional / National Hospital (H1)"},2,0),
        $D286
      ),
      'Tools &amp; Targets_Guideline'!$C$53:$I$53,
      0
    )
  ),
0))</f>
        <v/>
      </c>
      <c r="M286" s="105"/>
      <c r="N286" s="119" t="str">
        <f t="array" ref="N286">IF(OR($B286="",$D286=""),"",
IFERROR(
  INDEX(
    'Tools &amp; Targets_Guideline'!$C$54:$I$269,
    MATCH(
      1,
      ('Tools &amp; Targets_Guideline'!$A$54:$A$269=$B286)*
      ('Tools &amp; Targets_Guideline'!$B$54:$B$269="PNC"),
      0
    ),
    MATCH(
      _xludf.IFNA(
        VLOOKUP($D286,{"PH","Provincial Hospital (H2)";"DH","District Hospital (H3)";"RH","Regional / National Hospital (H1)"},2,0),
        $D286
      ),
      'Tools &amp; Targets_Guideline'!$C$53:$I$53,
      0
    )
  ),
0))</f>
        <v/>
      </c>
      <c r="O286" s="105"/>
      <c r="P286" s="119" t="str">
        <f t="array" ref="P286">IF(OR($B286="",$D286=""),"",
IFERROR(
  INDEX(
    'Tools &amp; Targets_Guideline'!$C$54:$I$269,
    MATCH(
      1,
      ('Tools &amp; Targets_Guideline'!$A$54:$A$269=$B286)*
      ('Tools &amp; Targets_Guideline'!$B$54:$B$269="Delivery"),
      0
    ),
    MATCH(
      _xludf.IFNA(
        VLOOKUP($D286,{"PH","Provincial Hospital (H2)";"DH","District Hospital (H3)";"RH","Regional / National Hospital (H1)"},2,0),
        $D286
      ),
      'Tools &amp; Targets_Guideline'!$C$53:$I$53,
      0
    )
  ),
0))</f>
        <v/>
      </c>
      <c r="Q286" s="105"/>
      <c r="R286" s="119" t="str">
        <f t="array" ref="R286">IF(OR($B286="",$D286=""),"",
IFERROR(
  INDEX(
    'Tools &amp; Targets_Guideline'!$C$54:$I$269,
    MATCH(
      1,
      ('Tools &amp; Targets_Guideline'!$A$54:$A$269=$B286)*
      ('Tools &amp; Targets_Guideline'!$B$54:$B$269="TT"),
      0
    ),
    MATCH(
      _xludf.IFNA(
        VLOOKUP($D286,{"PH","Provincial Hospital (H2)";"DH","District Hospital (H3)";"RH","Regional / National Hospital (H1)"},2,0),
        $D286
      ),
      'Tools &amp; Targets_Guideline'!$C$53:$I$53,
      0
    )
  ),
0))</f>
        <v/>
      </c>
      <c r="S286" s="105"/>
      <c r="T286" s="102"/>
      <c r="U286" s="106"/>
      <c r="V286" s="102" t="str">
        <f t="shared" si="16"/>
        <v/>
      </c>
      <c r="W286" s="102"/>
      <c r="X286" s="102"/>
      <c r="Y286" s="119" t="str">
        <f t="array" ref="Y286">IF(OR($B286="",$D286=""),"",
IFERROR(
  INDEX(
    'Tools &amp; Targets_Guideline'!$C$54:$I$269,
    MATCH(
      1,
      ('Tools &amp; Targets_Guideline'!$A$54:$A$269=$B286)*
      ('Tools &amp; Targets_Guideline'!$B$54:$B$269="GM"),
      0
    ),
    MATCH(
      _xludf.IFNA(
        VLOOKUP($D286,{"PH","Provincial Hospital (H2)";"DH","District Hospital (H3)";"RH","Regional / National Hospital (H1)"},2,0),
        $D286
      ),
      'Tools &amp; Targets_Guideline'!$C$53:$I$53,
      0
    )
  ),
0))</f>
        <v/>
      </c>
      <c r="Z286" s="105"/>
      <c r="AA286" s="119" t="str">
        <f t="array" ref="AA286">IF(OR($B286="",$D286=""),"",
IFERROR(
  INDEX(
    'Tools &amp; Targets_Guideline'!$C$54:$I$269,
    MATCH(
      1,
      ('Tools &amp; Targets_Guideline'!$A$54:$A$269=$B286)*
      ('Tools &amp; Targets_Guideline'!$B$54:$B$269="Penta"),
      0
    ),
    MATCH(
      _xludf.IFNA(
        VLOOKUP($D286,{"PH","Provincial Hospital (H2)";"DH","District Hospital (H3)";"RH","Regional / National Hospital (H1)"},2,0),
        $D286
      ),
      'Tools &amp; Targets_Guideline'!$C$53:$I$53,
      0
    )
  ),
0))</f>
        <v/>
      </c>
      <c r="AB286" s="105"/>
      <c r="AC286" s="119" t="str">
        <f t="array" ref="AC286">IF(OR($B286="",$D286=""),"",
IFERROR(
  INDEX(
    'Tools &amp; Targets_Guideline'!$C$54:$I$269,
    MATCH(
      1,
      ('Tools &amp; Targets_Guideline'!$A$54:$A$269=$B286)*
      ('Tools &amp; Targets_Guideline'!$B$54:$B$269="TB"),
      0
    ),
    MATCH(
      _xludf.IFNA(
        VLOOKUP($D286,{"PH","Provincial Hospital (H2)";"DH","District Hospital (H3)";"RH","Regional / National Hospital (H1)"},2,0),
        $D286
      ),
      'Tools &amp; Targets_Guideline'!$C$53:$I$53,
      0
    )
  ),
0))</f>
        <v/>
      </c>
      <c r="AD286" s="105"/>
      <c r="AE286" s="119" t="str">
        <f t="array" ref="AE286">IF(OR($B286="",$D286=""),"",
IFERROR(
  INDEX(
    'Tools &amp; Targets_Guideline'!$C$54:$I$269,
    MATCH(
      1,
      ('Tools &amp; Targets_Guideline'!$A$54:$A$269=$B286)*
      ('Tools &amp; Targets_Guideline'!$B$54:$B$269="U5 Morbidity"),
      0
    ),
    MATCH(
      _xludf.IFNA(
        VLOOKUP($D286,{"PH","Provincial Hospital (H2)";"DH","District Hospital (H3)";"RH","Regional / National Hospital (H1)"},2,0),
        $D286
      ),
      'Tools &amp; Targets_Guideline'!$C$53:$I$53,
      0
    )
  ),
0))</f>
        <v/>
      </c>
      <c r="AF286" s="105"/>
      <c r="AG286" s="119" t="str">
        <f t="array" ref="AG286">IF(OR($B286="",$D286=""),"",
IFERROR(
  INDEX(
    'Tools &amp; Targets_Guideline'!$C$54:$I$269,
    MATCH(
      1,
      ('Tools &amp; Targets_Guideline'!$A$54:$A$269=$B286)*
      ('Tools &amp; Targets_Guideline'!$B$54:$B$269="C-Section"),
      0
    ),
    MATCH(
      _xludf.IFNA(
        VLOOKUP($D286,{"PH","Provincial Hospital (H2)";"DH","District Hospital (H3)";"RH","Regional / National Hospital (H1)"},2,0),
        $D286
      ),
      'Tools &amp; Targets_Guideline'!$C$53:$I$53,
      0
    )
  ),
0))</f>
        <v/>
      </c>
      <c r="AH286" s="105" t="str">
        <f>IF(A286&lt;&gt;"",COUNTIFS('QA Log'!D:D,A286,'QA Log'!M:M,"QQC",'QA Log'!L:L,"2. Hygiene and Sterilization",'QA Log'!Z:Z,"Approved"),"")</f>
        <v/>
      </c>
      <c r="AI286" s="102"/>
      <c r="AJ286" s="102"/>
      <c r="AK286" s="103" t="str">
        <f t="shared" si="17"/>
        <v/>
      </c>
      <c r="AL286" s="102"/>
      <c r="AM286" s="102"/>
      <c r="AN286" s="102"/>
      <c r="AO286" s="106"/>
      <c r="AP286" s="103"/>
      <c r="AQ286" s="102"/>
      <c r="AR286" s="102"/>
      <c r="AS286" s="102"/>
      <c r="AT286" s="107"/>
      <c r="AU286" s="102" t="str">
        <f t="shared" si="18"/>
        <v/>
      </c>
      <c r="AV286" s="102" t="str">
        <f t="shared" si="19"/>
        <v/>
      </c>
      <c r="AW286" s="102" t="str">
        <f t="shared" si="20"/>
        <v/>
      </c>
      <c r="AX286" s="102" t="str">
        <f t="shared" si="21"/>
        <v/>
      </c>
      <c r="AY286" s="107" t="str">
        <f t="shared" si="22"/>
        <v/>
      </c>
      <c r="AZ286" s="108" t="str">
        <f t="shared" si="23"/>
        <v/>
      </c>
      <c r="BA286" s="108" t="str">
        <f t="shared" si="24"/>
        <v/>
      </c>
      <c r="BB286" s="109" t="str">
        <f t="shared" si="25"/>
        <v/>
      </c>
      <c r="BC286" s="108" t="str">
        <f t="shared" si="26"/>
        <v/>
      </c>
      <c r="BD286" s="108" t="str">
        <f t="shared" si="27"/>
        <v/>
      </c>
      <c r="BE286" s="109" t="str">
        <f t="shared" si="28"/>
        <v/>
      </c>
      <c r="BF286" s="110" t="str">
        <f t="shared" si="29"/>
        <v/>
      </c>
      <c r="BG286" s="111"/>
    </row>
    <row r="287" spans="1:59" ht="12.75">
      <c r="A287" s="101"/>
      <c r="B287" s="102"/>
      <c r="C287" s="102" t="e">
        <f t="array" aca="1" ref="C287" ca="1">_xludf.XLOOKUP(A287,'QA Log'!D:D,'QA Log'!F:F,"")</f>
        <v>#NAME?</v>
      </c>
      <c r="D287" s="102"/>
      <c r="E287" s="102" t="e">
        <f t="array" aca="1" ref="E287" ca="1">_xludf.XLOOKUP(A287,'QA Log'!D:D,'QA Log'!G:G,"")</f>
        <v>#NAME?</v>
      </c>
      <c r="F287" s="103"/>
      <c r="G287" s="104"/>
      <c r="H287" s="104"/>
      <c r="I287" s="103" t="str">
        <f t="shared" si="15"/>
        <v/>
      </c>
      <c r="J287" s="102"/>
      <c r="K287" s="102"/>
      <c r="L287" s="119" t="str">
        <f t="array" ref="L287">IF(OR($B287="",$D287=""),"",
IFERROR(
  INDEX(
    'Tools &amp; Targets_Guideline'!$C$54:$I$269,
    MATCH(
      1,
      ('Tools &amp; Targets_Guideline'!$A$54:$A$269=$B287)*
      ('Tools &amp; Targets_Guideline'!$B$54:$B$269="ANC"),
      0
    ),
    MATCH(
      _xludf.IFNA(
        VLOOKUP($D287,{"PH","Provincial Hospital (H2)";"DH","District Hospital (H3)";"RH","Regional / National Hospital (H1)"},2,0),
        $D287
      ),
      'Tools &amp; Targets_Guideline'!$C$53:$I$53,
      0
    )
  ),
0))</f>
        <v/>
      </c>
      <c r="M287" s="105"/>
      <c r="N287" s="119" t="str">
        <f t="array" ref="N287">IF(OR($B287="",$D287=""),"",
IFERROR(
  INDEX(
    'Tools &amp; Targets_Guideline'!$C$54:$I$269,
    MATCH(
      1,
      ('Tools &amp; Targets_Guideline'!$A$54:$A$269=$B287)*
      ('Tools &amp; Targets_Guideline'!$B$54:$B$269="PNC"),
      0
    ),
    MATCH(
      _xludf.IFNA(
        VLOOKUP($D287,{"PH","Provincial Hospital (H2)";"DH","District Hospital (H3)";"RH","Regional / National Hospital (H1)"},2,0),
        $D287
      ),
      'Tools &amp; Targets_Guideline'!$C$53:$I$53,
      0
    )
  ),
0))</f>
        <v/>
      </c>
      <c r="O287" s="105"/>
      <c r="P287" s="119" t="str">
        <f t="array" ref="P287">IF(OR($B287="",$D287=""),"",
IFERROR(
  INDEX(
    'Tools &amp; Targets_Guideline'!$C$54:$I$269,
    MATCH(
      1,
      ('Tools &amp; Targets_Guideline'!$A$54:$A$269=$B287)*
      ('Tools &amp; Targets_Guideline'!$B$54:$B$269="Delivery"),
      0
    ),
    MATCH(
      _xludf.IFNA(
        VLOOKUP($D287,{"PH","Provincial Hospital (H2)";"DH","District Hospital (H3)";"RH","Regional / National Hospital (H1)"},2,0),
        $D287
      ),
      'Tools &amp; Targets_Guideline'!$C$53:$I$53,
      0
    )
  ),
0))</f>
        <v/>
      </c>
      <c r="Q287" s="105"/>
      <c r="R287" s="119" t="str">
        <f t="array" ref="R287">IF(OR($B287="",$D287=""),"",
IFERROR(
  INDEX(
    'Tools &amp; Targets_Guideline'!$C$54:$I$269,
    MATCH(
      1,
      ('Tools &amp; Targets_Guideline'!$A$54:$A$269=$B287)*
      ('Tools &amp; Targets_Guideline'!$B$54:$B$269="TT"),
      0
    ),
    MATCH(
      _xludf.IFNA(
        VLOOKUP($D287,{"PH","Provincial Hospital (H2)";"DH","District Hospital (H3)";"RH","Regional / National Hospital (H1)"},2,0),
        $D287
      ),
      'Tools &amp; Targets_Guideline'!$C$53:$I$53,
      0
    )
  ),
0))</f>
        <v/>
      </c>
      <c r="S287" s="105"/>
      <c r="T287" s="102"/>
      <c r="U287" s="106"/>
      <c r="V287" s="102" t="str">
        <f t="shared" si="16"/>
        <v/>
      </c>
      <c r="W287" s="102"/>
      <c r="X287" s="102"/>
      <c r="Y287" s="119" t="str">
        <f t="array" ref="Y287">IF(OR($B287="",$D287=""),"",
IFERROR(
  INDEX(
    'Tools &amp; Targets_Guideline'!$C$54:$I$269,
    MATCH(
      1,
      ('Tools &amp; Targets_Guideline'!$A$54:$A$269=$B287)*
      ('Tools &amp; Targets_Guideline'!$B$54:$B$269="GM"),
      0
    ),
    MATCH(
      _xludf.IFNA(
        VLOOKUP($D287,{"PH","Provincial Hospital (H2)";"DH","District Hospital (H3)";"RH","Regional / National Hospital (H1)"},2,0),
        $D287
      ),
      'Tools &amp; Targets_Guideline'!$C$53:$I$53,
      0
    )
  ),
0))</f>
        <v/>
      </c>
      <c r="Z287" s="105"/>
      <c r="AA287" s="119" t="str">
        <f t="array" ref="AA287">IF(OR($B287="",$D287=""),"",
IFERROR(
  INDEX(
    'Tools &amp; Targets_Guideline'!$C$54:$I$269,
    MATCH(
      1,
      ('Tools &amp; Targets_Guideline'!$A$54:$A$269=$B287)*
      ('Tools &amp; Targets_Guideline'!$B$54:$B$269="Penta"),
      0
    ),
    MATCH(
      _xludf.IFNA(
        VLOOKUP($D287,{"PH","Provincial Hospital (H2)";"DH","District Hospital (H3)";"RH","Regional / National Hospital (H1)"},2,0),
        $D287
      ),
      'Tools &amp; Targets_Guideline'!$C$53:$I$53,
      0
    )
  ),
0))</f>
        <v/>
      </c>
      <c r="AB287" s="105"/>
      <c r="AC287" s="119" t="str">
        <f t="array" ref="AC287">IF(OR($B287="",$D287=""),"",
IFERROR(
  INDEX(
    'Tools &amp; Targets_Guideline'!$C$54:$I$269,
    MATCH(
      1,
      ('Tools &amp; Targets_Guideline'!$A$54:$A$269=$B287)*
      ('Tools &amp; Targets_Guideline'!$B$54:$B$269="TB"),
      0
    ),
    MATCH(
      _xludf.IFNA(
        VLOOKUP($D287,{"PH","Provincial Hospital (H2)";"DH","District Hospital (H3)";"RH","Regional / National Hospital (H1)"},2,0),
        $D287
      ),
      'Tools &amp; Targets_Guideline'!$C$53:$I$53,
      0
    )
  ),
0))</f>
        <v/>
      </c>
      <c r="AD287" s="105"/>
      <c r="AE287" s="119" t="str">
        <f t="array" ref="AE287">IF(OR($B287="",$D287=""),"",
IFERROR(
  INDEX(
    'Tools &amp; Targets_Guideline'!$C$54:$I$269,
    MATCH(
      1,
      ('Tools &amp; Targets_Guideline'!$A$54:$A$269=$B287)*
      ('Tools &amp; Targets_Guideline'!$B$54:$B$269="U5 Morbidity"),
      0
    ),
    MATCH(
      _xludf.IFNA(
        VLOOKUP($D287,{"PH","Provincial Hospital (H2)";"DH","District Hospital (H3)";"RH","Regional / National Hospital (H1)"},2,0),
        $D287
      ),
      'Tools &amp; Targets_Guideline'!$C$53:$I$53,
      0
    )
  ),
0))</f>
        <v/>
      </c>
      <c r="AF287" s="105"/>
      <c r="AG287" s="119" t="str">
        <f t="array" ref="AG287">IF(OR($B287="",$D287=""),"",
IFERROR(
  INDEX(
    'Tools &amp; Targets_Guideline'!$C$54:$I$269,
    MATCH(
      1,
      ('Tools &amp; Targets_Guideline'!$A$54:$A$269=$B287)*
      ('Tools &amp; Targets_Guideline'!$B$54:$B$269="C-Section"),
      0
    ),
    MATCH(
      _xludf.IFNA(
        VLOOKUP($D287,{"PH","Provincial Hospital (H2)";"DH","District Hospital (H3)";"RH","Regional / National Hospital (H1)"},2,0),
        $D287
      ),
      'Tools &amp; Targets_Guideline'!$C$53:$I$53,
      0
    )
  ),
0))</f>
        <v/>
      </c>
      <c r="AH287" s="105" t="str">
        <f>IF(A287&lt;&gt;"",COUNTIFS('QA Log'!D:D,A287,'QA Log'!M:M,"QQC",'QA Log'!L:L,"2. Hygiene and Sterilization",'QA Log'!Z:Z,"Approved"),"")</f>
        <v/>
      </c>
      <c r="AI287" s="102"/>
      <c r="AJ287" s="102"/>
      <c r="AK287" s="103" t="str">
        <f t="shared" si="17"/>
        <v/>
      </c>
      <c r="AL287" s="102"/>
      <c r="AM287" s="102"/>
      <c r="AN287" s="102"/>
      <c r="AO287" s="106"/>
      <c r="AP287" s="103"/>
      <c r="AQ287" s="102"/>
      <c r="AR287" s="102"/>
      <c r="AS287" s="102"/>
      <c r="AT287" s="107"/>
      <c r="AU287" s="102" t="str">
        <f t="shared" si="18"/>
        <v/>
      </c>
      <c r="AV287" s="102" t="str">
        <f t="shared" si="19"/>
        <v/>
      </c>
      <c r="AW287" s="102" t="str">
        <f t="shared" si="20"/>
        <v/>
      </c>
      <c r="AX287" s="102" t="str">
        <f t="shared" si="21"/>
        <v/>
      </c>
      <c r="AY287" s="107" t="str">
        <f t="shared" si="22"/>
        <v/>
      </c>
      <c r="AZ287" s="108" t="str">
        <f t="shared" si="23"/>
        <v/>
      </c>
      <c r="BA287" s="108" t="str">
        <f t="shared" si="24"/>
        <v/>
      </c>
      <c r="BB287" s="109" t="str">
        <f t="shared" si="25"/>
        <v/>
      </c>
      <c r="BC287" s="108" t="str">
        <f t="shared" si="26"/>
        <v/>
      </c>
      <c r="BD287" s="108" t="str">
        <f t="shared" si="27"/>
        <v/>
      </c>
      <c r="BE287" s="109" t="str">
        <f t="shared" si="28"/>
        <v/>
      </c>
      <c r="BF287" s="110" t="str">
        <f t="shared" si="29"/>
        <v/>
      </c>
      <c r="BG287" s="111"/>
    </row>
    <row r="288" spans="1:59" ht="12.75">
      <c r="A288" s="101"/>
      <c r="B288" s="102"/>
      <c r="C288" s="102" t="e">
        <f t="array" aca="1" ref="C288" ca="1">_xludf.XLOOKUP(A288,'QA Log'!D:D,'QA Log'!F:F,"")</f>
        <v>#NAME?</v>
      </c>
      <c r="D288" s="102"/>
      <c r="E288" s="102" t="e">
        <f t="array" aca="1" ref="E288" ca="1">_xludf.XLOOKUP(A288,'QA Log'!D:D,'QA Log'!G:G,"")</f>
        <v>#NAME?</v>
      </c>
      <c r="F288" s="103"/>
      <c r="G288" s="104"/>
      <c r="H288" s="104"/>
      <c r="I288" s="103" t="str">
        <f t="shared" si="15"/>
        <v/>
      </c>
      <c r="J288" s="102"/>
      <c r="K288" s="102"/>
      <c r="L288" s="119" t="str">
        <f t="array" ref="L288">IF(OR($B288="",$D288=""),"",
IFERROR(
  INDEX(
    'Tools &amp; Targets_Guideline'!$C$54:$I$269,
    MATCH(
      1,
      ('Tools &amp; Targets_Guideline'!$A$54:$A$269=$B288)*
      ('Tools &amp; Targets_Guideline'!$B$54:$B$269="ANC"),
      0
    ),
    MATCH(
      _xludf.IFNA(
        VLOOKUP($D288,{"PH","Provincial Hospital (H2)";"DH","District Hospital (H3)";"RH","Regional / National Hospital (H1)"},2,0),
        $D288
      ),
      'Tools &amp; Targets_Guideline'!$C$53:$I$53,
      0
    )
  ),
0))</f>
        <v/>
      </c>
      <c r="M288" s="105"/>
      <c r="N288" s="119" t="str">
        <f t="array" ref="N288">IF(OR($B288="",$D288=""),"",
IFERROR(
  INDEX(
    'Tools &amp; Targets_Guideline'!$C$54:$I$269,
    MATCH(
      1,
      ('Tools &amp; Targets_Guideline'!$A$54:$A$269=$B288)*
      ('Tools &amp; Targets_Guideline'!$B$54:$B$269="PNC"),
      0
    ),
    MATCH(
      _xludf.IFNA(
        VLOOKUP($D288,{"PH","Provincial Hospital (H2)";"DH","District Hospital (H3)";"RH","Regional / National Hospital (H1)"},2,0),
        $D288
      ),
      'Tools &amp; Targets_Guideline'!$C$53:$I$53,
      0
    )
  ),
0))</f>
        <v/>
      </c>
      <c r="O288" s="105"/>
      <c r="P288" s="119" t="str">
        <f t="array" ref="P288">IF(OR($B288="",$D288=""),"",
IFERROR(
  INDEX(
    'Tools &amp; Targets_Guideline'!$C$54:$I$269,
    MATCH(
      1,
      ('Tools &amp; Targets_Guideline'!$A$54:$A$269=$B288)*
      ('Tools &amp; Targets_Guideline'!$B$54:$B$269="Delivery"),
      0
    ),
    MATCH(
      _xludf.IFNA(
        VLOOKUP($D288,{"PH","Provincial Hospital (H2)";"DH","District Hospital (H3)";"RH","Regional / National Hospital (H1)"},2,0),
        $D288
      ),
      'Tools &amp; Targets_Guideline'!$C$53:$I$53,
      0
    )
  ),
0))</f>
        <v/>
      </c>
      <c r="Q288" s="105"/>
      <c r="R288" s="119" t="str">
        <f t="array" ref="R288">IF(OR($B288="",$D288=""),"",
IFERROR(
  INDEX(
    'Tools &amp; Targets_Guideline'!$C$54:$I$269,
    MATCH(
      1,
      ('Tools &amp; Targets_Guideline'!$A$54:$A$269=$B288)*
      ('Tools &amp; Targets_Guideline'!$B$54:$B$269="TT"),
      0
    ),
    MATCH(
      _xludf.IFNA(
        VLOOKUP($D288,{"PH","Provincial Hospital (H2)";"DH","District Hospital (H3)";"RH","Regional / National Hospital (H1)"},2,0),
        $D288
      ),
      'Tools &amp; Targets_Guideline'!$C$53:$I$53,
      0
    )
  ),
0))</f>
        <v/>
      </c>
      <c r="S288" s="105"/>
      <c r="T288" s="102"/>
      <c r="U288" s="106"/>
      <c r="V288" s="102" t="str">
        <f t="shared" si="16"/>
        <v/>
      </c>
      <c r="W288" s="102"/>
      <c r="X288" s="102"/>
      <c r="Y288" s="119" t="str">
        <f t="array" ref="Y288">IF(OR($B288="",$D288=""),"",
IFERROR(
  INDEX(
    'Tools &amp; Targets_Guideline'!$C$54:$I$269,
    MATCH(
      1,
      ('Tools &amp; Targets_Guideline'!$A$54:$A$269=$B288)*
      ('Tools &amp; Targets_Guideline'!$B$54:$B$269="GM"),
      0
    ),
    MATCH(
      _xludf.IFNA(
        VLOOKUP($D288,{"PH","Provincial Hospital (H2)";"DH","District Hospital (H3)";"RH","Regional / National Hospital (H1)"},2,0),
        $D288
      ),
      'Tools &amp; Targets_Guideline'!$C$53:$I$53,
      0
    )
  ),
0))</f>
        <v/>
      </c>
      <c r="Z288" s="105"/>
      <c r="AA288" s="119" t="str">
        <f t="array" ref="AA288">IF(OR($B288="",$D288=""),"",
IFERROR(
  INDEX(
    'Tools &amp; Targets_Guideline'!$C$54:$I$269,
    MATCH(
      1,
      ('Tools &amp; Targets_Guideline'!$A$54:$A$269=$B288)*
      ('Tools &amp; Targets_Guideline'!$B$54:$B$269="Penta"),
      0
    ),
    MATCH(
      _xludf.IFNA(
        VLOOKUP($D288,{"PH","Provincial Hospital (H2)";"DH","District Hospital (H3)";"RH","Regional / National Hospital (H1)"},2,0),
        $D288
      ),
      'Tools &amp; Targets_Guideline'!$C$53:$I$53,
      0
    )
  ),
0))</f>
        <v/>
      </c>
      <c r="AB288" s="105"/>
      <c r="AC288" s="119" t="str">
        <f t="array" ref="AC288">IF(OR($B288="",$D288=""),"",
IFERROR(
  INDEX(
    'Tools &amp; Targets_Guideline'!$C$54:$I$269,
    MATCH(
      1,
      ('Tools &amp; Targets_Guideline'!$A$54:$A$269=$B288)*
      ('Tools &amp; Targets_Guideline'!$B$54:$B$269="TB"),
      0
    ),
    MATCH(
      _xludf.IFNA(
        VLOOKUP($D288,{"PH","Provincial Hospital (H2)";"DH","District Hospital (H3)";"RH","Regional / National Hospital (H1)"},2,0),
        $D288
      ),
      'Tools &amp; Targets_Guideline'!$C$53:$I$53,
      0
    )
  ),
0))</f>
        <v/>
      </c>
      <c r="AD288" s="105"/>
      <c r="AE288" s="119" t="str">
        <f t="array" ref="AE288">IF(OR($B288="",$D288=""),"",
IFERROR(
  INDEX(
    'Tools &amp; Targets_Guideline'!$C$54:$I$269,
    MATCH(
      1,
      ('Tools &amp; Targets_Guideline'!$A$54:$A$269=$B288)*
      ('Tools &amp; Targets_Guideline'!$B$54:$B$269="U5 Morbidity"),
      0
    ),
    MATCH(
      _xludf.IFNA(
        VLOOKUP($D288,{"PH","Provincial Hospital (H2)";"DH","District Hospital (H3)";"RH","Regional / National Hospital (H1)"},2,0),
        $D288
      ),
      'Tools &amp; Targets_Guideline'!$C$53:$I$53,
      0
    )
  ),
0))</f>
        <v/>
      </c>
      <c r="AF288" s="105"/>
      <c r="AG288" s="119" t="str">
        <f t="array" ref="AG288">IF(OR($B288="",$D288=""),"",
IFERROR(
  INDEX(
    'Tools &amp; Targets_Guideline'!$C$54:$I$269,
    MATCH(
      1,
      ('Tools &amp; Targets_Guideline'!$A$54:$A$269=$B288)*
      ('Tools &amp; Targets_Guideline'!$B$54:$B$269="C-Section"),
      0
    ),
    MATCH(
      _xludf.IFNA(
        VLOOKUP($D288,{"PH","Provincial Hospital (H2)";"DH","District Hospital (H3)";"RH","Regional / National Hospital (H1)"},2,0),
        $D288
      ),
      'Tools &amp; Targets_Guideline'!$C$53:$I$53,
      0
    )
  ),
0))</f>
        <v/>
      </c>
      <c r="AH288" s="105" t="str">
        <f>IF(A288&lt;&gt;"",COUNTIFS('QA Log'!D:D,A288,'QA Log'!M:M,"QQC",'QA Log'!L:L,"2. Hygiene and Sterilization",'QA Log'!Z:Z,"Approved"),"")</f>
        <v/>
      </c>
      <c r="AI288" s="102"/>
      <c r="AJ288" s="102"/>
      <c r="AK288" s="103" t="str">
        <f t="shared" si="17"/>
        <v/>
      </c>
      <c r="AL288" s="102"/>
      <c r="AM288" s="102"/>
      <c r="AN288" s="102"/>
      <c r="AO288" s="106"/>
      <c r="AP288" s="103"/>
      <c r="AQ288" s="102"/>
      <c r="AR288" s="102"/>
      <c r="AS288" s="102"/>
      <c r="AT288" s="107"/>
      <c r="AU288" s="102" t="str">
        <f t="shared" si="18"/>
        <v/>
      </c>
      <c r="AV288" s="102" t="str">
        <f t="shared" si="19"/>
        <v/>
      </c>
      <c r="AW288" s="102" t="str">
        <f t="shared" si="20"/>
        <v/>
      </c>
      <c r="AX288" s="102" t="str">
        <f t="shared" si="21"/>
        <v/>
      </c>
      <c r="AY288" s="107" t="str">
        <f t="shared" si="22"/>
        <v/>
      </c>
      <c r="AZ288" s="108" t="str">
        <f t="shared" si="23"/>
        <v/>
      </c>
      <c r="BA288" s="108" t="str">
        <f t="shared" si="24"/>
        <v/>
      </c>
      <c r="BB288" s="109" t="str">
        <f t="shared" si="25"/>
        <v/>
      </c>
      <c r="BC288" s="108" t="str">
        <f t="shared" si="26"/>
        <v/>
      </c>
      <c r="BD288" s="108" t="str">
        <f t="shared" si="27"/>
        <v/>
      </c>
      <c r="BE288" s="109" t="str">
        <f t="shared" si="28"/>
        <v/>
      </c>
      <c r="BF288" s="110" t="str">
        <f t="shared" si="29"/>
        <v/>
      </c>
      <c r="BG288" s="111"/>
    </row>
    <row r="289" spans="1:59" ht="12.75">
      <c r="A289" s="101"/>
      <c r="B289" s="102"/>
      <c r="C289" s="102" t="e">
        <f t="array" aca="1" ref="C289" ca="1">_xludf.XLOOKUP(A289,'QA Log'!D:D,'QA Log'!F:F,"")</f>
        <v>#NAME?</v>
      </c>
      <c r="D289" s="102"/>
      <c r="E289" s="102" t="e">
        <f t="array" aca="1" ref="E289" ca="1">_xludf.XLOOKUP(A289,'QA Log'!D:D,'QA Log'!G:G,"")</f>
        <v>#NAME?</v>
      </c>
      <c r="F289" s="103"/>
      <c r="G289" s="104"/>
      <c r="H289" s="104"/>
      <c r="I289" s="103" t="str">
        <f t="shared" si="15"/>
        <v/>
      </c>
      <c r="J289" s="102"/>
      <c r="K289" s="102"/>
      <c r="L289" s="119" t="str">
        <f t="array" ref="L289">IF(OR($B289="",$D289=""),"",
IFERROR(
  INDEX(
    'Tools &amp; Targets_Guideline'!$C$54:$I$269,
    MATCH(
      1,
      ('Tools &amp; Targets_Guideline'!$A$54:$A$269=$B289)*
      ('Tools &amp; Targets_Guideline'!$B$54:$B$269="ANC"),
      0
    ),
    MATCH(
      _xludf.IFNA(
        VLOOKUP($D289,{"PH","Provincial Hospital (H2)";"DH","District Hospital (H3)";"RH","Regional / National Hospital (H1)"},2,0),
        $D289
      ),
      'Tools &amp; Targets_Guideline'!$C$53:$I$53,
      0
    )
  ),
0))</f>
        <v/>
      </c>
      <c r="M289" s="105"/>
      <c r="N289" s="119" t="str">
        <f t="array" ref="N289">IF(OR($B289="",$D289=""),"",
IFERROR(
  INDEX(
    'Tools &amp; Targets_Guideline'!$C$54:$I$269,
    MATCH(
      1,
      ('Tools &amp; Targets_Guideline'!$A$54:$A$269=$B289)*
      ('Tools &amp; Targets_Guideline'!$B$54:$B$269="PNC"),
      0
    ),
    MATCH(
      _xludf.IFNA(
        VLOOKUP($D289,{"PH","Provincial Hospital (H2)";"DH","District Hospital (H3)";"RH","Regional / National Hospital (H1)"},2,0),
        $D289
      ),
      'Tools &amp; Targets_Guideline'!$C$53:$I$53,
      0
    )
  ),
0))</f>
        <v/>
      </c>
      <c r="O289" s="105"/>
      <c r="P289" s="119" t="str">
        <f t="array" ref="P289">IF(OR($B289="",$D289=""),"",
IFERROR(
  INDEX(
    'Tools &amp; Targets_Guideline'!$C$54:$I$269,
    MATCH(
      1,
      ('Tools &amp; Targets_Guideline'!$A$54:$A$269=$B289)*
      ('Tools &amp; Targets_Guideline'!$B$54:$B$269="Delivery"),
      0
    ),
    MATCH(
      _xludf.IFNA(
        VLOOKUP($D289,{"PH","Provincial Hospital (H2)";"DH","District Hospital (H3)";"RH","Regional / National Hospital (H1)"},2,0),
        $D289
      ),
      'Tools &amp; Targets_Guideline'!$C$53:$I$53,
      0
    )
  ),
0))</f>
        <v/>
      </c>
      <c r="Q289" s="105"/>
      <c r="R289" s="119" t="str">
        <f t="array" ref="R289">IF(OR($B289="",$D289=""),"",
IFERROR(
  INDEX(
    'Tools &amp; Targets_Guideline'!$C$54:$I$269,
    MATCH(
      1,
      ('Tools &amp; Targets_Guideline'!$A$54:$A$269=$B289)*
      ('Tools &amp; Targets_Guideline'!$B$54:$B$269="TT"),
      0
    ),
    MATCH(
      _xludf.IFNA(
        VLOOKUP($D289,{"PH","Provincial Hospital (H2)";"DH","District Hospital (H3)";"RH","Regional / National Hospital (H1)"},2,0),
        $D289
      ),
      'Tools &amp; Targets_Guideline'!$C$53:$I$53,
      0
    )
  ),
0))</f>
        <v/>
      </c>
      <c r="S289" s="105"/>
      <c r="T289" s="102"/>
      <c r="U289" s="106"/>
      <c r="V289" s="102" t="str">
        <f t="shared" si="16"/>
        <v/>
      </c>
      <c r="W289" s="102"/>
      <c r="X289" s="102"/>
      <c r="Y289" s="119" t="str">
        <f t="array" ref="Y289">IF(OR($B289="",$D289=""),"",
IFERROR(
  INDEX(
    'Tools &amp; Targets_Guideline'!$C$54:$I$269,
    MATCH(
      1,
      ('Tools &amp; Targets_Guideline'!$A$54:$A$269=$B289)*
      ('Tools &amp; Targets_Guideline'!$B$54:$B$269="GM"),
      0
    ),
    MATCH(
      _xludf.IFNA(
        VLOOKUP($D289,{"PH","Provincial Hospital (H2)";"DH","District Hospital (H3)";"RH","Regional / National Hospital (H1)"},2,0),
        $D289
      ),
      'Tools &amp; Targets_Guideline'!$C$53:$I$53,
      0
    )
  ),
0))</f>
        <v/>
      </c>
      <c r="Z289" s="105"/>
      <c r="AA289" s="119" t="str">
        <f t="array" ref="AA289">IF(OR($B289="",$D289=""),"",
IFERROR(
  INDEX(
    'Tools &amp; Targets_Guideline'!$C$54:$I$269,
    MATCH(
      1,
      ('Tools &amp; Targets_Guideline'!$A$54:$A$269=$B289)*
      ('Tools &amp; Targets_Guideline'!$B$54:$B$269="Penta"),
      0
    ),
    MATCH(
      _xludf.IFNA(
        VLOOKUP($D289,{"PH","Provincial Hospital (H2)";"DH","District Hospital (H3)";"RH","Regional / National Hospital (H1)"},2,0),
        $D289
      ),
      'Tools &amp; Targets_Guideline'!$C$53:$I$53,
      0
    )
  ),
0))</f>
        <v/>
      </c>
      <c r="AB289" s="105"/>
      <c r="AC289" s="119" t="str">
        <f t="array" ref="AC289">IF(OR($B289="",$D289=""),"",
IFERROR(
  INDEX(
    'Tools &amp; Targets_Guideline'!$C$54:$I$269,
    MATCH(
      1,
      ('Tools &amp; Targets_Guideline'!$A$54:$A$269=$B289)*
      ('Tools &amp; Targets_Guideline'!$B$54:$B$269="TB"),
      0
    ),
    MATCH(
      _xludf.IFNA(
        VLOOKUP($D289,{"PH","Provincial Hospital (H2)";"DH","District Hospital (H3)";"RH","Regional / National Hospital (H1)"},2,0),
        $D289
      ),
      'Tools &amp; Targets_Guideline'!$C$53:$I$53,
      0
    )
  ),
0))</f>
        <v/>
      </c>
      <c r="AD289" s="105"/>
      <c r="AE289" s="119" t="str">
        <f t="array" ref="AE289">IF(OR($B289="",$D289=""),"",
IFERROR(
  INDEX(
    'Tools &amp; Targets_Guideline'!$C$54:$I$269,
    MATCH(
      1,
      ('Tools &amp; Targets_Guideline'!$A$54:$A$269=$B289)*
      ('Tools &amp; Targets_Guideline'!$B$54:$B$269="U5 Morbidity"),
      0
    ),
    MATCH(
      _xludf.IFNA(
        VLOOKUP($D289,{"PH","Provincial Hospital (H2)";"DH","District Hospital (H3)";"RH","Regional / National Hospital (H1)"},2,0),
        $D289
      ),
      'Tools &amp; Targets_Guideline'!$C$53:$I$53,
      0
    )
  ),
0))</f>
        <v/>
      </c>
      <c r="AF289" s="105"/>
      <c r="AG289" s="119" t="str">
        <f t="array" ref="AG289">IF(OR($B289="",$D289=""),"",
IFERROR(
  INDEX(
    'Tools &amp; Targets_Guideline'!$C$54:$I$269,
    MATCH(
      1,
      ('Tools &amp; Targets_Guideline'!$A$54:$A$269=$B289)*
      ('Tools &amp; Targets_Guideline'!$B$54:$B$269="C-Section"),
      0
    ),
    MATCH(
      _xludf.IFNA(
        VLOOKUP($D289,{"PH","Provincial Hospital (H2)";"DH","District Hospital (H3)";"RH","Regional / National Hospital (H1)"},2,0),
        $D289
      ),
      'Tools &amp; Targets_Guideline'!$C$53:$I$53,
      0
    )
  ),
0))</f>
        <v/>
      </c>
      <c r="AH289" s="105" t="str">
        <f>IF(A289&lt;&gt;"",COUNTIFS('QA Log'!D:D,A289,'QA Log'!M:M,"QQC",'QA Log'!L:L,"2. Hygiene and Sterilization",'QA Log'!Z:Z,"Approved"),"")</f>
        <v/>
      </c>
      <c r="AI289" s="102"/>
      <c r="AJ289" s="102"/>
      <c r="AK289" s="103" t="str">
        <f t="shared" si="17"/>
        <v/>
      </c>
      <c r="AL289" s="102"/>
      <c r="AM289" s="102"/>
      <c r="AN289" s="102"/>
      <c r="AO289" s="106"/>
      <c r="AP289" s="103"/>
      <c r="AQ289" s="102"/>
      <c r="AR289" s="102"/>
      <c r="AS289" s="102"/>
      <c r="AT289" s="107"/>
      <c r="AU289" s="102" t="str">
        <f t="shared" si="18"/>
        <v/>
      </c>
      <c r="AV289" s="102" t="str">
        <f t="shared" si="19"/>
        <v/>
      </c>
      <c r="AW289" s="102" t="str">
        <f t="shared" si="20"/>
        <v/>
      </c>
      <c r="AX289" s="102" t="str">
        <f t="shared" si="21"/>
        <v/>
      </c>
      <c r="AY289" s="107" t="str">
        <f t="shared" si="22"/>
        <v/>
      </c>
      <c r="AZ289" s="108" t="str">
        <f t="shared" si="23"/>
        <v/>
      </c>
      <c r="BA289" s="108" t="str">
        <f t="shared" si="24"/>
        <v/>
      </c>
      <c r="BB289" s="109" t="str">
        <f t="shared" si="25"/>
        <v/>
      </c>
      <c r="BC289" s="108" t="str">
        <f t="shared" si="26"/>
        <v/>
      </c>
      <c r="BD289" s="108" t="str">
        <f t="shared" si="27"/>
        <v/>
      </c>
      <c r="BE289" s="109" t="str">
        <f t="shared" si="28"/>
        <v/>
      </c>
      <c r="BF289" s="110" t="str">
        <f t="shared" si="29"/>
        <v/>
      </c>
      <c r="BG289" s="111"/>
    </row>
    <row r="290" spans="1:59" ht="12.75">
      <c r="A290" s="101"/>
      <c r="B290" s="102"/>
      <c r="C290" s="102" t="e">
        <f t="array" aca="1" ref="C290" ca="1">_xludf.XLOOKUP(A290,'QA Log'!D:D,'QA Log'!F:F,"")</f>
        <v>#NAME?</v>
      </c>
      <c r="D290" s="102"/>
      <c r="E290" s="102" t="e">
        <f t="array" aca="1" ref="E290" ca="1">_xludf.XLOOKUP(A290,'QA Log'!D:D,'QA Log'!G:G,"")</f>
        <v>#NAME?</v>
      </c>
      <c r="F290" s="103"/>
      <c r="G290" s="104"/>
      <c r="H290" s="104"/>
      <c r="I290" s="103" t="str">
        <f t="shared" si="15"/>
        <v/>
      </c>
      <c r="J290" s="102"/>
      <c r="K290" s="102"/>
      <c r="L290" s="119" t="str">
        <f t="array" ref="L290">IF(OR($B290="",$D290=""),"",
IFERROR(
  INDEX(
    'Tools &amp; Targets_Guideline'!$C$54:$I$269,
    MATCH(
      1,
      ('Tools &amp; Targets_Guideline'!$A$54:$A$269=$B290)*
      ('Tools &amp; Targets_Guideline'!$B$54:$B$269="ANC"),
      0
    ),
    MATCH(
      _xludf.IFNA(
        VLOOKUP($D290,{"PH","Provincial Hospital (H2)";"DH","District Hospital (H3)";"RH","Regional / National Hospital (H1)"},2,0),
        $D290
      ),
      'Tools &amp; Targets_Guideline'!$C$53:$I$53,
      0
    )
  ),
0))</f>
        <v/>
      </c>
      <c r="M290" s="105"/>
      <c r="N290" s="119" t="str">
        <f t="array" ref="N290">IF(OR($B290="",$D290=""),"",
IFERROR(
  INDEX(
    'Tools &amp; Targets_Guideline'!$C$54:$I$269,
    MATCH(
      1,
      ('Tools &amp; Targets_Guideline'!$A$54:$A$269=$B290)*
      ('Tools &amp; Targets_Guideline'!$B$54:$B$269="PNC"),
      0
    ),
    MATCH(
      _xludf.IFNA(
        VLOOKUP($D290,{"PH","Provincial Hospital (H2)";"DH","District Hospital (H3)";"RH","Regional / National Hospital (H1)"},2,0),
        $D290
      ),
      'Tools &amp; Targets_Guideline'!$C$53:$I$53,
      0
    )
  ),
0))</f>
        <v/>
      </c>
      <c r="O290" s="105"/>
      <c r="P290" s="119" t="str">
        <f t="array" ref="P290">IF(OR($B290="",$D290=""),"",
IFERROR(
  INDEX(
    'Tools &amp; Targets_Guideline'!$C$54:$I$269,
    MATCH(
      1,
      ('Tools &amp; Targets_Guideline'!$A$54:$A$269=$B290)*
      ('Tools &amp; Targets_Guideline'!$B$54:$B$269="Delivery"),
      0
    ),
    MATCH(
      _xludf.IFNA(
        VLOOKUP($D290,{"PH","Provincial Hospital (H2)";"DH","District Hospital (H3)";"RH","Regional / National Hospital (H1)"},2,0),
        $D290
      ),
      'Tools &amp; Targets_Guideline'!$C$53:$I$53,
      0
    )
  ),
0))</f>
        <v/>
      </c>
      <c r="Q290" s="105"/>
      <c r="R290" s="119" t="str">
        <f t="array" ref="R290">IF(OR($B290="",$D290=""),"",
IFERROR(
  INDEX(
    'Tools &amp; Targets_Guideline'!$C$54:$I$269,
    MATCH(
      1,
      ('Tools &amp; Targets_Guideline'!$A$54:$A$269=$B290)*
      ('Tools &amp; Targets_Guideline'!$B$54:$B$269="TT"),
      0
    ),
    MATCH(
      _xludf.IFNA(
        VLOOKUP($D290,{"PH","Provincial Hospital (H2)";"DH","District Hospital (H3)";"RH","Regional / National Hospital (H1)"},2,0),
        $D290
      ),
      'Tools &amp; Targets_Guideline'!$C$53:$I$53,
      0
    )
  ),
0))</f>
        <v/>
      </c>
      <c r="S290" s="105"/>
      <c r="T290" s="102"/>
      <c r="U290" s="106"/>
      <c r="V290" s="102" t="str">
        <f t="shared" si="16"/>
        <v/>
      </c>
      <c r="W290" s="102"/>
      <c r="X290" s="102"/>
      <c r="Y290" s="119" t="str">
        <f t="array" ref="Y290">IF(OR($B290="",$D290=""),"",
IFERROR(
  INDEX(
    'Tools &amp; Targets_Guideline'!$C$54:$I$269,
    MATCH(
      1,
      ('Tools &amp; Targets_Guideline'!$A$54:$A$269=$B290)*
      ('Tools &amp; Targets_Guideline'!$B$54:$B$269="GM"),
      0
    ),
    MATCH(
      _xludf.IFNA(
        VLOOKUP($D290,{"PH","Provincial Hospital (H2)";"DH","District Hospital (H3)";"RH","Regional / National Hospital (H1)"},2,0),
        $D290
      ),
      'Tools &amp; Targets_Guideline'!$C$53:$I$53,
      0
    )
  ),
0))</f>
        <v/>
      </c>
      <c r="Z290" s="105"/>
      <c r="AA290" s="119" t="str">
        <f t="array" ref="AA290">IF(OR($B290="",$D290=""),"",
IFERROR(
  INDEX(
    'Tools &amp; Targets_Guideline'!$C$54:$I$269,
    MATCH(
      1,
      ('Tools &amp; Targets_Guideline'!$A$54:$A$269=$B290)*
      ('Tools &amp; Targets_Guideline'!$B$54:$B$269="Penta"),
      0
    ),
    MATCH(
      _xludf.IFNA(
        VLOOKUP($D290,{"PH","Provincial Hospital (H2)";"DH","District Hospital (H3)";"RH","Regional / National Hospital (H1)"},2,0),
        $D290
      ),
      'Tools &amp; Targets_Guideline'!$C$53:$I$53,
      0
    )
  ),
0))</f>
        <v/>
      </c>
      <c r="AB290" s="105"/>
      <c r="AC290" s="119" t="str">
        <f t="array" ref="AC290">IF(OR($B290="",$D290=""),"",
IFERROR(
  INDEX(
    'Tools &amp; Targets_Guideline'!$C$54:$I$269,
    MATCH(
      1,
      ('Tools &amp; Targets_Guideline'!$A$54:$A$269=$B290)*
      ('Tools &amp; Targets_Guideline'!$B$54:$B$269="TB"),
      0
    ),
    MATCH(
      _xludf.IFNA(
        VLOOKUP($D290,{"PH","Provincial Hospital (H2)";"DH","District Hospital (H3)";"RH","Regional / National Hospital (H1)"},2,0),
        $D290
      ),
      'Tools &amp; Targets_Guideline'!$C$53:$I$53,
      0
    )
  ),
0))</f>
        <v/>
      </c>
      <c r="AD290" s="105"/>
      <c r="AE290" s="119" t="str">
        <f t="array" ref="AE290">IF(OR($B290="",$D290=""),"",
IFERROR(
  INDEX(
    'Tools &amp; Targets_Guideline'!$C$54:$I$269,
    MATCH(
      1,
      ('Tools &amp; Targets_Guideline'!$A$54:$A$269=$B290)*
      ('Tools &amp; Targets_Guideline'!$B$54:$B$269="U5 Morbidity"),
      0
    ),
    MATCH(
      _xludf.IFNA(
        VLOOKUP($D290,{"PH","Provincial Hospital (H2)";"DH","District Hospital (H3)";"RH","Regional / National Hospital (H1)"},2,0),
        $D290
      ),
      'Tools &amp; Targets_Guideline'!$C$53:$I$53,
      0
    )
  ),
0))</f>
        <v/>
      </c>
      <c r="AF290" s="105"/>
      <c r="AG290" s="119" t="str">
        <f t="array" ref="AG290">IF(OR($B290="",$D290=""),"",
IFERROR(
  INDEX(
    'Tools &amp; Targets_Guideline'!$C$54:$I$269,
    MATCH(
      1,
      ('Tools &amp; Targets_Guideline'!$A$54:$A$269=$B290)*
      ('Tools &amp; Targets_Guideline'!$B$54:$B$269="C-Section"),
      0
    ),
    MATCH(
      _xludf.IFNA(
        VLOOKUP($D290,{"PH","Provincial Hospital (H2)";"DH","District Hospital (H3)";"RH","Regional / National Hospital (H1)"},2,0),
        $D290
      ),
      'Tools &amp; Targets_Guideline'!$C$53:$I$53,
      0
    )
  ),
0))</f>
        <v/>
      </c>
      <c r="AH290" s="105" t="str">
        <f>IF(A290&lt;&gt;"",COUNTIFS('QA Log'!D:D,A290,'QA Log'!M:M,"QQC",'QA Log'!L:L,"2. Hygiene and Sterilization",'QA Log'!Z:Z,"Approved"),"")</f>
        <v/>
      </c>
      <c r="AI290" s="102"/>
      <c r="AJ290" s="102"/>
      <c r="AK290" s="103" t="str">
        <f t="shared" si="17"/>
        <v/>
      </c>
      <c r="AL290" s="102"/>
      <c r="AM290" s="102"/>
      <c r="AN290" s="102"/>
      <c r="AO290" s="106"/>
      <c r="AP290" s="103"/>
      <c r="AQ290" s="102"/>
      <c r="AR290" s="102"/>
      <c r="AS290" s="102"/>
      <c r="AT290" s="107"/>
      <c r="AU290" s="102" t="str">
        <f t="shared" si="18"/>
        <v/>
      </c>
      <c r="AV290" s="102" t="str">
        <f t="shared" si="19"/>
        <v/>
      </c>
      <c r="AW290" s="102" t="str">
        <f t="shared" si="20"/>
        <v/>
      </c>
      <c r="AX290" s="102" t="str">
        <f t="shared" si="21"/>
        <v/>
      </c>
      <c r="AY290" s="107" t="str">
        <f t="shared" si="22"/>
        <v/>
      </c>
      <c r="AZ290" s="108" t="str">
        <f t="shared" si="23"/>
        <v/>
      </c>
      <c r="BA290" s="108" t="str">
        <f t="shared" si="24"/>
        <v/>
      </c>
      <c r="BB290" s="109" t="str">
        <f t="shared" si="25"/>
        <v/>
      </c>
      <c r="BC290" s="108" t="str">
        <f t="shared" si="26"/>
        <v/>
      </c>
      <c r="BD290" s="108" t="str">
        <f t="shared" si="27"/>
        <v/>
      </c>
      <c r="BE290" s="109" t="str">
        <f t="shared" si="28"/>
        <v/>
      </c>
      <c r="BF290" s="110" t="str">
        <f t="shared" si="29"/>
        <v/>
      </c>
      <c r="BG290" s="111"/>
    </row>
    <row r="291" spans="1:59" ht="12.75">
      <c r="A291" s="101"/>
      <c r="B291" s="102"/>
      <c r="C291" s="102" t="e">
        <f t="array" aca="1" ref="C291" ca="1">_xludf.XLOOKUP(A291,'QA Log'!D:D,'QA Log'!F:F,"")</f>
        <v>#NAME?</v>
      </c>
      <c r="D291" s="102"/>
      <c r="E291" s="102" t="e">
        <f t="array" aca="1" ref="E291" ca="1">_xludf.XLOOKUP(A291,'QA Log'!D:D,'QA Log'!G:G,"")</f>
        <v>#NAME?</v>
      </c>
      <c r="F291" s="103"/>
      <c r="G291" s="104"/>
      <c r="H291" s="104"/>
      <c r="I291" s="103" t="str">
        <f t="shared" si="15"/>
        <v/>
      </c>
      <c r="J291" s="102"/>
      <c r="K291" s="102"/>
      <c r="L291" s="119" t="str">
        <f t="array" ref="L291">IF(OR($B291="",$D291=""),"",
IFERROR(
  INDEX(
    'Tools &amp; Targets_Guideline'!$C$54:$I$269,
    MATCH(
      1,
      ('Tools &amp; Targets_Guideline'!$A$54:$A$269=$B291)*
      ('Tools &amp; Targets_Guideline'!$B$54:$B$269="ANC"),
      0
    ),
    MATCH(
      _xludf.IFNA(
        VLOOKUP($D291,{"PH","Provincial Hospital (H2)";"DH","District Hospital (H3)";"RH","Regional / National Hospital (H1)"},2,0),
        $D291
      ),
      'Tools &amp; Targets_Guideline'!$C$53:$I$53,
      0
    )
  ),
0))</f>
        <v/>
      </c>
      <c r="M291" s="105"/>
      <c r="N291" s="119" t="str">
        <f t="array" ref="N291">IF(OR($B291="",$D291=""),"",
IFERROR(
  INDEX(
    'Tools &amp; Targets_Guideline'!$C$54:$I$269,
    MATCH(
      1,
      ('Tools &amp; Targets_Guideline'!$A$54:$A$269=$B291)*
      ('Tools &amp; Targets_Guideline'!$B$54:$B$269="PNC"),
      0
    ),
    MATCH(
      _xludf.IFNA(
        VLOOKUP($D291,{"PH","Provincial Hospital (H2)";"DH","District Hospital (H3)";"RH","Regional / National Hospital (H1)"},2,0),
        $D291
      ),
      'Tools &amp; Targets_Guideline'!$C$53:$I$53,
      0
    )
  ),
0))</f>
        <v/>
      </c>
      <c r="O291" s="105"/>
      <c r="P291" s="119" t="str">
        <f t="array" ref="P291">IF(OR($B291="",$D291=""),"",
IFERROR(
  INDEX(
    'Tools &amp; Targets_Guideline'!$C$54:$I$269,
    MATCH(
      1,
      ('Tools &amp; Targets_Guideline'!$A$54:$A$269=$B291)*
      ('Tools &amp; Targets_Guideline'!$B$54:$B$269="Delivery"),
      0
    ),
    MATCH(
      _xludf.IFNA(
        VLOOKUP($D291,{"PH","Provincial Hospital (H2)";"DH","District Hospital (H3)";"RH","Regional / National Hospital (H1)"},2,0),
        $D291
      ),
      'Tools &amp; Targets_Guideline'!$C$53:$I$53,
      0
    )
  ),
0))</f>
        <v/>
      </c>
      <c r="Q291" s="105"/>
      <c r="R291" s="119" t="str">
        <f t="array" ref="R291">IF(OR($B291="",$D291=""),"",
IFERROR(
  INDEX(
    'Tools &amp; Targets_Guideline'!$C$54:$I$269,
    MATCH(
      1,
      ('Tools &amp; Targets_Guideline'!$A$54:$A$269=$B291)*
      ('Tools &amp; Targets_Guideline'!$B$54:$B$269="TT"),
      0
    ),
    MATCH(
      _xludf.IFNA(
        VLOOKUP($D291,{"PH","Provincial Hospital (H2)";"DH","District Hospital (H3)";"RH","Regional / National Hospital (H1)"},2,0),
        $D291
      ),
      'Tools &amp; Targets_Guideline'!$C$53:$I$53,
      0
    )
  ),
0))</f>
        <v/>
      </c>
      <c r="S291" s="105"/>
      <c r="T291" s="102"/>
      <c r="U291" s="106"/>
      <c r="V291" s="102" t="str">
        <f t="shared" si="16"/>
        <v/>
      </c>
      <c r="W291" s="102"/>
      <c r="X291" s="102"/>
      <c r="Y291" s="119" t="str">
        <f t="array" ref="Y291">IF(OR($B291="",$D291=""),"",
IFERROR(
  INDEX(
    'Tools &amp; Targets_Guideline'!$C$54:$I$269,
    MATCH(
      1,
      ('Tools &amp; Targets_Guideline'!$A$54:$A$269=$B291)*
      ('Tools &amp; Targets_Guideline'!$B$54:$B$269="GM"),
      0
    ),
    MATCH(
      _xludf.IFNA(
        VLOOKUP($D291,{"PH","Provincial Hospital (H2)";"DH","District Hospital (H3)";"RH","Regional / National Hospital (H1)"},2,0),
        $D291
      ),
      'Tools &amp; Targets_Guideline'!$C$53:$I$53,
      0
    )
  ),
0))</f>
        <v/>
      </c>
      <c r="Z291" s="105"/>
      <c r="AA291" s="119" t="str">
        <f t="array" ref="AA291">IF(OR($B291="",$D291=""),"",
IFERROR(
  INDEX(
    'Tools &amp; Targets_Guideline'!$C$54:$I$269,
    MATCH(
      1,
      ('Tools &amp; Targets_Guideline'!$A$54:$A$269=$B291)*
      ('Tools &amp; Targets_Guideline'!$B$54:$B$269="Penta"),
      0
    ),
    MATCH(
      _xludf.IFNA(
        VLOOKUP($D291,{"PH","Provincial Hospital (H2)";"DH","District Hospital (H3)";"RH","Regional / National Hospital (H1)"},2,0),
        $D291
      ),
      'Tools &amp; Targets_Guideline'!$C$53:$I$53,
      0
    )
  ),
0))</f>
        <v/>
      </c>
      <c r="AB291" s="105"/>
      <c r="AC291" s="119" t="str">
        <f t="array" ref="AC291">IF(OR($B291="",$D291=""),"",
IFERROR(
  INDEX(
    'Tools &amp; Targets_Guideline'!$C$54:$I$269,
    MATCH(
      1,
      ('Tools &amp; Targets_Guideline'!$A$54:$A$269=$B291)*
      ('Tools &amp; Targets_Guideline'!$B$54:$B$269="TB"),
      0
    ),
    MATCH(
      _xludf.IFNA(
        VLOOKUP($D291,{"PH","Provincial Hospital (H2)";"DH","District Hospital (H3)";"RH","Regional / National Hospital (H1)"},2,0),
        $D291
      ),
      'Tools &amp; Targets_Guideline'!$C$53:$I$53,
      0
    )
  ),
0))</f>
        <v/>
      </c>
      <c r="AD291" s="105"/>
      <c r="AE291" s="119" t="str">
        <f t="array" ref="AE291">IF(OR($B291="",$D291=""),"",
IFERROR(
  INDEX(
    'Tools &amp; Targets_Guideline'!$C$54:$I$269,
    MATCH(
      1,
      ('Tools &amp; Targets_Guideline'!$A$54:$A$269=$B291)*
      ('Tools &amp; Targets_Guideline'!$B$54:$B$269="U5 Morbidity"),
      0
    ),
    MATCH(
      _xludf.IFNA(
        VLOOKUP($D291,{"PH","Provincial Hospital (H2)";"DH","District Hospital (H3)";"RH","Regional / National Hospital (H1)"},2,0),
        $D291
      ),
      'Tools &amp; Targets_Guideline'!$C$53:$I$53,
      0
    )
  ),
0))</f>
        <v/>
      </c>
      <c r="AF291" s="105"/>
      <c r="AG291" s="119" t="str">
        <f t="array" ref="AG291">IF(OR($B291="",$D291=""),"",
IFERROR(
  INDEX(
    'Tools &amp; Targets_Guideline'!$C$54:$I$269,
    MATCH(
      1,
      ('Tools &amp; Targets_Guideline'!$A$54:$A$269=$B291)*
      ('Tools &amp; Targets_Guideline'!$B$54:$B$269="C-Section"),
      0
    ),
    MATCH(
      _xludf.IFNA(
        VLOOKUP($D291,{"PH","Provincial Hospital (H2)";"DH","District Hospital (H3)";"RH","Regional / National Hospital (H1)"},2,0),
        $D291
      ),
      'Tools &amp; Targets_Guideline'!$C$53:$I$53,
      0
    )
  ),
0))</f>
        <v/>
      </c>
      <c r="AH291" s="105" t="str">
        <f>IF(A291&lt;&gt;"",COUNTIFS('QA Log'!D:D,A291,'QA Log'!M:M,"QQC",'QA Log'!L:L,"2. Hygiene and Sterilization",'QA Log'!Z:Z,"Approved"),"")</f>
        <v/>
      </c>
      <c r="AI291" s="102"/>
      <c r="AJ291" s="102"/>
      <c r="AK291" s="103" t="str">
        <f t="shared" si="17"/>
        <v/>
      </c>
      <c r="AL291" s="102"/>
      <c r="AM291" s="102"/>
      <c r="AN291" s="102"/>
      <c r="AO291" s="106"/>
      <c r="AP291" s="103"/>
      <c r="AQ291" s="102"/>
      <c r="AR291" s="102"/>
      <c r="AS291" s="102"/>
      <c r="AT291" s="107"/>
      <c r="AU291" s="102" t="str">
        <f t="shared" si="18"/>
        <v/>
      </c>
      <c r="AV291" s="102" t="str">
        <f t="shared" si="19"/>
        <v/>
      </c>
      <c r="AW291" s="102" t="str">
        <f t="shared" si="20"/>
        <v/>
      </c>
      <c r="AX291" s="102" t="str">
        <f t="shared" si="21"/>
        <v/>
      </c>
      <c r="AY291" s="107" t="str">
        <f t="shared" si="22"/>
        <v/>
      </c>
      <c r="AZ291" s="108" t="str">
        <f t="shared" si="23"/>
        <v/>
      </c>
      <c r="BA291" s="108" t="str">
        <f t="shared" si="24"/>
        <v/>
      </c>
      <c r="BB291" s="109" t="str">
        <f t="shared" si="25"/>
        <v/>
      </c>
      <c r="BC291" s="108" t="str">
        <f t="shared" si="26"/>
        <v/>
      </c>
      <c r="BD291" s="108" t="str">
        <f t="shared" si="27"/>
        <v/>
      </c>
      <c r="BE291" s="109" t="str">
        <f t="shared" si="28"/>
        <v/>
      </c>
      <c r="BF291" s="110" t="str">
        <f t="shared" si="29"/>
        <v/>
      </c>
      <c r="BG291" s="111"/>
    </row>
    <row r="292" spans="1:59" ht="12.75">
      <c r="A292" s="101"/>
      <c r="B292" s="102"/>
      <c r="C292" s="102" t="e">
        <f t="array" aca="1" ref="C292" ca="1">_xludf.XLOOKUP(A292,'QA Log'!D:D,'QA Log'!F:F,"")</f>
        <v>#NAME?</v>
      </c>
      <c r="D292" s="102"/>
      <c r="E292" s="102" t="e">
        <f t="array" aca="1" ref="E292" ca="1">_xludf.XLOOKUP(A292,'QA Log'!D:D,'QA Log'!G:G,"")</f>
        <v>#NAME?</v>
      </c>
      <c r="F292" s="103"/>
      <c r="G292" s="104"/>
      <c r="H292" s="104"/>
      <c r="I292" s="103" t="str">
        <f t="shared" si="15"/>
        <v/>
      </c>
      <c r="J292" s="102"/>
      <c r="K292" s="102"/>
      <c r="L292" s="119" t="str">
        <f t="array" ref="L292">IF(OR($B292="",$D292=""),"",
IFERROR(
  INDEX(
    'Tools &amp; Targets_Guideline'!$C$54:$I$269,
    MATCH(
      1,
      ('Tools &amp; Targets_Guideline'!$A$54:$A$269=$B292)*
      ('Tools &amp; Targets_Guideline'!$B$54:$B$269="ANC"),
      0
    ),
    MATCH(
      _xludf.IFNA(
        VLOOKUP($D292,{"PH","Provincial Hospital (H2)";"DH","District Hospital (H3)";"RH","Regional / National Hospital (H1)"},2,0),
        $D292
      ),
      'Tools &amp; Targets_Guideline'!$C$53:$I$53,
      0
    )
  ),
0))</f>
        <v/>
      </c>
      <c r="M292" s="105"/>
      <c r="N292" s="119" t="str">
        <f t="array" ref="N292">IF(OR($B292="",$D292=""),"",
IFERROR(
  INDEX(
    'Tools &amp; Targets_Guideline'!$C$54:$I$269,
    MATCH(
      1,
      ('Tools &amp; Targets_Guideline'!$A$54:$A$269=$B292)*
      ('Tools &amp; Targets_Guideline'!$B$54:$B$269="PNC"),
      0
    ),
    MATCH(
      _xludf.IFNA(
        VLOOKUP($D292,{"PH","Provincial Hospital (H2)";"DH","District Hospital (H3)";"RH","Regional / National Hospital (H1)"},2,0),
        $D292
      ),
      'Tools &amp; Targets_Guideline'!$C$53:$I$53,
      0
    )
  ),
0))</f>
        <v/>
      </c>
      <c r="O292" s="105"/>
      <c r="P292" s="119" t="str">
        <f t="array" ref="P292">IF(OR($B292="",$D292=""),"",
IFERROR(
  INDEX(
    'Tools &amp; Targets_Guideline'!$C$54:$I$269,
    MATCH(
      1,
      ('Tools &amp; Targets_Guideline'!$A$54:$A$269=$B292)*
      ('Tools &amp; Targets_Guideline'!$B$54:$B$269="Delivery"),
      0
    ),
    MATCH(
      _xludf.IFNA(
        VLOOKUP($D292,{"PH","Provincial Hospital (H2)";"DH","District Hospital (H3)";"RH","Regional / National Hospital (H1)"},2,0),
        $D292
      ),
      'Tools &amp; Targets_Guideline'!$C$53:$I$53,
      0
    )
  ),
0))</f>
        <v/>
      </c>
      <c r="Q292" s="105"/>
      <c r="R292" s="119" t="str">
        <f t="array" ref="R292">IF(OR($B292="",$D292=""),"",
IFERROR(
  INDEX(
    'Tools &amp; Targets_Guideline'!$C$54:$I$269,
    MATCH(
      1,
      ('Tools &amp; Targets_Guideline'!$A$54:$A$269=$B292)*
      ('Tools &amp; Targets_Guideline'!$B$54:$B$269="TT"),
      0
    ),
    MATCH(
      _xludf.IFNA(
        VLOOKUP($D292,{"PH","Provincial Hospital (H2)";"DH","District Hospital (H3)";"RH","Regional / National Hospital (H1)"},2,0),
        $D292
      ),
      'Tools &amp; Targets_Guideline'!$C$53:$I$53,
      0
    )
  ),
0))</f>
        <v/>
      </c>
      <c r="S292" s="105"/>
      <c r="T292" s="102"/>
      <c r="U292" s="106"/>
      <c r="V292" s="102" t="str">
        <f t="shared" si="16"/>
        <v/>
      </c>
      <c r="W292" s="102"/>
      <c r="X292" s="102"/>
      <c r="Y292" s="119" t="str">
        <f t="array" ref="Y292">IF(OR($B292="",$D292=""),"",
IFERROR(
  INDEX(
    'Tools &amp; Targets_Guideline'!$C$54:$I$269,
    MATCH(
      1,
      ('Tools &amp; Targets_Guideline'!$A$54:$A$269=$B292)*
      ('Tools &amp; Targets_Guideline'!$B$54:$B$269="GM"),
      0
    ),
    MATCH(
      _xludf.IFNA(
        VLOOKUP($D292,{"PH","Provincial Hospital (H2)";"DH","District Hospital (H3)";"RH","Regional / National Hospital (H1)"},2,0),
        $D292
      ),
      'Tools &amp; Targets_Guideline'!$C$53:$I$53,
      0
    )
  ),
0))</f>
        <v/>
      </c>
      <c r="Z292" s="105"/>
      <c r="AA292" s="119" t="str">
        <f t="array" ref="AA292">IF(OR($B292="",$D292=""),"",
IFERROR(
  INDEX(
    'Tools &amp; Targets_Guideline'!$C$54:$I$269,
    MATCH(
      1,
      ('Tools &amp; Targets_Guideline'!$A$54:$A$269=$B292)*
      ('Tools &amp; Targets_Guideline'!$B$54:$B$269="Penta"),
      0
    ),
    MATCH(
      _xludf.IFNA(
        VLOOKUP($D292,{"PH","Provincial Hospital (H2)";"DH","District Hospital (H3)";"RH","Regional / National Hospital (H1)"},2,0),
        $D292
      ),
      'Tools &amp; Targets_Guideline'!$C$53:$I$53,
      0
    )
  ),
0))</f>
        <v/>
      </c>
      <c r="AB292" s="105"/>
      <c r="AC292" s="119" t="str">
        <f t="array" ref="AC292">IF(OR($B292="",$D292=""),"",
IFERROR(
  INDEX(
    'Tools &amp; Targets_Guideline'!$C$54:$I$269,
    MATCH(
      1,
      ('Tools &amp; Targets_Guideline'!$A$54:$A$269=$B292)*
      ('Tools &amp; Targets_Guideline'!$B$54:$B$269="TB"),
      0
    ),
    MATCH(
      _xludf.IFNA(
        VLOOKUP($D292,{"PH","Provincial Hospital (H2)";"DH","District Hospital (H3)";"RH","Regional / National Hospital (H1)"},2,0),
        $D292
      ),
      'Tools &amp; Targets_Guideline'!$C$53:$I$53,
      0
    )
  ),
0))</f>
        <v/>
      </c>
      <c r="AD292" s="105"/>
      <c r="AE292" s="119" t="str">
        <f t="array" ref="AE292">IF(OR($B292="",$D292=""),"",
IFERROR(
  INDEX(
    'Tools &amp; Targets_Guideline'!$C$54:$I$269,
    MATCH(
      1,
      ('Tools &amp; Targets_Guideline'!$A$54:$A$269=$B292)*
      ('Tools &amp; Targets_Guideline'!$B$54:$B$269="U5 Morbidity"),
      0
    ),
    MATCH(
      _xludf.IFNA(
        VLOOKUP($D292,{"PH","Provincial Hospital (H2)";"DH","District Hospital (H3)";"RH","Regional / National Hospital (H1)"},2,0),
        $D292
      ),
      'Tools &amp; Targets_Guideline'!$C$53:$I$53,
      0
    )
  ),
0))</f>
        <v/>
      </c>
      <c r="AF292" s="105"/>
      <c r="AG292" s="119" t="str">
        <f t="array" ref="AG292">IF(OR($B292="",$D292=""),"",
IFERROR(
  INDEX(
    'Tools &amp; Targets_Guideline'!$C$54:$I$269,
    MATCH(
      1,
      ('Tools &amp; Targets_Guideline'!$A$54:$A$269=$B292)*
      ('Tools &amp; Targets_Guideline'!$B$54:$B$269="C-Section"),
      0
    ),
    MATCH(
      _xludf.IFNA(
        VLOOKUP($D292,{"PH","Provincial Hospital (H2)";"DH","District Hospital (H3)";"RH","Regional / National Hospital (H1)"},2,0),
        $D292
      ),
      'Tools &amp; Targets_Guideline'!$C$53:$I$53,
      0
    )
  ),
0))</f>
        <v/>
      </c>
      <c r="AH292" s="105" t="str">
        <f>IF(A292&lt;&gt;"",COUNTIFS('QA Log'!D:D,A292,'QA Log'!M:M,"QQC",'QA Log'!L:L,"2. Hygiene and Sterilization",'QA Log'!Z:Z,"Approved"),"")</f>
        <v/>
      </c>
      <c r="AI292" s="102"/>
      <c r="AJ292" s="102"/>
      <c r="AK292" s="103" t="str">
        <f t="shared" si="17"/>
        <v/>
      </c>
      <c r="AL292" s="102"/>
      <c r="AM292" s="102"/>
      <c r="AN292" s="102"/>
      <c r="AO292" s="106"/>
      <c r="AP292" s="103"/>
      <c r="AQ292" s="102"/>
      <c r="AR292" s="102"/>
      <c r="AS292" s="102"/>
      <c r="AT292" s="107"/>
      <c r="AU292" s="102" t="str">
        <f t="shared" si="18"/>
        <v/>
      </c>
      <c r="AV292" s="102" t="str">
        <f t="shared" si="19"/>
        <v/>
      </c>
      <c r="AW292" s="102" t="str">
        <f t="shared" si="20"/>
        <v/>
      </c>
      <c r="AX292" s="102" t="str">
        <f t="shared" si="21"/>
        <v/>
      </c>
      <c r="AY292" s="107" t="str">
        <f t="shared" si="22"/>
        <v/>
      </c>
      <c r="AZ292" s="108" t="str">
        <f t="shared" si="23"/>
        <v/>
      </c>
      <c r="BA292" s="108" t="str">
        <f t="shared" si="24"/>
        <v/>
      </c>
      <c r="BB292" s="109" t="str">
        <f t="shared" si="25"/>
        <v/>
      </c>
      <c r="BC292" s="108" t="str">
        <f t="shared" si="26"/>
        <v/>
      </c>
      <c r="BD292" s="108" t="str">
        <f t="shared" si="27"/>
        <v/>
      </c>
      <c r="BE292" s="109" t="str">
        <f t="shared" si="28"/>
        <v/>
      </c>
      <c r="BF292" s="110" t="str">
        <f t="shared" si="29"/>
        <v/>
      </c>
      <c r="BG292" s="111"/>
    </row>
    <row r="293" spans="1:59" ht="12.75">
      <c r="A293" s="101"/>
      <c r="B293" s="102"/>
      <c r="C293" s="102" t="e">
        <f t="array" aca="1" ref="C293" ca="1">_xludf.XLOOKUP(A293,'QA Log'!D:D,'QA Log'!F:F,"")</f>
        <v>#NAME?</v>
      </c>
      <c r="D293" s="102"/>
      <c r="E293" s="102" t="e">
        <f t="array" aca="1" ref="E293" ca="1">_xludf.XLOOKUP(A293,'QA Log'!D:D,'QA Log'!G:G,"")</f>
        <v>#NAME?</v>
      </c>
      <c r="F293" s="103"/>
      <c r="G293" s="104"/>
      <c r="H293" s="104"/>
      <c r="I293" s="103" t="str">
        <f t="shared" si="15"/>
        <v/>
      </c>
      <c r="J293" s="102"/>
      <c r="K293" s="102"/>
      <c r="L293" s="119" t="str">
        <f t="array" ref="L293">IF(OR($B293="",$D293=""),"",
IFERROR(
  INDEX(
    'Tools &amp; Targets_Guideline'!$C$54:$I$269,
    MATCH(
      1,
      ('Tools &amp; Targets_Guideline'!$A$54:$A$269=$B293)*
      ('Tools &amp; Targets_Guideline'!$B$54:$B$269="ANC"),
      0
    ),
    MATCH(
      _xludf.IFNA(
        VLOOKUP($D293,{"PH","Provincial Hospital (H2)";"DH","District Hospital (H3)";"RH","Regional / National Hospital (H1)"},2,0),
        $D293
      ),
      'Tools &amp; Targets_Guideline'!$C$53:$I$53,
      0
    )
  ),
0))</f>
        <v/>
      </c>
      <c r="M293" s="105"/>
      <c r="N293" s="119" t="str">
        <f t="array" ref="N293">IF(OR($B293="",$D293=""),"",
IFERROR(
  INDEX(
    'Tools &amp; Targets_Guideline'!$C$54:$I$269,
    MATCH(
      1,
      ('Tools &amp; Targets_Guideline'!$A$54:$A$269=$B293)*
      ('Tools &amp; Targets_Guideline'!$B$54:$B$269="PNC"),
      0
    ),
    MATCH(
      _xludf.IFNA(
        VLOOKUP($D293,{"PH","Provincial Hospital (H2)";"DH","District Hospital (H3)";"RH","Regional / National Hospital (H1)"},2,0),
        $D293
      ),
      'Tools &amp; Targets_Guideline'!$C$53:$I$53,
      0
    )
  ),
0))</f>
        <v/>
      </c>
      <c r="O293" s="105"/>
      <c r="P293" s="119" t="str">
        <f t="array" ref="P293">IF(OR($B293="",$D293=""),"",
IFERROR(
  INDEX(
    'Tools &amp; Targets_Guideline'!$C$54:$I$269,
    MATCH(
      1,
      ('Tools &amp; Targets_Guideline'!$A$54:$A$269=$B293)*
      ('Tools &amp; Targets_Guideline'!$B$54:$B$269="Delivery"),
      0
    ),
    MATCH(
      _xludf.IFNA(
        VLOOKUP($D293,{"PH","Provincial Hospital (H2)";"DH","District Hospital (H3)";"RH","Regional / National Hospital (H1)"},2,0),
        $D293
      ),
      'Tools &amp; Targets_Guideline'!$C$53:$I$53,
      0
    )
  ),
0))</f>
        <v/>
      </c>
      <c r="Q293" s="105"/>
      <c r="R293" s="119" t="str">
        <f t="array" ref="R293">IF(OR($B293="",$D293=""),"",
IFERROR(
  INDEX(
    'Tools &amp; Targets_Guideline'!$C$54:$I$269,
    MATCH(
      1,
      ('Tools &amp; Targets_Guideline'!$A$54:$A$269=$B293)*
      ('Tools &amp; Targets_Guideline'!$B$54:$B$269="TT"),
      0
    ),
    MATCH(
      _xludf.IFNA(
        VLOOKUP($D293,{"PH","Provincial Hospital (H2)";"DH","District Hospital (H3)";"RH","Regional / National Hospital (H1)"},2,0),
        $D293
      ),
      'Tools &amp; Targets_Guideline'!$C$53:$I$53,
      0
    )
  ),
0))</f>
        <v/>
      </c>
      <c r="S293" s="105"/>
      <c r="T293" s="102"/>
      <c r="U293" s="106"/>
      <c r="V293" s="102" t="str">
        <f t="shared" si="16"/>
        <v/>
      </c>
      <c r="W293" s="102"/>
      <c r="X293" s="102"/>
      <c r="Y293" s="119" t="str">
        <f t="array" ref="Y293">IF(OR($B293="",$D293=""),"",
IFERROR(
  INDEX(
    'Tools &amp; Targets_Guideline'!$C$54:$I$269,
    MATCH(
      1,
      ('Tools &amp; Targets_Guideline'!$A$54:$A$269=$B293)*
      ('Tools &amp; Targets_Guideline'!$B$54:$B$269="GM"),
      0
    ),
    MATCH(
      _xludf.IFNA(
        VLOOKUP($D293,{"PH","Provincial Hospital (H2)";"DH","District Hospital (H3)";"RH","Regional / National Hospital (H1)"},2,0),
        $D293
      ),
      'Tools &amp; Targets_Guideline'!$C$53:$I$53,
      0
    )
  ),
0))</f>
        <v/>
      </c>
      <c r="Z293" s="105"/>
      <c r="AA293" s="119" t="str">
        <f t="array" ref="AA293">IF(OR($B293="",$D293=""),"",
IFERROR(
  INDEX(
    'Tools &amp; Targets_Guideline'!$C$54:$I$269,
    MATCH(
      1,
      ('Tools &amp; Targets_Guideline'!$A$54:$A$269=$B293)*
      ('Tools &amp; Targets_Guideline'!$B$54:$B$269="Penta"),
      0
    ),
    MATCH(
      _xludf.IFNA(
        VLOOKUP($D293,{"PH","Provincial Hospital (H2)";"DH","District Hospital (H3)";"RH","Regional / National Hospital (H1)"},2,0),
        $D293
      ),
      'Tools &amp; Targets_Guideline'!$C$53:$I$53,
      0
    )
  ),
0))</f>
        <v/>
      </c>
      <c r="AB293" s="105"/>
      <c r="AC293" s="119" t="str">
        <f t="array" ref="AC293">IF(OR($B293="",$D293=""),"",
IFERROR(
  INDEX(
    'Tools &amp; Targets_Guideline'!$C$54:$I$269,
    MATCH(
      1,
      ('Tools &amp; Targets_Guideline'!$A$54:$A$269=$B293)*
      ('Tools &amp; Targets_Guideline'!$B$54:$B$269="TB"),
      0
    ),
    MATCH(
      _xludf.IFNA(
        VLOOKUP($D293,{"PH","Provincial Hospital (H2)";"DH","District Hospital (H3)";"RH","Regional / National Hospital (H1)"},2,0),
        $D293
      ),
      'Tools &amp; Targets_Guideline'!$C$53:$I$53,
      0
    )
  ),
0))</f>
        <v/>
      </c>
      <c r="AD293" s="105"/>
      <c r="AE293" s="119" t="str">
        <f t="array" ref="AE293">IF(OR($B293="",$D293=""),"",
IFERROR(
  INDEX(
    'Tools &amp; Targets_Guideline'!$C$54:$I$269,
    MATCH(
      1,
      ('Tools &amp; Targets_Guideline'!$A$54:$A$269=$B293)*
      ('Tools &amp; Targets_Guideline'!$B$54:$B$269="U5 Morbidity"),
      0
    ),
    MATCH(
      _xludf.IFNA(
        VLOOKUP($D293,{"PH","Provincial Hospital (H2)";"DH","District Hospital (H3)";"RH","Regional / National Hospital (H1)"},2,0),
        $D293
      ),
      'Tools &amp; Targets_Guideline'!$C$53:$I$53,
      0
    )
  ),
0))</f>
        <v/>
      </c>
      <c r="AF293" s="105"/>
      <c r="AG293" s="119" t="str">
        <f t="array" ref="AG293">IF(OR($B293="",$D293=""),"",
IFERROR(
  INDEX(
    'Tools &amp; Targets_Guideline'!$C$54:$I$269,
    MATCH(
      1,
      ('Tools &amp; Targets_Guideline'!$A$54:$A$269=$B293)*
      ('Tools &amp; Targets_Guideline'!$B$54:$B$269="C-Section"),
      0
    ),
    MATCH(
      _xludf.IFNA(
        VLOOKUP($D293,{"PH","Provincial Hospital (H2)";"DH","District Hospital (H3)";"RH","Regional / National Hospital (H1)"},2,0),
        $D293
      ),
      'Tools &amp; Targets_Guideline'!$C$53:$I$53,
      0
    )
  ),
0))</f>
        <v/>
      </c>
      <c r="AH293" s="105" t="str">
        <f>IF(A293&lt;&gt;"",COUNTIFS('QA Log'!D:D,A293,'QA Log'!M:M,"QQC",'QA Log'!L:L,"2. Hygiene and Sterilization",'QA Log'!Z:Z,"Approved"),"")</f>
        <v/>
      </c>
      <c r="AI293" s="102"/>
      <c r="AJ293" s="102"/>
      <c r="AK293" s="103" t="str">
        <f t="shared" si="17"/>
        <v/>
      </c>
      <c r="AL293" s="102"/>
      <c r="AM293" s="102"/>
      <c r="AN293" s="102"/>
      <c r="AO293" s="106"/>
      <c r="AP293" s="103"/>
      <c r="AQ293" s="102"/>
      <c r="AR293" s="102"/>
      <c r="AS293" s="102"/>
      <c r="AT293" s="107"/>
      <c r="AU293" s="102" t="str">
        <f t="shared" si="18"/>
        <v/>
      </c>
      <c r="AV293" s="102" t="str">
        <f t="shared" si="19"/>
        <v/>
      </c>
      <c r="AW293" s="102" t="str">
        <f t="shared" si="20"/>
        <v/>
      </c>
      <c r="AX293" s="102" t="str">
        <f t="shared" si="21"/>
        <v/>
      </c>
      <c r="AY293" s="107" t="str">
        <f t="shared" si="22"/>
        <v/>
      </c>
      <c r="AZ293" s="108" t="str">
        <f t="shared" si="23"/>
        <v/>
      </c>
      <c r="BA293" s="108" t="str">
        <f t="shared" si="24"/>
        <v/>
      </c>
      <c r="BB293" s="109" t="str">
        <f t="shared" si="25"/>
        <v/>
      </c>
      <c r="BC293" s="108" t="str">
        <f t="shared" si="26"/>
        <v/>
      </c>
      <c r="BD293" s="108" t="str">
        <f t="shared" si="27"/>
        <v/>
      </c>
      <c r="BE293" s="109" t="str">
        <f t="shared" si="28"/>
        <v/>
      </c>
      <c r="BF293" s="110" t="str">
        <f t="shared" si="29"/>
        <v/>
      </c>
      <c r="BG293" s="111"/>
    </row>
    <row r="294" spans="1:59" ht="12.75">
      <c r="A294" s="101"/>
      <c r="B294" s="102"/>
      <c r="C294" s="102" t="e">
        <f t="array" aca="1" ref="C294" ca="1">_xludf.XLOOKUP(A294,'QA Log'!D:D,'QA Log'!F:F,"")</f>
        <v>#NAME?</v>
      </c>
      <c r="D294" s="102"/>
      <c r="E294" s="102" t="e">
        <f t="array" aca="1" ref="E294" ca="1">_xludf.XLOOKUP(A294,'QA Log'!D:D,'QA Log'!G:G,"")</f>
        <v>#NAME?</v>
      </c>
      <c r="F294" s="103"/>
      <c r="G294" s="104"/>
      <c r="H294" s="104"/>
      <c r="I294" s="103" t="str">
        <f t="shared" si="15"/>
        <v/>
      </c>
      <c r="J294" s="102"/>
      <c r="K294" s="102"/>
      <c r="L294" s="119" t="str">
        <f t="array" ref="L294">IF(OR($B294="",$D294=""),"",
IFERROR(
  INDEX(
    'Tools &amp; Targets_Guideline'!$C$54:$I$269,
    MATCH(
      1,
      ('Tools &amp; Targets_Guideline'!$A$54:$A$269=$B294)*
      ('Tools &amp; Targets_Guideline'!$B$54:$B$269="ANC"),
      0
    ),
    MATCH(
      _xludf.IFNA(
        VLOOKUP($D294,{"PH","Provincial Hospital (H2)";"DH","District Hospital (H3)";"RH","Regional / National Hospital (H1)"},2,0),
        $D294
      ),
      'Tools &amp; Targets_Guideline'!$C$53:$I$53,
      0
    )
  ),
0))</f>
        <v/>
      </c>
      <c r="M294" s="105"/>
      <c r="N294" s="119" t="str">
        <f t="array" ref="N294">IF(OR($B294="",$D294=""),"",
IFERROR(
  INDEX(
    'Tools &amp; Targets_Guideline'!$C$54:$I$269,
    MATCH(
      1,
      ('Tools &amp; Targets_Guideline'!$A$54:$A$269=$B294)*
      ('Tools &amp; Targets_Guideline'!$B$54:$B$269="PNC"),
      0
    ),
    MATCH(
      _xludf.IFNA(
        VLOOKUP($D294,{"PH","Provincial Hospital (H2)";"DH","District Hospital (H3)";"RH","Regional / National Hospital (H1)"},2,0),
        $D294
      ),
      'Tools &amp; Targets_Guideline'!$C$53:$I$53,
      0
    )
  ),
0))</f>
        <v/>
      </c>
      <c r="O294" s="105"/>
      <c r="P294" s="119" t="str">
        <f t="array" ref="P294">IF(OR($B294="",$D294=""),"",
IFERROR(
  INDEX(
    'Tools &amp; Targets_Guideline'!$C$54:$I$269,
    MATCH(
      1,
      ('Tools &amp; Targets_Guideline'!$A$54:$A$269=$B294)*
      ('Tools &amp; Targets_Guideline'!$B$54:$B$269="Delivery"),
      0
    ),
    MATCH(
      _xludf.IFNA(
        VLOOKUP($D294,{"PH","Provincial Hospital (H2)";"DH","District Hospital (H3)";"RH","Regional / National Hospital (H1)"},2,0),
        $D294
      ),
      'Tools &amp; Targets_Guideline'!$C$53:$I$53,
      0
    )
  ),
0))</f>
        <v/>
      </c>
      <c r="Q294" s="105"/>
      <c r="R294" s="119" t="str">
        <f t="array" ref="R294">IF(OR($B294="",$D294=""),"",
IFERROR(
  INDEX(
    'Tools &amp; Targets_Guideline'!$C$54:$I$269,
    MATCH(
      1,
      ('Tools &amp; Targets_Guideline'!$A$54:$A$269=$B294)*
      ('Tools &amp; Targets_Guideline'!$B$54:$B$269="TT"),
      0
    ),
    MATCH(
      _xludf.IFNA(
        VLOOKUP($D294,{"PH","Provincial Hospital (H2)";"DH","District Hospital (H3)";"RH","Regional / National Hospital (H1)"},2,0),
        $D294
      ),
      'Tools &amp; Targets_Guideline'!$C$53:$I$53,
      0
    )
  ),
0))</f>
        <v/>
      </c>
      <c r="S294" s="105"/>
      <c r="T294" s="102"/>
      <c r="U294" s="106"/>
      <c r="V294" s="102" t="str">
        <f t="shared" si="16"/>
        <v/>
      </c>
      <c r="W294" s="102"/>
      <c r="X294" s="102"/>
      <c r="Y294" s="119" t="str">
        <f t="array" ref="Y294">IF(OR($B294="",$D294=""),"",
IFERROR(
  INDEX(
    'Tools &amp; Targets_Guideline'!$C$54:$I$269,
    MATCH(
      1,
      ('Tools &amp; Targets_Guideline'!$A$54:$A$269=$B294)*
      ('Tools &amp; Targets_Guideline'!$B$54:$B$269="GM"),
      0
    ),
    MATCH(
      _xludf.IFNA(
        VLOOKUP($D294,{"PH","Provincial Hospital (H2)";"DH","District Hospital (H3)";"RH","Regional / National Hospital (H1)"},2,0),
        $D294
      ),
      'Tools &amp; Targets_Guideline'!$C$53:$I$53,
      0
    )
  ),
0))</f>
        <v/>
      </c>
      <c r="Z294" s="105"/>
      <c r="AA294" s="119" t="str">
        <f t="array" ref="AA294">IF(OR($B294="",$D294=""),"",
IFERROR(
  INDEX(
    'Tools &amp; Targets_Guideline'!$C$54:$I$269,
    MATCH(
      1,
      ('Tools &amp; Targets_Guideline'!$A$54:$A$269=$B294)*
      ('Tools &amp; Targets_Guideline'!$B$54:$B$269="Penta"),
      0
    ),
    MATCH(
      _xludf.IFNA(
        VLOOKUP($D294,{"PH","Provincial Hospital (H2)";"DH","District Hospital (H3)";"RH","Regional / National Hospital (H1)"},2,0),
        $D294
      ),
      'Tools &amp; Targets_Guideline'!$C$53:$I$53,
      0
    )
  ),
0))</f>
        <v/>
      </c>
      <c r="AB294" s="105"/>
      <c r="AC294" s="119" t="str">
        <f t="array" ref="AC294">IF(OR($B294="",$D294=""),"",
IFERROR(
  INDEX(
    'Tools &amp; Targets_Guideline'!$C$54:$I$269,
    MATCH(
      1,
      ('Tools &amp; Targets_Guideline'!$A$54:$A$269=$B294)*
      ('Tools &amp; Targets_Guideline'!$B$54:$B$269="TB"),
      0
    ),
    MATCH(
      _xludf.IFNA(
        VLOOKUP($D294,{"PH","Provincial Hospital (H2)";"DH","District Hospital (H3)";"RH","Regional / National Hospital (H1)"},2,0),
        $D294
      ),
      'Tools &amp; Targets_Guideline'!$C$53:$I$53,
      0
    )
  ),
0))</f>
        <v/>
      </c>
      <c r="AD294" s="105"/>
      <c r="AE294" s="119" t="str">
        <f t="array" ref="AE294">IF(OR($B294="",$D294=""),"",
IFERROR(
  INDEX(
    'Tools &amp; Targets_Guideline'!$C$54:$I$269,
    MATCH(
      1,
      ('Tools &amp; Targets_Guideline'!$A$54:$A$269=$B294)*
      ('Tools &amp; Targets_Guideline'!$B$54:$B$269="U5 Morbidity"),
      0
    ),
    MATCH(
      _xludf.IFNA(
        VLOOKUP($D294,{"PH","Provincial Hospital (H2)";"DH","District Hospital (H3)";"RH","Regional / National Hospital (H1)"},2,0),
        $D294
      ),
      'Tools &amp; Targets_Guideline'!$C$53:$I$53,
      0
    )
  ),
0))</f>
        <v/>
      </c>
      <c r="AF294" s="105"/>
      <c r="AG294" s="119" t="str">
        <f t="array" ref="AG294">IF(OR($B294="",$D294=""),"",
IFERROR(
  INDEX(
    'Tools &amp; Targets_Guideline'!$C$54:$I$269,
    MATCH(
      1,
      ('Tools &amp; Targets_Guideline'!$A$54:$A$269=$B294)*
      ('Tools &amp; Targets_Guideline'!$B$54:$B$269="C-Section"),
      0
    ),
    MATCH(
      _xludf.IFNA(
        VLOOKUP($D294,{"PH","Provincial Hospital (H2)";"DH","District Hospital (H3)";"RH","Regional / National Hospital (H1)"},2,0),
        $D294
      ),
      'Tools &amp; Targets_Guideline'!$C$53:$I$53,
      0
    )
  ),
0))</f>
        <v/>
      </c>
      <c r="AH294" s="105" t="str">
        <f>IF(A294&lt;&gt;"",COUNTIFS('QA Log'!D:D,A294,'QA Log'!M:M,"QQC",'QA Log'!L:L,"2. Hygiene and Sterilization",'QA Log'!Z:Z,"Approved"),"")</f>
        <v/>
      </c>
      <c r="AI294" s="102"/>
      <c r="AJ294" s="102"/>
      <c r="AK294" s="103" t="str">
        <f t="shared" si="17"/>
        <v/>
      </c>
      <c r="AL294" s="102"/>
      <c r="AM294" s="102"/>
      <c r="AN294" s="102"/>
      <c r="AO294" s="106"/>
      <c r="AP294" s="103"/>
      <c r="AQ294" s="102"/>
      <c r="AR294" s="102"/>
      <c r="AS294" s="102"/>
      <c r="AT294" s="107"/>
      <c r="AU294" s="102" t="str">
        <f t="shared" si="18"/>
        <v/>
      </c>
      <c r="AV294" s="102" t="str">
        <f t="shared" si="19"/>
        <v/>
      </c>
      <c r="AW294" s="102" t="str">
        <f t="shared" si="20"/>
        <v/>
      </c>
      <c r="AX294" s="102" t="str">
        <f t="shared" si="21"/>
        <v/>
      </c>
      <c r="AY294" s="107" t="str">
        <f t="shared" si="22"/>
        <v/>
      </c>
      <c r="AZ294" s="108" t="str">
        <f t="shared" si="23"/>
        <v/>
      </c>
      <c r="BA294" s="108" t="str">
        <f t="shared" si="24"/>
        <v/>
      </c>
      <c r="BB294" s="109" t="str">
        <f t="shared" si="25"/>
        <v/>
      </c>
      <c r="BC294" s="108" t="str">
        <f t="shared" si="26"/>
        <v/>
      </c>
      <c r="BD294" s="108" t="str">
        <f t="shared" si="27"/>
        <v/>
      </c>
      <c r="BE294" s="109" t="str">
        <f t="shared" si="28"/>
        <v/>
      </c>
      <c r="BF294" s="110" t="str">
        <f t="shared" si="29"/>
        <v/>
      </c>
      <c r="BG294" s="111"/>
    </row>
    <row r="295" spans="1:59" ht="12.75">
      <c r="A295" s="101"/>
      <c r="B295" s="102"/>
      <c r="C295" s="102" t="e">
        <f t="array" aca="1" ref="C295" ca="1">_xludf.XLOOKUP(A295,'QA Log'!D:D,'QA Log'!F:F,"")</f>
        <v>#NAME?</v>
      </c>
      <c r="D295" s="102"/>
      <c r="E295" s="102" t="e">
        <f t="array" aca="1" ref="E295" ca="1">_xludf.XLOOKUP(A295,'QA Log'!D:D,'QA Log'!G:G,"")</f>
        <v>#NAME?</v>
      </c>
      <c r="F295" s="103"/>
      <c r="G295" s="104"/>
      <c r="H295" s="104"/>
      <c r="I295" s="103" t="str">
        <f t="shared" si="15"/>
        <v/>
      </c>
      <c r="J295" s="102"/>
      <c r="K295" s="102"/>
      <c r="L295" s="119" t="str">
        <f t="array" ref="L295">IF(OR($B295="",$D295=""),"",
IFERROR(
  INDEX(
    'Tools &amp; Targets_Guideline'!$C$54:$I$269,
    MATCH(
      1,
      ('Tools &amp; Targets_Guideline'!$A$54:$A$269=$B295)*
      ('Tools &amp; Targets_Guideline'!$B$54:$B$269="ANC"),
      0
    ),
    MATCH(
      _xludf.IFNA(
        VLOOKUP($D295,{"PH","Provincial Hospital (H2)";"DH","District Hospital (H3)";"RH","Regional / National Hospital (H1)"},2,0),
        $D295
      ),
      'Tools &amp; Targets_Guideline'!$C$53:$I$53,
      0
    )
  ),
0))</f>
        <v/>
      </c>
      <c r="M295" s="105"/>
      <c r="N295" s="119" t="str">
        <f t="array" ref="N295">IF(OR($B295="",$D295=""),"",
IFERROR(
  INDEX(
    'Tools &amp; Targets_Guideline'!$C$54:$I$269,
    MATCH(
      1,
      ('Tools &amp; Targets_Guideline'!$A$54:$A$269=$B295)*
      ('Tools &amp; Targets_Guideline'!$B$54:$B$269="PNC"),
      0
    ),
    MATCH(
      _xludf.IFNA(
        VLOOKUP($D295,{"PH","Provincial Hospital (H2)";"DH","District Hospital (H3)";"RH","Regional / National Hospital (H1)"},2,0),
        $D295
      ),
      'Tools &amp; Targets_Guideline'!$C$53:$I$53,
      0
    )
  ),
0))</f>
        <v/>
      </c>
      <c r="O295" s="105"/>
      <c r="P295" s="119" t="str">
        <f t="array" ref="P295">IF(OR($B295="",$D295=""),"",
IFERROR(
  INDEX(
    'Tools &amp; Targets_Guideline'!$C$54:$I$269,
    MATCH(
      1,
      ('Tools &amp; Targets_Guideline'!$A$54:$A$269=$B295)*
      ('Tools &amp; Targets_Guideline'!$B$54:$B$269="Delivery"),
      0
    ),
    MATCH(
      _xludf.IFNA(
        VLOOKUP($D295,{"PH","Provincial Hospital (H2)";"DH","District Hospital (H3)";"RH","Regional / National Hospital (H1)"},2,0),
        $D295
      ),
      'Tools &amp; Targets_Guideline'!$C$53:$I$53,
      0
    )
  ),
0))</f>
        <v/>
      </c>
      <c r="Q295" s="105"/>
      <c r="R295" s="119" t="str">
        <f t="array" ref="R295">IF(OR($B295="",$D295=""),"",
IFERROR(
  INDEX(
    'Tools &amp; Targets_Guideline'!$C$54:$I$269,
    MATCH(
      1,
      ('Tools &amp; Targets_Guideline'!$A$54:$A$269=$B295)*
      ('Tools &amp; Targets_Guideline'!$B$54:$B$269="TT"),
      0
    ),
    MATCH(
      _xludf.IFNA(
        VLOOKUP($D295,{"PH","Provincial Hospital (H2)";"DH","District Hospital (H3)";"RH","Regional / National Hospital (H1)"},2,0),
        $D295
      ),
      'Tools &amp; Targets_Guideline'!$C$53:$I$53,
      0
    )
  ),
0))</f>
        <v/>
      </c>
      <c r="S295" s="105"/>
      <c r="T295" s="102"/>
      <c r="U295" s="106"/>
      <c r="V295" s="102" t="str">
        <f t="shared" si="16"/>
        <v/>
      </c>
      <c r="W295" s="102"/>
      <c r="X295" s="102"/>
      <c r="Y295" s="119" t="str">
        <f t="array" ref="Y295">IF(OR($B295="",$D295=""),"",
IFERROR(
  INDEX(
    'Tools &amp; Targets_Guideline'!$C$54:$I$269,
    MATCH(
      1,
      ('Tools &amp; Targets_Guideline'!$A$54:$A$269=$B295)*
      ('Tools &amp; Targets_Guideline'!$B$54:$B$269="GM"),
      0
    ),
    MATCH(
      _xludf.IFNA(
        VLOOKUP($D295,{"PH","Provincial Hospital (H2)";"DH","District Hospital (H3)";"RH","Regional / National Hospital (H1)"},2,0),
        $D295
      ),
      'Tools &amp; Targets_Guideline'!$C$53:$I$53,
      0
    )
  ),
0))</f>
        <v/>
      </c>
      <c r="Z295" s="105"/>
      <c r="AA295" s="119" t="str">
        <f t="array" ref="AA295">IF(OR($B295="",$D295=""),"",
IFERROR(
  INDEX(
    'Tools &amp; Targets_Guideline'!$C$54:$I$269,
    MATCH(
      1,
      ('Tools &amp; Targets_Guideline'!$A$54:$A$269=$B295)*
      ('Tools &amp; Targets_Guideline'!$B$54:$B$269="Penta"),
      0
    ),
    MATCH(
      _xludf.IFNA(
        VLOOKUP($D295,{"PH","Provincial Hospital (H2)";"DH","District Hospital (H3)";"RH","Regional / National Hospital (H1)"},2,0),
        $D295
      ),
      'Tools &amp; Targets_Guideline'!$C$53:$I$53,
      0
    )
  ),
0))</f>
        <v/>
      </c>
      <c r="AB295" s="105"/>
      <c r="AC295" s="119" t="str">
        <f t="array" ref="AC295">IF(OR($B295="",$D295=""),"",
IFERROR(
  INDEX(
    'Tools &amp; Targets_Guideline'!$C$54:$I$269,
    MATCH(
      1,
      ('Tools &amp; Targets_Guideline'!$A$54:$A$269=$B295)*
      ('Tools &amp; Targets_Guideline'!$B$54:$B$269="TB"),
      0
    ),
    MATCH(
      _xludf.IFNA(
        VLOOKUP($D295,{"PH","Provincial Hospital (H2)";"DH","District Hospital (H3)";"RH","Regional / National Hospital (H1)"},2,0),
        $D295
      ),
      'Tools &amp; Targets_Guideline'!$C$53:$I$53,
      0
    )
  ),
0))</f>
        <v/>
      </c>
      <c r="AD295" s="105"/>
      <c r="AE295" s="119" t="str">
        <f t="array" ref="AE295">IF(OR($B295="",$D295=""),"",
IFERROR(
  INDEX(
    'Tools &amp; Targets_Guideline'!$C$54:$I$269,
    MATCH(
      1,
      ('Tools &amp; Targets_Guideline'!$A$54:$A$269=$B295)*
      ('Tools &amp; Targets_Guideline'!$B$54:$B$269="U5 Morbidity"),
      0
    ),
    MATCH(
      _xludf.IFNA(
        VLOOKUP($D295,{"PH","Provincial Hospital (H2)";"DH","District Hospital (H3)";"RH","Regional / National Hospital (H1)"},2,0),
        $D295
      ),
      'Tools &amp; Targets_Guideline'!$C$53:$I$53,
      0
    )
  ),
0))</f>
        <v/>
      </c>
      <c r="AF295" s="105"/>
      <c r="AG295" s="119" t="str">
        <f t="array" ref="AG295">IF(OR($B295="",$D295=""),"",
IFERROR(
  INDEX(
    'Tools &amp; Targets_Guideline'!$C$54:$I$269,
    MATCH(
      1,
      ('Tools &amp; Targets_Guideline'!$A$54:$A$269=$B295)*
      ('Tools &amp; Targets_Guideline'!$B$54:$B$269="C-Section"),
      0
    ),
    MATCH(
      _xludf.IFNA(
        VLOOKUP($D295,{"PH","Provincial Hospital (H2)";"DH","District Hospital (H3)";"RH","Regional / National Hospital (H1)"},2,0),
        $D295
      ),
      'Tools &amp; Targets_Guideline'!$C$53:$I$53,
      0
    )
  ),
0))</f>
        <v/>
      </c>
      <c r="AH295" s="105" t="str">
        <f>IF(A295&lt;&gt;"",COUNTIFS('QA Log'!D:D,A295,'QA Log'!M:M,"QQC",'QA Log'!L:L,"2. Hygiene and Sterilization",'QA Log'!Z:Z,"Approved"),"")</f>
        <v/>
      </c>
      <c r="AI295" s="102"/>
      <c r="AJ295" s="102"/>
      <c r="AK295" s="103" t="str">
        <f t="shared" si="17"/>
        <v/>
      </c>
      <c r="AL295" s="102"/>
      <c r="AM295" s="102"/>
      <c r="AN295" s="102"/>
      <c r="AO295" s="106"/>
      <c r="AP295" s="103"/>
      <c r="AQ295" s="102"/>
      <c r="AR295" s="102"/>
      <c r="AS295" s="102"/>
      <c r="AT295" s="107"/>
      <c r="AU295" s="102" t="str">
        <f t="shared" si="18"/>
        <v/>
      </c>
      <c r="AV295" s="102" t="str">
        <f t="shared" si="19"/>
        <v/>
      </c>
      <c r="AW295" s="102" t="str">
        <f t="shared" si="20"/>
        <v/>
      </c>
      <c r="AX295" s="102" t="str">
        <f t="shared" si="21"/>
        <v/>
      </c>
      <c r="AY295" s="107" t="str">
        <f t="shared" si="22"/>
        <v/>
      </c>
      <c r="AZ295" s="108" t="str">
        <f t="shared" si="23"/>
        <v/>
      </c>
      <c r="BA295" s="108" t="str">
        <f t="shared" si="24"/>
        <v/>
      </c>
      <c r="BB295" s="109" t="str">
        <f t="shared" si="25"/>
        <v/>
      </c>
      <c r="BC295" s="108" t="str">
        <f t="shared" si="26"/>
        <v/>
      </c>
      <c r="BD295" s="108" t="str">
        <f t="shared" si="27"/>
        <v/>
      </c>
      <c r="BE295" s="109" t="str">
        <f t="shared" si="28"/>
        <v/>
      </c>
      <c r="BF295" s="110" t="str">
        <f t="shared" si="29"/>
        <v/>
      </c>
      <c r="BG295" s="111"/>
    </row>
    <row r="296" spans="1:59" ht="12.75">
      <c r="A296" s="101"/>
      <c r="B296" s="102"/>
      <c r="C296" s="102" t="e">
        <f t="array" aca="1" ref="C296" ca="1">_xludf.XLOOKUP(A296,'QA Log'!D:D,'QA Log'!F:F,"")</f>
        <v>#NAME?</v>
      </c>
      <c r="D296" s="102"/>
      <c r="E296" s="102" t="e">
        <f t="array" aca="1" ref="E296" ca="1">_xludf.XLOOKUP(A296,'QA Log'!D:D,'QA Log'!G:G,"")</f>
        <v>#NAME?</v>
      </c>
      <c r="F296" s="103"/>
      <c r="G296" s="104"/>
      <c r="H296" s="104"/>
      <c r="I296" s="103" t="str">
        <f t="shared" si="15"/>
        <v/>
      </c>
      <c r="J296" s="102"/>
      <c r="K296" s="102"/>
      <c r="L296" s="119" t="str">
        <f t="array" ref="L296">IF(OR($B296="",$D296=""),"",
IFERROR(
  INDEX(
    'Tools &amp; Targets_Guideline'!$C$54:$I$269,
    MATCH(
      1,
      ('Tools &amp; Targets_Guideline'!$A$54:$A$269=$B296)*
      ('Tools &amp; Targets_Guideline'!$B$54:$B$269="ANC"),
      0
    ),
    MATCH(
      _xludf.IFNA(
        VLOOKUP($D296,{"PH","Provincial Hospital (H2)";"DH","District Hospital (H3)";"RH","Regional / National Hospital (H1)"},2,0),
        $D296
      ),
      'Tools &amp; Targets_Guideline'!$C$53:$I$53,
      0
    )
  ),
0))</f>
        <v/>
      </c>
      <c r="M296" s="105"/>
      <c r="N296" s="119" t="str">
        <f t="array" ref="N296">IF(OR($B296="",$D296=""),"",
IFERROR(
  INDEX(
    'Tools &amp; Targets_Guideline'!$C$54:$I$269,
    MATCH(
      1,
      ('Tools &amp; Targets_Guideline'!$A$54:$A$269=$B296)*
      ('Tools &amp; Targets_Guideline'!$B$54:$B$269="PNC"),
      0
    ),
    MATCH(
      _xludf.IFNA(
        VLOOKUP($D296,{"PH","Provincial Hospital (H2)";"DH","District Hospital (H3)";"RH","Regional / National Hospital (H1)"},2,0),
        $D296
      ),
      'Tools &amp; Targets_Guideline'!$C$53:$I$53,
      0
    )
  ),
0))</f>
        <v/>
      </c>
      <c r="O296" s="105"/>
      <c r="P296" s="119" t="str">
        <f t="array" ref="P296">IF(OR($B296="",$D296=""),"",
IFERROR(
  INDEX(
    'Tools &amp; Targets_Guideline'!$C$54:$I$269,
    MATCH(
      1,
      ('Tools &amp; Targets_Guideline'!$A$54:$A$269=$B296)*
      ('Tools &amp; Targets_Guideline'!$B$54:$B$269="Delivery"),
      0
    ),
    MATCH(
      _xludf.IFNA(
        VLOOKUP($D296,{"PH","Provincial Hospital (H2)";"DH","District Hospital (H3)";"RH","Regional / National Hospital (H1)"},2,0),
        $D296
      ),
      'Tools &amp; Targets_Guideline'!$C$53:$I$53,
      0
    )
  ),
0))</f>
        <v/>
      </c>
      <c r="Q296" s="105"/>
      <c r="R296" s="119" t="str">
        <f t="array" ref="R296">IF(OR($B296="",$D296=""),"",
IFERROR(
  INDEX(
    'Tools &amp; Targets_Guideline'!$C$54:$I$269,
    MATCH(
      1,
      ('Tools &amp; Targets_Guideline'!$A$54:$A$269=$B296)*
      ('Tools &amp; Targets_Guideline'!$B$54:$B$269="TT"),
      0
    ),
    MATCH(
      _xludf.IFNA(
        VLOOKUP($D296,{"PH","Provincial Hospital (H2)";"DH","District Hospital (H3)";"RH","Regional / National Hospital (H1)"},2,0),
        $D296
      ),
      'Tools &amp; Targets_Guideline'!$C$53:$I$53,
      0
    )
  ),
0))</f>
        <v/>
      </c>
      <c r="S296" s="105"/>
      <c r="T296" s="102"/>
      <c r="U296" s="106"/>
      <c r="V296" s="102" t="str">
        <f t="shared" si="16"/>
        <v/>
      </c>
      <c r="W296" s="102"/>
      <c r="X296" s="102"/>
      <c r="Y296" s="119" t="str">
        <f t="array" ref="Y296">IF(OR($B296="",$D296=""),"",
IFERROR(
  INDEX(
    'Tools &amp; Targets_Guideline'!$C$54:$I$269,
    MATCH(
      1,
      ('Tools &amp; Targets_Guideline'!$A$54:$A$269=$B296)*
      ('Tools &amp; Targets_Guideline'!$B$54:$B$269="GM"),
      0
    ),
    MATCH(
      _xludf.IFNA(
        VLOOKUP($D296,{"PH","Provincial Hospital (H2)";"DH","District Hospital (H3)";"RH","Regional / National Hospital (H1)"},2,0),
        $D296
      ),
      'Tools &amp; Targets_Guideline'!$C$53:$I$53,
      0
    )
  ),
0))</f>
        <v/>
      </c>
      <c r="Z296" s="105"/>
      <c r="AA296" s="119" t="str">
        <f t="array" ref="AA296">IF(OR($B296="",$D296=""),"",
IFERROR(
  INDEX(
    'Tools &amp; Targets_Guideline'!$C$54:$I$269,
    MATCH(
      1,
      ('Tools &amp; Targets_Guideline'!$A$54:$A$269=$B296)*
      ('Tools &amp; Targets_Guideline'!$B$54:$B$269="Penta"),
      0
    ),
    MATCH(
      _xludf.IFNA(
        VLOOKUP($D296,{"PH","Provincial Hospital (H2)";"DH","District Hospital (H3)";"RH","Regional / National Hospital (H1)"},2,0),
        $D296
      ),
      'Tools &amp; Targets_Guideline'!$C$53:$I$53,
      0
    )
  ),
0))</f>
        <v/>
      </c>
      <c r="AB296" s="105"/>
      <c r="AC296" s="119" t="str">
        <f t="array" ref="AC296">IF(OR($B296="",$D296=""),"",
IFERROR(
  INDEX(
    'Tools &amp; Targets_Guideline'!$C$54:$I$269,
    MATCH(
      1,
      ('Tools &amp; Targets_Guideline'!$A$54:$A$269=$B296)*
      ('Tools &amp; Targets_Guideline'!$B$54:$B$269="TB"),
      0
    ),
    MATCH(
      _xludf.IFNA(
        VLOOKUP($D296,{"PH","Provincial Hospital (H2)";"DH","District Hospital (H3)";"RH","Regional / National Hospital (H1)"},2,0),
        $D296
      ),
      'Tools &amp; Targets_Guideline'!$C$53:$I$53,
      0
    )
  ),
0))</f>
        <v/>
      </c>
      <c r="AD296" s="105"/>
      <c r="AE296" s="119" t="str">
        <f t="array" ref="AE296">IF(OR($B296="",$D296=""),"",
IFERROR(
  INDEX(
    'Tools &amp; Targets_Guideline'!$C$54:$I$269,
    MATCH(
      1,
      ('Tools &amp; Targets_Guideline'!$A$54:$A$269=$B296)*
      ('Tools &amp; Targets_Guideline'!$B$54:$B$269="U5 Morbidity"),
      0
    ),
    MATCH(
      _xludf.IFNA(
        VLOOKUP($D296,{"PH","Provincial Hospital (H2)";"DH","District Hospital (H3)";"RH","Regional / National Hospital (H1)"},2,0),
        $D296
      ),
      'Tools &amp; Targets_Guideline'!$C$53:$I$53,
      0
    )
  ),
0))</f>
        <v/>
      </c>
      <c r="AF296" s="105"/>
      <c r="AG296" s="119" t="str">
        <f t="array" ref="AG296">IF(OR($B296="",$D296=""),"",
IFERROR(
  INDEX(
    'Tools &amp; Targets_Guideline'!$C$54:$I$269,
    MATCH(
      1,
      ('Tools &amp; Targets_Guideline'!$A$54:$A$269=$B296)*
      ('Tools &amp; Targets_Guideline'!$B$54:$B$269="C-Section"),
      0
    ),
    MATCH(
      _xludf.IFNA(
        VLOOKUP($D296,{"PH","Provincial Hospital (H2)";"DH","District Hospital (H3)";"RH","Regional / National Hospital (H1)"},2,0),
        $D296
      ),
      'Tools &amp; Targets_Guideline'!$C$53:$I$53,
      0
    )
  ),
0))</f>
        <v/>
      </c>
      <c r="AH296" s="105" t="str">
        <f>IF(A296&lt;&gt;"",COUNTIFS('QA Log'!D:D,A296,'QA Log'!M:M,"QQC",'QA Log'!L:L,"2. Hygiene and Sterilization",'QA Log'!Z:Z,"Approved"),"")</f>
        <v/>
      </c>
      <c r="AI296" s="102"/>
      <c r="AJ296" s="102"/>
      <c r="AK296" s="103" t="str">
        <f t="shared" si="17"/>
        <v/>
      </c>
      <c r="AL296" s="102"/>
      <c r="AM296" s="102"/>
      <c r="AN296" s="102"/>
      <c r="AO296" s="106"/>
      <c r="AP296" s="103"/>
      <c r="AQ296" s="102"/>
      <c r="AR296" s="102"/>
      <c r="AS296" s="102"/>
      <c r="AT296" s="107"/>
      <c r="AU296" s="102" t="str">
        <f t="shared" si="18"/>
        <v/>
      </c>
      <c r="AV296" s="102" t="str">
        <f t="shared" si="19"/>
        <v/>
      </c>
      <c r="AW296" s="102" t="str">
        <f t="shared" si="20"/>
        <v/>
      </c>
      <c r="AX296" s="102" t="str">
        <f t="shared" si="21"/>
        <v/>
      </c>
      <c r="AY296" s="107" t="str">
        <f t="shared" si="22"/>
        <v/>
      </c>
      <c r="AZ296" s="108" t="str">
        <f t="shared" si="23"/>
        <v/>
      </c>
      <c r="BA296" s="108" t="str">
        <f t="shared" si="24"/>
        <v/>
      </c>
      <c r="BB296" s="109" t="str">
        <f t="shared" si="25"/>
        <v/>
      </c>
      <c r="BC296" s="108" t="str">
        <f t="shared" si="26"/>
        <v/>
      </c>
      <c r="BD296" s="108" t="str">
        <f t="shared" si="27"/>
        <v/>
      </c>
      <c r="BE296" s="109" t="str">
        <f t="shared" si="28"/>
        <v/>
      </c>
      <c r="BF296" s="110" t="str">
        <f t="shared" si="29"/>
        <v/>
      </c>
      <c r="BG296" s="111"/>
    </row>
    <row r="297" spans="1:59" ht="12.75">
      <c r="A297" s="101"/>
      <c r="B297" s="102"/>
      <c r="C297" s="102" t="e">
        <f t="array" aca="1" ref="C297" ca="1">_xludf.XLOOKUP(A297,'QA Log'!D:D,'QA Log'!F:F,"")</f>
        <v>#NAME?</v>
      </c>
      <c r="D297" s="102"/>
      <c r="E297" s="102" t="e">
        <f t="array" aca="1" ref="E297" ca="1">_xludf.XLOOKUP(A297,'QA Log'!D:D,'QA Log'!G:G,"")</f>
        <v>#NAME?</v>
      </c>
      <c r="F297" s="103"/>
      <c r="G297" s="104"/>
      <c r="H297" s="104"/>
      <c r="I297" s="103" t="str">
        <f t="shared" si="15"/>
        <v/>
      </c>
      <c r="J297" s="102"/>
      <c r="K297" s="102"/>
      <c r="L297" s="119" t="str">
        <f t="array" ref="L297">IF(OR($B297="",$D297=""),"",
IFERROR(
  INDEX(
    'Tools &amp; Targets_Guideline'!$C$54:$I$269,
    MATCH(
      1,
      ('Tools &amp; Targets_Guideline'!$A$54:$A$269=$B297)*
      ('Tools &amp; Targets_Guideline'!$B$54:$B$269="ANC"),
      0
    ),
    MATCH(
      _xludf.IFNA(
        VLOOKUP($D297,{"PH","Provincial Hospital (H2)";"DH","District Hospital (H3)";"RH","Regional / National Hospital (H1)"},2,0),
        $D297
      ),
      'Tools &amp; Targets_Guideline'!$C$53:$I$53,
      0
    )
  ),
0))</f>
        <v/>
      </c>
      <c r="M297" s="105"/>
      <c r="N297" s="119" t="str">
        <f t="array" ref="N297">IF(OR($B297="",$D297=""),"",
IFERROR(
  INDEX(
    'Tools &amp; Targets_Guideline'!$C$54:$I$269,
    MATCH(
      1,
      ('Tools &amp; Targets_Guideline'!$A$54:$A$269=$B297)*
      ('Tools &amp; Targets_Guideline'!$B$54:$B$269="PNC"),
      0
    ),
    MATCH(
      _xludf.IFNA(
        VLOOKUP($D297,{"PH","Provincial Hospital (H2)";"DH","District Hospital (H3)";"RH","Regional / National Hospital (H1)"},2,0),
        $D297
      ),
      'Tools &amp; Targets_Guideline'!$C$53:$I$53,
      0
    )
  ),
0))</f>
        <v/>
      </c>
      <c r="O297" s="105"/>
      <c r="P297" s="119" t="str">
        <f t="array" ref="P297">IF(OR($B297="",$D297=""),"",
IFERROR(
  INDEX(
    'Tools &amp; Targets_Guideline'!$C$54:$I$269,
    MATCH(
      1,
      ('Tools &amp; Targets_Guideline'!$A$54:$A$269=$B297)*
      ('Tools &amp; Targets_Guideline'!$B$54:$B$269="Delivery"),
      0
    ),
    MATCH(
      _xludf.IFNA(
        VLOOKUP($D297,{"PH","Provincial Hospital (H2)";"DH","District Hospital (H3)";"RH","Regional / National Hospital (H1)"},2,0),
        $D297
      ),
      'Tools &amp; Targets_Guideline'!$C$53:$I$53,
      0
    )
  ),
0))</f>
        <v/>
      </c>
      <c r="Q297" s="105"/>
      <c r="R297" s="119" t="str">
        <f t="array" ref="R297">IF(OR($B297="",$D297=""),"",
IFERROR(
  INDEX(
    'Tools &amp; Targets_Guideline'!$C$54:$I$269,
    MATCH(
      1,
      ('Tools &amp; Targets_Guideline'!$A$54:$A$269=$B297)*
      ('Tools &amp; Targets_Guideline'!$B$54:$B$269="TT"),
      0
    ),
    MATCH(
      _xludf.IFNA(
        VLOOKUP($D297,{"PH","Provincial Hospital (H2)";"DH","District Hospital (H3)";"RH","Regional / National Hospital (H1)"},2,0),
        $D297
      ),
      'Tools &amp; Targets_Guideline'!$C$53:$I$53,
      0
    )
  ),
0))</f>
        <v/>
      </c>
      <c r="S297" s="105"/>
      <c r="T297" s="102"/>
      <c r="U297" s="106"/>
      <c r="V297" s="102" t="str">
        <f t="shared" si="16"/>
        <v/>
      </c>
      <c r="W297" s="102"/>
      <c r="X297" s="102"/>
      <c r="Y297" s="119" t="str">
        <f t="array" ref="Y297">IF(OR($B297="",$D297=""),"",
IFERROR(
  INDEX(
    'Tools &amp; Targets_Guideline'!$C$54:$I$269,
    MATCH(
      1,
      ('Tools &amp; Targets_Guideline'!$A$54:$A$269=$B297)*
      ('Tools &amp; Targets_Guideline'!$B$54:$B$269="GM"),
      0
    ),
    MATCH(
      _xludf.IFNA(
        VLOOKUP($D297,{"PH","Provincial Hospital (H2)";"DH","District Hospital (H3)";"RH","Regional / National Hospital (H1)"},2,0),
        $D297
      ),
      'Tools &amp; Targets_Guideline'!$C$53:$I$53,
      0
    )
  ),
0))</f>
        <v/>
      </c>
      <c r="Z297" s="105"/>
      <c r="AA297" s="119" t="str">
        <f t="array" ref="AA297">IF(OR($B297="",$D297=""),"",
IFERROR(
  INDEX(
    'Tools &amp; Targets_Guideline'!$C$54:$I$269,
    MATCH(
      1,
      ('Tools &amp; Targets_Guideline'!$A$54:$A$269=$B297)*
      ('Tools &amp; Targets_Guideline'!$B$54:$B$269="Penta"),
      0
    ),
    MATCH(
      _xludf.IFNA(
        VLOOKUP($D297,{"PH","Provincial Hospital (H2)";"DH","District Hospital (H3)";"RH","Regional / National Hospital (H1)"},2,0),
        $D297
      ),
      'Tools &amp; Targets_Guideline'!$C$53:$I$53,
      0
    )
  ),
0))</f>
        <v/>
      </c>
      <c r="AB297" s="105"/>
      <c r="AC297" s="119" t="str">
        <f t="array" ref="AC297">IF(OR($B297="",$D297=""),"",
IFERROR(
  INDEX(
    'Tools &amp; Targets_Guideline'!$C$54:$I$269,
    MATCH(
      1,
      ('Tools &amp; Targets_Guideline'!$A$54:$A$269=$B297)*
      ('Tools &amp; Targets_Guideline'!$B$54:$B$269="TB"),
      0
    ),
    MATCH(
      _xludf.IFNA(
        VLOOKUP($D297,{"PH","Provincial Hospital (H2)";"DH","District Hospital (H3)";"RH","Regional / National Hospital (H1)"},2,0),
        $D297
      ),
      'Tools &amp; Targets_Guideline'!$C$53:$I$53,
      0
    )
  ),
0))</f>
        <v/>
      </c>
      <c r="AD297" s="105"/>
      <c r="AE297" s="119" t="str">
        <f t="array" ref="AE297">IF(OR($B297="",$D297=""),"",
IFERROR(
  INDEX(
    'Tools &amp; Targets_Guideline'!$C$54:$I$269,
    MATCH(
      1,
      ('Tools &amp; Targets_Guideline'!$A$54:$A$269=$B297)*
      ('Tools &amp; Targets_Guideline'!$B$54:$B$269="U5 Morbidity"),
      0
    ),
    MATCH(
      _xludf.IFNA(
        VLOOKUP($D297,{"PH","Provincial Hospital (H2)";"DH","District Hospital (H3)";"RH","Regional / National Hospital (H1)"},2,0),
        $D297
      ),
      'Tools &amp; Targets_Guideline'!$C$53:$I$53,
      0
    )
  ),
0))</f>
        <v/>
      </c>
      <c r="AF297" s="105"/>
      <c r="AG297" s="119" t="str">
        <f t="array" ref="AG297">IF(OR($B297="",$D297=""),"",
IFERROR(
  INDEX(
    'Tools &amp; Targets_Guideline'!$C$54:$I$269,
    MATCH(
      1,
      ('Tools &amp; Targets_Guideline'!$A$54:$A$269=$B297)*
      ('Tools &amp; Targets_Guideline'!$B$54:$B$269="C-Section"),
      0
    ),
    MATCH(
      _xludf.IFNA(
        VLOOKUP($D297,{"PH","Provincial Hospital (H2)";"DH","District Hospital (H3)";"RH","Regional / National Hospital (H1)"},2,0),
        $D297
      ),
      'Tools &amp; Targets_Guideline'!$C$53:$I$53,
      0
    )
  ),
0))</f>
        <v/>
      </c>
      <c r="AH297" s="105" t="str">
        <f>IF(A297&lt;&gt;"",COUNTIFS('QA Log'!D:D,A297,'QA Log'!M:M,"QQC",'QA Log'!L:L,"2. Hygiene and Sterilization",'QA Log'!Z:Z,"Approved"),"")</f>
        <v/>
      </c>
      <c r="AI297" s="102"/>
      <c r="AJ297" s="102"/>
      <c r="AK297" s="103" t="str">
        <f t="shared" si="17"/>
        <v/>
      </c>
      <c r="AL297" s="102"/>
      <c r="AM297" s="102"/>
      <c r="AN297" s="102"/>
      <c r="AO297" s="106"/>
      <c r="AP297" s="103"/>
      <c r="AQ297" s="102"/>
      <c r="AR297" s="102"/>
      <c r="AS297" s="102"/>
      <c r="AT297" s="107"/>
      <c r="AU297" s="102" t="str">
        <f t="shared" si="18"/>
        <v/>
      </c>
      <c r="AV297" s="102" t="str">
        <f t="shared" si="19"/>
        <v/>
      </c>
      <c r="AW297" s="102" t="str">
        <f t="shared" si="20"/>
        <v/>
      </c>
      <c r="AX297" s="102" t="str">
        <f t="shared" si="21"/>
        <v/>
      </c>
      <c r="AY297" s="107" t="str">
        <f t="shared" si="22"/>
        <v/>
      </c>
      <c r="AZ297" s="108" t="str">
        <f t="shared" si="23"/>
        <v/>
      </c>
      <c r="BA297" s="108" t="str">
        <f t="shared" si="24"/>
        <v/>
      </c>
      <c r="BB297" s="109" t="str">
        <f t="shared" si="25"/>
        <v/>
      </c>
      <c r="BC297" s="108" t="str">
        <f t="shared" si="26"/>
        <v/>
      </c>
      <c r="BD297" s="108" t="str">
        <f t="shared" si="27"/>
        <v/>
      </c>
      <c r="BE297" s="109" t="str">
        <f t="shared" si="28"/>
        <v/>
      </c>
      <c r="BF297" s="110" t="str">
        <f t="shared" si="29"/>
        <v/>
      </c>
      <c r="BG297" s="111"/>
    </row>
    <row r="298" spans="1:59" ht="12.75">
      <c r="A298" s="101"/>
      <c r="B298" s="102"/>
      <c r="C298" s="102" t="e">
        <f t="array" aca="1" ref="C298" ca="1">_xludf.XLOOKUP(A298,'QA Log'!D:D,'QA Log'!F:F,"")</f>
        <v>#NAME?</v>
      </c>
      <c r="D298" s="102"/>
      <c r="E298" s="102" t="e">
        <f t="array" aca="1" ref="E298" ca="1">_xludf.XLOOKUP(A298,'QA Log'!D:D,'QA Log'!G:G,"")</f>
        <v>#NAME?</v>
      </c>
      <c r="F298" s="103"/>
      <c r="G298" s="104"/>
      <c r="H298" s="104"/>
      <c r="I298" s="103" t="str">
        <f t="shared" si="15"/>
        <v/>
      </c>
      <c r="J298" s="102"/>
      <c r="K298" s="102"/>
      <c r="L298" s="119" t="str">
        <f t="array" ref="L298">IF(OR($B298="",$D298=""),"",
IFERROR(
  INDEX(
    'Tools &amp; Targets_Guideline'!$C$54:$I$269,
    MATCH(
      1,
      ('Tools &amp; Targets_Guideline'!$A$54:$A$269=$B298)*
      ('Tools &amp; Targets_Guideline'!$B$54:$B$269="ANC"),
      0
    ),
    MATCH(
      _xludf.IFNA(
        VLOOKUP($D298,{"PH","Provincial Hospital (H2)";"DH","District Hospital (H3)";"RH","Regional / National Hospital (H1)"},2,0),
        $D298
      ),
      'Tools &amp; Targets_Guideline'!$C$53:$I$53,
      0
    )
  ),
0))</f>
        <v/>
      </c>
      <c r="M298" s="105"/>
      <c r="N298" s="119" t="str">
        <f t="array" ref="N298">IF(OR($B298="",$D298=""),"",
IFERROR(
  INDEX(
    'Tools &amp; Targets_Guideline'!$C$54:$I$269,
    MATCH(
      1,
      ('Tools &amp; Targets_Guideline'!$A$54:$A$269=$B298)*
      ('Tools &amp; Targets_Guideline'!$B$54:$B$269="PNC"),
      0
    ),
    MATCH(
      _xludf.IFNA(
        VLOOKUP($D298,{"PH","Provincial Hospital (H2)";"DH","District Hospital (H3)";"RH","Regional / National Hospital (H1)"},2,0),
        $D298
      ),
      'Tools &amp; Targets_Guideline'!$C$53:$I$53,
      0
    )
  ),
0))</f>
        <v/>
      </c>
      <c r="O298" s="105"/>
      <c r="P298" s="119" t="str">
        <f t="array" ref="P298">IF(OR($B298="",$D298=""),"",
IFERROR(
  INDEX(
    'Tools &amp; Targets_Guideline'!$C$54:$I$269,
    MATCH(
      1,
      ('Tools &amp; Targets_Guideline'!$A$54:$A$269=$B298)*
      ('Tools &amp; Targets_Guideline'!$B$54:$B$269="Delivery"),
      0
    ),
    MATCH(
      _xludf.IFNA(
        VLOOKUP($D298,{"PH","Provincial Hospital (H2)";"DH","District Hospital (H3)";"RH","Regional / National Hospital (H1)"},2,0),
        $D298
      ),
      'Tools &amp; Targets_Guideline'!$C$53:$I$53,
      0
    )
  ),
0))</f>
        <v/>
      </c>
      <c r="Q298" s="105"/>
      <c r="R298" s="119" t="str">
        <f t="array" ref="R298">IF(OR($B298="",$D298=""),"",
IFERROR(
  INDEX(
    'Tools &amp; Targets_Guideline'!$C$54:$I$269,
    MATCH(
      1,
      ('Tools &amp; Targets_Guideline'!$A$54:$A$269=$B298)*
      ('Tools &amp; Targets_Guideline'!$B$54:$B$269="TT"),
      0
    ),
    MATCH(
      _xludf.IFNA(
        VLOOKUP($D298,{"PH","Provincial Hospital (H2)";"DH","District Hospital (H3)";"RH","Regional / National Hospital (H1)"},2,0),
        $D298
      ),
      'Tools &amp; Targets_Guideline'!$C$53:$I$53,
      0
    )
  ),
0))</f>
        <v/>
      </c>
      <c r="S298" s="105"/>
      <c r="T298" s="102"/>
      <c r="U298" s="106"/>
      <c r="V298" s="102" t="str">
        <f t="shared" si="16"/>
        <v/>
      </c>
      <c r="W298" s="102"/>
      <c r="X298" s="102"/>
      <c r="Y298" s="119" t="str">
        <f t="array" ref="Y298">IF(OR($B298="",$D298=""),"",
IFERROR(
  INDEX(
    'Tools &amp; Targets_Guideline'!$C$54:$I$269,
    MATCH(
      1,
      ('Tools &amp; Targets_Guideline'!$A$54:$A$269=$B298)*
      ('Tools &amp; Targets_Guideline'!$B$54:$B$269="GM"),
      0
    ),
    MATCH(
      _xludf.IFNA(
        VLOOKUP($D298,{"PH","Provincial Hospital (H2)";"DH","District Hospital (H3)";"RH","Regional / National Hospital (H1)"},2,0),
        $D298
      ),
      'Tools &amp; Targets_Guideline'!$C$53:$I$53,
      0
    )
  ),
0))</f>
        <v/>
      </c>
      <c r="Z298" s="105"/>
      <c r="AA298" s="119" t="str">
        <f t="array" ref="AA298">IF(OR($B298="",$D298=""),"",
IFERROR(
  INDEX(
    'Tools &amp; Targets_Guideline'!$C$54:$I$269,
    MATCH(
      1,
      ('Tools &amp; Targets_Guideline'!$A$54:$A$269=$B298)*
      ('Tools &amp; Targets_Guideline'!$B$54:$B$269="Penta"),
      0
    ),
    MATCH(
      _xludf.IFNA(
        VLOOKUP($D298,{"PH","Provincial Hospital (H2)";"DH","District Hospital (H3)";"RH","Regional / National Hospital (H1)"},2,0),
        $D298
      ),
      'Tools &amp; Targets_Guideline'!$C$53:$I$53,
      0
    )
  ),
0))</f>
        <v/>
      </c>
      <c r="AB298" s="105"/>
      <c r="AC298" s="119" t="str">
        <f t="array" ref="AC298">IF(OR($B298="",$D298=""),"",
IFERROR(
  INDEX(
    'Tools &amp; Targets_Guideline'!$C$54:$I$269,
    MATCH(
      1,
      ('Tools &amp; Targets_Guideline'!$A$54:$A$269=$B298)*
      ('Tools &amp; Targets_Guideline'!$B$54:$B$269="TB"),
      0
    ),
    MATCH(
      _xludf.IFNA(
        VLOOKUP($D298,{"PH","Provincial Hospital (H2)";"DH","District Hospital (H3)";"RH","Regional / National Hospital (H1)"},2,0),
        $D298
      ),
      'Tools &amp; Targets_Guideline'!$C$53:$I$53,
      0
    )
  ),
0))</f>
        <v/>
      </c>
      <c r="AD298" s="105"/>
      <c r="AE298" s="119" t="str">
        <f t="array" ref="AE298">IF(OR($B298="",$D298=""),"",
IFERROR(
  INDEX(
    'Tools &amp; Targets_Guideline'!$C$54:$I$269,
    MATCH(
      1,
      ('Tools &amp; Targets_Guideline'!$A$54:$A$269=$B298)*
      ('Tools &amp; Targets_Guideline'!$B$54:$B$269="U5 Morbidity"),
      0
    ),
    MATCH(
      _xludf.IFNA(
        VLOOKUP($D298,{"PH","Provincial Hospital (H2)";"DH","District Hospital (H3)";"RH","Regional / National Hospital (H1)"},2,0),
        $D298
      ),
      'Tools &amp; Targets_Guideline'!$C$53:$I$53,
      0
    )
  ),
0))</f>
        <v/>
      </c>
      <c r="AF298" s="105"/>
      <c r="AG298" s="119" t="str">
        <f t="array" ref="AG298">IF(OR($B298="",$D298=""),"",
IFERROR(
  INDEX(
    'Tools &amp; Targets_Guideline'!$C$54:$I$269,
    MATCH(
      1,
      ('Tools &amp; Targets_Guideline'!$A$54:$A$269=$B298)*
      ('Tools &amp; Targets_Guideline'!$B$54:$B$269="C-Section"),
      0
    ),
    MATCH(
      _xludf.IFNA(
        VLOOKUP($D298,{"PH","Provincial Hospital (H2)";"DH","District Hospital (H3)";"RH","Regional / National Hospital (H1)"},2,0),
        $D298
      ),
      'Tools &amp; Targets_Guideline'!$C$53:$I$53,
      0
    )
  ),
0))</f>
        <v/>
      </c>
      <c r="AH298" s="105" t="str">
        <f>IF(A298&lt;&gt;"",COUNTIFS('QA Log'!D:D,A298,'QA Log'!M:M,"QQC",'QA Log'!L:L,"2. Hygiene and Sterilization",'QA Log'!Z:Z,"Approved"),"")</f>
        <v/>
      </c>
      <c r="AI298" s="102"/>
      <c r="AJ298" s="102"/>
      <c r="AK298" s="103" t="str">
        <f t="shared" si="17"/>
        <v/>
      </c>
      <c r="AL298" s="102"/>
      <c r="AM298" s="102"/>
      <c r="AN298" s="102"/>
      <c r="AO298" s="106"/>
      <c r="AP298" s="103"/>
      <c r="AQ298" s="102"/>
      <c r="AR298" s="102"/>
      <c r="AS298" s="102"/>
      <c r="AT298" s="107"/>
      <c r="AU298" s="102" t="str">
        <f t="shared" si="18"/>
        <v/>
      </c>
      <c r="AV298" s="102" t="str">
        <f t="shared" si="19"/>
        <v/>
      </c>
      <c r="AW298" s="102" t="str">
        <f t="shared" si="20"/>
        <v/>
      </c>
      <c r="AX298" s="102" t="str">
        <f t="shared" si="21"/>
        <v/>
      </c>
      <c r="AY298" s="107" t="str">
        <f t="shared" si="22"/>
        <v/>
      </c>
      <c r="AZ298" s="108" t="str">
        <f t="shared" si="23"/>
        <v/>
      </c>
      <c r="BA298" s="108" t="str">
        <f t="shared" si="24"/>
        <v/>
      </c>
      <c r="BB298" s="109" t="str">
        <f t="shared" si="25"/>
        <v/>
      </c>
      <c r="BC298" s="108" t="str">
        <f t="shared" si="26"/>
        <v/>
      </c>
      <c r="BD298" s="108" t="str">
        <f t="shared" si="27"/>
        <v/>
      </c>
      <c r="BE298" s="109" t="str">
        <f t="shared" si="28"/>
        <v/>
      </c>
      <c r="BF298" s="110" t="str">
        <f t="shared" si="29"/>
        <v/>
      </c>
      <c r="BG298" s="111"/>
    </row>
    <row r="299" spans="1:59" ht="12.75">
      <c r="A299" s="101"/>
      <c r="B299" s="102"/>
      <c r="C299" s="102" t="e">
        <f t="array" aca="1" ref="C299" ca="1">_xludf.XLOOKUP(A299,'QA Log'!D:D,'QA Log'!F:F,"")</f>
        <v>#NAME?</v>
      </c>
      <c r="D299" s="102"/>
      <c r="E299" s="102" t="e">
        <f t="array" aca="1" ref="E299" ca="1">_xludf.XLOOKUP(A299,'QA Log'!D:D,'QA Log'!G:G,"")</f>
        <v>#NAME?</v>
      </c>
      <c r="F299" s="103"/>
      <c r="G299" s="104"/>
      <c r="H299" s="104"/>
      <c r="I299" s="103" t="str">
        <f t="shared" si="15"/>
        <v/>
      </c>
      <c r="J299" s="102"/>
      <c r="K299" s="102"/>
      <c r="L299" s="119" t="str">
        <f t="array" ref="L299">IF(OR($B299="",$D299=""),"",
IFERROR(
  INDEX(
    'Tools &amp; Targets_Guideline'!$C$54:$I$269,
    MATCH(
      1,
      ('Tools &amp; Targets_Guideline'!$A$54:$A$269=$B299)*
      ('Tools &amp; Targets_Guideline'!$B$54:$B$269="ANC"),
      0
    ),
    MATCH(
      _xludf.IFNA(
        VLOOKUP($D299,{"PH","Provincial Hospital (H2)";"DH","District Hospital (H3)";"RH","Regional / National Hospital (H1)"},2,0),
        $D299
      ),
      'Tools &amp; Targets_Guideline'!$C$53:$I$53,
      0
    )
  ),
0))</f>
        <v/>
      </c>
      <c r="M299" s="105"/>
      <c r="N299" s="119" t="str">
        <f t="array" ref="N299">IF(OR($B299="",$D299=""),"",
IFERROR(
  INDEX(
    'Tools &amp; Targets_Guideline'!$C$54:$I$269,
    MATCH(
      1,
      ('Tools &amp; Targets_Guideline'!$A$54:$A$269=$B299)*
      ('Tools &amp; Targets_Guideline'!$B$54:$B$269="PNC"),
      0
    ),
    MATCH(
      _xludf.IFNA(
        VLOOKUP($D299,{"PH","Provincial Hospital (H2)";"DH","District Hospital (H3)";"RH","Regional / National Hospital (H1)"},2,0),
        $D299
      ),
      'Tools &amp; Targets_Guideline'!$C$53:$I$53,
      0
    )
  ),
0))</f>
        <v/>
      </c>
      <c r="O299" s="105"/>
      <c r="P299" s="119" t="str">
        <f t="array" ref="P299">IF(OR($B299="",$D299=""),"",
IFERROR(
  INDEX(
    'Tools &amp; Targets_Guideline'!$C$54:$I$269,
    MATCH(
      1,
      ('Tools &amp; Targets_Guideline'!$A$54:$A$269=$B299)*
      ('Tools &amp; Targets_Guideline'!$B$54:$B$269="Delivery"),
      0
    ),
    MATCH(
      _xludf.IFNA(
        VLOOKUP($D299,{"PH","Provincial Hospital (H2)";"DH","District Hospital (H3)";"RH","Regional / National Hospital (H1)"},2,0),
        $D299
      ),
      'Tools &amp; Targets_Guideline'!$C$53:$I$53,
      0
    )
  ),
0))</f>
        <v/>
      </c>
      <c r="Q299" s="105"/>
      <c r="R299" s="119" t="str">
        <f t="array" ref="R299">IF(OR($B299="",$D299=""),"",
IFERROR(
  INDEX(
    'Tools &amp; Targets_Guideline'!$C$54:$I$269,
    MATCH(
      1,
      ('Tools &amp; Targets_Guideline'!$A$54:$A$269=$B299)*
      ('Tools &amp; Targets_Guideline'!$B$54:$B$269="TT"),
      0
    ),
    MATCH(
      _xludf.IFNA(
        VLOOKUP($D299,{"PH","Provincial Hospital (H2)";"DH","District Hospital (H3)";"RH","Regional / National Hospital (H1)"},2,0),
        $D299
      ),
      'Tools &amp; Targets_Guideline'!$C$53:$I$53,
      0
    )
  ),
0))</f>
        <v/>
      </c>
      <c r="S299" s="105"/>
      <c r="T299" s="102"/>
      <c r="U299" s="106"/>
      <c r="V299" s="102" t="str">
        <f t="shared" si="16"/>
        <v/>
      </c>
      <c r="W299" s="102"/>
      <c r="X299" s="102"/>
      <c r="Y299" s="119" t="str">
        <f t="array" ref="Y299">IF(OR($B299="",$D299=""),"",
IFERROR(
  INDEX(
    'Tools &amp; Targets_Guideline'!$C$54:$I$269,
    MATCH(
      1,
      ('Tools &amp; Targets_Guideline'!$A$54:$A$269=$B299)*
      ('Tools &amp; Targets_Guideline'!$B$54:$B$269="GM"),
      0
    ),
    MATCH(
      _xludf.IFNA(
        VLOOKUP($D299,{"PH","Provincial Hospital (H2)";"DH","District Hospital (H3)";"RH","Regional / National Hospital (H1)"},2,0),
        $D299
      ),
      'Tools &amp; Targets_Guideline'!$C$53:$I$53,
      0
    )
  ),
0))</f>
        <v/>
      </c>
      <c r="Z299" s="105"/>
      <c r="AA299" s="119" t="str">
        <f t="array" ref="AA299">IF(OR($B299="",$D299=""),"",
IFERROR(
  INDEX(
    'Tools &amp; Targets_Guideline'!$C$54:$I$269,
    MATCH(
      1,
      ('Tools &amp; Targets_Guideline'!$A$54:$A$269=$B299)*
      ('Tools &amp; Targets_Guideline'!$B$54:$B$269="Penta"),
      0
    ),
    MATCH(
      _xludf.IFNA(
        VLOOKUP($D299,{"PH","Provincial Hospital (H2)";"DH","District Hospital (H3)";"RH","Regional / National Hospital (H1)"},2,0),
        $D299
      ),
      'Tools &amp; Targets_Guideline'!$C$53:$I$53,
      0
    )
  ),
0))</f>
        <v/>
      </c>
      <c r="AB299" s="105"/>
      <c r="AC299" s="119" t="str">
        <f t="array" ref="AC299">IF(OR($B299="",$D299=""),"",
IFERROR(
  INDEX(
    'Tools &amp; Targets_Guideline'!$C$54:$I$269,
    MATCH(
      1,
      ('Tools &amp; Targets_Guideline'!$A$54:$A$269=$B299)*
      ('Tools &amp; Targets_Guideline'!$B$54:$B$269="TB"),
      0
    ),
    MATCH(
      _xludf.IFNA(
        VLOOKUP($D299,{"PH","Provincial Hospital (H2)";"DH","District Hospital (H3)";"RH","Regional / National Hospital (H1)"},2,0),
        $D299
      ),
      'Tools &amp; Targets_Guideline'!$C$53:$I$53,
      0
    )
  ),
0))</f>
        <v/>
      </c>
      <c r="AD299" s="105"/>
      <c r="AE299" s="119" t="str">
        <f t="array" ref="AE299">IF(OR($B299="",$D299=""),"",
IFERROR(
  INDEX(
    'Tools &amp; Targets_Guideline'!$C$54:$I$269,
    MATCH(
      1,
      ('Tools &amp; Targets_Guideline'!$A$54:$A$269=$B299)*
      ('Tools &amp; Targets_Guideline'!$B$54:$B$269="U5 Morbidity"),
      0
    ),
    MATCH(
      _xludf.IFNA(
        VLOOKUP($D299,{"PH","Provincial Hospital (H2)";"DH","District Hospital (H3)";"RH","Regional / National Hospital (H1)"},2,0),
        $D299
      ),
      'Tools &amp; Targets_Guideline'!$C$53:$I$53,
      0
    )
  ),
0))</f>
        <v/>
      </c>
      <c r="AF299" s="105"/>
      <c r="AG299" s="119" t="str">
        <f t="array" ref="AG299">IF(OR($B299="",$D299=""),"",
IFERROR(
  INDEX(
    'Tools &amp; Targets_Guideline'!$C$54:$I$269,
    MATCH(
      1,
      ('Tools &amp; Targets_Guideline'!$A$54:$A$269=$B299)*
      ('Tools &amp; Targets_Guideline'!$B$54:$B$269="C-Section"),
      0
    ),
    MATCH(
      _xludf.IFNA(
        VLOOKUP($D299,{"PH","Provincial Hospital (H2)";"DH","District Hospital (H3)";"RH","Regional / National Hospital (H1)"},2,0),
        $D299
      ),
      'Tools &amp; Targets_Guideline'!$C$53:$I$53,
      0
    )
  ),
0))</f>
        <v/>
      </c>
      <c r="AH299" s="105" t="str">
        <f>IF(A299&lt;&gt;"",COUNTIFS('QA Log'!D:D,A299,'QA Log'!M:M,"QQC",'QA Log'!L:L,"2. Hygiene and Sterilization",'QA Log'!Z:Z,"Approved"),"")</f>
        <v/>
      </c>
      <c r="AI299" s="102"/>
      <c r="AJ299" s="102"/>
      <c r="AK299" s="103" t="str">
        <f t="shared" si="17"/>
        <v/>
      </c>
      <c r="AL299" s="102"/>
      <c r="AM299" s="102"/>
      <c r="AN299" s="102"/>
      <c r="AO299" s="106"/>
      <c r="AP299" s="103"/>
      <c r="AQ299" s="102"/>
      <c r="AR299" s="102"/>
      <c r="AS299" s="102"/>
      <c r="AT299" s="107"/>
      <c r="AU299" s="102" t="str">
        <f t="shared" si="18"/>
        <v/>
      </c>
      <c r="AV299" s="102" t="str">
        <f t="shared" si="19"/>
        <v/>
      </c>
      <c r="AW299" s="102" t="str">
        <f t="shared" si="20"/>
        <v/>
      </c>
      <c r="AX299" s="102" t="str">
        <f t="shared" si="21"/>
        <v/>
      </c>
      <c r="AY299" s="107" t="str">
        <f t="shared" si="22"/>
        <v/>
      </c>
      <c r="AZ299" s="108" t="str">
        <f t="shared" si="23"/>
        <v/>
      </c>
      <c r="BA299" s="108" t="str">
        <f t="shared" si="24"/>
        <v/>
      </c>
      <c r="BB299" s="109" t="str">
        <f t="shared" si="25"/>
        <v/>
      </c>
      <c r="BC299" s="108" t="str">
        <f t="shared" si="26"/>
        <v/>
      </c>
      <c r="BD299" s="108" t="str">
        <f t="shared" si="27"/>
        <v/>
      </c>
      <c r="BE299" s="109" t="str">
        <f t="shared" si="28"/>
        <v/>
      </c>
      <c r="BF299" s="110" t="str">
        <f t="shared" si="29"/>
        <v/>
      </c>
      <c r="BG299" s="111"/>
    </row>
    <row r="300" spans="1:59" ht="12.75">
      <c r="A300" s="101"/>
      <c r="B300" s="102"/>
      <c r="C300" s="102" t="e">
        <f t="array" aca="1" ref="C300" ca="1">_xludf.XLOOKUP(A300,'QA Log'!D:D,'QA Log'!F:F,"")</f>
        <v>#NAME?</v>
      </c>
      <c r="D300" s="102"/>
      <c r="E300" s="102" t="e">
        <f t="array" aca="1" ref="E300" ca="1">_xludf.XLOOKUP(A300,'QA Log'!D:D,'QA Log'!G:G,"")</f>
        <v>#NAME?</v>
      </c>
      <c r="F300" s="103"/>
      <c r="G300" s="104"/>
      <c r="H300" s="104"/>
      <c r="I300" s="103" t="str">
        <f t="shared" si="15"/>
        <v/>
      </c>
      <c r="J300" s="102"/>
      <c r="K300" s="102"/>
      <c r="L300" s="119" t="str">
        <f t="array" ref="L300">IF(OR($B300="",$D300=""),"",
IFERROR(
  INDEX(
    'Tools &amp; Targets_Guideline'!$C$54:$I$269,
    MATCH(
      1,
      ('Tools &amp; Targets_Guideline'!$A$54:$A$269=$B300)*
      ('Tools &amp; Targets_Guideline'!$B$54:$B$269="ANC"),
      0
    ),
    MATCH(
      _xludf.IFNA(
        VLOOKUP($D300,{"PH","Provincial Hospital (H2)";"DH","District Hospital (H3)";"RH","Regional / National Hospital (H1)"},2,0),
        $D300
      ),
      'Tools &amp; Targets_Guideline'!$C$53:$I$53,
      0
    )
  ),
0))</f>
        <v/>
      </c>
      <c r="M300" s="105"/>
      <c r="N300" s="119" t="str">
        <f t="array" ref="N300">IF(OR($B300="",$D300=""),"",
IFERROR(
  INDEX(
    'Tools &amp; Targets_Guideline'!$C$54:$I$269,
    MATCH(
      1,
      ('Tools &amp; Targets_Guideline'!$A$54:$A$269=$B300)*
      ('Tools &amp; Targets_Guideline'!$B$54:$B$269="PNC"),
      0
    ),
    MATCH(
      _xludf.IFNA(
        VLOOKUP($D300,{"PH","Provincial Hospital (H2)";"DH","District Hospital (H3)";"RH","Regional / National Hospital (H1)"},2,0),
        $D300
      ),
      'Tools &amp; Targets_Guideline'!$C$53:$I$53,
      0
    )
  ),
0))</f>
        <v/>
      </c>
      <c r="O300" s="105"/>
      <c r="P300" s="119" t="str">
        <f t="array" ref="P300">IF(OR($B300="",$D300=""),"",
IFERROR(
  INDEX(
    'Tools &amp; Targets_Guideline'!$C$54:$I$269,
    MATCH(
      1,
      ('Tools &amp; Targets_Guideline'!$A$54:$A$269=$B300)*
      ('Tools &amp; Targets_Guideline'!$B$54:$B$269="Delivery"),
      0
    ),
    MATCH(
      _xludf.IFNA(
        VLOOKUP($D300,{"PH","Provincial Hospital (H2)";"DH","District Hospital (H3)";"RH","Regional / National Hospital (H1)"},2,0),
        $D300
      ),
      'Tools &amp; Targets_Guideline'!$C$53:$I$53,
      0
    )
  ),
0))</f>
        <v/>
      </c>
      <c r="Q300" s="105"/>
      <c r="R300" s="119" t="str">
        <f t="array" ref="R300">IF(OR($B300="",$D300=""),"",
IFERROR(
  INDEX(
    'Tools &amp; Targets_Guideline'!$C$54:$I$269,
    MATCH(
      1,
      ('Tools &amp; Targets_Guideline'!$A$54:$A$269=$B300)*
      ('Tools &amp; Targets_Guideline'!$B$54:$B$269="TT"),
      0
    ),
    MATCH(
      _xludf.IFNA(
        VLOOKUP($D300,{"PH","Provincial Hospital (H2)";"DH","District Hospital (H3)";"RH","Regional / National Hospital (H1)"},2,0),
        $D300
      ),
      'Tools &amp; Targets_Guideline'!$C$53:$I$53,
      0
    )
  ),
0))</f>
        <v/>
      </c>
      <c r="S300" s="105"/>
      <c r="T300" s="102"/>
      <c r="U300" s="106"/>
      <c r="V300" s="102" t="str">
        <f t="shared" si="16"/>
        <v/>
      </c>
      <c r="W300" s="102"/>
      <c r="X300" s="102"/>
      <c r="Y300" s="119" t="str">
        <f t="array" ref="Y300">IF(OR($B300="",$D300=""),"",
IFERROR(
  INDEX(
    'Tools &amp; Targets_Guideline'!$C$54:$I$269,
    MATCH(
      1,
      ('Tools &amp; Targets_Guideline'!$A$54:$A$269=$B300)*
      ('Tools &amp; Targets_Guideline'!$B$54:$B$269="GM"),
      0
    ),
    MATCH(
      _xludf.IFNA(
        VLOOKUP($D300,{"PH","Provincial Hospital (H2)";"DH","District Hospital (H3)";"RH","Regional / National Hospital (H1)"},2,0),
        $D300
      ),
      'Tools &amp; Targets_Guideline'!$C$53:$I$53,
      0
    )
  ),
0))</f>
        <v/>
      </c>
      <c r="Z300" s="105"/>
      <c r="AA300" s="119" t="str">
        <f t="array" ref="AA300">IF(OR($B300="",$D300=""),"",
IFERROR(
  INDEX(
    'Tools &amp; Targets_Guideline'!$C$54:$I$269,
    MATCH(
      1,
      ('Tools &amp; Targets_Guideline'!$A$54:$A$269=$B300)*
      ('Tools &amp; Targets_Guideline'!$B$54:$B$269="Penta"),
      0
    ),
    MATCH(
      _xludf.IFNA(
        VLOOKUP($D300,{"PH","Provincial Hospital (H2)";"DH","District Hospital (H3)";"RH","Regional / National Hospital (H1)"},2,0),
        $D300
      ),
      'Tools &amp; Targets_Guideline'!$C$53:$I$53,
      0
    )
  ),
0))</f>
        <v/>
      </c>
      <c r="AB300" s="105"/>
      <c r="AC300" s="119" t="str">
        <f t="array" ref="AC300">IF(OR($B300="",$D300=""),"",
IFERROR(
  INDEX(
    'Tools &amp; Targets_Guideline'!$C$54:$I$269,
    MATCH(
      1,
      ('Tools &amp; Targets_Guideline'!$A$54:$A$269=$B300)*
      ('Tools &amp; Targets_Guideline'!$B$54:$B$269="TB"),
      0
    ),
    MATCH(
      _xludf.IFNA(
        VLOOKUP($D300,{"PH","Provincial Hospital (H2)";"DH","District Hospital (H3)";"RH","Regional / National Hospital (H1)"},2,0),
        $D300
      ),
      'Tools &amp; Targets_Guideline'!$C$53:$I$53,
      0
    )
  ),
0))</f>
        <v/>
      </c>
      <c r="AD300" s="105"/>
      <c r="AE300" s="119" t="str">
        <f t="array" ref="AE300">IF(OR($B300="",$D300=""),"",
IFERROR(
  INDEX(
    'Tools &amp; Targets_Guideline'!$C$54:$I$269,
    MATCH(
      1,
      ('Tools &amp; Targets_Guideline'!$A$54:$A$269=$B300)*
      ('Tools &amp; Targets_Guideline'!$B$54:$B$269="U5 Morbidity"),
      0
    ),
    MATCH(
      _xludf.IFNA(
        VLOOKUP($D300,{"PH","Provincial Hospital (H2)";"DH","District Hospital (H3)";"RH","Regional / National Hospital (H1)"},2,0),
        $D300
      ),
      'Tools &amp; Targets_Guideline'!$C$53:$I$53,
      0
    )
  ),
0))</f>
        <v/>
      </c>
      <c r="AF300" s="105"/>
      <c r="AG300" s="119" t="str">
        <f t="array" ref="AG300">IF(OR($B300="",$D300=""),"",
IFERROR(
  INDEX(
    'Tools &amp; Targets_Guideline'!$C$54:$I$269,
    MATCH(
      1,
      ('Tools &amp; Targets_Guideline'!$A$54:$A$269=$B300)*
      ('Tools &amp; Targets_Guideline'!$B$54:$B$269="C-Section"),
      0
    ),
    MATCH(
      _xludf.IFNA(
        VLOOKUP($D300,{"PH","Provincial Hospital (H2)";"DH","District Hospital (H3)";"RH","Regional / National Hospital (H1)"},2,0),
        $D300
      ),
      'Tools &amp; Targets_Guideline'!$C$53:$I$53,
      0
    )
  ),
0))</f>
        <v/>
      </c>
      <c r="AH300" s="105" t="str">
        <f>IF(A300&lt;&gt;"",COUNTIFS('QA Log'!D:D,A300,'QA Log'!M:M,"QQC",'QA Log'!L:L,"2. Hygiene and Sterilization",'QA Log'!Z:Z,"Approved"),"")</f>
        <v/>
      </c>
      <c r="AI300" s="102"/>
      <c r="AJ300" s="102"/>
      <c r="AK300" s="103" t="str">
        <f t="shared" si="17"/>
        <v/>
      </c>
      <c r="AL300" s="102"/>
      <c r="AM300" s="102"/>
      <c r="AN300" s="102"/>
      <c r="AO300" s="106"/>
      <c r="AP300" s="103"/>
      <c r="AQ300" s="102"/>
      <c r="AR300" s="102"/>
      <c r="AS300" s="102"/>
      <c r="AT300" s="107"/>
      <c r="AU300" s="102" t="str">
        <f t="shared" si="18"/>
        <v/>
      </c>
      <c r="AV300" s="102" t="str">
        <f t="shared" si="19"/>
        <v/>
      </c>
      <c r="AW300" s="102" t="str">
        <f t="shared" si="20"/>
        <v/>
      </c>
      <c r="AX300" s="102" t="str">
        <f t="shared" si="21"/>
        <v/>
      </c>
      <c r="AY300" s="107" t="str">
        <f t="shared" si="22"/>
        <v/>
      </c>
      <c r="AZ300" s="108" t="str">
        <f t="shared" si="23"/>
        <v/>
      </c>
      <c r="BA300" s="108" t="str">
        <f t="shared" si="24"/>
        <v/>
      </c>
      <c r="BB300" s="109" t="str">
        <f t="shared" si="25"/>
        <v/>
      </c>
      <c r="BC300" s="108" t="str">
        <f t="shared" si="26"/>
        <v/>
      </c>
      <c r="BD300" s="108" t="str">
        <f t="shared" si="27"/>
        <v/>
      </c>
      <c r="BE300" s="109" t="str">
        <f t="shared" si="28"/>
        <v/>
      </c>
      <c r="BF300" s="110" t="str">
        <f t="shared" si="29"/>
        <v/>
      </c>
      <c r="BG300" s="111"/>
    </row>
    <row r="301" spans="1:59" ht="12.75">
      <c r="A301" s="101"/>
      <c r="B301" s="102"/>
      <c r="C301" s="102" t="e">
        <f t="array" aca="1" ref="C301" ca="1">_xludf.XLOOKUP(A301,'QA Log'!D:D,'QA Log'!F:F,"")</f>
        <v>#NAME?</v>
      </c>
      <c r="D301" s="102"/>
      <c r="E301" s="102" t="e">
        <f t="array" aca="1" ref="E301" ca="1">_xludf.XLOOKUP(A301,'QA Log'!D:D,'QA Log'!G:G,"")</f>
        <v>#NAME?</v>
      </c>
      <c r="F301" s="103"/>
      <c r="G301" s="104"/>
      <c r="H301" s="104"/>
      <c r="I301" s="103" t="str">
        <f t="shared" si="15"/>
        <v/>
      </c>
      <c r="J301" s="102"/>
      <c r="K301" s="102"/>
      <c r="L301" s="119" t="str">
        <f t="array" ref="L301">IF(OR($B301="",$D301=""),"",
IFERROR(
  INDEX(
    'Tools &amp; Targets_Guideline'!$C$54:$I$269,
    MATCH(
      1,
      ('Tools &amp; Targets_Guideline'!$A$54:$A$269=$B301)*
      ('Tools &amp; Targets_Guideline'!$B$54:$B$269="ANC"),
      0
    ),
    MATCH(
      _xludf.IFNA(
        VLOOKUP($D301,{"PH","Provincial Hospital (H2)";"DH","District Hospital (H3)";"RH","Regional / National Hospital (H1)"},2,0),
        $D301
      ),
      'Tools &amp; Targets_Guideline'!$C$53:$I$53,
      0
    )
  ),
0))</f>
        <v/>
      </c>
      <c r="M301" s="105"/>
      <c r="N301" s="119" t="str">
        <f t="array" ref="N301">IF(OR($B301="",$D301=""),"",
IFERROR(
  INDEX(
    'Tools &amp; Targets_Guideline'!$C$54:$I$269,
    MATCH(
      1,
      ('Tools &amp; Targets_Guideline'!$A$54:$A$269=$B301)*
      ('Tools &amp; Targets_Guideline'!$B$54:$B$269="PNC"),
      0
    ),
    MATCH(
      _xludf.IFNA(
        VLOOKUP($D301,{"PH","Provincial Hospital (H2)";"DH","District Hospital (H3)";"RH","Regional / National Hospital (H1)"},2,0),
        $D301
      ),
      'Tools &amp; Targets_Guideline'!$C$53:$I$53,
      0
    )
  ),
0))</f>
        <v/>
      </c>
      <c r="O301" s="105"/>
      <c r="P301" s="119" t="str">
        <f t="array" ref="P301">IF(OR($B301="",$D301=""),"",
IFERROR(
  INDEX(
    'Tools &amp; Targets_Guideline'!$C$54:$I$269,
    MATCH(
      1,
      ('Tools &amp; Targets_Guideline'!$A$54:$A$269=$B301)*
      ('Tools &amp; Targets_Guideline'!$B$54:$B$269="Delivery"),
      0
    ),
    MATCH(
      _xludf.IFNA(
        VLOOKUP($D301,{"PH","Provincial Hospital (H2)";"DH","District Hospital (H3)";"RH","Regional / National Hospital (H1)"},2,0),
        $D301
      ),
      'Tools &amp; Targets_Guideline'!$C$53:$I$53,
      0
    )
  ),
0))</f>
        <v/>
      </c>
      <c r="Q301" s="105"/>
      <c r="R301" s="119" t="str">
        <f t="array" ref="R301">IF(OR($B301="",$D301=""),"",
IFERROR(
  INDEX(
    'Tools &amp; Targets_Guideline'!$C$54:$I$269,
    MATCH(
      1,
      ('Tools &amp; Targets_Guideline'!$A$54:$A$269=$B301)*
      ('Tools &amp; Targets_Guideline'!$B$54:$B$269="TT"),
      0
    ),
    MATCH(
      _xludf.IFNA(
        VLOOKUP($D301,{"PH","Provincial Hospital (H2)";"DH","District Hospital (H3)";"RH","Regional / National Hospital (H1)"},2,0),
        $D301
      ),
      'Tools &amp; Targets_Guideline'!$C$53:$I$53,
      0
    )
  ),
0))</f>
        <v/>
      </c>
      <c r="S301" s="105"/>
      <c r="T301" s="102"/>
      <c r="U301" s="106"/>
      <c r="V301" s="102" t="str">
        <f t="shared" si="16"/>
        <v/>
      </c>
      <c r="W301" s="102"/>
      <c r="X301" s="102"/>
      <c r="Y301" s="119" t="str">
        <f t="array" ref="Y301">IF(OR($B301="",$D301=""),"",
IFERROR(
  INDEX(
    'Tools &amp; Targets_Guideline'!$C$54:$I$269,
    MATCH(
      1,
      ('Tools &amp; Targets_Guideline'!$A$54:$A$269=$B301)*
      ('Tools &amp; Targets_Guideline'!$B$54:$B$269="GM"),
      0
    ),
    MATCH(
      _xludf.IFNA(
        VLOOKUP($D301,{"PH","Provincial Hospital (H2)";"DH","District Hospital (H3)";"RH","Regional / National Hospital (H1)"},2,0),
        $D301
      ),
      'Tools &amp; Targets_Guideline'!$C$53:$I$53,
      0
    )
  ),
0))</f>
        <v/>
      </c>
      <c r="Z301" s="105"/>
      <c r="AA301" s="119" t="str">
        <f t="array" ref="AA301">IF(OR($B301="",$D301=""),"",
IFERROR(
  INDEX(
    'Tools &amp; Targets_Guideline'!$C$54:$I$269,
    MATCH(
      1,
      ('Tools &amp; Targets_Guideline'!$A$54:$A$269=$B301)*
      ('Tools &amp; Targets_Guideline'!$B$54:$B$269="Penta"),
      0
    ),
    MATCH(
      _xludf.IFNA(
        VLOOKUP($D301,{"PH","Provincial Hospital (H2)";"DH","District Hospital (H3)";"RH","Regional / National Hospital (H1)"},2,0),
        $D301
      ),
      'Tools &amp; Targets_Guideline'!$C$53:$I$53,
      0
    )
  ),
0))</f>
        <v/>
      </c>
      <c r="AB301" s="105"/>
      <c r="AC301" s="119" t="str">
        <f t="array" ref="AC301">IF(OR($B301="",$D301=""),"",
IFERROR(
  INDEX(
    'Tools &amp; Targets_Guideline'!$C$54:$I$269,
    MATCH(
      1,
      ('Tools &amp; Targets_Guideline'!$A$54:$A$269=$B301)*
      ('Tools &amp; Targets_Guideline'!$B$54:$B$269="TB"),
      0
    ),
    MATCH(
      _xludf.IFNA(
        VLOOKUP($D301,{"PH","Provincial Hospital (H2)";"DH","District Hospital (H3)";"RH","Regional / National Hospital (H1)"},2,0),
        $D301
      ),
      'Tools &amp; Targets_Guideline'!$C$53:$I$53,
      0
    )
  ),
0))</f>
        <v/>
      </c>
      <c r="AD301" s="105"/>
      <c r="AE301" s="119" t="str">
        <f t="array" ref="AE301">IF(OR($B301="",$D301=""),"",
IFERROR(
  INDEX(
    'Tools &amp; Targets_Guideline'!$C$54:$I$269,
    MATCH(
      1,
      ('Tools &amp; Targets_Guideline'!$A$54:$A$269=$B301)*
      ('Tools &amp; Targets_Guideline'!$B$54:$B$269="U5 Morbidity"),
      0
    ),
    MATCH(
      _xludf.IFNA(
        VLOOKUP($D301,{"PH","Provincial Hospital (H2)";"DH","District Hospital (H3)";"RH","Regional / National Hospital (H1)"},2,0),
        $D301
      ),
      'Tools &amp; Targets_Guideline'!$C$53:$I$53,
      0
    )
  ),
0))</f>
        <v/>
      </c>
      <c r="AF301" s="105"/>
      <c r="AG301" s="119" t="str">
        <f t="array" ref="AG301">IF(OR($B301="",$D301=""),"",
IFERROR(
  INDEX(
    'Tools &amp; Targets_Guideline'!$C$54:$I$269,
    MATCH(
      1,
      ('Tools &amp; Targets_Guideline'!$A$54:$A$269=$B301)*
      ('Tools &amp; Targets_Guideline'!$B$54:$B$269="C-Section"),
      0
    ),
    MATCH(
      _xludf.IFNA(
        VLOOKUP($D301,{"PH","Provincial Hospital (H2)";"DH","District Hospital (H3)";"RH","Regional / National Hospital (H1)"},2,0),
        $D301
      ),
      'Tools &amp; Targets_Guideline'!$C$53:$I$53,
      0
    )
  ),
0))</f>
        <v/>
      </c>
      <c r="AH301" s="105" t="str">
        <f>IF(A301&lt;&gt;"",COUNTIFS('QA Log'!D:D,A301,'QA Log'!M:M,"QQC",'QA Log'!L:L,"2. Hygiene and Sterilization",'QA Log'!Z:Z,"Approved"),"")</f>
        <v/>
      </c>
      <c r="AI301" s="102"/>
      <c r="AJ301" s="102"/>
      <c r="AK301" s="103" t="str">
        <f t="shared" si="17"/>
        <v/>
      </c>
      <c r="AL301" s="102"/>
      <c r="AM301" s="102"/>
      <c r="AN301" s="102"/>
      <c r="AO301" s="106"/>
      <c r="AP301" s="103"/>
      <c r="AQ301" s="102"/>
      <c r="AR301" s="102"/>
      <c r="AS301" s="102"/>
      <c r="AT301" s="107"/>
      <c r="AU301" s="102" t="str">
        <f t="shared" si="18"/>
        <v/>
      </c>
      <c r="AV301" s="102" t="str">
        <f t="shared" si="19"/>
        <v/>
      </c>
      <c r="AW301" s="102" t="str">
        <f t="shared" si="20"/>
        <v/>
      </c>
      <c r="AX301" s="102" t="str">
        <f t="shared" si="21"/>
        <v/>
      </c>
      <c r="AY301" s="107" t="str">
        <f t="shared" si="22"/>
        <v/>
      </c>
      <c r="AZ301" s="108" t="str">
        <f t="shared" si="23"/>
        <v/>
      </c>
      <c r="BA301" s="108" t="str">
        <f t="shared" si="24"/>
        <v/>
      </c>
      <c r="BB301" s="109" t="str">
        <f t="shared" si="25"/>
        <v/>
      </c>
      <c r="BC301" s="108" t="str">
        <f t="shared" si="26"/>
        <v/>
      </c>
      <c r="BD301" s="108" t="str">
        <f t="shared" si="27"/>
        <v/>
      </c>
      <c r="BE301" s="109" t="str">
        <f t="shared" si="28"/>
        <v/>
      </c>
      <c r="BF301" s="110" t="str">
        <f t="shared" si="29"/>
        <v/>
      </c>
      <c r="BG301" s="111"/>
    </row>
    <row r="302" spans="1:59" ht="12.75">
      <c r="A302" s="101"/>
      <c r="B302" s="102"/>
      <c r="C302" s="102" t="e">
        <f t="array" aca="1" ref="C302" ca="1">_xludf.XLOOKUP(A302,'QA Log'!D:D,'QA Log'!F:F,"")</f>
        <v>#NAME?</v>
      </c>
      <c r="D302" s="102"/>
      <c r="E302" s="102" t="e">
        <f t="array" aca="1" ref="E302" ca="1">_xludf.XLOOKUP(A302,'QA Log'!D:D,'QA Log'!G:G,"")</f>
        <v>#NAME?</v>
      </c>
      <c r="F302" s="103"/>
      <c r="G302" s="104"/>
      <c r="H302" s="104"/>
      <c r="I302" s="103" t="str">
        <f t="shared" si="15"/>
        <v/>
      </c>
      <c r="J302" s="102"/>
      <c r="K302" s="102"/>
      <c r="L302" s="119" t="str">
        <f t="array" ref="L302">IF(OR($B302="",$D302=""),"",
IFERROR(
  INDEX(
    'Tools &amp; Targets_Guideline'!$C$54:$I$269,
    MATCH(
      1,
      ('Tools &amp; Targets_Guideline'!$A$54:$A$269=$B302)*
      ('Tools &amp; Targets_Guideline'!$B$54:$B$269="ANC"),
      0
    ),
    MATCH(
      _xludf.IFNA(
        VLOOKUP($D302,{"PH","Provincial Hospital (H2)";"DH","District Hospital (H3)";"RH","Regional / National Hospital (H1)"},2,0),
        $D302
      ),
      'Tools &amp; Targets_Guideline'!$C$53:$I$53,
      0
    )
  ),
0))</f>
        <v/>
      </c>
      <c r="M302" s="105"/>
      <c r="N302" s="119" t="str">
        <f t="array" ref="N302">IF(OR($B302="",$D302=""),"",
IFERROR(
  INDEX(
    'Tools &amp; Targets_Guideline'!$C$54:$I$269,
    MATCH(
      1,
      ('Tools &amp; Targets_Guideline'!$A$54:$A$269=$B302)*
      ('Tools &amp; Targets_Guideline'!$B$54:$B$269="PNC"),
      0
    ),
    MATCH(
      _xludf.IFNA(
        VLOOKUP($D302,{"PH","Provincial Hospital (H2)";"DH","District Hospital (H3)";"RH","Regional / National Hospital (H1)"},2,0),
        $D302
      ),
      'Tools &amp; Targets_Guideline'!$C$53:$I$53,
      0
    )
  ),
0))</f>
        <v/>
      </c>
      <c r="O302" s="105"/>
      <c r="P302" s="119" t="str">
        <f t="array" ref="P302">IF(OR($B302="",$D302=""),"",
IFERROR(
  INDEX(
    'Tools &amp; Targets_Guideline'!$C$54:$I$269,
    MATCH(
      1,
      ('Tools &amp; Targets_Guideline'!$A$54:$A$269=$B302)*
      ('Tools &amp; Targets_Guideline'!$B$54:$B$269="Delivery"),
      0
    ),
    MATCH(
      _xludf.IFNA(
        VLOOKUP($D302,{"PH","Provincial Hospital (H2)";"DH","District Hospital (H3)";"RH","Regional / National Hospital (H1)"},2,0),
        $D302
      ),
      'Tools &amp; Targets_Guideline'!$C$53:$I$53,
      0
    )
  ),
0))</f>
        <v/>
      </c>
      <c r="Q302" s="105"/>
      <c r="R302" s="119" t="str">
        <f t="array" ref="R302">IF(OR($B302="",$D302=""),"",
IFERROR(
  INDEX(
    'Tools &amp; Targets_Guideline'!$C$54:$I$269,
    MATCH(
      1,
      ('Tools &amp; Targets_Guideline'!$A$54:$A$269=$B302)*
      ('Tools &amp; Targets_Guideline'!$B$54:$B$269="TT"),
      0
    ),
    MATCH(
      _xludf.IFNA(
        VLOOKUP($D302,{"PH","Provincial Hospital (H2)";"DH","District Hospital (H3)";"RH","Regional / National Hospital (H1)"},2,0),
        $D302
      ),
      'Tools &amp; Targets_Guideline'!$C$53:$I$53,
      0
    )
  ),
0))</f>
        <v/>
      </c>
      <c r="S302" s="105"/>
      <c r="T302" s="102"/>
      <c r="U302" s="106"/>
      <c r="V302" s="102" t="str">
        <f t="shared" si="16"/>
        <v/>
      </c>
      <c r="W302" s="102"/>
      <c r="X302" s="102"/>
      <c r="Y302" s="119" t="str">
        <f t="array" ref="Y302">IF(OR($B302="",$D302=""),"",
IFERROR(
  INDEX(
    'Tools &amp; Targets_Guideline'!$C$54:$I$269,
    MATCH(
      1,
      ('Tools &amp; Targets_Guideline'!$A$54:$A$269=$B302)*
      ('Tools &amp; Targets_Guideline'!$B$54:$B$269="GM"),
      0
    ),
    MATCH(
      _xludf.IFNA(
        VLOOKUP($D302,{"PH","Provincial Hospital (H2)";"DH","District Hospital (H3)";"RH","Regional / National Hospital (H1)"},2,0),
        $D302
      ),
      'Tools &amp; Targets_Guideline'!$C$53:$I$53,
      0
    )
  ),
0))</f>
        <v/>
      </c>
      <c r="Z302" s="105"/>
      <c r="AA302" s="119" t="str">
        <f t="array" ref="AA302">IF(OR($B302="",$D302=""),"",
IFERROR(
  INDEX(
    'Tools &amp; Targets_Guideline'!$C$54:$I$269,
    MATCH(
      1,
      ('Tools &amp; Targets_Guideline'!$A$54:$A$269=$B302)*
      ('Tools &amp; Targets_Guideline'!$B$54:$B$269="Penta"),
      0
    ),
    MATCH(
      _xludf.IFNA(
        VLOOKUP($D302,{"PH","Provincial Hospital (H2)";"DH","District Hospital (H3)";"RH","Regional / National Hospital (H1)"},2,0),
        $D302
      ),
      'Tools &amp; Targets_Guideline'!$C$53:$I$53,
      0
    )
  ),
0))</f>
        <v/>
      </c>
      <c r="AB302" s="105"/>
      <c r="AC302" s="119" t="str">
        <f t="array" ref="AC302">IF(OR($B302="",$D302=""),"",
IFERROR(
  INDEX(
    'Tools &amp; Targets_Guideline'!$C$54:$I$269,
    MATCH(
      1,
      ('Tools &amp; Targets_Guideline'!$A$54:$A$269=$B302)*
      ('Tools &amp; Targets_Guideline'!$B$54:$B$269="TB"),
      0
    ),
    MATCH(
      _xludf.IFNA(
        VLOOKUP($D302,{"PH","Provincial Hospital (H2)";"DH","District Hospital (H3)";"RH","Regional / National Hospital (H1)"},2,0),
        $D302
      ),
      'Tools &amp; Targets_Guideline'!$C$53:$I$53,
      0
    )
  ),
0))</f>
        <v/>
      </c>
      <c r="AD302" s="105"/>
      <c r="AE302" s="119" t="str">
        <f t="array" ref="AE302">IF(OR($B302="",$D302=""),"",
IFERROR(
  INDEX(
    'Tools &amp; Targets_Guideline'!$C$54:$I$269,
    MATCH(
      1,
      ('Tools &amp; Targets_Guideline'!$A$54:$A$269=$B302)*
      ('Tools &amp; Targets_Guideline'!$B$54:$B$269="U5 Morbidity"),
      0
    ),
    MATCH(
      _xludf.IFNA(
        VLOOKUP($D302,{"PH","Provincial Hospital (H2)";"DH","District Hospital (H3)";"RH","Regional / National Hospital (H1)"},2,0),
        $D302
      ),
      'Tools &amp; Targets_Guideline'!$C$53:$I$53,
      0
    )
  ),
0))</f>
        <v/>
      </c>
      <c r="AF302" s="105"/>
      <c r="AG302" s="119" t="str">
        <f t="array" ref="AG302">IF(OR($B302="",$D302=""),"",
IFERROR(
  INDEX(
    'Tools &amp; Targets_Guideline'!$C$54:$I$269,
    MATCH(
      1,
      ('Tools &amp; Targets_Guideline'!$A$54:$A$269=$B302)*
      ('Tools &amp; Targets_Guideline'!$B$54:$B$269="C-Section"),
      0
    ),
    MATCH(
      _xludf.IFNA(
        VLOOKUP($D302,{"PH","Provincial Hospital (H2)";"DH","District Hospital (H3)";"RH","Regional / National Hospital (H1)"},2,0),
        $D302
      ),
      'Tools &amp; Targets_Guideline'!$C$53:$I$53,
      0
    )
  ),
0))</f>
        <v/>
      </c>
      <c r="AH302" s="105" t="str">
        <f>IF(A302&lt;&gt;"",COUNTIFS('QA Log'!D:D,A302,'QA Log'!M:M,"QQC",'QA Log'!L:L,"2. Hygiene and Sterilization",'QA Log'!Z:Z,"Approved"),"")</f>
        <v/>
      </c>
      <c r="AI302" s="102"/>
      <c r="AJ302" s="102"/>
      <c r="AK302" s="103" t="str">
        <f t="shared" si="17"/>
        <v/>
      </c>
      <c r="AL302" s="102"/>
      <c r="AM302" s="102"/>
      <c r="AN302" s="102"/>
      <c r="AO302" s="106"/>
      <c r="AP302" s="103"/>
      <c r="AQ302" s="102"/>
      <c r="AR302" s="102"/>
      <c r="AS302" s="102"/>
      <c r="AT302" s="107"/>
      <c r="AU302" s="102" t="str">
        <f t="shared" si="18"/>
        <v/>
      </c>
      <c r="AV302" s="102" t="str">
        <f t="shared" si="19"/>
        <v/>
      </c>
      <c r="AW302" s="102" t="str">
        <f t="shared" si="20"/>
        <v/>
      </c>
      <c r="AX302" s="102" t="str">
        <f t="shared" si="21"/>
        <v/>
      </c>
      <c r="AY302" s="107" t="str">
        <f t="shared" si="22"/>
        <v/>
      </c>
      <c r="AZ302" s="108" t="str">
        <f t="shared" si="23"/>
        <v/>
      </c>
      <c r="BA302" s="108" t="str">
        <f t="shared" si="24"/>
        <v/>
      </c>
      <c r="BB302" s="109" t="str">
        <f t="shared" si="25"/>
        <v/>
      </c>
      <c r="BC302" s="108" t="str">
        <f t="shared" si="26"/>
        <v/>
      </c>
      <c r="BD302" s="108" t="str">
        <f t="shared" si="27"/>
        <v/>
      </c>
      <c r="BE302" s="109" t="str">
        <f t="shared" si="28"/>
        <v/>
      </c>
      <c r="BF302" s="110" t="str">
        <f t="shared" si="29"/>
        <v/>
      </c>
      <c r="BG302" s="111"/>
    </row>
    <row r="303" spans="1:59" ht="12.75">
      <c r="A303" s="101"/>
      <c r="B303" s="102"/>
      <c r="C303" s="102" t="e">
        <f t="array" aca="1" ref="C303" ca="1">_xludf.XLOOKUP(A303,'QA Log'!D:D,'QA Log'!F:F,"")</f>
        <v>#NAME?</v>
      </c>
      <c r="D303" s="102"/>
      <c r="E303" s="102" t="e">
        <f t="array" aca="1" ref="E303" ca="1">_xludf.XLOOKUP(A303,'QA Log'!D:D,'QA Log'!G:G,"")</f>
        <v>#NAME?</v>
      </c>
      <c r="F303" s="103"/>
      <c r="G303" s="104"/>
      <c r="H303" s="104"/>
      <c r="I303" s="103" t="str">
        <f t="shared" si="15"/>
        <v/>
      </c>
      <c r="J303" s="102"/>
      <c r="K303" s="102"/>
      <c r="L303" s="119" t="str">
        <f t="array" ref="L303">IF(OR($B303="",$D303=""),"",
IFERROR(
  INDEX(
    'Tools &amp; Targets_Guideline'!$C$54:$I$269,
    MATCH(
      1,
      ('Tools &amp; Targets_Guideline'!$A$54:$A$269=$B303)*
      ('Tools &amp; Targets_Guideline'!$B$54:$B$269="ANC"),
      0
    ),
    MATCH(
      _xludf.IFNA(
        VLOOKUP($D303,{"PH","Provincial Hospital (H2)";"DH","District Hospital (H3)";"RH","Regional / National Hospital (H1)"},2,0),
        $D303
      ),
      'Tools &amp; Targets_Guideline'!$C$53:$I$53,
      0
    )
  ),
0))</f>
        <v/>
      </c>
      <c r="M303" s="105"/>
      <c r="N303" s="119" t="str">
        <f t="array" ref="N303">IF(OR($B303="",$D303=""),"",
IFERROR(
  INDEX(
    'Tools &amp; Targets_Guideline'!$C$54:$I$269,
    MATCH(
      1,
      ('Tools &amp; Targets_Guideline'!$A$54:$A$269=$B303)*
      ('Tools &amp; Targets_Guideline'!$B$54:$B$269="PNC"),
      0
    ),
    MATCH(
      _xludf.IFNA(
        VLOOKUP($D303,{"PH","Provincial Hospital (H2)";"DH","District Hospital (H3)";"RH","Regional / National Hospital (H1)"},2,0),
        $D303
      ),
      'Tools &amp; Targets_Guideline'!$C$53:$I$53,
      0
    )
  ),
0))</f>
        <v/>
      </c>
      <c r="O303" s="105"/>
      <c r="P303" s="119" t="str">
        <f t="array" ref="P303">IF(OR($B303="",$D303=""),"",
IFERROR(
  INDEX(
    'Tools &amp; Targets_Guideline'!$C$54:$I$269,
    MATCH(
      1,
      ('Tools &amp; Targets_Guideline'!$A$54:$A$269=$B303)*
      ('Tools &amp; Targets_Guideline'!$B$54:$B$269="Delivery"),
      0
    ),
    MATCH(
      _xludf.IFNA(
        VLOOKUP($D303,{"PH","Provincial Hospital (H2)";"DH","District Hospital (H3)";"RH","Regional / National Hospital (H1)"},2,0),
        $D303
      ),
      'Tools &amp; Targets_Guideline'!$C$53:$I$53,
      0
    )
  ),
0))</f>
        <v/>
      </c>
      <c r="Q303" s="105"/>
      <c r="R303" s="119" t="str">
        <f t="array" ref="R303">IF(OR($B303="",$D303=""),"",
IFERROR(
  INDEX(
    'Tools &amp; Targets_Guideline'!$C$54:$I$269,
    MATCH(
      1,
      ('Tools &amp; Targets_Guideline'!$A$54:$A$269=$B303)*
      ('Tools &amp; Targets_Guideline'!$B$54:$B$269="TT"),
      0
    ),
    MATCH(
      _xludf.IFNA(
        VLOOKUP($D303,{"PH","Provincial Hospital (H2)";"DH","District Hospital (H3)";"RH","Regional / National Hospital (H1)"},2,0),
        $D303
      ),
      'Tools &amp; Targets_Guideline'!$C$53:$I$53,
      0
    )
  ),
0))</f>
        <v/>
      </c>
      <c r="S303" s="105"/>
      <c r="T303" s="102"/>
      <c r="U303" s="106"/>
      <c r="V303" s="102" t="str">
        <f t="shared" si="16"/>
        <v/>
      </c>
      <c r="W303" s="102"/>
      <c r="X303" s="102"/>
      <c r="Y303" s="119" t="str">
        <f t="array" ref="Y303">IF(OR($B303="",$D303=""),"",
IFERROR(
  INDEX(
    'Tools &amp; Targets_Guideline'!$C$54:$I$269,
    MATCH(
      1,
      ('Tools &amp; Targets_Guideline'!$A$54:$A$269=$B303)*
      ('Tools &amp; Targets_Guideline'!$B$54:$B$269="GM"),
      0
    ),
    MATCH(
      _xludf.IFNA(
        VLOOKUP($D303,{"PH","Provincial Hospital (H2)";"DH","District Hospital (H3)";"RH","Regional / National Hospital (H1)"},2,0),
        $D303
      ),
      'Tools &amp; Targets_Guideline'!$C$53:$I$53,
      0
    )
  ),
0))</f>
        <v/>
      </c>
      <c r="Z303" s="105"/>
      <c r="AA303" s="119" t="str">
        <f t="array" ref="AA303">IF(OR($B303="",$D303=""),"",
IFERROR(
  INDEX(
    'Tools &amp; Targets_Guideline'!$C$54:$I$269,
    MATCH(
      1,
      ('Tools &amp; Targets_Guideline'!$A$54:$A$269=$B303)*
      ('Tools &amp; Targets_Guideline'!$B$54:$B$269="Penta"),
      0
    ),
    MATCH(
      _xludf.IFNA(
        VLOOKUP($D303,{"PH","Provincial Hospital (H2)";"DH","District Hospital (H3)";"RH","Regional / National Hospital (H1)"},2,0),
        $D303
      ),
      'Tools &amp; Targets_Guideline'!$C$53:$I$53,
      0
    )
  ),
0))</f>
        <v/>
      </c>
      <c r="AB303" s="105"/>
      <c r="AC303" s="119" t="str">
        <f t="array" ref="AC303">IF(OR($B303="",$D303=""),"",
IFERROR(
  INDEX(
    'Tools &amp; Targets_Guideline'!$C$54:$I$269,
    MATCH(
      1,
      ('Tools &amp; Targets_Guideline'!$A$54:$A$269=$B303)*
      ('Tools &amp; Targets_Guideline'!$B$54:$B$269="TB"),
      0
    ),
    MATCH(
      _xludf.IFNA(
        VLOOKUP($D303,{"PH","Provincial Hospital (H2)";"DH","District Hospital (H3)";"RH","Regional / National Hospital (H1)"},2,0),
        $D303
      ),
      'Tools &amp; Targets_Guideline'!$C$53:$I$53,
      0
    )
  ),
0))</f>
        <v/>
      </c>
      <c r="AD303" s="105"/>
      <c r="AE303" s="119" t="str">
        <f t="array" ref="AE303">IF(OR($B303="",$D303=""),"",
IFERROR(
  INDEX(
    'Tools &amp; Targets_Guideline'!$C$54:$I$269,
    MATCH(
      1,
      ('Tools &amp; Targets_Guideline'!$A$54:$A$269=$B303)*
      ('Tools &amp; Targets_Guideline'!$B$54:$B$269="U5 Morbidity"),
      0
    ),
    MATCH(
      _xludf.IFNA(
        VLOOKUP($D303,{"PH","Provincial Hospital (H2)";"DH","District Hospital (H3)";"RH","Regional / National Hospital (H1)"},2,0),
        $D303
      ),
      'Tools &amp; Targets_Guideline'!$C$53:$I$53,
      0
    )
  ),
0))</f>
        <v/>
      </c>
      <c r="AF303" s="105"/>
      <c r="AG303" s="119" t="str">
        <f t="array" ref="AG303">IF(OR($B303="",$D303=""),"",
IFERROR(
  INDEX(
    'Tools &amp; Targets_Guideline'!$C$54:$I$269,
    MATCH(
      1,
      ('Tools &amp; Targets_Guideline'!$A$54:$A$269=$B303)*
      ('Tools &amp; Targets_Guideline'!$B$54:$B$269="C-Section"),
      0
    ),
    MATCH(
      _xludf.IFNA(
        VLOOKUP($D303,{"PH","Provincial Hospital (H2)";"DH","District Hospital (H3)";"RH","Regional / National Hospital (H1)"},2,0),
        $D303
      ),
      'Tools &amp; Targets_Guideline'!$C$53:$I$53,
      0
    )
  ),
0))</f>
        <v/>
      </c>
      <c r="AH303" s="105" t="str">
        <f>IF(A303&lt;&gt;"",COUNTIFS('QA Log'!D:D,A303,'QA Log'!M:M,"QQC",'QA Log'!L:L,"2. Hygiene and Sterilization",'QA Log'!Z:Z,"Approved"),"")</f>
        <v/>
      </c>
      <c r="AI303" s="102"/>
      <c r="AJ303" s="102"/>
      <c r="AK303" s="103" t="str">
        <f t="shared" si="17"/>
        <v/>
      </c>
      <c r="AL303" s="102"/>
      <c r="AM303" s="102"/>
      <c r="AN303" s="102"/>
      <c r="AO303" s="106"/>
      <c r="AP303" s="103"/>
      <c r="AQ303" s="102"/>
      <c r="AR303" s="102"/>
      <c r="AS303" s="102"/>
      <c r="AT303" s="107"/>
      <c r="AU303" s="102" t="str">
        <f t="shared" si="18"/>
        <v/>
      </c>
      <c r="AV303" s="102" t="str">
        <f t="shared" si="19"/>
        <v/>
      </c>
      <c r="AW303" s="102" t="str">
        <f t="shared" si="20"/>
        <v/>
      </c>
      <c r="AX303" s="102" t="str">
        <f t="shared" si="21"/>
        <v/>
      </c>
      <c r="AY303" s="107" t="str">
        <f t="shared" si="22"/>
        <v/>
      </c>
      <c r="AZ303" s="108" t="str">
        <f t="shared" si="23"/>
        <v/>
      </c>
      <c r="BA303" s="108" t="str">
        <f t="shared" si="24"/>
        <v/>
      </c>
      <c r="BB303" s="109" t="str">
        <f t="shared" si="25"/>
        <v/>
      </c>
      <c r="BC303" s="108" t="str">
        <f t="shared" si="26"/>
        <v/>
      </c>
      <c r="BD303" s="108" t="str">
        <f t="shared" si="27"/>
        <v/>
      </c>
      <c r="BE303" s="109" t="str">
        <f t="shared" si="28"/>
        <v/>
      </c>
      <c r="BF303" s="110" t="str">
        <f t="shared" si="29"/>
        <v/>
      </c>
      <c r="BG303" s="111"/>
    </row>
    <row r="304" spans="1:59" ht="12.75">
      <c r="A304" s="101"/>
      <c r="B304" s="102"/>
      <c r="C304" s="102" t="e">
        <f t="array" aca="1" ref="C304" ca="1">_xludf.XLOOKUP(A304,'QA Log'!D:D,'QA Log'!F:F,"")</f>
        <v>#NAME?</v>
      </c>
      <c r="D304" s="102"/>
      <c r="E304" s="102" t="e">
        <f t="array" aca="1" ref="E304" ca="1">_xludf.XLOOKUP(A304,'QA Log'!D:D,'QA Log'!G:G,"")</f>
        <v>#NAME?</v>
      </c>
      <c r="F304" s="103"/>
      <c r="G304" s="104"/>
      <c r="H304" s="104"/>
      <c r="I304" s="103" t="str">
        <f t="shared" si="15"/>
        <v/>
      </c>
      <c r="J304" s="102"/>
      <c r="K304" s="102"/>
      <c r="L304" s="119" t="str">
        <f t="array" ref="L304">IF(OR($B304="",$D304=""),"",
IFERROR(
  INDEX(
    'Tools &amp; Targets_Guideline'!$C$54:$I$269,
    MATCH(
      1,
      ('Tools &amp; Targets_Guideline'!$A$54:$A$269=$B304)*
      ('Tools &amp; Targets_Guideline'!$B$54:$B$269="ANC"),
      0
    ),
    MATCH(
      _xludf.IFNA(
        VLOOKUP($D304,{"PH","Provincial Hospital (H2)";"DH","District Hospital (H3)";"RH","Regional / National Hospital (H1)"},2,0),
        $D304
      ),
      'Tools &amp; Targets_Guideline'!$C$53:$I$53,
      0
    )
  ),
0))</f>
        <v/>
      </c>
      <c r="M304" s="105"/>
      <c r="N304" s="119" t="str">
        <f t="array" ref="N304">IF(OR($B304="",$D304=""),"",
IFERROR(
  INDEX(
    'Tools &amp; Targets_Guideline'!$C$54:$I$269,
    MATCH(
      1,
      ('Tools &amp; Targets_Guideline'!$A$54:$A$269=$B304)*
      ('Tools &amp; Targets_Guideline'!$B$54:$B$269="PNC"),
      0
    ),
    MATCH(
      _xludf.IFNA(
        VLOOKUP($D304,{"PH","Provincial Hospital (H2)";"DH","District Hospital (H3)";"RH","Regional / National Hospital (H1)"},2,0),
        $D304
      ),
      'Tools &amp; Targets_Guideline'!$C$53:$I$53,
      0
    )
  ),
0))</f>
        <v/>
      </c>
      <c r="O304" s="105"/>
      <c r="P304" s="119" t="str">
        <f t="array" ref="P304">IF(OR($B304="",$D304=""),"",
IFERROR(
  INDEX(
    'Tools &amp; Targets_Guideline'!$C$54:$I$269,
    MATCH(
      1,
      ('Tools &amp; Targets_Guideline'!$A$54:$A$269=$B304)*
      ('Tools &amp; Targets_Guideline'!$B$54:$B$269="Delivery"),
      0
    ),
    MATCH(
      _xludf.IFNA(
        VLOOKUP($D304,{"PH","Provincial Hospital (H2)";"DH","District Hospital (H3)";"RH","Regional / National Hospital (H1)"},2,0),
        $D304
      ),
      'Tools &amp; Targets_Guideline'!$C$53:$I$53,
      0
    )
  ),
0))</f>
        <v/>
      </c>
      <c r="Q304" s="105"/>
      <c r="R304" s="119" t="str">
        <f t="array" ref="R304">IF(OR($B304="",$D304=""),"",
IFERROR(
  INDEX(
    'Tools &amp; Targets_Guideline'!$C$54:$I$269,
    MATCH(
      1,
      ('Tools &amp; Targets_Guideline'!$A$54:$A$269=$B304)*
      ('Tools &amp; Targets_Guideline'!$B$54:$B$269="TT"),
      0
    ),
    MATCH(
      _xludf.IFNA(
        VLOOKUP($D304,{"PH","Provincial Hospital (H2)";"DH","District Hospital (H3)";"RH","Regional / National Hospital (H1)"},2,0),
        $D304
      ),
      'Tools &amp; Targets_Guideline'!$C$53:$I$53,
      0
    )
  ),
0))</f>
        <v/>
      </c>
      <c r="S304" s="105"/>
      <c r="T304" s="102"/>
      <c r="U304" s="106"/>
      <c r="V304" s="102" t="str">
        <f t="shared" si="16"/>
        <v/>
      </c>
      <c r="W304" s="102"/>
      <c r="X304" s="102"/>
      <c r="Y304" s="119" t="str">
        <f t="array" ref="Y304">IF(OR($B304="",$D304=""),"",
IFERROR(
  INDEX(
    'Tools &amp; Targets_Guideline'!$C$54:$I$269,
    MATCH(
      1,
      ('Tools &amp; Targets_Guideline'!$A$54:$A$269=$B304)*
      ('Tools &amp; Targets_Guideline'!$B$54:$B$269="GM"),
      0
    ),
    MATCH(
      _xludf.IFNA(
        VLOOKUP($D304,{"PH","Provincial Hospital (H2)";"DH","District Hospital (H3)";"RH","Regional / National Hospital (H1)"},2,0),
        $D304
      ),
      'Tools &amp; Targets_Guideline'!$C$53:$I$53,
      0
    )
  ),
0))</f>
        <v/>
      </c>
      <c r="Z304" s="105"/>
      <c r="AA304" s="119" t="str">
        <f t="array" ref="AA304">IF(OR($B304="",$D304=""),"",
IFERROR(
  INDEX(
    'Tools &amp; Targets_Guideline'!$C$54:$I$269,
    MATCH(
      1,
      ('Tools &amp; Targets_Guideline'!$A$54:$A$269=$B304)*
      ('Tools &amp; Targets_Guideline'!$B$54:$B$269="Penta"),
      0
    ),
    MATCH(
      _xludf.IFNA(
        VLOOKUP($D304,{"PH","Provincial Hospital (H2)";"DH","District Hospital (H3)";"RH","Regional / National Hospital (H1)"},2,0),
        $D304
      ),
      'Tools &amp; Targets_Guideline'!$C$53:$I$53,
      0
    )
  ),
0))</f>
        <v/>
      </c>
      <c r="AB304" s="105"/>
      <c r="AC304" s="119" t="str">
        <f t="array" ref="AC304">IF(OR($B304="",$D304=""),"",
IFERROR(
  INDEX(
    'Tools &amp; Targets_Guideline'!$C$54:$I$269,
    MATCH(
      1,
      ('Tools &amp; Targets_Guideline'!$A$54:$A$269=$B304)*
      ('Tools &amp; Targets_Guideline'!$B$54:$B$269="TB"),
      0
    ),
    MATCH(
      _xludf.IFNA(
        VLOOKUP($D304,{"PH","Provincial Hospital (H2)";"DH","District Hospital (H3)";"RH","Regional / National Hospital (H1)"},2,0),
        $D304
      ),
      'Tools &amp; Targets_Guideline'!$C$53:$I$53,
      0
    )
  ),
0))</f>
        <v/>
      </c>
      <c r="AD304" s="105"/>
      <c r="AE304" s="119" t="str">
        <f t="array" ref="AE304">IF(OR($B304="",$D304=""),"",
IFERROR(
  INDEX(
    'Tools &amp; Targets_Guideline'!$C$54:$I$269,
    MATCH(
      1,
      ('Tools &amp; Targets_Guideline'!$A$54:$A$269=$B304)*
      ('Tools &amp; Targets_Guideline'!$B$54:$B$269="U5 Morbidity"),
      0
    ),
    MATCH(
      _xludf.IFNA(
        VLOOKUP($D304,{"PH","Provincial Hospital (H2)";"DH","District Hospital (H3)";"RH","Regional / National Hospital (H1)"},2,0),
        $D304
      ),
      'Tools &amp; Targets_Guideline'!$C$53:$I$53,
      0
    )
  ),
0))</f>
        <v/>
      </c>
      <c r="AF304" s="105"/>
      <c r="AG304" s="119" t="str">
        <f t="array" ref="AG304">IF(OR($B304="",$D304=""),"",
IFERROR(
  INDEX(
    'Tools &amp; Targets_Guideline'!$C$54:$I$269,
    MATCH(
      1,
      ('Tools &amp; Targets_Guideline'!$A$54:$A$269=$B304)*
      ('Tools &amp; Targets_Guideline'!$B$54:$B$269="C-Section"),
      0
    ),
    MATCH(
      _xludf.IFNA(
        VLOOKUP($D304,{"PH","Provincial Hospital (H2)";"DH","District Hospital (H3)";"RH","Regional / National Hospital (H1)"},2,0),
        $D304
      ),
      'Tools &amp; Targets_Guideline'!$C$53:$I$53,
      0
    )
  ),
0))</f>
        <v/>
      </c>
      <c r="AH304" s="105" t="str">
        <f>IF(A304&lt;&gt;"",COUNTIFS('QA Log'!D:D,A304,'QA Log'!M:M,"QQC",'QA Log'!L:L,"2. Hygiene and Sterilization",'QA Log'!Z:Z,"Approved"),"")</f>
        <v/>
      </c>
      <c r="AI304" s="102"/>
      <c r="AJ304" s="102"/>
      <c r="AK304" s="103" t="str">
        <f t="shared" si="17"/>
        <v/>
      </c>
      <c r="AL304" s="102"/>
      <c r="AM304" s="102"/>
      <c r="AN304" s="102"/>
      <c r="AO304" s="106"/>
      <c r="AP304" s="103"/>
      <c r="AQ304" s="102"/>
      <c r="AR304" s="102"/>
      <c r="AS304" s="102"/>
      <c r="AT304" s="107"/>
      <c r="AU304" s="102" t="str">
        <f t="shared" si="18"/>
        <v/>
      </c>
      <c r="AV304" s="102" t="str">
        <f t="shared" si="19"/>
        <v/>
      </c>
      <c r="AW304" s="102" t="str">
        <f t="shared" si="20"/>
        <v/>
      </c>
      <c r="AX304" s="102" t="str">
        <f t="shared" si="21"/>
        <v/>
      </c>
      <c r="AY304" s="107" t="str">
        <f t="shared" si="22"/>
        <v/>
      </c>
      <c r="AZ304" s="108" t="str">
        <f t="shared" si="23"/>
        <v/>
      </c>
      <c r="BA304" s="108" t="str">
        <f t="shared" si="24"/>
        <v/>
      </c>
      <c r="BB304" s="109" t="str">
        <f t="shared" si="25"/>
        <v/>
      </c>
      <c r="BC304" s="108" t="str">
        <f t="shared" si="26"/>
        <v/>
      </c>
      <c r="BD304" s="108" t="str">
        <f t="shared" si="27"/>
        <v/>
      </c>
      <c r="BE304" s="109" t="str">
        <f t="shared" si="28"/>
        <v/>
      </c>
      <c r="BF304" s="110" t="str">
        <f t="shared" si="29"/>
        <v/>
      </c>
      <c r="BG304" s="111"/>
    </row>
    <row r="305" spans="1:59" ht="12.75">
      <c r="A305" s="101"/>
      <c r="B305" s="102"/>
      <c r="C305" s="102" t="e">
        <f t="array" aca="1" ref="C305" ca="1">_xludf.XLOOKUP(A305,'QA Log'!D:D,'QA Log'!F:F,"")</f>
        <v>#NAME?</v>
      </c>
      <c r="D305" s="102"/>
      <c r="E305" s="102" t="e">
        <f t="array" aca="1" ref="E305" ca="1">_xludf.XLOOKUP(A305,'QA Log'!D:D,'QA Log'!G:G,"")</f>
        <v>#NAME?</v>
      </c>
      <c r="F305" s="103"/>
      <c r="G305" s="104"/>
      <c r="H305" s="104"/>
      <c r="I305" s="103" t="str">
        <f t="shared" si="15"/>
        <v/>
      </c>
      <c r="J305" s="102"/>
      <c r="K305" s="102"/>
      <c r="L305" s="119" t="str">
        <f t="array" ref="L305">IF(OR($B305="",$D305=""),"",
IFERROR(
  INDEX(
    'Tools &amp; Targets_Guideline'!$C$54:$I$269,
    MATCH(
      1,
      ('Tools &amp; Targets_Guideline'!$A$54:$A$269=$B305)*
      ('Tools &amp; Targets_Guideline'!$B$54:$B$269="ANC"),
      0
    ),
    MATCH(
      _xludf.IFNA(
        VLOOKUP($D305,{"PH","Provincial Hospital (H2)";"DH","District Hospital (H3)";"RH","Regional / National Hospital (H1)"},2,0),
        $D305
      ),
      'Tools &amp; Targets_Guideline'!$C$53:$I$53,
      0
    )
  ),
0))</f>
        <v/>
      </c>
      <c r="M305" s="105"/>
      <c r="N305" s="119" t="str">
        <f t="array" ref="N305">IF(OR($B305="",$D305=""),"",
IFERROR(
  INDEX(
    'Tools &amp; Targets_Guideline'!$C$54:$I$269,
    MATCH(
      1,
      ('Tools &amp; Targets_Guideline'!$A$54:$A$269=$B305)*
      ('Tools &amp; Targets_Guideline'!$B$54:$B$269="PNC"),
      0
    ),
    MATCH(
      _xludf.IFNA(
        VLOOKUP($D305,{"PH","Provincial Hospital (H2)";"DH","District Hospital (H3)";"RH","Regional / National Hospital (H1)"},2,0),
        $D305
      ),
      'Tools &amp; Targets_Guideline'!$C$53:$I$53,
      0
    )
  ),
0))</f>
        <v/>
      </c>
      <c r="O305" s="105"/>
      <c r="P305" s="119" t="str">
        <f t="array" ref="P305">IF(OR($B305="",$D305=""),"",
IFERROR(
  INDEX(
    'Tools &amp; Targets_Guideline'!$C$54:$I$269,
    MATCH(
      1,
      ('Tools &amp; Targets_Guideline'!$A$54:$A$269=$B305)*
      ('Tools &amp; Targets_Guideline'!$B$54:$B$269="Delivery"),
      0
    ),
    MATCH(
      _xludf.IFNA(
        VLOOKUP($D305,{"PH","Provincial Hospital (H2)";"DH","District Hospital (H3)";"RH","Regional / National Hospital (H1)"},2,0),
        $D305
      ),
      'Tools &amp; Targets_Guideline'!$C$53:$I$53,
      0
    )
  ),
0))</f>
        <v/>
      </c>
      <c r="Q305" s="105"/>
      <c r="R305" s="119" t="str">
        <f t="array" ref="R305">IF(OR($B305="",$D305=""),"",
IFERROR(
  INDEX(
    'Tools &amp; Targets_Guideline'!$C$54:$I$269,
    MATCH(
      1,
      ('Tools &amp; Targets_Guideline'!$A$54:$A$269=$B305)*
      ('Tools &amp; Targets_Guideline'!$B$54:$B$269="TT"),
      0
    ),
    MATCH(
      _xludf.IFNA(
        VLOOKUP($D305,{"PH","Provincial Hospital (H2)";"DH","District Hospital (H3)";"RH","Regional / National Hospital (H1)"},2,0),
        $D305
      ),
      'Tools &amp; Targets_Guideline'!$C$53:$I$53,
      0
    )
  ),
0))</f>
        <v/>
      </c>
      <c r="S305" s="105"/>
      <c r="T305" s="102"/>
      <c r="U305" s="106"/>
      <c r="V305" s="102" t="str">
        <f t="shared" si="16"/>
        <v/>
      </c>
      <c r="W305" s="102"/>
      <c r="X305" s="102"/>
      <c r="Y305" s="119" t="str">
        <f t="array" ref="Y305">IF(OR($B305="",$D305=""),"",
IFERROR(
  INDEX(
    'Tools &amp; Targets_Guideline'!$C$54:$I$269,
    MATCH(
      1,
      ('Tools &amp; Targets_Guideline'!$A$54:$A$269=$B305)*
      ('Tools &amp; Targets_Guideline'!$B$54:$B$269="GM"),
      0
    ),
    MATCH(
      _xludf.IFNA(
        VLOOKUP($D305,{"PH","Provincial Hospital (H2)";"DH","District Hospital (H3)";"RH","Regional / National Hospital (H1)"},2,0),
        $D305
      ),
      'Tools &amp; Targets_Guideline'!$C$53:$I$53,
      0
    )
  ),
0))</f>
        <v/>
      </c>
      <c r="Z305" s="105"/>
      <c r="AA305" s="119" t="str">
        <f t="array" ref="AA305">IF(OR($B305="",$D305=""),"",
IFERROR(
  INDEX(
    'Tools &amp; Targets_Guideline'!$C$54:$I$269,
    MATCH(
      1,
      ('Tools &amp; Targets_Guideline'!$A$54:$A$269=$B305)*
      ('Tools &amp; Targets_Guideline'!$B$54:$B$269="Penta"),
      0
    ),
    MATCH(
      _xludf.IFNA(
        VLOOKUP($D305,{"PH","Provincial Hospital (H2)";"DH","District Hospital (H3)";"RH","Regional / National Hospital (H1)"},2,0),
        $D305
      ),
      'Tools &amp; Targets_Guideline'!$C$53:$I$53,
      0
    )
  ),
0))</f>
        <v/>
      </c>
      <c r="AB305" s="105"/>
      <c r="AC305" s="119" t="str">
        <f t="array" ref="AC305">IF(OR($B305="",$D305=""),"",
IFERROR(
  INDEX(
    'Tools &amp; Targets_Guideline'!$C$54:$I$269,
    MATCH(
      1,
      ('Tools &amp; Targets_Guideline'!$A$54:$A$269=$B305)*
      ('Tools &amp; Targets_Guideline'!$B$54:$B$269="TB"),
      0
    ),
    MATCH(
      _xludf.IFNA(
        VLOOKUP($D305,{"PH","Provincial Hospital (H2)";"DH","District Hospital (H3)";"RH","Regional / National Hospital (H1)"},2,0),
        $D305
      ),
      'Tools &amp; Targets_Guideline'!$C$53:$I$53,
      0
    )
  ),
0))</f>
        <v/>
      </c>
      <c r="AD305" s="105"/>
      <c r="AE305" s="119" t="str">
        <f t="array" ref="AE305">IF(OR($B305="",$D305=""),"",
IFERROR(
  INDEX(
    'Tools &amp; Targets_Guideline'!$C$54:$I$269,
    MATCH(
      1,
      ('Tools &amp; Targets_Guideline'!$A$54:$A$269=$B305)*
      ('Tools &amp; Targets_Guideline'!$B$54:$B$269="U5 Morbidity"),
      0
    ),
    MATCH(
      _xludf.IFNA(
        VLOOKUP($D305,{"PH","Provincial Hospital (H2)";"DH","District Hospital (H3)";"RH","Regional / National Hospital (H1)"},2,0),
        $D305
      ),
      'Tools &amp; Targets_Guideline'!$C$53:$I$53,
      0
    )
  ),
0))</f>
        <v/>
      </c>
      <c r="AF305" s="105"/>
      <c r="AG305" s="119" t="str">
        <f t="array" ref="AG305">IF(OR($B305="",$D305=""),"",
IFERROR(
  INDEX(
    'Tools &amp; Targets_Guideline'!$C$54:$I$269,
    MATCH(
      1,
      ('Tools &amp; Targets_Guideline'!$A$54:$A$269=$B305)*
      ('Tools &amp; Targets_Guideline'!$B$54:$B$269="C-Section"),
      0
    ),
    MATCH(
      _xludf.IFNA(
        VLOOKUP($D305,{"PH","Provincial Hospital (H2)";"DH","District Hospital (H3)";"RH","Regional / National Hospital (H1)"},2,0),
        $D305
      ),
      'Tools &amp; Targets_Guideline'!$C$53:$I$53,
      0
    )
  ),
0))</f>
        <v/>
      </c>
      <c r="AH305" s="105" t="str">
        <f>IF(A305&lt;&gt;"",COUNTIFS('QA Log'!D:D,A305,'QA Log'!M:M,"QQC",'QA Log'!L:L,"2. Hygiene and Sterilization",'QA Log'!Z:Z,"Approved"),"")</f>
        <v/>
      </c>
      <c r="AI305" s="102"/>
      <c r="AJ305" s="102"/>
      <c r="AK305" s="103" t="str">
        <f t="shared" si="17"/>
        <v/>
      </c>
      <c r="AL305" s="102"/>
      <c r="AM305" s="102"/>
      <c r="AN305" s="102"/>
      <c r="AO305" s="106"/>
      <c r="AP305" s="103"/>
      <c r="AQ305" s="102"/>
      <c r="AR305" s="102"/>
      <c r="AS305" s="102"/>
      <c r="AT305" s="107"/>
      <c r="AU305" s="102" t="str">
        <f t="shared" si="18"/>
        <v/>
      </c>
      <c r="AV305" s="102" t="str">
        <f t="shared" si="19"/>
        <v/>
      </c>
      <c r="AW305" s="102" t="str">
        <f t="shared" si="20"/>
        <v/>
      </c>
      <c r="AX305" s="102" t="str">
        <f t="shared" si="21"/>
        <v/>
      </c>
      <c r="AY305" s="107" t="str">
        <f t="shared" si="22"/>
        <v/>
      </c>
      <c r="AZ305" s="108" t="str">
        <f t="shared" si="23"/>
        <v/>
      </c>
      <c r="BA305" s="108" t="str">
        <f t="shared" si="24"/>
        <v/>
      </c>
      <c r="BB305" s="109" t="str">
        <f t="shared" si="25"/>
        <v/>
      </c>
      <c r="BC305" s="108" t="str">
        <f t="shared" si="26"/>
        <v/>
      </c>
      <c r="BD305" s="108" t="str">
        <f t="shared" si="27"/>
        <v/>
      </c>
      <c r="BE305" s="109" t="str">
        <f t="shared" si="28"/>
        <v/>
      </c>
      <c r="BF305" s="110" t="str">
        <f t="shared" si="29"/>
        <v/>
      </c>
      <c r="BG305" s="111"/>
    </row>
    <row r="306" spans="1:59" ht="12.75">
      <c r="A306" s="101"/>
      <c r="B306" s="102"/>
      <c r="C306" s="102" t="e">
        <f t="array" aca="1" ref="C306" ca="1">_xludf.XLOOKUP(A306,'QA Log'!D:D,'QA Log'!F:F,"")</f>
        <v>#NAME?</v>
      </c>
      <c r="D306" s="102"/>
      <c r="E306" s="102" t="e">
        <f t="array" aca="1" ref="E306" ca="1">_xludf.XLOOKUP(A306,'QA Log'!D:D,'QA Log'!G:G,"")</f>
        <v>#NAME?</v>
      </c>
      <c r="F306" s="103"/>
      <c r="G306" s="104"/>
      <c r="H306" s="104"/>
      <c r="I306" s="103" t="str">
        <f t="shared" si="15"/>
        <v/>
      </c>
      <c r="J306" s="102"/>
      <c r="K306" s="102"/>
      <c r="L306" s="119" t="str">
        <f t="array" ref="L306">IF(OR($B306="",$D306=""),"",
IFERROR(
  INDEX(
    'Tools &amp; Targets_Guideline'!$C$54:$I$269,
    MATCH(
      1,
      ('Tools &amp; Targets_Guideline'!$A$54:$A$269=$B306)*
      ('Tools &amp; Targets_Guideline'!$B$54:$B$269="ANC"),
      0
    ),
    MATCH(
      _xludf.IFNA(
        VLOOKUP($D306,{"PH","Provincial Hospital (H2)";"DH","District Hospital (H3)";"RH","Regional / National Hospital (H1)"},2,0),
        $D306
      ),
      'Tools &amp; Targets_Guideline'!$C$53:$I$53,
      0
    )
  ),
0))</f>
        <v/>
      </c>
      <c r="M306" s="105"/>
      <c r="N306" s="119" t="str">
        <f t="array" ref="N306">IF(OR($B306="",$D306=""),"",
IFERROR(
  INDEX(
    'Tools &amp; Targets_Guideline'!$C$54:$I$269,
    MATCH(
      1,
      ('Tools &amp; Targets_Guideline'!$A$54:$A$269=$B306)*
      ('Tools &amp; Targets_Guideline'!$B$54:$B$269="PNC"),
      0
    ),
    MATCH(
      _xludf.IFNA(
        VLOOKUP($D306,{"PH","Provincial Hospital (H2)";"DH","District Hospital (H3)";"RH","Regional / National Hospital (H1)"},2,0),
        $D306
      ),
      'Tools &amp; Targets_Guideline'!$C$53:$I$53,
      0
    )
  ),
0))</f>
        <v/>
      </c>
      <c r="O306" s="105"/>
      <c r="P306" s="119" t="str">
        <f t="array" ref="P306">IF(OR($B306="",$D306=""),"",
IFERROR(
  INDEX(
    'Tools &amp; Targets_Guideline'!$C$54:$I$269,
    MATCH(
      1,
      ('Tools &amp; Targets_Guideline'!$A$54:$A$269=$B306)*
      ('Tools &amp; Targets_Guideline'!$B$54:$B$269="Delivery"),
      0
    ),
    MATCH(
      _xludf.IFNA(
        VLOOKUP($D306,{"PH","Provincial Hospital (H2)";"DH","District Hospital (H3)";"RH","Regional / National Hospital (H1)"},2,0),
        $D306
      ),
      'Tools &amp; Targets_Guideline'!$C$53:$I$53,
      0
    )
  ),
0))</f>
        <v/>
      </c>
      <c r="Q306" s="105"/>
      <c r="R306" s="119" t="str">
        <f t="array" ref="R306">IF(OR($B306="",$D306=""),"",
IFERROR(
  INDEX(
    'Tools &amp; Targets_Guideline'!$C$54:$I$269,
    MATCH(
      1,
      ('Tools &amp; Targets_Guideline'!$A$54:$A$269=$B306)*
      ('Tools &amp; Targets_Guideline'!$B$54:$B$269="TT"),
      0
    ),
    MATCH(
      _xludf.IFNA(
        VLOOKUP($D306,{"PH","Provincial Hospital (H2)";"DH","District Hospital (H3)";"RH","Regional / National Hospital (H1)"},2,0),
        $D306
      ),
      'Tools &amp; Targets_Guideline'!$C$53:$I$53,
      0
    )
  ),
0))</f>
        <v/>
      </c>
      <c r="S306" s="105"/>
      <c r="T306" s="102"/>
      <c r="U306" s="106"/>
      <c r="V306" s="102" t="str">
        <f t="shared" si="16"/>
        <v/>
      </c>
      <c r="W306" s="102"/>
      <c r="X306" s="102"/>
      <c r="Y306" s="119" t="str">
        <f t="array" ref="Y306">IF(OR($B306="",$D306=""),"",
IFERROR(
  INDEX(
    'Tools &amp; Targets_Guideline'!$C$54:$I$269,
    MATCH(
      1,
      ('Tools &amp; Targets_Guideline'!$A$54:$A$269=$B306)*
      ('Tools &amp; Targets_Guideline'!$B$54:$B$269="GM"),
      0
    ),
    MATCH(
      _xludf.IFNA(
        VLOOKUP($D306,{"PH","Provincial Hospital (H2)";"DH","District Hospital (H3)";"RH","Regional / National Hospital (H1)"},2,0),
        $D306
      ),
      'Tools &amp; Targets_Guideline'!$C$53:$I$53,
      0
    )
  ),
0))</f>
        <v/>
      </c>
      <c r="Z306" s="105"/>
      <c r="AA306" s="119" t="str">
        <f t="array" ref="AA306">IF(OR($B306="",$D306=""),"",
IFERROR(
  INDEX(
    'Tools &amp; Targets_Guideline'!$C$54:$I$269,
    MATCH(
      1,
      ('Tools &amp; Targets_Guideline'!$A$54:$A$269=$B306)*
      ('Tools &amp; Targets_Guideline'!$B$54:$B$269="Penta"),
      0
    ),
    MATCH(
      _xludf.IFNA(
        VLOOKUP($D306,{"PH","Provincial Hospital (H2)";"DH","District Hospital (H3)";"RH","Regional / National Hospital (H1)"},2,0),
        $D306
      ),
      'Tools &amp; Targets_Guideline'!$C$53:$I$53,
      0
    )
  ),
0))</f>
        <v/>
      </c>
      <c r="AB306" s="105"/>
      <c r="AC306" s="119" t="str">
        <f t="array" ref="AC306">IF(OR($B306="",$D306=""),"",
IFERROR(
  INDEX(
    'Tools &amp; Targets_Guideline'!$C$54:$I$269,
    MATCH(
      1,
      ('Tools &amp; Targets_Guideline'!$A$54:$A$269=$B306)*
      ('Tools &amp; Targets_Guideline'!$B$54:$B$269="TB"),
      0
    ),
    MATCH(
      _xludf.IFNA(
        VLOOKUP($D306,{"PH","Provincial Hospital (H2)";"DH","District Hospital (H3)";"RH","Regional / National Hospital (H1)"},2,0),
        $D306
      ),
      'Tools &amp; Targets_Guideline'!$C$53:$I$53,
      0
    )
  ),
0))</f>
        <v/>
      </c>
      <c r="AD306" s="105"/>
      <c r="AE306" s="119" t="str">
        <f t="array" ref="AE306">IF(OR($B306="",$D306=""),"",
IFERROR(
  INDEX(
    'Tools &amp; Targets_Guideline'!$C$54:$I$269,
    MATCH(
      1,
      ('Tools &amp; Targets_Guideline'!$A$54:$A$269=$B306)*
      ('Tools &amp; Targets_Guideline'!$B$54:$B$269="U5 Morbidity"),
      0
    ),
    MATCH(
      _xludf.IFNA(
        VLOOKUP($D306,{"PH","Provincial Hospital (H2)";"DH","District Hospital (H3)";"RH","Regional / National Hospital (H1)"},2,0),
        $D306
      ),
      'Tools &amp; Targets_Guideline'!$C$53:$I$53,
      0
    )
  ),
0))</f>
        <v/>
      </c>
      <c r="AF306" s="105"/>
      <c r="AG306" s="119" t="str">
        <f t="array" ref="AG306">IF(OR($B306="",$D306=""),"",
IFERROR(
  INDEX(
    'Tools &amp; Targets_Guideline'!$C$54:$I$269,
    MATCH(
      1,
      ('Tools &amp; Targets_Guideline'!$A$54:$A$269=$B306)*
      ('Tools &amp; Targets_Guideline'!$B$54:$B$269="C-Section"),
      0
    ),
    MATCH(
      _xludf.IFNA(
        VLOOKUP($D306,{"PH","Provincial Hospital (H2)";"DH","District Hospital (H3)";"RH","Regional / National Hospital (H1)"},2,0),
        $D306
      ),
      'Tools &amp; Targets_Guideline'!$C$53:$I$53,
      0
    )
  ),
0))</f>
        <v/>
      </c>
      <c r="AH306" s="105" t="str">
        <f>IF(A306&lt;&gt;"",COUNTIFS('QA Log'!D:D,A306,'QA Log'!M:M,"QQC",'QA Log'!L:L,"2. Hygiene and Sterilization",'QA Log'!Z:Z,"Approved"),"")</f>
        <v/>
      </c>
      <c r="AI306" s="102"/>
      <c r="AJ306" s="102"/>
      <c r="AK306" s="103" t="str">
        <f t="shared" si="17"/>
        <v/>
      </c>
      <c r="AL306" s="102"/>
      <c r="AM306" s="102"/>
      <c r="AN306" s="102"/>
      <c r="AO306" s="106"/>
      <c r="AP306" s="103"/>
      <c r="AQ306" s="102"/>
      <c r="AR306" s="102"/>
      <c r="AS306" s="102"/>
      <c r="AT306" s="107"/>
      <c r="AU306" s="102" t="str">
        <f t="shared" si="18"/>
        <v/>
      </c>
      <c r="AV306" s="102" t="str">
        <f t="shared" si="19"/>
        <v/>
      </c>
      <c r="AW306" s="102" t="str">
        <f t="shared" si="20"/>
        <v/>
      </c>
      <c r="AX306" s="102" t="str">
        <f t="shared" si="21"/>
        <v/>
      </c>
      <c r="AY306" s="107" t="str">
        <f t="shared" si="22"/>
        <v/>
      </c>
      <c r="AZ306" s="108" t="str">
        <f t="shared" si="23"/>
        <v/>
      </c>
      <c r="BA306" s="108" t="str">
        <f t="shared" si="24"/>
        <v/>
      </c>
      <c r="BB306" s="109" t="str">
        <f t="shared" si="25"/>
        <v/>
      </c>
      <c r="BC306" s="108" t="str">
        <f t="shared" si="26"/>
        <v/>
      </c>
      <c r="BD306" s="108" t="str">
        <f t="shared" si="27"/>
        <v/>
      </c>
      <c r="BE306" s="109" t="str">
        <f t="shared" si="28"/>
        <v/>
      </c>
      <c r="BF306" s="110" t="str">
        <f t="shared" si="29"/>
        <v/>
      </c>
      <c r="BG306" s="111"/>
    </row>
    <row r="307" spans="1:59" ht="12.75">
      <c r="A307" s="101"/>
      <c r="B307" s="102"/>
      <c r="C307" s="102" t="e">
        <f t="array" aca="1" ref="C307" ca="1">_xludf.XLOOKUP(A307,'QA Log'!D:D,'QA Log'!F:F,"")</f>
        <v>#NAME?</v>
      </c>
      <c r="D307" s="102"/>
      <c r="E307" s="102" t="e">
        <f t="array" aca="1" ref="E307" ca="1">_xludf.XLOOKUP(A307,'QA Log'!D:D,'QA Log'!G:G,"")</f>
        <v>#NAME?</v>
      </c>
      <c r="F307" s="103"/>
      <c r="G307" s="104"/>
      <c r="H307" s="104"/>
      <c r="I307" s="103" t="str">
        <f t="shared" si="15"/>
        <v/>
      </c>
      <c r="J307" s="102"/>
      <c r="K307" s="102"/>
      <c r="L307" s="119" t="str">
        <f t="array" ref="L307">IF(OR($B307="",$D307=""),"",
IFERROR(
  INDEX(
    'Tools &amp; Targets_Guideline'!$C$54:$I$269,
    MATCH(
      1,
      ('Tools &amp; Targets_Guideline'!$A$54:$A$269=$B307)*
      ('Tools &amp; Targets_Guideline'!$B$54:$B$269="ANC"),
      0
    ),
    MATCH(
      _xludf.IFNA(
        VLOOKUP($D307,{"PH","Provincial Hospital (H2)";"DH","District Hospital (H3)";"RH","Regional / National Hospital (H1)"},2,0),
        $D307
      ),
      'Tools &amp; Targets_Guideline'!$C$53:$I$53,
      0
    )
  ),
0))</f>
        <v/>
      </c>
      <c r="M307" s="105"/>
      <c r="N307" s="119" t="str">
        <f t="array" ref="N307">IF(OR($B307="",$D307=""),"",
IFERROR(
  INDEX(
    'Tools &amp; Targets_Guideline'!$C$54:$I$269,
    MATCH(
      1,
      ('Tools &amp; Targets_Guideline'!$A$54:$A$269=$B307)*
      ('Tools &amp; Targets_Guideline'!$B$54:$B$269="PNC"),
      0
    ),
    MATCH(
      _xludf.IFNA(
        VLOOKUP($D307,{"PH","Provincial Hospital (H2)";"DH","District Hospital (H3)";"RH","Regional / National Hospital (H1)"},2,0),
        $D307
      ),
      'Tools &amp; Targets_Guideline'!$C$53:$I$53,
      0
    )
  ),
0))</f>
        <v/>
      </c>
      <c r="O307" s="105"/>
      <c r="P307" s="119" t="str">
        <f t="array" ref="P307">IF(OR($B307="",$D307=""),"",
IFERROR(
  INDEX(
    'Tools &amp; Targets_Guideline'!$C$54:$I$269,
    MATCH(
      1,
      ('Tools &amp; Targets_Guideline'!$A$54:$A$269=$B307)*
      ('Tools &amp; Targets_Guideline'!$B$54:$B$269="Delivery"),
      0
    ),
    MATCH(
      _xludf.IFNA(
        VLOOKUP($D307,{"PH","Provincial Hospital (H2)";"DH","District Hospital (H3)";"RH","Regional / National Hospital (H1)"},2,0),
        $D307
      ),
      'Tools &amp; Targets_Guideline'!$C$53:$I$53,
      0
    )
  ),
0))</f>
        <v/>
      </c>
      <c r="Q307" s="105"/>
      <c r="R307" s="119" t="str">
        <f t="array" ref="R307">IF(OR($B307="",$D307=""),"",
IFERROR(
  INDEX(
    'Tools &amp; Targets_Guideline'!$C$54:$I$269,
    MATCH(
      1,
      ('Tools &amp; Targets_Guideline'!$A$54:$A$269=$B307)*
      ('Tools &amp; Targets_Guideline'!$B$54:$B$269="TT"),
      0
    ),
    MATCH(
      _xludf.IFNA(
        VLOOKUP($D307,{"PH","Provincial Hospital (H2)";"DH","District Hospital (H3)";"RH","Regional / National Hospital (H1)"},2,0),
        $D307
      ),
      'Tools &amp; Targets_Guideline'!$C$53:$I$53,
      0
    )
  ),
0))</f>
        <v/>
      </c>
      <c r="S307" s="105"/>
      <c r="T307" s="102"/>
      <c r="U307" s="106"/>
      <c r="V307" s="102" t="str">
        <f t="shared" si="16"/>
        <v/>
      </c>
      <c r="W307" s="102"/>
      <c r="X307" s="102"/>
      <c r="Y307" s="119" t="str">
        <f t="array" ref="Y307">IF(OR($B307="",$D307=""),"",
IFERROR(
  INDEX(
    'Tools &amp; Targets_Guideline'!$C$54:$I$269,
    MATCH(
      1,
      ('Tools &amp; Targets_Guideline'!$A$54:$A$269=$B307)*
      ('Tools &amp; Targets_Guideline'!$B$54:$B$269="GM"),
      0
    ),
    MATCH(
      _xludf.IFNA(
        VLOOKUP($D307,{"PH","Provincial Hospital (H2)";"DH","District Hospital (H3)";"RH","Regional / National Hospital (H1)"},2,0),
        $D307
      ),
      'Tools &amp; Targets_Guideline'!$C$53:$I$53,
      0
    )
  ),
0))</f>
        <v/>
      </c>
      <c r="Z307" s="105"/>
      <c r="AA307" s="119" t="str">
        <f t="array" ref="AA307">IF(OR($B307="",$D307=""),"",
IFERROR(
  INDEX(
    'Tools &amp; Targets_Guideline'!$C$54:$I$269,
    MATCH(
      1,
      ('Tools &amp; Targets_Guideline'!$A$54:$A$269=$B307)*
      ('Tools &amp; Targets_Guideline'!$B$54:$B$269="Penta"),
      0
    ),
    MATCH(
      _xludf.IFNA(
        VLOOKUP($D307,{"PH","Provincial Hospital (H2)";"DH","District Hospital (H3)";"RH","Regional / National Hospital (H1)"},2,0),
        $D307
      ),
      'Tools &amp; Targets_Guideline'!$C$53:$I$53,
      0
    )
  ),
0))</f>
        <v/>
      </c>
      <c r="AB307" s="105"/>
      <c r="AC307" s="119" t="str">
        <f t="array" ref="AC307">IF(OR($B307="",$D307=""),"",
IFERROR(
  INDEX(
    'Tools &amp; Targets_Guideline'!$C$54:$I$269,
    MATCH(
      1,
      ('Tools &amp; Targets_Guideline'!$A$54:$A$269=$B307)*
      ('Tools &amp; Targets_Guideline'!$B$54:$B$269="TB"),
      0
    ),
    MATCH(
      _xludf.IFNA(
        VLOOKUP($D307,{"PH","Provincial Hospital (H2)";"DH","District Hospital (H3)";"RH","Regional / National Hospital (H1)"},2,0),
        $D307
      ),
      'Tools &amp; Targets_Guideline'!$C$53:$I$53,
      0
    )
  ),
0))</f>
        <v/>
      </c>
      <c r="AD307" s="105"/>
      <c r="AE307" s="119" t="str">
        <f t="array" ref="AE307">IF(OR($B307="",$D307=""),"",
IFERROR(
  INDEX(
    'Tools &amp; Targets_Guideline'!$C$54:$I$269,
    MATCH(
      1,
      ('Tools &amp; Targets_Guideline'!$A$54:$A$269=$B307)*
      ('Tools &amp; Targets_Guideline'!$B$54:$B$269="U5 Morbidity"),
      0
    ),
    MATCH(
      _xludf.IFNA(
        VLOOKUP($D307,{"PH","Provincial Hospital (H2)";"DH","District Hospital (H3)";"RH","Regional / National Hospital (H1)"},2,0),
        $D307
      ),
      'Tools &amp; Targets_Guideline'!$C$53:$I$53,
      0
    )
  ),
0))</f>
        <v/>
      </c>
      <c r="AF307" s="105"/>
      <c r="AG307" s="119" t="str">
        <f t="array" ref="AG307">IF(OR($B307="",$D307=""),"",
IFERROR(
  INDEX(
    'Tools &amp; Targets_Guideline'!$C$54:$I$269,
    MATCH(
      1,
      ('Tools &amp; Targets_Guideline'!$A$54:$A$269=$B307)*
      ('Tools &amp; Targets_Guideline'!$B$54:$B$269="C-Section"),
      0
    ),
    MATCH(
      _xludf.IFNA(
        VLOOKUP($D307,{"PH","Provincial Hospital (H2)";"DH","District Hospital (H3)";"RH","Regional / National Hospital (H1)"},2,0),
        $D307
      ),
      'Tools &amp; Targets_Guideline'!$C$53:$I$53,
      0
    )
  ),
0))</f>
        <v/>
      </c>
      <c r="AH307" s="105" t="str">
        <f>IF(A307&lt;&gt;"",COUNTIFS('QA Log'!D:D,A307,'QA Log'!M:M,"QQC",'QA Log'!L:L,"2. Hygiene and Sterilization",'QA Log'!Z:Z,"Approved"),"")</f>
        <v/>
      </c>
      <c r="AI307" s="102"/>
      <c r="AJ307" s="102"/>
      <c r="AK307" s="103" t="str">
        <f t="shared" si="17"/>
        <v/>
      </c>
      <c r="AL307" s="102"/>
      <c r="AM307" s="102"/>
      <c r="AN307" s="102"/>
      <c r="AO307" s="106"/>
      <c r="AP307" s="103"/>
      <c r="AQ307" s="102"/>
      <c r="AR307" s="102"/>
      <c r="AS307" s="102"/>
      <c r="AT307" s="107"/>
      <c r="AU307" s="102" t="str">
        <f t="shared" si="18"/>
        <v/>
      </c>
      <c r="AV307" s="102" t="str">
        <f t="shared" si="19"/>
        <v/>
      </c>
      <c r="AW307" s="102" t="str">
        <f t="shared" si="20"/>
        <v/>
      </c>
      <c r="AX307" s="102" t="str">
        <f t="shared" si="21"/>
        <v/>
      </c>
      <c r="AY307" s="107" t="str">
        <f t="shared" si="22"/>
        <v/>
      </c>
      <c r="AZ307" s="108" t="str">
        <f t="shared" si="23"/>
        <v/>
      </c>
      <c r="BA307" s="108" t="str">
        <f t="shared" si="24"/>
        <v/>
      </c>
      <c r="BB307" s="109" t="str">
        <f t="shared" si="25"/>
        <v/>
      </c>
      <c r="BC307" s="108" t="str">
        <f t="shared" si="26"/>
        <v/>
      </c>
      <c r="BD307" s="108" t="str">
        <f t="shared" si="27"/>
        <v/>
      </c>
      <c r="BE307" s="109" t="str">
        <f t="shared" si="28"/>
        <v/>
      </c>
      <c r="BF307" s="110" t="str">
        <f t="shared" si="29"/>
        <v/>
      </c>
      <c r="BG307" s="111"/>
    </row>
    <row r="308" spans="1:59" ht="12.75">
      <c r="A308" s="101"/>
      <c r="B308" s="102"/>
      <c r="C308" s="102" t="e">
        <f t="array" aca="1" ref="C308" ca="1">_xludf.XLOOKUP(A308,'QA Log'!D:D,'QA Log'!F:F,"")</f>
        <v>#NAME?</v>
      </c>
      <c r="D308" s="102"/>
      <c r="E308" s="102" t="e">
        <f t="array" aca="1" ref="E308" ca="1">_xludf.XLOOKUP(A308,'QA Log'!D:D,'QA Log'!G:G,"")</f>
        <v>#NAME?</v>
      </c>
      <c r="F308" s="103"/>
      <c r="G308" s="104"/>
      <c r="H308" s="104"/>
      <c r="I308" s="103" t="str">
        <f t="shared" si="15"/>
        <v/>
      </c>
      <c r="J308" s="102"/>
      <c r="K308" s="102"/>
      <c r="L308" s="119" t="str">
        <f t="array" ref="L308">IF(OR($B308="",$D308=""),"",
IFERROR(
  INDEX(
    'Tools &amp; Targets_Guideline'!$C$54:$I$269,
    MATCH(
      1,
      ('Tools &amp; Targets_Guideline'!$A$54:$A$269=$B308)*
      ('Tools &amp; Targets_Guideline'!$B$54:$B$269="ANC"),
      0
    ),
    MATCH(
      _xludf.IFNA(
        VLOOKUP($D308,{"PH","Provincial Hospital (H2)";"DH","District Hospital (H3)";"RH","Regional / National Hospital (H1)"},2,0),
        $D308
      ),
      'Tools &amp; Targets_Guideline'!$C$53:$I$53,
      0
    )
  ),
0))</f>
        <v/>
      </c>
      <c r="M308" s="105"/>
      <c r="N308" s="119" t="str">
        <f t="array" ref="N308">IF(OR($B308="",$D308=""),"",
IFERROR(
  INDEX(
    'Tools &amp; Targets_Guideline'!$C$54:$I$269,
    MATCH(
      1,
      ('Tools &amp; Targets_Guideline'!$A$54:$A$269=$B308)*
      ('Tools &amp; Targets_Guideline'!$B$54:$B$269="PNC"),
      0
    ),
    MATCH(
      _xludf.IFNA(
        VLOOKUP($D308,{"PH","Provincial Hospital (H2)";"DH","District Hospital (H3)";"RH","Regional / National Hospital (H1)"},2,0),
        $D308
      ),
      'Tools &amp; Targets_Guideline'!$C$53:$I$53,
      0
    )
  ),
0))</f>
        <v/>
      </c>
      <c r="O308" s="105"/>
      <c r="P308" s="119" t="str">
        <f t="array" ref="P308">IF(OR($B308="",$D308=""),"",
IFERROR(
  INDEX(
    'Tools &amp; Targets_Guideline'!$C$54:$I$269,
    MATCH(
      1,
      ('Tools &amp; Targets_Guideline'!$A$54:$A$269=$B308)*
      ('Tools &amp; Targets_Guideline'!$B$54:$B$269="Delivery"),
      0
    ),
    MATCH(
      _xludf.IFNA(
        VLOOKUP($D308,{"PH","Provincial Hospital (H2)";"DH","District Hospital (H3)";"RH","Regional / National Hospital (H1)"},2,0),
        $D308
      ),
      'Tools &amp; Targets_Guideline'!$C$53:$I$53,
      0
    )
  ),
0))</f>
        <v/>
      </c>
      <c r="Q308" s="105"/>
      <c r="R308" s="119" t="str">
        <f t="array" ref="R308">IF(OR($B308="",$D308=""),"",
IFERROR(
  INDEX(
    'Tools &amp; Targets_Guideline'!$C$54:$I$269,
    MATCH(
      1,
      ('Tools &amp; Targets_Guideline'!$A$54:$A$269=$B308)*
      ('Tools &amp; Targets_Guideline'!$B$54:$B$269="TT"),
      0
    ),
    MATCH(
      _xludf.IFNA(
        VLOOKUP($D308,{"PH","Provincial Hospital (H2)";"DH","District Hospital (H3)";"RH","Regional / National Hospital (H1)"},2,0),
        $D308
      ),
      'Tools &amp; Targets_Guideline'!$C$53:$I$53,
      0
    )
  ),
0))</f>
        <v/>
      </c>
      <c r="S308" s="105"/>
      <c r="T308" s="102"/>
      <c r="U308" s="106"/>
      <c r="V308" s="102" t="str">
        <f t="shared" si="16"/>
        <v/>
      </c>
      <c r="W308" s="102"/>
      <c r="X308" s="102"/>
      <c r="Y308" s="119" t="str">
        <f t="array" ref="Y308">IF(OR($B308="",$D308=""),"",
IFERROR(
  INDEX(
    'Tools &amp; Targets_Guideline'!$C$54:$I$269,
    MATCH(
      1,
      ('Tools &amp; Targets_Guideline'!$A$54:$A$269=$B308)*
      ('Tools &amp; Targets_Guideline'!$B$54:$B$269="GM"),
      0
    ),
    MATCH(
      _xludf.IFNA(
        VLOOKUP($D308,{"PH","Provincial Hospital (H2)";"DH","District Hospital (H3)";"RH","Regional / National Hospital (H1)"},2,0),
        $D308
      ),
      'Tools &amp; Targets_Guideline'!$C$53:$I$53,
      0
    )
  ),
0))</f>
        <v/>
      </c>
      <c r="Z308" s="105"/>
      <c r="AA308" s="119" t="str">
        <f t="array" ref="AA308">IF(OR($B308="",$D308=""),"",
IFERROR(
  INDEX(
    'Tools &amp; Targets_Guideline'!$C$54:$I$269,
    MATCH(
      1,
      ('Tools &amp; Targets_Guideline'!$A$54:$A$269=$B308)*
      ('Tools &amp; Targets_Guideline'!$B$54:$B$269="Penta"),
      0
    ),
    MATCH(
      _xludf.IFNA(
        VLOOKUP($D308,{"PH","Provincial Hospital (H2)";"DH","District Hospital (H3)";"RH","Regional / National Hospital (H1)"},2,0),
        $D308
      ),
      'Tools &amp; Targets_Guideline'!$C$53:$I$53,
      0
    )
  ),
0))</f>
        <v/>
      </c>
      <c r="AB308" s="105"/>
      <c r="AC308" s="119" t="str">
        <f t="array" ref="AC308">IF(OR($B308="",$D308=""),"",
IFERROR(
  INDEX(
    'Tools &amp; Targets_Guideline'!$C$54:$I$269,
    MATCH(
      1,
      ('Tools &amp; Targets_Guideline'!$A$54:$A$269=$B308)*
      ('Tools &amp; Targets_Guideline'!$B$54:$B$269="TB"),
      0
    ),
    MATCH(
      _xludf.IFNA(
        VLOOKUP($D308,{"PH","Provincial Hospital (H2)";"DH","District Hospital (H3)";"RH","Regional / National Hospital (H1)"},2,0),
        $D308
      ),
      'Tools &amp; Targets_Guideline'!$C$53:$I$53,
      0
    )
  ),
0))</f>
        <v/>
      </c>
      <c r="AD308" s="105"/>
      <c r="AE308" s="119" t="str">
        <f t="array" ref="AE308">IF(OR($B308="",$D308=""),"",
IFERROR(
  INDEX(
    'Tools &amp; Targets_Guideline'!$C$54:$I$269,
    MATCH(
      1,
      ('Tools &amp; Targets_Guideline'!$A$54:$A$269=$B308)*
      ('Tools &amp; Targets_Guideline'!$B$54:$B$269="U5 Morbidity"),
      0
    ),
    MATCH(
      _xludf.IFNA(
        VLOOKUP($D308,{"PH","Provincial Hospital (H2)";"DH","District Hospital (H3)";"RH","Regional / National Hospital (H1)"},2,0),
        $D308
      ),
      'Tools &amp; Targets_Guideline'!$C$53:$I$53,
      0
    )
  ),
0))</f>
        <v/>
      </c>
      <c r="AF308" s="105"/>
      <c r="AG308" s="119" t="str">
        <f t="array" ref="AG308">IF(OR($B308="",$D308=""),"",
IFERROR(
  INDEX(
    'Tools &amp; Targets_Guideline'!$C$54:$I$269,
    MATCH(
      1,
      ('Tools &amp; Targets_Guideline'!$A$54:$A$269=$B308)*
      ('Tools &amp; Targets_Guideline'!$B$54:$B$269="C-Section"),
      0
    ),
    MATCH(
      _xludf.IFNA(
        VLOOKUP($D308,{"PH","Provincial Hospital (H2)";"DH","District Hospital (H3)";"RH","Regional / National Hospital (H1)"},2,0),
        $D308
      ),
      'Tools &amp; Targets_Guideline'!$C$53:$I$53,
      0
    )
  ),
0))</f>
        <v/>
      </c>
      <c r="AH308" s="105" t="str">
        <f>IF(A308&lt;&gt;"",COUNTIFS('QA Log'!D:D,A308,'QA Log'!M:M,"QQC",'QA Log'!L:L,"2. Hygiene and Sterilization",'QA Log'!Z:Z,"Approved"),"")</f>
        <v/>
      </c>
      <c r="AI308" s="102"/>
      <c r="AJ308" s="102"/>
      <c r="AK308" s="103" t="str">
        <f t="shared" si="17"/>
        <v/>
      </c>
      <c r="AL308" s="102"/>
      <c r="AM308" s="102"/>
      <c r="AN308" s="102"/>
      <c r="AO308" s="106"/>
      <c r="AP308" s="103"/>
      <c r="AQ308" s="102"/>
      <c r="AR308" s="102"/>
      <c r="AS308" s="102"/>
      <c r="AT308" s="107"/>
      <c r="AU308" s="102" t="str">
        <f t="shared" si="18"/>
        <v/>
      </c>
      <c r="AV308" s="102" t="str">
        <f t="shared" si="19"/>
        <v/>
      </c>
      <c r="AW308" s="102" t="str">
        <f t="shared" si="20"/>
        <v/>
      </c>
      <c r="AX308" s="102" t="str">
        <f t="shared" si="21"/>
        <v/>
      </c>
      <c r="AY308" s="107" t="str">
        <f t="shared" si="22"/>
        <v/>
      </c>
      <c r="AZ308" s="108" t="str">
        <f t="shared" si="23"/>
        <v/>
      </c>
      <c r="BA308" s="108" t="str">
        <f t="shared" si="24"/>
        <v/>
      </c>
      <c r="BB308" s="109" t="str">
        <f t="shared" si="25"/>
        <v/>
      </c>
      <c r="BC308" s="108" t="str">
        <f t="shared" si="26"/>
        <v/>
      </c>
      <c r="BD308" s="108" t="str">
        <f t="shared" si="27"/>
        <v/>
      </c>
      <c r="BE308" s="109" t="str">
        <f t="shared" si="28"/>
        <v/>
      </c>
      <c r="BF308" s="110" t="str">
        <f t="shared" si="29"/>
        <v/>
      </c>
      <c r="BG308" s="111"/>
    </row>
    <row r="309" spans="1:59" ht="12.75">
      <c r="A309" s="101"/>
      <c r="B309" s="102"/>
      <c r="C309" s="102" t="e">
        <f t="array" aca="1" ref="C309" ca="1">_xludf.XLOOKUP(A309,'QA Log'!D:D,'QA Log'!F:F,"")</f>
        <v>#NAME?</v>
      </c>
      <c r="D309" s="102"/>
      <c r="E309" s="102" t="e">
        <f t="array" aca="1" ref="E309" ca="1">_xludf.XLOOKUP(A309,'QA Log'!D:D,'QA Log'!G:G,"")</f>
        <v>#NAME?</v>
      </c>
      <c r="F309" s="103"/>
      <c r="G309" s="104"/>
      <c r="H309" s="104"/>
      <c r="I309" s="103" t="str">
        <f t="shared" si="15"/>
        <v/>
      </c>
      <c r="J309" s="102"/>
      <c r="K309" s="102"/>
      <c r="L309" s="119" t="str">
        <f t="array" ref="L309">IF(OR($B309="",$D309=""),"",
IFERROR(
  INDEX(
    'Tools &amp; Targets_Guideline'!$C$54:$I$269,
    MATCH(
      1,
      ('Tools &amp; Targets_Guideline'!$A$54:$A$269=$B309)*
      ('Tools &amp; Targets_Guideline'!$B$54:$B$269="ANC"),
      0
    ),
    MATCH(
      _xludf.IFNA(
        VLOOKUP($D309,{"PH","Provincial Hospital (H2)";"DH","District Hospital (H3)";"RH","Regional / National Hospital (H1)"},2,0),
        $D309
      ),
      'Tools &amp; Targets_Guideline'!$C$53:$I$53,
      0
    )
  ),
0))</f>
        <v/>
      </c>
      <c r="M309" s="105"/>
      <c r="N309" s="119" t="str">
        <f t="array" ref="N309">IF(OR($B309="",$D309=""),"",
IFERROR(
  INDEX(
    'Tools &amp; Targets_Guideline'!$C$54:$I$269,
    MATCH(
      1,
      ('Tools &amp; Targets_Guideline'!$A$54:$A$269=$B309)*
      ('Tools &amp; Targets_Guideline'!$B$54:$B$269="PNC"),
      0
    ),
    MATCH(
      _xludf.IFNA(
        VLOOKUP($D309,{"PH","Provincial Hospital (H2)";"DH","District Hospital (H3)";"RH","Regional / National Hospital (H1)"},2,0),
        $D309
      ),
      'Tools &amp; Targets_Guideline'!$C$53:$I$53,
      0
    )
  ),
0))</f>
        <v/>
      </c>
      <c r="O309" s="105"/>
      <c r="P309" s="119" t="str">
        <f t="array" ref="P309">IF(OR($B309="",$D309=""),"",
IFERROR(
  INDEX(
    'Tools &amp; Targets_Guideline'!$C$54:$I$269,
    MATCH(
      1,
      ('Tools &amp; Targets_Guideline'!$A$54:$A$269=$B309)*
      ('Tools &amp; Targets_Guideline'!$B$54:$B$269="Delivery"),
      0
    ),
    MATCH(
      _xludf.IFNA(
        VLOOKUP($D309,{"PH","Provincial Hospital (H2)";"DH","District Hospital (H3)";"RH","Regional / National Hospital (H1)"},2,0),
        $D309
      ),
      'Tools &amp; Targets_Guideline'!$C$53:$I$53,
      0
    )
  ),
0))</f>
        <v/>
      </c>
      <c r="Q309" s="105"/>
      <c r="R309" s="119" t="str">
        <f t="array" ref="R309">IF(OR($B309="",$D309=""),"",
IFERROR(
  INDEX(
    'Tools &amp; Targets_Guideline'!$C$54:$I$269,
    MATCH(
      1,
      ('Tools &amp; Targets_Guideline'!$A$54:$A$269=$B309)*
      ('Tools &amp; Targets_Guideline'!$B$54:$B$269="TT"),
      0
    ),
    MATCH(
      _xludf.IFNA(
        VLOOKUP($D309,{"PH","Provincial Hospital (H2)";"DH","District Hospital (H3)";"RH","Regional / National Hospital (H1)"},2,0),
        $D309
      ),
      'Tools &amp; Targets_Guideline'!$C$53:$I$53,
      0
    )
  ),
0))</f>
        <v/>
      </c>
      <c r="S309" s="105"/>
      <c r="T309" s="102"/>
      <c r="U309" s="106"/>
      <c r="V309" s="102" t="str">
        <f t="shared" si="16"/>
        <v/>
      </c>
      <c r="W309" s="102"/>
      <c r="X309" s="102"/>
      <c r="Y309" s="119" t="str">
        <f t="array" ref="Y309">IF(OR($B309="",$D309=""),"",
IFERROR(
  INDEX(
    'Tools &amp; Targets_Guideline'!$C$54:$I$269,
    MATCH(
      1,
      ('Tools &amp; Targets_Guideline'!$A$54:$A$269=$B309)*
      ('Tools &amp; Targets_Guideline'!$B$54:$B$269="GM"),
      0
    ),
    MATCH(
      _xludf.IFNA(
        VLOOKUP($D309,{"PH","Provincial Hospital (H2)";"DH","District Hospital (H3)";"RH","Regional / National Hospital (H1)"},2,0),
        $D309
      ),
      'Tools &amp; Targets_Guideline'!$C$53:$I$53,
      0
    )
  ),
0))</f>
        <v/>
      </c>
      <c r="Z309" s="105"/>
      <c r="AA309" s="119" t="str">
        <f t="array" ref="AA309">IF(OR($B309="",$D309=""),"",
IFERROR(
  INDEX(
    'Tools &amp; Targets_Guideline'!$C$54:$I$269,
    MATCH(
      1,
      ('Tools &amp; Targets_Guideline'!$A$54:$A$269=$B309)*
      ('Tools &amp; Targets_Guideline'!$B$54:$B$269="Penta"),
      0
    ),
    MATCH(
      _xludf.IFNA(
        VLOOKUP($D309,{"PH","Provincial Hospital (H2)";"DH","District Hospital (H3)";"RH","Regional / National Hospital (H1)"},2,0),
        $D309
      ),
      'Tools &amp; Targets_Guideline'!$C$53:$I$53,
      0
    )
  ),
0))</f>
        <v/>
      </c>
      <c r="AB309" s="105"/>
      <c r="AC309" s="119" t="str">
        <f t="array" ref="AC309">IF(OR($B309="",$D309=""),"",
IFERROR(
  INDEX(
    'Tools &amp; Targets_Guideline'!$C$54:$I$269,
    MATCH(
      1,
      ('Tools &amp; Targets_Guideline'!$A$54:$A$269=$B309)*
      ('Tools &amp; Targets_Guideline'!$B$54:$B$269="TB"),
      0
    ),
    MATCH(
      _xludf.IFNA(
        VLOOKUP($D309,{"PH","Provincial Hospital (H2)";"DH","District Hospital (H3)";"RH","Regional / National Hospital (H1)"},2,0),
        $D309
      ),
      'Tools &amp; Targets_Guideline'!$C$53:$I$53,
      0
    )
  ),
0))</f>
        <v/>
      </c>
      <c r="AD309" s="105"/>
      <c r="AE309" s="119" t="str">
        <f t="array" ref="AE309">IF(OR($B309="",$D309=""),"",
IFERROR(
  INDEX(
    'Tools &amp; Targets_Guideline'!$C$54:$I$269,
    MATCH(
      1,
      ('Tools &amp; Targets_Guideline'!$A$54:$A$269=$B309)*
      ('Tools &amp; Targets_Guideline'!$B$54:$B$269="U5 Morbidity"),
      0
    ),
    MATCH(
      _xludf.IFNA(
        VLOOKUP($D309,{"PH","Provincial Hospital (H2)";"DH","District Hospital (H3)";"RH","Regional / National Hospital (H1)"},2,0),
        $D309
      ),
      'Tools &amp; Targets_Guideline'!$C$53:$I$53,
      0
    )
  ),
0))</f>
        <v/>
      </c>
      <c r="AF309" s="105"/>
      <c r="AG309" s="119" t="str">
        <f t="array" ref="AG309">IF(OR($B309="",$D309=""),"",
IFERROR(
  INDEX(
    'Tools &amp; Targets_Guideline'!$C$54:$I$269,
    MATCH(
      1,
      ('Tools &amp; Targets_Guideline'!$A$54:$A$269=$B309)*
      ('Tools &amp; Targets_Guideline'!$B$54:$B$269="C-Section"),
      0
    ),
    MATCH(
      _xludf.IFNA(
        VLOOKUP($D309,{"PH","Provincial Hospital (H2)";"DH","District Hospital (H3)";"RH","Regional / National Hospital (H1)"},2,0),
        $D309
      ),
      'Tools &amp; Targets_Guideline'!$C$53:$I$53,
      0
    )
  ),
0))</f>
        <v/>
      </c>
      <c r="AH309" s="105" t="str">
        <f>IF(A309&lt;&gt;"",COUNTIFS('QA Log'!D:D,A309,'QA Log'!M:M,"QQC",'QA Log'!L:L,"2. Hygiene and Sterilization",'QA Log'!Z:Z,"Approved"),"")</f>
        <v/>
      </c>
      <c r="AI309" s="102"/>
      <c r="AJ309" s="102"/>
      <c r="AK309" s="103" t="str">
        <f t="shared" si="17"/>
        <v/>
      </c>
      <c r="AL309" s="102"/>
      <c r="AM309" s="102"/>
      <c r="AN309" s="102"/>
      <c r="AO309" s="106"/>
      <c r="AP309" s="103"/>
      <c r="AQ309" s="102"/>
      <c r="AR309" s="102"/>
      <c r="AS309" s="102"/>
      <c r="AT309" s="107"/>
      <c r="AU309" s="102" t="str">
        <f t="shared" si="18"/>
        <v/>
      </c>
      <c r="AV309" s="102" t="str">
        <f t="shared" si="19"/>
        <v/>
      </c>
      <c r="AW309" s="102" t="str">
        <f t="shared" si="20"/>
        <v/>
      </c>
      <c r="AX309" s="102" t="str">
        <f t="shared" si="21"/>
        <v/>
      </c>
      <c r="AY309" s="107" t="str">
        <f t="shared" si="22"/>
        <v/>
      </c>
      <c r="AZ309" s="108" t="str">
        <f t="shared" si="23"/>
        <v/>
      </c>
      <c r="BA309" s="108" t="str">
        <f t="shared" si="24"/>
        <v/>
      </c>
      <c r="BB309" s="109" t="str">
        <f t="shared" si="25"/>
        <v/>
      </c>
      <c r="BC309" s="108" t="str">
        <f t="shared" si="26"/>
        <v/>
      </c>
      <c r="BD309" s="108" t="str">
        <f t="shared" si="27"/>
        <v/>
      </c>
      <c r="BE309" s="109" t="str">
        <f t="shared" si="28"/>
        <v/>
      </c>
      <c r="BF309" s="110" t="str">
        <f t="shared" si="29"/>
        <v/>
      </c>
      <c r="BG309" s="111"/>
    </row>
    <row r="310" spans="1:59" ht="12.75">
      <c r="A310" s="101"/>
      <c r="B310" s="102"/>
      <c r="C310" s="102" t="e">
        <f t="array" aca="1" ref="C310" ca="1">_xludf.XLOOKUP(A310,'QA Log'!D:D,'QA Log'!F:F,"")</f>
        <v>#NAME?</v>
      </c>
      <c r="D310" s="102"/>
      <c r="E310" s="102" t="e">
        <f t="array" aca="1" ref="E310" ca="1">_xludf.XLOOKUP(A310,'QA Log'!D:D,'QA Log'!G:G,"")</f>
        <v>#NAME?</v>
      </c>
      <c r="F310" s="103"/>
      <c r="G310" s="104"/>
      <c r="H310" s="104"/>
      <c r="I310" s="103" t="str">
        <f t="shared" si="15"/>
        <v/>
      </c>
      <c r="J310" s="102"/>
      <c r="K310" s="102"/>
      <c r="L310" s="119" t="str">
        <f t="array" ref="L310">IF(OR($B310="",$D310=""),"",
IFERROR(
  INDEX(
    'Tools &amp; Targets_Guideline'!$C$54:$I$269,
    MATCH(
      1,
      ('Tools &amp; Targets_Guideline'!$A$54:$A$269=$B310)*
      ('Tools &amp; Targets_Guideline'!$B$54:$B$269="ANC"),
      0
    ),
    MATCH(
      _xludf.IFNA(
        VLOOKUP($D310,{"PH","Provincial Hospital (H2)";"DH","District Hospital (H3)";"RH","Regional / National Hospital (H1)"},2,0),
        $D310
      ),
      'Tools &amp; Targets_Guideline'!$C$53:$I$53,
      0
    )
  ),
0))</f>
        <v/>
      </c>
      <c r="M310" s="105"/>
      <c r="N310" s="119" t="str">
        <f t="array" ref="N310">IF(OR($B310="",$D310=""),"",
IFERROR(
  INDEX(
    'Tools &amp; Targets_Guideline'!$C$54:$I$269,
    MATCH(
      1,
      ('Tools &amp; Targets_Guideline'!$A$54:$A$269=$B310)*
      ('Tools &amp; Targets_Guideline'!$B$54:$B$269="PNC"),
      0
    ),
    MATCH(
      _xludf.IFNA(
        VLOOKUP($D310,{"PH","Provincial Hospital (H2)";"DH","District Hospital (H3)";"RH","Regional / National Hospital (H1)"},2,0),
        $D310
      ),
      'Tools &amp; Targets_Guideline'!$C$53:$I$53,
      0
    )
  ),
0))</f>
        <v/>
      </c>
      <c r="O310" s="105"/>
      <c r="P310" s="119" t="str">
        <f t="array" ref="P310">IF(OR($B310="",$D310=""),"",
IFERROR(
  INDEX(
    'Tools &amp; Targets_Guideline'!$C$54:$I$269,
    MATCH(
      1,
      ('Tools &amp; Targets_Guideline'!$A$54:$A$269=$B310)*
      ('Tools &amp; Targets_Guideline'!$B$54:$B$269="Delivery"),
      0
    ),
    MATCH(
      _xludf.IFNA(
        VLOOKUP($D310,{"PH","Provincial Hospital (H2)";"DH","District Hospital (H3)";"RH","Regional / National Hospital (H1)"},2,0),
        $D310
      ),
      'Tools &amp; Targets_Guideline'!$C$53:$I$53,
      0
    )
  ),
0))</f>
        <v/>
      </c>
      <c r="Q310" s="105"/>
      <c r="R310" s="119" t="str">
        <f t="array" ref="R310">IF(OR($B310="",$D310=""),"",
IFERROR(
  INDEX(
    'Tools &amp; Targets_Guideline'!$C$54:$I$269,
    MATCH(
      1,
      ('Tools &amp; Targets_Guideline'!$A$54:$A$269=$B310)*
      ('Tools &amp; Targets_Guideline'!$B$54:$B$269="TT"),
      0
    ),
    MATCH(
      _xludf.IFNA(
        VLOOKUP($D310,{"PH","Provincial Hospital (H2)";"DH","District Hospital (H3)";"RH","Regional / National Hospital (H1)"},2,0),
        $D310
      ),
      'Tools &amp; Targets_Guideline'!$C$53:$I$53,
      0
    )
  ),
0))</f>
        <v/>
      </c>
      <c r="S310" s="105"/>
      <c r="T310" s="102"/>
      <c r="U310" s="106"/>
      <c r="V310" s="102" t="str">
        <f t="shared" si="16"/>
        <v/>
      </c>
      <c r="W310" s="102"/>
      <c r="X310" s="102"/>
      <c r="Y310" s="119" t="str">
        <f t="array" ref="Y310">IF(OR($B310="",$D310=""),"",
IFERROR(
  INDEX(
    'Tools &amp; Targets_Guideline'!$C$54:$I$269,
    MATCH(
      1,
      ('Tools &amp; Targets_Guideline'!$A$54:$A$269=$B310)*
      ('Tools &amp; Targets_Guideline'!$B$54:$B$269="GM"),
      0
    ),
    MATCH(
      _xludf.IFNA(
        VLOOKUP($D310,{"PH","Provincial Hospital (H2)";"DH","District Hospital (H3)";"RH","Regional / National Hospital (H1)"},2,0),
        $D310
      ),
      'Tools &amp; Targets_Guideline'!$C$53:$I$53,
      0
    )
  ),
0))</f>
        <v/>
      </c>
      <c r="Z310" s="105"/>
      <c r="AA310" s="119" t="str">
        <f t="array" ref="AA310">IF(OR($B310="",$D310=""),"",
IFERROR(
  INDEX(
    'Tools &amp; Targets_Guideline'!$C$54:$I$269,
    MATCH(
      1,
      ('Tools &amp; Targets_Guideline'!$A$54:$A$269=$B310)*
      ('Tools &amp; Targets_Guideline'!$B$54:$B$269="Penta"),
      0
    ),
    MATCH(
      _xludf.IFNA(
        VLOOKUP($D310,{"PH","Provincial Hospital (H2)";"DH","District Hospital (H3)";"RH","Regional / National Hospital (H1)"},2,0),
        $D310
      ),
      'Tools &amp; Targets_Guideline'!$C$53:$I$53,
      0
    )
  ),
0))</f>
        <v/>
      </c>
      <c r="AB310" s="105"/>
      <c r="AC310" s="119" t="str">
        <f t="array" ref="AC310">IF(OR($B310="",$D310=""),"",
IFERROR(
  INDEX(
    'Tools &amp; Targets_Guideline'!$C$54:$I$269,
    MATCH(
      1,
      ('Tools &amp; Targets_Guideline'!$A$54:$A$269=$B310)*
      ('Tools &amp; Targets_Guideline'!$B$54:$B$269="TB"),
      0
    ),
    MATCH(
      _xludf.IFNA(
        VLOOKUP($D310,{"PH","Provincial Hospital (H2)";"DH","District Hospital (H3)";"RH","Regional / National Hospital (H1)"},2,0),
        $D310
      ),
      'Tools &amp; Targets_Guideline'!$C$53:$I$53,
      0
    )
  ),
0))</f>
        <v/>
      </c>
      <c r="AD310" s="105"/>
      <c r="AE310" s="119" t="str">
        <f t="array" ref="AE310">IF(OR($B310="",$D310=""),"",
IFERROR(
  INDEX(
    'Tools &amp; Targets_Guideline'!$C$54:$I$269,
    MATCH(
      1,
      ('Tools &amp; Targets_Guideline'!$A$54:$A$269=$B310)*
      ('Tools &amp; Targets_Guideline'!$B$54:$B$269="U5 Morbidity"),
      0
    ),
    MATCH(
      _xludf.IFNA(
        VLOOKUP($D310,{"PH","Provincial Hospital (H2)";"DH","District Hospital (H3)";"RH","Regional / National Hospital (H1)"},2,0),
        $D310
      ),
      'Tools &amp; Targets_Guideline'!$C$53:$I$53,
      0
    )
  ),
0))</f>
        <v/>
      </c>
      <c r="AF310" s="105"/>
      <c r="AG310" s="119" t="str">
        <f t="array" ref="AG310">IF(OR($B310="",$D310=""),"",
IFERROR(
  INDEX(
    'Tools &amp; Targets_Guideline'!$C$54:$I$269,
    MATCH(
      1,
      ('Tools &amp; Targets_Guideline'!$A$54:$A$269=$B310)*
      ('Tools &amp; Targets_Guideline'!$B$54:$B$269="C-Section"),
      0
    ),
    MATCH(
      _xludf.IFNA(
        VLOOKUP($D310,{"PH","Provincial Hospital (H2)";"DH","District Hospital (H3)";"RH","Regional / National Hospital (H1)"},2,0),
        $D310
      ),
      'Tools &amp; Targets_Guideline'!$C$53:$I$53,
      0
    )
  ),
0))</f>
        <v/>
      </c>
      <c r="AH310" s="105" t="str">
        <f>IF(A310&lt;&gt;"",COUNTIFS('QA Log'!D:D,A310,'QA Log'!M:M,"QQC",'QA Log'!L:L,"2. Hygiene and Sterilization",'QA Log'!Z:Z,"Approved"),"")</f>
        <v/>
      </c>
      <c r="AI310" s="102"/>
      <c r="AJ310" s="102"/>
      <c r="AK310" s="103" t="str">
        <f t="shared" si="17"/>
        <v/>
      </c>
      <c r="AL310" s="102"/>
      <c r="AM310" s="102"/>
      <c r="AN310" s="102"/>
      <c r="AO310" s="106"/>
      <c r="AP310" s="103"/>
      <c r="AQ310" s="102"/>
      <c r="AR310" s="102"/>
      <c r="AS310" s="102"/>
      <c r="AT310" s="107"/>
      <c r="AU310" s="102" t="str">
        <f t="shared" si="18"/>
        <v/>
      </c>
      <c r="AV310" s="102" t="str">
        <f t="shared" si="19"/>
        <v/>
      </c>
      <c r="AW310" s="102" t="str">
        <f t="shared" si="20"/>
        <v/>
      </c>
      <c r="AX310" s="102" t="str">
        <f t="shared" si="21"/>
        <v/>
      </c>
      <c r="AY310" s="107" t="str">
        <f t="shared" si="22"/>
        <v/>
      </c>
      <c r="AZ310" s="108" t="str">
        <f t="shared" si="23"/>
        <v/>
      </c>
      <c r="BA310" s="108" t="str">
        <f t="shared" si="24"/>
        <v/>
      </c>
      <c r="BB310" s="109" t="str">
        <f t="shared" si="25"/>
        <v/>
      </c>
      <c r="BC310" s="108" t="str">
        <f t="shared" si="26"/>
        <v/>
      </c>
      <c r="BD310" s="108" t="str">
        <f t="shared" si="27"/>
        <v/>
      </c>
      <c r="BE310" s="109" t="str">
        <f t="shared" si="28"/>
        <v/>
      </c>
      <c r="BF310" s="110" t="str">
        <f t="shared" si="29"/>
        <v/>
      </c>
      <c r="BG310" s="111"/>
    </row>
    <row r="311" spans="1:59" ht="12.75">
      <c r="A311" s="101"/>
      <c r="B311" s="102"/>
      <c r="C311" s="102" t="e">
        <f t="array" aca="1" ref="C311" ca="1">_xludf.XLOOKUP(A311,'QA Log'!D:D,'QA Log'!F:F,"")</f>
        <v>#NAME?</v>
      </c>
      <c r="D311" s="102"/>
      <c r="E311" s="102" t="e">
        <f t="array" aca="1" ref="E311" ca="1">_xludf.XLOOKUP(A311,'QA Log'!D:D,'QA Log'!G:G,"")</f>
        <v>#NAME?</v>
      </c>
      <c r="F311" s="103"/>
      <c r="G311" s="104"/>
      <c r="H311" s="104"/>
      <c r="I311" s="103" t="str">
        <f t="shared" si="15"/>
        <v/>
      </c>
      <c r="J311" s="102"/>
      <c r="K311" s="102"/>
      <c r="L311" s="119" t="str">
        <f t="array" ref="L311">IF(OR($B311="",$D311=""),"",
IFERROR(
  INDEX(
    'Tools &amp; Targets_Guideline'!$C$54:$I$269,
    MATCH(
      1,
      ('Tools &amp; Targets_Guideline'!$A$54:$A$269=$B311)*
      ('Tools &amp; Targets_Guideline'!$B$54:$B$269="ANC"),
      0
    ),
    MATCH(
      _xludf.IFNA(
        VLOOKUP($D311,{"PH","Provincial Hospital (H2)";"DH","District Hospital (H3)";"RH","Regional / National Hospital (H1)"},2,0),
        $D311
      ),
      'Tools &amp; Targets_Guideline'!$C$53:$I$53,
      0
    )
  ),
0))</f>
        <v/>
      </c>
      <c r="M311" s="105"/>
      <c r="N311" s="119" t="str">
        <f t="array" ref="N311">IF(OR($B311="",$D311=""),"",
IFERROR(
  INDEX(
    'Tools &amp; Targets_Guideline'!$C$54:$I$269,
    MATCH(
      1,
      ('Tools &amp; Targets_Guideline'!$A$54:$A$269=$B311)*
      ('Tools &amp; Targets_Guideline'!$B$54:$B$269="PNC"),
      0
    ),
    MATCH(
      _xludf.IFNA(
        VLOOKUP($D311,{"PH","Provincial Hospital (H2)";"DH","District Hospital (H3)";"RH","Regional / National Hospital (H1)"},2,0),
        $D311
      ),
      'Tools &amp; Targets_Guideline'!$C$53:$I$53,
      0
    )
  ),
0))</f>
        <v/>
      </c>
      <c r="O311" s="105"/>
      <c r="P311" s="119" t="str">
        <f t="array" ref="P311">IF(OR($B311="",$D311=""),"",
IFERROR(
  INDEX(
    'Tools &amp; Targets_Guideline'!$C$54:$I$269,
    MATCH(
      1,
      ('Tools &amp; Targets_Guideline'!$A$54:$A$269=$B311)*
      ('Tools &amp; Targets_Guideline'!$B$54:$B$269="Delivery"),
      0
    ),
    MATCH(
      _xludf.IFNA(
        VLOOKUP($D311,{"PH","Provincial Hospital (H2)";"DH","District Hospital (H3)";"RH","Regional / National Hospital (H1)"},2,0),
        $D311
      ),
      'Tools &amp; Targets_Guideline'!$C$53:$I$53,
      0
    )
  ),
0))</f>
        <v/>
      </c>
      <c r="Q311" s="105"/>
      <c r="R311" s="119" t="str">
        <f t="array" ref="R311">IF(OR($B311="",$D311=""),"",
IFERROR(
  INDEX(
    'Tools &amp; Targets_Guideline'!$C$54:$I$269,
    MATCH(
      1,
      ('Tools &amp; Targets_Guideline'!$A$54:$A$269=$B311)*
      ('Tools &amp; Targets_Guideline'!$B$54:$B$269="TT"),
      0
    ),
    MATCH(
      _xludf.IFNA(
        VLOOKUP($D311,{"PH","Provincial Hospital (H2)";"DH","District Hospital (H3)";"RH","Regional / National Hospital (H1)"},2,0),
        $D311
      ),
      'Tools &amp; Targets_Guideline'!$C$53:$I$53,
      0
    )
  ),
0))</f>
        <v/>
      </c>
      <c r="S311" s="105"/>
      <c r="T311" s="102"/>
      <c r="U311" s="106"/>
      <c r="V311" s="102" t="str">
        <f t="shared" si="16"/>
        <v/>
      </c>
      <c r="W311" s="102"/>
      <c r="X311" s="102"/>
      <c r="Y311" s="119" t="str">
        <f t="array" ref="Y311">IF(OR($B311="",$D311=""),"",
IFERROR(
  INDEX(
    'Tools &amp; Targets_Guideline'!$C$54:$I$269,
    MATCH(
      1,
      ('Tools &amp; Targets_Guideline'!$A$54:$A$269=$B311)*
      ('Tools &amp; Targets_Guideline'!$B$54:$B$269="GM"),
      0
    ),
    MATCH(
      _xludf.IFNA(
        VLOOKUP($D311,{"PH","Provincial Hospital (H2)";"DH","District Hospital (H3)";"RH","Regional / National Hospital (H1)"},2,0),
        $D311
      ),
      'Tools &amp; Targets_Guideline'!$C$53:$I$53,
      0
    )
  ),
0))</f>
        <v/>
      </c>
      <c r="Z311" s="105"/>
      <c r="AA311" s="119" t="str">
        <f t="array" ref="AA311">IF(OR($B311="",$D311=""),"",
IFERROR(
  INDEX(
    'Tools &amp; Targets_Guideline'!$C$54:$I$269,
    MATCH(
      1,
      ('Tools &amp; Targets_Guideline'!$A$54:$A$269=$B311)*
      ('Tools &amp; Targets_Guideline'!$B$54:$B$269="Penta"),
      0
    ),
    MATCH(
      _xludf.IFNA(
        VLOOKUP($D311,{"PH","Provincial Hospital (H2)";"DH","District Hospital (H3)";"RH","Regional / National Hospital (H1)"},2,0),
        $D311
      ),
      'Tools &amp; Targets_Guideline'!$C$53:$I$53,
      0
    )
  ),
0))</f>
        <v/>
      </c>
      <c r="AB311" s="105"/>
      <c r="AC311" s="119" t="str">
        <f t="array" ref="AC311">IF(OR($B311="",$D311=""),"",
IFERROR(
  INDEX(
    'Tools &amp; Targets_Guideline'!$C$54:$I$269,
    MATCH(
      1,
      ('Tools &amp; Targets_Guideline'!$A$54:$A$269=$B311)*
      ('Tools &amp; Targets_Guideline'!$B$54:$B$269="TB"),
      0
    ),
    MATCH(
      _xludf.IFNA(
        VLOOKUP($D311,{"PH","Provincial Hospital (H2)";"DH","District Hospital (H3)";"RH","Regional / National Hospital (H1)"},2,0),
        $D311
      ),
      'Tools &amp; Targets_Guideline'!$C$53:$I$53,
      0
    )
  ),
0))</f>
        <v/>
      </c>
      <c r="AD311" s="105"/>
      <c r="AE311" s="119" t="str">
        <f t="array" ref="AE311">IF(OR($B311="",$D311=""),"",
IFERROR(
  INDEX(
    'Tools &amp; Targets_Guideline'!$C$54:$I$269,
    MATCH(
      1,
      ('Tools &amp; Targets_Guideline'!$A$54:$A$269=$B311)*
      ('Tools &amp; Targets_Guideline'!$B$54:$B$269="U5 Morbidity"),
      0
    ),
    MATCH(
      _xludf.IFNA(
        VLOOKUP($D311,{"PH","Provincial Hospital (H2)";"DH","District Hospital (H3)";"RH","Regional / National Hospital (H1)"},2,0),
        $D311
      ),
      'Tools &amp; Targets_Guideline'!$C$53:$I$53,
      0
    )
  ),
0))</f>
        <v/>
      </c>
      <c r="AF311" s="105"/>
      <c r="AG311" s="119" t="str">
        <f t="array" ref="AG311">IF(OR($B311="",$D311=""),"",
IFERROR(
  INDEX(
    'Tools &amp; Targets_Guideline'!$C$54:$I$269,
    MATCH(
      1,
      ('Tools &amp; Targets_Guideline'!$A$54:$A$269=$B311)*
      ('Tools &amp; Targets_Guideline'!$B$54:$B$269="C-Section"),
      0
    ),
    MATCH(
      _xludf.IFNA(
        VLOOKUP($D311,{"PH","Provincial Hospital (H2)";"DH","District Hospital (H3)";"RH","Regional / National Hospital (H1)"},2,0),
        $D311
      ),
      'Tools &amp; Targets_Guideline'!$C$53:$I$53,
      0
    )
  ),
0))</f>
        <v/>
      </c>
      <c r="AH311" s="105" t="str">
        <f>IF(A311&lt;&gt;"",COUNTIFS('QA Log'!D:D,A311,'QA Log'!M:M,"QQC",'QA Log'!L:L,"2. Hygiene and Sterilization",'QA Log'!Z:Z,"Approved"),"")</f>
        <v/>
      </c>
      <c r="AI311" s="102"/>
      <c r="AJ311" s="102"/>
      <c r="AK311" s="103" t="str">
        <f t="shared" si="17"/>
        <v/>
      </c>
      <c r="AL311" s="102"/>
      <c r="AM311" s="102"/>
      <c r="AN311" s="102"/>
      <c r="AO311" s="106"/>
      <c r="AP311" s="103"/>
      <c r="AQ311" s="102"/>
      <c r="AR311" s="102"/>
      <c r="AS311" s="102"/>
      <c r="AT311" s="107"/>
      <c r="AU311" s="102" t="str">
        <f t="shared" si="18"/>
        <v/>
      </c>
      <c r="AV311" s="102" t="str">
        <f t="shared" si="19"/>
        <v/>
      </c>
      <c r="AW311" s="102" t="str">
        <f t="shared" si="20"/>
        <v/>
      </c>
      <c r="AX311" s="102" t="str">
        <f t="shared" si="21"/>
        <v/>
      </c>
      <c r="AY311" s="107" t="str">
        <f t="shared" si="22"/>
        <v/>
      </c>
      <c r="AZ311" s="108" t="str">
        <f t="shared" si="23"/>
        <v/>
      </c>
      <c r="BA311" s="108" t="str">
        <f t="shared" si="24"/>
        <v/>
      </c>
      <c r="BB311" s="109" t="str">
        <f t="shared" si="25"/>
        <v/>
      </c>
      <c r="BC311" s="108" t="str">
        <f t="shared" si="26"/>
        <v/>
      </c>
      <c r="BD311" s="108" t="str">
        <f t="shared" si="27"/>
        <v/>
      </c>
      <c r="BE311" s="109" t="str">
        <f t="shared" si="28"/>
        <v/>
      </c>
      <c r="BF311" s="110" t="str">
        <f t="shared" si="29"/>
        <v/>
      </c>
      <c r="BG311" s="111"/>
    </row>
    <row r="312" spans="1:59" ht="12.75">
      <c r="A312" s="101"/>
      <c r="B312" s="102"/>
      <c r="C312" s="102" t="e">
        <f t="array" aca="1" ref="C312" ca="1">_xludf.XLOOKUP(A312,'QA Log'!D:D,'QA Log'!F:F,"")</f>
        <v>#NAME?</v>
      </c>
      <c r="D312" s="102"/>
      <c r="E312" s="102" t="e">
        <f t="array" aca="1" ref="E312" ca="1">_xludf.XLOOKUP(A312,'QA Log'!D:D,'QA Log'!G:G,"")</f>
        <v>#NAME?</v>
      </c>
      <c r="F312" s="103"/>
      <c r="G312" s="104"/>
      <c r="H312" s="104"/>
      <c r="I312" s="103" t="str">
        <f t="shared" si="15"/>
        <v/>
      </c>
      <c r="J312" s="102"/>
      <c r="K312" s="102"/>
      <c r="L312" s="119" t="str">
        <f t="array" ref="L312">IF(OR($B312="",$D312=""),"",
IFERROR(
  INDEX(
    'Tools &amp; Targets_Guideline'!$C$54:$I$269,
    MATCH(
      1,
      ('Tools &amp; Targets_Guideline'!$A$54:$A$269=$B312)*
      ('Tools &amp; Targets_Guideline'!$B$54:$B$269="ANC"),
      0
    ),
    MATCH(
      _xludf.IFNA(
        VLOOKUP($D312,{"PH","Provincial Hospital (H2)";"DH","District Hospital (H3)";"RH","Regional / National Hospital (H1)"},2,0),
        $D312
      ),
      'Tools &amp; Targets_Guideline'!$C$53:$I$53,
      0
    )
  ),
0))</f>
        <v/>
      </c>
      <c r="M312" s="105"/>
      <c r="N312" s="119" t="str">
        <f t="array" ref="N312">IF(OR($B312="",$D312=""),"",
IFERROR(
  INDEX(
    'Tools &amp; Targets_Guideline'!$C$54:$I$269,
    MATCH(
      1,
      ('Tools &amp; Targets_Guideline'!$A$54:$A$269=$B312)*
      ('Tools &amp; Targets_Guideline'!$B$54:$B$269="PNC"),
      0
    ),
    MATCH(
      _xludf.IFNA(
        VLOOKUP($D312,{"PH","Provincial Hospital (H2)";"DH","District Hospital (H3)";"RH","Regional / National Hospital (H1)"},2,0),
        $D312
      ),
      'Tools &amp; Targets_Guideline'!$C$53:$I$53,
      0
    )
  ),
0))</f>
        <v/>
      </c>
      <c r="O312" s="105"/>
      <c r="P312" s="119" t="str">
        <f t="array" ref="P312">IF(OR($B312="",$D312=""),"",
IFERROR(
  INDEX(
    'Tools &amp; Targets_Guideline'!$C$54:$I$269,
    MATCH(
      1,
      ('Tools &amp; Targets_Guideline'!$A$54:$A$269=$B312)*
      ('Tools &amp; Targets_Guideline'!$B$54:$B$269="Delivery"),
      0
    ),
    MATCH(
      _xludf.IFNA(
        VLOOKUP($D312,{"PH","Provincial Hospital (H2)";"DH","District Hospital (H3)";"RH","Regional / National Hospital (H1)"},2,0),
        $D312
      ),
      'Tools &amp; Targets_Guideline'!$C$53:$I$53,
      0
    )
  ),
0))</f>
        <v/>
      </c>
      <c r="Q312" s="105"/>
      <c r="R312" s="119" t="str">
        <f t="array" ref="R312">IF(OR($B312="",$D312=""),"",
IFERROR(
  INDEX(
    'Tools &amp; Targets_Guideline'!$C$54:$I$269,
    MATCH(
      1,
      ('Tools &amp; Targets_Guideline'!$A$54:$A$269=$B312)*
      ('Tools &amp; Targets_Guideline'!$B$54:$B$269="TT"),
      0
    ),
    MATCH(
      _xludf.IFNA(
        VLOOKUP($D312,{"PH","Provincial Hospital (H2)";"DH","District Hospital (H3)";"RH","Regional / National Hospital (H1)"},2,0),
        $D312
      ),
      'Tools &amp; Targets_Guideline'!$C$53:$I$53,
      0
    )
  ),
0))</f>
        <v/>
      </c>
      <c r="S312" s="105"/>
      <c r="T312" s="102"/>
      <c r="U312" s="106"/>
      <c r="V312" s="102" t="str">
        <f t="shared" si="16"/>
        <v/>
      </c>
      <c r="W312" s="102"/>
      <c r="X312" s="102"/>
      <c r="Y312" s="119" t="str">
        <f t="array" ref="Y312">IF(OR($B312="",$D312=""),"",
IFERROR(
  INDEX(
    'Tools &amp; Targets_Guideline'!$C$54:$I$269,
    MATCH(
      1,
      ('Tools &amp; Targets_Guideline'!$A$54:$A$269=$B312)*
      ('Tools &amp; Targets_Guideline'!$B$54:$B$269="GM"),
      0
    ),
    MATCH(
      _xludf.IFNA(
        VLOOKUP($D312,{"PH","Provincial Hospital (H2)";"DH","District Hospital (H3)";"RH","Regional / National Hospital (H1)"},2,0),
        $D312
      ),
      'Tools &amp; Targets_Guideline'!$C$53:$I$53,
      0
    )
  ),
0))</f>
        <v/>
      </c>
      <c r="Z312" s="105"/>
      <c r="AA312" s="119" t="str">
        <f t="array" ref="AA312">IF(OR($B312="",$D312=""),"",
IFERROR(
  INDEX(
    'Tools &amp; Targets_Guideline'!$C$54:$I$269,
    MATCH(
      1,
      ('Tools &amp; Targets_Guideline'!$A$54:$A$269=$B312)*
      ('Tools &amp; Targets_Guideline'!$B$54:$B$269="Penta"),
      0
    ),
    MATCH(
      _xludf.IFNA(
        VLOOKUP($D312,{"PH","Provincial Hospital (H2)";"DH","District Hospital (H3)";"RH","Regional / National Hospital (H1)"},2,0),
        $D312
      ),
      'Tools &amp; Targets_Guideline'!$C$53:$I$53,
      0
    )
  ),
0))</f>
        <v/>
      </c>
      <c r="AB312" s="105"/>
      <c r="AC312" s="119" t="str">
        <f t="array" ref="AC312">IF(OR($B312="",$D312=""),"",
IFERROR(
  INDEX(
    'Tools &amp; Targets_Guideline'!$C$54:$I$269,
    MATCH(
      1,
      ('Tools &amp; Targets_Guideline'!$A$54:$A$269=$B312)*
      ('Tools &amp; Targets_Guideline'!$B$54:$B$269="TB"),
      0
    ),
    MATCH(
      _xludf.IFNA(
        VLOOKUP($D312,{"PH","Provincial Hospital (H2)";"DH","District Hospital (H3)";"RH","Regional / National Hospital (H1)"},2,0),
        $D312
      ),
      'Tools &amp; Targets_Guideline'!$C$53:$I$53,
      0
    )
  ),
0))</f>
        <v/>
      </c>
      <c r="AD312" s="105"/>
      <c r="AE312" s="119" t="str">
        <f t="array" ref="AE312">IF(OR($B312="",$D312=""),"",
IFERROR(
  INDEX(
    'Tools &amp; Targets_Guideline'!$C$54:$I$269,
    MATCH(
      1,
      ('Tools &amp; Targets_Guideline'!$A$54:$A$269=$B312)*
      ('Tools &amp; Targets_Guideline'!$B$54:$B$269="U5 Morbidity"),
      0
    ),
    MATCH(
      _xludf.IFNA(
        VLOOKUP($D312,{"PH","Provincial Hospital (H2)";"DH","District Hospital (H3)";"RH","Regional / National Hospital (H1)"},2,0),
        $D312
      ),
      'Tools &amp; Targets_Guideline'!$C$53:$I$53,
      0
    )
  ),
0))</f>
        <v/>
      </c>
      <c r="AF312" s="105"/>
      <c r="AG312" s="119" t="str">
        <f t="array" ref="AG312">IF(OR($B312="",$D312=""),"",
IFERROR(
  INDEX(
    'Tools &amp; Targets_Guideline'!$C$54:$I$269,
    MATCH(
      1,
      ('Tools &amp; Targets_Guideline'!$A$54:$A$269=$B312)*
      ('Tools &amp; Targets_Guideline'!$B$54:$B$269="C-Section"),
      0
    ),
    MATCH(
      _xludf.IFNA(
        VLOOKUP($D312,{"PH","Provincial Hospital (H2)";"DH","District Hospital (H3)";"RH","Regional / National Hospital (H1)"},2,0),
        $D312
      ),
      'Tools &amp; Targets_Guideline'!$C$53:$I$53,
      0
    )
  ),
0))</f>
        <v/>
      </c>
      <c r="AH312" s="105" t="str">
        <f>IF(A312&lt;&gt;"",COUNTIFS('QA Log'!D:D,A312,'QA Log'!M:M,"QQC",'QA Log'!L:L,"2. Hygiene and Sterilization",'QA Log'!Z:Z,"Approved"),"")</f>
        <v/>
      </c>
      <c r="AI312" s="102"/>
      <c r="AJ312" s="102"/>
      <c r="AK312" s="103" t="str">
        <f t="shared" si="17"/>
        <v/>
      </c>
      <c r="AL312" s="102"/>
      <c r="AM312" s="102"/>
      <c r="AN312" s="102"/>
      <c r="AO312" s="106"/>
      <c r="AP312" s="103"/>
      <c r="AQ312" s="102"/>
      <c r="AR312" s="102"/>
      <c r="AS312" s="102"/>
      <c r="AT312" s="107"/>
      <c r="AU312" s="102" t="str">
        <f t="shared" si="18"/>
        <v/>
      </c>
      <c r="AV312" s="102" t="str">
        <f t="shared" si="19"/>
        <v/>
      </c>
      <c r="AW312" s="102" t="str">
        <f t="shared" si="20"/>
        <v/>
      </c>
      <c r="AX312" s="102" t="str">
        <f t="shared" si="21"/>
        <v/>
      </c>
      <c r="AY312" s="107" t="str">
        <f t="shared" si="22"/>
        <v/>
      </c>
      <c r="AZ312" s="108" t="str">
        <f t="shared" si="23"/>
        <v/>
      </c>
      <c r="BA312" s="108" t="str">
        <f t="shared" si="24"/>
        <v/>
      </c>
      <c r="BB312" s="109" t="str">
        <f t="shared" si="25"/>
        <v/>
      </c>
      <c r="BC312" s="108" t="str">
        <f t="shared" si="26"/>
        <v/>
      </c>
      <c r="BD312" s="108" t="str">
        <f t="shared" si="27"/>
        <v/>
      </c>
      <c r="BE312" s="109" t="str">
        <f t="shared" si="28"/>
        <v/>
      </c>
      <c r="BF312" s="110" t="str">
        <f t="shared" si="29"/>
        <v/>
      </c>
      <c r="BG312" s="111"/>
    </row>
    <row r="313" spans="1:59" ht="12.75">
      <c r="A313" s="101"/>
      <c r="B313" s="102"/>
      <c r="C313" s="102" t="e">
        <f t="array" aca="1" ref="C313" ca="1">_xludf.XLOOKUP(A313,'QA Log'!D:D,'QA Log'!F:F,"")</f>
        <v>#NAME?</v>
      </c>
      <c r="D313" s="102"/>
      <c r="E313" s="102" t="e">
        <f t="array" aca="1" ref="E313" ca="1">_xludf.XLOOKUP(A313,'QA Log'!D:D,'QA Log'!G:G,"")</f>
        <v>#NAME?</v>
      </c>
      <c r="F313" s="103"/>
      <c r="G313" s="104"/>
      <c r="H313" s="104"/>
      <c r="I313" s="103" t="str">
        <f t="shared" si="15"/>
        <v/>
      </c>
      <c r="J313" s="102"/>
      <c r="K313" s="102"/>
      <c r="L313" s="119" t="str">
        <f t="array" ref="L313">IF(OR($B313="",$D313=""),"",
IFERROR(
  INDEX(
    'Tools &amp; Targets_Guideline'!$C$54:$I$269,
    MATCH(
      1,
      ('Tools &amp; Targets_Guideline'!$A$54:$A$269=$B313)*
      ('Tools &amp; Targets_Guideline'!$B$54:$B$269="ANC"),
      0
    ),
    MATCH(
      _xludf.IFNA(
        VLOOKUP($D313,{"PH","Provincial Hospital (H2)";"DH","District Hospital (H3)";"RH","Regional / National Hospital (H1)"},2,0),
        $D313
      ),
      'Tools &amp; Targets_Guideline'!$C$53:$I$53,
      0
    )
  ),
0))</f>
        <v/>
      </c>
      <c r="M313" s="105"/>
      <c r="N313" s="119" t="str">
        <f t="array" ref="N313">IF(OR($B313="",$D313=""),"",
IFERROR(
  INDEX(
    'Tools &amp; Targets_Guideline'!$C$54:$I$269,
    MATCH(
      1,
      ('Tools &amp; Targets_Guideline'!$A$54:$A$269=$B313)*
      ('Tools &amp; Targets_Guideline'!$B$54:$B$269="PNC"),
      0
    ),
    MATCH(
      _xludf.IFNA(
        VLOOKUP($D313,{"PH","Provincial Hospital (H2)";"DH","District Hospital (H3)";"RH","Regional / National Hospital (H1)"},2,0),
        $D313
      ),
      'Tools &amp; Targets_Guideline'!$C$53:$I$53,
      0
    )
  ),
0))</f>
        <v/>
      </c>
      <c r="O313" s="105"/>
      <c r="P313" s="119" t="str">
        <f t="array" ref="P313">IF(OR($B313="",$D313=""),"",
IFERROR(
  INDEX(
    'Tools &amp; Targets_Guideline'!$C$54:$I$269,
    MATCH(
      1,
      ('Tools &amp; Targets_Guideline'!$A$54:$A$269=$B313)*
      ('Tools &amp; Targets_Guideline'!$B$54:$B$269="Delivery"),
      0
    ),
    MATCH(
      _xludf.IFNA(
        VLOOKUP($D313,{"PH","Provincial Hospital (H2)";"DH","District Hospital (H3)";"RH","Regional / National Hospital (H1)"},2,0),
        $D313
      ),
      'Tools &amp; Targets_Guideline'!$C$53:$I$53,
      0
    )
  ),
0))</f>
        <v/>
      </c>
      <c r="Q313" s="105"/>
      <c r="R313" s="119" t="str">
        <f t="array" ref="R313">IF(OR($B313="",$D313=""),"",
IFERROR(
  INDEX(
    'Tools &amp; Targets_Guideline'!$C$54:$I$269,
    MATCH(
      1,
      ('Tools &amp; Targets_Guideline'!$A$54:$A$269=$B313)*
      ('Tools &amp; Targets_Guideline'!$B$54:$B$269="TT"),
      0
    ),
    MATCH(
      _xludf.IFNA(
        VLOOKUP($D313,{"PH","Provincial Hospital (H2)";"DH","District Hospital (H3)";"RH","Regional / National Hospital (H1)"},2,0),
        $D313
      ),
      'Tools &amp; Targets_Guideline'!$C$53:$I$53,
      0
    )
  ),
0))</f>
        <v/>
      </c>
      <c r="S313" s="105"/>
      <c r="T313" s="102"/>
      <c r="U313" s="106"/>
      <c r="V313" s="102" t="str">
        <f t="shared" si="16"/>
        <v/>
      </c>
      <c r="W313" s="102"/>
      <c r="X313" s="102"/>
      <c r="Y313" s="119" t="str">
        <f t="array" ref="Y313">IF(OR($B313="",$D313=""),"",
IFERROR(
  INDEX(
    'Tools &amp; Targets_Guideline'!$C$54:$I$269,
    MATCH(
      1,
      ('Tools &amp; Targets_Guideline'!$A$54:$A$269=$B313)*
      ('Tools &amp; Targets_Guideline'!$B$54:$B$269="GM"),
      0
    ),
    MATCH(
      _xludf.IFNA(
        VLOOKUP($D313,{"PH","Provincial Hospital (H2)";"DH","District Hospital (H3)";"RH","Regional / National Hospital (H1)"},2,0),
        $D313
      ),
      'Tools &amp; Targets_Guideline'!$C$53:$I$53,
      0
    )
  ),
0))</f>
        <v/>
      </c>
      <c r="Z313" s="105"/>
      <c r="AA313" s="119" t="str">
        <f t="array" ref="AA313">IF(OR($B313="",$D313=""),"",
IFERROR(
  INDEX(
    'Tools &amp; Targets_Guideline'!$C$54:$I$269,
    MATCH(
      1,
      ('Tools &amp; Targets_Guideline'!$A$54:$A$269=$B313)*
      ('Tools &amp; Targets_Guideline'!$B$54:$B$269="Penta"),
      0
    ),
    MATCH(
      _xludf.IFNA(
        VLOOKUP($D313,{"PH","Provincial Hospital (H2)";"DH","District Hospital (H3)";"RH","Regional / National Hospital (H1)"},2,0),
        $D313
      ),
      'Tools &amp; Targets_Guideline'!$C$53:$I$53,
      0
    )
  ),
0))</f>
        <v/>
      </c>
      <c r="AB313" s="105"/>
      <c r="AC313" s="119" t="str">
        <f t="array" ref="AC313">IF(OR($B313="",$D313=""),"",
IFERROR(
  INDEX(
    'Tools &amp; Targets_Guideline'!$C$54:$I$269,
    MATCH(
      1,
      ('Tools &amp; Targets_Guideline'!$A$54:$A$269=$B313)*
      ('Tools &amp; Targets_Guideline'!$B$54:$B$269="TB"),
      0
    ),
    MATCH(
      _xludf.IFNA(
        VLOOKUP($D313,{"PH","Provincial Hospital (H2)";"DH","District Hospital (H3)";"RH","Regional / National Hospital (H1)"},2,0),
        $D313
      ),
      'Tools &amp; Targets_Guideline'!$C$53:$I$53,
      0
    )
  ),
0))</f>
        <v/>
      </c>
      <c r="AD313" s="105"/>
      <c r="AE313" s="119" t="str">
        <f t="array" ref="AE313">IF(OR($B313="",$D313=""),"",
IFERROR(
  INDEX(
    'Tools &amp; Targets_Guideline'!$C$54:$I$269,
    MATCH(
      1,
      ('Tools &amp; Targets_Guideline'!$A$54:$A$269=$B313)*
      ('Tools &amp; Targets_Guideline'!$B$54:$B$269="U5 Morbidity"),
      0
    ),
    MATCH(
      _xludf.IFNA(
        VLOOKUP($D313,{"PH","Provincial Hospital (H2)";"DH","District Hospital (H3)";"RH","Regional / National Hospital (H1)"},2,0),
        $D313
      ),
      'Tools &amp; Targets_Guideline'!$C$53:$I$53,
      0
    )
  ),
0))</f>
        <v/>
      </c>
      <c r="AF313" s="105"/>
      <c r="AG313" s="119" t="str">
        <f t="array" ref="AG313">IF(OR($B313="",$D313=""),"",
IFERROR(
  INDEX(
    'Tools &amp; Targets_Guideline'!$C$54:$I$269,
    MATCH(
      1,
      ('Tools &amp; Targets_Guideline'!$A$54:$A$269=$B313)*
      ('Tools &amp; Targets_Guideline'!$B$54:$B$269="C-Section"),
      0
    ),
    MATCH(
      _xludf.IFNA(
        VLOOKUP($D313,{"PH","Provincial Hospital (H2)";"DH","District Hospital (H3)";"RH","Regional / National Hospital (H1)"},2,0),
        $D313
      ),
      'Tools &amp; Targets_Guideline'!$C$53:$I$53,
      0
    )
  ),
0))</f>
        <v/>
      </c>
      <c r="AH313" s="105" t="str">
        <f>IF(A313&lt;&gt;"",COUNTIFS('QA Log'!D:D,A313,'QA Log'!M:M,"QQC",'QA Log'!L:L,"2. Hygiene and Sterilization",'QA Log'!Z:Z,"Approved"),"")</f>
        <v/>
      </c>
      <c r="AI313" s="102"/>
      <c r="AJ313" s="102"/>
      <c r="AK313" s="103" t="str">
        <f t="shared" si="17"/>
        <v/>
      </c>
      <c r="AL313" s="102"/>
      <c r="AM313" s="102"/>
      <c r="AN313" s="102"/>
      <c r="AO313" s="106"/>
      <c r="AP313" s="103"/>
      <c r="AQ313" s="102"/>
      <c r="AR313" s="102"/>
      <c r="AS313" s="102"/>
      <c r="AT313" s="107"/>
      <c r="AU313" s="102" t="str">
        <f t="shared" si="18"/>
        <v/>
      </c>
      <c r="AV313" s="102" t="str">
        <f t="shared" si="19"/>
        <v/>
      </c>
      <c r="AW313" s="102" t="str">
        <f t="shared" si="20"/>
        <v/>
      </c>
      <c r="AX313" s="102" t="str">
        <f t="shared" si="21"/>
        <v/>
      </c>
      <c r="AY313" s="107" t="str">
        <f t="shared" si="22"/>
        <v/>
      </c>
      <c r="AZ313" s="108" t="str">
        <f t="shared" si="23"/>
        <v/>
      </c>
      <c r="BA313" s="108" t="str">
        <f t="shared" si="24"/>
        <v/>
      </c>
      <c r="BB313" s="109" t="str">
        <f t="shared" si="25"/>
        <v/>
      </c>
      <c r="BC313" s="108" t="str">
        <f t="shared" si="26"/>
        <v/>
      </c>
      <c r="BD313" s="108" t="str">
        <f t="shared" si="27"/>
        <v/>
      </c>
      <c r="BE313" s="109" t="str">
        <f t="shared" si="28"/>
        <v/>
      </c>
      <c r="BF313" s="110" t="str">
        <f t="shared" si="29"/>
        <v/>
      </c>
      <c r="BG313" s="111"/>
    </row>
    <row r="314" spans="1:59" ht="12.75">
      <c r="A314" s="101"/>
      <c r="B314" s="102"/>
      <c r="C314" s="102" t="e">
        <f t="array" aca="1" ref="C314" ca="1">_xludf.XLOOKUP(A314,'QA Log'!D:D,'QA Log'!F:F,"")</f>
        <v>#NAME?</v>
      </c>
      <c r="D314" s="102"/>
      <c r="E314" s="102" t="e">
        <f t="array" aca="1" ref="E314" ca="1">_xludf.XLOOKUP(A314,'QA Log'!D:D,'QA Log'!G:G,"")</f>
        <v>#NAME?</v>
      </c>
      <c r="F314" s="103"/>
      <c r="G314" s="104"/>
      <c r="H314" s="104"/>
      <c r="I314" s="103" t="str">
        <f t="shared" si="15"/>
        <v/>
      </c>
      <c r="J314" s="102"/>
      <c r="K314" s="102"/>
      <c r="L314" s="119" t="str">
        <f t="array" ref="L314">IF(OR($B314="",$D314=""),"",
IFERROR(
  INDEX(
    'Tools &amp; Targets_Guideline'!$C$54:$I$269,
    MATCH(
      1,
      ('Tools &amp; Targets_Guideline'!$A$54:$A$269=$B314)*
      ('Tools &amp; Targets_Guideline'!$B$54:$B$269="ANC"),
      0
    ),
    MATCH(
      _xludf.IFNA(
        VLOOKUP($D314,{"PH","Provincial Hospital (H2)";"DH","District Hospital (H3)";"RH","Regional / National Hospital (H1)"},2,0),
        $D314
      ),
      'Tools &amp; Targets_Guideline'!$C$53:$I$53,
      0
    )
  ),
0))</f>
        <v/>
      </c>
      <c r="M314" s="105"/>
      <c r="N314" s="119" t="str">
        <f t="array" ref="N314">IF(OR($B314="",$D314=""),"",
IFERROR(
  INDEX(
    'Tools &amp; Targets_Guideline'!$C$54:$I$269,
    MATCH(
      1,
      ('Tools &amp; Targets_Guideline'!$A$54:$A$269=$B314)*
      ('Tools &amp; Targets_Guideline'!$B$54:$B$269="PNC"),
      0
    ),
    MATCH(
      _xludf.IFNA(
        VLOOKUP($D314,{"PH","Provincial Hospital (H2)";"DH","District Hospital (H3)";"RH","Regional / National Hospital (H1)"},2,0),
        $D314
      ),
      'Tools &amp; Targets_Guideline'!$C$53:$I$53,
      0
    )
  ),
0))</f>
        <v/>
      </c>
      <c r="O314" s="105"/>
      <c r="P314" s="119" t="str">
        <f t="array" ref="P314">IF(OR($B314="",$D314=""),"",
IFERROR(
  INDEX(
    'Tools &amp; Targets_Guideline'!$C$54:$I$269,
    MATCH(
      1,
      ('Tools &amp; Targets_Guideline'!$A$54:$A$269=$B314)*
      ('Tools &amp; Targets_Guideline'!$B$54:$B$269="Delivery"),
      0
    ),
    MATCH(
      _xludf.IFNA(
        VLOOKUP($D314,{"PH","Provincial Hospital (H2)";"DH","District Hospital (H3)";"RH","Regional / National Hospital (H1)"},2,0),
        $D314
      ),
      'Tools &amp; Targets_Guideline'!$C$53:$I$53,
      0
    )
  ),
0))</f>
        <v/>
      </c>
      <c r="Q314" s="105"/>
      <c r="R314" s="119" t="str">
        <f t="array" ref="R314">IF(OR($B314="",$D314=""),"",
IFERROR(
  INDEX(
    'Tools &amp; Targets_Guideline'!$C$54:$I$269,
    MATCH(
      1,
      ('Tools &amp; Targets_Guideline'!$A$54:$A$269=$B314)*
      ('Tools &amp; Targets_Guideline'!$B$54:$B$269="TT"),
      0
    ),
    MATCH(
      _xludf.IFNA(
        VLOOKUP($D314,{"PH","Provincial Hospital (H2)";"DH","District Hospital (H3)";"RH","Regional / National Hospital (H1)"},2,0),
        $D314
      ),
      'Tools &amp; Targets_Guideline'!$C$53:$I$53,
      0
    )
  ),
0))</f>
        <v/>
      </c>
      <c r="S314" s="105"/>
      <c r="T314" s="102"/>
      <c r="U314" s="106"/>
      <c r="V314" s="102" t="str">
        <f t="shared" si="16"/>
        <v/>
      </c>
      <c r="W314" s="102"/>
      <c r="X314" s="102"/>
      <c r="Y314" s="119" t="str">
        <f t="array" ref="Y314">IF(OR($B314="",$D314=""),"",
IFERROR(
  INDEX(
    'Tools &amp; Targets_Guideline'!$C$54:$I$269,
    MATCH(
      1,
      ('Tools &amp; Targets_Guideline'!$A$54:$A$269=$B314)*
      ('Tools &amp; Targets_Guideline'!$B$54:$B$269="GM"),
      0
    ),
    MATCH(
      _xludf.IFNA(
        VLOOKUP($D314,{"PH","Provincial Hospital (H2)";"DH","District Hospital (H3)";"RH","Regional / National Hospital (H1)"},2,0),
        $D314
      ),
      'Tools &amp; Targets_Guideline'!$C$53:$I$53,
      0
    )
  ),
0))</f>
        <v/>
      </c>
      <c r="Z314" s="105"/>
      <c r="AA314" s="119" t="str">
        <f t="array" ref="AA314">IF(OR($B314="",$D314=""),"",
IFERROR(
  INDEX(
    'Tools &amp; Targets_Guideline'!$C$54:$I$269,
    MATCH(
      1,
      ('Tools &amp; Targets_Guideline'!$A$54:$A$269=$B314)*
      ('Tools &amp; Targets_Guideline'!$B$54:$B$269="Penta"),
      0
    ),
    MATCH(
      _xludf.IFNA(
        VLOOKUP($D314,{"PH","Provincial Hospital (H2)";"DH","District Hospital (H3)";"RH","Regional / National Hospital (H1)"},2,0),
        $D314
      ),
      'Tools &amp; Targets_Guideline'!$C$53:$I$53,
      0
    )
  ),
0))</f>
        <v/>
      </c>
      <c r="AB314" s="105"/>
      <c r="AC314" s="119" t="str">
        <f t="array" ref="AC314">IF(OR($B314="",$D314=""),"",
IFERROR(
  INDEX(
    'Tools &amp; Targets_Guideline'!$C$54:$I$269,
    MATCH(
      1,
      ('Tools &amp; Targets_Guideline'!$A$54:$A$269=$B314)*
      ('Tools &amp; Targets_Guideline'!$B$54:$B$269="TB"),
      0
    ),
    MATCH(
      _xludf.IFNA(
        VLOOKUP($D314,{"PH","Provincial Hospital (H2)";"DH","District Hospital (H3)";"RH","Regional / National Hospital (H1)"},2,0),
        $D314
      ),
      'Tools &amp; Targets_Guideline'!$C$53:$I$53,
      0
    )
  ),
0))</f>
        <v/>
      </c>
      <c r="AD314" s="105"/>
      <c r="AE314" s="119" t="str">
        <f t="array" ref="AE314">IF(OR($B314="",$D314=""),"",
IFERROR(
  INDEX(
    'Tools &amp; Targets_Guideline'!$C$54:$I$269,
    MATCH(
      1,
      ('Tools &amp; Targets_Guideline'!$A$54:$A$269=$B314)*
      ('Tools &amp; Targets_Guideline'!$B$54:$B$269="U5 Morbidity"),
      0
    ),
    MATCH(
      _xludf.IFNA(
        VLOOKUP($D314,{"PH","Provincial Hospital (H2)";"DH","District Hospital (H3)";"RH","Regional / National Hospital (H1)"},2,0),
        $D314
      ),
      'Tools &amp; Targets_Guideline'!$C$53:$I$53,
      0
    )
  ),
0))</f>
        <v/>
      </c>
      <c r="AF314" s="105"/>
      <c r="AG314" s="119" t="str">
        <f t="array" ref="AG314">IF(OR($B314="",$D314=""),"",
IFERROR(
  INDEX(
    'Tools &amp; Targets_Guideline'!$C$54:$I$269,
    MATCH(
      1,
      ('Tools &amp; Targets_Guideline'!$A$54:$A$269=$B314)*
      ('Tools &amp; Targets_Guideline'!$B$54:$B$269="C-Section"),
      0
    ),
    MATCH(
      _xludf.IFNA(
        VLOOKUP($D314,{"PH","Provincial Hospital (H2)";"DH","District Hospital (H3)";"RH","Regional / National Hospital (H1)"},2,0),
        $D314
      ),
      'Tools &amp; Targets_Guideline'!$C$53:$I$53,
      0
    )
  ),
0))</f>
        <v/>
      </c>
      <c r="AH314" s="105" t="str">
        <f>IF(A314&lt;&gt;"",COUNTIFS('QA Log'!D:D,A314,'QA Log'!M:M,"QQC",'QA Log'!L:L,"2. Hygiene and Sterilization",'QA Log'!Z:Z,"Approved"),"")</f>
        <v/>
      </c>
      <c r="AI314" s="102"/>
      <c r="AJ314" s="102"/>
      <c r="AK314" s="103" t="str">
        <f t="shared" si="17"/>
        <v/>
      </c>
      <c r="AL314" s="102"/>
      <c r="AM314" s="102"/>
      <c r="AN314" s="102"/>
      <c r="AO314" s="106"/>
      <c r="AP314" s="103"/>
      <c r="AQ314" s="102"/>
      <c r="AR314" s="102"/>
      <c r="AS314" s="102"/>
      <c r="AT314" s="107"/>
      <c r="AU314" s="102" t="str">
        <f t="shared" si="18"/>
        <v/>
      </c>
      <c r="AV314" s="102" t="str">
        <f t="shared" si="19"/>
        <v/>
      </c>
      <c r="AW314" s="102" t="str">
        <f t="shared" si="20"/>
        <v/>
      </c>
      <c r="AX314" s="102" t="str">
        <f t="shared" si="21"/>
        <v/>
      </c>
      <c r="AY314" s="107" t="str">
        <f t="shared" si="22"/>
        <v/>
      </c>
      <c r="AZ314" s="108" t="str">
        <f t="shared" si="23"/>
        <v/>
      </c>
      <c r="BA314" s="108" t="str">
        <f t="shared" si="24"/>
        <v/>
      </c>
      <c r="BB314" s="109" t="str">
        <f t="shared" si="25"/>
        <v/>
      </c>
      <c r="BC314" s="108" t="str">
        <f t="shared" si="26"/>
        <v/>
      </c>
      <c r="BD314" s="108" t="str">
        <f t="shared" si="27"/>
        <v/>
      </c>
      <c r="BE314" s="109" t="str">
        <f t="shared" si="28"/>
        <v/>
      </c>
      <c r="BF314" s="110" t="str">
        <f t="shared" si="29"/>
        <v/>
      </c>
      <c r="BG314" s="111"/>
    </row>
    <row r="315" spans="1:59" ht="12.75">
      <c r="A315" s="101"/>
      <c r="B315" s="102"/>
      <c r="C315" s="102" t="e">
        <f t="array" aca="1" ref="C315" ca="1">_xludf.XLOOKUP(A315,'QA Log'!D:D,'QA Log'!F:F,"")</f>
        <v>#NAME?</v>
      </c>
      <c r="D315" s="102"/>
      <c r="E315" s="102" t="e">
        <f t="array" aca="1" ref="E315" ca="1">_xludf.XLOOKUP(A315,'QA Log'!D:D,'QA Log'!G:G,"")</f>
        <v>#NAME?</v>
      </c>
      <c r="F315" s="103"/>
      <c r="G315" s="104"/>
      <c r="H315" s="104"/>
      <c r="I315" s="103" t="str">
        <f t="shared" si="15"/>
        <v/>
      </c>
      <c r="J315" s="102"/>
      <c r="K315" s="102"/>
      <c r="L315" s="119" t="str">
        <f t="array" ref="L315">IF(OR($B315="",$D315=""),"",
IFERROR(
  INDEX(
    'Tools &amp; Targets_Guideline'!$C$54:$I$269,
    MATCH(
      1,
      ('Tools &amp; Targets_Guideline'!$A$54:$A$269=$B315)*
      ('Tools &amp; Targets_Guideline'!$B$54:$B$269="ANC"),
      0
    ),
    MATCH(
      _xludf.IFNA(
        VLOOKUP($D315,{"PH","Provincial Hospital (H2)";"DH","District Hospital (H3)";"RH","Regional / National Hospital (H1)"},2,0),
        $D315
      ),
      'Tools &amp; Targets_Guideline'!$C$53:$I$53,
      0
    )
  ),
0))</f>
        <v/>
      </c>
      <c r="M315" s="105"/>
      <c r="N315" s="119" t="str">
        <f t="array" ref="N315">IF(OR($B315="",$D315=""),"",
IFERROR(
  INDEX(
    'Tools &amp; Targets_Guideline'!$C$54:$I$269,
    MATCH(
      1,
      ('Tools &amp; Targets_Guideline'!$A$54:$A$269=$B315)*
      ('Tools &amp; Targets_Guideline'!$B$54:$B$269="PNC"),
      0
    ),
    MATCH(
      _xludf.IFNA(
        VLOOKUP($D315,{"PH","Provincial Hospital (H2)";"DH","District Hospital (H3)";"RH","Regional / National Hospital (H1)"},2,0),
        $D315
      ),
      'Tools &amp; Targets_Guideline'!$C$53:$I$53,
      0
    )
  ),
0))</f>
        <v/>
      </c>
      <c r="O315" s="105"/>
      <c r="P315" s="119" t="str">
        <f t="array" ref="P315">IF(OR($B315="",$D315=""),"",
IFERROR(
  INDEX(
    'Tools &amp; Targets_Guideline'!$C$54:$I$269,
    MATCH(
      1,
      ('Tools &amp; Targets_Guideline'!$A$54:$A$269=$B315)*
      ('Tools &amp; Targets_Guideline'!$B$54:$B$269="Delivery"),
      0
    ),
    MATCH(
      _xludf.IFNA(
        VLOOKUP($D315,{"PH","Provincial Hospital (H2)";"DH","District Hospital (H3)";"RH","Regional / National Hospital (H1)"},2,0),
        $D315
      ),
      'Tools &amp; Targets_Guideline'!$C$53:$I$53,
      0
    )
  ),
0))</f>
        <v/>
      </c>
      <c r="Q315" s="105"/>
      <c r="R315" s="119" t="str">
        <f t="array" ref="R315">IF(OR($B315="",$D315=""),"",
IFERROR(
  INDEX(
    'Tools &amp; Targets_Guideline'!$C$54:$I$269,
    MATCH(
      1,
      ('Tools &amp; Targets_Guideline'!$A$54:$A$269=$B315)*
      ('Tools &amp; Targets_Guideline'!$B$54:$B$269="TT"),
      0
    ),
    MATCH(
      _xludf.IFNA(
        VLOOKUP($D315,{"PH","Provincial Hospital (H2)";"DH","District Hospital (H3)";"RH","Regional / National Hospital (H1)"},2,0),
        $D315
      ),
      'Tools &amp; Targets_Guideline'!$C$53:$I$53,
      0
    )
  ),
0))</f>
        <v/>
      </c>
      <c r="S315" s="105"/>
      <c r="T315" s="102"/>
      <c r="U315" s="106"/>
      <c r="V315" s="102" t="str">
        <f t="shared" si="16"/>
        <v/>
      </c>
      <c r="W315" s="102"/>
      <c r="X315" s="102"/>
      <c r="Y315" s="119" t="str">
        <f t="array" ref="Y315">IF(OR($B315="",$D315=""),"",
IFERROR(
  INDEX(
    'Tools &amp; Targets_Guideline'!$C$54:$I$269,
    MATCH(
      1,
      ('Tools &amp; Targets_Guideline'!$A$54:$A$269=$B315)*
      ('Tools &amp; Targets_Guideline'!$B$54:$B$269="GM"),
      0
    ),
    MATCH(
      _xludf.IFNA(
        VLOOKUP($D315,{"PH","Provincial Hospital (H2)";"DH","District Hospital (H3)";"RH","Regional / National Hospital (H1)"},2,0),
        $D315
      ),
      'Tools &amp; Targets_Guideline'!$C$53:$I$53,
      0
    )
  ),
0))</f>
        <v/>
      </c>
      <c r="Z315" s="105"/>
      <c r="AA315" s="119" t="str">
        <f t="array" ref="AA315">IF(OR($B315="",$D315=""),"",
IFERROR(
  INDEX(
    'Tools &amp; Targets_Guideline'!$C$54:$I$269,
    MATCH(
      1,
      ('Tools &amp; Targets_Guideline'!$A$54:$A$269=$B315)*
      ('Tools &amp; Targets_Guideline'!$B$54:$B$269="Penta"),
      0
    ),
    MATCH(
      _xludf.IFNA(
        VLOOKUP($D315,{"PH","Provincial Hospital (H2)";"DH","District Hospital (H3)";"RH","Regional / National Hospital (H1)"},2,0),
        $D315
      ),
      'Tools &amp; Targets_Guideline'!$C$53:$I$53,
      0
    )
  ),
0))</f>
        <v/>
      </c>
      <c r="AB315" s="105"/>
      <c r="AC315" s="119" t="str">
        <f t="array" ref="AC315">IF(OR($B315="",$D315=""),"",
IFERROR(
  INDEX(
    'Tools &amp; Targets_Guideline'!$C$54:$I$269,
    MATCH(
      1,
      ('Tools &amp; Targets_Guideline'!$A$54:$A$269=$B315)*
      ('Tools &amp; Targets_Guideline'!$B$54:$B$269="TB"),
      0
    ),
    MATCH(
      _xludf.IFNA(
        VLOOKUP($D315,{"PH","Provincial Hospital (H2)";"DH","District Hospital (H3)";"RH","Regional / National Hospital (H1)"},2,0),
        $D315
      ),
      'Tools &amp; Targets_Guideline'!$C$53:$I$53,
      0
    )
  ),
0))</f>
        <v/>
      </c>
      <c r="AD315" s="105"/>
      <c r="AE315" s="119" t="str">
        <f t="array" ref="AE315">IF(OR($B315="",$D315=""),"",
IFERROR(
  INDEX(
    'Tools &amp; Targets_Guideline'!$C$54:$I$269,
    MATCH(
      1,
      ('Tools &amp; Targets_Guideline'!$A$54:$A$269=$B315)*
      ('Tools &amp; Targets_Guideline'!$B$54:$B$269="U5 Morbidity"),
      0
    ),
    MATCH(
      _xludf.IFNA(
        VLOOKUP($D315,{"PH","Provincial Hospital (H2)";"DH","District Hospital (H3)";"RH","Regional / National Hospital (H1)"},2,0),
        $D315
      ),
      'Tools &amp; Targets_Guideline'!$C$53:$I$53,
      0
    )
  ),
0))</f>
        <v/>
      </c>
      <c r="AF315" s="105"/>
      <c r="AG315" s="119" t="str">
        <f t="array" ref="AG315">IF(OR($B315="",$D315=""),"",
IFERROR(
  INDEX(
    'Tools &amp; Targets_Guideline'!$C$54:$I$269,
    MATCH(
      1,
      ('Tools &amp; Targets_Guideline'!$A$54:$A$269=$B315)*
      ('Tools &amp; Targets_Guideline'!$B$54:$B$269="C-Section"),
      0
    ),
    MATCH(
      _xludf.IFNA(
        VLOOKUP($D315,{"PH","Provincial Hospital (H2)";"DH","District Hospital (H3)";"RH","Regional / National Hospital (H1)"},2,0),
        $D315
      ),
      'Tools &amp; Targets_Guideline'!$C$53:$I$53,
      0
    )
  ),
0))</f>
        <v/>
      </c>
      <c r="AH315" s="105" t="str">
        <f>IF(A315&lt;&gt;"",COUNTIFS('QA Log'!D:D,A315,'QA Log'!M:M,"QQC",'QA Log'!L:L,"2. Hygiene and Sterilization",'QA Log'!Z:Z,"Approved"),"")</f>
        <v/>
      </c>
      <c r="AI315" s="102"/>
      <c r="AJ315" s="102"/>
      <c r="AK315" s="103" t="str">
        <f t="shared" si="17"/>
        <v/>
      </c>
      <c r="AL315" s="102"/>
      <c r="AM315" s="102"/>
      <c r="AN315" s="102"/>
      <c r="AO315" s="106"/>
      <c r="AP315" s="103"/>
      <c r="AQ315" s="102"/>
      <c r="AR315" s="102"/>
      <c r="AS315" s="102"/>
      <c r="AT315" s="107"/>
      <c r="AU315" s="102" t="str">
        <f t="shared" si="18"/>
        <v/>
      </c>
      <c r="AV315" s="102" t="str">
        <f t="shared" si="19"/>
        <v/>
      </c>
      <c r="AW315" s="102" t="str">
        <f t="shared" si="20"/>
        <v/>
      </c>
      <c r="AX315" s="102" t="str">
        <f t="shared" si="21"/>
        <v/>
      </c>
      <c r="AY315" s="107" t="str">
        <f t="shared" si="22"/>
        <v/>
      </c>
      <c r="AZ315" s="108" t="str">
        <f t="shared" si="23"/>
        <v/>
      </c>
      <c r="BA315" s="108" t="str">
        <f t="shared" si="24"/>
        <v/>
      </c>
      <c r="BB315" s="109" t="str">
        <f t="shared" si="25"/>
        <v/>
      </c>
      <c r="BC315" s="108" t="str">
        <f t="shared" si="26"/>
        <v/>
      </c>
      <c r="BD315" s="108" t="str">
        <f t="shared" si="27"/>
        <v/>
      </c>
      <c r="BE315" s="109" t="str">
        <f t="shared" si="28"/>
        <v/>
      </c>
      <c r="BF315" s="110" t="str">
        <f t="shared" si="29"/>
        <v/>
      </c>
      <c r="BG315" s="111"/>
    </row>
    <row r="316" spans="1:59" ht="12.75">
      <c r="A316" s="101"/>
      <c r="B316" s="102"/>
      <c r="C316" s="102" t="e">
        <f t="array" aca="1" ref="C316" ca="1">_xludf.XLOOKUP(A316,'QA Log'!D:D,'QA Log'!F:F,"")</f>
        <v>#NAME?</v>
      </c>
      <c r="D316" s="102"/>
      <c r="E316" s="102" t="e">
        <f t="array" aca="1" ref="E316" ca="1">_xludf.XLOOKUP(A316,'QA Log'!D:D,'QA Log'!G:G,"")</f>
        <v>#NAME?</v>
      </c>
      <c r="F316" s="103"/>
      <c r="G316" s="104"/>
      <c r="H316" s="104"/>
      <c r="I316" s="103" t="str">
        <f t="shared" si="15"/>
        <v/>
      </c>
      <c r="J316" s="102"/>
      <c r="K316" s="102"/>
      <c r="L316" s="119" t="str">
        <f t="array" ref="L316">IF(OR($B316="",$D316=""),"",
IFERROR(
  INDEX(
    'Tools &amp; Targets_Guideline'!$C$54:$I$269,
    MATCH(
      1,
      ('Tools &amp; Targets_Guideline'!$A$54:$A$269=$B316)*
      ('Tools &amp; Targets_Guideline'!$B$54:$B$269="ANC"),
      0
    ),
    MATCH(
      _xludf.IFNA(
        VLOOKUP($D316,{"PH","Provincial Hospital (H2)";"DH","District Hospital (H3)";"RH","Regional / National Hospital (H1)"},2,0),
        $D316
      ),
      'Tools &amp; Targets_Guideline'!$C$53:$I$53,
      0
    )
  ),
0))</f>
        <v/>
      </c>
      <c r="M316" s="105"/>
      <c r="N316" s="119" t="str">
        <f t="array" ref="N316">IF(OR($B316="",$D316=""),"",
IFERROR(
  INDEX(
    'Tools &amp; Targets_Guideline'!$C$54:$I$269,
    MATCH(
      1,
      ('Tools &amp; Targets_Guideline'!$A$54:$A$269=$B316)*
      ('Tools &amp; Targets_Guideline'!$B$54:$B$269="PNC"),
      0
    ),
    MATCH(
      _xludf.IFNA(
        VLOOKUP($D316,{"PH","Provincial Hospital (H2)";"DH","District Hospital (H3)";"RH","Regional / National Hospital (H1)"},2,0),
        $D316
      ),
      'Tools &amp; Targets_Guideline'!$C$53:$I$53,
      0
    )
  ),
0))</f>
        <v/>
      </c>
      <c r="O316" s="105"/>
      <c r="P316" s="119" t="str">
        <f t="array" ref="P316">IF(OR($B316="",$D316=""),"",
IFERROR(
  INDEX(
    'Tools &amp; Targets_Guideline'!$C$54:$I$269,
    MATCH(
      1,
      ('Tools &amp; Targets_Guideline'!$A$54:$A$269=$B316)*
      ('Tools &amp; Targets_Guideline'!$B$54:$B$269="Delivery"),
      0
    ),
    MATCH(
      _xludf.IFNA(
        VLOOKUP($D316,{"PH","Provincial Hospital (H2)";"DH","District Hospital (H3)";"RH","Regional / National Hospital (H1)"},2,0),
        $D316
      ),
      'Tools &amp; Targets_Guideline'!$C$53:$I$53,
      0
    )
  ),
0))</f>
        <v/>
      </c>
      <c r="Q316" s="105"/>
      <c r="R316" s="119" t="str">
        <f t="array" ref="R316">IF(OR($B316="",$D316=""),"",
IFERROR(
  INDEX(
    'Tools &amp; Targets_Guideline'!$C$54:$I$269,
    MATCH(
      1,
      ('Tools &amp; Targets_Guideline'!$A$54:$A$269=$B316)*
      ('Tools &amp; Targets_Guideline'!$B$54:$B$269="TT"),
      0
    ),
    MATCH(
      _xludf.IFNA(
        VLOOKUP($D316,{"PH","Provincial Hospital (H2)";"DH","District Hospital (H3)";"RH","Regional / National Hospital (H1)"},2,0),
        $D316
      ),
      'Tools &amp; Targets_Guideline'!$C$53:$I$53,
      0
    )
  ),
0))</f>
        <v/>
      </c>
      <c r="S316" s="105"/>
      <c r="T316" s="102"/>
      <c r="U316" s="106"/>
      <c r="V316" s="102" t="str">
        <f t="shared" si="16"/>
        <v/>
      </c>
      <c r="W316" s="102"/>
      <c r="X316" s="102"/>
      <c r="Y316" s="119" t="str">
        <f t="array" ref="Y316">IF(OR($B316="",$D316=""),"",
IFERROR(
  INDEX(
    'Tools &amp; Targets_Guideline'!$C$54:$I$269,
    MATCH(
      1,
      ('Tools &amp; Targets_Guideline'!$A$54:$A$269=$B316)*
      ('Tools &amp; Targets_Guideline'!$B$54:$B$269="GM"),
      0
    ),
    MATCH(
      _xludf.IFNA(
        VLOOKUP($D316,{"PH","Provincial Hospital (H2)";"DH","District Hospital (H3)";"RH","Regional / National Hospital (H1)"},2,0),
        $D316
      ),
      'Tools &amp; Targets_Guideline'!$C$53:$I$53,
      0
    )
  ),
0))</f>
        <v/>
      </c>
      <c r="Z316" s="105"/>
      <c r="AA316" s="119" t="str">
        <f t="array" ref="AA316">IF(OR($B316="",$D316=""),"",
IFERROR(
  INDEX(
    'Tools &amp; Targets_Guideline'!$C$54:$I$269,
    MATCH(
      1,
      ('Tools &amp; Targets_Guideline'!$A$54:$A$269=$B316)*
      ('Tools &amp; Targets_Guideline'!$B$54:$B$269="Penta"),
      0
    ),
    MATCH(
      _xludf.IFNA(
        VLOOKUP($D316,{"PH","Provincial Hospital (H2)";"DH","District Hospital (H3)";"RH","Regional / National Hospital (H1)"},2,0),
        $D316
      ),
      'Tools &amp; Targets_Guideline'!$C$53:$I$53,
      0
    )
  ),
0))</f>
        <v/>
      </c>
      <c r="AB316" s="105"/>
      <c r="AC316" s="119" t="str">
        <f t="array" ref="AC316">IF(OR($B316="",$D316=""),"",
IFERROR(
  INDEX(
    'Tools &amp; Targets_Guideline'!$C$54:$I$269,
    MATCH(
      1,
      ('Tools &amp; Targets_Guideline'!$A$54:$A$269=$B316)*
      ('Tools &amp; Targets_Guideline'!$B$54:$B$269="TB"),
      0
    ),
    MATCH(
      _xludf.IFNA(
        VLOOKUP($D316,{"PH","Provincial Hospital (H2)";"DH","District Hospital (H3)";"RH","Regional / National Hospital (H1)"},2,0),
        $D316
      ),
      'Tools &amp; Targets_Guideline'!$C$53:$I$53,
      0
    )
  ),
0))</f>
        <v/>
      </c>
      <c r="AD316" s="105"/>
      <c r="AE316" s="119" t="str">
        <f t="array" ref="AE316">IF(OR($B316="",$D316=""),"",
IFERROR(
  INDEX(
    'Tools &amp; Targets_Guideline'!$C$54:$I$269,
    MATCH(
      1,
      ('Tools &amp; Targets_Guideline'!$A$54:$A$269=$B316)*
      ('Tools &amp; Targets_Guideline'!$B$54:$B$269="U5 Morbidity"),
      0
    ),
    MATCH(
      _xludf.IFNA(
        VLOOKUP($D316,{"PH","Provincial Hospital (H2)";"DH","District Hospital (H3)";"RH","Regional / National Hospital (H1)"},2,0),
        $D316
      ),
      'Tools &amp; Targets_Guideline'!$C$53:$I$53,
      0
    )
  ),
0))</f>
        <v/>
      </c>
      <c r="AF316" s="105"/>
      <c r="AG316" s="119" t="str">
        <f t="array" ref="AG316">IF(OR($B316="",$D316=""),"",
IFERROR(
  INDEX(
    'Tools &amp; Targets_Guideline'!$C$54:$I$269,
    MATCH(
      1,
      ('Tools &amp; Targets_Guideline'!$A$54:$A$269=$B316)*
      ('Tools &amp; Targets_Guideline'!$B$54:$B$269="C-Section"),
      0
    ),
    MATCH(
      _xludf.IFNA(
        VLOOKUP($D316,{"PH","Provincial Hospital (H2)";"DH","District Hospital (H3)";"RH","Regional / National Hospital (H1)"},2,0),
        $D316
      ),
      'Tools &amp; Targets_Guideline'!$C$53:$I$53,
      0
    )
  ),
0))</f>
        <v/>
      </c>
      <c r="AH316" s="105" t="str">
        <f>IF(A316&lt;&gt;"",COUNTIFS('QA Log'!D:D,A316,'QA Log'!M:M,"QQC",'QA Log'!L:L,"2. Hygiene and Sterilization",'QA Log'!Z:Z,"Approved"),"")</f>
        <v/>
      </c>
      <c r="AI316" s="102"/>
      <c r="AJ316" s="102"/>
      <c r="AK316" s="103" t="str">
        <f t="shared" si="17"/>
        <v/>
      </c>
      <c r="AL316" s="102"/>
      <c r="AM316" s="102"/>
      <c r="AN316" s="102"/>
      <c r="AO316" s="106"/>
      <c r="AP316" s="103"/>
      <c r="AQ316" s="102"/>
      <c r="AR316" s="102"/>
      <c r="AS316" s="102"/>
      <c r="AT316" s="107"/>
      <c r="AU316" s="102" t="str">
        <f t="shared" si="18"/>
        <v/>
      </c>
      <c r="AV316" s="102" t="str">
        <f t="shared" si="19"/>
        <v/>
      </c>
      <c r="AW316" s="102" t="str">
        <f t="shared" si="20"/>
        <v/>
      </c>
      <c r="AX316" s="102" t="str">
        <f t="shared" si="21"/>
        <v/>
      </c>
      <c r="AY316" s="107" t="str">
        <f t="shared" si="22"/>
        <v/>
      </c>
      <c r="AZ316" s="108" t="str">
        <f t="shared" si="23"/>
        <v/>
      </c>
      <c r="BA316" s="108" t="str">
        <f t="shared" si="24"/>
        <v/>
      </c>
      <c r="BB316" s="109" t="str">
        <f t="shared" si="25"/>
        <v/>
      </c>
      <c r="BC316" s="108" t="str">
        <f t="shared" si="26"/>
        <v/>
      </c>
      <c r="BD316" s="108" t="str">
        <f t="shared" si="27"/>
        <v/>
      </c>
      <c r="BE316" s="109" t="str">
        <f t="shared" si="28"/>
        <v/>
      </c>
      <c r="BF316" s="110" t="str">
        <f t="shared" si="29"/>
        <v/>
      </c>
      <c r="BG316" s="111"/>
    </row>
    <row r="317" spans="1:59" ht="12.75">
      <c r="A317" s="101"/>
      <c r="B317" s="102"/>
      <c r="C317" s="102" t="e">
        <f t="array" aca="1" ref="C317" ca="1">_xludf.XLOOKUP(A317,'QA Log'!D:D,'QA Log'!F:F,"")</f>
        <v>#NAME?</v>
      </c>
      <c r="D317" s="102"/>
      <c r="E317" s="102" t="e">
        <f t="array" aca="1" ref="E317" ca="1">_xludf.XLOOKUP(A317,'QA Log'!D:D,'QA Log'!G:G,"")</f>
        <v>#NAME?</v>
      </c>
      <c r="F317" s="103"/>
      <c r="G317" s="104"/>
      <c r="H317" s="104"/>
      <c r="I317" s="103" t="str">
        <f t="shared" si="15"/>
        <v/>
      </c>
      <c r="J317" s="102"/>
      <c r="K317" s="102"/>
      <c r="L317" s="119" t="str">
        <f t="array" ref="L317">IF(OR($B317="",$D317=""),"",
IFERROR(
  INDEX(
    'Tools &amp; Targets_Guideline'!$C$54:$I$269,
    MATCH(
      1,
      ('Tools &amp; Targets_Guideline'!$A$54:$A$269=$B317)*
      ('Tools &amp; Targets_Guideline'!$B$54:$B$269="ANC"),
      0
    ),
    MATCH(
      _xludf.IFNA(
        VLOOKUP($D317,{"PH","Provincial Hospital (H2)";"DH","District Hospital (H3)";"RH","Regional / National Hospital (H1)"},2,0),
        $D317
      ),
      'Tools &amp; Targets_Guideline'!$C$53:$I$53,
      0
    )
  ),
0))</f>
        <v/>
      </c>
      <c r="M317" s="105"/>
      <c r="N317" s="119" t="str">
        <f t="array" ref="N317">IF(OR($B317="",$D317=""),"",
IFERROR(
  INDEX(
    'Tools &amp; Targets_Guideline'!$C$54:$I$269,
    MATCH(
      1,
      ('Tools &amp; Targets_Guideline'!$A$54:$A$269=$B317)*
      ('Tools &amp; Targets_Guideline'!$B$54:$B$269="PNC"),
      0
    ),
    MATCH(
      _xludf.IFNA(
        VLOOKUP($D317,{"PH","Provincial Hospital (H2)";"DH","District Hospital (H3)";"RH","Regional / National Hospital (H1)"},2,0),
        $D317
      ),
      'Tools &amp; Targets_Guideline'!$C$53:$I$53,
      0
    )
  ),
0))</f>
        <v/>
      </c>
      <c r="O317" s="105"/>
      <c r="P317" s="119" t="str">
        <f t="array" ref="P317">IF(OR($B317="",$D317=""),"",
IFERROR(
  INDEX(
    'Tools &amp; Targets_Guideline'!$C$54:$I$269,
    MATCH(
      1,
      ('Tools &amp; Targets_Guideline'!$A$54:$A$269=$B317)*
      ('Tools &amp; Targets_Guideline'!$B$54:$B$269="Delivery"),
      0
    ),
    MATCH(
      _xludf.IFNA(
        VLOOKUP($D317,{"PH","Provincial Hospital (H2)";"DH","District Hospital (H3)";"RH","Regional / National Hospital (H1)"},2,0),
        $D317
      ),
      'Tools &amp; Targets_Guideline'!$C$53:$I$53,
      0
    )
  ),
0))</f>
        <v/>
      </c>
      <c r="Q317" s="105"/>
      <c r="R317" s="119" t="str">
        <f t="array" ref="R317">IF(OR($B317="",$D317=""),"",
IFERROR(
  INDEX(
    'Tools &amp; Targets_Guideline'!$C$54:$I$269,
    MATCH(
      1,
      ('Tools &amp; Targets_Guideline'!$A$54:$A$269=$B317)*
      ('Tools &amp; Targets_Guideline'!$B$54:$B$269="TT"),
      0
    ),
    MATCH(
      _xludf.IFNA(
        VLOOKUP($D317,{"PH","Provincial Hospital (H2)";"DH","District Hospital (H3)";"RH","Regional / National Hospital (H1)"},2,0),
        $D317
      ),
      'Tools &amp; Targets_Guideline'!$C$53:$I$53,
      0
    )
  ),
0))</f>
        <v/>
      </c>
      <c r="S317" s="105"/>
      <c r="T317" s="102"/>
      <c r="U317" s="106"/>
      <c r="V317" s="102" t="str">
        <f t="shared" si="16"/>
        <v/>
      </c>
      <c r="W317" s="102"/>
      <c r="X317" s="102"/>
      <c r="Y317" s="119" t="str">
        <f t="array" ref="Y317">IF(OR($B317="",$D317=""),"",
IFERROR(
  INDEX(
    'Tools &amp; Targets_Guideline'!$C$54:$I$269,
    MATCH(
      1,
      ('Tools &amp; Targets_Guideline'!$A$54:$A$269=$B317)*
      ('Tools &amp; Targets_Guideline'!$B$54:$B$269="GM"),
      0
    ),
    MATCH(
      _xludf.IFNA(
        VLOOKUP($D317,{"PH","Provincial Hospital (H2)";"DH","District Hospital (H3)";"RH","Regional / National Hospital (H1)"},2,0),
        $D317
      ),
      'Tools &amp; Targets_Guideline'!$C$53:$I$53,
      0
    )
  ),
0))</f>
        <v/>
      </c>
      <c r="Z317" s="105"/>
      <c r="AA317" s="119" t="str">
        <f t="array" ref="AA317">IF(OR($B317="",$D317=""),"",
IFERROR(
  INDEX(
    'Tools &amp; Targets_Guideline'!$C$54:$I$269,
    MATCH(
      1,
      ('Tools &amp; Targets_Guideline'!$A$54:$A$269=$B317)*
      ('Tools &amp; Targets_Guideline'!$B$54:$B$269="Penta"),
      0
    ),
    MATCH(
      _xludf.IFNA(
        VLOOKUP($D317,{"PH","Provincial Hospital (H2)";"DH","District Hospital (H3)";"RH","Regional / National Hospital (H1)"},2,0),
        $D317
      ),
      'Tools &amp; Targets_Guideline'!$C$53:$I$53,
      0
    )
  ),
0))</f>
        <v/>
      </c>
      <c r="AB317" s="105"/>
      <c r="AC317" s="119" t="str">
        <f t="array" ref="AC317">IF(OR($B317="",$D317=""),"",
IFERROR(
  INDEX(
    'Tools &amp; Targets_Guideline'!$C$54:$I$269,
    MATCH(
      1,
      ('Tools &amp; Targets_Guideline'!$A$54:$A$269=$B317)*
      ('Tools &amp; Targets_Guideline'!$B$54:$B$269="TB"),
      0
    ),
    MATCH(
      _xludf.IFNA(
        VLOOKUP($D317,{"PH","Provincial Hospital (H2)";"DH","District Hospital (H3)";"RH","Regional / National Hospital (H1)"},2,0),
        $D317
      ),
      'Tools &amp; Targets_Guideline'!$C$53:$I$53,
      0
    )
  ),
0))</f>
        <v/>
      </c>
      <c r="AD317" s="105"/>
      <c r="AE317" s="119" t="str">
        <f t="array" ref="AE317">IF(OR($B317="",$D317=""),"",
IFERROR(
  INDEX(
    'Tools &amp; Targets_Guideline'!$C$54:$I$269,
    MATCH(
      1,
      ('Tools &amp; Targets_Guideline'!$A$54:$A$269=$B317)*
      ('Tools &amp; Targets_Guideline'!$B$54:$B$269="U5 Morbidity"),
      0
    ),
    MATCH(
      _xludf.IFNA(
        VLOOKUP($D317,{"PH","Provincial Hospital (H2)";"DH","District Hospital (H3)";"RH","Regional / National Hospital (H1)"},2,0),
        $D317
      ),
      'Tools &amp; Targets_Guideline'!$C$53:$I$53,
      0
    )
  ),
0))</f>
        <v/>
      </c>
      <c r="AF317" s="105"/>
      <c r="AG317" s="119" t="str">
        <f t="array" ref="AG317">IF(OR($B317="",$D317=""),"",
IFERROR(
  INDEX(
    'Tools &amp; Targets_Guideline'!$C$54:$I$269,
    MATCH(
      1,
      ('Tools &amp; Targets_Guideline'!$A$54:$A$269=$B317)*
      ('Tools &amp; Targets_Guideline'!$B$54:$B$269="C-Section"),
      0
    ),
    MATCH(
      _xludf.IFNA(
        VLOOKUP($D317,{"PH","Provincial Hospital (H2)";"DH","District Hospital (H3)";"RH","Regional / National Hospital (H1)"},2,0),
        $D317
      ),
      'Tools &amp; Targets_Guideline'!$C$53:$I$53,
      0
    )
  ),
0))</f>
        <v/>
      </c>
      <c r="AH317" s="105" t="str">
        <f>IF(A317&lt;&gt;"",COUNTIFS('QA Log'!D:D,A317,'QA Log'!M:M,"QQC",'QA Log'!L:L,"2. Hygiene and Sterilization",'QA Log'!Z:Z,"Approved"),"")</f>
        <v/>
      </c>
      <c r="AI317" s="102"/>
      <c r="AJ317" s="102"/>
      <c r="AK317" s="103" t="str">
        <f t="shared" si="17"/>
        <v/>
      </c>
      <c r="AL317" s="102"/>
      <c r="AM317" s="102"/>
      <c r="AN317" s="102"/>
      <c r="AO317" s="106"/>
      <c r="AP317" s="103"/>
      <c r="AQ317" s="102"/>
      <c r="AR317" s="102"/>
      <c r="AS317" s="102"/>
      <c r="AT317" s="107"/>
      <c r="AU317" s="102" t="str">
        <f t="shared" si="18"/>
        <v/>
      </c>
      <c r="AV317" s="102" t="str">
        <f t="shared" si="19"/>
        <v/>
      </c>
      <c r="AW317" s="102" t="str">
        <f t="shared" si="20"/>
        <v/>
      </c>
      <c r="AX317" s="102" t="str">
        <f t="shared" si="21"/>
        <v/>
      </c>
      <c r="AY317" s="107" t="str">
        <f t="shared" si="22"/>
        <v/>
      </c>
      <c r="AZ317" s="108" t="str">
        <f t="shared" si="23"/>
        <v/>
      </c>
      <c r="BA317" s="108" t="str">
        <f t="shared" si="24"/>
        <v/>
      </c>
      <c r="BB317" s="109" t="str">
        <f t="shared" si="25"/>
        <v/>
      </c>
      <c r="BC317" s="108" t="str">
        <f t="shared" si="26"/>
        <v/>
      </c>
      <c r="BD317" s="108" t="str">
        <f t="shared" si="27"/>
        <v/>
      </c>
      <c r="BE317" s="109" t="str">
        <f t="shared" si="28"/>
        <v/>
      </c>
      <c r="BF317" s="110" t="str">
        <f t="shared" si="29"/>
        <v/>
      </c>
      <c r="BG317" s="111"/>
    </row>
    <row r="318" spans="1:59" ht="12.75">
      <c r="A318" s="101"/>
      <c r="B318" s="102"/>
      <c r="C318" s="102" t="e">
        <f t="array" aca="1" ref="C318" ca="1">_xludf.XLOOKUP(A318,'QA Log'!D:D,'QA Log'!F:F,"")</f>
        <v>#NAME?</v>
      </c>
      <c r="D318" s="102"/>
      <c r="E318" s="102" t="e">
        <f t="array" aca="1" ref="E318" ca="1">_xludf.XLOOKUP(A318,'QA Log'!D:D,'QA Log'!G:G,"")</f>
        <v>#NAME?</v>
      </c>
      <c r="F318" s="103"/>
      <c r="G318" s="104"/>
      <c r="H318" s="104"/>
      <c r="I318" s="103" t="str">
        <f t="shared" si="15"/>
        <v/>
      </c>
      <c r="J318" s="102"/>
      <c r="K318" s="102"/>
      <c r="L318" s="119" t="str">
        <f t="array" ref="L318">IF(OR($B318="",$D318=""),"",
IFERROR(
  INDEX(
    'Tools &amp; Targets_Guideline'!$C$54:$I$269,
    MATCH(
      1,
      ('Tools &amp; Targets_Guideline'!$A$54:$A$269=$B318)*
      ('Tools &amp; Targets_Guideline'!$B$54:$B$269="ANC"),
      0
    ),
    MATCH(
      _xludf.IFNA(
        VLOOKUP($D318,{"PH","Provincial Hospital (H2)";"DH","District Hospital (H3)";"RH","Regional / National Hospital (H1)"},2,0),
        $D318
      ),
      'Tools &amp; Targets_Guideline'!$C$53:$I$53,
      0
    )
  ),
0))</f>
        <v/>
      </c>
      <c r="M318" s="105"/>
      <c r="N318" s="119" t="str">
        <f t="array" ref="N318">IF(OR($B318="",$D318=""),"",
IFERROR(
  INDEX(
    'Tools &amp; Targets_Guideline'!$C$54:$I$269,
    MATCH(
      1,
      ('Tools &amp; Targets_Guideline'!$A$54:$A$269=$B318)*
      ('Tools &amp; Targets_Guideline'!$B$54:$B$269="PNC"),
      0
    ),
    MATCH(
      _xludf.IFNA(
        VLOOKUP($D318,{"PH","Provincial Hospital (H2)";"DH","District Hospital (H3)";"RH","Regional / National Hospital (H1)"},2,0),
        $D318
      ),
      'Tools &amp; Targets_Guideline'!$C$53:$I$53,
      0
    )
  ),
0))</f>
        <v/>
      </c>
      <c r="O318" s="105"/>
      <c r="P318" s="119" t="str">
        <f t="array" ref="P318">IF(OR($B318="",$D318=""),"",
IFERROR(
  INDEX(
    'Tools &amp; Targets_Guideline'!$C$54:$I$269,
    MATCH(
      1,
      ('Tools &amp; Targets_Guideline'!$A$54:$A$269=$B318)*
      ('Tools &amp; Targets_Guideline'!$B$54:$B$269="Delivery"),
      0
    ),
    MATCH(
      _xludf.IFNA(
        VLOOKUP($D318,{"PH","Provincial Hospital (H2)";"DH","District Hospital (H3)";"RH","Regional / National Hospital (H1)"},2,0),
        $D318
      ),
      'Tools &amp; Targets_Guideline'!$C$53:$I$53,
      0
    )
  ),
0))</f>
        <v/>
      </c>
      <c r="Q318" s="105"/>
      <c r="R318" s="119" t="str">
        <f t="array" ref="R318">IF(OR($B318="",$D318=""),"",
IFERROR(
  INDEX(
    'Tools &amp; Targets_Guideline'!$C$54:$I$269,
    MATCH(
      1,
      ('Tools &amp; Targets_Guideline'!$A$54:$A$269=$B318)*
      ('Tools &amp; Targets_Guideline'!$B$54:$B$269="TT"),
      0
    ),
    MATCH(
      _xludf.IFNA(
        VLOOKUP($D318,{"PH","Provincial Hospital (H2)";"DH","District Hospital (H3)";"RH","Regional / National Hospital (H1)"},2,0),
        $D318
      ),
      'Tools &amp; Targets_Guideline'!$C$53:$I$53,
      0
    )
  ),
0))</f>
        <v/>
      </c>
      <c r="S318" s="105"/>
      <c r="T318" s="102"/>
      <c r="U318" s="106"/>
      <c r="V318" s="102" t="str">
        <f t="shared" si="16"/>
        <v/>
      </c>
      <c r="W318" s="102"/>
      <c r="X318" s="102"/>
      <c r="Y318" s="119" t="str">
        <f t="array" ref="Y318">IF(OR($B318="",$D318=""),"",
IFERROR(
  INDEX(
    'Tools &amp; Targets_Guideline'!$C$54:$I$269,
    MATCH(
      1,
      ('Tools &amp; Targets_Guideline'!$A$54:$A$269=$B318)*
      ('Tools &amp; Targets_Guideline'!$B$54:$B$269="GM"),
      0
    ),
    MATCH(
      _xludf.IFNA(
        VLOOKUP($D318,{"PH","Provincial Hospital (H2)";"DH","District Hospital (H3)";"RH","Regional / National Hospital (H1)"},2,0),
        $D318
      ),
      'Tools &amp; Targets_Guideline'!$C$53:$I$53,
      0
    )
  ),
0))</f>
        <v/>
      </c>
      <c r="Z318" s="105"/>
      <c r="AA318" s="119" t="str">
        <f t="array" ref="AA318">IF(OR($B318="",$D318=""),"",
IFERROR(
  INDEX(
    'Tools &amp; Targets_Guideline'!$C$54:$I$269,
    MATCH(
      1,
      ('Tools &amp; Targets_Guideline'!$A$54:$A$269=$B318)*
      ('Tools &amp; Targets_Guideline'!$B$54:$B$269="Penta"),
      0
    ),
    MATCH(
      _xludf.IFNA(
        VLOOKUP($D318,{"PH","Provincial Hospital (H2)";"DH","District Hospital (H3)";"RH","Regional / National Hospital (H1)"},2,0),
        $D318
      ),
      'Tools &amp; Targets_Guideline'!$C$53:$I$53,
      0
    )
  ),
0))</f>
        <v/>
      </c>
      <c r="AB318" s="105"/>
      <c r="AC318" s="119" t="str">
        <f t="array" ref="AC318">IF(OR($B318="",$D318=""),"",
IFERROR(
  INDEX(
    'Tools &amp; Targets_Guideline'!$C$54:$I$269,
    MATCH(
      1,
      ('Tools &amp; Targets_Guideline'!$A$54:$A$269=$B318)*
      ('Tools &amp; Targets_Guideline'!$B$54:$B$269="TB"),
      0
    ),
    MATCH(
      _xludf.IFNA(
        VLOOKUP($D318,{"PH","Provincial Hospital (H2)";"DH","District Hospital (H3)";"RH","Regional / National Hospital (H1)"},2,0),
        $D318
      ),
      'Tools &amp; Targets_Guideline'!$C$53:$I$53,
      0
    )
  ),
0))</f>
        <v/>
      </c>
      <c r="AD318" s="105"/>
      <c r="AE318" s="119" t="str">
        <f t="array" ref="AE318">IF(OR($B318="",$D318=""),"",
IFERROR(
  INDEX(
    'Tools &amp; Targets_Guideline'!$C$54:$I$269,
    MATCH(
      1,
      ('Tools &amp; Targets_Guideline'!$A$54:$A$269=$B318)*
      ('Tools &amp; Targets_Guideline'!$B$54:$B$269="U5 Morbidity"),
      0
    ),
    MATCH(
      _xludf.IFNA(
        VLOOKUP($D318,{"PH","Provincial Hospital (H2)";"DH","District Hospital (H3)";"RH","Regional / National Hospital (H1)"},2,0),
        $D318
      ),
      'Tools &amp; Targets_Guideline'!$C$53:$I$53,
      0
    )
  ),
0))</f>
        <v/>
      </c>
      <c r="AF318" s="105"/>
      <c r="AG318" s="119" t="str">
        <f t="array" ref="AG318">IF(OR($B318="",$D318=""),"",
IFERROR(
  INDEX(
    'Tools &amp; Targets_Guideline'!$C$54:$I$269,
    MATCH(
      1,
      ('Tools &amp; Targets_Guideline'!$A$54:$A$269=$B318)*
      ('Tools &amp; Targets_Guideline'!$B$54:$B$269="C-Section"),
      0
    ),
    MATCH(
      _xludf.IFNA(
        VLOOKUP($D318,{"PH","Provincial Hospital (H2)";"DH","District Hospital (H3)";"RH","Regional / National Hospital (H1)"},2,0),
        $D318
      ),
      'Tools &amp; Targets_Guideline'!$C$53:$I$53,
      0
    )
  ),
0))</f>
        <v/>
      </c>
      <c r="AH318" s="105" t="str">
        <f>IF(A318&lt;&gt;"",COUNTIFS('QA Log'!D:D,A318,'QA Log'!M:M,"QQC",'QA Log'!L:L,"2. Hygiene and Sterilization",'QA Log'!Z:Z,"Approved"),"")</f>
        <v/>
      </c>
      <c r="AI318" s="102"/>
      <c r="AJ318" s="102"/>
      <c r="AK318" s="103" t="str">
        <f t="shared" si="17"/>
        <v/>
      </c>
      <c r="AL318" s="102"/>
      <c r="AM318" s="102"/>
      <c r="AN318" s="102"/>
      <c r="AO318" s="106"/>
      <c r="AP318" s="103"/>
      <c r="AQ318" s="102"/>
      <c r="AR318" s="102"/>
      <c r="AS318" s="102"/>
      <c r="AT318" s="107"/>
      <c r="AU318" s="102" t="str">
        <f t="shared" si="18"/>
        <v/>
      </c>
      <c r="AV318" s="102" t="str">
        <f t="shared" si="19"/>
        <v/>
      </c>
      <c r="AW318" s="102" t="str">
        <f t="shared" si="20"/>
        <v/>
      </c>
      <c r="AX318" s="102" t="str">
        <f t="shared" si="21"/>
        <v/>
      </c>
      <c r="AY318" s="107" t="str">
        <f t="shared" si="22"/>
        <v/>
      </c>
      <c r="AZ318" s="108" t="str">
        <f t="shared" si="23"/>
        <v/>
      </c>
      <c r="BA318" s="108" t="str">
        <f t="shared" si="24"/>
        <v/>
      </c>
      <c r="BB318" s="109" t="str">
        <f t="shared" si="25"/>
        <v/>
      </c>
      <c r="BC318" s="108" t="str">
        <f t="shared" si="26"/>
        <v/>
      </c>
      <c r="BD318" s="108" t="str">
        <f t="shared" si="27"/>
        <v/>
      </c>
      <c r="BE318" s="109" t="str">
        <f t="shared" si="28"/>
        <v/>
      </c>
      <c r="BF318" s="110" t="str">
        <f t="shared" si="29"/>
        <v/>
      </c>
      <c r="BG318" s="111"/>
    </row>
    <row r="319" spans="1:59" ht="12.75">
      <c r="A319" s="101"/>
      <c r="B319" s="102"/>
      <c r="C319" s="102" t="e">
        <f t="array" aca="1" ref="C319" ca="1">_xludf.XLOOKUP(A319,'QA Log'!D:D,'QA Log'!F:F,"")</f>
        <v>#NAME?</v>
      </c>
      <c r="D319" s="102"/>
      <c r="E319" s="102" t="e">
        <f t="array" aca="1" ref="E319" ca="1">_xludf.XLOOKUP(A319,'QA Log'!D:D,'QA Log'!G:G,"")</f>
        <v>#NAME?</v>
      </c>
      <c r="F319" s="103"/>
      <c r="G319" s="104"/>
      <c r="H319" s="104"/>
      <c r="I319" s="103" t="str">
        <f t="shared" si="15"/>
        <v/>
      </c>
      <c r="J319" s="102"/>
      <c r="K319" s="102"/>
      <c r="L319" s="119" t="str">
        <f t="array" ref="L319">IF(OR($B319="",$D319=""),"",
IFERROR(
  INDEX(
    'Tools &amp; Targets_Guideline'!$C$54:$I$269,
    MATCH(
      1,
      ('Tools &amp; Targets_Guideline'!$A$54:$A$269=$B319)*
      ('Tools &amp; Targets_Guideline'!$B$54:$B$269="ANC"),
      0
    ),
    MATCH(
      _xludf.IFNA(
        VLOOKUP($D319,{"PH","Provincial Hospital (H2)";"DH","District Hospital (H3)";"RH","Regional / National Hospital (H1)"},2,0),
        $D319
      ),
      'Tools &amp; Targets_Guideline'!$C$53:$I$53,
      0
    )
  ),
0))</f>
        <v/>
      </c>
      <c r="M319" s="105"/>
      <c r="N319" s="119" t="str">
        <f t="array" ref="N319">IF(OR($B319="",$D319=""),"",
IFERROR(
  INDEX(
    'Tools &amp; Targets_Guideline'!$C$54:$I$269,
    MATCH(
      1,
      ('Tools &amp; Targets_Guideline'!$A$54:$A$269=$B319)*
      ('Tools &amp; Targets_Guideline'!$B$54:$B$269="PNC"),
      0
    ),
    MATCH(
      _xludf.IFNA(
        VLOOKUP($D319,{"PH","Provincial Hospital (H2)";"DH","District Hospital (H3)";"RH","Regional / National Hospital (H1)"},2,0),
        $D319
      ),
      'Tools &amp; Targets_Guideline'!$C$53:$I$53,
      0
    )
  ),
0))</f>
        <v/>
      </c>
      <c r="O319" s="105"/>
      <c r="P319" s="119" t="str">
        <f t="array" ref="P319">IF(OR($B319="",$D319=""),"",
IFERROR(
  INDEX(
    'Tools &amp; Targets_Guideline'!$C$54:$I$269,
    MATCH(
      1,
      ('Tools &amp; Targets_Guideline'!$A$54:$A$269=$B319)*
      ('Tools &amp; Targets_Guideline'!$B$54:$B$269="Delivery"),
      0
    ),
    MATCH(
      _xludf.IFNA(
        VLOOKUP($D319,{"PH","Provincial Hospital (H2)";"DH","District Hospital (H3)";"RH","Regional / National Hospital (H1)"},2,0),
        $D319
      ),
      'Tools &amp; Targets_Guideline'!$C$53:$I$53,
      0
    )
  ),
0))</f>
        <v/>
      </c>
      <c r="Q319" s="105"/>
      <c r="R319" s="119" t="str">
        <f t="array" ref="R319">IF(OR($B319="",$D319=""),"",
IFERROR(
  INDEX(
    'Tools &amp; Targets_Guideline'!$C$54:$I$269,
    MATCH(
      1,
      ('Tools &amp; Targets_Guideline'!$A$54:$A$269=$B319)*
      ('Tools &amp; Targets_Guideline'!$B$54:$B$269="TT"),
      0
    ),
    MATCH(
      _xludf.IFNA(
        VLOOKUP($D319,{"PH","Provincial Hospital (H2)";"DH","District Hospital (H3)";"RH","Regional / National Hospital (H1)"},2,0),
        $D319
      ),
      'Tools &amp; Targets_Guideline'!$C$53:$I$53,
      0
    )
  ),
0))</f>
        <v/>
      </c>
      <c r="S319" s="105"/>
      <c r="T319" s="102"/>
      <c r="U319" s="106"/>
      <c r="V319" s="102" t="str">
        <f t="shared" si="16"/>
        <v/>
      </c>
      <c r="W319" s="102"/>
      <c r="X319" s="102"/>
      <c r="Y319" s="119" t="str">
        <f t="array" ref="Y319">IF(OR($B319="",$D319=""),"",
IFERROR(
  INDEX(
    'Tools &amp; Targets_Guideline'!$C$54:$I$269,
    MATCH(
      1,
      ('Tools &amp; Targets_Guideline'!$A$54:$A$269=$B319)*
      ('Tools &amp; Targets_Guideline'!$B$54:$B$269="GM"),
      0
    ),
    MATCH(
      _xludf.IFNA(
        VLOOKUP($D319,{"PH","Provincial Hospital (H2)";"DH","District Hospital (H3)";"RH","Regional / National Hospital (H1)"},2,0),
        $D319
      ),
      'Tools &amp; Targets_Guideline'!$C$53:$I$53,
      0
    )
  ),
0))</f>
        <v/>
      </c>
      <c r="Z319" s="105"/>
      <c r="AA319" s="119" t="str">
        <f t="array" ref="AA319">IF(OR($B319="",$D319=""),"",
IFERROR(
  INDEX(
    'Tools &amp; Targets_Guideline'!$C$54:$I$269,
    MATCH(
      1,
      ('Tools &amp; Targets_Guideline'!$A$54:$A$269=$B319)*
      ('Tools &amp; Targets_Guideline'!$B$54:$B$269="Penta"),
      0
    ),
    MATCH(
      _xludf.IFNA(
        VLOOKUP($D319,{"PH","Provincial Hospital (H2)";"DH","District Hospital (H3)";"RH","Regional / National Hospital (H1)"},2,0),
        $D319
      ),
      'Tools &amp; Targets_Guideline'!$C$53:$I$53,
      0
    )
  ),
0))</f>
        <v/>
      </c>
      <c r="AB319" s="105"/>
      <c r="AC319" s="119" t="str">
        <f t="array" ref="AC319">IF(OR($B319="",$D319=""),"",
IFERROR(
  INDEX(
    'Tools &amp; Targets_Guideline'!$C$54:$I$269,
    MATCH(
      1,
      ('Tools &amp; Targets_Guideline'!$A$54:$A$269=$B319)*
      ('Tools &amp; Targets_Guideline'!$B$54:$B$269="TB"),
      0
    ),
    MATCH(
      _xludf.IFNA(
        VLOOKUP($D319,{"PH","Provincial Hospital (H2)";"DH","District Hospital (H3)";"RH","Regional / National Hospital (H1)"},2,0),
        $D319
      ),
      'Tools &amp; Targets_Guideline'!$C$53:$I$53,
      0
    )
  ),
0))</f>
        <v/>
      </c>
      <c r="AD319" s="105"/>
      <c r="AE319" s="119" t="str">
        <f t="array" ref="AE319">IF(OR($B319="",$D319=""),"",
IFERROR(
  INDEX(
    'Tools &amp; Targets_Guideline'!$C$54:$I$269,
    MATCH(
      1,
      ('Tools &amp; Targets_Guideline'!$A$54:$A$269=$B319)*
      ('Tools &amp; Targets_Guideline'!$B$54:$B$269="U5 Morbidity"),
      0
    ),
    MATCH(
      _xludf.IFNA(
        VLOOKUP($D319,{"PH","Provincial Hospital (H2)";"DH","District Hospital (H3)";"RH","Regional / National Hospital (H1)"},2,0),
        $D319
      ),
      'Tools &amp; Targets_Guideline'!$C$53:$I$53,
      0
    )
  ),
0))</f>
        <v/>
      </c>
      <c r="AF319" s="105"/>
      <c r="AG319" s="119" t="str">
        <f t="array" ref="AG319">IF(OR($B319="",$D319=""),"",
IFERROR(
  INDEX(
    'Tools &amp; Targets_Guideline'!$C$54:$I$269,
    MATCH(
      1,
      ('Tools &amp; Targets_Guideline'!$A$54:$A$269=$B319)*
      ('Tools &amp; Targets_Guideline'!$B$54:$B$269="C-Section"),
      0
    ),
    MATCH(
      _xludf.IFNA(
        VLOOKUP($D319,{"PH","Provincial Hospital (H2)";"DH","District Hospital (H3)";"RH","Regional / National Hospital (H1)"},2,0),
        $D319
      ),
      'Tools &amp; Targets_Guideline'!$C$53:$I$53,
      0
    )
  ),
0))</f>
        <v/>
      </c>
      <c r="AH319" s="105" t="str">
        <f>IF(A319&lt;&gt;"",COUNTIFS('QA Log'!D:D,A319,'QA Log'!M:M,"QQC",'QA Log'!L:L,"2. Hygiene and Sterilization",'QA Log'!Z:Z,"Approved"),"")</f>
        <v/>
      </c>
      <c r="AI319" s="102"/>
      <c r="AJ319" s="102"/>
      <c r="AK319" s="103" t="str">
        <f t="shared" si="17"/>
        <v/>
      </c>
      <c r="AL319" s="102"/>
      <c r="AM319" s="102"/>
      <c r="AN319" s="102"/>
      <c r="AO319" s="106"/>
      <c r="AP319" s="103"/>
      <c r="AQ319" s="102"/>
      <c r="AR319" s="102"/>
      <c r="AS319" s="102"/>
      <c r="AT319" s="107"/>
      <c r="AU319" s="102" t="str">
        <f t="shared" si="18"/>
        <v/>
      </c>
      <c r="AV319" s="102" t="str">
        <f t="shared" si="19"/>
        <v/>
      </c>
      <c r="AW319" s="102" t="str">
        <f t="shared" si="20"/>
        <v/>
      </c>
      <c r="AX319" s="102" t="str">
        <f t="shared" si="21"/>
        <v/>
      </c>
      <c r="AY319" s="107" t="str">
        <f t="shared" si="22"/>
        <v/>
      </c>
      <c r="AZ319" s="108" t="str">
        <f t="shared" si="23"/>
        <v/>
      </c>
      <c r="BA319" s="108" t="str">
        <f t="shared" si="24"/>
        <v/>
      </c>
      <c r="BB319" s="109" t="str">
        <f t="shared" si="25"/>
        <v/>
      </c>
      <c r="BC319" s="108" t="str">
        <f t="shared" si="26"/>
        <v/>
      </c>
      <c r="BD319" s="108" t="str">
        <f t="shared" si="27"/>
        <v/>
      </c>
      <c r="BE319" s="109" t="str">
        <f t="shared" si="28"/>
        <v/>
      </c>
      <c r="BF319" s="110" t="str">
        <f t="shared" si="29"/>
        <v/>
      </c>
      <c r="BG319" s="111"/>
    </row>
    <row r="320" spans="1:59" ht="12.75">
      <c r="A320" s="101"/>
      <c r="B320" s="102"/>
      <c r="C320" s="102" t="e">
        <f t="array" aca="1" ref="C320" ca="1">_xludf.XLOOKUP(A320,'QA Log'!D:D,'QA Log'!F:F,"")</f>
        <v>#NAME?</v>
      </c>
      <c r="D320" s="102"/>
      <c r="E320" s="102" t="e">
        <f t="array" aca="1" ref="E320" ca="1">_xludf.XLOOKUP(A320,'QA Log'!D:D,'QA Log'!G:G,"")</f>
        <v>#NAME?</v>
      </c>
      <c r="F320" s="103"/>
      <c r="G320" s="104"/>
      <c r="H320" s="104"/>
      <c r="I320" s="103" t="str">
        <f t="shared" si="15"/>
        <v/>
      </c>
      <c r="J320" s="102"/>
      <c r="K320" s="102"/>
      <c r="L320" s="119" t="str">
        <f t="array" ref="L320">IF(OR($B320="",$D320=""),"",
IFERROR(
  INDEX(
    'Tools &amp; Targets_Guideline'!$C$54:$I$269,
    MATCH(
      1,
      ('Tools &amp; Targets_Guideline'!$A$54:$A$269=$B320)*
      ('Tools &amp; Targets_Guideline'!$B$54:$B$269="ANC"),
      0
    ),
    MATCH(
      _xludf.IFNA(
        VLOOKUP($D320,{"PH","Provincial Hospital (H2)";"DH","District Hospital (H3)";"RH","Regional / National Hospital (H1)"},2,0),
        $D320
      ),
      'Tools &amp; Targets_Guideline'!$C$53:$I$53,
      0
    )
  ),
0))</f>
        <v/>
      </c>
      <c r="M320" s="105"/>
      <c r="N320" s="119" t="str">
        <f t="array" ref="N320">IF(OR($B320="",$D320=""),"",
IFERROR(
  INDEX(
    'Tools &amp; Targets_Guideline'!$C$54:$I$269,
    MATCH(
      1,
      ('Tools &amp; Targets_Guideline'!$A$54:$A$269=$B320)*
      ('Tools &amp; Targets_Guideline'!$B$54:$B$269="PNC"),
      0
    ),
    MATCH(
      _xludf.IFNA(
        VLOOKUP($D320,{"PH","Provincial Hospital (H2)";"DH","District Hospital (H3)";"RH","Regional / National Hospital (H1)"},2,0),
        $D320
      ),
      'Tools &amp; Targets_Guideline'!$C$53:$I$53,
      0
    )
  ),
0))</f>
        <v/>
      </c>
      <c r="O320" s="105"/>
      <c r="P320" s="119" t="str">
        <f t="array" ref="P320">IF(OR($B320="",$D320=""),"",
IFERROR(
  INDEX(
    'Tools &amp; Targets_Guideline'!$C$54:$I$269,
    MATCH(
      1,
      ('Tools &amp; Targets_Guideline'!$A$54:$A$269=$B320)*
      ('Tools &amp; Targets_Guideline'!$B$54:$B$269="Delivery"),
      0
    ),
    MATCH(
      _xludf.IFNA(
        VLOOKUP($D320,{"PH","Provincial Hospital (H2)";"DH","District Hospital (H3)";"RH","Regional / National Hospital (H1)"},2,0),
        $D320
      ),
      'Tools &amp; Targets_Guideline'!$C$53:$I$53,
      0
    )
  ),
0))</f>
        <v/>
      </c>
      <c r="Q320" s="105"/>
      <c r="R320" s="119" t="str">
        <f t="array" ref="R320">IF(OR($B320="",$D320=""),"",
IFERROR(
  INDEX(
    'Tools &amp; Targets_Guideline'!$C$54:$I$269,
    MATCH(
      1,
      ('Tools &amp; Targets_Guideline'!$A$54:$A$269=$B320)*
      ('Tools &amp; Targets_Guideline'!$B$54:$B$269="TT"),
      0
    ),
    MATCH(
      _xludf.IFNA(
        VLOOKUP($D320,{"PH","Provincial Hospital (H2)";"DH","District Hospital (H3)";"RH","Regional / National Hospital (H1)"},2,0),
        $D320
      ),
      'Tools &amp; Targets_Guideline'!$C$53:$I$53,
      0
    )
  ),
0))</f>
        <v/>
      </c>
      <c r="S320" s="105"/>
      <c r="T320" s="102"/>
      <c r="U320" s="106"/>
      <c r="V320" s="102" t="str">
        <f t="shared" si="16"/>
        <v/>
      </c>
      <c r="W320" s="102"/>
      <c r="X320" s="102"/>
      <c r="Y320" s="119" t="str">
        <f t="array" ref="Y320">IF(OR($B320="",$D320=""),"",
IFERROR(
  INDEX(
    'Tools &amp; Targets_Guideline'!$C$54:$I$269,
    MATCH(
      1,
      ('Tools &amp; Targets_Guideline'!$A$54:$A$269=$B320)*
      ('Tools &amp; Targets_Guideline'!$B$54:$B$269="GM"),
      0
    ),
    MATCH(
      _xludf.IFNA(
        VLOOKUP($D320,{"PH","Provincial Hospital (H2)";"DH","District Hospital (H3)";"RH","Regional / National Hospital (H1)"},2,0),
        $D320
      ),
      'Tools &amp; Targets_Guideline'!$C$53:$I$53,
      0
    )
  ),
0))</f>
        <v/>
      </c>
      <c r="Z320" s="105"/>
      <c r="AA320" s="119" t="str">
        <f t="array" ref="AA320">IF(OR($B320="",$D320=""),"",
IFERROR(
  INDEX(
    'Tools &amp; Targets_Guideline'!$C$54:$I$269,
    MATCH(
      1,
      ('Tools &amp; Targets_Guideline'!$A$54:$A$269=$B320)*
      ('Tools &amp; Targets_Guideline'!$B$54:$B$269="Penta"),
      0
    ),
    MATCH(
      _xludf.IFNA(
        VLOOKUP($D320,{"PH","Provincial Hospital (H2)";"DH","District Hospital (H3)";"RH","Regional / National Hospital (H1)"},2,0),
        $D320
      ),
      'Tools &amp; Targets_Guideline'!$C$53:$I$53,
      0
    )
  ),
0))</f>
        <v/>
      </c>
      <c r="AB320" s="105"/>
      <c r="AC320" s="119" t="str">
        <f t="array" ref="AC320">IF(OR($B320="",$D320=""),"",
IFERROR(
  INDEX(
    'Tools &amp; Targets_Guideline'!$C$54:$I$269,
    MATCH(
      1,
      ('Tools &amp; Targets_Guideline'!$A$54:$A$269=$B320)*
      ('Tools &amp; Targets_Guideline'!$B$54:$B$269="TB"),
      0
    ),
    MATCH(
      _xludf.IFNA(
        VLOOKUP($D320,{"PH","Provincial Hospital (H2)";"DH","District Hospital (H3)";"RH","Regional / National Hospital (H1)"},2,0),
        $D320
      ),
      'Tools &amp; Targets_Guideline'!$C$53:$I$53,
      0
    )
  ),
0))</f>
        <v/>
      </c>
      <c r="AD320" s="105"/>
      <c r="AE320" s="119" t="str">
        <f t="array" ref="AE320">IF(OR($B320="",$D320=""),"",
IFERROR(
  INDEX(
    'Tools &amp; Targets_Guideline'!$C$54:$I$269,
    MATCH(
      1,
      ('Tools &amp; Targets_Guideline'!$A$54:$A$269=$B320)*
      ('Tools &amp; Targets_Guideline'!$B$54:$B$269="U5 Morbidity"),
      0
    ),
    MATCH(
      _xludf.IFNA(
        VLOOKUP($D320,{"PH","Provincial Hospital (H2)";"DH","District Hospital (H3)";"RH","Regional / National Hospital (H1)"},2,0),
        $D320
      ),
      'Tools &amp; Targets_Guideline'!$C$53:$I$53,
      0
    )
  ),
0))</f>
        <v/>
      </c>
      <c r="AF320" s="105"/>
      <c r="AG320" s="119" t="str">
        <f t="array" ref="AG320">IF(OR($B320="",$D320=""),"",
IFERROR(
  INDEX(
    'Tools &amp; Targets_Guideline'!$C$54:$I$269,
    MATCH(
      1,
      ('Tools &amp; Targets_Guideline'!$A$54:$A$269=$B320)*
      ('Tools &amp; Targets_Guideline'!$B$54:$B$269="C-Section"),
      0
    ),
    MATCH(
      _xludf.IFNA(
        VLOOKUP($D320,{"PH","Provincial Hospital (H2)";"DH","District Hospital (H3)";"RH","Regional / National Hospital (H1)"},2,0),
        $D320
      ),
      'Tools &amp; Targets_Guideline'!$C$53:$I$53,
      0
    )
  ),
0))</f>
        <v/>
      </c>
      <c r="AH320" s="105" t="str">
        <f>IF(A320&lt;&gt;"",COUNTIFS('QA Log'!D:D,A320,'QA Log'!M:M,"QQC",'QA Log'!L:L,"2. Hygiene and Sterilization",'QA Log'!Z:Z,"Approved"),"")</f>
        <v/>
      </c>
      <c r="AI320" s="102"/>
      <c r="AJ320" s="102"/>
      <c r="AK320" s="103" t="str">
        <f t="shared" si="17"/>
        <v/>
      </c>
      <c r="AL320" s="102"/>
      <c r="AM320" s="102"/>
      <c r="AN320" s="102"/>
      <c r="AO320" s="106"/>
      <c r="AP320" s="103"/>
      <c r="AQ320" s="102"/>
      <c r="AR320" s="102"/>
      <c r="AS320" s="102"/>
      <c r="AT320" s="107"/>
      <c r="AU320" s="102" t="str">
        <f t="shared" si="18"/>
        <v/>
      </c>
      <c r="AV320" s="102" t="str">
        <f t="shared" si="19"/>
        <v/>
      </c>
      <c r="AW320" s="102" t="str">
        <f t="shared" si="20"/>
        <v/>
      </c>
      <c r="AX320" s="102" t="str">
        <f t="shared" si="21"/>
        <v/>
      </c>
      <c r="AY320" s="107" t="str">
        <f t="shared" si="22"/>
        <v/>
      </c>
      <c r="AZ320" s="108" t="str">
        <f t="shared" si="23"/>
        <v/>
      </c>
      <c r="BA320" s="108" t="str">
        <f t="shared" si="24"/>
        <v/>
      </c>
      <c r="BB320" s="109" t="str">
        <f t="shared" si="25"/>
        <v/>
      </c>
      <c r="BC320" s="108" t="str">
        <f t="shared" si="26"/>
        <v/>
      </c>
      <c r="BD320" s="108" t="str">
        <f t="shared" si="27"/>
        <v/>
      </c>
      <c r="BE320" s="109" t="str">
        <f t="shared" si="28"/>
        <v/>
      </c>
      <c r="BF320" s="110" t="str">
        <f t="shared" si="29"/>
        <v/>
      </c>
      <c r="BG320" s="111"/>
    </row>
    <row r="321" spans="1:59" ht="12.75">
      <c r="A321" s="101"/>
      <c r="B321" s="102"/>
      <c r="C321" s="102" t="e">
        <f t="array" aca="1" ref="C321" ca="1">_xludf.XLOOKUP(A321,'QA Log'!D:D,'QA Log'!F:F,"")</f>
        <v>#NAME?</v>
      </c>
      <c r="D321" s="102"/>
      <c r="E321" s="102" t="e">
        <f t="array" aca="1" ref="E321" ca="1">_xludf.XLOOKUP(A321,'QA Log'!D:D,'QA Log'!G:G,"")</f>
        <v>#NAME?</v>
      </c>
      <c r="F321" s="103"/>
      <c r="G321" s="104"/>
      <c r="H321" s="104"/>
      <c r="I321" s="103" t="str">
        <f t="shared" si="15"/>
        <v/>
      </c>
      <c r="J321" s="102"/>
      <c r="K321" s="102"/>
      <c r="L321" s="119" t="str">
        <f t="array" ref="L321">IF(OR($B321="",$D321=""),"",
IFERROR(
  INDEX(
    'Tools &amp; Targets_Guideline'!$C$54:$I$269,
    MATCH(
      1,
      ('Tools &amp; Targets_Guideline'!$A$54:$A$269=$B321)*
      ('Tools &amp; Targets_Guideline'!$B$54:$B$269="ANC"),
      0
    ),
    MATCH(
      _xludf.IFNA(
        VLOOKUP($D321,{"PH","Provincial Hospital (H2)";"DH","District Hospital (H3)";"RH","Regional / National Hospital (H1)"},2,0),
        $D321
      ),
      'Tools &amp; Targets_Guideline'!$C$53:$I$53,
      0
    )
  ),
0))</f>
        <v/>
      </c>
      <c r="M321" s="105"/>
      <c r="N321" s="119" t="str">
        <f t="array" ref="N321">IF(OR($B321="",$D321=""),"",
IFERROR(
  INDEX(
    'Tools &amp; Targets_Guideline'!$C$54:$I$269,
    MATCH(
      1,
      ('Tools &amp; Targets_Guideline'!$A$54:$A$269=$B321)*
      ('Tools &amp; Targets_Guideline'!$B$54:$B$269="PNC"),
      0
    ),
    MATCH(
      _xludf.IFNA(
        VLOOKUP($D321,{"PH","Provincial Hospital (H2)";"DH","District Hospital (H3)";"RH","Regional / National Hospital (H1)"},2,0),
        $D321
      ),
      'Tools &amp; Targets_Guideline'!$C$53:$I$53,
      0
    )
  ),
0))</f>
        <v/>
      </c>
      <c r="O321" s="105"/>
      <c r="P321" s="119" t="str">
        <f t="array" ref="P321">IF(OR($B321="",$D321=""),"",
IFERROR(
  INDEX(
    'Tools &amp; Targets_Guideline'!$C$54:$I$269,
    MATCH(
      1,
      ('Tools &amp; Targets_Guideline'!$A$54:$A$269=$B321)*
      ('Tools &amp; Targets_Guideline'!$B$54:$B$269="Delivery"),
      0
    ),
    MATCH(
      _xludf.IFNA(
        VLOOKUP($D321,{"PH","Provincial Hospital (H2)";"DH","District Hospital (H3)";"RH","Regional / National Hospital (H1)"},2,0),
        $D321
      ),
      'Tools &amp; Targets_Guideline'!$C$53:$I$53,
      0
    )
  ),
0))</f>
        <v/>
      </c>
      <c r="Q321" s="105"/>
      <c r="R321" s="119" t="str">
        <f t="array" ref="R321">IF(OR($B321="",$D321=""),"",
IFERROR(
  INDEX(
    'Tools &amp; Targets_Guideline'!$C$54:$I$269,
    MATCH(
      1,
      ('Tools &amp; Targets_Guideline'!$A$54:$A$269=$B321)*
      ('Tools &amp; Targets_Guideline'!$B$54:$B$269="TT"),
      0
    ),
    MATCH(
      _xludf.IFNA(
        VLOOKUP($D321,{"PH","Provincial Hospital (H2)";"DH","District Hospital (H3)";"RH","Regional / National Hospital (H1)"},2,0),
        $D321
      ),
      'Tools &amp; Targets_Guideline'!$C$53:$I$53,
      0
    )
  ),
0))</f>
        <v/>
      </c>
      <c r="S321" s="105"/>
      <c r="T321" s="102"/>
      <c r="U321" s="106"/>
      <c r="V321" s="102" t="str">
        <f t="shared" si="16"/>
        <v/>
      </c>
      <c r="W321" s="102"/>
      <c r="X321" s="102"/>
      <c r="Y321" s="119" t="str">
        <f t="array" ref="Y321">IF(OR($B321="",$D321=""),"",
IFERROR(
  INDEX(
    'Tools &amp; Targets_Guideline'!$C$54:$I$269,
    MATCH(
      1,
      ('Tools &amp; Targets_Guideline'!$A$54:$A$269=$B321)*
      ('Tools &amp; Targets_Guideline'!$B$54:$B$269="GM"),
      0
    ),
    MATCH(
      _xludf.IFNA(
        VLOOKUP($D321,{"PH","Provincial Hospital (H2)";"DH","District Hospital (H3)";"RH","Regional / National Hospital (H1)"},2,0),
        $D321
      ),
      'Tools &amp; Targets_Guideline'!$C$53:$I$53,
      0
    )
  ),
0))</f>
        <v/>
      </c>
      <c r="Z321" s="105"/>
      <c r="AA321" s="119" t="str">
        <f t="array" ref="AA321">IF(OR($B321="",$D321=""),"",
IFERROR(
  INDEX(
    'Tools &amp; Targets_Guideline'!$C$54:$I$269,
    MATCH(
      1,
      ('Tools &amp; Targets_Guideline'!$A$54:$A$269=$B321)*
      ('Tools &amp; Targets_Guideline'!$B$54:$B$269="Penta"),
      0
    ),
    MATCH(
      _xludf.IFNA(
        VLOOKUP($D321,{"PH","Provincial Hospital (H2)";"DH","District Hospital (H3)";"RH","Regional / National Hospital (H1)"},2,0),
        $D321
      ),
      'Tools &amp; Targets_Guideline'!$C$53:$I$53,
      0
    )
  ),
0))</f>
        <v/>
      </c>
      <c r="AB321" s="105"/>
      <c r="AC321" s="119" t="str">
        <f t="array" ref="AC321">IF(OR($B321="",$D321=""),"",
IFERROR(
  INDEX(
    'Tools &amp; Targets_Guideline'!$C$54:$I$269,
    MATCH(
      1,
      ('Tools &amp; Targets_Guideline'!$A$54:$A$269=$B321)*
      ('Tools &amp; Targets_Guideline'!$B$54:$B$269="TB"),
      0
    ),
    MATCH(
      _xludf.IFNA(
        VLOOKUP($D321,{"PH","Provincial Hospital (H2)";"DH","District Hospital (H3)";"RH","Regional / National Hospital (H1)"},2,0),
        $D321
      ),
      'Tools &amp; Targets_Guideline'!$C$53:$I$53,
      0
    )
  ),
0))</f>
        <v/>
      </c>
      <c r="AD321" s="105"/>
      <c r="AE321" s="119" t="str">
        <f t="array" ref="AE321">IF(OR($B321="",$D321=""),"",
IFERROR(
  INDEX(
    'Tools &amp; Targets_Guideline'!$C$54:$I$269,
    MATCH(
      1,
      ('Tools &amp; Targets_Guideline'!$A$54:$A$269=$B321)*
      ('Tools &amp; Targets_Guideline'!$B$54:$B$269="U5 Morbidity"),
      0
    ),
    MATCH(
      _xludf.IFNA(
        VLOOKUP($D321,{"PH","Provincial Hospital (H2)";"DH","District Hospital (H3)";"RH","Regional / National Hospital (H1)"},2,0),
        $D321
      ),
      'Tools &amp; Targets_Guideline'!$C$53:$I$53,
      0
    )
  ),
0))</f>
        <v/>
      </c>
      <c r="AF321" s="105"/>
      <c r="AG321" s="119" t="str">
        <f t="array" ref="AG321">IF(OR($B321="",$D321=""),"",
IFERROR(
  INDEX(
    'Tools &amp; Targets_Guideline'!$C$54:$I$269,
    MATCH(
      1,
      ('Tools &amp; Targets_Guideline'!$A$54:$A$269=$B321)*
      ('Tools &amp; Targets_Guideline'!$B$54:$B$269="C-Section"),
      0
    ),
    MATCH(
      _xludf.IFNA(
        VLOOKUP($D321,{"PH","Provincial Hospital (H2)";"DH","District Hospital (H3)";"RH","Regional / National Hospital (H1)"},2,0),
        $D321
      ),
      'Tools &amp; Targets_Guideline'!$C$53:$I$53,
      0
    )
  ),
0))</f>
        <v/>
      </c>
      <c r="AH321" s="105" t="str">
        <f>IF(A321&lt;&gt;"",COUNTIFS('QA Log'!D:D,A321,'QA Log'!M:M,"QQC",'QA Log'!L:L,"2. Hygiene and Sterilization",'QA Log'!Z:Z,"Approved"),"")</f>
        <v/>
      </c>
      <c r="AI321" s="102"/>
      <c r="AJ321" s="102"/>
      <c r="AK321" s="103" t="str">
        <f t="shared" si="17"/>
        <v/>
      </c>
      <c r="AL321" s="102"/>
      <c r="AM321" s="102"/>
      <c r="AN321" s="102"/>
      <c r="AO321" s="106"/>
      <c r="AP321" s="103"/>
      <c r="AQ321" s="102"/>
      <c r="AR321" s="102"/>
      <c r="AS321" s="102"/>
      <c r="AT321" s="107"/>
      <c r="AU321" s="102" t="str">
        <f t="shared" si="18"/>
        <v/>
      </c>
      <c r="AV321" s="102" t="str">
        <f t="shared" si="19"/>
        <v/>
      </c>
      <c r="AW321" s="102" t="str">
        <f t="shared" si="20"/>
        <v/>
      </c>
      <c r="AX321" s="102" t="str">
        <f t="shared" si="21"/>
        <v/>
      </c>
      <c r="AY321" s="107" t="str">
        <f t="shared" si="22"/>
        <v/>
      </c>
      <c r="AZ321" s="108" t="str">
        <f t="shared" si="23"/>
        <v/>
      </c>
      <c r="BA321" s="108" t="str">
        <f t="shared" si="24"/>
        <v/>
      </c>
      <c r="BB321" s="109" t="str">
        <f t="shared" si="25"/>
        <v/>
      </c>
      <c r="BC321" s="108" t="str">
        <f t="shared" si="26"/>
        <v/>
      </c>
      <c r="BD321" s="108" t="str">
        <f t="shared" si="27"/>
        <v/>
      </c>
      <c r="BE321" s="109" t="str">
        <f t="shared" si="28"/>
        <v/>
      </c>
      <c r="BF321" s="110" t="str">
        <f t="shared" si="29"/>
        <v/>
      </c>
      <c r="BG321" s="111"/>
    </row>
    <row r="322" spans="1:59" ht="12.75">
      <c r="A322" s="101"/>
      <c r="B322" s="102"/>
      <c r="C322" s="102" t="e">
        <f t="array" aca="1" ref="C322" ca="1">_xludf.XLOOKUP(A322,'QA Log'!D:D,'QA Log'!F:F,"")</f>
        <v>#NAME?</v>
      </c>
      <c r="D322" s="102"/>
      <c r="E322" s="102" t="e">
        <f t="array" aca="1" ref="E322" ca="1">_xludf.XLOOKUP(A322,'QA Log'!D:D,'QA Log'!G:G,"")</f>
        <v>#NAME?</v>
      </c>
      <c r="F322" s="103"/>
      <c r="G322" s="104"/>
      <c r="H322" s="104"/>
      <c r="I322" s="103" t="str">
        <f t="shared" si="15"/>
        <v/>
      </c>
      <c r="J322" s="102"/>
      <c r="K322" s="102"/>
      <c r="L322" s="119" t="str">
        <f t="array" ref="L322">IF(OR($B322="",$D322=""),"",
IFERROR(
  INDEX(
    'Tools &amp; Targets_Guideline'!$C$54:$I$269,
    MATCH(
      1,
      ('Tools &amp; Targets_Guideline'!$A$54:$A$269=$B322)*
      ('Tools &amp; Targets_Guideline'!$B$54:$B$269="ANC"),
      0
    ),
    MATCH(
      _xludf.IFNA(
        VLOOKUP($D322,{"PH","Provincial Hospital (H2)";"DH","District Hospital (H3)";"RH","Regional / National Hospital (H1)"},2,0),
        $D322
      ),
      'Tools &amp; Targets_Guideline'!$C$53:$I$53,
      0
    )
  ),
0))</f>
        <v/>
      </c>
      <c r="M322" s="105"/>
      <c r="N322" s="119" t="str">
        <f t="array" ref="N322">IF(OR($B322="",$D322=""),"",
IFERROR(
  INDEX(
    'Tools &amp; Targets_Guideline'!$C$54:$I$269,
    MATCH(
      1,
      ('Tools &amp; Targets_Guideline'!$A$54:$A$269=$B322)*
      ('Tools &amp; Targets_Guideline'!$B$54:$B$269="PNC"),
      0
    ),
    MATCH(
      _xludf.IFNA(
        VLOOKUP($D322,{"PH","Provincial Hospital (H2)";"DH","District Hospital (H3)";"RH","Regional / National Hospital (H1)"},2,0),
        $D322
      ),
      'Tools &amp; Targets_Guideline'!$C$53:$I$53,
      0
    )
  ),
0))</f>
        <v/>
      </c>
      <c r="O322" s="105"/>
      <c r="P322" s="119" t="str">
        <f t="array" ref="P322">IF(OR($B322="",$D322=""),"",
IFERROR(
  INDEX(
    'Tools &amp; Targets_Guideline'!$C$54:$I$269,
    MATCH(
      1,
      ('Tools &amp; Targets_Guideline'!$A$54:$A$269=$B322)*
      ('Tools &amp; Targets_Guideline'!$B$54:$B$269="Delivery"),
      0
    ),
    MATCH(
      _xludf.IFNA(
        VLOOKUP($D322,{"PH","Provincial Hospital (H2)";"DH","District Hospital (H3)";"RH","Regional / National Hospital (H1)"},2,0),
        $D322
      ),
      'Tools &amp; Targets_Guideline'!$C$53:$I$53,
      0
    )
  ),
0))</f>
        <v/>
      </c>
      <c r="Q322" s="105"/>
      <c r="R322" s="119" t="str">
        <f t="array" ref="R322">IF(OR($B322="",$D322=""),"",
IFERROR(
  INDEX(
    'Tools &amp; Targets_Guideline'!$C$54:$I$269,
    MATCH(
      1,
      ('Tools &amp; Targets_Guideline'!$A$54:$A$269=$B322)*
      ('Tools &amp; Targets_Guideline'!$B$54:$B$269="TT"),
      0
    ),
    MATCH(
      _xludf.IFNA(
        VLOOKUP($D322,{"PH","Provincial Hospital (H2)";"DH","District Hospital (H3)";"RH","Regional / National Hospital (H1)"},2,0),
        $D322
      ),
      'Tools &amp; Targets_Guideline'!$C$53:$I$53,
      0
    )
  ),
0))</f>
        <v/>
      </c>
      <c r="S322" s="105"/>
      <c r="T322" s="102"/>
      <c r="U322" s="106"/>
      <c r="V322" s="102" t="str">
        <f t="shared" si="16"/>
        <v/>
      </c>
      <c r="W322" s="102"/>
      <c r="X322" s="102"/>
      <c r="Y322" s="119" t="str">
        <f t="array" ref="Y322">IF(OR($B322="",$D322=""),"",
IFERROR(
  INDEX(
    'Tools &amp; Targets_Guideline'!$C$54:$I$269,
    MATCH(
      1,
      ('Tools &amp; Targets_Guideline'!$A$54:$A$269=$B322)*
      ('Tools &amp; Targets_Guideline'!$B$54:$B$269="GM"),
      0
    ),
    MATCH(
      _xludf.IFNA(
        VLOOKUP($D322,{"PH","Provincial Hospital (H2)";"DH","District Hospital (H3)";"RH","Regional / National Hospital (H1)"},2,0),
        $D322
      ),
      'Tools &amp; Targets_Guideline'!$C$53:$I$53,
      0
    )
  ),
0))</f>
        <v/>
      </c>
      <c r="Z322" s="105"/>
      <c r="AA322" s="119" t="str">
        <f t="array" ref="AA322">IF(OR($B322="",$D322=""),"",
IFERROR(
  INDEX(
    'Tools &amp; Targets_Guideline'!$C$54:$I$269,
    MATCH(
      1,
      ('Tools &amp; Targets_Guideline'!$A$54:$A$269=$B322)*
      ('Tools &amp; Targets_Guideline'!$B$54:$B$269="Penta"),
      0
    ),
    MATCH(
      _xludf.IFNA(
        VLOOKUP($D322,{"PH","Provincial Hospital (H2)";"DH","District Hospital (H3)";"RH","Regional / National Hospital (H1)"},2,0),
        $D322
      ),
      'Tools &amp; Targets_Guideline'!$C$53:$I$53,
      0
    )
  ),
0))</f>
        <v/>
      </c>
      <c r="AB322" s="105"/>
      <c r="AC322" s="119" t="str">
        <f t="array" ref="AC322">IF(OR($B322="",$D322=""),"",
IFERROR(
  INDEX(
    'Tools &amp; Targets_Guideline'!$C$54:$I$269,
    MATCH(
      1,
      ('Tools &amp; Targets_Guideline'!$A$54:$A$269=$B322)*
      ('Tools &amp; Targets_Guideline'!$B$54:$B$269="TB"),
      0
    ),
    MATCH(
      _xludf.IFNA(
        VLOOKUP($D322,{"PH","Provincial Hospital (H2)";"DH","District Hospital (H3)";"RH","Regional / National Hospital (H1)"},2,0),
        $D322
      ),
      'Tools &amp; Targets_Guideline'!$C$53:$I$53,
      0
    )
  ),
0))</f>
        <v/>
      </c>
      <c r="AD322" s="105"/>
      <c r="AE322" s="119" t="str">
        <f t="array" ref="AE322">IF(OR($B322="",$D322=""),"",
IFERROR(
  INDEX(
    'Tools &amp; Targets_Guideline'!$C$54:$I$269,
    MATCH(
      1,
      ('Tools &amp; Targets_Guideline'!$A$54:$A$269=$B322)*
      ('Tools &amp; Targets_Guideline'!$B$54:$B$269="U5 Morbidity"),
      0
    ),
    MATCH(
      _xludf.IFNA(
        VLOOKUP($D322,{"PH","Provincial Hospital (H2)";"DH","District Hospital (H3)";"RH","Regional / National Hospital (H1)"},2,0),
        $D322
      ),
      'Tools &amp; Targets_Guideline'!$C$53:$I$53,
      0
    )
  ),
0))</f>
        <v/>
      </c>
      <c r="AF322" s="105"/>
      <c r="AG322" s="119" t="str">
        <f t="array" ref="AG322">IF(OR($B322="",$D322=""),"",
IFERROR(
  INDEX(
    'Tools &amp; Targets_Guideline'!$C$54:$I$269,
    MATCH(
      1,
      ('Tools &amp; Targets_Guideline'!$A$54:$A$269=$B322)*
      ('Tools &amp; Targets_Guideline'!$B$54:$B$269="C-Section"),
      0
    ),
    MATCH(
      _xludf.IFNA(
        VLOOKUP($D322,{"PH","Provincial Hospital (H2)";"DH","District Hospital (H3)";"RH","Regional / National Hospital (H1)"},2,0),
        $D322
      ),
      'Tools &amp; Targets_Guideline'!$C$53:$I$53,
      0
    )
  ),
0))</f>
        <v/>
      </c>
      <c r="AH322" s="105" t="str">
        <f>IF(A322&lt;&gt;"",COUNTIFS('QA Log'!D:D,A322,'QA Log'!M:M,"QQC",'QA Log'!L:L,"2. Hygiene and Sterilization",'QA Log'!Z:Z,"Approved"),"")</f>
        <v/>
      </c>
      <c r="AI322" s="102"/>
      <c r="AJ322" s="102"/>
      <c r="AK322" s="103" t="str">
        <f t="shared" si="17"/>
        <v/>
      </c>
      <c r="AL322" s="102"/>
      <c r="AM322" s="102"/>
      <c r="AN322" s="102"/>
      <c r="AO322" s="106"/>
      <c r="AP322" s="103"/>
      <c r="AQ322" s="102"/>
      <c r="AR322" s="102"/>
      <c r="AS322" s="102"/>
      <c r="AT322" s="107"/>
      <c r="AU322" s="102" t="str">
        <f t="shared" si="18"/>
        <v/>
      </c>
      <c r="AV322" s="102" t="str">
        <f t="shared" si="19"/>
        <v/>
      </c>
      <c r="AW322" s="102" t="str">
        <f t="shared" si="20"/>
        <v/>
      </c>
      <c r="AX322" s="102" t="str">
        <f t="shared" si="21"/>
        <v/>
      </c>
      <c r="AY322" s="107" t="str">
        <f t="shared" si="22"/>
        <v/>
      </c>
      <c r="AZ322" s="108" t="str">
        <f t="shared" si="23"/>
        <v/>
      </c>
      <c r="BA322" s="108" t="str">
        <f t="shared" si="24"/>
        <v/>
      </c>
      <c r="BB322" s="109" t="str">
        <f t="shared" si="25"/>
        <v/>
      </c>
      <c r="BC322" s="108" t="str">
        <f t="shared" si="26"/>
        <v/>
      </c>
      <c r="BD322" s="108" t="str">
        <f t="shared" si="27"/>
        <v/>
      </c>
      <c r="BE322" s="109" t="str">
        <f t="shared" si="28"/>
        <v/>
      </c>
      <c r="BF322" s="110" t="str">
        <f t="shared" si="29"/>
        <v/>
      </c>
      <c r="BG322" s="111"/>
    </row>
    <row r="323" spans="1:59" ht="12.75">
      <c r="A323" s="101"/>
      <c r="B323" s="102"/>
      <c r="C323" s="102" t="e">
        <f t="array" aca="1" ref="C323" ca="1">_xludf.XLOOKUP(A323,'QA Log'!D:D,'QA Log'!F:F,"")</f>
        <v>#NAME?</v>
      </c>
      <c r="D323" s="102"/>
      <c r="E323" s="102" t="e">
        <f t="array" aca="1" ref="E323" ca="1">_xludf.XLOOKUP(A323,'QA Log'!D:D,'QA Log'!G:G,"")</f>
        <v>#NAME?</v>
      </c>
      <c r="F323" s="103"/>
      <c r="G323" s="104"/>
      <c r="H323" s="104"/>
      <c r="I323" s="103" t="str">
        <f t="shared" si="15"/>
        <v/>
      </c>
      <c r="J323" s="102"/>
      <c r="K323" s="102"/>
      <c r="L323" s="119" t="str">
        <f t="array" ref="L323">IF(OR($B323="",$D323=""),"",
IFERROR(
  INDEX(
    'Tools &amp; Targets_Guideline'!$C$54:$I$269,
    MATCH(
      1,
      ('Tools &amp; Targets_Guideline'!$A$54:$A$269=$B323)*
      ('Tools &amp; Targets_Guideline'!$B$54:$B$269="ANC"),
      0
    ),
    MATCH(
      _xludf.IFNA(
        VLOOKUP($D323,{"PH","Provincial Hospital (H2)";"DH","District Hospital (H3)";"RH","Regional / National Hospital (H1)"},2,0),
        $D323
      ),
      'Tools &amp; Targets_Guideline'!$C$53:$I$53,
      0
    )
  ),
0))</f>
        <v/>
      </c>
      <c r="M323" s="105"/>
      <c r="N323" s="119" t="str">
        <f t="array" ref="N323">IF(OR($B323="",$D323=""),"",
IFERROR(
  INDEX(
    'Tools &amp; Targets_Guideline'!$C$54:$I$269,
    MATCH(
      1,
      ('Tools &amp; Targets_Guideline'!$A$54:$A$269=$B323)*
      ('Tools &amp; Targets_Guideline'!$B$54:$B$269="PNC"),
      0
    ),
    MATCH(
      _xludf.IFNA(
        VLOOKUP($D323,{"PH","Provincial Hospital (H2)";"DH","District Hospital (H3)";"RH","Regional / National Hospital (H1)"},2,0),
        $D323
      ),
      'Tools &amp; Targets_Guideline'!$C$53:$I$53,
      0
    )
  ),
0))</f>
        <v/>
      </c>
      <c r="O323" s="105"/>
      <c r="P323" s="119" t="str">
        <f t="array" ref="P323">IF(OR($B323="",$D323=""),"",
IFERROR(
  INDEX(
    'Tools &amp; Targets_Guideline'!$C$54:$I$269,
    MATCH(
      1,
      ('Tools &amp; Targets_Guideline'!$A$54:$A$269=$B323)*
      ('Tools &amp; Targets_Guideline'!$B$54:$B$269="Delivery"),
      0
    ),
    MATCH(
      _xludf.IFNA(
        VLOOKUP($D323,{"PH","Provincial Hospital (H2)";"DH","District Hospital (H3)";"RH","Regional / National Hospital (H1)"},2,0),
        $D323
      ),
      'Tools &amp; Targets_Guideline'!$C$53:$I$53,
      0
    )
  ),
0))</f>
        <v/>
      </c>
      <c r="Q323" s="105"/>
      <c r="R323" s="119" t="str">
        <f t="array" ref="R323">IF(OR($B323="",$D323=""),"",
IFERROR(
  INDEX(
    'Tools &amp; Targets_Guideline'!$C$54:$I$269,
    MATCH(
      1,
      ('Tools &amp; Targets_Guideline'!$A$54:$A$269=$B323)*
      ('Tools &amp; Targets_Guideline'!$B$54:$B$269="TT"),
      0
    ),
    MATCH(
      _xludf.IFNA(
        VLOOKUP($D323,{"PH","Provincial Hospital (H2)";"DH","District Hospital (H3)";"RH","Regional / National Hospital (H1)"},2,0),
        $D323
      ),
      'Tools &amp; Targets_Guideline'!$C$53:$I$53,
      0
    )
  ),
0))</f>
        <v/>
      </c>
      <c r="S323" s="105"/>
      <c r="T323" s="102"/>
      <c r="U323" s="106"/>
      <c r="V323" s="102" t="str">
        <f t="shared" si="16"/>
        <v/>
      </c>
      <c r="W323" s="102"/>
      <c r="X323" s="102"/>
      <c r="Y323" s="119" t="str">
        <f t="array" ref="Y323">IF(OR($B323="",$D323=""),"",
IFERROR(
  INDEX(
    'Tools &amp; Targets_Guideline'!$C$54:$I$269,
    MATCH(
      1,
      ('Tools &amp; Targets_Guideline'!$A$54:$A$269=$B323)*
      ('Tools &amp; Targets_Guideline'!$B$54:$B$269="GM"),
      0
    ),
    MATCH(
      _xludf.IFNA(
        VLOOKUP($D323,{"PH","Provincial Hospital (H2)";"DH","District Hospital (H3)";"RH","Regional / National Hospital (H1)"},2,0),
        $D323
      ),
      'Tools &amp; Targets_Guideline'!$C$53:$I$53,
      0
    )
  ),
0))</f>
        <v/>
      </c>
      <c r="Z323" s="105"/>
      <c r="AA323" s="119" t="str">
        <f t="array" ref="AA323">IF(OR($B323="",$D323=""),"",
IFERROR(
  INDEX(
    'Tools &amp; Targets_Guideline'!$C$54:$I$269,
    MATCH(
      1,
      ('Tools &amp; Targets_Guideline'!$A$54:$A$269=$B323)*
      ('Tools &amp; Targets_Guideline'!$B$54:$B$269="Penta"),
      0
    ),
    MATCH(
      _xludf.IFNA(
        VLOOKUP($D323,{"PH","Provincial Hospital (H2)";"DH","District Hospital (H3)";"RH","Regional / National Hospital (H1)"},2,0),
        $D323
      ),
      'Tools &amp; Targets_Guideline'!$C$53:$I$53,
      0
    )
  ),
0))</f>
        <v/>
      </c>
      <c r="AB323" s="105"/>
      <c r="AC323" s="119" t="str">
        <f t="array" ref="AC323">IF(OR($B323="",$D323=""),"",
IFERROR(
  INDEX(
    'Tools &amp; Targets_Guideline'!$C$54:$I$269,
    MATCH(
      1,
      ('Tools &amp; Targets_Guideline'!$A$54:$A$269=$B323)*
      ('Tools &amp; Targets_Guideline'!$B$54:$B$269="TB"),
      0
    ),
    MATCH(
      _xludf.IFNA(
        VLOOKUP($D323,{"PH","Provincial Hospital (H2)";"DH","District Hospital (H3)";"RH","Regional / National Hospital (H1)"},2,0),
        $D323
      ),
      'Tools &amp; Targets_Guideline'!$C$53:$I$53,
      0
    )
  ),
0))</f>
        <v/>
      </c>
      <c r="AD323" s="105"/>
      <c r="AE323" s="119" t="str">
        <f t="array" ref="AE323">IF(OR($B323="",$D323=""),"",
IFERROR(
  INDEX(
    'Tools &amp; Targets_Guideline'!$C$54:$I$269,
    MATCH(
      1,
      ('Tools &amp; Targets_Guideline'!$A$54:$A$269=$B323)*
      ('Tools &amp; Targets_Guideline'!$B$54:$B$269="U5 Morbidity"),
      0
    ),
    MATCH(
      _xludf.IFNA(
        VLOOKUP($D323,{"PH","Provincial Hospital (H2)";"DH","District Hospital (H3)";"RH","Regional / National Hospital (H1)"},2,0),
        $D323
      ),
      'Tools &amp; Targets_Guideline'!$C$53:$I$53,
      0
    )
  ),
0))</f>
        <v/>
      </c>
      <c r="AF323" s="105"/>
      <c r="AG323" s="119" t="str">
        <f t="array" ref="AG323">IF(OR($B323="",$D323=""),"",
IFERROR(
  INDEX(
    'Tools &amp; Targets_Guideline'!$C$54:$I$269,
    MATCH(
      1,
      ('Tools &amp; Targets_Guideline'!$A$54:$A$269=$B323)*
      ('Tools &amp; Targets_Guideline'!$B$54:$B$269="C-Section"),
      0
    ),
    MATCH(
      _xludf.IFNA(
        VLOOKUP($D323,{"PH","Provincial Hospital (H2)";"DH","District Hospital (H3)";"RH","Regional / National Hospital (H1)"},2,0),
        $D323
      ),
      'Tools &amp; Targets_Guideline'!$C$53:$I$53,
      0
    )
  ),
0))</f>
        <v/>
      </c>
      <c r="AH323" s="105" t="str">
        <f>IF(A323&lt;&gt;"",COUNTIFS('QA Log'!D:D,A323,'QA Log'!M:M,"QQC",'QA Log'!L:L,"2. Hygiene and Sterilization",'QA Log'!Z:Z,"Approved"),"")</f>
        <v/>
      </c>
      <c r="AI323" s="102"/>
      <c r="AJ323" s="102"/>
      <c r="AK323" s="103" t="str">
        <f t="shared" si="17"/>
        <v/>
      </c>
      <c r="AL323" s="102"/>
      <c r="AM323" s="102"/>
      <c r="AN323" s="102"/>
      <c r="AO323" s="106"/>
      <c r="AP323" s="103"/>
      <c r="AQ323" s="102"/>
      <c r="AR323" s="102"/>
      <c r="AS323" s="102"/>
      <c r="AT323" s="107"/>
      <c r="AU323" s="102" t="str">
        <f t="shared" si="18"/>
        <v/>
      </c>
      <c r="AV323" s="102" t="str">
        <f t="shared" si="19"/>
        <v/>
      </c>
      <c r="AW323" s="102" t="str">
        <f t="shared" si="20"/>
        <v/>
      </c>
      <c r="AX323" s="102" t="str">
        <f t="shared" si="21"/>
        <v/>
      </c>
      <c r="AY323" s="107" t="str">
        <f t="shared" si="22"/>
        <v/>
      </c>
      <c r="AZ323" s="108" t="str">
        <f t="shared" si="23"/>
        <v/>
      </c>
      <c r="BA323" s="108" t="str">
        <f t="shared" si="24"/>
        <v/>
      </c>
      <c r="BB323" s="109" t="str">
        <f t="shared" si="25"/>
        <v/>
      </c>
      <c r="BC323" s="108" t="str">
        <f t="shared" si="26"/>
        <v/>
      </c>
      <c r="BD323" s="108" t="str">
        <f t="shared" si="27"/>
        <v/>
      </c>
      <c r="BE323" s="109" t="str">
        <f t="shared" si="28"/>
        <v/>
      </c>
      <c r="BF323" s="110" t="str">
        <f t="shared" si="29"/>
        <v/>
      </c>
      <c r="BG323" s="111"/>
    </row>
    <row r="324" spans="1:59" ht="12.75">
      <c r="A324" s="101"/>
      <c r="B324" s="102"/>
      <c r="C324" s="102" t="e">
        <f t="array" aca="1" ref="C324" ca="1">_xludf.XLOOKUP(A324,'QA Log'!D:D,'QA Log'!F:F,"")</f>
        <v>#NAME?</v>
      </c>
      <c r="D324" s="102"/>
      <c r="E324" s="102" t="e">
        <f t="array" aca="1" ref="E324" ca="1">_xludf.XLOOKUP(A324,'QA Log'!D:D,'QA Log'!G:G,"")</f>
        <v>#NAME?</v>
      </c>
      <c r="F324" s="103"/>
      <c r="G324" s="104"/>
      <c r="H324" s="104"/>
      <c r="I324" s="103" t="str">
        <f t="shared" si="15"/>
        <v/>
      </c>
      <c r="J324" s="102"/>
      <c r="K324" s="102"/>
      <c r="L324" s="119" t="str">
        <f t="array" ref="L324">IF(OR($B324="",$D324=""),"",
IFERROR(
  INDEX(
    'Tools &amp; Targets_Guideline'!$C$54:$I$269,
    MATCH(
      1,
      ('Tools &amp; Targets_Guideline'!$A$54:$A$269=$B324)*
      ('Tools &amp; Targets_Guideline'!$B$54:$B$269="ANC"),
      0
    ),
    MATCH(
      _xludf.IFNA(
        VLOOKUP($D324,{"PH","Provincial Hospital (H2)";"DH","District Hospital (H3)";"RH","Regional / National Hospital (H1)"},2,0),
        $D324
      ),
      'Tools &amp; Targets_Guideline'!$C$53:$I$53,
      0
    )
  ),
0))</f>
        <v/>
      </c>
      <c r="M324" s="105"/>
      <c r="N324" s="119" t="str">
        <f t="array" ref="N324">IF(OR($B324="",$D324=""),"",
IFERROR(
  INDEX(
    'Tools &amp; Targets_Guideline'!$C$54:$I$269,
    MATCH(
      1,
      ('Tools &amp; Targets_Guideline'!$A$54:$A$269=$B324)*
      ('Tools &amp; Targets_Guideline'!$B$54:$B$269="PNC"),
      0
    ),
    MATCH(
      _xludf.IFNA(
        VLOOKUP($D324,{"PH","Provincial Hospital (H2)";"DH","District Hospital (H3)";"RH","Regional / National Hospital (H1)"},2,0),
        $D324
      ),
      'Tools &amp; Targets_Guideline'!$C$53:$I$53,
      0
    )
  ),
0))</f>
        <v/>
      </c>
      <c r="O324" s="105"/>
      <c r="P324" s="119" t="str">
        <f t="array" ref="P324">IF(OR($B324="",$D324=""),"",
IFERROR(
  INDEX(
    'Tools &amp; Targets_Guideline'!$C$54:$I$269,
    MATCH(
      1,
      ('Tools &amp; Targets_Guideline'!$A$54:$A$269=$B324)*
      ('Tools &amp; Targets_Guideline'!$B$54:$B$269="Delivery"),
      0
    ),
    MATCH(
      _xludf.IFNA(
        VLOOKUP($D324,{"PH","Provincial Hospital (H2)";"DH","District Hospital (H3)";"RH","Regional / National Hospital (H1)"},2,0),
        $D324
      ),
      'Tools &amp; Targets_Guideline'!$C$53:$I$53,
      0
    )
  ),
0))</f>
        <v/>
      </c>
      <c r="Q324" s="105"/>
      <c r="R324" s="119" t="str">
        <f t="array" ref="R324">IF(OR($B324="",$D324=""),"",
IFERROR(
  INDEX(
    'Tools &amp; Targets_Guideline'!$C$54:$I$269,
    MATCH(
      1,
      ('Tools &amp; Targets_Guideline'!$A$54:$A$269=$B324)*
      ('Tools &amp; Targets_Guideline'!$B$54:$B$269="TT"),
      0
    ),
    MATCH(
      _xludf.IFNA(
        VLOOKUP($D324,{"PH","Provincial Hospital (H2)";"DH","District Hospital (H3)";"RH","Regional / National Hospital (H1)"},2,0),
        $D324
      ),
      'Tools &amp; Targets_Guideline'!$C$53:$I$53,
      0
    )
  ),
0))</f>
        <v/>
      </c>
      <c r="S324" s="105"/>
      <c r="T324" s="102"/>
      <c r="U324" s="106"/>
      <c r="V324" s="102" t="str">
        <f t="shared" si="16"/>
        <v/>
      </c>
      <c r="W324" s="102"/>
      <c r="X324" s="102"/>
      <c r="Y324" s="119" t="str">
        <f t="array" ref="Y324">IF(OR($B324="",$D324=""),"",
IFERROR(
  INDEX(
    'Tools &amp; Targets_Guideline'!$C$54:$I$269,
    MATCH(
      1,
      ('Tools &amp; Targets_Guideline'!$A$54:$A$269=$B324)*
      ('Tools &amp; Targets_Guideline'!$B$54:$B$269="GM"),
      0
    ),
    MATCH(
      _xludf.IFNA(
        VLOOKUP($D324,{"PH","Provincial Hospital (H2)";"DH","District Hospital (H3)";"RH","Regional / National Hospital (H1)"},2,0),
        $D324
      ),
      'Tools &amp; Targets_Guideline'!$C$53:$I$53,
      0
    )
  ),
0))</f>
        <v/>
      </c>
      <c r="Z324" s="105"/>
      <c r="AA324" s="119" t="str">
        <f t="array" ref="AA324">IF(OR($B324="",$D324=""),"",
IFERROR(
  INDEX(
    'Tools &amp; Targets_Guideline'!$C$54:$I$269,
    MATCH(
      1,
      ('Tools &amp; Targets_Guideline'!$A$54:$A$269=$B324)*
      ('Tools &amp; Targets_Guideline'!$B$54:$B$269="Penta"),
      0
    ),
    MATCH(
      _xludf.IFNA(
        VLOOKUP($D324,{"PH","Provincial Hospital (H2)";"DH","District Hospital (H3)";"RH","Regional / National Hospital (H1)"},2,0),
        $D324
      ),
      'Tools &amp; Targets_Guideline'!$C$53:$I$53,
      0
    )
  ),
0))</f>
        <v/>
      </c>
      <c r="AB324" s="105"/>
      <c r="AC324" s="119" t="str">
        <f t="array" ref="AC324">IF(OR($B324="",$D324=""),"",
IFERROR(
  INDEX(
    'Tools &amp; Targets_Guideline'!$C$54:$I$269,
    MATCH(
      1,
      ('Tools &amp; Targets_Guideline'!$A$54:$A$269=$B324)*
      ('Tools &amp; Targets_Guideline'!$B$54:$B$269="TB"),
      0
    ),
    MATCH(
      _xludf.IFNA(
        VLOOKUP($D324,{"PH","Provincial Hospital (H2)";"DH","District Hospital (H3)";"RH","Regional / National Hospital (H1)"},2,0),
        $D324
      ),
      'Tools &amp; Targets_Guideline'!$C$53:$I$53,
      0
    )
  ),
0))</f>
        <v/>
      </c>
      <c r="AD324" s="105"/>
      <c r="AE324" s="119" t="str">
        <f t="array" ref="AE324">IF(OR($B324="",$D324=""),"",
IFERROR(
  INDEX(
    'Tools &amp; Targets_Guideline'!$C$54:$I$269,
    MATCH(
      1,
      ('Tools &amp; Targets_Guideline'!$A$54:$A$269=$B324)*
      ('Tools &amp; Targets_Guideline'!$B$54:$B$269="U5 Morbidity"),
      0
    ),
    MATCH(
      _xludf.IFNA(
        VLOOKUP($D324,{"PH","Provincial Hospital (H2)";"DH","District Hospital (H3)";"RH","Regional / National Hospital (H1)"},2,0),
        $D324
      ),
      'Tools &amp; Targets_Guideline'!$C$53:$I$53,
      0
    )
  ),
0))</f>
        <v/>
      </c>
      <c r="AF324" s="105"/>
      <c r="AG324" s="119" t="str">
        <f t="array" ref="AG324">IF(OR($B324="",$D324=""),"",
IFERROR(
  INDEX(
    'Tools &amp; Targets_Guideline'!$C$54:$I$269,
    MATCH(
      1,
      ('Tools &amp; Targets_Guideline'!$A$54:$A$269=$B324)*
      ('Tools &amp; Targets_Guideline'!$B$54:$B$269="C-Section"),
      0
    ),
    MATCH(
      _xludf.IFNA(
        VLOOKUP($D324,{"PH","Provincial Hospital (H2)";"DH","District Hospital (H3)";"RH","Regional / National Hospital (H1)"},2,0),
        $D324
      ),
      'Tools &amp; Targets_Guideline'!$C$53:$I$53,
      0
    )
  ),
0))</f>
        <v/>
      </c>
      <c r="AH324" s="105" t="str">
        <f>IF(A324&lt;&gt;"",COUNTIFS('QA Log'!D:D,A324,'QA Log'!M:M,"QQC",'QA Log'!L:L,"2. Hygiene and Sterilization",'QA Log'!Z:Z,"Approved"),"")</f>
        <v/>
      </c>
      <c r="AI324" s="102"/>
      <c r="AJ324" s="102"/>
      <c r="AK324" s="103" t="str">
        <f t="shared" si="17"/>
        <v/>
      </c>
      <c r="AL324" s="102"/>
      <c r="AM324" s="102"/>
      <c r="AN324" s="102"/>
      <c r="AO324" s="106"/>
      <c r="AP324" s="103"/>
      <c r="AQ324" s="102"/>
      <c r="AR324" s="102"/>
      <c r="AS324" s="102"/>
      <c r="AT324" s="107"/>
      <c r="AU324" s="102" t="str">
        <f t="shared" si="18"/>
        <v/>
      </c>
      <c r="AV324" s="102" t="str">
        <f t="shared" si="19"/>
        <v/>
      </c>
      <c r="AW324" s="102" t="str">
        <f t="shared" si="20"/>
        <v/>
      </c>
      <c r="AX324" s="102" t="str">
        <f t="shared" si="21"/>
        <v/>
      </c>
      <c r="AY324" s="107" t="str">
        <f t="shared" si="22"/>
        <v/>
      </c>
      <c r="AZ324" s="108" t="str">
        <f t="shared" si="23"/>
        <v/>
      </c>
      <c r="BA324" s="108" t="str">
        <f t="shared" si="24"/>
        <v/>
      </c>
      <c r="BB324" s="109" t="str">
        <f t="shared" si="25"/>
        <v/>
      </c>
      <c r="BC324" s="108" t="str">
        <f t="shared" si="26"/>
        <v/>
      </c>
      <c r="BD324" s="108" t="str">
        <f t="shared" si="27"/>
        <v/>
      </c>
      <c r="BE324" s="109" t="str">
        <f t="shared" si="28"/>
        <v/>
      </c>
      <c r="BF324" s="110" t="str">
        <f t="shared" si="29"/>
        <v/>
      </c>
      <c r="BG324" s="111"/>
    </row>
    <row r="325" spans="1:59" ht="12.75">
      <c r="A325" s="101"/>
      <c r="B325" s="102"/>
      <c r="C325" s="102" t="e">
        <f t="array" aca="1" ref="C325" ca="1">_xludf.XLOOKUP(A325,'QA Log'!D:D,'QA Log'!F:F,"")</f>
        <v>#NAME?</v>
      </c>
      <c r="D325" s="102"/>
      <c r="E325" s="102" t="e">
        <f t="array" aca="1" ref="E325" ca="1">_xludf.XLOOKUP(A325,'QA Log'!D:D,'QA Log'!G:G,"")</f>
        <v>#NAME?</v>
      </c>
      <c r="F325" s="103"/>
      <c r="G325" s="104"/>
      <c r="H325" s="104"/>
      <c r="I325" s="103" t="str">
        <f t="shared" si="15"/>
        <v/>
      </c>
      <c r="J325" s="102"/>
      <c r="K325" s="102"/>
      <c r="L325" s="119" t="str">
        <f t="array" ref="L325">IF(OR($B325="",$D325=""),"",
IFERROR(
  INDEX(
    'Tools &amp; Targets_Guideline'!$C$54:$I$269,
    MATCH(
      1,
      ('Tools &amp; Targets_Guideline'!$A$54:$A$269=$B325)*
      ('Tools &amp; Targets_Guideline'!$B$54:$B$269="ANC"),
      0
    ),
    MATCH(
      _xludf.IFNA(
        VLOOKUP($D325,{"PH","Provincial Hospital (H2)";"DH","District Hospital (H3)";"RH","Regional / National Hospital (H1)"},2,0),
        $D325
      ),
      'Tools &amp; Targets_Guideline'!$C$53:$I$53,
      0
    )
  ),
0))</f>
        <v/>
      </c>
      <c r="M325" s="105"/>
      <c r="N325" s="119" t="str">
        <f t="array" ref="N325">IF(OR($B325="",$D325=""),"",
IFERROR(
  INDEX(
    'Tools &amp; Targets_Guideline'!$C$54:$I$269,
    MATCH(
      1,
      ('Tools &amp; Targets_Guideline'!$A$54:$A$269=$B325)*
      ('Tools &amp; Targets_Guideline'!$B$54:$B$269="PNC"),
      0
    ),
    MATCH(
      _xludf.IFNA(
        VLOOKUP($D325,{"PH","Provincial Hospital (H2)";"DH","District Hospital (H3)";"RH","Regional / National Hospital (H1)"},2,0),
        $D325
      ),
      'Tools &amp; Targets_Guideline'!$C$53:$I$53,
      0
    )
  ),
0))</f>
        <v/>
      </c>
      <c r="O325" s="105"/>
      <c r="P325" s="119" t="str">
        <f t="array" ref="P325">IF(OR($B325="",$D325=""),"",
IFERROR(
  INDEX(
    'Tools &amp; Targets_Guideline'!$C$54:$I$269,
    MATCH(
      1,
      ('Tools &amp; Targets_Guideline'!$A$54:$A$269=$B325)*
      ('Tools &amp; Targets_Guideline'!$B$54:$B$269="Delivery"),
      0
    ),
    MATCH(
      _xludf.IFNA(
        VLOOKUP($D325,{"PH","Provincial Hospital (H2)";"DH","District Hospital (H3)";"RH","Regional / National Hospital (H1)"},2,0),
        $D325
      ),
      'Tools &amp; Targets_Guideline'!$C$53:$I$53,
      0
    )
  ),
0))</f>
        <v/>
      </c>
      <c r="Q325" s="105"/>
      <c r="R325" s="119" t="str">
        <f t="array" ref="R325">IF(OR($B325="",$D325=""),"",
IFERROR(
  INDEX(
    'Tools &amp; Targets_Guideline'!$C$54:$I$269,
    MATCH(
      1,
      ('Tools &amp; Targets_Guideline'!$A$54:$A$269=$B325)*
      ('Tools &amp; Targets_Guideline'!$B$54:$B$269="TT"),
      0
    ),
    MATCH(
      _xludf.IFNA(
        VLOOKUP($D325,{"PH","Provincial Hospital (H2)";"DH","District Hospital (H3)";"RH","Regional / National Hospital (H1)"},2,0),
        $D325
      ),
      'Tools &amp; Targets_Guideline'!$C$53:$I$53,
      0
    )
  ),
0))</f>
        <v/>
      </c>
      <c r="S325" s="105"/>
      <c r="T325" s="102"/>
      <c r="U325" s="106"/>
      <c r="V325" s="102" t="str">
        <f t="shared" si="16"/>
        <v/>
      </c>
      <c r="W325" s="102"/>
      <c r="X325" s="102"/>
      <c r="Y325" s="119" t="str">
        <f t="array" ref="Y325">IF(OR($B325="",$D325=""),"",
IFERROR(
  INDEX(
    'Tools &amp; Targets_Guideline'!$C$54:$I$269,
    MATCH(
      1,
      ('Tools &amp; Targets_Guideline'!$A$54:$A$269=$B325)*
      ('Tools &amp; Targets_Guideline'!$B$54:$B$269="GM"),
      0
    ),
    MATCH(
      _xludf.IFNA(
        VLOOKUP($D325,{"PH","Provincial Hospital (H2)";"DH","District Hospital (H3)";"RH","Regional / National Hospital (H1)"},2,0),
        $D325
      ),
      'Tools &amp; Targets_Guideline'!$C$53:$I$53,
      0
    )
  ),
0))</f>
        <v/>
      </c>
      <c r="Z325" s="105"/>
      <c r="AA325" s="119" t="str">
        <f t="array" ref="AA325">IF(OR($B325="",$D325=""),"",
IFERROR(
  INDEX(
    'Tools &amp; Targets_Guideline'!$C$54:$I$269,
    MATCH(
      1,
      ('Tools &amp; Targets_Guideline'!$A$54:$A$269=$B325)*
      ('Tools &amp; Targets_Guideline'!$B$54:$B$269="Penta"),
      0
    ),
    MATCH(
      _xludf.IFNA(
        VLOOKUP($D325,{"PH","Provincial Hospital (H2)";"DH","District Hospital (H3)";"RH","Regional / National Hospital (H1)"},2,0),
        $D325
      ),
      'Tools &amp; Targets_Guideline'!$C$53:$I$53,
      0
    )
  ),
0))</f>
        <v/>
      </c>
      <c r="AB325" s="105"/>
      <c r="AC325" s="119" t="str">
        <f t="array" ref="AC325">IF(OR($B325="",$D325=""),"",
IFERROR(
  INDEX(
    'Tools &amp; Targets_Guideline'!$C$54:$I$269,
    MATCH(
      1,
      ('Tools &amp; Targets_Guideline'!$A$54:$A$269=$B325)*
      ('Tools &amp; Targets_Guideline'!$B$54:$B$269="TB"),
      0
    ),
    MATCH(
      _xludf.IFNA(
        VLOOKUP($D325,{"PH","Provincial Hospital (H2)";"DH","District Hospital (H3)";"RH","Regional / National Hospital (H1)"},2,0),
        $D325
      ),
      'Tools &amp; Targets_Guideline'!$C$53:$I$53,
      0
    )
  ),
0))</f>
        <v/>
      </c>
      <c r="AD325" s="105"/>
      <c r="AE325" s="119" t="str">
        <f t="array" ref="AE325">IF(OR($B325="",$D325=""),"",
IFERROR(
  INDEX(
    'Tools &amp; Targets_Guideline'!$C$54:$I$269,
    MATCH(
      1,
      ('Tools &amp; Targets_Guideline'!$A$54:$A$269=$B325)*
      ('Tools &amp; Targets_Guideline'!$B$54:$B$269="U5 Morbidity"),
      0
    ),
    MATCH(
      _xludf.IFNA(
        VLOOKUP($D325,{"PH","Provincial Hospital (H2)";"DH","District Hospital (H3)";"RH","Regional / National Hospital (H1)"},2,0),
        $D325
      ),
      'Tools &amp; Targets_Guideline'!$C$53:$I$53,
      0
    )
  ),
0))</f>
        <v/>
      </c>
      <c r="AF325" s="105"/>
      <c r="AG325" s="119" t="str">
        <f t="array" ref="AG325">IF(OR($B325="",$D325=""),"",
IFERROR(
  INDEX(
    'Tools &amp; Targets_Guideline'!$C$54:$I$269,
    MATCH(
      1,
      ('Tools &amp; Targets_Guideline'!$A$54:$A$269=$B325)*
      ('Tools &amp; Targets_Guideline'!$B$54:$B$269="C-Section"),
      0
    ),
    MATCH(
      _xludf.IFNA(
        VLOOKUP($D325,{"PH","Provincial Hospital (H2)";"DH","District Hospital (H3)";"RH","Regional / National Hospital (H1)"},2,0),
        $D325
      ),
      'Tools &amp; Targets_Guideline'!$C$53:$I$53,
      0
    )
  ),
0))</f>
        <v/>
      </c>
      <c r="AH325" s="105" t="str">
        <f>IF(A325&lt;&gt;"",COUNTIFS('QA Log'!D:D,A325,'QA Log'!M:M,"QQC",'QA Log'!L:L,"2. Hygiene and Sterilization",'QA Log'!Z:Z,"Approved"),"")</f>
        <v/>
      </c>
      <c r="AI325" s="102"/>
      <c r="AJ325" s="102"/>
      <c r="AK325" s="103" t="str">
        <f t="shared" si="17"/>
        <v/>
      </c>
      <c r="AL325" s="102"/>
      <c r="AM325" s="102"/>
      <c r="AN325" s="102"/>
      <c r="AO325" s="106"/>
      <c r="AP325" s="103"/>
      <c r="AQ325" s="102"/>
      <c r="AR325" s="102"/>
      <c r="AS325" s="102"/>
      <c r="AT325" s="107"/>
      <c r="AU325" s="102" t="str">
        <f t="shared" si="18"/>
        <v/>
      </c>
      <c r="AV325" s="102" t="str">
        <f t="shared" si="19"/>
        <v/>
      </c>
      <c r="AW325" s="102" t="str">
        <f t="shared" si="20"/>
        <v/>
      </c>
      <c r="AX325" s="102" t="str">
        <f t="shared" si="21"/>
        <v/>
      </c>
      <c r="AY325" s="107" t="str">
        <f t="shared" si="22"/>
        <v/>
      </c>
      <c r="AZ325" s="108" t="str">
        <f t="shared" si="23"/>
        <v/>
      </c>
      <c r="BA325" s="108" t="str">
        <f t="shared" si="24"/>
        <v/>
      </c>
      <c r="BB325" s="109" t="str">
        <f t="shared" si="25"/>
        <v/>
      </c>
      <c r="BC325" s="108" t="str">
        <f t="shared" si="26"/>
        <v/>
      </c>
      <c r="BD325" s="108" t="str">
        <f t="shared" si="27"/>
        <v/>
      </c>
      <c r="BE325" s="109" t="str">
        <f t="shared" si="28"/>
        <v/>
      </c>
      <c r="BF325" s="110" t="str">
        <f t="shared" si="29"/>
        <v/>
      </c>
      <c r="BG325" s="111"/>
    </row>
    <row r="326" spans="1:59" ht="12.75">
      <c r="A326" s="101"/>
      <c r="B326" s="102"/>
      <c r="C326" s="102" t="e">
        <f t="array" aca="1" ref="C326" ca="1">_xludf.XLOOKUP(A326,'QA Log'!D:D,'QA Log'!F:F,"")</f>
        <v>#NAME?</v>
      </c>
      <c r="D326" s="102"/>
      <c r="E326" s="102" t="e">
        <f t="array" aca="1" ref="E326" ca="1">_xludf.XLOOKUP(A326,'QA Log'!D:D,'QA Log'!G:G,"")</f>
        <v>#NAME?</v>
      </c>
      <c r="F326" s="103"/>
      <c r="G326" s="104"/>
      <c r="H326" s="104"/>
      <c r="I326" s="103" t="str">
        <f t="shared" si="15"/>
        <v/>
      </c>
      <c r="J326" s="102"/>
      <c r="K326" s="102"/>
      <c r="L326" s="119" t="str">
        <f t="array" ref="L326">IF(OR($B326="",$D326=""),"",
IFERROR(
  INDEX(
    'Tools &amp; Targets_Guideline'!$C$54:$I$269,
    MATCH(
      1,
      ('Tools &amp; Targets_Guideline'!$A$54:$A$269=$B326)*
      ('Tools &amp; Targets_Guideline'!$B$54:$B$269="ANC"),
      0
    ),
    MATCH(
      _xludf.IFNA(
        VLOOKUP($D326,{"PH","Provincial Hospital (H2)";"DH","District Hospital (H3)";"RH","Regional / National Hospital (H1)"},2,0),
        $D326
      ),
      'Tools &amp; Targets_Guideline'!$C$53:$I$53,
      0
    )
  ),
0))</f>
        <v/>
      </c>
      <c r="M326" s="105"/>
      <c r="N326" s="119" t="str">
        <f t="array" ref="N326">IF(OR($B326="",$D326=""),"",
IFERROR(
  INDEX(
    'Tools &amp; Targets_Guideline'!$C$54:$I$269,
    MATCH(
      1,
      ('Tools &amp; Targets_Guideline'!$A$54:$A$269=$B326)*
      ('Tools &amp; Targets_Guideline'!$B$54:$B$269="PNC"),
      0
    ),
    MATCH(
      _xludf.IFNA(
        VLOOKUP($D326,{"PH","Provincial Hospital (H2)";"DH","District Hospital (H3)";"RH","Regional / National Hospital (H1)"},2,0),
        $D326
      ),
      'Tools &amp; Targets_Guideline'!$C$53:$I$53,
      0
    )
  ),
0))</f>
        <v/>
      </c>
      <c r="O326" s="105"/>
      <c r="P326" s="119" t="str">
        <f t="array" ref="P326">IF(OR($B326="",$D326=""),"",
IFERROR(
  INDEX(
    'Tools &amp; Targets_Guideline'!$C$54:$I$269,
    MATCH(
      1,
      ('Tools &amp; Targets_Guideline'!$A$54:$A$269=$B326)*
      ('Tools &amp; Targets_Guideline'!$B$54:$B$269="Delivery"),
      0
    ),
    MATCH(
      _xludf.IFNA(
        VLOOKUP($D326,{"PH","Provincial Hospital (H2)";"DH","District Hospital (H3)";"RH","Regional / National Hospital (H1)"},2,0),
        $D326
      ),
      'Tools &amp; Targets_Guideline'!$C$53:$I$53,
      0
    )
  ),
0))</f>
        <v/>
      </c>
      <c r="Q326" s="105"/>
      <c r="R326" s="119" t="str">
        <f t="array" ref="R326">IF(OR($B326="",$D326=""),"",
IFERROR(
  INDEX(
    'Tools &amp; Targets_Guideline'!$C$54:$I$269,
    MATCH(
      1,
      ('Tools &amp; Targets_Guideline'!$A$54:$A$269=$B326)*
      ('Tools &amp; Targets_Guideline'!$B$54:$B$269="TT"),
      0
    ),
    MATCH(
      _xludf.IFNA(
        VLOOKUP($D326,{"PH","Provincial Hospital (H2)";"DH","District Hospital (H3)";"RH","Regional / National Hospital (H1)"},2,0),
        $D326
      ),
      'Tools &amp; Targets_Guideline'!$C$53:$I$53,
      0
    )
  ),
0))</f>
        <v/>
      </c>
      <c r="S326" s="105"/>
      <c r="T326" s="102"/>
      <c r="U326" s="106"/>
      <c r="V326" s="102" t="str">
        <f t="shared" si="16"/>
        <v/>
      </c>
      <c r="W326" s="102"/>
      <c r="X326" s="102"/>
      <c r="Y326" s="119" t="str">
        <f t="array" ref="Y326">IF(OR($B326="",$D326=""),"",
IFERROR(
  INDEX(
    'Tools &amp; Targets_Guideline'!$C$54:$I$269,
    MATCH(
      1,
      ('Tools &amp; Targets_Guideline'!$A$54:$A$269=$B326)*
      ('Tools &amp; Targets_Guideline'!$B$54:$B$269="GM"),
      0
    ),
    MATCH(
      _xludf.IFNA(
        VLOOKUP($D326,{"PH","Provincial Hospital (H2)";"DH","District Hospital (H3)";"RH","Regional / National Hospital (H1)"},2,0),
        $D326
      ),
      'Tools &amp; Targets_Guideline'!$C$53:$I$53,
      0
    )
  ),
0))</f>
        <v/>
      </c>
      <c r="Z326" s="105"/>
      <c r="AA326" s="119" t="str">
        <f t="array" ref="AA326">IF(OR($B326="",$D326=""),"",
IFERROR(
  INDEX(
    'Tools &amp; Targets_Guideline'!$C$54:$I$269,
    MATCH(
      1,
      ('Tools &amp; Targets_Guideline'!$A$54:$A$269=$B326)*
      ('Tools &amp; Targets_Guideline'!$B$54:$B$269="Penta"),
      0
    ),
    MATCH(
      _xludf.IFNA(
        VLOOKUP($D326,{"PH","Provincial Hospital (H2)";"DH","District Hospital (H3)";"RH","Regional / National Hospital (H1)"},2,0),
        $D326
      ),
      'Tools &amp; Targets_Guideline'!$C$53:$I$53,
      0
    )
  ),
0))</f>
        <v/>
      </c>
      <c r="AB326" s="105"/>
      <c r="AC326" s="119" t="str">
        <f t="array" ref="AC326">IF(OR($B326="",$D326=""),"",
IFERROR(
  INDEX(
    'Tools &amp; Targets_Guideline'!$C$54:$I$269,
    MATCH(
      1,
      ('Tools &amp; Targets_Guideline'!$A$54:$A$269=$B326)*
      ('Tools &amp; Targets_Guideline'!$B$54:$B$269="TB"),
      0
    ),
    MATCH(
      _xludf.IFNA(
        VLOOKUP($D326,{"PH","Provincial Hospital (H2)";"DH","District Hospital (H3)";"RH","Regional / National Hospital (H1)"},2,0),
        $D326
      ),
      'Tools &amp; Targets_Guideline'!$C$53:$I$53,
      0
    )
  ),
0))</f>
        <v/>
      </c>
      <c r="AD326" s="105"/>
      <c r="AE326" s="119" t="str">
        <f t="array" ref="AE326">IF(OR($B326="",$D326=""),"",
IFERROR(
  INDEX(
    'Tools &amp; Targets_Guideline'!$C$54:$I$269,
    MATCH(
      1,
      ('Tools &amp; Targets_Guideline'!$A$54:$A$269=$B326)*
      ('Tools &amp; Targets_Guideline'!$B$54:$B$269="U5 Morbidity"),
      0
    ),
    MATCH(
      _xludf.IFNA(
        VLOOKUP($D326,{"PH","Provincial Hospital (H2)";"DH","District Hospital (H3)";"RH","Regional / National Hospital (H1)"},2,0),
        $D326
      ),
      'Tools &amp; Targets_Guideline'!$C$53:$I$53,
      0
    )
  ),
0))</f>
        <v/>
      </c>
      <c r="AF326" s="105"/>
      <c r="AG326" s="119" t="str">
        <f t="array" ref="AG326">IF(OR($B326="",$D326=""),"",
IFERROR(
  INDEX(
    'Tools &amp; Targets_Guideline'!$C$54:$I$269,
    MATCH(
      1,
      ('Tools &amp; Targets_Guideline'!$A$54:$A$269=$B326)*
      ('Tools &amp; Targets_Guideline'!$B$54:$B$269="C-Section"),
      0
    ),
    MATCH(
      _xludf.IFNA(
        VLOOKUP($D326,{"PH","Provincial Hospital (H2)";"DH","District Hospital (H3)";"RH","Regional / National Hospital (H1)"},2,0),
        $D326
      ),
      'Tools &amp; Targets_Guideline'!$C$53:$I$53,
      0
    )
  ),
0))</f>
        <v/>
      </c>
      <c r="AH326" s="105" t="str">
        <f>IF(A326&lt;&gt;"",COUNTIFS('QA Log'!D:D,A326,'QA Log'!M:M,"QQC",'QA Log'!L:L,"2. Hygiene and Sterilization",'QA Log'!Z:Z,"Approved"),"")</f>
        <v/>
      </c>
      <c r="AI326" s="102"/>
      <c r="AJ326" s="102"/>
      <c r="AK326" s="103" t="str">
        <f t="shared" si="17"/>
        <v/>
      </c>
      <c r="AL326" s="102"/>
      <c r="AM326" s="102"/>
      <c r="AN326" s="102"/>
      <c r="AO326" s="106"/>
      <c r="AP326" s="103"/>
      <c r="AQ326" s="102"/>
      <c r="AR326" s="102"/>
      <c r="AS326" s="102"/>
      <c r="AT326" s="107"/>
      <c r="AU326" s="102" t="str">
        <f t="shared" si="18"/>
        <v/>
      </c>
      <c r="AV326" s="102" t="str">
        <f t="shared" si="19"/>
        <v/>
      </c>
      <c r="AW326" s="102" t="str">
        <f t="shared" si="20"/>
        <v/>
      </c>
      <c r="AX326" s="102" t="str">
        <f t="shared" si="21"/>
        <v/>
      </c>
      <c r="AY326" s="107" t="str">
        <f t="shared" si="22"/>
        <v/>
      </c>
      <c r="AZ326" s="108" t="str">
        <f t="shared" si="23"/>
        <v/>
      </c>
      <c r="BA326" s="108" t="str">
        <f t="shared" si="24"/>
        <v/>
      </c>
      <c r="BB326" s="109" t="str">
        <f t="shared" si="25"/>
        <v/>
      </c>
      <c r="BC326" s="108" t="str">
        <f t="shared" si="26"/>
        <v/>
      </c>
      <c r="BD326" s="108" t="str">
        <f t="shared" si="27"/>
        <v/>
      </c>
      <c r="BE326" s="109" t="str">
        <f t="shared" si="28"/>
        <v/>
      </c>
      <c r="BF326" s="110" t="str">
        <f t="shared" si="29"/>
        <v/>
      </c>
      <c r="BG326" s="111"/>
    </row>
    <row r="327" spans="1:59" ht="12.75">
      <c r="A327" s="101"/>
      <c r="B327" s="102"/>
      <c r="C327" s="102" t="e">
        <f t="array" aca="1" ref="C327" ca="1">_xludf.XLOOKUP(A327,'QA Log'!D:D,'QA Log'!F:F,"")</f>
        <v>#NAME?</v>
      </c>
      <c r="D327" s="102"/>
      <c r="E327" s="102" t="e">
        <f t="array" aca="1" ref="E327" ca="1">_xludf.XLOOKUP(A327,'QA Log'!D:D,'QA Log'!G:G,"")</f>
        <v>#NAME?</v>
      </c>
      <c r="F327" s="103"/>
      <c r="G327" s="104"/>
      <c r="H327" s="104"/>
      <c r="I327" s="103" t="str">
        <f t="shared" si="15"/>
        <v/>
      </c>
      <c r="J327" s="102"/>
      <c r="K327" s="102"/>
      <c r="L327" s="119" t="str">
        <f t="array" ref="L327">IF(OR($B327="",$D327=""),"",
IFERROR(
  INDEX(
    'Tools &amp; Targets_Guideline'!$C$54:$I$269,
    MATCH(
      1,
      ('Tools &amp; Targets_Guideline'!$A$54:$A$269=$B327)*
      ('Tools &amp; Targets_Guideline'!$B$54:$B$269="ANC"),
      0
    ),
    MATCH(
      _xludf.IFNA(
        VLOOKUP($D327,{"PH","Provincial Hospital (H2)";"DH","District Hospital (H3)";"RH","Regional / National Hospital (H1)"},2,0),
        $D327
      ),
      'Tools &amp; Targets_Guideline'!$C$53:$I$53,
      0
    )
  ),
0))</f>
        <v/>
      </c>
      <c r="M327" s="105"/>
      <c r="N327" s="119" t="str">
        <f t="array" ref="N327">IF(OR($B327="",$D327=""),"",
IFERROR(
  INDEX(
    'Tools &amp; Targets_Guideline'!$C$54:$I$269,
    MATCH(
      1,
      ('Tools &amp; Targets_Guideline'!$A$54:$A$269=$B327)*
      ('Tools &amp; Targets_Guideline'!$B$54:$B$269="PNC"),
      0
    ),
    MATCH(
      _xludf.IFNA(
        VLOOKUP($D327,{"PH","Provincial Hospital (H2)";"DH","District Hospital (H3)";"RH","Regional / National Hospital (H1)"},2,0),
        $D327
      ),
      'Tools &amp; Targets_Guideline'!$C$53:$I$53,
      0
    )
  ),
0))</f>
        <v/>
      </c>
      <c r="O327" s="105"/>
      <c r="P327" s="119" t="str">
        <f t="array" ref="P327">IF(OR($B327="",$D327=""),"",
IFERROR(
  INDEX(
    'Tools &amp; Targets_Guideline'!$C$54:$I$269,
    MATCH(
      1,
      ('Tools &amp; Targets_Guideline'!$A$54:$A$269=$B327)*
      ('Tools &amp; Targets_Guideline'!$B$54:$B$269="Delivery"),
      0
    ),
    MATCH(
      _xludf.IFNA(
        VLOOKUP($D327,{"PH","Provincial Hospital (H2)";"DH","District Hospital (H3)";"RH","Regional / National Hospital (H1)"},2,0),
        $D327
      ),
      'Tools &amp; Targets_Guideline'!$C$53:$I$53,
      0
    )
  ),
0))</f>
        <v/>
      </c>
      <c r="Q327" s="105"/>
      <c r="R327" s="119" t="str">
        <f t="array" ref="R327">IF(OR($B327="",$D327=""),"",
IFERROR(
  INDEX(
    'Tools &amp; Targets_Guideline'!$C$54:$I$269,
    MATCH(
      1,
      ('Tools &amp; Targets_Guideline'!$A$54:$A$269=$B327)*
      ('Tools &amp; Targets_Guideline'!$B$54:$B$269="TT"),
      0
    ),
    MATCH(
      _xludf.IFNA(
        VLOOKUP($D327,{"PH","Provincial Hospital (H2)";"DH","District Hospital (H3)";"RH","Regional / National Hospital (H1)"},2,0),
        $D327
      ),
      'Tools &amp; Targets_Guideline'!$C$53:$I$53,
      0
    )
  ),
0))</f>
        <v/>
      </c>
      <c r="S327" s="105"/>
      <c r="T327" s="102"/>
      <c r="U327" s="106"/>
      <c r="V327" s="102" t="str">
        <f t="shared" si="16"/>
        <v/>
      </c>
      <c r="W327" s="102"/>
      <c r="X327" s="102"/>
      <c r="Y327" s="119" t="str">
        <f t="array" ref="Y327">IF(OR($B327="",$D327=""),"",
IFERROR(
  INDEX(
    'Tools &amp; Targets_Guideline'!$C$54:$I$269,
    MATCH(
      1,
      ('Tools &amp; Targets_Guideline'!$A$54:$A$269=$B327)*
      ('Tools &amp; Targets_Guideline'!$B$54:$B$269="GM"),
      0
    ),
    MATCH(
      _xludf.IFNA(
        VLOOKUP($D327,{"PH","Provincial Hospital (H2)";"DH","District Hospital (H3)";"RH","Regional / National Hospital (H1)"},2,0),
        $D327
      ),
      'Tools &amp; Targets_Guideline'!$C$53:$I$53,
      0
    )
  ),
0))</f>
        <v/>
      </c>
      <c r="Z327" s="105"/>
      <c r="AA327" s="119" t="str">
        <f t="array" ref="AA327">IF(OR($B327="",$D327=""),"",
IFERROR(
  INDEX(
    'Tools &amp; Targets_Guideline'!$C$54:$I$269,
    MATCH(
      1,
      ('Tools &amp; Targets_Guideline'!$A$54:$A$269=$B327)*
      ('Tools &amp; Targets_Guideline'!$B$54:$B$269="Penta"),
      0
    ),
    MATCH(
      _xludf.IFNA(
        VLOOKUP($D327,{"PH","Provincial Hospital (H2)";"DH","District Hospital (H3)";"RH","Regional / National Hospital (H1)"},2,0),
        $D327
      ),
      'Tools &amp; Targets_Guideline'!$C$53:$I$53,
      0
    )
  ),
0))</f>
        <v/>
      </c>
      <c r="AB327" s="105"/>
      <c r="AC327" s="119" t="str">
        <f t="array" ref="AC327">IF(OR($B327="",$D327=""),"",
IFERROR(
  INDEX(
    'Tools &amp; Targets_Guideline'!$C$54:$I$269,
    MATCH(
      1,
      ('Tools &amp; Targets_Guideline'!$A$54:$A$269=$B327)*
      ('Tools &amp; Targets_Guideline'!$B$54:$B$269="TB"),
      0
    ),
    MATCH(
      _xludf.IFNA(
        VLOOKUP($D327,{"PH","Provincial Hospital (H2)";"DH","District Hospital (H3)";"RH","Regional / National Hospital (H1)"},2,0),
        $D327
      ),
      'Tools &amp; Targets_Guideline'!$C$53:$I$53,
      0
    )
  ),
0))</f>
        <v/>
      </c>
      <c r="AD327" s="105"/>
      <c r="AE327" s="119" t="str">
        <f t="array" ref="AE327">IF(OR($B327="",$D327=""),"",
IFERROR(
  INDEX(
    'Tools &amp; Targets_Guideline'!$C$54:$I$269,
    MATCH(
      1,
      ('Tools &amp; Targets_Guideline'!$A$54:$A$269=$B327)*
      ('Tools &amp; Targets_Guideline'!$B$54:$B$269="U5 Morbidity"),
      0
    ),
    MATCH(
      _xludf.IFNA(
        VLOOKUP($D327,{"PH","Provincial Hospital (H2)";"DH","District Hospital (H3)";"RH","Regional / National Hospital (H1)"},2,0),
        $D327
      ),
      'Tools &amp; Targets_Guideline'!$C$53:$I$53,
      0
    )
  ),
0))</f>
        <v/>
      </c>
      <c r="AF327" s="105"/>
      <c r="AG327" s="119" t="str">
        <f t="array" ref="AG327">IF(OR($B327="",$D327=""),"",
IFERROR(
  INDEX(
    'Tools &amp; Targets_Guideline'!$C$54:$I$269,
    MATCH(
      1,
      ('Tools &amp; Targets_Guideline'!$A$54:$A$269=$B327)*
      ('Tools &amp; Targets_Guideline'!$B$54:$B$269="C-Section"),
      0
    ),
    MATCH(
      _xludf.IFNA(
        VLOOKUP($D327,{"PH","Provincial Hospital (H2)";"DH","District Hospital (H3)";"RH","Regional / National Hospital (H1)"},2,0),
        $D327
      ),
      'Tools &amp; Targets_Guideline'!$C$53:$I$53,
      0
    )
  ),
0))</f>
        <v/>
      </c>
      <c r="AH327" s="105" t="str">
        <f>IF(A327&lt;&gt;"",COUNTIFS('QA Log'!D:D,A327,'QA Log'!M:M,"QQC",'QA Log'!L:L,"2. Hygiene and Sterilization",'QA Log'!Z:Z,"Approved"),"")</f>
        <v/>
      </c>
      <c r="AI327" s="102"/>
      <c r="AJ327" s="102"/>
      <c r="AK327" s="103" t="str">
        <f t="shared" si="17"/>
        <v/>
      </c>
      <c r="AL327" s="102"/>
      <c r="AM327" s="102"/>
      <c r="AN327" s="102"/>
      <c r="AO327" s="106"/>
      <c r="AP327" s="103"/>
      <c r="AQ327" s="102"/>
      <c r="AR327" s="102"/>
      <c r="AS327" s="102"/>
      <c r="AT327" s="107"/>
      <c r="AU327" s="102" t="str">
        <f t="shared" si="18"/>
        <v/>
      </c>
      <c r="AV327" s="102" t="str">
        <f t="shared" si="19"/>
        <v/>
      </c>
      <c r="AW327" s="102" t="str">
        <f t="shared" si="20"/>
        <v/>
      </c>
      <c r="AX327" s="102" t="str">
        <f t="shared" si="21"/>
        <v/>
      </c>
      <c r="AY327" s="107" t="str">
        <f t="shared" si="22"/>
        <v/>
      </c>
      <c r="AZ327" s="108" t="str">
        <f t="shared" si="23"/>
        <v/>
      </c>
      <c r="BA327" s="108" t="str">
        <f t="shared" si="24"/>
        <v/>
      </c>
      <c r="BB327" s="109" t="str">
        <f t="shared" si="25"/>
        <v/>
      </c>
      <c r="BC327" s="108" t="str">
        <f t="shared" si="26"/>
        <v/>
      </c>
      <c r="BD327" s="108" t="str">
        <f t="shared" si="27"/>
        <v/>
      </c>
      <c r="BE327" s="109" t="str">
        <f t="shared" si="28"/>
        <v/>
      </c>
      <c r="BF327" s="110" t="str">
        <f t="shared" si="29"/>
        <v/>
      </c>
      <c r="BG327" s="111"/>
    </row>
    <row r="328" spans="1:59" ht="12.75">
      <c r="A328" s="101"/>
      <c r="B328" s="102"/>
      <c r="C328" s="102" t="e">
        <f t="array" aca="1" ref="C328" ca="1">_xludf.XLOOKUP(A328,'QA Log'!D:D,'QA Log'!F:F,"")</f>
        <v>#NAME?</v>
      </c>
      <c r="D328" s="102"/>
      <c r="E328" s="102" t="e">
        <f t="array" aca="1" ref="E328" ca="1">_xludf.XLOOKUP(A328,'QA Log'!D:D,'QA Log'!G:G,"")</f>
        <v>#NAME?</v>
      </c>
      <c r="F328" s="103"/>
      <c r="G328" s="104"/>
      <c r="H328" s="104"/>
      <c r="I328" s="103" t="str">
        <f t="shared" si="15"/>
        <v/>
      </c>
      <c r="J328" s="102"/>
      <c r="K328" s="102"/>
      <c r="L328" s="119" t="str">
        <f t="array" ref="L328">IF(OR($B328="",$D328=""),"",
IFERROR(
  INDEX(
    'Tools &amp; Targets_Guideline'!$C$54:$I$269,
    MATCH(
      1,
      ('Tools &amp; Targets_Guideline'!$A$54:$A$269=$B328)*
      ('Tools &amp; Targets_Guideline'!$B$54:$B$269="ANC"),
      0
    ),
    MATCH(
      _xludf.IFNA(
        VLOOKUP($D328,{"PH","Provincial Hospital (H2)";"DH","District Hospital (H3)";"RH","Regional / National Hospital (H1)"},2,0),
        $D328
      ),
      'Tools &amp; Targets_Guideline'!$C$53:$I$53,
      0
    )
  ),
0))</f>
        <v/>
      </c>
      <c r="M328" s="105"/>
      <c r="N328" s="119" t="str">
        <f t="array" ref="N328">IF(OR($B328="",$D328=""),"",
IFERROR(
  INDEX(
    'Tools &amp; Targets_Guideline'!$C$54:$I$269,
    MATCH(
      1,
      ('Tools &amp; Targets_Guideline'!$A$54:$A$269=$B328)*
      ('Tools &amp; Targets_Guideline'!$B$54:$B$269="PNC"),
      0
    ),
    MATCH(
      _xludf.IFNA(
        VLOOKUP($D328,{"PH","Provincial Hospital (H2)";"DH","District Hospital (H3)";"RH","Regional / National Hospital (H1)"},2,0),
        $D328
      ),
      'Tools &amp; Targets_Guideline'!$C$53:$I$53,
      0
    )
  ),
0))</f>
        <v/>
      </c>
      <c r="O328" s="105"/>
      <c r="P328" s="119" t="str">
        <f t="array" ref="P328">IF(OR($B328="",$D328=""),"",
IFERROR(
  INDEX(
    'Tools &amp; Targets_Guideline'!$C$54:$I$269,
    MATCH(
      1,
      ('Tools &amp; Targets_Guideline'!$A$54:$A$269=$B328)*
      ('Tools &amp; Targets_Guideline'!$B$54:$B$269="Delivery"),
      0
    ),
    MATCH(
      _xludf.IFNA(
        VLOOKUP($D328,{"PH","Provincial Hospital (H2)";"DH","District Hospital (H3)";"RH","Regional / National Hospital (H1)"},2,0),
        $D328
      ),
      'Tools &amp; Targets_Guideline'!$C$53:$I$53,
      0
    )
  ),
0))</f>
        <v/>
      </c>
      <c r="Q328" s="105"/>
      <c r="R328" s="119" t="str">
        <f t="array" ref="R328">IF(OR($B328="",$D328=""),"",
IFERROR(
  INDEX(
    'Tools &amp; Targets_Guideline'!$C$54:$I$269,
    MATCH(
      1,
      ('Tools &amp; Targets_Guideline'!$A$54:$A$269=$B328)*
      ('Tools &amp; Targets_Guideline'!$B$54:$B$269="TT"),
      0
    ),
    MATCH(
      _xludf.IFNA(
        VLOOKUP($D328,{"PH","Provincial Hospital (H2)";"DH","District Hospital (H3)";"RH","Regional / National Hospital (H1)"},2,0),
        $D328
      ),
      'Tools &amp; Targets_Guideline'!$C$53:$I$53,
      0
    )
  ),
0))</f>
        <v/>
      </c>
      <c r="S328" s="105"/>
      <c r="T328" s="102"/>
      <c r="U328" s="106"/>
      <c r="V328" s="102" t="str">
        <f t="shared" si="16"/>
        <v/>
      </c>
      <c r="W328" s="102"/>
      <c r="X328" s="102"/>
      <c r="Y328" s="119" t="str">
        <f t="array" ref="Y328">IF(OR($B328="",$D328=""),"",
IFERROR(
  INDEX(
    'Tools &amp; Targets_Guideline'!$C$54:$I$269,
    MATCH(
      1,
      ('Tools &amp; Targets_Guideline'!$A$54:$A$269=$B328)*
      ('Tools &amp; Targets_Guideline'!$B$54:$B$269="GM"),
      0
    ),
    MATCH(
      _xludf.IFNA(
        VLOOKUP($D328,{"PH","Provincial Hospital (H2)";"DH","District Hospital (H3)";"RH","Regional / National Hospital (H1)"},2,0),
        $D328
      ),
      'Tools &amp; Targets_Guideline'!$C$53:$I$53,
      0
    )
  ),
0))</f>
        <v/>
      </c>
      <c r="Z328" s="105"/>
      <c r="AA328" s="119" t="str">
        <f t="array" ref="AA328">IF(OR($B328="",$D328=""),"",
IFERROR(
  INDEX(
    'Tools &amp; Targets_Guideline'!$C$54:$I$269,
    MATCH(
      1,
      ('Tools &amp; Targets_Guideline'!$A$54:$A$269=$B328)*
      ('Tools &amp; Targets_Guideline'!$B$54:$B$269="Penta"),
      0
    ),
    MATCH(
      _xludf.IFNA(
        VLOOKUP($D328,{"PH","Provincial Hospital (H2)";"DH","District Hospital (H3)";"RH","Regional / National Hospital (H1)"},2,0),
        $D328
      ),
      'Tools &amp; Targets_Guideline'!$C$53:$I$53,
      0
    )
  ),
0))</f>
        <v/>
      </c>
      <c r="AB328" s="105"/>
      <c r="AC328" s="119" t="str">
        <f t="array" ref="AC328">IF(OR($B328="",$D328=""),"",
IFERROR(
  INDEX(
    'Tools &amp; Targets_Guideline'!$C$54:$I$269,
    MATCH(
      1,
      ('Tools &amp; Targets_Guideline'!$A$54:$A$269=$B328)*
      ('Tools &amp; Targets_Guideline'!$B$54:$B$269="TB"),
      0
    ),
    MATCH(
      _xludf.IFNA(
        VLOOKUP($D328,{"PH","Provincial Hospital (H2)";"DH","District Hospital (H3)";"RH","Regional / National Hospital (H1)"},2,0),
        $D328
      ),
      'Tools &amp; Targets_Guideline'!$C$53:$I$53,
      0
    )
  ),
0))</f>
        <v/>
      </c>
      <c r="AD328" s="105"/>
      <c r="AE328" s="119" t="str">
        <f t="array" ref="AE328">IF(OR($B328="",$D328=""),"",
IFERROR(
  INDEX(
    'Tools &amp; Targets_Guideline'!$C$54:$I$269,
    MATCH(
      1,
      ('Tools &amp; Targets_Guideline'!$A$54:$A$269=$B328)*
      ('Tools &amp; Targets_Guideline'!$B$54:$B$269="U5 Morbidity"),
      0
    ),
    MATCH(
      _xludf.IFNA(
        VLOOKUP($D328,{"PH","Provincial Hospital (H2)";"DH","District Hospital (H3)";"RH","Regional / National Hospital (H1)"},2,0),
        $D328
      ),
      'Tools &amp; Targets_Guideline'!$C$53:$I$53,
      0
    )
  ),
0))</f>
        <v/>
      </c>
      <c r="AF328" s="105"/>
      <c r="AG328" s="119" t="str">
        <f t="array" ref="AG328">IF(OR($B328="",$D328=""),"",
IFERROR(
  INDEX(
    'Tools &amp; Targets_Guideline'!$C$54:$I$269,
    MATCH(
      1,
      ('Tools &amp; Targets_Guideline'!$A$54:$A$269=$B328)*
      ('Tools &amp; Targets_Guideline'!$B$54:$B$269="C-Section"),
      0
    ),
    MATCH(
      _xludf.IFNA(
        VLOOKUP($D328,{"PH","Provincial Hospital (H2)";"DH","District Hospital (H3)";"RH","Regional / National Hospital (H1)"},2,0),
        $D328
      ),
      'Tools &amp; Targets_Guideline'!$C$53:$I$53,
      0
    )
  ),
0))</f>
        <v/>
      </c>
      <c r="AH328" s="105" t="str">
        <f>IF(A328&lt;&gt;"",COUNTIFS('QA Log'!D:D,A328,'QA Log'!M:M,"QQC",'QA Log'!L:L,"2. Hygiene and Sterilization",'QA Log'!Z:Z,"Approved"),"")</f>
        <v/>
      </c>
      <c r="AI328" s="102"/>
      <c r="AJ328" s="102"/>
      <c r="AK328" s="103" t="str">
        <f t="shared" si="17"/>
        <v/>
      </c>
      <c r="AL328" s="102"/>
      <c r="AM328" s="102"/>
      <c r="AN328" s="102"/>
      <c r="AO328" s="106"/>
      <c r="AP328" s="103"/>
      <c r="AQ328" s="102"/>
      <c r="AR328" s="102"/>
      <c r="AS328" s="102"/>
      <c r="AT328" s="107"/>
      <c r="AU328" s="102" t="str">
        <f t="shared" si="18"/>
        <v/>
      </c>
      <c r="AV328" s="102" t="str">
        <f t="shared" si="19"/>
        <v/>
      </c>
      <c r="AW328" s="102" t="str">
        <f t="shared" si="20"/>
        <v/>
      </c>
      <c r="AX328" s="102" t="str">
        <f t="shared" si="21"/>
        <v/>
      </c>
      <c r="AY328" s="107" t="str">
        <f t="shared" si="22"/>
        <v/>
      </c>
      <c r="AZ328" s="108" t="str">
        <f t="shared" si="23"/>
        <v/>
      </c>
      <c r="BA328" s="108" t="str">
        <f t="shared" si="24"/>
        <v/>
      </c>
      <c r="BB328" s="109" t="str">
        <f t="shared" si="25"/>
        <v/>
      </c>
      <c r="BC328" s="108" t="str">
        <f t="shared" si="26"/>
        <v/>
      </c>
      <c r="BD328" s="108" t="str">
        <f t="shared" si="27"/>
        <v/>
      </c>
      <c r="BE328" s="109" t="str">
        <f t="shared" si="28"/>
        <v/>
      </c>
      <c r="BF328" s="110" t="str">
        <f t="shared" si="29"/>
        <v/>
      </c>
      <c r="BG328" s="111"/>
    </row>
    <row r="329" spans="1:59" ht="12.75">
      <c r="A329" s="101"/>
      <c r="B329" s="102"/>
      <c r="C329" s="102" t="e">
        <f t="array" aca="1" ref="C329" ca="1">_xludf.XLOOKUP(A329,'QA Log'!D:D,'QA Log'!F:F,"")</f>
        <v>#NAME?</v>
      </c>
      <c r="D329" s="102"/>
      <c r="E329" s="102" t="e">
        <f t="array" aca="1" ref="E329" ca="1">_xludf.XLOOKUP(A329,'QA Log'!D:D,'QA Log'!G:G,"")</f>
        <v>#NAME?</v>
      </c>
      <c r="F329" s="103"/>
      <c r="G329" s="104"/>
      <c r="H329" s="104"/>
      <c r="I329" s="103" t="str">
        <f t="shared" si="15"/>
        <v/>
      </c>
      <c r="J329" s="102"/>
      <c r="K329" s="102"/>
      <c r="L329" s="119" t="str">
        <f t="array" ref="L329">IF(OR($B329="",$D329=""),"",
IFERROR(
  INDEX(
    'Tools &amp; Targets_Guideline'!$C$54:$I$269,
    MATCH(
      1,
      ('Tools &amp; Targets_Guideline'!$A$54:$A$269=$B329)*
      ('Tools &amp; Targets_Guideline'!$B$54:$B$269="ANC"),
      0
    ),
    MATCH(
      _xludf.IFNA(
        VLOOKUP($D329,{"PH","Provincial Hospital (H2)";"DH","District Hospital (H3)";"RH","Regional / National Hospital (H1)"},2,0),
        $D329
      ),
      'Tools &amp; Targets_Guideline'!$C$53:$I$53,
      0
    )
  ),
0))</f>
        <v/>
      </c>
      <c r="M329" s="105"/>
      <c r="N329" s="119" t="str">
        <f t="array" ref="N329">IF(OR($B329="",$D329=""),"",
IFERROR(
  INDEX(
    'Tools &amp; Targets_Guideline'!$C$54:$I$269,
    MATCH(
      1,
      ('Tools &amp; Targets_Guideline'!$A$54:$A$269=$B329)*
      ('Tools &amp; Targets_Guideline'!$B$54:$B$269="PNC"),
      0
    ),
    MATCH(
      _xludf.IFNA(
        VLOOKUP($D329,{"PH","Provincial Hospital (H2)";"DH","District Hospital (H3)";"RH","Regional / National Hospital (H1)"},2,0),
        $D329
      ),
      'Tools &amp; Targets_Guideline'!$C$53:$I$53,
      0
    )
  ),
0))</f>
        <v/>
      </c>
      <c r="O329" s="105"/>
      <c r="P329" s="119" t="str">
        <f t="array" ref="P329">IF(OR($B329="",$D329=""),"",
IFERROR(
  INDEX(
    'Tools &amp; Targets_Guideline'!$C$54:$I$269,
    MATCH(
      1,
      ('Tools &amp; Targets_Guideline'!$A$54:$A$269=$B329)*
      ('Tools &amp; Targets_Guideline'!$B$54:$B$269="Delivery"),
      0
    ),
    MATCH(
      _xludf.IFNA(
        VLOOKUP($D329,{"PH","Provincial Hospital (H2)";"DH","District Hospital (H3)";"RH","Regional / National Hospital (H1)"},2,0),
        $D329
      ),
      'Tools &amp; Targets_Guideline'!$C$53:$I$53,
      0
    )
  ),
0))</f>
        <v/>
      </c>
      <c r="Q329" s="105"/>
      <c r="R329" s="119" t="str">
        <f t="array" ref="R329">IF(OR($B329="",$D329=""),"",
IFERROR(
  INDEX(
    'Tools &amp; Targets_Guideline'!$C$54:$I$269,
    MATCH(
      1,
      ('Tools &amp; Targets_Guideline'!$A$54:$A$269=$B329)*
      ('Tools &amp; Targets_Guideline'!$B$54:$B$269="TT"),
      0
    ),
    MATCH(
      _xludf.IFNA(
        VLOOKUP($D329,{"PH","Provincial Hospital (H2)";"DH","District Hospital (H3)";"RH","Regional / National Hospital (H1)"},2,0),
        $D329
      ),
      'Tools &amp; Targets_Guideline'!$C$53:$I$53,
      0
    )
  ),
0))</f>
        <v/>
      </c>
      <c r="S329" s="105"/>
      <c r="T329" s="102"/>
      <c r="U329" s="106"/>
      <c r="V329" s="102" t="str">
        <f t="shared" si="16"/>
        <v/>
      </c>
      <c r="W329" s="102"/>
      <c r="X329" s="102"/>
      <c r="Y329" s="119" t="str">
        <f t="array" ref="Y329">IF(OR($B329="",$D329=""),"",
IFERROR(
  INDEX(
    'Tools &amp; Targets_Guideline'!$C$54:$I$269,
    MATCH(
      1,
      ('Tools &amp; Targets_Guideline'!$A$54:$A$269=$B329)*
      ('Tools &amp; Targets_Guideline'!$B$54:$B$269="GM"),
      0
    ),
    MATCH(
      _xludf.IFNA(
        VLOOKUP($D329,{"PH","Provincial Hospital (H2)";"DH","District Hospital (H3)";"RH","Regional / National Hospital (H1)"},2,0),
        $D329
      ),
      'Tools &amp; Targets_Guideline'!$C$53:$I$53,
      0
    )
  ),
0))</f>
        <v/>
      </c>
      <c r="Z329" s="105"/>
      <c r="AA329" s="119" t="str">
        <f t="array" ref="AA329">IF(OR($B329="",$D329=""),"",
IFERROR(
  INDEX(
    'Tools &amp; Targets_Guideline'!$C$54:$I$269,
    MATCH(
      1,
      ('Tools &amp; Targets_Guideline'!$A$54:$A$269=$B329)*
      ('Tools &amp; Targets_Guideline'!$B$54:$B$269="Penta"),
      0
    ),
    MATCH(
      _xludf.IFNA(
        VLOOKUP($D329,{"PH","Provincial Hospital (H2)";"DH","District Hospital (H3)";"RH","Regional / National Hospital (H1)"},2,0),
        $D329
      ),
      'Tools &amp; Targets_Guideline'!$C$53:$I$53,
      0
    )
  ),
0))</f>
        <v/>
      </c>
      <c r="AB329" s="105"/>
      <c r="AC329" s="119" t="str">
        <f t="array" ref="AC329">IF(OR($B329="",$D329=""),"",
IFERROR(
  INDEX(
    'Tools &amp; Targets_Guideline'!$C$54:$I$269,
    MATCH(
      1,
      ('Tools &amp; Targets_Guideline'!$A$54:$A$269=$B329)*
      ('Tools &amp; Targets_Guideline'!$B$54:$B$269="TB"),
      0
    ),
    MATCH(
      _xludf.IFNA(
        VLOOKUP($D329,{"PH","Provincial Hospital (H2)";"DH","District Hospital (H3)";"RH","Regional / National Hospital (H1)"},2,0),
        $D329
      ),
      'Tools &amp; Targets_Guideline'!$C$53:$I$53,
      0
    )
  ),
0))</f>
        <v/>
      </c>
      <c r="AD329" s="105"/>
      <c r="AE329" s="119" t="str">
        <f t="array" ref="AE329">IF(OR($B329="",$D329=""),"",
IFERROR(
  INDEX(
    'Tools &amp; Targets_Guideline'!$C$54:$I$269,
    MATCH(
      1,
      ('Tools &amp; Targets_Guideline'!$A$54:$A$269=$B329)*
      ('Tools &amp; Targets_Guideline'!$B$54:$B$269="U5 Morbidity"),
      0
    ),
    MATCH(
      _xludf.IFNA(
        VLOOKUP($D329,{"PH","Provincial Hospital (H2)";"DH","District Hospital (H3)";"RH","Regional / National Hospital (H1)"},2,0),
        $D329
      ),
      'Tools &amp; Targets_Guideline'!$C$53:$I$53,
      0
    )
  ),
0))</f>
        <v/>
      </c>
      <c r="AF329" s="105"/>
      <c r="AG329" s="119" t="str">
        <f t="array" ref="AG329">IF(OR($B329="",$D329=""),"",
IFERROR(
  INDEX(
    'Tools &amp; Targets_Guideline'!$C$54:$I$269,
    MATCH(
      1,
      ('Tools &amp; Targets_Guideline'!$A$54:$A$269=$B329)*
      ('Tools &amp; Targets_Guideline'!$B$54:$B$269="C-Section"),
      0
    ),
    MATCH(
      _xludf.IFNA(
        VLOOKUP($D329,{"PH","Provincial Hospital (H2)";"DH","District Hospital (H3)";"RH","Regional / National Hospital (H1)"},2,0),
        $D329
      ),
      'Tools &amp; Targets_Guideline'!$C$53:$I$53,
      0
    )
  ),
0))</f>
        <v/>
      </c>
      <c r="AH329" s="105" t="str">
        <f>IF(A329&lt;&gt;"",COUNTIFS('QA Log'!D:D,A329,'QA Log'!M:M,"QQC",'QA Log'!L:L,"2. Hygiene and Sterilization",'QA Log'!Z:Z,"Approved"),"")</f>
        <v/>
      </c>
      <c r="AI329" s="102"/>
      <c r="AJ329" s="102"/>
      <c r="AK329" s="103" t="str">
        <f t="shared" si="17"/>
        <v/>
      </c>
      <c r="AL329" s="102"/>
      <c r="AM329" s="102"/>
      <c r="AN329" s="102"/>
      <c r="AO329" s="106"/>
      <c r="AP329" s="103"/>
      <c r="AQ329" s="102"/>
      <c r="AR329" s="102"/>
      <c r="AS329" s="102"/>
      <c r="AT329" s="107"/>
      <c r="AU329" s="102" t="str">
        <f t="shared" si="18"/>
        <v/>
      </c>
      <c r="AV329" s="102" t="str">
        <f t="shared" si="19"/>
        <v/>
      </c>
      <c r="AW329" s="102" t="str">
        <f t="shared" si="20"/>
        <v/>
      </c>
      <c r="AX329" s="102" t="str">
        <f t="shared" si="21"/>
        <v/>
      </c>
      <c r="AY329" s="107" t="str">
        <f t="shared" si="22"/>
        <v/>
      </c>
      <c r="AZ329" s="108" t="str">
        <f t="shared" si="23"/>
        <v/>
      </c>
      <c r="BA329" s="108" t="str">
        <f t="shared" si="24"/>
        <v/>
      </c>
      <c r="BB329" s="109" t="str">
        <f t="shared" si="25"/>
        <v/>
      </c>
      <c r="BC329" s="108" t="str">
        <f t="shared" si="26"/>
        <v/>
      </c>
      <c r="BD329" s="108" t="str">
        <f t="shared" si="27"/>
        <v/>
      </c>
      <c r="BE329" s="109" t="str">
        <f t="shared" si="28"/>
        <v/>
      </c>
      <c r="BF329" s="110" t="str">
        <f t="shared" si="29"/>
        <v/>
      </c>
      <c r="BG329" s="111"/>
    </row>
    <row r="330" spans="1:59" ht="12.75">
      <c r="A330" s="101"/>
      <c r="B330" s="102"/>
      <c r="C330" s="102" t="e">
        <f t="array" aca="1" ref="C330" ca="1">_xludf.XLOOKUP(A330,'QA Log'!D:D,'QA Log'!F:F,"")</f>
        <v>#NAME?</v>
      </c>
      <c r="D330" s="102"/>
      <c r="E330" s="102" t="e">
        <f t="array" aca="1" ref="E330" ca="1">_xludf.XLOOKUP(A330,'QA Log'!D:D,'QA Log'!G:G,"")</f>
        <v>#NAME?</v>
      </c>
      <c r="F330" s="103"/>
      <c r="G330" s="104"/>
      <c r="H330" s="104"/>
      <c r="I330" s="103" t="str">
        <f t="shared" si="15"/>
        <v/>
      </c>
      <c r="J330" s="102"/>
      <c r="K330" s="102"/>
      <c r="L330" s="119" t="str">
        <f t="array" ref="L330">IF(OR($B330="",$D330=""),"",
IFERROR(
  INDEX(
    'Tools &amp; Targets_Guideline'!$C$54:$I$269,
    MATCH(
      1,
      ('Tools &amp; Targets_Guideline'!$A$54:$A$269=$B330)*
      ('Tools &amp; Targets_Guideline'!$B$54:$B$269="ANC"),
      0
    ),
    MATCH(
      _xludf.IFNA(
        VLOOKUP($D330,{"PH","Provincial Hospital (H2)";"DH","District Hospital (H3)";"RH","Regional / National Hospital (H1)"},2,0),
        $D330
      ),
      'Tools &amp; Targets_Guideline'!$C$53:$I$53,
      0
    )
  ),
0))</f>
        <v/>
      </c>
      <c r="M330" s="105"/>
      <c r="N330" s="119" t="str">
        <f t="array" ref="N330">IF(OR($B330="",$D330=""),"",
IFERROR(
  INDEX(
    'Tools &amp; Targets_Guideline'!$C$54:$I$269,
    MATCH(
      1,
      ('Tools &amp; Targets_Guideline'!$A$54:$A$269=$B330)*
      ('Tools &amp; Targets_Guideline'!$B$54:$B$269="PNC"),
      0
    ),
    MATCH(
      _xludf.IFNA(
        VLOOKUP($D330,{"PH","Provincial Hospital (H2)";"DH","District Hospital (H3)";"RH","Regional / National Hospital (H1)"},2,0),
        $D330
      ),
      'Tools &amp; Targets_Guideline'!$C$53:$I$53,
      0
    )
  ),
0))</f>
        <v/>
      </c>
      <c r="O330" s="105"/>
      <c r="P330" s="119" t="str">
        <f t="array" ref="P330">IF(OR($B330="",$D330=""),"",
IFERROR(
  INDEX(
    'Tools &amp; Targets_Guideline'!$C$54:$I$269,
    MATCH(
      1,
      ('Tools &amp; Targets_Guideline'!$A$54:$A$269=$B330)*
      ('Tools &amp; Targets_Guideline'!$B$54:$B$269="Delivery"),
      0
    ),
    MATCH(
      _xludf.IFNA(
        VLOOKUP($D330,{"PH","Provincial Hospital (H2)";"DH","District Hospital (H3)";"RH","Regional / National Hospital (H1)"},2,0),
        $D330
      ),
      'Tools &amp; Targets_Guideline'!$C$53:$I$53,
      0
    )
  ),
0))</f>
        <v/>
      </c>
      <c r="Q330" s="105"/>
      <c r="R330" s="119" t="str">
        <f t="array" ref="R330">IF(OR($B330="",$D330=""),"",
IFERROR(
  INDEX(
    'Tools &amp; Targets_Guideline'!$C$54:$I$269,
    MATCH(
      1,
      ('Tools &amp; Targets_Guideline'!$A$54:$A$269=$B330)*
      ('Tools &amp; Targets_Guideline'!$B$54:$B$269="TT"),
      0
    ),
    MATCH(
      _xludf.IFNA(
        VLOOKUP($D330,{"PH","Provincial Hospital (H2)";"DH","District Hospital (H3)";"RH","Regional / National Hospital (H1)"},2,0),
        $D330
      ),
      'Tools &amp; Targets_Guideline'!$C$53:$I$53,
      0
    )
  ),
0))</f>
        <v/>
      </c>
      <c r="S330" s="105"/>
      <c r="T330" s="102"/>
      <c r="U330" s="106"/>
      <c r="V330" s="102" t="str">
        <f t="shared" si="16"/>
        <v/>
      </c>
      <c r="W330" s="102"/>
      <c r="X330" s="102"/>
      <c r="Y330" s="119" t="str">
        <f t="array" ref="Y330">IF(OR($B330="",$D330=""),"",
IFERROR(
  INDEX(
    'Tools &amp; Targets_Guideline'!$C$54:$I$269,
    MATCH(
      1,
      ('Tools &amp; Targets_Guideline'!$A$54:$A$269=$B330)*
      ('Tools &amp; Targets_Guideline'!$B$54:$B$269="GM"),
      0
    ),
    MATCH(
      _xludf.IFNA(
        VLOOKUP($D330,{"PH","Provincial Hospital (H2)";"DH","District Hospital (H3)";"RH","Regional / National Hospital (H1)"},2,0),
        $D330
      ),
      'Tools &amp; Targets_Guideline'!$C$53:$I$53,
      0
    )
  ),
0))</f>
        <v/>
      </c>
      <c r="Z330" s="105"/>
      <c r="AA330" s="119" t="str">
        <f t="array" ref="AA330">IF(OR($B330="",$D330=""),"",
IFERROR(
  INDEX(
    'Tools &amp; Targets_Guideline'!$C$54:$I$269,
    MATCH(
      1,
      ('Tools &amp; Targets_Guideline'!$A$54:$A$269=$B330)*
      ('Tools &amp; Targets_Guideline'!$B$54:$B$269="Penta"),
      0
    ),
    MATCH(
      _xludf.IFNA(
        VLOOKUP($D330,{"PH","Provincial Hospital (H2)";"DH","District Hospital (H3)";"RH","Regional / National Hospital (H1)"},2,0),
        $D330
      ),
      'Tools &amp; Targets_Guideline'!$C$53:$I$53,
      0
    )
  ),
0))</f>
        <v/>
      </c>
      <c r="AB330" s="105"/>
      <c r="AC330" s="119" t="str">
        <f t="array" ref="AC330">IF(OR($B330="",$D330=""),"",
IFERROR(
  INDEX(
    'Tools &amp; Targets_Guideline'!$C$54:$I$269,
    MATCH(
      1,
      ('Tools &amp; Targets_Guideline'!$A$54:$A$269=$B330)*
      ('Tools &amp; Targets_Guideline'!$B$54:$B$269="TB"),
      0
    ),
    MATCH(
      _xludf.IFNA(
        VLOOKUP($D330,{"PH","Provincial Hospital (H2)";"DH","District Hospital (H3)";"RH","Regional / National Hospital (H1)"},2,0),
        $D330
      ),
      'Tools &amp; Targets_Guideline'!$C$53:$I$53,
      0
    )
  ),
0))</f>
        <v/>
      </c>
      <c r="AD330" s="105"/>
      <c r="AE330" s="119" t="str">
        <f t="array" ref="AE330">IF(OR($B330="",$D330=""),"",
IFERROR(
  INDEX(
    'Tools &amp; Targets_Guideline'!$C$54:$I$269,
    MATCH(
      1,
      ('Tools &amp; Targets_Guideline'!$A$54:$A$269=$B330)*
      ('Tools &amp; Targets_Guideline'!$B$54:$B$269="U5 Morbidity"),
      0
    ),
    MATCH(
      _xludf.IFNA(
        VLOOKUP($D330,{"PH","Provincial Hospital (H2)";"DH","District Hospital (H3)";"RH","Regional / National Hospital (H1)"},2,0),
        $D330
      ),
      'Tools &amp; Targets_Guideline'!$C$53:$I$53,
      0
    )
  ),
0))</f>
        <v/>
      </c>
      <c r="AF330" s="105"/>
      <c r="AG330" s="119" t="str">
        <f t="array" ref="AG330">IF(OR($B330="",$D330=""),"",
IFERROR(
  INDEX(
    'Tools &amp; Targets_Guideline'!$C$54:$I$269,
    MATCH(
      1,
      ('Tools &amp; Targets_Guideline'!$A$54:$A$269=$B330)*
      ('Tools &amp; Targets_Guideline'!$B$54:$B$269="C-Section"),
      0
    ),
    MATCH(
      _xludf.IFNA(
        VLOOKUP($D330,{"PH","Provincial Hospital (H2)";"DH","District Hospital (H3)";"RH","Regional / National Hospital (H1)"},2,0),
        $D330
      ),
      'Tools &amp; Targets_Guideline'!$C$53:$I$53,
      0
    )
  ),
0))</f>
        <v/>
      </c>
      <c r="AH330" s="105" t="str">
        <f>IF(A330&lt;&gt;"",COUNTIFS('QA Log'!D:D,A330,'QA Log'!M:M,"QQC",'QA Log'!L:L,"2. Hygiene and Sterilization",'QA Log'!Z:Z,"Approved"),"")</f>
        <v/>
      </c>
      <c r="AI330" s="102"/>
      <c r="AJ330" s="102"/>
      <c r="AK330" s="103" t="str">
        <f t="shared" si="17"/>
        <v/>
      </c>
      <c r="AL330" s="102"/>
      <c r="AM330" s="102"/>
      <c r="AN330" s="102"/>
      <c r="AO330" s="106"/>
      <c r="AP330" s="103"/>
      <c r="AQ330" s="102"/>
      <c r="AR330" s="102"/>
      <c r="AS330" s="102"/>
      <c r="AT330" s="107"/>
      <c r="AU330" s="102" t="str">
        <f t="shared" si="18"/>
        <v/>
      </c>
      <c r="AV330" s="102" t="str">
        <f t="shared" si="19"/>
        <v/>
      </c>
      <c r="AW330" s="102" t="str">
        <f t="shared" si="20"/>
        <v/>
      </c>
      <c r="AX330" s="102" t="str">
        <f t="shared" si="21"/>
        <v/>
      </c>
      <c r="AY330" s="107" t="str">
        <f t="shared" si="22"/>
        <v/>
      </c>
      <c r="AZ330" s="108" t="str">
        <f t="shared" si="23"/>
        <v/>
      </c>
      <c r="BA330" s="108" t="str">
        <f t="shared" si="24"/>
        <v/>
      </c>
      <c r="BB330" s="109" t="str">
        <f t="shared" si="25"/>
        <v/>
      </c>
      <c r="BC330" s="108" t="str">
        <f t="shared" si="26"/>
        <v/>
      </c>
      <c r="BD330" s="108" t="str">
        <f t="shared" si="27"/>
        <v/>
      </c>
      <c r="BE330" s="109" t="str">
        <f t="shared" si="28"/>
        <v/>
      </c>
      <c r="BF330" s="110" t="str">
        <f t="shared" si="29"/>
        <v/>
      </c>
      <c r="BG330" s="111"/>
    </row>
    <row r="331" spans="1:59" ht="12.75">
      <c r="A331" s="101"/>
      <c r="B331" s="102"/>
      <c r="C331" s="102" t="e">
        <f t="array" aca="1" ref="C331" ca="1">_xludf.XLOOKUP(A331,'QA Log'!D:D,'QA Log'!F:F,"")</f>
        <v>#NAME?</v>
      </c>
      <c r="D331" s="102"/>
      <c r="E331" s="102" t="e">
        <f t="array" aca="1" ref="E331" ca="1">_xludf.XLOOKUP(A331,'QA Log'!D:D,'QA Log'!G:G,"")</f>
        <v>#NAME?</v>
      </c>
      <c r="F331" s="103"/>
      <c r="G331" s="104"/>
      <c r="H331" s="104"/>
      <c r="I331" s="103" t="str">
        <f t="shared" si="15"/>
        <v/>
      </c>
      <c r="J331" s="102"/>
      <c r="K331" s="102"/>
      <c r="L331" s="119" t="str">
        <f t="array" ref="L331">IF(OR($B331="",$D331=""),"",
IFERROR(
  INDEX(
    'Tools &amp; Targets_Guideline'!$C$54:$I$269,
    MATCH(
      1,
      ('Tools &amp; Targets_Guideline'!$A$54:$A$269=$B331)*
      ('Tools &amp; Targets_Guideline'!$B$54:$B$269="ANC"),
      0
    ),
    MATCH(
      _xludf.IFNA(
        VLOOKUP($D331,{"PH","Provincial Hospital (H2)";"DH","District Hospital (H3)";"RH","Regional / National Hospital (H1)"},2,0),
        $D331
      ),
      'Tools &amp; Targets_Guideline'!$C$53:$I$53,
      0
    )
  ),
0))</f>
        <v/>
      </c>
      <c r="M331" s="105"/>
      <c r="N331" s="119" t="str">
        <f t="array" ref="N331">IF(OR($B331="",$D331=""),"",
IFERROR(
  INDEX(
    'Tools &amp; Targets_Guideline'!$C$54:$I$269,
    MATCH(
      1,
      ('Tools &amp; Targets_Guideline'!$A$54:$A$269=$B331)*
      ('Tools &amp; Targets_Guideline'!$B$54:$B$269="PNC"),
      0
    ),
    MATCH(
      _xludf.IFNA(
        VLOOKUP($D331,{"PH","Provincial Hospital (H2)";"DH","District Hospital (H3)";"RH","Regional / National Hospital (H1)"},2,0),
        $D331
      ),
      'Tools &amp; Targets_Guideline'!$C$53:$I$53,
      0
    )
  ),
0))</f>
        <v/>
      </c>
      <c r="O331" s="105"/>
      <c r="P331" s="119" t="str">
        <f t="array" ref="P331">IF(OR($B331="",$D331=""),"",
IFERROR(
  INDEX(
    'Tools &amp; Targets_Guideline'!$C$54:$I$269,
    MATCH(
      1,
      ('Tools &amp; Targets_Guideline'!$A$54:$A$269=$B331)*
      ('Tools &amp; Targets_Guideline'!$B$54:$B$269="Delivery"),
      0
    ),
    MATCH(
      _xludf.IFNA(
        VLOOKUP($D331,{"PH","Provincial Hospital (H2)";"DH","District Hospital (H3)";"RH","Regional / National Hospital (H1)"},2,0),
        $D331
      ),
      'Tools &amp; Targets_Guideline'!$C$53:$I$53,
      0
    )
  ),
0))</f>
        <v/>
      </c>
      <c r="Q331" s="105"/>
      <c r="R331" s="119" t="str">
        <f t="array" ref="R331">IF(OR($B331="",$D331=""),"",
IFERROR(
  INDEX(
    'Tools &amp; Targets_Guideline'!$C$54:$I$269,
    MATCH(
      1,
      ('Tools &amp; Targets_Guideline'!$A$54:$A$269=$B331)*
      ('Tools &amp; Targets_Guideline'!$B$54:$B$269="TT"),
      0
    ),
    MATCH(
      _xludf.IFNA(
        VLOOKUP($D331,{"PH","Provincial Hospital (H2)";"DH","District Hospital (H3)";"RH","Regional / National Hospital (H1)"},2,0),
        $D331
      ),
      'Tools &amp; Targets_Guideline'!$C$53:$I$53,
      0
    )
  ),
0))</f>
        <v/>
      </c>
      <c r="S331" s="105"/>
      <c r="T331" s="102"/>
      <c r="U331" s="106"/>
      <c r="V331" s="102" t="str">
        <f t="shared" si="16"/>
        <v/>
      </c>
      <c r="W331" s="102"/>
      <c r="X331" s="102"/>
      <c r="Y331" s="119" t="str">
        <f t="array" ref="Y331">IF(OR($B331="",$D331=""),"",
IFERROR(
  INDEX(
    'Tools &amp; Targets_Guideline'!$C$54:$I$269,
    MATCH(
      1,
      ('Tools &amp; Targets_Guideline'!$A$54:$A$269=$B331)*
      ('Tools &amp; Targets_Guideline'!$B$54:$B$269="GM"),
      0
    ),
    MATCH(
      _xludf.IFNA(
        VLOOKUP($D331,{"PH","Provincial Hospital (H2)";"DH","District Hospital (H3)";"RH","Regional / National Hospital (H1)"},2,0),
        $D331
      ),
      'Tools &amp; Targets_Guideline'!$C$53:$I$53,
      0
    )
  ),
0))</f>
        <v/>
      </c>
      <c r="Z331" s="105"/>
      <c r="AA331" s="119" t="str">
        <f t="array" ref="AA331">IF(OR($B331="",$D331=""),"",
IFERROR(
  INDEX(
    'Tools &amp; Targets_Guideline'!$C$54:$I$269,
    MATCH(
      1,
      ('Tools &amp; Targets_Guideline'!$A$54:$A$269=$B331)*
      ('Tools &amp; Targets_Guideline'!$B$54:$B$269="Penta"),
      0
    ),
    MATCH(
      _xludf.IFNA(
        VLOOKUP($D331,{"PH","Provincial Hospital (H2)";"DH","District Hospital (H3)";"RH","Regional / National Hospital (H1)"},2,0),
        $D331
      ),
      'Tools &amp; Targets_Guideline'!$C$53:$I$53,
      0
    )
  ),
0))</f>
        <v/>
      </c>
      <c r="AB331" s="105"/>
      <c r="AC331" s="119" t="str">
        <f t="array" ref="AC331">IF(OR($B331="",$D331=""),"",
IFERROR(
  INDEX(
    'Tools &amp; Targets_Guideline'!$C$54:$I$269,
    MATCH(
      1,
      ('Tools &amp; Targets_Guideline'!$A$54:$A$269=$B331)*
      ('Tools &amp; Targets_Guideline'!$B$54:$B$269="TB"),
      0
    ),
    MATCH(
      _xludf.IFNA(
        VLOOKUP($D331,{"PH","Provincial Hospital (H2)";"DH","District Hospital (H3)";"RH","Regional / National Hospital (H1)"},2,0),
        $D331
      ),
      'Tools &amp; Targets_Guideline'!$C$53:$I$53,
      0
    )
  ),
0))</f>
        <v/>
      </c>
      <c r="AD331" s="105"/>
      <c r="AE331" s="119" t="str">
        <f t="array" ref="AE331">IF(OR($B331="",$D331=""),"",
IFERROR(
  INDEX(
    'Tools &amp; Targets_Guideline'!$C$54:$I$269,
    MATCH(
      1,
      ('Tools &amp; Targets_Guideline'!$A$54:$A$269=$B331)*
      ('Tools &amp; Targets_Guideline'!$B$54:$B$269="U5 Morbidity"),
      0
    ),
    MATCH(
      _xludf.IFNA(
        VLOOKUP($D331,{"PH","Provincial Hospital (H2)";"DH","District Hospital (H3)";"RH","Regional / National Hospital (H1)"},2,0),
        $D331
      ),
      'Tools &amp; Targets_Guideline'!$C$53:$I$53,
      0
    )
  ),
0))</f>
        <v/>
      </c>
      <c r="AF331" s="105"/>
      <c r="AG331" s="119" t="str">
        <f t="array" ref="AG331">IF(OR($B331="",$D331=""),"",
IFERROR(
  INDEX(
    'Tools &amp; Targets_Guideline'!$C$54:$I$269,
    MATCH(
      1,
      ('Tools &amp; Targets_Guideline'!$A$54:$A$269=$B331)*
      ('Tools &amp; Targets_Guideline'!$B$54:$B$269="C-Section"),
      0
    ),
    MATCH(
      _xludf.IFNA(
        VLOOKUP($D331,{"PH","Provincial Hospital (H2)";"DH","District Hospital (H3)";"RH","Regional / National Hospital (H1)"},2,0),
        $D331
      ),
      'Tools &amp; Targets_Guideline'!$C$53:$I$53,
      0
    )
  ),
0))</f>
        <v/>
      </c>
      <c r="AH331" s="105" t="str">
        <f>IF(A331&lt;&gt;"",COUNTIFS('QA Log'!D:D,A331,'QA Log'!M:M,"QQC",'QA Log'!L:L,"2. Hygiene and Sterilization",'QA Log'!Z:Z,"Approved"),"")</f>
        <v/>
      </c>
      <c r="AI331" s="102"/>
      <c r="AJ331" s="102"/>
      <c r="AK331" s="103" t="str">
        <f t="shared" si="17"/>
        <v/>
      </c>
      <c r="AL331" s="102"/>
      <c r="AM331" s="102"/>
      <c r="AN331" s="102"/>
      <c r="AO331" s="106"/>
      <c r="AP331" s="103"/>
      <c r="AQ331" s="102"/>
      <c r="AR331" s="102"/>
      <c r="AS331" s="102"/>
      <c r="AT331" s="107"/>
      <c r="AU331" s="102" t="str">
        <f t="shared" si="18"/>
        <v/>
      </c>
      <c r="AV331" s="102" t="str">
        <f t="shared" si="19"/>
        <v/>
      </c>
      <c r="AW331" s="102" t="str">
        <f t="shared" si="20"/>
        <v/>
      </c>
      <c r="AX331" s="102" t="str">
        <f t="shared" si="21"/>
        <v/>
      </c>
      <c r="AY331" s="107" t="str">
        <f t="shared" si="22"/>
        <v/>
      </c>
      <c r="AZ331" s="108" t="str">
        <f t="shared" si="23"/>
        <v/>
      </c>
      <c r="BA331" s="108" t="str">
        <f t="shared" si="24"/>
        <v/>
      </c>
      <c r="BB331" s="109" t="str">
        <f t="shared" si="25"/>
        <v/>
      </c>
      <c r="BC331" s="108" t="str">
        <f t="shared" si="26"/>
        <v/>
      </c>
      <c r="BD331" s="108" t="str">
        <f t="shared" si="27"/>
        <v/>
      </c>
      <c r="BE331" s="109" t="str">
        <f t="shared" si="28"/>
        <v/>
      </c>
      <c r="BF331" s="110" t="str">
        <f t="shared" si="29"/>
        <v/>
      </c>
      <c r="BG331" s="111"/>
    </row>
    <row r="332" spans="1:59" ht="12.75">
      <c r="A332" s="101"/>
      <c r="B332" s="102"/>
      <c r="C332" s="102" t="e">
        <f t="array" aca="1" ref="C332" ca="1">_xludf.XLOOKUP(A332,'QA Log'!D:D,'QA Log'!F:F,"")</f>
        <v>#NAME?</v>
      </c>
      <c r="D332" s="102"/>
      <c r="E332" s="102" t="e">
        <f t="array" aca="1" ref="E332" ca="1">_xludf.XLOOKUP(A332,'QA Log'!D:D,'QA Log'!G:G,"")</f>
        <v>#NAME?</v>
      </c>
      <c r="F332" s="103"/>
      <c r="G332" s="104"/>
      <c r="H332" s="104"/>
      <c r="I332" s="103" t="str">
        <f t="shared" si="15"/>
        <v/>
      </c>
      <c r="J332" s="102"/>
      <c r="K332" s="102"/>
      <c r="L332" s="119" t="str">
        <f t="array" ref="L332">IF(OR($B332="",$D332=""),"",
IFERROR(
  INDEX(
    'Tools &amp; Targets_Guideline'!$C$54:$I$269,
    MATCH(
      1,
      ('Tools &amp; Targets_Guideline'!$A$54:$A$269=$B332)*
      ('Tools &amp; Targets_Guideline'!$B$54:$B$269="ANC"),
      0
    ),
    MATCH(
      _xludf.IFNA(
        VLOOKUP($D332,{"PH","Provincial Hospital (H2)";"DH","District Hospital (H3)";"RH","Regional / National Hospital (H1)"},2,0),
        $D332
      ),
      'Tools &amp; Targets_Guideline'!$C$53:$I$53,
      0
    )
  ),
0))</f>
        <v/>
      </c>
      <c r="M332" s="105"/>
      <c r="N332" s="119" t="str">
        <f t="array" ref="N332">IF(OR($B332="",$D332=""),"",
IFERROR(
  INDEX(
    'Tools &amp; Targets_Guideline'!$C$54:$I$269,
    MATCH(
      1,
      ('Tools &amp; Targets_Guideline'!$A$54:$A$269=$B332)*
      ('Tools &amp; Targets_Guideline'!$B$54:$B$269="PNC"),
      0
    ),
    MATCH(
      _xludf.IFNA(
        VLOOKUP($D332,{"PH","Provincial Hospital (H2)";"DH","District Hospital (H3)";"RH","Regional / National Hospital (H1)"},2,0),
        $D332
      ),
      'Tools &amp; Targets_Guideline'!$C$53:$I$53,
      0
    )
  ),
0))</f>
        <v/>
      </c>
      <c r="O332" s="105"/>
      <c r="P332" s="119" t="str">
        <f t="array" ref="P332">IF(OR($B332="",$D332=""),"",
IFERROR(
  INDEX(
    'Tools &amp; Targets_Guideline'!$C$54:$I$269,
    MATCH(
      1,
      ('Tools &amp; Targets_Guideline'!$A$54:$A$269=$B332)*
      ('Tools &amp; Targets_Guideline'!$B$54:$B$269="Delivery"),
      0
    ),
    MATCH(
      _xludf.IFNA(
        VLOOKUP($D332,{"PH","Provincial Hospital (H2)";"DH","District Hospital (H3)";"RH","Regional / National Hospital (H1)"},2,0),
        $D332
      ),
      'Tools &amp; Targets_Guideline'!$C$53:$I$53,
      0
    )
  ),
0))</f>
        <v/>
      </c>
      <c r="Q332" s="105"/>
      <c r="R332" s="119" t="str">
        <f t="array" ref="R332">IF(OR($B332="",$D332=""),"",
IFERROR(
  INDEX(
    'Tools &amp; Targets_Guideline'!$C$54:$I$269,
    MATCH(
      1,
      ('Tools &amp; Targets_Guideline'!$A$54:$A$269=$B332)*
      ('Tools &amp; Targets_Guideline'!$B$54:$B$269="TT"),
      0
    ),
    MATCH(
      _xludf.IFNA(
        VLOOKUP($D332,{"PH","Provincial Hospital (H2)";"DH","District Hospital (H3)";"RH","Regional / National Hospital (H1)"},2,0),
        $D332
      ),
      'Tools &amp; Targets_Guideline'!$C$53:$I$53,
      0
    )
  ),
0))</f>
        <v/>
      </c>
      <c r="S332" s="105"/>
      <c r="T332" s="102"/>
      <c r="U332" s="106"/>
      <c r="V332" s="102" t="str">
        <f t="shared" si="16"/>
        <v/>
      </c>
      <c r="W332" s="102"/>
      <c r="X332" s="102"/>
      <c r="Y332" s="119" t="str">
        <f t="array" ref="Y332">IF(OR($B332="",$D332=""),"",
IFERROR(
  INDEX(
    'Tools &amp; Targets_Guideline'!$C$54:$I$269,
    MATCH(
      1,
      ('Tools &amp; Targets_Guideline'!$A$54:$A$269=$B332)*
      ('Tools &amp; Targets_Guideline'!$B$54:$B$269="GM"),
      0
    ),
    MATCH(
      _xludf.IFNA(
        VLOOKUP($D332,{"PH","Provincial Hospital (H2)";"DH","District Hospital (H3)";"RH","Regional / National Hospital (H1)"},2,0),
        $D332
      ),
      'Tools &amp; Targets_Guideline'!$C$53:$I$53,
      0
    )
  ),
0))</f>
        <v/>
      </c>
      <c r="Z332" s="105"/>
      <c r="AA332" s="119" t="str">
        <f t="array" ref="AA332">IF(OR($B332="",$D332=""),"",
IFERROR(
  INDEX(
    'Tools &amp; Targets_Guideline'!$C$54:$I$269,
    MATCH(
      1,
      ('Tools &amp; Targets_Guideline'!$A$54:$A$269=$B332)*
      ('Tools &amp; Targets_Guideline'!$B$54:$B$269="Penta"),
      0
    ),
    MATCH(
      _xludf.IFNA(
        VLOOKUP($D332,{"PH","Provincial Hospital (H2)";"DH","District Hospital (H3)";"RH","Regional / National Hospital (H1)"},2,0),
        $D332
      ),
      'Tools &amp; Targets_Guideline'!$C$53:$I$53,
      0
    )
  ),
0))</f>
        <v/>
      </c>
      <c r="AB332" s="105"/>
      <c r="AC332" s="119" t="str">
        <f t="array" ref="AC332">IF(OR($B332="",$D332=""),"",
IFERROR(
  INDEX(
    'Tools &amp; Targets_Guideline'!$C$54:$I$269,
    MATCH(
      1,
      ('Tools &amp; Targets_Guideline'!$A$54:$A$269=$B332)*
      ('Tools &amp; Targets_Guideline'!$B$54:$B$269="TB"),
      0
    ),
    MATCH(
      _xludf.IFNA(
        VLOOKUP($D332,{"PH","Provincial Hospital (H2)";"DH","District Hospital (H3)";"RH","Regional / National Hospital (H1)"},2,0),
        $D332
      ),
      'Tools &amp; Targets_Guideline'!$C$53:$I$53,
      0
    )
  ),
0))</f>
        <v/>
      </c>
      <c r="AD332" s="105"/>
      <c r="AE332" s="119" t="str">
        <f t="array" ref="AE332">IF(OR($B332="",$D332=""),"",
IFERROR(
  INDEX(
    'Tools &amp; Targets_Guideline'!$C$54:$I$269,
    MATCH(
      1,
      ('Tools &amp; Targets_Guideline'!$A$54:$A$269=$B332)*
      ('Tools &amp; Targets_Guideline'!$B$54:$B$269="U5 Morbidity"),
      0
    ),
    MATCH(
      _xludf.IFNA(
        VLOOKUP($D332,{"PH","Provincial Hospital (H2)";"DH","District Hospital (H3)";"RH","Regional / National Hospital (H1)"},2,0),
        $D332
      ),
      'Tools &amp; Targets_Guideline'!$C$53:$I$53,
      0
    )
  ),
0))</f>
        <v/>
      </c>
      <c r="AF332" s="105"/>
      <c r="AG332" s="119" t="str">
        <f t="array" ref="AG332">IF(OR($B332="",$D332=""),"",
IFERROR(
  INDEX(
    'Tools &amp; Targets_Guideline'!$C$54:$I$269,
    MATCH(
      1,
      ('Tools &amp; Targets_Guideline'!$A$54:$A$269=$B332)*
      ('Tools &amp; Targets_Guideline'!$B$54:$B$269="C-Section"),
      0
    ),
    MATCH(
      _xludf.IFNA(
        VLOOKUP($D332,{"PH","Provincial Hospital (H2)";"DH","District Hospital (H3)";"RH","Regional / National Hospital (H1)"},2,0),
        $D332
      ),
      'Tools &amp; Targets_Guideline'!$C$53:$I$53,
      0
    )
  ),
0))</f>
        <v/>
      </c>
      <c r="AH332" s="105" t="str">
        <f>IF(A332&lt;&gt;"",COUNTIFS('QA Log'!D:D,A332,'QA Log'!M:M,"QQC",'QA Log'!L:L,"2. Hygiene and Sterilization",'QA Log'!Z:Z,"Approved"),"")</f>
        <v/>
      </c>
      <c r="AI332" s="102"/>
      <c r="AJ332" s="102"/>
      <c r="AK332" s="103" t="str">
        <f t="shared" si="17"/>
        <v/>
      </c>
      <c r="AL332" s="102"/>
      <c r="AM332" s="102"/>
      <c r="AN332" s="102"/>
      <c r="AO332" s="106"/>
      <c r="AP332" s="103"/>
      <c r="AQ332" s="102"/>
      <c r="AR332" s="102"/>
      <c r="AS332" s="102"/>
      <c r="AT332" s="107"/>
      <c r="AU332" s="102" t="str">
        <f t="shared" si="18"/>
        <v/>
      </c>
      <c r="AV332" s="102" t="str">
        <f t="shared" si="19"/>
        <v/>
      </c>
      <c r="AW332" s="102" t="str">
        <f t="shared" si="20"/>
        <v/>
      </c>
      <c r="AX332" s="102" t="str">
        <f t="shared" si="21"/>
        <v/>
      </c>
      <c r="AY332" s="107" t="str">
        <f t="shared" si="22"/>
        <v/>
      </c>
      <c r="AZ332" s="108" t="str">
        <f t="shared" si="23"/>
        <v/>
      </c>
      <c r="BA332" s="108" t="str">
        <f t="shared" si="24"/>
        <v/>
      </c>
      <c r="BB332" s="109" t="str">
        <f t="shared" si="25"/>
        <v/>
      </c>
      <c r="BC332" s="108" t="str">
        <f t="shared" si="26"/>
        <v/>
      </c>
      <c r="BD332" s="108" t="str">
        <f t="shared" si="27"/>
        <v/>
      </c>
      <c r="BE332" s="109" t="str">
        <f t="shared" si="28"/>
        <v/>
      </c>
      <c r="BF332" s="110" t="str">
        <f t="shared" si="29"/>
        <v/>
      </c>
      <c r="BG332" s="111"/>
    </row>
    <row r="333" spans="1:59" ht="12.75">
      <c r="A333" s="101"/>
      <c r="B333" s="102"/>
      <c r="C333" s="102" t="e">
        <f t="array" aca="1" ref="C333" ca="1">_xludf.XLOOKUP(A333,'QA Log'!D:D,'QA Log'!F:F,"")</f>
        <v>#NAME?</v>
      </c>
      <c r="D333" s="102"/>
      <c r="E333" s="102" t="e">
        <f t="array" aca="1" ref="E333" ca="1">_xludf.XLOOKUP(A333,'QA Log'!D:D,'QA Log'!G:G,"")</f>
        <v>#NAME?</v>
      </c>
      <c r="F333" s="103"/>
      <c r="G333" s="104"/>
      <c r="H333" s="104"/>
      <c r="I333" s="103" t="str">
        <f t="shared" si="15"/>
        <v/>
      </c>
      <c r="J333" s="102"/>
      <c r="K333" s="102"/>
      <c r="L333" s="119" t="str">
        <f t="array" ref="L333">IF(OR($B333="",$D333=""),"",
IFERROR(
  INDEX(
    'Tools &amp; Targets_Guideline'!$C$54:$I$269,
    MATCH(
      1,
      ('Tools &amp; Targets_Guideline'!$A$54:$A$269=$B333)*
      ('Tools &amp; Targets_Guideline'!$B$54:$B$269="ANC"),
      0
    ),
    MATCH(
      _xludf.IFNA(
        VLOOKUP($D333,{"PH","Provincial Hospital (H2)";"DH","District Hospital (H3)";"RH","Regional / National Hospital (H1)"},2,0),
        $D333
      ),
      'Tools &amp; Targets_Guideline'!$C$53:$I$53,
      0
    )
  ),
0))</f>
        <v/>
      </c>
      <c r="M333" s="105"/>
      <c r="N333" s="119" t="str">
        <f t="array" ref="N333">IF(OR($B333="",$D333=""),"",
IFERROR(
  INDEX(
    'Tools &amp; Targets_Guideline'!$C$54:$I$269,
    MATCH(
      1,
      ('Tools &amp; Targets_Guideline'!$A$54:$A$269=$B333)*
      ('Tools &amp; Targets_Guideline'!$B$54:$B$269="PNC"),
      0
    ),
    MATCH(
      _xludf.IFNA(
        VLOOKUP($D333,{"PH","Provincial Hospital (H2)";"DH","District Hospital (H3)";"RH","Regional / National Hospital (H1)"},2,0),
        $D333
      ),
      'Tools &amp; Targets_Guideline'!$C$53:$I$53,
      0
    )
  ),
0))</f>
        <v/>
      </c>
      <c r="O333" s="105"/>
      <c r="P333" s="119" t="str">
        <f t="array" ref="P333">IF(OR($B333="",$D333=""),"",
IFERROR(
  INDEX(
    'Tools &amp; Targets_Guideline'!$C$54:$I$269,
    MATCH(
      1,
      ('Tools &amp; Targets_Guideline'!$A$54:$A$269=$B333)*
      ('Tools &amp; Targets_Guideline'!$B$54:$B$269="Delivery"),
      0
    ),
    MATCH(
      _xludf.IFNA(
        VLOOKUP($D333,{"PH","Provincial Hospital (H2)";"DH","District Hospital (H3)";"RH","Regional / National Hospital (H1)"},2,0),
        $D333
      ),
      'Tools &amp; Targets_Guideline'!$C$53:$I$53,
      0
    )
  ),
0))</f>
        <v/>
      </c>
      <c r="Q333" s="105"/>
      <c r="R333" s="119" t="str">
        <f t="array" ref="R333">IF(OR($B333="",$D333=""),"",
IFERROR(
  INDEX(
    'Tools &amp; Targets_Guideline'!$C$54:$I$269,
    MATCH(
      1,
      ('Tools &amp; Targets_Guideline'!$A$54:$A$269=$B333)*
      ('Tools &amp; Targets_Guideline'!$B$54:$B$269="TT"),
      0
    ),
    MATCH(
      _xludf.IFNA(
        VLOOKUP($D333,{"PH","Provincial Hospital (H2)";"DH","District Hospital (H3)";"RH","Regional / National Hospital (H1)"},2,0),
        $D333
      ),
      'Tools &amp; Targets_Guideline'!$C$53:$I$53,
      0
    )
  ),
0))</f>
        <v/>
      </c>
      <c r="S333" s="105"/>
      <c r="T333" s="102"/>
      <c r="U333" s="106"/>
      <c r="V333" s="102" t="str">
        <f t="shared" si="16"/>
        <v/>
      </c>
      <c r="W333" s="102"/>
      <c r="X333" s="102"/>
      <c r="Y333" s="119" t="str">
        <f t="array" ref="Y333">IF(OR($B333="",$D333=""),"",
IFERROR(
  INDEX(
    'Tools &amp; Targets_Guideline'!$C$54:$I$269,
    MATCH(
      1,
      ('Tools &amp; Targets_Guideline'!$A$54:$A$269=$B333)*
      ('Tools &amp; Targets_Guideline'!$B$54:$B$269="GM"),
      0
    ),
    MATCH(
      _xludf.IFNA(
        VLOOKUP($D333,{"PH","Provincial Hospital (H2)";"DH","District Hospital (H3)";"RH","Regional / National Hospital (H1)"},2,0),
        $D333
      ),
      'Tools &amp; Targets_Guideline'!$C$53:$I$53,
      0
    )
  ),
0))</f>
        <v/>
      </c>
      <c r="Z333" s="105"/>
      <c r="AA333" s="119" t="str">
        <f t="array" ref="AA333">IF(OR($B333="",$D333=""),"",
IFERROR(
  INDEX(
    'Tools &amp; Targets_Guideline'!$C$54:$I$269,
    MATCH(
      1,
      ('Tools &amp; Targets_Guideline'!$A$54:$A$269=$B333)*
      ('Tools &amp; Targets_Guideline'!$B$54:$B$269="Penta"),
      0
    ),
    MATCH(
      _xludf.IFNA(
        VLOOKUP($D333,{"PH","Provincial Hospital (H2)";"DH","District Hospital (H3)";"RH","Regional / National Hospital (H1)"},2,0),
        $D333
      ),
      'Tools &amp; Targets_Guideline'!$C$53:$I$53,
      0
    )
  ),
0))</f>
        <v/>
      </c>
      <c r="AB333" s="105"/>
      <c r="AC333" s="119" t="str">
        <f t="array" ref="AC333">IF(OR($B333="",$D333=""),"",
IFERROR(
  INDEX(
    'Tools &amp; Targets_Guideline'!$C$54:$I$269,
    MATCH(
      1,
      ('Tools &amp; Targets_Guideline'!$A$54:$A$269=$B333)*
      ('Tools &amp; Targets_Guideline'!$B$54:$B$269="TB"),
      0
    ),
    MATCH(
      _xludf.IFNA(
        VLOOKUP($D333,{"PH","Provincial Hospital (H2)";"DH","District Hospital (H3)";"RH","Regional / National Hospital (H1)"},2,0),
        $D333
      ),
      'Tools &amp; Targets_Guideline'!$C$53:$I$53,
      0
    )
  ),
0))</f>
        <v/>
      </c>
      <c r="AD333" s="105"/>
      <c r="AE333" s="119" t="str">
        <f t="array" ref="AE333">IF(OR($B333="",$D333=""),"",
IFERROR(
  INDEX(
    'Tools &amp; Targets_Guideline'!$C$54:$I$269,
    MATCH(
      1,
      ('Tools &amp; Targets_Guideline'!$A$54:$A$269=$B333)*
      ('Tools &amp; Targets_Guideline'!$B$54:$B$269="U5 Morbidity"),
      0
    ),
    MATCH(
      _xludf.IFNA(
        VLOOKUP($D333,{"PH","Provincial Hospital (H2)";"DH","District Hospital (H3)";"RH","Regional / National Hospital (H1)"},2,0),
        $D333
      ),
      'Tools &amp; Targets_Guideline'!$C$53:$I$53,
      0
    )
  ),
0))</f>
        <v/>
      </c>
      <c r="AF333" s="105"/>
      <c r="AG333" s="119" t="str">
        <f t="array" ref="AG333">IF(OR($B333="",$D333=""),"",
IFERROR(
  INDEX(
    'Tools &amp; Targets_Guideline'!$C$54:$I$269,
    MATCH(
      1,
      ('Tools &amp; Targets_Guideline'!$A$54:$A$269=$B333)*
      ('Tools &amp; Targets_Guideline'!$B$54:$B$269="C-Section"),
      0
    ),
    MATCH(
      _xludf.IFNA(
        VLOOKUP($D333,{"PH","Provincial Hospital (H2)";"DH","District Hospital (H3)";"RH","Regional / National Hospital (H1)"},2,0),
        $D333
      ),
      'Tools &amp; Targets_Guideline'!$C$53:$I$53,
      0
    )
  ),
0))</f>
        <v/>
      </c>
      <c r="AH333" s="105" t="str">
        <f>IF(A333&lt;&gt;"",COUNTIFS('QA Log'!D:D,A333,'QA Log'!M:M,"QQC",'QA Log'!L:L,"2. Hygiene and Sterilization",'QA Log'!Z:Z,"Approved"),"")</f>
        <v/>
      </c>
      <c r="AI333" s="102"/>
      <c r="AJ333" s="102"/>
      <c r="AK333" s="103" t="str">
        <f t="shared" si="17"/>
        <v/>
      </c>
      <c r="AL333" s="102"/>
      <c r="AM333" s="102"/>
      <c r="AN333" s="102"/>
      <c r="AO333" s="106"/>
      <c r="AP333" s="103"/>
      <c r="AQ333" s="102"/>
      <c r="AR333" s="102"/>
      <c r="AS333" s="102"/>
      <c r="AT333" s="107"/>
      <c r="AU333" s="102" t="str">
        <f t="shared" si="18"/>
        <v/>
      </c>
      <c r="AV333" s="102" t="str">
        <f t="shared" si="19"/>
        <v/>
      </c>
      <c r="AW333" s="102" t="str">
        <f t="shared" si="20"/>
        <v/>
      </c>
      <c r="AX333" s="102" t="str">
        <f t="shared" si="21"/>
        <v/>
      </c>
      <c r="AY333" s="107" t="str">
        <f t="shared" si="22"/>
        <v/>
      </c>
      <c r="AZ333" s="108" t="str">
        <f t="shared" si="23"/>
        <v/>
      </c>
      <c r="BA333" s="108" t="str">
        <f t="shared" si="24"/>
        <v/>
      </c>
      <c r="BB333" s="109" t="str">
        <f t="shared" si="25"/>
        <v/>
      </c>
      <c r="BC333" s="108" t="str">
        <f t="shared" si="26"/>
        <v/>
      </c>
      <c r="BD333" s="108" t="str">
        <f t="shared" si="27"/>
        <v/>
      </c>
      <c r="BE333" s="109" t="str">
        <f t="shared" si="28"/>
        <v/>
      </c>
      <c r="BF333" s="110" t="str">
        <f t="shared" si="29"/>
        <v/>
      </c>
      <c r="BG333" s="111"/>
    </row>
    <row r="334" spans="1:59" ht="12.75">
      <c r="A334" s="101"/>
      <c r="B334" s="102"/>
      <c r="C334" s="102" t="e">
        <f t="array" aca="1" ref="C334" ca="1">_xludf.XLOOKUP(A334,'QA Log'!D:D,'QA Log'!F:F,"")</f>
        <v>#NAME?</v>
      </c>
      <c r="D334" s="102"/>
      <c r="E334" s="102" t="e">
        <f t="array" aca="1" ref="E334" ca="1">_xludf.XLOOKUP(A334,'QA Log'!D:D,'QA Log'!G:G,"")</f>
        <v>#NAME?</v>
      </c>
      <c r="F334" s="103"/>
      <c r="G334" s="104"/>
      <c r="H334" s="104"/>
      <c r="I334" s="103" t="str">
        <f t="shared" si="15"/>
        <v/>
      </c>
      <c r="J334" s="102"/>
      <c r="K334" s="102"/>
      <c r="L334" s="119" t="str">
        <f t="array" ref="L334">IF(OR($B334="",$D334=""),"",
IFERROR(
  INDEX(
    'Tools &amp; Targets_Guideline'!$C$54:$I$269,
    MATCH(
      1,
      ('Tools &amp; Targets_Guideline'!$A$54:$A$269=$B334)*
      ('Tools &amp; Targets_Guideline'!$B$54:$B$269="ANC"),
      0
    ),
    MATCH(
      _xludf.IFNA(
        VLOOKUP($D334,{"PH","Provincial Hospital (H2)";"DH","District Hospital (H3)";"RH","Regional / National Hospital (H1)"},2,0),
        $D334
      ),
      'Tools &amp; Targets_Guideline'!$C$53:$I$53,
      0
    )
  ),
0))</f>
        <v/>
      </c>
      <c r="M334" s="105"/>
      <c r="N334" s="119" t="str">
        <f t="array" ref="N334">IF(OR($B334="",$D334=""),"",
IFERROR(
  INDEX(
    'Tools &amp; Targets_Guideline'!$C$54:$I$269,
    MATCH(
      1,
      ('Tools &amp; Targets_Guideline'!$A$54:$A$269=$B334)*
      ('Tools &amp; Targets_Guideline'!$B$54:$B$269="PNC"),
      0
    ),
    MATCH(
      _xludf.IFNA(
        VLOOKUP($D334,{"PH","Provincial Hospital (H2)";"DH","District Hospital (H3)";"RH","Regional / National Hospital (H1)"},2,0),
        $D334
      ),
      'Tools &amp; Targets_Guideline'!$C$53:$I$53,
      0
    )
  ),
0))</f>
        <v/>
      </c>
      <c r="O334" s="105"/>
      <c r="P334" s="119" t="str">
        <f t="array" ref="P334">IF(OR($B334="",$D334=""),"",
IFERROR(
  INDEX(
    'Tools &amp; Targets_Guideline'!$C$54:$I$269,
    MATCH(
      1,
      ('Tools &amp; Targets_Guideline'!$A$54:$A$269=$B334)*
      ('Tools &amp; Targets_Guideline'!$B$54:$B$269="Delivery"),
      0
    ),
    MATCH(
      _xludf.IFNA(
        VLOOKUP($D334,{"PH","Provincial Hospital (H2)";"DH","District Hospital (H3)";"RH","Regional / National Hospital (H1)"},2,0),
        $D334
      ),
      'Tools &amp; Targets_Guideline'!$C$53:$I$53,
      0
    )
  ),
0))</f>
        <v/>
      </c>
      <c r="Q334" s="105"/>
      <c r="R334" s="119" t="str">
        <f t="array" ref="R334">IF(OR($B334="",$D334=""),"",
IFERROR(
  INDEX(
    'Tools &amp; Targets_Guideline'!$C$54:$I$269,
    MATCH(
      1,
      ('Tools &amp; Targets_Guideline'!$A$54:$A$269=$B334)*
      ('Tools &amp; Targets_Guideline'!$B$54:$B$269="TT"),
      0
    ),
    MATCH(
      _xludf.IFNA(
        VLOOKUP($D334,{"PH","Provincial Hospital (H2)";"DH","District Hospital (H3)";"RH","Regional / National Hospital (H1)"},2,0),
        $D334
      ),
      'Tools &amp; Targets_Guideline'!$C$53:$I$53,
      0
    )
  ),
0))</f>
        <v/>
      </c>
      <c r="S334" s="105"/>
      <c r="T334" s="102"/>
      <c r="U334" s="106"/>
      <c r="V334" s="102" t="str">
        <f t="shared" si="16"/>
        <v/>
      </c>
      <c r="W334" s="102"/>
      <c r="X334" s="102"/>
      <c r="Y334" s="119" t="str">
        <f t="array" ref="Y334">IF(OR($B334="",$D334=""),"",
IFERROR(
  INDEX(
    'Tools &amp; Targets_Guideline'!$C$54:$I$269,
    MATCH(
      1,
      ('Tools &amp; Targets_Guideline'!$A$54:$A$269=$B334)*
      ('Tools &amp; Targets_Guideline'!$B$54:$B$269="GM"),
      0
    ),
    MATCH(
      _xludf.IFNA(
        VLOOKUP($D334,{"PH","Provincial Hospital (H2)";"DH","District Hospital (H3)";"RH","Regional / National Hospital (H1)"},2,0),
        $D334
      ),
      'Tools &amp; Targets_Guideline'!$C$53:$I$53,
      0
    )
  ),
0))</f>
        <v/>
      </c>
      <c r="Z334" s="105"/>
      <c r="AA334" s="119" t="str">
        <f t="array" ref="AA334">IF(OR($B334="",$D334=""),"",
IFERROR(
  INDEX(
    'Tools &amp; Targets_Guideline'!$C$54:$I$269,
    MATCH(
      1,
      ('Tools &amp; Targets_Guideline'!$A$54:$A$269=$B334)*
      ('Tools &amp; Targets_Guideline'!$B$54:$B$269="Penta"),
      0
    ),
    MATCH(
      _xludf.IFNA(
        VLOOKUP($D334,{"PH","Provincial Hospital (H2)";"DH","District Hospital (H3)";"RH","Regional / National Hospital (H1)"},2,0),
        $D334
      ),
      'Tools &amp; Targets_Guideline'!$C$53:$I$53,
      0
    )
  ),
0))</f>
        <v/>
      </c>
      <c r="AB334" s="105"/>
      <c r="AC334" s="119" t="str">
        <f t="array" ref="AC334">IF(OR($B334="",$D334=""),"",
IFERROR(
  INDEX(
    'Tools &amp; Targets_Guideline'!$C$54:$I$269,
    MATCH(
      1,
      ('Tools &amp; Targets_Guideline'!$A$54:$A$269=$B334)*
      ('Tools &amp; Targets_Guideline'!$B$54:$B$269="TB"),
      0
    ),
    MATCH(
      _xludf.IFNA(
        VLOOKUP($D334,{"PH","Provincial Hospital (H2)";"DH","District Hospital (H3)";"RH","Regional / National Hospital (H1)"},2,0),
        $D334
      ),
      'Tools &amp; Targets_Guideline'!$C$53:$I$53,
      0
    )
  ),
0))</f>
        <v/>
      </c>
      <c r="AD334" s="105"/>
      <c r="AE334" s="119" t="str">
        <f t="array" ref="AE334">IF(OR($B334="",$D334=""),"",
IFERROR(
  INDEX(
    'Tools &amp; Targets_Guideline'!$C$54:$I$269,
    MATCH(
      1,
      ('Tools &amp; Targets_Guideline'!$A$54:$A$269=$B334)*
      ('Tools &amp; Targets_Guideline'!$B$54:$B$269="U5 Morbidity"),
      0
    ),
    MATCH(
      _xludf.IFNA(
        VLOOKUP($D334,{"PH","Provincial Hospital (H2)";"DH","District Hospital (H3)";"RH","Regional / National Hospital (H1)"},2,0),
        $D334
      ),
      'Tools &amp; Targets_Guideline'!$C$53:$I$53,
      0
    )
  ),
0))</f>
        <v/>
      </c>
      <c r="AF334" s="105"/>
      <c r="AG334" s="119" t="str">
        <f t="array" ref="AG334">IF(OR($B334="",$D334=""),"",
IFERROR(
  INDEX(
    'Tools &amp; Targets_Guideline'!$C$54:$I$269,
    MATCH(
      1,
      ('Tools &amp; Targets_Guideline'!$A$54:$A$269=$B334)*
      ('Tools &amp; Targets_Guideline'!$B$54:$B$269="C-Section"),
      0
    ),
    MATCH(
      _xludf.IFNA(
        VLOOKUP($D334,{"PH","Provincial Hospital (H2)";"DH","District Hospital (H3)";"RH","Regional / National Hospital (H1)"},2,0),
        $D334
      ),
      'Tools &amp; Targets_Guideline'!$C$53:$I$53,
      0
    )
  ),
0))</f>
        <v/>
      </c>
      <c r="AH334" s="105" t="str">
        <f>IF(A334&lt;&gt;"",COUNTIFS('QA Log'!D:D,A334,'QA Log'!M:M,"QQC",'QA Log'!L:L,"2. Hygiene and Sterilization",'QA Log'!Z:Z,"Approved"),"")</f>
        <v/>
      </c>
      <c r="AI334" s="102"/>
      <c r="AJ334" s="102"/>
      <c r="AK334" s="103" t="str">
        <f t="shared" si="17"/>
        <v/>
      </c>
      <c r="AL334" s="102"/>
      <c r="AM334" s="102"/>
      <c r="AN334" s="102"/>
      <c r="AO334" s="106"/>
      <c r="AP334" s="103"/>
      <c r="AQ334" s="102"/>
      <c r="AR334" s="102"/>
      <c r="AS334" s="102"/>
      <c r="AT334" s="107"/>
      <c r="AU334" s="102" t="str">
        <f t="shared" si="18"/>
        <v/>
      </c>
      <c r="AV334" s="102" t="str">
        <f t="shared" si="19"/>
        <v/>
      </c>
      <c r="AW334" s="102" t="str">
        <f t="shared" si="20"/>
        <v/>
      </c>
      <c r="AX334" s="102" t="str">
        <f t="shared" si="21"/>
        <v/>
      </c>
      <c r="AY334" s="107" t="str">
        <f t="shared" si="22"/>
        <v/>
      </c>
      <c r="AZ334" s="108" t="str">
        <f t="shared" si="23"/>
        <v/>
      </c>
      <c r="BA334" s="108" t="str">
        <f t="shared" si="24"/>
        <v/>
      </c>
      <c r="BB334" s="109" t="str">
        <f t="shared" si="25"/>
        <v/>
      </c>
      <c r="BC334" s="108" t="str">
        <f t="shared" si="26"/>
        <v/>
      </c>
      <c r="BD334" s="108" t="str">
        <f t="shared" si="27"/>
        <v/>
      </c>
      <c r="BE334" s="109" t="str">
        <f t="shared" si="28"/>
        <v/>
      </c>
      <c r="BF334" s="110" t="str">
        <f t="shared" si="29"/>
        <v/>
      </c>
      <c r="BG334" s="111"/>
    </row>
    <row r="335" spans="1:59" ht="12.75">
      <c r="A335" s="101"/>
      <c r="B335" s="102"/>
      <c r="C335" s="102" t="e">
        <f t="array" aca="1" ref="C335" ca="1">_xludf.XLOOKUP(A335,'QA Log'!D:D,'QA Log'!F:F,"")</f>
        <v>#NAME?</v>
      </c>
      <c r="D335" s="102"/>
      <c r="E335" s="102" t="e">
        <f t="array" aca="1" ref="E335" ca="1">_xludf.XLOOKUP(A335,'QA Log'!D:D,'QA Log'!G:G,"")</f>
        <v>#NAME?</v>
      </c>
      <c r="F335" s="103"/>
      <c r="G335" s="104"/>
      <c r="H335" s="104"/>
      <c r="I335" s="103" t="str">
        <f t="shared" si="15"/>
        <v/>
      </c>
      <c r="J335" s="102"/>
      <c r="K335" s="102"/>
      <c r="L335" s="119" t="str">
        <f t="array" ref="L335">IF(OR($B335="",$D335=""),"",
IFERROR(
  INDEX(
    'Tools &amp; Targets_Guideline'!$C$54:$I$269,
    MATCH(
      1,
      ('Tools &amp; Targets_Guideline'!$A$54:$A$269=$B335)*
      ('Tools &amp; Targets_Guideline'!$B$54:$B$269="ANC"),
      0
    ),
    MATCH(
      _xludf.IFNA(
        VLOOKUP($D335,{"PH","Provincial Hospital (H2)";"DH","District Hospital (H3)";"RH","Regional / National Hospital (H1)"},2,0),
        $D335
      ),
      'Tools &amp; Targets_Guideline'!$C$53:$I$53,
      0
    )
  ),
0))</f>
        <v/>
      </c>
      <c r="M335" s="105"/>
      <c r="N335" s="119" t="str">
        <f t="array" ref="N335">IF(OR($B335="",$D335=""),"",
IFERROR(
  INDEX(
    'Tools &amp; Targets_Guideline'!$C$54:$I$269,
    MATCH(
      1,
      ('Tools &amp; Targets_Guideline'!$A$54:$A$269=$B335)*
      ('Tools &amp; Targets_Guideline'!$B$54:$B$269="PNC"),
      0
    ),
    MATCH(
      _xludf.IFNA(
        VLOOKUP($D335,{"PH","Provincial Hospital (H2)";"DH","District Hospital (H3)";"RH","Regional / National Hospital (H1)"},2,0),
        $D335
      ),
      'Tools &amp; Targets_Guideline'!$C$53:$I$53,
      0
    )
  ),
0))</f>
        <v/>
      </c>
      <c r="O335" s="105"/>
      <c r="P335" s="119" t="str">
        <f t="array" ref="P335">IF(OR($B335="",$D335=""),"",
IFERROR(
  INDEX(
    'Tools &amp; Targets_Guideline'!$C$54:$I$269,
    MATCH(
      1,
      ('Tools &amp; Targets_Guideline'!$A$54:$A$269=$B335)*
      ('Tools &amp; Targets_Guideline'!$B$54:$B$269="Delivery"),
      0
    ),
    MATCH(
      _xludf.IFNA(
        VLOOKUP($D335,{"PH","Provincial Hospital (H2)";"DH","District Hospital (H3)";"RH","Regional / National Hospital (H1)"},2,0),
        $D335
      ),
      'Tools &amp; Targets_Guideline'!$C$53:$I$53,
      0
    )
  ),
0))</f>
        <v/>
      </c>
      <c r="Q335" s="105"/>
      <c r="R335" s="119" t="str">
        <f t="array" ref="R335">IF(OR($B335="",$D335=""),"",
IFERROR(
  INDEX(
    'Tools &amp; Targets_Guideline'!$C$54:$I$269,
    MATCH(
      1,
      ('Tools &amp; Targets_Guideline'!$A$54:$A$269=$B335)*
      ('Tools &amp; Targets_Guideline'!$B$54:$B$269="TT"),
      0
    ),
    MATCH(
      _xludf.IFNA(
        VLOOKUP($D335,{"PH","Provincial Hospital (H2)";"DH","District Hospital (H3)";"RH","Regional / National Hospital (H1)"},2,0),
        $D335
      ),
      'Tools &amp; Targets_Guideline'!$C$53:$I$53,
      0
    )
  ),
0))</f>
        <v/>
      </c>
      <c r="S335" s="105"/>
      <c r="T335" s="102"/>
      <c r="U335" s="106"/>
      <c r="V335" s="102" t="str">
        <f t="shared" si="16"/>
        <v/>
      </c>
      <c r="W335" s="102"/>
      <c r="X335" s="102"/>
      <c r="Y335" s="119" t="str">
        <f t="array" ref="Y335">IF(OR($B335="",$D335=""),"",
IFERROR(
  INDEX(
    'Tools &amp; Targets_Guideline'!$C$54:$I$269,
    MATCH(
      1,
      ('Tools &amp; Targets_Guideline'!$A$54:$A$269=$B335)*
      ('Tools &amp; Targets_Guideline'!$B$54:$B$269="GM"),
      0
    ),
    MATCH(
      _xludf.IFNA(
        VLOOKUP($D335,{"PH","Provincial Hospital (H2)";"DH","District Hospital (H3)";"RH","Regional / National Hospital (H1)"},2,0),
        $D335
      ),
      'Tools &amp; Targets_Guideline'!$C$53:$I$53,
      0
    )
  ),
0))</f>
        <v/>
      </c>
      <c r="Z335" s="105"/>
      <c r="AA335" s="119" t="str">
        <f t="array" ref="AA335">IF(OR($B335="",$D335=""),"",
IFERROR(
  INDEX(
    'Tools &amp; Targets_Guideline'!$C$54:$I$269,
    MATCH(
      1,
      ('Tools &amp; Targets_Guideline'!$A$54:$A$269=$B335)*
      ('Tools &amp; Targets_Guideline'!$B$54:$B$269="Penta"),
      0
    ),
    MATCH(
      _xludf.IFNA(
        VLOOKUP($D335,{"PH","Provincial Hospital (H2)";"DH","District Hospital (H3)";"RH","Regional / National Hospital (H1)"},2,0),
        $D335
      ),
      'Tools &amp; Targets_Guideline'!$C$53:$I$53,
      0
    )
  ),
0))</f>
        <v/>
      </c>
      <c r="AB335" s="105"/>
      <c r="AC335" s="119" t="str">
        <f t="array" ref="AC335">IF(OR($B335="",$D335=""),"",
IFERROR(
  INDEX(
    'Tools &amp; Targets_Guideline'!$C$54:$I$269,
    MATCH(
      1,
      ('Tools &amp; Targets_Guideline'!$A$54:$A$269=$B335)*
      ('Tools &amp; Targets_Guideline'!$B$54:$B$269="TB"),
      0
    ),
    MATCH(
      _xludf.IFNA(
        VLOOKUP($D335,{"PH","Provincial Hospital (H2)";"DH","District Hospital (H3)";"RH","Regional / National Hospital (H1)"},2,0),
        $D335
      ),
      'Tools &amp; Targets_Guideline'!$C$53:$I$53,
      0
    )
  ),
0))</f>
        <v/>
      </c>
      <c r="AD335" s="105"/>
      <c r="AE335" s="119" t="str">
        <f t="array" ref="AE335">IF(OR($B335="",$D335=""),"",
IFERROR(
  INDEX(
    'Tools &amp; Targets_Guideline'!$C$54:$I$269,
    MATCH(
      1,
      ('Tools &amp; Targets_Guideline'!$A$54:$A$269=$B335)*
      ('Tools &amp; Targets_Guideline'!$B$54:$B$269="U5 Morbidity"),
      0
    ),
    MATCH(
      _xludf.IFNA(
        VLOOKUP($D335,{"PH","Provincial Hospital (H2)";"DH","District Hospital (H3)";"RH","Regional / National Hospital (H1)"},2,0),
        $D335
      ),
      'Tools &amp; Targets_Guideline'!$C$53:$I$53,
      0
    )
  ),
0))</f>
        <v/>
      </c>
      <c r="AF335" s="105"/>
      <c r="AG335" s="119" t="str">
        <f t="array" ref="AG335">IF(OR($B335="",$D335=""),"",
IFERROR(
  INDEX(
    'Tools &amp; Targets_Guideline'!$C$54:$I$269,
    MATCH(
      1,
      ('Tools &amp; Targets_Guideline'!$A$54:$A$269=$B335)*
      ('Tools &amp; Targets_Guideline'!$B$54:$B$269="C-Section"),
      0
    ),
    MATCH(
      _xludf.IFNA(
        VLOOKUP($D335,{"PH","Provincial Hospital (H2)";"DH","District Hospital (H3)";"RH","Regional / National Hospital (H1)"},2,0),
        $D335
      ),
      'Tools &amp; Targets_Guideline'!$C$53:$I$53,
      0
    )
  ),
0))</f>
        <v/>
      </c>
      <c r="AH335" s="105" t="str">
        <f>IF(A335&lt;&gt;"",COUNTIFS('QA Log'!D:D,A335,'QA Log'!M:M,"QQC",'QA Log'!L:L,"2. Hygiene and Sterilization",'QA Log'!Z:Z,"Approved"),"")</f>
        <v/>
      </c>
      <c r="AI335" s="102"/>
      <c r="AJ335" s="102"/>
      <c r="AK335" s="103" t="str">
        <f t="shared" si="17"/>
        <v/>
      </c>
      <c r="AL335" s="102"/>
      <c r="AM335" s="102"/>
      <c r="AN335" s="102"/>
      <c r="AO335" s="106"/>
      <c r="AP335" s="103"/>
      <c r="AQ335" s="102"/>
      <c r="AR335" s="102"/>
      <c r="AS335" s="102"/>
      <c r="AT335" s="107"/>
      <c r="AU335" s="102" t="str">
        <f t="shared" si="18"/>
        <v/>
      </c>
      <c r="AV335" s="102" t="str">
        <f t="shared" si="19"/>
        <v/>
      </c>
      <c r="AW335" s="102" t="str">
        <f t="shared" si="20"/>
        <v/>
      </c>
      <c r="AX335" s="102" t="str">
        <f t="shared" si="21"/>
        <v/>
      </c>
      <c r="AY335" s="107" t="str">
        <f t="shared" si="22"/>
        <v/>
      </c>
      <c r="AZ335" s="108" t="str">
        <f t="shared" si="23"/>
        <v/>
      </c>
      <c r="BA335" s="108" t="str">
        <f t="shared" si="24"/>
        <v/>
      </c>
      <c r="BB335" s="109" t="str">
        <f t="shared" si="25"/>
        <v/>
      </c>
      <c r="BC335" s="108" t="str">
        <f t="shared" si="26"/>
        <v/>
      </c>
      <c r="BD335" s="108" t="str">
        <f t="shared" si="27"/>
        <v/>
      </c>
      <c r="BE335" s="109" t="str">
        <f t="shared" si="28"/>
        <v/>
      </c>
      <c r="BF335" s="110" t="str">
        <f t="shared" si="29"/>
        <v/>
      </c>
      <c r="BG335" s="111"/>
    </row>
    <row r="336" spans="1:59" ht="12.75">
      <c r="A336" s="101"/>
      <c r="B336" s="102"/>
      <c r="C336" s="102" t="e">
        <f t="array" aca="1" ref="C336" ca="1">_xludf.XLOOKUP(A336,'QA Log'!D:D,'QA Log'!F:F,"")</f>
        <v>#NAME?</v>
      </c>
      <c r="D336" s="102"/>
      <c r="E336" s="102" t="e">
        <f t="array" aca="1" ref="E336" ca="1">_xludf.XLOOKUP(A336,'QA Log'!D:D,'QA Log'!G:G,"")</f>
        <v>#NAME?</v>
      </c>
      <c r="F336" s="103"/>
      <c r="G336" s="104"/>
      <c r="H336" s="104"/>
      <c r="I336" s="103" t="str">
        <f t="shared" si="15"/>
        <v/>
      </c>
      <c r="J336" s="102"/>
      <c r="K336" s="102"/>
      <c r="L336" s="119" t="str">
        <f t="array" ref="L336">IF(OR($B336="",$D336=""),"",
IFERROR(
  INDEX(
    'Tools &amp; Targets_Guideline'!$C$54:$I$269,
    MATCH(
      1,
      ('Tools &amp; Targets_Guideline'!$A$54:$A$269=$B336)*
      ('Tools &amp; Targets_Guideline'!$B$54:$B$269="ANC"),
      0
    ),
    MATCH(
      _xludf.IFNA(
        VLOOKUP($D336,{"PH","Provincial Hospital (H2)";"DH","District Hospital (H3)";"RH","Regional / National Hospital (H1)"},2,0),
        $D336
      ),
      'Tools &amp; Targets_Guideline'!$C$53:$I$53,
      0
    )
  ),
0))</f>
        <v/>
      </c>
      <c r="M336" s="105"/>
      <c r="N336" s="119" t="str">
        <f t="array" ref="N336">IF(OR($B336="",$D336=""),"",
IFERROR(
  INDEX(
    'Tools &amp; Targets_Guideline'!$C$54:$I$269,
    MATCH(
      1,
      ('Tools &amp; Targets_Guideline'!$A$54:$A$269=$B336)*
      ('Tools &amp; Targets_Guideline'!$B$54:$B$269="PNC"),
      0
    ),
    MATCH(
      _xludf.IFNA(
        VLOOKUP($D336,{"PH","Provincial Hospital (H2)";"DH","District Hospital (H3)";"RH","Regional / National Hospital (H1)"},2,0),
        $D336
      ),
      'Tools &amp; Targets_Guideline'!$C$53:$I$53,
      0
    )
  ),
0))</f>
        <v/>
      </c>
      <c r="O336" s="105"/>
      <c r="P336" s="119" t="str">
        <f t="array" ref="P336">IF(OR($B336="",$D336=""),"",
IFERROR(
  INDEX(
    'Tools &amp; Targets_Guideline'!$C$54:$I$269,
    MATCH(
      1,
      ('Tools &amp; Targets_Guideline'!$A$54:$A$269=$B336)*
      ('Tools &amp; Targets_Guideline'!$B$54:$B$269="Delivery"),
      0
    ),
    MATCH(
      _xludf.IFNA(
        VLOOKUP($D336,{"PH","Provincial Hospital (H2)";"DH","District Hospital (H3)";"RH","Regional / National Hospital (H1)"},2,0),
        $D336
      ),
      'Tools &amp; Targets_Guideline'!$C$53:$I$53,
      0
    )
  ),
0))</f>
        <v/>
      </c>
      <c r="Q336" s="105"/>
      <c r="R336" s="119" t="str">
        <f t="array" ref="R336">IF(OR($B336="",$D336=""),"",
IFERROR(
  INDEX(
    'Tools &amp; Targets_Guideline'!$C$54:$I$269,
    MATCH(
      1,
      ('Tools &amp; Targets_Guideline'!$A$54:$A$269=$B336)*
      ('Tools &amp; Targets_Guideline'!$B$54:$B$269="TT"),
      0
    ),
    MATCH(
      _xludf.IFNA(
        VLOOKUP($D336,{"PH","Provincial Hospital (H2)";"DH","District Hospital (H3)";"RH","Regional / National Hospital (H1)"},2,0),
        $D336
      ),
      'Tools &amp; Targets_Guideline'!$C$53:$I$53,
      0
    )
  ),
0))</f>
        <v/>
      </c>
      <c r="S336" s="105"/>
      <c r="T336" s="102"/>
      <c r="U336" s="106"/>
      <c r="V336" s="102" t="str">
        <f t="shared" si="16"/>
        <v/>
      </c>
      <c r="W336" s="102"/>
      <c r="X336" s="102"/>
      <c r="Y336" s="119" t="str">
        <f t="array" ref="Y336">IF(OR($B336="",$D336=""),"",
IFERROR(
  INDEX(
    'Tools &amp; Targets_Guideline'!$C$54:$I$269,
    MATCH(
      1,
      ('Tools &amp; Targets_Guideline'!$A$54:$A$269=$B336)*
      ('Tools &amp; Targets_Guideline'!$B$54:$B$269="GM"),
      0
    ),
    MATCH(
      _xludf.IFNA(
        VLOOKUP($D336,{"PH","Provincial Hospital (H2)";"DH","District Hospital (H3)";"RH","Regional / National Hospital (H1)"},2,0),
        $D336
      ),
      'Tools &amp; Targets_Guideline'!$C$53:$I$53,
      0
    )
  ),
0))</f>
        <v/>
      </c>
      <c r="Z336" s="105"/>
      <c r="AA336" s="119" t="str">
        <f t="array" ref="AA336">IF(OR($B336="",$D336=""),"",
IFERROR(
  INDEX(
    'Tools &amp; Targets_Guideline'!$C$54:$I$269,
    MATCH(
      1,
      ('Tools &amp; Targets_Guideline'!$A$54:$A$269=$B336)*
      ('Tools &amp; Targets_Guideline'!$B$54:$B$269="Penta"),
      0
    ),
    MATCH(
      _xludf.IFNA(
        VLOOKUP($D336,{"PH","Provincial Hospital (H2)";"DH","District Hospital (H3)";"RH","Regional / National Hospital (H1)"},2,0),
        $D336
      ),
      'Tools &amp; Targets_Guideline'!$C$53:$I$53,
      0
    )
  ),
0))</f>
        <v/>
      </c>
      <c r="AB336" s="105"/>
      <c r="AC336" s="119" t="str">
        <f t="array" ref="AC336">IF(OR($B336="",$D336=""),"",
IFERROR(
  INDEX(
    'Tools &amp; Targets_Guideline'!$C$54:$I$269,
    MATCH(
      1,
      ('Tools &amp; Targets_Guideline'!$A$54:$A$269=$B336)*
      ('Tools &amp; Targets_Guideline'!$B$54:$B$269="TB"),
      0
    ),
    MATCH(
      _xludf.IFNA(
        VLOOKUP($D336,{"PH","Provincial Hospital (H2)";"DH","District Hospital (H3)";"RH","Regional / National Hospital (H1)"},2,0),
        $D336
      ),
      'Tools &amp; Targets_Guideline'!$C$53:$I$53,
      0
    )
  ),
0))</f>
        <v/>
      </c>
      <c r="AD336" s="105"/>
      <c r="AE336" s="119" t="str">
        <f t="array" ref="AE336">IF(OR($B336="",$D336=""),"",
IFERROR(
  INDEX(
    'Tools &amp; Targets_Guideline'!$C$54:$I$269,
    MATCH(
      1,
      ('Tools &amp; Targets_Guideline'!$A$54:$A$269=$B336)*
      ('Tools &amp; Targets_Guideline'!$B$54:$B$269="U5 Morbidity"),
      0
    ),
    MATCH(
      _xludf.IFNA(
        VLOOKUP($D336,{"PH","Provincial Hospital (H2)";"DH","District Hospital (H3)";"RH","Regional / National Hospital (H1)"},2,0),
        $D336
      ),
      'Tools &amp; Targets_Guideline'!$C$53:$I$53,
      0
    )
  ),
0))</f>
        <v/>
      </c>
      <c r="AF336" s="105"/>
      <c r="AG336" s="119" t="str">
        <f t="array" ref="AG336">IF(OR($B336="",$D336=""),"",
IFERROR(
  INDEX(
    'Tools &amp; Targets_Guideline'!$C$54:$I$269,
    MATCH(
      1,
      ('Tools &amp; Targets_Guideline'!$A$54:$A$269=$B336)*
      ('Tools &amp; Targets_Guideline'!$B$54:$B$269="C-Section"),
      0
    ),
    MATCH(
      _xludf.IFNA(
        VLOOKUP($D336,{"PH","Provincial Hospital (H2)";"DH","District Hospital (H3)";"RH","Regional / National Hospital (H1)"},2,0),
        $D336
      ),
      'Tools &amp; Targets_Guideline'!$C$53:$I$53,
      0
    )
  ),
0))</f>
        <v/>
      </c>
      <c r="AH336" s="105" t="str">
        <f>IF(A336&lt;&gt;"",COUNTIFS('QA Log'!D:D,A336,'QA Log'!M:M,"QQC",'QA Log'!L:L,"2. Hygiene and Sterilization",'QA Log'!Z:Z,"Approved"),"")</f>
        <v/>
      </c>
      <c r="AI336" s="102"/>
      <c r="AJ336" s="102"/>
      <c r="AK336" s="103" t="str">
        <f t="shared" si="17"/>
        <v/>
      </c>
      <c r="AL336" s="102"/>
      <c r="AM336" s="102"/>
      <c r="AN336" s="102"/>
      <c r="AO336" s="106"/>
      <c r="AP336" s="103"/>
      <c r="AQ336" s="102"/>
      <c r="AR336" s="102"/>
      <c r="AS336" s="102"/>
      <c r="AT336" s="107"/>
      <c r="AU336" s="102" t="str">
        <f t="shared" si="18"/>
        <v/>
      </c>
      <c r="AV336" s="102" t="str">
        <f t="shared" si="19"/>
        <v/>
      </c>
      <c r="AW336" s="102" t="str">
        <f t="shared" si="20"/>
        <v/>
      </c>
      <c r="AX336" s="102" t="str">
        <f t="shared" si="21"/>
        <v/>
      </c>
      <c r="AY336" s="107" t="str">
        <f t="shared" si="22"/>
        <v/>
      </c>
      <c r="AZ336" s="108" t="str">
        <f t="shared" si="23"/>
        <v/>
      </c>
      <c r="BA336" s="108" t="str">
        <f t="shared" si="24"/>
        <v/>
      </c>
      <c r="BB336" s="109" t="str">
        <f t="shared" si="25"/>
        <v/>
      </c>
      <c r="BC336" s="108" t="str">
        <f t="shared" si="26"/>
        <v/>
      </c>
      <c r="BD336" s="108" t="str">
        <f t="shared" si="27"/>
        <v/>
      </c>
      <c r="BE336" s="109" t="str">
        <f t="shared" si="28"/>
        <v/>
      </c>
      <c r="BF336" s="110" t="str">
        <f t="shared" si="29"/>
        <v/>
      </c>
      <c r="BG336" s="111"/>
    </row>
    <row r="337" spans="1:59" ht="12.75">
      <c r="A337" s="101"/>
      <c r="B337" s="102"/>
      <c r="C337" s="102" t="e">
        <f t="array" aca="1" ref="C337" ca="1">_xludf.XLOOKUP(A337,'QA Log'!D:D,'QA Log'!F:F,"")</f>
        <v>#NAME?</v>
      </c>
      <c r="D337" s="102"/>
      <c r="E337" s="102" t="e">
        <f t="array" aca="1" ref="E337" ca="1">_xludf.XLOOKUP(A337,'QA Log'!D:D,'QA Log'!G:G,"")</f>
        <v>#NAME?</v>
      </c>
      <c r="F337" s="103"/>
      <c r="G337" s="104"/>
      <c r="H337" s="104"/>
      <c r="I337" s="103" t="str">
        <f t="shared" si="15"/>
        <v/>
      </c>
      <c r="J337" s="102"/>
      <c r="K337" s="102"/>
      <c r="L337" s="119" t="str">
        <f t="array" ref="L337">IF(OR($B337="",$D337=""),"",
IFERROR(
  INDEX(
    'Tools &amp; Targets_Guideline'!$C$54:$I$269,
    MATCH(
      1,
      ('Tools &amp; Targets_Guideline'!$A$54:$A$269=$B337)*
      ('Tools &amp; Targets_Guideline'!$B$54:$B$269="ANC"),
      0
    ),
    MATCH(
      _xludf.IFNA(
        VLOOKUP($D337,{"PH","Provincial Hospital (H2)";"DH","District Hospital (H3)";"RH","Regional / National Hospital (H1)"},2,0),
        $D337
      ),
      'Tools &amp; Targets_Guideline'!$C$53:$I$53,
      0
    )
  ),
0))</f>
        <v/>
      </c>
      <c r="M337" s="105"/>
      <c r="N337" s="119" t="str">
        <f t="array" ref="N337">IF(OR($B337="",$D337=""),"",
IFERROR(
  INDEX(
    'Tools &amp; Targets_Guideline'!$C$54:$I$269,
    MATCH(
      1,
      ('Tools &amp; Targets_Guideline'!$A$54:$A$269=$B337)*
      ('Tools &amp; Targets_Guideline'!$B$54:$B$269="PNC"),
      0
    ),
    MATCH(
      _xludf.IFNA(
        VLOOKUP($D337,{"PH","Provincial Hospital (H2)";"DH","District Hospital (H3)";"RH","Regional / National Hospital (H1)"},2,0),
        $D337
      ),
      'Tools &amp; Targets_Guideline'!$C$53:$I$53,
      0
    )
  ),
0))</f>
        <v/>
      </c>
      <c r="O337" s="105"/>
      <c r="P337" s="119" t="str">
        <f t="array" ref="P337">IF(OR($B337="",$D337=""),"",
IFERROR(
  INDEX(
    'Tools &amp; Targets_Guideline'!$C$54:$I$269,
    MATCH(
      1,
      ('Tools &amp; Targets_Guideline'!$A$54:$A$269=$B337)*
      ('Tools &amp; Targets_Guideline'!$B$54:$B$269="Delivery"),
      0
    ),
    MATCH(
      _xludf.IFNA(
        VLOOKUP($D337,{"PH","Provincial Hospital (H2)";"DH","District Hospital (H3)";"RH","Regional / National Hospital (H1)"},2,0),
        $D337
      ),
      'Tools &amp; Targets_Guideline'!$C$53:$I$53,
      0
    )
  ),
0))</f>
        <v/>
      </c>
      <c r="Q337" s="105"/>
      <c r="R337" s="119" t="str">
        <f t="array" ref="R337">IF(OR($B337="",$D337=""),"",
IFERROR(
  INDEX(
    'Tools &amp; Targets_Guideline'!$C$54:$I$269,
    MATCH(
      1,
      ('Tools &amp; Targets_Guideline'!$A$54:$A$269=$B337)*
      ('Tools &amp; Targets_Guideline'!$B$54:$B$269="TT"),
      0
    ),
    MATCH(
      _xludf.IFNA(
        VLOOKUP($D337,{"PH","Provincial Hospital (H2)";"DH","District Hospital (H3)";"RH","Regional / National Hospital (H1)"},2,0),
        $D337
      ),
      'Tools &amp; Targets_Guideline'!$C$53:$I$53,
      0
    )
  ),
0))</f>
        <v/>
      </c>
      <c r="S337" s="105"/>
      <c r="T337" s="102"/>
      <c r="U337" s="106"/>
      <c r="V337" s="102" t="str">
        <f t="shared" si="16"/>
        <v/>
      </c>
      <c r="W337" s="102"/>
      <c r="X337" s="102"/>
      <c r="Y337" s="119" t="str">
        <f t="array" ref="Y337">IF(OR($B337="",$D337=""),"",
IFERROR(
  INDEX(
    'Tools &amp; Targets_Guideline'!$C$54:$I$269,
    MATCH(
      1,
      ('Tools &amp; Targets_Guideline'!$A$54:$A$269=$B337)*
      ('Tools &amp; Targets_Guideline'!$B$54:$B$269="GM"),
      0
    ),
    MATCH(
      _xludf.IFNA(
        VLOOKUP($D337,{"PH","Provincial Hospital (H2)";"DH","District Hospital (H3)";"RH","Regional / National Hospital (H1)"},2,0),
        $D337
      ),
      'Tools &amp; Targets_Guideline'!$C$53:$I$53,
      0
    )
  ),
0))</f>
        <v/>
      </c>
      <c r="Z337" s="105"/>
      <c r="AA337" s="119" t="str">
        <f t="array" ref="AA337">IF(OR($B337="",$D337=""),"",
IFERROR(
  INDEX(
    'Tools &amp; Targets_Guideline'!$C$54:$I$269,
    MATCH(
      1,
      ('Tools &amp; Targets_Guideline'!$A$54:$A$269=$B337)*
      ('Tools &amp; Targets_Guideline'!$B$54:$B$269="Penta"),
      0
    ),
    MATCH(
      _xludf.IFNA(
        VLOOKUP($D337,{"PH","Provincial Hospital (H2)";"DH","District Hospital (H3)";"RH","Regional / National Hospital (H1)"},2,0),
        $D337
      ),
      'Tools &amp; Targets_Guideline'!$C$53:$I$53,
      0
    )
  ),
0))</f>
        <v/>
      </c>
      <c r="AB337" s="105"/>
      <c r="AC337" s="119" t="str">
        <f t="array" ref="AC337">IF(OR($B337="",$D337=""),"",
IFERROR(
  INDEX(
    'Tools &amp; Targets_Guideline'!$C$54:$I$269,
    MATCH(
      1,
      ('Tools &amp; Targets_Guideline'!$A$54:$A$269=$B337)*
      ('Tools &amp; Targets_Guideline'!$B$54:$B$269="TB"),
      0
    ),
    MATCH(
      _xludf.IFNA(
        VLOOKUP($D337,{"PH","Provincial Hospital (H2)";"DH","District Hospital (H3)";"RH","Regional / National Hospital (H1)"},2,0),
        $D337
      ),
      'Tools &amp; Targets_Guideline'!$C$53:$I$53,
      0
    )
  ),
0))</f>
        <v/>
      </c>
      <c r="AD337" s="105"/>
      <c r="AE337" s="119" t="str">
        <f t="array" ref="AE337">IF(OR($B337="",$D337=""),"",
IFERROR(
  INDEX(
    'Tools &amp; Targets_Guideline'!$C$54:$I$269,
    MATCH(
      1,
      ('Tools &amp; Targets_Guideline'!$A$54:$A$269=$B337)*
      ('Tools &amp; Targets_Guideline'!$B$54:$B$269="U5 Morbidity"),
      0
    ),
    MATCH(
      _xludf.IFNA(
        VLOOKUP($D337,{"PH","Provincial Hospital (H2)";"DH","District Hospital (H3)";"RH","Regional / National Hospital (H1)"},2,0),
        $D337
      ),
      'Tools &amp; Targets_Guideline'!$C$53:$I$53,
      0
    )
  ),
0))</f>
        <v/>
      </c>
      <c r="AF337" s="105"/>
      <c r="AG337" s="119" t="str">
        <f t="array" ref="AG337">IF(OR($B337="",$D337=""),"",
IFERROR(
  INDEX(
    'Tools &amp; Targets_Guideline'!$C$54:$I$269,
    MATCH(
      1,
      ('Tools &amp; Targets_Guideline'!$A$54:$A$269=$B337)*
      ('Tools &amp; Targets_Guideline'!$B$54:$B$269="C-Section"),
      0
    ),
    MATCH(
      _xludf.IFNA(
        VLOOKUP($D337,{"PH","Provincial Hospital (H2)";"DH","District Hospital (H3)";"RH","Regional / National Hospital (H1)"},2,0),
        $D337
      ),
      'Tools &amp; Targets_Guideline'!$C$53:$I$53,
      0
    )
  ),
0))</f>
        <v/>
      </c>
      <c r="AH337" s="105" t="str">
        <f>IF(A337&lt;&gt;"",COUNTIFS('QA Log'!D:D,A337,'QA Log'!M:M,"QQC",'QA Log'!L:L,"2. Hygiene and Sterilization",'QA Log'!Z:Z,"Approved"),"")</f>
        <v/>
      </c>
      <c r="AI337" s="102"/>
      <c r="AJ337" s="102"/>
      <c r="AK337" s="103" t="str">
        <f t="shared" si="17"/>
        <v/>
      </c>
      <c r="AL337" s="102"/>
      <c r="AM337" s="102"/>
      <c r="AN337" s="102"/>
      <c r="AO337" s="106"/>
      <c r="AP337" s="103"/>
      <c r="AQ337" s="102"/>
      <c r="AR337" s="102"/>
      <c r="AS337" s="102"/>
      <c r="AT337" s="107"/>
      <c r="AU337" s="102" t="str">
        <f t="shared" si="18"/>
        <v/>
      </c>
      <c r="AV337" s="102" t="str">
        <f t="shared" si="19"/>
        <v/>
      </c>
      <c r="AW337" s="102" t="str">
        <f t="shared" si="20"/>
        <v/>
      </c>
      <c r="AX337" s="102" t="str">
        <f t="shared" si="21"/>
        <v/>
      </c>
      <c r="AY337" s="107" t="str">
        <f t="shared" si="22"/>
        <v/>
      </c>
      <c r="AZ337" s="108" t="str">
        <f t="shared" si="23"/>
        <v/>
      </c>
      <c r="BA337" s="108" t="str">
        <f t="shared" si="24"/>
        <v/>
      </c>
      <c r="BB337" s="109" t="str">
        <f t="shared" si="25"/>
        <v/>
      </c>
      <c r="BC337" s="108" t="str">
        <f t="shared" si="26"/>
        <v/>
      </c>
      <c r="BD337" s="108" t="str">
        <f t="shared" si="27"/>
        <v/>
      </c>
      <c r="BE337" s="109" t="str">
        <f t="shared" si="28"/>
        <v/>
      </c>
      <c r="BF337" s="110" t="str">
        <f t="shared" si="29"/>
        <v/>
      </c>
      <c r="BG337" s="111"/>
    </row>
    <row r="338" spans="1:59" ht="12.75">
      <c r="A338" s="101"/>
      <c r="B338" s="102"/>
      <c r="C338" s="102" t="e">
        <f t="array" aca="1" ref="C338" ca="1">_xludf.XLOOKUP(A338,'QA Log'!D:D,'QA Log'!F:F,"")</f>
        <v>#NAME?</v>
      </c>
      <c r="D338" s="102"/>
      <c r="E338" s="102" t="e">
        <f t="array" aca="1" ref="E338" ca="1">_xludf.XLOOKUP(A338,'QA Log'!D:D,'QA Log'!G:G,"")</f>
        <v>#NAME?</v>
      </c>
      <c r="F338" s="103"/>
      <c r="G338" s="104"/>
      <c r="H338" s="104"/>
      <c r="I338" s="103" t="str">
        <f t="shared" si="15"/>
        <v/>
      </c>
      <c r="J338" s="102"/>
      <c r="K338" s="102"/>
      <c r="L338" s="119" t="str">
        <f t="array" ref="L338">IF(OR($B338="",$D338=""),"",
IFERROR(
  INDEX(
    'Tools &amp; Targets_Guideline'!$C$54:$I$269,
    MATCH(
      1,
      ('Tools &amp; Targets_Guideline'!$A$54:$A$269=$B338)*
      ('Tools &amp; Targets_Guideline'!$B$54:$B$269="ANC"),
      0
    ),
    MATCH(
      _xludf.IFNA(
        VLOOKUP($D338,{"PH","Provincial Hospital (H2)";"DH","District Hospital (H3)";"RH","Regional / National Hospital (H1)"},2,0),
        $D338
      ),
      'Tools &amp; Targets_Guideline'!$C$53:$I$53,
      0
    )
  ),
0))</f>
        <v/>
      </c>
      <c r="M338" s="105"/>
      <c r="N338" s="119" t="str">
        <f t="array" ref="N338">IF(OR($B338="",$D338=""),"",
IFERROR(
  INDEX(
    'Tools &amp; Targets_Guideline'!$C$54:$I$269,
    MATCH(
      1,
      ('Tools &amp; Targets_Guideline'!$A$54:$A$269=$B338)*
      ('Tools &amp; Targets_Guideline'!$B$54:$B$269="PNC"),
      0
    ),
    MATCH(
      _xludf.IFNA(
        VLOOKUP($D338,{"PH","Provincial Hospital (H2)";"DH","District Hospital (H3)";"RH","Regional / National Hospital (H1)"},2,0),
        $D338
      ),
      'Tools &amp; Targets_Guideline'!$C$53:$I$53,
      0
    )
  ),
0))</f>
        <v/>
      </c>
      <c r="O338" s="105"/>
      <c r="P338" s="119" t="str">
        <f t="array" ref="P338">IF(OR($B338="",$D338=""),"",
IFERROR(
  INDEX(
    'Tools &amp; Targets_Guideline'!$C$54:$I$269,
    MATCH(
      1,
      ('Tools &amp; Targets_Guideline'!$A$54:$A$269=$B338)*
      ('Tools &amp; Targets_Guideline'!$B$54:$B$269="Delivery"),
      0
    ),
    MATCH(
      _xludf.IFNA(
        VLOOKUP($D338,{"PH","Provincial Hospital (H2)";"DH","District Hospital (H3)";"RH","Regional / National Hospital (H1)"},2,0),
        $D338
      ),
      'Tools &amp; Targets_Guideline'!$C$53:$I$53,
      0
    )
  ),
0))</f>
        <v/>
      </c>
      <c r="Q338" s="105"/>
      <c r="R338" s="119" t="str">
        <f t="array" ref="R338">IF(OR($B338="",$D338=""),"",
IFERROR(
  INDEX(
    'Tools &amp; Targets_Guideline'!$C$54:$I$269,
    MATCH(
      1,
      ('Tools &amp; Targets_Guideline'!$A$54:$A$269=$B338)*
      ('Tools &amp; Targets_Guideline'!$B$54:$B$269="TT"),
      0
    ),
    MATCH(
      _xludf.IFNA(
        VLOOKUP($D338,{"PH","Provincial Hospital (H2)";"DH","District Hospital (H3)";"RH","Regional / National Hospital (H1)"},2,0),
        $D338
      ),
      'Tools &amp; Targets_Guideline'!$C$53:$I$53,
      0
    )
  ),
0))</f>
        <v/>
      </c>
      <c r="S338" s="105"/>
      <c r="T338" s="102"/>
      <c r="U338" s="106"/>
      <c r="V338" s="102" t="str">
        <f t="shared" si="16"/>
        <v/>
      </c>
      <c r="W338" s="102"/>
      <c r="X338" s="102"/>
      <c r="Y338" s="119" t="str">
        <f t="array" ref="Y338">IF(OR($B338="",$D338=""),"",
IFERROR(
  INDEX(
    'Tools &amp; Targets_Guideline'!$C$54:$I$269,
    MATCH(
      1,
      ('Tools &amp; Targets_Guideline'!$A$54:$A$269=$B338)*
      ('Tools &amp; Targets_Guideline'!$B$54:$B$269="GM"),
      0
    ),
    MATCH(
      _xludf.IFNA(
        VLOOKUP($D338,{"PH","Provincial Hospital (H2)";"DH","District Hospital (H3)";"RH","Regional / National Hospital (H1)"},2,0),
        $D338
      ),
      'Tools &amp; Targets_Guideline'!$C$53:$I$53,
      0
    )
  ),
0))</f>
        <v/>
      </c>
      <c r="Z338" s="105"/>
      <c r="AA338" s="119" t="str">
        <f t="array" ref="AA338">IF(OR($B338="",$D338=""),"",
IFERROR(
  INDEX(
    'Tools &amp; Targets_Guideline'!$C$54:$I$269,
    MATCH(
      1,
      ('Tools &amp; Targets_Guideline'!$A$54:$A$269=$B338)*
      ('Tools &amp; Targets_Guideline'!$B$54:$B$269="Penta"),
      0
    ),
    MATCH(
      _xludf.IFNA(
        VLOOKUP($D338,{"PH","Provincial Hospital (H2)";"DH","District Hospital (H3)";"RH","Regional / National Hospital (H1)"},2,0),
        $D338
      ),
      'Tools &amp; Targets_Guideline'!$C$53:$I$53,
      0
    )
  ),
0))</f>
        <v/>
      </c>
      <c r="AB338" s="105"/>
      <c r="AC338" s="119" t="str">
        <f t="array" ref="AC338">IF(OR($B338="",$D338=""),"",
IFERROR(
  INDEX(
    'Tools &amp; Targets_Guideline'!$C$54:$I$269,
    MATCH(
      1,
      ('Tools &amp; Targets_Guideline'!$A$54:$A$269=$B338)*
      ('Tools &amp; Targets_Guideline'!$B$54:$B$269="TB"),
      0
    ),
    MATCH(
      _xludf.IFNA(
        VLOOKUP($D338,{"PH","Provincial Hospital (H2)";"DH","District Hospital (H3)";"RH","Regional / National Hospital (H1)"},2,0),
        $D338
      ),
      'Tools &amp; Targets_Guideline'!$C$53:$I$53,
      0
    )
  ),
0))</f>
        <v/>
      </c>
      <c r="AD338" s="105"/>
      <c r="AE338" s="119" t="str">
        <f t="array" ref="AE338">IF(OR($B338="",$D338=""),"",
IFERROR(
  INDEX(
    'Tools &amp; Targets_Guideline'!$C$54:$I$269,
    MATCH(
      1,
      ('Tools &amp; Targets_Guideline'!$A$54:$A$269=$B338)*
      ('Tools &amp; Targets_Guideline'!$B$54:$B$269="U5 Morbidity"),
      0
    ),
    MATCH(
      _xludf.IFNA(
        VLOOKUP($D338,{"PH","Provincial Hospital (H2)";"DH","District Hospital (H3)";"RH","Regional / National Hospital (H1)"},2,0),
        $D338
      ),
      'Tools &amp; Targets_Guideline'!$C$53:$I$53,
      0
    )
  ),
0))</f>
        <v/>
      </c>
      <c r="AF338" s="105"/>
      <c r="AG338" s="119" t="str">
        <f t="array" ref="AG338">IF(OR($B338="",$D338=""),"",
IFERROR(
  INDEX(
    'Tools &amp; Targets_Guideline'!$C$54:$I$269,
    MATCH(
      1,
      ('Tools &amp; Targets_Guideline'!$A$54:$A$269=$B338)*
      ('Tools &amp; Targets_Guideline'!$B$54:$B$269="C-Section"),
      0
    ),
    MATCH(
      _xludf.IFNA(
        VLOOKUP($D338,{"PH","Provincial Hospital (H2)";"DH","District Hospital (H3)";"RH","Regional / National Hospital (H1)"},2,0),
        $D338
      ),
      'Tools &amp; Targets_Guideline'!$C$53:$I$53,
      0
    )
  ),
0))</f>
        <v/>
      </c>
      <c r="AH338" s="105" t="str">
        <f>IF(A338&lt;&gt;"",COUNTIFS('QA Log'!D:D,A338,'QA Log'!M:M,"QQC",'QA Log'!L:L,"2. Hygiene and Sterilization",'QA Log'!Z:Z,"Approved"),"")</f>
        <v/>
      </c>
      <c r="AI338" s="102"/>
      <c r="AJ338" s="102"/>
      <c r="AK338" s="103" t="str">
        <f t="shared" si="17"/>
        <v/>
      </c>
      <c r="AL338" s="102"/>
      <c r="AM338" s="102"/>
      <c r="AN338" s="102"/>
      <c r="AO338" s="106"/>
      <c r="AP338" s="103"/>
      <c r="AQ338" s="102"/>
      <c r="AR338" s="102"/>
      <c r="AS338" s="102"/>
      <c r="AT338" s="107"/>
      <c r="AU338" s="102" t="str">
        <f t="shared" si="18"/>
        <v/>
      </c>
      <c r="AV338" s="102" t="str">
        <f t="shared" si="19"/>
        <v/>
      </c>
      <c r="AW338" s="102" t="str">
        <f t="shared" si="20"/>
        <v/>
      </c>
      <c r="AX338" s="102" t="str">
        <f t="shared" si="21"/>
        <v/>
      </c>
      <c r="AY338" s="107" t="str">
        <f t="shared" si="22"/>
        <v/>
      </c>
      <c r="AZ338" s="108" t="str">
        <f t="shared" si="23"/>
        <v/>
      </c>
      <c r="BA338" s="108" t="str">
        <f t="shared" si="24"/>
        <v/>
      </c>
      <c r="BB338" s="109" t="str">
        <f t="shared" si="25"/>
        <v/>
      </c>
      <c r="BC338" s="108" t="str">
        <f t="shared" si="26"/>
        <v/>
      </c>
      <c r="BD338" s="108" t="str">
        <f t="shared" si="27"/>
        <v/>
      </c>
      <c r="BE338" s="109" t="str">
        <f t="shared" si="28"/>
        <v/>
      </c>
      <c r="BF338" s="110" t="str">
        <f t="shared" si="29"/>
        <v/>
      </c>
      <c r="BG338" s="111"/>
    </row>
    <row r="339" spans="1:59" ht="12.75">
      <c r="A339" s="101"/>
      <c r="B339" s="102"/>
      <c r="C339" s="102" t="e">
        <f t="array" aca="1" ref="C339" ca="1">_xludf.XLOOKUP(A339,'QA Log'!D:D,'QA Log'!F:F,"")</f>
        <v>#NAME?</v>
      </c>
      <c r="D339" s="102"/>
      <c r="E339" s="102" t="e">
        <f t="array" aca="1" ref="E339" ca="1">_xludf.XLOOKUP(A339,'QA Log'!D:D,'QA Log'!G:G,"")</f>
        <v>#NAME?</v>
      </c>
      <c r="F339" s="103"/>
      <c r="G339" s="104"/>
      <c r="H339" s="104"/>
      <c r="I339" s="103" t="str">
        <f t="shared" si="15"/>
        <v/>
      </c>
      <c r="J339" s="102"/>
      <c r="K339" s="102"/>
      <c r="L339" s="119" t="str">
        <f t="array" ref="L339">IF(OR($B339="",$D339=""),"",
IFERROR(
  INDEX(
    'Tools &amp; Targets_Guideline'!$C$54:$I$269,
    MATCH(
      1,
      ('Tools &amp; Targets_Guideline'!$A$54:$A$269=$B339)*
      ('Tools &amp; Targets_Guideline'!$B$54:$B$269="ANC"),
      0
    ),
    MATCH(
      _xludf.IFNA(
        VLOOKUP($D339,{"PH","Provincial Hospital (H2)";"DH","District Hospital (H3)";"RH","Regional / National Hospital (H1)"},2,0),
        $D339
      ),
      'Tools &amp; Targets_Guideline'!$C$53:$I$53,
      0
    )
  ),
0))</f>
        <v/>
      </c>
      <c r="M339" s="105"/>
      <c r="N339" s="119" t="str">
        <f t="array" ref="N339">IF(OR($B339="",$D339=""),"",
IFERROR(
  INDEX(
    'Tools &amp; Targets_Guideline'!$C$54:$I$269,
    MATCH(
      1,
      ('Tools &amp; Targets_Guideline'!$A$54:$A$269=$B339)*
      ('Tools &amp; Targets_Guideline'!$B$54:$B$269="PNC"),
      0
    ),
    MATCH(
      _xludf.IFNA(
        VLOOKUP($D339,{"PH","Provincial Hospital (H2)";"DH","District Hospital (H3)";"RH","Regional / National Hospital (H1)"},2,0),
        $D339
      ),
      'Tools &amp; Targets_Guideline'!$C$53:$I$53,
      0
    )
  ),
0))</f>
        <v/>
      </c>
      <c r="O339" s="105"/>
      <c r="P339" s="119" t="str">
        <f t="array" ref="P339">IF(OR($B339="",$D339=""),"",
IFERROR(
  INDEX(
    'Tools &amp; Targets_Guideline'!$C$54:$I$269,
    MATCH(
      1,
      ('Tools &amp; Targets_Guideline'!$A$54:$A$269=$B339)*
      ('Tools &amp; Targets_Guideline'!$B$54:$B$269="Delivery"),
      0
    ),
    MATCH(
      _xludf.IFNA(
        VLOOKUP($D339,{"PH","Provincial Hospital (H2)";"DH","District Hospital (H3)";"RH","Regional / National Hospital (H1)"},2,0),
        $D339
      ),
      'Tools &amp; Targets_Guideline'!$C$53:$I$53,
      0
    )
  ),
0))</f>
        <v/>
      </c>
      <c r="Q339" s="105"/>
      <c r="R339" s="119" t="str">
        <f t="array" ref="R339">IF(OR($B339="",$D339=""),"",
IFERROR(
  INDEX(
    'Tools &amp; Targets_Guideline'!$C$54:$I$269,
    MATCH(
      1,
      ('Tools &amp; Targets_Guideline'!$A$54:$A$269=$B339)*
      ('Tools &amp; Targets_Guideline'!$B$54:$B$269="TT"),
      0
    ),
    MATCH(
      _xludf.IFNA(
        VLOOKUP($D339,{"PH","Provincial Hospital (H2)";"DH","District Hospital (H3)";"RH","Regional / National Hospital (H1)"},2,0),
        $D339
      ),
      'Tools &amp; Targets_Guideline'!$C$53:$I$53,
      0
    )
  ),
0))</f>
        <v/>
      </c>
      <c r="S339" s="105"/>
      <c r="T339" s="102"/>
      <c r="U339" s="106"/>
      <c r="V339" s="102" t="str">
        <f t="shared" si="16"/>
        <v/>
      </c>
      <c r="W339" s="102"/>
      <c r="X339" s="102"/>
      <c r="Y339" s="119" t="str">
        <f t="array" ref="Y339">IF(OR($B339="",$D339=""),"",
IFERROR(
  INDEX(
    'Tools &amp; Targets_Guideline'!$C$54:$I$269,
    MATCH(
      1,
      ('Tools &amp; Targets_Guideline'!$A$54:$A$269=$B339)*
      ('Tools &amp; Targets_Guideline'!$B$54:$B$269="GM"),
      0
    ),
    MATCH(
      _xludf.IFNA(
        VLOOKUP($D339,{"PH","Provincial Hospital (H2)";"DH","District Hospital (H3)";"RH","Regional / National Hospital (H1)"},2,0),
        $D339
      ),
      'Tools &amp; Targets_Guideline'!$C$53:$I$53,
      0
    )
  ),
0))</f>
        <v/>
      </c>
      <c r="Z339" s="105"/>
      <c r="AA339" s="119" t="str">
        <f t="array" ref="AA339">IF(OR($B339="",$D339=""),"",
IFERROR(
  INDEX(
    'Tools &amp; Targets_Guideline'!$C$54:$I$269,
    MATCH(
      1,
      ('Tools &amp; Targets_Guideline'!$A$54:$A$269=$B339)*
      ('Tools &amp; Targets_Guideline'!$B$54:$B$269="Penta"),
      0
    ),
    MATCH(
      _xludf.IFNA(
        VLOOKUP($D339,{"PH","Provincial Hospital (H2)";"DH","District Hospital (H3)";"RH","Regional / National Hospital (H1)"},2,0),
        $D339
      ),
      'Tools &amp; Targets_Guideline'!$C$53:$I$53,
      0
    )
  ),
0))</f>
        <v/>
      </c>
      <c r="AB339" s="105"/>
      <c r="AC339" s="119" t="str">
        <f t="array" ref="AC339">IF(OR($B339="",$D339=""),"",
IFERROR(
  INDEX(
    'Tools &amp; Targets_Guideline'!$C$54:$I$269,
    MATCH(
      1,
      ('Tools &amp; Targets_Guideline'!$A$54:$A$269=$B339)*
      ('Tools &amp; Targets_Guideline'!$B$54:$B$269="TB"),
      0
    ),
    MATCH(
      _xludf.IFNA(
        VLOOKUP($D339,{"PH","Provincial Hospital (H2)";"DH","District Hospital (H3)";"RH","Regional / National Hospital (H1)"},2,0),
        $D339
      ),
      'Tools &amp; Targets_Guideline'!$C$53:$I$53,
      0
    )
  ),
0))</f>
        <v/>
      </c>
      <c r="AD339" s="105"/>
      <c r="AE339" s="119" t="str">
        <f t="array" ref="AE339">IF(OR($B339="",$D339=""),"",
IFERROR(
  INDEX(
    'Tools &amp; Targets_Guideline'!$C$54:$I$269,
    MATCH(
      1,
      ('Tools &amp; Targets_Guideline'!$A$54:$A$269=$B339)*
      ('Tools &amp; Targets_Guideline'!$B$54:$B$269="U5 Morbidity"),
      0
    ),
    MATCH(
      _xludf.IFNA(
        VLOOKUP($D339,{"PH","Provincial Hospital (H2)";"DH","District Hospital (H3)";"RH","Regional / National Hospital (H1)"},2,0),
        $D339
      ),
      'Tools &amp; Targets_Guideline'!$C$53:$I$53,
      0
    )
  ),
0))</f>
        <v/>
      </c>
      <c r="AF339" s="105"/>
      <c r="AG339" s="119" t="str">
        <f t="array" ref="AG339">IF(OR($B339="",$D339=""),"",
IFERROR(
  INDEX(
    'Tools &amp; Targets_Guideline'!$C$54:$I$269,
    MATCH(
      1,
      ('Tools &amp; Targets_Guideline'!$A$54:$A$269=$B339)*
      ('Tools &amp; Targets_Guideline'!$B$54:$B$269="C-Section"),
      0
    ),
    MATCH(
      _xludf.IFNA(
        VLOOKUP($D339,{"PH","Provincial Hospital (H2)";"DH","District Hospital (H3)";"RH","Regional / National Hospital (H1)"},2,0),
        $D339
      ),
      'Tools &amp; Targets_Guideline'!$C$53:$I$53,
      0
    )
  ),
0))</f>
        <v/>
      </c>
      <c r="AH339" s="105" t="str">
        <f>IF(A339&lt;&gt;"",COUNTIFS('QA Log'!D:D,A339,'QA Log'!M:M,"QQC",'QA Log'!L:L,"2. Hygiene and Sterilization",'QA Log'!Z:Z,"Approved"),"")</f>
        <v/>
      </c>
      <c r="AI339" s="102"/>
      <c r="AJ339" s="102"/>
      <c r="AK339" s="103" t="str">
        <f t="shared" si="17"/>
        <v/>
      </c>
      <c r="AL339" s="102"/>
      <c r="AM339" s="102"/>
      <c r="AN339" s="102"/>
      <c r="AO339" s="106"/>
      <c r="AP339" s="103"/>
      <c r="AQ339" s="102"/>
      <c r="AR339" s="102"/>
      <c r="AS339" s="102"/>
      <c r="AT339" s="107"/>
      <c r="AU339" s="102" t="str">
        <f t="shared" si="18"/>
        <v/>
      </c>
      <c r="AV339" s="102" t="str">
        <f t="shared" si="19"/>
        <v/>
      </c>
      <c r="AW339" s="102" t="str">
        <f t="shared" si="20"/>
        <v/>
      </c>
      <c r="AX339" s="102" t="str">
        <f t="shared" si="21"/>
        <v/>
      </c>
      <c r="AY339" s="107" t="str">
        <f t="shared" si="22"/>
        <v/>
      </c>
      <c r="AZ339" s="108" t="str">
        <f t="shared" si="23"/>
        <v/>
      </c>
      <c r="BA339" s="108" t="str">
        <f t="shared" si="24"/>
        <v/>
      </c>
      <c r="BB339" s="109" t="str">
        <f t="shared" si="25"/>
        <v/>
      </c>
      <c r="BC339" s="108" t="str">
        <f t="shared" si="26"/>
        <v/>
      </c>
      <c r="BD339" s="108" t="str">
        <f t="shared" si="27"/>
        <v/>
      </c>
      <c r="BE339" s="109" t="str">
        <f t="shared" si="28"/>
        <v/>
      </c>
      <c r="BF339" s="110" t="str">
        <f t="shared" si="29"/>
        <v/>
      </c>
      <c r="BG339" s="111"/>
    </row>
    <row r="340" spans="1:59" ht="12.75">
      <c r="A340" s="101"/>
      <c r="B340" s="102"/>
      <c r="C340" s="102" t="e">
        <f t="array" aca="1" ref="C340" ca="1">_xludf.XLOOKUP(A340,'QA Log'!D:D,'QA Log'!F:F,"")</f>
        <v>#NAME?</v>
      </c>
      <c r="D340" s="102"/>
      <c r="E340" s="102" t="e">
        <f t="array" aca="1" ref="E340" ca="1">_xludf.XLOOKUP(A340,'QA Log'!D:D,'QA Log'!G:G,"")</f>
        <v>#NAME?</v>
      </c>
      <c r="F340" s="103"/>
      <c r="G340" s="104"/>
      <c r="H340" s="104"/>
      <c r="I340" s="103" t="str">
        <f t="shared" si="15"/>
        <v/>
      </c>
      <c r="J340" s="102"/>
      <c r="K340" s="102"/>
      <c r="L340" s="119" t="str">
        <f t="array" ref="L340">IF(OR($B340="",$D340=""),"",
IFERROR(
  INDEX(
    'Tools &amp; Targets_Guideline'!$C$54:$I$269,
    MATCH(
      1,
      ('Tools &amp; Targets_Guideline'!$A$54:$A$269=$B340)*
      ('Tools &amp; Targets_Guideline'!$B$54:$B$269="ANC"),
      0
    ),
    MATCH(
      _xludf.IFNA(
        VLOOKUP($D340,{"PH","Provincial Hospital (H2)";"DH","District Hospital (H3)";"RH","Regional / National Hospital (H1)"},2,0),
        $D340
      ),
      'Tools &amp; Targets_Guideline'!$C$53:$I$53,
      0
    )
  ),
0))</f>
        <v/>
      </c>
      <c r="M340" s="105"/>
      <c r="N340" s="119" t="str">
        <f t="array" ref="N340">IF(OR($B340="",$D340=""),"",
IFERROR(
  INDEX(
    'Tools &amp; Targets_Guideline'!$C$54:$I$269,
    MATCH(
      1,
      ('Tools &amp; Targets_Guideline'!$A$54:$A$269=$B340)*
      ('Tools &amp; Targets_Guideline'!$B$54:$B$269="PNC"),
      0
    ),
    MATCH(
      _xludf.IFNA(
        VLOOKUP($D340,{"PH","Provincial Hospital (H2)";"DH","District Hospital (H3)";"RH","Regional / National Hospital (H1)"},2,0),
        $D340
      ),
      'Tools &amp; Targets_Guideline'!$C$53:$I$53,
      0
    )
  ),
0))</f>
        <v/>
      </c>
      <c r="O340" s="105"/>
      <c r="P340" s="119" t="str">
        <f t="array" ref="P340">IF(OR($B340="",$D340=""),"",
IFERROR(
  INDEX(
    'Tools &amp; Targets_Guideline'!$C$54:$I$269,
    MATCH(
      1,
      ('Tools &amp; Targets_Guideline'!$A$54:$A$269=$B340)*
      ('Tools &amp; Targets_Guideline'!$B$54:$B$269="Delivery"),
      0
    ),
    MATCH(
      _xludf.IFNA(
        VLOOKUP($D340,{"PH","Provincial Hospital (H2)";"DH","District Hospital (H3)";"RH","Regional / National Hospital (H1)"},2,0),
        $D340
      ),
      'Tools &amp; Targets_Guideline'!$C$53:$I$53,
      0
    )
  ),
0))</f>
        <v/>
      </c>
      <c r="Q340" s="105"/>
      <c r="R340" s="119" t="str">
        <f t="array" ref="R340">IF(OR($B340="",$D340=""),"",
IFERROR(
  INDEX(
    'Tools &amp; Targets_Guideline'!$C$54:$I$269,
    MATCH(
      1,
      ('Tools &amp; Targets_Guideline'!$A$54:$A$269=$B340)*
      ('Tools &amp; Targets_Guideline'!$B$54:$B$269="TT"),
      0
    ),
    MATCH(
      _xludf.IFNA(
        VLOOKUP($D340,{"PH","Provincial Hospital (H2)";"DH","District Hospital (H3)";"RH","Regional / National Hospital (H1)"},2,0),
        $D340
      ),
      'Tools &amp; Targets_Guideline'!$C$53:$I$53,
      0
    )
  ),
0))</f>
        <v/>
      </c>
      <c r="S340" s="105"/>
      <c r="T340" s="102"/>
      <c r="U340" s="106"/>
      <c r="V340" s="102" t="str">
        <f t="shared" si="16"/>
        <v/>
      </c>
      <c r="W340" s="102"/>
      <c r="X340" s="102"/>
      <c r="Y340" s="119" t="str">
        <f t="array" ref="Y340">IF(OR($B340="",$D340=""),"",
IFERROR(
  INDEX(
    'Tools &amp; Targets_Guideline'!$C$54:$I$269,
    MATCH(
      1,
      ('Tools &amp; Targets_Guideline'!$A$54:$A$269=$B340)*
      ('Tools &amp; Targets_Guideline'!$B$54:$B$269="GM"),
      0
    ),
    MATCH(
      _xludf.IFNA(
        VLOOKUP($D340,{"PH","Provincial Hospital (H2)";"DH","District Hospital (H3)";"RH","Regional / National Hospital (H1)"},2,0),
        $D340
      ),
      'Tools &amp; Targets_Guideline'!$C$53:$I$53,
      0
    )
  ),
0))</f>
        <v/>
      </c>
      <c r="Z340" s="105"/>
      <c r="AA340" s="119" t="str">
        <f t="array" ref="AA340">IF(OR($B340="",$D340=""),"",
IFERROR(
  INDEX(
    'Tools &amp; Targets_Guideline'!$C$54:$I$269,
    MATCH(
      1,
      ('Tools &amp; Targets_Guideline'!$A$54:$A$269=$B340)*
      ('Tools &amp; Targets_Guideline'!$B$54:$B$269="Penta"),
      0
    ),
    MATCH(
      _xludf.IFNA(
        VLOOKUP($D340,{"PH","Provincial Hospital (H2)";"DH","District Hospital (H3)";"RH","Regional / National Hospital (H1)"},2,0),
        $D340
      ),
      'Tools &amp; Targets_Guideline'!$C$53:$I$53,
      0
    )
  ),
0))</f>
        <v/>
      </c>
      <c r="AB340" s="105"/>
      <c r="AC340" s="119" t="str">
        <f t="array" ref="AC340">IF(OR($B340="",$D340=""),"",
IFERROR(
  INDEX(
    'Tools &amp; Targets_Guideline'!$C$54:$I$269,
    MATCH(
      1,
      ('Tools &amp; Targets_Guideline'!$A$54:$A$269=$B340)*
      ('Tools &amp; Targets_Guideline'!$B$54:$B$269="TB"),
      0
    ),
    MATCH(
      _xludf.IFNA(
        VLOOKUP($D340,{"PH","Provincial Hospital (H2)";"DH","District Hospital (H3)";"RH","Regional / National Hospital (H1)"},2,0),
        $D340
      ),
      'Tools &amp; Targets_Guideline'!$C$53:$I$53,
      0
    )
  ),
0))</f>
        <v/>
      </c>
      <c r="AD340" s="105"/>
      <c r="AE340" s="119" t="str">
        <f t="array" ref="AE340">IF(OR($B340="",$D340=""),"",
IFERROR(
  INDEX(
    'Tools &amp; Targets_Guideline'!$C$54:$I$269,
    MATCH(
      1,
      ('Tools &amp; Targets_Guideline'!$A$54:$A$269=$B340)*
      ('Tools &amp; Targets_Guideline'!$B$54:$B$269="U5 Morbidity"),
      0
    ),
    MATCH(
      _xludf.IFNA(
        VLOOKUP($D340,{"PH","Provincial Hospital (H2)";"DH","District Hospital (H3)";"RH","Regional / National Hospital (H1)"},2,0),
        $D340
      ),
      'Tools &amp; Targets_Guideline'!$C$53:$I$53,
      0
    )
  ),
0))</f>
        <v/>
      </c>
      <c r="AF340" s="105"/>
      <c r="AG340" s="119" t="str">
        <f t="array" ref="AG340">IF(OR($B340="",$D340=""),"",
IFERROR(
  INDEX(
    'Tools &amp; Targets_Guideline'!$C$54:$I$269,
    MATCH(
      1,
      ('Tools &amp; Targets_Guideline'!$A$54:$A$269=$B340)*
      ('Tools &amp; Targets_Guideline'!$B$54:$B$269="C-Section"),
      0
    ),
    MATCH(
      _xludf.IFNA(
        VLOOKUP($D340,{"PH","Provincial Hospital (H2)";"DH","District Hospital (H3)";"RH","Regional / National Hospital (H1)"},2,0),
        $D340
      ),
      'Tools &amp; Targets_Guideline'!$C$53:$I$53,
      0
    )
  ),
0))</f>
        <v/>
      </c>
      <c r="AH340" s="105" t="str">
        <f>IF(A340&lt;&gt;"",COUNTIFS('QA Log'!D:D,A340,'QA Log'!M:M,"QQC",'QA Log'!L:L,"2. Hygiene and Sterilization",'QA Log'!Z:Z,"Approved"),"")</f>
        <v/>
      </c>
      <c r="AI340" s="102"/>
      <c r="AJ340" s="102"/>
      <c r="AK340" s="103" t="str">
        <f t="shared" si="17"/>
        <v/>
      </c>
      <c r="AL340" s="102"/>
      <c r="AM340" s="102"/>
      <c r="AN340" s="102"/>
      <c r="AO340" s="106"/>
      <c r="AP340" s="103"/>
      <c r="AQ340" s="102"/>
      <c r="AR340" s="102"/>
      <c r="AS340" s="102"/>
      <c r="AT340" s="107"/>
      <c r="AU340" s="102" t="str">
        <f t="shared" si="18"/>
        <v/>
      </c>
      <c r="AV340" s="102" t="str">
        <f t="shared" si="19"/>
        <v/>
      </c>
      <c r="AW340" s="102" t="str">
        <f t="shared" si="20"/>
        <v/>
      </c>
      <c r="AX340" s="102" t="str">
        <f t="shared" si="21"/>
        <v/>
      </c>
      <c r="AY340" s="107" t="str">
        <f t="shared" si="22"/>
        <v/>
      </c>
      <c r="AZ340" s="108" t="str">
        <f t="shared" si="23"/>
        <v/>
      </c>
      <c r="BA340" s="108" t="str">
        <f t="shared" si="24"/>
        <v/>
      </c>
      <c r="BB340" s="109" t="str">
        <f t="shared" si="25"/>
        <v/>
      </c>
      <c r="BC340" s="108" t="str">
        <f t="shared" si="26"/>
        <v/>
      </c>
      <c r="BD340" s="108" t="str">
        <f t="shared" si="27"/>
        <v/>
      </c>
      <c r="BE340" s="109" t="str">
        <f t="shared" si="28"/>
        <v/>
      </c>
      <c r="BF340" s="110" t="str">
        <f t="shared" si="29"/>
        <v/>
      </c>
      <c r="BG340" s="111"/>
    </row>
    <row r="341" spans="1:59" ht="12.75">
      <c r="A341" s="101"/>
      <c r="B341" s="102"/>
      <c r="C341" s="102" t="e">
        <f t="array" aca="1" ref="C341" ca="1">_xludf.XLOOKUP(A341,'QA Log'!D:D,'QA Log'!F:F,"")</f>
        <v>#NAME?</v>
      </c>
      <c r="D341" s="102"/>
      <c r="E341" s="102" t="e">
        <f t="array" aca="1" ref="E341" ca="1">_xludf.XLOOKUP(A341,'QA Log'!D:D,'QA Log'!G:G,"")</f>
        <v>#NAME?</v>
      </c>
      <c r="F341" s="103"/>
      <c r="G341" s="104"/>
      <c r="H341" s="104"/>
      <c r="I341" s="103" t="str">
        <f t="shared" si="15"/>
        <v/>
      </c>
      <c r="J341" s="102"/>
      <c r="K341" s="102"/>
      <c r="L341" s="119" t="str">
        <f t="array" ref="L341">IF(OR($B341="",$D341=""),"",
IFERROR(
  INDEX(
    'Tools &amp; Targets_Guideline'!$C$54:$I$269,
    MATCH(
      1,
      ('Tools &amp; Targets_Guideline'!$A$54:$A$269=$B341)*
      ('Tools &amp; Targets_Guideline'!$B$54:$B$269="ANC"),
      0
    ),
    MATCH(
      _xludf.IFNA(
        VLOOKUP($D341,{"PH","Provincial Hospital (H2)";"DH","District Hospital (H3)";"RH","Regional / National Hospital (H1)"},2,0),
        $D341
      ),
      'Tools &amp; Targets_Guideline'!$C$53:$I$53,
      0
    )
  ),
0))</f>
        <v/>
      </c>
      <c r="M341" s="105"/>
      <c r="N341" s="119" t="str">
        <f t="array" ref="N341">IF(OR($B341="",$D341=""),"",
IFERROR(
  INDEX(
    'Tools &amp; Targets_Guideline'!$C$54:$I$269,
    MATCH(
      1,
      ('Tools &amp; Targets_Guideline'!$A$54:$A$269=$B341)*
      ('Tools &amp; Targets_Guideline'!$B$54:$B$269="PNC"),
      0
    ),
    MATCH(
      _xludf.IFNA(
        VLOOKUP($D341,{"PH","Provincial Hospital (H2)";"DH","District Hospital (H3)";"RH","Regional / National Hospital (H1)"},2,0),
        $D341
      ),
      'Tools &amp; Targets_Guideline'!$C$53:$I$53,
      0
    )
  ),
0))</f>
        <v/>
      </c>
      <c r="O341" s="105"/>
      <c r="P341" s="119" t="str">
        <f t="array" ref="P341">IF(OR($B341="",$D341=""),"",
IFERROR(
  INDEX(
    'Tools &amp; Targets_Guideline'!$C$54:$I$269,
    MATCH(
      1,
      ('Tools &amp; Targets_Guideline'!$A$54:$A$269=$B341)*
      ('Tools &amp; Targets_Guideline'!$B$54:$B$269="Delivery"),
      0
    ),
    MATCH(
      _xludf.IFNA(
        VLOOKUP($D341,{"PH","Provincial Hospital (H2)";"DH","District Hospital (H3)";"RH","Regional / National Hospital (H1)"},2,0),
        $D341
      ),
      'Tools &amp; Targets_Guideline'!$C$53:$I$53,
      0
    )
  ),
0))</f>
        <v/>
      </c>
      <c r="Q341" s="105"/>
      <c r="R341" s="119" t="str">
        <f t="array" ref="R341">IF(OR($B341="",$D341=""),"",
IFERROR(
  INDEX(
    'Tools &amp; Targets_Guideline'!$C$54:$I$269,
    MATCH(
      1,
      ('Tools &amp; Targets_Guideline'!$A$54:$A$269=$B341)*
      ('Tools &amp; Targets_Guideline'!$B$54:$B$269="TT"),
      0
    ),
    MATCH(
      _xludf.IFNA(
        VLOOKUP($D341,{"PH","Provincial Hospital (H2)";"DH","District Hospital (H3)";"RH","Regional / National Hospital (H1)"},2,0),
        $D341
      ),
      'Tools &amp; Targets_Guideline'!$C$53:$I$53,
      0
    )
  ),
0))</f>
        <v/>
      </c>
      <c r="S341" s="105"/>
      <c r="T341" s="102"/>
      <c r="U341" s="106"/>
      <c r="V341" s="102" t="str">
        <f t="shared" si="16"/>
        <v/>
      </c>
      <c r="W341" s="102"/>
      <c r="X341" s="102"/>
      <c r="Y341" s="119" t="str">
        <f t="array" ref="Y341">IF(OR($B341="",$D341=""),"",
IFERROR(
  INDEX(
    'Tools &amp; Targets_Guideline'!$C$54:$I$269,
    MATCH(
      1,
      ('Tools &amp; Targets_Guideline'!$A$54:$A$269=$B341)*
      ('Tools &amp; Targets_Guideline'!$B$54:$B$269="GM"),
      0
    ),
    MATCH(
      _xludf.IFNA(
        VLOOKUP($D341,{"PH","Provincial Hospital (H2)";"DH","District Hospital (H3)";"RH","Regional / National Hospital (H1)"},2,0),
        $D341
      ),
      'Tools &amp; Targets_Guideline'!$C$53:$I$53,
      0
    )
  ),
0))</f>
        <v/>
      </c>
      <c r="Z341" s="105"/>
      <c r="AA341" s="119" t="str">
        <f t="array" ref="AA341">IF(OR($B341="",$D341=""),"",
IFERROR(
  INDEX(
    'Tools &amp; Targets_Guideline'!$C$54:$I$269,
    MATCH(
      1,
      ('Tools &amp; Targets_Guideline'!$A$54:$A$269=$B341)*
      ('Tools &amp; Targets_Guideline'!$B$54:$B$269="Penta"),
      0
    ),
    MATCH(
      _xludf.IFNA(
        VLOOKUP($D341,{"PH","Provincial Hospital (H2)";"DH","District Hospital (H3)";"RH","Regional / National Hospital (H1)"},2,0),
        $D341
      ),
      'Tools &amp; Targets_Guideline'!$C$53:$I$53,
      0
    )
  ),
0))</f>
        <v/>
      </c>
      <c r="AB341" s="105"/>
      <c r="AC341" s="119" t="str">
        <f t="array" ref="AC341">IF(OR($B341="",$D341=""),"",
IFERROR(
  INDEX(
    'Tools &amp; Targets_Guideline'!$C$54:$I$269,
    MATCH(
      1,
      ('Tools &amp; Targets_Guideline'!$A$54:$A$269=$B341)*
      ('Tools &amp; Targets_Guideline'!$B$54:$B$269="TB"),
      0
    ),
    MATCH(
      _xludf.IFNA(
        VLOOKUP($D341,{"PH","Provincial Hospital (H2)";"DH","District Hospital (H3)";"RH","Regional / National Hospital (H1)"},2,0),
        $D341
      ),
      'Tools &amp; Targets_Guideline'!$C$53:$I$53,
      0
    )
  ),
0))</f>
        <v/>
      </c>
      <c r="AD341" s="105"/>
      <c r="AE341" s="119" t="str">
        <f t="array" ref="AE341">IF(OR($B341="",$D341=""),"",
IFERROR(
  INDEX(
    'Tools &amp; Targets_Guideline'!$C$54:$I$269,
    MATCH(
      1,
      ('Tools &amp; Targets_Guideline'!$A$54:$A$269=$B341)*
      ('Tools &amp; Targets_Guideline'!$B$54:$B$269="U5 Morbidity"),
      0
    ),
    MATCH(
      _xludf.IFNA(
        VLOOKUP($D341,{"PH","Provincial Hospital (H2)";"DH","District Hospital (H3)";"RH","Regional / National Hospital (H1)"},2,0),
        $D341
      ),
      'Tools &amp; Targets_Guideline'!$C$53:$I$53,
      0
    )
  ),
0))</f>
        <v/>
      </c>
      <c r="AF341" s="105"/>
      <c r="AG341" s="119" t="str">
        <f t="array" ref="AG341">IF(OR($B341="",$D341=""),"",
IFERROR(
  INDEX(
    'Tools &amp; Targets_Guideline'!$C$54:$I$269,
    MATCH(
      1,
      ('Tools &amp; Targets_Guideline'!$A$54:$A$269=$B341)*
      ('Tools &amp; Targets_Guideline'!$B$54:$B$269="C-Section"),
      0
    ),
    MATCH(
      _xludf.IFNA(
        VLOOKUP($D341,{"PH","Provincial Hospital (H2)";"DH","District Hospital (H3)";"RH","Regional / National Hospital (H1)"},2,0),
        $D341
      ),
      'Tools &amp; Targets_Guideline'!$C$53:$I$53,
      0
    )
  ),
0))</f>
        <v/>
      </c>
      <c r="AH341" s="105" t="str">
        <f>IF(A341&lt;&gt;"",COUNTIFS('QA Log'!D:D,A341,'QA Log'!M:M,"QQC",'QA Log'!L:L,"2. Hygiene and Sterilization",'QA Log'!Z:Z,"Approved"),"")</f>
        <v/>
      </c>
      <c r="AI341" s="102"/>
      <c r="AJ341" s="102"/>
      <c r="AK341" s="103" t="str">
        <f t="shared" si="17"/>
        <v/>
      </c>
      <c r="AL341" s="102"/>
      <c r="AM341" s="102"/>
      <c r="AN341" s="102"/>
      <c r="AO341" s="106"/>
      <c r="AP341" s="103"/>
      <c r="AQ341" s="102"/>
      <c r="AR341" s="102"/>
      <c r="AS341" s="102"/>
      <c r="AT341" s="107"/>
      <c r="AU341" s="102" t="str">
        <f t="shared" si="18"/>
        <v/>
      </c>
      <c r="AV341" s="102" t="str">
        <f t="shared" si="19"/>
        <v/>
      </c>
      <c r="AW341" s="102" t="str">
        <f t="shared" si="20"/>
        <v/>
      </c>
      <c r="AX341" s="102" t="str">
        <f t="shared" si="21"/>
        <v/>
      </c>
      <c r="AY341" s="107" t="str">
        <f t="shared" si="22"/>
        <v/>
      </c>
      <c r="AZ341" s="108" t="str">
        <f t="shared" si="23"/>
        <v/>
      </c>
      <c r="BA341" s="108" t="str">
        <f t="shared" si="24"/>
        <v/>
      </c>
      <c r="BB341" s="109" t="str">
        <f t="shared" si="25"/>
        <v/>
      </c>
      <c r="BC341" s="108" t="str">
        <f t="shared" si="26"/>
        <v/>
      </c>
      <c r="BD341" s="108" t="str">
        <f t="shared" si="27"/>
        <v/>
      </c>
      <c r="BE341" s="109" t="str">
        <f t="shared" si="28"/>
        <v/>
      </c>
      <c r="BF341" s="110" t="str">
        <f t="shared" si="29"/>
        <v/>
      </c>
      <c r="BG341" s="111"/>
    </row>
    <row r="342" spans="1:59" ht="12.75">
      <c r="A342" s="101"/>
      <c r="B342" s="102"/>
      <c r="C342" s="102" t="e">
        <f t="array" aca="1" ref="C342" ca="1">_xludf.XLOOKUP(A342,'QA Log'!D:D,'QA Log'!F:F,"")</f>
        <v>#NAME?</v>
      </c>
      <c r="D342" s="102"/>
      <c r="E342" s="102" t="e">
        <f t="array" aca="1" ref="E342" ca="1">_xludf.XLOOKUP(A342,'QA Log'!D:D,'QA Log'!G:G,"")</f>
        <v>#NAME?</v>
      </c>
      <c r="F342" s="103"/>
      <c r="G342" s="104"/>
      <c r="H342" s="104"/>
      <c r="I342" s="103" t="str">
        <f t="shared" si="15"/>
        <v/>
      </c>
      <c r="J342" s="102"/>
      <c r="K342" s="102"/>
      <c r="L342" s="119" t="str">
        <f t="array" ref="L342">IF(OR($B342="",$D342=""),"",
IFERROR(
  INDEX(
    'Tools &amp; Targets_Guideline'!$C$54:$I$269,
    MATCH(
      1,
      ('Tools &amp; Targets_Guideline'!$A$54:$A$269=$B342)*
      ('Tools &amp; Targets_Guideline'!$B$54:$B$269="ANC"),
      0
    ),
    MATCH(
      _xludf.IFNA(
        VLOOKUP($D342,{"PH","Provincial Hospital (H2)";"DH","District Hospital (H3)";"RH","Regional / National Hospital (H1)"},2,0),
        $D342
      ),
      'Tools &amp; Targets_Guideline'!$C$53:$I$53,
      0
    )
  ),
0))</f>
        <v/>
      </c>
      <c r="M342" s="105"/>
      <c r="N342" s="119" t="str">
        <f t="array" ref="N342">IF(OR($B342="",$D342=""),"",
IFERROR(
  INDEX(
    'Tools &amp; Targets_Guideline'!$C$54:$I$269,
    MATCH(
      1,
      ('Tools &amp; Targets_Guideline'!$A$54:$A$269=$B342)*
      ('Tools &amp; Targets_Guideline'!$B$54:$B$269="PNC"),
      0
    ),
    MATCH(
      _xludf.IFNA(
        VLOOKUP($D342,{"PH","Provincial Hospital (H2)";"DH","District Hospital (H3)";"RH","Regional / National Hospital (H1)"},2,0),
        $D342
      ),
      'Tools &amp; Targets_Guideline'!$C$53:$I$53,
      0
    )
  ),
0))</f>
        <v/>
      </c>
      <c r="O342" s="105"/>
      <c r="P342" s="119" t="str">
        <f t="array" ref="P342">IF(OR($B342="",$D342=""),"",
IFERROR(
  INDEX(
    'Tools &amp; Targets_Guideline'!$C$54:$I$269,
    MATCH(
      1,
      ('Tools &amp; Targets_Guideline'!$A$54:$A$269=$B342)*
      ('Tools &amp; Targets_Guideline'!$B$54:$B$269="Delivery"),
      0
    ),
    MATCH(
      _xludf.IFNA(
        VLOOKUP($D342,{"PH","Provincial Hospital (H2)";"DH","District Hospital (H3)";"RH","Regional / National Hospital (H1)"},2,0),
        $D342
      ),
      'Tools &amp; Targets_Guideline'!$C$53:$I$53,
      0
    )
  ),
0))</f>
        <v/>
      </c>
      <c r="Q342" s="105"/>
      <c r="R342" s="119" t="str">
        <f t="array" ref="R342">IF(OR($B342="",$D342=""),"",
IFERROR(
  INDEX(
    'Tools &amp; Targets_Guideline'!$C$54:$I$269,
    MATCH(
      1,
      ('Tools &amp; Targets_Guideline'!$A$54:$A$269=$B342)*
      ('Tools &amp; Targets_Guideline'!$B$54:$B$269="TT"),
      0
    ),
    MATCH(
      _xludf.IFNA(
        VLOOKUP($D342,{"PH","Provincial Hospital (H2)";"DH","District Hospital (H3)";"RH","Regional / National Hospital (H1)"},2,0),
        $D342
      ),
      'Tools &amp; Targets_Guideline'!$C$53:$I$53,
      0
    )
  ),
0))</f>
        <v/>
      </c>
      <c r="S342" s="105"/>
      <c r="T342" s="102"/>
      <c r="U342" s="106"/>
      <c r="V342" s="102" t="str">
        <f t="shared" si="16"/>
        <v/>
      </c>
      <c r="W342" s="102"/>
      <c r="X342" s="102"/>
      <c r="Y342" s="119" t="str">
        <f t="array" ref="Y342">IF(OR($B342="",$D342=""),"",
IFERROR(
  INDEX(
    'Tools &amp; Targets_Guideline'!$C$54:$I$269,
    MATCH(
      1,
      ('Tools &amp; Targets_Guideline'!$A$54:$A$269=$B342)*
      ('Tools &amp; Targets_Guideline'!$B$54:$B$269="GM"),
      0
    ),
    MATCH(
      _xludf.IFNA(
        VLOOKUP($D342,{"PH","Provincial Hospital (H2)";"DH","District Hospital (H3)";"RH","Regional / National Hospital (H1)"},2,0),
        $D342
      ),
      'Tools &amp; Targets_Guideline'!$C$53:$I$53,
      0
    )
  ),
0))</f>
        <v/>
      </c>
      <c r="Z342" s="105"/>
      <c r="AA342" s="119" t="str">
        <f t="array" ref="AA342">IF(OR($B342="",$D342=""),"",
IFERROR(
  INDEX(
    'Tools &amp; Targets_Guideline'!$C$54:$I$269,
    MATCH(
      1,
      ('Tools &amp; Targets_Guideline'!$A$54:$A$269=$B342)*
      ('Tools &amp; Targets_Guideline'!$B$54:$B$269="Penta"),
      0
    ),
    MATCH(
      _xludf.IFNA(
        VLOOKUP($D342,{"PH","Provincial Hospital (H2)";"DH","District Hospital (H3)";"RH","Regional / National Hospital (H1)"},2,0),
        $D342
      ),
      'Tools &amp; Targets_Guideline'!$C$53:$I$53,
      0
    )
  ),
0))</f>
        <v/>
      </c>
      <c r="AB342" s="105"/>
      <c r="AC342" s="119" t="str">
        <f t="array" ref="AC342">IF(OR($B342="",$D342=""),"",
IFERROR(
  INDEX(
    'Tools &amp; Targets_Guideline'!$C$54:$I$269,
    MATCH(
      1,
      ('Tools &amp; Targets_Guideline'!$A$54:$A$269=$B342)*
      ('Tools &amp; Targets_Guideline'!$B$54:$B$269="TB"),
      0
    ),
    MATCH(
      _xludf.IFNA(
        VLOOKUP($D342,{"PH","Provincial Hospital (H2)";"DH","District Hospital (H3)";"RH","Regional / National Hospital (H1)"},2,0),
        $D342
      ),
      'Tools &amp; Targets_Guideline'!$C$53:$I$53,
      0
    )
  ),
0))</f>
        <v/>
      </c>
      <c r="AD342" s="105"/>
      <c r="AE342" s="119" t="str">
        <f t="array" ref="AE342">IF(OR($B342="",$D342=""),"",
IFERROR(
  INDEX(
    'Tools &amp; Targets_Guideline'!$C$54:$I$269,
    MATCH(
      1,
      ('Tools &amp; Targets_Guideline'!$A$54:$A$269=$B342)*
      ('Tools &amp; Targets_Guideline'!$B$54:$B$269="U5 Morbidity"),
      0
    ),
    MATCH(
      _xludf.IFNA(
        VLOOKUP($D342,{"PH","Provincial Hospital (H2)";"DH","District Hospital (H3)";"RH","Regional / National Hospital (H1)"},2,0),
        $D342
      ),
      'Tools &amp; Targets_Guideline'!$C$53:$I$53,
      0
    )
  ),
0))</f>
        <v/>
      </c>
      <c r="AF342" s="105"/>
      <c r="AG342" s="119" t="str">
        <f t="array" ref="AG342">IF(OR($B342="",$D342=""),"",
IFERROR(
  INDEX(
    'Tools &amp; Targets_Guideline'!$C$54:$I$269,
    MATCH(
      1,
      ('Tools &amp; Targets_Guideline'!$A$54:$A$269=$B342)*
      ('Tools &amp; Targets_Guideline'!$B$54:$B$269="C-Section"),
      0
    ),
    MATCH(
      _xludf.IFNA(
        VLOOKUP($D342,{"PH","Provincial Hospital (H2)";"DH","District Hospital (H3)";"RH","Regional / National Hospital (H1)"},2,0),
        $D342
      ),
      'Tools &amp; Targets_Guideline'!$C$53:$I$53,
      0
    )
  ),
0))</f>
        <v/>
      </c>
      <c r="AH342" s="105" t="str">
        <f>IF(A342&lt;&gt;"",COUNTIFS('QA Log'!D:D,A342,'QA Log'!M:M,"QQC",'QA Log'!L:L,"2. Hygiene and Sterilization",'QA Log'!Z:Z,"Approved"),"")</f>
        <v/>
      </c>
      <c r="AI342" s="102"/>
      <c r="AJ342" s="102"/>
      <c r="AK342" s="103" t="str">
        <f t="shared" si="17"/>
        <v/>
      </c>
      <c r="AL342" s="102"/>
      <c r="AM342" s="102"/>
      <c r="AN342" s="102"/>
      <c r="AO342" s="106"/>
      <c r="AP342" s="103"/>
      <c r="AQ342" s="102"/>
      <c r="AR342" s="102"/>
      <c r="AS342" s="102"/>
      <c r="AT342" s="107"/>
      <c r="AU342" s="102" t="str">
        <f t="shared" si="18"/>
        <v/>
      </c>
      <c r="AV342" s="102" t="str">
        <f t="shared" si="19"/>
        <v/>
      </c>
      <c r="AW342" s="102" t="str">
        <f t="shared" si="20"/>
        <v/>
      </c>
      <c r="AX342" s="102" t="str">
        <f t="shared" si="21"/>
        <v/>
      </c>
      <c r="AY342" s="107" t="str">
        <f t="shared" si="22"/>
        <v/>
      </c>
      <c r="AZ342" s="108" t="str">
        <f t="shared" si="23"/>
        <v/>
      </c>
      <c r="BA342" s="108" t="str">
        <f t="shared" si="24"/>
        <v/>
      </c>
      <c r="BB342" s="109" t="str">
        <f t="shared" si="25"/>
        <v/>
      </c>
      <c r="BC342" s="108" t="str">
        <f t="shared" si="26"/>
        <v/>
      </c>
      <c r="BD342" s="108" t="str">
        <f t="shared" si="27"/>
        <v/>
      </c>
      <c r="BE342" s="109" t="str">
        <f t="shared" si="28"/>
        <v/>
      </c>
      <c r="BF342" s="110" t="str">
        <f t="shared" si="29"/>
        <v/>
      </c>
      <c r="BG342" s="111"/>
    </row>
    <row r="343" spans="1:59" ht="12.75">
      <c r="A343" s="101"/>
      <c r="B343" s="102"/>
      <c r="C343" s="102" t="e">
        <f t="array" aca="1" ref="C343" ca="1">_xludf.XLOOKUP(A343,'QA Log'!D:D,'QA Log'!F:F,"")</f>
        <v>#NAME?</v>
      </c>
      <c r="D343" s="102"/>
      <c r="E343" s="102" t="e">
        <f t="array" aca="1" ref="E343" ca="1">_xludf.XLOOKUP(A343,'QA Log'!D:D,'QA Log'!G:G,"")</f>
        <v>#NAME?</v>
      </c>
      <c r="F343" s="103"/>
      <c r="G343" s="104"/>
      <c r="H343" s="104"/>
      <c r="I343" s="103" t="str">
        <f t="shared" si="15"/>
        <v/>
      </c>
      <c r="J343" s="102"/>
      <c r="K343" s="102"/>
      <c r="L343" s="119" t="str">
        <f t="array" ref="L343">IF(OR($B343="",$D343=""),"",
IFERROR(
  INDEX(
    'Tools &amp; Targets_Guideline'!$C$54:$I$269,
    MATCH(
      1,
      ('Tools &amp; Targets_Guideline'!$A$54:$A$269=$B343)*
      ('Tools &amp; Targets_Guideline'!$B$54:$B$269="ANC"),
      0
    ),
    MATCH(
      _xludf.IFNA(
        VLOOKUP($D343,{"PH","Provincial Hospital (H2)";"DH","District Hospital (H3)";"RH","Regional / National Hospital (H1)"},2,0),
        $D343
      ),
      'Tools &amp; Targets_Guideline'!$C$53:$I$53,
      0
    )
  ),
0))</f>
        <v/>
      </c>
      <c r="M343" s="105"/>
      <c r="N343" s="119" t="str">
        <f t="array" ref="N343">IF(OR($B343="",$D343=""),"",
IFERROR(
  INDEX(
    'Tools &amp; Targets_Guideline'!$C$54:$I$269,
    MATCH(
      1,
      ('Tools &amp; Targets_Guideline'!$A$54:$A$269=$B343)*
      ('Tools &amp; Targets_Guideline'!$B$54:$B$269="PNC"),
      0
    ),
    MATCH(
      _xludf.IFNA(
        VLOOKUP($D343,{"PH","Provincial Hospital (H2)";"DH","District Hospital (H3)";"RH","Regional / National Hospital (H1)"},2,0),
        $D343
      ),
      'Tools &amp; Targets_Guideline'!$C$53:$I$53,
      0
    )
  ),
0))</f>
        <v/>
      </c>
      <c r="O343" s="105"/>
      <c r="P343" s="119" t="str">
        <f t="array" ref="P343">IF(OR($B343="",$D343=""),"",
IFERROR(
  INDEX(
    'Tools &amp; Targets_Guideline'!$C$54:$I$269,
    MATCH(
      1,
      ('Tools &amp; Targets_Guideline'!$A$54:$A$269=$B343)*
      ('Tools &amp; Targets_Guideline'!$B$54:$B$269="Delivery"),
      0
    ),
    MATCH(
      _xludf.IFNA(
        VLOOKUP($D343,{"PH","Provincial Hospital (H2)";"DH","District Hospital (H3)";"RH","Regional / National Hospital (H1)"},2,0),
        $D343
      ),
      'Tools &amp; Targets_Guideline'!$C$53:$I$53,
      0
    )
  ),
0))</f>
        <v/>
      </c>
      <c r="Q343" s="105"/>
      <c r="R343" s="119" t="str">
        <f t="array" ref="R343">IF(OR($B343="",$D343=""),"",
IFERROR(
  INDEX(
    'Tools &amp; Targets_Guideline'!$C$54:$I$269,
    MATCH(
      1,
      ('Tools &amp; Targets_Guideline'!$A$54:$A$269=$B343)*
      ('Tools &amp; Targets_Guideline'!$B$54:$B$269="TT"),
      0
    ),
    MATCH(
      _xludf.IFNA(
        VLOOKUP($D343,{"PH","Provincial Hospital (H2)";"DH","District Hospital (H3)";"RH","Regional / National Hospital (H1)"},2,0),
        $D343
      ),
      'Tools &amp; Targets_Guideline'!$C$53:$I$53,
      0
    )
  ),
0))</f>
        <v/>
      </c>
      <c r="S343" s="105"/>
      <c r="T343" s="102"/>
      <c r="U343" s="106"/>
      <c r="V343" s="102" t="str">
        <f t="shared" si="16"/>
        <v/>
      </c>
      <c r="W343" s="102"/>
      <c r="X343" s="102"/>
      <c r="Y343" s="119" t="str">
        <f t="array" ref="Y343">IF(OR($B343="",$D343=""),"",
IFERROR(
  INDEX(
    'Tools &amp; Targets_Guideline'!$C$54:$I$269,
    MATCH(
      1,
      ('Tools &amp; Targets_Guideline'!$A$54:$A$269=$B343)*
      ('Tools &amp; Targets_Guideline'!$B$54:$B$269="GM"),
      0
    ),
    MATCH(
      _xludf.IFNA(
        VLOOKUP($D343,{"PH","Provincial Hospital (H2)";"DH","District Hospital (H3)";"RH","Regional / National Hospital (H1)"},2,0),
        $D343
      ),
      'Tools &amp; Targets_Guideline'!$C$53:$I$53,
      0
    )
  ),
0))</f>
        <v/>
      </c>
      <c r="Z343" s="105"/>
      <c r="AA343" s="119" t="str">
        <f t="array" ref="AA343">IF(OR($B343="",$D343=""),"",
IFERROR(
  INDEX(
    'Tools &amp; Targets_Guideline'!$C$54:$I$269,
    MATCH(
      1,
      ('Tools &amp; Targets_Guideline'!$A$54:$A$269=$B343)*
      ('Tools &amp; Targets_Guideline'!$B$54:$B$269="Penta"),
      0
    ),
    MATCH(
      _xludf.IFNA(
        VLOOKUP($D343,{"PH","Provincial Hospital (H2)";"DH","District Hospital (H3)";"RH","Regional / National Hospital (H1)"},2,0),
        $D343
      ),
      'Tools &amp; Targets_Guideline'!$C$53:$I$53,
      0
    )
  ),
0))</f>
        <v/>
      </c>
      <c r="AB343" s="105"/>
      <c r="AC343" s="119" t="str">
        <f t="array" ref="AC343">IF(OR($B343="",$D343=""),"",
IFERROR(
  INDEX(
    'Tools &amp; Targets_Guideline'!$C$54:$I$269,
    MATCH(
      1,
      ('Tools &amp; Targets_Guideline'!$A$54:$A$269=$B343)*
      ('Tools &amp; Targets_Guideline'!$B$54:$B$269="TB"),
      0
    ),
    MATCH(
      _xludf.IFNA(
        VLOOKUP($D343,{"PH","Provincial Hospital (H2)";"DH","District Hospital (H3)";"RH","Regional / National Hospital (H1)"},2,0),
        $D343
      ),
      'Tools &amp; Targets_Guideline'!$C$53:$I$53,
      0
    )
  ),
0))</f>
        <v/>
      </c>
      <c r="AD343" s="105"/>
      <c r="AE343" s="119" t="str">
        <f t="array" ref="AE343">IF(OR($B343="",$D343=""),"",
IFERROR(
  INDEX(
    'Tools &amp; Targets_Guideline'!$C$54:$I$269,
    MATCH(
      1,
      ('Tools &amp; Targets_Guideline'!$A$54:$A$269=$B343)*
      ('Tools &amp; Targets_Guideline'!$B$54:$B$269="U5 Morbidity"),
      0
    ),
    MATCH(
      _xludf.IFNA(
        VLOOKUP($D343,{"PH","Provincial Hospital (H2)";"DH","District Hospital (H3)";"RH","Regional / National Hospital (H1)"},2,0),
        $D343
      ),
      'Tools &amp; Targets_Guideline'!$C$53:$I$53,
      0
    )
  ),
0))</f>
        <v/>
      </c>
      <c r="AF343" s="105"/>
      <c r="AG343" s="119" t="str">
        <f t="array" ref="AG343">IF(OR($B343="",$D343=""),"",
IFERROR(
  INDEX(
    'Tools &amp; Targets_Guideline'!$C$54:$I$269,
    MATCH(
      1,
      ('Tools &amp; Targets_Guideline'!$A$54:$A$269=$B343)*
      ('Tools &amp; Targets_Guideline'!$B$54:$B$269="C-Section"),
      0
    ),
    MATCH(
      _xludf.IFNA(
        VLOOKUP($D343,{"PH","Provincial Hospital (H2)";"DH","District Hospital (H3)";"RH","Regional / National Hospital (H1)"},2,0),
        $D343
      ),
      'Tools &amp; Targets_Guideline'!$C$53:$I$53,
      0
    )
  ),
0))</f>
        <v/>
      </c>
      <c r="AH343" s="105" t="str">
        <f>IF(A343&lt;&gt;"",COUNTIFS('QA Log'!D:D,A343,'QA Log'!M:M,"QQC",'QA Log'!L:L,"2. Hygiene and Sterilization",'QA Log'!Z:Z,"Approved"),"")</f>
        <v/>
      </c>
      <c r="AI343" s="102"/>
      <c r="AJ343" s="102"/>
      <c r="AK343" s="103" t="str">
        <f t="shared" si="17"/>
        <v/>
      </c>
      <c r="AL343" s="102"/>
      <c r="AM343" s="102"/>
      <c r="AN343" s="102"/>
      <c r="AO343" s="106"/>
      <c r="AP343" s="103"/>
      <c r="AQ343" s="102"/>
      <c r="AR343" s="102"/>
      <c r="AS343" s="102"/>
      <c r="AT343" s="107"/>
      <c r="AU343" s="102" t="str">
        <f t="shared" si="18"/>
        <v/>
      </c>
      <c r="AV343" s="102" t="str">
        <f t="shared" si="19"/>
        <v/>
      </c>
      <c r="AW343" s="102" t="str">
        <f t="shared" si="20"/>
        <v/>
      </c>
      <c r="AX343" s="102" t="str">
        <f t="shared" si="21"/>
        <v/>
      </c>
      <c r="AY343" s="107" t="str">
        <f t="shared" si="22"/>
        <v/>
      </c>
      <c r="AZ343" s="108" t="str">
        <f t="shared" si="23"/>
        <v/>
      </c>
      <c r="BA343" s="108" t="str">
        <f t="shared" si="24"/>
        <v/>
      </c>
      <c r="BB343" s="109" t="str">
        <f t="shared" si="25"/>
        <v/>
      </c>
      <c r="BC343" s="108" t="str">
        <f t="shared" si="26"/>
        <v/>
      </c>
      <c r="BD343" s="108" t="str">
        <f t="shared" si="27"/>
        <v/>
      </c>
      <c r="BE343" s="109" t="str">
        <f t="shared" si="28"/>
        <v/>
      </c>
      <c r="BF343" s="110" t="str">
        <f t="shared" si="29"/>
        <v/>
      </c>
      <c r="BG343" s="111"/>
    </row>
    <row r="344" spans="1:59" ht="12.75">
      <c r="A344" s="101"/>
      <c r="B344" s="102"/>
      <c r="C344" s="102" t="e">
        <f t="array" aca="1" ref="C344" ca="1">_xludf.XLOOKUP(A344,'QA Log'!D:D,'QA Log'!F:F,"")</f>
        <v>#NAME?</v>
      </c>
      <c r="D344" s="102"/>
      <c r="E344" s="102" t="e">
        <f t="array" aca="1" ref="E344" ca="1">_xludf.XLOOKUP(A344,'QA Log'!D:D,'QA Log'!G:G,"")</f>
        <v>#NAME?</v>
      </c>
      <c r="F344" s="103"/>
      <c r="G344" s="104"/>
      <c r="H344" s="104"/>
      <c r="I344" s="103" t="str">
        <f t="shared" si="15"/>
        <v/>
      </c>
      <c r="J344" s="102"/>
      <c r="K344" s="102"/>
      <c r="L344" s="119" t="str">
        <f t="array" ref="L344">IF(OR($B344="",$D344=""),"",
IFERROR(
  INDEX(
    'Tools &amp; Targets_Guideline'!$C$54:$I$269,
    MATCH(
      1,
      ('Tools &amp; Targets_Guideline'!$A$54:$A$269=$B344)*
      ('Tools &amp; Targets_Guideline'!$B$54:$B$269="ANC"),
      0
    ),
    MATCH(
      _xludf.IFNA(
        VLOOKUP($D344,{"PH","Provincial Hospital (H2)";"DH","District Hospital (H3)";"RH","Regional / National Hospital (H1)"},2,0),
        $D344
      ),
      'Tools &amp; Targets_Guideline'!$C$53:$I$53,
      0
    )
  ),
0))</f>
        <v/>
      </c>
      <c r="M344" s="105"/>
      <c r="N344" s="119" t="str">
        <f t="array" ref="N344">IF(OR($B344="",$D344=""),"",
IFERROR(
  INDEX(
    'Tools &amp; Targets_Guideline'!$C$54:$I$269,
    MATCH(
      1,
      ('Tools &amp; Targets_Guideline'!$A$54:$A$269=$B344)*
      ('Tools &amp; Targets_Guideline'!$B$54:$B$269="PNC"),
      0
    ),
    MATCH(
      _xludf.IFNA(
        VLOOKUP($D344,{"PH","Provincial Hospital (H2)";"DH","District Hospital (H3)";"RH","Regional / National Hospital (H1)"},2,0),
        $D344
      ),
      'Tools &amp; Targets_Guideline'!$C$53:$I$53,
      0
    )
  ),
0))</f>
        <v/>
      </c>
      <c r="O344" s="105"/>
      <c r="P344" s="119" t="str">
        <f t="array" ref="P344">IF(OR($B344="",$D344=""),"",
IFERROR(
  INDEX(
    'Tools &amp; Targets_Guideline'!$C$54:$I$269,
    MATCH(
      1,
      ('Tools &amp; Targets_Guideline'!$A$54:$A$269=$B344)*
      ('Tools &amp; Targets_Guideline'!$B$54:$B$269="Delivery"),
      0
    ),
    MATCH(
      _xludf.IFNA(
        VLOOKUP($D344,{"PH","Provincial Hospital (H2)";"DH","District Hospital (H3)";"RH","Regional / National Hospital (H1)"},2,0),
        $D344
      ),
      'Tools &amp; Targets_Guideline'!$C$53:$I$53,
      0
    )
  ),
0))</f>
        <v/>
      </c>
      <c r="Q344" s="105"/>
      <c r="R344" s="119" t="str">
        <f t="array" ref="R344">IF(OR($B344="",$D344=""),"",
IFERROR(
  INDEX(
    'Tools &amp; Targets_Guideline'!$C$54:$I$269,
    MATCH(
      1,
      ('Tools &amp; Targets_Guideline'!$A$54:$A$269=$B344)*
      ('Tools &amp; Targets_Guideline'!$B$54:$B$269="TT"),
      0
    ),
    MATCH(
      _xludf.IFNA(
        VLOOKUP($D344,{"PH","Provincial Hospital (H2)";"DH","District Hospital (H3)";"RH","Regional / National Hospital (H1)"},2,0),
        $D344
      ),
      'Tools &amp; Targets_Guideline'!$C$53:$I$53,
      0
    )
  ),
0))</f>
        <v/>
      </c>
      <c r="S344" s="105"/>
      <c r="T344" s="102"/>
      <c r="U344" s="106"/>
      <c r="V344" s="102" t="str">
        <f t="shared" si="16"/>
        <v/>
      </c>
      <c r="W344" s="102"/>
      <c r="X344" s="102"/>
      <c r="Y344" s="119" t="str">
        <f t="array" ref="Y344">IF(OR($B344="",$D344=""),"",
IFERROR(
  INDEX(
    'Tools &amp; Targets_Guideline'!$C$54:$I$269,
    MATCH(
      1,
      ('Tools &amp; Targets_Guideline'!$A$54:$A$269=$B344)*
      ('Tools &amp; Targets_Guideline'!$B$54:$B$269="GM"),
      0
    ),
    MATCH(
      _xludf.IFNA(
        VLOOKUP($D344,{"PH","Provincial Hospital (H2)";"DH","District Hospital (H3)";"RH","Regional / National Hospital (H1)"},2,0),
        $D344
      ),
      'Tools &amp; Targets_Guideline'!$C$53:$I$53,
      0
    )
  ),
0))</f>
        <v/>
      </c>
      <c r="Z344" s="105"/>
      <c r="AA344" s="119" t="str">
        <f t="array" ref="AA344">IF(OR($B344="",$D344=""),"",
IFERROR(
  INDEX(
    'Tools &amp; Targets_Guideline'!$C$54:$I$269,
    MATCH(
      1,
      ('Tools &amp; Targets_Guideline'!$A$54:$A$269=$B344)*
      ('Tools &amp; Targets_Guideline'!$B$54:$B$269="Penta"),
      0
    ),
    MATCH(
      _xludf.IFNA(
        VLOOKUP($D344,{"PH","Provincial Hospital (H2)";"DH","District Hospital (H3)";"RH","Regional / National Hospital (H1)"},2,0),
        $D344
      ),
      'Tools &amp; Targets_Guideline'!$C$53:$I$53,
      0
    )
  ),
0))</f>
        <v/>
      </c>
      <c r="AB344" s="105"/>
      <c r="AC344" s="119" t="str">
        <f t="array" ref="AC344">IF(OR($B344="",$D344=""),"",
IFERROR(
  INDEX(
    'Tools &amp; Targets_Guideline'!$C$54:$I$269,
    MATCH(
      1,
      ('Tools &amp; Targets_Guideline'!$A$54:$A$269=$B344)*
      ('Tools &amp; Targets_Guideline'!$B$54:$B$269="TB"),
      0
    ),
    MATCH(
      _xludf.IFNA(
        VLOOKUP($D344,{"PH","Provincial Hospital (H2)";"DH","District Hospital (H3)";"RH","Regional / National Hospital (H1)"},2,0),
        $D344
      ),
      'Tools &amp; Targets_Guideline'!$C$53:$I$53,
      0
    )
  ),
0))</f>
        <v/>
      </c>
      <c r="AD344" s="105"/>
      <c r="AE344" s="119" t="str">
        <f t="array" ref="AE344">IF(OR($B344="",$D344=""),"",
IFERROR(
  INDEX(
    'Tools &amp; Targets_Guideline'!$C$54:$I$269,
    MATCH(
      1,
      ('Tools &amp; Targets_Guideline'!$A$54:$A$269=$B344)*
      ('Tools &amp; Targets_Guideline'!$B$54:$B$269="U5 Morbidity"),
      0
    ),
    MATCH(
      _xludf.IFNA(
        VLOOKUP($D344,{"PH","Provincial Hospital (H2)";"DH","District Hospital (H3)";"RH","Regional / National Hospital (H1)"},2,0),
        $D344
      ),
      'Tools &amp; Targets_Guideline'!$C$53:$I$53,
      0
    )
  ),
0))</f>
        <v/>
      </c>
      <c r="AF344" s="105"/>
      <c r="AG344" s="119" t="str">
        <f t="array" ref="AG344">IF(OR($B344="",$D344=""),"",
IFERROR(
  INDEX(
    'Tools &amp; Targets_Guideline'!$C$54:$I$269,
    MATCH(
      1,
      ('Tools &amp; Targets_Guideline'!$A$54:$A$269=$B344)*
      ('Tools &amp; Targets_Guideline'!$B$54:$B$269="C-Section"),
      0
    ),
    MATCH(
      _xludf.IFNA(
        VLOOKUP($D344,{"PH","Provincial Hospital (H2)";"DH","District Hospital (H3)";"RH","Regional / National Hospital (H1)"},2,0),
        $D344
      ),
      'Tools &amp; Targets_Guideline'!$C$53:$I$53,
      0
    )
  ),
0))</f>
        <v/>
      </c>
      <c r="AH344" s="105" t="str">
        <f>IF(A344&lt;&gt;"",COUNTIFS('QA Log'!D:D,A344,'QA Log'!M:M,"QQC",'QA Log'!L:L,"2. Hygiene and Sterilization",'QA Log'!Z:Z,"Approved"),"")</f>
        <v/>
      </c>
      <c r="AI344" s="102"/>
      <c r="AJ344" s="102"/>
      <c r="AK344" s="103" t="str">
        <f t="shared" si="17"/>
        <v/>
      </c>
      <c r="AL344" s="102"/>
      <c r="AM344" s="102"/>
      <c r="AN344" s="102"/>
      <c r="AO344" s="106"/>
      <c r="AP344" s="103"/>
      <c r="AQ344" s="102"/>
      <c r="AR344" s="102"/>
      <c r="AS344" s="102"/>
      <c r="AT344" s="107"/>
      <c r="AU344" s="102" t="str">
        <f t="shared" si="18"/>
        <v/>
      </c>
      <c r="AV344" s="102" t="str">
        <f t="shared" si="19"/>
        <v/>
      </c>
      <c r="AW344" s="102" t="str">
        <f t="shared" si="20"/>
        <v/>
      </c>
      <c r="AX344" s="102" t="str">
        <f t="shared" si="21"/>
        <v/>
      </c>
      <c r="AY344" s="107" t="str">
        <f t="shared" si="22"/>
        <v/>
      </c>
      <c r="AZ344" s="108" t="str">
        <f t="shared" si="23"/>
        <v/>
      </c>
      <c r="BA344" s="108" t="str">
        <f t="shared" si="24"/>
        <v/>
      </c>
      <c r="BB344" s="109" t="str">
        <f t="shared" si="25"/>
        <v/>
      </c>
      <c r="BC344" s="108" t="str">
        <f t="shared" si="26"/>
        <v/>
      </c>
      <c r="BD344" s="108" t="str">
        <f t="shared" si="27"/>
        <v/>
      </c>
      <c r="BE344" s="109" t="str">
        <f t="shared" si="28"/>
        <v/>
      </c>
      <c r="BF344" s="110" t="str">
        <f t="shared" si="29"/>
        <v/>
      </c>
      <c r="BG344" s="111"/>
    </row>
    <row r="345" spans="1:59" ht="12.75">
      <c r="A345" s="101"/>
      <c r="B345" s="102"/>
      <c r="C345" s="102" t="e">
        <f t="array" aca="1" ref="C345" ca="1">_xludf.XLOOKUP(A345,'QA Log'!D:D,'QA Log'!F:F,"")</f>
        <v>#NAME?</v>
      </c>
      <c r="D345" s="102"/>
      <c r="E345" s="102" t="e">
        <f t="array" aca="1" ref="E345" ca="1">_xludf.XLOOKUP(A345,'QA Log'!D:D,'QA Log'!G:G,"")</f>
        <v>#NAME?</v>
      </c>
      <c r="F345" s="103"/>
      <c r="G345" s="104"/>
      <c r="H345" s="104"/>
      <c r="I345" s="103" t="str">
        <f t="shared" si="15"/>
        <v/>
      </c>
      <c r="J345" s="102"/>
      <c r="K345" s="102"/>
      <c r="L345" s="119" t="str">
        <f t="array" ref="L345">IF(OR($B345="",$D345=""),"",
IFERROR(
  INDEX(
    'Tools &amp; Targets_Guideline'!$C$54:$I$269,
    MATCH(
      1,
      ('Tools &amp; Targets_Guideline'!$A$54:$A$269=$B345)*
      ('Tools &amp; Targets_Guideline'!$B$54:$B$269="ANC"),
      0
    ),
    MATCH(
      _xludf.IFNA(
        VLOOKUP($D345,{"PH","Provincial Hospital (H2)";"DH","District Hospital (H3)";"RH","Regional / National Hospital (H1)"},2,0),
        $D345
      ),
      'Tools &amp; Targets_Guideline'!$C$53:$I$53,
      0
    )
  ),
0))</f>
        <v/>
      </c>
      <c r="M345" s="105"/>
      <c r="N345" s="119" t="str">
        <f t="array" ref="N345">IF(OR($B345="",$D345=""),"",
IFERROR(
  INDEX(
    'Tools &amp; Targets_Guideline'!$C$54:$I$269,
    MATCH(
      1,
      ('Tools &amp; Targets_Guideline'!$A$54:$A$269=$B345)*
      ('Tools &amp; Targets_Guideline'!$B$54:$B$269="PNC"),
      0
    ),
    MATCH(
      _xludf.IFNA(
        VLOOKUP($D345,{"PH","Provincial Hospital (H2)";"DH","District Hospital (H3)";"RH","Regional / National Hospital (H1)"},2,0),
        $D345
      ),
      'Tools &amp; Targets_Guideline'!$C$53:$I$53,
      0
    )
  ),
0))</f>
        <v/>
      </c>
      <c r="O345" s="105"/>
      <c r="P345" s="119" t="str">
        <f t="array" ref="P345">IF(OR($B345="",$D345=""),"",
IFERROR(
  INDEX(
    'Tools &amp; Targets_Guideline'!$C$54:$I$269,
    MATCH(
      1,
      ('Tools &amp; Targets_Guideline'!$A$54:$A$269=$B345)*
      ('Tools &amp; Targets_Guideline'!$B$54:$B$269="Delivery"),
      0
    ),
    MATCH(
      _xludf.IFNA(
        VLOOKUP($D345,{"PH","Provincial Hospital (H2)";"DH","District Hospital (H3)";"RH","Regional / National Hospital (H1)"},2,0),
        $D345
      ),
      'Tools &amp; Targets_Guideline'!$C$53:$I$53,
      0
    )
  ),
0))</f>
        <v/>
      </c>
      <c r="Q345" s="105"/>
      <c r="R345" s="119" t="str">
        <f t="array" ref="R345">IF(OR($B345="",$D345=""),"",
IFERROR(
  INDEX(
    'Tools &amp; Targets_Guideline'!$C$54:$I$269,
    MATCH(
      1,
      ('Tools &amp; Targets_Guideline'!$A$54:$A$269=$B345)*
      ('Tools &amp; Targets_Guideline'!$B$54:$B$269="TT"),
      0
    ),
    MATCH(
      _xludf.IFNA(
        VLOOKUP($D345,{"PH","Provincial Hospital (H2)";"DH","District Hospital (H3)";"RH","Regional / National Hospital (H1)"},2,0),
        $D345
      ),
      'Tools &amp; Targets_Guideline'!$C$53:$I$53,
      0
    )
  ),
0))</f>
        <v/>
      </c>
      <c r="S345" s="105"/>
      <c r="T345" s="102"/>
      <c r="U345" s="106"/>
      <c r="V345" s="102" t="str">
        <f t="shared" si="16"/>
        <v/>
      </c>
      <c r="W345" s="102"/>
      <c r="X345" s="102"/>
      <c r="Y345" s="119" t="str">
        <f t="array" ref="Y345">IF(OR($B345="",$D345=""),"",
IFERROR(
  INDEX(
    'Tools &amp; Targets_Guideline'!$C$54:$I$269,
    MATCH(
      1,
      ('Tools &amp; Targets_Guideline'!$A$54:$A$269=$B345)*
      ('Tools &amp; Targets_Guideline'!$B$54:$B$269="GM"),
      0
    ),
    MATCH(
      _xludf.IFNA(
        VLOOKUP($D345,{"PH","Provincial Hospital (H2)";"DH","District Hospital (H3)";"RH","Regional / National Hospital (H1)"},2,0),
        $D345
      ),
      'Tools &amp; Targets_Guideline'!$C$53:$I$53,
      0
    )
  ),
0))</f>
        <v/>
      </c>
      <c r="Z345" s="105"/>
      <c r="AA345" s="119" t="str">
        <f t="array" ref="AA345">IF(OR($B345="",$D345=""),"",
IFERROR(
  INDEX(
    'Tools &amp; Targets_Guideline'!$C$54:$I$269,
    MATCH(
      1,
      ('Tools &amp; Targets_Guideline'!$A$54:$A$269=$B345)*
      ('Tools &amp; Targets_Guideline'!$B$54:$B$269="Penta"),
      0
    ),
    MATCH(
      _xludf.IFNA(
        VLOOKUP($D345,{"PH","Provincial Hospital (H2)";"DH","District Hospital (H3)";"RH","Regional / National Hospital (H1)"},2,0),
        $D345
      ),
      'Tools &amp; Targets_Guideline'!$C$53:$I$53,
      0
    )
  ),
0))</f>
        <v/>
      </c>
      <c r="AB345" s="105"/>
      <c r="AC345" s="119" t="str">
        <f t="array" ref="AC345">IF(OR($B345="",$D345=""),"",
IFERROR(
  INDEX(
    'Tools &amp; Targets_Guideline'!$C$54:$I$269,
    MATCH(
      1,
      ('Tools &amp; Targets_Guideline'!$A$54:$A$269=$B345)*
      ('Tools &amp; Targets_Guideline'!$B$54:$B$269="TB"),
      0
    ),
    MATCH(
      _xludf.IFNA(
        VLOOKUP($D345,{"PH","Provincial Hospital (H2)";"DH","District Hospital (H3)";"RH","Regional / National Hospital (H1)"},2,0),
        $D345
      ),
      'Tools &amp; Targets_Guideline'!$C$53:$I$53,
      0
    )
  ),
0))</f>
        <v/>
      </c>
      <c r="AD345" s="105"/>
      <c r="AE345" s="119" t="str">
        <f t="array" ref="AE345">IF(OR($B345="",$D345=""),"",
IFERROR(
  INDEX(
    'Tools &amp; Targets_Guideline'!$C$54:$I$269,
    MATCH(
      1,
      ('Tools &amp; Targets_Guideline'!$A$54:$A$269=$B345)*
      ('Tools &amp; Targets_Guideline'!$B$54:$B$269="U5 Morbidity"),
      0
    ),
    MATCH(
      _xludf.IFNA(
        VLOOKUP($D345,{"PH","Provincial Hospital (H2)";"DH","District Hospital (H3)";"RH","Regional / National Hospital (H1)"},2,0),
        $D345
      ),
      'Tools &amp; Targets_Guideline'!$C$53:$I$53,
      0
    )
  ),
0))</f>
        <v/>
      </c>
      <c r="AF345" s="105"/>
      <c r="AG345" s="119" t="str">
        <f t="array" ref="AG345">IF(OR($B345="",$D345=""),"",
IFERROR(
  INDEX(
    'Tools &amp; Targets_Guideline'!$C$54:$I$269,
    MATCH(
      1,
      ('Tools &amp; Targets_Guideline'!$A$54:$A$269=$B345)*
      ('Tools &amp; Targets_Guideline'!$B$54:$B$269="C-Section"),
      0
    ),
    MATCH(
      _xludf.IFNA(
        VLOOKUP($D345,{"PH","Provincial Hospital (H2)";"DH","District Hospital (H3)";"RH","Regional / National Hospital (H1)"},2,0),
        $D345
      ),
      'Tools &amp; Targets_Guideline'!$C$53:$I$53,
      0
    )
  ),
0))</f>
        <v/>
      </c>
      <c r="AH345" s="105" t="str">
        <f>IF(A345&lt;&gt;"",COUNTIFS('QA Log'!D:D,A345,'QA Log'!M:M,"QQC",'QA Log'!L:L,"2. Hygiene and Sterilization",'QA Log'!Z:Z,"Approved"),"")</f>
        <v/>
      </c>
      <c r="AI345" s="102"/>
      <c r="AJ345" s="102"/>
      <c r="AK345" s="103" t="str">
        <f t="shared" si="17"/>
        <v/>
      </c>
      <c r="AL345" s="102"/>
      <c r="AM345" s="102"/>
      <c r="AN345" s="102"/>
      <c r="AO345" s="106"/>
      <c r="AP345" s="103"/>
      <c r="AQ345" s="102"/>
      <c r="AR345" s="102"/>
      <c r="AS345" s="102"/>
      <c r="AT345" s="107"/>
      <c r="AU345" s="102" t="str">
        <f t="shared" si="18"/>
        <v/>
      </c>
      <c r="AV345" s="102" t="str">
        <f t="shared" si="19"/>
        <v/>
      </c>
      <c r="AW345" s="102" t="str">
        <f t="shared" si="20"/>
        <v/>
      </c>
      <c r="AX345" s="102" t="str">
        <f t="shared" si="21"/>
        <v/>
      </c>
      <c r="AY345" s="107" t="str">
        <f t="shared" si="22"/>
        <v/>
      </c>
      <c r="AZ345" s="108" t="str">
        <f t="shared" si="23"/>
        <v/>
      </c>
      <c r="BA345" s="108" t="str">
        <f t="shared" si="24"/>
        <v/>
      </c>
      <c r="BB345" s="109" t="str">
        <f t="shared" si="25"/>
        <v/>
      </c>
      <c r="BC345" s="108" t="str">
        <f t="shared" si="26"/>
        <v/>
      </c>
      <c r="BD345" s="108" t="str">
        <f t="shared" si="27"/>
        <v/>
      </c>
      <c r="BE345" s="109" t="str">
        <f t="shared" si="28"/>
        <v/>
      </c>
      <c r="BF345" s="110" t="str">
        <f t="shared" si="29"/>
        <v/>
      </c>
      <c r="BG345" s="111"/>
    </row>
    <row r="346" spans="1:59" ht="12.75">
      <c r="A346" s="101"/>
      <c r="B346" s="102"/>
      <c r="C346" s="102" t="e">
        <f t="array" aca="1" ref="C346" ca="1">_xludf.XLOOKUP(A346,'QA Log'!D:D,'QA Log'!F:F,"")</f>
        <v>#NAME?</v>
      </c>
      <c r="D346" s="102"/>
      <c r="E346" s="102" t="e">
        <f t="array" aca="1" ref="E346" ca="1">_xludf.XLOOKUP(A346,'QA Log'!D:D,'QA Log'!G:G,"")</f>
        <v>#NAME?</v>
      </c>
      <c r="F346" s="103"/>
      <c r="G346" s="104"/>
      <c r="H346" s="104"/>
      <c r="I346" s="103" t="str">
        <f t="shared" si="15"/>
        <v/>
      </c>
      <c r="J346" s="102"/>
      <c r="K346" s="102"/>
      <c r="L346" s="119" t="str">
        <f t="array" ref="L346">IF(OR($B346="",$D346=""),"",
IFERROR(
  INDEX(
    'Tools &amp; Targets_Guideline'!$C$54:$I$269,
    MATCH(
      1,
      ('Tools &amp; Targets_Guideline'!$A$54:$A$269=$B346)*
      ('Tools &amp; Targets_Guideline'!$B$54:$B$269="ANC"),
      0
    ),
    MATCH(
      _xludf.IFNA(
        VLOOKUP($D346,{"PH","Provincial Hospital (H2)";"DH","District Hospital (H3)";"RH","Regional / National Hospital (H1)"},2,0),
        $D346
      ),
      'Tools &amp; Targets_Guideline'!$C$53:$I$53,
      0
    )
  ),
0))</f>
        <v/>
      </c>
      <c r="M346" s="105"/>
      <c r="N346" s="119" t="str">
        <f t="array" ref="N346">IF(OR($B346="",$D346=""),"",
IFERROR(
  INDEX(
    'Tools &amp; Targets_Guideline'!$C$54:$I$269,
    MATCH(
      1,
      ('Tools &amp; Targets_Guideline'!$A$54:$A$269=$B346)*
      ('Tools &amp; Targets_Guideline'!$B$54:$B$269="PNC"),
      0
    ),
    MATCH(
      _xludf.IFNA(
        VLOOKUP($D346,{"PH","Provincial Hospital (H2)";"DH","District Hospital (H3)";"RH","Regional / National Hospital (H1)"},2,0),
        $D346
      ),
      'Tools &amp; Targets_Guideline'!$C$53:$I$53,
      0
    )
  ),
0))</f>
        <v/>
      </c>
      <c r="O346" s="105"/>
      <c r="P346" s="119" t="str">
        <f t="array" ref="P346">IF(OR($B346="",$D346=""),"",
IFERROR(
  INDEX(
    'Tools &amp; Targets_Guideline'!$C$54:$I$269,
    MATCH(
      1,
      ('Tools &amp; Targets_Guideline'!$A$54:$A$269=$B346)*
      ('Tools &amp; Targets_Guideline'!$B$54:$B$269="Delivery"),
      0
    ),
    MATCH(
      _xludf.IFNA(
        VLOOKUP($D346,{"PH","Provincial Hospital (H2)";"DH","District Hospital (H3)";"RH","Regional / National Hospital (H1)"},2,0),
        $D346
      ),
      'Tools &amp; Targets_Guideline'!$C$53:$I$53,
      0
    )
  ),
0))</f>
        <v/>
      </c>
      <c r="Q346" s="105"/>
      <c r="R346" s="119" t="str">
        <f t="array" ref="R346">IF(OR($B346="",$D346=""),"",
IFERROR(
  INDEX(
    'Tools &amp; Targets_Guideline'!$C$54:$I$269,
    MATCH(
      1,
      ('Tools &amp; Targets_Guideline'!$A$54:$A$269=$B346)*
      ('Tools &amp; Targets_Guideline'!$B$54:$B$269="TT"),
      0
    ),
    MATCH(
      _xludf.IFNA(
        VLOOKUP($D346,{"PH","Provincial Hospital (H2)";"DH","District Hospital (H3)";"RH","Regional / National Hospital (H1)"},2,0),
        $D346
      ),
      'Tools &amp; Targets_Guideline'!$C$53:$I$53,
      0
    )
  ),
0))</f>
        <v/>
      </c>
      <c r="S346" s="105"/>
      <c r="T346" s="102"/>
      <c r="U346" s="106"/>
      <c r="V346" s="102" t="str">
        <f t="shared" si="16"/>
        <v/>
      </c>
      <c r="W346" s="102"/>
      <c r="X346" s="102"/>
      <c r="Y346" s="119" t="str">
        <f t="array" ref="Y346">IF(OR($B346="",$D346=""),"",
IFERROR(
  INDEX(
    'Tools &amp; Targets_Guideline'!$C$54:$I$269,
    MATCH(
      1,
      ('Tools &amp; Targets_Guideline'!$A$54:$A$269=$B346)*
      ('Tools &amp; Targets_Guideline'!$B$54:$B$269="GM"),
      0
    ),
    MATCH(
      _xludf.IFNA(
        VLOOKUP($D346,{"PH","Provincial Hospital (H2)";"DH","District Hospital (H3)";"RH","Regional / National Hospital (H1)"},2,0),
        $D346
      ),
      'Tools &amp; Targets_Guideline'!$C$53:$I$53,
      0
    )
  ),
0))</f>
        <v/>
      </c>
      <c r="Z346" s="105"/>
      <c r="AA346" s="119" t="str">
        <f t="array" ref="AA346">IF(OR($B346="",$D346=""),"",
IFERROR(
  INDEX(
    'Tools &amp; Targets_Guideline'!$C$54:$I$269,
    MATCH(
      1,
      ('Tools &amp; Targets_Guideline'!$A$54:$A$269=$B346)*
      ('Tools &amp; Targets_Guideline'!$B$54:$B$269="Penta"),
      0
    ),
    MATCH(
      _xludf.IFNA(
        VLOOKUP($D346,{"PH","Provincial Hospital (H2)";"DH","District Hospital (H3)";"RH","Regional / National Hospital (H1)"},2,0),
        $D346
      ),
      'Tools &amp; Targets_Guideline'!$C$53:$I$53,
      0
    )
  ),
0))</f>
        <v/>
      </c>
      <c r="AB346" s="105"/>
      <c r="AC346" s="119" t="str">
        <f t="array" ref="AC346">IF(OR($B346="",$D346=""),"",
IFERROR(
  INDEX(
    'Tools &amp; Targets_Guideline'!$C$54:$I$269,
    MATCH(
      1,
      ('Tools &amp; Targets_Guideline'!$A$54:$A$269=$B346)*
      ('Tools &amp; Targets_Guideline'!$B$54:$B$269="TB"),
      0
    ),
    MATCH(
      _xludf.IFNA(
        VLOOKUP($D346,{"PH","Provincial Hospital (H2)";"DH","District Hospital (H3)";"RH","Regional / National Hospital (H1)"},2,0),
        $D346
      ),
      'Tools &amp; Targets_Guideline'!$C$53:$I$53,
      0
    )
  ),
0))</f>
        <v/>
      </c>
      <c r="AD346" s="105"/>
      <c r="AE346" s="119" t="str">
        <f t="array" ref="AE346">IF(OR($B346="",$D346=""),"",
IFERROR(
  INDEX(
    'Tools &amp; Targets_Guideline'!$C$54:$I$269,
    MATCH(
      1,
      ('Tools &amp; Targets_Guideline'!$A$54:$A$269=$B346)*
      ('Tools &amp; Targets_Guideline'!$B$54:$B$269="U5 Morbidity"),
      0
    ),
    MATCH(
      _xludf.IFNA(
        VLOOKUP($D346,{"PH","Provincial Hospital (H2)";"DH","District Hospital (H3)";"RH","Regional / National Hospital (H1)"},2,0),
        $D346
      ),
      'Tools &amp; Targets_Guideline'!$C$53:$I$53,
      0
    )
  ),
0))</f>
        <v/>
      </c>
      <c r="AF346" s="105"/>
      <c r="AG346" s="119" t="str">
        <f t="array" ref="AG346">IF(OR($B346="",$D346=""),"",
IFERROR(
  INDEX(
    'Tools &amp; Targets_Guideline'!$C$54:$I$269,
    MATCH(
      1,
      ('Tools &amp; Targets_Guideline'!$A$54:$A$269=$B346)*
      ('Tools &amp; Targets_Guideline'!$B$54:$B$269="C-Section"),
      0
    ),
    MATCH(
      _xludf.IFNA(
        VLOOKUP($D346,{"PH","Provincial Hospital (H2)";"DH","District Hospital (H3)";"RH","Regional / National Hospital (H1)"},2,0),
        $D346
      ),
      'Tools &amp; Targets_Guideline'!$C$53:$I$53,
      0
    )
  ),
0))</f>
        <v/>
      </c>
      <c r="AH346" s="105" t="str">
        <f>IF(A346&lt;&gt;"",COUNTIFS('QA Log'!D:D,A346,'QA Log'!M:M,"QQC",'QA Log'!L:L,"2. Hygiene and Sterilization",'QA Log'!Z:Z,"Approved"),"")</f>
        <v/>
      </c>
      <c r="AI346" s="102"/>
      <c r="AJ346" s="102"/>
      <c r="AK346" s="103" t="str">
        <f t="shared" si="17"/>
        <v/>
      </c>
      <c r="AL346" s="102"/>
      <c r="AM346" s="102"/>
      <c r="AN346" s="102"/>
      <c r="AO346" s="106"/>
      <c r="AP346" s="103"/>
      <c r="AQ346" s="102"/>
      <c r="AR346" s="102"/>
      <c r="AS346" s="102"/>
      <c r="AT346" s="107"/>
      <c r="AU346" s="102" t="str">
        <f t="shared" si="18"/>
        <v/>
      </c>
      <c r="AV346" s="102" t="str">
        <f t="shared" si="19"/>
        <v/>
      </c>
      <c r="AW346" s="102" t="str">
        <f t="shared" si="20"/>
        <v/>
      </c>
      <c r="AX346" s="102" t="str">
        <f t="shared" si="21"/>
        <v/>
      </c>
      <c r="AY346" s="107" t="str">
        <f t="shared" si="22"/>
        <v/>
      </c>
      <c r="AZ346" s="108" t="str">
        <f t="shared" si="23"/>
        <v/>
      </c>
      <c r="BA346" s="108" t="str">
        <f t="shared" si="24"/>
        <v/>
      </c>
      <c r="BB346" s="109" t="str">
        <f t="shared" si="25"/>
        <v/>
      </c>
      <c r="BC346" s="108" t="str">
        <f t="shared" si="26"/>
        <v/>
      </c>
      <c r="BD346" s="108" t="str">
        <f t="shared" si="27"/>
        <v/>
      </c>
      <c r="BE346" s="109" t="str">
        <f t="shared" si="28"/>
        <v/>
      </c>
      <c r="BF346" s="110" t="str">
        <f t="shared" si="29"/>
        <v/>
      </c>
      <c r="BG346" s="111"/>
    </row>
    <row r="347" spans="1:59" ht="12.75">
      <c r="A347" s="101"/>
      <c r="B347" s="102"/>
      <c r="C347" s="102" t="e">
        <f t="array" aca="1" ref="C347" ca="1">_xludf.XLOOKUP(A347,'QA Log'!D:D,'QA Log'!F:F,"")</f>
        <v>#NAME?</v>
      </c>
      <c r="D347" s="102"/>
      <c r="E347" s="102" t="e">
        <f t="array" aca="1" ref="E347" ca="1">_xludf.XLOOKUP(A347,'QA Log'!D:D,'QA Log'!G:G,"")</f>
        <v>#NAME?</v>
      </c>
      <c r="F347" s="103"/>
      <c r="G347" s="104"/>
      <c r="H347" s="104"/>
      <c r="I347" s="103" t="str">
        <f t="shared" si="15"/>
        <v/>
      </c>
      <c r="J347" s="102"/>
      <c r="K347" s="102"/>
      <c r="L347" s="119" t="str">
        <f t="array" ref="L347">IF(OR($B347="",$D347=""),"",
IFERROR(
  INDEX(
    'Tools &amp; Targets_Guideline'!$C$54:$I$269,
    MATCH(
      1,
      ('Tools &amp; Targets_Guideline'!$A$54:$A$269=$B347)*
      ('Tools &amp; Targets_Guideline'!$B$54:$B$269="ANC"),
      0
    ),
    MATCH(
      _xludf.IFNA(
        VLOOKUP($D347,{"PH","Provincial Hospital (H2)";"DH","District Hospital (H3)";"RH","Regional / National Hospital (H1)"},2,0),
        $D347
      ),
      'Tools &amp; Targets_Guideline'!$C$53:$I$53,
      0
    )
  ),
0))</f>
        <v/>
      </c>
      <c r="M347" s="105"/>
      <c r="N347" s="119" t="str">
        <f t="array" ref="N347">IF(OR($B347="",$D347=""),"",
IFERROR(
  INDEX(
    'Tools &amp; Targets_Guideline'!$C$54:$I$269,
    MATCH(
      1,
      ('Tools &amp; Targets_Guideline'!$A$54:$A$269=$B347)*
      ('Tools &amp; Targets_Guideline'!$B$54:$B$269="PNC"),
      0
    ),
    MATCH(
      _xludf.IFNA(
        VLOOKUP($D347,{"PH","Provincial Hospital (H2)";"DH","District Hospital (H3)";"RH","Regional / National Hospital (H1)"},2,0),
        $D347
      ),
      'Tools &amp; Targets_Guideline'!$C$53:$I$53,
      0
    )
  ),
0))</f>
        <v/>
      </c>
      <c r="O347" s="105"/>
      <c r="P347" s="119" t="str">
        <f t="array" ref="P347">IF(OR($B347="",$D347=""),"",
IFERROR(
  INDEX(
    'Tools &amp; Targets_Guideline'!$C$54:$I$269,
    MATCH(
      1,
      ('Tools &amp; Targets_Guideline'!$A$54:$A$269=$B347)*
      ('Tools &amp; Targets_Guideline'!$B$54:$B$269="Delivery"),
      0
    ),
    MATCH(
      _xludf.IFNA(
        VLOOKUP($D347,{"PH","Provincial Hospital (H2)";"DH","District Hospital (H3)";"RH","Regional / National Hospital (H1)"},2,0),
        $D347
      ),
      'Tools &amp; Targets_Guideline'!$C$53:$I$53,
      0
    )
  ),
0))</f>
        <v/>
      </c>
      <c r="Q347" s="105"/>
      <c r="R347" s="119" t="str">
        <f t="array" ref="R347">IF(OR($B347="",$D347=""),"",
IFERROR(
  INDEX(
    'Tools &amp; Targets_Guideline'!$C$54:$I$269,
    MATCH(
      1,
      ('Tools &amp; Targets_Guideline'!$A$54:$A$269=$B347)*
      ('Tools &amp; Targets_Guideline'!$B$54:$B$269="TT"),
      0
    ),
    MATCH(
      _xludf.IFNA(
        VLOOKUP($D347,{"PH","Provincial Hospital (H2)";"DH","District Hospital (H3)";"RH","Regional / National Hospital (H1)"},2,0),
        $D347
      ),
      'Tools &amp; Targets_Guideline'!$C$53:$I$53,
      0
    )
  ),
0))</f>
        <v/>
      </c>
      <c r="S347" s="105"/>
      <c r="T347" s="102"/>
      <c r="U347" s="106"/>
      <c r="V347" s="102" t="str">
        <f t="shared" si="16"/>
        <v/>
      </c>
      <c r="W347" s="102"/>
      <c r="X347" s="102"/>
      <c r="Y347" s="119" t="str">
        <f t="array" ref="Y347">IF(OR($B347="",$D347=""),"",
IFERROR(
  INDEX(
    'Tools &amp; Targets_Guideline'!$C$54:$I$269,
    MATCH(
      1,
      ('Tools &amp; Targets_Guideline'!$A$54:$A$269=$B347)*
      ('Tools &amp; Targets_Guideline'!$B$54:$B$269="GM"),
      0
    ),
    MATCH(
      _xludf.IFNA(
        VLOOKUP($D347,{"PH","Provincial Hospital (H2)";"DH","District Hospital (H3)";"RH","Regional / National Hospital (H1)"},2,0),
        $D347
      ),
      'Tools &amp; Targets_Guideline'!$C$53:$I$53,
      0
    )
  ),
0))</f>
        <v/>
      </c>
      <c r="Z347" s="105"/>
      <c r="AA347" s="119" t="str">
        <f t="array" ref="AA347">IF(OR($B347="",$D347=""),"",
IFERROR(
  INDEX(
    'Tools &amp; Targets_Guideline'!$C$54:$I$269,
    MATCH(
      1,
      ('Tools &amp; Targets_Guideline'!$A$54:$A$269=$B347)*
      ('Tools &amp; Targets_Guideline'!$B$54:$B$269="Penta"),
      0
    ),
    MATCH(
      _xludf.IFNA(
        VLOOKUP($D347,{"PH","Provincial Hospital (H2)";"DH","District Hospital (H3)";"RH","Regional / National Hospital (H1)"},2,0),
        $D347
      ),
      'Tools &amp; Targets_Guideline'!$C$53:$I$53,
      0
    )
  ),
0))</f>
        <v/>
      </c>
      <c r="AB347" s="105"/>
      <c r="AC347" s="119" t="str">
        <f t="array" ref="AC347">IF(OR($B347="",$D347=""),"",
IFERROR(
  INDEX(
    'Tools &amp; Targets_Guideline'!$C$54:$I$269,
    MATCH(
      1,
      ('Tools &amp; Targets_Guideline'!$A$54:$A$269=$B347)*
      ('Tools &amp; Targets_Guideline'!$B$54:$B$269="TB"),
      0
    ),
    MATCH(
      _xludf.IFNA(
        VLOOKUP($D347,{"PH","Provincial Hospital (H2)";"DH","District Hospital (H3)";"RH","Regional / National Hospital (H1)"},2,0),
        $D347
      ),
      'Tools &amp; Targets_Guideline'!$C$53:$I$53,
      0
    )
  ),
0))</f>
        <v/>
      </c>
      <c r="AD347" s="105"/>
      <c r="AE347" s="119" t="str">
        <f t="array" ref="AE347">IF(OR($B347="",$D347=""),"",
IFERROR(
  INDEX(
    'Tools &amp; Targets_Guideline'!$C$54:$I$269,
    MATCH(
      1,
      ('Tools &amp; Targets_Guideline'!$A$54:$A$269=$B347)*
      ('Tools &amp; Targets_Guideline'!$B$54:$B$269="U5 Morbidity"),
      0
    ),
    MATCH(
      _xludf.IFNA(
        VLOOKUP($D347,{"PH","Provincial Hospital (H2)";"DH","District Hospital (H3)";"RH","Regional / National Hospital (H1)"},2,0),
        $D347
      ),
      'Tools &amp; Targets_Guideline'!$C$53:$I$53,
      0
    )
  ),
0))</f>
        <v/>
      </c>
      <c r="AF347" s="105"/>
      <c r="AG347" s="119" t="str">
        <f t="array" ref="AG347">IF(OR($B347="",$D347=""),"",
IFERROR(
  INDEX(
    'Tools &amp; Targets_Guideline'!$C$54:$I$269,
    MATCH(
      1,
      ('Tools &amp; Targets_Guideline'!$A$54:$A$269=$B347)*
      ('Tools &amp; Targets_Guideline'!$B$54:$B$269="C-Section"),
      0
    ),
    MATCH(
      _xludf.IFNA(
        VLOOKUP($D347,{"PH","Provincial Hospital (H2)";"DH","District Hospital (H3)";"RH","Regional / National Hospital (H1)"},2,0),
        $D347
      ),
      'Tools &amp; Targets_Guideline'!$C$53:$I$53,
      0
    )
  ),
0))</f>
        <v/>
      </c>
      <c r="AH347" s="105" t="str">
        <f>IF(A347&lt;&gt;"",COUNTIFS('QA Log'!D:D,A347,'QA Log'!M:M,"QQC",'QA Log'!L:L,"2. Hygiene and Sterilization",'QA Log'!Z:Z,"Approved"),"")</f>
        <v/>
      </c>
      <c r="AI347" s="102"/>
      <c r="AJ347" s="102"/>
      <c r="AK347" s="103" t="str">
        <f t="shared" si="17"/>
        <v/>
      </c>
      <c r="AL347" s="102"/>
      <c r="AM347" s="102"/>
      <c r="AN347" s="102"/>
      <c r="AO347" s="106"/>
      <c r="AP347" s="103"/>
      <c r="AQ347" s="102"/>
      <c r="AR347" s="102"/>
      <c r="AS347" s="102"/>
      <c r="AT347" s="107"/>
      <c r="AU347" s="102" t="str">
        <f t="shared" si="18"/>
        <v/>
      </c>
      <c r="AV347" s="102" t="str">
        <f t="shared" si="19"/>
        <v/>
      </c>
      <c r="AW347" s="102" t="str">
        <f t="shared" si="20"/>
        <v/>
      </c>
      <c r="AX347" s="102" t="str">
        <f t="shared" si="21"/>
        <v/>
      </c>
      <c r="AY347" s="107" t="str">
        <f t="shared" si="22"/>
        <v/>
      </c>
      <c r="AZ347" s="108" t="str">
        <f t="shared" si="23"/>
        <v/>
      </c>
      <c r="BA347" s="108" t="str">
        <f t="shared" si="24"/>
        <v/>
      </c>
      <c r="BB347" s="109" t="str">
        <f t="shared" si="25"/>
        <v/>
      </c>
      <c r="BC347" s="108" t="str">
        <f t="shared" si="26"/>
        <v/>
      </c>
      <c r="BD347" s="108" t="str">
        <f t="shared" si="27"/>
        <v/>
      </c>
      <c r="BE347" s="109" t="str">
        <f t="shared" si="28"/>
        <v/>
      </c>
      <c r="BF347" s="110" t="str">
        <f t="shared" si="29"/>
        <v/>
      </c>
      <c r="BG347" s="111"/>
    </row>
    <row r="348" spans="1:59" ht="12.75">
      <c r="A348" s="101"/>
      <c r="B348" s="102"/>
      <c r="C348" s="102" t="e">
        <f t="array" aca="1" ref="C348" ca="1">_xludf.XLOOKUP(A348,'QA Log'!D:D,'QA Log'!F:F,"")</f>
        <v>#NAME?</v>
      </c>
      <c r="D348" s="102"/>
      <c r="E348" s="102" t="e">
        <f t="array" aca="1" ref="E348" ca="1">_xludf.XLOOKUP(A348,'QA Log'!D:D,'QA Log'!G:G,"")</f>
        <v>#NAME?</v>
      </c>
      <c r="F348" s="103"/>
      <c r="G348" s="104"/>
      <c r="H348" s="104"/>
      <c r="I348" s="103" t="str">
        <f t="shared" si="15"/>
        <v/>
      </c>
      <c r="J348" s="102"/>
      <c r="K348" s="102"/>
      <c r="L348" s="119" t="str">
        <f t="array" ref="L348">IF(OR($B348="",$D348=""),"",
IFERROR(
  INDEX(
    'Tools &amp; Targets_Guideline'!$C$54:$I$269,
    MATCH(
      1,
      ('Tools &amp; Targets_Guideline'!$A$54:$A$269=$B348)*
      ('Tools &amp; Targets_Guideline'!$B$54:$B$269="ANC"),
      0
    ),
    MATCH(
      _xludf.IFNA(
        VLOOKUP($D348,{"PH","Provincial Hospital (H2)";"DH","District Hospital (H3)";"RH","Regional / National Hospital (H1)"},2,0),
        $D348
      ),
      'Tools &amp; Targets_Guideline'!$C$53:$I$53,
      0
    )
  ),
0))</f>
        <v/>
      </c>
      <c r="M348" s="105"/>
      <c r="N348" s="119" t="str">
        <f t="array" ref="N348">IF(OR($B348="",$D348=""),"",
IFERROR(
  INDEX(
    'Tools &amp; Targets_Guideline'!$C$54:$I$269,
    MATCH(
      1,
      ('Tools &amp; Targets_Guideline'!$A$54:$A$269=$B348)*
      ('Tools &amp; Targets_Guideline'!$B$54:$B$269="PNC"),
      0
    ),
    MATCH(
      _xludf.IFNA(
        VLOOKUP($D348,{"PH","Provincial Hospital (H2)";"DH","District Hospital (H3)";"RH","Regional / National Hospital (H1)"},2,0),
        $D348
      ),
      'Tools &amp; Targets_Guideline'!$C$53:$I$53,
      0
    )
  ),
0))</f>
        <v/>
      </c>
      <c r="O348" s="105"/>
      <c r="P348" s="119" t="str">
        <f t="array" ref="P348">IF(OR($B348="",$D348=""),"",
IFERROR(
  INDEX(
    'Tools &amp; Targets_Guideline'!$C$54:$I$269,
    MATCH(
      1,
      ('Tools &amp; Targets_Guideline'!$A$54:$A$269=$B348)*
      ('Tools &amp; Targets_Guideline'!$B$54:$B$269="Delivery"),
      0
    ),
    MATCH(
      _xludf.IFNA(
        VLOOKUP($D348,{"PH","Provincial Hospital (H2)";"DH","District Hospital (H3)";"RH","Regional / National Hospital (H1)"},2,0),
        $D348
      ),
      'Tools &amp; Targets_Guideline'!$C$53:$I$53,
      0
    )
  ),
0))</f>
        <v/>
      </c>
      <c r="Q348" s="105"/>
      <c r="R348" s="119" t="str">
        <f t="array" ref="R348">IF(OR($B348="",$D348=""),"",
IFERROR(
  INDEX(
    'Tools &amp; Targets_Guideline'!$C$54:$I$269,
    MATCH(
      1,
      ('Tools &amp; Targets_Guideline'!$A$54:$A$269=$B348)*
      ('Tools &amp; Targets_Guideline'!$B$54:$B$269="TT"),
      0
    ),
    MATCH(
      _xludf.IFNA(
        VLOOKUP($D348,{"PH","Provincial Hospital (H2)";"DH","District Hospital (H3)";"RH","Regional / National Hospital (H1)"},2,0),
        $D348
      ),
      'Tools &amp; Targets_Guideline'!$C$53:$I$53,
      0
    )
  ),
0))</f>
        <v/>
      </c>
      <c r="S348" s="105"/>
      <c r="T348" s="102"/>
      <c r="U348" s="106"/>
      <c r="V348" s="102" t="str">
        <f t="shared" si="16"/>
        <v/>
      </c>
      <c r="W348" s="102"/>
      <c r="X348" s="102"/>
      <c r="Y348" s="119" t="str">
        <f t="array" ref="Y348">IF(OR($B348="",$D348=""),"",
IFERROR(
  INDEX(
    'Tools &amp; Targets_Guideline'!$C$54:$I$269,
    MATCH(
      1,
      ('Tools &amp; Targets_Guideline'!$A$54:$A$269=$B348)*
      ('Tools &amp; Targets_Guideline'!$B$54:$B$269="GM"),
      0
    ),
    MATCH(
      _xludf.IFNA(
        VLOOKUP($D348,{"PH","Provincial Hospital (H2)";"DH","District Hospital (H3)";"RH","Regional / National Hospital (H1)"},2,0),
        $D348
      ),
      'Tools &amp; Targets_Guideline'!$C$53:$I$53,
      0
    )
  ),
0))</f>
        <v/>
      </c>
      <c r="Z348" s="105"/>
      <c r="AA348" s="119" t="str">
        <f t="array" ref="AA348">IF(OR($B348="",$D348=""),"",
IFERROR(
  INDEX(
    'Tools &amp; Targets_Guideline'!$C$54:$I$269,
    MATCH(
      1,
      ('Tools &amp; Targets_Guideline'!$A$54:$A$269=$B348)*
      ('Tools &amp; Targets_Guideline'!$B$54:$B$269="Penta"),
      0
    ),
    MATCH(
      _xludf.IFNA(
        VLOOKUP($D348,{"PH","Provincial Hospital (H2)";"DH","District Hospital (H3)";"RH","Regional / National Hospital (H1)"},2,0),
        $D348
      ),
      'Tools &amp; Targets_Guideline'!$C$53:$I$53,
      0
    )
  ),
0))</f>
        <v/>
      </c>
      <c r="AB348" s="105"/>
      <c r="AC348" s="119" t="str">
        <f t="array" ref="AC348">IF(OR($B348="",$D348=""),"",
IFERROR(
  INDEX(
    'Tools &amp; Targets_Guideline'!$C$54:$I$269,
    MATCH(
      1,
      ('Tools &amp; Targets_Guideline'!$A$54:$A$269=$B348)*
      ('Tools &amp; Targets_Guideline'!$B$54:$B$269="TB"),
      0
    ),
    MATCH(
      _xludf.IFNA(
        VLOOKUP($D348,{"PH","Provincial Hospital (H2)";"DH","District Hospital (H3)";"RH","Regional / National Hospital (H1)"},2,0),
        $D348
      ),
      'Tools &amp; Targets_Guideline'!$C$53:$I$53,
      0
    )
  ),
0))</f>
        <v/>
      </c>
      <c r="AD348" s="105"/>
      <c r="AE348" s="119" t="str">
        <f t="array" ref="AE348">IF(OR($B348="",$D348=""),"",
IFERROR(
  INDEX(
    'Tools &amp; Targets_Guideline'!$C$54:$I$269,
    MATCH(
      1,
      ('Tools &amp; Targets_Guideline'!$A$54:$A$269=$B348)*
      ('Tools &amp; Targets_Guideline'!$B$54:$B$269="U5 Morbidity"),
      0
    ),
    MATCH(
      _xludf.IFNA(
        VLOOKUP($D348,{"PH","Provincial Hospital (H2)";"DH","District Hospital (H3)";"RH","Regional / National Hospital (H1)"},2,0),
        $D348
      ),
      'Tools &amp; Targets_Guideline'!$C$53:$I$53,
      0
    )
  ),
0))</f>
        <v/>
      </c>
      <c r="AF348" s="105"/>
      <c r="AG348" s="119" t="str">
        <f t="array" ref="AG348">IF(OR($B348="",$D348=""),"",
IFERROR(
  INDEX(
    'Tools &amp; Targets_Guideline'!$C$54:$I$269,
    MATCH(
      1,
      ('Tools &amp; Targets_Guideline'!$A$54:$A$269=$B348)*
      ('Tools &amp; Targets_Guideline'!$B$54:$B$269="C-Section"),
      0
    ),
    MATCH(
      _xludf.IFNA(
        VLOOKUP($D348,{"PH","Provincial Hospital (H2)";"DH","District Hospital (H3)";"RH","Regional / National Hospital (H1)"},2,0),
        $D348
      ),
      'Tools &amp; Targets_Guideline'!$C$53:$I$53,
      0
    )
  ),
0))</f>
        <v/>
      </c>
      <c r="AH348" s="105" t="str">
        <f>IF(A348&lt;&gt;"",COUNTIFS('QA Log'!D:D,A348,'QA Log'!M:M,"QQC",'QA Log'!L:L,"2. Hygiene and Sterilization",'QA Log'!Z:Z,"Approved"),"")</f>
        <v/>
      </c>
      <c r="AI348" s="102"/>
      <c r="AJ348" s="102"/>
      <c r="AK348" s="103" t="str">
        <f t="shared" si="17"/>
        <v/>
      </c>
      <c r="AL348" s="102"/>
      <c r="AM348" s="102"/>
      <c r="AN348" s="102"/>
      <c r="AO348" s="106"/>
      <c r="AP348" s="103"/>
      <c r="AQ348" s="102"/>
      <c r="AR348" s="102"/>
      <c r="AS348" s="102"/>
      <c r="AT348" s="107"/>
      <c r="AU348" s="102" t="str">
        <f t="shared" si="18"/>
        <v/>
      </c>
      <c r="AV348" s="102" t="str">
        <f t="shared" si="19"/>
        <v/>
      </c>
      <c r="AW348" s="102" t="str">
        <f t="shared" si="20"/>
        <v/>
      </c>
      <c r="AX348" s="102" t="str">
        <f t="shared" si="21"/>
        <v/>
      </c>
      <c r="AY348" s="107" t="str">
        <f t="shared" si="22"/>
        <v/>
      </c>
      <c r="AZ348" s="108" t="str">
        <f t="shared" si="23"/>
        <v/>
      </c>
      <c r="BA348" s="108" t="str">
        <f t="shared" si="24"/>
        <v/>
      </c>
      <c r="BB348" s="109" t="str">
        <f t="shared" si="25"/>
        <v/>
      </c>
      <c r="BC348" s="108" t="str">
        <f t="shared" si="26"/>
        <v/>
      </c>
      <c r="BD348" s="108" t="str">
        <f t="shared" si="27"/>
        <v/>
      </c>
      <c r="BE348" s="109" t="str">
        <f t="shared" si="28"/>
        <v/>
      </c>
      <c r="BF348" s="110" t="str">
        <f t="shared" si="29"/>
        <v/>
      </c>
      <c r="BG348" s="111"/>
    </row>
    <row r="349" spans="1:59" ht="12.75">
      <c r="A349" s="101"/>
      <c r="B349" s="102"/>
      <c r="C349" s="102" t="e">
        <f t="array" aca="1" ref="C349" ca="1">_xludf.XLOOKUP(A349,'QA Log'!D:D,'QA Log'!F:F,"")</f>
        <v>#NAME?</v>
      </c>
      <c r="D349" s="102"/>
      <c r="E349" s="102" t="e">
        <f t="array" aca="1" ref="E349" ca="1">_xludf.XLOOKUP(A349,'QA Log'!D:D,'QA Log'!G:G,"")</f>
        <v>#NAME?</v>
      </c>
      <c r="F349" s="103"/>
      <c r="G349" s="104"/>
      <c r="H349" s="104"/>
      <c r="I349" s="103" t="str">
        <f t="shared" si="15"/>
        <v/>
      </c>
      <c r="J349" s="102"/>
      <c r="K349" s="102"/>
      <c r="L349" s="119" t="str">
        <f t="array" ref="L349">IF(OR($B349="",$D349=""),"",
IFERROR(
  INDEX(
    'Tools &amp; Targets_Guideline'!$C$54:$I$269,
    MATCH(
      1,
      ('Tools &amp; Targets_Guideline'!$A$54:$A$269=$B349)*
      ('Tools &amp; Targets_Guideline'!$B$54:$B$269="ANC"),
      0
    ),
    MATCH(
      _xludf.IFNA(
        VLOOKUP($D349,{"PH","Provincial Hospital (H2)";"DH","District Hospital (H3)";"RH","Regional / National Hospital (H1)"},2,0),
        $D349
      ),
      'Tools &amp; Targets_Guideline'!$C$53:$I$53,
      0
    )
  ),
0))</f>
        <v/>
      </c>
      <c r="M349" s="105"/>
      <c r="N349" s="119" t="str">
        <f t="array" ref="N349">IF(OR($B349="",$D349=""),"",
IFERROR(
  INDEX(
    'Tools &amp; Targets_Guideline'!$C$54:$I$269,
    MATCH(
      1,
      ('Tools &amp; Targets_Guideline'!$A$54:$A$269=$B349)*
      ('Tools &amp; Targets_Guideline'!$B$54:$B$269="PNC"),
      0
    ),
    MATCH(
      _xludf.IFNA(
        VLOOKUP($D349,{"PH","Provincial Hospital (H2)";"DH","District Hospital (H3)";"RH","Regional / National Hospital (H1)"},2,0),
        $D349
      ),
      'Tools &amp; Targets_Guideline'!$C$53:$I$53,
      0
    )
  ),
0))</f>
        <v/>
      </c>
      <c r="O349" s="105"/>
      <c r="P349" s="119" t="str">
        <f t="array" ref="P349">IF(OR($B349="",$D349=""),"",
IFERROR(
  INDEX(
    'Tools &amp; Targets_Guideline'!$C$54:$I$269,
    MATCH(
      1,
      ('Tools &amp; Targets_Guideline'!$A$54:$A$269=$B349)*
      ('Tools &amp; Targets_Guideline'!$B$54:$B$269="Delivery"),
      0
    ),
    MATCH(
      _xludf.IFNA(
        VLOOKUP($D349,{"PH","Provincial Hospital (H2)";"DH","District Hospital (H3)";"RH","Regional / National Hospital (H1)"},2,0),
        $D349
      ),
      'Tools &amp; Targets_Guideline'!$C$53:$I$53,
      0
    )
  ),
0))</f>
        <v/>
      </c>
      <c r="Q349" s="105"/>
      <c r="R349" s="119" t="str">
        <f t="array" ref="R349">IF(OR($B349="",$D349=""),"",
IFERROR(
  INDEX(
    'Tools &amp; Targets_Guideline'!$C$54:$I$269,
    MATCH(
      1,
      ('Tools &amp; Targets_Guideline'!$A$54:$A$269=$B349)*
      ('Tools &amp; Targets_Guideline'!$B$54:$B$269="TT"),
      0
    ),
    MATCH(
      _xludf.IFNA(
        VLOOKUP($D349,{"PH","Provincial Hospital (H2)";"DH","District Hospital (H3)";"RH","Regional / National Hospital (H1)"},2,0),
        $D349
      ),
      'Tools &amp; Targets_Guideline'!$C$53:$I$53,
      0
    )
  ),
0))</f>
        <v/>
      </c>
      <c r="S349" s="105"/>
      <c r="T349" s="102"/>
      <c r="U349" s="106"/>
      <c r="V349" s="102" t="str">
        <f t="shared" si="16"/>
        <v/>
      </c>
      <c r="W349" s="102"/>
      <c r="X349" s="102"/>
      <c r="Y349" s="119" t="str">
        <f t="array" ref="Y349">IF(OR($B349="",$D349=""),"",
IFERROR(
  INDEX(
    'Tools &amp; Targets_Guideline'!$C$54:$I$269,
    MATCH(
      1,
      ('Tools &amp; Targets_Guideline'!$A$54:$A$269=$B349)*
      ('Tools &amp; Targets_Guideline'!$B$54:$B$269="GM"),
      0
    ),
    MATCH(
      _xludf.IFNA(
        VLOOKUP($D349,{"PH","Provincial Hospital (H2)";"DH","District Hospital (H3)";"RH","Regional / National Hospital (H1)"},2,0),
        $D349
      ),
      'Tools &amp; Targets_Guideline'!$C$53:$I$53,
      0
    )
  ),
0))</f>
        <v/>
      </c>
      <c r="Z349" s="105"/>
      <c r="AA349" s="119" t="str">
        <f t="array" ref="AA349">IF(OR($B349="",$D349=""),"",
IFERROR(
  INDEX(
    'Tools &amp; Targets_Guideline'!$C$54:$I$269,
    MATCH(
      1,
      ('Tools &amp; Targets_Guideline'!$A$54:$A$269=$B349)*
      ('Tools &amp; Targets_Guideline'!$B$54:$B$269="Penta"),
      0
    ),
    MATCH(
      _xludf.IFNA(
        VLOOKUP($D349,{"PH","Provincial Hospital (H2)";"DH","District Hospital (H3)";"RH","Regional / National Hospital (H1)"},2,0),
        $D349
      ),
      'Tools &amp; Targets_Guideline'!$C$53:$I$53,
      0
    )
  ),
0))</f>
        <v/>
      </c>
      <c r="AB349" s="105"/>
      <c r="AC349" s="119" t="str">
        <f t="array" ref="AC349">IF(OR($B349="",$D349=""),"",
IFERROR(
  INDEX(
    'Tools &amp; Targets_Guideline'!$C$54:$I$269,
    MATCH(
      1,
      ('Tools &amp; Targets_Guideline'!$A$54:$A$269=$B349)*
      ('Tools &amp; Targets_Guideline'!$B$54:$B$269="TB"),
      0
    ),
    MATCH(
      _xludf.IFNA(
        VLOOKUP($D349,{"PH","Provincial Hospital (H2)";"DH","District Hospital (H3)";"RH","Regional / National Hospital (H1)"},2,0),
        $D349
      ),
      'Tools &amp; Targets_Guideline'!$C$53:$I$53,
      0
    )
  ),
0))</f>
        <v/>
      </c>
      <c r="AD349" s="105"/>
      <c r="AE349" s="119" t="str">
        <f t="array" ref="AE349">IF(OR($B349="",$D349=""),"",
IFERROR(
  INDEX(
    'Tools &amp; Targets_Guideline'!$C$54:$I$269,
    MATCH(
      1,
      ('Tools &amp; Targets_Guideline'!$A$54:$A$269=$B349)*
      ('Tools &amp; Targets_Guideline'!$B$54:$B$269="U5 Morbidity"),
      0
    ),
    MATCH(
      _xludf.IFNA(
        VLOOKUP($D349,{"PH","Provincial Hospital (H2)";"DH","District Hospital (H3)";"RH","Regional / National Hospital (H1)"},2,0),
        $D349
      ),
      'Tools &amp; Targets_Guideline'!$C$53:$I$53,
      0
    )
  ),
0))</f>
        <v/>
      </c>
      <c r="AF349" s="105"/>
      <c r="AG349" s="119" t="str">
        <f t="array" ref="AG349">IF(OR($B349="",$D349=""),"",
IFERROR(
  INDEX(
    'Tools &amp; Targets_Guideline'!$C$54:$I$269,
    MATCH(
      1,
      ('Tools &amp; Targets_Guideline'!$A$54:$A$269=$B349)*
      ('Tools &amp; Targets_Guideline'!$B$54:$B$269="C-Section"),
      0
    ),
    MATCH(
      _xludf.IFNA(
        VLOOKUP($D349,{"PH","Provincial Hospital (H2)";"DH","District Hospital (H3)";"RH","Regional / National Hospital (H1)"},2,0),
        $D349
      ),
      'Tools &amp; Targets_Guideline'!$C$53:$I$53,
      0
    )
  ),
0))</f>
        <v/>
      </c>
      <c r="AH349" s="105" t="str">
        <f>IF(A349&lt;&gt;"",COUNTIFS('QA Log'!D:D,A349,'QA Log'!M:M,"QQC",'QA Log'!L:L,"2. Hygiene and Sterilization",'QA Log'!Z:Z,"Approved"),"")</f>
        <v/>
      </c>
      <c r="AI349" s="102"/>
      <c r="AJ349" s="102"/>
      <c r="AK349" s="103" t="str">
        <f t="shared" si="17"/>
        <v/>
      </c>
      <c r="AL349" s="102"/>
      <c r="AM349" s="102"/>
      <c r="AN349" s="102"/>
      <c r="AO349" s="106"/>
      <c r="AP349" s="103"/>
      <c r="AQ349" s="102"/>
      <c r="AR349" s="102"/>
      <c r="AS349" s="102"/>
      <c r="AT349" s="107"/>
      <c r="AU349" s="102" t="str">
        <f t="shared" si="18"/>
        <v/>
      </c>
      <c r="AV349" s="102" t="str">
        <f t="shared" si="19"/>
        <v/>
      </c>
      <c r="AW349" s="102" t="str">
        <f t="shared" si="20"/>
        <v/>
      </c>
      <c r="AX349" s="102" t="str">
        <f t="shared" si="21"/>
        <v/>
      </c>
      <c r="AY349" s="107" t="str">
        <f t="shared" si="22"/>
        <v/>
      </c>
      <c r="AZ349" s="108" t="str">
        <f t="shared" si="23"/>
        <v/>
      </c>
      <c r="BA349" s="108" t="str">
        <f t="shared" si="24"/>
        <v/>
      </c>
      <c r="BB349" s="109" t="str">
        <f t="shared" si="25"/>
        <v/>
      </c>
      <c r="BC349" s="108" t="str">
        <f t="shared" si="26"/>
        <v/>
      </c>
      <c r="BD349" s="108" t="str">
        <f t="shared" si="27"/>
        <v/>
      </c>
      <c r="BE349" s="109" t="str">
        <f t="shared" si="28"/>
        <v/>
      </c>
      <c r="BF349" s="110" t="str">
        <f t="shared" si="29"/>
        <v/>
      </c>
      <c r="BG349" s="111"/>
    </row>
    <row r="350" spans="1:59" ht="12.75">
      <c r="A350" s="101"/>
      <c r="B350" s="102"/>
      <c r="C350" s="102" t="e">
        <f t="array" aca="1" ref="C350" ca="1">_xludf.XLOOKUP(A350,'QA Log'!D:D,'QA Log'!F:F,"")</f>
        <v>#NAME?</v>
      </c>
      <c r="D350" s="102"/>
      <c r="E350" s="102" t="e">
        <f t="array" aca="1" ref="E350" ca="1">_xludf.XLOOKUP(A350,'QA Log'!D:D,'QA Log'!G:G,"")</f>
        <v>#NAME?</v>
      </c>
      <c r="F350" s="103"/>
      <c r="G350" s="104"/>
      <c r="H350" s="104"/>
      <c r="I350" s="103" t="str">
        <f t="shared" si="15"/>
        <v/>
      </c>
      <c r="J350" s="102"/>
      <c r="K350" s="102"/>
      <c r="L350" s="119" t="str">
        <f t="array" ref="L350">IF(OR($B350="",$D350=""),"",
IFERROR(
  INDEX(
    'Tools &amp; Targets_Guideline'!$C$54:$I$269,
    MATCH(
      1,
      ('Tools &amp; Targets_Guideline'!$A$54:$A$269=$B350)*
      ('Tools &amp; Targets_Guideline'!$B$54:$B$269="ANC"),
      0
    ),
    MATCH(
      _xludf.IFNA(
        VLOOKUP($D350,{"PH","Provincial Hospital (H2)";"DH","District Hospital (H3)";"RH","Regional / National Hospital (H1)"},2,0),
        $D350
      ),
      'Tools &amp; Targets_Guideline'!$C$53:$I$53,
      0
    )
  ),
0))</f>
        <v/>
      </c>
      <c r="M350" s="105"/>
      <c r="N350" s="119" t="str">
        <f t="array" ref="N350">IF(OR($B350="",$D350=""),"",
IFERROR(
  INDEX(
    'Tools &amp; Targets_Guideline'!$C$54:$I$269,
    MATCH(
      1,
      ('Tools &amp; Targets_Guideline'!$A$54:$A$269=$B350)*
      ('Tools &amp; Targets_Guideline'!$B$54:$B$269="PNC"),
      0
    ),
    MATCH(
      _xludf.IFNA(
        VLOOKUP($D350,{"PH","Provincial Hospital (H2)";"DH","District Hospital (H3)";"RH","Regional / National Hospital (H1)"},2,0),
        $D350
      ),
      'Tools &amp; Targets_Guideline'!$C$53:$I$53,
      0
    )
  ),
0))</f>
        <v/>
      </c>
      <c r="O350" s="105"/>
      <c r="P350" s="119" t="str">
        <f t="array" ref="P350">IF(OR($B350="",$D350=""),"",
IFERROR(
  INDEX(
    'Tools &amp; Targets_Guideline'!$C$54:$I$269,
    MATCH(
      1,
      ('Tools &amp; Targets_Guideline'!$A$54:$A$269=$B350)*
      ('Tools &amp; Targets_Guideline'!$B$54:$B$269="Delivery"),
      0
    ),
    MATCH(
      _xludf.IFNA(
        VLOOKUP($D350,{"PH","Provincial Hospital (H2)";"DH","District Hospital (H3)";"RH","Regional / National Hospital (H1)"},2,0),
        $D350
      ),
      'Tools &amp; Targets_Guideline'!$C$53:$I$53,
      0
    )
  ),
0))</f>
        <v/>
      </c>
      <c r="Q350" s="105"/>
      <c r="R350" s="119" t="str">
        <f t="array" ref="R350">IF(OR($B350="",$D350=""),"",
IFERROR(
  INDEX(
    'Tools &amp; Targets_Guideline'!$C$54:$I$269,
    MATCH(
      1,
      ('Tools &amp; Targets_Guideline'!$A$54:$A$269=$B350)*
      ('Tools &amp; Targets_Guideline'!$B$54:$B$269="TT"),
      0
    ),
    MATCH(
      _xludf.IFNA(
        VLOOKUP($D350,{"PH","Provincial Hospital (H2)";"DH","District Hospital (H3)";"RH","Regional / National Hospital (H1)"},2,0),
        $D350
      ),
      'Tools &amp; Targets_Guideline'!$C$53:$I$53,
      0
    )
  ),
0))</f>
        <v/>
      </c>
      <c r="S350" s="105"/>
      <c r="T350" s="102"/>
      <c r="U350" s="106"/>
      <c r="V350" s="102" t="str">
        <f t="shared" si="16"/>
        <v/>
      </c>
      <c r="W350" s="102"/>
      <c r="X350" s="102"/>
      <c r="Y350" s="119" t="str">
        <f t="array" ref="Y350">IF(OR($B350="",$D350=""),"",
IFERROR(
  INDEX(
    'Tools &amp; Targets_Guideline'!$C$54:$I$269,
    MATCH(
      1,
      ('Tools &amp; Targets_Guideline'!$A$54:$A$269=$B350)*
      ('Tools &amp; Targets_Guideline'!$B$54:$B$269="GM"),
      0
    ),
    MATCH(
      _xludf.IFNA(
        VLOOKUP($D350,{"PH","Provincial Hospital (H2)";"DH","District Hospital (H3)";"RH","Regional / National Hospital (H1)"},2,0),
        $D350
      ),
      'Tools &amp; Targets_Guideline'!$C$53:$I$53,
      0
    )
  ),
0))</f>
        <v/>
      </c>
      <c r="Z350" s="105"/>
      <c r="AA350" s="119" t="str">
        <f t="array" ref="AA350">IF(OR($B350="",$D350=""),"",
IFERROR(
  INDEX(
    'Tools &amp; Targets_Guideline'!$C$54:$I$269,
    MATCH(
      1,
      ('Tools &amp; Targets_Guideline'!$A$54:$A$269=$B350)*
      ('Tools &amp; Targets_Guideline'!$B$54:$B$269="Penta"),
      0
    ),
    MATCH(
      _xludf.IFNA(
        VLOOKUP($D350,{"PH","Provincial Hospital (H2)";"DH","District Hospital (H3)";"RH","Regional / National Hospital (H1)"},2,0),
        $D350
      ),
      'Tools &amp; Targets_Guideline'!$C$53:$I$53,
      0
    )
  ),
0))</f>
        <v/>
      </c>
      <c r="AB350" s="105"/>
      <c r="AC350" s="119" t="str">
        <f t="array" ref="AC350">IF(OR($B350="",$D350=""),"",
IFERROR(
  INDEX(
    'Tools &amp; Targets_Guideline'!$C$54:$I$269,
    MATCH(
      1,
      ('Tools &amp; Targets_Guideline'!$A$54:$A$269=$B350)*
      ('Tools &amp; Targets_Guideline'!$B$54:$B$269="TB"),
      0
    ),
    MATCH(
      _xludf.IFNA(
        VLOOKUP($D350,{"PH","Provincial Hospital (H2)";"DH","District Hospital (H3)";"RH","Regional / National Hospital (H1)"},2,0),
        $D350
      ),
      'Tools &amp; Targets_Guideline'!$C$53:$I$53,
      0
    )
  ),
0))</f>
        <v/>
      </c>
      <c r="AD350" s="105"/>
      <c r="AE350" s="119" t="str">
        <f t="array" ref="AE350">IF(OR($B350="",$D350=""),"",
IFERROR(
  INDEX(
    'Tools &amp; Targets_Guideline'!$C$54:$I$269,
    MATCH(
      1,
      ('Tools &amp; Targets_Guideline'!$A$54:$A$269=$B350)*
      ('Tools &amp; Targets_Guideline'!$B$54:$B$269="U5 Morbidity"),
      0
    ),
    MATCH(
      _xludf.IFNA(
        VLOOKUP($D350,{"PH","Provincial Hospital (H2)";"DH","District Hospital (H3)";"RH","Regional / National Hospital (H1)"},2,0),
        $D350
      ),
      'Tools &amp; Targets_Guideline'!$C$53:$I$53,
      0
    )
  ),
0))</f>
        <v/>
      </c>
      <c r="AF350" s="105"/>
      <c r="AG350" s="119" t="str">
        <f t="array" ref="AG350">IF(OR($B350="",$D350=""),"",
IFERROR(
  INDEX(
    'Tools &amp; Targets_Guideline'!$C$54:$I$269,
    MATCH(
      1,
      ('Tools &amp; Targets_Guideline'!$A$54:$A$269=$B350)*
      ('Tools &amp; Targets_Guideline'!$B$54:$B$269="C-Section"),
      0
    ),
    MATCH(
      _xludf.IFNA(
        VLOOKUP($D350,{"PH","Provincial Hospital (H2)";"DH","District Hospital (H3)";"RH","Regional / National Hospital (H1)"},2,0),
        $D350
      ),
      'Tools &amp; Targets_Guideline'!$C$53:$I$53,
      0
    )
  ),
0))</f>
        <v/>
      </c>
      <c r="AH350" s="105" t="str">
        <f>IF(A350&lt;&gt;"",COUNTIFS('QA Log'!D:D,A350,'QA Log'!M:M,"QQC",'QA Log'!L:L,"2. Hygiene and Sterilization",'QA Log'!Z:Z,"Approved"),"")</f>
        <v/>
      </c>
      <c r="AI350" s="102"/>
      <c r="AJ350" s="102"/>
      <c r="AK350" s="103" t="str">
        <f t="shared" si="17"/>
        <v/>
      </c>
      <c r="AL350" s="102"/>
      <c r="AM350" s="102"/>
      <c r="AN350" s="102"/>
      <c r="AO350" s="106"/>
      <c r="AP350" s="103"/>
      <c r="AQ350" s="102"/>
      <c r="AR350" s="102"/>
      <c r="AS350" s="102"/>
      <c r="AT350" s="107"/>
      <c r="AU350" s="102" t="str">
        <f t="shared" si="18"/>
        <v/>
      </c>
      <c r="AV350" s="102" t="str">
        <f t="shared" si="19"/>
        <v/>
      </c>
      <c r="AW350" s="102" t="str">
        <f t="shared" si="20"/>
        <v/>
      </c>
      <c r="AX350" s="102" t="str">
        <f t="shared" si="21"/>
        <v/>
      </c>
      <c r="AY350" s="107" t="str">
        <f t="shared" si="22"/>
        <v/>
      </c>
      <c r="AZ350" s="108" t="str">
        <f t="shared" si="23"/>
        <v/>
      </c>
      <c r="BA350" s="108" t="str">
        <f t="shared" si="24"/>
        <v/>
      </c>
      <c r="BB350" s="109" t="str">
        <f t="shared" si="25"/>
        <v/>
      </c>
      <c r="BC350" s="108" t="str">
        <f t="shared" si="26"/>
        <v/>
      </c>
      <c r="BD350" s="108" t="str">
        <f t="shared" si="27"/>
        <v/>
      </c>
      <c r="BE350" s="109" t="str">
        <f t="shared" si="28"/>
        <v/>
      </c>
      <c r="BF350" s="110" t="str">
        <f t="shared" si="29"/>
        <v/>
      </c>
      <c r="BG350" s="111"/>
    </row>
    <row r="351" spans="1:59" ht="12.75">
      <c r="A351" s="101"/>
      <c r="B351" s="102"/>
      <c r="C351" s="102" t="e">
        <f t="array" aca="1" ref="C351" ca="1">_xludf.XLOOKUP(A351,'QA Log'!D:D,'QA Log'!F:F,"")</f>
        <v>#NAME?</v>
      </c>
      <c r="D351" s="102"/>
      <c r="E351" s="102" t="e">
        <f t="array" aca="1" ref="E351" ca="1">_xludf.XLOOKUP(A351,'QA Log'!D:D,'QA Log'!G:G,"")</f>
        <v>#NAME?</v>
      </c>
      <c r="F351" s="103"/>
      <c r="G351" s="104"/>
      <c r="H351" s="104"/>
      <c r="I351" s="103" t="str">
        <f t="shared" si="15"/>
        <v/>
      </c>
      <c r="J351" s="102"/>
      <c r="K351" s="102"/>
      <c r="L351" s="119" t="str">
        <f t="array" ref="L351">IF(OR($B351="",$D351=""),"",
IFERROR(
  INDEX(
    'Tools &amp; Targets_Guideline'!$C$54:$I$269,
    MATCH(
      1,
      ('Tools &amp; Targets_Guideline'!$A$54:$A$269=$B351)*
      ('Tools &amp; Targets_Guideline'!$B$54:$B$269="ANC"),
      0
    ),
    MATCH(
      _xludf.IFNA(
        VLOOKUP($D351,{"PH","Provincial Hospital (H2)";"DH","District Hospital (H3)";"RH","Regional / National Hospital (H1)"},2,0),
        $D351
      ),
      'Tools &amp; Targets_Guideline'!$C$53:$I$53,
      0
    )
  ),
0))</f>
        <v/>
      </c>
      <c r="M351" s="105"/>
      <c r="N351" s="119" t="str">
        <f t="array" ref="N351">IF(OR($B351="",$D351=""),"",
IFERROR(
  INDEX(
    'Tools &amp; Targets_Guideline'!$C$54:$I$269,
    MATCH(
      1,
      ('Tools &amp; Targets_Guideline'!$A$54:$A$269=$B351)*
      ('Tools &amp; Targets_Guideline'!$B$54:$B$269="PNC"),
      0
    ),
    MATCH(
      _xludf.IFNA(
        VLOOKUP($D351,{"PH","Provincial Hospital (H2)";"DH","District Hospital (H3)";"RH","Regional / National Hospital (H1)"},2,0),
        $D351
      ),
      'Tools &amp; Targets_Guideline'!$C$53:$I$53,
      0
    )
  ),
0))</f>
        <v/>
      </c>
      <c r="O351" s="105"/>
      <c r="P351" s="119" t="str">
        <f t="array" ref="P351">IF(OR($B351="",$D351=""),"",
IFERROR(
  INDEX(
    'Tools &amp; Targets_Guideline'!$C$54:$I$269,
    MATCH(
      1,
      ('Tools &amp; Targets_Guideline'!$A$54:$A$269=$B351)*
      ('Tools &amp; Targets_Guideline'!$B$54:$B$269="Delivery"),
      0
    ),
    MATCH(
      _xludf.IFNA(
        VLOOKUP($D351,{"PH","Provincial Hospital (H2)";"DH","District Hospital (H3)";"RH","Regional / National Hospital (H1)"},2,0),
        $D351
      ),
      'Tools &amp; Targets_Guideline'!$C$53:$I$53,
      0
    )
  ),
0))</f>
        <v/>
      </c>
      <c r="Q351" s="105"/>
      <c r="R351" s="119" t="str">
        <f t="array" ref="R351">IF(OR($B351="",$D351=""),"",
IFERROR(
  INDEX(
    'Tools &amp; Targets_Guideline'!$C$54:$I$269,
    MATCH(
      1,
      ('Tools &amp; Targets_Guideline'!$A$54:$A$269=$B351)*
      ('Tools &amp; Targets_Guideline'!$B$54:$B$269="TT"),
      0
    ),
    MATCH(
      _xludf.IFNA(
        VLOOKUP($D351,{"PH","Provincial Hospital (H2)";"DH","District Hospital (H3)";"RH","Regional / National Hospital (H1)"},2,0),
        $D351
      ),
      'Tools &amp; Targets_Guideline'!$C$53:$I$53,
      0
    )
  ),
0))</f>
        <v/>
      </c>
      <c r="S351" s="105"/>
      <c r="T351" s="102"/>
      <c r="U351" s="106"/>
      <c r="V351" s="102" t="str">
        <f t="shared" si="16"/>
        <v/>
      </c>
      <c r="W351" s="102"/>
      <c r="X351" s="102"/>
      <c r="Y351" s="119" t="str">
        <f t="array" ref="Y351">IF(OR($B351="",$D351=""),"",
IFERROR(
  INDEX(
    'Tools &amp; Targets_Guideline'!$C$54:$I$269,
    MATCH(
      1,
      ('Tools &amp; Targets_Guideline'!$A$54:$A$269=$B351)*
      ('Tools &amp; Targets_Guideline'!$B$54:$B$269="GM"),
      0
    ),
    MATCH(
      _xludf.IFNA(
        VLOOKUP($D351,{"PH","Provincial Hospital (H2)";"DH","District Hospital (H3)";"RH","Regional / National Hospital (H1)"},2,0),
        $D351
      ),
      'Tools &amp; Targets_Guideline'!$C$53:$I$53,
      0
    )
  ),
0))</f>
        <v/>
      </c>
      <c r="Z351" s="105"/>
      <c r="AA351" s="119" t="str">
        <f t="array" ref="AA351">IF(OR($B351="",$D351=""),"",
IFERROR(
  INDEX(
    'Tools &amp; Targets_Guideline'!$C$54:$I$269,
    MATCH(
      1,
      ('Tools &amp; Targets_Guideline'!$A$54:$A$269=$B351)*
      ('Tools &amp; Targets_Guideline'!$B$54:$B$269="Penta"),
      0
    ),
    MATCH(
      _xludf.IFNA(
        VLOOKUP($D351,{"PH","Provincial Hospital (H2)";"DH","District Hospital (H3)";"RH","Regional / National Hospital (H1)"},2,0),
        $D351
      ),
      'Tools &amp; Targets_Guideline'!$C$53:$I$53,
      0
    )
  ),
0))</f>
        <v/>
      </c>
      <c r="AB351" s="105"/>
      <c r="AC351" s="119" t="str">
        <f t="array" ref="AC351">IF(OR($B351="",$D351=""),"",
IFERROR(
  INDEX(
    'Tools &amp; Targets_Guideline'!$C$54:$I$269,
    MATCH(
      1,
      ('Tools &amp; Targets_Guideline'!$A$54:$A$269=$B351)*
      ('Tools &amp; Targets_Guideline'!$B$54:$B$269="TB"),
      0
    ),
    MATCH(
      _xludf.IFNA(
        VLOOKUP($D351,{"PH","Provincial Hospital (H2)";"DH","District Hospital (H3)";"RH","Regional / National Hospital (H1)"},2,0),
        $D351
      ),
      'Tools &amp; Targets_Guideline'!$C$53:$I$53,
      0
    )
  ),
0))</f>
        <v/>
      </c>
      <c r="AD351" s="105"/>
      <c r="AE351" s="119" t="str">
        <f t="array" ref="AE351">IF(OR($B351="",$D351=""),"",
IFERROR(
  INDEX(
    'Tools &amp; Targets_Guideline'!$C$54:$I$269,
    MATCH(
      1,
      ('Tools &amp; Targets_Guideline'!$A$54:$A$269=$B351)*
      ('Tools &amp; Targets_Guideline'!$B$54:$B$269="U5 Morbidity"),
      0
    ),
    MATCH(
      _xludf.IFNA(
        VLOOKUP($D351,{"PH","Provincial Hospital (H2)";"DH","District Hospital (H3)";"RH","Regional / National Hospital (H1)"},2,0),
        $D351
      ),
      'Tools &amp; Targets_Guideline'!$C$53:$I$53,
      0
    )
  ),
0))</f>
        <v/>
      </c>
      <c r="AF351" s="105"/>
      <c r="AG351" s="119" t="str">
        <f t="array" ref="AG351">IF(OR($B351="",$D351=""),"",
IFERROR(
  INDEX(
    'Tools &amp; Targets_Guideline'!$C$54:$I$269,
    MATCH(
      1,
      ('Tools &amp; Targets_Guideline'!$A$54:$A$269=$B351)*
      ('Tools &amp; Targets_Guideline'!$B$54:$B$269="C-Section"),
      0
    ),
    MATCH(
      _xludf.IFNA(
        VLOOKUP($D351,{"PH","Provincial Hospital (H2)";"DH","District Hospital (H3)";"RH","Regional / National Hospital (H1)"},2,0),
        $D351
      ),
      'Tools &amp; Targets_Guideline'!$C$53:$I$53,
      0
    )
  ),
0))</f>
        <v/>
      </c>
      <c r="AH351" s="105" t="str">
        <f>IF(A351&lt;&gt;"",COUNTIFS('QA Log'!D:D,A351,'QA Log'!M:M,"QQC",'QA Log'!L:L,"2. Hygiene and Sterilization",'QA Log'!Z:Z,"Approved"),"")</f>
        <v/>
      </c>
      <c r="AI351" s="102"/>
      <c r="AJ351" s="102"/>
      <c r="AK351" s="103" t="str">
        <f t="shared" si="17"/>
        <v/>
      </c>
      <c r="AL351" s="102"/>
      <c r="AM351" s="102"/>
      <c r="AN351" s="102"/>
      <c r="AO351" s="106"/>
      <c r="AP351" s="103"/>
      <c r="AQ351" s="102"/>
      <c r="AR351" s="102"/>
      <c r="AS351" s="102"/>
      <c r="AT351" s="107"/>
      <c r="AU351" s="102" t="str">
        <f t="shared" si="18"/>
        <v/>
      </c>
      <c r="AV351" s="102" t="str">
        <f t="shared" si="19"/>
        <v/>
      </c>
      <c r="AW351" s="102" t="str">
        <f t="shared" si="20"/>
        <v/>
      </c>
      <c r="AX351" s="102" t="str">
        <f t="shared" si="21"/>
        <v/>
      </c>
      <c r="AY351" s="107" t="str">
        <f t="shared" si="22"/>
        <v/>
      </c>
      <c r="AZ351" s="108" t="str">
        <f t="shared" si="23"/>
        <v/>
      </c>
      <c r="BA351" s="108" t="str">
        <f t="shared" si="24"/>
        <v/>
      </c>
      <c r="BB351" s="109" t="str">
        <f t="shared" si="25"/>
        <v/>
      </c>
      <c r="BC351" s="108" t="str">
        <f t="shared" si="26"/>
        <v/>
      </c>
      <c r="BD351" s="108" t="str">
        <f t="shared" si="27"/>
        <v/>
      </c>
      <c r="BE351" s="109" t="str">
        <f t="shared" si="28"/>
        <v/>
      </c>
      <c r="BF351" s="110" t="str">
        <f t="shared" si="29"/>
        <v/>
      </c>
      <c r="BG351" s="111"/>
    </row>
    <row r="352" spans="1:59" ht="12.75">
      <c r="A352" s="101"/>
      <c r="B352" s="102"/>
      <c r="C352" s="102" t="e">
        <f t="array" aca="1" ref="C352" ca="1">_xludf.XLOOKUP(A352,'QA Log'!D:D,'QA Log'!F:F,"")</f>
        <v>#NAME?</v>
      </c>
      <c r="D352" s="102"/>
      <c r="E352" s="102" t="e">
        <f t="array" aca="1" ref="E352" ca="1">_xludf.XLOOKUP(A352,'QA Log'!D:D,'QA Log'!G:G,"")</f>
        <v>#NAME?</v>
      </c>
      <c r="F352" s="103"/>
      <c r="G352" s="104"/>
      <c r="H352" s="104"/>
      <c r="I352" s="103" t="str">
        <f t="shared" si="15"/>
        <v/>
      </c>
      <c r="J352" s="102"/>
      <c r="K352" s="102"/>
      <c r="L352" s="119" t="str">
        <f t="array" ref="L352">IF(OR($B352="",$D352=""),"",
IFERROR(
  INDEX(
    'Tools &amp; Targets_Guideline'!$C$54:$I$269,
    MATCH(
      1,
      ('Tools &amp; Targets_Guideline'!$A$54:$A$269=$B352)*
      ('Tools &amp; Targets_Guideline'!$B$54:$B$269="ANC"),
      0
    ),
    MATCH(
      _xludf.IFNA(
        VLOOKUP($D352,{"PH","Provincial Hospital (H2)";"DH","District Hospital (H3)";"RH","Regional / National Hospital (H1)"},2,0),
        $D352
      ),
      'Tools &amp; Targets_Guideline'!$C$53:$I$53,
      0
    )
  ),
0))</f>
        <v/>
      </c>
      <c r="M352" s="105"/>
      <c r="N352" s="119" t="str">
        <f t="array" ref="N352">IF(OR($B352="",$D352=""),"",
IFERROR(
  INDEX(
    'Tools &amp; Targets_Guideline'!$C$54:$I$269,
    MATCH(
      1,
      ('Tools &amp; Targets_Guideline'!$A$54:$A$269=$B352)*
      ('Tools &amp; Targets_Guideline'!$B$54:$B$269="PNC"),
      0
    ),
    MATCH(
      _xludf.IFNA(
        VLOOKUP($D352,{"PH","Provincial Hospital (H2)";"DH","District Hospital (H3)";"RH","Regional / National Hospital (H1)"},2,0),
        $D352
      ),
      'Tools &amp; Targets_Guideline'!$C$53:$I$53,
      0
    )
  ),
0))</f>
        <v/>
      </c>
      <c r="O352" s="105"/>
      <c r="P352" s="119" t="str">
        <f t="array" ref="P352">IF(OR($B352="",$D352=""),"",
IFERROR(
  INDEX(
    'Tools &amp; Targets_Guideline'!$C$54:$I$269,
    MATCH(
      1,
      ('Tools &amp; Targets_Guideline'!$A$54:$A$269=$B352)*
      ('Tools &amp; Targets_Guideline'!$B$54:$B$269="Delivery"),
      0
    ),
    MATCH(
      _xludf.IFNA(
        VLOOKUP($D352,{"PH","Provincial Hospital (H2)";"DH","District Hospital (H3)";"RH","Regional / National Hospital (H1)"},2,0),
        $D352
      ),
      'Tools &amp; Targets_Guideline'!$C$53:$I$53,
      0
    )
  ),
0))</f>
        <v/>
      </c>
      <c r="Q352" s="105"/>
      <c r="R352" s="119" t="str">
        <f t="array" ref="R352">IF(OR($B352="",$D352=""),"",
IFERROR(
  INDEX(
    'Tools &amp; Targets_Guideline'!$C$54:$I$269,
    MATCH(
      1,
      ('Tools &amp; Targets_Guideline'!$A$54:$A$269=$B352)*
      ('Tools &amp; Targets_Guideline'!$B$54:$B$269="TT"),
      0
    ),
    MATCH(
      _xludf.IFNA(
        VLOOKUP($D352,{"PH","Provincial Hospital (H2)";"DH","District Hospital (H3)";"RH","Regional / National Hospital (H1)"},2,0),
        $D352
      ),
      'Tools &amp; Targets_Guideline'!$C$53:$I$53,
      0
    )
  ),
0))</f>
        <v/>
      </c>
      <c r="S352" s="105"/>
      <c r="T352" s="102"/>
      <c r="U352" s="106"/>
      <c r="V352" s="102" t="str">
        <f t="shared" si="16"/>
        <v/>
      </c>
      <c r="W352" s="102"/>
      <c r="X352" s="102"/>
      <c r="Y352" s="119" t="str">
        <f t="array" ref="Y352">IF(OR($B352="",$D352=""),"",
IFERROR(
  INDEX(
    'Tools &amp; Targets_Guideline'!$C$54:$I$269,
    MATCH(
      1,
      ('Tools &amp; Targets_Guideline'!$A$54:$A$269=$B352)*
      ('Tools &amp; Targets_Guideline'!$B$54:$B$269="GM"),
      0
    ),
    MATCH(
      _xludf.IFNA(
        VLOOKUP($D352,{"PH","Provincial Hospital (H2)";"DH","District Hospital (H3)";"RH","Regional / National Hospital (H1)"},2,0),
        $D352
      ),
      'Tools &amp; Targets_Guideline'!$C$53:$I$53,
      0
    )
  ),
0))</f>
        <v/>
      </c>
      <c r="Z352" s="105"/>
      <c r="AA352" s="119" t="str">
        <f t="array" ref="AA352">IF(OR($B352="",$D352=""),"",
IFERROR(
  INDEX(
    'Tools &amp; Targets_Guideline'!$C$54:$I$269,
    MATCH(
      1,
      ('Tools &amp; Targets_Guideline'!$A$54:$A$269=$B352)*
      ('Tools &amp; Targets_Guideline'!$B$54:$B$269="Penta"),
      0
    ),
    MATCH(
      _xludf.IFNA(
        VLOOKUP($D352,{"PH","Provincial Hospital (H2)";"DH","District Hospital (H3)";"RH","Regional / National Hospital (H1)"},2,0),
        $D352
      ),
      'Tools &amp; Targets_Guideline'!$C$53:$I$53,
      0
    )
  ),
0))</f>
        <v/>
      </c>
      <c r="AB352" s="105"/>
      <c r="AC352" s="119" t="str">
        <f t="array" ref="AC352">IF(OR($B352="",$D352=""),"",
IFERROR(
  INDEX(
    'Tools &amp; Targets_Guideline'!$C$54:$I$269,
    MATCH(
      1,
      ('Tools &amp; Targets_Guideline'!$A$54:$A$269=$B352)*
      ('Tools &amp; Targets_Guideline'!$B$54:$B$269="TB"),
      0
    ),
    MATCH(
      _xludf.IFNA(
        VLOOKUP($D352,{"PH","Provincial Hospital (H2)";"DH","District Hospital (H3)";"RH","Regional / National Hospital (H1)"},2,0),
        $D352
      ),
      'Tools &amp; Targets_Guideline'!$C$53:$I$53,
      0
    )
  ),
0))</f>
        <v/>
      </c>
      <c r="AD352" s="105"/>
      <c r="AE352" s="119" t="str">
        <f t="array" ref="AE352">IF(OR($B352="",$D352=""),"",
IFERROR(
  INDEX(
    'Tools &amp; Targets_Guideline'!$C$54:$I$269,
    MATCH(
      1,
      ('Tools &amp; Targets_Guideline'!$A$54:$A$269=$B352)*
      ('Tools &amp; Targets_Guideline'!$B$54:$B$269="U5 Morbidity"),
      0
    ),
    MATCH(
      _xludf.IFNA(
        VLOOKUP($D352,{"PH","Provincial Hospital (H2)";"DH","District Hospital (H3)";"RH","Regional / National Hospital (H1)"},2,0),
        $D352
      ),
      'Tools &amp; Targets_Guideline'!$C$53:$I$53,
      0
    )
  ),
0))</f>
        <v/>
      </c>
      <c r="AF352" s="105"/>
      <c r="AG352" s="119" t="str">
        <f t="array" ref="AG352">IF(OR($B352="",$D352=""),"",
IFERROR(
  INDEX(
    'Tools &amp; Targets_Guideline'!$C$54:$I$269,
    MATCH(
      1,
      ('Tools &amp; Targets_Guideline'!$A$54:$A$269=$B352)*
      ('Tools &amp; Targets_Guideline'!$B$54:$B$269="C-Section"),
      0
    ),
    MATCH(
      _xludf.IFNA(
        VLOOKUP($D352,{"PH","Provincial Hospital (H2)";"DH","District Hospital (H3)";"RH","Regional / National Hospital (H1)"},2,0),
        $D352
      ),
      'Tools &amp; Targets_Guideline'!$C$53:$I$53,
      0
    )
  ),
0))</f>
        <v/>
      </c>
      <c r="AH352" s="105" t="str">
        <f>IF(A352&lt;&gt;"",COUNTIFS('QA Log'!D:D,A352,'QA Log'!M:M,"QQC",'QA Log'!L:L,"2. Hygiene and Sterilization",'QA Log'!Z:Z,"Approved"),"")</f>
        <v/>
      </c>
      <c r="AI352" s="102"/>
      <c r="AJ352" s="102"/>
      <c r="AK352" s="103" t="str">
        <f t="shared" si="17"/>
        <v/>
      </c>
      <c r="AL352" s="102"/>
      <c r="AM352" s="102"/>
      <c r="AN352" s="102"/>
      <c r="AO352" s="106"/>
      <c r="AP352" s="103"/>
      <c r="AQ352" s="102"/>
      <c r="AR352" s="102"/>
      <c r="AS352" s="102"/>
      <c r="AT352" s="107"/>
      <c r="AU352" s="102" t="str">
        <f t="shared" si="18"/>
        <v/>
      </c>
      <c r="AV352" s="102" t="str">
        <f t="shared" si="19"/>
        <v/>
      </c>
      <c r="AW352" s="102" t="str">
        <f t="shared" si="20"/>
        <v/>
      </c>
      <c r="AX352" s="102" t="str">
        <f t="shared" si="21"/>
        <v/>
      </c>
      <c r="AY352" s="107" t="str">
        <f t="shared" si="22"/>
        <v/>
      </c>
      <c r="AZ352" s="108" t="str">
        <f t="shared" si="23"/>
        <v/>
      </c>
      <c r="BA352" s="108" t="str">
        <f t="shared" si="24"/>
        <v/>
      </c>
      <c r="BB352" s="109" t="str">
        <f t="shared" si="25"/>
        <v/>
      </c>
      <c r="BC352" s="108" t="str">
        <f t="shared" si="26"/>
        <v/>
      </c>
      <c r="BD352" s="108" t="str">
        <f t="shared" si="27"/>
        <v/>
      </c>
      <c r="BE352" s="109" t="str">
        <f t="shared" si="28"/>
        <v/>
      </c>
      <c r="BF352" s="110" t="str">
        <f t="shared" si="29"/>
        <v/>
      </c>
      <c r="BG352" s="111"/>
    </row>
    <row r="353" spans="1:59" ht="12.75">
      <c r="A353" s="101"/>
      <c r="B353" s="102"/>
      <c r="C353" s="102" t="e">
        <f t="array" aca="1" ref="C353" ca="1">_xludf.XLOOKUP(A353,'QA Log'!D:D,'QA Log'!F:F,"")</f>
        <v>#NAME?</v>
      </c>
      <c r="D353" s="102"/>
      <c r="E353" s="102" t="e">
        <f t="array" aca="1" ref="E353" ca="1">_xludf.XLOOKUP(A353,'QA Log'!D:D,'QA Log'!G:G,"")</f>
        <v>#NAME?</v>
      </c>
      <c r="F353" s="103"/>
      <c r="G353" s="104"/>
      <c r="H353" s="104"/>
      <c r="I353" s="103" t="str">
        <f t="shared" si="15"/>
        <v/>
      </c>
      <c r="J353" s="102"/>
      <c r="K353" s="102"/>
      <c r="L353" s="119" t="str">
        <f t="array" ref="L353">IF(OR($B353="",$D353=""),"",
IFERROR(
  INDEX(
    'Tools &amp; Targets_Guideline'!$C$54:$I$269,
    MATCH(
      1,
      ('Tools &amp; Targets_Guideline'!$A$54:$A$269=$B353)*
      ('Tools &amp; Targets_Guideline'!$B$54:$B$269="ANC"),
      0
    ),
    MATCH(
      _xludf.IFNA(
        VLOOKUP($D353,{"PH","Provincial Hospital (H2)";"DH","District Hospital (H3)";"RH","Regional / National Hospital (H1)"},2,0),
        $D353
      ),
      'Tools &amp; Targets_Guideline'!$C$53:$I$53,
      0
    )
  ),
0))</f>
        <v/>
      </c>
      <c r="M353" s="105"/>
      <c r="N353" s="119" t="str">
        <f t="array" ref="N353">IF(OR($B353="",$D353=""),"",
IFERROR(
  INDEX(
    'Tools &amp; Targets_Guideline'!$C$54:$I$269,
    MATCH(
      1,
      ('Tools &amp; Targets_Guideline'!$A$54:$A$269=$B353)*
      ('Tools &amp; Targets_Guideline'!$B$54:$B$269="PNC"),
      0
    ),
    MATCH(
      _xludf.IFNA(
        VLOOKUP($D353,{"PH","Provincial Hospital (H2)";"DH","District Hospital (H3)";"RH","Regional / National Hospital (H1)"},2,0),
        $D353
      ),
      'Tools &amp; Targets_Guideline'!$C$53:$I$53,
      0
    )
  ),
0))</f>
        <v/>
      </c>
      <c r="O353" s="105"/>
      <c r="P353" s="119" t="str">
        <f t="array" ref="P353">IF(OR($B353="",$D353=""),"",
IFERROR(
  INDEX(
    'Tools &amp; Targets_Guideline'!$C$54:$I$269,
    MATCH(
      1,
      ('Tools &amp; Targets_Guideline'!$A$54:$A$269=$B353)*
      ('Tools &amp; Targets_Guideline'!$B$54:$B$269="Delivery"),
      0
    ),
    MATCH(
      _xludf.IFNA(
        VLOOKUP($D353,{"PH","Provincial Hospital (H2)";"DH","District Hospital (H3)";"RH","Regional / National Hospital (H1)"},2,0),
        $D353
      ),
      'Tools &amp; Targets_Guideline'!$C$53:$I$53,
      0
    )
  ),
0))</f>
        <v/>
      </c>
      <c r="Q353" s="105"/>
      <c r="R353" s="119" t="str">
        <f t="array" ref="R353">IF(OR($B353="",$D353=""),"",
IFERROR(
  INDEX(
    'Tools &amp; Targets_Guideline'!$C$54:$I$269,
    MATCH(
      1,
      ('Tools &amp; Targets_Guideline'!$A$54:$A$269=$B353)*
      ('Tools &amp; Targets_Guideline'!$B$54:$B$269="TT"),
      0
    ),
    MATCH(
      _xludf.IFNA(
        VLOOKUP($D353,{"PH","Provincial Hospital (H2)";"DH","District Hospital (H3)";"RH","Regional / National Hospital (H1)"},2,0),
        $D353
      ),
      'Tools &amp; Targets_Guideline'!$C$53:$I$53,
      0
    )
  ),
0))</f>
        <v/>
      </c>
      <c r="S353" s="105"/>
      <c r="T353" s="102"/>
      <c r="U353" s="106"/>
      <c r="V353" s="102" t="str">
        <f t="shared" si="16"/>
        <v/>
      </c>
      <c r="W353" s="102"/>
      <c r="X353" s="102"/>
      <c r="Y353" s="119" t="str">
        <f t="array" ref="Y353">IF(OR($B353="",$D353=""),"",
IFERROR(
  INDEX(
    'Tools &amp; Targets_Guideline'!$C$54:$I$269,
    MATCH(
      1,
      ('Tools &amp; Targets_Guideline'!$A$54:$A$269=$B353)*
      ('Tools &amp; Targets_Guideline'!$B$54:$B$269="GM"),
      0
    ),
    MATCH(
      _xludf.IFNA(
        VLOOKUP($D353,{"PH","Provincial Hospital (H2)";"DH","District Hospital (H3)";"RH","Regional / National Hospital (H1)"},2,0),
        $D353
      ),
      'Tools &amp; Targets_Guideline'!$C$53:$I$53,
      0
    )
  ),
0))</f>
        <v/>
      </c>
      <c r="Z353" s="105"/>
      <c r="AA353" s="119" t="str">
        <f t="array" ref="AA353">IF(OR($B353="",$D353=""),"",
IFERROR(
  INDEX(
    'Tools &amp; Targets_Guideline'!$C$54:$I$269,
    MATCH(
      1,
      ('Tools &amp; Targets_Guideline'!$A$54:$A$269=$B353)*
      ('Tools &amp; Targets_Guideline'!$B$54:$B$269="Penta"),
      0
    ),
    MATCH(
      _xludf.IFNA(
        VLOOKUP($D353,{"PH","Provincial Hospital (H2)";"DH","District Hospital (H3)";"RH","Regional / National Hospital (H1)"},2,0),
        $D353
      ),
      'Tools &amp; Targets_Guideline'!$C$53:$I$53,
      0
    )
  ),
0))</f>
        <v/>
      </c>
      <c r="AB353" s="105"/>
      <c r="AC353" s="119" t="str">
        <f t="array" ref="AC353">IF(OR($B353="",$D353=""),"",
IFERROR(
  INDEX(
    'Tools &amp; Targets_Guideline'!$C$54:$I$269,
    MATCH(
      1,
      ('Tools &amp; Targets_Guideline'!$A$54:$A$269=$B353)*
      ('Tools &amp; Targets_Guideline'!$B$54:$B$269="TB"),
      0
    ),
    MATCH(
      _xludf.IFNA(
        VLOOKUP($D353,{"PH","Provincial Hospital (H2)";"DH","District Hospital (H3)";"RH","Regional / National Hospital (H1)"},2,0),
        $D353
      ),
      'Tools &amp; Targets_Guideline'!$C$53:$I$53,
      0
    )
  ),
0))</f>
        <v/>
      </c>
      <c r="AD353" s="105"/>
      <c r="AE353" s="119" t="str">
        <f t="array" ref="AE353">IF(OR($B353="",$D353=""),"",
IFERROR(
  INDEX(
    'Tools &amp; Targets_Guideline'!$C$54:$I$269,
    MATCH(
      1,
      ('Tools &amp; Targets_Guideline'!$A$54:$A$269=$B353)*
      ('Tools &amp; Targets_Guideline'!$B$54:$B$269="U5 Morbidity"),
      0
    ),
    MATCH(
      _xludf.IFNA(
        VLOOKUP($D353,{"PH","Provincial Hospital (H2)";"DH","District Hospital (H3)";"RH","Regional / National Hospital (H1)"},2,0),
        $D353
      ),
      'Tools &amp; Targets_Guideline'!$C$53:$I$53,
      0
    )
  ),
0))</f>
        <v/>
      </c>
      <c r="AF353" s="105"/>
      <c r="AG353" s="119" t="str">
        <f t="array" ref="AG353">IF(OR($B353="",$D353=""),"",
IFERROR(
  INDEX(
    'Tools &amp; Targets_Guideline'!$C$54:$I$269,
    MATCH(
      1,
      ('Tools &amp; Targets_Guideline'!$A$54:$A$269=$B353)*
      ('Tools &amp; Targets_Guideline'!$B$54:$B$269="C-Section"),
      0
    ),
    MATCH(
      _xludf.IFNA(
        VLOOKUP($D353,{"PH","Provincial Hospital (H2)";"DH","District Hospital (H3)";"RH","Regional / National Hospital (H1)"},2,0),
        $D353
      ),
      'Tools &amp; Targets_Guideline'!$C$53:$I$53,
      0
    )
  ),
0))</f>
        <v/>
      </c>
      <c r="AH353" s="105" t="str">
        <f>IF(A353&lt;&gt;"",COUNTIFS('QA Log'!D:D,A353,'QA Log'!M:M,"QQC",'QA Log'!L:L,"2. Hygiene and Sterilization",'QA Log'!Z:Z,"Approved"),"")</f>
        <v/>
      </c>
      <c r="AI353" s="102"/>
      <c r="AJ353" s="102"/>
      <c r="AK353" s="103" t="str">
        <f t="shared" si="17"/>
        <v/>
      </c>
      <c r="AL353" s="102"/>
      <c r="AM353" s="102"/>
      <c r="AN353" s="102"/>
      <c r="AO353" s="106"/>
      <c r="AP353" s="103"/>
      <c r="AQ353" s="102"/>
      <c r="AR353" s="102"/>
      <c r="AS353" s="102"/>
      <c r="AT353" s="107"/>
      <c r="AU353" s="102" t="str">
        <f t="shared" si="18"/>
        <v/>
      </c>
      <c r="AV353" s="102" t="str">
        <f t="shared" si="19"/>
        <v/>
      </c>
      <c r="AW353" s="102" t="str">
        <f t="shared" si="20"/>
        <v/>
      </c>
      <c r="AX353" s="102" t="str">
        <f t="shared" si="21"/>
        <v/>
      </c>
      <c r="AY353" s="107" t="str">
        <f t="shared" si="22"/>
        <v/>
      </c>
      <c r="AZ353" s="108" t="str">
        <f t="shared" si="23"/>
        <v/>
      </c>
      <c r="BA353" s="108" t="str">
        <f t="shared" si="24"/>
        <v/>
      </c>
      <c r="BB353" s="109" t="str">
        <f t="shared" si="25"/>
        <v/>
      </c>
      <c r="BC353" s="108" t="str">
        <f t="shared" si="26"/>
        <v/>
      </c>
      <c r="BD353" s="108" t="str">
        <f t="shared" si="27"/>
        <v/>
      </c>
      <c r="BE353" s="109" t="str">
        <f t="shared" si="28"/>
        <v/>
      </c>
      <c r="BF353" s="110" t="str">
        <f t="shared" si="29"/>
        <v/>
      </c>
      <c r="BG353" s="111"/>
    </row>
    <row r="354" spans="1:59" ht="12.75">
      <c r="A354" s="101"/>
      <c r="B354" s="102"/>
      <c r="C354" s="102" t="e">
        <f t="array" aca="1" ref="C354" ca="1">_xludf.XLOOKUP(A354,'QA Log'!D:D,'QA Log'!F:F,"")</f>
        <v>#NAME?</v>
      </c>
      <c r="D354" s="102"/>
      <c r="E354" s="102" t="e">
        <f t="array" aca="1" ref="E354" ca="1">_xludf.XLOOKUP(A354,'QA Log'!D:D,'QA Log'!G:G,"")</f>
        <v>#NAME?</v>
      </c>
      <c r="F354" s="103"/>
      <c r="G354" s="104"/>
      <c r="H354" s="104"/>
      <c r="I354" s="103" t="str">
        <f t="shared" si="15"/>
        <v/>
      </c>
      <c r="J354" s="102"/>
      <c r="K354" s="102"/>
      <c r="L354" s="119" t="str">
        <f t="array" ref="L354">IF(OR($B354="",$D354=""),"",
IFERROR(
  INDEX(
    'Tools &amp; Targets_Guideline'!$C$54:$I$269,
    MATCH(
      1,
      ('Tools &amp; Targets_Guideline'!$A$54:$A$269=$B354)*
      ('Tools &amp; Targets_Guideline'!$B$54:$B$269="ANC"),
      0
    ),
    MATCH(
      _xludf.IFNA(
        VLOOKUP($D354,{"PH","Provincial Hospital (H2)";"DH","District Hospital (H3)";"RH","Regional / National Hospital (H1)"},2,0),
        $D354
      ),
      'Tools &amp; Targets_Guideline'!$C$53:$I$53,
      0
    )
  ),
0))</f>
        <v/>
      </c>
      <c r="M354" s="105"/>
      <c r="N354" s="119" t="str">
        <f t="array" ref="N354">IF(OR($B354="",$D354=""),"",
IFERROR(
  INDEX(
    'Tools &amp; Targets_Guideline'!$C$54:$I$269,
    MATCH(
      1,
      ('Tools &amp; Targets_Guideline'!$A$54:$A$269=$B354)*
      ('Tools &amp; Targets_Guideline'!$B$54:$B$269="PNC"),
      0
    ),
    MATCH(
      _xludf.IFNA(
        VLOOKUP($D354,{"PH","Provincial Hospital (H2)";"DH","District Hospital (H3)";"RH","Regional / National Hospital (H1)"},2,0),
        $D354
      ),
      'Tools &amp; Targets_Guideline'!$C$53:$I$53,
      0
    )
  ),
0))</f>
        <v/>
      </c>
      <c r="O354" s="105"/>
      <c r="P354" s="119" t="str">
        <f t="array" ref="P354">IF(OR($B354="",$D354=""),"",
IFERROR(
  INDEX(
    'Tools &amp; Targets_Guideline'!$C$54:$I$269,
    MATCH(
      1,
      ('Tools &amp; Targets_Guideline'!$A$54:$A$269=$B354)*
      ('Tools &amp; Targets_Guideline'!$B$54:$B$269="Delivery"),
      0
    ),
    MATCH(
      _xludf.IFNA(
        VLOOKUP($D354,{"PH","Provincial Hospital (H2)";"DH","District Hospital (H3)";"RH","Regional / National Hospital (H1)"},2,0),
        $D354
      ),
      'Tools &amp; Targets_Guideline'!$C$53:$I$53,
      0
    )
  ),
0))</f>
        <v/>
      </c>
      <c r="Q354" s="105"/>
      <c r="R354" s="119" t="str">
        <f t="array" ref="R354">IF(OR($B354="",$D354=""),"",
IFERROR(
  INDEX(
    'Tools &amp; Targets_Guideline'!$C$54:$I$269,
    MATCH(
      1,
      ('Tools &amp; Targets_Guideline'!$A$54:$A$269=$B354)*
      ('Tools &amp; Targets_Guideline'!$B$54:$B$269="TT"),
      0
    ),
    MATCH(
      _xludf.IFNA(
        VLOOKUP($D354,{"PH","Provincial Hospital (H2)";"DH","District Hospital (H3)";"RH","Regional / National Hospital (H1)"},2,0),
        $D354
      ),
      'Tools &amp; Targets_Guideline'!$C$53:$I$53,
      0
    )
  ),
0))</f>
        <v/>
      </c>
      <c r="S354" s="105"/>
      <c r="T354" s="102"/>
      <c r="U354" s="106"/>
      <c r="V354" s="102" t="str">
        <f t="shared" si="16"/>
        <v/>
      </c>
      <c r="W354" s="102"/>
      <c r="X354" s="102"/>
      <c r="Y354" s="119" t="str">
        <f t="array" ref="Y354">IF(OR($B354="",$D354=""),"",
IFERROR(
  INDEX(
    'Tools &amp; Targets_Guideline'!$C$54:$I$269,
    MATCH(
      1,
      ('Tools &amp; Targets_Guideline'!$A$54:$A$269=$B354)*
      ('Tools &amp; Targets_Guideline'!$B$54:$B$269="GM"),
      0
    ),
    MATCH(
      _xludf.IFNA(
        VLOOKUP($D354,{"PH","Provincial Hospital (H2)";"DH","District Hospital (H3)";"RH","Regional / National Hospital (H1)"},2,0),
        $D354
      ),
      'Tools &amp; Targets_Guideline'!$C$53:$I$53,
      0
    )
  ),
0))</f>
        <v/>
      </c>
      <c r="Z354" s="105"/>
      <c r="AA354" s="119" t="str">
        <f t="array" ref="AA354">IF(OR($B354="",$D354=""),"",
IFERROR(
  INDEX(
    'Tools &amp; Targets_Guideline'!$C$54:$I$269,
    MATCH(
      1,
      ('Tools &amp; Targets_Guideline'!$A$54:$A$269=$B354)*
      ('Tools &amp; Targets_Guideline'!$B$54:$B$269="Penta"),
      0
    ),
    MATCH(
      _xludf.IFNA(
        VLOOKUP($D354,{"PH","Provincial Hospital (H2)";"DH","District Hospital (H3)";"RH","Regional / National Hospital (H1)"},2,0),
        $D354
      ),
      'Tools &amp; Targets_Guideline'!$C$53:$I$53,
      0
    )
  ),
0))</f>
        <v/>
      </c>
      <c r="AB354" s="105"/>
      <c r="AC354" s="119" t="str">
        <f t="array" ref="AC354">IF(OR($B354="",$D354=""),"",
IFERROR(
  INDEX(
    'Tools &amp; Targets_Guideline'!$C$54:$I$269,
    MATCH(
      1,
      ('Tools &amp; Targets_Guideline'!$A$54:$A$269=$B354)*
      ('Tools &amp; Targets_Guideline'!$B$54:$B$269="TB"),
      0
    ),
    MATCH(
      _xludf.IFNA(
        VLOOKUP($D354,{"PH","Provincial Hospital (H2)";"DH","District Hospital (H3)";"RH","Regional / National Hospital (H1)"},2,0),
        $D354
      ),
      'Tools &amp; Targets_Guideline'!$C$53:$I$53,
      0
    )
  ),
0))</f>
        <v/>
      </c>
      <c r="AD354" s="105"/>
      <c r="AE354" s="119" t="str">
        <f t="array" ref="AE354">IF(OR($B354="",$D354=""),"",
IFERROR(
  INDEX(
    'Tools &amp; Targets_Guideline'!$C$54:$I$269,
    MATCH(
      1,
      ('Tools &amp; Targets_Guideline'!$A$54:$A$269=$B354)*
      ('Tools &amp; Targets_Guideline'!$B$54:$B$269="U5 Morbidity"),
      0
    ),
    MATCH(
      _xludf.IFNA(
        VLOOKUP($D354,{"PH","Provincial Hospital (H2)";"DH","District Hospital (H3)";"RH","Regional / National Hospital (H1)"},2,0),
        $D354
      ),
      'Tools &amp; Targets_Guideline'!$C$53:$I$53,
      0
    )
  ),
0))</f>
        <v/>
      </c>
      <c r="AF354" s="105"/>
      <c r="AG354" s="119" t="str">
        <f t="array" ref="AG354">IF(OR($B354="",$D354=""),"",
IFERROR(
  INDEX(
    'Tools &amp; Targets_Guideline'!$C$54:$I$269,
    MATCH(
      1,
      ('Tools &amp; Targets_Guideline'!$A$54:$A$269=$B354)*
      ('Tools &amp; Targets_Guideline'!$B$54:$B$269="C-Section"),
      0
    ),
    MATCH(
      _xludf.IFNA(
        VLOOKUP($D354,{"PH","Provincial Hospital (H2)";"DH","District Hospital (H3)";"RH","Regional / National Hospital (H1)"},2,0),
        $D354
      ),
      'Tools &amp; Targets_Guideline'!$C$53:$I$53,
      0
    )
  ),
0))</f>
        <v/>
      </c>
      <c r="AH354" s="105" t="str">
        <f>IF(A354&lt;&gt;"",COUNTIFS('QA Log'!D:D,A354,'QA Log'!M:M,"QQC",'QA Log'!L:L,"2. Hygiene and Sterilization",'QA Log'!Z:Z,"Approved"),"")</f>
        <v/>
      </c>
      <c r="AI354" s="102"/>
      <c r="AJ354" s="102"/>
      <c r="AK354" s="103" t="str">
        <f t="shared" si="17"/>
        <v/>
      </c>
      <c r="AL354" s="102"/>
      <c r="AM354" s="102"/>
      <c r="AN354" s="102"/>
      <c r="AO354" s="106"/>
      <c r="AP354" s="103"/>
      <c r="AQ354" s="102"/>
      <c r="AR354" s="102"/>
      <c r="AS354" s="102"/>
      <c r="AT354" s="107"/>
      <c r="AU354" s="102" t="str">
        <f t="shared" si="18"/>
        <v/>
      </c>
      <c r="AV354" s="102" t="str">
        <f t="shared" si="19"/>
        <v/>
      </c>
      <c r="AW354" s="102" t="str">
        <f t="shared" si="20"/>
        <v/>
      </c>
      <c r="AX354" s="102" t="str">
        <f t="shared" si="21"/>
        <v/>
      </c>
      <c r="AY354" s="107" t="str">
        <f t="shared" si="22"/>
        <v/>
      </c>
      <c r="AZ354" s="108" t="str">
        <f t="shared" si="23"/>
        <v/>
      </c>
      <c r="BA354" s="108" t="str">
        <f t="shared" si="24"/>
        <v/>
      </c>
      <c r="BB354" s="109" t="str">
        <f t="shared" si="25"/>
        <v/>
      </c>
      <c r="BC354" s="108" t="str">
        <f t="shared" si="26"/>
        <v/>
      </c>
      <c r="BD354" s="108" t="str">
        <f t="shared" si="27"/>
        <v/>
      </c>
      <c r="BE354" s="109" t="str">
        <f t="shared" si="28"/>
        <v/>
      </c>
      <c r="BF354" s="110" t="str">
        <f t="shared" si="29"/>
        <v/>
      </c>
      <c r="BG354" s="111"/>
    </row>
    <row r="355" spans="1:59" ht="12.75">
      <c r="A355" s="101"/>
      <c r="B355" s="102"/>
      <c r="C355" s="102" t="e">
        <f t="array" aca="1" ref="C355" ca="1">_xludf.XLOOKUP(A355,'QA Log'!D:D,'QA Log'!F:F,"")</f>
        <v>#NAME?</v>
      </c>
      <c r="D355" s="102"/>
      <c r="E355" s="102" t="e">
        <f t="array" aca="1" ref="E355" ca="1">_xludf.XLOOKUP(A355,'QA Log'!D:D,'QA Log'!G:G,"")</f>
        <v>#NAME?</v>
      </c>
      <c r="F355" s="103"/>
      <c r="G355" s="104"/>
      <c r="H355" s="104"/>
      <c r="I355" s="103" t="str">
        <f t="shared" si="15"/>
        <v/>
      </c>
      <c r="J355" s="102"/>
      <c r="K355" s="102"/>
      <c r="L355" s="119" t="str">
        <f t="array" ref="L355">IF(OR($B355="",$D355=""),"",
IFERROR(
  INDEX(
    'Tools &amp; Targets_Guideline'!$C$54:$I$269,
    MATCH(
      1,
      ('Tools &amp; Targets_Guideline'!$A$54:$A$269=$B355)*
      ('Tools &amp; Targets_Guideline'!$B$54:$B$269="ANC"),
      0
    ),
    MATCH(
      _xludf.IFNA(
        VLOOKUP($D355,{"PH","Provincial Hospital (H2)";"DH","District Hospital (H3)";"RH","Regional / National Hospital (H1)"},2,0),
        $D355
      ),
      'Tools &amp; Targets_Guideline'!$C$53:$I$53,
      0
    )
  ),
0))</f>
        <v/>
      </c>
      <c r="M355" s="105"/>
      <c r="N355" s="119" t="str">
        <f t="array" ref="N355">IF(OR($B355="",$D355=""),"",
IFERROR(
  INDEX(
    'Tools &amp; Targets_Guideline'!$C$54:$I$269,
    MATCH(
      1,
      ('Tools &amp; Targets_Guideline'!$A$54:$A$269=$B355)*
      ('Tools &amp; Targets_Guideline'!$B$54:$B$269="PNC"),
      0
    ),
    MATCH(
      _xludf.IFNA(
        VLOOKUP($D355,{"PH","Provincial Hospital (H2)";"DH","District Hospital (H3)";"RH","Regional / National Hospital (H1)"},2,0),
        $D355
      ),
      'Tools &amp; Targets_Guideline'!$C$53:$I$53,
      0
    )
  ),
0))</f>
        <v/>
      </c>
      <c r="O355" s="105"/>
      <c r="P355" s="119" t="str">
        <f t="array" ref="P355">IF(OR($B355="",$D355=""),"",
IFERROR(
  INDEX(
    'Tools &amp; Targets_Guideline'!$C$54:$I$269,
    MATCH(
      1,
      ('Tools &amp; Targets_Guideline'!$A$54:$A$269=$B355)*
      ('Tools &amp; Targets_Guideline'!$B$54:$B$269="Delivery"),
      0
    ),
    MATCH(
      _xludf.IFNA(
        VLOOKUP($D355,{"PH","Provincial Hospital (H2)";"DH","District Hospital (H3)";"RH","Regional / National Hospital (H1)"},2,0),
        $D355
      ),
      'Tools &amp; Targets_Guideline'!$C$53:$I$53,
      0
    )
  ),
0))</f>
        <v/>
      </c>
      <c r="Q355" s="105"/>
      <c r="R355" s="119" t="str">
        <f t="array" ref="R355">IF(OR($B355="",$D355=""),"",
IFERROR(
  INDEX(
    'Tools &amp; Targets_Guideline'!$C$54:$I$269,
    MATCH(
      1,
      ('Tools &amp; Targets_Guideline'!$A$54:$A$269=$B355)*
      ('Tools &amp; Targets_Guideline'!$B$54:$B$269="TT"),
      0
    ),
    MATCH(
      _xludf.IFNA(
        VLOOKUP($D355,{"PH","Provincial Hospital (H2)";"DH","District Hospital (H3)";"RH","Regional / National Hospital (H1)"},2,0),
        $D355
      ),
      'Tools &amp; Targets_Guideline'!$C$53:$I$53,
      0
    )
  ),
0))</f>
        <v/>
      </c>
      <c r="S355" s="105"/>
      <c r="T355" s="102"/>
      <c r="U355" s="106"/>
      <c r="V355" s="102" t="str">
        <f t="shared" si="16"/>
        <v/>
      </c>
      <c r="W355" s="102"/>
      <c r="X355" s="102"/>
      <c r="Y355" s="119" t="str">
        <f t="array" ref="Y355">IF(OR($B355="",$D355=""),"",
IFERROR(
  INDEX(
    'Tools &amp; Targets_Guideline'!$C$54:$I$269,
    MATCH(
      1,
      ('Tools &amp; Targets_Guideline'!$A$54:$A$269=$B355)*
      ('Tools &amp; Targets_Guideline'!$B$54:$B$269="GM"),
      0
    ),
    MATCH(
      _xludf.IFNA(
        VLOOKUP($D355,{"PH","Provincial Hospital (H2)";"DH","District Hospital (H3)";"RH","Regional / National Hospital (H1)"},2,0),
        $D355
      ),
      'Tools &amp; Targets_Guideline'!$C$53:$I$53,
      0
    )
  ),
0))</f>
        <v/>
      </c>
      <c r="Z355" s="105"/>
      <c r="AA355" s="119" t="str">
        <f t="array" ref="AA355">IF(OR($B355="",$D355=""),"",
IFERROR(
  INDEX(
    'Tools &amp; Targets_Guideline'!$C$54:$I$269,
    MATCH(
      1,
      ('Tools &amp; Targets_Guideline'!$A$54:$A$269=$B355)*
      ('Tools &amp; Targets_Guideline'!$B$54:$B$269="Penta"),
      0
    ),
    MATCH(
      _xludf.IFNA(
        VLOOKUP($D355,{"PH","Provincial Hospital (H2)";"DH","District Hospital (H3)";"RH","Regional / National Hospital (H1)"},2,0),
        $D355
      ),
      'Tools &amp; Targets_Guideline'!$C$53:$I$53,
      0
    )
  ),
0))</f>
        <v/>
      </c>
      <c r="AB355" s="105"/>
      <c r="AC355" s="119" t="str">
        <f t="array" ref="AC355">IF(OR($B355="",$D355=""),"",
IFERROR(
  INDEX(
    'Tools &amp; Targets_Guideline'!$C$54:$I$269,
    MATCH(
      1,
      ('Tools &amp; Targets_Guideline'!$A$54:$A$269=$B355)*
      ('Tools &amp; Targets_Guideline'!$B$54:$B$269="TB"),
      0
    ),
    MATCH(
      _xludf.IFNA(
        VLOOKUP($D355,{"PH","Provincial Hospital (H2)";"DH","District Hospital (H3)";"RH","Regional / National Hospital (H1)"},2,0),
        $D355
      ),
      'Tools &amp; Targets_Guideline'!$C$53:$I$53,
      0
    )
  ),
0))</f>
        <v/>
      </c>
      <c r="AD355" s="105"/>
      <c r="AE355" s="119" t="str">
        <f t="array" ref="AE355">IF(OR($B355="",$D355=""),"",
IFERROR(
  INDEX(
    'Tools &amp; Targets_Guideline'!$C$54:$I$269,
    MATCH(
      1,
      ('Tools &amp; Targets_Guideline'!$A$54:$A$269=$B355)*
      ('Tools &amp; Targets_Guideline'!$B$54:$B$269="U5 Morbidity"),
      0
    ),
    MATCH(
      _xludf.IFNA(
        VLOOKUP($D355,{"PH","Provincial Hospital (H2)";"DH","District Hospital (H3)";"RH","Regional / National Hospital (H1)"},2,0),
        $D355
      ),
      'Tools &amp; Targets_Guideline'!$C$53:$I$53,
      0
    )
  ),
0))</f>
        <v/>
      </c>
      <c r="AF355" s="105"/>
      <c r="AG355" s="119" t="str">
        <f t="array" ref="AG355">IF(OR($B355="",$D355=""),"",
IFERROR(
  INDEX(
    'Tools &amp; Targets_Guideline'!$C$54:$I$269,
    MATCH(
      1,
      ('Tools &amp; Targets_Guideline'!$A$54:$A$269=$B355)*
      ('Tools &amp; Targets_Guideline'!$B$54:$B$269="C-Section"),
      0
    ),
    MATCH(
      _xludf.IFNA(
        VLOOKUP($D355,{"PH","Provincial Hospital (H2)";"DH","District Hospital (H3)";"RH","Regional / National Hospital (H1)"},2,0),
        $D355
      ),
      'Tools &amp; Targets_Guideline'!$C$53:$I$53,
      0
    )
  ),
0))</f>
        <v/>
      </c>
      <c r="AH355" s="105" t="str">
        <f>IF(A355&lt;&gt;"",COUNTIFS('QA Log'!D:D,A355,'QA Log'!M:M,"QQC",'QA Log'!L:L,"2. Hygiene and Sterilization",'QA Log'!Z:Z,"Approved"),"")</f>
        <v/>
      </c>
      <c r="AI355" s="102"/>
      <c r="AJ355" s="102"/>
      <c r="AK355" s="103" t="str">
        <f t="shared" si="17"/>
        <v/>
      </c>
      <c r="AL355" s="102"/>
      <c r="AM355" s="102"/>
      <c r="AN355" s="102"/>
      <c r="AO355" s="106"/>
      <c r="AP355" s="103"/>
      <c r="AQ355" s="102"/>
      <c r="AR355" s="102"/>
      <c r="AS355" s="102"/>
      <c r="AT355" s="107"/>
      <c r="AU355" s="102" t="str">
        <f t="shared" si="18"/>
        <v/>
      </c>
      <c r="AV355" s="102" t="str">
        <f t="shared" si="19"/>
        <v/>
      </c>
      <c r="AW355" s="102" t="str">
        <f t="shared" si="20"/>
        <v/>
      </c>
      <c r="AX355" s="102" t="str">
        <f t="shared" si="21"/>
        <v/>
      </c>
      <c r="AY355" s="107" t="str">
        <f t="shared" si="22"/>
        <v/>
      </c>
      <c r="AZ355" s="108" t="str">
        <f t="shared" si="23"/>
        <v/>
      </c>
      <c r="BA355" s="108" t="str">
        <f t="shared" si="24"/>
        <v/>
      </c>
      <c r="BB355" s="109" t="str">
        <f t="shared" si="25"/>
        <v/>
      </c>
      <c r="BC355" s="108" t="str">
        <f t="shared" si="26"/>
        <v/>
      </c>
      <c r="BD355" s="108" t="str">
        <f t="shared" si="27"/>
        <v/>
      </c>
      <c r="BE355" s="109" t="str">
        <f t="shared" si="28"/>
        <v/>
      </c>
      <c r="BF355" s="110" t="str">
        <f t="shared" si="29"/>
        <v/>
      </c>
      <c r="BG355" s="111"/>
    </row>
    <row r="356" spans="1:59" ht="12.75">
      <c r="A356" s="101"/>
      <c r="B356" s="102"/>
      <c r="C356" s="102" t="e">
        <f t="array" aca="1" ref="C356" ca="1">_xludf.XLOOKUP(A356,'QA Log'!D:D,'QA Log'!F:F,"")</f>
        <v>#NAME?</v>
      </c>
      <c r="D356" s="102"/>
      <c r="E356" s="102" t="e">
        <f t="array" aca="1" ref="E356" ca="1">_xludf.XLOOKUP(A356,'QA Log'!D:D,'QA Log'!G:G,"")</f>
        <v>#NAME?</v>
      </c>
      <c r="F356" s="103"/>
      <c r="G356" s="104"/>
      <c r="H356" s="104"/>
      <c r="I356" s="103" t="str">
        <f t="shared" si="15"/>
        <v/>
      </c>
      <c r="J356" s="102"/>
      <c r="K356" s="102"/>
      <c r="L356" s="119" t="str">
        <f t="array" ref="L356">IF(OR($B356="",$D356=""),"",
IFERROR(
  INDEX(
    'Tools &amp; Targets_Guideline'!$C$54:$I$269,
    MATCH(
      1,
      ('Tools &amp; Targets_Guideline'!$A$54:$A$269=$B356)*
      ('Tools &amp; Targets_Guideline'!$B$54:$B$269="ANC"),
      0
    ),
    MATCH(
      _xludf.IFNA(
        VLOOKUP($D356,{"PH","Provincial Hospital (H2)";"DH","District Hospital (H3)";"RH","Regional / National Hospital (H1)"},2,0),
        $D356
      ),
      'Tools &amp; Targets_Guideline'!$C$53:$I$53,
      0
    )
  ),
0))</f>
        <v/>
      </c>
      <c r="M356" s="105"/>
      <c r="N356" s="119" t="str">
        <f t="array" ref="N356">IF(OR($B356="",$D356=""),"",
IFERROR(
  INDEX(
    'Tools &amp; Targets_Guideline'!$C$54:$I$269,
    MATCH(
      1,
      ('Tools &amp; Targets_Guideline'!$A$54:$A$269=$B356)*
      ('Tools &amp; Targets_Guideline'!$B$54:$B$269="PNC"),
      0
    ),
    MATCH(
      _xludf.IFNA(
        VLOOKUP($D356,{"PH","Provincial Hospital (H2)";"DH","District Hospital (H3)";"RH","Regional / National Hospital (H1)"},2,0),
        $D356
      ),
      'Tools &amp; Targets_Guideline'!$C$53:$I$53,
      0
    )
  ),
0))</f>
        <v/>
      </c>
      <c r="O356" s="105"/>
      <c r="P356" s="119" t="str">
        <f t="array" ref="P356">IF(OR($B356="",$D356=""),"",
IFERROR(
  INDEX(
    'Tools &amp; Targets_Guideline'!$C$54:$I$269,
    MATCH(
      1,
      ('Tools &amp; Targets_Guideline'!$A$54:$A$269=$B356)*
      ('Tools &amp; Targets_Guideline'!$B$54:$B$269="Delivery"),
      0
    ),
    MATCH(
      _xludf.IFNA(
        VLOOKUP($D356,{"PH","Provincial Hospital (H2)";"DH","District Hospital (H3)";"RH","Regional / National Hospital (H1)"},2,0),
        $D356
      ),
      'Tools &amp; Targets_Guideline'!$C$53:$I$53,
      0
    )
  ),
0))</f>
        <v/>
      </c>
      <c r="Q356" s="105"/>
      <c r="R356" s="119" t="str">
        <f t="array" ref="R356">IF(OR($B356="",$D356=""),"",
IFERROR(
  INDEX(
    'Tools &amp; Targets_Guideline'!$C$54:$I$269,
    MATCH(
      1,
      ('Tools &amp; Targets_Guideline'!$A$54:$A$269=$B356)*
      ('Tools &amp; Targets_Guideline'!$B$54:$B$269="TT"),
      0
    ),
    MATCH(
      _xludf.IFNA(
        VLOOKUP($D356,{"PH","Provincial Hospital (H2)";"DH","District Hospital (H3)";"RH","Regional / National Hospital (H1)"},2,0),
        $D356
      ),
      'Tools &amp; Targets_Guideline'!$C$53:$I$53,
      0
    )
  ),
0))</f>
        <v/>
      </c>
      <c r="S356" s="105"/>
      <c r="T356" s="102"/>
      <c r="U356" s="106"/>
      <c r="V356" s="102" t="str">
        <f t="shared" si="16"/>
        <v/>
      </c>
      <c r="W356" s="102"/>
      <c r="X356" s="102"/>
      <c r="Y356" s="119" t="str">
        <f t="array" ref="Y356">IF(OR($B356="",$D356=""),"",
IFERROR(
  INDEX(
    'Tools &amp; Targets_Guideline'!$C$54:$I$269,
    MATCH(
      1,
      ('Tools &amp; Targets_Guideline'!$A$54:$A$269=$B356)*
      ('Tools &amp; Targets_Guideline'!$B$54:$B$269="GM"),
      0
    ),
    MATCH(
      _xludf.IFNA(
        VLOOKUP($D356,{"PH","Provincial Hospital (H2)";"DH","District Hospital (H3)";"RH","Regional / National Hospital (H1)"},2,0),
        $D356
      ),
      'Tools &amp; Targets_Guideline'!$C$53:$I$53,
      0
    )
  ),
0))</f>
        <v/>
      </c>
      <c r="Z356" s="105"/>
      <c r="AA356" s="119" t="str">
        <f t="array" ref="AA356">IF(OR($B356="",$D356=""),"",
IFERROR(
  INDEX(
    'Tools &amp; Targets_Guideline'!$C$54:$I$269,
    MATCH(
      1,
      ('Tools &amp; Targets_Guideline'!$A$54:$A$269=$B356)*
      ('Tools &amp; Targets_Guideline'!$B$54:$B$269="Penta"),
      0
    ),
    MATCH(
      _xludf.IFNA(
        VLOOKUP($D356,{"PH","Provincial Hospital (H2)";"DH","District Hospital (H3)";"RH","Regional / National Hospital (H1)"},2,0),
        $D356
      ),
      'Tools &amp; Targets_Guideline'!$C$53:$I$53,
      0
    )
  ),
0))</f>
        <v/>
      </c>
      <c r="AB356" s="105"/>
      <c r="AC356" s="119" t="str">
        <f t="array" ref="AC356">IF(OR($B356="",$D356=""),"",
IFERROR(
  INDEX(
    'Tools &amp; Targets_Guideline'!$C$54:$I$269,
    MATCH(
      1,
      ('Tools &amp; Targets_Guideline'!$A$54:$A$269=$B356)*
      ('Tools &amp; Targets_Guideline'!$B$54:$B$269="TB"),
      0
    ),
    MATCH(
      _xludf.IFNA(
        VLOOKUP($D356,{"PH","Provincial Hospital (H2)";"DH","District Hospital (H3)";"RH","Regional / National Hospital (H1)"},2,0),
        $D356
      ),
      'Tools &amp; Targets_Guideline'!$C$53:$I$53,
      0
    )
  ),
0))</f>
        <v/>
      </c>
      <c r="AD356" s="105"/>
      <c r="AE356" s="119" t="str">
        <f t="array" ref="AE356">IF(OR($B356="",$D356=""),"",
IFERROR(
  INDEX(
    'Tools &amp; Targets_Guideline'!$C$54:$I$269,
    MATCH(
      1,
      ('Tools &amp; Targets_Guideline'!$A$54:$A$269=$B356)*
      ('Tools &amp; Targets_Guideline'!$B$54:$B$269="U5 Morbidity"),
      0
    ),
    MATCH(
      _xludf.IFNA(
        VLOOKUP($D356,{"PH","Provincial Hospital (H2)";"DH","District Hospital (H3)";"RH","Regional / National Hospital (H1)"},2,0),
        $D356
      ),
      'Tools &amp; Targets_Guideline'!$C$53:$I$53,
      0
    )
  ),
0))</f>
        <v/>
      </c>
      <c r="AF356" s="105"/>
      <c r="AG356" s="119" t="str">
        <f t="array" ref="AG356">IF(OR($B356="",$D356=""),"",
IFERROR(
  INDEX(
    'Tools &amp; Targets_Guideline'!$C$54:$I$269,
    MATCH(
      1,
      ('Tools &amp; Targets_Guideline'!$A$54:$A$269=$B356)*
      ('Tools &amp; Targets_Guideline'!$B$54:$B$269="C-Section"),
      0
    ),
    MATCH(
      _xludf.IFNA(
        VLOOKUP($D356,{"PH","Provincial Hospital (H2)";"DH","District Hospital (H3)";"RH","Regional / National Hospital (H1)"},2,0),
        $D356
      ),
      'Tools &amp; Targets_Guideline'!$C$53:$I$53,
      0
    )
  ),
0))</f>
        <v/>
      </c>
      <c r="AH356" s="105" t="str">
        <f>IF(A356&lt;&gt;"",COUNTIFS('QA Log'!D:D,A356,'QA Log'!M:M,"QQC",'QA Log'!L:L,"2. Hygiene and Sterilization",'QA Log'!Z:Z,"Approved"),"")</f>
        <v/>
      </c>
      <c r="AI356" s="102"/>
      <c r="AJ356" s="102"/>
      <c r="AK356" s="103" t="str">
        <f t="shared" si="17"/>
        <v/>
      </c>
      <c r="AL356" s="102"/>
      <c r="AM356" s="102"/>
      <c r="AN356" s="102"/>
      <c r="AO356" s="106"/>
      <c r="AP356" s="103"/>
      <c r="AQ356" s="102"/>
      <c r="AR356" s="102"/>
      <c r="AS356" s="102"/>
      <c r="AT356" s="107"/>
      <c r="AU356" s="102" t="str">
        <f t="shared" si="18"/>
        <v/>
      </c>
      <c r="AV356" s="102" t="str">
        <f t="shared" si="19"/>
        <v/>
      </c>
      <c r="AW356" s="102" t="str">
        <f t="shared" si="20"/>
        <v/>
      </c>
      <c r="AX356" s="102" t="str">
        <f t="shared" si="21"/>
        <v/>
      </c>
      <c r="AY356" s="107" t="str">
        <f t="shared" si="22"/>
        <v/>
      </c>
      <c r="AZ356" s="108" t="str">
        <f t="shared" si="23"/>
        <v/>
      </c>
      <c r="BA356" s="108" t="str">
        <f t="shared" si="24"/>
        <v/>
      </c>
      <c r="BB356" s="109" t="str">
        <f t="shared" si="25"/>
        <v/>
      </c>
      <c r="BC356" s="108" t="str">
        <f t="shared" si="26"/>
        <v/>
      </c>
      <c r="BD356" s="108" t="str">
        <f t="shared" si="27"/>
        <v/>
      </c>
      <c r="BE356" s="109" t="str">
        <f t="shared" si="28"/>
        <v/>
      </c>
      <c r="BF356" s="110" t="str">
        <f t="shared" si="29"/>
        <v/>
      </c>
      <c r="BG356" s="111"/>
    </row>
    <row r="357" spans="1:59" ht="12.75">
      <c r="A357" s="101"/>
      <c r="B357" s="102"/>
      <c r="C357" s="102" t="e">
        <f t="array" aca="1" ref="C357" ca="1">_xludf.XLOOKUP(A357,'QA Log'!D:D,'QA Log'!F:F,"")</f>
        <v>#NAME?</v>
      </c>
      <c r="D357" s="102"/>
      <c r="E357" s="102" t="e">
        <f t="array" aca="1" ref="E357" ca="1">_xludf.XLOOKUP(A357,'QA Log'!D:D,'QA Log'!G:G,"")</f>
        <v>#NAME?</v>
      </c>
      <c r="F357" s="103"/>
      <c r="G357" s="104"/>
      <c r="H357" s="104"/>
      <c r="I357" s="103" t="str">
        <f t="shared" si="15"/>
        <v/>
      </c>
      <c r="J357" s="102"/>
      <c r="K357" s="102"/>
      <c r="L357" s="119" t="str">
        <f t="array" ref="L357">IF(OR($B357="",$D357=""),"",
IFERROR(
  INDEX(
    'Tools &amp; Targets_Guideline'!$C$54:$I$269,
    MATCH(
      1,
      ('Tools &amp; Targets_Guideline'!$A$54:$A$269=$B357)*
      ('Tools &amp; Targets_Guideline'!$B$54:$B$269="ANC"),
      0
    ),
    MATCH(
      _xludf.IFNA(
        VLOOKUP($D357,{"PH","Provincial Hospital (H2)";"DH","District Hospital (H3)";"RH","Regional / National Hospital (H1)"},2,0),
        $D357
      ),
      'Tools &amp; Targets_Guideline'!$C$53:$I$53,
      0
    )
  ),
0))</f>
        <v/>
      </c>
      <c r="M357" s="105"/>
      <c r="N357" s="119" t="str">
        <f t="array" ref="N357">IF(OR($B357="",$D357=""),"",
IFERROR(
  INDEX(
    'Tools &amp; Targets_Guideline'!$C$54:$I$269,
    MATCH(
      1,
      ('Tools &amp; Targets_Guideline'!$A$54:$A$269=$B357)*
      ('Tools &amp; Targets_Guideline'!$B$54:$B$269="PNC"),
      0
    ),
    MATCH(
      _xludf.IFNA(
        VLOOKUP($D357,{"PH","Provincial Hospital (H2)";"DH","District Hospital (H3)";"RH","Regional / National Hospital (H1)"},2,0),
        $D357
      ),
      'Tools &amp; Targets_Guideline'!$C$53:$I$53,
      0
    )
  ),
0))</f>
        <v/>
      </c>
      <c r="O357" s="105"/>
      <c r="P357" s="119" t="str">
        <f t="array" ref="P357">IF(OR($B357="",$D357=""),"",
IFERROR(
  INDEX(
    'Tools &amp; Targets_Guideline'!$C$54:$I$269,
    MATCH(
      1,
      ('Tools &amp; Targets_Guideline'!$A$54:$A$269=$B357)*
      ('Tools &amp; Targets_Guideline'!$B$54:$B$269="Delivery"),
      0
    ),
    MATCH(
      _xludf.IFNA(
        VLOOKUP($D357,{"PH","Provincial Hospital (H2)";"DH","District Hospital (H3)";"RH","Regional / National Hospital (H1)"},2,0),
        $D357
      ),
      'Tools &amp; Targets_Guideline'!$C$53:$I$53,
      0
    )
  ),
0))</f>
        <v/>
      </c>
      <c r="Q357" s="105"/>
      <c r="R357" s="119" t="str">
        <f t="array" ref="R357">IF(OR($B357="",$D357=""),"",
IFERROR(
  INDEX(
    'Tools &amp; Targets_Guideline'!$C$54:$I$269,
    MATCH(
      1,
      ('Tools &amp; Targets_Guideline'!$A$54:$A$269=$B357)*
      ('Tools &amp; Targets_Guideline'!$B$54:$B$269="TT"),
      0
    ),
    MATCH(
      _xludf.IFNA(
        VLOOKUP($D357,{"PH","Provincial Hospital (H2)";"DH","District Hospital (H3)";"RH","Regional / National Hospital (H1)"},2,0),
        $D357
      ),
      'Tools &amp; Targets_Guideline'!$C$53:$I$53,
      0
    )
  ),
0))</f>
        <v/>
      </c>
      <c r="S357" s="105"/>
      <c r="T357" s="102"/>
      <c r="U357" s="106"/>
      <c r="V357" s="102" t="str">
        <f t="shared" si="16"/>
        <v/>
      </c>
      <c r="W357" s="102"/>
      <c r="X357" s="102"/>
      <c r="Y357" s="119" t="str">
        <f t="array" ref="Y357">IF(OR($B357="",$D357=""),"",
IFERROR(
  INDEX(
    'Tools &amp; Targets_Guideline'!$C$54:$I$269,
    MATCH(
      1,
      ('Tools &amp; Targets_Guideline'!$A$54:$A$269=$B357)*
      ('Tools &amp; Targets_Guideline'!$B$54:$B$269="GM"),
      0
    ),
    MATCH(
      _xludf.IFNA(
        VLOOKUP($D357,{"PH","Provincial Hospital (H2)";"DH","District Hospital (H3)";"RH","Regional / National Hospital (H1)"},2,0),
        $D357
      ),
      'Tools &amp; Targets_Guideline'!$C$53:$I$53,
      0
    )
  ),
0))</f>
        <v/>
      </c>
      <c r="Z357" s="105"/>
      <c r="AA357" s="119" t="str">
        <f t="array" ref="AA357">IF(OR($B357="",$D357=""),"",
IFERROR(
  INDEX(
    'Tools &amp; Targets_Guideline'!$C$54:$I$269,
    MATCH(
      1,
      ('Tools &amp; Targets_Guideline'!$A$54:$A$269=$B357)*
      ('Tools &amp; Targets_Guideline'!$B$54:$B$269="Penta"),
      0
    ),
    MATCH(
      _xludf.IFNA(
        VLOOKUP($D357,{"PH","Provincial Hospital (H2)";"DH","District Hospital (H3)";"RH","Regional / National Hospital (H1)"},2,0),
        $D357
      ),
      'Tools &amp; Targets_Guideline'!$C$53:$I$53,
      0
    )
  ),
0))</f>
        <v/>
      </c>
      <c r="AB357" s="105"/>
      <c r="AC357" s="119" t="str">
        <f t="array" ref="AC357">IF(OR($B357="",$D357=""),"",
IFERROR(
  INDEX(
    'Tools &amp; Targets_Guideline'!$C$54:$I$269,
    MATCH(
      1,
      ('Tools &amp; Targets_Guideline'!$A$54:$A$269=$B357)*
      ('Tools &amp; Targets_Guideline'!$B$54:$B$269="TB"),
      0
    ),
    MATCH(
      _xludf.IFNA(
        VLOOKUP($D357,{"PH","Provincial Hospital (H2)";"DH","District Hospital (H3)";"RH","Regional / National Hospital (H1)"},2,0),
        $D357
      ),
      'Tools &amp; Targets_Guideline'!$C$53:$I$53,
      0
    )
  ),
0))</f>
        <v/>
      </c>
      <c r="AD357" s="105"/>
      <c r="AE357" s="119" t="str">
        <f t="array" ref="AE357">IF(OR($B357="",$D357=""),"",
IFERROR(
  INDEX(
    'Tools &amp; Targets_Guideline'!$C$54:$I$269,
    MATCH(
      1,
      ('Tools &amp; Targets_Guideline'!$A$54:$A$269=$B357)*
      ('Tools &amp; Targets_Guideline'!$B$54:$B$269="U5 Morbidity"),
      0
    ),
    MATCH(
      _xludf.IFNA(
        VLOOKUP($D357,{"PH","Provincial Hospital (H2)";"DH","District Hospital (H3)";"RH","Regional / National Hospital (H1)"},2,0),
        $D357
      ),
      'Tools &amp; Targets_Guideline'!$C$53:$I$53,
      0
    )
  ),
0))</f>
        <v/>
      </c>
      <c r="AF357" s="105"/>
      <c r="AG357" s="119" t="str">
        <f t="array" ref="AG357">IF(OR($B357="",$D357=""),"",
IFERROR(
  INDEX(
    'Tools &amp; Targets_Guideline'!$C$54:$I$269,
    MATCH(
      1,
      ('Tools &amp; Targets_Guideline'!$A$54:$A$269=$B357)*
      ('Tools &amp; Targets_Guideline'!$B$54:$B$269="C-Section"),
      0
    ),
    MATCH(
      _xludf.IFNA(
        VLOOKUP($D357,{"PH","Provincial Hospital (H2)";"DH","District Hospital (H3)";"RH","Regional / National Hospital (H1)"},2,0),
        $D357
      ),
      'Tools &amp; Targets_Guideline'!$C$53:$I$53,
      0
    )
  ),
0))</f>
        <v/>
      </c>
      <c r="AH357" s="105" t="str">
        <f>IF(A357&lt;&gt;"",COUNTIFS('QA Log'!D:D,A357,'QA Log'!M:M,"QQC",'QA Log'!L:L,"2. Hygiene and Sterilization",'QA Log'!Z:Z,"Approved"),"")</f>
        <v/>
      </c>
      <c r="AI357" s="102"/>
      <c r="AJ357" s="102"/>
      <c r="AK357" s="103" t="str">
        <f t="shared" si="17"/>
        <v/>
      </c>
      <c r="AL357" s="102"/>
      <c r="AM357" s="102"/>
      <c r="AN357" s="102"/>
      <c r="AO357" s="106"/>
      <c r="AP357" s="103"/>
      <c r="AQ357" s="102"/>
      <c r="AR357" s="102"/>
      <c r="AS357" s="102"/>
      <c r="AT357" s="107"/>
      <c r="AU357" s="102" t="str">
        <f t="shared" si="18"/>
        <v/>
      </c>
      <c r="AV357" s="102" t="str">
        <f t="shared" si="19"/>
        <v/>
      </c>
      <c r="AW357" s="102" t="str">
        <f t="shared" si="20"/>
        <v/>
      </c>
      <c r="AX357" s="102" t="str">
        <f t="shared" si="21"/>
        <v/>
      </c>
      <c r="AY357" s="107" t="str">
        <f t="shared" si="22"/>
        <v/>
      </c>
      <c r="AZ357" s="108" t="str">
        <f t="shared" si="23"/>
        <v/>
      </c>
      <c r="BA357" s="108" t="str">
        <f t="shared" si="24"/>
        <v/>
      </c>
      <c r="BB357" s="109" t="str">
        <f t="shared" si="25"/>
        <v/>
      </c>
      <c r="BC357" s="108" t="str">
        <f t="shared" si="26"/>
        <v/>
      </c>
      <c r="BD357" s="108" t="str">
        <f t="shared" si="27"/>
        <v/>
      </c>
      <c r="BE357" s="109" t="str">
        <f t="shared" si="28"/>
        <v/>
      </c>
      <c r="BF357" s="110" t="str">
        <f t="shared" si="29"/>
        <v/>
      </c>
      <c r="BG357" s="111"/>
    </row>
    <row r="358" spans="1:59" ht="12.75">
      <c r="A358" s="101"/>
      <c r="B358" s="102"/>
      <c r="C358" s="102" t="e">
        <f t="array" aca="1" ref="C358" ca="1">_xludf.XLOOKUP(A358,'QA Log'!D:D,'QA Log'!F:F,"")</f>
        <v>#NAME?</v>
      </c>
      <c r="D358" s="102"/>
      <c r="E358" s="102" t="e">
        <f t="array" aca="1" ref="E358" ca="1">_xludf.XLOOKUP(A358,'QA Log'!D:D,'QA Log'!G:G,"")</f>
        <v>#NAME?</v>
      </c>
      <c r="F358" s="103"/>
      <c r="G358" s="104"/>
      <c r="H358" s="104"/>
      <c r="I358" s="103" t="str">
        <f t="shared" si="15"/>
        <v/>
      </c>
      <c r="J358" s="102"/>
      <c r="K358" s="102"/>
      <c r="L358" s="119" t="str">
        <f t="array" ref="L358">IF(OR($B358="",$D358=""),"",
IFERROR(
  INDEX(
    'Tools &amp; Targets_Guideline'!$C$54:$I$269,
    MATCH(
      1,
      ('Tools &amp; Targets_Guideline'!$A$54:$A$269=$B358)*
      ('Tools &amp; Targets_Guideline'!$B$54:$B$269="ANC"),
      0
    ),
    MATCH(
      _xludf.IFNA(
        VLOOKUP($D358,{"PH","Provincial Hospital (H2)";"DH","District Hospital (H3)";"RH","Regional / National Hospital (H1)"},2,0),
        $D358
      ),
      'Tools &amp; Targets_Guideline'!$C$53:$I$53,
      0
    )
  ),
0))</f>
        <v/>
      </c>
      <c r="M358" s="105"/>
      <c r="N358" s="119" t="str">
        <f t="array" ref="N358">IF(OR($B358="",$D358=""),"",
IFERROR(
  INDEX(
    'Tools &amp; Targets_Guideline'!$C$54:$I$269,
    MATCH(
      1,
      ('Tools &amp; Targets_Guideline'!$A$54:$A$269=$B358)*
      ('Tools &amp; Targets_Guideline'!$B$54:$B$269="PNC"),
      0
    ),
    MATCH(
      _xludf.IFNA(
        VLOOKUP($D358,{"PH","Provincial Hospital (H2)";"DH","District Hospital (H3)";"RH","Regional / National Hospital (H1)"},2,0),
        $D358
      ),
      'Tools &amp; Targets_Guideline'!$C$53:$I$53,
      0
    )
  ),
0))</f>
        <v/>
      </c>
      <c r="O358" s="105"/>
      <c r="P358" s="119" t="str">
        <f t="array" ref="P358">IF(OR($B358="",$D358=""),"",
IFERROR(
  INDEX(
    'Tools &amp; Targets_Guideline'!$C$54:$I$269,
    MATCH(
      1,
      ('Tools &amp; Targets_Guideline'!$A$54:$A$269=$B358)*
      ('Tools &amp; Targets_Guideline'!$B$54:$B$269="Delivery"),
      0
    ),
    MATCH(
      _xludf.IFNA(
        VLOOKUP($D358,{"PH","Provincial Hospital (H2)";"DH","District Hospital (H3)";"RH","Regional / National Hospital (H1)"},2,0),
        $D358
      ),
      'Tools &amp; Targets_Guideline'!$C$53:$I$53,
      0
    )
  ),
0))</f>
        <v/>
      </c>
      <c r="Q358" s="105"/>
      <c r="R358" s="119" t="str">
        <f t="array" ref="R358">IF(OR($B358="",$D358=""),"",
IFERROR(
  INDEX(
    'Tools &amp; Targets_Guideline'!$C$54:$I$269,
    MATCH(
      1,
      ('Tools &amp; Targets_Guideline'!$A$54:$A$269=$B358)*
      ('Tools &amp; Targets_Guideline'!$B$54:$B$269="TT"),
      0
    ),
    MATCH(
      _xludf.IFNA(
        VLOOKUP($D358,{"PH","Provincial Hospital (H2)";"DH","District Hospital (H3)";"RH","Regional / National Hospital (H1)"},2,0),
        $D358
      ),
      'Tools &amp; Targets_Guideline'!$C$53:$I$53,
      0
    )
  ),
0))</f>
        <v/>
      </c>
      <c r="S358" s="105"/>
      <c r="T358" s="102"/>
      <c r="U358" s="106"/>
      <c r="V358" s="102" t="str">
        <f t="shared" si="16"/>
        <v/>
      </c>
      <c r="W358" s="102"/>
      <c r="X358" s="102"/>
      <c r="Y358" s="119" t="str">
        <f t="array" ref="Y358">IF(OR($B358="",$D358=""),"",
IFERROR(
  INDEX(
    'Tools &amp; Targets_Guideline'!$C$54:$I$269,
    MATCH(
      1,
      ('Tools &amp; Targets_Guideline'!$A$54:$A$269=$B358)*
      ('Tools &amp; Targets_Guideline'!$B$54:$B$269="GM"),
      0
    ),
    MATCH(
      _xludf.IFNA(
        VLOOKUP($D358,{"PH","Provincial Hospital (H2)";"DH","District Hospital (H3)";"RH","Regional / National Hospital (H1)"},2,0),
        $D358
      ),
      'Tools &amp; Targets_Guideline'!$C$53:$I$53,
      0
    )
  ),
0))</f>
        <v/>
      </c>
      <c r="Z358" s="105"/>
      <c r="AA358" s="119" t="str">
        <f t="array" ref="AA358">IF(OR($B358="",$D358=""),"",
IFERROR(
  INDEX(
    'Tools &amp; Targets_Guideline'!$C$54:$I$269,
    MATCH(
      1,
      ('Tools &amp; Targets_Guideline'!$A$54:$A$269=$B358)*
      ('Tools &amp; Targets_Guideline'!$B$54:$B$269="Penta"),
      0
    ),
    MATCH(
      _xludf.IFNA(
        VLOOKUP($D358,{"PH","Provincial Hospital (H2)";"DH","District Hospital (H3)";"RH","Regional / National Hospital (H1)"},2,0),
        $D358
      ),
      'Tools &amp; Targets_Guideline'!$C$53:$I$53,
      0
    )
  ),
0))</f>
        <v/>
      </c>
      <c r="AB358" s="105"/>
      <c r="AC358" s="119" t="str">
        <f t="array" ref="AC358">IF(OR($B358="",$D358=""),"",
IFERROR(
  INDEX(
    'Tools &amp; Targets_Guideline'!$C$54:$I$269,
    MATCH(
      1,
      ('Tools &amp; Targets_Guideline'!$A$54:$A$269=$B358)*
      ('Tools &amp; Targets_Guideline'!$B$54:$B$269="TB"),
      0
    ),
    MATCH(
      _xludf.IFNA(
        VLOOKUP($D358,{"PH","Provincial Hospital (H2)";"DH","District Hospital (H3)";"RH","Regional / National Hospital (H1)"},2,0),
        $D358
      ),
      'Tools &amp; Targets_Guideline'!$C$53:$I$53,
      0
    )
  ),
0))</f>
        <v/>
      </c>
      <c r="AD358" s="105"/>
      <c r="AE358" s="119" t="str">
        <f t="array" ref="AE358">IF(OR($B358="",$D358=""),"",
IFERROR(
  INDEX(
    'Tools &amp; Targets_Guideline'!$C$54:$I$269,
    MATCH(
      1,
      ('Tools &amp; Targets_Guideline'!$A$54:$A$269=$B358)*
      ('Tools &amp; Targets_Guideline'!$B$54:$B$269="U5 Morbidity"),
      0
    ),
    MATCH(
      _xludf.IFNA(
        VLOOKUP($D358,{"PH","Provincial Hospital (H2)";"DH","District Hospital (H3)";"RH","Regional / National Hospital (H1)"},2,0),
        $D358
      ),
      'Tools &amp; Targets_Guideline'!$C$53:$I$53,
      0
    )
  ),
0))</f>
        <v/>
      </c>
      <c r="AF358" s="105"/>
      <c r="AG358" s="119" t="str">
        <f t="array" ref="AG358">IF(OR($B358="",$D358=""),"",
IFERROR(
  INDEX(
    'Tools &amp; Targets_Guideline'!$C$54:$I$269,
    MATCH(
      1,
      ('Tools &amp; Targets_Guideline'!$A$54:$A$269=$B358)*
      ('Tools &amp; Targets_Guideline'!$B$54:$B$269="C-Section"),
      0
    ),
    MATCH(
      _xludf.IFNA(
        VLOOKUP($D358,{"PH","Provincial Hospital (H2)";"DH","District Hospital (H3)";"RH","Regional / National Hospital (H1)"},2,0),
        $D358
      ),
      'Tools &amp; Targets_Guideline'!$C$53:$I$53,
      0
    )
  ),
0))</f>
        <v/>
      </c>
      <c r="AH358" s="105" t="str">
        <f>IF(A358&lt;&gt;"",COUNTIFS('QA Log'!D:D,A358,'QA Log'!M:M,"QQC",'QA Log'!L:L,"2. Hygiene and Sterilization",'QA Log'!Z:Z,"Approved"),"")</f>
        <v/>
      </c>
      <c r="AI358" s="102"/>
      <c r="AJ358" s="102"/>
      <c r="AK358" s="103" t="str">
        <f t="shared" si="17"/>
        <v/>
      </c>
      <c r="AL358" s="102"/>
      <c r="AM358" s="102"/>
      <c r="AN358" s="102"/>
      <c r="AO358" s="106"/>
      <c r="AP358" s="103"/>
      <c r="AQ358" s="102"/>
      <c r="AR358" s="102"/>
      <c r="AS358" s="102"/>
      <c r="AT358" s="107"/>
      <c r="AU358" s="102" t="str">
        <f t="shared" si="18"/>
        <v/>
      </c>
      <c r="AV358" s="102" t="str">
        <f t="shared" si="19"/>
        <v/>
      </c>
      <c r="AW358" s="102" t="str">
        <f t="shared" si="20"/>
        <v/>
      </c>
      <c r="AX358" s="102" t="str">
        <f t="shared" si="21"/>
        <v/>
      </c>
      <c r="AY358" s="107" t="str">
        <f t="shared" si="22"/>
        <v/>
      </c>
      <c r="AZ358" s="108" t="str">
        <f t="shared" si="23"/>
        <v/>
      </c>
      <c r="BA358" s="108" t="str">
        <f t="shared" si="24"/>
        <v/>
      </c>
      <c r="BB358" s="109" t="str">
        <f t="shared" si="25"/>
        <v/>
      </c>
      <c r="BC358" s="108" t="str">
        <f t="shared" si="26"/>
        <v/>
      </c>
      <c r="BD358" s="108" t="str">
        <f t="shared" si="27"/>
        <v/>
      </c>
      <c r="BE358" s="109" t="str">
        <f t="shared" si="28"/>
        <v/>
      </c>
      <c r="BF358" s="110" t="str">
        <f t="shared" si="29"/>
        <v/>
      </c>
      <c r="BG358" s="111"/>
    </row>
    <row r="359" spans="1:59" ht="12.75">
      <c r="A359" s="101"/>
      <c r="B359" s="102"/>
      <c r="C359" s="102" t="e">
        <f t="array" aca="1" ref="C359" ca="1">_xludf.XLOOKUP(A359,'QA Log'!D:D,'QA Log'!F:F,"")</f>
        <v>#NAME?</v>
      </c>
      <c r="D359" s="102"/>
      <c r="E359" s="102" t="e">
        <f t="array" aca="1" ref="E359" ca="1">_xludf.XLOOKUP(A359,'QA Log'!D:D,'QA Log'!G:G,"")</f>
        <v>#NAME?</v>
      </c>
      <c r="F359" s="103"/>
      <c r="G359" s="104"/>
      <c r="H359" s="104"/>
      <c r="I359" s="103" t="str">
        <f t="shared" si="15"/>
        <v/>
      </c>
      <c r="J359" s="102"/>
      <c r="K359" s="102"/>
      <c r="L359" s="119" t="str">
        <f t="array" ref="L359">IF(OR($B359="",$D359=""),"",
IFERROR(
  INDEX(
    'Tools &amp; Targets_Guideline'!$C$54:$I$269,
    MATCH(
      1,
      ('Tools &amp; Targets_Guideline'!$A$54:$A$269=$B359)*
      ('Tools &amp; Targets_Guideline'!$B$54:$B$269="ANC"),
      0
    ),
    MATCH(
      _xludf.IFNA(
        VLOOKUP($D359,{"PH","Provincial Hospital (H2)";"DH","District Hospital (H3)";"RH","Regional / National Hospital (H1)"},2,0),
        $D359
      ),
      'Tools &amp; Targets_Guideline'!$C$53:$I$53,
      0
    )
  ),
0))</f>
        <v/>
      </c>
      <c r="M359" s="105"/>
      <c r="N359" s="119" t="str">
        <f t="array" ref="N359">IF(OR($B359="",$D359=""),"",
IFERROR(
  INDEX(
    'Tools &amp; Targets_Guideline'!$C$54:$I$269,
    MATCH(
      1,
      ('Tools &amp; Targets_Guideline'!$A$54:$A$269=$B359)*
      ('Tools &amp; Targets_Guideline'!$B$54:$B$269="PNC"),
      0
    ),
    MATCH(
      _xludf.IFNA(
        VLOOKUP($D359,{"PH","Provincial Hospital (H2)";"DH","District Hospital (H3)";"RH","Regional / National Hospital (H1)"},2,0),
        $D359
      ),
      'Tools &amp; Targets_Guideline'!$C$53:$I$53,
      0
    )
  ),
0))</f>
        <v/>
      </c>
      <c r="O359" s="105"/>
      <c r="P359" s="119" t="str">
        <f t="array" ref="P359">IF(OR($B359="",$D359=""),"",
IFERROR(
  INDEX(
    'Tools &amp; Targets_Guideline'!$C$54:$I$269,
    MATCH(
      1,
      ('Tools &amp; Targets_Guideline'!$A$54:$A$269=$B359)*
      ('Tools &amp; Targets_Guideline'!$B$54:$B$269="Delivery"),
      0
    ),
    MATCH(
      _xludf.IFNA(
        VLOOKUP($D359,{"PH","Provincial Hospital (H2)";"DH","District Hospital (H3)";"RH","Regional / National Hospital (H1)"},2,0),
        $D359
      ),
      'Tools &amp; Targets_Guideline'!$C$53:$I$53,
      0
    )
  ),
0))</f>
        <v/>
      </c>
      <c r="Q359" s="105"/>
      <c r="R359" s="119" t="str">
        <f t="array" ref="R359">IF(OR($B359="",$D359=""),"",
IFERROR(
  INDEX(
    'Tools &amp; Targets_Guideline'!$C$54:$I$269,
    MATCH(
      1,
      ('Tools &amp; Targets_Guideline'!$A$54:$A$269=$B359)*
      ('Tools &amp; Targets_Guideline'!$B$54:$B$269="TT"),
      0
    ),
    MATCH(
      _xludf.IFNA(
        VLOOKUP($D359,{"PH","Provincial Hospital (H2)";"DH","District Hospital (H3)";"RH","Regional / National Hospital (H1)"},2,0),
        $D359
      ),
      'Tools &amp; Targets_Guideline'!$C$53:$I$53,
      0
    )
  ),
0))</f>
        <v/>
      </c>
      <c r="S359" s="105"/>
      <c r="T359" s="102"/>
      <c r="U359" s="106"/>
      <c r="V359" s="102" t="str">
        <f t="shared" si="16"/>
        <v/>
      </c>
      <c r="W359" s="102"/>
      <c r="X359" s="102"/>
      <c r="Y359" s="119" t="str">
        <f t="array" ref="Y359">IF(OR($B359="",$D359=""),"",
IFERROR(
  INDEX(
    'Tools &amp; Targets_Guideline'!$C$54:$I$269,
    MATCH(
      1,
      ('Tools &amp; Targets_Guideline'!$A$54:$A$269=$B359)*
      ('Tools &amp; Targets_Guideline'!$B$54:$B$269="GM"),
      0
    ),
    MATCH(
      _xludf.IFNA(
        VLOOKUP($D359,{"PH","Provincial Hospital (H2)";"DH","District Hospital (H3)";"RH","Regional / National Hospital (H1)"},2,0),
        $D359
      ),
      'Tools &amp; Targets_Guideline'!$C$53:$I$53,
      0
    )
  ),
0))</f>
        <v/>
      </c>
      <c r="Z359" s="105"/>
      <c r="AA359" s="119" t="str">
        <f t="array" ref="AA359">IF(OR($B359="",$D359=""),"",
IFERROR(
  INDEX(
    'Tools &amp; Targets_Guideline'!$C$54:$I$269,
    MATCH(
      1,
      ('Tools &amp; Targets_Guideline'!$A$54:$A$269=$B359)*
      ('Tools &amp; Targets_Guideline'!$B$54:$B$269="Penta"),
      0
    ),
    MATCH(
      _xludf.IFNA(
        VLOOKUP($D359,{"PH","Provincial Hospital (H2)";"DH","District Hospital (H3)";"RH","Regional / National Hospital (H1)"},2,0),
        $D359
      ),
      'Tools &amp; Targets_Guideline'!$C$53:$I$53,
      0
    )
  ),
0))</f>
        <v/>
      </c>
      <c r="AB359" s="105"/>
      <c r="AC359" s="119" t="str">
        <f t="array" ref="AC359">IF(OR($B359="",$D359=""),"",
IFERROR(
  INDEX(
    'Tools &amp; Targets_Guideline'!$C$54:$I$269,
    MATCH(
      1,
      ('Tools &amp; Targets_Guideline'!$A$54:$A$269=$B359)*
      ('Tools &amp; Targets_Guideline'!$B$54:$B$269="TB"),
      0
    ),
    MATCH(
      _xludf.IFNA(
        VLOOKUP($D359,{"PH","Provincial Hospital (H2)";"DH","District Hospital (H3)";"RH","Regional / National Hospital (H1)"},2,0),
        $D359
      ),
      'Tools &amp; Targets_Guideline'!$C$53:$I$53,
      0
    )
  ),
0))</f>
        <v/>
      </c>
      <c r="AD359" s="105"/>
      <c r="AE359" s="119" t="str">
        <f t="array" ref="AE359">IF(OR($B359="",$D359=""),"",
IFERROR(
  INDEX(
    'Tools &amp; Targets_Guideline'!$C$54:$I$269,
    MATCH(
      1,
      ('Tools &amp; Targets_Guideline'!$A$54:$A$269=$B359)*
      ('Tools &amp; Targets_Guideline'!$B$54:$B$269="U5 Morbidity"),
      0
    ),
    MATCH(
      _xludf.IFNA(
        VLOOKUP($D359,{"PH","Provincial Hospital (H2)";"DH","District Hospital (H3)";"RH","Regional / National Hospital (H1)"},2,0),
        $D359
      ),
      'Tools &amp; Targets_Guideline'!$C$53:$I$53,
      0
    )
  ),
0))</f>
        <v/>
      </c>
      <c r="AF359" s="105"/>
      <c r="AG359" s="119" t="str">
        <f t="array" ref="AG359">IF(OR($B359="",$D359=""),"",
IFERROR(
  INDEX(
    'Tools &amp; Targets_Guideline'!$C$54:$I$269,
    MATCH(
      1,
      ('Tools &amp; Targets_Guideline'!$A$54:$A$269=$B359)*
      ('Tools &amp; Targets_Guideline'!$B$54:$B$269="C-Section"),
      0
    ),
    MATCH(
      _xludf.IFNA(
        VLOOKUP($D359,{"PH","Provincial Hospital (H2)";"DH","District Hospital (H3)";"RH","Regional / National Hospital (H1)"},2,0),
        $D359
      ),
      'Tools &amp; Targets_Guideline'!$C$53:$I$53,
      0
    )
  ),
0))</f>
        <v/>
      </c>
      <c r="AH359" s="105" t="str">
        <f>IF(A359&lt;&gt;"",COUNTIFS('QA Log'!D:D,A359,'QA Log'!M:M,"QQC",'QA Log'!L:L,"2. Hygiene and Sterilization",'QA Log'!Z:Z,"Approved"),"")</f>
        <v/>
      </c>
      <c r="AI359" s="102"/>
      <c r="AJ359" s="102"/>
      <c r="AK359" s="103" t="str">
        <f t="shared" si="17"/>
        <v/>
      </c>
      <c r="AL359" s="102"/>
      <c r="AM359" s="102"/>
      <c r="AN359" s="102"/>
      <c r="AO359" s="106"/>
      <c r="AP359" s="103"/>
      <c r="AQ359" s="102"/>
      <c r="AR359" s="102"/>
      <c r="AS359" s="102"/>
      <c r="AT359" s="107"/>
      <c r="AU359" s="102" t="str">
        <f t="shared" si="18"/>
        <v/>
      </c>
      <c r="AV359" s="102" t="str">
        <f t="shared" si="19"/>
        <v/>
      </c>
      <c r="AW359" s="102" t="str">
        <f t="shared" si="20"/>
        <v/>
      </c>
      <c r="AX359" s="102" t="str">
        <f t="shared" si="21"/>
        <v/>
      </c>
      <c r="AY359" s="107" t="str">
        <f t="shared" si="22"/>
        <v/>
      </c>
      <c r="AZ359" s="108" t="str">
        <f t="shared" si="23"/>
        <v/>
      </c>
      <c r="BA359" s="108" t="str">
        <f t="shared" si="24"/>
        <v/>
      </c>
      <c r="BB359" s="109" t="str">
        <f t="shared" si="25"/>
        <v/>
      </c>
      <c r="BC359" s="108" t="str">
        <f t="shared" si="26"/>
        <v/>
      </c>
      <c r="BD359" s="108" t="str">
        <f t="shared" si="27"/>
        <v/>
      </c>
      <c r="BE359" s="109" t="str">
        <f t="shared" si="28"/>
        <v/>
      </c>
      <c r="BF359" s="110" t="str">
        <f t="shared" si="29"/>
        <v/>
      </c>
      <c r="BG359" s="111"/>
    </row>
    <row r="360" spans="1:59" ht="12.75">
      <c r="A360" s="101"/>
      <c r="B360" s="102"/>
      <c r="C360" s="102" t="e">
        <f t="array" aca="1" ref="C360" ca="1">_xludf.XLOOKUP(A360,'QA Log'!D:D,'QA Log'!F:F,"")</f>
        <v>#NAME?</v>
      </c>
      <c r="D360" s="102"/>
      <c r="E360" s="102" t="e">
        <f t="array" aca="1" ref="E360" ca="1">_xludf.XLOOKUP(A360,'QA Log'!D:D,'QA Log'!G:G,"")</f>
        <v>#NAME?</v>
      </c>
      <c r="F360" s="103"/>
      <c r="G360" s="104"/>
      <c r="H360" s="104"/>
      <c r="I360" s="103" t="str">
        <f t="shared" si="15"/>
        <v/>
      </c>
      <c r="J360" s="102"/>
      <c r="K360" s="102"/>
      <c r="L360" s="119" t="str">
        <f t="array" ref="L360">IF(OR($B360="",$D360=""),"",
IFERROR(
  INDEX(
    'Tools &amp; Targets_Guideline'!$C$54:$I$269,
    MATCH(
      1,
      ('Tools &amp; Targets_Guideline'!$A$54:$A$269=$B360)*
      ('Tools &amp; Targets_Guideline'!$B$54:$B$269="ANC"),
      0
    ),
    MATCH(
      _xludf.IFNA(
        VLOOKUP($D360,{"PH","Provincial Hospital (H2)";"DH","District Hospital (H3)";"RH","Regional / National Hospital (H1)"},2,0),
        $D360
      ),
      'Tools &amp; Targets_Guideline'!$C$53:$I$53,
      0
    )
  ),
0))</f>
        <v/>
      </c>
      <c r="M360" s="105"/>
      <c r="N360" s="119" t="str">
        <f t="array" ref="N360">IF(OR($B360="",$D360=""),"",
IFERROR(
  INDEX(
    'Tools &amp; Targets_Guideline'!$C$54:$I$269,
    MATCH(
      1,
      ('Tools &amp; Targets_Guideline'!$A$54:$A$269=$B360)*
      ('Tools &amp; Targets_Guideline'!$B$54:$B$269="PNC"),
      0
    ),
    MATCH(
      _xludf.IFNA(
        VLOOKUP($D360,{"PH","Provincial Hospital (H2)";"DH","District Hospital (H3)";"RH","Regional / National Hospital (H1)"},2,0),
        $D360
      ),
      'Tools &amp; Targets_Guideline'!$C$53:$I$53,
      0
    )
  ),
0))</f>
        <v/>
      </c>
      <c r="O360" s="105"/>
      <c r="P360" s="119" t="str">
        <f t="array" ref="P360">IF(OR($B360="",$D360=""),"",
IFERROR(
  INDEX(
    'Tools &amp; Targets_Guideline'!$C$54:$I$269,
    MATCH(
      1,
      ('Tools &amp; Targets_Guideline'!$A$54:$A$269=$B360)*
      ('Tools &amp; Targets_Guideline'!$B$54:$B$269="Delivery"),
      0
    ),
    MATCH(
      _xludf.IFNA(
        VLOOKUP($D360,{"PH","Provincial Hospital (H2)";"DH","District Hospital (H3)";"RH","Regional / National Hospital (H1)"},2,0),
        $D360
      ),
      'Tools &amp; Targets_Guideline'!$C$53:$I$53,
      0
    )
  ),
0))</f>
        <v/>
      </c>
      <c r="Q360" s="105"/>
      <c r="R360" s="119" t="str">
        <f t="array" ref="R360">IF(OR($B360="",$D360=""),"",
IFERROR(
  INDEX(
    'Tools &amp; Targets_Guideline'!$C$54:$I$269,
    MATCH(
      1,
      ('Tools &amp; Targets_Guideline'!$A$54:$A$269=$B360)*
      ('Tools &amp; Targets_Guideline'!$B$54:$B$269="TT"),
      0
    ),
    MATCH(
      _xludf.IFNA(
        VLOOKUP($D360,{"PH","Provincial Hospital (H2)";"DH","District Hospital (H3)";"RH","Regional / National Hospital (H1)"},2,0),
        $D360
      ),
      'Tools &amp; Targets_Guideline'!$C$53:$I$53,
      0
    )
  ),
0))</f>
        <v/>
      </c>
      <c r="S360" s="105"/>
      <c r="T360" s="102"/>
      <c r="U360" s="106"/>
      <c r="V360" s="102" t="str">
        <f t="shared" si="16"/>
        <v/>
      </c>
      <c r="W360" s="102"/>
      <c r="X360" s="102"/>
      <c r="Y360" s="119" t="str">
        <f t="array" ref="Y360">IF(OR($B360="",$D360=""),"",
IFERROR(
  INDEX(
    'Tools &amp; Targets_Guideline'!$C$54:$I$269,
    MATCH(
      1,
      ('Tools &amp; Targets_Guideline'!$A$54:$A$269=$B360)*
      ('Tools &amp; Targets_Guideline'!$B$54:$B$269="GM"),
      0
    ),
    MATCH(
      _xludf.IFNA(
        VLOOKUP($D360,{"PH","Provincial Hospital (H2)";"DH","District Hospital (H3)";"RH","Regional / National Hospital (H1)"},2,0),
        $D360
      ),
      'Tools &amp; Targets_Guideline'!$C$53:$I$53,
      0
    )
  ),
0))</f>
        <v/>
      </c>
      <c r="Z360" s="105"/>
      <c r="AA360" s="119" t="str">
        <f t="array" ref="AA360">IF(OR($B360="",$D360=""),"",
IFERROR(
  INDEX(
    'Tools &amp; Targets_Guideline'!$C$54:$I$269,
    MATCH(
      1,
      ('Tools &amp; Targets_Guideline'!$A$54:$A$269=$B360)*
      ('Tools &amp; Targets_Guideline'!$B$54:$B$269="Penta"),
      0
    ),
    MATCH(
      _xludf.IFNA(
        VLOOKUP($D360,{"PH","Provincial Hospital (H2)";"DH","District Hospital (H3)";"RH","Regional / National Hospital (H1)"},2,0),
        $D360
      ),
      'Tools &amp; Targets_Guideline'!$C$53:$I$53,
      0
    )
  ),
0))</f>
        <v/>
      </c>
      <c r="AB360" s="105"/>
      <c r="AC360" s="119" t="str">
        <f t="array" ref="AC360">IF(OR($B360="",$D360=""),"",
IFERROR(
  INDEX(
    'Tools &amp; Targets_Guideline'!$C$54:$I$269,
    MATCH(
      1,
      ('Tools &amp; Targets_Guideline'!$A$54:$A$269=$B360)*
      ('Tools &amp; Targets_Guideline'!$B$54:$B$269="TB"),
      0
    ),
    MATCH(
      _xludf.IFNA(
        VLOOKUP($D360,{"PH","Provincial Hospital (H2)";"DH","District Hospital (H3)";"RH","Regional / National Hospital (H1)"},2,0),
        $D360
      ),
      'Tools &amp; Targets_Guideline'!$C$53:$I$53,
      0
    )
  ),
0))</f>
        <v/>
      </c>
      <c r="AD360" s="105"/>
      <c r="AE360" s="119" t="str">
        <f t="array" ref="AE360">IF(OR($B360="",$D360=""),"",
IFERROR(
  INDEX(
    'Tools &amp; Targets_Guideline'!$C$54:$I$269,
    MATCH(
      1,
      ('Tools &amp; Targets_Guideline'!$A$54:$A$269=$B360)*
      ('Tools &amp; Targets_Guideline'!$B$54:$B$269="U5 Morbidity"),
      0
    ),
    MATCH(
      _xludf.IFNA(
        VLOOKUP($D360,{"PH","Provincial Hospital (H2)";"DH","District Hospital (H3)";"RH","Regional / National Hospital (H1)"},2,0),
        $D360
      ),
      'Tools &amp; Targets_Guideline'!$C$53:$I$53,
      0
    )
  ),
0))</f>
        <v/>
      </c>
      <c r="AF360" s="105"/>
      <c r="AG360" s="119" t="str">
        <f t="array" ref="AG360">IF(OR($B360="",$D360=""),"",
IFERROR(
  INDEX(
    'Tools &amp; Targets_Guideline'!$C$54:$I$269,
    MATCH(
      1,
      ('Tools &amp; Targets_Guideline'!$A$54:$A$269=$B360)*
      ('Tools &amp; Targets_Guideline'!$B$54:$B$269="C-Section"),
      0
    ),
    MATCH(
      _xludf.IFNA(
        VLOOKUP($D360,{"PH","Provincial Hospital (H2)";"DH","District Hospital (H3)";"RH","Regional / National Hospital (H1)"},2,0),
        $D360
      ),
      'Tools &amp; Targets_Guideline'!$C$53:$I$53,
      0
    )
  ),
0))</f>
        <v/>
      </c>
      <c r="AH360" s="105" t="str">
        <f>IF(A360&lt;&gt;"",COUNTIFS('QA Log'!D:D,A360,'QA Log'!M:M,"QQC",'QA Log'!L:L,"2. Hygiene and Sterilization",'QA Log'!Z:Z,"Approved"),"")</f>
        <v/>
      </c>
      <c r="AI360" s="102"/>
      <c r="AJ360" s="102"/>
      <c r="AK360" s="103" t="str">
        <f t="shared" si="17"/>
        <v/>
      </c>
      <c r="AL360" s="102"/>
      <c r="AM360" s="102"/>
      <c r="AN360" s="102"/>
      <c r="AO360" s="106"/>
      <c r="AP360" s="103"/>
      <c r="AQ360" s="102"/>
      <c r="AR360" s="102"/>
      <c r="AS360" s="102"/>
      <c r="AT360" s="107"/>
      <c r="AU360" s="102" t="str">
        <f t="shared" si="18"/>
        <v/>
      </c>
      <c r="AV360" s="102" t="str">
        <f t="shared" si="19"/>
        <v/>
      </c>
      <c r="AW360" s="102" t="str">
        <f t="shared" si="20"/>
        <v/>
      </c>
      <c r="AX360" s="102" t="str">
        <f t="shared" si="21"/>
        <v/>
      </c>
      <c r="AY360" s="107" t="str">
        <f t="shared" si="22"/>
        <v/>
      </c>
      <c r="AZ360" s="108" t="str">
        <f t="shared" si="23"/>
        <v/>
      </c>
      <c r="BA360" s="108" t="str">
        <f t="shared" si="24"/>
        <v/>
      </c>
      <c r="BB360" s="109" t="str">
        <f t="shared" si="25"/>
        <v/>
      </c>
      <c r="BC360" s="108" t="str">
        <f t="shared" si="26"/>
        <v/>
      </c>
      <c r="BD360" s="108" t="str">
        <f t="shared" si="27"/>
        <v/>
      </c>
      <c r="BE360" s="109" t="str">
        <f t="shared" si="28"/>
        <v/>
      </c>
      <c r="BF360" s="110" t="str">
        <f t="shared" si="29"/>
        <v/>
      </c>
      <c r="BG360" s="111"/>
    </row>
    <row r="361" spans="1:59" ht="12.75">
      <c r="A361" s="101"/>
      <c r="B361" s="102"/>
      <c r="C361" s="102" t="e">
        <f t="array" aca="1" ref="C361" ca="1">_xludf.XLOOKUP(A361,'QA Log'!D:D,'QA Log'!F:F,"")</f>
        <v>#NAME?</v>
      </c>
      <c r="D361" s="102"/>
      <c r="E361" s="102" t="e">
        <f t="array" aca="1" ref="E361" ca="1">_xludf.XLOOKUP(A361,'QA Log'!D:D,'QA Log'!G:G,"")</f>
        <v>#NAME?</v>
      </c>
      <c r="F361" s="103"/>
      <c r="G361" s="104"/>
      <c r="H361" s="104"/>
      <c r="I361" s="103" t="str">
        <f t="shared" si="15"/>
        <v/>
      </c>
      <c r="J361" s="102"/>
      <c r="K361" s="102"/>
      <c r="L361" s="119" t="str">
        <f t="array" ref="L361">IF(OR($B361="",$D361=""),"",
IFERROR(
  INDEX(
    'Tools &amp; Targets_Guideline'!$C$54:$I$269,
    MATCH(
      1,
      ('Tools &amp; Targets_Guideline'!$A$54:$A$269=$B361)*
      ('Tools &amp; Targets_Guideline'!$B$54:$B$269="ANC"),
      0
    ),
    MATCH(
      _xludf.IFNA(
        VLOOKUP($D361,{"PH","Provincial Hospital (H2)";"DH","District Hospital (H3)";"RH","Regional / National Hospital (H1)"},2,0),
        $D361
      ),
      'Tools &amp; Targets_Guideline'!$C$53:$I$53,
      0
    )
  ),
0))</f>
        <v/>
      </c>
      <c r="M361" s="105"/>
      <c r="N361" s="119" t="str">
        <f t="array" ref="N361">IF(OR($B361="",$D361=""),"",
IFERROR(
  INDEX(
    'Tools &amp; Targets_Guideline'!$C$54:$I$269,
    MATCH(
      1,
      ('Tools &amp; Targets_Guideline'!$A$54:$A$269=$B361)*
      ('Tools &amp; Targets_Guideline'!$B$54:$B$269="PNC"),
      0
    ),
    MATCH(
      _xludf.IFNA(
        VLOOKUP($D361,{"PH","Provincial Hospital (H2)";"DH","District Hospital (H3)";"RH","Regional / National Hospital (H1)"},2,0),
        $D361
      ),
      'Tools &amp; Targets_Guideline'!$C$53:$I$53,
      0
    )
  ),
0))</f>
        <v/>
      </c>
      <c r="O361" s="105"/>
      <c r="P361" s="119" t="str">
        <f t="array" ref="P361">IF(OR($B361="",$D361=""),"",
IFERROR(
  INDEX(
    'Tools &amp; Targets_Guideline'!$C$54:$I$269,
    MATCH(
      1,
      ('Tools &amp; Targets_Guideline'!$A$54:$A$269=$B361)*
      ('Tools &amp; Targets_Guideline'!$B$54:$B$269="Delivery"),
      0
    ),
    MATCH(
      _xludf.IFNA(
        VLOOKUP($D361,{"PH","Provincial Hospital (H2)";"DH","District Hospital (H3)";"RH","Regional / National Hospital (H1)"},2,0),
        $D361
      ),
      'Tools &amp; Targets_Guideline'!$C$53:$I$53,
      0
    )
  ),
0))</f>
        <v/>
      </c>
      <c r="Q361" s="105"/>
      <c r="R361" s="119" t="str">
        <f t="array" ref="R361">IF(OR($B361="",$D361=""),"",
IFERROR(
  INDEX(
    'Tools &amp; Targets_Guideline'!$C$54:$I$269,
    MATCH(
      1,
      ('Tools &amp; Targets_Guideline'!$A$54:$A$269=$B361)*
      ('Tools &amp; Targets_Guideline'!$B$54:$B$269="TT"),
      0
    ),
    MATCH(
      _xludf.IFNA(
        VLOOKUP($D361,{"PH","Provincial Hospital (H2)";"DH","District Hospital (H3)";"RH","Regional / National Hospital (H1)"},2,0),
        $D361
      ),
      'Tools &amp; Targets_Guideline'!$C$53:$I$53,
      0
    )
  ),
0))</f>
        <v/>
      </c>
      <c r="S361" s="105"/>
      <c r="T361" s="102"/>
      <c r="U361" s="106"/>
      <c r="V361" s="102" t="str">
        <f t="shared" si="16"/>
        <v/>
      </c>
      <c r="W361" s="102"/>
      <c r="X361" s="102"/>
      <c r="Y361" s="119" t="str">
        <f t="array" ref="Y361">IF(OR($B361="",$D361=""),"",
IFERROR(
  INDEX(
    'Tools &amp; Targets_Guideline'!$C$54:$I$269,
    MATCH(
      1,
      ('Tools &amp; Targets_Guideline'!$A$54:$A$269=$B361)*
      ('Tools &amp; Targets_Guideline'!$B$54:$B$269="GM"),
      0
    ),
    MATCH(
      _xludf.IFNA(
        VLOOKUP($D361,{"PH","Provincial Hospital (H2)";"DH","District Hospital (H3)";"RH","Regional / National Hospital (H1)"},2,0),
        $D361
      ),
      'Tools &amp; Targets_Guideline'!$C$53:$I$53,
      0
    )
  ),
0))</f>
        <v/>
      </c>
      <c r="Z361" s="105"/>
      <c r="AA361" s="119" t="str">
        <f t="array" ref="AA361">IF(OR($B361="",$D361=""),"",
IFERROR(
  INDEX(
    'Tools &amp; Targets_Guideline'!$C$54:$I$269,
    MATCH(
      1,
      ('Tools &amp; Targets_Guideline'!$A$54:$A$269=$B361)*
      ('Tools &amp; Targets_Guideline'!$B$54:$B$269="Penta"),
      0
    ),
    MATCH(
      _xludf.IFNA(
        VLOOKUP($D361,{"PH","Provincial Hospital (H2)";"DH","District Hospital (H3)";"RH","Regional / National Hospital (H1)"},2,0),
        $D361
      ),
      'Tools &amp; Targets_Guideline'!$C$53:$I$53,
      0
    )
  ),
0))</f>
        <v/>
      </c>
      <c r="AB361" s="105"/>
      <c r="AC361" s="119" t="str">
        <f t="array" ref="AC361">IF(OR($B361="",$D361=""),"",
IFERROR(
  INDEX(
    'Tools &amp; Targets_Guideline'!$C$54:$I$269,
    MATCH(
      1,
      ('Tools &amp; Targets_Guideline'!$A$54:$A$269=$B361)*
      ('Tools &amp; Targets_Guideline'!$B$54:$B$269="TB"),
      0
    ),
    MATCH(
      _xludf.IFNA(
        VLOOKUP($D361,{"PH","Provincial Hospital (H2)";"DH","District Hospital (H3)";"RH","Regional / National Hospital (H1)"},2,0),
        $D361
      ),
      'Tools &amp; Targets_Guideline'!$C$53:$I$53,
      0
    )
  ),
0))</f>
        <v/>
      </c>
      <c r="AD361" s="105"/>
      <c r="AE361" s="119" t="str">
        <f t="array" ref="AE361">IF(OR($B361="",$D361=""),"",
IFERROR(
  INDEX(
    'Tools &amp; Targets_Guideline'!$C$54:$I$269,
    MATCH(
      1,
      ('Tools &amp; Targets_Guideline'!$A$54:$A$269=$B361)*
      ('Tools &amp; Targets_Guideline'!$B$54:$B$269="U5 Morbidity"),
      0
    ),
    MATCH(
      _xludf.IFNA(
        VLOOKUP($D361,{"PH","Provincial Hospital (H2)";"DH","District Hospital (H3)";"RH","Regional / National Hospital (H1)"},2,0),
        $D361
      ),
      'Tools &amp; Targets_Guideline'!$C$53:$I$53,
      0
    )
  ),
0))</f>
        <v/>
      </c>
      <c r="AF361" s="105"/>
      <c r="AG361" s="119" t="str">
        <f t="array" ref="AG361">IF(OR($B361="",$D361=""),"",
IFERROR(
  INDEX(
    'Tools &amp; Targets_Guideline'!$C$54:$I$269,
    MATCH(
      1,
      ('Tools &amp; Targets_Guideline'!$A$54:$A$269=$B361)*
      ('Tools &amp; Targets_Guideline'!$B$54:$B$269="C-Section"),
      0
    ),
    MATCH(
      _xludf.IFNA(
        VLOOKUP($D361,{"PH","Provincial Hospital (H2)";"DH","District Hospital (H3)";"RH","Regional / National Hospital (H1)"},2,0),
        $D361
      ),
      'Tools &amp; Targets_Guideline'!$C$53:$I$53,
      0
    )
  ),
0))</f>
        <v/>
      </c>
      <c r="AH361" s="105" t="str">
        <f>IF(A361&lt;&gt;"",COUNTIFS('QA Log'!D:D,A361,'QA Log'!M:M,"QQC",'QA Log'!L:L,"2. Hygiene and Sterilization",'QA Log'!Z:Z,"Approved"),"")</f>
        <v/>
      </c>
      <c r="AI361" s="102"/>
      <c r="AJ361" s="102"/>
      <c r="AK361" s="103" t="str">
        <f t="shared" si="17"/>
        <v/>
      </c>
      <c r="AL361" s="102"/>
      <c r="AM361" s="102"/>
      <c r="AN361" s="102"/>
      <c r="AO361" s="106"/>
      <c r="AP361" s="103"/>
      <c r="AQ361" s="102"/>
      <c r="AR361" s="102"/>
      <c r="AS361" s="102"/>
      <c r="AT361" s="107"/>
      <c r="AU361" s="102" t="str">
        <f t="shared" si="18"/>
        <v/>
      </c>
      <c r="AV361" s="102" t="str">
        <f t="shared" si="19"/>
        <v/>
      </c>
      <c r="AW361" s="102" t="str">
        <f t="shared" si="20"/>
        <v/>
      </c>
      <c r="AX361" s="102" t="str">
        <f t="shared" si="21"/>
        <v/>
      </c>
      <c r="AY361" s="107" t="str">
        <f t="shared" si="22"/>
        <v/>
      </c>
      <c r="AZ361" s="108" t="str">
        <f t="shared" si="23"/>
        <v/>
      </c>
      <c r="BA361" s="108" t="str">
        <f t="shared" si="24"/>
        <v/>
      </c>
      <c r="BB361" s="109" t="str">
        <f t="shared" si="25"/>
        <v/>
      </c>
      <c r="BC361" s="108" t="str">
        <f t="shared" si="26"/>
        <v/>
      </c>
      <c r="BD361" s="108" t="str">
        <f t="shared" si="27"/>
        <v/>
      </c>
      <c r="BE361" s="109" t="str">
        <f t="shared" si="28"/>
        <v/>
      </c>
      <c r="BF361" s="110" t="str">
        <f t="shared" si="29"/>
        <v/>
      </c>
      <c r="BG361" s="111"/>
    </row>
    <row r="362" spans="1:59" ht="12.75">
      <c r="A362" s="101"/>
      <c r="B362" s="102"/>
      <c r="C362" s="102" t="e">
        <f t="array" aca="1" ref="C362" ca="1">_xludf.XLOOKUP(A362,'QA Log'!D:D,'QA Log'!F:F,"")</f>
        <v>#NAME?</v>
      </c>
      <c r="D362" s="102"/>
      <c r="E362" s="102" t="e">
        <f t="array" aca="1" ref="E362" ca="1">_xludf.XLOOKUP(A362,'QA Log'!D:D,'QA Log'!G:G,"")</f>
        <v>#NAME?</v>
      </c>
      <c r="F362" s="103"/>
      <c r="G362" s="104"/>
      <c r="H362" s="104"/>
      <c r="I362" s="103" t="str">
        <f t="shared" si="15"/>
        <v/>
      </c>
      <c r="J362" s="102"/>
      <c r="K362" s="102"/>
      <c r="L362" s="119" t="str">
        <f t="array" ref="L362">IF(OR($B362="",$D362=""),"",
IFERROR(
  INDEX(
    'Tools &amp; Targets_Guideline'!$C$54:$I$269,
    MATCH(
      1,
      ('Tools &amp; Targets_Guideline'!$A$54:$A$269=$B362)*
      ('Tools &amp; Targets_Guideline'!$B$54:$B$269="ANC"),
      0
    ),
    MATCH(
      _xludf.IFNA(
        VLOOKUP($D362,{"PH","Provincial Hospital (H2)";"DH","District Hospital (H3)";"RH","Regional / National Hospital (H1)"},2,0),
        $D362
      ),
      'Tools &amp; Targets_Guideline'!$C$53:$I$53,
      0
    )
  ),
0))</f>
        <v/>
      </c>
      <c r="M362" s="105"/>
      <c r="N362" s="119" t="str">
        <f t="array" ref="N362">IF(OR($B362="",$D362=""),"",
IFERROR(
  INDEX(
    'Tools &amp; Targets_Guideline'!$C$54:$I$269,
    MATCH(
      1,
      ('Tools &amp; Targets_Guideline'!$A$54:$A$269=$B362)*
      ('Tools &amp; Targets_Guideline'!$B$54:$B$269="PNC"),
      0
    ),
    MATCH(
      _xludf.IFNA(
        VLOOKUP($D362,{"PH","Provincial Hospital (H2)";"DH","District Hospital (H3)";"RH","Regional / National Hospital (H1)"},2,0),
        $D362
      ),
      'Tools &amp; Targets_Guideline'!$C$53:$I$53,
      0
    )
  ),
0))</f>
        <v/>
      </c>
      <c r="O362" s="105"/>
      <c r="P362" s="119" t="str">
        <f t="array" ref="P362">IF(OR($B362="",$D362=""),"",
IFERROR(
  INDEX(
    'Tools &amp; Targets_Guideline'!$C$54:$I$269,
    MATCH(
      1,
      ('Tools &amp; Targets_Guideline'!$A$54:$A$269=$B362)*
      ('Tools &amp; Targets_Guideline'!$B$54:$B$269="Delivery"),
      0
    ),
    MATCH(
      _xludf.IFNA(
        VLOOKUP($D362,{"PH","Provincial Hospital (H2)";"DH","District Hospital (H3)";"RH","Regional / National Hospital (H1)"},2,0),
        $D362
      ),
      'Tools &amp; Targets_Guideline'!$C$53:$I$53,
      0
    )
  ),
0))</f>
        <v/>
      </c>
      <c r="Q362" s="105"/>
      <c r="R362" s="119" t="str">
        <f t="array" ref="R362">IF(OR($B362="",$D362=""),"",
IFERROR(
  INDEX(
    'Tools &amp; Targets_Guideline'!$C$54:$I$269,
    MATCH(
      1,
      ('Tools &amp; Targets_Guideline'!$A$54:$A$269=$B362)*
      ('Tools &amp; Targets_Guideline'!$B$54:$B$269="TT"),
      0
    ),
    MATCH(
      _xludf.IFNA(
        VLOOKUP($D362,{"PH","Provincial Hospital (H2)";"DH","District Hospital (H3)";"RH","Regional / National Hospital (H1)"},2,0),
        $D362
      ),
      'Tools &amp; Targets_Guideline'!$C$53:$I$53,
      0
    )
  ),
0))</f>
        <v/>
      </c>
      <c r="S362" s="105"/>
      <c r="T362" s="102"/>
      <c r="U362" s="106"/>
      <c r="V362" s="102" t="str">
        <f t="shared" si="16"/>
        <v/>
      </c>
      <c r="W362" s="102"/>
      <c r="X362" s="102"/>
      <c r="Y362" s="119" t="str">
        <f t="array" ref="Y362">IF(OR($B362="",$D362=""),"",
IFERROR(
  INDEX(
    'Tools &amp; Targets_Guideline'!$C$54:$I$269,
    MATCH(
      1,
      ('Tools &amp; Targets_Guideline'!$A$54:$A$269=$B362)*
      ('Tools &amp; Targets_Guideline'!$B$54:$B$269="GM"),
      0
    ),
    MATCH(
      _xludf.IFNA(
        VLOOKUP($D362,{"PH","Provincial Hospital (H2)";"DH","District Hospital (H3)";"RH","Regional / National Hospital (H1)"},2,0),
        $D362
      ),
      'Tools &amp; Targets_Guideline'!$C$53:$I$53,
      0
    )
  ),
0))</f>
        <v/>
      </c>
      <c r="Z362" s="105"/>
      <c r="AA362" s="119" t="str">
        <f t="array" ref="AA362">IF(OR($B362="",$D362=""),"",
IFERROR(
  INDEX(
    'Tools &amp; Targets_Guideline'!$C$54:$I$269,
    MATCH(
      1,
      ('Tools &amp; Targets_Guideline'!$A$54:$A$269=$B362)*
      ('Tools &amp; Targets_Guideline'!$B$54:$B$269="Penta"),
      0
    ),
    MATCH(
      _xludf.IFNA(
        VLOOKUP($D362,{"PH","Provincial Hospital (H2)";"DH","District Hospital (H3)";"RH","Regional / National Hospital (H1)"},2,0),
        $D362
      ),
      'Tools &amp; Targets_Guideline'!$C$53:$I$53,
      0
    )
  ),
0))</f>
        <v/>
      </c>
      <c r="AB362" s="105"/>
      <c r="AC362" s="119" t="str">
        <f t="array" ref="AC362">IF(OR($B362="",$D362=""),"",
IFERROR(
  INDEX(
    'Tools &amp; Targets_Guideline'!$C$54:$I$269,
    MATCH(
      1,
      ('Tools &amp; Targets_Guideline'!$A$54:$A$269=$B362)*
      ('Tools &amp; Targets_Guideline'!$B$54:$B$269="TB"),
      0
    ),
    MATCH(
      _xludf.IFNA(
        VLOOKUP($D362,{"PH","Provincial Hospital (H2)";"DH","District Hospital (H3)";"RH","Regional / National Hospital (H1)"},2,0),
        $D362
      ),
      'Tools &amp; Targets_Guideline'!$C$53:$I$53,
      0
    )
  ),
0))</f>
        <v/>
      </c>
      <c r="AD362" s="105"/>
      <c r="AE362" s="119" t="str">
        <f t="array" ref="AE362">IF(OR($B362="",$D362=""),"",
IFERROR(
  INDEX(
    'Tools &amp; Targets_Guideline'!$C$54:$I$269,
    MATCH(
      1,
      ('Tools &amp; Targets_Guideline'!$A$54:$A$269=$B362)*
      ('Tools &amp; Targets_Guideline'!$B$54:$B$269="U5 Morbidity"),
      0
    ),
    MATCH(
      _xludf.IFNA(
        VLOOKUP($D362,{"PH","Provincial Hospital (H2)";"DH","District Hospital (H3)";"RH","Regional / National Hospital (H1)"},2,0),
        $D362
      ),
      'Tools &amp; Targets_Guideline'!$C$53:$I$53,
      0
    )
  ),
0))</f>
        <v/>
      </c>
      <c r="AF362" s="105"/>
      <c r="AG362" s="119" t="str">
        <f t="array" ref="AG362">IF(OR($B362="",$D362=""),"",
IFERROR(
  INDEX(
    'Tools &amp; Targets_Guideline'!$C$54:$I$269,
    MATCH(
      1,
      ('Tools &amp; Targets_Guideline'!$A$54:$A$269=$B362)*
      ('Tools &amp; Targets_Guideline'!$B$54:$B$269="C-Section"),
      0
    ),
    MATCH(
      _xludf.IFNA(
        VLOOKUP($D362,{"PH","Provincial Hospital (H2)";"DH","District Hospital (H3)";"RH","Regional / National Hospital (H1)"},2,0),
        $D362
      ),
      'Tools &amp; Targets_Guideline'!$C$53:$I$53,
      0
    )
  ),
0))</f>
        <v/>
      </c>
      <c r="AH362" s="105" t="str">
        <f>IF(A362&lt;&gt;"",COUNTIFS('QA Log'!D:D,A362,'QA Log'!M:M,"QQC",'QA Log'!L:L,"2. Hygiene and Sterilization",'QA Log'!Z:Z,"Approved"),"")</f>
        <v/>
      </c>
      <c r="AI362" s="102"/>
      <c r="AJ362" s="102"/>
      <c r="AK362" s="103" t="str">
        <f t="shared" si="17"/>
        <v/>
      </c>
      <c r="AL362" s="102"/>
      <c r="AM362" s="102"/>
      <c r="AN362" s="102"/>
      <c r="AO362" s="106"/>
      <c r="AP362" s="103"/>
      <c r="AQ362" s="102"/>
      <c r="AR362" s="102"/>
      <c r="AS362" s="102"/>
      <c r="AT362" s="107"/>
      <c r="AU362" s="102" t="str">
        <f t="shared" si="18"/>
        <v/>
      </c>
      <c r="AV362" s="102" t="str">
        <f t="shared" si="19"/>
        <v/>
      </c>
      <c r="AW362" s="102" t="str">
        <f t="shared" si="20"/>
        <v/>
      </c>
      <c r="AX362" s="102" t="str">
        <f t="shared" si="21"/>
        <v/>
      </c>
      <c r="AY362" s="107" t="str">
        <f t="shared" si="22"/>
        <v/>
      </c>
      <c r="AZ362" s="108" t="str">
        <f t="shared" si="23"/>
        <v/>
      </c>
      <c r="BA362" s="108" t="str">
        <f t="shared" si="24"/>
        <v/>
      </c>
      <c r="BB362" s="109" t="str">
        <f t="shared" si="25"/>
        <v/>
      </c>
      <c r="BC362" s="108" t="str">
        <f t="shared" si="26"/>
        <v/>
      </c>
      <c r="BD362" s="108" t="str">
        <f t="shared" si="27"/>
        <v/>
      </c>
      <c r="BE362" s="109" t="str">
        <f t="shared" si="28"/>
        <v/>
      </c>
      <c r="BF362" s="110" t="str">
        <f t="shared" si="29"/>
        <v/>
      </c>
      <c r="BG362" s="111"/>
    </row>
    <row r="363" spans="1:59" ht="12.75">
      <c r="A363" s="101"/>
      <c r="B363" s="102"/>
      <c r="C363" s="102" t="e">
        <f t="array" aca="1" ref="C363" ca="1">_xludf.XLOOKUP(A363,'QA Log'!D:D,'QA Log'!F:F,"")</f>
        <v>#NAME?</v>
      </c>
      <c r="D363" s="102"/>
      <c r="E363" s="102" t="e">
        <f t="array" aca="1" ref="E363" ca="1">_xludf.XLOOKUP(A363,'QA Log'!D:D,'QA Log'!G:G,"")</f>
        <v>#NAME?</v>
      </c>
      <c r="F363" s="103"/>
      <c r="G363" s="104"/>
      <c r="H363" s="104"/>
      <c r="I363" s="103" t="str">
        <f t="shared" si="15"/>
        <v/>
      </c>
      <c r="J363" s="102"/>
      <c r="K363" s="102"/>
      <c r="L363" s="119" t="str">
        <f t="array" ref="L363">IF(OR($B363="",$D363=""),"",
IFERROR(
  INDEX(
    'Tools &amp; Targets_Guideline'!$C$54:$I$269,
    MATCH(
      1,
      ('Tools &amp; Targets_Guideline'!$A$54:$A$269=$B363)*
      ('Tools &amp; Targets_Guideline'!$B$54:$B$269="ANC"),
      0
    ),
    MATCH(
      _xludf.IFNA(
        VLOOKUP($D363,{"PH","Provincial Hospital (H2)";"DH","District Hospital (H3)";"RH","Regional / National Hospital (H1)"},2,0),
        $D363
      ),
      'Tools &amp; Targets_Guideline'!$C$53:$I$53,
      0
    )
  ),
0))</f>
        <v/>
      </c>
      <c r="M363" s="105"/>
      <c r="N363" s="119" t="str">
        <f t="array" ref="N363">IF(OR($B363="",$D363=""),"",
IFERROR(
  INDEX(
    'Tools &amp; Targets_Guideline'!$C$54:$I$269,
    MATCH(
      1,
      ('Tools &amp; Targets_Guideline'!$A$54:$A$269=$B363)*
      ('Tools &amp; Targets_Guideline'!$B$54:$B$269="PNC"),
      0
    ),
    MATCH(
      _xludf.IFNA(
        VLOOKUP($D363,{"PH","Provincial Hospital (H2)";"DH","District Hospital (H3)";"RH","Regional / National Hospital (H1)"},2,0),
        $D363
      ),
      'Tools &amp; Targets_Guideline'!$C$53:$I$53,
      0
    )
  ),
0))</f>
        <v/>
      </c>
      <c r="O363" s="105"/>
      <c r="P363" s="119" t="str">
        <f t="array" ref="P363">IF(OR($B363="",$D363=""),"",
IFERROR(
  INDEX(
    'Tools &amp; Targets_Guideline'!$C$54:$I$269,
    MATCH(
      1,
      ('Tools &amp; Targets_Guideline'!$A$54:$A$269=$B363)*
      ('Tools &amp; Targets_Guideline'!$B$54:$B$269="Delivery"),
      0
    ),
    MATCH(
      _xludf.IFNA(
        VLOOKUP($D363,{"PH","Provincial Hospital (H2)";"DH","District Hospital (H3)";"RH","Regional / National Hospital (H1)"},2,0),
        $D363
      ),
      'Tools &amp; Targets_Guideline'!$C$53:$I$53,
      0
    )
  ),
0))</f>
        <v/>
      </c>
      <c r="Q363" s="105"/>
      <c r="R363" s="119" t="str">
        <f t="array" ref="R363">IF(OR($B363="",$D363=""),"",
IFERROR(
  INDEX(
    'Tools &amp; Targets_Guideline'!$C$54:$I$269,
    MATCH(
      1,
      ('Tools &amp; Targets_Guideline'!$A$54:$A$269=$B363)*
      ('Tools &amp; Targets_Guideline'!$B$54:$B$269="TT"),
      0
    ),
    MATCH(
      _xludf.IFNA(
        VLOOKUP($D363,{"PH","Provincial Hospital (H2)";"DH","District Hospital (H3)";"RH","Regional / National Hospital (H1)"},2,0),
        $D363
      ),
      'Tools &amp; Targets_Guideline'!$C$53:$I$53,
      0
    )
  ),
0))</f>
        <v/>
      </c>
      <c r="S363" s="105"/>
      <c r="T363" s="102"/>
      <c r="U363" s="106"/>
      <c r="V363" s="102" t="str">
        <f t="shared" si="16"/>
        <v/>
      </c>
      <c r="W363" s="102"/>
      <c r="X363" s="102"/>
      <c r="Y363" s="119" t="str">
        <f t="array" ref="Y363">IF(OR($B363="",$D363=""),"",
IFERROR(
  INDEX(
    'Tools &amp; Targets_Guideline'!$C$54:$I$269,
    MATCH(
      1,
      ('Tools &amp; Targets_Guideline'!$A$54:$A$269=$B363)*
      ('Tools &amp; Targets_Guideline'!$B$54:$B$269="GM"),
      0
    ),
    MATCH(
      _xludf.IFNA(
        VLOOKUP($D363,{"PH","Provincial Hospital (H2)";"DH","District Hospital (H3)";"RH","Regional / National Hospital (H1)"},2,0),
        $D363
      ),
      'Tools &amp; Targets_Guideline'!$C$53:$I$53,
      0
    )
  ),
0))</f>
        <v/>
      </c>
      <c r="Z363" s="105"/>
      <c r="AA363" s="119" t="str">
        <f t="array" ref="AA363">IF(OR($B363="",$D363=""),"",
IFERROR(
  INDEX(
    'Tools &amp; Targets_Guideline'!$C$54:$I$269,
    MATCH(
      1,
      ('Tools &amp; Targets_Guideline'!$A$54:$A$269=$B363)*
      ('Tools &amp; Targets_Guideline'!$B$54:$B$269="Penta"),
      0
    ),
    MATCH(
      _xludf.IFNA(
        VLOOKUP($D363,{"PH","Provincial Hospital (H2)";"DH","District Hospital (H3)";"RH","Regional / National Hospital (H1)"},2,0),
        $D363
      ),
      'Tools &amp; Targets_Guideline'!$C$53:$I$53,
      0
    )
  ),
0))</f>
        <v/>
      </c>
      <c r="AB363" s="105"/>
      <c r="AC363" s="119" t="str">
        <f t="array" ref="AC363">IF(OR($B363="",$D363=""),"",
IFERROR(
  INDEX(
    'Tools &amp; Targets_Guideline'!$C$54:$I$269,
    MATCH(
      1,
      ('Tools &amp; Targets_Guideline'!$A$54:$A$269=$B363)*
      ('Tools &amp; Targets_Guideline'!$B$54:$B$269="TB"),
      0
    ),
    MATCH(
      _xludf.IFNA(
        VLOOKUP($D363,{"PH","Provincial Hospital (H2)";"DH","District Hospital (H3)";"RH","Regional / National Hospital (H1)"},2,0),
        $D363
      ),
      'Tools &amp; Targets_Guideline'!$C$53:$I$53,
      0
    )
  ),
0))</f>
        <v/>
      </c>
      <c r="AD363" s="105"/>
      <c r="AE363" s="119" t="str">
        <f t="array" ref="AE363">IF(OR($B363="",$D363=""),"",
IFERROR(
  INDEX(
    'Tools &amp; Targets_Guideline'!$C$54:$I$269,
    MATCH(
      1,
      ('Tools &amp; Targets_Guideline'!$A$54:$A$269=$B363)*
      ('Tools &amp; Targets_Guideline'!$B$54:$B$269="U5 Morbidity"),
      0
    ),
    MATCH(
      _xludf.IFNA(
        VLOOKUP($D363,{"PH","Provincial Hospital (H2)";"DH","District Hospital (H3)";"RH","Regional / National Hospital (H1)"},2,0),
        $D363
      ),
      'Tools &amp; Targets_Guideline'!$C$53:$I$53,
      0
    )
  ),
0))</f>
        <v/>
      </c>
      <c r="AF363" s="105"/>
      <c r="AG363" s="119" t="str">
        <f t="array" ref="AG363">IF(OR($B363="",$D363=""),"",
IFERROR(
  INDEX(
    'Tools &amp; Targets_Guideline'!$C$54:$I$269,
    MATCH(
      1,
      ('Tools &amp; Targets_Guideline'!$A$54:$A$269=$B363)*
      ('Tools &amp; Targets_Guideline'!$B$54:$B$269="C-Section"),
      0
    ),
    MATCH(
      _xludf.IFNA(
        VLOOKUP($D363,{"PH","Provincial Hospital (H2)";"DH","District Hospital (H3)";"RH","Regional / National Hospital (H1)"},2,0),
        $D363
      ),
      'Tools &amp; Targets_Guideline'!$C$53:$I$53,
      0
    )
  ),
0))</f>
        <v/>
      </c>
      <c r="AH363" s="105" t="str">
        <f>IF(A363&lt;&gt;"",COUNTIFS('QA Log'!D:D,A363,'QA Log'!M:M,"QQC",'QA Log'!L:L,"2. Hygiene and Sterilization",'QA Log'!Z:Z,"Approved"),"")</f>
        <v/>
      </c>
      <c r="AI363" s="102"/>
      <c r="AJ363" s="102"/>
      <c r="AK363" s="103" t="str">
        <f t="shared" si="17"/>
        <v/>
      </c>
      <c r="AL363" s="102"/>
      <c r="AM363" s="102"/>
      <c r="AN363" s="102"/>
      <c r="AO363" s="106"/>
      <c r="AP363" s="103"/>
      <c r="AQ363" s="102"/>
      <c r="AR363" s="102"/>
      <c r="AS363" s="102"/>
      <c r="AT363" s="107"/>
      <c r="AU363" s="102" t="str">
        <f t="shared" si="18"/>
        <v/>
      </c>
      <c r="AV363" s="102" t="str">
        <f t="shared" si="19"/>
        <v/>
      </c>
      <c r="AW363" s="102" t="str">
        <f t="shared" si="20"/>
        <v/>
      </c>
      <c r="AX363" s="102" t="str">
        <f t="shared" si="21"/>
        <v/>
      </c>
      <c r="AY363" s="107" t="str">
        <f t="shared" si="22"/>
        <v/>
      </c>
      <c r="AZ363" s="108" t="str">
        <f t="shared" si="23"/>
        <v/>
      </c>
      <c r="BA363" s="108" t="str">
        <f t="shared" si="24"/>
        <v/>
      </c>
      <c r="BB363" s="109" t="str">
        <f t="shared" si="25"/>
        <v/>
      </c>
      <c r="BC363" s="108" t="str">
        <f t="shared" si="26"/>
        <v/>
      </c>
      <c r="BD363" s="108" t="str">
        <f t="shared" si="27"/>
        <v/>
      </c>
      <c r="BE363" s="109" t="str">
        <f t="shared" si="28"/>
        <v/>
      </c>
      <c r="BF363" s="110" t="str">
        <f t="shared" si="29"/>
        <v/>
      </c>
      <c r="BG363" s="111"/>
    </row>
    <row r="364" spans="1:59" ht="12.75">
      <c r="A364" s="101"/>
      <c r="B364" s="102"/>
      <c r="C364" s="102" t="e">
        <f t="array" aca="1" ref="C364" ca="1">_xludf.XLOOKUP(A364,'QA Log'!D:D,'QA Log'!F:F,"")</f>
        <v>#NAME?</v>
      </c>
      <c r="D364" s="102"/>
      <c r="E364" s="102" t="e">
        <f t="array" aca="1" ref="E364" ca="1">_xludf.XLOOKUP(A364,'QA Log'!D:D,'QA Log'!G:G,"")</f>
        <v>#NAME?</v>
      </c>
      <c r="F364" s="103"/>
      <c r="G364" s="104"/>
      <c r="H364" s="104"/>
      <c r="I364" s="103" t="str">
        <f t="shared" si="15"/>
        <v/>
      </c>
      <c r="J364" s="102"/>
      <c r="K364" s="102"/>
      <c r="L364" s="119" t="str">
        <f t="array" ref="L364">IF(OR($B364="",$D364=""),"",
IFERROR(
  INDEX(
    'Tools &amp; Targets_Guideline'!$C$54:$I$269,
    MATCH(
      1,
      ('Tools &amp; Targets_Guideline'!$A$54:$A$269=$B364)*
      ('Tools &amp; Targets_Guideline'!$B$54:$B$269="ANC"),
      0
    ),
    MATCH(
      _xludf.IFNA(
        VLOOKUP($D364,{"PH","Provincial Hospital (H2)";"DH","District Hospital (H3)";"RH","Regional / National Hospital (H1)"},2,0),
        $D364
      ),
      'Tools &amp; Targets_Guideline'!$C$53:$I$53,
      0
    )
  ),
0))</f>
        <v/>
      </c>
      <c r="M364" s="105"/>
      <c r="N364" s="119" t="str">
        <f t="array" ref="N364">IF(OR($B364="",$D364=""),"",
IFERROR(
  INDEX(
    'Tools &amp; Targets_Guideline'!$C$54:$I$269,
    MATCH(
      1,
      ('Tools &amp; Targets_Guideline'!$A$54:$A$269=$B364)*
      ('Tools &amp; Targets_Guideline'!$B$54:$B$269="PNC"),
      0
    ),
    MATCH(
      _xludf.IFNA(
        VLOOKUP($D364,{"PH","Provincial Hospital (H2)";"DH","District Hospital (H3)";"RH","Regional / National Hospital (H1)"},2,0),
        $D364
      ),
      'Tools &amp; Targets_Guideline'!$C$53:$I$53,
      0
    )
  ),
0))</f>
        <v/>
      </c>
      <c r="O364" s="105"/>
      <c r="P364" s="119" t="str">
        <f t="array" ref="P364">IF(OR($B364="",$D364=""),"",
IFERROR(
  INDEX(
    'Tools &amp; Targets_Guideline'!$C$54:$I$269,
    MATCH(
      1,
      ('Tools &amp; Targets_Guideline'!$A$54:$A$269=$B364)*
      ('Tools &amp; Targets_Guideline'!$B$54:$B$269="Delivery"),
      0
    ),
    MATCH(
      _xludf.IFNA(
        VLOOKUP($D364,{"PH","Provincial Hospital (H2)";"DH","District Hospital (H3)";"RH","Regional / National Hospital (H1)"},2,0),
        $D364
      ),
      'Tools &amp; Targets_Guideline'!$C$53:$I$53,
      0
    )
  ),
0))</f>
        <v/>
      </c>
      <c r="Q364" s="105"/>
      <c r="R364" s="119" t="str">
        <f t="array" ref="R364">IF(OR($B364="",$D364=""),"",
IFERROR(
  INDEX(
    'Tools &amp; Targets_Guideline'!$C$54:$I$269,
    MATCH(
      1,
      ('Tools &amp; Targets_Guideline'!$A$54:$A$269=$B364)*
      ('Tools &amp; Targets_Guideline'!$B$54:$B$269="TT"),
      0
    ),
    MATCH(
      _xludf.IFNA(
        VLOOKUP($D364,{"PH","Provincial Hospital (H2)";"DH","District Hospital (H3)";"RH","Regional / National Hospital (H1)"},2,0),
        $D364
      ),
      'Tools &amp; Targets_Guideline'!$C$53:$I$53,
      0
    )
  ),
0))</f>
        <v/>
      </c>
      <c r="S364" s="105"/>
      <c r="T364" s="102"/>
      <c r="U364" s="106"/>
      <c r="V364" s="102" t="str">
        <f t="shared" si="16"/>
        <v/>
      </c>
      <c r="W364" s="102"/>
      <c r="X364" s="102"/>
      <c r="Y364" s="119" t="str">
        <f t="array" ref="Y364">IF(OR($B364="",$D364=""),"",
IFERROR(
  INDEX(
    'Tools &amp; Targets_Guideline'!$C$54:$I$269,
    MATCH(
      1,
      ('Tools &amp; Targets_Guideline'!$A$54:$A$269=$B364)*
      ('Tools &amp; Targets_Guideline'!$B$54:$B$269="GM"),
      0
    ),
    MATCH(
      _xludf.IFNA(
        VLOOKUP($D364,{"PH","Provincial Hospital (H2)";"DH","District Hospital (H3)";"RH","Regional / National Hospital (H1)"},2,0),
        $D364
      ),
      'Tools &amp; Targets_Guideline'!$C$53:$I$53,
      0
    )
  ),
0))</f>
        <v/>
      </c>
      <c r="Z364" s="105"/>
      <c r="AA364" s="119" t="str">
        <f t="array" ref="AA364">IF(OR($B364="",$D364=""),"",
IFERROR(
  INDEX(
    'Tools &amp; Targets_Guideline'!$C$54:$I$269,
    MATCH(
      1,
      ('Tools &amp; Targets_Guideline'!$A$54:$A$269=$B364)*
      ('Tools &amp; Targets_Guideline'!$B$54:$B$269="Penta"),
      0
    ),
    MATCH(
      _xludf.IFNA(
        VLOOKUP($D364,{"PH","Provincial Hospital (H2)";"DH","District Hospital (H3)";"RH","Regional / National Hospital (H1)"},2,0),
        $D364
      ),
      'Tools &amp; Targets_Guideline'!$C$53:$I$53,
      0
    )
  ),
0))</f>
        <v/>
      </c>
      <c r="AB364" s="105"/>
      <c r="AC364" s="119" t="str">
        <f t="array" ref="AC364">IF(OR($B364="",$D364=""),"",
IFERROR(
  INDEX(
    'Tools &amp; Targets_Guideline'!$C$54:$I$269,
    MATCH(
      1,
      ('Tools &amp; Targets_Guideline'!$A$54:$A$269=$B364)*
      ('Tools &amp; Targets_Guideline'!$B$54:$B$269="TB"),
      0
    ),
    MATCH(
      _xludf.IFNA(
        VLOOKUP($D364,{"PH","Provincial Hospital (H2)";"DH","District Hospital (H3)";"RH","Regional / National Hospital (H1)"},2,0),
        $D364
      ),
      'Tools &amp; Targets_Guideline'!$C$53:$I$53,
      0
    )
  ),
0))</f>
        <v/>
      </c>
      <c r="AD364" s="105"/>
      <c r="AE364" s="119" t="str">
        <f t="array" ref="AE364">IF(OR($B364="",$D364=""),"",
IFERROR(
  INDEX(
    'Tools &amp; Targets_Guideline'!$C$54:$I$269,
    MATCH(
      1,
      ('Tools &amp; Targets_Guideline'!$A$54:$A$269=$B364)*
      ('Tools &amp; Targets_Guideline'!$B$54:$B$269="U5 Morbidity"),
      0
    ),
    MATCH(
      _xludf.IFNA(
        VLOOKUP($D364,{"PH","Provincial Hospital (H2)";"DH","District Hospital (H3)";"RH","Regional / National Hospital (H1)"},2,0),
        $D364
      ),
      'Tools &amp; Targets_Guideline'!$C$53:$I$53,
      0
    )
  ),
0))</f>
        <v/>
      </c>
      <c r="AF364" s="105"/>
      <c r="AG364" s="119" t="str">
        <f t="array" ref="AG364">IF(OR($B364="",$D364=""),"",
IFERROR(
  INDEX(
    'Tools &amp; Targets_Guideline'!$C$54:$I$269,
    MATCH(
      1,
      ('Tools &amp; Targets_Guideline'!$A$54:$A$269=$B364)*
      ('Tools &amp; Targets_Guideline'!$B$54:$B$269="C-Section"),
      0
    ),
    MATCH(
      _xludf.IFNA(
        VLOOKUP($D364,{"PH","Provincial Hospital (H2)";"DH","District Hospital (H3)";"RH","Regional / National Hospital (H1)"},2,0),
        $D364
      ),
      'Tools &amp; Targets_Guideline'!$C$53:$I$53,
      0
    )
  ),
0))</f>
        <v/>
      </c>
      <c r="AH364" s="105" t="str">
        <f>IF(A364&lt;&gt;"",COUNTIFS('QA Log'!D:D,A364,'QA Log'!M:M,"QQC",'QA Log'!L:L,"2. Hygiene and Sterilization",'QA Log'!Z:Z,"Approved"),"")</f>
        <v/>
      </c>
      <c r="AI364" s="102"/>
      <c r="AJ364" s="102"/>
      <c r="AK364" s="103" t="str">
        <f t="shared" si="17"/>
        <v/>
      </c>
      <c r="AL364" s="102"/>
      <c r="AM364" s="102"/>
      <c r="AN364" s="102"/>
      <c r="AO364" s="106"/>
      <c r="AP364" s="103"/>
      <c r="AQ364" s="102"/>
      <c r="AR364" s="102"/>
      <c r="AS364" s="102"/>
      <c r="AT364" s="107"/>
      <c r="AU364" s="102" t="str">
        <f t="shared" si="18"/>
        <v/>
      </c>
      <c r="AV364" s="102" t="str">
        <f t="shared" si="19"/>
        <v/>
      </c>
      <c r="AW364" s="102" t="str">
        <f t="shared" si="20"/>
        <v/>
      </c>
      <c r="AX364" s="102" t="str">
        <f t="shared" si="21"/>
        <v/>
      </c>
      <c r="AY364" s="107" t="str">
        <f t="shared" si="22"/>
        <v/>
      </c>
      <c r="AZ364" s="108" t="str">
        <f t="shared" si="23"/>
        <v/>
      </c>
      <c r="BA364" s="108" t="str">
        <f t="shared" si="24"/>
        <v/>
      </c>
      <c r="BB364" s="109" t="str">
        <f t="shared" si="25"/>
        <v/>
      </c>
      <c r="BC364" s="108" t="str">
        <f t="shared" si="26"/>
        <v/>
      </c>
      <c r="BD364" s="108" t="str">
        <f t="shared" si="27"/>
        <v/>
      </c>
      <c r="BE364" s="109" t="str">
        <f t="shared" si="28"/>
        <v/>
      </c>
      <c r="BF364" s="110" t="str">
        <f t="shared" si="29"/>
        <v/>
      </c>
      <c r="BG364" s="111"/>
    </row>
    <row r="365" spans="1:59" ht="12.75">
      <c r="A365" s="101"/>
      <c r="B365" s="102"/>
      <c r="C365" s="102" t="e">
        <f t="array" aca="1" ref="C365" ca="1">_xludf.XLOOKUP(A365,'QA Log'!D:D,'QA Log'!F:F,"")</f>
        <v>#NAME?</v>
      </c>
      <c r="D365" s="102"/>
      <c r="E365" s="102" t="e">
        <f t="array" aca="1" ref="E365" ca="1">_xludf.XLOOKUP(A365,'QA Log'!D:D,'QA Log'!G:G,"")</f>
        <v>#NAME?</v>
      </c>
      <c r="F365" s="103"/>
      <c r="G365" s="104"/>
      <c r="H365" s="104"/>
      <c r="I365" s="103" t="str">
        <f t="shared" si="15"/>
        <v/>
      </c>
      <c r="J365" s="102"/>
      <c r="K365" s="102"/>
      <c r="L365" s="119" t="str">
        <f t="array" ref="L365">IF(OR($B365="",$D365=""),"",
IFERROR(
  INDEX(
    'Tools &amp; Targets_Guideline'!$C$54:$I$269,
    MATCH(
      1,
      ('Tools &amp; Targets_Guideline'!$A$54:$A$269=$B365)*
      ('Tools &amp; Targets_Guideline'!$B$54:$B$269="ANC"),
      0
    ),
    MATCH(
      _xludf.IFNA(
        VLOOKUP($D365,{"PH","Provincial Hospital (H2)";"DH","District Hospital (H3)";"RH","Regional / National Hospital (H1)"},2,0),
        $D365
      ),
      'Tools &amp; Targets_Guideline'!$C$53:$I$53,
      0
    )
  ),
0))</f>
        <v/>
      </c>
      <c r="M365" s="105"/>
      <c r="N365" s="119" t="str">
        <f t="array" ref="N365">IF(OR($B365="",$D365=""),"",
IFERROR(
  INDEX(
    'Tools &amp; Targets_Guideline'!$C$54:$I$269,
    MATCH(
      1,
      ('Tools &amp; Targets_Guideline'!$A$54:$A$269=$B365)*
      ('Tools &amp; Targets_Guideline'!$B$54:$B$269="PNC"),
      0
    ),
    MATCH(
      _xludf.IFNA(
        VLOOKUP($D365,{"PH","Provincial Hospital (H2)";"DH","District Hospital (H3)";"RH","Regional / National Hospital (H1)"},2,0),
        $D365
      ),
      'Tools &amp; Targets_Guideline'!$C$53:$I$53,
      0
    )
  ),
0))</f>
        <v/>
      </c>
      <c r="O365" s="105"/>
      <c r="P365" s="119" t="str">
        <f t="array" ref="P365">IF(OR($B365="",$D365=""),"",
IFERROR(
  INDEX(
    'Tools &amp; Targets_Guideline'!$C$54:$I$269,
    MATCH(
      1,
      ('Tools &amp; Targets_Guideline'!$A$54:$A$269=$B365)*
      ('Tools &amp; Targets_Guideline'!$B$54:$B$269="Delivery"),
      0
    ),
    MATCH(
      _xludf.IFNA(
        VLOOKUP($D365,{"PH","Provincial Hospital (H2)";"DH","District Hospital (H3)";"RH","Regional / National Hospital (H1)"},2,0),
        $D365
      ),
      'Tools &amp; Targets_Guideline'!$C$53:$I$53,
      0
    )
  ),
0))</f>
        <v/>
      </c>
      <c r="Q365" s="105"/>
      <c r="R365" s="119" t="str">
        <f t="array" ref="R365">IF(OR($B365="",$D365=""),"",
IFERROR(
  INDEX(
    'Tools &amp; Targets_Guideline'!$C$54:$I$269,
    MATCH(
      1,
      ('Tools &amp; Targets_Guideline'!$A$54:$A$269=$B365)*
      ('Tools &amp; Targets_Guideline'!$B$54:$B$269="TT"),
      0
    ),
    MATCH(
      _xludf.IFNA(
        VLOOKUP($D365,{"PH","Provincial Hospital (H2)";"DH","District Hospital (H3)";"RH","Regional / National Hospital (H1)"},2,0),
        $D365
      ),
      'Tools &amp; Targets_Guideline'!$C$53:$I$53,
      0
    )
  ),
0))</f>
        <v/>
      </c>
      <c r="S365" s="105"/>
      <c r="T365" s="102"/>
      <c r="U365" s="106"/>
      <c r="V365" s="102" t="str">
        <f t="shared" si="16"/>
        <v/>
      </c>
      <c r="W365" s="102"/>
      <c r="X365" s="102"/>
      <c r="Y365" s="119" t="str">
        <f t="array" ref="Y365">IF(OR($B365="",$D365=""),"",
IFERROR(
  INDEX(
    'Tools &amp; Targets_Guideline'!$C$54:$I$269,
    MATCH(
      1,
      ('Tools &amp; Targets_Guideline'!$A$54:$A$269=$B365)*
      ('Tools &amp; Targets_Guideline'!$B$54:$B$269="GM"),
      0
    ),
    MATCH(
      _xludf.IFNA(
        VLOOKUP($D365,{"PH","Provincial Hospital (H2)";"DH","District Hospital (H3)";"RH","Regional / National Hospital (H1)"},2,0),
        $D365
      ),
      'Tools &amp; Targets_Guideline'!$C$53:$I$53,
      0
    )
  ),
0))</f>
        <v/>
      </c>
      <c r="Z365" s="105"/>
      <c r="AA365" s="119" t="str">
        <f t="array" ref="AA365">IF(OR($B365="",$D365=""),"",
IFERROR(
  INDEX(
    'Tools &amp; Targets_Guideline'!$C$54:$I$269,
    MATCH(
      1,
      ('Tools &amp; Targets_Guideline'!$A$54:$A$269=$B365)*
      ('Tools &amp; Targets_Guideline'!$B$54:$B$269="Penta"),
      0
    ),
    MATCH(
      _xludf.IFNA(
        VLOOKUP($D365,{"PH","Provincial Hospital (H2)";"DH","District Hospital (H3)";"RH","Regional / National Hospital (H1)"},2,0),
        $D365
      ),
      'Tools &amp; Targets_Guideline'!$C$53:$I$53,
      0
    )
  ),
0))</f>
        <v/>
      </c>
      <c r="AB365" s="105"/>
      <c r="AC365" s="119" t="str">
        <f t="array" ref="AC365">IF(OR($B365="",$D365=""),"",
IFERROR(
  INDEX(
    'Tools &amp; Targets_Guideline'!$C$54:$I$269,
    MATCH(
      1,
      ('Tools &amp; Targets_Guideline'!$A$54:$A$269=$B365)*
      ('Tools &amp; Targets_Guideline'!$B$54:$B$269="TB"),
      0
    ),
    MATCH(
      _xludf.IFNA(
        VLOOKUP($D365,{"PH","Provincial Hospital (H2)";"DH","District Hospital (H3)";"RH","Regional / National Hospital (H1)"},2,0),
        $D365
      ),
      'Tools &amp; Targets_Guideline'!$C$53:$I$53,
      0
    )
  ),
0))</f>
        <v/>
      </c>
      <c r="AD365" s="105"/>
      <c r="AE365" s="119" t="str">
        <f t="array" ref="AE365">IF(OR($B365="",$D365=""),"",
IFERROR(
  INDEX(
    'Tools &amp; Targets_Guideline'!$C$54:$I$269,
    MATCH(
      1,
      ('Tools &amp; Targets_Guideline'!$A$54:$A$269=$B365)*
      ('Tools &amp; Targets_Guideline'!$B$54:$B$269="U5 Morbidity"),
      0
    ),
    MATCH(
      _xludf.IFNA(
        VLOOKUP($D365,{"PH","Provincial Hospital (H2)";"DH","District Hospital (H3)";"RH","Regional / National Hospital (H1)"},2,0),
        $D365
      ),
      'Tools &amp; Targets_Guideline'!$C$53:$I$53,
      0
    )
  ),
0))</f>
        <v/>
      </c>
      <c r="AF365" s="105"/>
      <c r="AG365" s="119" t="str">
        <f t="array" ref="AG365">IF(OR($B365="",$D365=""),"",
IFERROR(
  INDEX(
    'Tools &amp; Targets_Guideline'!$C$54:$I$269,
    MATCH(
      1,
      ('Tools &amp; Targets_Guideline'!$A$54:$A$269=$B365)*
      ('Tools &amp; Targets_Guideline'!$B$54:$B$269="C-Section"),
      0
    ),
    MATCH(
      _xludf.IFNA(
        VLOOKUP($D365,{"PH","Provincial Hospital (H2)";"DH","District Hospital (H3)";"RH","Regional / National Hospital (H1)"},2,0),
        $D365
      ),
      'Tools &amp; Targets_Guideline'!$C$53:$I$53,
      0
    )
  ),
0))</f>
        <v/>
      </c>
      <c r="AH365" s="105" t="str">
        <f>IF(A365&lt;&gt;"",COUNTIFS('QA Log'!D:D,A365,'QA Log'!M:M,"QQC",'QA Log'!L:L,"2. Hygiene and Sterilization",'QA Log'!Z:Z,"Approved"),"")</f>
        <v/>
      </c>
      <c r="AI365" s="102"/>
      <c r="AJ365" s="102"/>
      <c r="AK365" s="103" t="str">
        <f t="shared" si="17"/>
        <v/>
      </c>
      <c r="AL365" s="102"/>
      <c r="AM365" s="102"/>
      <c r="AN365" s="102"/>
      <c r="AO365" s="106"/>
      <c r="AP365" s="103"/>
      <c r="AQ365" s="102"/>
      <c r="AR365" s="102"/>
      <c r="AS365" s="102"/>
      <c r="AT365" s="107"/>
      <c r="AU365" s="102" t="str">
        <f t="shared" si="18"/>
        <v/>
      </c>
      <c r="AV365" s="102" t="str">
        <f t="shared" si="19"/>
        <v/>
      </c>
      <c r="AW365" s="102" t="str">
        <f t="shared" si="20"/>
        <v/>
      </c>
      <c r="AX365" s="102" t="str">
        <f t="shared" si="21"/>
        <v/>
      </c>
      <c r="AY365" s="107" t="str">
        <f t="shared" si="22"/>
        <v/>
      </c>
      <c r="AZ365" s="108" t="str">
        <f t="shared" si="23"/>
        <v/>
      </c>
      <c r="BA365" s="108" t="str">
        <f t="shared" si="24"/>
        <v/>
      </c>
      <c r="BB365" s="109" t="str">
        <f t="shared" si="25"/>
        <v/>
      </c>
      <c r="BC365" s="108" t="str">
        <f t="shared" si="26"/>
        <v/>
      </c>
      <c r="BD365" s="108" t="str">
        <f t="shared" si="27"/>
        <v/>
      </c>
      <c r="BE365" s="109" t="str">
        <f t="shared" si="28"/>
        <v/>
      </c>
      <c r="BF365" s="110" t="str">
        <f t="shared" si="29"/>
        <v/>
      </c>
      <c r="BG365" s="111"/>
    </row>
    <row r="366" spans="1:59" ht="12.75">
      <c r="A366" s="101"/>
      <c r="B366" s="102"/>
      <c r="C366" s="102" t="e">
        <f t="array" aca="1" ref="C366" ca="1">_xludf.XLOOKUP(A366,'QA Log'!D:D,'QA Log'!F:F,"")</f>
        <v>#NAME?</v>
      </c>
      <c r="D366" s="102"/>
      <c r="E366" s="102" t="e">
        <f t="array" aca="1" ref="E366" ca="1">_xludf.XLOOKUP(A366,'QA Log'!D:D,'QA Log'!G:G,"")</f>
        <v>#NAME?</v>
      </c>
      <c r="F366" s="103"/>
      <c r="G366" s="104"/>
      <c r="H366" s="104"/>
      <c r="I366" s="103" t="str">
        <f t="shared" si="15"/>
        <v/>
      </c>
      <c r="J366" s="102"/>
      <c r="K366" s="102"/>
      <c r="L366" s="119" t="str">
        <f t="array" ref="L366">IF(OR($B366="",$D366=""),"",
IFERROR(
  INDEX(
    'Tools &amp; Targets_Guideline'!$C$54:$I$269,
    MATCH(
      1,
      ('Tools &amp; Targets_Guideline'!$A$54:$A$269=$B366)*
      ('Tools &amp; Targets_Guideline'!$B$54:$B$269="ANC"),
      0
    ),
    MATCH(
      _xludf.IFNA(
        VLOOKUP($D366,{"PH","Provincial Hospital (H2)";"DH","District Hospital (H3)";"RH","Regional / National Hospital (H1)"},2,0),
        $D366
      ),
      'Tools &amp; Targets_Guideline'!$C$53:$I$53,
      0
    )
  ),
0))</f>
        <v/>
      </c>
      <c r="M366" s="105"/>
      <c r="N366" s="119" t="str">
        <f t="array" ref="N366">IF(OR($B366="",$D366=""),"",
IFERROR(
  INDEX(
    'Tools &amp; Targets_Guideline'!$C$54:$I$269,
    MATCH(
      1,
      ('Tools &amp; Targets_Guideline'!$A$54:$A$269=$B366)*
      ('Tools &amp; Targets_Guideline'!$B$54:$B$269="PNC"),
      0
    ),
    MATCH(
      _xludf.IFNA(
        VLOOKUP($D366,{"PH","Provincial Hospital (H2)";"DH","District Hospital (H3)";"RH","Regional / National Hospital (H1)"},2,0),
        $D366
      ),
      'Tools &amp; Targets_Guideline'!$C$53:$I$53,
      0
    )
  ),
0))</f>
        <v/>
      </c>
      <c r="O366" s="105"/>
      <c r="P366" s="119" t="str">
        <f t="array" ref="P366">IF(OR($B366="",$D366=""),"",
IFERROR(
  INDEX(
    'Tools &amp; Targets_Guideline'!$C$54:$I$269,
    MATCH(
      1,
      ('Tools &amp; Targets_Guideline'!$A$54:$A$269=$B366)*
      ('Tools &amp; Targets_Guideline'!$B$54:$B$269="Delivery"),
      0
    ),
    MATCH(
      _xludf.IFNA(
        VLOOKUP($D366,{"PH","Provincial Hospital (H2)";"DH","District Hospital (H3)";"RH","Regional / National Hospital (H1)"},2,0),
        $D366
      ),
      'Tools &amp; Targets_Guideline'!$C$53:$I$53,
      0
    )
  ),
0))</f>
        <v/>
      </c>
      <c r="Q366" s="105"/>
      <c r="R366" s="119" t="str">
        <f t="array" ref="R366">IF(OR($B366="",$D366=""),"",
IFERROR(
  INDEX(
    'Tools &amp; Targets_Guideline'!$C$54:$I$269,
    MATCH(
      1,
      ('Tools &amp; Targets_Guideline'!$A$54:$A$269=$B366)*
      ('Tools &amp; Targets_Guideline'!$B$54:$B$269="TT"),
      0
    ),
    MATCH(
      _xludf.IFNA(
        VLOOKUP($D366,{"PH","Provincial Hospital (H2)";"DH","District Hospital (H3)";"RH","Regional / National Hospital (H1)"},2,0),
        $D366
      ),
      'Tools &amp; Targets_Guideline'!$C$53:$I$53,
      0
    )
  ),
0))</f>
        <v/>
      </c>
      <c r="S366" s="105"/>
      <c r="T366" s="102"/>
      <c r="U366" s="106"/>
      <c r="V366" s="102" t="str">
        <f t="shared" si="16"/>
        <v/>
      </c>
      <c r="W366" s="102"/>
      <c r="X366" s="102"/>
      <c r="Y366" s="119" t="str">
        <f t="array" ref="Y366">IF(OR($B366="",$D366=""),"",
IFERROR(
  INDEX(
    'Tools &amp; Targets_Guideline'!$C$54:$I$269,
    MATCH(
      1,
      ('Tools &amp; Targets_Guideline'!$A$54:$A$269=$B366)*
      ('Tools &amp; Targets_Guideline'!$B$54:$B$269="GM"),
      0
    ),
    MATCH(
      _xludf.IFNA(
        VLOOKUP($D366,{"PH","Provincial Hospital (H2)";"DH","District Hospital (H3)";"RH","Regional / National Hospital (H1)"},2,0),
        $D366
      ),
      'Tools &amp; Targets_Guideline'!$C$53:$I$53,
      0
    )
  ),
0))</f>
        <v/>
      </c>
      <c r="Z366" s="105"/>
      <c r="AA366" s="119" t="str">
        <f t="array" ref="AA366">IF(OR($B366="",$D366=""),"",
IFERROR(
  INDEX(
    'Tools &amp; Targets_Guideline'!$C$54:$I$269,
    MATCH(
      1,
      ('Tools &amp; Targets_Guideline'!$A$54:$A$269=$B366)*
      ('Tools &amp; Targets_Guideline'!$B$54:$B$269="Penta"),
      0
    ),
    MATCH(
      _xludf.IFNA(
        VLOOKUP($D366,{"PH","Provincial Hospital (H2)";"DH","District Hospital (H3)";"RH","Regional / National Hospital (H1)"},2,0),
        $D366
      ),
      'Tools &amp; Targets_Guideline'!$C$53:$I$53,
      0
    )
  ),
0))</f>
        <v/>
      </c>
      <c r="AB366" s="105"/>
      <c r="AC366" s="119" t="str">
        <f t="array" ref="AC366">IF(OR($B366="",$D366=""),"",
IFERROR(
  INDEX(
    'Tools &amp; Targets_Guideline'!$C$54:$I$269,
    MATCH(
      1,
      ('Tools &amp; Targets_Guideline'!$A$54:$A$269=$B366)*
      ('Tools &amp; Targets_Guideline'!$B$54:$B$269="TB"),
      0
    ),
    MATCH(
      _xludf.IFNA(
        VLOOKUP($D366,{"PH","Provincial Hospital (H2)";"DH","District Hospital (H3)";"RH","Regional / National Hospital (H1)"},2,0),
        $D366
      ),
      'Tools &amp; Targets_Guideline'!$C$53:$I$53,
      0
    )
  ),
0))</f>
        <v/>
      </c>
      <c r="AD366" s="105"/>
      <c r="AE366" s="119" t="str">
        <f t="array" ref="AE366">IF(OR($B366="",$D366=""),"",
IFERROR(
  INDEX(
    'Tools &amp; Targets_Guideline'!$C$54:$I$269,
    MATCH(
      1,
      ('Tools &amp; Targets_Guideline'!$A$54:$A$269=$B366)*
      ('Tools &amp; Targets_Guideline'!$B$54:$B$269="U5 Morbidity"),
      0
    ),
    MATCH(
      _xludf.IFNA(
        VLOOKUP($D366,{"PH","Provincial Hospital (H2)";"DH","District Hospital (H3)";"RH","Regional / National Hospital (H1)"},2,0),
        $D366
      ),
      'Tools &amp; Targets_Guideline'!$C$53:$I$53,
      0
    )
  ),
0))</f>
        <v/>
      </c>
      <c r="AF366" s="105"/>
      <c r="AG366" s="119" t="str">
        <f t="array" ref="AG366">IF(OR($B366="",$D366=""),"",
IFERROR(
  INDEX(
    'Tools &amp; Targets_Guideline'!$C$54:$I$269,
    MATCH(
      1,
      ('Tools &amp; Targets_Guideline'!$A$54:$A$269=$B366)*
      ('Tools &amp; Targets_Guideline'!$B$54:$B$269="C-Section"),
      0
    ),
    MATCH(
      _xludf.IFNA(
        VLOOKUP($D366,{"PH","Provincial Hospital (H2)";"DH","District Hospital (H3)";"RH","Regional / National Hospital (H1)"},2,0),
        $D366
      ),
      'Tools &amp; Targets_Guideline'!$C$53:$I$53,
      0
    )
  ),
0))</f>
        <v/>
      </c>
      <c r="AH366" s="105" t="str">
        <f>IF(A366&lt;&gt;"",COUNTIFS('QA Log'!D:D,A366,'QA Log'!M:M,"QQC",'QA Log'!L:L,"2. Hygiene and Sterilization",'QA Log'!Z:Z,"Approved"),"")</f>
        <v/>
      </c>
      <c r="AI366" s="102"/>
      <c r="AJ366" s="102"/>
      <c r="AK366" s="103" t="str">
        <f t="shared" si="17"/>
        <v/>
      </c>
      <c r="AL366" s="102"/>
      <c r="AM366" s="102"/>
      <c r="AN366" s="102"/>
      <c r="AO366" s="106"/>
      <c r="AP366" s="103"/>
      <c r="AQ366" s="102"/>
      <c r="AR366" s="102"/>
      <c r="AS366" s="102"/>
      <c r="AT366" s="107"/>
      <c r="AU366" s="102" t="str">
        <f t="shared" si="18"/>
        <v/>
      </c>
      <c r="AV366" s="102" t="str">
        <f t="shared" si="19"/>
        <v/>
      </c>
      <c r="AW366" s="102" t="str">
        <f t="shared" si="20"/>
        <v/>
      </c>
      <c r="AX366" s="102" t="str">
        <f t="shared" si="21"/>
        <v/>
      </c>
      <c r="AY366" s="107" t="str">
        <f t="shared" si="22"/>
        <v/>
      </c>
      <c r="AZ366" s="108" t="str">
        <f t="shared" si="23"/>
        <v/>
      </c>
      <c r="BA366" s="108" t="str">
        <f t="shared" si="24"/>
        <v/>
      </c>
      <c r="BB366" s="109" t="str">
        <f t="shared" si="25"/>
        <v/>
      </c>
      <c r="BC366" s="108" t="str">
        <f t="shared" si="26"/>
        <v/>
      </c>
      <c r="BD366" s="108" t="str">
        <f t="shared" si="27"/>
        <v/>
      </c>
      <c r="BE366" s="109" t="str">
        <f t="shared" si="28"/>
        <v/>
      </c>
      <c r="BF366" s="110" t="str">
        <f t="shared" si="29"/>
        <v/>
      </c>
      <c r="BG366" s="111"/>
    </row>
    <row r="367" spans="1:59" ht="12.75">
      <c r="A367" s="101"/>
      <c r="B367" s="102"/>
      <c r="C367" s="102" t="e">
        <f t="array" aca="1" ref="C367" ca="1">_xludf.XLOOKUP(A367,'QA Log'!D:D,'QA Log'!F:F,"")</f>
        <v>#NAME?</v>
      </c>
      <c r="D367" s="102"/>
      <c r="E367" s="102" t="e">
        <f t="array" aca="1" ref="E367" ca="1">_xludf.XLOOKUP(A367,'QA Log'!D:D,'QA Log'!G:G,"")</f>
        <v>#NAME?</v>
      </c>
      <c r="F367" s="103"/>
      <c r="G367" s="104"/>
      <c r="H367" s="104"/>
      <c r="I367" s="103" t="str">
        <f t="shared" si="15"/>
        <v/>
      </c>
      <c r="J367" s="102"/>
      <c r="K367" s="102"/>
      <c r="L367" s="119" t="str">
        <f t="array" ref="L367">IF(OR($B367="",$D367=""),"",
IFERROR(
  INDEX(
    'Tools &amp; Targets_Guideline'!$C$54:$I$269,
    MATCH(
      1,
      ('Tools &amp; Targets_Guideline'!$A$54:$A$269=$B367)*
      ('Tools &amp; Targets_Guideline'!$B$54:$B$269="ANC"),
      0
    ),
    MATCH(
      _xludf.IFNA(
        VLOOKUP($D367,{"PH","Provincial Hospital (H2)";"DH","District Hospital (H3)";"RH","Regional / National Hospital (H1)"},2,0),
        $D367
      ),
      'Tools &amp; Targets_Guideline'!$C$53:$I$53,
      0
    )
  ),
0))</f>
        <v/>
      </c>
      <c r="M367" s="105"/>
      <c r="N367" s="119" t="str">
        <f t="array" ref="N367">IF(OR($B367="",$D367=""),"",
IFERROR(
  INDEX(
    'Tools &amp; Targets_Guideline'!$C$54:$I$269,
    MATCH(
      1,
      ('Tools &amp; Targets_Guideline'!$A$54:$A$269=$B367)*
      ('Tools &amp; Targets_Guideline'!$B$54:$B$269="PNC"),
      0
    ),
    MATCH(
      _xludf.IFNA(
        VLOOKUP($D367,{"PH","Provincial Hospital (H2)";"DH","District Hospital (H3)";"RH","Regional / National Hospital (H1)"},2,0),
        $D367
      ),
      'Tools &amp; Targets_Guideline'!$C$53:$I$53,
      0
    )
  ),
0))</f>
        <v/>
      </c>
      <c r="O367" s="105"/>
      <c r="P367" s="119" t="str">
        <f t="array" ref="P367">IF(OR($B367="",$D367=""),"",
IFERROR(
  INDEX(
    'Tools &amp; Targets_Guideline'!$C$54:$I$269,
    MATCH(
      1,
      ('Tools &amp; Targets_Guideline'!$A$54:$A$269=$B367)*
      ('Tools &amp; Targets_Guideline'!$B$54:$B$269="Delivery"),
      0
    ),
    MATCH(
      _xludf.IFNA(
        VLOOKUP($D367,{"PH","Provincial Hospital (H2)";"DH","District Hospital (H3)";"RH","Regional / National Hospital (H1)"},2,0),
        $D367
      ),
      'Tools &amp; Targets_Guideline'!$C$53:$I$53,
      0
    )
  ),
0))</f>
        <v/>
      </c>
      <c r="Q367" s="105"/>
      <c r="R367" s="119" t="str">
        <f t="array" ref="R367">IF(OR($B367="",$D367=""),"",
IFERROR(
  INDEX(
    'Tools &amp; Targets_Guideline'!$C$54:$I$269,
    MATCH(
      1,
      ('Tools &amp; Targets_Guideline'!$A$54:$A$269=$B367)*
      ('Tools &amp; Targets_Guideline'!$B$54:$B$269="TT"),
      0
    ),
    MATCH(
      _xludf.IFNA(
        VLOOKUP($D367,{"PH","Provincial Hospital (H2)";"DH","District Hospital (H3)";"RH","Regional / National Hospital (H1)"},2,0),
        $D367
      ),
      'Tools &amp; Targets_Guideline'!$C$53:$I$53,
      0
    )
  ),
0))</f>
        <v/>
      </c>
      <c r="S367" s="105"/>
      <c r="T367" s="102"/>
      <c r="U367" s="106"/>
      <c r="V367" s="102" t="str">
        <f t="shared" si="16"/>
        <v/>
      </c>
      <c r="W367" s="102"/>
      <c r="X367" s="102"/>
      <c r="Y367" s="119" t="str">
        <f t="array" ref="Y367">IF(OR($B367="",$D367=""),"",
IFERROR(
  INDEX(
    'Tools &amp; Targets_Guideline'!$C$54:$I$269,
    MATCH(
      1,
      ('Tools &amp; Targets_Guideline'!$A$54:$A$269=$B367)*
      ('Tools &amp; Targets_Guideline'!$B$54:$B$269="GM"),
      0
    ),
    MATCH(
      _xludf.IFNA(
        VLOOKUP($D367,{"PH","Provincial Hospital (H2)";"DH","District Hospital (H3)";"RH","Regional / National Hospital (H1)"},2,0),
        $D367
      ),
      'Tools &amp; Targets_Guideline'!$C$53:$I$53,
      0
    )
  ),
0))</f>
        <v/>
      </c>
      <c r="Z367" s="105"/>
      <c r="AA367" s="119" t="str">
        <f t="array" ref="AA367">IF(OR($B367="",$D367=""),"",
IFERROR(
  INDEX(
    'Tools &amp; Targets_Guideline'!$C$54:$I$269,
    MATCH(
      1,
      ('Tools &amp; Targets_Guideline'!$A$54:$A$269=$B367)*
      ('Tools &amp; Targets_Guideline'!$B$54:$B$269="Penta"),
      0
    ),
    MATCH(
      _xludf.IFNA(
        VLOOKUP($D367,{"PH","Provincial Hospital (H2)";"DH","District Hospital (H3)";"RH","Regional / National Hospital (H1)"},2,0),
        $D367
      ),
      'Tools &amp; Targets_Guideline'!$C$53:$I$53,
      0
    )
  ),
0))</f>
        <v/>
      </c>
      <c r="AB367" s="105"/>
      <c r="AC367" s="119" t="str">
        <f t="array" ref="AC367">IF(OR($B367="",$D367=""),"",
IFERROR(
  INDEX(
    'Tools &amp; Targets_Guideline'!$C$54:$I$269,
    MATCH(
      1,
      ('Tools &amp; Targets_Guideline'!$A$54:$A$269=$B367)*
      ('Tools &amp; Targets_Guideline'!$B$54:$B$269="TB"),
      0
    ),
    MATCH(
      _xludf.IFNA(
        VLOOKUP($D367,{"PH","Provincial Hospital (H2)";"DH","District Hospital (H3)";"RH","Regional / National Hospital (H1)"},2,0),
        $D367
      ),
      'Tools &amp; Targets_Guideline'!$C$53:$I$53,
      0
    )
  ),
0))</f>
        <v/>
      </c>
      <c r="AD367" s="105"/>
      <c r="AE367" s="119" t="str">
        <f t="array" ref="AE367">IF(OR($B367="",$D367=""),"",
IFERROR(
  INDEX(
    'Tools &amp; Targets_Guideline'!$C$54:$I$269,
    MATCH(
      1,
      ('Tools &amp; Targets_Guideline'!$A$54:$A$269=$B367)*
      ('Tools &amp; Targets_Guideline'!$B$54:$B$269="U5 Morbidity"),
      0
    ),
    MATCH(
      _xludf.IFNA(
        VLOOKUP($D367,{"PH","Provincial Hospital (H2)";"DH","District Hospital (H3)";"RH","Regional / National Hospital (H1)"},2,0),
        $D367
      ),
      'Tools &amp; Targets_Guideline'!$C$53:$I$53,
      0
    )
  ),
0))</f>
        <v/>
      </c>
      <c r="AF367" s="105"/>
      <c r="AG367" s="119" t="str">
        <f t="array" ref="AG367">IF(OR($B367="",$D367=""),"",
IFERROR(
  INDEX(
    'Tools &amp; Targets_Guideline'!$C$54:$I$269,
    MATCH(
      1,
      ('Tools &amp; Targets_Guideline'!$A$54:$A$269=$B367)*
      ('Tools &amp; Targets_Guideline'!$B$54:$B$269="C-Section"),
      0
    ),
    MATCH(
      _xludf.IFNA(
        VLOOKUP($D367,{"PH","Provincial Hospital (H2)";"DH","District Hospital (H3)";"RH","Regional / National Hospital (H1)"},2,0),
        $D367
      ),
      'Tools &amp; Targets_Guideline'!$C$53:$I$53,
      0
    )
  ),
0))</f>
        <v/>
      </c>
      <c r="AH367" s="105" t="str">
        <f>IF(A367&lt;&gt;"",COUNTIFS('QA Log'!D:D,A367,'QA Log'!M:M,"QQC",'QA Log'!L:L,"2. Hygiene and Sterilization",'QA Log'!Z:Z,"Approved"),"")</f>
        <v/>
      </c>
      <c r="AI367" s="102"/>
      <c r="AJ367" s="102"/>
      <c r="AK367" s="103" t="str">
        <f t="shared" si="17"/>
        <v/>
      </c>
      <c r="AL367" s="102"/>
      <c r="AM367" s="102"/>
      <c r="AN367" s="102"/>
      <c r="AO367" s="106"/>
      <c r="AP367" s="103"/>
      <c r="AQ367" s="102"/>
      <c r="AR367" s="102"/>
      <c r="AS367" s="102"/>
      <c r="AT367" s="107"/>
      <c r="AU367" s="102" t="str">
        <f t="shared" si="18"/>
        <v/>
      </c>
      <c r="AV367" s="102" t="str">
        <f t="shared" si="19"/>
        <v/>
      </c>
      <c r="AW367" s="102" t="str">
        <f t="shared" si="20"/>
        <v/>
      </c>
      <c r="AX367" s="102" t="str">
        <f t="shared" si="21"/>
        <v/>
      </c>
      <c r="AY367" s="107" t="str">
        <f t="shared" si="22"/>
        <v/>
      </c>
      <c r="AZ367" s="108" t="str">
        <f t="shared" si="23"/>
        <v/>
      </c>
      <c r="BA367" s="108" t="str">
        <f t="shared" si="24"/>
        <v/>
      </c>
      <c r="BB367" s="109" t="str">
        <f t="shared" si="25"/>
        <v/>
      </c>
      <c r="BC367" s="108" t="str">
        <f t="shared" si="26"/>
        <v/>
      </c>
      <c r="BD367" s="108" t="str">
        <f t="shared" si="27"/>
        <v/>
      </c>
      <c r="BE367" s="109" t="str">
        <f t="shared" si="28"/>
        <v/>
      </c>
      <c r="BF367" s="110" t="str">
        <f t="shared" si="29"/>
        <v/>
      </c>
      <c r="BG367" s="111"/>
    </row>
    <row r="368" spans="1:59" ht="12.75">
      <c r="A368" s="101"/>
      <c r="B368" s="102"/>
      <c r="C368" s="102" t="e">
        <f t="array" aca="1" ref="C368" ca="1">_xludf.XLOOKUP(A368,'QA Log'!D:D,'QA Log'!F:F,"")</f>
        <v>#NAME?</v>
      </c>
      <c r="D368" s="102"/>
      <c r="E368" s="102" t="e">
        <f t="array" aca="1" ref="E368" ca="1">_xludf.XLOOKUP(A368,'QA Log'!D:D,'QA Log'!G:G,"")</f>
        <v>#NAME?</v>
      </c>
      <c r="F368" s="103"/>
      <c r="G368" s="104"/>
      <c r="H368" s="104"/>
      <c r="I368" s="103" t="str">
        <f t="shared" si="15"/>
        <v/>
      </c>
      <c r="J368" s="102"/>
      <c r="K368" s="102"/>
      <c r="L368" s="119" t="str">
        <f t="array" ref="L368">IF(OR($B368="",$D368=""),"",
IFERROR(
  INDEX(
    'Tools &amp; Targets_Guideline'!$C$54:$I$269,
    MATCH(
      1,
      ('Tools &amp; Targets_Guideline'!$A$54:$A$269=$B368)*
      ('Tools &amp; Targets_Guideline'!$B$54:$B$269="ANC"),
      0
    ),
    MATCH(
      _xludf.IFNA(
        VLOOKUP($D368,{"PH","Provincial Hospital (H2)";"DH","District Hospital (H3)";"RH","Regional / National Hospital (H1)"},2,0),
        $D368
      ),
      'Tools &amp; Targets_Guideline'!$C$53:$I$53,
      0
    )
  ),
0))</f>
        <v/>
      </c>
      <c r="M368" s="102"/>
      <c r="N368" s="119" t="str">
        <f t="array" ref="N368">IF(OR($B368="",$D368=""),"",
IFERROR(
  INDEX(
    'Tools &amp; Targets_Guideline'!$C$54:$I$269,
    MATCH(
      1,
      ('Tools &amp; Targets_Guideline'!$A$54:$A$269=$B368)*
      ('Tools &amp; Targets_Guideline'!$B$54:$B$269="PNC"),
      0
    ),
    MATCH(
      _xludf.IFNA(
        VLOOKUP($D368,{"PH","Provincial Hospital (H2)";"DH","District Hospital (H3)";"RH","Regional / National Hospital (H1)"},2,0),
        $D368
      ),
      'Tools &amp; Targets_Guideline'!$C$53:$I$53,
      0
    )
  ),
0))</f>
        <v/>
      </c>
      <c r="O368" s="102"/>
      <c r="P368" s="119" t="str">
        <f t="array" ref="P368">IF(OR($B368="",$D368=""),"",
IFERROR(
  INDEX(
    'Tools &amp; Targets_Guideline'!$C$54:$I$269,
    MATCH(
      1,
      ('Tools &amp; Targets_Guideline'!$A$54:$A$269=$B368)*
      ('Tools &amp; Targets_Guideline'!$B$54:$B$269="Delivery"),
      0
    ),
    MATCH(
      _xludf.IFNA(
        VLOOKUP($D368,{"PH","Provincial Hospital (H2)";"DH","District Hospital (H3)";"RH","Regional / National Hospital (H1)"},2,0),
        $D368
      ),
      'Tools &amp; Targets_Guideline'!$C$53:$I$53,
      0
    )
  ),
0))</f>
        <v/>
      </c>
      <c r="Q368" s="102"/>
      <c r="R368" s="119" t="str">
        <f t="array" ref="R368">IF(OR($B368="",$D368=""),"",
IFERROR(
  INDEX(
    'Tools &amp; Targets_Guideline'!$C$54:$I$269,
    MATCH(
      1,
      ('Tools &amp; Targets_Guideline'!$A$54:$A$269=$B368)*
      ('Tools &amp; Targets_Guideline'!$B$54:$B$269="TT"),
      0
    ),
    MATCH(
      _xludf.IFNA(
        VLOOKUP($D368,{"PH","Provincial Hospital (H2)";"DH","District Hospital (H3)";"RH","Regional / National Hospital (H1)"},2,0),
        $D368
      ),
      'Tools &amp; Targets_Guideline'!$C$53:$I$53,
      0
    )
  ),
0))</f>
        <v/>
      </c>
      <c r="S368" s="102"/>
      <c r="T368" s="102"/>
      <c r="U368" s="106"/>
      <c r="V368" s="102" t="str">
        <f t="shared" si="16"/>
        <v/>
      </c>
      <c r="W368" s="102"/>
      <c r="X368" s="102"/>
      <c r="Y368" s="119" t="str">
        <f t="array" ref="Y368">IF(OR($B368="",$D368=""),"",
IFERROR(
  INDEX(
    'Tools &amp; Targets_Guideline'!$C$54:$I$269,
    MATCH(
      1,
      ('Tools &amp; Targets_Guideline'!$A$54:$A$269=$B368)*
      ('Tools &amp; Targets_Guideline'!$B$54:$B$269="GM"),
      0
    ),
    MATCH(
      _xludf.IFNA(
        VLOOKUP($D368,{"PH","Provincial Hospital (H2)";"DH","District Hospital (H3)";"RH","Regional / National Hospital (H1)"},2,0),
        $D368
      ),
      'Tools &amp; Targets_Guideline'!$C$53:$I$53,
      0
    )
  ),
0))</f>
        <v/>
      </c>
      <c r="Z368" s="105"/>
      <c r="AA368" s="119" t="str">
        <f t="array" ref="AA368">IF(OR($B368="",$D368=""),"",
IFERROR(
  INDEX(
    'Tools &amp; Targets_Guideline'!$C$54:$I$269,
    MATCH(
      1,
      ('Tools &amp; Targets_Guideline'!$A$54:$A$269=$B368)*
      ('Tools &amp; Targets_Guideline'!$B$54:$B$269="Penta"),
      0
    ),
    MATCH(
      _xludf.IFNA(
        VLOOKUP($D368,{"PH","Provincial Hospital (H2)";"DH","District Hospital (H3)";"RH","Regional / National Hospital (H1)"},2,0),
        $D368
      ),
      'Tools &amp; Targets_Guideline'!$C$53:$I$53,
      0
    )
  ),
0))</f>
        <v/>
      </c>
      <c r="AB368" s="105"/>
      <c r="AC368" s="119" t="str">
        <f t="array" ref="AC368">IF(OR($B368="",$D368=""),"",
IFERROR(
  INDEX(
    'Tools &amp; Targets_Guideline'!$C$54:$I$269,
    MATCH(
      1,
      ('Tools &amp; Targets_Guideline'!$A$54:$A$269=$B368)*
      ('Tools &amp; Targets_Guideline'!$B$54:$B$269="TB"),
      0
    ),
    MATCH(
      _xludf.IFNA(
        VLOOKUP($D368,{"PH","Provincial Hospital (H2)";"DH","District Hospital (H3)";"RH","Regional / National Hospital (H1)"},2,0),
        $D368
      ),
      'Tools &amp; Targets_Guideline'!$C$53:$I$53,
      0
    )
  ),
0))</f>
        <v/>
      </c>
      <c r="AD368" s="105"/>
      <c r="AE368" s="119" t="str">
        <f t="array" ref="AE368">IF(OR($B368="",$D368=""),"",
IFERROR(
  INDEX(
    'Tools &amp; Targets_Guideline'!$C$54:$I$269,
    MATCH(
      1,
      ('Tools &amp; Targets_Guideline'!$A$54:$A$269=$B368)*
      ('Tools &amp; Targets_Guideline'!$B$54:$B$269="U5 Morbidity"),
      0
    ),
    MATCH(
      _xludf.IFNA(
        VLOOKUP($D368,{"PH","Provincial Hospital (H2)";"DH","District Hospital (H3)";"RH","Regional / National Hospital (H1)"},2,0),
        $D368
      ),
      'Tools &amp; Targets_Guideline'!$C$53:$I$53,
      0
    )
  ),
0))</f>
        <v/>
      </c>
      <c r="AF368" s="105"/>
      <c r="AG368" s="119" t="str">
        <f t="array" ref="AG368">IF(OR($B368="",$D368=""),"",
IFERROR(
  INDEX(
    'Tools &amp; Targets_Guideline'!$C$54:$I$269,
    MATCH(
      1,
      ('Tools &amp; Targets_Guideline'!$A$54:$A$269=$B368)*
      ('Tools &amp; Targets_Guideline'!$B$54:$B$269="C-Section"),
      0
    ),
    MATCH(
      _xludf.IFNA(
        VLOOKUP($D368,{"PH","Provincial Hospital (H2)";"DH","District Hospital (H3)";"RH","Regional / National Hospital (H1)"},2,0),
        $D368
      ),
      'Tools &amp; Targets_Guideline'!$C$53:$I$53,
      0
    )
  ),
0))</f>
        <v/>
      </c>
      <c r="AH368" s="105" t="str">
        <f>IF(A368&lt;&gt;"",COUNTIFS('QA Log'!D:D,A368,'QA Log'!M:M,"QQC",'QA Log'!L:L,"2. Hygiene and Sterilization",'QA Log'!Z:Z,"Approved"),"")</f>
        <v/>
      </c>
      <c r="AI368" s="102"/>
      <c r="AJ368" s="102"/>
      <c r="AK368" s="103" t="str">
        <f t="shared" si="17"/>
        <v/>
      </c>
      <c r="AL368" s="102"/>
      <c r="AM368" s="102"/>
      <c r="AN368" s="102"/>
      <c r="AO368" s="106"/>
      <c r="AP368" s="103"/>
      <c r="AQ368" s="102"/>
      <c r="AR368" s="102"/>
      <c r="AS368" s="102"/>
      <c r="AT368" s="107"/>
      <c r="AU368" s="102" t="str">
        <f t="shared" si="18"/>
        <v/>
      </c>
      <c r="AV368" s="102" t="str">
        <f t="shared" si="19"/>
        <v/>
      </c>
      <c r="AW368" s="102" t="str">
        <f t="shared" si="20"/>
        <v/>
      </c>
      <c r="AX368" s="102" t="str">
        <f t="shared" si="21"/>
        <v/>
      </c>
      <c r="AY368" s="107" t="str">
        <f t="shared" si="22"/>
        <v/>
      </c>
      <c r="AZ368" s="108" t="str">
        <f t="shared" si="23"/>
        <v/>
      </c>
      <c r="BA368" s="108" t="str">
        <f t="shared" si="24"/>
        <v/>
      </c>
      <c r="BB368" s="109" t="str">
        <f t="shared" si="25"/>
        <v/>
      </c>
      <c r="BC368" s="108" t="str">
        <f t="shared" si="26"/>
        <v/>
      </c>
      <c r="BD368" s="108" t="str">
        <f t="shared" si="27"/>
        <v/>
      </c>
      <c r="BE368" s="109" t="str">
        <f t="shared" si="28"/>
        <v/>
      </c>
      <c r="BF368" s="110" t="str">
        <f t="shared" si="29"/>
        <v/>
      </c>
      <c r="BG368" s="111"/>
    </row>
    <row r="369" spans="1:59" ht="12.75">
      <c r="A369" s="101"/>
      <c r="B369" s="102"/>
      <c r="C369" s="102" t="e">
        <f t="array" aca="1" ref="C369" ca="1">_xludf.XLOOKUP(A369,'QA Log'!D:D,'QA Log'!F:F,"")</f>
        <v>#NAME?</v>
      </c>
      <c r="D369" s="102"/>
      <c r="E369" s="102" t="e">
        <f t="array" aca="1" ref="E369" ca="1">_xludf.XLOOKUP(A369,'QA Log'!D:D,'QA Log'!G:G,"")</f>
        <v>#NAME?</v>
      </c>
      <c r="F369" s="103"/>
      <c r="G369" s="104"/>
      <c r="H369" s="104"/>
      <c r="I369" s="103" t="str">
        <f t="shared" si="15"/>
        <v/>
      </c>
      <c r="J369" s="102"/>
      <c r="K369" s="102"/>
      <c r="L369" s="119" t="str">
        <f t="array" ref="L369">IF(OR($B369="",$D369=""),"",
IFERROR(
  INDEX(
    'Tools &amp; Targets_Guideline'!$C$54:$I$269,
    MATCH(
      1,
      ('Tools &amp; Targets_Guideline'!$A$54:$A$269=$B369)*
      ('Tools &amp; Targets_Guideline'!$B$54:$B$269="ANC"),
      0
    ),
    MATCH(
      _xludf.IFNA(
        VLOOKUP($D369,{"PH","Provincial Hospital (H2)";"DH","District Hospital (H3)";"RH","Regional / National Hospital (H1)"},2,0),
        $D369
      ),
      'Tools &amp; Targets_Guideline'!$C$53:$I$53,
      0
    )
  ),
0))</f>
        <v/>
      </c>
      <c r="M369" s="102"/>
      <c r="N369" s="119" t="str">
        <f t="array" ref="N369">IF(OR($B369="",$D369=""),"",
IFERROR(
  INDEX(
    'Tools &amp; Targets_Guideline'!$C$54:$I$269,
    MATCH(
      1,
      ('Tools &amp; Targets_Guideline'!$A$54:$A$269=$B369)*
      ('Tools &amp; Targets_Guideline'!$B$54:$B$269="PNC"),
      0
    ),
    MATCH(
      _xludf.IFNA(
        VLOOKUP($D369,{"PH","Provincial Hospital (H2)";"DH","District Hospital (H3)";"RH","Regional / National Hospital (H1)"},2,0),
        $D369
      ),
      'Tools &amp; Targets_Guideline'!$C$53:$I$53,
      0
    )
  ),
0))</f>
        <v/>
      </c>
      <c r="O369" s="102"/>
      <c r="P369" s="119" t="str">
        <f t="array" ref="P369">IF(OR($B369="",$D369=""),"",
IFERROR(
  INDEX(
    'Tools &amp; Targets_Guideline'!$C$54:$I$269,
    MATCH(
      1,
      ('Tools &amp; Targets_Guideline'!$A$54:$A$269=$B369)*
      ('Tools &amp; Targets_Guideline'!$B$54:$B$269="Delivery"),
      0
    ),
    MATCH(
      _xludf.IFNA(
        VLOOKUP($D369,{"PH","Provincial Hospital (H2)";"DH","District Hospital (H3)";"RH","Regional / National Hospital (H1)"},2,0),
        $D369
      ),
      'Tools &amp; Targets_Guideline'!$C$53:$I$53,
      0
    )
  ),
0))</f>
        <v/>
      </c>
      <c r="Q369" s="102"/>
      <c r="R369" s="119" t="str">
        <f t="array" ref="R369">IF(OR($B369="",$D369=""),"",
IFERROR(
  INDEX(
    'Tools &amp; Targets_Guideline'!$C$54:$I$269,
    MATCH(
      1,
      ('Tools &amp; Targets_Guideline'!$A$54:$A$269=$B369)*
      ('Tools &amp; Targets_Guideline'!$B$54:$B$269="TT"),
      0
    ),
    MATCH(
      _xludf.IFNA(
        VLOOKUP($D369,{"PH","Provincial Hospital (H2)";"DH","District Hospital (H3)";"RH","Regional / National Hospital (H1)"},2,0),
        $D369
      ),
      'Tools &amp; Targets_Guideline'!$C$53:$I$53,
      0
    )
  ),
0))</f>
        <v/>
      </c>
      <c r="S369" s="102"/>
      <c r="T369" s="102"/>
      <c r="U369" s="106"/>
      <c r="V369" s="102" t="str">
        <f t="shared" si="16"/>
        <v/>
      </c>
      <c r="W369" s="102"/>
      <c r="X369" s="102"/>
      <c r="Y369" s="119" t="str">
        <f t="array" ref="Y369">IF(OR($B369="",$D369=""),"",
IFERROR(
  INDEX(
    'Tools &amp; Targets_Guideline'!$C$54:$I$269,
    MATCH(
      1,
      ('Tools &amp; Targets_Guideline'!$A$54:$A$269=$B369)*
      ('Tools &amp; Targets_Guideline'!$B$54:$B$269="GM"),
      0
    ),
    MATCH(
      _xludf.IFNA(
        VLOOKUP($D369,{"PH","Provincial Hospital (H2)";"DH","District Hospital (H3)";"RH","Regional / National Hospital (H1)"},2,0),
        $D369
      ),
      'Tools &amp; Targets_Guideline'!$C$53:$I$53,
      0
    )
  ),
0))</f>
        <v/>
      </c>
      <c r="Z369" s="105"/>
      <c r="AA369" s="119" t="str">
        <f t="array" ref="AA369">IF(OR($B369="",$D369=""),"",
IFERROR(
  INDEX(
    'Tools &amp; Targets_Guideline'!$C$54:$I$269,
    MATCH(
      1,
      ('Tools &amp; Targets_Guideline'!$A$54:$A$269=$B369)*
      ('Tools &amp; Targets_Guideline'!$B$54:$B$269="Penta"),
      0
    ),
    MATCH(
      _xludf.IFNA(
        VLOOKUP($D369,{"PH","Provincial Hospital (H2)";"DH","District Hospital (H3)";"RH","Regional / National Hospital (H1)"},2,0),
        $D369
      ),
      'Tools &amp; Targets_Guideline'!$C$53:$I$53,
      0
    )
  ),
0))</f>
        <v/>
      </c>
      <c r="AB369" s="105"/>
      <c r="AC369" s="119" t="str">
        <f t="array" ref="AC369">IF(OR($B369="",$D369=""),"",
IFERROR(
  INDEX(
    'Tools &amp; Targets_Guideline'!$C$54:$I$269,
    MATCH(
      1,
      ('Tools &amp; Targets_Guideline'!$A$54:$A$269=$B369)*
      ('Tools &amp; Targets_Guideline'!$B$54:$B$269="TB"),
      0
    ),
    MATCH(
      _xludf.IFNA(
        VLOOKUP($D369,{"PH","Provincial Hospital (H2)";"DH","District Hospital (H3)";"RH","Regional / National Hospital (H1)"},2,0),
        $D369
      ),
      'Tools &amp; Targets_Guideline'!$C$53:$I$53,
      0
    )
  ),
0))</f>
        <v/>
      </c>
      <c r="AD369" s="105"/>
      <c r="AE369" s="119" t="str">
        <f t="array" ref="AE369">IF(OR($B369="",$D369=""),"",
IFERROR(
  INDEX(
    'Tools &amp; Targets_Guideline'!$C$54:$I$269,
    MATCH(
      1,
      ('Tools &amp; Targets_Guideline'!$A$54:$A$269=$B369)*
      ('Tools &amp; Targets_Guideline'!$B$54:$B$269="U5 Morbidity"),
      0
    ),
    MATCH(
      _xludf.IFNA(
        VLOOKUP($D369,{"PH","Provincial Hospital (H2)";"DH","District Hospital (H3)";"RH","Regional / National Hospital (H1)"},2,0),
        $D369
      ),
      'Tools &amp; Targets_Guideline'!$C$53:$I$53,
      0
    )
  ),
0))</f>
        <v/>
      </c>
      <c r="AF369" s="105"/>
      <c r="AG369" s="119" t="str">
        <f t="array" ref="AG369">IF(OR($B369="",$D369=""),"",
IFERROR(
  INDEX(
    'Tools &amp; Targets_Guideline'!$C$54:$I$269,
    MATCH(
      1,
      ('Tools &amp; Targets_Guideline'!$A$54:$A$269=$B369)*
      ('Tools &amp; Targets_Guideline'!$B$54:$B$269="C-Section"),
      0
    ),
    MATCH(
      _xludf.IFNA(
        VLOOKUP($D369,{"PH","Provincial Hospital (H2)";"DH","District Hospital (H3)";"RH","Regional / National Hospital (H1)"},2,0),
        $D369
      ),
      'Tools &amp; Targets_Guideline'!$C$53:$I$53,
      0
    )
  ),
0))</f>
        <v/>
      </c>
      <c r="AH369" s="105" t="str">
        <f>IF(A369&lt;&gt;"",COUNTIFS('QA Log'!D:D,A369,'QA Log'!M:M,"QQC",'QA Log'!L:L,"2. Hygiene and Sterilization",'QA Log'!Z:Z,"Approved"),"")</f>
        <v/>
      </c>
      <c r="AI369" s="102"/>
      <c r="AJ369" s="102"/>
      <c r="AK369" s="103" t="str">
        <f t="shared" si="17"/>
        <v/>
      </c>
      <c r="AL369" s="102"/>
      <c r="AM369" s="102"/>
      <c r="AN369" s="102"/>
      <c r="AO369" s="106"/>
      <c r="AP369" s="103"/>
      <c r="AQ369" s="102"/>
      <c r="AR369" s="102"/>
      <c r="AS369" s="102"/>
      <c r="AT369" s="107"/>
      <c r="AU369" s="102" t="str">
        <f t="shared" si="18"/>
        <v/>
      </c>
      <c r="AV369" s="102" t="str">
        <f t="shared" si="19"/>
        <v/>
      </c>
      <c r="AW369" s="102" t="str">
        <f t="shared" si="20"/>
        <v/>
      </c>
      <c r="AX369" s="102" t="str">
        <f t="shared" si="21"/>
        <v/>
      </c>
      <c r="AY369" s="107" t="str">
        <f t="shared" si="22"/>
        <v/>
      </c>
      <c r="AZ369" s="108" t="str">
        <f t="shared" si="23"/>
        <v/>
      </c>
      <c r="BA369" s="108" t="str">
        <f t="shared" si="24"/>
        <v/>
      </c>
      <c r="BB369" s="109" t="str">
        <f t="shared" si="25"/>
        <v/>
      </c>
      <c r="BC369" s="108" t="str">
        <f t="shared" si="26"/>
        <v/>
      </c>
      <c r="BD369" s="108" t="str">
        <f t="shared" si="27"/>
        <v/>
      </c>
      <c r="BE369" s="109" t="str">
        <f t="shared" si="28"/>
        <v/>
      </c>
      <c r="BF369" s="110" t="str">
        <f t="shared" si="29"/>
        <v/>
      </c>
      <c r="BG369" s="111"/>
    </row>
    <row r="370" spans="1:59" ht="12.75">
      <c r="A370" s="101"/>
      <c r="B370" s="102"/>
      <c r="C370" s="102" t="e">
        <f t="array" aca="1" ref="C370" ca="1">_xludf.XLOOKUP(A370,'QA Log'!D:D,'QA Log'!F:F,"")</f>
        <v>#NAME?</v>
      </c>
      <c r="D370" s="102"/>
      <c r="E370" s="102" t="e">
        <f t="array" aca="1" ref="E370" ca="1">_xludf.XLOOKUP(A370,'QA Log'!D:D,'QA Log'!G:G,"")</f>
        <v>#NAME?</v>
      </c>
      <c r="F370" s="103"/>
      <c r="G370" s="104"/>
      <c r="H370" s="104"/>
      <c r="I370" s="103" t="str">
        <f t="shared" si="15"/>
        <v/>
      </c>
      <c r="J370" s="102"/>
      <c r="K370" s="102"/>
      <c r="L370" s="119" t="str">
        <f t="array" ref="L370">IF(OR($B370="",$D370=""),"",
IFERROR(
  INDEX(
    'Tools &amp; Targets_Guideline'!$C$54:$I$269,
    MATCH(
      1,
      ('Tools &amp; Targets_Guideline'!$A$54:$A$269=$B370)*
      ('Tools &amp; Targets_Guideline'!$B$54:$B$269="ANC"),
      0
    ),
    MATCH(
      _xludf.IFNA(
        VLOOKUP($D370,{"PH","Provincial Hospital (H2)";"DH","District Hospital (H3)";"RH","Regional / National Hospital (H1)"},2,0),
        $D370
      ),
      'Tools &amp; Targets_Guideline'!$C$53:$I$53,
      0
    )
  ),
0))</f>
        <v/>
      </c>
      <c r="M370" s="102"/>
      <c r="N370" s="119" t="str">
        <f t="array" ref="N370">IF(OR($B370="",$D370=""),"",
IFERROR(
  INDEX(
    'Tools &amp; Targets_Guideline'!$C$54:$I$269,
    MATCH(
      1,
      ('Tools &amp; Targets_Guideline'!$A$54:$A$269=$B370)*
      ('Tools &amp; Targets_Guideline'!$B$54:$B$269="PNC"),
      0
    ),
    MATCH(
      _xludf.IFNA(
        VLOOKUP($D370,{"PH","Provincial Hospital (H2)";"DH","District Hospital (H3)";"RH","Regional / National Hospital (H1)"},2,0),
        $D370
      ),
      'Tools &amp; Targets_Guideline'!$C$53:$I$53,
      0
    )
  ),
0))</f>
        <v/>
      </c>
      <c r="O370" s="102"/>
      <c r="P370" s="119" t="str">
        <f t="array" ref="P370">IF(OR($B370="",$D370=""),"",
IFERROR(
  INDEX(
    'Tools &amp; Targets_Guideline'!$C$54:$I$269,
    MATCH(
      1,
      ('Tools &amp; Targets_Guideline'!$A$54:$A$269=$B370)*
      ('Tools &amp; Targets_Guideline'!$B$54:$B$269="Delivery"),
      0
    ),
    MATCH(
      _xludf.IFNA(
        VLOOKUP($D370,{"PH","Provincial Hospital (H2)";"DH","District Hospital (H3)";"RH","Regional / National Hospital (H1)"},2,0),
        $D370
      ),
      'Tools &amp; Targets_Guideline'!$C$53:$I$53,
      0
    )
  ),
0))</f>
        <v/>
      </c>
      <c r="Q370" s="102"/>
      <c r="R370" s="119" t="str">
        <f t="array" ref="R370">IF(OR($B370="",$D370=""),"",
IFERROR(
  INDEX(
    'Tools &amp; Targets_Guideline'!$C$54:$I$269,
    MATCH(
      1,
      ('Tools &amp; Targets_Guideline'!$A$54:$A$269=$B370)*
      ('Tools &amp; Targets_Guideline'!$B$54:$B$269="TT"),
      0
    ),
    MATCH(
      _xludf.IFNA(
        VLOOKUP($D370,{"PH","Provincial Hospital (H2)";"DH","District Hospital (H3)";"RH","Regional / National Hospital (H1)"},2,0),
        $D370
      ),
      'Tools &amp; Targets_Guideline'!$C$53:$I$53,
      0
    )
  ),
0))</f>
        <v/>
      </c>
      <c r="S370" s="102"/>
      <c r="T370" s="102"/>
      <c r="U370" s="106"/>
      <c r="V370" s="102" t="str">
        <f t="shared" si="16"/>
        <v/>
      </c>
      <c r="W370" s="102"/>
      <c r="X370" s="102"/>
      <c r="Y370" s="119" t="str">
        <f t="array" ref="Y370">IF(OR($B370="",$D370=""),"",
IFERROR(
  INDEX(
    'Tools &amp; Targets_Guideline'!$C$54:$I$269,
    MATCH(
      1,
      ('Tools &amp; Targets_Guideline'!$A$54:$A$269=$B370)*
      ('Tools &amp; Targets_Guideline'!$B$54:$B$269="GM"),
      0
    ),
    MATCH(
      _xludf.IFNA(
        VLOOKUP($D370,{"PH","Provincial Hospital (H2)";"DH","District Hospital (H3)";"RH","Regional / National Hospital (H1)"},2,0),
        $D370
      ),
      'Tools &amp; Targets_Guideline'!$C$53:$I$53,
      0
    )
  ),
0))</f>
        <v/>
      </c>
      <c r="Z370" s="105"/>
      <c r="AA370" s="119" t="str">
        <f t="array" ref="AA370">IF(OR($B370="",$D370=""),"",
IFERROR(
  INDEX(
    'Tools &amp; Targets_Guideline'!$C$54:$I$269,
    MATCH(
      1,
      ('Tools &amp; Targets_Guideline'!$A$54:$A$269=$B370)*
      ('Tools &amp; Targets_Guideline'!$B$54:$B$269="Penta"),
      0
    ),
    MATCH(
      _xludf.IFNA(
        VLOOKUP($D370,{"PH","Provincial Hospital (H2)";"DH","District Hospital (H3)";"RH","Regional / National Hospital (H1)"},2,0),
        $D370
      ),
      'Tools &amp; Targets_Guideline'!$C$53:$I$53,
      0
    )
  ),
0))</f>
        <v/>
      </c>
      <c r="AB370" s="105"/>
      <c r="AC370" s="119" t="str">
        <f t="array" ref="AC370">IF(OR($B370="",$D370=""),"",
IFERROR(
  INDEX(
    'Tools &amp; Targets_Guideline'!$C$54:$I$269,
    MATCH(
      1,
      ('Tools &amp; Targets_Guideline'!$A$54:$A$269=$B370)*
      ('Tools &amp; Targets_Guideline'!$B$54:$B$269="TB"),
      0
    ),
    MATCH(
      _xludf.IFNA(
        VLOOKUP($D370,{"PH","Provincial Hospital (H2)";"DH","District Hospital (H3)";"RH","Regional / National Hospital (H1)"},2,0),
        $D370
      ),
      'Tools &amp; Targets_Guideline'!$C$53:$I$53,
      0
    )
  ),
0))</f>
        <v/>
      </c>
      <c r="AD370" s="105"/>
      <c r="AE370" s="119" t="str">
        <f t="array" ref="AE370">IF(OR($B370="",$D370=""),"",
IFERROR(
  INDEX(
    'Tools &amp; Targets_Guideline'!$C$54:$I$269,
    MATCH(
      1,
      ('Tools &amp; Targets_Guideline'!$A$54:$A$269=$B370)*
      ('Tools &amp; Targets_Guideline'!$B$54:$B$269="U5 Morbidity"),
      0
    ),
    MATCH(
      _xludf.IFNA(
        VLOOKUP($D370,{"PH","Provincial Hospital (H2)";"DH","District Hospital (H3)";"RH","Regional / National Hospital (H1)"},2,0),
        $D370
      ),
      'Tools &amp; Targets_Guideline'!$C$53:$I$53,
      0
    )
  ),
0))</f>
        <v/>
      </c>
      <c r="AF370" s="105"/>
      <c r="AG370" s="119" t="str">
        <f t="array" ref="AG370">IF(OR($B370="",$D370=""),"",
IFERROR(
  INDEX(
    'Tools &amp; Targets_Guideline'!$C$54:$I$269,
    MATCH(
      1,
      ('Tools &amp; Targets_Guideline'!$A$54:$A$269=$B370)*
      ('Tools &amp; Targets_Guideline'!$B$54:$B$269="C-Section"),
      0
    ),
    MATCH(
      _xludf.IFNA(
        VLOOKUP($D370,{"PH","Provincial Hospital (H2)";"DH","District Hospital (H3)";"RH","Regional / National Hospital (H1)"},2,0),
        $D370
      ),
      'Tools &amp; Targets_Guideline'!$C$53:$I$53,
      0
    )
  ),
0))</f>
        <v/>
      </c>
      <c r="AH370" s="105" t="str">
        <f>IF(A370&lt;&gt;"",COUNTIFS('QA Log'!D:D,A370,'QA Log'!M:M,"QQC",'QA Log'!L:L,"2. Hygiene and Sterilization",'QA Log'!Z:Z,"Approved"),"")</f>
        <v/>
      </c>
      <c r="AI370" s="102"/>
      <c r="AJ370" s="102"/>
      <c r="AK370" s="103" t="str">
        <f t="shared" si="17"/>
        <v/>
      </c>
      <c r="AL370" s="102"/>
      <c r="AM370" s="102"/>
      <c r="AN370" s="102"/>
      <c r="AO370" s="106"/>
      <c r="AP370" s="103"/>
      <c r="AQ370" s="102"/>
      <c r="AR370" s="102"/>
      <c r="AS370" s="102"/>
      <c r="AT370" s="107"/>
      <c r="AU370" s="102" t="str">
        <f t="shared" si="18"/>
        <v/>
      </c>
      <c r="AV370" s="102" t="str">
        <f t="shared" si="19"/>
        <v/>
      </c>
      <c r="AW370" s="102" t="str">
        <f t="shared" si="20"/>
        <v/>
      </c>
      <c r="AX370" s="102" t="str">
        <f t="shared" si="21"/>
        <v/>
      </c>
      <c r="AY370" s="107" t="str">
        <f t="shared" si="22"/>
        <v/>
      </c>
      <c r="AZ370" s="108" t="str">
        <f t="shared" si="23"/>
        <v/>
      </c>
      <c r="BA370" s="108" t="str">
        <f t="shared" si="24"/>
        <v/>
      </c>
      <c r="BB370" s="109" t="str">
        <f t="shared" si="25"/>
        <v/>
      </c>
      <c r="BC370" s="108" t="str">
        <f t="shared" si="26"/>
        <v/>
      </c>
      <c r="BD370" s="108" t="str">
        <f t="shared" si="27"/>
        <v/>
      </c>
      <c r="BE370" s="109" t="str">
        <f t="shared" si="28"/>
        <v/>
      </c>
      <c r="BF370" s="110" t="str">
        <f t="shared" si="29"/>
        <v/>
      </c>
      <c r="BG370" s="111"/>
    </row>
    <row r="371" spans="1:59" ht="12.75">
      <c r="A371" s="101"/>
      <c r="B371" s="102"/>
      <c r="C371" s="102" t="e">
        <f t="array" aca="1" ref="C371" ca="1">_xludf.XLOOKUP(A371,'QA Log'!D:D,'QA Log'!F:F,"")</f>
        <v>#NAME?</v>
      </c>
      <c r="D371" s="102"/>
      <c r="E371" s="102" t="e">
        <f t="array" aca="1" ref="E371" ca="1">_xludf.XLOOKUP(A371,'QA Log'!D:D,'QA Log'!G:G,"")</f>
        <v>#NAME?</v>
      </c>
      <c r="F371" s="103"/>
      <c r="G371" s="104"/>
      <c r="H371" s="104"/>
      <c r="I371" s="103" t="str">
        <f t="shared" si="15"/>
        <v/>
      </c>
      <c r="J371" s="102"/>
      <c r="K371" s="102"/>
      <c r="L371" s="119" t="str">
        <f t="array" ref="L371">IF(OR($B371="",$D371=""),"",
IFERROR(
  INDEX(
    'Tools &amp; Targets_Guideline'!$C$54:$I$269,
    MATCH(
      1,
      ('Tools &amp; Targets_Guideline'!$A$54:$A$269=$B371)*
      ('Tools &amp; Targets_Guideline'!$B$54:$B$269="ANC"),
      0
    ),
    MATCH(
      _xludf.IFNA(
        VLOOKUP($D371,{"PH","Provincial Hospital (H2)";"DH","District Hospital (H3)";"RH","Regional / National Hospital (H1)"},2,0),
        $D371
      ),
      'Tools &amp; Targets_Guideline'!$C$53:$I$53,
      0
    )
  ),
0))</f>
        <v/>
      </c>
      <c r="M371" s="102"/>
      <c r="N371" s="119" t="str">
        <f t="array" ref="N371">IF(OR($B371="",$D371=""),"",
IFERROR(
  INDEX(
    'Tools &amp; Targets_Guideline'!$C$54:$I$269,
    MATCH(
      1,
      ('Tools &amp; Targets_Guideline'!$A$54:$A$269=$B371)*
      ('Tools &amp; Targets_Guideline'!$B$54:$B$269="PNC"),
      0
    ),
    MATCH(
      _xludf.IFNA(
        VLOOKUP($D371,{"PH","Provincial Hospital (H2)";"DH","District Hospital (H3)";"RH","Regional / National Hospital (H1)"},2,0),
        $D371
      ),
      'Tools &amp; Targets_Guideline'!$C$53:$I$53,
      0
    )
  ),
0))</f>
        <v/>
      </c>
      <c r="O371" s="102"/>
      <c r="P371" s="119" t="str">
        <f t="array" ref="P371">IF(OR($B371="",$D371=""),"",
IFERROR(
  INDEX(
    'Tools &amp; Targets_Guideline'!$C$54:$I$269,
    MATCH(
      1,
      ('Tools &amp; Targets_Guideline'!$A$54:$A$269=$B371)*
      ('Tools &amp; Targets_Guideline'!$B$54:$B$269="Delivery"),
      0
    ),
    MATCH(
      _xludf.IFNA(
        VLOOKUP($D371,{"PH","Provincial Hospital (H2)";"DH","District Hospital (H3)";"RH","Regional / National Hospital (H1)"},2,0),
        $D371
      ),
      'Tools &amp; Targets_Guideline'!$C$53:$I$53,
      0
    )
  ),
0))</f>
        <v/>
      </c>
      <c r="Q371" s="102"/>
      <c r="R371" s="119" t="str">
        <f t="array" ref="R371">IF(OR($B371="",$D371=""),"",
IFERROR(
  INDEX(
    'Tools &amp; Targets_Guideline'!$C$54:$I$269,
    MATCH(
      1,
      ('Tools &amp; Targets_Guideline'!$A$54:$A$269=$B371)*
      ('Tools &amp; Targets_Guideline'!$B$54:$B$269="TT"),
      0
    ),
    MATCH(
      _xludf.IFNA(
        VLOOKUP($D371,{"PH","Provincial Hospital (H2)";"DH","District Hospital (H3)";"RH","Regional / National Hospital (H1)"},2,0),
        $D371
      ),
      'Tools &amp; Targets_Guideline'!$C$53:$I$53,
      0
    )
  ),
0))</f>
        <v/>
      </c>
      <c r="S371" s="102"/>
      <c r="T371" s="102"/>
      <c r="U371" s="106"/>
      <c r="V371" s="102" t="str">
        <f t="shared" si="16"/>
        <v/>
      </c>
      <c r="W371" s="102"/>
      <c r="X371" s="102"/>
      <c r="Y371" s="119" t="str">
        <f t="array" ref="Y371">IF(OR($B371="",$D371=""),"",
IFERROR(
  INDEX(
    'Tools &amp; Targets_Guideline'!$C$54:$I$269,
    MATCH(
      1,
      ('Tools &amp; Targets_Guideline'!$A$54:$A$269=$B371)*
      ('Tools &amp; Targets_Guideline'!$B$54:$B$269="GM"),
      0
    ),
    MATCH(
      _xludf.IFNA(
        VLOOKUP($D371,{"PH","Provincial Hospital (H2)";"DH","District Hospital (H3)";"RH","Regional / National Hospital (H1)"},2,0),
        $D371
      ),
      'Tools &amp; Targets_Guideline'!$C$53:$I$53,
      0
    )
  ),
0))</f>
        <v/>
      </c>
      <c r="Z371" s="105"/>
      <c r="AA371" s="119" t="str">
        <f t="array" ref="AA371">IF(OR($B371="",$D371=""),"",
IFERROR(
  INDEX(
    'Tools &amp; Targets_Guideline'!$C$54:$I$269,
    MATCH(
      1,
      ('Tools &amp; Targets_Guideline'!$A$54:$A$269=$B371)*
      ('Tools &amp; Targets_Guideline'!$B$54:$B$269="Penta"),
      0
    ),
    MATCH(
      _xludf.IFNA(
        VLOOKUP($D371,{"PH","Provincial Hospital (H2)";"DH","District Hospital (H3)";"RH","Regional / National Hospital (H1)"},2,0),
        $D371
      ),
      'Tools &amp; Targets_Guideline'!$C$53:$I$53,
      0
    )
  ),
0))</f>
        <v/>
      </c>
      <c r="AB371" s="105"/>
      <c r="AC371" s="119" t="str">
        <f t="array" ref="AC371">IF(OR($B371="",$D371=""),"",
IFERROR(
  INDEX(
    'Tools &amp; Targets_Guideline'!$C$54:$I$269,
    MATCH(
      1,
      ('Tools &amp; Targets_Guideline'!$A$54:$A$269=$B371)*
      ('Tools &amp; Targets_Guideline'!$B$54:$B$269="TB"),
      0
    ),
    MATCH(
      _xludf.IFNA(
        VLOOKUP($D371,{"PH","Provincial Hospital (H2)";"DH","District Hospital (H3)";"RH","Regional / National Hospital (H1)"},2,0),
        $D371
      ),
      'Tools &amp; Targets_Guideline'!$C$53:$I$53,
      0
    )
  ),
0))</f>
        <v/>
      </c>
      <c r="AD371" s="105"/>
      <c r="AE371" s="119" t="str">
        <f t="array" ref="AE371">IF(OR($B371="",$D371=""),"",
IFERROR(
  INDEX(
    'Tools &amp; Targets_Guideline'!$C$54:$I$269,
    MATCH(
      1,
      ('Tools &amp; Targets_Guideline'!$A$54:$A$269=$B371)*
      ('Tools &amp; Targets_Guideline'!$B$54:$B$269="U5 Morbidity"),
      0
    ),
    MATCH(
      _xludf.IFNA(
        VLOOKUP($D371,{"PH","Provincial Hospital (H2)";"DH","District Hospital (H3)";"RH","Regional / National Hospital (H1)"},2,0),
        $D371
      ),
      'Tools &amp; Targets_Guideline'!$C$53:$I$53,
      0
    )
  ),
0))</f>
        <v/>
      </c>
      <c r="AF371" s="105"/>
      <c r="AG371" s="119" t="str">
        <f t="array" ref="AG371">IF(OR($B371="",$D371=""),"",
IFERROR(
  INDEX(
    'Tools &amp; Targets_Guideline'!$C$54:$I$269,
    MATCH(
      1,
      ('Tools &amp; Targets_Guideline'!$A$54:$A$269=$B371)*
      ('Tools &amp; Targets_Guideline'!$B$54:$B$269="C-Section"),
      0
    ),
    MATCH(
      _xludf.IFNA(
        VLOOKUP($D371,{"PH","Provincial Hospital (H2)";"DH","District Hospital (H3)";"RH","Regional / National Hospital (H1)"},2,0),
        $D371
      ),
      'Tools &amp; Targets_Guideline'!$C$53:$I$53,
      0
    )
  ),
0))</f>
        <v/>
      </c>
      <c r="AH371" s="105" t="str">
        <f>IF(A371&lt;&gt;"",COUNTIFS('QA Log'!D:D,A371,'QA Log'!M:M,"QQC",'QA Log'!L:L,"2. Hygiene and Sterilization",'QA Log'!Z:Z,"Approved"),"")</f>
        <v/>
      </c>
      <c r="AI371" s="102"/>
      <c r="AJ371" s="102"/>
      <c r="AK371" s="103" t="str">
        <f t="shared" si="17"/>
        <v/>
      </c>
      <c r="AL371" s="102"/>
      <c r="AM371" s="102"/>
      <c r="AN371" s="102"/>
      <c r="AO371" s="106"/>
      <c r="AP371" s="103"/>
      <c r="AQ371" s="102"/>
      <c r="AR371" s="102"/>
      <c r="AS371" s="102"/>
      <c r="AT371" s="107"/>
      <c r="AU371" s="102" t="str">
        <f t="shared" si="18"/>
        <v/>
      </c>
      <c r="AV371" s="102" t="str">
        <f t="shared" si="19"/>
        <v/>
      </c>
      <c r="AW371" s="102" t="str">
        <f t="shared" si="20"/>
        <v/>
      </c>
      <c r="AX371" s="102" t="str">
        <f t="shared" si="21"/>
        <v/>
      </c>
      <c r="AY371" s="107" t="str">
        <f t="shared" si="22"/>
        <v/>
      </c>
      <c r="AZ371" s="108" t="str">
        <f t="shared" si="23"/>
        <v/>
      </c>
      <c r="BA371" s="108" t="str">
        <f t="shared" si="24"/>
        <v/>
      </c>
      <c r="BB371" s="109" t="str">
        <f t="shared" si="25"/>
        <v/>
      </c>
      <c r="BC371" s="108" t="str">
        <f t="shared" si="26"/>
        <v/>
      </c>
      <c r="BD371" s="108" t="str">
        <f t="shared" si="27"/>
        <v/>
      </c>
      <c r="BE371" s="109" t="str">
        <f t="shared" si="28"/>
        <v/>
      </c>
      <c r="BF371" s="110" t="str">
        <f t="shared" si="29"/>
        <v/>
      </c>
      <c r="BG371" s="111"/>
    </row>
    <row r="372" spans="1:59" ht="12.75">
      <c r="A372" s="101"/>
      <c r="B372" s="102"/>
      <c r="C372" s="102" t="e">
        <f t="array" aca="1" ref="C372" ca="1">_xludf.XLOOKUP(A372,'QA Log'!D:D,'QA Log'!F:F,"")</f>
        <v>#NAME?</v>
      </c>
      <c r="D372" s="102"/>
      <c r="E372" s="102" t="e">
        <f t="array" aca="1" ref="E372" ca="1">_xludf.XLOOKUP(A372,'QA Log'!D:D,'QA Log'!G:G,"")</f>
        <v>#NAME?</v>
      </c>
      <c r="F372" s="103"/>
      <c r="G372" s="104"/>
      <c r="H372" s="104"/>
      <c r="I372" s="103" t="str">
        <f t="shared" si="15"/>
        <v/>
      </c>
      <c r="J372" s="102"/>
      <c r="K372" s="102"/>
      <c r="L372" s="119" t="str">
        <f t="array" ref="L372">IF(OR($B372="",$D372=""),"",
IFERROR(
  INDEX(
    'Tools &amp; Targets_Guideline'!$C$54:$I$269,
    MATCH(
      1,
      ('Tools &amp; Targets_Guideline'!$A$54:$A$269=$B372)*
      ('Tools &amp; Targets_Guideline'!$B$54:$B$269="ANC"),
      0
    ),
    MATCH(
      _xludf.IFNA(
        VLOOKUP($D372,{"PH","Provincial Hospital (H2)";"DH","District Hospital (H3)";"RH","Regional / National Hospital (H1)"},2,0),
        $D372
      ),
      'Tools &amp; Targets_Guideline'!$C$53:$I$53,
      0
    )
  ),
0))</f>
        <v/>
      </c>
      <c r="M372" s="102"/>
      <c r="N372" s="119" t="str">
        <f t="array" ref="N372">IF(OR($B372="",$D372=""),"",
IFERROR(
  INDEX(
    'Tools &amp; Targets_Guideline'!$C$54:$I$269,
    MATCH(
      1,
      ('Tools &amp; Targets_Guideline'!$A$54:$A$269=$B372)*
      ('Tools &amp; Targets_Guideline'!$B$54:$B$269="PNC"),
      0
    ),
    MATCH(
      _xludf.IFNA(
        VLOOKUP($D372,{"PH","Provincial Hospital (H2)";"DH","District Hospital (H3)";"RH","Regional / National Hospital (H1)"},2,0),
        $D372
      ),
      'Tools &amp; Targets_Guideline'!$C$53:$I$53,
      0
    )
  ),
0))</f>
        <v/>
      </c>
      <c r="O372" s="102"/>
      <c r="P372" s="119" t="str">
        <f t="array" ref="P372">IF(OR($B372="",$D372=""),"",
IFERROR(
  INDEX(
    'Tools &amp; Targets_Guideline'!$C$54:$I$269,
    MATCH(
      1,
      ('Tools &amp; Targets_Guideline'!$A$54:$A$269=$B372)*
      ('Tools &amp; Targets_Guideline'!$B$54:$B$269="Delivery"),
      0
    ),
    MATCH(
      _xludf.IFNA(
        VLOOKUP($D372,{"PH","Provincial Hospital (H2)";"DH","District Hospital (H3)";"RH","Regional / National Hospital (H1)"},2,0),
        $D372
      ),
      'Tools &amp; Targets_Guideline'!$C$53:$I$53,
      0
    )
  ),
0))</f>
        <v/>
      </c>
      <c r="Q372" s="102"/>
      <c r="R372" s="119" t="str">
        <f t="array" ref="R372">IF(OR($B372="",$D372=""),"",
IFERROR(
  INDEX(
    'Tools &amp; Targets_Guideline'!$C$54:$I$269,
    MATCH(
      1,
      ('Tools &amp; Targets_Guideline'!$A$54:$A$269=$B372)*
      ('Tools &amp; Targets_Guideline'!$B$54:$B$269="TT"),
      0
    ),
    MATCH(
      _xludf.IFNA(
        VLOOKUP($D372,{"PH","Provincial Hospital (H2)";"DH","District Hospital (H3)";"RH","Regional / National Hospital (H1)"},2,0),
        $D372
      ),
      'Tools &amp; Targets_Guideline'!$C$53:$I$53,
      0
    )
  ),
0))</f>
        <v/>
      </c>
      <c r="S372" s="102"/>
      <c r="T372" s="102"/>
      <c r="U372" s="106"/>
      <c r="V372" s="102" t="str">
        <f t="shared" si="16"/>
        <v/>
      </c>
      <c r="W372" s="102"/>
      <c r="X372" s="102"/>
      <c r="Y372" s="119" t="str">
        <f t="array" ref="Y372">IF(OR($B372="",$D372=""),"",
IFERROR(
  INDEX(
    'Tools &amp; Targets_Guideline'!$C$54:$I$269,
    MATCH(
      1,
      ('Tools &amp; Targets_Guideline'!$A$54:$A$269=$B372)*
      ('Tools &amp; Targets_Guideline'!$B$54:$B$269="GM"),
      0
    ),
    MATCH(
      _xludf.IFNA(
        VLOOKUP($D372,{"PH","Provincial Hospital (H2)";"DH","District Hospital (H3)";"RH","Regional / National Hospital (H1)"},2,0),
        $D372
      ),
      'Tools &amp; Targets_Guideline'!$C$53:$I$53,
      0
    )
  ),
0))</f>
        <v/>
      </c>
      <c r="Z372" s="105"/>
      <c r="AA372" s="119" t="str">
        <f t="array" ref="AA372">IF(OR($B372="",$D372=""),"",
IFERROR(
  INDEX(
    'Tools &amp; Targets_Guideline'!$C$54:$I$269,
    MATCH(
      1,
      ('Tools &amp; Targets_Guideline'!$A$54:$A$269=$B372)*
      ('Tools &amp; Targets_Guideline'!$B$54:$B$269="Penta"),
      0
    ),
    MATCH(
      _xludf.IFNA(
        VLOOKUP($D372,{"PH","Provincial Hospital (H2)";"DH","District Hospital (H3)";"RH","Regional / National Hospital (H1)"},2,0),
        $D372
      ),
      'Tools &amp; Targets_Guideline'!$C$53:$I$53,
      0
    )
  ),
0))</f>
        <v/>
      </c>
      <c r="AB372" s="105"/>
      <c r="AC372" s="119" t="str">
        <f t="array" ref="AC372">IF(OR($B372="",$D372=""),"",
IFERROR(
  INDEX(
    'Tools &amp; Targets_Guideline'!$C$54:$I$269,
    MATCH(
      1,
      ('Tools &amp; Targets_Guideline'!$A$54:$A$269=$B372)*
      ('Tools &amp; Targets_Guideline'!$B$54:$B$269="TB"),
      0
    ),
    MATCH(
      _xludf.IFNA(
        VLOOKUP($D372,{"PH","Provincial Hospital (H2)";"DH","District Hospital (H3)";"RH","Regional / National Hospital (H1)"},2,0),
        $D372
      ),
      'Tools &amp; Targets_Guideline'!$C$53:$I$53,
      0
    )
  ),
0))</f>
        <v/>
      </c>
      <c r="AD372" s="105"/>
      <c r="AE372" s="119" t="str">
        <f t="array" ref="AE372">IF(OR($B372="",$D372=""),"",
IFERROR(
  INDEX(
    'Tools &amp; Targets_Guideline'!$C$54:$I$269,
    MATCH(
      1,
      ('Tools &amp; Targets_Guideline'!$A$54:$A$269=$B372)*
      ('Tools &amp; Targets_Guideline'!$B$54:$B$269="U5 Morbidity"),
      0
    ),
    MATCH(
      _xludf.IFNA(
        VLOOKUP($D372,{"PH","Provincial Hospital (H2)";"DH","District Hospital (H3)";"RH","Regional / National Hospital (H1)"},2,0),
        $D372
      ),
      'Tools &amp; Targets_Guideline'!$C$53:$I$53,
      0
    )
  ),
0))</f>
        <v/>
      </c>
      <c r="AF372" s="105"/>
      <c r="AG372" s="119" t="str">
        <f t="array" ref="AG372">IF(OR($B372="",$D372=""),"",
IFERROR(
  INDEX(
    'Tools &amp; Targets_Guideline'!$C$54:$I$269,
    MATCH(
      1,
      ('Tools &amp; Targets_Guideline'!$A$54:$A$269=$B372)*
      ('Tools &amp; Targets_Guideline'!$B$54:$B$269="C-Section"),
      0
    ),
    MATCH(
      _xludf.IFNA(
        VLOOKUP($D372,{"PH","Provincial Hospital (H2)";"DH","District Hospital (H3)";"RH","Regional / National Hospital (H1)"},2,0),
        $D372
      ),
      'Tools &amp; Targets_Guideline'!$C$53:$I$53,
      0
    )
  ),
0))</f>
        <v/>
      </c>
      <c r="AH372" s="105" t="str">
        <f>IF(A372&lt;&gt;"",COUNTIFS('QA Log'!D:D,A372,'QA Log'!M:M,"QQC",'QA Log'!L:L,"2. Hygiene and Sterilization",'QA Log'!Z:Z,"Approved"),"")</f>
        <v/>
      </c>
      <c r="AI372" s="102"/>
      <c r="AJ372" s="102"/>
      <c r="AK372" s="103" t="str">
        <f t="shared" si="17"/>
        <v/>
      </c>
      <c r="AL372" s="102"/>
      <c r="AM372" s="102"/>
      <c r="AN372" s="102"/>
      <c r="AO372" s="106"/>
      <c r="AP372" s="103"/>
      <c r="AQ372" s="102"/>
      <c r="AR372" s="102"/>
      <c r="AS372" s="102"/>
      <c r="AT372" s="107"/>
      <c r="AU372" s="102" t="str">
        <f t="shared" si="18"/>
        <v/>
      </c>
      <c r="AV372" s="102" t="str">
        <f t="shared" si="19"/>
        <v/>
      </c>
      <c r="AW372" s="102" t="str">
        <f t="shared" si="20"/>
        <v/>
      </c>
      <c r="AX372" s="102" t="str">
        <f t="shared" si="21"/>
        <v/>
      </c>
      <c r="AY372" s="107" t="str">
        <f t="shared" si="22"/>
        <v/>
      </c>
      <c r="AZ372" s="108" t="str">
        <f t="shared" si="23"/>
        <v/>
      </c>
      <c r="BA372" s="108" t="str">
        <f t="shared" si="24"/>
        <v/>
      </c>
      <c r="BB372" s="109" t="str">
        <f t="shared" si="25"/>
        <v/>
      </c>
      <c r="BC372" s="108" t="str">
        <f t="shared" si="26"/>
        <v/>
      </c>
      <c r="BD372" s="108" t="str">
        <f t="shared" si="27"/>
        <v/>
      </c>
      <c r="BE372" s="109" t="str">
        <f t="shared" si="28"/>
        <v/>
      </c>
      <c r="BF372" s="110" t="str">
        <f t="shared" si="29"/>
        <v/>
      </c>
      <c r="BG372" s="111"/>
    </row>
    <row r="373" spans="1:59" ht="12.75">
      <c r="A373" s="101"/>
      <c r="B373" s="102"/>
      <c r="C373" s="102" t="e">
        <f t="array" aca="1" ref="C373" ca="1">_xludf.XLOOKUP(A373,'QA Log'!D:D,'QA Log'!F:F,"")</f>
        <v>#NAME?</v>
      </c>
      <c r="D373" s="102"/>
      <c r="E373" s="102" t="e">
        <f t="array" aca="1" ref="E373" ca="1">_xludf.XLOOKUP(A373,'QA Log'!D:D,'QA Log'!G:G,"")</f>
        <v>#NAME?</v>
      </c>
      <c r="F373" s="103"/>
      <c r="G373" s="104"/>
      <c r="H373" s="104"/>
      <c r="I373" s="103" t="str">
        <f t="shared" si="15"/>
        <v/>
      </c>
      <c r="J373" s="102"/>
      <c r="K373" s="102"/>
      <c r="L373" s="119" t="str">
        <f t="array" ref="L373">IF(OR($B373="",$D373=""),"",
IFERROR(
  INDEX(
    'Tools &amp; Targets_Guideline'!$C$54:$I$269,
    MATCH(
      1,
      ('Tools &amp; Targets_Guideline'!$A$54:$A$269=$B373)*
      ('Tools &amp; Targets_Guideline'!$B$54:$B$269="ANC"),
      0
    ),
    MATCH(
      _xludf.IFNA(
        VLOOKUP($D373,{"PH","Provincial Hospital (H2)";"DH","District Hospital (H3)";"RH","Regional / National Hospital (H1)"},2,0),
        $D373
      ),
      'Tools &amp; Targets_Guideline'!$C$53:$I$53,
      0
    )
  ),
0))</f>
        <v/>
      </c>
      <c r="M373" s="102"/>
      <c r="N373" s="119" t="str">
        <f t="array" ref="N373">IF(OR($B373="",$D373=""),"",
IFERROR(
  INDEX(
    'Tools &amp; Targets_Guideline'!$C$54:$I$269,
    MATCH(
      1,
      ('Tools &amp; Targets_Guideline'!$A$54:$A$269=$B373)*
      ('Tools &amp; Targets_Guideline'!$B$54:$B$269="PNC"),
      0
    ),
    MATCH(
      _xludf.IFNA(
        VLOOKUP($D373,{"PH","Provincial Hospital (H2)";"DH","District Hospital (H3)";"RH","Regional / National Hospital (H1)"},2,0),
        $D373
      ),
      'Tools &amp; Targets_Guideline'!$C$53:$I$53,
      0
    )
  ),
0))</f>
        <v/>
      </c>
      <c r="O373" s="102"/>
      <c r="P373" s="119" t="str">
        <f t="array" ref="P373">IF(OR($B373="",$D373=""),"",
IFERROR(
  INDEX(
    'Tools &amp; Targets_Guideline'!$C$54:$I$269,
    MATCH(
      1,
      ('Tools &amp; Targets_Guideline'!$A$54:$A$269=$B373)*
      ('Tools &amp; Targets_Guideline'!$B$54:$B$269="Delivery"),
      0
    ),
    MATCH(
      _xludf.IFNA(
        VLOOKUP($D373,{"PH","Provincial Hospital (H2)";"DH","District Hospital (H3)";"RH","Regional / National Hospital (H1)"},2,0),
        $D373
      ),
      'Tools &amp; Targets_Guideline'!$C$53:$I$53,
      0
    )
  ),
0))</f>
        <v/>
      </c>
      <c r="Q373" s="102"/>
      <c r="R373" s="119" t="str">
        <f t="array" ref="R373">IF(OR($B373="",$D373=""),"",
IFERROR(
  INDEX(
    'Tools &amp; Targets_Guideline'!$C$54:$I$269,
    MATCH(
      1,
      ('Tools &amp; Targets_Guideline'!$A$54:$A$269=$B373)*
      ('Tools &amp; Targets_Guideline'!$B$54:$B$269="TT"),
      0
    ),
    MATCH(
      _xludf.IFNA(
        VLOOKUP($D373,{"PH","Provincial Hospital (H2)";"DH","District Hospital (H3)";"RH","Regional / National Hospital (H1)"},2,0),
        $D373
      ),
      'Tools &amp; Targets_Guideline'!$C$53:$I$53,
      0
    )
  ),
0))</f>
        <v/>
      </c>
      <c r="S373" s="102"/>
      <c r="T373" s="102"/>
      <c r="U373" s="106"/>
      <c r="V373" s="102" t="str">
        <f t="shared" si="16"/>
        <v/>
      </c>
      <c r="W373" s="102"/>
      <c r="X373" s="102"/>
      <c r="Y373" s="119" t="str">
        <f t="array" ref="Y373">IF(OR($B373="",$D373=""),"",
IFERROR(
  INDEX(
    'Tools &amp; Targets_Guideline'!$C$54:$I$269,
    MATCH(
      1,
      ('Tools &amp; Targets_Guideline'!$A$54:$A$269=$B373)*
      ('Tools &amp; Targets_Guideline'!$B$54:$B$269="GM"),
      0
    ),
    MATCH(
      _xludf.IFNA(
        VLOOKUP($D373,{"PH","Provincial Hospital (H2)";"DH","District Hospital (H3)";"RH","Regional / National Hospital (H1)"},2,0),
        $D373
      ),
      'Tools &amp; Targets_Guideline'!$C$53:$I$53,
      0
    )
  ),
0))</f>
        <v/>
      </c>
      <c r="Z373" s="105"/>
      <c r="AA373" s="119" t="str">
        <f t="array" ref="AA373">IF(OR($B373="",$D373=""),"",
IFERROR(
  INDEX(
    'Tools &amp; Targets_Guideline'!$C$54:$I$269,
    MATCH(
      1,
      ('Tools &amp; Targets_Guideline'!$A$54:$A$269=$B373)*
      ('Tools &amp; Targets_Guideline'!$B$54:$B$269="Penta"),
      0
    ),
    MATCH(
      _xludf.IFNA(
        VLOOKUP($D373,{"PH","Provincial Hospital (H2)";"DH","District Hospital (H3)";"RH","Regional / National Hospital (H1)"},2,0),
        $D373
      ),
      'Tools &amp; Targets_Guideline'!$C$53:$I$53,
      0
    )
  ),
0))</f>
        <v/>
      </c>
      <c r="AB373" s="105"/>
      <c r="AC373" s="119" t="str">
        <f t="array" ref="AC373">IF(OR($B373="",$D373=""),"",
IFERROR(
  INDEX(
    'Tools &amp; Targets_Guideline'!$C$54:$I$269,
    MATCH(
      1,
      ('Tools &amp; Targets_Guideline'!$A$54:$A$269=$B373)*
      ('Tools &amp; Targets_Guideline'!$B$54:$B$269="TB"),
      0
    ),
    MATCH(
      _xludf.IFNA(
        VLOOKUP($D373,{"PH","Provincial Hospital (H2)";"DH","District Hospital (H3)";"RH","Regional / National Hospital (H1)"},2,0),
        $D373
      ),
      'Tools &amp; Targets_Guideline'!$C$53:$I$53,
      0
    )
  ),
0))</f>
        <v/>
      </c>
      <c r="AD373" s="105"/>
      <c r="AE373" s="119" t="str">
        <f t="array" ref="AE373">IF(OR($B373="",$D373=""),"",
IFERROR(
  INDEX(
    'Tools &amp; Targets_Guideline'!$C$54:$I$269,
    MATCH(
      1,
      ('Tools &amp; Targets_Guideline'!$A$54:$A$269=$B373)*
      ('Tools &amp; Targets_Guideline'!$B$54:$B$269="U5 Morbidity"),
      0
    ),
    MATCH(
      _xludf.IFNA(
        VLOOKUP($D373,{"PH","Provincial Hospital (H2)";"DH","District Hospital (H3)";"RH","Regional / National Hospital (H1)"},2,0),
        $D373
      ),
      'Tools &amp; Targets_Guideline'!$C$53:$I$53,
      0
    )
  ),
0))</f>
        <v/>
      </c>
      <c r="AF373" s="105"/>
      <c r="AG373" s="119" t="str">
        <f t="array" ref="AG373">IF(OR($B373="",$D373=""),"",
IFERROR(
  INDEX(
    'Tools &amp; Targets_Guideline'!$C$54:$I$269,
    MATCH(
      1,
      ('Tools &amp; Targets_Guideline'!$A$54:$A$269=$B373)*
      ('Tools &amp; Targets_Guideline'!$B$54:$B$269="C-Section"),
      0
    ),
    MATCH(
      _xludf.IFNA(
        VLOOKUP($D373,{"PH","Provincial Hospital (H2)";"DH","District Hospital (H3)";"RH","Regional / National Hospital (H1)"},2,0),
        $D373
      ),
      'Tools &amp; Targets_Guideline'!$C$53:$I$53,
      0
    )
  ),
0))</f>
        <v/>
      </c>
      <c r="AH373" s="105" t="str">
        <f>IF(A373&lt;&gt;"",COUNTIFS('QA Log'!D:D,A373,'QA Log'!M:M,"QQC",'QA Log'!L:L,"2. Hygiene and Sterilization",'QA Log'!Z:Z,"Approved"),"")</f>
        <v/>
      </c>
      <c r="AI373" s="102"/>
      <c r="AJ373" s="102"/>
      <c r="AK373" s="103" t="str">
        <f t="shared" si="17"/>
        <v/>
      </c>
      <c r="AL373" s="102"/>
      <c r="AM373" s="102"/>
      <c r="AN373" s="102"/>
      <c r="AO373" s="106"/>
      <c r="AP373" s="103"/>
      <c r="AQ373" s="102"/>
      <c r="AR373" s="102"/>
      <c r="AS373" s="102"/>
      <c r="AT373" s="107"/>
      <c r="AU373" s="102" t="str">
        <f t="shared" si="18"/>
        <v/>
      </c>
      <c r="AV373" s="102" t="str">
        <f t="shared" si="19"/>
        <v/>
      </c>
      <c r="AW373" s="102" t="str">
        <f t="shared" si="20"/>
        <v/>
      </c>
      <c r="AX373" s="102" t="str">
        <f t="shared" si="21"/>
        <v/>
      </c>
      <c r="AY373" s="107" t="str">
        <f t="shared" si="22"/>
        <v/>
      </c>
      <c r="AZ373" s="108" t="str">
        <f t="shared" si="23"/>
        <v/>
      </c>
      <c r="BA373" s="108" t="str">
        <f t="shared" si="24"/>
        <v/>
      </c>
      <c r="BB373" s="109" t="str">
        <f t="shared" si="25"/>
        <v/>
      </c>
      <c r="BC373" s="108" t="str">
        <f t="shared" si="26"/>
        <v/>
      </c>
      <c r="BD373" s="108" t="str">
        <f t="shared" si="27"/>
        <v/>
      </c>
      <c r="BE373" s="109" t="str">
        <f t="shared" si="28"/>
        <v/>
      </c>
      <c r="BF373" s="110" t="str">
        <f t="shared" si="29"/>
        <v/>
      </c>
      <c r="BG373" s="111"/>
    </row>
    <row r="374" spans="1:59" ht="12.75">
      <c r="A374" s="101"/>
      <c r="B374" s="102"/>
      <c r="C374" s="102" t="e">
        <f t="array" aca="1" ref="C374" ca="1">_xludf.XLOOKUP(A374,'QA Log'!D:D,'QA Log'!F:F,"")</f>
        <v>#NAME?</v>
      </c>
      <c r="D374" s="102"/>
      <c r="E374" s="102" t="e">
        <f t="array" aca="1" ref="E374" ca="1">_xludf.XLOOKUP(A374,'QA Log'!D:D,'QA Log'!G:G,"")</f>
        <v>#NAME?</v>
      </c>
      <c r="F374" s="103"/>
      <c r="G374" s="104"/>
      <c r="H374" s="104"/>
      <c r="I374" s="103" t="str">
        <f t="shared" si="15"/>
        <v/>
      </c>
      <c r="J374" s="102"/>
      <c r="K374" s="102"/>
      <c r="L374" s="119" t="str">
        <f t="array" ref="L374">IF(OR($B374="",$D374=""),"",
IFERROR(
  INDEX(
    'Tools &amp; Targets_Guideline'!$C$54:$I$269,
    MATCH(
      1,
      ('Tools &amp; Targets_Guideline'!$A$54:$A$269=$B374)*
      ('Tools &amp; Targets_Guideline'!$B$54:$B$269="ANC"),
      0
    ),
    MATCH(
      _xludf.IFNA(
        VLOOKUP($D374,{"PH","Provincial Hospital (H2)";"DH","District Hospital (H3)";"RH","Regional / National Hospital (H1)"},2,0),
        $D374
      ),
      'Tools &amp; Targets_Guideline'!$C$53:$I$53,
      0
    )
  ),
0))</f>
        <v/>
      </c>
      <c r="M374" s="102"/>
      <c r="N374" s="119" t="str">
        <f t="array" ref="N374">IF(OR($B374="",$D374=""),"",
IFERROR(
  INDEX(
    'Tools &amp; Targets_Guideline'!$C$54:$I$269,
    MATCH(
      1,
      ('Tools &amp; Targets_Guideline'!$A$54:$A$269=$B374)*
      ('Tools &amp; Targets_Guideline'!$B$54:$B$269="PNC"),
      0
    ),
    MATCH(
      _xludf.IFNA(
        VLOOKUP($D374,{"PH","Provincial Hospital (H2)";"DH","District Hospital (H3)";"RH","Regional / National Hospital (H1)"},2,0),
        $D374
      ),
      'Tools &amp; Targets_Guideline'!$C$53:$I$53,
      0
    )
  ),
0))</f>
        <v/>
      </c>
      <c r="O374" s="102"/>
      <c r="P374" s="119" t="str">
        <f t="array" ref="P374">IF(OR($B374="",$D374=""),"",
IFERROR(
  INDEX(
    'Tools &amp; Targets_Guideline'!$C$54:$I$269,
    MATCH(
      1,
      ('Tools &amp; Targets_Guideline'!$A$54:$A$269=$B374)*
      ('Tools &amp; Targets_Guideline'!$B$54:$B$269="Delivery"),
      0
    ),
    MATCH(
      _xludf.IFNA(
        VLOOKUP($D374,{"PH","Provincial Hospital (H2)";"DH","District Hospital (H3)";"RH","Regional / National Hospital (H1)"},2,0),
        $D374
      ),
      'Tools &amp; Targets_Guideline'!$C$53:$I$53,
      0
    )
  ),
0))</f>
        <v/>
      </c>
      <c r="Q374" s="102"/>
      <c r="R374" s="119" t="str">
        <f t="array" ref="R374">IF(OR($B374="",$D374=""),"",
IFERROR(
  INDEX(
    'Tools &amp; Targets_Guideline'!$C$54:$I$269,
    MATCH(
      1,
      ('Tools &amp; Targets_Guideline'!$A$54:$A$269=$B374)*
      ('Tools &amp; Targets_Guideline'!$B$54:$B$269="TT"),
      0
    ),
    MATCH(
      _xludf.IFNA(
        VLOOKUP($D374,{"PH","Provincial Hospital (H2)";"DH","District Hospital (H3)";"RH","Regional / National Hospital (H1)"},2,0),
        $D374
      ),
      'Tools &amp; Targets_Guideline'!$C$53:$I$53,
      0
    )
  ),
0))</f>
        <v/>
      </c>
      <c r="S374" s="102"/>
      <c r="T374" s="102"/>
      <c r="U374" s="106"/>
      <c r="V374" s="102" t="str">
        <f t="shared" si="16"/>
        <v/>
      </c>
      <c r="W374" s="102"/>
      <c r="X374" s="102"/>
      <c r="Y374" s="119" t="str">
        <f t="array" ref="Y374">IF(OR($B374="",$D374=""),"",
IFERROR(
  INDEX(
    'Tools &amp; Targets_Guideline'!$C$54:$I$269,
    MATCH(
      1,
      ('Tools &amp; Targets_Guideline'!$A$54:$A$269=$B374)*
      ('Tools &amp; Targets_Guideline'!$B$54:$B$269="GM"),
      0
    ),
    MATCH(
      _xludf.IFNA(
        VLOOKUP($D374,{"PH","Provincial Hospital (H2)";"DH","District Hospital (H3)";"RH","Regional / National Hospital (H1)"},2,0),
        $D374
      ),
      'Tools &amp; Targets_Guideline'!$C$53:$I$53,
      0
    )
  ),
0))</f>
        <v/>
      </c>
      <c r="Z374" s="105"/>
      <c r="AA374" s="119" t="str">
        <f t="array" ref="AA374">IF(OR($B374="",$D374=""),"",
IFERROR(
  INDEX(
    'Tools &amp; Targets_Guideline'!$C$54:$I$269,
    MATCH(
      1,
      ('Tools &amp; Targets_Guideline'!$A$54:$A$269=$B374)*
      ('Tools &amp; Targets_Guideline'!$B$54:$B$269="Penta"),
      0
    ),
    MATCH(
      _xludf.IFNA(
        VLOOKUP($D374,{"PH","Provincial Hospital (H2)";"DH","District Hospital (H3)";"RH","Regional / National Hospital (H1)"},2,0),
        $D374
      ),
      'Tools &amp; Targets_Guideline'!$C$53:$I$53,
      0
    )
  ),
0))</f>
        <v/>
      </c>
      <c r="AB374" s="105"/>
      <c r="AC374" s="119" t="str">
        <f t="array" ref="AC374">IF(OR($B374="",$D374=""),"",
IFERROR(
  INDEX(
    'Tools &amp; Targets_Guideline'!$C$54:$I$269,
    MATCH(
      1,
      ('Tools &amp; Targets_Guideline'!$A$54:$A$269=$B374)*
      ('Tools &amp; Targets_Guideline'!$B$54:$B$269="TB"),
      0
    ),
    MATCH(
      _xludf.IFNA(
        VLOOKUP($D374,{"PH","Provincial Hospital (H2)";"DH","District Hospital (H3)";"RH","Regional / National Hospital (H1)"},2,0),
        $D374
      ),
      'Tools &amp; Targets_Guideline'!$C$53:$I$53,
      0
    )
  ),
0))</f>
        <v/>
      </c>
      <c r="AD374" s="105"/>
      <c r="AE374" s="119" t="str">
        <f t="array" ref="AE374">IF(OR($B374="",$D374=""),"",
IFERROR(
  INDEX(
    'Tools &amp; Targets_Guideline'!$C$54:$I$269,
    MATCH(
      1,
      ('Tools &amp; Targets_Guideline'!$A$54:$A$269=$B374)*
      ('Tools &amp; Targets_Guideline'!$B$54:$B$269="U5 Morbidity"),
      0
    ),
    MATCH(
      _xludf.IFNA(
        VLOOKUP($D374,{"PH","Provincial Hospital (H2)";"DH","District Hospital (H3)";"RH","Regional / National Hospital (H1)"},2,0),
        $D374
      ),
      'Tools &amp; Targets_Guideline'!$C$53:$I$53,
      0
    )
  ),
0))</f>
        <v/>
      </c>
      <c r="AF374" s="105"/>
      <c r="AG374" s="119" t="str">
        <f t="array" ref="AG374">IF(OR($B374="",$D374=""),"",
IFERROR(
  INDEX(
    'Tools &amp; Targets_Guideline'!$C$54:$I$269,
    MATCH(
      1,
      ('Tools &amp; Targets_Guideline'!$A$54:$A$269=$B374)*
      ('Tools &amp; Targets_Guideline'!$B$54:$B$269="C-Section"),
      0
    ),
    MATCH(
      _xludf.IFNA(
        VLOOKUP($D374,{"PH","Provincial Hospital (H2)";"DH","District Hospital (H3)";"RH","Regional / National Hospital (H1)"},2,0),
        $D374
      ),
      'Tools &amp; Targets_Guideline'!$C$53:$I$53,
      0
    )
  ),
0))</f>
        <v/>
      </c>
      <c r="AH374" s="105" t="str">
        <f>IF(A374&lt;&gt;"",COUNTIFS('QA Log'!D:D,A374,'QA Log'!M:M,"QQC",'QA Log'!L:L,"2. Hygiene and Sterilization",'QA Log'!Z:Z,"Approved"),"")</f>
        <v/>
      </c>
      <c r="AI374" s="102"/>
      <c r="AJ374" s="102"/>
      <c r="AK374" s="103" t="str">
        <f t="shared" si="17"/>
        <v/>
      </c>
      <c r="AL374" s="102"/>
      <c r="AM374" s="102"/>
      <c r="AN374" s="102"/>
      <c r="AO374" s="106"/>
      <c r="AP374" s="103"/>
      <c r="AQ374" s="102"/>
      <c r="AR374" s="102"/>
      <c r="AS374" s="102"/>
      <c r="AT374" s="107"/>
      <c r="AU374" s="102" t="str">
        <f t="shared" si="18"/>
        <v/>
      </c>
      <c r="AV374" s="102" t="str">
        <f t="shared" si="19"/>
        <v/>
      </c>
      <c r="AW374" s="102" t="str">
        <f t="shared" si="20"/>
        <v/>
      </c>
      <c r="AX374" s="102" t="str">
        <f t="shared" si="21"/>
        <v/>
      </c>
      <c r="AY374" s="107" t="str">
        <f t="shared" si="22"/>
        <v/>
      </c>
      <c r="AZ374" s="108" t="str">
        <f t="shared" si="23"/>
        <v/>
      </c>
      <c r="BA374" s="108" t="str">
        <f t="shared" si="24"/>
        <v/>
      </c>
      <c r="BB374" s="109" t="str">
        <f t="shared" si="25"/>
        <v/>
      </c>
      <c r="BC374" s="108" t="str">
        <f t="shared" si="26"/>
        <v/>
      </c>
      <c r="BD374" s="108" t="str">
        <f t="shared" si="27"/>
        <v/>
      </c>
      <c r="BE374" s="109" t="str">
        <f t="shared" si="28"/>
        <v/>
      </c>
      <c r="BF374" s="110" t="str">
        <f t="shared" si="29"/>
        <v/>
      </c>
      <c r="BG374" s="111"/>
    </row>
    <row r="375" spans="1:59" ht="12.75">
      <c r="A375" s="101"/>
      <c r="B375" s="102"/>
      <c r="C375" s="102" t="e">
        <f t="array" aca="1" ref="C375" ca="1">_xludf.XLOOKUP(A375,'QA Log'!D:D,'QA Log'!F:F,"")</f>
        <v>#NAME?</v>
      </c>
      <c r="D375" s="102"/>
      <c r="E375" s="102" t="e">
        <f t="array" aca="1" ref="E375" ca="1">_xludf.XLOOKUP(A375,'QA Log'!D:D,'QA Log'!G:G,"")</f>
        <v>#NAME?</v>
      </c>
      <c r="F375" s="103"/>
      <c r="G375" s="104"/>
      <c r="H375" s="104"/>
      <c r="I375" s="103" t="str">
        <f t="shared" si="15"/>
        <v/>
      </c>
      <c r="J375" s="102"/>
      <c r="K375" s="102"/>
      <c r="L375" s="119" t="str">
        <f t="array" ref="L375">IF(OR($B375="",$D375=""),"",
IFERROR(
  INDEX(
    'Tools &amp; Targets_Guideline'!$C$54:$I$269,
    MATCH(
      1,
      ('Tools &amp; Targets_Guideline'!$A$54:$A$269=$B375)*
      ('Tools &amp; Targets_Guideline'!$B$54:$B$269="ANC"),
      0
    ),
    MATCH(
      _xludf.IFNA(
        VLOOKUP($D375,{"PH","Provincial Hospital (H2)";"DH","District Hospital (H3)";"RH","Regional / National Hospital (H1)"},2,0),
        $D375
      ),
      'Tools &amp; Targets_Guideline'!$C$53:$I$53,
      0
    )
  ),
0))</f>
        <v/>
      </c>
      <c r="M375" s="102"/>
      <c r="N375" s="119" t="str">
        <f t="array" ref="N375">IF(OR($B375="",$D375=""),"",
IFERROR(
  INDEX(
    'Tools &amp; Targets_Guideline'!$C$54:$I$269,
    MATCH(
      1,
      ('Tools &amp; Targets_Guideline'!$A$54:$A$269=$B375)*
      ('Tools &amp; Targets_Guideline'!$B$54:$B$269="PNC"),
      0
    ),
    MATCH(
      _xludf.IFNA(
        VLOOKUP($D375,{"PH","Provincial Hospital (H2)";"DH","District Hospital (H3)";"RH","Regional / National Hospital (H1)"},2,0),
        $D375
      ),
      'Tools &amp; Targets_Guideline'!$C$53:$I$53,
      0
    )
  ),
0))</f>
        <v/>
      </c>
      <c r="O375" s="102"/>
      <c r="P375" s="119" t="str">
        <f t="array" ref="P375">IF(OR($B375="",$D375=""),"",
IFERROR(
  INDEX(
    'Tools &amp; Targets_Guideline'!$C$54:$I$269,
    MATCH(
      1,
      ('Tools &amp; Targets_Guideline'!$A$54:$A$269=$B375)*
      ('Tools &amp; Targets_Guideline'!$B$54:$B$269="Delivery"),
      0
    ),
    MATCH(
      _xludf.IFNA(
        VLOOKUP($D375,{"PH","Provincial Hospital (H2)";"DH","District Hospital (H3)";"RH","Regional / National Hospital (H1)"},2,0),
        $D375
      ),
      'Tools &amp; Targets_Guideline'!$C$53:$I$53,
      0
    )
  ),
0))</f>
        <v/>
      </c>
      <c r="Q375" s="102"/>
      <c r="R375" s="119" t="str">
        <f t="array" ref="R375">IF(OR($B375="",$D375=""),"",
IFERROR(
  INDEX(
    'Tools &amp; Targets_Guideline'!$C$54:$I$269,
    MATCH(
      1,
      ('Tools &amp; Targets_Guideline'!$A$54:$A$269=$B375)*
      ('Tools &amp; Targets_Guideline'!$B$54:$B$269="TT"),
      0
    ),
    MATCH(
      _xludf.IFNA(
        VLOOKUP($D375,{"PH","Provincial Hospital (H2)";"DH","District Hospital (H3)";"RH","Regional / National Hospital (H1)"},2,0),
        $D375
      ),
      'Tools &amp; Targets_Guideline'!$C$53:$I$53,
      0
    )
  ),
0))</f>
        <v/>
      </c>
      <c r="S375" s="102"/>
      <c r="T375" s="102"/>
      <c r="U375" s="106"/>
      <c r="V375" s="102" t="str">
        <f t="shared" si="16"/>
        <v/>
      </c>
      <c r="W375" s="102"/>
      <c r="X375" s="102"/>
      <c r="Y375" s="119" t="str">
        <f t="array" ref="Y375">IF(OR($B375="",$D375=""),"",
IFERROR(
  INDEX(
    'Tools &amp; Targets_Guideline'!$C$54:$I$269,
    MATCH(
      1,
      ('Tools &amp; Targets_Guideline'!$A$54:$A$269=$B375)*
      ('Tools &amp; Targets_Guideline'!$B$54:$B$269="GM"),
      0
    ),
    MATCH(
      _xludf.IFNA(
        VLOOKUP($D375,{"PH","Provincial Hospital (H2)";"DH","District Hospital (H3)";"RH","Regional / National Hospital (H1)"},2,0),
        $D375
      ),
      'Tools &amp; Targets_Guideline'!$C$53:$I$53,
      0
    )
  ),
0))</f>
        <v/>
      </c>
      <c r="Z375" s="105"/>
      <c r="AA375" s="119" t="str">
        <f t="array" ref="AA375">IF(OR($B375="",$D375=""),"",
IFERROR(
  INDEX(
    'Tools &amp; Targets_Guideline'!$C$54:$I$269,
    MATCH(
      1,
      ('Tools &amp; Targets_Guideline'!$A$54:$A$269=$B375)*
      ('Tools &amp; Targets_Guideline'!$B$54:$B$269="Penta"),
      0
    ),
    MATCH(
      _xludf.IFNA(
        VLOOKUP($D375,{"PH","Provincial Hospital (H2)";"DH","District Hospital (H3)";"RH","Regional / National Hospital (H1)"},2,0),
        $D375
      ),
      'Tools &amp; Targets_Guideline'!$C$53:$I$53,
      0
    )
  ),
0))</f>
        <v/>
      </c>
      <c r="AB375" s="105"/>
      <c r="AC375" s="119" t="str">
        <f t="array" ref="AC375">IF(OR($B375="",$D375=""),"",
IFERROR(
  INDEX(
    'Tools &amp; Targets_Guideline'!$C$54:$I$269,
    MATCH(
      1,
      ('Tools &amp; Targets_Guideline'!$A$54:$A$269=$B375)*
      ('Tools &amp; Targets_Guideline'!$B$54:$B$269="TB"),
      0
    ),
    MATCH(
      _xludf.IFNA(
        VLOOKUP($D375,{"PH","Provincial Hospital (H2)";"DH","District Hospital (H3)";"RH","Regional / National Hospital (H1)"},2,0),
        $D375
      ),
      'Tools &amp; Targets_Guideline'!$C$53:$I$53,
      0
    )
  ),
0))</f>
        <v/>
      </c>
      <c r="AD375" s="105"/>
      <c r="AE375" s="119" t="str">
        <f t="array" ref="AE375">IF(OR($B375="",$D375=""),"",
IFERROR(
  INDEX(
    'Tools &amp; Targets_Guideline'!$C$54:$I$269,
    MATCH(
      1,
      ('Tools &amp; Targets_Guideline'!$A$54:$A$269=$B375)*
      ('Tools &amp; Targets_Guideline'!$B$54:$B$269="U5 Morbidity"),
      0
    ),
    MATCH(
      _xludf.IFNA(
        VLOOKUP($D375,{"PH","Provincial Hospital (H2)";"DH","District Hospital (H3)";"RH","Regional / National Hospital (H1)"},2,0),
        $D375
      ),
      'Tools &amp; Targets_Guideline'!$C$53:$I$53,
      0
    )
  ),
0))</f>
        <v/>
      </c>
      <c r="AF375" s="105"/>
      <c r="AG375" s="119" t="str">
        <f t="array" ref="AG375">IF(OR($B375="",$D375=""),"",
IFERROR(
  INDEX(
    'Tools &amp; Targets_Guideline'!$C$54:$I$269,
    MATCH(
      1,
      ('Tools &amp; Targets_Guideline'!$A$54:$A$269=$B375)*
      ('Tools &amp; Targets_Guideline'!$B$54:$B$269="C-Section"),
      0
    ),
    MATCH(
      _xludf.IFNA(
        VLOOKUP($D375,{"PH","Provincial Hospital (H2)";"DH","District Hospital (H3)";"RH","Regional / National Hospital (H1)"},2,0),
        $D375
      ),
      'Tools &amp; Targets_Guideline'!$C$53:$I$53,
      0
    )
  ),
0))</f>
        <v/>
      </c>
      <c r="AH375" s="105" t="str">
        <f>IF(A375&lt;&gt;"",COUNTIFS('QA Log'!D:D,A375,'QA Log'!M:M,"QQC",'QA Log'!L:L,"2. Hygiene and Sterilization",'QA Log'!Z:Z,"Approved"),"")</f>
        <v/>
      </c>
      <c r="AI375" s="102"/>
      <c r="AJ375" s="102"/>
      <c r="AK375" s="103" t="str">
        <f t="shared" si="17"/>
        <v/>
      </c>
      <c r="AL375" s="102"/>
      <c r="AM375" s="102"/>
      <c r="AN375" s="102"/>
      <c r="AO375" s="106"/>
      <c r="AP375" s="103"/>
      <c r="AQ375" s="102"/>
      <c r="AR375" s="102"/>
      <c r="AS375" s="102"/>
      <c r="AT375" s="107"/>
      <c r="AU375" s="102" t="str">
        <f t="shared" si="18"/>
        <v/>
      </c>
      <c r="AV375" s="102" t="str">
        <f t="shared" si="19"/>
        <v/>
      </c>
      <c r="AW375" s="102" t="str">
        <f t="shared" si="20"/>
        <v/>
      </c>
      <c r="AX375" s="102" t="str">
        <f t="shared" si="21"/>
        <v/>
      </c>
      <c r="AY375" s="107" t="str">
        <f t="shared" si="22"/>
        <v/>
      </c>
      <c r="AZ375" s="108" t="str">
        <f t="shared" si="23"/>
        <v/>
      </c>
      <c r="BA375" s="108" t="str">
        <f t="shared" si="24"/>
        <v/>
      </c>
      <c r="BB375" s="109" t="str">
        <f t="shared" si="25"/>
        <v/>
      </c>
      <c r="BC375" s="108" t="str">
        <f t="shared" si="26"/>
        <v/>
      </c>
      <c r="BD375" s="108" t="str">
        <f t="shared" si="27"/>
        <v/>
      </c>
      <c r="BE375" s="109" t="str">
        <f t="shared" si="28"/>
        <v/>
      </c>
      <c r="BF375" s="110" t="str">
        <f t="shared" si="29"/>
        <v/>
      </c>
      <c r="BG375" s="111"/>
    </row>
    <row r="376" spans="1:59" ht="12.75">
      <c r="A376" s="101"/>
      <c r="B376" s="102"/>
      <c r="C376" s="102" t="e">
        <f t="array" aca="1" ref="C376" ca="1">_xludf.XLOOKUP(A376,'QA Log'!D:D,'QA Log'!F:F,"")</f>
        <v>#NAME?</v>
      </c>
      <c r="D376" s="102"/>
      <c r="E376" s="102" t="e">
        <f t="array" aca="1" ref="E376" ca="1">_xludf.XLOOKUP(A376,'QA Log'!D:D,'QA Log'!G:G,"")</f>
        <v>#NAME?</v>
      </c>
      <c r="F376" s="103"/>
      <c r="G376" s="104"/>
      <c r="H376" s="104"/>
      <c r="I376" s="103" t="str">
        <f t="shared" si="15"/>
        <v/>
      </c>
      <c r="J376" s="102"/>
      <c r="K376" s="102"/>
      <c r="L376" s="119" t="str">
        <f t="array" ref="L376">IF(OR($B376="",$D376=""),"",
IFERROR(
  INDEX(
    'Tools &amp; Targets_Guideline'!$C$54:$I$269,
    MATCH(
      1,
      ('Tools &amp; Targets_Guideline'!$A$54:$A$269=$B376)*
      ('Tools &amp; Targets_Guideline'!$B$54:$B$269="ANC"),
      0
    ),
    MATCH(
      _xludf.IFNA(
        VLOOKUP($D376,{"PH","Provincial Hospital (H2)";"DH","District Hospital (H3)";"RH","Regional / National Hospital (H1)"},2,0),
        $D376
      ),
      'Tools &amp; Targets_Guideline'!$C$53:$I$53,
      0
    )
  ),
0))</f>
        <v/>
      </c>
      <c r="M376" s="102"/>
      <c r="N376" s="119" t="str">
        <f t="array" ref="N376">IF(OR($B376="",$D376=""),"",
IFERROR(
  INDEX(
    'Tools &amp; Targets_Guideline'!$C$54:$I$269,
    MATCH(
      1,
      ('Tools &amp; Targets_Guideline'!$A$54:$A$269=$B376)*
      ('Tools &amp; Targets_Guideline'!$B$54:$B$269="PNC"),
      0
    ),
    MATCH(
      _xludf.IFNA(
        VLOOKUP($D376,{"PH","Provincial Hospital (H2)";"DH","District Hospital (H3)";"RH","Regional / National Hospital (H1)"},2,0),
        $D376
      ),
      'Tools &amp; Targets_Guideline'!$C$53:$I$53,
      0
    )
  ),
0))</f>
        <v/>
      </c>
      <c r="O376" s="102"/>
      <c r="P376" s="119" t="str">
        <f t="array" ref="P376">IF(OR($B376="",$D376=""),"",
IFERROR(
  INDEX(
    'Tools &amp; Targets_Guideline'!$C$54:$I$269,
    MATCH(
      1,
      ('Tools &amp; Targets_Guideline'!$A$54:$A$269=$B376)*
      ('Tools &amp; Targets_Guideline'!$B$54:$B$269="Delivery"),
      0
    ),
    MATCH(
      _xludf.IFNA(
        VLOOKUP($D376,{"PH","Provincial Hospital (H2)";"DH","District Hospital (H3)";"RH","Regional / National Hospital (H1)"},2,0),
        $D376
      ),
      'Tools &amp; Targets_Guideline'!$C$53:$I$53,
      0
    )
  ),
0))</f>
        <v/>
      </c>
      <c r="Q376" s="102"/>
      <c r="R376" s="119" t="str">
        <f t="array" ref="R376">IF(OR($B376="",$D376=""),"",
IFERROR(
  INDEX(
    'Tools &amp; Targets_Guideline'!$C$54:$I$269,
    MATCH(
      1,
      ('Tools &amp; Targets_Guideline'!$A$54:$A$269=$B376)*
      ('Tools &amp; Targets_Guideline'!$B$54:$B$269="TT"),
      0
    ),
    MATCH(
      _xludf.IFNA(
        VLOOKUP($D376,{"PH","Provincial Hospital (H2)";"DH","District Hospital (H3)";"RH","Regional / National Hospital (H1)"},2,0),
        $D376
      ),
      'Tools &amp; Targets_Guideline'!$C$53:$I$53,
      0
    )
  ),
0))</f>
        <v/>
      </c>
      <c r="S376" s="102"/>
      <c r="T376" s="102"/>
      <c r="U376" s="106"/>
      <c r="V376" s="102" t="str">
        <f t="shared" si="16"/>
        <v/>
      </c>
      <c r="W376" s="102"/>
      <c r="X376" s="102"/>
      <c r="Y376" s="119" t="str">
        <f t="array" ref="Y376">IF(OR($B376="",$D376=""),"",
IFERROR(
  INDEX(
    'Tools &amp; Targets_Guideline'!$C$54:$I$269,
    MATCH(
      1,
      ('Tools &amp; Targets_Guideline'!$A$54:$A$269=$B376)*
      ('Tools &amp; Targets_Guideline'!$B$54:$B$269="GM"),
      0
    ),
    MATCH(
      _xludf.IFNA(
        VLOOKUP($D376,{"PH","Provincial Hospital (H2)";"DH","District Hospital (H3)";"RH","Regional / National Hospital (H1)"},2,0),
        $D376
      ),
      'Tools &amp; Targets_Guideline'!$C$53:$I$53,
      0
    )
  ),
0))</f>
        <v/>
      </c>
      <c r="Z376" s="105"/>
      <c r="AA376" s="119" t="str">
        <f t="array" ref="AA376">IF(OR($B376="",$D376=""),"",
IFERROR(
  INDEX(
    'Tools &amp; Targets_Guideline'!$C$54:$I$269,
    MATCH(
      1,
      ('Tools &amp; Targets_Guideline'!$A$54:$A$269=$B376)*
      ('Tools &amp; Targets_Guideline'!$B$54:$B$269="Penta"),
      0
    ),
    MATCH(
      _xludf.IFNA(
        VLOOKUP($D376,{"PH","Provincial Hospital (H2)";"DH","District Hospital (H3)";"RH","Regional / National Hospital (H1)"},2,0),
        $D376
      ),
      'Tools &amp; Targets_Guideline'!$C$53:$I$53,
      0
    )
  ),
0))</f>
        <v/>
      </c>
      <c r="AB376" s="105"/>
      <c r="AC376" s="119" t="str">
        <f t="array" ref="AC376">IF(OR($B376="",$D376=""),"",
IFERROR(
  INDEX(
    'Tools &amp; Targets_Guideline'!$C$54:$I$269,
    MATCH(
      1,
      ('Tools &amp; Targets_Guideline'!$A$54:$A$269=$B376)*
      ('Tools &amp; Targets_Guideline'!$B$54:$B$269="TB"),
      0
    ),
    MATCH(
      _xludf.IFNA(
        VLOOKUP($D376,{"PH","Provincial Hospital (H2)";"DH","District Hospital (H3)";"RH","Regional / National Hospital (H1)"},2,0),
        $D376
      ),
      'Tools &amp; Targets_Guideline'!$C$53:$I$53,
      0
    )
  ),
0))</f>
        <v/>
      </c>
      <c r="AD376" s="105"/>
      <c r="AE376" s="119" t="str">
        <f t="array" ref="AE376">IF(OR($B376="",$D376=""),"",
IFERROR(
  INDEX(
    'Tools &amp; Targets_Guideline'!$C$54:$I$269,
    MATCH(
      1,
      ('Tools &amp; Targets_Guideline'!$A$54:$A$269=$B376)*
      ('Tools &amp; Targets_Guideline'!$B$54:$B$269="U5 Morbidity"),
      0
    ),
    MATCH(
      _xludf.IFNA(
        VLOOKUP($D376,{"PH","Provincial Hospital (H2)";"DH","District Hospital (H3)";"RH","Regional / National Hospital (H1)"},2,0),
        $D376
      ),
      'Tools &amp; Targets_Guideline'!$C$53:$I$53,
      0
    )
  ),
0))</f>
        <v/>
      </c>
      <c r="AF376" s="105"/>
      <c r="AG376" s="119" t="str">
        <f t="array" ref="AG376">IF(OR($B376="",$D376=""),"",
IFERROR(
  INDEX(
    'Tools &amp; Targets_Guideline'!$C$54:$I$269,
    MATCH(
      1,
      ('Tools &amp; Targets_Guideline'!$A$54:$A$269=$B376)*
      ('Tools &amp; Targets_Guideline'!$B$54:$B$269="C-Section"),
      0
    ),
    MATCH(
      _xludf.IFNA(
        VLOOKUP($D376,{"PH","Provincial Hospital (H2)";"DH","District Hospital (H3)";"RH","Regional / National Hospital (H1)"},2,0),
        $D376
      ),
      'Tools &amp; Targets_Guideline'!$C$53:$I$53,
      0
    )
  ),
0))</f>
        <v/>
      </c>
      <c r="AH376" s="105" t="str">
        <f>IF(A376&lt;&gt;"",COUNTIFS('QA Log'!D:D,A376,'QA Log'!M:M,"QQC",'QA Log'!L:L,"2. Hygiene and Sterilization",'QA Log'!Z:Z,"Approved"),"")</f>
        <v/>
      </c>
      <c r="AI376" s="102"/>
      <c r="AJ376" s="102"/>
      <c r="AK376" s="103" t="str">
        <f t="shared" si="17"/>
        <v/>
      </c>
      <c r="AL376" s="102"/>
      <c r="AM376" s="102"/>
      <c r="AN376" s="102"/>
      <c r="AO376" s="106"/>
      <c r="AP376" s="103"/>
      <c r="AQ376" s="102"/>
      <c r="AR376" s="102"/>
      <c r="AS376" s="102"/>
      <c r="AT376" s="107"/>
      <c r="AU376" s="102" t="str">
        <f t="shared" si="18"/>
        <v/>
      </c>
      <c r="AV376" s="102" t="str">
        <f t="shared" si="19"/>
        <v/>
      </c>
      <c r="AW376" s="102" t="str">
        <f t="shared" si="20"/>
        <v/>
      </c>
      <c r="AX376" s="102" t="str">
        <f t="shared" si="21"/>
        <v/>
      </c>
      <c r="AY376" s="107" t="str">
        <f t="shared" si="22"/>
        <v/>
      </c>
      <c r="AZ376" s="108" t="str">
        <f t="shared" si="23"/>
        <v/>
      </c>
      <c r="BA376" s="108" t="str">
        <f t="shared" si="24"/>
        <v/>
      </c>
      <c r="BB376" s="109" t="str">
        <f t="shared" si="25"/>
        <v/>
      </c>
      <c r="BC376" s="108" t="str">
        <f t="shared" si="26"/>
        <v/>
      </c>
      <c r="BD376" s="108" t="str">
        <f t="shared" si="27"/>
        <v/>
      </c>
      <c r="BE376" s="109" t="str">
        <f t="shared" si="28"/>
        <v/>
      </c>
      <c r="BF376" s="110" t="str">
        <f t="shared" si="29"/>
        <v/>
      </c>
      <c r="BG376" s="111"/>
    </row>
    <row r="377" spans="1:59" ht="12.75">
      <c r="A377" s="101"/>
      <c r="B377" s="102"/>
      <c r="C377" s="102" t="e">
        <f t="array" aca="1" ref="C377" ca="1">_xludf.XLOOKUP(A377,'QA Log'!D:D,'QA Log'!F:F,"")</f>
        <v>#NAME?</v>
      </c>
      <c r="D377" s="102"/>
      <c r="E377" s="102" t="e">
        <f t="array" aca="1" ref="E377" ca="1">_xludf.XLOOKUP(A377,'QA Log'!D:D,'QA Log'!G:G,"")</f>
        <v>#NAME?</v>
      </c>
      <c r="F377" s="103"/>
      <c r="G377" s="104"/>
      <c r="H377" s="104"/>
      <c r="I377" s="103" t="str">
        <f t="shared" si="15"/>
        <v/>
      </c>
      <c r="J377" s="102"/>
      <c r="K377" s="102"/>
      <c r="L377" s="119" t="str">
        <f t="array" ref="L377">IF(OR($B377="",$D377=""),"",
IFERROR(
  INDEX(
    'Tools &amp; Targets_Guideline'!$C$54:$I$269,
    MATCH(
      1,
      ('Tools &amp; Targets_Guideline'!$A$54:$A$269=$B377)*
      ('Tools &amp; Targets_Guideline'!$B$54:$B$269="ANC"),
      0
    ),
    MATCH(
      _xludf.IFNA(
        VLOOKUP($D377,{"PH","Provincial Hospital (H2)";"DH","District Hospital (H3)";"RH","Regional / National Hospital (H1)"},2,0),
        $D377
      ),
      'Tools &amp; Targets_Guideline'!$C$53:$I$53,
      0
    )
  ),
0))</f>
        <v/>
      </c>
      <c r="M377" s="102"/>
      <c r="N377" s="119" t="str">
        <f t="array" ref="N377">IF(OR($B377="",$D377=""),"",
IFERROR(
  INDEX(
    'Tools &amp; Targets_Guideline'!$C$54:$I$269,
    MATCH(
      1,
      ('Tools &amp; Targets_Guideline'!$A$54:$A$269=$B377)*
      ('Tools &amp; Targets_Guideline'!$B$54:$B$269="PNC"),
      0
    ),
    MATCH(
      _xludf.IFNA(
        VLOOKUP($D377,{"PH","Provincial Hospital (H2)";"DH","District Hospital (H3)";"RH","Regional / National Hospital (H1)"},2,0),
        $D377
      ),
      'Tools &amp; Targets_Guideline'!$C$53:$I$53,
      0
    )
  ),
0))</f>
        <v/>
      </c>
      <c r="O377" s="102"/>
      <c r="P377" s="119" t="str">
        <f t="array" ref="P377">IF(OR($B377="",$D377=""),"",
IFERROR(
  INDEX(
    'Tools &amp; Targets_Guideline'!$C$54:$I$269,
    MATCH(
      1,
      ('Tools &amp; Targets_Guideline'!$A$54:$A$269=$B377)*
      ('Tools &amp; Targets_Guideline'!$B$54:$B$269="Delivery"),
      0
    ),
    MATCH(
      _xludf.IFNA(
        VLOOKUP($D377,{"PH","Provincial Hospital (H2)";"DH","District Hospital (H3)";"RH","Regional / National Hospital (H1)"},2,0),
        $D377
      ),
      'Tools &amp; Targets_Guideline'!$C$53:$I$53,
      0
    )
  ),
0))</f>
        <v/>
      </c>
      <c r="Q377" s="102"/>
      <c r="R377" s="119" t="str">
        <f t="array" ref="R377">IF(OR($B377="",$D377=""),"",
IFERROR(
  INDEX(
    'Tools &amp; Targets_Guideline'!$C$54:$I$269,
    MATCH(
      1,
      ('Tools &amp; Targets_Guideline'!$A$54:$A$269=$B377)*
      ('Tools &amp; Targets_Guideline'!$B$54:$B$269="TT"),
      0
    ),
    MATCH(
      _xludf.IFNA(
        VLOOKUP($D377,{"PH","Provincial Hospital (H2)";"DH","District Hospital (H3)";"RH","Regional / National Hospital (H1)"},2,0),
        $D377
      ),
      'Tools &amp; Targets_Guideline'!$C$53:$I$53,
      0
    )
  ),
0))</f>
        <v/>
      </c>
      <c r="S377" s="102"/>
      <c r="T377" s="102"/>
      <c r="U377" s="106"/>
      <c r="V377" s="102" t="str">
        <f t="shared" si="16"/>
        <v/>
      </c>
      <c r="W377" s="102"/>
      <c r="X377" s="102"/>
      <c r="Y377" s="119" t="str">
        <f t="array" ref="Y377">IF(OR($B377="",$D377=""),"",
IFERROR(
  INDEX(
    'Tools &amp; Targets_Guideline'!$C$54:$I$269,
    MATCH(
      1,
      ('Tools &amp; Targets_Guideline'!$A$54:$A$269=$B377)*
      ('Tools &amp; Targets_Guideline'!$B$54:$B$269="GM"),
      0
    ),
    MATCH(
      _xludf.IFNA(
        VLOOKUP($D377,{"PH","Provincial Hospital (H2)";"DH","District Hospital (H3)";"RH","Regional / National Hospital (H1)"},2,0),
        $D377
      ),
      'Tools &amp; Targets_Guideline'!$C$53:$I$53,
      0
    )
  ),
0))</f>
        <v/>
      </c>
      <c r="Z377" s="105"/>
      <c r="AA377" s="119" t="str">
        <f t="array" ref="AA377">IF(OR($B377="",$D377=""),"",
IFERROR(
  INDEX(
    'Tools &amp; Targets_Guideline'!$C$54:$I$269,
    MATCH(
      1,
      ('Tools &amp; Targets_Guideline'!$A$54:$A$269=$B377)*
      ('Tools &amp; Targets_Guideline'!$B$54:$B$269="Penta"),
      0
    ),
    MATCH(
      _xludf.IFNA(
        VLOOKUP($D377,{"PH","Provincial Hospital (H2)";"DH","District Hospital (H3)";"RH","Regional / National Hospital (H1)"},2,0),
        $D377
      ),
      'Tools &amp; Targets_Guideline'!$C$53:$I$53,
      0
    )
  ),
0))</f>
        <v/>
      </c>
      <c r="AB377" s="105"/>
      <c r="AC377" s="119" t="str">
        <f t="array" ref="AC377">IF(OR($B377="",$D377=""),"",
IFERROR(
  INDEX(
    'Tools &amp; Targets_Guideline'!$C$54:$I$269,
    MATCH(
      1,
      ('Tools &amp; Targets_Guideline'!$A$54:$A$269=$B377)*
      ('Tools &amp; Targets_Guideline'!$B$54:$B$269="TB"),
      0
    ),
    MATCH(
      _xludf.IFNA(
        VLOOKUP($D377,{"PH","Provincial Hospital (H2)";"DH","District Hospital (H3)";"RH","Regional / National Hospital (H1)"},2,0),
        $D377
      ),
      'Tools &amp; Targets_Guideline'!$C$53:$I$53,
      0
    )
  ),
0))</f>
        <v/>
      </c>
      <c r="AD377" s="105"/>
      <c r="AE377" s="119" t="str">
        <f t="array" ref="AE377">IF(OR($B377="",$D377=""),"",
IFERROR(
  INDEX(
    'Tools &amp; Targets_Guideline'!$C$54:$I$269,
    MATCH(
      1,
      ('Tools &amp; Targets_Guideline'!$A$54:$A$269=$B377)*
      ('Tools &amp; Targets_Guideline'!$B$54:$B$269="U5 Morbidity"),
      0
    ),
    MATCH(
      _xludf.IFNA(
        VLOOKUP($D377,{"PH","Provincial Hospital (H2)";"DH","District Hospital (H3)";"RH","Regional / National Hospital (H1)"},2,0),
        $D377
      ),
      'Tools &amp; Targets_Guideline'!$C$53:$I$53,
      0
    )
  ),
0))</f>
        <v/>
      </c>
      <c r="AF377" s="105"/>
      <c r="AG377" s="119" t="str">
        <f t="array" ref="AG377">IF(OR($B377="",$D377=""),"",
IFERROR(
  INDEX(
    'Tools &amp; Targets_Guideline'!$C$54:$I$269,
    MATCH(
      1,
      ('Tools &amp; Targets_Guideline'!$A$54:$A$269=$B377)*
      ('Tools &amp; Targets_Guideline'!$B$54:$B$269="C-Section"),
      0
    ),
    MATCH(
      _xludf.IFNA(
        VLOOKUP($D377,{"PH","Provincial Hospital (H2)";"DH","District Hospital (H3)";"RH","Regional / National Hospital (H1)"},2,0),
        $D377
      ),
      'Tools &amp; Targets_Guideline'!$C$53:$I$53,
      0
    )
  ),
0))</f>
        <v/>
      </c>
      <c r="AH377" s="105" t="str">
        <f>IF(A377&lt;&gt;"",COUNTIFS('QA Log'!D:D,A377,'QA Log'!M:M,"QQC",'QA Log'!L:L,"2. Hygiene and Sterilization",'QA Log'!Z:Z,"Approved"),"")</f>
        <v/>
      </c>
      <c r="AI377" s="102"/>
      <c r="AJ377" s="102"/>
      <c r="AK377" s="103" t="str">
        <f t="shared" si="17"/>
        <v/>
      </c>
      <c r="AL377" s="102"/>
      <c r="AM377" s="102"/>
      <c r="AN377" s="102"/>
      <c r="AO377" s="106"/>
      <c r="AP377" s="103"/>
      <c r="AQ377" s="102"/>
      <c r="AR377" s="102"/>
      <c r="AS377" s="102"/>
      <c r="AT377" s="107"/>
      <c r="AU377" s="102" t="str">
        <f t="shared" si="18"/>
        <v/>
      </c>
      <c r="AV377" s="102" t="str">
        <f t="shared" si="19"/>
        <v/>
      </c>
      <c r="AW377" s="102" t="str">
        <f t="shared" si="20"/>
        <v/>
      </c>
      <c r="AX377" s="102" t="str">
        <f t="shared" si="21"/>
        <v/>
      </c>
      <c r="AY377" s="107" t="str">
        <f t="shared" si="22"/>
        <v/>
      </c>
      <c r="AZ377" s="108" t="str">
        <f t="shared" si="23"/>
        <v/>
      </c>
      <c r="BA377" s="108" t="str">
        <f t="shared" si="24"/>
        <v/>
      </c>
      <c r="BB377" s="109" t="str">
        <f t="shared" si="25"/>
        <v/>
      </c>
      <c r="BC377" s="108" t="str">
        <f t="shared" si="26"/>
        <v/>
      </c>
      <c r="BD377" s="108" t="str">
        <f t="shared" si="27"/>
        <v/>
      </c>
      <c r="BE377" s="109" t="str">
        <f t="shared" si="28"/>
        <v/>
      </c>
      <c r="BF377" s="110" t="str">
        <f t="shared" si="29"/>
        <v/>
      </c>
      <c r="BG377" s="111"/>
    </row>
    <row r="378" spans="1:59" ht="12.75">
      <c r="A378" s="101"/>
      <c r="B378" s="102"/>
      <c r="C378" s="102" t="e">
        <f t="array" aca="1" ref="C378" ca="1">_xludf.XLOOKUP(A378,'QA Log'!D:D,'QA Log'!F:F,"")</f>
        <v>#NAME?</v>
      </c>
      <c r="D378" s="102"/>
      <c r="E378" s="102" t="e">
        <f t="array" aca="1" ref="E378" ca="1">_xludf.XLOOKUP(A378,'QA Log'!D:D,'QA Log'!G:G,"")</f>
        <v>#NAME?</v>
      </c>
      <c r="F378" s="103"/>
      <c r="G378" s="104"/>
      <c r="H378" s="104"/>
      <c r="I378" s="103" t="str">
        <f t="shared" si="15"/>
        <v/>
      </c>
      <c r="J378" s="102"/>
      <c r="K378" s="102"/>
      <c r="L378" s="119" t="str">
        <f t="array" ref="L378">IF(OR($B378="",$D378=""),"",
IFERROR(
  INDEX(
    'Tools &amp; Targets_Guideline'!$C$54:$I$269,
    MATCH(
      1,
      ('Tools &amp; Targets_Guideline'!$A$54:$A$269=$B378)*
      ('Tools &amp; Targets_Guideline'!$B$54:$B$269="ANC"),
      0
    ),
    MATCH(
      _xludf.IFNA(
        VLOOKUP($D378,{"PH","Provincial Hospital (H2)";"DH","District Hospital (H3)";"RH","Regional / National Hospital (H1)"},2,0),
        $D378
      ),
      'Tools &amp; Targets_Guideline'!$C$53:$I$53,
      0
    )
  ),
0))</f>
        <v/>
      </c>
      <c r="M378" s="102"/>
      <c r="N378" s="119" t="str">
        <f t="array" ref="N378">IF(OR($B378="",$D378=""),"",
IFERROR(
  INDEX(
    'Tools &amp; Targets_Guideline'!$C$54:$I$269,
    MATCH(
      1,
      ('Tools &amp; Targets_Guideline'!$A$54:$A$269=$B378)*
      ('Tools &amp; Targets_Guideline'!$B$54:$B$269="PNC"),
      0
    ),
    MATCH(
      _xludf.IFNA(
        VLOOKUP($D378,{"PH","Provincial Hospital (H2)";"DH","District Hospital (H3)";"RH","Regional / National Hospital (H1)"},2,0),
        $D378
      ),
      'Tools &amp; Targets_Guideline'!$C$53:$I$53,
      0
    )
  ),
0))</f>
        <v/>
      </c>
      <c r="O378" s="102"/>
      <c r="P378" s="119" t="str">
        <f t="array" ref="P378">IF(OR($B378="",$D378=""),"",
IFERROR(
  INDEX(
    'Tools &amp; Targets_Guideline'!$C$54:$I$269,
    MATCH(
      1,
      ('Tools &amp; Targets_Guideline'!$A$54:$A$269=$B378)*
      ('Tools &amp; Targets_Guideline'!$B$54:$B$269="Delivery"),
      0
    ),
    MATCH(
      _xludf.IFNA(
        VLOOKUP($D378,{"PH","Provincial Hospital (H2)";"DH","District Hospital (H3)";"RH","Regional / National Hospital (H1)"},2,0),
        $D378
      ),
      'Tools &amp; Targets_Guideline'!$C$53:$I$53,
      0
    )
  ),
0))</f>
        <v/>
      </c>
      <c r="Q378" s="102"/>
      <c r="R378" s="119" t="str">
        <f t="array" ref="R378">IF(OR($B378="",$D378=""),"",
IFERROR(
  INDEX(
    'Tools &amp; Targets_Guideline'!$C$54:$I$269,
    MATCH(
      1,
      ('Tools &amp; Targets_Guideline'!$A$54:$A$269=$B378)*
      ('Tools &amp; Targets_Guideline'!$B$54:$B$269="TT"),
      0
    ),
    MATCH(
      _xludf.IFNA(
        VLOOKUP($D378,{"PH","Provincial Hospital (H2)";"DH","District Hospital (H3)";"RH","Regional / National Hospital (H1)"},2,0),
        $D378
      ),
      'Tools &amp; Targets_Guideline'!$C$53:$I$53,
      0
    )
  ),
0))</f>
        <v/>
      </c>
      <c r="S378" s="102"/>
      <c r="T378" s="102"/>
      <c r="U378" s="106"/>
      <c r="V378" s="102" t="str">
        <f t="shared" si="16"/>
        <v/>
      </c>
      <c r="W378" s="102"/>
      <c r="X378" s="102"/>
      <c r="Y378" s="119" t="str">
        <f t="array" ref="Y378">IF(OR($B378="",$D378=""),"",
IFERROR(
  INDEX(
    'Tools &amp; Targets_Guideline'!$C$54:$I$269,
    MATCH(
      1,
      ('Tools &amp; Targets_Guideline'!$A$54:$A$269=$B378)*
      ('Tools &amp; Targets_Guideline'!$B$54:$B$269="GM"),
      0
    ),
    MATCH(
      _xludf.IFNA(
        VLOOKUP($D378,{"PH","Provincial Hospital (H2)";"DH","District Hospital (H3)";"RH","Regional / National Hospital (H1)"},2,0),
        $D378
      ),
      'Tools &amp; Targets_Guideline'!$C$53:$I$53,
      0
    )
  ),
0))</f>
        <v/>
      </c>
      <c r="Z378" s="105"/>
      <c r="AA378" s="119" t="str">
        <f t="array" ref="AA378">IF(OR($B378="",$D378=""),"",
IFERROR(
  INDEX(
    'Tools &amp; Targets_Guideline'!$C$54:$I$269,
    MATCH(
      1,
      ('Tools &amp; Targets_Guideline'!$A$54:$A$269=$B378)*
      ('Tools &amp; Targets_Guideline'!$B$54:$B$269="Penta"),
      0
    ),
    MATCH(
      _xludf.IFNA(
        VLOOKUP($D378,{"PH","Provincial Hospital (H2)";"DH","District Hospital (H3)";"RH","Regional / National Hospital (H1)"},2,0),
        $D378
      ),
      'Tools &amp; Targets_Guideline'!$C$53:$I$53,
      0
    )
  ),
0))</f>
        <v/>
      </c>
      <c r="AB378" s="105"/>
      <c r="AC378" s="119" t="str">
        <f t="array" ref="AC378">IF(OR($B378="",$D378=""),"",
IFERROR(
  INDEX(
    'Tools &amp; Targets_Guideline'!$C$54:$I$269,
    MATCH(
      1,
      ('Tools &amp; Targets_Guideline'!$A$54:$A$269=$B378)*
      ('Tools &amp; Targets_Guideline'!$B$54:$B$269="TB"),
      0
    ),
    MATCH(
      _xludf.IFNA(
        VLOOKUP($D378,{"PH","Provincial Hospital (H2)";"DH","District Hospital (H3)";"RH","Regional / National Hospital (H1)"},2,0),
        $D378
      ),
      'Tools &amp; Targets_Guideline'!$C$53:$I$53,
      0
    )
  ),
0))</f>
        <v/>
      </c>
      <c r="AD378" s="105"/>
      <c r="AE378" s="119" t="str">
        <f t="array" ref="AE378">IF(OR($B378="",$D378=""),"",
IFERROR(
  INDEX(
    'Tools &amp; Targets_Guideline'!$C$54:$I$269,
    MATCH(
      1,
      ('Tools &amp; Targets_Guideline'!$A$54:$A$269=$B378)*
      ('Tools &amp; Targets_Guideline'!$B$54:$B$269="U5 Morbidity"),
      0
    ),
    MATCH(
      _xludf.IFNA(
        VLOOKUP($D378,{"PH","Provincial Hospital (H2)";"DH","District Hospital (H3)";"RH","Regional / National Hospital (H1)"},2,0),
        $D378
      ),
      'Tools &amp; Targets_Guideline'!$C$53:$I$53,
      0
    )
  ),
0))</f>
        <v/>
      </c>
      <c r="AF378" s="105"/>
      <c r="AG378" s="119" t="str">
        <f t="array" ref="AG378">IF(OR($B378="",$D378=""),"",
IFERROR(
  INDEX(
    'Tools &amp; Targets_Guideline'!$C$54:$I$269,
    MATCH(
      1,
      ('Tools &amp; Targets_Guideline'!$A$54:$A$269=$B378)*
      ('Tools &amp; Targets_Guideline'!$B$54:$B$269="C-Section"),
      0
    ),
    MATCH(
      _xludf.IFNA(
        VLOOKUP($D378,{"PH","Provincial Hospital (H2)";"DH","District Hospital (H3)";"RH","Regional / National Hospital (H1)"},2,0),
        $D378
      ),
      'Tools &amp; Targets_Guideline'!$C$53:$I$53,
      0
    )
  ),
0))</f>
        <v/>
      </c>
      <c r="AH378" s="105" t="str">
        <f>IF(A378&lt;&gt;"",COUNTIFS('QA Log'!D:D,A378,'QA Log'!M:M,"QQC",'QA Log'!L:L,"2. Hygiene and Sterilization",'QA Log'!Z:Z,"Approved"),"")</f>
        <v/>
      </c>
      <c r="AI378" s="102"/>
      <c r="AJ378" s="102"/>
      <c r="AK378" s="103" t="str">
        <f t="shared" si="17"/>
        <v/>
      </c>
      <c r="AL378" s="102"/>
      <c r="AM378" s="102"/>
      <c r="AN378" s="102"/>
      <c r="AO378" s="106"/>
      <c r="AP378" s="103"/>
      <c r="AQ378" s="102"/>
      <c r="AR378" s="102"/>
      <c r="AS378" s="102"/>
      <c r="AT378" s="107"/>
      <c r="AU378" s="102" t="str">
        <f t="shared" si="18"/>
        <v/>
      </c>
      <c r="AV378" s="102" t="str">
        <f t="shared" si="19"/>
        <v/>
      </c>
      <c r="AW378" s="102" t="str">
        <f t="shared" si="20"/>
        <v/>
      </c>
      <c r="AX378" s="102" t="str">
        <f t="shared" si="21"/>
        <v/>
      </c>
      <c r="AY378" s="107" t="str">
        <f t="shared" si="22"/>
        <v/>
      </c>
      <c r="AZ378" s="108" t="str">
        <f t="shared" si="23"/>
        <v/>
      </c>
      <c r="BA378" s="108" t="str">
        <f t="shared" si="24"/>
        <v/>
      </c>
      <c r="BB378" s="109" t="str">
        <f t="shared" si="25"/>
        <v/>
      </c>
      <c r="BC378" s="108" t="str">
        <f t="shared" si="26"/>
        <v/>
      </c>
      <c r="BD378" s="108" t="str">
        <f t="shared" si="27"/>
        <v/>
      </c>
      <c r="BE378" s="109" t="str">
        <f t="shared" si="28"/>
        <v/>
      </c>
      <c r="BF378" s="110" t="str">
        <f t="shared" si="29"/>
        <v/>
      </c>
      <c r="BG378" s="111"/>
    </row>
    <row r="379" spans="1:59" ht="12.75">
      <c r="A379" s="101"/>
      <c r="B379" s="102"/>
      <c r="C379" s="102" t="e">
        <f t="array" aca="1" ref="C379" ca="1">_xludf.XLOOKUP(A379,'QA Log'!D:D,'QA Log'!F:F,"")</f>
        <v>#NAME?</v>
      </c>
      <c r="D379" s="102"/>
      <c r="E379" s="102" t="e">
        <f t="array" aca="1" ref="E379" ca="1">_xludf.XLOOKUP(A379,'QA Log'!D:D,'QA Log'!G:G,"")</f>
        <v>#NAME?</v>
      </c>
      <c r="F379" s="103"/>
      <c r="G379" s="104"/>
      <c r="H379" s="104"/>
      <c r="I379" s="103" t="str">
        <f t="shared" si="15"/>
        <v/>
      </c>
      <c r="J379" s="102"/>
      <c r="K379" s="102"/>
      <c r="L379" s="119" t="str">
        <f t="array" ref="L379">IF(OR($B379="",$D379=""),"",
IFERROR(
  INDEX(
    'Tools &amp; Targets_Guideline'!$C$54:$I$269,
    MATCH(
      1,
      ('Tools &amp; Targets_Guideline'!$A$54:$A$269=$B379)*
      ('Tools &amp; Targets_Guideline'!$B$54:$B$269="ANC"),
      0
    ),
    MATCH(
      _xludf.IFNA(
        VLOOKUP($D379,{"PH","Provincial Hospital (H2)";"DH","District Hospital (H3)";"RH","Regional / National Hospital (H1)"},2,0),
        $D379
      ),
      'Tools &amp; Targets_Guideline'!$C$53:$I$53,
      0
    )
  ),
0))</f>
        <v/>
      </c>
      <c r="M379" s="102"/>
      <c r="N379" s="119" t="str">
        <f t="array" ref="N379">IF(OR($B379="",$D379=""),"",
IFERROR(
  INDEX(
    'Tools &amp; Targets_Guideline'!$C$54:$I$269,
    MATCH(
      1,
      ('Tools &amp; Targets_Guideline'!$A$54:$A$269=$B379)*
      ('Tools &amp; Targets_Guideline'!$B$54:$B$269="PNC"),
      0
    ),
    MATCH(
      _xludf.IFNA(
        VLOOKUP($D379,{"PH","Provincial Hospital (H2)";"DH","District Hospital (H3)";"RH","Regional / National Hospital (H1)"},2,0),
        $D379
      ),
      'Tools &amp; Targets_Guideline'!$C$53:$I$53,
      0
    )
  ),
0))</f>
        <v/>
      </c>
      <c r="O379" s="102"/>
      <c r="P379" s="119" t="str">
        <f t="array" ref="P379">IF(OR($B379="",$D379=""),"",
IFERROR(
  INDEX(
    'Tools &amp; Targets_Guideline'!$C$54:$I$269,
    MATCH(
      1,
      ('Tools &amp; Targets_Guideline'!$A$54:$A$269=$B379)*
      ('Tools &amp; Targets_Guideline'!$B$54:$B$269="Delivery"),
      0
    ),
    MATCH(
      _xludf.IFNA(
        VLOOKUP($D379,{"PH","Provincial Hospital (H2)";"DH","District Hospital (H3)";"RH","Regional / National Hospital (H1)"},2,0),
        $D379
      ),
      'Tools &amp; Targets_Guideline'!$C$53:$I$53,
      0
    )
  ),
0))</f>
        <v/>
      </c>
      <c r="Q379" s="102"/>
      <c r="R379" s="119" t="str">
        <f t="array" ref="R379">IF(OR($B379="",$D379=""),"",
IFERROR(
  INDEX(
    'Tools &amp; Targets_Guideline'!$C$54:$I$269,
    MATCH(
      1,
      ('Tools &amp; Targets_Guideline'!$A$54:$A$269=$B379)*
      ('Tools &amp; Targets_Guideline'!$B$54:$B$269="TT"),
      0
    ),
    MATCH(
      _xludf.IFNA(
        VLOOKUP($D379,{"PH","Provincial Hospital (H2)";"DH","District Hospital (H3)";"RH","Regional / National Hospital (H1)"},2,0),
        $D379
      ),
      'Tools &amp; Targets_Guideline'!$C$53:$I$53,
      0
    )
  ),
0))</f>
        <v/>
      </c>
      <c r="S379" s="102"/>
      <c r="T379" s="102"/>
      <c r="U379" s="106"/>
      <c r="V379" s="102" t="str">
        <f t="shared" si="16"/>
        <v/>
      </c>
      <c r="W379" s="102"/>
      <c r="X379" s="102"/>
      <c r="Y379" s="119" t="str">
        <f t="array" ref="Y379">IF(OR($B379="",$D379=""),"",
IFERROR(
  INDEX(
    'Tools &amp; Targets_Guideline'!$C$54:$I$269,
    MATCH(
      1,
      ('Tools &amp; Targets_Guideline'!$A$54:$A$269=$B379)*
      ('Tools &amp; Targets_Guideline'!$B$54:$B$269="GM"),
      0
    ),
    MATCH(
      _xludf.IFNA(
        VLOOKUP($D379,{"PH","Provincial Hospital (H2)";"DH","District Hospital (H3)";"RH","Regional / National Hospital (H1)"},2,0),
        $D379
      ),
      'Tools &amp; Targets_Guideline'!$C$53:$I$53,
      0
    )
  ),
0))</f>
        <v/>
      </c>
      <c r="Z379" s="105"/>
      <c r="AA379" s="119" t="str">
        <f t="array" ref="AA379">IF(OR($B379="",$D379=""),"",
IFERROR(
  INDEX(
    'Tools &amp; Targets_Guideline'!$C$54:$I$269,
    MATCH(
      1,
      ('Tools &amp; Targets_Guideline'!$A$54:$A$269=$B379)*
      ('Tools &amp; Targets_Guideline'!$B$54:$B$269="Penta"),
      0
    ),
    MATCH(
      _xludf.IFNA(
        VLOOKUP($D379,{"PH","Provincial Hospital (H2)";"DH","District Hospital (H3)";"RH","Regional / National Hospital (H1)"},2,0),
        $D379
      ),
      'Tools &amp; Targets_Guideline'!$C$53:$I$53,
      0
    )
  ),
0))</f>
        <v/>
      </c>
      <c r="AB379" s="105"/>
      <c r="AC379" s="119" t="str">
        <f t="array" ref="AC379">IF(OR($B379="",$D379=""),"",
IFERROR(
  INDEX(
    'Tools &amp; Targets_Guideline'!$C$54:$I$269,
    MATCH(
      1,
      ('Tools &amp; Targets_Guideline'!$A$54:$A$269=$B379)*
      ('Tools &amp; Targets_Guideline'!$B$54:$B$269="TB"),
      0
    ),
    MATCH(
      _xludf.IFNA(
        VLOOKUP($D379,{"PH","Provincial Hospital (H2)";"DH","District Hospital (H3)";"RH","Regional / National Hospital (H1)"},2,0),
        $D379
      ),
      'Tools &amp; Targets_Guideline'!$C$53:$I$53,
      0
    )
  ),
0))</f>
        <v/>
      </c>
      <c r="AD379" s="105"/>
      <c r="AE379" s="119" t="str">
        <f t="array" ref="AE379">IF(OR($B379="",$D379=""),"",
IFERROR(
  INDEX(
    'Tools &amp; Targets_Guideline'!$C$54:$I$269,
    MATCH(
      1,
      ('Tools &amp; Targets_Guideline'!$A$54:$A$269=$B379)*
      ('Tools &amp; Targets_Guideline'!$B$54:$B$269="U5 Morbidity"),
      0
    ),
    MATCH(
      _xludf.IFNA(
        VLOOKUP($D379,{"PH","Provincial Hospital (H2)";"DH","District Hospital (H3)";"RH","Regional / National Hospital (H1)"},2,0),
        $D379
      ),
      'Tools &amp; Targets_Guideline'!$C$53:$I$53,
      0
    )
  ),
0))</f>
        <v/>
      </c>
      <c r="AF379" s="105"/>
      <c r="AG379" s="119" t="str">
        <f t="array" ref="AG379">IF(OR($B379="",$D379=""),"",
IFERROR(
  INDEX(
    'Tools &amp; Targets_Guideline'!$C$54:$I$269,
    MATCH(
      1,
      ('Tools &amp; Targets_Guideline'!$A$54:$A$269=$B379)*
      ('Tools &amp; Targets_Guideline'!$B$54:$B$269="C-Section"),
      0
    ),
    MATCH(
      _xludf.IFNA(
        VLOOKUP($D379,{"PH","Provincial Hospital (H2)";"DH","District Hospital (H3)";"RH","Regional / National Hospital (H1)"},2,0),
        $D379
      ),
      'Tools &amp; Targets_Guideline'!$C$53:$I$53,
      0
    )
  ),
0))</f>
        <v/>
      </c>
      <c r="AH379" s="105" t="str">
        <f>IF(A379&lt;&gt;"",COUNTIFS('QA Log'!D:D,A379,'QA Log'!M:M,"QQC",'QA Log'!L:L,"2. Hygiene and Sterilization",'QA Log'!Z:Z,"Approved"),"")</f>
        <v/>
      </c>
      <c r="AI379" s="102"/>
      <c r="AJ379" s="102"/>
      <c r="AK379" s="103" t="str">
        <f t="shared" si="17"/>
        <v/>
      </c>
      <c r="AL379" s="102"/>
      <c r="AM379" s="102"/>
      <c r="AN379" s="102"/>
      <c r="AO379" s="106"/>
      <c r="AP379" s="103"/>
      <c r="AQ379" s="102"/>
      <c r="AR379" s="102"/>
      <c r="AS379" s="102"/>
      <c r="AT379" s="107"/>
      <c r="AU379" s="102" t="str">
        <f t="shared" si="18"/>
        <v/>
      </c>
      <c r="AV379" s="102" t="str">
        <f t="shared" si="19"/>
        <v/>
      </c>
      <c r="AW379" s="102" t="str">
        <f t="shared" si="20"/>
        <v/>
      </c>
      <c r="AX379" s="102" t="str">
        <f t="shared" si="21"/>
        <v/>
      </c>
      <c r="AY379" s="107" t="str">
        <f t="shared" si="22"/>
        <v/>
      </c>
      <c r="AZ379" s="108" t="str">
        <f t="shared" si="23"/>
        <v/>
      </c>
      <c r="BA379" s="108" t="str">
        <f t="shared" si="24"/>
        <v/>
      </c>
      <c r="BB379" s="109" t="str">
        <f t="shared" si="25"/>
        <v/>
      </c>
      <c r="BC379" s="108" t="str">
        <f t="shared" si="26"/>
        <v/>
      </c>
      <c r="BD379" s="108" t="str">
        <f t="shared" si="27"/>
        <v/>
      </c>
      <c r="BE379" s="109" t="str">
        <f t="shared" si="28"/>
        <v/>
      </c>
      <c r="BF379" s="110" t="str">
        <f t="shared" si="29"/>
        <v/>
      </c>
      <c r="BG379" s="111"/>
    </row>
    <row r="380" spans="1:59" ht="12.75">
      <c r="A380" s="101"/>
      <c r="B380" s="102"/>
      <c r="C380" s="102" t="e">
        <f t="array" aca="1" ref="C380" ca="1">_xludf.XLOOKUP(A380,'QA Log'!D:D,'QA Log'!F:F,"")</f>
        <v>#NAME?</v>
      </c>
      <c r="D380" s="102"/>
      <c r="E380" s="102" t="e">
        <f t="array" aca="1" ref="E380" ca="1">_xludf.XLOOKUP(A380,'QA Log'!D:D,'QA Log'!G:G,"")</f>
        <v>#NAME?</v>
      </c>
      <c r="F380" s="103"/>
      <c r="G380" s="104"/>
      <c r="H380" s="104"/>
      <c r="I380" s="103" t="str">
        <f t="shared" si="15"/>
        <v/>
      </c>
      <c r="J380" s="102"/>
      <c r="K380" s="102"/>
      <c r="L380" s="119" t="str">
        <f t="array" ref="L380">IF(OR($B380="",$D380=""),"",
IFERROR(
  INDEX(
    'Tools &amp; Targets_Guideline'!$C$54:$I$269,
    MATCH(
      1,
      ('Tools &amp; Targets_Guideline'!$A$54:$A$269=$B380)*
      ('Tools &amp; Targets_Guideline'!$B$54:$B$269="ANC"),
      0
    ),
    MATCH(
      _xludf.IFNA(
        VLOOKUP($D380,{"PH","Provincial Hospital (H2)";"DH","District Hospital (H3)";"RH","Regional / National Hospital (H1)"},2,0),
        $D380
      ),
      'Tools &amp; Targets_Guideline'!$C$53:$I$53,
      0
    )
  ),
0))</f>
        <v/>
      </c>
      <c r="M380" s="102"/>
      <c r="N380" s="119" t="str">
        <f t="array" ref="N380">IF(OR($B380="",$D380=""),"",
IFERROR(
  INDEX(
    'Tools &amp; Targets_Guideline'!$C$54:$I$269,
    MATCH(
      1,
      ('Tools &amp; Targets_Guideline'!$A$54:$A$269=$B380)*
      ('Tools &amp; Targets_Guideline'!$B$54:$B$269="PNC"),
      0
    ),
    MATCH(
      _xludf.IFNA(
        VLOOKUP($D380,{"PH","Provincial Hospital (H2)";"DH","District Hospital (H3)";"RH","Regional / National Hospital (H1)"},2,0),
        $D380
      ),
      'Tools &amp; Targets_Guideline'!$C$53:$I$53,
      0
    )
  ),
0))</f>
        <v/>
      </c>
      <c r="O380" s="102"/>
      <c r="P380" s="119" t="str">
        <f t="array" ref="P380">IF(OR($B380="",$D380=""),"",
IFERROR(
  INDEX(
    'Tools &amp; Targets_Guideline'!$C$54:$I$269,
    MATCH(
      1,
      ('Tools &amp; Targets_Guideline'!$A$54:$A$269=$B380)*
      ('Tools &amp; Targets_Guideline'!$B$54:$B$269="Delivery"),
      0
    ),
    MATCH(
      _xludf.IFNA(
        VLOOKUP($D380,{"PH","Provincial Hospital (H2)";"DH","District Hospital (H3)";"RH","Regional / National Hospital (H1)"},2,0),
        $D380
      ),
      'Tools &amp; Targets_Guideline'!$C$53:$I$53,
      0
    )
  ),
0))</f>
        <v/>
      </c>
      <c r="Q380" s="102"/>
      <c r="R380" s="119" t="str">
        <f t="array" ref="R380">IF(OR($B380="",$D380=""),"",
IFERROR(
  INDEX(
    'Tools &amp; Targets_Guideline'!$C$54:$I$269,
    MATCH(
      1,
      ('Tools &amp; Targets_Guideline'!$A$54:$A$269=$B380)*
      ('Tools &amp; Targets_Guideline'!$B$54:$B$269="TT"),
      0
    ),
    MATCH(
      _xludf.IFNA(
        VLOOKUP($D380,{"PH","Provincial Hospital (H2)";"DH","District Hospital (H3)";"RH","Regional / National Hospital (H1)"},2,0),
        $D380
      ),
      'Tools &amp; Targets_Guideline'!$C$53:$I$53,
      0
    )
  ),
0))</f>
        <v/>
      </c>
      <c r="S380" s="102"/>
      <c r="T380" s="102"/>
      <c r="U380" s="106"/>
      <c r="V380" s="102" t="str">
        <f t="shared" si="16"/>
        <v/>
      </c>
      <c r="W380" s="102"/>
      <c r="X380" s="102"/>
      <c r="Y380" s="119" t="str">
        <f t="array" ref="Y380">IF(OR($B380="",$D380=""),"",
IFERROR(
  INDEX(
    'Tools &amp; Targets_Guideline'!$C$54:$I$269,
    MATCH(
      1,
      ('Tools &amp; Targets_Guideline'!$A$54:$A$269=$B380)*
      ('Tools &amp; Targets_Guideline'!$B$54:$B$269="GM"),
      0
    ),
    MATCH(
      _xludf.IFNA(
        VLOOKUP($D380,{"PH","Provincial Hospital (H2)";"DH","District Hospital (H3)";"RH","Regional / National Hospital (H1)"},2,0),
        $D380
      ),
      'Tools &amp; Targets_Guideline'!$C$53:$I$53,
      0
    )
  ),
0))</f>
        <v/>
      </c>
      <c r="Z380" s="102"/>
      <c r="AA380" s="119" t="str">
        <f t="array" ref="AA380">IF(OR($B380="",$D380=""),"",
IFERROR(
  INDEX(
    'Tools &amp; Targets_Guideline'!$C$54:$I$269,
    MATCH(
      1,
      ('Tools &amp; Targets_Guideline'!$A$54:$A$269=$B380)*
      ('Tools &amp; Targets_Guideline'!$B$54:$B$269="Penta"),
      0
    ),
    MATCH(
      _xludf.IFNA(
        VLOOKUP($D380,{"PH","Provincial Hospital (H2)";"DH","District Hospital (H3)";"RH","Regional / National Hospital (H1)"},2,0),
        $D380
      ),
      'Tools &amp; Targets_Guideline'!$C$53:$I$53,
      0
    )
  ),
0))</f>
        <v/>
      </c>
      <c r="AB380" s="102"/>
      <c r="AC380" s="119" t="str">
        <f t="array" ref="AC380">IF(OR($B380="",$D380=""),"",
IFERROR(
  INDEX(
    'Tools &amp; Targets_Guideline'!$C$54:$I$269,
    MATCH(
      1,
      ('Tools &amp; Targets_Guideline'!$A$54:$A$269=$B380)*
      ('Tools &amp; Targets_Guideline'!$B$54:$B$269="TB"),
      0
    ),
    MATCH(
      _xludf.IFNA(
        VLOOKUP($D380,{"PH","Provincial Hospital (H2)";"DH","District Hospital (H3)";"RH","Regional / National Hospital (H1)"},2,0),
        $D380
      ),
      'Tools &amp; Targets_Guideline'!$C$53:$I$53,
      0
    )
  ),
0))</f>
        <v/>
      </c>
      <c r="AD380" s="102"/>
      <c r="AE380" s="119" t="str">
        <f t="array" ref="AE380">IF(OR($B380="",$D380=""),"",
IFERROR(
  INDEX(
    'Tools &amp; Targets_Guideline'!$C$54:$I$269,
    MATCH(
      1,
      ('Tools &amp; Targets_Guideline'!$A$54:$A$269=$B380)*
      ('Tools &amp; Targets_Guideline'!$B$54:$B$269="U5 Morbidity"),
      0
    ),
    MATCH(
      _xludf.IFNA(
        VLOOKUP($D380,{"PH","Provincial Hospital (H2)";"DH","District Hospital (H3)";"RH","Regional / National Hospital (H1)"},2,0),
        $D380
      ),
      'Tools &amp; Targets_Guideline'!$C$53:$I$53,
      0
    )
  ),
0))</f>
        <v/>
      </c>
      <c r="AF380" s="102"/>
      <c r="AG380" s="119" t="str">
        <f t="array" ref="AG380">IF(OR($B380="",$D380=""),"",
IFERROR(
  INDEX(
    'Tools &amp; Targets_Guideline'!$C$54:$I$269,
    MATCH(
      1,
      ('Tools &amp; Targets_Guideline'!$A$54:$A$269=$B380)*
      ('Tools &amp; Targets_Guideline'!$B$54:$B$269="C-Section"),
      0
    ),
    MATCH(
      _xludf.IFNA(
        VLOOKUP($D380,{"PH","Provincial Hospital (H2)";"DH","District Hospital (H3)";"RH","Regional / National Hospital (H1)"},2,0),
        $D380
      ),
      'Tools &amp; Targets_Guideline'!$C$53:$I$53,
      0
    )
  ),
0))</f>
        <v/>
      </c>
      <c r="AH380" s="102" t="str">
        <f>IF(A380&lt;&gt;"",COUNTIFS('QA Log'!D:D,A380,'QA Log'!M:M,"QQC",'QA Log'!L:L,"2. Hygiene and Sterilization",'QA Log'!Z:Z,"Approved"),"")</f>
        <v/>
      </c>
      <c r="AI380" s="102"/>
      <c r="AJ380" s="102"/>
      <c r="AK380" s="103" t="str">
        <f t="shared" si="17"/>
        <v/>
      </c>
      <c r="AL380" s="102"/>
      <c r="AM380" s="102"/>
      <c r="AN380" s="102"/>
      <c r="AO380" s="106"/>
      <c r="AP380" s="103"/>
      <c r="AQ380" s="102"/>
      <c r="AR380" s="102"/>
      <c r="AS380" s="102"/>
      <c r="AT380" s="107"/>
      <c r="AU380" s="102" t="str">
        <f t="shared" si="18"/>
        <v/>
      </c>
      <c r="AV380" s="102" t="str">
        <f t="shared" si="19"/>
        <v/>
      </c>
      <c r="AW380" s="102" t="str">
        <f t="shared" si="20"/>
        <v/>
      </c>
      <c r="AX380" s="102" t="str">
        <f t="shared" si="21"/>
        <v/>
      </c>
      <c r="AY380" s="107" t="str">
        <f t="shared" si="22"/>
        <v/>
      </c>
      <c r="AZ380" s="108" t="str">
        <f t="shared" si="23"/>
        <v/>
      </c>
      <c r="BA380" s="108" t="str">
        <f t="shared" si="24"/>
        <v/>
      </c>
      <c r="BB380" s="109" t="str">
        <f t="shared" si="25"/>
        <v/>
      </c>
      <c r="BC380" s="108" t="str">
        <f t="shared" si="26"/>
        <v/>
      </c>
      <c r="BD380" s="108" t="str">
        <f t="shared" si="27"/>
        <v/>
      </c>
      <c r="BE380" s="109" t="str">
        <f t="shared" si="28"/>
        <v/>
      </c>
      <c r="BF380" s="110" t="str">
        <f t="shared" si="29"/>
        <v/>
      </c>
      <c r="BG380" s="111"/>
    </row>
    <row r="381" spans="1:59" ht="12.75">
      <c r="A381" s="101"/>
      <c r="B381" s="102"/>
      <c r="C381" s="102" t="e">
        <f t="array" aca="1" ref="C381" ca="1">_xludf.XLOOKUP(A381,'QA Log'!D:D,'QA Log'!F:F,"")</f>
        <v>#NAME?</v>
      </c>
      <c r="D381" s="102"/>
      <c r="E381" s="102" t="e">
        <f t="array" aca="1" ref="E381" ca="1">_xludf.XLOOKUP(A381,'QA Log'!D:D,'QA Log'!G:G,"")</f>
        <v>#NAME?</v>
      </c>
      <c r="F381" s="103"/>
      <c r="G381" s="104"/>
      <c r="H381" s="104"/>
      <c r="I381" s="103" t="str">
        <f t="shared" si="15"/>
        <v/>
      </c>
      <c r="J381" s="102"/>
      <c r="K381" s="102"/>
      <c r="L381" s="119" t="str">
        <f t="array" ref="L381">IF(OR($B381="",$D381=""),"",
IFERROR(
  INDEX(
    'Tools &amp; Targets_Guideline'!$C$54:$I$269,
    MATCH(
      1,
      ('Tools &amp; Targets_Guideline'!$A$54:$A$269=$B381)*
      ('Tools &amp; Targets_Guideline'!$B$54:$B$269="ANC"),
      0
    ),
    MATCH(
      _xludf.IFNA(
        VLOOKUP($D381,{"PH","Provincial Hospital (H2)";"DH","District Hospital (H3)";"RH","Regional / National Hospital (H1)"},2,0),
        $D381
      ),
      'Tools &amp; Targets_Guideline'!$C$53:$I$53,
      0
    )
  ),
0))</f>
        <v/>
      </c>
      <c r="M381" s="102"/>
      <c r="N381" s="119" t="str">
        <f t="array" ref="N381">IF(OR($B381="",$D381=""),"",
IFERROR(
  INDEX(
    'Tools &amp; Targets_Guideline'!$C$54:$I$269,
    MATCH(
      1,
      ('Tools &amp; Targets_Guideline'!$A$54:$A$269=$B381)*
      ('Tools &amp; Targets_Guideline'!$B$54:$B$269="PNC"),
      0
    ),
    MATCH(
      _xludf.IFNA(
        VLOOKUP($D381,{"PH","Provincial Hospital (H2)";"DH","District Hospital (H3)";"RH","Regional / National Hospital (H1)"},2,0),
        $D381
      ),
      'Tools &amp; Targets_Guideline'!$C$53:$I$53,
      0
    )
  ),
0))</f>
        <v/>
      </c>
      <c r="O381" s="102"/>
      <c r="P381" s="119" t="str">
        <f t="array" ref="P381">IF(OR($B381="",$D381=""),"",
IFERROR(
  INDEX(
    'Tools &amp; Targets_Guideline'!$C$54:$I$269,
    MATCH(
      1,
      ('Tools &amp; Targets_Guideline'!$A$54:$A$269=$B381)*
      ('Tools &amp; Targets_Guideline'!$B$54:$B$269="Delivery"),
      0
    ),
    MATCH(
      _xludf.IFNA(
        VLOOKUP($D381,{"PH","Provincial Hospital (H2)";"DH","District Hospital (H3)";"RH","Regional / National Hospital (H1)"},2,0),
        $D381
      ),
      'Tools &amp; Targets_Guideline'!$C$53:$I$53,
      0
    )
  ),
0))</f>
        <v/>
      </c>
      <c r="Q381" s="102"/>
      <c r="R381" s="119" t="str">
        <f t="array" ref="R381">IF(OR($B381="",$D381=""),"",
IFERROR(
  INDEX(
    'Tools &amp; Targets_Guideline'!$C$54:$I$269,
    MATCH(
      1,
      ('Tools &amp; Targets_Guideline'!$A$54:$A$269=$B381)*
      ('Tools &amp; Targets_Guideline'!$B$54:$B$269="TT"),
      0
    ),
    MATCH(
      _xludf.IFNA(
        VLOOKUP($D381,{"PH","Provincial Hospital (H2)";"DH","District Hospital (H3)";"RH","Regional / National Hospital (H1)"},2,0),
        $D381
      ),
      'Tools &amp; Targets_Guideline'!$C$53:$I$53,
      0
    )
  ),
0))</f>
        <v/>
      </c>
      <c r="S381" s="102"/>
      <c r="T381" s="102"/>
      <c r="U381" s="106"/>
      <c r="V381" s="102" t="str">
        <f t="shared" si="16"/>
        <v/>
      </c>
      <c r="W381" s="102"/>
      <c r="X381" s="102"/>
      <c r="Y381" s="119" t="str">
        <f t="array" ref="Y381">IF(OR($B381="",$D381=""),"",
IFERROR(
  INDEX(
    'Tools &amp; Targets_Guideline'!$C$54:$I$269,
    MATCH(
      1,
      ('Tools &amp; Targets_Guideline'!$A$54:$A$269=$B381)*
      ('Tools &amp; Targets_Guideline'!$B$54:$B$269="GM"),
      0
    ),
    MATCH(
      _xludf.IFNA(
        VLOOKUP($D381,{"PH","Provincial Hospital (H2)";"DH","District Hospital (H3)";"RH","Regional / National Hospital (H1)"},2,0),
        $D381
      ),
      'Tools &amp; Targets_Guideline'!$C$53:$I$53,
      0
    )
  ),
0))</f>
        <v/>
      </c>
      <c r="Z381" s="102"/>
      <c r="AA381" s="119" t="str">
        <f t="array" ref="AA381">IF(OR($B381="",$D381=""),"",
IFERROR(
  INDEX(
    'Tools &amp; Targets_Guideline'!$C$54:$I$269,
    MATCH(
      1,
      ('Tools &amp; Targets_Guideline'!$A$54:$A$269=$B381)*
      ('Tools &amp; Targets_Guideline'!$B$54:$B$269="Penta"),
      0
    ),
    MATCH(
      _xludf.IFNA(
        VLOOKUP($D381,{"PH","Provincial Hospital (H2)";"DH","District Hospital (H3)";"RH","Regional / National Hospital (H1)"},2,0),
        $D381
      ),
      'Tools &amp; Targets_Guideline'!$C$53:$I$53,
      0
    )
  ),
0))</f>
        <v/>
      </c>
      <c r="AB381" s="102"/>
      <c r="AC381" s="119" t="str">
        <f t="array" ref="AC381">IF(OR($B381="",$D381=""),"",
IFERROR(
  INDEX(
    'Tools &amp; Targets_Guideline'!$C$54:$I$269,
    MATCH(
      1,
      ('Tools &amp; Targets_Guideline'!$A$54:$A$269=$B381)*
      ('Tools &amp; Targets_Guideline'!$B$54:$B$269="TB"),
      0
    ),
    MATCH(
      _xludf.IFNA(
        VLOOKUP($D381,{"PH","Provincial Hospital (H2)";"DH","District Hospital (H3)";"RH","Regional / National Hospital (H1)"},2,0),
        $D381
      ),
      'Tools &amp; Targets_Guideline'!$C$53:$I$53,
      0
    )
  ),
0))</f>
        <v/>
      </c>
      <c r="AD381" s="102"/>
      <c r="AE381" s="119" t="str">
        <f t="array" ref="AE381">IF(OR($B381="",$D381=""),"",
IFERROR(
  INDEX(
    'Tools &amp; Targets_Guideline'!$C$54:$I$269,
    MATCH(
      1,
      ('Tools &amp; Targets_Guideline'!$A$54:$A$269=$B381)*
      ('Tools &amp; Targets_Guideline'!$B$54:$B$269="U5 Morbidity"),
      0
    ),
    MATCH(
      _xludf.IFNA(
        VLOOKUP($D381,{"PH","Provincial Hospital (H2)";"DH","District Hospital (H3)";"RH","Regional / National Hospital (H1)"},2,0),
        $D381
      ),
      'Tools &amp; Targets_Guideline'!$C$53:$I$53,
      0
    )
  ),
0))</f>
        <v/>
      </c>
      <c r="AF381" s="102"/>
      <c r="AG381" s="119" t="str">
        <f t="array" ref="AG381">IF(OR($B381="",$D381=""),"",
IFERROR(
  INDEX(
    'Tools &amp; Targets_Guideline'!$C$54:$I$269,
    MATCH(
      1,
      ('Tools &amp; Targets_Guideline'!$A$54:$A$269=$B381)*
      ('Tools &amp; Targets_Guideline'!$B$54:$B$269="C-Section"),
      0
    ),
    MATCH(
      _xludf.IFNA(
        VLOOKUP($D381,{"PH","Provincial Hospital (H2)";"DH","District Hospital (H3)";"RH","Regional / National Hospital (H1)"},2,0),
        $D381
      ),
      'Tools &amp; Targets_Guideline'!$C$53:$I$53,
      0
    )
  ),
0))</f>
        <v/>
      </c>
      <c r="AH381" s="102" t="str">
        <f>IF(A381&lt;&gt;"",COUNTIFS('QA Log'!D:D,A381,'QA Log'!M:M,"QQC",'QA Log'!L:L,"2. Hygiene and Sterilization",'QA Log'!Z:Z,"Approved"),"")</f>
        <v/>
      </c>
      <c r="AI381" s="102"/>
      <c r="AJ381" s="102"/>
      <c r="AK381" s="103" t="str">
        <f t="shared" si="17"/>
        <v/>
      </c>
      <c r="AL381" s="102"/>
      <c r="AM381" s="102"/>
      <c r="AN381" s="102"/>
      <c r="AO381" s="106"/>
      <c r="AP381" s="103"/>
      <c r="AQ381" s="102"/>
      <c r="AR381" s="102"/>
      <c r="AS381" s="102"/>
      <c r="AT381" s="107"/>
      <c r="AU381" s="102" t="str">
        <f t="shared" si="18"/>
        <v/>
      </c>
      <c r="AV381" s="102" t="str">
        <f t="shared" si="19"/>
        <v/>
      </c>
      <c r="AW381" s="102" t="str">
        <f t="shared" si="20"/>
        <v/>
      </c>
      <c r="AX381" s="102" t="str">
        <f t="shared" si="21"/>
        <v/>
      </c>
      <c r="AY381" s="107" t="str">
        <f t="shared" si="22"/>
        <v/>
      </c>
      <c r="AZ381" s="108" t="str">
        <f t="shared" si="23"/>
        <v/>
      </c>
      <c r="BA381" s="108" t="str">
        <f t="shared" si="24"/>
        <v/>
      </c>
      <c r="BB381" s="109" t="str">
        <f t="shared" si="25"/>
        <v/>
      </c>
      <c r="BC381" s="108" t="str">
        <f t="shared" si="26"/>
        <v/>
      </c>
      <c r="BD381" s="108" t="str">
        <f t="shared" si="27"/>
        <v/>
      </c>
      <c r="BE381" s="109" t="str">
        <f t="shared" si="28"/>
        <v/>
      </c>
      <c r="BF381" s="110" t="str">
        <f t="shared" si="29"/>
        <v/>
      </c>
      <c r="BG381" s="111"/>
    </row>
    <row r="382" spans="1:59" ht="12.75">
      <c r="A382" s="101"/>
      <c r="B382" s="102"/>
      <c r="C382" s="102" t="e">
        <f t="array" aca="1" ref="C382" ca="1">_xludf.XLOOKUP(A382,'QA Log'!D:D,'QA Log'!F:F,"")</f>
        <v>#NAME?</v>
      </c>
      <c r="D382" s="102"/>
      <c r="E382" s="102" t="e">
        <f t="array" aca="1" ref="E382" ca="1">_xludf.XLOOKUP(A382,'QA Log'!D:D,'QA Log'!G:G,"")</f>
        <v>#NAME?</v>
      </c>
      <c r="F382" s="103"/>
      <c r="G382" s="104"/>
      <c r="H382" s="104"/>
      <c r="I382" s="103" t="str">
        <f t="shared" si="15"/>
        <v/>
      </c>
      <c r="J382" s="102"/>
      <c r="K382" s="102"/>
      <c r="L382" s="119" t="str">
        <f t="array" ref="L382">IF(OR($B382="",$D382=""),"",
IFERROR(
  INDEX(
    'Tools &amp; Targets_Guideline'!$C$54:$I$269,
    MATCH(
      1,
      ('Tools &amp; Targets_Guideline'!$A$54:$A$269=$B382)*
      ('Tools &amp; Targets_Guideline'!$B$54:$B$269="ANC"),
      0
    ),
    MATCH(
      _xludf.IFNA(
        VLOOKUP($D382,{"PH","Provincial Hospital (H2)";"DH","District Hospital (H3)";"RH","Regional / National Hospital (H1)"},2,0),
        $D382
      ),
      'Tools &amp; Targets_Guideline'!$C$53:$I$53,
      0
    )
  ),
0))</f>
        <v/>
      </c>
      <c r="M382" s="102"/>
      <c r="N382" s="119" t="str">
        <f t="array" ref="N382">IF(OR($B382="",$D382=""),"",
IFERROR(
  INDEX(
    'Tools &amp; Targets_Guideline'!$C$54:$I$269,
    MATCH(
      1,
      ('Tools &amp; Targets_Guideline'!$A$54:$A$269=$B382)*
      ('Tools &amp; Targets_Guideline'!$B$54:$B$269="PNC"),
      0
    ),
    MATCH(
      _xludf.IFNA(
        VLOOKUP($D382,{"PH","Provincial Hospital (H2)";"DH","District Hospital (H3)";"RH","Regional / National Hospital (H1)"},2,0),
        $D382
      ),
      'Tools &amp; Targets_Guideline'!$C$53:$I$53,
      0
    )
  ),
0))</f>
        <v/>
      </c>
      <c r="O382" s="102"/>
      <c r="P382" s="119" t="str">
        <f t="array" ref="P382">IF(OR($B382="",$D382=""),"",
IFERROR(
  INDEX(
    'Tools &amp; Targets_Guideline'!$C$54:$I$269,
    MATCH(
      1,
      ('Tools &amp; Targets_Guideline'!$A$54:$A$269=$B382)*
      ('Tools &amp; Targets_Guideline'!$B$54:$B$269="Delivery"),
      0
    ),
    MATCH(
      _xludf.IFNA(
        VLOOKUP($D382,{"PH","Provincial Hospital (H2)";"DH","District Hospital (H3)";"RH","Regional / National Hospital (H1)"},2,0),
        $D382
      ),
      'Tools &amp; Targets_Guideline'!$C$53:$I$53,
      0
    )
  ),
0))</f>
        <v/>
      </c>
      <c r="Q382" s="102"/>
      <c r="R382" s="119" t="str">
        <f t="array" ref="R382">IF(OR($B382="",$D382=""),"",
IFERROR(
  INDEX(
    'Tools &amp; Targets_Guideline'!$C$54:$I$269,
    MATCH(
      1,
      ('Tools &amp; Targets_Guideline'!$A$54:$A$269=$B382)*
      ('Tools &amp; Targets_Guideline'!$B$54:$B$269="TT"),
      0
    ),
    MATCH(
      _xludf.IFNA(
        VLOOKUP($D382,{"PH","Provincial Hospital (H2)";"DH","District Hospital (H3)";"RH","Regional / National Hospital (H1)"},2,0),
        $D382
      ),
      'Tools &amp; Targets_Guideline'!$C$53:$I$53,
      0
    )
  ),
0))</f>
        <v/>
      </c>
      <c r="S382" s="102"/>
      <c r="T382" s="102"/>
      <c r="U382" s="106"/>
      <c r="V382" s="102" t="str">
        <f t="shared" si="16"/>
        <v/>
      </c>
      <c r="W382" s="102"/>
      <c r="X382" s="102"/>
      <c r="Y382" s="119" t="str">
        <f t="array" ref="Y382">IF(OR($B382="",$D382=""),"",
IFERROR(
  INDEX(
    'Tools &amp; Targets_Guideline'!$C$54:$I$269,
    MATCH(
      1,
      ('Tools &amp; Targets_Guideline'!$A$54:$A$269=$B382)*
      ('Tools &amp; Targets_Guideline'!$B$54:$B$269="GM"),
      0
    ),
    MATCH(
      _xludf.IFNA(
        VLOOKUP($D382,{"PH","Provincial Hospital (H2)";"DH","District Hospital (H3)";"RH","Regional / National Hospital (H1)"},2,0),
        $D382
      ),
      'Tools &amp; Targets_Guideline'!$C$53:$I$53,
      0
    )
  ),
0))</f>
        <v/>
      </c>
      <c r="Z382" s="102"/>
      <c r="AA382" s="119" t="str">
        <f t="array" ref="AA382">IF(OR($B382="",$D382=""),"",
IFERROR(
  INDEX(
    'Tools &amp; Targets_Guideline'!$C$54:$I$269,
    MATCH(
      1,
      ('Tools &amp; Targets_Guideline'!$A$54:$A$269=$B382)*
      ('Tools &amp; Targets_Guideline'!$B$54:$B$269="Penta"),
      0
    ),
    MATCH(
      _xludf.IFNA(
        VLOOKUP($D382,{"PH","Provincial Hospital (H2)";"DH","District Hospital (H3)";"RH","Regional / National Hospital (H1)"},2,0),
        $D382
      ),
      'Tools &amp; Targets_Guideline'!$C$53:$I$53,
      0
    )
  ),
0))</f>
        <v/>
      </c>
      <c r="AB382" s="102"/>
      <c r="AC382" s="119" t="str">
        <f t="array" ref="AC382">IF(OR($B382="",$D382=""),"",
IFERROR(
  INDEX(
    'Tools &amp; Targets_Guideline'!$C$54:$I$269,
    MATCH(
      1,
      ('Tools &amp; Targets_Guideline'!$A$54:$A$269=$B382)*
      ('Tools &amp; Targets_Guideline'!$B$54:$B$269="TB"),
      0
    ),
    MATCH(
      _xludf.IFNA(
        VLOOKUP($D382,{"PH","Provincial Hospital (H2)";"DH","District Hospital (H3)";"RH","Regional / National Hospital (H1)"},2,0),
        $D382
      ),
      'Tools &amp; Targets_Guideline'!$C$53:$I$53,
      0
    )
  ),
0))</f>
        <v/>
      </c>
      <c r="AD382" s="102"/>
      <c r="AE382" s="119" t="str">
        <f t="array" ref="AE382">IF(OR($B382="",$D382=""),"",
IFERROR(
  INDEX(
    'Tools &amp; Targets_Guideline'!$C$54:$I$269,
    MATCH(
      1,
      ('Tools &amp; Targets_Guideline'!$A$54:$A$269=$B382)*
      ('Tools &amp; Targets_Guideline'!$B$54:$B$269="U5 Morbidity"),
      0
    ),
    MATCH(
      _xludf.IFNA(
        VLOOKUP($D382,{"PH","Provincial Hospital (H2)";"DH","District Hospital (H3)";"RH","Regional / National Hospital (H1)"},2,0),
        $D382
      ),
      'Tools &amp; Targets_Guideline'!$C$53:$I$53,
      0
    )
  ),
0))</f>
        <v/>
      </c>
      <c r="AF382" s="102"/>
      <c r="AG382" s="119" t="str">
        <f t="array" ref="AG382">IF(OR($B382="",$D382=""),"",
IFERROR(
  INDEX(
    'Tools &amp; Targets_Guideline'!$C$54:$I$269,
    MATCH(
      1,
      ('Tools &amp; Targets_Guideline'!$A$54:$A$269=$B382)*
      ('Tools &amp; Targets_Guideline'!$B$54:$B$269="C-Section"),
      0
    ),
    MATCH(
      _xludf.IFNA(
        VLOOKUP($D382,{"PH","Provincial Hospital (H2)";"DH","District Hospital (H3)";"RH","Regional / National Hospital (H1)"},2,0),
        $D382
      ),
      'Tools &amp; Targets_Guideline'!$C$53:$I$53,
      0
    )
  ),
0))</f>
        <v/>
      </c>
      <c r="AH382" s="102" t="str">
        <f>IF(A382&lt;&gt;"",COUNTIFS('QA Log'!D:D,A382,'QA Log'!M:M,"QQC",'QA Log'!L:L,"2. Hygiene and Sterilization",'QA Log'!Z:Z,"Approved"),"")</f>
        <v/>
      </c>
      <c r="AI382" s="102"/>
      <c r="AJ382" s="102"/>
      <c r="AK382" s="103" t="str">
        <f t="shared" si="17"/>
        <v/>
      </c>
      <c r="AL382" s="102"/>
      <c r="AM382" s="102"/>
      <c r="AN382" s="102"/>
      <c r="AO382" s="106"/>
      <c r="AP382" s="103"/>
      <c r="AQ382" s="102"/>
      <c r="AR382" s="102"/>
      <c r="AS382" s="102"/>
      <c r="AT382" s="107"/>
      <c r="AU382" s="102" t="str">
        <f t="shared" si="18"/>
        <v/>
      </c>
      <c r="AV382" s="102" t="str">
        <f t="shared" si="19"/>
        <v/>
      </c>
      <c r="AW382" s="102" t="str">
        <f t="shared" si="20"/>
        <v/>
      </c>
      <c r="AX382" s="102" t="str">
        <f t="shared" si="21"/>
        <v/>
      </c>
      <c r="AY382" s="107" t="str">
        <f t="shared" si="22"/>
        <v/>
      </c>
      <c r="AZ382" s="108" t="str">
        <f t="shared" si="23"/>
        <v/>
      </c>
      <c r="BA382" s="108" t="str">
        <f t="shared" si="24"/>
        <v/>
      </c>
      <c r="BB382" s="109" t="str">
        <f t="shared" si="25"/>
        <v/>
      </c>
      <c r="BC382" s="108" t="str">
        <f t="shared" si="26"/>
        <v/>
      </c>
      <c r="BD382" s="108" t="str">
        <f t="shared" si="27"/>
        <v/>
      </c>
      <c r="BE382" s="109" t="str">
        <f t="shared" si="28"/>
        <v/>
      </c>
      <c r="BF382" s="110" t="str">
        <f t="shared" si="29"/>
        <v/>
      </c>
      <c r="BG382" s="111"/>
    </row>
    <row r="383" spans="1:59" ht="12.75">
      <c r="A383" s="101"/>
      <c r="B383" s="102"/>
      <c r="C383" s="102" t="e">
        <f t="array" aca="1" ref="C383" ca="1">_xludf.XLOOKUP(A383,'QA Log'!D:D,'QA Log'!F:F,"")</f>
        <v>#NAME?</v>
      </c>
      <c r="D383" s="102"/>
      <c r="E383" s="102" t="e">
        <f t="array" aca="1" ref="E383" ca="1">_xludf.XLOOKUP(A383,'QA Log'!D:D,'QA Log'!G:G,"")</f>
        <v>#NAME?</v>
      </c>
      <c r="F383" s="103"/>
      <c r="G383" s="104"/>
      <c r="H383" s="104"/>
      <c r="I383" s="103" t="str">
        <f t="shared" si="15"/>
        <v/>
      </c>
      <c r="J383" s="102"/>
      <c r="K383" s="102"/>
      <c r="L383" s="119" t="str">
        <f t="array" ref="L383">IF(OR($B383="",$D383=""),"",
IFERROR(
  INDEX(
    'Tools &amp; Targets_Guideline'!$C$54:$I$269,
    MATCH(
      1,
      ('Tools &amp; Targets_Guideline'!$A$54:$A$269=$B383)*
      ('Tools &amp; Targets_Guideline'!$B$54:$B$269="ANC"),
      0
    ),
    MATCH(
      _xludf.IFNA(
        VLOOKUP($D383,{"PH","Provincial Hospital (H2)";"DH","District Hospital (H3)";"RH","Regional / National Hospital (H1)"},2,0),
        $D383
      ),
      'Tools &amp; Targets_Guideline'!$C$53:$I$53,
      0
    )
  ),
0))</f>
        <v/>
      </c>
      <c r="M383" s="102"/>
      <c r="N383" s="119" t="str">
        <f t="array" ref="N383">IF(OR($B383="",$D383=""),"",
IFERROR(
  INDEX(
    'Tools &amp; Targets_Guideline'!$C$54:$I$269,
    MATCH(
      1,
      ('Tools &amp; Targets_Guideline'!$A$54:$A$269=$B383)*
      ('Tools &amp; Targets_Guideline'!$B$54:$B$269="PNC"),
      0
    ),
    MATCH(
      _xludf.IFNA(
        VLOOKUP($D383,{"PH","Provincial Hospital (H2)";"DH","District Hospital (H3)";"RH","Regional / National Hospital (H1)"},2,0),
        $D383
      ),
      'Tools &amp; Targets_Guideline'!$C$53:$I$53,
      0
    )
  ),
0))</f>
        <v/>
      </c>
      <c r="O383" s="102"/>
      <c r="P383" s="119" t="str">
        <f t="array" ref="P383">IF(OR($B383="",$D383=""),"",
IFERROR(
  INDEX(
    'Tools &amp; Targets_Guideline'!$C$54:$I$269,
    MATCH(
      1,
      ('Tools &amp; Targets_Guideline'!$A$54:$A$269=$B383)*
      ('Tools &amp; Targets_Guideline'!$B$54:$B$269="Delivery"),
      0
    ),
    MATCH(
      _xludf.IFNA(
        VLOOKUP($D383,{"PH","Provincial Hospital (H2)";"DH","District Hospital (H3)";"RH","Regional / National Hospital (H1)"},2,0),
        $D383
      ),
      'Tools &amp; Targets_Guideline'!$C$53:$I$53,
      0
    )
  ),
0))</f>
        <v/>
      </c>
      <c r="Q383" s="102"/>
      <c r="R383" s="119" t="str">
        <f t="array" ref="R383">IF(OR($B383="",$D383=""),"",
IFERROR(
  INDEX(
    'Tools &amp; Targets_Guideline'!$C$54:$I$269,
    MATCH(
      1,
      ('Tools &amp; Targets_Guideline'!$A$54:$A$269=$B383)*
      ('Tools &amp; Targets_Guideline'!$B$54:$B$269="TT"),
      0
    ),
    MATCH(
      _xludf.IFNA(
        VLOOKUP($D383,{"PH","Provincial Hospital (H2)";"DH","District Hospital (H3)";"RH","Regional / National Hospital (H1)"},2,0),
        $D383
      ),
      'Tools &amp; Targets_Guideline'!$C$53:$I$53,
      0
    )
  ),
0))</f>
        <v/>
      </c>
      <c r="S383" s="102"/>
      <c r="T383" s="102"/>
      <c r="U383" s="106"/>
      <c r="V383" s="102" t="str">
        <f t="shared" si="16"/>
        <v/>
      </c>
      <c r="W383" s="102"/>
      <c r="X383" s="102"/>
      <c r="Y383" s="119" t="str">
        <f t="array" ref="Y383">IF(OR($B383="",$D383=""),"",
IFERROR(
  INDEX(
    'Tools &amp; Targets_Guideline'!$C$54:$I$269,
    MATCH(
      1,
      ('Tools &amp; Targets_Guideline'!$A$54:$A$269=$B383)*
      ('Tools &amp; Targets_Guideline'!$B$54:$B$269="GM"),
      0
    ),
    MATCH(
      _xludf.IFNA(
        VLOOKUP($D383,{"PH","Provincial Hospital (H2)";"DH","District Hospital (H3)";"RH","Regional / National Hospital (H1)"},2,0),
        $D383
      ),
      'Tools &amp; Targets_Guideline'!$C$53:$I$53,
      0
    )
  ),
0))</f>
        <v/>
      </c>
      <c r="Z383" s="102"/>
      <c r="AA383" s="119" t="str">
        <f t="array" ref="AA383">IF(OR($B383="",$D383=""),"",
IFERROR(
  INDEX(
    'Tools &amp; Targets_Guideline'!$C$54:$I$269,
    MATCH(
      1,
      ('Tools &amp; Targets_Guideline'!$A$54:$A$269=$B383)*
      ('Tools &amp; Targets_Guideline'!$B$54:$B$269="Penta"),
      0
    ),
    MATCH(
      _xludf.IFNA(
        VLOOKUP($D383,{"PH","Provincial Hospital (H2)";"DH","District Hospital (H3)";"RH","Regional / National Hospital (H1)"},2,0),
        $D383
      ),
      'Tools &amp; Targets_Guideline'!$C$53:$I$53,
      0
    )
  ),
0))</f>
        <v/>
      </c>
      <c r="AB383" s="102"/>
      <c r="AC383" s="119" t="str">
        <f t="array" ref="AC383">IF(OR($B383="",$D383=""),"",
IFERROR(
  INDEX(
    'Tools &amp; Targets_Guideline'!$C$54:$I$269,
    MATCH(
      1,
      ('Tools &amp; Targets_Guideline'!$A$54:$A$269=$B383)*
      ('Tools &amp; Targets_Guideline'!$B$54:$B$269="TB"),
      0
    ),
    MATCH(
      _xludf.IFNA(
        VLOOKUP($D383,{"PH","Provincial Hospital (H2)";"DH","District Hospital (H3)";"RH","Regional / National Hospital (H1)"},2,0),
        $D383
      ),
      'Tools &amp; Targets_Guideline'!$C$53:$I$53,
      0
    )
  ),
0))</f>
        <v/>
      </c>
      <c r="AD383" s="102"/>
      <c r="AE383" s="119" t="str">
        <f t="array" ref="AE383">IF(OR($B383="",$D383=""),"",
IFERROR(
  INDEX(
    'Tools &amp; Targets_Guideline'!$C$54:$I$269,
    MATCH(
      1,
      ('Tools &amp; Targets_Guideline'!$A$54:$A$269=$B383)*
      ('Tools &amp; Targets_Guideline'!$B$54:$B$269="U5 Morbidity"),
      0
    ),
    MATCH(
      _xludf.IFNA(
        VLOOKUP($D383,{"PH","Provincial Hospital (H2)";"DH","District Hospital (H3)";"RH","Regional / National Hospital (H1)"},2,0),
        $D383
      ),
      'Tools &amp; Targets_Guideline'!$C$53:$I$53,
      0
    )
  ),
0))</f>
        <v/>
      </c>
      <c r="AF383" s="102"/>
      <c r="AG383" s="119" t="str">
        <f t="array" ref="AG383">IF(OR($B383="",$D383=""),"",
IFERROR(
  INDEX(
    'Tools &amp; Targets_Guideline'!$C$54:$I$269,
    MATCH(
      1,
      ('Tools &amp; Targets_Guideline'!$A$54:$A$269=$B383)*
      ('Tools &amp; Targets_Guideline'!$B$54:$B$269="C-Section"),
      0
    ),
    MATCH(
      _xludf.IFNA(
        VLOOKUP($D383,{"PH","Provincial Hospital (H2)";"DH","District Hospital (H3)";"RH","Regional / National Hospital (H1)"},2,0),
        $D383
      ),
      'Tools &amp; Targets_Guideline'!$C$53:$I$53,
      0
    )
  ),
0))</f>
        <v/>
      </c>
      <c r="AH383" s="102" t="str">
        <f>IF(A383&lt;&gt;"",COUNTIFS('QA Log'!D:D,A383,'QA Log'!M:M,"QQC",'QA Log'!L:L,"2. Hygiene and Sterilization",'QA Log'!Z:Z,"Approved"),"")</f>
        <v/>
      </c>
      <c r="AI383" s="102"/>
      <c r="AJ383" s="102"/>
      <c r="AK383" s="103" t="str">
        <f t="shared" si="17"/>
        <v/>
      </c>
      <c r="AL383" s="102"/>
      <c r="AM383" s="102"/>
      <c r="AN383" s="102"/>
      <c r="AO383" s="106"/>
      <c r="AP383" s="103"/>
      <c r="AQ383" s="102"/>
      <c r="AR383" s="102"/>
      <c r="AS383" s="102"/>
      <c r="AT383" s="107"/>
      <c r="AU383" s="102" t="str">
        <f t="shared" si="18"/>
        <v/>
      </c>
      <c r="AV383" s="102" t="str">
        <f t="shared" si="19"/>
        <v/>
      </c>
      <c r="AW383" s="102" t="str">
        <f t="shared" si="20"/>
        <v/>
      </c>
      <c r="AX383" s="102" t="str">
        <f t="shared" si="21"/>
        <v/>
      </c>
      <c r="AY383" s="107" t="str">
        <f t="shared" si="22"/>
        <v/>
      </c>
      <c r="AZ383" s="108" t="str">
        <f t="shared" si="23"/>
        <v/>
      </c>
      <c r="BA383" s="108" t="str">
        <f t="shared" si="24"/>
        <v/>
      </c>
      <c r="BB383" s="109" t="str">
        <f t="shared" si="25"/>
        <v/>
      </c>
      <c r="BC383" s="108" t="str">
        <f t="shared" si="26"/>
        <v/>
      </c>
      <c r="BD383" s="108" t="str">
        <f t="shared" si="27"/>
        <v/>
      </c>
      <c r="BE383" s="109" t="str">
        <f t="shared" si="28"/>
        <v/>
      </c>
      <c r="BF383" s="110" t="str">
        <f t="shared" si="29"/>
        <v/>
      </c>
      <c r="BG383" s="111"/>
    </row>
    <row r="384" spans="1:59" ht="12.75">
      <c r="A384" s="101"/>
      <c r="B384" s="102"/>
      <c r="C384" s="102" t="e">
        <f t="array" aca="1" ref="C384" ca="1">_xludf.XLOOKUP(A384,'QA Log'!D:D,'QA Log'!F:F,"")</f>
        <v>#NAME?</v>
      </c>
      <c r="D384" s="102"/>
      <c r="E384" s="102" t="e">
        <f t="array" aca="1" ref="E384" ca="1">_xludf.XLOOKUP(A384,'QA Log'!D:D,'QA Log'!G:G,"")</f>
        <v>#NAME?</v>
      </c>
      <c r="F384" s="103"/>
      <c r="G384" s="104"/>
      <c r="H384" s="104"/>
      <c r="I384" s="103" t="str">
        <f t="shared" si="15"/>
        <v/>
      </c>
      <c r="J384" s="102"/>
      <c r="K384" s="102"/>
      <c r="L384" s="119" t="str">
        <f t="array" ref="L384">IF(OR($B384="",$D384=""),"",
IFERROR(
  INDEX(
    'Tools &amp; Targets_Guideline'!$C$54:$I$269,
    MATCH(
      1,
      ('Tools &amp; Targets_Guideline'!$A$54:$A$269=$B384)*
      ('Tools &amp; Targets_Guideline'!$B$54:$B$269="ANC"),
      0
    ),
    MATCH(
      _xludf.IFNA(
        VLOOKUP($D384,{"PH","Provincial Hospital (H2)";"DH","District Hospital (H3)";"RH","Regional / National Hospital (H1)"},2,0),
        $D384
      ),
      'Tools &amp; Targets_Guideline'!$C$53:$I$53,
      0
    )
  ),
0))</f>
        <v/>
      </c>
      <c r="M384" s="102"/>
      <c r="N384" s="119" t="str">
        <f t="array" ref="N384">IF(OR($B384="",$D384=""),"",
IFERROR(
  INDEX(
    'Tools &amp; Targets_Guideline'!$C$54:$I$269,
    MATCH(
      1,
      ('Tools &amp; Targets_Guideline'!$A$54:$A$269=$B384)*
      ('Tools &amp; Targets_Guideline'!$B$54:$B$269="PNC"),
      0
    ),
    MATCH(
      _xludf.IFNA(
        VLOOKUP($D384,{"PH","Provincial Hospital (H2)";"DH","District Hospital (H3)";"RH","Regional / National Hospital (H1)"},2,0),
        $D384
      ),
      'Tools &amp; Targets_Guideline'!$C$53:$I$53,
      0
    )
  ),
0))</f>
        <v/>
      </c>
      <c r="O384" s="102"/>
      <c r="P384" s="119" t="str">
        <f t="array" ref="P384">IF(OR($B384="",$D384=""),"",
IFERROR(
  INDEX(
    'Tools &amp; Targets_Guideline'!$C$54:$I$269,
    MATCH(
      1,
      ('Tools &amp; Targets_Guideline'!$A$54:$A$269=$B384)*
      ('Tools &amp; Targets_Guideline'!$B$54:$B$269="Delivery"),
      0
    ),
    MATCH(
      _xludf.IFNA(
        VLOOKUP($D384,{"PH","Provincial Hospital (H2)";"DH","District Hospital (H3)";"RH","Regional / National Hospital (H1)"},2,0),
        $D384
      ),
      'Tools &amp; Targets_Guideline'!$C$53:$I$53,
      0
    )
  ),
0))</f>
        <v/>
      </c>
      <c r="Q384" s="102"/>
      <c r="R384" s="119" t="str">
        <f t="array" ref="R384">IF(OR($B384="",$D384=""),"",
IFERROR(
  INDEX(
    'Tools &amp; Targets_Guideline'!$C$54:$I$269,
    MATCH(
      1,
      ('Tools &amp; Targets_Guideline'!$A$54:$A$269=$B384)*
      ('Tools &amp; Targets_Guideline'!$B$54:$B$269="TT"),
      0
    ),
    MATCH(
      _xludf.IFNA(
        VLOOKUP($D384,{"PH","Provincial Hospital (H2)";"DH","District Hospital (H3)";"RH","Regional / National Hospital (H1)"},2,0),
        $D384
      ),
      'Tools &amp; Targets_Guideline'!$C$53:$I$53,
      0
    )
  ),
0))</f>
        <v/>
      </c>
      <c r="S384" s="102"/>
      <c r="T384" s="102"/>
      <c r="U384" s="106"/>
      <c r="V384" s="102" t="str">
        <f t="shared" si="16"/>
        <v/>
      </c>
      <c r="W384" s="102"/>
      <c r="X384" s="102"/>
      <c r="Y384" s="119" t="str">
        <f t="array" ref="Y384">IF(OR($B384="",$D384=""),"",
IFERROR(
  INDEX(
    'Tools &amp; Targets_Guideline'!$C$54:$I$269,
    MATCH(
      1,
      ('Tools &amp; Targets_Guideline'!$A$54:$A$269=$B384)*
      ('Tools &amp; Targets_Guideline'!$B$54:$B$269="GM"),
      0
    ),
    MATCH(
      _xludf.IFNA(
        VLOOKUP($D384,{"PH","Provincial Hospital (H2)";"DH","District Hospital (H3)";"RH","Regional / National Hospital (H1)"},2,0),
        $D384
      ),
      'Tools &amp; Targets_Guideline'!$C$53:$I$53,
      0
    )
  ),
0))</f>
        <v/>
      </c>
      <c r="Z384" s="102"/>
      <c r="AA384" s="119" t="str">
        <f t="array" ref="AA384">IF(OR($B384="",$D384=""),"",
IFERROR(
  INDEX(
    'Tools &amp; Targets_Guideline'!$C$54:$I$269,
    MATCH(
      1,
      ('Tools &amp; Targets_Guideline'!$A$54:$A$269=$B384)*
      ('Tools &amp; Targets_Guideline'!$B$54:$B$269="Penta"),
      0
    ),
    MATCH(
      _xludf.IFNA(
        VLOOKUP($D384,{"PH","Provincial Hospital (H2)";"DH","District Hospital (H3)";"RH","Regional / National Hospital (H1)"},2,0),
        $D384
      ),
      'Tools &amp; Targets_Guideline'!$C$53:$I$53,
      0
    )
  ),
0))</f>
        <v/>
      </c>
      <c r="AB384" s="102"/>
      <c r="AC384" s="119" t="str">
        <f t="array" ref="AC384">IF(OR($B384="",$D384=""),"",
IFERROR(
  INDEX(
    'Tools &amp; Targets_Guideline'!$C$54:$I$269,
    MATCH(
      1,
      ('Tools &amp; Targets_Guideline'!$A$54:$A$269=$B384)*
      ('Tools &amp; Targets_Guideline'!$B$54:$B$269="TB"),
      0
    ),
    MATCH(
      _xludf.IFNA(
        VLOOKUP($D384,{"PH","Provincial Hospital (H2)";"DH","District Hospital (H3)";"RH","Regional / National Hospital (H1)"},2,0),
        $D384
      ),
      'Tools &amp; Targets_Guideline'!$C$53:$I$53,
      0
    )
  ),
0))</f>
        <v/>
      </c>
      <c r="AD384" s="102"/>
      <c r="AE384" s="119" t="str">
        <f t="array" ref="AE384">IF(OR($B384="",$D384=""),"",
IFERROR(
  INDEX(
    'Tools &amp; Targets_Guideline'!$C$54:$I$269,
    MATCH(
      1,
      ('Tools &amp; Targets_Guideline'!$A$54:$A$269=$B384)*
      ('Tools &amp; Targets_Guideline'!$B$54:$B$269="U5 Morbidity"),
      0
    ),
    MATCH(
      _xludf.IFNA(
        VLOOKUP($D384,{"PH","Provincial Hospital (H2)";"DH","District Hospital (H3)";"RH","Regional / National Hospital (H1)"},2,0),
        $D384
      ),
      'Tools &amp; Targets_Guideline'!$C$53:$I$53,
      0
    )
  ),
0))</f>
        <v/>
      </c>
      <c r="AF384" s="102"/>
      <c r="AG384" s="119" t="str">
        <f t="array" ref="AG384">IF(OR($B384="",$D384=""),"",
IFERROR(
  INDEX(
    'Tools &amp; Targets_Guideline'!$C$54:$I$269,
    MATCH(
      1,
      ('Tools &amp; Targets_Guideline'!$A$54:$A$269=$B384)*
      ('Tools &amp; Targets_Guideline'!$B$54:$B$269="C-Section"),
      0
    ),
    MATCH(
      _xludf.IFNA(
        VLOOKUP($D384,{"PH","Provincial Hospital (H2)";"DH","District Hospital (H3)";"RH","Regional / National Hospital (H1)"},2,0),
        $D384
      ),
      'Tools &amp; Targets_Guideline'!$C$53:$I$53,
      0
    )
  ),
0))</f>
        <v/>
      </c>
      <c r="AH384" s="102" t="str">
        <f>IF(A384&lt;&gt;"",COUNTIFS('QA Log'!D:D,A384,'QA Log'!M:M,"QQC",'QA Log'!L:L,"2. Hygiene and Sterilization",'QA Log'!Z:Z,"Approved"),"")</f>
        <v/>
      </c>
      <c r="AI384" s="102"/>
      <c r="AJ384" s="102"/>
      <c r="AK384" s="103" t="str">
        <f t="shared" si="17"/>
        <v/>
      </c>
      <c r="AL384" s="102"/>
      <c r="AM384" s="102"/>
      <c r="AN384" s="102"/>
      <c r="AO384" s="106"/>
      <c r="AP384" s="103"/>
      <c r="AQ384" s="102"/>
      <c r="AR384" s="102"/>
      <c r="AS384" s="102"/>
      <c r="AT384" s="107"/>
      <c r="AU384" s="102" t="str">
        <f t="shared" si="18"/>
        <v/>
      </c>
      <c r="AV384" s="102" t="str">
        <f t="shared" si="19"/>
        <v/>
      </c>
      <c r="AW384" s="102" t="str">
        <f t="shared" si="20"/>
        <v/>
      </c>
      <c r="AX384" s="102" t="str">
        <f t="shared" si="21"/>
        <v/>
      </c>
      <c r="AY384" s="107" t="str">
        <f t="shared" si="22"/>
        <v/>
      </c>
      <c r="AZ384" s="108" t="str">
        <f t="shared" si="23"/>
        <v/>
      </c>
      <c r="BA384" s="108" t="str">
        <f t="shared" si="24"/>
        <v/>
      </c>
      <c r="BB384" s="109" t="str">
        <f t="shared" si="25"/>
        <v/>
      </c>
      <c r="BC384" s="108" t="str">
        <f t="shared" si="26"/>
        <v/>
      </c>
      <c r="BD384" s="108" t="str">
        <f t="shared" si="27"/>
        <v/>
      </c>
      <c r="BE384" s="109" t="str">
        <f t="shared" si="28"/>
        <v/>
      </c>
      <c r="BF384" s="110" t="str">
        <f t="shared" si="29"/>
        <v/>
      </c>
      <c r="BG384" s="111"/>
    </row>
    <row r="385" spans="1:59" ht="12.75">
      <c r="A385" s="101"/>
      <c r="B385" s="102"/>
      <c r="C385" s="102" t="e">
        <f t="array" aca="1" ref="C385" ca="1">_xludf.XLOOKUP(A385,'QA Log'!D:D,'QA Log'!F:F,"")</f>
        <v>#NAME?</v>
      </c>
      <c r="D385" s="102"/>
      <c r="E385" s="102" t="e">
        <f t="array" aca="1" ref="E385" ca="1">_xludf.XLOOKUP(A385,'QA Log'!D:D,'QA Log'!G:G,"")</f>
        <v>#NAME?</v>
      </c>
      <c r="F385" s="103"/>
      <c r="G385" s="104"/>
      <c r="H385" s="104"/>
      <c r="I385" s="103" t="str">
        <f t="shared" si="15"/>
        <v/>
      </c>
      <c r="J385" s="102"/>
      <c r="K385" s="102"/>
      <c r="L385" s="119" t="str">
        <f t="array" ref="L385">IF(OR($B385="",$D385=""),"",
IFERROR(
  INDEX(
    'Tools &amp; Targets_Guideline'!$C$54:$I$269,
    MATCH(
      1,
      ('Tools &amp; Targets_Guideline'!$A$54:$A$269=$B385)*
      ('Tools &amp; Targets_Guideline'!$B$54:$B$269="ANC"),
      0
    ),
    MATCH(
      _xludf.IFNA(
        VLOOKUP($D385,{"PH","Provincial Hospital (H2)";"DH","District Hospital (H3)";"RH","Regional / National Hospital (H1)"},2,0),
        $D385
      ),
      'Tools &amp; Targets_Guideline'!$C$53:$I$53,
      0
    )
  ),
0))</f>
        <v/>
      </c>
      <c r="M385" s="102"/>
      <c r="N385" s="119" t="str">
        <f t="array" ref="N385">IF(OR($B385="",$D385=""),"",
IFERROR(
  INDEX(
    'Tools &amp; Targets_Guideline'!$C$54:$I$269,
    MATCH(
      1,
      ('Tools &amp; Targets_Guideline'!$A$54:$A$269=$B385)*
      ('Tools &amp; Targets_Guideline'!$B$54:$B$269="PNC"),
      0
    ),
    MATCH(
      _xludf.IFNA(
        VLOOKUP($D385,{"PH","Provincial Hospital (H2)";"DH","District Hospital (H3)";"RH","Regional / National Hospital (H1)"},2,0),
        $D385
      ),
      'Tools &amp; Targets_Guideline'!$C$53:$I$53,
      0
    )
  ),
0))</f>
        <v/>
      </c>
      <c r="O385" s="102"/>
      <c r="P385" s="119" t="str">
        <f t="array" ref="P385">IF(OR($B385="",$D385=""),"",
IFERROR(
  INDEX(
    'Tools &amp; Targets_Guideline'!$C$54:$I$269,
    MATCH(
      1,
      ('Tools &amp; Targets_Guideline'!$A$54:$A$269=$B385)*
      ('Tools &amp; Targets_Guideline'!$B$54:$B$269="Delivery"),
      0
    ),
    MATCH(
      _xludf.IFNA(
        VLOOKUP($D385,{"PH","Provincial Hospital (H2)";"DH","District Hospital (H3)";"RH","Regional / National Hospital (H1)"},2,0),
        $D385
      ),
      'Tools &amp; Targets_Guideline'!$C$53:$I$53,
      0
    )
  ),
0))</f>
        <v/>
      </c>
      <c r="Q385" s="102"/>
      <c r="R385" s="119" t="str">
        <f t="array" ref="R385">IF(OR($B385="",$D385=""),"",
IFERROR(
  INDEX(
    'Tools &amp; Targets_Guideline'!$C$54:$I$269,
    MATCH(
      1,
      ('Tools &amp; Targets_Guideline'!$A$54:$A$269=$B385)*
      ('Tools &amp; Targets_Guideline'!$B$54:$B$269="TT"),
      0
    ),
    MATCH(
      _xludf.IFNA(
        VLOOKUP($D385,{"PH","Provincial Hospital (H2)";"DH","District Hospital (H3)";"RH","Regional / National Hospital (H1)"},2,0),
        $D385
      ),
      'Tools &amp; Targets_Guideline'!$C$53:$I$53,
      0
    )
  ),
0))</f>
        <v/>
      </c>
      <c r="S385" s="102"/>
      <c r="T385" s="102"/>
      <c r="U385" s="106"/>
      <c r="V385" s="102" t="str">
        <f t="shared" si="16"/>
        <v/>
      </c>
      <c r="W385" s="102"/>
      <c r="X385" s="102"/>
      <c r="Y385" s="119" t="str">
        <f t="array" ref="Y385">IF(OR($B385="",$D385=""),"",
IFERROR(
  INDEX(
    'Tools &amp; Targets_Guideline'!$C$54:$I$269,
    MATCH(
      1,
      ('Tools &amp; Targets_Guideline'!$A$54:$A$269=$B385)*
      ('Tools &amp; Targets_Guideline'!$B$54:$B$269="GM"),
      0
    ),
    MATCH(
      _xludf.IFNA(
        VLOOKUP($D385,{"PH","Provincial Hospital (H2)";"DH","District Hospital (H3)";"RH","Regional / National Hospital (H1)"},2,0),
        $D385
      ),
      'Tools &amp; Targets_Guideline'!$C$53:$I$53,
      0
    )
  ),
0))</f>
        <v/>
      </c>
      <c r="Z385" s="102"/>
      <c r="AA385" s="119" t="str">
        <f t="array" ref="AA385">IF(OR($B385="",$D385=""),"",
IFERROR(
  INDEX(
    'Tools &amp; Targets_Guideline'!$C$54:$I$269,
    MATCH(
      1,
      ('Tools &amp; Targets_Guideline'!$A$54:$A$269=$B385)*
      ('Tools &amp; Targets_Guideline'!$B$54:$B$269="Penta"),
      0
    ),
    MATCH(
      _xludf.IFNA(
        VLOOKUP($D385,{"PH","Provincial Hospital (H2)";"DH","District Hospital (H3)";"RH","Regional / National Hospital (H1)"},2,0),
        $D385
      ),
      'Tools &amp; Targets_Guideline'!$C$53:$I$53,
      0
    )
  ),
0))</f>
        <v/>
      </c>
      <c r="AB385" s="102"/>
      <c r="AC385" s="119" t="str">
        <f t="array" ref="AC385">IF(OR($B385="",$D385=""),"",
IFERROR(
  INDEX(
    'Tools &amp; Targets_Guideline'!$C$54:$I$269,
    MATCH(
      1,
      ('Tools &amp; Targets_Guideline'!$A$54:$A$269=$B385)*
      ('Tools &amp; Targets_Guideline'!$B$54:$B$269="TB"),
      0
    ),
    MATCH(
      _xludf.IFNA(
        VLOOKUP($D385,{"PH","Provincial Hospital (H2)";"DH","District Hospital (H3)";"RH","Regional / National Hospital (H1)"},2,0),
        $D385
      ),
      'Tools &amp; Targets_Guideline'!$C$53:$I$53,
      0
    )
  ),
0))</f>
        <v/>
      </c>
      <c r="AD385" s="102"/>
      <c r="AE385" s="119" t="str">
        <f t="array" ref="AE385">IF(OR($B385="",$D385=""),"",
IFERROR(
  INDEX(
    'Tools &amp; Targets_Guideline'!$C$54:$I$269,
    MATCH(
      1,
      ('Tools &amp; Targets_Guideline'!$A$54:$A$269=$B385)*
      ('Tools &amp; Targets_Guideline'!$B$54:$B$269="U5 Morbidity"),
      0
    ),
    MATCH(
      _xludf.IFNA(
        VLOOKUP($D385,{"PH","Provincial Hospital (H2)";"DH","District Hospital (H3)";"RH","Regional / National Hospital (H1)"},2,0),
        $D385
      ),
      'Tools &amp; Targets_Guideline'!$C$53:$I$53,
      0
    )
  ),
0))</f>
        <v/>
      </c>
      <c r="AF385" s="102"/>
      <c r="AG385" s="119" t="str">
        <f t="array" ref="AG385">IF(OR($B385="",$D385=""),"",
IFERROR(
  INDEX(
    'Tools &amp; Targets_Guideline'!$C$54:$I$269,
    MATCH(
      1,
      ('Tools &amp; Targets_Guideline'!$A$54:$A$269=$B385)*
      ('Tools &amp; Targets_Guideline'!$B$54:$B$269="C-Section"),
      0
    ),
    MATCH(
      _xludf.IFNA(
        VLOOKUP($D385,{"PH","Provincial Hospital (H2)";"DH","District Hospital (H3)";"RH","Regional / National Hospital (H1)"},2,0),
        $D385
      ),
      'Tools &amp; Targets_Guideline'!$C$53:$I$53,
      0
    )
  ),
0))</f>
        <v/>
      </c>
      <c r="AH385" s="102" t="str">
        <f>IF(A385&lt;&gt;"",COUNTIFS('QA Log'!D:D,A385,'QA Log'!M:M,"QQC",'QA Log'!L:L,"2. Hygiene and Sterilization",'QA Log'!Z:Z,"Approved"),"")</f>
        <v/>
      </c>
      <c r="AI385" s="102"/>
      <c r="AJ385" s="102"/>
      <c r="AK385" s="103" t="str">
        <f t="shared" si="17"/>
        <v/>
      </c>
      <c r="AL385" s="102"/>
      <c r="AM385" s="102"/>
      <c r="AN385" s="102"/>
      <c r="AO385" s="106"/>
      <c r="AP385" s="103"/>
      <c r="AQ385" s="102"/>
      <c r="AR385" s="102"/>
      <c r="AS385" s="102"/>
      <c r="AT385" s="107"/>
      <c r="AU385" s="102" t="str">
        <f t="shared" si="18"/>
        <v/>
      </c>
      <c r="AV385" s="102" t="str">
        <f t="shared" si="19"/>
        <v/>
      </c>
      <c r="AW385" s="102" t="str">
        <f t="shared" si="20"/>
        <v/>
      </c>
      <c r="AX385" s="102" t="str">
        <f t="shared" si="21"/>
        <v/>
      </c>
      <c r="AY385" s="107" t="str">
        <f t="shared" si="22"/>
        <v/>
      </c>
      <c r="AZ385" s="108" t="str">
        <f t="shared" si="23"/>
        <v/>
      </c>
      <c r="BA385" s="108" t="str">
        <f t="shared" si="24"/>
        <v/>
      </c>
      <c r="BB385" s="109" t="str">
        <f t="shared" si="25"/>
        <v/>
      </c>
      <c r="BC385" s="108" t="str">
        <f t="shared" si="26"/>
        <v/>
      </c>
      <c r="BD385" s="108" t="str">
        <f t="shared" si="27"/>
        <v/>
      </c>
      <c r="BE385" s="109" t="str">
        <f t="shared" si="28"/>
        <v/>
      </c>
      <c r="BF385" s="110" t="str">
        <f t="shared" si="29"/>
        <v/>
      </c>
      <c r="BG385" s="111"/>
    </row>
    <row r="386" spans="1:59" ht="12.75">
      <c r="A386" s="101"/>
      <c r="B386" s="102"/>
      <c r="C386" s="102" t="e">
        <f t="array" aca="1" ref="C386" ca="1">_xludf.XLOOKUP(A386,'QA Log'!D:D,'QA Log'!F:F,"")</f>
        <v>#NAME?</v>
      </c>
      <c r="D386" s="102"/>
      <c r="E386" s="102" t="e">
        <f t="array" aca="1" ref="E386" ca="1">_xludf.XLOOKUP(A386,'QA Log'!D:D,'QA Log'!G:G,"")</f>
        <v>#NAME?</v>
      </c>
      <c r="F386" s="103"/>
      <c r="G386" s="104"/>
      <c r="H386" s="104"/>
      <c r="I386" s="103" t="str">
        <f t="shared" si="15"/>
        <v/>
      </c>
      <c r="J386" s="102"/>
      <c r="K386" s="102"/>
      <c r="L386" s="119" t="str">
        <f t="array" ref="L386">IF(OR($B386="",$D386=""),"",
IFERROR(
  INDEX(
    'Tools &amp; Targets_Guideline'!$C$54:$I$269,
    MATCH(
      1,
      ('Tools &amp; Targets_Guideline'!$A$54:$A$269=$B386)*
      ('Tools &amp; Targets_Guideline'!$B$54:$B$269="ANC"),
      0
    ),
    MATCH(
      _xludf.IFNA(
        VLOOKUP($D386,{"PH","Provincial Hospital (H2)";"DH","District Hospital (H3)";"RH","Regional / National Hospital (H1)"},2,0),
        $D386
      ),
      'Tools &amp; Targets_Guideline'!$C$53:$I$53,
      0
    )
  ),
0))</f>
        <v/>
      </c>
      <c r="M386" s="102"/>
      <c r="N386" s="119" t="str">
        <f t="array" ref="N386">IF(OR($B386="",$D386=""),"",
IFERROR(
  INDEX(
    'Tools &amp; Targets_Guideline'!$C$54:$I$269,
    MATCH(
      1,
      ('Tools &amp; Targets_Guideline'!$A$54:$A$269=$B386)*
      ('Tools &amp; Targets_Guideline'!$B$54:$B$269="PNC"),
      0
    ),
    MATCH(
      _xludf.IFNA(
        VLOOKUP($D386,{"PH","Provincial Hospital (H2)";"DH","District Hospital (H3)";"RH","Regional / National Hospital (H1)"},2,0),
        $D386
      ),
      'Tools &amp; Targets_Guideline'!$C$53:$I$53,
      0
    )
  ),
0))</f>
        <v/>
      </c>
      <c r="O386" s="102"/>
      <c r="P386" s="119" t="str">
        <f t="array" ref="P386">IF(OR($B386="",$D386=""),"",
IFERROR(
  INDEX(
    'Tools &amp; Targets_Guideline'!$C$54:$I$269,
    MATCH(
      1,
      ('Tools &amp; Targets_Guideline'!$A$54:$A$269=$B386)*
      ('Tools &amp; Targets_Guideline'!$B$54:$B$269="Delivery"),
      0
    ),
    MATCH(
      _xludf.IFNA(
        VLOOKUP($D386,{"PH","Provincial Hospital (H2)";"DH","District Hospital (H3)";"RH","Regional / National Hospital (H1)"},2,0),
        $D386
      ),
      'Tools &amp; Targets_Guideline'!$C$53:$I$53,
      0
    )
  ),
0))</f>
        <v/>
      </c>
      <c r="Q386" s="102"/>
      <c r="R386" s="119" t="str">
        <f t="array" ref="R386">IF(OR($B386="",$D386=""),"",
IFERROR(
  INDEX(
    'Tools &amp; Targets_Guideline'!$C$54:$I$269,
    MATCH(
      1,
      ('Tools &amp; Targets_Guideline'!$A$54:$A$269=$B386)*
      ('Tools &amp; Targets_Guideline'!$B$54:$B$269="TT"),
      0
    ),
    MATCH(
      _xludf.IFNA(
        VLOOKUP($D386,{"PH","Provincial Hospital (H2)";"DH","District Hospital (H3)";"RH","Regional / National Hospital (H1)"},2,0),
        $D386
      ),
      'Tools &amp; Targets_Guideline'!$C$53:$I$53,
      0
    )
  ),
0))</f>
        <v/>
      </c>
      <c r="S386" s="102"/>
      <c r="T386" s="102"/>
      <c r="U386" s="106"/>
      <c r="V386" s="102" t="str">
        <f t="shared" si="16"/>
        <v/>
      </c>
      <c r="W386" s="102"/>
      <c r="X386" s="102"/>
      <c r="Y386" s="119" t="str">
        <f t="array" ref="Y386">IF(OR($B386="",$D386=""),"",
IFERROR(
  INDEX(
    'Tools &amp; Targets_Guideline'!$C$54:$I$269,
    MATCH(
      1,
      ('Tools &amp; Targets_Guideline'!$A$54:$A$269=$B386)*
      ('Tools &amp; Targets_Guideline'!$B$54:$B$269="GM"),
      0
    ),
    MATCH(
      _xludf.IFNA(
        VLOOKUP($D386,{"PH","Provincial Hospital (H2)";"DH","District Hospital (H3)";"RH","Regional / National Hospital (H1)"},2,0),
        $D386
      ),
      'Tools &amp; Targets_Guideline'!$C$53:$I$53,
      0
    )
  ),
0))</f>
        <v/>
      </c>
      <c r="Z386" s="102"/>
      <c r="AA386" s="119" t="str">
        <f t="array" ref="AA386">IF(OR($B386="",$D386=""),"",
IFERROR(
  INDEX(
    'Tools &amp; Targets_Guideline'!$C$54:$I$269,
    MATCH(
      1,
      ('Tools &amp; Targets_Guideline'!$A$54:$A$269=$B386)*
      ('Tools &amp; Targets_Guideline'!$B$54:$B$269="Penta"),
      0
    ),
    MATCH(
      _xludf.IFNA(
        VLOOKUP($D386,{"PH","Provincial Hospital (H2)";"DH","District Hospital (H3)";"RH","Regional / National Hospital (H1)"},2,0),
        $D386
      ),
      'Tools &amp; Targets_Guideline'!$C$53:$I$53,
      0
    )
  ),
0))</f>
        <v/>
      </c>
      <c r="AB386" s="102"/>
      <c r="AC386" s="119" t="str">
        <f t="array" ref="AC386">IF(OR($B386="",$D386=""),"",
IFERROR(
  INDEX(
    'Tools &amp; Targets_Guideline'!$C$54:$I$269,
    MATCH(
      1,
      ('Tools &amp; Targets_Guideline'!$A$54:$A$269=$B386)*
      ('Tools &amp; Targets_Guideline'!$B$54:$B$269="TB"),
      0
    ),
    MATCH(
      _xludf.IFNA(
        VLOOKUP($D386,{"PH","Provincial Hospital (H2)";"DH","District Hospital (H3)";"RH","Regional / National Hospital (H1)"},2,0),
        $D386
      ),
      'Tools &amp; Targets_Guideline'!$C$53:$I$53,
      0
    )
  ),
0))</f>
        <v/>
      </c>
      <c r="AD386" s="102"/>
      <c r="AE386" s="119" t="str">
        <f t="array" ref="AE386">IF(OR($B386="",$D386=""),"",
IFERROR(
  INDEX(
    'Tools &amp; Targets_Guideline'!$C$54:$I$269,
    MATCH(
      1,
      ('Tools &amp; Targets_Guideline'!$A$54:$A$269=$B386)*
      ('Tools &amp; Targets_Guideline'!$B$54:$B$269="U5 Morbidity"),
      0
    ),
    MATCH(
      _xludf.IFNA(
        VLOOKUP($D386,{"PH","Provincial Hospital (H2)";"DH","District Hospital (H3)";"RH","Regional / National Hospital (H1)"},2,0),
        $D386
      ),
      'Tools &amp; Targets_Guideline'!$C$53:$I$53,
      0
    )
  ),
0))</f>
        <v/>
      </c>
      <c r="AF386" s="102"/>
      <c r="AG386" s="119" t="str">
        <f t="array" ref="AG386">IF(OR($B386="",$D386=""),"",
IFERROR(
  INDEX(
    'Tools &amp; Targets_Guideline'!$C$54:$I$269,
    MATCH(
      1,
      ('Tools &amp; Targets_Guideline'!$A$54:$A$269=$B386)*
      ('Tools &amp; Targets_Guideline'!$B$54:$B$269="C-Section"),
      0
    ),
    MATCH(
      _xludf.IFNA(
        VLOOKUP($D386,{"PH","Provincial Hospital (H2)";"DH","District Hospital (H3)";"RH","Regional / National Hospital (H1)"},2,0),
        $D386
      ),
      'Tools &amp; Targets_Guideline'!$C$53:$I$53,
      0
    )
  ),
0))</f>
        <v/>
      </c>
      <c r="AH386" s="102" t="str">
        <f>IF(A386&lt;&gt;"",COUNTIFS('QA Log'!D:D,A386,'QA Log'!M:M,"QQC",'QA Log'!L:L,"2. Hygiene and Sterilization",'QA Log'!Z:Z,"Approved"),"")</f>
        <v/>
      </c>
      <c r="AI386" s="102"/>
      <c r="AJ386" s="102"/>
      <c r="AK386" s="103" t="str">
        <f t="shared" si="17"/>
        <v/>
      </c>
      <c r="AL386" s="102"/>
      <c r="AM386" s="102"/>
      <c r="AN386" s="102"/>
      <c r="AO386" s="106"/>
      <c r="AP386" s="103"/>
      <c r="AQ386" s="102"/>
      <c r="AR386" s="102"/>
      <c r="AS386" s="102"/>
      <c r="AT386" s="107"/>
      <c r="AU386" s="102" t="str">
        <f t="shared" si="18"/>
        <v/>
      </c>
      <c r="AV386" s="102" t="str">
        <f t="shared" si="19"/>
        <v/>
      </c>
      <c r="AW386" s="102" t="str">
        <f t="shared" si="20"/>
        <v/>
      </c>
      <c r="AX386" s="102" t="str">
        <f t="shared" si="21"/>
        <v/>
      </c>
      <c r="AY386" s="107" t="str">
        <f t="shared" si="22"/>
        <v/>
      </c>
      <c r="AZ386" s="108" t="str">
        <f t="shared" si="23"/>
        <v/>
      </c>
      <c r="BA386" s="108" t="str">
        <f t="shared" si="24"/>
        <v/>
      </c>
      <c r="BB386" s="109" t="str">
        <f t="shared" si="25"/>
        <v/>
      </c>
      <c r="BC386" s="108" t="str">
        <f t="shared" si="26"/>
        <v/>
      </c>
      <c r="BD386" s="108" t="str">
        <f t="shared" si="27"/>
        <v/>
      </c>
      <c r="BE386" s="109" t="str">
        <f t="shared" si="28"/>
        <v/>
      </c>
      <c r="BF386" s="110" t="str">
        <f t="shared" si="29"/>
        <v/>
      </c>
      <c r="BG386" s="111"/>
    </row>
    <row r="387" spans="1:59" ht="12.75">
      <c r="A387" s="101"/>
      <c r="B387" s="102"/>
      <c r="C387" s="102" t="e">
        <f t="array" aca="1" ref="C387" ca="1">_xludf.XLOOKUP(A387,'QA Log'!D:D,'QA Log'!F:F,"")</f>
        <v>#NAME?</v>
      </c>
      <c r="D387" s="102"/>
      <c r="E387" s="102" t="e">
        <f t="array" aca="1" ref="E387" ca="1">_xludf.XLOOKUP(A387,'QA Log'!D:D,'QA Log'!G:G,"")</f>
        <v>#NAME?</v>
      </c>
      <c r="F387" s="103"/>
      <c r="G387" s="104"/>
      <c r="H387" s="104"/>
      <c r="I387" s="103" t="str">
        <f t="shared" si="15"/>
        <v/>
      </c>
      <c r="J387" s="102"/>
      <c r="K387" s="102"/>
      <c r="L387" s="119" t="str">
        <f t="array" ref="L387">IF(OR($B387="",$D387=""),"",
IFERROR(
  INDEX(
    'Tools &amp; Targets_Guideline'!$C$54:$I$269,
    MATCH(
      1,
      ('Tools &amp; Targets_Guideline'!$A$54:$A$269=$B387)*
      ('Tools &amp; Targets_Guideline'!$B$54:$B$269="ANC"),
      0
    ),
    MATCH(
      _xludf.IFNA(
        VLOOKUP($D387,{"PH","Provincial Hospital (H2)";"DH","District Hospital (H3)";"RH","Regional / National Hospital (H1)"},2,0),
        $D387
      ),
      'Tools &amp; Targets_Guideline'!$C$53:$I$53,
      0
    )
  ),
0))</f>
        <v/>
      </c>
      <c r="M387" s="102"/>
      <c r="N387" s="119" t="str">
        <f t="array" ref="N387">IF(OR($B387="",$D387=""),"",
IFERROR(
  INDEX(
    'Tools &amp; Targets_Guideline'!$C$54:$I$269,
    MATCH(
      1,
      ('Tools &amp; Targets_Guideline'!$A$54:$A$269=$B387)*
      ('Tools &amp; Targets_Guideline'!$B$54:$B$269="PNC"),
      0
    ),
    MATCH(
      _xludf.IFNA(
        VLOOKUP($D387,{"PH","Provincial Hospital (H2)";"DH","District Hospital (H3)";"RH","Regional / National Hospital (H1)"},2,0),
        $D387
      ),
      'Tools &amp; Targets_Guideline'!$C$53:$I$53,
      0
    )
  ),
0))</f>
        <v/>
      </c>
      <c r="O387" s="102"/>
      <c r="P387" s="119" t="str">
        <f t="array" ref="P387">IF(OR($B387="",$D387=""),"",
IFERROR(
  INDEX(
    'Tools &amp; Targets_Guideline'!$C$54:$I$269,
    MATCH(
      1,
      ('Tools &amp; Targets_Guideline'!$A$54:$A$269=$B387)*
      ('Tools &amp; Targets_Guideline'!$B$54:$B$269="Delivery"),
      0
    ),
    MATCH(
      _xludf.IFNA(
        VLOOKUP($D387,{"PH","Provincial Hospital (H2)";"DH","District Hospital (H3)";"RH","Regional / National Hospital (H1)"},2,0),
        $D387
      ),
      'Tools &amp; Targets_Guideline'!$C$53:$I$53,
      0
    )
  ),
0))</f>
        <v/>
      </c>
      <c r="Q387" s="102"/>
      <c r="R387" s="119" t="str">
        <f t="array" ref="R387">IF(OR($B387="",$D387=""),"",
IFERROR(
  INDEX(
    'Tools &amp; Targets_Guideline'!$C$54:$I$269,
    MATCH(
      1,
      ('Tools &amp; Targets_Guideline'!$A$54:$A$269=$B387)*
      ('Tools &amp; Targets_Guideline'!$B$54:$B$269="TT"),
      0
    ),
    MATCH(
      _xludf.IFNA(
        VLOOKUP($D387,{"PH","Provincial Hospital (H2)";"DH","District Hospital (H3)";"RH","Regional / National Hospital (H1)"},2,0),
        $D387
      ),
      'Tools &amp; Targets_Guideline'!$C$53:$I$53,
      0
    )
  ),
0))</f>
        <v/>
      </c>
      <c r="S387" s="102"/>
      <c r="T387" s="102"/>
      <c r="U387" s="106"/>
      <c r="V387" s="102" t="str">
        <f t="shared" si="16"/>
        <v/>
      </c>
      <c r="W387" s="102"/>
      <c r="X387" s="102"/>
      <c r="Y387" s="119" t="str">
        <f t="array" ref="Y387">IF(OR($B387="",$D387=""),"",
IFERROR(
  INDEX(
    'Tools &amp; Targets_Guideline'!$C$54:$I$269,
    MATCH(
      1,
      ('Tools &amp; Targets_Guideline'!$A$54:$A$269=$B387)*
      ('Tools &amp; Targets_Guideline'!$B$54:$B$269="GM"),
      0
    ),
    MATCH(
      _xludf.IFNA(
        VLOOKUP($D387,{"PH","Provincial Hospital (H2)";"DH","District Hospital (H3)";"RH","Regional / National Hospital (H1)"},2,0),
        $D387
      ),
      'Tools &amp; Targets_Guideline'!$C$53:$I$53,
      0
    )
  ),
0))</f>
        <v/>
      </c>
      <c r="Z387" s="102"/>
      <c r="AA387" s="119" t="str">
        <f t="array" ref="AA387">IF(OR($B387="",$D387=""),"",
IFERROR(
  INDEX(
    'Tools &amp; Targets_Guideline'!$C$54:$I$269,
    MATCH(
      1,
      ('Tools &amp; Targets_Guideline'!$A$54:$A$269=$B387)*
      ('Tools &amp; Targets_Guideline'!$B$54:$B$269="Penta"),
      0
    ),
    MATCH(
      _xludf.IFNA(
        VLOOKUP($D387,{"PH","Provincial Hospital (H2)";"DH","District Hospital (H3)";"RH","Regional / National Hospital (H1)"},2,0),
        $D387
      ),
      'Tools &amp; Targets_Guideline'!$C$53:$I$53,
      0
    )
  ),
0))</f>
        <v/>
      </c>
      <c r="AB387" s="102"/>
      <c r="AC387" s="119" t="str">
        <f t="array" ref="AC387">IF(OR($B387="",$D387=""),"",
IFERROR(
  INDEX(
    'Tools &amp; Targets_Guideline'!$C$54:$I$269,
    MATCH(
      1,
      ('Tools &amp; Targets_Guideline'!$A$54:$A$269=$B387)*
      ('Tools &amp; Targets_Guideline'!$B$54:$B$269="TB"),
      0
    ),
    MATCH(
      _xludf.IFNA(
        VLOOKUP($D387,{"PH","Provincial Hospital (H2)";"DH","District Hospital (H3)";"RH","Regional / National Hospital (H1)"},2,0),
        $D387
      ),
      'Tools &amp; Targets_Guideline'!$C$53:$I$53,
      0
    )
  ),
0))</f>
        <v/>
      </c>
      <c r="AD387" s="102"/>
      <c r="AE387" s="119" t="str">
        <f t="array" ref="AE387">IF(OR($B387="",$D387=""),"",
IFERROR(
  INDEX(
    'Tools &amp; Targets_Guideline'!$C$54:$I$269,
    MATCH(
      1,
      ('Tools &amp; Targets_Guideline'!$A$54:$A$269=$B387)*
      ('Tools &amp; Targets_Guideline'!$B$54:$B$269="U5 Morbidity"),
      0
    ),
    MATCH(
      _xludf.IFNA(
        VLOOKUP($D387,{"PH","Provincial Hospital (H2)";"DH","District Hospital (H3)";"RH","Regional / National Hospital (H1)"},2,0),
        $D387
      ),
      'Tools &amp; Targets_Guideline'!$C$53:$I$53,
      0
    )
  ),
0))</f>
        <v/>
      </c>
      <c r="AF387" s="102"/>
      <c r="AG387" s="119" t="str">
        <f t="array" ref="AG387">IF(OR($B387="",$D387=""),"",
IFERROR(
  INDEX(
    'Tools &amp; Targets_Guideline'!$C$54:$I$269,
    MATCH(
      1,
      ('Tools &amp; Targets_Guideline'!$A$54:$A$269=$B387)*
      ('Tools &amp; Targets_Guideline'!$B$54:$B$269="C-Section"),
      0
    ),
    MATCH(
      _xludf.IFNA(
        VLOOKUP($D387,{"PH","Provincial Hospital (H2)";"DH","District Hospital (H3)";"RH","Regional / National Hospital (H1)"},2,0),
        $D387
      ),
      'Tools &amp; Targets_Guideline'!$C$53:$I$53,
      0
    )
  ),
0))</f>
        <v/>
      </c>
      <c r="AH387" s="102" t="str">
        <f>IF(A387&lt;&gt;"",COUNTIFS('QA Log'!D:D,A387,'QA Log'!M:M,"QQC",'QA Log'!L:L,"2. Hygiene and Sterilization",'QA Log'!Z:Z,"Approved"),"")</f>
        <v/>
      </c>
      <c r="AI387" s="102"/>
      <c r="AJ387" s="102"/>
      <c r="AK387" s="103" t="str">
        <f t="shared" si="17"/>
        <v/>
      </c>
      <c r="AL387" s="102"/>
      <c r="AM387" s="102"/>
      <c r="AN387" s="102"/>
      <c r="AO387" s="106"/>
      <c r="AP387" s="103"/>
      <c r="AQ387" s="102"/>
      <c r="AR387" s="102"/>
      <c r="AS387" s="102"/>
      <c r="AT387" s="107"/>
      <c r="AU387" s="102" t="str">
        <f t="shared" si="18"/>
        <v/>
      </c>
      <c r="AV387" s="102" t="str">
        <f t="shared" si="19"/>
        <v/>
      </c>
      <c r="AW387" s="102" t="str">
        <f t="shared" si="20"/>
        <v/>
      </c>
      <c r="AX387" s="102" t="str">
        <f t="shared" si="21"/>
        <v/>
      </c>
      <c r="AY387" s="107" t="str">
        <f t="shared" si="22"/>
        <v/>
      </c>
      <c r="AZ387" s="108" t="str">
        <f t="shared" si="23"/>
        <v/>
      </c>
      <c r="BA387" s="108" t="str">
        <f t="shared" si="24"/>
        <v/>
      </c>
      <c r="BB387" s="109" t="str">
        <f t="shared" si="25"/>
        <v/>
      </c>
      <c r="BC387" s="108" t="str">
        <f t="shared" si="26"/>
        <v/>
      </c>
      <c r="BD387" s="108" t="str">
        <f t="shared" si="27"/>
        <v/>
      </c>
      <c r="BE387" s="109" t="str">
        <f t="shared" si="28"/>
        <v/>
      </c>
      <c r="BF387" s="110" t="str">
        <f t="shared" si="29"/>
        <v/>
      </c>
      <c r="BG387" s="111"/>
    </row>
    <row r="388" spans="1:59" ht="12.75">
      <c r="A388" s="101"/>
      <c r="B388" s="102"/>
      <c r="C388" s="102" t="e">
        <f t="array" aca="1" ref="C388" ca="1">_xludf.XLOOKUP(A388,'QA Log'!D:D,'QA Log'!F:F,"")</f>
        <v>#NAME?</v>
      </c>
      <c r="D388" s="102"/>
      <c r="E388" s="102" t="e">
        <f t="array" aca="1" ref="E388" ca="1">_xludf.XLOOKUP(A388,'QA Log'!D:D,'QA Log'!G:G,"")</f>
        <v>#NAME?</v>
      </c>
      <c r="F388" s="103"/>
      <c r="G388" s="104"/>
      <c r="H388" s="104"/>
      <c r="I388" s="103" t="str">
        <f t="shared" si="15"/>
        <v/>
      </c>
      <c r="J388" s="102"/>
      <c r="K388" s="102"/>
      <c r="L388" s="119" t="str">
        <f t="array" ref="L388">IF(OR($B388="",$D388=""),"",
IFERROR(
  INDEX(
    'Tools &amp; Targets_Guideline'!$C$54:$I$269,
    MATCH(
      1,
      ('Tools &amp; Targets_Guideline'!$A$54:$A$269=$B388)*
      ('Tools &amp; Targets_Guideline'!$B$54:$B$269="ANC"),
      0
    ),
    MATCH(
      _xludf.IFNA(
        VLOOKUP($D388,{"PH","Provincial Hospital (H2)";"DH","District Hospital (H3)";"RH","Regional / National Hospital (H1)"},2,0),
        $D388
      ),
      'Tools &amp; Targets_Guideline'!$C$53:$I$53,
      0
    )
  ),
0))</f>
        <v/>
      </c>
      <c r="M388" s="102"/>
      <c r="N388" s="119" t="str">
        <f t="array" ref="N388">IF(OR($B388="",$D388=""),"",
IFERROR(
  INDEX(
    'Tools &amp; Targets_Guideline'!$C$54:$I$269,
    MATCH(
      1,
      ('Tools &amp; Targets_Guideline'!$A$54:$A$269=$B388)*
      ('Tools &amp; Targets_Guideline'!$B$54:$B$269="PNC"),
      0
    ),
    MATCH(
      _xludf.IFNA(
        VLOOKUP($D388,{"PH","Provincial Hospital (H2)";"DH","District Hospital (H3)";"RH","Regional / National Hospital (H1)"},2,0),
        $D388
      ),
      'Tools &amp; Targets_Guideline'!$C$53:$I$53,
      0
    )
  ),
0))</f>
        <v/>
      </c>
      <c r="O388" s="102"/>
      <c r="P388" s="119" t="str">
        <f t="array" ref="P388">IF(OR($B388="",$D388=""),"",
IFERROR(
  INDEX(
    'Tools &amp; Targets_Guideline'!$C$54:$I$269,
    MATCH(
      1,
      ('Tools &amp; Targets_Guideline'!$A$54:$A$269=$B388)*
      ('Tools &amp; Targets_Guideline'!$B$54:$B$269="Delivery"),
      0
    ),
    MATCH(
      _xludf.IFNA(
        VLOOKUP($D388,{"PH","Provincial Hospital (H2)";"DH","District Hospital (H3)";"RH","Regional / National Hospital (H1)"},2,0),
        $D388
      ),
      'Tools &amp; Targets_Guideline'!$C$53:$I$53,
      0
    )
  ),
0))</f>
        <v/>
      </c>
      <c r="Q388" s="102"/>
      <c r="R388" s="119" t="str">
        <f t="array" ref="R388">IF(OR($B388="",$D388=""),"",
IFERROR(
  INDEX(
    'Tools &amp; Targets_Guideline'!$C$54:$I$269,
    MATCH(
      1,
      ('Tools &amp; Targets_Guideline'!$A$54:$A$269=$B388)*
      ('Tools &amp; Targets_Guideline'!$B$54:$B$269="TT"),
      0
    ),
    MATCH(
      _xludf.IFNA(
        VLOOKUP($D388,{"PH","Provincial Hospital (H2)";"DH","District Hospital (H3)";"RH","Regional / National Hospital (H1)"},2,0),
        $D388
      ),
      'Tools &amp; Targets_Guideline'!$C$53:$I$53,
      0
    )
  ),
0))</f>
        <v/>
      </c>
      <c r="S388" s="102"/>
      <c r="T388" s="102"/>
      <c r="U388" s="106"/>
      <c r="V388" s="102" t="str">
        <f t="shared" si="16"/>
        <v/>
      </c>
      <c r="W388" s="102"/>
      <c r="X388" s="102"/>
      <c r="Y388" s="119" t="str">
        <f t="array" ref="Y388">IF(OR($B388="",$D388=""),"",
IFERROR(
  INDEX(
    'Tools &amp; Targets_Guideline'!$C$54:$I$269,
    MATCH(
      1,
      ('Tools &amp; Targets_Guideline'!$A$54:$A$269=$B388)*
      ('Tools &amp; Targets_Guideline'!$B$54:$B$269="GM"),
      0
    ),
    MATCH(
      _xludf.IFNA(
        VLOOKUP($D388,{"PH","Provincial Hospital (H2)";"DH","District Hospital (H3)";"RH","Regional / National Hospital (H1)"},2,0),
        $D388
      ),
      'Tools &amp; Targets_Guideline'!$C$53:$I$53,
      0
    )
  ),
0))</f>
        <v/>
      </c>
      <c r="Z388" s="102"/>
      <c r="AA388" s="119" t="str">
        <f t="array" ref="AA388">IF(OR($B388="",$D388=""),"",
IFERROR(
  INDEX(
    'Tools &amp; Targets_Guideline'!$C$54:$I$269,
    MATCH(
      1,
      ('Tools &amp; Targets_Guideline'!$A$54:$A$269=$B388)*
      ('Tools &amp; Targets_Guideline'!$B$54:$B$269="Penta"),
      0
    ),
    MATCH(
      _xludf.IFNA(
        VLOOKUP($D388,{"PH","Provincial Hospital (H2)";"DH","District Hospital (H3)";"RH","Regional / National Hospital (H1)"},2,0),
        $D388
      ),
      'Tools &amp; Targets_Guideline'!$C$53:$I$53,
      0
    )
  ),
0))</f>
        <v/>
      </c>
      <c r="AB388" s="102"/>
      <c r="AC388" s="119" t="str">
        <f t="array" ref="AC388">IF(OR($B388="",$D388=""),"",
IFERROR(
  INDEX(
    'Tools &amp; Targets_Guideline'!$C$54:$I$269,
    MATCH(
      1,
      ('Tools &amp; Targets_Guideline'!$A$54:$A$269=$B388)*
      ('Tools &amp; Targets_Guideline'!$B$54:$B$269="TB"),
      0
    ),
    MATCH(
      _xludf.IFNA(
        VLOOKUP($D388,{"PH","Provincial Hospital (H2)";"DH","District Hospital (H3)";"RH","Regional / National Hospital (H1)"},2,0),
        $D388
      ),
      'Tools &amp; Targets_Guideline'!$C$53:$I$53,
      0
    )
  ),
0))</f>
        <v/>
      </c>
      <c r="AD388" s="102"/>
      <c r="AE388" s="119" t="str">
        <f t="array" ref="AE388">IF(OR($B388="",$D388=""),"",
IFERROR(
  INDEX(
    'Tools &amp; Targets_Guideline'!$C$54:$I$269,
    MATCH(
      1,
      ('Tools &amp; Targets_Guideline'!$A$54:$A$269=$B388)*
      ('Tools &amp; Targets_Guideline'!$B$54:$B$269="U5 Morbidity"),
      0
    ),
    MATCH(
      _xludf.IFNA(
        VLOOKUP($D388,{"PH","Provincial Hospital (H2)";"DH","District Hospital (H3)";"RH","Regional / National Hospital (H1)"},2,0),
        $D388
      ),
      'Tools &amp; Targets_Guideline'!$C$53:$I$53,
      0
    )
  ),
0))</f>
        <v/>
      </c>
      <c r="AF388" s="102"/>
      <c r="AG388" s="119" t="str">
        <f t="array" ref="AG388">IF(OR($B388="",$D388=""),"",
IFERROR(
  INDEX(
    'Tools &amp; Targets_Guideline'!$C$54:$I$269,
    MATCH(
      1,
      ('Tools &amp; Targets_Guideline'!$A$54:$A$269=$B388)*
      ('Tools &amp; Targets_Guideline'!$B$54:$B$269="C-Section"),
      0
    ),
    MATCH(
      _xludf.IFNA(
        VLOOKUP($D388,{"PH","Provincial Hospital (H2)";"DH","District Hospital (H3)";"RH","Regional / National Hospital (H1)"},2,0),
        $D388
      ),
      'Tools &amp; Targets_Guideline'!$C$53:$I$53,
      0
    )
  ),
0))</f>
        <v/>
      </c>
      <c r="AH388" s="102" t="str">
        <f>IF(A388&lt;&gt;"",COUNTIFS('QA Log'!D:D,A388,'QA Log'!M:M,"QQC",'QA Log'!L:L,"2. Hygiene and Sterilization",'QA Log'!Z:Z,"Approved"),"")</f>
        <v/>
      </c>
      <c r="AI388" s="102"/>
      <c r="AJ388" s="102"/>
      <c r="AK388" s="103" t="str">
        <f t="shared" si="17"/>
        <v/>
      </c>
      <c r="AL388" s="102"/>
      <c r="AM388" s="102"/>
      <c r="AN388" s="102"/>
      <c r="AO388" s="106"/>
      <c r="AP388" s="103"/>
      <c r="AQ388" s="102"/>
      <c r="AR388" s="102"/>
      <c r="AS388" s="102"/>
      <c r="AT388" s="107"/>
      <c r="AU388" s="102" t="str">
        <f t="shared" si="18"/>
        <v/>
      </c>
      <c r="AV388" s="102" t="str">
        <f t="shared" si="19"/>
        <v/>
      </c>
      <c r="AW388" s="102" t="str">
        <f t="shared" si="20"/>
        <v/>
      </c>
      <c r="AX388" s="102" t="str">
        <f t="shared" si="21"/>
        <v/>
      </c>
      <c r="AY388" s="107" t="str">
        <f t="shared" si="22"/>
        <v/>
      </c>
      <c r="AZ388" s="108" t="str">
        <f t="shared" si="23"/>
        <v/>
      </c>
      <c r="BA388" s="108" t="str">
        <f t="shared" si="24"/>
        <v/>
      </c>
      <c r="BB388" s="109" t="str">
        <f t="shared" si="25"/>
        <v/>
      </c>
      <c r="BC388" s="108" t="str">
        <f t="shared" si="26"/>
        <v/>
      </c>
      <c r="BD388" s="108" t="str">
        <f t="shared" si="27"/>
        <v/>
      </c>
      <c r="BE388" s="109" t="str">
        <f t="shared" si="28"/>
        <v/>
      </c>
      <c r="BF388" s="110" t="str">
        <f t="shared" si="29"/>
        <v/>
      </c>
      <c r="BG388" s="111"/>
    </row>
    <row r="389" spans="1:59" ht="12.75">
      <c r="A389" s="101"/>
      <c r="B389" s="102"/>
      <c r="C389" s="102" t="e">
        <f t="array" aca="1" ref="C389" ca="1">_xludf.XLOOKUP(A389,'QA Log'!D:D,'QA Log'!F:F,"")</f>
        <v>#NAME?</v>
      </c>
      <c r="D389" s="102"/>
      <c r="E389" s="102" t="e">
        <f t="array" aca="1" ref="E389" ca="1">_xludf.XLOOKUP(A389,'QA Log'!D:D,'QA Log'!G:G,"")</f>
        <v>#NAME?</v>
      </c>
      <c r="F389" s="103"/>
      <c r="G389" s="104"/>
      <c r="H389" s="104"/>
      <c r="I389" s="103" t="str">
        <f t="shared" si="15"/>
        <v/>
      </c>
      <c r="J389" s="102"/>
      <c r="K389" s="102"/>
      <c r="L389" s="119" t="str">
        <f t="array" ref="L389">IF(OR($B389="",$D389=""),"",
IFERROR(
  INDEX(
    'Tools &amp; Targets_Guideline'!$C$54:$I$269,
    MATCH(
      1,
      ('Tools &amp; Targets_Guideline'!$A$54:$A$269=$B389)*
      ('Tools &amp; Targets_Guideline'!$B$54:$B$269="ANC"),
      0
    ),
    MATCH(
      _xludf.IFNA(
        VLOOKUP($D389,{"PH","Provincial Hospital (H2)";"DH","District Hospital (H3)";"RH","Regional / National Hospital (H1)"},2,0),
        $D389
      ),
      'Tools &amp; Targets_Guideline'!$C$53:$I$53,
      0
    )
  ),
0))</f>
        <v/>
      </c>
      <c r="M389" s="102"/>
      <c r="N389" s="119" t="str">
        <f t="array" ref="N389">IF(OR($B389="",$D389=""),"",
IFERROR(
  INDEX(
    'Tools &amp; Targets_Guideline'!$C$54:$I$269,
    MATCH(
      1,
      ('Tools &amp; Targets_Guideline'!$A$54:$A$269=$B389)*
      ('Tools &amp; Targets_Guideline'!$B$54:$B$269="PNC"),
      0
    ),
    MATCH(
      _xludf.IFNA(
        VLOOKUP($D389,{"PH","Provincial Hospital (H2)";"DH","District Hospital (H3)";"RH","Regional / National Hospital (H1)"},2,0),
        $D389
      ),
      'Tools &amp; Targets_Guideline'!$C$53:$I$53,
      0
    )
  ),
0))</f>
        <v/>
      </c>
      <c r="O389" s="102"/>
      <c r="P389" s="119" t="str">
        <f t="array" ref="P389">IF(OR($B389="",$D389=""),"",
IFERROR(
  INDEX(
    'Tools &amp; Targets_Guideline'!$C$54:$I$269,
    MATCH(
      1,
      ('Tools &amp; Targets_Guideline'!$A$54:$A$269=$B389)*
      ('Tools &amp; Targets_Guideline'!$B$54:$B$269="Delivery"),
      0
    ),
    MATCH(
      _xludf.IFNA(
        VLOOKUP($D389,{"PH","Provincial Hospital (H2)";"DH","District Hospital (H3)";"RH","Regional / National Hospital (H1)"},2,0),
        $D389
      ),
      'Tools &amp; Targets_Guideline'!$C$53:$I$53,
      0
    )
  ),
0))</f>
        <v/>
      </c>
      <c r="Q389" s="102"/>
      <c r="R389" s="119" t="str">
        <f t="array" ref="R389">IF(OR($B389="",$D389=""),"",
IFERROR(
  INDEX(
    'Tools &amp; Targets_Guideline'!$C$54:$I$269,
    MATCH(
      1,
      ('Tools &amp; Targets_Guideline'!$A$54:$A$269=$B389)*
      ('Tools &amp; Targets_Guideline'!$B$54:$B$269="TT"),
      0
    ),
    MATCH(
      _xludf.IFNA(
        VLOOKUP($D389,{"PH","Provincial Hospital (H2)";"DH","District Hospital (H3)";"RH","Regional / National Hospital (H1)"},2,0),
        $D389
      ),
      'Tools &amp; Targets_Guideline'!$C$53:$I$53,
      0
    )
  ),
0))</f>
        <v/>
      </c>
      <c r="S389" s="102"/>
      <c r="T389" s="102"/>
      <c r="U389" s="106"/>
      <c r="V389" s="102" t="str">
        <f t="shared" si="16"/>
        <v/>
      </c>
      <c r="W389" s="102"/>
      <c r="X389" s="102"/>
      <c r="Y389" s="119" t="str">
        <f t="array" ref="Y389">IF(OR($B389="",$D389=""),"",
IFERROR(
  INDEX(
    'Tools &amp; Targets_Guideline'!$C$54:$I$269,
    MATCH(
      1,
      ('Tools &amp; Targets_Guideline'!$A$54:$A$269=$B389)*
      ('Tools &amp; Targets_Guideline'!$B$54:$B$269="GM"),
      0
    ),
    MATCH(
      _xludf.IFNA(
        VLOOKUP($D389,{"PH","Provincial Hospital (H2)";"DH","District Hospital (H3)";"RH","Regional / National Hospital (H1)"},2,0),
        $D389
      ),
      'Tools &amp; Targets_Guideline'!$C$53:$I$53,
      0
    )
  ),
0))</f>
        <v/>
      </c>
      <c r="Z389" s="102"/>
      <c r="AA389" s="119" t="str">
        <f t="array" ref="AA389">IF(OR($B389="",$D389=""),"",
IFERROR(
  INDEX(
    'Tools &amp; Targets_Guideline'!$C$54:$I$269,
    MATCH(
      1,
      ('Tools &amp; Targets_Guideline'!$A$54:$A$269=$B389)*
      ('Tools &amp; Targets_Guideline'!$B$54:$B$269="Penta"),
      0
    ),
    MATCH(
      _xludf.IFNA(
        VLOOKUP($D389,{"PH","Provincial Hospital (H2)";"DH","District Hospital (H3)";"RH","Regional / National Hospital (H1)"},2,0),
        $D389
      ),
      'Tools &amp; Targets_Guideline'!$C$53:$I$53,
      0
    )
  ),
0))</f>
        <v/>
      </c>
      <c r="AB389" s="102"/>
      <c r="AC389" s="119" t="str">
        <f t="array" ref="AC389">IF(OR($B389="",$D389=""),"",
IFERROR(
  INDEX(
    'Tools &amp; Targets_Guideline'!$C$54:$I$269,
    MATCH(
      1,
      ('Tools &amp; Targets_Guideline'!$A$54:$A$269=$B389)*
      ('Tools &amp; Targets_Guideline'!$B$54:$B$269="TB"),
      0
    ),
    MATCH(
      _xludf.IFNA(
        VLOOKUP($D389,{"PH","Provincial Hospital (H2)";"DH","District Hospital (H3)";"RH","Regional / National Hospital (H1)"},2,0),
        $D389
      ),
      'Tools &amp; Targets_Guideline'!$C$53:$I$53,
      0
    )
  ),
0))</f>
        <v/>
      </c>
      <c r="AD389" s="102"/>
      <c r="AE389" s="119" t="str">
        <f t="array" ref="AE389">IF(OR($B389="",$D389=""),"",
IFERROR(
  INDEX(
    'Tools &amp; Targets_Guideline'!$C$54:$I$269,
    MATCH(
      1,
      ('Tools &amp; Targets_Guideline'!$A$54:$A$269=$B389)*
      ('Tools &amp; Targets_Guideline'!$B$54:$B$269="U5 Morbidity"),
      0
    ),
    MATCH(
      _xludf.IFNA(
        VLOOKUP($D389,{"PH","Provincial Hospital (H2)";"DH","District Hospital (H3)";"RH","Regional / National Hospital (H1)"},2,0),
        $D389
      ),
      'Tools &amp; Targets_Guideline'!$C$53:$I$53,
      0
    )
  ),
0))</f>
        <v/>
      </c>
      <c r="AF389" s="102"/>
      <c r="AG389" s="119" t="str">
        <f t="array" ref="AG389">IF(OR($B389="",$D389=""),"",
IFERROR(
  INDEX(
    'Tools &amp; Targets_Guideline'!$C$54:$I$269,
    MATCH(
      1,
      ('Tools &amp; Targets_Guideline'!$A$54:$A$269=$B389)*
      ('Tools &amp; Targets_Guideline'!$B$54:$B$269="C-Section"),
      0
    ),
    MATCH(
      _xludf.IFNA(
        VLOOKUP($D389,{"PH","Provincial Hospital (H2)";"DH","District Hospital (H3)";"RH","Regional / National Hospital (H1)"},2,0),
        $D389
      ),
      'Tools &amp; Targets_Guideline'!$C$53:$I$53,
      0
    )
  ),
0))</f>
        <v/>
      </c>
      <c r="AH389" s="102" t="str">
        <f>IF(A389&lt;&gt;"",COUNTIFS('QA Log'!D:D,A389,'QA Log'!M:M,"QQC",'QA Log'!L:L,"2. Hygiene and Sterilization",'QA Log'!Z:Z,"Approved"),"")</f>
        <v/>
      </c>
      <c r="AI389" s="102"/>
      <c r="AJ389" s="102"/>
      <c r="AK389" s="103" t="str">
        <f t="shared" si="17"/>
        <v/>
      </c>
      <c r="AL389" s="102"/>
      <c r="AM389" s="102"/>
      <c r="AN389" s="102"/>
      <c r="AO389" s="106"/>
      <c r="AP389" s="103"/>
      <c r="AQ389" s="102"/>
      <c r="AR389" s="102"/>
      <c r="AS389" s="102"/>
      <c r="AT389" s="107"/>
      <c r="AU389" s="102" t="str">
        <f t="shared" si="18"/>
        <v/>
      </c>
      <c r="AV389" s="102" t="str">
        <f t="shared" si="19"/>
        <v/>
      </c>
      <c r="AW389" s="102" t="str">
        <f t="shared" si="20"/>
        <v/>
      </c>
      <c r="AX389" s="102" t="str">
        <f t="shared" si="21"/>
        <v/>
      </c>
      <c r="AY389" s="107" t="str">
        <f t="shared" si="22"/>
        <v/>
      </c>
      <c r="AZ389" s="108" t="str">
        <f t="shared" si="23"/>
        <v/>
      </c>
      <c r="BA389" s="108" t="str">
        <f t="shared" si="24"/>
        <v/>
      </c>
      <c r="BB389" s="109" t="str">
        <f t="shared" si="25"/>
        <v/>
      </c>
      <c r="BC389" s="108" t="str">
        <f t="shared" si="26"/>
        <v/>
      </c>
      <c r="BD389" s="108" t="str">
        <f t="shared" si="27"/>
        <v/>
      </c>
      <c r="BE389" s="109" t="str">
        <f t="shared" si="28"/>
        <v/>
      </c>
      <c r="BF389" s="110" t="str">
        <f t="shared" si="29"/>
        <v/>
      </c>
      <c r="BG389" s="111"/>
    </row>
    <row r="390" spans="1:59" ht="12.75">
      <c r="A390" s="101"/>
      <c r="B390" s="102"/>
      <c r="C390" s="102" t="e">
        <f t="array" aca="1" ref="C390" ca="1">_xludf.XLOOKUP(A390,'QA Log'!D:D,'QA Log'!F:F,"")</f>
        <v>#NAME?</v>
      </c>
      <c r="D390" s="102"/>
      <c r="E390" s="102" t="e">
        <f t="array" aca="1" ref="E390" ca="1">_xludf.XLOOKUP(A390,'QA Log'!D:D,'QA Log'!G:G,"")</f>
        <v>#NAME?</v>
      </c>
      <c r="F390" s="103"/>
      <c r="G390" s="104"/>
      <c r="H390" s="104"/>
      <c r="I390" s="103" t="str">
        <f t="shared" si="15"/>
        <v/>
      </c>
      <c r="J390" s="102"/>
      <c r="K390" s="102"/>
      <c r="L390" s="119" t="str">
        <f t="array" ref="L390">IF(OR($B390="",$D390=""),"",
IFERROR(
  INDEX(
    'Tools &amp; Targets_Guideline'!$C$54:$I$269,
    MATCH(
      1,
      ('Tools &amp; Targets_Guideline'!$A$54:$A$269=$B390)*
      ('Tools &amp; Targets_Guideline'!$B$54:$B$269="ANC"),
      0
    ),
    MATCH(
      _xludf.IFNA(
        VLOOKUP($D390,{"PH","Provincial Hospital (H2)";"DH","District Hospital (H3)";"RH","Regional / National Hospital (H1)"},2,0),
        $D390
      ),
      'Tools &amp; Targets_Guideline'!$C$53:$I$53,
      0
    )
  ),
0))</f>
        <v/>
      </c>
      <c r="M390" s="102"/>
      <c r="N390" s="119" t="str">
        <f t="array" ref="N390">IF(OR($B390="",$D390=""),"",
IFERROR(
  INDEX(
    'Tools &amp; Targets_Guideline'!$C$54:$I$269,
    MATCH(
      1,
      ('Tools &amp; Targets_Guideline'!$A$54:$A$269=$B390)*
      ('Tools &amp; Targets_Guideline'!$B$54:$B$269="PNC"),
      0
    ),
    MATCH(
      _xludf.IFNA(
        VLOOKUP($D390,{"PH","Provincial Hospital (H2)";"DH","District Hospital (H3)";"RH","Regional / National Hospital (H1)"},2,0),
        $D390
      ),
      'Tools &amp; Targets_Guideline'!$C$53:$I$53,
      0
    )
  ),
0))</f>
        <v/>
      </c>
      <c r="O390" s="102"/>
      <c r="P390" s="119" t="str">
        <f t="array" ref="P390">IF(OR($B390="",$D390=""),"",
IFERROR(
  INDEX(
    'Tools &amp; Targets_Guideline'!$C$54:$I$269,
    MATCH(
      1,
      ('Tools &amp; Targets_Guideline'!$A$54:$A$269=$B390)*
      ('Tools &amp; Targets_Guideline'!$B$54:$B$269="Delivery"),
      0
    ),
    MATCH(
      _xludf.IFNA(
        VLOOKUP($D390,{"PH","Provincial Hospital (H2)";"DH","District Hospital (H3)";"RH","Regional / National Hospital (H1)"},2,0),
        $D390
      ),
      'Tools &amp; Targets_Guideline'!$C$53:$I$53,
      0
    )
  ),
0))</f>
        <v/>
      </c>
      <c r="Q390" s="102"/>
      <c r="R390" s="119" t="str">
        <f t="array" ref="R390">IF(OR($B390="",$D390=""),"",
IFERROR(
  INDEX(
    'Tools &amp; Targets_Guideline'!$C$54:$I$269,
    MATCH(
      1,
      ('Tools &amp; Targets_Guideline'!$A$54:$A$269=$B390)*
      ('Tools &amp; Targets_Guideline'!$B$54:$B$269="TT"),
      0
    ),
    MATCH(
      _xludf.IFNA(
        VLOOKUP($D390,{"PH","Provincial Hospital (H2)";"DH","District Hospital (H3)";"RH","Regional / National Hospital (H1)"},2,0),
        $D390
      ),
      'Tools &amp; Targets_Guideline'!$C$53:$I$53,
      0
    )
  ),
0))</f>
        <v/>
      </c>
      <c r="S390" s="102"/>
      <c r="T390" s="102"/>
      <c r="U390" s="106"/>
      <c r="V390" s="102" t="str">
        <f t="shared" si="16"/>
        <v/>
      </c>
      <c r="W390" s="102"/>
      <c r="X390" s="102"/>
      <c r="Y390" s="119" t="str">
        <f t="array" ref="Y390">IF(OR($B390="",$D390=""),"",
IFERROR(
  INDEX(
    'Tools &amp; Targets_Guideline'!$C$54:$I$269,
    MATCH(
      1,
      ('Tools &amp; Targets_Guideline'!$A$54:$A$269=$B390)*
      ('Tools &amp; Targets_Guideline'!$B$54:$B$269="GM"),
      0
    ),
    MATCH(
      _xludf.IFNA(
        VLOOKUP($D390,{"PH","Provincial Hospital (H2)";"DH","District Hospital (H3)";"RH","Regional / National Hospital (H1)"},2,0),
        $D390
      ),
      'Tools &amp; Targets_Guideline'!$C$53:$I$53,
      0
    )
  ),
0))</f>
        <v/>
      </c>
      <c r="Z390" s="102"/>
      <c r="AA390" s="119" t="str">
        <f t="array" ref="AA390">IF(OR($B390="",$D390=""),"",
IFERROR(
  INDEX(
    'Tools &amp; Targets_Guideline'!$C$54:$I$269,
    MATCH(
      1,
      ('Tools &amp; Targets_Guideline'!$A$54:$A$269=$B390)*
      ('Tools &amp; Targets_Guideline'!$B$54:$B$269="Penta"),
      0
    ),
    MATCH(
      _xludf.IFNA(
        VLOOKUP($D390,{"PH","Provincial Hospital (H2)";"DH","District Hospital (H3)";"RH","Regional / National Hospital (H1)"},2,0),
        $D390
      ),
      'Tools &amp; Targets_Guideline'!$C$53:$I$53,
      0
    )
  ),
0))</f>
        <v/>
      </c>
      <c r="AB390" s="102"/>
      <c r="AC390" s="119" t="str">
        <f t="array" ref="AC390">IF(OR($B390="",$D390=""),"",
IFERROR(
  INDEX(
    'Tools &amp; Targets_Guideline'!$C$54:$I$269,
    MATCH(
      1,
      ('Tools &amp; Targets_Guideline'!$A$54:$A$269=$B390)*
      ('Tools &amp; Targets_Guideline'!$B$54:$B$269="TB"),
      0
    ),
    MATCH(
      _xludf.IFNA(
        VLOOKUP($D390,{"PH","Provincial Hospital (H2)";"DH","District Hospital (H3)";"RH","Regional / National Hospital (H1)"},2,0),
        $D390
      ),
      'Tools &amp; Targets_Guideline'!$C$53:$I$53,
      0
    )
  ),
0))</f>
        <v/>
      </c>
      <c r="AD390" s="102"/>
      <c r="AE390" s="119" t="str">
        <f t="array" ref="AE390">IF(OR($B390="",$D390=""),"",
IFERROR(
  INDEX(
    'Tools &amp; Targets_Guideline'!$C$54:$I$269,
    MATCH(
      1,
      ('Tools &amp; Targets_Guideline'!$A$54:$A$269=$B390)*
      ('Tools &amp; Targets_Guideline'!$B$54:$B$269="U5 Morbidity"),
      0
    ),
    MATCH(
      _xludf.IFNA(
        VLOOKUP($D390,{"PH","Provincial Hospital (H2)";"DH","District Hospital (H3)";"RH","Regional / National Hospital (H1)"},2,0),
        $D390
      ),
      'Tools &amp; Targets_Guideline'!$C$53:$I$53,
      0
    )
  ),
0))</f>
        <v/>
      </c>
      <c r="AF390" s="102"/>
      <c r="AG390" s="119" t="str">
        <f t="array" ref="AG390">IF(OR($B390="",$D390=""),"",
IFERROR(
  INDEX(
    'Tools &amp; Targets_Guideline'!$C$54:$I$269,
    MATCH(
      1,
      ('Tools &amp; Targets_Guideline'!$A$54:$A$269=$B390)*
      ('Tools &amp; Targets_Guideline'!$B$54:$B$269="C-Section"),
      0
    ),
    MATCH(
      _xludf.IFNA(
        VLOOKUP($D390,{"PH","Provincial Hospital (H2)";"DH","District Hospital (H3)";"RH","Regional / National Hospital (H1)"},2,0),
        $D390
      ),
      'Tools &amp; Targets_Guideline'!$C$53:$I$53,
      0
    )
  ),
0))</f>
        <v/>
      </c>
      <c r="AH390" s="102" t="str">
        <f>IF(A390&lt;&gt;"",COUNTIFS('QA Log'!D:D,A390,'QA Log'!M:M,"QQC",'QA Log'!L:L,"2. Hygiene and Sterilization",'QA Log'!Z:Z,"Approved"),"")</f>
        <v/>
      </c>
      <c r="AI390" s="102"/>
      <c r="AJ390" s="102"/>
      <c r="AK390" s="103" t="str">
        <f t="shared" si="17"/>
        <v/>
      </c>
      <c r="AL390" s="102"/>
      <c r="AM390" s="102"/>
      <c r="AN390" s="102"/>
      <c r="AO390" s="106"/>
      <c r="AP390" s="103"/>
      <c r="AQ390" s="102"/>
      <c r="AR390" s="102"/>
      <c r="AS390" s="102"/>
      <c r="AT390" s="107"/>
      <c r="AU390" s="102" t="str">
        <f t="shared" si="18"/>
        <v/>
      </c>
      <c r="AV390" s="102" t="str">
        <f t="shared" si="19"/>
        <v/>
      </c>
      <c r="AW390" s="102" t="str">
        <f t="shared" si="20"/>
        <v/>
      </c>
      <c r="AX390" s="102" t="str">
        <f t="shared" si="21"/>
        <v/>
      </c>
      <c r="AY390" s="107" t="str">
        <f t="shared" si="22"/>
        <v/>
      </c>
      <c r="AZ390" s="108" t="str">
        <f t="shared" si="23"/>
        <v/>
      </c>
      <c r="BA390" s="108" t="str">
        <f t="shared" si="24"/>
        <v/>
      </c>
      <c r="BB390" s="109" t="str">
        <f t="shared" si="25"/>
        <v/>
      </c>
      <c r="BC390" s="108" t="str">
        <f t="shared" si="26"/>
        <v/>
      </c>
      <c r="BD390" s="108" t="str">
        <f t="shared" si="27"/>
        <v/>
      </c>
      <c r="BE390" s="109" t="str">
        <f t="shared" si="28"/>
        <v/>
      </c>
      <c r="BF390" s="110" t="str">
        <f t="shared" si="29"/>
        <v/>
      </c>
      <c r="BG390" s="111"/>
    </row>
    <row r="391" spans="1:59" ht="12.75">
      <c r="A391" s="101"/>
      <c r="B391" s="102"/>
      <c r="C391" s="102" t="e">
        <f t="array" aca="1" ref="C391" ca="1">_xludf.XLOOKUP(A391,'QA Log'!D:D,'QA Log'!F:F,"")</f>
        <v>#NAME?</v>
      </c>
      <c r="D391" s="102"/>
      <c r="E391" s="102" t="e">
        <f t="array" aca="1" ref="E391" ca="1">_xludf.XLOOKUP(A391,'QA Log'!D:D,'QA Log'!G:G,"")</f>
        <v>#NAME?</v>
      </c>
      <c r="F391" s="103"/>
      <c r="G391" s="104"/>
      <c r="H391" s="104"/>
      <c r="I391" s="103" t="str">
        <f t="shared" si="15"/>
        <v/>
      </c>
      <c r="J391" s="102"/>
      <c r="K391" s="102"/>
      <c r="L391" s="119" t="str">
        <f t="array" ref="L391">IF(OR($B391="",$D391=""),"",
IFERROR(
  INDEX(
    'Tools &amp; Targets_Guideline'!$C$54:$I$269,
    MATCH(
      1,
      ('Tools &amp; Targets_Guideline'!$A$54:$A$269=$B391)*
      ('Tools &amp; Targets_Guideline'!$B$54:$B$269="ANC"),
      0
    ),
    MATCH(
      _xludf.IFNA(
        VLOOKUP($D391,{"PH","Provincial Hospital (H2)";"DH","District Hospital (H3)";"RH","Regional / National Hospital (H1)"},2,0),
        $D391
      ),
      'Tools &amp; Targets_Guideline'!$C$53:$I$53,
      0
    )
  ),
0))</f>
        <v/>
      </c>
      <c r="M391" s="102"/>
      <c r="N391" s="119" t="str">
        <f t="array" ref="N391">IF(OR($B391="",$D391=""),"",
IFERROR(
  INDEX(
    'Tools &amp; Targets_Guideline'!$C$54:$I$269,
    MATCH(
      1,
      ('Tools &amp; Targets_Guideline'!$A$54:$A$269=$B391)*
      ('Tools &amp; Targets_Guideline'!$B$54:$B$269="PNC"),
      0
    ),
    MATCH(
      _xludf.IFNA(
        VLOOKUP($D391,{"PH","Provincial Hospital (H2)";"DH","District Hospital (H3)";"RH","Regional / National Hospital (H1)"},2,0),
        $D391
      ),
      'Tools &amp; Targets_Guideline'!$C$53:$I$53,
      0
    )
  ),
0))</f>
        <v/>
      </c>
      <c r="O391" s="102"/>
      <c r="P391" s="119" t="str">
        <f t="array" ref="P391">IF(OR($B391="",$D391=""),"",
IFERROR(
  INDEX(
    'Tools &amp; Targets_Guideline'!$C$54:$I$269,
    MATCH(
      1,
      ('Tools &amp; Targets_Guideline'!$A$54:$A$269=$B391)*
      ('Tools &amp; Targets_Guideline'!$B$54:$B$269="Delivery"),
      0
    ),
    MATCH(
      _xludf.IFNA(
        VLOOKUP($D391,{"PH","Provincial Hospital (H2)";"DH","District Hospital (H3)";"RH","Regional / National Hospital (H1)"},2,0),
        $D391
      ),
      'Tools &amp; Targets_Guideline'!$C$53:$I$53,
      0
    )
  ),
0))</f>
        <v/>
      </c>
      <c r="Q391" s="102"/>
      <c r="R391" s="119" t="str">
        <f t="array" ref="R391">IF(OR($B391="",$D391=""),"",
IFERROR(
  INDEX(
    'Tools &amp; Targets_Guideline'!$C$54:$I$269,
    MATCH(
      1,
      ('Tools &amp; Targets_Guideline'!$A$54:$A$269=$B391)*
      ('Tools &amp; Targets_Guideline'!$B$54:$B$269="TT"),
      0
    ),
    MATCH(
      _xludf.IFNA(
        VLOOKUP($D391,{"PH","Provincial Hospital (H2)";"DH","District Hospital (H3)";"RH","Regional / National Hospital (H1)"},2,0),
        $D391
      ),
      'Tools &amp; Targets_Guideline'!$C$53:$I$53,
      0
    )
  ),
0))</f>
        <v/>
      </c>
      <c r="S391" s="102"/>
      <c r="T391" s="102"/>
      <c r="U391" s="106"/>
      <c r="V391" s="102" t="str">
        <f t="shared" si="16"/>
        <v/>
      </c>
      <c r="W391" s="102"/>
      <c r="X391" s="102"/>
      <c r="Y391" s="119" t="str">
        <f t="array" ref="Y391">IF(OR($B391="",$D391=""),"",
IFERROR(
  INDEX(
    'Tools &amp; Targets_Guideline'!$C$54:$I$269,
    MATCH(
      1,
      ('Tools &amp; Targets_Guideline'!$A$54:$A$269=$B391)*
      ('Tools &amp; Targets_Guideline'!$B$54:$B$269="GM"),
      0
    ),
    MATCH(
      _xludf.IFNA(
        VLOOKUP($D391,{"PH","Provincial Hospital (H2)";"DH","District Hospital (H3)";"RH","Regional / National Hospital (H1)"},2,0),
        $D391
      ),
      'Tools &amp; Targets_Guideline'!$C$53:$I$53,
      0
    )
  ),
0))</f>
        <v/>
      </c>
      <c r="Z391" s="102"/>
      <c r="AA391" s="119" t="str">
        <f t="array" ref="AA391">IF(OR($B391="",$D391=""),"",
IFERROR(
  INDEX(
    'Tools &amp; Targets_Guideline'!$C$54:$I$269,
    MATCH(
      1,
      ('Tools &amp; Targets_Guideline'!$A$54:$A$269=$B391)*
      ('Tools &amp; Targets_Guideline'!$B$54:$B$269="Penta"),
      0
    ),
    MATCH(
      _xludf.IFNA(
        VLOOKUP($D391,{"PH","Provincial Hospital (H2)";"DH","District Hospital (H3)";"RH","Regional / National Hospital (H1)"},2,0),
        $D391
      ),
      'Tools &amp; Targets_Guideline'!$C$53:$I$53,
      0
    )
  ),
0))</f>
        <v/>
      </c>
      <c r="AB391" s="102"/>
      <c r="AC391" s="119" t="str">
        <f t="array" ref="AC391">IF(OR($B391="",$D391=""),"",
IFERROR(
  INDEX(
    'Tools &amp; Targets_Guideline'!$C$54:$I$269,
    MATCH(
      1,
      ('Tools &amp; Targets_Guideline'!$A$54:$A$269=$B391)*
      ('Tools &amp; Targets_Guideline'!$B$54:$B$269="TB"),
      0
    ),
    MATCH(
      _xludf.IFNA(
        VLOOKUP($D391,{"PH","Provincial Hospital (H2)";"DH","District Hospital (H3)";"RH","Regional / National Hospital (H1)"},2,0),
        $D391
      ),
      'Tools &amp; Targets_Guideline'!$C$53:$I$53,
      0
    )
  ),
0))</f>
        <v/>
      </c>
      <c r="AD391" s="102"/>
      <c r="AE391" s="119" t="str">
        <f t="array" ref="AE391">IF(OR($B391="",$D391=""),"",
IFERROR(
  INDEX(
    'Tools &amp; Targets_Guideline'!$C$54:$I$269,
    MATCH(
      1,
      ('Tools &amp; Targets_Guideline'!$A$54:$A$269=$B391)*
      ('Tools &amp; Targets_Guideline'!$B$54:$B$269="U5 Morbidity"),
      0
    ),
    MATCH(
      _xludf.IFNA(
        VLOOKUP($D391,{"PH","Provincial Hospital (H2)";"DH","District Hospital (H3)";"RH","Regional / National Hospital (H1)"},2,0),
        $D391
      ),
      'Tools &amp; Targets_Guideline'!$C$53:$I$53,
      0
    )
  ),
0))</f>
        <v/>
      </c>
      <c r="AF391" s="102"/>
      <c r="AG391" s="119" t="str">
        <f t="array" ref="AG391">IF(OR($B391="",$D391=""),"",
IFERROR(
  INDEX(
    'Tools &amp; Targets_Guideline'!$C$54:$I$269,
    MATCH(
      1,
      ('Tools &amp; Targets_Guideline'!$A$54:$A$269=$B391)*
      ('Tools &amp; Targets_Guideline'!$B$54:$B$269="C-Section"),
      0
    ),
    MATCH(
      _xludf.IFNA(
        VLOOKUP($D391,{"PH","Provincial Hospital (H2)";"DH","District Hospital (H3)";"RH","Regional / National Hospital (H1)"},2,0),
        $D391
      ),
      'Tools &amp; Targets_Guideline'!$C$53:$I$53,
      0
    )
  ),
0))</f>
        <v/>
      </c>
      <c r="AH391" s="102" t="str">
        <f>IF(A391&lt;&gt;"",COUNTIFS('QA Log'!D:D,A391,'QA Log'!M:M,"QQC",'QA Log'!L:L,"2. Hygiene and Sterilization",'QA Log'!Z:Z,"Approved"),"")</f>
        <v/>
      </c>
      <c r="AI391" s="102"/>
      <c r="AJ391" s="102"/>
      <c r="AK391" s="103" t="str">
        <f t="shared" si="17"/>
        <v/>
      </c>
      <c r="AL391" s="102"/>
      <c r="AM391" s="102"/>
      <c r="AN391" s="102"/>
      <c r="AO391" s="106"/>
      <c r="AP391" s="103"/>
      <c r="AQ391" s="102"/>
      <c r="AR391" s="102"/>
      <c r="AS391" s="102"/>
      <c r="AT391" s="107"/>
      <c r="AU391" s="102" t="str">
        <f t="shared" si="18"/>
        <v/>
      </c>
      <c r="AV391" s="102" t="str">
        <f t="shared" si="19"/>
        <v/>
      </c>
      <c r="AW391" s="102" t="str">
        <f t="shared" si="20"/>
        <v/>
      </c>
      <c r="AX391" s="102" t="str">
        <f t="shared" si="21"/>
        <v/>
      </c>
      <c r="AY391" s="107" t="str">
        <f t="shared" si="22"/>
        <v/>
      </c>
      <c r="AZ391" s="108" t="str">
        <f t="shared" si="23"/>
        <v/>
      </c>
      <c r="BA391" s="108" t="str">
        <f t="shared" si="24"/>
        <v/>
      </c>
      <c r="BB391" s="109" t="str">
        <f t="shared" si="25"/>
        <v/>
      </c>
      <c r="BC391" s="108" t="str">
        <f t="shared" si="26"/>
        <v/>
      </c>
      <c r="BD391" s="108" t="str">
        <f t="shared" si="27"/>
        <v/>
      </c>
      <c r="BE391" s="109" t="str">
        <f t="shared" si="28"/>
        <v/>
      </c>
      <c r="BF391" s="110" t="str">
        <f t="shared" si="29"/>
        <v/>
      </c>
      <c r="BG391" s="111"/>
    </row>
    <row r="392" spans="1:59" ht="12.75">
      <c r="A392" s="101"/>
      <c r="B392" s="102"/>
      <c r="C392" s="102" t="e">
        <f t="array" aca="1" ref="C392" ca="1">_xludf.XLOOKUP(A392,'QA Log'!D:D,'QA Log'!F:F,"")</f>
        <v>#NAME?</v>
      </c>
      <c r="D392" s="102"/>
      <c r="E392" s="102" t="e">
        <f t="array" aca="1" ref="E392" ca="1">_xludf.XLOOKUP(A392,'QA Log'!D:D,'QA Log'!G:G,"")</f>
        <v>#NAME?</v>
      </c>
      <c r="F392" s="103"/>
      <c r="G392" s="104"/>
      <c r="H392" s="104"/>
      <c r="I392" s="103" t="str">
        <f t="shared" si="15"/>
        <v/>
      </c>
      <c r="J392" s="102"/>
      <c r="K392" s="102"/>
      <c r="L392" s="119" t="str">
        <f t="array" ref="L392">IF(OR($B392="",$D392=""),"",
IFERROR(
  INDEX(
    'Tools &amp; Targets_Guideline'!$C$54:$I$269,
    MATCH(
      1,
      ('Tools &amp; Targets_Guideline'!$A$54:$A$269=$B392)*
      ('Tools &amp; Targets_Guideline'!$B$54:$B$269="ANC"),
      0
    ),
    MATCH(
      _xludf.IFNA(
        VLOOKUP($D392,{"PH","Provincial Hospital (H2)";"DH","District Hospital (H3)";"RH","Regional / National Hospital (H1)"},2,0),
        $D392
      ),
      'Tools &amp; Targets_Guideline'!$C$53:$I$53,
      0
    )
  ),
0))</f>
        <v/>
      </c>
      <c r="M392" s="102"/>
      <c r="N392" s="119" t="str">
        <f t="array" ref="N392">IF(OR($B392="",$D392=""),"",
IFERROR(
  INDEX(
    'Tools &amp; Targets_Guideline'!$C$54:$I$269,
    MATCH(
      1,
      ('Tools &amp; Targets_Guideline'!$A$54:$A$269=$B392)*
      ('Tools &amp; Targets_Guideline'!$B$54:$B$269="PNC"),
      0
    ),
    MATCH(
      _xludf.IFNA(
        VLOOKUP($D392,{"PH","Provincial Hospital (H2)";"DH","District Hospital (H3)";"RH","Regional / National Hospital (H1)"},2,0),
        $D392
      ),
      'Tools &amp; Targets_Guideline'!$C$53:$I$53,
      0
    )
  ),
0))</f>
        <v/>
      </c>
      <c r="O392" s="102"/>
      <c r="P392" s="119" t="str">
        <f t="array" ref="P392">IF(OR($B392="",$D392=""),"",
IFERROR(
  INDEX(
    'Tools &amp; Targets_Guideline'!$C$54:$I$269,
    MATCH(
      1,
      ('Tools &amp; Targets_Guideline'!$A$54:$A$269=$B392)*
      ('Tools &amp; Targets_Guideline'!$B$54:$B$269="Delivery"),
      0
    ),
    MATCH(
      _xludf.IFNA(
        VLOOKUP($D392,{"PH","Provincial Hospital (H2)";"DH","District Hospital (H3)";"RH","Regional / National Hospital (H1)"},2,0),
        $D392
      ),
      'Tools &amp; Targets_Guideline'!$C$53:$I$53,
      0
    )
  ),
0))</f>
        <v/>
      </c>
      <c r="Q392" s="102"/>
      <c r="R392" s="119" t="str">
        <f t="array" ref="R392">IF(OR($B392="",$D392=""),"",
IFERROR(
  INDEX(
    'Tools &amp; Targets_Guideline'!$C$54:$I$269,
    MATCH(
      1,
      ('Tools &amp; Targets_Guideline'!$A$54:$A$269=$B392)*
      ('Tools &amp; Targets_Guideline'!$B$54:$B$269="TT"),
      0
    ),
    MATCH(
      _xludf.IFNA(
        VLOOKUP($D392,{"PH","Provincial Hospital (H2)";"DH","District Hospital (H3)";"RH","Regional / National Hospital (H1)"},2,0),
        $D392
      ),
      'Tools &amp; Targets_Guideline'!$C$53:$I$53,
      0
    )
  ),
0))</f>
        <v/>
      </c>
      <c r="S392" s="102"/>
      <c r="T392" s="102"/>
      <c r="U392" s="106"/>
      <c r="V392" s="102" t="str">
        <f t="shared" si="16"/>
        <v/>
      </c>
      <c r="W392" s="102"/>
      <c r="X392" s="102"/>
      <c r="Y392" s="119" t="str">
        <f t="array" ref="Y392">IF(OR($B392="",$D392=""),"",
IFERROR(
  INDEX(
    'Tools &amp; Targets_Guideline'!$C$54:$I$269,
    MATCH(
      1,
      ('Tools &amp; Targets_Guideline'!$A$54:$A$269=$B392)*
      ('Tools &amp; Targets_Guideline'!$B$54:$B$269="GM"),
      0
    ),
    MATCH(
      _xludf.IFNA(
        VLOOKUP($D392,{"PH","Provincial Hospital (H2)";"DH","District Hospital (H3)";"RH","Regional / National Hospital (H1)"},2,0),
        $D392
      ),
      'Tools &amp; Targets_Guideline'!$C$53:$I$53,
      0
    )
  ),
0))</f>
        <v/>
      </c>
      <c r="Z392" s="102"/>
      <c r="AA392" s="119" t="str">
        <f t="array" ref="AA392">IF(OR($B392="",$D392=""),"",
IFERROR(
  INDEX(
    'Tools &amp; Targets_Guideline'!$C$54:$I$269,
    MATCH(
      1,
      ('Tools &amp; Targets_Guideline'!$A$54:$A$269=$B392)*
      ('Tools &amp; Targets_Guideline'!$B$54:$B$269="Penta"),
      0
    ),
    MATCH(
      _xludf.IFNA(
        VLOOKUP($D392,{"PH","Provincial Hospital (H2)";"DH","District Hospital (H3)";"RH","Regional / National Hospital (H1)"},2,0),
        $D392
      ),
      'Tools &amp; Targets_Guideline'!$C$53:$I$53,
      0
    )
  ),
0))</f>
        <v/>
      </c>
      <c r="AB392" s="102"/>
      <c r="AC392" s="119" t="str">
        <f t="array" ref="AC392">IF(OR($B392="",$D392=""),"",
IFERROR(
  INDEX(
    'Tools &amp; Targets_Guideline'!$C$54:$I$269,
    MATCH(
      1,
      ('Tools &amp; Targets_Guideline'!$A$54:$A$269=$B392)*
      ('Tools &amp; Targets_Guideline'!$B$54:$B$269="TB"),
      0
    ),
    MATCH(
      _xludf.IFNA(
        VLOOKUP($D392,{"PH","Provincial Hospital (H2)";"DH","District Hospital (H3)";"RH","Regional / National Hospital (H1)"},2,0),
        $D392
      ),
      'Tools &amp; Targets_Guideline'!$C$53:$I$53,
      0
    )
  ),
0))</f>
        <v/>
      </c>
      <c r="AD392" s="102"/>
      <c r="AE392" s="119" t="str">
        <f t="array" ref="AE392">IF(OR($B392="",$D392=""),"",
IFERROR(
  INDEX(
    'Tools &amp; Targets_Guideline'!$C$54:$I$269,
    MATCH(
      1,
      ('Tools &amp; Targets_Guideline'!$A$54:$A$269=$B392)*
      ('Tools &amp; Targets_Guideline'!$B$54:$B$269="U5 Morbidity"),
      0
    ),
    MATCH(
      _xludf.IFNA(
        VLOOKUP($D392,{"PH","Provincial Hospital (H2)";"DH","District Hospital (H3)";"RH","Regional / National Hospital (H1)"},2,0),
        $D392
      ),
      'Tools &amp; Targets_Guideline'!$C$53:$I$53,
      0
    )
  ),
0))</f>
        <v/>
      </c>
      <c r="AF392" s="102"/>
      <c r="AG392" s="119" t="str">
        <f t="array" ref="AG392">IF(OR($B392="",$D392=""),"",
IFERROR(
  INDEX(
    'Tools &amp; Targets_Guideline'!$C$54:$I$269,
    MATCH(
      1,
      ('Tools &amp; Targets_Guideline'!$A$54:$A$269=$B392)*
      ('Tools &amp; Targets_Guideline'!$B$54:$B$269="C-Section"),
      0
    ),
    MATCH(
      _xludf.IFNA(
        VLOOKUP($D392,{"PH","Provincial Hospital (H2)";"DH","District Hospital (H3)";"RH","Regional / National Hospital (H1)"},2,0),
        $D392
      ),
      'Tools &amp; Targets_Guideline'!$C$53:$I$53,
      0
    )
  ),
0))</f>
        <v/>
      </c>
      <c r="AH392" s="102" t="str">
        <f>IF(A392&lt;&gt;"",COUNTIFS('QA Log'!D:D,A392,'QA Log'!M:M,"QQC",'QA Log'!L:L,"2. Hygiene and Sterilization",'QA Log'!Z:Z,"Approved"),"")</f>
        <v/>
      </c>
      <c r="AI392" s="102"/>
      <c r="AJ392" s="102"/>
      <c r="AK392" s="103" t="str">
        <f t="shared" si="17"/>
        <v/>
      </c>
      <c r="AL392" s="102"/>
      <c r="AM392" s="102"/>
      <c r="AN392" s="102"/>
      <c r="AO392" s="106"/>
      <c r="AP392" s="103"/>
      <c r="AQ392" s="102"/>
      <c r="AR392" s="102"/>
      <c r="AS392" s="102"/>
      <c r="AT392" s="107"/>
      <c r="AU392" s="102" t="str">
        <f t="shared" si="18"/>
        <v/>
      </c>
      <c r="AV392" s="102" t="str">
        <f t="shared" si="19"/>
        <v/>
      </c>
      <c r="AW392" s="102" t="str">
        <f t="shared" si="20"/>
        <v/>
      </c>
      <c r="AX392" s="102" t="str">
        <f t="shared" si="21"/>
        <v/>
      </c>
      <c r="AY392" s="107" t="str">
        <f t="shared" si="22"/>
        <v/>
      </c>
      <c r="AZ392" s="108" t="str">
        <f t="shared" si="23"/>
        <v/>
      </c>
      <c r="BA392" s="108" t="str">
        <f t="shared" si="24"/>
        <v/>
      </c>
      <c r="BB392" s="109" t="str">
        <f t="shared" si="25"/>
        <v/>
      </c>
      <c r="BC392" s="108" t="str">
        <f t="shared" si="26"/>
        <v/>
      </c>
      <c r="BD392" s="108" t="str">
        <f t="shared" si="27"/>
        <v/>
      </c>
      <c r="BE392" s="109" t="str">
        <f t="shared" si="28"/>
        <v/>
      </c>
      <c r="BF392" s="110" t="str">
        <f t="shared" si="29"/>
        <v/>
      </c>
      <c r="BG392" s="111"/>
    </row>
    <row r="393" spans="1:59" ht="12.75">
      <c r="A393" s="101"/>
      <c r="B393" s="102"/>
      <c r="C393" s="102" t="e">
        <f t="array" aca="1" ref="C393" ca="1">_xludf.XLOOKUP(A393,'QA Log'!D:D,'QA Log'!F:F,"")</f>
        <v>#NAME?</v>
      </c>
      <c r="D393" s="102"/>
      <c r="E393" s="102" t="e">
        <f t="array" aca="1" ref="E393" ca="1">_xludf.XLOOKUP(A393,'QA Log'!D:D,'QA Log'!G:G,"")</f>
        <v>#NAME?</v>
      </c>
      <c r="F393" s="103"/>
      <c r="G393" s="104"/>
      <c r="H393" s="104"/>
      <c r="I393" s="103" t="str">
        <f t="shared" si="15"/>
        <v/>
      </c>
      <c r="J393" s="102"/>
      <c r="K393" s="102"/>
      <c r="L393" s="119" t="str">
        <f t="array" ref="L393">IF(OR($B393="",$D393=""),"",
IFERROR(
  INDEX(
    'Tools &amp; Targets_Guideline'!$C$54:$I$269,
    MATCH(
      1,
      ('Tools &amp; Targets_Guideline'!$A$54:$A$269=$B393)*
      ('Tools &amp; Targets_Guideline'!$B$54:$B$269="ANC"),
      0
    ),
    MATCH(
      _xludf.IFNA(
        VLOOKUP($D393,{"PH","Provincial Hospital (H2)";"DH","District Hospital (H3)";"RH","Regional / National Hospital (H1)"},2,0),
        $D393
      ),
      'Tools &amp; Targets_Guideline'!$C$53:$I$53,
      0
    )
  ),
0))</f>
        <v/>
      </c>
      <c r="M393" s="102"/>
      <c r="N393" s="119" t="str">
        <f t="array" ref="N393">IF(OR($B393="",$D393=""),"",
IFERROR(
  INDEX(
    'Tools &amp; Targets_Guideline'!$C$54:$I$269,
    MATCH(
      1,
      ('Tools &amp; Targets_Guideline'!$A$54:$A$269=$B393)*
      ('Tools &amp; Targets_Guideline'!$B$54:$B$269="PNC"),
      0
    ),
    MATCH(
      _xludf.IFNA(
        VLOOKUP($D393,{"PH","Provincial Hospital (H2)";"DH","District Hospital (H3)";"RH","Regional / National Hospital (H1)"},2,0),
        $D393
      ),
      'Tools &amp; Targets_Guideline'!$C$53:$I$53,
      0
    )
  ),
0))</f>
        <v/>
      </c>
      <c r="O393" s="102"/>
      <c r="P393" s="119" t="str">
        <f t="array" ref="P393">IF(OR($B393="",$D393=""),"",
IFERROR(
  INDEX(
    'Tools &amp; Targets_Guideline'!$C$54:$I$269,
    MATCH(
      1,
      ('Tools &amp; Targets_Guideline'!$A$54:$A$269=$B393)*
      ('Tools &amp; Targets_Guideline'!$B$54:$B$269="Delivery"),
      0
    ),
    MATCH(
      _xludf.IFNA(
        VLOOKUP($D393,{"PH","Provincial Hospital (H2)";"DH","District Hospital (H3)";"RH","Regional / National Hospital (H1)"},2,0),
        $D393
      ),
      'Tools &amp; Targets_Guideline'!$C$53:$I$53,
      0
    )
  ),
0))</f>
        <v/>
      </c>
      <c r="Q393" s="102"/>
      <c r="R393" s="119" t="str">
        <f t="array" ref="R393">IF(OR($B393="",$D393=""),"",
IFERROR(
  INDEX(
    'Tools &amp; Targets_Guideline'!$C$54:$I$269,
    MATCH(
      1,
      ('Tools &amp; Targets_Guideline'!$A$54:$A$269=$B393)*
      ('Tools &amp; Targets_Guideline'!$B$54:$B$269="TT"),
      0
    ),
    MATCH(
      _xludf.IFNA(
        VLOOKUP($D393,{"PH","Provincial Hospital (H2)";"DH","District Hospital (H3)";"RH","Regional / National Hospital (H1)"},2,0),
        $D393
      ),
      'Tools &amp; Targets_Guideline'!$C$53:$I$53,
      0
    )
  ),
0))</f>
        <v/>
      </c>
      <c r="S393" s="102"/>
      <c r="T393" s="102"/>
      <c r="U393" s="106"/>
      <c r="V393" s="102" t="str">
        <f t="shared" si="16"/>
        <v/>
      </c>
      <c r="W393" s="102"/>
      <c r="X393" s="102"/>
      <c r="Y393" s="119" t="str">
        <f t="array" ref="Y393">IF(OR($B393="",$D393=""),"",
IFERROR(
  INDEX(
    'Tools &amp; Targets_Guideline'!$C$54:$I$269,
    MATCH(
      1,
      ('Tools &amp; Targets_Guideline'!$A$54:$A$269=$B393)*
      ('Tools &amp; Targets_Guideline'!$B$54:$B$269="GM"),
      0
    ),
    MATCH(
      _xludf.IFNA(
        VLOOKUP($D393,{"PH","Provincial Hospital (H2)";"DH","District Hospital (H3)";"RH","Regional / National Hospital (H1)"},2,0),
        $D393
      ),
      'Tools &amp; Targets_Guideline'!$C$53:$I$53,
      0
    )
  ),
0))</f>
        <v/>
      </c>
      <c r="Z393" s="102"/>
      <c r="AA393" s="119" t="str">
        <f t="array" ref="AA393">IF(OR($B393="",$D393=""),"",
IFERROR(
  INDEX(
    'Tools &amp; Targets_Guideline'!$C$54:$I$269,
    MATCH(
      1,
      ('Tools &amp; Targets_Guideline'!$A$54:$A$269=$B393)*
      ('Tools &amp; Targets_Guideline'!$B$54:$B$269="Penta"),
      0
    ),
    MATCH(
      _xludf.IFNA(
        VLOOKUP($D393,{"PH","Provincial Hospital (H2)";"DH","District Hospital (H3)";"RH","Regional / National Hospital (H1)"},2,0),
        $D393
      ),
      'Tools &amp; Targets_Guideline'!$C$53:$I$53,
      0
    )
  ),
0))</f>
        <v/>
      </c>
      <c r="AB393" s="102"/>
      <c r="AC393" s="119" t="str">
        <f t="array" ref="AC393">IF(OR($B393="",$D393=""),"",
IFERROR(
  INDEX(
    'Tools &amp; Targets_Guideline'!$C$54:$I$269,
    MATCH(
      1,
      ('Tools &amp; Targets_Guideline'!$A$54:$A$269=$B393)*
      ('Tools &amp; Targets_Guideline'!$B$54:$B$269="TB"),
      0
    ),
    MATCH(
      _xludf.IFNA(
        VLOOKUP($D393,{"PH","Provincial Hospital (H2)";"DH","District Hospital (H3)";"RH","Regional / National Hospital (H1)"},2,0),
        $D393
      ),
      'Tools &amp; Targets_Guideline'!$C$53:$I$53,
      0
    )
  ),
0))</f>
        <v/>
      </c>
      <c r="AD393" s="102"/>
      <c r="AE393" s="119" t="str">
        <f t="array" ref="AE393">IF(OR($B393="",$D393=""),"",
IFERROR(
  INDEX(
    'Tools &amp; Targets_Guideline'!$C$54:$I$269,
    MATCH(
      1,
      ('Tools &amp; Targets_Guideline'!$A$54:$A$269=$B393)*
      ('Tools &amp; Targets_Guideline'!$B$54:$B$269="U5 Morbidity"),
      0
    ),
    MATCH(
      _xludf.IFNA(
        VLOOKUP($D393,{"PH","Provincial Hospital (H2)";"DH","District Hospital (H3)";"RH","Regional / National Hospital (H1)"},2,0),
        $D393
      ),
      'Tools &amp; Targets_Guideline'!$C$53:$I$53,
      0
    )
  ),
0))</f>
        <v/>
      </c>
      <c r="AF393" s="102"/>
      <c r="AG393" s="119" t="str">
        <f t="array" ref="AG393">IF(OR($B393="",$D393=""),"",
IFERROR(
  INDEX(
    'Tools &amp; Targets_Guideline'!$C$54:$I$269,
    MATCH(
      1,
      ('Tools &amp; Targets_Guideline'!$A$54:$A$269=$B393)*
      ('Tools &amp; Targets_Guideline'!$B$54:$B$269="C-Section"),
      0
    ),
    MATCH(
      _xludf.IFNA(
        VLOOKUP($D393,{"PH","Provincial Hospital (H2)";"DH","District Hospital (H3)";"RH","Regional / National Hospital (H1)"},2,0),
        $D393
      ),
      'Tools &amp; Targets_Guideline'!$C$53:$I$53,
      0
    )
  ),
0))</f>
        <v/>
      </c>
      <c r="AH393" s="102" t="str">
        <f>IF(A393&lt;&gt;"",COUNTIFS('QA Log'!D:D,A393,'QA Log'!M:M,"QQC",'QA Log'!L:L,"2. Hygiene and Sterilization",'QA Log'!Z:Z,"Approved"),"")</f>
        <v/>
      </c>
      <c r="AI393" s="102"/>
      <c r="AJ393" s="102"/>
      <c r="AK393" s="103" t="str">
        <f t="shared" si="17"/>
        <v/>
      </c>
      <c r="AL393" s="102"/>
      <c r="AM393" s="102"/>
      <c r="AN393" s="102"/>
      <c r="AO393" s="106"/>
      <c r="AP393" s="103"/>
      <c r="AQ393" s="102"/>
      <c r="AR393" s="102"/>
      <c r="AS393" s="102"/>
      <c r="AT393" s="107"/>
      <c r="AU393" s="102" t="str">
        <f t="shared" si="18"/>
        <v/>
      </c>
      <c r="AV393" s="102" t="str">
        <f t="shared" si="19"/>
        <v/>
      </c>
      <c r="AW393" s="102" t="str">
        <f t="shared" si="20"/>
        <v/>
      </c>
      <c r="AX393" s="102" t="str">
        <f t="shared" si="21"/>
        <v/>
      </c>
      <c r="AY393" s="107" t="str">
        <f t="shared" si="22"/>
        <v/>
      </c>
      <c r="AZ393" s="108" t="str">
        <f t="shared" si="23"/>
        <v/>
      </c>
      <c r="BA393" s="108" t="str">
        <f t="shared" si="24"/>
        <v/>
      </c>
      <c r="BB393" s="109" t="str">
        <f t="shared" si="25"/>
        <v/>
      </c>
      <c r="BC393" s="108" t="str">
        <f t="shared" si="26"/>
        <v/>
      </c>
      <c r="BD393" s="108" t="str">
        <f t="shared" si="27"/>
        <v/>
      </c>
      <c r="BE393" s="109" t="str">
        <f t="shared" si="28"/>
        <v/>
      </c>
      <c r="BF393" s="110" t="str">
        <f t="shared" si="29"/>
        <v/>
      </c>
      <c r="BG393" s="111"/>
    </row>
    <row r="394" spans="1:59" ht="12.75">
      <c r="A394" s="101"/>
      <c r="B394" s="102"/>
      <c r="C394" s="102" t="e">
        <f t="array" aca="1" ref="C394" ca="1">_xludf.XLOOKUP(A394,'QA Log'!D:D,'QA Log'!F:F,"")</f>
        <v>#NAME?</v>
      </c>
      <c r="D394" s="102"/>
      <c r="E394" s="102" t="e">
        <f t="array" aca="1" ref="E394" ca="1">_xludf.XLOOKUP(A394,'QA Log'!D:D,'QA Log'!G:G,"")</f>
        <v>#NAME?</v>
      </c>
      <c r="F394" s="103"/>
      <c r="G394" s="104"/>
      <c r="H394" s="104"/>
      <c r="I394" s="103" t="str">
        <f t="shared" si="15"/>
        <v/>
      </c>
      <c r="J394" s="102"/>
      <c r="K394" s="102"/>
      <c r="L394" s="119" t="str">
        <f t="array" ref="L394">IF(OR($B394="",$D394=""),"",
IFERROR(
  INDEX(
    'Tools &amp; Targets_Guideline'!$C$54:$I$269,
    MATCH(
      1,
      ('Tools &amp; Targets_Guideline'!$A$54:$A$269=$B394)*
      ('Tools &amp; Targets_Guideline'!$B$54:$B$269="ANC"),
      0
    ),
    MATCH(
      _xludf.IFNA(
        VLOOKUP($D394,{"PH","Provincial Hospital (H2)";"DH","District Hospital (H3)";"RH","Regional / National Hospital (H1)"},2,0),
        $D394
      ),
      'Tools &amp; Targets_Guideline'!$C$53:$I$53,
      0
    )
  ),
0))</f>
        <v/>
      </c>
      <c r="M394" s="102"/>
      <c r="N394" s="119" t="str">
        <f t="array" ref="N394">IF(OR($B394="",$D394=""),"",
IFERROR(
  INDEX(
    'Tools &amp; Targets_Guideline'!$C$54:$I$269,
    MATCH(
      1,
      ('Tools &amp; Targets_Guideline'!$A$54:$A$269=$B394)*
      ('Tools &amp; Targets_Guideline'!$B$54:$B$269="PNC"),
      0
    ),
    MATCH(
      _xludf.IFNA(
        VLOOKUP($D394,{"PH","Provincial Hospital (H2)";"DH","District Hospital (H3)";"RH","Regional / National Hospital (H1)"},2,0),
        $D394
      ),
      'Tools &amp; Targets_Guideline'!$C$53:$I$53,
      0
    )
  ),
0))</f>
        <v/>
      </c>
      <c r="O394" s="102"/>
      <c r="P394" s="119" t="str">
        <f t="array" ref="P394">IF(OR($B394="",$D394=""),"",
IFERROR(
  INDEX(
    'Tools &amp; Targets_Guideline'!$C$54:$I$269,
    MATCH(
      1,
      ('Tools &amp; Targets_Guideline'!$A$54:$A$269=$B394)*
      ('Tools &amp; Targets_Guideline'!$B$54:$B$269="Delivery"),
      0
    ),
    MATCH(
      _xludf.IFNA(
        VLOOKUP($D394,{"PH","Provincial Hospital (H2)";"DH","District Hospital (H3)";"RH","Regional / National Hospital (H1)"},2,0),
        $D394
      ),
      'Tools &amp; Targets_Guideline'!$C$53:$I$53,
      0
    )
  ),
0))</f>
        <v/>
      </c>
      <c r="Q394" s="102"/>
      <c r="R394" s="119" t="str">
        <f t="array" ref="R394">IF(OR($B394="",$D394=""),"",
IFERROR(
  INDEX(
    'Tools &amp; Targets_Guideline'!$C$54:$I$269,
    MATCH(
      1,
      ('Tools &amp; Targets_Guideline'!$A$54:$A$269=$B394)*
      ('Tools &amp; Targets_Guideline'!$B$54:$B$269="TT"),
      0
    ),
    MATCH(
      _xludf.IFNA(
        VLOOKUP($D394,{"PH","Provincial Hospital (H2)";"DH","District Hospital (H3)";"RH","Regional / National Hospital (H1)"},2,0),
        $D394
      ),
      'Tools &amp; Targets_Guideline'!$C$53:$I$53,
      0
    )
  ),
0))</f>
        <v/>
      </c>
      <c r="S394" s="102"/>
      <c r="T394" s="102"/>
      <c r="U394" s="106"/>
      <c r="V394" s="102" t="str">
        <f t="shared" si="16"/>
        <v/>
      </c>
      <c r="W394" s="102"/>
      <c r="X394" s="102"/>
      <c r="Y394" s="119" t="str">
        <f t="array" ref="Y394">IF(OR($B394="",$D394=""),"",
IFERROR(
  INDEX(
    'Tools &amp; Targets_Guideline'!$C$54:$I$269,
    MATCH(
      1,
      ('Tools &amp; Targets_Guideline'!$A$54:$A$269=$B394)*
      ('Tools &amp; Targets_Guideline'!$B$54:$B$269="GM"),
      0
    ),
    MATCH(
      _xludf.IFNA(
        VLOOKUP($D394,{"PH","Provincial Hospital (H2)";"DH","District Hospital (H3)";"RH","Regional / National Hospital (H1)"},2,0),
        $D394
      ),
      'Tools &amp; Targets_Guideline'!$C$53:$I$53,
      0
    )
  ),
0))</f>
        <v/>
      </c>
      <c r="Z394" s="102"/>
      <c r="AA394" s="119" t="str">
        <f t="array" ref="AA394">IF(OR($B394="",$D394=""),"",
IFERROR(
  INDEX(
    'Tools &amp; Targets_Guideline'!$C$54:$I$269,
    MATCH(
      1,
      ('Tools &amp; Targets_Guideline'!$A$54:$A$269=$B394)*
      ('Tools &amp; Targets_Guideline'!$B$54:$B$269="Penta"),
      0
    ),
    MATCH(
      _xludf.IFNA(
        VLOOKUP($D394,{"PH","Provincial Hospital (H2)";"DH","District Hospital (H3)";"RH","Regional / National Hospital (H1)"},2,0),
        $D394
      ),
      'Tools &amp; Targets_Guideline'!$C$53:$I$53,
      0
    )
  ),
0))</f>
        <v/>
      </c>
      <c r="AB394" s="102"/>
      <c r="AC394" s="119" t="str">
        <f t="array" ref="AC394">IF(OR($B394="",$D394=""),"",
IFERROR(
  INDEX(
    'Tools &amp; Targets_Guideline'!$C$54:$I$269,
    MATCH(
      1,
      ('Tools &amp; Targets_Guideline'!$A$54:$A$269=$B394)*
      ('Tools &amp; Targets_Guideline'!$B$54:$B$269="TB"),
      0
    ),
    MATCH(
      _xludf.IFNA(
        VLOOKUP($D394,{"PH","Provincial Hospital (H2)";"DH","District Hospital (H3)";"RH","Regional / National Hospital (H1)"},2,0),
        $D394
      ),
      'Tools &amp; Targets_Guideline'!$C$53:$I$53,
      0
    )
  ),
0))</f>
        <v/>
      </c>
      <c r="AD394" s="102"/>
      <c r="AE394" s="119" t="str">
        <f t="array" ref="AE394">IF(OR($B394="",$D394=""),"",
IFERROR(
  INDEX(
    'Tools &amp; Targets_Guideline'!$C$54:$I$269,
    MATCH(
      1,
      ('Tools &amp; Targets_Guideline'!$A$54:$A$269=$B394)*
      ('Tools &amp; Targets_Guideline'!$B$54:$B$269="U5 Morbidity"),
      0
    ),
    MATCH(
      _xludf.IFNA(
        VLOOKUP($D394,{"PH","Provincial Hospital (H2)";"DH","District Hospital (H3)";"RH","Regional / National Hospital (H1)"},2,0),
        $D394
      ),
      'Tools &amp; Targets_Guideline'!$C$53:$I$53,
      0
    )
  ),
0))</f>
        <v/>
      </c>
      <c r="AF394" s="102"/>
      <c r="AG394" s="119" t="str">
        <f t="array" ref="AG394">IF(OR($B394="",$D394=""),"",
IFERROR(
  INDEX(
    'Tools &amp; Targets_Guideline'!$C$54:$I$269,
    MATCH(
      1,
      ('Tools &amp; Targets_Guideline'!$A$54:$A$269=$B394)*
      ('Tools &amp; Targets_Guideline'!$B$54:$B$269="C-Section"),
      0
    ),
    MATCH(
      _xludf.IFNA(
        VLOOKUP($D394,{"PH","Provincial Hospital (H2)";"DH","District Hospital (H3)";"RH","Regional / National Hospital (H1)"},2,0),
        $D394
      ),
      'Tools &amp; Targets_Guideline'!$C$53:$I$53,
      0
    )
  ),
0))</f>
        <v/>
      </c>
      <c r="AH394" s="102" t="str">
        <f>IF(A394&lt;&gt;"",COUNTIFS('QA Log'!D:D,A394,'QA Log'!M:M,"QQC",'QA Log'!L:L,"2. Hygiene and Sterilization",'QA Log'!Z:Z,"Approved"),"")</f>
        <v/>
      </c>
      <c r="AI394" s="102"/>
      <c r="AJ394" s="102"/>
      <c r="AK394" s="103" t="str">
        <f t="shared" si="17"/>
        <v/>
      </c>
      <c r="AL394" s="102"/>
      <c r="AM394" s="102"/>
      <c r="AN394" s="102"/>
      <c r="AO394" s="106"/>
      <c r="AP394" s="103"/>
      <c r="AQ394" s="102"/>
      <c r="AR394" s="102"/>
      <c r="AS394" s="102"/>
      <c r="AT394" s="107"/>
      <c r="AU394" s="102" t="str">
        <f t="shared" si="18"/>
        <v/>
      </c>
      <c r="AV394" s="102" t="str">
        <f t="shared" si="19"/>
        <v/>
      </c>
      <c r="AW394" s="102" t="str">
        <f t="shared" si="20"/>
        <v/>
      </c>
      <c r="AX394" s="102" t="str">
        <f t="shared" si="21"/>
        <v/>
      </c>
      <c r="AY394" s="107" t="str">
        <f t="shared" si="22"/>
        <v/>
      </c>
      <c r="AZ394" s="108" t="str">
        <f t="shared" si="23"/>
        <v/>
      </c>
      <c r="BA394" s="108" t="str">
        <f t="shared" si="24"/>
        <v/>
      </c>
      <c r="BB394" s="109" t="str">
        <f t="shared" si="25"/>
        <v/>
      </c>
      <c r="BC394" s="108" t="str">
        <f t="shared" si="26"/>
        <v/>
      </c>
      <c r="BD394" s="108" t="str">
        <f t="shared" si="27"/>
        <v/>
      </c>
      <c r="BE394" s="109" t="str">
        <f t="shared" si="28"/>
        <v/>
      </c>
      <c r="BF394" s="110" t="str">
        <f t="shared" si="29"/>
        <v/>
      </c>
      <c r="BG394" s="111"/>
    </row>
    <row r="395" spans="1:59" ht="12.75">
      <c r="A395" s="101"/>
      <c r="B395" s="102"/>
      <c r="C395" s="102" t="e">
        <f t="array" aca="1" ref="C395" ca="1">_xludf.XLOOKUP(A395,'QA Log'!D:D,'QA Log'!F:F,"")</f>
        <v>#NAME?</v>
      </c>
      <c r="D395" s="102"/>
      <c r="E395" s="102" t="e">
        <f t="array" aca="1" ref="E395" ca="1">_xludf.XLOOKUP(A395,'QA Log'!D:D,'QA Log'!G:G,"")</f>
        <v>#NAME?</v>
      </c>
      <c r="F395" s="103"/>
      <c r="G395" s="104"/>
      <c r="H395" s="104"/>
      <c r="I395" s="103" t="str">
        <f t="shared" si="15"/>
        <v/>
      </c>
      <c r="J395" s="102"/>
      <c r="K395" s="102"/>
      <c r="L395" s="119" t="str">
        <f t="array" ref="L395">IF(OR($B395="",$D395=""),"",
IFERROR(
  INDEX(
    'Tools &amp; Targets_Guideline'!$C$54:$I$269,
    MATCH(
      1,
      ('Tools &amp; Targets_Guideline'!$A$54:$A$269=$B395)*
      ('Tools &amp; Targets_Guideline'!$B$54:$B$269="ANC"),
      0
    ),
    MATCH(
      _xludf.IFNA(
        VLOOKUP($D395,{"PH","Provincial Hospital (H2)";"DH","District Hospital (H3)";"RH","Regional / National Hospital (H1)"},2,0),
        $D395
      ),
      'Tools &amp; Targets_Guideline'!$C$53:$I$53,
      0
    )
  ),
0))</f>
        <v/>
      </c>
      <c r="M395" s="102"/>
      <c r="N395" s="119" t="str">
        <f t="array" ref="N395">IF(OR($B395="",$D395=""),"",
IFERROR(
  INDEX(
    'Tools &amp; Targets_Guideline'!$C$54:$I$269,
    MATCH(
      1,
      ('Tools &amp; Targets_Guideline'!$A$54:$A$269=$B395)*
      ('Tools &amp; Targets_Guideline'!$B$54:$B$269="PNC"),
      0
    ),
    MATCH(
      _xludf.IFNA(
        VLOOKUP($D395,{"PH","Provincial Hospital (H2)";"DH","District Hospital (H3)";"RH","Regional / National Hospital (H1)"},2,0),
        $D395
      ),
      'Tools &amp; Targets_Guideline'!$C$53:$I$53,
      0
    )
  ),
0))</f>
        <v/>
      </c>
      <c r="O395" s="102"/>
      <c r="P395" s="119" t="str">
        <f t="array" ref="P395">IF(OR($B395="",$D395=""),"",
IFERROR(
  INDEX(
    'Tools &amp; Targets_Guideline'!$C$54:$I$269,
    MATCH(
      1,
      ('Tools &amp; Targets_Guideline'!$A$54:$A$269=$B395)*
      ('Tools &amp; Targets_Guideline'!$B$54:$B$269="Delivery"),
      0
    ),
    MATCH(
      _xludf.IFNA(
        VLOOKUP($D395,{"PH","Provincial Hospital (H2)";"DH","District Hospital (H3)";"RH","Regional / National Hospital (H1)"},2,0),
        $D395
      ),
      'Tools &amp; Targets_Guideline'!$C$53:$I$53,
      0
    )
  ),
0))</f>
        <v/>
      </c>
      <c r="Q395" s="102"/>
      <c r="R395" s="119" t="str">
        <f t="array" ref="R395">IF(OR($B395="",$D395=""),"",
IFERROR(
  INDEX(
    'Tools &amp; Targets_Guideline'!$C$54:$I$269,
    MATCH(
      1,
      ('Tools &amp; Targets_Guideline'!$A$54:$A$269=$B395)*
      ('Tools &amp; Targets_Guideline'!$B$54:$B$269="TT"),
      0
    ),
    MATCH(
      _xludf.IFNA(
        VLOOKUP($D395,{"PH","Provincial Hospital (H2)";"DH","District Hospital (H3)";"RH","Regional / National Hospital (H1)"},2,0),
        $D395
      ),
      'Tools &amp; Targets_Guideline'!$C$53:$I$53,
      0
    )
  ),
0))</f>
        <v/>
      </c>
      <c r="S395" s="102"/>
      <c r="T395" s="102"/>
      <c r="U395" s="106"/>
      <c r="V395" s="102" t="str">
        <f t="shared" si="16"/>
        <v/>
      </c>
      <c r="W395" s="102"/>
      <c r="X395" s="102"/>
      <c r="Y395" s="119" t="str">
        <f t="array" ref="Y395">IF(OR($B395="",$D395=""),"",
IFERROR(
  INDEX(
    'Tools &amp; Targets_Guideline'!$C$54:$I$269,
    MATCH(
      1,
      ('Tools &amp; Targets_Guideline'!$A$54:$A$269=$B395)*
      ('Tools &amp; Targets_Guideline'!$B$54:$B$269="GM"),
      0
    ),
    MATCH(
      _xludf.IFNA(
        VLOOKUP($D395,{"PH","Provincial Hospital (H2)";"DH","District Hospital (H3)";"RH","Regional / National Hospital (H1)"},2,0),
        $D395
      ),
      'Tools &amp; Targets_Guideline'!$C$53:$I$53,
      0
    )
  ),
0))</f>
        <v/>
      </c>
      <c r="Z395" s="102"/>
      <c r="AA395" s="119" t="str">
        <f t="array" ref="AA395">IF(OR($B395="",$D395=""),"",
IFERROR(
  INDEX(
    'Tools &amp; Targets_Guideline'!$C$54:$I$269,
    MATCH(
      1,
      ('Tools &amp; Targets_Guideline'!$A$54:$A$269=$B395)*
      ('Tools &amp; Targets_Guideline'!$B$54:$B$269="Penta"),
      0
    ),
    MATCH(
      _xludf.IFNA(
        VLOOKUP($D395,{"PH","Provincial Hospital (H2)";"DH","District Hospital (H3)";"RH","Regional / National Hospital (H1)"},2,0),
        $D395
      ),
      'Tools &amp; Targets_Guideline'!$C$53:$I$53,
      0
    )
  ),
0))</f>
        <v/>
      </c>
      <c r="AB395" s="102"/>
      <c r="AC395" s="119" t="str">
        <f t="array" ref="AC395">IF(OR($B395="",$D395=""),"",
IFERROR(
  INDEX(
    'Tools &amp; Targets_Guideline'!$C$54:$I$269,
    MATCH(
      1,
      ('Tools &amp; Targets_Guideline'!$A$54:$A$269=$B395)*
      ('Tools &amp; Targets_Guideline'!$B$54:$B$269="TB"),
      0
    ),
    MATCH(
      _xludf.IFNA(
        VLOOKUP($D395,{"PH","Provincial Hospital (H2)";"DH","District Hospital (H3)";"RH","Regional / National Hospital (H1)"},2,0),
        $D395
      ),
      'Tools &amp; Targets_Guideline'!$C$53:$I$53,
      0
    )
  ),
0))</f>
        <v/>
      </c>
      <c r="AD395" s="102"/>
      <c r="AE395" s="119" t="str">
        <f t="array" ref="AE395">IF(OR($B395="",$D395=""),"",
IFERROR(
  INDEX(
    'Tools &amp; Targets_Guideline'!$C$54:$I$269,
    MATCH(
      1,
      ('Tools &amp; Targets_Guideline'!$A$54:$A$269=$B395)*
      ('Tools &amp; Targets_Guideline'!$B$54:$B$269="U5 Morbidity"),
      0
    ),
    MATCH(
      _xludf.IFNA(
        VLOOKUP($D395,{"PH","Provincial Hospital (H2)";"DH","District Hospital (H3)";"RH","Regional / National Hospital (H1)"},2,0),
        $D395
      ),
      'Tools &amp; Targets_Guideline'!$C$53:$I$53,
      0
    )
  ),
0))</f>
        <v/>
      </c>
      <c r="AF395" s="102"/>
      <c r="AG395" s="119" t="str">
        <f t="array" ref="AG395">IF(OR($B395="",$D395=""),"",
IFERROR(
  INDEX(
    'Tools &amp; Targets_Guideline'!$C$54:$I$269,
    MATCH(
      1,
      ('Tools &amp; Targets_Guideline'!$A$54:$A$269=$B395)*
      ('Tools &amp; Targets_Guideline'!$B$54:$B$269="C-Section"),
      0
    ),
    MATCH(
      _xludf.IFNA(
        VLOOKUP($D395,{"PH","Provincial Hospital (H2)";"DH","District Hospital (H3)";"RH","Regional / National Hospital (H1)"},2,0),
        $D395
      ),
      'Tools &amp; Targets_Guideline'!$C$53:$I$53,
      0
    )
  ),
0))</f>
        <v/>
      </c>
      <c r="AH395" s="102" t="str">
        <f>IF(A395&lt;&gt;"",COUNTIFS('QA Log'!D:D,A395,'QA Log'!M:M,"QQC",'QA Log'!L:L,"2. Hygiene and Sterilization",'QA Log'!Z:Z,"Approved"),"")</f>
        <v/>
      </c>
      <c r="AI395" s="102"/>
      <c r="AJ395" s="102"/>
      <c r="AK395" s="103" t="str">
        <f t="shared" si="17"/>
        <v/>
      </c>
      <c r="AL395" s="102"/>
      <c r="AM395" s="102"/>
      <c r="AN395" s="102"/>
      <c r="AO395" s="106"/>
      <c r="AP395" s="103"/>
      <c r="AQ395" s="102"/>
      <c r="AR395" s="102"/>
      <c r="AS395" s="102"/>
      <c r="AT395" s="107"/>
      <c r="AU395" s="102" t="str">
        <f t="shared" si="18"/>
        <v/>
      </c>
      <c r="AV395" s="102" t="str">
        <f t="shared" si="19"/>
        <v/>
      </c>
      <c r="AW395" s="102" t="str">
        <f t="shared" si="20"/>
        <v/>
      </c>
      <c r="AX395" s="102" t="str">
        <f t="shared" si="21"/>
        <v/>
      </c>
      <c r="AY395" s="107" t="str">
        <f t="shared" si="22"/>
        <v/>
      </c>
      <c r="AZ395" s="108" t="str">
        <f t="shared" si="23"/>
        <v/>
      </c>
      <c r="BA395" s="108" t="str">
        <f t="shared" si="24"/>
        <v/>
      </c>
      <c r="BB395" s="109" t="str">
        <f t="shared" si="25"/>
        <v/>
      </c>
      <c r="BC395" s="108" t="str">
        <f t="shared" si="26"/>
        <v/>
      </c>
      <c r="BD395" s="108" t="str">
        <f t="shared" si="27"/>
        <v/>
      </c>
      <c r="BE395" s="109" t="str">
        <f t="shared" si="28"/>
        <v/>
      </c>
      <c r="BF395" s="110" t="str">
        <f t="shared" si="29"/>
        <v/>
      </c>
      <c r="BG395" s="111"/>
    </row>
    <row r="396" spans="1:59" ht="12.75">
      <c r="A396" s="101"/>
      <c r="B396" s="102"/>
      <c r="C396" s="102" t="e">
        <f t="array" aca="1" ref="C396" ca="1">_xludf.XLOOKUP(A396,'QA Log'!D:D,'QA Log'!F:F,"")</f>
        <v>#NAME?</v>
      </c>
      <c r="D396" s="102"/>
      <c r="E396" s="102" t="e">
        <f t="array" aca="1" ref="E396" ca="1">_xludf.XLOOKUP(A396,'QA Log'!D:D,'QA Log'!G:G,"")</f>
        <v>#NAME?</v>
      </c>
      <c r="F396" s="103"/>
      <c r="G396" s="104"/>
      <c r="H396" s="104"/>
      <c r="I396" s="103" t="str">
        <f t="shared" si="15"/>
        <v/>
      </c>
      <c r="J396" s="102"/>
      <c r="K396" s="102"/>
      <c r="L396" s="119" t="str">
        <f t="array" ref="L396">IF(OR($B396="",$D396=""),"",
IFERROR(
  INDEX(
    'Tools &amp; Targets_Guideline'!$C$54:$I$269,
    MATCH(
      1,
      ('Tools &amp; Targets_Guideline'!$A$54:$A$269=$B396)*
      ('Tools &amp; Targets_Guideline'!$B$54:$B$269="ANC"),
      0
    ),
    MATCH(
      _xludf.IFNA(
        VLOOKUP($D396,{"PH","Provincial Hospital (H2)";"DH","District Hospital (H3)";"RH","Regional / National Hospital (H1)"},2,0),
        $D396
      ),
      'Tools &amp; Targets_Guideline'!$C$53:$I$53,
      0
    )
  ),
0))</f>
        <v/>
      </c>
      <c r="M396" s="102"/>
      <c r="N396" s="119" t="str">
        <f t="array" ref="N396">IF(OR($B396="",$D396=""),"",
IFERROR(
  INDEX(
    'Tools &amp; Targets_Guideline'!$C$54:$I$269,
    MATCH(
      1,
      ('Tools &amp; Targets_Guideline'!$A$54:$A$269=$B396)*
      ('Tools &amp; Targets_Guideline'!$B$54:$B$269="PNC"),
      0
    ),
    MATCH(
      _xludf.IFNA(
        VLOOKUP($D396,{"PH","Provincial Hospital (H2)";"DH","District Hospital (H3)";"RH","Regional / National Hospital (H1)"},2,0),
        $D396
      ),
      'Tools &amp; Targets_Guideline'!$C$53:$I$53,
      0
    )
  ),
0))</f>
        <v/>
      </c>
      <c r="O396" s="102"/>
      <c r="P396" s="119" t="str">
        <f t="array" ref="P396">IF(OR($B396="",$D396=""),"",
IFERROR(
  INDEX(
    'Tools &amp; Targets_Guideline'!$C$54:$I$269,
    MATCH(
      1,
      ('Tools &amp; Targets_Guideline'!$A$54:$A$269=$B396)*
      ('Tools &amp; Targets_Guideline'!$B$54:$B$269="Delivery"),
      0
    ),
    MATCH(
      _xludf.IFNA(
        VLOOKUP($D396,{"PH","Provincial Hospital (H2)";"DH","District Hospital (H3)";"RH","Regional / National Hospital (H1)"},2,0),
        $D396
      ),
      'Tools &amp; Targets_Guideline'!$C$53:$I$53,
      0
    )
  ),
0))</f>
        <v/>
      </c>
      <c r="Q396" s="102"/>
      <c r="R396" s="119" t="str">
        <f t="array" ref="R396">IF(OR($B396="",$D396=""),"",
IFERROR(
  INDEX(
    'Tools &amp; Targets_Guideline'!$C$54:$I$269,
    MATCH(
      1,
      ('Tools &amp; Targets_Guideline'!$A$54:$A$269=$B396)*
      ('Tools &amp; Targets_Guideline'!$B$54:$B$269="TT"),
      0
    ),
    MATCH(
      _xludf.IFNA(
        VLOOKUP($D396,{"PH","Provincial Hospital (H2)";"DH","District Hospital (H3)";"RH","Regional / National Hospital (H1)"},2,0),
        $D396
      ),
      'Tools &amp; Targets_Guideline'!$C$53:$I$53,
      0
    )
  ),
0))</f>
        <v/>
      </c>
      <c r="S396" s="102"/>
      <c r="T396" s="102"/>
      <c r="U396" s="106"/>
      <c r="V396" s="102" t="str">
        <f t="shared" si="16"/>
        <v/>
      </c>
      <c r="W396" s="102"/>
      <c r="X396" s="102"/>
      <c r="Y396" s="119" t="str">
        <f t="array" ref="Y396">IF(OR($B396="",$D396=""),"",
IFERROR(
  INDEX(
    'Tools &amp; Targets_Guideline'!$C$54:$I$269,
    MATCH(
      1,
      ('Tools &amp; Targets_Guideline'!$A$54:$A$269=$B396)*
      ('Tools &amp; Targets_Guideline'!$B$54:$B$269="GM"),
      0
    ),
    MATCH(
      _xludf.IFNA(
        VLOOKUP($D396,{"PH","Provincial Hospital (H2)";"DH","District Hospital (H3)";"RH","Regional / National Hospital (H1)"},2,0),
        $D396
      ),
      'Tools &amp; Targets_Guideline'!$C$53:$I$53,
      0
    )
  ),
0))</f>
        <v/>
      </c>
      <c r="Z396" s="102"/>
      <c r="AA396" s="119" t="str">
        <f t="array" ref="AA396">IF(OR($B396="",$D396=""),"",
IFERROR(
  INDEX(
    'Tools &amp; Targets_Guideline'!$C$54:$I$269,
    MATCH(
      1,
      ('Tools &amp; Targets_Guideline'!$A$54:$A$269=$B396)*
      ('Tools &amp; Targets_Guideline'!$B$54:$B$269="Penta"),
      0
    ),
    MATCH(
      _xludf.IFNA(
        VLOOKUP($D396,{"PH","Provincial Hospital (H2)";"DH","District Hospital (H3)";"RH","Regional / National Hospital (H1)"},2,0),
        $D396
      ),
      'Tools &amp; Targets_Guideline'!$C$53:$I$53,
      0
    )
  ),
0))</f>
        <v/>
      </c>
      <c r="AB396" s="102"/>
      <c r="AC396" s="119" t="str">
        <f t="array" ref="AC396">IF(OR($B396="",$D396=""),"",
IFERROR(
  INDEX(
    'Tools &amp; Targets_Guideline'!$C$54:$I$269,
    MATCH(
      1,
      ('Tools &amp; Targets_Guideline'!$A$54:$A$269=$B396)*
      ('Tools &amp; Targets_Guideline'!$B$54:$B$269="TB"),
      0
    ),
    MATCH(
      _xludf.IFNA(
        VLOOKUP($D396,{"PH","Provincial Hospital (H2)";"DH","District Hospital (H3)";"RH","Regional / National Hospital (H1)"},2,0),
        $D396
      ),
      'Tools &amp; Targets_Guideline'!$C$53:$I$53,
      0
    )
  ),
0))</f>
        <v/>
      </c>
      <c r="AD396" s="102"/>
      <c r="AE396" s="119" t="str">
        <f t="array" ref="AE396">IF(OR($B396="",$D396=""),"",
IFERROR(
  INDEX(
    'Tools &amp; Targets_Guideline'!$C$54:$I$269,
    MATCH(
      1,
      ('Tools &amp; Targets_Guideline'!$A$54:$A$269=$B396)*
      ('Tools &amp; Targets_Guideline'!$B$54:$B$269="U5 Morbidity"),
      0
    ),
    MATCH(
      _xludf.IFNA(
        VLOOKUP($D396,{"PH","Provincial Hospital (H2)";"DH","District Hospital (H3)";"RH","Regional / National Hospital (H1)"},2,0),
        $D396
      ),
      'Tools &amp; Targets_Guideline'!$C$53:$I$53,
      0
    )
  ),
0))</f>
        <v/>
      </c>
      <c r="AF396" s="102"/>
      <c r="AG396" s="119" t="str">
        <f t="array" ref="AG396">IF(OR($B396="",$D396=""),"",
IFERROR(
  INDEX(
    'Tools &amp; Targets_Guideline'!$C$54:$I$269,
    MATCH(
      1,
      ('Tools &amp; Targets_Guideline'!$A$54:$A$269=$B396)*
      ('Tools &amp; Targets_Guideline'!$B$54:$B$269="C-Section"),
      0
    ),
    MATCH(
      _xludf.IFNA(
        VLOOKUP($D396,{"PH","Provincial Hospital (H2)";"DH","District Hospital (H3)";"RH","Regional / National Hospital (H1)"},2,0),
        $D396
      ),
      'Tools &amp; Targets_Guideline'!$C$53:$I$53,
      0
    )
  ),
0))</f>
        <v/>
      </c>
      <c r="AH396" s="102" t="str">
        <f>IF(A396&lt;&gt;"",COUNTIFS('QA Log'!D:D,A396,'QA Log'!M:M,"QQC",'QA Log'!L:L,"2. Hygiene and Sterilization",'QA Log'!Z:Z,"Approved"),"")</f>
        <v/>
      </c>
      <c r="AI396" s="102"/>
      <c r="AJ396" s="102"/>
      <c r="AK396" s="103" t="str">
        <f t="shared" si="17"/>
        <v/>
      </c>
      <c r="AL396" s="102"/>
      <c r="AM396" s="102"/>
      <c r="AN396" s="102"/>
      <c r="AO396" s="106"/>
      <c r="AP396" s="103"/>
      <c r="AQ396" s="102"/>
      <c r="AR396" s="102"/>
      <c r="AS396" s="102"/>
      <c r="AT396" s="107"/>
      <c r="AU396" s="102" t="str">
        <f t="shared" si="18"/>
        <v/>
      </c>
      <c r="AV396" s="102" t="str">
        <f t="shared" si="19"/>
        <v/>
      </c>
      <c r="AW396" s="102" t="str">
        <f t="shared" si="20"/>
        <v/>
      </c>
      <c r="AX396" s="102" t="str">
        <f t="shared" si="21"/>
        <v/>
      </c>
      <c r="AY396" s="107" t="str">
        <f t="shared" si="22"/>
        <v/>
      </c>
      <c r="AZ396" s="108" t="str">
        <f t="shared" si="23"/>
        <v/>
      </c>
      <c r="BA396" s="108" t="str">
        <f t="shared" si="24"/>
        <v/>
      </c>
      <c r="BB396" s="109" t="str">
        <f t="shared" si="25"/>
        <v/>
      </c>
      <c r="BC396" s="108" t="str">
        <f t="shared" si="26"/>
        <v/>
      </c>
      <c r="BD396" s="108" t="str">
        <f t="shared" si="27"/>
        <v/>
      </c>
      <c r="BE396" s="109" t="str">
        <f t="shared" si="28"/>
        <v/>
      </c>
      <c r="BF396" s="110" t="str">
        <f t="shared" si="29"/>
        <v/>
      </c>
      <c r="BG396" s="111"/>
    </row>
    <row r="397" spans="1:59" ht="12.75">
      <c r="A397" s="101"/>
      <c r="B397" s="102"/>
      <c r="C397" s="102" t="e">
        <f t="array" aca="1" ref="C397" ca="1">_xludf.XLOOKUP(A397,'QA Log'!D:D,'QA Log'!F:F,"")</f>
        <v>#NAME?</v>
      </c>
      <c r="D397" s="102"/>
      <c r="E397" s="102" t="e">
        <f t="array" aca="1" ref="E397" ca="1">_xludf.XLOOKUP(A397,'QA Log'!D:D,'QA Log'!G:G,"")</f>
        <v>#NAME?</v>
      </c>
      <c r="F397" s="103"/>
      <c r="G397" s="104"/>
      <c r="H397" s="104"/>
      <c r="I397" s="103" t="str">
        <f t="shared" si="15"/>
        <v/>
      </c>
      <c r="J397" s="102"/>
      <c r="K397" s="102"/>
      <c r="L397" s="119" t="str">
        <f t="array" ref="L397">IF(OR($B397="",$D397=""),"",
IFERROR(
  INDEX(
    'Tools &amp; Targets_Guideline'!$C$54:$I$269,
    MATCH(
      1,
      ('Tools &amp; Targets_Guideline'!$A$54:$A$269=$B397)*
      ('Tools &amp; Targets_Guideline'!$B$54:$B$269="ANC"),
      0
    ),
    MATCH(
      _xludf.IFNA(
        VLOOKUP($D397,{"PH","Provincial Hospital (H2)";"DH","District Hospital (H3)";"RH","Regional / National Hospital (H1)"},2,0),
        $D397
      ),
      'Tools &amp; Targets_Guideline'!$C$53:$I$53,
      0
    )
  ),
0))</f>
        <v/>
      </c>
      <c r="M397" s="102"/>
      <c r="N397" s="119" t="str">
        <f t="array" ref="N397">IF(OR($B397="",$D397=""),"",
IFERROR(
  INDEX(
    'Tools &amp; Targets_Guideline'!$C$54:$I$269,
    MATCH(
      1,
      ('Tools &amp; Targets_Guideline'!$A$54:$A$269=$B397)*
      ('Tools &amp; Targets_Guideline'!$B$54:$B$269="PNC"),
      0
    ),
    MATCH(
      _xludf.IFNA(
        VLOOKUP($D397,{"PH","Provincial Hospital (H2)";"DH","District Hospital (H3)";"RH","Regional / National Hospital (H1)"},2,0),
        $D397
      ),
      'Tools &amp; Targets_Guideline'!$C$53:$I$53,
      0
    )
  ),
0))</f>
        <v/>
      </c>
      <c r="O397" s="102"/>
      <c r="P397" s="119" t="str">
        <f t="array" ref="P397">IF(OR($B397="",$D397=""),"",
IFERROR(
  INDEX(
    'Tools &amp; Targets_Guideline'!$C$54:$I$269,
    MATCH(
      1,
      ('Tools &amp; Targets_Guideline'!$A$54:$A$269=$B397)*
      ('Tools &amp; Targets_Guideline'!$B$54:$B$269="Delivery"),
      0
    ),
    MATCH(
      _xludf.IFNA(
        VLOOKUP($D397,{"PH","Provincial Hospital (H2)";"DH","District Hospital (H3)";"RH","Regional / National Hospital (H1)"},2,0),
        $D397
      ),
      'Tools &amp; Targets_Guideline'!$C$53:$I$53,
      0
    )
  ),
0))</f>
        <v/>
      </c>
      <c r="Q397" s="102"/>
      <c r="R397" s="119" t="str">
        <f t="array" ref="R397">IF(OR($B397="",$D397=""),"",
IFERROR(
  INDEX(
    'Tools &amp; Targets_Guideline'!$C$54:$I$269,
    MATCH(
      1,
      ('Tools &amp; Targets_Guideline'!$A$54:$A$269=$B397)*
      ('Tools &amp; Targets_Guideline'!$B$54:$B$269="TT"),
      0
    ),
    MATCH(
      _xludf.IFNA(
        VLOOKUP($D397,{"PH","Provincial Hospital (H2)";"DH","District Hospital (H3)";"RH","Regional / National Hospital (H1)"},2,0),
        $D397
      ),
      'Tools &amp; Targets_Guideline'!$C$53:$I$53,
      0
    )
  ),
0))</f>
        <v/>
      </c>
      <c r="S397" s="102"/>
      <c r="T397" s="102"/>
      <c r="U397" s="106"/>
      <c r="V397" s="102" t="str">
        <f t="shared" si="16"/>
        <v/>
      </c>
      <c r="W397" s="102"/>
      <c r="X397" s="102"/>
      <c r="Y397" s="119" t="str">
        <f t="array" ref="Y397">IF(OR($B397="",$D397=""),"",
IFERROR(
  INDEX(
    'Tools &amp; Targets_Guideline'!$C$54:$I$269,
    MATCH(
      1,
      ('Tools &amp; Targets_Guideline'!$A$54:$A$269=$B397)*
      ('Tools &amp; Targets_Guideline'!$B$54:$B$269="GM"),
      0
    ),
    MATCH(
      _xludf.IFNA(
        VLOOKUP($D397,{"PH","Provincial Hospital (H2)";"DH","District Hospital (H3)";"RH","Regional / National Hospital (H1)"},2,0),
        $D397
      ),
      'Tools &amp; Targets_Guideline'!$C$53:$I$53,
      0
    )
  ),
0))</f>
        <v/>
      </c>
      <c r="Z397" s="102"/>
      <c r="AA397" s="119" t="str">
        <f t="array" ref="AA397">IF(OR($B397="",$D397=""),"",
IFERROR(
  INDEX(
    'Tools &amp; Targets_Guideline'!$C$54:$I$269,
    MATCH(
      1,
      ('Tools &amp; Targets_Guideline'!$A$54:$A$269=$B397)*
      ('Tools &amp; Targets_Guideline'!$B$54:$B$269="Penta"),
      0
    ),
    MATCH(
      _xludf.IFNA(
        VLOOKUP($D397,{"PH","Provincial Hospital (H2)";"DH","District Hospital (H3)";"RH","Regional / National Hospital (H1)"},2,0),
        $D397
      ),
      'Tools &amp; Targets_Guideline'!$C$53:$I$53,
      0
    )
  ),
0))</f>
        <v/>
      </c>
      <c r="AB397" s="102"/>
      <c r="AC397" s="119" t="str">
        <f t="array" ref="AC397">IF(OR($B397="",$D397=""),"",
IFERROR(
  INDEX(
    'Tools &amp; Targets_Guideline'!$C$54:$I$269,
    MATCH(
      1,
      ('Tools &amp; Targets_Guideline'!$A$54:$A$269=$B397)*
      ('Tools &amp; Targets_Guideline'!$B$54:$B$269="TB"),
      0
    ),
    MATCH(
      _xludf.IFNA(
        VLOOKUP($D397,{"PH","Provincial Hospital (H2)";"DH","District Hospital (H3)";"RH","Regional / National Hospital (H1)"},2,0),
        $D397
      ),
      'Tools &amp; Targets_Guideline'!$C$53:$I$53,
      0
    )
  ),
0))</f>
        <v/>
      </c>
      <c r="AD397" s="102"/>
      <c r="AE397" s="119" t="str">
        <f t="array" ref="AE397">IF(OR($B397="",$D397=""),"",
IFERROR(
  INDEX(
    'Tools &amp; Targets_Guideline'!$C$54:$I$269,
    MATCH(
      1,
      ('Tools &amp; Targets_Guideline'!$A$54:$A$269=$B397)*
      ('Tools &amp; Targets_Guideline'!$B$54:$B$269="U5 Morbidity"),
      0
    ),
    MATCH(
      _xludf.IFNA(
        VLOOKUP($D397,{"PH","Provincial Hospital (H2)";"DH","District Hospital (H3)";"RH","Regional / National Hospital (H1)"},2,0),
        $D397
      ),
      'Tools &amp; Targets_Guideline'!$C$53:$I$53,
      0
    )
  ),
0))</f>
        <v/>
      </c>
      <c r="AF397" s="102"/>
      <c r="AG397" s="119" t="str">
        <f t="array" ref="AG397">IF(OR($B397="",$D397=""),"",
IFERROR(
  INDEX(
    'Tools &amp; Targets_Guideline'!$C$54:$I$269,
    MATCH(
      1,
      ('Tools &amp; Targets_Guideline'!$A$54:$A$269=$B397)*
      ('Tools &amp; Targets_Guideline'!$B$54:$B$269="C-Section"),
      0
    ),
    MATCH(
      _xludf.IFNA(
        VLOOKUP($D397,{"PH","Provincial Hospital (H2)";"DH","District Hospital (H3)";"RH","Regional / National Hospital (H1)"},2,0),
        $D397
      ),
      'Tools &amp; Targets_Guideline'!$C$53:$I$53,
      0
    )
  ),
0))</f>
        <v/>
      </c>
      <c r="AH397" s="102" t="str">
        <f>IF(A397&lt;&gt;"",COUNTIFS('QA Log'!D:D,A397,'QA Log'!M:M,"QQC",'QA Log'!L:L,"2. Hygiene and Sterilization",'QA Log'!Z:Z,"Approved"),"")</f>
        <v/>
      </c>
      <c r="AI397" s="102"/>
      <c r="AJ397" s="102"/>
      <c r="AK397" s="103" t="str">
        <f t="shared" si="17"/>
        <v/>
      </c>
      <c r="AL397" s="102"/>
      <c r="AM397" s="102"/>
      <c r="AN397" s="102"/>
      <c r="AO397" s="106"/>
      <c r="AP397" s="103"/>
      <c r="AQ397" s="102"/>
      <c r="AR397" s="102"/>
      <c r="AS397" s="102"/>
      <c r="AT397" s="107"/>
      <c r="AU397" s="102" t="str">
        <f t="shared" si="18"/>
        <v/>
      </c>
      <c r="AV397" s="102" t="str">
        <f t="shared" si="19"/>
        <v/>
      </c>
      <c r="AW397" s="102" t="str">
        <f t="shared" si="20"/>
        <v/>
      </c>
      <c r="AX397" s="102" t="str">
        <f t="shared" si="21"/>
        <v/>
      </c>
      <c r="AY397" s="107" t="str">
        <f t="shared" si="22"/>
        <v/>
      </c>
      <c r="AZ397" s="108" t="str">
        <f t="shared" si="23"/>
        <v/>
      </c>
      <c r="BA397" s="108" t="str">
        <f t="shared" si="24"/>
        <v/>
      </c>
      <c r="BB397" s="109" t="str">
        <f t="shared" si="25"/>
        <v/>
      </c>
      <c r="BC397" s="108" t="str">
        <f t="shared" si="26"/>
        <v/>
      </c>
      <c r="BD397" s="108" t="str">
        <f t="shared" si="27"/>
        <v/>
      </c>
      <c r="BE397" s="109" t="str">
        <f t="shared" si="28"/>
        <v/>
      </c>
      <c r="BF397" s="110" t="str">
        <f t="shared" si="29"/>
        <v/>
      </c>
      <c r="BG397" s="111"/>
    </row>
    <row r="398" spans="1:59" ht="12.75">
      <c r="A398" s="101"/>
      <c r="B398" s="102"/>
      <c r="C398" s="102" t="e">
        <f t="array" aca="1" ref="C398" ca="1">_xludf.XLOOKUP(A398,'QA Log'!D:D,'QA Log'!F:F,"")</f>
        <v>#NAME?</v>
      </c>
      <c r="D398" s="102"/>
      <c r="E398" s="102" t="e">
        <f t="array" aca="1" ref="E398" ca="1">_xludf.XLOOKUP(A398,'QA Log'!D:D,'QA Log'!G:G,"")</f>
        <v>#NAME?</v>
      </c>
      <c r="F398" s="103"/>
      <c r="G398" s="104"/>
      <c r="H398" s="104"/>
      <c r="I398" s="103" t="str">
        <f t="shared" si="15"/>
        <v/>
      </c>
      <c r="J398" s="102"/>
      <c r="K398" s="102"/>
      <c r="L398" s="119" t="str">
        <f t="array" ref="L398">IF(OR($B398="",$D398=""),"",
IFERROR(
  INDEX(
    'Tools &amp; Targets_Guideline'!$C$54:$I$269,
    MATCH(
      1,
      ('Tools &amp; Targets_Guideline'!$A$54:$A$269=$B398)*
      ('Tools &amp; Targets_Guideline'!$B$54:$B$269="ANC"),
      0
    ),
    MATCH(
      _xludf.IFNA(
        VLOOKUP($D398,{"PH","Provincial Hospital (H2)";"DH","District Hospital (H3)";"RH","Regional / National Hospital (H1)"},2,0),
        $D398
      ),
      'Tools &amp; Targets_Guideline'!$C$53:$I$53,
      0
    )
  ),
0))</f>
        <v/>
      </c>
      <c r="M398" s="102"/>
      <c r="N398" s="119" t="str">
        <f t="array" ref="N398">IF(OR($B398="",$D398=""),"",
IFERROR(
  INDEX(
    'Tools &amp; Targets_Guideline'!$C$54:$I$269,
    MATCH(
      1,
      ('Tools &amp; Targets_Guideline'!$A$54:$A$269=$B398)*
      ('Tools &amp; Targets_Guideline'!$B$54:$B$269="PNC"),
      0
    ),
    MATCH(
      _xludf.IFNA(
        VLOOKUP($D398,{"PH","Provincial Hospital (H2)";"DH","District Hospital (H3)";"RH","Regional / National Hospital (H1)"},2,0),
        $D398
      ),
      'Tools &amp; Targets_Guideline'!$C$53:$I$53,
      0
    )
  ),
0))</f>
        <v/>
      </c>
      <c r="O398" s="102"/>
      <c r="P398" s="119" t="str">
        <f t="array" ref="P398">IF(OR($B398="",$D398=""),"",
IFERROR(
  INDEX(
    'Tools &amp; Targets_Guideline'!$C$54:$I$269,
    MATCH(
      1,
      ('Tools &amp; Targets_Guideline'!$A$54:$A$269=$B398)*
      ('Tools &amp; Targets_Guideline'!$B$54:$B$269="Delivery"),
      0
    ),
    MATCH(
      _xludf.IFNA(
        VLOOKUP($D398,{"PH","Provincial Hospital (H2)";"DH","District Hospital (H3)";"RH","Regional / National Hospital (H1)"},2,0),
        $D398
      ),
      'Tools &amp; Targets_Guideline'!$C$53:$I$53,
      0
    )
  ),
0))</f>
        <v/>
      </c>
      <c r="Q398" s="102"/>
      <c r="R398" s="119" t="str">
        <f t="array" ref="R398">IF(OR($B398="",$D398=""),"",
IFERROR(
  INDEX(
    'Tools &amp; Targets_Guideline'!$C$54:$I$269,
    MATCH(
      1,
      ('Tools &amp; Targets_Guideline'!$A$54:$A$269=$B398)*
      ('Tools &amp; Targets_Guideline'!$B$54:$B$269="TT"),
      0
    ),
    MATCH(
      _xludf.IFNA(
        VLOOKUP($D398,{"PH","Provincial Hospital (H2)";"DH","District Hospital (H3)";"RH","Regional / National Hospital (H1)"},2,0),
        $D398
      ),
      'Tools &amp; Targets_Guideline'!$C$53:$I$53,
      0
    )
  ),
0))</f>
        <v/>
      </c>
      <c r="S398" s="102"/>
      <c r="T398" s="102"/>
      <c r="U398" s="106"/>
      <c r="V398" s="102" t="str">
        <f t="shared" si="16"/>
        <v/>
      </c>
      <c r="W398" s="102"/>
      <c r="X398" s="102"/>
      <c r="Y398" s="119" t="str">
        <f t="array" ref="Y398">IF(OR($B398="",$D398=""),"",
IFERROR(
  INDEX(
    'Tools &amp; Targets_Guideline'!$C$54:$I$269,
    MATCH(
      1,
      ('Tools &amp; Targets_Guideline'!$A$54:$A$269=$B398)*
      ('Tools &amp; Targets_Guideline'!$B$54:$B$269="GM"),
      0
    ),
    MATCH(
      _xludf.IFNA(
        VLOOKUP($D398,{"PH","Provincial Hospital (H2)";"DH","District Hospital (H3)";"RH","Regional / National Hospital (H1)"},2,0),
        $D398
      ),
      'Tools &amp; Targets_Guideline'!$C$53:$I$53,
      0
    )
  ),
0))</f>
        <v/>
      </c>
      <c r="Z398" s="102"/>
      <c r="AA398" s="119" t="str">
        <f t="array" ref="AA398">IF(OR($B398="",$D398=""),"",
IFERROR(
  INDEX(
    'Tools &amp; Targets_Guideline'!$C$54:$I$269,
    MATCH(
      1,
      ('Tools &amp; Targets_Guideline'!$A$54:$A$269=$B398)*
      ('Tools &amp; Targets_Guideline'!$B$54:$B$269="Penta"),
      0
    ),
    MATCH(
      _xludf.IFNA(
        VLOOKUP($D398,{"PH","Provincial Hospital (H2)";"DH","District Hospital (H3)";"RH","Regional / National Hospital (H1)"},2,0),
        $D398
      ),
      'Tools &amp; Targets_Guideline'!$C$53:$I$53,
      0
    )
  ),
0))</f>
        <v/>
      </c>
      <c r="AB398" s="102"/>
      <c r="AC398" s="119" t="str">
        <f t="array" ref="AC398">IF(OR($B398="",$D398=""),"",
IFERROR(
  INDEX(
    'Tools &amp; Targets_Guideline'!$C$54:$I$269,
    MATCH(
      1,
      ('Tools &amp; Targets_Guideline'!$A$54:$A$269=$B398)*
      ('Tools &amp; Targets_Guideline'!$B$54:$B$269="TB"),
      0
    ),
    MATCH(
      _xludf.IFNA(
        VLOOKUP($D398,{"PH","Provincial Hospital (H2)";"DH","District Hospital (H3)";"RH","Regional / National Hospital (H1)"},2,0),
        $D398
      ),
      'Tools &amp; Targets_Guideline'!$C$53:$I$53,
      0
    )
  ),
0))</f>
        <v/>
      </c>
      <c r="AD398" s="102"/>
      <c r="AE398" s="119" t="str">
        <f t="array" ref="AE398">IF(OR($B398="",$D398=""),"",
IFERROR(
  INDEX(
    'Tools &amp; Targets_Guideline'!$C$54:$I$269,
    MATCH(
      1,
      ('Tools &amp; Targets_Guideline'!$A$54:$A$269=$B398)*
      ('Tools &amp; Targets_Guideline'!$B$54:$B$269="U5 Morbidity"),
      0
    ),
    MATCH(
      _xludf.IFNA(
        VLOOKUP($D398,{"PH","Provincial Hospital (H2)";"DH","District Hospital (H3)";"RH","Regional / National Hospital (H1)"},2,0),
        $D398
      ),
      'Tools &amp; Targets_Guideline'!$C$53:$I$53,
      0
    )
  ),
0))</f>
        <v/>
      </c>
      <c r="AF398" s="102"/>
      <c r="AG398" s="119" t="str">
        <f t="array" ref="AG398">IF(OR($B398="",$D398=""),"",
IFERROR(
  INDEX(
    'Tools &amp; Targets_Guideline'!$C$54:$I$269,
    MATCH(
      1,
      ('Tools &amp; Targets_Guideline'!$A$54:$A$269=$B398)*
      ('Tools &amp; Targets_Guideline'!$B$54:$B$269="C-Section"),
      0
    ),
    MATCH(
      _xludf.IFNA(
        VLOOKUP($D398,{"PH","Provincial Hospital (H2)";"DH","District Hospital (H3)";"RH","Regional / National Hospital (H1)"},2,0),
        $D398
      ),
      'Tools &amp; Targets_Guideline'!$C$53:$I$53,
      0
    )
  ),
0))</f>
        <v/>
      </c>
      <c r="AH398" s="102" t="str">
        <f>IF(A398&lt;&gt;"",COUNTIFS('QA Log'!D:D,A398,'QA Log'!M:M,"QQC",'QA Log'!L:L,"2. Hygiene and Sterilization",'QA Log'!Z:Z,"Approved"),"")</f>
        <v/>
      </c>
      <c r="AI398" s="102"/>
      <c r="AJ398" s="102"/>
      <c r="AK398" s="103" t="str">
        <f t="shared" si="17"/>
        <v/>
      </c>
      <c r="AL398" s="102"/>
      <c r="AM398" s="102"/>
      <c r="AN398" s="102"/>
      <c r="AO398" s="106"/>
      <c r="AP398" s="103"/>
      <c r="AQ398" s="102"/>
      <c r="AR398" s="102"/>
      <c r="AS398" s="102"/>
      <c r="AT398" s="107"/>
      <c r="AU398" s="102" t="str">
        <f t="shared" si="18"/>
        <v/>
      </c>
      <c r="AV398" s="102" t="str">
        <f t="shared" si="19"/>
        <v/>
      </c>
      <c r="AW398" s="102" t="str">
        <f t="shared" si="20"/>
        <v/>
      </c>
      <c r="AX398" s="102" t="str">
        <f t="shared" si="21"/>
        <v/>
      </c>
      <c r="AY398" s="107" t="str">
        <f t="shared" si="22"/>
        <v/>
      </c>
      <c r="AZ398" s="108" t="str">
        <f t="shared" si="23"/>
        <v/>
      </c>
      <c r="BA398" s="108" t="str">
        <f t="shared" si="24"/>
        <v/>
      </c>
      <c r="BB398" s="109" t="str">
        <f t="shared" si="25"/>
        <v/>
      </c>
      <c r="BC398" s="108" t="str">
        <f t="shared" si="26"/>
        <v/>
      </c>
      <c r="BD398" s="108" t="str">
        <f t="shared" si="27"/>
        <v/>
      </c>
      <c r="BE398" s="109" t="str">
        <f t="shared" si="28"/>
        <v/>
      </c>
      <c r="BF398" s="110" t="str">
        <f t="shared" si="29"/>
        <v/>
      </c>
      <c r="BG398" s="111"/>
    </row>
    <row r="399" spans="1:59" ht="12.75">
      <c r="A399" s="101"/>
      <c r="B399" s="102"/>
      <c r="C399" s="102" t="e">
        <f t="array" aca="1" ref="C399" ca="1">_xludf.XLOOKUP(A399,'QA Log'!D:D,'QA Log'!F:F,"")</f>
        <v>#NAME?</v>
      </c>
      <c r="D399" s="102"/>
      <c r="E399" s="102" t="e">
        <f t="array" aca="1" ref="E399" ca="1">_xludf.XLOOKUP(A399,'QA Log'!D:D,'QA Log'!G:G,"")</f>
        <v>#NAME?</v>
      </c>
      <c r="F399" s="103"/>
      <c r="G399" s="104"/>
      <c r="H399" s="104"/>
      <c r="I399" s="103" t="str">
        <f t="shared" si="15"/>
        <v/>
      </c>
      <c r="J399" s="102"/>
      <c r="K399" s="102"/>
      <c r="L399" s="119" t="str">
        <f t="array" ref="L399">IF(OR($B399="",$D399=""),"",
IFERROR(
  INDEX(
    'Tools &amp; Targets_Guideline'!$C$54:$I$269,
    MATCH(
      1,
      ('Tools &amp; Targets_Guideline'!$A$54:$A$269=$B399)*
      ('Tools &amp; Targets_Guideline'!$B$54:$B$269="ANC"),
      0
    ),
    MATCH(
      _xludf.IFNA(
        VLOOKUP($D399,{"PH","Provincial Hospital (H2)";"DH","District Hospital (H3)";"RH","Regional / National Hospital (H1)"},2,0),
        $D399
      ),
      'Tools &amp; Targets_Guideline'!$C$53:$I$53,
      0
    )
  ),
0))</f>
        <v/>
      </c>
      <c r="M399" s="102"/>
      <c r="N399" s="119" t="str">
        <f t="array" ref="N399">IF(OR($B399="",$D399=""),"",
IFERROR(
  INDEX(
    'Tools &amp; Targets_Guideline'!$C$54:$I$269,
    MATCH(
      1,
      ('Tools &amp; Targets_Guideline'!$A$54:$A$269=$B399)*
      ('Tools &amp; Targets_Guideline'!$B$54:$B$269="PNC"),
      0
    ),
    MATCH(
      _xludf.IFNA(
        VLOOKUP($D399,{"PH","Provincial Hospital (H2)";"DH","District Hospital (H3)";"RH","Regional / National Hospital (H1)"},2,0),
        $D399
      ),
      'Tools &amp; Targets_Guideline'!$C$53:$I$53,
      0
    )
  ),
0))</f>
        <v/>
      </c>
      <c r="O399" s="102"/>
      <c r="P399" s="119" t="str">
        <f t="array" ref="P399">IF(OR($B399="",$D399=""),"",
IFERROR(
  INDEX(
    'Tools &amp; Targets_Guideline'!$C$54:$I$269,
    MATCH(
      1,
      ('Tools &amp; Targets_Guideline'!$A$54:$A$269=$B399)*
      ('Tools &amp; Targets_Guideline'!$B$54:$B$269="Delivery"),
      0
    ),
    MATCH(
      _xludf.IFNA(
        VLOOKUP($D399,{"PH","Provincial Hospital (H2)";"DH","District Hospital (H3)";"RH","Regional / National Hospital (H1)"},2,0),
        $D399
      ),
      'Tools &amp; Targets_Guideline'!$C$53:$I$53,
      0
    )
  ),
0))</f>
        <v/>
      </c>
      <c r="Q399" s="102"/>
      <c r="R399" s="119" t="str">
        <f t="array" ref="R399">IF(OR($B399="",$D399=""),"",
IFERROR(
  INDEX(
    'Tools &amp; Targets_Guideline'!$C$54:$I$269,
    MATCH(
      1,
      ('Tools &amp; Targets_Guideline'!$A$54:$A$269=$B399)*
      ('Tools &amp; Targets_Guideline'!$B$54:$B$269="TT"),
      0
    ),
    MATCH(
      _xludf.IFNA(
        VLOOKUP($D399,{"PH","Provincial Hospital (H2)";"DH","District Hospital (H3)";"RH","Regional / National Hospital (H1)"},2,0),
        $D399
      ),
      'Tools &amp; Targets_Guideline'!$C$53:$I$53,
      0
    )
  ),
0))</f>
        <v/>
      </c>
      <c r="S399" s="102"/>
      <c r="T399" s="102"/>
      <c r="U399" s="106"/>
      <c r="V399" s="102" t="str">
        <f t="shared" si="16"/>
        <v/>
      </c>
      <c r="W399" s="102"/>
      <c r="X399" s="102"/>
      <c r="Y399" s="119" t="str">
        <f t="array" ref="Y399">IF(OR($B399="",$D399=""),"",
IFERROR(
  INDEX(
    'Tools &amp; Targets_Guideline'!$C$54:$I$269,
    MATCH(
      1,
      ('Tools &amp; Targets_Guideline'!$A$54:$A$269=$B399)*
      ('Tools &amp; Targets_Guideline'!$B$54:$B$269="GM"),
      0
    ),
    MATCH(
      _xludf.IFNA(
        VLOOKUP($D399,{"PH","Provincial Hospital (H2)";"DH","District Hospital (H3)";"RH","Regional / National Hospital (H1)"},2,0),
        $D399
      ),
      'Tools &amp; Targets_Guideline'!$C$53:$I$53,
      0
    )
  ),
0))</f>
        <v/>
      </c>
      <c r="Z399" s="102"/>
      <c r="AA399" s="119" t="str">
        <f t="array" ref="AA399">IF(OR($B399="",$D399=""),"",
IFERROR(
  INDEX(
    'Tools &amp; Targets_Guideline'!$C$54:$I$269,
    MATCH(
      1,
      ('Tools &amp; Targets_Guideline'!$A$54:$A$269=$B399)*
      ('Tools &amp; Targets_Guideline'!$B$54:$B$269="Penta"),
      0
    ),
    MATCH(
      _xludf.IFNA(
        VLOOKUP($D399,{"PH","Provincial Hospital (H2)";"DH","District Hospital (H3)";"RH","Regional / National Hospital (H1)"},2,0),
        $D399
      ),
      'Tools &amp; Targets_Guideline'!$C$53:$I$53,
      0
    )
  ),
0))</f>
        <v/>
      </c>
      <c r="AB399" s="102"/>
      <c r="AC399" s="119" t="str">
        <f t="array" ref="AC399">IF(OR($B399="",$D399=""),"",
IFERROR(
  INDEX(
    'Tools &amp; Targets_Guideline'!$C$54:$I$269,
    MATCH(
      1,
      ('Tools &amp; Targets_Guideline'!$A$54:$A$269=$B399)*
      ('Tools &amp; Targets_Guideline'!$B$54:$B$269="TB"),
      0
    ),
    MATCH(
      _xludf.IFNA(
        VLOOKUP($D399,{"PH","Provincial Hospital (H2)";"DH","District Hospital (H3)";"RH","Regional / National Hospital (H1)"},2,0),
        $D399
      ),
      'Tools &amp; Targets_Guideline'!$C$53:$I$53,
      0
    )
  ),
0))</f>
        <v/>
      </c>
      <c r="AD399" s="102"/>
      <c r="AE399" s="119" t="str">
        <f t="array" ref="AE399">IF(OR($B399="",$D399=""),"",
IFERROR(
  INDEX(
    'Tools &amp; Targets_Guideline'!$C$54:$I$269,
    MATCH(
      1,
      ('Tools &amp; Targets_Guideline'!$A$54:$A$269=$B399)*
      ('Tools &amp; Targets_Guideline'!$B$54:$B$269="U5 Morbidity"),
      0
    ),
    MATCH(
      _xludf.IFNA(
        VLOOKUP($D399,{"PH","Provincial Hospital (H2)";"DH","District Hospital (H3)";"RH","Regional / National Hospital (H1)"},2,0),
        $D399
      ),
      'Tools &amp; Targets_Guideline'!$C$53:$I$53,
      0
    )
  ),
0))</f>
        <v/>
      </c>
      <c r="AF399" s="102"/>
      <c r="AG399" s="119" t="str">
        <f t="array" ref="AG399">IF(OR($B399="",$D399=""),"",
IFERROR(
  INDEX(
    'Tools &amp; Targets_Guideline'!$C$54:$I$269,
    MATCH(
      1,
      ('Tools &amp; Targets_Guideline'!$A$54:$A$269=$B399)*
      ('Tools &amp; Targets_Guideline'!$B$54:$B$269="C-Section"),
      0
    ),
    MATCH(
      _xludf.IFNA(
        VLOOKUP($D399,{"PH","Provincial Hospital (H2)";"DH","District Hospital (H3)";"RH","Regional / National Hospital (H1)"},2,0),
        $D399
      ),
      'Tools &amp; Targets_Guideline'!$C$53:$I$53,
      0
    )
  ),
0))</f>
        <v/>
      </c>
      <c r="AH399" s="102" t="str">
        <f>IF(A399&lt;&gt;"",COUNTIFS('QA Log'!D:D,A399,'QA Log'!M:M,"QQC",'QA Log'!L:L,"2. Hygiene and Sterilization",'QA Log'!Z:Z,"Approved"),"")</f>
        <v/>
      </c>
      <c r="AI399" s="102"/>
      <c r="AJ399" s="102"/>
      <c r="AK399" s="103" t="str">
        <f t="shared" si="17"/>
        <v/>
      </c>
      <c r="AL399" s="102"/>
      <c r="AM399" s="102"/>
      <c r="AN399" s="102"/>
      <c r="AO399" s="106"/>
      <c r="AP399" s="103"/>
      <c r="AQ399" s="102"/>
      <c r="AR399" s="102"/>
      <c r="AS399" s="102"/>
      <c r="AT399" s="107"/>
      <c r="AU399" s="102" t="str">
        <f t="shared" si="18"/>
        <v/>
      </c>
      <c r="AV399" s="102" t="str">
        <f t="shared" si="19"/>
        <v/>
      </c>
      <c r="AW399" s="102" t="str">
        <f t="shared" si="20"/>
        <v/>
      </c>
      <c r="AX399" s="102" t="str">
        <f t="shared" si="21"/>
        <v/>
      </c>
      <c r="AY399" s="107" t="str">
        <f t="shared" si="22"/>
        <v/>
      </c>
      <c r="AZ399" s="108" t="str">
        <f t="shared" si="23"/>
        <v/>
      </c>
      <c r="BA399" s="108" t="str">
        <f t="shared" si="24"/>
        <v/>
      </c>
      <c r="BB399" s="109" t="str">
        <f t="shared" si="25"/>
        <v/>
      </c>
      <c r="BC399" s="108" t="str">
        <f t="shared" si="26"/>
        <v/>
      </c>
      <c r="BD399" s="108" t="str">
        <f t="shared" si="27"/>
        <v/>
      </c>
      <c r="BE399" s="109" t="str">
        <f t="shared" si="28"/>
        <v/>
      </c>
      <c r="BF399" s="110" t="str">
        <f t="shared" si="29"/>
        <v/>
      </c>
      <c r="BG399" s="111"/>
    </row>
    <row r="400" spans="1:59" ht="12.75">
      <c r="A400" s="101"/>
      <c r="B400" s="102"/>
      <c r="C400" s="102" t="e">
        <f t="array" aca="1" ref="C400" ca="1">_xludf.XLOOKUP(A400,'QA Log'!D:D,'QA Log'!F:F,"")</f>
        <v>#NAME?</v>
      </c>
      <c r="D400" s="102"/>
      <c r="E400" s="102" t="e">
        <f t="array" aca="1" ref="E400" ca="1">_xludf.XLOOKUP(A400,'QA Log'!D:D,'QA Log'!G:G,"")</f>
        <v>#NAME?</v>
      </c>
      <c r="F400" s="103"/>
      <c r="G400" s="104"/>
      <c r="H400" s="104"/>
      <c r="I400" s="103" t="str">
        <f t="shared" si="15"/>
        <v/>
      </c>
      <c r="J400" s="102"/>
      <c r="K400" s="102"/>
      <c r="L400" s="119" t="str">
        <f t="array" ref="L400">IF(OR($B400="",$D400=""),"",
IFERROR(
  INDEX(
    'Tools &amp; Targets_Guideline'!$C$54:$I$269,
    MATCH(
      1,
      ('Tools &amp; Targets_Guideline'!$A$54:$A$269=$B400)*
      ('Tools &amp; Targets_Guideline'!$B$54:$B$269="ANC"),
      0
    ),
    MATCH(
      _xludf.IFNA(
        VLOOKUP($D400,{"PH","Provincial Hospital (H2)";"DH","District Hospital (H3)";"RH","Regional / National Hospital (H1)"},2,0),
        $D400
      ),
      'Tools &amp; Targets_Guideline'!$C$53:$I$53,
      0
    )
  ),
0))</f>
        <v/>
      </c>
      <c r="M400" s="102"/>
      <c r="N400" s="119" t="str">
        <f t="array" ref="N400">IF(OR($B400="",$D400=""),"",
IFERROR(
  INDEX(
    'Tools &amp; Targets_Guideline'!$C$54:$I$269,
    MATCH(
      1,
      ('Tools &amp; Targets_Guideline'!$A$54:$A$269=$B400)*
      ('Tools &amp; Targets_Guideline'!$B$54:$B$269="PNC"),
      0
    ),
    MATCH(
      _xludf.IFNA(
        VLOOKUP($D400,{"PH","Provincial Hospital (H2)";"DH","District Hospital (H3)";"RH","Regional / National Hospital (H1)"},2,0),
        $D400
      ),
      'Tools &amp; Targets_Guideline'!$C$53:$I$53,
      0
    )
  ),
0))</f>
        <v/>
      </c>
      <c r="O400" s="102"/>
      <c r="P400" s="119" t="str">
        <f t="array" ref="P400">IF(OR($B400="",$D400=""),"",
IFERROR(
  INDEX(
    'Tools &amp; Targets_Guideline'!$C$54:$I$269,
    MATCH(
      1,
      ('Tools &amp; Targets_Guideline'!$A$54:$A$269=$B400)*
      ('Tools &amp; Targets_Guideline'!$B$54:$B$269="Delivery"),
      0
    ),
    MATCH(
      _xludf.IFNA(
        VLOOKUP($D400,{"PH","Provincial Hospital (H2)";"DH","District Hospital (H3)";"RH","Regional / National Hospital (H1)"},2,0),
        $D400
      ),
      'Tools &amp; Targets_Guideline'!$C$53:$I$53,
      0
    )
  ),
0))</f>
        <v/>
      </c>
      <c r="Q400" s="102"/>
      <c r="R400" s="119" t="str">
        <f t="array" ref="R400">IF(OR($B400="",$D400=""),"",
IFERROR(
  INDEX(
    'Tools &amp; Targets_Guideline'!$C$54:$I$269,
    MATCH(
      1,
      ('Tools &amp; Targets_Guideline'!$A$54:$A$269=$B400)*
      ('Tools &amp; Targets_Guideline'!$B$54:$B$269="TT"),
      0
    ),
    MATCH(
      _xludf.IFNA(
        VLOOKUP($D400,{"PH","Provincial Hospital (H2)";"DH","District Hospital (H3)";"RH","Regional / National Hospital (H1)"},2,0),
        $D400
      ),
      'Tools &amp; Targets_Guideline'!$C$53:$I$53,
      0
    )
  ),
0))</f>
        <v/>
      </c>
      <c r="S400" s="102"/>
      <c r="T400" s="102"/>
      <c r="U400" s="106"/>
      <c r="V400" s="102" t="str">
        <f t="shared" si="16"/>
        <v/>
      </c>
      <c r="W400" s="102"/>
      <c r="X400" s="102"/>
      <c r="Y400" s="119" t="str">
        <f t="array" ref="Y400">IF(OR($B400="",$D400=""),"",
IFERROR(
  INDEX(
    'Tools &amp; Targets_Guideline'!$C$54:$I$269,
    MATCH(
      1,
      ('Tools &amp; Targets_Guideline'!$A$54:$A$269=$B400)*
      ('Tools &amp; Targets_Guideline'!$B$54:$B$269="GM"),
      0
    ),
    MATCH(
      _xludf.IFNA(
        VLOOKUP($D400,{"PH","Provincial Hospital (H2)";"DH","District Hospital (H3)";"RH","Regional / National Hospital (H1)"},2,0),
        $D400
      ),
      'Tools &amp; Targets_Guideline'!$C$53:$I$53,
      0
    )
  ),
0))</f>
        <v/>
      </c>
      <c r="Z400" s="102"/>
      <c r="AA400" s="119" t="str">
        <f t="array" ref="AA400">IF(OR($B400="",$D400=""),"",
IFERROR(
  INDEX(
    'Tools &amp; Targets_Guideline'!$C$54:$I$269,
    MATCH(
      1,
      ('Tools &amp; Targets_Guideline'!$A$54:$A$269=$B400)*
      ('Tools &amp; Targets_Guideline'!$B$54:$B$269="Penta"),
      0
    ),
    MATCH(
      _xludf.IFNA(
        VLOOKUP($D400,{"PH","Provincial Hospital (H2)";"DH","District Hospital (H3)";"RH","Regional / National Hospital (H1)"},2,0),
        $D400
      ),
      'Tools &amp; Targets_Guideline'!$C$53:$I$53,
      0
    )
  ),
0))</f>
        <v/>
      </c>
      <c r="AB400" s="102"/>
      <c r="AC400" s="119" t="str">
        <f t="array" ref="AC400">IF(OR($B400="",$D400=""),"",
IFERROR(
  INDEX(
    'Tools &amp; Targets_Guideline'!$C$54:$I$269,
    MATCH(
      1,
      ('Tools &amp; Targets_Guideline'!$A$54:$A$269=$B400)*
      ('Tools &amp; Targets_Guideline'!$B$54:$B$269="TB"),
      0
    ),
    MATCH(
      _xludf.IFNA(
        VLOOKUP($D400,{"PH","Provincial Hospital (H2)";"DH","District Hospital (H3)";"RH","Regional / National Hospital (H1)"},2,0),
        $D400
      ),
      'Tools &amp; Targets_Guideline'!$C$53:$I$53,
      0
    )
  ),
0))</f>
        <v/>
      </c>
      <c r="AD400" s="102"/>
      <c r="AE400" s="119" t="str">
        <f t="array" ref="AE400">IF(OR($B400="",$D400=""),"",
IFERROR(
  INDEX(
    'Tools &amp; Targets_Guideline'!$C$54:$I$269,
    MATCH(
      1,
      ('Tools &amp; Targets_Guideline'!$A$54:$A$269=$B400)*
      ('Tools &amp; Targets_Guideline'!$B$54:$B$269="U5 Morbidity"),
      0
    ),
    MATCH(
      _xludf.IFNA(
        VLOOKUP($D400,{"PH","Provincial Hospital (H2)";"DH","District Hospital (H3)";"RH","Regional / National Hospital (H1)"},2,0),
        $D400
      ),
      'Tools &amp; Targets_Guideline'!$C$53:$I$53,
      0
    )
  ),
0))</f>
        <v/>
      </c>
      <c r="AF400" s="102"/>
      <c r="AG400" s="119" t="str">
        <f t="array" ref="AG400">IF(OR($B400="",$D400=""),"",
IFERROR(
  INDEX(
    'Tools &amp; Targets_Guideline'!$C$54:$I$269,
    MATCH(
      1,
      ('Tools &amp; Targets_Guideline'!$A$54:$A$269=$B400)*
      ('Tools &amp; Targets_Guideline'!$B$54:$B$269="C-Section"),
      0
    ),
    MATCH(
      _xludf.IFNA(
        VLOOKUP($D400,{"PH","Provincial Hospital (H2)";"DH","District Hospital (H3)";"RH","Regional / National Hospital (H1)"},2,0),
        $D400
      ),
      'Tools &amp; Targets_Guideline'!$C$53:$I$53,
      0
    )
  ),
0))</f>
        <v/>
      </c>
      <c r="AH400" s="102" t="str">
        <f>IF(A400&lt;&gt;"",COUNTIFS('QA Log'!D:D,A400,'QA Log'!M:M,"QQC",'QA Log'!L:L,"2. Hygiene and Sterilization",'QA Log'!Z:Z,"Approved"),"")</f>
        <v/>
      </c>
      <c r="AI400" s="102"/>
      <c r="AJ400" s="102"/>
      <c r="AK400" s="103" t="str">
        <f t="shared" si="17"/>
        <v/>
      </c>
      <c r="AL400" s="102"/>
      <c r="AM400" s="102"/>
      <c r="AN400" s="102"/>
      <c r="AO400" s="106"/>
      <c r="AP400" s="103"/>
      <c r="AQ400" s="102"/>
      <c r="AR400" s="102"/>
      <c r="AS400" s="102"/>
      <c r="AT400" s="107"/>
      <c r="AU400" s="102" t="str">
        <f t="shared" si="18"/>
        <v/>
      </c>
      <c r="AV400" s="102" t="str">
        <f t="shared" si="19"/>
        <v/>
      </c>
      <c r="AW400" s="102" t="str">
        <f t="shared" si="20"/>
        <v/>
      </c>
      <c r="AX400" s="102" t="str">
        <f t="shared" si="21"/>
        <v/>
      </c>
      <c r="AY400" s="107" t="str">
        <f t="shared" si="22"/>
        <v/>
      </c>
      <c r="AZ400" s="108" t="str">
        <f t="shared" si="23"/>
        <v/>
      </c>
      <c r="BA400" s="108" t="str">
        <f t="shared" si="24"/>
        <v/>
      </c>
      <c r="BB400" s="109" t="str">
        <f t="shared" si="25"/>
        <v/>
      </c>
      <c r="BC400" s="108" t="str">
        <f t="shared" si="26"/>
        <v/>
      </c>
      <c r="BD400" s="108" t="str">
        <f t="shared" si="27"/>
        <v/>
      </c>
      <c r="BE400" s="109" t="str">
        <f t="shared" si="28"/>
        <v/>
      </c>
      <c r="BF400" s="110" t="str">
        <f t="shared" si="29"/>
        <v/>
      </c>
      <c r="BG400" s="111"/>
    </row>
    <row r="401" spans="1:59" ht="12.75">
      <c r="A401" s="101"/>
      <c r="B401" s="102"/>
      <c r="C401" s="102" t="e">
        <f t="array" aca="1" ref="C401" ca="1">_xludf.XLOOKUP(A401,'QA Log'!D:D,'QA Log'!F:F,"")</f>
        <v>#NAME?</v>
      </c>
      <c r="D401" s="102"/>
      <c r="E401" s="102" t="e">
        <f t="array" aca="1" ref="E401" ca="1">_xludf.XLOOKUP(A401,'QA Log'!D:D,'QA Log'!G:G,"")</f>
        <v>#NAME?</v>
      </c>
      <c r="F401" s="103"/>
      <c r="G401" s="104"/>
      <c r="H401" s="104"/>
      <c r="I401" s="103" t="str">
        <f t="shared" si="15"/>
        <v/>
      </c>
      <c r="J401" s="102"/>
      <c r="K401" s="102"/>
      <c r="L401" s="119" t="str">
        <f t="array" ref="L401">IF(OR($B401="",$D401=""),"",
IFERROR(
  INDEX(
    'Tools &amp; Targets_Guideline'!$C$54:$I$269,
    MATCH(
      1,
      ('Tools &amp; Targets_Guideline'!$A$54:$A$269=$B401)*
      ('Tools &amp; Targets_Guideline'!$B$54:$B$269="ANC"),
      0
    ),
    MATCH(
      _xludf.IFNA(
        VLOOKUP($D401,{"PH","Provincial Hospital (H2)";"DH","District Hospital (H3)";"RH","Regional / National Hospital (H1)"},2,0),
        $D401
      ),
      'Tools &amp; Targets_Guideline'!$C$53:$I$53,
      0
    )
  ),
0))</f>
        <v/>
      </c>
      <c r="M401" s="102"/>
      <c r="N401" s="119" t="str">
        <f t="array" ref="N401">IF(OR($B401="",$D401=""),"",
IFERROR(
  INDEX(
    'Tools &amp; Targets_Guideline'!$C$54:$I$269,
    MATCH(
      1,
      ('Tools &amp; Targets_Guideline'!$A$54:$A$269=$B401)*
      ('Tools &amp; Targets_Guideline'!$B$54:$B$269="PNC"),
      0
    ),
    MATCH(
      _xludf.IFNA(
        VLOOKUP($D401,{"PH","Provincial Hospital (H2)";"DH","District Hospital (H3)";"RH","Regional / National Hospital (H1)"},2,0),
        $D401
      ),
      'Tools &amp; Targets_Guideline'!$C$53:$I$53,
      0
    )
  ),
0))</f>
        <v/>
      </c>
      <c r="O401" s="102"/>
      <c r="P401" s="119" t="str">
        <f t="array" ref="P401">IF(OR($B401="",$D401=""),"",
IFERROR(
  INDEX(
    'Tools &amp; Targets_Guideline'!$C$54:$I$269,
    MATCH(
      1,
      ('Tools &amp; Targets_Guideline'!$A$54:$A$269=$B401)*
      ('Tools &amp; Targets_Guideline'!$B$54:$B$269="Delivery"),
      0
    ),
    MATCH(
      _xludf.IFNA(
        VLOOKUP($D401,{"PH","Provincial Hospital (H2)";"DH","District Hospital (H3)";"RH","Regional / National Hospital (H1)"},2,0),
        $D401
      ),
      'Tools &amp; Targets_Guideline'!$C$53:$I$53,
      0
    )
  ),
0))</f>
        <v/>
      </c>
      <c r="Q401" s="102"/>
      <c r="R401" s="119" t="str">
        <f t="array" ref="R401">IF(OR($B401="",$D401=""),"",
IFERROR(
  INDEX(
    'Tools &amp; Targets_Guideline'!$C$54:$I$269,
    MATCH(
      1,
      ('Tools &amp; Targets_Guideline'!$A$54:$A$269=$B401)*
      ('Tools &amp; Targets_Guideline'!$B$54:$B$269="TT"),
      0
    ),
    MATCH(
      _xludf.IFNA(
        VLOOKUP($D401,{"PH","Provincial Hospital (H2)";"DH","District Hospital (H3)";"RH","Regional / National Hospital (H1)"},2,0),
        $D401
      ),
      'Tools &amp; Targets_Guideline'!$C$53:$I$53,
      0
    )
  ),
0))</f>
        <v/>
      </c>
      <c r="S401" s="102"/>
      <c r="T401" s="102"/>
      <c r="U401" s="106"/>
      <c r="V401" s="102" t="str">
        <f t="shared" si="16"/>
        <v/>
      </c>
      <c r="W401" s="102"/>
      <c r="X401" s="102"/>
      <c r="Y401" s="119" t="str">
        <f t="array" ref="Y401">IF(OR($B401="",$D401=""),"",
IFERROR(
  INDEX(
    'Tools &amp; Targets_Guideline'!$C$54:$I$269,
    MATCH(
      1,
      ('Tools &amp; Targets_Guideline'!$A$54:$A$269=$B401)*
      ('Tools &amp; Targets_Guideline'!$B$54:$B$269="GM"),
      0
    ),
    MATCH(
      _xludf.IFNA(
        VLOOKUP($D401,{"PH","Provincial Hospital (H2)";"DH","District Hospital (H3)";"RH","Regional / National Hospital (H1)"},2,0),
        $D401
      ),
      'Tools &amp; Targets_Guideline'!$C$53:$I$53,
      0
    )
  ),
0))</f>
        <v/>
      </c>
      <c r="Z401" s="102"/>
      <c r="AA401" s="119" t="str">
        <f t="array" ref="AA401">IF(OR($B401="",$D401=""),"",
IFERROR(
  INDEX(
    'Tools &amp; Targets_Guideline'!$C$54:$I$269,
    MATCH(
      1,
      ('Tools &amp; Targets_Guideline'!$A$54:$A$269=$B401)*
      ('Tools &amp; Targets_Guideline'!$B$54:$B$269="Penta"),
      0
    ),
    MATCH(
      _xludf.IFNA(
        VLOOKUP($D401,{"PH","Provincial Hospital (H2)";"DH","District Hospital (H3)";"RH","Regional / National Hospital (H1)"},2,0),
        $D401
      ),
      'Tools &amp; Targets_Guideline'!$C$53:$I$53,
      0
    )
  ),
0))</f>
        <v/>
      </c>
      <c r="AB401" s="102"/>
      <c r="AC401" s="119" t="str">
        <f t="array" ref="AC401">IF(OR($B401="",$D401=""),"",
IFERROR(
  INDEX(
    'Tools &amp; Targets_Guideline'!$C$54:$I$269,
    MATCH(
      1,
      ('Tools &amp; Targets_Guideline'!$A$54:$A$269=$B401)*
      ('Tools &amp; Targets_Guideline'!$B$54:$B$269="TB"),
      0
    ),
    MATCH(
      _xludf.IFNA(
        VLOOKUP($D401,{"PH","Provincial Hospital (H2)";"DH","District Hospital (H3)";"RH","Regional / National Hospital (H1)"},2,0),
        $D401
      ),
      'Tools &amp; Targets_Guideline'!$C$53:$I$53,
      0
    )
  ),
0))</f>
        <v/>
      </c>
      <c r="AD401" s="102"/>
      <c r="AE401" s="119" t="str">
        <f t="array" ref="AE401">IF(OR($B401="",$D401=""),"",
IFERROR(
  INDEX(
    'Tools &amp; Targets_Guideline'!$C$54:$I$269,
    MATCH(
      1,
      ('Tools &amp; Targets_Guideline'!$A$54:$A$269=$B401)*
      ('Tools &amp; Targets_Guideline'!$B$54:$B$269="U5 Morbidity"),
      0
    ),
    MATCH(
      _xludf.IFNA(
        VLOOKUP($D401,{"PH","Provincial Hospital (H2)";"DH","District Hospital (H3)";"RH","Regional / National Hospital (H1)"},2,0),
        $D401
      ),
      'Tools &amp; Targets_Guideline'!$C$53:$I$53,
      0
    )
  ),
0))</f>
        <v/>
      </c>
      <c r="AF401" s="102"/>
      <c r="AG401" s="119" t="str">
        <f t="array" ref="AG401">IF(OR($B401="",$D401=""),"",
IFERROR(
  INDEX(
    'Tools &amp; Targets_Guideline'!$C$54:$I$269,
    MATCH(
      1,
      ('Tools &amp; Targets_Guideline'!$A$54:$A$269=$B401)*
      ('Tools &amp; Targets_Guideline'!$B$54:$B$269="C-Section"),
      0
    ),
    MATCH(
      _xludf.IFNA(
        VLOOKUP($D401,{"PH","Provincial Hospital (H2)";"DH","District Hospital (H3)";"RH","Regional / National Hospital (H1)"},2,0),
        $D401
      ),
      'Tools &amp; Targets_Guideline'!$C$53:$I$53,
      0
    )
  ),
0))</f>
        <v/>
      </c>
      <c r="AH401" s="102" t="str">
        <f>IF(A401&lt;&gt;"",COUNTIFS('QA Log'!D:D,A401,'QA Log'!M:M,"QQC",'QA Log'!L:L,"2. Hygiene and Sterilization",'QA Log'!Z:Z,"Approved"),"")</f>
        <v/>
      </c>
      <c r="AI401" s="102"/>
      <c r="AJ401" s="102"/>
      <c r="AK401" s="103" t="str">
        <f t="shared" si="17"/>
        <v/>
      </c>
      <c r="AL401" s="102"/>
      <c r="AM401" s="102"/>
      <c r="AN401" s="102"/>
      <c r="AO401" s="106"/>
      <c r="AP401" s="103"/>
      <c r="AQ401" s="102"/>
      <c r="AR401" s="102"/>
      <c r="AS401" s="102"/>
      <c r="AT401" s="107"/>
      <c r="AU401" s="102" t="str">
        <f t="shared" si="18"/>
        <v/>
      </c>
      <c r="AV401" s="102" t="str">
        <f t="shared" si="19"/>
        <v/>
      </c>
      <c r="AW401" s="102" t="str">
        <f t="shared" si="20"/>
        <v/>
      </c>
      <c r="AX401" s="102" t="str">
        <f t="shared" si="21"/>
        <v/>
      </c>
      <c r="AY401" s="107" t="str">
        <f t="shared" si="22"/>
        <v/>
      </c>
      <c r="AZ401" s="108" t="str">
        <f t="shared" si="23"/>
        <v/>
      </c>
      <c r="BA401" s="108" t="str">
        <f t="shared" si="24"/>
        <v/>
      </c>
      <c r="BB401" s="109" t="str">
        <f t="shared" si="25"/>
        <v/>
      </c>
      <c r="BC401" s="108" t="str">
        <f t="shared" si="26"/>
        <v/>
      </c>
      <c r="BD401" s="108" t="str">
        <f t="shared" si="27"/>
        <v/>
      </c>
      <c r="BE401" s="109" t="str">
        <f t="shared" si="28"/>
        <v/>
      </c>
      <c r="BF401" s="110" t="str">
        <f t="shared" si="29"/>
        <v/>
      </c>
      <c r="BG401" s="111"/>
    </row>
    <row r="402" spans="1:59" ht="12.75">
      <c r="A402" s="101"/>
      <c r="B402" s="102"/>
      <c r="C402" s="102" t="e">
        <f t="array" aca="1" ref="C402" ca="1">_xludf.XLOOKUP(A402,'QA Log'!D:D,'QA Log'!F:F,"")</f>
        <v>#NAME?</v>
      </c>
      <c r="D402" s="102"/>
      <c r="E402" s="102" t="e">
        <f t="array" aca="1" ref="E402" ca="1">_xludf.XLOOKUP(A402,'QA Log'!D:D,'QA Log'!G:G,"")</f>
        <v>#NAME?</v>
      </c>
      <c r="F402" s="103"/>
      <c r="G402" s="104"/>
      <c r="H402" s="104"/>
      <c r="I402" s="103" t="str">
        <f t="shared" si="15"/>
        <v/>
      </c>
      <c r="J402" s="102"/>
      <c r="K402" s="102"/>
      <c r="L402" s="119" t="str">
        <f t="array" ref="L402">IF(OR($B402="",$D402=""),"",
IFERROR(
  INDEX(
    'Tools &amp; Targets_Guideline'!$C$54:$I$269,
    MATCH(
      1,
      ('Tools &amp; Targets_Guideline'!$A$54:$A$269=$B402)*
      ('Tools &amp; Targets_Guideline'!$B$54:$B$269="ANC"),
      0
    ),
    MATCH(
      _xludf.IFNA(
        VLOOKUP($D402,{"PH","Provincial Hospital (H2)";"DH","District Hospital (H3)";"RH","Regional / National Hospital (H1)"},2,0),
        $D402
      ),
      'Tools &amp; Targets_Guideline'!$C$53:$I$53,
      0
    )
  ),
0))</f>
        <v/>
      </c>
      <c r="M402" s="102"/>
      <c r="N402" s="119" t="str">
        <f t="array" ref="N402">IF(OR($B402="",$D402=""),"",
IFERROR(
  INDEX(
    'Tools &amp; Targets_Guideline'!$C$54:$I$269,
    MATCH(
      1,
      ('Tools &amp; Targets_Guideline'!$A$54:$A$269=$B402)*
      ('Tools &amp; Targets_Guideline'!$B$54:$B$269="PNC"),
      0
    ),
    MATCH(
      _xludf.IFNA(
        VLOOKUP($D402,{"PH","Provincial Hospital (H2)";"DH","District Hospital (H3)";"RH","Regional / National Hospital (H1)"},2,0),
        $D402
      ),
      'Tools &amp; Targets_Guideline'!$C$53:$I$53,
      0
    )
  ),
0))</f>
        <v/>
      </c>
      <c r="O402" s="102"/>
      <c r="P402" s="119" t="str">
        <f t="array" ref="P402">IF(OR($B402="",$D402=""),"",
IFERROR(
  INDEX(
    'Tools &amp; Targets_Guideline'!$C$54:$I$269,
    MATCH(
      1,
      ('Tools &amp; Targets_Guideline'!$A$54:$A$269=$B402)*
      ('Tools &amp; Targets_Guideline'!$B$54:$B$269="Delivery"),
      0
    ),
    MATCH(
      _xludf.IFNA(
        VLOOKUP($D402,{"PH","Provincial Hospital (H2)";"DH","District Hospital (H3)";"RH","Regional / National Hospital (H1)"},2,0),
        $D402
      ),
      'Tools &amp; Targets_Guideline'!$C$53:$I$53,
      0
    )
  ),
0))</f>
        <v/>
      </c>
      <c r="Q402" s="102"/>
      <c r="R402" s="119" t="str">
        <f t="array" ref="R402">IF(OR($B402="",$D402=""),"",
IFERROR(
  INDEX(
    'Tools &amp; Targets_Guideline'!$C$54:$I$269,
    MATCH(
      1,
      ('Tools &amp; Targets_Guideline'!$A$54:$A$269=$B402)*
      ('Tools &amp; Targets_Guideline'!$B$54:$B$269="TT"),
      0
    ),
    MATCH(
      _xludf.IFNA(
        VLOOKUP($D402,{"PH","Provincial Hospital (H2)";"DH","District Hospital (H3)";"RH","Regional / National Hospital (H1)"},2,0),
        $D402
      ),
      'Tools &amp; Targets_Guideline'!$C$53:$I$53,
      0
    )
  ),
0))</f>
        <v/>
      </c>
      <c r="S402" s="102"/>
      <c r="T402" s="102"/>
      <c r="U402" s="106"/>
      <c r="V402" s="102" t="str">
        <f t="shared" si="16"/>
        <v/>
      </c>
      <c r="W402" s="102"/>
      <c r="X402" s="102"/>
      <c r="Y402" s="119" t="str">
        <f t="array" ref="Y402">IF(OR($B402="",$D402=""),"",
IFERROR(
  INDEX(
    'Tools &amp; Targets_Guideline'!$C$54:$I$269,
    MATCH(
      1,
      ('Tools &amp; Targets_Guideline'!$A$54:$A$269=$B402)*
      ('Tools &amp; Targets_Guideline'!$B$54:$B$269="GM"),
      0
    ),
    MATCH(
      _xludf.IFNA(
        VLOOKUP($D402,{"PH","Provincial Hospital (H2)";"DH","District Hospital (H3)";"RH","Regional / National Hospital (H1)"},2,0),
        $D402
      ),
      'Tools &amp; Targets_Guideline'!$C$53:$I$53,
      0
    )
  ),
0))</f>
        <v/>
      </c>
      <c r="Z402" s="102"/>
      <c r="AA402" s="119" t="str">
        <f t="array" ref="AA402">IF(OR($B402="",$D402=""),"",
IFERROR(
  INDEX(
    'Tools &amp; Targets_Guideline'!$C$54:$I$269,
    MATCH(
      1,
      ('Tools &amp; Targets_Guideline'!$A$54:$A$269=$B402)*
      ('Tools &amp; Targets_Guideline'!$B$54:$B$269="Penta"),
      0
    ),
    MATCH(
      _xludf.IFNA(
        VLOOKUP($D402,{"PH","Provincial Hospital (H2)";"DH","District Hospital (H3)";"RH","Regional / National Hospital (H1)"},2,0),
        $D402
      ),
      'Tools &amp; Targets_Guideline'!$C$53:$I$53,
      0
    )
  ),
0))</f>
        <v/>
      </c>
      <c r="AB402" s="102"/>
      <c r="AC402" s="119" t="str">
        <f t="array" ref="AC402">IF(OR($B402="",$D402=""),"",
IFERROR(
  INDEX(
    'Tools &amp; Targets_Guideline'!$C$54:$I$269,
    MATCH(
      1,
      ('Tools &amp; Targets_Guideline'!$A$54:$A$269=$B402)*
      ('Tools &amp; Targets_Guideline'!$B$54:$B$269="TB"),
      0
    ),
    MATCH(
      _xludf.IFNA(
        VLOOKUP($D402,{"PH","Provincial Hospital (H2)";"DH","District Hospital (H3)";"RH","Regional / National Hospital (H1)"},2,0),
        $D402
      ),
      'Tools &amp; Targets_Guideline'!$C$53:$I$53,
      0
    )
  ),
0))</f>
        <v/>
      </c>
      <c r="AD402" s="102"/>
      <c r="AE402" s="119" t="str">
        <f t="array" ref="AE402">IF(OR($B402="",$D402=""),"",
IFERROR(
  INDEX(
    'Tools &amp; Targets_Guideline'!$C$54:$I$269,
    MATCH(
      1,
      ('Tools &amp; Targets_Guideline'!$A$54:$A$269=$B402)*
      ('Tools &amp; Targets_Guideline'!$B$54:$B$269="U5 Morbidity"),
      0
    ),
    MATCH(
      _xludf.IFNA(
        VLOOKUP($D402,{"PH","Provincial Hospital (H2)";"DH","District Hospital (H3)";"RH","Regional / National Hospital (H1)"},2,0),
        $D402
      ),
      'Tools &amp; Targets_Guideline'!$C$53:$I$53,
      0
    )
  ),
0))</f>
        <v/>
      </c>
      <c r="AF402" s="102"/>
      <c r="AG402" s="119" t="str">
        <f t="array" ref="AG402">IF(OR($B402="",$D402=""),"",
IFERROR(
  INDEX(
    'Tools &amp; Targets_Guideline'!$C$54:$I$269,
    MATCH(
      1,
      ('Tools &amp; Targets_Guideline'!$A$54:$A$269=$B402)*
      ('Tools &amp; Targets_Guideline'!$B$54:$B$269="C-Section"),
      0
    ),
    MATCH(
      _xludf.IFNA(
        VLOOKUP($D402,{"PH","Provincial Hospital (H2)";"DH","District Hospital (H3)";"RH","Regional / National Hospital (H1)"},2,0),
        $D402
      ),
      'Tools &amp; Targets_Guideline'!$C$53:$I$53,
      0
    )
  ),
0))</f>
        <v/>
      </c>
      <c r="AH402" s="102" t="str">
        <f>IF(A402&lt;&gt;"",COUNTIFS('QA Log'!D:D,A402,'QA Log'!M:M,"QQC",'QA Log'!L:L,"2. Hygiene and Sterilization",'QA Log'!Z:Z,"Approved"),"")</f>
        <v/>
      </c>
      <c r="AI402" s="102"/>
      <c r="AJ402" s="102"/>
      <c r="AK402" s="103" t="str">
        <f t="shared" si="17"/>
        <v/>
      </c>
      <c r="AL402" s="102"/>
      <c r="AM402" s="102"/>
      <c r="AN402" s="102"/>
      <c r="AO402" s="106"/>
      <c r="AP402" s="103"/>
      <c r="AQ402" s="102"/>
      <c r="AR402" s="102"/>
      <c r="AS402" s="102"/>
      <c r="AT402" s="107"/>
      <c r="AU402" s="102" t="str">
        <f t="shared" si="18"/>
        <v/>
      </c>
      <c r="AV402" s="102" t="str">
        <f t="shared" si="19"/>
        <v/>
      </c>
      <c r="AW402" s="102" t="str">
        <f t="shared" si="20"/>
        <v/>
      </c>
      <c r="AX402" s="102" t="str">
        <f t="shared" si="21"/>
        <v/>
      </c>
      <c r="AY402" s="107" t="str">
        <f t="shared" si="22"/>
        <v/>
      </c>
      <c r="AZ402" s="108" t="str">
        <f t="shared" si="23"/>
        <v/>
      </c>
      <c r="BA402" s="108" t="str">
        <f t="shared" si="24"/>
        <v/>
      </c>
      <c r="BB402" s="109" t="str">
        <f t="shared" si="25"/>
        <v/>
      </c>
      <c r="BC402" s="108" t="str">
        <f t="shared" si="26"/>
        <v/>
      </c>
      <c r="BD402" s="108" t="str">
        <f t="shared" si="27"/>
        <v/>
      </c>
      <c r="BE402" s="109" t="str">
        <f t="shared" si="28"/>
        <v/>
      </c>
      <c r="BF402" s="110" t="str">
        <f t="shared" si="29"/>
        <v/>
      </c>
      <c r="BG402" s="111"/>
    </row>
    <row r="403" spans="1:59" ht="12.75">
      <c r="A403" s="101"/>
      <c r="B403" s="102"/>
      <c r="C403" s="102" t="e">
        <f t="array" aca="1" ref="C403" ca="1">_xludf.XLOOKUP(A403,'QA Log'!D:D,'QA Log'!F:F,"")</f>
        <v>#NAME?</v>
      </c>
      <c r="D403" s="102"/>
      <c r="E403" s="102" t="e">
        <f t="array" aca="1" ref="E403" ca="1">_xludf.XLOOKUP(A403,'QA Log'!D:D,'QA Log'!G:G,"")</f>
        <v>#NAME?</v>
      </c>
      <c r="F403" s="103"/>
      <c r="G403" s="104"/>
      <c r="H403" s="104"/>
      <c r="I403" s="103" t="str">
        <f t="shared" si="15"/>
        <v/>
      </c>
      <c r="J403" s="102"/>
      <c r="K403" s="102"/>
      <c r="L403" s="119" t="str">
        <f t="array" ref="L403">IF(OR($B403="",$D403=""),"",
IFERROR(
  INDEX(
    'Tools &amp; Targets_Guideline'!$C$54:$I$269,
    MATCH(
      1,
      ('Tools &amp; Targets_Guideline'!$A$54:$A$269=$B403)*
      ('Tools &amp; Targets_Guideline'!$B$54:$B$269="ANC"),
      0
    ),
    MATCH(
      _xludf.IFNA(
        VLOOKUP($D403,{"PH","Provincial Hospital (H2)";"DH","District Hospital (H3)";"RH","Regional / National Hospital (H1)"},2,0),
        $D403
      ),
      'Tools &amp; Targets_Guideline'!$C$53:$I$53,
      0
    )
  ),
0))</f>
        <v/>
      </c>
      <c r="M403" s="102"/>
      <c r="N403" s="119" t="str">
        <f t="array" ref="N403">IF(OR($B403="",$D403=""),"",
IFERROR(
  INDEX(
    'Tools &amp; Targets_Guideline'!$C$54:$I$269,
    MATCH(
      1,
      ('Tools &amp; Targets_Guideline'!$A$54:$A$269=$B403)*
      ('Tools &amp; Targets_Guideline'!$B$54:$B$269="PNC"),
      0
    ),
    MATCH(
      _xludf.IFNA(
        VLOOKUP($D403,{"PH","Provincial Hospital (H2)";"DH","District Hospital (H3)";"RH","Regional / National Hospital (H1)"},2,0),
        $D403
      ),
      'Tools &amp; Targets_Guideline'!$C$53:$I$53,
      0
    )
  ),
0))</f>
        <v/>
      </c>
      <c r="O403" s="102"/>
      <c r="P403" s="119" t="str">
        <f t="array" ref="P403">IF(OR($B403="",$D403=""),"",
IFERROR(
  INDEX(
    'Tools &amp; Targets_Guideline'!$C$54:$I$269,
    MATCH(
      1,
      ('Tools &amp; Targets_Guideline'!$A$54:$A$269=$B403)*
      ('Tools &amp; Targets_Guideline'!$B$54:$B$269="Delivery"),
      0
    ),
    MATCH(
      _xludf.IFNA(
        VLOOKUP($D403,{"PH","Provincial Hospital (H2)";"DH","District Hospital (H3)";"RH","Regional / National Hospital (H1)"},2,0),
        $D403
      ),
      'Tools &amp; Targets_Guideline'!$C$53:$I$53,
      0
    )
  ),
0))</f>
        <v/>
      </c>
      <c r="Q403" s="102"/>
      <c r="R403" s="119" t="str">
        <f t="array" ref="R403">IF(OR($B403="",$D403=""),"",
IFERROR(
  INDEX(
    'Tools &amp; Targets_Guideline'!$C$54:$I$269,
    MATCH(
      1,
      ('Tools &amp; Targets_Guideline'!$A$54:$A$269=$B403)*
      ('Tools &amp; Targets_Guideline'!$B$54:$B$269="TT"),
      0
    ),
    MATCH(
      _xludf.IFNA(
        VLOOKUP($D403,{"PH","Provincial Hospital (H2)";"DH","District Hospital (H3)";"RH","Regional / National Hospital (H1)"},2,0),
        $D403
      ),
      'Tools &amp; Targets_Guideline'!$C$53:$I$53,
      0
    )
  ),
0))</f>
        <v/>
      </c>
      <c r="S403" s="102"/>
      <c r="T403" s="102"/>
      <c r="U403" s="106"/>
      <c r="V403" s="102" t="str">
        <f t="shared" si="16"/>
        <v/>
      </c>
      <c r="W403" s="102"/>
      <c r="X403" s="102"/>
      <c r="Y403" s="119" t="str">
        <f t="array" ref="Y403">IF(OR($B403="",$D403=""),"",
IFERROR(
  INDEX(
    'Tools &amp; Targets_Guideline'!$C$54:$I$269,
    MATCH(
      1,
      ('Tools &amp; Targets_Guideline'!$A$54:$A$269=$B403)*
      ('Tools &amp; Targets_Guideline'!$B$54:$B$269="GM"),
      0
    ),
    MATCH(
      _xludf.IFNA(
        VLOOKUP($D403,{"PH","Provincial Hospital (H2)";"DH","District Hospital (H3)";"RH","Regional / National Hospital (H1)"},2,0),
        $D403
      ),
      'Tools &amp; Targets_Guideline'!$C$53:$I$53,
      0
    )
  ),
0))</f>
        <v/>
      </c>
      <c r="Z403" s="102"/>
      <c r="AA403" s="119" t="str">
        <f t="array" ref="AA403">IF(OR($B403="",$D403=""),"",
IFERROR(
  INDEX(
    'Tools &amp; Targets_Guideline'!$C$54:$I$269,
    MATCH(
      1,
      ('Tools &amp; Targets_Guideline'!$A$54:$A$269=$B403)*
      ('Tools &amp; Targets_Guideline'!$B$54:$B$269="Penta"),
      0
    ),
    MATCH(
      _xludf.IFNA(
        VLOOKUP($D403,{"PH","Provincial Hospital (H2)";"DH","District Hospital (H3)";"RH","Regional / National Hospital (H1)"},2,0),
        $D403
      ),
      'Tools &amp; Targets_Guideline'!$C$53:$I$53,
      0
    )
  ),
0))</f>
        <v/>
      </c>
      <c r="AB403" s="102"/>
      <c r="AC403" s="119" t="str">
        <f t="array" ref="AC403">IF(OR($B403="",$D403=""),"",
IFERROR(
  INDEX(
    'Tools &amp; Targets_Guideline'!$C$54:$I$269,
    MATCH(
      1,
      ('Tools &amp; Targets_Guideline'!$A$54:$A$269=$B403)*
      ('Tools &amp; Targets_Guideline'!$B$54:$B$269="TB"),
      0
    ),
    MATCH(
      _xludf.IFNA(
        VLOOKUP($D403,{"PH","Provincial Hospital (H2)";"DH","District Hospital (H3)";"RH","Regional / National Hospital (H1)"},2,0),
        $D403
      ),
      'Tools &amp; Targets_Guideline'!$C$53:$I$53,
      0
    )
  ),
0))</f>
        <v/>
      </c>
      <c r="AD403" s="102"/>
      <c r="AE403" s="119" t="str">
        <f t="array" ref="AE403">IF(OR($B403="",$D403=""),"",
IFERROR(
  INDEX(
    'Tools &amp; Targets_Guideline'!$C$54:$I$269,
    MATCH(
      1,
      ('Tools &amp; Targets_Guideline'!$A$54:$A$269=$B403)*
      ('Tools &amp; Targets_Guideline'!$B$54:$B$269="U5 Morbidity"),
      0
    ),
    MATCH(
      _xludf.IFNA(
        VLOOKUP($D403,{"PH","Provincial Hospital (H2)";"DH","District Hospital (H3)";"RH","Regional / National Hospital (H1)"},2,0),
        $D403
      ),
      'Tools &amp; Targets_Guideline'!$C$53:$I$53,
      0
    )
  ),
0))</f>
        <v/>
      </c>
      <c r="AF403" s="102"/>
      <c r="AG403" s="119" t="str">
        <f t="array" ref="AG403">IF(OR($B403="",$D403=""),"",
IFERROR(
  INDEX(
    'Tools &amp; Targets_Guideline'!$C$54:$I$269,
    MATCH(
      1,
      ('Tools &amp; Targets_Guideline'!$A$54:$A$269=$B403)*
      ('Tools &amp; Targets_Guideline'!$B$54:$B$269="C-Section"),
      0
    ),
    MATCH(
      _xludf.IFNA(
        VLOOKUP($D403,{"PH","Provincial Hospital (H2)";"DH","District Hospital (H3)";"RH","Regional / National Hospital (H1)"},2,0),
        $D403
      ),
      'Tools &amp; Targets_Guideline'!$C$53:$I$53,
      0
    )
  ),
0))</f>
        <v/>
      </c>
      <c r="AH403" s="102" t="str">
        <f>IF(A403&lt;&gt;"",COUNTIFS('QA Log'!D:D,A403,'QA Log'!M:M,"QQC",'QA Log'!L:L,"2. Hygiene and Sterilization",'QA Log'!Z:Z,"Approved"),"")</f>
        <v/>
      </c>
      <c r="AI403" s="102"/>
      <c r="AJ403" s="102"/>
      <c r="AK403" s="103" t="str">
        <f t="shared" si="17"/>
        <v/>
      </c>
      <c r="AL403" s="102"/>
      <c r="AM403" s="102"/>
      <c r="AN403" s="102"/>
      <c r="AO403" s="106"/>
      <c r="AP403" s="103"/>
      <c r="AQ403" s="102"/>
      <c r="AR403" s="102"/>
      <c r="AS403" s="102"/>
      <c r="AT403" s="107"/>
      <c r="AU403" s="102" t="str">
        <f t="shared" si="18"/>
        <v/>
      </c>
      <c r="AV403" s="102" t="str">
        <f t="shared" si="19"/>
        <v/>
      </c>
      <c r="AW403" s="102" t="str">
        <f t="shared" si="20"/>
        <v/>
      </c>
      <c r="AX403" s="102" t="str">
        <f t="shared" si="21"/>
        <v/>
      </c>
      <c r="AY403" s="107" t="str">
        <f t="shared" si="22"/>
        <v/>
      </c>
      <c r="AZ403" s="108" t="str">
        <f t="shared" si="23"/>
        <v/>
      </c>
      <c r="BA403" s="108" t="str">
        <f t="shared" si="24"/>
        <v/>
      </c>
      <c r="BB403" s="109" t="str">
        <f t="shared" si="25"/>
        <v/>
      </c>
      <c r="BC403" s="108" t="str">
        <f t="shared" si="26"/>
        <v/>
      </c>
      <c r="BD403" s="108" t="str">
        <f t="shared" si="27"/>
        <v/>
      </c>
      <c r="BE403" s="109" t="str">
        <f t="shared" si="28"/>
        <v/>
      </c>
      <c r="BF403" s="110" t="str">
        <f t="shared" si="29"/>
        <v/>
      </c>
      <c r="BG403" s="111"/>
    </row>
    <row r="404" spans="1:59" ht="12.75">
      <c r="A404" s="101"/>
      <c r="B404" s="102"/>
      <c r="C404" s="102" t="e">
        <f t="array" aca="1" ref="C404" ca="1">_xludf.XLOOKUP(A404,'QA Log'!D:D,'QA Log'!F:F,"")</f>
        <v>#NAME?</v>
      </c>
      <c r="D404" s="102"/>
      <c r="E404" s="102" t="e">
        <f t="array" aca="1" ref="E404" ca="1">_xludf.XLOOKUP(A404,'QA Log'!D:D,'QA Log'!G:G,"")</f>
        <v>#NAME?</v>
      </c>
      <c r="F404" s="103"/>
      <c r="G404" s="104"/>
      <c r="H404" s="104"/>
      <c r="I404" s="103" t="str">
        <f t="shared" si="15"/>
        <v/>
      </c>
      <c r="J404" s="102"/>
      <c r="K404" s="102"/>
      <c r="L404" s="119" t="str">
        <f t="array" ref="L404">IF(OR($B404="",$D404=""),"",
IFERROR(
  INDEX(
    'Tools &amp; Targets_Guideline'!$C$54:$I$269,
    MATCH(
      1,
      ('Tools &amp; Targets_Guideline'!$A$54:$A$269=$B404)*
      ('Tools &amp; Targets_Guideline'!$B$54:$B$269="ANC"),
      0
    ),
    MATCH(
      _xludf.IFNA(
        VLOOKUP($D404,{"PH","Provincial Hospital (H2)";"DH","District Hospital (H3)";"RH","Regional / National Hospital (H1)"},2,0),
        $D404
      ),
      'Tools &amp; Targets_Guideline'!$C$53:$I$53,
      0
    )
  ),
0))</f>
        <v/>
      </c>
      <c r="M404" s="102"/>
      <c r="N404" s="119" t="str">
        <f t="array" ref="N404">IF(OR($B404="",$D404=""),"",
IFERROR(
  INDEX(
    'Tools &amp; Targets_Guideline'!$C$54:$I$269,
    MATCH(
      1,
      ('Tools &amp; Targets_Guideline'!$A$54:$A$269=$B404)*
      ('Tools &amp; Targets_Guideline'!$B$54:$B$269="PNC"),
      0
    ),
    MATCH(
      _xludf.IFNA(
        VLOOKUP($D404,{"PH","Provincial Hospital (H2)";"DH","District Hospital (H3)";"RH","Regional / National Hospital (H1)"},2,0),
        $D404
      ),
      'Tools &amp; Targets_Guideline'!$C$53:$I$53,
      0
    )
  ),
0))</f>
        <v/>
      </c>
      <c r="O404" s="102"/>
      <c r="P404" s="119" t="str">
        <f t="array" ref="P404">IF(OR($B404="",$D404=""),"",
IFERROR(
  INDEX(
    'Tools &amp; Targets_Guideline'!$C$54:$I$269,
    MATCH(
      1,
      ('Tools &amp; Targets_Guideline'!$A$54:$A$269=$B404)*
      ('Tools &amp; Targets_Guideline'!$B$54:$B$269="Delivery"),
      0
    ),
    MATCH(
      _xludf.IFNA(
        VLOOKUP($D404,{"PH","Provincial Hospital (H2)";"DH","District Hospital (H3)";"RH","Regional / National Hospital (H1)"},2,0),
        $D404
      ),
      'Tools &amp; Targets_Guideline'!$C$53:$I$53,
      0
    )
  ),
0))</f>
        <v/>
      </c>
      <c r="Q404" s="102"/>
      <c r="R404" s="119" t="str">
        <f t="array" ref="R404">IF(OR($B404="",$D404=""),"",
IFERROR(
  INDEX(
    'Tools &amp; Targets_Guideline'!$C$54:$I$269,
    MATCH(
      1,
      ('Tools &amp; Targets_Guideline'!$A$54:$A$269=$B404)*
      ('Tools &amp; Targets_Guideline'!$B$54:$B$269="TT"),
      0
    ),
    MATCH(
      _xludf.IFNA(
        VLOOKUP($D404,{"PH","Provincial Hospital (H2)";"DH","District Hospital (H3)";"RH","Regional / National Hospital (H1)"},2,0),
        $D404
      ),
      'Tools &amp; Targets_Guideline'!$C$53:$I$53,
      0
    )
  ),
0))</f>
        <v/>
      </c>
      <c r="S404" s="102"/>
      <c r="T404" s="102"/>
      <c r="U404" s="106"/>
      <c r="V404" s="102" t="str">
        <f t="shared" si="16"/>
        <v/>
      </c>
      <c r="W404" s="102"/>
      <c r="X404" s="102"/>
      <c r="Y404" s="119" t="str">
        <f t="array" ref="Y404">IF(OR($B404="",$D404=""),"",
IFERROR(
  INDEX(
    'Tools &amp; Targets_Guideline'!$C$54:$I$269,
    MATCH(
      1,
      ('Tools &amp; Targets_Guideline'!$A$54:$A$269=$B404)*
      ('Tools &amp; Targets_Guideline'!$B$54:$B$269="GM"),
      0
    ),
    MATCH(
      _xludf.IFNA(
        VLOOKUP($D404,{"PH","Provincial Hospital (H2)";"DH","District Hospital (H3)";"RH","Regional / National Hospital (H1)"},2,0),
        $D404
      ),
      'Tools &amp; Targets_Guideline'!$C$53:$I$53,
      0
    )
  ),
0))</f>
        <v/>
      </c>
      <c r="Z404" s="102"/>
      <c r="AA404" s="119" t="str">
        <f t="array" ref="AA404">IF(OR($B404="",$D404=""),"",
IFERROR(
  INDEX(
    'Tools &amp; Targets_Guideline'!$C$54:$I$269,
    MATCH(
      1,
      ('Tools &amp; Targets_Guideline'!$A$54:$A$269=$B404)*
      ('Tools &amp; Targets_Guideline'!$B$54:$B$269="Penta"),
      0
    ),
    MATCH(
      _xludf.IFNA(
        VLOOKUP($D404,{"PH","Provincial Hospital (H2)";"DH","District Hospital (H3)";"RH","Regional / National Hospital (H1)"},2,0),
        $D404
      ),
      'Tools &amp; Targets_Guideline'!$C$53:$I$53,
      0
    )
  ),
0))</f>
        <v/>
      </c>
      <c r="AB404" s="102"/>
      <c r="AC404" s="119" t="str">
        <f t="array" ref="AC404">IF(OR($B404="",$D404=""),"",
IFERROR(
  INDEX(
    'Tools &amp; Targets_Guideline'!$C$54:$I$269,
    MATCH(
      1,
      ('Tools &amp; Targets_Guideline'!$A$54:$A$269=$B404)*
      ('Tools &amp; Targets_Guideline'!$B$54:$B$269="TB"),
      0
    ),
    MATCH(
      _xludf.IFNA(
        VLOOKUP($D404,{"PH","Provincial Hospital (H2)";"DH","District Hospital (H3)";"RH","Regional / National Hospital (H1)"},2,0),
        $D404
      ),
      'Tools &amp; Targets_Guideline'!$C$53:$I$53,
      0
    )
  ),
0))</f>
        <v/>
      </c>
      <c r="AD404" s="102"/>
      <c r="AE404" s="119" t="str">
        <f t="array" ref="AE404">IF(OR($B404="",$D404=""),"",
IFERROR(
  INDEX(
    'Tools &amp; Targets_Guideline'!$C$54:$I$269,
    MATCH(
      1,
      ('Tools &amp; Targets_Guideline'!$A$54:$A$269=$B404)*
      ('Tools &amp; Targets_Guideline'!$B$54:$B$269="U5 Morbidity"),
      0
    ),
    MATCH(
      _xludf.IFNA(
        VLOOKUP($D404,{"PH","Provincial Hospital (H2)";"DH","District Hospital (H3)";"RH","Regional / National Hospital (H1)"},2,0),
        $D404
      ),
      'Tools &amp; Targets_Guideline'!$C$53:$I$53,
      0
    )
  ),
0))</f>
        <v/>
      </c>
      <c r="AF404" s="102"/>
      <c r="AG404" s="119" t="str">
        <f t="array" ref="AG404">IF(OR($B404="",$D404=""),"",
IFERROR(
  INDEX(
    'Tools &amp; Targets_Guideline'!$C$54:$I$269,
    MATCH(
      1,
      ('Tools &amp; Targets_Guideline'!$A$54:$A$269=$B404)*
      ('Tools &amp; Targets_Guideline'!$B$54:$B$269="C-Section"),
      0
    ),
    MATCH(
      _xludf.IFNA(
        VLOOKUP($D404,{"PH","Provincial Hospital (H2)";"DH","District Hospital (H3)";"RH","Regional / National Hospital (H1)"},2,0),
        $D404
      ),
      'Tools &amp; Targets_Guideline'!$C$53:$I$53,
      0
    )
  ),
0))</f>
        <v/>
      </c>
      <c r="AH404" s="102" t="str">
        <f>IF(A404&lt;&gt;"",COUNTIFS('QA Log'!D:D,A404,'QA Log'!M:M,"QQC",'QA Log'!L:L,"2. Hygiene and Sterilization",'QA Log'!Z:Z,"Approved"),"")</f>
        <v/>
      </c>
      <c r="AI404" s="102"/>
      <c r="AJ404" s="102"/>
      <c r="AK404" s="103" t="str">
        <f t="shared" si="17"/>
        <v/>
      </c>
      <c r="AL404" s="102"/>
      <c r="AM404" s="102"/>
      <c r="AN404" s="102"/>
      <c r="AO404" s="106"/>
      <c r="AP404" s="103"/>
      <c r="AQ404" s="102"/>
      <c r="AR404" s="102"/>
      <c r="AS404" s="102"/>
      <c r="AT404" s="107"/>
      <c r="AU404" s="102" t="str">
        <f t="shared" si="18"/>
        <v/>
      </c>
      <c r="AV404" s="102" t="str">
        <f t="shared" si="19"/>
        <v/>
      </c>
      <c r="AW404" s="102" t="str">
        <f t="shared" si="20"/>
        <v/>
      </c>
      <c r="AX404" s="102" t="str">
        <f t="shared" si="21"/>
        <v/>
      </c>
      <c r="AY404" s="107" t="str">
        <f t="shared" si="22"/>
        <v/>
      </c>
      <c r="AZ404" s="108" t="str">
        <f t="shared" si="23"/>
        <v/>
      </c>
      <c r="BA404" s="108" t="str">
        <f t="shared" si="24"/>
        <v/>
      </c>
      <c r="BB404" s="109" t="str">
        <f t="shared" si="25"/>
        <v/>
      </c>
      <c r="BC404" s="108" t="str">
        <f t="shared" si="26"/>
        <v/>
      </c>
      <c r="BD404" s="108" t="str">
        <f t="shared" si="27"/>
        <v/>
      </c>
      <c r="BE404" s="109" t="str">
        <f t="shared" si="28"/>
        <v/>
      </c>
      <c r="BF404" s="110" t="str">
        <f t="shared" si="29"/>
        <v/>
      </c>
      <c r="BG404" s="111"/>
    </row>
    <row r="405" spans="1:59" ht="12.75">
      <c r="A405" s="101"/>
      <c r="B405" s="102"/>
      <c r="C405" s="102" t="e">
        <f t="array" aca="1" ref="C405" ca="1">_xludf.XLOOKUP(A405,'QA Log'!D:D,'QA Log'!F:F,"")</f>
        <v>#NAME?</v>
      </c>
      <c r="D405" s="102"/>
      <c r="E405" s="102" t="e">
        <f t="array" aca="1" ref="E405" ca="1">_xludf.XLOOKUP(A405,'QA Log'!D:D,'QA Log'!G:G,"")</f>
        <v>#NAME?</v>
      </c>
      <c r="F405" s="103"/>
      <c r="G405" s="104"/>
      <c r="H405" s="104"/>
      <c r="I405" s="103" t="str">
        <f t="shared" si="15"/>
        <v/>
      </c>
      <c r="J405" s="102"/>
      <c r="K405" s="102"/>
      <c r="L405" s="119" t="str">
        <f t="array" ref="L405">IF(OR($B405="",$D405=""),"",
IFERROR(
  INDEX(
    'Tools &amp; Targets_Guideline'!$C$54:$I$269,
    MATCH(
      1,
      ('Tools &amp; Targets_Guideline'!$A$54:$A$269=$B405)*
      ('Tools &amp; Targets_Guideline'!$B$54:$B$269="ANC"),
      0
    ),
    MATCH(
      _xludf.IFNA(
        VLOOKUP($D405,{"PH","Provincial Hospital (H2)";"DH","District Hospital (H3)";"RH","Regional / National Hospital (H1)"},2,0),
        $D405
      ),
      'Tools &amp; Targets_Guideline'!$C$53:$I$53,
      0
    )
  ),
0))</f>
        <v/>
      </c>
      <c r="M405" s="102"/>
      <c r="N405" s="119" t="str">
        <f t="array" ref="N405">IF(OR($B405="",$D405=""),"",
IFERROR(
  INDEX(
    'Tools &amp; Targets_Guideline'!$C$54:$I$269,
    MATCH(
      1,
      ('Tools &amp; Targets_Guideline'!$A$54:$A$269=$B405)*
      ('Tools &amp; Targets_Guideline'!$B$54:$B$269="PNC"),
      0
    ),
    MATCH(
      _xludf.IFNA(
        VLOOKUP($D405,{"PH","Provincial Hospital (H2)";"DH","District Hospital (H3)";"RH","Regional / National Hospital (H1)"},2,0),
        $D405
      ),
      'Tools &amp; Targets_Guideline'!$C$53:$I$53,
      0
    )
  ),
0))</f>
        <v/>
      </c>
      <c r="O405" s="102"/>
      <c r="P405" s="119" t="str">
        <f t="array" ref="P405">IF(OR($B405="",$D405=""),"",
IFERROR(
  INDEX(
    'Tools &amp; Targets_Guideline'!$C$54:$I$269,
    MATCH(
      1,
      ('Tools &amp; Targets_Guideline'!$A$54:$A$269=$B405)*
      ('Tools &amp; Targets_Guideline'!$B$54:$B$269="Delivery"),
      0
    ),
    MATCH(
      _xludf.IFNA(
        VLOOKUP($D405,{"PH","Provincial Hospital (H2)";"DH","District Hospital (H3)";"RH","Regional / National Hospital (H1)"},2,0),
        $D405
      ),
      'Tools &amp; Targets_Guideline'!$C$53:$I$53,
      0
    )
  ),
0))</f>
        <v/>
      </c>
      <c r="Q405" s="102"/>
      <c r="R405" s="119" t="str">
        <f t="array" ref="R405">IF(OR($B405="",$D405=""),"",
IFERROR(
  INDEX(
    'Tools &amp; Targets_Guideline'!$C$54:$I$269,
    MATCH(
      1,
      ('Tools &amp; Targets_Guideline'!$A$54:$A$269=$B405)*
      ('Tools &amp; Targets_Guideline'!$B$54:$B$269="TT"),
      0
    ),
    MATCH(
      _xludf.IFNA(
        VLOOKUP($D405,{"PH","Provincial Hospital (H2)";"DH","District Hospital (H3)";"RH","Regional / National Hospital (H1)"},2,0),
        $D405
      ),
      'Tools &amp; Targets_Guideline'!$C$53:$I$53,
      0
    )
  ),
0))</f>
        <v/>
      </c>
      <c r="S405" s="102"/>
      <c r="T405" s="102"/>
      <c r="U405" s="106"/>
      <c r="V405" s="102" t="str">
        <f t="shared" si="16"/>
        <v/>
      </c>
      <c r="W405" s="102"/>
      <c r="X405" s="102"/>
      <c r="Y405" s="119" t="str">
        <f t="array" ref="Y405">IF(OR($B405="",$D405=""),"",
IFERROR(
  INDEX(
    'Tools &amp; Targets_Guideline'!$C$54:$I$269,
    MATCH(
      1,
      ('Tools &amp; Targets_Guideline'!$A$54:$A$269=$B405)*
      ('Tools &amp; Targets_Guideline'!$B$54:$B$269="GM"),
      0
    ),
    MATCH(
      _xludf.IFNA(
        VLOOKUP($D405,{"PH","Provincial Hospital (H2)";"DH","District Hospital (H3)";"RH","Regional / National Hospital (H1)"},2,0),
        $D405
      ),
      'Tools &amp; Targets_Guideline'!$C$53:$I$53,
      0
    )
  ),
0))</f>
        <v/>
      </c>
      <c r="Z405" s="102"/>
      <c r="AA405" s="119" t="str">
        <f t="array" ref="AA405">IF(OR($B405="",$D405=""),"",
IFERROR(
  INDEX(
    'Tools &amp; Targets_Guideline'!$C$54:$I$269,
    MATCH(
      1,
      ('Tools &amp; Targets_Guideline'!$A$54:$A$269=$B405)*
      ('Tools &amp; Targets_Guideline'!$B$54:$B$269="Penta"),
      0
    ),
    MATCH(
      _xludf.IFNA(
        VLOOKUP($D405,{"PH","Provincial Hospital (H2)";"DH","District Hospital (H3)";"RH","Regional / National Hospital (H1)"},2,0),
        $D405
      ),
      'Tools &amp; Targets_Guideline'!$C$53:$I$53,
      0
    )
  ),
0))</f>
        <v/>
      </c>
      <c r="AB405" s="102"/>
      <c r="AC405" s="119" t="str">
        <f t="array" ref="AC405">IF(OR($B405="",$D405=""),"",
IFERROR(
  INDEX(
    'Tools &amp; Targets_Guideline'!$C$54:$I$269,
    MATCH(
      1,
      ('Tools &amp; Targets_Guideline'!$A$54:$A$269=$B405)*
      ('Tools &amp; Targets_Guideline'!$B$54:$B$269="TB"),
      0
    ),
    MATCH(
      _xludf.IFNA(
        VLOOKUP($D405,{"PH","Provincial Hospital (H2)";"DH","District Hospital (H3)";"RH","Regional / National Hospital (H1)"},2,0),
        $D405
      ),
      'Tools &amp; Targets_Guideline'!$C$53:$I$53,
      0
    )
  ),
0))</f>
        <v/>
      </c>
      <c r="AD405" s="102"/>
      <c r="AE405" s="119" t="str">
        <f t="array" ref="AE405">IF(OR($B405="",$D405=""),"",
IFERROR(
  INDEX(
    'Tools &amp; Targets_Guideline'!$C$54:$I$269,
    MATCH(
      1,
      ('Tools &amp; Targets_Guideline'!$A$54:$A$269=$B405)*
      ('Tools &amp; Targets_Guideline'!$B$54:$B$269="U5 Morbidity"),
      0
    ),
    MATCH(
      _xludf.IFNA(
        VLOOKUP($D405,{"PH","Provincial Hospital (H2)";"DH","District Hospital (H3)";"RH","Regional / National Hospital (H1)"},2,0),
        $D405
      ),
      'Tools &amp; Targets_Guideline'!$C$53:$I$53,
      0
    )
  ),
0))</f>
        <v/>
      </c>
      <c r="AF405" s="102"/>
      <c r="AG405" s="119" t="str">
        <f t="array" ref="AG405">IF(OR($B405="",$D405=""),"",
IFERROR(
  INDEX(
    'Tools &amp; Targets_Guideline'!$C$54:$I$269,
    MATCH(
      1,
      ('Tools &amp; Targets_Guideline'!$A$54:$A$269=$B405)*
      ('Tools &amp; Targets_Guideline'!$B$54:$B$269="C-Section"),
      0
    ),
    MATCH(
      _xludf.IFNA(
        VLOOKUP($D405,{"PH","Provincial Hospital (H2)";"DH","District Hospital (H3)";"RH","Regional / National Hospital (H1)"},2,0),
        $D405
      ),
      'Tools &amp; Targets_Guideline'!$C$53:$I$53,
      0
    )
  ),
0))</f>
        <v/>
      </c>
      <c r="AH405" s="102" t="str">
        <f>IF(A405&lt;&gt;"",COUNTIFS('QA Log'!D:D,A405,'QA Log'!M:M,"QQC",'QA Log'!L:L,"2. Hygiene and Sterilization",'QA Log'!Z:Z,"Approved"),"")</f>
        <v/>
      </c>
      <c r="AI405" s="102"/>
      <c r="AJ405" s="102"/>
      <c r="AK405" s="103" t="str">
        <f t="shared" si="17"/>
        <v/>
      </c>
      <c r="AL405" s="102"/>
      <c r="AM405" s="102"/>
      <c r="AN405" s="102"/>
      <c r="AO405" s="106"/>
      <c r="AP405" s="103"/>
      <c r="AQ405" s="102"/>
      <c r="AR405" s="102"/>
      <c r="AS405" s="102"/>
      <c r="AT405" s="107"/>
      <c r="AU405" s="102" t="str">
        <f t="shared" si="18"/>
        <v/>
      </c>
      <c r="AV405" s="102" t="str">
        <f t="shared" si="19"/>
        <v/>
      </c>
      <c r="AW405" s="102" t="str">
        <f t="shared" si="20"/>
        <v/>
      </c>
      <c r="AX405" s="102" t="str">
        <f t="shared" si="21"/>
        <v/>
      </c>
      <c r="AY405" s="107" t="str">
        <f t="shared" si="22"/>
        <v/>
      </c>
      <c r="AZ405" s="108" t="str">
        <f t="shared" si="23"/>
        <v/>
      </c>
      <c r="BA405" s="108" t="str">
        <f t="shared" si="24"/>
        <v/>
      </c>
      <c r="BB405" s="109" t="str">
        <f t="shared" si="25"/>
        <v/>
      </c>
      <c r="BC405" s="108" t="str">
        <f t="shared" si="26"/>
        <v/>
      </c>
      <c r="BD405" s="108" t="str">
        <f t="shared" si="27"/>
        <v/>
      </c>
      <c r="BE405" s="109" t="str">
        <f t="shared" si="28"/>
        <v/>
      </c>
      <c r="BF405" s="110" t="str">
        <f t="shared" si="29"/>
        <v/>
      </c>
      <c r="BG405" s="111"/>
    </row>
    <row r="406" spans="1:59" ht="12.75">
      <c r="A406" s="101"/>
      <c r="B406" s="102"/>
      <c r="C406" s="102" t="e">
        <f t="array" aca="1" ref="C406" ca="1">_xludf.XLOOKUP(A406,'QA Log'!D:D,'QA Log'!F:F,"")</f>
        <v>#NAME?</v>
      </c>
      <c r="D406" s="102"/>
      <c r="E406" s="102" t="e">
        <f t="array" aca="1" ref="E406" ca="1">_xludf.XLOOKUP(A406,'QA Log'!D:D,'QA Log'!G:G,"")</f>
        <v>#NAME?</v>
      </c>
      <c r="F406" s="103"/>
      <c r="G406" s="104"/>
      <c r="H406" s="104"/>
      <c r="I406" s="103" t="str">
        <f t="shared" si="15"/>
        <v/>
      </c>
      <c r="J406" s="102"/>
      <c r="K406" s="102"/>
      <c r="L406" s="119" t="str">
        <f t="array" ref="L406">IF(OR($B406="",$D406=""),"",
IFERROR(
  INDEX(
    'Tools &amp; Targets_Guideline'!$C$54:$I$269,
    MATCH(
      1,
      ('Tools &amp; Targets_Guideline'!$A$54:$A$269=$B406)*
      ('Tools &amp; Targets_Guideline'!$B$54:$B$269="ANC"),
      0
    ),
    MATCH(
      _xludf.IFNA(
        VLOOKUP($D406,{"PH","Provincial Hospital (H2)";"DH","District Hospital (H3)";"RH","Regional / National Hospital (H1)"},2,0),
        $D406
      ),
      'Tools &amp; Targets_Guideline'!$C$53:$I$53,
      0
    )
  ),
0))</f>
        <v/>
      </c>
      <c r="M406" s="102"/>
      <c r="N406" s="119" t="str">
        <f t="array" ref="N406">IF(OR($B406="",$D406=""),"",
IFERROR(
  INDEX(
    'Tools &amp; Targets_Guideline'!$C$54:$I$269,
    MATCH(
      1,
      ('Tools &amp; Targets_Guideline'!$A$54:$A$269=$B406)*
      ('Tools &amp; Targets_Guideline'!$B$54:$B$269="PNC"),
      0
    ),
    MATCH(
      _xludf.IFNA(
        VLOOKUP($D406,{"PH","Provincial Hospital (H2)";"DH","District Hospital (H3)";"RH","Regional / National Hospital (H1)"},2,0),
        $D406
      ),
      'Tools &amp; Targets_Guideline'!$C$53:$I$53,
      0
    )
  ),
0))</f>
        <v/>
      </c>
      <c r="O406" s="102"/>
      <c r="P406" s="119" t="str">
        <f t="array" ref="P406">IF(OR($B406="",$D406=""),"",
IFERROR(
  INDEX(
    'Tools &amp; Targets_Guideline'!$C$54:$I$269,
    MATCH(
      1,
      ('Tools &amp; Targets_Guideline'!$A$54:$A$269=$B406)*
      ('Tools &amp; Targets_Guideline'!$B$54:$B$269="Delivery"),
      0
    ),
    MATCH(
      _xludf.IFNA(
        VLOOKUP($D406,{"PH","Provincial Hospital (H2)";"DH","District Hospital (H3)";"RH","Regional / National Hospital (H1)"},2,0),
        $D406
      ),
      'Tools &amp; Targets_Guideline'!$C$53:$I$53,
      0
    )
  ),
0))</f>
        <v/>
      </c>
      <c r="Q406" s="102"/>
      <c r="R406" s="119" t="str">
        <f t="array" ref="R406">IF(OR($B406="",$D406=""),"",
IFERROR(
  INDEX(
    'Tools &amp; Targets_Guideline'!$C$54:$I$269,
    MATCH(
      1,
      ('Tools &amp; Targets_Guideline'!$A$54:$A$269=$B406)*
      ('Tools &amp; Targets_Guideline'!$B$54:$B$269="TT"),
      0
    ),
    MATCH(
      _xludf.IFNA(
        VLOOKUP($D406,{"PH","Provincial Hospital (H2)";"DH","District Hospital (H3)";"RH","Regional / National Hospital (H1)"},2,0),
        $D406
      ),
      'Tools &amp; Targets_Guideline'!$C$53:$I$53,
      0
    )
  ),
0))</f>
        <v/>
      </c>
      <c r="S406" s="102"/>
      <c r="T406" s="102"/>
      <c r="U406" s="106"/>
      <c r="V406" s="102" t="str">
        <f t="shared" si="16"/>
        <v/>
      </c>
      <c r="W406" s="102"/>
      <c r="X406" s="102"/>
      <c r="Y406" s="119" t="str">
        <f t="array" ref="Y406">IF(OR($B406="",$D406=""),"",
IFERROR(
  INDEX(
    'Tools &amp; Targets_Guideline'!$C$54:$I$269,
    MATCH(
      1,
      ('Tools &amp; Targets_Guideline'!$A$54:$A$269=$B406)*
      ('Tools &amp; Targets_Guideline'!$B$54:$B$269="GM"),
      0
    ),
    MATCH(
      _xludf.IFNA(
        VLOOKUP($D406,{"PH","Provincial Hospital (H2)";"DH","District Hospital (H3)";"RH","Regional / National Hospital (H1)"},2,0),
        $D406
      ),
      'Tools &amp; Targets_Guideline'!$C$53:$I$53,
      0
    )
  ),
0))</f>
        <v/>
      </c>
      <c r="Z406" s="102"/>
      <c r="AA406" s="119" t="str">
        <f t="array" ref="AA406">IF(OR($B406="",$D406=""),"",
IFERROR(
  INDEX(
    'Tools &amp; Targets_Guideline'!$C$54:$I$269,
    MATCH(
      1,
      ('Tools &amp; Targets_Guideline'!$A$54:$A$269=$B406)*
      ('Tools &amp; Targets_Guideline'!$B$54:$B$269="Penta"),
      0
    ),
    MATCH(
      _xludf.IFNA(
        VLOOKUP($D406,{"PH","Provincial Hospital (H2)";"DH","District Hospital (H3)";"RH","Regional / National Hospital (H1)"},2,0),
        $D406
      ),
      'Tools &amp; Targets_Guideline'!$C$53:$I$53,
      0
    )
  ),
0))</f>
        <v/>
      </c>
      <c r="AB406" s="102"/>
      <c r="AC406" s="119" t="str">
        <f t="array" ref="AC406">IF(OR($B406="",$D406=""),"",
IFERROR(
  INDEX(
    'Tools &amp; Targets_Guideline'!$C$54:$I$269,
    MATCH(
      1,
      ('Tools &amp; Targets_Guideline'!$A$54:$A$269=$B406)*
      ('Tools &amp; Targets_Guideline'!$B$54:$B$269="TB"),
      0
    ),
    MATCH(
      _xludf.IFNA(
        VLOOKUP($D406,{"PH","Provincial Hospital (H2)";"DH","District Hospital (H3)";"RH","Regional / National Hospital (H1)"},2,0),
        $D406
      ),
      'Tools &amp; Targets_Guideline'!$C$53:$I$53,
      0
    )
  ),
0))</f>
        <v/>
      </c>
      <c r="AD406" s="102"/>
      <c r="AE406" s="119" t="str">
        <f t="array" ref="AE406">IF(OR($B406="",$D406=""),"",
IFERROR(
  INDEX(
    'Tools &amp; Targets_Guideline'!$C$54:$I$269,
    MATCH(
      1,
      ('Tools &amp; Targets_Guideline'!$A$54:$A$269=$B406)*
      ('Tools &amp; Targets_Guideline'!$B$54:$B$269="U5 Morbidity"),
      0
    ),
    MATCH(
      _xludf.IFNA(
        VLOOKUP($D406,{"PH","Provincial Hospital (H2)";"DH","District Hospital (H3)";"RH","Regional / National Hospital (H1)"},2,0),
        $D406
      ),
      'Tools &amp; Targets_Guideline'!$C$53:$I$53,
      0
    )
  ),
0))</f>
        <v/>
      </c>
      <c r="AF406" s="102"/>
      <c r="AG406" s="119" t="str">
        <f t="array" ref="AG406">IF(OR($B406="",$D406=""),"",
IFERROR(
  INDEX(
    'Tools &amp; Targets_Guideline'!$C$54:$I$269,
    MATCH(
      1,
      ('Tools &amp; Targets_Guideline'!$A$54:$A$269=$B406)*
      ('Tools &amp; Targets_Guideline'!$B$54:$B$269="C-Section"),
      0
    ),
    MATCH(
      _xludf.IFNA(
        VLOOKUP($D406,{"PH","Provincial Hospital (H2)";"DH","District Hospital (H3)";"RH","Regional / National Hospital (H1)"},2,0),
        $D406
      ),
      'Tools &amp; Targets_Guideline'!$C$53:$I$53,
      0
    )
  ),
0))</f>
        <v/>
      </c>
      <c r="AH406" s="102" t="str">
        <f>IF(A406&lt;&gt;"",COUNTIFS('QA Log'!D:D,A406,'QA Log'!M:M,"QQC",'QA Log'!L:L,"2. Hygiene and Sterilization",'QA Log'!Z:Z,"Approved"),"")</f>
        <v/>
      </c>
      <c r="AI406" s="102"/>
      <c r="AJ406" s="102"/>
      <c r="AK406" s="103" t="str">
        <f t="shared" si="17"/>
        <v/>
      </c>
      <c r="AL406" s="102"/>
      <c r="AM406" s="102"/>
      <c r="AN406" s="102"/>
      <c r="AO406" s="106"/>
      <c r="AP406" s="103"/>
      <c r="AQ406" s="102"/>
      <c r="AR406" s="102"/>
      <c r="AS406" s="102"/>
      <c r="AT406" s="107"/>
      <c r="AU406" s="102" t="str">
        <f t="shared" si="18"/>
        <v/>
      </c>
      <c r="AV406" s="102" t="str">
        <f t="shared" si="19"/>
        <v/>
      </c>
      <c r="AW406" s="102" t="str">
        <f t="shared" si="20"/>
        <v/>
      </c>
      <c r="AX406" s="102" t="str">
        <f t="shared" si="21"/>
        <v/>
      </c>
      <c r="AY406" s="107" t="str">
        <f t="shared" si="22"/>
        <v/>
      </c>
      <c r="AZ406" s="108" t="str">
        <f t="shared" si="23"/>
        <v/>
      </c>
      <c r="BA406" s="108" t="str">
        <f t="shared" si="24"/>
        <v/>
      </c>
      <c r="BB406" s="109" t="str">
        <f t="shared" si="25"/>
        <v/>
      </c>
      <c r="BC406" s="108" t="str">
        <f t="shared" si="26"/>
        <v/>
      </c>
      <c r="BD406" s="108" t="str">
        <f t="shared" si="27"/>
        <v/>
      </c>
      <c r="BE406" s="109" t="str">
        <f t="shared" si="28"/>
        <v/>
      </c>
      <c r="BF406" s="110" t="str">
        <f t="shared" si="29"/>
        <v/>
      </c>
      <c r="BG406" s="111"/>
    </row>
    <row r="407" spans="1:59" ht="12.75">
      <c r="A407" s="101"/>
      <c r="B407" s="102"/>
      <c r="C407" s="102" t="e">
        <f t="array" aca="1" ref="C407" ca="1">_xludf.XLOOKUP(A407,'QA Log'!D:D,'QA Log'!F:F,"")</f>
        <v>#NAME?</v>
      </c>
      <c r="D407" s="102"/>
      <c r="E407" s="102" t="e">
        <f t="array" aca="1" ref="E407" ca="1">_xludf.XLOOKUP(A407,'QA Log'!D:D,'QA Log'!G:G,"")</f>
        <v>#NAME?</v>
      </c>
      <c r="F407" s="103"/>
      <c r="G407" s="104"/>
      <c r="H407" s="104"/>
      <c r="I407" s="103" t="str">
        <f t="shared" si="15"/>
        <v/>
      </c>
      <c r="J407" s="102"/>
      <c r="K407" s="102"/>
      <c r="L407" s="119" t="str">
        <f t="array" ref="L407">IF(OR($B407="",$D407=""),"",
IFERROR(
  INDEX(
    'Tools &amp; Targets_Guideline'!$C$54:$I$269,
    MATCH(
      1,
      ('Tools &amp; Targets_Guideline'!$A$54:$A$269=$B407)*
      ('Tools &amp; Targets_Guideline'!$B$54:$B$269="ANC"),
      0
    ),
    MATCH(
      _xludf.IFNA(
        VLOOKUP($D407,{"PH","Provincial Hospital (H2)";"DH","District Hospital (H3)";"RH","Regional / National Hospital (H1)"},2,0),
        $D407
      ),
      'Tools &amp; Targets_Guideline'!$C$53:$I$53,
      0
    )
  ),
0))</f>
        <v/>
      </c>
      <c r="M407" s="102"/>
      <c r="N407" s="119" t="str">
        <f t="array" ref="N407">IF(OR($B407="",$D407=""),"",
IFERROR(
  INDEX(
    'Tools &amp; Targets_Guideline'!$C$54:$I$269,
    MATCH(
      1,
      ('Tools &amp; Targets_Guideline'!$A$54:$A$269=$B407)*
      ('Tools &amp; Targets_Guideline'!$B$54:$B$269="PNC"),
      0
    ),
    MATCH(
      _xludf.IFNA(
        VLOOKUP($D407,{"PH","Provincial Hospital (H2)";"DH","District Hospital (H3)";"RH","Regional / National Hospital (H1)"},2,0),
        $D407
      ),
      'Tools &amp; Targets_Guideline'!$C$53:$I$53,
      0
    )
  ),
0))</f>
        <v/>
      </c>
      <c r="O407" s="102"/>
      <c r="P407" s="119" t="str">
        <f t="array" ref="P407">IF(OR($B407="",$D407=""),"",
IFERROR(
  INDEX(
    'Tools &amp; Targets_Guideline'!$C$54:$I$269,
    MATCH(
      1,
      ('Tools &amp; Targets_Guideline'!$A$54:$A$269=$B407)*
      ('Tools &amp; Targets_Guideline'!$B$54:$B$269="Delivery"),
      0
    ),
    MATCH(
      _xludf.IFNA(
        VLOOKUP($D407,{"PH","Provincial Hospital (H2)";"DH","District Hospital (H3)";"RH","Regional / National Hospital (H1)"},2,0),
        $D407
      ),
      'Tools &amp; Targets_Guideline'!$C$53:$I$53,
      0
    )
  ),
0))</f>
        <v/>
      </c>
      <c r="Q407" s="102"/>
      <c r="R407" s="119" t="str">
        <f t="array" ref="R407">IF(OR($B407="",$D407=""),"",
IFERROR(
  INDEX(
    'Tools &amp; Targets_Guideline'!$C$54:$I$269,
    MATCH(
      1,
      ('Tools &amp; Targets_Guideline'!$A$54:$A$269=$B407)*
      ('Tools &amp; Targets_Guideline'!$B$54:$B$269="TT"),
      0
    ),
    MATCH(
      _xludf.IFNA(
        VLOOKUP($D407,{"PH","Provincial Hospital (H2)";"DH","District Hospital (H3)";"RH","Regional / National Hospital (H1)"},2,0),
        $D407
      ),
      'Tools &amp; Targets_Guideline'!$C$53:$I$53,
      0
    )
  ),
0))</f>
        <v/>
      </c>
      <c r="S407" s="102"/>
      <c r="T407" s="102"/>
      <c r="U407" s="106"/>
      <c r="V407" s="102" t="str">
        <f t="shared" si="16"/>
        <v/>
      </c>
      <c r="W407" s="102"/>
      <c r="X407" s="102"/>
      <c r="Y407" s="119" t="str">
        <f t="array" ref="Y407">IF(OR($B407="",$D407=""),"",
IFERROR(
  INDEX(
    'Tools &amp; Targets_Guideline'!$C$54:$I$269,
    MATCH(
      1,
      ('Tools &amp; Targets_Guideline'!$A$54:$A$269=$B407)*
      ('Tools &amp; Targets_Guideline'!$B$54:$B$269="GM"),
      0
    ),
    MATCH(
      _xludf.IFNA(
        VLOOKUP($D407,{"PH","Provincial Hospital (H2)";"DH","District Hospital (H3)";"RH","Regional / National Hospital (H1)"},2,0),
        $D407
      ),
      'Tools &amp; Targets_Guideline'!$C$53:$I$53,
      0
    )
  ),
0))</f>
        <v/>
      </c>
      <c r="Z407" s="102"/>
      <c r="AA407" s="119" t="str">
        <f t="array" ref="AA407">IF(OR($B407="",$D407=""),"",
IFERROR(
  INDEX(
    'Tools &amp; Targets_Guideline'!$C$54:$I$269,
    MATCH(
      1,
      ('Tools &amp; Targets_Guideline'!$A$54:$A$269=$B407)*
      ('Tools &amp; Targets_Guideline'!$B$54:$B$269="Penta"),
      0
    ),
    MATCH(
      _xludf.IFNA(
        VLOOKUP($D407,{"PH","Provincial Hospital (H2)";"DH","District Hospital (H3)";"RH","Regional / National Hospital (H1)"},2,0),
        $D407
      ),
      'Tools &amp; Targets_Guideline'!$C$53:$I$53,
      0
    )
  ),
0))</f>
        <v/>
      </c>
      <c r="AB407" s="102"/>
      <c r="AC407" s="119" t="str">
        <f t="array" ref="AC407">IF(OR($B407="",$D407=""),"",
IFERROR(
  INDEX(
    'Tools &amp; Targets_Guideline'!$C$54:$I$269,
    MATCH(
      1,
      ('Tools &amp; Targets_Guideline'!$A$54:$A$269=$B407)*
      ('Tools &amp; Targets_Guideline'!$B$54:$B$269="TB"),
      0
    ),
    MATCH(
      _xludf.IFNA(
        VLOOKUP($D407,{"PH","Provincial Hospital (H2)";"DH","District Hospital (H3)";"RH","Regional / National Hospital (H1)"},2,0),
        $D407
      ),
      'Tools &amp; Targets_Guideline'!$C$53:$I$53,
      0
    )
  ),
0))</f>
        <v/>
      </c>
      <c r="AD407" s="102"/>
      <c r="AE407" s="119" t="str">
        <f t="array" ref="AE407">IF(OR($B407="",$D407=""),"",
IFERROR(
  INDEX(
    'Tools &amp; Targets_Guideline'!$C$54:$I$269,
    MATCH(
      1,
      ('Tools &amp; Targets_Guideline'!$A$54:$A$269=$B407)*
      ('Tools &amp; Targets_Guideline'!$B$54:$B$269="U5 Morbidity"),
      0
    ),
    MATCH(
      _xludf.IFNA(
        VLOOKUP($D407,{"PH","Provincial Hospital (H2)";"DH","District Hospital (H3)";"RH","Regional / National Hospital (H1)"},2,0),
        $D407
      ),
      'Tools &amp; Targets_Guideline'!$C$53:$I$53,
      0
    )
  ),
0))</f>
        <v/>
      </c>
      <c r="AF407" s="102"/>
      <c r="AG407" s="119" t="str">
        <f t="array" ref="AG407">IF(OR($B407="",$D407=""),"",
IFERROR(
  INDEX(
    'Tools &amp; Targets_Guideline'!$C$54:$I$269,
    MATCH(
      1,
      ('Tools &amp; Targets_Guideline'!$A$54:$A$269=$B407)*
      ('Tools &amp; Targets_Guideline'!$B$54:$B$269="C-Section"),
      0
    ),
    MATCH(
      _xludf.IFNA(
        VLOOKUP($D407,{"PH","Provincial Hospital (H2)";"DH","District Hospital (H3)";"RH","Regional / National Hospital (H1)"},2,0),
        $D407
      ),
      'Tools &amp; Targets_Guideline'!$C$53:$I$53,
      0
    )
  ),
0))</f>
        <v/>
      </c>
      <c r="AH407" s="102" t="str">
        <f>IF(A407&lt;&gt;"",COUNTIFS('QA Log'!D:D,A407,'QA Log'!M:M,"QQC",'QA Log'!L:L,"2. Hygiene and Sterilization",'QA Log'!Z:Z,"Approved"),"")</f>
        <v/>
      </c>
      <c r="AI407" s="102"/>
      <c r="AJ407" s="102"/>
      <c r="AK407" s="103" t="str">
        <f t="shared" si="17"/>
        <v/>
      </c>
      <c r="AL407" s="102"/>
      <c r="AM407" s="102"/>
      <c r="AN407" s="102"/>
      <c r="AO407" s="106"/>
      <c r="AP407" s="103"/>
      <c r="AQ407" s="102"/>
      <c r="AR407" s="102"/>
      <c r="AS407" s="102"/>
      <c r="AT407" s="107"/>
      <c r="AU407" s="102" t="str">
        <f t="shared" si="18"/>
        <v/>
      </c>
      <c r="AV407" s="102" t="str">
        <f t="shared" si="19"/>
        <v/>
      </c>
      <c r="AW407" s="102" t="str">
        <f t="shared" si="20"/>
        <v/>
      </c>
      <c r="AX407" s="102" t="str">
        <f t="shared" si="21"/>
        <v/>
      </c>
      <c r="AY407" s="107" t="str">
        <f t="shared" si="22"/>
        <v/>
      </c>
      <c r="AZ407" s="108" t="str">
        <f t="shared" si="23"/>
        <v/>
      </c>
      <c r="BA407" s="108" t="str">
        <f t="shared" si="24"/>
        <v/>
      </c>
      <c r="BB407" s="109" t="str">
        <f t="shared" si="25"/>
        <v/>
      </c>
      <c r="BC407" s="108" t="str">
        <f t="shared" si="26"/>
        <v/>
      </c>
      <c r="BD407" s="108" t="str">
        <f t="shared" si="27"/>
        <v/>
      </c>
      <c r="BE407" s="109" t="str">
        <f t="shared" si="28"/>
        <v/>
      </c>
      <c r="BF407" s="110" t="str">
        <f t="shared" si="29"/>
        <v/>
      </c>
      <c r="BG407" s="111"/>
    </row>
    <row r="408" spans="1:59" ht="12.75">
      <c r="A408" s="101"/>
      <c r="B408" s="102"/>
      <c r="C408" s="102" t="e">
        <f t="array" aca="1" ref="C408" ca="1">_xludf.XLOOKUP(A408,'QA Log'!D:D,'QA Log'!F:F,"")</f>
        <v>#NAME?</v>
      </c>
      <c r="D408" s="102"/>
      <c r="E408" s="102" t="e">
        <f t="array" aca="1" ref="E408" ca="1">_xludf.XLOOKUP(A408,'QA Log'!D:D,'QA Log'!G:G,"")</f>
        <v>#NAME?</v>
      </c>
      <c r="F408" s="103"/>
      <c r="G408" s="104"/>
      <c r="H408" s="104"/>
      <c r="I408" s="103" t="str">
        <f t="shared" si="15"/>
        <v/>
      </c>
      <c r="J408" s="102"/>
      <c r="K408" s="102"/>
      <c r="L408" s="119" t="str">
        <f t="array" ref="L408">IF(OR($B408="",$D408=""),"",
IFERROR(
  INDEX(
    'Tools &amp; Targets_Guideline'!$C$54:$I$269,
    MATCH(
      1,
      ('Tools &amp; Targets_Guideline'!$A$54:$A$269=$B408)*
      ('Tools &amp; Targets_Guideline'!$B$54:$B$269="ANC"),
      0
    ),
    MATCH(
      _xludf.IFNA(
        VLOOKUP($D408,{"PH","Provincial Hospital (H2)";"DH","District Hospital (H3)";"RH","Regional / National Hospital (H1)"},2,0),
        $D408
      ),
      'Tools &amp; Targets_Guideline'!$C$53:$I$53,
      0
    )
  ),
0))</f>
        <v/>
      </c>
      <c r="M408" s="102"/>
      <c r="N408" s="119" t="str">
        <f t="array" ref="N408">IF(OR($B408="",$D408=""),"",
IFERROR(
  INDEX(
    'Tools &amp; Targets_Guideline'!$C$54:$I$269,
    MATCH(
      1,
      ('Tools &amp; Targets_Guideline'!$A$54:$A$269=$B408)*
      ('Tools &amp; Targets_Guideline'!$B$54:$B$269="PNC"),
      0
    ),
    MATCH(
      _xludf.IFNA(
        VLOOKUP($D408,{"PH","Provincial Hospital (H2)";"DH","District Hospital (H3)";"RH","Regional / National Hospital (H1)"},2,0),
        $D408
      ),
      'Tools &amp; Targets_Guideline'!$C$53:$I$53,
      0
    )
  ),
0))</f>
        <v/>
      </c>
      <c r="O408" s="102"/>
      <c r="P408" s="119" t="str">
        <f t="array" ref="P408">IF(OR($B408="",$D408=""),"",
IFERROR(
  INDEX(
    'Tools &amp; Targets_Guideline'!$C$54:$I$269,
    MATCH(
      1,
      ('Tools &amp; Targets_Guideline'!$A$54:$A$269=$B408)*
      ('Tools &amp; Targets_Guideline'!$B$54:$B$269="Delivery"),
      0
    ),
    MATCH(
      _xludf.IFNA(
        VLOOKUP($D408,{"PH","Provincial Hospital (H2)";"DH","District Hospital (H3)";"RH","Regional / National Hospital (H1)"},2,0),
        $D408
      ),
      'Tools &amp; Targets_Guideline'!$C$53:$I$53,
      0
    )
  ),
0))</f>
        <v/>
      </c>
      <c r="Q408" s="102"/>
      <c r="R408" s="119" t="str">
        <f t="array" ref="R408">IF(OR($B408="",$D408=""),"",
IFERROR(
  INDEX(
    'Tools &amp; Targets_Guideline'!$C$54:$I$269,
    MATCH(
      1,
      ('Tools &amp; Targets_Guideline'!$A$54:$A$269=$B408)*
      ('Tools &amp; Targets_Guideline'!$B$54:$B$269="TT"),
      0
    ),
    MATCH(
      _xludf.IFNA(
        VLOOKUP($D408,{"PH","Provincial Hospital (H2)";"DH","District Hospital (H3)";"RH","Regional / National Hospital (H1)"},2,0),
        $D408
      ),
      'Tools &amp; Targets_Guideline'!$C$53:$I$53,
      0
    )
  ),
0))</f>
        <v/>
      </c>
      <c r="S408" s="102"/>
      <c r="T408" s="102"/>
      <c r="U408" s="106"/>
      <c r="V408" s="102" t="str">
        <f t="shared" si="16"/>
        <v/>
      </c>
      <c r="W408" s="102"/>
      <c r="X408" s="102"/>
      <c r="Y408" s="119" t="str">
        <f t="array" ref="Y408">IF(OR($B408="",$D408=""),"",
IFERROR(
  INDEX(
    'Tools &amp; Targets_Guideline'!$C$54:$I$269,
    MATCH(
      1,
      ('Tools &amp; Targets_Guideline'!$A$54:$A$269=$B408)*
      ('Tools &amp; Targets_Guideline'!$B$54:$B$269="GM"),
      0
    ),
    MATCH(
      _xludf.IFNA(
        VLOOKUP($D408,{"PH","Provincial Hospital (H2)";"DH","District Hospital (H3)";"RH","Regional / National Hospital (H1)"},2,0),
        $D408
      ),
      'Tools &amp; Targets_Guideline'!$C$53:$I$53,
      0
    )
  ),
0))</f>
        <v/>
      </c>
      <c r="Z408" s="102"/>
      <c r="AA408" s="119" t="str">
        <f t="array" ref="AA408">IF(OR($B408="",$D408=""),"",
IFERROR(
  INDEX(
    'Tools &amp; Targets_Guideline'!$C$54:$I$269,
    MATCH(
      1,
      ('Tools &amp; Targets_Guideline'!$A$54:$A$269=$B408)*
      ('Tools &amp; Targets_Guideline'!$B$54:$B$269="Penta"),
      0
    ),
    MATCH(
      _xludf.IFNA(
        VLOOKUP($D408,{"PH","Provincial Hospital (H2)";"DH","District Hospital (H3)";"RH","Regional / National Hospital (H1)"},2,0),
        $D408
      ),
      'Tools &amp; Targets_Guideline'!$C$53:$I$53,
      0
    )
  ),
0))</f>
        <v/>
      </c>
      <c r="AB408" s="102"/>
      <c r="AC408" s="119" t="str">
        <f t="array" ref="AC408">IF(OR($B408="",$D408=""),"",
IFERROR(
  INDEX(
    'Tools &amp; Targets_Guideline'!$C$54:$I$269,
    MATCH(
      1,
      ('Tools &amp; Targets_Guideline'!$A$54:$A$269=$B408)*
      ('Tools &amp; Targets_Guideline'!$B$54:$B$269="TB"),
      0
    ),
    MATCH(
      _xludf.IFNA(
        VLOOKUP($D408,{"PH","Provincial Hospital (H2)";"DH","District Hospital (H3)";"RH","Regional / National Hospital (H1)"},2,0),
        $D408
      ),
      'Tools &amp; Targets_Guideline'!$C$53:$I$53,
      0
    )
  ),
0))</f>
        <v/>
      </c>
      <c r="AD408" s="102"/>
      <c r="AE408" s="119" t="str">
        <f t="array" ref="AE408">IF(OR($B408="",$D408=""),"",
IFERROR(
  INDEX(
    'Tools &amp; Targets_Guideline'!$C$54:$I$269,
    MATCH(
      1,
      ('Tools &amp; Targets_Guideline'!$A$54:$A$269=$B408)*
      ('Tools &amp; Targets_Guideline'!$B$54:$B$269="U5 Morbidity"),
      0
    ),
    MATCH(
      _xludf.IFNA(
        VLOOKUP($D408,{"PH","Provincial Hospital (H2)";"DH","District Hospital (H3)";"RH","Regional / National Hospital (H1)"},2,0),
        $D408
      ),
      'Tools &amp; Targets_Guideline'!$C$53:$I$53,
      0
    )
  ),
0))</f>
        <v/>
      </c>
      <c r="AF408" s="102"/>
      <c r="AG408" s="119" t="str">
        <f t="array" ref="AG408">IF(OR($B408="",$D408=""),"",
IFERROR(
  INDEX(
    'Tools &amp; Targets_Guideline'!$C$54:$I$269,
    MATCH(
      1,
      ('Tools &amp; Targets_Guideline'!$A$54:$A$269=$B408)*
      ('Tools &amp; Targets_Guideline'!$B$54:$B$269="C-Section"),
      0
    ),
    MATCH(
      _xludf.IFNA(
        VLOOKUP($D408,{"PH","Provincial Hospital (H2)";"DH","District Hospital (H3)";"RH","Regional / National Hospital (H1)"},2,0),
        $D408
      ),
      'Tools &amp; Targets_Guideline'!$C$53:$I$53,
      0
    )
  ),
0))</f>
        <v/>
      </c>
      <c r="AH408" s="102" t="str">
        <f>IF(A408&lt;&gt;"",COUNTIFS('QA Log'!D:D,A408,'QA Log'!M:M,"QQC",'QA Log'!L:L,"2. Hygiene and Sterilization",'QA Log'!Z:Z,"Approved"),"")</f>
        <v/>
      </c>
      <c r="AI408" s="102"/>
      <c r="AJ408" s="102"/>
      <c r="AK408" s="103" t="str">
        <f t="shared" si="17"/>
        <v/>
      </c>
      <c r="AL408" s="102"/>
      <c r="AM408" s="102"/>
      <c r="AN408" s="102"/>
      <c r="AO408" s="106"/>
      <c r="AP408" s="103"/>
      <c r="AQ408" s="102"/>
      <c r="AR408" s="102"/>
      <c r="AS408" s="102"/>
      <c r="AT408" s="107"/>
      <c r="AU408" s="102" t="str">
        <f t="shared" si="18"/>
        <v/>
      </c>
      <c r="AV408" s="102" t="str">
        <f t="shared" si="19"/>
        <v/>
      </c>
      <c r="AW408" s="102" t="str">
        <f t="shared" si="20"/>
        <v/>
      </c>
      <c r="AX408" s="102" t="str">
        <f t="shared" si="21"/>
        <v/>
      </c>
      <c r="AY408" s="107" t="str">
        <f t="shared" si="22"/>
        <v/>
      </c>
      <c r="AZ408" s="108" t="str">
        <f t="shared" si="23"/>
        <v/>
      </c>
      <c r="BA408" s="108" t="str">
        <f t="shared" si="24"/>
        <v/>
      </c>
      <c r="BB408" s="109" t="str">
        <f t="shared" si="25"/>
        <v/>
      </c>
      <c r="BC408" s="108" t="str">
        <f t="shared" si="26"/>
        <v/>
      </c>
      <c r="BD408" s="108" t="str">
        <f t="shared" si="27"/>
        <v/>
      </c>
      <c r="BE408" s="109" t="str">
        <f t="shared" si="28"/>
        <v/>
      </c>
      <c r="BF408" s="110" t="str">
        <f t="shared" si="29"/>
        <v/>
      </c>
      <c r="BG408" s="111"/>
    </row>
    <row r="409" spans="1:59" ht="12.75">
      <c r="A409" s="101"/>
      <c r="B409" s="102"/>
      <c r="C409" s="102" t="e">
        <f t="array" aca="1" ref="C409" ca="1">_xludf.XLOOKUP(A409,'QA Log'!D:D,'QA Log'!F:F,"")</f>
        <v>#NAME?</v>
      </c>
      <c r="D409" s="102"/>
      <c r="E409" s="102" t="e">
        <f t="array" aca="1" ref="E409" ca="1">_xludf.XLOOKUP(A409,'QA Log'!D:D,'QA Log'!G:G,"")</f>
        <v>#NAME?</v>
      </c>
      <c r="F409" s="103"/>
      <c r="G409" s="104"/>
      <c r="H409" s="104"/>
      <c r="I409" s="103" t="str">
        <f t="shared" si="15"/>
        <v/>
      </c>
      <c r="J409" s="102"/>
      <c r="K409" s="102"/>
      <c r="L409" s="119" t="str">
        <f t="array" ref="L409">IF(OR($B409="",$D409=""),"",
IFERROR(
  INDEX(
    'Tools &amp; Targets_Guideline'!$C$54:$I$269,
    MATCH(
      1,
      ('Tools &amp; Targets_Guideline'!$A$54:$A$269=$B409)*
      ('Tools &amp; Targets_Guideline'!$B$54:$B$269="ANC"),
      0
    ),
    MATCH(
      _xludf.IFNA(
        VLOOKUP($D409,{"PH","Provincial Hospital (H2)";"DH","District Hospital (H3)";"RH","Regional / National Hospital (H1)"},2,0),
        $D409
      ),
      'Tools &amp; Targets_Guideline'!$C$53:$I$53,
      0
    )
  ),
0))</f>
        <v/>
      </c>
      <c r="M409" s="102"/>
      <c r="N409" s="119" t="str">
        <f t="array" ref="N409">IF(OR($B409="",$D409=""),"",
IFERROR(
  INDEX(
    'Tools &amp; Targets_Guideline'!$C$54:$I$269,
    MATCH(
      1,
      ('Tools &amp; Targets_Guideline'!$A$54:$A$269=$B409)*
      ('Tools &amp; Targets_Guideline'!$B$54:$B$269="PNC"),
      0
    ),
    MATCH(
      _xludf.IFNA(
        VLOOKUP($D409,{"PH","Provincial Hospital (H2)";"DH","District Hospital (H3)";"RH","Regional / National Hospital (H1)"},2,0),
        $D409
      ),
      'Tools &amp; Targets_Guideline'!$C$53:$I$53,
      0
    )
  ),
0))</f>
        <v/>
      </c>
      <c r="O409" s="102"/>
      <c r="P409" s="119" t="str">
        <f t="array" ref="P409">IF(OR($B409="",$D409=""),"",
IFERROR(
  INDEX(
    'Tools &amp; Targets_Guideline'!$C$54:$I$269,
    MATCH(
      1,
      ('Tools &amp; Targets_Guideline'!$A$54:$A$269=$B409)*
      ('Tools &amp; Targets_Guideline'!$B$54:$B$269="Delivery"),
      0
    ),
    MATCH(
      _xludf.IFNA(
        VLOOKUP($D409,{"PH","Provincial Hospital (H2)";"DH","District Hospital (H3)";"RH","Regional / National Hospital (H1)"},2,0),
        $D409
      ),
      'Tools &amp; Targets_Guideline'!$C$53:$I$53,
      0
    )
  ),
0))</f>
        <v/>
      </c>
      <c r="Q409" s="102"/>
      <c r="R409" s="119" t="str">
        <f t="array" ref="R409">IF(OR($B409="",$D409=""),"",
IFERROR(
  INDEX(
    'Tools &amp; Targets_Guideline'!$C$54:$I$269,
    MATCH(
      1,
      ('Tools &amp; Targets_Guideline'!$A$54:$A$269=$B409)*
      ('Tools &amp; Targets_Guideline'!$B$54:$B$269="TT"),
      0
    ),
    MATCH(
      _xludf.IFNA(
        VLOOKUP($D409,{"PH","Provincial Hospital (H2)";"DH","District Hospital (H3)";"RH","Regional / National Hospital (H1)"},2,0),
        $D409
      ),
      'Tools &amp; Targets_Guideline'!$C$53:$I$53,
      0
    )
  ),
0))</f>
        <v/>
      </c>
      <c r="S409" s="102"/>
      <c r="T409" s="102"/>
      <c r="U409" s="106"/>
      <c r="V409" s="102" t="str">
        <f t="shared" si="16"/>
        <v/>
      </c>
      <c r="W409" s="102"/>
      <c r="X409" s="102"/>
      <c r="Y409" s="119" t="str">
        <f t="array" ref="Y409">IF(OR($B409="",$D409=""),"",
IFERROR(
  INDEX(
    'Tools &amp; Targets_Guideline'!$C$54:$I$269,
    MATCH(
      1,
      ('Tools &amp; Targets_Guideline'!$A$54:$A$269=$B409)*
      ('Tools &amp; Targets_Guideline'!$B$54:$B$269="GM"),
      0
    ),
    MATCH(
      _xludf.IFNA(
        VLOOKUP($D409,{"PH","Provincial Hospital (H2)";"DH","District Hospital (H3)";"RH","Regional / National Hospital (H1)"},2,0),
        $D409
      ),
      'Tools &amp; Targets_Guideline'!$C$53:$I$53,
      0
    )
  ),
0))</f>
        <v/>
      </c>
      <c r="Z409" s="102"/>
      <c r="AA409" s="119" t="str">
        <f t="array" ref="AA409">IF(OR($B409="",$D409=""),"",
IFERROR(
  INDEX(
    'Tools &amp; Targets_Guideline'!$C$54:$I$269,
    MATCH(
      1,
      ('Tools &amp; Targets_Guideline'!$A$54:$A$269=$B409)*
      ('Tools &amp; Targets_Guideline'!$B$54:$B$269="Penta"),
      0
    ),
    MATCH(
      _xludf.IFNA(
        VLOOKUP($D409,{"PH","Provincial Hospital (H2)";"DH","District Hospital (H3)";"RH","Regional / National Hospital (H1)"},2,0),
        $D409
      ),
      'Tools &amp; Targets_Guideline'!$C$53:$I$53,
      0
    )
  ),
0))</f>
        <v/>
      </c>
      <c r="AB409" s="102"/>
      <c r="AC409" s="119" t="str">
        <f t="array" ref="AC409">IF(OR($B409="",$D409=""),"",
IFERROR(
  INDEX(
    'Tools &amp; Targets_Guideline'!$C$54:$I$269,
    MATCH(
      1,
      ('Tools &amp; Targets_Guideline'!$A$54:$A$269=$B409)*
      ('Tools &amp; Targets_Guideline'!$B$54:$B$269="TB"),
      0
    ),
    MATCH(
      _xludf.IFNA(
        VLOOKUP($D409,{"PH","Provincial Hospital (H2)";"DH","District Hospital (H3)";"RH","Regional / National Hospital (H1)"},2,0),
        $D409
      ),
      'Tools &amp; Targets_Guideline'!$C$53:$I$53,
      0
    )
  ),
0))</f>
        <v/>
      </c>
      <c r="AD409" s="102"/>
      <c r="AE409" s="119" t="str">
        <f t="array" ref="AE409">IF(OR($B409="",$D409=""),"",
IFERROR(
  INDEX(
    'Tools &amp; Targets_Guideline'!$C$54:$I$269,
    MATCH(
      1,
      ('Tools &amp; Targets_Guideline'!$A$54:$A$269=$B409)*
      ('Tools &amp; Targets_Guideline'!$B$54:$B$269="U5 Morbidity"),
      0
    ),
    MATCH(
      _xludf.IFNA(
        VLOOKUP($D409,{"PH","Provincial Hospital (H2)";"DH","District Hospital (H3)";"RH","Regional / National Hospital (H1)"},2,0),
        $D409
      ),
      'Tools &amp; Targets_Guideline'!$C$53:$I$53,
      0
    )
  ),
0))</f>
        <v/>
      </c>
      <c r="AF409" s="102"/>
      <c r="AG409" s="119" t="str">
        <f t="array" ref="AG409">IF(OR($B409="",$D409=""),"",
IFERROR(
  INDEX(
    'Tools &amp; Targets_Guideline'!$C$54:$I$269,
    MATCH(
      1,
      ('Tools &amp; Targets_Guideline'!$A$54:$A$269=$B409)*
      ('Tools &amp; Targets_Guideline'!$B$54:$B$269="C-Section"),
      0
    ),
    MATCH(
      _xludf.IFNA(
        VLOOKUP($D409,{"PH","Provincial Hospital (H2)";"DH","District Hospital (H3)";"RH","Regional / National Hospital (H1)"},2,0),
        $D409
      ),
      'Tools &amp; Targets_Guideline'!$C$53:$I$53,
      0
    )
  ),
0))</f>
        <v/>
      </c>
      <c r="AH409" s="102" t="str">
        <f>IF(A409&lt;&gt;"",COUNTIFS('QA Log'!D:D,A409,'QA Log'!M:M,"QQC",'QA Log'!L:L,"2. Hygiene and Sterilization",'QA Log'!Z:Z,"Approved"),"")</f>
        <v/>
      </c>
      <c r="AI409" s="102"/>
      <c r="AJ409" s="102"/>
      <c r="AK409" s="103" t="str">
        <f t="shared" si="17"/>
        <v/>
      </c>
      <c r="AL409" s="102"/>
      <c r="AM409" s="102"/>
      <c r="AN409" s="102"/>
      <c r="AO409" s="106"/>
      <c r="AP409" s="103"/>
      <c r="AQ409" s="102"/>
      <c r="AR409" s="102"/>
      <c r="AS409" s="102"/>
      <c r="AT409" s="107"/>
      <c r="AU409" s="102" t="str">
        <f t="shared" si="18"/>
        <v/>
      </c>
      <c r="AV409" s="102" t="str">
        <f t="shared" si="19"/>
        <v/>
      </c>
      <c r="AW409" s="102" t="str">
        <f t="shared" si="20"/>
        <v/>
      </c>
      <c r="AX409" s="102" t="str">
        <f t="shared" si="21"/>
        <v/>
      </c>
      <c r="AY409" s="107" t="str">
        <f t="shared" si="22"/>
        <v/>
      </c>
      <c r="AZ409" s="108" t="str">
        <f t="shared" si="23"/>
        <v/>
      </c>
      <c r="BA409" s="108" t="str">
        <f t="shared" si="24"/>
        <v/>
      </c>
      <c r="BB409" s="109" t="str">
        <f t="shared" si="25"/>
        <v/>
      </c>
      <c r="BC409" s="108" t="str">
        <f t="shared" si="26"/>
        <v/>
      </c>
      <c r="BD409" s="108" t="str">
        <f t="shared" si="27"/>
        <v/>
      </c>
      <c r="BE409" s="109" t="str">
        <f t="shared" si="28"/>
        <v/>
      </c>
      <c r="BF409" s="110" t="str">
        <f t="shared" si="29"/>
        <v/>
      </c>
      <c r="BG409" s="111"/>
    </row>
    <row r="410" spans="1:59" ht="12.75">
      <c r="A410" s="101"/>
      <c r="B410" s="102"/>
      <c r="C410" s="102" t="e">
        <f t="array" aca="1" ref="C410" ca="1">_xludf.XLOOKUP(A410,'QA Log'!D:D,'QA Log'!F:F,"")</f>
        <v>#NAME?</v>
      </c>
      <c r="D410" s="102"/>
      <c r="E410" s="102" t="e">
        <f t="array" aca="1" ref="E410" ca="1">_xludf.XLOOKUP(A410,'QA Log'!D:D,'QA Log'!G:G,"")</f>
        <v>#NAME?</v>
      </c>
      <c r="F410" s="103"/>
      <c r="G410" s="104"/>
      <c r="H410" s="104"/>
      <c r="I410" s="103" t="str">
        <f t="shared" si="15"/>
        <v/>
      </c>
      <c r="J410" s="102"/>
      <c r="K410" s="102"/>
      <c r="L410" s="119" t="str">
        <f t="array" ref="L410">IF(OR($B410="",$D410=""),"",
IFERROR(
  INDEX(
    'Tools &amp; Targets_Guideline'!$C$54:$I$269,
    MATCH(
      1,
      ('Tools &amp; Targets_Guideline'!$A$54:$A$269=$B410)*
      ('Tools &amp; Targets_Guideline'!$B$54:$B$269="ANC"),
      0
    ),
    MATCH(
      _xludf.IFNA(
        VLOOKUP($D410,{"PH","Provincial Hospital (H2)";"DH","District Hospital (H3)";"RH","Regional / National Hospital (H1)"},2,0),
        $D410
      ),
      'Tools &amp; Targets_Guideline'!$C$53:$I$53,
      0
    )
  ),
0))</f>
        <v/>
      </c>
      <c r="M410" s="102"/>
      <c r="N410" s="119" t="str">
        <f t="array" ref="N410">IF(OR($B410="",$D410=""),"",
IFERROR(
  INDEX(
    'Tools &amp; Targets_Guideline'!$C$54:$I$269,
    MATCH(
      1,
      ('Tools &amp; Targets_Guideline'!$A$54:$A$269=$B410)*
      ('Tools &amp; Targets_Guideline'!$B$54:$B$269="PNC"),
      0
    ),
    MATCH(
      _xludf.IFNA(
        VLOOKUP($D410,{"PH","Provincial Hospital (H2)";"DH","District Hospital (H3)";"RH","Regional / National Hospital (H1)"},2,0),
        $D410
      ),
      'Tools &amp; Targets_Guideline'!$C$53:$I$53,
      0
    )
  ),
0))</f>
        <v/>
      </c>
      <c r="O410" s="102"/>
      <c r="P410" s="119" t="str">
        <f t="array" ref="P410">IF(OR($B410="",$D410=""),"",
IFERROR(
  INDEX(
    'Tools &amp; Targets_Guideline'!$C$54:$I$269,
    MATCH(
      1,
      ('Tools &amp; Targets_Guideline'!$A$54:$A$269=$B410)*
      ('Tools &amp; Targets_Guideline'!$B$54:$B$269="Delivery"),
      0
    ),
    MATCH(
      _xludf.IFNA(
        VLOOKUP($D410,{"PH","Provincial Hospital (H2)";"DH","District Hospital (H3)";"RH","Regional / National Hospital (H1)"},2,0),
        $D410
      ),
      'Tools &amp; Targets_Guideline'!$C$53:$I$53,
      0
    )
  ),
0))</f>
        <v/>
      </c>
      <c r="Q410" s="102"/>
      <c r="R410" s="119" t="str">
        <f t="array" ref="R410">IF(OR($B410="",$D410=""),"",
IFERROR(
  INDEX(
    'Tools &amp; Targets_Guideline'!$C$54:$I$269,
    MATCH(
      1,
      ('Tools &amp; Targets_Guideline'!$A$54:$A$269=$B410)*
      ('Tools &amp; Targets_Guideline'!$B$54:$B$269="TT"),
      0
    ),
    MATCH(
      _xludf.IFNA(
        VLOOKUP($D410,{"PH","Provincial Hospital (H2)";"DH","District Hospital (H3)";"RH","Regional / National Hospital (H1)"},2,0),
        $D410
      ),
      'Tools &amp; Targets_Guideline'!$C$53:$I$53,
      0
    )
  ),
0))</f>
        <v/>
      </c>
      <c r="S410" s="102"/>
      <c r="T410" s="102"/>
      <c r="U410" s="106"/>
      <c r="V410" s="102" t="str">
        <f t="shared" si="16"/>
        <v/>
      </c>
      <c r="W410" s="102"/>
      <c r="X410" s="102"/>
      <c r="Y410" s="119" t="str">
        <f t="array" ref="Y410">IF(OR($B410="",$D410=""),"",
IFERROR(
  INDEX(
    'Tools &amp; Targets_Guideline'!$C$54:$I$269,
    MATCH(
      1,
      ('Tools &amp; Targets_Guideline'!$A$54:$A$269=$B410)*
      ('Tools &amp; Targets_Guideline'!$B$54:$B$269="GM"),
      0
    ),
    MATCH(
      _xludf.IFNA(
        VLOOKUP($D410,{"PH","Provincial Hospital (H2)";"DH","District Hospital (H3)";"RH","Regional / National Hospital (H1)"},2,0),
        $D410
      ),
      'Tools &amp; Targets_Guideline'!$C$53:$I$53,
      0
    )
  ),
0))</f>
        <v/>
      </c>
      <c r="Z410" s="102"/>
      <c r="AA410" s="119" t="str">
        <f t="array" ref="AA410">IF(OR($B410="",$D410=""),"",
IFERROR(
  INDEX(
    'Tools &amp; Targets_Guideline'!$C$54:$I$269,
    MATCH(
      1,
      ('Tools &amp; Targets_Guideline'!$A$54:$A$269=$B410)*
      ('Tools &amp; Targets_Guideline'!$B$54:$B$269="Penta"),
      0
    ),
    MATCH(
      _xludf.IFNA(
        VLOOKUP($D410,{"PH","Provincial Hospital (H2)";"DH","District Hospital (H3)";"RH","Regional / National Hospital (H1)"},2,0),
        $D410
      ),
      'Tools &amp; Targets_Guideline'!$C$53:$I$53,
      0
    )
  ),
0))</f>
        <v/>
      </c>
      <c r="AB410" s="102"/>
      <c r="AC410" s="119" t="str">
        <f t="array" ref="AC410">IF(OR($B410="",$D410=""),"",
IFERROR(
  INDEX(
    'Tools &amp; Targets_Guideline'!$C$54:$I$269,
    MATCH(
      1,
      ('Tools &amp; Targets_Guideline'!$A$54:$A$269=$B410)*
      ('Tools &amp; Targets_Guideline'!$B$54:$B$269="TB"),
      0
    ),
    MATCH(
      _xludf.IFNA(
        VLOOKUP($D410,{"PH","Provincial Hospital (H2)";"DH","District Hospital (H3)";"RH","Regional / National Hospital (H1)"},2,0),
        $D410
      ),
      'Tools &amp; Targets_Guideline'!$C$53:$I$53,
      0
    )
  ),
0))</f>
        <v/>
      </c>
      <c r="AD410" s="102"/>
      <c r="AE410" s="119" t="str">
        <f t="array" ref="AE410">IF(OR($B410="",$D410=""),"",
IFERROR(
  INDEX(
    'Tools &amp; Targets_Guideline'!$C$54:$I$269,
    MATCH(
      1,
      ('Tools &amp; Targets_Guideline'!$A$54:$A$269=$B410)*
      ('Tools &amp; Targets_Guideline'!$B$54:$B$269="U5 Morbidity"),
      0
    ),
    MATCH(
      _xludf.IFNA(
        VLOOKUP($D410,{"PH","Provincial Hospital (H2)";"DH","District Hospital (H3)";"RH","Regional / National Hospital (H1)"},2,0),
        $D410
      ),
      'Tools &amp; Targets_Guideline'!$C$53:$I$53,
      0
    )
  ),
0))</f>
        <v/>
      </c>
      <c r="AF410" s="102"/>
      <c r="AG410" s="119" t="str">
        <f t="array" ref="AG410">IF(OR($B410="",$D410=""),"",
IFERROR(
  INDEX(
    'Tools &amp; Targets_Guideline'!$C$54:$I$269,
    MATCH(
      1,
      ('Tools &amp; Targets_Guideline'!$A$54:$A$269=$B410)*
      ('Tools &amp; Targets_Guideline'!$B$54:$B$269="C-Section"),
      0
    ),
    MATCH(
      _xludf.IFNA(
        VLOOKUP($D410,{"PH","Provincial Hospital (H2)";"DH","District Hospital (H3)";"RH","Regional / National Hospital (H1)"},2,0),
        $D410
      ),
      'Tools &amp; Targets_Guideline'!$C$53:$I$53,
      0
    )
  ),
0))</f>
        <v/>
      </c>
      <c r="AH410" s="102" t="str">
        <f>IF(A410&lt;&gt;"",COUNTIFS('QA Log'!D:D,A410,'QA Log'!M:M,"QQC",'QA Log'!L:L,"2. Hygiene and Sterilization",'QA Log'!Z:Z,"Approved"),"")</f>
        <v/>
      </c>
      <c r="AI410" s="102"/>
      <c r="AJ410" s="102"/>
      <c r="AK410" s="103" t="str">
        <f t="shared" si="17"/>
        <v/>
      </c>
      <c r="AL410" s="102"/>
      <c r="AM410" s="102"/>
      <c r="AN410" s="102"/>
      <c r="AO410" s="106"/>
      <c r="AP410" s="103"/>
      <c r="AQ410" s="102"/>
      <c r="AR410" s="102"/>
      <c r="AS410" s="102"/>
      <c r="AT410" s="107"/>
      <c r="AU410" s="102" t="str">
        <f t="shared" si="18"/>
        <v/>
      </c>
      <c r="AV410" s="102" t="str">
        <f t="shared" si="19"/>
        <v/>
      </c>
      <c r="AW410" s="102" t="str">
        <f t="shared" si="20"/>
        <v/>
      </c>
      <c r="AX410" s="102" t="str">
        <f t="shared" si="21"/>
        <v/>
      </c>
      <c r="AY410" s="107" t="str">
        <f t="shared" si="22"/>
        <v/>
      </c>
      <c r="AZ410" s="108" t="str">
        <f t="shared" si="23"/>
        <v/>
      </c>
      <c r="BA410" s="108" t="str">
        <f t="shared" si="24"/>
        <v/>
      </c>
      <c r="BB410" s="109" t="str">
        <f t="shared" si="25"/>
        <v/>
      </c>
      <c r="BC410" s="108" t="str">
        <f t="shared" si="26"/>
        <v/>
      </c>
      <c r="BD410" s="108" t="str">
        <f t="shared" si="27"/>
        <v/>
      </c>
      <c r="BE410" s="109" t="str">
        <f t="shared" si="28"/>
        <v/>
      </c>
      <c r="BF410" s="110" t="str">
        <f t="shared" si="29"/>
        <v/>
      </c>
      <c r="BG410" s="111"/>
    </row>
    <row r="411" spans="1:59" ht="12.75">
      <c r="A411" s="101"/>
      <c r="B411" s="102"/>
      <c r="C411" s="102" t="e">
        <f t="array" aca="1" ref="C411" ca="1">_xludf.XLOOKUP(A411,'QA Log'!D:D,'QA Log'!F:F,"")</f>
        <v>#NAME?</v>
      </c>
      <c r="D411" s="102"/>
      <c r="E411" s="102" t="e">
        <f t="array" aca="1" ref="E411" ca="1">_xludf.XLOOKUP(A411,'QA Log'!D:D,'QA Log'!G:G,"")</f>
        <v>#NAME?</v>
      </c>
      <c r="F411" s="103"/>
      <c r="G411" s="104"/>
      <c r="H411" s="104"/>
      <c r="I411" s="103" t="str">
        <f t="shared" si="15"/>
        <v/>
      </c>
      <c r="J411" s="102"/>
      <c r="K411" s="102"/>
      <c r="L411" s="119" t="str">
        <f t="array" ref="L411">IF(OR($B411="",$D411=""),"",
IFERROR(
  INDEX(
    'Tools &amp; Targets_Guideline'!$C$54:$I$269,
    MATCH(
      1,
      ('Tools &amp; Targets_Guideline'!$A$54:$A$269=$B411)*
      ('Tools &amp; Targets_Guideline'!$B$54:$B$269="ANC"),
      0
    ),
    MATCH(
      _xludf.IFNA(
        VLOOKUP($D411,{"PH","Provincial Hospital (H2)";"DH","District Hospital (H3)";"RH","Regional / National Hospital (H1)"},2,0),
        $D411
      ),
      'Tools &amp; Targets_Guideline'!$C$53:$I$53,
      0
    )
  ),
0))</f>
        <v/>
      </c>
      <c r="M411" s="102"/>
      <c r="N411" s="119" t="str">
        <f t="array" ref="N411">IF(OR($B411="",$D411=""),"",
IFERROR(
  INDEX(
    'Tools &amp; Targets_Guideline'!$C$54:$I$269,
    MATCH(
      1,
      ('Tools &amp; Targets_Guideline'!$A$54:$A$269=$B411)*
      ('Tools &amp; Targets_Guideline'!$B$54:$B$269="PNC"),
      0
    ),
    MATCH(
      _xludf.IFNA(
        VLOOKUP($D411,{"PH","Provincial Hospital (H2)";"DH","District Hospital (H3)";"RH","Regional / National Hospital (H1)"},2,0),
        $D411
      ),
      'Tools &amp; Targets_Guideline'!$C$53:$I$53,
      0
    )
  ),
0))</f>
        <v/>
      </c>
      <c r="O411" s="102"/>
      <c r="P411" s="119" t="str">
        <f t="array" ref="P411">IF(OR($B411="",$D411=""),"",
IFERROR(
  INDEX(
    'Tools &amp; Targets_Guideline'!$C$54:$I$269,
    MATCH(
      1,
      ('Tools &amp; Targets_Guideline'!$A$54:$A$269=$B411)*
      ('Tools &amp; Targets_Guideline'!$B$54:$B$269="Delivery"),
      0
    ),
    MATCH(
      _xludf.IFNA(
        VLOOKUP($D411,{"PH","Provincial Hospital (H2)";"DH","District Hospital (H3)";"RH","Regional / National Hospital (H1)"},2,0),
        $D411
      ),
      'Tools &amp; Targets_Guideline'!$C$53:$I$53,
      0
    )
  ),
0))</f>
        <v/>
      </c>
      <c r="Q411" s="102"/>
      <c r="R411" s="119" t="str">
        <f t="array" ref="R411">IF(OR($B411="",$D411=""),"",
IFERROR(
  INDEX(
    'Tools &amp; Targets_Guideline'!$C$54:$I$269,
    MATCH(
      1,
      ('Tools &amp; Targets_Guideline'!$A$54:$A$269=$B411)*
      ('Tools &amp; Targets_Guideline'!$B$54:$B$269="TT"),
      0
    ),
    MATCH(
      _xludf.IFNA(
        VLOOKUP($D411,{"PH","Provincial Hospital (H2)";"DH","District Hospital (H3)";"RH","Regional / National Hospital (H1)"},2,0),
        $D411
      ),
      'Tools &amp; Targets_Guideline'!$C$53:$I$53,
      0
    )
  ),
0))</f>
        <v/>
      </c>
      <c r="S411" s="102"/>
      <c r="T411" s="102"/>
      <c r="U411" s="106"/>
      <c r="V411" s="102" t="str">
        <f t="shared" si="16"/>
        <v/>
      </c>
      <c r="W411" s="102"/>
      <c r="X411" s="102"/>
      <c r="Y411" s="119" t="str">
        <f t="array" ref="Y411">IF(OR($B411="",$D411=""),"",
IFERROR(
  INDEX(
    'Tools &amp; Targets_Guideline'!$C$54:$I$269,
    MATCH(
      1,
      ('Tools &amp; Targets_Guideline'!$A$54:$A$269=$B411)*
      ('Tools &amp; Targets_Guideline'!$B$54:$B$269="GM"),
      0
    ),
    MATCH(
      _xludf.IFNA(
        VLOOKUP($D411,{"PH","Provincial Hospital (H2)";"DH","District Hospital (H3)";"RH","Regional / National Hospital (H1)"},2,0),
        $D411
      ),
      'Tools &amp; Targets_Guideline'!$C$53:$I$53,
      0
    )
  ),
0))</f>
        <v/>
      </c>
      <c r="Z411" s="102"/>
      <c r="AA411" s="119" t="str">
        <f t="array" ref="AA411">IF(OR($B411="",$D411=""),"",
IFERROR(
  INDEX(
    'Tools &amp; Targets_Guideline'!$C$54:$I$269,
    MATCH(
      1,
      ('Tools &amp; Targets_Guideline'!$A$54:$A$269=$B411)*
      ('Tools &amp; Targets_Guideline'!$B$54:$B$269="Penta"),
      0
    ),
    MATCH(
      _xludf.IFNA(
        VLOOKUP($D411,{"PH","Provincial Hospital (H2)";"DH","District Hospital (H3)";"RH","Regional / National Hospital (H1)"},2,0),
        $D411
      ),
      'Tools &amp; Targets_Guideline'!$C$53:$I$53,
      0
    )
  ),
0))</f>
        <v/>
      </c>
      <c r="AB411" s="102"/>
      <c r="AC411" s="119" t="str">
        <f t="array" ref="AC411">IF(OR($B411="",$D411=""),"",
IFERROR(
  INDEX(
    'Tools &amp; Targets_Guideline'!$C$54:$I$269,
    MATCH(
      1,
      ('Tools &amp; Targets_Guideline'!$A$54:$A$269=$B411)*
      ('Tools &amp; Targets_Guideline'!$B$54:$B$269="TB"),
      0
    ),
    MATCH(
      _xludf.IFNA(
        VLOOKUP($D411,{"PH","Provincial Hospital (H2)";"DH","District Hospital (H3)";"RH","Regional / National Hospital (H1)"},2,0),
        $D411
      ),
      'Tools &amp; Targets_Guideline'!$C$53:$I$53,
      0
    )
  ),
0))</f>
        <v/>
      </c>
      <c r="AD411" s="102"/>
      <c r="AE411" s="119" t="str">
        <f t="array" ref="AE411">IF(OR($B411="",$D411=""),"",
IFERROR(
  INDEX(
    'Tools &amp; Targets_Guideline'!$C$54:$I$269,
    MATCH(
      1,
      ('Tools &amp; Targets_Guideline'!$A$54:$A$269=$B411)*
      ('Tools &amp; Targets_Guideline'!$B$54:$B$269="U5 Morbidity"),
      0
    ),
    MATCH(
      _xludf.IFNA(
        VLOOKUP($D411,{"PH","Provincial Hospital (H2)";"DH","District Hospital (H3)";"RH","Regional / National Hospital (H1)"},2,0),
        $D411
      ),
      'Tools &amp; Targets_Guideline'!$C$53:$I$53,
      0
    )
  ),
0))</f>
        <v/>
      </c>
      <c r="AF411" s="102"/>
      <c r="AG411" s="119" t="str">
        <f t="array" ref="AG411">IF(OR($B411="",$D411=""),"",
IFERROR(
  INDEX(
    'Tools &amp; Targets_Guideline'!$C$54:$I$269,
    MATCH(
      1,
      ('Tools &amp; Targets_Guideline'!$A$54:$A$269=$B411)*
      ('Tools &amp; Targets_Guideline'!$B$54:$B$269="C-Section"),
      0
    ),
    MATCH(
      _xludf.IFNA(
        VLOOKUP($D411,{"PH","Provincial Hospital (H2)";"DH","District Hospital (H3)";"RH","Regional / National Hospital (H1)"},2,0),
        $D411
      ),
      'Tools &amp; Targets_Guideline'!$C$53:$I$53,
      0
    )
  ),
0))</f>
        <v/>
      </c>
      <c r="AH411" s="102" t="str">
        <f>IF(A411&lt;&gt;"",COUNTIFS('QA Log'!D:D,A411,'QA Log'!M:M,"QQC",'QA Log'!L:L,"2. Hygiene and Sterilization",'QA Log'!Z:Z,"Approved"),"")</f>
        <v/>
      </c>
      <c r="AI411" s="102"/>
      <c r="AJ411" s="102"/>
      <c r="AK411" s="103" t="str">
        <f t="shared" si="17"/>
        <v/>
      </c>
      <c r="AL411" s="102"/>
      <c r="AM411" s="102"/>
      <c r="AN411" s="102"/>
      <c r="AO411" s="106"/>
      <c r="AP411" s="103"/>
      <c r="AQ411" s="102"/>
      <c r="AR411" s="102"/>
      <c r="AS411" s="102"/>
      <c r="AT411" s="107"/>
      <c r="AU411" s="102" t="str">
        <f t="shared" si="18"/>
        <v/>
      </c>
      <c r="AV411" s="102" t="str">
        <f t="shared" si="19"/>
        <v/>
      </c>
      <c r="AW411" s="102" t="str">
        <f t="shared" si="20"/>
        <v/>
      </c>
      <c r="AX411" s="102" t="str">
        <f t="shared" si="21"/>
        <v/>
      </c>
      <c r="AY411" s="107" t="str">
        <f t="shared" si="22"/>
        <v/>
      </c>
      <c r="AZ411" s="108" t="str">
        <f t="shared" si="23"/>
        <v/>
      </c>
      <c r="BA411" s="108" t="str">
        <f t="shared" si="24"/>
        <v/>
      </c>
      <c r="BB411" s="109" t="str">
        <f t="shared" si="25"/>
        <v/>
      </c>
      <c r="BC411" s="108" t="str">
        <f t="shared" si="26"/>
        <v/>
      </c>
      <c r="BD411" s="108" t="str">
        <f t="shared" si="27"/>
        <v/>
      </c>
      <c r="BE411" s="109" t="str">
        <f t="shared" si="28"/>
        <v/>
      </c>
      <c r="BF411" s="110" t="str">
        <f t="shared" si="29"/>
        <v/>
      </c>
      <c r="BG411" s="111"/>
    </row>
    <row r="412" spans="1:59" ht="12.75">
      <c r="A412" s="101"/>
      <c r="B412" s="102"/>
      <c r="C412" s="102" t="e">
        <f t="array" aca="1" ref="C412" ca="1">_xludf.XLOOKUP(A412,'QA Log'!D:D,'QA Log'!F:F,"")</f>
        <v>#NAME?</v>
      </c>
      <c r="D412" s="102"/>
      <c r="E412" s="102" t="e">
        <f t="array" aca="1" ref="E412" ca="1">_xludf.XLOOKUP(A412,'QA Log'!D:D,'QA Log'!G:G,"")</f>
        <v>#NAME?</v>
      </c>
      <c r="F412" s="103"/>
      <c r="G412" s="104"/>
      <c r="H412" s="104"/>
      <c r="I412" s="103" t="str">
        <f t="shared" si="15"/>
        <v/>
      </c>
      <c r="J412" s="102"/>
      <c r="K412" s="102"/>
      <c r="L412" s="119" t="str">
        <f t="array" ref="L412">IF(OR($B412="",$D412=""),"",
IFERROR(
  INDEX(
    'Tools &amp; Targets_Guideline'!$C$54:$I$269,
    MATCH(
      1,
      ('Tools &amp; Targets_Guideline'!$A$54:$A$269=$B412)*
      ('Tools &amp; Targets_Guideline'!$B$54:$B$269="ANC"),
      0
    ),
    MATCH(
      _xludf.IFNA(
        VLOOKUP($D412,{"PH","Provincial Hospital (H2)";"DH","District Hospital (H3)";"RH","Regional / National Hospital (H1)"},2,0),
        $D412
      ),
      'Tools &amp; Targets_Guideline'!$C$53:$I$53,
      0
    )
  ),
0))</f>
        <v/>
      </c>
      <c r="M412" s="102"/>
      <c r="N412" s="119" t="str">
        <f t="array" ref="N412">IF(OR($B412="",$D412=""),"",
IFERROR(
  INDEX(
    'Tools &amp; Targets_Guideline'!$C$54:$I$269,
    MATCH(
      1,
      ('Tools &amp; Targets_Guideline'!$A$54:$A$269=$B412)*
      ('Tools &amp; Targets_Guideline'!$B$54:$B$269="PNC"),
      0
    ),
    MATCH(
      _xludf.IFNA(
        VLOOKUP($D412,{"PH","Provincial Hospital (H2)";"DH","District Hospital (H3)";"RH","Regional / National Hospital (H1)"},2,0),
        $D412
      ),
      'Tools &amp; Targets_Guideline'!$C$53:$I$53,
      0
    )
  ),
0))</f>
        <v/>
      </c>
      <c r="O412" s="102"/>
      <c r="P412" s="119" t="str">
        <f t="array" ref="P412">IF(OR($B412="",$D412=""),"",
IFERROR(
  INDEX(
    'Tools &amp; Targets_Guideline'!$C$54:$I$269,
    MATCH(
      1,
      ('Tools &amp; Targets_Guideline'!$A$54:$A$269=$B412)*
      ('Tools &amp; Targets_Guideline'!$B$54:$B$269="Delivery"),
      0
    ),
    MATCH(
      _xludf.IFNA(
        VLOOKUP($D412,{"PH","Provincial Hospital (H2)";"DH","District Hospital (H3)";"RH","Regional / National Hospital (H1)"},2,0),
        $D412
      ),
      'Tools &amp; Targets_Guideline'!$C$53:$I$53,
      0
    )
  ),
0))</f>
        <v/>
      </c>
      <c r="Q412" s="102"/>
      <c r="R412" s="119" t="str">
        <f t="array" ref="R412">IF(OR($B412="",$D412=""),"",
IFERROR(
  INDEX(
    'Tools &amp; Targets_Guideline'!$C$54:$I$269,
    MATCH(
      1,
      ('Tools &amp; Targets_Guideline'!$A$54:$A$269=$B412)*
      ('Tools &amp; Targets_Guideline'!$B$54:$B$269="TT"),
      0
    ),
    MATCH(
      _xludf.IFNA(
        VLOOKUP($D412,{"PH","Provincial Hospital (H2)";"DH","District Hospital (H3)";"RH","Regional / National Hospital (H1)"},2,0),
        $D412
      ),
      'Tools &amp; Targets_Guideline'!$C$53:$I$53,
      0
    )
  ),
0))</f>
        <v/>
      </c>
      <c r="S412" s="102"/>
      <c r="T412" s="102"/>
      <c r="U412" s="106"/>
      <c r="V412" s="102" t="str">
        <f t="shared" si="16"/>
        <v/>
      </c>
      <c r="W412" s="102"/>
      <c r="X412" s="102"/>
      <c r="Y412" s="119" t="str">
        <f t="array" ref="Y412">IF(OR($B412="",$D412=""),"",
IFERROR(
  INDEX(
    'Tools &amp; Targets_Guideline'!$C$54:$I$269,
    MATCH(
      1,
      ('Tools &amp; Targets_Guideline'!$A$54:$A$269=$B412)*
      ('Tools &amp; Targets_Guideline'!$B$54:$B$269="GM"),
      0
    ),
    MATCH(
      _xludf.IFNA(
        VLOOKUP($D412,{"PH","Provincial Hospital (H2)";"DH","District Hospital (H3)";"RH","Regional / National Hospital (H1)"},2,0),
        $D412
      ),
      'Tools &amp; Targets_Guideline'!$C$53:$I$53,
      0
    )
  ),
0))</f>
        <v/>
      </c>
      <c r="Z412" s="102"/>
      <c r="AA412" s="119" t="str">
        <f t="array" ref="AA412">IF(OR($B412="",$D412=""),"",
IFERROR(
  INDEX(
    'Tools &amp; Targets_Guideline'!$C$54:$I$269,
    MATCH(
      1,
      ('Tools &amp; Targets_Guideline'!$A$54:$A$269=$B412)*
      ('Tools &amp; Targets_Guideline'!$B$54:$B$269="Penta"),
      0
    ),
    MATCH(
      _xludf.IFNA(
        VLOOKUP($D412,{"PH","Provincial Hospital (H2)";"DH","District Hospital (H3)";"RH","Regional / National Hospital (H1)"},2,0),
        $D412
      ),
      'Tools &amp; Targets_Guideline'!$C$53:$I$53,
      0
    )
  ),
0))</f>
        <v/>
      </c>
      <c r="AB412" s="102"/>
      <c r="AC412" s="119" t="str">
        <f t="array" ref="AC412">IF(OR($B412="",$D412=""),"",
IFERROR(
  INDEX(
    'Tools &amp; Targets_Guideline'!$C$54:$I$269,
    MATCH(
      1,
      ('Tools &amp; Targets_Guideline'!$A$54:$A$269=$B412)*
      ('Tools &amp; Targets_Guideline'!$B$54:$B$269="TB"),
      0
    ),
    MATCH(
      _xludf.IFNA(
        VLOOKUP($D412,{"PH","Provincial Hospital (H2)";"DH","District Hospital (H3)";"RH","Regional / National Hospital (H1)"},2,0),
        $D412
      ),
      'Tools &amp; Targets_Guideline'!$C$53:$I$53,
      0
    )
  ),
0))</f>
        <v/>
      </c>
      <c r="AD412" s="102"/>
      <c r="AE412" s="119" t="str">
        <f t="array" ref="AE412">IF(OR($B412="",$D412=""),"",
IFERROR(
  INDEX(
    'Tools &amp; Targets_Guideline'!$C$54:$I$269,
    MATCH(
      1,
      ('Tools &amp; Targets_Guideline'!$A$54:$A$269=$B412)*
      ('Tools &amp; Targets_Guideline'!$B$54:$B$269="U5 Morbidity"),
      0
    ),
    MATCH(
      _xludf.IFNA(
        VLOOKUP($D412,{"PH","Provincial Hospital (H2)";"DH","District Hospital (H3)";"RH","Regional / National Hospital (H1)"},2,0),
        $D412
      ),
      'Tools &amp; Targets_Guideline'!$C$53:$I$53,
      0
    )
  ),
0))</f>
        <v/>
      </c>
      <c r="AF412" s="102"/>
      <c r="AG412" s="119" t="str">
        <f t="array" ref="AG412">IF(OR($B412="",$D412=""),"",
IFERROR(
  INDEX(
    'Tools &amp; Targets_Guideline'!$C$54:$I$269,
    MATCH(
      1,
      ('Tools &amp; Targets_Guideline'!$A$54:$A$269=$B412)*
      ('Tools &amp; Targets_Guideline'!$B$54:$B$269="C-Section"),
      0
    ),
    MATCH(
      _xludf.IFNA(
        VLOOKUP($D412,{"PH","Provincial Hospital (H2)";"DH","District Hospital (H3)";"RH","Regional / National Hospital (H1)"},2,0),
        $D412
      ),
      'Tools &amp; Targets_Guideline'!$C$53:$I$53,
      0
    )
  ),
0))</f>
        <v/>
      </c>
      <c r="AH412" s="102" t="str">
        <f>IF(A412&lt;&gt;"",COUNTIFS('QA Log'!D:D,A412,'QA Log'!M:M,"QQC",'QA Log'!L:L,"2. Hygiene and Sterilization",'QA Log'!Z:Z,"Approved"),"")</f>
        <v/>
      </c>
      <c r="AI412" s="102"/>
      <c r="AJ412" s="102"/>
      <c r="AK412" s="103" t="str">
        <f t="shared" si="17"/>
        <v/>
      </c>
      <c r="AL412" s="102"/>
      <c r="AM412" s="102"/>
      <c r="AN412" s="102"/>
      <c r="AO412" s="106"/>
      <c r="AP412" s="103"/>
      <c r="AQ412" s="102"/>
      <c r="AR412" s="102"/>
      <c r="AS412" s="102"/>
      <c r="AT412" s="107"/>
      <c r="AU412" s="102" t="str">
        <f t="shared" si="18"/>
        <v/>
      </c>
      <c r="AV412" s="102" t="str">
        <f t="shared" si="19"/>
        <v/>
      </c>
      <c r="AW412" s="102" t="str">
        <f t="shared" si="20"/>
        <v/>
      </c>
      <c r="AX412" s="102" t="str">
        <f t="shared" si="21"/>
        <v/>
      </c>
      <c r="AY412" s="107" t="str">
        <f t="shared" si="22"/>
        <v/>
      </c>
      <c r="AZ412" s="108" t="str">
        <f t="shared" si="23"/>
        <v/>
      </c>
      <c r="BA412" s="108" t="str">
        <f t="shared" si="24"/>
        <v/>
      </c>
      <c r="BB412" s="109" t="str">
        <f t="shared" si="25"/>
        <v/>
      </c>
      <c r="BC412" s="108" t="str">
        <f t="shared" si="26"/>
        <v/>
      </c>
      <c r="BD412" s="108" t="str">
        <f t="shared" si="27"/>
        <v/>
      </c>
      <c r="BE412" s="109" t="str">
        <f t="shared" si="28"/>
        <v/>
      </c>
      <c r="BF412" s="110" t="str">
        <f t="shared" si="29"/>
        <v/>
      </c>
      <c r="BG412" s="111"/>
    </row>
    <row r="413" spans="1:59" ht="12.75">
      <c r="A413" s="101"/>
      <c r="B413" s="102"/>
      <c r="C413" s="102" t="e">
        <f t="array" aca="1" ref="C413" ca="1">_xludf.XLOOKUP(A413,'QA Log'!D:D,'QA Log'!F:F,"")</f>
        <v>#NAME?</v>
      </c>
      <c r="D413" s="102"/>
      <c r="E413" s="102" t="e">
        <f t="array" aca="1" ref="E413" ca="1">_xludf.XLOOKUP(A413,'QA Log'!D:D,'QA Log'!G:G,"")</f>
        <v>#NAME?</v>
      </c>
      <c r="F413" s="103"/>
      <c r="G413" s="104"/>
      <c r="H413" s="104"/>
      <c r="I413" s="103" t="str">
        <f t="shared" si="15"/>
        <v/>
      </c>
      <c r="J413" s="102"/>
      <c r="K413" s="102"/>
      <c r="L413" s="119" t="str">
        <f t="array" ref="L413">IF(OR($B413="",$D413=""),"",
IFERROR(
  INDEX(
    'Tools &amp; Targets_Guideline'!$C$54:$I$269,
    MATCH(
      1,
      ('Tools &amp; Targets_Guideline'!$A$54:$A$269=$B413)*
      ('Tools &amp; Targets_Guideline'!$B$54:$B$269="ANC"),
      0
    ),
    MATCH(
      _xludf.IFNA(
        VLOOKUP($D413,{"PH","Provincial Hospital (H2)";"DH","District Hospital (H3)";"RH","Regional / National Hospital (H1)"},2,0),
        $D413
      ),
      'Tools &amp; Targets_Guideline'!$C$53:$I$53,
      0
    )
  ),
0))</f>
        <v/>
      </c>
      <c r="M413" s="102"/>
      <c r="N413" s="119" t="str">
        <f t="array" ref="N413">IF(OR($B413="",$D413=""),"",
IFERROR(
  INDEX(
    'Tools &amp; Targets_Guideline'!$C$54:$I$269,
    MATCH(
      1,
      ('Tools &amp; Targets_Guideline'!$A$54:$A$269=$B413)*
      ('Tools &amp; Targets_Guideline'!$B$54:$B$269="PNC"),
      0
    ),
    MATCH(
      _xludf.IFNA(
        VLOOKUP($D413,{"PH","Provincial Hospital (H2)";"DH","District Hospital (H3)";"RH","Regional / National Hospital (H1)"},2,0),
        $D413
      ),
      'Tools &amp; Targets_Guideline'!$C$53:$I$53,
      0
    )
  ),
0))</f>
        <v/>
      </c>
      <c r="O413" s="102"/>
      <c r="P413" s="119" t="str">
        <f t="array" ref="P413">IF(OR($B413="",$D413=""),"",
IFERROR(
  INDEX(
    'Tools &amp; Targets_Guideline'!$C$54:$I$269,
    MATCH(
      1,
      ('Tools &amp; Targets_Guideline'!$A$54:$A$269=$B413)*
      ('Tools &amp; Targets_Guideline'!$B$54:$B$269="Delivery"),
      0
    ),
    MATCH(
      _xludf.IFNA(
        VLOOKUP($D413,{"PH","Provincial Hospital (H2)";"DH","District Hospital (H3)";"RH","Regional / National Hospital (H1)"},2,0),
        $D413
      ),
      'Tools &amp; Targets_Guideline'!$C$53:$I$53,
      0
    )
  ),
0))</f>
        <v/>
      </c>
      <c r="Q413" s="102"/>
      <c r="R413" s="119" t="str">
        <f t="array" ref="R413">IF(OR($B413="",$D413=""),"",
IFERROR(
  INDEX(
    'Tools &amp; Targets_Guideline'!$C$54:$I$269,
    MATCH(
      1,
      ('Tools &amp; Targets_Guideline'!$A$54:$A$269=$B413)*
      ('Tools &amp; Targets_Guideline'!$B$54:$B$269="TT"),
      0
    ),
    MATCH(
      _xludf.IFNA(
        VLOOKUP($D413,{"PH","Provincial Hospital (H2)";"DH","District Hospital (H3)";"RH","Regional / National Hospital (H1)"},2,0),
        $D413
      ),
      'Tools &amp; Targets_Guideline'!$C$53:$I$53,
      0
    )
  ),
0))</f>
        <v/>
      </c>
      <c r="S413" s="102"/>
      <c r="T413" s="102"/>
      <c r="U413" s="106"/>
      <c r="V413" s="102" t="str">
        <f t="shared" si="16"/>
        <v/>
      </c>
      <c r="W413" s="102"/>
      <c r="X413" s="102"/>
      <c r="Y413" s="119" t="str">
        <f t="array" ref="Y413">IF(OR($B413="",$D413=""),"",
IFERROR(
  INDEX(
    'Tools &amp; Targets_Guideline'!$C$54:$I$269,
    MATCH(
      1,
      ('Tools &amp; Targets_Guideline'!$A$54:$A$269=$B413)*
      ('Tools &amp; Targets_Guideline'!$B$54:$B$269="GM"),
      0
    ),
    MATCH(
      _xludf.IFNA(
        VLOOKUP($D413,{"PH","Provincial Hospital (H2)";"DH","District Hospital (H3)";"RH","Regional / National Hospital (H1)"},2,0),
        $D413
      ),
      'Tools &amp; Targets_Guideline'!$C$53:$I$53,
      0
    )
  ),
0))</f>
        <v/>
      </c>
      <c r="Z413" s="102"/>
      <c r="AA413" s="119" t="str">
        <f t="array" ref="AA413">IF(OR($B413="",$D413=""),"",
IFERROR(
  INDEX(
    'Tools &amp; Targets_Guideline'!$C$54:$I$269,
    MATCH(
      1,
      ('Tools &amp; Targets_Guideline'!$A$54:$A$269=$B413)*
      ('Tools &amp; Targets_Guideline'!$B$54:$B$269="Penta"),
      0
    ),
    MATCH(
      _xludf.IFNA(
        VLOOKUP($D413,{"PH","Provincial Hospital (H2)";"DH","District Hospital (H3)";"RH","Regional / National Hospital (H1)"},2,0),
        $D413
      ),
      'Tools &amp; Targets_Guideline'!$C$53:$I$53,
      0
    )
  ),
0))</f>
        <v/>
      </c>
      <c r="AB413" s="102"/>
      <c r="AC413" s="119" t="str">
        <f t="array" ref="AC413">IF(OR($B413="",$D413=""),"",
IFERROR(
  INDEX(
    'Tools &amp; Targets_Guideline'!$C$54:$I$269,
    MATCH(
      1,
      ('Tools &amp; Targets_Guideline'!$A$54:$A$269=$B413)*
      ('Tools &amp; Targets_Guideline'!$B$54:$B$269="TB"),
      0
    ),
    MATCH(
      _xludf.IFNA(
        VLOOKUP($D413,{"PH","Provincial Hospital (H2)";"DH","District Hospital (H3)";"RH","Regional / National Hospital (H1)"},2,0),
        $D413
      ),
      'Tools &amp; Targets_Guideline'!$C$53:$I$53,
      0
    )
  ),
0))</f>
        <v/>
      </c>
      <c r="AD413" s="102"/>
      <c r="AE413" s="119" t="str">
        <f t="array" ref="AE413">IF(OR($B413="",$D413=""),"",
IFERROR(
  INDEX(
    'Tools &amp; Targets_Guideline'!$C$54:$I$269,
    MATCH(
      1,
      ('Tools &amp; Targets_Guideline'!$A$54:$A$269=$B413)*
      ('Tools &amp; Targets_Guideline'!$B$54:$B$269="U5 Morbidity"),
      0
    ),
    MATCH(
      _xludf.IFNA(
        VLOOKUP($D413,{"PH","Provincial Hospital (H2)";"DH","District Hospital (H3)";"RH","Regional / National Hospital (H1)"},2,0),
        $D413
      ),
      'Tools &amp; Targets_Guideline'!$C$53:$I$53,
      0
    )
  ),
0))</f>
        <v/>
      </c>
      <c r="AF413" s="102"/>
      <c r="AG413" s="119" t="str">
        <f t="array" ref="AG413">IF(OR($B413="",$D413=""),"",
IFERROR(
  INDEX(
    'Tools &amp; Targets_Guideline'!$C$54:$I$269,
    MATCH(
      1,
      ('Tools &amp; Targets_Guideline'!$A$54:$A$269=$B413)*
      ('Tools &amp; Targets_Guideline'!$B$54:$B$269="C-Section"),
      0
    ),
    MATCH(
      _xludf.IFNA(
        VLOOKUP($D413,{"PH","Provincial Hospital (H2)";"DH","District Hospital (H3)";"RH","Regional / National Hospital (H1)"},2,0),
        $D413
      ),
      'Tools &amp; Targets_Guideline'!$C$53:$I$53,
      0
    )
  ),
0))</f>
        <v/>
      </c>
      <c r="AH413" s="102" t="str">
        <f>IF(A413&lt;&gt;"",COUNTIFS('QA Log'!D:D,A413,'QA Log'!M:M,"QQC",'QA Log'!L:L,"2. Hygiene and Sterilization",'QA Log'!Z:Z,"Approved"),"")</f>
        <v/>
      </c>
      <c r="AI413" s="102"/>
      <c r="AJ413" s="102"/>
      <c r="AK413" s="103" t="str">
        <f t="shared" si="17"/>
        <v/>
      </c>
      <c r="AL413" s="102"/>
      <c r="AM413" s="102"/>
      <c r="AN413" s="102"/>
      <c r="AO413" s="106"/>
      <c r="AP413" s="103"/>
      <c r="AQ413" s="102"/>
      <c r="AR413" s="102"/>
      <c r="AS413" s="102"/>
      <c r="AT413" s="107"/>
      <c r="AU413" s="102" t="str">
        <f t="shared" si="18"/>
        <v/>
      </c>
      <c r="AV413" s="102" t="str">
        <f t="shared" si="19"/>
        <v/>
      </c>
      <c r="AW413" s="102" t="str">
        <f t="shared" si="20"/>
        <v/>
      </c>
      <c r="AX413" s="102" t="str">
        <f t="shared" si="21"/>
        <v/>
      </c>
      <c r="AY413" s="107" t="str">
        <f t="shared" si="22"/>
        <v/>
      </c>
      <c r="AZ413" s="108" t="str">
        <f t="shared" si="23"/>
        <v/>
      </c>
      <c r="BA413" s="108" t="str">
        <f t="shared" si="24"/>
        <v/>
      </c>
      <c r="BB413" s="109" t="str">
        <f t="shared" si="25"/>
        <v/>
      </c>
      <c r="BC413" s="108" t="str">
        <f t="shared" si="26"/>
        <v/>
      </c>
      <c r="BD413" s="108" t="str">
        <f t="shared" si="27"/>
        <v/>
      </c>
      <c r="BE413" s="109" t="str">
        <f t="shared" si="28"/>
        <v/>
      </c>
      <c r="BF413" s="110" t="str">
        <f t="shared" si="29"/>
        <v/>
      </c>
      <c r="BG413" s="111"/>
    </row>
    <row r="414" spans="1:59" ht="12.75">
      <c r="A414" s="101"/>
      <c r="B414" s="102"/>
      <c r="C414" s="102" t="e">
        <f t="array" aca="1" ref="C414" ca="1">_xludf.XLOOKUP(A414,'QA Log'!D:D,'QA Log'!F:F,"")</f>
        <v>#NAME?</v>
      </c>
      <c r="D414" s="102"/>
      <c r="E414" s="102" t="e">
        <f t="array" aca="1" ref="E414" ca="1">_xludf.XLOOKUP(A414,'QA Log'!D:D,'QA Log'!G:G,"")</f>
        <v>#NAME?</v>
      </c>
      <c r="F414" s="103"/>
      <c r="G414" s="104"/>
      <c r="H414" s="104"/>
      <c r="I414" s="103" t="str">
        <f t="shared" si="15"/>
        <v/>
      </c>
      <c r="J414" s="102"/>
      <c r="K414" s="102"/>
      <c r="L414" s="119" t="str">
        <f t="array" ref="L414">IF(OR($B414="",$D414=""),"",
IFERROR(
  INDEX(
    'Tools &amp; Targets_Guideline'!$C$54:$I$269,
    MATCH(
      1,
      ('Tools &amp; Targets_Guideline'!$A$54:$A$269=$B414)*
      ('Tools &amp; Targets_Guideline'!$B$54:$B$269="ANC"),
      0
    ),
    MATCH(
      _xludf.IFNA(
        VLOOKUP($D414,{"PH","Provincial Hospital (H2)";"DH","District Hospital (H3)";"RH","Regional / National Hospital (H1)"},2,0),
        $D414
      ),
      'Tools &amp; Targets_Guideline'!$C$53:$I$53,
      0
    )
  ),
0))</f>
        <v/>
      </c>
      <c r="M414" s="102"/>
      <c r="N414" s="119" t="str">
        <f t="array" ref="N414">IF(OR($B414="",$D414=""),"",
IFERROR(
  INDEX(
    'Tools &amp; Targets_Guideline'!$C$54:$I$269,
    MATCH(
      1,
      ('Tools &amp; Targets_Guideline'!$A$54:$A$269=$B414)*
      ('Tools &amp; Targets_Guideline'!$B$54:$B$269="PNC"),
      0
    ),
    MATCH(
      _xludf.IFNA(
        VLOOKUP($D414,{"PH","Provincial Hospital (H2)";"DH","District Hospital (H3)";"RH","Regional / National Hospital (H1)"},2,0),
        $D414
      ),
      'Tools &amp; Targets_Guideline'!$C$53:$I$53,
      0
    )
  ),
0))</f>
        <v/>
      </c>
      <c r="O414" s="102"/>
      <c r="P414" s="119" t="str">
        <f t="array" ref="P414">IF(OR($B414="",$D414=""),"",
IFERROR(
  INDEX(
    'Tools &amp; Targets_Guideline'!$C$54:$I$269,
    MATCH(
      1,
      ('Tools &amp; Targets_Guideline'!$A$54:$A$269=$B414)*
      ('Tools &amp; Targets_Guideline'!$B$54:$B$269="Delivery"),
      0
    ),
    MATCH(
      _xludf.IFNA(
        VLOOKUP($D414,{"PH","Provincial Hospital (H2)";"DH","District Hospital (H3)";"RH","Regional / National Hospital (H1)"},2,0),
        $D414
      ),
      'Tools &amp; Targets_Guideline'!$C$53:$I$53,
      0
    )
  ),
0))</f>
        <v/>
      </c>
      <c r="Q414" s="102"/>
      <c r="R414" s="119" t="str">
        <f t="array" ref="R414">IF(OR($B414="",$D414=""),"",
IFERROR(
  INDEX(
    'Tools &amp; Targets_Guideline'!$C$54:$I$269,
    MATCH(
      1,
      ('Tools &amp; Targets_Guideline'!$A$54:$A$269=$B414)*
      ('Tools &amp; Targets_Guideline'!$B$54:$B$269="TT"),
      0
    ),
    MATCH(
      _xludf.IFNA(
        VLOOKUP($D414,{"PH","Provincial Hospital (H2)";"DH","District Hospital (H3)";"RH","Regional / National Hospital (H1)"},2,0),
        $D414
      ),
      'Tools &amp; Targets_Guideline'!$C$53:$I$53,
      0
    )
  ),
0))</f>
        <v/>
      </c>
      <c r="S414" s="102"/>
      <c r="T414" s="102"/>
      <c r="U414" s="106"/>
      <c r="V414" s="102" t="str">
        <f t="shared" si="16"/>
        <v/>
      </c>
      <c r="W414" s="102"/>
      <c r="X414" s="102"/>
      <c r="Y414" s="119" t="str">
        <f t="array" ref="Y414">IF(OR($B414="",$D414=""),"",
IFERROR(
  INDEX(
    'Tools &amp; Targets_Guideline'!$C$54:$I$269,
    MATCH(
      1,
      ('Tools &amp; Targets_Guideline'!$A$54:$A$269=$B414)*
      ('Tools &amp; Targets_Guideline'!$B$54:$B$269="GM"),
      0
    ),
    MATCH(
      _xludf.IFNA(
        VLOOKUP($D414,{"PH","Provincial Hospital (H2)";"DH","District Hospital (H3)";"RH","Regional / National Hospital (H1)"},2,0),
        $D414
      ),
      'Tools &amp; Targets_Guideline'!$C$53:$I$53,
      0
    )
  ),
0))</f>
        <v/>
      </c>
      <c r="Z414" s="102"/>
      <c r="AA414" s="119" t="str">
        <f t="array" ref="AA414">IF(OR($B414="",$D414=""),"",
IFERROR(
  INDEX(
    'Tools &amp; Targets_Guideline'!$C$54:$I$269,
    MATCH(
      1,
      ('Tools &amp; Targets_Guideline'!$A$54:$A$269=$B414)*
      ('Tools &amp; Targets_Guideline'!$B$54:$B$269="Penta"),
      0
    ),
    MATCH(
      _xludf.IFNA(
        VLOOKUP($D414,{"PH","Provincial Hospital (H2)";"DH","District Hospital (H3)";"RH","Regional / National Hospital (H1)"},2,0),
        $D414
      ),
      'Tools &amp; Targets_Guideline'!$C$53:$I$53,
      0
    )
  ),
0))</f>
        <v/>
      </c>
      <c r="AB414" s="102"/>
      <c r="AC414" s="119" t="str">
        <f t="array" ref="AC414">IF(OR($B414="",$D414=""),"",
IFERROR(
  INDEX(
    'Tools &amp; Targets_Guideline'!$C$54:$I$269,
    MATCH(
      1,
      ('Tools &amp; Targets_Guideline'!$A$54:$A$269=$B414)*
      ('Tools &amp; Targets_Guideline'!$B$54:$B$269="TB"),
      0
    ),
    MATCH(
      _xludf.IFNA(
        VLOOKUP($D414,{"PH","Provincial Hospital (H2)";"DH","District Hospital (H3)";"RH","Regional / National Hospital (H1)"},2,0),
        $D414
      ),
      'Tools &amp; Targets_Guideline'!$C$53:$I$53,
      0
    )
  ),
0))</f>
        <v/>
      </c>
      <c r="AD414" s="102"/>
      <c r="AE414" s="119" t="str">
        <f t="array" ref="AE414">IF(OR($B414="",$D414=""),"",
IFERROR(
  INDEX(
    'Tools &amp; Targets_Guideline'!$C$54:$I$269,
    MATCH(
      1,
      ('Tools &amp; Targets_Guideline'!$A$54:$A$269=$B414)*
      ('Tools &amp; Targets_Guideline'!$B$54:$B$269="U5 Morbidity"),
      0
    ),
    MATCH(
      _xludf.IFNA(
        VLOOKUP($D414,{"PH","Provincial Hospital (H2)";"DH","District Hospital (H3)";"RH","Regional / National Hospital (H1)"},2,0),
        $D414
      ),
      'Tools &amp; Targets_Guideline'!$C$53:$I$53,
      0
    )
  ),
0))</f>
        <v/>
      </c>
      <c r="AF414" s="102"/>
      <c r="AG414" s="119" t="str">
        <f t="array" ref="AG414">IF(OR($B414="",$D414=""),"",
IFERROR(
  INDEX(
    'Tools &amp; Targets_Guideline'!$C$54:$I$269,
    MATCH(
      1,
      ('Tools &amp; Targets_Guideline'!$A$54:$A$269=$B414)*
      ('Tools &amp; Targets_Guideline'!$B$54:$B$269="C-Section"),
      0
    ),
    MATCH(
      _xludf.IFNA(
        VLOOKUP($D414,{"PH","Provincial Hospital (H2)";"DH","District Hospital (H3)";"RH","Regional / National Hospital (H1)"},2,0),
        $D414
      ),
      'Tools &amp; Targets_Guideline'!$C$53:$I$53,
      0
    )
  ),
0))</f>
        <v/>
      </c>
      <c r="AH414" s="102" t="str">
        <f>IF(A414&lt;&gt;"",COUNTIFS('QA Log'!D:D,A414,'QA Log'!M:M,"QQC",'QA Log'!L:L,"2. Hygiene and Sterilization",'QA Log'!Z:Z,"Approved"),"")</f>
        <v/>
      </c>
      <c r="AI414" s="102"/>
      <c r="AJ414" s="102"/>
      <c r="AK414" s="103" t="str">
        <f t="shared" si="17"/>
        <v/>
      </c>
      <c r="AL414" s="102"/>
      <c r="AM414" s="102"/>
      <c r="AN414" s="102"/>
      <c r="AO414" s="106"/>
      <c r="AP414" s="103"/>
      <c r="AQ414" s="102"/>
      <c r="AR414" s="102"/>
      <c r="AS414" s="102"/>
      <c r="AT414" s="107"/>
      <c r="AU414" s="102" t="str">
        <f t="shared" si="18"/>
        <v/>
      </c>
      <c r="AV414" s="102" t="str">
        <f t="shared" si="19"/>
        <v/>
      </c>
      <c r="AW414" s="102" t="str">
        <f t="shared" si="20"/>
        <v/>
      </c>
      <c r="AX414" s="102" t="str">
        <f t="shared" si="21"/>
        <v/>
      </c>
      <c r="AY414" s="107" t="str">
        <f t="shared" si="22"/>
        <v/>
      </c>
      <c r="AZ414" s="108" t="str">
        <f t="shared" si="23"/>
        <v/>
      </c>
      <c r="BA414" s="108" t="str">
        <f t="shared" si="24"/>
        <v/>
      </c>
      <c r="BB414" s="109" t="str">
        <f t="shared" si="25"/>
        <v/>
      </c>
      <c r="BC414" s="108" t="str">
        <f t="shared" si="26"/>
        <v/>
      </c>
      <c r="BD414" s="108" t="str">
        <f t="shared" si="27"/>
        <v/>
      </c>
      <c r="BE414" s="109" t="str">
        <f t="shared" si="28"/>
        <v/>
      </c>
      <c r="BF414" s="110" t="str">
        <f t="shared" si="29"/>
        <v/>
      </c>
      <c r="BG414" s="111"/>
    </row>
    <row r="415" spans="1:59" ht="12.75">
      <c r="A415" s="101"/>
      <c r="B415" s="102"/>
      <c r="C415" s="102" t="e">
        <f t="array" aca="1" ref="C415" ca="1">_xludf.XLOOKUP(A415,'QA Log'!D:D,'QA Log'!F:F,"")</f>
        <v>#NAME?</v>
      </c>
      <c r="D415" s="102"/>
      <c r="E415" s="102" t="e">
        <f t="array" aca="1" ref="E415" ca="1">_xludf.XLOOKUP(A415,'QA Log'!D:D,'QA Log'!G:G,"")</f>
        <v>#NAME?</v>
      </c>
      <c r="F415" s="103"/>
      <c r="G415" s="104"/>
      <c r="H415" s="104"/>
      <c r="I415" s="103" t="str">
        <f t="shared" si="15"/>
        <v/>
      </c>
      <c r="J415" s="102"/>
      <c r="K415" s="102"/>
      <c r="L415" s="119" t="str">
        <f t="array" ref="L415">IF(OR($B415="",$D415=""),"",
IFERROR(
  INDEX(
    'Tools &amp; Targets_Guideline'!$C$54:$I$269,
    MATCH(
      1,
      ('Tools &amp; Targets_Guideline'!$A$54:$A$269=$B415)*
      ('Tools &amp; Targets_Guideline'!$B$54:$B$269="ANC"),
      0
    ),
    MATCH(
      _xludf.IFNA(
        VLOOKUP($D415,{"PH","Provincial Hospital (H2)";"DH","District Hospital (H3)";"RH","Regional / National Hospital (H1)"},2,0),
        $D415
      ),
      'Tools &amp; Targets_Guideline'!$C$53:$I$53,
      0
    )
  ),
0))</f>
        <v/>
      </c>
      <c r="M415" s="102"/>
      <c r="N415" s="119" t="str">
        <f t="array" ref="N415">IF(OR($B415="",$D415=""),"",
IFERROR(
  INDEX(
    'Tools &amp; Targets_Guideline'!$C$54:$I$269,
    MATCH(
      1,
      ('Tools &amp; Targets_Guideline'!$A$54:$A$269=$B415)*
      ('Tools &amp; Targets_Guideline'!$B$54:$B$269="PNC"),
      0
    ),
    MATCH(
      _xludf.IFNA(
        VLOOKUP($D415,{"PH","Provincial Hospital (H2)";"DH","District Hospital (H3)";"RH","Regional / National Hospital (H1)"},2,0),
        $D415
      ),
      'Tools &amp; Targets_Guideline'!$C$53:$I$53,
      0
    )
  ),
0))</f>
        <v/>
      </c>
      <c r="O415" s="102"/>
      <c r="P415" s="119" t="str">
        <f t="array" ref="P415">IF(OR($B415="",$D415=""),"",
IFERROR(
  INDEX(
    'Tools &amp; Targets_Guideline'!$C$54:$I$269,
    MATCH(
      1,
      ('Tools &amp; Targets_Guideline'!$A$54:$A$269=$B415)*
      ('Tools &amp; Targets_Guideline'!$B$54:$B$269="Delivery"),
      0
    ),
    MATCH(
      _xludf.IFNA(
        VLOOKUP($D415,{"PH","Provincial Hospital (H2)";"DH","District Hospital (H3)";"RH","Regional / National Hospital (H1)"},2,0),
        $D415
      ),
      'Tools &amp; Targets_Guideline'!$C$53:$I$53,
      0
    )
  ),
0))</f>
        <v/>
      </c>
      <c r="Q415" s="102"/>
      <c r="R415" s="119" t="str">
        <f t="array" ref="R415">IF(OR($B415="",$D415=""),"",
IFERROR(
  INDEX(
    'Tools &amp; Targets_Guideline'!$C$54:$I$269,
    MATCH(
      1,
      ('Tools &amp; Targets_Guideline'!$A$54:$A$269=$B415)*
      ('Tools &amp; Targets_Guideline'!$B$54:$B$269="TT"),
      0
    ),
    MATCH(
      _xludf.IFNA(
        VLOOKUP($D415,{"PH","Provincial Hospital (H2)";"DH","District Hospital (H3)";"RH","Regional / National Hospital (H1)"},2,0),
        $D415
      ),
      'Tools &amp; Targets_Guideline'!$C$53:$I$53,
      0
    )
  ),
0))</f>
        <v/>
      </c>
      <c r="S415" s="102"/>
      <c r="T415" s="102"/>
      <c r="U415" s="106"/>
      <c r="V415" s="102" t="str">
        <f t="shared" si="16"/>
        <v/>
      </c>
      <c r="W415" s="102"/>
      <c r="X415" s="102"/>
      <c r="Y415" s="119" t="str">
        <f t="array" ref="Y415">IF(OR($B415="",$D415=""),"",
IFERROR(
  INDEX(
    'Tools &amp; Targets_Guideline'!$C$54:$I$269,
    MATCH(
      1,
      ('Tools &amp; Targets_Guideline'!$A$54:$A$269=$B415)*
      ('Tools &amp; Targets_Guideline'!$B$54:$B$269="GM"),
      0
    ),
    MATCH(
      _xludf.IFNA(
        VLOOKUP($D415,{"PH","Provincial Hospital (H2)";"DH","District Hospital (H3)";"RH","Regional / National Hospital (H1)"},2,0),
        $D415
      ),
      'Tools &amp; Targets_Guideline'!$C$53:$I$53,
      0
    )
  ),
0))</f>
        <v/>
      </c>
      <c r="Z415" s="102"/>
      <c r="AA415" s="119" t="str">
        <f t="array" ref="AA415">IF(OR($B415="",$D415=""),"",
IFERROR(
  INDEX(
    'Tools &amp; Targets_Guideline'!$C$54:$I$269,
    MATCH(
      1,
      ('Tools &amp; Targets_Guideline'!$A$54:$A$269=$B415)*
      ('Tools &amp; Targets_Guideline'!$B$54:$B$269="Penta"),
      0
    ),
    MATCH(
      _xludf.IFNA(
        VLOOKUP($D415,{"PH","Provincial Hospital (H2)";"DH","District Hospital (H3)";"RH","Regional / National Hospital (H1)"},2,0),
        $D415
      ),
      'Tools &amp; Targets_Guideline'!$C$53:$I$53,
      0
    )
  ),
0))</f>
        <v/>
      </c>
      <c r="AB415" s="102"/>
      <c r="AC415" s="119" t="str">
        <f t="array" ref="AC415">IF(OR($B415="",$D415=""),"",
IFERROR(
  INDEX(
    'Tools &amp; Targets_Guideline'!$C$54:$I$269,
    MATCH(
      1,
      ('Tools &amp; Targets_Guideline'!$A$54:$A$269=$B415)*
      ('Tools &amp; Targets_Guideline'!$B$54:$B$269="TB"),
      0
    ),
    MATCH(
      _xludf.IFNA(
        VLOOKUP($D415,{"PH","Provincial Hospital (H2)";"DH","District Hospital (H3)";"RH","Regional / National Hospital (H1)"},2,0),
        $D415
      ),
      'Tools &amp; Targets_Guideline'!$C$53:$I$53,
      0
    )
  ),
0))</f>
        <v/>
      </c>
      <c r="AD415" s="102"/>
      <c r="AE415" s="119" t="str">
        <f t="array" ref="AE415">IF(OR($B415="",$D415=""),"",
IFERROR(
  INDEX(
    'Tools &amp; Targets_Guideline'!$C$54:$I$269,
    MATCH(
      1,
      ('Tools &amp; Targets_Guideline'!$A$54:$A$269=$B415)*
      ('Tools &amp; Targets_Guideline'!$B$54:$B$269="U5 Morbidity"),
      0
    ),
    MATCH(
      _xludf.IFNA(
        VLOOKUP($D415,{"PH","Provincial Hospital (H2)";"DH","District Hospital (H3)";"RH","Regional / National Hospital (H1)"},2,0),
        $D415
      ),
      'Tools &amp; Targets_Guideline'!$C$53:$I$53,
      0
    )
  ),
0))</f>
        <v/>
      </c>
      <c r="AF415" s="102"/>
      <c r="AG415" s="119" t="str">
        <f t="array" ref="AG415">IF(OR($B415="",$D415=""),"",
IFERROR(
  INDEX(
    'Tools &amp; Targets_Guideline'!$C$54:$I$269,
    MATCH(
      1,
      ('Tools &amp; Targets_Guideline'!$A$54:$A$269=$B415)*
      ('Tools &amp; Targets_Guideline'!$B$54:$B$269="C-Section"),
      0
    ),
    MATCH(
      _xludf.IFNA(
        VLOOKUP($D415,{"PH","Provincial Hospital (H2)";"DH","District Hospital (H3)";"RH","Regional / National Hospital (H1)"},2,0),
        $D415
      ),
      'Tools &amp; Targets_Guideline'!$C$53:$I$53,
      0
    )
  ),
0))</f>
        <v/>
      </c>
      <c r="AH415" s="102" t="str">
        <f>IF(A415&lt;&gt;"",COUNTIFS('QA Log'!D:D,A415,'QA Log'!M:M,"QQC",'QA Log'!L:L,"2. Hygiene and Sterilization",'QA Log'!Z:Z,"Approved"),"")</f>
        <v/>
      </c>
      <c r="AI415" s="102"/>
      <c r="AJ415" s="102"/>
      <c r="AK415" s="103" t="str">
        <f t="shared" si="17"/>
        <v/>
      </c>
      <c r="AL415" s="102"/>
      <c r="AM415" s="102"/>
      <c r="AN415" s="102"/>
      <c r="AO415" s="106"/>
      <c r="AP415" s="103"/>
      <c r="AQ415" s="102"/>
      <c r="AR415" s="102"/>
      <c r="AS415" s="102"/>
      <c r="AT415" s="107"/>
      <c r="AU415" s="102" t="str">
        <f t="shared" si="18"/>
        <v/>
      </c>
      <c r="AV415" s="102" t="str">
        <f t="shared" si="19"/>
        <v/>
      </c>
      <c r="AW415" s="102" t="str">
        <f t="shared" si="20"/>
        <v/>
      </c>
      <c r="AX415" s="102" t="str">
        <f t="shared" si="21"/>
        <v/>
      </c>
      <c r="AY415" s="107" t="str">
        <f t="shared" si="22"/>
        <v/>
      </c>
      <c r="AZ415" s="108" t="str">
        <f t="shared" si="23"/>
        <v/>
      </c>
      <c r="BA415" s="108" t="str">
        <f t="shared" si="24"/>
        <v/>
      </c>
      <c r="BB415" s="109" t="str">
        <f t="shared" si="25"/>
        <v/>
      </c>
      <c r="BC415" s="108" t="str">
        <f t="shared" si="26"/>
        <v/>
      </c>
      <c r="BD415" s="108" t="str">
        <f t="shared" si="27"/>
        <v/>
      </c>
      <c r="BE415" s="109" t="str">
        <f t="shared" si="28"/>
        <v/>
      </c>
      <c r="BF415" s="110" t="str">
        <f t="shared" si="29"/>
        <v/>
      </c>
      <c r="BG415" s="111"/>
    </row>
    <row r="416" spans="1:59" ht="12.75">
      <c r="A416" s="101"/>
      <c r="B416" s="102"/>
      <c r="C416" s="102" t="e">
        <f t="array" aca="1" ref="C416" ca="1">_xludf.XLOOKUP(A416,'QA Log'!D:D,'QA Log'!F:F,"")</f>
        <v>#NAME?</v>
      </c>
      <c r="D416" s="102"/>
      <c r="E416" s="102" t="e">
        <f t="array" aca="1" ref="E416" ca="1">_xludf.XLOOKUP(A416,'QA Log'!D:D,'QA Log'!G:G,"")</f>
        <v>#NAME?</v>
      </c>
      <c r="F416" s="103"/>
      <c r="G416" s="104"/>
      <c r="H416" s="104"/>
      <c r="I416" s="103" t="str">
        <f t="shared" si="15"/>
        <v/>
      </c>
      <c r="J416" s="102"/>
      <c r="K416" s="102"/>
      <c r="L416" s="119" t="str">
        <f t="array" ref="L416">IF(OR($B416="",$D416=""),"",
IFERROR(
  INDEX(
    'Tools &amp; Targets_Guideline'!$C$54:$I$269,
    MATCH(
      1,
      ('Tools &amp; Targets_Guideline'!$A$54:$A$269=$B416)*
      ('Tools &amp; Targets_Guideline'!$B$54:$B$269="ANC"),
      0
    ),
    MATCH(
      _xludf.IFNA(
        VLOOKUP($D416,{"PH","Provincial Hospital (H2)";"DH","District Hospital (H3)";"RH","Regional / National Hospital (H1)"},2,0),
        $D416
      ),
      'Tools &amp; Targets_Guideline'!$C$53:$I$53,
      0
    )
  ),
0))</f>
        <v/>
      </c>
      <c r="M416" s="102"/>
      <c r="N416" s="119" t="str">
        <f t="array" ref="N416">IF(OR($B416="",$D416=""),"",
IFERROR(
  INDEX(
    'Tools &amp; Targets_Guideline'!$C$54:$I$269,
    MATCH(
      1,
      ('Tools &amp; Targets_Guideline'!$A$54:$A$269=$B416)*
      ('Tools &amp; Targets_Guideline'!$B$54:$B$269="PNC"),
      0
    ),
    MATCH(
      _xludf.IFNA(
        VLOOKUP($D416,{"PH","Provincial Hospital (H2)";"DH","District Hospital (H3)";"RH","Regional / National Hospital (H1)"},2,0),
        $D416
      ),
      'Tools &amp; Targets_Guideline'!$C$53:$I$53,
      0
    )
  ),
0))</f>
        <v/>
      </c>
      <c r="O416" s="102"/>
      <c r="P416" s="119" t="str">
        <f t="array" ref="P416">IF(OR($B416="",$D416=""),"",
IFERROR(
  INDEX(
    'Tools &amp; Targets_Guideline'!$C$54:$I$269,
    MATCH(
      1,
      ('Tools &amp; Targets_Guideline'!$A$54:$A$269=$B416)*
      ('Tools &amp; Targets_Guideline'!$B$54:$B$269="Delivery"),
      0
    ),
    MATCH(
      _xludf.IFNA(
        VLOOKUP($D416,{"PH","Provincial Hospital (H2)";"DH","District Hospital (H3)";"RH","Regional / National Hospital (H1)"},2,0),
        $D416
      ),
      'Tools &amp; Targets_Guideline'!$C$53:$I$53,
      0
    )
  ),
0))</f>
        <v/>
      </c>
      <c r="Q416" s="102"/>
      <c r="R416" s="119" t="str">
        <f t="array" ref="R416">IF(OR($B416="",$D416=""),"",
IFERROR(
  INDEX(
    'Tools &amp; Targets_Guideline'!$C$54:$I$269,
    MATCH(
      1,
      ('Tools &amp; Targets_Guideline'!$A$54:$A$269=$B416)*
      ('Tools &amp; Targets_Guideline'!$B$54:$B$269="TT"),
      0
    ),
    MATCH(
      _xludf.IFNA(
        VLOOKUP($D416,{"PH","Provincial Hospital (H2)";"DH","District Hospital (H3)";"RH","Regional / National Hospital (H1)"},2,0),
        $D416
      ),
      'Tools &amp; Targets_Guideline'!$C$53:$I$53,
      0
    )
  ),
0))</f>
        <v/>
      </c>
      <c r="S416" s="102"/>
      <c r="T416" s="102"/>
      <c r="U416" s="106"/>
      <c r="V416" s="102" t="str">
        <f t="shared" si="16"/>
        <v/>
      </c>
      <c r="W416" s="102"/>
      <c r="X416" s="102"/>
      <c r="Y416" s="119" t="str">
        <f t="array" ref="Y416">IF(OR($B416="",$D416=""),"",
IFERROR(
  INDEX(
    'Tools &amp; Targets_Guideline'!$C$54:$I$269,
    MATCH(
      1,
      ('Tools &amp; Targets_Guideline'!$A$54:$A$269=$B416)*
      ('Tools &amp; Targets_Guideline'!$B$54:$B$269="GM"),
      0
    ),
    MATCH(
      _xludf.IFNA(
        VLOOKUP($D416,{"PH","Provincial Hospital (H2)";"DH","District Hospital (H3)";"RH","Regional / National Hospital (H1)"},2,0),
        $D416
      ),
      'Tools &amp; Targets_Guideline'!$C$53:$I$53,
      0
    )
  ),
0))</f>
        <v/>
      </c>
      <c r="Z416" s="102"/>
      <c r="AA416" s="119" t="str">
        <f t="array" ref="AA416">IF(OR($B416="",$D416=""),"",
IFERROR(
  INDEX(
    'Tools &amp; Targets_Guideline'!$C$54:$I$269,
    MATCH(
      1,
      ('Tools &amp; Targets_Guideline'!$A$54:$A$269=$B416)*
      ('Tools &amp; Targets_Guideline'!$B$54:$B$269="Penta"),
      0
    ),
    MATCH(
      _xludf.IFNA(
        VLOOKUP($D416,{"PH","Provincial Hospital (H2)";"DH","District Hospital (H3)";"RH","Regional / National Hospital (H1)"},2,0),
        $D416
      ),
      'Tools &amp; Targets_Guideline'!$C$53:$I$53,
      0
    )
  ),
0))</f>
        <v/>
      </c>
      <c r="AB416" s="102"/>
      <c r="AC416" s="119" t="str">
        <f t="array" ref="AC416">IF(OR($B416="",$D416=""),"",
IFERROR(
  INDEX(
    'Tools &amp; Targets_Guideline'!$C$54:$I$269,
    MATCH(
      1,
      ('Tools &amp; Targets_Guideline'!$A$54:$A$269=$B416)*
      ('Tools &amp; Targets_Guideline'!$B$54:$B$269="TB"),
      0
    ),
    MATCH(
      _xludf.IFNA(
        VLOOKUP($D416,{"PH","Provincial Hospital (H2)";"DH","District Hospital (H3)";"RH","Regional / National Hospital (H1)"},2,0),
        $D416
      ),
      'Tools &amp; Targets_Guideline'!$C$53:$I$53,
      0
    )
  ),
0))</f>
        <v/>
      </c>
      <c r="AD416" s="102"/>
      <c r="AE416" s="119" t="str">
        <f t="array" ref="AE416">IF(OR($B416="",$D416=""),"",
IFERROR(
  INDEX(
    'Tools &amp; Targets_Guideline'!$C$54:$I$269,
    MATCH(
      1,
      ('Tools &amp; Targets_Guideline'!$A$54:$A$269=$B416)*
      ('Tools &amp; Targets_Guideline'!$B$54:$B$269="U5 Morbidity"),
      0
    ),
    MATCH(
      _xludf.IFNA(
        VLOOKUP($D416,{"PH","Provincial Hospital (H2)";"DH","District Hospital (H3)";"RH","Regional / National Hospital (H1)"},2,0),
        $D416
      ),
      'Tools &amp; Targets_Guideline'!$C$53:$I$53,
      0
    )
  ),
0))</f>
        <v/>
      </c>
      <c r="AF416" s="102"/>
      <c r="AG416" s="119" t="str">
        <f t="array" ref="AG416">IF(OR($B416="",$D416=""),"",
IFERROR(
  INDEX(
    'Tools &amp; Targets_Guideline'!$C$54:$I$269,
    MATCH(
      1,
      ('Tools &amp; Targets_Guideline'!$A$54:$A$269=$B416)*
      ('Tools &amp; Targets_Guideline'!$B$54:$B$269="C-Section"),
      0
    ),
    MATCH(
      _xludf.IFNA(
        VLOOKUP($D416,{"PH","Provincial Hospital (H2)";"DH","District Hospital (H3)";"RH","Regional / National Hospital (H1)"},2,0),
        $D416
      ),
      'Tools &amp; Targets_Guideline'!$C$53:$I$53,
      0
    )
  ),
0))</f>
        <v/>
      </c>
      <c r="AH416" s="102" t="str">
        <f>IF(A416&lt;&gt;"",COUNTIFS('QA Log'!D:D,A416,'QA Log'!M:M,"QQC",'QA Log'!L:L,"2. Hygiene and Sterilization",'QA Log'!Z:Z,"Approved"),"")</f>
        <v/>
      </c>
      <c r="AI416" s="102"/>
      <c r="AJ416" s="102"/>
      <c r="AK416" s="103" t="str">
        <f t="shared" si="17"/>
        <v/>
      </c>
      <c r="AL416" s="102"/>
      <c r="AM416" s="102"/>
      <c r="AN416" s="102"/>
      <c r="AO416" s="106"/>
      <c r="AP416" s="103"/>
      <c r="AQ416" s="102"/>
      <c r="AR416" s="102"/>
      <c r="AS416" s="102"/>
      <c r="AT416" s="107"/>
      <c r="AU416" s="102" t="str">
        <f t="shared" si="18"/>
        <v/>
      </c>
      <c r="AV416" s="102" t="str">
        <f t="shared" si="19"/>
        <v/>
      </c>
      <c r="AW416" s="102" t="str">
        <f t="shared" si="20"/>
        <v/>
      </c>
      <c r="AX416" s="102" t="str">
        <f t="shared" si="21"/>
        <v/>
      </c>
      <c r="AY416" s="107" t="str">
        <f t="shared" si="22"/>
        <v/>
      </c>
      <c r="AZ416" s="108" t="str">
        <f t="shared" si="23"/>
        <v/>
      </c>
      <c r="BA416" s="108" t="str">
        <f t="shared" si="24"/>
        <v/>
      </c>
      <c r="BB416" s="109" t="str">
        <f t="shared" si="25"/>
        <v/>
      </c>
      <c r="BC416" s="108" t="str">
        <f t="shared" si="26"/>
        <v/>
      </c>
      <c r="BD416" s="108" t="str">
        <f t="shared" si="27"/>
        <v/>
      </c>
      <c r="BE416" s="109" t="str">
        <f t="shared" si="28"/>
        <v/>
      </c>
      <c r="BF416" s="110" t="str">
        <f t="shared" si="29"/>
        <v/>
      </c>
      <c r="BG416" s="111"/>
    </row>
    <row r="417" spans="1:59" ht="12.75">
      <c r="A417" s="101"/>
      <c r="B417" s="102"/>
      <c r="C417" s="102" t="e">
        <f t="array" aca="1" ref="C417" ca="1">_xludf.XLOOKUP(A417,'QA Log'!D:D,'QA Log'!F:F,"")</f>
        <v>#NAME?</v>
      </c>
      <c r="D417" s="102"/>
      <c r="E417" s="102" t="e">
        <f t="array" aca="1" ref="E417" ca="1">_xludf.XLOOKUP(A417,'QA Log'!D:D,'QA Log'!G:G,"")</f>
        <v>#NAME?</v>
      </c>
      <c r="F417" s="103"/>
      <c r="G417" s="104"/>
      <c r="H417" s="104"/>
      <c r="I417" s="103" t="str">
        <f t="shared" si="15"/>
        <v/>
      </c>
      <c r="J417" s="102"/>
      <c r="K417" s="102"/>
      <c r="L417" s="119" t="str">
        <f t="array" ref="L417">IF(OR($B417="",$D417=""),"",
IFERROR(
  INDEX(
    'Tools &amp; Targets_Guideline'!$C$54:$I$269,
    MATCH(
      1,
      ('Tools &amp; Targets_Guideline'!$A$54:$A$269=$B417)*
      ('Tools &amp; Targets_Guideline'!$B$54:$B$269="ANC"),
      0
    ),
    MATCH(
      _xludf.IFNA(
        VLOOKUP($D417,{"PH","Provincial Hospital (H2)";"DH","District Hospital (H3)";"RH","Regional / National Hospital (H1)"},2,0),
        $D417
      ),
      'Tools &amp; Targets_Guideline'!$C$53:$I$53,
      0
    )
  ),
0))</f>
        <v/>
      </c>
      <c r="M417" s="102"/>
      <c r="N417" s="119" t="str">
        <f t="array" ref="N417">IF(OR($B417="",$D417=""),"",
IFERROR(
  INDEX(
    'Tools &amp; Targets_Guideline'!$C$54:$I$269,
    MATCH(
      1,
      ('Tools &amp; Targets_Guideline'!$A$54:$A$269=$B417)*
      ('Tools &amp; Targets_Guideline'!$B$54:$B$269="PNC"),
      0
    ),
    MATCH(
      _xludf.IFNA(
        VLOOKUP($D417,{"PH","Provincial Hospital (H2)";"DH","District Hospital (H3)";"RH","Regional / National Hospital (H1)"},2,0),
        $D417
      ),
      'Tools &amp; Targets_Guideline'!$C$53:$I$53,
      0
    )
  ),
0))</f>
        <v/>
      </c>
      <c r="O417" s="102"/>
      <c r="P417" s="119" t="str">
        <f t="array" ref="P417">IF(OR($B417="",$D417=""),"",
IFERROR(
  INDEX(
    'Tools &amp; Targets_Guideline'!$C$54:$I$269,
    MATCH(
      1,
      ('Tools &amp; Targets_Guideline'!$A$54:$A$269=$B417)*
      ('Tools &amp; Targets_Guideline'!$B$54:$B$269="Delivery"),
      0
    ),
    MATCH(
      _xludf.IFNA(
        VLOOKUP($D417,{"PH","Provincial Hospital (H2)";"DH","District Hospital (H3)";"RH","Regional / National Hospital (H1)"},2,0),
        $D417
      ),
      'Tools &amp; Targets_Guideline'!$C$53:$I$53,
      0
    )
  ),
0))</f>
        <v/>
      </c>
      <c r="Q417" s="102"/>
      <c r="R417" s="119" t="str">
        <f t="array" ref="R417">IF(OR($B417="",$D417=""),"",
IFERROR(
  INDEX(
    'Tools &amp; Targets_Guideline'!$C$54:$I$269,
    MATCH(
      1,
      ('Tools &amp; Targets_Guideline'!$A$54:$A$269=$B417)*
      ('Tools &amp; Targets_Guideline'!$B$54:$B$269="TT"),
      0
    ),
    MATCH(
      _xludf.IFNA(
        VLOOKUP($D417,{"PH","Provincial Hospital (H2)";"DH","District Hospital (H3)";"RH","Regional / National Hospital (H1)"},2,0),
        $D417
      ),
      'Tools &amp; Targets_Guideline'!$C$53:$I$53,
      0
    )
  ),
0))</f>
        <v/>
      </c>
      <c r="S417" s="102"/>
      <c r="T417" s="102"/>
      <c r="U417" s="106"/>
      <c r="V417" s="102" t="str">
        <f t="shared" si="16"/>
        <v/>
      </c>
      <c r="W417" s="102"/>
      <c r="X417" s="102"/>
      <c r="Y417" s="119" t="str">
        <f t="array" ref="Y417">IF(OR($B417="",$D417=""),"",
IFERROR(
  INDEX(
    'Tools &amp; Targets_Guideline'!$C$54:$I$269,
    MATCH(
      1,
      ('Tools &amp; Targets_Guideline'!$A$54:$A$269=$B417)*
      ('Tools &amp; Targets_Guideline'!$B$54:$B$269="GM"),
      0
    ),
    MATCH(
      _xludf.IFNA(
        VLOOKUP($D417,{"PH","Provincial Hospital (H2)";"DH","District Hospital (H3)";"RH","Regional / National Hospital (H1)"},2,0),
        $D417
      ),
      'Tools &amp; Targets_Guideline'!$C$53:$I$53,
      0
    )
  ),
0))</f>
        <v/>
      </c>
      <c r="Z417" s="102"/>
      <c r="AA417" s="119" t="str">
        <f t="array" ref="AA417">IF(OR($B417="",$D417=""),"",
IFERROR(
  INDEX(
    'Tools &amp; Targets_Guideline'!$C$54:$I$269,
    MATCH(
      1,
      ('Tools &amp; Targets_Guideline'!$A$54:$A$269=$B417)*
      ('Tools &amp; Targets_Guideline'!$B$54:$B$269="Penta"),
      0
    ),
    MATCH(
      _xludf.IFNA(
        VLOOKUP($D417,{"PH","Provincial Hospital (H2)";"DH","District Hospital (H3)";"RH","Regional / National Hospital (H1)"},2,0),
        $D417
      ),
      'Tools &amp; Targets_Guideline'!$C$53:$I$53,
      0
    )
  ),
0))</f>
        <v/>
      </c>
      <c r="AB417" s="102"/>
      <c r="AC417" s="119" t="str">
        <f t="array" ref="AC417">IF(OR($B417="",$D417=""),"",
IFERROR(
  INDEX(
    'Tools &amp; Targets_Guideline'!$C$54:$I$269,
    MATCH(
      1,
      ('Tools &amp; Targets_Guideline'!$A$54:$A$269=$B417)*
      ('Tools &amp; Targets_Guideline'!$B$54:$B$269="TB"),
      0
    ),
    MATCH(
      _xludf.IFNA(
        VLOOKUP($D417,{"PH","Provincial Hospital (H2)";"DH","District Hospital (H3)";"RH","Regional / National Hospital (H1)"},2,0),
        $D417
      ),
      'Tools &amp; Targets_Guideline'!$C$53:$I$53,
      0
    )
  ),
0))</f>
        <v/>
      </c>
      <c r="AD417" s="102"/>
      <c r="AE417" s="119" t="str">
        <f t="array" ref="AE417">IF(OR($B417="",$D417=""),"",
IFERROR(
  INDEX(
    'Tools &amp; Targets_Guideline'!$C$54:$I$269,
    MATCH(
      1,
      ('Tools &amp; Targets_Guideline'!$A$54:$A$269=$B417)*
      ('Tools &amp; Targets_Guideline'!$B$54:$B$269="U5 Morbidity"),
      0
    ),
    MATCH(
      _xludf.IFNA(
        VLOOKUP($D417,{"PH","Provincial Hospital (H2)";"DH","District Hospital (H3)";"RH","Regional / National Hospital (H1)"},2,0),
        $D417
      ),
      'Tools &amp; Targets_Guideline'!$C$53:$I$53,
      0
    )
  ),
0))</f>
        <v/>
      </c>
      <c r="AF417" s="102"/>
      <c r="AG417" s="119" t="str">
        <f t="array" ref="AG417">IF(OR($B417="",$D417=""),"",
IFERROR(
  INDEX(
    'Tools &amp; Targets_Guideline'!$C$54:$I$269,
    MATCH(
      1,
      ('Tools &amp; Targets_Guideline'!$A$54:$A$269=$B417)*
      ('Tools &amp; Targets_Guideline'!$B$54:$B$269="C-Section"),
      0
    ),
    MATCH(
      _xludf.IFNA(
        VLOOKUP($D417,{"PH","Provincial Hospital (H2)";"DH","District Hospital (H3)";"RH","Regional / National Hospital (H1)"},2,0),
        $D417
      ),
      'Tools &amp; Targets_Guideline'!$C$53:$I$53,
      0
    )
  ),
0))</f>
        <v/>
      </c>
      <c r="AH417" s="102" t="str">
        <f>IF(A417&lt;&gt;"",COUNTIFS('QA Log'!D:D,A417,'QA Log'!M:M,"QQC",'QA Log'!L:L,"2. Hygiene and Sterilization",'QA Log'!Z:Z,"Approved"),"")</f>
        <v/>
      </c>
      <c r="AI417" s="102"/>
      <c r="AJ417" s="102"/>
      <c r="AK417" s="103" t="str">
        <f t="shared" si="17"/>
        <v/>
      </c>
      <c r="AL417" s="102"/>
      <c r="AM417" s="102"/>
      <c r="AN417" s="102"/>
      <c r="AO417" s="106"/>
      <c r="AP417" s="103"/>
      <c r="AQ417" s="102"/>
      <c r="AR417" s="102"/>
      <c r="AS417" s="102"/>
      <c r="AT417" s="107"/>
      <c r="AU417" s="102" t="str">
        <f t="shared" si="18"/>
        <v/>
      </c>
      <c r="AV417" s="102" t="str">
        <f t="shared" si="19"/>
        <v/>
      </c>
      <c r="AW417" s="102" t="str">
        <f t="shared" si="20"/>
        <v/>
      </c>
      <c r="AX417" s="102" t="str">
        <f t="shared" si="21"/>
        <v/>
      </c>
      <c r="AY417" s="107" t="str">
        <f t="shared" si="22"/>
        <v/>
      </c>
      <c r="AZ417" s="108" t="str">
        <f t="shared" si="23"/>
        <v/>
      </c>
      <c r="BA417" s="108" t="str">
        <f t="shared" si="24"/>
        <v/>
      </c>
      <c r="BB417" s="109" t="str">
        <f t="shared" si="25"/>
        <v/>
      </c>
      <c r="BC417" s="108" t="str">
        <f t="shared" si="26"/>
        <v/>
      </c>
      <c r="BD417" s="108" t="str">
        <f t="shared" si="27"/>
        <v/>
      </c>
      <c r="BE417" s="109" t="str">
        <f t="shared" si="28"/>
        <v/>
      </c>
      <c r="BF417" s="110" t="str">
        <f t="shared" si="29"/>
        <v/>
      </c>
      <c r="BG417" s="111"/>
    </row>
    <row r="418" spans="1:59" ht="12.75">
      <c r="A418" s="101"/>
      <c r="B418" s="102"/>
      <c r="C418" s="102" t="e">
        <f t="array" aca="1" ref="C418" ca="1">_xludf.XLOOKUP(A418,'QA Log'!D:D,'QA Log'!F:F,"")</f>
        <v>#NAME?</v>
      </c>
      <c r="D418" s="102"/>
      <c r="E418" s="102" t="e">
        <f t="array" aca="1" ref="E418" ca="1">_xludf.XLOOKUP(A418,'QA Log'!D:D,'QA Log'!G:G,"")</f>
        <v>#NAME?</v>
      </c>
      <c r="F418" s="103"/>
      <c r="G418" s="104"/>
      <c r="H418" s="104"/>
      <c r="I418" s="103" t="str">
        <f t="shared" si="15"/>
        <v/>
      </c>
      <c r="J418" s="102"/>
      <c r="K418" s="102"/>
      <c r="L418" s="119" t="str">
        <f t="array" ref="L418">IF(OR($B418="",$D418=""),"",
IFERROR(
  INDEX(
    'Tools &amp; Targets_Guideline'!$C$54:$I$269,
    MATCH(
      1,
      ('Tools &amp; Targets_Guideline'!$A$54:$A$269=$B418)*
      ('Tools &amp; Targets_Guideline'!$B$54:$B$269="ANC"),
      0
    ),
    MATCH(
      _xludf.IFNA(
        VLOOKUP($D418,{"PH","Provincial Hospital (H2)";"DH","District Hospital (H3)";"RH","Regional / National Hospital (H1)"},2,0),
        $D418
      ),
      'Tools &amp; Targets_Guideline'!$C$53:$I$53,
      0
    )
  ),
0))</f>
        <v/>
      </c>
      <c r="M418" s="102"/>
      <c r="N418" s="119" t="str">
        <f t="array" ref="N418">IF(OR($B418="",$D418=""),"",
IFERROR(
  INDEX(
    'Tools &amp; Targets_Guideline'!$C$54:$I$269,
    MATCH(
      1,
      ('Tools &amp; Targets_Guideline'!$A$54:$A$269=$B418)*
      ('Tools &amp; Targets_Guideline'!$B$54:$B$269="PNC"),
      0
    ),
    MATCH(
      _xludf.IFNA(
        VLOOKUP($D418,{"PH","Provincial Hospital (H2)";"DH","District Hospital (H3)";"RH","Regional / National Hospital (H1)"},2,0),
        $D418
      ),
      'Tools &amp; Targets_Guideline'!$C$53:$I$53,
      0
    )
  ),
0))</f>
        <v/>
      </c>
      <c r="O418" s="102"/>
      <c r="P418" s="119" t="str">
        <f t="array" ref="P418">IF(OR($B418="",$D418=""),"",
IFERROR(
  INDEX(
    'Tools &amp; Targets_Guideline'!$C$54:$I$269,
    MATCH(
      1,
      ('Tools &amp; Targets_Guideline'!$A$54:$A$269=$B418)*
      ('Tools &amp; Targets_Guideline'!$B$54:$B$269="Delivery"),
      0
    ),
    MATCH(
      _xludf.IFNA(
        VLOOKUP($D418,{"PH","Provincial Hospital (H2)";"DH","District Hospital (H3)";"RH","Regional / National Hospital (H1)"},2,0),
        $D418
      ),
      'Tools &amp; Targets_Guideline'!$C$53:$I$53,
      0
    )
  ),
0))</f>
        <v/>
      </c>
      <c r="Q418" s="102"/>
      <c r="R418" s="119" t="str">
        <f t="array" ref="R418">IF(OR($B418="",$D418=""),"",
IFERROR(
  INDEX(
    'Tools &amp; Targets_Guideline'!$C$54:$I$269,
    MATCH(
      1,
      ('Tools &amp; Targets_Guideline'!$A$54:$A$269=$B418)*
      ('Tools &amp; Targets_Guideline'!$B$54:$B$269="TT"),
      0
    ),
    MATCH(
      _xludf.IFNA(
        VLOOKUP($D418,{"PH","Provincial Hospital (H2)";"DH","District Hospital (H3)";"RH","Regional / National Hospital (H1)"},2,0),
        $D418
      ),
      'Tools &amp; Targets_Guideline'!$C$53:$I$53,
      0
    )
  ),
0))</f>
        <v/>
      </c>
      <c r="S418" s="102"/>
      <c r="T418" s="102"/>
      <c r="U418" s="106"/>
      <c r="V418" s="102" t="str">
        <f t="shared" si="16"/>
        <v/>
      </c>
      <c r="W418" s="102"/>
      <c r="X418" s="102"/>
      <c r="Y418" s="119" t="str">
        <f t="array" ref="Y418">IF(OR($B418="",$D418=""),"",
IFERROR(
  INDEX(
    'Tools &amp; Targets_Guideline'!$C$54:$I$269,
    MATCH(
      1,
      ('Tools &amp; Targets_Guideline'!$A$54:$A$269=$B418)*
      ('Tools &amp; Targets_Guideline'!$B$54:$B$269="GM"),
      0
    ),
    MATCH(
      _xludf.IFNA(
        VLOOKUP($D418,{"PH","Provincial Hospital (H2)";"DH","District Hospital (H3)";"RH","Regional / National Hospital (H1)"},2,0),
        $D418
      ),
      'Tools &amp; Targets_Guideline'!$C$53:$I$53,
      0
    )
  ),
0))</f>
        <v/>
      </c>
      <c r="Z418" s="102"/>
      <c r="AA418" s="119" t="str">
        <f t="array" ref="AA418">IF(OR($B418="",$D418=""),"",
IFERROR(
  INDEX(
    'Tools &amp; Targets_Guideline'!$C$54:$I$269,
    MATCH(
      1,
      ('Tools &amp; Targets_Guideline'!$A$54:$A$269=$B418)*
      ('Tools &amp; Targets_Guideline'!$B$54:$B$269="Penta"),
      0
    ),
    MATCH(
      _xludf.IFNA(
        VLOOKUP($D418,{"PH","Provincial Hospital (H2)";"DH","District Hospital (H3)";"RH","Regional / National Hospital (H1)"},2,0),
        $D418
      ),
      'Tools &amp; Targets_Guideline'!$C$53:$I$53,
      0
    )
  ),
0))</f>
        <v/>
      </c>
      <c r="AB418" s="102"/>
      <c r="AC418" s="119" t="str">
        <f t="array" ref="AC418">IF(OR($B418="",$D418=""),"",
IFERROR(
  INDEX(
    'Tools &amp; Targets_Guideline'!$C$54:$I$269,
    MATCH(
      1,
      ('Tools &amp; Targets_Guideline'!$A$54:$A$269=$B418)*
      ('Tools &amp; Targets_Guideline'!$B$54:$B$269="TB"),
      0
    ),
    MATCH(
      _xludf.IFNA(
        VLOOKUP($D418,{"PH","Provincial Hospital (H2)";"DH","District Hospital (H3)";"RH","Regional / National Hospital (H1)"},2,0),
        $D418
      ),
      'Tools &amp; Targets_Guideline'!$C$53:$I$53,
      0
    )
  ),
0))</f>
        <v/>
      </c>
      <c r="AD418" s="102"/>
      <c r="AE418" s="119" t="str">
        <f t="array" ref="AE418">IF(OR($B418="",$D418=""),"",
IFERROR(
  INDEX(
    'Tools &amp; Targets_Guideline'!$C$54:$I$269,
    MATCH(
      1,
      ('Tools &amp; Targets_Guideline'!$A$54:$A$269=$B418)*
      ('Tools &amp; Targets_Guideline'!$B$54:$B$269="U5 Morbidity"),
      0
    ),
    MATCH(
      _xludf.IFNA(
        VLOOKUP($D418,{"PH","Provincial Hospital (H2)";"DH","District Hospital (H3)";"RH","Regional / National Hospital (H1)"},2,0),
        $D418
      ),
      'Tools &amp; Targets_Guideline'!$C$53:$I$53,
      0
    )
  ),
0))</f>
        <v/>
      </c>
      <c r="AF418" s="102"/>
      <c r="AG418" s="119" t="str">
        <f t="array" ref="AG418">IF(OR($B418="",$D418=""),"",
IFERROR(
  INDEX(
    'Tools &amp; Targets_Guideline'!$C$54:$I$269,
    MATCH(
      1,
      ('Tools &amp; Targets_Guideline'!$A$54:$A$269=$B418)*
      ('Tools &amp; Targets_Guideline'!$B$54:$B$269="C-Section"),
      0
    ),
    MATCH(
      _xludf.IFNA(
        VLOOKUP($D418,{"PH","Provincial Hospital (H2)";"DH","District Hospital (H3)";"RH","Regional / National Hospital (H1)"},2,0),
        $D418
      ),
      'Tools &amp; Targets_Guideline'!$C$53:$I$53,
      0
    )
  ),
0))</f>
        <v/>
      </c>
      <c r="AH418" s="102" t="str">
        <f>IF(A418&lt;&gt;"",COUNTIFS('QA Log'!D:D,A418,'QA Log'!M:M,"QQC",'QA Log'!L:L,"2. Hygiene and Sterilization",'QA Log'!Z:Z,"Approved"),"")</f>
        <v/>
      </c>
      <c r="AI418" s="102"/>
      <c r="AJ418" s="102"/>
      <c r="AK418" s="103" t="str">
        <f t="shared" si="17"/>
        <v/>
      </c>
      <c r="AL418" s="102"/>
      <c r="AM418" s="102"/>
      <c r="AN418" s="102"/>
      <c r="AO418" s="106"/>
      <c r="AP418" s="103"/>
      <c r="AQ418" s="102"/>
      <c r="AR418" s="102"/>
      <c r="AS418" s="102"/>
      <c r="AT418" s="107"/>
      <c r="AU418" s="102" t="str">
        <f t="shared" si="18"/>
        <v/>
      </c>
      <c r="AV418" s="102" t="str">
        <f t="shared" si="19"/>
        <v/>
      </c>
      <c r="AW418" s="102" t="str">
        <f t="shared" si="20"/>
        <v/>
      </c>
      <c r="AX418" s="102" t="str">
        <f t="shared" si="21"/>
        <v/>
      </c>
      <c r="AY418" s="107" t="str">
        <f t="shared" si="22"/>
        <v/>
      </c>
      <c r="AZ418" s="108" t="str">
        <f t="shared" si="23"/>
        <v/>
      </c>
      <c r="BA418" s="108" t="str">
        <f t="shared" si="24"/>
        <v/>
      </c>
      <c r="BB418" s="109" t="str">
        <f t="shared" si="25"/>
        <v/>
      </c>
      <c r="BC418" s="108" t="str">
        <f t="shared" si="26"/>
        <v/>
      </c>
      <c r="BD418" s="108" t="str">
        <f t="shared" si="27"/>
        <v/>
      </c>
      <c r="BE418" s="109" t="str">
        <f t="shared" si="28"/>
        <v/>
      </c>
      <c r="BF418" s="110" t="str">
        <f t="shared" si="29"/>
        <v/>
      </c>
      <c r="BG418" s="111"/>
    </row>
    <row r="419" spans="1:59" ht="12.75">
      <c r="A419" s="101"/>
      <c r="B419" s="102"/>
      <c r="C419" s="102" t="e">
        <f t="array" aca="1" ref="C419" ca="1">_xludf.XLOOKUP(A419,'QA Log'!D:D,'QA Log'!F:F,"")</f>
        <v>#NAME?</v>
      </c>
      <c r="D419" s="102"/>
      <c r="E419" s="102" t="e">
        <f t="array" aca="1" ref="E419" ca="1">_xludf.XLOOKUP(A419,'QA Log'!D:D,'QA Log'!G:G,"")</f>
        <v>#NAME?</v>
      </c>
      <c r="F419" s="103"/>
      <c r="G419" s="104"/>
      <c r="H419" s="104"/>
      <c r="I419" s="103" t="str">
        <f t="shared" si="15"/>
        <v/>
      </c>
      <c r="J419" s="102"/>
      <c r="K419" s="102"/>
      <c r="L419" s="119" t="str">
        <f t="array" ref="L419">IF(OR($B419="",$D419=""),"",
IFERROR(
  INDEX(
    'Tools &amp; Targets_Guideline'!$C$54:$I$269,
    MATCH(
      1,
      ('Tools &amp; Targets_Guideline'!$A$54:$A$269=$B419)*
      ('Tools &amp; Targets_Guideline'!$B$54:$B$269="ANC"),
      0
    ),
    MATCH(
      _xludf.IFNA(
        VLOOKUP($D419,{"PH","Provincial Hospital (H2)";"DH","District Hospital (H3)";"RH","Regional / National Hospital (H1)"},2,0),
        $D419
      ),
      'Tools &amp; Targets_Guideline'!$C$53:$I$53,
      0
    )
  ),
0))</f>
        <v/>
      </c>
      <c r="M419" s="102"/>
      <c r="N419" s="119" t="str">
        <f t="array" ref="N419">IF(OR($B419="",$D419=""),"",
IFERROR(
  INDEX(
    'Tools &amp; Targets_Guideline'!$C$54:$I$269,
    MATCH(
      1,
      ('Tools &amp; Targets_Guideline'!$A$54:$A$269=$B419)*
      ('Tools &amp; Targets_Guideline'!$B$54:$B$269="PNC"),
      0
    ),
    MATCH(
      _xludf.IFNA(
        VLOOKUP($D419,{"PH","Provincial Hospital (H2)";"DH","District Hospital (H3)";"RH","Regional / National Hospital (H1)"},2,0),
        $D419
      ),
      'Tools &amp; Targets_Guideline'!$C$53:$I$53,
      0
    )
  ),
0))</f>
        <v/>
      </c>
      <c r="O419" s="102"/>
      <c r="P419" s="119" t="str">
        <f t="array" ref="P419">IF(OR($B419="",$D419=""),"",
IFERROR(
  INDEX(
    'Tools &amp; Targets_Guideline'!$C$54:$I$269,
    MATCH(
      1,
      ('Tools &amp; Targets_Guideline'!$A$54:$A$269=$B419)*
      ('Tools &amp; Targets_Guideline'!$B$54:$B$269="Delivery"),
      0
    ),
    MATCH(
      _xludf.IFNA(
        VLOOKUP($D419,{"PH","Provincial Hospital (H2)";"DH","District Hospital (H3)";"RH","Regional / National Hospital (H1)"},2,0),
        $D419
      ),
      'Tools &amp; Targets_Guideline'!$C$53:$I$53,
      0
    )
  ),
0))</f>
        <v/>
      </c>
      <c r="Q419" s="102"/>
      <c r="R419" s="119" t="str">
        <f t="array" ref="R419">IF(OR($B419="",$D419=""),"",
IFERROR(
  INDEX(
    'Tools &amp; Targets_Guideline'!$C$54:$I$269,
    MATCH(
      1,
      ('Tools &amp; Targets_Guideline'!$A$54:$A$269=$B419)*
      ('Tools &amp; Targets_Guideline'!$B$54:$B$269="TT"),
      0
    ),
    MATCH(
      _xludf.IFNA(
        VLOOKUP($D419,{"PH","Provincial Hospital (H2)";"DH","District Hospital (H3)";"RH","Regional / National Hospital (H1)"},2,0),
        $D419
      ),
      'Tools &amp; Targets_Guideline'!$C$53:$I$53,
      0
    )
  ),
0))</f>
        <v/>
      </c>
      <c r="S419" s="102"/>
      <c r="T419" s="102"/>
      <c r="U419" s="106"/>
      <c r="V419" s="102" t="str">
        <f t="shared" si="16"/>
        <v/>
      </c>
      <c r="W419" s="102"/>
      <c r="X419" s="102"/>
      <c r="Y419" s="119" t="str">
        <f t="array" ref="Y419">IF(OR($B419="",$D419=""),"",
IFERROR(
  INDEX(
    'Tools &amp; Targets_Guideline'!$C$54:$I$269,
    MATCH(
      1,
      ('Tools &amp; Targets_Guideline'!$A$54:$A$269=$B419)*
      ('Tools &amp; Targets_Guideline'!$B$54:$B$269="GM"),
      0
    ),
    MATCH(
      _xludf.IFNA(
        VLOOKUP($D419,{"PH","Provincial Hospital (H2)";"DH","District Hospital (H3)";"RH","Regional / National Hospital (H1)"},2,0),
        $D419
      ),
      'Tools &amp; Targets_Guideline'!$C$53:$I$53,
      0
    )
  ),
0))</f>
        <v/>
      </c>
      <c r="Z419" s="102"/>
      <c r="AA419" s="119" t="str">
        <f t="array" ref="AA419">IF(OR($B419="",$D419=""),"",
IFERROR(
  INDEX(
    'Tools &amp; Targets_Guideline'!$C$54:$I$269,
    MATCH(
      1,
      ('Tools &amp; Targets_Guideline'!$A$54:$A$269=$B419)*
      ('Tools &amp; Targets_Guideline'!$B$54:$B$269="Penta"),
      0
    ),
    MATCH(
      _xludf.IFNA(
        VLOOKUP($D419,{"PH","Provincial Hospital (H2)";"DH","District Hospital (H3)";"RH","Regional / National Hospital (H1)"},2,0),
        $D419
      ),
      'Tools &amp; Targets_Guideline'!$C$53:$I$53,
      0
    )
  ),
0))</f>
        <v/>
      </c>
      <c r="AB419" s="102"/>
      <c r="AC419" s="119" t="str">
        <f t="array" ref="AC419">IF(OR($B419="",$D419=""),"",
IFERROR(
  INDEX(
    'Tools &amp; Targets_Guideline'!$C$54:$I$269,
    MATCH(
      1,
      ('Tools &amp; Targets_Guideline'!$A$54:$A$269=$B419)*
      ('Tools &amp; Targets_Guideline'!$B$54:$B$269="TB"),
      0
    ),
    MATCH(
      _xludf.IFNA(
        VLOOKUP($D419,{"PH","Provincial Hospital (H2)";"DH","District Hospital (H3)";"RH","Regional / National Hospital (H1)"},2,0),
        $D419
      ),
      'Tools &amp; Targets_Guideline'!$C$53:$I$53,
      0
    )
  ),
0))</f>
        <v/>
      </c>
      <c r="AD419" s="102"/>
      <c r="AE419" s="119" t="str">
        <f t="array" ref="AE419">IF(OR($B419="",$D419=""),"",
IFERROR(
  INDEX(
    'Tools &amp; Targets_Guideline'!$C$54:$I$269,
    MATCH(
      1,
      ('Tools &amp; Targets_Guideline'!$A$54:$A$269=$B419)*
      ('Tools &amp; Targets_Guideline'!$B$54:$B$269="U5 Morbidity"),
      0
    ),
    MATCH(
      _xludf.IFNA(
        VLOOKUP($D419,{"PH","Provincial Hospital (H2)";"DH","District Hospital (H3)";"RH","Regional / National Hospital (H1)"},2,0),
        $D419
      ),
      'Tools &amp; Targets_Guideline'!$C$53:$I$53,
      0
    )
  ),
0))</f>
        <v/>
      </c>
      <c r="AF419" s="102"/>
      <c r="AG419" s="119" t="str">
        <f t="array" ref="AG419">IF(OR($B419="",$D419=""),"",
IFERROR(
  INDEX(
    'Tools &amp; Targets_Guideline'!$C$54:$I$269,
    MATCH(
      1,
      ('Tools &amp; Targets_Guideline'!$A$54:$A$269=$B419)*
      ('Tools &amp; Targets_Guideline'!$B$54:$B$269="C-Section"),
      0
    ),
    MATCH(
      _xludf.IFNA(
        VLOOKUP($D419,{"PH","Provincial Hospital (H2)";"DH","District Hospital (H3)";"RH","Regional / National Hospital (H1)"},2,0),
        $D419
      ),
      'Tools &amp; Targets_Guideline'!$C$53:$I$53,
      0
    )
  ),
0))</f>
        <v/>
      </c>
      <c r="AH419" s="102" t="str">
        <f>IF(A419&lt;&gt;"",COUNTIFS('QA Log'!D:D,A419,'QA Log'!M:M,"QQC",'QA Log'!L:L,"2. Hygiene and Sterilization",'QA Log'!Z:Z,"Approved"),"")</f>
        <v/>
      </c>
      <c r="AI419" s="102"/>
      <c r="AJ419" s="102"/>
      <c r="AK419" s="103" t="str">
        <f t="shared" si="17"/>
        <v/>
      </c>
      <c r="AL419" s="102"/>
      <c r="AM419" s="102"/>
      <c r="AN419" s="102"/>
      <c r="AO419" s="106"/>
      <c r="AP419" s="103"/>
      <c r="AQ419" s="102"/>
      <c r="AR419" s="102"/>
      <c r="AS419" s="102"/>
      <c r="AT419" s="107"/>
      <c r="AU419" s="102" t="str">
        <f t="shared" si="18"/>
        <v/>
      </c>
      <c r="AV419" s="102" t="str">
        <f t="shared" si="19"/>
        <v/>
      </c>
      <c r="AW419" s="102" t="str">
        <f t="shared" si="20"/>
        <v/>
      </c>
      <c r="AX419" s="102" t="str">
        <f t="shared" si="21"/>
        <v/>
      </c>
      <c r="AY419" s="107" t="str">
        <f t="shared" si="22"/>
        <v/>
      </c>
      <c r="AZ419" s="108" t="str">
        <f t="shared" si="23"/>
        <v/>
      </c>
      <c r="BA419" s="108" t="str">
        <f t="shared" si="24"/>
        <v/>
      </c>
      <c r="BB419" s="109" t="str">
        <f t="shared" si="25"/>
        <v/>
      </c>
      <c r="BC419" s="108" t="str">
        <f t="shared" si="26"/>
        <v/>
      </c>
      <c r="BD419" s="108" t="str">
        <f t="shared" si="27"/>
        <v/>
      </c>
      <c r="BE419" s="109" t="str">
        <f t="shared" si="28"/>
        <v/>
      </c>
      <c r="BF419" s="110" t="str">
        <f t="shared" si="29"/>
        <v/>
      </c>
      <c r="BG419" s="111"/>
    </row>
    <row r="420" spans="1:59" ht="12.75">
      <c r="A420" s="101"/>
      <c r="B420" s="102"/>
      <c r="C420" s="102" t="e">
        <f t="array" aca="1" ref="C420" ca="1">_xludf.XLOOKUP(A420,'QA Log'!D:D,'QA Log'!F:F,"")</f>
        <v>#NAME?</v>
      </c>
      <c r="D420" s="102"/>
      <c r="E420" s="102" t="e">
        <f t="array" aca="1" ref="E420" ca="1">_xludf.XLOOKUP(A420,'QA Log'!D:D,'QA Log'!G:G,"")</f>
        <v>#NAME?</v>
      </c>
      <c r="F420" s="103"/>
      <c r="G420" s="104"/>
      <c r="H420" s="104"/>
      <c r="I420" s="103" t="str">
        <f t="shared" si="15"/>
        <v/>
      </c>
      <c r="J420" s="102"/>
      <c r="K420" s="102"/>
      <c r="L420" s="119" t="str">
        <f t="array" ref="L420">IF(OR($B420="",$D420=""),"",
IFERROR(
  INDEX(
    'Tools &amp; Targets_Guideline'!$C$54:$I$269,
    MATCH(
      1,
      ('Tools &amp; Targets_Guideline'!$A$54:$A$269=$B420)*
      ('Tools &amp; Targets_Guideline'!$B$54:$B$269="ANC"),
      0
    ),
    MATCH(
      _xludf.IFNA(
        VLOOKUP($D420,{"PH","Provincial Hospital (H2)";"DH","District Hospital (H3)";"RH","Regional / National Hospital (H1)"},2,0),
        $D420
      ),
      'Tools &amp; Targets_Guideline'!$C$53:$I$53,
      0
    )
  ),
0))</f>
        <v/>
      </c>
      <c r="M420" s="102"/>
      <c r="N420" s="119" t="str">
        <f t="array" ref="N420">IF(OR($B420="",$D420=""),"",
IFERROR(
  INDEX(
    'Tools &amp; Targets_Guideline'!$C$54:$I$269,
    MATCH(
      1,
      ('Tools &amp; Targets_Guideline'!$A$54:$A$269=$B420)*
      ('Tools &amp; Targets_Guideline'!$B$54:$B$269="PNC"),
      0
    ),
    MATCH(
      _xludf.IFNA(
        VLOOKUP($D420,{"PH","Provincial Hospital (H2)";"DH","District Hospital (H3)";"RH","Regional / National Hospital (H1)"},2,0),
        $D420
      ),
      'Tools &amp; Targets_Guideline'!$C$53:$I$53,
      0
    )
  ),
0))</f>
        <v/>
      </c>
      <c r="O420" s="102"/>
      <c r="P420" s="119" t="str">
        <f t="array" ref="P420">IF(OR($B420="",$D420=""),"",
IFERROR(
  INDEX(
    'Tools &amp; Targets_Guideline'!$C$54:$I$269,
    MATCH(
      1,
      ('Tools &amp; Targets_Guideline'!$A$54:$A$269=$B420)*
      ('Tools &amp; Targets_Guideline'!$B$54:$B$269="Delivery"),
      0
    ),
    MATCH(
      _xludf.IFNA(
        VLOOKUP($D420,{"PH","Provincial Hospital (H2)";"DH","District Hospital (H3)";"RH","Regional / National Hospital (H1)"},2,0),
        $D420
      ),
      'Tools &amp; Targets_Guideline'!$C$53:$I$53,
      0
    )
  ),
0))</f>
        <v/>
      </c>
      <c r="Q420" s="102"/>
      <c r="R420" s="119" t="str">
        <f t="array" ref="R420">IF(OR($B420="",$D420=""),"",
IFERROR(
  INDEX(
    'Tools &amp; Targets_Guideline'!$C$54:$I$269,
    MATCH(
      1,
      ('Tools &amp; Targets_Guideline'!$A$54:$A$269=$B420)*
      ('Tools &amp; Targets_Guideline'!$B$54:$B$269="TT"),
      0
    ),
    MATCH(
      _xludf.IFNA(
        VLOOKUP($D420,{"PH","Provincial Hospital (H2)";"DH","District Hospital (H3)";"RH","Regional / National Hospital (H1)"},2,0),
        $D420
      ),
      'Tools &amp; Targets_Guideline'!$C$53:$I$53,
      0
    )
  ),
0))</f>
        <v/>
      </c>
      <c r="S420" s="102"/>
      <c r="T420" s="102"/>
      <c r="U420" s="106"/>
      <c r="V420" s="102" t="str">
        <f t="shared" si="16"/>
        <v/>
      </c>
      <c r="W420" s="102"/>
      <c r="X420" s="102"/>
      <c r="Y420" s="119" t="str">
        <f t="array" ref="Y420">IF(OR($B420="",$D420=""),"",
IFERROR(
  INDEX(
    'Tools &amp; Targets_Guideline'!$C$54:$I$269,
    MATCH(
      1,
      ('Tools &amp; Targets_Guideline'!$A$54:$A$269=$B420)*
      ('Tools &amp; Targets_Guideline'!$B$54:$B$269="GM"),
      0
    ),
    MATCH(
      _xludf.IFNA(
        VLOOKUP($D420,{"PH","Provincial Hospital (H2)";"DH","District Hospital (H3)";"RH","Regional / National Hospital (H1)"},2,0),
        $D420
      ),
      'Tools &amp; Targets_Guideline'!$C$53:$I$53,
      0
    )
  ),
0))</f>
        <v/>
      </c>
      <c r="Z420" s="102"/>
      <c r="AA420" s="119" t="str">
        <f t="array" ref="AA420">IF(OR($B420="",$D420=""),"",
IFERROR(
  INDEX(
    'Tools &amp; Targets_Guideline'!$C$54:$I$269,
    MATCH(
      1,
      ('Tools &amp; Targets_Guideline'!$A$54:$A$269=$B420)*
      ('Tools &amp; Targets_Guideline'!$B$54:$B$269="Penta"),
      0
    ),
    MATCH(
      _xludf.IFNA(
        VLOOKUP($D420,{"PH","Provincial Hospital (H2)";"DH","District Hospital (H3)";"RH","Regional / National Hospital (H1)"},2,0),
        $D420
      ),
      'Tools &amp; Targets_Guideline'!$C$53:$I$53,
      0
    )
  ),
0))</f>
        <v/>
      </c>
      <c r="AB420" s="102"/>
      <c r="AC420" s="119" t="str">
        <f t="array" ref="AC420">IF(OR($B420="",$D420=""),"",
IFERROR(
  INDEX(
    'Tools &amp; Targets_Guideline'!$C$54:$I$269,
    MATCH(
      1,
      ('Tools &amp; Targets_Guideline'!$A$54:$A$269=$B420)*
      ('Tools &amp; Targets_Guideline'!$B$54:$B$269="TB"),
      0
    ),
    MATCH(
      _xludf.IFNA(
        VLOOKUP($D420,{"PH","Provincial Hospital (H2)";"DH","District Hospital (H3)";"RH","Regional / National Hospital (H1)"},2,0),
        $D420
      ),
      'Tools &amp; Targets_Guideline'!$C$53:$I$53,
      0
    )
  ),
0))</f>
        <v/>
      </c>
      <c r="AD420" s="102"/>
      <c r="AE420" s="119" t="str">
        <f t="array" ref="AE420">IF(OR($B420="",$D420=""),"",
IFERROR(
  INDEX(
    'Tools &amp; Targets_Guideline'!$C$54:$I$269,
    MATCH(
      1,
      ('Tools &amp; Targets_Guideline'!$A$54:$A$269=$B420)*
      ('Tools &amp; Targets_Guideline'!$B$54:$B$269="U5 Morbidity"),
      0
    ),
    MATCH(
      _xludf.IFNA(
        VLOOKUP($D420,{"PH","Provincial Hospital (H2)";"DH","District Hospital (H3)";"RH","Regional / National Hospital (H1)"},2,0),
        $D420
      ),
      'Tools &amp; Targets_Guideline'!$C$53:$I$53,
      0
    )
  ),
0))</f>
        <v/>
      </c>
      <c r="AF420" s="102"/>
      <c r="AG420" s="119" t="str">
        <f t="array" ref="AG420">IF(OR($B420="",$D420=""),"",
IFERROR(
  INDEX(
    'Tools &amp; Targets_Guideline'!$C$54:$I$269,
    MATCH(
      1,
      ('Tools &amp; Targets_Guideline'!$A$54:$A$269=$B420)*
      ('Tools &amp; Targets_Guideline'!$B$54:$B$269="C-Section"),
      0
    ),
    MATCH(
      _xludf.IFNA(
        VLOOKUP($D420,{"PH","Provincial Hospital (H2)";"DH","District Hospital (H3)";"RH","Regional / National Hospital (H1)"},2,0),
        $D420
      ),
      'Tools &amp; Targets_Guideline'!$C$53:$I$53,
      0
    )
  ),
0))</f>
        <v/>
      </c>
      <c r="AH420" s="102" t="str">
        <f>IF(A420&lt;&gt;"",COUNTIFS('QA Log'!D:D,A420,'QA Log'!M:M,"QQC",'QA Log'!L:L,"2. Hygiene and Sterilization",'QA Log'!Z:Z,"Approved"),"")</f>
        <v/>
      </c>
      <c r="AI420" s="102"/>
      <c r="AJ420" s="102"/>
      <c r="AK420" s="103" t="str">
        <f t="shared" si="17"/>
        <v/>
      </c>
      <c r="AL420" s="102"/>
      <c r="AM420" s="102"/>
      <c r="AN420" s="102"/>
      <c r="AO420" s="106"/>
      <c r="AP420" s="103"/>
      <c r="AQ420" s="102"/>
      <c r="AR420" s="102"/>
      <c r="AS420" s="102"/>
      <c r="AT420" s="107"/>
      <c r="AU420" s="102" t="str">
        <f t="shared" si="18"/>
        <v/>
      </c>
      <c r="AV420" s="102" t="str">
        <f t="shared" si="19"/>
        <v/>
      </c>
      <c r="AW420" s="102" t="str">
        <f t="shared" si="20"/>
        <v/>
      </c>
      <c r="AX420" s="102" t="str">
        <f t="shared" si="21"/>
        <v/>
      </c>
      <c r="AY420" s="107" t="str">
        <f t="shared" si="22"/>
        <v/>
      </c>
      <c r="AZ420" s="108" t="str">
        <f t="shared" si="23"/>
        <v/>
      </c>
      <c r="BA420" s="108" t="str">
        <f t="shared" si="24"/>
        <v/>
      </c>
      <c r="BB420" s="109" t="str">
        <f t="shared" si="25"/>
        <v/>
      </c>
      <c r="BC420" s="108" t="str">
        <f t="shared" si="26"/>
        <v/>
      </c>
      <c r="BD420" s="108" t="str">
        <f t="shared" si="27"/>
        <v/>
      </c>
      <c r="BE420" s="109" t="str">
        <f t="shared" si="28"/>
        <v/>
      </c>
      <c r="BF420" s="110" t="str">
        <f t="shared" si="29"/>
        <v/>
      </c>
      <c r="BG420" s="111"/>
    </row>
    <row r="421" spans="1:59" ht="12.75">
      <c r="A421" s="101"/>
      <c r="B421" s="102"/>
      <c r="C421" s="102" t="e">
        <f t="array" aca="1" ref="C421" ca="1">_xludf.XLOOKUP(A421,'QA Log'!D:D,'QA Log'!F:F,"")</f>
        <v>#NAME?</v>
      </c>
      <c r="D421" s="102"/>
      <c r="E421" s="102" t="e">
        <f t="array" aca="1" ref="E421" ca="1">_xludf.XLOOKUP(A421,'QA Log'!D:D,'QA Log'!G:G,"")</f>
        <v>#NAME?</v>
      </c>
      <c r="F421" s="103"/>
      <c r="G421" s="104"/>
      <c r="H421" s="104"/>
      <c r="I421" s="103" t="str">
        <f t="shared" si="15"/>
        <v/>
      </c>
      <c r="J421" s="102"/>
      <c r="K421" s="102"/>
      <c r="L421" s="119" t="str">
        <f t="array" ref="L421">IF(OR($B421="",$D421=""),"",
IFERROR(
  INDEX(
    'Tools &amp; Targets_Guideline'!$C$54:$I$269,
    MATCH(
      1,
      ('Tools &amp; Targets_Guideline'!$A$54:$A$269=$B421)*
      ('Tools &amp; Targets_Guideline'!$B$54:$B$269="ANC"),
      0
    ),
    MATCH(
      _xludf.IFNA(
        VLOOKUP($D421,{"PH","Provincial Hospital (H2)";"DH","District Hospital (H3)";"RH","Regional / National Hospital (H1)"},2,0),
        $D421
      ),
      'Tools &amp; Targets_Guideline'!$C$53:$I$53,
      0
    )
  ),
0))</f>
        <v/>
      </c>
      <c r="M421" s="102"/>
      <c r="N421" s="119" t="str">
        <f t="array" ref="N421">IF(OR($B421="",$D421=""),"",
IFERROR(
  INDEX(
    'Tools &amp; Targets_Guideline'!$C$54:$I$269,
    MATCH(
      1,
      ('Tools &amp; Targets_Guideline'!$A$54:$A$269=$B421)*
      ('Tools &amp; Targets_Guideline'!$B$54:$B$269="PNC"),
      0
    ),
    MATCH(
      _xludf.IFNA(
        VLOOKUP($D421,{"PH","Provincial Hospital (H2)";"DH","District Hospital (H3)";"RH","Regional / National Hospital (H1)"},2,0),
        $D421
      ),
      'Tools &amp; Targets_Guideline'!$C$53:$I$53,
      0
    )
  ),
0))</f>
        <v/>
      </c>
      <c r="O421" s="102"/>
      <c r="P421" s="119" t="str">
        <f t="array" ref="P421">IF(OR($B421="",$D421=""),"",
IFERROR(
  INDEX(
    'Tools &amp; Targets_Guideline'!$C$54:$I$269,
    MATCH(
      1,
      ('Tools &amp; Targets_Guideline'!$A$54:$A$269=$B421)*
      ('Tools &amp; Targets_Guideline'!$B$54:$B$269="Delivery"),
      0
    ),
    MATCH(
      _xludf.IFNA(
        VLOOKUP($D421,{"PH","Provincial Hospital (H2)";"DH","District Hospital (H3)";"RH","Regional / National Hospital (H1)"},2,0),
        $D421
      ),
      'Tools &amp; Targets_Guideline'!$C$53:$I$53,
      0
    )
  ),
0))</f>
        <v/>
      </c>
      <c r="Q421" s="102"/>
      <c r="R421" s="119" t="str">
        <f t="array" ref="R421">IF(OR($B421="",$D421=""),"",
IFERROR(
  INDEX(
    'Tools &amp; Targets_Guideline'!$C$54:$I$269,
    MATCH(
      1,
      ('Tools &amp; Targets_Guideline'!$A$54:$A$269=$B421)*
      ('Tools &amp; Targets_Guideline'!$B$54:$B$269="TT"),
      0
    ),
    MATCH(
      _xludf.IFNA(
        VLOOKUP($D421,{"PH","Provincial Hospital (H2)";"DH","District Hospital (H3)";"RH","Regional / National Hospital (H1)"},2,0),
        $D421
      ),
      'Tools &amp; Targets_Guideline'!$C$53:$I$53,
      0
    )
  ),
0))</f>
        <v/>
      </c>
      <c r="S421" s="102"/>
      <c r="T421" s="102"/>
      <c r="U421" s="106"/>
      <c r="V421" s="102" t="str">
        <f t="shared" si="16"/>
        <v/>
      </c>
      <c r="W421" s="102"/>
      <c r="X421" s="102"/>
      <c r="Y421" s="119" t="str">
        <f t="array" ref="Y421">IF(OR($B421="",$D421=""),"",
IFERROR(
  INDEX(
    'Tools &amp; Targets_Guideline'!$C$54:$I$269,
    MATCH(
      1,
      ('Tools &amp; Targets_Guideline'!$A$54:$A$269=$B421)*
      ('Tools &amp; Targets_Guideline'!$B$54:$B$269="GM"),
      0
    ),
    MATCH(
      _xludf.IFNA(
        VLOOKUP($D421,{"PH","Provincial Hospital (H2)";"DH","District Hospital (H3)";"RH","Regional / National Hospital (H1)"},2,0),
        $D421
      ),
      'Tools &amp; Targets_Guideline'!$C$53:$I$53,
      0
    )
  ),
0))</f>
        <v/>
      </c>
      <c r="Z421" s="102"/>
      <c r="AA421" s="119" t="str">
        <f t="array" ref="AA421">IF(OR($B421="",$D421=""),"",
IFERROR(
  INDEX(
    'Tools &amp; Targets_Guideline'!$C$54:$I$269,
    MATCH(
      1,
      ('Tools &amp; Targets_Guideline'!$A$54:$A$269=$B421)*
      ('Tools &amp; Targets_Guideline'!$B$54:$B$269="Penta"),
      0
    ),
    MATCH(
      _xludf.IFNA(
        VLOOKUP($D421,{"PH","Provincial Hospital (H2)";"DH","District Hospital (H3)";"RH","Regional / National Hospital (H1)"},2,0),
        $D421
      ),
      'Tools &amp; Targets_Guideline'!$C$53:$I$53,
      0
    )
  ),
0))</f>
        <v/>
      </c>
      <c r="AB421" s="102"/>
      <c r="AC421" s="119" t="str">
        <f t="array" ref="AC421">IF(OR($B421="",$D421=""),"",
IFERROR(
  INDEX(
    'Tools &amp; Targets_Guideline'!$C$54:$I$269,
    MATCH(
      1,
      ('Tools &amp; Targets_Guideline'!$A$54:$A$269=$B421)*
      ('Tools &amp; Targets_Guideline'!$B$54:$B$269="TB"),
      0
    ),
    MATCH(
      _xludf.IFNA(
        VLOOKUP($D421,{"PH","Provincial Hospital (H2)";"DH","District Hospital (H3)";"RH","Regional / National Hospital (H1)"},2,0),
        $D421
      ),
      'Tools &amp; Targets_Guideline'!$C$53:$I$53,
      0
    )
  ),
0))</f>
        <v/>
      </c>
      <c r="AD421" s="102"/>
      <c r="AE421" s="119" t="str">
        <f t="array" ref="AE421">IF(OR($B421="",$D421=""),"",
IFERROR(
  INDEX(
    'Tools &amp; Targets_Guideline'!$C$54:$I$269,
    MATCH(
      1,
      ('Tools &amp; Targets_Guideline'!$A$54:$A$269=$B421)*
      ('Tools &amp; Targets_Guideline'!$B$54:$B$269="U5 Morbidity"),
      0
    ),
    MATCH(
      _xludf.IFNA(
        VLOOKUP($D421,{"PH","Provincial Hospital (H2)";"DH","District Hospital (H3)";"RH","Regional / National Hospital (H1)"},2,0),
        $D421
      ),
      'Tools &amp; Targets_Guideline'!$C$53:$I$53,
      0
    )
  ),
0))</f>
        <v/>
      </c>
      <c r="AF421" s="102"/>
      <c r="AG421" s="119" t="str">
        <f t="array" ref="AG421">IF(OR($B421="",$D421=""),"",
IFERROR(
  INDEX(
    'Tools &amp; Targets_Guideline'!$C$54:$I$269,
    MATCH(
      1,
      ('Tools &amp; Targets_Guideline'!$A$54:$A$269=$B421)*
      ('Tools &amp; Targets_Guideline'!$B$54:$B$269="C-Section"),
      0
    ),
    MATCH(
      _xludf.IFNA(
        VLOOKUP($D421,{"PH","Provincial Hospital (H2)";"DH","District Hospital (H3)";"RH","Regional / National Hospital (H1)"},2,0),
        $D421
      ),
      'Tools &amp; Targets_Guideline'!$C$53:$I$53,
      0
    )
  ),
0))</f>
        <v/>
      </c>
      <c r="AH421" s="102" t="str">
        <f>IF(A421&lt;&gt;"",COUNTIFS('QA Log'!D:D,A421,'QA Log'!M:M,"QQC",'QA Log'!L:L,"2. Hygiene and Sterilization",'QA Log'!Z:Z,"Approved"),"")</f>
        <v/>
      </c>
      <c r="AI421" s="102"/>
      <c r="AJ421" s="102"/>
      <c r="AK421" s="103" t="str">
        <f t="shared" si="17"/>
        <v/>
      </c>
      <c r="AL421" s="102"/>
      <c r="AM421" s="102"/>
      <c r="AN421" s="102"/>
      <c r="AO421" s="106"/>
      <c r="AP421" s="103"/>
      <c r="AQ421" s="102"/>
      <c r="AR421" s="102"/>
      <c r="AS421" s="102"/>
      <c r="AT421" s="107"/>
      <c r="AU421" s="102" t="str">
        <f t="shared" si="18"/>
        <v/>
      </c>
      <c r="AV421" s="102" t="str">
        <f t="shared" si="19"/>
        <v/>
      </c>
      <c r="AW421" s="102" t="str">
        <f t="shared" si="20"/>
        <v/>
      </c>
      <c r="AX421" s="102" t="str">
        <f t="shared" si="21"/>
        <v/>
      </c>
      <c r="AY421" s="107" t="str">
        <f t="shared" si="22"/>
        <v/>
      </c>
      <c r="AZ421" s="108" t="str">
        <f t="shared" si="23"/>
        <v/>
      </c>
      <c r="BA421" s="108" t="str">
        <f t="shared" si="24"/>
        <v/>
      </c>
      <c r="BB421" s="109" t="str">
        <f t="shared" si="25"/>
        <v/>
      </c>
      <c r="BC421" s="108" t="str">
        <f t="shared" si="26"/>
        <v/>
      </c>
      <c r="BD421" s="108" t="str">
        <f t="shared" si="27"/>
        <v/>
      </c>
      <c r="BE421" s="109" t="str">
        <f t="shared" si="28"/>
        <v/>
      </c>
      <c r="BF421" s="110" t="str">
        <f t="shared" si="29"/>
        <v/>
      </c>
      <c r="BG421" s="111"/>
    </row>
    <row r="422" spans="1:59" ht="12.75">
      <c r="A422" s="101"/>
      <c r="B422" s="102"/>
      <c r="C422" s="102" t="e">
        <f t="array" aca="1" ref="C422" ca="1">_xludf.XLOOKUP(A422,'QA Log'!D:D,'QA Log'!F:F,"")</f>
        <v>#NAME?</v>
      </c>
      <c r="D422" s="102"/>
      <c r="E422" s="102" t="e">
        <f t="array" aca="1" ref="E422" ca="1">_xludf.XLOOKUP(A422,'QA Log'!D:D,'QA Log'!G:G,"")</f>
        <v>#NAME?</v>
      </c>
      <c r="F422" s="103"/>
      <c r="G422" s="104"/>
      <c r="H422" s="104"/>
      <c r="I422" s="103" t="str">
        <f t="shared" si="15"/>
        <v/>
      </c>
      <c r="J422" s="102"/>
      <c r="K422" s="102"/>
      <c r="L422" s="119" t="str">
        <f t="array" ref="L422">IF(OR($B422="",$D422=""),"",
IFERROR(
  INDEX(
    'Tools &amp; Targets_Guideline'!$C$54:$I$269,
    MATCH(
      1,
      ('Tools &amp; Targets_Guideline'!$A$54:$A$269=$B422)*
      ('Tools &amp; Targets_Guideline'!$B$54:$B$269="ANC"),
      0
    ),
    MATCH(
      _xludf.IFNA(
        VLOOKUP($D422,{"PH","Provincial Hospital (H2)";"DH","District Hospital (H3)";"RH","Regional / National Hospital (H1)"},2,0),
        $D422
      ),
      'Tools &amp; Targets_Guideline'!$C$53:$I$53,
      0
    )
  ),
0))</f>
        <v/>
      </c>
      <c r="M422" s="102"/>
      <c r="N422" s="119" t="str">
        <f t="array" ref="N422">IF(OR($B422="",$D422=""),"",
IFERROR(
  INDEX(
    'Tools &amp; Targets_Guideline'!$C$54:$I$269,
    MATCH(
      1,
      ('Tools &amp; Targets_Guideline'!$A$54:$A$269=$B422)*
      ('Tools &amp; Targets_Guideline'!$B$54:$B$269="PNC"),
      0
    ),
    MATCH(
      _xludf.IFNA(
        VLOOKUP($D422,{"PH","Provincial Hospital (H2)";"DH","District Hospital (H3)";"RH","Regional / National Hospital (H1)"},2,0),
        $D422
      ),
      'Tools &amp; Targets_Guideline'!$C$53:$I$53,
      0
    )
  ),
0))</f>
        <v/>
      </c>
      <c r="O422" s="102"/>
      <c r="P422" s="119" t="str">
        <f t="array" ref="P422">IF(OR($B422="",$D422=""),"",
IFERROR(
  INDEX(
    'Tools &amp; Targets_Guideline'!$C$54:$I$269,
    MATCH(
      1,
      ('Tools &amp; Targets_Guideline'!$A$54:$A$269=$B422)*
      ('Tools &amp; Targets_Guideline'!$B$54:$B$269="Delivery"),
      0
    ),
    MATCH(
      _xludf.IFNA(
        VLOOKUP($D422,{"PH","Provincial Hospital (H2)";"DH","District Hospital (H3)";"RH","Regional / National Hospital (H1)"},2,0),
        $D422
      ),
      'Tools &amp; Targets_Guideline'!$C$53:$I$53,
      0
    )
  ),
0))</f>
        <v/>
      </c>
      <c r="Q422" s="102"/>
      <c r="R422" s="119" t="str">
        <f t="array" ref="R422">IF(OR($B422="",$D422=""),"",
IFERROR(
  INDEX(
    'Tools &amp; Targets_Guideline'!$C$54:$I$269,
    MATCH(
      1,
      ('Tools &amp; Targets_Guideline'!$A$54:$A$269=$B422)*
      ('Tools &amp; Targets_Guideline'!$B$54:$B$269="TT"),
      0
    ),
    MATCH(
      _xludf.IFNA(
        VLOOKUP($D422,{"PH","Provincial Hospital (H2)";"DH","District Hospital (H3)";"RH","Regional / National Hospital (H1)"},2,0),
        $D422
      ),
      'Tools &amp; Targets_Guideline'!$C$53:$I$53,
      0
    )
  ),
0))</f>
        <v/>
      </c>
      <c r="S422" s="102"/>
      <c r="T422" s="102"/>
      <c r="U422" s="106"/>
      <c r="V422" s="102" t="str">
        <f t="shared" si="16"/>
        <v/>
      </c>
      <c r="W422" s="102"/>
      <c r="X422" s="102"/>
      <c r="Y422" s="119" t="str">
        <f t="array" ref="Y422">IF(OR($B422="",$D422=""),"",
IFERROR(
  INDEX(
    'Tools &amp; Targets_Guideline'!$C$54:$I$269,
    MATCH(
      1,
      ('Tools &amp; Targets_Guideline'!$A$54:$A$269=$B422)*
      ('Tools &amp; Targets_Guideline'!$B$54:$B$269="GM"),
      0
    ),
    MATCH(
      _xludf.IFNA(
        VLOOKUP($D422,{"PH","Provincial Hospital (H2)";"DH","District Hospital (H3)";"RH","Regional / National Hospital (H1)"},2,0),
        $D422
      ),
      'Tools &amp; Targets_Guideline'!$C$53:$I$53,
      0
    )
  ),
0))</f>
        <v/>
      </c>
      <c r="Z422" s="102"/>
      <c r="AA422" s="119" t="str">
        <f t="array" ref="AA422">IF(OR($B422="",$D422=""),"",
IFERROR(
  INDEX(
    'Tools &amp; Targets_Guideline'!$C$54:$I$269,
    MATCH(
      1,
      ('Tools &amp; Targets_Guideline'!$A$54:$A$269=$B422)*
      ('Tools &amp; Targets_Guideline'!$B$54:$B$269="Penta"),
      0
    ),
    MATCH(
      _xludf.IFNA(
        VLOOKUP($D422,{"PH","Provincial Hospital (H2)";"DH","District Hospital (H3)";"RH","Regional / National Hospital (H1)"},2,0),
        $D422
      ),
      'Tools &amp; Targets_Guideline'!$C$53:$I$53,
      0
    )
  ),
0))</f>
        <v/>
      </c>
      <c r="AB422" s="102"/>
      <c r="AC422" s="119" t="str">
        <f t="array" ref="AC422">IF(OR($B422="",$D422=""),"",
IFERROR(
  INDEX(
    'Tools &amp; Targets_Guideline'!$C$54:$I$269,
    MATCH(
      1,
      ('Tools &amp; Targets_Guideline'!$A$54:$A$269=$B422)*
      ('Tools &amp; Targets_Guideline'!$B$54:$B$269="TB"),
      0
    ),
    MATCH(
      _xludf.IFNA(
        VLOOKUP($D422,{"PH","Provincial Hospital (H2)";"DH","District Hospital (H3)";"RH","Regional / National Hospital (H1)"},2,0),
        $D422
      ),
      'Tools &amp; Targets_Guideline'!$C$53:$I$53,
      0
    )
  ),
0))</f>
        <v/>
      </c>
      <c r="AD422" s="102"/>
      <c r="AE422" s="119" t="str">
        <f t="array" ref="AE422">IF(OR($B422="",$D422=""),"",
IFERROR(
  INDEX(
    'Tools &amp; Targets_Guideline'!$C$54:$I$269,
    MATCH(
      1,
      ('Tools &amp; Targets_Guideline'!$A$54:$A$269=$B422)*
      ('Tools &amp; Targets_Guideline'!$B$54:$B$269="U5 Morbidity"),
      0
    ),
    MATCH(
      _xludf.IFNA(
        VLOOKUP($D422,{"PH","Provincial Hospital (H2)";"DH","District Hospital (H3)";"RH","Regional / National Hospital (H1)"},2,0),
        $D422
      ),
      'Tools &amp; Targets_Guideline'!$C$53:$I$53,
      0
    )
  ),
0))</f>
        <v/>
      </c>
      <c r="AF422" s="102"/>
      <c r="AG422" s="119" t="str">
        <f t="array" ref="AG422">IF(OR($B422="",$D422=""),"",
IFERROR(
  INDEX(
    'Tools &amp; Targets_Guideline'!$C$54:$I$269,
    MATCH(
      1,
      ('Tools &amp; Targets_Guideline'!$A$54:$A$269=$B422)*
      ('Tools &amp; Targets_Guideline'!$B$54:$B$269="C-Section"),
      0
    ),
    MATCH(
      _xludf.IFNA(
        VLOOKUP($D422,{"PH","Provincial Hospital (H2)";"DH","District Hospital (H3)";"RH","Regional / National Hospital (H1)"},2,0),
        $D422
      ),
      'Tools &amp; Targets_Guideline'!$C$53:$I$53,
      0
    )
  ),
0))</f>
        <v/>
      </c>
      <c r="AH422" s="102" t="str">
        <f>IF(A422&lt;&gt;"",COUNTIFS('QA Log'!D:D,A422,'QA Log'!M:M,"QQC",'QA Log'!L:L,"2. Hygiene and Sterilization",'QA Log'!Z:Z,"Approved"),"")</f>
        <v/>
      </c>
      <c r="AI422" s="102"/>
      <c r="AJ422" s="102"/>
      <c r="AK422" s="103" t="str">
        <f t="shared" si="17"/>
        <v/>
      </c>
      <c r="AL422" s="102"/>
      <c r="AM422" s="102"/>
      <c r="AN422" s="102"/>
      <c r="AO422" s="106"/>
      <c r="AP422" s="103"/>
      <c r="AQ422" s="102"/>
      <c r="AR422" s="102"/>
      <c r="AS422" s="102"/>
      <c r="AT422" s="107"/>
      <c r="AU422" s="102" t="str">
        <f t="shared" si="18"/>
        <v/>
      </c>
      <c r="AV422" s="102" t="str">
        <f t="shared" si="19"/>
        <v/>
      </c>
      <c r="AW422" s="102" t="str">
        <f t="shared" si="20"/>
        <v/>
      </c>
      <c r="AX422" s="102" t="str">
        <f t="shared" si="21"/>
        <v/>
      </c>
      <c r="AY422" s="107" t="str">
        <f t="shared" si="22"/>
        <v/>
      </c>
      <c r="AZ422" s="108" t="str">
        <f t="shared" si="23"/>
        <v/>
      </c>
      <c r="BA422" s="108" t="str">
        <f t="shared" si="24"/>
        <v/>
      </c>
      <c r="BB422" s="109" t="str">
        <f t="shared" si="25"/>
        <v/>
      </c>
      <c r="BC422" s="108" t="str">
        <f t="shared" si="26"/>
        <v/>
      </c>
      <c r="BD422" s="108" t="str">
        <f t="shared" si="27"/>
        <v/>
      </c>
      <c r="BE422" s="109" t="str">
        <f t="shared" si="28"/>
        <v/>
      </c>
      <c r="BF422" s="110" t="str">
        <f t="shared" si="29"/>
        <v/>
      </c>
      <c r="BG422" s="111"/>
    </row>
    <row r="423" spans="1:59" ht="12.75">
      <c r="A423" s="101"/>
      <c r="B423" s="102"/>
      <c r="C423" s="102" t="e">
        <f t="array" aca="1" ref="C423" ca="1">_xludf.XLOOKUP(A423,'QA Log'!D:D,'QA Log'!F:F,"")</f>
        <v>#NAME?</v>
      </c>
      <c r="D423" s="102"/>
      <c r="E423" s="102" t="e">
        <f t="array" aca="1" ref="E423" ca="1">_xludf.XLOOKUP(A423,'QA Log'!D:D,'QA Log'!G:G,"")</f>
        <v>#NAME?</v>
      </c>
      <c r="F423" s="103"/>
      <c r="G423" s="104"/>
      <c r="H423" s="104"/>
      <c r="I423" s="103" t="str">
        <f t="shared" si="15"/>
        <v/>
      </c>
      <c r="J423" s="102"/>
      <c r="K423" s="102"/>
      <c r="L423" s="119" t="str">
        <f t="array" ref="L423">IF(OR($B423="",$D423=""),"",
IFERROR(
  INDEX(
    'Tools &amp; Targets_Guideline'!$C$54:$I$269,
    MATCH(
      1,
      ('Tools &amp; Targets_Guideline'!$A$54:$A$269=$B423)*
      ('Tools &amp; Targets_Guideline'!$B$54:$B$269="ANC"),
      0
    ),
    MATCH(
      _xludf.IFNA(
        VLOOKUP($D423,{"PH","Provincial Hospital (H2)";"DH","District Hospital (H3)";"RH","Regional / National Hospital (H1)"},2,0),
        $D423
      ),
      'Tools &amp; Targets_Guideline'!$C$53:$I$53,
      0
    )
  ),
0))</f>
        <v/>
      </c>
      <c r="M423" s="102"/>
      <c r="N423" s="119" t="str">
        <f t="array" ref="N423">IF(OR($B423="",$D423=""),"",
IFERROR(
  INDEX(
    'Tools &amp; Targets_Guideline'!$C$54:$I$269,
    MATCH(
      1,
      ('Tools &amp; Targets_Guideline'!$A$54:$A$269=$B423)*
      ('Tools &amp; Targets_Guideline'!$B$54:$B$269="PNC"),
      0
    ),
    MATCH(
      _xludf.IFNA(
        VLOOKUP($D423,{"PH","Provincial Hospital (H2)";"DH","District Hospital (H3)";"RH","Regional / National Hospital (H1)"},2,0),
        $D423
      ),
      'Tools &amp; Targets_Guideline'!$C$53:$I$53,
      0
    )
  ),
0))</f>
        <v/>
      </c>
      <c r="O423" s="102"/>
      <c r="P423" s="119" t="str">
        <f t="array" ref="P423">IF(OR($B423="",$D423=""),"",
IFERROR(
  INDEX(
    'Tools &amp; Targets_Guideline'!$C$54:$I$269,
    MATCH(
      1,
      ('Tools &amp; Targets_Guideline'!$A$54:$A$269=$B423)*
      ('Tools &amp; Targets_Guideline'!$B$54:$B$269="Delivery"),
      0
    ),
    MATCH(
      _xludf.IFNA(
        VLOOKUP($D423,{"PH","Provincial Hospital (H2)";"DH","District Hospital (H3)";"RH","Regional / National Hospital (H1)"},2,0),
        $D423
      ),
      'Tools &amp; Targets_Guideline'!$C$53:$I$53,
      0
    )
  ),
0))</f>
        <v/>
      </c>
      <c r="Q423" s="102"/>
      <c r="R423" s="119" t="str">
        <f t="array" ref="R423">IF(OR($B423="",$D423=""),"",
IFERROR(
  INDEX(
    'Tools &amp; Targets_Guideline'!$C$54:$I$269,
    MATCH(
      1,
      ('Tools &amp; Targets_Guideline'!$A$54:$A$269=$B423)*
      ('Tools &amp; Targets_Guideline'!$B$54:$B$269="TT"),
      0
    ),
    MATCH(
      _xludf.IFNA(
        VLOOKUP($D423,{"PH","Provincial Hospital (H2)";"DH","District Hospital (H3)";"RH","Regional / National Hospital (H1)"},2,0),
        $D423
      ),
      'Tools &amp; Targets_Guideline'!$C$53:$I$53,
      0
    )
  ),
0))</f>
        <v/>
      </c>
      <c r="S423" s="102"/>
      <c r="T423" s="102"/>
      <c r="U423" s="106"/>
      <c r="V423" s="102" t="str">
        <f t="shared" si="16"/>
        <v/>
      </c>
      <c r="W423" s="102"/>
      <c r="X423" s="102"/>
      <c r="Y423" s="119" t="str">
        <f t="array" ref="Y423">IF(OR($B423="",$D423=""),"",
IFERROR(
  INDEX(
    'Tools &amp; Targets_Guideline'!$C$54:$I$269,
    MATCH(
      1,
      ('Tools &amp; Targets_Guideline'!$A$54:$A$269=$B423)*
      ('Tools &amp; Targets_Guideline'!$B$54:$B$269="GM"),
      0
    ),
    MATCH(
      _xludf.IFNA(
        VLOOKUP($D423,{"PH","Provincial Hospital (H2)";"DH","District Hospital (H3)";"RH","Regional / National Hospital (H1)"},2,0),
        $D423
      ),
      'Tools &amp; Targets_Guideline'!$C$53:$I$53,
      0
    )
  ),
0))</f>
        <v/>
      </c>
      <c r="Z423" s="102"/>
      <c r="AA423" s="119" t="str">
        <f t="array" ref="AA423">IF(OR($B423="",$D423=""),"",
IFERROR(
  INDEX(
    'Tools &amp; Targets_Guideline'!$C$54:$I$269,
    MATCH(
      1,
      ('Tools &amp; Targets_Guideline'!$A$54:$A$269=$B423)*
      ('Tools &amp; Targets_Guideline'!$B$54:$B$269="Penta"),
      0
    ),
    MATCH(
      _xludf.IFNA(
        VLOOKUP($D423,{"PH","Provincial Hospital (H2)";"DH","District Hospital (H3)";"RH","Regional / National Hospital (H1)"},2,0),
        $D423
      ),
      'Tools &amp; Targets_Guideline'!$C$53:$I$53,
      0
    )
  ),
0))</f>
        <v/>
      </c>
      <c r="AB423" s="102"/>
      <c r="AC423" s="119" t="str">
        <f t="array" ref="AC423">IF(OR($B423="",$D423=""),"",
IFERROR(
  INDEX(
    'Tools &amp; Targets_Guideline'!$C$54:$I$269,
    MATCH(
      1,
      ('Tools &amp; Targets_Guideline'!$A$54:$A$269=$B423)*
      ('Tools &amp; Targets_Guideline'!$B$54:$B$269="TB"),
      0
    ),
    MATCH(
      _xludf.IFNA(
        VLOOKUP($D423,{"PH","Provincial Hospital (H2)";"DH","District Hospital (H3)";"RH","Regional / National Hospital (H1)"},2,0),
        $D423
      ),
      'Tools &amp; Targets_Guideline'!$C$53:$I$53,
      0
    )
  ),
0))</f>
        <v/>
      </c>
      <c r="AD423" s="102"/>
      <c r="AE423" s="119" t="str">
        <f t="array" ref="AE423">IF(OR($B423="",$D423=""),"",
IFERROR(
  INDEX(
    'Tools &amp; Targets_Guideline'!$C$54:$I$269,
    MATCH(
      1,
      ('Tools &amp; Targets_Guideline'!$A$54:$A$269=$B423)*
      ('Tools &amp; Targets_Guideline'!$B$54:$B$269="U5 Morbidity"),
      0
    ),
    MATCH(
      _xludf.IFNA(
        VLOOKUP($D423,{"PH","Provincial Hospital (H2)";"DH","District Hospital (H3)";"RH","Regional / National Hospital (H1)"},2,0),
        $D423
      ),
      'Tools &amp; Targets_Guideline'!$C$53:$I$53,
      0
    )
  ),
0))</f>
        <v/>
      </c>
      <c r="AF423" s="102"/>
      <c r="AG423" s="119" t="str">
        <f t="array" ref="AG423">IF(OR($B423="",$D423=""),"",
IFERROR(
  INDEX(
    'Tools &amp; Targets_Guideline'!$C$54:$I$269,
    MATCH(
      1,
      ('Tools &amp; Targets_Guideline'!$A$54:$A$269=$B423)*
      ('Tools &amp; Targets_Guideline'!$B$54:$B$269="C-Section"),
      0
    ),
    MATCH(
      _xludf.IFNA(
        VLOOKUP($D423,{"PH","Provincial Hospital (H2)";"DH","District Hospital (H3)";"RH","Regional / National Hospital (H1)"},2,0),
        $D423
      ),
      'Tools &amp; Targets_Guideline'!$C$53:$I$53,
      0
    )
  ),
0))</f>
        <v/>
      </c>
      <c r="AH423" s="102" t="str">
        <f>IF(A423&lt;&gt;"",COUNTIFS('QA Log'!D:D,A423,'QA Log'!M:M,"QQC",'QA Log'!L:L,"2. Hygiene and Sterilization",'QA Log'!Z:Z,"Approved"),"")</f>
        <v/>
      </c>
      <c r="AI423" s="102"/>
      <c r="AJ423" s="102"/>
      <c r="AK423" s="103" t="str">
        <f t="shared" si="17"/>
        <v/>
      </c>
      <c r="AL423" s="102"/>
      <c r="AM423" s="102"/>
      <c r="AN423" s="102"/>
      <c r="AO423" s="106"/>
      <c r="AP423" s="103"/>
      <c r="AQ423" s="102"/>
      <c r="AR423" s="102"/>
      <c r="AS423" s="102"/>
      <c r="AT423" s="107"/>
      <c r="AU423" s="102" t="str">
        <f t="shared" si="18"/>
        <v/>
      </c>
      <c r="AV423" s="102" t="str">
        <f t="shared" si="19"/>
        <v/>
      </c>
      <c r="AW423" s="102" t="str">
        <f t="shared" si="20"/>
        <v/>
      </c>
      <c r="AX423" s="102" t="str">
        <f t="shared" si="21"/>
        <v/>
      </c>
      <c r="AY423" s="107" t="str">
        <f t="shared" si="22"/>
        <v/>
      </c>
      <c r="AZ423" s="108" t="str">
        <f t="shared" si="23"/>
        <v/>
      </c>
      <c r="BA423" s="108" t="str">
        <f t="shared" si="24"/>
        <v/>
      </c>
      <c r="BB423" s="109" t="str">
        <f t="shared" si="25"/>
        <v/>
      </c>
      <c r="BC423" s="108" t="str">
        <f t="shared" si="26"/>
        <v/>
      </c>
      <c r="BD423" s="108" t="str">
        <f t="shared" si="27"/>
        <v/>
      </c>
      <c r="BE423" s="109" t="str">
        <f t="shared" si="28"/>
        <v/>
      </c>
      <c r="BF423" s="110" t="str">
        <f t="shared" si="29"/>
        <v/>
      </c>
      <c r="BG423" s="111"/>
    </row>
    <row r="424" spans="1:59" ht="12.75">
      <c r="A424" s="101"/>
      <c r="B424" s="102"/>
      <c r="C424" s="102" t="e">
        <f t="array" aca="1" ref="C424" ca="1">_xludf.XLOOKUP(A424,'QA Log'!D:D,'QA Log'!F:F,"")</f>
        <v>#NAME?</v>
      </c>
      <c r="D424" s="102"/>
      <c r="E424" s="102" t="e">
        <f t="array" aca="1" ref="E424" ca="1">_xludf.XLOOKUP(A424,'QA Log'!D:D,'QA Log'!G:G,"")</f>
        <v>#NAME?</v>
      </c>
      <c r="F424" s="103"/>
      <c r="G424" s="104"/>
      <c r="H424" s="104"/>
      <c r="I424" s="103" t="str">
        <f t="shared" si="15"/>
        <v/>
      </c>
      <c r="J424" s="102"/>
      <c r="K424" s="102"/>
      <c r="L424" s="119" t="str">
        <f t="array" ref="L424">IF(OR($B424="",$D424=""),"",
IFERROR(
  INDEX(
    'Tools &amp; Targets_Guideline'!$C$54:$I$269,
    MATCH(
      1,
      ('Tools &amp; Targets_Guideline'!$A$54:$A$269=$B424)*
      ('Tools &amp; Targets_Guideline'!$B$54:$B$269="ANC"),
      0
    ),
    MATCH(
      _xludf.IFNA(
        VLOOKUP($D424,{"PH","Provincial Hospital (H2)";"DH","District Hospital (H3)";"RH","Regional / National Hospital (H1)"},2,0),
        $D424
      ),
      'Tools &amp; Targets_Guideline'!$C$53:$I$53,
      0
    )
  ),
0))</f>
        <v/>
      </c>
      <c r="M424" s="102"/>
      <c r="N424" s="119" t="str">
        <f t="array" ref="N424">IF(OR($B424="",$D424=""),"",
IFERROR(
  INDEX(
    'Tools &amp; Targets_Guideline'!$C$54:$I$269,
    MATCH(
      1,
      ('Tools &amp; Targets_Guideline'!$A$54:$A$269=$B424)*
      ('Tools &amp; Targets_Guideline'!$B$54:$B$269="PNC"),
      0
    ),
    MATCH(
      _xludf.IFNA(
        VLOOKUP($D424,{"PH","Provincial Hospital (H2)";"DH","District Hospital (H3)";"RH","Regional / National Hospital (H1)"},2,0),
        $D424
      ),
      'Tools &amp; Targets_Guideline'!$C$53:$I$53,
      0
    )
  ),
0))</f>
        <v/>
      </c>
      <c r="O424" s="102"/>
      <c r="P424" s="119" t="str">
        <f t="array" ref="P424">IF(OR($B424="",$D424=""),"",
IFERROR(
  INDEX(
    'Tools &amp; Targets_Guideline'!$C$54:$I$269,
    MATCH(
      1,
      ('Tools &amp; Targets_Guideline'!$A$54:$A$269=$B424)*
      ('Tools &amp; Targets_Guideline'!$B$54:$B$269="Delivery"),
      0
    ),
    MATCH(
      _xludf.IFNA(
        VLOOKUP($D424,{"PH","Provincial Hospital (H2)";"DH","District Hospital (H3)";"RH","Regional / National Hospital (H1)"},2,0),
        $D424
      ),
      'Tools &amp; Targets_Guideline'!$C$53:$I$53,
      0
    )
  ),
0))</f>
        <v/>
      </c>
      <c r="Q424" s="102"/>
      <c r="R424" s="119" t="str">
        <f t="array" ref="R424">IF(OR($B424="",$D424=""),"",
IFERROR(
  INDEX(
    'Tools &amp; Targets_Guideline'!$C$54:$I$269,
    MATCH(
      1,
      ('Tools &amp; Targets_Guideline'!$A$54:$A$269=$B424)*
      ('Tools &amp; Targets_Guideline'!$B$54:$B$269="TT"),
      0
    ),
    MATCH(
      _xludf.IFNA(
        VLOOKUP($D424,{"PH","Provincial Hospital (H2)";"DH","District Hospital (H3)";"RH","Regional / National Hospital (H1)"},2,0),
        $D424
      ),
      'Tools &amp; Targets_Guideline'!$C$53:$I$53,
      0
    )
  ),
0))</f>
        <v/>
      </c>
      <c r="S424" s="102"/>
      <c r="T424" s="102"/>
      <c r="U424" s="106"/>
      <c r="V424" s="102" t="str">
        <f t="shared" si="16"/>
        <v/>
      </c>
      <c r="W424" s="102"/>
      <c r="X424" s="102"/>
      <c r="Y424" s="119" t="str">
        <f t="array" ref="Y424">IF(OR($B424="",$D424=""),"",
IFERROR(
  INDEX(
    'Tools &amp; Targets_Guideline'!$C$54:$I$269,
    MATCH(
      1,
      ('Tools &amp; Targets_Guideline'!$A$54:$A$269=$B424)*
      ('Tools &amp; Targets_Guideline'!$B$54:$B$269="GM"),
      0
    ),
    MATCH(
      _xludf.IFNA(
        VLOOKUP($D424,{"PH","Provincial Hospital (H2)";"DH","District Hospital (H3)";"RH","Regional / National Hospital (H1)"},2,0),
        $D424
      ),
      'Tools &amp; Targets_Guideline'!$C$53:$I$53,
      0
    )
  ),
0))</f>
        <v/>
      </c>
      <c r="Z424" s="102"/>
      <c r="AA424" s="119" t="str">
        <f t="array" ref="AA424">IF(OR($B424="",$D424=""),"",
IFERROR(
  INDEX(
    'Tools &amp; Targets_Guideline'!$C$54:$I$269,
    MATCH(
      1,
      ('Tools &amp; Targets_Guideline'!$A$54:$A$269=$B424)*
      ('Tools &amp; Targets_Guideline'!$B$54:$B$269="Penta"),
      0
    ),
    MATCH(
      _xludf.IFNA(
        VLOOKUP($D424,{"PH","Provincial Hospital (H2)";"DH","District Hospital (H3)";"RH","Regional / National Hospital (H1)"},2,0),
        $D424
      ),
      'Tools &amp; Targets_Guideline'!$C$53:$I$53,
      0
    )
  ),
0))</f>
        <v/>
      </c>
      <c r="AB424" s="102"/>
      <c r="AC424" s="119" t="str">
        <f t="array" ref="AC424">IF(OR($B424="",$D424=""),"",
IFERROR(
  INDEX(
    'Tools &amp; Targets_Guideline'!$C$54:$I$269,
    MATCH(
      1,
      ('Tools &amp; Targets_Guideline'!$A$54:$A$269=$B424)*
      ('Tools &amp; Targets_Guideline'!$B$54:$B$269="TB"),
      0
    ),
    MATCH(
      _xludf.IFNA(
        VLOOKUP($D424,{"PH","Provincial Hospital (H2)";"DH","District Hospital (H3)";"RH","Regional / National Hospital (H1)"},2,0),
        $D424
      ),
      'Tools &amp; Targets_Guideline'!$C$53:$I$53,
      0
    )
  ),
0))</f>
        <v/>
      </c>
      <c r="AD424" s="102"/>
      <c r="AE424" s="119" t="str">
        <f t="array" ref="AE424">IF(OR($B424="",$D424=""),"",
IFERROR(
  INDEX(
    'Tools &amp; Targets_Guideline'!$C$54:$I$269,
    MATCH(
      1,
      ('Tools &amp; Targets_Guideline'!$A$54:$A$269=$B424)*
      ('Tools &amp; Targets_Guideline'!$B$54:$B$269="U5 Morbidity"),
      0
    ),
    MATCH(
      _xludf.IFNA(
        VLOOKUP($D424,{"PH","Provincial Hospital (H2)";"DH","District Hospital (H3)";"RH","Regional / National Hospital (H1)"},2,0),
        $D424
      ),
      'Tools &amp; Targets_Guideline'!$C$53:$I$53,
      0
    )
  ),
0))</f>
        <v/>
      </c>
      <c r="AF424" s="102"/>
      <c r="AG424" s="119" t="str">
        <f t="array" ref="AG424">IF(OR($B424="",$D424=""),"",
IFERROR(
  INDEX(
    'Tools &amp; Targets_Guideline'!$C$54:$I$269,
    MATCH(
      1,
      ('Tools &amp; Targets_Guideline'!$A$54:$A$269=$B424)*
      ('Tools &amp; Targets_Guideline'!$B$54:$B$269="C-Section"),
      0
    ),
    MATCH(
      _xludf.IFNA(
        VLOOKUP($D424,{"PH","Provincial Hospital (H2)";"DH","District Hospital (H3)";"RH","Regional / National Hospital (H1)"},2,0),
        $D424
      ),
      'Tools &amp; Targets_Guideline'!$C$53:$I$53,
      0
    )
  ),
0))</f>
        <v/>
      </c>
      <c r="AH424" s="102" t="str">
        <f>IF(A424&lt;&gt;"",COUNTIFS('QA Log'!D:D,A424,'QA Log'!M:M,"QQC",'QA Log'!L:L,"2. Hygiene and Sterilization",'QA Log'!Z:Z,"Approved"),"")</f>
        <v/>
      </c>
      <c r="AI424" s="102"/>
      <c r="AJ424" s="102"/>
      <c r="AK424" s="103" t="str">
        <f t="shared" si="17"/>
        <v/>
      </c>
      <c r="AL424" s="102"/>
      <c r="AM424" s="102"/>
      <c r="AN424" s="102"/>
      <c r="AO424" s="106"/>
      <c r="AP424" s="103"/>
      <c r="AQ424" s="102"/>
      <c r="AR424" s="102"/>
      <c r="AS424" s="102"/>
      <c r="AT424" s="107"/>
      <c r="AU424" s="102" t="str">
        <f t="shared" si="18"/>
        <v/>
      </c>
      <c r="AV424" s="102" t="str">
        <f t="shared" si="19"/>
        <v/>
      </c>
      <c r="AW424" s="102" t="str">
        <f t="shared" si="20"/>
        <v/>
      </c>
      <c r="AX424" s="102" t="str">
        <f t="shared" si="21"/>
        <v/>
      </c>
      <c r="AY424" s="107" t="str">
        <f t="shared" si="22"/>
        <v/>
      </c>
      <c r="AZ424" s="108" t="str">
        <f t="shared" si="23"/>
        <v/>
      </c>
      <c r="BA424" s="108" t="str">
        <f t="shared" si="24"/>
        <v/>
      </c>
      <c r="BB424" s="109" t="str">
        <f t="shared" si="25"/>
        <v/>
      </c>
      <c r="BC424" s="108" t="str">
        <f t="shared" si="26"/>
        <v/>
      </c>
      <c r="BD424" s="108" t="str">
        <f t="shared" si="27"/>
        <v/>
      </c>
      <c r="BE424" s="109" t="str">
        <f t="shared" si="28"/>
        <v/>
      </c>
      <c r="BF424" s="110" t="str">
        <f t="shared" si="29"/>
        <v/>
      </c>
      <c r="BG424" s="111"/>
    </row>
    <row r="425" spans="1:59" ht="12.75">
      <c r="A425" s="101"/>
      <c r="B425" s="102"/>
      <c r="C425" s="102" t="e">
        <f t="array" aca="1" ref="C425" ca="1">_xludf.XLOOKUP(A425,'QA Log'!D:D,'QA Log'!F:F,"")</f>
        <v>#NAME?</v>
      </c>
      <c r="D425" s="102"/>
      <c r="E425" s="102" t="e">
        <f t="array" aca="1" ref="E425" ca="1">_xludf.XLOOKUP(A425,'QA Log'!D:D,'QA Log'!G:G,"")</f>
        <v>#NAME?</v>
      </c>
      <c r="F425" s="103"/>
      <c r="G425" s="104"/>
      <c r="H425" s="104"/>
      <c r="I425" s="103" t="str">
        <f t="shared" si="15"/>
        <v/>
      </c>
      <c r="J425" s="102"/>
      <c r="K425" s="102"/>
      <c r="L425" s="119" t="str">
        <f t="array" ref="L425">IF(OR($B425="",$D425=""),"",
IFERROR(
  INDEX(
    'Tools &amp; Targets_Guideline'!$C$54:$I$269,
    MATCH(
      1,
      ('Tools &amp; Targets_Guideline'!$A$54:$A$269=$B425)*
      ('Tools &amp; Targets_Guideline'!$B$54:$B$269="ANC"),
      0
    ),
    MATCH(
      _xludf.IFNA(
        VLOOKUP($D425,{"PH","Provincial Hospital (H2)";"DH","District Hospital (H3)";"RH","Regional / National Hospital (H1)"},2,0),
        $D425
      ),
      'Tools &amp; Targets_Guideline'!$C$53:$I$53,
      0
    )
  ),
0))</f>
        <v/>
      </c>
      <c r="M425" s="102"/>
      <c r="N425" s="119" t="str">
        <f t="array" ref="N425">IF(OR($B425="",$D425=""),"",
IFERROR(
  INDEX(
    'Tools &amp; Targets_Guideline'!$C$54:$I$269,
    MATCH(
      1,
      ('Tools &amp; Targets_Guideline'!$A$54:$A$269=$B425)*
      ('Tools &amp; Targets_Guideline'!$B$54:$B$269="PNC"),
      0
    ),
    MATCH(
      _xludf.IFNA(
        VLOOKUP($D425,{"PH","Provincial Hospital (H2)";"DH","District Hospital (H3)";"RH","Regional / National Hospital (H1)"},2,0),
        $D425
      ),
      'Tools &amp; Targets_Guideline'!$C$53:$I$53,
      0
    )
  ),
0))</f>
        <v/>
      </c>
      <c r="O425" s="102"/>
      <c r="P425" s="119" t="str">
        <f t="array" ref="P425">IF(OR($B425="",$D425=""),"",
IFERROR(
  INDEX(
    'Tools &amp; Targets_Guideline'!$C$54:$I$269,
    MATCH(
      1,
      ('Tools &amp; Targets_Guideline'!$A$54:$A$269=$B425)*
      ('Tools &amp; Targets_Guideline'!$B$54:$B$269="Delivery"),
      0
    ),
    MATCH(
      _xludf.IFNA(
        VLOOKUP($D425,{"PH","Provincial Hospital (H2)";"DH","District Hospital (H3)";"RH","Regional / National Hospital (H1)"},2,0),
        $D425
      ),
      'Tools &amp; Targets_Guideline'!$C$53:$I$53,
      0
    )
  ),
0))</f>
        <v/>
      </c>
      <c r="Q425" s="102"/>
      <c r="R425" s="119" t="str">
        <f t="array" ref="R425">IF(OR($B425="",$D425=""),"",
IFERROR(
  INDEX(
    'Tools &amp; Targets_Guideline'!$C$54:$I$269,
    MATCH(
      1,
      ('Tools &amp; Targets_Guideline'!$A$54:$A$269=$B425)*
      ('Tools &amp; Targets_Guideline'!$B$54:$B$269="TT"),
      0
    ),
    MATCH(
      _xludf.IFNA(
        VLOOKUP($D425,{"PH","Provincial Hospital (H2)";"DH","District Hospital (H3)";"RH","Regional / National Hospital (H1)"},2,0),
        $D425
      ),
      'Tools &amp; Targets_Guideline'!$C$53:$I$53,
      0
    )
  ),
0))</f>
        <v/>
      </c>
      <c r="S425" s="102"/>
      <c r="T425" s="102"/>
      <c r="U425" s="106"/>
      <c r="V425" s="102" t="str">
        <f t="shared" si="16"/>
        <v/>
      </c>
      <c r="W425" s="102"/>
      <c r="X425" s="102"/>
      <c r="Y425" s="119" t="str">
        <f t="array" ref="Y425">IF(OR($B425="",$D425=""),"",
IFERROR(
  INDEX(
    'Tools &amp; Targets_Guideline'!$C$54:$I$269,
    MATCH(
      1,
      ('Tools &amp; Targets_Guideline'!$A$54:$A$269=$B425)*
      ('Tools &amp; Targets_Guideline'!$B$54:$B$269="GM"),
      0
    ),
    MATCH(
      _xludf.IFNA(
        VLOOKUP($D425,{"PH","Provincial Hospital (H2)";"DH","District Hospital (H3)";"RH","Regional / National Hospital (H1)"},2,0),
        $D425
      ),
      'Tools &amp; Targets_Guideline'!$C$53:$I$53,
      0
    )
  ),
0))</f>
        <v/>
      </c>
      <c r="Z425" s="102"/>
      <c r="AA425" s="119" t="str">
        <f t="array" ref="AA425">IF(OR($B425="",$D425=""),"",
IFERROR(
  INDEX(
    'Tools &amp; Targets_Guideline'!$C$54:$I$269,
    MATCH(
      1,
      ('Tools &amp; Targets_Guideline'!$A$54:$A$269=$B425)*
      ('Tools &amp; Targets_Guideline'!$B$54:$B$269="Penta"),
      0
    ),
    MATCH(
      _xludf.IFNA(
        VLOOKUP($D425,{"PH","Provincial Hospital (H2)";"DH","District Hospital (H3)";"RH","Regional / National Hospital (H1)"},2,0),
        $D425
      ),
      'Tools &amp; Targets_Guideline'!$C$53:$I$53,
      0
    )
  ),
0))</f>
        <v/>
      </c>
      <c r="AB425" s="102"/>
      <c r="AC425" s="119" t="str">
        <f t="array" ref="AC425">IF(OR($B425="",$D425=""),"",
IFERROR(
  INDEX(
    'Tools &amp; Targets_Guideline'!$C$54:$I$269,
    MATCH(
      1,
      ('Tools &amp; Targets_Guideline'!$A$54:$A$269=$B425)*
      ('Tools &amp; Targets_Guideline'!$B$54:$B$269="TB"),
      0
    ),
    MATCH(
      _xludf.IFNA(
        VLOOKUP($D425,{"PH","Provincial Hospital (H2)";"DH","District Hospital (H3)";"RH","Regional / National Hospital (H1)"},2,0),
        $D425
      ),
      'Tools &amp; Targets_Guideline'!$C$53:$I$53,
      0
    )
  ),
0))</f>
        <v/>
      </c>
      <c r="AD425" s="102"/>
      <c r="AE425" s="119" t="str">
        <f t="array" ref="AE425">IF(OR($B425="",$D425=""),"",
IFERROR(
  INDEX(
    'Tools &amp; Targets_Guideline'!$C$54:$I$269,
    MATCH(
      1,
      ('Tools &amp; Targets_Guideline'!$A$54:$A$269=$B425)*
      ('Tools &amp; Targets_Guideline'!$B$54:$B$269="U5 Morbidity"),
      0
    ),
    MATCH(
      _xludf.IFNA(
        VLOOKUP($D425,{"PH","Provincial Hospital (H2)";"DH","District Hospital (H3)";"RH","Regional / National Hospital (H1)"},2,0),
        $D425
      ),
      'Tools &amp; Targets_Guideline'!$C$53:$I$53,
      0
    )
  ),
0))</f>
        <v/>
      </c>
      <c r="AF425" s="102"/>
      <c r="AG425" s="119" t="str">
        <f t="array" ref="AG425">IF(OR($B425="",$D425=""),"",
IFERROR(
  INDEX(
    'Tools &amp; Targets_Guideline'!$C$54:$I$269,
    MATCH(
      1,
      ('Tools &amp; Targets_Guideline'!$A$54:$A$269=$B425)*
      ('Tools &amp; Targets_Guideline'!$B$54:$B$269="C-Section"),
      0
    ),
    MATCH(
      _xludf.IFNA(
        VLOOKUP($D425,{"PH","Provincial Hospital (H2)";"DH","District Hospital (H3)";"RH","Regional / National Hospital (H1)"},2,0),
        $D425
      ),
      'Tools &amp; Targets_Guideline'!$C$53:$I$53,
      0
    )
  ),
0))</f>
        <v/>
      </c>
      <c r="AH425" s="102" t="str">
        <f>IF(A425&lt;&gt;"",COUNTIFS('QA Log'!D:D,A425,'QA Log'!M:M,"QQC",'QA Log'!L:L,"2. Hygiene and Sterilization",'QA Log'!Z:Z,"Approved"),"")</f>
        <v/>
      </c>
      <c r="AI425" s="102"/>
      <c r="AJ425" s="102"/>
      <c r="AK425" s="103" t="str">
        <f t="shared" si="17"/>
        <v/>
      </c>
      <c r="AL425" s="102"/>
      <c r="AM425" s="102"/>
      <c r="AN425" s="102"/>
      <c r="AO425" s="106"/>
      <c r="AP425" s="103"/>
      <c r="AQ425" s="102"/>
      <c r="AR425" s="102"/>
      <c r="AS425" s="102"/>
      <c r="AT425" s="107"/>
      <c r="AU425" s="102" t="str">
        <f t="shared" si="18"/>
        <v/>
      </c>
      <c r="AV425" s="102" t="str">
        <f t="shared" si="19"/>
        <v/>
      </c>
      <c r="AW425" s="102" t="str">
        <f t="shared" si="20"/>
        <v/>
      </c>
      <c r="AX425" s="102" t="str">
        <f t="shared" si="21"/>
        <v/>
      </c>
      <c r="AY425" s="107" t="str">
        <f t="shared" si="22"/>
        <v/>
      </c>
      <c r="AZ425" s="108" t="str">
        <f t="shared" si="23"/>
        <v/>
      </c>
      <c r="BA425" s="108" t="str">
        <f t="shared" si="24"/>
        <v/>
      </c>
      <c r="BB425" s="109" t="str">
        <f t="shared" si="25"/>
        <v/>
      </c>
      <c r="BC425" s="108" t="str">
        <f t="shared" si="26"/>
        <v/>
      </c>
      <c r="BD425" s="108" t="str">
        <f t="shared" si="27"/>
        <v/>
      </c>
      <c r="BE425" s="109" t="str">
        <f t="shared" si="28"/>
        <v/>
      </c>
      <c r="BF425" s="110" t="str">
        <f t="shared" si="29"/>
        <v/>
      </c>
      <c r="BG425" s="111"/>
    </row>
    <row r="426" spans="1:59" ht="12.75">
      <c r="A426" s="101"/>
      <c r="B426" s="102"/>
      <c r="C426" s="102" t="e">
        <f t="array" aca="1" ref="C426" ca="1">_xludf.XLOOKUP(A426,'QA Log'!D:D,'QA Log'!F:F,"")</f>
        <v>#NAME?</v>
      </c>
      <c r="D426" s="102"/>
      <c r="E426" s="102" t="e">
        <f t="array" aca="1" ref="E426" ca="1">_xludf.XLOOKUP(A426,'QA Log'!D:D,'QA Log'!G:G,"")</f>
        <v>#NAME?</v>
      </c>
      <c r="F426" s="103"/>
      <c r="G426" s="104"/>
      <c r="H426" s="104"/>
      <c r="I426" s="103" t="str">
        <f t="shared" si="15"/>
        <v/>
      </c>
      <c r="J426" s="102"/>
      <c r="K426" s="102"/>
      <c r="L426" s="119" t="str">
        <f t="array" ref="L426">IF(OR($B426="",$D426=""),"",
IFERROR(
  INDEX(
    'Tools &amp; Targets_Guideline'!$C$54:$I$269,
    MATCH(
      1,
      ('Tools &amp; Targets_Guideline'!$A$54:$A$269=$B426)*
      ('Tools &amp; Targets_Guideline'!$B$54:$B$269="ANC"),
      0
    ),
    MATCH(
      _xludf.IFNA(
        VLOOKUP($D426,{"PH","Provincial Hospital (H2)";"DH","District Hospital (H3)";"RH","Regional / National Hospital (H1)"},2,0),
        $D426
      ),
      'Tools &amp; Targets_Guideline'!$C$53:$I$53,
      0
    )
  ),
0))</f>
        <v/>
      </c>
      <c r="M426" s="102"/>
      <c r="N426" s="119" t="str">
        <f t="array" ref="N426">IF(OR($B426="",$D426=""),"",
IFERROR(
  INDEX(
    'Tools &amp; Targets_Guideline'!$C$54:$I$269,
    MATCH(
      1,
      ('Tools &amp; Targets_Guideline'!$A$54:$A$269=$B426)*
      ('Tools &amp; Targets_Guideline'!$B$54:$B$269="PNC"),
      0
    ),
    MATCH(
      _xludf.IFNA(
        VLOOKUP($D426,{"PH","Provincial Hospital (H2)";"DH","District Hospital (H3)";"RH","Regional / National Hospital (H1)"},2,0),
        $D426
      ),
      'Tools &amp; Targets_Guideline'!$C$53:$I$53,
      0
    )
  ),
0))</f>
        <v/>
      </c>
      <c r="O426" s="102"/>
      <c r="P426" s="119" t="str">
        <f t="array" ref="P426">IF(OR($B426="",$D426=""),"",
IFERROR(
  INDEX(
    'Tools &amp; Targets_Guideline'!$C$54:$I$269,
    MATCH(
      1,
      ('Tools &amp; Targets_Guideline'!$A$54:$A$269=$B426)*
      ('Tools &amp; Targets_Guideline'!$B$54:$B$269="Delivery"),
      0
    ),
    MATCH(
      _xludf.IFNA(
        VLOOKUP($D426,{"PH","Provincial Hospital (H2)";"DH","District Hospital (H3)";"RH","Regional / National Hospital (H1)"},2,0),
        $D426
      ),
      'Tools &amp; Targets_Guideline'!$C$53:$I$53,
      0
    )
  ),
0))</f>
        <v/>
      </c>
      <c r="Q426" s="102"/>
      <c r="R426" s="119" t="str">
        <f t="array" ref="R426">IF(OR($B426="",$D426=""),"",
IFERROR(
  INDEX(
    'Tools &amp; Targets_Guideline'!$C$54:$I$269,
    MATCH(
      1,
      ('Tools &amp; Targets_Guideline'!$A$54:$A$269=$B426)*
      ('Tools &amp; Targets_Guideline'!$B$54:$B$269="TT"),
      0
    ),
    MATCH(
      _xludf.IFNA(
        VLOOKUP($D426,{"PH","Provincial Hospital (H2)";"DH","District Hospital (H3)";"RH","Regional / National Hospital (H1)"},2,0),
        $D426
      ),
      'Tools &amp; Targets_Guideline'!$C$53:$I$53,
      0
    )
  ),
0))</f>
        <v/>
      </c>
      <c r="S426" s="102"/>
      <c r="T426" s="102"/>
      <c r="U426" s="106"/>
      <c r="V426" s="102" t="str">
        <f t="shared" si="16"/>
        <v/>
      </c>
      <c r="W426" s="102"/>
      <c r="X426" s="102"/>
      <c r="Y426" s="119" t="str">
        <f t="array" ref="Y426">IF(OR($B426="",$D426=""),"",
IFERROR(
  INDEX(
    'Tools &amp; Targets_Guideline'!$C$54:$I$269,
    MATCH(
      1,
      ('Tools &amp; Targets_Guideline'!$A$54:$A$269=$B426)*
      ('Tools &amp; Targets_Guideline'!$B$54:$B$269="GM"),
      0
    ),
    MATCH(
      _xludf.IFNA(
        VLOOKUP($D426,{"PH","Provincial Hospital (H2)";"DH","District Hospital (H3)";"RH","Regional / National Hospital (H1)"},2,0),
        $D426
      ),
      'Tools &amp; Targets_Guideline'!$C$53:$I$53,
      0
    )
  ),
0))</f>
        <v/>
      </c>
      <c r="Z426" s="102"/>
      <c r="AA426" s="119" t="str">
        <f t="array" ref="AA426">IF(OR($B426="",$D426=""),"",
IFERROR(
  INDEX(
    'Tools &amp; Targets_Guideline'!$C$54:$I$269,
    MATCH(
      1,
      ('Tools &amp; Targets_Guideline'!$A$54:$A$269=$B426)*
      ('Tools &amp; Targets_Guideline'!$B$54:$B$269="Penta"),
      0
    ),
    MATCH(
      _xludf.IFNA(
        VLOOKUP($D426,{"PH","Provincial Hospital (H2)";"DH","District Hospital (H3)";"RH","Regional / National Hospital (H1)"},2,0),
        $D426
      ),
      'Tools &amp; Targets_Guideline'!$C$53:$I$53,
      0
    )
  ),
0))</f>
        <v/>
      </c>
      <c r="AB426" s="102"/>
      <c r="AC426" s="119" t="str">
        <f t="array" ref="AC426">IF(OR($B426="",$D426=""),"",
IFERROR(
  INDEX(
    'Tools &amp; Targets_Guideline'!$C$54:$I$269,
    MATCH(
      1,
      ('Tools &amp; Targets_Guideline'!$A$54:$A$269=$B426)*
      ('Tools &amp; Targets_Guideline'!$B$54:$B$269="TB"),
      0
    ),
    MATCH(
      _xludf.IFNA(
        VLOOKUP($D426,{"PH","Provincial Hospital (H2)";"DH","District Hospital (H3)";"RH","Regional / National Hospital (H1)"},2,0),
        $D426
      ),
      'Tools &amp; Targets_Guideline'!$C$53:$I$53,
      0
    )
  ),
0))</f>
        <v/>
      </c>
      <c r="AD426" s="102"/>
      <c r="AE426" s="119" t="str">
        <f t="array" ref="AE426">IF(OR($B426="",$D426=""),"",
IFERROR(
  INDEX(
    'Tools &amp; Targets_Guideline'!$C$54:$I$269,
    MATCH(
      1,
      ('Tools &amp; Targets_Guideline'!$A$54:$A$269=$B426)*
      ('Tools &amp; Targets_Guideline'!$B$54:$B$269="U5 Morbidity"),
      0
    ),
    MATCH(
      _xludf.IFNA(
        VLOOKUP($D426,{"PH","Provincial Hospital (H2)";"DH","District Hospital (H3)";"RH","Regional / National Hospital (H1)"},2,0),
        $D426
      ),
      'Tools &amp; Targets_Guideline'!$C$53:$I$53,
      0
    )
  ),
0))</f>
        <v/>
      </c>
      <c r="AF426" s="102"/>
      <c r="AG426" s="119" t="str">
        <f t="array" ref="AG426">IF(OR($B426="",$D426=""),"",
IFERROR(
  INDEX(
    'Tools &amp; Targets_Guideline'!$C$54:$I$269,
    MATCH(
      1,
      ('Tools &amp; Targets_Guideline'!$A$54:$A$269=$B426)*
      ('Tools &amp; Targets_Guideline'!$B$54:$B$269="C-Section"),
      0
    ),
    MATCH(
      _xludf.IFNA(
        VLOOKUP($D426,{"PH","Provincial Hospital (H2)";"DH","District Hospital (H3)";"RH","Regional / National Hospital (H1)"},2,0),
        $D426
      ),
      'Tools &amp; Targets_Guideline'!$C$53:$I$53,
      0
    )
  ),
0))</f>
        <v/>
      </c>
      <c r="AH426" s="102" t="str">
        <f>IF(A426&lt;&gt;"",COUNTIFS('QA Log'!D:D,A426,'QA Log'!M:M,"QQC",'QA Log'!L:L,"2. Hygiene and Sterilization",'QA Log'!Z:Z,"Approved"),"")</f>
        <v/>
      </c>
      <c r="AI426" s="102"/>
      <c r="AJ426" s="102"/>
      <c r="AK426" s="103" t="str">
        <f t="shared" si="17"/>
        <v/>
      </c>
      <c r="AL426" s="102"/>
      <c r="AM426" s="102"/>
      <c r="AN426" s="102"/>
      <c r="AO426" s="106"/>
      <c r="AP426" s="103"/>
      <c r="AQ426" s="102"/>
      <c r="AR426" s="102"/>
      <c r="AS426" s="102"/>
      <c r="AT426" s="107"/>
      <c r="AU426" s="102" t="str">
        <f t="shared" si="18"/>
        <v/>
      </c>
      <c r="AV426" s="102" t="str">
        <f t="shared" si="19"/>
        <v/>
      </c>
      <c r="AW426" s="102" t="str">
        <f t="shared" si="20"/>
        <v/>
      </c>
      <c r="AX426" s="102" t="str">
        <f t="shared" si="21"/>
        <v/>
      </c>
      <c r="AY426" s="107" t="str">
        <f t="shared" si="22"/>
        <v/>
      </c>
      <c r="AZ426" s="108" t="str">
        <f t="shared" si="23"/>
        <v/>
      </c>
      <c r="BA426" s="108" t="str">
        <f t="shared" si="24"/>
        <v/>
      </c>
      <c r="BB426" s="109" t="str">
        <f t="shared" si="25"/>
        <v/>
      </c>
      <c r="BC426" s="108" t="str">
        <f t="shared" si="26"/>
        <v/>
      </c>
      <c r="BD426" s="108" t="str">
        <f t="shared" si="27"/>
        <v/>
      </c>
      <c r="BE426" s="109" t="str">
        <f t="shared" si="28"/>
        <v/>
      </c>
      <c r="BF426" s="110" t="str">
        <f t="shared" si="29"/>
        <v/>
      </c>
      <c r="BG426" s="111"/>
    </row>
    <row r="427" spans="1:59" ht="12.75">
      <c r="A427" s="101"/>
      <c r="B427" s="102"/>
      <c r="C427" s="102" t="e">
        <f t="array" aca="1" ref="C427" ca="1">_xludf.XLOOKUP(A427,'QA Log'!D:D,'QA Log'!F:F,"")</f>
        <v>#NAME?</v>
      </c>
      <c r="D427" s="102"/>
      <c r="E427" s="102" t="e">
        <f t="array" aca="1" ref="E427" ca="1">_xludf.XLOOKUP(A427,'QA Log'!D:D,'QA Log'!G:G,"")</f>
        <v>#NAME?</v>
      </c>
      <c r="F427" s="103"/>
      <c r="G427" s="104"/>
      <c r="H427" s="104"/>
      <c r="I427" s="103" t="str">
        <f t="shared" si="15"/>
        <v/>
      </c>
      <c r="J427" s="102"/>
      <c r="K427" s="102"/>
      <c r="L427" s="119" t="str">
        <f t="array" ref="L427">IF(OR($B427="",$D427=""),"",
IFERROR(
  INDEX(
    'Tools &amp; Targets_Guideline'!$C$54:$I$269,
    MATCH(
      1,
      ('Tools &amp; Targets_Guideline'!$A$54:$A$269=$B427)*
      ('Tools &amp; Targets_Guideline'!$B$54:$B$269="ANC"),
      0
    ),
    MATCH(
      _xludf.IFNA(
        VLOOKUP($D427,{"PH","Provincial Hospital (H2)";"DH","District Hospital (H3)";"RH","Regional / National Hospital (H1)"},2,0),
        $D427
      ),
      'Tools &amp; Targets_Guideline'!$C$53:$I$53,
      0
    )
  ),
0))</f>
        <v/>
      </c>
      <c r="M427" s="102"/>
      <c r="N427" s="119" t="str">
        <f t="array" ref="N427">IF(OR($B427="",$D427=""),"",
IFERROR(
  INDEX(
    'Tools &amp; Targets_Guideline'!$C$54:$I$269,
    MATCH(
      1,
      ('Tools &amp; Targets_Guideline'!$A$54:$A$269=$B427)*
      ('Tools &amp; Targets_Guideline'!$B$54:$B$269="PNC"),
      0
    ),
    MATCH(
      _xludf.IFNA(
        VLOOKUP($D427,{"PH","Provincial Hospital (H2)";"DH","District Hospital (H3)";"RH","Regional / National Hospital (H1)"},2,0),
        $D427
      ),
      'Tools &amp; Targets_Guideline'!$C$53:$I$53,
      0
    )
  ),
0))</f>
        <v/>
      </c>
      <c r="O427" s="102"/>
      <c r="P427" s="119" t="str">
        <f t="array" ref="P427">IF(OR($B427="",$D427=""),"",
IFERROR(
  INDEX(
    'Tools &amp; Targets_Guideline'!$C$54:$I$269,
    MATCH(
      1,
      ('Tools &amp; Targets_Guideline'!$A$54:$A$269=$B427)*
      ('Tools &amp; Targets_Guideline'!$B$54:$B$269="Delivery"),
      0
    ),
    MATCH(
      _xludf.IFNA(
        VLOOKUP($D427,{"PH","Provincial Hospital (H2)";"DH","District Hospital (H3)";"RH","Regional / National Hospital (H1)"},2,0),
        $D427
      ),
      'Tools &amp; Targets_Guideline'!$C$53:$I$53,
      0
    )
  ),
0))</f>
        <v/>
      </c>
      <c r="Q427" s="102"/>
      <c r="R427" s="119" t="str">
        <f t="array" ref="R427">IF(OR($B427="",$D427=""),"",
IFERROR(
  INDEX(
    'Tools &amp; Targets_Guideline'!$C$54:$I$269,
    MATCH(
      1,
      ('Tools &amp; Targets_Guideline'!$A$54:$A$269=$B427)*
      ('Tools &amp; Targets_Guideline'!$B$54:$B$269="TT"),
      0
    ),
    MATCH(
      _xludf.IFNA(
        VLOOKUP($D427,{"PH","Provincial Hospital (H2)";"DH","District Hospital (H3)";"RH","Regional / National Hospital (H1)"},2,0),
        $D427
      ),
      'Tools &amp; Targets_Guideline'!$C$53:$I$53,
      0
    )
  ),
0))</f>
        <v/>
      </c>
      <c r="S427" s="102"/>
      <c r="T427" s="102"/>
      <c r="U427" s="106"/>
      <c r="V427" s="102" t="str">
        <f t="shared" si="16"/>
        <v/>
      </c>
      <c r="W427" s="102"/>
      <c r="X427" s="102"/>
      <c r="Y427" s="119" t="str">
        <f t="array" ref="Y427">IF(OR($B427="",$D427=""),"",
IFERROR(
  INDEX(
    'Tools &amp; Targets_Guideline'!$C$54:$I$269,
    MATCH(
      1,
      ('Tools &amp; Targets_Guideline'!$A$54:$A$269=$B427)*
      ('Tools &amp; Targets_Guideline'!$B$54:$B$269="GM"),
      0
    ),
    MATCH(
      _xludf.IFNA(
        VLOOKUP($D427,{"PH","Provincial Hospital (H2)";"DH","District Hospital (H3)";"RH","Regional / National Hospital (H1)"},2,0),
        $D427
      ),
      'Tools &amp; Targets_Guideline'!$C$53:$I$53,
      0
    )
  ),
0))</f>
        <v/>
      </c>
      <c r="Z427" s="102"/>
      <c r="AA427" s="119" t="str">
        <f t="array" ref="AA427">IF(OR($B427="",$D427=""),"",
IFERROR(
  INDEX(
    'Tools &amp; Targets_Guideline'!$C$54:$I$269,
    MATCH(
      1,
      ('Tools &amp; Targets_Guideline'!$A$54:$A$269=$B427)*
      ('Tools &amp; Targets_Guideline'!$B$54:$B$269="Penta"),
      0
    ),
    MATCH(
      _xludf.IFNA(
        VLOOKUP($D427,{"PH","Provincial Hospital (H2)";"DH","District Hospital (H3)";"RH","Regional / National Hospital (H1)"},2,0),
        $D427
      ),
      'Tools &amp; Targets_Guideline'!$C$53:$I$53,
      0
    )
  ),
0))</f>
        <v/>
      </c>
      <c r="AB427" s="102"/>
      <c r="AC427" s="119" t="str">
        <f t="array" ref="AC427">IF(OR($B427="",$D427=""),"",
IFERROR(
  INDEX(
    'Tools &amp; Targets_Guideline'!$C$54:$I$269,
    MATCH(
      1,
      ('Tools &amp; Targets_Guideline'!$A$54:$A$269=$B427)*
      ('Tools &amp; Targets_Guideline'!$B$54:$B$269="TB"),
      0
    ),
    MATCH(
      _xludf.IFNA(
        VLOOKUP($D427,{"PH","Provincial Hospital (H2)";"DH","District Hospital (H3)";"RH","Regional / National Hospital (H1)"},2,0),
        $D427
      ),
      'Tools &amp; Targets_Guideline'!$C$53:$I$53,
      0
    )
  ),
0))</f>
        <v/>
      </c>
      <c r="AD427" s="102"/>
      <c r="AE427" s="119" t="str">
        <f t="array" ref="AE427">IF(OR($B427="",$D427=""),"",
IFERROR(
  INDEX(
    'Tools &amp; Targets_Guideline'!$C$54:$I$269,
    MATCH(
      1,
      ('Tools &amp; Targets_Guideline'!$A$54:$A$269=$B427)*
      ('Tools &amp; Targets_Guideline'!$B$54:$B$269="U5 Morbidity"),
      0
    ),
    MATCH(
      _xludf.IFNA(
        VLOOKUP($D427,{"PH","Provincial Hospital (H2)";"DH","District Hospital (H3)";"RH","Regional / National Hospital (H1)"},2,0),
        $D427
      ),
      'Tools &amp; Targets_Guideline'!$C$53:$I$53,
      0
    )
  ),
0))</f>
        <v/>
      </c>
      <c r="AF427" s="102"/>
      <c r="AG427" s="119" t="str">
        <f t="array" ref="AG427">IF(OR($B427="",$D427=""),"",
IFERROR(
  INDEX(
    'Tools &amp; Targets_Guideline'!$C$54:$I$269,
    MATCH(
      1,
      ('Tools &amp; Targets_Guideline'!$A$54:$A$269=$B427)*
      ('Tools &amp; Targets_Guideline'!$B$54:$B$269="C-Section"),
      0
    ),
    MATCH(
      _xludf.IFNA(
        VLOOKUP($D427,{"PH","Provincial Hospital (H2)";"DH","District Hospital (H3)";"RH","Regional / National Hospital (H1)"},2,0),
        $D427
      ),
      'Tools &amp; Targets_Guideline'!$C$53:$I$53,
      0
    )
  ),
0))</f>
        <v/>
      </c>
      <c r="AH427" s="102" t="str">
        <f>IF(A427&lt;&gt;"",COUNTIFS('QA Log'!D:D,A427,'QA Log'!M:M,"QQC",'QA Log'!L:L,"2. Hygiene and Sterilization",'QA Log'!Z:Z,"Approved"),"")</f>
        <v/>
      </c>
      <c r="AI427" s="102"/>
      <c r="AJ427" s="102"/>
      <c r="AK427" s="103" t="str">
        <f t="shared" si="17"/>
        <v/>
      </c>
      <c r="AL427" s="102"/>
      <c r="AM427" s="102"/>
      <c r="AN427" s="102"/>
      <c r="AO427" s="106"/>
      <c r="AP427" s="103"/>
      <c r="AQ427" s="102"/>
      <c r="AR427" s="102"/>
      <c r="AS427" s="102"/>
      <c r="AT427" s="107"/>
      <c r="AU427" s="102" t="str">
        <f t="shared" si="18"/>
        <v/>
      </c>
      <c r="AV427" s="102" t="str">
        <f t="shared" si="19"/>
        <v/>
      </c>
      <c r="AW427" s="102" t="str">
        <f t="shared" si="20"/>
        <v/>
      </c>
      <c r="AX427" s="102" t="str">
        <f t="shared" si="21"/>
        <v/>
      </c>
      <c r="AY427" s="107" t="str">
        <f t="shared" si="22"/>
        <v/>
      </c>
      <c r="AZ427" s="108" t="str">
        <f t="shared" si="23"/>
        <v/>
      </c>
      <c r="BA427" s="108" t="str">
        <f t="shared" si="24"/>
        <v/>
      </c>
      <c r="BB427" s="109" t="str">
        <f t="shared" si="25"/>
        <v/>
      </c>
      <c r="BC427" s="108" t="str">
        <f t="shared" si="26"/>
        <v/>
      </c>
      <c r="BD427" s="108" t="str">
        <f t="shared" si="27"/>
        <v/>
      </c>
      <c r="BE427" s="109" t="str">
        <f t="shared" si="28"/>
        <v/>
      </c>
      <c r="BF427" s="110" t="str">
        <f t="shared" si="29"/>
        <v/>
      </c>
      <c r="BG427" s="111"/>
    </row>
    <row r="428" spans="1:59" ht="12.75">
      <c r="A428" s="101"/>
      <c r="B428" s="102"/>
      <c r="C428" s="102" t="e">
        <f t="array" aca="1" ref="C428" ca="1">_xludf.XLOOKUP(A428,'QA Log'!D:D,'QA Log'!F:F,"")</f>
        <v>#NAME?</v>
      </c>
      <c r="D428" s="102"/>
      <c r="E428" s="102" t="e">
        <f t="array" aca="1" ref="E428" ca="1">_xludf.XLOOKUP(A428,'QA Log'!D:D,'QA Log'!G:G,"")</f>
        <v>#NAME?</v>
      </c>
      <c r="F428" s="103"/>
      <c r="G428" s="104"/>
      <c r="H428" s="104"/>
      <c r="I428" s="103" t="str">
        <f t="shared" si="15"/>
        <v/>
      </c>
      <c r="J428" s="102"/>
      <c r="K428" s="102"/>
      <c r="L428" s="119" t="str">
        <f t="array" ref="L428">IF(OR($B428="",$D428=""),"",
IFERROR(
  INDEX(
    'Tools &amp; Targets_Guideline'!$C$54:$I$269,
    MATCH(
      1,
      ('Tools &amp; Targets_Guideline'!$A$54:$A$269=$B428)*
      ('Tools &amp; Targets_Guideline'!$B$54:$B$269="ANC"),
      0
    ),
    MATCH(
      _xludf.IFNA(
        VLOOKUP($D428,{"PH","Provincial Hospital (H2)";"DH","District Hospital (H3)";"RH","Regional / National Hospital (H1)"},2,0),
        $D428
      ),
      'Tools &amp; Targets_Guideline'!$C$53:$I$53,
      0
    )
  ),
0))</f>
        <v/>
      </c>
      <c r="M428" s="102"/>
      <c r="N428" s="119" t="str">
        <f t="array" ref="N428">IF(OR($B428="",$D428=""),"",
IFERROR(
  INDEX(
    'Tools &amp; Targets_Guideline'!$C$54:$I$269,
    MATCH(
      1,
      ('Tools &amp; Targets_Guideline'!$A$54:$A$269=$B428)*
      ('Tools &amp; Targets_Guideline'!$B$54:$B$269="PNC"),
      0
    ),
    MATCH(
      _xludf.IFNA(
        VLOOKUP($D428,{"PH","Provincial Hospital (H2)";"DH","District Hospital (H3)";"RH","Regional / National Hospital (H1)"},2,0),
        $D428
      ),
      'Tools &amp; Targets_Guideline'!$C$53:$I$53,
      0
    )
  ),
0))</f>
        <v/>
      </c>
      <c r="O428" s="102"/>
      <c r="P428" s="119" t="str">
        <f t="array" ref="P428">IF(OR($B428="",$D428=""),"",
IFERROR(
  INDEX(
    'Tools &amp; Targets_Guideline'!$C$54:$I$269,
    MATCH(
      1,
      ('Tools &amp; Targets_Guideline'!$A$54:$A$269=$B428)*
      ('Tools &amp; Targets_Guideline'!$B$54:$B$269="Delivery"),
      0
    ),
    MATCH(
      _xludf.IFNA(
        VLOOKUP($D428,{"PH","Provincial Hospital (H2)";"DH","District Hospital (H3)";"RH","Regional / National Hospital (H1)"},2,0),
        $D428
      ),
      'Tools &amp; Targets_Guideline'!$C$53:$I$53,
      0
    )
  ),
0))</f>
        <v/>
      </c>
      <c r="Q428" s="102"/>
      <c r="R428" s="119" t="str">
        <f t="array" ref="R428">IF(OR($B428="",$D428=""),"",
IFERROR(
  INDEX(
    'Tools &amp; Targets_Guideline'!$C$54:$I$269,
    MATCH(
      1,
      ('Tools &amp; Targets_Guideline'!$A$54:$A$269=$B428)*
      ('Tools &amp; Targets_Guideline'!$B$54:$B$269="TT"),
      0
    ),
    MATCH(
      _xludf.IFNA(
        VLOOKUP($D428,{"PH","Provincial Hospital (H2)";"DH","District Hospital (H3)";"RH","Regional / National Hospital (H1)"},2,0),
        $D428
      ),
      'Tools &amp; Targets_Guideline'!$C$53:$I$53,
      0
    )
  ),
0))</f>
        <v/>
      </c>
      <c r="S428" s="102"/>
      <c r="T428" s="102"/>
      <c r="U428" s="106"/>
      <c r="V428" s="102" t="str">
        <f t="shared" si="16"/>
        <v/>
      </c>
      <c r="W428" s="102"/>
      <c r="X428" s="102"/>
      <c r="Y428" s="119" t="str">
        <f t="array" ref="Y428">IF(OR($B428="",$D428=""),"",
IFERROR(
  INDEX(
    'Tools &amp; Targets_Guideline'!$C$54:$I$269,
    MATCH(
      1,
      ('Tools &amp; Targets_Guideline'!$A$54:$A$269=$B428)*
      ('Tools &amp; Targets_Guideline'!$B$54:$B$269="GM"),
      0
    ),
    MATCH(
      _xludf.IFNA(
        VLOOKUP($D428,{"PH","Provincial Hospital (H2)";"DH","District Hospital (H3)";"RH","Regional / National Hospital (H1)"},2,0),
        $D428
      ),
      'Tools &amp; Targets_Guideline'!$C$53:$I$53,
      0
    )
  ),
0))</f>
        <v/>
      </c>
      <c r="Z428" s="102"/>
      <c r="AA428" s="119" t="str">
        <f t="array" ref="AA428">IF(OR($B428="",$D428=""),"",
IFERROR(
  INDEX(
    'Tools &amp; Targets_Guideline'!$C$54:$I$269,
    MATCH(
      1,
      ('Tools &amp; Targets_Guideline'!$A$54:$A$269=$B428)*
      ('Tools &amp; Targets_Guideline'!$B$54:$B$269="Penta"),
      0
    ),
    MATCH(
      _xludf.IFNA(
        VLOOKUP($D428,{"PH","Provincial Hospital (H2)";"DH","District Hospital (H3)";"RH","Regional / National Hospital (H1)"},2,0),
        $D428
      ),
      'Tools &amp; Targets_Guideline'!$C$53:$I$53,
      0
    )
  ),
0))</f>
        <v/>
      </c>
      <c r="AB428" s="102"/>
      <c r="AC428" s="119" t="str">
        <f t="array" ref="AC428">IF(OR($B428="",$D428=""),"",
IFERROR(
  INDEX(
    'Tools &amp; Targets_Guideline'!$C$54:$I$269,
    MATCH(
      1,
      ('Tools &amp; Targets_Guideline'!$A$54:$A$269=$B428)*
      ('Tools &amp; Targets_Guideline'!$B$54:$B$269="TB"),
      0
    ),
    MATCH(
      _xludf.IFNA(
        VLOOKUP($D428,{"PH","Provincial Hospital (H2)";"DH","District Hospital (H3)";"RH","Regional / National Hospital (H1)"},2,0),
        $D428
      ),
      'Tools &amp; Targets_Guideline'!$C$53:$I$53,
      0
    )
  ),
0))</f>
        <v/>
      </c>
      <c r="AD428" s="102"/>
      <c r="AE428" s="119" t="str">
        <f t="array" ref="AE428">IF(OR($B428="",$D428=""),"",
IFERROR(
  INDEX(
    'Tools &amp; Targets_Guideline'!$C$54:$I$269,
    MATCH(
      1,
      ('Tools &amp; Targets_Guideline'!$A$54:$A$269=$B428)*
      ('Tools &amp; Targets_Guideline'!$B$54:$B$269="U5 Morbidity"),
      0
    ),
    MATCH(
      _xludf.IFNA(
        VLOOKUP($D428,{"PH","Provincial Hospital (H2)";"DH","District Hospital (H3)";"RH","Regional / National Hospital (H1)"},2,0),
        $D428
      ),
      'Tools &amp; Targets_Guideline'!$C$53:$I$53,
      0
    )
  ),
0))</f>
        <v/>
      </c>
      <c r="AF428" s="102"/>
      <c r="AG428" s="119" t="str">
        <f t="array" ref="AG428">IF(OR($B428="",$D428=""),"",
IFERROR(
  INDEX(
    'Tools &amp; Targets_Guideline'!$C$54:$I$269,
    MATCH(
      1,
      ('Tools &amp; Targets_Guideline'!$A$54:$A$269=$B428)*
      ('Tools &amp; Targets_Guideline'!$B$54:$B$269="C-Section"),
      0
    ),
    MATCH(
      _xludf.IFNA(
        VLOOKUP($D428,{"PH","Provincial Hospital (H2)";"DH","District Hospital (H3)";"RH","Regional / National Hospital (H1)"},2,0),
        $D428
      ),
      'Tools &amp; Targets_Guideline'!$C$53:$I$53,
      0
    )
  ),
0))</f>
        <v/>
      </c>
      <c r="AH428" s="102" t="str">
        <f>IF(A428&lt;&gt;"",COUNTIFS('QA Log'!D:D,A428,'QA Log'!M:M,"QQC",'QA Log'!L:L,"2. Hygiene and Sterilization",'QA Log'!Z:Z,"Approved"),"")</f>
        <v/>
      </c>
      <c r="AI428" s="102"/>
      <c r="AJ428" s="102"/>
      <c r="AK428" s="103" t="str">
        <f t="shared" si="17"/>
        <v/>
      </c>
      <c r="AL428" s="102"/>
      <c r="AM428" s="102"/>
      <c r="AN428" s="102"/>
      <c r="AO428" s="106"/>
      <c r="AP428" s="103"/>
      <c r="AQ428" s="102"/>
      <c r="AR428" s="102"/>
      <c r="AS428" s="102"/>
      <c r="AT428" s="107"/>
      <c r="AU428" s="102" t="str">
        <f t="shared" si="18"/>
        <v/>
      </c>
      <c r="AV428" s="102" t="str">
        <f t="shared" si="19"/>
        <v/>
      </c>
      <c r="AW428" s="102" t="str">
        <f t="shared" si="20"/>
        <v/>
      </c>
      <c r="AX428" s="102" t="str">
        <f t="shared" si="21"/>
        <v/>
      </c>
      <c r="AY428" s="107" t="str">
        <f t="shared" si="22"/>
        <v/>
      </c>
      <c r="AZ428" s="108" t="str">
        <f t="shared" si="23"/>
        <v/>
      </c>
      <c r="BA428" s="108" t="str">
        <f t="shared" si="24"/>
        <v/>
      </c>
      <c r="BB428" s="109" t="str">
        <f t="shared" si="25"/>
        <v/>
      </c>
      <c r="BC428" s="108" t="str">
        <f t="shared" si="26"/>
        <v/>
      </c>
      <c r="BD428" s="108" t="str">
        <f t="shared" si="27"/>
        <v/>
      </c>
      <c r="BE428" s="109" t="str">
        <f t="shared" si="28"/>
        <v/>
      </c>
      <c r="BF428" s="110" t="str">
        <f t="shared" si="29"/>
        <v/>
      </c>
      <c r="BG428" s="111"/>
    </row>
    <row r="429" spans="1:59" ht="12.75">
      <c r="A429" s="101"/>
      <c r="B429" s="102"/>
      <c r="C429" s="102" t="e">
        <f t="array" aca="1" ref="C429" ca="1">_xludf.XLOOKUP(A429,'QA Log'!D:D,'QA Log'!F:F,"")</f>
        <v>#NAME?</v>
      </c>
      <c r="D429" s="102"/>
      <c r="E429" s="102" t="e">
        <f t="array" aca="1" ref="E429" ca="1">_xludf.XLOOKUP(A429,'QA Log'!D:D,'QA Log'!G:G,"")</f>
        <v>#NAME?</v>
      </c>
      <c r="F429" s="103"/>
      <c r="G429" s="104"/>
      <c r="H429" s="104"/>
      <c r="I429" s="103" t="str">
        <f t="shared" si="15"/>
        <v/>
      </c>
      <c r="J429" s="102"/>
      <c r="K429" s="102"/>
      <c r="L429" s="119" t="str">
        <f t="array" ref="L429">IF(OR($B429="",$D429=""),"",
IFERROR(
  INDEX(
    'Tools &amp; Targets_Guideline'!$C$54:$I$269,
    MATCH(
      1,
      ('Tools &amp; Targets_Guideline'!$A$54:$A$269=$B429)*
      ('Tools &amp; Targets_Guideline'!$B$54:$B$269="ANC"),
      0
    ),
    MATCH(
      _xludf.IFNA(
        VLOOKUP($D429,{"PH","Provincial Hospital (H2)";"DH","District Hospital (H3)";"RH","Regional / National Hospital (H1)"},2,0),
        $D429
      ),
      'Tools &amp; Targets_Guideline'!$C$53:$I$53,
      0
    )
  ),
0))</f>
        <v/>
      </c>
      <c r="M429" s="102"/>
      <c r="N429" s="119" t="str">
        <f t="array" ref="N429">IF(OR($B429="",$D429=""),"",
IFERROR(
  INDEX(
    'Tools &amp; Targets_Guideline'!$C$54:$I$269,
    MATCH(
      1,
      ('Tools &amp; Targets_Guideline'!$A$54:$A$269=$B429)*
      ('Tools &amp; Targets_Guideline'!$B$54:$B$269="PNC"),
      0
    ),
    MATCH(
      _xludf.IFNA(
        VLOOKUP($D429,{"PH","Provincial Hospital (H2)";"DH","District Hospital (H3)";"RH","Regional / National Hospital (H1)"},2,0),
        $D429
      ),
      'Tools &amp; Targets_Guideline'!$C$53:$I$53,
      0
    )
  ),
0))</f>
        <v/>
      </c>
      <c r="O429" s="102"/>
      <c r="P429" s="119" t="str">
        <f t="array" ref="P429">IF(OR($B429="",$D429=""),"",
IFERROR(
  INDEX(
    'Tools &amp; Targets_Guideline'!$C$54:$I$269,
    MATCH(
      1,
      ('Tools &amp; Targets_Guideline'!$A$54:$A$269=$B429)*
      ('Tools &amp; Targets_Guideline'!$B$54:$B$269="Delivery"),
      0
    ),
    MATCH(
      _xludf.IFNA(
        VLOOKUP($D429,{"PH","Provincial Hospital (H2)";"DH","District Hospital (H3)";"RH","Regional / National Hospital (H1)"},2,0),
        $D429
      ),
      'Tools &amp; Targets_Guideline'!$C$53:$I$53,
      0
    )
  ),
0))</f>
        <v/>
      </c>
      <c r="Q429" s="102"/>
      <c r="R429" s="119" t="str">
        <f t="array" ref="R429">IF(OR($B429="",$D429=""),"",
IFERROR(
  INDEX(
    'Tools &amp; Targets_Guideline'!$C$54:$I$269,
    MATCH(
      1,
      ('Tools &amp; Targets_Guideline'!$A$54:$A$269=$B429)*
      ('Tools &amp; Targets_Guideline'!$B$54:$B$269="TT"),
      0
    ),
    MATCH(
      _xludf.IFNA(
        VLOOKUP($D429,{"PH","Provincial Hospital (H2)";"DH","District Hospital (H3)";"RH","Regional / National Hospital (H1)"},2,0),
        $D429
      ),
      'Tools &amp; Targets_Guideline'!$C$53:$I$53,
      0
    )
  ),
0))</f>
        <v/>
      </c>
      <c r="S429" s="102"/>
      <c r="T429" s="102"/>
      <c r="U429" s="106"/>
      <c r="V429" s="102" t="str">
        <f t="shared" si="16"/>
        <v/>
      </c>
      <c r="W429" s="102"/>
      <c r="X429" s="102"/>
      <c r="Y429" s="119" t="str">
        <f t="array" ref="Y429">IF(OR($B429="",$D429=""),"",
IFERROR(
  INDEX(
    'Tools &amp; Targets_Guideline'!$C$54:$I$269,
    MATCH(
      1,
      ('Tools &amp; Targets_Guideline'!$A$54:$A$269=$B429)*
      ('Tools &amp; Targets_Guideline'!$B$54:$B$269="GM"),
      0
    ),
    MATCH(
      _xludf.IFNA(
        VLOOKUP($D429,{"PH","Provincial Hospital (H2)";"DH","District Hospital (H3)";"RH","Regional / National Hospital (H1)"},2,0),
        $D429
      ),
      'Tools &amp; Targets_Guideline'!$C$53:$I$53,
      0
    )
  ),
0))</f>
        <v/>
      </c>
      <c r="Z429" s="102"/>
      <c r="AA429" s="119" t="str">
        <f t="array" ref="AA429">IF(OR($B429="",$D429=""),"",
IFERROR(
  INDEX(
    'Tools &amp; Targets_Guideline'!$C$54:$I$269,
    MATCH(
      1,
      ('Tools &amp; Targets_Guideline'!$A$54:$A$269=$B429)*
      ('Tools &amp; Targets_Guideline'!$B$54:$B$269="Penta"),
      0
    ),
    MATCH(
      _xludf.IFNA(
        VLOOKUP($D429,{"PH","Provincial Hospital (H2)";"DH","District Hospital (H3)";"RH","Regional / National Hospital (H1)"},2,0),
        $D429
      ),
      'Tools &amp; Targets_Guideline'!$C$53:$I$53,
      0
    )
  ),
0))</f>
        <v/>
      </c>
      <c r="AB429" s="102"/>
      <c r="AC429" s="119" t="str">
        <f t="array" ref="AC429">IF(OR($B429="",$D429=""),"",
IFERROR(
  INDEX(
    'Tools &amp; Targets_Guideline'!$C$54:$I$269,
    MATCH(
      1,
      ('Tools &amp; Targets_Guideline'!$A$54:$A$269=$B429)*
      ('Tools &amp; Targets_Guideline'!$B$54:$B$269="TB"),
      0
    ),
    MATCH(
      _xludf.IFNA(
        VLOOKUP($D429,{"PH","Provincial Hospital (H2)";"DH","District Hospital (H3)";"RH","Regional / National Hospital (H1)"},2,0),
        $D429
      ),
      'Tools &amp; Targets_Guideline'!$C$53:$I$53,
      0
    )
  ),
0))</f>
        <v/>
      </c>
      <c r="AD429" s="102"/>
      <c r="AE429" s="119" t="str">
        <f t="array" ref="AE429">IF(OR($B429="",$D429=""),"",
IFERROR(
  INDEX(
    'Tools &amp; Targets_Guideline'!$C$54:$I$269,
    MATCH(
      1,
      ('Tools &amp; Targets_Guideline'!$A$54:$A$269=$B429)*
      ('Tools &amp; Targets_Guideline'!$B$54:$B$269="U5 Morbidity"),
      0
    ),
    MATCH(
      _xludf.IFNA(
        VLOOKUP($D429,{"PH","Provincial Hospital (H2)";"DH","District Hospital (H3)";"RH","Regional / National Hospital (H1)"},2,0),
        $D429
      ),
      'Tools &amp; Targets_Guideline'!$C$53:$I$53,
      0
    )
  ),
0))</f>
        <v/>
      </c>
      <c r="AF429" s="102"/>
      <c r="AG429" s="119" t="str">
        <f t="array" ref="AG429">IF(OR($B429="",$D429=""),"",
IFERROR(
  INDEX(
    'Tools &amp; Targets_Guideline'!$C$54:$I$269,
    MATCH(
      1,
      ('Tools &amp; Targets_Guideline'!$A$54:$A$269=$B429)*
      ('Tools &amp; Targets_Guideline'!$B$54:$B$269="C-Section"),
      0
    ),
    MATCH(
      _xludf.IFNA(
        VLOOKUP($D429,{"PH","Provincial Hospital (H2)";"DH","District Hospital (H3)";"RH","Regional / National Hospital (H1)"},2,0),
        $D429
      ),
      'Tools &amp; Targets_Guideline'!$C$53:$I$53,
      0
    )
  ),
0))</f>
        <v/>
      </c>
      <c r="AH429" s="102" t="str">
        <f>IF(A429&lt;&gt;"",COUNTIFS('QA Log'!D:D,A429,'QA Log'!M:M,"QQC",'QA Log'!L:L,"2. Hygiene and Sterilization",'QA Log'!Z:Z,"Approved"),"")</f>
        <v/>
      </c>
      <c r="AI429" s="102"/>
      <c r="AJ429" s="102"/>
      <c r="AK429" s="103" t="str">
        <f t="shared" si="17"/>
        <v/>
      </c>
      <c r="AL429" s="102"/>
      <c r="AM429" s="102"/>
      <c r="AN429" s="102"/>
      <c r="AO429" s="106"/>
      <c r="AP429" s="103"/>
      <c r="AQ429" s="102"/>
      <c r="AR429" s="102"/>
      <c r="AS429" s="102"/>
      <c r="AT429" s="107"/>
      <c r="AU429" s="102" t="str">
        <f t="shared" si="18"/>
        <v/>
      </c>
      <c r="AV429" s="102" t="str">
        <f t="shared" si="19"/>
        <v/>
      </c>
      <c r="AW429" s="102" t="str">
        <f t="shared" si="20"/>
        <v/>
      </c>
      <c r="AX429" s="102" t="str">
        <f t="shared" si="21"/>
        <v/>
      </c>
      <c r="AY429" s="107" t="str">
        <f t="shared" si="22"/>
        <v/>
      </c>
      <c r="AZ429" s="108" t="str">
        <f t="shared" si="23"/>
        <v/>
      </c>
      <c r="BA429" s="108" t="str">
        <f t="shared" si="24"/>
        <v/>
      </c>
      <c r="BB429" s="109" t="str">
        <f t="shared" si="25"/>
        <v/>
      </c>
      <c r="BC429" s="108" t="str">
        <f t="shared" si="26"/>
        <v/>
      </c>
      <c r="BD429" s="108" t="str">
        <f t="shared" si="27"/>
        <v/>
      </c>
      <c r="BE429" s="109" t="str">
        <f t="shared" si="28"/>
        <v/>
      </c>
      <c r="BF429" s="110" t="str">
        <f t="shared" si="29"/>
        <v/>
      </c>
      <c r="BG429" s="111"/>
    </row>
    <row r="430" spans="1:59" ht="12.75">
      <c r="A430" s="101"/>
      <c r="B430" s="102"/>
      <c r="C430" s="102" t="e">
        <f t="array" aca="1" ref="C430" ca="1">_xludf.XLOOKUP(A430,'QA Log'!D:D,'QA Log'!F:F,"")</f>
        <v>#NAME?</v>
      </c>
      <c r="D430" s="102"/>
      <c r="E430" s="102" t="e">
        <f t="array" aca="1" ref="E430" ca="1">_xludf.XLOOKUP(A430,'QA Log'!D:D,'QA Log'!G:G,"")</f>
        <v>#NAME?</v>
      </c>
      <c r="F430" s="103"/>
      <c r="G430" s="104"/>
      <c r="H430" s="104"/>
      <c r="I430" s="103" t="str">
        <f t="shared" si="15"/>
        <v/>
      </c>
      <c r="J430" s="102"/>
      <c r="K430" s="102"/>
      <c r="L430" s="119" t="str">
        <f t="array" ref="L430">IF(OR($B430="",$D430=""),"",
IFERROR(
  INDEX(
    'Tools &amp; Targets_Guideline'!$C$54:$I$269,
    MATCH(
      1,
      ('Tools &amp; Targets_Guideline'!$A$54:$A$269=$B430)*
      ('Tools &amp; Targets_Guideline'!$B$54:$B$269="ANC"),
      0
    ),
    MATCH(
      _xludf.IFNA(
        VLOOKUP($D430,{"PH","Provincial Hospital (H2)";"DH","District Hospital (H3)";"RH","Regional / National Hospital (H1)"},2,0),
        $D430
      ),
      'Tools &amp; Targets_Guideline'!$C$53:$I$53,
      0
    )
  ),
0))</f>
        <v/>
      </c>
      <c r="M430" s="102"/>
      <c r="N430" s="119" t="str">
        <f t="array" ref="N430">IF(OR($B430="",$D430=""),"",
IFERROR(
  INDEX(
    'Tools &amp; Targets_Guideline'!$C$54:$I$269,
    MATCH(
      1,
      ('Tools &amp; Targets_Guideline'!$A$54:$A$269=$B430)*
      ('Tools &amp; Targets_Guideline'!$B$54:$B$269="PNC"),
      0
    ),
    MATCH(
      _xludf.IFNA(
        VLOOKUP($D430,{"PH","Provincial Hospital (H2)";"DH","District Hospital (H3)";"RH","Regional / National Hospital (H1)"},2,0),
        $D430
      ),
      'Tools &amp; Targets_Guideline'!$C$53:$I$53,
      0
    )
  ),
0))</f>
        <v/>
      </c>
      <c r="O430" s="102"/>
      <c r="P430" s="119" t="str">
        <f t="array" ref="P430">IF(OR($B430="",$D430=""),"",
IFERROR(
  INDEX(
    'Tools &amp; Targets_Guideline'!$C$54:$I$269,
    MATCH(
      1,
      ('Tools &amp; Targets_Guideline'!$A$54:$A$269=$B430)*
      ('Tools &amp; Targets_Guideline'!$B$54:$B$269="Delivery"),
      0
    ),
    MATCH(
      _xludf.IFNA(
        VLOOKUP($D430,{"PH","Provincial Hospital (H2)";"DH","District Hospital (H3)";"RH","Regional / National Hospital (H1)"},2,0),
        $D430
      ),
      'Tools &amp; Targets_Guideline'!$C$53:$I$53,
      0
    )
  ),
0))</f>
        <v/>
      </c>
      <c r="Q430" s="102"/>
      <c r="R430" s="119" t="str">
        <f t="array" ref="R430">IF(OR($B430="",$D430=""),"",
IFERROR(
  INDEX(
    'Tools &amp; Targets_Guideline'!$C$54:$I$269,
    MATCH(
      1,
      ('Tools &amp; Targets_Guideline'!$A$54:$A$269=$B430)*
      ('Tools &amp; Targets_Guideline'!$B$54:$B$269="TT"),
      0
    ),
    MATCH(
      _xludf.IFNA(
        VLOOKUP($D430,{"PH","Provincial Hospital (H2)";"DH","District Hospital (H3)";"RH","Regional / National Hospital (H1)"},2,0),
        $D430
      ),
      'Tools &amp; Targets_Guideline'!$C$53:$I$53,
      0
    )
  ),
0))</f>
        <v/>
      </c>
      <c r="S430" s="102"/>
      <c r="T430" s="102"/>
      <c r="U430" s="106"/>
      <c r="V430" s="102" t="str">
        <f t="shared" si="16"/>
        <v/>
      </c>
      <c r="W430" s="102"/>
      <c r="X430" s="102"/>
      <c r="Y430" s="119" t="str">
        <f t="array" ref="Y430">IF(OR($B430="",$D430=""),"",
IFERROR(
  INDEX(
    'Tools &amp; Targets_Guideline'!$C$54:$I$269,
    MATCH(
      1,
      ('Tools &amp; Targets_Guideline'!$A$54:$A$269=$B430)*
      ('Tools &amp; Targets_Guideline'!$B$54:$B$269="GM"),
      0
    ),
    MATCH(
      _xludf.IFNA(
        VLOOKUP($D430,{"PH","Provincial Hospital (H2)";"DH","District Hospital (H3)";"RH","Regional / National Hospital (H1)"},2,0),
        $D430
      ),
      'Tools &amp; Targets_Guideline'!$C$53:$I$53,
      0
    )
  ),
0))</f>
        <v/>
      </c>
      <c r="Z430" s="102"/>
      <c r="AA430" s="119" t="str">
        <f t="array" ref="AA430">IF(OR($B430="",$D430=""),"",
IFERROR(
  INDEX(
    'Tools &amp; Targets_Guideline'!$C$54:$I$269,
    MATCH(
      1,
      ('Tools &amp; Targets_Guideline'!$A$54:$A$269=$B430)*
      ('Tools &amp; Targets_Guideline'!$B$54:$B$269="Penta"),
      0
    ),
    MATCH(
      _xludf.IFNA(
        VLOOKUP($D430,{"PH","Provincial Hospital (H2)";"DH","District Hospital (H3)";"RH","Regional / National Hospital (H1)"},2,0),
        $D430
      ),
      'Tools &amp; Targets_Guideline'!$C$53:$I$53,
      0
    )
  ),
0))</f>
        <v/>
      </c>
      <c r="AB430" s="102"/>
      <c r="AC430" s="119" t="str">
        <f t="array" ref="AC430">IF(OR($B430="",$D430=""),"",
IFERROR(
  INDEX(
    'Tools &amp; Targets_Guideline'!$C$54:$I$269,
    MATCH(
      1,
      ('Tools &amp; Targets_Guideline'!$A$54:$A$269=$B430)*
      ('Tools &amp; Targets_Guideline'!$B$54:$B$269="TB"),
      0
    ),
    MATCH(
      _xludf.IFNA(
        VLOOKUP($D430,{"PH","Provincial Hospital (H2)";"DH","District Hospital (H3)";"RH","Regional / National Hospital (H1)"},2,0),
        $D430
      ),
      'Tools &amp; Targets_Guideline'!$C$53:$I$53,
      0
    )
  ),
0))</f>
        <v/>
      </c>
      <c r="AD430" s="102"/>
      <c r="AE430" s="119" t="str">
        <f t="array" ref="AE430">IF(OR($B430="",$D430=""),"",
IFERROR(
  INDEX(
    'Tools &amp; Targets_Guideline'!$C$54:$I$269,
    MATCH(
      1,
      ('Tools &amp; Targets_Guideline'!$A$54:$A$269=$B430)*
      ('Tools &amp; Targets_Guideline'!$B$54:$B$269="U5 Morbidity"),
      0
    ),
    MATCH(
      _xludf.IFNA(
        VLOOKUP($D430,{"PH","Provincial Hospital (H2)";"DH","District Hospital (H3)";"RH","Regional / National Hospital (H1)"},2,0),
        $D430
      ),
      'Tools &amp; Targets_Guideline'!$C$53:$I$53,
      0
    )
  ),
0))</f>
        <v/>
      </c>
      <c r="AF430" s="102"/>
      <c r="AG430" s="119" t="str">
        <f t="array" ref="AG430">IF(OR($B430="",$D430=""),"",
IFERROR(
  INDEX(
    'Tools &amp; Targets_Guideline'!$C$54:$I$269,
    MATCH(
      1,
      ('Tools &amp; Targets_Guideline'!$A$54:$A$269=$B430)*
      ('Tools &amp; Targets_Guideline'!$B$54:$B$269="C-Section"),
      0
    ),
    MATCH(
      _xludf.IFNA(
        VLOOKUP($D430,{"PH","Provincial Hospital (H2)";"DH","District Hospital (H3)";"RH","Regional / National Hospital (H1)"},2,0),
        $D430
      ),
      'Tools &amp; Targets_Guideline'!$C$53:$I$53,
      0
    )
  ),
0))</f>
        <v/>
      </c>
      <c r="AH430" s="102" t="str">
        <f>IF(A430&lt;&gt;"",COUNTIFS('QA Log'!D:D,A430,'QA Log'!M:M,"QQC",'QA Log'!L:L,"2. Hygiene and Sterilization",'QA Log'!Z:Z,"Approved"),"")</f>
        <v/>
      </c>
      <c r="AI430" s="102"/>
      <c r="AJ430" s="102"/>
      <c r="AK430" s="103" t="str">
        <f t="shared" si="17"/>
        <v/>
      </c>
      <c r="AL430" s="102"/>
      <c r="AM430" s="102"/>
      <c r="AN430" s="102"/>
      <c r="AO430" s="106"/>
      <c r="AP430" s="103"/>
      <c r="AQ430" s="102"/>
      <c r="AR430" s="102"/>
      <c r="AS430" s="102"/>
      <c r="AT430" s="107"/>
      <c r="AU430" s="102" t="str">
        <f t="shared" si="18"/>
        <v/>
      </c>
      <c r="AV430" s="102" t="str">
        <f t="shared" si="19"/>
        <v/>
      </c>
      <c r="AW430" s="102" t="str">
        <f t="shared" si="20"/>
        <v/>
      </c>
      <c r="AX430" s="102" t="str">
        <f t="shared" si="21"/>
        <v/>
      </c>
      <c r="AY430" s="107" t="str">
        <f t="shared" si="22"/>
        <v/>
      </c>
      <c r="AZ430" s="108" t="str">
        <f t="shared" si="23"/>
        <v/>
      </c>
      <c r="BA430" s="108" t="str">
        <f t="shared" si="24"/>
        <v/>
      </c>
      <c r="BB430" s="109" t="str">
        <f t="shared" si="25"/>
        <v/>
      </c>
      <c r="BC430" s="108" t="str">
        <f t="shared" si="26"/>
        <v/>
      </c>
      <c r="BD430" s="108" t="str">
        <f t="shared" si="27"/>
        <v/>
      </c>
      <c r="BE430" s="109" t="str">
        <f t="shared" si="28"/>
        <v/>
      </c>
      <c r="BF430" s="110" t="str">
        <f t="shared" si="29"/>
        <v/>
      </c>
      <c r="BG430" s="111"/>
    </row>
    <row r="431" spans="1:59" ht="12.75">
      <c r="A431" s="101"/>
      <c r="B431" s="102"/>
      <c r="C431" s="102" t="e">
        <f t="array" aca="1" ref="C431" ca="1">_xludf.XLOOKUP(A431,'QA Log'!D:D,'QA Log'!F:F,"")</f>
        <v>#NAME?</v>
      </c>
      <c r="D431" s="102"/>
      <c r="E431" s="102" t="e">
        <f t="array" aca="1" ref="E431" ca="1">_xludf.XLOOKUP(A431,'QA Log'!D:D,'QA Log'!G:G,"")</f>
        <v>#NAME?</v>
      </c>
      <c r="F431" s="103"/>
      <c r="G431" s="104"/>
      <c r="H431" s="104"/>
      <c r="I431" s="103" t="str">
        <f t="shared" si="15"/>
        <v/>
      </c>
      <c r="J431" s="102"/>
      <c r="K431" s="102"/>
      <c r="L431" s="119" t="str">
        <f t="array" ref="L431">IF(OR($B431="",$D431=""),"",
IFERROR(
  INDEX(
    'Tools &amp; Targets_Guideline'!$C$54:$I$269,
    MATCH(
      1,
      ('Tools &amp; Targets_Guideline'!$A$54:$A$269=$B431)*
      ('Tools &amp; Targets_Guideline'!$B$54:$B$269="ANC"),
      0
    ),
    MATCH(
      _xludf.IFNA(
        VLOOKUP($D431,{"PH","Provincial Hospital (H2)";"DH","District Hospital (H3)";"RH","Regional / National Hospital (H1)"},2,0),
        $D431
      ),
      'Tools &amp; Targets_Guideline'!$C$53:$I$53,
      0
    )
  ),
0))</f>
        <v/>
      </c>
      <c r="M431" s="102"/>
      <c r="N431" s="119" t="str">
        <f t="array" ref="N431">IF(OR($B431="",$D431=""),"",
IFERROR(
  INDEX(
    'Tools &amp; Targets_Guideline'!$C$54:$I$269,
    MATCH(
      1,
      ('Tools &amp; Targets_Guideline'!$A$54:$A$269=$B431)*
      ('Tools &amp; Targets_Guideline'!$B$54:$B$269="PNC"),
      0
    ),
    MATCH(
      _xludf.IFNA(
        VLOOKUP($D431,{"PH","Provincial Hospital (H2)";"DH","District Hospital (H3)";"RH","Regional / National Hospital (H1)"},2,0),
        $D431
      ),
      'Tools &amp; Targets_Guideline'!$C$53:$I$53,
      0
    )
  ),
0))</f>
        <v/>
      </c>
      <c r="O431" s="102"/>
      <c r="P431" s="119" t="str">
        <f t="array" ref="P431">IF(OR($B431="",$D431=""),"",
IFERROR(
  INDEX(
    'Tools &amp; Targets_Guideline'!$C$54:$I$269,
    MATCH(
      1,
      ('Tools &amp; Targets_Guideline'!$A$54:$A$269=$B431)*
      ('Tools &amp; Targets_Guideline'!$B$54:$B$269="Delivery"),
      0
    ),
    MATCH(
      _xludf.IFNA(
        VLOOKUP($D431,{"PH","Provincial Hospital (H2)";"DH","District Hospital (H3)";"RH","Regional / National Hospital (H1)"},2,0),
        $D431
      ),
      'Tools &amp; Targets_Guideline'!$C$53:$I$53,
      0
    )
  ),
0))</f>
        <v/>
      </c>
      <c r="Q431" s="102"/>
      <c r="R431" s="119" t="str">
        <f t="array" ref="R431">IF(OR($B431="",$D431=""),"",
IFERROR(
  INDEX(
    'Tools &amp; Targets_Guideline'!$C$54:$I$269,
    MATCH(
      1,
      ('Tools &amp; Targets_Guideline'!$A$54:$A$269=$B431)*
      ('Tools &amp; Targets_Guideline'!$B$54:$B$269="TT"),
      0
    ),
    MATCH(
      _xludf.IFNA(
        VLOOKUP($D431,{"PH","Provincial Hospital (H2)";"DH","District Hospital (H3)";"RH","Regional / National Hospital (H1)"},2,0),
        $D431
      ),
      'Tools &amp; Targets_Guideline'!$C$53:$I$53,
      0
    )
  ),
0))</f>
        <v/>
      </c>
      <c r="S431" s="102"/>
      <c r="T431" s="102"/>
      <c r="U431" s="106"/>
      <c r="V431" s="102" t="str">
        <f t="shared" si="16"/>
        <v/>
      </c>
      <c r="W431" s="102"/>
      <c r="X431" s="102"/>
      <c r="Y431" s="119" t="str">
        <f t="array" ref="Y431">IF(OR($B431="",$D431=""),"",
IFERROR(
  INDEX(
    'Tools &amp; Targets_Guideline'!$C$54:$I$269,
    MATCH(
      1,
      ('Tools &amp; Targets_Guideline'!$A$54:$A$269=$B431)*
      ('Tools &amp; Targets_Guideline'!$B$54:$B$269="GM"),
      0
    ),
    MATCH(
      _xludf.IFNA(
        VLOOKUP($D431,{"PH","Provincial Hospital (H2)";"DH","District Hospital (H3)";"RH","Regional / National Hospital (H1)"},2,0),
        $D431
      ),
      'Tools &amp; Targets_Guideline'!$C$53:$I$53,
      0
    )
  ),
0))</f>
        <v/>
      </c>
      <c r="Z431" s="102"/>
      <c r="AA431" s="119" t="str">
        <f t="array" ref="AA431">IF(OR($B431="",$D431=""),"",
IFERROR(
  INDEX(
    'Tools &amp; Targets_Guideline'!$C$54:$I$269,
    MATCH(
      1,
      ('Tools &amp; Targets_Guideline'!$A$54:$A$269=$B431)*
      ('Tools &amp; Targets_Guideline'!$B$54:$B$269="Penta"),
      0
    ),
    MATCH(
      _xludf.IFNA(
        VLOOKUP($D431,{"PH","Provincial Hospital (H2)";"DH","District Hospital (H3)";"RH","Regional / National Hospital (H1)"},2,0),
        $D431
      ),
      'Tools &amp; Targets_Guideline'!$C$53:$I$53,
      0
    )
  ),
0))</f>
        <v/>
      </c>
      <c r="AB431" s="102"/>
      <c r="AC431" s="119" t="str">
        <f t="array" ref="AC431">IF(OR($B431="",$D431=""),"",
IFERROR(
  INDEX(
    'Tools &amp; Targets_Guideline'!$C$54:$I$269,
    MATCH(
      1,
      ('Tools &amp; Targets_Guideline'!$A$54:$A$269=$B431)*
      ('Tools &amp; Targets_Guideline'!$B$54:$B$269="TB"),
      0
    ),
    MATCH(
      _xludf.IFNA(
        VLOOKUP($D431,{"PH","Provincial Hospital (H2)";"DH","District Hospital (H3)";"RH","Regional / National Hospital (H1)"},2,0),
        $D431
      ),
      'Tools &amp; Targets_Guideline'!$C$53:$I$53,
      0
    )
  ),
0))</f>
        <v/>
      </c>
      <c r="AD431" s="102"/>
      <c r="AE431" s="119" t="str">
        <f t="array" ref="AE431">IF(OR($B431="",$D431=""),"",
IFERROR(
  INDEX(
    'Tools &amp; Targets_Guideline'!$C$54:$I$269,
    MATCH(
      1,
      ('Tools &amp; Targets_Guideline'!$A$54:$A$269=$B431)*
      ('Tools &amp; Targets_Guideline'!$B$54:$B$269="U5 Morbidity"),
      0
    ),
    MATCH(
      _xludf.IFNA(
        VLOOKUP($D431,{"PH","Provincial Hospital (H2)";"DH","District Hospital (H3)";"RH","Regional / National Hospital (H1)"},2,0),
        $D431
      ),
      'Tools &amp; Targets_Guideline'!$C$53:$I$53,
      0
    )
  ),
0))</f>
        <v/>
      </c>
      <c r="AF431" s="102"/>
      <c r="AG431" s="119" t="str">
        <f t="array" ref="AG431">IF(OR($B431="",$D431=""),"",
IFERROR(
  INDEX(
    'Tools &amp; Targets_Guideline'!$C$54:$I$269,
    MATCH(
      1,
      ('Tools &amp; Targets_Guideline'!$A$54:$A$269=$B431)*
      ('Tools &amp; Targets_Guideline'!$B$54:$B$269="C-Section"),
      0
    ),
    MATCH(
      _xludf.IFNA(
        VLOOKUP($D431,{"PH","Provincial Hospital (H2)";"DH","District Hospital (H3)";"RH","Regional / National Hospital (H1)"},2,0),
        $D431
      ),
      'Tools &amp; Targets_Guideline'!$C$53:$I$53,
      0
    )
  ),
0))</f>
        <v/>
      </c>
      <c r="AH431" s="102" t="str">
        <f>IF(A431&lt;&gt;"",COUNTIFS('QA Log'!D:D,A431,'QA Log'!M:M,"QQC",'QA Log'!L:L,"2. Hygiene and Sterilization",'QA Log'!Z:Z,"Approved"),"")</f>
        <v/>
      </c>
      <c r="AI431" s="102"/>
      <c r="AJ431" s="102"/>
      <c r="AK431" s="103" t="str">
        <f t="shared" si="17"/>
        <v/>
      </c>
      <c r="AL431" s="102"/>
      <c r="AM431" s="102"/>
      <c r="AN431" s="102"/>
      <c r="AO431" s="106"/>
      <c r="AP431" s="103"/>
      <c r="AQ431" s="102"/>
      <c r="AR431" s="102"/>
      <c r="AS431" s="102"/>
      <c r="AT431" s="107"/>
      <c r="AU431" s="102" t="str">
        <f t="shared" si="18"/>
        <v/>
      </c>
      <c r="AV431" s="102" t="str">
        <f t="shared" si="19"/>
        <v/>
      </c>
      <c r="AW431" s="102" t="str">
        <f t="shared" si="20"/>
        <v/>
      </c>
      <c r="AX431" s="102" t="str">
        <f t="shared" si="21"/>
        <v/>
      </c>
      <c r="AY431" s="107" t="str">
        <f t="shared" si="22"/>
        <v/>
      </c>
      <c r="AZ431" s="108" t="str">
        <f t="shared" si="23"/>
        <v/>
      </c>
      <c r="BA431" s="108" t="str">
        <f t="shared" si="24"/>
        <v/>
      </c>
      <c r="BB431" s="109" t="str">
        <f t="shared" si="25"/>
        <v/>
      </c>
      <c r="BC431" s="108" t="str">
        <f t="shared" si="26"/>
        <v/>
      </c>
      <c r="BD431" s="108" t="str">
        <f t="shared" si="27"/>
        <v/>
      </c>
      <c r="BE431" s="109" t="str">
        <f t="shared" si="28"/>
        <v/>
      </c>
      <c r="BF431" s="110" t="str">
        <f t="shared" si="29"/>
        <v/>
      </c>
      <c r="BG431" s="111"/>
    </row>
    <row r="432" spans="1:59" ht="12.75">
      <c r="A432" s="101"/>
      <c r="B432" s="102"/>
      <c r="C432" s="102" t="e">
        <f t="array" aca="1" ref="C432" ca="1">_xludf.XLOOKUP(A432,'QA Log'!D:D,'QA Log'!F:F,"")</f>
        <v>#NAME?</v>
      </c>
      <c r="D432" s="102"/>
      <c r="E432" s="102" t="e">
        <f t="array" aca="1" ref="E432" ca="1">_xludf.XLOOKUP(A432,'QA Log'!D:D,'QA Log'!G:G,"")</f>
        <v>#NAME?</v>
      </c>
      <c r="F432" s="103"/>
      <c r="G432" s="104"/>
      <c r="H432" s="104"/>
      <c r="I432" s="103" t="str">
        <f t="shared" si="15"/>
        <v/>
      </c>
      <c r="J432" s="102"/>
      <c r="K432" s="102"/>
      <c r="L432" s="119" t="str">
        <f t="array" ref="L432">IF(OR($B432="",$D432=""),"",
IFERROR(
  INDEX(
    'Tools &amp; Targets_Guideline'!$C$54:$I$269,
    MATCH(
      1,
      ('Tools &amp; Targets_Guideline'!$A$54:$A$269=$B432)*
      ('Tools &amp; Targets_Guideline'!$B$54:$B$269="ANC"),
      0
    ),
    MATCH(
      _xludf.IFNA(
        VLOOKUP($D432,{"PH","Provincial Hospital (H2)";"DH","District Hospital (H3)";"RH","Regional / National Hospital (H1)"},2,0),
        $D432
      ),
      'Tools &amp; Targets_Guideline'!$C$53:$I$53,
      0
    )
  ),
0))</f>
        <v/>
      </c>
      <c r="M432" s="102"/>
      <c r="N432" s="119" t="str">
        <f t="array" ref="N432">IF(OR($B432="",$D432=""),"",
IFERROR(
  INDEX(
    'Tools &amp; Targets_Guideline'!$C$54:$I$269,
    MATCH(
      1,
      ('Tools &amp; Targets_Guideline'!$A$54:$A$269=$B432)*
      ('Tools &amp; Targets_Guideline'!$B$54:$B$269="PNC"),
      0
    ),
    MATCH(
      _xludf.IFNA(
        VLOOKUP($D432,{"PH","Provincial Hospital (H2)";"DH","District Hospital (H3)";"RH","Regional / National Hospital (H1)"},2,0),
        $D432
      ),
      'Tools &amp; Targets_Guideline'!$C$53:$I$53,
      0
    )
  ),
0))</f>
        <v/>
      </c>
      <c r="O432" s="102"/>
      <c r="P432" s="119" t="str">
        <f t="array" ref="P432">IF(OR($B432="",$D432=""),"",
IFERROR(
  INDEX(
    'Tools &amp; Targets_Guideline'!$C$54:$I$269,
    MATCH(
      1,
      ('Tools &amp; Targets_Guideline'!$A$54:$A$269=$B432)*
      ('Tools &amp; Targets_Guideline'!$B$54:$B$269="Delivery"),
      0
    ),
    MATCH(
      _xludf.IFNA(
        VLOOKUP($D432,{"PH","Provincial Hospital (H2)";"DH","District Hospital (H3)";"RH","Regional / National Hospital (H1)"},2,0),
        $D432
      ),
      'Tools &amp; Targets_Guideline'!$C$53:$I$53,
      0
    )
  ),
0))</f>
        <v/>
      </c>
      <c r="Q432" s="102"/>
      <c r="R432" s="119" t="str">
        <f t="array" ref="R432">IF(OR($B432="",$D432=""),"",
IFERROR(
  INDEX(
    'Tools &amp; Targets_Guideline'!$C$54:$I$269,
    MATCH(
      1,
      ('Tools &amp; Targets_Guideline'!$A$54:$A$269=$B432)*
      ('Tools &amp; Targets_Guideline'!$B$54:$B$269="TT"),
      0
    ),
    MATCH(
      _xludf.IFNA(
        VLOOKUP($D432,{"PH","Provincial Hospital (H2)";"DH","District Hospital (H3)";"RH","Regional / National Hospital (H1)"},2,0),
        $D432
      ),
      'Tools &amp; Targets_Guideline'!$C$53:$I$53,
      0
    )
  ),
0))</f>
        <v/>
      </c>
      <c r="S432" s="102"/>
      <c r="T432" s="102"/>
      <c r="U432" s="106"/>
      <c r="V432" s="102" t="str">
        <f t="shared" si="16"/>
        <v/>
      </c>
      <c r="W432" s="102"/>
      <c r="X432" s="102"/>
      <c r="Y432" s="119" t="str">
        <f t="array" ref="Y432">IF(OR($B432="",$D432=""),"",
IFERROR(
  INDEX(
    'Tools &amp; Targets_Guideline'!$C$54:$I$269,
    MATCH(
      1,
      ('Tools &amp; Targets_Guideline'!$A$54:$A$269=$B432)*
      ('Tools &amp; Targets_Guideline'!$B$54:$B$269="GM"),
      0
    ),
    MATCH(
      _xludf.IFNA(
        VLOOKUP($D432,{"PH","Provincial Hospital (H2)";"DH","District Hospital (H3)";"RH","Regional / National Hospital (H1)"},2,0),
        $D432
      ),
      'Tools &amp; Targets_Guideline'!$C$53:$I$53,
      0
    )
  ),
0))</f>
        <v/>
      </c>
      <c r="Z432" s="102"/>
      <c r="AA432" s="119" t="str">
        <f t="array" ref="AA432">IF(OR($B432="",$D432=""),"",
IFERROR(
  INDEX(
    'Tools &amp; Targets_Guideline'!$C$54:$I$269,
    MATCH(
      1,
      ('Tools &amp; Targets_Guideline'!$A$54:$A$269=$B432)*
      ('Tools &amp; Targets_Guideline'!$B$54:$B$269="Penta"),
      0
    ),
    MATCH(
      _xludf.IFNA(
        VLOOKUP($D432,{"PH","Provincial Hospital (H2)";"DH","District Hospital (H3)";"RH","Regional / National Hospital (H1)"},2,0),
        $D432
      ),
      'Tools &amp; Targets_Guideline'!$C$53:$I$53,
      0
    )
  ),
0))</f>
        <v/>
      </c>
      <c r="AB432" s="102"/>
      <c r="AC432" s="119" t="str">
        <f t="array" ref="AC432">IF(OR($B432="",$D432=""),"",
IFERROR(
  INDEX(
    'Tools &amp; Targets_Guideline'!$C$54:$I$269,
    MATCH(
      1,
      ('Tools &amp; Targets_Guideline'!$A$54:$A$269=$B432)*
      ('Tools &amp; Targets_Guideline'!$B$54:$B$269="TB"),
      0
    ),
    MATCH(
      _xludf.IFNA(
        VLOOKUP($D432,{"PH","Provincial Hospital (H2)";"DH","District Hospital (H3)";"RH","Regional / National Hospital (H1)"},2,0),
        $D432
      ),
      'Tools &amp; Targets_Guideline'!$C$53:$I$53,
      0
    )
  ),
0))</f>
        <v/>
      </c>
      <c r="AD432" s="102"/>
      <c r="AE432" s="119" t="str">
        <f t="array" ref="AE432">IF(OR($B432="",$D432=""),"",
IFERROR(
  INDEX(
    'Tools &amp; Targets_Guideline'!$C$54:$I$269,
    MATCH(
      1,
      ('Tools &amp; Targets_Guideline'!$A$54:$A$269=$B432)*
      ('Tools &amp; Targets_Guideline'!$B$54:$B$269="U5 Morbidity"),
      0
    ),
    MATCH(
      _xludf.IFNA(
        VLOOKUP($D432,{"PH","Provincial Hospital (H2)";"DH","District Hospital (H3)";"RH","Regional / National Hospital (H1)"},2,0),
        $D432
      ),
      'Tools &amp; Targets_Guideline'!$C$53:$I$53,
      0
    )
  ),
0))</f>
        <v/>
      </c>
      <c r="AF432" s="102"/>
      <c r="AG432" s="119" t="str">
        <f t="array" ref="AG432">IF(OR($B432="",$D432=""),"",
IFERROR(
  INDEX(
    'Tools &amp; Targets_Guideline'!$C$54:$I$269,
    MATCH(
      1,
      ('Tools &amp; Targets_Guideline'!$A$54:$A$269=$B432)*
      ('Tools &amp; Targets_Guideline'!$B$54:$B$269="C-Section"),
      0
    ),
    MATCH(
      _xludf.IFNA(
        VLOOKUP($D432,{"PH","Provincial Hospital (H2)";"DH","District Hospital (H3)";"RH","Regional / National Hospital (H1)"},2,0),
        $D432
      ),
      'Tools &amp; Targets_Guideline'!$C$53:$I$53,
      0
    )
  ),
0))</f>
        <v/>
      </c>
      <c r="AH432" s="102" t="str">
        <f>IF(A432&lt;&gt;"",COUNTIFS('QA Log'!D:D,A432,'QA Log'!M:M,"QQC",'QA Log'!L:L,"2. Hygiene and Sterilization",'QA Log'!Z:Z,"Approved"),"")</f>
        <v/>
      </c>
      <c r="AI432" s="102"/>
      <c r="AJ432" s="102"/>
      <c r="AK432" s="103" t="str">
        <f t="shared" si="17"/>
        <v/>
      </c>
      <c r="AL432" s="102"/>
      <c r="AM432" s="102"/>
      <c r="AN432" s="102"/>
      <c r="AO432" s="106"/>
      <c r="AP432" s="103"/>
      <c r="AQ432" s="102"/>
      <c r="AR432" s="102"/>
      <c r="AS432" s="102"/>
      <c r="AT432" s="107"/>
      <c r="AU432" s="102" t="str">
        <f t="shared" si="18"/>
        <v/>
      </c>
      <c r="AV432" s="102" t="str">
        <f t="shared" si="19"/>
        <v/>
      </c>
      <c r="AW432" s="102" t="str">
        <f t="shared" si="20"/>
        <v/>
      </c>
      <c r="AX432" s="102" t="str">
        <f t="shared" si="21"/>
        <v/>
      </c>
      <c r="AY432" s="107" t="str">
        <f t="shared" si="22"/>
        <v/>
      </c>
      <c r="AZ432" s="108" t="str">
        <f t="shared" si="23"/>
        <v/>
      </c>
      <c r="BA432" s="108" t="str">
        <f t="shared" si="24"/>
        <v/>
      </c>
      <c r="BB432" s="109" t="str">
        <f t="shared" si="25"/>
        <v/>
      </c>
      <c r="BC432" s="108" t="str">
        <f t="shared" si="26"/>
        <v/>
      </c>
      <c r="BD432" s="108" t="str">
        <f t="shared" si="27"/>
        <v/>
      </c>
      <c r="BE432" s="109" t="str">
        <f t="shared" si="28"/>
        <v/>
      </c>
      <c r="BF432" s="110" t="str">
        <f t="shared" si="29"/>
        <v/>
      </c>
      <c r="BG432" s="111"/>
    </row>
    <row r="433" spans="1:59" ht="12.75">
      <c r="A433" s="101"/>
      <c r="B433" s="102"/>
      <c r="C433" s="102" t="e">
        <f t="array" aca="1" ref="C433" ca="1">_xludf.XLOOKUP(A433,'QA Log'!D:D,'QA Log'!F:F,"")</f>
        <v>#NAME?</v>
      </c>
      <c r="D433" s="102"/>
      <c r="E433" s="102" t="e">
        <f t="array" aca="1" ref="E433" ca="1">_xludf.XLOOKUP(A433,'QA Log'!D:D,'QA Log'!G:G,"")</f>
        <v>#NAME?</v>
      </c>
      <c r="F433" s="103"/>
      <c r="G433" s="104"/>
      <c r="H433" s="104"/>
      <c r="I433" s="103" t="str">
        <f t="shared" si="15"/>
        <v/>
      </c>
      <c r="J433" s="102"/>
      <c r="K433" s="102"/>
      <c r="L433" s="119" t="str">
        <f t="array" ref="L433">IF(OR($B433="",$D433=""),"",
IFERROR(
  INDEX(
    'Tools &amp; Targets_Guideline'!$C$54:$I$269,
    MATCH(
      1,
      ('Tools &amp; Targets_Guideline'!$A$54:$A$269=$B433)*
      ('Tools &amp; Targets_Guideline'!$B$54:$B$269="ANC"),
      0
    ),
    MATCH(
      _xludf.IFNA(
        VLOOKUP($D433,{"PH","Provincial Hospital (H2)";"DH","District Hospital (H3)";"RH","Regional / National Hospital (H1)"},2,0),
        $D433
      ),
      'Tools &amp; Targets_Guideline'!$C$53:$I$53,
      0
    )
  ),
0))</f>
        <v/>
      </c>
      <c r="M433" s="102"/>
      <c r="N433" s="119" t="str">
        <f t="array" ref="N433">IF(OR($B433="",$D433=""),"",
IFERROR(
  INDEX(
    'Tools &amp; Targets_Guideline'!$C$54:$I$269,
    MATCH(
      1,
      ('Tools &amp; Targets_Guideline'!$A$54:$A$269=$B433)*
      ('Tools &amp; Targets_Guideline'!$B$54:$B$269="PNC"),
      0
    ),
    MATCH(
      _xludf.IFNA(
        VLOOKUP($D433,{"PH","Provincial Hospital (H2)";"DH","District Hospital (H3)";"RH","Regional / National Hospital (H1)"},2,0),
        $D433
      ),
      'Tools &amp; Targets_Guideline'!$C$53:$I$53,
      0
    )
  ),
0))</f>
        <v/>
      </c>
      <c r="O433" s="102"/>
      <c r="P433" s="119" t="str">
        <f t="array" ref="P433">IF(OR($B433="",$D433=""),"",
IFERROR(
  INDEX(
    'Tools &amp; Targets_Guideline'!$C$54:$I$269,
    MATCH(
      1,
      ('Tools &amp; Targets_Guideline'!$A$54:$A$269=$B433)*
      ('Tools &amp; Targets_Guideline'!$B$54:$B$269="Delivery"),
      0
    ),
    MATCH(
      _xludf.IFNA(
        VLOOKUP($D433,{"PH","Provincial Hospital (H2)";"DH","District Hospital (H3)";"RH","Regional / National Hospital (H1)"},2,0),
        $D433
      ),
      'Tools &amp; Targets_Guideline'!$C$53:$I$53,
      0
    )
  ),
0))</f>
        <v/>
      </c>
      <c r="Q433" s="102"/>
      <c r="R433" s="119" t="str">
        <f t="array" ref="R433">IF(OR($B433="",$D433=""),"",
IFERROR(
  INDEX(
    'Tools &amp; Targets_Guideline'!$C$54:$I$269,
    MATCH(
      1,
      ('Tools &amp; Targets_Guideline'!$A$54:$A$269=$B433)*
      ('Tools &amp; Targets_Guideline'!$B$54:$B$269="TT"),
      0
    ),
    MATCH(
      _xludf.IFNA(
        VLOOKUP($D433,{"PH","Provincial Hospital (H2)";"DH","District Hospital (H3)";"RH","Regional / National Hospital (H1)"},2,0),
        $D433
      ),
      'Tools &amp; Targets_Guideline'!$C$53:$I$53,
      0
    )
  ),
0))</f>
        <v/>
      </c>
      <c r="S433" s="102"/>
      <c r="T433" s="102"/>
      <c r="U433" s="106"/>
      <c r="V433" s="102" t="str">
        <f t="shared" si="16"/>
        <v/>
      </c>
      <c r="W433" s="102"/>
      <c r="X433" s="102"/>
      <c r="Y433" s="119" t="str">
        <f t="array" ref="Y433">IF(OR($B433="",$D433=""),"",
IFERROR(
  INDEX(
    'Tools &amp; Targets_Guideline'!$C$54:$I$269,
    MATCH(
      1,
      ('Tools &amp; Targets_Guideline'!$A$54:$A$269=$B433)*
      ('Tools &amp; Targets_Guideline'!$B$54:$B$269="GM"),
      0
    ),
    MATCH(
      _xludf.IFNA(
        VLOOKUP($D433,{"PH","Provincial Hospital (H2)";"DH","District Hospital (H3)";"RH","Regional / National Hospital (H1)"},2,0),
        $D433
      ),
      'Tools &amp; Targets_Guideline'!$C$53:$I$53,
      0
    )
  ),
0))</f>
        <v/>
      </c>
      <c r="Z433" s="102"/>
      <c r="AA433" s="119" t="str">
        <f t="array" ref="AA433">IF(OR($B433="",$D433=""),"",
IFERROR(
  INDEX(
    'Tools &amp; Targets_Guideline'!$C$54:$I$269,
    MATCH(
      1,
      ('Tools &amp; Targets_Guideline'!$A$54:$A$269=$B433)*
      ('Tools &amp; Targets_Guideline'!$B$54:$B$269="Penta"),
      0
    ),
    MATCH(
      _xludf.IFNA(
        VLOOKUP($D433,{"PH","Provincial Hospital (H2)";"DH","District Hospital (H3)";"RH","Regional / National Hospital (H1)"},2,0),
        $D433
      ),
      'Tools &amp; Targets_Guideline'!$C$53:$I$53,
      0
    )
  ),
0))</f>
        <v/>
      </c>
      <c r="AB433" s="102"/>
      <c r="AC433" s="119" t="str">
        <f t="array" ref="AC433">IF(OR($B433="",$D433=""),"",
IFERROR(
  INDEX(
    'Tools &amp; Targets_Guideline'!$C$54:$I$269,
    MATCH(
      1,
      ('Tools &amp; Targets_Guideline'!$A$54:$A$269=$B433)*
      ('Tools &amp; Targets_Guideline'!$B$54:$B$269="TB"),
      0
    ),
    MATCH(
      _xludf.IFNA(
        VLOOKUP($D433,{"PH","Provincial Hospital (H2)";"DH","District Hospital (H3)";"RH","Regional / National Hospital (H1)"},2,0),
        $D433
      ),
      'Tools &amp; Targets_Guideline'!$C$53:$I$53,
      0
    )
  ),
0))</f>
        <v/>
      </c>
      <c r="AD433" s="102"/>
      <c r="AE433" s="119" t="str">
        <f t="array" ref="AE433">IF(OR($B433="",$D433=""),"",
IFERROR(
  INDEX(
    'Tools &amp; Targets_Guideline'!$C$54:$I$269,
    MATCH(
      1,
      ('Tools &amp; Targets_Guideline'!$A$54:$A$269=$B433)*
      ('Tools &amp; Targets_Guideline'!$B$54:$B$269="U5 Morbidity"),
      0
    ),
    MATCH(
      _xludf.IFNA(
        VLOOKUP($D433,{"PH","Provincial Hospital (H2)";"DH","District Hospital (H3)";"RH","Regional / National Hospital (H1)"},2,0),
        $D433
      ),
      'Tools &amp; Targets_Guideline'!$C$53:$I$53,
      0
    )
  ),
0))</f>
        <v/>
      </c>
      <c r="AF433" s="102"/>
      <c r="AG433" s="119" t="str">
        <f t="array" ref="AG433">IF(OR($B433="",$D433=""),"",
IFERROR(
  INDEX(
    'Tools &amp; Targets_Guideline'!$C$54:$I$269,
    MATCH(
      1,
      ('Tools &amp; Targets_Guideline'!$A$54:$A$269=$B433)*
      ('Tools &amp; Targets_Guideline'!$B$54:$B$269="C-Section"),
      0
    ),
    MATCH(
      _xludf.IFNA(
        VLOOKUP($D433,{"PH","Provincial Hospital (H2)";"DH","District Hospital (H3)";"RH","Regional / National Hospital (H1)"},2,0),
        $D433
      ),
      'Tools &amp; Targets_Guideline'!$C$53:$I$53,
      0
    )
  ),
0))</f>
        <v/>
      </c>
      <c r="AH433" s="102" t="str">
        <f>IF(A433&lt;&gt;"",COUNTIFS('QA Log'!D:D,A433,'QA Log'!M:M,"QQC",'QA Log'!L:L,"2. Hygiene and Sterilization",'QA Log'!Z:Z,"Approved"),"")</f>
        <v/>
      </c>
      <c r="AI433" s="102"/>
      <c r="AJ433" s="102"/>
      <c r="AK433" s="103" t="str">
        <f t="shared" si="17"/>
        <v/>
      </c>
      <c r="AL433" s="102"/>
      <c r="AM433" s="102"/>
      <c r="AN433" s="102"/>
      <c r="AO433" s="106"/>
      <c r="AP433" s="103"/>
      <c r="AQ433" s="102"/>
      <c r="AR433" s="102"/>
      <c r="AS433" s="102"/>
      <c r="AT433" s="107"/>
      <c r="AU433" s="102" t="str">
        <f t="shared" si="18"/>
        <v/>
      </c>
      <c r="AV433" s="102" t="str">
        <f t="shared" si="19"/>
        <v/>
      </c>
      <c r="AW433" s="102" t="str">
        <f t="shared" si="20"/>
        <v/>
      </c>
      <c r="AX433" s="102" t="str">
        <f t="shared" si="21"/>
        <v/>
      </c>
      <c r="AY433" s="107" t="str">
        <f t="shared" si="22"/>
        <v/>
      </c>
      <c r="AZ433" s="108" t="str">
        <f t="shared" si="23"/>
        <v/>
      </c>
      <c r="BA433" s="108" t="str">
        <f t="shared" si="24"/>
        <v/>
      </c>
      <c r="BB433" s="109" t="str">
        <f t="shared" si="25"/>
        <v/>
      </c>
      <c r="BC433" s="108" t="str">
        <f t="shared" si="26"/>
        <v/>
      </c>
      <c r="BD433" s="108" t="str">
        <f t="shared" si="27"/>
        <v/>
      </c>
      <c r="BE433" s="109" t="str">
        <f t="shared" si="28"/>
        <v/>
      </c>
      <c r="BF433" s="110" t="str">
        <f t="shared" si="29"/>
        <v/>
      </c>
      <c r="BG433" s="111"/>
    </row>
    <row r="434" spans="1:59" ht="12.75">
      <c r="A434" s="101"/>
      <c r="B434" s="102"/>
      <c r="C434" s="102" t="e">
        <f t="array" aca="1" ref="C434" ca="1">_xludf.XLOOKUP(A434,'QA Log'!D:D,'QA Log'!F:F,"")</f>
        <v>#NAME?</v>
      </c>
      <c r="D434" s="102"/>
      <c r="E434" s="102" t="e">
        <f t="array" aca="1" ref="E434" ca="1">_xludf.XLOOKUP(A434,'QA Log'!D:D,'QA Log'!G:G,"")</f>
        <v>#NAME?</v>
      </c>
      <c r="F434" s="103"/>
      <c r="G434" s="104"/>
      <c r="H434" s="104"/>
      <c r="I434" s="103" t="str">
        <f t="shared" si="15"/>
        <v/>
      </c>
      <c r="J434" s="102"/>
      <c r="K434" s="102"/>
      <c r="L434" s="119" t="str">
        <f t="array" ref="L434">IF(OR($B434="",$D434=""),"",
IFERROR(
  INDEX(
    'Tools &amp; Targets_Guideline'!$C$54:$I$269,
    MATCH(
      1,
      ('Tools &amp; Targets_Guideline'!$A$54:$A$269=$B434)*
      ('Tools &amp; Targets_Guideline'!$B$54:$B$269="ANC"),
      0
    ),
    MATCH(
      _xludf.IFNA(
        VLOOKUP($D434,{"PH","Provincial Hospital (H2)";"DH","District Hospital (H3)";"RH","Regional / National Hospital (H1)"},2,0),
        $D434
      ),
      'Tools &amp; Targets_Guideline'!$C$53:$I$53,
      0
    )
  ),
0))</f>
        <v/>
      </c>
      <c r="M434" s="102"/>
      <c r="N434" s="119" t="str">
        <f t="array" ref="N434">IF(OR($B434="",$D434=""),"",
IFERROR(
  INDEX(
    'Tools &amp; Targets_Guideline'!$C$54:$I$269,
    MATCH(
      1,
      ('Tools &amp; Targets_Guideline'!$A$54:$A$269=$B434)*
      ('Tools &amp; Targets_Guideline'!$B$54:$B$269="PNC"),
      0
    ),
    MATCH(
      _xludf.IFNA(
        VLOOKUP($D434,{"PH","Provincial Hospital (H2)";"DH","District Hospital (H3)";"RH","Regional / National Hospital (H1)"},2,0),
        $D434
      ),
      'Tools &amp; Targets_Guideline'!$C$53:$I$53,
      0
    )
  ),
0))</f>
        <v/>
      </c>
      <c r="O434" s="102"/>
      <c r="P434" s="119" t="str">
        <f t="array" ref="P434">IF(OR($B434="",$D434=""),"",
IFERROR(
  INDEX(
    'Tools &amp; Targets_Guideline'!$C$54:$I$269,
    MATCH(
      1,
      ('Tools &amp; Targets_Guideline'!$A$54:$A$269=$B434)*
      ('Tools &amp; Targets_Guideline'!$B$54:$B$269="Delivery"),
      0
    ),
    MATCH(
      _xludf.IFNA(
        VLOOKUP($D434,{"PH","Provincial Hospital (H2)";"DH","District Hospital (H3)";"RH","Regional / National Hospital (H1)"},2,0),
        $D434
      ),
      'Tools &amp; Targets_Guideline'!$C$53:$I$53,
      0
    )
  ),
0))</f>
        <v/>
      </c>
      <c r="Q434" s="102"/>
      <c r="R434" s="119" t="str">
        <f t="array" ref="R434">IF(OR($B434="",$D434=""),"",
IFERROR(
  INDEX(
    'Tools &amp; Targets_Guideline'!$C$54:$I$269,
    MATCH(
      1,
      ('Tools &amp; Targets_Guideline'!$A$54:$A$269=$B434)*
      ('Tools &amp; Targets_Guideline'!$B$54:$B$269="TT"),
      0
    ),
    MATCH(
      _xludf.IFNA(
        VLOOKUP($D434,{"PH","Provincial Hospital (H2)";"DH","District Hospital (H3)";"RH","Regional / National Hospital (H1)"},2,0),
        $D434
      ),
      'Tools &amp; Targets_Guideline'!$C$53:$I$53,
      0
    )
  ),
0))</f>
        <v/>
      </c>
      <c r="S434" s="102"/>
      <c r="T434" s="102"/>
      <c r="U434" s="106"/>
      <c r="V434" s="102" t="str">
        <f t="shared" si="16"/>
        <v/>
      </c>
      <c r="W434" s="102"/>
      <c r="X434" s="102"/>
      <c r="Y434" s="119" t="str">
        <f t="array" ref="Y434">IF(OR($B434="",$D434=""),"",
IFERROR(
  INDEX(
    'Tools &amp; Targets_Guideline'!$C$54:$I$269,
    MATCH(
      1,
      ('Tools &amp; Targets_Guideline'!$A$54:$A$269=$B434)*
      ('Tools &amp; Targets_Guideline'!$B$54:$B$269="GM"),
      0
    ),
    MATCH(
      _xludf.IFNA(
        VLOOKUP($D434,{"PH","Provincial Hospital (H2)";"DH","District Hospital (H3)";"RH","Regional / National Hospital (H1)"},2,0),
        $D434
      ),
      'Tools &amp; Targets_Guideline'!$C$53:$I$53,
      0
    )
  ),
0))</f>
        <v/>
      </c>
      <c r="Z434" s="102"/>
      <c r="AA434" s="119" t="str">
        <f t="array" ref="AA434">IF(OR($B434="",$D434=""),"",
IFERROR(
  INDEX(
    'Tools &amp; Targets_Guideline'!$C$54:$I$269,
    MATCH(
      1,
      ('Tools &amp; Targets_Guideline'!$A$54:$A$269=$B434)*
      ('Tools &amp; Targets_Guideline'!$B$54:$B$269="Penta"),
      0
    ),
    MATCH(
      _xludf.IFNA(
        VLOOKUP($D434,{"PH","Provincial Hospital (H2)";"DH","District Hospital (H3)";"RH","Regional / National Hospital (H1)"},2,0),
        $D434
      ),
      'Tools &amp; Targets_Guideline'!$C$53:$I$53,
      0
    )
  ),
0))</f>
        <v/>
      </c>
      <c r="AB434" s="102"/>
      <c r="AC434" s="119" t="str">
        <f t="array" ref="AC434">IF(OR($B434="",$D434=""),"",
IFERROR(
  INDEX(
    'Tools &amp; Targets_Guideline'!$C$54:$I$269,
    MATCH(
      1,
      ('Tools &amp; Targets_Guideline'!$A$54:$A$269=$B434)*
      ('Tools &amp; Targets_Guideline'!$B$54:$B$269="TB"),
      0
    ),
    MATCH(
      _xludf.IFNA(
        VLOOKUP($D434,{"PH","Provincial Hospital (H2)";"DH","District Hospital (H3)";"RH","Regional / National Hospital (H1)"},2,0),
        $D434
      ),
      'Tools &amp; Targets_Guideline'!$C$53:$I$53,
      0
    )
  ),
0))</f>
        <v/>
      </c>
      <c r="AD434" s="102"/>
      <c r="AE434" s="119" t="str">
        <f t="array" ref="AE434">IF(OR($B434="",$D434=""),"",
IFERROR(
  INDEX(
    'Tools &amp; Targets_Guideline'!$C$54:$I$269,
    MATCH(
      1,
      ('Tools &amp; Targets_Guideline'!$A$54:$A$269=$B434)*
      ('Tools &amp; Targets_Guideline'!$B$54:$B$269="U5 Morbidity"),
      0
    ),
    MATCH(
      _xludf.IFNA(
        VLOOKUP($D434,{"PH","Provincial Hospital (H2)";"DH","District Hospital (H3)";"RH","Regional / National Hospital (H1)"},2,0),
        $D434
      ),
      'Tools &amp; Targets_Guideline'!$C$53:$I$53,
      0
    )
  ),
0))</f>
        <v/>
      </c>
      <c r="AF434" s="102"/>
      <c r="AG434" s="119" t="str">
        <f t="array" ref="AG434">IF(OR($B434="",$D434=""),"",
IFERROR(
  INDEX(
    'Tools &amp; Targets_Guideline'!$C$54:$I$269,
    MATCH(
      1,
      ('Tools &amp; Targets_Guideline'!$A$54:$A$269=$B434)*
      ('Tools &amp; Targets_Guideline'!$B$54:$B$269="C-Section"),
      0
    ),
    MATCH(
      _xludf.IFNA(
        VLOOKUP($D434,{"PH","Provincial Hospital (H2)";"DH","District Hospital (H3)";"RH","Regional / National Hospital (H1)"},2,0),
        $D434
      ),
      'Tools &amp; Targets_Guideline'!$C$53:$I$53,
      0
    )
  ),
0))</f>
        <v/>
      </c>
      <c r="AH434" s="102" t="str">
        <f>IF(A434&lt;&gt;"",COUNTIFS('QA Log'!D:D,A434,'QA Log'!M:M,"QQC",'QA Log'!L:L,"2. Hygiene and Sterilization",'QA Log'!Z:Z,"Approved"),"")</f>
        <v/>
      </c>
      <c r="AI434" s="102"/>
      <c r="AJ434" s="102"/>
      <c r="AK434" s="103" t="str">
        <f t="shared" si="17"/>
        <v/>
      </c>
      <c r="AL434" s="102"/>
      <c r="AM434" s="102"/>
      <c r="AN434" s="102"/>
      <c r="AO434" s="106"/>
      <c r="AP434" s="103"/>
      <c r="AQ434" s="102"/>
      <c r="AR434" s="102"/>
      <c r="AS434" s="102"/>
      <c r="AT434" s="107"/>
      <c r="AU434" s="102" t="str">
        <f t="shared" si="18"/>
        <v/>
      </c>
      <c r="AV434" s="102" t="str">
        <f t="shared" si="19"/>
        <v/>
      </c>
      <c r="AW434" s="102" t="str">
        <f t="shared" si="20"/>
        <v/>
      </c>
      <c r="AX434" s="102" t="str">
        <f t="shared" si="21"/>
        <v/>
      </c>
      <c r="AY434" s="107" t="str">
        <f t="shared" si="22"/>
        <v/>
      </c>
      <c r="AZ434" s="108" t="str">
        <f t="shared" si="23"/>
        <v/>
      </c>
      <c r="BA434" s="108" t="str">
        <f t="shared" si="24"/>
        <v/>
      </c>
      <c r="BB434" s="109" t="str">
        <f t="shared" si="25"/>
        <v/>
      </c>
      <c r="BC434" s="108" t="str">
        <f t="shared" si="26"/>
        <v/>
      </c>
      <c r="BD434" s="108" t="str">
        <f t="shared" si="27"/>
        <v/>
      </c>
      <c r="BE434" s="109" t="str">
        <f t="shared" si="28"/>
        <v/>
      </c>
      <c r="BF434" s="110" t="str">
        <f t="shared" si="29"/>
        <v/>
      </c>
      <c r="BG434" s="111"/>
    </row>
    <row r="435" spans="1:59" ht="12.75">
      <c r="A435" s="101"/>
      <c r="B435" s="102"/>
      <c r="C435" s="102" t="e">
        <f t="array" aca="1" ref="C435" ca="1">_xludf.XLOOKUP(A435,'QA Log'!D:D,'QA Log'!F:F,"")</f>
        <v>#NAME?</v>
      </c>
      <c r="D435" s="102"/>
      <c r="E435" s="102" t="e">
        <f t="array" aca="1" ref="E435" ca="1">_xludf.XLOOKUP(A435,'QA Log'!D:D,'QA Log'!G:G,"")</f>
        <v>#NAME?</v>
      </c>
      <c r="F435" s="103"/>
      <c r="G435" s="104"/>
      <c r="H435" s="104"/>
      <c r="I435" s="103" t="str">
        <f t="shared" si="15"/>
        <v/>
      </c>
      <c r="J435" s="102"/>
      <c r="K435" s="102"/>
      <c r="L435" s="119" t="str">
        <f t="array" ref="L435">IF(OR($B435="",$D435=""),"",
IFERROR(
  INDEX(
    'Tools &amp; Targets_Guideline'!$C$54:$I$269,
    MATCH(
      1,
      ('Tools &amp; Targets_Guideline'!$A$54:$A$269=$B435)*
      ('Tools &amp; Targets_Guideline'!$B$54:$B$269="ANC"),
      0
    ),
    MATCH(
      _xludf.IFNA(
        VLOOKUP($D435,{"PH","Provincial Hospital (H2)";"DH","District Hospital (H3)";"RH","Regional / National Hospital (H1)"},2,0),
        $D435
      ),
      'Tools &amp; Targets_Guideline'!$C$53:$I$53,
      0
    )
  ),
0))</f>
        <v/>
      </c>
      <c r="M435" s="102"/>
      <c r="N435" s="119" t="str">
        <f t="array" ref="N435">IF(OR($B435="",$D435=""),"",
IFERROR(
  INDEX(
    'Tools &amp; Targets_Guideline'!$C$54:$I$269,
    MATCH(
      1,
      ('Tools &amp; Targets_Guideline'!$A$54:$A$269=$B435)*
      ('Tools &amp; Targets_Guideline'!$B$54:$B$269="PNC"),
      0
    ),
    MATCH(
      _xludf.IFNA(
        VLOOKUP($D435,{"PH","Provincial Hospital (H2)";"DH","District Hospital (H3)";"RH","Regional / National Hospital (H1)"},2,0),
        $D435
      ),
      'Tools &amp; Targets_Guideline'!$C$53:$I$53,
      0
    )
  ),
0))</f>
        <v/>
      </c>
      <c r="O435" s="102"/>
      <c r="P435" s="119" t="str">
        <f t="array" ref="P435">IF(OR($B435="",$D435=""),"",
IFERROR(
  INDEX(
    'Tools &amp; Targets_Guideline'!$C$54:$I$269,
    MATCH(
      1,
      ('Tools &amp; Targets_Guideline'!$A$54:$A$269=$B435)*
      ('Tools &amp; Targets_Guideline'!$B$54:$B$269="Delivery"),
      0
    ),
    MATCH(
      _xludf.IFNA(
        VLOOKUP($D435,{"PH","Provincial Hospital (H2)";"DH","District Hospital (H3)";"RH","Regional / National Hospital (H1)"},2,0),
        $D435
      ),
      'Tools &amp; Targets_Guideline'!$C$53:$I$53,
      0
    )
  ),
0))</f>
        <v/>
      </c>
      <c r="Q435" s="102"/>
      <c r="R435" s="119" t="str">
        <f t="array" ref="R435">IF(OR($B435="",$D435=""),"",
IFERROR(
  INDEX(
    'Tools &amp; Targets_Guideline'!$C$54:$I$269,
    MATCH(
      1,
      ('Tools &amp; Targets_Guideline'!$A$54:$A$269=$B435)*
      ('Tools &amp; Targets_Guideline'!$B$54:$B$269="TT"),
      0
    ),
    MATCH(
      _xludf.IFNA(
        VLOOKUP($D435,{"PH","Provincial Hospital (H2)";"DH","District Hospital (H3)";"RH","Regional / National Hospital (H1)"},2,0),
        $D435
      ),
      'Tools &amp; Targets_Guideline'!$C$53:$I$53,
      0
    )
  ),
0))</f>
        <v/>
      </c>
      <c r="S435" s="102"/>
      <c r="T435" s="102"/>
      <c r="U435" s="106"/>
      <c r="V435" s="102" t="str">
        <f t="shared" si="16"/>
        <v/>
      </c>
      <c r="W435" s="102"/>
      <c r="X435" s="102"/>
      <c r="Y435" s="119" t="str">
        <f t="array" ref="Y435">IF(OR($B435="",$D435=""),"",
IFERROR(
  INDEX(
    'Tools &amp; Targets_Guideline'!$C$54:$I$269,
    MATCH(
      1,
      ('Tools &amp; Targets_Guideline'!$A$54:$A$269=$B435)*
      ('Tools &amp; Targets_Guideline'!$B$54:$B$269="GM"),
      0
    ),
    MATCH(
      _xludf.IFNA(
        VLOOKUP($D435,{"PH","Provincial Hospital (H2)";"DH","District Hospital (H3)";"RH","Regional / National Hospital (H1)"},2,0),
        $D435
      ),
      'Tools &amp; Targets_Guideline'!$C$53:$I$53,
      0
    )
  ),
0))</f>
        <v/>
      </c>
      <c r="Z435" s="102"/>
      <c r="AA435" s="119" t="str">
        <f t="array" ref="AA435">IF(OR($B435="",$D435=""),"",
IFERROR(
  INDEX(
    'Tools &amp; Targets_Guideline'!$C$54:$I$269,
    MATCH(
      1,
      ('Tools &amp; Targets_Guideline'!$A$54:$A$269=$B435)*
      ('Tools &amp; Targets_Guideline'!$B$54:$B$269="Penta"),
      0
    ),
    MATCH(
      _xludf.IFNA(
        VLOOKUP($D435,{"PH","Provincial Hospital (H2)";"DH","District Hospital (H3)";"RH","Regional / National Hospital (H1)"},2,0),
        $D435
      ),
      'Tools &amp; Targets_Guideline'!$C$53:$I$53,
      0
    )
  ),
0))</f>
        <v/>
      </c>
      <c r="AB435" s="102"/>
      <c r="AC435" s="119" t="str">
        <f t="array" ref="AC435">IF(OR($B435="",$D435=""),"",
IFERROR(
  INDEX(
    'Tools &amp; Targets_Guideline'!$C$54:$I$269,
    MATCH(
      1,
      ('Tools &amp; Targets_Guideline'!$A$54:$A$269=$B435)*
      ('Tools &amp; Targets_Guideline'!$B$54:$B$269="TB"),
      0
    ),
    MATCH(
      _xludf.IFNA(
        VLOOKUP($D435,{"PH","Provincial Hospital (H2)";"DH","District Hospital (H3)";"RH","Regional / National Hospital (H1)"},2,0),
        $D435
      ),
      'Tools &amp; Targets_Guideline'!$C$53:$I$53,
      0
    )
  ),
0))</f>
        <v/>
      </c>
      <c r="AD435" s="102"/>
      <c r="AE435" s="119" t="str">
        <f t="array" ref="AE435">IF(OR($B435="",$D435=""),"",
IFERROR(
  INDEX(
    'Tools &amp; Targets_Guideline'!$C$54:$I$269,
    MATCH(
      1,
      ('Tools &amp; Targets_Guideline'!$A$54:$A$269=$B435)*
      ('Tools &amp; Targets_Guideline'!$B$54:$B$269="U5 Morbidity"),
      0
    ),
    MATCH(
      _xludf.IFNA(
        VLOOKUP($D435,{"PH","Provincial Hospital (H2)";"DH","District Hospital (H3)";"RH","Regional / National Hospital (H1)"},2,0),
        $D435
      ),
      'Tools &amp; Targets_Guideline'!$C$53:$I$53,
      0
    )
  ),
0))</f>
        <v/>
      </c>
      <c r="AF435" s="102"/>
      <c r="AG435" s="119" t="str">
        <f t="array" ref="AG435">IF(OR($B435="",$D435=""),"",
IFERROR(
  INDEX(
    'Tools &amp; Targets_Guideline'!$C$54:$I$269,
    MATCH(
      1,
      ('Tools &amp; Targets_Guideline'!$A$54:$A$269=$B435)*
      ('Tools &amp; Targets_Guideline'!$B$54:$B$269="C-Section"),
      0
    ),
    MATCH(
      _xludf.IFNA(
        VLOOKUP($D435,{"PH","Provincial Hospital (H2)";"DH","District Hospital (H3)";"RH","Regional / National Hospital (H1)"},2,0),
        $D435
      ),
      'Tools &amp; Targets_Guideline'!$C$53:$I$53,
      0
    )
  ),
0))</f>
        <v/>
      </c>
      <c r="AH435" s="102" t="str">
        <f>IF(A435&lt;&gt;"",COUNTIFS('QA Log'!D:D,A435,'QA Log'!M:M,"QQC",'QA Log'!L:L,"2. Hygiene and Sterilization",'QA Log'!Z:Z,"Approved"),"")</f>
        <v/>
      </c>
      <c r="AI435" s="102"/>
      <c r="AJ435" s="102"/>
      <c r="AK435" s="103" t="str">
        <f t="shared" si="17"/>
        <v/>
      </c>
      <c r="AL435" s="102"/>
      <c r="AM435" s="102"/>
      <c r="AN435" s="102"/>
      <c r="AO435" s="106"/>
      <c r="AP435" s="103"/>
      <c r="AQ435" s="102"/>
      <c r="AR435" s="102"/>
      <c r="AS435" s="102"/>
      <c r="AT435" s="107"/>
      <c r="AU435" s="102" t="str">
        <f t="shared" si="18"/>
        <v/>
      </c>
      <c r="AV435" s="102" t="str">
        <f t="shared" si="19"/>
        <v/>
      </c>
      <c r="AW435" s="102" t="str">
        <f t="shared" si="20"/>
        <v/>
      </c>
      <c r="AX435" s="102" t="str">
        <f t="shared" si="21"/>
        <v/>
      </c>
      <c r="AY435" s="107" t="str">
        <f t="shared" si="22"/>
        <v/>
      </c>
      <c r="AZ435" s="108" t="str">
        <f t="shared" si="23"/>
        <v/>
      </c>
      <c r="BA435" s="108" t="str">
        <f t="shared" si="24"/>
        <v/>
      </c>
      <c r="BB435" s="109" t="str">
        <f t="shared" si="25"/>
        <v/>
      </c>
      <c r="BC435" s="108" t="str">
        <f t="shared" si="26"/>
        <v/>
      </c>
      <c r="BD435" s="108" t="str">
        <f t="shared" si="27"/>
        <v/>
      </c>
      <c r="BE435" s="109" t="str">
        <f t="shared" si="28"/>
        <v/>
      </c>
      <c r="BF435" s="110" t="str">
        <f t="shared" si="29"/>
        <v/>
      </c>
      <c r="BG435" s="111"/>
    </row>
    <row r="436" spans="1:59" ht="12.75">
      <c r="A436" s="101"/>
      <c r="B436" s="102"/>
      <c r="C436" s="102" t="e">
        <f t="array" aca="1" ref="C436" ca="1">_xludf.XLOOKUP(A436,'QA Log'!D:D,'QA Log'!F:F,"")</f>
        <v>#NAME?</v>
      </c>
      <c r="D436" s="102"/>
      <c r="E436" s="102" t="e">
        <f t="array" aca="1" ref="E436" ca="1">_xludf.XLOOKUP(A436,'QA Log'!D:D,'QA Log'!G:G,"")</f>
        <v>#NAME?</v>
      </c>
      <c r="F436" s="103"/>
      <c r="G436" s="104"/>
      <c r="H436" s="104"/>
      <c r="I436" s="103" t="str">
        <f t="shared" si="15"/>
        <v/>
      </c>
      <c r="J436" s="102"/>
      <c r="K436" s="102"/>
      <c r="L436" s="119" t="str">
        <f t="array" ref="L436">IF(OR($B436="",$D436=""),"",
IFERROR(
  INDEX(
    'Tools &amp; Targets_Guideline'!$C$54:$I$269,
    MATCH(
      1,
      ('Tools &amp; Targets_Guideline'!$A$54:$A$269=$B436)*
      ('Tools &amp; Targets_Guideline'!$B$54:$B$269="ANC"),
      0
    ),
    MATCH(
      _xludf.IFNA(
        VLOOKUP($D436,{"PH","Provincial Hospital (H2)";"DH","District Hospital (H3)";"RH","Regional / National Hospital (H1)"},2,0),
        $D436
      ),
      'Tools &amp; Targets_Guideline'!$C$53:$I$53,
      0
    )
  ),
0))</f>
        <v/>
      </c>
      <c r="M436" s="102"/>
      <c r="N436" s="119" t="str">
        <f t="array" ref="N436">IF(OR($B436="",$D436=""),"",
IFERROR(
  INDEX(
    'Tools &amp; Targets_Guideline'!$C$54:$I$269,
    MATCH(
      1,
      ('Tools &amp; Targets_Guideline'!$A$54:$A$269=$B436)*
      ('Tools &amp; Targets_Guideline'!$B$54:$B$269="PNC"),
      0
    ),
    MATCH(
      _xludf.IFNA(
        VLOOKUP($D436,{"PH","Provincial Hospital (H2)";"DH","District Hospital (H3)";"RH","Regional / National Hospital (H1)"},2,0),
        $D436
      ),
      'Tools &amp; Targets_Guideline'!$C$53:$I$53,
      0
    )
  ),
0))</f>
        <v/>
      </c>
      <c r="O436" s="102"/>
      <c r="P436" s="119" t="str">
        <f t="array" ref="P436">IF(OR($B436="",$D436=""),"",
IFERROR(
  INDEX(
    'Tools &amp; Targets_Guideline'!$C$54:$I$269,
    MATCH(
      1,
      ('Tools &amp; Targets_Guideline'!$A$54:$A$269=$B436)*
      ('Tools &amp; Targets_Guideline'!$B$54:$B$269="Delivery"),
      0
    ),
    MATCH(
      _xludf.IFNA(
        VLOOKUP($D436,{"PH","Provincial Hospital (H2)";"DH","District Hospital (H3)";"RH","Regional / National Hospital (H1)"},2,0),
        $D436
      ),
      'Tools &amp; Targets_Guideline'!$C$53:$I$53,
      0
    )
  ),
0))</f>
        <v/>
      </c>
      <c r="Q436" s="102"/>
      <c r="R436" s="119" t="str">
        <f t="array" ref="R436">IF(OR($B436="",$D436=""),"",
IFERROR(
  INDEX(
    'Tools &amp; Targets_Guideline'!$C$54:$I$269,
    MATCH(
      1,
      ('Tools &amp; Targets_Guideline'!$A$54:$A$269=$B436)*
      ('Tools &amp; Targets_Guideline'!$B$54:$B$269="TT"),
      0
    ),
    MATCH(
      _xludf.IFNA(
        VLOOKUP($D436,{"PH","Provincial Hospital (H2)";"DH","District Hospital (H3)";"RH","Regional / National Hospital (H1)"},2,0),
        $D436
      ),
      'Tools &amp; Targets_Guideline'!$C$53:$I$53,
      0
    )
  ),
0))</f>
        <v/>
      </c>
      <c r="S436" s="102"/>
      <c r="T436" s="102"/>
      <c r="U436" s="106"/>
      <c r="V436" s="102" t="str">
        <f t="shared" si="16"/>
        <v/>
      </c>
      <c r="W436" s="102"/>
      <c r="X436" s="102"/>
      <c r="Y436" s="119" t="str">
        <f t="array" ref="Y436">IF(OR($B436="",$D436=""),"",
IFERROR(
  INDEX(
    'Tools &amp; Targets_Guideline'!$C$54:$I$269,
    MATCH(
      1,
      ('Tools &amp; Targets_Guideline'!$A$54:$A$269=$B436)*
      ('Tools &amp; Targets_Guideline'!$B$54:$B$269="GM"),
      0
    ),
    MATCH(
      _xludf.IFNA(
        VLOOKUP($D436,{"PH","Provincial Hospital (H2)";"DH","District Hospital (H3)";"RH","Regional / National Hospital (H1)"},2,0),
        $D436
      ),
      'Tools &amp; Targets_Guideline'!$C$53:$I$53,
      0
    )
  ),
0))</f>
        <v/>
      </c>
      <c r="Z436" s="102"/>
      <c r="AA436" s="119" t="str">
        <f t="array" ref="AA436">IF(OR($B436="",$D436=""),"",
IFERROR(
  INDEX(
    'Tools &amp; Targets_Guideline'!$C$54:$I$269,
    MATCH(
      1,
      ('Tools &amp; Targets_Guideline'!$A$54:$A$269=$B436)*
      ('Tools &amp; Targets_Guideline'!$B$54:$B$269="Penta"),
      0
    ),
    MATCH(
      _xludf.IFNA(
        VLOOKUP($D436,{"PH","Provincial Hospital (H2)";"DH","District Hospital (H3)";"RH","Regional / National Hospital (H1)"},2,0),
        $D436
      ),
      'Tools &amp; Targets_Guideline'!$C$53:$I$53,
      0
    )
  ),
0))</f>
        <v/>
      </c>
      <c r="AB436" s="102"/>
      <c r="AC436" s="119" t="str">
        <f t="array" ref="AC436">IF(OR($B436="",$D436=""),"",
IFERROR(
  INDEX(
    'Tools &amp; Targets_Guideline'!$C$54:$I$269,
    MATCH(
      1,
      ('Tools &amp; Targets_Guideline'!$A$54:$A$269=$B436)*
      ('Tools &amp; Targets_Guideline'!$B$54:$B$269="TB"),
      0
    ),
    MATCH(
      _xludf.IFNA(
        VLOOKUP($D436,{"PH","Provincial Hospital (H2)";"DH","District Hospital (H3)";"RH","Regional / National Hospital (H1)"},2,0),
        $D436
      ),
      'Tools &amp; Targets_Guideline'!$C$53:$I$53,
      0
    )
  ),
0))</f>
        <v/>
      </c>
      <c r="AD436" s="102"/>
      <c r="AE436" s="119" t="str">
        <f t="array" ref="AE436">IF(OR($B436="",$D436=""),"",
IFERROR(
  INDEX(
    'Tools &amp; Targets_Guideline'!$C$54:$I$269,
    MATCH(
      1,
      ('Tools &amp; Targets_Guideline'!$A$54:$A$269=$B436)*
      ('Tools &amp; Targets_Guideline'!$B$54:$B$269="U5 Morbidity"),
      0
    ),
    MATCH(
      _xludf.IFNA(
        VLOOKUP($D436,{"PH","Provincial Hospital (H2)";"DH","District Hospital (H3)";"RH","Regional / National Hospital (H1)"},2,0),
        $D436
      ),
      'Tools &amp; Targets_Guideline'!$C$53:$I$53,
      0
    )
  ),
0))</f>
        <v/>
      </c>
      <c r="AF436" s="102"/>
      <c r="AG436" s="119" t="str">
        <f t="array" ref="AG436">IF(OR($B436="",$D436=""),"",
IFERROR(
  INDEX(
    'Tools &amp; Targets_Guideline'!$C$54:$I$269,
    MATCH(
      1,
      ('Tools &amp; Targets_Guideline'!$A$54:$A$269=$B436)*
      ('Tools &amp; Targets_Guideline'!$B$54:$B$269="C-Section"),
      0
    ),
    MATCH(
      _xludf.IFNA(
        VLOOKUP($D436,{"PH","Provincial Hospital (H2)";"DH","District Hospital (H3)";"RH","Regional / National Hospital (H1)"},2,0),
        $D436
      ),
      'Tools &amp; Targets_Guideline'!$C$53:$I$53,
      0
    )
  ),
0))</f>
        <v/>
      </c>
      <c r="AH436" s="102" t="str">
        <f>IF(A436&lt;&gt;"",COUNTIFS('QA Log'!D:D,A436,'QA Log'!M:M,"QQC",'QA Log'!L:L,"2. Hygiene and Sterilization",'QA Log'!Z:Z,"Approved"),"")</f>
        <v/>
      </c>
      <c r="AI436" s="102"/>
      <c r="AJ436" s="102"/>
      <c r="AK436" s="103" t="str">
        <f t="shared" si="17"/>
        <v/>
      </c>
      <c r="AL436" s="102"/>
      <c r="AM436" s="102"/>
      <c r="AN436" s="102"/>
      <c r="AO436" s="106"/>
      <c r="AP436" s="103"/>
      <c r="AQ436" s="102"/>
      <c r="AR436" s="102"/>
      <c r="AS436" s="102"/>
      <c r="AT436" s="107"/>
      <c r="AU436" s="102" t="str">
        <f t="shared" si="18"/>
        <v/>
      </c>
      <c r="AV436" s="102" t="str">
        <f t="shared" si="19"/>
        <v/>
      </c>
      <c r="AW436" s="102" t="str">
        <f t="shared" si="20"/>
        <v/>
      </c>
      <c r="AX436" s="102" t="str">
        <f t="shared" si="21"/>
        <v/>
      </c>
      <c r="AY436" s="107" t="str">
        <f t="shared" si="22"/>
        <v/>
      </c>
      <c r="AZ436" s="108" t="str">
        <f t="shared" si="23"/>
        <v/>
      </c>
      <c r="BA436" s="108" t="str">
        <f t="shared" si="24"/>
        <v/>
      </c>
      <c r="BB436" s="109" t="str">
        <f t="shared" si="25"/>
        <v/>
      </c>
      <c r="BC436" s="108" t="str">
        <f t="shared" si="26"/>
        <v/>
      </c>
      <c r="BD436" s="108" t="str">
        <f t="shared" si="27"/>
        <v/>
      </c>
      <c r="BE436" s="109" t="str">
        <f t="shared" si="28"/>
        <v/>
      </c>
      <c r="BF436" s="110" t="str">
        <f t="shared" si="29"/>
        <v/>
      </c>
      <c r="BG436" s="111"/>
    </row>
    <row r="437" spans="1:59" ht="12.75">
      <c r="A437" s="101"/>
      <c r="B437" s="102"/>
      <c r="C437" s="102" t="e">
        <f t="array" aca="1" ref="C437" ca="1">_xludf.XLOOKUP(A437,'QA Log'!D:D,'QA Log'!F:F,"")</f>
        <v>#NAME?</v>
      </c>
      <c r="D437" s="102"/>
      <c r="E437" s="102" t="e">
        <f t="array" aca="1" ref="E437" ca="1">_xludf.XLOOKUP(A437,'QA Log'!D:D,'QA Log'!G:G,"")</f>
        <v>#NAME?</v>
      </c>
      <c r="F437" s="103"/>
      <c r="G437" s="104"/>
      <c r="H437" s="104"/>
      <c r="I437" s="103" t="str">
        <f t="shared" si="15"/>
        <v/>
      </c>
      <c r="J437" s="102"/>
      <c r="K437" s="102"/>
      <c r="L437" s="119" t="str">
        <f t="array" ref="L437">IF(OR($B437="",$D437=""),"",
IFERROR(
  INDEX(
    'Tools &amp; Targets_Guideline'!$C$54:$I$269,
    MATCH(
      1,
      ('Tools &amp; Targets_Guideline'!$A$54:$A$269=$B437)*
      ('Tools &amp; Targets_Guideline'!$B$54:$B$269="ANC"),
      0
    ),
    MATCH(
      _xludf.IFNA(
        VLOOKUP($D437,{"PH","Provincial Hospital (H2)";"DH","District Hospital (H3)";"RH","Regional / National Hospital (H1)"},2,0),
        $D437
      ),
      'Tools &amp; Targets_Guideline'!$C$53:$I$53,
      0
    )
  ),
0))</f>
        <v/>
      </c>
      <c r="M437" s="102"/>
      <c r="N437" s="119" t="str">
        <f t="array" ref="N437">IF(OR($B437="",$D437=""),"",
IFERROR(
  INDEX(
    'Tools &amp; Targets_Guideline'!$C$54:$I$269,
    MATCH(
      1,
      ('Tools &amp; Targets_Guideline'!$A$54:$A$269=$B437)*
      ('Tools &amp; Targets_Guideline'!$B$54:$B$269="PNC"),
      0
    ),
    MATCH(
      _xludf.IFNA(
        VLOOKUP($D437,{"PH","Provincial Hospital (H2)";"DH","District Hospital (H3)";"RH","Regional / National Hospital (H1)"},2,0),
        $D437
      ),
      'Tools &amp; Targets_Guideline'!$C$53:$I$53,
      0
    )
  ),
0))</f>
        <v/>
      </c>
      <c r="O437" s="102"/>
      <c r="P437" s="119" t="str">
        <f t="array" ref="P437">IF(OR($B437="",$D437=""),"",
IFERROR(
  INDEX(
    'Tools &amp; Targets_Guideline'!$C$54:$I$269,
    MATCH(
      1,
      ('Tools &amp; Targets_Guideline'!$A$54:$A$269=$B437)*
      ('Tools &amp; Targets_Guideline'!$B$54:$B$269="Delivery"),
      0
    ),
    MATCH(
      _xludf.IFNA(
        VLOOKUP($D437,{"PH","Provincial Hospital (H2)";"DH","District Hospital (H3)";"RH","Regional / National Hospital (H1)"},2,0),
        $D437
      ),
      'Tools &amp; Targets_Guideline'!$C$53:$I$53,
      0
    )
  ),
0))</f>
        <v/>
      </c>
      <c r="Q437" s="102"/>
      <c r="R437" s="119" t="str">
        <f t="array" ref="R437">IF(OR($B437="",$D437=""),"",
IFERROR(
  INDEX(
    'Tools &amp; Targets_Guideline'!$C$54:$I$269,
    MATCH(
      1,
      ('Tools &amp; Targets_Guideline'!$A$54:$A$269=$B437)*
      ('Tools &amp; Targets_Guideline'!$B$54:$B$269="TT"),
      0
    ),
    MATCH(
      _xludf.IFNA(
        VLOOKUP($D437,{"PH","Provincial Hospital (H2)";"DH","District Hospital (H3)";"RH","Regional / National Hospital (H1)"},2,0),
        $D437
      ),
      'Tools &amp; Targets_Guideline'!$C$53:$I$53,
      0
    )
  ),
0))</f>
        <v/>
      </c>
      <c r="S437" s="102"/>
      <c r="T437" s="102"/>
      <c r="U437" s="106"/>
      <c r="V437" s="102" t="str">
        <f t="shared" si="16"/>
        <v/>
      </c>
      <c r="W437" s="102"/>
      <c r="X437" s="102"/>
      <c r="Y437" s="119" t="str">
        <f t="array" ref="Y437">IF(OR($B437="",$D437=""),"",
IFERROR(
  INDEX(
    'Tools &amp; Targets_Guideline'!$C$54:$I$269,
    MATCH(
      1,
      ('Tools &amp; Targets_Guideline'!$A$54:$A$269=$B437)*
      ('Tools &amp; Targets_Guideline'!$B$54:$B$269="GM"),
      0
    ),
    MATCH(
      _xludf.IFNA(
        VLOOKUP($D437,{"PH","Provincial Hospital (H2)";"DH","District Hospital (H3)";"RH","Regional / National Hospital (H1)"},2,0),
        $D437
      ),
      'Tools &amp; Targets_Guideline'!$C$53:$I$53,
      0
    )
  ),
0))</f>
        <v/>
      </c>
      <c r="Z437" s="102"/>
      <c r="AA437" s="119" t="str">
        <f t="array" ref="AA437">IF(OR($B437="",$D437=""),"",
IFERROR(
  INDEX(
    'Tools &amp; Targets_Guideline'!$C$54:$I$269,
    MATCH(
      1,
      ('Tools &amp; Targets_Guideline'!$A$54:$A$269=$B437)*
      ('Tools &amp; Targets_Guideline'!$B$54:$B$269="Penta"),
      0
    ),
    MATCH(
      _xludf.IFNA(
        VLOOKUP($D437,{"PH","Provincial Hospital (H2)";"DH","District Hospital (H3)";"RH","Regional / National Hospital (H1)"},2,0),
        $D437
      ),
      'Tools &amp; Targets_Guideline'!$C$53:$I$53,
      0
    )
  ),
0))</f>
        <v/>
      </c>
      <c r="AB437" s="102"/>
      <c r="AC437" s="119" t="str">
        <f t="array" ref="AC437">IF(OR($B437="",$D437=""),"",
IFERROR(
  INDEX(
    'Tools &amp; Targets_Guideline'!$C$54:$I$269,
    MATCH(
      1,
      ('Tools &amp; Targets_Guideline'!$A$54:$A$269=$B437)*
      ('Tools &amp; Targets_Guideline'!$B$54:$B$269="TB"),
      0
    ),
    MATCH(
      _xludf.IFNA(
        VLOOKUP($D437,{"PH","Provincial Hospital (H2)";"DH","District Hospital (H3)";"RH","Regional / National Hospital (H1)"},2,0),
        $D437
      ),
      'Tools &amp; Targets_Guideline'!$C$53:$I$53,
      0
    )
  ),
0))</f>
        <v/>
      </c>
      <c r="AD437" s="102"/>
      <c r="AE437" s="119" t="str">
        <f t="array" ref="AE437">IF(OR($B437="",$D437=""),"",
IFERROR(
  INDEX(
    'Tools &amp; Targets_Guideline'!$C$54:$I$269,
    MATCH(
      1,
      ('Tools &amp; Targets_Guideline'!$A$54:$A$269=$B437)*
      ('Tools &amp; Targets_Guideline'!$B$54:$B$269="U5 Morbidity"),
      0
    ),
    MATCH(
      _xludf.IFNA(
        VLOOKUP($D437,{"PH","Provincial Hospital (H2)";"DH","District Hospital (H3)";"RH","Regional / National Hospital (H1)"},2,0),
        $D437
      ),
      'Tools &amp; Targets_Guideline'!$C$53:$I$53,
      0
    )
  ),
0))</f>
        <v/>
      </c>
      <c r="AF437" s="102"/>
      <c r="AG437" s="119" t="str">
        <f t="array" ref="AG437">IF(OR($B437="",$D437=""),"",
IFERROR(
  INDEX(
    'Tools &amp; Targets_Guideline'!$C$54:$I$269,
    MATCH(
      1,
      ('Tools &amp; Targets_Guideline'!$A$54:$A$269=$B437)*
      ('Tools &amp; Targets_Guideline'!$B$54:$B$269="C-Section"),
      0
    ),
    MATCH(
      _xludf.IFNA(
        VLOOKUP($D437,{"PH","Provincial Hospital (H2)";"DH","District Hospital (H3)";"RH","Regional / National Hospital (H1)"},2,0),
        $D437
      ),
      'Tools &amp; Targets_Guideline'!$C$53:$I$53,
      0
    )
  ),
0))</f>
        <v/>
      </c>
      <c r="AH437" s="102" t="str">
        <f>IF(A437&lt;&gt;"",COUNTIFS('QA Log'!D:D,A437,'QA Log'!M:M,"QQC",'QA Log'!L:L,"2. Hygiene and Sterilization",'QA Log'!Z:Z,"Approved"),"")</f>
        <v/>
      </c>
      <c r="AI437" s="102"/>
      <c r="AJ437" s="102"/>
      <c r="AK437" s="103" t="str">
        <f t="shared" si="17"/>
        <v/>
      </c>
      <c r="AL437" s="102"/>
      <c r="AM437" s="102"/>
      <c r="AN437" s="102"/>
      <c r="AO437" s="106"/>
      <c r="AP437" s="103"/>
      <c r="AQ437" s="102"/>
      <c r="AR437" s="102"/>
      <c r="AS437" s="102"/>
      <c r="AT437" s="107"/>
      <c r="AU437" s="102" t="str">
        <f t="shared" si="18"/>
        <v/>
      </c>
      <c r="AV437" s="102" t="str">
        <f t="shared" si="19"/>
        <v/>
      </c>
      <c r="AW437" s="102" t="str">
        <f t="shared" si="20"/>
        <v/>
      </c>
      <c r="AX437" s="102" t="str">
        <f t="shared" si="21"/>
        <v/>
      </c>
      <c r="AY437" s="107" t="str">
        <f t="shared" si="22"/>
        <v/>
      </c>
      <c r="AZ437" s="108" t="str">
        <f t="shared" si="23"/>
        <v/>
      </c>
      <c r="BA437" s="108" t="str">
        <f t="shared" si="24"/>
        <v/>
      </c>
      <c r="BB437" s="109" t="str">
        <f t="shared" si="25"/>
        <v/>
      </c>
      <c r="BC437" s="108" t="str">
        <f t="shared" si="26"/>
        <v/>
      </c>
      <c r="BD437" s="108" t="str">
        <f t="shared" si="27"/>
        <v/>
      </c>
      <c r="BE437" s="109" t="str">
        <f t="shared" si="28"/>
        <v/>
      </c>
      <c r="BF437" s="110" t="str">
        <f t="shared" si="29"/>
        <v/>
      </c>
      <c r="BG437" s="111"/>
    </row>
    <row r="438" spans="1:59" ht="12.75">
      <c r="A438" s="101"/>
      <c r="B438" s="102"/>
      <c r="C438" s="102" t="e">
        <f t="array" aca="1" ref="C438" ca="1">_xludf.XLOOKUP(A438,'QA Log'!D:D,'QA Log'!F:F,"")</f>
        <v>#NAME?</v>
      </c>
      <c r="D438" s="102"/>
      <c r="E438" s="102" t="e">
        <f t="array" aca="1" ref="E438" ca="1">_xludf.XLOOKUP(A438,'QA Log'!D:D,'QA Log'!G:G,"")</f>
        <v>#NAME?</v>
      </c>
      <c r="F438" s="103"/>
      <c r="G438" s="104"/>
      <c r="H438" s="104"/>
      <c r="I438" s="103" t="str">
        <f t="shared" si="15"/>
        <v/>
      </c>
      <c r="J438" s="102"/>
      <c r="K438" s="102"/>
      <c r="L438" s="119" t="str">
        <f t="array" ref="L438">IF(OR($B438="",$D438=""),"",
IFERROR(
  INDEX(
    'Tools &amp; Targets_Guideline'!$C$54:$I$269,
    MATCH(
      1,
      ('Tools &amp; Targets_Guideline'!$A$54:$A$269=$B438)*
      ('Tools &amp; Targets_Guideline'!$B$54:$B$269="ANC"),
      0
    ),
    MATCH(
      _xludf.IFNA(
        VLOOKUP($D438,{"PH","Provincial Hospital (H2)";"DH","District Hospital (H3)";"RH","Regional / National Hospital (H1)"},2,0),
        $D438
      ),
      'Tools &amp; Targets_Guideline'!$C$53:$I$53,
      0
    )
  ),
0))</f>
        <v/>
      </c>
      <c r="M438" s="102"/>
      <c r="N438" s="119" t="str">
        <f t="array" ref="N438">IF(OR($B438="",$D438=""),"",
IFERROR(
  INDEX(
    'Tools &amp; Targets_Guideline'!$C$54:$I$269,
    MATCH(
      1,
      ('Tools &amp; Targets_Guideline'!$A$54:$A$269=$B438)*
      ('Tools &amp; Targets_Guideline'!$B$54:$B$269="PNC"),
      0
    ),
    MATCH(
      _xludf.IFNA(
        VLOOKUP($D438,{"PH","Provincial Hospital (H2)";"DH","District Hospital (H3)";"RH","Regional / National Hospital (H1)"},2,0),
        $D438
      ),
      'Tools &amp; Targets_Guideline'!$C$53:$I$53,
      0
    )
  ),
0))</f>
        <v/>
      </c>
      <c r="O438" s="102"/>
      <c r="P438" s="119" t="str">
        <f t="array" ref="P438">IF(OR($B438="",$D438=""),"",
IFERROR(
  INDEX(
    'Tools &amp; Targets_Guideline'!$C$54:$I$269,
    MATCH(
      1,
      ('Tools &amp; Targets_Guideline'!$A$54:$A$269=$B438)*
      ('Tools &amp; Targets_Guideline'!$B$54:$B$269="Delivery"),
      0
    ),
    MATCH(
      _xludf.IFNA(
        VLOOKUP($D438,{"PH","Provincial Hospital (H2)";"DH","District Hospital (H3)";"RH","Regional / National Hospital (H1)"},2,0),
        $D438
      ),
      'Tools &amp; Targets_Guideline'!$C$53:$I$53,
      0
    )
  ),
0))</f>
        <v/>
      </c>
      <c r="Q438" s="102"/>
      <c r="R438" s="119" t="str">
        <f t="array" ref="R438">IF(OR($B438="",$D438=""),"",
IFERROR(
  INDEX(
    'Tools &amp; Targets_Guideline'!$C$54:$I$269,
    MATCH(
      1,
      ('Tools &amp; Targets_Guideline'!$A$54:$A$269=$B438)*
      ('Tools &amp; Targets_Guideline'!$B$54:$B$269="TT"),
      0
    ),
    MATCH(
      _xludf.IFNA(
        VLOOKUP($D438,{"PH","Provincial Hospital (H2)";"DH","District Hospital (H3)";"RH","Regional / National Hospital (H1)"},2,0),
        $D438
      ),
      'Tools &amp; Targets_Guideline'!$C$53:$I$53,
      0
    )
  ),
0))</f>
        <v/>
      </c>
      <c r="S438" s="102"/>
      <c r="T438" s="102"/>
      <c r="U438" s="106"/>
      <c r="V438" s="102" t="str">
        <f t="shared" si="16"/>
        <v/>
      </c>
      <c r="W438" s="102"/>
      <c r="X438" s="102"/>
      <c r="Y438" s="119" t="str">
        <f t="array" ref="Y438">IF(OR($B438="",$D438=""),"",
IFERROR(
  INDEX(
    'Tools &amp; Targets_Guideline'!$C$54:$I$269,
    MATCH(
      1,
      ('Tools &amp; Targets_Guideline'!$A$54:$A$269=$B438)*
      ('Tools &amp; Targets_Guideline'!$B$54:$B$269="GM"),
      0
    ),
    MATCH(
      _xludf.IFNA(
        VLOOKUP($D438,{"PH","Provincial Hospital (H2)";"DH","District Hospital (H3)";"RH","Regional / National Hospital (H1)"},2,0),
        $D438
      ),
      'Tools &amp; Targets_Guideline'!$C$53:$I$53,
      0
    )
  ),
0))</f>
        <v/>
      </c>
      <c r="Z438" s="102"/>
      <c r="AA438" s="119" t="str">
        <f t="array" ref="AA438">IF(OR($B438="",$D438=""),"",
IFERROR(
  INDEX(
    'Tools &amp; Targets_Guideline'!$C$54:$I$269,
    MATCH(
      1,
      ('Tools &amp; Targets_Guideline'!$A$54:$A$269=$B438)*
      ('Tools &amp; Targets_Guideline'!$B$54:$B$269="Penta"),
      0
    ),
    MATCH(
      _xludf.IFNA(
        VLOOKUP($D438,{"PH","Provincial Hospital (H2)";"DH","District Hospital (H3)";"RH","Regional / National Hospital (H1)"},2,0),
        $D438
      ),
      'Tools &amp; Targets_Guideline'!$C$53:$I$53,
      0
    )
  ),
0))</f>
        <v/>
      </c>
      <c r="AB438" s="102"/>
      <c r="AC438" s="119" t="str">
        <f t="array" ref="AC438">IF(OR($B438="",$D438=""),"",
IFERROR(
  INDEX(
    'Tools &amp; Targets_Guideline'!$C$54:$I$269,
    MATCH(
      1,
      ('Tools &amp; Targets_Guideline'!$A$54:$A$269=$B438)*
      ('Tools &amp; Targets_Guideline'!$B$54:$B$269="TB"),
      0
    ),
    MATCH(
      _xludf.IFNA(
        VLOOKUP($D438,{"PH","Provincial Hospital (H2)";"DH","District Hospital (H3)";"RH","Regional / National Hospital (H1)"},2,0),
        $D438
      ),
      'Tools &amp; Targets_Guideline'!$C$53:$I$53,
      0
    )
  ),
0))</f>
        <v/>
      </c>
      <c r="AD438" s="102"/>
      <c r="AE438" s="119" t="str">
        <f t="array" ref="AE438">IF(OR($B438="",$D438=""),"",
IFERROR(
  INDEX(
    'Tools &amp; Targets_Guideline'!$C$54:$I$269,
    MATCH(
      1,
      ('Tools &amp; Targets_Guideline'!$A$54:$A$269=$B438)*
      ('Tools &amp; Targets_Guideline'!$B$54:$B$269="U5 Morbidity"),
      0
    ),
    MATCH(
      _xludf.IFNA(
        VLOOKUP($D438,{"PH","Provincial Hospital (H2)";"DH","District Hospital (H3)";"RH","Regional / National Hospital (H1)"},2,0),
        $D438
      ),
      'Tools &amp; Targets_Guideline'!$C$53:$I$53,
      0
    )
  ),
0))</f>
        <v/>
      </c>
      <c r="AF438" s="102"/>
      <c r="AG438" s="119" t="str">
        <f t="array" ref="AG438">IF(OR($B438="",$D438=""),"",
IFERROR(
  INDEX(
    'Tools &amp; Targets_Guideline'!$C$54:$I$269,
    MATCH(
      1,
      ('Tools &amp; Targets_Guideline'!$A$54:$A$269=$B438)*
      ('Tools &amp; Targets_Guideline'!$B$54:$B$269="C-Section"),
      0
    ),
    MATCH(
      _xludf.IFNA(
        VLOOKUP($D438,{"PH","Provincial Hospital (H2)";"DH","District Hospital (H3)";"RH","Regional / National Hospital (H1)"},2,0),
        $D438
      ),
      'Tools &amp; Targets_Guideline'!$C$53:$I$53,
      0
    )
  ),
0))</f>
        <v/>
      </c>
      <c r="AH438" s="102" t="str">
        <f>IF(A438&lt;&gt;"",COUNTIFS('QA Log'!D:D,A438,'QA Log'!M:M,"QQC",'QA Log'!L:L,"2. Hygiene and Sterilization",'QA Log'!Z:Z,"Approved"),"")</f>
        <v/>
      </c>
      <c r="AI438" s="102"/>
      <c r="AJ438" s="102"/>
      <c r="AK438" s="103" t="str">
        <f t="shared" si="17"/>
        <v/>
      </c>
      <c r="AL438" s="102"/>
      <c r="AM438" s="102"/>
      <c r="AN438" s="102"/>
      <c r="AO438" s="106"/>
      <c r="AP438" s="103"/>
      <c r="AQ438" s="102"/>
      <c r="AR438" s="102"/>
      <c r="AS438" s="102"/>
      <c r="AT438" s="107"/>
      <c r="AU438" s="102" t="str">
        <f t="shared" si="18"/>
        <v/>
      </c>
      <c r="AV438" s="102" t="str">
        <f t="shared" si="19"/>
        <v/>
      </c>
      <c r="AW438" s="102" t="str">
        <f t="shared" si="20"/>
        <v/>
      </c>
      <c r="AX438" s="102" t="str">
        <f t="shared" si="21"/>
        <v/>
      </c>
      <c r="AY438" s="107" t="str">
        <f t="shared" si="22"/>
        <v/>
      </c>
      <c r="AZ438" s="108" t="str">
        <f t="shared" si="23"/>
        <v/>
      </c>
      <c r="BA438" s="108" t="str">
        <f t="shared" si="24"/>
        <v/>
      </c>
      <c r="BB438" s="109" t="str">
        <f t="shared" si="25"/>
        <v/>
      </c>
      <c r="BC438" s="108" t="str">
        <f t="shared" si="26"/>
        <v/>
      </c>
      <c r="BD438" s="108" t="str">
        <f t="shared" si="27"/>
        <v/>
      </c>
      <c r="BE438" s="109" t="str">
        <f t="shared" si="28"/>
        <v/>
      </c>
      <c r="BF438" s="110" t="str">
        <f t="shared" si="29"/>
        <v/>
      </c>
      <c r="BG438" s="111"/>
    </row>
    <row r="439" spans="1:59" ht="12.75">
      <c r="A439" s="101"/>
      <c r="B439" s="102"/>
      <c r="C439" s="102" t="e">
        <f t="array" aca="1" ref="C439" ca="1">_xludf.XLOOKUP(A439,'QA Log'!D:D,'QA Log'!F:F,"")</f>
        <v>#NAME?</v>
      </c>
      <c r="D439" s="102"/>
      <c r="E439" s="102" t="e">
        <f t="array" aca="1" ref="E439" ca="1">_xludf.XLOOKUP(A439,'QA Log'!D:D,'QA Log'!G:G,"")</f>
        <v>#NAME?</v>
      </c>
      <c r="F439" s="103"/>
      <c r="G439" s="104"/>
      <c r="H439" s="104"/>
      <c r="I439" s="103" t="str">
        <f t="shared" si="15"/>
        <v/>
      </c>
      <c r="J439" s="102"/>
      <c r="K439" s="102"/>
      <c r="L439" s="119" t="str">
        <f t="array" ref="L439">IF(OR($B439="",$D439=""),"",
IFERROR(
  INDEX(
    'Tools &amp; Targets_Guideline'!$C$54:$I$269,
    MATCH(
      1,
      ('Tools &amp; Targets_Guideline'!$A$54:$A$269=$B439)*
      ('Tools &amp; Targets_Guideline'!$B$54:$B$269="ANC"),
      0
    ),
    MATCH(
      _xludf.IFNA(
        VLOOKUP($D439,{"PH","Provincial Hospital (H2)";"DH","District Hospital (H3)";"RH","Regional / National Hospital (H1)"},2,0),
        $D439
      ),
      'Tools &amp; Targets_Guideline'!$C$53:$I$53,
      0
    )
  ),
0))</f>
        <v/>
      </c>
      <c r="M439" s="102"/>
      <c r="N439" s="119" t="str">
        <f t="array" ref="N439">IF(OR($B439="",$D439=""),"",
IFERROR(
  INDEX(
    'Tools &amp; Targets_Guideline'!$C$54:$I$269,
    MATCH(
      1,
      ('Tools &amp; Targets_Guideline'!$A$54:$A$269=$B439)*
      ('Tools &amp; Targets_Guideline'!$B$54:$B$269="PNC"),
      0
    ),
    MATCH(
      _xludf.IFNA(
        VLOOKUP($D439,{"PH","Provincial Hospital (H2)";"DH","District Hospital (H3)";"RH","Regional / National Hospital (H1)"},2,0),
        $D439
      ),
      'Tools &amp; Targets_Guideline'!$C$53:$I$53,
      0
    )
  ),
0))</f>
        <v/>
      </c>
      <c r="O439" s="102"/>
      <c r="P439" s="119" t="str">
        <f t="array" ref="P439">IF(OR($B439="",$D439=""),"",
IFERROR(
  INDEX(
    'Tools &amp; Targets_Guideline'!$C$54:$I$269,
    MATCH(
      1,
      ('Tools &amp; Targets_Guideline'!$A$54:$A$269=$B439)*
      ('Tools &amp; Targets_Guideline'!$B$54:$B$269="Delivery"),
      0
    ),
    MATCH(
      _xludf.IFNA(
        VLOOKUP($D439,{"PH","Provincial Hospital (H2)";"DH","District Hospital (H3)";"RH","Regional / National Hospital (H1)"},2,0),
        $D439
      ),
      'Tools &amp; Targets_Guideline'!$C$53:$I$53,
      0
    )
  ),
0))</f>
        <v/>
      </c>
      <c r="Q439" s="102"/>
      <c r="R439" s="119" t="str">
        <f t="array" ref="R439">IF(OR($B439="",$D439=""),"",
IFERROR(
  INDEX(
    'Tools &amp; Targets_Guideline'!$C$54:$I$269,
    MATCH(
      1,
      ('Tools &amp; Targets_Guideline'!$A$54:$A$269=$B439)*
      ('Tools &amp; Targets_Guideline'!$B$54:$B$269="TT"),
      0
    ),
    MATCH(
      _xludf.IFNA(
        VLOOKUP($D439,{"PH","Provincial Hospital (H2)";"DH","District Hospital (H3)";"RH","Regional / National Hospital (H1)"},2,0),
        $D439
      ),
      'Tools &amp; Targets_Guideline'!$C$53:$I$53,
      0
    )
  ),
0))</f>
        <v/>
      </c>
      <c r="S439" s="102"/>
      <c r="T439" s="102"/>
      <c r="U439" s="106"/>
      <c r="V439" s="102" t="str">
        <f t="shared" si="16"/>
        <v/>
      </c>
      <c r="W439" s="102"/>
      <c r="X439" s="102"/>
      <c r="Y439" s="119" t="str">
        <f t="array" ref="Y439">IF(OR($B439="",$D439=""),"",
IFERROR(
  INDEX(
    'Tools &amp; Targets_Guideline'!$C$54:$I$269,
    MATCH(
      1,
      ('Tools &amp; Targets_Guideline'!$A$54:$A$269=$B439)*
      ('Tools &amp; Targets_Guideline'!$B$54:$B$269="GM"),
      0
    ),
    MATCH(
      _xludf.IFNA(
        VLOOKUP($D439,{"PH","Provincial Hospital (H2)";"DH","District Hospital (H3)";"RH","Regional / National Hospital (H1)"},2,0),
        $D439
      ),
      'Tools &amp; Targets_Guideline'!$C$53:$I$53,
      0
    )
  ),
0))</f>
        <v/>
      </c>
      <c r="Z439" s="102"/>
      <c r="AA439" s="119" t="str">
        <f t="array" ref="AA439">IF(OR($B439="",$D439=""),"",
IFERROR(
  INDEX(
    'Tools &amp; Targets_Guideline'!$C$54:$I$269,
    MATCH(
      1,
      ('Tools &amp; Targets_Guideline'!$A$54:$A$269=$B439)*
      ('Tools &amp; Targets_Guideline'!$B$54:$B$269="Penta"),
      0
    ),
    MATCH(
      _xludf.IFNA(
        VLOOKUP($D439,{"PH","Provincial Hospital (H2)";"DH","District Hospital (H3)";"RH","Regional / National Hospital (H1)"},2,0),
        $D439
      ),
      'Tools &amp; Targets_Guideline'!$C$53:$I$53,
      0
    )
  ),
0))</f>
        <v/>
      </c>
      <c r="AB439" s="102"/>
      <c r="AC439" s="119" t="str">
        <f t="array" ref="AC439">IF(OR($B439="",$D439=""),"",
IFERROR(
  INDEX(
    'Tools &amp; Targets_Guideline'!$C$54:$I$269,
    MATCH(
      1,
      ('Tools &amp; Targets_Guideline'!$A$54:$A$269=$B439)*
      ('Tools &amp; Targets_Guideline'!$B$54:$B$269="TB"),
      0
    ),
    MATCH(
      _xludf.IFNA(
        VLOOKUP($D439,{"PH","Provincial Hospital (H2)";"DH","District Hospital (H3)";"RH","Regional / National Hospital (H1)"},2,0),
        $D439
      ),
      'Tools &amp; Targets_Guideline'!$C$53:$I$53,
      0
    )
  ),
0))</f>
        <v/>
      </c>
      <c r="AD439" s="102"/>
      <c r="AE439" s="119" t="str">
        <f t="array" ref="AE439">IF(OR($B439="",$D439=""),"",
IFERROR(
  INDEX(
    'Tools &amp; Targets_Guideline'!$C$54:$I$269,
    MATCH(
      1,
      ('Tools &amp; Targets_Guideline'!$A$54:$A$269=$B439)*
      ('Tools &amp; Targets_Guideline'!$B$54:$B$269="U5 Morbidity"),
      0
    ),
    MATCH(
      _xludf.IFNA(
        VLOOKUP($D439,{"PH","Provincial Hospital (H2)";"DH","District Hospital (H3)";"RH","Regional / National Hospital (H1)"},2,0),
        $D439
      ),
      'Tools &amp; Targets_Guideline'!$C$53:$I$53,
      0
    )
  ),
0))</f>
        <v/>
      </c>
      <c r="AF439" s="102"/>
      <c r="AG439" s="119" t="str">
        <f t="array" ref="AG439">IF(OR($B439="",$D439=""),"",
IFERROR(
  INDEX(
    'Tools &amp; Targets_Guideline'!$C$54:$I$269,
    MATCH(
      1,
      ('Tools &amp; Targets_Guideline'!$A$54:$A$269=$B439)*
      ('Tools &amp; Targets_Guideline'!$B$54:$B$269="C-Section"),
      0
    ),
    MATCH(
      _xludf.IFNA(
        VLOOKUP($D439,{"PH","Provincial Hospital (H2)";"DH","District Hospital (H3)";"RH","Regional / National Hospital (H1)"},2,0),
        $D439
      ),
      'Tools &amp; Targets_Guideline'!$C$53:$I$53,
      0
    )
  ),
0))</f>
        <v/>
      </c>
      <c r="AH439" s="102" t="str">
        <f>IF(A439&lt;&gt;"",COUNTIFS('QA Log'!D:D,A439,'QA Log'!M:M,"QQC",'QA Log'!L:L,"2. Hygiene and Sterilization",'QA Log'!Z:Z,"Approved"),"")</f>
        <v/>
      </c>
      <c r="AI439" s="102"/>
      <c r="AJ439" s="102"/>
      <c r="AK439" s="103" t="str">
        <f t="shared" si="17"/>
        <v/>
      </c>
      <c r="AL439" s="102"/>
      <c r="AM439" s="102"/>
      <c r="AN439" s="102"/>
      <c r="AO439" s="106"/>
      <c r="AP439" s="103"/>
      <c r="AQ439" s="102"/>
      <c r="AR439" s="102"/>
      <c r="AS439" s="102"/>
      <c r="AT439" s="107"/>
      <c r="AU439" s="102" t="str">
        <f t="shared" si="18"/>
        <v/>
      </c>
      <c r="AV439" s="102" t="str">
        <f t="shared" si="19"/>
        <v/>
      </c>
      <c r="AW439" s="102" t="str">
        <f t="shared" si="20"/>
        <v/>
      </c>
      <c r="AX439" s="102" t="str">
        <f t="shared" si="21"/>
        <v/>
      </c>
      <c r="AY439" s="107" t="str">
        <f t="shared" si="22"/>
        <v/>
      </c>
      <c r="AZ439" s="108" t="str">
        <f t="shared" si="23"/>
        <v/>
      </c>
      <c r="BA439" s="108" t="str">
        <f t="shared" si="24"/>
        <v/>
      </c>
      <c r="BB439" s="109" t="str">
        <f t="shared" si="25"/>
        <v/>
      </c>
      <c r="BC439" s="108" t="str">
        <f t="shared" si="26"/>
        <v/>
      </c>
      <c r="BD439" s="108" t="str">
        <f t="shared" si="27"/>
        <v/>
      </c>
      <c r="BE439" s="109" t="str">
        <f t="shared" si="28"/>
        <v/>
      </c>
      <c r="BF439" s="110" t="str">
        <f t="shared" si="29"/>
        <v/>
      </c>
      <c r="BG439" s="111"/>
    </row>
    <row r="440" spans="1:59" ht="12.75">
      <c r="A440" s="101"/>
      <c r="B440" s="102"/>
      <c r="C440" s="102" t="e">
        <f t="array" aca="1" ref="C440" ca="1">_xludf.XLOOKUP(A440,'QA Log'!D:D,'QA Log'!F:F,"")</f>
        <v>#NAME?</v>
      </c>
      <c r="D440" s="102"/>
      <c r="E440" s="102" t="e">
        <f t="array" aca="1" ref="E440" ca="1">_xludf.XLOOKUP(A440,'QA Log'!D:D,'QA Log'!G:G,"")</f>
        <v>#NAME?</v>
      </c>
      <c r="F440" s="103"/>
      <c r="G440" s="104"/>
      <c r="H440" s="104"/>
      <c r="I440" s="103" t="str">
        <f t="shared" si="15"/>
        <v/>
      </c>
      <c r="J440" s="102"/>
      <c r="K440" s="102"/>
      <c r="L440" s="119" t="str">
        <f t="array" ref="L440">IF(OR($B440="",$D440=""),"",
IFERROR(
  INDEX(
    'Tools &amp; Targets_Guideline'!$C$54:$I$269,
    MATCH(
      1,
      ('Tools &amp; Targets_Guideline'!$A$54:$A$269=$B440)*
      ('Tools &amp; Targets_Guideline'!$B$54:$B$269="ANC"),
      0
    ),
    MATCH(
      _xludf.IFNA(
        VLOOKUP($D440,{"PH","Provincial Hospital (H2)";"DH","District Hospital (H3)";"RH","Regional / National Hospital (H1)"},2,0),
        $D440
      ),
      'Tools &amp; Targets_Guideline'!$C$53:$I$53,
      0
    )
  ),
0))</f>
        <v/>
      </c>
      <c r="M440" s="102"/>
      <c r="N440" s="119" t="str">
        <f t="array" ref="N440">IF(OR($B440="",$D440=""),"",
IFERROR(
  INDEX(
    'Tools &amp; Targets_Guideline'!$C$54:$I$269,
    MATCH(
      1,
      ('Tools &amp; Targets_Guideline'!$A$54:$A$269=$B440)*
      ('Tools &amp; Targets_Guideline'!$B$54:$B$269="PNC"),
      0
    ),
    MATCH(
      _xludf.IFNA(
        VLOOKUP($D440,{"PH","Provincial Hospital (H2)";"DH","District Hospital (H3)";"RH","Regional / National Hospital (H1)"},2,0),
        $D440
      ),
      'Tools &amp; Targets_Guideline'!$C$53:$I$53,
      0
    )
  ),
0))</f>
        <v/>
      </c>
      <c r="O440" s="102"/>
      <c r="P440" s="119" t="str">
        <f t="array" ref="P440">IF(OR($B440="",$D440=""),"",
IFERROR(
  INDEX(
    'Tools &amp; Targets_Guideline'!$C$54:$I$269,
    MATCH(
      1,
      ('Tools &amp; Targets_Guideline'!$A$54:$A$269=$B440)*
      ('Tools &amp; Targets_Guideline'!$B$54:$B$269="Delivery"),
      0
    ),
    MATCH(
      _xludf.IFNA(
        VLOOKUP($D440,{"PH","Provincial Hospital (H2)";"DH","District Hospital (H3)";"RH","Regional / National Hospital (H1)"},2,0),
        $D440
      ),
      'Tools &amp; Targets_Guideline'!$C$53:$I$53,
      0
    )
  ),
0))</f>
        <v/>
      </c>
      <c r="Q440" s="102"/>
      <c r="R440" s="119" t="str">
        <f t="array" ref="R440">IF(OR($B440="",$D440=""),"",
IFERROR(
  INDEX(
    'Tools &amp; Targets_Guideline'!$C$54:$I$269,
    MATCH(
      1,
      ('Tools &amp; Targets_Guideline'!$A$54:$A$269=$B440)*
      ('Tools &amp; Targets_Guideline'!$B$54:$B$269="TT"),
      0
    ),
    MATCH(
      _xludf.IFNA(
        VLOOKUP($D440,{"PH","Provincial Hospital (H2)";"DH","District Hospital (H3)";"RH","Regional / National Hospital (H1)"},2,0),
        $D440
      ),
      'Tools &amp; Targets_Guideline'!$C$53:$I$53,
      0
    )
  ),
0))</f>
        <v/>
      </c>
      <c r="S440" s="102"/>
      <c r="T440" s="102"/>
      <c r="U440" s="106"/>
      <c r="V440" s="102" t="str">
        <f t="shared" si="16"/>
        <v/>
      </c>
      <c r="W440" s="102"/>
      <c r="X440" s="102"/>
      <c r="Y440" s="119" t="str">
        <f t="array" ref="Y440">IF(OR($B440="",$D440=""),"",
IFERROR(
  INDEX(
    'Tools &amp; Targets_Guideline'!$C$54:$I$269,
    MATCH(
      1,
      ('Tools &amp; Targets_Guideline'!$A$54:$A$269=$B440)*
      ('Tools &amp; Targets_Guideline'!$B$54:$B$269="GM"),
      0
    ),
    MATCH(
      _xludf.IFNA(
        VLOOKUP($D440,{"PH","Provincial Hospital (H2)";"DH","District Hospital (H3)";"RH","Regional / National Hospital (H1)"},2,0),
        $D440
      ),
      'Tools &amp; Targets_Guideline'!$C$53:$I$53,
      0
    )
  ),
0))</f>
        <v/>
      </c>
      <c r="Z440" s="102"/>
      <c r="AA440" s="119" t="str">
        <f t="array" ref="AA440">IF(OR($B440="",$D440=""),"",
IFERROR(
  INDEX(
    'Tools &amp; Targets_Guideline'!$C$54:$I$269,
    MATCH(
      1,
      ('Tools &amp; Targets_Guideline'!$A$54:$A$269=$B440)*
      ('Tools &amp; Targets_Guideline'!$B$54:$B$269="Penta"),
      0
    ),
    MATCH(
      _xludf.IFNA(
        VLOOKUP($D440,{"PH","Provincial Hospital (H2)";"DH","District Hospital (H3)";"RH","Regional / National Hospital (H1)"},2,0),
        $D440
      ),
      'Tools &amp; Targets_Guideline'!$C$53:$I$53,
      0
    )
  ),
0))</f>
        <v/>
      </c>
      <c r="AB440" s="102"/>
      <c r="AC440" s="119" t="str">
        <f t="array" ref="AC440">IF(OR($B440="",$D440=""),"",
IFERROR(
  INDEX(
    'Tools &amp; Targets_Guideline'!$C$54:$I$269,
    MATCH(
      1,
      ('Tools &amp; Targets_Guideline'!$A$54:$A$269=$B440)*
      ('Tools &amp; Targets_Guideline'!$B$54:$B$269="TB"),
      0
    ),
    MATCH(
      _xludf.IFNA(
        VLOOKUP($D440,{"PH","Provincial Hospital (H2)";"DH","District Hospital (H3)";"RH","Regional / National Hospital (H1)"},2,0),
        $D440
      ),
      'Tools &amp; Targets_Guideline'!$C$53:$I$53,
      0
    )
  ),
0))</f>
        <v/>
      </c>
      <c r="AD440" s="102"/>
      <c r="AE440" s="119" t="str">
        <f t="array" ref="AE440">IF(OR($B440="",$D440=""),"",
IFERROR(
  INDEX(
    'Tools &amp; Targets_Guideline'!$C$54:$I$269,
    MATCH(
      1,
      ('Tools &amp; Targets_Guideline'!$A$54:$A$269=$B440)*
      ('Tools &amp; Targets_Guideline'!$B$54:$B$269="U5 Morbidity"),
      0
    ),
    MATCH(
      _xludf.IFNA(
        VLOOKUP($D440,{"PH","Provincial Hospital (H2)";"DH","District Hospital (H3)";"RH","Regional / National Hospital (H1)"},2,0),
        $D440
      ),
      'Tools &amp; Targets_Guideline'!$C$53:$I$53,
      0
    )
  ),
0))</f>
        <v/>
      </c>
      <c r="AF440" s="102"/>
      <c r="AG440" s="119" t="str">
        <f t="array" ref="AG440">IF(OR($B440="",$D440=""),"",
IFERROR(
  INDEX(
    'Tools &amp; Targets_Guideline'!$C$54:$I$269,
    MATCH(
      1,
      ('Tools &amp; Targets_Guideline'!$A$54:$A$269=$B440)*
      ('Tools &amp; Targets_Guideline'!$B$54:$B$269="C-Section"),
      0
    ),
    MATCH(
      _xludf.IFNA(
        VLOOKUP($D440,{"PH","Provincial Hospital (H2)";"DH","District Hospital (H3)";"RH","Regional / National Hospital (H1)"},2,0),
        $D440
      ),
      'Tools &amp; Targets_Guideline'!$C$53:$I$53,
      0
    )
  ),
0))</f>
        <v/>
      </c>
      <c r="AH440" s="102" t="str">
        <f>IF(A440&lt;&gt;"",COUNTIFS('QA Log'!D:D,A440,'QA Log'!M:M,"QQC",'QA Log'!L:L,"2. Hygiene and Sterilization",'QA Log'!Z:Z,"Approved"),"")</f>
        <v/>
      </c>
      <c r="AI440" s="102"/>
      <c r="AJ440" s="102"/>
      <c r="AK440" s="103" t="str">
        <f t="shared" si="17"/>
        <v/>
      </c>
      <c r="AL440" s="102"/>
      <c r="AM440" s="102"/>
      <c r="AN440" s="102"/>
      <c r="AO440" s="106"/>
      <c r="AP440" s="103"/>
      <c r="AQ440" s="102"/>
      <c r="AR440" s="102"/>
      <c r="AS440" s="102"/>
      <c r="AT440" s="107"/>
      <c r="AU440" s="102" t="str">
        <f t="shared" si="18"/>
        <v/>
      </c>
      <c r="AV440" s="102" t="str">
        <f t="shared" si="19"/>
        <v/>
      </c>
      <c r="AW440" s="102" t="str">
        <f t="shared" si="20"/>
        <v/>
      </c>
      <c r="AX440" s="102" t="str">
        <f t="shared" si="21"/>
        <v/>
      </c>
      <c r="AY440" s="107" t="str">
        <f t="shared" si="22"/>
        <v/>
      </c>
      <c r="AZ440" s="108" t="str">
        <f t="shared" si="23"/>
        <v/>
      </c>
      <c r="BA440" s="108" t="str">
        <f t="shared" si="24"/>
        <v/>
      </c>
      <c r="BB440" s="109" t="str">
        <f t="shared" si="25"/>
        <v/>
      </c>
      <c r="BC440" s="108" t="str">
        <f t="shared" si="26"/>
        <v/>
      </c>
      <c r="BD440" s="108" t="str">
        <f t="shared" si="27"/>
        <v/>
      </c>
      <c r="BE440" s="109" t="str">
        <f t="shared" si="28"/>
        <v/>
      </c>
      <c r="BF440" s="110" t="str">
        <f t="shared" si="29"/>
        <v/>
      </c>
      <c r="BG440" s="111"/>
    </row>
    <row r="441" spans="1:59" ht="12.75">
      <c r="A441" s="101"/>
      <c r="B441" s="102"/>
      <c r="C441" s="102" t="e">
        <f t="array" aca="1" ref="C441" ca="1">_xludf.XLOOKUP(A441,'QA Log'!D:D,'QA Log'!F:F,"")</f>
        <v>#NAME?</v>
      </c>
      <c r="D441" s="102"/>
      <c r="E441" s="102" t="e">
        <f t="array" aca="1" ref="E441" ca="1">_xludf.XLOOKUP(A441,'QA Log'!D:D,'QA Log'!G:G,"")</f>
        <v>#NAME?</v>
      </c>
      <c r="F441" s="103"/>
      <c r="G441" s="104"/>
      <c r="H441" s="104"/>
      <c r="I441" s="103" t="str">
        <f t="shared" si="15"/>
        <v/>
      </c>
      <c r="J441" s="102"/>
      <c r="K441" s="102"/>
      <c r="L441" s="119" t="str">
        <f t="array" ref="L441">IF(OR($B441="",$D441=""),"",
IFERROR(
  INDEX(
    'Tools &amp; Targets_Guideline'!$C$54:$I$269,
    MATCH(
      1,
      ('Tools &amp; Targets_Guideline'!$A$54:$A$269=$B441)*
      ('Tools &amp; Targets_Guideline'!$B$54:$B$269="ANC"),
      0
    ),
    MATCH(
      _xludf.IFNA(
        VLOOKUP($D441,{"PH","Provincial Hospital (H2)";"DH","District Hospital (H3)";"RH","Regional / National Hospital (H1)"},2,0),
        $D441
      ),
      'Tools &amp; Targets_Guideline'!$C$53:$I$53,
      0
    )
  ),
0))</f>
        <v/>
      </c>
      <c r="M441" s="102"/>
      <c r="N441" s="119" t="str">
        <f t="array" ref="N441">IF(OR($B441="",$D441=""),"",
IFERROR(
  INDEX(
    'Tools &amp; Targets_Guideline'!$C$54:$I$269,
    MATCH(
      1,
      ('Tools &amp; Targets_Guideline'!$A$54:$A$269=$B441)*
      ('Tools &amp; Targets_Guideline'!$B$54:$B$269="PNC"),
      0
    ),
    MATCH(
      _xludf.IFNA(
        VLOOKUP($D441,{"PH","Provincial Hospital (H2)";"DH","District Hospital (H3)";"RH","Regional / National Hospital (H1)"},2,0),
        $D441
      ),
      'Tools &amp; Targets_Guideline'!$C$53:$I$53,
      0
    )
  ),
0))</f>
        <v/>
      </c>
      <c r="O441" s="102"/>
      <c r="P441" s="119" t="str">
        <f t="array" ref="P441">IF(OR($B441="",$D441=""),"",
IFERROR(
  INDEX(
    'Tools &amp; Targets_Guideline'!$C$54:$I$269,
    MATCH(
      1,
      ('Tools &amp; Targets_Guideline'!$A$54:$A$269=$B441)*
      ('Tools &amp; Targets_Guideline'!$B$54:$B$269="Delivery"),
      0
    ),
    MATCH(
      _xludf.IFNA(
        VLOOKUP($D441,{"PH","Provincial Hospital (H2)";"DH","District Hospital (H3)";"RH","Regional / National Hospital (H1)"},2,0),
        $D441
      ),
      'Tools &amp; Targets_Guideline'!$C$53:$I$53,
      0
    )
  ),
0))</f>
        <v/>
      </c>
      <c r="Q441" s="102"/>
      <c r="R441" s="119" t="str">
        <f t="array" ref="R441">IF(OR($B441="",$D441=""),"",
IFERROR(
  INDEX(
    'Tools &amp; Targets_Guideline'!$C$54:$I$269,
    MATCH(
      1,
      ('Tools &amp; Targets_Guideline'!$A$54:$A$269=$B441)*
      ('Tools &amp; Targets_Guideline'!$B$54:$B$269="TT"),
      0
    ),
    MATCH(
      _xludf.IFNA(
        VLOOKUP($D441,{"PH","Provincial Hospital (H2)";"DH","District Hospital (H3)";"RH","Regional / National Hospital (H1)"},2,0),
        $D441
      ),
      'Tools &amp; Targets_Guideline'!$C$53:$I$53,
      0
    )
  ),
0))</f>
        <v/>
      </c>
      <c r="S441" s="102"/>
      <c r="T441" s="102"/>
      <c r="U441" s="106"/>
      <c r="V441" s="102" t="str">
        <f t="shared" si="16"/>
        <v/>
      </c>
      <c r="W441" s="102"/>
      <c r="X441" s="102"/>
      <c r="Y441" s="119" t="str">
        <f t="array" ref="Y441">IF(OR($B441="",$D441=""),"",
IFERROR(
  INDEX(
    'Tools &amp; Targets_Guideline'!$C$54:$I$269,
    MATCH(
      1,
      ('Tools &amp; Targets_Guideline'!$A$54:$A$269=$B441)*
      ('Tools &amp; Targets_Guideline'!$B$54:$B$269="GM"),
      0
    ),
    MATCH(
      _xludf.IFNA(
        VLOOKUP($D441,{"PH","Provincial Hospital (H2)";"DH","District Hospital (H3)";"RH","Regional / National Hospital (H1)"},2,0),
        $D441
      ),
      'Tools &amp; Targets_Guideline'!$C$53:$I$53,
      0
    )
  ),
0))</f>
        <v/>
      </c>
      <c r="Z441" s="102"/>
      <c r="AA441" s="119" t="str">
        <f t="array" ref="AA441">IF(OR($B441="",$D441=""),"",
IFERROR(
  INDEX(
    'Tools &amp; Targets_Guideline'!$C$54:$I$269,
    MATCH(
      1,
      ('Tools &amp; Targets_Guideline'!$A$54:$A$269=$B441)*
      ('Tools &amp; Targets_Guideline'!$B$54:$B$269="Penta"),
      0
    ),
    MATCH(
      _xludf.IFNA(
        VLOOKUP($D441,{"PH","Provincial Hospital (H2)";"DH","District Hospital (H3)";"RH","Regional / National Hospital (H1)"},2,0),
        $D441
      ),
      'Tools &amp; Targets_Guideline'!$C$53:$I$53,
      0
    )
  ),
0))</f>
        <v/>
      </c>
      <c r="AB441" s="102"/>
      <c r="AC441" s="119" t="str">
        <f t="array" ref="AC441">IF(OR($B441="",$D441=""),"",
IFERROR(
  INDEX(
    'Tools &amp; Targets_Guideline'!$C$54:$I$269,
    MATCH(
      1,
      ('Tools &amp; Targets_Guideline'!$A$54:$A$269=$B441)*
      ('Tools &amp; Targets_Guideline'!$B$54:$B$269="TB"),
      0
    ),
    MATCH(
      _xludf.IFNA(
        VLOOKUP($D441,{"PH","Provincial Hospital (H2)";"DH","District Hospital (H3)";"RH","Regional / National Hospital (H1)"},2,0),
        $D441
      ),
      'Tools &amp; Targets_Guideline'!$C$53:$I$53,
      0
    )
  ),
0))</f>
        <v/>
      </c>
      <c r="AD441" s="102"/>
      <c r="AE441" s="119" t="str">
        <f t="array" ref="AE441">IF(OR($B441="",$D441=""),"",
IFERROR(
  INDEX(
    'Tools &amp; Targets_Guideline'!$C$54:$I$269,
    MATCH(
      1,
      ('Tools &amp; Targets_Guideline'!$A$54:$A$269=$B441)*
      ('Tools &amp; Targets_Guideline'!$B$54:$B$269="U5 Morbidity"),
      0
    ),
    MATCH(
      _xludf.IFNA(
        VLOOKUP($D441,{"PH","Provincial Hospital (H2)";"DH","District Hospital (H3)";"RH","Regional / National Hospital (H1)"},2,0),
        $D441
      ),
      'Tools &amp; Targets_Guideline'!$C$53:$I$53,
      0
    )
  ),
0))</f>
        <v/>
      </c>
      <c r="AF441" s="102"/>
      <c r="AG441" s="119" t="str">
        <f t="array" ref="AG441">IF(OR($B441="",$D441=""),"",
IFERROR(
  INDEX(
    'Tools &amp; Targets_Guideline'!$C$54:$I$269,
    MATCH(
      1,
      ('Tools &amp; Targets_Guideline'!$A$54:$A$269=$B441)*
      ('Tools &amp; Targets_Guideline'!$B$54:$B$269="C-Section"),
      0
    ),
    MATCH(
      _xludf.IFNA(
        VLOOKUP($D441,{"PH","Provincial Hospital (H2)";"DH","District Hospital (H3)";"RH","Regional / National Hospital (H1)"},2,0),
        $D441
      ),
      'Tools &amp; Targets_Guideline'!$C$53:$I$53,
      0
    )
  ),
0))</f>
        <v/>
      </c>
      <c r="AH441" s="102" t="str">
        <f>IF(A441&lt;&gt;"",COUNTIFS('QA Log'!D:D,A441,'QA Log'!M:M,"QQC",'QA Log'!L:L,"2. Hygiene and Sterilization",'QA Log'!Z:Z,"Approved"),"")</f>
        <v/>
      </c>
      <c r="AI441" s="102"/>
      <c r="AJ441" s="102"/>
      <c r="AK441" s="103" t="str">
        <f t="shared" si="17"/>
        <v/>
      </c>
      <c r="AL441" s="102"/>
      <c r="AM441" s="102"/>
      <c r="AN441" s="102"/>
      <c r="AO441" s="106"/>
      <c r="AP441" s="103"/>
      <c r="AQ441" s="102"/>
      <c r="AR441" s="102"/>
      <c r="AS441" s="102"/>
      <c r="AT441" s="107"/>
      <c r="AU441" s="102" t="str">
        <f t="shared" si="18"/>
        <v/>
      </c>
      <c r="AV441" s="102" t="str">
        <f t="shared" si="19"/>
        <v/>
      </c>
      <c r="AW441" s="102" t="str">
        <f t="shared" si="20"/>
        <v/>
      </c>
      <c r="AX441" s="102" t="str">
        <f t="shared" si="21"/>
        <v/>
      </c>
      <c r="AY441" s="107" t="str">
        <f t="shared" si="22"/>
        <v/>
      </c>
      <c r="AZ441" s="108" t="str">
        <f t="shared" si="23"/>
        <v/>
      </c>
      <c r="BA441" s="108" t="str">
        <f t="shared" si="24"/>
        <v/>
      </c>
      <c r="BB441" s="109" t="str">
        <f t="shared" si="25"/>
        <v/>
      </c>
      <c r="BC441" s="108" t="str">
        <f t="shared" si="26"/>
        <v/>
      </c>
      <c r="BD441" s="108" t="str">
        <f t="shared" si="27"/>
        <v/>
      </c>
      <c r="BE441" s="109" t="str">
        <f t="shared" si="28"/>
        <v/>
      </c>
      <c r="BF441" s="110" t="str">
        <f t="shared" si="29"/>
        <v/>
      </c>
      <c r="BG441" s="111"/>
    </row>
    <row r="442" spans="1:59" ht="12.75">
      <c r="A442" s="101"/>
      <c r="B442" s="102"/>
      <c r="C442" s="102" t="e">
        <f t="array" aca="1" ref="C442" ca="1">_xludf.XLOOKUP(A442,'QA Log'!D:D,'QA Log'!F:F,"")</f>
        <v>#NAME?</v>
      </c>
      <c r="D442" s="102"/>
      <c r="E442" s="102" t="e">
        <f t="array" aca="1" ref="E442" ca="1">_xludf.XLOOKUP(A442,'QA Log'!D:D,'QA Log'!G:G,"")</f>
        <v>#NAME?</v>
      </c>
      <c r="F442" s="103"/>
      <c r="G442" s="104"/>
      <c r="H442" s="104"/>
      <c r="I442" s="103" t="str">
        <f t="shared" si="15"/>
        <v/>
      </c>
      <c r="J442" s="102"/>
      <c r="K442" s="102"/>
      <c r="L442" s="119" t="str">
        <f t="array" ref="L442">IF(OR($B442="",$D442=""),"",
IFERROR(
  INDEX(
    'Tools &amp; Targets_Guideline'!$C$54:$I$269,
    MATCH(
      1,
      ('Tools &amp; Targets_Guideline'!$A$54:$A$269=$B442)*
      ('Tools &amp; Targets_Guideline'!$B$54:$B$269="ANC"),
      0
    ),
    MATCH(
      _xludf.IFNA(
        VLOOKUP($D442,{"PH","Provincial Hospital (H2)";"DH","District Hospital (H3)";"RH","Regional / National Hospital (H1)"},2,0),
        $D442
      ),
      'Tools &amp; Targets_Guideline'!$C$53:$I$53,
      0
    )
  ),
0))</f>
        <v/>
      </c>
      <c r="M442" s="102"/>
      <c r="N442" s="119" t="str">
        <f t="array" ref="N442">IF(OR($B442="",$D442=""),"",
IFERROR(
  INDEX(
    'Tools &amp; Targets_Guideline'!$C$54:$I$269,
    MATCH(
      1,
      ('Tools &amp; Targets_Guideline'!$A$54:$A$269=$B442)*
      ('Tools &amp; Targets_Guideline'!$B$54:$B$269="PNC"),
      0
    ),
    MATCH(
      _xludf.IFNA(
        VLOOKUP($D442,{"PH","Provincial Hospital (H2)";"DH","District Hospital (H3)";"RH","Regional / National Hospital (H1)"},2,0),
        $D442
      ),
      'Tools &amp; Targets_Guideline'!$C$53:$I$53,
      0
    )
  ),
0))</f>
        <v/>
      </c>
      <c r="O442" s="102"/>
      <c r="P442" s="119" t="str">
        <f t="array" ref="P442">IF(OR($B442="",$D442=""),"",
IFERROR(
  INDEX(
    'Tools &amp; Targets_Guideline'!$C$54:$I$269,
    MATCH(
      1,
      ('Tools &amp; Targets_Guideline'!$A$54:$A$269=$B442)*
      ('Tools &amp; Targets_Guideline'!$B$54:$B$269="Delivery"),
      0
    ),
    MATCH(
      _xludf.IFNA(
        VLOOKUP($D442,{"PH","Provincial Hospital (H2)";"DH","District Hospital (H3)";"RH","Regional / National Hospital (H1)"},2,0),
        $D442
      ),
      'Tools &amp; Targets_Guideline'!$C$53:$I$53,
      0
    )
  ),
0))</f>
        <v/>
      </c>
      <c r="Q442" s="102"/>
      <c r="R442" s="119" t="str">
        <f t="array" ref="R442">IF(OR($B442="",$D442=""),"",
IFERROR(
  INDEX(
    'Tools &amp; Targets_Guideline'!$C$54:$I$269,
    MATCH(
      1,
      ('Tools &amp; Targets_Guideline'!$A$54:$A$269=$B442)*
      ('Tools &amp; Targets_Guideline'!$B$54:$B$269="TT"),
      0
    ),
    MATCH(
      _xludf.IFNA(
        VLOOKUP($D442,{"PH","Provincial Hospital (H2)";"DH","District Hospital (H3)";"RH","Regional / National Hospital (H1)"},2,0),
        $D442
      ),
      'Tools &amp; Targets_Guideline'!$C$53:$I$53,
      0
    )
  ),
0))</f>
        <v/>
      </c>
      <c r="S442" s="102"/>
      <c r="T442" s="102"/>
      <c r="U442" s="106"/>
      <c r="V442" s="102" t="str">
        <f t="shared" si="16"/>
        <v/>
      </c>
      <c r="W442" s="102"/>
      <c r="X442" s="102"/>
      <c r="Y442" s="119" t="str">
        <f t="array" ref="Y442">IF(OR($B442="",$D442=""),"",
IFERROR(
  INDEX(
    'Tools &amp; Targets_Guideline'!$C$54:$I$269,
    MATCH(
      1,
      ('Tools &amp; Targets_Guideline'!$A$54:$A$269=$B442)*
      ('Tools &amp; Targets_Guideline'!$B$54:$B$269="GM"),
      0
    ),
    MATCH(
      _xludf.IFNA(
        VLOOKUP($D442,{"PH","Provincial Hospital (H2)";"DH","District Hospital (H3)";"RH","Regional / National Hospital (H1)"},2,0),
        $D442
      ),
      'Tools &amp; Targets_Guideline'!$C$53:$I$53,
      0
    )
  ),
0))</f>
        <v/>
      </c>
      <c r="Z442" s="102"/>
      <c r="AA442" s="119" t="str">
        <f t="array" ref="AA442">IF(OR($B442="",$D442=""),"",
IFERROR(
  INDEX(
    'Tools &amp; Targets_Guideline'!$C$54:$I$269,
    MATCH(
      1,
      ('Tools &amp; Targets_Guideline'!$A$54:$A$269=$B442)*
      ('Tools &amp; Targets_Guideline'!$B$54:$B$269="Penta"),
      0
    ),
    MATCH(
      _xludf.IFNA(
        VLOOKUP($D442,{"PH","Provincial Hospital (H2)";"DH","District Hospital (H3)";"RH","Regional / National Hospital (H1)"},2,0),
        $D442
      ),
      'Tools &amp; Targets_Guideline'!$C$53:$I$53,
      0
    )
  ),
0))</f>
        <v/>
      </c>
      <c r="AB442" s="102"/>
      <c r="AC442" s="119" t="str">
        <f t="array" ref="AC442">IF(OR($B442="",$D442=""),"",
IFERROR(
  INDEX(
    'Tools &amp; Targets_Guideline'!$C$54:$I$269,
    MATCH(
      1,
      ('Tools &amp; Targets_Guideline'!$A$54:$A$269=$B442)*
      ('Tools &amp; Targets_Guideline'!$B$54:$B$269="TB"),
      0
    ),
    MATCH(
      _xludf.IFNA(
        VLOOKUP($D442,{"PH","Provincial Hospital (H2)";"DH","District Hospital (H3)";"RH","Regional / National Hospital (H1)"},2,0),
        $D442
      ),
      'Tools &amp; Targets_Guideline'!$C$53:$I$53,
      0
    )
  ),
0))</f>
        <v/>
      </c>
      <c r="AD442" s="102"/>
      <c r="AE442" s="119" t="str">
        <f t="array" ref="AE442">IF(OR($B442="",$D442=""),"",
IFERROR(
  INDEX(
    'Tools &amp; Targets_Guideline'!$C$54:$I$269,
    MATCH(
      1,
      ('Tools &amp; Targets_Guideline'!$A$54:$A$269=$B442)*
      ('Tools &amp; Targets_Guideline'!$B$54:$B$269="U5 Morbidity"),
      0
    ),
    MATCH(
      _xludf.IFNA(
        VLOOKUP($D442,{"PH","Provincial Hospital (H2)";"DH","District Hospital (H3)";"RH","Regional / National Hospital (H1)"},2,0),
        $D442
      ),
      'Tools &amp; Targets_Guideline'!$C$53:$I$53,
      0
    )
  ),
0))</f>
        <v/>
      </c>
      <c r="AF442" s="102"/>
      <c r="AG442" s="119" t="str">
        <f t="array" ref="AG442">IF(OR($B442="",$D442=""),"",
IFERROR(
  INDEX(
    'Tools &amp; Targets_Guideline'!$C$54:$I$269,
    MATCH(
      1,
      ('Tools &amp; Targets_Guideline'!$A$54:$A$269=$B442)*
      ('Tools &amp; Targets_Guideline'!$B$54:$B$269="C-Section"),
      0
    ),
    MATCH(
      _xludf.IFNA(
        VLOOKUP($D442,{"PH","Provincial Hospital (H2)";"DH","District Hospital (H3)";"RH","Regional / National Hospital (H1)"},2,0),
        $D442
      ),
      'Tools &amp; Targets_Guideline'!$C$53:$I$53,
      0
    )
  ),
0))</f>
        <v/>
      </c>
      <c r="AH442" s="102" t="str">
        <f>IF(A442&lt;&gt;"",COUNTIFS('QA Log'!D:D,A442,'QA Log'!M:M,"QQC",'QA Log'!L:L,"2. Hygiene and Sterilization",'QA Log'!Z:Z,"Approved"),"")</f>
        <v/>
      </c>
      <c r="AI442" s="102"/>
      <c r="AJ442" s="102"/>
      <c r="AK442" s="103" t="str">
        <f t="shared" si="17"/>
        <v/>
      </c>
      <c r="AL442" s="102"/>
      <c r="AM442" s="102"/>
      <c r="AN442" s="102"/>
      <c r="AO442" s="106"/>
      <c r="AP442" s="103"/>
      <c r="AQ442" s="102"/>
      <c r="AR442" s="102"/>
      <c r="AS442" s="102"/>
      <c r="AT442" s="107"/>
      <c r="AU442" s="102" t="str">
        <f t="shared" si="18"/>
        <v/>
      </c>
      <c r="AV442" s="102" t="str">
        <f t="shared" si="19"/>
        <v/>
      </c>
      <c r="AW442" s="102" t="str">
        <f t="shared" si="20"/>
        <v/>
      </c>
      <c r="AX442" s="102" t="str">
        <f t="shared" si="21"/>
        <v/>
      </c>
      <c r="AY442" s="107" t="str">
        <f t="shared" si="22"/>
        <v/>
      </c>
      <c r="AZ442" s="108" t="str">
        <f t="shared" si="23"/>
        <v/>
      </c>
      <c r="BA442" s="108" t="str">
        <f t="shared" si="24"/>
        <v/>
      </c>
      <c r="BB442" s="109" t="str">
        <f t="shared" si="25"/>
        <v/>
      </c>
      <c r="BC442" s="108" t="str">
        <f t="shared" si="26"/>
        <v/>
      </c>
      <c r="BD442" s="108" t="str">
        <f t="shared" si="27"/>
        <v/>
      </c>
      <c r="BE442" s="109" t="str">
        <f t="shared" si="28"/>
        <v/>
      </c>
      <c r="BF442" s="110" t="str">
        <f t="shared" si="29"/>
        <v/>
      </c>
      <c r="BG442" s="111"/>
    </row>
    <row r="443" spans="1:59" ht="12.75">
      <c r="A443" s="101"/>
      <c r="B443" s="102"/>
      <c r="C443" s="102" t="e">
        <f t="array" aca="1" ref="C443" ca="1">_xludf.XLOOKUP(A443,'QA Log'!D:D,'QA Log'!F:F,"")</f>
        <v>#NAME?</v>
      </c>
      <c r="D443" s="102"/>
      <c r="E443" s="102" t="e">
        <f t="array" aca="1" ref="E443" ca="1">_xludf.XLOOKUP(A443,'QA Log'!D:D,'QA Log'!G:G,"")</f>
        <v>#NAME?</v>
      </c>
      <c r="F443" s="103"/>
      <c r="G443" s="104"/>
      <c r="H443" s="104"/>
      <c r="I443" s="103" t="str">
        <f t="shared" si="15"/>
        <v/>
      </c>
      <c r="J443" s="102"/>
      <c r="K443" s="102"/>
      <c r="L443" s="119" t="str">
        <f t="array" ref="L443">IF(OR($B443="",$D443=""),"",
IFERROR(
  INDEX(
    'Tools &amp; Targets_Guideline'!$C$54:$I$269,
    MATCH(
      1,
      ('Tools &amp; Targets_Guideline'!$A$54:$A$269=$B443)*
      ('Tools &amp; Targets_Guideline'!$B$54:$B$269="ANC"),
      0
    ),
    MATCH(
      _xludf.IFNA(
        VLOOKUP($D443,{"PH","Provincial Hospital (H2)";"DH","District Hospital (H3)";"RH","Regional / National Hospital (H1)"},2,0),
        $D443
      ),
      'Tools &amp; Targets_Guideline'!$C$53:$I$53,
      0
    )
  ),
0))</f>
        <v/>
      </c>
      <c r="M443" s="102"/>
      <c r="N443" s="119" t="str">
        <f t="array" ref="N443">IF(OR($B443="",$D443=""),"",
IFERROR(
  INDEX(
    'Tools &amp; Targets_Guideline'!$C$54:$I$269,
    MATCH(
      1,
      ('Tools &amp; Targets_Guideline'!$A$54:$A$269=$B443)*
      ('Tools &amp; Targets_Guideline'!$B$54:$B$269="PNC"),
      0
    ),
    MATCH(
      _xludf.IFNA(
        VLOOKUP($D443,{"PH","Provincial Hospital (H2)";"DH","District Hospital (H3)";"RH","Regional / National Hospital (H1)"},2,0),
        $D443
      ),
      'Tools &amp; Targets_Guideline'!$C$53:$I$53,
      0
    )
  ),
0))</f>
        <v/>
      </c>
      <c r="O443" s="102"/>
      <c r="P443" s="119" t="str">
        <f t="array" ref="P443">IF(OR($B443="",$D443=""),"",
IFERROR(
  INDEX(
    'Tools &amp; Targets_Guideline'!$C$54:$I$269,
    MATCH(
      1,
      ('Tools &amp; Targets_Guideline'!$A$54:$A$269=$B443)*
      ('Tools &amp; Targets_Guideline'!$B$54:$B$269="Delivery"),
      0
    ),
    MATCH(
      _xludf.IFNA(
        VLOOKUP($D443,{"PH","Provincial Hospital (H2)";"DH","District Hospital (H3)";"RH","Regional / National Hospital (H1)"},2,0),
        $D443
      ),
      'Tools &amp; Targets_Guideline'!$C$53:$I$53,
      0
    )
  ),
0))</f>
        <v/>
      </c>
      <c r="Q443" s="102"/>
      <c r="R443" s="119" t="str">
        <f t="array" ref="R443">IF(OR($B443="",$D443=""),"",
IFERROR(
  INDEX(
    'Tools &amp; Targets_Guideline'!$C$54:$I$269,
    MATCH(
      1,
      ('Tools &amp; Targets_Guideline'!$A$54:$A$269=$B443)*
      ('Tools &amp; Targets_Guideline'!$B$54:$B$269="TT"),
      0
    ),
    MATCH(
      _xludf.IFNA(
        VLOOKUP($D443,{"PH","Provincial Hospital (H2)";"DH","District Hospital (H3)";"RH","Regional / National Hospital (H1)"},2,0),
        $D443
      ),
      'Tools &amp; Targets_Guideline'!$C$53:$I$53,
      0
    )
  ),
0))</f>
        <v/>
      </c>
      <c r="S443" s="102"/>
      <c r="T443" s="102"/>
      <c r="U443" s="106"/>
      <c r="V443" s="102" t="str">
        <f t="shared" si="16"/>
        <v/>
      </c>
      <c r="W443" s="102"/>
      <c r="X443" s="102"/>
      <c r="Y443" s="119" t="str">
        <f t="array" ref="Y443">IF(OR($B443="",$D443=""),"",
IFERROR(
  INDEX(
    'Tools &amp; Targets_Guideline'!$C$54:$I$269,
    MATCH(
      1,
      ('Tools &amp; Targets_Guideline'!$A$54:$A$269=$B443)*
      ('Tools &amp; Targets_Guideline'!$B$54:$B$269="GM"),
      0
    ),
    MATCH(
      _xludf.IFNA(
        VLOOKUP($D443,{"PH","Provincial Hospital (H2)";"DH","District Hospital (H3)";"RH","Regional / National Hospital (H1)"},2,0),
        $D443
      ),
      'Tools &amp; Targets_Guideline'!$C$53:$I$53,
      0
    )
  ),
0))</f>
        <v/>
      </c>
      <c r="Z443" s="102"/>
      <c r="AA443" s="119" t="str">
        <f t="array" ref="AA443">IF(OR($B443="",$D443=""),"",
IFERROR(
  INDEX(
    'Tools &amp; Targets_Guideline'!$C$54:$I$269,
    MATCH(
      1,
      ('Tools &amp; Targets_Guideline'!$A$54:$A$269=$B443)*
      ('Tools &amp; Targets_Guideline'!$B$54:$B$269="Penta"),
      0
    ),
    MATCH(
      _xludf.IFNA(
        VLOOKUP($D443,{"PH","Provincial Hospital (H2)";"DH","District Hospital (H3)";"RH","Regional / National Hospital (H1)"},2,0),
        $D443
      ),
      'Tools &amp; Targets_Guideline'!$C$53:$I$53,
      0
    )
  ),
0))</f>
        <v/>
      </c>
      <c r="AB443" s="102"/>
      <c r="AC443" s="119" t="str">
        <f t="array" ref="AC443">IF(OR($B443="",$D443=""),"",
IFERROR(
  INDEX(
    'Tools &amp; Targets_Guideline'!$C$54:$I$269,
    MATCH(
      1,
      ('Tools &amp; Targets_Guideline'!$A$54:$A$269=$B443)*
      ('Tools &amp; Targets_Guideline'!$B$54:$B$269="TB"),
      0
    ),
    MATCH(
      _xludf.IFNA(
        VLOOKUP($D443,{"PH","Provincial Hospital (H2)";"DH","District Hospital (H3)";"RH","Regional / National Hospital (H1)"},2,0),
        $D443
      ),
      'Tools &amp; Targets_Guideline'!$C$53:$I$53,
      0
    )
  ),
0))</f>
        <v/>
      </c>
      <c r="AD443" s="102"/>
      <c r="AE443" s="119" t="str">
        <f t="array" ref="AE443">IF(OR($B443="",$D443=""),"",
IFERROR(
  INDEX(
    'Tools &amp; Targets_Guideline'!$C$54:$I$269,
    MATCH(
      1,
      ('Tools &amp; Targets_Guideline'!$A$54:$A$269=$B443)*
      ('Tools &amp; Targets_Guideline'!$B$54:$B$269="U5 Morbidity"),
      0
    ),
    MATCH(
      _xludf.IFNA(
        VLOOKUP($D443,{"PH","Provincial Hospital (H2)";"DH","District Hospital (H3)";"RH","Regional / National Hospital (H1)"},2,0),
        $D443
      ),
      'Tools &amp; Targets_Guideline'!$C$53:$I$53,
      0
    )
  ),
0))</f>
        <v/>
      </c>
      <c r="AF443" s="102"/>
      <c r="AG443" s="119" t="str">
        <f t="array" ref="AG443">IF(OR($B443="",$D443=""),"",
IFERROR(
  INDEX(
    'Tools &amp; Targets_Guideline'!$C$54:$I$269,
    MATCH(
      1,
      ('Tools &amp; Targets_Guideline'!$A$54:$A$269=$B443)*
      ('Tools &amp; Targets_Guideline'!$B$54:$B$269="C-Section"),
      0
    ),
    MATCH(
      _xludf.IFNA(
        VLOOKUP($D443,{"PH","Provincial Hospital (H2)";"DH","District Hospital (H3)";"RH","Regional / National Hospital (H1)"},2,0),
        $D443
      ),
      'Tools &amp; Targets_Guideline'!$C$53:$I$53,
      0
    )
  ),
0))</f>
        <v/>
      </c>
      <c r="AH443" s="102" t="str">
        <f>IF(A443&lt;&gt;"",COUNTIFS('QA Log'!D:D,A443,'QA Log'!M:M,"QQC",'QA Log'!L:L,"2. Hygiene and Sterilization",'QA Log'!Z:Z,"Approved"),"")</f>
        <v/>
      </c>
      <c r="AI443" s="102"/>
      <c r="AJ443" s="102"/>
      <c r="AK443" s="103" t="str">
        <f t="shared" si="17"/>
        <v/>
      </c>
      <c r="AL443" s="102"/>
      <c r="AM443" s="102"/>
      <c r="AN443" s="102"/>
      <c r="AO443" s="106"/>
      <c r="AP443" s="103"/>
      <c r="AQ443" s="102"/>
      <c r="AR443" s="102"/>
      <c r="AS443" s="102"/>
      <c r="AT443" s="107"/>
      <c r="AU443" s="102" t="str">
        <f t="shared" si="18"/>
        <v/>
      </c>
      <c r="AV443" s="102" t="str">
        <f t="shared" si="19"/>
        <v/>
      </c>
      <c r="AW443" s="102" t="str">
        <f t="shared" si="20"/>
        <v/>
      </c>
      <c r="AX443" s="102" t="str">
        <f t="shared" si="21"/>
        <v/>
      </c>
      <c r="AY443" s="107" t="str">
        <f t="shared" si="22"/>
        <v/>
      </c>
      <c r="AZ443" s="108" t="str">
        <f t="shared" si="23"/>
        <v/>
      </c>
      <c r="BA443" s="108" t="str">
        <f t="shared" si="24"/>
        <v/>
      </c>
      <c r="BB443" s="109" t="str">
        <f t="shared" si="25"/>
        <v/>
      </c>
      <c r="BC443" s="108" t="str">
        <f t="shared" si="26"/>
        <v/>
      </c>
      <c r="BD443" s="108" t="str">
        <f t="shared" si="27"/>
        <v/>
      </c>
      <c r="BE443" s="109" t="str">
        <f t="shared" si="28"/>
        <v/>
      </c>
      <c r="BF443" s="110" t="str">
        <f t="shared" si="29"/>
        <v/>
      </c>
      <c r="BG443" s="111"/>
    </row>
    <row r="444" spans="1:59" ht="12.75">
      <c r="A444" s="101"/>
      <c r="B444" s="102"/>
      <c r="C444" s="102" t="e">
        <f t="array" aca="1" ref="C444" ca="1">_xludf.XLOOKUP(A444,'QA Log'!D:D,'QA Log'!F:F,"")</f>
        <v>#NAME?</v>
      </c>
      <c r="D444" s="102"/>
      <c r="E444" s="102" t="e">
        <f t="array" aca="1" ref="E444" ca="1">_xludf.XLOOKUP(A444,'QA Log'!D:D,'QA Log'!G:G,"")</f>
        <v>#NAME?</v>
      </c>
      <c r="F444" s="103"/>
      <c r="G444" s="104"/>
      <c r="H444" s="104"/>
      <c r="I444" s="103" t="str">
        <f t="shared" si="15"/>
        <v/>
      </c>
      <c r="J444" s="102"/>
      <c r="K444" s="102"/>
      <c r="L444" s="119" t="str">
        <f t="array" ref="L444">IF(OR($B444="",$D444=""),"",
IFERROR(
  INDEX(
    'Tools &amp; Targets_Guideline'!$C$54:$I$269,
    MATCH(
      1,
      ('Tools &amp; Targets_Guideline'!$A$54:$A$269=$B444)*
      ('Tools &amp; Targets_Guideline'!$B$54:$B$269="ANC"),
      0
    ),
    MATCH(
      _xludf.IFNA(
        VLOOKUP($D444,{"PH","Provincial Hospital (H2)";"DH","District Hospital (H3)";"RH","Regional / National Hospital (H1)"},2,0),
        $D444
      ),
      'Tools &amp; Targets_Guideline'!$C$53:$I$53,
      0
    )
  ),
0))</f>
        <v/>
      </c>
      <c r="M444" s="102"/>
      <c r="N444" s="119" t="str">
        <f t="array" ref="N444">IF(OR($B444="",$D444=""),"",
IFERROR(
  INDEX(
    'Tools &amp; Targets_Guideline'!$C$54:$I$269,
    MATCH(
      1,
      ('Tools &amp; Targets_Guideline'!$A$54:$A$269=$B444)*
      ('Tools &amp; Targets_Guideline'!$B$54:$B$269="PNC"),
      0
    ),
    MATCH(
      _xludf.IFNA(
        VLOOKUP($D444,{"PH","Provincial Hospital (H2)";"DH","District Hospital (H3)";"RH","Regional / National Hospital (H1)"},2,0),
        $D444
      ),
      'Tools &amp; Targets_Guideline'!$C$53:$I$53,
      0
    )
  ),
0))</f>
        <v/>
      </c>
      <c r="O444" s="102"/>
      <c r="P444" s="119" t="str">
        <f t="array" ref="P444">IF(OR($B444="",$D444=""),"",
IFERROR(
  INDEX(
    'Tools &amp; Targets_Guideline'!$C$54:$I$269,
    MATCH(
      1,
      ('Tools &amp; Targets_Guideline'!$A$54:$A$269=$B444)*
      ('Tools &amp; Targets_Guideline'!$B$54:$B$269="Delivery"),
      0
    ),
    MATCH(
      _xludf.IFNA(
        VLOOKUP($D444,{"PH","Provincial Hospital (H2)";"DH","District Hospital (H3)";"RH","Regional / National Hospital (H1)"},2,0),
        $D444
      ),
      'Tools &amp; Targets_Guideline'!$C$53:$I$53,
      0
    )
  ),
0))</f>
        <v/>
      </c>
      <c r="Q444" s="102"/>
      <c r="R444" s="119" t="str">
        <f t="array" ref="R444">IF(OR($B444="",$D444=""),"",
IFERROR(
  INDEX(
    'Tools &amp; Targets_Guideline'!$C$54:$I$269,
    MATCH(
      1,
      ('Tools &amp; Targets_Guideline'!$A$54:$A$269=$B444)*
      ('Tools &amp; Targets_Guideline'!$B$54:$B$269="TT"),
      0
    ),
    MATCH(
      _xludf.IFNA(
        VLOOKUP($D444,{"PH","Provincial Hospital (H2)";"DH","District Hospital (H3)";"RH","Regional / National Hospital (H1)"},2,0),
        $D444
      ),
      'Tools &amp; Targets_Guideline'!$C$53:$I$53,
      0
    )
  ),
0))</f>
        <v/>
      </c>
      <c r="S444" s="102"/>
      <c r="T444" s="102"/>
      <c r="U444" s="106"/>
      <c r="V444" s="102" t="str">
        <f t="shared" si="16"/>
        <v/>
      </c>
      <c r="W444" s="102"/>
      <c r="X444" s="102"/>
      <c r="Y444" s="119" t="str">
        <f t="array" ref="Y444">IF(OR($B444="",$D444=""),"",
IFERROR(
  INDEX(
    'Tools &amp; Targets_Guideline'!$C$54:$I$269,
    MATCH(
      1,
      ('Tools &amp; Targets_Guideline'!$A$54:$A$269=$B444)*
      ('Tools &amp; Targets_Guideline'!$B$54:$B$269="GM"),
      0
    ),
    MATCH(
      _xludf.IFNA(
        VLOOKUP($D444,{"PH","Provincial Hospital (H2)";"DH","District Hospital (H3)";"RH","Regional / National Hospital (H1)"},2,0),
        $D444
      ),
      'Tools &amp; Targets_Guideline'!$C$53:$I$53,
      0
    )
  ),
0))</f>
        <v/>
      </c>
      <c r="Z444" s="102"/>
      <c r="AA444" s="119" t="str">
        <f t="array" ref="AA444">IF(OR($B444="",$D444=""),"",
IFERROR(
  INDEX(
    'Tools &amp; Targets_Guideline'!$C$54:$I$269,
    MATCH(
      1,
      ('Tools &amp; Targets_Guideline'!$A$54:$A$269=$B444)*
      ('Tools &amp; Targets_Guideline'!$B$54:$B$269="Penta"),
      0
    ),
    MATCH(
      _xludf.IFNA(
        VLOOKUP($D444,{"PH","Provincial Hospital (H2)";"DH","District Hospital (H3)";"RH","Regional / National Hospital (H1)"},2,0),
        $D444
      ),
      'Tools &amp; Targets_Guideline'!$C$53:$I$53,
      0
    )
  ),
0))</f>
        <v/>
      </c>
      <c r="AB444" s="102"/>
      <c r="AC444" s="119" t="str">
        <f t="array" ref="AC444">IF(OR($B444="",$D444=""),"",
IFERROR(
  INDEX(
    'Tools &amp; Targets_Guideline'!$C$54:$I$269,
    MATCH(
      1,
      ('Tools &amp; Targets_Guideline'!$A$54:$A$269=$B444)*
      ('Tools &amp; Targets_Guideline'!$B$54:$B$269="TB"),
      0
    ),
    MATCH(
      _xludf.IFNA(
        VLOOKUP($D444,{"PH","Provincial Hospital (H2)";"DH","District Hospital (H3)";"RH","Regional / National Hospital (H1)"},2,0),
        $D444
      ),
      'Tools &amp; Targets_Guideline'!$C$53:$I$53,
      0
    )
  ),
0))</f>
        <v/>
      </c>
      <c r="AD444" s="102"/>
      <c r="AE444" s="119" t="str">
        <f t="array" ref="AE444">IF(OR($B444="",$D444=""),"",
IFERROR(
  INDEX(
    'Tools &amp; Targets_Guideline'!$C$54:$I$269,
    MATCH(
      1,
      ('Tools &amp; Targets_Guideline'!$A$54:$A$269=$B444)*
      ('Tools &amp; Targets_Guideline'!$B$54:$B$269="U5 Morbidity"),
      0
    ),
    MATCH(
      _xludf.IFNA(
        VLOOKUP($D444,{"PH","Provincial Hospital (H2)";"DH","District Hospital (H3)";"RH","Regional / National Hospital (H1)"},2,0),
        $D444
      ),
      'Tools &amp; Targets_Guideline'!$C$53:$I$53,
      0
    )
  ),
0))</f>
        <v/>
      </c>
      <c r="AF444" s="102"/>
      <c r="AG444" s="119" t="str">
        <f t="array" ref="AG444">IF(OR($B444="",$D444=""),"",
IFERROR(
  INDEX(
    'Tools &amp; Targets_Guideline'!$C$54:$I$269,
    MATCH(
      1,
      ('Tools &amp; Targets_Guideline'!$A$54:$A$269=$B444)*
      ('Tools &amp; Targets_Guideline'!$B$54:$B$269="C-Section"),
      0
    ),
    MATCH(
      _xludf.IFNA(
        VLOOKUP($D444,{"PH","Provincial Hospital (H2)";"DH","District Hospital (H3)";"RH","Regional / National Hospital (H1)"},2,0),
        $D444
      ),
      'Tools &amp; Targets_Guideline'!$C$53:$I$53,
      0
    )
  ),
0))</f>
        <v/>
      </c>
      <c r="AH444" s="102" t="str">
        <f>IF(A444&lt;&gt;"",COUNTIFS('QA Log'!D:D,A444,'QA Log'!M:M,"QQC",'QA Log'!L:L,"2. Hygiene and Sterilization",'QA Log'!Z:Z,"Approved"),"")</f>
        <v/>
      </c>
      <c r="AI444" s="102"/>
      <c r="AJ444" s="102"/>
      <c r="AK444" s="103" t="str">
        <f t="shared" si="17"/>
        <v/>
      </c>
      <c r="AL444" s="102"/>
      <c r="AM444" s="102"/>
      <c r="AN444" s="102"/>
      <c r="AO444" s="106"/>
      <c r="AP444" s="103"/>
      <c r="AQ444" s="102"/>
      <c r="AR444" s="102"/>
      <c r="AS444" s="102"/>
      <c r="AT444" s="107"/>
      <c r="AU444" s="102" t="str">
        <f t="shared" si="18"/>
        <v/>
      </c>
      <c r="AV444" s="102" t="str">
        <f t="shared" si="19"/>
        <v/>
      </c>
      <c r="AW444" s="102" t="str">
        <f t="shared" si="20"/>
        <v/>
      </c>
      <c r="AX444" s="102" t="str">
        <f t="shared" si="21"/>
        <v/>
      </c>
      <c r="AY444" s="107" t="str">
        <f t="shared" si="22"/>
        <v/>
      </c>
      <c r="AZ444" s="108" t="str">
        <f t="shared" si="23"/>
        <v/>
      </c>
      <c r="BA444" s="108" t="str">
        <f t="shared" si="24"/>
        <v/>
      </c>
      <c r="BB444" s="109" t="str">
        <f t="shared" si="25"/>
        <v/>
      </c>
      <c r="BC444" s="108" t="str">
        <f t="shared" si="26"/>
        <v/>
      </c>
      <c r="BD444" s="108" t="str">
        <f t="shared" si="27"/>
        <v/>
      </c>
      <c r="BE444" s="109" t="str">
        <f t="shared" si="28"/>
        <v/>
      </c>
      <c r="BF444" s="110" t="str">
        <f t="shared" si="29"/>
        <v/>
      </c>
      <c r="BG444" s="111"/>
    </row>
    <row r="445" spans="1:59" ht="12.75">
      <c r="A445" s="101"/>
      <c r="B445" s="102"/>
      <c r="C445" s="102" t="e">
        <f t="array" aca="1" ref="C445" ca="1">_xludf.XLOOKUP(A445,'QA Log'!D:D,'QA Log'!F:F,"")</f>
        <v>#NAME?</v>
      </c>
      <c r="D445" s="102"/>
      <c r="E445" s="102" t="e">
        <f t="array" aca="1" ref="E445" ca="1">_xludf.XLOOKUP(A445,'QA Log'!D:D,'QA Log'!G:G,"")</f>
        <v>#NAME?</v>
      </c>
      <c r="F445" s="103"/>
      <c r="G445" s="104"/>
      <c r="H445" s="104"/>
      <c r="I445" s="103" t="str">
        <f t="shared" si="15"/>
        <v/>
      </c>
      <c r="J445" s="102"/>
      <c r="K445" s="102"/>
      <c r="L445" s="119" t="str">
        <f t="array" ref="L445">IF(OR($B445="",$D445=""),"",
IFERROR(
  INDEX(
    'Tools &amp; Targets_Guideline'!$C$54:$I$269,
    MATCH(
      1,
      ('Tools &amp; Targets_Guideline'!$A$54:$A$269=$B445)*
      ('Tools &amp; Targets_Guideline'!$B$54:$B$269="ANC"),
      0
    ),
    MATCH(
      _xludf.IFNA(
        VLOOKUP($D445,{"PH","Provincial Hospital (H2)";"DH","District Hospital (H3)";"RH","Regional / National Hospital (H1)"},2,0),
        $D445
      ),
      'Tools &amp; Targets_Guideline'!$C$53:$I$53,
      0
    )
  ),
0))</f>
        <v/>
      </c>
      <c r="M445" s="102"/>
      <c r="N445" s="119" t="str">
        <f t="array" ref="N445">IF(OR($B445="",$D445=""),"",
IFERROR(
  INDEX(
    'Tools &amp; Targets_Guideline'!$C$54:$I$269,
    MATCH(
      1,
      ('Tools &amp; Targets_Guideline'!$A$54:$A$269=$B445)*
      ('Tools &amp; Targets_Guideline'!$B$54:$B$269="PNC"),
      0
    ),
    MATCH(
      _xludf.IFNA(
        VLOOKUP($D445,{"PH","Provincial Hospital (H2)";"DH","District Hospital (H3)";"RH","Regional / National Hospital (H1)"},2,0),
        $D445
      ),
      'Tools &amp; Targets_Guideline'!$C$53:$I$53,
      0
    )
  ),
0))</f>
        <v/>
      </c>
      <c r="O445" s="102"/>
      <c r="P445" s="119" t="str">
        <f t="array" ref="P445">IF(OR($B445="",$D445=""),"",
IFERROR(
  INDEX(
    'Tools &amp; Targets_Guideline'!$C$54:$I$269,
    MATCH(
      1,
      ('Tools &amp; Targets_Guideline'!$A$54:$A$269=$B445)*
      ('Tools &amp; Targets_Guideline'!$B$54:$B$269="Delivery"),
      0
    ),
    MATCH(
      _xludf.IFNA(
        VLOOKUP($D445,{"PH","Provincial Hospital (H2)";"DH","District Hospital (H3)";"RH","Regional / National Hospital (H1)"},2,0),
        $D445
      ),
      'Tools &amp; Targets_Guideline'!$C$53:$I$53,
      0
    )
  ),
0))</f>
        <v/>
      </c>
      <c r="Q445" s="102"/>
      <c r="R445" s="119" t="str">
        <f t="array" ref="R445">IF(OR($B445="",$D445=""),"",
IFERROR(
  INDEX(
    'Tools &amp; Targets_Guideline'!$C$54:$I$269,
    MATCH(
      1,
      ('Tools &amp; Targets_Guideline'!$A$54:$A$269=$B445)*
      ('Tools &amp; Targets_Guideline'!$B$54:$B$269="TT"),
      0
    ),
    MATCH(
      _xludf.IFNA(
        VLOOKUP($D445,{"PH","Provincial Hospital (H2)";"DH","District Hospital (H3)";"RH","Regional / National Hospital (H1)"},2,0),
        $D445
      ),
      'Tools &amp; Targets_Guideline'!$C$53:$I$53,
      0
    )
  ),
0))</f>
        <v/>
      </c>
      <c r="S445" s="102"/>
      <c r="T445" s="102"/>
      <c r="U445" s="106"/>
      <c r="V445" s="102" t="str">
        <f t="shared" si="16"/>
        <v/>
      </c>
      <c r="W445" s="102"/>
      <c r="X445" s="102"/>
      <c r="Y445" s="119" t="str">
        <f t="array" ref="Y445">IF(OR($B445="",$D445=""),"",
IFERROR(
  INDEX(
    'Tools &amp; Targets_Guideline'!$C$54:$I$269,
    MATCH(
      1,
      ('Tools &amp; Targets_Guideline'!$A$54:$A$269=$B445)*
      ('Tools &amp; Targets_Guideline'!$B$54:$B$269="GM"),
      0
    ),
    MATCH(
      _xludf.IFNA(
        VLOOKUP($D445,{"PH","Provincial Hospital (H2)";"DH","District Hospital (H3)";"RH","Regional / National Hospital (H1)"},2,0),
        $D445
      ),
      'Tools &amp; Targets_Guideline'!$C$53:$I$53,
      0
    )
  ),
0))</f>
        <v/>
      </c>
      <c r="Z445" s="102"/>
      <c r="AA445" s="119" t="str">
        <f t="array" ref="AA445">IF(OR($B445="",$D445=""),"",
IFERROR(
  INDEX(
    'Tools &amp; Targets_Guideline'!$C$54:$I$269,
    MATCH(
      1,
      ('Tools &amp; Targets_Guideline'!$A$54:$A$269=$B445)*
      ('Tools &amp; Targets_Guideline'!$B$54:$B$269="Penta"),
      0
    ),
    MATCH(
      _xludf.IFNA(
        VLOOKUP($D445,{"PH","Provincial Hospital (H2)";"DH","District Hospital (H3)";"RH","Regional / National Hospital (H1)"},2,0),
        $D445
      ),
      'Tools &amp; Targets_Guideline'!$C$53:$I$53,
      0
    )
  ),
0))</f>
        <v/>
      </c>
      <c r="AB445" s="102"/>
      <c r="AC445" s="119" t="str">
        <f t="array" ref="AC445">IF(OR($B445="",$D445=""),"",
IFERROR(
  INDEX(
    'Tools &amp; Targets_Guideline'!$C$54:$I$269,
    MATCH(
      1,
      ('Tools &amp; Targets_Guideline'!$A$54:$A$269=$B445)*
      ('Tools &amp; Targets_Guideline'!$B$54:$B$269="TB"),
      0
    ),
    MATCH(
      _xludf.IFNA(
        VLOOKUP($D445,{"PH","Provincial Hospital (H2)";"DH","District Hospital (H3)";"RH","Regional / National Hospital (H1)"},2,0),
        $D445
      ),
      'Tools &amp; Targets_Guideline'!$C$53:$I$53,
      0
    )
  ),
0))</f>
        <v/>
      </c>
      <c r="AD445" s="102"/>
      <c r="AE445" s="119" t="str">
        <f t="array" ref="AE445">IF(OR($B445="",$D445=""),"",
IFERROR(
  INDEX(
    'Tools &amp; Targets_Guideline'!$C$54:$I$269,
    MATCH(
      1,
      ('Tools &amp; Targets_Guideline'!$A$54:$A$269=$B445)*
      ('Tools &amp; Targets_Guideline'!$B$54:$B$269="U5 Morbidity"),
      0
    ),
    MATCH(
      _xludf.IFNA(
        VLOOKUP($D445,{"PH","Provincial Hospital (H2)";"DH","District Hospital (H3)";"RH","Regional / National Hospital (H1)"},2,0),
        $D445
      ),
      'Tools &amp; Targets_Guideline'!$C$53:$I$53,
      0
    )
  ),
0))</f>
        <v/>
      </c>
      <c r="AF445" s="102"/>
      <c r="AG445" s="119" t="str">
        <f t="array" ref="AG445">IF(OR($B445="",$D445=""),"",
IFERROR(
  INDEX(
    'Tools &amp; Targets_Guideline'!$C$54:$I$269,
    MATCH(
      1,
      ('Tools &amp; Targets_Guideline'!$A$54:$A$269=$B445)*
      ('Tools &amp; Targets_Guideline'!$B$54:$B$269="C-Section"),
      0
    ),
    MATCH(
      _xludf.IFNA(
        VLOOKUP($D445,{"PH","Provincial Hospital (H2)";"DH","District Hospital (H3)";"RH","Regional / National Hospital (H1)"},2,0),
        $D445
      ),
      'Tools &amp; Targets_Guideline'!$C$53:$I$53,
      0
    )
  ),
0))</f>
        <v/>
      </c>
      <c r="AH445" s="102" t="str">
        <f>IF(A445&lt;&gt;"",COUNTIFS('QA Log'!D:D,A445,'QA Log'!M:M,"QQC",'QA Log'!L:L,"2. Hygiene and Sterilization",'QA Log'!Z:Z,"Approved"),"")</f>
        <v/>
      </c>
      <c r="AI445" s="102"/>
      <c r="AJ445" s="102"/>
      <c r="AK445" s="103" t="str">
        <f t="shared" si="17"/>
        <v/>
      </c>
      <c r="AL445" s="102"/>
      <c r="AM445" s="102"/>
      <c r="AN445" s="102"/>
      <c r="AO445" s="106"/>
      <c r="AP445" s="103"/>
      <c r="AQ445" s="102"/>
      <c r="AR445" s="102"/>
      <c r="AS445" s="102"/>
      <c r="AT445" s="107"/>
      <c r="AU445" s="102" t="str">
        <f t="shared" si="18"/>
        <v/>
      </c>
      <c r="AV445" s="102" t="str">
        <f t="shared" si="19"/>
        <v/>
      </c>
      <c r="AW445" s="102" t="str">
        <f t="shared" si="20"/>
        <v/>
      </c>
      <c r="AX445" s="102" t="str">
        <f t="shared" si="21"/>
        <v/>
      </c>
      <c r="AY445" s="107" t="str">
        <f t="shared" si="22"/>
        <v/>
      </c>
      <c r="AZ445" s="108" t="str">
        <f t="shared" si="23"/>
        <v/>
      </c>
      <c r="BA445" s="108" t="str">
        <f t="shared" si="24"/>
        <v/>
      </c>
      <c r="BB445" s="109" t="str">
        <f t="shared" si="25"/>
        <v/>
      </c>
      <c r="BC445" s="108" t="str">
        <f t="shared" si="26"/>
        <v/>
      </c>
      <c r="BD445" s="108" t="str">
        <f t="shared" si="27"/>
        <v/>
      </c>
      <c r="BE445" s="109" t="str">
        <f t="shared" si="28"/>
        <v/>
      </c>
      <c r="BF445" s="110" t="str">
        <f t="shared" si="29"/>
        <v/>
      </c>
      <c r="BG445" s="111"/>
    </row>
    <row r="446" spans="1:59" ht="12.75">
      <c r="A446" s="101"/>
      <c r="B446" s="102"/>
      <c r="C446" s="102" t="e">
        <f t="array" aca="1" ref="C446" ca="1">_xludf.XLOOKUP(A446,'QA Log'!D:D,'QA Log'!F:F,"")</f>
        <v>#NAME?</v>
      </c>
      <c r="D446" s="102"/>
      <c r="E446" s="102" t="e">
        <f t="array" aca="1" ref="E446" ca="1">_xludf.XLOOKUP(A446,'QA Log'!D:D,'QA Log'!G:G,"")</f>
        <v>#NAME?</v>
      </c>
      <c r="F446" s="103"/>
      <c r="G446" s="104"/>
      <c r="H446" s="104"/>
      <c r="I446" s="103" t="str">
        <f t="shared" si="15"/>
        <v/>
      </c>
      <c r="J446" s="102"/>
      <c r="K446" s="102"/>
      <c r="L446" s="119" t="str">
        <f t="array" ref="L446">IF(OR($B446="",$D446=""),"",
IFERROR(
  INDEX(
    'Tools &amp; Targets_Guideline'!$C$54:$I$269,
    MATCH(
      1,
      ('Tools &amp; Targets_Guideline'!$A$54:$A$269=$B446)*
      ('Tools &amp; Targets_Guideline'!$B$54:$B$269="ANC"),
      0
    ),
    MATCH(
      _xludf.IFNA(
        VLOOKUP($D446,{"PH","Provincial Hospital (H2)";"DH","District Hospital (H3)";"RH","Regional / National Hospital (H1)"},2,0),
        $D446
      ),
      'Tools &amp; Targets_Guideline'!$C$53:$I$53,
      0
    )
  ),
0))</f>
        <v/>
      </c>
      <c r="M446" s="102"/>
      <c r="N446" s="119" t="str">
        <f t="array" ref="N446">IF(OR($B446="",$D446=""),"",
IFERROR(
  INDEX(
    'Tools &amp; Targets_Guideline'!$C$54:$I$269,
    MATCH(
      1,
      ('Tools &amp; Targets_Guideline'!$A$54:$A$269=$B446)*
      ('Tools &amp; Targets_Guideline'!$B$54:$B$269="PNC"),
      0
    ),
    MATCH(
      _xludf.IFNA(
        VLOOKUP($D446,{"PH","Provincial Hospital (H2)";"DH","District Hospital (H3)";"RH","Regional / National Hospital (H1)"},2,0),
        $D446
      ),
      'Tools &amp; Targets_Guideline'!$C$53:$I$53,
      0
    )
  ),
0))</f>
        <v/>
      </c>
      <c r="O446" s="102"/>
      <c r="P446" s="119" t="str">
        <f t="array" ref="P446">IF(OR($B446="",$D446=""),"",
IFERROR(
  INDEX(
    'Tools &amp; Targets_Guideline'!$C$54:$I$269,
    MATCH(
      1,
      ('Tools &amp; Targets_Guideline'!$A$54:$A$269=$B446)*
      ('Tools &amp; Targets_Guideline'!$B$54:$B$269="Delivery"),
      0
    ),
    MATCH(
      _xludf.IFNA(
        VLOOKUP($D446,{"PH","Provincial Hospital (H2)";"DH","District Hospital (H3)";"RH","Regional / National Hospital (H1)"},2,0),
        $D446
      ),
      'Tools &amp; Targets_Guideline'!$C$53:$I$53,
      0
    )
  ),
0))</f>
        <v/>
      </c>
      <c r="Q446" s="102"/>
      <c r="R446" s="119" t="str">
        <f t="array" ref="R446">IF(OR($B446="",$D446=""),"",
IFERROR(
  INDEX(
    'Tools &amp; Targets_Guideline'!$C$54:$I$269,
    MATCH(
      1,
      ('Tools &amp; Targets_Guideline'!$A$54:$A$269=$B446)*
      ('Tools &amp; Targets_Guideline'!$B$54:$B$269="TT"),
      0
    ),
    MATCH(
      _xludf.IFNA(
        VLOOKUP($D446,{"PH","Provincial Hospital (H2)";"DH","District Hospital (H3)";"RH","Regional / National Hospital (H1)"},2,0),
        $D446
      ),
      'Tools &amp; Targets_Guideline'!$C$53:$I$53,
      0
    )
  ),
0))</f>
        <v/>
      </c>
      <c r="S446" s="102"/>
      <c r="T446" s="102"/>
      <c r="U446" s="106"/>
      <c r="V446" s="102" t="str">
        <f t="shared" si="16"/>
        <v/>
      </c>
      <c r="W446" s="102"/>
      <c r="X446" s="102"/>
      <c r="Y446" s="119" t="str">
        <f t="array" ref="Y446">IF(OR($B446="",$D446=""),"",
IFERROR(
  INDEX(
    'Tools &amp; Targets_Guideline'!$C$54:$I$269,
    MATCH(
      1,
      ('Tools &amp; Targets_Guideline'!$A$54:$A$269=$B446)*
      ('Tools &amp; Targets_Guideline'!$B$54:$B$269="GM"),
      0
    ),
    MATCH(
      _xludf.IFNA(
        VLOOKUP($D446,{"PH","Provincial Hospital (H2)";"DH","District Hospital (H3)";"RH","Regional / National Hospital (H1)"},2,0),
        $D446
      ),
      'Tools &amp; Targets_Guideline'!$C$53:$I$53,
      0
    )
  ),
0))</f>
        <v/>
      </c>
      <c r="Z446" s="102"/>
      <c r="AA446" s="119" t="str">
        <f t="array" ref="AA446">IF(OR($B446="",$D446=""),"",
IFERROR(
  INDEX(
    'Tools &amp; Targets_Guideline'!$C$54:$I$269,
    MATCH(
      1,
      ('Tools &amp; Targets_Guideline'!$A$54:$A$269=$B446)*
      ('Tools &amp; Targets_Guideline'!$B$54:$B$269="Penta"),
      0
    ),
    MATCH(
      _xludf.IFNA(
        VLOOKUP($D446,{"PH","Provincial Hospital (H2)";"DH","District Hospital (H3)";"RH","Regional / National Hospital (H1)"},2,0),
        $D446
      ),
      'Tools &amp; Targets_Guideline'!$C$53:$I$53,
      0
    )
  ),
0))</f>
        <v/>
      </c>
      <c r="AB446" s="102"/>
      <c r="AC446" s="119" t="str">
        <f t="array" ref="AC446">IF(OR($B446="",$D446=""),"",
IFERROR(
  INDEX(
    'Tools &amp; Targets_Guideline'!$C$54:$I$269,
    MATCH(
      1,
      ('Tools &amp; Targets_Guideline'!$A$54:$A$269=$B446)*
      ('Tools &amp; Targets_Guideline'!$B$54:$B$269="TB"),
      0
    ),
    MATCH(
      _xludf.IFNA(
        VLOOKUP($D446,{"PH","Provincial Hospital (H2)";"DH","District Hospital (H3)";"RH","Regional / National Hospital (H1)"},2,0),
        $D446
      ),
      'Tools &amp; Targets_Guideline'!$C$53:$I$53,
      0
    )
  ),
0))</f>
        <v/>
      </c>
      <c r="AD446" s="102"/>
      <c r="AE446" s="119" t="str">
        <f t="array" ref="AE446">IF(OR($B446="",$D446=""),"",
IFERROR(
  INDEX(
    'Tools &amp; Targets_Guideline'!$C$54:$I$269,
    MATCH(
      1,
      ('Tools &amp; Targets_Guideline'!$A$54:$A$269=$B446)*
      ('Tools &amp; Targets_Guideline'!$B$54:$B$269="U5 Morbidity"),
      0
    ),
    MATCH(
      _xludf.IFNA(
        VLOOKUP($D446,{"PH","Provincial Hospital (H2)";"DH","District Hospital (H3)";"RH","Regional / National Hospital (H1)"},2,0),
        $D446
      ),
      'Tools &amp; Targets_Guideline'!$C$53:$I$53,
      0
    )
  ),
0))</f>
        <v/>
      </c>
      <c r="AF446" s="102"/>
      <c r="AG446" s="119" t="str">
        <f t="array" ref="AG446">IF(OR($B446="",$D446=""),"",
IFERROR(
  INDEX(
    'Tools &amp; Targets_Guideline'!$C$54:$I$269,
    MATCH(
      1,
      ('Tools &amp; Targets_Guideline'!$A$54:$A$269=$B446)*
      ('Tools &amp; Targets_Guideline'!$B$54:$B$269="C-Section"),
      0
    ),
    MATCH(
      _xludf.IFNA(
        VLOOKUP($D446,{"PH","Provincial Hospital (H2)";"DH","District Hospital (H3)";"RH","Regional / National Hospital (H1)"},2,0),
        $D446
      ),
      'Tools &amp; Targets_Guideline'!$C$53:$I$53,
      0
    )
  ),
0))</f>
        <v/>
      </c>
      <c r="AH446" s="102" t="str">
        <f>IF(A446&lt;&gt;"",COUNTIFS('QA Log'!D:D,A446,'QA Log'!M:M,"QQC",'QA Log'!L:L,"2. Hygiene and Sterilization",'QA Log'!Z:Z,"Approved"),"")</f>
        <v/>
      </c>
      <c r="AI446" s="102"/>
      <c r="AJ446" s="102"/>
      <c r="AK446" s="103" t="str">
        <f t="shared" si="17"/>
        <v/>
      </c>
      <c r="AL446" s="102"/>
      <c r="AM446" s="102"/>
      <c r="AN446" s="102"/>
      <c r="AO446" s="106"/>
      <c r="AP446" s="103"/>
      <c r="AQ446" s="102"/>
      <c r="AR446" s="102"/>
      <c r="AS446" s="102"/>
      <c r="AT446" s="107"/>
      <c r="AU446" s="102" t="str">
        <f t="shared" si="18"/>
        <v/>
      </c>
      <c r="AV446" s="102" t="str">
        <f t="shared" si="19"/>
        <v/>
      </c>
      <c r="AW446" s="102" t="str">
        <f t="shared" si="20"/>
        <v/>
      </c>
      <c r="AX446" s="102" t="str">
        <f t="shared" si="21"/>
        <v/>
      </c>
      <c r="AY446" s="107" t="str">
        <f t="shared" si="22"/>
        <v/>
      </c>
      <c r="AZ446" s="108" t="str">
        <f t="shared" si="23"/>
        <v/>
      </c>
      <c r="BA446" s="108" t="str">
        <f t="shared" si="24"/>
        <v/>
      </c>
      <c r="BB446" s="109" t="str">
        <f t="shared" si="25"/>
        <v/>
      </c>
      <c r="BC446" s="108" t="str">
        <f t="shared" si="26"/>
        <v/>
      </c>
      <c r="BD446" s="108" t="str">
        <f t="shared" si="27"/>
        <v/>
      </c>
      <c r="BE446" s="109" t="str">
        <f t="shared" si="28"/>
        <v/>
      </c>
      <c r="BF446" s="110" t="str">
        <f t="shared" si="29"/>
        <v/>
      </c>
      <c r="BG446" s="111"/>
    </row>
    <row r="447" spans="1:59" ht="12.75">
      <c r="A447" s="101"/>
      <c r="B447" s="102"/>
      <c r="C447" s="102" t="e">
        <f t="array" aca="1" ref="C447" ca="1">_xludf.XLOOKUP(A447,'QA Log'!D:D,'QA Log'!F:F,"")</f>
        <v>#NAME?</v>
      </c>
      <c r="D447" s="102"/>
      <c r="E447" s="102" t="e">
        <f t="array" aca="1" ref="E447" ca="1">_xludf.XLOOKUP(A447,'QA Log'!D:D,'QA Log'!G:G,"")</f>
        <v>#NAME?</v>
      </c>
      <c r="F447" s="103"/>
      <c r="G447" s="104"/>
      <c r="H447" s="104"/>
      <c r="I447" s="103" t="str">
        <f t="shared" si="15"/>
        <v/>
      </c>
      <c r="J447" s="102"/>
      <c r="K447" s="102"/>
      <c r="L447" s="119" t="str">
        <f t="array" ref="L447">IF(OR($B447="",$D447=""),"",
IFERROR(
  INDEX(
    'Tools &amp; Targets_Guideline'!$C$54:$I$269,
    MATCH(
      1,
      ('Tools &amp; Targets_Guideline'!$A$54:$A$269=$B447)*
      ('Tools &amp; Targets_Guideline'!$B$54:$B$269="ANC"),
      0
    ),
    MATCH(
      _xludf.IFNA(
        VLOOKUP($D447,{"PH","Provincial Hospital (H2)";"DH","District Hospital (H3)";"RH","Regional / National Hospital (H1)"},2,0),
        $D447
      ),
      'Tools &amp; Targets_Guideline'!$C$53:$I$53,
      0
    )
  ),
0))</f>
        <v/>
      </c>
      <c r="M447" s="102"/>
      <c r="N447" s="119" t="str">
        <f t="array" ref="N447">IF(OR($B447="",$D447=""),"",
IFERROR(
  INDEX(
    'Tools &amp; Targets_Guideline'!$C$54:$I$269,
    MATCH(
      1,
      ('Tools &amp; Targets_Guideline'!$A$54:$A$269=$B447)*
      ('Tools &amp; Targets_Guideline'!$B$54:$B$269="PNC"),
      0
    ),
    MATCH(
      _xludf.IFNA(
        VLOOKUP($D447,{"PH","Provincial Hospital (H2)";"DH","District Hospital (H3)";"RH","Regional / National Hospital (H1)"},2,0),
        $D447
      ),
      'Tools &amp; Targets_Guideline'!$C$53:$I$53,
      0
    )
  ),
0))</f>
        <v/>
      </c>
      <c r="O447" s="102"/>
      <c r="P447" s="119" t="str">
        <f t="array" ref="P447">IF(OR($B447="",$D447=""),"",
IFERROR(
  INDEX(
    'Tools &amp; Targets_Guideline'!$C$54:$I$269,
    MATCH(
      1,
      ('Tools &amp; Targets_Guideline'!$A$54:$A$269=$B447)*
      ('Tools &amp; Targets_Guideline'!$B$54:$B$269="Delivery"),
      0
    ),
    MATCH(
      _xludf.IFNA(
        VLOOKUP($D447,{"PH","Provincial Hospital (H2)";"DH","District Hospital (H3)";"RH","Regional / National Hospital (H1)"},2,0),
        $D447
      ),
      'Tools &amp; Targets_Guideline'!$C$53:$I$53,
      0
    )
  ),
0))</f>
        <v/>
      </c>
      <c r="Q447" s="102"/>
      <c r="R447" s="119" t="str">
        <f t="array" ref="R447">IF(OR($B447="",$D447=""),"",
IFERROR(
  INDEX(
    'Tools &amp; Targets_Guideline'!$C$54:$I$269,
    MATCH(
      1,
      ('Tools &amp; Targets_Guideline'!$A$54:$A$269=$B447)*
      ('Tools &amp; Targets_Guideline'!$B$54:$B$269="TT"),
      0
    ),
    MATCH(
      _xludf.IFNA(
        VLOOKUP($D447,{"PH","Provincial Hospital (H2)";"DH","District Hospital (H3)";"RH","Regional / National Hospital (H1)"},2,0),
        $D447
      ),
      'Tools &amp; Targets_Guideline'!$C$53:$I$53,
      0
    )
  ),
0))</f>
        <v/>
      </c>
      <c r="S447" s="102"/>
      <c r="T447" s="102"/>
      <c r="U447" s="106"/>
      <c r="V447" s="102" t="str">
        <f t="shared" si="16"/>
        <v/>
      </c>
      <c r="W447" s="102"/>
      <c r="X447" s="102"/>
      <c r="Y447" s="119" t="str">
        <f t="array" ref="Y447">IF(OR($B447="",$D447=""),"",
IFERROR(
  INDEX(
    'Tools &amp; Targets_Guideline'!$C$54:$I$269,
    MATCH(
      1,
      ('Tools &amp; Targets_Guideline'!$A$54:$A$269=$B447)*
      ('Tools &amp; Targets_Guideline'!$B$54:$B$269="GM"),
      0
    ),
    MATCH(
      _xludf.IFNA(
        VLOOKUP($D447,{"PH","Provincial Hospital (H2)";"DH","District Hospital (H3)";"RH","Regional / National Hospital (H1)"},2,0),
        $D447
      ),
      'Tools &amp; Targets_Guideline'!$C$53:$I$53,
      0
    )
  ),
0))</f>
        <v/>
      </c>
      <c r="Z447" s="102"/>
      <c r="AA447" s="119" t="str">
        <f t="array" ref="AA447">IF(OR($B447="",$D447=""),"",
IFERROR(
  INDEX(
    'Tools &amp; Targets_Guideline'!$C$54:$I$269,
    MATCH(
      1,
      ('Tools &amp; Targets_Guideline'!$A$54:$A$269=$B447)*
      ('Tools &amp; Targets_Guideline'!$B$54:$B$269="Penta"),
      0
    ),
    MATCH(
      _xludf.IFNA(
        VLOOKUP($D447,{"PH","Provincial Hospital (H2)";"DH","District Hospital (H3)";"RH","Regional / National Hospital (H1)"},2,0),
        $D447
      ),
      'Tools &amp; Targets_Guideline'!$C$53:$I$53,
      0
    )
  ),
0))</f>
        <v/>
      </c>
      <c r="AB447" s="102"/>
      <c r="AC447" s="119" t="str">
        <f t="array" ref="AC447">IF(OR($B447="",$D447=""),"",
IFERROR(
  INDEX(
    'Tools &amp; Targets_Guideline'!$C$54:$I$269,
    MATCH(
      1,
      ('Tools &amp; Targets_Guideline'!$A$54:$A$269=$B447)*
      ('Tools &amp; Targets_Guideline'!$B$54:$B$269="TB"),
      0
    ),
    MATCH(
      _xludf.IFNA(
        VLOOKUP($D447,{"PH","Provincial Hospital (H2)";"DH","District Hospital (H3)";"RH","Regional / National Hospital (H1)"},2,0),
        $D447
      ),
      'Tools &amp; Targets_Guideline'!$C$53:$I$53,
      0
    )
  ),
0))</f>
        <v/>
      </c>
      <c r="AD447" s="102"/>
      <c r="AE447" s="119" t="str">
        <f t="array" ref="AE447">IF(OR($B447="",$D447=""),"",
IFERROR(
  INDEX(
    'Tools &amp; Targets_Guideline'!$C$54:$I$269,
    MATCH(
      1,
      ('Tools &amp; Targets_Guideline'!$A$54:$A$269=$B447)*
      ('Tools &amp; Targets_Guideline'!$B$54:$B$269="U5 Morbidity"),
      0
    ),
    MATCH(
      _xludf.IFNA(
        VLOOKUP($D447,{"PH","Provincial Hospital (H2)";"DH","District Hospital (H3)";"RH","Regional / National Hospital (H1)"},2,0),
        $D447
      ),
      'Tools &amp; Targets_Guideline'!$C$53:$I$53,
      0
    )
  ),
0))</f>
        <v/>
      </c>
      <c r="AF447" s="102"/>
      <c r="AG447" s="119" t="str">
        <f t="array" ref="AG447">IF(OR($B447="",$D447=""),"",
IFERROR(
  INDEX(
    'Tools &amp; Targets_Guideline'!$C$54:$I$269,
    MATCH(
      1,
      ('Tools &amp; Targets_Guideline'!$A$54:$A$269=$B447)*
      ('Tools &amp; Targets_Guideline'!$B$54:$B$269="C-Section"),
      0
    ),
    MATCH(
      _xludf.IFNA(
        VLOOKUP($D447,{"PH","Provincial Hospital (H2)";"DH","District Hospital (H3)";"RH","Regional / National Hospital (H1)"},2,0),
        $D447
      ),
      'Tools &amp; Targets_Guideline'!$C$53:$I$53,
      0
    )
  ),
0))</f>
        <v/>
      </c>
      <c r="AH447" s="102" t="str">
        <f>IF(A447&lt;&gt;"",COUNTIFS('QA Log'!D:D,A447,'QA Log'!M:M,"QQC",'QA Log'!L:L,"2. Hygiene and Sterilization",'QA Log'!Z:Z,"Approved"),"")</f>
        <v/>
      </c>
      <c r="AI447" s="102"/>
      <c r="AJ447" s="102"/>
      <c r="AK447" s="103" t="str">
        <f t="shared" si="17"/>
        <v/>
      </c>
      <c r="AL447" s="102"/>
      <c r="AM447" s="102"/>
      <c r="AN447" s="102"/>
      <c r="AO447" s="106"/>
      <c r="AP447" s="103"/>
      <c r="AQ447" s="102"/>
      <c r="AR447" s="102"/>
      <c r="AS447" s="102"/>
      <c r="AT447" s="107"/>
      <c r="AU447" s="102" t="str">
        <f t="shared" si="18"/>
        <v/>
      </c>
      <c r="AV447" s="102" t="str">
        <f t="shared" si="19"/>
        <v/>
      </c>
      <c r="AW447" s="102" t="str">
        <f t="shared" si="20"/>
        <v/>
      </c>
      <c r="AX447" s="102" t="str">
        <f t="shared" si="21"/>
        <v/>
      </c>
      <c r="AY447" s="107" t="str">
        <f t="shared" si="22"/>
        <v/>
      </c>
      <c r="AZ447" s="108" t="str">
        <f t="shared" si="23"/>
        <v/>
      </c>
      <c r="BA447" s="108" t="str">
        <f t="shared" si="24"/>
        <v/>
      </c>
      <c r="BB447" s="109" t="str">
        <f t="shared" si="25"/>
        <v/>
      </c>
      <c r="BC447" s="108" t="str">
        <f t="shared" si="26"/>
        <v/>
      </c>
      <c r="BD447" s="108" t="str">
        <f t="shared" si="27"/>
        <v/>
      </c>
      <c r="BE447" s="109" t="str">
        <f t="shared" si="28"/>
        <v/>
      </c>
      <c r="BF447" s="110" t="str">
        <f t="shared" si="29"/>
        <v/>
      </c>
      <c r="BG447" s="111"/>
    </row>
    <row r="448" spans="1:59" ht="12.75">
      <c r="A448" s="101"/>
      <c r="B448" s="102"/>
      <c r="C448" s="102" t="e">
        <f t="array" aca="1" ref="C448" ca="1">_xludf.XLOOKUP(A448,'QA Log'!D:D,'QA Log'!F:F,"")</f>
        <v>#NAME?</v>
      </c>
      <c r="D448" s="102"/>
      <c r="E448" s="102" t="e">
        <f t="array" aca="1" ref="E448" ca="1">_xludf.XLOOKUP(A448,'QA Log'!D:D,'QA Log'!G:G,"")</f>
        <v>#NAME?</v>
      </c>
      <c r="F448" s="103"/>
      <c r="G448" s="104"/>
      <c r="H448" s="104"/>
      <c r="I448" s="103" t="str">
        <f t="shared" si="15"/>
        <v/>
      </c>
      <c r="J448" s="102"/>
      <c r="K448" s="102"/>
      <c r="L448" s="119" t="str">
        <f t="array" ref="L448">IF(OR($B448="",$D448=""),"",
IFERROR(
  INDEX(
    'Tools &amp; Targets_Guideline'!$C$54:$I$269,
    MATCH(
      1,
      ('Tools &amp; Targets_Guideline'!$A$54:$A$269=$B448)*
      ('Tools &amp; Targets_Guideline'!$B$54:$B$269="ANC"),
      0
    ),
    MATCH(
      _xludf.IFNA(
        VLOOKUP($D448,{"PH","Provincial Hospital (H2)";"DH","District Hospital (H3)";"RH","Regional / National Hospital (H1)"},2,0),
        $D448
      ),
      'Tools &amp; Targets_Guideline'!$C$53:$I$53,
      0
    )
  ),
0))</f>
        <v/>
      </c>
      <c r="M448" s="102"/>
      <c r="N448" s="119" t="str">
        <f t="array" ref="N448">IF(OR($B448="",$D448=""),"",
IFERROR(
  INDEX(
    'Tools &amp; Targets_Guideline'!$C$54:$I$269,
    MATCH(
      1,
      ('Tools &amp; Targets_Guideline'!$A$54:$A$269=$B448)*
      ('Tools &amp; Targets_Guideline'!$B$54:$B$269="PNC"),
      0
    ),
    MATCH(
      _xludf.IFNA(
        VLOOKUP($D448,{"PH","Provincial Hospital (H2)";"DH","District Hospital (H3)";"RH","Regional / National Hospital (H1)"},2,0),
        $D448
      ),
      'Tools &amp; Targets_Guideline'!$C$53:$I$53,
      0
    )
  ),
0))</f>
        <v/>
      </c>
      <c r="O448" s="102"/>
      <c r="P448" s="119" t="str">
        <f t="array" ref="P448">IF(OR($B448="",$D448=""),"",
IFERROR(
  INDEX(
    'Tools &amp; Targets_Guideline'!$C$54:$I$269,
    MATCH(
      1,
      ('Tools &amp; Targets_Guideline'!$A$54:$A$269=$B448)*
      ('Tools &amp; Targets_Guideline'!$B$54:$B$269="Delivery"),
      0
    ),
    MATCH(
      _xludf.IFNA(
        VLOOKUP($D448,{"PH","Provincial Hospital (H2)";"DH","District Hospital (H3)";"RH","Regional / National Hospital (H1)"},2,0),
        $D448
      ),
      'Tools &amp; Targets_Guideline'!$C$53:$I$53,
      0
    )
  ),
0))</f>
        <v/>
      </c>
      <c r="Q448" s="102"/>
      <c r="R448" s="119" t="str">
        <f t="array" ref="R448">IF(OR($B448="",$D448=""),"",
IFERROR(
  INDEX(
    'Tools &amp; Targets_Guideline'!$C$54:$I$269,
    MATCH(
      1,
      ('Tools &amp; Targets_Guideline'!$A$54:$A$269=$B448)*
      ('Tools &amp; Targets_Guideline'!$B$54:$B$269="TT"),
      0
    ),
    MATCH(
      _xludf.IFNA(
        VLOOKUP($D448,{"PH","Provincial Hospital (H2)";"DH","District Hospital (H3)";"RH","Regional / National Hospital (H1)"},2,0),
        $D448
      ),
      'Tools &amp; Targets_Guideline'!$C$53:$I$53,
      0
    )
  ),
0))</f>
        <v/>
      </c>
      <c r="S448" s="102"/>
      <c r="T448" s="102"/>
      <c r="U448" s="106"/>
      <c r="V448" s="102" t="str">
        <f t="shared" si="16"/>
        <v/>
      </c>
      <c r="W448" s="102"/>
      <c r="X448" s="102"/>
      <c r="Y448" s="119" t="str">
        <f t="array" ref="Y448">IF(OR($B448="",$D448=""),"",
IFERROR(
  INDEX(
    'Tools &amp; Targets_Guideline'!$C$54:$I$269,
    MATCH(
      1,
      ('Tools &amp; Targets_Guideline'!$A$54:$A$269=$B448)*
      ('Tools &amp; Targets_Guideline'!$B$54:$B$269="GM"),
      0
    ),
    MATCH(
      _xludf.IFNA(
        VLOOKUP($D448,{"PH","Provincial Hospital (H2)";"DH","District Hospital (H3)";"RH","Regional / National Hospital (H1)"},2,0),
        $D448
      ),
      'Tools &amp; Targets_Guideline'!$C$53:$I$53,
      0
    )
  ),
0))</f>
        <v/>
      </c>
      <c r="Z448" s="102"/>
      <c r="AA448" s="119" t="str">
        <f t="array" ref="AA448">IF(OR($B448="",$D448=""),"",
IFERROR(
  INDEX(
    'Tools &amp; Targets_Guideline'!$C$54:$I$269,
    MATCH(
      1,
      ('Tools &amp; Targets_Guideline'!$A$54:$A$269=$B448)*
      ('Tools &amp; Targets_Guideline'!$B$54:$B$269="Penta"),
      0
    ),
    MATCH(
      _xludf.IFNA(
        VLOOKUP($D448,{"PH","Provincial Hospital (H2)";"DH","District Hospital (H3)";"RH","Regional / National Hospital (H1)"},2,0),
        $D448
      ),
      'Tools &amp; Targets_Guideline'!$C$53:$I$53,
      0
    )
  ),
0))</f>
        <v/>
      </c>
      <c r="AB448" s="102"/>
      <c r="AC448" s="119" t="str">
        <f t="array" ref="AC448">IF(OR($B448="",$D448=""),"",
IFERROR(
  INDEX(
    'Tools &amp; Targets_Guideline'!$C$54:$I$269,
    MATCH(
      1,
      ('Tools &amp; Targets_Guideline'!$A$54:$A$269=$B448)*
      ('Tools &amp; Targets_Guideline'!$B$54:$B$269="TB"),
      0
    ),
    MATCH(
      _xludf.IFNA(
        VLOOKUP($D448,{"PH","Provincial Hospital (H2)";"DH","District Hospital (H3)";"RH","Regional / National Hospital (H1)"},2,0),
        $D448
      ),
      'Tools &amp; Targets_Guideline'!$C$53:$I$53,
      0
    )
  ),
0))</f>
        <v/>
      </c>
      <c r="AD448" s="102"/>
      <c r="AE448" s="119" t="str">
        <f t="array" ref="AE448">IF(OR($B448="",$D448=""),"",
IFERROR(
  INDEX(
    'Tools &amp; Targets_Guideline'!$C$54:$I$269,
    MATCH(
      1,
      ('Tools &amp; Targets_Guideline'!$A$54:$A$269=$B448)*
      ('Tools &amp; Targets_Guideline'!$B$54:$B$269="U5 Morbidity"),
      0
    ),
    MATCH(
      _xludf.IFNA(
        VLOOKUP($D448,{"PH","Provincial Hospital (H2)";"DH","District Hospital (H3)";"RH","Regional / National Hospital (H1)"},2,0),
        $D448
      ),
      'Tools &amp; Targets_Guideline'!$C$53:$I$53,
      0
    )
  ),
0))</f>
        <v/>
      </c>
      <c r="AF448" s="102"/>
      <c r="AG448" s="119" t="str">
        <f t="array" ref="AG448">IF(OR($B448="",$D448=""),"",
IFERROR(
  INDEX(
    'Tools &amp; Targets_Guideline'!$C$54:$I$269,
    MATCH(
      1,
      ('Tools &amp; Targets_Guideline'!$A$54:$A$269=$B448)*
      ('Tools &amp; Targets_Guideline'!$B$54:$B$269="C-Section"),
      0
    ),
    MATCH(
      _xludf.IFNA(
        VLOOKUP($D448,{"PH","Provincial Hospital (H2)";"DH","District Hospital (H3)";"RH","Regional / National Hospital (H1)"},2,0),
        $D448
      ),
      'Tools &amp; Targets_Guideline'!$C$53:$I$53,
      0
    )
  ),
0))</f>
        <v/>
      </c>
      <c r="AH448" s="102" t="str">
        <f>IF(A448&lt;&gt;"",COUNTIFS('QA Log'!D:D,A448,'QA Log'!M:M,"QQC",'QA Log'!L:L,"2. Hygiene and Sterilization",'QA Log'!Z:Z,"Approved"),"")</f>
        <v/>
      </c>
      <c r="AI448" s="102"/>
      <c r="AJ448" s="102"/>
      <c r="AK448" s="103" t="str">
        <f t="shared" si="17"/>
        <v/>
      </c>
      <c r="AL448" s="102"/>
      <c r="AM448" s="102"/>
      <c r="AN448" s="102"/>
      <c r="AO448" s="106"/>
      <c r="AP448" s="103"/>
      <c r="AQ448" s="102"/>
      <c r="AR448" s="102"/>
      <c r="AS448" s="102"/>
      <c r="AT448" s="107"/>
      <c r="AU448" s="102" t="str">
        <f t="shared" si="18"/>
        <v/>
      </c>
      <c r="AV448" s="102" t="str">
        <f t="shared" si="19"/>
        <v/>
      </c>
      <c r="AW448" s="102" t="str">
        <f t="shared" si="20"/>
        <v/>
      </c>
      <c r="AX448" s="102" t="str">
        <f t="shared" si="21"/>
        <v/>
      </c>
      <c r="AY448" s="107" t="str">
        <f t="shared" si="22"/>
        <v/>
      </c>
      <c r="AZ448" s="108" t="str">
        <f t="shared" si="23"/>
        <v/>
      </c>
      <c r="BA448" s="108" t="str">
        <f t="shared" si="24"/>
        <v/>
      </c>
      <c r="BB448" s="109" t="str">
        <f t="shared" si="25"/>
        <v/>
      </c>
      <c r="BC448" s="108" t="str">
        <f t="shared" si="26"/>
        <v/>
      </c>
      <c r="BD448" s="108" t="str">
        <f t="shared" si="27"/>
        <v/>
      </c>
      <c r="BE448" s="109" t="str">
        <f t="shared" si="28"/>
        <v/>
      </c>
      <c r="BF448" s="110" t="str">
        <f t="shared" si="29"/>
        <v/>
      </c>
      <c r="BG448" s="111"/>
    </row>
    <row r="449" spans="1:59" ht="12.75">
      <c r="A449" s="101"/>
      <c r="B449" s="102"/>
      <c r="C449" s="102" t="e">
        <f t="array" aca="1" ref="C449" ca="1">_xludf.XLOOKUP(A449,'QA Log'!D:D,'QA Log'!F:F,"")</f>
        <v>#NAME?</v>
      </c>
      <c r="D449" s="102"/>
      <c r="E449" s="102" t="e">
        <f t="array" aca="1" ref="E449" ca="1">_xludf.XLOOKUP(A449,'QA Log'!D:D,'QA Log'!G:G,"")</f>
        <v>#NAME?</v>
      </c>
      <c r="F449" s="103"/>
      <c r="G449" s="104"/>
      <c r="H449" s="104"/>
      <c r="I449" s="103" t="str">
        <f t="shared" si="15"/>
        <v/>
      </c>
      <c r="J449" s="102"/>
      <c r="K449" s="102"/>
      <c r="L449" s="119" t="str">
        <f t="array" ref="L449">IF(OR($B449="",$D449=""),"",
IFERROR(
  INDEX(
    'Tools &amp; Targets_Guideline'!$C$54:$I$269,
    MATCH(
      1,
      ('Tools &amp; Targets_Guideline'!$A$54:$A$269=$B449)*
      ('Tools &amp; Targets_Guideline'!$B$54:$B$269="ANC"),
      0
    ),
    MATCH(
      _xludf.IFNA(
        VLOOKUP($D449,{"PH","Provincial Hospital (H2)";"DH","District Hospital (H3)";"RH","Regional / National Hospital (H1)"},2,0),
        $D449
      ),
      'Tools &amp; Targets_Guideline'!$C$53:$I$53,
      0
    )
  ),
0))</f>
        <v/>
      </c>
      <c r="M449" s="102"/>
      <c r="N449" s="119" t="str">
        <f t="array" ref="N449">IF(OR($B449="",$D449=""),"",
IFERROR(
  INDEX(
    'Tools &amp; Targets_Guideline'!$C$54:$I$269,
    MATCH(
      1,
      ('Tools &amp; Targets_Guideline'!$A$54:$A$269=$B449)*
      ('Tools &amp; Targets_Guideline'!$B$54:$B$269="PNC"),
      0
    ),
    MATCH(
      _xludf.IFNA(
        VLOOKUP($D449,{"PH","Provincial Hospital (H2)";"DH","District Hospital (H3)";"RH","Regional / National Hospital (H1)"},2,0),
        $D449
      ),
      'Tools &amp; Targets_Guideline'!$C$53:$I$53,
      0
    )
  ),
0))</f>
        <v/>
      </c>
      <c r="O449" s="102"/>
      <c r="P449" s="119" t="str">
        <f t="array" ref="P449">IF(OR($B449="",$D449=""),"",
IFERROR(
  INDEX(
    'Tools &amp; Targets_Guideline'!$C$54:$I$269,
    MATCH(
      1,
      ('Tools &amp; Targets_Guideline'!$A$54:$A$269=$B449)*
      ('Tools &amp; Targets_Guideline'!$B$54:$B$269="Delivery"),
      0
    ),
    MATCH(
      _xludf.IFNA(
        VLOOKUP($D449,{"PH","Provincial Hospital (H2)";"DH","District Hospital (H3)";"RH","Regional / National Hospital (H1)"},2,0),
        $D449
      ),
      'Tools &amp; Targets_Guideline'!$C$53:$I$53,
      0
    )
  ),
0))</f>
        <v/>
      </c>
      <c r="Q449" s="102"/>
      <c r="R449" s="119" t="str">
        <f t="array" ref="R449">IF(OR($B449="",$D449=""),"",
IFERROR(
  INDEX(
    'Tools &amp; Targets_Guideline'!$C$54:$I$269,
    MATCH(
      1,
      ('Tools &amp; Targets_Guideline'!$A$54:$A$269=$B449)*
      ('Tools &amp; Targets_Guideline'!$B$54:$B$269="TT"),
      0
    ),
    MATCH(
      _xludf.IFNA(
        VLOOKUP($D449,{"PH","Provincial Hospital (H2)";"DH","District Hospital (H3)";"RH","Regional / National Hospital (H1)"},2,0),
        $D449
      ),
      'Tools &amp; Targets_Guideline'!$C$53:$I$53,
      0
    )
  ),
0))</f>
        <v/>
      </c>
      <c r="S449" s="102"/>
      <c r="T449" s="102"/>
      <c r="U449" s="106"/>
      <c r="V449" s="102" t="str">
        <f t="shared" si="16"/>
        <v/>
      </c>
      <c r="W449" s="102"/>
      <c r="X449" s="102"/>
      <c r="Y449" s="119" t="str">
        <f t="array" ref="Y449">IF(OR($B449="",$D449=""),"",
IFERROR(
  INDEX(
    'Tools &amp; Targets_Guideline'!$C$54:$I$269,
    MATCH(
      1,
      ('Tools &amp; Targets_Guideline'!$A$54:$A$269=$B449)*
      ('Tools &amp; Targets_Guideline'!$B$54:$B$269="GM"),
      0
    ),
    MATCH(
      _xludf.IFNA(
        VLOOKUP($D449,{"PH","Provincial Hospital (H2)";"DH","District Hospital (H3)";"RH","Regional / National Hospital (H1)"},2,0),
        $D449
      ),
      'Tools &amp; Targets_Guideline'!$C$53:$I$53,
      0
    )
  ),
0))</f>
        <v/>
      </c>
      <c r="Z449" s="102"/>
      <c r="AA449" s="119" t="str">
        <f t="array" ref="AA449">IF(OR($B449="",$D449=""),"",
IFERROR(
  INDEX(
    'Tools &amp; Targets_Guideline'!$C$54:$I$269,
    MATCH(
      1,
      ('Tools &amp; Targets_Guideline'!$A$54:$A$269=$B449)*
      ('Tools &amp; Targets_Guideline'!$B$54:$B$269="Penta"),
      0
    ),
    MATCH(
      _xludf.IFNA(
        VLOOKUP($D449,{"PH","Provincial Hospital (H2)";"DH","District Hospital (H3)";"RH","Regional / National Hospital (H1)"},2,0),
        $D449
      ),
      'Tools &amp; Targets_Guideline'!$C$53:$I$53,
      0
    )
  ),
0))</f>
        <v/>
      </c>
      <c r="AB449" s="102"/>
      <c r="AC449" s="119" t="str">
        <f t="array" ref="AC449">IF(OR($B449="",$D449=""),"",
IFERROR(
  INDEX(
    'Tools &amp; Targets_Guideline'!$C$54:$I$269,
    MATCH(
      1,
      ('Tools &amp; Targets_Guideline'!$A$54:$A$269=$B449)*
      ('Tools &amp; Targets_Guideline'!$B$54:$B$269="TB"),
      0
    ),
    MATCH(
      _xludf.IFNA(
        VLOOKUP($D449,{"PH","Provincial Hospital (H2)";"DH","District Hospital (H3)";"RH","Regional / National Hospital (H1)"},2,0),
        $D449
      ),
      'Tools &amp; Targets_Guideline'!$C$53:$I$53,
      0
    )
  ),
0))</f>
        <v/>
      </c>
      <c r="AD449" s="102"/>
      <c r="AE449" s="119" t="str">
        <f t="array" ref="AE449">IF(OR($B449="",$D449=""),"",
IFERROR(
  INDEX(
    'Tools &amp; Targets_Guideline'!$C$54:$I$269,
    MATCH(
      1,
      ('Tools &amp; Targets_Guideline'!$A$54:$A$269=$B449)*
      ('Tools &amp; Targets_Guideline'!$B$54:$B$269="U5 Morbidity"),
      0
    ),
    MATCH(
      _xludf.IFNA(
        VLOOKUP($D449,{"PH","Provincial Hospital (H2)";"DH","District Hospital (H3)";"RH","Regional / National Hospital (H1)"},2,0),
        $D449
      ),
      'Tools &amp; Targets_Guideline'!$C$53:$I$53,
      0
    )
  ),
0))</f>
        <v/>
      </c>
      <c r="AF449" s="102"/>
      <c r="AG449" s="119" t="str">
        <f t="array" ref="AG449">IF(OR($B449="",$D449=""),"",
IFERROR(
  INDEX(
    'Tools &amp; Targets_Guideline'!$C$54:$I$269,
    MATCH(
      1,
      ('Tools &amp; Targets_Guideline'!$A$54:$A$269=$B449)*
      ('Tools &amp; Targets_Guideline'!$B$54:$B$269="C-Section"),
      0
    ),
    MATCH(
      _xludf.IFNA(
        VLOOKUP($D449,{"PH","Provincial Hospital (H2)";"DH","District Hospital (H3)";"RH","Regional / National Hospital (H1)"},2,0),
        $D449
      ),
      'Tools &amp; Targets_Guideline'!$C$53:$I$53,
      0
    )
  ),
0))</f>
        <v/>
      </c>
      <c r="AH449" s="102" t="str">
        <f>IF(A449&lt;&gt;"",COUNTIFS('QA Log'!D:D,A449,'QA Log'!M:M,"QQC",'QA Log'!L:L,"2. Hygiene and Sterilization",'QA Log'!Z:Z,"Approved"),"")</f>
        <v/>
      </c>
      <c r="AI449" s="102"/>
      <c r="AJ449" s="102"/>
      <c r="AK449" s="103" t="str">
        <f t="shared" si="17"/>
        <v/>
      </c>
      <c r="AL449" s="102"/>
      <c r="AM449" s="102"/>
      <c r="AN449" s="102"/>
      <c r="AO449" s="106"/>
      <c r="AP449" s="103"/>
      <c r="AQ449" s="102"/>
      <c r="AR449" s="102"/>
      <c r="AS449" s="102"/>
      <c r="AT449" s="107"/>
      <c r="AU449" s="102" t="str">
        <f t="shared" si="18"/>
        <v/>
      </c>
      <c r="AV449" s="102" t="str">
        <f t="shared" si="19"/>
        <v/>
      </c>
      <c r="AW449" s="102" t="str">
        <f t="shared" si="20"/>
        <v/>
      </c>
      <c r="AX449" s="102" t="str">
        <f t="shared" si="21"/>
        <v/>
      </c>
      <c r="AY449" s="107" t="str">
        <f t="shared" si="22"/>
        <v/>
      </c>
      <c r="AZ449" s="108" t="str">
        <f t="shared" si="23"/>
        <v/>
      </c>
      <c r="BA449" s="108" t="str">
        <f t="shared" si="24"/>
        <v/>
      </c>
      <c r="BB449" s="109" t="str">
        <f t="shared" si="25"/>
        <v/>
      </c>
      <c r="BC449" s="108" t="str">
        <f t="shared" si="26"/>
        <v/>
      </c>
      <c r="BD449" s="108" t="str">
        <f t="shared" si="27"/>
        <v/>
      </c>
      <c r="BE449" s="109" t="str">
        <f t="shared" si="28"/>
        <v/>
      </c>
      <c r="BF449" s="110" t="str">
        <f t="shared" si="29"/>
        <v/>
      </c>
      <c r="BG449" s="111"/>
    </row>
    <row r="450" spans="1:59" ht="12.75">
      <c r="A450" s="101"/>
      <c r="B450" s="102"/>
      <c r="C450" s="102" t="e">
        <f t="array" aca="1" ref="C450" ca="1">_xludf.XLOOKUP(A450,'QA Log'!D:D,'QA Log'!F:F,"")</f>
        <v>#NAME?</v>
      </c>
      <c r="D450" s="102"/>
      <c r="E450" s="102" t="e">
        <f t="array" aca="1" ref="E450" ca="1">_xludf.XLOOKUP(A450,'QA Log'!D:D,'QA Log'!G:G,"")</f>
        <v>#NAME?</v>
      </c>
      <c r="F450" s="103"/>
      <c r="G450" s="104"/>
      <c r="H450" s="104"/>
      <c r="I450" s="103" t="str">
        <f t="shared" si="15"/>
        <v/>
      </c>
      <c r="J450" s="102"/>
      <c r="K450" s="102"/>
      <c r="L450" s="119" t="str">
        <f t="array" ref="L450">IF(OR($B450="",$D450=""),"",
IFERROR(
  INDEX(
    'Tools &amp; Targets_Guideline'!$C$54:$I$269,
    MATCH(
      1,
      ('Tools &amp; Targets_Guideline'!$A$54:$A$269=$B450)*
      ('Tools &amp; Targets_Guideline'!$B$54:$B$269="ANC"),
      0
    ),
    MATCH(
      _xludf.IFNA(
        VLOOKUP($D450,{"PH","Provincial Hospital (H2)";"DH","District Hospital (H3)";"RH","Regional / National Hospital (H1)"},2,0),
        $D450
      ),
      'Tools &amp; Targets_Guideline'!$C$53:$I$53,
      0
    )
  ),
0))</f>
        <v/>
      </c>
      <c r="M450" s="102"/>
      <c r="N450" s="119" t="str">
        <f t="array" ref="N450">IF(OR($B450="",$D450=""),"",
IFERROR(
  INDEX(
    'Tools &amp; Targets_Guideline'!$C$54:$I$269,
    MATCH(
      1,
      ('Tools &amp; Targets_Guideline'!$A$54:$A$269=$B450)*
      ('Tools &amp; Targets_Guideline'!$B$54:$B$269="PNC"),
      0
    ),
    MATCH(
      _xludf.IFNA(
        VLOOKUP($D450,{"PH","Provincial Hospital (H2)";"DH","District Hospital (H3)";"RH","Regional / National Hospital (H1)"},2,0),
        $D450
      ),
      'Tools &amp; Targets_Guideline'!$C$53:$I$53,
      0
    )
  ),
0))</f>
        <v/>
      </c>
      <c r="O450" s="102"/>
      <c r="P450" s="119" t="str">
        <f t="array" ref="P450">IF(OR($B450="",$D450=""),"",
IFERROR(
  INDEX(
    'Tools &amp; Targets_Guideline'!$C$54:$I$269,
    MATCH(
      1,
      ('Tools &amp; Targets_Guideline'!$A$54:$A$269=$B450)*
      ('Tools &amp; Targets_Guideline'!$B$54:$B$269="Delivery"),
      0
    ),
    MATCH(
      _xludf.IFNA(
        VLOOKUP($D450,{"PH","Provincial Hospital (H2)";"DH","District Hospital (H3)";"RH","Regional / National Hospital (H1)"},2,0),
        $D450
      ),
      'Tools &amp; Targets_Guideline'!$C$53:$I$53,
      0
    )
  ),
0))</f>
        <v/>
      </c>
      <c r="Q450" s="102"/>
      <c r="R450" s="119" t="str">
        <f t="array" ref="R450">IF(OR($B450="",$D450=""),"",
IFERROR(
  INDEX(
    'Tools &amp; Targets_Guideline'!$C$54:$I$269,
    MATCH(
      1,
      ('Tools &amp; Targets_Guideline'!$A$54:$A$269=$B450)*
      ('Tools &amp; Targets_Guideline'!$B$54:$B$269="TT"),
      0
    ),
    MATCH(
      _xludf.IFNA(
        VLOOKUP($D450,{"PH","Provincial Hospital (H2)";"DH","District Hospital (H3)";"RH","Regional / National Hospital (H1)"},2,0),
        $D450
      ),
      'Tools &amp; Targets_Guideline'!$C$53:$I$53,
      0
    )
  ),
0))</f>
        <v/>
      </c>
      <c r="S450" s="102"/>
      <c r="T450" s="102"/>
      <c r="U450" s="106"/>
      <c r="V450" s="102" t="str">
        <f t="shared" si="16"/>
        <v/>
      </c>
      <c r="W450" s="102"/>
      <c r="X450" s="102"/>
      <c r="Y450" s="119" t="str">
        <f t="array" ref="Y450">IF(OR($B450="",$D450=""),"",
IFERROR(
  INDEX(
    'Tools &amp; Targets_Guideline'!$C$54:$I$269,
    MATCH(
      1,
      ('Tools &amp; Targets_Guideline'!$A$54:$A$269=$B450)*
      ('Tools &amp; Targets_Guideline'!$B$54:$B$269="GM"),
      0
    ),
    MATCH(
      _xludf.IFNA(
        VLOOKUP($D450,{"PH","Provincial Hospital (H2)";"DH","District Hospital (H3)";"RH","Regional / National Hospital (H1)"},2,0),
        $D450
      ),
      'Tools &amp; Targets_Guideline'!$C$53:$I$53,
      0
    )
  ),
0))</f>
        <v/>
      </c>
      <c r="Z450" s="102"/>
      <c r="AA450" s="119" t="str">
        <f t="array" ref="AA450">IF(OR($B450="",$D450=""),"",
IFERROR(
  INDEX(
    'Tools &amp; Targets_Guideline'!$C$54:$I$269,
    MATCH(
      1,
      ('Tools &amp; Targets_Guideline'!$A$54:$A$269=$B450)*
      ('Tools &amp; Targets_Guideline'!$B$54:$B$269="Penta"),
      0
    ),
    MATCH(
      _xludf.IFNA(
        VLOOKUP($D450,{"PH","Provincial Hospital (H2)";"DH","District Hospital (H3)";"RH","Regional / National Hospital (H1)"},2,0),
        $D450
      ),
      'Tools &amp; Targets_Guideline'!$C$53:$I$53,
      0
    )
  ),
0))</f>
        <v/>
      </c>
      <c r="AB450" s="102"/>
      <c r="AC450" s="119" t="str">
        <f t="array" ref="AC450">IF(OR($B450="",$D450=""),"",
IFERROR(
  INDEX(
    'Tools &amp; Targets_Guideline'!$C$54:$I$269,
    MATCH(
      1,
      ('Tools &amp; Targets_Guideline'!$A$54:$A$269=$B450)*
      ('Tools &amp; Targets_Guideline'!$B$54:$B$269="TB"),
      0
    ),
    MATCH(
      _xludf.IFNA(
        VLOOKUP($D450,{"PH","Provincial Hospital (H2)";"DH","District Hospital (H3)";"RH","Regional / National Hospital (H1)"},2,0),
        $D450
      ),
      'Tools &amp; Targets_Guideline'!$C$53:$I$53,
      0
    )
  ),
0))</f>
        <v/>
      </c>
      <c r="AD450" s="102"/>
      <c r="AE450" s="119" t="str">
        <f t="array" ref="AE450">IF(OR($B450="",$D450=""),"",
IFERROR(
  INDEX(
    'Tools &amp; Targets_Guideline'!$C$54:$I$269,
    MATCH(
      1,
      ('Tools &amp; Targets_Guideline'!$A$54:$A$269=$B450)*
      ('Tools &amp; Targets_Guideline'!$B$54:$B$269="U5 Morbidity"),
      0
    ),
    MATCH(
      _xludf.IFNA(
        VLOOKUP($D450,{"PH","Provincial Hospital (H2)";"DH","District Hospital (H3)";"RH","Regional / National Hospital (H1)"},2,0),
        $D450
      ),
      'Tools &amp; Targets_Guideline'!$C$53:$I$53,
      0
    )
  ),
0))</f>
        <v/>
      </c>
      <c r="AF450" s="102"/>
      <c r="AG450" s="119" t="str">
        <f t="array" ref="AG450">IF(OR($B450="",$D450=""),"",
IFERROR(
  INDEX(
    'Tools &amp; Targets_Guideline'!$C$54:$I$269,
    MATCH(
      1,
      ('Tools &amp; Targets_Guideline'!$A$54:$A$269=$B450)*
      ('Tools &amp; Targets_Guideline'!$B$54:$B$269="C-Section"),
      0
    ),
    MATCH(
      _xludf.IFNA(
        VLOOKUP($D450,{"PH","Provincial Hospital (H2)";"DH","District Hospital (H3)";"RH","Regional / National Hospital (H1)"},2,0),
        $D450
      ),
      'Tools &amp; Targets_Guideline'!$C$53:$I$53,
      0
    )
  ),
0))</f>
        <v/>
      </c>
      <c r="AH450" s="102" t="str">
        <f>IF(A450&lt;&gt;"",COUNTIFS('QA Log'!D:D,A450,'QA Log'!M:M,"QQC",'QA Log'!L:L,"2. Hygiene and Sterilization",'QA Log'!Z:Z,"Approved"),"")</f>
        <v/>
      </c>
      <c r="AI450" s="102"/>
      <c r="AJ450" s="102"/>
      <c r="AK450" s="103" t="str">
        <f t="shared" si="17"/>
        <v/>
      </c>
      <c r="AL450" s="102"/>
      <c r="AM450" s="102"/>
      <c r="AN450" s="102"/>
      <c r="AO450" s="106"/>
      <c r="AP450" s="103"/>
      <c r="AQ450" s="102"/>
      <c r="AR450" s="102"/>
      <c r="AS450" s="102"/>
      <c r="AT450" s="107"/>
      <c r="AU450" s="102" t="str">
        <f t="shared" si="18"/>
        <v/>
      </c>
      <c r="AV450" s="102" t="str">
        <f t="shared" si="19"/>
        <v/>
      </c>
      <c r="AW450" s="102" t="str">
        <f t="shared" si="20"/>
        <v/>
      </c>
      <c r="AX450" s="102" t="str">
        <f t="shared" si="21"/>
        <v/>
      </c>
      <c r="AY450" s="107" t="str">
        <f t="shared" si="22"/>
        <v/>
      </c>
      <c r="AZ450" s="108" t="str">
        <f t="shared" si="23"/>
        <v/>
      </c>
      <c r="BA450" s="108" t="str">
        <f t="shared" si="24"/>
        <v/>
      </c>
      <c r="BB450" s="109" t="str">
        <f t="shared" si="25"/>
        <v/>
      </c>
      <c r="BC450" s="108" t="str">
        <f t="shared" si="26"/>
        <v/>
      </c>
      <c r="BD450" s="108" t="str">
        <f t="shared" si="27"/>
        <v/>
      </c>
      <c r="BE450" s="109" t="str">
        <f t="shared" si="28"/>
        <v/>
      </c>
      <c r="BF450" s="110" t="str">
        <f t="shared" si="29"/>
        <v/>
      </c>
      <c r="BG450" s="111"/>
    </row>
    <row r="451" spans="1:59" ht="12.75">
      <c r="A451" s="101"/>
      <c r="B451" s="102"/>
      <c r="C451" s="102" t="e">
        <f t="array" aca="1" ref="C451" ca="1">_xludf.XLOOKUP(A451,'QA Log'!D:D,'QA Log'!F:F,"")</f>
        <v>#NAME?</v>
      </c>
      <c r="D451" s="102"/>
      <c r="E451" s="102" t="e">
        <f t="array" aca="1" ref="E451" ca="1">_xludf.XLOOKUP(A451,'QA Log'!D:D,'QA Log'!G:G,"")</f>
        <v>#NAME?</v>
      </c>
      <c r="F451" s="103"/>
      <c r="G451" s="104"/>
      <c r="H451" s="104"/>
      <c r="I451" s="103" t="str">
        <f t="shared" si="15"/>
        <v/>
      </c>
      <c r="J451" s="102"/>
      <c r="K451" s="102"/>
      <c r="L451" s="119" t="str">
        <f t="array" ref="L451">IF(OR($B451="",$D451=""),"",
IFERROR(
  INDEX(
    'Tools &amp; Targets_Guideline'!$C$54:$I$269,
    MATCH(
      1,
      ('Tools &amp; Targets_Guideline'!$A$54:$A$269=$B451)*
      ('Tools &amp; Targets_Guideline'!$B$54:$B$269="ANC"),
      0
    ),
    MATCH(
      _xludf.IFNA(
        VLOOKUP($D451,{"PH","Provincial Hospital (H2)";"DH","District Hospital (H3)";"RH","Regional / National Hospital (H1)"},2,0),
        $D451
      ),
      'Tools &amp; Targets_Guideline'!$C$53:$I$53,
      0
    )
  ),
0))</f>
        <v/>
      </c>
      <c r="M451" s="102"/>
      <c r="N451" s="119" t="str">
        <f t="array" ref="N451">IF(OR($B451="",$D451=""),"",
IFERROR(
  INDEX(
    'Tools &amp; Targets_Guideline'!$C$54:$I$269,
    MATCH(
      1,
      ('Tools &amp; Targets_Guideline'!$A$54:$A$269=$B451)*
      ('Tools &amp; Targets_Guideline'!$B$54:$B$269="PNC"),
      0
    ),
    MATCH(
      _xludf.IFNA(
        VLOOKUP($D451,{"PH","Provincial Hospital (H2)";"DH","District Hospital (H3)";"RH","Regional / National Hospital (H1)"},2,0),
        $D451
      ),
      'Tools &amp; Targets_Guideline'!$C$53:$I$53,
      0
    )
  ),
0))</f>
        <v/>
      </c>
      <c r="O451" s="102"/>
      <c r="P451" s="119" t="str">
        <f t="array" ref="P451">IF(OR($B451="",$D451=""),"",
IFERROR(
  INDEX(
    'Tools &amp; Targets_Guideline'!$C$54:$I$269,
    MATCH(
      1,
      ('Tools &amp; Targets_Guideline'!$A$54:$A$269=$B451)*
      ('Tools &amp; Targets_Guideline'!$B$54:$B$269="Delivery"),
      0
    ),
    MATCH(
      _xludf.IFNA(
        VLOOKUP($D451,{"PH","Provincial Hospital (H2)";"DH","District Hospital (H3)";"RH","Regional / National Hospital (H1)"},2,0),
        $D451
      ),
      'Tools &amp; Targets_Guideline'!$C$53:$I$53,
      0
    )
  ),
0))</f>
        <v/>
      </c>
      <c r="Q451" s="102"/>
      <c r="R451" s="119" t="str">
        <f t="array" ref="R451">IF(OR($B451="",$D451=""),"",
IFERROR(
  INDEX(
    'Tools &amp; Targets_Guideline'!$C$54:$I$269,
    MATCH(
      1,
      ('Tools &amp; Targets_Guideline'!$A$54:$A$269=$B451)*
      ('Tools &amp; Targets_Guideline'!$B$54:$B$269="TT"),
      0
    ),
    MATCH(
      _xludf.IFNA(
        VLOOKUP($D451,{"PH","Provincial Hospital (H2)";"DH","District Hospital (H3)";"RH","Regional / National Hospital (H1)"},2,0),
        $D451
      ),
      'Tools &amp; Targets_Guideline'!$C$53:$I$53,
      0
    )
  ),
0))</f>
        <v/>
      </c>
      <c r="S451" s="102"/>
      <c r="T451" s="102"/>
      <c r="U451" s="106"/>
      <c r="V451" s="102" t="str">
        <f t="shared" si="16"/>
        <v/>
      </c>
      <c r="W451" s="102"/>
      <c r="X451" s="102"/>
      <c r="Y451" s="119" t="str">
        <f t="array" ref="Y451">IF(OR($B451="",$D451=""),"",
IFERROR(
  INDEX(
    'Tools &amp; Targets_Guideline'!$C$54:$I$269,
    MATCH(
      1,
      ('Tools &amp; Targets_Guideline'!$A$54:$A$269=$B451)*
      ('Tools &amp; Targets_Guideline'!$B$54:$B$269="GM"),
      0
    ),
    MATCH(
      _xludf.IFNA(
        VLOOKUP($D451,{"PH","Provincial Hospital (H2)";"DH","District Hospital (H3)";"RH","Regional / National Hospital (H1)"},2,0),
        $D451
      ),
      'Tools &amp; Targets_Guideline'!$C$53:$I$53,
      0
    )
  ),
0))</f>
        <v/>
      </c>
      <c r="Z451" s="102"/>
      <c r="AA451" s="119" t="str">
        <f t="array" ref="AA451">IF(OR($B451="",$D451=""),"",
IFERROR(
  INDEX(
    'Tools &amp; Targets_Guideline'!$C$54:$I$269,
    MATCH(
      1,
      ('Tools &amp; Targets_Guideline'!$A$54:$A$269=$B451)*
      ('Tools &amp; Targets_Guideline'!$B$54:$B$269="Penta"),
      0
    ),
    MATCH(
      _xludf.IFNA(
        VLOOKUP($D451,{"PH","Provincial Hospital (H2)";"DH","District Hospital (H3)";"RH","Regional / National Hospital (H1)"},2,0),
        $D451
      ),
      'Tools &amp; Targets_Guideline'!$C$53:$I$53,
      0
    )
  ),
0))</f>
        <v/>
      </c>
      <c r="AB451" s="102"/>
      <c r="AC451" s="119" t="str">
        <f t="array" ref="AC451">IF(OR($B451="",$D451=""),"",
IFERROR(
  INDEX(
    'Tools &amp; Targets_Guideline'!$C$54:$I$269,
    MATCH(
      1,
      ('Tools &amp; Targets_Guideline'!$A$54:$A$269=$B451)*
      ('Tools &amp; Targets_Guideline'!$B$54:$B$269="TB"),
      0
    ),
    MATCH(
      _xludf.IFNA(
        VLOOKUP($D451,{"PH","Provincial Hospital (H2)";"DH","District Hospital (H3)";"RH","Regional / National Hospital (H1)"},2,0),
        $D451
      ),
      'Tools &amp; Targets_Guideline'!$C$53:$I$53,
      0
    )
  ),
0))</f>
        <v/>
      </c>
      <c r="AD451" s="102"/>
      <c r="AE451" s="119" t="str">
        <f t="array" ref="AE451">IF(OR($B451="",$D451=""),"",
IFERROR(
  INDEX(
    'Tools &amp; Targets_Guideline'!$C$54:$I$269,
    MATCH(
      1,
      ('Tools &amp; Targets_Guideline'!$A$54:$A$269=$B451)*
      ('Tools &amp; Targets_Guideline'!$B$54:$B$269="U5 Morbidity"),
      0
    ),
    MATCH(
      _xludf.IFNA(
        VLOOKUP($D451,{"PH","Provincial Hospital (H2)";"DH","District Hospital (H3)";"RH","Regional / National Hospital (H1)"},2,0),
        $D451
      ),
      'Tools &amp; Targets_Guideline'!$C$53:$I$53,
      0
    )
  ),
0))</f>
        <v/>
      </c>
      <c r="AF451" s="102"/>
      <c r="AG451" s="119" t="str">
        <f t="array" ref="AG451">IF(OR($B451="",$D451=""),"",
IFERROR(
  INDEX(
    'Tools &amp; Targets_Guideline'!$C$54:$I$269,
    MATCH(
      1,
      ('Tools &amp; Targets_Guideline'!$A$54:$A$269=$B451)*
      ('Tools &amp; Targets_Guideline'!$B$54:$B$269="C-Section"),
      0
    ),
    MATCH(
      _xludf.IFNA(
        VLOOKUP($D451,{"PH","Provincial Hospital (H2)";"DH","District Hospital (H3)";"RH","Regional / National Hospital (H1)"},2,0),
        $D451
      ),
      'Tools &amp; Targets_Guideline'!$C$53:$I$53,
      0
    )
  ),
0))</f>
        <v/>
      </c>
      <c r="AH451" s="102" t="str">
        <f>IF(A451&lt;&gt;"",COUNTIFS('QA Log'!D:D,A451,'QA Log'!M:M,"QQC",'QA Log'!L:L,"2. Hygiene and Sterilization",'QA Log'!Z:Z,"Approved"),"")</f>
        <v/>
      </c>
      <c r="AI451" s="102"/>
      <c r="AJ451" s="102"/>
      <c r="AK451" s="103" t="str">
        <f t="shared" si="17"/>
        <v/>
      </c>
      <c r="AL451" s="102"/>
      <c r="AM451" s="102"/>
      <c r="AN451" s="102"/>
      <c r="AO451" s="106"/>
      <c r="AP451" s="103"/>
      <c r="AQ451" s="102"/>
      <c r="AR451" s="102"/>
      <c r="AS451" s="102"/>
      <c r="AT451" s="107"/>
      <c r="AU451" s="102" t="str">
        <f t="shared" si="18"/>
        <v/>
      </c>
      <c r="AV451" s="102" t="str">
        <f t="shared" si="19"/>
        <v/>
      </c>
      <c r="AW451" s="102" t="str">
        <f t="shared" si="20"/>
        <v/>
      </c>
      <c r="AX451" s="102" t="str">
        <f t="shared" si="21"/>
        <v/>
      </c>
      <c r="AY451" s="107" t="str">
        <f t="shared" si="22"/>
        <v/>
      </c>
      <c r="AZ451" s="108" t="str">
        <f t="shared" si="23"/>
        <v/>
      </c>
      <c r="BA451" s="108" t="str">
        <f t="shared" si="24"/>
        <v/>
      </c>
      <c r="BB451" s="109" t="str">
        <f t="shared" si="25"/>
        <v/>
      </c>
      <c r="BC451" s="108" t="str">
        <f t="shared" si="26"/>
        <v/>
      </c>
      <c r="BD451" s="108" t="str">
        <f t="shared" si="27"/>
        <v/>
      </c>
      <c r="BE451" s="109" t="str">
        <f t="shared" si="28"/>
        <v/>
      </c>
      <c r="BF451" s="110" t="str">
        <f t="shared" si="29"/>
        <v/>
      </c>
      <c r="BG451" s="111"/>
    </row>
    <row r="452" spans="1:59" ht="12.75">
      <c r="A452" s="101"/>
      <c r="B452" s="102"/>
      <c r="C452" s="102" t="e">
        <f t="array" aca="1" ref="C452" ca="1">_xludf.XLOOKUP(A452,'QA Log'!D:D,'QA Log'!F:F,"")</f>
        <v>#NAME?</v>
      </c>
      <c r="D452" s="102"/>
      <c r="E452" s="102" t="e">
        <f t="array" aca="1" ref="E452" ca="1">_xludf.XLOOKUP(A452,'QA Log'!D:D,'QA Log'!G:G,"")</f>
        <v>#NAME?</v>
      </c>
      <c r="F452" s="103"/>
      <c r="G452" s="104"/>
      <c r="H452" s="104"/>
      <c r="I452" s="103" t="str">
        <f t="shared" si="15"/>
        <v/>
      </c>
      <c r="J452" s="102"/>
      <c r="K452" s="102"/>
      <c r="L452" s="119" t="str">
        <f t="array" ref="L452">IF(OR($B452="",$D452=""),"",
IFERROR(
  INDEX(
    'Tools &amp; Targets_Guideline'!$C$54:$I$269,
    MATCH(
      1,
      ('Tools &amp; Targets_Guideline'!$A$54:$A$269=$B452)*
      ('Tools &amp; Targets_Guideline'!$B$54:$B$269="ANC"),
      0
    ),
    MATCH(
      _xludf.IFNA(
        VLOOKUP($D452,{"PH","Provincial Hospital (H2)";"DH","District Hospital (H3)";"RH","Regional / National Hospital (H1)"},2,0),
        $D452
      ),
      'Tools &amp; Targets_Guideline'!$C$53:$I$53,
      0
    )
  ),
0))</f>
        <v/>
      </c>
      <c r="M452" s="102"/>
      <c r="N452" s="119" t="str">
        <f t="array" ref="N452">IF(OR($B452="",$D452=""),"",
IFERROR(
  INDEX(
    'Tools &amp; Targets_Guideline'!$C$54:$I$269,
    MATCH(
      1,
      ('Tools &amp; Targets_Guideline'!$A$54:$A$269=$B452)*
      ('Tools &amp; Targets_Guideline'!$B$54:$B$269="PNC"),
      0
    ),
    MATCH(
      _xludf.IFNA(
        VLOOKUP($D452,{"PH","Provincial Hospital (H2)";"DH","District Hospital (H3)";"RH","Regional / National Hospital (H1)"},2,0),
        $D452
      ),
      'Tools &amp; Targets_Guideline'!$C$53:$I$53,
      0
    )
  ),
0))</f>
        <v/>
      </c>
      <c r="O452" s="102"/>
      <c r="P452" s="119" t="str">
        <f t="array" ref="P452">IF(OR($B452="",$D452=""),"",
IFERROR(
  INDEX(
    'Tools &amp; Targets_Guideline'!$C$54:$I$269,
    MATCH(
      1,
      ('Tools &amp; Targets_Guideline'!$A$54:$A$269=$B452)*
      ('Tools &amp; Targets_Guideline'!$B$54:$B$269="Delivery"),
      0
    ),
    MATCH(
      _xludf.IFNA(
        VLOOKUP($D452,{"PH","Provincial Hospital (H2)";"DH","District Hospital (H3)";"RH","Regional / National Hospital (H1)"},2,0),
        $D452
      ),
      'Tools &amp; Targets_Guideline'!$C$53:$I$53,
      0
    )
  ),
0))</f>
        <v/>
      </c>
      <c r="Q452" s="102"/>
      <c r="R452" s="119" t="str">
        <f t="array" ref="R452">IF(OR($B452="",$D452=""),"",
IFERROR(
  INDEX(
    'Tools &amp; Targets_Guideline'!$C$54:$I$269,
    MATCH(
      1,
      ('Tools &amp; Targets_Guideline'!$A$54:$A$269=$B452)*
      ('Tools &amp; Targets_Guideline'!$B$54:$B$269="TT"),
      0
    ),
    MATCH(
      _xludf.IFNA(
        VLOOKUP($D452,{"PH","Provincial Hospital (H2)";"DH","District Hospital (H3)";"RH","Regional / National Hospital (H1)"},2,0),
        $D452
      ),
      'Tools &amp; Targets_Guideline'!$C$53:$I$53,
      0
    )
  ),
0))</f>
        <v/>
      </c>
      <c r="S452" s="102"/>
      <c r="T452" s="102"/>
      <c r="U452" s="106"/>
      <c r="V452" s="102" t="str">
        <f t="shared" si="16"/>
        <v/>
      </c>
      <c r="W452" s="102"/>
      <c r="X452" s="102"/>
      <c r="Y452" s="119" t="str">
        <f t="array" ref="Y452">IF(OR($B452="",$D452=""),"",
IFERROR(
  INDEX(
    'Tools &amp; Targets_Guideline'!$C$54:$I$269,
    MATCH(
      1,
      ('Tools &amp; Targets_Guideline'!$A$54:$A$269=$B452)*
      ('Tools &amp; Targets_Guideline'!$B$54:$B$269="GM"),
      0
    ),
    MATCH(
      _xludf.IFNA(
        VLOOKUP($D452,{"PH","Provincial Hospital (H2)";"DH","District Hospital (H3)";"RH","Regional / National Hospital (H1)"},2,0),
        $D452
      ),
      'Tools &amp; Targets_Guideline'!$C$53:$I$53,
      0
    )
  ),
0))</f>
        <v/>
      </c>
      <c r="Z452" s="102"/>
      <c r="AA452" s="119" t="str">
        <f t="array" ref="AA452">IF(OR($B452="",$D452=""),"",
IFERROR(
  INDEX(
    'Tools &amp; Targets_Guideline'!$C$54:$I$269,
    MATCH(
      1,
      ('Tools &amp; Targets_Guideline'!$A$54:$A$269=$B452)*
      ('Tools &amp; Targets_Guideline'!$B$54:$B$269="Penta"),
      0
    ),
    MATCH(
      _xludf.IFNA(
        VLOOKUP($D452,{"PH","Provincial Hospital (H2)";"DH","District Hospital (H3)";"RH","Regional / National Hospital (H1)"},2,0),
        $D452
      ),
      'Tools &amp; Targets_Guideline'!$C$53:$I$53,
      0
    )
  ),
0))</f>
        <v/>
      </c>
      <c r="AB452" s="102"/>
      <c r="AC452" s="119" t="str">
        <f t="array" ref="AC452">IF(OR($B452="",$D452=""),"",
IFERROR(
  INDEX(
    'Tools &amp; Targets_Guideline'!$C$54:$I$269,
    MATCH(
      1,
      ('Tools &amp; Targets_Guideline'!$A$54:$A$269=$B452)*
      ('Tools &amp; Targets_Guideline'!$B$54:$B$269="TB"),
      0
    ),
    MATCH(
      _xludf.IFNA(
        VLOOKUP($D452,{"PH","Provincial Hospital (H2)";"DH","District Hospital (H3)";"RH","Regional / National Hospital (H1)"},2,0),
        $D452
      ),
      'Tools &amp; Targets_Guideline'!$C$53:$I$53,
      0
    )
  ),
0))</f>
        <v/>
      </c>
      <c r="AD452" s="102"/>
      <c r="AE452" s="119" t="str">
        <f t="array" ref="AE452">IF(OR($B452="",$D452=""),"",
IFERROR(
  INDEX(
    'Tools &amp; Targets_Guideline'!$C$54:$I$269,
    MATCH(
      1,
      ('Tools &amp; Targets_Guideline'!$A$54:$A$269=$B452)*
      ('Tools &amp; Targets_Guideline'!$B$54:$B$269="U5 Morbidity"),
      0
    ),
    MATCH(
      _xludf.IFNA(
        VLOOKUP($D452,{"PH","Provincial Hospital (H2)";"DH","District Hospital (H3)";"RH","Regional / National Hospital (H1)"},2,0),
        $D452
      ),
      'Tools &amp; Targets_Guideline'!$C$53:$I$53,
      0
    )
  ),
0))</f>
        <v/>
      </c>
      <c r="AF452" s="102"/>
      <c r="AG452" s="119" t="str">
        <f t="array" ref="AG452">IF(OR($B452="",$D452=""),"",
IFERROR(
  INDEX(
    'Tools &amp; Targets_Guideline'!$C$54:$I$269,
    MATCH(
      1,
      ('Tools &amp; Targets_Guideline'!$A$54:$A$269=$B452)*
      ('Tools &amp; Targets_Guideline'!$B$54:$B$269="C-Section"),
      0
    ),
    MATCH(
      _xludf.IFNA(
        VLOOKUP($D452,{"PH","Provincial Hospital (H2)";"DH","District Hospital (H3)";"RH","Regional / National Hospital (H1)"},2,0),
        $D452
      ),
      'Tools &amp; Targets_Guideline'!$C$53:$I$53,
      0
    )
  ),
0))</f>
        <v/>
      </c>
      <c r="AH452" s="102" t="str">
        <f>IF(A452&lt;&gt;"",COUNTIFS('QA Log'!D:D,A452,'QA Log'!M:M,"QQC",'QA Log'!L:L,"2. Hygiene and Sterilization",'QA Log'!Z:Z,"Approved"),"")</f>
        <v/>
      </c>
      <c r="AI452" s="102"/>
      <c r="AJ452" s="102"/>
      <c r="AK452" s="103" t="str">
        <f t="shared" si="17"/>
        <v/>
      </c>
      <c r="AL452" s="102"/>
      <c r="AM452" s="102"/>
      <c r="AN452" s="102"/>
      <c r="AO452" s="106"/>
      <c r="AP452" s="103"/>
      <c r="AQ452" s="102"/>
      <c r="AR452" s="102"/>
      <c r="AS452" s="102"/>
      <c r="AT452" s="107"/>
      <c r="AU452" s="102" t="str">
        <f t="shared" si="18"/>
        <v/>
      </c>
      <c r="AV452" s="102" t="str">
        <f t="shared" si="19"/>
        <v/>
      </c>
      <c r="AW452" s="102" t="str">
        <f t="shared" si="20"/>
        <v/>
      </c>
      <c r="AX452" s="102" t="str">
        <f t="shared" si="21"/>
        <v/>
      </c>
      <c r="AY452" s="107" t="str">
        <f t="shared" si="22"/>
        <v/>
      </c>
      <c r="AZ452" s="108" t="str">
        <f t="shared" si="23"/>
        <v/>
      </c>
      <c r="BA452" s="108" t="str">
        <f t="shared" si="24"/>
        <v/>
      </c>
      <c r="BB452" s="109" t="str">
        <f t="shared" si="25"/>
        <v/>
      </c>
      <c r="BC452" s="108" t="str">
        <f t="shared" si="26"/>
        <v/>
      </c>
      <c r="BD452" s="108" t="str">
        <f t="shared" si="27"/>
        <v/>
      </c>
      <c r="BE452" s="109" t="str">
        <f t="shared" si="28"/>
        <v/>
      </c>
      <c r="BF452" s="110" t="str">
        <f t="shared" si="29"/>
        <v/>
      </c>
      <c r="BG452" s="111"/>
    </row>
    <row r="453" spans="1:59" ht="12.75">
      <c r="A453" s="101"/>
      <c r="B453" s="102"/>
      <c r="C453" s="102" t="e">
        <f t="array" aca="1" ref="C453" ca="1">_xludf.XLOOKUP(A453,'QA Log'!D:D,'QA Log'!F:F,"")</f>
        <v>#NAME?</v>
      </c>
      <c r="D453" s="102"/>
      <c r="E453" s="102" t="e">
        <f t="array" aca="1" ref="E453" ca="1">_xludf.XLOOKUP(A453,'QA Log'!D:D,'QA Log'!G:G,"")</f>
        <v>#NAME?</v>
      </c>
      <c r="F453" s="103"/>
      <c r="G453" s="104"/>
      <c r="H453" s="104"/>
      <c r="I453" s="103" t="str">
        <f t="shared" si="15"/>
        <v/>
      </c>
      <c r="J453" s="102"/>
      <c r="K453" s="102"/>
      <c r="L453" s="119" t="str">
        <f t="array" ref="L453">IF(OR($B453="",$D453=""),"",
IFERROR(
  INDEX(
    'Tools &amp; Targets_Guideline'!$C$54:$I$269,
    MATCH(
      1,
      ('Tools &amp; Targets_Guideline'!$A$54:$A$269=$B453)*
      ('Tools &amp; Targets_Guideline'!$B$54:$B$269="ANC"),
      0
    ),
    MATCH(
      _xludf.IFNA(
        VLOOKUP($D453,{"PH","Provincial Hospital (H2)";"DH","District Hospital (H3)";"RH","Regional / National Hospital (H1)"},2,0),
        $D453
      ),
      'Tools &amp; Targets_Guideline'!$C$53:$I$53,
      0
    )
  ),
0))</f>
        <v/>
      </c>
      <c r="M453" s="102"/>
      <c r="N453" s="119" t="str">
        <f t="array" ref="N453">IF(OR($B453="",$D453=""),"",
IFERROR(
  INDEX(
    'Tools &amp; Targets_Guideline'!$C$54:$I$269,
    MATCH(
      1,
      ('Tools &amp; Targets_Guideline'!$A$54:$A$269=$B453)*
      ('Tools &amp; Targets_Guideline'!$B$54:$B$269="PNC"),
      0
    ),
    MATCH(
      _xludf.IFNA(
        VLOOKUP($D453,{"PH","Provincial Hospital (H2)";"DH","District Hospital (H3)";"RH","Regional / National Hospital (H1)"},2,0),
        $D453
      ),
      'Tools &amp; Targets_Guideline'!$C$53:$I$53,
      0
    )
  ),
0))</f>
        <v/>
      </c>
      <c r="O453" s="102"/>
      <c r="P453" s="119" t="str">
        <f t="array" ref="P453">IF(OR($B453="",$D453=""),"",
IFERROR(
  INDEX(
    'Tools &amp; Targets_Guideline'!$C$54:$I$269,
    MATCH(
      1,
      ('Tools &amp; Targets_Guideline'!$A$54:$A$269=$B453)*
      ('Tools &amp; Targets_Guideline'!$B$54:$B$269="Delivery"),
      0
    ),
    MATCH(
      _xludf.IFNA(
        VLOOKUP($D453,{"PH","Provincial Hospital (H2)";"DH","District Hospital (H3)";"RH","Regional / National Hospital (H1)"},2,0),
        $D453
      ),
      'Tools &amp; Targets_Guideline'!$C$53:$I$53,
      0
    )
  ),
0))</f>
        <v/>
      </c>
      <c r="Q453" s="102"/>
      <c r="R453" s="119" t="str">
        <f t="array" ref="R453">IF(OR($B453="",$D453=""),"",
IFERROR(
  INDEX(
    'Tools &amp; Targets_Guideline'!$C$54:$I$269,
    MATCH(
      1,
      ('Tools &amp; Targets_Guideline'!$A$54:$A$269=$B453)*
      ('Tools &amp; Targets_Guideline'!$B$54:$B$269="TT"),
      0
    ),
    MATCH(
      _xludf.IFNA(
        VLOOKUP($D453,{"PH","Provincial Hospital (H2)";"DH","District Hospital (H3)";"RH","Regional / National Hospital (H1)"},2,0),
        $D453
      ),
      'Tools &amp; Targets_Guideline'!$C$53:$I$53,
      0
    )
  ),
0))</f>
        <v/>
      </c>
      <c r="S453" s="102"/>
      <c r="T453" s="102"/>
      <c r="U453" s="106"/>
      <c r="V453" s="102" t="str">
        <f t="shared" si="16"/>
        <v/>
      </c>
      <c r="W453" s="102"/>
      <c r="X453" s="102"/>
      <c r="Y453" s="119" t="str">
        <f t="array" ref="Y453">IF(OR($B453="",$D453=""),"",
IFERROR(
  INDEX(
    'Tools &amp; Targets_Guideline'!$C$54:$I$269,
    MATCH(
      1,
      ('Tools &amp; Targets_Guideline'!$A$54:$A$269=$B453)*
      ('Tools &amp; Targets_Guideline'!$B$54:$B$269="GM"),
      0
    ),
    MATCH(
      _xludf.IFNA(
        VLOOKUP($D453,{"PH","Provincial Hospital (H2)";"DH","District Hospital (H3)";"RH","Regional / National Hospital (H1)"},2,0),
        $D453
      ),
      'Tools &amp; Targets_Guideline'!$C$53:$I$53,
      0
    )
  ),
0))</f>
        <v/>
      </c>
      <c r="Z453" s="102"/>
      <c r="AA453" s="119" t="str">
        <f t="array" ref="AA453">IF(OR($B453="",$D453=""),"",
IFERROR(
  INDEX(
    'Tools &amp; Targets_Guideline'!$C$54:$I$269,
    MATCH(
      1,
      ('Tools &amp; Targets_Guideline'!$A$54:$A$269=$B453)*
      ('Tools &amp; Targets_Guideline'!$B$54:$B$269="Penta"),
      0
    ),
    MATCH(
      _xludf.IFNA(
        VLOOKUP($D453,{"PH","Provincial Hospital (H2)";"DH","District Hospital (H3)";"RH","Regional / National Hospital (H1)"},2,0),
        $D453
      ),
      'Tools &amp; Targets_Guideline'!$C$53:$I$53,
      0
    )
  ),
0))</f>
        <v/>
      </c>
      <c r="AB453" s="102"/>
      <c r="AC453" s="119" t="str">
        <f t="array" ref="AC453">IF(OR($B453="",$D453=""),"",
IFERROR(
  INDEX(
    'Tools &amp; Targets_Guideline'!$C$54:$I$269,
    MATCH(
      1,
      ('Tools &amp; Targets_Guideline'!$A$54:$A$269=$B453)*
      ('Tools &amp; Targets_Guideline'!$B$54:$B$269="TB"),
      0
    ),
    MATCH(
      _xludf.IFNA(
        VLOOKUP($D453,{"PH","Provincial Hospital (H2)";"DH","District Hospital (H3)";"RH","Regional / National Hospital (H1)"},2,0),
        $D453
      ),
      'Tools &amp; Targets_Guideline'!$C$53:$I$53,
      0
    )
  ),
0))</f>
        <v/>
      </c>
      <c r="AD453" s="102"/>
      <c r="AE453" s="119" t="str">
        <f t="array" ref="AE453">IF(OR($B453="",$D453=""),"",
IFERROR(
  INDEX(
    'Tools &amp; Targets_Guideline'!$C$54:$I$269,
    MATCH(
      1,
      ('Tools &amp; Targets_Guideline'!$A$54:$A$269=$B453)*
      ('Tools &amp; Targets_Guideline'!$B$54:$B$269="U5 Morbidity"),
      0
    ),
    MATCH(
      _xludf.IFNA(
        VLOOKUP($D453,{"PH","Provincial Hospital (H2)";"DH","District Hospital (H3)";"RH","Regional / National Hospital (H1)"},2,0),
        $D453
      ),
      'Tools &amp; Targets_Guideline'!$C$53:$I$53,
      0
    )
  ),
0))</f>
        <v/>
      </c>
      <c r="AF453" s="102"/>
      <c r="AG453" s="119" t="str">
        <f t="array" ref="AG453">IF(OR($B453="",$D453=""),"",
IFERROR(
  INDEX(
    'Tools &amp; Targets_Guideline'!$C$54:$I$269,
    MATCH(
      1,
      ('Tools &amp; Targets_Guideline'!$A$54:$A$269=$B453)*
      ('Tools &amp; Targets_Guideline'!$B$54:$B$269="C-Section"),
      0
    ),
    MATCH(
      _xludf.IFNA(
        VLOOKUP($D453,{"PH","Provincial Hospital (H2)";"DH","District Hospital (H3)";"RH","Regional / National Hospital (H1)"},2,0),
        $D453
      ),
      'Tools &amp; Targets_Guideline'!$C$53:$I$53,
      0
    )
  ),
0))</f>
        <v/>
      </c>
      <c r="AH453" s="102" t="str">
        <f>IF(A453&lt;&gt;"",COUNTIFS('QA Log'!D:D,A453,'QA Log'!M:M,"QQC",'QA Log'!L:L,"2. Hygiene and Sterilization",'QA Log'!Z:Z,"Approved"),"")</f>
        <v/>
      </c>
      <c r="AI453" s="102"/>
      <c r="AJ453" s="102"/>
      <c r="AK453" s="103" t="str">
        <f t="shared" si="17"/>
        <v/>
      </c>
      <c r="AL453" s="102"/>
      <c r="AM453" s="102"/>
      <c r="AN453" s="102"/>
      <c r="AO453" s="106"/>
      <c r="AP453" s="103"/>
      <c r="AQ453" s="102"/>
      <c r="AR453" s="102"/>
      <c r="AS453" s="102"/>
      <c r="AT453" s="107"/>
      <c r="AU453" s="102" t="str">
        <f t="shared" si="18"/>
        <v/>
      </c>
      <c r="AV453" s="102" t="str">
        <f t="shared" si="19"/>
        <v/>
      </c>
      <c r="AW453" s="102" t="str">
        <f t="shared" si="20"/>
        <v/>
      </c>
      <c r="AX453" s="102" t="str">
        <f t="shared" si="21"/>
        <v/>
      </c>
      <c r="AY453" s="107" t="str">
        <f t="shared" si="22"/>
        <v/>
      </c>
      <c r="AZ453" s="108" t="str">
        <f t="shared" si="23"/>
        <v/>
      </c>
      <c r="BA453" s="108" t="str">
        <f t="shared" si="24"/>
        <v/>
      </c>
      <c r="BB453" s="109" t="str">
        <f t="shared" si="25"/>
        <v/>
      </c>
      <c r="BC453" s="108" t="str">
        <f t="shared" si="26"/>
        <v/>
      </c>
      <c r="BD453" s="108" t="str">
        <f t="shared" si="27"/>
        <v/>
      </c>
      <c r="BE453" s="109" t="str">
        <f t="shared" si="28"/>
        <v/>
      </c>
      <c r="BF453" s="110" t="str">
        <f t="shared" si="29"/>
        <v/>
      </c>
      <c r="BG453" s="111"/>
    </row>
    <row r="454" spans="1:59" ht="12.75">
      <c r="A454" s="101"/>
      <c r="B454" s="102"/>
      <c r="C454" s="102" t="e">
        <f t="array" aca="1" ref="C454" ca="1">_xludf.XLOOKUP(A454,'QA Log'!D:D,'QA Log'!F:F,"")</f>
        <v>#NAME?</v>
      </c>
      <c r="D454" s="102"/>
      <c r="E454" s="102" t="e">
        <f t="array" aca="1" ref="E454" ca="1">_xludf.XLOOKUP(A454,'QA Log'!D:D,'QA Log'!G:G,"")</f>
        <v>#NAME?</v>
      </c>
      <c r="F454" s="103"/>
      <c r="G454" s="104"/>
      <c r="H454" s="104"/>
      <c r="I454" s="103" t="str">
        <f t="shared" si="15"/>
        <v/>
      </c>
      <c r="J454" s="102"/>
      <c r="K454" s="102"/>
      <c r="L454" s="119" t="str">
        <f t="array" ref="L454">IF(OR($B454="",$D454=""),"",
IFERROR(
  INDEX(
    'Tools &amp; Targets_Guideline'!$C$54:$I$269,
    MATCH(
      1,
      ('Tools &amp; Targets_Guideline'!$A$54:$A$269=$B454)*
      ('Tools &amp; Targets_Guideline'!$B$54:$B$269="ANC"),
      0
    ),
    MATCH(
      _xludf.IFNA(
        VLOOKUP($D454,{"PH","Provincial Hospital (H2)";"DH","District Hospital (H3)";"RH","Regional / National Hospital (H1)"},2,0),
        $D454
      ),
      'Tools &amp; Targets_Guideline'!$C$53:$I$53,
      0
    )
  ),
0))</f>
        <v/>
      </c>
      <c r="M454" s="102"/>
      <c r="N454" s="119" t="str">
        <f t="array" ref="N454">IF(OR($B454="",$D454=""),"",
IFERROR(
  INDEX(
    'Tools &amp; Targets_Guideline'!$C$54:$I$269,
    MATCH(
      1,
      ('Tools &amp; Targets_Guideline'!$A$54:$A$269=$B454)*
      ('Tools &amp; Targets_Guideline'!$B$54:$B$269="PNC"),
      0
    ),
    MATCH(
      _xludf.IFNA(
        VLOOKUP($D454,{"PH","Provincial Hospital (H2)";"DH","District Hospital (H3)";"RH","Regional / National Hospital (H1)"},2,0),
        $D454
      ),
      'Tools &amp; Targets_Guideline'!$C$53:$I$53,
      0
    )
  ),
0))</f>
        <v/>
      </c>
      <c r="O454" s="102"/>
      <c r="P454" s="119" t="str">
        <f t="array" ref="P454">IF(OR($B454="",$D454=""),"",
IFERROR(
  INDEX(
    'Tools &amp; Targets_Guideline'!$C$54:$I$269,
    MATCH(
      1,
      ('Tools &amp; Targets_Guideline'!$A$54:$A$269=$B454)*
      ('Tools &amp; Targets_Guideline'!$B$54:$B$269="Delivery"),
      0
    ),
    MATCH(
      _xludf.IFNA(
        VLOOKUP($D454,{"PH","Provincial Hospital (H2)";"DH","District Hospital (H3)";"RH","Regional / National Hospital (H1)"},2,0),
        $D454
      ),
      'Tools &amp; Targets_Guideline'!$C$53:$I$53,
      0
    )
  ),
0))</f>
        <v/>
      </c>
      <c r="Q454" s="102"/>
      <c r="R454" s="119" t="str">
        <f t="array" ref="R454">IF(OR($B454="",$D454=""),"",
IFERROR(
  INDEX(
    'Tools &amp; Targets_Guideline'!$C$54:$I$269,
    MATCH(
      1,
      ('Tools &amp; Targets_Guideline'!$A$54:$A$269=$B454)*
      ('Tools &amp; Targets_Guideline'!$B$54:$B$269="TT"),
      0
    ),
    MATCH(
      _xludf.IFNA(
        VLOOKUP($D454,{"PH","Provincial Hospital (H2)";"DH","District Hospital (H3)";"RH","Regional / National Hospital (H1)"},2,0),
        $D454
      ),
      'Tools &amp; Targets_Guideline'!$C$53:$I$53,
      0
    )
  ),
0))</f>
        <v/>
      </c>
      <c r="S454" s="102"/>
      <c r="T454" s="102"/>
      <c r="U454" s="106"/>
      <c r="V454" s="102" t="str">
        <f t="shared" si="16"/>
        <v/>
      </c>
      <c r="W454" s="102"/>
      <c r="X454" s="102"/>
      <c r="Y454" s="119" t="str">
        <f t="array" ref="Y454">IF(OR($B454="",$D454=""),"",
IFERROR(
  INDEX(
    'Tools &amp; Targets_Guideline'!$C$54:$I$269,
    MATCH(
      1,
      ('Tools &amp; Targets_Guideline'!$A$54:$A$269=$B454)*
      ('Tools &amp; Targets_Guideline'!$B$54:$B$269="GM"),
      0
    ),
    MATCH(
      _xludf.IFNA(
        VLOOKUP($D454,{"PH","Provincial Hospital (H2)";"DH","District Hospital (H3)";"RH","Regional / National Hospital (H1)"},2,0),
        $D454
      ),
      'Tools &amp; Targets_Guideline'!$C$53:$I$53,
      0
    )
  ),
0))</f>
        <v/>
      </c>
      <c r="Z454" s="102"/>
      <c r="AA454" s="119" t="str">
        <f t="array" ref="AA454">IF(OR($B454="",$D454=""),"",
IFERROR(
  INDEX(
    'Tools &amp; Targets_Guideline'!$C$54:$I$269,
    MATCH(
      1,
      ('Tools &amp; Targets_Guideline'!$A$54:$A$269=$B454)*
      ('Tools &amp; Targets_Guideline'!$B$54:$B$269="Penta"),
      0
    ),
    MATCH(
      _xludf.IFNA(
        VLOOKUP($D454,{"PH","Provincial Hospital (H2)";"DH","District Hospital (H3)";"RH","Regional / National Hospital (H1)"},2,0),
        $D454
      ),
      'Tools &amp; Targets_Guideline'!$C$53:$I$53,
      0
    )
  ),
0))</f>
        <v/>
      </c>
      <c r="AB454" s="102"/>
      <c r="AC454" s="119" t="str">
        <f t="array" ref="AC454">IF(OR($B454="",$D454=""),"",
IFERROR(
  INDEX(
    'Tools &amp; Targets_Guideline'!$C$54:$I$269,
    MATCH(
      1,
      ('Tools &amp; Targets_Guideline'!$A$54:$A$269=$B454)*
      ('Tools &amp; Targets_Guideline'!$B$54:$B$269="TB"),
      0
    ),
    MATCH(
      _xludf.IFNA(
        VLOOKUP($D454,{"PH","Provincial Hospital (H2)";"DH","District Hospital (H3)";"RH","Regional / National Hospital (H1)"},2,0),
        $D454
      ),
      'Tools &amp; Targets_Guideline'!$C$53:$I$53,
      0
    )
  ),
0))</f>
        <v/>
      </c>
      <c r="AD454" s="102"/>
      <c r="AE454" s="119" t="str">
        <f t="array" ref="AE454">IF(OR($B454="",$D454=""),"",
IFERROR(
  INDEX(
    'Tools &amp; Targets_Guideline'!$C$54:$I$269,
    MATCH(
      1,
      ('Tools &amp; Targets_Guideline'!$A$54:$A$269=$B454)*
      ('Tools &amp; Targets_Guideline'!$B$54:$B$269="U5 Morbidity"),
      0
    ),
    MATCH(
      _xludf.IFNA(
        VLOOKUP($D454,{"PH","Provincial Hospital (H2)";"DH","District Hospital (H3)";"RH","Regional / National Hospital (H1)"},2,0),
        $D454
      ),
      'Tools &amp; Targets_Guideline'!$C$53:$I$53,
      0
    )
  ),
0))</f>
        <v/>
      </c>
      <c r="AF454" s="102"/>
      <c r="AG454" s="119" t="str">
        <f t="array" ref="AG454">IF(OR($B454="",$D454=""),"",
IFERROR(
  INDEX(
    'Tools &amp; Targets_Guideline'!$C$54:$I$269,
    MATCH(
      1,
      ('Tools &amp; Targets_Guideline'!$A$54:$A$269=$B454)*
      ('Tools &amp; Targets_Guideline'!$B$54:$B$269="C-Section"),
      0
    ),
    MATCH(
      _xludf.IFNA(
        VLOOKUP($D454,{"PH","Provincial Hospital (H2)";"DH","District Hospital (H3)";"RH","Regional / National Hospital (H1)"},2,0),
        $D454
      ),
      'Tools &amp; Targets_Guideline'!$C$53:$I$53,
      0
    )
  ),
0))</f>
        <v/>
      </c>
      <c r="AH454" s="102" t="str">
        <f>IF(A454&lt;&gt;"",COUNTIFS('QA Log'!D:D,A454,'QA Log'!M:M,"QQC",'QA Log'!L:L,"2. Hygiene and Sterilization",'QA Log'!Z:Z,"Approved"),"")</f>
        <v/>
      </c>
      <c r="AI454" s="102"/>
      <c r="AJ454" s="102"/>
      <c r="AK454" s="103" t="str">
        <f t="shared" si="17"/>
        <v/>
      </c>
      <c r="AL454" s="102"/>
      <c r="AM454" s="102"/>
      <c r="AN454" s="102"/>
      <c r="AO454" s="106"/>
      <c r="AP454" s="103"/>
      <c r="AQ454" s="102"/>
      <c r="AR454" s="102"/>
      <c r="AS454" s="102"/>
      <c r="AT454" s="107"/>
      <c r="AU454" s="102" t="str">
        <f t="shared" si="18"/>
        <v/>
      </c>
      <c r="AV454" s="102" t="str">
        <f t="shared" si="19"/>
        <v/>
      </c>
      <c r="AW454" s="102" t="str">
        <f t="shared" si="20"/>
        <v/>
      </c>
      <c r="AX454" s="102" t="str">
        <f t="shared" si="21"/>
        <v/>
      </c>
      <c r="AY454" s="107" t="str">
        <f t="shared" si="22"/>
        <v/>
      </c>
      <c r="AZ454" s="108" t="str">
        <f t="shared" si="23"/>
        <v/>
      </c>
      <c r="BA454" s="108" t="str">
        <f t="shared" si="24"/>
        <v/>
      </c>
      <c r="BB454" s="109" t="str">
        <f t="shared" si="25"/>
        <v/>
      </c>
      <c r="BC454" s="108" t="str">
        <f t="shared" si="26"/>
        <v/>
      </c>
      <c r="BD454" s="108" t="str">
        <f t="shared" si="27"/>
        <v/>
      </c>
      <c r="BE454" s="109" t="str">
        <f t="shared" si="28"/>
        <v/>
      </c>
      <c r="BF454" s="110" t="str">
        <f t="shared" si="29"/>
        <v/>
      </c>
      <c r="BG454" s="111"/>
    </row>
    <row r="455" spans="1:59" ht="12.75">
      <c r="A455" s="101"/>
      <c r="B455" s="102"/>
      <c r="C455" s="102" t="e">
        <f t="array" aca="1" ref="C455" ca="1">_xludf.XLOOKUP(A455,'QA Log'!D:D,'QA Log'!F:F,"")</f>
        <v>#NAME?</v>
      </c>
      <c r="D455" s="102"/>
      <c r="E455" s="102" t="e">
        <f t="array" aca="1" ref="E455" ca="1">_xludf.XLOOKUP(A455,'QA Log'!D:D,'QA Log'!G:G,"")</f>
        <v>#NAME?</v>
      </c>
      <c r="F455" s="103"/>
      <c r="G455" s="104"/>
      <c r="H455" s="104"/>
      <c r="I455" s="103" t="str">
        <f t="shared" si="15"/>
        <v/>
      </c>
      <c r="J455" s="102"/>
      <c r="K455" s="102"/>
      <c r="L455" s="119" t="str">
        <f t="array" ref="L455">IF(OR($B455="",$D455=""),"",
IFERROR(
  INDEX(
    'Tools &amp; Targets_Guideline'!$C$54:$I$269,
    MATCH(
      1,
      ('Tools &amp; Targets_Guideline'!$A$54:$A$269=$B455)*
      ('Tools &amp; Targets_Guideline'!$B$54:$B$269="ANC"),
      0
    ),
    MATCH(
      _xludf.IFNA(
        VLOOKUP($D455,{"PH","Provincial Hospital (H2)";"DH","District Hospital (H3)";"RH","Regional / National Hospital (H1)"},2,0),
        $D455
      ),
      'Tools &amp; Targets_Guideline'!$C$53:$I$53,
      0
    )
  ),
0))</f>
        <v/>
      </c>
      <c r="M455" s="102"/>
      <c r="N455" s="119" t="str">
        <f t="array" ref="N455">IF(OR($B455="",$D455=""),"",
IFERROR(
  INDEX(
    'Tools &amp; Targets_Guideline'!$C$54:$I$269,
    MATCH(
      1,
      ('Tools &amp; Targets_Guideline'!$A$54:$A$269=$B455)*
      ('Tools &amp; Targets_Guideline'!$B$54:$B$269="PNC"),
      0
    ),
    MATCH(
      _xludf.IFNA(
        VLOOKUP($D455,{"PH","Provincial Hospital (H2)";"DH","District Hospital (H3)";"RH","Regional / National Hospital (H1)"},2,0),
        $D455
      ),
      'Tools &amp; Targets_Guideline'!$C$53:$I$53,
      0
    )
  ),
0))</f>
        <v/>
      </c>
      <c r="O455" s="102"/>
      <c r="P455" s="119" t="str">
        <f t="array" ref="P455">IF(OR($B455="",$D455=""),"",
IFERROR(
  INDEX(
    'Tools &amp; Targets_Guideline'!$C$54:$I$269,
    MATCH(
      1,
      ('Tools &amp; Targets_Guideline'!$A$54:$A$269=$B455)*
      ('Tools &amp; Targets_Guideline'!$B$54:$B$269="Delivery"),
      0
    ),
    MATCH(
      _xludf.IFNA(
        VLOOKUP($D455,{"PH","Provincial Hospital (H2)";"DH","District Hospital (H3)";"RH","Regional / National Hospital (H1)"},2,0),
        $D455
      ),
      'Tools &amp; Targets_Guideline'!$C$53:$I$53,
      0
    )
  ),
0))</f>
        <v/>
      </c>
      <c r="Q455" s="102"/>
      <c r="R455" s="119" t="str">
        <f t="array" ref="R455">IF(OR($B455="",$D455=""),"",
IFERROR(
  INDEX(
    'Tools &amp; Targets_Guideline'!$C$54:$I$269,
    MATCH(
      1,
      ('Tools &amp; Targets_Guideline'!$A$54:$A$269=$B455)*
      ('Tools &amp; Targets_Guideline'!$B$54:$B$269="TT"),
      0
    ),
    MATCH(
      _xludf.IFNA(
        VLOOKUP($D455,{"PH","Provincial Hospital (H2)";"DH","District Hospital (H3)";"RH","Regional / National Hospital (H1)"},2,0),
        $D455
      ),
      'Tools &amp; Targets_Guideline'!$C$53:$I$53,
      0
    )
  ),
0))</f>
        <v/>
      </c>
      <c r="S455" s="102"/>
      <c r="T455" s="102"/>
      <c r="U455" s="106"/>
      <c r="V455" s="102" t="str">
        <f t="shared" si="16"/>
        <v/>
      </c>
      <c r="W455" s="102"/>
      <c r="X455" s="102"/>
      <c r="Y455" s="119" t="str">
        <f t="array" ref="Y455">IF(OR($B455="",$D455=""),"",
IFERROR(
  INDEX(
    'Tools &amp; Targets_Guideline'!$C$54:$I$269,
    MATCH(
      1,
      ('Tools &amp; Targets_Guideline'!$A$54:$A$269=$B455)*
      ('Tools &amp; Targets_Guideline'!$B$54:$B$269="GM"),
      0
    ),
    MATCH(
      _xludf.IFNA(
        VLOOKUP($D455,{"PH","Provincial Hospital (H2)";"DH","District Hospital (H3)";"RH","Regional / National Hospital (H1)"},2,0),
        $D455
      ),
      'Tools &amp; Targets_Guideline'!$C$53:$I$53,
      0
    )
  ),
0))</f>
        <v/>
      </c>
      <c r="Z455" s="102"/>
      <c r="AA455" s="119" t="str">
        <f t="array" ref="AA455">IF(OR($B455="",$D455=""),"",
IFERROR(
  INDEX(
    'Tools &amp; Targets_Guideline'!$C$54:$I$269,
    MATCH(
      1,
      ('Tools &amp; Targets_Guideline'!$A$54:$A$269=$B455)*
      ('Tools &amp; Targets_Guideline'!$B$54:$B$269="Penta"),
      0
    ),
    MATCH(
      _xludf.IFNA(
        VLOOKUP($D455,{"PH","Provincial Hospital (H2)";"DH","District Hospital (H3)";"RH","Regional / National Hospital (H1)"},2,0),
        $D455
      ),
      'Tools &amp; Targets_Guideline'!$C$53:$I$53,
      0
    )
  ),
0))</f>
        <v/>
      </c>
      <c r="AB455" s="102"/>
      <c r="AC455" s="119" t="str">
        <f t="array" ref="AC455">IF(OR($B455="",$D455=""),"",
IFERROR(
  INDEX(
    'Tools &amp; Targets_Guideline'!$C$54:$I$269,
    MATCH(
      1,
      ('Tools &amp; Targets_Guideline'!$A$54:$A$269=$B455)*
      ('Tools &amp; Targets_Guideline'!$B$54:$B$269="TB"),
      0
    ),
    MATCH(
      _xludf.IFNA(
        VLOOKUP($D455,{"PH","Provincial Hospital (H2)";"DH","District Hospital (H3)";"RH","Regional / National Hospital (H1)"},2,0),
        $D455
      ),
      'Tools &amp; Targets_Guideline'!$C$53:$I$53,
      0
    )
  ),
0))</f>
        <v/>
      </c>
      <c r="AD455" s="102"/>
      <c r="AE455" s="119" t="str">
        <f t="array" ref="AE455">IF(OR($B455="",$D455=""),"",
IFERROR(
  INDEX(
    'Tools &amp; Targets_Guideline'!$C$54:$I$269,
    MATCH(
      1,
      ('Tools &amp; Targets_Guideline'!$A$54:$A$269=$B455)*
      ('Tools &amp; Targets_Guideline'!$B$54:$B$269="U5 Morbidity"),
      0
    ),
    MATCH(
      _xludf.IFNA(
        VLOOKUP($D455,{"PH","Provincial Hospital (H2)";"DH","District Hospital (H3)";"RH","Regional / National Hospital (H1)"},2,0),
        $D455
      ),
      'Tools &amp; Targets_Guideline'!$C$53:$I$53,
      0
    )
  ),
0))</f>
        <v/>
      </c>
      <c r="AF455" s="102"/>
      <c r="AG455" s="119" t="str">
        <f t="array" ref="AG455">IF(OR($B455="",$D455=""),"",
IFERROR(
  INDEX(
    'Tools &amp; Targets_Guideline'!$C$54:$I$269,
    MATCH(
      1,
      ('Tools &amp; Targets_Guideline'!$A$54:$A$269=$B455)*
      ('Tools &amp; Targets_Guideline'!$B$54:$B$269="C-Section"),
      0
    ),
    MATCH(
      _xludf.IFNA(
        VLOOKUP($D455,{"PH","Provincial Hospital (H2)";"DH","District Hospital (H3)";"RH","Regional / National Hospital (H1)"},2,0),
        $D455
      ),
      'Tools &amp; Targets_Guideline'!$C$53:$I$53,
      0
    )
  ),
0))</f>
        <v/>
      </c>
      <c r="AH455" s="102" t="str">
        <f>IF(A455&lt;&gt;"",COUNTIFS('QA Log'!D:D,A455,'QA Log'!M:M,"QQC",'QA Log'!L:L,"2. Hygiene and Sterilization",'QA Log'!Z:Z,"Approved"),"")</f>
        <v/>
      </c>
      <c r="AI455" s="102"/>
      <c r="AJ455" s="102"/>
      <c r="AK455" s="103" t="str">
        <f t="shared" si="17"/>
        <v/>
      </c>
      <c r="AL455" s="102"/>
      <c r="AM455" s="102"/>
      <c r="AN455" s="102"/>
      <c r="AO455" s="106"/>
      <c r="AP455" s="103"/>
      <c r="AQ455" s="102"/>
      <c r="AR455" s="102"/>
      <c r="AS455" s="102"/>
      <c r="AT455" s="107"/>
      <c r="AU455" s="102" t="str">
        <f t="shared" si="18"/>
        <v/>
      </c>
      <c r="AV455" s="102" t="str">
        <f t="shared" si="19"/>
        <v/>
      </c>
      <c r="AW455" s="102" t="str">
        <f t="shared" si="20"/>
        <v/>
      </c>
      <c r="AX455" s="102" t="str">
        <f t="shared" si="21"/>
        <v/>
      </c>
      <c r="AY455" s="107" t="str">
        <f t="shared" si="22"/>
        <v/>
      </c>
      <c r="AZ455" s="108" t="str">
        <f t="shared" si="23"/>
        <v/>
      </c>
      <c r="BA455" s="108" t="str">
        <f t="shared" si="24"/>
        <v/>
      </c>
      <c r="BB455" s="109" t="str">
        <f t="shared" si="25"/>
        <v/>
      </c>
      <c r="BC455" s="108" t="str">
        <f t="shared" si="26"/>
        <v/>
      </c>
      <c r="BD455" s="108" t="str">
        <f t="shared" si="27"/>
        <v/>
      </c>
      <c r="BE455" s="109" t="str">
        <f t="shared" si="28"/>
        <v/>
      </c>
      <c r="BF455" s="110" t="str">
        <f t="shared" si="29"/>
        <v/>
      </c>
      <c r="BG455" s="111"/>
    </row>
    <row r="456" spans="1:59" ht="12.75">
      <c r="A456" s="101"/>
      <c r="B456" s="102"/>
      <c r="C456" s="102" t="e">
        <f t="array" aca="1" ref="C456" ca="1">_xludf.XLOOKUP(A456,'QA Log'!D:D,'QA Log'!F:F,"")</f>
        <v>#NAME?</v>
      </c>
      <c r="D456" s="102"/>
      <c r="E456" s="102" t="e">
        <f t="array" aca="1" ref="E456" ca="1">_xludf.XLOOKUP(A456,'QA Log'!D:D,'QA Log'!G:G,"")</f>
        <v>#NAME?</v>
      </c>
      <c r="F456" s="103"/>
      <c r="G456" s="104"/>
      <c r="H456" s="104"/>
      <c r="I456" s="103" t="str">
        <f t="shared" si="15"/>
        <v/>
      </c>
      <c r="J456" s="102"/>
      <c r="K456" s="102"/>
      <c r="L456" s="119" t="str">
        <f t="array" ref="L456">IF(OR($B456="",$D456=""),"",
IFERROR(
  INDEX(
    'Tools &amp; Targets_Guideline'!$C$54:$I$269,
    MATCH(
      1,
      ('Tools &amp; Targets_Guideline'!$A$54:$A$269=$B456)*
      ('Tools &amp; Targets_Guideline'!$B$54:$B$269="ANC"),
      0
    ),
    MATCH(
      _xludf.IFNA(
        VLOOKUP($D456,{"PH","Provincial Hospital (H2)";"DH","District Hospital (H3)";"RH","Regional / National Hospital (H1)"},2,0),
        $D456
      ),
      'Tools &amp; Targets_Guideline'!$C$53:$I$53,
      0
    )
  ),
0))</f>
        <v/>
      </c>
      <c r="M456" s="102"/>
      <c r="N456" s="119" t="str">
        <f t="array" ref="N456">IF(OR($B456="",$D456=""),"",
IFERROR(
  INDEX(
    'Tools &amp; Targets_Guideline'!$C$54:$I$269,
    MATCH(
      1,
      ('Tools &amp; Targets_Guideline'!$A$54:$A$269=$B456)*
      ('Tools &amp; Targets_Guideline'!$B$54:$B$269="PNC"),
      0
    ),
    MATCH(
      _xludf.IFNA(
        VLOOKUP($D456,{"PH","Provincial Hospital (H2)";"DH","District Hospital (H3)";"RH","Regional / National Hospital (H1)"},2,0),
        $D456
      ),
      'Tools &amp; Targets_Guideline'!$C$53:$I$53,
      0
    )
  ),
0))</f>
        <v/>
      </c>
      <c r="O456" s="102"/>
      <c r="P456" s="119" t="str">
        <f t="array" ref="P456">IF(OR($B456="",$D456=""),"",
IFERROR(
  INDEX(
    'Tools &amp; Targets_Guideline'!$C$54:$I$269,
    MATCH(
      1,
      ('Tools &amp; Targets_Guideline'!$A$54:$A$269=$B456)*
      ('Tools &amp; Targets_Guideline'!$B$54:$B$269="Delivery"),
      0
    ),
    MATCH(
      _xludf.IFNA(
        VLOOKUP($D456,{"PH","Provincial Hospital (H2)";"DH","District Hospital (H3)";"RH","Regional / National Hospital (H1)"},2,0),
        $D456
      ),
      'Tools &amp; Targets_Guideline'!$C$53:$I$53,
      0
    )
  ),
0))</f>
        <v/>
      </c>
      <c r="Q456" s="102"/>
      <c r="R456" s="119" t="str">
        <f t="array" ref="R456">IF(OR($B456="",$D456=""),"",
IFERROR(
  INDEX(
    'Tools &amp; Targets_Guideline'!$C$54:$I$269,
    MATCH(
      1,
      ('Tools &amp; Targets_Guideline'!$A$54:$A$269=$B456)*
      ('Tools &amp; Targets_Guideline'!$B$54:$B$269="TT"),
      0
    ),
    MATCH(
      _xludf.IFNA(
        VLOOKUP($D456,{"PH","Provincial Hospital (H2)";"DH","District Hospital (H3)";"RH","Regional / National Hospital (H1)"},2,0),
        $D456
      ),
      'Tools &amp; Targets_Guideline'!$C$53:$I$53,
      0
    )
  ),
0))</f>
        <v/>
      </c>
      <c r="S456" s="102"/>
      <c r="T456" s="102"/>
      <c r="U456" s="106"/>
      <c r="V456" s="102" t="str">
        <f t="shared" si="16"/>
        <v/>
      </c>
      <c r="W456" s="102"/>
      <c r="X456" s="102"/>
      <c r="Y456" s="119" t="str">
        <f t="array" ref="Y456">IF(OR($B456="",$D456=""),"",
IFERROR(
  INDEX(
    'Tools &amp; Targets_Guideline'!$C$54:$I$269,
    MATCH(
      1,
      ('Tools &amp; Targets_Guideline'!$A$54:$A$269=$B456)*
      ('Tools &amp; Targets_Guideline'!$B$54:$B$269="GM"),
      0
    ),
    MATCH(
      _xludf.IFNA(
        VLOOKUP($D456,{"PH","Provincial Hospital (H2)";"DH","District Hospital (H3)";"RH","Regional / National Hospital (H1)"},2,0),
        $D456
      ),
      'Tools &amp; Targets_Guideline'!$C$53:$I$53,
      0
    )
  ),
0))</f>
        <v/>
      </c>
      <c r="Z456" s="102"/>
      <c r="AA456" s="119" t="str">
        <f t="array" ref="AA456">IF(OR($B456="",$D456=""),"",
IFERROR(
  INDEX(
    'Tools &amp; Targets_Guideline'!$C$54:$I$269,
    MATCH(
      1,
      ('Tools &amp; Targets_Guideline'!$A$54:$A$269=$B456)*
      ('Tools &amp; Targets_Guideline'!$B$54:$B$269="Penta"),
      0
    ),
    MATCH(
      _xludf.IFNA(
        VLOOKUP($D456,{"PH","Provincial Hospital (H2)";"DH","District Hospital (H3)";"RH","Regional / National Hospital (H1)"},2,0),
        $D456
      ),
      'Tools &amp; Targets_Guideline'!$C$53:$I$53,
      0
    )
  ),
0))</f>
        <v/>
      </c>
      <c r="AB456" s="102"/>
      <c r="AC456" s="119" t="str">
        <f t="array" ref="AC456">IF(OR($B456="",$D456=""),"",
IFERROR(
  INDEX(
    'Tools &amp; Targets_Guideline'!$C$54:$I$269,
    MATCH(
      1,
      ('Tools &amp; Targets_Guideline'!$A$54:$A$269=$B456)*
      ('Tools &amp; Targets_Guideline'!$B$54:$B$269="TB"),
      0
    ),
    MATCH(
      _xludf.IFNA(
        VLOOKUP($D456,{"PH","Provincial Hospital (H2)";"DH","District Hospital (H3)";"RH","Regional / National Hospital (H1)"},2,0),
        $D456
      ),
      'Tools &amp; Targets_Guideline'!$C$53:$I$53,
      0
    )
  ),
0))</f>
        <v/>
      </c>
      <c r="AD456" s="102"/>
      <c r="AE456" s="119" t="str">
        <f t="array" ref="AE456">IF(OR($B456="",$D456=""),"",
IFERROR(
  INDEX(
    'Tools &amp; Targets_Guideline'!$C$54:$I$269,
    MATCH(
      1,
      ('Tools &amp; Targets_Guideline'!$A$54:$A$269=$B456)*
      ('Tools &amp; Targets_Guideline'!$B$54:$B$269="U5 Morbidity"),
      0
    ),
    MATCH(
      _xludf.IFNA(
        VLOOKUP($D456,{"PH","Provincial Hospital (H2)";"DH","District Hospital (H3)";"RH","Regional / National Hospital (H1)"},2,0),
        $D456
      ),
      'Tools &amp; Targets_Guideline'!$C$53:$I$53,
      0
    )
  ),
0))</f>
        <v/>
      </c>
      <c r="AF456" s="102"/>
      <c r="AG456" s="119" t="str">
        <f t="array" ref="AG456">IF(OR($B456="",$D456=""),"",
IFERROR(
  INDEX(
    'Tools &amp; Targets_Guideline'!$C$54:$I$269,
    MATCH(
      1,
      ('Tools &amp; Targets_Guideline'!$A$54:$A$269=$B456)*
      ('Tools &amp; Targets_Guideline'!$B$54:$B$269="C-Section"),
      0
    ),
    MATCH(
      _xludf.IFNA(
        VLOOKUP($D456,{"PH","Provincial Hospital (H2)";"DH","District Hospital (H3)";"RH","Regional / National Hospital (H1)"},2,0),
        $D456
      ),
      'Tools &amp; Targets_Guideline'!$C$53:$I$53,
      0
    )
  ),
0))</f>
        <v/>
      </c>
      <c r="AH456" s="102" t="str">
        <f>IF(A456&lt;&gt;"",COUNTIFS('QA Log'!D:D,A456,'QA Log'!M:M,"QQC",'QA Log'!L:L,"2. Hygiene and Sterilization",'QA Log'!Z:Z,"Approved"),"")</f>
        <v/>
      </c>
      <c r="AI456" s="102"/>
      <c r="AJ456" s="102"/>
      <c r="AK456" s="103" t="str">
        <f t="shared" si="17"/>
        <v/>
      </c>
      <c r="AL456" s="102"/>
      <c r="AM456" s="102"/>
      <c r="AN456" s="102"/>
      <c r="AO456" s="106"/>
      <c r="AP456" s="103"/>
      <c r="AQ456" s="102"/>
      <c r="AR456" s="102"/>
      <c r="AS456" s="102"/>
      <c r="AT456" s="107"/>
      <c r="AU456" s="102" t="str">
        <f t="shared" si="18"/>
        <v/>
      </c>
      <c r="AV456" s="102" t="str">
        <f t="shared" si="19"/>
        <v/>
      </c>
      <c r="AW456" s="102" t="str">
        <f t="shared" si="20"/>
        <v/>
      </c>
      <c r="AX456" s="102" t="str">
        <f t="shared" si="21"/>
        <v/>
      </c>
      <c r="AY456" s="107" t="str">
        <f t="shared" si="22"/>
        <v/>
      </c>
      <c r="AZ456" s="108" t="str">
        <f t="shared" si="23"/>
        <v/>
      </c>
      <c r="BA456" s="108" t="str">
        <f t="shared" si="24"/>
        <v/>
      </c>
      <c r="BB456" s="109" t="str">
        <f t="shared" si="25"/>
        <v/>
      </c>
      <c r="BC456" s="108" t="str">
        <f t="shared" si="26"/>
        <v/>
      </c>
      <c r="BD456" s="108" t="str">
        <f t="shared" si="27"/>
        <v/>
      </c>
      <c r="BE456" s="109" t="str">
        <f t="shared" si="28"/>
        <v/>
      </c>
      <c r="BF456" s="110" t="str">
        <f t="shared" si="29"/>
        <v/>
      </c>
      <c r="BG456" s="111"/>
    </row>
    <row r="457" spans="1:59" ht="12.75">
      <c r="A457" s="101"/>
      <c r="B457" s="102"/>
      <c r="C457" s="102" t="e">
        <f t="array" aca="1" ref="C457" ca="1">_xludf.XLOOKUP(A457,'QA Log'!D:D,'QA Log'!F:F,"")</f>
        <v>#NAME?</v>
      </c>
      <c r="D457" s="102"/>
      <c r="E457" s="102" t="e">
        <f t="array" aca="1" ref="E457" ca="1">_xludf.XLOOKUP(A457,'QA Log'!D:D,'QA Log'!G:G,"")</f>
        <v>#NAME?</v>
      </c>
      <c r="F457" s="103"/>
      <c r="G457" s="104"/>
      <c r="H457" s="104"/>
      <c r="I457" s="103" t="str">
        <f t="shared" si="15"/>
        <v/>
      </c>
      <c r="J457" s="102"/>
      <c r="K457" s="102"/>
      <c r="L457" s="119" t="str">
        <f t="array" ref="L457">IF(OR($B457="",$D457=""),"",
IFERROR(
  INDEX(
    'Tools &amp; Targets_Guideline'!$C$54:$I$269,
    MATCH(
      1,
      ('Tools &amp; Targets_Guideline'!$A$54:$A$269=$B457)*
      ('Tools &amp; Targets_Guideline'!$B$54:$B$269="ANC"),
      0
    ),
    MATCH(
      _xludf.IFNA(
        VLOOKUP($D457,{"PH","Provincial Hospital (H2)";"DH","District Hospital (H3)";"RH","Regional / National Hospital (H1)"},2,0),
        $D457
      ),
      'Tools &amp; Targets_Guideline'!$C$53:$I$53,
      0
    )
  ),
0))</f>
        <v/>
      </c>
      <c r="M457" s="102"/>
      <c r="N457" s="119" t="str">
        <f t="array" ref="N457">IF(OR($B457="",$D457=""),"",
IFERROR(
  INDEX(
    'Tools &amp; Targets_Guideline'!$C$54:$I$269,
    MATCH(
      1,
      ('Tools &amp; Targets_Guideline'!$A$54:$A$269=$B457)*
      ('Tools &amp; Targets_Guideline'!$B$54:$B$269="PNC"),
      0
    ),
    MATCH(
      _xludf.IFNA(
        VLOOKUP($D457,{"PH","Provincial Hospital (H2)";"DH","District Hospital (H3)";"RH","Regional / National Hospital (H1)"},2,0),
        $D457
      ),
      'Tools &amp; Targets_Guideline'!$C$53:$I$53,
      0
    )
  ),
0))</f>
        <v/>
      </c>
      <c r="O457" s="102"/>
      <c r="P457" s="119" t="str">
        <f t="array" ref="P457">IF(OR($B457="",$D457=""),"",
IFERROR(
  INDEX(
    'Tools &amp; Targets_Guideline'!$C$54:$I$269,
    MATCH(
      1,
      ('Tools &amp; Targets_Guideline'!$A$54:$A$269=$B457)*
      ('Tools &amp; Targets_Guideline'!$B$54:$B$269="Delivery"),
      0
    ),
    MATCH(
      _xludf.IFNA(
        VLOOKUP($D457,{"PH","Provincial Hospital (H2)";"DH","District Hospital (H3)";"RH","Regional / National Hospital (H1)"},2,0),
        $D457
      ),
      'Tools &amp; Targets_Guideline'!$C$53:$I$53,
      0
    )
  ),
0))</f>
        <v/>
      </c>
      <c r="Q457" s="102"/>
      <c r="R457" s="119" t="str">
        <f t="array" ref="R457">IF(OR($B457="",$D457=""),"",
IFERROR(
  INDEX(
    'Tools &amp; Targets_Guideline'!$C$54:$I$269,
    MATCH(
      1,
      ('Tools &amp; Targets_Guideline'!$A$54:$A$269=$B457)*
      ('Tools &amp; Targets_Guideline'!$B$54:$B$269="TT"),
      0
    ),
    MATCH(
      _xludf.IFNA(
        VLOOKUP($D457,{"PH","Provincial Hospital (H2)";"DH","District Hospital (H3)";"RH","Regional / National Hospital (H1)"},2,0),
        $D457
      ),
      'Tools &amp; Targets_Guideline'!$C$53:$I$53,
      0
    )
  ),
0))</f>
        <v/>
      </c>
      <c r="S457" s="102"/>
      <c r="T457" s="102"/>
      <c r="U457" s="106"/>
      <c r="V457" s="102" t="str">
        <f t="shared" si="16"/>
        <v/>
      </c>
      <c r="W457" s="102"/>
      <c r="X457" s="102"/>
      <c r="Y457" s="119" t="str">
        <f t="array" ref="Y457">IF(OR($B457="",$D457=""),"",
IFERROR(
  INDEX(
    'Tools &amp; Targets_Guideline'!$C$54:$I$269,
    MATCH(
      1,
      ('Tools &amp; Targets_Guideline'!$A$54:$A$269=$B457)*
      ('Tools &amp; Targets_Guideline'!$B$54:$B$269="GM"),
      0
    ),
    MATCH(
      _xludf.IFNA(
        VLOOKUP($D457,{"PH","Provincial Hospital (H2)";"DH","District Hospital (H3)";"RH","Regional / National Hospital (H1)"},2,0),
        $D457
      ),
      'Tools &amp; Targets_Guideline'!$C$53:$I$53,
      0
    )
  ),
0))</f>
        <v/>
      </c>
      <c r="Z457" s="102"/>
      <c r="AA457" s="119" t="str">
        <f t="array" ref="AA457">IF(OR($B457="",$D457=""),"",
IFERROR(
  INDEX(
    'Tools &amp; Targets_Guideline'!$C$54:$I$269,
    MATCH(
      1,
      ('Tools &amp; Targets_Guideline'!$A$54:$A$269=$B457)*
      ('Tools &amp; Targets_Guideline'!$B$54:$B$269="Penta"),
      0
    ),
    MATCH(
      _xludf.IFNA(
        VLOOKUP($D457,{"PH","Provincial Hospital (H2)";"DH","District Hospital (H3)";"RH","Regional / National Hospital (H1)"},2,0),
        $D457
      ),
      'Tools &amp; Targets_Guideline'!$C$53:$I$53,
      0
    )
  ),
0))</f>
        <v/>
      </c>
      <c r="AB457" s="102"/>
      <c r="AC457" s="119" t="str">
        <f t="array" ref="AC457">IF(OR($B457="",$D457=""),"",
IFERROR(
  INDEX(
    'Tools &amp; Targets_Guideline'!$C$54:$I$269,
    MATCH(
      1,
      ('Tools &amp; Targets_Guideline'!$A$54:$A$269=$B457)*
      ('Tools &amp; Targets_Guideline'!$B$54:$B$269="TB"),
      0
    ),
    MATCH(
      _xludf.IFNA(
        VLOOKUP($D457,{"PH","Provincial Hospital (H2)";"DH","District Hospital (H3)";"RH","Regional / National Hospital (H1)"},2,0),
        $D457
      ),
      'Tools &amp; Targets_Guideline'!$C$53:$I$53,
      0
    )
  ),
0))</f>
        <v/>
      </c>
      <c r="AD457" s="102"/>
      <c r="AE457" s="119" t="str">
        <f t="array" ref="AE457">IF(OR($B457="",$D457=""),"",
IFERROR(
  INDEX(
    'Tools &amp; Targets_Guideline'!$C$54:$I$269,
    MATCH(
      1,
      ('Tools &amp; Targets_Guideline'!$A$54:$A$269=$B457)*
      ('Tools &amp; Targets_Guideline'!$B$54:$B$269="U5 Morbidity"),
      0
    ),
    MATCH(
      _xludf.IFNA(
        VLOOKUP($D457,{"PH","Provincial Hospital (H2)";"DH","District Hospital (H3)";"RH","Regional / National Hospital (H1)"},2,0),
        $D457
      ),
      'Tools &amp; Targets_Guideline'!$C$53:$I$53,
      0
    )
  ),
0))</f>
        <v/>
      </c>
      <c r="AF457" s="102"/>
      <c r="AG457" s="119" t="str">
        <f t="array" ref="AG457">IF(OR($B457="",$D457=""),"",
IFERROR(
  INDEX(
    'Tools &amp; Targets_Guideline'!$C$54:$I$269,
    MATCH(
      1,
      ('Tools &amp; Targets_Guideline'!$A$54:$A$269=$B457)*
      ('Tools &amp; Targets_Guideline'!$B$54:$B$269="C-Section"),
      0
    ),
    MATCH(
      _xludf.IFNA(
        VLOOKUP($D457,{"PH","Provincial Hospital (H2)";"DH","District Hospital (H3)";"RH","Regional / National Hospital (H1)"},2,0),
        $D457
      ),
      'Tools &amp; Targets_Guideline'!$C$53:$I$53,
      0
    )
  ),
0))</f>
        <v/>
      </c>
      <c r="AH457" s="102" t="str">
        <f>IF(A457&lt;&gt;"",COUNTIFS('QA Log'!D:D,A457,'QA Log'!M:M,"QQC",'QA Log'!L:L,"2. Hygiene and Sterilization",'QA Log'!Z:Z,"Approved"),"")</f>
        <v/>
      </c>
      <c r="AI457" s="102"/>
      <c r="AJ457" s="102"/>
      <c r="AK457" s="103" t="str">
        <f t="shared" si="17"/>
        <v/>
      </c>
      <c r="AL457" s="102"/>
      <c r="AM457" s="102"/>
      <c r="AN457" s="102"/>
      <c r="AO457" s="106"/>
      <c r="AP457" s="103"/>
      <c r="AQ457" s="102"/>
      <c r="AR457" s="102"/>
      <c r="AS457" s="102"/>
      <c r="AT457" s="107"/>
      <c r="AU457" s="102" t="str">
        <f t="shared" si="18"/>
        <v/>
      </c>
      <c r="AV457" s="102" t="str">
        <f t="shared" si="19"/>
        <v/>
      </c>
      <c r="AW457" s="102" t="str">
        <f t="shared" si="20"/>
        <v/>
      </c>
      <c r="AX457" s="102" t="str">
        <f t="shared" si="21"/>
        <v/>
      </c>
      <c r="AY457" s="107" t="str">
        <f t="shared" si="22"/>
        <v/>
      </c>
      <c r="AZ457" s="108" t="str">
        <f t="shared" si="23"/>
        <v/>
      </c>
      <c r="BA457" s="108" t="str">
        <f t="shared" si="24"/>
        <v/>
      </c>
      <c r="BB457" s="109" t="str">
        <f t="shared" si="25"/>
        <v/>
      </c>
      <c r="BC457" s="108" t="str">
        <f t="shared" si="26"/>
        <v/>
      </c>
      <c r="BD457" s="108" t="str">
        <f t="shared" si="27"/>
        <v/>
      </c>
      <c r="BE457" s="109" t="str">
        <f t="shared" si="28"/>
        <v/>
      </c>
      <c r="BF457" s="110" t="str">
        <f t="shared" si="29"/>
        <v/>
      </c>
      <c r="BG457" s="111"/>
    </row>
    <row r="458" spans="1:59" ht="12.75">
      <c r="A458" s="101"/>
      <c r="B458" s="102"/>
      <c r="C458" s="102" t="e">
        <f t="array" aca="1" ref="C458" ca="1">_xludf.XLOOKUP(A458,'QA Log'!D:D,'QA Log'!F:F,"")</f>
        <v>#NAME?</v>
      </c>
      <c r="D458" s="102"/>
      <c r="E458" s="102" t="e">
        <f t="array" aca="1" ref="E458" ca="1">_xludf.XLOOKUP(A458,'QA Log'!D:D,'QA Log'!G:G,"")</f>
        <v>#NAME?</v>
      </c>
      <c r="F458" s="103"/>
      <c r="G458" s="104"/>
      <c r="H458" s="104"/>
      <c r="I458" s="103" t="str">
        <f t="shared" si="15"/>
        <v/>
      </c>
      <c r="J458" s="102"/>
      <c r="K458" s="102"/>
      <c r="L458" s="119" t="str">
        <f t="array" ref="L458">IF(OR($B458="",$D458=""),"",
IFERROR(
  INDEX(
    'Tools &amp; Targets_Guideline'!$C$54:$I$269,
    MATCH(
      1,
      ('Tools &amp; Targets_Guideline'!$A$54:$A$269=$B458)*
      ('Tools &amp; Targets_Guideline'!$B$54:$B$269="ANC"),
      0
    ),
    MATCH(
      _xludf.IFNA(
        VLOOKUP($D458,{"PH","Provincial Hospital (H2)";"DH","District Hospital (H3)";"RH","Regional / National Hospital (H1)"},2,0),
        $D458
      ),
      'Tools &amp; Targets_Guideline'!$C$53:$I$53,
      0
    )
  ),
0))</f>
        <v/>
      </c>
      <c r="M458" s="102"/>
      <c r="N458" s="119" t="str">
        <f t="array" ref="N458">IF(OR($B458="",$D458=""),"",
IFERROR(
  INDEX(
    'Tools &amp; Targets_Guideline'!$C$54:$I$269,
    MATCH(
      1,
      ('Tools &amp; Targets_Guideline'!$A$54:$A$269=$B458)*
      ('Tools &amp; Targets_Guideline'!$B$54:$B$269="PNC"),
      0
    ),
    MATCH(
      _xludf.IFNA(
        VLOOKUP($D458,{"PH","Provincial Hospital (H2)";"DH","District Hospital (H3)";"RH","Regional / National Hospital (H1)"},2,0),
        $D458
      ),
      'Tools &amp; Targets_Guideline'!$C$53:$I$53,
      0
    )
  ),
0))</f>
        <v/>
      </c>
      <c r="O458" s="102"/>
      <c r="P458" s="119" t="str">
        <f t="array" ref="P458">IF(OR($B458="",$D458=""),"",
IFERROR(
  INDEX(
    'Tools &amp; Targets_Guideline'!$C$54:$I$269,
    MATCH(
      1,
      ('Tools &amp; Targets_Guideline'!$A$54:$A$269=$B458)*
      ('Tools &amp; Targets_Guideline'!$B$54:$B$269="Delivery"),
      0
    ),
    MATCH(
      _xludf.IFNA(
        VLOOKUP($D458,{"PH","Provincial Hospital (H2)";"DH","District Hospital (H3)";"RH","Regional / National Hospital (H1)"},2,0),
        $D458
      ),
      'Tools &amp; Targets_Guideline'!$C$53:$I$53,
      0
    )
  ),
0))</f>
        <v/>
      </c>
      <c r="Q458" s="102"/>
      <c r="R458" s="119" t="str">
        <f t="array" ref="R458">IF(OR($B458="",$D458=""),"",
IFERROR(
  INDEX(
    'Tools &amp; Targets_Guideline'!$C$54:$I$269,
    MATCH(
      1,
      ('Tools &amp; Targets_Guideline'!$A$54:$A$269=$B458)*
      ('Tools &amp; Targets_Guideline'!$B$54:$B$269="TT"),
      0
    ),
    MATCH(
      _xludf.IFNA(
        VLOOKUP($D458,{"PH","Provincial Hospital (H2)";"DH","District Hospital (H3)";"RH","Regional / National Hospital (H1)"},2,0),
        $D458
      ),
      'Tools &amp; Targets_Guideline'!$C$53:$I$53,
      0
    )
  ),
0))</f>
        <v/>
      </c>
      <c r="S458" s="102"/>
      <c r="T458" s="102"/>
      <c r="U458" s="106"/>
      <c r="V458" s="102" t="str">
        <f t="shared" si="16"/>
        <v/>
      </c>
      <c r="W458" s="102"/>
      <c r="X458" s="102"/>
      <c r="Y458" s="119" t="str">
        <f t="array" ref="Y458">IF(OR($B458="",$D458=""),"",
IFERROR(
  INDEX(
    'Tools &amp; Targets_Guideline'!$C$54:$I$269,
    MATCH(
      1,
      ('Tools &amp; Targets_Guideline'!$A$54:$A$269=$B458)*
      ('Tools &amp; Targets_Guideline'!$B$54:$B$269="GM"),
      0
    ),
    MATCH(
      _xludf.IFNA(
        VLOOKUP($D458,{"PH","Provincial Hospital (H2)";"DH","District Hospital (H3)";"RH","Regional / National Hospital (H1)"},2,0),
        $D458
      ),
      'Tools &amp; Targets_Guideline'!$C$53:$I$53,
      0
    )
  ),
0))</f>
        <v/>
      </c>
      <c r="Z458" s="102"/>
      <c r="AA458" s="119" t="str">
        <f t="array" ref="AA458">IF(OR($B458="",$D458=""),"",
IFERROR(
  INDEX(
    'Tools &amp; Targets_Guideline'!$C$54:$I$269,
    MATCH(
      1,
      ('Tools &amp; Targets_Guideline'!$A$54:$A$269=$B458)*
      ('Tools &amp; Targets_Guideline'!$B$54:$B$269="Penta"),
      0
    ),
    MATCH(
      _xludf.IFNA(
        VLOOKUP($D458,{"PH","Provincial Hospital (H2)";"DH","District Hospital (H3)";"RH","Regional / National Hospital (H1)"},2,0),
        $D458
      ),
      'Tools &amp; Targets_Guideline'!$C$53:$I$53,
      0
    )
  ),
0))</f>
        <v/>
      </c>
      <c r="AB458" s="102"/>
      <c r="AC458" s="119" t="str">
        <f t="array" ref="AC458">IF(OR($B458="",$D458=""),"",
IFERROR(
  INDEX(
    'Tools &amp; Targets_Guideline'!$C$54:$I$269,
    MATCH(
      1,
      ('Tools &amp; Targets_Guideline'!$A$54:$A$269=$B458)*
      ('Tools &amp; Targets_Guideline'!$B$54:$B$269="TB"),
      0
    ),
    MATCH(
      _xludf.IFNA(
        VLOOKUP($D458,{"PH","Provincial Hospital (H2)";"DH","District Hospital (H3)";"RH","Regional / National Hospital (H1)"},2,0),
        $D458
      ),
      'Tools &amp; Targets_Guideline'!$C$53:$I$53,
      0
    )
  ),
0))</f>
        <v/>
      </c>
      <c r="AD458" s="102"/>
      <c r="AE458" s="119" t="str">
        <f t="array" ref="AE458">IF(OR($B458="",$D458=""),"",
IFERROR(
  INDEX(
    'Tools &amp; Targets_Guideline'!$C$54:$I$269,
    MATCH(
      1,
      ('Tools &amp; Targets_Guideline'!$A$54:$A$269=$B458)*
      ('Tools &amp; Targets_Guideline'!$B$54:$B$269="U5 Morbidity"),
      0
    ),
    MATCH(
      _xludf.IFNA(
        VLOOKUP($D458,{"PH","Provincial Hospital (H2)";"DH","District Hospital (H3)";"RH","Regional / National Hospital (H1)"},2,0),
        $D458
      ),
      'Tools &amp; Targets_Guideline'!$C$53:$I$53,
      0
    )
  ),
0))</f>
        <v/>
      </c>
      <c r="AF458" s="102"/>
      <c r="AG458" s="119" t="str">
        <f t="array" ref="AG458">IF(OR($B458="",$D458=""),"",
IFERROR(
  INDEX(
    'Tools &amp; Targets_Guideline'!$C$54:$I$269,
    MATCH(
      1,
      ('Tools &amp; Targets_Guideline'!$A$54:$A$269=$B458)*
      ('Tools &amp; Targets_Guideline'!$B$54:$B$269="C-Section"),
      0
    ),
    MATCH(
      _xludf.IFNA(
        VLOOKUP($D458,{"PH","Provincial Hospital (H2)";"DH","District Hospital (H3)";"RH","Regional / National Hospital (H1)"},2,0),
        $D458
      ),
      'Tools &amp; Targets_Guideline'!$C$53:$I$53,
      0
    )
  ),
0))</f>
        <v/>
      </c>
      <c r="AH458" s="102" t="str">
        <f>IF(A458&lt;&gt;"",COUNTIFS('QA Log'!D:D,A458,'QA Log'!M:M,"QQC",'QA Log'!L:L,"2. Hygiene and Sterilization",'QA Log'!Z:Z,"Approved"),"")</f>
        <v/>
      </c>
      <c r="AI458" s="102"/>
      <c r="AJ458" s="102"/>
      <c r="AK458" s="103" t="str">
        <f t="shared" si="17"/>
        <v/>
      </c>
      <c r="AL458" s="102"/>
      <c r="AM458" s="102"/>
      <c r="AN458" s="102"/>
      <c r="AO458" s="106"/>
      <c r="AP458" s="103"/>
      <c r="AQ458" s="102"/>
      <c r="AR458" s="102"/>
      <c r="AS458" s="102"/>
      <c r="AT458" s="107"/>
      <c r="AU458" s="102" t="str">
        <f t="shared" si="18"/>
        <v/>
      </c>
      <c r="AV458" s="102" t="str">
        <f t="shared" si="19"/>
        <v/>
      </c>
      <c r="AW458" s="102" t="str">
        <f t="shared" si="20"/>
        <v/>
      </c>
      <c r="AX458" s="102" t="str">
        <f t="shared" si="21"/>
        <v/>
      </c>
      <c r="AY458" s="107" t="str">
        <f t="shared" si="22"/>
        <v/>
      </c>
      <c r="AZ458" s="108" t="str">
        <f t="shared" si="23"/>
        <v/>
      </c>
      <c r="BA458" s="108" t="str">
        <f t="shared" si="24"/>
        <v/>
      </c>
      <c r="BB458" s="109" t="str">
        <f t="shared" si="25"/>
        <v/>
      </c>
      <c r="BC458" s="108" t="str">
        <f t="shared" si="26"/>
        <v/>
      </c>
      <c r="BD458" s="108" t="str">
        <f t="shared" si="27"/>
        <v/>
      </c>
      <c r="BE458" s="109" t="str">
        <f t="shared" si="28"/>
        <v/>
      </c>
      <c r="BF458" s="110" t="str">
        <f t="shared" si="29"/>
        <v/>
      </c>
      <c r="BG458" s="111"/>
    </row>
    <row r="459" spans="1:59" ht="12.75">
      <c r="A459" s="101"/>
      <c r="B459" s="102"/>
      <c r="C459" s="102" t="e">
        <f t="array" aca="1" ref="C459" ca="1">_xludf.XLOOKUP(A459,'QA Log'!D:D,'QA Log'!F:F,"")</f>
        <v>#NAME?</v>
      </c>
      <c r="D459" s="102"/>
      <c r="E459" s="102" t="e">
        <f t="array" aca="1" ref="E459" ca="1">_xludf.XLOOKUP(A459,'QA Log'!D:D,'QA Log'!G:G,"")</f>
        <v>#NAME?</v>
      </c>
      <c r="F459" s="103"/>
      <c r="G459" s="104"/>
      <c r="H459" s="104"/>
      <c r="I459" s="103" t="str">
        <f t="shared" si="15"/>
        <v/>
      </c>
      <c r="J459" s="102"/>
      <c r="K459" s="102"/>
      <c r="L459" s="119" t="str">
        <f t="array" ref="L459">IF(OR($B459="",$D459=""),"",
IFERROR(
  INDEX(
    'Tools &amp; Targets_Guideline'!$C$54:$I$269,
    MATCH(
      1,
      ('Tools &amp; Targets_Guideline'!$A$54:$A$269=$B459)*
      ('Tools &amp; Targets_Guideline'!$B$54:$B$269="ANC"),
      0
    ),
    MATCH(
      _xludf.IFNA(
        VLOOKUP($D459,{"PH","Provincial Hospital (H2)";"DH","District Hospital (H3)";"RH","Regional / National Hospital (H1)"},2,0),
        $D459
      ),
      'Tools &amp; Targets_Guideline'!$C$53:$I$53,
      0
    )
  ),
0))</f>
        <v/>
      </c>
      <c r="M459" s="102"/>
      <c r="N459" s="119" t="str">
        <f t="array" ref="N459">IF(OR($B459="",$D459=""),"",
IFERROR(
  INDEX(
    'Tools &amp; Targets_Guideline'!$C$54:$I$269,
    MATCH(
      1,
      ('Tools &amp; Targets_Guideline'!$A$54:$A$269=$B459)*
      ('Tools &amp; Targets_Guideline'!$B$54:$B$269="PNC"),
      0
    ),
    MATCH(
      _xludf.IFNA(
        VLOOKUP($D459,{"PH","Provincial Hospital (H2)";"DH","District Hospital (H3)";"RH","Regional / National Hospital (H1)"},2,0),
        $D459
      ),
      'Tools &amp; Targets_Guideline'!$C$53:$I$53,
      0
    )
  ),
0))</f>
        <v/>
      </c>
      <c r="O459" s="102"/>
      <c r="P459" s="119" t="str">
        <f t="array" ref="P459">IF(OR($B459="",$D459=""),"",
IFERROR(
  INDEX(
    'Tools &amp; Targets_Guideline'!$C$54:$I$269,
    MATCH(
      1,
      ('Tools &amp; Targets_Guideline'!$A$54:$A$269=$B459)*
      ('Tools &amp; Targets_Guideline'!$B$54:$B$269="Delivery"),
      0
    ),
    MATCH(
      _xludf.IFNA(
        VLOOKUP($D459,{"PH","Provincial Hospital (H2)";"DH","District Hospital (H3)";"RH","Regional / National Hospital (H1)"},2,0),
        $D459
      ),
      'Tools &amp; Targets_Guideline'!$C$53:$I$53,
      0
    )
  ),
0))</f>
        <v/>
      </c>
      <c r="Q459" s="102"/>
      <c r="R459" s="119" t="str">
        <f t="array" ref="R459">IF(OR($B459="",$D459=""),"",
IFERROR(
  INDEX(
    'Tools &amp; Targets_Guideline'!$C$54:$I$269,
    MATCH(
      1,
      ('Tools &amp; Targets_Guideline'!$A$54:$A$269=$B459)*
      ('Tools &amp; Targets_Guideline'!$B$54:$B$269="TT"),
      0
    ),
    MATCH(
      _xludf.IFNA(
        VLOOKUP($D459,{"PH","Provincial Hospital (H2)";"DH","District Hospital (H3)";"RH","Regional / National Hospital (H1)"},2,0),
        $D459
      ),
      'Tools &amp; Targets_Guideline'!$C$53:$I$53,
      0
    )
  ),
0))</f>
        <v/>
      </c>
      <c r="S459" s="102"/>
      <c r="T459" s="102"/>
      <c r="U459" s="106"/>
      <c r="V459" s="102" t="str">
        <f t="shared" si="16"/>
        <v/>
      </c>
      <c r="W459" s="102"/>
      <c r="X459" s="102"/>
      <c r="Y459" s="119" t="str">
        <f t="array" ref="Y459">IF(OR($B459="",$D459=""),"",
IFERROR(
  INDEX(
    'Tools &amp; Targets_Guideline'!$C$54:$I$269,
    MATCH(
      1,
      ('Tools &amp; Targets_Guideline'!$A$54:$A$269=$B459)*
      ('Tools &amp; Targets_Guideline'!$B$54:$B$269="GM"),
      0
    ),
    MATCH(
      _xludf.IFNA(
        VLOOKUP($D459,{"PH","Provincial Hospital (H2)";"DH","District Hospital (H3)";"RH","Regional / National Hospital (H1)"},2,0),
        $D459
      ),
      'Tools &amp; Targets_Guideline'!$C$53:$I$53,
      0
    )
  ),
0))</f>
        <v/>
      </c>
      <c r="Z459" s="102"/>
      <c r="AA459" s="119" t="str">
        <f t="array" ref="AA459">IF(OR($B459="",$D459=""),"",
IFERROR(
  INDEX(
    'Tools &amp; Targets_Guideline'!$C$54:$I$269,
    MATCH(
      1,
      ('Tools &amp; Targets_Guideline'!$A$54:$A$269=$B459)*
      ('Tools &amp; Targets_Guideline'!$B$54:$B$269="Penta"),
      0
    ),
    MATCH(
      _xludf.IFNA(
        VLOOKUP($D459,{"PH","Provincial Hospital (H2)";"DH","District Hospital (H3)";"RH","Regional / National Hospital (H1)"},2,0),
        $D459
      ),
      'Tools &amp; Targets_Guideline'!$C$53:$I$53,
      0
    )
  ),
0))</f>
        <v/>
      </c>
      <c r="AB459" s="102"/>
      <c r="AC459" s="119" t="str">
        <f t="array" ref="AC459">IF(OR($B459="",$D459=""),"",
IFERROR(
  INDEX(
    'Tools &amp; Targets_Guideline'!$C$54:$I$269,
    MATCH(
      1,
      ('Tools &amp; Targets_Guideline'!$A$54:$A$269=$B459)*
      ('Tools &amp; Targets_Guideline'!$B$54:$B$269="TB"),
      0
    ),
    MATCH(
      _xludf.IFNA(
        VLOOKUP($D459,{"PH","Provincial Hospital (H2)";"DH","District Hospital (H3)";"RH","Regional / National Hospital (H1)"},2,0),
        $D459
      ),
      'Tools &amp; Targets_Guideline'!$C$53:$I$53,
      0
    )
  ),
0))</f>
        <v/>
      </c>
      <c r="AD459" s="102"/>
      <c r="AE459" s="119" t="str">
        <f t="array" ref="AE459">IF(OR($B459="",$D459=""),"",
IFERROR(
  INDEX(
    'Tools &amp; Targets_Guideline'!$C$54:$I$269,
    MATCH(
      1,
      ('Tools &amp; Targets_Guideline'!$A$54:$A$269=$B459)*
      ('Tools &amp; Targets_Guideline'!$B$54:$B$269="U5 Morbidity"),
      0
    ),
    MATCH(
      _xludf.IFNA(
        VLOOKUP($D459,{"PH","Provincial Hospital (H2)";"DH","District Hospital (H3)";"RH","Regional / National Hospital (H1)"},2,0),
        $D459
      ),
      'Tools &amp; Targets_Guideline'!$C$53:$I$53,
      0
    )
  ),
0))</f>
        <v/>
      </c>
      <c r="AF459" s="102"/>
      <c r="AG459" s="119" t="str">
        <f t="array" ref="AG459">IF(OR($B459="",$D459=""),"",
IFERROR(
  INDEX(
    'Tools &amp; Targets_Guideline'!$C$54:$I$269,
    MATCH(
      1,
      ('Tools &amp; Targets_Guideline'!$A$54:$A$269=$B459)*
      ('Tools &amp; Targets_Guideline'!$B$54:$B$269="C-Section"),
      0
    ),
    MATCH(
      _xludf.IFNA(
        VLOOKUP($D459,{"PH","Provincial Hospital (H2)";"DH","District Hospital (H3)";"RH","Regional / National Hospital (H1)"},2,0),
        $D459
      ),
      'Tools &amp; Targets_Guideline'!$C$53:$I$53,
      0
    )
  ),
0))</f>
        <v/>
      </c>
      <c r="AH459" s="102" t="str">
        <f>IF(A459&lt;&gt;"",COUNTIFS('QA Log'!D:D,A459,'QA Log'!M:M,"QQC",'QA Log'!L:L,"2. Hygiene and Sterilization",'QA Log'!Z:Z,"Approved"),"")</f>
        <v/>
      </c>
      <c r="AI459" s="102"/>
      <c r="AJ459" s="102"/>
      <c r="AK459" s="103" t="str">
        <f t="shared" si="17"/>
        <v/>
      </c>
      <c r="AL459" s="102"/>
      <c r="AM459" s="102"/>
      <c r="AN459" s="102"/>
      <c r="AO459" s="106"/>
      <c r="AP459" s="103"/>
      <c r="AQ459" s="102"/>
      <c r="AR459" s="102"/>
      <c r="AS459" s="102"/>
      <c r="AT459" s="107"/>
      <c r="AU459" s="102" t="str">
        <f t="shared" si="18"/>
        <v/>
      </c>
      <c r="AV459" s="102" t="str">
        <f t="shared" si="19"/>
        <v/>
      </c>
      <c r="AW459" s="102" t="str">
        <f t="shared" si="20"/>
        <v/>
      </c>
      <c r="AX459" s="102" t="str">
        <f t="shared" si="21"/>
        <v/>
      </c>
      <c r="AY459" s="107" t="str">
        <f t="shared" si="22"/>
        <v/>
      </c>
      <c r="AZ459" s="108" t="str">
        <f t="shared" si="23"/>
        <v/>
      </c>
      <c r="BA459" s="108" t="str">
        <f t="shared" si="24"/>
        <v/>
      </c>
      <c r="BB459" s="109" t="str">
        <f t="shared" si="25"/>
        <v/>
      </c>
      <c r="BC459" s="108" t="str">
        <f t="shared" si="26"/>
        <v/>
      </c>
      <c r="BD459" s="108" t="str">
        <f t="shared" si="27"/>
        <v/>
      </c>
      <c r="BE459" s="109" t="str">
        <f t="shared" si="28"/>
        <v/>
      </c>
      <c r="BF459" s="110" t="str">
        <f t="shared" si="29"/>
        <v/>
      </c>
      <c r="BG459" s="111"/>
    </row>
    <row r="460" spans="1:59" ht="12.75">
      <c r="A460" s="101"/>
      <c r="B460" s="102"/>
      <c r="C460" s="102" t="e">
        <f t="array" aca="1" ref="C460" ca="1">_xludf.XLOOKUP(A460,'QA Log'!D:D,'QA Log'!F:F,"")</f>
        <v>#NAME?</v>
      </c>
      <c r="D460" s="102"/>
      <c r="E460" s="102" t="e">
        <f t="array" aca="1" ref="E460" ca="1">_xludf.XLOOKUP(A460,'QA Log'!D:D,'QA Log'!G:G,"")</f>
        <v>#NAME?</v>
      </c>
      <c r="F460" s="103"/>
      <c r="G460" s="104"/>
      <c r="H460" s="104"/>
      <c r="I460" s="103" t="str">
        <f t="shared" si="15"/>
        <v/>
      </c>
      <c r="J460" s="102"/>
      <c r="K460" s="102"/>
      <c r="L460" s="119" t="str">
        <f t="array" ref="L460">IF(OR($B460="",$D460=""),"",
IFERROR(
  INDEX(
    'Tools &amp; Targets_Guideline'!$C$54:$I$269,
    MATCH(
      1,
      ('Tools &amp; Targets_Guideline'!$A$54:$A$269=$B460)*
      ('Tools &amp; Targets_Guideline'!$B$54:$B$269="ANC"),
      0
    ),
    MATCH(
      _xludf.IFNA(
        VLOOKUP($D460,{"PH","Provincial Hospital (H2)";"DH","District Hospital (H3)";"RH","Regional / National Hospital (H1)"},2,0),
        $D460
      ),
      'Tools &amp; Targets_Guideline'!$C$53:$I$53,
      0
    )
  ),
0))</f>
        <v/>
      </c>
      <c r="M460" s="102"/>
      <c r="N460" s="119" t="str">
        <f t="array" ref="N460">IF(OR($B460="",$D460=""),"",
IFERROR(
  INDEX(
    'Tools &amp; Targets_Guideline'!$C$54:$I$269,
    MATCH(
      1,
      ('Tools &amp; Targets_Guideline'!$A$54:$A$269=$B460)*
      ('Tools &amp; Targets_Guideline'!$B$54:$B$269="PNC"),
      0
    ),
    MATCH(
      _xludf.IFNA(
        VLOOKUP($D460,{"PH","Provincial Hospital (H2)";"DH","District Hospital (H3)";"RH","Regional / National Hospital (H1)"},2,0),
        $D460
      ),
      'Tools &amp; Targets_Guideline'!$C$53:$I$53,
      0
    )
  ),
0))</f>
        <v/>
      </c>
      <c r="O460" s="102"/>
      <c r="P460" s="119" t="str">
        <f t="array" ref="P460">IF(OR($B460="",$D460=""),"",
IFERROR(
  INDEX(
    'Tools &amp; Targets_Guideline'!$C$54:$I$269,
    MATCH(
      1,
      ('Tools &amp; Targets_Guideline'!$A$54:$A$269=$B460)*
      ('Tools &amp; Targets_Guideline'!$B$54:$B$269="Delivery"),
      0
    ),
    MATCH(
      _xludf.IFNA(
        VLOOKUP($D460,{"PH","Provincial Hospital (H2)";"DH","District Hospital (H3)";"RH","Regional / National Hospital (H1)"},2,0),
        $D460
      ),
      'Tools &amp; Targets_Guideline'!$C$53:$I$53,
      0
    )
  ),
0))</f>
        <v/>
      </c>
      <c r="Q460" s="102"/>
      <c r="R460" s="119" t="str">
        <f t="array" ref="R460">IF(OR($B460="",$D460=""),"",
IFERROR(
  INDEX(
    'Tools &amp; Targets_Guideline'!$C$54:$I$269,
    MATCH(
      1,
      ('Tools &amp; Targets_Guideline'!$A$54:$A$269=$B460)*
      ('Tools &amp; Targets_Guideline'!$B$54:$B$269="TT"),
      0
    ),
    MATCH(
      _xludf.IFNA(
        VLOOKUP($D460,{"PH","Provincial Hospital (H2)";"DH","District Hospital (H3)";"RH","Regional / National Hospital (H1)"},2,0),
        $D460
      ),
      'Tools &amp; Targets_Guideline'!$C$53:$I$53,
      0
    )
  ),
0))</f>
        <v/>
      </c>
      <c r="S460" s="102"/>
      <c r="T460" s="102"/>
      <c r="U460" s="106"/>
      <c r="V460" s="102" t="str">
        <f t="shared" si="16"/>
        <v/>
      </c>
      <c r="W460" s="102"/>
      <c r="X460" s="102"/>
      <c r="Y460" s="119" t="str">
        <f t="array" ref="Y460">IF(OR($B460="",$D460=""),"",
IFERROR(
  INDEX(
    'Tools &amp; Targets_Guideline'!$C$54:$I$269,
    MATCH(
      1,
      ('Tools &amp; Targets_Guideline'!$A$54:$A$269=$B460)*
      ('Tools &amp; Targets_Guideline'!$B$54:$B$269="GM"),
      0
    ),
    MATCH(
      _xludf.IFNA(
        VLOOKUP($D460,{"PH","Provincial Hospital (H2)";"DH","District Hospital (H3)";"RH","Regional / National Hospital (H1)"},2,0),
        $D460
      ),
      'Tools &amp; Targets_Guideline'!$C$53:$I$53,
      0
    )
  ),
0))</f>
        <v/>
      </c>
      <c r="Z460" s="102"/>
      <c r="AA460" s="119" t="str">
        <f t="array" ref="AA460">IF(OR($B460="",$D460=""),"",
IFERROR(
  INDEX(
    'Tools &amp; Targets_Guideline'!$C$54:$I$269,
    MATCH(
      1,
      ('Tools &amp; Targets_Guideline'!$A$54:$A$269=$B460)*
      ('Tools &amp; Targets_Guideline'!$B$54:$B$269="Penta"),
      0
    ),
    MATCH(
      _xludf.IFNA(
        VLOOKUP($D460,{"PH","Provincial Hospital (H2)";"DH","District Hospital (H3)";"RH","Regional / National Hospital (H1)"},2,0),
        $D460
      ),
      'Tools &amp; Targets_Guideline'!$C$53:$I$53,
      0
    )
  ),
0))</f>
        <v/>
      </c>
      <c r="AB460" s="102"/>
      <c r="AC460" s="119" t="str">
        <f t="array" ref="AC460">IF(OR($B460="",$D460=""),"",
IFERROR(
  INDEX(
    'Tools &amp; Targets_Guideline'!$C$54:$I$269,
    MATCH(
      1,
      ('Tools &amp; Targets_Guideline'!$A$54:$A$269=$B460)*
      ('Tools &amp; Targets_Guideline'!$B$54:$B$269="TB"),
      0
    ),
    MATCH(
      _xludf.IFNA(
        VLOOKUP($D460,{"PH","Provincial Hospital (H2)";"DH","District Hospital (H3)";"RH","Regional / National Hospital (H1)"},2,0),
        $D460
      ),
      'Tools &amp; Targets_Guideline'!$C$53:$I$53,
      0
    )
  ),
0))</f>
        <v/>
      </c>
      <c r="AD460" s="102"/>
      <c r="AE460" s="119" t="str">
        <f t="array" ref="AE460">IF(OR($B460="",$D460=""),"",
IFERROR(
  INDEX(
    'Tools &amp; Targets_Guideline'!$C$54:$I$269,
    MATCH(
      1,
      ('Tools &amp; Targets_Guideline'!$A$54:$A$269=$B460)*
      ('Tools &amp; Targets_Guideline'!$B$54:$B$269="U5 Morbidity"),
      0
    ),
    MATCH(
      _xludf.IFNA(
        VLOOKUP($D460,{"PH","Provincial Hospital (H2)";"DH","District Hospital (H3)";"RH","Regional / National Hospital (H1)"},2,0),
        $D460
      ),
      'Tools &amp; Targets_Guideline'!$C$53:$I$53,
      0
    )
  ),
0))</f>
        <v/>
      </c>
      <c r="AF460" s="102"/>
      <c r="AG460" s="119" t="str">
        <f t="array" ref="AG460">IF(OR($B460="",$D460=""),"",
IFERROR(
  INDEX(
    'Tools &amp; Targets_Guideline'!$C$54:$I$269,
    MATCH(
      1,
      ('Tools &amp; Targets_Guideline'!$A$54:$A$269=$B460)*
      ('Tools &amp; Targets_Guideline'!$B$54:$B$269="C-Section"),
      0
    ),
    MATCH(
      _xludf.IFNA(
        VLOOKUP($D460,{"PH","Provincial Hospital (H2)";"DH","District Hospital (H3)";"RH","Regional / National Hospital (H1)"},2,0),
        $D460
      ),
      'Tools &amp; Targets_Guideline'!$C$53:$I$53,
      0
    )
  ),
0))</f>
        <v/>
      </c>
      <c r="AH460" s="102" t="str">
        <f>IF(A460&lt;&gt;"",COUNTIFS('QA Log'!D:D,A460,'QA Log'!M:M,"QQC",'QA Log'!L:L,"2. Hygiene and Sterilization",'QA Log'!Z:Z,"Approved"),"")</f>
        <v/>
      </c>
      <c r="AI460" s="102"/>
      <c r="AJ460" s="102"/>
      <c r="AK460" s="103" t="str">
        <f t="shared" si="17"/>
        <v/>
      </c>
      <c r="AL460" s="102"/>
      <c r="AM460" s="102"/>
      <c r="AN460" s="102"/>
      <c r="AO460" s="106"/>
      <c r="AP460" s="103"/>
      <c r="AQ460" s="102"/>
      <c r="AR460" s="102"/>
      <c r="AS460" s="102"/>
      <c r="AT460" s="107"/>
      <c r="AU460" s="102" t="str">
        <f t="shared" si="18"/>
        <v/>
      </c>
      <c r="AV460" s="102" t="str">
        <f t="shared" si="19"/>
        <v/>
      </c>
      <c r="AW460" s="102" t="str">
        <f t="shared" si="20"/>
        <v/>
      </c>
      <c r="AX460" s="102" t="str">
        <f t="shared" si="21"/>
        <v/>
      </c>
      <c r="AY460" s="107" t="str">
        <f t="shared" si="22"/>
        <v/>
      </c>
      <c r="AZ460" s="108" t="str">
        <f t="shared" si="23"/>
        <v/>
      </c>
      <c r="BA460" s="108" t="str">
        <f t="shared" si="24"/>
        <v/>
      </c>
      <c r="BB460" s="109" t="str">
        <f t="shared" si="25"/>
        <v/>
      </c>
      <c r="BC460" s="108" t="str">
        <f t="shared" si="26"/>
        <v/>
      </c>
      <c r="BD460" s="108" t="str">
        <f t="shared" si="27"/>
        <v/>
      </c>
      <c r="BE460" s="109" t="str">
        <f t="shared" si="28"/>
        <v/>
      </c>
      <c r="BF460" s="110" t="str">
        <f t="shared" si="29"/>
        <v/>
      </c>
      <c r="BG460" s="111"/>
    </row>
    <row r="461" spans="1:59" ht="12.75">
      <c r="A461" s="101"/>
      <c r="B461" s="102"/>
      <c r="C461" s="102" t="e">
        <f t="array" aca="1" ref="C461" ca="1">_xludf.XLOOKUP(A461,'QA Log'!D:D,'QA Log'!F:F,"")</f>
        <v>#NAME?</v>
      </c>
      <c r="D461" s="102"/>
      <c r="E461" s="102" t="e">
        <f t="array" aca="1" ref="E461" ca="1">_xludf.XLOOKUP(A461,'QA Log'!D:D,'QA Log'!G:G,"")</f>
        <v>#NAME?</v>
      </c>
      <c r="F461" s="103"/>
      <c r="G461" s="104"/>
      <c r="H461" s="104"/>
      <c r="I461" s="103" t="str">
        <f t="shared" si="15"/>
        <v/>
      </c>
      <c r="J461" s="102"/>
      <c r="K461" s="102"/>
      <c r="L461" s="119" t="str">
        <f t="array" ref="L461">IF(OR($B461="",$D461=""),"",
IFERROR(
  INDEX(
    'Tools &amp; Targets_Guideline'!$C$54:$I$269,
    MATCH(
      1,
      ('Tools &amp; Targets_Guideline'!$A$54:$A$269=$B461)*
      ('Tools &amp; Targets_Guideline'!$B$54:$B$269="ANC"),
      0
    ),
    MATCH(
      _xludf.IFNA(
        VLOOKUP($D461,{"PH","Provincial Hospital (H2)";"DH","District Hospital (H3)";"RH","Regional / National Hospital (H1)"},2,0),
        $D461
      ),
      'Tools &amp; Targets_Guideline'!$C$53:$I$53,
      0
    )
  ),
0))</f>
        <v/>
      </c>
      <c r="M461" s="102"/>
      <c r="N461" s="119" t="str">
        <f t="array" ref="N461">IF(OR($B461="",$D461=""),"",
IFERROR(
  INDEX(
    'Tools &amp; Targets_Guideline'!$C$54:$I$269,
    MATCH(
      1,
      ('Tools &amp; Targets_Guideline'!$A$54:$A$269=$B461)*
      ('Tools &amp; Targets_Guideline'!$B$54:$B$269="PNC"),
      0
    ),
    MATCH(
      _xludf.IFNA(
        VLOOKUP($D461,{"PH","Provincial Hospital (H2)";"DH","District Hospital (H3)";"RH","Regional / National Hospital (H1)"},2,0),
        $D461
      ),
      'Tools &amp; Targets_Guideline'!$C$53:$I$53,
      0
    )
  ),
0))</f>
        <v/>
      </c>
      <c r="O461" s="102"/>
      <c r="P461" s="119" t="str">
        <f t="array" ref="P461">IF(OR($B461="",$D461=""),"",
IFERROR(
  INDEX(
    'Tools &amp; Targets_Guideline'!$C$54:$I$269,
    MATCH(
      1,
      ('Tools &amp; Targets_Guideline'!$A$54:$A$269=$B461)*
      ('Tools &amp; Targets_Guideline'!$B$54:$B$269="Delivery"),
      0
    ),
    MATCH(
      _xludf.IFNA(
        VLOOKUP($D461,{"PH","Provincial Hospital (H2)";"DH","District Hospital (H3)";"RH","Regional / National Hospital (H1)"},2,0),
        $D461
      ),
      'Tools &amp; Targets_Guideline'!$C$53:$I$53,
      0
    )
  ),
0))</f>
        <v/>
      </c>
      <c r="Q461" s="102"/>
      <c r="R461" s="119" t="str">
        <f t="array" ref="R461">IF(OR($B461="",$D461=""),"",
IFERROR(
  INDEX(
    'Tools &amp; Targets_Guideline'!$C$54:$I$269,
    MATCH(
      1,
      ('Tools &amp; Targets_Guideline'!$A$54:$A$269=$B461)*
      ('Tools &amp; Targets_Guideline'!$B$54:$B$269="TT"),
      0
    ),
    MATCH(
      _xludf.IFNA(
        VLOOKUP($D461,{"PH","Provincial Hospital (H2)";"DH","District Hospital (H3)";"RH","Regional / National Hospital (H1)"},2,0),
        $D461
      ),
      'Tools &amp; Targets_Guideline'!$C$53:$I$53,
      0
    )
  ),
0))</f>
        <v/>
      </c>
      <c r="S461" s="102"/>
      <c r="T461" s="102"/>
      <c r="U461" s="106"/>
      <c r="V461" s="102" t="str">
        <f t="shared" si="16"/>
        <v/>
      </c>
      <c r="W461" s="102"/>
      <c r="X461" s="102"/>
      <c r="Y461" s="119" t="str">
        <f t="array" ref="Y461">IF(OR($B461="",$D461=""),"",
IFERROR(
  INDEX(
    'Tools &amp; Targets_Guideline'!$C$54:$I$269,
    MATCH(
      1,
      ('Tools &amp; Targets_Guideline'!$A$54:$A$269=$B461)*
      ('Tools &amp; Targets_Guideline'!$B$54:$B$269="GM"),
      0
    ),
    MATCH(
      _xludf.IFNA(
        VLOOKUP($D461,{"PH","Provincial Hospital (H2)";"DH","District Hospital (H3)";"RH","Regional / National Hospital (H1)"},2,0),
        $D461
      ),
      'Tools &amp; Targets_Guideline'!$C$53:$I$53,
      0
    )
  ),
0))</f>
        <v/>
      </c>
      <c r="Z461" s="102"/>
      <c r="AA461" s="119" t="str">
        <f t="array" ref="AA461">IF(OR($B461="",$D461=""),"",
IFERROR(
  INDEX(
    'Tools &amp; Targets_Guideline'!$C$54:$I$269,
    MATCH(
      1,
      ('Tools &amp; Targets_Guideline'!$A$54:$A$269=$B461)*
      ('Tools &amp; Targets_Guideline'!$B$54:$B$269="Penta"),
      0
    ),
    MATCH(
      _xludf.IFNA(
        VLOOKUP($D461,{"PH","Provincial Hospital (H2)";"DH","District Hospital (H3)";"RH","Regional / National Hospital (H1)"},2,0),
        $D461
      ),
      'Tools &amp; Targets_Guideline'!$C$53:$I$53,
      0
    )
  ),
0))</f>
        <v/>
      </c>
      <c r="AB461" s="102"/>
      <c r="AC461" s="119" t="str">
        <f t="array" ref="AC461">IF(OR($B461="",$D461=""),"",
IFERROR(
  INDEX(
    'Tools &amp; Targets_Guideline'!$C$54:$I$269,
    MATCH(
      1,
      ('Tools &amp; Targets_Guideline'!$A$54:$A$269=$B461)*
      ('Tools &amp; Targets_Guideline'!$B$54:$B$269="TB"),
      0
    ),
    MATCH(
      _xludf.IFNA(
        VLOOKUP($D461,{"PH","Provincial Hospital (H2)";"DH","District Hospital (H3)";"RH","Regional / National Hospital (H1)"},2,0),
        $D461
      ),
      'Tools &amp; Targets_Guideline'!$C$53:$I$53,
      0
    )
  ),
0))</f>
        <v/>
      </c>
      <c r="AD461" s="102"/>
      <c r="AE461" s="119" t="str">
        <f t="array" ref="AE461">IF(OR($B461="",$D461=""),"",
IFERROR(
  INDEX(
    'Tools &amp; Targets_Guideline'!$C$54:$I$269,
    MATCH(
      1,
      ('Tools &amp; Targets_Guideline'!$A$54:$A$269=$B461)*
      ('Tools &amp; Targets_Guideline'!$B$54:$B$269="U5 Morbidity"),
      0
    ),
    MATCH(
      _xludf.IFNA(
        VLOOKUP($D461,{"PH","Provincial Hospital (H2)";"DH","District Hospital (H3)";"RH","Regional / National Hospital (H1)"},2,0),
        $D461
      ),
      'Tools &amp; Targets_Guideline'!$C$53:$I$53,
      0
    )
  ),
0))</f>
        <v/>
      </c>
      <c r="AF461" s="102"/>
      <c r="AG461" s="119" t="str">
        <f t="array" ref="AG461">IF(OR($B461="",$D461=""),"",
IFERROR(
  INDEX(
    'Tools &amp; Targets_Guideline'!$C$54:$I$269,
    MATCH(
      1,
      ('Tools &amp; Targets_Guideline'!$A$54:$A$269=$B461)*
      ('Tools &amp; Targets_Guideline'!$B$54:$B$269="C-Section"),
      0
    ),
    MATCH(
      _xludf.IFNA(
        VLOOKUP($D461,{"PH","Provincial Hospital (H2)";"DH","District Hospital (H3)";"RH","Regional / National Hospital (H1)"},2,0),
        $D461
      ),
      'Tools &amp; Targets_Guideline'!$C$53:$I$53,
      0
    )
  ),
0))</f>
        <v/>
      </c>
      <c r="AH461" s="102" t="str">
        <f>IF(A461&lt;&gt;"",COUNTIFS('QA Log'!D:D,A461,'QA Log'!M:M,"QQC",'QA Log'!L:L,"2. Hygiene and Sterilization",'QA Log'!Z:Z,"Approved"),"")</f>
        <v/>
      </c>
      <c r="AI461" s="102"/>
      <c r="AJ461" s="102"/>
      <c r="AK461" s="103" t="str">
        <f t="shared" si="17"/>
        <v/>
      </c>
      <c r="AL461" s="102"/>
      <c r="AM461" s="102"/>
      <c r="AN461" s="102"/>
      <c r="AO461" s="106"/>
      <c r="AP461" s="103"/>
      <c r="AQ461" s="102"/>
      <c r="AR461" s="102"/>
      <c r="AS461" s="102"/>
      <c r="AT461" s="107"/>
      <c r="AU461" s="102" t="str">
        <f t="shared" si="18"/>
        <v/>
      </c>
      <c r="AV461" s="102" t="str">
        <f t="shared" si="19"/>
        <v/>
      </c>
      <c r="AW461" s="102" t="str">
        <f t="shared" si="20"/>
        <v/>
      </c>
      <c r="AX461" s="102" t="str">
        <f t="shared" si="21"/>
        <v/>
      </c>
      <c r="AY461" s="107" t="str">
        <f t="shared" si="22"/>
        <v/>
      </c>
      <c r="AZ461" s="108" t="str">
        <f t="shared" si="23"/>
        <v/>
      </c>
      <c r="BA461" s="108" t="str">
        <f t="shared" si="24"/>
        <v/>
      </c>
      <c r="BB461" s="109" t="str">
        <f t="shared" si="25"/>
        <v/>
      </c>
      <c r="BC461" s="108" t="str">
        <f t="shared" si="26"/>
        <v/>
      </c>
      <c r="BD461" s="108" t="str">
        <f t="shared" si="27"/>
        <v/>
      </c>
      <c r="BE461" s="109" t="str">
        <f t="shared" si="28"/>
        <v/>
      </c>
      <c r="BF461" s="110" t="str">
        <f t="shared" si="29"/>
        <v/>
      </c>
      <c r="BG461" s="111"/>
    </row>
    <row r="462" spans="1:59" ht="12.75">
      <c r="A462" s="101"/>
      <c r="B462" s="102"/>
      <c r="C462" s="102" t="e">
        <f t="array" aca="1" ref="C462" ca="1">_xludf.XLOOKUP(A462,'QA Log'!D:D,'QA Log'!F:F,"")</f>
        <v>#NAME?</v>
      </c>
      <c r="D462" s="102"/>
      <c r="E462" s="102" t="e">
        <f t="array" aca="1" ref="E462" ca="1">_xludf.XLOOKUP(A462,'QA Log'!D:D,'QA Log'!G:G,"")</f>
        <v>#NAME?</v>
      </c>
      <c r="F462" s="103"/>
      <c r="G462" s="104"/>
      <c r="H462" s="104"/>
      <c r="I462" s="103" t="str">
        <f t="shared" si="15"/>
        <v/>
      </c>
      <c r="J462" s="102"/>
      <c r="K462" s="102"/>
      <c r="L462" s="119" t="str">
        <f t="array" ref="L462">IF(OR($B462="",$D462=""),"",
IFERROR(
  INDEX(
    'Tools &amp; Targets_Guideline'!$C$54:$I$269,
    MATCH(
      1,
      ('Tools &amp; Targets_Guideline'!$A$54:$A$269=$B462)*
      ('Tools &amp; Targets_Guideline'!$B$54:$B$269="ANC"),
      0
    ),
    MATCH(
      _xludf.IFNA(
        VLOOKUP($D462,{"PH","Provincial Hospital (H2)";"DH","District Hospital (H3)";"RH","Regional / National Hospital (H1)"},2,0),
        $D462
      ),
      'Tools &amp; Targets_Guideline'!$C$53:$I$53,
      0
    )
  ),
0))</f>
        <v/>
      </c>
      <c r="M462" s="102"/>
      <c r="N462" s="119" t="str">
        <f t="array" ref="N462">IF(OR($B462="",$D462=""),"",
IFERROR(
  INDEX(
    'Tools &amp; Targets_Guideline'!$C$54:$I$269,
    MATCH(
      1,
      ('Tools &amp; Targets_Guideline'!$A$54:$A$269=$B462)*
      ('Tools &amp; Targets_Guideline'!$B$54:$B$269="PNC"),
      0
    ),
    MATCH(
      _xludf.IFNA(
        VLOOKUP($D462,{"PH","Provincial Hospital (H2)";"DH","District Hospital (H3)";"RH","Regional / National Hospital (H1)"},2,0),
        $D462
      ),
      'Tools &amp; Targets_Guideline'!$C$53:$I$53,
      0
    )
  ),
0))</f>
        <v/>
      </c>
      <c r="O462" s="102"/>
      <c r="P462" s="119" t="str">
        <f t="array" ref="P462">IF(OR($B462="",$D462=""),"",
IFERROR(
  INDEX(
    'Tools &amp; Targets_Guideline'!$C$54:$I$269,
    MATCH(
      1,
      ('Tools &amp; Targets_Guideline'!$A$54:$A$269=$B462)*
      ('Tools &amp; Targets_Guideline'!$B$54:$B$269="Delivery"),
      0
    ),
    MATCH(
      _xludf.IFNA(
        VLOOKUP($D462,{"PH","Provincial Hospital (H2)";"DH","District Hospital (H3)";"RH","Regional / National Hospital (H1)"},2,0),
        $D462
      ),
      'Tools &amp; Targets_Guideline'!$C$53:$I$53,
      0
    )
  ),
0))</f>
        <v/>
      </c>
      <c r="Q462" s="102"/>
      <c r="R462" s="119" t="str">
        <f t="array" ref="R462">IF(OR($B462="",$D462=""),"",
IFERROR(
  INDEX(
    'Tools &amp; Targets_Guideline'!$C$54:$I$269,
    MATCH(
      1,
      ('Tools &amp; Targets_Guideline'!$A$54:$A$269=$B462)*
      ('Tools &amp; Targets_Guideline'!$B$54:$B$269="TT"),
      0
    ),
    MATCH(
      _xludf.IFNA(
        VLOOKUP($D462,{"PH","Provincial Hospital (H2)";"DH","District Hospital (H3)";"RH","Regional / National Hospital (H1)"},2,0),
        $D462
      ),
      'Tools &amp; Targets_Guideline'!$C$53:$I$53,
      0
    )
  ),
0))</f>
        <v/>
      </c>
      <c r="S462" s="102"/>
      <c r="T462" s="102"/>
      <c r="U462" s="106"/>
      <c r="V462" s="102" t="str">
        <f t="shared" si="16"/>
        <v/>
      </c>
      <c r="W462" s="102"/>
      <c r="X462" s="102"/>
      <c r="Y462" s="119" t="str">
        <f t="array" ref="Y462">IF(OR($B462="",$D462=""),"",
IFERROR(
  INDEX(
    'Tools &amp; Targets_Guideline'!$C$54:$I$269,
    MATCH(
      1,
      ('Tools &amp; Targets_Guideline'!$A$54:$A$269=$B462)*
      ('Tools &amp; Targets_Guideline'!$B$54:$B$269="GM"),
      0
    ),
    MATCH(
      _xludf.IFNA(
        VLOOKUP($D462,{"PH","Provincial Hospital (H2)";"DH","District Hospital (H3)";"RH","Regional / National Hospital (H1)"},2,0),
        $D462
      ),
      'Tools &amp; Targets_Guideline'!$C$53:$I$53,
      0
    )
  ),
0))</f>
        <v/>
      </c>
      <c r="Z462" s="102"/>
      <c r="AA462" s="119" t="str">
        <f t="array" ref="AA462">IF(OR($B462="",$D462=""),"",
IFERROR(
  INDEX(
    'Tools &amp; Targets_Guideline'!$C$54:$I$269,
    MATCH(
      1,
      ('Tools &amp; Targets_Guideline'!$A$54:$A$269=$B462)*
      ('Tools &amp; Targets_Guideline'!$B$54:$B$269="Penta"),
      0
    ),
    MATCH(
      _xludf.IFNA(
        VLOOKUP($D462,{"PH","Provincial Hospital (H2)";"DH","District Hospital (H3)";"RH","Regional / National Hospital (H1)"},2,0),
        $D462
      ),
      'Tools &amp; Targets_Guideline'!$C$53:$I$53,
      0
    )
  ),
0))</f>
        <v/>
      </c>
      <c r="AB462" s="102"/>
      <c r="AC462" s="119" t="str">
        <f t="array" ref="AC462">IF(OR($B462="",$D462=""),"",
IFERROR(
  INDEX(
    'Tools &amp; Targets_Guideline'!$C$54:$I$269,
    MATCH(
      1,
      ('Tools &amp; Targets_Guideline'!$A$54:$A$269=$B462)*
      ('Tools &amp; Targets_Guideline'!$B$54:$B$269="TB"),
      0
    ),
    MATCH(
      _xludf.IFNA(
        VLOOKUP($D462,{"PH","Provincial Hospital (H2)";"DH","District Hospital (H3)";"RH","Regional / National Hospital (H1)"},2,0),
        $D462
      ),
      'Tools &amp; Targets_Guideline'!$C$53:$I$53,
      0
    )
  ),
0))</f>
        <v/>
      </c>
      <c r="AD462" s="102"/>
      <c r="AE462" s="119" t="str">
        <f t="array" ref="AE462">IF(OR($B462="",$D462=""),"",
IFERROR(
  INDEX(
    'Tools &amp; Targets_Guideline'!$C$54:$I$269,
    MATCH(
      1,
      ('Tools &amp; Targets_Guideline'!$A$54:$A$269=$B462)*
      ('Tools &amp; Targets_Guideline'!$B$54:$B$269="U5 Morbidity"),
      0
    ),
    MATCH(
      _xludf.IFNA(
        VLOOKUP($D462,{"PH","Provincial Hospital (H2)";"DH","District Hospital (H3)";"RH","Regional / National Hospital (H1)"},2,0),
        $D462
      ),
      'Tools &amp; Targets_Guideline'!$C$53:$I$53,
      0
    )
  ),
0))</f>
        <v/>
      </c>
      <c r="AF462" s="102"/>
      <c r="AG462" s="119" t="str">
        <f t="array" ref="AG462">IF(OR($B462="",$D462=""),"",
IFERROR(
  INDEX(
    'Tools &amp; Targets_Guideline'!$C$54:$I$269,
    MATCH(
      1,
      ('Tools &amp; Targets_Guideline'!$A$54:$A$269=$B462)*
      ('Tools &amp; Targets_Guideline'!$B$54:$B$269="C-Section"),
      0
    ),
    MATCH(
      _xludf.IFNA(
        VLOOKUP($D462,{"PH","Provincial Hospital (H2)";"DH","District Hospital (H3)";"RH","Regional / National Hospital (H1)"},2,0),
        $D462
      ),
      'Tools &amp; Targets_Guideline'!$C$53:$I$53,
      0
    )
  ),
0))</f>
        <v/>
      </c>
      <c r="AH462" s="102" t="str">
        <f>IF(A462&lt;&gt;"",COUNTIFS('QA Log'!D:D,A462,'QA Log'!M:M,"QQC",'QA Log'!L:L,"2. Hygiene and Sterilization",'QA Log'!Z:Z,"Approved"),"")</f>
        <v/>
      </c>
      <c r="AI462" s="102"/>
      <c r="AJ462" s="102"/>
      <c r="AK462" s="103" t="str">
        <f t="shared" si="17"/>
        <v/>
      </c>
      <c r="AL462" s="102"/>
      <c r="AM462" s="102"/>
      <c r="AN462" s="102"/>
      <c r="AO462" s="106"/>
      <c r="AP462" s="103"/>
      <c r="AQ462" s="102"/>
      <c r="AR462" s="102"/>
      <c r="AS462" s="102"/>
      <c r="AT462" s="107"/>
      <c r="AU462" s="102" t="str">
        <f t="shared" si="18"/>
        <v/>
      </c>
      <c r="AV462" s="102" t="str">
        <f t="shared" si="19"/>
        <v/>
      </c>
      <c r="AW462" s="102" t="str">
        <f t="shared" si="20"/>
        <v/>
      </c>
      <c r="AX462" s="102" t="str">
        <f t="shared" si="21"/>
        <v/>
      </c>
      <c r="AY462" s="107" t="str">
        <f t="shared" si="22"/>
        <v/>
      </c>
      <c r="AZ462" s="108" t="str">
        <f t="shared" si="23"/>
        <v/>
      </c>
      <c r="BA462" s="108" t="str">
        <f t="shared" si="24"/>
        <v/>
      </c>
      <c r="BB462" s="109" t="str">
        <f t="shared" si="25"/>
        <v/>
      </c>
      <c r="BC462" s="108" t="str">
        <f t="shared" si="26"/>
        <v/>
      </c>
      <c r="BD462" s="108" t="str">
        <f t="shared" si="27"/>
        <v/>
      </c>
      <c r="BE462" s="109" t="str">
        <f t="shared" si="28"/>
        <v/>
      </c>
      <c r="BF462" s="110" t="str">
        <f t="shared" si="29"/>
        <v/>
      </c>
      <c r="BG462" s="111"/>
    </row>
    <row r="463" spans="1:59" ht="12.75">
      <c r="A463" s="101"/>
      <c r="B463" s="102"/>
      <c r="C463" s="102" t="e">
        <f t="array" aca="1" ref="C463" ca="1">_xludf.XLOOKUP(A463,'QA Log'!D:D,'QA Log'!F:F,"")</f>
        <v>#NAME?</v>
      </c>
      <c r="D463" s="102"/>
      <c r="E463" s="102" t="e">
        <f t="array" aca="1" ref="E463" ca="1">_xludf.XLOOKUP(A463,'QA Log'!D:D,'QA Log'!G:G,"")</f>
        <v>#NAME?</v>
      </c>
      <c r="F463" s="103"/>
      <c r="G463" s="104"/>
      <c r="H463" s="104"/>
      <c r="I463" s="103" t="str">
        <f t="shared" si="15"/>
        <v/>
      </c>
      <c r="J463" s="102"/>
      <c r="K463" s="102"/>
      <c r="L463" s="119" t="str">
        <f t="array" ref="L463">IF(OR($B463="",$D463=""),"",
IFERROR(
  INDEX(
    'Tools &amp; Targets_Guideline'!$C$54:$I$269,
    MATCH(
      1,
      ('Tools &amp; Targets_Guideline'!$A$54:$A$269=$B463)*
      ('Tools &amp; Targets_Guideline'!$B$54:$B$269="ANC"),
      0
    ),
    MATCH(
      _xludf.IFNA(
        VLOOKUP($D463,{"PH","Provincial Hospital (H2)";"DH","District Hospital (H3)";"RH","Regional / National Hospital (H1)"},2,0),
        $D463
      ),
      'Tools &amp; Targets_Guideline'!$C$53:$I$53,
      0
    )
  ),
0))</f>
        <v/>
      </c>
      <c r="M463" s="102"/>
      <c r="N463" s="119" t="str">
        <f t="array" ref="N463">IF(OR($B463="",$D463=""),"",
IFERROR(
  INDEX(
    'Tools &amp; Targets_Guideline'!$C$54:$I$269,
    MATCH(
      1,
      ('Tools &amp; Targets_Guideline'!$A$54:$A$269=$B463)*
      ('Tools &amp; Targets_Guideline'!$B$54:$B$269="PNC"),
      0
    ),
    MATCH(
      _xludf.IFNA(
        VLOOKUP($D463,{"PH","Provincial Hospital (H2)";"DH","District Hospital (H3)";"RH","Regional / National Hospital (H1)"},2,0),
        $D463
      ),
      'Tools &amp; Targets_Guideline'!$C$53:$I$53,
      0
    )
  ),
0))</f>
        <v/>
      </c>
      <c r="O463" s="102"/>
      <c r="P463" s="119" t="str">
        <f t="array" ref="P463">IF(OR($B463="",$D463=""),"",
IFERROR(
  INDEX(
    'Tools &amp; Targets_Guideline'!$C$54:$I$269,
    MATCH(
      1,
      ('Tools &amp; Targets_Guideline'!$A$54:$A$269=$B463)*
      ('Tools &amp; Targets_Guideline'!$B$54:$B$269="Delivery"),
      0
    ),
    MATCH(
      _xludf.IFNA(
        VLOOKUP($D463,{"PH","Provincial Hospital (H2)";"DH","District Hospital (H3)";"RH","Regional / National Hospital (H1)"},2,0),
        $D463
      ),
      'Tools &amp; Targets_Guideline'!$C$53:$I$53,
      0
    )
  ),
0))</f>
        <v/>
      </c>
      <c r="Q463" s="102"/>
      <c r="R463" s="119" t="str">
        <f t="array" ref="R463">IF(OR($B463="",$D463=""),"",
IFERROR(
  INDEX(
    'Tools &amp; Targets_Guideline'!$C$54:$I$269,
    MATCH(
      1,
      ('Tools &amp; Targets_Guideline'!$A$54:$A$269=$B463)*
      ('Tools &amp; Targets_Guideline'!$B$54:$B$269="TT"),
      0
    ),
    MATCH(
      _xludf.IFNA(
        VLOOKUP($D463,{"PH","Provincial Hospital (H2)";"DH","District Hospital (H3)";"RH","Regional / National Hospital (H1)"},2,0),
        $D463
      ),
      'Tools &amp; Targets_Guideline'!$C$53:$I$53,
      0
    )
  ),
0))</f>
        <v/>
      </c>
      <c r="S463" s="102"/>
      <c r="T463" s="102"/>
      <c r="U463" s="106"/>
      <c r="V463" s="102" t="str">
        <f t="shared" si="16"/>
        <v/>
      </c>
      <c r="W463" s="102"/>
      <c r="X463" s="102"/>
      <c r="Y463" s="119" t="str">
        <f t="array" ref="Y463">IF(OR($B463="",$D463=""),"",
IFERROR(
  INDEX(
    'Tools &amp; Targets_Guideline'!$C$54:$I$269,
    MATCH(
      1,
      ('Tools &amp; Targets_Guideline'!$A$54:$A$269=$B463)*
      ('Tools &amp; Targets_Guideline'!$B$54:$B$269="GM"),
      0
    ),
    MATCH(
      _xludf.IFNA(
        VLOOKUP($D463,{"PH","Provincial Hospital (H2)";"DH","District Hospital (H3)";"RH","Regional / National Hospital (H1)"},2,0),
        $D463
      ),
      'Tools &amp; Targets_Guideline'!$C$53:$I$53,
      0
    )
  ),
0))</f>
        <v/>
      </c>
      <c r="Z463" s="102"/>
      <c r="AA463" s="119" t="str">
        <f t="array" ref="AA463">IF(OR($B463="",$D463=""),"",
IFERROR(
  INDEX(
    'Tools &amp; Targets_Guideline'!$C$54:$I$269,
    MATCH(
      1,
      ('Tools &amp; Targets_Guideline'!$A$54:$A$269=$B463)*
      ('Tools &amp; Targets_Guideline'!$B$54:$B$269="Penta"),
      0
    ),
    MATCH(
      _xludf.IFNA(
        VLOOKUP($D463,{"PH","Provincial Hospital (H2)";"DH","District Hospital (H3)";"RH","Regional / National Hospital (H1)"},2,0),
        $D463
      ),
      'Tools &amp; Targets_Guideline'!$C$53:$I$53,
      0
    )
  ),
0))</f>
        <v/>
      </c>
      <c r="AB463" s="102"/>
      <c r="AC463" s="119" t="str">
        <f t="array" ref="AC463">IF(OR($B463="",$D463=""),"",
IFERROR(
  INDEX(
    'Tools &amp; Targets_Guideline'!$C$54:$I$269,
    MATCH(
      1,
      ('Tools &amp; Targets_Guideline'!$A$54:$A$269=$B463)*
      ('Tools &amp; Targets_Guideline'!$B$54:$B$269="TB"),
      0
    ),
    MATCH(
      _xludf.IFNA(
        VLOOKUP($D463,{"PH","Provincial Hospital (H2)";"DH","District Hospital (H3)";"RH","Regional / National Hospital (H1)"},2,0),
        $D463
      ),
      'Tools &amp; Targets_Guideline'!$C$53:$I$53,
      0
    )
  ),
0))</f>
        <v/>
      </c>
      <c r="AD463" s="102"/>
      <c r="AE463" s="119" t="str">
        <f t="array" ref="AE463">IF(OR($B463="",$D463=""),"",
IFERROR(
  INDEX(
    'Tools &amp; Targets_Guideline'!$C$54:$I$269,
    MATCH(
      1,
      ('Tools &amp; Targets_Guideline'!$A$54:$A$269=$B463)*
      ('Tools &amp; Targets_Guideline'!$B$54:$B$269="U5 Morbidity"),
      0
    ),
    MATCH(
      _xludf.IFNA(
        VLOOKUP($D463,{"PH","Provincial Hospital (H2)";"DH","District Hospital (H3)";"RH","Regional / National Hospital (H1)"},2,0),
        $D463
      ),
      'Tools &amp; Targets_Guideline'!$C$53:$I$53,
      0
    )
  ),
0))</f>
        <v/>
      </c>
      <c r="AF463" s="102"/>
      <c r="AG463" s="119" t="str">
        <f t="array" ref="AG463">IF(OR($B463="",$D463=""),"",
IFERROR(
  INDEX(
    'Tools &amp; Targets_Guideline'!$C$54:$I$269,
    MATCH(
      1,
      ('Tools &amp; Targets_Guideline'!$A$54:$A$269=$B463)*
      ('Tools &amp; Targets_Guideline'!$B$54:$B$269="C-Section"),
      0
    ),
    MATCH(
      _xludf.IFNA(
        VLOOKUP($D463,{"PH","Provincial Hospital (H2)";"DH","District Hospital (H3)";"RH","Regional / National Hospital (H1)"},2,0),
        $D463
      ),
      'Tools &amp; Targets_Guideline'!$C$53:$I$53,
      0
    )
  ),
0))</f>
        <v/>
      </c>
      <c r="AH463" s="102" t="str">
        <f>IF(A463&lt;&gt;"",COUNTIFS('QA Log'!D:D,A463,'QA Log'!M:M,"QQC",'QA Log'!L:L,"2. Hygiene and Sterilization",'QA Log'!Z:Z,"Approved"),"")</f>
        <v/>
      </c>
      <c r="AI463" s="102"/>
      <c r="AJ463" s="102"/>
      <c r="AK463" s="103" t="str">
        <f t="shared" si="17"/>
        <v/>
      </c>
      <c r="AL463" s="102"/>
      <c r="AM463" s="102"/>
      <c r="AN463" s="102"/>
      <c r="AO463" s="106"/>
      <c r="AP463" s="103"/>
      <c r="AQ463" s="102"/>
      <c r="AR463" s="102"/>
      <c r="AS463" s="102"/>
      <c r="AT463" s="107"/>
      <c r="AU463" s="102" t="str">
        <f t="shared" si="18"/>
        <v/>
      </c>
      <c r="AV463" s="102" t="str">
        <f t="shared" si="19"/>
        <v/>
      </c>
      <c r="AW463" s="102" t="str">
        <f t="shared" si="20"/>
        <v/>
      </c>
      <c r="AX463" s="102" t="str">
        <f t="shared" si="21"/>
        <v/>
      </c>
      <c r="AY463" s="107" t="str">
        <f t="shared" si="22"/>
        <v/>
      </c>
      <c r="AZ463" s="108" t="str">
        <f t="shared" si="23"/>
        <v/>
      </c>
      <c r="BA463" s="108" t="str">
        <f t="shared" si="24"/>
        <v/>
      </c>
      <c r="BB463" s="109" t="str">
        <f t="shared" si="25"/>
        <v/>
      </c>
      <c r="BC463" s="108" t="str">
        <f t="shared" si="26"/>
        <v/>
      </c>
      <c r="BD463" s="108" t="str">
        <f t="shared" si="27"/>
        <v/>
      </c>
      <c r="BE463" s="109" t="str">
        <f t="shared" si="28"/>
        <v/>
      </c>
      <c r="BF463" s="110" t="str">
        <f t="shared" si="29"/>
        <v/>
      </c>
      <c r="BG463" s="111"/>
    </row>
    <row r="464" spans="1:59" ht="12.75">
      <c r="A464" s="101"/>
      <c r="B464" s="102"/>
      <c r="C464" s="102" t="e">
        <f t="array" aca="1" ref="C464" ca="1">_xludf.XLOOKUP(A464,'QA Log'!D:D,'QA Log'!F:F,"")</f>
        <v>#NAME?</v>
      </c>
      <c r="D464" s="102"/>
      <c r="E464" s="102" t="e">
        <f t="array" aca="1" ref="E464" ca="1">_xludf.XLOOKUP(A464,'QA Log'!D:D,'QA Log'!G:G,"")</f>
        <v>#NAME?</v>
      </c>
      <c r="F464" s="103"/>
      <c r="G464" s="104"/>
      <c r="H464" s="104"/>
      <c r="I464" s="103" t="str">
        <f t="shared" si="15"/>
        <v/>
      </c>
      <c r="J464" s="102"/>
      <c r="K464" s="102"/>
      <c r="L464" s="119" t="str">
        <f t="array" ref="L464">IF(OR($B464="",$D464=""),"",
IFERROR(
  INDEX(
    'Tools &amp; Targets_Guideline'!$C$54:$I$269,
    MATCH(
      1,
      ('Tools &amp; Targets_Guideline'!$A$54:$A$269=$B464)*
      ('Tools &amp; Targets_Guideline'!$B$54:$B$269="ANC"),
      0
    ),
    MATCH(
      _xludf.IFNA(
        VLOOKUP($D464,{"PH","Provincial Hospital (H2)";"DH","District Hospital (H3)";"RH","Regional / National Hospital (H1)"},2,0),
        $D464
      ),
      'Tools &amp; Targets_Guideline'!$C$53:$I$53,
      0
    )
  ),
0))</f>
        <v/>
      </c>
      <c r="M464" s="102"/>
      <c r="N464" s="119" t="str">
        <f t="array" ref="N464">IF(OR($B464="",$D464=""),"",
IFERROR(
  INDEX(
    'Tools &amp; Targets_Guideline'!$C$54:$I$269,
    MATCH(
      1,
      ('Tools &amp; Targets_Guideline'!$A$54:$A$269=$B464)*
      ('Tools &amp; Targets_Guideline'!$B$54:$B$269="PNC"),
      0
    ),
    MATCH(
      _xludf.IFNA(
        VLOOKUP($D464,{"PH","Provincial Hospital (H2)";"DH","District Hospital (H3)";"RH","Regional / National Hospital (H1)"},2,0),
        $D464
      ),
      'Tools &amp; Targets_Guideline'!$C$53:$I$53,
      0
    )
  ),
0))</f>
        <v/>
      </c>
      <c r="O464" s="102"/>
      <c r="P464" s="119" t="str">
        <f t="array" ref="P464">IF(OR($B464="",$D464=""),"",
IFERROR(
  INDEX(
    'Tools &amp; Targets_Guideline'!$C$54:$I$269,
    MATCH(
      1,
      ('Tools &amp; Targets_Guideline'!$A$54:$A$269=$B464)*
      ('Tools &amp; Targets_Guideline'!$B$54:$B$269="Delivery"),
      0
    ),
    MATCH(
      _xludf.IFNA(
        VLOOKUP($D464,{"PH","Provincial Hospital (H2)";"DH","District Hospital (H3)";"RH","Regional / National Hospital (H1)"},2,0),
        $D464
      ),
      'Tools &amp; Targets_Guideline'!$C$53:$I$53,
      0
    )
  ),
0))</f>
        <v/>
      </c>
      <c r="Q464" s="102"/>
      <c r="R464" s="119" t="str">
        <f t="array" ref="R464">IF(OR($B464="",$D464=""),"",
IFERROR(
  INDEX(
    'Tools &amp; Targets_Guideline'!$C$54:$I$269,
    MATCH(
      1,
      ('Tools &amp; Targets_Guideline'!$A$54:$A$269=$B464)*
      ('Tools &amp; Targets_Guideline'!$B$54:$B$269="TT"),
      0
    ),
    MATCH(
      _xludf.IFNA(
        VLOOKUP($D464,{"PH","Provincial Hospital (H2)";"DH","District Hospital (H3)";"RH","Regional / National Hospital (H1)"},2,0),
        $D464
      ),
      'Tools &amp; Targets_Guideline'!$C$53:$I$53,
      0
    )
  ),
0))</f>
        <v/>
      </c>
      <c r="S464" s="102"/>
      <c r="T464" s="102"/>
      <c r="U464" s="106"/>
      <c r="V464" s="102" t="str">
        <f t="shared" si="16"/>
        <v/>
      </c>
      <c r="W464" s="102"/>
      <c r="X464" s="102"/>
      <c r="Y464" s="119" t="str">
        <f t="array" ref="Y464">IF(OR($B464="",$D464=""),"",
IFERROR(
  INDEX(
    'Tools &amp; Targets_Guideline'!$C$54:$I$269,
    MATCH(
      1,
      ('Tools &amp; Targets_Guideline'!$A$54:$A$269=$B464)*
      ('Tools &amp; Targets_Guideline'!$B$54:$B$269="GM"),
      0
    ),
    MATCH(
      _xludf.IFNA(
        VLOOKUP($D464,{"PH","Provincial Hospital (H2)";"DH","District Hospital (H3)";"RH","Regional / National Hospital (H1)"},2,0),
        $D464
      ),
      'Tools &amp; Targets_Guideline'!$C$53:$I$53,
      0
    )
  ),
0))</f>
        <v/>
      </c>
      <c r="Z464" s="102"/>
      <c r="AA464" s="119" t="str">
        <f t="array" ref="AA464">IF(OR($B464="",$D464=""),"",
IFERROR(
  INDEX(
    'Tools &amp; Targets_Guideline'!$C$54:$I$269,
    MATCH(
      1,
      ('Tools &amp; Targets_Guideline'!$A$54:$A$269=$B464)*
      ('Tools &amp; Targets_Guideline'!$B$54:$B$269="Penta"),
      0
    ),
    MATCH(
      _xludf.IFNA(
        VLOOKUP($D464,{"PH","Provincial Hospital (H2)";"DH","District Hospital (H3)";"RH","Regional / National Hospital (H1)"},2,0),
        $D464
      ),
      'Tools &amp; Targets_Guideline'!$C$53:$I$53,
      0
    )
  ),
0))</f>
        <v/>
      </c>
      <c r="AB464" s="102"/>
      <c r="AC464" s="119" t="str">
        <f t="array" ref="AC464">IF(OR($B464="",$D464=""),"",
IFERROR(
  INDEX(
    'Tools &amp; Targets_Guideline'!$C$54:$I$269,
    MATCH(
      1,
      ('Tools &amp; Targets_Guideline'!$A$54:$A$269=$B464)*
      ('Tools &amp; Targets_Guideline'!$B$54:$B$269="TB"),
      0
    ),
    MATCH(
      _xludf.IFNA(
        VLOOKUP($D464,{"PH","Provincial Hospital (H2)";"DH","District Hospital (H3)";"RH","Regional / National Hospital (H1)"},2,0),
        $D464
      ),
      'Tools &amp; Targets_Guideline'!$C$53:$I$53,
      0
    )
  ),
0))</f>
        <v/>
      </c>
      <c r="AD464" s="102"/>
      <c r="AE464" s="119" t="str">
        <f t="array" ref="AE464">IF(OR($B464="",$D464=""),"",
IFERROR(
  INDEX(
    'Tools &amp; Targets_Guideline'!$C$54:$I$269,
    MATCH(
      1,
      ('Tools &amp; Targets_Guideline'!$A$54:$A$269=$B464)*
      ('Tools &amp; Targets_Guideline'!$B$54:$B$269="U5 Morbidity"),
      0
    ),
    MATCH(
      _xludf.IFNA(
        VLOOKUP($D464,{"PH","Provincial Hospital (H2)";"DH","District Hospital (H3)";"RH","Regional / National Hospital (H1)"},2,0),
        $D464
      ),
      'Tools &amp; Targets_Guideline'!$C$53:$I$53,
      0
    )
  ),
0))</f>
        <v/>
      </c>
      <c r="AF464" s="102"/>
      <c r="AG464" s="119" t="str">
        <f t="array" ref="AG464">IF(OR($B464="",$D464=""),"",
IFERROR(
  INDEX(
    'Tools &amp; Targets_Guideline'!$C$54:$I$269,
    MATCH(
      1,
      ('Tools &amp; Targets_Guideline'!$A$54:$A$269=$B464)*
      ('Tools &amp; Targets_Guideline'!$B$54:$B$269="C-Section"),
      0
    ),
    MATCH(
      _xludf.IFNA(
        VLOOKUP($D464,{"PH","Provincial Hospital (H2)";"DH","District Hospital (H3)";"RH","Regional / National Hospital (H1)"},2,0),
        $D464
      ),
      'Tools &amp; Targets_Guideline'!$C$53:$I$53,
      0
    )
  ),
0))</f>
        <v/>
      </c>
      <c r="AH464" s="102" t="str">
        <f>IF(A464&lt;&gt;"",COUNTIFS('QA Log'!D:D,A464,'QA Log'!M:M,"QQC",'QA Log'!L:L,"2. Hygiene and Sterilization",'QA Log'!Z:Z,"Approved"),"")</f>
        <v/>
      </c>
      <c r="AI464" s="102"/>
      <c r="AJ464" s="102"/>
      <c r="AK464" s="103" t="str">
        <f t="shared" si="17"/>
        <v/>
      </c>
      <c r="AL464" s="102"/>
      <c r="AM464" s="102"/>
      <c r="AN464" s="102"/>
      <c r="AO464" s="106"/>
      <c r="AP464" s="103"/>
      <c r="AQ464" s="102"/>
      <c r="AR464" s="102"/>
      <c r="AS464" s="102"/>
      <c r="AT464" s="107"/>
      <c r="AU464" s="102" t="str">
        <f t="shared" si="18"/>
        <v/>
      </c>
      <c r="AV464" s="102" t="str">
        <f t="shared" si="19"/>
        <v/>
      </c>
      <c r="AW464" s="102" t="str">
        <f t="shared" si="20"/>
        <v/>
      </c>
      <c r="AX464" s="102" t="str">
        <f t="shared" si="21"/>
        <v/>
      </c>
      <c r="AY464" s="107" t="str">
        <f t="shared" si="22"/>
        <v/>
      </c>
      <c r="AZ464" s="108" t="str">
        <f t="shared" si="23"/>
        <v/>
      </c>
      <c r="BA464" s="108" t="str">
        <f t="shared" si="24"/>
        <v/>
      </c>
      <c r="BB464" s="109" t="str">
        <f t="shared" si="25"/>
        <v/>
      </c>
      <c r="BC464" s="108" t="str">
        <f t="shared" si="26"/>
        <v/>
      </c>
      <c r="BD464" s="108" t="str">
        <f t="shared" si="27"/>
        <v/>
      </c>
      <c r="BE464" s="109" t="str">
        <f t="shared" si="28"/>
        <v/>
      </c>
      <c r="BF464" s="110" t="str">
        <f t="shared" si="29"/>
        <v/>
      </c>
      <c r="BG464" s="111"/>
    </row>
    <row r="465" spans="1:59" ht="12.75">
      <c r="A465" s="101"/>
      <c r="B465" s="102"/>
      <c r="C465" s="102" t="e">
        <f t="array" aca="1" ref="C465" ca="1">_xludf.XLOOKUP(A465,'QA Log'!D:D,'QA Log'!F:F,"")</f>
        <v>#NAME?</v>
      </c>
      <c r="D465" s="102"/>
      <c r="E465" s="102" t="e">
        <f t="array" aca="1" ref="E465" ca="1">_xludf.XLOOKUP(A465,'QA Log'!D:D,'QA Log'!G:G,"")</f>
        <v>#NAME?</v>
      </c>
      <c r="F465" s="103"/>
      <c r="G465" s="104"/>
      <c r="H465" s="104"/>
      <c r="I465" s="103" t="str">
        <f t="shared" si="15"/>
        <v/>
      </c>
      <c r="J465" s="102"/>
      <c r="K465" s="102"/>
      <c r="L465" s="119" t="str">
        <f t="array" ref="L465">IF(OR($B465="",$D465=""),"",
IFERROR(
  INDEX(
    'Tools &amp; Targets_Guideline'!$C$54:$I$269,
    MATCH(
      1,
      ('Tools &amp; Targets_Guideline'!$A$54:$A$269=$B465)*
      ('Tools &amp; Targets_Guideline'!$B$54:$B$269="ANC"),
      0
    ),
    MATCH(
      _xludf.IFNA(
        VLOOKUP($D465,{"PH","Provincial Hospital (H2)";"DH","District Hospital (H3)";"RH","Regional / National Hospital (H1)"},2,0),
        $D465
      ),
      'Tools &amp; Targets_Guideline'!$C$53:$I$53,
      0
    )
  ),
0))</f>
        <v/>
      </c>
      <c r="M465" s="102"/>
      <c r="N465" s="119" t="str">
        <f t="array" ref="N465">IF(OR($B465="",$D465=""),"",
IFERROR(
  INDEX(
    'Tools &amp; Targets_Guideline'!$C$54:$I$269,
    MATCH(
      1,
      ('Tools &amp; Targets_Guideline'!$A$54:$A$269=$B465)*
      ('Tools &amp; Targets_Guideline'!$B$54:$B$269="PNC"),
      0
    ),
    MATCH(
      _xludf.IFNA(
        VLOOKUP($D465,{"PH","Provincial Hospital (H2)";"DH","District Hospital (H3)";"RH","Regional / National Hospital (H1)"},2,0),
        $D465
      ),
      'Tools &amp; Targets_Guideline'!$C$53:$I$53,
      0
    )
  ),
0))</f>
        <v/>
      </c>
      <c r="O465" s="102"/>
      <c r="P465" s="119" t="str">
        <f t="array" ref="P465">IF(OR($B465="",$D465=""),"",
IFERROR(
  INDEX(
    'Tools &amp; Targets_Guideline'!$C$54:$I$269,
    MATCH(
      1,
      ('Tools &amp; Targets_Guideline'!$A$54:$A$269=$B465)*
      ('Tools &amp; Targets_Guideline'!$B$54:$B$269="Delivery"),
      0
    ),
    MATCH(
      _xludf.IFNA(
        VLOOKUP($D465,{"PH","Provincial Hospital (H2)";"DH","District Hospital (H3)";"RH","Regional / National Hospital (H1)"},2,0),
        $D465
      ),
      'Tools &amp; Targets_Guideline'!$C$53:$I$53,
      0
    )
  ),
0))</f>
        <v/>
      </c>
      <c r="Q465" s="102"/>
      <c r="R465" s="119" t="str">
        <f t="array" ref="R465">IF(OR($B465="",$D465=""),"",
IFERROR(
  INDEX(
    'Tools &amp; Targets_Guideline'!$C$54:$I$269,
    MATCH(
      1,
      ('Tools &amp; Targets_Guideline'!$A$54:$A$269=$B465)*
      ('Tools &amp; Targets_Guideline'!$B$54:$B$269="TT"),
      0
    ),
    MATCH(
      _xludf.IFNA(
        VLOOKUP($D465,{"PH","Provincial Hospital (H2)";"DH","District Hospital (H3)";"RH","Regional / National Hospital (H1)"},2,0),
        $D465
      ),
      'Tools &amp; Targets_Guideline'!$C$53:$I$53,
      0
    )
  ),
0))</f>
        <v/>
      </c>
      <c r="S465" s="102"/>
      <c r="T465" s="102"/>
      <c r="U465" s="106"/>
      <c r="V465" s="102" t="str">
        <f t="shared" si="16"/>
        <v/>
      </c>
      <c r="W465" s="102"/>
      <c r="X465" s="102"/>
      <c r="Y465" s="119" t="str">
        <f t="array" ref="Y465">IF(OR($B465="",$D465=""),"",
IFERROR(
  INDEX(
    'Tools &amp; Targets_Guideline'!$C$54:$I$269,
    MATCH(
      1,
      ('Tools &amp; Targets_Guideline'!$A$54:$A$269=$B465)*
      ('Tools &amp; Targets_Guideline'!$B$54:$B$269="GM"),
      0
    ),
    MATCH(
      _xludf.IFNA(
        VLOOKUP($D465,{"PH","Provincial Hospital (H2)";"DH","District Hospital (H3)";"RH","Regional / National Hospital (H1)"},2,0),
        $D465
      ),
      'Tools &amp; Targets_Guideline'!$C$53:$I$53,
      0
    )
  ),
0))</f>
        <v/>
      </c>
      <c r="Z465" s="102"/>
      <c r="AA465" s="119" t="str">
        <f t="array" ref="AA465">IF(OR($B465="",$D465=""),"",
IFERROR(
  INDEX(
    'Tools &amp; Targets_Guideline'!$C$54:$I$269,
    MATCH(
      1,
      ('Tools &amp; Targets_Guideline'!$A$54:$A$269=$B465)*
      ('Tools &amp; Targets_Guideline'!$B$54:$B$269="Penta"),
      0
    ),
    MATCH(
      _xludf.IFNA(
        VLOOKUP($D465,{"PH","Provincial Hospital (H2)";"DH","District Hospital (H3)";"RH","Regional / National Hospital (H1)"},2,0),
        $D465
      ),
      'Tools &amp; Targets_Guideline'!$C$53:$I$53,
      0
    )
  ),
0))</f>
        <v/>
      </c>
      <c r="AB465" s="102"/>
      <c r="AC465" s="119" t="str">
        <f t="array" ref="AC465">IF(OR($B465="",$D465=""),"",
IFERROR(
  INDEX(
    'Tools &amp; Targets_Guideline'!$C$54:$I$269,
    MATCH(
      1,
      ('Tools &amp; Targets_Guideline'!$A$54:$A$269=$B465)*
      ('Tools &amp; Targets_Guideline'!$B$54:$B$269="TB"),
      0
    ),
    MATCH(
      _xludf.IFNA(
        VLOOKUP($D465,{"PH","Provincial Hospital (H2)";"DH","District Hospital (H3)";"RH","Regional / National Hospital (H1)"},2,0),
        $D465
      ),
      'Tools &amp; Targets_Guideline'!$C$53:$I$53,
      0
    )
  ),
0))</f>
        <v/>
      </c>
      <c r="AD465" s="102"/>
      <c r="AE465" s="119" t="str">
        <f t="array" ref="AE465">IF(OR($B465="",$D465=""),"",
IFERROR(
  INDEX(
    'Tools &amp; Targets_Guideline'!$C$54:$I$269,
    MATCH(
      1,
      ('Tools &amp; Targets_Guideline'!$A$54:$A$269=$B465)*
      ('Tools &amp; Targets_Guideline'!$B$54:$B$269="U5 Morbidity"),
      0
    ),
    MATCH(
      _xludf.IFNA(
        VLOOKUP($D465,{"PH","Provincial Hospital (H2)";"DH","District Hospital (H3)";"RH","Regional / National Hospital (H1)"},2,0),
        $D465
      ),
      'Tools &amp; Targets_Guideline'!$C$53:$I$53,
      0
    )
  ),
0))</f>
        <v/>
      </c>
      <c r="AF465" s="102"/>
      <c r="AG465" s="119" t="str">
        <f t="array" ref="AG465">IF(OR($B465="",$D465=""),"",
IFERROR(
  INDEX(
    'Tools &amp; Targets_Guideline'!$C$54:$I$269,
    MATCH(
      1,
      ('Tools &amp; Targets_Guideline'!$A$54:$A$269=$B465)*
      ('Tools &amp; Targets_Guideline'!$B$54:$B$269="C-Section"),
      0
    ),
    MATCH(
      _xludf.IFNA(
        VLOOKUP($D465,{"PH","Provincial Hospital (H2)";"DH","District Hospital (H3)";"RH","Regional / National Hospital (H1)"},2,0),
        $D465
      ),
      'Tools &amp; Targets_Guideline'!$C$53:$I$53,
      0
    )
  ),
0))</f>
        <v/>
      </c>
      <c r="AH465" s="102" t="str">
        <f>IF(A465&lt;&gt;"",COUNTIFS('QA Log'!D:D,A465,'QA Log'!M:M,"QQC",'QA Log'!L:L,"2. Hygiene and Sterilization",'QA Log'!Z:Z,"Approved"),"")</f>
        <v/>
      </c>
      <c r="AI465" s="102"/>
      <c r="AJ465" s="102"/>
      <c r="AK465" s="103" t="str">
        <f t="shared" si="17"/>
        <v/>
      </c>
      <c r="AL465" s="102"/>
      <c r="AM465" s="102"/>
      <c r="AN465" s="102"/>
      <c r="AO465" s="106"/>
      <c r="AP465" s="103"/>
      <c r="AQ465" s="102"/>
      <c r="AR465" s="102"/>
      <c r="AS465" s="102"/>
      <c r="AT465" s="107"/>
      <c r="AU465" s="102" t="str">
        <f t="shared" si="18"/>
        <v/>
      </c>
      <c r="AV465" s="102" t="str">
        <f t="shared" si="19"/>
        <v/>
      </c>
      <c r="AW465" s="102" t="str">
        <f t="shared" si="20"/>
        <v/>
      </c>
      <c r="AX465" s="102" t="str">
        <f t="shared" si="21"/>
        <v/>
      </c>
      <c r="AY465" s="107" t="str">
        <f t="shared" si="22"/>
        <v/>
      </c>
      <c r="AZ465" s="108" t="str">
        <f t="shared" si="23"/>
        <v/>
      </c>
      <c r="BA465" s="108" t="str">
        <f t="shared" si="24"/>
        <v/>
      </c>
      <c r="BB465" s="109" t="str">
        <f t="shared" si="25"/>
        <v/>
      </c>
      <c r="BC465" s="108" t="str">
        <f t="shared" si="26"/>
        <v/>
      </c>
      <c r="BD465" s="108" t="str">
        <f t="shared" si="27"/>
        <v/>
      </c>
      <c r="BE465" s="109" t="str">
        <f t="shared" si="28"/>
        <v/>
      </c>
      <c r="BF465" s="110" t="str">
        <f t="shared" si="29"/>
        <v/>
      </c>
      <c r="BG465" s="111"/>
    </row>
    <row r="466" spans="1:59" ht="12.75">
      <c r="A466" s="101"/>
      <c r="B466" s="102"/>
      <c r="C466" s="102" t="e">
        <f t="array" aca="1" ref="C466" ca="1">_xludf.XLOOKUP(A466,'QA Log'!D:D,'QA Log'!F:F,"")</f>
        <v>#NAME?</v>
      </c>
      <c r="D466" s="102"/>
      <c r="E466" s="102" t="e">
        <f t="array" aca="1" ref="E466" ca="1">_xludf.XLOOKUP(A466,'QA Log'!D:D,'QA Log'!G:G,"")</f>
        <v>#NAME?</v>
      </c>
      <c r="F466" s="103"/>
      <c r="G466" s="104"/>
      <c r="H466" s="104"/>
      <c r="I466" s="103" t="str">
        <f t="shared" si="15"/>
        <v/>
      </c>
      <c r="J466" s="102"/>
      <c r="K466" s="102"/>
      <c r="L466" s="119" t="str">
        <f t="array" ref="L466">IF(OR($B466="",$D466=""),"",
IFERROR(
  INDEX(
    'Tools &amp; Targets_Guideline'!$C$54:$I$269,
    MATCH(
      1,
      ('Tools &amp; Targets_Guideline'!$A$54:$A$269=$B466)*
      ('Tools &amp; Targets_Guideline'!$B$54:$B$269="ANC"),
      0
    ),
    MATCH(
      _xludf.IFNA(
        VLOOKUP($D466,{"PH","Provincial Hospital (H2)";"DH","District Hospital (H3)";"RH","Regional / National Hospital (H1)"},2,0),
        $D466
      ),
      'Tools &amp; Targets_Guideline'!$C$53:$I$53,
      0
    )
  ),
0))</f>
        <v/>
      </c>
      <c r="M466" s="102"/>
      <c r="N466" s="119" t="str">
        <f t="array" ref="N466">IF(OR($B466="",$D466=""),"",
IFERROR(
  INDEX(
    'Tools &amp; Targets_Guideline'!$C$54:$I$269,
    MATCH(
      1,
      ('Tools &amp; Targets_Guideline'!$A$54:$A$269=$B466)*
      ('Tools &amp; Targets_Guideline'!$B$54:$B$269="PNC"),
      0
    ),
    MATCH(
      _xludf.IFNA(
        VLOOKUP($D466,{"PH","Provincial Hospital (H2)";"DH","District Hospital (H3)";"RH","Regional / National Hospital (H1)"},2,0),
        $D466
      ),
      'Tools &amp; Targets_Guideline'!$C$53:$I$53,
      0
    )
  ),
0))</f>
        <v/>
      </c>
      <c r="O466" s="102"/>
      <c r="P466" s="119" t="str">
        <f t="array" ref="P466">IF(OR($B466="",$D466=""),"",
IFERROR(
  INDEX(
    'Tools &amp; Targets_Guideline'!$C$54:$I$269,
    MATCH(
      1,
      ('Tools &amp; Targets_Guideline'!$A$54:$A$269=$B466)*
      ('Tools &amp; Targets_Guideline'!$B$54:$B$269="Delivery"),
      0
    ),
    MATCH(
      _xludf.IFNA(
        VLOOKUP($D466,{"PH","Provincial Hospital (H2)";"DH","District Hospital (H3)";"RH","Regional / National Hospital (H1)"},2,0),
        $D466
      ),
      'Tools &amp; Targets_Guideline'!$C$53:$I$53,
      0
    )
  ),
0))</f>
        <v/>
      </c>
      <c r="Q466" s="102"/>
      <c r="R466" s="119" t="str">
        <f t="array" ref="R466">IF(OR($B466="",$D466=""),"",
IFERROR(
  INDEX(
    'Tools &amp; Targets_Guideline'!$C$54:$I$269,
    MATCH(
      1,
      ('Tools &amp; Targets_Guideline'!$A$54:$A$269=$B466)*
      ('Tools &amp; Targets_Guideline'!$B$54:$B$269="TT"),
      0
    ),
    MATCH(
      _xludf.IFNA(
        VLOOKUP($D466,{"PH","Provincial Hospital (H2)";"DH","District Hospital (H3)";"RH","Regional / National Hospital (H1)"},2,0),
        $D466
      ),
      'Tools &amp; Targets_Guideline'!$C$53:$I$53,
      0
    )
  ),
0))</f>
        <v/>
      </c>
      <c r="S466" s="102"/>
      <c r="T466" s="102"/>
      <c r="U466" s="106"/>
      <c r="V466" s="102" t="str">
        <f t="shared" si="16"/>
        <v/>
      </c>
      <c r="W466" s="102"/>
      <c r="X466" s="102"/>
      <c r="Y466" s="119" t="str">
        <f t="array" ref="Y466">IF(OR($B466="",$D466=""),"",
IFERROR(
  INDEX(
    'Tools &amp; Targets_Guideline'!$C$54:$I$269,
    MATCH(
      1,
      ('Tools &amp; Targets_Guideline'!$A$54:$A$269=$B466)*
      ('Tools &amp; Targets_Guideline'!$B$54:$B$269="GM"),
      0
    ),
    MATCH(
      _xludf.IFNA(
        VLOOKUP($D466,{"PH","Provincial Hospital (H2)";"DH","District Hospital (H3)";"RH","Regional / National Hospital (H1)"},2,0),
        $D466
      ),
      'Tools &amp; Targets_Guideline'!$C$53:$I$53,
      0
    )
  ),
0))</f>
        <v/>
      </c>
      <c r="Z466" s="102"/>
      <c r="AA466" s="119" t="str">
        <f t="array" ref="AA466">IF(OR($B466="",$D466=""),"",
IFERROR(
  INDEX(
    'Tools &amp; Targets_Guideline'!$C$54:$I$269,
    MATCH(
      1,
      ('Tools &amp; Targets_Guideline'!$A$54:$A$269=$B466)*
      ('Tools &amp; Targets_Guideline'!$B$54:$B$269="Penta"),
      0
    ),
    MATCH(
      _xludf.IFNA(
        VLOOKUP($D466,{"PH","Provincial Hospital (H2)";"DH","District Hospital (H3)";"RH","Regional / National Hospital (H1)"},2,0),
        $D466
      ),
      'Tools &amp; Targets_Guideline'!$C$53:$I$53,
      0
    )
  ),
0))</f>
        <v/>
      </c>
      <c r="AB466" s="102"/>
      <c r="AC466" s="119" t="str">
        <f t="array" ref="AC466">IF(OR($B466="",$D466=""),"",
IFERROR(
  INDEX(
    'Tools &amp; Targets_Guideline'!$C$54:$I$269,
    MATCH(
      1,
      ('Tools &amp; Targets_Guideline'!$A$54:$A$269=$B466)*
      ('Tools &amp; Targets_Guideline'!$B$54:$B$269="TB"),
      0
    ),
    MATCH(
      _xludf.IFNA(
        VLOOKUP($D466,{"PH","Provincial Hospital (H2)";"DH","District Hospital (H3)";"RH","Regional / National Hospital (H1)"},2,0),
        $D466
      ),
      'Tools &amp; Targets_Guideline'!$C$53:$I$53,
      0
    )
  ),
0))</f>
        <v/>
      </c>
      <c r="AD466" s="102"/>
      <c r="AE466" s="119" t="str">
        <f t="array" ref="AE466">IF(OR($B466="",$D466=""),"",
IFERROR(
  INDEX(
    'Tools &amp; Targets_Guideline'!$C$54:$I$269,
    MATCH(
      1,
      ('Tools &amp; Targets_Guideline'!$A$54:$A$269=$B466)*
      ('Tools &amp; Targets_Guideline'!$B$54:$B$269="U5 Morbidity"),
      0
    ),
    MATCH(
      _xludf.IFNA(
        VLOOKUP($D466,{"PH","Provincial Hospital (H2)";"DH","District Hospital (H3)";"RH","Regional / National Hospital (H1)"},2,0),
        $D466
      ),
      'Tools &amp; Targets_Guideline'!$C$53:$I$53,
      0
    )
  ),
0))</f>
        <v/>
      </c>
      <c r="AF466" s="102"/>
      <c r="AG466" s="119" t="str">
        <f t="array" ref="AG466">IF(OR($B466="",$D466=""),"",
IFERROR(
  INDEX(
    'Tools &amp; Targets_Guideline'!$C$54:$I$269,
    MATCH(
      1,
      ('Tools &amp; Targets_Guideline'!$A$54:$A$269=$B466)*
      ('Tools &amp; Targets_Guideline'!$B$54:$B$269="C-Section"),
      0
    ),
    MATCH(
      _xludf.IFNA(
        VLOOKUP($D466,{"PH","Provincial Hospital (H2)";"DH","District Hospital (H3)";"RH","Regional / National Hospital (H1)"},2,0),
        $D466
      ),
      'Tools &amp; Targets_Guideline'!$C$53:$I$53,
      0
    )
  ),
0))</f>
        <v/>
      </c>
      <c r="AH466" s="102" t="str">
        <f>IF(A466&lt;&gt;"",COUNTIFS('QA Log'!D:D,A466,'QA Log'!M:M,"QQC",'QA Log'!L:L,"2. Hygiene and Sterilization",'QA Log'!Z:Z,"Approved"),"")</f>
        <v/>
      </c>
      <c r="AI466" s="102"/>
      <c r="AJ466" s="102"/>
      <c r="AK466" s="103" t="str">
        <f t="shared" si="17"/>
        <v/>
      </c>
      <c r="AL466" s="102"/>
      <c r="AM466" s="102"/>
      <c r="AN466" s="102"/>
      <c r="AO466" s="106"/>
      <c r="AP466" s="103"/>
      <c r="AQ466" s="102"/>
      <c r="AR466" s="102"/>
      <c r="AS466" s="102"/>
      <c r="AT466" s="107"/>
      <c r="AU466" s="102" t="str">
        <f t="shared" si="18"/>
        <v/>
      </c>
      <c r="AV466" s="102" t="str">
        <f t="shared" si="19"/>
        <v/>
      </c>
      <c r="AW466" s="102" t="str">
        <f t="shared" si="20"/>
        <v/>
      </c>
      <c r="AX466" s="102" t="str">
        <f t="shared" si="21"/>
        <v/>
      </c>
      <c r="AY466" s="107" t="str">
        <f t="shared" si="22"/>
        <v/>
      </c>
      <c r="AZ466" s="108" t="str">
        <f t="shared" si="23"/>
        <v/>
      </c>
      <c r="BA466" s="108" t="str">
        <f t="shared" si="24"/>
        <v/>
      </c>
      <c r="BB466" s="109" t="str">
        <f t="shared" si="25"/>
        <v/>
      </c>
      <c r="BC466" s="108" t="str">
        <f t="shared" si="26"/>
        <v/>
      </c>
      <c r="BD466" s="108" t="str">
        <f t="shared" si="27"/>
        <v/>
      </c>
      <c r="BE466" s="109" t="str">
        <f t="shared" si="28"/>
        <v/>
      </c>
      <c r="BF466" s="110" t="str">
        <f t="shared" si="29"/>
        <v/>
      </c>
      <c r="BG466" s="111"/>
    </row>
    <row r="467" spans="1:59" ht="12.75">
      <c r="A467" s="101"/>
      <c r="B467" s="102"/>
      <c r="C467" s="102" t="e">
        <f t="array" aca="1" ref="C467" ca="1">_xludf.XLOOKUP(A467,'QA Log'!D:D,'QA Log'!F:F,"")</f>
        <v>#NAME?</v>
      </c>
      <c r="D467" s="102"/>
      <c r="E467" s="102" t="e">
        <f t="array" aca="1" ref="E467" ca="1">_xludf.XLOOKUP(A467,'QA Log'!D:D,'QA Log'!G:G,"")</f>
        <v>#NAME?</v>
      </c>
      <c r="F467" s="103"/>
      <c r="G467" s="104"/>
      <c r="H467" s="104"/>
      <c r="I467" s="103" t="str">
        <f t="shared" si="15"/>
        <v/>
      </c>
      <c r="J467" s="102"/>
      <c r="K467" s="102"/>
      <c r="L467" s="119" t="str">
        <f t="array" ref="L467">IF(OR($B467="",$D467=""),"",
IFERROR(
  INDEX(
    'Tools &amp; Targets_Guideline'!$C$54:$I$269,
    MATCH(
      1,
      ('Tools &amp; Targets_Guideline'!$A$54:$A$269=$B467)*
      ('Tools &amp; Targets_Guideline'!$B$54:$B$269="ANC"),
      0
    ),
    MATCH(
      _xludf.IFNA(
        VLOOKUP($D467,{"PH","Provincial Hospital (H2)";"DH","District Hospital (H3)";"RH","Regional / National Hospital (H1)"},2,0),
        $D467
      ),
      'Tools &amp; Targets_Guideline'!$C$53:$I$53,
      0
    )
  ),
0))</f>
        <v/>
      </c>
      <c r="M467" s="102"/>
      <c r="N467" s="119" t="str">
        <f t="array" ref="N467">IF(OR($B467="",$D467=""),"",
IFERROR(
  INDEX(
    'Tools &amp; Targets_Guideline'!$C$54:$I$269,
    MATCH(
      1,
      ('Tools &amp; Targets_Guideline'!$A$54:$A$269=$B467)*
      ('Tools &amp; Targets_Guideline'!$B$54:$B$269="PNC"),
      0
    ),
    MATCH(
      _xludf.IFNA(
        VLOOKUP($D467,{"PH","Provincial Hospital (H2)";"DH","District Hospital (H3)";"RH","Regional / National Hospital (H1)"},2,0),
        $D467
      ),
      'Tools &amp; Targets_Guideline'!$C$53:$I$53,
      0
    )
  ),
0))</f>
        <v/>
      </c>
      <c r="O467" s="102"/>
      <c r="P467" s="119" t="str">
        <f t="array" ref="P467">IF(OR($B467="",$D467=""),"",
IFERROR(
  INDEX(
    'Tools &amp; Targets_Guideline'!$C$54:$I$269,
    MATCH(
      1,
      ('Tools &amp; Targets_Guideline'!$A$54:$A$269=$B467)*
      ('Tools &amp; Targets_Guideline'!$B$54:$B$269="Delivery"),
      0
    ),
    MATCH(
      _xludf.IFNA(
        VLOOKUP($D467,{"PH","Provincial Hospital (H2)";"DH","District Hospital (H3)";"RH","Regional / National Hospital (H1)"},2,0),
        $D467
      ),
      'Tools &amp; Targets_Guideline'!$C$53:$I$53,
      0
    )
  ),
0))</f>
        <v/>
      </c>
      <c r="Q467" s="102"/>
      <c r="R467" s="119" t="str">
        <f t="array" ref="R467">IF(OR($B467="",$D467=""),"",
IFERROR(
  INDEX(
    'Tools &amp; Targets_Guideline'!$C$54:$I$269,
    MATCH(
      1,
      ('Tools &amp; Targets_Guideline'!$A$54:$A$269=$B467)*
      ('Tools &amp; Targets_Guideline'!$B$54:$B$269="TT"),
      0
    ),
    MATCH(
      _xludf.IFNA(
        VLOOKUP($D467,{"PH","Provincial Hospital (H2)";"DH","District Hospital (H3)";"RH","Regional / National Hospital (H1)"},2,0),
        $D467
      ),
      'Tools &amp; Targets_Guideline'!$C$53:$I$53,
      0
    )
  ),
0))</f>
        <v/>
      </c>
      <c r="S467" s="102"/>
      <c r="T467" s="102"/>
      <c r="U467" s="106"/>
      <c r="V467" s="102" t="str">
        <f t="shared" si="16"/>
        <v/>
      </c>
      <c r="W467" s="102"/>
      <c r="X467" s="102"/>
      <c r="Y467" s="119" t="str">
        <f t="array" ref="Y467">IF(OR($B467="",$D467=""),"",
IFERROR(
  INDEX(
    'Tools &amp; Targets_Guideline'!$C$54:$I$269,
    MATCH(
      1,
      ('Tools &amp; Targets_Guideline'!$A$54:$A$269=$B467)*
      ('Tools &amp; Targets_Guideline'!$B$54:$B$269="GM"),
      0
    ),
    MATCH(
      _xludf.IFNA(
        VLOOKUP($D467,{"PH","Provincial Hospital (H2)";"DH","District Hospital (H3)";"RH","Regional / National Hospital (H1)"},2,0),
        $D467
      ),
      'Tools &amp; Targets_Guideline'!$C$53:$I$53,
      0
    )
  ),
0))</f>
        <v/>
      </c>
      <c r="Z467" s="102"/>
      <c r="AA467" s="119" t="str">
        <f t="array" ref="AA467">IF(OR($B467="",$D467=""),"",
IFERROR(
  INDEX(
    'Tools &amp; Targets_Guideline'!$C$54:$I$269,
    MATCH(
      1,
      ('Tools &amp; Targets_Guideline'!$A$54:$A$269=$B467)*
      ('Tools &amp; Targets_Guideline'!$B$54:$B$269="Penta"),
      0
    ),
    MATCH(
      _xludf.IFNA(
        VLOOKUP($D467,{"PH","Provincial Hospital (H2)";"DH","District Hospital (H3)";"RH","Regional / National Hospital (H1)"},2,0),
        $D467
      ),
      'Tools &amp; Targets_Guideline'!$C$53:$I$53,
      0
    )
  ),
0))</f>
        <v/>
      </c>
      <c r="AB467" s="102"/>
      <c r="AC467" s="119" t="str">
        <f t="array" ref="AC467">IF(OR($B467="",$D467=""),"",
IFERROR(
  INDEX(
    'Tools &amp; Targets_Guideline'!$C$54:$I$269,
    MATCH(
      1,
      ('Tools &amp; Targets_Guideline'!$A$54:$A$269=$B467)*
      ('Tools &amp; Targets_Guideline'!$B$54:$B$269="TB"),
      0
    ),
    MATCH(
      _xludf.IFNA(
        VLOOKUP($D467,{"PH","Provincial Hospital (H2)";"DH","District Hospital (H3)";"RH","Regional / National Hospital (H1)"},2,0),
        $D467
      ),
      'Tools &amp; Targets_Guideline'!$C$53:$I$53,
      0
    )
  ),
0))</f>
        <v/>
      </c>
      <c r="AD467" s="102"/>
      <c r="AE467" s="119" t="str">
        <f t="array" ref="AE467">IF(OR($B467="",$D467=""),"",
IFERROR(
  INDEX(
    'Tools &amp; Targets_Guideline'!$C$54:$I$269,
    MATCH(
      1,
      ('Tools &amp; Targets_Guideline'!$A$54:$A$269=$B467)*
      ('Tools &amp; Targets_Guideline'!$B$54:$B$269="U5 Morbidity"),
      0
    ),
    MATCH(
      _xludf.IFNA(
        VLOOKUP($D467,{"PH","Provincial Hospital (H2)";"DH","District Hospital (H3)";"RH","Regional / National Hospital (H1)"},2,0),
        $D467
      ),
      'Tools &amp; Targets_Guideline'!$C$53:$I$53,
      0
    )
  ),
0))</f>
        <v/>
      </c>
      <c r="AF467" s="102"/>
      <c r="AG467" s="119" t="str">
        <f t="array" ref="AG467">IF(OR($B467="",$D467=""),"",
IFERROR(
  INDEX(
    'Tools &amp; Targets_Guideline'!$C$54:$I$269,
    MATCH(
      1,
      ('Tools &amp; Targets_Guideline'!$A$54:$A$269=$B467)*
      ('Tools &amp; Targets_Guideline'!$B$54:$B$269="C-Section"),
      0
    ),
    MATCH(
      _xludf.IFNA(
        VLOOKUP($D467,{"PH","Provincial Hospital (H2)";"DH","District Hospital (H3)";"RH","Regional / National Hospital (H1)"},2,0),
        $D467
      ),
      'Tools &amp; Targets_Guideline'!$C$53:$I$53,
      0
    )
  ),
0))</f>
        <v/>
      </c>
      <c r="AH467" s="102" t="str">
        <f>IF(A467&lt;&gt;"",COUNTIFS('QA Log'!D:D,A467,'QA Log'!M:M,"QQC",'QA Log'!L:L,"2. Hygiene and Sterilization",'QA Log'!Z:Z,"Approved"),"")</f>
        <v/>
      </c>
      <c r="AI467" s="102"/>
      <c r="AJ467" s="102"/>
      <c r="AK467" s="103" t="str">
        <f t="shared" si="17"/>
        <v/>
      </c>
      <c r="AL467" s="102"/>
      <c r="AM467" s="102"/>
      <c r="AN467" s="102"/>
      <c r="AO467" s="106"/>
      <c r="AP467" s="103"/>
      <c r="AQ467" s="102"/>
      <c r="AR467" s="102"/>
      <c r="AS467" s="102"/>
      <c r="AT467" s="107"/>
      <c r="AU467" s="102" t="str">
        <f t="shared" si="18"/>
        <v/>
      </c>
      <c r="AV467" s="102" t="str">
        <f t="shared" si="19"/>
        <v/>
      </c>
      <c r="AW467" s="102" t="str">
        <f t="shared" si="20"/>
        <v/>
      </c>
      <c r="AX467" s="102" t="str">
        <f t="shared" si="21"/>
        <v/>
      </c>
      <c r="AY467" s="107" t="str">
        <f t="shared" si="22"/>
        <v/>
      </c>
      <c r="AZ467" s="108" t="str">
        <f t="shared" si="23"/>
        <v/>
      </c>
      <c r="BA467" s="108" t="str">
        <f t="shared" si="24"/>
        <v/>
      </c>
      <c r="BB467" s="109" t="str">
        <f t="shared" si="25"/>
        <v/>
      </c>
      <c r="BC467" s="108" t="str">
        <f t="shared" si="26"/>
        <v/>
      </c>
      <c r="BD467" s="108" t="str">
        <f t="shared" si="27"/>
        <v/>
      </c>
      <c r="BE467" s="109" t="str">
        <f t="shared" si="28"/>
        <v/>
      </c>
      <c r="BF467" s="110" t="str">
        <f t="shared" si="29"/>
        <v/>
      </c>
      <c r="BG467" s="111"/>
    </row>
    <row r="468" spans="1:59" ht="12.75">
      <c r="A468" s="101"/>
      <c r="B468" s="102"/>
      <c r="C468" s="102" t="e">
        <f t="array" aca="1" ref="C468" ca="1">_xludf.XLOOKUP(A468,'QA Log'!D:D,'QA Log'!F:F,"")</f>
        <v>#NAME?</v>
      </c>
      <c r="D468" s="102"/>
      <c r="E468" s="102" t="e">
        <f t="array" aca="1" ref="E468" ca="1">_xludf.XLOOKUP(A468,'QA Log'!D:D,'QA Log'!G:G,"")</f>
        <v>#NAME?</v>
      </c>
      <c r="F468" s="103"/>
      <c r="G468" s="104"/>
      <c r="H468" s="104"/>
      <c r="I468" s="103" t="str">
        <f t="shared" si="15"/>
        <v/>
      </c>
      <c r="J468" s="102"/>
      <c r="K468" s="102"/>
      <c r="L468" s="119" t="str">
        <f t="array" ref="L468">IF(OR($B468="",$D468=""),"",
IFERROR(
  INDEX(
    'Tools &amp; Targets_Guideline'!$C$54:$I$269,
    MATCH(
      1,
      ('Tools &amp; Targets_Guideline'!$A$54:$A$269=$B468)*
      ('Tools &amp; Targets_Guideline'!$B$54:$B$269="ANC"),
      0
    ),
    MATCH(
      _xludf.IFNA(
        VLOOKUP($D468,{"PH","Provincial Hospital (H2)";"DH","District Hospital (H3)";"RH","Regional / National Hospital (H1)"},2,0),
        $D468
      ),
      'Tools &amp; Targets_Guideline'!$C$53:$I$53,
      0
    )
  ),
0))</f>
        <v/>
      </c>
      <c r="M468" s="102"/>
      <c r="N468" s="119" t="str">
        <f t="array" ref="N468">IF(OR($B468="",$D468=""),"",
IFERROR(
  INDEX(
    'Tools &amp; Targets_Guideline'!$C$54:$I$269,
    MATCH(
      1,
      ('Tools &amp; Targets_Guideline'!$A$54:$A$269=$B468)*
      ('Tools &amp; Targets_Guideline'!$B$54:$B$269="PNC"),
      0
    ),
    MATCH(
      _xludf.IFNA(
        VLOOKUP($D468,{"PH","Provincial Hospital (H2)";"DH","District Hospital (H3)";"RH","Regional / National Hospital (H1)"},2,0),
        $D468
      ),
      'Tools &amp; Targets_Guideline'!$C$53:$I$53,
      0
    )
  ),
0))</f>
        <v/>
      </c>
      <c r="O468" s="102"/>
      <c r="P468" s="119" t="str">
        <f t="array" ref="P468">IF(OR($B468="",$D468=""),"",
IFERROR(
  INDEX(
    'Tools &amp; Targets_Guideline'!$C$54:$I$269,
    MATCH(
      1,
      ('Tools &amp; Targets_Guideline'!$A$54:$A$269=$B468)*
      ('Tools &amp; Targets_Guideline'!$B$54:$B$269="Delivery"),
      0
    ),
    MATCH(
      _xludf.IFNA(
        VLOOKUP($D468,{"PH","Provincial Hospital (H2)";"DH","District Hospital (H3)";"RH","Regional / National Hospital (H1)"},2,0),
        $D468
      ),
      'Tools &amp; Targets_Guideline'!$C$53:$I$53,
      0
    )
  ),
0))</f>
        <v/>
      </c>
      <c r="Q468" s="102"/>
      <c r="R468" s="119" t="str">
        <f t="array" ref="R468">IF(OR($B468="",$D468=""),"",
IFERROR(
  INDEX(
    'Tools &amp; Targets_Guideline'!$C$54:$I$269,
    MATCH(
      1,
      ('Tools &amp; Targets_Guideline'!$A$54:$A$269=$B468)*
      ('Tools &amp; Targets_Guideline'!$B$54:$B$269="TT"),
      0
    ),
    MATCH(
      _xludf.IFNA(
        VLOOKUP($D468,{"PH","Provincial Hospital (H2)";"DH","District Hospital (H3)";"RH","Regional / National Hospital (H1)"},2,0),
        $D468
      ),
      'Tools &amp; Targets_Guideline'!$C$53:$I$53,
      0
    )
  ),
0))</f>
        <v/>
      </c>
      <c r="S468" s="102"/>
      <c r="T468" s="102"/>
      <c r="U468" s="106"/>
      <c r="V468" s="102" t="str">
        <f t="shared" si="16"/>
        <v/>
      </c>
      <c r="W468" s="102"/>
      <c r="X468" s="102"/>
      <c r="Y468" s="119" t="str">
        <f t="array" ref="Y468">IF(OR($B468="",$D468=""),"",
IFERROR(
  INDEX(
    'Tools &amp; Targets_Guideline'!$C$54:$I$269,
    MATCH(
      1,
      ('Tools &amp; Targets_Guideline'!$A$54:$A$269=$B468)*
      ('Tools &amp; Targets_Guideline'!$B$54:$B$269="GM"),
      0
    ),
    MATCH(
      _xludf.IFNA(
        VLOOKUP($D468,{"PH","Provincial Hospital (H2)";"DH","District Hospital (H3)";"RH","Regional / National Hospital (H1)"},2,0),
        $D468
      ),
      'Tools &amp; Targets_Guideline'!$C$53:$I$53,
      0
    )
  ),
0))</f>
        <v/>
      </c>
      <c r="Z468" s="102"/>
      <c r="AA468" s="119" t="str">
        <f t="array" ref="AA468">IF(OR($B468="",$D468=""),"",
IFERROR(
  INDEX(
    'Tools &amp; Targets_Guideline'!$C$54:$I$269,
    MATCH(
      1,
      ('Tools &amp; Targets_Guideline'!$A$54:$A$269=$B468)*
      ('Tools &amp; Targets_Guideline'!$B$54:$B$269="Penta"),
      0
    ),
    MATCH(
      _xludf.IFNA(
        VLOOKUP($D468,{"PH","Provincial Hospital (H2)";"DH","District Hospital (H3)";"RH","Regional / National Hospital (H1)"},2,0),
        $D468
      ),
      'Tools &amp; Targets_Guideline'!$C$53:$I$53,
      0
    )
  ),
0))</f>
        <v/>
      </c>
      <c r="AB468" s="102"/>
      <c r="AC468" s="119" t="str">
        <f t="array" ref="AC468">IF(OR($B468="",$D468=""),"",
IFERROR(
  INDEX(
    'Tools &amp; Targets_Guideline'!$C$54:$I$269,
    MATCH(
      1,
      ('Tools &amp; Targets_Guideline'!$A$54:$A$269=$B468)*
      ('Tools &amp; Targets_Guideline'!$B$54:$B$269="TB"),
      0
    ),
    MATCH(
      _xludf.IFNA(
        VLOOKUP($D468,{"PH","Provincial Hospital (H2)";"DH","District Hospital (H3)";"RH","Regional / National Hospital (H1)"},2,0),
        $D468
      ),
      'Tools &amp; Targets_Guideline'!$C$53:$I$53,
      0
    )
  ),
0))</f>
        <v/>
      </c>
      <c r="AD468" s="102"/>
      <c r="AE468" s="119" t="str">
        <f t="array" ref="AE468">IF(OR($B468="",$D468=""),"",
IFERROR(
  INDEX(
    'Tools &amp; Targets_Guideline'!$C$54:$I$269,
    MATCH(
      1,
      ('Tools &amp; Targets_Guideline'!$A$54:$A$269=$B468)*
      ('Tools &amp; Targets_Guideline'!$B$54:$B$269="U5 Morbidity"),
      0
    ),
    MATCH(
      _xludf.IFNA(
        VLOOKUP($D468,{"PH","Provincial Hospital (H2)";"DH","District Hospital (H3)";"RH","Regional / National Hospital (H1)"},2,0),
        $D468
      ),
      'Tools &amp; Targets_Guideline'!$C$53:$I$53,
      0
    )
  ),
0))</f>
        <v/>
      </c>
      <c r="AF468" s="102"/>
      <c r="AG468" s="119" t="str">
        <f t="array" ref="AG468">IF(OR($B468="",$D468=""),"",
IFERROR(
  INDEX(
    'Tools &amp; Targets_Guideline'!$C$54:$I$269,
    MATCH(
      1,
      ('Tools &amp; Targets_Guideline'!$A$54:$A$269=$B468)*
      ('Tools &amp; Targets_Guideline'!$B$54:$B$269="C-Section"),
      0
    ),
    MATCH(
      _xludf.IFNA(
        VLOOKUP($D468,{"PH","Provincial Hospital (H2)";"DH","District Hospital (H3)";"RH","Regional / National Hospital (H1)"},2,0),
        $D468
      ),
      'Tools &amp; Targets_Guideline'!$C$53:$I$53,
      0
    )
  ),
0))</f>
        <v/>
      </c>
      <c r="AH468" s="102" t="str">
        <f>IF(A468&lt;&gt;"",COUNTIFS('QA Log'!D:D,A468,'QA Log'!M:M,"QQC",'QA Log'!L:L,"2. Hygiene and Sterilization",'QA Log'!Z:Z,"Approved"),"")</f>
        <v/>
      </c>
      <c r="AI468" s="102"/>
      <c r="AJ468" s="102"/>
      <c r="AK468" s="103" t="str">
        <f t="shared" si="17"/>
        <v/>
      </c>
      <c r="AL468" s="102"/>
      <c r="AM468" s="102"/>
      <c r="AN468" s="102"/>
      <c r="AO468" s="106"/>
      <c r="AP468" s="103"/>
      <c r="AQ468" s="102"/>
      <c r="AR468" s="102"/>
      <c r="AS468" s="102"/>
      <c r="AT468" s="107"/>
      <c r="AU468" s="102" t="str">
        <f t="shared" si="18"/>
        <v/>
      </c>
      <c r="AV468" s="102" t="str">
        <f t="shared" si="19"/>
        <v/>
      </c>
      <c r="AW468" s="102" t="str">
        <f t="shared" si="20"/>
        <v/>
      </c>
      <c r="AX468" s="102" t="str">
        <f t="shared" si="21"/>
        <v/>
      </c>
      <c r="AY468" s="107" t="str">
        <f t="shared" si="22"/>
        <v/>
      </c>
      <c r="AZ468" s="108" t="str">
        <f t="shared" si="23"/>
        <v/>
      </c>
      <c r="BA468" s="108" t="str">
        <f t="shared" si="24"/>
        <v/>
      </c>
      <c r="BB468" s="109" t="str">
        <f t="shared" si="25"/>
        <v/>
      </c>
      <c r="BC468" s="108" t="str">
        <f t="shared" si="26"/>
        <v/>
      </c>
      <c r="BD468" s="108" t="str">
        <f t="shared" si="27"/>
        <v/>
      </c>
      <c r="BE468" s="109" t="str">
        <f t="shared" si="28"/>
        <v/>
      </c>
      <c r="BF468" s="110" t="str">
        <f t="shared" si="29"/>
        <v/>
      </c>
      <c r="BG468" s="111"/>
    </row>
    <row r="469" spans="1:59" ht="12.75">
      <c r="A469" s="101"/>
      <c r="B469" s="102"/>
      <c r="C469" s="102" t="e">
        <f t="array" aca="1" ref="C469" ca="1">_xludf.XLOOKUP(A469,'QA Log'!D:D,'QA Log'!F:F,"")</f>
        <v>#NAME?</v>
      </c>
      <c r="D469" s="102"/>
      <c r="E469" s="102" t="e">
        <f t="array" aca="1" ref="E469" ca="1">_xludf.XLOOKUP(A469,'QA Log'!D:D,'QA Log'!G:G,"")</f>
        <v>#NAME?</v>
      </c>
      <c r="F469" s="103"/>
      <c r="G469" s="104"/>
      <c r="H469" s="104"/>
      <c r="I469" s="103" t="str">
        <f t="shared" si="15"/>
        <v/>
      </c>
      <c r="J469" s="102"/>
      <c r="K469" s="102"/>
      <c r="L469" s="119" t="str">
        <f t="array" ref="L469">IF(OR($B469="",$D469=""),"",
IFERROR(
  INDEX(
    'Tools &amp; Targets_Guideline'!$C$54:$I$269,
    MATCH(
      1,
      ('Tools &amp; Targets_Guideline'!$A$54:$A$269=$B469)*
      ('Tools &amp; Targets_Guideline'!$B$54:$B$269="ANC"),
      0
    ),
    MATCH(
      _xludf.IFNA(
        VLOOKUP($D469,{"PH","Provincial Hospital (H2)";"DH","District Hospital (H3)";"RH","Regional / National Hospital (H1)"},2,0),
        $D469
      ),
      'Tools &amp; Targets_Guideline'!$C$53:$I$53,
      0
    )
  ),
0))</f>
        <v/>
      </c>
      <c r="M469" s="102"/>
      <c r="N469" s="119" t="str">
        <f t="array" ref="N469">IF(OR($B469="",$D469=""),"",
IFERROR(
  INDEX(
    'Tools &amp; Targets_Guideline'!$C$54:$I$269,
    MATCH(
      1,
      ('Tools &amp; Targets_Guideline'!$A$54:$A$269=$B469)*
      ('Tools &amp; Targets_Guideline'!$B$54:$B$269="PNC"),
      0
    ),
    MATCH(
      _xludf.IFNA(
        VLOOKUP($D469,{"PH","Provincial Hospital (H2)";"DH","District Hospital (H3)";"RH","Regional / National Hospital (H1)"},2,0),
        $D469
      ),
      'Tools &amp; Targets_Guideline'!$C$53:$I$53,
      0
    )
  ),
0))</f>
        <v/>
      </c>
      <c r="O469" s="102"/>
      <c r="P469" s="119" t="str">
        <f t="array" ref="P469">IF(OR($B469="",$D469=""),"",
IFERROR(
  INDEX(
    'Tools &amp; Targets_Guideline'!$C$54:$I$269,
    MATCH(
      1,
      ('Tools &amp; Targets_Guideline'!$A$54:$A$269=$B469)*
      ('Tools &amp; Targets_Guideline'!$B$54:$B$269="Delivery"),
      0
    ),
    MATCH(
      _xludf.IFNA(
        VLOOKUP($D469,{"PH","Provincial Hospital (H2)";"DH","District Hospital (H3)";"RH","Regional / National Hospital (H1)"},2,0),
        $D469
      ),
      'Tools &amp; Targets_Guideline'!$C$53:$I$53,
      0
    )
  ),
0))</f>
        <v/>
      </c>
      <c r="Q469" s="102"/>
      <c r="R469" s="119" t="str">
        <f t="array" ref="R469">IF(OR($B469="",$D469=""),"",
IFERROR(
  INDEX(
    'Tools &amp; Targets_Guideline'!$C$54:$I$269,
    MATCH(
      1,
      ('Tools &amp; Targets_Guideline'!$A$54:$A$269=$B469)*
      ('Tools &amp; Targets_Guideline'!$B$54:$B$269="TT"),
      0
    ),
    MATCH(
      _xludf.IFNA(
        VLOOKUP($D469,{"PH","Provincial Hospital (H2)";"DH","District Hospital (H3)";"RH","Regional / National Hospital (H1)"},2,0),
        $D469
      ),
      'Tools &amp; Targets_Guideline'!$C$53:$I$53,
      0
    )
  ),
0))</f>
        <v/>
      </c>
      <c r="S469" s="102"/>
      <c r="T469" s="102"/>
      <c r="U469" s="106"/>
      <c r="V469" s="102" t="str">
        <f t="shared" si="16"/>
        <v/>
      </c>
      <c r="W469" s="102"/>
      <c r="X469" s="102"/>
      <c r="Y469" s="119" t="str">
        <f t="array" ref="Y469">IF(OR($B469="",$D469=""),"",
IFERROR(
  INDEX(
    'Tools &amp; Targets_Guideline'!$C$54:$I$269,
    MATCH(
      1,
      ('Tools &amp; Targets_Guideline'!$A$54:$A$269=$B469)*
      ('Tools &amp; Targets_Guideline'!$B$54:$B$269="GM"),
      0
    ),
    MATCH(
      _xludf.IFNA(
        VLOOKUP($D469,{"PH","Provincial Hospital (H2)";"DH","District Hospital (H3)";"RH","Regional / National Hospital (H1)"},2,0),
        $D469
      ),
      'Tools &amp; Targets_Guideline'!$C$53:$I$53,
      0
    )
  ),
0))</f>
        <v/>
      </c>
      <c r="Z469" s="102"/>
      <c r="AA469" s="119" t="str">
        <f t="array" ref="AA469">IF(OR($B469="",$D469=""),"",
IFERROR(
  INDEX(
    'Tools &amp; Targets_Guideline'!$C$54:$I$269,
    MATCH(
      1,
      ('Tools &amp; Targets_Guideline'!$A$54:$A$269=$B469)*
      ('Tools &amp; Targets_Guideline'!$B$54:$B$269="Penta"),
      0
    ),
    MATCH(
      _xludf.IFNA(
        VLOOKUP($D469,{"PH","Provincial Hospital (H2)";"DH","District Hospital (H3)";"RH","Regional / National Hospital (H1)"},2,0),
        $D469
      ),
      'Tools &amp; Targets_Guideline'!$C$53:$I$53,
      0
    )
  ),
0))</f>
        <v/>
      </c>
      <c r="AB469" s="102"/>
      <c r="AC469" s="119" t="str">
        <f t="array" ref="AC469">IF(OR($B469="",$D469=""),"",
IFERROR(
  INDEX(
    'Tools &amp; Targets_Guideline'!$C$54:$I$269,
    MATCH(
      1,
      ('Tools &amp; Targets_Guideline'!$A$54:$A$269=$B469)*
      ('Tools &amp; Targets_Guideline'!$B$54:$B$269="TB"),
      0
    ),
    MATCH(
      _xludf.IFNA(
        VLOOKUP($D469,{"PH","Provincial Hospital (H2)";"DH","District Hospital (H3)";"RH","Regional / National Hospital (H1)"},2,0),
        $D469
      ),
      'Tools &amp; Targets_Guideline'!$C$53:$I$53,
      0
    )
  ),
0))</f>
        <v/>
      </c>
      <c r="AD469" s="102"/>
      <c r="AE469" s="119" t="str">
        <f t="array" ref="AE469">IF(OR($B469="",$D469=""),"",
IFERROR(
  INDEX(
    'Tools &amp; Targets_Guideline'!$C$54:$I$269,
    MATCH(
      1,
      ('Tools &amp; Targets_Guideline'!$A$54:$A$269=$B469)*
      ('Tools &amp; Targets_Guideline'!$B$54:$B$269="U5 Morbidity"),
      0
    ),
    MATCH(
      _xludf.IFNA(
        VLOOKUP($D469,{"PH","Provincial Hospital (H2)";"DH","District Hospital (H3)";"RH","Regional / National Hospital (H1)"},2,0),
        $D469
      ),
      'Tools &amp; Targets_Guideline'!$C$53:$I$53,
      0
    )
  ),
0))</f>
        <v/>
      </c>
      <c r="AF469" s="102"/>
      <c r="AG469" s="119" t="str">
        <f t="array" ref="AG469">IF(OR($B469="",$D469=""),"",
IFERROR(
  INDEX(
    'Tools &amp; Targets_Guideline'!$C$54:$I$269,
    MATCH(
      1,
      ('Tools &amp; Targets_Guideline'!$A$54:$A$269=$B469)*
      ('Tools &amp; Targets_Guideline'!$B$54:$B$269="C-Section"),
      0
    ),
    MATCH(
      _xludf.IFNA(
        VLOOKUP($D469,{"PH","Provincial Hospital (H2)";"DH","District Hospital (H3)";"RH","Regional / National Hospital (H1)"},2,0),
        $D469
      ),
      'Tools &amp; Targets_Guideline'!$C$53:$I$53,
      0
    )
  ),
0))</f>
        <v/>
      </c>
      <c r="AH469" s="102" t="str">
        <f>IF(A469&lt;&gt;"",COUNTIFS('QA Log'!D:D,A469,'QA Log'!M:M,"QQC",'QA Log'!L:L,"2. Hygiene and Sterilization",'QA Log'!Z:Z,"Approved"),"")</f>
        <v/>
      </c>
      <c r="AI469" s="102"/>
      <c r="AJ469" s="102"/>
      <c r="AK469" s="103" t="str">
        <f t="shared" si="17"/>
        <v/>
      </c>
      <c r="AL469" s="102"/>
      <c r="AM469" s="102"/>
      <c r="AN469" s="102"/>
      <c r="AO469" s="106"/>
      <c r="AP469" s="103"/>
      <c r="AQ469" s="102"/>
      <c r="AR469" s="102"/>
      <c r="AS469" s="102"/>
      <c r="AT469" s="107"/>
      <c r="AU469" s="102" t="str">
        <f t="shared" si="18"/>
        <v/>
      </c>
      <c r="AV469" s="102" t="str">
        <f t="shared" si="19"/>
        <v/>
      </c>
      <c r="AW469" s="102" t="str">
        <f t="shared" si="20"/>
        <v/>
      </c>
      <c r="AX469" s="102" t="str">
        <f t="shared" si="21"/>
        <v/>
      </c>
      <c r="AY469" s="107" t="str">
        <f t="shared" si="22"/>
        <v/>
      </c>
      <c r="AZ469" s="108" t="str">
        <f t="shared" si="23"/>
        <v/>
      </c>
      <c r="BA469" s="108" t="str">
        <f t="shared" si="24"/>
        <v/>
      </c>
      <c r="BB469" s="109" t="str">
        <f t="shared" si="25"/>
        <v/>
      </c>
      <c r="BC469" s="108" t="str">
        <f t="shared" si="26"/>
        <v/>
      </c>
      <c r="BD469" s="108" t="str">
        <f t="shared" si="27"/>
        <v/>
      </c>
      <c r="BE469" s="109" t="str">
        <f t="shared" si="28"/>
        <v/>
      </c>
      <c r="BF469" s="110" t="str">
        <f t="shared" si="29"/>
        <v/>
      </c>
      <c r="BG469" s="111"/>
    </row>
    <row r="470" spans="1:59" ht="12.75">
      <c r="A470" s="101"/>
      <c r="B470" s="102"/>
      <c r="C470" s="102" t="e">
        <f t="array" aca="1" ref="C470" ca="1">_xludf.XLOOKUP(A470,'QA Log'!D:D,'QA Log'!F:F,"")</f>
        <v>#NAME?</v>
      </c>
      <c r="D470" s="102"/>
      <c r="E470" s="102" t="e">
        <f t="array" aca="1" ref="E470" ca="1">_xludf.XLOOKUP(A470,'QA Log'!D:D,'QA Log'!G:G,"")</f>
        <v>#NAME?</v>
      </c>
      <c r="F470" s="103"/>
      <c r="G470" s="104"/>
      <c r="H470" s="104"/>
      <c r="I470" s="103" t="str">
        <f t="shared" si="15"/>
        <v/>
      </c>
      <c r="J470" s="102"/>
      <c r="K470" s="102"/>
      <c r="L470" s="119" t="str">
        <f t="array" ref="L470">IF(OR($B470="",$D470=""),"",
IFERROR(
  INDEX(
    'Tools &amp; Targets_Guideline'!$C$54:$I$269,
    MATCH(
      1,
      ('Tools &amp; Targets_Guideline'!$A$54:$A$269=$B470)*
      ('Tools &amp; Targets_Guideline'!$B$54:$B$269="ANC"),
      0
    ),
    MATCH(
      _xludf.IFNA(
        VLOOKUP($D470,{"PH","Provincial Hospital (H2)";"DH","District Hospital (H3)";"RH","Regional / National Hospital (H1)"},2,0),
        $D470
      ),
      'Tools &amp; Targets_Guideline'!$C$53:$I$53,
      0
    )
  ),
0))</f>
        <v/>
      </c>
      <c r="M470" s="102"/>
      <c r="N470" s="119" t="str">
        <f t="array" ref="N470">IF(OR($B470="",$D470=""),"",
IFERROR(
  INDEX(
    'Tools &amp; Targets_Guideline'!$C$54:$I$269,
    MATCH(
      1,
      ('Tools &amp; Targets_Guideline'!$A$54:$A$269=$B470)*
      ('Tools &amp; Targets_Guideline'!$B$54:$B$269="PNC"),
      0
    ),
    MATCH(
      _xludf.IFNA(
        VLOOKUP($D470,{"PH","Provincial Hospital (H2)";"DH","District Hospital (H3)";"RH","Regional / National Hospital (H1)"},2,0),
        $D470
      ),
      'Tools &amp; Targets_Guideline'!$C$53:$I$53,
      0
    )
  ),
0))</f>
        <v/>
      </c>
      <c r="O470" s="102"/>
      <c r="P470" s="119" t="str">
        <f t="array" ref="P470">IF(OR($B470="",$D470=""),"",
IFERROR(
  INDEX(
    'Tools &amp; Targets_Guideline'!$C$54:$I$269,
    MATCH(
      1,
      ('Tools &amp; Targets_Guideline'!$A$54:$A$269=$B470)*
      ('Tools &amp; Targets_Guideline'!$B$54:$B$269="Delivery"),
      0
    ),
    MATCH(
      _xludf.IFNA(
        VLOOKUP($D470,{"PH","Provincial Hospital (H2)";"DH","District Hospital (H3)";"RH","Regional / National Hospital (H1)"},2,0),
        $D470
      ),
      'Tools &amp; Targets_Guideline'!$C$53:$I$53,
      0
    )
  ),
0))</f>
        <v/>
      </c>
      <c r="Q470" s="102"/>
      <c r="R470" s="119" t="str">
        <f t="array" ref="R470">IF(OR($B470="",$D470=""),"",
IFERROR(
  INDEX(
    'Tools &amp; Targets_Guideline'!$C$54:$I$269,
    MATCH(
      1,
      ('Tools &amp; Targets_Guideline'!$A$54:$A$269=$B470)*
      ('Tools &amp; Targets_Guideline'!$B$54:$B$269="TT"),
      0
    ),
    MATCH(
      _xludf.IFNA(
        VLOOKUP($D470,{"PH","Provincial Hospital (H2)";"DH","District Hospital (H3)";"RH","Regional / National Hospital (H1)"},2,0),
        $D470
      ),
      'Tools &amp; Targets_Guideline'!$C$53:$I$53,
      0
    )
  ),
0))</f>
        <v/>
      </c>
      <c r="S470" s="102"/>
      <c r="T470" s="102"/>
      <c r="U470" s="106"/>
      <c r="V470" s="102" t="str">
        <f t="shared" si="16"/>
        <v/>
      </c>
      <c r="W470" s="102"/>
      <c r="X470" s="102"/>
      <c r="Y470" s="119" t="str">
        <f t="array" ref="Y470">IF(OR($B470="",$D470=""),"",
IFERROR(
  INDEX(
    'Tools &amp; Targets_Guideline'!$C$54:$I$269,
    MATCH(
      1,
      ('Tools &amp; Targets_Guideline'!$A$54:$A$269=$B470)*
      ('Tools &amp; Targets_Guideline'!$B$54:$B$269="GM"),
      0
    ),
    MATCH(
      _xludf.IFNA(
        VLOOKUP($D470,{"PH","Provincial Hospital (H2)";"DH","District Hospital (H3)";"RH","Regional / National Hospital (H1)"},2,0),
        $D470
      ),
      'Tools &amp; Targets_Guideline'!$C$53:$I$53,
      0
    )
  ),
0))</f>
        <v/>
      </c>
      <c r="Z470" s="102"/>
      <c r="AA470" s="119" t="str">
        <f t="array" ref="AA470">IF(OR($B470="",$D470=""),"",
IFERROR(
  INDEX(
    'Tools &amp; Targets_Guideline'!$C$54:$I$269,
    MATCH(
      1,
      ('Tools &amp; Targets_Guideline'!$A$54:$A$269=$B470)*
      ('Tools &amp; Targets_Guideline'!$B$54:$B$269="Penta"),
      0
    ),
    MATCH(
      _xludf.IFNA(
        VLOOKUP($D470,{"PH","Provincial Hospital (H2)";"DH","District Hospital (H3)";"RH","Regional / National Hospital (H1)"},2,0),
        $D470
      ),
      'Tools &amp; Targets_Guideline'!$C$53:$I$53,
      0
    )
  ),
0))</f>
        <v/>
      </c>
      <c r="AB470" s="102"/>
      <c r="AC470" s="119" t="str">
        <f t="array" ref="AC470">IF(OR($B470="",$D470=""),"",
IFERROR(
  INDEX(
    'Tools &amp; Targets_Guideline'!$C$54:$I$269,
    MATCH(
      1,
      ('Tools &amp; Targets_Guideline'!$A$54:$A$269=$B470)*
      ('Tools &amp; Targets_Guideline'!$B$54:$B$269="TB"),
      0
    ),
    MATCH(
      _xludf.IFNA(
        VLOOKUP($D470,{"PH","Provincial Hospital (H2)";"DH","District Hospital (H3)";"RH","Regional / National Hospital (H1)"},2,0),
        $D470
      ),
      'Tools &amp; Targets_Guideline'!$C$53:$I$53,
      0
    )
  ),
0))</f>
        <v/>
      </c>
      <c r="AD470" s="102"/>
      <c r="AE470" s="119" t="str">
        <f t="array" ref="AE470">IF(OR($B470="",$D470=""),"",
IFERROR(
  INDEX(
    'Tools &amp; Targets_Guideline'!$C$54:$I$269,
    MATCH(
      1,
      ('Tools &amp; Targets_Guideline'!$A$54:$A$269=$B470)*
      ('Tools &amp; Targets_Guideline'!$B$54:$B$269="U5 Morbidity"),
      0
    ),
    MATCH(
      _xludf.IFNA(
        VLOOKUP($D470,{"PH","Provincial Hospital (H2)";"DH","District Hospital (H3)";"RH","Regional / National Hospital (H1)"},2,0),
        $D470
      ),
      'Tools &amp; Targets_Guideline'!$C$53:$I$53,
      0
    )
  ),
0))</f>
        <v/>
      </c>
      <c r="AF470" s="102"/>
      <c r="AG470" s="119" t="str">
        <f t="array" ref="AG470">IF(OR($B470="",$D470=""),"",
IFERROR(
  INDEX(
    'Tools &amp; Targets_Guideline'!$C$54:$I$269,
    MATCH(
      1,
      ('Tools &amp; Targets_Guideline'!$A$54:$A$269=$B470)*
      ('Tools &amp; Targets_Guideline'!$B$54:$B$269="C-Section"),
      0
    ),
    MATCH(
      _xludf.IFNA(
        VLOOKUP($D470,{"PH","Provincial Hospital (H2)";"DH","District Hospital (H3)";"RH","Regional / National Hospital (H1)"},2,0),
        $D470
      ),
      'Tools &amp; Targets_Guideline'!$C$53:$I$53,
      0
    )
  ),
0))</f>
        <v/>
      </c>
      <c r="AH470" s="102" t="str">
        <f>IF(A470&lt;&gt;"",COUNTIFS('QA Log'!D:D,A470,'QA Log'!M:M,"QQC",'QA Log'!L:L,"2. Hygiene and Sterilization",'QA Log'!Z:Z,"Approved"),"")</f>
        <v/>
      </c>
      <c r="AI470" s="102"/>
      <c r="AJ470" s="102"/>
      <c r="AK470" s="103" t="str">
        <f t="shared" si="17"/>
        <v/>
      </c>
      <c r="AL470" s="102"/>
      <c r="AM470" s="102"/>
      <c r="AN470" s="102"/>
      <c r="AO470" s="106"/>
      <c r="AP470" s="103"/>
      <c r="AQ470" s="102"/>
      <c r="AR470" s="102"/>
      <c r="AS470" s="102"/>
      <c r="AT470" s="107"/>
      <c r="AU470" s="102" t="str">
        <f t="shared" si="18"/>
        <v/>
      </c>
      <c r="AV470" s="102" t="str">
        <f t="shared" si="19"/>
        <v/>
      </c>
      <c r="AW470" s="102" t="str">
        <f t="shared" si="20"/>
        <v/>
      </c>
      <c r="AX470" s="102" t="str">
        <f t="shared" si="21"/>
        <v/>
      </c>
      <c r="AY470" s="107" t="str">
        <f t="shared" si="22"/>
        <v/>
      </c>
      <c r="AZ470" s="108" t="str">
        <f t="shared" si="23"/>
        <v/>
      </c>
      <c r="BA470" s="108" t="str">
        <f t="shared" si="24"/>
        <v/>
      </c>
      <c r="BB470" s="109" t="str">
        <f t="shared" si="25"/>
        <v/>
      </c>
      <c r="BC470" s="108" t="str">
        <f t="shared" si="26"/>
        <v/>
      </c>
      <c r="BD470" s="108" t="str">
        <f t="shared" si="27"/>
        <v/>
      </c>
      <c r="BE470" s="109" t="str">
        <f t="shared" si="28"/>
        <v/>
      </c>
      <c r="BF470" s="110" t="str">
        <f t="shared" si="29"/>
        <v/>
      </c>
      <c r="BG470" s="111"/>
    </row>
    <row r="471" spans="1:59" ht="12.75">
      <c r="A471" s="101"/>
      <c r="B471" s="102"/>
      <c r="C471" s="102" t="e">
        <f t="array" aca="1" ref="C471" ca="1">_xludf.XLOOKUP(A471,'QA Log'!D:D,'QA Log'!F:F,"")</f>
        <v>#NAME?</v>
      </c>
      <c r="D471" s="102"/>
      <c r="E471" s="102" t="e">
        <f t="array" aca="1" ref="E471" ca="1">_xludf.XLOOKUP(A471,'QA Log'!D:D,'QA Log'!G:G,"")</f>
        <v>#NAME?</v>
      </c>
      <c r="F471" s="103"/>
      <c r="G471" s="104"/>
      <c r="H471" s="104"/>
      <c r="I471" s="103" t="str">
        <f t="shared" si="15"/>
        <v/>
      </c>
      <c r="J471" s="102"/>
      <c r="K471" s="102"/>
      <c r="L471" s="119" t="str">
        <f t="array" ref="L471">IF(OR($B471="",$D471=""),"",
IFERROR(
  INDEX(
    'Tools &amp; Targets_Guideline'!$C$54:$I$269,
    MATCH(
      1,
      ('Tools &amp; Targets_Guideline'!$A$54:$A$269=$B471)*
      ('Tools &amp; Targets_Guideline'!$B$54:$B$269="ANC"),
      0
    ),
    MATCH(
      _xludf.IFNA(
        VLOOKUP($D471,{"PH","Provincial Hospital (H2)";"DH","District Hospital (H3)";"RH","Regional / National Hospital (H1)"},2,0),
        $D471
      ),
      'Tools &amp; Targets_Guideline'!$C$53:$I$53,
      0
    )
  ),
0))</f>
        <v/>
      </c>
      <c r="M471" s="102"/>
      <c r="N471" s="119" t="str">
        <f t="array" ref="N471">IF(OR($B471="",$D471=""),"",
IFERROR(
  INDEX(
    'Tools &amp; Targets_Guideline'!$C$54:$I$269,
    MATCH(
      1,
      ('Tools &amp; Targets_Guideline'!$A$54:$A$269=$B471)*
      ('Tools &amp; Targets_Guideline'!$B$54:$B$269="PNC"),
      0
    ),
    MATCH(
      _xludf.IFNA(
        VLOOKUP($D471,{"PH","Provincial Hospital (H2)";"DH","District Hospital (H3)";"RH","Regional / National Hospital (H1)"},2,0),
        $D471
      ),
      'Tools &amp; Targets_Guideline'!$C$53:$I$53,
      0
    )
  ),
0))</f>
        <v/>
      </c>
      <c r="O471" s="102"/>
      <c r="P471" s="119" t="str">
        <f t="array" ref="P471">IF(OR($B471="",$D471=""),"",
IFERROR(
  INDEX(
    'Tools &amp; Targets_Guideline'!$C$54:$I$269,
    MATCH(
      1,
      ('Tools &amp; Targets_Guideline'!$A$54:$A$269=$B471)*
      ('Tools &amp; Targets_Guideline'!$B$54:$B$269="Delivery"),
      0
    ),
    MATCH(
      _xludf.IFNA(
        VLOOKUP($D471,{"PH","Provincial Hospital (H2)";"DH","District Hospital (H3)";"RH","Regional / National Hospital (H1)"},2,0),
        $D471
      ),
      'Tools &amp; Targets_Guideline'!$C$53:$I$53,
      0
    )
  ),
0))</f>
        <v/>
      </c>
      <c r="Q471" s="102"/>
      <c r="R471" s="119" t="str">
        <f t="array" ref="R471">IF(OR($B471="",$D471=""),"",
IFERROR(
  INDEX(
    'Tools &amp; Targets_Guideline'!$C$54:$I$269,
    MATCH(
      1,
      ('Tools &amp; Targets_Guideline'!$A$54:$A$269=$B471)*
      ('Tools &amp; Targets_Guideline'!$B$54:$B$269="TT"),
      0
    ),
    MATCH(
      _xludf.IFNA(
        VLOOKUP($D471,{"PH","Provincial Hospital (H2)";"DH","District Hospital (H3)";"RH","Regional / National Hospital (H1)"},2,0),
        $D471
      ),
      'Tools &amp; Targets_Guideline'!$C$53:$I$53,
      0
    )
  ),
0))</f>
        <v/>
      </c>
      <c r="S471" s="102"/>
      <c r="T471" s="102"/>
      <c r="U471" s="106"/>
      <c r="V471" s="102" t="str">
        <f t="shared" si="16"/>
        <v/>
      </c>
      <c r="W471" s="102"/>
      <c r="X471" s="102"/>
      <c r="Y471" s="119" t="str">
        <f t="array" ref="Y471">IF(OR($B471="",$D471=""),"",
IFERROR(
  INDEX(
    'Tools &amp; Targets_Guideline'!$C$54:$I$269,
    MATCH(
      1,
      ('Tools &amp; Targets_Guideline'!$A$54:$A$269=$B471)*
      ('Tools &amp; Targets_Guideline'!$B$54:$B$269="GM"),
      0
    ),
    MATCH(
      _xludf.IFNA(
        VLOOKUP($D471,{"PH","Provincial Hospital (H2)";"DH","District Hospital (H3)";"RH","Regional / National Hospital (H1)"},2,0),
        $D471
      ),
      'Tools &amp; Targets_Guideline'!$C$53:$I$53,
      0
    )
  ),
0))</f>
        <v/>
      </c>
      <c r="Z471" s="102"/>
      <c r="AA471" s="119" t="str">
        <f t="array" ref="AA471">IF(OR($B471="",$D471=""),"",
IFERROR(
  INDEX(
    'Tools &amp; Targets_Guideline'!$C$54:$I$269,
    MATCH(
      1,
      ('Tools &amp; Targets_Guideline'!$A$54:$A$269=$B471)*
      ('Tools &amp; Targets_Guideline'!$B$54:$B$269="Penta"),
      0
    ),
    MATCH(
      _xludf.IFNA(
        VLOOKUP($D471,{"PH","Provincial Hospital (H2)";"DH","District Hospital (H3)";"RH","Regional / National Hospital (H1)"},2,0),
        $D471
      ),
      'Tools &amp; Targets_Guideline'!$C$53:$I$53,
      0
    )
  ),
0))</f>
        <v/>
      </c>
      <c r="AB471" s="102"/>
      <c r="AC471" s="119" t="str">
        <f t="array" ref="AC471">IF(OR($B471="",$D471=""),"",
IFERROR(
  INDEX(
    'Tools &amp; Targets_Guideline'!$C$54:$I$269,
    MATCH(
      1,
      ('Tools &amp; Targets_Guideline'!$A$54:$A$269=$B471)*
      ('Tools &amp; Targets_Guideline'!$B$54:$B$269="TB"),
      0
    ),
    MATCH(
      _xludf.IFNA(
        VLOOKUP($D471,{"PH","Provincial Hospital (H2)";"DH","District Hospital (H3)";"RH","Regional / National Hospital (H1)"},2,0),
        $D471
      ),
      'Tools &amp; Targets_Guideline'!$C$53:$I$53,
      0
    )
  ),
0))</f>
        <v/>
      </c>
      <c r="AD471" s="102"/>
      <c r="AE471" s="119" t="str">
        <f t="array" ref="AE471">IF(OR($B471="",$D471=""),"",
IFERROR(
  INDEX(
    'Tools &amp; Targets_Guideline'!$C$54:$I$269,
    MATCH(
      1,
      ('Tools &amp; Targets_Guideline'!$A$54:$A$269=$B471)*
      ('Tools &amp; Targets_Guideline'!$B$54:$B$269="U5 Morbidity"),
      0
    ),
    MATCH(
      _xludf.IFNA(
        VLOOKUP($D471,{"PH","Provincial Hospital (H2)";"DH","District Hospital (H3)";"RH","Regional / National Hospital (H1)"},2,0),
        $D471
      ),
      'Tools &amp; Targets_Guideline'!$C$53:$I$53,
      0
    )
  ),
0))</f>
        <v/>
      </c>
      <c r="AF471" s="102"/>
      <c r="AG471" s="119" t="str">
        <f t="array" ref="AG471">IF(OR($B471="",$D471=""),"",
IFERROR(
  INDEX(
    'Tools &amp; Targets_Guideline'!$C$54:$I$269,
    MATCH(
      1,
      ('Tools &amp; Targets_Guideline'!$A$54:$A$269=$B471)*
      ('Tools &amp; Targets_Guideline'!$B$54:$B$269="C-Section"),
      0
    ),
    MATCH(
      _xludf.IFNA(
        VLOOKUP($D471,{"PH","Provincial Hospital (H2)";"DH","District Hospital (H3)";"RH","Regional / National Hospital (H1)"},2,0),
        $D471
      ),
      'Tools &amp; Targets_Guideline'!$C$53:$I$53,
      0
    )
  ),
0))</f>
        <v/>
      </c>
      <c r="AH471" s="102" t="str">
        <f>IF(A471&lt;&gt;"",COUNTIFS('QA Log'!D:D,A471,'QA Log'!M:M,"QQC",'QA Log'!L:L,"2. Hygiene and Sterilization",'QA Log'!Z:Z,"Approved"),"")</f>
        <v/>
      </c>
      <c r="AI471" s="102"/>
      <c r="AJ471" s="102"/>
      <c r="AK471" s="103" t="str">
        <f t="shared" si="17"/>
        <v/>
      </c>
      <c r="AL471" s="102"/>
      <c r="AM471" s="102"/>
      <c r="AN471" s="102"/>
      <c r="AO471" s="106"/>
      <c r="AP471" s="103"/>
      <c r="AQ471" s="102"/>
      <c r="AR471" s="102"/>
      <c r="AS471" s="102"/>
      <c r="AT471" s="107"/>
      <c r="AU471" s="102" t="str">
        <f t="shared" si="18"/>
        <v/>
      </c>
      <c r="AV471" s="102" t="str">
        <f t="shared" si="19"/>
        <v/>
      </c>
      <c r="AW471" s="102" t="str">
        <f t="shared" si="20"/>
        <v/>
      </c>
      <c r="AX471" s="102" t="str">
        <f t="shared" si="21"/>
        <v/>
      </c>
      <c r="AY471" s="107" t="str">
        <f t="shared" si="22"/>
        <v/>
      </c>
      <c r="AZ471" s="108" t="str">
        <f t="shared" si="23"/>
        <v/>
      </c>
      <c r="BA471" s="108" t="str">
        <f t="shared" si="24"/>
        <v/>
      </c>
      <c r="BB471" s="109" t="str">
        <f t="shared" si="25"/>
        <v/>
      </c>
      <c r="BC471" s="108" t="str">
        <f t="shared" si="26"/>
        <v/>
      </c>
      <c r="BD471" s="108" t="str">
        <f t="shared" si="27"/>
        <v/>
      </c>
      <c r="BE471" s="109" t="str">
        <f t="shared" si="28"/>
        <v/>
      </c>
      <c r="BF471" s="110" t="str">
        <f t="shared" si="29"/>
        <v/>
      </c>
      <c r="BG471" s="111"/>
    </row>
    <row r="472" spans="1:59" ht="12.75">
      <c r="A472" s="101"/>
      <c r="B472" s="102"/>
      <c r="C472" s="102" t="e">
        <f t="array" aca="1" ref="C472" ca="1">_xludf.XLOOKUP(A472,'QA Log'!D:D,'QA Log'!F:F,"")</f>
        <v>#NAME?</v>
      </c>
      <c r="D472" s="102"/>
      <c r="E472" s="102" t="e">
        <f t="array" aca="1" ref="E472" ca="1">_xludf.XLOOKUP(A472,'QA Log'!D:D,'QA Log'!G:G,"")</f>
        <v>#NAME?</v>
      </c>
      <c r="F472" s="103"/>
      <c r="G472" s="104"/>
      <c r="H472" s="104"/>
      <c r="I472" s="103" t="str">
        <f t="shared" si="15"/>
        <v/>
      </c>
      <c r="J472" s="102"/>
      <c r="K472" s="102"/>
      <c r="L472" s="119" t="str">
        <f t="array" ref="L472">IF(OR($B472="",$D472=""),"",
IFERROR(
  INDEX(
    'Tools &amp; Targets_Guideline'!$C$54:$I$269,
    MATCH(
      1,
      ('Tools &amp; Targets_Guideline'!$A$54:$A$269=$B472)*
      ('Tools &amp; Targets_Guideline'!$B$54:$B$269="ANC"),
      0
    ),
    MATCH(
      _xludf.IFNA(
        VLOOKUP($D472,{"PH","Provincial Hospital (H2)";"DH","District Hospital (H3)";"RH","Regional / National Hospital (H1)"},2,0),
        $D472
      ),
      'Tools &amp; Targets_Guideline'!$C$53:$I$53,
      0
    )
  ),
0))</f>
        <v/>
      </c>
      <c r="M472" s="102"/>
      <c r="N472" s="119" t="str">
        <f t="array" ref="N472">IF(OR($B472="",$D472=""),"",
IFERROR(
  INDEX(
    'Tools &amp; Targets_Guideline'!$C$54:$I$269,
    MATCH(
      1,
      ('Tools &amp; Targets_Guideline'!$A$54:$A$269=$B472)*
      ('Tools &amp; Targets_Guideline'!$B$54:$B$269="PNC"),
      0
    ),
    MATCH(
      _xludf.IFNA(
        VLOOKUP($D472,{"PH","Provincial Hospital (H2)";"DH","District Hospital (H3)";"RH","Regional / National Hospital (H1)"},2,0),
        $D472
      ),
      'Tools &amp; Targets_Guideline'!$C$53:$I$53,
      0
    )
  ),
0))</f>
        <v/>
      </c>
      <c r="O472" s="102"/>
      <c r="P472" s="119" t="str">
        <f t="array" ref="P472">IF(OR($B472="",$D472=""),"",
IFERROR(
  INDEX(
    'Tools &amp; Targets_Guideline'!$C$54:$I$269,
    MATCH(
      1,
      ('Tools &amp; Targets_Guideline'!$A$54:$A$269=$B472)*
      ('Tools &amp; Targets_Guideline'!$B$54:$B$269="Delivery"),
      0
    ),
    MATCH(
      _xludf.IFNA(
        VLOOKUP($D472,{"PH","Provincial Hospital (H2)";"DH","District Hospital (H3)";"RH","Regional / National Hospital (H1)"},2,0),
        $D472
      ),
      'Tools &amp; Targets_Guideline'!$C$53:$I$53,
      0
    )
  ),
0))</f>
        <v/>
      </c>
      <c r="Q472" s="102"/>
      <c r="R472" s="119" t="str">
        <f t="array" ref="R472">IF(OR($B472="",$D472=""),"",
IFERROR(
  INDEX(
    'Tools &amp; Targets_Guideline'!$C$54:$I$269,
    MATCH(
      1,
      ('Tools &amp; Targets_Guideline'!$A$54:$A$269=$B472)*
      ('Tools &amp; Targets_Guideline'!$B$54:$B$269="TT"),
      0
    ),
    MATCH(
      _xludf.IFNA(
        VLOOKUP($D472,{"PH","Provincial Hospital (H2)";"DH","District Hospital (H3)";"RH","Regional / National Hospital (H1)"},2,0),
        $D472
      ),
      'Tools &amp; Targets_Guideline'!$C$53:$I$53,
      0
    )
  ),
0))</f>
        <v/>
      </c>
      <c r="S472" s="102"/>
      <c r="T472" s="102"/>
      <c r="U472" s="106"/>
      <c r="V472" s="102" t="str">
        <f t="shared" si="16"/>
        <v/>
      </c>
      <c r="W472" s="102"/>
      <c r="X472" s="102"/>
      <c r="Y472" s="119" t="str">
        <f t="array" ref="Y472">IF(OR($B472="",$D472=""),"",
IFERROR(
  INDEX(
    'Tools &amp; Targets_Guideline'!$C$54:$I$269,
    MATCH(
      1,
      ('Tools &amp; Targets_Guideline'!$A$54:$A$269=$B472)*
      ('Tools &amp; Targets_Guideline'!$B$54:$B$269="GM"),
      0
    ),
    MATCH(
      _xludf.IFNA(
        VLOOKUP($D472,{"PH","Provincial Hospital (H2)";"DH","District Hospital (H3)";"RH","Regional / National Hospital (H1)"},2,0),
        $D472
      ),
      'Tools &amp; Targets_Guideline'!$C$53:$I$53,
      0
    )
  ),
0))</f>
        <v/>
      </c>
      <c r="Z472" s="102"/>
      <c r="AA472" s="119" t="str">
        <f t="array" ref="AA472">IF(OR($B472="",$D472=""),"",
IFERROR(
  INDEX(
    'Tools &amp; Targets_Guideline'!$C$54:$I$269,
    MATCH(
      1,
      ('Tools &amp; Targets_Guideline'!$A$54:$A$269=$B472)*
      ('Tools &amp; Targets_Guideline'!$B$54:$B$269="Penta"),
      0
    ),
    MATCH(
      _xludf.IFNA(
        VLOOKUP($D472,{"PH","Provincial Hospital (H2)";"DH","District Hospital (H3)";"RH","Regional / National Hospital (H1)"},2,0),
        $D472
      ),
      'Tools &amp; Targets_Guideline'!$C$53:$I$53,
      0
    )
  ),
0))</f>
        <v/>
      </c>
      <c r="AB472" s="102"/>
      <c r="AC472" s="119" t="str">
        <f t="array" ref="AC472">IF(OR($B472="",$D472=""),"",
IFERROR(
  INDEX(
    'Tools &amp; Targets_Guideline'!$C$54:$I$269,
    MATCH(
      1,
      ('Tools &amp; Targets_Guideline'!$A$54:$A$269=$B472)*
      ('Tools &amp; Targets_Guideline'!$B$54:$B$269="TB"),
      0
    ),
    MATCH(
      _xludf.IFNA(
        VLOOKUP($D472,{"PH","Provincial Hospital (H2)";"DH","District Hospital (H3)";"RH","Regional / National Hospital (H1)"},2,0),
        $D472
      ),
      'Tools &amp; Targets_Guideline'!$C$53:$I$53,
      0
    )
  ),
0))</f>
        <v/>
      </c>
      <c r="AD472" s="102"/>
      <c r="AE472" s="119" t="str">
        <f t="array" ref="AE472">IF(OR($B472="",$D472=""),"",
IFERROR(
  INDEX(
    'Tools &amp; Targets_Guideline'!$C$54:$I$269,
    MATCH(
      1,
      ('Tools &amp; Targets_Guideline'!$A$54:$A$269=$B472)*
      ('Tools &amp; Targets_Guideline'!$B$54:$B$269="U5 Morbidity"),
      0
    ),
    MATCH(
      _xludf.IFNA(
        VLOOKUP($D472,{"PH","Provincial Hospital (H2)";"DH","District Hospital (H3)";"RH","Regional / National Hospital (H1)"},2,0),
        $D472
      ),
      'Tools &amp; Targets_Guideline'!$C$53:$I$53,
      0
    )
  ),
0))</f>
        <v/>
      </c>
      <c r="AF472" s="102"/>
      <c r="AG472" s="119" t="str">
        <f t="array" ref="AG472">IF(OR($B472="",$D472=""),"",
IFERROR(
  INDEX(
    'Tools &amp; Targets_Guideline'!$C$54:$I$269,
    MATCH(
      1,
      ('Tools &amp; Targets_Guideline'!$A$54:$A$269=$B472)*
      ('Tools &amp; Targets_Guideline'!$B$54:$B$269="C-Section"),
      0
    ),
    MATCH(
      _xludf.IFNA(
        VLOOKUP($D472,{"PH","Provincial Hospital (H2)";"DH","District Hospital (H3)";"RH","Regional / National Hospital (H1)"},2,0),
        $D472
      ),
      'Tools &amp; Targets_Guideline'!$C$53:$I$53,
      0
    )
  ),
0))</f>
        <v/>
      </c>
      <c r="AH472" s="102" t="str">
        <f>IF(A472&lt;&gt;"",COUNTIFS('QA Log'!D:D,A472,'QA Log'!M:M,"QQC",'QA Log'!L:L,"2. Hygiene and Sterilization",'QA Log'!Z:Z,"Approved"),"")</f>
        <v/>
      </c>
      <c r="AI472" s="102"/>
      <c r="AJ472" s="102"/>
      <c r="AK472" s="103" t="str">
        <f t="shared" si="17"/>
        <v/>
      </c>
      <c r="AL472" s="102"/>
      <c r="AM472" s="102"/>
      <c r="AN472" s="102"/>
      <c r="AO472" s="106"/>
      <c r="AP472" s="103"/>
      <c r="AQ472" s="102"/>
      <c r="AR472" s="102"/>
      <c r="AS472" s="102"/>
      <c r="AT472" s="107"/>
      <c r="AU472" s="102" t="str">
        <f t="shared" si="18"/>
        <v/>
      </c>
      <c r="AV472" s="102" t="str">
        <f t="shared" si="19"/>
        <v/>
      </c>
      <c r="AW472" s="102" t="str">
        <f t="shared" si="20"/>
        <v/>
      </c>
      <c r="AX472" s="102" t="str">
        <f t="shared" si="21"/>
        <v/>
      </c>
      <c r="AY472" s="107" t="str">
        <f t="shared" si="22"/>
        <v/>
      </c>
      <c r="AZ472" s="108" t="str">
        <f t="shared" si="23"/>
        <v/>
      </c>
      <c r="BA472" s="108" t="str">
        <f t="shared" si="24"/>
        <v/>
      </c>
      <c r="BB472" s="109" t="str">
        <f t="shared" si="25"/>
        <v/>
      </c>
      <c r="BC472" s="108" t="str">
        <f t="shared" si="26"/>
        <v/>
      </c>
      <c r="BD472" s="108" t="str">
        <f t="shared" si="27"/>
        <v/>
      </c>
      <c r="BE472" s="109" t="str">
        <f t="shared" si="28"/>
        <v/>
      </c>
      <c r="BF472" s="110" t="str">
        <f t="shared" si="29"/>
        <v/>
      </c>
      <c r="BG472" s="111"/>
    </row>
    <row r="473" spans="1:59" ht="12.75">
      <c r="A473" s="101"/>
      <c r="B473" s="102"/>
      <c r="C473" s="102" t="e">
        <f t="array" aca="1" ref="C473" ca="1">_xludf.XLOOKUP(A473,'QA Log'!D:D,'QA Log'!F:F,"")</f>
        <v>#NAME?</v>
      </c>
      <c r="D473" s="102"/>
      <c r="E473" s="102" t="e">
        <f t="array" aca="1" ref="E473" ca="1">_xludf.XLOOKUP(A473,'QA Log'!D:D,'QA Log'!G:G,"")</f>
        <v>#NAME?</v>
      </c>
      <c r="F473" s="103"/>
      <c r="G473" s="104"/>
      <c r="H473" s="104"/>
      <c r="I473" s="103" t="str">
        <f t="shared" si="15"/>
        <v/>
      </c>
      <c r="J473" s="102"/>
      <c r="K473" s="102"/>
      <c r="L473" s="119" t="str">
        <f t="array" ref="L473">IF(OR($B473="",$D473=""),"",
IFERROR(
  INDEX(
    'Tools &amp; Targets_Guideline'!$C$54:$I$269,
    MATCH(
      1,
      ('Tools &amp; Targets_Guideline'!$A$54:$A$269=$B473)*
      ('Tools &amp; Targets_Guideline'!$B$54:$B$269="ANC"),
      0
    ),
    MATCH(
      _xludf.IFNA(
        VLOOKUP($D473,{"PH","Provincial Hospital (H2)";"DH","District Hospital (H3)";"RH","Regional / National Hospital (H1)"},2,0),
        $D473
      ),
      'Tools &amp; Targets_Guideline'!$C$53:$I$53,
      0
    )
  ),
0))</f>
        <v/>
      </c>
      <c r="M473" s="102"/>
      <c r="N473" s="119" t="str">
        <f t="array" ref="N473">IF(OR($B473="",$D473=""),"",
IFERROR(
  INDEX(
    'Tools &amp; Targets_Guideline'!$C$54:$I$269,
    MATCH(
      1,
      ('Tools &amp; Targets_Guideline'!$A$54:$A$269=$B473)*
      ('Tools &amp; Targets_Guideline'!$B$54:$B$269="PNC"),
      0
    ),
    MATCH(
      _xludf.IFNA(
        VLOOKUP($D473,{"PH","Provincial Hospital (H2)";"DH","District Hospital (H3)";"RH","Regional / National Hospital (H1)"},2,0),
        $D473
      ),
      'Tools &amp; Targets_Guideline'!$C$53:$I$53,
      0
    )
  ),
0))</f>
        <v/>
      </c>
      <c r="O473" s="102"/>
      <c r="P473" s="119" t="str">
        <f t="array" ref="P473">IF(OR($B473="",$D473=""),"",
IFERROR(
  INDEX(
    'Tools &amp; Targets_Guideline'!$C$54:$I$269,
    MATCH(
      1,
      ('Tools &amp; Targets_Guideline'!$A$54:$A$269=$B473)*
      ('Tools &amp; Targets_Guideline'!$B$54:$B$269="Delivery"),
      0
    ),
    MATCH(
      _xludf.IFNA(
        VLOOKUP($D473,{"PH","Provincial Hospital (H2)";"DH","District Hospital (H3)";"RH","Regional / National Hospital (H1)"},2,0),
        $D473
      ),
      'Tools &amp; Targets_Guideline'!$C$53:$I$53,
      0
    )
  ),
0))</f>
        <v/>
      </c>
      <c r="Q473" s="102"/>
      <c r="R473" s="119" t="str">
        <f t="array" ref="R473">IF(OR($B473="",$D473=""),"",
IFERROR(
  INDEX(
    'Tools &amp; Targets_Guideline'!$C$54:$I$269,
    MATCH(
      1,
      ('Tools &amp; Targets_Guideline'!$A$54:$A$269=$B473)*
      ('Tools &amp; Targets_Guideline'!$B$54:$B$269="TT"),
      0
    ),
    MATCH(
      _xludf.IFNA(
        VLOOKUP($D473,{"PH","Provincial Hospital (H2)";"DH","District Hospital (H3)";"RH","Regional / National Hospital (H1)"},2,0),
        $D473
      ),
      'Tools &amp; Targets_Guideline'!$C$53:$I$53,
      0
    )
  ),
0))</f>
        <v/>
      </c>
      <c r="S473" s="102"/>
      <c r="T473" s="102"/>
      <c r="U473" s="106"/>
      <c r="V473" s="102" t="str">
        <f t="shared" si="16"/>
        <v/>
      </c>
      <c r="W473" s="102"/>
      <c r="X473" s="102"/>
      <c r="Y473" s="119" t="str">
        <f t="array" ref="Y473">IF(OR($B473="",$D473=""),"",
IFERROR(
  INDEX(
    'Tools &amp; Targets_Guideline'!$C$54:$I$269,
    MATCH(
      1,
      ('Tools &amp; Targets_Guideline'!$A$54:$A$269=$B473)*
      ('Tools &amp; Targets_Guideline'!$B$54:$B$269="GM"),
      0
    ),
    MATCH(
      _xludf.IFNA(
        VLOOKUP($D473,{"PH","Provincial Hospital (H2)";"DH","District Hospital (H3)";"RH","Regional / National Hospital (H1)"},2,0),
        $D473
      ),
      'Tools &amp; Targets_Guideline'!$C$53:$I$53,
      0
    )
  ),
0))</f>
        <v/>
      </c>
      <c r="Z473" s="102"/>
      <c r="AA473" s="119" t="str">
        <f t="array" ref="AA473">IF(OR($B473="",$D473=""),"",
IFERROR(
  INDEX(
    'Tools &amp; Targets_Guideline'!$C$54:$I$269,
    MATCH(
      1,
      ('Tools &amp; Targets_Guideline'!$A$54:$A$269=$B473)*
      ('Tools &amp; Targets_Guideline'!$B$54:$B$269="Penta"),
      0
    ),
    MATCH(
      _xludf.IFNA(
        VLOOKUP($D473,{"PH","Provincial Hospital (H2)";"DH","District Hospital (H3)";"RH","Regional / National Hospital (H1)"},2,0),
        $D473
      ),
      'Tools &amp; Targets_Guideline'!$C$53:$I$53,
      0
    )
  ),
0))</f>
        <v/>
      </c>
      <c r="AB473" s="102"/>
      <c r="AC473" s="119" t="str">
        <f t="array" ref="AC473">IF(OR($B473="",$D473=""),"",
IFERROR(
  INDEX(
    'Tools &amp; Targets_Guideline'!$C$54:$I$269,
    MATCH(
      1,
      ('Tools &amp; Targets_Guideline'!$A$54:$A$269=$B473)*
      ('Tools &amp; Targets_Guideline'!$B$54:$B$269="TB"),
      0
    ),
    MATCH(
      _xludf.IFNA(
        VLOOKUP($D473,{"PH","Provincial Hospital (H2)";"DH","District Hospital (H3)";"RH","Regional / National Hospital (H1)"},2,0),
        $D473
      ),
      'Tools &amp; Targets_Guideline'!$C$53:$I$53,
      0
    )
  ),
0))</f>
        <v/>
      </c>
      <c r="AD473" s="102"/>
      <c r="AE473" s="119" t="str">
        <f t="array" ref="AE473">IF(OR($B473="",$D473=""),"",
IFERROR(
  INDEX(
    'Tools &amp; Targets_Guideline'!$C$54:$I$269,
    MATCH(
      1,
      ('Tools &amp; Targets_Guideline'!$A$54:$A$269=$B473)*
      ('Tools &amp; Targets_Guideline'!$B$54:$B$269="U5 Morbidity"),
      0
    ),
    MATCH(
      _xludf.IFNA(
        VLOOKUP($D473,{"PH","Provincial Hospital (H2)";"DH","District Hospital (H3)";"RH","Regional / National Hospital (H1)"},2,0),
        $D473
      ),
      'Tools &amp; Targets_Guideline'!$C$53:$I$53,
      0
    )
  ),
0))</f>
        <v/>
      </c>
      <c r="AF473" s="102"/>
      <c r="AG473" s="119" t="str">
        <f t="array" ref="AG473">IF(OR($B473="",$D473=""),"",
IFERROR(
  INDEX(
    'Tools &amp; Targets_Guideline'!$C$54:$I$269,
    MATCH(
      1,
      ('Tools &amp; Targets_Guideline'!$A$54:$A$269=$B473)*
      ('Tools &amp; Targets_Guideline'!$B$54:$B$269="C-Section"),
      0
    ),
    MATCH(
      _xludf.IFNA(
        VLOOKUP($D473,{"PH","Provincial Hospital (H2)";"DH","District Hospital (H3)";"RH","Regional / National Hospital (H1)"},2,0),
        $D473
      ),
      'Tools &amp; Targets_Guideline'!$C$53:$I$53,
      0
    )
  ),
0))</f>
        <v/>
      </c>
      <c r="AH473" s="102" t="str">
        <f>IF(A473&lt;&gt;"",COUNTIFS('QA Log'!D:D,A473,'QA Log'!M:M,"QQC",'QA Log'!L:L,"2. Hygiene and Sterilization",'QA Log'!Z:Z,"Approved"),"")</f>
        <v/>
      </c>
      <c r="AI473" s="102"/>
      <c r="AJ473" s="102"/>
      <c r="AK473" s="103" t="str">
        <f t="shared" si="17"/>
        <v/>
      </c>
      <c r="AL473" s="102"/>
      <c r="AM473" s="102"/>
      <c r="AN473" s="102"/>
      <c r="AO473" s="106"/>
      <c r="AP473" s="103"/>
      <c r="AQ473" s="102"/>
      <c r="AR473" s="102"/>
      <c r="AS473" s="102"/>
      <c r="AT473" s="107"/>
      <c r="AU473" s="102" t="str">
        <f t="shared" si="18"/>
        <v/>
      </c>
      <c r="AV473" s="102" t="str">
        <f t="shared" si="19"/>
        <v/>
      </c>
      <c r="AW473" s="102" t="str">
        <f t="shared" si="20"/>
        <v/>
      </c>
      <c r="AX473" s="102" t="str">
        <f t="shared" si="21"/>
        <v/>
      </c>
      <c r="AY473" s="107" t="str">
        <f t="shared" si="22"/>
        <v/>
      </c>
      <c r="AZ473" s="108" t="str">
        <f t="shared" si="23"/>
        <v/>
      </c>
      <c r="BA473" s="108" t="str">
        <f t="shared" si="24"/>
        <v/>
      </c>
      <c r="BB473" s="109" t="str">
        <f t="shared" si="25"/>
        <v/>
      </c>
      <c r="BC473" s="108" t="str">
        <f t="shared" si="26"/>
        <v/>
      </c>
      <c r="BD473" s="108" t="str">
        <f t="shared" si="27"/>
        <v/>
      </c>
      <c r="BE473" s="109" t="str">
        <f t="shared" si="28"/>
        <v/>
      </c>
      <c r="BF473" s="110" t="str">
        <f t="shared" si="29"/>
        <v/>
      </c>
      <c r="BG473" s="111"/>
    </row>
    <row r="474" spans="1:59" ht="12.75">
      <c r="A474" s="101"/>
      <c r="B474" s="102"/>
      <c r="C474" s="102" t="e">
        <f t="array" aca="1" ref="C474" ca="1">_xludf.XLOOKUP(A474,'QA Log'!D:D,'QA Log'!F:F,"")</f>
        <v>#NAME?</v>
      </c>
      <c r="D474" s="102"/>
      <c r="E474" s="102" t="e">
        <f t="array" aca="1" ref="E474" ca="1">_xludf.XLOOKUP(A474,'QA Log'!D:D,'QA Log'!G:G,"")</f>
        <v>#NAME?</v>
      </c>
      <c r="F474" s="103"/>
      <c r="G474" s="104"/>
      <c r="H474" s="104"/>
      <c r="I474" s="103" t="str">
        <f t="shared" si="15"/>
        <v/>
      </c>
      <c r="J474" s="102"/>
      <c r="K474" s="102"/>
      <c r="L474" s="119" t="str">
        <f t="array" ref="L474">IF(OR($B474="",$D474=""),"",
IFERROR(
  INDEX(
    'Tools &amp; Targets_Guideline'!$C$54:$I$269,
    MATCH(
      1,
      ('Tools &amp; Targets_Guideline'!$A$54:$A$269=$B474)*
      ('Tools &amp; Targets_Guideline'!$B$54:$B$269="ANC"),
      0
    ),
    MATCH(
      _xludf.IFNA(
        VLOOKUP($D474,{"PH","Provincial Hospital (H2)";"DH","District Hospital (H3)";"RH","Regional / National Hospital (H1)"},2,0),
        $D474
      ),
      'Tools &amp; Targets_Guideline'!$C$53:$I$53,
      0
    )
  ),
0))</f>
        <v/>
      </c>
      <c r="M474" s="102"/>
      <c r="N474" s="119" t="str">
        <f t="array" ref="N474">IF(OR($B474="",$D474=""),"",
IFERROR(
  INDEX(
    'Tools &amp; Targets_Guideline'!$C$54:$I$269,
    MATCH(
      1,
      ('Tools &amp; Targets_Guideline'!$A$54:$A$269=$B474)*
      ('Tools &amp; Targets_Guideline'!$B$54:$B$269="PNC"),
      0
    ),
    MATCH(
      _xludf.IFNA(
        VLOOKUP($D474,{"PH","Provincial Hospital (H2)";"DH","District Hospital (H3)";"RH","Regional / National Hospital (H1)"},2,0),
        $D474
      ),
      'Tools &amp; Targets_Guideline'!$C$53:$I$53,
      0
    )
  ),
0))</f>
        <v/>
      </c>
      <c r="O474" s="102"/>
      <c r="P474" s="119" t="str">
        <f t="array" ref="P474">IF(OR($B474="",$D474=""),"",
IFERROR(
  INDEX(
    'Tools &amp; Targets_Guideline'!$C$54:$I$269,
    MATCH(
      1,
      ('Tools &amp; Targets_Guideline'!$A$54:$A$269=$B474)*
      ('Tools &amp; Targets_Guideline'!$B$54:$B$269="Delivery"),
      0
    ),
    MATCH(
      _xludf.IFNA(
        VLOOKUP($D474,{"PH","Provincial Hospital (H2)";"DH","District Hospital (H3)";"RH","Regional / National Hospital (H1)"},2,0),
        $D474
      ),
      'Tools &amp; Targets_Guideline'!$C$53:$I$53,
      0
    )
  ),
0))</f>
        <v/>
      </c>
      <c r="Q474" s="102"/>
      <c r="R474" s="119" t="str">
        <f t="array" ref="R474">IF(OR($B474="",$D474=""),"",
IFERROR(
  INDEX(
    'Tools &amp; Targets_Guideline'!$C$54:$I$269,
    MATCH(
      1,
      ('Tools &amp; Targets_Guideline'!$A$54:$A$269=$B474)*
      ('Tools &amp; Targets_Guideline'!$B$54:$B$269="TT"),
      0
    ),
    MATCH(
      _xludf.IFNA(
        VLOOKUP($D474,{"PH","Provincial Hospital (H2)";"DH","District Hospital (H3)";"RH","Regional / National Hospital (H1)"},2,0),
        $D474
      ),
      'Tools &amp; Targets_Guideline'!$C$53:$I$53,
      0
    )
  ),
0))</f>
        <v/>
      </c>
      <c r="S474" s="102"/>
      <c r="T474" s="102"/>
      <c r="U474" s="106"/>
      <c r="V474" s="102" t="str">
        <f t="shared" si="16"/>
        <v/>
      </c>
      <c r="W474" s="102"/>
      <c r="X474" s="102"/>
      <c r="Y474" s="119" t="str">
        <f t="array" ref="Y474">IF(OR($B474="",$D474=""),"",
IFERROR(
  INDEX(
    'Tools &amp; Targets_Guideline'!$C$54:$I$269,
    MATCH(
      1,
      ('Tools &amp; Targets_Guideline'!$A$54:$A$269=$B474)*
      ('Tools &amp; Targets_Guideline'!$B$54:$B$269="GM"),
      0
    ),
    MATCH(
      _xludf.IFNA(
        VLOOKUP($D474,{"PH","Provincial Hospital (H2)";"DH","District Hospital (H3)";"RH","Regional / National Hospital (H1)"},2,0),
        $D474
      ),
      'Tools &amp; Targets_Guideline'!$C$53:$I$53,
      0
    )
  ),
0))</f>
        <v/>
      </c>
      <c r="Z474" s="102"/>
      <c r="AA474" s="119" t="str">
        <f t="array" ref="AA474">IF(OR($B474="",$D474=""),"",
IFERROR(
  INDEX(
    'Tools &amp; Targets_Guideline'!$C$54:$I$269,
    MATCH(
      1,
      ('Tools &amp; Targets_Guideline'!$A$54:$A$269=$B474)*
      ('Tools &amp; Targets_Guideline'!$B$54:$B$269="Penta"),
      0
    ),
    MATCH(
      _xludf.IFNA(
        VLOOKUP($D474,{"PH","Provincial Hospital (H2)";"DH","District Hospital (H3)";"RH","Regional / National Hospital (H1)"},2,0),
        $D474
      ),
      'Tools &amp; Targets_Guideline'!$C$53:$I$53,
      0
    )
  ),
0))</f>
        <v/>
      </c>
      <c r="AB474" s="102"/>
      <c r="AC474" s="119" t="str">
        <f t="array" ref="AC474">IF(OR($B474="",$D474=""),"",
IFERROR(
  INDEX(
    'Tools &amp; Targets_Guideline'!$C$54:$I$269,
    MATCH(
      1,
      ('Tools &amp; Targets_Guideline'!$A$54:$A$269=$B474)*
      ('Tools &amp; Targets_Guideline'!$B$54:$B$269="TB"),
      0
    ),
    MATCH(
      _xludf.IFNA(
        VLOOKUP($D474,{"PH","Provincial Hospital (H2)";"DH","District Hospital (H3)";"RH","Regional / National Hospital (H1)"},2,0),
        $D474
      ),
      'Tools &amp; Targets_Guideline'!$C$53:$I$53,
      0
    )
  ),
0))</f>
        <v/>
      </c>
      <c r="AD474" s="102"/>
      <c r="AE474" s="119" t="str">
        <f t="array" ref="AE474">IF(OR($B474="",$D474=""),"",
IFERROR(
  INDEX(
    'Tools &amp; Targets_Guideline'!$C$54:$I$269,
    MATCH(
      1,
      ('Tools &amp; Targets_Guideline'!$A$54:$A$269=$B474)*
      ('Tools &amp; Targets_Guideline'!$B$54:$B$269="U5 Morbidity"),
      0
    ),
    MATCH(
      _xludf.IFNA(
        VLOOKUP($D474,{"PH","Provincial Hospital (H2)";"DH","District Hospital (H3)";"RH","Regional / National Hospital (H1)"},2,0),
        $D474
      ),
      'Tools &amp; Targets_Guideline'!$C$53:$I$53,
      0
    )
  ),
0))</f>
        <v/>
      </c>
      <c r="AF474" s="102"/>
      <c r="AG474" s="119" t="str">
        <f t="array" ref="AG474">IF(OR($B474="",$D474=""),"",
IFERROR(
  INDEX(
    'Tools &amp; Targets_Guideline'!$C$54:$I$269,
    MATCH(
      1,
      ('Tools &amp; Targets_Guideline'!$A$54:$A$269=$B474)*
      ('Tools &amp; Targets_Guideline'!$B$54:$B$269="C-Section"),
      0
    ),
    MATCH(
      _xludf.IFNA(
        VLOOKUP($D474,{"PH","Provincial Hospital (H2)";"DH","District Hospital (H3)";"RH","Regional / National Hospital (H1)"},2,0),
        $D474
      ),
      'Tools &amp; Targets_Guideline'!$C$53:$I$53,
      0
    )
  ),
0))</f>
        <v/>
      </c>
      <c r="AH474" s="102" t="str">
        <f>IF(A474&lt;&gt;"",COUNTIFS('QA Log'!D:D,A474,'QA Log'!M:M,"QQC",'QA Log'!L:L,"2. Hygiene and Sterilization",'QA Log'!Z:Z,"Approved"),"")</f>
        <v/>
      </c>
      <c r="AI474" s="102"/>
      <c r="AJ474" s="102"/>
      <c r="AK474" s="103" t="str">
        <f t="shared" si="17"/>
        <v/>
      </c>
      <c r="AL474" s="102"/>
      <c r="AM474" s="102"/>
      <c r="AN474" s="102"/>
      <c r="AO474" s="106"/>
      <c r="AP474" s="103"/>
      <c r="AQ474" s="102"/>
      <c r="AR474" s="102"/>
      <c r="AS474" s="102"/>
      <c r="AT474" s="107"/>
      <c r="AU474" s="102" t="str">
        <f t="shared" si="18"/>
        <v/>
      </c>
      <c r="AV474" s="102" t="str">
        <f t="shared" si="19"/>
        <v/>
      </c>
      <c r="AW474" s="102" t="str">
        <f t="shared" si="20"/>
        <v/>
      </c>
      <c r="AX474" s="102" t="str">
        <f t="shared" si="21"/>
        <v/>
      </c>
      <c r="AY474" s="107" t="str">
        <f t="shared" si="22"/>
        <v/>
      </c>
      <c r="AZ474" s="108" t="str">
        <f t="shared" si="23"/>
        <v/>
      </c>
      <c r="BA474" s="108" t="str">
        <f t="shared" si="24"/>
        <v/>
      </c>
      <c r="BB474" s="109" t="str">
        <f t="shared" si="25"/>
        <v/>
      </c>
      <c r="BC474" s="108" t="str">
        <f t="shared" si="26"/>
        <v/>
      </c>
      <c r="BD474" s="108" t="str">
        <f t="shared" si="27"/>
        <v/>
      </c>
      <c r="BE474" s="109" t="str">
        <f t="shared" si="28"/>
        <v/>
      </c>
      <c r="BF474" s="110" t="str">
        <f t="shared" si="29"/>
        <v/>
      </c>
      <c r="BG474" s="111"/>
    </row>
    <row r="475" spans="1:59" ht="12.75">
      <c r="A475" s="101"/>
      <c r="B475" s="102"/>
      <c r="C475" s="102" t="e">
        <f t="array" aca="1" ref="C475" ca="1">_xludf.XLOOKUP(A475,'QA Log'!D:D,'QA Log'!F:F,"")</f>
        <v>#NAME?</v>
      </c>
      <c r="D475" s="102"/>
      <c r="E475" s="102" t="e">
        <f t="array" aca="1" ref="E475" ca="1">_xludf.XLOOKUP(A475,'QA Log'!D:D,'QA Log'!G:G,"")</f>
        <v>#NAME?</v>
      </c>
      <c r="F475" s="103"/>
      <c r="G475" s="104"/>
      <c r="H475" s="104"/>
      <c r="I475" s="103" t="str">
        <f t="shared" si="15"/>
        <v/>
      </c>
      <c r="J475" s="102"/>
      <c r="K475" s="102"/>
      <c r="L475" s="119" t="str">
        <f t="array" ref="L475">IF(OR($B475="",$D475=""),"",
IFERROR(
  INDEX(
    'Tools &amp; Targets_Guideline'!$C$54:$I$269,
    MATCH(
      1,
      ('Tools &amp; Targets_Guideline'!$A$54:$A$269=$B475)*
      ('Tools &amp; Targets_Guideline'!$B$54:$B$269="ANC"),
      0
    ),
    MATCH(
      _xludf.IFNA(
        VLOOKUP($D475,{"PH","Provincial Hospital (H2)";"DH","District Hospital (H3)";"RH","Regional / National Hospital (H1)"},2,0),
        $D475
      ),
      'Tools &amp; Targets_Guideline'!$C$53:$I$53,
      0
    )
  ),
0))</f>
        <v/>
      </c>
      <c r="M475" s="102"/>
      <c r="N475" s="119" t="str">
        <f t="array" ref="N475">IF(OR($B475="",$D475=""),"",
IFERROR(
  INDEX(
    'Tools &amp; Targets_Guideline'!$C$54:$I$269,
    MATCH(
      1,
      ('Tools &amp; Targets_Guideline'!$A$54:$A$269=$B475)*
      ('Tools &amp; Targets_Guideline'!$B$54:$B$269="PNC"),
      0
    ),
    MATCH(
      _xludf.IFNA(
        VLOOKUP($D475,{"PH","Provincial Hospital (H2)";"DH","District Hospital (H3)";"RH","Regional / National Hospital (H1)"},2,0),
        $D475
      ),
      'Tools &amp; Targets_Guideline'!$C$53:$I$53,
      0
    )
  ),
0))</f>
        <v/>
      </c>
      <c r="O475" s="102"/>
      <c r="P475" s="119" t="str">
        <f t="array" ref="P475">IF(OR($B475="",$D475=""),"",
IFERROR(
  INDEX(
    'Tools &amp; Targets_Guideline'!$C$54:$I$269,
    MATCH(
      1,
      ('Tools &amp; Targets_Guideline'!$A$54:$A$269=$B475)*
      ('Tools &amp; Targets_Guideline'!$B$54:$B$269="Delivery"),
      0
    ),
    MATCH(
      _xludf.IFNA(
        VLOOKUP($D475,{"PH","Provincial Hospital (H2)";"DH","District Hospital (H3)";"RH","Regional / National Hospital (H1)"},2,0),
        $D475
      ),
      'Tools &amp; Targets_Guideline'!$C$53:$I$53,
      0
    )
  ),
0))</f>
        <v/>
      </c>
      <c r="Q475" s="102"/>
      <c r="R475" s="119" t="str">
        <f t="array" ref="R475">IF(OR($B475="",$D475=""),"",
IFERROR(
  INDEX(
    'Tools &amp; Targets_Guideline'!$C$54:$I$269,
    MATCH(
      1,
      ('Tools &amp; Targets_Guideline'!$A$54:$A$269=$B475)*
      ('Tools &amp; Targets_Guideline'!$B$54:$B$269="TT"),
      0
    ),
    MATCH(
      _xludf.IFNA(
        VLOOKUP($D475,{"PH","Provincial Hospital (H2)";"DH","District Hospital (H3)";"RH","Regional / National Hospital (H1)"},2,0),
        $D475
      ),
      'Tools &amp; Targets_Guideline'!$C$53:$I$53,
      0
    )
  ),
0))</f>
        <v/>
      </c>
      <c r="S475" s="102"/>
      <c r="T475" s="102"/>
      <c r="U475" s="106"/>
      <c r="V475" s="102" t="str">
        <f t="shared" si="16"/>
        <v/>
      </c>
      <c r="W475" s="102"/>
      <c r="X475" s="102"/>
      <c r="Y475" s="119" t="str">
        <f t="array" ref="Y475">IF(OR($B475="",$D475=""),"",
IFERROR(
  INDEX(
    'Tools &amp; Targets_Guideline'!$C$54:$I$269,
    MATCH(
      1,
      ('Tools &amp; Targets_Guideline'!$A$54:$A$269=$B475)*
      ('Tools &amp; Targets_Guideline'!$B$54:$B$269="GM"),
      0
    ),
    MATCH(
      _xludf.IFNA(
        VLOOKUP($D475,{"PH","Provincial Hospital (H2)";"DH","District Hospital (H3)";"RH","Regional / National Hospital (H1)"},2,0),
        $D475
      ),
      'Tools &amp; Targets_Guideline'!$C$53:$I$53,
      0
    )
  ),
0))</f>
        <v/>
      </c>
      <c r="Z475" s="102"/>
      <c r="AA475" s="119" t="str">
        <f t="array" ref="AA475">IF(OR($B475="",$D475=""),"",
IFERROR(
  INDEX(
    'Tools &amp; Targets_Guideline'!$C$54:$I$269,
    MATCH(
      1,
      ('Tools &amp; Targets_Guideline'!$A$54:$A$269=$B475)*
      ('Tools &amp; Targets_Guideline'!$B$54:$B$269="Penta"),
      0
    ),
    MATCH(
      _xludf.IFNA(
        VLOOKUP($D475,{"PH","Provincial Hospital (H2)";"DH","District Hospital (H3)";"RH","Regional / National Hospital (H1)"},2,0),
        $D475
      ),
      'Tools &amp; Targets_Guideline'!$C$53:$I$53,
      0
    )
  ),
0))</f>
        <v/>
      </c>
      <c r="AB475" s="102"/>
      <c r="AC475" s="119" t="str">
        <f t="array" ref="AC475">IF(OR($B475="",$D475=""),"",
IFERROR(
  INDEX(
    'Tools &amp; Targets_Guideline'!$C$54:$I$269,
    MATCH(
      1,
      ('Tools &amp; Targets_Guideline'!$A$54:$A$269=$B475)*
      ('Tools &amp; Targets_Guideline'!$B$54:$B$269="TB"),
      0
    ),
    MATCH(
      _xludf.IFNA(
        VLOOKUP($D475,{"PH","Provincial Hospital (H2)";"DH","District Hospital (H3)";"RH","Regional / National Hospital (H1)"},2,0),
        $D475
      ),
      'Tools &amp; Targets_Guideline'!$C$53:$I$53,
      0
    )
  ),
0))</f>
        <v/>
      </c>
      <c r="AD475" s="102"/>
      <c r="AE475" s="119" t="str">
        <f t="array" ref="AE475">IF(OR($B475="",$D475=""),"",
IFERROR(
  INDEX(
    'Tools &amp; Targets_Guideline'!$C$54:$I$269,
    MATCH(
      1,
      ('Tools &amp; Targets_Guideline'!$A$54:$A$269=$B475)*
      ('Tools &amp; Targets_Guideline'!$B$54:$B$269="U5 Morbidity"),
      0
    ),
    MATCH(
      _xludf.IFNA(
        VLOOKUP($D475,{"PH","Provincial Hospital (H2)";"DH","District Hospital (H3)";"RH","Regional / National Hospital (H1)"},2,0),
        $D475
      ),
      'Tools &amp; Targets_Guideline'!$C$53:$I$53,
      0
    )
  ),
0))</f>
        <v/>
      </c>
      <c r="AF475" s="102"/>
      <c r="AG475" s="119" t="str">
        <f t="array" ref="AG475">IF(OR($B475="",$D475=""),"",
IFERROR(
  INDEX(
    'Tools &amp; Targets_Guideline'!$C$54:$I$269,
    MATCH(
      1,
      ('Tools &amp; Targets_Guideline'!$A$54:$A$269=$B475)*
      ('Tools &amp; Targets_Guideline'!$B$54:$B$269="C-Section"),
      0
    ),
    MATCH(
      _xludf.IFNA(
        VLOOKUP($D475,{"PH","Provincial Hospital (H2)";"DH","District Hospital (H3)";"RH","Regional / National Hospital (H1)"},2,0),
        $D475
      ),
      'Tools &amp; Targets_Guideline'!$C$53:$I$53,
      0
    )
  ),
0))</f>
        <v/>
      </c>
      <c r="AH475" s="102" t="str">
        <f>IF(A475&lt;&gt;"",COUNTIFS('QA Log'!D:D,A475,'QA Log'!M:M,"QQC",'QA Log'!L:L,"2. Hygiene and Sterilization",'QA Log'!Z:Z,"Approved"),"")</f>
        <v/>
      </c>
      <c r="AI475" s="102"/>
      <c r="AJ475" s="102"/>
      <c r="AK475" s="103" t="str">
        <f t="shared" si="17"/>
        <v/>
      </c>
      <c r="AL475" s="102"/>
      <c r="AM475" s="102"/>
      <c r="AN475" s="102"/>
      <c r="AO475" s="106"/>
      <c r="AP475" s="103"/>
      <c r="AQ475" s="102"/>
      <c r="AR475" s="102"/>
      <c r="AS475" s="102"/>
      <c r="AT475" s="107"/>
      <c r="AU475" s="102" t="str">
        <f t="shared" si="18"/>
        <v/>
      </c>
      <c r="AV475" s="102" t="str">
        <f t="shared" si="19"/>
        <v/>
      </c>
      <c r="AW475" s="102" t="str">
        <f t="shared" si="20"/>
        <v/>
      </c>
      <c r="AX475" s="102" t="str">
        <f t="shared" si="21"/>
        <v/>
      </c>
      <c r="AY475" s="107" t="str">
        <f t="shared" si="22"/>
        <v/>
      </c>
      <c r="AZ475" s="108" t="str">
        <f t="shared" si="23"/>
        <v/>
      </c>
      <c r="BA475" s="108" t="str">
        <f t="shared" si="24"/>
        <v/>
      </c>
      <c r="BB475" s="109" t="str">
        <f t="shared" si="25"/>
        <v/>
      </c>
      <c r="BC475" s="108" t="str">
        <f t="shared" si="26"/>
        <v/>
      </c>
      <c r="BD475" s="108" t="str">
        <f t="shared" si="27"/>
        <v/>
      </c>
      <c r="BE475" s="109" t="str">
        <f t="shared" si="28"/>
        <v/>
      </c>
      <c r="BF475" s="110" t="str">
        <f t="shared" si="29"/>
        <v/>
      </c>
      <c r="BG475" s="111"/>
    </row>
    <row r="476" spans="1:59" ht="12.75">
      <c r="A476" s="101"/>
      <c r="B476" s="102"/>
      <c r="C476" s="102" t="e">
        <f t="array" aca="1" ref="C476" ca="1">_xludf.XLOOKUP(A476,'QA Log'!D:D,'QA Log'!F:F,"")</f>
        <v>#NAME?</v>
      </c>
      <c r="D476" s="102"/>
      <c r="E476" s="102" t="e">
        <f t="array" aca="1" ref="E476" ca="1">_xludf.XLOOKUP(A476,'QA Log'!D:D,'QA Log'!G:G,"")</f>
        <v>#NAME?</v>
      </c>
      <c r="F476" s="103"/>
      <c r="G476" s="104"/>
      <c r="H476" s="104"/>
      <c r="I476" s="103" t="str">
        <f t="shared" si="15"/>
        <v/>
      </c>
      <c r="J476" s="102"/>
      <c r="K476" s="102"/>
      <c r="L476" s="119" t="str">
        <f t="array" ref="L476">IF(OR($B476="",$D476=""),"",
IFERROR(
  INDEX(
    'Tools &amp; Targets_Guideline'!$C$54:$I$269,
    MATCH(
      1,
      ('Tools &amp; Targets_Guideline'!$A$54:$A$269=$B476)*
      ('Tools &amp; Targets_Guideline'!$B$54:$B$269="ANC"),
      0
    ),
    MATCH(
      _xludf.IFNA(
        VLOOKUP($D476,{"PH","Provincial Hospital (H2)";"DH","District Hospital (H3)";"RH","Regional / National Hospital (H1)"},2,0),
        $D476
      ),
      'Tools &amp; Targets_Guideline'!$C$53:$I$53,
      0
    )
  ),
0))</f>
        <v/>
      </c>
      <c r="M476" s="102"/>
      <c r="N476" s="119" t="str">
        <f t="array" ref="N476">IF(OR($B476="",$D476=""),"",
IFERROR(
  INDEX(
    'Tools &amp; Targets_Guideline'!$C$54:$I$269,
    MATCH(
      1,
      ('Tools &amp; Targets_Guideline'!$A$54:$A$269=$B476)*
      ('Tools &amp; Targets_Guideline'!$B$54:$B$269="PNC"),
      0
    ),
    MATCH(
      _xludf.IFNA(
        VLOOKUP($D476,{"PH","Provincial Hospital (H2)";"DH","District Hospital (H3)";"RH","Regional / National Hospital (H1)"},2,0),
        $D476
      ),
      'Tools &amp; Targets_Guideline'!$C$53:$I$53,
      0
    )
  ),
0))</f>
        <v/>
      </c>
      <c r="O476" s="102"/>
      <c r="P476" s="119" t="str">
        <f t="array" ref="P476">IF(OR($B476="",$D476=""),"",
IFERROR(
  INDEX(
    'Tools &amp; Targets_Guideline'!$C$54:$I$269,
    MATCH(
      1,
      ('Tools &amp; Targets_Guideline'!$A$54:$A$269=$B476)*
      ('Tools &amp; Targets_Guideline'!$B$54:$B$269="Delivery"),
      0
    ),
    MATCH(
      _xludf.IFNA(
        VLOOKUP($D476,{"PH","Provincial Hospital (H2)";"DH","District Hospital (H3)";"RH","Regional / National Hospital (H1)"},2,0),
        $D476
      ),
      'Tools &amp; Targets_Guideline'!$C$53:$I$53,
      0
    )
  ),
0))</f>
        <v/>
      </c>
      <c r="Q476" s="102"/>
      <c r="R476" s="119" t="str">
        <f t="array" ref="R476">IF(OR($B476="",$D476=""),"",
IFERROR(
  INDEX(
    'Tools &amp; Targets_Guideline'!$C$54:$I$269,
    MATCH(
      1,
      ('Tools &amp; Targets_Guideline'!$A$54:$A$269=$B476)*
      ('Tools &amp; Targets_Guideline'!$B$54:$B$269="TT"),
      0
    ),
    MATCH(
      _xludf.IFNA(
        VLOOKUP($D476,{"PH","Provincial Hospital (H2)";"DH","District Hospital (H3)";"RH","Regional / National Hospital (H1)"},2,0),
        $D476
      ),
      'Tools &amp; Targets_Guideline'!$C$53:$I$53,
      0
    )
  ),
0))</f>
        <v/>
      </c>
      <c r="S476" s="102"/>
      <c r="T476" s="102"/>
      <c r="U476" s="106"/>
      <c r="V476" s="102" t="str">
        <f t="shared" si="16"/>
        <v/>
      </c>
      <c r="W476" s="102"/>
      <c r="X476" s="102"/>
      <c r="Y476" s="119" t="str">
        <f t="array" ref="Y476">IF(OR($B476="",$D476=""),"",
IFERROR(
  INDEX(
    'Tools &amp; Targets_Guideline'!$C$54:$I$269,
    MATCH(
      1,
      ('Tools &amp; Targets_Guideline'!$A$54:$A$269=$B476)*
      ('Tools &amp; Targets_Guideline'!$B$54:$B$269="GM"),
      0
    ),
    MATCH(
      _xludf.IFNA(
        VLOOKUP($D476,{"PH","Provincial Hospital (H2)";"DH","District Hospital (H3)";"RH","Regional / National Hospital (H1)"},2,0),
        $D476
      ),
      'Tools &amp; Targets_Guideline'!$C$53:$I$53,
      0
    )
  ),
0))</f>
        <v/>
      </c>
      <c r="Z476" s="102"/>
      <c r="AA476" s="119" t="str">
        <f t="array" ref="AA476">IF(OR($B476="",$D476=""),"",
IFERROR(
  INDEX(
    'Tools &amp; Targets_Guideline'!$C$54:$I$269,
    MATCH(
      1,
      ('Tools &amp; Targets_Guideline'!$A$54:$A$269=$B476)*
      ('Tools &amp; Targets_Guideline'!$B$54:$B$269="Penta"),
      0
    ),
    MATCH(
      _xludf.IFNA(
        VLOOKUP($D476,{"PH","Provincial Hospital (H2)";"DH","District Hospital (H3)";"RH","Regional / National Hospital (H1)"},2,0),
        $D476
      ),
      'Tools &amp; Targets_Guideline'!$C$53:$I$53,
      0
    )
  ),
0))</f>
        <v/>
      </c>
      <c r="AB476" s="102"/>
      <c r="AC476" s="119" t="str">
        <f t="array" ref="AC476">IF(OR($B476="",$D476=""),"",
IFERROR(
  INDEX(
    'Tools &amp; Targets_Guideline'!$C$54:$I$269,
    MATCH(
      1,
      ('Tools &amp; Targets_Guideline'!$A$54:$A$269=$B476)*
      ('Tools &amp; Targets_Guideline'!$B$54:$B$269="TB"),
      0
    ),
    MATCH(
      _xludf.IFNA(
        VLOOKUP($D476,{"PH","Provincial Hospital (H2)";"DH","District Hospital (H3)";"RH","Regional / National Hospital (H1)"},2,0),
        $D476
      ),
      'Tools &amp; Targets_Guideline'!$C$53:$I$53,
      0
    )
  ),
0))</f>
        <v/>
      </c>
      <c r="AD476" s="102"/>
      <c r="AE476" s="119" t="str">
        <f t="array" ref="AE476">IF(OR($B476="",$D476=""),"",
IFERROR(
  INDEX(
    'Tools &amp; Targets_Guideline'!$C$54:$I$269,
    MATCH(
      1,
      ('Tools &amp; Targets_Guideline'!$A$54:$A$269=$B476)*
      ('Tools &amp; Targets_Guideline'!$B$54:$B$269="U5 Morbidity"),
      0
    ),
    MATCH(
      _xludf.IFNA(
        VLOOKUP($D476,{"PH","Provincial Hospital (H2)";"DH","District Hospital (H3)";"RH","Regional / National Hospital (H1)"},2,0),
        $D476
      ),
      'Tools &amp; Targets_Guideline'!$C$53:$I$53,
      0
    )
  ),
0))</f>
        <v/>
      </c>
      <c r="AF476" s="102"/>
      <c r="AG476" s="119" t="str">
        <f t="array" ref="AG476">IF(OR($B476="",$D476=""),"",
IFERROR(
  INDEX(
    'Tools &amp; Targets_Guideline'!$C$54:$I$269,
    MATCH(
      1,
      ('Tools &amp; Targets_Guideline'!$A$54:$A$269=$B476)*
      ('Tools &amp; Targets_Guideline'!$B$54:$B$269="C-Section"),
      0
    ),
    MATCH(
      _xludf.IFNA(
        VLOOKUP($D476,{"PH","Provincial Hospital (H2)";"DH","District Hospital (H3)";"RH","Regional / National Hospital (H1)"},2,0),
        $D476
      ),
      'Tools &amp; Targets_Guideline'!$C$53:$I$53,
      0
    )
  ),
0))</f>
        <v/>
      </c>
      <c r="AH476" s="102" t="str">
        <f>IF(A476&lt;&gt;"",COUNTIFS('QA Log'!D:D,A476,'QA Log'!M:M,"QQC",'QA Log'!L:L,"2. Hygiene and Sterilization",'QA Log'!Z:Z,"Approved"),"")</f>
        <v/>
      </c>
      <c r="AI476" s="102"/>
      <c r="AJ476" s="102"/>
      <c r="AK476" s="103" t="str">
        <f t="shared" si="17"/>
        <v/>
      </c>
      <c r="AL476" s="102"/>
      <c r="AM476" s="102"/>
      <c r="AN476" s="102"/>
      <c r="AO476" s="106"/>
      <c r="AP476" s="103"/>
      <c r="AQ476" s="102"/>
      <c r="AR476" s="102"/>
      <c r="AS476" s="102"/>
      <c r="AT476" s="107"/>
      <c r="AU476" s="102" t="str">
        <f t="shared" si="18"/>
        <v/>
      </c>
      <c r="AV476" s="102" t="str">
        <f t="shared" si="19"/>
        <v/>
      </c>
      <c r="AW476" s="102" t="str">
        <f t="shared" si="20"/>
        <v/>
      </c>
      <c r="AX476" s="102" t="str">
        <f t="shared" si="21"/>
        <v/>
      </c>
      <c r="AY476" s="107" t="str">
        <f t="shared" si="22"/>
        <v/>
      </c>
      <c r="AZ476" s="108" t="str">
        <f t="shared" si="23"/>
        <v/>
      </c>
      <c r="BA476" s="108" t="str">
        <f t="shared" si="24"/>
        <v/>
      </c>
      <c r="BB476" s="109" t="str">
        <f t="shared" si="25"/>
        <v/>
      </c>
      <c r="BC476" s="108" t="str">
        <f t="shared" si="26"/>
        <v/>
      </c>
      <c r="BD476" s="108" t="str">
        <f t="shared" si="27"/>
        <v/>
      </c>
      <c r="BE476" s="109" t="str">
        <f t="shared" si="28"/>
        <v/>
      </c>
      <c r="BF476" s="110" t="str">
        <f t="shared" si="29"/>
        <v/>
      </c>
      <c r="BG476" s="111"/>
    </row>
    <row r="477" spans="1:59" ht="12.75">
      <c r="A477" s="101"/>
      <c r="B477" s="102"/>
      <c r="C477" s="102" t="e">
        <f t="array" aca="1" ref="C477" ca="1">_xludf.XLOOKUP(A477,'QA Log'!D:D,'QA Log'!F:F,"")</f>
        <v>#NAME?</v>
      </c>
      <c r="D477" s="102"/>
      <c r="E477" s="102" t="e">
        <f t="array" aca="1" ref="E477" ca="1">_xludf.XLOOKUP(A477,'QA Log'!D:D,'QA Log'!G:G,"")</f>
        <v>#NAME?</v>
      </c>
      <c r="F477" s="103"/>
      <c r="G477" s="104"/>
      <c r="H477" s="104"/>
      <c r="I477" s="103" t="str">
        <f t="shared" si="15"/>
        <v/>
      </c>
      <c r="J477" s="102"/>
      <c r="K477" s="102"/>
      <c r="L477" s="119" t="str">
        <f t="array" ref="L477">IF(OR($B477="",$D477=""),"",
IFERROR(
  INDEX(
    'Tools &amp; Targets_Guideline'!$C$54:$I$269,
    MATCH(
      1,
      ('Tools &amp; Targets_Guideline'!$A$54:$A$269=$B477)*
      ('Tools &amp; Targets_Guideline'!$B$54:$B$269="ANC"),
      0
    ),
    MATCH(
      _xludf.IFNA(
        VLOOKUP($D477,{"PH","Provincial Hospital (H2)";"DH","District Hospital (H3)";"RH","Regional / National Hospital (H1)"},2,0),
        $D477
      ),
      'Tools &amp; Targets_Guideline'!$C$53:$I$53,
      0
    )
  ),
0))</f>
        <v/>
      </c>
      <c r="M477" s="102"/>
      <c r="N477" s="119" t="str">
        <f t="array" ref="N477">IF(OR($B477="",$D477=""),"",
IFERROR(
  INDEX(
    'Tools &amp; Targets_Guideline'!$C$54:$I$269,
    MATCH(
      1,
      ('Tools &amp; Targets_Guideline'!$A$54:$A$269=$B477)*
      ('Tools &amp; Targets_Guideline'!$B$54:$B$269="PNC"),
      0
    ),
    MATCH(
      _xludf.IFNA(
        VLOOKUP($D477,{"PH","Provincial Hospital (H2)";"DH","District Hospital (H3)";"RH","Regional / National Hospital (H1)"},2,0),
        $D477
      ),
      'Tools &amp; Targets_Guideline'!$C$53:$I$53,
      0
    )
  ),
0))</f>
        <v/>
      </c>
      <c r="O477" s="102"/>
      <c r="P477" s="119" t="str">
        <f t="array" ref="P477">IF(OR($B477="",$D477=""),"",
IFERROR(
  INDEX(
    'Tools &amp; Targets_Guideline'!$C$54:$I$269,
    MATCH(
      1,
      ('Tools &amp; Targets_Guideline'!$A$54:$A$269=$B477)*
      ('Tools &amp; Targets_Guideline'!$B$54:$B$269="Delivery"),
      0
    ),
    MATCH(
      _xludf.IFNA(
        VLOOKUP($D477,{"PH","Provincial Hospital (H2)";"DH","District Hospital (H3)";"RH","Regional / National Hospital (H1)"},2,0),
        $D477
      ),
      'Tools &amp; Targets_Guideline'!$C$53:$I$53,
      0
    )
  ),
0))</f>
        <v/>
      </c>
      <c r="Q477" s="102"/>
      <c r="R477" s="119" t="str">
        <f t="array" ref="R477">IF(OR($B477="",$D477=""),"",
IFERROR(
  INDEX(
    'Tools &amp; Targets_Guideline'!$C$54:$I$269,
    MATCH(
      1,
      ('Tools &amp; Targets_Guideline'!$A$54:$A$269=$B477)*
      ('Tools &amp; Targets_Guideline'!$B$54:$B$269="TT"),
      0
    ),
    MATCH(
      _xludf.IFNA(
        VLOOKUP($D477,{"PH","Provincial Hospital (H2)";"DH","District Hospital (H3)";"RH","Regional / National Hospital (H1)"},2,0),
        $D477
      ),
      'Tools &amp; Targets_Guideline'!$C$53:$I$53,
      0
    )
  ),
0))</f>
        <v/>
      </c>
      <c r="S477" s="102"/>
      <c r="T477" s="102"/>
      <c r="U477" s="106"/>
      <c r="V477" s="102" t="str">
        <f t="shared" si="16"/>
        <v/>
      </c>
      <c r="W477" s="102"/>
      <c r="X477" s="102"/>
      <c r="Y477" s="119" t="str">
        <f t="array" ref="Y477">IF(OR($B477="",$D477=""),"",
IFERROR(
  INDEX(
    'Tools &amp; Targets_Guideline'!$C$54:$I$269,
    MATCH(
      1,
      ('Tools &amp; Targets_Guideline'!$A$54:$A$269=$B477)*
      ('Tools &amp; Targets_Guideline'!$B$54:$B$269="GM"),
      0
    ),
    MATCH(
      _xludf.IFNA(
        VLOOKUP($D477,{"PH","Provincial Hospital (H2)";"DH","District Hospital (H3)";"RH","Regional / National Hospital (H1)"},2,0),
        $D477
      ),
      'Tools &amp; Targets_Guideline'!$C$53:$I$53,
      0
    )
  ),
0))</f>
        <v/>
      </c>
      <c r="Z477" s="102"/>
      <c r="AA477" s="119" t="str">
        <f t="array" ref="AA477">IF(OR($B477="",$D477=""),"",
IFERROR(
  INDEX(
    'Tools &amp; Targets_Guideline'!$C$54:$I$269,
    MATCH(
      1,
      ('Tools &amp; Targets_Guideline'!$A$54:$A$269=$B477)*
      ('Tools &amp; Targets_Guideline'!$B$54:$B$269="Penta"),
      0
    ),
    MATCH(
      _xludf.IFNA(
        VLOOKUP($D477,{"PH","Provincial Hospital (H2)";"DH","District Hospital (H3)";"RH","Regional / National Hospital (H1)"},2,0),
        $D477
      ),
      'Tools &amp; Targets_Guideline'!$C$53:$I$53,
      0
    )
  ),
0))</f>
        <v/>
      </c>
      <c r="AB477" s="102"/>
      <c r="AC477" s="119" t="str">
        <f t="array" ref="AC477">IF(OR($B477="",$D477=""),"",
IFERROR(
  INDEX(
    'Tools &amp; Targets_Guideline'!$C$54:$I$269,
    MATCH(
      1,
      ('Tools &amp; Targets_Guideline'!$A$54:$A$269=$B477)*
      ('Tools &amp; Targets_Guideline'!$B$54:$B$269="TB"),
      0
    ),
    MATCH(
      _xludf.IFNA(
        VLOOKUP($D477,{"PH","Provincial Hospital (H2)";"DH","District Hospital (H3)";"RH","Regional / National Hospital (H1)"},2,0),
        $D477
      ),
      'Tools &amp; Targets_Guideline'!$C$53:$I$53,
      0
    )
  ),
0))</f>
        <v/>
      </c>
      <c r="AD477" s="102"/>
      <c r="AE477" s="119" t="str">
        <f t="array" ref="AE477">IF(OR($B477="",$D477=""),"",
IFERROR(
  INDEX(
    'Tools &amp; Targets_Guideline'!$C$54:$I$269,
    MATCH(
      1,
      ('Tools &amp; Targets_Guideline'!$A$54:$A$269=$B477)*
      ('Tools &amp; Targets_Guideline'!$B$54:$B$269="U5 Morbidity"),
      0
    ),
    MATCH(
      _xludf.IFNA(
        VLOOKUP($D477,{"PH","Provincial Hospital (H2)";"DH","District Hospital (H3)";"RH","Regional / National Hospital (H1)"},2,0),
        $D477
      ),
      'Tools &amp; Targets_Guideline'!$C$53:$I$53,
      0
    )
  ),
0))</f>
        <v/>
      </c>
      <c r="AF477" s="102"/>
      <c r="AG477" s="119" t="str">
        <f t="array" ref="AG477">IF(OR($B477="",$D477=""),"",
IFERROR(
  INDEX(
    'Tools &amp; Targets_Guideline'!$C$54:$I$269,
    MATCH(
      1,
      ('Tools &amp; Targets_Guideline'!$A$54:$A$269=$B477)*
      ('Tools &amp; Targets_Guideline'!$B$54:$B$269="C-Section"),
      0
    ),
    MATCH(
      _xludf.IFNA(
        VLOOKUP($D477,{"PH","Provincial Hospital (H2)";"DH","District Hospital (H3)";"RH","Regional / National Hospital (H1)"},2,0),
        $D477
      ),
      'Tools &amp; Targets_Guideline'!$C$53:$I$53,
      0
    )
  ),
0))</f>
        <v/>
      </c>
      <c r="AH477" s="102" t="str">
        <f>IF(A477&lt;&gt;"",COUNTIFS('QA Log'!D:D,A477,'QA Log'!M:M,"QQC",'QA Log'!L:L,"2. Hygiene and Sterilization",'QA Log'!Z:Z,"Approved"),"")</f>
        <v/>
      </c>
      <c r="AI477" s="102"/>
      <c r="AJ477" s="102"/>
      <c r="AK477" s="103" t="str">
        <f t="shared" si="17"/>
        <v/>
      </c>
      <c r="AL477" s="102"/>
      <c r="AM477" s="102"/>
      <c r="AN477" s="102"/>
      <c r="AO477" s="106"/>
      <c r="AP477" s="103"/>
      <c r="AQ477" s="102"/>
      <c r="AR477" s="102"/>
      <c r="AS477" s="102"/>
      <c r="AT477" s="107"/>
      <c r="AU477" s="102" t="str">
        <f t="shared" si="18"/>
        <v/>
      </c>
      <c r="AV477" s="102" t="str">
        <f t="shared" si="19"/>
        <v/>
      </c>
      <c r="AW477" s="102" t="str">
        <f t="shared" si="20"/>
        <v/>
      </c>
      <c r="AX477" s="102" t="str">
        <f t="shared" si="21"/>
        <v/>
      </c>
      <c r="AY477" s="107" t="str">
        <f t="shared" si="22"/>
        <v/>
      </c>
      <c r="AZ477" s="108" t="str">
        <f t="shared" si="23"/>
        <v/>
      </c>
      <c r="BA477" s="108" t="str">
        <f t="shared" si="24"/>
        <v/>
      </c>
      <c r="BB477" s="109" t="str">
        <f t="shared" si="25"/>
        <v/>
      </c>
      <c r="BC477" s="108" t="str">
        <f t="shared" si="26"/>
        <v/>
      </c>
      <c r="BD477" s="108" t="str">
        <f t="shared" si="27"/>
        <v/>
      </c>
      <c r="BE477" s="109" t="str">
        <f t="shared" si="28"/>
        <v/>
      </c>
      <c r="BF477" s="110" t="str">
        <f t="shared" si="29"/>
        <v/>
      </c>
      <c r="BG477" s="111"/>
    </row>
    <row r="478" spans="1:59" ht="12.75">
      <c r="A478" s="101"/>
      <c r="B478" s="102"/>
      <c r="C478" s="102" t="e">
        <f t="array" aca="1" ref="C478" ca="1">_xludf.XLOOKUP(A478,'QA Log'!D:D,'QA Log'!F:F,"")</f>
        <v>#NAME?</v>
      </c>
      <c r="D478" s="102"/>
      <c r="E478" s="102" t="e">
        <f t="array" aca="1" ref="E478" ca="1">_xludf.XLOOKUP(A478,'QA Log'!D:D,'QA Log'!G:G,"")</f>
        <v>#NAME?</v>
      </c>
      <c r="F478" s="103"/>
      <c r="G478" s="104"/>
      <c r="H478" s="104"/>
      <c r="I478" s="103" t="str">
        <f t="shared" si="15"/>
        <v/>
      </c>
      <c r="J478" s="102"/>
      <c r="K478" s="102"/>
      <c r="L478" s="119" t="str">
        <f t="array" ref="L478">IF(OR($B478="",$D478=""),"",
IFERROR(
  INDEX(
    'Tools &amp; Targets_Guideline'!$C$54:$I$269,
    MATCH(
      1,
      ('Tools &amp; Targets_Guideline'!$A$54:$A$269=$B478)*
      ('Tools &amp; Targets_Guideline'!$B$54:$B$269="ANC"),
      0
    ),
    MATCH(
      _xludf.IFNA(
        VLOOKUP($D478,{"PH","Provincial Hospital (H2)";"DH","District Hospital (H3)";"RH","Regional / National Hospital (H1)"},2,0),
        $D478
      ),
      'Tools &amp; Targets_Guideline'!$C$53:$I$53,
      0
    )
  ),
0))</f>
        <v/>
      </c>
      <c r="M478" s="102"/>
      <c r="N478" s="119" t="str">
        <f t="array" ref="N478">IF(OR($B478="",$D478=""),"",
IFERROR(
  INDEX(
    'Tools &amp; Targets_Guideline'!$C$54:$I$269,
    MATCH(
      1,
      ('Tools &amp; Targets_Guideline'!$A$54:$A$269=$B478)*
      ('Tools &amp; Targets_Guideline'!$B$54:$B$269="PNC"),
      0
    ),
    MATCH(
      _xludf.IFNA(
        VLOOKUP($D478,{"PH","Provincial Hospital (H2)";"DH","District Hospital (H3)";"RH","Regional / National Hospital (H1)"},2,0),
        $D478
      ),
      'Tools &amp; Targets_Guideline'!$C$53:$I$53,
      0
    )
  ),
0))</f>
        <v/>
      </c>
      <c r="O478" s="102"/>
      <c r="P478" s="119" t="str">
        <f t="array" ref="P478">IF(OR($B478="",$D478=""),"",
IFERROR(
  INDEX(
    'Tools &amp; Targets_Guideline'!$C$54:$I$269,
    MATCH(
      1,
      ('Tools &amp; Targets_Guideline'!$A$54:$A$269=$B478)*
      ('Tools &amp; Targets_Guideline'!$B$54:$B$269="Delivery"),
      0
    ),
    MATCH(
      _xludf.IFNA(
        VLOOKUP($D478,{"PH","Provincial Hospital (H2)";"DH","District Hospital (H3)";"RH","Regional / National Hospital (H1)"},2,0),
        $D478
      ),
      'Tools &amp; Targets_Guideline'!$C$53:$I$53,
      0
    )
  ),
0))</f>
        <v/>
      </c>
      <c r="Q478" s="102"/>
      <c r="R478" s="119" t="str">
        <f t="array" ref="R478">IF(OR($B478="",$D478=""),"",
IFERROR(
  INDEX(
    'Tools &amp; Targets_Guideline'!$C$54:$I$269,
    MATCH(
      1,
      ('Tools &amp; Targets_Guideline'!$A$54:$A$269=$B478)*
      ('Tools &amp; Targets_Guideline'!$B$54:$B$269="TT"),
      0
    ),
    MATCH(
      _xludf.IFNA(
        VLOOKUP($D478,{"PH","Provincial Hospital (H2)";"DH","District Hospital (H3)";"RH","Regional / National Hospital (H1)"},2,0),
        $D478
      ),
      'Tools &amp; Targets_Guideline'!$C$53:$I$53,
      0
    )
  ),
0))</f>
        <v/>
      </c>
      <c r="S478" s="102"/>
      <c r="T478" s="102"/>
      <c r="U478" s="106"/>
      <c r="V478" s="102" t="str">
        <f t="shared" si="16"/>
        <v/>
      </c>
      <c r="W478" s="102"/>
      <c r="X478" s="102"/>
      <c r="Y478" s="119" t="str">
        <f t="array" ref="Y478">IF(OR($B478="",$D478=""),"",
IFERROR(
  INDEX(
    'Tools &amp; Targets_Guideline'!$C$54:$I$269,
    MATCH(
      1,
      ('Tools &amp; Targets_Guideline'!$A$54:$A$269=$B478)*
      ('Tools &amp; Targets_Guideline'!$B$54:$B$269="GM"),
      0
    ),
    MATCH(
      _xludf.IFNA(
        VLOOKUP($D478,{"PH","Provincial Hospital (H2)";"DH","District Hospital (H3)";"RH","Regional / National Hospital (H1)"},2,0),
        $D478
      ),
      'Tools &amp; Targets_Guideline'!$C$53:$I$53,
      0
    )
  ),
0))</f>
        <v/>
      </c>
      <c r="Z478" s="102"/>
      <c r="AA478" s="119" t="str">
        <f t="array" ref="AA478">IF(OR($B478="",$D478=""),"",
IFERROR(
  INDEX(
    'Tools &amp; Targets_Guideline'!$C$54:$I$269,
    MATCH(
      1,
      ('Tools &amp; Targets_Guideline'!$A$54:$A$269=$B478)*
      ('Tools &amp; Targets_Guideline'!$B$54:$B$269="Penta"),
      0
    ),
    MATCH(
      _xludf.IFNA(
        VLOOKUP($D478,{"PH","Provincial Hospital (H2)";"DH","District Hospital (H3)";"RH","Regional / National Hospital (H1)"},2,0),
        $D478
      ),
      'Tools &amp; Targets_Guideline'!$C$53:$I$53,
      0
    )
  ),
0))</f>
        <v/>
      </c>
      <c r="AB478" s="102"/>
      <c r="AC478" s="119" t="str">
        <f t="array" ref="AC478">IF(OR($B478="",$D478=""),"",
IFERROR(
  INDEX(
    'Tools &amp; Targets_Guideline'!$C$54:$I$269,
    MATCH(
      1,
      ('Tools &amp; Targets_Guideline'!$A$54:$A$269=$B478)*
      ('Tools &amp; Targets_Guideline'!$B$54:$B$269="TB"),
      0
    ),
    MATCH(
      _xludf.IFNA(
        VLOOKUP($D478,{"PH","Provincial Hospital (H2)";"DH","District Hospital (H3)";"RH","Regional / National Hospital (H1)"},2,0),
        $D478
      ),
      'Tools &amp; Targets_Guideline'!$C$53:$I$53,
      0
    )
  ),
0))</f>
        <v/>
      </c>
      <c r="AD478" s="102"/>
      <c r="AE478" s="119" t="str">
        <f t="array" ref="AE478">IF(OR($B478="",$D478=""),"",
IFERROR(
  INDEX(
    'Tools &amp; Targets_Guideline'!$C$54:$I$269,
    MATCH(
      1,
      ('Tools &amp; Targets_Guideline'!$A$54:$A$269=$B478)*
      ('Tools &amp; Targets_Guideline'!$B$54:$B$269="U5 Morbidity"),
      0
    ),
    MATCH(
      _xludf.IFNA(
        VLOOKUP($D478,{"PH","Provincial Hospital (H2)";"DH","District Hospital (H3)";"RH","Regional / National Hospital (H1)"},2,0),
        $D478
      ),
      'Tools &amp; Targets_Guideline'!$C$53:$I$53,
      0
    )
  ),
0))</f>
        <v/>
      </c>
      <c r="AF478" s="102"/>
      <c r="AG478" s="119" t="str">
        <f t="array" ref="AG478">IF(OR($B478="",$D478=""),"",
IFERROR(
  INDEX(
    'Tools &amp; Targets_Guideline'!$C$54:$I$269,
    MATCH(
      1,
      ('Tools &amp; Targets_Guideline'!$A$54:$A$269=$B478)*
      ('Tools &amp; Targets_Guideline'!$B$54:$B$269="C-Section"),
      0
    ),
    MATCH(
      _xludf.IFNA(
        VLOOKUP($D478,{"PH","Provincial Hospital (H2)";"DH","District Hospital (H3)";"RH","Regional / National Hospital (H1)"},2,0),
        $D478
      ),
      'Tools &amp; Targets_Guideline'!$C$53:$I$53,
      0
    )
  ),
0))</f>
        <v/>
      </c>
      <c r="AH478" s="102" t="str">
        <f>IF(A478&lt;&gt;"",COUNTIFS('QA Log'!D:D,A478,'QA Log'!M:M,"QQC",'QA Log'!L:L,"2. Hygiene and Sterilization",'QA Log'!Z:Z,"Approved"),"")</f>
        <v/>
      </c>
      <c r="AI478" s="102"/>
      <c r="AJ478" s="102"/>
      <c r="AK478" s="103" t="str">
        <f t="shared" si="17"/>
        <v/>
      </c>
      <c r="AL478" s="102"/>
      <c r="AM478" s="102"/>
      <c r="AN478" s="102"/>
      <c r="AO478" s="106"/>
      <c r="AP478" s="103"/>
      <c r="AQ478" s="102"/>
      <c r="AR478" s="102"/>
      <c r="AS478" s="102"/>
      <c r="AT478" s="107"/>
      <c r="AU478" s="102" t="str">
        <f t="shared" si="18"/>
        <v/>
      </c>
      <c r="AV478" s="102" t="str">
        <f t="shared" si="19"/>
        <v/>
      </c>
      <c r="AW478" s="102" t="str">
        <f t="shared" si="20"/>
        <v/>
      </c>
      <c r="AX478" s="102" t="str">
        <f t="shared" si="21"/>
        <v/>
      </c>
      <c r="AY478" s="107" t="str">
        <f t="shared" si="22"/>
        <v/>
      </c>
      <c r="AZ478" s="108" t="str">
        <f t="shared" si="23"/>
        <v/>
      </c>
      <c r="BA478" s="108" t="str">
        <f t="shared" si="24"/>
        <v/>
      </c>
      <c r="BB478" s="109" t="str">
        <f t="shared" si="25"/>
        <v/>
      </c>
      <c r="BC478" s="108" t="str">
        <f t="shared" si="26"/>
        <v/>
      </c>
      <c r="BD478" s="108" t="str">
        <f t="shared" si="27"/>
        <v/>
      </c>
      <c r="BE478" s="109" t="str">
        <f t="shared" si="28"/>
        <v/>
      </c>
      <c r="BF478" s="110" t="str">
        <f t="shared" si="29"/>
        <v/>
      </c>
      <c r="BG478" s="111"/>
    </row>
    <row r="479" spans="1:59" ht="12.75">
      <c r="A479" s="101"/>
      <c r="B479" s="102"/>
      <c r="C479" s="102" t="e">
        <f t="array" aca="1" ref="C479" ca="1">_xludf.XLOOKUP(A479,'QA Log'!D:D,'QA Log'!F:F,"")</f>
        <v>#NAME?</v>
      </c>
      <c r="D479" s="102"/>
      <c r="E479" s="102" t="e">
        <f t="array" aca="1" ref="E479" ca="1">_xludf.XLOOKUP(A479,'QA Log'!D:D,'QA Log'!G:G,"")</f>
        <v>#NAME?</v>
      </c>
      <c r="F479" s="103"/>
      <c r="G479" s="104"/>
      <c r="H479" s="104"/>
      <c r="I479" s="103" t="str">
        <f t="shared" si="15"/>
        <v/>
      </c>
      <c r="J479" s="102"/>
      <c r="K479" s="102"/>
      <c r="L479" s="119" t="str">
        <f t="array" ref="L479">IF(OR($B479="",$D479=""),"",
IFERROR(
  INDEX(
    'Tools &amp; Targets_Guideline'!$C$54:$I$269,
    MATCH(
      1,
      ('Tools &amp; Targets_Guideline'!$A$54:$A$269=$B479)*
      ('Tools &amp; Targets_Guideline'!$B$54:$B$269="ANC"),
      0
    ),
    MATCH(
      _xludf.IFNA(
        VLOOKUP($D479,{"PH","Provincial Hospital (H2)";"DH","District Hospital (H3)";"RH","Regional / National Hospital (H1)"},2,0),
        $D479
      ),
      'Tools &amp; Targets_Guideline'!$C$53:$I$53,
      0
    )
  ),
0))</f>
        <v/>
      </c>
      <c r="M479" s="102"/>
      <c r="N479" s="119" t="str">
        <f t="array" ref="N479">IF(OR($B479="",$D479=""),"",
IFERROR(
  INDEX(
    'Tools &amp; Targets_Guideline'!$C$54:$I$269,
    MATCH(
      1,
      ('Tools &amp; Targets_Guideline'!$A$54:$A$269=$B479)*
      ('Tools &amp; Targets_Guideline'!$B$54:$B$269="PNC"),
      0
    ),
    MATCH(
      _xludf.IFNA(
        VLOOKUP($D479,{"PH","Provincial Hospital (H2)";"DH","District Hospital (H3)";"RH","Regional / National Hospital (H1)"},2,0),
        $D479
      ),
      'Tools &amp; Targets_Guideline'!$C$53:$I$53,
      0
    )
  ),
0))</f>
        <v/>
      </c>
      <c r="O479" s="102"/>
      <c r="P479" s="119" t="str">
        <f t="array" ref="P479">IF(OR($B479="",$D479=""),"",
IFERROR(
  INDEX(
    'Tools &amp; Targets_Guideline'!$C$54:$I$269,
    MATCH(
      1,
      ('Tools &amp; Targets_Guideline'!$A$54:$A$269=$B479)*
      ('Tools &amp; Targets_Guideline'!$B$54:$B$269="Delivery"),
      0
    ),
    MATCH(
      _xludf.IFNA(
        VLOOKUP($D479,{"PH","Provincial Hospital (H2)";"DH","District Hospital (H3)";"RH","Regional / National Hospital (H1)"},2,0),
        $D479
      ),
      'Tools &amp; Targets_Guideline'!$C$53:$I$53,
      0
    )
  ),
0))</f>
        <v/>
      </c>
      <c r="Q479" s="102"/>
      <c r="R479" s="119" t="str">
        <f t="array" ref="R479">IF(OR($B479="",$D479=""),"",
IFERROR(
  INDEX(
    'Tools &amp; Targets_Guideline'!$C$54:$I$269,
    MATCH(
      1,
      ('Tools &amp; Targets_Guideline'!$A$54:$A$269=$B479)*
      ('Tools &amp; Targets_Guideline'!$B$54:$B$269="TT"),
      0
    ),
    MATCH(
      _xludf.IFNA(
        VLOOKUP($D479,{"PH","Provincial Hospital (H2)";"DH","District Hospital (H3)";"RH","Regional / National Hospital (H1)"},2,0),
        $D479
      ),
      'Tools &amp; Targets_Guideline'!$C$53:$I$53,
      0
    )
  ),
0))</f>
        <v/>
      </c>
      <c r="S479" s="102"/>
      <c r="T479" s="102"/>
      <c r="U479" s="106"/>
      <c r="V479" s="102" t="str">
        <f t="shared" si="16"/>
        <v/>
      </c>
      <c r="W479" s="102"/>
      <c r="X479" s="102"/>
      <c r="Y479" s="119" t="str">
        <f t="array" ref="Y479">IF(OR($B479="",$D479=""),"",
IFERROR(
  INDEX(
    'Tools &amp; Targets_Guideline'!$C$54:$I$269,
    MATCH(
      1,
      ('Tools &amp; Targets_Guideline'!$A$54:$A$269=$B479)*
      ('Tools &amp; Targets_Guideline'!$B$54:$B$269="GM"),
      0
    ),
    MATCH(
      _xludf.IFNA(
        VLOOKUP($D479,{"PH","Provincial Hospital (H2)";"DH","District Hospital (H3)";"RH","Regional / National Hospital (H1)"},2,0),
        $D479
      ),
      'Tools &amp; Targets_Guideline'!$C$53:$I$53,
      0
    )
  ),
0))</f>
        <v/>
      </c>
      <c r="Z479" s="102"/>
      <c r="AA479" s="119" t="str">
        <f t="array" ref="AA479">IF(OR($B479="",$D479=""),"",
IFERROR(
  INDEX(
    'Tools &amp; Targets_Guideline'!$C$54:$I$269,
    MATCH(
      1,
      ('Tools &amp; Targets_Guideline'!$A$54:$A$269=$B479)*
      ('Tools &amp; Targets_Guideline'!$B$54:$B$269="Penta"),
      0
    ),
    MATCH(
      _xludf.IFNA(
        VLOOKUP($D479,{"PH","Provincial Hospital (H2)";"DH","District Hospital (H3)";"RH","Regional / National Hospital (H1)"},2,0),
        $D479
      ),
      'Tools &amp; Targets_Guideline'!$C$53:$I$53,
      0
    )
  ),
0))</f>
        <v/>
      </c>
      <c r="AB479" s="102"/>
      <c r="AC479" s="119" t="str">
        <f t="array" ref="AC479">IF(OR($B479="",$D479=""),"",
IFERROR(
  INDEX(
    'Tools &amp; Targets_Guideline'!$C$54:$I$269,
    MATCH(
      1,
      ('Tools &amp; Targets_Guideline'!$A$54:$A$269=$B479)*
      ('Tools &amp; Targets_Guideline'!$B$54:$B$269="TB"),
      0
    ),
    MATCH(
      _xludf.IFNA(
        VLOOKUP($D479,{"PH","Provincial Hospital (H2)";"DH","District Hospital (H3)";"RH","Regional / National Hospital (H1)"},2,0),
        $D479
      ),
      'Tools &amp; Targets_Guideline'!$C$53:$I$53,
      0
    )
  ),
0))</f>
        <v/>
      </c>
      <c r="AD479" s="102"/>
      <c r="AE479" s="119" t="str">
        <f t="array" ref="AE479">IF(OR($B479="",$D479=""),"",
IFERROR(
  INDEX(
    'Tools &amp; Targets_Guideline'!$C$54:$I$269,
    MATCH(
      1,
      ('Tools &amp; Targets_Guideline'!$A$54:$A$269=$B479)*
      ('Tools &amp; Targets_Guideline'!$B$54:$B$269="U5 Morbidity"),
      0
    ),
    MATCH(
      _xludf.IFNA(
        VLOOKUP($D479,{"PH","Provincial Hospital (H2)";"DH","District Hospital (H3)";"RH","Regional / National Hospital (H1)"},2,0),
        $D479
      ),
      'Tools &amp; Targets_Guideline'!$C$53:$I$53,
      0
    )
  ),
0))</f>
        <v/>
      </c>
      <c r="AF479" s="102"/>
      <c r="AG479" s="119" t="str">
        <f t="array" ref="AG479">IF(OR($B479="",$D479=""),"",
IFERROR(
  INDEX(
    'Tools &amp; Targets_Guideline'!$C$54:$I$269,
    MATCH(
      1,
      ('Tools &amp; Targets_Guideline'!$A$54:$A$269=$B479)*
      ('Tools &amp; Targets_Guideline'!$B$54:$B$269="C-Section"),
      0
    ),
    MATCH(
      _xludf.IFNA(
        VLOOKUP($D479,{"PH","Provincial Hospital (H2)";"DH","District Hospital (H3)";"RH","Regional / National Hospital (H1)"},2,0),
        $D479
      ),
      'Tools &amp; Targets_Guideline'!$C$53:$I$53,
      0
    )
  ),
0))</f>
        <v/>
      </c>
      <c r="AH479" s="102" t="str">
        <f>IF(A479&lt;&gt;"",COUNTIFS('QA Log'!D:D,A479,'QA Log'!M:M,"QQC",'QA Log'!L:L,"2. Hygiene and Sterilization",'QA Log'!Z:Z,"Approved"),"")</f>
        <v/>
      </c>
      <c r="AI479" s="102"/>
      <c r="AJ479" s="102"/>
      <c r="AK479" s="103" t="str">
        <f t="shared" si="17"/>
        <v/>
      </c>
      <c r="AL479" s="102"/>
      <c r="AM479" s="102"/>
      <c r="AN479" s="102"/>
      <c r="AO479" s="106"/>
      <c r="AP479" s="103"/>
      <c r="AQ479" s="102"/>
      <c r="AR479" s="102"/>
      <c r="AS479" s="102"/>
      <c r="AT479" s="107"/>
      <c r="AU479" s="102" t="str">
        <f t="shared" si="18"/>
        <v/>
      </c>
      <c r="AV479" s="102" t="str">
        <f t="shared" si="19"/>
        <v/>
      </c>
      <c r="AW479" s="102" t="str">
        <f t="shared" si="20"/>
        <v/>
      </c>
      <c r="AX479" s="102" t="str">
        <f t="shared" si="21"/>
        <v/>
      </c>
      <c r="AY479" s="107" t="str">
        <f t="shared" si="22"/>
        <v/>
      </c>
      <c r="AZ479" s="108" t="str">
        <f t="shared" si="23"/>
        <v/>
      </c>
      <c r="BA479" s="108" t="str">
        <f t="shared" si="24"/>
        <v/>
      </c>
      <c r="BB479" s="109" t="str">
        <f t="shared" si="25"/>
        <v/>
      </c>
      <c r="BC479" s="108" t="str">
        <f t="shared" si="26"/>
        <v/>
      </c>
      <c r="BD479" s="108" t="str">
        <f t="shared" si="27"/>
        <v/>
      </c>
      <c r="BE479" s="109" t="str">
        <f t="shared" si="28"/>
        <v/>
      </c>
      <c r="BF479" s="110" t="str">
        <f t="shared" si="29"/>
        <v/>
      </c>
      <c r="BG479" s="111"/>
    </row>
    <row r="480" spans="1:59" ht="12.75">
      <c r="A480" s="101"/>
      <c r="B480" s="102"/>
      <c r="C480" s="102" t="e">
        <f t="array" aca="1" ref="C480" ca="1">_xludf.XLOOKUP(A480,'QA Log'!D:D,'QA Log'!F:F,"")</f>
        <v>#NAME?</v>
      </c>
      <c r="D480" s="102"/>
      <c r="E480" s="102" t="e">
        <f t="array" aca="1" ref="E480" ca="1">_xludf.XLOOKUP(A480,'QA Log'!D:D,'QA Log'!G:G,"")</f>
        <v>#NAME?</v>
      </c>
      <c r="F480" s="103"/>
      <c r="G480" s="104"/>
      <c r="H480" s="104"/>
      <c r="I480" s="103" t="str">
        <f t="shared" si="15"/>
        <v/>
      </c>
      <c r="J480" s="102"/>
      <c r="K480" s="102"/>
      <c r="L480" s="119" t="str">
        <f t="array" ref="L480">IF(OR($B480="",$D480=""),"",
IFERROR(
  INDEX(
    'Tools &amp; Targets_Guideline'!$C$54:$I$269,
    MATCH(
      1,
      ('Tools &amp; Targets_Guideline'!$A$54:$A$269=$B480)*
      ('Tools &amp; Targets_Guideline'!$B$54:$B$269="ANC"),
      0
    ),
    MATCH(
      _xludf.IFNA(
        VLOOKUP($D480,{"PH","Provincial Hospital (H2)";"DH","District Hospital (H3)";"RH","Regional / National Hospital (H1)"},2,0),
        $D480
      ),
      'Tools &amp; Targets_Guideline'!$C$53:$I$53,
      0
    )
  ),
0))</f>
        <v/>
      </c>
      <c r="M480" s="102"/>
      <c r="N480" s="119" t="str">
        <f t="array" ref="N480">IF(OR($B480="",$D480=""),"",
IFERROR(
  INDEX(
    'Tools &amp; Targets_Guideline'!$C$54:$I$269,
    MATCH(
      1,
      ('Tools &amp; Targets_Guideline'!$A$54:$A$269=$B480)*
      ('Tools &amp; Targets_Guideline'!$B$54:$B$269="PNC"),
      0
    ),
    MATCH(
      _xludf.IFNA(
        VLOOKUP($D480,{"PH","Provincial Hospital (H2)";"DH","District Hospital (H3)";"RH","Regional / National Hospital (H1)"},2,0),
        $D480
      ),
      'Tools &amp; Targets_Guideline'!$C$53:$I$53,
      0
    )
  ),
0))</f>
        <v/>
      </c>
      <c r="O480" s="102"/>
      <c r="P480" s="119" t="str">
        <f t="array" ref="P480">IF(OR($B480="",$D480=""),"",
IFERROR(
  INDEX(
    'Tools &amp; Targets_Guideline'!$C$54:$I$269,
    MATCH(
      1,
      ('Tools &amp; Targets_Guideline'!$A$54:$A$269=$B480)*
      ('Tools &amp; Targets_Guideline'!$B$54:$B$269="Delivery"),
      0
    ),
    MATCH(
      _xludf.IFNA(
        VLOOKUP($D480,{"PH","Provincial Hospital (H2)";"DH","District Hospital (H3)";"RH","Regional / National Hospital (H1)"},2,0),
        $D480
      ),
      'Tools &amp; Targets_Guideline'!$C$53:$I$53,
      0
    )
  ),
0))</f>
        <v/>
      </c>
      <c r="Q480" s="102"/>
      <c r="R480" s="119" t="str">
        <f t="array" ref="R480">IF(OR($B480="",$D480=""),"",
IFERROR(
  INDEX(
    'Tools &amp; Targets_Guideline'!$C$54:$I$269,
    MATCH(
      1,
      ('Tools &amp; Targets_Guideline'!$A$54:$A$269=$B480)*
      ('Tools &amp; Targets_Guideline'!$B$54:$B$269="TT"),
      0
    ),
    MATCH(
      _xludf.IFNA(
        VLOOKUP($D480,{"PH","Provincial Hospital (H2)";"DH","District Hospital (H3)";"RH","Regional / National Hospital (H1)"},2,0),
        $D480
      ),
      'Tools &amp; Targets_Guideline'!$C$53:$I$53,
      0
    )
  ),
0))</f>
        <v/>
      </c>
      <c r="S480" s="102"/>
      <c r="T480" s="102"/>
      <c r="U480" s="106"/>
      <c r="V480" s="102" t="str">
        <f t="shared" si="16"/>
        <v/>
      </c>
      <c r="W480" s="102"/>
      <c r="X480" s="102"/>
      <c r="Y480" s="119" t="str">
        <f t="array" ref="Y480">IF(OR($B480="",$D480=""),"",
IFERROR(
  INDEX(
    'Tools &amp; Targets_Guideline'!$C$54:$I$269,
    MATCH(
      1,
      ('Tools &amp; Targets_Guideline'!$A$54:$A$269=$B480)*
      ('Tools &amp; Targets_Guideline'!$B$54:$B$269="GM"),
      0
    ),
    MATCH(
      _xludf.IFNA(
        VLOOKUP($D480,{"PH","Provincial Hospital (H2)";"DH","District Hospital (H3)";"RH","Regional / National Hospital (H1)"},2,0),
        $D480
      ),
      'Tools &amp; Targets_Guideline'!$C$53:$I$53,
      0
    )
  ),
0))</f>
        <v/>
      </c>
      <c r="Z480" s="102"/>
      <c r="AA480" s="119" t="str">
        <f t="array" ref="AA480">IF(OR($B480="",$D480=""),"",
IFERROR(
  INDEX(
    'Tools &amp; Targets_Guideline'!$C$54:$I$269,
    MATCH(
      1,
      ('Tools &amp; Targets_Guideline'!$A$54:$A$269=$B480)*
      ('Tools &amp; Targets_Guideline'!$B$54:$B$269="Penta"),
      0
    ),
    MATCH(
      _xludf.IFNA(
        VLOOKUP($D480,{"PH","Provincial Hospital (H2)";"DH","District Hospital (H3)";"RH","Regional / National Hospital (H1)"},2,0),
        $D480
      ),
      'Tools &amp; Targets_Guideline'!$C$53:$I$53,
      0
    )
  ),
0))</f>
        <v/>
      </c>
      <c r="AB480" s="102"/>
      <c r="AC480" s="119" t="str">
        <f t="array" ref="AC480">IF(OR($B480="",$D480=""),"",
IFERROR(
  INDEX(
    'Tools &amp; Targets_Guideline'!$C$54:$I$269,
    MATCH(
      1,
      ('Tools &amp; Targets_Guideline'!$A$54:$A$269=$B480)*
      ('Tools &amp; Targets_Guideline'!$B$54:$B$269="TB"),
      0
    ),
    MATCH(
      _xludf.IFNA(
        VLOOKUP($D480,{"PH","Provincial Hospital (H2)";"DH","District Hospital (H3)";"RH","Regional / National Hospital (H1)"},2,0),
        $D480
      ),
      'Tools &amp; Targets_Guideline'!$C$53:$I$53,
      0
    )
  ),
0))</f>
        <v/>
      </c>
      <c r="AD480" s="102"/>
      <c r="AE480" s="119" t="str">
        <f t="array" ref="AE480">IF(OR($B480="",$D480=""),"",
IFERROR(
  INDEX(
    'Tools &amp; Targets_Guideline'!$C$54:$I$269,
    MATCH(
      1,
      ('Tools &amp; Targets_Guideline'!$A$54:$A$269=$B480)*
      ('Tools &amp; Targets_Guideline'!$B$54:$B$269="U5 Morbidity"),
      0
    ),
    MATCH(
      _xludf.IFNA(
        VLOOKUP($D480,{"PH","Provincial Hospital (H2)";"DH","District Hospital (H3)";"RH","Regional / National Hospital (H1)"},2,0),
        $D480
      ),
      'Tools &amp; Targets_Guideline'!$C$53:$I$53,
      0
    )
  ),
0))</f>
        <v/>
      </c>
      <c r="AF480" s="102"/>
      <c r="AG480" s="119" t="str">
        <f t="array" ref="AG480">IF(OR($B480="",$D480=""),"",
IFERROR(
  INDEX(
    'Tools &amp; Targets_Guideline'!$C$54:$I$269,
    MATCH(
      1,
      ('Tools &amp; Targets_Guideline'!$A$54:$A$269=$B480)*
      ('Tools &amp; Targets_Guideline'!$B$54:$B$269="C-Section"),
      0
    ),
    MATCH(
      _xludf.IFNA(
        VLOOKUP($D480,{"PH","Provincial Hospital (H2)";"DH","District Hospital (H3)";"RH","Regional / National Hospital (H1)"},2,0),
        $D480
      ),
      'Tools &amp; Targets_Guideline'!$C$53:$I$53,
      0
    )
  ),
0))</f>
        <v/>
      </c>
      <c r="AH480" s="102" t="str">
        <f>IF(A480&lt;&gt;"",COUNTIFS('QA Log'!D:D,A480,'QA Log'!M:M,"QQC",'QA Log'!L:L,"2. Hygiene and Sterilization",'QA Log'!Z:Z,"Approved"),"")</f>
        <v/>
      </c>
      <c r="AI480" s="102"/>
      <c r="AJ480" s="102"/>
      <c r="AK480" s="103" t="str">
        <f t="shared" si="17"/>
        <v/>
      </c>
      <c r="AL480" s="102"/>
      <c r="AM480" s="102"/>
      <c r="AN480" s="102"/>
      <c r="AO480" s="106"/>
      <c r="AP480" s="103"/>
      <c r="AQ480" s="102"/>
      <c r="AR480" s="102"/>
      <c r="AS480" s="102"/>
      <c r="AT480" s="107"/>
      <c r="AU480" s="102" t="str">
        <f t="shared" si="18"/>
        <v/>
      </c>
      <c r="AV480" s="102" t="str">
        <f t="shared" si="19"/>
        <v/>
      </c>
      <c r="AW480" s="102" t="str">
        <f t="shared" si="20"/>
        <v/>
      </c>
      <c r="AX480" s="102" t="str">
        <f t="shared" si="21"/>
        <v/>
      </c>
      <c r="AY480" s="107" t="str">
        <f t="shared" si="22"/>
        <v/>
      </c>
      <c r="AZ480" s="108" t="str">
        <f t="shared" si="23"/>
        <v/>
      </c>
      <c r="BA480" s="108" t="str">
        <f t="shared" si="24"/>
        <v/>
      </c>
      <c r="BB480" s="109" t="str">
        <f t="shared" si="25"/>
        <v/>
      </c>
      <c r="BC480" s="108" t="str">
        <f t="shared" si="26"/>
        <v/>
      </c>
      <c r="BD480" s="108" t="str">
        <f t="shared" si="27"/>
        <v/>
      </c>
      <c r="BE480" s="109" t="str">
        <f t="shared" si="28"/>
        <v/>
      </c>
      <c r="BF480" s="110" t="str">
        <f t="shared" si="29"/>
        <v/>
      </c>
      <c r="BG480" s="111"/>
    </row>
    <row r="481" spans="1:59" ht="12.75">
      <c r="A481" s="101"/>
      <c r="B481" s="102"/>
      <c r="C481" s="102" t="e">
        <f t="array" aca="1" ref="C481" ca="1">_xludf.XLOOKUP(A481,'QA Log'!D:D,'QA Log'!F:F,"")</f>
        <v>#NAME?</v>
      </c>
      <c r="D481" s="102"/>
      <c r="E481" s="102" t="e">
        <f t="array" aca="1" ref="E481" ca="1">_xludf.XLOOKUP(A481,'QA Log'!D:D,'QA Log'!G:G,"")</f>
        <v>#NAME?</v>
      </c>
      <c r="F481" s="103"/>
      <c r="G481" s="104"/>
      <c r="H481" s="104"/>
      <c r="I481" s="103" t="str">
        <f t="shared" si="15"/>
        <v/>
      </c>
      <c r="J481" s="102"/>
      <c r="K481" s="102"/>
      <c r="L481" s="119" t="str">
        <f t="array" ref="L481">IF(OR($B481="",$D481=""),"",
IFERROR(
  INDEX(
    'Tools &amp; Targets_Guideline'!$C$54:$I$269,
    MATCH(
      1,
      ('Tools &amp; Targets_Guideline'!$A$54:$A$269=$B481)*
      ('Tools &amp; Targets_Guideline'!$B$54:$B$269="ANC"),
      0
    ),
    MATCH(
      _xludf.IFNA(
        VLOOKUP($D481,{"PH","Provincial Hospital (H2)";"DH","District Hospital (H3)";"RH","Regional / National Hospital (H1)"},2,0),
        $D481
      ),
      'Tools &amp; Targets_Guideline'!$C$53:$I$53,
      0
    )
  ),
0))</f>
        <v/>
      </c>
      <c r="M481" s="102"/>
      <c r="N481" s="119" t="str">
        <f t="array" ref="N481">IF(OR($B481="",$D481=""),"",
IFERROR(
  INDEX(
    'Tools &amp; Targets_Guideline'!$C$54:$I$269,
    MATCH(
      1,
      ('Tools &amp; Targets_Guideline'!$A$54:$A$269=$B481)*
      ('Tools &amp; Targets_Guideline'!$B$54:$B$269="PNC"),
      0
    ),
    MATCH(
      _xludf.IFNA(
        VLOOKUP($D481,{"PH","Provincial Hospital (H2)";"DH","District Hospital (H3)";"RH","Regional / National Hospital (H1)"},2,0),
        $D481
      ),
      'Tools &amp; Targets_Guideline'!$C$53:$I$53,
      0
    )
  ),
0))</f>
        <v/>
      </c>
      <c r="O481" s="102"/>
      <c r="P481" s="119" t="str">
        <f t="array" ref="P481">IF(OR($B481="",$D481=""),"",
IFERROR(
  INDEX(
    'Tools &amp; Targets_Guideline'!$C$54:$I$269,
    MATCH(
      1,
      ('Tools &amp; Targets_Guideline'!$A$54:$A$269=$B481)*
      ('Tools &amp; Targets_Guideline'!$B$54:$B$269="Delivery"),
      0
    ),
    MATCH(
      _xludf.IFNA(
        VLOOKUP($D481,{"PH","Provincial Hospital (H2)";"DH","District Hospital (H3)";"RH","Regional / National Hospital (H1)"},2,0),
        $D481
      ),
      'Tools &amp; Targets_Guideline'!$C$53:$I$53,
      0
    )
  ),
0))</f>
        <v/>
      </c>
      <c r="Q481" s="102"/>
      <c r="R481" s="119" t="str">
        <f t="array" ref="R481">IF(OR($B481="",$D481=""),"",
IFERROR(
  INDEX(
    'Tools &amp; Targets_Guideline'!$C$54:$I$269,
    MATCH(
      1,
      ('Tools &amp; Targets_Guideline'!$A$54:$A$269=$B481)*
      ('Tools &amp; Targets_Guideline'!$B$54:$B$269="TT"),
      0
    ),
    MATCH(
      _xludf.IFNA(
        VLOOKUP($D481,{"PH","Provincial Hospital (H2)";"DH","District Hospital (H3)";"RH","Regional / National Hospital (H1)"},2,0),
        $D481
      ),
      'Tools &amp; Targets_Guideline'!$C$53:$I$53,
      0
    )
  ),
0))</f>
        <v/>
      </c>
      <c r="S481" s="102"/>
      <c r="T481" s="102"/>
      <c r="U481" s="106"/>
      <c r="V481" s="102" t="str">
        <f t="shared" si="16"/>
        <v/>
      </c>
      <c r="W481" s="102"/>
      <c r="X481" s="102"/>
      <c r="Y481" s="119" t="str">
        <f t="array" ref="Y481">IF(OR($B481="",$D481=""),"",
IFERROR(
  INDEX(
    'Tools &amp; Targets_Guideline'!$C$54:$I$269,
    MATCH(
      1,
      ('Tools &amp; Targets_Guideline'!$A$54:$A$269=$B481)*
      ('Tools &amp; Targets_Guideline'!$B$54:$B$269="GM"),
      0
    ),
    MATCH(
      _xludf.IFNA(
        VLOOKUP($D481,{"PH","Provincial Hospital (H2)";"DH","District Hospital (H3)";"RH","Regional / National Hospital (H1)"},2,0),
        $D481
      ),
      'Tools &amp; Targets_Guideline'!$C$53:$I$53,
      0
    )
  ),
0))</f>
        <v/>
      </c>
      <c r="Z481" s="102"/>
      <c r="AA481" s="119" t="str">
        <f t="array" ref="AA481">IF(OR($B481="",$D481=""),"",
IFERROR(
  INDEX(
    'Tools &amp; Targets_Guideline'!$C$54:$I$269,
    MATCH(
      1,
      ('Tools &amp; Targets_Guideline'!$A$54:$A$269=$B481)*
      ('Tools &amp; Targets_Guideline'!$B$54:$B$269="Penta"),
      0
    ),
    MATCH(
      _xludf.IFNA(
        VLOOKUP($D481,{"PH","Provincial Hospital (H2)";"DH","District Hospital (H3)";"RH","Regional / National Hospital (H1)"},2,0),
        $D481
      ),
      'Tools &amp; Targets_Guideline'!$C$53:$I$53,
      0
    )
  ),
0))</f>
        <v/>
      </c>
      <c r="AB481" s="102"/>
      <c r="AC481" s="119" t="str">
        <f t="array" ref="AC481">IF(OR($B481="",$D481=""),"",
IFERROR(
  INDEX(
    'Tools &amp; Targets_Guideline'!$C$54:$I$269,
    MATCH(
      1,
      ('Tools &amp; Targets_Guideline'!$A$54:$A$269=$B481)*
      ('Tools &amp; Targets_Guideline'!$B$54:$B$269="TB"),
      0
    ),
    MATCH(
      _xludf.IFNA(
        VLOOKUP($D481,{"PH","Provincial Hospital (H2)";"DH","District Hospital (H3)";"RH","Regional / National Hospital (H1)"},2,0),
        $D481
      ),
      'Tools &amp; Targets_Guideline'!$C$53:$I$53,
      0
    )
  ),
0))</f>
        <v/>
      </c>
      <c r="AD481" s="102"/>
      <c r="AE481" s="119" t="str">
        <f t="array" ref="AE481">IF(OR($B481="",$D481=""),"",
IFERROR(
  INDEX(
    'Tools &amp; Targets_Guideline'!$C$54:$I$269,
    MATCH(
      1,
      ('Tools &amp; Targets_Guideline'!$A$54:$A$269=$B481)*
      ('Tools &amp; Targets_Guideline'!$B$54:$B$269="U5 Morbidity"),
      0
    ),
    MATCH(
      _xludf.IFNA(
        VLOOKUP($D481,{"PH","Provincial Hospital (H2)";"DH","District Hospital (H3)";"RH","Regional / National Hospital (H1)"},2,0),
        $D481
      ),
      'Tools &amp; Targets_Guideline'!$C$53:$I$53,
      0
    )
  ),
0))</f>
        <v/>
      </c>
      <c r="AF481" s="102"/>
      <c r="AG481" s="119" t="str">
        <f t="array" ref="AG481">IF(OR($B481="",$D481=""),"",
IFERROR(
  INDEX(
    'Tools &amp; Targets_Guideline'!$C$54:$I$269,
    MATCH(
      1,
      ('Tools &amp; Targets_Guideline'!$A$54:$A$269=$B481)*
      ('Tools &amp; Targets_Guideline'!$B$54:$B$269="C-Section"),
      0
    ),
    MATCH(
      _xludf.IFNA(
        VLOOKUP($D481,{"PH","Provincial Hospital (H2)";"DH","District Hospital (H3)";"RH","Regional / National Hospital (H1)"},2,0),
        $D481
      ),
      'Tools &amp; Targets_Guideline'!$C$53:$I$53,
      0
    )
  ),
0))</f>
        <v/>
      </c>
      <c r="AH481" s="102" t="str">
        <f>IF(A481&lt;&gt;"",COUNTIFS('QA Log'!D:D,A481,'QA Log'!M:M,"QQC",'QA Log'!L:L,"2. Hygiene and Sterilization",'QA Log'!Z:Z,"Approved"),"")</f>
        <v/>
      </c>
      <c r="AI481" s="102"/>
      <c r="AJ481" s="102"/>
      <c r="AK481" s="103" t="str">
        <f t="shared" si="17"/>
        <v/>
      </c>
      <c r="AL481" s="102"/>
      <c r="AM481" s="102"/>
      <c r="AN481" s="102"/>
      <c r="AO481" s="106"/>
      <c r="AP481" s="103"/>
      <c r="AQ481" s="102"/>
      <c r="AR481" s="102"/>
      <c r="AS481" s="102"/>
      <c r="AT481" s="107"/>
      <c r="AU481" s="102" t="str">
        <f t="shared" si="18"/>
        <v/>
      </c>
      <c r="AV481" s="102" t="str">
        <f t="shared" si="19"/>
        <v/>
      </c>
      <c r="AW481" s="102" t="str">
        <f t="shared" si="20"/>
        <v/>
      </c>
      <c r="AX481" s="102" t="str">
        <f t="shared" si="21"/>
        <v/>
      </c>
      <c r="AY481" s="107" t="str">
        <f t="shared" si="22"/>
        <v/>
      </c>
      <c r="AZ481" s="108" t="str">
        <f t="shared" si="23"/>
        <v/>
      </c>
      <c r="BA481" s="108" t="str">
        <f t="shared" si="24"/>
        <v/>
      </c>
      <c r="BB481" s="109" t="str">
        <f t="shared" si="25"/>
        <v/>
      </c>
      <c r="BC481" s="108" t="str">
        <f t="shared" si="26"/>
        <v/>
      </c>
      <c r="BD481" s="108" t="str">
        <f t="shared" si="27"/>
        <v/>
      </c>
      <c r="BE481" s="109" t="str">
        <f t="shared" si="28"/>
        <v/>
      </c>
      <c r="BF481" s="110" t="str">
        <f t="shared" si="29"/>
        <v/>
      </c>
      <c r="BG481" s="111"/>
    </row>
    <row r="482" spans="1:59" ht="12.75">
      <c r="A482" s="101"/>
      <c r="B482" s="102"/>
      <c r="C482" s="102" t="e">
        <f t="array" aca="1" ref="C482" ca="1">_xludf.XLOOKUP(A482,'QA Log'!D:D,'QA Log'!F:F,"")</f>
        <v>#NAME?</v>
      </c>
      <c r="D482" s="102"/>
      <c r="E482" s="102" t="e">
        <f t="array" aca="1" ref="E482" ca="1">_xludf.XLOOKUP(A482,'QA Log'!D:D,'QA Log'!G:G,"")</f>
        <v>#NAME?</v>
      </c>
      <c r="F482" s="103"/>
      <c r="G482" s="104"/>
      <c r="H482" s="104"/>
      <c r="I482" s="103" t="str">
        <f t="shared" si="15"/>
        <v/>
      </c>
      <c r="J482" s="102"/>
      <c r="K482" s="102"/>
      <c r="L482" s="119" t="str">
        <f t="array" ref="L482">IF(OR($B482="",$D482=""),"",
IFERROR(
  INDEX(
    'Tools &amp; Targets_Guideline'!$C$54:$I$269,
    MATCH(
      1,
      ('Tools &amp; Targets_Guideline'!$A$54:$A$269=$B482)*
      ('Tools &amp; Targets_Guideline'!$B$54:$B$269="ANC"),
      0
    ),
    MATCH(
      _xludf.IFNA(
        VLOOKUP($D482,{"PH","Provincial Hospital (H2)";"DH","District Hospital (H3)";"RH","Regional / National Hospital (H1)"},2,0),
        $D482
      ),
      'Tools &amp; Targets_Guideline'!$C$53:$I$53,
      0
    )
  ),
0))</f>
        <v/>
      </c>
      <c r="M482" s="102"/>
      <c r="N482" s="119" t="str">
        <f t="array" ref="N482">IF(OR($B482="",$D482=""),"",
IFERROR(
  INDEX(
    'Tools &amp; Targets_Guideline'!$C$54:$I$269,
    MATCH(
      1,
      ('Tools &amp; Targets_Guideline'!$A$54:$A$269=$B482)*
      ('Tools &amp; Targets_Guideline'!$B$54:$B$269="PNC"),
      0
    ),
    MATCH(
      _xludf.IFNA(
        VLOOKUP($D482,{"PH","Provincial Hospital (H2)";"DH","District Hospital (H3)";"RH","Regional / National Hospital (H1)"},2,0),
        $D482
      ),
      'Tools &amp; Targets_Guideline'!$C$53:$I$53,
      0
    )
  ),
0))</f>
        <v/>
      </c>
      <c r="O482" s="102"/>
      <c r="P482" s="119" t="str">
        <f t="array" ref="P482">IF(OR($B482="",$D482=""),"",
IFERROR(
  INDEX(
    'Tools &amp; Targets_Guideline'!$C$54:$I$269,
    MATCH(
      1,
      ('Tools &amp; Targets_Guideline'!$A$54:$A$269=$B482)*
      ('Tools &amp; Targets_Guideline'!$B$54:$B$269="Delivery"),
      0
    ),
    MATCH(
      _xludf.IFNA(
        VLOOKUP($D482,{"PH","Provincial Hospital (H2)";"DH","District Hospital (H3)";"RH","Regional / National Hospital (H1)"},2,0),
        $D482
      ),
      'Tools &amp; Targets_Guideline'!$C$53:$I$53,
      0
    )
  ),
0))</f>
        <v/>
      </c>
      <c r="Q482" s="102"/>
      <c r="R482" s="119" t="str">
        <f t="array" ref="R482">IF(OR($B482="",$D482=""),"",
IFERROR(
  INDEX(
    'Tools &amp; Targets_Guideline'!$C$54:$I$269,
    MATCH(
      1,
      ('Tools &amp; Targets_Guideline'!$A$54:$A$269=$B482)*
      ('Tools &amp; Targets_Guideline'!$B$54:$B$269="TT"),
      0
    ),
    MATCH(
      _xludf.IFNA(
        VLOOKUP($D482,{"PH","Provincial Hospital (H2)";"DH","District Hospital (H3)";"RH","Regional / National Hospital (H1)"},2,0),
        $D482
      ),
      'Tools &amp; Targets_Guideline'!$C$53:$I$53,
      0
    )
  ),
0))</f>
        <v/>
      </c>
      <c r="S482" s="102"/>
      <c r="T482" s="102"/>
      <c r="U482" s="106"/>
      <c r="V482" s="102" t="str">
        <f t="shared" si="16"/>
        <v/>
      </c>
      <c r="W482" s="102"/>
      <c r="X482" s="102"/>
      <c r="Y482" s="119" t="str">
        <f t="array" ref="Y482">IF(OR($B482="",$D482=""),"",
IFERROR(
  INDEX(
    'Tools &amp; Targets_Guideline'!$C$54:$I$269,
    MATCH(
      1,
      ('Tools &amp; Targets_Guideline'!$A$54:$A$269=$B482)*
      ('Tools &amp; Targets_Guideline'!$B$54:$B$269="GM"),
      0
    ),
    MATCH(
      _xludf.IFNA(
        VLOOKUP($D482,{"PH","Provincial Hospital (H2)";"DH","District Hospital (H3)";"RH","Regional / National Hospital (H1)"},2,0),
        $D482
      ),
      'Tools &amp; Targets_Guideline'!$C$53:$I$53,
      0
    )
  ),
0))</f>
        <v/>
      </c>
      <c r="Z482" s="102"/>
      <c r="AA482" s="119" t="str">
        <f t="array" ref="AA482">IF(OR($B482="",$D482=""),"",
IFERROR(
  INDEX(
    'Tools &amp; Targets_Guideline'!$C$54:$I$269,
    MATCH(
      1,
      ('Tools &amp; Targets_Guideline'!$A$54:$A$269=$B482)*
      ('Tools &amp; Targets_Guideline'!$B$54:$B$269="Penta"),
      0
    ),
    MATCH(
      _xludf.IFNA(
        VLOOKUP($D482,{"PH","Provincial Hospital (H2)";"DH","District Hospital (H3)";"RH","Regional / National Hospital (H1)"},2,0),
        $D482
      ),
      'Tools &amp; Targets_Guideline'!$C$53:$I$53,
      0
    )
  ),
0))</f>
        <v/>
      </c>
      <c r="AB482" s="102"/>
      <c r="AC482" s="119" t="str">
        <f t="array" ref="AC482">IF(OR($B482="",$D482=""),"",
IFERROR(
  INDEX(
    'Tools &amp; Targets_Guideline'!$C$54:$I$269,
    MATCH(
      1,
      ('Tools &amp; Targets_Guideline'!$A$54:$A$269=$B482)*
      ('Tools &amp; Targets_Guideline'!$B$54:$B$269="TB"),
      0
    ),
    MATCH(
      _xludf.IFNA(
        VLOOKUP($D482,{"PH","Provincial Hospital (H2)";"DH","District Hospital (H3)";"RH","Regional / National Hospital (H1)"},2,0),
        $D482
      ),
      'Tools &amp; Targets_Guideline'!$C$53:$I$53,
      0
    )
  ),
0))</f>
        <v/>
      </c>
      <c r="AD482" s="102"/>
      <c r="AE482" s="119" t="str">
        <f t="array" ref="AE482">IF(OR($B482="",$D482=""),"",
IFERROR(
  INDEX(
    'Tools &amp; Targets_Guideline'!$C$54:$I$269,
    MATCH(
      1,
      ('Tools &amp; Targets_Guideline'!$A$54:$A$269=$B482)*
      ('Tools &amp; Targets_Guideline'!$B$54:$B$269="U5 Morbidity"),
      0
    ),
    MATCH(
      _xludf.IFNA(
        VLOOKUP($D482,{"PH","Provincial Hospital (H2)";"DH","District Hospital (H3)";"RH","Regional / National Hospital (H1)"},2,0),
        $D482
      ),
      'Tools &amp; Targets_Guideline'!$C$53:$I$53,
      0
    )
  ),
0))</f>
        <v/>
      </c>
      <c r="AF482" s="102"/>
      <c r="AG482" s="119" t="str">
        <f t="array" ref="AG482">IF(OR($B482="",$D482=""),"",
IFERROR(
  INDEX(
    'Tools &amp; Targets_Guideline'!$C$54:$I$269,
    MATCH(
      1,
      ('Tools &amp; Targets_Guideline'!$A$54:$A$269=$B482)*
      ('Tools &amp; Targets_Guideline'!$B$54:$B$269="C-Section"),
      0
    ),
    MATCH(
      _xludf.IFNA(
        VLOOKUP($D482,{"PH","Provincial Hospital (H2)";"DH","District Hospital (H3)";"RH","Regional / National Hospital (H1)"},2,0),
        $D482
      ),
      'Tools &amp; Targets_Guideline'!$C$53:$I$53,
      0
    )
  ),
0))</f>
        <v/>
      </c>
      <c r="AH482" s="102" t="str">
        <f>IF(A482&lt;&gt;"",COUNTIFS('QA Log'!D:D,A482,'QA Log'!M:M,"QQC",'QA Log'!L:L,"2. Hygiene and Sterilization",'QA Log'!Z:Z,"Approved"),"")</f>
        <v/>
      </c>
      <c r="AI482" s="102"/>
      <c r="AJ482" s="102"/>
      <c r="AK482" s="103" t="str">
        <f t="shared" si="17"/>
        <v/>
      </c>
      <c r="AL482" s="102"/>
      <c r="AM482" s="102"/>
      <c r="AN482" s="102"/>
      <c r="AO482" s="106"/>
      <c r="AP482" s="103"/>
      <c r="AQ482" s="102"/>
      <c r="AR482" s="102"/>
      <c r="AS482" s="102"/>
      <c r="AT482" s="107"/>
      <c r="AU482" s="102" t="str">
        <f t="shared" si="18"/>
        <v/>
      </c>
      <c r="AV482" s="102" t="str">
        <f t="shared" si="19"/>
        <v/>
      </c>
      <c r="AW482" s="102" t="str">
        <f t="shared" si="20"/>
        <v/>
      </c>
      <c r="AX482" s="102" t="str">
        <f t="shared" si="21"/>
        <v/>
      </c>
      <c r="AY482" s="107" t="str">
        <f t="shared" si="22"/>
        <v/>
      </c>
      <c r="AZ482" s="108" t="str">
        <f t="shared" si="23"/>
        <v/>
      </c>
      <c r="BA482" s="108" t="str">
        <f t="shared" si="24"/>
        <v/>
      </c>
      <c r="BB482" s="109" t="str">
        <f t="shared" si="25"/>
        <v/>
      </c>
      <c r="BC482" s="108" t="str">
        <f t="shared" si="26"/>
        <v/>
      </c>
      <c r="BD482" s="108" t="str">
        <f t="shared" si="27"/>
        <v/>
      </c>
      <c r="BE482" s="109" t="str">
        <f t="shared" si="28"/>
        <v/>
      </c>
      <c r="BF482" s="110" t="str">
        <f t="shared" si="29"/>
        <v/>
      </c>
      <c r="BG482" s="111"/>
    </row>
    <row r="483" spans="1:59" ht="12.75">
      <c r="A483" s="101"/>
      <c r="B483" s="102"/>
      <c r="C483" s="102" t="e">
        <f t="array" aca="1" ref="C483" ca="1">_xludf.XLOOKUP(A483,'QA Log'!D:D,'QA Log'!F:F,"")</f>
        <v>#NAME?</v>
      </c>
      <c r="D483" s="102"/>
      <c r="E483" s="102" t="e">
        <f t="array" aca="1" ref="E483" ca="1">_xludf.XLOOKUP(A483,'QA Log'!D:D,'QA Log'!G:G,"")</f>
        <v>#NAME?</v>
      </c>
      <c r="F483" s="103"/>
      <c r="G483" s="104"/>
      <c r="H483" s="104"/>
      <c r="I483" s="103" t="str">
        <f t="shared" si="15"/>
        <v/>
      </c>
      <c r="J483" s="102"/>
      <c r="K483" s="102"/>
      <c r="L483" s="119" t="str">
        <f t="array" ref="L483">IF(OR($B483="",$D483=""),"",
IFERROR(
  INDEX(
    'Tools &amp; Targets_Guideline'!$C$54:$I$269,
    MATCH(
      1,
      ('Tools &amp; Targets_Guideline'!$A$54:$A$269=$B483)*
      ('Tools &amp; Targets_Guideline'!$B$54:$B$269="ANC"),
      0
    ),
    MATCH(
      _xludf.IFNA(
        VLOOKUP($D483,{"PH","Provincial Hospital (H2)";"DH","District Hospital (H3)";"RH","Regional / National Hospital (H1)"},2,0),
        $D483
      ),
      'Tools &amp; Targets_Guideline'!$C$53:$I$53,
      0
    )
  ),
0))</f>
        <v/>
      </c>
      <c r="M483" s="102"/>
      <c r="N483" s="119" t="str">
        <f t="array" ref="N483">IF(OR($B483="",$D483=""),"",
IFERROR(
  INDEX(
    'Tools &amp; Targets_Guideline'!$C$54:$I$269,
    MATCH(
      1,
      ('Tools &amp; Targets_Guideline'!$A$54:$A$269=$B483)*
      ('Tools &amp; Targets_Guideline'!$B$54:$B$269="PNC"),
      0
    ),
    MATCH(
      _xludf.IFNA(
        VLOOKUP($D483,{"PH","Provincial Hospital (H2)";"DH","District Hospital (H3)";"RH","Regional / National Hospital (H1)"},2,0),
        $D483
      ),
      'Tools &amp; Targets_Guideline'!$C$53:$I$53,
      0
    )
  ),
0))</f>
        <v/>
      </c>
      <c r="O483" s="102"/>
      <c r="P483" s="119" t="str">
        <f t="array" ref="P483">IF(OR($B483="",$D483=""),"",
IFERROR(
  INDEX(
    'Tools &amp; Targets_Guideline'!$C$54:$I$269,
    MATCH(
      1,
      ('Tools &amp; Targets_Guideline'!$A$54:$A$269=$B483)*
      ('Tools &amp; Targets_Guideline'!$B$54:$B$269="Delivery"),
      0
    ),
    MATCH(
      _xludf.IFNA(
        VLOOKUP($D483,{"PH","Provincial Hospital (H2)";"DH","District Hospital (H3)";"RH","Regional / National Hospital (H1)"},2,0),
        $D483
      ),
      'Tools &amp; Targets_Guideline'!$C$53:$I$53,
      0
    )
  ),
0))</f>
        <v/>
      </c>
      <c r="Q483" s="102"/>
      <c r="R483" s="119" t="str">
        <f t="array" ref="R483">IF(OR($B483="",$D483=""),"",
IFERROR(
  INDEX(
    'Tools &amp; Targets_Guideline'!$C$54:$I$269,
    MATCH(
      1,
      ('Tools &amp; Targets_Guideline'!$A$54:$A$269=$B483)*
      ('Tools &amp; Targets_Guideline'!$B$54:$B$269="TT"),
      0
    ),
    MATCH(
      _xludf.IFNA(
        VLOOKUP($D483,{"PH","Provincial Hospital (H2)";"DH","District Hospital (H3)";"RH","Regional / National Hospital (H1)"},2,0),
        $D483
      ),
      'Tools &amp; Targets_Guideline'!$C$53:$I$53,
      0
    )
  ),
0))</f>
        <v/>
      </c>
      <c r="S483" s="102"/>
      <c r="T483" s="102"/>
      <c r="U483" s="106"/>
      <c r="V483" s="102" t="str">
        <f t="shared" si="16"/>
        <v/>
      </c>
      <c r="W483" s="102"/>
      <c r="X483" s="102"/>
      <c r="Y483" s="119" t="str">
        <f t="array" ref="Y483">IF(OR($B483="",$D483=""),"",
IFERROR(
  INDEX(
    'Tools &amp; Targets_Guideline'!$C$54:$I$269,
    MATCH(
      1,
      ('Tools &amp; Targets_Guideline'!$A$54:$A$269=$B483)*
      ('Tools &amp; Targets_Guideline'!$B$54:$B$269="GM"),
      0
    ),
    MATCH(
      _xludf.IFNA(
        VLOOKUP($D483,{"PH","Provincial Hospital (H2)";"DH","District Hospital (H3)";"RH","Regional / National Hospital (H1)"},2,0),
        $D483
      ),
      'Tools &amp; Targets_Guideline'!$C$53:$I$53,
      0
    )
  ),
0))</f>
        <v/>
      </c>
      <c r="Z483" s="102"/>
      <c r="AA483" s="119" t="str">
        <f t="array" ref="AA483">IF(OR($B483="",$D483=""),"",
IFERROR(
  INDEX(
    'Tools &amp; Targets_Guideline'!$C$54:$I$269,
    MATCH(
      1,
      ('Tools &amp; Targets_Guideline'!$A$54:$A$269=$B483)*
      ('Tools &amp; Targets_Guideline'!$B$54:$B$269="Penta"),
      0
    ),
    MATCH(
      _xludf.IFNA(
        VLOOKUP($D483,{"PH","Provincial Hospital (H2)";"DH","District Hospital (H3)";"RH","Regional / National Hospital (H1)"},2,0),
        $D483
      ),
      'Tools &amp; Targets_Guideline'!$C$53:$I$53,
      0
    )
  ),
0))</f>
        <v/>
      </c>
      <c r="AB483" s="102"/>
      <c r="AC483" s="119" t="str">
        <f t="array" ref="AC483">IF(OR($B483="",$D483=""),"",
IFERROR(
  INDEX(
    'Tools &amp; Targets_Guideline'!$C$54:$I$269,
    MATCH(
      1,
      ('Tools &amp; Targets_Guideline'!$A$54:$A$269=$B483)*
      ('Tools &amp; Targets_Guideline'!$B$54:$B$269="TB"),
      0
    ),
    MATCH(
      _xludf.IFNA(
        VLOOKUP($D483,{"PH","Provincial Hospital (H2)";"DH","District Hospital (H3)";"RH","Regional / National Hospital (H1)"},2,0),
        $D483
      ),
      'Tools &amp; Targets_Guideline'!$C$53:$I$53,
      0
    )
  ),
0))</f>
        <v/>
      </c>
      <c r="AD483" s="102"/>
      <c r="AE483" s="119" t="str">
        <f t="array" ref="AE483">IF(OR($B483="",$D483=""),"",
IFERROR(
  INDEX(
    'Tools &amp; Targets_Guideline'!$C$54:$I$269,
    MATCH(
      1,
      ('Tools &amp; Targets_Guideline'!$A$54:$A$269=$B483)*
      ('Tools &amp; Targets_Guideline'!$B$54:$B$269="U5 Morbidity"),
      0
    ),
    MATCH(
      _xludf.IFNA(
        VLOOKUP($D483,{"PH","Provincial Hospital (H2)";"DH","District Hospital (H3)";"RH","Regional / National Hospital (H1)"},2,0),
        $D483
      ),
      'Tools &amp; Targets_Guideline'!$C$53:$I$53,
      0
    )
  ),
0))</f>
        <v/>
      </c>
      <c r="AF483" s="102"/>
      <c r="AG483" s="119" t="str">
        <f t="array" ref="AG483">IF(OR($B483="",$D483=""),"",
IFERROR(
  INDEX(
    'Tools &amp; Targets_Guideline'!$C$54:$I$269,
    MATCH(
      1,
      ('Tools &amp; Targets_Guideline'!$A$54:$A$269=$B483)*
      ('Tools &amp; Targets_Guideline'!$B$54:$B$269="C-Section"),
      0
    ),
    MATCH(
      _xludf.IFNA(
        VLOOKUP($D483,{"PH","Provincial Hospital (H2)";"DH","District Hospital (H3)";"RH","Regional / National Hospital (H1)"},2,0),
        $D483
      ),
      'Tools &amp; Targets_Guideline'!$C$53:$I$53,
      0
    )
  ),
0))</f>
        <v/>
      </c>
      <c r="AH483" s="102" t="str">
        <f>IF(A483&lt;&gt;"",COUNTIFS('QA Log'!D:D,A483,'QA Log'!M:M,"QQC",'QA Log'!L:L,"2. Hygiene and Sterilization",'QA Log'!Z:Z,"Approved"),"")</f>
        <v/>
      </c>
      <c r="AI483" s="102"/>
      <c r="AJ483" s="102"/>
      <c r="AK483" s="103" t="str">
        <f t="shared" si="17"/>
        <v/>
      </c>
      <c r="AL483" s="102"/>
      <c r="AM483" s="102"/>
      <c r="AN483" s="102"/>
      <c r="AO483" s="106"/>
      <c r="AP483" s="103"/>
      <c r="AQ483" s="102"/>
      <c r="AR483" s="102"/>
      <c r="AS483" s="102"/>
      <c r="AT483" s="107"/>
      <c r="AU483" s="102" t="str">
        <f t="shared" si="18"/>
        <v/>
      </c>
      <c r="AV483" s="102" t="str">
        <f t="shared" si="19"/>
        <v/>
      </c>
      <c r="AW483" s="102" t="str">
        <f t="shared" si="20"/>
        <v/>
      </c>
      <c r="AX483" s="102" t="str">
        <f t="shared" si="21"/>
        <v/>
      </c>
      <c r="AY483" s="107" t="str">
        <f t="shared" si="22"/>
        <v/>
      </c>
      <c r="AZ483" s="108" t="str">
        <f t="shared" si="23"/>
        <v/>
      </c>
      <c r="BA483" s="108" t="str">
        <f t="shared" si="24"/>
        <v/>
      </c>
      <c r="BB483" s="109" t="str">
        <f t="shared" si="25"/>
        <v/>
      </c>
      <c r="BC483" s="108" t="str">
        <f t="shared" si="26"/>
        <v/>
      </c>
      <c r="BD483" s="108" t="str">
        <f t="shared" si="27"/>
        <v/>
      </c>
      <c r="BE483" s="109" t="str">
        <f t="shared" si="28"/>
        <v/>
      </c>
      <c r="BF483" s="110" t="str">
        <f t="shared" si="29"/>
        <v/>
      </c>
      <c r="BG483" s="111"/>
    </row>
    <row r="484" spans="1:59" ht="12.75">
      <c r="A484" s="101"/>
      <c r="B484" s="102"/>
      <c r="C484" s="102" t="e">
        <f t="array" aca="1" ref="C484" ca="1">_xludf.XLOOKUP(A484,'QA Log'!D:D,'QA Log'!F:F,"")</f>
        <v>#NAME?</v>
      </c>
      <c r="D484" s="102"/>
      <c r="E484" s="102" t="e">
        <f t="array" aca="1" ref="E484" ca="1">_xludf.XLOOKUP(A484,'QA Log'!D:D,'QA Log'!G:G,"")</f>
        <v>#NAME?</v>
      </c>
      <c r="F484" s="103"/>
      <c r="G484" s="104"/>
      <c r="H484" s="104"/>
      <c r="I484" s="103" t="str">
        <f t="shared" si="15"/>
        <v/>
      </c>
      <c r="J484" s="102"/>
      <c r="K484" s="102"/>
      <c r="L484" s="119" t="str">
        <f t="array" ref="L484">IF(OR($B484="",$D484=""),"",
IFERROR(
  INDEX(
    'Tools &amp; Targets_Guideline'!$C$54:$I$269,
    MATCH(
      1,
      ('Tools &amp; Targets_Guideline'!$A$54:$A$269=$B484)*
      ('Tools &amp; Targets_Guideline'!$B$54:$B$269="ANC"),
      0
    ),
    MATCH(
      _xludf.IFNA(
        VLOOKUP($D484,{"PH","Provincial Hospital (H2)";"DH","District Hospital (H3)";"RH","Regional / National Hospital (H1)"},2,0),
        $D484
      ),
      'Tools &amp; Targets_Guideline'!$C$53:$I$53,
      0
    )
  ),
0))</f>
        <v/>
      </c>
      <c r="M484" s="102"/>
      <c r="N484" s="119" t="str">
        <f t="array" ref="N484">IF(OR($B484="",$D484=""),"",
IFERROR(
  INDEX(
    'Tools &amp; Targets_Guideline'!$C$54:$I$269,
    MATCH(
      1,
      ('Tools &amp; Targets_Guideline'!$A$54:$A$269=$B484)*
      ('Tools &amp; Targets_Guideline'!$B$54:$B$269="PNC"),
      0
    ),
    MATCH(
      _xludf.IFNA(
        VLOOKUP($D484,{"PH","Provincial Hospital (H2)";"DH","District Hospital (H3)";"RH","Regional / National Hospital (H1)"},2,0),
        $D484
      ),
      'Tools &amp; Targets_Guideline'!$C$53:$I$53,
      0
    )
  ),
0))</f>
        <v/>
      </c>
      <c r="O484" s="102"/>
      <c r="P484" s="119" t="str">
        <f t="array" ref="P484">IF(OR($B484="",$D484=""),"",
IFERROR(
  INDEX(
    'Tools &amp; Targets_Guideline'!$C$54:$I$269,
    MATCH(
      1,
      ('Tools &amp; Targets_Guideline'!$A$54:$A$269=$B484)*
      ('Tools &amp; Targets_Guideline'!$B$54:$B$269="Delivery"),
      0
    ),
    MATCH(
      _xludf.IFNA(
        VLOOKUP($D484,{"PH","Provincial Hospital (H2)";"DH","District Hospital (H3)";"RH","Regional / National Hospital (H1)"},2,0),
        $D484
      ),
      'Tools &amp; Targets_Guideline'!$C$53:$I$53,
      0
    )
  ),
0))</f>
        <v/>
      </c>
      <c r="Q484" s="102"/>
      <c r="R484" s="119" t="str">
        <f t="array" ref="R484">IF(OR($B484="",$D484=""),"",
IFERROR(
  INDEX(
    'Tools &amp; Targets_Guideline'!$C$54:$I$269,
    MATCH(
      1,
      ('Tools &amp; Targets_Guideline'!$A$54:$A$269=$B484)*
      ('Tools &amp; Targets_Guideline'!$B$54:$B$269="TT"),
      0
    ),
    MATCH(
      _xludf.IFNA(
        VLOOKUP($D484,{"PH","Provincial Hospital (H2)";"DH","District Hospital (H3)";"RH","Regional / National Hospital (H1)"},2,0),
        $D484
      ),
      'Tools &amp; Targets_Guideline'!$C$53:$I$53,
      0
    )
  ),
0))</f>
        <v/>
      </c>
      <c r="S484" s="102"/>
      <c r="T484" s="102"/>
      <c r="U484" s="106"/>
      <c r="V484" s="102" t="str">
        <f t="shared" si="16"/>
        <v/>
      </c>
      <c r="W484" s="102"/>
      <c r="X484" s="102"/>
      <c r="Y484" s="119" t="str">
        <f t="array" ref="Y484">IF(OR($B484="",$D484=""),"",
IFERROR(
  INDEX(
    'Tools &amp; Targets_Guideline'!$C$54:$I$269,
    MATCH(
      1,
      ('Tools &amp; Targets_Guideline'!$A$54:$A$269=$B484)*
      ('Tools &amp; Targets_Guideline'!$B$54:$B$269="GM"),
      0
    ),
    MATCH(
      _xludf.IFNA(
        VLOOKUP($D484,{"PH","Provincial Hospital (H2)";"DH","District Hospital (H3)";"RH","Regional / National Hospital (H1)"},2,0),
        $D484
      ),
      'Tools &amp; Targets_Guideline'!$C$53:$I$53,
      0
    )
  ),
0))</f>
        <v/>
      </c>
      <c r="Z484" s="102"/>
      <c r="AA484" s="119" t="str">
        <f t="array" ref="AA484">IF(OR($B484="",$D484=""),"",
IFERROR(
  INDEX(
    'Tools &amp; Targets_Guideline'!$C$54:$I$269,
    MATCH(
      1,
      ('Tools &amp; Targets_Guideline'!$A$54:$A$269=$B484)*
      ('Tools &amp; Targets_Guideline'!$B$54:$B$269="Penta"),
      0
    ),
    MATCH(
      _xludf.IFNA(
        VLOOKUP($D484,{"PH","Provincial Hospital (H2)";"DH","District Hospital (H3)";"RH","Regional / National Hospital (H1)"},2,0),
        $D484
      ),
      'Tools &amp; Targets_Guideline'!$C$53:$I$53,
      0
    )
  ),
0))</f>
        <v/>
      </c>
      <c r="AB484" s="102"/>
      <c r="AC484" s="119" t="str">
        <f t="array" ref="AC484">IF(OR($B484="",$D484=""),"",
IFERROR(
  INDEX(
    'Tools &amp; Targets_Guideline'!$C$54:$I$269,
    MATCH(
      1,
      ('Tools &amp; Targets_Guideline'!$A$54:$A$269=$B484)*
      ('Tools &amp; Targets_Guideline'!$B$54:$B$269="TB"),
      0
    ),
    MATCH(
      _xludf.IFNA(
        VLOOKUP($D484,{"PH","Provincial Hospital (H2)";"DH","District Hospital (H3)";"RH","Regional / National Hospital (H1)"},2,0),
        $D484
      ),
      'Tools &amp; Targets_Guideline'!$C$53:$I$53,
      0
    )
  ),
0))</f>
        <v/>
      </c>
      <c r="AD484" s="102"/>
      <c r="AE484" s="119" t="str">
        <f t="array" ref="AE484">IF(OR($B484="",$D484=""),"",
IFERROR(
  INDEX(
    'Tools &amp; Targets_Guideline'!$C$54:$I$269,
    MATCH(
      1,
      ('Tools &amp; Targets_Guideline'!$A$54:$A$269=$B484)*
      ('Tools &amp; Targets_Guideline'!$B$54:$B$269="U5 Morbidity"),
      0
    ),
    MATCH(
      _xludf.IFNA(
        VLOOKUP($D484,{"PH","Provincial Hospital (H2)";"DH","District Hospital (H3)";"RH","Regional / National Hospital (H1)"},2,0),
        $D484
      ),
      'Tools &amp; Targets_Guideline'!$C$53:$I$53,
      0
    )
  ),
0))</f>
        <v/>
      </c>
      <c r="AF484" s="102"/>
      <c r="AG484" s="119" t="str">
        <f t="array" ref="AG484">IF(OR($B484="",$D484=""),"",
IFERROR(
  INDEX(
    'Tools &amp; Targets_Guideline'!$C$54:$I$269,
    MATCH(
      1,
      ('Tools &amp; Targets_Guideline'!$A$54:$A$269=$B484)*
      ('Tools &amp; Targets_Guideline'!$B$54:$B$269="C-Section"),
      0
    ),
    MATCH(
      _xludf.IFNA(
        VLOOKUP($D484,{"PH","Provincial Hospital (H2)";"DH","District Hospital (H3)";"RH","Regional / National Hospital (H1)"},2,0),
        $D484
      ),
      'Tools &amp; Targets_Guideline'!$C$53:$I$53,
      0
    )
  ),
0))</f>
        <v/>
      </c>
      <c r="AH484" s="102" t="str">
        <f>IF(A484&lt;&gt;"",COUNTIFS('QA Log'!D:D,A484,'QA Log'!M:M,"QQC",'QA Log'!L:L,"2. Hygiene and Sterilization",'QA Log'!Z:Z,"Approved"),"")</f>
        <v/>
      </c>
      <c r="AI484" s="102"/>
      <c r="AJ484" s="102"/>
      <c r="AK484" s="103" t="str">
        <f t="shared" si="17"/>
        <v/>
      </c>
      <c r="AL484" s="102"/>
      <c r="AM484" s="102"/>
      <c r="AN484" s="102"/>
      <c r="AO484" s="106"/>
      <c r="AP484" s="103"/>
      <c r="AQ484" s="102"/>
      <c r="AR484" s="102"/>
      <c r="AS484" s="102"/>
      <c r="AT484" s="107"/>
      <c r="AU484" s="102" t="str">
        <f t="shared" si="18"/>
        <v/>
      </c>
      <c r="AV484" s="102" t="str">
        <f t="shared" si="19"/>
        <v/>
      </c>
      <c r="AW484" s="102" t="str">
        <f t="shared" si="20"/>
        <v/>
      </c>
      <c r="AX484" s="102" t="str">
        <f t="shared" si="21"/>
        <v/>
      </c>
      <c r="AY484" s="107" t="str">
        <f t="shared" si="22"/>
        <v/>
      </c>
      <c r="AZ484" s="108" t="str">
        <f t="shared" si="23"/>
        <v/>
      </c>
      <c r="BA484" s="108" t="str">
        <f t="shared" si="24"/>
        <v/>
      </c>
      <c r="BB484" s="109" t="str">
        <f t="shared" si="25"/>
        <v/>
      </c>
      <c r="BC484" s="108" t="str">
        <f t="shared" si="26"/>
        <v/>
      </c>
      <c r="BD484" s="108" t="str">
        <f t="shared" si="27"/>
        <v/>
      </c>
      <c r="BE484" s="109" t="str">
        <f t="shared" si="28"/>
        <v/>
      </c>
      <c r="BF484" s="110" t="str">
        <f t="shared" si="29"/>
        <v/>
      </c>
      <c r="BG484" s="111"/>
    </row>
    <row r="485" spans="1:59" ht="12.75">
      <c r="A485" s="101"/>
      <c r="B485" s="102"/>
      <c r="C485" s="102" t="e">
        <f t="array" aca="1" ref="C485" ca="1">_xludf.XLOOKUP(A485,'QA Log'!D:D,'QA Log'!F:F,"")</f>
        <v>#NAME?</v>
      </c>
      <c r="D485" s="102"/>
      <c r="E485" s="102" t="e">
        <f t="array" aca="1" ref="E485" ca="1">_xludf.XLOOKUP(A485,'QA Log'!D:D,'QA Log'!G:G,"")</f>
        <v>#NAME?</v>
      </c>
      <c r="F485" s="103"/>
      <c r="G485" s="104"/>
      <c r="H485" s="104"/>
      <c r="I485" s="103" t="str">
        <f t="shared" si="15"/>
        <v/>
      </c>
      <c r="J485" s="102"/>
      <c r="K485" s="102"/>
      <c r="L485" s="119" t="str">
        <f t="array" ref="L485">IF(OR($B485="",$D485=""),"",
IFERROR(
  INDEX(
    'Tools &amp; Targets_Guideline'!$C$54:$I$269,
    MATCH(
      1,
      ('Tools &amp; Targets_Guideline'!$A$54:$A$269=$B485)*
      ('Tools &amp; Targets_Guideline'!$B$54:$B$269="ANC"),
      0
    ),
    MATCH(
      _xludf.IFNA(
        VLOOKUP($D485,{"PH","Provincial Hospital (H2)";"DH","District Hospital (H3)";"RH","Regional / National Hospital (H1)"},2,0),
        $D485
      ),
      'Tools &amp; Targets_Guideline'!$C$53:$I$53,
      0
    )
  ),
0))</f>
        <v/>
      </c>
      <c r="M485" s="102"/>
      <c r="N485" s="119" t="str">
        <f t="array" ref="N485">IF(OR($B485="",$D485=""),"",
IFERROR(
  INDEX(
    'Tools &amp; Targets_Guideline'!$C$54:$I$269,
    MATCH(
      1,
      ('Tools &amp; Targets_Guideline'!$A$54:$A$269=$B485)*
      ('Tools &amp; Targets_Guideline'!$B$54:$B$269="PNC"),
      0
    ),
    MATCH(
      _xludf.IFNA(
        VLOOKUP($D485,{"PH","Provincial Hospital (H2)";"DH","District Hospital (H3)";"RH","Regional / National Hospital (H1)"},2,0),
        $D485
      ),
      'Tools &amp; Targets_Guideline'!$C$53:$I$53,
      0
    )
  ),
0))</f>
        <v/>
      </c>
      <c r="O485" s="102"/>
      <c r="P485" s="119" t="str">
        <f t="array" ref="P485">IF(OR($B485="",$D485=""),"",
IFERROR(
  INDEX(
    'Tools &amp; Targets_Guideline'!$C$54:$I$269,
    MATCH(
      1,
      ('Tools &amp; Targets_Guideline'!$A$54:$A$269=$B485)*
      ('Tools &amp; Targets_Guideline'!$B$54:$B$269="Delivery"),
      0
    ),
    MATCH(
      _xludf.IFNA(
        VLOOKUP($D485,{"PH","Provincial Hospital (H2)";"DH","District Hospital (H3)";"RH","Regional / National Hospital (H1)"},2,0),
        $D485
      ),
      'Tools &amp; Targets_Guideline'!$C$53:$I$53,
      0
    )
  ),
0))</f>
        <v/>
      </c>
      <c r="Q485" s="102"/>
      <c r="R485" s="119" t="str">
        <f t="array" ref="R485">IF(OR($B485="",$D485=""),"",
IFERROR(
  INDEX(
    'Tools &amp; Targets_Guideline'!$C$54:$I$269,
    MATCH(
      1,
      ('Tools &amp; Targets_Guideline'!$A$54:$A$269=$B485)*
      ('Tools &amp; Targets_Guideline'!$B$54:$B$269="TT"),
      0
    ),
    MATCH(
      _xludf.IFNA(
        VLOOKUP($D485,{"PH","Provincial Hospital (H2)";"DH","District Hospital (H3)";"RH","Regional / National Hospital (H1)"},2,0),
        $D485
      ),
      'Tools &amp; Targets_Guideline'!$C$53:$I$53,
      0
    )
  ),
0))</f>
        <v/>
      </c>
      <c r="S485" s="102"/>
      <c r="T485" s="102"/>
      <c r="U485" s="106"/>
      <c r="V485" s="102" t="str">
        <f t="shared" si="16"/>
        <v/>
      </c>
      <c r="W485" s="102"/>
      <c r="X485" s="102"/>
      <c r="Y485" s="119" t="str">
        <f t="array" ref="Y485">IF(OR($B485="",$D485=""),"",
IFERROR(
  INDEX(
    'Tools &amp; Targets_Guideline'!$C$54:$I$269,
    MATCH(
      1,
      ('Tools &amp; Targets_Guideline'!$A$54:$A$269=$B485)*
      ('Tools &amp; Targets_Guideline'!$B$54:$B$269="GM"),
      0
    ),
    MATCH(
      _xludf.IFNA(
        VLOOKUP($D485,{"PH","Provincial Hospital (H2)";"DH","District Hospital (H3)";"RH","Regional / National Hospital (H1)"},2,0),
        $D485
      ),
      'Tools &amp; Targets_Guideline'!$C$53:$I$53,
      0
    )
  ),
0))</f>
        <v/>
      </c>
      <c r="Z485" s="102"/>
      <c r="AA485" s="119" t="str">
        <f t="array" ref="AA485">IF(OR($B485="",$D485=""),"",
IFERROR(
  INDEX(
    'Tools &amp; Targets_Guideline'!$C$54:$I$269,
    MATCH(
      1,
      ('Tools &amp; Targets_Guideline'!$A$54:$A$269=$B485)*
      ('Tools &amp; Targets_Guideline'!$B$54:$B$269="Penta"),
      0
    ),
    MATCH(
      _xludf.IFNA(
        VLOOKUP($D485,{"PH","Provincial Hospital (H2)";"DH","District Hospital (H3)";"RH","Regional / National Hospital (H1)"},2,0),
        $D485
      ),
      'Tools &amp; Targets_Guideline'!$C$53:$I$53,
      0
    )
  ),
0))</f>
        <v/>
      </c>
      <c r="AB485" s="102"/>
      <c r="AC485" s="119" t="str">
        <f t="array" ref="AC485">IF(OR($B485="",$D485=""),"",
IFERROR(
  INDEX(
    'Tools &amp; Targets_Guideline'!$C$54:$I$269,
    MATCH(
      1,
      ('Tools &amp; Targets_Guideline'!$A$54:$A$269=$B485)*
      ('Tools &amp; Targets_Guideline'!$B$54:$B$269="TB"),
      0
    ),
    MATCH(
      _xludf.IFNA(
        VLOOKUP($D485,{"PH","Provincial Hospital (H2)";"DH","District Hospital (H3)";"RH","Regional / National Hospital (H1)"},2,0),
        $D485
      ),
      'Tools &amp; Targets_Guideline'!$C$53:$I$53,
      0
    )
  ),
0))</f>
        <v/>
      </c>
      <c r="AD485" s="102"/>
      <c r="AE485" s="119" t="str">
        <f t="array" ref="AE485">IF(OR($B485="",$D485=""),"",
IFERROR(
  INDEX(
    'Tools &amp; Targets_Guideline'!$C$54:$I$269,
    MATCH(
      1,
      ('Tools &amp; Targets_Guideline'!$A$54:$A$269=$B485)*
      ('Tools &amp; Targets_Guideline'!$B$54:$B$269="U5 Morbidity"),
      0
    ),
    MATCH(
      _xludf.IFNA(
        VLOOKUP($D485,{"PH","Provincial Hospital (H2)";"DH","District Hospital (H3)";"RH","Regional / National Hospital (H1)"},2,0),
        $D485
      ),
      'Tools &amp; Targets_Guideline'!$C$53:$I$53,
      0
    )
  ),
0))</f>
        <v/>
      </c>
      <c r="AF485" s="102"/>
      <c r="AG485" s="119" t="str">
        <f t="array" ref="AG485">IF(OR($B485="",$D485=""),"",
IFERROR(
  INDEX(
    'Tools &amp; Targets_Guideline'!$C$54:$I$269,
    MATCH(
      1,
      ('Tools &amp; Targets_Guideline'!$A$54:$A$269=$B485)*
      ('Tools &amp; Targets_Guideline'!$B$54:$B$269="C-Section"),
      0
    ),
    MATCH(
      _xludf.IFNA(
        VLOOKUP($D485,{"PH","Provincial Hospital (H2)";"DH","District Hospital (H3)";"RH","Regional / National Hospital (H1)"},2,0),
        $D485
      ),
      'Tools &amp; Targets_Guideline'!$C$53:$I$53,
      0
    )
  ),
0))</f>
        <v/>
      </c>
      <c r="AH485" s="102" t="str">
        <f>IF(A485&lt;&gt;"",COUNTIFS('QA Log'!D:D,A485,'QA Log'!M:M,"QQC",'QA Log'!L:L,"2. Hygiene and Sterilization",'QA Log'!Z:Z,"Approved"),"")</f>
        <v/>
      </c>
      <c r="AI485" s="102"/>
      <c r="AJ485" s="102"/>
      <c r="AK485" s="103" t="str">
        <f t="shared" si="17"/>
        <v/>
      </c>
      <c r="AL485" s="102"/>
      <c r="AM485" s="102"/>
      <c r="AN485" s="102"/>
      <c r="AO485" s="106"/>
      <c r="AP485" s="103"/>
      <c r="AQ485" s="102"/>
      <c r="AR485" s="102"/>
      <c r="AS485" s="102"/>
      <c r="AT485" s="107"/>
      <c r="AU485" s="102" t="str">
        <f t="shared" si="18"/>
        <v/>
      </c>
      <c r="AV485" s="102" t="str">
        <f t="shared" si="19"/>
        <v/>
      </c>
      <c r="AW485" s="102" t="str">
        <f t="shared" si="20"/>
        <v/>
      </c>
      <c r="AX485" s="102" t="str">
        <f t="shared" si="21"/>
        <v/>
      </c>
      <c r="AY485" s="107" t="str">
        <f t="shared" si="22"/>
        <v/>
      </c>
      <c r="AZ485" s="108" t="str">
        <f t="shared" si="23"/>
        <v/>
      </c>
      <c r="BA485" s="108" t="str">
        <f t="shared" si="24"/>
        <v/>
      </c>
      <c r="BB485" s="109" t="str">
        <f t="shared" si="25"/>
        <v/>
      </c>
      <c r="BC485" s="108" t="str">
        <f t="shared" si="26"/>
        <v/>
      </c>
      <c r="BD485" s="108" t="str">
        <f t="shared" si="27"/>
        <v/>
      </c>
      <c r="BE485" s="109" t="str">
        <f t="shared" si="28"/>
        <v/>
      </c>
      <c r="BF485" s="110" t="str">
        <f t="shared" si="29"/>
        <v/>
      </c>
      <c r="BG485" s="111"/>
    </row>
    <row r="486" spans="1:59" ht="12.75">
      <c r="A486" s="101"/>
      <c r="B486" s="102"/>
      <c r="C486" s="102" t="e">
        <f t="array" aca="1" ref="C486" ca="1">_xludf.XLOOKUP(A486,'QA Log'!D:D,'QA Log'!F:F,"")</f>
        <v>#NAME?</v>
      </c>
      <c r="D486" s="102"/>
      <c r="E486" s="102" t="e">
        <f t="array" aca="1" ref="E486" ca="1">_xludf.XLOOKUP(A486,'QA Log'!D:D,'QA Log'!G:G,"")</f>
        <v>#NAME?</v>
      </c>
      <c r="F486" s="103"/>
      <c r="G486" s="104"/>
      <c r="H486" s="104"/>
      <c r="I486" s="103" t="str">
        <f t="shared" si="15"/>
        <v/>
      </c>
      <c r="J486" s="102"/>
      <c r="K486" s="102"/>
      <c r="L486" s="119" t="str">
        <f t="array" ref="L486">IF(OR($B486="",$D486=""),"",
IFERROR(
  INDEX(
    'Tools &amp; Targets_Guideline'!$C$54:$I$269,
    MATCH(
      1,
      ('Tools &amp; Targets_Guideline'!$A$54:$A$269=$B486)*
      ('Tools &amp; Targets_Guideline'!$B$54:$B$269="ANC"),
      0
    ),
    MATCH(
      _xludf.IFNA(
        VLOOKUP($D486,{"PH","Provincial Hospital (H2)";"DH","District Hospital (H3)";"RH","Regional / National Hospital (H1)"},2,0),
        $D486
      ),
      'Tools &amp; Targets_Guideline'!$C$53:$I$53,
      0
    )
  ),
0))</f>
        <v/>
      </c>
      <c r="M486" s="102"/>
      <c r="N486" s="119" t="str">
        <f t="array" ref="N486">IF(OR($B486="",$D486=""),"",
IFERROR(
  INDEX(
    'Tools &amp; Targets_Guideline'!$C$54:$I$269,
    MATCH(
      1,
      ('Tools &amp; Targets_Guideline'!$A$54:$A$269=$B486)*
      ('Tools &amp; Targets_Guideline'!$B$54:$B$269="PNC"),
      0
    ),
    MATCH(
      _xludf.IFNA(
        VLOOKUP($D486,{"PH","Provincial Hospital (H2)";"DH","District Hospital (H3)";"RH","Regional / National Hospital (H1)"},2,0),
        $D486
      ),
      'Tools &amp; Targets_Guideline'!$C$53:$I$53,
      0
    )
  ),
0))</f>
        <v/>
      </c>
      <c r="O486" s="102"/>
      <c r="P486" s="119" t="str">
        <f t="array" ref="P486">IF(OR($B486="",$D486=""),"",
IFERROR(
  INDEX(
    'Tools &amp; Targets_Guideline'!$C$54:$I$269,
    MATCH(
      1,
      ('Tools &amp; Targets_Guideline'!$A$54:$A$269=$B486)*
      ('Tools &amp; Targets_Guideline'!$B$54:$B$269="Delivery"),
      0
    ),
    MATCH(
      _xludf.IFNA(
        VLOOKUP($D486,{"PH","Provincial Hospital (H2)";"DH","District Hospital (H3)";"RH","Regional / National Hospital (H1)"},2,0),
        $D486
      ),
      'Tools &amp; Targets_Guideline'!$C$53:$I$53,
      0
    )
  ),
0))</f>
        <v/>
      </c>
      <c r="Q486" s="102"/>
      <c r="R486" s="119" t="str">
        <f t="array" ref="R486">IF(OR($B486="",$D486=""),"",
IFERROR(
  INDEX(
    'Tools &amp; Targets_Guideline'!$C$54:$I$269,
    MATCH(
      1,
      ('Tools &amp; Targets_Guideline'!$A$54:$A$269=$B486)*
      ('Tools &amp; Targets_Guideline'!$B$54:$B$269="TT"),
      0
    ),
    MATCH(
      _xludf.IFNA(
        VLOOKUP($D486,{"PH","Provincial Hospital (H2)";"DH","District Hospital (H3)";"RH","Regional / National Hospital (H1)"},2,0),
        $D486
      ),
      'Tools &amp; Targets_Guideline'!$C$53:$I$53,
      0
    )
  ),
0))</f>
        <v/>
      </c>
      <c r="S486" s="102"/>
      <c r="T486" s="102"/>
      <c r="U486" s="106"/>
      <c r="V486" s="102" t="str">
        <f t="shared" si="16"/>
        <v/>
      </c>
      <c r="W486" s="102"/>
      <c r="X486" s="102"/>
      <c r="Y486" s="119" t="str">
        <f t="array" ref="Y486">IF(OR($B486="",$D486=""),"",
IFERROR(
  INDEX(
    'Tools &amp; Targets_Guideline'!$C$54:$I$269,
    MATCH(
      1,
      ('Tools &amp; Targets_Guideline'!$A$54:$A$269=$B486)*
      ('Tools &amp; Targets_Guideline'!$B$54:$B$269="GM"),
      0
    ),
    MATCH(
      _xludf.IFNA(
        VLOOKUP($D486,{"PH","Provincial Hospital (H2)";"DH","District Hospital (H3)";"RH","Regional / National Hospital (H1)"},2,0),
        $D486
      ),
      'Tools &amp; Targets_Guideline'!$C$53:$I$53,
      0
    )
  ),
0))</f>
        <v/>
      </c>
      <c r="Z486" s="102"/>
      <c r="AA486" s="119" t="str">
        <f t="array" ref="AA486">IF(OR($B486="",$D486=""),"",
IFERROR(
  INDEX(
    'Tools &amp; Targets_Guideline'!$C$54:$I$269,
    MATCH(
      1,
      ('Tools &amp; Targets_Guideline'!$A$54:$A$269=$B486)*
      ('Tools &amp; Targets_Guideline'!$B$54:$B$269="Penta"),
      0
    ),
    MATCH(
      _xludf.IFNA(
        VLOOKUP($D486,{"PH","Provincial Hospital (H2)";"DH","District Hospital (H3)";"RH","Regional / National Hospital (H1)"},2,0),
        $D486
      ),
      'Tools &amp; Targets_Guideline'!$C$53:$I$53,
      0
    )
  ),
0))</f>
        <v/>
      </c>
      <c r="AB486" s="102"/>
      <c r="AC486" s="119" t="str">
        <f t="array" ref="AC486">IF(OR($B486="",$D486=""),"",
IFERROR(
  INDEX(
    'Tools &amp; Targets_Guideline'!$C$54:$I$269,
    MATCH(
      1,
      ('Tools &amp; Targets_Guideline'!$A$54:$A$269=$B486)*
      ('Tools &amp; Targets_Guideline'!$B$54:$B$269="TB"),
      0
    ),
    MATCH(
      _xludf.IFNA(
        VLOOKUP($D486,{"PH","Provincial Hospital (H2)";"DH","District Hospital (H3)";"RH","Regional / National Hospital (H1)"},2,0),
        $D486
      ),
      'Tools &amp; Targets_Guideline'!$C$53:$I$53,
      0
    )
  ),
0))</f>
        <v/>
      </c>
      <c r="AD486" s="102"/>
      <c r="AE486" s="119" t="str">
        <f t="array" ref="AE486">IF(OR($B486="",$D486=""),"",
IFERROR(
  INDEX(
    'Tools &amp; Targets_Guideline'!$C$54:$I$269,
    MATCH(
      1,
      ('Tools &amp; Targets_Guideline'!$A$54:$A$269=$B486)*
      ('Tools &amp; Targets_Guideline'!$B$54:$B$269="U5 Morbidity"),
      0
    ),
    MATCH(
      _xludf.IFNA(
        VLOOKUP($D486,{"PH","Provincial Hospital (H2)";"DH","District Hospital (H3)";"RH","Regional / National Hospital (H1)"},2,0),
        $D486
      ),
      'Tools &amp; Targets_Guideline'!$C$53:$I$53,
      0
    )
  ),
0))</f>
        <v/>
      </c>
      <c r="AF486" s="102"/>
      <c r="AG486" s="119" t="str">
        <f t="array" ref="AG486">IF(OR($B486="",$D486=""),"",
IFERROR(
  INDEX(
    'Tools &amp; Targets_Guideline'!$C$54:$I$269,
    MATCH(
      1,
      ('Tools &amp; Targets_Guideline'!$A$54:$A$269=$B486)*
      ('Tools &amp; Targets_Guideline'!$B$54:$B$269="C-Section"),
      0
    ),
    MATCH(
      _xludf.IFNA(
        VLOOKUP($D486,{"PH","Provincial Hospital (H2)";"DH","District Hospital (H3)";"RH","Regional / National Hospital (H1)"},2,0),
        $D486
      ),
      'Tools &amp; Targets_Guideline'!$C$53:$I$53,
      0
    )
  ),
0))</f>
        <v/>
      </c>
      <c r="AH486" s="102" t="str">
        <f>IF(A486&lt;&gt;"",COUNTIFS('QA Log'!D:D,A486,'QA Log'!M:M,"QQC",'QA Log'!L:L,"2. Hygiene and Sterilization",'QA Log'!Z:Z,"Approved"),"")</f>
        <v/>
      </c>
      <c r="AI486" s="102"/>
      <c r="AJ486" s="102"/>
      <c r="AK486" s="103" t="str">
        <f t="shared" si="17"/>
        <v/>
      </c>
      <c r="AL486" s="102"/>
      <c r="AM486" s="102"/>
      <c r="AN486" s="102"/>
      <c r="AO486" s="106"/>
      <c r="AP486" s="103"/>
      <c r="AQ486" s="102"/>
      <c r="AR486" s="102"/>
      <c r="AS486" s="102"/>
      <c r="AT486" s="107"/>
      <c r="AU486" s="102" t="str">
        <f t="shared" si="18"/>
        <v/>
      </c>
      <c r="AV486" s="102" t="str">
        <f t="shared" si="19"/>
        <v/>
      </c>
      <c r="AW486" s="102" t="str">
        <f t="shared" si="20"/>
        <v/>
      </c>
      <c r="AX486" s="102" t="str">
        <f t="shared" si="21"/>
        <v/>
      </c>
      <c r="AY486" s="107" t="str">
        <f t="shared" si="22"/>
        <v/>
      </c>
      <c r="AZ486" s="108" t="str">
        <f t="shared" si="23"/>
        <v/>
      </c>
      <c r="BA486" s="108" t="str">
        <f t="shared" si="24"/>
        <v/>
      </c>
      <c r="BB486" s="109" t="str">
        <f t="shared" si="25"/>
        <v/>
      </c>
      <c r="BC486" s="108" t="str">
        <f t="shared" si="26"/>
        <v/>
      </c>
      <c r="BD486" s="108" t="str">
        <f t="shared" si="27"/>
        <v/>
      </c>
      <c r="BE486" s="109" t="str">
        <f t="shared" si="28"/>
        <v/>
      </c>
      <c r="BF486" s="110" t="str">
        <f t="shared" si="29"/>
        <v/>
      </c>
      <c r="BG486" s="111"/>
    </row>
    <row r="487" spans="1:59" ht="12.75">
      <c r="A487" s="101"/>
      <c r="B487" s="102"/>
      <c r="C487" s="102" t="e">
        <f t="array" aca="1" ref="C487" ca="1">_xludf.XLOOKUP(A487,'QA Log'!D:D,'QA Log'!F:F,"")</f>
        <v>#NAME?</v>
      </c>
      <c r="D487" s="102"/>
      <c r="E487" s="102" t="e">
        <f t="array" aca="1" ref="E487" ca="1">_xludf.XLOOKUP(A487,'QA Log'!D:D,'QA Log'!G:G,"")</f>
        <v>#NAME?</v>
      </c>
      <c r="F487" s="103"/>
      <c r="G487" s="104"/>
      <c r="H487" s="104"/>
      <c r="I487" s="103" t="str">
        <f t="shared" si="15"/>
        <v/>
      </c>
      <c r="J487" s="102"/>
      <c r="K487" s="102"/>
      <c r="L487" s="119" t="str">
        <f t="array" ref="L487">IF(OR($B487="",$D487=""),"",
IFERROR(
  INDEX(
    'Tools &amp; Targets_Guideline'!$C$54:$I$269,
    MATCH(
      1,
      ('Tools &amp; Targets_Guideline'!$A$54:$A$269=$B487)*
      ('Tools &amp; Targets_Guideline'!$B$54:$B$269="ANC"),
      0
    ),
    MATCH(
      _xludf.IFNA(
        VLOOKUP($D487,{"PH","Provincial Hospital (H2)";"DH","District Hospital (H3)";"RH","Regional / National Hospital (H1)"},2,0),
        $D487
      ),
      'Tools &amp; Targets_Guideline'!$C$53:$I$53,
      0
    )
  ),
0))</f>
        <v/>
      </c>
      <c r="M487" s="102"/>
      <c r="N487" s="119" t="str">
        <f t="array" ref="N487">IF(OR($B487="",$D487=""),"",
IFERROR(
  INDEX(
    'Tools &amp; Targets_Guideline'!$C$54:$I$269,
    MATCH(
      1,
      ('Tools &amp; Targets_Guideline'!$A$54:$A$269=$B487)*
      ('Tools &amp; Targets_Guideline'!$B$54:$B$269="PNC"),
      0
    ),
    MATCH(
      _xludf.IFNA(
        VLOOKUP($D487,{"PH","Provincial Hospital (H2)";"DH","District Hospital (H3)";"RH","Regional / National Hospital (H1)"},2,0),
        $D487
      ),
      'Tools &amp; Targets_Guideline'!$C$53:$I$53,
      0
    )
  ),
0))</f>
        <v/>
      </c>
      <c r="O487" s="102"/>
      <c r="P487" s="119" t="str">
        <f t="array" ref="P487">IF(OR($B487="",$D487=""),"",
IFERROR(
  INDEX(
    'Tools &amp; Targets_Guideline'!$C$54:$I$269,
    MATCH(
      1,
      ('Tools &amp; Targets_Guideline'!$A$54:$A$269=$B487)*
      ('Tools &amp; Targets_Guideline'!$B$54:$B$269="Delivery"),
      0
    ),
    MATCH(
      _xludf.IFNA(
        VLOOKUP($D487,{"PH","Provincial Hospital (H2)";"DH","District Hospital (H3)";"RH","Regional / National Hospital (H1)"},2,0),
        $D487
      ),
      'Tools &amp; Targets_Guideline'!$C$53:$I$53,
      0
    )
  ),
0))</f>
        <v/>
      </c>
      <c r="Q487" s="102"/>
      <c r="R487" s="119" t="str">
        <f t="array" ref="R487">IF(OR($B487="",$D487=""),"",
IFERROR(
  INDEX(
    'Tools &amp; Targets_Guideline'!$C$54:$I$269,
    MATCH(
      1,
      ('Tools &amp; Targets_Guideline'!$A$54:$A$269=$B487)*
      ('Tools &amp; Targets_Guideline'!$B$54:$B$269="TT"),
      0
    ),
    MATCH(
      _xludf.IFNA(
        VLOOKUP($D487,{"PH","Provincial Hospital (H2)";"DH","District Hospital (H3)";"RH","Regional / National Hospital (H1)"},2,0),
        $D487
      ),
      'Tools &amp; Targets_Guideline'!$C$53:$I$53,
      0
    )
  ),
0))</f>
        <v/>
      </c>
      <c r="S487" s="102"/>
      <c r="T487" s="102"/>
      <c r="U487" s="106"/>
      <c r="V487" s="102" t="str">
        <f t="shared" si="16"/>
        <v/>
      </c>
      <c r="W487" s="102"/>
      <c r="X487" s="102"/>
      <c r="Y487" s="119" t="str">
        <f t="array" ref="Y487">IF(OR($B487="",$D487=""),"",
IFERROR(
  INDEX(
    'Tools &amp; Targets_Guideline'!$C$54:$I$269,
    MATCH(
      1,
      ('Tools &amp; Targets_Guideline'!$A$54:$A$269=$B487)*
      ('Tools &amp; Targets_Guideline'!$B$54:$B$269="GM"),
      0
    ),
    MATCH(
      _xludf.IFNA(
        VLOOKUP($D487,{"PH","Provincial Hospital (H2)";"DH","District Hospital (H3)";"RH","Regional / National Hospital (H1)"},2,0),
        $D487
      ),
      'Tools &amp; Targets_Guideline'!$C$53:$I$53,
      0
    )
  ),
0))</f>
        <v/>
      </c>
      <c r="Z487" s="102"/>
      <c r="AA487" s="119" t="str">
        <f t="array" ref="AA487">IF(OR($B487="",$D487=""),"",
IFERROR(
  INDEX(
    'Tools &amp; Targets_Guideline'!$C$54:$I$269,
    MATCH(
      1,
      ('Tools &amp; Targets_Guideline'!$A$54:$A$269=$B487)*
      ('Tools &amp; Targets_Guideline'!$B$54:$B$269="Penta"),
      0
    ),
    MATCH(
      _xludf.IFNA(
        VLOOKUP($D487,{"PH","Provincial Hospital (H2)";"DH","District Hospital (H3)";"RH","Regional / National Hospital (H1)"},2,0),
        $D487
      ),
      'Tools &amp; Targets_Guideline'!$C$53:$I$53,
      0
    )
  ),
0))</f>
        <v/>
      </c>
      <c r="AB487" s="102"/>
      <c r="AC487" s="119" t="str">
        <f t="array" ref="AC487">IF(OR($B487="",$D487=""),"",
IFERROR(
  INDEX(
    'Tools &amp; Targets_Guideline'!$C$54:$I$269,
    MATCH(
      1,
      ('Tools &amp; Targets_Guideline'!$A$54:$A$269=$B487)*
      ('Tools &amp; Targets_Guideline'!$B$54:$B$269="TB"),
      0
    ),
    MATCH(
      _xludf.IFNA(
        VLOOKUP($D487,{"PH","Provincial Hospital (H2)";"DH","District Hospital (H3)";"RH","Regional / National Hospital (H1)"},2,0),
        $D487
      ),
      'Tools &amp; Targets_Guideline'!$C$53:$I$53,
      0
    )
  ),
0))</f>
        <v/>
      </c>
      <c r="AD487" s="102"/>
      <c r="AE487" s="119" t="str">
        <f t="array" ref="AE487">IF(OR($B487="",$D487=""),"",
IFERROR(
  INDEX(
    'Tools &amp; Targets_Guideline'!$C$54:$I$269,
    MATCH(
      1,
      ('Tools &amp; Targets_Guideline'!$A$54:$A$269=$B487)*
      ('Tools &amp; Targets_Guideline'!$B$54:$B$269="U5 Morbidity"),
      0
    ),
    MATCH(
      _xludf.IFNA(
        VLOOKUP($D487,{"PH","Provincial Hospital (H2)";"DH","District Hospital (H3)";"RH","Regional / National Hospital (H1)"},2,0),
        $D487
      ),
      'Tools &amp; Targets_Guideline'!$C$53:$I$53,
      0
    )
  ),
0))</f>
        <v/>
      </c>
      <c r="AF487" s="102"/>
      <c r="AG487" s="119" t="str">
        <f t="array" ref="AG487">IF(OR($B487="",$D487=""),"",
IFERROR(
  INDEX(
    'Tools &amp; Targets_Guideline'!$C$54:$I$269,
    MATCH(
      1,
      ('Tools &amp; Targets_Guideline'!$A$54:$A$269=$B487)*
      ('Tools &amp; Targets_Guideline'!$B$54:$B$269="C-Section"),
      0
    ),
    MATCH(
      _xludf.IFNA(
        VLOOKUP($D487,{"PH","Provincial Hospital (H2)";"DH","District Hospital (H3)";"RH","Regional / National Hospital (H1)"},2,0),
        $D487
      ),
      'Tools &amp; Targets_Guideline'!$C$53:$I$53,
      0
    )
  ),
0))</f>
        <v/>
      </c>
      <c r="AH487" s="102" t="str">
        <f>IF(A487&lt;&gt;"",COUNTIFS('QA Log'!D:D,A487,'QA Log'!M:M,"QQC",'QA Log'!L:L,"2. Hygiene and Sterilization",'QA Log'!Z:Z,"Approved"),"")</f>
        <v/>
      </c>
      <c r="AI487" s="102"/>
      <c r="AJ487" s="102"/>
      <c r="AK487" s="103" t="str">
        <f t="shared" si="17"/>
        <v/>
      </c>
      <c r="AL487" s="102"/>
      <c r="AM487" s="102"/>
      <c r="AN487" s="102"/>
      <c r="AO487" s="106"/>
      <c r="AP487" s="103"/>
      <c r="AQ487" s="102"/>
      <c r="AR487" s="102"/>
      <c r="AS487" s="102"/>
      <c r="AT487" s="107"/>
      <c r="AU487" s="102" t="str">
        <f t="shared" si="18"/>
        <v/>
      </c>
      <c r="AV487" s="102" t="str">
        <f t="shared" si="19"/>
        <v/>
      </c>
      <c r="AW487" s="102" t="str">
        <f t="shared" si="20"/>
        <v/>
      </c>
      <c r="AX487" s="102" t="str">
        <f t="shared" si="21"/>
        <v/>
      </c>
      <c r="AY487" s="107" t="str">
        <f t="shared" si="22"/>
        <v/>
      </c>
      <c r="AZ487" s="108" t="str">
        <f t="shared" si="23"/>
        <v/>
      </c>
      <c r="BA487" s="108" t="str">
        <f t="shared" si="24"/>
        <v/>
      </c>
      <c r="BB487" s="109" t="str">
        <f t="shared" si="25"/>
        <v/>
      </c>
      <c r="BC487" s="108" t="str">
        <f t="shared" si="26"/>
        <v/>
      </c>
      <c r="BD487" s="108" t="str">
        <f t="shared" si="27"/>
        <v/>
      </c>
      <c r="BE487" s="109" t="str">
        <f t="shared" si="28"/>
        <v/>
      </c>
      <c r="BF487" s="110" t="str">
        <f t="shared" si="29"/>
        <v/>
      </c>
      <c r="BG487" s="111"/>
    </row>
    <row r="488" spans="1:59" ht="12.75">
      <c r="A488" s="101"/>
      <c r="B488" s="102"/>
      <c r="C488" s="102" t="e">
        <f t="array" aca="1" ref="C488" ca="1">_xludf.XLOOKUP(A488,'QA Log'!D:D,'QA Log'!F:F,"")</f>
        <v>#NAME?</v>
      </c>
      <c r="D488" s="102"/>
      <c r="E488" s="102" t="e">
        <f t="array" aca="1" ref="E488" ca="1">_xludf.XLOOKUP(A488,'QA Log'!D:D,'QA Log'!G:G,"")</f>
        <v>#NAME?</v>
      </c>
      <c r="F488" s="103"/>
      <c r="G488" s="104"/>
      <c r="H488" s="104"/>
      <c r="I488" s="103" t="str">
        <f t="shared" si="15"/>
        <v/>
      </c>
      <c r="J488" s="102"/>
      <c r="K488" s="102"/>
      <c r="L488" s="119" t="str">
        <f t="array" ref="L488">IF(OR($B488="",$D488=""),"",
IFERROR(
  INDEX(
    'Tools &amp; Targets_Guideline'!$C$54:$I$269,
    MATCH(
      1,
      ('Tools &amp; Targets_Guideline'!$A$54:$A$269=$B488)*
      ('Tools &amp; Targets_Guideline'!$B$54:$B$269="ANC"),
      0
    ),
    MATCH(
      _xludf.IFNA(
        VLOOKUP($D488,{"PH","Provincial Hospital (H2)";"DH","District Hospital (H3)";"RH","Regional / National Hospital (H1)"},2,0),
        $D488
      ),
      'Tools &amp; Targets_Guideline'!$C$53:$I$53,
      0
    )
  ),
0))</f>
        <v/>
      </c>
      <c r="M488" s="102"/>
      <c r="N488" s="119" t="str">
        <f t="array" ref="N488">IF(OR($B488="",$D488=""),"",
IFERROR(
  INDEX(
    'Tools &amp; Targets_Guideline'!$C$54:$I$269,
    MATCH(
      1,
      ('Tools &amp; Targets_Guideline'!$A$54:$A$269=$B488)*
      ('Tools &amp; Targets_Guideline'!$B$54:$B$269="PNC"),
      0
    ),
    MATCH(
      _xludf.IFNA(
        VLOOKUP($D488,{"PH","Provincial Hospital (H2)";"DH","District Hospital (H3)";"RH","Regional / National Hospital (H1)"},2,0),
        $D488
      ),
      'Tools &amp; Targets_Guideline'!$C$53:$I$53,
      0
    )
  ),
0))</f>
        <v/>
      </c>
      <c r="O488" s="102"/>
      <c r="P488" s="119" t="str">
        <f t="array" ref="P488">IF(OR($B488="",$D488=""),"",
IFERROR(
  INDEX(
    'Tools &amp; Targets_Guideline'!$C$54:$I$269,
    MATCH(
      1,
      ('Tools &amp; Targets_Guideline'!$A$54:$A$269=$B488)*
      ('Tools &amp; Targets_Guideline'!$B$54:$B$269="Delivery"),
      0
    ),
    MATCH(
      _xludf.IFNA(
        VLOOKUP($D488,{"PH","Provincial Hospital (H2)";"DH","District Hospital (H3)";"RH","Regional / National Hospital (H1)"},2,0),
        $D488
      ),
      'Tools &amp; Targets_Guideline'!$C$53:$I$53,
      0
    )
  ),
0))</f>
        <v/>
      </c>
      <c r="Q488" s="102"/>
      <c r="R488" s="119" t="str">
        <f t="array" ref="R488">IF(OR($B488="",$D488=""),"",
IFERROR(
  INDEX(
    'Tools &amp; Targets_Guideline'!$C$54:$I$269,
    MATCH(
      1,
      ('Tools &amp; Targets_Guideline'!$A$54:$A$269=$B488)*
      ('Tools &amp; Targets_Guideline'!$B$54:$B$269="TT"),
      0
    ),
    MATCH(
      _xludf.IFNA(
        VLOOKUP($D488,{"PH","Provincial Hospital (H2)";"DH","District Hospital (H3)";"RH","Regional / National Hospital (H1)"},2,0),
        $D488
      ),
      'Tools &amp; Targets_Guideline'!$C$53:$I$53,
      0
    )
  ),
0))</f>
        <v/>
      </c>
      <c r="S488" s="102"/>
      <c r="T488" s="102"/>
      <c r="U488" s="106"/>
      <c r="V488" s="102" t="str">
        <f t="shared" si="16"/>
        <v/>
      </c>
      <c r="W488" s="102"/>
      <c r="X488" s="102"/>
      <c r="Y488" s="119" t="str">
        <f t="array" ref="Y488">IF(OR($B488="",$D488=""),"",
IFERROR(
  INDEX(
    'Tools &amp; Targets_Guideline'!$C$54:$I$269,
    MATCH(
      1,
      ('Tools &amp; Targets_Guideline'!$A$54:$A$269=$B488)*
      ('Tools &amp; Targets_Guideline'!$B$54:$B$269="GM"),
      0
    ),
    MATCH(
      _xludf.IFNA(
        VLOOKUP($D488,{"PH","Provincial Hospital (H2)";"DH","District Hospital (H3)";"RH","Regional / National Hospital (H1)"},2,0),
        $D488
      ),
      'Tools &amp; Targets_Guideline'!$C$53:$I$53,
      0
    )
  ),
0))</f>
        <v/>
      </c>
      <c r="Z488" s="102"/>
      <c r="AA488" s="119" t="str">
        <f t="array" ref="AA488">IF(OR($B488="",$D488=""),"",
IFERROR(
  INDEX(
    'Tools &amp; Targets_Guideline'!$C$54:$I$269,
    MATCH(
      1,
      ('Tools &amp; Targets_Guideline'!$A$54:$A$269=$B488)*
      ('Tools &amp; Targets_Guideline'!$B$54:$B$269="Penta"),
      0
    ),
    MATCH(
      _xludf.IFNA(
        VLOOKUP($D488,{"PH","Provincial Hospital (H2)";"DH","District Hospital (H3)";"RH","Regional / National Hospital (H1)"},2,0),
        $D488
      ),
      'Tools &amp; Targets_Guideline'!$C$53:$I$53,
      0
    )
  ),
0))</f>
        <v/>
      </c>
      <c r="AB488" s="102"/>
      <c r="AC488" s="119" t="str">
        <f t="array" ref="AC488">IF(OR($B488="",$D488=""),"",
IFERROR(
  INDEX(
    'Tools &amp; Targets_Guideline'!$C$54:$I$269,
    MATCH(
      1,
      ('Tools &amp; Targets_Guideline'!$A$54:$A$269=$B488)*
      ('Tools &amp; Targets_Guideline'!$B$54:$B$269="TB"),
      0
    ),
    MATCH(
      _xludf.IFNA(
        VLOOKUP($D488,{"PH","Provincial Hospital (H2)";"DH","District Hospital (H3)";"RH","Regional / National Hospital (H1)"},2,0),
        $D488
      ),
      'Tools &amp; Targets_Guideline'!$C$53:$I$53,
      0
    )
  ),
0))</f>
        <v/>
      </c>
      <c r="AD488" s="102"/>
      <c r="AE488" s="119" t="str">
        <f t="array" ref="AE488">IF(OR($B488="",$D488=""),"",
IFERROR(
  INDEX(
    'Tools &amp; Targets_Guideline'!$C$54:$I$269,
    MATCH(
      1,
      ('Tools &amp; Targets_Guideline'!$A$54:$A$269=$B488)*
      ('Tools &amp; Targets_Guideline'!$B$54:$B$269="U5 Morbidity"),
      0
    ),
    MATCH(
      _xludf.IFNA(
        VLOOKUP($D488,{"PH","Provincial Hospital (H2)";"DH","District Hospital (H3)";"RH","Regional / National Hospital (H1)"},2,0),
        $D488
      ),
      'Tools &amp; Targets_Guideline'!$C$53:$I$53,
      0
    )
  ),
0))</f>
        <v/>
      </c>
      <c r="AF488" s="102"/>
      <c r="AG488" s="119" t="str">
        <f t="array" ref="AG488">IF(OR($B488="",$D488=""),"",
IFERROR(
  INDEX(
    'Tools &amp; Targets_Guideline'!$C$54:$I$269,
    MATCH(
      1,
      ('Tools &amp; Targets_Guideline'!$A$54:$A$269=$B488)*
      ('Tools &amp; Targets_Guideline'!$B$54:$B$269="C-Section"),
      0
    ),
    MATCH(
      _xludf.IFNA(
        VLOOKUP($D488,{"PH","Provincial Hospital (H2)";"DH","District Hospital (H3)";"RH","Regional / National Hospital (H1)"},2,0),
        $D488
      ),
      'Tools &amp; Targets_Guideline'!$C$53:$I$53,
      0
    )
  ),
0))</f>
        <v/>
      </c>
      <c r="AH488" s="102" t="str">
        <f>IF(A488&lt;&gt;"",COUNTIFS('QA Log'!D:D,A488,'QA Log'!M:M,"QQC",'QA Log'!L:L,"2. Hygiene and Sterilization",'QA Log'!Z:Z,"Approved"),"")</f>
        <v/>
      </c>
      <c r="AI488" s="102"/>
      <c r="AJ488" s="102"/>
      <c r="AK488" s="103" t="str">
        <f t="shared" si="17"/>
        <v/>
      </c>
      <c r="AL488" s="102"/>
      <c r="AM488" s="102"/>
      <c r="AN488" s="102"/>
      <c r="AO488" s="106"/>
      <c r="AP488" s="103"/>
      <c r="AQ488" s="102"/>
      <c r="AR488" s="102"/>
      <c r="AS488" s="102"/>
      <c r="AT488" s="107"/>
      <c r="AU488" s="102" t="str">
        <f t="shared" si="18"/>
        <v/>
      </c>
      <c r="AV488" s="102" t="str">
        <f t="shared" si="19"/>
        <v/>
      </c>
      <c r="AW488" s="102" t="str">
        <f t="shared" si="20"/>
        <v/>
      </c>
      <c r="AX488" s="102" t="str">
        <f t="shared" si="21"/>
        <v/>
      </c>
      <c r="AY488" s="107" t="str">
        <f t="shared" si="22"/>
        <v/>
      </c>
      <c r="AZ488" s="108" t="str">
        <f t="shared" si="23"/>
        <v/>
      </c>
      <c r="BA488" s="108" t="str">
        <f t="shared" si="24"/>
        <v/>
      </c>
      <c r="BB488" s="109" t="str">
        <f t="shared" si="25"/>
        <v/>
      </c>
      <c r="BC488" s="108" t="str">
        <f t="shared" si="26"/>
        <v/>
      </c>
      <c r="BD488" s="108" t="str">
        <f t="shared" si="27"/>
        <v/>
      </c>
      <c r="BE488" s="109" t="str">
        <f t="shared" si="28"/>
        <v/>
      </c>
      <c r="BF488" s="110" t="str">
        <f t="shared" si="29"/>
        <v/>
      </c>
      <c r="BG488" s="111"/>
    </row>
    <row r="489" spans="1:59" ht="12.75">
      <c r="A489" s="101"/>
      <c r="B489" s="102"/>
      <c r="C489" s="102" t="e">
        <f t="array" aca="1" ref="C489" ca="1">_xludf.XLOOKUP(A489,'QA Log'!D:D,'QA Log'!F:F,"")</f>
        <v>#NAME?</v>
      </c>
      <c r="D489" s="102"/>
      <c r="E489" s="102" t="e">
        <f t="array" aca="1" ref="E489" ca="1">_xludf.XLOOKUP(A489,'QA Log'!D:D,'QA Log'!G:G,"")</f>
        <v>#NAME?</v>
      </c>
      <c r="F489" s="103"/>
      <c r="G489" s="104"/>
      <c r="H489" s="104"/>
      <c r="I489" s="103" t="str">
        <f t="shared" si="15"/>
        <v/>
      </c>
      <c r="J489" s="102"/>
      <c r="K489" s="102"/>
      <c r="L489" s="119" t="str">
        <f t="array" ref="L489">IF(OR($B489="",$D489=""),"",
IFERROR(
  INDEX(
    'Tools &amp; Targets_Guideline'!$C$54:$I$269,
    MATCH(
      1,
      ('Tools &amp; Targets_Guideline'!$A$54:$A$269=$B489)*
      ('Tools &amp; Targets_Guideline'!$B$54:$B$269="ANC"),
      0
    ),
    MATCH(
      _xludf.IFNA(
        VLOOKUP($D489,{"PH","Provincial Hospital (H2)";"DH","District Hospital (H3)";"RH","Regional / National Hospital (H1)"},2,0),
        $D489
      ),
      'Tools &amp; Targets_Guideline'!$C$53:$I$53,
      0
    )
  ),
0))</f>
        <v/>
      </c>
      <c r="M489" s="102"/>
      <c r="N489" s="119" t="str">
        <f t="array" ref="N489">IF(OR($B489="",$D489=""),"",
IFERROR(
  INDEX(
    'Tools &amp; Targets_Guideline'!$C$54:$I$269,
    MATCH(
      1,
      ('Tools &amp; Targets_Guideline'!$A$54:$A$269=$B489)*
      ('Tools &amp; Targets_Guideline'!$B$54:$B$269="PNC"),
      0
    ),
    MATCH(
      _xludf.IFNA(
        VLOOKUP($D489,{"PH","Provincial Hospital (H2)";"DH","District Hospital (H3)";"RH","Regional / National Hospital (H1)"},2,0),
        $D489
      ),
      'Tools &amp; Targets_Guideline'!$C$53:$I$53,
      0
    )
  ),
0))</f>
        <v/>
      </c>
      <c r="O489" s="102"/>
      <c r="P489" s="119" t="str">
        <f t="array" ref="P489">IF(OR($B489="",$D489=""),"",
IFERROR(
  INDEX(
    'Tools &amp; Targets_Guideline'!$C$54:$I$269,
    MATCH(
      1,
      ('Tools &amp; Targets_Guideline'!$A$54:$A$269=$B489)*
      ('Tools &amp; Targets_Guideline'!$B$54:$B$269="Delivery"),
      0
    ),
    MATCH(
      _xludf.IFNA(
        VLOOKUP($D489,{"PH","Provincial Hospital (H2)";"DH","District Hospital (H3)";"RH","Regional / National Hospital (H1)"},2,0),
        $D489
      ),
      'Tools &amp; Targets_Guideline'!$C$53:$I$53,
      0
    )
  ),
0))</f>
        <v/>
      </c>
      <c r="Q489" s="102"/>
      <c r="R489" s="119" t="str">
        <f t="array" ref="R489">IF(OR($B489="",$D489=""),"",
IFERROR(
  INDEX(
    'Tools &amp; Targets_Guideline'!$C$54:$I$269,
    MATCH(
      1,
      ('Tools &amp; Targets_Guideline'!$A$54:$A$269=$B489)*
      ('Tools &amp; Targets_Guideline'!$B$54:$B$269="TT"),
      0
    ),
    MATCH(
      _xludf.IFNA(
        VLOOKUP($D489,{"PH","Provincial Hospital (H2)";"DH","District Hospital (H3)";"RH","Regional / National Hospital (H1)"},2,0),
        $D489
      ),
      'Tools &amp; Targets_Guideline'!$C$53:$I$53,
      0
    )
  ),
0))</f>
        <v/>
      </c>
      <c r="S489" s="102"/>
      <c r="T489" s="102"/>
      <c r="U489" s="106"/>
      <c r="V489" s="102" t="str">
        <f t="shared" si="16"/>
        <v/>
      </c>
      <c r="W489" s="102"/>
      <c r="X489" s="102"/>
      <c r="Y489" s="119" t="str">
        <f t="array" ref="Y489">IF(OR($B489="",$D489=""),"",
IFERROR(
  INDEX(
    'Tools &amp; Targets_Guideline'!$C$54:$I$269,
    MATCH(
      1,
      ('Tools &amp; Targets_Guideline'!$A$54:$A$269=$B489)*
      ('Tools &amp; Targets_Guideline'!$B$54:$B$269="GM"),
      0
    ),
    MATCH(
      _xludf.IFNA(
        VLOOKUP($D489,{"PH","Provincial Hospital (H2)";"DH","District Hospital (H3)";"RH","Regional / National Hospital (H1)"},2,0),
        $D489
      ),
      'Tools &amp; Targets_Guideline'!$C$53:$I$53,
      0
    )
  ),
0))</f>
        <v/>
      </c>
      <c r="Z489" s="102"/>
      <c r="AA489" s="119" t="str">
        <f t="array" ref="AA489">IF(OR($B489="",$D489=""),"",
IFERROR(
  INDEX(
    'Tools &amp; Targets_Guideline'!$C$54:$I$269,
    MATCH(
      1,
      ('Tools &amp; Targets_Guideline'!$A$54:$A$269=$B489)*
      ('Tools &amp; Targets_Guideline'!$B$54:$B$269="Penta"),
      0
    ),
    MATCH(
      _xludf.IFNA(
        VLOOKUP($D489,{"PH","Provincial Hospital (H2)";"DH","District Hospital (H3)";"RH","Regional / National Hospital (H1)"},2,0),
        $D489
      ),
      'Tools &amp; Targets_Guideline'!$C$53:$I$53,
      0
    )
  ),
0))</f>
        <v/>
      </c>
      <c r="AB489" s="102"/>
      <c r="AC489" s="119" t="str">
        <f t="array" ref="AC489">IF(OR($B489="",$D489=""),"",
IFERROR(
  INDEX(
    'Tools &amp; Targets_Guideline'!$C$54:$I$269,
    MATCH(
      1,
      ('Tools &amp; Targets_Guideline'!$A$54:$A$269=$B489)*
      ('Tools &amp; Targets_Guideline'!$B$54:$B$269="TB"),
      0
    ),
    MATCH(
      _xludf.IFNA(
        VLOOKUP($D489,{"PH","Provincial Hospital (H2)";"DH","District Hospital (H3)";"RH","Regional / National Hospital (H1)"},2,0),
        $D489
      ),
      'Tools &amp; Targets_Guideline'!$C$53:$I$53,
      0
    )
  ),
0))</f>
        <v/>
      </c>
      <c r="AD489" s="102"/>
      <c r="AE489" s="119" t="str">
        <f t="array" ref="AE489">IF(OR($B489="",$D489=""),"",
IFERROR(
  INDEX(
    'Tools &amp; Targets_Guideline'!$C$54:$I$269,
    MATCH(
      1,
      ('Tools &amp; Targets_Guideline'!$A$54:$A$269=$B489)*
      ('Tools &amp; Targets_Guideline'!$B$54:$B$269="U5 Morbidity"),
      0
    ),
    MATCH(
      _xludf.IFNA(
        VLOOKUP($D489,{"PH","Provincial Hospital (H2)";"DH","District Hospital (H3)";"RH","Regional / National Hospital (H1)"},2,0),
        $D489
      ),
      'Tools &amp; Targets_Guideline'!$C$53:$I$53,
      0
    )
  ),
0))</f>
        <v/>
      </c>
      <c r="AF489" s="102"/>
      <c r="AG489" s="119" t="str">
        <f t="array" ref="AG489">IF(OR($B489="",$D489=""),"",
IFERROR(
  INDEX(
    'Tools &amp; Targets_Guideline'!$C$54:$I$269,
    MATCH(
      1,
      ('Tools &amp; Targets_Guideline'!$A$54:$A$269=$B489)*
      ('Tools &amp; Targets_Guideline'!$B$54:$B$269="C-Section"),
      0
    ),
    MATCH(
      _xludf.IFNA(
        VLOOKUP($D489,{"PH","Provincial Hospital (H2)";"DH","District Hospital (H3)";"RH","Regional / National Hospital (H1)"},2,0),
        $D489
      ),
      'Tools &amp; Targets_Guideline'!$C$53:$I$53,
      0
    )
  ),
0))</f>
        <v/>
      </c>
      <c r="AH489" s="102" t="str">
        <f>IF(A489&lt;&gt;"",COUNTIFS('QA Log'!D:D,A489,'QA Log'!M:M,"QQC",'QA Log'!L:L,"2. Hygiene and Sterilization",'QA Log'!Z:Z,"Approved"),"")</f>
        <v/>
      </c>
      <c r="AI489" s="102"/>
      <c r="AJ489" s="102"/>
      <c r="AK489" s="103" t="str">
        <f t="shared" si="17"/>
        <v/>
      </c>
      <c r="AL489" s="102"/>
      <c r="AM489" s="102"/>
      <c r="AN489" s="102"/>
      <c r="AO489" s="106"/>
      <c r="AP489" s="103"/>
      <c r="AQ489" s="102"/>
      <c r="AR489" s="102"/>
      <c r="AS489" s="102"/>
      <c r="AT489" s="107"/>
      <c r="AU489" s="102" t="str">
        <f t="shared" si="18"/>
        <v/>
      </c>
      <c r="AV489" s="102" t="str">
        <f t="shared" si="19"/>
        <v/>
      </c>
      <c r="AW489" s="102" t="str">
        <f t="shared" si="20"/>
        <v/>
      </c>
      <c r="AX489" s="102" t="str">
        <f t="shared" si="21"/>
        <v/>
      </c>
      <c r="AY489" s="107" t="str">
        <f t="shared" si="22"/>
        <v/>
      </c>
      <c r="AZ489" s="108" t="str">
        <f t="shared" si="23"/>
        <v/>
      </c>
      <c r="BA489" s="108" t="str">
        <f t="shared" si="24"/>
        <v/>
      </c>
      <c r="BB489" s="109" t="str">
        <f t="shared" si="25"/>
        <v/>
      </c>
      <c r="BC489" s="108" t="str">
        <f t="shared" si="26"/>
        <v/>
      </c>
      <c r="BD489" s="108" t="str">
        <f t="shared" si="27"/>
        <v/>
      </c>
      <c r="BE489" s="109" t="str">
        <f t="shared" si="28"/>
        <v/>
      </c>
      <c r="BF489" s="110" t="str">
        <f t="shared" si="29"/>
        <v/>
      </c>
      <c r="BG489" s="111"/>
    </row>
    <row r="490" spans="1:59" ht="12.75">
      <c r="A490" s="101"/>
      <c r="B490" s="102"/>
      <c r="C490" s="102" t="e">
        <f t="array" aca="1" ref="C490" ca="1">_xludf.XLOOKUP(A490,'QA Log'!D:D,'QA Log'!F:F,"")</f>
        <v>#NAME?</v>
      </c>
      <c r="D490" s="102"/>
      <c r="E490" s="102" t="e">
        <f t="array" aca="1" ref="E490" ca="1">_xludf.XLOOKUP(A490,'QA Log'!D:D,'QA Log'!G:G,"")</f>
        <v>#NAME?</v>
      </c>
      <c r="F490" s="103"/>
      <c r="G490" s="104"/>
      <c r="H490" s="104"/>
      <c r="I490" s="103" t="str">
        <f t="shared" si="15"/>
        <v/>
      </c>
      <c r="J490" s="102"/>
      <c r="K490" s="102"/>
      <c r="L490" s="119" t="str">
        <f t="array" ref="L490">IF(OR($B490="",$D490=""),"",
IFERROR(
  INDEX(
    'Tools &amp; Targets_Guideline'!$C$54:$I$269,
    MATCH(
      1,
      ('Tools &amp; Targets_Guideline'!$A$54:$A$269=$B490)*
      ('Tools &amp; Targets_Guideline'!$B$54:$B$269="ANC"),
      0
    ),
    MATCH(
      _xludf.IFNA(
        VLOOKUP($D490,{"PH","Provincial Hospital (H2)";"DH","District Hospital (H3)";"RH","Regional / National Hospital (H1)"},2,0),
        $D490
      ),
      'Tools &amp; Targets_Guideline'!$C$53:$I$53,
      0
    )
  ),
0))</f>
        <v/>
      </c>
      <c r="M490" s="102"/>
      <c r="N490" s="119" t="str">
        <f t="array" ref="N490">IF(OR($B490="",$D490=""),"",
IFERROR(
  INDEX(
    'Tools &amp; Targets_Guideline'!$C$54:$I$269,
    MATCH(
      1,
      ('Tools &amp; Targets_Guideline'!$A$54:$A$269=$B490)*
      ('Tools &amp; Targets_Guideline'!$B$54:$B$269="PNC"),
      0
    ),
    MATCH(
      _xludf.IFNA(
        VLOOKUP($D490,{"PH","Provincial Hospital (H2)";"DH","District Hospital (H3)";"RH","Regional / National Hospital (H1)"},2,0),
        $D490
      ),
      'Tools &amp; Targets_Guideline'!$C$53:$I$53,
      0
    )
  ),
0))</f>
        <v/>
      </c>
      <c r="O490" s="102"/>
      <c r="P490" s="119" t="str">
        <f t="array" ref="P490">IF(OR($B490="",$D490=""),"",
IFERROR(
  INDEX(
    'Tools &amp; Targets_Guideline'!$C$54:$I$269,
    MATCH(
      1,
      ('Tools &amp; Targets_Guideline'!$A$54:$A$269=$B490)*
      ('Tools &amp; Targets_Guideline'!$B$54:$B$269="Delivery"),
      0
    ),
    MATCH(
      _xludf.IFNA(
        VLOOKUP($D490,{"PH","Provincial Hospital (H2)";"DH","District Hospital (H3)";"RH","Regional / National Hospital (H1)"},2,0),
        $D490
      ),
      'Tools &amp; Targets_Guideline'!$C$53:$I$53,
      0
    )
  ),
0))</f>
        <v/>
      </c>
      <c r="Q490" s="102"/>
      <c r="R490" s="119" t="str">
        <f t="array" ref="R490">IF(OR($B490="",$D490=""),"",
IFERROR(
  INDEX(
    'Tools &amp; Targets_Guideline'!$C$54:$I$269,
    MATCH(
      1,
      ('Tools &amp; Targets_Guideline'!$A$54:$A$269=$B490)*
      ('Tools &amp; Targets_Guideline'!$B$54:$B$269="TT"),
      0
    ),
    MATCH(
      _xludf.IFNA(
        VLOOKUP($D490,{"PH","Provincial Hospital (H2)";"DH","District Hospital (H3)";"RH","Regional / National Hospital (H1)"},2,0),
        $D490
      ),
      'Tools &amp; Targets_Guideline'!$C$53:$I$53,
      0
    )
  ),
0))</f>
        <v/>
      </c>
      <c r="S490" s="102"/>
      <c r="T490" s="102"/>
      <c r="U490" s="106"/>
      <c r="V490" s="102" t="str">
        <f t="shared" si="16"/>
        <v/>
      </c>
      <c r="W490" s="102"/>
      <c r="X490" s="102"/>
      <c r="Y490" s="119" t="str">
        <f t="array" ref="Y490">IF(OR($B490="",$D490=""),"",
IFERROR(
  INDEX(
    'Tools &amp; Targets_Guideline'!$C$54:$I$269,
    MATCH(
      1,
      ('Tools &amp; Targets_Guideline'!$A$54:$A$269=$B490)*
      ('Tools &amp; Targets_Guideline'!$B$54:$B$269="GM"),
      0
    ),
    MATCH(
      _xludf.IFNA(
        VLOOKUP($D490,{"PH","Provincial Hospital (H2)";"DH","District Hospital (H3)";"RH","Regional / National Hospital (H1)"},2,0),
        $D490
      ),
      'Tools &amp; Targets_Guideline'!$C$53:$I$53,
      0
    )
  ),
0))</f>
        <v/>
      </c>
      <c r="Z490" s="102"/>
      <c r="AA490" s="119" t="str">
        <f t="array" ref="AA490">IF(OR($B490="",$D490=""),"",
IFERROR(
  INDEX(
    'Tools &amp; Targets_Guideline'!$C$54:$I$269,
    MATCH(
      1,
      ('Tools &amp; Targets_Guideline'!$A$54:$A$269=$B490)*
      ('Tools &amp; Targets_Guideline'!$B$54:$B$269="Penta"),
      0
    ),
    MATCH(
      _xludf.IFNA(
        VLOOKUP($D490,{"PH","Provincial Hospital (H2)";"DH","District Hospital (H3)";"RH","Regional / National Hospital (H1)"},2,0),
        $D490
      ),
      'Tools &amp; Targets_Guideline'!$C$53:$I$53,
      0
    )
  ),
0))</f>
        <v/>
      </c>
      <c r="AB490" s="102"/>
      <c r="AC490" s="119" t="str">
        <f t="array" ref="AC490">IF(OR($B490="",$D490=""),"",
IFERROR(
  INDEX(
    'Tools &amp; Targets_Guideline'!$C$54:$I$269,
    MATCH(
      1,
      ('Tools &amp; Targets_Guideline'!$A$54:$A$269=$B490)*
      ('Tools &amp; Targets_Guideline'!$B$54:$B$269="TB"),
      0
    ),
    MATCH(
      _xludf.IFNA(
        VLOOKUP($D490,{"PH","Provincial Hospital (H2)";"DH","District Hospital (H3)";"RH","Regional / National Hospital (H1)"},2,0),
        $D490
      ),
      'Tools &amp; Targets_Guideline'!$C$53:$I$53,
      0
    )
  ),
0))</f>
        <v/>
      </c>
      <c r="AD490" s="102"/>
      <c r="AE490" s="119" t="str">
        <f t="array" ref="AE490">IF(OR($B490="",$D490=""),"",
IFERROR(
  INDEX(
    'Tools &amp; Targets_Guideline'!$C$54:$I$269,
    MATCH(
      1,
      ('Tools &amp; Targets_Guideline'!$A$54:$A$269=$B490)*
      ('Tools &amp; Targets_Guideline'!$B$54:$B$269="U5 Morbidity"),
      0
    ),
    MATCH(
      _xludf.IFNA(
        VLOOKUP($D490,{"PH","Provincial Hospital (H2)";"DH","District Hospital (H3)";"RH","Regional / National Hospital (H1)"},2,0),
        $D490
      ),
      'Tools &amp; Targets_Guideline'!$C$53:$I$53,
      0
    )
  ),
0))</f>
        <v/>
      </c>
      <c r="AF490" s="102"/>
      <c r="AG490" s="119" t="str">
        <f t="array" ref="AG490">IF(OR($B490="",$D490=""),"",
IFERROR(
  INDEX(
    'Tools &amp; Targets_Guideline'!$C$54:$I$269,
    MATCH(
      1,
      ('Tools &amp; Targets_Guideline'!$A$54:$A$269=$B490)*
      ('Tools &amp; Targets_Guideline'!$B$54:$B$269="C-Section"),
      0
    ),
    MATCH(
      _xludf.IFNA(
        VLOOKUP($D490,{"PH","Provincial Hospital (H2)";"DH","District Hospital (H3)";"RH","Regional / National Hospital (H1)"},2,0),
        $D490
      ),
      'Tools &amp; Targets_Guideline'!$C$53:$I$53,
      0
    )
  ),
0))</f>
        <v/>
      </c>
      <c r="AH490" s="102" t="str">
        <f>IF(A490&lt;&gt;"",COUNTIFS('QA Log'!D:D,A490,'QA Log'!M:M,"QQC",'QA Log'!L:L,"2. Hygiene and Sterilization",'QA Log'!Z:Z,"Approved"),"")</f>
        <v/>
      </c>
      <c r="AI490" s="102"/>
      <c r="AJ490" s="102"/>
      <c r="AK490" s="103" t="str">
        <f t="shared" si="17"/>
        <v/>
      </c>
      <c r="AL490" s="102"/>
      <c r="AM490" s="102"/>
      <c r="AN490" s="102"/>
      <c r="AO490" s="106"/>
      <c r="AP490" s="103"/>
      <c r="AQ490" s="102"/>
      <c r="AR490" s="102"/>
      <c r="AS490" s="102"/>
      <c r="AT490" s="107"/>
      <c r="AU490" s="102" t="str">
        <f t="shared" si="18"/>
        <v/>
      </c>
      <c r="AV490" s="102" t="str">
        <f t="shared" si="19"/>
        <v/>
      </c>
      <c r="AW490" s="102" t="str">
        <f t="shared" si="20"/>
        <v/>
      </c>
      <c r="AX490" s="102" t="str">
        <f t="shared" si="21"/>
        <v/>
      </c>
      <c r="AY490" s="107" t="str">
        <f t="shared" si="22"/>
        <v/>
      </c>
      <c r="AZ490" s="108" t="str">
        <f t="shared" si="23"/>
        <v/>
      </c>
      <c r="BA490" s="108" t="str">
        <f t="shared" si="24"/>
        <v/>
      </c>
      <c r="BB490" s="109" t="str">
        <f t="shared" si="25"/>
        <v/>
      </c>
      <c r="BC490" s="108" t="str">
        <f t="shared" si="26"/>
        <v/>
      </c>
      <c r="BD490" s="108" t="str">
        <f t="shared" si="27"/>
        <v/>
      </c>
      <c r="BE490" s="109" t="str">
        <f t="shared" si="28"/>
        <v/>
      </c>
      <c r="BF490" s="110" t="str">
        <f t="shared" si="29"/>
        <v/>
      </c>
      <c r="BG490" s="111"/>
    </row>
    <row r="491" spans="1:59" ht="12.75">
      <c r="A491" s="101"/>
      <c r="B491" s="102"/>
      <c r="C491" s="102" t="e">
        <f t="array" aca="1" ref="C491" ca="1">_xludf.XLOOKUP(A491,'QA Log'!D:D,'QA Log'!F:F,"")</f>
        <v>#NAME?</v>
      </c>
      <c r="D491" s="102"/>
      <c r="E491" s="102" t="e">
        <f t="array" aca="1" ref="E491" ca="1">_xludf.XLOOKUP(A491,'QA Log'!D:D,'QA Log'!G:G,"")</f>
        <v>#NAME?</v>
      </c>
      <c r="F491" s="103"/>
      <c r="G491" s="104"/>
      <c r="H491" s="104"/>
      <c r="I491" s="103" t="str">
        <f t="shared" si="15"/>
        <v/>
      </c>
      <c r="J491" s="102"/>
      <c r="K491" s="102"/>
      <c r="L491" s="119" t="str">
        <f t="array" ref="L491">IF(OR($B491="",$D491=""),"",
IFERROR(
  INDEX(
    'Tools &amp; Targets_Guideline'!$C$54:$I$269,
    MATCH(
      1,
      ('Tools &amp; Targets_Guideline'!$A$54:$A$269=$B491)*
      ('Tools &amp; Targets_Guideline'!$B$54:$B$269="ANC"),
      0
    ),
    MATCH(
      _xludf.IFNA(
        VLOOKUP($D491,{"PH","Provincial Hospital (H2)";"DH","District Hospital (H3)";"RH","Regional / National Hospital (H1)"},2,0),
        $D491
      ),
      'Tools &amp; Targets_Guideline'!$C$53:$I$53,
      0
    )
  ),
0))</f>
        <v/>
      </c>
      <c r="M491" s="102"/>
      <c r="N491" s="119" t="str">
        <f t="array" ref="N491">IF(OR($B491="",$D491=""),"",
IFERROR(
  INDEX(
    'Tools &amp; Targets_Guideline'!$C$54:$I$269,
    MATCH(
      1,
      ('Tools &amp; Targets_Guideline'!$A$54:$A$269=$B491)*
      ('Tools &amp; Targets_Guideline'!$B$54:$B$269="PNC"),
      0
    ),
    MATCH(
      _xludf.IFNA(
        VLOOKUP($D491,{"PH","Provincial Hospital (H2)";"DH","District Hospital (H3)";"RH","Regional / National Hospital (H1)"},2,0),
        $D491
      ),
      'Tools &amp; Targets_Guideline'!$C$53:$I$53,
      0
    )
  ),
0))</f>
        <v/>
      </c>
      <c r="O491" s="102"/>
      <c r="P491" s="119" t="str">
        <f t="array" ref="P491">IF(OR($B491="",$D491=""),"",
IFERROR(
  INDEX(
    'Tools &amp; Targets_Guideline'!$C$54:$I$269,
    MATCH(
      1,
      ('Tools &amp; Targets_Guideline'!$A$54:$A$269=$B491)*
      ('Tools &amp; Targets_Guideline'!$B$54:$B$269="Delivery"),
      0
    ),
    MATCH(
      _xludf.IFNA(
        VLOOKUP($D491,{"PH","Provincial Hospital (H2)";"DH","District Hospital (H3)";"RH","Regional / National Hospital (H1)"},2,0),
        $D491
      ),
      'Tools &amp; Targets_Guideline'!$C$53:$I$53,
      0
    )
  ),
0))</f>
        <v/>
      </c>
      <c r="Q491" s="102"/>
      <c r="R491" s="119" t="str">
        <f t="array" ref="R491">IF(OR($B491="",$D491=""),"",
IFERROR(
  INDEX(
    'Tools &amp; Targets_Guideline'!$C$54:$I$269,
    MATCH(
      1,
      ('Tools &amp; Targets_Guideline'!$A$54:$A$269=$B491)*
      ('Tools &amp; Targets_Guideline'!$B$54:$B$269="TT"),
      0
    ),
    MATCH(
      _xludf.IFNA(
        VLOOKUP($D491,{"PH","Provincial Hospital (H2)";"DH","District Hospital (H3)";"RH","Regional / National Hospital (H1)"},2,0),
        $D491
      ),
      'Tools &amp; Targets_Guideline'!$C$53:$I$53,
      0
    )
  ),
0))</f>
        <v/>
      </c>
      <c r="S491" s="102"/>
      <c r="T491" s="102"/>
      <c r="U491" s="106"/>
      <c r="V491" s="102" t="str">
        <f t="shared" si="16"/>
        <v/>
      </c>
      <c r="W491" s="102"/>
      <c r="X491" s="102"/>
      <c r="Y491" s="119" t="str">
        <f t="array" ref="Y491">IF(OR($B491="",$D491=""),"",
IFERROR(
  INDEX(
    'Tools &amp; Targets_Guideline'!$C$54:$I$269,
    MATCH(
      1,
      ('Tools &amp; Targets_Guideline'!$A$54:$A$269=$B491)*
      ('Tools &amp; Targets_Guideline'!$B$54:$B$269="GM"),
      0
    ),
    MATCH(
      _xludf.IFNA(
        VLOOKUP($D491,{"PH","Provincial Hospital (H2)";"DH","District Hospital (H3)";"RH","Regional / National Hospital (H1)"},2,0),
        $D491
      ),
      'Tools &amp; Targets_Guideline'!$C$53:$I$53,
      0
    )
  ),
0))</f>
        <v/>
      </c>
      <c r="Z491" s="102"/>
      <c r="AA491" s="119" t="str">
        <f t="array" ref="AA491">IF(OR($B491="",$D491=""),"",
IFERROR(
  INDEX(
    'Tools &amp; Targets_Guideline'!$C$54:$I$269,
    MATCH(
      1,
      ('Tools &amp; Targets_Guideline'!$A$54:$A$269=$B491)*
      ('Tools &amp; Targets_Guideline'!$B$54:$B$269="Penta"),
      0
    ),
    MATCH(
      _xludf.IFNA(
        VLOOKUP($D491,{"PH","Provincial Hospital (H2)";"DH","District Hospital (H3)";"RH","Regional / National Hospital (H1)"},2,0),
        $D491
      ),
      'Tools &amp; Targets_Guideline'!$C$53:$I$53,
      0
    )
  ),
0))</f>
        <v/>
      </c>
      <c r="AB491" s="102"/>
      <c r="AC491" s="119" t="str">
        <f t="array" ref="AC491">IF(OR($B491="",$D491=""),"",
IFERROR(
  INDEX(
    'Tools &amp; Targets_Guideline'!$C$54:$I$269,
    MATCH(
      1,
      ('Tools &amp; Targets_Guideline'!$A$54:$A$269=$B491)*
      ('Tools &amp; Targets_Guideline'!$B$54:$B$269="TB"),
      0
    ),
    MATCH(
      _xludf.IFNA(
        VLOOKUP($D491,{"PH","Provincial Hospital (H2)";"DH","District Hospital (H3)";"RH","Regional / National Hospital (H1)"},2,0),
        $D491
      ),
      'Tools &amp; Targets_Guideline'!$C$53:$I$53,
      0
    )
  ),
0))</f>
        <v/>
      </c>
      <c r="AD491" s="102"/>
      <c r="AE491" s="119" t="str">
        <f t="array" ref="AE491">IF(OR($B491="",$D491=""),"",
IFERROR(
  INDEX(
    'Tools &amp; Targets_Guideline'!$C$54:$I$269,
    MATCH(
      1,
      ('Tools &amp; Targets_Guideline'!$A$54:$A$269=$B491)*
      ('Tools &amp; Targets_Guideline'!$B$54:$B$269="U5 Morbidity"),
      0
    ),
    MATCH(
      _xludf.IFNA(
        VLOOKUP($D491,{"PH","Provincial Hospital (H2)";"DH","District Hospital (H3)";"RH","Regional / National Hospital (H1)"},2,0),
        $D491
      ),
      'Tools &amp; Targets_Guideline'!$C$53:$I$53,
      0
    )
  ),
0))</f>
        <v/>
      </c>
      <c r="AF491" s="102"/>
      <c r="AG491" s="119" t="str">
        <f t="array" ref="AG491">IF(OR($B491="",$D491=""),"",
IFERROR(
  INDEX(
    'Tools &amp; Targets_Guideline'!$C$54:$I$269,
    MATCH(
      1,
      ('Tools &amp; Targets_Guideline'!$A$54:$A$269=$B491)*
      ('Tools &amp; Targets_Guideline'!$B$54:$B$269="C-Section"),
      0
    ),
    MATCH(
      _xludf.IFNA(
        VLOOKUP($D491,{"PH","Provincial Hospital (H2)";"DH","District Hospital (H3)";"RH","Regional / National Hospital (H1)"},2,0),
        $D491
      ),
      'Tools &amp; Targets_Guideline'!$C$53:$I$53,
      0
    )
  ),
0))</f>
        <v/>
      </c>
      <c r="AH491" s="102" t="str">
        <f>IF(A491&lt;&gt;"",COUNTIFS('QA Log'!D:D,A491,'QA Log'!M:M,"QQC",'QA Log'!L:L,"2. Hygiene and Sterilization",'QA Log'!Z:Z,"Approved"),"")</f>
        <v/>
      </c>
      <c r="AI491" s="102"/>
      <c r="AJ491" s="102"/>
      <c r="AK491" s="103" t="str">
        <f t="shared" si="17"/>
        <v/>
      </c>
      <c r="AL491" s="102"/>
      <c r="AM491" s="102"/>
      <c r="AN491" s="102"/>
      <c r="AO491" s="106"/>
      <c r="AP491" s="103"/>
      <c r="AQ491" s="102"/>
      <c r="AR491" s="102"/>
      <c r="AS491" s="102"/>
      <c r="AT491" s="107"/>
      <c r="AU491" s="102" t="str">
        <f t="shared" si="18"/>
        <v/>
      </c>
      <c r="AV491" s="102" t="str">
        <f t="shared" si="19"/>
        <v/>
      </c>
      <c r="AW491" s="102" t="str">
        <f t="shared" si="20"/>
        <v/>
      </c>
      <c r="AX491" s="102" t="str">
        <f t="shared" si="21"/>
        <v/>
      </c>
      <c r="AY491" s="107" t="str">
        <f t="shared" si="22"/>
        <v/>
      </c>
      <c r="AZ491" s="108" t="str">
        <f t="shared" si="23"/>
        <v/>
      </c>
      <c r="BA491" s="108" t="str">
        <f t="shared" si="24"/>
        <v/>
      </c>
      <c r="BB491" s="109" t="str">
        <f t="shared" si="25"/>
        <v/>
      </c>
      <c r="BC491" s="108" t="str">
        <f t="shared" si="26"/>
        <v/>
      </c>
      <c r="BD491" s="108" t="str">
        <f t="shared" si="27"/>
        <v/>
      </c>
      <c r="BE491" s="109" t="str">
        <f t="shared" si="28"/>
        <v/>
      </c>
      <c r="BF491" s="110" t="str">
        <f t="shared" si="29"/>
        <v/>
      </c>
      <c r="BG491" s="111"/>
    </row>
    <row r="492" spans="1:59" ht="12.75">
      <c r="A492" s="101"/>
      <c r="B492" s="102"/>
      <c r="C492" s="102" t="e">
        <f t="array" aca="1" ref="C492" ca="1">_xludf.XLOOKUP(A492,'QA Log'!D:D,'QA Log'!F:F,"")</f>
        <v>#NAME?</v>
      </c>
      <c r="D492" s="102"/>
      <c r="E492" s="102" t="e">
        <f t="array" aca="1" ref="E492" ca="1">_xludf.XLOOKUP(A492,'QA Log'!D:D,'QA Log'!G:G,"")</f>
        <v>#NAME?</v>
      </c>
      <c r="F492" s="103"/>
      <c r="G492" s="104"/>
      <c r="H492" s="104"/>
      <c r="I492" s="103" t="str">
        <f t="shared" si="15"/>
        <v/>
      </c>
      <c r="J492" s="102"/>
      <c r="K492" s="102"/>
      <c r="L492" s="119" t="str">
        <f t="array" ref="L492">IF(OR($B492="",$D492=""),"",
IFERROR(
  INDEX(
    'Tools &amp; Targets_Guideline'!$C$54:$I$269,
    MATCH(
      1,
      ('Tools &amp; Targets_Guideline'!$A$54:$A$269=$B492)*
      ('Tools &amp; Targets_Guideline'!$B$54:$B$269="ANC"),
      0
    ),
    MATCH(
      _xludf.IFNA(
        VLOOKUP($D492,{"PH","Provincial Hospital (H2)";"DH","District Hospital (H3)";"RH","Regional / National Hospital (H1)"},2,0),
        $D492
      ),
      'Tools &amp; Targets_Guideline'!$C$53:$I$53,
      0
    )
  ),
0))</f>
        <v/>
      </c>
      <c r="M492" s="102"/>
      <c r="N492" s="119" t="str">
        <f t="array" ref="N492">IF(OR($B492="",$D492=""),"",
IFERROR(
  INDEX(
    'Tools &amp; Targets_Guideline'!$C$54:$I$269,
    MATCH(
      1,
      ('Tools &amp; Targets_Guideline'!$A$54:$A$269=$B492)*
      ('Tools &amp; Targets_Guideline'!$B$54:$B$269="PNC"),
      0
    ),
    MATCH(
      _xludf.IFNA(
        VLOOKUP($D492,{"PH","Provincial Hospital (H2)";"DH","District Hospital (H3)";"RH","Regional / National Hospital (H1)"},2,0),
        $D492
      ),
      'Tools &amp; Targets_Guideline'!$C$53:$I$53,
      0
    )
  ),
0))</f>
        <v/>
      </c>
      <c r="O492" s="102"/>
      <c r="P492" s="119" t="str">
        <f t="array" ref="P492">IF(OR($B492="",$D492=""),"",
IFERROR(
  INDEX(
    'Tools &amp; Targets_Guideline'!$C$54:$I$269,
    MATCH(
      1,
      ('Tools &amp; Targets_Guideline'!$A$54:$A$269=$B492)*
      ('Tools &amp; Targets_Guideline'!$B$54:$B$269="Delivery"),
      0
    ),
    MATCH(
      _xludf.IFNA(
        VLOOKUP($D492,{"PH","Provincial Hospital (H2)";"DH","District Hospital (H3)";"RH","Regional / National Hospital (H1)"},2,0),
        $D492
      ),
      'Tools &amp; Targets_Guideline'!$C$53:$I$53,
      0
    )
  ),
0))</f>
        <v/>
      </c>
      <c r="Q492" s="102"/>
      <c r="R492" s="119" t="str">
        <f t="array" ref="R492">IF(OR($B492="",$D492=""),"",
IFERROR(
  INDEX(
    'Tools &amp; Targets_Guideline'!$C$54:$I$269,
    MATCH(
      1,
      ('Tools &amp; Targets_Guideline'!$A$54:$A$269=$B492)*
      ('Tools &amp; Targets_Guideline'!$B$54:$B$269="TT"),
      0
    ),
    MATCH(
      _xludf.IFNA(
        VLOOKUP($D492,{"PH","Provincial Hospital (H2)";"DH","District Hospital (H3)";"RH","Regional / National Hospital (H1)"},2,0),
        $D492
      ),
      'Tools &amp; Targets_Guideline'!$C$53:$I$53,
      0
    )
  ),
0))</f>
        <v/>
      </c>
      <c r="S492" s="102"/>
      <c r="T492" s="102"/>
      <c r="U492" s="106"/>
      <c r="V492" s="102" t="str">
        <f t="shared" si="16"/>
        <v/>
      </c>
      <c r="W492" s="102"/>
      <c r="X492" s="102"/>
      <c r="Y492" s="119" t="str">
        <f t="array" ref="Y492">IF(OR($B492="",$D492=""),"",
IFERROR(
  INDEX(
    'Tools &amp; Targets_Guideline'!$C$54:$I$269,
    MATCH(
      1,
      ('Tools &amp; Targets_Guideline'!$A$54:$A$269=$B492)*
      ('Tools &amp; Targets_Guideline'!$B$54:$B$269="GM"),
      0
    ),
    MATCH(
      _xludf.IFNA(
        VLOOKUP($D492,{"PH","Provincial Hospital (H2)";"DH","District Hospital (H3)";"RH","Regional / National Hospital (H1)"},2,0),
        $D492
      ),
      'Tools &amp; Targets_Guideline'!$C$53:$I$53,
      0
    )
  ),
0))</f>
        <v/>
      </c>
      <c r="Z492" s="102"/>
      <c r="AA492" s="119" t="str">
        <f t="array" ref="AA492">IF(OR($B492="",$D492=""),"",
IFERROR(
  INDEX(
    'Tools &amp; Targets_Guideline'!$C$54:$I$269,
    MATCH(
      1,
      ('Tools &amp; Targets_Guideline'!$A$54:$A$269=$B492)*
      ('Tools &amp; Targets_Guideline'!$B$54:$B$269="Penta"),
      0
    ),
    MATCH(
      _xludf.IFNA(
        VLOOKUP($D492,{"PH","Provincial Hospital (H2)";"DH","District Hospital (H3)";"RH","Regional / National Hospital (H1)"},2,0),
        $D492
      ),
      'Tools &amp; Targets_Guideline'!$C$53:$I$53,
      0
    )
  ),
0))</f>
        <v/>
      </c>
      <c r="AB492" s="102"/>
      <c r="AC492" s="119" t="str">
        <f t="array" ref="AC492">IF(OR($B492="",$D492=""),"",
IFERROR(
  INDEX(
    'Tools &amp; Targets_Guideline'!$C$54:$I$269,
    MATCH(
      1,
      ('Tools &amp; Targets_Guideline'!$A$54:$A$269=$B492)*
      ('Tools &amp; Targets_Guideline'!$B$54:$B$269="TB"),
      0
    ),
    MATCH(
      _xludf.IFNA(
        VLOOKUP($D492,{"PH","Provincial Hospital (H2)";"DH","District Hospital (H3)";"RH","Regional / National Hospital (H1)"},2,0),
        $D492
      ),
      'Tools &amp; Targets_Guideline'!$C$53:$I$53,
      0
    )
  ),
0))</f>
        <v/>
      </c>
      <c r="AD492" s="102"/>
      <c r="AE492" s="119" t="str">
        <f t="array" ref="AE492">IF(OR($B492="",$D492=""),"",
IFERROR(
  INDEX(
    'Tools &amp; Targets_Guideline'!$C$54:$I$269,
    MATCH(
      1,
      ('Tools &amp; Targets_Guideline'!$A$54:$A$269=$B492)*
      ('Tools &amp; Targets_Guideline'!$B$54:$B$269="U5 Morbidity"),
      0
    ),
    MATCH(
      _xludf.IFNA(
        VLOOKUP($D492,{"PH","Provincial Hospital (H2)";"DH","District Hospital (H3)";"RH","Regional / National Hospital (H1)"},2,0),
        $D492
      ),
      'Tools &amp; Targets_Guideline'!$C$53:$I$53,
      0
    )
  ),
0))</f>
        <v/>
      </c>
      <c r="AF492" s="102"/>
      <c r="AG492" s="119" t="str">
        <f t="array" ref="AG492">IF(OR($B492="",$D492=""),"",
IFERROR(
  INDEX(
    'Tools &amp; Targets_Guideline'!$C$54:$I$269,
    MATCH(
      1,
      ('Tools &amp; Targets_Guideline'!$A$54:$A$269=$B492)*
      ('Tools &amp; Targets_Guideline'!$B$54:$B$269="C-Section"),
      0
    ),
    MATCH(
      _xludf.IFNA(
        VLOOKUP($D492,{"PH","Provincial Hospital (H2)";"DH","District Hospital (H3)";"RH","Regional / National Hospital (H1)"},2,0),
        $D492
      ),
      'Tools &amp; Targets_Guideline'!$C$53:$I$53,
      0
    )
  ),
0))</f>
        <v/>
      </c>
      <c r="AH492" s="102" t="str">
        <f>IF(A492&lt;&gt;"",COUNTIFS('QA Log'!D:D,A492,'QA Log'!M:M,"QQC",'QA Log'!L:L,"2. Hygiene and Sterilization",'QA Log'!Z:Z,"Approved"),"")</f>
        <v/>
      </c>
      <c r="AI492" s="102"/>
      <c r="AJ492" s="102"/>
      <c r="AK492" s="103" t="str">
        <f t="shared" si="17"/>
        <v/>
      </c>
      <c r="AL492" s="102"/>
      <c r="AM492" s="102"/>
      <c r="AN492" s="102"/>
      <c r="AO492" s="106"/>
      <c r="AP492" s="103"/>
      <c r="AQ492" s="102"/>
      <c r="AR492" s="102"/>
      <c r="AS492" s="102"/>
      <c r="AT492" s="107"/>
      <c r="AU492" s="102" t="str">
        <f t="shared" si="18"/>
        <v/>
      </c>
      <c r="AV492" s="102" t="str">
        <f t="shared" si="19"/>
        <v/>
      </c>
      <c r="AW492" s="102" t="str">
        <f t="shared" si="20"/>
        <v/>
      </c>
      <c r="AX492" s="102" t="str">
        <f t="shared" si="21"/>
        <v/>
      </c>
      <c r="AY492" s="107" t="str">
        <f t="shared" si="22"/>
        <v/>
      </c>
      <c r="AZ492" s="108" t="str">
        <f t="shared" si="23"/>
        <v/>
      </c>
      <c r="BA492" s="108" t="str">
        <f t="shared" si="24"/>
        <v/>
      </c>
      <c r="BB492" s="109" t="str">
        <f t="shared" si="25"/>
        <v/>
      </c>
      <c r="BC492" s="108" t="str">
        <f t="shared" si="26"/>
        <v/>
      </c>
      <c r="BD492" s="108" t="str">
        <f t="shared" si="27"/>
        <v/>
      </c>
      <c r="BE492" s="109" t="str">
        <f t="shared" si="28"/>
        <v/>
      </c>
      <c r="BF492" s="110" t="str">
        <f t="shared" si="29"/>
        <v/>
      </c>
      <c r="BG492" s="111"/>
    </row>
    <row r="493" spans="1:59" ht="12.75">
      <c r="A493" s="101"/>
      <c r="B493" s="102"/>
      <c r="C493" s="102" t="e">
        <f t="array" aca="1" ref="C493" ca="1">_xludf.XLOOKUP(A493,'QA Log'!D:D,'QA Log'!F:F,"")</f>
        <v>#NAME?</v>
      </c>
      <c r="D493" s="102"/>
      <c r="E493" s="102" t="e">
        <f t="array" aca="1" ref="E493" ca="1">_xludf.XLOOKUP(A493,'QA Log'!D:D,'QA Log'!G:G,"")</f>
        <v>#NAME?</v>
      </c>
      <c r="F493" s="103"/>
      <c r="G493" s="104"/>
      <c r="H493" s="104"/>
      <c r="I493" s="103" t="str">
        <f t="shared" si="15"/>
        <v/>
      </c>
      <c r="J493" s="102"/>
      <c r="K493" s="102"/>
      <c r="L493" s="119" t="str">
        <f t="array" ref="L493">IF(OR($B493="",$D493=""),"",
IFERROR(
  INDEX(
    'Tools &amp; Targets_Guideline'!$C$54:$I$269,
    MATCH(
      1,
      ('Tools &amp; Targets_Guideline'!$A$54:$A$269=$B493)*
      ('Tools &amp; Targets_Guideline'!$B$54:$B$269="ANC"),
      0
    ),
    MATCH(
      _xludf.IFNA(
        VLOOKUP($D493,{"PH","Provincial Hospital (H2)";"DH","District Hospital (H3)";"RH","Regional / National Hospital (H1)"},2,0),
        $D493
      ),
      'Tools &amp; Targets_Guideline'!$C$53:$I$53,
      0
    )
  ),
0))</f>
        <v/>
      </c>
      <c r="M493" s="102"/>
      <c r="N493" s="119" t="str">
        <f t="array" ref="N493">IF(OR($B493="",$D493=""),"",
IFERROR(
  INDEX(
    'Tools &amp; Targets_Guideline'!$C$54:$I$269,
    MATCH(
      1,
      ('Tools &amp; Targets_Guideline'!$A$54:$A$269=$B493)*
      ('Tools &amp; Targets_Guideline'!$B$54:$B$269="PNC"),
      0
    ),
    MATCH(
      _xludf.IFNA(
        VLOOKUP($D493,{"PH","Provincial Hospital (H2)";"DH","District Hospital (H3)";"RH","Regional / National Hospital (H1)"},2,0),
        $D493
      ),
      'Tools &amp; Targets_Guideline'!$C$53:$I$53,
      0
    )
  ),
0))</f>
        <v/>
      </c>
      <c r="O493" s="102"/>
      <c r="P493" s="119" t="str">
        <f t="array" ref="P493">IF(OR($B493="",$D493=""),"",
IFERROR(
  INDEX(
    'Tools &amp; Targets_Guideline'!$C$54:$I$269,
    MATCH(
      1,
      ('Tools &amp; Targets_Guideline'!$A$54:$A$269=$B493)*
      ('Tools &amp; Targets_Guideline'!$B$54:$B$269="Delivery"),
      0
    ),
    MATCH(
      _xludf.IFNA(
        VLOOKUP($D493,{"PH","Provincial Hospital (H2)";"DH","District Hospital (H3)";"RH","Regional / National Hospital (H1)"},2,0),
        $D493
      ),
      'Tools &amp; Targets_Guideline'!$C$53:$I$53,
      0
    )
  ),
0))</f>
        <v/>
      </c>
      <c r="Q493" s="102"/>
      <c r="R493" s="119" t="str">
        <f t="array" ref="R493">IF(OR($B493="",$D493=""),"",
IFERROR(
  INDEX(
    'Tools &amp; Targets_Guideline'!$C$54:$I$269,
    MATCH(
      1,
      ('Tools &amp; Targets_Guideline'!$A$54:$A$269=$B493)*
      ('Tools &amp; Targets_Guideline'!$B$54:$B$269="TT"),
      0
    ),
    MATCH(
      _xludf.IFNA(
        VLOOKUP($D493,{"PH","Provincial Hospital (H2)";"DH","District Hospital (H3)";"RH","Regional / National Hospital (H1)"},2,0),
        $D493
      ),
      'Tools &amp; Targets_Guideline'!$C$53:$I$53,
      0
    )
  ),
0))</f>
        <v/>
      </c>
      <c r="S493" s="102"/>
      <c r="T493" s="102"/>
      <c r="U493" s="106"/>
      <c r="V493" s="102" t="str">
        <f t="shared" si="16"/>
        <v/>
      </c>
      <c r="W493" s="102"/>
      <c r="X493" s="102"/>
      <c r="Y493" s="119" t="str">
        <f t="array" ref="Y493">IF(OR($B493="",$D493=""),"",
IFERROR(
  INDEX(
    'Tools &amp; Targets_Guideline'!$C$54:$I$269,
    MATCH(
      1,
      ('Tools &amp; Targets_Guideline'!$A$54:$A$269=$B493)*
      ('Tools &amp; Targets_Guideline'!$B$54:$B$269="GM"),
      0
    ),
    MATCH(
      _xludf.IFNA(
        VLOOKUP($D493,{"PH","Provincial Hospital (H2)";"DH","District Hospital (H3)";"RH","Regional / National Hospital (H1)"},2,0),
        $D493
      ),
      'Tools &amp; Targets_Guideline'!$C$53:$I$53,
      0
    )
  ),
0))</f>
        <v/>
      </c>
      <c r="Z493" s="102"/>
      <c r="AA493" s="119" t="str">
        <f t="array" ref="AA493">IF(OR($B493="",$D493=""),"",
IFERROR(
  INDEX(
    'Tools &amp; Targets_Guideline'!$C$54:$I$269,
    MATCH(
      1,
      ('Tools &amp; Targets_Guideline'!$A$54:$A$269=$B493)*
      ('Tools &amp; Targets_Guideline'!$B$54:$B$269="Penta"),
      0
    ),
    MATCH(
      _xludf.IFNA(
        VLOOKUP($D493,{"PH","Provincial Hospital (H2)";"DH","District Hospital (H3)";"RH","Regional / National Hospital (H1)"},2,0),
        $D493
      ),
      'Tools &amp; Targets_Guideline'!$C$53:$I$53,
      0
    )
  ),
0))</f>
        <v/>
      </c>
      <c r="AB493" s="102"/>
      <c r="AC493" s="119" t="str">
        <f t="array" ref="AC493">IF(OR($B493="",$D493=""),"",
IFERROR(
  INDEX(
    'Tools &amp; Targets_Guideline'!$C$54:$I$269,
    MATCH(
      1,
      ('Tools &amp; Targets_Guideline'!$A$54:$A$269=$B493)*
      ('Tools &amp; Targets_Guideline'!$B$54:$B$269="TB"),
      0
    ),
    MATCH(
      _xludf.IFNA(
        VLOOKUP($D493,{"PH","Provincial Hospital (H2)";"DH","District Hospital (H3)";"RH","Regional / National Hospital (H1)"},2,0),
        $D493
      ),
      'Tools &amp; Targets_Guideline'!$C$53:$I$53,
      0
    )
  ),
0))</f>
        <v/>
      </c>
      <c r="AD493" s="102"/>
      <c r="AE493" s="119" t="str">
        <f t="array" ref="AE493">IF(OR($B493="",$D493=""),"",
IFERROR(
  INDEX(
    'Tools &amp; Targets_Guideline'!$C$54:$I$269,
    MATCH(
      1,
      ('Tools &amp; Targets_Guideline'!$A$54:$A$269=$B493)*
      ('Tools &amp; Targets_Guideline'!$B$54:$B$269="U5 Morbidity"),
      0
    ),
    MATCH(
      _xludf.IFNA(
        VLOOKUP($D493,{"PH","Provincial Hospital (H2)";"DH","District Hospital (H3)";"RH","Regional / National Hospital (H1)"},2,0),
        $D493
      ),
      'Tools &amp; Targets_Guideline'!$C$53:$I$53,
      0
    )
  ),
0))</f>
        <v/>
      </c>
      <c r="AF493" s="102"/>
      <c r="AG493" s="119" t="str">
        <f t="array" ref="AG493">IF(OR($B493="",$D493=""),"",
IFERROR(
  INDEX(
    'Tools &amp; Targets_Guideline'!$C$54:$I$269,
    MATCH(
      1,
      ('Tools &amp; Targets_Guideline'!$A$54:$A$269=$B493)*
      ('Tools &amp; Targets_Guideline'!$B$54:$B$269="C-Section"),
      0
    ),
    MATCH(
      _xludf.IFNA(
        VLOOKUP($D493,{"PH","Provincial Hospital (H2)";"DH","District Hospital (H3)";"RH","Regional / National Hospital (H1)"},2,0),
        $D493
      ),
      'Tools &amp; Targets_Guideline'!$C$53:$I$53,
      0
    )
  ),
0))</f>
        <v/>
      </c>
      <c r="AH493" s="102" t="str">
        <f>IF(A493&lt;&gt;"",COUNTIFS('QA Log'!D:D,A493,'QA Log'!M:M,"QQC",'QA Log'!L:L,"2. Hygiene and Sterilization",'QA Log'!Z:Z,"Approved"),"")</f>
        <v/>
      </c>
      <c r="AI493" s="102"/>
      <c r="AJ493" s="102"/>
      <c r="AK493" s="103" t="str">
        <f t="shared" si="17"/>
        <v/>
      </c>
      <c r="AL493" s="102"/>
      <c r="AM493" s="102"/>
      <c r="AN493" s="102"/>
      <c r="AO493" s="106"/>
      <c r="AP493" s="103"/>
      <c r="AQ493" s="102"/>
      <c r="AR493" s="102"/>
      <c r="AS493" s="102"/>
      <c r="AT493" s="107"/>
      <c r="AU493" s="102" t="str">
        <f t="shared" si="18"/>
        <v/>
      </c>
      <c r="AV493" s="102" t="str">
        <f t="shared" si="19"/>
        <v/>
      </c>
      <c r="AW493" s="102" t="str">
        <f t="shared" si="20"/>
        <v/>
      </c>
      <c r="AX493" s="102" t="str">
        <f t="shared" si="21"/>
        <v/>
      </c>
      <c r="AY493" s="107" t="str">
        <f t="shared" si="22"/>
        <v/>
      </c>
      <c r="AZ493" s="108" t="str">
        <f t="shared" si="23"/>
        <v/>
      </c>
      <c r="BA493" s="108" t="str">
        <f t="shared" si="24"/>
        <v/>
      </c>
      <c r="BB493" s="109" t="str">
        <f t="shared" si="25"/>
        <v/>
      </c>
      <c r="BC493" s="108" t="str">
        <f t="shared" si="26"/>
        <v/>
      </c>
      <c r="BD493" s="108" t="str">
        <f t="shared" si="27"/>
        <v/>
      </c>
      <c r="BE493" s="109" t="str">
        <f t="shared" si="28"/>
        <v/>
      </c>
      <c r="BF493" s="110" t="str">
        <f t="shared" si="29"/>
        <v/>
      </c>
      <c r="BG493" s="111"/>
    </row>
    <row r="494" spans="1:59" ht="12.75">
      <c r="A494" s="101"/>
      <c r="B494" s="102"/>
      <c r="C494" s="102" t="e">
        <f t="array" aca="1" ref="C494" ca="1">_xludf.XLOOKUP(A494,'QA Log'!D:D,'QA Log'!F:F,"")</f>
        <v>#NAME?</v>
      </c>
      <c r="D494" s="102"/>
      <c r="E494" s="102" t="e">
        <f t="array" aca="1" ref="E494" ca="1">_xludf.XLOOKUP(A494,'QA Log'!D:D,'QA Log'!G:G,"")</f>
        <v>#NAME?</v>
      </c>
      <c r="F494" s="103"/>
      <c r="G494" s="104"/>
      <c r="H494" s="104"/>
      <c r="I494" s="103" t="str">
        <f t="shared" si="15"/>
        <v/>
      </c>
      <c r="J494" s="102"/>
      <c r="K494" s="102"/>
      <c r="L494" s="119" t="str">
        <f t="array" ref="L494">IF(OR($B494="",$D494=""),"",
IFERROR(
  INDEX(
    'Tools &amp; Targets_Guideline'!$C$54:$I$269,
    MATCH(
      1,
      ('Tools &amp; Targets_Guideline'!$A$54:$A$269=$B494)*
      ('Tools &amp; Targets_Guideline'!$B$54:$B$269="ANC"),
      0
    ),
    MATCH(
      _xludf.IFNA(
        VLOOKUP($D494,{"PH","Provincial Hospital (H2)";"DH","District Hospital (H3)";"RH","Regional / National Hospital (H1)"},2,0),
        $D494
      ),
      'Tools &amp; Targets_Guideline'!$C$53:$I$53,
      0
    )
  ),
0))</f>
        <v/>
      </c>
      <c r="M494" s="102"/>
      <c r="N494" s="119" t="str">
        <f t="array" ref="N494">IF(OR($B494="",$D494=""),"",
IFERROR(
  INDEX(
    'Tools &amp; Targets_Guideline'!$C$54:$I$269,
    MATCH(
      1,
      ('Tools &amp; Targets_Guideline'!$A$54:$A$269=$B494)*
      ('Tools &amp; Targets_Guideline'!$B$54:$B$269="PNC"),
      0
    ),
    MATCH(
      _xludf.IFNA(
        VLOOKUP($D494,{"PH","Provincial Hospital (H2)";"DH","District Hospital (H3)";"RH","Regional / National Hospital (H1)"},2,0),
        $D494
      ),
      'Tools &amp; Targets_Guideline'!$C$53:$I$53,
      0
    )
  ),
0))</f>
        <v/>
      </c>
      <c r="O494" s="102"/>
      <c r="P494" s="119" t="str">
        <f t="array" ref="P494">IF(OR($B494="",$D494=""),"",
IFERROR(
  INDEX(
    'Tools &amp; Targets_Guideline'!$C$54:$I$269,
    MATCH(
      1,
      ('Tools &amp; Targets_Guideline'!$A$54:$A$269=$B494)*
      ('Tools &amp; Targets_Guideline'!$B$54:$B$269="Delivery"),
      0
    ),
    MATCH(
      _xludf.IFNA(
        VLOOKUP($D494,{"PH","Provincial Hospital (H2)";"DH","District Hospital (H3)";"RH","Regional / National Hospital (H1)"},2,0),
        $D494
      ),
      'Tools &amp; Targets_Guideline'!$C$53:$I$53,
      0
    )
  ),
0))</f>
        <v/>
      </c>
      <c r="Q494" s="102"/>
      <c r="R494" s="119" t="str">
        <f t="array" ref="R494">IF(OR($B494="",$D494=""),"",
IFERROR(
  INDEX(
    'Tools &amp; Targets_Guideline'!$C$54:$I$269,
    MATCH(
      1,
      ('Tools &amp; Targets_Guideline'!$A$54:$A$269=$B494)*
      ('Tools &amp; Targets_Guideline'!$B$54:$B$269="TT"),
      0
    ),
    MATCH(
      _xludf.IFNA(
        VLOOKUP($D494,{"PH","Provincial Hospital (H2)";"DH","District Hospital (H3)";"RH","Regional / National Hospital (H1)"},2,0),
        $D494
      ),
      'Tools &amp; Targets_Guideline'!$C$53:$I$53,
      0
    )
  ),
0))</f>
        <v/>
      </c>
      <c r="S494" s="102"/>
      <c r="T494" s="102"/>
      <c r="U494" s="106"/>
      <c r="V494" s="102" t="str">
        <f t="shared" si="16"/>
        <v/>
      </c>
      <c r="W494" s="102"/>
      <c r="X494" s="102"/>
      <c r="Y494" s="119" t="str">
        <f t="array" ref="Y494">IF(OR($B494="",$D494=""),"",
IFERROR(
  INDEX(
    'Tools &amp; Targets_Guideline'!$C$54:$I$269,
    MATCH(
      1,
      ('Tools &amp; Targets_Guideline'!$A$54:$A$269=$B494)*
      ('Tools &amp; Targets_Guideline'!$B$54:$B$269="GM"),
      0
    ),
    MATCH(
      _xludf.IFNA(
        VLOOKUP($D494,{"PH","Provincial Hospital (H2)";"DH","District Hospital (H3)";"RH","Regional / National Hospital (H1)"},2,0),
        $D494
      ),
      'Tools &amp; Targets_Guideline'!$C$53:$I$53,
      0
    )
  ),
0))</f>
        <v/>
      </c>
      <c r="Z494" s="102"/>
      <c r="AA494" s="119" t="str">
        <f t="array" ref="AA494">IF(OR($B494="",$D494=""),"",
IFERROR(
  INDEX(
    'Tools &amp; Targets_Guideline'!$C$54:$I$269,
    MATCH(
      1,
      ('Tools &amp; Targets_Guideline'!$A$54:$A$269=$B494)*
      ('Tools &amp; Targets_Guideline'!$B$54:$B$269="Penta"),
      0
    ),
    MATCH(
      _xludf.IFNA(
        VLOOKUP($D494,{"PH","Provincial Hospital (H2)";"DH","District Hospital (H3)";"RH","Regional / National Hospital (H1)"},2,0),
        $D494
      ),
      'Tools &amp; Targets_Guideline'!$C$53:$I$53,
      0
    )
  ),
0))</f>
        <v/>
      </c>
      <c r="AB494" s="102"/>
      <c r="AC494" s="119" t="str">
        <f t="array" ref="AC494">IF(OR($B494="",$D494=""),"",
IFERROR(
  INDEX(
    'Tools &amp; Targets_Guideline'!$C$54:$I$269,
    MATCH(
      1,
      ('Tools &amp; Targets_Guideline'!$A$54:$A$269=$B494)*
      ('Tools &amp; Targets_Guideline'!$B$54:$B$269="TB"),
      0
    ),
    MATCH(
      _xludf.IFNA(
        VLOOKUP($D494,{"PH","Provincial Hospital (H2)";"DH","District Hospital (H3)";"RH","Regional / National Hospital (H1)"},2,0),
        $D494
      ),
      'Tools &amp; Targets_Guideline'!$C$53:$I$53,
      0
    )
  ),
0))</f>
        <v/>
      </c>
      <c r="AD494" s="102"/>
      <c r="AE494" s="119" t="str">
        <f t="array" ref="AE494">IF(OR($B494="",$D494=""),"",
IFERROR(
  INDEX(
    'Tools &amp; Targets_Guideline'!$C$54:$I$269,
    MATCH(
      1,
      ('Tools &amp; Targets_Guideline'!$A$54:$A$269=$B494)*
      ('Tools &amp; Targets_Guideline'!$B$54:$B$269="U5 Morbidity"),
      0
    ),
    MATCH(
      _xludf.IFNA(
        VLOOKUP($D494,{"PH","Provincial Hospital (H2)";"DH","District Hospital (H3)";"RH","Regional / National Hospital (H1)"},2,0),
        $D494
      ),
      'Tools &amp; Targets_Guideline'!$C$53:$I$53,
      0
    )
  ),
0))</f>
        <v/>
      </c>
      <c r="AF494" s="102"/>
      <c r="AG494" s="119" t="str">
        <f t="array" ref="AG494">IF(OR($B494="",$D494=""),"",
IFERROR(
  INDEX(
    'Tools &amp; Targets_Guideline'!$C$54:$I$269,
    MATCH(
      1,
      ('Tools &amp; Targets_Guideline'!$A$54:$A$269=$B494)*
      ('Tools &amp; Targets_Guideline'!$B$54:$B$269="C-Section"),
      0
    ),
    MATCH(
      _xludf.IFNA(
        VLOOKUP($D494,{"PH","Provincial Hospital (H2)";"DH","District Hospital (H3)";"RH","Regional / National Hospital (H1)"},2,0),
        $D494
      ),
      'Tools &amp; Targets_Guideline'!$C$53:$I$53,
      0
    )
  ),
0))</f>
        <v/>
      </c>
      <c r="AH494" s="102" t="str">
        <f>IF(A494&lt;&gt;"",COUNTIFS('QA Log'!D:D,A494,'QA Log'!M:M,"QQC",'QA Log'!L:L,"2. Hygiene and Sterilization",'QA Log'!Z:Z,"Approved"),"")</f>
        <v/>
      </c>
      <c r="AI494" s="102"/>
      <c r="AJ494" s="102"/>
      <c r="AK494" s="103" t="str">
        <f t="shared" si="17"/>
        <v/>
      </c>
      <c r="AL494" s="102"/>
      <c r="AM494" s="102"/>
      <c r="AN494" s="102"/>
      <c r="AO494" s="106"/>
      <c r="AP494" s="103"/>
      <c r="AQ494" s="102"/>
      <c r="AR494" s="102"/>
      <c r="AS494" s="102"/>
      <c r="AT494" s="107"/>
      <c r="AU494" s="102" t="str">
        <f t="shared" si="18"/>
        <v/>
      </c>
      <c r="AV494" s="102" t="str">
        <f t="shared" si="19"/>
        <v/>
      </c>
      <c r="AW494" s="102" t="str">
        <f t="shared" si="20"/>
        <v/>
      </c>
      <c r="AX494" s="102" t="str">
        <f t="shared" si="21"/>
        <v/>
      </c>
      <c r="AY494" s="107" t="str">
        <f t="shared" si="22"/>
        <v/>
      </c>
      <c r="AZ494" s="108" t="str">
        <f t="shared" si="23"/>
        <v/>
      </c>
      <c r="BA494" s="108" t="str">
        <f t="shared" si="24"/>
        <v/>
      </c>
      <c r="BB494" s="109" t="str">
        <f t="shared" si="25"/>
        <v/>
      </c>
      <c r="BC494" s="108" t="str">
        <f t="shared" si="26"/>
        <v/>
      </c>
      <c r="BD494" s="108" t="str">
        <f t="shared" si="27"/>
        <v/>
      </c>
      <c r="BE494" s="109" t="str">
        <f t="shared" si="28"/>
        <v/>
      </c>
      <c r="BF494" s="110" t="str">
        <f t="shared" si="29"/>
        <v/>
      </c>
      <c r="BG494" s="111"/>
    </row>
    <row r="495" spans="1:59" ht="12.75">
      <c r="A495" s="101"/>
      <c r="B495" s="102"/>
      <c r="C495" s="102" t="e">
        <f t="array" aca="1" ref="C495" ca="1">_xludf.XLOOKUP(A495,'QA Log'!D:D,'QA Log'!F:F,"")</f>
        <v>#NAME?</v>
      </c>
      <c r="D495" s="102"/>
      <c r="E495" s="102" t="e">
        <f t="array" aca="1" ref="E495" ca="1">_xludf.XLOOKUP(A495,'QA Log'!D:D,'QA Log'!G:G,"")</f>
        <v>#NAME?</v>
      </c>
      <c r="F495" s="103"/>
      <c r="G495" s="104"/>
      <c r="H495" s="104"/>
      <c r="I495" s="103" t="str">
        <f t="shared" si="15"/>
        <v/>
      </c>
      <c r="J495" s="102"/>
      <c r="K495" s="102"/>
      <c r="L495" s="119" t="str">
        <f t="array" ref="L495">IF(OR($B495="",$D495=""),"",
IFERROR(
  INDEX(
    'Tools &amp; Targets_Guideline'!$C$54:$I$269,
    MATCH(
      1,
      ('Tools &amp; Targets_Guideline'!$A$54:$A$269=$B495)*
      ('Tools &amp; Targets_Guideline'!$B$54:$B$269="ANC"),
      0
    ),
    MATCH(
      _xludf.IFNA(
        VLOOKUP($D495,{"PH","Provincial Hospital (H2)";"DH","District Hospital (H3)";"RH","Regional / National Hospital (H1)"},2,0),
        $D495
      ),
      'Tools &amp; Targets_Guideline'!$C$53:$I$53,
      0
    )
  ),
0))</f>
        <v/>
      </c>
      <c r="M495" s="102"/>
      <c r="N495" s="119" t="str">
        <f t="array" ref="N495">IF(OR($B495="",$D495=""),"",
IFERROR(
  INDEX(
    'Tools &amp; Targets_Guideline'!$C$54:$I$269,
    MATCH(
      1,
      ('Tools &amp; Targets_Guideline'!$A$54:$A$269=$B495)*
      ('Tools &amp; Targets_Guideline'!$B$54:$B$269="PNC"),
      0
    ),
    MATCH(
      _xludf.IFNA(
        VLOOKUP($D495,{"PH","Provincial Hospital (H2)";"DH","District Hospital (H3)";"RH","Regional / National Hospital (H1)"},2,0),
        $D495
      ),
      'Tools &amp; Targets_Guideline'!$C$53:$I$53,
      0
    )
  ),
0))</f>
        <v/>
      </c>
      <c r="O495" s="102"/>
      <c r="P495" s="119" t="str">
        <f t="array" ref="P495">IF(OR($B495="",$D495=""),"",
IFERROR(
  INDEX(
    'Tools &amp; Targets_Guideline'!$C$54:$I$269,
    MATCH(
      1,
      ('Tools &amp; Targets_Guideline'!$A$54:$A$269=$B495)*
      ('Tools &amp; Targets_Guideline'!$B$54:$B$269="Delivery"),
      0
    ),
    MATCH(
      _xludf.IFNA(
        VLOOKUP($D495,{"PH","Provincial Hospital (H2)";"DH","District Hospital (H3)";"RH","Regional / National Hospital (H1)"},2,0),
        $D495
      ),
      'Tools &amp; Targets_Guideline'!$C$53:$I$53,
      0
    )
  ),
0))</f>
        <v/>
      </c>
      <c r="Q495" s="102"/>
      <c r="R495" s="119" t="str">
        <f t="array" ref="R495">IF(OR($B495="",$D495=""),"",
IFERROR(
  INDEX(
    'Tools &amp; Targets_Guideline'!$C$54:$I$269,
    MATCH(
      1,
      ('Tools &amp; Targets_Guideline'!$A$54:$A$269=$B495)*
      ('Tools &amp; Targets_Guideline'!$B$54:$B$269="TT"),
      0
    ),
    MATCH(
      _xludf.IFNA(
        VLOOKUP($D495,{"PH","Provincial Hospital (H2)";"DH","District Hospital (H3)";"RH","Regional / National Hospital (H1)"},2,0),
        $D495
      ),
      'Tools &amp; Targets_Guideline'!$C$53:$I$53,
      0
    )
  ),
0))</f>
        <v/>
      </c>
      <c r="S495" s="102"/>
      <c r="T495" s="102"/>
      <c r="U495" s="106"/>
      <c r="V495" s="102" t="str">
        <f t="shared" si="16"/>
        <v/>
      </c>
      <c r="W495" s="102"/>
      <c r="X495" s="102"/>
      <c r="Y495" s="119" t="str">
        <f t="array" ref="Y495">IF(OR($B495="",$D495=""),"",
IFERROR(
  INDEX(
    'Tools &amp; Targets_Guideline'!$C$54:$I$269,
    MATCH(
      1,
      ('Tools &amp; Targets_Guideline'!$A$54:$A$269=$B495)*
      ('Tools &amp; Targets_Guideline'!$B$54:$B$269="GM"),
      0
    ),
    MATCH(
      _xludf.IFNA(
        VLOOKUP($D495,{"PH","Provincial Hospital (H2)";"DH","District Hospital (H3)";"RH","Regional / National Hospital (H1)"},2,0),
        $D495
      ),
      'Tools &amp; Targets_Guideline'!$C$53:$I$53,
      0
    )
  ),
0))</f>
        <v/>
      </c>
      <c r="Z495" s="102"/>
      <c r="AA495" s="119" t="str">
        <f t="array" ref="AA495">IF(OR($B495="",$D495=""),"",
IFERROR(
  INDEX(
    'Tools &amp; Targets_Guideline'!$C$54:$I$269,
    MATCH(
      1,
      ('Tools &amp; Targets_Guideline'!$A$54:$A$269=$B495)*
      ('Tools &amp; Targets_Guideline'!$B$54:$B$269="Penta"),
      0
    ),
    MATCH(
      _xludf.IFNA(
        VLOOKUP($D495,{"PH","Provincial Hospital (H2)";"DH","District Hospital (H3)";"RH","Regional / National Hospital (H1)"},2,0),
        $D495
      ),
      'Tools &amp; Targets_Guideline'!$C$53:$I$53,
      0
    )
  ),
0))</f>
        <v/>
      </c>
      <c r="AB495" s="102"/>
      <c r="AC495" s="119" t="str">
        <f t="array" ref="AC495">IF(OR($B495="",$D495=""),"",
IFERROR(
  INDEX(
    'Tools &amp; Targets_Guideline'!$C$54:$I$269,
    MATCH(
      1,
      ('Tools &amp; Targets_Guideline'!$A$54:$A$269=$B495)*
      ('Tools &amp; Targets_Guideline'!$B$54:$B$269="TB"),
      0
    ),
    MATCH(
      _xludf.IFNA(
        VLOOKUP($D495,{"PH","Provincial Hospital (H2)";"DH","District Hospital (H3)";"RH","Regional / National Hospital (H1)"},2,0),
        $D495
      ),
      'Tools &amp; Targets_Guideline'!$C$53:$I$53,
      0
    )
  ),
0))</f>
        <v/>
      </c>
      <c r="AD495" s="102"/>
      <c r="AE495" s="119" t="str">
        <f t="array" ref="AE495">IF(OR($B495="",$D495=""),"",
IFERROR(
  INDEX(
    'Tools &amp; Targets_Guideline'!$C$54:$I$269,
    MATCH(
      1,
      ('Tools &amp; Targets_Guideline'!$A$54:$A$269=$B495)*
      ('Tools &amp; Targets_Guideline'!$B$54:$B$269="U5 Morbidity"),
      0
    ),
    MATCH(
      _xludf.IFNA(
        VLOOKUP($D495,{"PH","Provincial Hospital (H2)";"DH","District Hospital (H3)";"RH","Regional / National Hospital (H1)"},2,0),
        $D495
      ),
      'Tools &amp; Targets_Guideline'!$C$53:$I$53,
      0
    )
  ),
0))</f>
        <v/>
      </c>
      <c r="AF495" s="102"/>
      <c r="AG495" s="119" t="str">
        <f t="array" ref="AG495">IF(OR($B495="",$D495=""),"",
IFERROR(
  INDEX(
    'Tools &amp; Targets_Guideline'!$C$54:$I$269,
    MATCH(
      1,
      ('Tools &amp; Targets_Guideline'!$A$54:$A$269=$B495)*
      ('Tools &amp; Targets_Guideline'!$B$54:$B$269="C-Section"),
      0
    ),
    MATCH(
      _xludf.IFNA(
        VLOOKUP($D495,{"PH","Provincial Hospital (H2)";"DH","District Hospital (H3)";"RH","Regional / National Hospital (H1)"},2,0),
        $D495
      ),
      'Tools &amp; Targets_Guideline'!$C$53:$I$53,
      0
    )
  ),
0))</f>
        <v/>
      </c>
      <c r="AH495" s="102" t="str">
        <f>IF(A495&lt;&gt;"",COUNTIFS('QA Log'!D:D,A495,'QA Log'!M:M,"QQC",'QA Log'!L:L,"2. Hygiene and Sterilization",'QA Log'!Z:Z,"Approved"),"")</f>
        <v/>
      </c>
      <c r="AI495" s="102"/>
      <c r="AJ495" s="102"/>
      <c r="AK495" s="103" t="str">
        <f t="shared" si="17"/>
        <v/>
      </c>
      <c r="AL495" s="102"/>
      <c r="AM495" s="102"/>
      <c r="AN495" s="102"/>
      <c r="AO495" s="106"/>
      <c r="AP495" s="103"/>
      <c r="AQ495" s="102"/>
      <c r="AR495" s="102"/>
      <c r="AS495" s="102"/>
      <c r="AT495" s="107"/>
      <c r="AU495" s="102" t="str">
        <f t="shared" si="18"/>
        <v/>
      </c>
      <c r="AV495" s="102" t="str">
        <f t="shared" si="19"/>
        <v/>
      </c>
      <c r="AW495" s="102" t="str">
        <f t="shared" si="20"/>
        <v/>
      </c>
      <c r="AX495" s="102" t="str">
        <f t="shared" si="21"/>
        <v/>
      </c>
      <c r="AY495" s="107" t="str">
        <f t="shared" si="22"/>
        <v/>
      </c>
      <c r="AZ495" s="108" t="str">
        <f t="shared" si="23"/>
        <v/>
      </c>
      <c r="BA495" s="108" t="str">
        <f t="shared" si="24"/>
        <v/>
      </c>
      <c r="BB495" s="109" t="str">
        <f t="shared" si="25"/>
        <v/>
      </c>
      <c r="BC495" s="108" t="str">
        <f t="shared" si="26"/>
        <v/>
      </c>
      <c r="BD495" s="108" t="str">
        <f t="shared" si="27"/>
        <v/>
      </c>
      <c r="BE495" s="109" t="str">
        <f t="shared" si="28"/>
        <v/>
      </c>
      <c r="BF495" s="110" t="str">
        <f t="shared" si="29"/>
        <v/>
      </c>
      <c r="BG495" s="111"/>
    </row>
    <row r="496" spans="1:59" ht="12.75">
      <c r="A496" s="101"/>
      <c r="B496" s="102"/>
      <c r="C496" s="102" t="e">
        <f t="array" aca="1" ref="C496" ca="1">_xludf.XLOOKUP(A496,'QA Log'!D:D,'QA Log'!F:F,"")</f>
        <v>#NAME?</v>
      </c>
      <c r="D496" s="102"/>
      <c r="E496" s="102" t="e">
        <f t="array" aca="1" ref="E496" ca="1">_xludf.XLOOKUP(A496,'QA Log'!D:D,'QA Log'!G:G,"")</f>
        <v>#NAME?</v>
      </c>
      <c r="F496" s="103"/>
      <c r="G496" s="104"/>
      <c r="H496" s="104"/>
      <c r="I496" s="103" t="str">
        <f t="shared" si="15"/>
        <v/>
      </c>
      <c r="J496" s="102"/>
      <c r="K496" s="102"/>
      <c r="L496" s="119" t="str">
        <f t="array" ref="L496">IF(OR($B496="",$D496=""),"",
IFERROR(
  INDEX(
    'Tools &amp; Targets_Guideline'!$C$54:$I$269,
    MATCH(
      1,
      ('Tools &amp; Targets_Guideline'!$A$54:$A$269=$B496)*
      ('Tools &amp; Targets_Guideline'!$B$54:$B$269="ANC"),
      0
    ),
    MATCH(
      _xludf.IFNA(
        VLOOKUP($D496,{"PH","Provincial Hospital (H2)";"DH","District Hospital (H3)";"RH","Regional / National Hospital (H1)"},2,0),
        $D496
      ),
      'Tools &amp; Targets_Guideline'!$C$53:$I$53,
      0
    )
  ),
0))</f>
        <v/>
      </c>
      <c r="M496" s="102"/>
      <c r="N496" s="119" t="str">
        <f t="array" ref="N496">IF(OR($B496="",$D496=""),"",
IFERROR(
  INDEX(
    'Tools &amp; Targets_Guideline'!$C$54:$I$269,
    MATCH(
      1,
      ('Tools &amp; Targets_Guideline'!$A$54:$A$269=$B496)*
      ('Tools &amp; Targets_Guideline'!$B$54:$B$269="PNC"),
      0
    ),
    MATCH(
      _xludf.IFNA(
        VLOOKUP($D496,{"PH","Provincial Hospital (H2)";"DH","District Hospital (H3)";"RH","Regional / National Hospital (H1)"},2,0),
        $D496
      ),
      'Tools &amp; Targets_Guideline'!$C$53:$I$53,
      0
    )
  ),
0))</f>
        <v/>
      </c>
      <c r="O496" s="102"/>
      <c r="P496" s="119" t="str">
        <f t="array" ref="P496">IF(OR($B496="",$D496=""),"",
IFERROR(
  INDEX(
    'Tools &amp; Targets_Guideline'!$C$54:$I$269,
    MATCH(
      1,
      ('Tools &amp; Targets_Guideline'!$A$54:$A$269=$B496)*
      ('Tools &amp; Targets_Guideline'!$B$54:$B$269="Delivery"),
      0
    ),
    MATCH(
      _xludf.IFNA(
        VLOOKUP($D496,{"PH","Provincial Hospital (H2)";"DH","District Hospital (H3)";"RH","Regional / National Hospital (H1)"},2,0),
        $D496
      ),
      'Tools &amp; Targets_Guideline'!$C$53:$I$53,
      0
    )
  ),
0))</f>
        <v/>
      </c>
      <c r="Q496" s="102"/>
      <c r="R496" s="119" t="str">
        <f t="array" ref="R496">IF(OR($B496="",$D496=""),"",
IFERROR(
  INDEX(
    'Tools &amp; Targets_Guideline'!$C$54:$I$269,
    MATCH(
      1,
      ('Tools &amp; Targets_Guideline'!$A$54:$A$269=$B496)*
      ('Tools &amp; Targets_Guideline'!$B$54:$B$269="TT"),
      0
    ),
    MATCH(
      _xludf.IFNA(
        VLOOKUP($D496,{"PH","Provincial Hospital (H2)";"DH","District Hospital (H3)";"RH","Regional / National Hospital (H1)"},2,0),
        $D496
      ),
      'Tools &amp; Targets_Guideline'!$C$53:$I$53,
      0
    )
  ),
0))</f>
        <v/>
      </c>
      <c r="S496" s="102"/>
      <c r="T496" s="102"/>
      <c r="U496" s="106"/>
      <c r="V496" s="102" t="str">
        <f t="shared" si="16"/>
        <v/>
      </c>
      <c r="W496" s="102"/>
      <c r="X496" s="102"/>
      <c r="Y496" s="119" t="str">
        <f t="array" ref="Y496">IF(OR($B496="",$D496=""),"",
IFERROR(
  INDEX(
    'Tools &amp; Targets_Guideline'!$C$54:$I$269,
    MATCH(
      1,
      ('Tools &amp; Targets_Guideline'!$A$54:$A$269=$B496)*
      ('Tools &amp; Targets_Guideline'!$B$54:$B$269="GM"),
      0
    ),
    MATCH(
      _xludf.IFNA(
        VLOOKUP($D496,{"PH","Provincial Hospital (H2)";"DH","District Hospital (H3)";"RH","Regional / National Hospital (H1)"},2,0),
        $D496
      ),
      'Tools &amp; Targets_Guideline'!$C$53:$I$53,
      0
    )
  ),
0))</f>
        <v/>
      </c>
      <c r="Z496" s="102"/>
      <c r="AA496" s="119" t="str">
        <f t="array" ref="AA496">IF(OR($B496="",$D496=""),"",
IFERROR(
  INDEX(
    'Tools &amp; Targets_Guideline'!$C$54:$I$269,
    MATCH(
      1,
      ('Tools &amp; Targets_Guideline'!$A$54:$A$269=$B496)*
      ('Tools &amp; Targets_Guideline'!$B$54:$B$269="Penta"),
      0
    ),
    MATCH(
      _xludf.IFNA(
        VLOOKUP($D496,{"PH","Provincial Hospital (H2)";"DH","District Hospital (H3)";"RH","Regional / National Hospital (H1)"},2,0),
        $D496
      ),
      'Tools &amp; Targets_Guideline'!$C$53:$I$53,
      0
    )
  ),
0))</f>
        <v/>
      </c>
      <c r="AB496" s="102"/>
      <c r="AC496" s="119" t="str">
        <f t="array" ref="AC496">IF(OR($B496="",$D496=""),"",
IFERROR(
  INDEX(
    'Tools &amp; Targets_Guideline'!$C$54:$I$269,
    MATCH(
      1,
      ('Tools &amp; Targets_Guideline'!$A$54:$A$269=$B496)*
      ('Tools &amp; Targets_Guideline'!$B$54:$B$269="TB"),
      0
    ),
    MATCH(
      _xludf.IFNA(
        VLOOKUP($D496,{"PH","Provincial Hospital (H2)";"DH","District Hospital (H3)";"RH","Regional / National Hospital (H1)"},2,0),
        $D496
      ),
      'Tools &amp; Targets_Guideline'!$C$53:$I$53,
      0
    )
  ),
0))</f>
        <v/>
      </c>
      <c r="AD496" s="102"/>
      <c r="AE496" s="119" t="str">
        <f t="array" ref="AE496">IF(OR($B496="",$D496=""),"",
IFERROR(
  INDEX(
    'Tools &amp; Targets_Guideline'!$C$54:$I$269,
    MATCH(
      1,
      ('Tools &amp; Targets_Guideline'!$A$54:$A$269=$B496)*
      ('Tools &amp; Targets_Guideline'!$B$54:$B$269="U5 Morbidity"),
      0
    ),
    MATCH(
      _xludf.IFNA(
        VLOOKUP($D496,{"PH","Provincial Hospital (H2)";"DH","District Hospital (H3)";"RH","Regional / National Hospital (H1)"},2,0),
        $D496
      ),
      'Tools &amp; Targets_Guideline'!$C$53:$I$53,
      0
    )
  ),
0))</f>
        <v/>
      </c>
      <c r="AF496" s="102"/>
      <c r="AG496" s="119" t="str">
        <f t="array" ref="AG496">IF(OR($B496="",$D496=""),"",
IFERROR(
  INDEX(
    'Tools &amp; Targets_Guideline'!$C$54:$I$269,
    MATCH(
      1,
      ('Tools &amp; Targets_Guideline'!$A$54:$A$269=$B496)*
      ('Tools &amp; Targets_Guideline'!$B$54:$B$269="C-Section"),
      0
    ),
    MATCH(
      _xludf.IFNA(
        VLOOKUP($D496,{"PH","Provincial Hospital (H2)";"DH","District Hospital (H3)";"RH","Regional / National Hospital (H1)"},2,0),
        $D496
      ),
      'Tools &amp; Targets_Guideline'!$C$53:$I$53,
      0
    )
  ),
0))</f>
        <v/>
      </c>
      <c r="AH496" s="102" t="str">
        <f>IF(A496&lt;&gt;"",COUNTIFS('QA Log'!D:D,A496,'QA Log'!M:M,"QQC",'QA Log'!L:L,"2. Hygiene and Sterilization",'QA Log'!Z:Z,"Approved"),"")</f>
        <v/>
      </c>
      <c r="AI496" s="102"/>
      <c r="AJ496" s="102"/>
      <c r="AK496" s="103" t="str">
        <f t="shared" si="17"/>
        <v/>
      </c>
      <c r="AL496" s="102"/>
      <c r="AM496" s="102"/>
      <c r="AN496" s="102"/>
      <c r="AO496" s="106"/>
      <c r="AP496" s="103"/>
      <c r="AQ496" s="102"/>
      <c r="AR496" s="102"/>
      <c r="AS496" s="102"/>
      <c r="AT496" s="107"/>
      <c r="AU496" s="102" t="str">
        <f t="shared" si="18"/>
        <v/>
      </c>
      <c r="AV496" s="102" t="str">
        <f t="shared" si="19"/>
        <v/>
      </c>
      <c r="AW496" s="102" t="str">
        <f t="shared" si="20"/>
        <v/>
      </c>
      <c r="AX496" s="102" t="str">
        <f t="shared" si="21"/>
        <v/>
      </c>
      <c r="AY496" s="107" t="str">
        <f t="shared" si="22"/>
        <v/>
      </c>
      <c r="AZ496" s="108" t="str">
        <f t="shared" si="23"/>
        <v/>
      </c>
      <c r="BA496" s="108" t="str">
        <f t="shared" si="24"/>
        <v/>
      </c>
      <c r="BB496" s="109" t="str">
        <f t="shared" si="25"/>
        <v/>
      </c>
      <c r="BC496" s="108" t="str">
        <f t="shared" si="26"/>
        <v/>
      </c>
      <c r="BD496" s="108" t="str">
        <f t="shared" si="27"/>
        <v/>
      </c>
      <c r="BE496" s="109" t="str">
        <f t="shared" si="28"/>
        <v/>
      </c>
      <c r="BF496" s="110" t="str">
        <f t="shared" si="29"/>
        <v/>
      </c>
      <c r="BG496" s="111"/>
    </row>
    <row r="497" spans="1:59" ht="12.75">
      <c r="A497" s="101"/>
      <c r="B497" s="102"/>
      <c r="C497" s="102" t="e">
        <f t="array" aca="1" ref="C497" ca="1">_xludf.XLOOKUP(A497,'QA Log'!D:D,'QA Log'!F:F,"")</f>
        <v>#NAME?</v>
      </c>
      <c r="D497" s="102"/>
      <c r="E497" s="102" t="e">
        <f t="array" aca="1" ref="E497" ca="1">_xludf.XLOOKUP(A497,'QA Log'!D:D,'QA Log'!G:G,"")</f>
        <v>#NAME?</v>
      </c>
      <c r="F497" s="103"/>
      <c r="G497" s="104"/>
      <c r="H497" s="104"/>
      <c r="I497" s="103" t="str">
        <f t="shared" si="15"/>
        <v/>
      </c>
      <c r="J497" s="102"/>
      <c r="K497" s="102"/>
      <c r="L497" s="119" t="str">
        <f t="array" ref="L497">IF(OR($B497="",$D497=""),"",
IFERROR(
  INDEX(
    'Tools &amp; Targets_Guideline'!$C$54:$I$269,
    MATCH(
      1,
      ('Tools &amp; Targets_Guideline'!$A$54:$A$269=$B497)*
      ('Tools &amp; Targets_Guideline'!$B$54:$B$269="ANC"),
      0
    ),
    MATCH(
      _xludf.IFNA(
        VLOOKUP($D497,{"PH","Provincial Hospital (H2)";"DH","District Hospital (H3)";"RH","Regional / National Hospital (H1)"},2,0),
        $D497
      ),
      'Tools &amp; Targets_Guideline'!$C$53:$I$53,
      0
    )
  ),
0))</f>
        <v/>
      </c>
      <c r="M497" s="102"/>
      <c r="N497" s="119" t="str">
        <f t="array" ref="N497">IF(OR($B497="",$D497=""),"",
IFERROR(
  INDEX(
    'Tools &amp; Targets_Guideline'!$C$54:$I$269,
    MATCH(
      1,
      ('Tools &amp; Targets_Guideline'!$A$54:$A$269=$B497)*
      ('Tools &amp; Targets_Guideline'!$B$54:$B$269="PNC"),
      0
    ),
    MATCH(
      _xludf.IFNA(
        VLOOKUP($D497,{"PH","Provincial Hospital (H2)";"DH","District Hospital (H3)";"RH","Regional / National Hospital (H1)"},2,0),
        $D497
      ),
      'Tools &amp; Targets_Guideline'!$C$53:$I$53,
      0
    )
  ),
0))</f>
        <v/>
      </c>
      <c r="O497" s="102"/>
      <c r="P497" s="119" t="str">
        <f t="array" ref="P497">IF(OR($B497="",$D497=""),"",
IFERROR(
  INDEX(
    'Tools &amp; Targets_Guideline'!$C$54:$I$269,
    MATCH(
      1,
      ('Tools &amp; Targets_Guideline'!$A$54:$A$269=$B497)*
      ('Tools &amp; Targets_Guideline'!$B$54:$B$269="Delivery"),
      0
    ),
    MATCH(
      _xludf.IFNA(
        VLOOKUP($D497,{"PH","Provincial Hospital (H2)";"DH","District Hospital (H3)";"RH","Regional / National Hospital (H1)"},2,0),
        $D497
      ),
      'Tools &amp; Targets_Guideline'!$C$53:$I$53,
      0
    )
  ),
0))</f>
        <v/>
      </c>
      <c r="Q497" s="102"/>
      <c r="R497" s="119" t="str">
        <f t="array" ref="R497">IF(OR($B497="",$D497=""),"",
IFERROR(
  INDEX(
    'Tools &amp; Targets_Guideline'!$C$54:$I$269,
    MATCH(
      1,
      ('Tools &amp; Targets_Guideline'!$A$54:$A$269=$B497)*
      ('Tools &amp; Targets_Guideline'!$B$54:$B$269="TT"),
      0
    ),
    MATCH(
      _xludf.IFNA(
        VLOOKUP($D497,{"PH","Provincial Hospital (H2)";"DH","District Hospital (H3)";"RH","Regional / National Hospital (H1)"},2,0),
        $D497
      ),
      'Tools &amp; Targets_Guideline'!$C$53:$I$53,
      0
    )
  ),
0))</f>
        <v/>
      </c>
      <c r="S497" s="102"/>
      <c r="T497" s="102"/>
      <c r="U497" s="106"/>
      <c r="V497" s="102" t="str">
        <f t="shared" si="16"/>
        <v/>
      </c>
      <c r="W497" s="102"/>
      <c r="X497" s="102"/>
      <c r="Y497" s="119" t="str">
        <f t="array" ref="Y497">IF(OR($B497="",$D497=""),"",
IFERROR(
  INDEX(
    'Tools &amp; Targets_Guideline'!$C$54:$I$269,
    MATCH(
      1,
      ('Tools &amp; Targets_Guideline'!$A$54:$A$269=$B497)*
      ('Tools &amp; Targets_Guideline'!$B$54:$B$269="GM"),
      0
    ),
    MATCH(
      _xludf.IFNA(
        VLOOKUP($D497,{"PH","Provincial Hospital (H2)";"DH","District Hospital (H3)";"RH","Regional / National Hospital (H1)"},2,0),
        $D497
      ),
      'Tools &amp; Targets_Guideline'!$C$53:$I$53,
      0
    )
  ),
0))</f>
        <v/>
      </c>
      <c r="Z497" s="102"/>
      <c r="AA497" s="119" t="str">
        <f t="array" ref="AA497">IF(OR($B497="",$D497=""),"",
IFERROR(
  INDEX(
    'Tools &amp; Targets_Guideline'!$C$54:$I$269,
    MATCH(
      1,
      ('Tools &amp; Targets_Guideline'!$A$54:$A$269=$B497)*
      ('Tools &amp; Targets_Guideline'!$B$54:$B$269="Penta"),
      0
    ),
    MATCH(
      _xludf.IFNA(
        VLOOKUP($D497,{"PH","Provincial Hospital (H2)";"DH","District Hospital (H3)";"RH","Regional / National Hospital (H1)"},2,0),
        $D497
      ),
      'Tools &amp; Targets_Guideline'!$C$53:$I$53,
      0
    )
  ),
0))</f>
        <v/>
      </c>
      <c r="AB497" s="102"/>
      <c r="AC497" s="119" t="str">
        <f t="array" ref="AC497">IF(OR($B497="",$D497=""),"",
IFERROR(
  INDEX(
    'Tools &amp; Targets_Guideline'!$C$54:$I$269,
    MATCH(
      1,
      ('Tools &amp; Targets_Guideline'!$A$54:$A$269=$B497)*
      ('Tools &amp; Targets_Guideline'!$B$54:$B$269="TB"),
      0
    ),
    MATCH(
      _xludf.IFNA(
        VLOOKUP($D497,{"PH","Provincial Hospital (H2)";"DH","District Hospital (H3)";"RH","Regional / National Hospital (H1)"},2,0),
        $D497
      ),
      'Tools &amp; Targets_Guideline'!$C$53:$I$53,
      0
    )
  ),
0))</f>
        <v/>
      </c>
      <c r="AD497" s="102"/>
      <c r="AE497" s="119" t="str">
        <f t="array" ref="AE497">IF(OR($B497="",$D497=""),"",
IFERROR(
  INDEX(
    'Tools &amp; Targets_Guideline'!$C$54:$I$269,
    MATCH(
      1,
      ('Tools &amp; Targets_Guideline'!$A$54:$A$269=$B497)*
      ('Tools &amp; Targets_Guideline'!$B$54:$B$269="U5 Morbidity"),
      0
    ),
    MATCH(
      _xludf.IFNA(
        VLOOKUP($D497,{"PH","Provincial Hospital (H2)";"DH","District Hospital (H3)";"RH","Regional / National Hospital (H1)"},2,0),
        $D497
      ),
      'Tools &amp; Targets_Guideline'!$C$53:$I$53,
      0
    )
  ),
0))</f>
        <v/>
      </c>
      <c r="AF497" s="102"/>
      <c r="AG497" s="119" t="str">
        <f t="array" ref="AG497">IF(OR($B497="",$D497=""),"",
IFERROR(
  INDEX(
    'Tools &amp; Targets_Guideline'!$C$54:$I$269,
    MATCH(
      1,
      ('Tools &amp; Targets_Guideline'!$A$54:$A$269=$B497)*
      ('Tools &amp; Targets_Guideline'!$B$54:$B$269="C-Section"),
      0
    ),
    MATCH(
      _xludf.IFNA(
        VLOOKUP($D497,{"PH","Provincial Hospital (H2)";"DH","District Hospital (H3)";"RH","Regional / National Hospital (H1)"},2,0),
        $D497
      ),
      'Tools &amp; Targets_Guideline'!$C$53:$I$53,
      0
    )
  ),
0))</f>
        <v/>
      </c>
      <c r="AH497" s="102" t="str">
        <f>IF(A497&lt;&gt;"",COUNTIFS('QA Log'!D:D,A497,'QA Log'!M:M,"QQC",'QA Log'!L:L,"2. Hygiene and Sterilization",'QA Log'!Z:Z,"Approved"),"")</f>
        <v/>
      </c>
      <c r="AI497" s="102"/>
      <c r="AJ497" s="102"/>
      <c r="AK497" s="103" t="str">
        <f t="shared" si="17"/>
        <v/>
      </c>
      <c r="AL497" s="102"/>
      <c r="AM497" s="102"/>
      <c r="AN497" s="102"/>
      <c r="AO497" s="106"/>
      <c r="AP497" s="103"/>
      <c r="AQ497" s="102"/>
      <c r="AR497" s="102"/>
      <c r="AS497" s="102"/>
      <c r="AT497" s="107"/>
      <c r="AU497" s="102" t="str">
        <f t="shared" si="18"/>
        <v/>
      </c>
      <c r="AV497" s="102" t="str">
        <f t="shared" si="19"/>
        <v/>
      </c>
      <c r="AW497" s="102" t="str">
        <f t="shared" si="20"/>
        <v/>
      </c>
      <c r="AX497" s="102" t="str">
        <f t="shared" si="21"/>
        <v/>
      </c>
      <c r="AY497" s="107" t="str">
        <f t="shared" si="22"/>
        <v/>
      </c>
      <c r="AZ497" s="108" t="str">
        <f t="shared" si="23"/>
        <v/>
      </c>
      <c r="BA497" s="108" t="str">
        <f t="shared" si="24"/>
        <v/>
      </c>
      <c r="BB497" s="109" t="str">
        <f t="shared" si="25"/>
        <v/>
      </c>
      <c r="BC497" s="108" t="str">
        <f t="shared" si="26"/>
        <v/>
      </c>
      <c r="BD497" s="108" t="str">
        <f t="shared" si="27"/>
        <v/>
      </c>
      <c r="BE497" s="109" t="str">
        <f t="shared" si="28"/>
        <v/>
      </c>
      <c r="BF497" s="110" t="str">
        <f t="shared" si="29"/>
        <v/>
      </c>
      <c r="BG497" s="111"/>
    </row>
    <row r="498" spans="1:59" ht="12.75">
      <c r="A498" s="101"/>
      <c r="B498" s="102"/>
      <c r="C498" s="102" t="e">
        <f t="array" aca="1" ref="C498" ca="1">_xludf.XLOOKUP(A498,'QA Log'!D:D,'QA Log'!F:F,"")</f>
        <v>#NAME?</v>
      </c>
      <c r="D498" s="102"/>
      <c r="E498" s="102" t="e">
        <f t="array" aca="1" ref="E498" ca="1">_xludf.XLOOKUP(A498,'QA Log'!D:D,'QA Log'!G:G,"")</f>
        <v>#NAME?</v>
      </c>
      <c r="F498" s="103"/>
      <c r="G498" s="104"/>
      <c r="H498" s="104"/>
      <c r="I498" s="103" t="str">
        <f t="shared" si="15"/>
        <v/>
      </c>
      <c r="J498" s="102"/>
      <c r="K498" s="102"/>
      <c r="L498" s="119" t="str">
        <f t="array" ref="L498">IF(OR($B498="",$D498=""),"",
IFERROR(
  INDEX(
    'Tools &amp; Targets_Guideline'!$C$54:$I$269,
    MATCH(
      1,
      ('Tools &amp; Targets_Guideline'!$A$54:$A$269=$B498)*
      ('Tools &amp; Targets_Guideline'!$B$54:$B$269="ANC"),
      0
    ),
    MATCH(
      _xludf.IFNA(
        VLOOKUP($D498,{"PH","Provincial Hospital (H2)";"DH","District Hospital (H3)";"RH","Regional / National Hospital (H1)"},2,0),
        $D498
      ),
      'Tools &amp; Targets_Guideline'!$C$53:$I$53,
      0
    )
  ),
0))</f>
        <v/>
      </c>
      <c r="M498" s="102"/>
      <c r="N498" s="119" t="str">
        <f t="array" ref="N498">IF(OR($B498="",$D498=""),"",
IFERROR(
  INDEX(
    'Tools &amp; Targets_Guideline'!$C$54:$I$269,
    MATCH(
      1,
      ('Tools &amp; Targets_Guideline'!$A$54:$A$269=$B498)*
      ('Tools &amp; Targets_Guideline'!$B$54:$B$269="PNC"),
      0
    ),
    MATCH(
      _xludf.IFNA(
        VLOOKUP($D498,{"PH","Provincial Hospital (H2)";"DH","District Hospital (H3)";"RH","Regional / National Hospital (H1)"},2,0),
        $D498
      ),
      'Tools &amp; Targets_Guideline'!$C$53:$I$53,
      0
    )
  ),
0))</f>
        <v/>
      </c>
      <c r="O498" s="102"/>
      <c r="P498" s="119" t="str">
        <f t="array" ref="P498">IF(OR($B498="",$D498=""),"",
IFERROR(
  INDEX(
    'Tools &amp; Targets_Guideline'!$C$54:$I$269,
    MATCH(
      1,
      ('Tools &amp; Targets_Guideline'!$A$54:$A$269=$B498)*
      ('Tools &amp; Targets_Guideline'!$B$54:$B$269="Delivery"),
      0
    ),
    MATCH(
      _xludf.IFNA(
        VLOOKUP($D498,{"PH","Provincial Hospital (H2)";"DH","District Hospital (H3)";"RH","Regional / National Hospital (H1)"},2,0),
        $D498
      ),
      'Tools &amp; Targets_Guideline'!$C$53:$I$53,
      0
    )
  ),
0))</f>
        <v/>
      </c>
      <c r="Q498" s="102"/>
      <c r="R498" s="119" t="str">
        <f t="array" ref="R498">IF(OR($B498="",$D498=""),"",
IFERROR(
  INDEX(
    'Tools &amp; Targets_Guideline'!$C$54:$I$269,
    MATCH(
      1,
      ('Tools &amp; Targets_Guideline'!$A$54:$A$269=$B498)*
      ('Tools &amp; Targets_Guideline'!$B$54:$B$269="TT"),
      0
    ),
    MATCH(
      _xludf.IFNA(
        VLOOKUP($D498,{"PH","Provincial Hospital (H2)";"DH","District Hospital (H3)";"RH","Regional / National Hospital (H1)"},2,0),
        $D498
      ),
      'Tools &amp; Targets_Guideline'!$C$53:$I$53,
      0
    )
  ),
0))</f>
        <v/>
      </c>
      <c r="S498" s="102"/>
      <c r="T498" s="102"/>
      <c r="U498" s="106"/>
      <c r="V498" s="102" t="str">
        <f t="shared" si="16"/>
        <v/>
      </c>
      <c r="W498" s="102"/>
      <c r="X498" s="102"/>
      <c r="Y498" s="119" t="str">
        <f t="array" ref="Y498">IF(OR($B498="",$D498=""),"",
IFERROR(
  INDEX(
    'Tools &amp; Targets_Guideline'!$C$54:$I$269,
    MATCH(
      1,
      ('Tools &amp; Targets_Guideline'!$A$54:$A$269=$B498)*
      ('Tools &amp; Targets_Guideline'!$B$54:$B$269="GM"),
      0
    ),
    MATCH(
      _xludf.IFNA(
        VLOOKUP($D498,{"PH","Provincial Hospital (H2)";"DH","District Hospital (H3)";"RH","Regional / National Hospital (H1)"},2,0),
        $D498
      ),
      'Tools &amp; Targets_Guideline'!$C$53:$I$53,
      0
    )
  ),
0))</f>
        <v/>
      </c>
      <c r="Z498" s="102"/>
      <c r="AA498" s="119" t="str">
        <f t="array" ref="AA498">IF(OR($B498="",$D498=""),"",
IFERROR(
  INDEX(
    'Tools &amp; Targets_Guideline'!$C$54:$I$269,
    MATCH(
      1,
      ('Tools &amp; Targets_Guideline'!$A$54:$A$269=$B498)*
      ('Tools &amp; Targets_Guideline'!$B$54:$B$269="Penta"),
      0
    ),
    MATCH(
      _xludf.IFNA(
        VLOOKUP($D498,{"PH","Provincial Hospital (H2)";"DH","District Hospital (H3)";"RH","Regional / National Hospital (H1)"},2,0),
        $D498
      ),
      'Tools &amp; Targets_Guideline'!$C$53:$I$53,
      0
    )
  ),
0))</f>
        <v/>
      </c>
      <c r="AB498" s="102"/>
      <c r="AC498" s="119" t="str">
        <f t="array" ref="AC498">IF(OR($B498="",$D498=""),"",
IFERROR(
  INDEX(
    'Tools &amp; Targets_Guideline'!$C$54:$I$269,
    MATCH(
      1,
      ('Tools &amp; Targets_Guideline'!$A$54:$A$269=$B498)*
      ('Tools &amp; Targets_Guideline'!$B$54:$B$269="TB"),
      0
    ),
    MATCH(
      _xludf.IFNA(
        VLOOKUP($D498,{"PH","Provincial Hospital (H2)";"DH","District Hospital (H3)";"RH","Regional / National Hospital (H1)"},2,0),
        $D498
      ),
      'Tools &amp; Targets_Guideline'!$C$53:$I$53,
      0
    )
  ),
0))</f>
        <v/>
      </c>
      <c r="AD498" s="102"/>
      <c r="AE498" s="119" t="str">
        <f t="array" ref="AE498">IF(OR($B498="",$D498=""),"",
IFERROR(
  INDEX(
    'Tools &amp; Targets_Guideline'!$C$54:$I$269,
    MATCH(
      1,
      ('Tools &amp; Targets_Guideline'!$A$54:$A$269=$B498)*
      ('Tools &amp; Targets_Guideline'!$B$54:$B$269="U5 Morbidity"),
      0
    ),
    MATCH(
      _xludf.IFNA(
        VLOOKUP($D498,{"PH","Provincial Hospital (H2)";"DH","District Hospital (H3)";"RH","Regional / National Hospital (H1)"},2,0),
        $D498
      ),
      'Tools &amp; Targets_Guideline'!$C$53:$I$53,
      0
    )
  ),
0))</f>
        <v/>
      </c>
      <c r="AF498" s="102"/>
      <c r="AG498" s="119" t="str">
        <f t="array" ref="AG498">IF(OR($B498="",$D498=""),"",
IFERROR(
  INDEX(
    'Tools &amp; Targets_Guideline'!$C$54:$I$269,
    MATCH(
      1,
      ('Tools &amp; Targets_Guideline'!$A$54:$A$269=$B498)*
      ('Tools &amp; Targets_Guideline'!$B$54:$B$269="C-Section"),
      0
    ),
    MATCH(
      _xludf.IFNA(
        VLOOKUP($D498,{"PH","Provincial Hospital (H2)";"DH","District Hospital (H3)";"RH","Regional / National Hospital (H1)"},2,0),
        $D498
      ),
      'Tools &amp; Targets_Guideline'!$C$53:$I$53,
      0
    )
  ),
0))</f>
        <v/>
      </c>
      <c r="AH498" s="102" t="str">
        <f>IF(A498&lt;&gt;"",COUNTIFS('QA Log'!D:D,A498,'QA Log'!M:M,"QQC",'QA Log'!L:L,"2. Hygiene and Sterilization",'QA Log'!Z:Z,"Approved"),"")</f>
        <v/>
      </c>
      <c r="AI498" s="102"/>
      <c r="AJ498" s="102"/>
      <c r="AK498" s="103" t="str">
        <f t="shared" si="17"/>
        <v/>
      </c>
      <c r="AL498" s="102"/>
      <c r="AM498" s="102"/>
      <c r="AN498" s="102"/>
      <c r="AO498" s="106"/>
      <c r="AP498" s="103"/>
      <c r="AQ498" s="102"/>
      <c r="AR498" s="102"/>
      <c r="AS498" s="102"/>
      <c r="AT498" s="107"/>
      <c r="AU498" s="102" t="str">
        <f t="shared" si="18"/>
        <v/>
      </c>
      <c r="AV498" s="102" t="str">
        <f t="shared" si="19"/>
        <v/>
      </c>
      <c r="AW498" s="102" t="str">
        <f t="shared" si="20"/>
        <v/>
      </c>
      <c r="AX498" s="102" t="str">
        <f t="shared" si="21"/>
        <v/>
      </c>
      <c r="AY498" s="107" t="str">
        <f t="shared" si="22"/>
        <v/>
      </c>
      <c r="AZ498" s="108" t="str">
        <f t="shared" si="23"/>
        <v/>
      </c>
      <c r="BA498" s="108" t="str">
        <f t="shared" si="24"/>
        <v/>
      </c>
      <c r="BB498" s="109" t="str">
        <f t="shared" si="25"/>
        <v/>
      </c>
      <c r="BC498" s="108" t="str">
        <f t="shared" si="26"/>
        <v/>
      </c>
      <c r="BD498" s="108" t="str">
        <f t="shared" si="27"/>
        <v/>
      </c>
      <c r="BE498" s="109" t="str">
        <f t="shared" si="28"/>
        <v/>
      </c>
      <c r="BF498" s="110" t="str">
        <f t="shared" si="29"/>
        <v/>
      </c>
      <c r="BG498" s="111"/>
    </row>
    <row r="499" spans="1:59" ht="12.75">
      <c r="A499" s="101"/>
      <c r="B499" s="102"/>
      <c r="C499" s="102" t="e">
        <f t="array" aca="1" ref="C499" ca="1">_xludf.XLOOKUP(A499,'QA Log'!D:D,'QA Log'!F:F,"")</f>
        <v>#NAME?</v>
      </c>
      <c r="D499" s="102"/>
      <c r="E499" s="102" t="e">
        <f t="array" aca="1" ref="E499" ca="1">_xludf.XLOOKUP(A499,'QA Log'!D:D,'QA Log'!G:G,"")</f>
        <v>#NAME?</v>
      </c>
      <c r="F499" s="103"/>
      <c r="G499" s="104"/>
      <c r="H499" s="104"/>
      <c r="I499" s="103" t="str">
        <f t="shared" si="15"/>
        <v/>
      </c>
      <c r="J499" s="102"/>
      <c r="K499" s="102"/>
      <c r="L499" s="119" t="str">
        <f t="array" ref="L499">IF(OR($B499="",$D499=""),"",
IFERROR(
  INDEX(
    'Tools &amp; Targets_Guideline'!$C$54:$I$269,
    MATCH(
      1,
      ('Tools &amp; Targets_Guideline'!$A$54:$A$269=$B499)*
      ('Tools &amp; Targets_Guideline'!$B$54:$B$269="ANC"),
      0
    ),
    MATCH(
      _xludf.IFNA(
        VLOOKUP($D499,{"PH","Provincial Hospital (H2)";"DH","District Hospital (H3)";"RH","Regional / National Hospital (H1)"},2,0),
        $D499
      ),
      'Tools &amp; Targets_Guideline'!$C$53:$I$53,
      0
    )
  ),
0))</f>
        <v/>
      </c>
      <c r="M499" s="102"/>
      <c r="N499" s="119" t="str">
        <f t="array" ref="N499">IF(OR($B499="",$D499=""),"",
IFERROR(
  INDEX(
    'Tools &amp; Targets_Guideline'!$C$54:$I$269,
    MATCH(
      1,
      ('Tools &amp; Targets_Guideline'!$A$54:$A$269=$B499)*
      ('Tools &amp; Targets_Guideline'!$B$54:$B$269="PNC"),
      0
    ),
    MATCH(
      _xludf.IFNA(
        VLOOKUP($D499,{"PH","Provincial Hospital (H2)";"DH","District Hospital (H3)";"RH","Regional / National Hospital (H1)"},2,0),
        $D499
      ),
      'Tools &amp; Targets_Guideline'!$C$53:$I$53,
      0
    )
  ),
0))</f>
        <v/>
      </c>
      <c r="O499" s="102"/>
      <c r="P499" s="119" t="str">
        <f t="array" ref="P499">IF(OR($B499="",$D499=""),"",
IFERROR(
  INDEX(
    'Tools &amp; Targets_Guideline'!$C$54:$I$269,
    MATCH(
      1,
      ('Tools &amp; Targets_Guideline'!$A$54:$A$269=$B499)*
      ('Tools &amp; Targets_Guideline'!$B$54:$B$269="Delivery"),
      0
    ),
    MATCH(
      _xludf.IFNA(
        VLOOKUP($D499,{"PH","Provincial Hospital (H2)";"DH","District Hospital (H3)";"RH","Regional / National Hospital (H1)"},2,0),
        $D499
      ),
      'Tools &amp; Targets_Guideline'!$C$53:$I$53,
      0
    )
  ),
0))</f>
        <v/>
      </c>
      <c r="Q499" s="102"/>
      <c r="R499" s="119" t="str">
        <f t="array" ref="R499">IF(OR($B499="",$D499=""),"",
IFERROR(
  INDEX(
    'Tools &amp; Targets_Guideline'!$C$54:$I$269,
    MATCH(
      1,
      ('Tools &amp; Targets_Guideline'!$A$54:$A$269=$B499)*
      ('Tools &amp; Targets_Guideline'!$B$54:$B$269="TT"),
      0
    ),
    MATCH(
      _xludf.IFNA(
        VLOOKUP($D499,{"PH","Provincial Hospital (H2)";"DH","District Hospital (H3)";"RH","Regional / National Hospital (H1)"},2,0),
        $D499
      ),
      'Tools &amp; Targets_Guideline'!$C$53:$I$53,
      0
    )
  ),
0))</f>
        <v/>
      </c>
      <c r="S499" s="102"/>
      <c r="T499" s="102"/>
      <c r="U499" s="106"/>
      <c r="V499" s="102" t="str">
        <f t="shared" si="16"/>
        <v/>
      </c>
      <c r="W499" s="102"/>
      <c r="X499" s="102"/>
      <c r="Y499" s="119" t="str">
        <f t="array" ref="Y499">IF(OR($B499="",$D499=""),"",
IFERROR(
  INDEX(
    'Tools &amp; Targets_Guideline'!$C$54:$I$269,
    MATCH(
      1,
      ('Tools &amp; Targets_Guideline'!$A$54:$A$269=$B499)*
      ('Tools &amp; Targets_Guideline'!$B$54:$B$269="GM"),
      0
    ),
    MATCH(
      _xludf.IFNA(
        VLOOKUP($D499,{"PH","Provincial Hospital (H2)";"DH","District Hospital (H3)";"RH","Regional / National Hospital (H1)"},2,0),
        $D499
      ),
      'Tools &amp; Targets_Guideline'!$C$53:$I$53,
      0
    )
  ),
0))</f>
        <v/>
      </c>
      <c r="Z499" s="102"/>
      <c r="AA499" s="119" t="str">
        <f t="array" ref="AA499">IF(OR($B499="",$D499=""),"",
IFERROR(
  INDEX(
    'Tools &amp; Targets_Guideline'!$C$54:$I$269,
    MATCH(
      1,
      ('Tools &amp; Targets_Guideline'!$A$54:$A$269=$B499)*
      ('Tools &amp; Targets_Guideline'!$B$54:$B$269="Penta"),
      0
    ),
    MATCH(
      _xludf.IFNA(
        VLOOKUP($D499,{"PH","Provincial Hospital (H2)";"DH","District Hospital (H3)";"RH","Regional / National Hospital (H1)"},2,0),
        $D499
      ),
      'Tools &amp; Targets_Guideline'!$C$53:$I$53,
      0
    )
  ),
0))</f>
        <v/>
      </c>
      <c r="AB499" s="102"/>
      <c r="AC499" s="119" t="str">
        <f t="array" ref="AC499">IF(OR($B499="",$D499=""),"",
IFERROR(
  INDEX(
    'Tools &amp; Targets_Guideline'!$C$54:$I$269,
    MATCH(
      1,
      ('Tools &amp; Targets_Guideline'!$A$54:$A$269=$B499)*
      ('Tools &amp; Targets_Guideline'!$B$54:$B$269="TB"),
      0
    ),
    MATCH(
      _xludf.IFNA(
        VLOOKUP($D499,{"PH","Provincial Hospital (H2)";"DH","District Hospital (H3)";"RH","Regional / National Hospital (H1)"},2,0),
        $D499
      ),
      'Tools &amp; Targets_Guideline'!$C$53:$I$53,
      0
    )
  ),
0))</f>
        <v/>
      </c>
      <c r="AD499" s="102"/>
      <c r="AE499" s="119" t="str">
        <f t="array" ref="AE499">IF(OR($B499="",$D499=""),"",
IFERROR(
  INDEX(
    'Tools &amp; Targets_Guideline'!$C$54:$I$269,
    MATCH(
      1,
      ('Tools &amp; Targets_Guideline'!$A$54:$A$269=$B499)*
      ('Tools &amp; Targets_Guideline'!$B$54:$B$269="U5 Morbidity"),
      0
    ),
    MATCH(
      _xludf.IFNA(
        VLOOKUP($D499,{"PH","Provincial Hospital (H2)";"DH","District Hospital (H3)";"RH","Regional / National Hospital (H1)"},2,0),
        $D499
      ),
      'Tools &amp; Targets_Guideline'!$C$53:$I$53,
      0
    )
  ),
0))</f>
        <v/>
      </c>
      <c r="AF499" s="102"/>
      <c r="AG499" s="119" t="str">
        <f t="array" ref="AG499">IF(OR($B499="",$D499=""),"",
IFERROR(
  INDEX(
    'Tools &amp; Targets_Guideline'!$C$54:$I$269,
    MATCH(
      1,
      ('Tools &amp; Targets_Guideline'!$A$54:$A$269=$B499)*
      ('Tools &amp; Targets_Guideline'!$B$54:$B$269="C-Section"),
      0
    ),
    MATCH(
      _xludf.IFNA(
        VLOOKUP($D499,{"PH","Provincial Hospital (H2)";"DH","District Hospital (H3)";"RH","Regional / National Hospital (H1)"},2,0),
        $D499
      ),
      'Tools &amp; Targets_Guideline'!$C$53:$I$53,
      0
    )
  ),
0))</f>
        <v/>
      </c>
      <c r="AH499" s="102" t="str">
        <f>IF(A499&lt;&gt;"",COUNTIFS('QA Log'!D:D,A499,'QA Log'!M:M,"QQC",'QA Log'!L:L,"2. Hygiene and Sterilization",'QA Log'!Z:Z,"Approved"),"")</f>
        <v/>
      </c>
      <c r="AI499" s="102"/>
      <c r="AJ499" s="102"/>
      <c r="AK499" s="103" t="str">
        <f t="shared" si="17"/>
        <v/>
      </c>
      <c r="AL499" s="102"/>
      <c r="AM499" s="102"/>
      <c r="AN499" s="102"/>
      <c r="AO499" s="106"/>
      <c r="AP499" s="103"/>
      <c r="AQ499" s="102"/>
      <c r="AR499" s="102"/>
      <c r="AS499" s="102"/>
      <c r="AT499" s="107"/>
      <c r="AU499" s="102" t="str">
        <f t="shared" si="18"/>
        <v/>
      </c>
      <c r="AV499" s="102" t="str">
        <f t="shared" si="19"/>
        <v/>
      </c>
      <c r="AW499" s="102" t="str">
        <f t="shared" si="20"/>
        <v/>
      </c>
      <c r="AX499" s="102" t="str">
        <f t="shared" si="21"/>
        <v/>
      </c>
      <c r="AY499" s="107" t="str">
        <f t="shared" si="22"/>
        <v/>
      </c>
      <c r="AZ499" s="108" t="str">
        <f t="shared" si="23"/>
        <v/>
      </c>
      <c r="BA499" s="108" t="str">
        <f t="shared" si="24"/>
        <v/>
      </c>
      <c r="BB499" s="109" t="str">
        <f t="shared" si="25"/>
        <v/>
      </c>
      <c r="BC499" s="108" t="str">
        <f t="shared" si="26"/>
        <v/>
      </c>
      <c r="BD499" s="108" t="str">
        <f t="shared" si="27"/>
        <v/>
      </c>
      <c r="BE499" s="109" t="str">
        <f t="shared" si="28"/>
        <v/>
      </c>
      <c r="BF499" s="110" t="str">
        <f t="shared" si="29"/>
        <v/>
      </c>
      <c r="BG499" s="111"/>
    </row>
    <row r="500" spans="1:59" ht="12.75">
      <c r="A500" s="101"/>
      <c r="B500" s="102"/>
      <c r="C500" s="102" t="e">
        <f t="array" aca="1" ref="C500" ca="1">_xludf.XLOOKUP(A500,'QA Log'!D:D,'QA Log'!F:F,"")</f>
        <v>#NAME?</v>
      </c>
      <c r="D500" s="102"/>
      <c r="E500" s="102" t="e">
        <f t="array" aca="1" ref="E500" ca="1">_xludf.XLOOKUP(A500,'QA Log'!D:D,'QA Log'!G:G,"")</f>
        <v>#NAME?</v>
      </c>
      <c r="F500" s="103"/>
      <c r="G500" s="104"/>
      <c r="H500" s="104"/>
      <c r="I500" s="103" t="str">
        <f t="shared" si="15"/>
        <v/>
      </c>
      <c r="J500" s="102"/>
      <c r="K500" s="102"/>
      <c r="L500" s="119" t="str">
        <f t="array" ref="L500">IF(OR($B500="",$D500=""),"",
IFERROR(
  INDEX(
    'Tools &amp; Targets_Guideline'!$C$54:$I$269,
    MATCH(
      1,
      ('Tools &amp; Targets_Guideline'!$A$54:$A$269=$B500)*
      ('Tools &amp; Targets_Guideline'!$B$54:$B$269="ANC"),
      0
    ),
    MATCH(
      _xludf.IFNA(
        VLOOKUP($D500,{"PH","Provincial Hospital (H2)";"DH","District Hospital (H3)";"RH","Regional / National Hospital (H1)"},2,0),
        $D500
      ),
      'Tools &amp; Targets_Guideline'!$C$53:$I$53,
      0
    )
  ),
0))</f>
        <v/>
      </c>
      <c r="M500" s="102"/>
      <c r="N500" s="119" t="str">
        <f t="array" ref="N500">IF(OR($B500="",$D500=""),"",
IFERROR(
  INDEX(
    'Tools &amp; Targets_Guideline'!$C$54:$I$269,
    MATCH(
      1,
      ('Tools &amp; Targets_Guideline'!$A$54:$A$269=$B500)*
      ('Tools &amp; Targets_Guideline'!$B$54:$B$269="PNC"),
      0
    ),
    MATCH(
      _xludf.IFNA(
        VLOOKUP($D500,{"PH","Provincial Hospital (H2)";"DH","District Hospital (H3)";"RH","Regional / National Hospital (H1)"},2,0),
        $D500
      ),
      'Tools &amp; Targets_Guideline'!$C$53:$I$53,
      0
    )
  ),
0))</f>
        <v/>
      </c>
      <c r="O500" s="102"/>
      <c r="P500" s="119" t="str">
        <f t="array" ref="P500">IF(OR($B500="",$D500=""),"",
IFERROR(
  INDEX(
    'Tools &amp; Targets_Guideline'!$C$54:$I$269,
    MATCH(
      1,
      ('Tools &amp; Targets_Guideline'!$A$54:$A$269=$B500)*
      ('Tools &amp; Targets_Guideline'!$B$54:$B$269="Delivery"),
      0
    ),
    MATCH(
      _xludf.IFNA(
        VLOOKUP($D500,{"PH","Provincial Hospital (H2)";"DH","District Hospital (H3)";"RH","Regional / National Hospital (H1)"},2,0),
        $D500
      ),
      'Tools &amp; Targets_Guideline'!$C$53:$I$53,
      0
    )
  ),
0))</f>
        <v/>
      </c>
      <c r="Q500" s="102"/>
      <c r="R500" s="119" t="str">
        <f t="array" ref="R500">IF(OR($B500="",$D500=""),"",
IFERROR(
  INDEX(
    'Tools &amp; Targets_Guideline'!$C$54:$I$269,
    MATCH(
      1,
      ('Tools &amp; Targets_Guideline'!$A$54:$A$269=$B500)*
      ('Tools &amp; Targets_Guideline'!$B$54:$B$269="TT"),
      0
    ),
    MATCH(
      _xludf.IFNA(
        VLOOKUP($D500,{"PH","Provincial Hospital (H2)";"DH","District Hospital (H3)";"RH","Regional / National Hospital (H1)"},2,0),
        $D500
      ),
      'Tools &amp; Targets_Guideline'!$C$53:$I$53,
      0
    )
  ),
0))</f>
        <v/>
      </c>
      <c r="S500" s="102"/>
      <c r="T500" s="102"/>
      <c r="U500" s="106"/>
      <c r="V500" s="102" t="str">
        <f t="shared" si="16"/>
        <v/>
      </c>
      <c r="W500" s="102"/>
      <c r="X500" s="102"/>
      <c r="Y500" s="119" t="str">
        <f t="array" ref="Y500">IF(OR($B500="",$D500=""),"",
IFERROR(
  INDEX(
    'Tools &amp; Targets_Guideline'!$C$54:$I$269,
    MATCH(
      1,
      ('Tools &amp; Targets_Guideline'!$A$54:$A$269=$B500)*
      ('Tools &amp; Targets_Guideline'!$B$54:$B$269="GM"),
      0
    ),
    MATCH(
      _xludf.IFNA(
        VLOOKUP($D500,{"PH","Provincial Hospital (H2)";"DH","District Hospital (H3)";"RH","Regional / National Hospital (H1)"},2,0),
        $D500
      ),
      'Tools &amp; Targets_Guideline'!$C$53:$I$53,
      0
    )
  ),
0))</f>
        <v/>
      </c>
      <c r="Z500" s="102"/>
      <c r="AA500" s="119" t="str">
        <f t="array" ref="AA500">IF(OR($B500="",$D500=""),"",
IFERROR(
  INDEX(
    'Tools &amp; Targets_Guideline'!$C$54:$I$269,
    MATCH(
      1,
      ('Tools &amp; Targets_Guideline'!$A$54:$A$269=$B500)*
      ('Tools &amp; Targets_Guideline'!$B$54:$B$269="Penta"),
      0
    ),
    MATCH(
      _xludf.IFNA(
        VLOOKUP($D500,{"PH","Provincial Hospital (H2)";"DH","District Hospital (H3)";"RH","Regional / National Hospital (H1)"},2,0),
        $D500
      ),
      'Tools &amp; Targets_Guideline'!$C$53:$I$53,
      0
    )
  ),
0))</f>
        <v/>
      </c>
      <c r="AB500" s="102"/>
      <c r="AC500" s="119" t="str">
        <f t="array" ref="AC500">IF(OR($B500="",$D500=""),"",
IFERROR(
  INDEX(
    'Tools &amp; Targets_Guideline'!$C$54:$I$269,
    MATCH(
      1,
      ('Tools &amp; Targets_Guideline'!$A$54:$A$269=$B500)*
      ('Tools &amp; Targets_Guideline'!$B$54:$B$269="TB"),
      0
    ),
    MATCH(
      _xludf.IFNA(
        VLOOKUP($D500,{"PH","Provincial Hospital (H2)";"DH","District Hospital (H3)";"RH","Regional / National Hospital (H1)"},2,0),
        $D500
      ),
      'Tools &amp; Targets_Guideline'!$C$53:$I$53,
      0
    )
  ),
0))</f>
        <v/>
      </c>
      <c r="AD500" s="102"/>
      <c r="AE500" s="119" t="str">
        <f t="array" ref="AE500">IF(OR($B500="",$D500=""),"",
IFERROR(
  INDEX(
    'Tools &amp; Targets_Guideline'!$C$54:$I$269,
    MATCH(
      1,
      ('Tools &amp; Targets_Guideline'!$A$54:$A$269=$B500)*
      ('Tools &amp; Targets_Guideline'!$B$54:$B$269="U5 Morbidity"),
      0
    ),
    MATCH(
      _xludf.IFNA(
        VLOOKUP($D500,{"PH","Provincial Hospital (H2)";"DH","District Hospital (H3)";"RH","Regional / National Hospital (H1)"},2,0),
        $D500
      ),
      'Tools &amp; Targets_Guideline'!$C$53:$I$53,
      0
    )
  ),
0))</f>
        <v/>
      </c>
      <c r="AF500" s="102"/>
      <c r="AG500" s="119" t="str">
        <f t="array" ref="AG500">IF(OR($B500="",$D500=""),"",
IFERROR(
  INDEX(
    'Tools &amp; Targets_Guideline'!$C$54:$I$269,
    MATCH(
      1,
      ('Tools &amp; Targets_Guideline'!$A$54:$A$269=$B500)*
      ('Tools &amp; Targets_Guideline'!$B$54:$B$269="C-Section"),
      0
    ),
    MATCH(
      _xludf.IFNA(
        VLOOKUP($D500,{"PH","Provincial Hospital (H2)";"DH","District Hospital (H3)";"RH","Regional / National Hospital (H1)"},2,0),
        $D500
      ),
      'Tools &amp; Targets_Guideline'!$C$53:$I$53,
      0
    )
  ),
0))</f>
        <v/>
      </c>
      <c r="AH500" s="102" t="str">
        <f>IF(A500&lt;&gt;"",COUNTIFS('QA Log'!D:D,A500,'QA Log'!M:M,"QQC",'QA Log'!L:L,"2. Hygiene and Sterilization",'QA Log'!Z:Z,"Approved"),"")</f>
        <v/>
      </c>
      <c r="AI500" s="102"/>
      <c r="AJ500" s="102"/>
      <c r="AK500" s="103" t="str">
        <f t="shared" si="17"/>
        <v/>
      </c>
      <c r="AL500" s="102"/>
      <c r="AM500" s="102"/>
      <c r="AN500" s="102"/>
      <c r="AO500" s="106"/>
      <c r="AP500" s="103"/>
      <c r="AQ500" s="102"/>
      <c r="AR500" s="102"/>
      <c r="AS500" s="102"/>
      <c r="AT500" s="107"/>
      <c r="AU500" s="102" t="str">
        <f t="shared" si="18"/>
        <v/>
      </c>
      <c r="AV500" s="102" t="str">
        <f t="shared" si="19"/>
        <v/>
      </c>
      <c r="AW500" s="102" t="str">
        <f t="shared" si="20"/>
        <v/>
      </c>
      <c r="AX500" s="102" t="str">
        <f t="shared" si="21"/>
        <v/>
      </c>
      <c r="AY500" s="107" t="str">
        <f t="shared" si="22"/>
        <v/>
      </c>
      <c r="AZ500" s="108" t="str">
        <f t="shared" si="23"/>
        <v/>
      </c>
      <c r="BA500" s="108" t="str">
        <f t="shared" si="24"/>
        <v/>
      </c>
      <c r="BB500" s="109" t="str">
        <f t="shared" si="25"/>
        <v/>
      </c>
      <c r="BC500" s="108" t="str">
        <f t="shared" si="26"/>
        <v/>
      </c>
      <c r="BD500" s="108" t="str">
        <f t="shared" si="27"/>
        <v/>
      </c>
      <c r="BE500" s="109" t="str">
        <f t="shared" si="28"/>
        <v/>
      </c>
      <c r="BF500" s="110" t="str">
        <f t="shared" si="29"/>
        <v/>
      </c>
      <c r="BG500" s="111"/>
    </row>
    <row r="501" spans="1:59" ht="12.75">
      <c r="A501" s="101"/>
      <c r="B501" s="102"/>
      <c r="C501" s="102" t="e">
        <f t="array" aca="1" ref="C501" ca="1">_xludf.XLOOKUP(A501,'QA Log'!D:D,'QA Log'!F:F,"")</f>
        <v>#NAME?</v>
      </c>
      <c r="D501" s="102"/>
      <c r="E501" s="102" t="e">
        <f t="array" aca="1" ref="E501" ca="1">_xludf.XLOOKUP(A501,'QA Log'!D:D,'QA Log'!G:G,"")</f>
        <v>#NAME?</v>
      </c>
      <c r="F501" s="103"/>
      <c r="G501" s="104"/>
      <c r="H501" s="104"/>
      <c r="I501" s="103" t="str">
        <f t="shared" si="15"/>
        <v/>
      </c>
      <c r="J501" s="102"/>
      <c r="K501" s="102"/>
      <c r="L501" s="119" t="str">
        <f t="array" ref="L501">IF(OR($B501="",$D501=""),"",
IFERROR(
  INDEX(
    'Tools &amp; Targets_Guideline'!$C$54:$I$269,
    MATCH(
      1,
      ('Tools &amp; Targets_Guideline'!$A$54:$A$269=$B501)*
      ('Tools &amp; Targets_Guideline'!$B$54:$B$269="ANC"),
      0
    ),
    MATCH(
      _xludf.IFNA(
        VLOOKUP($D501,{"PH","Provincial Hospital (H2)";"DH","District Hospital (H3)";"RH","Regional / National Hospital (H1)"},2,0),
        $D501
      ),
      'Tools &amp; Targets_Guideline'!$C$53:$I$53,
      0
    )
  ),
0))</f>
        <v/>
      </c>
      <c r="M501" s="102"/>
      <c r="N501" s="119" t="str">
        <f t="array" ref="N501">IF(OR($B501="",$D501=""),"",
IFERROR(
  INDEX(
    'Tools &amp; Targets_Guideline'!$C$54:$I$269,
    MATCH(
      1,
      ('Tools &amp; Targets_Guideline'!$A$54:$A$269=$B501)*
      ('Tools &amp; Targets_Guideline'!$B$54:$B$269="PNC"),
      0
    ),
    MATCH(
      _xludf.IFNA(
        VLOOKUP($D501,{"PH","Provincial Hospital (H2)";"DH","District Hospital (H3)";"RH","Regional / National Hospital (H1)"},2,0),
        $D501
      ),
      'Tools &amp; Targets_Guideline'!$C$53:$I$53,
      0
    )
  ),
0))</f>
        <v/>
      </c>
      <c r="O501" s="102"/>
      <c r="P501" s="119" t="str">
        <f t="array" ref="P501">IF(OR($B501="",$D501=""),"",
IFERROR(
  INDEX(
    'Tools &amp; Targets_Guideline'!$C$54:$I$269,
    MATCH(
      1,
      ('Tools &amp; Targets_Guideline'!$A$54:$A$269=$B501)*
      ('Tools &amp; Targets_Guideline'!$B$54:$B$269="Delivery"),
      0
    ),
    MATCH(
      _xludf.IFNA(
        VLOOKUP($D501,{"PH","Provincial Hospital (H2)";"DH","District Hospital (H3)";"RH","Regional / National Hospital (H1)"},2,0),
        $D501
      ),
      'Tools &amp; Targets_Guideline'!$C$53:$I$53,
      0
    )
  ),
0))</f>
        <v/>
      </c>
      <c r="Q501" s="102"/>
      <c r="R501" s="119" t="str">
        <f t="array" ref="R501">IF(OR($B501="",$D501=""),"",
IFERROR(
  INDEX(
    'Tools &amp; Targets_Guideline'!$C$54:$I$269,
    MATCH(
      1,
      ('Tools &amp; Targets_Guideline'!$A$54:$A$269=$B501)*
      ('Tools &amp; Targets_Guideline'!$B$54:$B$269="TT"),
      0
    ),
    MATCH(
      _xludf.IFNA(
        VLOOKUP($D501,{"PH","Provincial Hospital (H2)";"DH","District Hospital (H3)";"RH","Regional / National Hospital (H1)"},2,0),
        $D501
      ),
      'Tools &amp; Targets_Guideline'!$C$53:$I$53,
      0
    )
  ),
0))</f>
        <v/>
      </c>
      <c r="S501" s="102"/>
      <c r="T501" s="102"/>
      <c r="U501" s="106"/>
      <c r="V501" s="102" t="str">
        <f t="shared" si="16"/>
        <v/>
      </c>
      <c r="W501" s="102"/>
      <c r="X501" s="102"/>
      <c r="Y501" s="119" t="str">
        <f t="array" ref="Y501">IF(OR($B501="",$D501=""),"",
IFERROR(
  INDEX(
    'Tools &amp; Targets_Guideline'!$C$54:$I$269,
    MATCH(
      1,
      ('Tools &amp; Targets_Guideline'!$A$54:$A$269=$B501)*
      ('Tools &amp; Targets_Guideline'!$B$54:$B$269="GM"),
      0
    ),
    MATCH(
      _xludf.IFNA(
        VLOOKUP($D501,{"PH","Provincial Hospital (H2)";"DH","District Hospital (H3)";"RH","Regional / National Hospital (H1)"},2,0),
        $D501
      ),
      'Tools &amp; Targets_Guideline'!$C$53:$I$53,
      0
    )
  ),
0))</f>
        <v/>
      </c>
      <c r="Z501" s="102"/>
      <c r="AA501" s="119" t="str">
        <f t="array" ref="AA501">IF(OR($B501="",$D501=""),"",
IFERROR(
  INDEX(
    'Tools &amp; Targets_Guideline'!$C$54:$I$269,
    MATCH(
      1,
      ('Tools &amp; Targets_Guideline'!$A$54:$A$269=$B501)*
      ('Tools &amp; Targets_Guideline'!$B$54:$B$269="Penta"),
      0
    ),
    MATCH(
      _xludf.IFNA(
        VLOOKUP($D501,{"PH","Provincial Hospital (H2)";"DH","District Hospital (H3)";"RH","Regional / National Hospital (H1)"},2,0),
        $D501
      ),
      'Tools &amp; Targets_Guideline'!$C$53:$I$53,
      0
    )
  ),
0))</f>
        <v/>
      </c>
      <c r="AB501" s="102"/>
      <c r="AC501" s="119" t="str">
        <f t="array" ref="AC501">IF(OR($B501="",$D501=""),"",
IFERROR(
  INDEX(
    'Tools &amp; Targets_Guideline'!$C$54:$I$269,
    MATCH(
      1,
      ('Tools &amp; Targets_Guideline'!$A$54:$A$269=$B501)*
      ('Tools &amp; Targets_Guideline'!$B$54:$B$269="TB"),
      0
    ),
    MATCH(
      _xludf.IFNA(
        VLOOKUP($D501,{"PH","Provincial Hospital (H2)";"DH","District Hospital (H3)";"RH","Regional / National Hospital (H1)"},2,0),
        $D501
      ),
      'Tools &amp; Targets_Guideline'!$C$53:$I$53,
      0
    )
  ),
0))</f>
        <v/>
      </c>
      <c r="AD501" s="102"/>
      <c r="AE501" s="119" t="str">
        <f t="array" ref="AE501">IF(OR($B501="",$D501=""),"",
IFERROR(
  INDEX(
    'Tools &amp; Targets_Guideline'!$C$54:$I$269,
    MATCH(
      1,
      ('Tools &amp; Targets_Guideline'!$A$54:$A$269=$B501)*
      ('Tools &amp; Targets_Guideline'!$B$54:$B$269="U5 Morbidity"),
      0
    ),
    MATCH(
      _xludf.IFNA(
        VLOOKUP($D501,{"PH","Provincial Hospital (H2)";"DH","District Hospital (H3)";"RH","Regional / National Hospital (H1)"},2,0),
        $D501
      ),
      'Tools &amp; Targets_Guideline'!$C$53:$I$53,
      0
    )
  ),
0))</f>
        <v/>
      </c>
      <c r="AF501" s="102"/>
      <c r="AG501" s="119" t="str">
        <f t="array" ref="AG501">IF(OR($B501="",$D501=""),"",
IFERROR(
  INDEX(
    'Tools &amp; Targets_Guideline'!$C$54:$I$269,
    MATCH(
      1,
      ('Tools &amp; Targets_Guideline'!$A$54:$A$269=$B501)*
      ('Tools &amp; Targets_Guideline'!$B$54:$B$269="C-Section"),
      0
    ),
    MATCH(
      _xludf.IFNA(
        VLOOKUP($D501,{"PH","Provincial Hospital (H2)";"DH","District Hospital (H3)";"RH","Regional / National Hospital (H1)"},2,0),
        $D501
      ),
      'Tools &amp; Targets_Guideline'!$C$53:$I$53,
      0
    )
  ),
0))</f>
        <v/>
      </c>
      <c r="AH501" s="102" t="str">
        <f>IF(A501&lt;&gt;"",COUNTIFS('QA Log'!D:D,A501,'QA Log'!M:M,"QQC",'QA Log'!L:L,"2. Hygiene and Sterilization",'QA Log'!Z:Z,"Approved"),"")</f>
        <v/>
      </c>
      <c r="AI501" s="102"/>
      <c r="AJ501" s="102"/>
      <c r="AK501" s="103" t="str">
        <f t="shared" si="17"/>
        <v/>
      </c>
      <c r="AL501" s="102"/>
      <c r="AM501" s="102"/>
      <c r="AN501" s="102"/>
      <c r="AO501" s="106"/>
      <c r="AP501" s="103"/>
      <c r="AQ501" s="102"/>
      <c r="AR501" s="102"/>
      <c r="AS501" s="102"/>
      <c r="AT501" s="107"/>
      <c r="AU501" s="102" t="str">
        <f t="shared" si="18"/>
        <v/>
      </c>
      <c r="AV501" s="102" t="str">
        <f t="shared" si="19"/>
        <v/>
      </c>
      <c r="AW501" s="102" t="str">
        <f t="shared" si="20"/>
        <v/>
      </c>
      <c r="AX501" s="102" t="str">
        <f t="shared" si="21"/>
        <v/>
      </c>
      <c r="AY501" s="107" t="str">
        <f t="shared" si="22"/>
        <v/>
      </c>
      <c r="AZ501" s="108" t="str">
        <f t="shared" si="23"/>
        <v/>
      </c>
      <c r="BA501" s="108" t="str">
        <f t="shared" si="24"/>
        <v/>
      </c>
      <c r="BB501" s="109" t="str">
        <f t="shared" si="25"/>
        <v/>
      </c>
      <c r="BC501" s="108" t="str">
        <f t="shared" si="26"/>
        <v/>
      </c>
      <c r="BD501" s="108" t="str">
        <f t="shared" si="27"/>
        <v/>
      </c>
      <c r="BE501" s="109" t="str">
        <f t="shared" si="28"/>
        <v/>
      </c>
      <c r="BF501" s="110" t="str">
        <f t="shared" si="29"/>
        <v/>
      </c>
      <c r="BG501" s="111"/>
    </row>
    <row r="502" spans="1:59" ht="12.75">
      <c r="A502" s="101"/>
      <c r="B502" s="102"/>
      <c r="C502" s="102" t="e">
        <f t="array" aca="1" ref="C502" ca="1">_xludf.XLOOKUP(A502,'QA Log'!D:D,'QA Log'!F:F,"")</f>
        <v>#NAME?</v>
      </c>
      <c r="D502" s="102"/>
      <c r="E502" s="102" t="e">
        <f t="array" aca="1" ref="E502" ca="1">_xludf.XLOOKUP(A502,'QA Log'!D:D,'QA Log'!G:G,"")</f>
        <v>#NAME?</v>
      </c>
      <c r="F502" s="103"/>
      <c r="G502" s="104"/>
      <c r="H502" s="104"/>
      <c r="I502" s="103" t="str">
        <f t="shared" si="15"/>
        <v/>
      </c>
      <c r="J502" s="102"/>
      <c r="K502" s="102"/>
      <c r="L502" s="119" t="str">
        <f t="array" ref="L502">IF(OR($B502="",$D502=""),"",
IFERROR(
  INDEX(
    'Tools &amp; Targets_Guideline'!$C$54:$I$269,
    MATCH(
      1,
      ('Tools &amp; Targets_Guideline'!$A$54:$A$269=$B502)*
      ('Tools &amp; Targets_Guideline'!$B$54:$B$269="ANC"),
      0
    ),
    MATCH(
      _xludf.IFNA(
        VLOOKUP($D502,{"PH","Provincial Hospital (H2)";"DH","District Hospital (H3)";"RH","Regional / National Hospital (H1)"},2,0),
        $D502
      ),
      'Tools &amp; Targets_Guideline'!$C$53:$I$53,
      0
    )
  ),
0))</f>
        <v/>
      </c>
      <c r="M502" s="102"/>
      <c r="N502" s="119" t="str">
        <f t="array" ref="N502">IF(OR($B502="",$D502=""),"",
IFERROR(
  INDEX(
    'Tools &amp; Targets_Guideline'!$C$54:$I$269,
    MATCH(
      1,
      ('Tools &amp; Targets_Guideline'!$A$54:$A$269=$B502)*
      ('Tools &amp; Targets_Guideline'!$B$54:$B$269="PNC"),
      0
    ),
    MATCH(
      _xludf.IFNA(
        VLOOKUP($D502,{"PH","Provincial Hospital (H2)";"DH","District Hospital (H3)";"RH","Regional / National Hospital (H1)"},2,0),
        $D502
      ),
      'Tools &amp; Targets_Guideline'!$C$53:$I$53,
      0
    )
  ),
0))</f>
        <v/>
      </c>
      <c r="O502" s="102"/>
      <c r="P502" s="119" t="str">
        <f t="array" ref="P502">IF(OR($B502="",$D502=""),"",
IFERROR(
  INDEX(
    'Tools &amp; Targets_Guideline'!$C$54:$I$269,
    MATCH(
      1,
      ('Tools &amp; Targets_Guideline'!$A$54:$A$269=$B502)*
      ('Tools &amp; Targets_Guideline'!$B$54:$B$269="Delivery"),
      0
    ),
    MATCH(
      _xludf.IFNA(
        VLOOKUP($D502,{"PH","Provincial Hospital (H2)";"DH","District Hospital (H3)";"RH","Regional / National Hospital (H1)"},2,0),
        $D502
      ),
      'Tools &amp; Targets_Guideline'!$C$53:$I$53,
      0
    )
  ),
0))</f>
        <v/>
      </c>
      <c r="Q502" s="102"/>
      <c r="R502" s="119" t="str">
        <f t="array" ref="R502">IF(OR($B502="",$D502=""),"",
IFERROR(
  INDEX(
    'Tools &amp; Targets_Guideline'!$C$54:$I$269,
    MATCH(
      1,
      ('Tools &amp; Targets_Guideline'!$A$54:$A$269=$B502)*
      ('Tools &amp; Targets_Guideline'!$B$54:$B$269="TT"),
      0
    ),
    MATCH(
      _xludf.IFNA(
        VLOOKUP($D502,{"PH","Provincial Hospital (H2)";"DH","District Hospital (H3)";"RH","Regional / National Hospital (H1)"},2,0),
        $D502
      ),
      'Tools &amp; Targets_Guideline'!$C$53:$I$53,
      0
    )
  ),
0))</f>
        <v/>
      </c>
      <c r="S502" s="102"/>
      <c r="T502" s="102"/>
      <c r="U502" s="106"/>
      <c r="V502" s="102" t="str">
        <f t="shared" si="16"/>
        <v/>
      </c>
      <c r="W502" s="102"/>
      <c r="X502" s="102"/>
      <c r="Y502" s="119" t="str">
        <f t="array" ref="Y502">IF(OR($B502="",$D502=""),"",
IFERROR(
  INDEX(
    'Tools &amp; Targets_Guideline'!$C$54:$I$269,
    MATCH(
      1,
      ('Tools &amp; Targets_Guideline'!$A$54:$A$269=$B502)*
      ('Tools &amp; Targets_Guideline'!$B$54:$B$269="GM"),
      0
    ),
    MATCH(
      _xludf.IFNA(
        VLOOKUP($D502,{"PH","Provincial Hospital (H2)";"DH","District Hospital (H3)";"RH","Regional / National Hospital (H1)"},2,0),
        $D502
      ),
      'Tools &amp; Targets_Guideline'!$C$53:$I$53,
      0
    )
  ),
0))</f>
        <v/>
      </c>
      <c r="Z502" s="102"/>
      <c r="AA502" s="119" t="str">
        <f t="array" ref="AA502">IF(OR($B502="",$D502=""),"",
IFERROR(
  INDEX(
    'Tools &amp; Targets_Guideline'!$C$54:$I$269,
    MATCH(
      1,
      ('Tools &amp; Targets_Guideline'!$A$54:$A$269=$B502)*
      ('Tools &amp; Targets_Guideline'!$B$54:$B$269="Penta"),
      0
    ),
    MATCH(
      _xludf.IFNA(
        VLOOKUP($D502,{"PH","Provincial Hospital (H2)";"DH","District Hospital (H3)";"RH","Regional / National Hospital (H1)"},2,0),
        $D502
      ),
      'Tools &amp; Targets_Guideline'!$C$53:$I$53,
      0
    )
  ),
0))</f>
        <v/>
      </c>
      <c r="AB502" s="102"/>
      <c r="AC502" s="119" t="str">
        <f t="array" ref="AC502">IF(OR($B502="",$D502=""),"",
IFERROR(
  INDEX(
    'Tools &amp; Targets_Guideline'!$C$54:$I$269,
    MATCH(
      1,
      ('Tools &amp; Targets_Guideline'!$A$54:$A$269=$B502)*
      ('Tools &amp; Targets_Guideline'!$B$54:$B$269="TB"),
      0
    ),
    MATCH(
      _xludf.IFNA(
        VLOOKUP($D502,{"PH","Provincial Hospital (H2)";"DH","District Hospital (H3)";"RH","Regional / National Hospital (H1)"},2,0),
        $D502
      ),
      'Tools &amp; Targets_Guideline'!$C$53:$I$53,
      0
    )
  ),
0))</f>
        <v/>
      </c>
      <c r="AD502" s="102"/>
      <c r="AE502" s="119" t="str">
        <f t="array" ref="AE502">IF(OR($B502="",$D502=""),"",
IFERROR(
  INDEX(
    'Tools &amp; Targets_Guideline'!$C$54:$I$269,
    MATCH(
      1,
      ('Tools &amp; Targets_Guideline'!$A$54:$A$269=$B502)*
      ('Tools &amp; Targets_Guideline'!$B$54:$B$269="U5 Morbidity"),
      0
    ),
    MATCH(
      _xludf.IFNA(
        VLOOKUP($D502,{"PH","Provincial Hospital (H2)";"DH","District Hospital (H3)";"RH","Regional / National Hospital (H1)"},2,0),
        $D502
      ),
      'Tools &amp; Targets_Guideline'!$C$53:$I$53,
      0
    )
  ),
0))</f>
        <v/>
      </c>
      <c r="AF502" s="102"/>
      <c r="AG502" s="119" t="str">
        <f t="array" ref="AG502">IF(OR($B502="",$D502=""),"",
IFERROR(
  INDEX(
    'Tools &amp; Targets_Guideline'!$C$54:$I$269,
    MATCH(
      1,
      ('Tools &amp; Targets_Guideline'!$A$54:$A$269=$B502)*
      ('Tools &amp; Targets_Guideline'!$B$54:$B$269="C-Section"),
      0
    ),
    MATCH(
      _xludf.IFNA(
        VLOOKUP($D502,{"PH","Provincial Hospital (H2)";"DH","District Hospital (H3)";"RH","Regional / National Hospital (H1)"},2,0),
        $D502
      ),
      'Tools &amp; Targets_Guideline'!$C$53:$I$53,
      0
    )
  ),
0))</f>
        <v/>
      </c>
      <c r="AH502" s="102" t="str">
        <f>IF(A502&lt;&gt;"",COUNTIFS('QA Log'!D:D,A502,'QA Log'!M:M,"QQC",'QA Log'!L:L,"2. Hygiene and Sterilization",'QA Log'!Z:Z,"Approved"),"")</f>
        <v/>
      </c>
      <c r="AI502" s="102"/>
      <c r="AJ502" s="102"/>
      <c r="AK502" s="103" t="str">
        <f t="shared" si="17"/>
        <v/>
      </c>
      <c r="AL502" s="102"/>
      <c r="AM502" s="102"/>
      <c r="AN502" s="102"/>
      <c r="AO502" s="106"/>
      <c r="AP502" s="103"/>
      <c r="AQ502" s="102"/>
      <c r="AR502" s="102"/>
      <c r="AS502" s="102"/>
      <c r="AT502" s="107"/>
      <c r="AU502" s="102" t="str">
        <f t="shared" si="18"/>
        <v/>
      </c>
      <c r="AV502" s="102" t="str">
        <f t="shared" si="19"/>
        <v/>
      </c>
      <c r="AW502" s="102" t="str">
        <f t="shared" si="20"/>
        <v/>
      </c>
      <c r="AX502" s="102" t="str">
        <f t="shared" si="21"/>
        <v/>
      </c>
      <c r="AY502" s="107" t="str">
        <f t="shared" si="22"/>
        <v/>
      </c>
      <c r="AZ502" s="108" t="str">
        <f t="shared" si="23"/>
        <v/>
      </c>
      <c r="BA502" s="108" t="str">
        <f t="shared" si="24"/>
        <v/>
      </c>
      <c r="BB502" s="109" t="str">
        <f t="shared" si="25"/>
        <v/>
      </c>
      <c r="BC502" s="108" t="str">
        <f t="shared" si="26"/>
        <v/>
      </c>
      <c r="BD502" s="108" t="str">
        <f t="shared" si="27"/>
        <v/>
      </c>
      <c r="BE502" s="109" t="str">
        <f t="shared" si="28"/>
        <v/>
      </c>
      <c r="BF502" s="110" t="str">
        <f t="shared" si="29"/>
        <v/>
      </c>
      <c r="BG502" s="111"/>
    </row>
    <row r="503" spans="1:59" ht="12.75">
      <c r="A503" s="101"/>
      <c r="B503" s="102"/>
      <c r="C503" s="102" t="e">
        <f t="array" aca="1" ref="C503" ca="1">_xludf.XLOOKUP(A503,'QA Log'!D:D,'QA Log'!F:F,"")</f>
        <v>#NAME?</v>
      </c>
      <c r="D503" s="102"/>
      <c r="E503" s="102" t="e">
        <f t="array" aca="1" ref="E503" ca="1">_xludf.XLOOKUP(A503,'QA Log'!D:D,'QA Log'!G:G,"")</f>
        <v>#NAME?</v>
      </c>
      <c r="F503" s="103"/>
      <c r="G503" s="104"/>
      <c r="H503" s="104"/>
      <c r="I503" s="103" t="str">
        <f t="shared" si="15"/>
        <v/>
      </c>
      <c r="J503" s="102"/>
      <c r="K503" s="102"/>
      <c r="L503" s="119" t="str">
        <f t="array" ref="L503">IF(OR($B503="",$D503=""),"",
IFERROR(
  INDEX(
    'Tools &amp; Targets_Guideline'!$C$54:$I$269,
    MATCH(
      1,
      ('Tools &amp; Targets_Guideline'!$A$54:$A$269=$B503)*
      ('Tools &amp; Targets_Guideline'!$B$54:$B$269="ANC"),
      0
    ),
    MATCH(
      _xludf.IFNA(
        VLOOKUP($D503,{"PH","Provincial Hospital (H2)";"DH","District Hospital (H3)";"RH","Regional / National Hospital (H1)"},2,0),
        $D503
      ),
      'Tools &amp; Targets_Guideline'!$C$53:$I$53,
      0
    )
  ),
0))</f>
        <v/>
      </c>
      <c r="M503" s="102"/>
      <c r="N503" s="119" t="str">
        <f t="array" ref="N503">IF(OR($B503="",$D503=""),"",
IFERROR(
  INDEX(
    'Tools &amp; Targets_Guideline'!$C$54:$I$269,
    MATCH(
      1,
      ('Tools &amp; Targets_Guideline'!$A$54:$A$269=$B503)*
      ('Tools &amp; Targets_Guideline'!$B$54:$B$269="PNC"),
      0
    ),
    MATCH(
      _xludf.IFNA(
        VLOOKUP($D503,{"PH","Provincial Hospital (H2)";"DH","District Hospital (H3)";"RH","Regional / National Hospital (H1)"},2,0),
        $D503
      ),
      'Tools &amp; Targets_Guideline'!$C$53:$I$53,
      0
    )
  ),
0))</f>
        <v/>
      </c>
      <c r="O503" s="102"/>
      <c r="P503" s="119" t="str">
        <f t="array" ref="P503">IF(OR($B503="",$D503=""),"",
IFERROR(
  INDEX(
    'Tools &amp; Targets_Guideline'!$C$54:$I$269,
    MATCH(
      1,
      ('Tools &amp; Targets_Guideline'!$A$54:$A$269=$B503)*
      ('Tools &amp; Targets_Guideline'!$B$54:$B$269="Delivery"),
      0
    ),
    MATCH(
      _xludf.IFNA(
        VLOOKUP($D503,{"PH","Provincial Hospital (H2)";"DH","District Hospital (H3)";"RH","Regional / National Hospital (H1)"},2,0),
        $D503
      ),
      'Tools &amp; Targets_Guideline'!$C$53:$I$53,
      0
    )
  ),
0))</f>
        <v/>
      </c>
      <c r="Q503" s="102"/>
      <c r="R503" s="119" t="str">
        <f t="array" ref="R503">IF(OR($B503="",$D503=""),"",
IFERROR(
  INDEX(
    'Tools &amp; Targets_Guideline'!$C$54:$I$269,
    MATCH(
      1,
      ('Tools &amp; Targets_Guideline'!$A$54:$A$269=$B503)*
      ('Tools &amp; Targets_Guideline'!$B$54:$B$269="TT"),
      0
    ),
    MATCH(
      _xludf.IFNA(
        VLOOKUP($D503,{"PH","Provincial Hospital (H2)";"DH","District Hospital (H3)";"RH","Regional / National Hospital (H1)"},2,0),
        $D503
      ),
      'Tools &amp; Targets_Guideline'!$C$53:$I$53,
      0
    )
  ),
0))</f>
        <v/>
      </c>
      <c r="S503" s="102"/>
      <c r="T503" s="102"/>
      <c r="U503" s="106"/>
      <c r="V503" s="102" t="str">
        <f t="shared" si="16"/>
        <v/>
      </c>
      <c r="W503" s="102"/>
      <c r="X503" s="102"/>
      <c r="Y503" s="119" t="str">
        <f t="array" ref="Y503">IF(OR($B503="",$D503=""),"",
IFERROR(
  INDEX(
    'Tools &amp; Targets_Guideline'!$C$54:$I$269,
    MATCH(
      1,
      ('Tools &amp; Targets_Guideline'!$A$54:$A$269=$B503)*
      ('Tools &amp; Targets_Guideline'!$B$54:$B$269="GM"),
      0
    ),
    MATCH(
      _xludf.IFNA(
        VLOOKUP($D503,{"PH","Provincial Hospital (H2)";"DH","District Hospital (H3)";"RH","Regional / National Hospital (H1)"},2,0),
        $D503
      ),
      'Tools &amp; Targets_Guideline'!$C$53:$I$53,
      0
    )
  ),
0))</f>
        <v/>
      </c>
      <c r="Z503" s="102"/>
      <c r="AA503" s="119" t="str">
        <f t="array" ref="AA503">IF(OR($B503="",$D503=""),"",
IFERROR(
  INDEX(
    'Tools &amp; Targets_Guideline'!$C$54:$I$269,
    MATCH(
      1,
      ('Tools &amp; Targets_Guideline'!$A$54:$A$269=$B503)*
      ('Tools &amp; Targets_Guideline'!$B$54:$B$269="Penta"),
      0
    ),
    MATCH(
      _xludf.IFNA(
        VLOOKUP($D503,{"PH","Provincial Hospital (H2)";"DH","District Hospital (H3)";"RH","Regional / National Hospital (H1)"},2,0),
        $D503
      ),
      'Tools &amp; Targets_Guideline'!$C$53:$I$53,
      0
    )
  ),
0))</f>
        <v/>
      </c>
      <c r="AB503" s="102"/>
      <c r="AC503" s="119" t="str">
        <f t="array" ref="AC503">IF(OR($B503="",$D503=""),"",
IFERROR(
  INDEX(
    'Tools &amp; Targets_Guideline'!$C$54:$I$269,
    MATCH(
      1,
      ('Tools &amp; Targets_Guideline'!$A$54:$A$269=$B503)*
      ('Tools &amp; Targets_Guideline'!$B$54:$B$269="TB"),
      0
    ),
    MATCH(
      _xludf.IFNA(
        VLOOKUP($D503,{"PH","Provincial Hospital (H2)";"DH","District Hospital (H3)";"RH","Regional / National Hospital (H1)"},2,0),
        $D503
      ),
      'Tools &amp; Targets_Guideline'!$C$53:$I$53,
      0
    )
  ),
0))</f>
        <v/>
      </c>
      <c r="AD503" s="102"/>
      <c r="AE503" s="119" t="str">
        <f t="array" ref="AE503">IF(OR($B503="",$D503=""),"",
IFERROR(
  INDEX(
    'Tools &amp; Targets_Guideline'!$C$54:$I$269,
    MATCH(
      1,
      ('Tools &amp; Targets_Guideline'!$A$54:$A$269=$B503)*
      ('Tools &amp; Targets_Guideline'!$B$54:$B$269="U5 Morbidity"),
      0
    ),
    MATCH(
      _xludf.IFNA(
        VLOOKUP($D503,{"PH","Provincial Hospital (H2)";"DH","District Hospital (H3)";"RH","Regional / National Hospital (H1)"},2,0),
        $D503
      ),
      'Tools &amp; Targets_Guideline'!$C$53:$I$53,
      0
    )
  ),
0))</f>
        <v/>
      </c>
      <c r="AF503" s="102"/>
      <c r="AG503" s="119" t="str">
        <f t="array" ref="AG503">IF(OR($B503="",$D503=""),"",
IFERROR(
  INDEX(
    'Tools &amp; Targets_Guideline'!$C$54:$I$269,
    MATCH(
      1,
      ('Tools &amp; Targets_Guideline'!$A$54:$A$269=$B503)*
      ('Tools &amp; Targets_Guideline'!$B$54:$B$269="C-Section"),
      0
    ),
    MATCH(
      _xludf.IFNA(
        VLOOKUP($D503,{"PH","Provincial Hospital (H2)";"DH","District Hospital (H3)";"RH","Regional / National Hospital (H1)"},2,0),
        $D503
      ),
      'Tools &amp; Targets_Guideline'!$C$53:$I$53,
      0
    )
  ),
0))</f>
        <v/>
      </c>
      <c r="AH503" s="102" t="str">
        <f>IF(A503&lt;&gt;"",COUNTIFS('QA Log'!D:D,A503,'QA Log'!M:M,"QQC",'QA Log'!L:L,"2. Hygiene and Sterilization",'QA Log'!Z:Z,"Approved"),"")</f>
        <v/>
      </c>
      <c r="AI503" s="102"/>
      <c r="AJ503" s="102"/>
      <c r="AK503" s="103" t="str">
        <f t="shared" si="17"/>
        <v/>
      </c>
      <c r="AL503" s="102"/>
      <c r="AM503" s="102"/>
      <c r="AN503" s="102"/>
      <c r="AO503" s="106"/>
      <c r="AP503" s="103"/>
      <c r="AQ503" s="102"/>
      <c r="AR503" s="102"/>
      <c r="AS503" s="102"/>
      <c r="AT503" s="107"/>
      <c r="AU503" s="102" t="str">
        <f t="shared" si="18"/>
        <v/>
      </c>
      <c r="AV503" s="102" t="str">
        <f t="shared" si="19"/>
        <v/>
      </c>
      <c r="AW503" s="102" t="str">
        <f t="shared" si="20"/>
        <v/>
      </c>
      <c r="AX503" s="102" t="str">
        <f t="shared" si="21"/>
        <v/>
      </c>
      <c r="AY503" s="107" t="str">
        <f t="shared" si="22"/>
        <v/>
      </c>
      <c r="AZ503" s="108" t="str">
        <f t="shared" si="23"/>
        <v/>
      </c>
      <c r="BA503" s="108" t="str">
        <f t="shared" si="24"/>
        <v/>
      </c>
      <c r="BB503" s="109" t="str">
        <f t="shared" si="25"/>
        <v/>
      </c>
      <c r="BC503" s="108" t="str">
        <f t="shared" si="26"/>
        <v/>
      </c>
      <c r="BD503" s="108" t="str">
        <f t="shared" si="27"/>
        <v/>
      </c>
      <c r="BE503" s="109" t="str">
        <f t="shared" si="28"/>
        <v/>
      </c>
      <c r="BF503" s="110" t="str">
        <f t="shared" si="29"/>
        <v/>
      </c>
      <c r="BG503" s="111"/>
    </row>
    <row r="504" spans="1:59" ht="12.75">
      <c r="A504" s="101"/>
      <c r="B504" s="102"/>
      <c r="C504" s="102" t="e">
        <f t="array" aca="1" ref="C504" ca="1">_xludf.XLOOKUP(A504,'QA Log'!D:D,'QA Log'!F:F,"")</f>
        <v>#NAME?</v>
      </c>
      <c r="D504" s="102"/>
      <c r="E504" s="102" t="e">
        <f t="array" aca="1" ref="E504" ca="1">_xludf.XLOOKUP(A504,'QA Log'!D:D,'QA Log'!G:G,"")</f>
        <v>#NAME?</v>
      </c>
      <c r="F504" s="103"/>
      <c r="G504" s="104"/>
      <c r="H504" s="104"/>
      <c r="I504" s="103" t="str">
        <f t="shared" si="15"/>
        <v/>
      </c>
      <c r="J504" s="102"/>
      <c r="K504" s="102"/>
      <c r="L504" s="119" t="str">
        <f t="array" ref="L504">IF(OR($B504="",$D504=""),"",
IFERROR(
  INDEX(
    'Tools &amp; Targets_Guideline'!$C$54:$I$269,
    MATCH(
      1,
      ('Tools &amp; Targets_Guideline'!$A$54:$A$269=$B504)*
      ('Tools &amp; Targets_Guideline'!$B$54:$B$269="ANC"),
      0
    ),
    MATCH(
      _xludf.IFNA(
        VLOOKUP($D504,{"PH","Provincial Hospital (H2)";"DH","District Hospital (H3)";"RH","Regional / National Hospital (H1)"},2,0),
        $D504
      ),
      'Tools &amp; Targets_Guideline'!$C$53:$I$53,
      0
    )
  ),
0))</f>
        <v/>
      </c>
      <c r="M504" s="102"/>
      <c r="N504" s="119" t="str">
        <f t="array" ref="N504">IF(OR($B504="",$D504=""),"",
IFERROR(
  INDEX(
    'Tools &amp; Targets_Guideline'!$C$54:$I$269,
    MATCH(
      1,
      ('Tools &amp; Targets_Guideline'!$A$54:$A$269=$B504)*
      ('Tools &amp; Targets_Guideline'!$B$54:$B$269="PNC"),
      0
    ),
    MATCH(
      _xludf.IFNA(
        VLOOKUP($D504,{"PH","Provincial Hospital (H2)";"DH","District Hospital (H3)";"RH","Regional / National Hospital (H1)"},2,0),
        $D504
      ),
      'Tools &amp; Targets_Guideline'!$C$53:$I$53,
      0
    )
  ),
0))</f>
        <v/>
      </c>
      <c r="O504" s="102"/>
      <c r="P504" s="119" t="str">
        <f t="array" ref="P504">IF(OR($B504="",$D504=""),"",
IFERROR(
  INDEX(
    'Tools &amp; Targets_Guideline'!$C$54:$I$269,
    MATCH(
      1,
      ('Tools &amp; Targets_Guideline'!$A$54:$A$269=$B504)*
      ('Tools &amp; Targets_Guideline'!$B$54:$B$269="Delivery"),
      0
    ),
    MATCH(
      _xludf.IFNA(
        VLOOKUP($D504,{"PH","Provincial Hospital (H2)";"DH","District Hospital (H3)";"RH","Regional / National Hospital (H1)"},2,0),
        $D504
      ),
      'Tools &amp; Targets_Guideline'!$C$53:$I$53,
      0
    )
  ),
0))</f>
        <v/>
      </c>
      <c r="Q504" s="102"/>
      <c r="R504" s="119" t="str">
        <f t="array" ref="R504">IF(OR($B504="",$D504=""),"",
IFERROR(
  INDEX(
    'Tools &amp; Targets_Guideline'!$C$54:$I$269,
    MATCH(
      1,
      ('Tools &amp; Targets_Guideline'!$A$54:$A$269=$B504)*
      ('Tools &amp; Targets_Guideline'!$B$54:$B$269="TT"),
      0
    ),
    MATCH(
      _xludf.IFNA(
        VLOOKUP($D504,{"PH","Provincial Hospital (H2)";"DH","District Hospital (H3)";"RH","Regional / National Hospital (H1)"},2,0),
        $D504
      ),
      'Tools &amp; Targets_Guideline'!$C$53:$I$53,
      0
    )
  ),
0))</f>
        <v/>
      </c>
      <c r="S504" s="102"/>
      <c r="T504" s="102"/>
      <c r="U504" s="106"/>
      <c r="V504" s="102" t="str">
        <f t="shared" si="16"/>
        <v/>
      </c>
      <c r="W504" s="102"/>
      <c r="X504" s="102"/>
      <c r="Y504" s="119" t="str">
        <f t="array" ref="Y504">IF(OR($B504="",$D504=""),"",
IFERROR(
  INDEX(
    'Tools &amp; Targets_Guideline'!$C$54:$I$269,
    MATCH(
      1,
      ('Tools &amp; Targets_Guideline'!$A$54:$A$269=$B504)*
      ('Tools &amp; Targets_Guideline'!$B$54:$B$269="GM"),
      0
    ),
    MATCH(
      _xludf.IFNA(
        VLOOKUP($D504,{"PH","Provincial Hospital (H2)";"DH","District Hospital (H3)";"RH","Regional / National Hospital (H1)"},2,0),
        $D504
      ),
      'Tools &amp; Targets_Guideline'!$C$53:$I$53,
      0
    )
  ),
0))</f>
        <v/>
      </c>
      <c r="Z504" s="102"/>
      <c r="AA504" s="119" t="str">
        <f t="array" ref="AA504">IF(OR($B504="",$D504=""),"",
IFERROR(
  INDEX(
    'Tools &amp; Targets_Guideline'!$C$54:$I$269,
    MATCH(
      1,
      ('Tools &amp; Targets_Guideline'!$A$54:$A$269=$B504)*
      ('Tools &amp; Targets_Guideline'!$B$54:$B$269="Penta"),
      0
    ),
    MATCH(
      _xludf.IFNA(
        VLOOKUP($D504,{"PH","Provincial Hospital (H2)";"DH","District Hospital (H3)";"RH","Regional / National Hospital (H1)"},2,0),
        $D504
      ),
      'Tools &amp; Targets_Guideline'!$C$53:$I$53,
      0
    )
  ),
0))</f>
        <v/>
      </c>
      <c r="AB504" s="102"/>
      <c r="AC504" s="119" t="str">
        <f t="array" ref="AC504">IF(OR($B504="",$D504=""),"",
IFERROR(
  INDEX(
    'Tools &amp; Targets_Guideline'!$C$54:$I$269,
    MATCH(
      1,
      ('Tools &amp; Targets_Guideline'!$A$54:$A$269=$B504)*
      ('Tools &amp; Targets_Guideline'!$B$54:$B$269="TB"),
      0
    ),
    MATCH(
      _xludf.IFNA(
        VLOOKUP($D504,{"PH","Provincial Hospital (H2)";"DH","District Hospital (H3)";"RH","Regional / National Hospital (H1)"},2,0),
        $D504
      ),
      'Tools &amp; Targets_Guideline'!$C$53:$I$53,
      0
    )
  ),
0))</f>
        <v/>
      </c>
      <c r="AD504" s="102"/>
      <c r="AE504" s="119" t="str">
        <f t="array" ref="AE504">IF(OR($B504="",$D504=""),"",
IFERROR(
  INDEX(
    'Tools &amp; Targets_Guideline'!$C$54:$I$269,
    MATCH(
      1,
      ('Tools &amp; Targets_Guideline'!$A$54:$A$269=$B504)*
      ('Tools &amp; Targets_Guideline'!$B$54:$B$269="U5 Morbidity"),
      0
    ),
    MATCH(
      _xludf.IFNA(
        VLOOKUP($D504,{"PH","Provincial Hospital (H2)";"DH","District Hospital (H3)";"RH","Regional / National Hospital (H1)"},2,0),
        $D504
      ),
      'Tools &amp; Targets_Guideline'!$C$53:$I$53,
      0
    )
  ),
0))</f>
        <v/>
      </c>
      <c r="AF504" s="102"/>
      <c r="AG504" s="119" t="str">
        <f t="array" ref="AG504">IF(OR($B504="",$D504=""),"",
IFERROR(
  INDEX(
    'Tools &amp; Targets_Guideline'!$C$54:$I$269,
    MATCH(
      1,
      ('Tools &amp; Targets_Guideline'!$A$54:$A$269=$B504)*
      ('Tools &amp; Targets_Guideline'!$B$54:$B$269="C-Section"),
      0
    ),
    MATCH(
      _xludf.IFNA(
        VLOOKUP($D504,{"PH","Provincial Hospital (H2)";"DH","District Hospital (H3)";"RH","Regional / National Hospital (H1)"},2,0),
        $D504
      ),
      'Tools &amp; Targets_Guideline'!$C$53:$I$53,
      0
    )
  ),
0))</f>
        <v/>
      </c>
      <c r="AH504" s="102" t="str">
        <f>IF(A504&lt;&gt;"",COUNTIFS('QA Log'!D:D,A504,'QA Log'!M:M,"QQC",'QA Log'!L:L,"2. Hygiene and Sterilization",'QA Log'!Z:Z,"Approved"),"")</f>
        <v/>
      </c>
      <c r="AI504" s="102"/>
      <c r="AJ504" s="102"/>
      <c r="AK504" s="103" t="str">
        <f t="shared" si="17"/>
        <v/>
      </c>
      <c r="AL504" s="102"/>
      <c r="AM504" s="102"/>
      <c r="AN504" s="102"/>
      <c r="AO504" s="106"/>
      <c r="AP504" s="103"/>
      <c r="AQ504" s="102"/>
      <c r="AR504" s="102"/>
      <c r="AS504" s="102"/>
      <c r="AT504" s="107"/>
      <c r="AU504" s="102" t="str">
        <f t="shared" si="18"/>
        <v/>
      </c>
      <c r="AV504" s="102" t="str">
        <f t="shared" si="19"/>
        <v/>
      </c>
      <c r="AW504" s="102" t="str">
        <f t="shared" si="20"/>
        <v/>
      </c>
      <c r="AX504" s="102" t="str">
        <f t="shared" si="21"/>
        <v/>
      </c>
      <c r="AY504" s="107" t="str">
        <f t="shared" si="22"/>
        <v/>
      </c>
      <c r="AZ504" s="108" t="str">
        <f t="shared" si="23"/>
        <v/>
      </c>
      <c r="BA504" s="108" t="str">
        <f t="shared" si="24"/>
        <v/>
      </c>
      <c r="BB504" s="109" t="str">
        <f t="shared" si="25"/>
        <v/>
      </c>
      <c r="BC504" s="108" t="str">
        <f t="shared" si="26"/>
        <v/>
      </c>
      <c r="BD504" s="108" t="str">
        <f t="shared" si="27"/>
        <v/>
      </c>
      <c r="BE504" s="109" t="str">
        <f t="shared" si="28"/>
        <v/>
      </c>
      <c r="BF504" s="110" t="str">
        <f t="shared" si="29"/>
        <v/>
      </c>
      <c r="BG504" s="111"/>
    </row>
    <row r="505" spans="1:59" ht="12.75">
      <c r="A505" s="101"/>
      <c r="B505" s="102"/>
      <c r="C505" s="102" t="e">
        <f t="array" aca="1" ref="C505" ca="1">_xludf.XLOOKUP(A505,'QA Log'!D:D,'QA Log'!F:F,"")</f>
        <v>#NAME?</v>
      </c>
      <c r="D505" s="102"/>
      <c r="E505" s="102" t="e">
        <f t="array" aca="1" ref="E505" ca="1">_xludf.XLOOKUP(A505,'QA Log'!D:D,'QA Log'!G:G,"")</f>
        <v>#NAME?</v>
      </c>
      <c r="F505" s="103"/>
      <c r="G505" s="104"/>
      <c r="H505" s="104"/>
      <c r="I505" s="103" t="str">
        <f t="shared" si="15"/>
        <v/>
      </c>
      <c r="J505" s="102"/>
      <c r="K505" s="102"/>
      <c r="L505" s="119" t="str">
        <f t="array" ref="L505">IF(OR($B505="",$D505=""),"",
IFERROR(
  INDEX(
    'Tools &amp; Targets_Guideline'!$C$54:$I$269,
    MATCH(
      1,
      ('Tools &amp; Targets_Guideline'!$A$54:$A$269=$B505)*
      ('Tools &amp; Targets_Guideline'!$B$54:$B$269="ANC"),
      0
    ),
    MATCH(
      _xludf.IFNA(
        VLOOKUP($D505,{"PH","Provincial Hospital (H2)";"DH","District Hospital (H3)";"RH","Regional / National Hospital (H1)"},2,0),
        $D505
      ),
      'Tools &amp; Targets_Guideline'!$C$53:$I$53,
      0
    )
  ),
0))</f>
        <v/>
      </c>
      <c r="M505" s="102"/>
      <c r="N505" s="119" t="str">
        <f t="array" ref="N505">IF(OR($B505="",$D505=""),"",
IFERROR(
  INDEX(
    'Tools &amp; Targets_Guideline'!$C$54:$I$269,
    MATCH(
      1,
      ('Tools &amp; Targets_Guideline'!$A$54:$A$269=$B505)*
      ('Tools &amp; Targets_Guideline'!$B$54:$B$269="PNC"),
      0
    ),
    MATCH(
      _xludf.IFNA(
        VLOOKUP($D505,{"PH","Provincial Hospital (H2)";"DH","District Hospital (H3)";"RH","Regional / National Hospital (H1)"},2,0),
        $D505
      ),
      'Tools &amp; Targets_Guideline'!$C$53:$I$53,
      0
    )
  ),
0))</f>
        <v/>
      </c>
      <c r="O505" s="102"/>
      <c r="P505" s="119" t="str">
        <f t="array" ref="P505">IF(OR($B505="",$D505=""),"",
IFERROR(
  INDEX(
    'Tools &amp; Targets_Guideline'!$C$54:$I$269,
    MATCH(
      1,
      ('Tools &amp; Targets_Guideline'!$A$54:$A$269=$B505)*
      ('Tools &amp; Targets_Guideline'!$B$54:$B$269="Delivery"),
      0
    ),
    MATCH(
      _xludf.IFNA(
        VLOOKUP($D505,{"PH","Provincial Hospital (H2)";"DH","District Hospital (H3)";"RH","Regional / National Hospital (H1)"},2,0),
        $D505
      ),
      'Tools &amp; Targets_Guideline'!$C$53:$I$53,
      0
    )
  ),
0))</f>
        <v/>
      </c>
      <c r="Q505" s="102"/>
      <c r="R505" s="119" t="str">
        <f t="array" ref="R505">IF(OR($B505="",$D505=""),"",
IFERROR(
  INDEX(
    'Tools &amp; Targets_Guideline'!$C$54:$I$269,
    MATCH(
      1,
      ('Tools &amp; Targets_Guideline'!$A$54:$A$269=$B505)*
      ('Tools &amp; Targets_Guideline'!$B$54:$B$269="TT"),
      0
    ),
    MATCH(
      _xludf.IFNA(
        VLOOKUP($D505,{"PH","Provincial Hospital (H2)";"DH","District Hospital (H3)";"RH","Regional / National Hospital (H1)"},2,0),
        $D505
      ),
      'Tools &amp; Targets_Guideline'!$C$53:$I$53,
      0
    )
  ),
0))</f>
        <v/>
      </c>
      <c r="S505" s="102"/>
      <c r="T505" s="102"/>
      <c r="U505" s="106"/>
      <c r="V505" s="102" t="str">
        <f t="shared" si="16"/>
        <v/>
      </c>
      <c r="W505" s="102"/>
      <c r="X505" s="102"/>
      <c r="Y505" s="119" t="str">
        <f t="array" ref="Y505">IF(OR($B505="",$D505=""),"",
IFERROR(
  INDEX(
    'Tools &amp; Targets_Guideline'!$C$54:$I$269,
    MATCH(
      1,
      ('Tools &amp; Targets_Guideline'!$A$54:$A$269=$B505)*
      ('Tools &amp; Targets_Guideline'!$B$54:$B$269="GM"),
      0
    ),
    MATCH(
      _xludf.IFNA(
        VLOOKUP($D505,{"PH","Provincial Hospital (H2)";"DH","District Hospital (H3)";"RH","Regional / National Hospital (H1)"},2,0),
        $D505
      ),
      'Tools &amp; Targets_Guideline'!$C$53:$I$53,
      0
    )
  ),
0))</f>
        <v/>
      </c>
      <c r="Z505" s="102"/>
      <c r="AA505" s="119" t="str">
        <f t="array" ref="AA505">IF(OR($B505="",$D505=""),"",
IFERROR(
  INDEX(
    'Tools &amp; Targets_Guideline'!$C$54:$I$269,
    MATCH(
      1,
      ('Tools &amp; Targets_Guideline'!$A$54:$A$269=$B505)*
      ('Tools &amp; Targets_Guideline'!$B$54:$B$269="Penta"),
      0
    ),
    MATCH(
      _xludf.IFNA(
        VLOOKUP($D505,{"PH","Provincial Hospital (H2)";"DH","District Hospital (H3)";"RH","Regional / National Hospital (H1)"},2,0),
        $D505
      ),
      'Tools &amp; Targets_Guideline'!$C$53:$I$53,
      0
    )
  ),
0))</f>
        <v/>
      </c>
      <c r="AB505" s="102"/>
      <c r="AC505" s="119" t="str">
        <f t="array" ref="AC505">IF(OR($B505="",$D505=""),"",
IFERROR(
  INDEX(
    'Tools &amp; Targets_Guideline'!$C$54:$I$269,
    MATCH(
      1,
      ('Tools &amp; Targets_Guideline'!$A$54:$A$269=$B505)*
      ('Tools &amp; Targets_Guideline'!$B$54:$B$269="TB"),
      0
    ),
    MATCH(
      _xludf.IFNA(
        VLOOKUP($D505,{"PH","Provincial Hospital (H2)";"DH","District Hospital (H3)";"RH","Regional / National Hospital (H1)"},2,0),
        $D505
      ),
      'Tools &amp; Targets_Guideline'!$C$53:$I$53,
      0
    )
  ),
0))</f>
        <v/>
      </c>
      <c r="AD505" s="102"/>
      <c r="AE505" s="119" t="str">
        <f t="array" ref="AE505">IF(OR($B505="",$D505=""),"",
IFERROR(
  INDEX(
    'Tools &amp; Targets_Guideline'!$C$54:$I$269,
    MATCH(
      1,
      ('Tools &amp; Targets_Guideline'!$A$54:$A$269=$B505)*
      ('Tools &amp; Targets_Guideline'!$B$54:$B$269="U5 Morbidity"),
      0
    ),
    MATCH(
      _xludf.IFNA(
        VLOOKUP($D505,{"PH","Provincial Hospital (H2)";"DH","District Hospital (H3)";"RH","Regional / National Hospital (H1)"},2,0),
        $D505
      ),
      'Tools &amp; Targets_Guideline'!$C$53:$I$53,
      0
    )
  ),
0))</f>
        <v/>
      </c>
      <c r="AF505" s="102"/>
      <c r="AG505" s="119" t="str">
        <f t="array" ref="AG505">IF(OR($B505="",$D505=""),"",
IFERROR(
  INDEX(
    'Tools &amp; Targets_Guideline'!$C$54:$I$269,
    MATCH(
      1,
      ('Tools &amp; Targets_Guideline'!$A$54:$A$269=$B505)*
      ('Tools &amp; Targets_Guideline'!$B$54:$B$269="C-Section"),
      0
    ),
    MATCH(
      _xludf.IFNA(
        VLOOKUP($D505,{"PH","Provincial Hospital (H2)";"DH","District Hospital (H3)";"RH","Regional / National Hospital (H1)"},2,0),
        $D505
      ),
      'Tools &amp; Targets_Guideline'!$C$53:$I$53,
      0
    )
  ),
0))</f>
        <v/>
      </c>
      <c r="AH505" s="102" t="str">
        <f>IF(A505&lt;&gt;"",COUNTIFS('QA Log'!D:D,A505,'QA Log'!M:M,"QQC",'QA Log'!L:L,"2. Hygiene and Sterilization",'QA Log'!Z:Z,"Approved"),"")</f>
        <v/>
      </c>
      <c r="AI505" s="102"/>
      <c r="AJ505" s="102"/>
      <c r="AK505" s="103" t="str">
        <f t="shared" si="17"/>
        <v/>
      </c>
      <c r="AL505" s="102"/>
      <c r="AM505" s="102"/>
      <c r="AN505" s="102"/>
      <c r="AO505" s="106"/>
      <c r="AP505" s="103"/>
      <c r="AQ505" s="102"/>
      <c r="AR505" s="102"/>
      <c r="AS505" s="102"/>
      <c r="AT505" s="107"/>
      <c r="AU505" s="102" t="str">
        <f t="shared" si="18"/>
        <v/>
      </c>
      <c r="AV505" s="102" t="str">
        <f t="shared" si="19"/>
        <v/>
      </c>
      <c r="AW505" s="102" t="str">
        <f t="shared" si="20"/>
        <v/>
      </c>
      <c r="AX505" s="102" t="str">
        <f t="shared" si="21"/>
        <v/>
      </c>
      <c r="AY505" s="107" t="str">
        <f t="shared" si="22"/>
        <v/>
      </c>
      <c r="AZ505" s="108" t="str">
        <f t="shared" si="23"/>
        <v/>
      </c>
      <c r="BA505" s="108" t="str">
        <f t="shared" si="24"/>
        <v/>
      </c>
      <c r="BB505" s="109" t="str">
        <f t="shared" si="25"/>
        <v/>
      </c>
      <c r="BC505" s="108" t="str">
        <f t="shared" si="26"/>
        <v/>
      </c>
      <c r="BD505" s="108" t="str">
        <f t="shared" si="27"/>
        <v/>
      </c>
      <c r="BE505" s="109" t="str">
        <f t="shared" si="28"/>
        <v/>
      </c>
      <c r="BF505" s="110" t="str">
        <f t="shared" si="29"/>
        <v/>
      </c>
      <c r="BG505" s="111"/>
    </row>
    <row r="506" spans="1:59" ht="12.75">
      <c r="A506" s="101"/>
      <c r="B506" s="102"/>
      <c r="C506" s="102" t="e">
        <f t="array" aca="1" ref="C506" ca="1">_xludf.XLOOKUP(A506,'QA Log'!D:D,'QA Log'!F:F,"")</f>
        <v>#NAME?</v>
      </c>
      <c r="D506" s="102"/>
      <c r="E506" s="102" t="e">
        <f t="array" aca="1" ref="E506" ca="1">_xludf.XLOOKUP(A506,'QA Log'!D:D,'QA Log'!G:G,"")</f>
        <v>#NAME?</v>
      </c>
      <c r="F506" s="103"/>
      <c r="G506" s="104"/>
      <c r="H506" s="104"/>
      <c r="I506" s="103" t="str">
        <f t="shared" si="15"/>
        <v/>
      </c>
      <c r="J506" s="102"/>
      <c r="K506" s="102"/>
      <c r="L506" s="119" t="str">
        <f t="array" ref="L506">IF(OR($B506="",$D506=""),"",
IFERROR(
  INDEX(
    'Tools &amp; Targets_Guideline'!$C$54:$I$269,
    MATCH(
      1,
      ('Tools &amp; Targets_Guideline'!$A$54:$A$269=$B506)*
      ('Tools &amp; Targets_Guideline'!$B$54:$B$269="ANC"),
      0
    ),
    MATCH(
      _xludf.IFNA(
        VLOOKUP($D506,{"PH","Provincial Hospital (H2)";"DH","District Hospital (H3)";"RH","Regional / National Hospital (H1)"},2,0),
        $D506
      ),
      'Tools &amp; Targets_Guideline'!$C$53:$I$53,
      0
    )
  ),
0))</f>
        <v/>
      </c>
      <c r="M506" s="102"/>
      <c r="N506" s="119" t="str">
        <f t="array" ref="N506">IF(OR($B506="",$D506=""),"",
IFERROR(
  INDEX(
    'Tools &amp; Targets_Guideline'!$C$54:$I$269,
    MATCH(
      1,
      ('Tools &amp; Targets_Guideline'!$A$54:$A$269=$B506)*
      ('Tools &amp; Targets_Guideline'!$B$54:$B$269="PNC"),
      0
    ),
    MATCH(
      _xludf.IFNA(
        VLOOKUP($D506,{"PH","Provincial Hospital (H2)";"DH","District Hospital (H3)";"RH","Regional / National Hospital (H1)"},2,0),
        $D506
      ),
      'Tools &amp; Targets_Guideline'!$C$53:$I$53,
      0
    )
  ),
0))</f>
        <v/>
      </c>
      <c r="O506" s="102"/>
      <c r="P506" s="119" t="str">
        <f t="array" ref="P506">IF(OR($B506="",$D506=""),"",
IFERROR(
  INDEX(
    'Tools &amp; Targets_Guideline'!$C$54:$I$269,
    MATCH(
      1,
      ('Tools &amp; Targets_Guideline'!$A$54:$A$269=$B506)*
      ('Tools &amp; Targets_Guideline'!$B$54:$B$269="Delivery"),
      0
    ),
    MATCH(
      _xludf.IFNA(
        VLOOKUP($D506,{"PH","Provincial Hospital (H2)";"DH","District Hospital (H3)";"RH","Regional / National Hospital (H1)"},2,0),
        $D506
      ),
      'Tools &amp; Targets_Guideline'!$C$53:$I$53,
      0
    )
  ),
0))</f>
        <v/>
      </c>
      <c r="Q506" s="102"/>
      <c r="R506" s="119" t="str">
        <f t="array" ref="R506">IF(OR($B506="",$D506=""),"",
IFERROR(
  INDEX(
    'Tools &amp; Targets_Guideline'!$C$54:$I$269,
    MATCH(
      1,
      ('Tools &amp; Targets_Guideline'!$A$54:$A$269=$B506)*
      ('Tools &amp; Targets_Guideline'!$B$54:$B$269="TT"),
      0
    ),
    MATCH(
      _xludf.IFNA(
        VLOOKUP($D506,{"PH","Provincial Hospital (H2)";"DH","District Hospital (H3)";"RH","Regional / National Hospital (H1)"},2,0),
        $D506
      ),
      'Tools &amp; Targets_Guideline'!$C$53:$I$53,
      0
    )
  ),
0))</f>
        <v/>
      </c>
      <c r="S506" s="102"/>
      <c r="T506" s="102"/>
      <c r="U506" s="106"/>
      <c r="V506" s="102" t="str">
        <f t="shared" si="16"/>
        <v/>
      </c>
      <c r="W506" s="102"/>
      <c r="X506" s="102"/>
      <c r="Y506" s="119" t="str">
        <f t="array" ref="Y506">IF(OR($B506="",$D506=""),"",
IFERROR(
  INDEX(
    'Tools &amp; Targets_Guideline'!$C$54:$I$269,
    MATCH(
      1,
      ('Tools &amp; Targets_Guideline'!$A$54:$A$269=$B506)*
      ('Tools &amp; Targets_Guideline'!$B$54:$B$269="GM"),
      0
    ),
    MATCH(
      _xludf.IFNA(
        VLOOKUP($D506,{"PH","Provincial Hospital (H2)";"DH","District Hospital (H3)";"RH","Regional / National Hospital (H1)"},2,0),
        $D506
      ),
      'Tools &amp; Targets_Guideline'!$C$53:$I$53,
      0
    )
  ),
0))</f>
        <v/>
      </c>
      <c r="Z506" s="102"/>
      <c r="AA506" s="119" t="str">
        <f t="array" ref="AA506">IF(OR($B506="",$D506=""),"",
IFERROR(
  INDEX(
    'Tools &amp; Targets_Guideline'!$C$54:$I$269,
    MATCH(
      1,
      ('Tools &amp; Targets_Guideline'!$A$54:$A$269=$B506)*
      ('Tools &amp; Targets_Guideline'!$B$54:$B$269="Penta"),
      0
    ),
    MATCH(
      _xludf.IFNA(
        VLOOKUP($D506,{"PH","Provincial Hospital (H2)";"DH","District Hospital (H3)";"RH","Regional / National Hospital (H1)"},2,0),
        $D506
      ),
      'Tools &amp; Targets_Guideline'!$C$53:$I$53,
      0
    )
  ),
0))</f>
        <v/>
      </c>
      <c r="AB506" s="102"/>
      <c r="AC506" s="119" t="str">
        <f t="array" ref="AC506">IF(OR($B506="",$D506=""),"",
IFERROR(
  INDEX(
    'Tools &amp; Targets_Guideline'!$C$54:$I$269,
    MATCH(
      1,
      ('Tools &amp; Targets_Guideline'!$A$54:$A$269=$B506)*
      ('Tools &amp; Targets_Guideline'!$B$54:$B$269="TB"),
      0
    ),
    MATCH(
      _xludf.IFNA(
        VLOOKUP($D506,{"PH","Provincial Hospital (H2)";"DH","District Hospital (H3)";"RH","Regional / National Hospital (H1)"},2,0),
        $D506
      ),
      'Tools &amp; Targets_Guideline'!$C$53:$I$53,
      0
    )
  ),
0))</f>
        <v/>
      </c>
      <c r="AD506" s="102"/>
      <c r="AE506" s="119" t="str">
        <f t="array" ref="AE506">IF(OR($B506="",$D506=""),"",
IFERROR(
  INDEX(
    'Tools &amp; Targets_Guideline'!$C$54:$I$269,
    MATCH(
      1,
      ('Tools &amp; Targets_Guideline'!$A$54:$A$269=$B506)*
      ('Tools &amp; Targets_Guideline'!$B$54:$B$269="U5 Morbidity"),
      0
    ),
    MATCH(
      _xludf.IFNA(
        VLOOKUP($D506,{"PH","Provincial Hospital (H2)";"DH","District Hospital (H3)";"RH","Regional / National Hospital (H1)"},2,0),
        $D506
      ),
      'Tools &amp; Targets_Guideline'!$C$53:$I$53,
      0
    )
  ),
0))</f>
        <v/>
      </c>
      <c r="AF506" s="102"/>
      <c r="AG506" s="119" t="str">
        <f t="array" ref="AG506">IF(OR($B506="",$D506=""),"",
IFERROR(
  INDEX(
    'Tools &amp; Targets_Guideline'!$C$54:$I$269,
    MATCH(
      1,
      ('Tools &amp; Targets_Guideline'!$A$54:$A$269=$B506)*
      ('Tools &amp; Targets_Guideline'!$B$54:$B$269="C-Section"),
      0
    ),
    MATCH(
      _xludf.IFNA(
        VLOOKUP($D506,{"PH","Provincial Hospital (H2)";"DH","District Hospital (H3)";"RH","Regional / National Hospital (H1)"},2,0),
        $D506
      ),
      'Tools &amp; Targets_Guideline'!$C$53:$I$53,
      0
    )
  ),
0))</f>
        <v/>
      </c>
      <c r="AH506" s="102" t="str">
        <f>IF(A506&lt;&gt;"",COUNTIFS('QA Log'!D:D,A506,'QA Log'!M:M,"QQC",'QA Log'!L:L,"2. Hygiene and Sterilization",'QA Log'!Z:Z,"Approved"),"")</f>
        <v/>
      </c>
      <c r="AI506" s="102"/>
      <c r="AJ506" s="102"/>
      <c r="AK506" s="103" t="str">
        <f t="shared" si="17"/>
        <v/>
      </c>
      <c r="AL506" s="102"/>
      <c r="AM506" s="102"/>
      <c r="AN506" s="102"/>
      <c r="AO506" s="106"/>
      <c r="AP506" s="103"/>
      <c r="AQ506" s="102"/>
      <c r="AR506" s="102"/>
      <c r="AS506" s="102"/>
      <c r="AT506" s="107"/>
      <c r="AU506" s="102" t="str">
        <f t="shared" si="18"/>
        <v/>
      </c>
      <c r="AV506" s="102" t="str">
        <f t="shared" si="19"/>
        <v/>
      </c>
      <c r="AW506" s="102" t="str">
        <f t="shared" si="20"/>
        <v/>
      </c>
      <c r="AX506" s="102" t="str">
        <f t="shared" si="21"/>
        <v/>
      </c>
      <c r="AY506" s="107" t="str">
        <f t="shared" si="22"/>
        <v/>
      </c>
      <c r="AZ506" s="108" t="str">
        <f t="shared" si="23"/>
        <v/>
      </c>
      <c r="BA506" s="108" t="str">
        <f t="shared" si="24"/>
        <v/>
      </c>
      <c r="BB506" s="109" t="str">
        <f t="shared" si="25"/>
        <v/>
      </c>
      <c r="BC506" s="108" t="str">
        <f t="shared" si="26"/>
        <v/>
      </c>
      <c r="BD506" s="108" t="str">
        <f t="shared" si="27"/>
        <v/>
      </c>
      <c r="BE506" s="109" t="str">
        <f t="shared" si="28"/>
        <v/>
      </c>
      <c r="BF506" s="110" t="str">
        <f t="shared" si="29"/>
        <v/>
      </c>
      <c r="BG506" s="111"/>
    </row>
    <row r="507" spans="1:59" ht="12.75">
      <c r="A507" s="101"/>
      <c r="B507" s="102"/>
      <c r="C507" s="102" t="e">
        <f t="array" aca="1" ref="C507" ca="1">_xludf.XLOOKUP(A507,'QA Log'!D:D,'QA Log'!F:F,"")</f>
        <v>#NAME?</v>
      </c>
      <c r="D507" s="102"/>
      <c r="E507" s="102" t="e">
        <f t="array" aca="1" ref="E507" ca="1">_xludf.XLOOKUP(A507,'QA Log'!D:D,'QA Log'!G:G,"")</f>
        <v>#NAME?</v>
      </c>
      <c r="F507" s="103"/>
      <c r="G507" s="104"/>
      <c r="H507" s="104"/>
      <c r="I507" s="103" t="str">
        <f t="shared" si="15"/>
        <v/>
      </c>
      <c r="J507" s="102"/>
      <c r="K507" s="102"/>
      <c r="L507" s="119" t="str">
        <f t="array" ref="L507">IF(OR($B507="",$D507=""),"",
IFERROR(
  INDEX(
    'Tools &amp; Targets_Guideline'!$C$54:$I$269,
    MATCH(
      1,
      ('Tools &amp; Targets_Guideline'!$A$54:$A$269=$B507)*
      ('Tools &amp; Targets_Guideline'!$B$54:$B$269="ANC"),
      0
    ),
    MATCH(
      _xludf.IFNA(
        VLOOKUP($D507,{"PH","Provincial Hospital (H2)";"DH","District Hospital (H3)";"RH","Regional / National Hospital (H1)"},2,0),
        $D507
      ),
      'Tools &amp; Targets_Guideline'!$C$53:$I$53,
      0
    )
  ),
0))</f>
        <v/>
      </c>
      <c r="M507" s="102"/>
      <c r="N507" s="119" t="str">
        <f t="array" ref="N507">IF(OR($B507="",$D507=""),"",
IFERROR(
  INDEX(
    'Tools &amp; Targets_Guideline'!$C$54:$I$269,
    MATCH(
      1,
      ('Tools &amp; Targets_Guideline'!$A$54:$A$269=$B507)*
      ('Tools &amp; Targets_Guideline'!$B$54:$B$269="PNC"),
      0
    ),
    MATCH(
      _xludf.IFNA(
        VLOOKUP($D507,{"PH","Provincial Hospital (H2)";"DH","District Hospital (H3)";"RH","Regional / National Hospital (H1)"},2,0),
        $D507
      ),
      'Tools &amp; Targets_Guideline'!$C$53:$I$53,
      0
    )
  ),
0))</f>
        <v/>
      </c>
      <c r="O507" s="102"/>
      <c r="P507" s="119" t="str">
        <f t="array" ref="P507">IF(OR($B507="",$D507=""),"",
IFERROR(
  INDEX(
    'Tools &amp; Targets_Guideline'!$C$54:$I$269,
    MATCH(
      1,
      ('Tools &amp; Targets_Guideline'!$A$54:$A$269=$B507)*
      ('Tools &amp; Targets_Guideline'!$B$54:$B$269="Delivery"),
      0
    ),
    MATCH(
      _xludf.IFNA(
        VLOOKUP($D507,{"PH","Provincial Hospital (H2)";"DH","District Hospital (H3)";"RH","Regional / National Hospital (H1)"},2,0),
        $D507
      ),
      'Tools &amp; Targets_Guideline'!$C$53:$I$53,
      0
    )
  ),
0))</f>
        <v/>
      </c>
      <c r="Q507" s="102"/>
      <c r="R507" s="119" t="str">
        <f t="array" ref="R507">IF(OR($B507="",$D507=""),"",
IFERROR(
  INDEX(
    'Tools &amp; Targets_Guideline'!$C$54:$I$269,
    MATCH(
      1,
      ('Tools &amp; Targets_Guideline'!$A$54:$A$269=$B507)*
      ('Tools &amp; Targets_Guideline'!$B$54:$B$269="TT"),
      0
    ),
    MATCH(
      _xludf.IFNA(
        VLOOKUP($D507,{"PH","Provincial Hospital (H2)";"DH","District Hospital (H3)";"RH","Regional / National Hospital (H1)"},2,0),
        $D507
      ),
      'Tools &amp; Targets_Guideline'!$C$53:$I$53,
      0
    )
  ),
0))</f>
        <v/>
      </c>
      <c r="S507" s="102"/>
      <c r="T507" s="102"/>
      <c r="U507" s="106"/>
      <c r="V507" s="102" t="str">
        <f t="shared" si="16"/>
        <v/>
      </c>
      <c r="W507" s="102"/>
      <c r="X507" s="102"/>
      <c r="Y507" s="119" t="str">
        <f t="array" ref="Y507">IF(OR($B507="",$D507=""),"",
IFERROR(
  INDEX(
    'Tools &amp; Targets_Guideline'!$C$54:$I$269,
    MATCH(
      1,
      ('Tools &amp; Targets_Guideline'!$A$54:$A$269=$B507)*
      ('Tools &amp; Targets_Guideline'!$B$54:$B$269="GM"),
      0
    ),
    MATCH(
      _xludf.IFNA(
        VLOOKUP($D507,{"PH","Provincial Hospital (H2)";"DH","District Hospital (H3)";"RH","Regional / National Hospital (H1)"},2,0),
        $D507
      ),
      'Tools &amp; Targets_Guideline'!$C$53:$I$53,
      0
    )
  ),
0))</f>
        <v/>
      </c>
      <c r="Z507" s="102"/>
      <c r="AA507" s="119" t="str">
        <f t="array" ref="AA507">IF(OR($B507="",$D507=""),"",
IFERROR(
  INDEX(
    'Tools &amp; Targets_Guideline'!$C$54:$I$269,
    MATCH(
      1,
      ('Tools &amp; Targets_Guideline'!$A$54:$A$269=$B507)*
      ('Tools &amp; Targets_Guideline'!$B$54:$B$269="Penta"),
      0
    ),
    MATCH(
      _xludf.IFNA(
        VLOOKUP($D507,{"PH","Provincial Hospital (H2)";"DH","District Hospital (H3)";"RH","Regional / National Hospital (H1)"},2,0),
        $D507
      ),
      'Tools &amp; Targets_Guideline'!$C$53:$I$53,
      0
    )
  ),
0))</f>
        <v/>
      </c>
      <c r="AB507" s="102"/>
      <c r="AC507" s="119" t="str">
        <f t="array" ref="AC507">IF(OR($B507="",$D507=""),"",
IFERROR(
  INDEX(
    'Tools &amp; Targets_Guideline'!$C$54:$I$269,
    MATCH(
      1,
      ('Tools &amp; Targets_Guideline'!$A$54:$A$269=$B507)*
      ('Tools &amp; Targets_Guideline'!$B$54:$B$269="TB"),
      0
    ),
    MATCH(
      _xludf.IFNA(
        VLOOKUP($D507,{"PH","Provincial Hospital (H2)";"DH","District Hospital (H3)";"RH","Regional / National Hospital (H1)"},2,0),
        $D507
      ),
      'Tools &amp; Targets_Guideline'!$C$53:$I$53,
      0
    )
  ),
0))</f>
        <v/>
      </c>
      <c r="AD507" s="102"/>
      <c r="AE507" s="119" t="str">
        <f t="array" ref="AE507">IF(OR($B507="",$D507=""),"",
IFERROR(
  INDEX(
    'Tools &amp; Targets_Guideline'!$C$54:$I$269,
    MATCH(
      1,
      ('Tools &amp; Targets_Guideline'!$A$54:$A$269=$B507)*
      ('Tools &amp; Targets_Guideline'!$B$54:$B$269="U5 Morbidity"),
      0
    ),
    MATCH(
      _xludf.IFNA(
        VLOOKUP($D507,{"PH","Provincial Hospital (H2)";"DH","District Hospital (H3)";"RH","Regional / National Hospital (H1)"},2,0),
        $D507
      ),
      'Tools &amp; Targets_Guideline'!$C$53:$I$53,
      0
    )
  ),
0))</f>
        <v/>
      </c>
      <c r="AF507" s="102"/>
      <c r="AG507" s="119" t="str">
        <f t="array" ref="AG507">IF(OR($B507="",$D507=""),"",
IFERROR(
  INDEX(
    'Tools &amp; Targets_Guideline'!$C$54:$I$269,
    MATCH(
      1,
      ('Tools &amp; Targets_Guideline'!$A$54:$A$269=$B507)*
      ('Tools &amp; Targets_Guideline'!$B$54:$B$269="C-Section"),
      0
    ),
    MATCH(
      _xludf.IFNA(
        VLOOKUP($D507,{"PH","Provincial Hospital (H2)";"DH","District Hospital (H3)";"RH","Regional / National Hospital (H1)"},2,0),
        $D507
      ),
      'Tools &amp; Targets_Guideline'!$C$53:$I$53,
      0
    )
  ),
0))</f>
        <v/>
      </c>
      <c r="AH507" s="102" t="str">
        <f>IF(A507&lt;&gt;"",COUNTIFS('QA Log'!D:D,A507,'QA Log'!M:M,"QQC",'QA Log'!L:L,"2. Hygiene and Sterilization",'QA Log'!Z:Z,"Approved"),"")</f>
        <v/>
      </c>
      <c r="AI507" s="102"/>
      <c r="AJ507" s="102"/>
      <c r="AK507" s="103" t="str">
        <f t="shared" si="17"/>
        <v/>
      </c>
      <c r="AL507" s="102"/>
      <c r="AM507" s="102"/>
      <c r="AN507" s="102"/>
      <c r="AO507" s="106"/>
      <c r="AP507" s="103"/>
      <c r="AQ507" s="102"/>
      <c r="AR507" s="102"/>
      <c r="AS507" s="102"/>
      <c r="AT507" s="107"/>
      <c r="AU507" s="102" t="str">
        <f t="shared" si="18"/>
        <v/>
      </c>
      <c r="AV507" s="102" t="str">
        <f t="shared" si="19"/>
        <v/>
      </c>
      <c r="AW507" s="102" t="str">
        <f t="shared" si="20"/>
        <v/>
      </c>
      <c r="AX507" s="102" t="str">
        <f t="shared" si="21"/>
        <v/>
      </c>
      <c r="AY507" s="107" t="str">
        <f t="shared" si="22"/>
        <v/>
      </c>
      <c r="AZ507" s="108" t="str">
        <f t="shared" si="23"/>
        <v/>
      </c>
      <c r="BA507" s="108" t="str">
        <f t="shared" si="24"/>
        <v/>
      </c>
      <c r="BB507" s="109" t="str">
        <f t="shared" si="25"/>
        <v/>
      </c>
      <c r="BC507" s="108" t="str">
        <f t="shared" si="26"/>
        <v/>
      </c>
      <c r="BD507" s="108" t="str">
        <f t="shared" si="27"/>
        <v/>
      </c>
      <c r="BE507" s="109" t="str">
        <f t="shared" si="28"/>
        <v/>
      </c>
      <c r="BF507" s="110" t="str">
        <f t="shared" si="29"/>
        <v/>
      </c>
      <c r="BG507" s="111"/>
    </row>
    <row r="508" spans="1:59" ht="12.75">
      <c r="A508" s="101"/>
      <c r="B508" s="102"/>
      <c r="C508" s="102" t="e">
        <f t="array" aca="1" ref="C508" ca="1">_xludf.XLOOKUP(A508,'QA Log'!D:D,'QA Log'!F:F,"")</f>
        <v>#NAME?</v>
      </c>
      <c r="D508" s="102"/>
      <c r="E508" s="102" t="e">
        <f t="array" aca="1" ref="E508" ca="1">_xludf.XLOOKUP(A508,'QA Log'!D:D,'QA Log'!G:G,"")</f>
        <v>#NAME?</v>
      </c>
      <c r="F508" s="103"/>
      <c r="G508" s="104"/>
      <c r="H508" s="104"/>
      <c r="I508" s="103" t="str">
        <f t="shared" si="15"/>
        <v/>
      </c>
      <c r="J508" s="102"/>
      <c r="K508" s="102"/>
      <c r="L508" s="119" t="str">
        <f t="array" ref="L508">IF(OR($B508="",$D508=""),"",
IFERROR(
  INDEX(
    'Tools &amp; Targets_Guideline'!$C$54:$I$269,
    MATCH(
      1,
      ('Tools &amp; Targets_Guideline'!$A$54:$A$269=$B508)*
      ('Tools &amp; Targets_Guideline'!$B$54:$B$269="ANC"),
      0
    ),
    MATCH(
      _xludf.IFNA(
        VLOOKUP($D508,{"PH","Provincial Hospital (H2)";"DH","District Hospital (H3)";"RH","Regional / National Hospital (H1)"},2,0),
        $D508
      ),
      'Tools &amp; Targets_Guideline'!$C$53:$I$53,
      0
    )
  ),
0))</f>
        <v/>
      </c>
      <c r="M508" s="102"/>
      <c r="N508" s="119" t="str">
        <f t="array" ref="N508">IF(OR($B508="",$D508=""),"",
IFERROR(
  INDEX(
    'Tools &amp; Targets_Guideline'!$C$54:$I$269,
    MATCH(
      1,
      ('Tools &amp; Targets_Guideline'!$A$54:$A$269=$B508)*
      ('Tools &amp; Targets_Guideline'!$B$54:$B$269="PNC"),
      0
    ),
    MATCH(
      _xludf.IFNA(
        VLOOKUP($D508,{"PH","Provincial Hospital (H2)";"DH","District Hospital (H3)";"RH","Regional / National Hospital (H1)"},2,0),
        $D508
      ),
      'Tools &amp; Targets_Guideline'!$C$53:$I$53,
      0
    )
  ),
0))</f>
        <v/>
      </c>
      <c r="O508" s="102"/>
      <c r="P508" s="119" t="str">
        <f t="array" ref="P508">IF(OR($B508="",$D508=""),"",
IFERROR(
  INDEX(
    'Tools &amp; Targets_Guideline'!$C$54:$I$269,
    MATCH(
      1,
      ('Tools &amp; Targets_Guideline'!$A$54:$A$269=$B508)*
      ('Tools &amp; Targets_Guideline'!$B$54:$B$269="Delivery"),
      0
    ),
    MATCH(
      _xludf.IFNA(
        VLOOKUP($D508,{"PH","Provincial Hospital (H2)";"DH","District Hospital (H3)";"RH","Regional / National Hospital (H1)"},2,0),
        $D508
      ),
      'Tools &amp; Targets_Guideline'!$C$53:$I$53,
      0
    )
  ),
0))</f>
        <v/>
      </c>
      <c r="Q508" s="102"/>
      <c r="R508" s="119" t="str">
        <f t="array" ref="R508">IF(OR($B508="",$D508=""),"",
IFERROR(
  INDEX(
    'Tools &amp; Targets_Guideline'!$C$54:$I$269,
    MATCH(
      1,
      ('Tools &amp; Targets_Guideline'!$A$54:$A$269=$B508)*
      ('Tools &amp; Targets_Guideline'!$B$54:$B$269="TT"),
      0
    ),
    MATCH(
      _xludf.IFNA(
        VLOOKUP($D508,{"PH","Provincial Hospital (H2)";"DH","District Hospital (H3)";"RH","Regional / National Hospital (H1)"},2,0),
        $D508
      ),
      'Tools &amp; Targets_Guideline'!$C$53:$I$53,
      0
    )
  ),
0))</f>
        <v/>
      </c>
      <c r="S508" s="102"/>
      <c r="T508" s="102"/>
      <c r="U508" s="106"/>
      <c r="V508" s="102" t="str">
        <f t="shared" si="16"/>
        <v/>
      </c>
      <c r="W508" s="102"/>
      <c r="X508" s="102"/>
      <c r="Y508" s="119" t="str">
        <f t="array" ref="Y508">IF(OR($B508="",$D508=""),"",
IFERROR(
  INDEX(
    'Tools &amp; Targets_Guideline'!$C$54:$I$269,
    MATCH(
      1,
      ('Tools &amp; Targets_Guideline'!$A$54:$A$269=$B508)*
      ('Tools &amp; Targets_Guideline'!$B$54:$B$269="GM"),
      0
    ),
    MATCH(
      _xludf.IFNA(
        VLOOKUP($D508,{"PH","Provincial Hospital (H2)";"DH","District Hospital (H3)";"RH","Regional / National Hospital (H1)"},2,0),
        $D508
      ),
      'Tools &amp; Targets_Guideline'!$C$53:$I$53,
      0
    )
  ),
0))</f>
        <v/>
      </c>
      <c r="Z508" s="102"/>
      <c r="AA508" s="119" t="str">
        <f t="array" ref="AA508">IF(OR($B508="",$D508=""),"",
IFERROR(
  INDEX(
    'Tools &amp; Targets_Guideline'!$C$54:$I$269,
    MATCH(
      1,
      ('Tools &amp; Targets_Guideline'!$A$54:$A$269=$B508)*
      ('Tools &amp; Targets_Guideline'!$B$54:$B$269="Penta"),
      0
    ),
    MATCH(
      _xludf.IFNA(
        VLOOKUP($D508,{"PH","Provincial Hospital (H2)";"DH","District Hospital (H3)";"RH","Regional / National Hospital (H1)"},2,0),
        $D508
      ),
      'Tools &amp; Targets_Guideline'!$C$53:$I$53,
      0
    )
  ),
0))</f>
        <v/>
      </c>
      <c r="AB508" s="102"/>
      <c r="AC508" s="119" t="str">
        <f t="array" ref="AC508">IF(OR($B508="",$D508=""),"",
IFERROR(
  INDEX(
    'Tools &amp; Targets_Guideline'!$C$54:$I$269,
    MATCH(
      1,
      ('Tools &amp; Targets_Guideline'!$A$54:$A$269=$B508)*
      ('Tools &amp; Targets_Guideline'!$B$54:$B$269="TB"),
      0
    ),
    MATCH(
      _xludf.IFNA(
        VLOOKUP($D508,{"PH","Provincial Hospital (H2)";"DH","District Hospital (H3)";"RH","Regional / National Hospital (H1)"},2,0),
        $D508
      ),
      'Tools &amp; Targets_Guideline'!$C$53:$I$53,
      0
    )
  ),
0))</f>
        <v/>
      </c>
      <c r="AD508" s="102"/>
      <c r="AE508" s="119" t="str">
        <f t="array" ref="AE508">IF(OR($B508="",$D508=""),"",
IFERROR(
  INDEX(
    'Tools &amp; Targets_Guideline'!$C$54:$I$269,
    MATCH(
      1,
      ('Tools &amp; Targets_Guideline'!$A$54:$A$269=$B508)*
      ('Tools &amp; Targets_Guideline'!$B$54:$B$269="U5 Morbidity"),
      0
    ),
    MATCH(
      _xludf.IFNA(
        VLOOKUP($D508,{"PH","Provincial Hospital (H2)";"DH","District Hospital (H3)";"RH","Regional / National Hospital (H1)"},2,0),
        $D508
      ),
      'Tools &amp; Targets_Guideline'!$C$53:$I$53,
      0
    )
  ),
0))</f>
        <v/>
      </c>
      <c r="AF508" s="102"/>
      <c r="AG508" s="119" t="str">
        <f t="array" ref="AG508">IF(OR($B508="",$D508=""),"",
IFERROR(
  INDEX(
    'Tools &amp; Targets_Guideline'!$C$54:$I$269,
    MATCH(
      1,
      ('Tools &amp; Targets_Guideline'!$A$54:$A$269=$B508)*
      ('Tools &amp; Targets_Guideline'!$B$54:$B$269="C-Section"),
      0
    ),
    MATCH(
      _xludf.IFNA(
        VLOOKUP($D508,{"PH","Provincial Hospital (H2)";"DH","District Hospital (H3)";"RH","Regional / National Hospital (H1)"},2,0),
        $D508
      ),
      'Tools &amp; Targets_Guideline'!$C$53:$I$53,
      0
    )
  ),
0))</f>
        <v/>
      </c>
      <c r="AH508" s="102" t="str">
        <f>IF(A508&lt;&gt;"",COUNTIFS('QA Log'!D:D,A508,'QA Log'!M:M,"QQC",'QA Log'!L:L,"2. Hygiene and Sterilization",'QA Log'!Z:Z,"Approved"),"")</f>
        <v/>
      </c>
      <c r="AI508" s="102"/>
      <c r="AJ508" s="102"/>
      <c r="AK508" s="103" t="str">
        <f t="shared" si="17"/>
        <v/>
      </c>
      <c r="AL508" s="102"/>
      <c r="AM508" s="102"/>
      <c r="AN508" s="102"/>
      <c r="AO508" s="106"/>
      <c r="AP508" s="103"/>
      <c r="AQ508" s="102"/>
      <c r="AR508" s="102"/>
      <c r="AS508" s="102"/>
      <c r="AT508" s="107"/>
      <c r="AU508" s="102" t="str">
        <f t="shared" si="18"/>
        <v/>
      </c>
      <c r="AV508" s="102" t="str">
        <f t="shared" si="19"/>
        <v/>
      </c>
      <c r="AW508" s="102" t="str">
        <f t="shared" si="20"/>
        <v/>
      </c>
      <c r="AX508" s="102" t="str">
        <f t="shared" si="21"/>
        <v/>
      </c>
      <c r="AY508" s="107" t="str">
        <f t="shared" si="22"/>
        <v/>
      </c>
      <c r="AZ508" s="108" t="str">
        <f t="shared" si="23"/>
        <v/>
      </c>
      <c r="BA508" s="108" t="str">
        <f t="shared" si="24"/>
        <v/>
      </c>
      <c r="BB508" s="109" t="str">
        <f t="shared" si="25"/>
        <v/>
      </c>
      <c r="BC508" s="108" t="str">
        <f t="shared" si="26"/>
        <v/>
      </c>
      <c r="BD508" s="108" t="str">
        <f t="shared" si="27"/>
        <v/>
      </c>
      <c r="BE508" s="109" t="str">
        <f t="shared" si="28"/>
        <v/>
      </c>
      <c r="BF508" s="110" t="str">
        <f t="shared" si="29"/>
        <v/>
      </c>
      <c r="BG508" s="111"/>
    </row>
    <row r="509" spans="1:59" ht="12.75">
      <c r="A509" s="101"/>
      <c r="B509" s="102"/>
      <c r="C509" s="102" t="e">
        <f t="array" aca="1" ref="C509" ca="1">_xludf.XLOOKUP(A509,'QA Log'!D:D,'QA Log'!F:F,"")</f>
        <v>#NAME?</v>
      </c>
      <c r="D509" s="102"/>
      <c r="E509" s="102" t="e">
        <f t="array" aca="1" ref="E509" ca="1">_xludf.XLOOKUP(A509,'QA Log'!D:D,'QA Log'!G:G,"")</f>
        <v>#NAME?</v>
      </c>
      <c r="F509" s="103"/>
      <c r="G509" s="104"/>
      <c r="H509" s="104"/>
      <c r="I509" s="103" t="str">
        <f t="shared" si="15"/>
        <v/>
      </c>
      <c r="J509" s="102"/>
      <c r="K509" s="102"/>
      <c r="L509" s="119" t="str">
        <f t="array" ref="L509">IF(OR($B509="",$D509=""),"",
IFERROR(
  INDEX(
    'Tools &amp; Targets_Guideline'!$C$54:$I$269,
    MATCH(
      1,
      ('Tools &amp; Targets_Guideline'!$A$54:$A$269=$B509)*
      ('Tools &amp; Targets_Guideline'!$B$54:$B$269="ANC"),
      0
    ),
    MATCH(
      _xludf.IFNA(
        VLOOKUP($D509,{"PH","Provincial Hospital (H2)";"DH","District Hospital (H3)";"RH","Regional / National Hospital (H1)"},2,0),
        $D509
      ),
      'Tools &amp; Targets_Guideline'!$C$53:$I$53,
      0
    )
  ),
0))</f>
        <v/>
      </c>
      <c r="M509" s="102"/>
      <c r="N509" s="119" t="str">
        <f t="array" ref="N509">IF(OR($B509="",$D509=""),"",
IFERROR(
  INDEX(
    'Tools &amp; Targets_Guideline'!$C$54:$I$269,
    MATCH(
      1,
      ('Tools &amp; Targets_Guideline'!$A$54:$A$269=$B509)*
      ('Tools &amp; Targets_Guideline'!$B$54:$B$269="PNC"),
      0
    ),
    MATCH(
      _xludf.IFNA(
        VLOOKUP($D509,{"PH","Provincial Hospital (H2)";"DH","District Hospital (H3)";"RH","Regional / National Hospital (H1)"},2,0),
        $D509
      ),
      'Tools &amp; Targets_Guideline'!$C$53:$I$53,
      0
    )
  ),
0))</f>
        <v/>
      </c>
      <c r="O509" s="102"/>
      <c r="P509" s="119" t="str">
        <f t="array" ref="P509">IF(OR($B509="",$D509=""),"",
IFERROR(
  INDEX(
    'Tools &amp; Targets_Guideline'!$C$54:$I$269,
    MATCH(
      1,
      ('Tools &amp; Targets_Guideline'!$A$54:$A$269=$B509)*
      ('Tools &amp; Targets_Guideline'!$B$54:$B$269="Delivery"),
      0
    ),
    MATCH(
      _xludf.IFNA(
        VLOOKUP($D509,{"PH","Provincial Hospital (H2)";"DH","District Hospital (H3)";"RH","Regional / National Hospital (H1)"},2,0),
        $D509
      ),
      'Tools &amp; Targets_Guideline'!$C$53:$I$53,
      0
    )
  ),
0))</f>
        <v/>
      </c>
      <c r="Q509" s="102"/>
      <c r="R509" s="119" t="str">
        <f t="array" ref="R509">IF(OR($B509="",$D509=""),"",
IFERROR(
  INDEX(
    'Tools &amp; Targets_Guideline'!$C$54:$I$269,
    MATCH(
      1,
      ('Tools &amp; Targets_Guideline'!$A$54:$A$269=$B509)*
      ('Tools &amp; Targets_Guideline'!$B$54:$B$269="TT"),
      0
    ),
    MATCH(
      _xludf.IFNA(
        VLOOKUP($D509,{"PH","Provincial Hospital (H2)";"DH","District Hospital (H3)";"RH","Regional / National Hospital (H1)"},2,0),
        $D509
      ),
      'Tools &amp; Targets_Guideline'!$C$53:$I$53,
      0
    )
  ),
0))</f>
        <v/>
      </c>
      <c r="S509" s="102"/>
      <c r="T509" s="102"/>
      <c r="U509" s="106"/>
      <c r="V509" s="102" t="str">
        <f t="shared" si="16"/>
        <v/>
      </c>
      <c r="W509" s="102"/>
      <c r="X509" s="102"/>
      <c r="Y509" s="119" t="str">
        <f t="array" ref="Y509">IF(OR($B509="",$D509=""),"",
IFERROR(
  INDEX(
    'Tools &amp; Targets_Guideline'!$C$54:$I$269,
    MATCH(
      1,
      ('Tools &amp; Targets_Guideline'!$A$54:$A$269=$B509)*
      ('Tools &amp; Targets_Guideline'!$B$54:$B$269="GM"),
      0
    ),
    MATCH(
      _xludf.IFNA(
        VLOOKUP($D509,{"PH","Provincial Hospital (H2)";"DH","District Hospital (H3)";"RH","Regional / National Hospital (H1)"},2,0),
        $D509
      ),
      'Tools &amp; Targets_Guideline'!$C$53:$I$53,
      0
    )
  ),
0))</f>
        <v/>
      </c>
      <c r="Z509" s="102"/>
      <c r="AA509" s="119" t="str">
        <f t="array" ref="AA509">IF(OR($B509="",$D509=""),"",
IFERROR(
  INDEX(
    'Tools &amp; Targets_Guideline'!$C$54:$I$269,
    MATCH(
      1,
      ('Tools &amp; Targets_Guideline'!$A$54:$A$269=$B509)*
      ('Tools &amp; Targets_Guideline'!$B$54:$B$269="Penta"),
      0
    ),
    MATCH(
      _xludf.IFNA(
        VLOOKUP($D509,{"PH","Provincial Hospital (H2)";"DH","District Hospital (H3)";"RH","Regional / National Hospital (H1)"},2,0),
        $D509
      ),
      'Tools &amp; Targets_Guideline'!$C$53:$I$53,
      0
    )
  ),
0))</f>
        <v/>
      </c>
      <c r="AB509" s="102"/>
      <c r="AC509" s="119" t="str">
        <f t="array" ref="AC509">IF(OR($B509="",$D509=""),"",
IFERROR(
  INDEX(
    'Tools &amp; Targets_Guideline'!$C$54:$I$269,
    MATCH(
      1,
      ('Tools &amp; Targets_Guideline'!$A$54:$A$269=$B509)*
      ('Tools &amp; Targets_Guideline'!$B$54:$B$269="TB"),
      0
    ),
    MATCH(
      _xludf.IFNA(
        VLOOKUP($D509,{"PH","Provincial Hospital (H2)";"DH","District Hospital (H3)";"RH","Regional / National Hospital (H1)"},2,0),
        $D509
      ),
      'Tools &amp; Targets_Guideline'!$C$53:$I$53,
      0
    )
  ),
0))</f>
        <v/>
      </c>
      <c r="AD509" s="102"/>
      <c r="AE509" s="119" t="str">
        <f t="array" ref="AE509">IF(OR($B509="",$D509=""),"",
IFERROR(
  INDEX(
    'Tools &amp; Targets_Guideline'!$C$54:$I$269,
    MATCH(
      1,
      ('Tools &amp; Targets_Guideline'!$A$54:$A$269=$B509)*
      ('Tools &amp; Targets_Guideline'!$B$54:$B$269="U5 Morbidity"),
      0
    ),
    MATCH(
      _xludf.IFNA(
        VLOOKUP($D509,{"PH","Provincial Hospital (H2)";"DH","District Hospital (H3)";"RH","Regional / National Hospital (H1)"},2,0),
        $D509
      ),
      'Tools &amp; Targets_Guideline'!$C$53:$I$53,
      0
    )
  ),
0))</f>
        <v/>
      </c>
      <c r="AF509" s="102"/>
      <c r="AG509" s="119" t="str">
        <f t="array" ref="AG509">IF(OR($B509="",$D509=""),"",
IFERROR(
  INDEX(
    'Tools &amp; Targets_Guideline'!$C$54:$I$269,
    MATCH(
      1,
      ('Tools &amp; Targets_Guideline'!$A$54:$A$269=$B509)*
      ('Tools &amp; Targets_Guideline'!$B$54:$B$269="C-Section"),
      0
    ),
    MATCH(
      _xludf.IFNA(
        VLOOKUP($D509,{"PH","Provincial Hospital (H2)";"DH","District Hospital (H3)";"RH","Regional / National Hospital (H1)"},2,0),
        $D509
      ),
      'Tools &amp; Targets_Guideline'!$C$53:$I$53,
      0
    )
  ),
0))</f>
        <v/>
      </c>
      <c r="AH509" s="102" t="str">
        <f>IF(A509&lt;&gt;"",COUNTIFS('QA Log'!D:D,A509,'QA Log'!M:M,"QQC",'QA Log'!L:L,"2. Hygiene and Sterilization",'QA Log'!Z:Z,"Approved"),"")</f>
        <v/>
      </c>
      <c r="AI509" s="102"/>
      <c r="AJ509" s="102"/>
      <c r="AK509" s="103" t="str">
        <f t="shared" si="17"/>
        <v/>
      </c>
      <c r="AL509" s="102"/>
      <c r="AM509" s="102"/>
      <c r="AN509" s="102"/>
      <c r="AO509" s="106"/>
      <c r="AP509" s="103"/>
      <c r="AQ509" s="102"/>
      <c r="AR509" s="102"/>
      <c r="AS509" s="102"/>
      <c r="AT509" s="107"/>
      <c r="AU509" s="102" t="str">
        <f t="shared" si="18"/>
        <v/>
      </c>
      <c r="AV509" s="102" t="str">
        <f t="shared" si="19"/>
        <v/>
      </c>
      <c r="AW509" s="102" t="str">
        <f t="shared" si="20"/>
        <v/>
      </c>
      <c r="AX509" s="102" t="str">
        <f t="shared" si="21"/>
        <v/>
      </c>
      <c r="AY509" s="107" t="str">
        <f t="shared" si="22"/>
        <v/>
      </c>
      <c r="AZ509" s="108" t="str">
        <f t="shared" si="23"/>
        <v/>
      </c>
      <c r="BA509" s="108" t="str">
        <f t="shared" si="24"/>
        <v/>
      </c>
      <c r="BB509" s="109" t="str">
        <f t="shared" si="25"/>
        <v/>
      </c>
      <c r="BC509" s="108" t="str">
        <f t="shared" si="26"/>
        <v/>
      </c>
      <c r="BD509" s="108" t="str">
        <f t="shared" si="27"/>
        <v/>
      </c>
      <c r="BE509" s="109" t="str">
        <f t="shared" si="28"/>
        <v/>
      </c>
      <c r="BF509" s="110" t="str">
        <f t="shared" si="29"/>
        <v/>
      </c>
      <c r="BG509" s="111"/>
    </row>
    <row r="510" spans="1:59" ht="12.75">
      <c r="A510" s="101"/>
      <c r="B510" s="102"/>
      <c r="C510" s="102" t="e">
        <f t="array" aca="1" ref="C510" ca="1">_xludf.XLOOKUP(A510,'QA Log'!D:D,'QA Log'!F:F,"")</f>
        <v>#NAME?</v>
      </c>
      <c r="D510" s="102"/>
      <c r="E510" s="102" t="e">
        <f t="array" aca="1" ref="E510" ca="1">_xludf.XLOOKUP(A510,'QA Log'!D:D,'QA Log'!G:G,"")</f>
        <v>#NAME?</v>
      </c>
      <c r="F510" s="103"/>
      <c r="G510" s="104"/>
      <c r="H510" s="104"/>
      <c r="I510" s="103" t="str">
        <f t="shared" si="15"/>
        <v/>
      </c>
      <c r="J510" s="102"/>
      <c r="K510" s="102"/>
      <c r="L510" s="119" t="str">
        <f t="array" ref="L510">IF(OR($B510="",$D510=""),"",
IFERROR(
  INDEX(
    'Tools &amp; Targets_Guideline'!$C$54:$I$269,
    MATCH(
      1,
      ('Tools &amp; Targets_Guideline'!$A$54:$A$269=$B510)*
      ('Tools &amp; Targets_Guideline'!$B$54:$B$269="ANC"),
      0
    ),
    MATCH(
      _xludf.IFNA(
        VLOOKUP($D510,{"PH","Provincial Hospital (H2)";"DH","District Hospital (H3)";"RH","Regional / National Hospital (H1)"},2,0),
        $D510
      ),
      'Tools &amp; Targets_Guideline'!$C$53:$I$53,
      0
    )
  ),
0))</f>
        <v/>
      </c>
      <c r="M510" s="102"/>
      <c r="N510" s="119" t="str">
        <f t="array" ref="N510">IF(OR($B510="",$D510=""),"",
IFERROR(
  INDEX(
    'Tools &amp; Targets_Guideline'!$C$54:$I$269,
    MATCH(
      1,
      ('Tools &amp; Targets_Guideline'!$A$54:$A$269=$B510)*
      ('Tools &amp; Targets_Guideline'!$B$54:$B$269="PNC"),
      0
    ),
    MATCH(
      _xludf.IFNA(
        VLOOKUP($D510,{"PH","Provincial Hospital (H2)";"DH","District Hospital (H3)";"RH","Regional / National Hospital (H1)"},2,0),
        $D510
      ),
      'Tools &amp; Targets_Guideline'!$C$53:$I$53,
      0
    )
  ),
0))</f>
        <v/>
      </c>
      <c r="O510" s="102"/>
      <c r="P510" s="119" t="str">
        <f t="array" ref="P510">IF(OR($B510="",$D510=""),"",
IFERROR(
  INDEX(
    'Tools &amp; Targets_Guideline'!$C$54:$I$269,
    MATCH(
      1,
      ('Tools &amp; Targets_Guideline'!$A$54:$A$269=$B510)*
      ('Tools &amp; Targets_Guideline'!$B$54:$B$269="Delivery"),
      0
    ),
    MATCH(
      _xludf.IFNA(
        VLOOKUP($D510,{"PH","Provincial Hospital (H2)";"DH","District Hospital (H3)";"RH","Regional / National Hospital (H1)"},2,0),
        $D510
      ),
      'Tools &amp; Targets_Guideline'!$C$53:$I$53,
      0
    )
  ),
0))</f>
        <v/>
      </c>
      <c r="Q510" s="102"/>
      <c r="R510" s="119" t="str">
        <f t="array" ref="R510">IF(OR($B510="",$D510=""),"",
IFERROR(
  INDEX(
    'Tools &amp; Targets_Guideline'!$C$54:$I$269,
    MATCH(
      1,
      ('Tools &amp; Targets_Guideline'!$A$54:$A$269=$B510)*
      ('Tools &amp; Targets_Guideline'!$B$54:$B$269="TT"),
      0
    ),
    MATCH(
      _xludf.IFNA(
        VLOOKUP($D510,{"PH","Provincial Hospital (H2)";"DH","District Hospital (H3)";"RH","Regional / National Hospital (H1)"},2,0),
        $D510
      ),
      'Tools &amp; Targets_Guideline'!$C$53:$I$53,
      0
    )
  ),
0))</f>
        <v/>
      </c>
      <c r="S510" s="102"/>
      <c r="T510" s="102"/>
      <c r="U510" s="106"/>
      <c r="V510" s="102" t="str">
        <f t="shared" si="16"/>
        <v/>
      </c>
      <c r="W510" s="102"/>
      <c r="X510" s="102"/>
      <c r="Y510" s="119" t="str">
        <f t="array" ref="Y510">IF(OR($B510="",$D510=""),"",
IFERROR(
  INDEX(
    'Tools &amp; Targets_Guideline'!$C$54:$I$269,
    MATCH(
      1,
      ('Tools &amp; Targets_Guideline'!$A$54:$A$269=$B510)*
      ('Tools &amp; Targets_Guideline'!$B$54:$B$269="GM"),
      0
    ),
    MATCH(
      _xludf.IFNA(
        VLOOKUP($D510,{"PH","Provincial Hospital (H2)";"DH","District Hospital (H3)";"RH","Regional / National Hospital (H1)"},2,0),
        $D510
      ),
      'Tools &amp; Targets_Guideline'!$C$53:$I$53,
      0
    )
  ),
0))</f>
        <v/>
      </c>
      <c r="Z510" s="102"/>
      <c r="AA510" s="119" t="str">
        <f t="array" ref="AA510">IF(OR($B510="",$D510=""),"",
IFERROR(
  INDEX(
    'Tools &amp; Targets_Guideline'!$C$54:$I$269,
    MATCH(
      1,
      ('Tools &amp; Targets_Guideline'!$A$54:$A$269=$B510)*
      ('Tools &amp; Targets_Guideline'!$B$54:$B$269="Penta"),
      0
    ),
    MATCH(
      _xludf.IFNA(
        VLOOKUP($D510,{"PH","Provincial Hospital (H2)";"DH","District Hospital (H3)";"RH","Regional / National Hospital (H1)"},2,0),
        $D510
      ),
      'Tools &amp; Targets_Guideline'!$C$53:$I$53,
      0
    )
  ),
0))</f>
        <v/>
      </c>
      <c r="AB510" s="102"/>
      <c r="AC510" s="119" t="str">
        <f t="array" ref="AC510">IF(OR($B510="",$D510=""),"",
IFERROR(
  INDEX(
    'Tools &amp; Targets_Guideline'!$C$54:$I$269,
    MATCH(
      1,
      ('Tools &amp; Targets_Guideline'!$A$54:$A$269=$B510)*
      ('Tools &amp; Targets_Guideline'!$B$54:$B$269="TB"),
      0
    ),
    MATCH(
      _xludf.IFNA(
        VLOOKUP($D510,{"PH","Provincial Hospital (H2)";"DH","District Hospital (H3)";"RH","Regional / National Hospital (H1)"},2,0),
        $D510
      ),
      'Tools &amp; Targets_Guideline'!$C$53:$I$53,
      0
    )
  ),
0))</f>
        <v/>
      </c>
      <c r="AD510" s="102"/>
      <c r="AE510" s="119" t="str">
        <f t="array" ref="AE510">IF(OR($B510="",$D510=""),"",
IFERROR(
  INDEX(
    'Tools &amp; Targets_Guideline'!$C$54:$I$269,
    MATCH(
      1,
      ('Tools &amp; Targets_Guideline'!$A$54:$A$269=$B510)*
      ('Tools &amp; Targets_Guideline'!$B$54:$B$269="U5 Morbidity"),
      0
    ),
    MATCH(
      _xludf.IFNA(
        VLOOKUP($D510,{"PH","Provincial Hospital (H2)";"DH","District Hospital (H3)";"RH","Regional / National Hospital (H1)"},2,0),
        $D510
      ),
      'Tools &amp; Targets_Guideline'!$C$53:$I$53,
      0
    )
  ),
0))</f>
        <v/>
      </c>
      <c r="AF510" s="102"/>
      <c r="AG510" s="119" t="str">
        <f t="array" ref="AG510">IF(OR($B510="",$D510=""),"",
IFERROR(
  INDEX(
    'Tools &amp; Targets_Guideline'!$C$54:$I$269,
    MATCH(
      1,
      ('Tools &amp; Targets_Guideline'!$A$54:$A$269=$B510)*
      ('Tools &amp; Targets_Guideline'!$B$54:$B$269="C-Section"),
      0
    ),
    MATCH(
      _xludf.IFNA(
        VLOOKUP($D510,{"PH","Provincial Hospital (H2)";"DH","District Hospital (H3)";"RH","Regional / National Hospital (H1)"},2,0),
        $D510
      ),
      'Tools &amp; Targets_Guideline'!$C$53:$I$53,
      0
    )
  ),
0))</f>
        <v/>
      </c>
      <c r="AH510" s="102" t="str">
        <f>IF(A510&lt;&gt;"",COUNTIFS('QA Log'!D:D,A510,'QA Log'!M:M,"QQC",'QA Log'!L:L,"2. Hygiene and Sterilization",'QA Log'!Z:Z,"Approved"),"")</f>
        <v/>
      </c>
      <c r="AI510" s="102"/>
      <c r="AJ510" s="102"/>
      <c r="AK510" s="103" t="str">
        <f t="shared" si="17"/>
        <v/>
      </c>
      <c r="AL510" s="102"/>
      <c r="AM510" s="102"/>
      <c r="AN510" s="102"/>
      <c r="AO510" s="106"/>
      <c r="AP510" s="103"/>
      <c r="AQ510" s="102"/>
      <c r="AR510" s="102"/>
      <c r="AS510" s="102"/>
      <c r="AT510" s="107"/>
      <c r="AU510" s="102" t="str">
        <f t="shared" si="18"/>
        <v/>
      </c>
      <c r="AV510" s="102" t="str">
        <f t="shared" si="19"/>
        <v/>
      </c>
      <c r="AW510" s="102" t="str">
        <f t="shared" si="20"/>
        <v/>
      </c>
      <c r="AX510" s="102" t="str">
        <f t="shared" si="21"/>
        <v/>
      </c>
      <c r="AY510" s="107" t="str">
        <f t="shared" si="22"/>
        <v/>
      </c>
      <c r="AZ510" s="108" t="str">
        <f t="shared" si="23"/>
        <v/>
      </c>
      <c r="BA510" s="108" t="str">
        <f t="shared" si="24"/>
        <v/>
      </c>
      <c r="BB510" s="109" t="str">
        <f t="shared" si="25"/>
        <v/>
      </c>
      <c r="BC510" s="108" t="str">
        <f t="shared" si="26"/>
        <v/>
      </c>
      <c r="BD510" s="108" t="str">
        <f t="shared" si="27"/>
        <v/>
      </c>
      <c r="BE510" s="109" t="str">
        <f t="shared" si="28"/>
        <v/>
      </c>
      <c r="BF510" s="110" t="str">
        <f t="shared" si="29"/>
        <v/>
      </c>
      <c r="BG510" s="111"/>
    </row>
    <row r="511" spans="1:59" ht="12.75">
      <c r="A511" s="101"/>
      <c r="B511" s="102"/>
      <c r="C511" s="102" t="e">
        <f t="array" aca="1" ref="C511" ca="1">_xludf.XLOOKUP(A511,'QA Log'!D:D,'QA Log'!F:F,"")</f>
        <v>#NAME?</v>
      </c>
      <c r="D511" s="102"/>
      <c r="E511" s="102" t="e">
        <f t="array" aca="1" ref="E511" ca="1">_xludf.XLOOKUP(A511,'QA Log'!D:D,'QA Log'!G:G,"")</f>
        <v>#NAME?</v>
      </c>
      <c r="F511" s="103"/>
      <c r="G511" s="104"/>
      <c r="H511" s="104"/>
      <c r="I511" s="103" t="str">
        <f t="shared" si="15"/>
        <v/>
      </c>
      <c r="J511" s="102"/>
      <c r="K511" s="102"/>
      <c r="L511" s="119" t="str">
        <f t="array" ref="L511">IF(OR($B511="",$D511=""),"",
IFERROR(
  INDEX(
    'Tools &amp; Targets_Guideline'!$C$54:$I$269,
    MATCH(
      1,
      ('Tools &amp; Targets_Guideline'!$A$54:$A$269=$B511)*
      ('Tools &amp; Targets_Guideline'!$B$54:$B$269="ANC"),
      0
    ),
    MATCH(
      _xludf.IFNA(
        VLOOKUP($D511,{"PH","Provincial Hospital (H2)";"DH","District Hospital (H3)";"RH","Regional / National Hospital (H1)"},2,0),
        $D511
      ),
      'Tools &amp; Targets_Guideline'!$C$53:$I$53,
      0
    )
  ),
0))</f>
        <v/>
      </c>
      <c r="M511" s="102"/>
      <c r="N511" s="119" t="str">
        <f t="array" ref="N511">IF(OR($B511="",$D511=""),"",
IFERROR(
  INDEX(
    'Tools &amp; Targets_Guideline'!$C$54:$I$269,
    MATCH(
      1,
      ('Tools &amp; Targets_Guideline'!$A$54:$A$269=$B511)*
      ('Tools &amp; Targets_Guideline'!$B$54:$B$269="PNC"),
      0
    ),
    MATCH(
      _xludf.IFNA(
        VLOOKUP($D511,{"PH","Provincial Hospital (H2)";"DH","District Hospital (H3)";"RH","Regional / National Hospital (H1)"},2,0),
        $D511
      ),
      'Tools &amp; Targets_Guideline'!$C$53:$I$53,
      0
    )
  ),
0))</f>
        <v/>
      </c>
      <c r="O511" s="102"/>
      <c r="P511" s="119" t="str">
        <f t="array" ref="P511">IF(OR($B511="",$D511=""),"",
IFERROR(
  INDEX(
    'Tools &amp; Targets_Guideline'!$C$54:$I$269,
    MATCH(
      1,
      ('Tools &amp; Targets_Guideline'!$A$54:$A$269=$B511)*
      ('Tools &amp; Targets_Guideline'!$B$54:$B$269="Delivery"),
      0
    ),
    MATCH(
      _xludf.IFNA(
        VLOOKUP($D511,{"PH","Provincial Hospital (H2)";"DH","District Hospital (H3)";"RH","Regional / National Hospital (H1)"},2,0),
        $D511
      ),
      'Tools &amp; Targets_Guideline'!$C$53:$I$53,
      0
    )
  ),
0))</f>
        <v/>
      </c>
      <c r="Q511" s="102"/>
      <c r="R511" s="119" t="str">
        <f t="array" ref="R511">IF(OR($B511="",$D511=""),"",
IFERROR(
  INDEX(
    'Tools &amp; Targets_Guideline'!$C$54:$I$269,
    MATCH(
      1,
      ('Tools &amp; Targets_Guideline'!$A$54:$A$269=$B511)*
      ('Tools &amp; Targets_Guideline'!$B$54:$B$269="TT"),
      0
    ),
    MATCH(
      _xludf.IFNA(
        VLOOKUP($D511,{"PH","Provincial Hospital (H2)";"DH","District Hospital (H3)";"RH","Regional / National Hospital (H1)"},2,0),
        $D511
      ),
      'Tools &amp; Targets_Guideline'!$C$53:$I$53,
      0
    )
  ),
0))</f>
        <v/>
      </c>
      <c r="S511" s="102"/>
      <c r="T511" s="102"/>
      <c r="U511" s="106"/>
      <c r="V511" s="102" t="str">
        <f t="shared" si="16"/>
        <v/>
      </c>
      <c r="W511" s="102"/>
      <c r="X511" s="102"/>
      <c r="Y511" s="119" t="str">
        <f t="array" ref="Y511">IF(OR($B511="",$D511=""),"",
IFERROR(
  INDEX(
    'Tools &amp; Targets_Guideline'!$C$54:$I$269,
    MATCH(
      1,
      ('Tools &amp; Targets_Guideline'!$A$54:$A$269=$B511)*
      ('Tools &amp; Targets_Guideline'!$B$54:$B$269="GM"),
      0
    ),
    MATCH(
      _xludf.IFNA(
        VLOOKUP($D511,{"PH","Provincial Hospital (H2)";"DH","District Hospital (H3)";"RH","Regional / National Hospital (H1)"},2,0),
        $D511
      ),
      'Tools &amp; Targets_Guideline'!$C$53:$I$53,
      0
    )
  ),
0))</f>
        <v/>
      </c>
      <c r="Z511" s="102"/>
      <c r="AA511" s="119" t="str">
        <f t="array" ref="AA511">IF(OR($B511="",$D511=""),"",
IFERROR(
  INDEX(
    'Tools &amp; Targets_Guideline'!$C$54:$I$269,
    MATCH(
      1,
      ('Tools &amp; Targets_Guideline'!$A$54:$A$269=$B511)*
      ('Tools &amp; Targets_Guideline'!$B$54:$B$269="Penta"),
      0
    ),
    MATCH(
      _xludf.IFNA(
        VLOOKUP($D511,{"PH","Provincial Hospital (H2)";"DH","District Hospital (H3)";"RH","Regional / National Hospital (H1)"},2,0),
        $D511
      ),
      'Tools &amp; Targets_Guideline'!$C$53:$I$53,
      0
    )
  ),
0))</f>
        <v/>
      </c>
      <c r="AB511" s="102"/>
      <c r="AC511" s="119" t="str">
        <f t="array" ref="AC511">IF(OR($B511="",$D511=""),"",
IFERROR(
  INDEX(
    'Tools &amp; Targets_Guideline'!$C$54:$I$269,
    MATCH(
      1,
      ('Tools &amp; Targets_Guideline'!$A$54:$A$269=$B511)*
      ('Tools &amp; Targets_Guideline'!$B$54:$B$269="TB"),
      0
    ),
    MATCH(
      _xludf.IFNA(
        VLOOKUP($D511,{"PH","Provincial Hospital (H2)";"DH","District Hospital (H3)";"RH","Regional / National Hospital (H1)"},2,0),
        $D511
      ),
      'Tools &amp; Targets_Guideline'!$C$53:$I$53,
      0
    )
  ),
0))</f>
        <v/>
      </c>
      <c r="AD511" s="102"/>
      <c r="AE511" s="119" t="str">
        <f t="array" ref="AE511">IF(OR($B511="",$D511=""),"",
IFERROR(
  INDEX(
    'Tools &amp; Targets_Guideline'!$C$54:$I$269,
    MATCH(
      1,
      ('Tools &amp; Targets_Guideline'!$A$54:$A$269=$B511)*
      ('Tools &amp; Targets_Guideline'!$B$54:$B$269="U5 Morbidity"),
      0
    ),
    MATCH(
      _xludf.IFNA(
        VLOOKUP($D511,{"PH","Provincial Hospital (H2)";"DH","District Hospital (H3)";"RH","Regional / National Hospital (H1)"},2,0),
        $D511
      ),
      'Tools &amp; Targets_Guideline'!$C$53:$I$53,
      0
    )
  ),
0))</f>
        <v/>
      </c>
      <c r="AF511" s="102"/>
      <c r="AG511" s="119" t="str">
        <f t="array" ref="AG511">IF(OR($B511="",$D511=""),"",
IFERROR(
  INDEX(
    'Tools &amp; Targets_Guideline'!$C$54:$I$269,
    MATCH(
      1,
      ('Tools &amp; Targets_Guideline'!$A$54:$A$269=$B511)*
      ('Tools &amp; Targets_Guideline'!$B$54:$B$269="C-Section"),
      0
    ),
    MATCH(
      _xludf.IFNA(
        VLOOKUP($D511,{"PH","Provincial Hospital (H2)";"DH","District Hospital (H3)";"RH","Regional / National Hospital (H1)"},2,0),
        $D511
      ),
      'Tools &amp; Targets_Guideline'!$C$53:$I$53,
      0
    )
  ),
0))</f>
        <v/>
      </c>
      <c r="AH511" s="102" t="str">
        <f>IF(A511&lt;&gt;"",COUNTIFS('QA Log'!D:D,A511,'QA Log'!M:M,"QQC",'QA Log'!L:L,"2. Hygiene and Sterilization",'QA Log'!Z:Z,"Approved"),"")</f>
        <v/>
      </c>
      <c r="AI511" s="102"/>
      <c r="AJ511" s="102"/>
      <c r="AK511" s="103" t="str">
        <f t="shared" si="17"/>
        <v/>
      </c>
      <c r="AL511" s="102"/>
      <c r="AM511" s="102"/>
      <c r="AN511" s="102"/>
      <c r="AO511" s="106"/>
      <c r="AP511" s="103"/>
      <c r="AQ511" s="102"/>
      <c r="AR511" s="102"/>
      <c r="AS511" s="102"/>
      <c r="AT511" s="107"/>
      <c r="AU511" s="102" t="str">
        <f t="shared" si="18"/>
        <v/>
      </c>
      <c r="AV511" s="102" t="str">
        <f t="shared" si="19"/>
        <v/>
      </c>
      <c r="AW511" s="102" t="str">
        <f t="shared" si="20"/>
        <v/>
      </c>
      <c r="AX511" s="102" t="str">
        <f t="shared" si="21"/>
        <v/>
      </c>
      <c r="AY511" s="107" t="str">
        <f t="shared" si="22"/>
        <v/>
      </c>
      <c r="AZ511" s="108" t="str">
        <f t="shared" si="23"/>
        <v/>
      </c>
      <c r="BA511" s="108" t="str">
        <f t="shared" si="24"/>
        <v/>
      </c>
      <c r="BB511" s="109" t="str">
        <f t="shared" si="25"/>
        <v/>
      </c>
      <c r="BC511" s="108" t="str">
        <f t="shared" si="26"/>
        <v/>
      </c>
      <c r="BD511" s="108" t="str">
        <f t="shared" si="27"/>
        <v/>
      </c>
      <c r="BE511" s="109" t="str">
        <f t="shared" si="28"/>
        <v/>
      </c>
      <c r="BF511" s="110" t="str">
        <f t="shared" si="29"/>
        <v/>
      </c>
      <c r="BG511" s="111"/>
    </row>
    <row r="512" spans="1:59" ht="12.75">
      <c r="A512" s="101"/>
      <c r="B512" s="102"/>
      <c r="C512" s="102" t="e">
        <f t="array" aca="1" ref="C512" ca="1">_xludf.XLOOKUP(A512,'QA Log'!D:D,'QA Log'!F:F,"")</f>
        <v>#NAME?</v>
      </c>
      <c r="D512" s="102"/>
      <c r="E512" s="102" t="e">
        <f t="array" aca="1" ref="E512" ca="1">_xludf.XLOOKUP(A512,'QA Log'!D:D,'QA Log'!G:G,"")</f>
        <v>#NAME?</v>
      </c>
      <c r="F512" s="103"/>
      <c r="G512" s="104"/>
      <c r="H512" s="104"/>
      <c r="I512" s="103" t="str">
        <f t="shared" si="15"/>
        <v/>
      </c>
      <c r="J512" s="102"/>
      <c r="K512" s="102"/>
      <c r="L512" s="119" t="str">
        <f t="array" ref="L512">IF(OR($B512="",$D512=""),"",
IFERROR(
  INDEX(
    'Tools &amp; Targets_Guideline'!$C$54:$I$269,
    MATCH(
      1,
      ('Tools &amp; Targets_Guideline'!$A$54:$A$269=$B512)*
      ('Tools &amp; Targets_Guideline'!$B$54:$B$269="ANC"),
      0
    ),
    MATCH(
      _xludf.IFNA(
        VLOOKUP($D512,{"PH","Provincial Hospital (H2)";"DH","District Hospital (H3)";"RH","Regional / National Hospital (H1)"},2,0),
        $D512
      ),
      'Tools &amp; Targets_Guideline'!$C$53:$I$53,
      0
    )
  ),
0))</f>
        <v/>
      </c>
      <c r="M512" s="102"/>
      <c r="N512" s="119" t="str">
        <f t="array" ref="N512">IF(OR($B512="",$D512=""),"",
IFERROR(
  INDEX(
    'Tools &amp; Targets_Guideline'!$C$54:$I$269,
    MATCH(
      1,
      ('Tools &amp; Targets_Guideline'!$A$54:$A$269=$B512)*
      ('Tools &amp; Targets_Guideline'!$B$54:$B$269="PNC"),
      0
    ),
    MATCH(
      _xludf.IFNA(
        VLOOKUP($D512,{"PH","Provincial Hospital (H2)";"DH","District Hospital (H3)";"RH","Regional / National Hospital (H1)"},2,0),
        $D512
      ),
      'Tools &amp; Targets_Guideline'!$C$53:$I$53,
      0
    )
  ),
0))</f>
        <v/>
      </c>
      <c r="O512" s="102"/>
      <c r="P512" s="119" t="str">
        <f t="array" ref="P512">IF(OR($B512="",$D512=""),"",
IFERROR(
  INDEX(
    'Tools &amp; Targets_Guideline'!$C$54:$I$269,
    MATCH(
      1,
      ('Tools &amp; Targets_Guideline'!$A$54:$A$269=$B512)*
      ('Tools &amp; Targets_Guideline'!$B$54:$B$269="Delivery"),
      0
    ),
    MATCH(
      _xludf.IFNA(
        VLOOKUP($D512,{"PH","Provincial Hospital (H2)";"DH","District Hospital (H3)";"RH","Regional / National Hospital (H1)"},2,0),
        $D512
      ),
      'Tools &amp; Targets_Guideline'!$C$53:$I$53,
      0
    )
  ),
0))</f>
        <v/>
      </c>
      <c r="Q512" s="102"/>
      <c r="R512" s="119" t="str">
        <f t="array" ref="R512">IF(OR($B512="",$D512=""),"",
IFERROR(
  INDEX(
    'Tools &amp; Targets_Guideline'!$C$54:$I$269,
    MATCH(
      1,
      ('Tools &amp; Targets_Guideline'!$A$54:$A$269=$B512)*
      ('Tools &amp; Targets_Guideline'!$B$54:$B$269="TT"),
      0
    ),
    MATCH(
      _xludf.IFNA(
        VLOOKUP($D512,{"PH","Provincial Hospital (H2)";"DH","District Hospital (H3)";"RH","Regional / National Hospital (H1)"},2,0),
        $D512
      ),
      'Tools &amp; Targets_Guideline'!$C$53:$I$53,
      0
    )
  ),
0))</f>
        <v/>
      </c>
      <c r="S512" s="102"/>
      <c r="T512" s="102"/>
      <c r="U512" s="106"/>
      <c r="V512" s="102" t="str">
        <f t="shared" si="16"/>
        <v/>
      </c>
      <c r="W512" s="102"/>
      <c r="X512" s="102"/>
      <c r="Y512" s="119" t="str">
        <f t="array" ref="Y512">IF(OR($B512="",$D512=""),"",
IFERROR(
  INDEX(
    'Tools &amp; Targets_Guideline'!$C$54:$I$269,
    MATCH(
      1,
      ('Tools &amp; Targets_Guideline'!$A$54:$A$269=$B512)*
      ('Tools &amp; Targets_Guideline'!$B$54:$B$269="GM"),
      0
    ),
    MATCH(
      _xludf.IFNA(
        VLOOKUP($D512,{"PH","Provincial Hospital (H2)";"DH","District Hospital (H3)";"RH","Regional / National Hospital (H1)"},2,0),
        $D512
      ),
      'Tools &amp; Targets_Guideline'!$C$53:$I$53,
      0
    )
  ),
0))</f>
        <v/>
      </c>
      <c r="Z512" s="102"/>
      <c r="AA512" s="119" t="str">
        <f t="array" ref="AA512">IF(OR($B512="",$D512=""),"",
IFERROR(
  INDEX(
    'Tools &amp; Targets_Guideline'!$C$54:$I$269,
    MATCH(
      1,
      ('Tools &amp; Targets_Guideline'!$A$54:$A$269=$B512)*
      ('Tools &amp; Targets_Guideline'!$B$54:$B$269="Penta"),
      0
    ),
    MATCH(
      _xludf.IFNA(
        VLOOKUP($D512,{"PH","Provincial Hospital (H2)";"DH","District Hospital (H3)";"RH","Regional / National Hospital (H1)"},2,0),
        $D512
      ),
      'Tools &amp; Targets_Guideline'!$C$53:$I$53,
      0
    )
  ),
0))</f>
        <v/>
      </c>
      <c r="AB512" s="102"/>
      <c r="AC512" s="119" t="str">
        <f t="array" ref="AC512">IF(OR($B512="",$D512=""),"",
IFERROR(
  INDEX(
    'Tools &amp; Targets_Guideline'!$C$54:$I$269,
    MATCH(
      1,
      ('Tools &amp; Targets_Guideline'!$A$54:$A$269=$B512)*
      ('Tools &amp; Targets_Guideline'!$B$54:$B$269="TB"),
      0
    ),
    MATCH(
      _xludf.IFNA(
        VLOOKUP($D512,{"PH","Provincial Hospital (H2)";"DH","District Hospital (H3)";"RH","Regional / National Hospital (H1)"},2,0),
        $D512
      ),
      'Tools &amp; Targets_Guideline'!$C$53:$I$53,
      0
    )
  ),
0))</f>
        <v/>
      </c>
      <c r="AD512" s="102"/>
      <c r="AE512" s="119" t="str">
        <f t="array" ref="AE512">IF(OR($B512="",$D512=""),"",
IFERROR(
  INDEX(
    'Tools &amp; Targets_Guideline'!$C$54:$I$269,
    MATCH(
      1,
      ('Tools &amp; Targets_Guideline'!$A$54:$A$269=$B512)*
      ('Tools &amp; Targets_Guideline'!$B$54:$B$269="U5 Morbidity"),
      0
    ),
    MATCH(
      _xludf.IFNA(
        VLOOKUP($D512,{"PH","Provincial Hospital (H2)";"DH","District Hospital (H3)";"RH","Regional / National Hospital (H1)"},2,0),
        $D512
      ),
      'Tools &amp; Targets_Guideline'!$C$53:$I$53,
      0
    )
  ),
0))</f>
        <v/>
      </c>
      <c r="AF512" s="102"/>
      <c r="AG512" s="119" t="str">
        <f t="array" ref="AG512">IF(OR($B512="",$D512=""),"",
IFERROR(
  INDEX(
    'Tools &amp; Targets_Guideline'!$C$54:$I$269,
    MATCH(
      1,
      ('Tools &amp; Targets_Guideline'!$A$54:$A$269=$B512)*
      ('Tools &amp; Targets_Guideline'!$B$54:$B$269="C-Section"),
      0
    ),
    MATCH(
      _xludf.IFNA(
        VLOOKUP($D512,{"PH","Provincial Hospital (H2)";"DH","District Hospital (H3)";"RH","Regional / National Hospital (H1)"},2,0),
        $D512
      ),
      'Tools &amp; Targets_Guideline'!$C$53:$I$53,
      0
    )
  ),
0))</f>
        <v/>
      </c>
      <c r="AH512" s="102" t="str">
        <f>IF(A512&lt;&gt;"",COUNTIFS('QA Log'!D:D,A512,'QA Log'!M:M,"QQC",'QA Log'!L:L,"2. Hygiene and Sterilization",'QA Log'!Z:Z,"Approved"),"")</f>
        <v/>
      </c>
      <c r="AI512" s="102"/>
      <c r="AJ512" s="102"/>
      <c r="AK512" s="103" t="str">
        <f t="shared" si="17"/>
        <v/>
      </c>
      <c r="AL512" s="102"/>
      <c r="AM512" s="102"/>
      <c r="AN512" s="102"/>
      <c r="AO512" s="106"/>
      <c r="AP512" s="103"/>
      <c r="AQ512" s="102"/>
      <c r="AR512" s="102"/>
      <c r="AS512" s="102"/>
      <c r="AT512" s="107"/>
      <c r="AU512" s="102" t="str">
        <f t="shared" si="18"/>
        <v/>
      </c>
      <c r="AV512" s="102" t="str">
        <f t="shared" si="19"/>
        <v/>
      </c>
      <c r="AW512" s="102" t="str">
        <f t="shared" si="20"/>
        <v/>
      </c>
      <c r="AX512" s="102" t="str">
        <f t="shared" si="21"/>
        <v/>
      </c>
      <c r="AY512" s="107" t="str">
        <f t="shared" si="22"/>
        <v/>
      </c>
      <c r="AZ512" s="108" t="str">
        <f t="shared" si="23"/>
        <v/>
      </c>
      <c r="BA512" s="108" t="str">
        <f t="shared" si="24"/>
        <v/>
      </c>
      <c r="BB512" s="109" t="str">
        <f t="shared" si="25"/>
        <v/>
      </c>
      <c r="BC512" s="108" t="str">
        <f t="shared" si="26"/>
        <v/>
      </c>
      <c r="BD512" s="108" t="str">
        <f t="shared" si="27"/>
        <v/>
      </c>
      <c r="BE512" s="109" t="str">
        <f t="shared" si="28"/>
        <v/>
      </c>
      <c r="BF512" s="110" t="str">
        <f t="shared" si="29"/>
        <v/>
      </c>
      <c r="BG512" s="111"/>
    </row>
    <row r="513" spans="1:59" ht="12.75">
      <c r="A513" s="101"/>
      <c r="B513" s="102"/>
      <c r="C513" s="102" t="e">
        <f t="array" aca="1" ref="C513" ca="1">_xludf.XLOOKUP(A513,'QA Log'!D:D,'QA Log'!F:F,"")</f>
        <v>#NAME?</v>
      </c>
      <c r="D513" s="102"/>
      <c r="E513" s="102" t="e">
        <f t="array" aca="1" ref="E513" ca="1">_xludf.XLOOKUP(A513,'QA Log'!D:D,'QA Log'!G:G,"")</f>
        <v>#NAME?</v>
      </c>
      <c r="F513" s="103"/>
      <c r="G513" s="104"/>
      <c r="H513" s="104"/>
      <c r="I513" s="103" t="str">
        <f t="shared" ref="I513:I531" si="30">IF(A513&lt;&gt;"",SUM(L513,N513,P513,R513),"")</f>
        <v/>
      </c>
      <c r="J513" s="102"/>
      <c r="K513" s="102"/>
      <c r="L513" s="119" t="str">
        <f t="array" ref="L513">IF(OR($B513="",$D513=""),"",
IFERROR(
  INDEX(
    'Tools &amp; Targets_Guideline'!$C$54:$I$269,
    MATCH(
      1,
      ('Tools &amp; Targets_Guideline'!$A$54:$A$269=$B513)*
      ('Tools &amp; Targets_Guideline'!$B$54:$B$269="ANC"),
      0
    ),
    MATCH(
      _xludf.IFNA(
        VLOOKUP($D513,{"PH","Provincial Hospital (H2)";"DH","District Hospital (H3)";"RH","Regional / National Hospital (H1)"},2,0),
        $D513
      ),
      'Tools &amp; Targets_Guideline'!$C$53:$I$53,
      0
    )
  ),
0))</f>
        <v/>
      </c>
      <c r="M513" s="102"/>
      <c r="N513" s="119" t="str">
        <f t="array" ref="N513">IF(OR($B513="",$D513=""),"",
IFERROR(
  INDEX(
    'Tools &amp; Targets_Guideline'!$C$54:$I$269,
    MATCH(
      1,
      ('Tools &amp; Targets_Guideline'!$A$54:$A$269=$B513)*
      ('Tools &amp; Targets_Guideline'!$B$54:$B$269="PNC"),
      0
    ),
    MATCH(
      _xludf.IFNA(
        VLOOKUP($D513,{"PH","Provincial Hospital (H2)";"DH","District Hospital (H3)";"RH","Regional / National Hospital (H1)"},2,0),
        $D513
      ),
      'Tools &amp; Targets_Guideline'!$C$53:$I$53,
      0
    )
  ),
0))</f>
        <v/>
      </c>
      <c r="O513" s="102"/>
      <c r="P513" s="119" t="str">
        <f t="array" ref="P513">IF(OR($B513="",$D513=""),"",
IFERROR(
  INDEX(
    'Tools &amp; Targets_Guideline'!$C$54:$I$269,
    MATCH(
      1,
      ('Tools &amp; Targets_Guideline'!$A$54:$A$269=$B513)*
      ('Tools &amp; Targets_Guideline'!$B$54:$B$269="Delivery"),
      0
    ),
    MATCH(
      _xludf.IFNA(
        VLOOKUP($D513,{"PH","Provincial Hospital (H2)";"DH","District Hospital (H3)";"RH","Regional / National Hospital (H1)"},2,0),
        $D513
      ),
      'Tools &amp; Targets_Guideline'!$C$53:$I$53,
      0
    )
  ),
0))</f>
        <v/>
      </c>
      <c r="Q513" s="102"/>
      <c r="R513" s="119" t="str">
        <f t="array" ref="R513">IF(OR($B513="",$D513=""),"",
IFERROR(
  INDEX(
    'Tools &amp; Targets_Guideline'!$C$54:$I$269,
    MATCH(
      1,
      ('Tools &amp; Targets_Guideline'!$A$54:$A$269=$B513)*
      ('Tools &amp; Targets_Guideline'!$B$54:$B$269="TT"),
      0
    ),
    MATCH(
      _xludf.IFNA(
        VLOOKUP($D513,{"PH","Provincial Hospital (H2)";"DH","District Hospital (H3)";"RH","Regional / National Hospital (H1)"},2,0),
        $D513
      ),
      'Tools &amp; Targets_Guideline'!$C$53:$I$53,
      0
    )
  ),
0))</f>
        <v/>
      </c>
      <c r="S513" s="102"/>
      <c r="T513" s="102"/>
      <c r="U513" s="106"/>
      <c r="V513" s="102" t="str">
        <f t="shared" ref="V513:V531" si="31">IF(A513&lt;&gt;"",SUM(Y513,AA513,AC513,AE513,AG513),"")</f>
        <v/>
      </c>
      <c r="W513" s="102"/>
      <c r="X513" s="102"/>
      <c r="Y513" s="119" t="str">
        <f t="array" ref="Y513">IF(OR($B513="",$D513=""),"",
IFERROR(
  INDEX(
    'Tools &amp; Targets_Guideline'!$C$54:$I$269,
    MATCH(
      1,
      ('Tools &amp; Targets_Guideline'!$A$54:$A$269=$B513)*
      ('Tools &amp; Targets_Guideline'!$B$54:$B$269="GM"),
      0
    ),
    MATCH(
      _xludf.IFNA(
        VLOOKUP($D513,{"PH","Provincial Hospital (H2)";"DH","District Hospital (H3)";"RH","Regional / National Hospital (H1)"},2,0),
        $D513
      ),
      'Tools &amp; Targets_Guideline'!$C$53:$I$53,
      0
    )
  ),
0))</f>
        <v/>
      </c>
      <c r="Z513" s="102"/>
      <c r="AA513" s="119" t="str">
        <f t="array" ref="AA513">IF(OR($B513="",$D513=""),"",
IFERROR(
  INDEX(
    'Tools &amp; Targets_Guideline'!$C$54:$I$269,
    MATCH(
      1,
      ('Tools &amp; Targets_Guideline'!$A$54:$A$269=$B513)*
      ('Tools &amp; Targets_Guideline'!$B$54:$B$269="Penta"),
      0
    ),
    MATCH(
      _xludf.IFNA(
        VLOOKUP($D513,{"PH","Provincial Hospital (H2)";"DH","District Hospital (H3)";"RH","Regional / National Hospital (H1)"},2,0),
        $D513
      ),
      'Tools &amp; Targets_Guideline'!$C$53:$I$53,
      0
    )
  ),
0))</f>
        <v/>
      </c>
      <c r="AB513" s="102"/>
      <c r="AC513" s="119" t="str">
        <f t="array" ref="AC513">IF(OR($B513="",$D513=""),"",
IFERROR(
  INDEX(
    'Tools &amp; Targets_Guideline'!$C$54:$I$269,
    MATCH(
      1,
      ('Tools &amp; Targets_Guideline'!$A$54:$A$269=$B513)*
      ('Tools &amp; Targets_Guideline'!$B$54:$B$269="TB"),
      0
    ),
    MATCH(
      _xludf.IFNA(
        VLOOKUP($D513,{"PH","Provincial Hospital (H2)";"DH","District Hospital (H3)";"RH","Regional / National Hospital (H1)"},2,0),
        $D513
      ),
      'Tools &amp; Targets_Guideline'!$C$53:$I$53,
      0
    )
  ),
0))</f>
        <v/>
      </c>
      <c r="AD513" s="102"/>
      <c r="AE513" s="119" t="str">
        <f t="array" ref="AE513">IF(OR($B513="",$D513=""),"",
IFERROR(
  INDEX(
    'Tools &amp; Targets_Guideline'!$C$54:$I$269,
    MATCH(
      1,
      ('Tools &amp; Targets_Guideline'!$A$54:$A$269=$B513)*
      ('Tools &amp; Targets_Guideline'!$B$54:$B$269="U5 Morbidity"),
      0
    ),
    MATCH(
      _xludf.IFNA(
        VLOOKUP($D513,{"PH","Provincial Hospital (H2)";"DH","District Hospital (H3)";"RH","Regional / National Hospital (H1)"},2,0),
        $D513
      ),
      'Tools &amp; Targets_Guideline'!$C$53:$I$53,
      0
    )
  ),
0))</f>
        <v/>
      </c>
      <c r="AF513" s="102"/>
      <c r="AG513" s="119" t="str">
        <f t="array" ref="AG513">IF(OR($B513="",$D513=""),"",
IFERROR(
  INDEX(
    'Tools &amp; Targets_Guideline'!$C$54:$I$269,
    MATCH(
      1,
      ('Tools &amp; Targets_Guideline'!$A$54:$A$269=$B513)*
      ('Tools &amp; Targets_Guideline'!$B$54:$B$269="C-Section"),
      0
    ),
    MATCH(
      _xludf.IFNA(
        VLOOKUP($D513,{"PH","Provincial Hospital (H2)";"DH","District Hospital (H3)";"RH","Regional / National Hospital (H1)"},2,0),
        $D513
      ),
      'Tools &amp; Targets_Guideline'!$C$53:$I$53,
      0
    )
  ),
0))</f>
        <v/>
      </c>
      <c r="AH513" s="102" t="str">
        <f>IF(A513&lt;&gt;"",COUNTIFS('QA Log'!D:D,A513,'QA Log'!M:M,"QQC",'QA Log'!L:L,"2. Hygiene and Sterilization",'QA Log'!Z:Z,"Approved"),"")</f>
        <v/>
      </c>
      <c r="AI513" s="102"/>
      <c r="AJ513" s="102"/>
      <c r="AK513" s="103" t="str">
        <f t="shared" ref="AK513:AK531" si="32">IF(A513="", "", IF(OR(D513="RH", D513="PH", D513="SHC"), 0,1))</f>
        <v/>
      </c>
      <c r="AL513" s="102"/>
      <c r="AM513" s="102"/>
      <c r="AN513" s="102"/>
      <c r="AO513" s="106"/>
      <c r="AP513" s="103"/>
      <c r="AQ513" s="102"/>
      <c r="AR513" s="102"/>
      <c r="AS513" s="102"/>
      <c r="AT513" s="107"/>
      <c r="AU513" s="102" t="str">
        <f t="shared" ref="AU513:AU531" si="33">IF(A513&lt;&gt;"",SUM(#REF!,#REF!,AP513,#REF!,AK513,V513,I513),"")</f>
        <v/>
      </c>
      <c r="AV513" s="102" t="str">
        <f t="shared" ref="AV513:AV531" si="34">IF(A513&lt;&gt;"",SUM(#REF!,#REF!,AQ513,#REF!,AL513,W513,J513),"")</f>
        <v/>
      </c>
      <c r="AW513" s="102" t="str">
        <f t="shared" ref="AW513:AW531" si="35">IF(A513&lt;&gt;"",SUM(#REF!,#REF!,AR513,#REF!,AM513,X513,K513),"")</f>
        <v/>
      </c>
      <c r="AX513" s="102" t="str">
        <f t="shared" ref="AX513:AX531" si="36">IF(A513&lt;&gt;"",SUM(#REF!,#REF!,AS513,#REF!,AN513,AI513,T513),"")</f>
        <v/>
      </c>
      <c r="AY513" s="107" t="str">
        <f t="shared" ref="AY513:AY531" si="37">IF(A513&lt;&gt;"",AU513-AW513,"")</f>
        <v/>
      </c>
      <c r="AZ513" s="108" t="str">
        <f t="shared" ref="AZ513:AZ531" si="38">IF(
  A513="","",
  IF(
    OR(D513="RH",D513="PH",D513="SHC"),
    "Not Applicable",
    IF(AND(I513&lt;=J513,V513&lt;=W513),"Fully Received","Not Received")
  )
)</f>
        <v/>
      </c>
      <c r="BA513" s="108" t="str">
        <f t="shared" ref="BA513:BA531" si="39">IF(A513&lt;&gt;"", IF(OR(D513="DH",D513="CHC",D513="BHC"),"Not Applicable",IF(AND(AK513&lt;=AL513,#REF!&lt;=#REF!),"Fully Received","Not Received")),"")</f>
        <v/>
      </c>
      <c r="BB513" s="109" t="str">
        <f t="shared" ref="BB513:BB531" si="40">IF(A513&lt;&gt;"",IF(AND(AP513&lt;=AQ513,#REF!&lt;=#REF!,#REF!&lt;=#REF!),"Fully Received","Not Received"),"")</f>
        <v/>
      </c>
      <c r="BC513" s="108" t="str">
        <f t="shared" ref="BC513:BC531" si="41">IF(
  A513="","",
  IF(
    OR(D513="RH",D513="PH",D513="SHC"),
    "Not Applicable",
    IF(AND(I513&lt;=K513,V513&lt;=X513),"Fully Received","Not Received")
  )
)</f>
        <v/>
      </c>
      <c r="BD513" s="108" t="str">
        <f t="shared" ref="BD513:BD531" si="42">IF(A513&lt;&gt;"",IF(OR(D513="DH",D513="CHC",D513="BHC"),"Not Applicable",IF(AND(AK513&lt;=AM513,#REF!&lt;=#REF!),"Fully Received","Not Received")),"")</f>
        <v/>
      </c>
      <c r="BE513" s="109" t="str">
        <f t="shared" ref="BE513:BE531" si="43">IF(A513&lt;&gt;"",IF(AND(AP513&lt;=AR513,#REF!&lt;=#REF!,#REF!&lt;=#REF!),"Fully Received","Not Received"),"")</f>
        <v/>
      </c>
      <c r="BF513" s="110" t="str">
        <f t="shared" ref="BF513:BF531" si="44">IF(A513&lt;&gt;"",IF(AND(BC513="Fully Received", BD513="Fully Received", BE513="Fully Received"),"Completed Based on Data",IF(AND(BC513="Not Received", BD513="Not Received", BE513="Not Received"),"Not Completed Based on Data","Partially Completed")),"")</f>
        <v/>
      </c>
      <c r="BG513" s="111"/>
    </row>
    <row r="514" spans="1:59" ht="12.75">
      <c r="A514" s="101"/>
      <c r="B514" s="102"/>
      <c r="C514" s="102" t="e">
        <f t="array" aca="1" ref="C514" ca="1">_xludf.XLOOKUP(A514,'QA Log'!D:D,'QA Log'!F:F,"")</f>
        <v>#NAME?</v>
      </c>
      <c r="D514" s="102"/>
      <c r="E514" s="102" t="e">
        <f t="array" aca="1" ref="E514" ca="1">_xludf.XLOOKUP(A514,'QA Log'!D:D,'QA Log'!G:G,"")</f>
        <v>#NAME?</v>
      </c>
      <c r="F514" s="103"/>
      <c r="G514" s="104"/>
      <c r="H514" s="104"/>
      <c r="I514" s="103" t="str">
        <f t="shared" si="30"/>
        <v/>
      </c>
      <c r="J514" s="102"/>
      <c r="K514" s="102"/>
      <c r="L514" s="119" t="str">
        <f t="array" ref="L514">IF(OR($B514="",$D514=""),"",
IFERROR(
  INDEX(
    'Tools &amp; Targets_Guideline'!$C$54:$I$269,
    MATCH(
      1,
      ('Tools &amp; Targets_Guideline'!$A$54:$A$269=$B514)*
      ('Tools &amp; Targets_Guideline'!$B$54:$B$269="ANC"),
      0
    ),
    MATCH(
      _xludf.IFNA(
        VLOOKUP($D514,{"PH","Provincial Hospital (H2)";"DH","District Hospital (H3)";"RH","Regional / National Hospital (H1)"},2,0),
        $D514
      ),
      'Tools &amp; Targets_Guideline'!$C$53:$I$53,
      0
    )
  ),
0))</f>
        <v/>
      </c>
      <c r="M514" s="102"/>
      <c r="N514" s="119" t="str">
        <f t="array" ref="N514">IF(OR($B514="",$D514=""),"",
IFERROR(
  INDEX(
    'Tools &amp; Targets_Guideline'!$C$54:$I$269,
    MATCH(
      1,
      ('Tools &amp; Targets_Guideline'!$A$54:$A$269=$B514)*
      ('Tools &amp; Targets_Guideline'!$B$54:$B$269="PNC"),
      0
    ),
    MATCH(
      _xludf.IFNA(
        VLOOKUP($D514,{"PH","Provincial Hospital (H2)";"DH","District Hospital (H3)";"RH","Regional / National Hospital (H1)"},2,0),
        $D514
      ),
      'Tools &amp; Targets_Guideline'!$C$53:$I$53,
      0
    )
  ),
0))</f>
        <v/>
      </c>
      <c r="O514" s="102"/>
      <c r="P514" s="119" t="str">
        <f t="array" ref="P514">IF(OR($B514="",$D514=""),"",
IFERROR(
  INDEX(
    'Tools &amp; Targets_Guideline'!$C$54:$I$269,
    MATCH(
      1,
      ('Tools &amp; Targets_Guideline'!$A$54:$A$269=$B514)*
      ('Tools &amp; Targets_Guideline'!$B$54:$B$269="Delivery"),
      0
    ),
    MATCH(
      _xludf.IFNA(
        VLOOKUP($D514,{"PH","Provincial Hospital (H2)";"DH","District Hospital (H3)";"RH","Regional / National Hospital (H1)"},2,0),
        $D514
      ),
      'Tools &amp; Targets_Guideline'!$C$53:$I$53,
      0
    )
  ),
0))</f>
        <v/>
      </c>
      <c r="Q514" s="102"/>
      <c r="R514" s="119" t="str">
        <f t="array" ref="R514">IF(OR($B514="",$D514=""),"",
IFERROR(
  INDEX(
    'Tools &amp; Targets_Guideline'!$C$54:$I$269,
    MATCH(
      1,
      ('Tools &amp; Targets_Guideline'!$A$54:$A$269=$B514)*
      ('Tools &amp; Targets_Guideline'!$B$54:$B$269="TT"),
      0
    ),
    MATCH(
      _xludf.IFNA(
        VLOOKUP($D514,{"PH","Provincial Hospital (H2)";"DH","District Hospital (H3)";"RH","Regional / National Hospital (H1)"},2,0),
        $D514
      ),
      'Tools &amp; Targets_Guideline'!$C$53:$I$53,
      0
    )
  ),
0))</f>
        <v/>
      </c>
      <c r="S514" s="102"/>
      <c r="T514" s="102"/>
      <c r="U514" s="106"/>
      <c r="V514" s="102" t="str">
        <f t="shared" si="31"/>
        <v/>
      </c>
      <c r="W514" s="102"/>
      <c r="X514" s="102"/>
      <c r="Y514" s="119" t="str">
        <f t="array" ref="Y514">IF(OR($B514="",$D514=""),"",
IFERROR(
  INDEX(
    'Tools &amp; Targets_Guideline'!$C$54:$I$269,
    MATCH(
      1,
      ('Tools &amp; Targets_Guideline'!$A$54:$A$269=$B514)*
      ('Tools &amp; Targets_Guideline'!$B$54:$B$269="GM"),
      0
    ),
    MATCH(
      _xludf.IFNA(
        VLOOKUP($D514,{"PH","Provincial Hospital (H2)";"DH","District Hospital (H3)";"RH","Regional / National Hospital (H1)"},2,0),
        $D514
      ),
      'Tools &amp; Targets_Guideline'!$C$53:$I$53,
      0
    )
  ),
0))</f>
        <v/>
      </c>
      <c r="Z514" s="102"/>
      <c r="AA514" s="119" t="str">
        <f t="array" ref="AA514">IF(OR($B514="",$D514=""),"",
IFERROR(
  INDEX(
    'Tools &amp; Targets_Guideline'!$C$54:$I$269,
    MATCH(
      1,
      ('Tools &amp; Targets_Guideline'!$A$54:$A$269=$B514)*
      ('Tools &amp; Targets_Guideline'!$B$54:$B$269="Penta"),
      0
    ),
    MATCH(
      _xludf.IFNA(
        VLOOKUP($D514,{"PH","Provincial Hospital (H2)";"DH","District Hospital (H3)";"RH","Regional / National Hospital (H1)"},2,0),
        $D514
      ),
      'Tools &amp; Targets_Guideline'!$C$53:$I$53,
      0
    )
  ),
0))</f>
        <v/>
      </c>
      <c r="AB514" s="102"/>
      <c r="AC514" s="119" t="str">
        <f t="array" ref="AC514">IF(OR($B514="",$D514=""),"",
IFERROR(
  INDEX(
    'Tools &amp; Targets_Guideline'!$C$54:$I$269,
    MATCH(
      1,
      ('Tools &amp; Targets_Guideline'!$A$54:$A$269=$B514)*
      ('Tools &amp; Targets_Guideline'!$B$54:$B$269="TB"),
      0
    ),
    MATCH(
      _xludf.IFNA(
        VLOOKUP($D514,{"PH","Provincial Hospital (H2)";"DH","District Hospital (H3)";"RH","Regional / National Hospital (H1)"},2,0),
        $D514
      ),
      'Tools &amp; Targets_Guideline'!$C$53:$I$53,
      0
    )
  ),
0))</f>
        <v/>
      </c>
      <c r="AD514" s="102"/>
      <c r="AE514" s="119" t="str">
        <f t="array" ref="AE514">IF(OR($B514="",$D514=""),"",
IFERROR(
  INDEX(
    'Tools &amp; Targets_Guideline'!$C$54:$I$269,
    MATCH(
      1,
      ('Tools &amp; Targets_Guideline'!$A$54:$A$269=$B514)*
      ('Tools &amp; Targets_Guideline'!$B$54:$B$269="U5 Morbidity"),
      0
    ),
    MATCH(
      _xludf.IFNA(
        VLOOKUP($D514,{"PH","Provincial Hospital (H2)";"DH","District Hospital (H3)";"RH","Regional / National Hospital (H1)"},2,0),
        $D514
      ),
      'Tools &amp; Targets_Guideline'!$C$53:$I$53,
      0
    )
  ),
0))</f>
        <v/>
      </c>
      <c r="AF514" s="102"/>
      <c r="AG514" s="119" t="str">
        <f t="array" ref="AG514">IF(OR($B514="",$D514=""),"",
IFERROR(
  INDEX(
    'Tools &amp; Targets_Guideline'!$C$54:$I$269,
    MATCH(
      1,
      ('Tools &amp; Targets_Guideline'!$A$54:$A$269=$B514)*
      ('Tools &amp; Targets_Guideline'!$B$54:$B$269="C-Section"),
      0
    ),
    MATCH(
      _xludf.IFNA(
        VLOOKUP($D514,{"PH","Provincial Hospital (H2)";"DH","District Hospital (H3)";"RH","Regional / National Hospital (H1)"},2,0),
        $D514
      ),
      'Tools &amp; Targets_Guideline'!$C$53:$I$53,
      0
    )
  ),
0))</f>
        <v/>
      </c>
      <c r="AH514" s="102" t="str">
        <f>IF(A514&lt;&gt;"",COUNTIFS('QA Log'!D:D,A514,'QA Log'!M:M,"QQC",'QA Log'!L:L,"2. Hygiene and Sterilization",'QA Log'!Z:Z,"Approved"),"")</f>
        <v/>
      </c>
      <c r="AI514" s="102"/>
      <c r="AJ514" s="102"/>
      <c r="AK514" s="103" t="str">
        <f t="shared" si="32"/>
        <v/>
      </c>
      <c r="AL514" s="102"/>
      <c r="AM514" s="102"/>
      <c r="AN514" s="102"/>
      <c r="AO514" s="106"/>
      <c r="AP514" s="103"/>
      <c r="AQ514" s="102"/>
      <c r="AR514" s="102"/>
      <c r="AS514" s="102"/>
      <c r="AT514" s="107"/>
      <c r="AU514" s="102" t="str">
        <f t="shared" si="33"/>
        <v/>
      </c>
      <c r="AV514" s="102" t="str">
        <f t="shared" si="34"/>
        <v/>
      </c>
      <c r="AW514" s="102" t="str">
        <f t="shared" si="35"/>
        <v/>
      </c>
      <c r="AX514" s="102" t="str">
        <f t="shared" si="36"/>
        <v/>
      </c>
      <c r="AY514" s="107" t="str">
        <f t="shared" si="37"/>
        <v/>
      </c>
      <c r="AZ514" s="108" t="str">
        <f t="shared" si="38"/>
        <v/>
      </c>
      <c r="BA514" s="108" t="str">
        <f t="shared" si="39"/>
        <v/>
      </c>
      <c r="BB514" s="109" t="str">
        <f t="shared" si="40"/>
        <v/>
      </c>
      <c r="BC514" s="108" t="str">
        <f t="shared" si="41"/>
        <v/>
      </c>
      <c r="BD514" s="108" t="str">
        <f t="shared" si="42"/>
        <v/>
      </c>
      <c r="BE514" s="109" t="str">
        <f t="shared" si="43"/>
        <v/>
      </c>
      <c r="BF514" s="110" t="str">
        <f t="shared" si="44"/>
        <v/>
      </c>
      <c r="BG514" s="111"/>
    </row>
    <row r="515" spans="1:59" ht="12.75">
      <c r="A515" s="101"/>
      <c r="B515" s="102"/>
      <c r="C515" s="102" t="e">
        <f t="array" aca="1" ref="C515" ca="1">_xludf.XLOOKUP(A515,'QA Log'!D:D,'QA Log'!F:F,"")</f>
        <v>#NAME?</v>
      </c>
      <c r="D515" s="102"/>
      <c r="E515" s="102" t="e">
        <f t="array" aca="1" ref="E515" ca="1">_xludf.XLOOKUP(A515,'QA Log'!D:D,'QA Log'!G:G,"")</f>
        <v>#NAME?</v>
      </c>
      <c r="F515" s="103"/>
      <c r="G515" s="104"/>
      <c r="H515" s="104"/>
      <c r="I515" s="103" t="str">
        <f t="shared" si="30"/>
        <v/>
      </c>
      <c r="J515" s="102"/>
      <c r="K515" s="102"/>
      <c r="L515" s="119" t="str">
        <f t="array" ref="L515">IF(OR($B515="",$D515=""),"",
IFERROR(
  INDEX(
    'Tools &amp; Targets_Guideline'!$C$54:$I$269,
    MATCH(
      1,
      ('Tools &amp; Targets_Guideline'!$A$54:$A$269=$B515)*
      ('Tools &amp; Targets_Guideline'!$B$54:$B$269="ANC"),
      0
    ),
    MATCH(
      _xludf.IFNA(
        VLOOKUP($D515,{"PH","Provincial Hospital (H2)";"DH","District Hospital (H3)";"RH","Regional / National Hospital (H1)"},2,0),
        $D515
      ),
      'Tools &amp; Targets_Guideline'!$C$53:$I$53,
      0
    )
  ),
0))</f>
        <v/>
      </c>
      <c r="M515" s="102"/>
      <c r="N515" s="119" t="str">
        <f t="array" ref="N515">IF(OR($B515="",$D515=""),"",
IFERROR(
  INDEX(
    'Tools &amp; Targets_Guideline'!$C$54:$I$269,
    MATCH(
      1,
      ('Tools &amp; Targets_Guideline'!$A$54:$A$269=$B515)*
      ('Tools &amp; Targets_Guideline'!$B$54:$B$269="PNC"),
      0
    ),
    MATCH(
      _xludf.IFNA(
        VLOOKUP($D515,{"PH","Provincial Hospital (H2)";"DH","District Hospital (H3)";"RH","Regional / National Hospital (H1)"},2,0),
        $D515
      ),
      'Tools &amp; Targets_Guideline'!$C$53:$I$53,
      0
    )
  ),
0))</f>
        <v/>
      </c>
      <c r="O515" s="102"/>
      <c r="P515" s="119" t="str">
        <f t="array" ref="P515">IF(OR($B515="",$D515=""),"",
IFERROR(
  INDEX(
    'Tools &amp; Targets_Guideline'!$C$54:$I$269,
    MATCH(
      1,
      ('Tools &amp; Targets_Guideline'!$A$54:$A$269=$B515)*
      ('Tools &amp; Targets_Guideline'!$B$54:$B$269="Delivery"),
      0
    ),
    MATCH(
      _xludf.IFNA(
        VLOOKUP($D515,{"PH","Provincial Hospital (H2)";"DH","District Hospital (H3)";"RH","Regional / National Hospital (H1)"},2,0),
        $D515
      ),
      'Tools &amp; Targets_Guideline'!$C$53:$I$53,
      0
    )
  ),
0))</f>
        <v/>
      </c>
      <c r="Q515" s="102"/>
      <c r="R515" s="119" t="str">
        <f t="array" ref="R515">IF(OR($B515="",$D515=""),"",
IFERROR(
  INDEX(
    'Tools &amp; Targets_Guideline'!$C$54:$I$269,
    MATCH(
      1,
      ('Tools &amp; Targets_Guideline'!$A$54:$A$269=$B515)*
      ('Tools &amp; Targets_Guideline'!$B$54:$B$269="TT"),
      0
    ),
    MATCH(
      _xludf.IFNA(
        VLOOKUP($D515,{"PH","Provincial Hospital (H2)";"DH","District Hospital (H3)";"RH","Regional / National Hospital (H1)"},2,0),
        $D515
      ),
      'Tools &amp; Targets_Guideline'!$C$53:$I$53,
      0
    )
  ),
0))</f>
        <v/>
      </c>
      <c r="S515" s="102"/>
      <c r="T515" s="102"/>
      <c r="U515" s="106"/>
      <c r="V515" s="102" t="str">
        <f t="shared" si="31"/>
        <v/>
      </c>
      <c r="W515" s="102"/>
      <c r="X515" s="102"/>
      <c r="Y515" s="119" t="str">
        <f t="array" ref="Y515">IF(OR($B515="",$D515=""),"",
IFERROR(
  INDEX(
    'Tools &amp; Targets_Guideline'!$C$54:$I$269,
    MATCH(
      1,
      ('Tools &amp; Targets_Guideline'!$A$54:$A$269=$B515)*
      ('Tools &amp; Targets_Guideline'!$B$54:$B$269="GM"),
      0
    ),
    MATCH(
      _xludf.IFNA(
        VLOOKUP($D515,{"PH","Provincial Hospital (H2)";"DH","District Hospital (H3)";"RH","Regional / National Hospital (H1)"},2,0),
        $D515
      ),
      'Tools &amp; Targets_Guideline'!$C$53:$I$53,
      0
    )
  ),
0))</f>
        <v/>
      </c>
      <c r="Z515" s="102"/>
      <c r="AA515" s="119" t="str">
        <f t="array" ref="AA515">IF(OR($B515="",$D515=""),"",
IFERROR(
  INDEX(
    'Tools &amp; Targets_Guideline'!$C$54:$I$269,
    MATCH(
      1,
      ('Tools &amp; Targets_Guideline'!$A$54:$A$269=$B515)*
      ('Tools &amp; Targets_Guideline'!$B$54:$B$269="Penta"),
      0
    ),
    MATCH(
      _xludf.IFNA(
        VLOOKUP($D515,{"PH","Provincial Hospital (H2)";"DH","District Hospital (H3)";"RH","Regional / National Hospital (H1)"},2,0),
        $D515
      ),
      'Tools &amp; Targets_Guideline'!$C$53:$I$53,
      0
    )
  ),
0))</f>
        <v/>
      </c>
      <c r="AB515" s="102"/>
      <c r="AC515" s="119" t="str">
        <f t="array" ref="AC515">IF(OR($B515="",$D515=""),"",
IFERROR(
  INDEX(
    'Tools &amp; Targets_Guideline'!$C$54:$I$269,
    MATCH(
      1,
      ('Tools &amp; Targets_Guideline'!$A$54:$A$269=$B515)*
      ('Tools &amp; Targets_Guideline'!$B$54:$B$269="TB"),
      0
    ),
    MATCH(
      _xludf.IFNA(
        VLOOKUP($D515,{"PH","Provincial Hospital (H2)";"DH","District Hospital (H3)";"RH","Regional / National Hospital (H1)"},2,0),
        $D515
      ),
      'Tools &amp; Targets_Guideline'!$C$53:$I$53,
      0
    )
  ),
0))</f>
        <v/>
      </c>
      <c r="AD515" s="102"/>
      <c r="AE515" s="119" t="str">
        <f t="array" ref="AE515">IF(OR($B515="",$D515=""),"",
IFERROR(
  INDEX(
    'Tools &amp; Targets_Guideline'!$C$54:$I$269,
    MATCH(
      1,
      ('Tools &amp; Targets_Guideline'!$A$54:$A$269=$B515)*
      ('Tools &amp; Targets_Guideline'!$B$54:$B$269="U5 Morbidity"),
      0
    ),
    MATCH(
      _xludf.IFNA(
        VLOOKUP($D515,{"PH","Provincial Hospital (H2)";"DH","District Hospital (H3)";"RH","Regional / National Hospital (H1)"},2,0),
        $D515
      ),
      'Tools &amp; Targets_Guideline'!$C$53:$I$53,
      0
    )
  ),
0))</f>
        <v/>
      </c>
      <c r="AF515" s="102"/>
      <c r="AG515" s="119" t="str">
        <f t="array" ref="AG515">IF(OR($B515="",$D515=""),"",
IFERROR(
  INDEX(
    'Tools &amp; Targets_Guideline'!$C$54:$I$269,
    MATCH(
      1,
      ('Tools &amp; Targets_Guideline'!$A$54:$A$269=$B515)*
      ('Tools &amp; Targets_Guideline'!$B$54:$B$269="C-Section"),
      0
    ),
    MATCH(
      _xludf.IFNA(
        VLOOKUP($D515,{"PH","Provincial Hospital (H2)";"DH","District Hospital (H3)";"RH","Regional / National Hospital (H1)"},2,0),
        $D515
      ),
      'Tools &amp; Targets_Guideline'!$C$53:$I$53,
      0
    )
  ),
0))</f>
        <v/>
      </c>
      <c r="AH515" s="102" t="str">
        <f>IF(A515&lt;&gt;"",COUNTIFS('QA Log'!D:D,A515,'QA Log'!M:M,"QQC",'QA Log'!L:L,"2. Hygiene and Sterilization",'QA Log'!Z:Z,"Approved"),"")</f>
        <v/>
      </c>
      <c r="AI515" s="102"/>
      <c r="AJ515" s="102"/>
      <c r="AK515" s="103" t="str">
        <f t="shared" si="32"/>
        <v/>
      </c>
      <c r="AL515" s="102"/>
      <c r="AM515" s="102"/>
      <c r="AN515" s="102"/>
      <c r="AO515" s="106"/>
      <c r="AP515" s="103"/>
      <c r="AQ515" s="102"/>
      <c r="AR515" s="102"/>
      <c r="AS515" s="102"/>
      <c r="AT515" s="107"/>
      <c r="AU515" s="102" t="str">
        <f t="shared" si="33"/>
        <v/>
      </c>
      <c r="AV515" s="102" t="str">
        <f t="shared" si="34"/>
        <v/>
      </c>
      <c r="AW515" s="102" t="str">
        <f t="shared" si="35"/>
        <v/>
      </c>
      <c r="AX515" s="102" t="str">
        <f t="shared" si="36"/>
        <v/>
      </c>
      <c r="AY515" s="107" t="str">
        <f t="shared" si="37"/>
        <v/>
      </c>
      <c r="AZ515" s="108" t="str">
        <f t="shared" si="38"/>
        <v/>
      </c>
      <c r="BA515" s="108" t="str">
        <f t="shared" si="39"/>
        <v/>
      </c>
      <c r="BB515" s="109" t="str">
        <f t="shared" si="40"/>
        <v/>
      </c>
      <c r="BC515" s="108" t="str">
        <f t="shared" si="41"/>
        <v/>
      </c>
      <c r="BD515" s="108" t="str">
        <f t="shared" si="42"/>
        <v/>
      </c>
      <c r="BE515" s="109" t="str">
        <f t="shared" si="43"/>
        <v/>
      </c>
      <c r="BF515" s="110" t="str">
        <f t="shared" si="44"/>
        <v/>
      </c>
      <c r="BG515" s="111"/>
    </row>
    <row r="516" spans="1:59" ht="12.75">
      <c r="A516" s="101"/>
      <c r="B516" s="102"/>
      <c r="C516" s="102" t="e">
        <f t="array" aca="1" ref="C516" ca="1">_xludf.XLOOKUP(A516,'QA Log'!D:D,'QA Log'!F:F,"")</f>
        <v>#NAME?</v>
      </c>
      <c r="D516" s="102"/>
      <c r="E516" s="102" t="e">
        <f t="array" aca="1" ref="E516" ca="1">_xludf.XLOOKUP(A516,'QA Log'!D:D,'QA Log'!G:G,"")</f>
        <v>#NAME?</v>
      </c>
      <c r="F516" s="103"/>
      <c r="G516" s="104"/>
      <c r="H516" s="104"/>
      <c r="I516" s="103" t="str">
        <f t="shared" si="30"/>
        <v/>
      </c>
      <c r="J516" s="102"/>
      <c r="K516" s="102"/>
      <c r="L516" s="119" t="str">
        <f t="array" ref="L516">IF(OR($B516="",$D516=""),"",
IFERROR(
  INDEX(
    'Tools &amp; Targets_Guideline'!$C$54:$I$269,
    MATCH(
      1,
      ('Tools &amp; Targets_Guideline'!$A$54:$A$269=$B516)*
      ('Tools &amp; Targets_Guideline'!$B$54:$B$269="ANC"),
      0
    ),
    MATCH(
      _xludf.IFNA(
        VLOOKUP($D516,{"PH","Provincial Hospital (H2)";"DH","District Hospital (H3)";"RH","Regional / National Hospital (H1)"},2,0),
        $D516
      ),
      'Tools &amp; Targets_Guideline'!$C$53:$I$53,
      0
    )
  ),
0))</f>
        <v/>
      </c>
      <c r="M516" s="102"/>
      <c r="N516" s="119" t="str">
        <f t="array" ref="N516">IF(OR($B516="",$D516=""),"",
IFERROR(
  INDEX(
    'Tools &amp; Targets_Guideline'!$C$54:$I$269,
    MATCH(
      1,
      ('Tools &amp; Targets_Guideline'!$A$54:$A$269=$B516)*
      ('Tools &amp; Targets_Guideline'!$B$54:$B$269="PNC"),
      0
    ),
    MATCH(
      _xludf.IFNA(
        VLOOKUP($D516,{"PH","Provincial Hospital (H2)";"DH","District Hospital (H3)";"RH","Regional / National Hospital (H1)"},2,0),
        $D516
      ),
      'Tools &amp; Targets_Guideline'!$C$53:$I$53,
      0
    )
  ),
0))</f>
        <v/>
      </c>
      <c r="O516" s="102"/>
      <c r="P516" s="119" t="str">
        <f t="array" ref="P516">IF(OR($B516="",$D516=""),"",
IFERROR(
  INDEX(
    'Tools &amp; Targets_Guideline'!$C$54:$I$269,
    MATCH(
      1,
      ('Tools &amp; Targets_Guideline'!$A$54:$A$269=$B516)*
      ('Tools &amp; Targets_Guideline'!$B$54:$B$269="Delivery"),
      0
    ),
    MATCH(
      _xludf.IFNA(
        VLOOKUP($D516,{"PH","Provincial Hospital (H2)";"DH","District Hospital (H3)";"RH","Regional / National Hospital (H1)"},2,0),
        $D516
      ),
      'Tools &amp; Targets_Guideline'!$C$53:$I$53,
      0
    )
  ),
0))</f>
        <v/>
      </c>
      <c r="Q516" s="102"/>
      <c r="R516" s="119" t="str">
        <f t="array" ref="R516">IF(OR($B516="",$D516=""),"",
IFERROR(
  INDEX(
    'Tools &amp; Targets_Guideline'!$C$54:$I$269,
    MATCH(
      1,
      ('Tools &amp; Targets_Guideline'!$A$54:$A$269=$B516)*
      ('Tools &amp; Targets_Guideline'!$B$54:$B$269="TT"),
      0
    ),
    MATCH(
      _xludf.IFNA(
        VLOOKUP($D516,{"PH","Provincial Hospital (H2)";"DH","District Hospital (H3)";"RH","Regional / National Hospital (H1)"},2,0),
        $D516
      ),
      'Tools &amp; Targets_Guideline'!$C$53:$I$53,
      0
    )
  ),
0))</f>
        <v/>
      </c>
      <c r="S516" s="102"/>
      <c r="T516" s="102"/>
      <c r="U516" s="106"/>
      <c r="V516" s="102" t="str">
        <f t="shared" si="31"/>
        <v/>
      </c>
      <c r="W516" s="102"/>
      <c r="X516" s="102"/>
      <c r="Y516" s="119" t="str">
        <f t="array" ref="Y516">IF(OR($B516="",$D516=""),"",
IFERROR(
  INDEX(
    'Tools &amp; Targets_Guideline'!$C$54:$I$269,
    MATCH(
      1,
      ('Tools &amp; Targets_Guideline'!$A$54:$A$269=$B516)*
      ('Tools &amp; Targets_Guideline'!$B$54:$B$269="GM"),
      0
    ),
    MATCH(
      _xludf.IFNA(
        VLOOKUP($D516,{"PH","Provincial Hospital (H2)";"DH","District Hospital (H3)";"RH","Regional / National Hospital (H1)"},2,0),
        $D516
      ),
      'Tools &amp; Targets_Guideline'!$C$53:$I$53,
      0
    )
  ),
0))</f>
        <v/>
      </c>
      <c r="Z516" s="102"/>
      <c r="AA516" s="119" t="str">
        <f t="array" ref="AA516">IF(OR($B516="",$D516=""),"",
IFERROR(
  INDEX(
    'Tools &amp; Targets_Guideline'!$C$54:$I$269,
    MATCH(
      1,
      ('Tools &amp; Targets_Guideline'!$A$54:$A$269=$B516)*
      ('Tools &amp; Targets_Guideline'!$B$54:$B$269="Penta"),
      0
    ),
    MATCH(
      _xludf.IFNA(
        VLOOKUP($D516,{"PH","Provincial Hospital (H2)";"DH","District Hospital (H3)";"RH","Regional / National Hospital (H1)"},2,0),
        $D516
      ),
      'Tools &amp; Targets_Guideline'!$C$53:$I$53,
      0
    )
  ),
0))</f>
        <v/>
      </c>
      <c r="AB516" s="102"/>
      <c r="AC516" s="119" t="str">
        <f t="array" ref="AC516">IF(OR($B516="",$D516=""),"",
IFERROR(
  INDEX(
    'Tools &amp; Targets_Guideline'!$C$54:$I$269,
    MATCH(
      1,
      ('Tools &amp; Targets_Guideline'!$A$54:$A$269=$B516)*
      ('Tools &amp; Targets_Guideline'!$B$54:$B$269="TB"),
      0
    ),
    MATCH(
      _xludf.IFNA(
        VLOOKUP($D516,{"PH","Provincial Hospital (H2)";"DH","District Hospital (H3)";"RH","Regional / National Hospital (H1)"},2,0),
        $D516
      ),
      'Tools &amp; Targets_Guideline'!$C$53:$I$53,
      0
    )
  ),
0))</f>
        <v/>
      </c>
      <c r="AD516" s="102"/>
      <c r="AE516" s="119" t="str">
        <f t="array" ref="AE516">IF(OR($B516="",$D516=""),"",
IFERROR(
  INDEX(
    'Tools &amp; Targets_Guideline'!$C$54:$I$269,
    MATCH(
      1,
      ('Tools &amp; Targets_Guideline'!$A$54:$A$269=$B516)*
      ('Tools &amp; Targets_Guideline'!$B$54:$B$269="U5 Morbidity"),
      0
    ),
    MATCH(
      _xludf.IFNA(
        VLOOKUP($D516,{"PH","Provincial Hospital (H2)";"DH","District Hospital (H3)";"RH","Regional / National Hospital (H1)"},2,0),
        $D516
      ),
      'Tools &amp; Targets_Guideline'!$C$53:$I$53,
      0
    )
  ),
0))</f>
        <v/>
      </c>
      <c r="AF516" s="102"/>
      <c r="AG516" s="119" t="str">
        <f t="array" ref="AG516">IF(OR($B516="",$D516=""),"",
IFERROR(
  INDEX(
    'Tools &amp; Targets_Guideline'!$C$54:$I$269,
    MATCH(
      1,
      ('Tools &amp; Targets_Guideline'!$A$54:$A$269=$B516)*
      ('Tools &amp; Targets_Guideline'!$B$54:$B$269="C-Section"),
      0
    ),
    MATCH(
      _xludf.IFNA(
        VLOOKUP($D516,{"PH","Provincial Hospital (H2)";"DH","District Hospital (H3)";"RH","Regional / National Hospital (H1)"},2,0),
        $D516
      ),
      'Tools &amp; Targets_Guideline'!$C$53:$I$53,
      0
    )
  ),
0))</f>
        <v/>
      </c>
      <c r="AH516" s="102" t="str">
        <f>IF(A516&lt;&gt;"",COUNTIFS('QA Log'!D:D,A516,'QA Log'!M:M,"QQC",'QA Log'!L:L,"2. Hygiene and Sterilization",'QA Log'!Z:Z,"Approved"),"")</f>
        <v/>
      </c>
      <c r="AI516" s="102"/>
      <c r="AJ516" s="102"/>
      <c r="AK516" s="103" t="str">
        <f t="shared" si="32"/>
        <v/>
      </c>
      <c r="AL516" s="102"/>
      <c r="AM516" s="102"/>
      <c r="AN516" s="102"/>
      <c r="AO516" s="106"/>
      <c r="AP516" s="103"/>
      <c r="AQ516" s="102"/>
      <c r="AR516" s="102"/>
      <c r="AS516" s="102"/>
      <c r="AT516" s="107"/>
      <c r="AU516" s="102" t="str">
        <f t="shared" si="33"/>
        <v/>
      </c>
      <c r="AV516" s="102" t="str">
        <f t="shared" si="34"/>
        <v/>
      </c>
      <c r="AW516" s="102" t="str">
        <f t="shared" si="35"/>
        <v/>
      </c>
      <c r="AX516" s="102" t="str">
        <f t="shared" si="36"/>
        <v/>
      </c>
      <c r="AY516" s="107" t="str">
        <f t="shared" si="37"/>
        <v/>
      </c>
      <c r="AZ516" s="108" t="str">
        <f t="shared" si="38"/>
        <v/>
      </c>
      <c r="BA516" s="108" t="str">
        <f t="shared" si="39"/>
        <v/>
      </c>
      <c r="BB516" s="109" t="str">
        <f t="shared" si="40"/>
        <v/>
      </c>
      <c r="BC516" s="108" t="str">
        <f t="shared" si="41"/>
        <v/>
      </c>
      <c r="BD516" s="108" t="str">
        <f t="shared" si="42"/>
        <v/>
      </c>
      <c r="BE516" s="109" t="str">
        <f t="shared" si="43"/>
        <v/>
      </c>
      <c r="BF516" s="110" t="str">
        <f t="shared" si="44"/>
        <v/>
      </c>
      <c r="BG516" s="111"/>
    </row>
    <row r="517" spans="1:59" ht="12.75">
      <c r="A517" s="101"/>
      <c r="B517" s="102"/>
      <c r="C517" s="102" t="e">
        <f t="array" aca="1" ref="C517" ca="1">_xludf.XLOOKUP(A517,'QA Log'!D:D,'QA Log'!F:F,"")</f>
        <v>#NAME?</v>
      </c>
      <c r="D517" s="102"/>
      <c r="E517" s="102" t="e">
        <f t="array" aca="1" ref="E517" ca="1">_xludf.XLOOKUP(A517,'QA Log'!D:D,'QA Log'!G:G,"")</f>
        <v>#NAME?</v>
      </c>
      <c r="F517" s="103"/>
      <c r="G517" s="104"/>
      <c r="H517" s="104"/>
      <c r="I517" s="103" t="str">
        <f t="shared" si="30"/>
        <v/>
      </c>
      <c r="J517" s="102"/>
      <c r="K517" s="102"/>
      <c r="L517" s="119" t="str">
        <f t="array" ref="L517">IF(OR($B517="",$D517=""),"",
IFERROR(
  INDEX(
    'Tools &amp; Targets_Guideline'!$C$54:$I$269,
    MATCH(
      1,
      ('Tools &amp; Targets_Guideline'!$A$54:$A$269=$B517)*
      ('Tools &amp; Targets_Guideline'!$B$54:$B$269="ANC"),
      0
    ),
    MATCH(
      _xludf.IFNA(
        VLOOKUP($D517,{"PH","Provincial Hospital (H2)";"DH","District Hospital (H3)";"RH","Regional / National Hospital (H1)"},2,0),
        $D517
      ),
      'Tools &amp; Targets_Guideline'!$C$53:$I$53,
      0
    )
  ),
0))</f>
        <v/>
      </c>
      <c r="M517" s="102"/>
      <c r="N517" s="119" t="str">
        <f t="array" ref="N517">IF(OR($B517="",$D517=""),"",
IFERROR(
  INDEX(
    'Tools &amp; Targets_Guideline'!$C$54:$I$269,
    MATCH(
      1,
      ('Tools &amp; Targets_Guideline'!$A$54:$A$269=$B517)*
      ('Tools &amp; Targets_Guideline'!$B$54:$B$269="PNC"),
      0
    ),
    MATCH(
      _xludf.IFNA(
        VLOOKUP($D517,{"PH","Provincial Hospital (H2)";"DH","District Hospital (H3)";"RH","Regional / National Hospital (H1)"},2,0),
        $D517
      ),
      'Tools &amp; Targets_Guideline'!$C$53:$I$53,
      0
    )
  ),
0))</f>
        <v/>
      </c>
      <c r="O517" s="102"/>
      <c r="P517" s="119" t="str">
        <f t="array" ref="P517">IF(OR($B517="",$D517=""),"",
IFERROR(
  INDEX(
    'Tools &amp; Targets_Guideline'!$C$54:$I$269,
    MATCH(
      1,
      ('Tools &amp; Targets_Guideline'!$A$54:$A$269=$B517)*
      ('Tools &amp; Targets_Guideline'!$B$54:$B$269="Delivery"),
      0
    ),
    MATCH(
      _xludf.IFNA(
        VLOOKUP($D517,{"PH","Provincial Hospital (H2)";"DH","District Hospital (H3)";"RH","Regional / National Hospital (H1)"},2,0),
        $D517
      ),
      'Tools &amp; Targets_Guideline'!$C$53:$I$53,
      0
    )
  ),
0))</f>
        <v/>
      </c>
      <c r="Q517" s="102"/>
      <c r="R517" s="119" t="str">
        <f t="array" ref="R517">IF(OR($B517="",$D517=""),"",
IFERROR(
  INDEX(
    'Tools &amp; Targets_Guideline'!$C$54:$I$269,
    MATCH(
      1,
      ('Tools &amp; Targets_Guideline'!$A$54:$A$269=$B517)*
      ('Tools &amp; Targets_Guideline'!$B$54:$B$269="TT"),
      0
    ),
    MATCH(
      _xludf.IFNA(
        VLOOKUP($D517,{"PH","Provincial Hospital (H2)";"DH","District Hospital (H3)";"RH","Regional / National Hospital (H1)"},2,0),
        $D517
      ),
      'Tools &amp; Targets_Guideline'!$C$53:$I$53,
      0
    )
  ),
0))</f>
        <v/>
      </c>
      <c r="S517" s="102"/>
      <c r="T517" s="102"/>
      <c r="U517" s="106"/>
      <c r="V517" s="102" t="str">
        <f t="shared" si="31"/>
        <v/>
      </c>
      <c r="W517" s="102"/>
      <c r="X517" s="102"/>
      <c r="Y517" s="119" t="str">
        <f t="array" ref="Y517">IF(OR($B517="",$D517=""),"",
IFERROR(
  INDEX(
    'Tools &amp; Targets_Guideline'!$C$54:$I$269,
    MATCH(
      1,
      ('Tools &amp; Targets_Guideline'!$A$54:$A$269=$B517)*
      ('Tools &amp; Targets_Guideline'!$B$54:$B$269="GM"),
      0
    ),
    MATCH(
      _xludf.IFNA(
        VLOOKUP($D517,{"PH","Provincial Hospital (H2)";"DH","District Hospital (H3)";"RH","Regional / National Hospital (H1)"},2,0),
        $D517
      ),
      'Tools &amp; Targets_Guideline'!$C$53:$I$53,
      0
    )
  ),
0))</f>
        <v/>
      </c>
      <c r="Z517" s="102"/>
      <c r="AA517" s="119" t="str">
        <f t="array" ref="AA517">IF(OR($B517="",$D517=""),"",
IFERROR(
  INDEX(
    'Tools &amp; Targets_Guideline'!$C$54:$I$269,
    MATCH(
      1,
      ('Tools &amp; Targets_Guideline'!$A$54:$A$269=$B517)*
      ('Tools &amp; Targets_Guideline'!$B$54:$B$269="Penta"),
      0
    ),
    MATCH(
      _xludf.IFNA(
        VLOOKUP($D517,{"PH","Provincial Hospital (H2)";"DH","District Hospital (H3)";"RH","Regional / National Hospital (H1)"},2,0),
        $D517
      ),
      'Tools &amp; Targets_Guideline'!$C$53:$I$53,
      0
    )
  ),
0))</f>
        <v/>
      </c>
      <c r="AB517" s="102"/>
      <c r="AC517" s="119" t="str">
        <f t="array" ref="AC517">IF(OR($B517="",$D517=""),"",
IFERROR(
  INDEX(
    'Tools &amp; Targets_Guideline'!$C$54:$I$269,
    MATCH(
      1,
      ('Tools &amp; Targets_Guideline'!$A$54:$A$269=$B517)*
      ('Tools &amp; Targets_Guideline'!$B$54:$B$269="TB"),
      0
    ),
    MATCH(
      _xludf.IFNA(
        VLOOKUP($D517,{"PH","Provincial Hospital (H2)";"DH","District Hospital (H3)";"RH","Regional / National Hospital (H1)"},2,0),
        $D517
      ),
      'Tools &amp; Targets_Guideline'!$C$53:$I$53,
      0
    )
  ),
0))</f>
        <v/>
      </c>
      <c r="AD517" s="102"/>
      <c r="AE517" s="119" t="str">
        <f t="array" ref="AE517">IF(OR($B517="",$D517=""),"",
IFERROR(
  INDEX(
    'Tools &amp; Targets_Guideline'!$C$54:$I$269,
    MATCH(
      1,
      ('Tools &amp; Targets_Guideline'!$A$54:$A$269=$B517)*
      ('Tools &amp; Targets_Guideline'!$B$54:$B$269="U5 Morbidity"),
      0
    ),
    MATCH(
      _xludf.IFNA(
        VLOOKUP($D517,{"PH","Provincial Hospital (H2)";"DH","District Hospital (H3)";"RH","Regional / National Hospital (H1)"},2,0),
        $D517
      ),
      'Tools &amp; Targets_Guideline'!$C$53:$I$53,
      0
    )
  ),
0))</f>
        <v/>
      </c>
      <c r="AF517" s="102"/>
      <c r="AG517" s="119" t="str">
        <f t="array" ref="AG517">IF(OR($B517="",$D517=""),"",
IFERROR(
  INDEX(
    'Tools &amp; Targets_Guideline'!$C$54:$I$269,
    MATCH(
      1,
      ('Tools &amp; Targets_Guideline'!$A$54:$A$269=$B517)*
      ('Tools &amp; Targets_Guideline'!$B$54:$B$269="C-Section"),
      0
    ),
    MATCH(
      _xludf.IFNA(
        VLOOKUP($D517,{"PH","Provincial Hospital (H2)";"DH","District Hospital (H3)";"RH","Regional / National Hospital (H1)"},2,0),
        $D517
      ),
      'Tools &amp; Targets_Guideline'!$C$53:$I$53,
      0
    )
  ),
0))</f>
        <v/>
      </c>
      <c r="AH517" s="102" t="str">
        <f>IF(A517&lt;&gt;"",COUNTIFS('QA Log'!D:D,A517,'QA Log'!M:M,"QQC",'QA Log'!L:L,"2. Hygiene and Sterilization",'QA Log'!Z:Z,"Approved"),"")</f>
        <v/>
      </c>
      <c r="AI517" s="102"/>
      <c r="AJ517" s="102"/>
      <c r="AK517" s="103" t="str">
        <f t="shared" si="32"/>
        <v/>
      </c>
      <c r="AL517" s="102"/>
      <c r="AM517" s="102"/>
      <c r="AN517" s="102"/>
      <c r="AO517" s="106"/>
      <c r="AP517" s="103"/>
      <c r="AQ517" s="102"/>
      <c r="AR517" s="102"/>
      <c r="AS517" s="102"/>
      <c r="AT517" s="107"/>
      <c r="AU517" s="102" t="str">
        <f t="shared" si="33"/>
        <v/>
      </c>
      <c r="AV517" s="102" t="str">
        <f t="shared" si="34"/>
        <v/>
      </c>
      <c r="AW517" s="102" t="str">
        <f t="shared" si="35"/>
        <v/>
      </c>
      <c r="AX517" s="102" t="str">
        <f t="shared" si="36"/>
        <v/>
      </c>
      <c r="AY517" s="107" t="str">
        <f t="shared" si="37"/>
        <v/>
      </c>
      <c r="AZ517" s="108" t="str">
        <f t="shared" si="38"/>
        <v/>
      </c>
      <c r="BA517" s="108" t="str">
        <f t="shared" si="39"/>
        <v/>
      </c>
      <c r="BB517" s="109" t="str">
        <f t="shared" si="40"/>
        <v/>
      </c>
      <c r="BC517" s="108" t="str">
        <f t="shared" si="41"/>
        <v/>
      </c>
      <c r="BD517" s="108" t="str">
        <f t="shared" si="42"/>
        <v/>
      </c>
      <c r="BE517" s="109" t="str">
        <f t="shared" si="43"/>
        <v/>
      </c>
      <c r="BF517" s="110" t="str">
        <f t="shared" si="44"/>
        <v/>
      </c>
      <c r="BG517" s="111"/>
    </row>
    <row r="518" spans="1:59" ht="12.75">
      <c r="A518" s="101"/>
      <c r="B518" s="102"/>
      <c r="C518" s="102" t="e">
        <f t="array" aca="1" ref="C518" ca="1">_xludf.XLOOKUP(A518,'QA Log'!D:D,'QA Log'!F:F,"")</f>
        <v>#NAME?</v>
      </c>
      <c r="D518" s="102"/>
      <c r="E518" s="102" t="e">
        <f t="array" aca="1" ref="E518" ca="1">_xludf.XLOOKUP(A518,'QA Log'!D:D,'QA Log'!G:G,"")</f>
        <v>#NAME?</v>
      </c>
      <c r="F518" s="103"/>
      <c r="G518" s="104"/>
      <c r="H518" s="104"/>
      <c r="I518" s="103" t="str">
        <f t="shared" si="30"/>
        <v/>
      </c>
      <c r="J518" s="102"/>
      <c r="K518" s="102"/>
      <c r="L518" s="119" t="str">
        <f t="array" ref="L518">IF(OR($B518="",$D518=""),"",
IFERROR(
  INDEX(
    'Tools &amp; Targets_Guideline'!$C$54:$I$269,
    MATCH(
      1,
      ('Tools &amp; Targets_Guideline'!$A$54:$A$269=$B518)*
      ('Tools &amp; Targets_Guideline'!$B$54:$B$269="ANC"),
      0
    ),
    MATCH(
      _xludf.IFNA(
        VLOOKUP($D518,{"PH","Provincial Hospital (H2)";"DH","District Hospital (H3)";"RH","Regional / National Hospital (H1)"},2,0),
        $D518
      ),
      'Tools &amp; Targets_Guideline'!$C$53:$I$53,
      0
    )
  ),
0))</f>
        <v/>
      </c>
      <c r="M518" s="102"/>
      <c r="N518" s="119" t="str">
        <f t="array" ref="N518">IF(OR($B518="",$D518=""),"",
IFERROR(
  INDEX(
    'Tools &amp; Targets_Guideline'!$C$54:$I$269,
    MATCH(
      1,
      ('Tools &amp; Targets_Guideline'!$A$54:$A$269=$B518)*
      ('Tools &amp; Targets_Guideline'!$B$54:$B$269="PNC"),
      0
    ),
    MATCH(
      _xludf.IFNA(
        VLOOKUP($D518,{"PH","Provincial Hospital (H2)";"DH","District Hospital (H3)";"RH","Regional / National Hospital (H1)"},2,0),
        $D518
      ),
      'Tools &amp; Targets_Guideline'!$C$53:$I$53,
      0
    )
  ),
0))</f>
        <v/>
      </c>
      <c r="O518" s="102"/>
      <c r="P518" s="119" t="str">
        <f t="array" ref="P518">IF(OR($B518="",$D518=""),"",
IFERROR(
  INDEX(
    'Tools &amp; Targets_Guideline'!$C$54:$I$269,
    MATCH(
      1,
      ('Tools &amp; Targets_Guideline'!$A$54:$A$269=$B518)*
      ('Tools &amp; Targets_Guideline'!$B$54:$B$269="Delivery"),
      0
    ),
    MATCH(
      _xludf.IFNA(
        VLOOKUP($D518,{"PH","Provincial Hospital (H2)";"DH","District Hospital (H3)";"RH","Regional / National Hospital (H1)"},2,0),
        $D518
      ),
      'Tools &amp; Targets_Guideline'!$C$53:$I$53,
      0
    )
  ),
0))</f>
        <v/>
      </c>
      <c r="Q518" s="102"/>
      <c r="R518" s="119" t="str">
        <f t="array" ref="R518">IF(OR($B518="",$D518=""),"",
IFERROR(
  INDEX(
    'Tools &amp; Targets_Guideline'!$C$54:$I$269,
    MATCH(
      1,
      ('Tools &amp; Targets_Guideline'!$A$54:$A$269=$B518)*
      ('Tools &amp; Targets_Guideline'!$B$54:$B$269="TT"),
      0
    ),
    MATCH(
      _xludf.IFNA(
        VLOOKUP($D518,{"PH","Provincial Hospital (H2)";"DH","District Hospital (H3)";"RH","Regional / National Hospital (H1)"},2,0),
        $D518
      ),
      'Tools &amp; Targets_Guideline'!$C$53:$I$53,
      0
    )
  ),
0))</f>
        <v/>
      </c>
      <c r="S518" s="102"/>
      <c r="T518" s="102"/>
      <c r="U518" s="106"/>
      <c r="V518" s="102" t="str">
        <f t="shared" si="31"/>
        <v/>
      </c>
      <c r="W518" s="102"/>
      <c r="X518" s="102"/>
      <c r="Y518" s="119" t="str">
        <f t="array" ref="Y518">IF(OR($B518="",$D518=""),"",
IFERROR(
  INDEX(
    'Tools &amp; Targets_Guideline'!$C$54:$I$269,
    MATCH(
      1,
      ('Tools &amp; Targets_Guideline'!$A$54:$A$269=$B518)*
      ('Tools &amp; Targets_Guideline'!$B$54:$B$269="GM"),
      0
    ),
    MATCH(
      _xludf.IFNA(
        VLOOKUP($D518,{"PH","Provincial Hospital (H2)";"DH","District Hospital (H3)";"RH","Regional / National Hospital (H1)"},2,0),
        $D518
      ),
      'Tools &amp; Targets_Guideline'!$C$53:$I$53,
      0
    )
  ),
0))</f>
        <v/>
      </c>
      <c r="Z518" s="102"/>
      <c r="AA518" s="119" t="str">
        <f t="array" ref="AA518">IF(OR($B518="",$D518=""),"",
IFERROR(
  INDEX(
    'Tools &amp; Targets_Guideline'!$C$54:$I$269,
    MATCH(
      1,
      ('Tools &amp; Targets_Guideline'!$A$54:$A$269=$B518)*
      ('Tools &amp; Targets_Guideline'!$B$54:$B$269="Penta"),
      0
    ),
    MATCH(
      _xludf.IFNA(
        VLOOKUP($D518,{"PH","Provincial Hospital (H2)";"DH","District Hospital (H3)";"RH","Regional / National Hospital (H1)"},2,0),
        $D518
      ),
      'Tools &amp; Targets_Guideline'!$C$53:$I$53,
      0
    )
  ),
0))</f>
        <v/>
      </c>
      <c r="AB518" s="102"/>
      <c r="AC518" s="119" t="str">
        <f t="array" ref="AC518">IF(OR($B518="",$D518=""),"",
IFERROR(
  INDEX(
    'Tools &amp; Targets_Guideline'!$C$54:$I$269,
    MATCH(
      1,
      ('Tools &amp; Targets_Guideline'!$A$54:$A$269=$B518)*
      ('Tools &amp; Targets_Guideline'!$B$54:$B$269="TB"),
      0
    ),
    MATCH(
      _xludf.IFNA(
        VLOOKUP($D518,{"PH","Provincial Hospital (H2)";"DH","District Hospital (H3)";"RH","Regional / National Hospital (H1)"},2,0),
        $D518
      ),
      'Tools &amp; Targets_Guideline'!$C$53:$I$53,
      0
    )
  ),
0))</f>
        <v/>
      </c>
      <c r="AD518" s="102"/>
      <c r="AE518" s="119" t="str">
        <f t="array" ref="AE518">IF(OR($B518="",$D518=""),"",
IFERROR(
  INDEX(
    'Tools &amp; Targets_Guideline'!$C$54:$I$269,
    MATCH(
      1,
      ('Tools &amp; Targets_Guideline'!$A$54:$A$269=$B518)*
      ('Tools &amp; Targets_Guideline'!$B$54:$B$269="U5 Morbidity"),
      0
    ),
    MATCH(
      _xludf.IFNA(
        VLOOKUP($D518,{"PH","Provincial Hospital (H2)";"DH","District Hospital (H3)";"RH","Regional / National Hospital (H1)"},2,0),
        $D518
      ),
      'Tools &amp; Targets_Guideline'!$C$53:$I$53,
      0
    )
  ),
0))</f>
        <v/>
      </c>
      <c r="AF518" s="102"/>
      <c r="AG518" s="119" t="str">
        <f t="array" ref="AG518">IF(OR($B518="",$D518=""),"",
IFERROR(
  INDEX(
    'Tools &amp; Targets_Guideline'!$C$54:$I$269,
    MATCH(
      1,
      ('Tools &amp; Targets_Guideline'!$A$54:$A$269=$B518)*
      ('Tools &amp; Targets_Guideline'!$B$54:$B$269="C-Section"),
      0
    ),
    MATCH(
      _xludf.IFNA(
        VLOOKUP($D518,{"PH","Provincial Hospital (H2)";"DH","District Hospital (H3)";"RH","Regional / National Hospital (H1)"},2,0),
        $D518
      ),
      'Tools &amp; Targets_Guideline'!$C$53:$I$53,
      0
    )
  ),
0))</f>
        <v/>
      </c>
      <c r="AH518" s="102" t="str">
        <f>IF(A518&lt;&gt;"",COUNTIFS('QA Log'!D:D,A518,'QA Log'!M:M,"QQC",'QA Log'!L:L,"2. Hygiene and Sterilization",'QA Log'!Z:Z,"Approved"),"")</f>
        <v/>
      </c>
      <c r="AI518" s="102"/>
      <c r="AJ518" s="102"/>
      <c r="AK518" s="103" t="str">
        <f t="shared" si="32"/>
        <v/>
      </c>
      <c r="AL518" s="102"/>
      <c r="AM518" s="102"/>
      <c r="AN518" s="102"/>
      <c r="AO518" s="106"/>
      <c r="AP518" s="103"/>
      <c r="AQ518" s="102"/>
      <c r="AR518" s="102"/>
      <c r="AS518" s="102"/>
      <c r="AT518" s="107"/>
      <c r="AU518" s="102" t="str">
        <f t="shared" si="33"/>
        <v/>
      </c>
      <c r="AV518" s="102" t="str">
        <f t="shared" si="34"/>
        <v/>
      </c>
      <c r="AW518" s="102" t="str">
        <f t="shared" si="35"/>
        <v/>
      </c>
      <c r="AX518" s="102" t="str">
        <f t="shared" si="36"/>
        <v/>
      </c>
      <c r="AY518" s="107" t="str">
        <f t="shared" si="37"/>
        <v/>
      </c>
      <c r="AZ518" s="108" t="str">
        <f t="shared" si="38"/>
        <v/>
      </c>
      <c r="BA518" s="108" t="str">
        <f t="shared" si="39"/>
        <v/>
      </c>
      <c r="BB518" s="109" t="str">
        <f t="shared" si="40"/>
        <v/>
      </c>
      <c r="BC518" s="108" t="str">
        <f t="shared" si="41"/>
        <v/>
      </c>
      <c r="BD518" s="108" t="str">
        <f t="shared" si="42"/>
        <v/>
      </c>
      <c r="BE518" s="109" t="str">
        <f t="shared" si="43"/>
        <v/>
      </c>
      <c r="BF518" s="110" t="str">
        <f t="shared" si="44"/>
        <v/>
      </c>
      <c r="BG518" s="111"/>
    </row>
    <row r="519" spans="1:59" ht="12.75">
      <c r="A519" s="101"/>
      <c r="B519" s="102"/>
      <c r="C519" s="102" t="e">
        <f t="array" aca="1" ref="C519" ca="1">_xludf.XLOOKUP(A519,'QA Log'!D:D,'QA Log'!F:F,"")</f>
        <v>#NAME?</v>
      </c>
      <c r="D519" s="102"/>
      <c r="E519" s="102" t="e">
        <f t="array" aca="1" ref="E519" ca="1">_xludf.XLOOKUP(A519,'QA Log'!D:D,'QA Log'!G:G,"")</f>
        <v>#NAME?</v>
      </c>
      <c r="F519" s="103"/>
      <c r="G519" s="104"/>
      <c r="H519" s="104"/>
      <c r="I519" s="103" t="str">
        <f t="shared" si="30"/>
        <v/>
      </c>
      <c r="J519" s="102"/>
      <c r="K519" s="102"/>
      <c r="L519" s="119" t="str">
        <f t="array" ref="L519">IF(OR($B519="",$D519=""),"",
IFERROR(
  INDEX(
    'Tools &amp; Targets_Guideline'!$C$54:$I$269,
    MATCH(
      1,
      ('Tools &amp; Targets_Guideline'!$A$54:$A$269=$B519)*
      ('Tools &amp; Targets_Guideline'!$B$54:$B$269="ANC"),
      0
    ),
    MATCH(
      _xludf.IFNA(
        VLOOKUP($D519,{"PH","Provincial Hospital (H2)";"DH","District Hospital (H3)";"RH","Regional / National Hospital (H1)"},2,0),
        $D519
      ),
      'Tools &amp; Targets_Guideline'!$C$53:$I$53,
      0
    )
  ),
0))</f>
        <v/>
      </c>
      <c r="M519" s="102"/>
      <c r="N519" s="119" t="str">
        <f t="array" ref="N519">IF(OR($B519="",$D519=""),"",
IFERROR(
  INDEX(
    'Tools &amp; Targets_Guideline'!$C$54:$I$269,
    MATCH(
      1,
      ('Tools &amp; Targets_Guideline'!$A$54:$A$269=$B519)*
      ('Tools &amp; Targets_Guideline'!$B$54:$B$269="PNC"),
      0
    ),
    MATCH(
      _xludf.IFNA(
        VLOOKUP($D519,{"PH","Provincial Hospital (H2)";"DH","District Hospital (H3)";"RH","Regional / National Hospital (H1)"},2,0),
        $D519
      ),
      'Tools &amp; Targets_Guideline'!$C$53:$I$53,
      0
    )
  ),
0))</f>
        <v/>
      </c>
      <c r="O519" s="102"/>
      <c r="P519" s="119" t="str">
        <f t="array" ref="P519">IF(OR($B519="",$D519=""),"",
IFERROR(
  INDEX(
    'Tools &amp; Targets_Guideline'!$C$54:$I$269,
    MATCH(
      1,
      ('Tools &amp; Targets_Guideline'!$A$54:$A$269=$B519)*
      ('Tools &amp; Targets_Guideline'!$B$54:$B$269="Delivery"),
      0
    ),
    MATCH(
      _xludf.IFNA(
        VLOOKUP($D519,{"PH","Provincial Hospital (H2)";"DH","District Hospital (H3)";"RH","Regional / National Hospital (H1)"},2,0),
        $D519
      ),
      'Tools &amp; Targets_Guideline'!$C$53:$I$53,
      0
    )
  ),
0))</f>
        <v/>
      </c>
      <c r="Q519" s="102"/>
      <c r="R519" s="119" t="str">
        <f t="array" ref="R519">IF(OR($B519="",$D519=""),"",
IFERROR(
  INDEX(
    'Tools &amp; Targets_Guideline'!$C$54:$I$269,
    MATCH(
      1,
      ('Tools &amp; Targets_Guideline'!$A$54:$A$269=$B519)*
      ('Tools &amp; Targets_Guideline'!$B$54:$B$269="TT"),
      0
    ),
    MATCH(
      _xludf.IFNA(
        VLOOKUP($D519,{"PH","Provincial Hospital (H2)";"DH","District Hospital (H3)";"RH","Regional / National Hospital (H1)"},2,0),
        $D519
      ),
      'Tools &amp; Targets_Guideline'!$C$53:$I$53,
      0
    )
  ),
0))</f>
        <v/>
      </c>
      <c r="S519" s="102"/>
      <c r="T519" s="102"/>
      <c r="U519" s="106"/>
      <c r="V519" s="102" t="str">
        <f t="shared" si="31"/>
        <v/>
      </c>
      <c r="W519" s="102"/>
      <c r="X519" s="102"/>
      <c r="Y519" s="119" t="str">
        <f t="array" ref="Y519">IF(OR($B519="",$D519=""),"",
IFERROR(
  INDEX(
    'Tools &amp; Targets_Guideline'!$C$54:$I$269,
    MATCH(
      1,
      ('Tools &amp; Targets_Guideline'!$A$54:$A$269=$B519)*
      ('Tools &amp; Targets_Guideline'!$B$54:$B$269="GM"),
      0
    ),
    MATCH(
      _xludf.IFNA(
        VLOOKUP($D519,{"PH","Provincial Hospital (H2)";"DH","District Hospital (H3)";"RH","Regional / National Hospital (H1)"},2,0),
        $D519
      ),
      'Tools &amp; Targets_Guideline'!$C$53:$I$53,
      0
    )
  ),
0))</f>
        <v/>
      </c>
      <c r="Z519" s="102"/>
      <c r="AA519" s="119" t="str">
        <f t="array" ref="AA519">IF(OR($B519="",$D519=""),"",
IFERROR(
  INDEX(
    'Tools &amp; Targets_Guideline'!$C$54:$I$269,
    MATCH(
      1,
      ('Tools &amp; Targets_Guideline'!$A$54:$A$269=$B519)*
      ('Tools &amp; Targets_Guideline'!$B$54:$B$269="Penta"),
      0
    ),
    MATCH(
      _xludf.IFNA(
        VLOOKUP($D519,{"PH","Provincial Hospital (H2)";"DH","District Hospital (H3)";"RH","Regional / National Hospital (H1)"},2,0),
        $D519
      ),
      'Tools &amp; Targets_Guideline'!$C$53:$I$53,
      0
    )
  ),
0))</f>
        <v/>
      </c>
      <c r="AB519" s="102"/>
      <c r="AC519" s="119" t="str">
        <f t="array" ref="AC519">IF(OR($B519="",$D519=""),"",
IFERROR(
  INDEX(
    'Tools &amp; Targets_Guideline'!$C$54:$I$269,
    MATCH(
      1,
      ('Tools &amp; Targets_Guideline'!$A$54:$A$269=$B519)*
      ('Tools &amp; Targets_Guideline'!$B$54:$B$269="TB"),
      0
    ),
    MATCH(
      _xludf.IFNA(
        VLOOKUP($D519,{"PH","Provincial Hospital (H2)";"DH","District Hospital (H3)";"RH","Regional / National Hospital (H1)"},2,0),
        $D519
      ),
      'Tools &amp; Targets_Guideline'!$C$53:$I$53,
      0
    )
  ),
0))</f>
        <v/>
      </c>
      <c r="AD519" s="102"/>
      <c r="AE519" s="119" t="str">
        <f t="array" ref="AE519">IF(OR($B519="",$D519=""),"",
IFERROR(
  INDEX(
    'Tools &amp; Targets_Guideline'!$C$54:$I$269,
    MATCH(
      1,
      ('Tools &amp; Targets_Guideline'!$A$54:$A$269=$B519)*
      ('Tools &amp; Targets_Guideline'!$B$54:$B$269="U5 Morbidity"),
      0
    ),
    MATCH(
      _xludf.IFNA(
        VLOOKUP($D519,{"PH","Provincial Hospital (H2)";"DH","District Hospital (H3)";"RH","Regional / National Hospital (H1)"},2,0),
        $D519
      ),
      'Tools &amp; Targets_Guideline'!$C$53:$I$53,
      0
    )
  ),
0))</f>
        <v/>
      </c>
      <c r="AF519" s="102"/>
      <c r="AG519" s="119" t="str">
        <f t="array" ref="AG519">IF(OR($B519="",$D519=""),"",
IFERROR(
  INDEX(
    'Tools &amp; Targets_Guideline'!$C$54:$I$269,
    MATCH(
      1,
      ('Tools &amp; Targets_Guideline'!$A$54:$A$269=$B519)*
      ('Tools &amp; Targets_Guideline'!$B$54:$B$269="C-Section"),
      0
    ),
    MATCH(
      _xludf.IFNA(
        VLOOKUP($D519,{"PH","Provincial Hospital (H2)";"DH","District Hospital (H3)";"RH","Regional / National Hospital (H1)"},2,0),
        $D519
      ),
      'Tools &amp; Targets_Guideline'!$C$53:$I$53,
      0
    )
  ),
0))</f>
        <v/>
      </c>
      <c r="AH519" s="102" t="str">
        <f>IF(A519&lt;&gt;"",COUNTIFS('QA Log'!D:D,A519,'QA Log'!M:M,"QQC",'QA Log'!L:L,"2. Hygiene and Sterilization",'QA Log'!Z:Z,"Approved"),"")</f>
        <v/>
      </c>
      <c r="AI519" s="102"/>
      <c r="AJ519" s="102"/>
      <c r="AK519" s="103" t="str">
        <f t="shared" si="32"/>
        <v/>
      </c>
      <c r="AL519" s="102"/>
      <c r="AM519" s="102"/>
      <c r="AN519" s="102"/>
      <c r="AO519" s="106"/>
      <c r="AP519" s="103"/>
      <c r="AQ519" s="102"/>
      <c r="AR519" s="102"/>
      <c r="AS519" s="102"/>
      <c r="AT519" s="107"/>
      <c r="AU519" s="102" t="str">
        <f t="shared" si="33"/>
        <v/>
      </c>
      <c r="AV519" s="102" t="str">
        <f t="shared" si="34"/>
        <v/>
      </c>
      <c r="AW519" s="102" t="str">
        <f t="shared" si="35"/>
        <v/>
      </c>
      <c r="AX519" s="102" t="str">
        <f t="shared" si="36"/>
        <v/>
      </c>
      <c r="AY519" s="107" t="str">
        <f t="shared" si="37"/>
        <v/>
      </c>
      <c r="AZ519" s="108" t="str">
        <f t="shared" si="38"/>
        <v/>
      </c>
      <c r="BA519" s="108" t="str">
        <f t="shared" si="39"/>
        <v/>
      </c>
      <c r="BB519" s="109" t="str">
        <f t="shared" si="40"/>
        <v/>
      </c>
      <c r="BC519" s="108" t="str">
        <f t="shared" si="41"/>
        <v/>
      </c>
      <c r="BD519" s="108" t="str">
        <f t="shared" si="42"/>
        <v/>
      </c>
      <c r="BE519" s="109" t="str">
        <f t="shared" si="43"/>
        <v/>
      </c>
      <c r="BF519" s="110" t="str">
        <f t="shared" si="44"/>
        <v/>
      </c>
      <c r="BG519" s="111"/>
    </row>
    <row r="520" spans="1:59" ht="12.75">
      <c r="A520" s="101"/>
      <c r="B520" s="102"/>
      <c r="C520" s="102" t="e">
        <f t="array" aca="1" ref="C520" ca="1">_xludf.XLOOKUP(A520,'QA Log'!D:D,'QA Log'!F:F,"")</f>
        <v>#NAME?</v>
      </c>
      <c r="D520" s="102"/>
      <c r="E520" s="102" t="e">
        <f t="array" aca="1" ref="E520" ca="1">_xludf.XLOOKUP(A520,'QA Log'!D:D,'QA Log'!G:G,"")</f>
        <v>#NAME?</v>
      </c>
      <c r="F520" s="103"/>
      <c r="G520" s="104"/>
      <c r="H520" s="104"/>
      <c r="I520" s="103" t="str">
        <f t="shared" si="30"/>
        <v/>
      </c>
      <c r="J520" s="102"/>
      <c r="K520" s="102"/>
      <c r="L520" s="119" t="str">
        <f t="array" ref="L520">IF(OR($B520="",$D520=""),"",
IFERROR(
  INDEX(
    'Tools &amp; Targets_Guideline'!$C$54:$I$269,
    MATCH(
      1,
      ('Tools &amp; Targets_Guideline'!$A$54:$A$269=$B520)*
      ('Tools &amp; Targets_Guideline'!$B$54:$B$269="ANC"),
      0
    ),
    MATCH(
      _xludf.IFNA(
        VLOOKUP($D520,{"PH","Provincial Hospital (H2)";"DH","District Hospital (H3)";"RH","Regional / National Hospital (H1)"},2,0),
        $D520
      ),
      'Tools &amp; Targets_Guideline'!$C$53:$I$53,
      0
    )
  ),
0))</f>
        <v/>
      </c>
      <c r="M520" s="102"/>
      <c r="N520" s="119" t="str">
        <f t="array" ref="N520">IF(OR($B520="",$D520=""),"",
IFERROR(
  INDEX(
    'Tools &amp; Targets_Guideline'!$C$54:$I$269,
    MATCH(
      1,
      ('Tools &amp; Targets_Guideline'!$A$54:$A$269=$B520)*
      ('Tools &amp; Targets_Guideline'!$B$54:$B$269="PNC"),
      0
    ),
    MATCH(
      _xludf.IFNA(
        VLOOKUP($D520,{"PH","Provincial Hospital (H2)";"DH","District Hospital (H3)";"RH","Regional / National Hospital (H1)"},2,0),
        $D520
      ),
      'Tools &amp; Targets_Guideline'!$C$53:$I$53,
      0
    )
  ),
0))</f>
        <v/>
      </c>
      <c r="O520" s="102"/>
      <c r="P520" s="119" t="str">
        <f t="array" ref="P520">IF(OR($B520="",$D520=""),"",
IFERROR(
  INDEX(
    'Tools &amp; Targets_Guideline'!$C$54:$I$269,
    MATCH(
      1,
      ('Tools &amp; Targets_Guideline'!$A$54:$A$269=$B520)*
      ('Tools &amp; Targets_Guideline'!$B$54:$B$269="Delivery"),
      0
    ),
    MATCH(
      _xludf.IFNA(
        VLOOKUP($D520,{"PH","Provincial Hospital (H2)";"DH","District Hospital (H3)";"RH","Regional / National Hospital (H1)"},2,0),
        $D520
      ),
      'Tools &amp; Targets_Guideline'!$C$53:$I$53,
      0
    )
  ),
0))</f>
        <v/>
      </c>
      <c r="Q520" s="102"/>
      <c r="R520" s="119" t="str">
        <f t="array" ref="R520">IF(OR($B520="",$D520=""),"",
IFERROR(
  INDEX(
    'Tools &amp; Targets_Guideline'!$C$54:$I$269,
    MATCH(
      1,
      ('Tools &amp; Targets_Guideline'!$A$54:$A$269=$B520)*
      ('Tools &amp; Targets_Guideline'!$B$54:$B$269="TT"),
      0
    ),
    MATCH(
      _xludf.IFNA(
        VLOOKUP($D520,{"PH","Provincial Hospital (H2)";"DH","District Hospital (H3)";"RH","Regional / National Hospital (H1)"},2,0),
        $D520
      ),
      'Tools &amp; Targets_Guideline'!$C$53:$I$53,
      0
    )
  ),
0))</f>
        <v/>
      </c>
      <c r="S520" s="102"/>
      <c r="T520" s="102"/>
      <c r="U520" s="106"/>
      <c r="V520" s="102" t="str">
        <f t="shared" si="31"/>
        <v/>
      </c>
      <c r="W520" s="102"/>
      <c r="X520" s="102"/>
      <c r="Y520" s="119" t="str">
        <f t="array" ref="Y520">IF(OR($B520="",$D520=""),"",
IFERROR(
  INDEX(
    'Tools &amp; Targets_Guideline'!$C$54:$I$269,
    MATCH(
      1,
      ('Tools &amp; Targets_Guideline'!$A$54:$A$269=$B520)*
      ('Tools &amp; Targets_Guideline'!$B$54:$B$269="GM"),
      0
    ),
    MATCH(
      _xludf.IFNA(
        VLOOKUP($D520,{"PH","Provincial Hospital (H2)";"DH","District Hospital (H3)";"RH","Regional / National Hospital (H1)"},2,0),
        $D520
      ),
      'Tools &amp; Targets_Guideline'!$C$53:$I$53,
      0
    )
  ),
0))</f>
        <v/>
      </c>
      <c r="Z520" s="102"/>
      <c r="AA520" s="119" t="str">
        <f t="array" ref="AA520">IF(OR($B520="",$D520=""),"",
IFERROR(
  INDEX(
    'Tools &amp; Targets_Guideline'!$C$54:$I$269,
    MATCH(
      1,
      ('Tools &amp; Targets_Guideline'!$A$54:$A$269=$B520)*
      ('Tools &amp; Targets_Guideline'!$B$54:$B$269="Penta"),
      0
    ),
    MATCH(
      _xludf.IFNA(
        VLOOKUP($D520,{"PH","Provincial Hospital (H2)";"DH","District Hospital (H3)";"RH","Regional / National Hospital (H1)"},2,0),
        $D520
      ),
      'Tools &amp; Targets_Guideline'!$C$53:$I$53,
      0
    )
  ),
0))</f>
        <v/>
      </c>
      <c r="AB520" s="102"/>
      <c r="AC520" s="119" t="str">
        <f t="array" ref="AC520">IF(OR($B520="",$D520=""),"",
IFERROR(
  INDEX(
    'Tools &amp; Targets_Guideline'!$C$54:$I$269,
    MATCH(
      1,
      ('Tools &amp; Targets_Guideline'!$A$54:$A$269=$B520)*
      ('Tools &amp; Targets_Guideline'!$B$54:$B$269="TB"),
      0
    ),
    MATCH(
      _xludf.IFNA(
        VLOOKUP($D520,{"PH","Provincial Hospital (H2)";"DH","District Hospital (H3)";"RH","Regional / National Hospital (H1)"},2,0),
        $D520
      ),
      'Tools &amp; Targets_Guideline'!$C$53:$I$53,
      0
    )
  ),
0))</f>
        <v/>
      </c>
      <c r="AD520" s="102"/>
      <c r="AE520" s="119" t="str">
        <f t="array" ref="AE520">IF(OR($B520="",$D520=""),"",
IFERROR(
  INDEX(
    'Tools &amp; Targets_Guideline'!$C$54:$I$269,
    MATCH(
      1,
      ('Tools &amp; Targets_Guideline'!$A$54:$A$269=$B520)*
      ('Tools &amp; Targets_Guideline'!$B$54:$B$269="U5 Morbidity"),
      0
    ),
    MATCH(
      _xludf.IFNA(
        VLOOKUP($D520,{"PH","Provincial Hospital (H2)";"DH","District Hospital (H3)";"RH","Regional / National Hospital (H1)"},2,0),
        $D520
      ),
      'Tools &amp; Targets_Guideline'!$C$53:$I$53,
      0
    )
  ),
0))</f>
        <v/>
      </c>
      <c r="AF520" s="102"/>
      <c r="AG520" s="119" t="str">
        <f t="array" ref="AG520">IF(OR($B520="",$D520=""),"",
IFERROR(
  INDEX(
    'Tools &amp; Targets_Guideline'!$C$54:$I$269,
    MATCH(
      1,
      ('Tools &amp; Targets_Guideline'!$A$54:$A$269=$B520)*
      ('Tools &amp; Targets_Guideline'!$B$54:$B$269="C-Section"),
      0
    ),
    MATCH(
      _xludf.IFNA(
        VLOOKUP($D520,{"PH","Provincial Hospital (H2)";"DH","District Hospital (H3)";"RH","Regional / National Hospital (H1)"},2,0),
        $D520
      ),
      'Tools &amp; Targets_Guideline'!$C$53:$I$53,
      0
    )
  ),
0))</f>
        <v/>
      </c>
      <c r="AH520" s="102" t="str">
        <f>IF(A520&lt;&gt;"",COUNTIFS('QA Log'!D:D,A520,'QA Log'!M:M,"QQC",'QA Log'!L:L,"2. Hygiene and Sterilization",'QA Log'!Z:Z,"Approved"),"")</f>
        <v/>
      </c>
      <c r="AI520" s="102"/>
      <c r="AJ520" s="102"/>
      <c r="AK520" s="103" t="str">
        <f t="shared" si="32"/>
        <v/>
      </c>
      <c r="AL520" s="102"/>
      <c r="AM520" s="102"/>
      <c r="AN520" s="102"/>
      <c r="AO520" s="106"/>
      <c r="AP520" s="103"/>
      <c r="AQ520" s="102"/>
      <c r="AR520" s="102"/>
      <c r="AS520" s="102"/>
      <c r="AT520" s="107"/>
      <c r="AU520" s="102" t="str">
        <f t="shared" si="33"/>
        <v/>
      </c>
      <c r="AV520" s="102" t="str">
        <f t="shared" si="34"/>
        <v/>
      </c>
      <c r="AW520" s="102" t="str">
        <f t="shared" si="35"/>
        <v/>
      </c>
      <c r="AX520" s="102" t="str">
        <f t="shared" si="36"/>
        <v/>
      </c>
      <c r="AY520" s="107" t="str">
        <f t="shared" si="37"/>
        <v/>
      </c>
      <c r="AZ520" s="108" t="str">
        <f t="shared" si="38"/>
        <v/>
      </c>
      <c r="BA520" s="108" t="str">
        <f t="shared" si="39"/>
        <v/>
      </c>
      <c r="BB520" s="109" t="str">
        <f t="shared" si="40"/>
        <v/>
      </c>
      <c r="BC520" s="108" t="str">
        <f t="shared" si="41"/>
        <v/>
      </c>
      <c r="BD520" s="108" t="str">
        <f t="shared" si="42"/>
        <v/>
      </c>
      <c r="BE520" s="109" t="str">
        <f t="shared" si="43"/>
        <v/>
      </c>
      <c r="BF520" s="110" t="str">
        <f t="shared" si="44"/>
        <v/>
      </c>
      <c r="BG520" s="111"/>
    </row>
    <row r="521" spans="1:59" ht="12.75">
      <c r="A521" s="101"/>
      <c r="B521" s="102"/>
      <c r="C521" s="102" t="e">
        <f t="array" aca="1" ref="C521" ca="1">_xludf.XLOOKUP(A521,'QA Log'!D:D,'QA Log'!F:F,"")</f>
        <v>#NAME?</v>
      </c>
      <c r="D521" s="102"/>
      <c r="E521" s="102" t="e">
        <f t="array" aca="1" ref="E521" ca="1">_xludf.XLOOKUP(A521,'QA Log'!D:D,'QA Log'!G:G,"")</f>
        <v>#NAME?</v>
      </c>
      <c r="F521" s="103"/>
      <c r="G521" s="104"/>
      <c r="H521" s="104"/>
      <c r="I521" s="103" t="str">
        <f t="shared" si="30"/>
        <v/>
      </c>
      <c r="J521" s="102"/>
      <c r="K521" s="102"/>
      <c r="L521" s="119" t="str">
        <f t="array" ref="L521">IF(OR($B521="",$D521=""),"",
IFERROR(
  INDEX(
    'Tools &amp; Targets_Guideline'!$C$54:$I$269,
    MATCH(
      1,
      ('Tools &amp; Targets_Guideline'!$A$54:$A$269=$B521)*
      ('Tools &amp; Targets_Guideline'!$B$54:$B$269="ANC"),
      0
    ),
    MATCH(
      _xludf.IFNA(
        VLOOKUP($D521,{"PH","Provincial Hospital (H2)";"DH","District Hospital (H3)";"RH","Regional / National Hospital (H1)"},2,0),
        $D521
      ),
      'Tools &amp; Targets_Guideline'!$C$53:$I$53,
      0
    )
  ),
0))</f>
        <v/>
      </c>
      <c r="M521" s="102"/>
      <c r="N521" s="119" t="str">
        <f t="array" ref="N521">IF(OR($B521="",$D521=""),"",
IFERROR(
  INDEX(
    'Tools &amp; Targets_Guideline'!$C$54:$I$269,
    MATCH(
      1,
      ('Tools &amp; Targets_Guideline'!$A$54:$A$269=$B521)*
      ('Tools &amp; Targets_Guideline'!$B$54:$B$269="PNC"),
      0
    ),
    MATCH(
      _xludf.IFNA(
        VLOOKUP($D521,{"PH","Provincial Hospital (H2)";"DH","District Hospital (H3)";"RH","Regional / National Hospital (H1)"},2,0),
        $D521
      ),
      'Tools &amp; Targets_Guideline'!$C$53:$I$53,
      0
    )
  ),
0))</f>
        <v/>
      </c>
      <c r="O521" s="102"/>
      <c r="P521" s="119" t="str">
        <f t="array" ref="P521">IF(OR($B521="",$D521=""),"",
IFERROR(
  INDEX(
    'Tools &amp; Targets_Guideline'!$C$54:$I$269,
    MATCH(
      1,
      ('Tools &amp; Targets_Guideline'!$A$54:$A$269=$B521)*
      ('Tools &amp; Targets_Guideline'!$B$54:$B$269="Delivery"),
      0
    ),
    MATCH(
      _xludf.IFNA(
        VLOOKUP($D521,{"PH","Provincial Hospital (H2)";"DH","District Hospital (H3)";"RH","Regional / National Hospital (H1)"},2,0),
        $D521
      ),
      'Tools &amp; Targets_Guideline'!$C$53:$I$53,
      0
    )
  ),
0))</f>
        <v/>
      </c>
      <c r="Q521" s="102"/>
      <c r="R521" s="119" t="str">
        <f t="array" ref="R521">IF(OR($B521="",$D521=""),"",
IFERROR(
  INDEX(
    'Tools &amp; Targets_Guideline'!$C$54:$I$269,
    MATCH(
      1,
      ('Tools &amp; Targets_Guideline'!$A$54:$A$269=$B521)*
      ('Tools &amp; Targets_Guideline'!$B$54:$B$269="TT"),
      0
    ),
    MATCH(
      _xludf.IFNA(
        VLOOKUP($D521,{"PH","Provincial Hospital (H2)";"DH","District Hospital (H3)";"RH","Regional / National Hospital (H1)"},2,0),
        $D521
      ),
      'Tools &amp; Targets_Guideline'!$C$53:$I$53,
      0
    )
  ),
0))</f>
        <v/>
      </c>
      <c r="S521" s="102"/>
      <c r="T521" s="102"/>
      <c r="U521" s="106"/>
      <c r="V521" s="102" t="str">
        <f t="shared" si="31"/>
        <v/>
      </c>
      <c r="W521" s="102"/>
      <c r="X521" s="102"/>
      <c r="Y521" s="119" t="str">
        <f t="array" ref="Y521">IF(OR($B521="",$D521=""),"",
IFERROR(
  INDEX(
    'Tools &amp; Targets_Guideline'!$C$54:$I$269,
    MATCH(
      1,
      ('Tools &amp; Targets_Guideline'!$A$54:$A$269=$B521)*
      ('Tools &amp; Targets_Guideline'!$B$54:$B$269="GM"),
      0
    ),
    MATCH(
      _xludf.IFNA(
        VLOOKUP($D521,{"PH","Provincial Hospital (H2)";"DH","District Hospital (H3)";"RH","Regional / National Hospital (H1)"},2,0),
        $D521
      ),
      'Tools &amp; Targets_Guideline'!$C$53:$I$53,
      0
    )
  ),
0))</f>
        <v/>
      </c>
      <c r="Z521" s="102"/>
      <c r="AA521" s="119" t="str">
        <f t="array" ref="AA521">IF(OR($B521="",$D521=""),"",
IFERROR(
  INDEX(
    'Tools &amp; Targets_Guideline'!$C$54:$I$269,
    MATCH(
      1,
      ('Tools &amp; Targets_Guideline'!$A$54:$A$269=$B521)*
      ('Tools &amp; Targets_Guideline'!$B$54:$B$269="Penta"),
      0
    ),
    MATCH(
      _xludf.IFNA(
        VLOOKUP($D521,{"PH","Provincial Hospital (H2)";"DH","District Hospital (H3)";"RH","Regional / National Hospital (H1)"},2,0),
        $D521
      ),
      'Tools &amp; Targets_Guideline'!$C$53:$I$53,
      0
    )
  ),
0))</f>
        <v/>
      </c>
      <c r="AB521" s="102"/>
      <c r="AC521" s="119" t="str">
        <f t="array" ref="AC521">IF(OR($B521="",$D521=""),"",
IFERROR(
  INDEX(
    'Tools &amp; Targets_Guideline'!$C$54:$I$269,
    MATCH(
      1,
      ('Tools &amp; Targets_Guideline'!$A$54:$A$269=$B521)*
      ('Tools &amp; Targets_Guideline'!$B$54:$B$269="TB"),
      0
    ),
    MATCH(
      _xludf.IFNA(
        VLOOKUP($D521,{"PH","Provincial Hospital (H2)";"DH","District Hospital (H3)";"RH","Regional / National Hospital (H1)"},2,0),
        $D521
      ),
      'Tools &amp; Targets_Guideline'!$C$53:$I$53,
      0
    )
  ),
0))</f>
        <v/>
      </c>
      <c r="AD521" s="102"/>
      <c r="AE521" s="119" t="str">
        <f t="array" ref="AE521">IF(OR($B521="",$D521=""),"",
IFERROR(
  INDEX(
    'Tools &amp; Targets_Guideline'!$C$54:$I$269,
    MATCH(
      1,
      ('Tools &amp; Targets_Guideline'!$A$54:$A$269=$B521)*
      ('Tools &amp; Targets_Guideline'!$B$54:$B$269="U5 Morbidity"),
      0
    ),
    MATCH(
      _xludf.IFNA(
        VLOOKUP($D521,{"PH","Provincial Hospital (H2)";"DH","District Hospital (H3)";"RH","Regional / National Hospital (H1)"},2,0),
        $D521
      ),
      'Tools &amp; Targets_Guideline'!$C$53:$I$53,
      0
    )
  ),
0))</f>
        <v/>
      </c>
      <c r="AF521" s="102"/>
      <c r="AG521" s="119" t="str">
        <f t="array" ref="AG521">IF(OR($B521="",$D521=""),"",
IFERROR(
  INDEX(
    'Tools &amp; Targets_Guideline'!$C$54:$I$269,
    MATCH(
      1,
      ('Tools &amp; Targets_Guideline'!$A$54:$A$269=$B521)*
      ('Tools &amp; Targets_Guideline'!$B$54:$B$269="C-Section"),
      0
    ),
    MATCH(
      _xludf.IFNA(
        VLOOKUP($D521,{"PH","Provincial Hospital (H2)";"DH","District Hospital (H3)";"RH","Regional / National Hospital (H1)"},2,0),
        $D521
      ),
      'Tools &amp; Targets_Guideline'!$C$53:$I$53,
      0
    )
  ),
0))</f>
        <v/>
      </c>
      <c r="AH521" s="102" t="str">
        <f>IF(A521&lt;&gt;"",COUNTIFS('QA Log'!D:D,A521,'QA Log'!M:M,"QQC",'QA Log'!L:L,"2. Hygiene and Sterilization",'QA Log'!Z:Z,"Approved"),"")</f>
        <v/>
      </c>
      <c r="AI521" s="102"/>
      <c r="AJ521" s="102"/>
      <c r="AK521" s="103" t="str">
        <f t="shared" si="32"/>
        <v/>
      </c>
      <c r="AL521" s="102"/>
      <c r="AM521" s="102"/>
      <c r="AN521" s="102"/>
      <c r="AO521" s="106"/>
      <c r="AP521" s="103"/>
      <c r="AQ521" s="102"/>
      <c r="AR521" s="102"/>
      <c r="AS521" s="102"/>
      <c r="AT521" s="107"/>
      <c r="AU521" s="102" t="str">
        <f t="shared" si="33"/>
        <v/>
      </c>
      <c r="AV521" s="102" t="str">
        <f t="shared" si="34"/>
        <v/>
      </c>
      <c r="AW521" s="102" t="str">
        <f t="shared" si="35"/>
        <v/>
      </c>
      <c r="AX521" s="102" t="str">
        <f t="shared" si="36"/>
        <v/>
      </c>
      <c r="AY521" s="107" t="str">
        <f t="shared" si="37"/>
        <v/>
      </c>
      <c r="AZ521" s="108" t="str">
        <f t="shared" si="38"/>
        <v/>
      </c>
      <c r="BA521" s="108" t="str">
        <f t="shared" si="39"/>
        <v/>
      </c>
      <c r="BB521" s="109" t="str">
        <f t="shared" si="40"/>
        <v/>
      </c>
      <c r="BC521" s="108" t="str">
        <f t="shared" si="41"/>
        <v/>
      </c>
      <c r="BD521" s="108" t="str">
        <f t="shared" si="42"/>
        <v/>
      </c>
      <c r="BE521" s="109" t="str">
        <f t="shared" si="43"/>
        <v/>
      </c>
      <c r="BF521" s="110" t="str">
        <f t="shared" si="44"/>
        <v/>
      </c>
      <c r="BG521" s="111"/>
    </row>
    <row r="522" spans="1:59" ht="12.75">
      <c r="A522" s="101"/>
      <c r="B522" s="102"/>
      <c r="C522" s="102" t="e">
        <f t="array" aca="1" ref="C522" ca="1">_xludf.XLOOKUP(A522,'QA Log'!D:D,'QA Log'!F:F,"")</f>
        <v>#NAME?</v>
      </c>
      <c r="D522" s="102"/>
      <c r="E522" s="102" t="e">
        <f t="array" aca="1" ref="E522" ca="1">_xludf.XLOOKUP(A522,'QA Log'!D:D,'QA Log'!G:G,"")</f>
        <v>#NAME?</v>
      </c>
      <c r="F522" s="103"/>
      <c r="G522" s="104"/>
      <c r="H522" s="104"/>
      <c r="I522" s="103" t="str">
        <f t="shared" si="30"/>
        <v/>
      </c>
      <c r="J522" s="102"/>
      <c r="K522" s="102"/>
      <c r="L522" s="119" t="str">
        <f t="array" ref="L522">IF(OR($B522="",$D522=""),"",
IFERROR(
  INDEX(
    'Tools &amp; Targets_Guideline'!$C$54:$I$269,
    MATCH(
      1,
      ('Tools &amp; Targets_Guideline'!$A$54:$A$269=$B522)*
      ('Tools &amp; Targets_Guideline'!$B$54:$B$269="ANC"),
      0
    ),
    MATCH(
      _xludf.IFNA(
        VLOOKUP($D522,{"PH","Provincial Hospital (H2)";"DH","District Hospital (H3)";"RH","Regional / National Hospital (H1)"},2,0),
        $D522
      ),
      'Tools &amp; Targets_Guideline'!$C$53:$I$53,
      0
    )
  ),
0))</f>
        <v/>
      </c>
      <c r="M522" s="102"/>
      <c r="N522" s="119" t="str">
        <f t="array" ref="N522">IF(OR($B522="",$D522=""),"",
IFERROR(
  INDEX(
    'Tools &amp; Targets_Guideline'!$C$54:$I$269,
    MATCH(
      1,
      ('Tools &amp; Targets_Guideline'!$A$54:$A$269=$B522)*
      ('Tools &amp; Targets_Guideline'!$B$54:$B$269="PNC"),
      0
    ),
    MATCH(
      _xludf.IFNA(
        VLOOKUP($D522,{"PH","Provincial Hospital (H2)";"DH","District Hospital (H3)";"RH","Regional / National Hospital (H1)"},2,0),
        $D522
      ),
      'Tools &amp; Targets_Guideline'!$C$53:$I$53,
      0
    )
  ),
0))</f>
        <v/>
      </c>
      <c r="O522" s="102"/>
      <c r="P522" s="119" t="str">
        <f t="array" ref="P522">IF(OR($B522="",$D522=""),"",
IFERROR(
  INDEX(
    'Tools &amp; Targets_Guideline'!$C$54:$I$269,
    MATCH(
      1,
      ('Tools &amp; Targets_Guideline'!$A$54:$A$269=$B522)*
      ('Tools &amp; Targets_Guideline'!$B$54:$B$269="Delivery"),
      0
    ),
    MATCH(
      _xludf.IFNA(
        VLOOKUP($D522,{"PH","Provincial Hospital (H2)";"DH","District Hospital (H3)";"RH","Regional / National Hospital (H1)"},2,0),
        $D522
      ),
      'Tools &amp; Targets_Guideline'!$C$53:$I$53,
      0
    )
  ),
0))</f>
        <v/>
      </c>
      <c r="Q522" s="102"/>
      <c r="R522" s="119" t="str">
        <f t="array" ref="R522">IF(OR($B522="",$D522=""),"",
IFERROR(
  INDEX(
    'Tools &amp; Targets_Guideline'!$C$54:$I$269,
    MATCH(
      1,
      ('Tools &amp; Targets_Guideline'!$A$54:$A$269=$B522)*
      ('Tools &amp; Targets_Guideline'!$B$54:$B$269="TT"),
      0
    ),
    MATCH(
      _xludf.IFNA(
        VLOOKUP($D522,{"PH","Provincial Hospital (H2)";"DH","District Hospital (H3)";"RH","Regional / National Hospital (H1)"},2,0),
        $D522
      ),
      'Tools &amp; Targets_Guideline'!$C$53:$I$53,
      0
    )
  ),
0))</f>
        <v/>
      </c>
      <c r="S522" s="102"/>
      <c r="T522" s="102"/>
      <c r="U522" s="106"/>
      <c r="V522" s="102" t="str">
        <f t="shared" si="31"/>
        <v/>
      </c>
      <c r="W522" s="102"/>
      <c r="X522" s="102"/>
      <c r="Y522" s="119" t="str">
        <f t="array" ref="Y522">IF(OR($B522="",$D522=""),"",
IFERROR(
  INDEX(
    'Tools &amp; Targets_Guideline'!$C$54:$I$269,
    MATCH(
      1,
      ('Tools &amp; Targets_Guideline'!$A$54:$A$269=$B522)*
      ('Tools &amp; Targets_Guideline'!$B$54:$B$269="GM"),
      0
    ),
    MATCH(
      _xludf.IFNA(
        VLOOKUP($D522,{"PH","Provincial Hospital (H2)";"DH","District Hospital (H3)";"RH","Regional / National Hospital (H1)"},2,0),
        $D522
      ),
      'Tools &amp; Targets_Guideline'!$C$53:$I$53,
      0
    )
  ),
0))</f>
        <v/>
      </c>
      <c r="Z522" s="102"/>
      <c r="AA522" s="119" t="str">
        <f t="array" ref="AA522">IF(OR($B522="",$D522=""),"",
IFERROR(
  INDEX(
    'Tools &amp; Targets_Guideline'!$C$54:$I$269,
    MATCH(
      1,
      ('Tools &amp; Targets_Guideline'!$A$54:$A$269=$B522)*
      ('Tools &amp; Targets_Guideline'!$B$54:$B$269="Penta"),
      0
    ),
    MATCH(
      _xludf.IFNA(
        VLOOKUP($D522,{"PH","Provincial Hospital (H2)";"DH","District Hospital (H3)";"RH","Regional / National Hospital (H1)"},2,0),
        $D522
      ),
      'Tools &amp; Targets_Guideline'!$C$53:$I$53,
      0
    )
  ),
0))</f>
        <v/>
      </c>
      <c r="AB522" s="102"/>
      <c r="AC522" s="119" t="str">
        <f t="array" ref="AC522">IF(OR($B522="",$D522=""),"",
IFERROR(
  INDEX(
    'Tools &amp; Targets_Guideline'!$C$54:$I$269,
    MATCH(
      1,
      ('Tools &amp; Targets_Guideline'!$A$54:$A$269=$B522)*
      ('Tools &amp; Targets_Guideline'!$B$54:$B$269="TB"),
      0
    ),
    MATCH(
      _xludf.IFNA(
        VLOOKUP($D522,{"PH","Provincial Hospital (H2)";"DH","District Hospital (H3)";"RH","Regional / National Hospital (H1)"},2,0),
        $D522
      ),
      'Tools &amp; Targets_Guideline'!$C$53:$I$53,
      0
    )
  ),
0))</f>
        <v/>
      </c>
      <c r="AD522" s="102"/>
      <c r="AE522" s="119" t="str">
        <f t="array" ref="AE522">IF(OR($B522="",$D522=""),"",
IFERROR(
  INDEX(
    'Tools &amp; Targets_Guideline'!$C$54:$I$269,
    MATCH(
      1,
      ('Tools &amp; Targets_Guideline'!$A$54:$A$269=$B522)*
      ('Tools &amp; Targets_Guideline'!$B$54:$B$269="U5 Morbidity"),
      0
    ),
    MATCH(
      _xludf.IFNA(
        VLOOKUP($D522,{"PH","Provincial Hospital (H2)";"DH","District Hospital (H3)";"RH","Regional / National Hospital (H1)"},2,0),
        $D522
      ),
      'Tools &amp; Targets_Guideline'!$C$53:$I$53,
      0
    )
  ),
0))</f>
        <v/>
      </c>
      <c r="AF522" s="102"/>
      <c r="AG522" s="119" t="str">
        <f t="array" ref="AG522">IF(OR($B522="",$D522=""),"",
IFERROR(
  INDEX(
    'Tools &amp; Targets_Guideline'!$C$54:$I$269,
    MATCH(
      1,
      ('Tools &amp; Targets_Guideline'!$A$54:$A$269=$B522)*
      ('Tools &amp; Targets_Guideline'!$B$54:$B$269="C-Section"),
      0
    ),
    MATCH(
      _xludf.IFNA(
        VLOOKUP($D522,{"PH","Provincial Hospital (H2)";"DH","District Hospital (H3)";"RH","Regional / National Hospital (H1)"},2,0),
        $D522
      ),
      'Tools &amp; Targets_Guideline'!$C$53:$I$53,
      0
    )
  ),
0))</f>
        <v/>
      </c>
      <c r="AH522" s="102" t="str">
        <f>IF(A522&lt;&gt;"",COUNTIFS('QA Log'!D:D,A522,'QA Log'!M:M,"QQC",'QA Log'!L:L,"2. Hygiene and Sterilization",'QA Log'!Z:Z,"Approved"),"")</f>
        <v/>
      </c>
      <c r="AI522" s="102"/>
      <c r="AJ522" s="102"/>
      <c r="AK522" s="103" t="str">
        <f t="shared" si="32"/>
        <v/>
      </c>
      <c r="AL522" s="102"/>
      <c r="AM522" s="102"/>
      <c r="AN522" s="102"/>
      <c r="AO522" s="106"/>
      <c r="AP522" s="103"/>
      <c r="AQ522" s="102"/>
      <c r="AR522" s="102"/>
      <c r="AS522" s="102"/>
      <c r="AT522" s="107"/>
      <c r="AU522" s="102" t="str">
        <f t="shared" si="33"/>
        <v/>
      </c>
      <c r="AV522" s="102" t="str">
        <f t="shared" si="34"/>
        <v/>
      </c>
      <c r="AW522" s="102" t="str">
        <f t="shared" si="35"/>
        <v/>
      </c>
      <c r="AX522" s="102" t="str">
        <f t="shared" si="36"/>
        <v/>
      </c>
      <c r="AY522" s="107" t="str">
        <f t="shared" si="37"/>
        <v/>
      </c>
      <c r="AZ522" s="108" t="str">
        <f t="shared" si="38"/>
        <v/>
      </c>
      <c r="BA522" s="108" t="str">
        <f t="shared" si="39"/>
        <v/>
      </c>
      <c r="BB522" s="109" t="str">
        <f t="shared" si="40"/>
        <v/>
      </c>
      <c r="BC522" s="108" t="str">
        <f t="shared" si="41"/>
        <v/>
      </c>
      <c r="BD522" s="108" t="str">
        <f t="shared" si="42"/>
        <v/>
      </c>
      <c r="BE522" s="109" t="str">
        <f t="shared" si="43"/>
        <v/>
      </c>
      <c r="BF522" s="110" t="str">
        <f t="shared" si="44"/>
        <v/>
      </c>
      <c r="BG522" s="111"/>
    </row>
    <row r="523" spans="1:59" ht="12.75">
      <c r="A523" s="101"/>
      <c r="B523" s="102"/>
      <c r="C523" s="102" t="e">
        <f t="array" aca="1" ref="C523" ca="1">_xludf.XLOOKUP(A523,'QA Log'!D:D,'QA Log'!F:F,"")</f>
        <v>#NAME?</v>
      </c>
      <c r="D523" s="102"/>
      <c r="E523" s="102" t="e">
        <f t="array" aca="1" ref="E523" ca="1">_xludf.XLOOKUP(A523,'QA Log'!D:D,'QA Log'!G:G,"")</f>
        <v>#NAME?</v>
      </c>
      <c r="F523" s="103"/>
      <c r="G523" s="104"/>
      <c r="H523" s="104"/>
      <c r="I523" s="103" t="str">
        <f t="shared" si="30"/>
        <v/>
      </c>
      <c r="J523" s="102"/>
      <c r="K523" s="102"/>
      <c r="L523" s="119" t="str">
        <f t="array" ref="L523">IF(OR($B523="",$D523=""),"",
IFERROR(
  INDEX(
    'Tools &amp; Targets_Guideline'!$C$54:$I$269,
    MATCH(
      1,
      ('Tools &amp; Targets_Guideline'!$A$54:$A$269=$B523)*
      ('Tools &amp; Targets_Guideline'!$B$54:$B$269="ANC"),
      0
    ),
    MATCH(
      _xludf.IFNA(
        VLOOKUP($D523,{"PH","Provincial Hospital (H2)";"DH","District Hospital (H3)";"RH","Regional / National Hospital (H1)"},2,0),
        $D523
      ),
      'Tools &amp; Targets_Guideline'!$C$53:$I$53,
      0
    )
  ),
0))</f>
        <v/>
      </c>
      <c r="M523" s="102"/>
      <c r="N523" s="119" t="str">
        <f t="array" ref="N523">IF(OR($B523="",$D523=""),"",
IFERROR(
  INDEX(
    'Tools &amp; Targets_Guideline'!$C$54:$I$269,
    MATCH(
      1,
      ('Tools &amp; Targets_Guideline'!$A$54:$A$269=$B523)*
      ('Tools &amp; Targets_Guideline'!$B$54:$B$269="PNC"),
      0
    ),
    MATCH(
      _xludf.IFNA(
        VLOOKUP($D523,{"PH","Provincial Hospital (H2)";"DH","District Hospital (H3)";"RH","Regional / National Hospital (H1)"},2,0),
        $D523
      ),
      'Tools &amp; Targets_Guideline'!$C$53:$I$53,
      0
    )
  ),
0))</f>
        <v/>
      </c>
      <c r="O523" s="102"/>
      <c r="P523" s="119" t="str">
        <f t="array" ref="P523">IF(OR($B523="",$D523=""),"",
IFERROR(
  INDEX(
    'Tools &amp; Targets_Guideline'!$C$54:$I$269,
    MATCH(
      1,
      ('Tools &amp; Targets_Guideline'!$A$54:$A$269=$B523)*
      ('Tools &amp; Targets_Guideline'!$B$54:$B$269="Delivery"),
      0
    ),
    MATCH(
      _xludf.IFNA(
        VLOOKUP($D523,{"PH","Provincial Hospital (H2)";"DH","District Hospital (H3)";"RH","Regional / National Hospital (H1)"},2,0),
        $D523
      ),
      'Tools &amp; Targets_Guideline'!$C$53:$I$53,
      0
    )
  ),
0))</f>
        <v/>
      </c>
      <c r="Q523" s="102"/>
      <c r="R523" s="119" t="str">
        <f t="array" ref="R523">IF(OR($B523="",$D523=""),"",
IFERROR(
  INDEX(
    'Tools &amp; Targets_Guideline'!$C$54:$I$269,
    MATCH(
      1,
      ('Tools &amp; Targets_Guideline'!$A$54:$A$269=$B523)*
      ('Tools &amp; Targets_Guideline'!$B$54:$B$269="TT"),
      0
    ),
    MATCH(
      _xludf.IFNA(
        VLOOKUP($D523,{"PH","Provincial Hospital (H2)";"DH","District Hospital (H3)";"RH","Regional / National Hospital (H1)"},2,0),
        $D523
      ),
      'Tools &amp; Targets_Guideline'!$C$53:$I$53,
      0
    )
  ),
0))</f>
        <v/>
      </c>
      <c r="S523" s="102"/>
      <c r="T523" s="102"/>
      <c r="U523" s="106"/>
      <c r="V523" s="102" t="str">
        <f t="shared" si="31"/>
        <v/>
      </c>
      <c r="W523" s="102"/>
      <c r="X523" s="102"/>
      <c r="Y523" s="119" t="str">
        <f t="array" ref="Y523">IF(OR($B523="",$D523=""),"",
IFERROR(
  INDEX(
    'Tools &amp; Targets_Guideline'!$C$54:$I$269,
    MATCH(
      1,
      ('Tools &amp; Targets_Guideline'!$A$54:$A$269=$B523)*
      ('Tools &amp; Targets_Guideline'!$B$54:$B$269="GM"),
      0
    ),
    MATCH(
      _xludf.IFNA(
        VLOOKUP($D523,{"PH","Provincial Hospital (H2)";"DH","District Hospital (H3)";"RH","Regional / National Hospital (H1)"},2,0),
        $D523
      ),
      'Tools &amp; Targets_Guideline'!$C$53:$I$53,
      0
    )
  ),
0))</f>
        <v/>
      </c>
      <c r="Z523" s="102"/>
      <c r="AA523" s="119" t="str">
        <f t="array" ref="AA523">IF(OR($B523="",$D523=""),"",
IFERROR(
  INDEX(
    'Tools &amp; Targets_Guideline'!$C$54:$I$269,
    MATCH(
      1,
      ('Tools &amp; Targets_Guideline'!$A$54:$A$269=$B523)*
      ('Tools &amp; Targets_Guideline'!$B$54:$B$269="Penta"),
      0
    ),
    MATCH(
      _xludf.IFNA(
        VLOOKUP($D523,{"PH","Provincial Hospital (H2)";"DH","District Hospital (H3)";"RH","Regional / National Hospital (H1)"},2,0),
        $D523
      ),
      'Tools &amp; Targets_Guideline'!$C$53:$I$53,
      0
    )
  ),
0))</f>
        <v/>
      </c>
      <c r="AB523" s="102"/>
      <c r="AC523" s="119" t="str">
        <f t="array" ref="AC523">IF(OR($B523="",$D523=""),"",
IFERROR(
  INDEX(
    'Tools &amp; Targets_Guideline'!$C$54:$I$269,
    MATCH(
      1,
      ('Tools &amp; Targets_Guideline'!$A$54:$A$269=$B523)*
      ('Tools &amp; Targets_Guideline'!$B$54:$B$269="TB"),
      0
    ),
    MATCH(
      _xludf.IFNA(
        VLOOKUP($D523,{"PH","Provincial Hospital (H2)";"DH","District Hospital (H3)";"RH","Regional / National Hospital (H1)"},2,0),
        $D523
      ),
      'Tools &amp; Targets_Guideline'!$C$53:$I$53,
      0
    )
  ),
0))</f>
        <v/>
      </c>
      <c r="AD523" s="102"/>
      <c r="AE523" s="119" t="str">
        <f t="array" ref="AE523">IF(OR($B523="",$D523=""),"",
IFERROR(
  INDEX(
    'Tools &amp; Targets_Guideline'!$C$54:$I$269,
    MATCH(
      1,
      ('Tools &amp; Targets_Guideline'!$A$54:$A$269=$B523)*
      ('Tools &amp; Targets_Guideline'!$B$54:$B$269="U5 Morbidity"),
      0
    ),
    MATCH(
      _xludf.IFNA(
        VLOOKUP($D523,{"PH","Provincial Hospital (H2)";"DH","District Hospital (H3)";"RH","Regional / National Hospital (H1)"},2,0),
        $D523
      ),
      'Tools &amp; Targets_Guideline'!$C$53:$I$53,
      0
    )
  ),
0))</f>
        <v/>
      </c>
      <c r="AF523" s="102"/>
      <c r="AG523" s="119" t="str">
        <f t="array" ref="AG523">IF(OR($B523="",$D523=""),"",
IFERROR(
  INDEX(
    'Tools &amp; Targets_Guideline'!$C$54:$I$269,
    MATCH(
      1,
      ('Tools &amp; Targets_Guideline'!$A$54:$A$269=$B523)*
      ('Tools &amp; Targets_Guideline'!$B$54:$B$269="C-Section"),
      0
    ),
    MATCH(
      _xludf.IFNA(
        VLOOKUP($D523,{"PH","Provincial Hospital (H2)";"DH","District Hospital (H3)";"RH","Regional / National Hospital (H1)"},2,0),
        $D523
      ),
      'Tools &amp; Targets_Guideline'!$C$53:$I$53,
      0
    )
  ),
0))</f>
        <v/>
      </c>
      <c r="AH523" s="102" t="str">
        <f>IF(A523&lt;&gt;"",COUNTIFS('QA Log'!D:D,A523,'QA Log'!M:M,"QQC",'QA Log'!L:L,"2. Hygiene and Sterilization",'QA Log'!Z:Z,"Approved"),"")</f>
        <v/>
      </c>
      <c r="AI523" s="102"/>
      <c r="AJ523" s="102"/>
      <c r="AK523" s="103" t="str">
        <f t="shared" si="32"/>
        <v/>
      </c>
      <c r="AL523" s="102"/>
      <c r="AM523" s="102"/>
      <c r="AN523" s="102"/>
      <c r="AO523" s="106"/>
      <c r="AP523" s="103"/>
      <c r="AQ523" s="102"/>
      <c r="AR523" s="102"/>
      <c r="AS523" s="102"/>
      <c r="AT523" s="107"/>
      <c r="AU523" s="102" t="str">
        <f t="shared" si="33"/>
        <v/>
      </c>
      <c r="AV523" s="102" t="str">
        <f t="shared" si="34"/>
        <v/>
      </c>
      <c r="AW523" s="102" t="str">
        <f t="shared" si="35"/>
        <v/>
      </c>
      <c r="AX523" s="102" t="str">
        <f t="shared" si="36"/>
        <v/>
      </c>
      <c r="AY523" s="107" t="str">
        <f t="shared" si="37"/>
        <v/>
      </c>
      <c r="AZ523" s="108" t="str">
        <f t="shared" si="38"/>
        <v/>
      </c>
      <c r="BA523" s="108" t="str">
        <f t="shared" si="39"/>
        <v/>
      </c>
      <c r="BB523" s="109" t="str">
        <f t="shared" si="40"/>
        <v/>
      </c>
      <c r="BC523" s="108" t="str">
        <f t="shared" si="41"/>
        <v/>
      </c>
      <c r="BD523" s="108" t="str">
        <f t="shared" si="42"/>
        <v/>
      </c>
      <c r="BE523" s="109" t="str">
        <f t="shared" si="43"/>
        <v/>
      </c>
      <c r="BF523" s="110" t="str">
        <f t="shared" si="44"/>
        <v/>
      </c>
      <c r="BG523" s="111"/>
    </row>
    <row r="524" spans="1:59" ht="12.75">
      <c r="A524" s="101"/>
      <c r="B524" s="102"/>
      <c r="C524" s="102" t="e">
        <f t="array" aca="1" ref="C524" ca="1">_xludf.XLOOKUP(A524,'QA Log'!D:D,'QA Log'!F:F,"")</f>
        <v>#NAME?</v>
      </c>
      <c r="D524" s="102"/>
      <c r="E524" s="102" t="e">
        <f t="array" aca="1" ref="E524" ca="1">_xludf.XLOOKUP(A524,'QA Log'!D:D,'QA Log'!G:G,"")</f>
        <v>#NAME?</v>
      </c>
      <c r="F524" s="103"/>
      <c r="G524" s="104"/>
      <c r="H524" s="104"/>
      <c r="I524" s="103" t="str">
        <f t="shared" si="30"/>
        <v/>
      </c>
      <c r="J524" s="102"/>
      <c r="K524" s="102"/>
      <c r="L524" s="119" t="str">
        <f t="array" ref="L524">IF(OR($B524="",$D524=""),"",
IFERROR(
  INDEX(
    'Tools &amp; Targets_Guideline'!$C$54:$I$269,
    MATCH(
      1,
      ('Tools &amp; Targets_Guideline'!$A$54:$A$269=$B524)*
      ('Tools &amp; Targets_Guideline'!$B$54:$B$269="ANC"),
      0
    ),
    MATCH(
      _xludf.IFNA(
        VLOOKUP($D524,{"PH","Provincial Hospital (H2)";"DH","District Hospital (H3)";"RH","Regional / National Hospital (H1)"},2,0),
        $D524
      ),
      'Tools &amp; Targets_Guideline'!$C$53:$I$53,
      0
    )
  ),
0))</f>
        <v/>
      </c>
      <c r="M524" s="102"/>
      <c r="N524" s="119" t="str">
        <f t="array" ref="N524">IF(OR($B524="",$D524=""),"",
IFERROR(
  INDEX(
    'Tools &amp; Targets_Guideline'!$C$54:$I$269,
    MATCH(
      1,
      ('Tools &amp; Targets_Guideline'!$A$54:$A$269=$B524)*
      ('Tools &amp; Targets_Guideline'!$B$54:$B$269="PNC"),
      0
    ),
    MATCH(
      _xludf.IFNA(
        VLOOKUP($D524,{"PH","Provincial Hospital (H2)";"DH","District Hospital (H3)";"RH","Regional / National Hospital (H1)"},2,0),
        $D524
      ),
      'Tools &amp; Targets_Guideline'!$C$53:$I$53,
      0
    )
  ),
0))</f>
        <v/>
      </c>
      <c r="O524" s="102"/>
      <c r="P524" s="119" t="str">
        <f t="array" ref="P524">IF(OR($B524="",$D524=""),"",
IFERROR(
  INDEX(
    'Tools &amp; Targets_Guideline'!$C$54:$I$269,
    MATCH(
      1,
      ('Tools &amp; Targets_Guideline'!$A$54:$A$269=$B524)*
      ('Tools &amp; Targets_Guideline'!$B$54:$B$269="Delivery"),
      0
    ),
    MATCH(
      _xludf.IFNA(
        VLOOKUP($D524,{"PH","Provincial Hospital (H2)";"DH","District Hospital (H3)";"RH","Regional / National Hospital (H1)"},2,0),
        $D524
      ),
      'Tools &amp; Targets_Guideline'!$C$53:$I$53,
      0
    )
  ),
0))</f>
        <v/>
      </c>
      <c r="Q524" s="102"/>
      <c r="R524" s="119" t="str">
        <f t="array" ref="R524">IF(OR($B524="",$D524=""),"",
IFERROR(
  INDEX(
    'Tools &amp; Targets_Guideline'!$C$54:$I$269,
    MATCH(
      1,
      ('Tools &amp; Targets_Guideline'!$A$54:$A$269=$B524)*
      ('Tools &amp; Targets_Guideline'!$B$54:$B$269="TT"),
      0
    ),
    MATCH(
      _xludf.IFNA(
        VLOOKUP($D524,{"PH","Provincial Hospital (H2)";"DH","District Hospital (H3)";"RH","Regional / National Hospital (H1)"},2,0),
        $D524
      ),
      'Tools &amp; Targets_Guideline'!$C$53:$I$53,
      0
    )
  ),
0))</f>
        <v/>
      </c>
      <c r="S524" s="102"/>
      <c r="T524" s="102"/>
      <c r="U524" s="106"/>
      <c r="V524" s="102" t="str">
        <f t="shared" si="31"/>
        <v/>
      </c>
      <c r="W524" s="102"/>
      <c r="X524" s="102"/>
      <c r="Y524" s="119" t="str">
        <f t="array" ref="Y524">IF(OR($B524="",$D524=""),"",
IFERROR(
  INDEX(
    'Tools &amp; Targets_Guideline'!$C$54:$I$269,
    MATCH(
      1,
      ('Tools &amp; Targets_Guideline'!$A$54:$A$269=$B524)*
      ('Tools &amp; Targets_Guideline'!$B$54:$B$269="GM"),
      0
    ),
    MATCH(
      _xludf.IFNA(
        VLOOKUP($D524,{"PH","Provincial Hospital (H2)";"DH","District Hospital (H3)";"RH","Regional / National Hospital (H1)"},2,0),
        $D524
      ),
      'Tools &amp; Targets_Guideline'!$C$53:$I$53,
      0
    )
  ),
0))</f>
        <v/>
      </c>
      <c r="Z524" s="102"/>
      <c r="AA524" s="119" t="str">
        <f t="array" ref="AA524">IF(OR($B524="",$D524=""),"",
IFERROR(
  INDEX(
    'Tools &amp; Targets_Guideline'!$C$54:$I$269,
    MATCH(
      1,
      ('Tools &amp; Targets_Guideline'!$A$54:$A$269=$B524)*
      ('Tools &amp; Targets_Guideline'!$B$54:$B$269="Penta"),
      0
    ),
    MATCH(
      _xludf.IFNA(
        VLOOKUP($D524,{"PH","Provincial Hospital (H2)";"DH","District Hospital (H3)";"RH","Regional / National Hospital (H1)"},2,0),
        $D524
      ),
      'Tools &amp; Targets_Guideline'!$C$53:$I$53,
      0
    )
  ),
0))</f>
        <v/>
      </c>
      <c r="AB524" s="102"/>
      <c r="AC524" s="119" t="str">
        <f t="array" ref="AC524">IF(OR($B524="",$D524=""),"",
IFERROR(
  INDEX(
    'Tools &amp; Targets_Guideline'!$C$54:$I$269,
    MATCH(
      1,
      ('Tools &amp; Targets_Guideline'!$A$54:$A$269=$B524)*
      ('Tools &amp; Targets_Guideline'!$B$54:$B$269="TB"),
      0
    ),
    MATCH(
      _xludf.IFNA(
        VLOOKUP($D524,{"PH","Provincial Hospital (H2)";"DH","District Hospital (H3)";"RH","Regional / National Hospital (H1)"},2,0),
        $D524
      ),
      'Tools &amp; Targets_Guideline'!$C$53:$I$53,
      0
    )
  ),
0))</f>
        <v/>
      </c>
      <c r="AD524" s="102"/>
      <c r="AE524" s="119" t="str">
        <f t="array" ref="AE524">IF(OR($B524="",$D524=""),"",
IFERROR(
  INDEX(
    'Tools &amp; Targets_Guideline'!$C$54:$I$269,
    MATCH(
      1,
      ('Tools &amp; Targets_Guideline'!$A$54:$A$269=$B524)*
      ('Tools &amp; Targets_Guideline'!$B$54:$B$269="U5 Morbidity"),
      0
    ),
    MATCH(
      _xludf.IFNA(
        VLOOKUP($D524,{"PH","Provincial Hospital (H2)";"DH","District Hospital (H3)";"RH","Regional / National Hospital (H1)"},2,0),
        $D524
      ),
      'Tools &amp; Targets_Guideline'!$C$53:$I$53,
      0
    )
  ),
0))</f>
        <v/>
      </c>
      <c r="AF524" s="102"/>
      <c r="AG524" s="119" t="str">
        <f t="array" ref="AG524">IF(OR($B524="",$D524=""),"",
IFERROR(
  INDEX(
    'Tools &amp; Targets_Guideline'!$C$54:$I$269,
    MATCH(
      1,
      ('Tools &amp; Targets_Guideline'!$A$54:$A$269=$B524)*
      ('Tools &amp; Targets_Guideline'!$B$54:$B$269="C-Section"),
      0
    ),
    MATCH(
      _xludf.IFNA(
        VLOOKUP($D524,{"PH","Provincial Hospital (H2)";"DH","District Hospital (H3)";"RH","Regional / National Hospital (H1)"},2,0),
        $D524
      ),
      'Tools &amp; Targets_Guideline'!$C$53:$I$53,
      0
    )
  ),
0))</f>
        <v/>
      </c>
      <c r="AH524" s="102" t="str">
        <f>IF(A524&lt;&gt;"",COUNTIFS('QA Log'!D:D,A524,'QA Log'!M:M,"QQC",'QA Log'!L:L,"2. Hygiene and Sterilization",'QA Log'!Z:Z,"Approved"),"")</f>
        <v/>
      </c>
      <c r="AI524" s="102"/>
      <c r="AJ524" s="102"/>
      <c r="AK524" s="103" t="str">
        <f t="shared" si="32"/>
        <v/>
      </c>
      <c r="AL524" s="102"/>
      <c r="AM524" s="102"/>
      <c r="AN524" s="102"/>
      <c r="AO524" s="106"/>
      <c r="AP524" s="103"/>
      <c r="AQ524" s="102"/>
      <c r="AR524" s="102"/>
      <c r="AS524" s="102"/>
      <c r="AT524" s="107"/>
      <c r="AU524" s="102" t="str">
        <f t="shared" si="33"/>
        <v/>
      </c>
      <c r="AV524" s="102" t="str">
        <f t="shared" si="34"/>
        <v/>
      </c>
      <c r="AW524" s="102" t="str">
        <f t="shared" si="35"/>
        <v/>
      </c>
      <c r="AX524" s="102" t="str">
        <f t="shared" si="36"/>
        <v/>
      </c>
      <c r="AY524" s="107" t="str">
        <f t="shared" si="37"/>
        <v/>
      </c>
      <c r="AZ524" s="108" t="str">
        <f t="shared" si="38"/>
        <v/>
      </c>
      <c r="BA524" s="108" t="str">
        <f t="shared" si="39"/>
        <v/>
      </c>
      <c r="BB524" s="109" t="str">
        <f t="shared" si="40"/>
        <v/>
      </c>
      <c r="BC524" s="108" t="str">
        <f t="shared" si="41"/>
        <v/>
      </c>
      <c r="BD524" s="108" t="str">
        <f t="shared" si="42"/>
        <v/>
      </c>
      <c r="BE524" s="109" t="str">
        <f t="shared" si="43"/>
        <v/>
      </c>
      <c r="BF524" s="110" t="str">
        <f t="shared" si="44"/>
        <v/>
      </c>
      <c r="BG524" s="111"/>
    </row>
    <row r="525" spans="1:59" ht="12.75">
      <c r="A525" s="101"/>
      <c r="B525" s="102"/>
      <c r="C525" s="102" t="e">
        <f t="array" aca="1" ref="C525" ca="1">_xludf.XLOOKUP(A525,'QA Log'!D:D,'QA Log'!F:F,"")</f>
        <v>#NAME?</v>
      </c>
      <c r="D525" s="102"/>
      <c r="E525" s="102" t="e">
        <f t="array" aca="1" ref="E525" ca="1">_xludf.XLOOKUP(A525,'QA Log'!D:D,'QA Log'!G:G,"")</f>
        <v>#NAME?</v>
      </c>
      <c r="F525" s="103"/>
      <c r="G525" s="104"/>
      <c r="H525" s="104"/>
      <c r="I525" s="103" t="str">
        <f t="shared" si="30"/>
        <v/>
      </c>
      <c r="J525" s="102"/>
      <c r="K525" s="102"/>
      <c r="L525" s="119" t="str">
        <f t="array" ref="L525">IF(OR($B525="",$D525=""),"",
IFERROR(
  INDEX(
    'Tools &amp; Targets_Guideline'!$C$54:$I$269,
    MATCH(
      1,
      ('Tools &amp; Targets_Guideline'!$A$54:$A$269=$B525)*
      ('Tools &amp; Targets_Guideline'!$B$54:$B$269="ANC"),
      0
    ),
    MATCH(
      _xludf.IFNA(
        VLOOKUP($D525,{"PH","Provincial Hospital (H2)";"DH","District Hospital (H3)";"RH","Regional / National Hospital (H1)"},2,0),
        $D525
      ),
      'Tools &amp; Targets_Guideline'!$C$53:$I$53,
      0
    )
  ),
0))</f>
        <v/>
      </c>
      <c r="M525" s="102"/>
      <c r="N525" s="119" t="str">
        <f t="array" ref="N525">IF(OR($B525="",$D525=""),"",
IFERROR(
  INDEX(
    'Tools &amp; Targets_Guideline'!$C$54:$I$269,
    MATCH(
      1,
      ('Tools &amp; Targets_Guideline'!$A$54:$A$269=$B525)*
      ('Tools &amp; Targets_Guideline'!$B$54:$B$269="PNC"),
      0
    ),
    MATCH(
      _xludf.IFNA(
        VLOOKUP($D525,{"PH","Provincial Hospital (H2)";"DH","District Hospital (H3)";"RH","Regional / National Hospital (H1)"},2,0),
        $D525
      ),
      'Tools &amp; Targets_Guideline'!$C$53:$I$53,
      0
    )
  ),
0))</f>
        <v/>
      </c>
      <c r="O525" s="102"/>
      <c r="P525" s="119" t="str">
        <f t="array" ref="P525">IF(OR($B525="",$D525=""),"",
IFERROR(
  INDEX(
    'Tools &amp; Targets_Guideline'!$C$54:$I$269,
    MATCH(
      1,
      ('Tools &amp; Targets_Guideline'!$A$54:$A$269=$B525)*
      ('Tools &amp; Targets_Guideline'!$B$54:$B$269="Delivery"),
      0
    ),
    MATCH(
      _xludf.IFNA(
        VLOOKUP($D525,{"PH","Provincial Hospital (H2)";"DH","District Hospital (H3)";"RH","Regional / National Hospital (H1)"},2,0),
        $D525
      ),
      'Tools &amp; Targets_Guideline'!$C$53:$I$53,
      0
    )
  ),
0))</f>
        <v/>
      </c>
      <c r="Q525" s="102"/>
      <c r="R525" s="119" t="str">
        <f t="array" ref="R525">IF(OR($B525="",$D525=""),"",
IFERROR(
  INDEX(
    'Tools &amp; Targets_Guideline'!$C$54:$I$269,
    MATCH(
      1,
      ('Tools &amp; Targets_Guideline'!$A$54:$A$269=$B525)*
      ('Tools &amp; Targets_Guideline'!$B$54:$B$269="TT"),
      0
    ),
    MATCH(
      _xludf.IFNA(
        VLOOKUP($D525,{"PH","Provincial Hospital (H2)";"DH","District Hospital (H3)";"RH","Regional / National Hospital (H1)"},2,0),
        $D525
      ),
      'Tools &amp; Targets_Guideline'!$C$53:$I$53,
      0
    )
  ),
0))</f>
        <v/>
      </c>
      <c r="S525" s="102"/>
      <c r="T525" s="102"/>
      <c r="U525" s="106"/>
      <c r="V525" s="102" t="str">
        <f t="shared" si="31"/>
        <v/>
      </c>
      <c r="W525" s="102"/>
      <c r="X525" s="102"/>
      <c r="Y525" s="119" t="str">
        <f t="array" ref="Y525">IF(OR($B525="",$D525=""),"",
IFERROR(
  INDEX(
    'Tools &amp; Targets_Guideline'!$C$54:$I$269,
    MATCH(
      1,
      ('Tools &amp; Targets_Guideline'!$A$54:$A$269=$B525)*
      ('Tools &amp; Targets_Guideline'!$B$54:$B$269="GM"),
      0
    ),
    MATCH(
      _xludf.IFNA(
        VLOOKUP($D525,{"PH","Provincial Hospital (H2)";"DH","District Hospital (H3)";"RH","Regional / National Hospital (H1)"},2,0),
        $D525
      ),
      'Tools &amp; Targets_Guideline'!$C$53:$I$53,
      0
    )
  ),
0))</f>
        <v/>
      </c>
      <c r="Z525" s="102"/>
      <c r="AA525" s="119" t="str">
        <f t="array" ref="AA525">IF(OR($B525="",$D525=""),"",
IFERROR(
  INDEX(
    'Tools &amp; Targets_Guideline'!$C$54:$I$269,
    MATCH(
      1,
      ('Tools &amp; Targets_Guideline'!$A$54:$A$269=$B525)*
      ('Tools &amp; Targets_Guideline'!$B$54:$B$269="Penta"),
      0
    ),
    MATCH(
      _xludf.IFNA(
        VLOOKUP($D525,{"PH","Provincial Hospital (H2)";"DH","District Hospital (H3)";"RH","Regional / National Hospital (H1)"},2,0),
        $D525
      ),
      'Tools &amp; Targets_Guideline'!$C$53:$I$53,
      0
    )
  ),
0))</f>
        <v/>
      </c>
      <c r="AB525" s="102"/>
      <c r="AC525" s="119" t="str">
        <f t="array" ref="AC525">IF(OR($B525="",$D525=""),"",
IFERROR(
  INDEX(
    'Tools &amp; Targets_Guideline'!$C$54:$I$269,
    MATCH(
      1,
      ('Tools &amp; Targets_Guideline'!$A$54:$A$269=$B525)*
      ('Tools &amp; Targets_Guideline'!$B$54:$B$269="TB"),
      0
    ),
    MATCH(
      _xludf.IFNA(
        VLOOKUP($D525,{"PH","Provincial Hospital (H2)";"DH","District Hospital (H3)";"RH","Regional / National Hospital (H1)"},2,0),
        $D525
      ),
      'Tools &amp; Targets_Guideline'!$C$53:$I$53,
      0
    )
  ),
0))</f>
        <v/>
      </c>
      <c r="AD525" s="102"/>
      <c r="AE525" s="119" t="str">
        <f t="array" ref="AE525">IF(OR($B525="",$D525=""),"",
IFERROR(
  INDEX(
    'Tools &amp; Targets_Guideline'!$C$54:$I$269,
    MATCH(
      1,
      ('Tools &amp; Targets_Guideline'!$A$54:$A$269=$B525)*
      ('Tools &amp; Targets_Guideline'!$B$54:$B$269="U5 Morbidity"),
      0
    ),
    MATCH(
      _xludf.IFNA(
        VLOOKUP($D525,{"PH","Provincial Hospital (H2)";"DH","District Hospital (H3)";"RH","Regional / National Hospital (H1)"},2,0),
        $D525
      ),
      'Tools &amp; Targets_Guideline'!$C$53:$I$53,
      0
    )
  ),
0))</f>
        <v/>
      </c>
      <c r="AF525" s="102"/>
      <c r="AG525" s="119" t="str">
        <f t="array" ref="AG525">IF(OR($B525="",$D525=""),"",
IFERROR(
  INDEX(
    'Tools &amp; Targets_Guideline'!$C$54:$I$269,
    MATCH(
      1,
      ('Tools &amp; Targets_Guideline'!$A$54:$A$269=$B525)*
      ('Tools &amp; Targets_Guideline'!$B$54:$B$269="C-Section"),
      0
    ),
    MATCH(
      _xludf.IFNA(
        VLOOKUP($D525,{"PH","Provincial Hospital (H2)";"DH","District Hospital (H3)";"RH","Regional / National Hospital (H1)"},2,0),
        $D525
      ),
      'Tools &amp; Targets_Guideline'!$C$53:$I$53,
      0
    )
  ),
0))</f>
        <v/>
      </c>
      <c r="AH525" s="102" t="str">
        <f>IF(A525&lt;&gt;"",COUNTIFS('QA Log'!D:D,A525,'QA Log'!M:M,"QQC",'QA Log'!L:L,"2. Hygiene and Sterilization",'QA Log'!Z:Z,"Approved"),"")</f>
        <v/>
      </c>
      <c r="AI525" s="102"/>
      <c r="AJ525" s="102"/>
      <c r="AK525" s="103" t="str">
        <f t="shared" si="32"/>
        <v/>
      </c>
      <c r="AL525" s="102"/>
      <c r="AM525" s="102"/>
      <c r="AN525" s="102"/>
      <c r="AO525" s="106"/>
      <c r="AP525" s="103"/>
      <c r="AQ525" s="102"/>
      <c r="AR525" s="102"/>
      <c r="AS525" s="102"/>
      <c r="AT525" s="107"/>
      <c r="AU525" s="102" t="str">
        <f t="shared" si="33"/>
        <v/>
      </c>
      <c r="AV525" s="102" t="str">
        <f t="shared" si="34"/>
        <v/>
      </c>
      <c r="AW525" s="102" t="str">
        <f t="shared" si="35"/>
        <v/>
      </c>
      <c r="AX525" s="102" t="str">
        <f t="shared" si="36"/>
        <v/>
      </c>
      <c r="AY525" s="107" t="str">
        <f t="shared" si="37"/>
        <v/>
      </c>
      <c r="AZ525" s="108" t="str">
        <f t="shared" si="38"/>
        <v/>
      </c>
      <c r="BA525" s="108" t="str">
        <f t="shared" si="39"/>
        <v/>
      </c>
      <c r="BB525" s="109" t="str">
        <f t="shared" si="40"/>
        <v/>
      </c>
      <c r="BC525" s="108" t="str">
        <f t="shared" si="41"/>
        <v/>
      </c>
      <c r="BD525" s="108" t="str">
        <f t="shared" si="42"/>
        <v/>
      </c>
      <c r="BE525" s="109" t="str">
        <f t="shared" si="43"/>
        <v/>
      </c>
      <c r="BF525" s="110" t="str">
        <f t="shared" si="44"/>
        <v/>
      </c>
      <c r="BG525" s="111"/>
    </row>
    <row r="526" spans="1:59" ht="12.75">
      <c r="A526" s="101"/>
      <c r="B526" s="102"/>
      <c r="C526" s="102" t="e">
        <f t="array" aca="1" ref="C526" ca="1">_xludf.XLOOKUP(A526,'QA Log'!D:D,'QA Log'!F:F,"")</f>
        <v>#NAME?</v>
      </c>
      <c r="D526" s="102"/>
      <c r="E526" s="102" t="e">
        <f t="array" aca="1" ref="E526" ca="1">_xludf.XLOOKUP(A526,'QA Log'!D:D,'QA Log'!G:G,"")</f>
        <v>#NAME?</v>
      </c>
      <c r="F526" s="103"/>
      <c r="G526" s="104"/>
      <c r="H526" s="104"/>
      <c r="I526" s="103" t="str">
        <f t="shared" si="30"/>
        <v/>
      </c>
      <c r="J526" s="102"/>
      <c r="K526" s="102"/>
      <c r="L526" s="119" t="str">
        <f t="array" ref="L526">IF(OR($B526="",$D526=""),"",
IFERROR(
  INDEX(
    'Tools &amp; Targets_Guideline'!$C$54:$I$269,
    MATCH(
      1,
      ('Tools &amp; Targets_Guideline'!$A$54:$A$269=$B526)*
      ('Tools &amp; Targets_Guideline'!$B$54:$B$269="ANC"),
      0
    ),
    MATCH(
      _xludf.IFNA(
        VLOOKUP($D526,{"PH","Provincial Hospital (H2)";"DH","District Hospital (H3)";"RH","Regional / National Hospital (H1)"},2,0),
        $D526
      ),
      'Tools &amp; Targets_Guideline'!$C$53:$I$53,
      0
    )
  ),
0))</f>
        <v/>
      </c>
      <c r="M526" s="102"/>
      <c r="N526" s="119" t="str">
        <f t="array" ref="N526">IF(OR($B526="",$D526=""),"",
IFERROR(
  INDEX(
    'Tools &amp; Targets_Guideline'!$C$54:$I$269,
    MATCH(
      1,
      ('Tools &amp; Targets_Guideline'!$A$54:$A$269=$B526)*
      ('Tools &amp; Targets_Guideline'!$B$54:$B$269="PNC"),
      0
    ),
    MATCH(
      _xludf.IFNA(
        VLOOKUP($D526,{"PH","Provincial Hospital (H2)";"DH","District Hospital (H3)";"RH","Regional / National Hospital (H1)"},2,0),
        $D526
      ),
      'Tools &amp; Targets_Guideline'!$C$53:$I$53,
      0
    )
  ),
0))</f>
        <v/>
      </c>
      <c r="O526" s="102"/>
      <c r="P526" s="119" t="str">
        <f t="array" ref="P526">IF(OR($B526="",$D526=""),"",
IFERROR(
  INDEX(
    'Tools &amp; Targets_Guideline'!$C$54:$I$269,
    MATCH(
      1,
      ('Tools &amp; Targets_Guideline'!$A$54:$A$269=$B526)*
      ('Tools &amp; Targets_Guideline'!$B$54:$B$269="Delivery"),
      0
    ),
    MATCH(
      _xludf.IFNA(
        VLOOKUP($D526,{"PH","Provincial Hospital (H2)";"DH","District Hospital (H3)";"RH","Regional / National Hospital (H1)"},2,0),
        $D526
      ),
      'Tools &amp; Targets_Guideline'!$C$53:$I$53,
      0
    )
  ),
0))</f>
        <v/>
      </c>
      <c r="Q526" s="102"/>
      <c r="R526" s="119" t="str">
        <f t="array" ref="R526">IF(OR($B526="",$D526=""),"",
IFERROR(
  INDEX(
    'Tools &amp; Targets_Guideline'!$C$54:$I$269,
    MATCH(
      1,
      ('Tools &amp; Targets_Guideline'!$A$54:$A$269=$B526)*
      ('Tools &amp; Targets_Guideline'!$B$54:$B$269="TT"),
      0
    ),
    MATCH(
      _xludf.IFNA(
        VLOOKUP($D526,{"PH","Provincial Hospital (H2)";"DH","District Hospital (H3)";"RH","Regional / National Hospital (H1)"},2,0),
        $D526
      ),
      'Tools &amp; Targets_Guideline'!$C$53:$I$53,
      0
    )
  ),
0))</f>
        <v/>
      </c>
      <c r="S526" s="102"/>
      <c r="T526" s="102"/>
      <c r="U526" s="106"/>
      <c r="V526" s="102" t="str">
        <f t="shared" si="31"/>
        <v/>
      </c>
      <c r="W526" s="102"/>
      <c r="X526" s="102"/>
      <c r="Y526" s="119" t="str">
        <f t="array" ref="Y526">IF(OR($B526="",$D526=""),"",
IFERROR(
  INDEX(
    'Tools &amp; Targets_Guideline'!$C$54:$I$269,
    MATCH(
      1,
      ('Tools &amp; Targets_Guideline'!$A$54:$A$269=$B526)*
      ('Tools &amp; Targets_Guideline'!$B$54:$B$269="GM"),
      0
    ),
    MATCH(
      _xludf.IFNA(
        VLOOKUP($D526,{"PH","Provincial Hospital (H2)";"DH","District Hospital (H3)";"RH","Regional / National Hospital (H1)"},2,0),
        $D526
      ),
      'Tools &amp; Targets_Guideline'!$C$53:$I$53,
      0
    )
  ),
0))</f>
        <v/>
      </c>
      <c r="Z526" s="102"/>
      <c r="AA526" s="119" t="str">
        <f t="array" ref="AA526">IF(OR($B526="",$D526=""),"",
IFERROR(
  INDEX(
    'Tools &amp; Targets_Guideline'!$C$54:$I$269,
    MATCH(
      1,
      ('Tools &amp; Targets_Guideline'!$A$54:$A$269=$B526)*
      ('Tools &amp; Targets_Guideline'!$B$54:$B$269="Penta"),
      0
    ),
    MATCH(
      _xludf.IFNA(
        VLOOKUP($D526,{"PH","Provincial Hospital (H2)";"DH","District Hospital (H3)";"RH","Regional / National Hospital (H1)"},2,0),
        $D526
      ),
      'Tools &amp; Targets_Guideline'!$C$53:$I$53,
      0
    )
  ),
0))</f>
        <v/>
      </c>
      <c r="AB526" s="102"/>
      <c r="AC526" s="119" t="str">
        <f t="array" ref="AC526">IF(OR($B526="",$D526=""),"",
IFERROR(
  INDEX(
    'Tools &amp; Targets_Guideline'!$C$54:$I$269,
    MATCH(
      1,
      ('Tools &amp; Targets_Guideline'!$A$54:$A$269=$B526)*
      ('Tools &amp; Targets_Guideline'!$B$54:$B$269="TB"),
      0
    ),
    MATCH(
      _xludf.IFNA(
        VLOOKUP($D526,{"PH","Provincial Hospital (H2)";"DH","District Hospital (H3)";"RH","Regional / National Hospital (H1)"},2,0),
        $D526
      ),
      'Tools &amp; Targets_Guideline'!$C$53:$I$53,
      0
    )
  ),
0))</f>
        <v/>
      </c>
      <c r="AD526" s="102"/>
      <c r="AE526" s="119" t="str">
        <f t="array" ref="AE526">IF(OR($B526="",$D526=""),"",
IFERROR(
  INDEX(
    'Tools &amp; Targets_Guideline'!$C$54:$I$269,
    MATCH(
      1,
      ('Tools &amp; Targets_Guideline'!$A$54:$A$269=$B526)*
      ('Tools &amp; Targets_Guideline'!$B$54:$B$269="U5 Morbidity"),
      0
    ),
    MATCH(
      _xludf.IFNA(
        VLOOKUP($D526,{"PH","Provincial Hospital (H2)";"DH","District Hospital (H3)";"RH","Regional / National Hospital (H1)"},2,0),
        $D526
      ),
      'Tools &amp; Targets_Guideline'!$C$53:$I$53,
      0
    )
  ),
0))</f>
        <v/>
      </c>
      <c r="AF526" s="102"/>
      <c r="AG526" s="119" t="str">
        <f t="array" ref="AG526">IF(OR($B526="",$D526=""),"",
IFERROR(
  INDEX(
    'Tools &amp; Targets_Guideline'!$C$54:$I$269,
    MATCH(
      1,
      ('Tools &amp; Targets_Guideline'!$A$54:$A$269=$B526)*
      ('Tools &amp; Targets_Guideline'!$B$54:$B$269="C-Section"),
      0
    ),
    MATCH(
      _xludf.IFNA(
        VLOOKUP($D526,{"PH","Provincial Hospital (H2)";"DH","District Hospital (H3)";"RH","Regional / National Hospital (H1)"},2,0),
        $D526
      ),
      'Tools &amp; Targets_Guideline'!$C$53:$I$53,
      0
    )
  ),
0))</f>
        <v/>
      </c>
      <c r="AH526" s="102" t="str">
        <f>IF(A526&lt;&gt;"",COUNTIFS('QA Log'!D:D,A526,'QA Log'!M:M,"QQC",'QA Log'!L:L,"2. Hygiene and Sterilization",'QA Log'!Z:Z,"Approved"),"")</f>
        <v/>
      </c>
      <c r="AI526" s="102"/>
      <c r="AJ526" s="102"/>
      <c r="AK526" s="103" t="str">
        <f t="shared" si="32"/>
        <v/>
      </c>
      <c r="AL526" s="102"/>
      <c r="AM526" s="102"/>
      <c r="AN526" s="102"/>
      <c r="AO526" s="106"/>
      <c r="AP526" s="103"/>
      <c r="AQ526" s="102"/>
      <c r="AR526" s="102"/>
      <c r="AS526" s="102"/>
      <c r="AT526" s="107"/>
      <c r="AU526" s="102" t="str">
        <f t="shared" si="33"/>
        <v/>
      </c>
      <c r="AV526" s="102" t="str">
        <f t="shared" si="34"/>
        <v/>
      </c>
      <c r="AW526" s="102" t="str">
        <f t="shared" si="35"/>
        <v/>
      </c>
      <c r="AX526" s="102" t="str">
        <f t="shared" si="36"/>
        <v/>
      </c>
      <c r="AY526" s="107" t="str">
        <f t="shared" si="37"/>
        <v/>
      </c>
      <c r="AZ526" s="108" t="str">
        <f t="shared" si="38"/>
        <v/>
      </c>
      <c r="BA526" s="108" t="str">
        <f t="shared" si="39"/>
        <v/>
      </c>
      <c r="BB526" s="109" t="str">
        <f t="shared" si="40"/>
        <v/>
      </c>
      <c r="BC526" s="108" t="str">
        <f t="shared" si="41"/>
        <v/>
      </c>
      <c r="BD526" s="108" t="str">
        <f t="shared" si="42"/>
        <v/>
      </c>
      <c r="BE526" s="109" t="str">
        <f t="shared" si="43"/>
        <v/>
      </c>
      <c r="BF526" s="110" t="str">
        <f t="shared" si="44"/>
        <v/>
      </c>
      <c r="BG526" s="111"/>
    </row>
    <row r="527" spans="1:59" ht="12.75">
      <c r="A527" s="101"/>
      <c r="B527" s="102"/>
      <c r="C527" s="102" t="e">
        <f t="array" aca="1" ref="C527" ca="1">_xludf.XLOOKUP(A527,'QA Log'!D:D,'QA Log'!F:F,"")</f>
        <v>#NAME?</v>
      </c>
      <c r="D527" s="102"/>
      <c r="E527" s="102" t="e">
        <f t="array" aca="1" ref="E527" ca="1">_xludf.XLOOKUP(A527,'QA Log'!D:D,'QA Log'!G:G,"")</f>
        <v>#NAME?</v>
      </c>
      <c r="F527" s="103"/>
      <c r="G527" s="104"/>
      <c r="H527" s="104"/>
      <c r="I527" s="103" t="str">
        <f t="shared" si="30"/>
        <v/>
      </c>
      <c r="J527" s="102"/>
      <c r="K527" s="102"/>
      <c r="L527" s="119" t="str">
        <f t="array" ref="L527">IF(OR($B527="",$D527=""),"",
IFERROR(
  INDEX(
    'Tools &amp; Targets_Guideline'!$C$54:$I$269,
    MATCH(
      1,
      ('Tools &amp; Targets_Guideline'!$A$54:$A$269=$B527)*
      ('Tools &amp; Targets_Guideline'!$B$54:$B$269="ANC"),
      0
    ),
    MATCH(
      _xludf.IFNA(
        VLOOKUP($D527,{"PH","Provincial Hospital (H2)";"DH","District Hospital (H3)";"RH","Regional / National Hospital (H1)"},2,0),
        $D527
      ),
      'Tools &amp; Targets_Guideline'!$C$53:$I$53,
      0
    )
  ),
0))</f>
        <v/>
      </c>
      <c r="M527" s="102"/>
      <c r="N527" s="119" t="str">
        <f t="array" ref="N527">IF(OR($B527="",$D527=""),"",
IFERROR(
  INDEX(
    'Tools &amp; Targets_Guideline'!$C$54:$I$269,
    MATCH(
      1,
      ('Tools &amp; Targets_Guideline'!$A$54:$A$269=$B527)*
      ('Tools &amp; Targets_Guideline'!$B$54:$B$269="PNC"),
      0
    ),
    MATCH(
      _xludf.IFNA(
        VLOOKUP($D527,{"PH","Provincial Hospital (H2)";"DH","District Hospital (H3)";"RH","Regional / National Hospital (H1)"},2,0),
        $D527
      ),
      'Tools &amp; Targets_Guideline'!$C$53:$I$53,
      0
    )
  ),
0))</f>
        <v/>
      </c>
      <c r="O527" s="102"/>
      <c r="P527" s="119" t="str">
        <f t="array" ref="P527">IF(OR($B527="",$D527=""),"",
IFERROR(
  INDEX(
    'Tools &amp; Targets_Guideline'!$C$54:$I$269,
    MATCH(
      1,
      ('Tools &amp; Targets_Guideline'!$A$54:$A$269=$B527)*
      ('Tools &amp; Targets_Guideline'!$B$54:$B$269="Delivery"),
      0
    ),
    MATCH(
      _xludf.IFNA(
        VLOOKUP($D527,{"PH","Provincial Hospital (H2)";"DH","District Hospital (H3)";"RH","Regional / National Hospital (H1)"},2,0),
        $D527
      ),
      'Tools &amp; Targets_Guideline'!$C$53:$I$53,
      0
    )
  ),
0))</f>
        <v/>
      </c>
      <c r="Q527" s="102"/>
      <c r="R527" s="119" t="str">
        <f t="array" ref="R527">IF(OR($B527="",$D527=""),"",
IFERROR(
  INDEX(
    'Tools &amp; Targets_Guideline'!$C$54:$I$269,
    MATCH(
      1,
      ('Tools &amp; Targets_Guideline'!$A$54:$A$269=$B527)*
      ('Tools &amp; Targets_Guideline'!$B$54:$B$269="TT"),
      0
    ),
    MATCH(
      _xludf.IFNA(
        VLOOKUP($D527,{"PH","Provincial Hospital (H2)";"DH","District Hospital (H3)";"RH","Regional / National Hospital (H1)"},2,0),
        $D527
      ),
      'Tools &amp; Targets_Guideline'!$C$53:$I$53,
      0
    )
  ),
0))</f>
        <v/>
      </c>
      <c r="S527" s="102"/>
      <c r="T527" s="102"/>
      <c r="U527" s="106"/>
      <c r="V527" s="102" t="str">
        <f t="shared" si="31"/>
        <v/>
      </c>
      <c r="W527" s="102"/>
      <c r="X527" s="102"/>
      <c r="Y527" s="119" t="str">
        <f t="array" ref="Y527">IF(OR($B527="",$D527=""),"",
IFERROR(
  INDEX(
    'Tools &amp; Targets_Guideline'!$C$54:$I$269,
    MATCH(
      1,
      ('Tools &amp; Targets_Guideline'!$A$54:$A$269=$B527)*
      ('Tools &amp; Targets_Guideline'!$B$54:$B$269="GM"),
      0
    ),
    MATCH(
      _xludf.IFNA(
        VLOOKUP($D527,{"PH","Provincial Hospital (H2)";"DH","District Hospital (H3)";"RH","Regional / National Hospital (H1)"},2,0),
        $D527
      ),
      'Tools &amp; Targets_Guideline'!$C$53:$I$53,
      0
    )
  ),
0))</f>
        <v/>
      </c>
      <c r="Z527" s="102"/>
      <c r="AA527" s="119" t="str">
        <f t="array" ref="AA527">IF(OR($B527="",$D527=""),"",
IFERROR(
  INDEX(
    'Tools &amp; Targets_Guideline'!$C$54:$I$269,
    MATCH(
      1,
      ('Tools &amp; Targets_Guideline'!$A$54:$A$269=$B527)*
      ('Tools &amp; Targets_Guideline'!$B$54:$B$269="Penta"),
      0
    ),
    MATCH(
      _xludf.IFNA(
        VLOOKUP($D527,{"PH","Provincial Hospital (H2)";"DH","District Hospital (H3)";"RH","Regional / National Hospital (H1)"},2,0),
        $D527
      ),
      'Tools &amp; Targets_Guideline'!$C$53:$I$53,
      0
    )
  ),
0))</f>
        <v/>
      </c>
      <c r="AB527" s="102"/>
      <c r="AC527" s="119" t="str">
        <f t="array" ref="AC527">IF(OR($B527="",$D527=""),"",
IFERROR(
  INDEX(
    'Tools &amp; Targets_Guideline'!$C$54:$I$269,
    MATCH(
      1,
      ('Tools &amp; Targets_Guideline'!$A$54:$A$269=$B527)*
      ('Tools &amp; Targets_Guideline'!$B$54:$B$269="TB"),
      0
    ),
    MATCH(
      _xludf.IFNA(
        VLOOKUP($D527,{"PH","Provincial Hospital (H2)";"DH","District Hospital (H3)";"RH","Regional / National Hospital (H1)"},2,0),
        $D527
      ),
      'Tools &amp; Targets_Guideline'!$C$53:$I$53,
      0
    )
  ),
0))</f>
        <v/>
      </c>
      <c r="AD527" s="102"/>
      <c r="AE527" s="119" t="str">
        <f t="array" ref="AE527">IF(OR($B527="",$D527=""),"",
IFERROR(
  INDEX(
    'Tools &amp; Targets_Guideline'!$C$54:$I$269,
    MATCH(
      1,
      ('Tools &amp; Targets_Guideline'!$A$54:$A$269=$B527)*
      ('Tools &amp; Targets_Guideline'!$B$54:$B$269="U5 Morbidity"),
      0
    ),
    MATCH(
      _xludf.IFNA(
        VLOOKUP($D527,{"PH","Provincial Hospital (H2)";"DH","District Hospital (H3)";"RH","Regional / National Hospital (H1)"},2,0),
        $D527
      ),
      'Tools &amp; Targets_Guideline'!$C$53:$I$53,
      0
    )
  ),
0))</f>
        <v/>
      </c>
      <c r="AF527" s="102"/>
      <c r="AG527" s="119" t="str">
        <f t="array" ref="AG527">IF(OR($B527="",$D527=""),"",
IFERROR(
  INDEX(
    'Tools &amp; Targets_Guideline'!$C$54:$I$269,
    MATCH(
      1,
      ('Tools &amp; Targets_Guideline'!$A$54:$A$269=$B527)*
      ('Tools &amp; Targets_Guideline'!$B$54:$B$269="C-Section"),
      0
    ),
    MATCH(
      _xludf.IFNA(
        VLOOKUP($D527,{"PH","Provincial Hospital (H2)";"DH","District Hospital (H3)";"RH","Regional / National Hospital (H1)"},2,0),
        $D527
      ),
      'Tools &amp; Targets_Guideline'!$C$53:$I$53,
      0
    )
  ),
0))</f>
        <v/>
      </c>
      <c r="AH527" s="102" t="str">
        <f>IF(A527&lt;&gt;"",COUNTIFS('QA Log'!D:D,A527,'QA Log'!M:M,"QQC",'QA Log'!L:L,"2. Hygiene and Sterilization",'QA Log'!Z:Z,"Approved"),"")</f>
        <v/>
      </c>
      <c r="AI527" s="102"/>
      <c r="AJ527" s="102"/>
      <c r="AK527" s="103" t="str">
        <f t="shared" si="32"/>
        <v/>
      </c>
      <c r="AL527" s="102"/>
      <c r="AM527" s="102"/>
      <c r="AN527" s="102"/>
      <c r="AO527" s="106"/>
      <c r="AP527" s="103"/>
      <c r="AQ527" s="102"/>
      <c r="AR527" s="102"/>
      <c r="AS527" s="102"/>
      <c r="AT527" s="107"/>
      <c r="AU527" s="102" t="str">
        <f t="shared" si="33"/>
        <v/>
      </c>
      <c r="AV527" s="102" t="str">
        <f t="shared" si="34"/>
        <v/>
      </c>
      <c r="AW527" s="102" t="str">
        <f t="shared" si="35"/>
        <v/>
      </c>
      <c r="AX527" s="102" t="str">
        <f t="shared" si="36"/>
        <v/>
      </c>
      <c r="AY527" s="107" t="str">
        <f t="shared" si="37"/>
        <v/>
      </c>
      <c r="AZ527" s="108" t="str">
        <f t="shared" si="38"/>
        <v/>
      </c>
      <c r="BA527" s="108" t="str">
        <f t="shared" si="39"/>
        <v/>
      </c>
      <c r="BB527" s="109" t="str">
        <f t="shared" si="40"/>
        <v/>
      </c>
      <c r="BC527" s="108" t="str">
        <f t="shared" si="41"/>
        <v/>
      </c>
      <c r="BD527" s="108" t="str">
        <f t="shared" si="42"/>
        <v/>
      </c>
      <c r="BE527" s="109" t="str">
        <f t="shared" si="43"/>
        <v/>
      </c>
      <c r="BF527" s="110" t="str">
        <f t="shared" si="44"/>
        <v/>
      </c>
      <c r="BG527" s="111"/>
    </row>
    <row r="528" spans="1:59" ht="12.75">
      <c r="A528" s="101"/>
      <c r="B528" s="102"/>
      <c r="C528" s="102" t="e">
        <f t="array" aca="1" ref="C528" ca="1">_xludf.XLOOKUP(A528,'QA Log'!D:D,'QA Log'!F:F,"")</f>
        <v>#NAME?</v>
      </c>
      <c r="D528" s="102"/>
      <c r="E528" s="102" t="e">
        <f t="array" aca="1" ref="E528" ca="1">_xludf.XLOOKUP(A528,'QA Log'!D:D,'QA Log'!G:G,"")</f>
        <v>#NAME?</v>
      </c>
      <c r="F528" s="103"/>
      <c r="G528" s="104"/>
      <c r="H528" s="104"/>
      <c r="I528" s="103" t="str">
        <f t="shared" si="30"/>
        <v/>
      </c>
      <c r="J528" s="102"/>
      <c r="K528" s="102"/>
      <c r="L528" s="119" t="str">
        <f t="array" ref="L528">IF(OR($B528="",$D528=""),"",
IFERROR(
  INDEX(
    'Tools &amp; Targets_Guideline'!$C$54:$I$269,
    MATCH(
      1,
      ('Tools &amp; Targets_Guideline'!$A$54:$A$269=$B528)*
      ('Tools &amp; Targets_Guideline'!$B$54:$B$269="ANC"),
      0
    ),
    MATCH(
      _xludf.IFNA(
        VLOOKUP($D528,{"PH","Provincial Hospital (H2)";"DH","District Hospital (H3)";"RH","Regional / National Hospital (H1)"},2,0),
        $D528
      ),
      'Tools &amp; Targets_Guideline'!$C$53:$I$53,
      0
    )
  ),
0))</f>
        <v/>
      </c>
      <c r="M528" s="102"/>
      <c r="N528" s="119" t="str">
        <f t="array" ref="N528">IF(OR($B528="",$D528=""),"",
IFERROR(
  INDEX(
    'Tools &amp; Targets_Guideline'!$C$54:$I$269,
    MATCH(
      1,
      ('Tools &amp; Targets_Guideline'!$A$54:$A$269=$B528)*
      ('Tools &amp; Targets_Guideline'!$B$54:$B$269="PNC"),
      0
    ),
    MATCH(
      _xludf.IFNA(
        VLOOKUP($D528,{"PH","Provincial Hospital (H2)";"DH","District Hospital (H3)";"RH","Regional / National Hospital (H1)"},2,0),
        $D528
      ),
      'Tools &amp; Targets_Guideline'!$C$53:$I$53,
      0
    )
  ),
0))</f>
        <v/>
      </c>
      <c r="O528" s="102"/>
      <c r="P528" s="119" t="str">
        <f t="array" ref="P528">IF(OR($B528="",$D528=""),"",
IFERROR(
  INDEX(
    'Tools &amp; Targets_Guideline'!$C$54:$I$269,
    MATCH(
      1,
      ('Tools &amp; Targets_Guideline'!$A$54:$A$269=$B528)*
      ('Tools &amp; Targets_Guideline'!$B$54:$B$269="Delivery"),
      0
    ),
    MATCH(
      _xludf.IFNA(
        VLOOKUP($D528,{"PH","Provincial Hospital (H2)";"DH","District Hospital (H3)";"RH","Regional / National Hospital (H1)"},2,0),
        $D528
      ),
      'Tools &amp; Targets_Guideline'!$C$53:$I$53,
      0
    )
  ),
0))</f>
        <v/>
      </c>
      <c r="Q528" s="102"/>
      <c r="R528" s="119" t="str">
        <f t="array" ref="R528">IF(OR($B528="",$D528=""),"",
IFERROR(
  INDEX(
    'Tools &amp; Targets_Guideline'!$C$54:$I$269,
    MATCH(
      1,
      ('Tools &amp; Targets_Guideline'!$A$54:$A$269=$B528)*
      ('Tools &amp; Targets_Guideline'!$B$54:$B$269="TT"),
      0
    ),
    MATCH(
      _xludf.IFNA(
        VLOOKUP($D528,{"PH","Provincial Hospital (H2)";"DH","District Hospital (H3)";"RH","Regional / National Hospital (H1)"},2,0),
        $D528
      ),
      'Tools &amp; Targets_Guideline'!$C$53:$I$53,
      0
    )
  ),
0))</f>
        <v/>
      </c>
      <c r="S528" s="102"/>
      <c r="T528" s="102"/>
      <c r="U528" s="106"/>
      <c r="V528" s="102" t="str">
        <f t="shared" si="31"/>
        <v/>
      </c>
      <c r="W528" s="102"/>
      <c r="X528" s="102"/>
      <c r="Y528" s="119" t="str">
        <f t="array" ref="Y528">IF(OR($B528="",$D528=""),"",
IFERROR(
  INDEX(
    'Tools &amp; Targets_Guideline'!$C$54:$I$269,
    MATCH(
      1,
      ('Tools &amp; Targets_Guideline'!$A$54:$A$269=$B528)*
      ('Tools &amp; Targets_Guideline'!$B$54:$B$269="GM"),
      0
    ),
    MATCH(
      _xludf.IFNA(
        VLOOKUP($D528,{"PH","Provincial Hospital (H2)";"DH","District Hospital (H3)";"RH","Regional / National Hospital (H1)"},2,0),
        $D528
      ),
      'Tools &amp; Targets_Guideline'!$C$53:$I$53,
      0
    )
  ),
0))</f>
        <v/>
      </c>
      <c r="Z528" s="102"/>
      <c r="AA528" s="119" t="str">
        <f t="array" ref="AA528">IF(OR($B528="",$D528=""),"",
IFERROR(
  INDEX(
    'Tools &amp; Targets_Guideline'!$C$54:$I$269,
    MATCH(
      1,
      ('Tools &amp; Targets_Guideline'!$A$54:$A$269=$B528)*
      ('Tools &amp; Targets_Guideline'!$B$54:$B$269="Penta"),
      0
    ),
    MATCH(
      _xludf.IFNA(
        VLOOKUP($D528,{"PH","Provincial Hospital (H2)";"DH","District Hospital (H3)";"RH","Regional / National Hospital (H1)"},2,0),
        $D528
      ),
      'Tools &amp; Targets_Guideline'!$C$53:$I$53,
      0
    )
  ),
0))</f>
        <v/>
      </c>
      <c r="AB528" s="102"/>
      <c r="AC528" s="119" t="str">
        <f t="array" ref="AC528">IF(OR($B528="",$D528=""),"",
IFERROR(
  INDEX(
    'Tools &amp; Targets_Guideline'!$C$54:$I$269,
    MATCH(
      1,
      ('Tools &amp; Targets_Guideline'!$A$54:$A$269=$B528)*
      ('Tools &amp; Targets_Guideline'!$B$54:$B$269="TB"),
      0
    ),
    MATCH(
      _xludf.IFNA(
        VLOOKUP($D528,{"PH","Provincial Hospital (H2)";"DH","District Hospital (H3)";"RH","Regional / National Hospital (H1)"},2,0),
        $D528
      ),
      'Tools &amp; Targets_Guideline'!$C$53:$I$53,
      0
    )
  ),
0))</f>
        <v/>
      </c>
      <c r="AD528" s="102"/>
      <c r="AE528" s="119" t="str">
        <f t="array" ref="AE528">IF(OR($B528="",$D528=""),"",
IFERROR(
  INDEX(
    'Tools &amp; Targets_Guideline'!$C$54:$I$269,
    MATCH(
      1,
      ('Tools &amp; Targets_Guideline'!$A$54:$A$269=$B528)*
      ('Tools &amp; Targets_Guideline'!$B$54:$B$269="U5 Morbidity"),
      0
    ),
    MATCH(
      _xludf.IFNA(
        VLOOKUP($D528,{"PH","Provincial Hospital (H2)";"DH","District Hospital (H3)";"RH","Regional / National Hospital (H1)"},2,0),
        $D528
      ),
      'Tools &amp; Targets_Guideline'!$C$53:$I$53,
      0
    )
  ),
0))</f>
        <v/>
      </c>
      <c r="AF528" s="102"/>
      <c r="AG528" s="119" t="str">
        <f t="array" ref="AG528">IF(OR($B528="",$D528=""),"",
IFERROR(
  INDEX(
    'Tools &amp; Targets_Guideline'!$C$54:$I$269,
    MATCH(
      1,
      ('Tools &amp; Targets_Guideline'!$A$54:$A$269=$B528)*
      ('Tools &amp; Targets_Guideline'!$B$54:$B$269="C-Section"),
      0
    ),
    MATCH(
      _xludf.IFNA(
        VLOOKUP($D528,{"PH","Provincial Hospital (H2)";"DH","District Hospital (H3)";"RH","Regional / National Hospital (H1)"},2,0),
        $D528
      ),
      'Tools &amp; Targets_Guideline'!$C$53:$I$53,
      0
    )
  ),
0))</f>
        <v/>
      </c>
      <c r="AH528" s="102" t="str">
        <f>IF(A528&lt;&gt;"",COUNTIFS('QA Log'!D:D,A528,'QA Log'!M:M,"QQC",'QA Log'!L:L,"2. Hygiene and Sterilization",'QA Log'!Z:Z,"Approved"),"")</f>
        <v/>
      </c>
      <c r="AI528" s="102"/>
      <c r="AJ528" s="102"/>
      <c r="AK528" s="103" t="str">
        <f t="shared" si="32"/>
        <v/>
      </c>
      <c r="AL528" s="102"/>
      <c r="AM528" s="102"/>
      <c r="AN528" s="102"/>
      <c r="AO528" s="106"/>
      <c r="AP528" s="103"/>
      <c r="AQ528" s="102"/>
      <c r="AR528" s="102"/>
      <c r="AS528" s="102"/>
      <c r="AT528" s="107"/>
      <c r="AU528" s="102" t="str">
        <f t="shared" si="33"/>
        <v/>
      </c>
      <c r="AV528" s="102" t="str">
        <f t="shared" si="34"/>
        <v/>
      </c>
      <c r="AW528" s="102" t="str">
        <f t="shared" si="35"/>
        <v/>
      </c>
      <c r="AX528" s="102" t="str">
        <f t="shared" si="36"/>
        <v/>
      </c>
      <c r="AY528" s="107" t="str">
        <f t="shared" si="37"/>
        <v/>
      </c>
      <c r="AZ528" s="108" t="str">
        <f t="shared" si="38"/>
        <v/>
      </c>
      <c r="BA528" s="108" t="str">
        <f t="shared" si="39"/>
        <v/>
      </c>
      <c r="BB528" s="109" t="str">
        <f t="shared" si="40"/>
        <v/>
      </c>
      <c r="BC528" s="108" t="str">
        <f t="shared" si="41"/>
        <v/>
      </c>
      <c r="BD528" s="108" t="str">
        <f t="shared" si="42"/>
        <v/>
      </c>
      <c r="BE528" s="109" t="str">
        <f t="shared" si="43"/>
        <v/>
      </c>
      <c r="BF528" s="110" t="str">
        <f t="shared" si="44"/>
        <v/>
      </c>
      <c r="BG528" s="111"/>
    </row>
    <row r="529" spans="1:59" ht="12.75">
      <c r="A529" s="101"/>
      <c r="B529" s="102"/>
      <c r="C529" s="102" t="e">
        <f t="array" aca="1" ref="C529" ca="1">_xludf.XLOOKUP(A529,'QA Log'!D:D,'QA Log'!F:F,"")</f>
        <v>#NAME?</v>
      </c>
      <c r="D529" s="102"/>
      <c r="E529" s="102" t="e">
        <f t="array" aca="1" ref="E529" ca="1">_xludf.XLOOKUP(A529,'QA Log'!D:D,'QA Log'!G:G,"")</f>
        <v>#NAME?</v>
      </c>
      <c r="F529" s="103"/>
      <c r="G529" s="104"/>
      <c r="H529" s="104"/>
      <c r="I529" s="103" t="str">
        <f t="shared" si="30"/>
        <v/>
      </c>
      <c r="J529" s="102"/>
      <c r="K529" s="102"/>
      <c r="L529" s="119" t="str">
        <f t="array" ref="L529">IF(OR($B529="",$D529=""),"",
IFERROR(
  INDEX(
    'Tools &amp; Targets_Guideline'!$C$54:$I$269,
    MATCH(
      1,
      ('Tools &amp; Targets_Guideline'!$A$54:$A$269=$B529)*
      ('Tools &amp; Targets_Guideline'!$B$54:$B$269="ANC"),
      0
    ),
    MATCH(
      _xludf.IFNA(
        VLOOKUP($D529,{"PH","Provincial Hospital (H2)";"DH","District Hospital (H3)";"RH","Regional / National Hospital (H1)"},2,0),
        $D529
      ),
      'Tools &amp; Targets_Guideline'!$C$53:$I$53,
      0
    )
  ),
0))</f>
        <v/>
      </c>
      <c r="M529" s="102"/>
      <c r="N529" s="119" t="str">
        <f t="array" ref="N529">IF(OR($B529="",$D529=""),"",
IFERROR(
  INDEX(
    'Tools &amp; Targets_Guideline'!$C$54:$I$269,
    MATCH(
      1,
      ('Tools &amp; Targets_Guideline'!$A$54:$A$269=$B529)*
      ('Tools &amp; Targets_Guideline'!$B$54:$B$269="PNC"),
      0
    ),
    MATCH(
      _xludf.IFNA(
        VLOOKUP($D529,{"PH","Provincial Hospital (H2)";"DH","District Hospital (H3)";"RH","Regional / National Hospital (H1)"},2,0),
        $D529
      ),
      'Tools &amp; Targets_Guideline'!$C$53:$I$53,
      0
    )
  ),
0))</f>
        <v/>
      </c>
      <c r="O529" s="102"/>
      <c r="P529" s="119" t="str">
        <f t="array" ref="P529">IF(OR($B529="",$D529=""),"",
IFERROR(
  INDEX(
    'Tools &amp; Targets_Guideline'!$C$54:$I$269,
    MATCH(
      1,
      ('Tools &amp; Targets_Guideline'!$A$54:$A$269=$B529)*
      ('Tools &amp; Targets_Guideline'!$B$54:$B$269="Delivery"),
      0
    ),
    MATCH(
      _xludf.IFNA(
        VLOOKUP($D529,{"PH","Provincial Hospital (H2)";"DH","District Hospital (H3)";"RH","Regional / National Hospital (H1)"},2,0),
        $D529
      ),
      'Tools &amp; Targets_Guideline'!$C$53:$I$53,
      0
    )
  ),
0))</f>
        <v/>
      </c>
      <c r="Q529" s="102"/>
      <c r="R529" s="119" t="str">
        <f t="array" ref="R529">IF(OR($B529="",$D529=""),"",
IFERROR(
  INDEX(
    'Tools &amp; Targets_Guideline'!$C$54:$I$269,
    MATCH(
      1,
      ('Tools &amp; Targets_Guideline'!$A$54:$A$269=$B529)*
      ('Tools &amp; Targets_Guideline'!$B$54:$B$269="TT"),
      0
    ),
    MATCH(
      _xludf.IFNA(
        VLOOKUP($D529,{"PH","Provincial Hospital (H2)";"DH","District Hospital (H3)";"RH","Regional / National Hospital (H1)"},2,0),
        $D529
      ),
      'Tools &amp; Targets_Guideline'!$C$53:$I$53,
      0
    )
  ),
0))</f>
        <v/>
      </c>
      <c r="S529" s="102"/>
      <c r="T529" s="102"/>
      <c r="U529" s="106"/>
      <c r="V529" s="102" t="str">
        <f t="shared" si="31"/>
        <v/>
      </c>
      <c r="W529" s="102"/>
      <c r="X529" s="102"/>
      <c r="Y529" s="119" t="str">
        <f t="array" ref="Y529">IF(OR($B529="",$D529=""),"",
IFERROR(
  INDEX(
    'Tools &amp; Targets_Guideline'!$C$54:$I$269,
    MATCH(
      1,
      ('Tools &amp; Targets_Guideline'!$A$54:$A$269=$B529)*
      ('Tools &amp; Targets_Guideline'!$B$54:$B$269="GM"),
      0
    ),
    MATCH(
      _xludf.IFNA(
        VLOOKUP($D529,{"PH","Provincial Hospital (H2)";"DH","District Hospital (H3)";"RH","Regional / National Hospital (H1)"},2,0),
        $D529
      ),
      'Tools &amp; Targets_Guideline'!$C$53:$I$53,
      0
    )
  ),
0))</f>
        <v/>
      </c>
      <c r="Z529" s="102"/>
      <c r="AA529" s="119" t="str">
        <f t="array" ref="AA529">IF(OR($B529="",$D529=""),"",
IFERROR(
  INDEX(
    'Tools &amp; Targets_Guideline'!$C$54:$I$269,
    MATCH(
      1,
      ('Tools &amp; Targets_Guideline'!$A$54:$A$269=$B529)*
      ('Tools &amp; Targets_Guideline'!$B$54:$B$269="Penta"),
      0
    ),
    MATCH(
      _xludf.IFNA(
        VLOOKUP($D529,{"PH","Provincial Hospital (H2)";"DH","District Hospital (H3)";"RH","Regional / National Hospital (H1)"},2,0),
        $D529
      ),
      'Tools &amp; Targets_Guideline'!$C$53:$I$53,
      0
    )
  ),
0))</f>
        <v/>
      </c>
      <c r="AB529" s="102"/>
      <c r="AC529" s="119" t="str">
        <f t="array" ref="AC529">IF(OR($B529="",$D529=""),"",
IFERROR(
  INDEX(
    'Tools &amp; Targets_Guideline'!$C$54:$I$269,
    MATCH(
      1,
      ('Tools &amp; Targets_Guideline'!$A$54:$A$269=$B529)*
      ('Tools &amp; Targets_Guideline'!$B$54:$B$269="TB"),
      0
    ),
    MATCH(
      _xludf.IFNA(
        VLOOKUP($D529,{"PH","Provincial Hospital (H2)";"DH","District Hospital (H3)";"RH","Regional / National Hospital (H1)"},2,0),
        $D529
      ),
      'Tools &amp; Targets_Guideline'!$C$53:$I$53,
      0
    )
  ),
0))</f>
        <v/>
      </c>
      <c r="AD529" s="102"/>
      <c r="AE529" s="119" t="str">
        <f t="array" ref="AE529">IF(OR($B529="",$D529=""),"",
IFERROR(
  INDEX(
    'Tools &amp; Targets_Guideline'!$C$54:$I$269,
    MATCH(
      1,
      ('Tools &amp; Targets_Guideline'!$A$54:$A$269=$B529)*
      ('Tools &amp; Targets_Guideline'!$B$54:$B$269="U5 Morbidity"),
      0
    ),
    MATCH(
      _xludf.IFNA(
        VLOOKUP($D529,{"PH","Provincial Hospital (H2)";"DH","District Hospital (H3)";"RH","Regional / National Hospital (H1)"},2,0),
        $D529
      ),
      'Tools &amp; Targets_Guideline'!$C$53:$I$53,
      0
    )
  ),
0))</f>
        <v/>
      </c>
      <c r="AF529" s="102"/>
      <c r="AG529" s="119" t="str">
        <f t="array" ref="AG529">IF(OR($B529="",$D529=""),"",
IFERROR(
  INDEX(
    'Tools &amp; Targets_Guideline'!$C$54:$I$269,
    MATCH(
      1,
      ('Tools &amp; Targets_Guideline'!$A$54:$A$269=$B529)*
      ('Tools &amp; Targets_Guideline'!$B$54:$B$269="C-Section"),
      0
    ),
    MATCH(
      _xludf.IFNA(
        VLOOKUP($D529,{"PH","Provincial Hospital (H2)";"DH","District Hospital (H3)";"RH","Regional / National Hospital (H1)"},2,0),
        $D529
      ),
      'Tools &amp; Targets_Guideline'!$C$53:$I$53,
      0
    )
  ),
0))</f>
        <v/>
      </c>
      <c r="AH529" s="102" t="str">
        <f>IF(A529&lt;&gt;"",COUNTIFS('QA Log'!D:D,A529,'QA Log'!M:M,"QQC",'QA Log'!L:L,"2. Hygiene and Sterilization",'QA Log'!Z:Z,"Approved"),"")</f>
        <v/>
      </c>
      <c r="AI529" s="102"/>
      <c r="AJ529" s="102"/>
      <c r="AK529" s="103" t="str">
        <f t="shared" si="32"/>
        <v/>
      </c>
      <c r="AL529" s="102"/>
      <c r="AM529" s="102"/>
      <c r="AN529" s="102"/>
      <c r="AO529" s="106"/>
      <c r="AP529" s="103"/>
      <c r="AQ529" s="102"/>
      <c r="AR529" s="102"/>
      <c r="AS529" s="102"/>
      <c r="AT529" s="107"/>
      <c r="AU529" s="102" t="str">
        <f t="shared" si="33"/>
        <v/>
      </c>
      <c r="AV529" s="102" t="str">
        <f t="shared" si="34"/>
        <v/>
      </c>
      <c r="AW529" s="102" t="str">
        <f t="shared" si="35"/>
        <v/>
      </c>
      <c r="AX529" s="102" t="str">
        <f t="shared" si="36"/>
        <v/>
      </c>
      <c r="AY529" s="107" t="str">
        <f t="shared" si="37"/>
        <v/>
      </c>
      <c r="AZ529" s="108" t="str">
        <f t="shared" si="38"/>
        <v/>
      </c>
      <c r="BA529" s="108" t="str">
        <f t="shared" si="39"/>
        <v/>
      </c>
      <c r="BB529" s="109" t="str">
        <f t="shared" si="40"/>
        <v/>
      </c>
      <c r="BC529" s="108" t="str">
        <f t="shared" si="41"/>
        <v/>
      </c>
      <c r="BD529" s="108" t="str">
        <f t="shared" si="42"/>
        <v/>
      </c>
      <c r="BE529" s="109" t="str">
        <f t="shared" si="43"/>
        <v/>
      </c>
      <c r="BF529" s="110" t="str">
        <f t="shared" si="44"/>
        <v/>
      </c>
      <c r="BG529" s="111"/>
    </row>
    <row r="530" spans="1:59" ht="12.75">
      <c r="A530" s="101"/>
      <c r="B530" s="102"/>
      <c r="C530" s="102" t="e">
        <f t="array" aca="1" ref="C530" ca="1">_xludf.XLOOKUP(A530,'QA Log'!D:D,'QA Log'!F:F,"")</f>
        <v>#NAME?</v>
      </c>
      <c r="D530" s="102"/>
      <c r="E530" s="102" t="e">
        <f t="array" aca="1" ref="E530" ca="1">_xludf.XLOOKUP(A530,'QA Log'!D:D,'QA Log'!G:G,"")</f>
        <v>#NAME?</v>
      </c>
      <c r="F530" s="103"/>
      <c r="G530" s="104"/>
      <c r="H530" s="104"/>
      <c r="I530" s="103" t="str">
        <f t="shared" si="30"/>
        <v/>
      </c>
      <c r="J530" s="102"/>
      <c r="K530" s="102"/>
      <c r="L530" s="119" t="str">
        <f t="array" ref="L530">IF(OR($B530="",$D530=""),"",
IFERROR(
  INDEX(
    'Tools &amp; Targets_Guideline'!$C$54:$I$269,
    MATCH(
      1,
      ('Tools &amp; Targets_Guideline'!$A$54:$A$269=$B530)*
      ('Tools &amp; Targets_Guideline'!$B$54:$B$269="ANC"),
      0
    ),
    MATCH(
      _xludf.IFNA(
        VLOOKUP($D530,{"PH","Provincial Hospital (H2)";"DH","District Hospital (H3)";"RH","Regional / National Hospital (H1)"},2,0),
        $D530
      ),
      'Tools &amp; Targets_Guideline'!$C$53:$I$53,
      0
    )
  ),
0))</f>
        <v/>
      </c>
      <c r="M530" s="102"/>
      <c r="N530" s="119" t="str">
        <f t="array" ref="N530">IF(OR($B530="",$D530=""),"",
IFERROR(
  INDEX(
    'Tools &amp; Targets_Guideline'!$C$54:$I$269,
    MATCH(
      1,
      ('Tools &amp; Targets_Guideline'!$A$54:$A$269=$B530)*
      ('Tools &amp; Targets_Guideline'!$B$54:$B$269="PNC"),
      0
    ),
    MATCH(
      _xludf.IFNA(
        VLOOKUP($D530,{"PH","Provincial Hospital (H2)";"DH","District Hospital (H3)";"RH","Regional / National Hospital (H1)"},2,0),
        $D530
      ),
      'Tools &amp; Targets_Guideline'!$C$53:$I$53,
      0
    )
  ),
0))</f>
        <v/>
      </c>
      <c r="O530" s="102"/>
      <c r="P530" s="119" t="str">
        <f t="array" ref="P530">IF(OR($B530="",$D530=""),"",
IFERROR(
  INDEX(
    'Tools &amp; Targets_Guideline'!$C$54:$I$269,
    MATCH(
      1,
      ('Tools &amp; Targets_Guideline'!$A$54:$A$269=$B530)*
      ('Tools &amp; Targets_Guideline'!$B$54:$B$269="Delivery"),
      0
    ),
    MATCH(
      _xludf.IFNA(
        VLOOKUP($D530,{"PH","Provincial Hospital (H2)";"DH","District Hospital (H3)";"RH","Regional / National Hospital (H1)"},2,0),
        $D530
      ),
      'Tools &amp; Targets_Guideline'!$C$53:$I$53,
      0
    )
  ),
0))</f>
        <v/>
      </c>
      <c r="Q530" s="102"/>
      <c r="R530" s="119" t="str">
        <f t="array" ref="R530">IF(OR($B530="",$D530=""),"",
IFERROR(
  INDEX(
    'Tools &amp; Targets_Guideline'!$C$54:$I$269,
    MATCH(
      1,
      ('Tools &amp; Targets_Guideline'!$A$54:$A$269=$B530)*
      ('Tools &amp; Targets_Guideline'!$B$54:$B$269="TT"),
      0
    ),
    MATCH(
      _xludf.IFNA(
        VLOOKUP($D530,{"PH","Provincial Hospital (H2)";"DH","District Hospital (H3)";"RH","Regional / National Hospital (H1)"},2,0),
        $D530
      ),
      'Tools &amp; Targets_Guideline'!$C$53:$I$53,
      0
    )
  ),
0))</f>
        <v/>
      </c>
      <c r="S530" s="102"/>
      <c r="T530" s="102"/>
      <c r="U530" s="106"/>
      <c r="V530" s="102" t="str">
        <f t="shared" si="31"/>
        <v/>
      </c>
      <c r="W530" s="102"/>
      <c r="X530" s="102"/>
      <c r="Y530" s="119" t="str">
        <f t="array" ref="Y530">IF(OR($B530="",$D530=""),"",
IFERROR(
  INDEX(
    'Tools &amp; Targets_Guideline'!$C$54:$I$269,
    MATCH(
      1,
      ('Tools &amp; Targets_Guideline'!$A$54:$A$269=$B530)*
      ('Tools &amp; Targets_Guideline'!$B$54:$B$269="GM"),
      0
    ),
    MATCH(
      _xludf.IFNA(
        VLOOKUP($D530,{"PH","Provincial Hospital (H2)";"DH","District Hospital (H3)";"RH","Regional / National Hospital (H1)"},2,0),
        $D530
      ),
      'Tools &amp; Targets_Guideline'!$C$53:$I$53,
      0
    )
  ),
0))</f>
        <v/>
      </c>
      <c r="Z530" s="102"/>
      <c r="AA530" s="119" t="str">
        <f t="array" ref="AA530">IF(OR($B530="",$D530=""),"",
IFERROR(
  INDEX(
    'Tools &amp; Targets_Guideline'!$C$54:$I$269,
    MATCH(
      1,
      ('Tools &amp; Targets_Guideline'!$A$54:$A$269=$B530)*
      ('Tools &amp; Targets_Guideline'!$B$54:$B$269="Penta"),
      0
    ),
    MATCH(
      _xludf.IFNA(
        VLOOKUP($D530,{"PH","Provincial Hospital (H2)";"DH","District Hospital (H3)";"RH","Regional / National Hospital (H1)"},2,0),
        $D530
      ),
      'Tools &amp; Targets_Guideline'!$C$53:$I$53,
      0
    )
  ),
0))</f>
        <v/>
      </c>
      <c r="AB530" s="102"/>
      <c r="AC530" s="119" t="str">
        <f t="array" ref="AC530">IF(OR($B530="",$D530=""),"",
IFERROR(
  INDEX(
    'Tools &amp; Targets_Guideline'!$C$54:$I$269,
    MATCH(
      1,
      ('Tools &amp; Targets_Guideline'!$A$54:$A$269=$B530)*
      ('Tools &amp; Targets_Guideline'!$B$54:$B$269="TB"),
      0
    ),
    MATCH(
      _xludf.IFNA(
        VLOOKUP($D530,{"PH","Provincial Hospital (H2)";"DH","District Hospital (H3)";"RH","Regional / National Hospital (H1)"},2,0),
        $D530
      ),
      'Tools &amp; Targets_Guideline'!$C$53:$I$53,
      0
    )
  ),
0))</f>
        <v/>
      </c>
      <c r="AD530" s="102"/>
      <c r="AE530" s="119" t="str">
        <f t="array" ref="AE530">IF(OR($B530="",$D530=""),"",
IFERROR(
  INDEX(
    'Tools &amp; Targets_Guideline'!$C$54:$I$269,
    MATCH(
      1,
      ('Tools &amp; Targets_Guideline'!$A$54:$A$269=$B530)*
      ('Tools &amp; Targets_Guideline'!$B$54:$B$269="U5 Morbidity"),
      0
    ),
    MATCH(
      _xludf.IFNA(
        VLOOKUP($D530,{"PH","Provincial Hospital (H2)";"DH","District Hospital (H3)";"RH","Regional / National Hospital (H1)"},2,0),
        $D530
      ),
      'Tools &amp; Targets_Guideline'!$C$53:$I$53,
      0
    )
  ),
0))</f>
        <v/>
      </c>
      <c r="AF530" s="102"/>
      <c r="AG530" s="119" t="str">
        <f t="array" ref="AG530">IF(OR($B530="",$D530=""),"",
IFERROR(
  INDEX(
    'Tools &amp; Targets_Guideline'!$C$54:$I$269,
    MATCH(
      1,
      ('Tools &amp; Targets_Guideline'!$A$54:$A$269=$B530)*
      ('Tools &amp; Targets_Guideline'!$B$54:$B$269="C-Section"),
      0
    ),
    MATCH(
      _xludf.IFNA(
        VLOOKUP($D530,{"PH","Provincial Hospital (H2)";"DH","District Hospital (H3)";"RH","Regional / National Hospital (H1)"},2,0),
        $D530
      ),
      'Tools &amp; Targets_Guideline'!$C$53:$I$53,
      0
    )
  ),
0))</f>
        <v/>
      </c>
      <c r="AH530" s="102" t="str">
        <f>IF(A530&lt;&gt;"",COUNTIFS('QA Log'!D:D,A530,'QA Log'!M:M,"QQC",'QA Log'!L:L,"2. Hygiene and Sterilization",'QA Log'!Z:Z,"Approved"),"")</f>
        <v/>
      </c>
      <c r="AI530" s="102"/>
      <c r="AJ530" s="102"/>
      <c r="AK530" s="103" t="str">
        <f t="shared" si="32"/>
        <v/>
      </c>
      <c r="AL530" s="102"/>
      <c r="AM530" s="102"/>
      <c r="AN530" s="102"/>
      <c r="AO530" s="106"/>
      <c r="AP530" s="103"/>
      <c r="AQ530" s="102"/>
      <c r="AR530" s="102"/>
      <c r="AS530" s="102"/>
      <c r="AT530" s="107"/>
      <c r="AU530" s="102" t="str">
        <f t="shared" si="33"/>
        <v/>
      </c>
      <c r="AV530" s="102" t="str">
        <f t="shared" si="34"/>
        <v/>
      </c>
      <c r="AW530" s="102" t="str">
        <f t="shared" si="35"/>
        <v/>
      </c>
      <c r="AX530" s="102" t="str">
        <f t="shared" si="36"/>
        <v/>
      </c>
      <c r="AY530" s="107" t="str">
        <f t="shared" si="37"/>
        <v/>
      </c>
      <c r="AZ530" s="108" t="str">
        <f t="shared" si="38"/>
        <v/>
      </c>
      <c r="BA530" s="108" t="str">
        <f t="shared" si="39"/>
        <v/>
      </c>
      <c r="BB530" s="109" t="str">
        <f t="shared" si="40"/>
        <v/>
      </c>
      <c r="BC530" s="108" t="str">
        <f t="shared" si="41"/>
        <v/>
      </c>
      <c r="BD530" s="108" t="str">
        <f t="shared" si="42"/>
        <v/>
      </c>
      <c r="BE530" s="109" t="str">
        <f t="shared" si="43"/>
        <v/>
      </c>
      <c r="BF530" s="110" t="str">
        <f t="shared" si="44"/>
        <v/>
      </c>
      <c r="BG530" s="111"/>
    </row>
    <row r="531" spans="1:59" ht="12.75">
      <c r="A531" s="101"/>
      <c r="B531" s="102"/>
      <c r="C531" s="102" t="e">
        <f t="array" aca="1" ref="C531" ca="1">_xludf.XLOOKUP(A531,'QA Log'!D:D,'QA Log'!F:F,"")</f>
        <v>#NAME?</v>
      </c>
      <c r="D531" s="102"/>
      <c r="E531" s="102" t="e">
        <f t="array" aca="1" ref="E531" ca="1">_xludf.XLOOKUP(A531,'QA Log'!D:D,'QA Log'!G:G,"")</f>
        <v>#NAME?</v>
      </c>
      <c r="F531" s="103"/>
      <c r="G531" s="104"/>
      <c r="H531" s="104"/>
      <c r="I531" s="103" t="str">
        <f t="shared" si="30"/>
        <v/>
      </c>
      <c r="J531" s="102"/>
      <c r="K531" s="102"/>
      <c r="L531" s="119" t="str">
        <f t="array" ref="L531">IF(OR($B531="",$D531=""),"",
IFERROR(
  INDEX(
    'Tools &amp; Targets_Guideline'!$C$54:$I$269,
    MATCH(
      1,
      ('Tools &amp; Targets_Guideline'!$A$54:$A$269=$B531)*
      ('Tools &amp; Targets_Guideline'!$B$54:$B$269="ANC"),
      0
    ),
    MATCH(
      _xludf.IFNA(
        VLOOKUP($D531,{"PH","Provincial Hospital (H2)";"DH","District Hospital (H3)";"RH","Regional / National Hospital (H1)"},2,0),
        $D531
      ),
      'Tools &amp; Targets_Guideline'!$C$53:$I$53,
      0
    )
  ),
0))</f>
        <v/>
      </c>
      <c r="M531" s="102"/>
      <c r="N531" s="119" t="str">
        <f t="array" ref="N531">IF(OR($B531="",$D531=""),"",
IFERROR(
  INDEX(
    'Tools &amp; Targets_Guideline'!$C$54:$I$269,
    MATCH(
      1,
      ('Tools &amp; Targets_Guideline'!$A$54:$A$269=$B531)*
      ('Tools &amp; Targets_Guideline'!$B$54:$B$269="PNC"),
      0
    ),
    MATCH(
      _xludf.IFNA(
        VLOOKUP($D531,{"PH","Provincial Hospital (H2)";"DH","District Hospital (H3)";"RH","Regional / National Hospital (H1)"},2,0),
        $D531
      ),
      'Tools &amp; Targets_Guideline'!$C$53:$I$53,
      0
    )
  ),
0))</f>
        <v/>
      </c>
      <c r="O531" s="102"/>
      <c r="P531" s="119" t="str">
        <f t="array" ref="P531">IF(OR($B531="",$D531=""),"",
IFERROR(
  INDEX(
    'Tools &amp; Targets_Guideline'!$C$54:$I$269,
    MATCH(
      1,
      ('Tools &amp; Targets_Guideline'!$A$54:$A$269=$B531)*
      ('Tools &amp; Targets_Guideline'!$B$54:$B$269="Delivery"),
      0
    ),
    MATCH(
      _xludf.IFNA(
        VLOOKUP($D531,{"PH","Provincial Hospital (H2)";"DH","District Hospital (H3)";"RH","Regional / National Hospital (H1)"},2,0),
        $D531
      ),
      'Tools &amp; Targets_Guideline'!$C$53:$I$53,
      0
    )
  ),
0))</f>
        <v/>
      </c>
      <c r="Q531" s="102"/>
      <c r="R531" s="119" t="str">
        <f t="array" ref="R531">IF(OR($B531="",$D531=""),"",
IFERROR(
  INDEX(
    'Tools &amp; Targets_Guideline'!$C$54:$I$269,
    MATCH(
      1,
      ('Tools &amp; Targets_Guideline'!$A$54:$A$269=$B531)*
      ('Tools &amp; Targets_Guideline'!$B$54:$B$269="TT"),
      0
    ),
    MATCH(
      _xludf.IFNA(
        VLOOKUP($D531,{"PH","Provincial Hospital (H2)";"DH","District Hospital (H3)";"RH","Regional / National Hospital (H1)"},2,0),
        $D531
      ),
      'Tools &amp; Targets_Guideline'!$C$53:$I$53,
      0
    )
  ),
0))</f>
        <v/>
      </c>
      <c r="S531" s="102"/>
      <c r="T531" s="102"/>
      <c r="U531" s="106"/>
      <c r="V531" s="102" t="str">
        <f t="shared" si="31"/>
        <v/>
      </c>
      <c r="W531" s="102"/>
      <c r="X531" s="102"/>
      <c r="Y531" s="119" t="str">
        <f t="array" ref="Y531">IF(OR($B531="",$D531=""),"",
IFERROR(
  INDEX(
    'Tools &amp; Targets_Guideline'!$C$54:$I$269,
    MATCH(
      1,
      ('Tools &amp; Targets_Guideline'!$A$54:$A$269=$B531)*
      ('Tools &amp; Targets_Guideline'!$B$54:$B$269="GM"),
      0
    ),
    MATCH(
      _xludf.IFNA(
        VLOOKUP($D531,{"PH","Provincial Hospital (H2)";"DH","District Hospital (H3)";"RH","Regional / National Hospital (H1)"},2,0),
        $D531
      ),
      'Tools &amp; Targets_Guideline'!$C$53:$I$53,
      0
    )
  ),
0))</f>
        <v/>
      </c>
      <c r="Z531" s="102"/>
      <c r="AA531" s="119" t="str">
        <f t="array" ref="AA531">IF(OR($B531="",$D531=""),"",
IFERROR(
  INDEX(
    'Tools &amp; Targets_Guideline'!$C$54:$I$269,
    MATCH(
      1,
      ('Tools &amp; Targets_Guideline'!$A$54:$A$269=$B531)*
      ('Tools &amp; Targets_Guideline'!$B$54:$B$269="Penta"),
      0
    ),
    MATCH(
      _xludf.IFNA(
        VLOOKUP($D531,{"PH","Provincial Hospital (H2)";"DH","District Hospital (H3)";"RH","Regional / National Hospital (H1)"},2,0),
        $D531
      ),
      'Tools &amp; Targets_Guideline'!$C$53:$I$53,
      0
    )
  ),
0))</f>
        <v/>
      </c>
      <c r="AB531" s="102"/>
      <c r="AC531" s="119" t="str">
        <f t="array" ref="AC531">IF(OR($B531="",$D531=""),"",
IFERROR(
  INDEX(
    'Tools &amp; Targets_Guideline'!$C$54:$I$269,
    MATCH(
      1,
      ('Tools &amp; Targets_Guideline'!$A$54:$A$269=$B531)*
      ('Tools &amp; Targets_Guideline'!$B$54:$B$269="TB"),
      0
    ),
    MATCH(
      _xludf.IFNA(
        VLOOKUP($D531,{"PH","Provincial Hospital (H2)";"DH","District Hospital (H3)";"RH","Regional / National Hospital (H1)"},2,0),
        $D531
      ),
      'Tools &amp; Targets_Guideline'!$C$53:$I$53,
      0
    )
  ),
0))</f>
        <v/>
      </c>
      <c r="AD531" s="102"/>
      <c r="AE531" s="119" t="str">
        <f t="array" ref="AE531">IF(OR($B531="",$D531=""),"",
IFERROR(
  INDEX(
    'Tools &amp; Targets_Guideline'!$C$54:$I$269,
    MATCH(
      1,
      ('Tools &amp; Targets_Guideline'!$A$54:$A$269=$B531)*
      ('Tools &amp; Targets_Guideline'!$B$54:$B$269="U5 Morbidity"),
      0
    ),
    MATCH(
      _xludf.IFNA(
        VLOOKUP($D531,{"PH","Provincial Hospital (H2)";"DH","District Hospital (H3)";"RH","Regional / National Hospital (H1)"},2,0),
        $D531
      ),
      'Tools &amp; Targets_Guideline'!$C$53:$I$53,
      0
    )
  ),
0))</f>
        <v/>
      </c>
      <c r="AF531" s="102"/>
      <c r="AG531" s="119" t="str">
        <f t="array" ref="AG531">IF(OR($B531="",$D531=""),"",
IFERROR(
  INDEX(
    'Tools &amp; Targets_Guideline'!$C$54:$I$269,
    MATCH(
      1,
      ('Tools &amp; Targets_Guideline'!$A$54:$A$269=$B531)*
      ('Tools &amp; Targets_Guideline'!$B$54:$B$269="C-Section"),
      0
    ),
    MATCH(
      _xludf.IFNA(
        VLOOKUP($D531,{"PH","Provincial Hospital (H2)";"DH","District Hospital (H3)";"RH","Regional / National Hospital (H1)"},2,0),
        $D531
      ),
      'Tools &amp; Targets_Guideline'!$C$53:$I$53,
      0
    )
  ),
0))</f>
        <v/>
      </c>
      <c r="AH531" s="102" t="str">
        <f>IF(A531&lt;&gt;"",COUNTIFS('QA Log'!D:D,A531,'QA Log'!M:M,"QQC",'QA Log'!L:L,"2. Hygiene and Sterilization",'QA Log'!Z:Z,"Approved"),"")</f>
        <v/>
      </c>
      <c r="AI531" s="102"/>
      <c r="AJ531" s="102"/>
      <c r="AK531" s="103" t="str">
        <f t="shared" si="32"/>
        <v/>
      </c>
      <c r="AL531" s="102"/>
      <c r="AM531" s="102"/>
      <c r="AN531" s="102"/>
      <c r="AO531" s="106"/>
      <c r="AP531" s="103"/>
      <c r="AQ531" s="102"/>
      <c r="AR531" s="102"/>
      <c r="AS531" s="102"/>
      <c r="AT531" s="107"/>
      <c r="AU531" s="102" t="str">
        <f t="shared" si="33"/>
        <v/>
      </c>
      <c r="AV531" s="102" t="str">
        <f t="shared" si="34"/>
        <v/>
      </c>
      <c r="AW531" s="102" t="str">
        <f t="shared" si="35"/>
        <v/>
      </c>
      <c r="AX531" s="102" t="str">
        <f t="shared" si="36"/>
        <v/>
      </c>
      <c r="AY531" s="107" t="str">
        <f t="shared" si="37"/>
        <v/>
      </c>
      <c r="AZ531" s="108" t="str">
        <f t="shared" si="38"/>
        <v/>
      </c>
      <c r="BA531" s="108" t="str">
        <f t="shared" si="39"/>
        <v/>
      </c>
      <c r="BB531" s="109" t="str">
        <f t="shared" si="40"/>
        <v/>
      </c>
      <c r="BC531" s="108" t="str">
        <f t="shared" si="41"/>
        <v/>
      </c>
      <c r="BD531" s="108" t="str">
        <f t="shared" si="42"/>
        <v/>
      </c>
      <c r="BE531" s="109" t="str">
        <f t="shared" si="43"/>
        <v/>
      </c>
      <c r="BF531" s="110" t="str">
        <f t="shared" si="44"/>
        <v/>
      </c>
      <c r="BG531" s="111"/>
    </row>
  </sheetData>
  <mergeCells count="5">
    <mergeCell ref="AZ1:BB1"/>
    <mergeCell ref="BC1:BE1"/>
    <mergeCell ref="BF1:BG1"/>
    <mergeCell ref="T1:X1"/>
    <mergeCell ref="AU1:AY1"/>
  </mergeCells>
  <conditionalFormatting sqref="AZ3:BE531">
    <cfRule type="containsText" dxfId="5" priority="1" operator="containsText" text="Fully Received">
      <formula>NOT(ISERROR(SEARCH(("Fully Received"),(AZ3))))</formula>
    </cfRule>
    <cfRule type="containsText" dxfId="4" priority="2" operator="containsText" text="Not Received">
      <formula>NOT(ISERROR(SEARCH(("Not Received"),(AZ3))))</formula>
    </cfRule>
  </conditionalFormatting>
  <conditionalFormatting sqref="BF3:BF531">
    <cfRule type="notContainsBlanks" dxfId="3" priority="3">
      <formula>LEN(TRIM(BF3))&gt;0</formula>
    </cfRule>
  </conditionalFormatting>
  <dataValidations count="1">
    <dataValidation type="list" allowBlank="1" showErrorMessage="1" sqref="F3:F531" xr:uid="{00000000-0002-0000-0200-000000000000}">
      <formula1>"Planned,Completed,Not Completed,Cancelled"</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R268"/>
  <sheetViews>
    <sheetView workbookViewId="0">
      <pane ySplit="1" topLeftCell="A2" activePane="bottomLeft" state="frozen"/>
      <selection pane="bottomLeft" activeCell="B3" sqref="B3"/>
    </sheetView>
  </sheetViews>
  <sheetFormatPr defaultColWidth="12.5703125" defaultRowHeight="15.75" customHeight="1"/>
  <cols>
    <col min="1" max="1" width="36.42578125" customWidth="1"/>
    <col min="2" max="2" width="9.42578125" customWidth="1"/>
    <col min="3" max="3" width="20.85546875" customWidth="1"/>
    <col min="4" max="5" width="29" customWidth="1"/>
    <col min="6" max="6" width="14.85546875" customWidth="1"/>
    <col min="7" max="7" width="22" customWidth="1"/>
    <col min="8" max="8" width="7.28515625" customWidth="1"/>
    <col min="9" max="9" width="7" customWidth="1"/>
    <col min="10" max="10" width="16.42578125" customWidth="1"/>
    <col min="11" max="11" width="44.28515625" customWidth="1"/>
    <col min="12" max="12" width="54.5703125" customWidth="1"/>
    <col min="13" max="13" width="13.140625" customWidth="1"/>
    <col min="14" max="14" width="14.42578125" customWidth="1"/>
    <col min="15" max="15" width="20.28515625" customWidth="1"/>
    <col min="16" max="16" width="21.28515625" customWidth="1"/>
    <col min="17" max="17" width="16.85546875" customWidth="1"/>
    <col min="18" max="18" width="24.85546875" customWidth="1"/>
    <col min="19" max="19" width="24.28515625" customWidth="1"/>
    <col min="20" max="20" width="32.5703125" customWidth="1"/>
    <col min="21" max="21" width="10.7109375" customWidth="1"/>
    <col min="22" max="22" width="16.28515625" customWidth="1"/>
    <col min="23" max="23" width="21.28515625" customWidth="1"/>
    <col min="24" max="24" width="17.140625" customWidth="1"/>
    <col min="25" max="25" width="9.42578125" customWidth="1"/>
    <col min="26" max="26" width="9" customWidth="1"/>
    <col min="27" max="27" width="14.140625" customWidth="1"/>
    <col min="28" max="29" width="40.5703125" customWidth="1"/>
  </cols>
  <sheetData>
    <row r="1" spans="1:44">
      <c r="A1" s="120" t="str">
        <f ca="1">IFERROR(__xludf.DUMMYFUNCTION("IMPORTRANGE(""https://docs.google.com/spreadsheets/d/1evWSKf7qCW1w0rpL08V6y80ol9kBA_ZqDpdKZzl6Oao/edit?gid=652263144#gid=652263144"", ""QA_Log!A:AH"")"),"KEY_Unique")</f>
        <v>KEY_Unique</v>
      </c>
      <c r="B1" s="120" t="str">
        <f ca="1">IFERROR(__xludf.DUMMYFUNCTION("""COMPUTED_VALUE"""),"Surveyor Id")</f>
        <v>Surveyor Id</v>
      </c>
      <c r="C1" s="120" t="str">
        <f ca="1">IFERROR(__xludf.DUMMYFUNCTION("""COMPUTED_VALUE"""),"Surveyor Name")</f>
        <v>Surveyor Name</v>
      </c>
      <c r="D1" s="120" t="str">
        <f ca="1">IFERROR(__xludf.DUMMYFUNCTION("""COMPUTED_VALUE"""),"Site Visit ID")</f>
        <v>Site Visit ID</v>
      </c>
      <c r="E1" s="120" t="str">
        <f ca="1">IFERROR(__xludf.DUMMYFUNCTION("""COMPUTED_VALUE"""),"Province")</f>
        <v>Province</v>
      </c>
      <c r="F1" s="120" t="str">
        <f ca="1">IFERROR(__xludf.DUMMYFUNCTION("""COMPUTED_VALUE"""),"District")</f>
        <v>District</v>
      </c>
      <c r="G1" s="120" t="str">
        <f ca="1">IFERROR(__xludf.DUMMYFUNCTION("""COMPUTED_VALUE"""),"HF Name")</f>
        <v>HF Name</v>
      </c>
      <c r="H1" s="120" t="str">
        <f ca="1">IFERROR(__xludf.DUMMYFUNCTION("""COMPUTED_VALUE"""),"HF Type")</f>
        <v>HF Type</v>
      </c>
      <c r="I1" s="120" t="str">
        <f ca="1">IFERROR(__xludf.DUMMYFUNCTION("""COMPUTED_VALUE"""),"duration")</f>
        <v>duration</v>
      </c>
      <c r="J1" s="120" t="str">
        <f ca="1">IFERROR(__xludf.DUMMYFUNCTION("""COMPUTED_VALUE"""),"SubmissionDate")</f>
        <v>SubmissionDate</v>
      </c>
      <c r="K1" s="120" t="str">
        <f ca="1">IFERROR(__xludf.DUMMYFUNCTION("""COMPUTED_VALUE"""),"Starttime")</f>
        <v>Starttime</v>
      </c>
      <c r="L1" s="120" t="str">
        <f ca="1">IFERROR(__xludf.DUMMYFUNCTION("""COMPUTED_VALUE"""),"Interview Type")</f>
        <v>Interview Type</v>
      </c>
      <c r="M1" s="120" t="str">
        <f ca="1">IFERROR(__xludf.DUMMYFUNCTION("""COMPUTED_VALUE"""),"Tool")</f>
        <v>Tool</v>
      </c>
      <c r="N1" s="120" t="str">
        <f ca="1">IFERROR(__xludf.DUMMYFUNCTION("""COMPUTED_VALUE"""),"Survey_Language")</f>
        <v>Survey_Language</v>
      </c>
      <c r="O1" s="120" t="str">
        <f ca="1">IFERROR(__xludf.DUMMYFUNCTION("""COMPUTED_VALUE"""),"Are GPS points accurate?")</f>
        <v>Are GPS points accurate?</v>
      </c>
      <c r="P1" s="120" t="str">
        <f ca="1">IFERROR(__xludf.DUMMYFUNCTION("""COMPUTED_VALUE"""),"Audio audit?")</f>
        <v>Audio audit?</v>
      </c>
      <c r="Q1" s="120" t="str">
        <f ca="1">IFERROR(__xludf.DUMMYFUNCTION("""COMPUTED_VALUE"""),"Are photos accurate?")</f>
        <v>Are photos accurate?</v>
      </c>
      <c r="R1" s="120" t="str">
        <f ca="1">IFERROR(__xludf.DUMMYFUNCTION("""COMPUTED_VALUE"""),"Does the data have any audios?")</f>
        <v>Does the data have any audios?</v>
      </c>
      <c r="S1" s="120" t="str">
        <f ca="1">IFERROR(__xludf.DUMMYFUNCTION("""COMPUTED_VALUE"""),"If yes, are the audios accurate?")</f>
        <v>If yes, are the audios accurate?</v>
      </c>
      <c r="T1" s="120" t="str">
        <f ca="1">IFERROR(__xludf.DUMMYFUNCTION("""COMPUTED_VALUE"""),"Checking of ""7777.Other ""selected choices")</f>
        <v>Checking of "7777.Other "selected choices</v>
      </c>
      <c r="U1" s="120" t="str">
        <f ca="1">IFERROR(__xludf.DUMMYFUNCTION("""COMPUTED_VALUE"""),"Called-back?")</f>
        <v>Called-back?</v>
      </c>
      <c r="V1" s="120" t="str">
        <f ca="1">IFERROR(__xludf.DUMMYFUNCTION("""COMPUTED_VALUE"""),"Feedback Provided?")</f>
        <v>Feedback Provided?</v>
      </c>
      <c r="W1" s="120" t="str">
        <f ca="1">IFERROR(__xludf.DUMMYFUNCTION("""COMPUTED_VALUE"""),"Enumerator's Grading (1-5)")</f>
        <v>Enumerator's Grading (1-5)</v>
      </c>
      <c r="X1" s="120" t="str">
        <f ca="1">IFERROR(__xludf.DUMMYFUNCTION("""COMPUTED_VALUE"""),"QA'ed By")</f>
        <v>QA'ed By</v>
      </c>
      <c r="Y1" s="120" t="str">
        <f ca="1">IFERROR(__xludf.DUMMYFUNCTION("""COMPUTED_VALUE"""),"QA'ed Date")</f>
        <v>QA'ed Date</v>
      </c>
      <c r="Z1" s="120" t="str">
        <f ca="1">IFERROR(__xludf.DUMMYFUNCTION("""COMPUTED_VALUE"""),"QA_Status")</f>
        <v>QA_Status</v>
      </c>
      <c r="AA1" s="120" t="str">
        <f ca="1">IFERROR(__xludf.DUMMYFUNCTION("""COMPUTED_VALUE"""),"Rejection Reason")</f>
        <v>Rejection Reason</v>
      </c>
      <c r="AB1" s="120" t="str">
        <f ca="1">IFERROR(__xludf.DUMMYFUNCTION("""COMPUTED_VALUE"""),"Remarks")</f>
        <v>Remarks</v>
      </c>
      <c r="AC1" s="120"/>
      <c r="AD1" s="120"/>
      <c r="AE1" s="120"/>
      <c r="AF1" s="120"/>
      <c r="AG1" s="120"/>
      <c r="AH1" s="120"/>
      <c r="AI1" s="120"/>
      <c r="AJ1" s="120"/>
      <c r="AK1" s="120"/>
      <c r="AL1" s="120"/>
      <c r="AM1" s="120"/>
      <c r="AN1" s="120"/>
      <c r="AO1" s="120"/>
      <c r="AP1" s="120"/>
      <c r="AQ1" s="120"/>
      <c r="AR1" s="120"/>
    </row>
    <row r="2" spans="1:44">
      <c r="A2" s="121" t="str">
        <f ca="1">IFERROR(__xludf.DUMMYFUNCTION("""COMPUTED_VALUE"""),"uuid:cd525b43-de54-41a2-b54b-586d0bd1738b")</f>
        <v>uuid:cd525b43-de54-41a2-b54b-586d0bd1738b</v>
      </c>
      <c r="B2" s="121" t="str">
        <f ca="1">IFERROR(__xludf.DUMMYFUNCTION("""COMPUTED_VALUE"""),"FR3127")</f>
        <v>FR3127</v>
      </c>
      <c r="C2" s="121" t="str">
        <f ca="1">IFERROR(__xludf.DUMMYFUNCTION("""COMPUTED_VALUE"""),"Rona Turk")</f>
        <v>Rona Turk</v>
      </c>
      <c r="D2" s="121" t="str">
        <f ca="1">IFERROR(__xludf.DUMMYFUNCTION("""COMPUTED_VALUE"""),"HER-JZJ-HF4362-Q2-2025-1097-01")</f>
        <v>HER-JZJ-HF4362-Q2-2025-1097-01</v>
      </c>
      <c r="E2" s="121" t="str">
        <f ca="1">IFERROR(__xludf.DUMMYFUNCTION("""COMPUTED_VALUE"""),"Jawzjan")</f>
        <v>Jawzjan</v>
      </c>
      <c r="F2" s="121" t="str">
        <f ca="1">IFERROR(__xludf.DUMMYFUNCTION("""COMPUTED_VALUE"""),"Sheberghaan")</f>
        <v>Sheberghaan</v>
      </c>
      <c r="G2" s="121" t="str">
        <f ca="1">IFERROR(__xludf.DUMMYFUNCTION("""COMPUTED_VALUE"""),"Mangoti SC (4362)")</f>
        <v>Mangoti SC (4362)</v>
      </c>
      <c r="H2" s="121" t="str">
        <f ca="1">IFERROR(__xludf.DUMMYFUNCTION("""COMPUTED_VALUE"""),"SHC")</f>
        <v>SHC</v>
      </c>
      <c r="I2" s="122">
        <f ca="1">IFERROR(__xludf.DUMMYFUNCTION("""COMPUTED_VALUE"""),17.6166666666666)</f>
        <v>17.6166666666666</v>
      </c>
      <c r="J2" s="123">
        <f ca="1">IFERROR(__xludf.DUMMYFUNCTION("""COMPUTED_VALUE"""),45959)</f>
        <v>45959</v>
      </c>
      <c r="K2" s="123">
        <f ca="1">IFERROR(__xludf.DUMMYFUNCTION("""COMPUTED_VALUE"""),45959)</f>
        <v>45959</v>
      </c>
      <c r="L2" s="121" t="str">
        <f ca="1">IFERROR(__xludf.DUMMYFUNCTION("""COMPUTED_VALUE"""),"Vignette [5] Labor")</f>
        <v>Vignette [5] Labor</v>
      </c>
      <c r="M2" s="121" t="str">
        <f ca="1">IFERROR(__xludf.DUMMYFUNCTION("""COMPUTED_VALUE"""),"Vignette")</f>
        <v>Vignette</v>
      </c>
      <c r="N2" s="121" t="str">
        <f ca="1">IFERROR(__xludf.DUMMYFUNCTION("""COMPUTED_VALUE"""),"N/A")</f>
        <v>N/A</v>
      </c>
      <c r="O2" s="121" t="str">
        <f ca="1">IFERROR(__xludf.DUMMYFUNCTION("""COMPUTED_VALUE"""),"No")</f>
        <v>No</v>
      </c>
      <c r="P2" s="121" t="str">
        <f ca="1">IFERROR(__xludf.DUMMYFUNCTION("""COMPUTED_VALUE""")," Voice of both sides is clear")</f>
        <v xml:space="preserve"> Voice of both sides is clear</v>
      </c>
      <c r="Q2" s="121" t="str">
        <f ca="1">IFERROR(__xludf.DUMMYFUNCTION("""COMPUTED_VALUE"""),"No Photo")</f>
        <v>No Photo</v>
      </c>
      <c r="R2" s="121" t="str">
        <f ca="1">IFERROR(__xludf.DUMMYFUNCTION("""COMPUTED_VALUE"""),"No")</f>
        <v>No</v>
      </c>
      <c r="S2" s="121"/>
      <c r="T2" s="121" t="str">
        <f ca="1">IFERROR(__xludf.DUMMYFUNCTION("""COMPUTED_VALUE"""),"Checked")</f>
        <v>Checked</v>
      </c>
      <c r="U2" s="121"/>
      <c r="V2" s="121" t="str">
        <f ca="1">IFERROR(__xludf.DUMMYFUNCTION("""COMPUTED_VALUE"""),"No")</f>
        <v>No</v>
      </c>
      <c r="W2" s="121">
        <f ca="1">IFERROR(__xludf.DUMMYFUNCTION("""COMPUTED_VALUE"""),3)</f>
        <v>3</v>
      </c>
      <c r="X2" s="121" t="str">
        <f ca="1">IFERROR(__xludf.DUMMYFUNCTION("""COMPUTED_VALUE"""),"Abdullah Mohammadi")</f>
        <v>Abdullah Mohammadi</v>
      </c>
      <c r="Y2" s="124">
        <f ca="1">IFERROR(__xludf.DUMMYFUNCTION("""COMPUTED_VALUE"""),45962)</f>
        <v>45962</v>
      </c>
      <c r="Z2" s="121" t="str">
        <f ca="1">IFERROR(__xludf.DUMMYFUNCTION("""COMPUTED_VALUE"""),"Approved")</f>
        <v>Approved</v>
      </c>
      <c r="AA2" s="121"/>
      <c r="AB2" s="121"/>
    </row>
    <row r="3" spans="1:44">
      <c r="A3" s="121" t="str">
        <f ca="1">IFERROR(__xludf.DUMMYFUNCTION("""COMPUTED_VALUE"""),"uuid:8ab73404-452b-4086-9741-5cdec90cfc7d")</f>
        <v>uuid:8ab73404-452b-4086-9741-5cdec90cfc7d</v>
      </c>
      <c r="B3" s="121" t="str">
        <f ca="1">IFERROR(__xludf.DUMMYFUNCTION("""COMPUTED_VALUE"""),"FR3127")</f>
        <v>FR3127</v>
      </c>
      <c r="C3" s="121" t="str">
        <f ca="1">IFERROR(__xludf.DUMMYFUNCTION("""COMPUTED_VALUE"""),"Rona Turk")</f>
        <v>Rona Turk</v>
      </c>
      <c r="D3" s="121" t="str">
        <f ca="1">IFERROR(__xludf.DUMMYFUNCTION("""COMPUTED_VALUE"""),"HER-JZJ-HF4362-Q2-2025-1097-01")</f>
        <v>HER-JZJ-HF4362-Q2-2025-1097-01</v>
      </c>
      <c r="E3" s="121" t="str">
        <f ca="1">IFERROR(__xludf.DUMMYFUNCTION("""COMPUTED_VALUE"""),"Jawzjan")</f>
        <v>Jawzjan</v>
      </c>
      <c r="F3" s="121" t="str">
        <f ca="1">IFERROR(__xludf.DUMMYFUNCTION("""COMPUTED_VALUE"""),"Sheberghaan")</f>
        <v>Sheberghaan</v>
      </c>
      <c r="G3" s="121" t="str">
        <f ca="1">IFERROR(__xludf.DUMMYFUNCTION("""COMPUTED_VALUE"""),"Mangoti SC (4362)")</f>
        <v>Mangoti SC (4362)</v>
      </c>
      <c r="H3" s="121" t="str">
        <f ca="1">IFERROR(__xludf.DUMMYFUNCTION("""COMPUTED_VALUE"""),"SHC")</f>
        <v>SHC</v>
      </c>
      <c r="I3" s="122">
        <f ca="1">IFERROR(__xludf.DUMMYFUNCTION("""COMPUTED_VALUE"""),17.5666666666666)</f>
        <v>17.566666666666599</v>
      </c>
      <c r="J3" s="123">
        <f ca="1">IFERROR(__xludf.DUMMYFUNCTION("""COMPUTED_VALUE"""),45959)</f>
        <v>45959</v>
      </c>
      <c r="K3" s="123">
        <f ca="1">IFERROR(__xludf.DUMMYFUNCTION("""COMPUTED_VALUE"""),45959)</f>
        <v>45959</v>
      </c>
      <c r="L3" s="121" t="str">
        <f ca="1">IFERROR(__xludf.DUMMYFUNCTION("""COMPUTED_VALUE"""),"Vignette [6] PNC pre Discharge")</f>
        <v>Vignette [6] PNC pre Discharge</v>
      </c>
      <c r="M3" s="121" t="str">
        <f ca="1">IFERROR(__xludf.DUMMYFUNCTION("""COMPUTED_VALUE"""),"Vignette")</f>
        <v>Vignette</v>
      </c>
      <c r="N3" s="121" t="str">
        <f ca="1">IFERROR(__xludf.DUMMYFUNCTION("""COMPUTED_VALUE"""),"N/A")</f>
        <v>N/A</v>
      </c>
      <c r="O3" s="121" t="str">
        <f ca="1">IFERROR(__xludf.DUMMYFUNCTION("""COMPUTED_VALUE"""),"No")</f>
        <v>No</v>
      </c>
      <c r="P3" s="121" t="str">
        <f ca="1">IFERROR(__xludf.DUMMYFUNCTION("""COMPUTED_VALUE""")," Voice of both sides is clear")</f>
        <v xml:space="preserve"> Voice of both sides is clear</v>
      </c>
      <c r="Q3" s="121" t="str">
        <f ca="1">IFERROR(__xludf.DUMMYFUNCTION("""COMPUTED_VALUE"""),"No Photo")</f>
        <v>No Photo</v>
      </c>
      <c r="R3" s="121" t="str">
        <f ca="1">IFERROR(__xludf.DUMMYFUNCTION("""COMPUTED_VALUE"""),"No")</f>
        <v>No</v>
      </c>
      <c r="S3" s="121"/>
      <c r="T3" s="121" t="str">
        <f ca="1">IFERROR(__xludf.DUMMYFUNCTION("""COMPUTED_VALUE"""),"Checked")</f>
        <v>Checked</v>
      </c>
      <c r="U3" s="121" t="str">
        <f ca="1">IFERROR(__xludf.DUMMYFUNCTION("""COMPUTED_VALUE"""),"No")</f>
        <v>No</v>
      </c>
      <c r="V3" s="121" t="str">
        <f ca="1">IFERROR(__xludf.DUMMYFUNCTION("""COMPUTED_VALUE"""),"Yes")</f>
        <v>Yes</v>
      </c>
      <c r="W3" s="121">
        <f ca="1">IFERROR(__xludf.DUMMYFUNCTION("""COMPUTED_VALUE"""),3)</f>
        <v>3</v>
      </c>
      <c r="X3" s="121" t="str">
        <f ca="1">IFERROR(__xludf.DUMMYFUNCTION("""COMPUTED_VALUE"""),"Abdullah Mohammadi")</f>
        <v>Abdullah Mohammadi</v>
      </c>
      <c r="Y3" s="124">
        <f ca="1">IFERROR(__xludf.DUMMYFUNCTION("""COMPUTED_VALUE"""),45963)</f>
        <v>45963</v>
      </c>
      <c r="Z3" s="121" t="str">
        <f ca="1">IFERROR(__xludf.DUMMYFUNCTION("""COMPUTED_VALUE"""),"Approved")</f>
        <v>Approved</v>
      </c>
      <c r="AA3" s="121"/>
      <c r="AB3" s="121"/>
    </row>
    <row r="4" spans="1:44">
      <c r="A4" s="121" t="str">
        <f ca="1">IFERROR(__xludf.DUMMYFUNCTION("""COMPUTED_VALUE"""),"uuid:e951d28c-8f24-4641-aa30-3c134091c063")</f>
        <v>uuid:e951d28c-8f24-4641-aa30-3c134091c063</v>
      </c>
      <c r="B4" s="121" t="str">
        <f ca="1">IFERROR(__xludf.DUMMYFUNCTION("""COMPUTED_VALUE"""),"FR3998")</f>
        <v>FR3998</v>
      </c>
      <c r="C4" s="121" t="str">
        <f ca="1">IFERROR(__xludf.DUMMYFUNCTION("""COMPUTED_VALUE"""),"Suliman Hajizada")</f>
        <v>Suliman Hajizada</v>
      </c>
      <c r="D4" s="121" t="str">
        <f ca="1">IFERROR(__xludf.DUMMYFUNCTION("""COMPUTED_VALUE"""),"HER-JZJ-HF4362-Q2-2025-1097-01")</f>
        <v>HER-JZJ-HF4362-Q2-2025-1097-01</v>
      </c>
      <c r="E4" s="121" t="str">
        <f ca="1">IFERROR(__xludf.DUMMYFUNCTION("""COMPUTED_VALUE"""),"Jawzjan")</f>
        <v>Jawzjan</v>
      </c>
      <c r="F4" s="121" t="str">
        <f ca="1">IFERROR(__xludf.DUMMYFUNCTION("""COMPUTED_VALUE"""),"Sheberghaan")</f>
        <v>Sheberghaan</v>
      </c>
      <c r="G4" s="121" t="str">
        <f ca="1">IFERROR(__xludf.DUMMYFUNCTION("""COMPUTED_VALUE"""),"Mangoti SC (4362)")</f>
        <v>Mangoti SC (4362)</v>
      </c>
      <c r="H4" s="121" t="str">
        <f ca="1">IFERROR(__xludf.DUMMYFUNCTION("""COMPUTED_VALUE"""),"SHC")</f>
        <v>SHC</v>
      </c>
      <c r="I4" s="122">
        <f ca="1">IFERROR(__xludf.DUMMYFUNCTION("""COMPUTED_VALUE"""),22.1833333333333)</f>
        <v>22.183333333333302</v>
      </c>
      <c r="J4" s="123">
        <f ca="1">IFERROR(__xludf.DUMMYFUNCTION("""COMPUTED_VALUE"""),45959)</f>
        <v>45959</v>
      </c>
      <c r="K4" s="123">
        <f ca="1">IFERROR(__xludf.DUMMYFUNCTION("""COMPUTED_VALUE"""),45959)</f>
        <v>45959</v>
      </c>
      <c r="L4" s="121" t="str">
        <f ca="1">IFERROR(__xludf.DUMMYFUNCTION("""COMPUTED_VALUE"""),"Vignette [1] Respiratory Infection: Pneumonia")</f>
        <v>Vignette [1] Respiratory Infection: Pneumonia</v>
      </c>
      <c r="M4" s="121" t="str">
        <f ca="1">IFERROR(__xludf.DUMMYFUNCTION("""COMPUTED_VALUE"""),"Vignette")</f>
        <v>Vignette</v>
      </c>
      <c r="N4" s="121" t="str">
        <f ca="1">IFERROR(__xludf.DUMMYFUNCTION("""COMPUTED_VALUE"""),"N/A")</f>
        <v>N/A</v>
      </c>
      <c r="O4" s="121" t="str">
        <f ca="1">IFERROR(__xludf.DUMMYFUNCTION("""COMPUTED_VALUE"""),"No")</f>
        <v>No</v>
      </c>
      <c r="P4" s="121" t="str">
        <f ca="1">IFERROR(__xludf.DUMMYFUNCTION("""COMPUTED_VALUE""")," Voice of both sides is clear")</f>
        <v xml:space="preserve"> Voice of both sides is clear</v>
      </c>
      <c r="Q4" s="121" t="str">
        <f ca="1">IFERROR(__xludf.DUMMYFUNCTION("""COMPUTED_VALUE"""),"No Photo")</f>
        <v>No Photo</v>
      </c>
      <c r="R4" s="121" t="str">
        <f ca="1">IFERROR(__xludf.DUMMYFUNCTION("""COMPUTED_VALUE"""),"No")</f>
        <v>No</v>
      </c>
      <c r="S4" s="121"/>
      <c r="T4" s="121" t="str">
        <f ca="1">IFERROR(__xludf.DUMMYFUNCTION("""COMPUTED_VALUE"""),"Checked")</f>
        <v>Checked</v>
      </c>
      <c r="U4" s="121" t="str">
        <f ca="1">IFERROR(__xludf.DUMMYFUNCTION("""COMPUTED_VALUE"""),"No")</f>
        <v>No</v>
      </c>
      <c r="V4" s="121" t="str">
        <f ca="1">IFERROR(__xludf.DUMMYFUNCTION("""COMPUTED_VALUE"""),"Yes")</f>
        <v>Yes</v>
      </c>
      <c r="W4" s="121">
        <f ca="1">IFERROR(__xludf.DUMMYFUNCTION("""COMPUTED_VALUE"""),3)</f>
        <v>3</v>
      </c>
      <c r="X4" s="121" t="str">
        <f ca="1">IFERROR(__xludf.DUMMYFUNCTION("""COMPUTED_VALUE"""),"Abdullah Mohammadi")</f>
        <v>Abdullah Mohammadi</v>
      </c>
      <c r="Y4" s="124">
        <f ca="1">IFERROR(__xludf.DUMMYFUNCTION("""COMPUTED_VALUE"""),45963)</f>
        <v>45963</v>
      </c>
      <c r="Z4" s="121" t="str">
        <f ca="1">IFERROR(__xludf.DUMMYFUNCTION("""COMPUTED_VALUE"""),"Approved")</f>
        <v>Approved</v>
      </c>
      <c r="AA4" s="121"/>
      <c r="AB4" s="121"/>
    </row>
    <row r="5" spans="1:44">
      <c r="A5" s="121" t="str">
        <f ca="1">IFERROR(__xludf.DUMMYFUNCTION("""COMPUTED_VALUE"""),"uuid:bdb62e94-5e87-4441-b7d5-21fca9d0ae59")</f>
        <v>uuid:bdb62e94-5e87-4441-b7d5-21fca9d0ae59</v>
      </c>
      <c r="B5" s="121" t="str">
        <f ca="1">IFERROR(__xludf.DUMMYFUNCTION("""COMPUTED_VALUE"""),"FR3998")</f>
        <v>FR3998</v>
      </c>
      <c r="C5" s="121" t="str">
        <f ca="1">IFERROR(__xludf.DUMMYFUNCTION("""COMPUTED_VALUE"""),"Suliman Hajizada")</f>
        <v>Suliman Hajizada</v>
      </c>
      <c r="D5" s="121" t="str">
        <f ca="1">IFERROR(__xludf.DUMMYFUNCTION("""COMPUTED_VALUE"""),"HER-JZJ-HF4362-Q2-2025-1097-01")</f>
        <v>HER-JZJ-HF4362-Q2-2025-1097-01</v>
      </c>
      <c r="E5" s="121" t="str">
        <f ca="1">IFERROR(__xludf.DUMMYFUNCTION("""COMPUTED_VALUE"""),"Jawzjan")</f>
        <v>Jawzjan</v>
      </c>
      <c r="F5" s="121" t="str">
        <f ca="1">IFERROR(__xludf.DUMMYFUNCTION("""COMPUTED_VALUE"""),"Sheberghaan")</f>
        <v>Sheberghaan</v>
      </c>
      <c r="G5" s="121" t="str">
        <f ca="1">IFERROR(__xludf.DUMMYFUNCTION("""COMPUTED_VALUE"""),"Mangoti SC (4362)")</f>
        <v>Mangoti SC (4362)</v>
      </c>
      <c r="H5" s="121" t="str">
        <f ca="1">IFERROR(__xludf.DUMMYFUNCTION("""COMPUTED_VALUE"""),"SHC")</f>
        <v>SHC</v>
      </c>
      <c r="I5" s="122">
        <f ca="1">IFERROR(__xludf.DUMMYFUNCTION("""COMPUTED_VALUE"""),15.9166666666666)</f>
        <v>15.9166666666666</v>
      </c>
      <c r="J5" s="123">
        <f ca="1">IFERROR(__xludf.DUMMYFUNCTION("""COMPUTED_VALUE"""),45959)</f>
        <v>45959</v>
      </c>
      <c r="K5" s="123">
        <f ca="1">IFERROR(__xludf.DUMMYFUNCTION("""COMPUTED_VALUE"""),45959)</f>
        <v>45959</v>
      </c>
      <c r="L5" s="121" t="str">
        <f ca="1">IFERROR(__xludf.DUMMYFUNCTION("""COMPUTED_VALUE"""),"Vignette [2]: Diarrhea with Cat B dehydration")</f>
        <v>Vignette [2]: Diarrhea with Cat B dehydration</v>
      </c>
      <c r="M5" s="121" t="str">
        <f ca="1">IFERROR(__xludf.DUMMYFUNCTION("""COMPUTED_VALUE"""),"Vignette")</f>
        <v>Vignette</v>
      </c>
      <c r="N5" s="121" t="str">
        <f ca="1">IFERROR(__xludf.DUMMYFUNCTION("""COMPUTED_VALUE"""),"N/A")</f>
        <v>N/A</v>
      </c>
      <c r="O5" s="121" t="str">
        <f ca="1">IFERROR(__xludf.DUMMYFUNCTION("""COMPUTED_VALUE"""),"No")</f>
        <v>No</v>
      </c>
      <c r="P5" s="121" t="str">
        <f ca="1">IFERROR(__xludf.DUMMYFUNCTION("""COMPUTED_VALUE""")," Voice of both sides is clear")</f>
        <v xml:space="preserve"> Voice of both sides is clear</v>
      </c>
      <c r="Q5" s="121" t="str">
        <f ca="1">IFERROR(__xludf.DUMMYFUNCTION("""COMPUTED_VALUE"""),"No Photo")</f>
        <v>No Photo</v>
      </c>
      <c r="R5" s="121" t="str">
        <f ca="1">IFERROR(__xludf.DUMMYFUNCTION("""COMPUTED_VALUE"""),"No")</f>
        <v>No</v>
      </c>
      <c r="S5" s="121"/>
      <c r="T5" s="121" t="str">
        <f ca="1">IFERROR(__xludf.DUMMYFUNCTION("""COMPUTED_VALUE"""),"Checked")</f>
        <v>Checked</v>
      </c>
      <c r="U5" s="121" t="str">
        <f ca="1">IFERROR(__xludf.DUMMYFUNCTION("""COMPUTED_VALUE"""),"No")</f>
        <v>No</v>
      </c>
      <c r="V5" s="121" t="str">
        <f ca="1">IFERROR(__xludf.DUMMYFUNCTION("""COMPUTED_VALUE"""),"Yes")</f>
        <v>Yes</v>
      </c>
      <c r="W5" s="121">
        <f ca="1">IFERROR(__xludf.DUMMYFUNCTION("""COMPUTED_VALUE"""),3)</f>
        <v>3</v>
      </c>
      <c r="X5" s="121" t="str">
        <f ca="1">IFERROR(__xludf.DUMMYFUNCTION("""COMPUTED_VALUE"""),"Abdullah Mohammadi")</f>
        <v>Abdullah Mohammadi</v>
      </c>
      <c r="Y5" s="124">
        <f ca="1">IFERROR(__xludf.DUMMYFUNCTION("""COMPUTED_VALUE"""),45963)</f>
        <v>45963</v>
      </c>
      <c r="Z5" s="121" t="str">
        <f ca="1">IFERROR(__xludf.DUMMYFUNCTION("""COMPUTED_VALUE"""),"Approved")</f>
        <v>Approved</v>
      </c>
      <c r="AA5" s="121"/>
      <c r="AB5" s="121"/>
    </row>
    <row r="6" spans="1:44">
      <c r="A6" s="121" t="str">
        <f ca="1">IFERROR(__xludf.DUMMYFUNCTION("""COMPUTED_VALUE"""),"uuid:da053146-ad28-4a56-94d1-3caf6aff128c")</f>
        <v>uuid:da053146-ad28-4a56-94d1-3caf6aff128c</v>
      </c>
      <c r="B6" s="121" t="str">
        <f ca="1">IFERROR(__xludf.DUMMYFUNCTION("""COMPUTED_VALUE"""),"FR3998")</f>
        <v>FR3998</v>
      </c>
      <c r="C6" s="121" t="str">
        <f ca="1">IFERROR(__xludf.DUMMYFUNCTION("""COMPUTED_VALUE"""),"Suliman Hajizada")</f>
        <v>Suliman Hajizada</v>
      </c>
      <c r="D6" s="121" t="str">
        <f ca="1">IFERROR(__xludf.DUMMYFUNCTION("""COMPUTED_VALUE"""),"HER-JZJ-HF4362-Q2-2025-1097-01")</f>
        <v>HER-JZJ-HF4362-Q2-2025-1097-01</v>
      </c>
      <c r="E6" s="121" t="str">
        <f ca="1">IFERROR(__xludf.DUMMYFUNCTION("""COMPUTED_VALUE"""),"Jawzjan")</f>
        <v>Jawzjan</v>
      </c>
      <c r="F6" s="121" t="str">
        <f ca="1">IFERROR(__xludf.DUMMYFUNCTION("""COMPUTED_VALUE"""),"Sheberghaan")</f>
        <v>Sheberghaan</v>
      </c>
      <c r="G6" s="121" t="str">
        <f ca="1">IFERROR(__xludf.DUMMYFUNCTION("""COMPUTED_VALUE"""),"Mangoti SC (4362)")</f>
        <v>Mangoti SC (4362)</v>
      </c>
      <c r="H6" s="121" t="str">
        <f ca="1">IFERROR(__xludf.DUMMYFUNCTION("""COMPUTED_VALUE"""),"SHC")</f>
        <v>SHC</v>
      </c>
      <c r="I6" s="122">
        <f ca="1">IFERROR(__xludf.DUMMYFUNCTION("""COMPUTED_VALUE"""),14.6166666666666)</f>
        <v>14.6166666666666</v>
      </c>
      <c r="J6" s="123">
        <f ca="1">IFERROR(__xludf.DUMMYFUNCTION("""COMPUTED_VALUE"""),45960)</f>
        <v>45960</v>
      </c>
      <c r="K6" s="123">
        <f ca="1">IFERROR(__xludf.DUMMYFUNCTION("""COMPUTED_VALUE"""),45960)</f>
        <v>45960</v>
      </c>
      <c r="L6" s="121" t="str">
        <f ca="1">IFERROR(__xludf.DUMMYFUNCTION("""COMPUTED_VALUE"""),"Exit Interview 1")</f>
        <v>Exit Interview 1</v>
      </c>
      <c r="M6" s="121" t="str">
        <f ca="1">IFERROR(__xludf.DUMMYFUNCTION("""COMPUTED_VALUE"""),"Vignette")</f>
        <v>Vignette</v>
      </c>
      <c r="N6" s="121" t="str">
        <f ca="1">IFERROR(__xludf.DUMMYFUNCTION("""COMPUTED_VALUE"""),"N/A")</f>
        <v>N/A</v>
      </c>
      <c r="O6" s="121" t="str">
        <f ca="1">IFERROR(__xludf.DUMMYFUNCTION("""COMPUTED_VALUE"""),"No")</f>
        <v>No</v>
      </c>
      <c r="P6" s="121" t="str">
        <f ca="1">IFERROR(__xludf.DUMMYFUNCTION("""COMPUTED_VALUE""")," Voice of both sides is clear")</f>
        <v xml:space="preserve"> Voice of both sides is clear</v>
      </c>
      <c r="Q6" s="121" t="str">
        <f ca="1">IFERROR(__xludf.DUMMYFUNCTION("""COMPUTED_VALUE"""),"No Photo")</f>
        <v>No Photo</v>
      </c>
      <c r="R6" s="121" t="str">
        <f ca="1">IFERROR(__xludf.DUMMYFUNCTION("""COMPUTED_VALUE"""),"No")</f>
        <v>No</v>
      </c>
      <c r="S6" s="121"/>
      <c r="T6" s="121" t="str">
        <f ca="1">IFERROR(__xludf.DUMMYFUNCTION("""COMPUTED_VALUE"""),"Checked")</f>
        <v>Checked</v>
      </c>
      <c r="U6" s="121" t="str">
        <f ca="1">IFERROR(__xludf.DUMMYFUNCTION("""COMPUTED_VALUE"""),"No")</f>
        <v>No</v>
      </c>
      <c r="V6" s="121" t="str">
        <f ca="1">IFERROR(__xludf.DUMMYFUNCTION("""COMPUTED_VALUE"""),"Yes")</f>
        <v>Yes</v>
      </c>
      <c r="W6" s="121">
        <f ca="1">IFERROR(__xludf.DUMMYFUNCTION("""COMPUTED_VALUE"""),3)</f>
        <v>3</v>
      </c>
      <c r="X6" s="121" t="str">
        <f ca="1">IFERROR(__xludf.DUMMYFUNCTION("""COMPUTED_VALUE"""),"Abdullah Mohammadi")</f>
        <v>Abdullah Mohammadi</v>
      </c>
      <c r="Y6" s="124">
        <f ca="1">IFERROR(__xludf.DUMMYFUNCTION("""COMPUTED_VALUE"""),45962)</f>
        <v>45962</v>
      </c>
      <c r="Z6" s="121" t="str">
        <f ca="1">IFERROR(__xludf.DUMMYFUNCTION("""COMPUTED_VALUE"""),"Approved")</f>
        <v>Approved</v>
      </c>
      <c r="AA6" s="121"/>
      <c r="AB6" s="121" t="str">
        <f ca="1">IFERROR(__xludf.DUMMYFUNCTION("""COMPUTED_VALUE"""),"The surveyor interviewed with the female interviewee.")</f>
        <v>The surveyor interviewed with the female interviewee.</v>
      </c>
    </row>
    <row r="7" spans="1:44">
      <c r="A7" s="121" t="str">
        <f ca="1">IFERROR(__xludf.DUMMYFUNCTION("""COMPUTED_VALUE"""),"uuid:834bcefa-bff6-4f60-89a8-728e0a6fef62")</f>
        <v>uuid:834bcefa-bff6-4f60-89a8-728e0a6fef62</v>
      </c>
      <c r="B7" s="121" t="str">
        <f ca="1">IFERROR(__xludf.DUMMYFUNCTION("""COMPUTED_VALUE"""),"FR3127")</f>
        <v>FR3127</v>
      </c>
      <c r="C7" s="121" t="str">
        <f ca="1">IFERROR(__xludf.DUMMYFUNCTION("""COMPUTED_VALUE"""),"Rona Turk")</f>
        <v>Rona Turk</v>
      </c>
      <c r="D7" s="121" t="str">
        <f ca="1">IFERROR(__xludf.DUMMYFUNCTION("""COMPUTED_VALUE"""),"HER-JZJ-HF4362-Q2-2025-1097-01")</f>
        <v>HER-JZJ-HF4362-Q2-2025-1097-01</v>
      </c>
      <c r="E7" s="121" t="str">
        <f ca="1">IFERROR(__xludf.DUMMYFUNCTION("""COMPUTED_VALUE"""),"Jawzjan")</f>
        <v>Jawzjan</v>
      </c>
      <c r="F7" s="121" t="str">
        <f ca="1">IFERROR(__xludf.DUMMYFUNCTION("""COMPUTED_VALUE"""),"Sheberghaan")</f>
        <v>Sheberghaan</v>
      </c>
      <c r="G7" s="121" t="str">
        <f ca="1">IFERROR(__xludf.DUMMYFUNCTION("""COMPUTED_VALUE"""),"Mangoti SC (4362)")</f>
        <v>Mangoti SC (4362)</v>
      </c>
      <c r="H7" s="121" t="str">
        <f ca="1">IFERROR(__xludf.DUMMYFUNCTION("""COMPUTED_VALUE"""),"SHC")</f>
        <v>SHC</v>
      </c>
      <c r="I7" s="122">
        <f ca="1">IFERROR(__xludf.DUMMYFUNCTION("""COMPUTED_VALUE"""),26.8666666666666)</f>
        <v>26.8666666666666</v>
      </c>
      <c r="J7" s="123">
        <f ca="1">IFERROR(__xludf.DUMMYFUNCTION("""COMPUTED_VALUE"""),45959)</f>
        <v>45959</v>
      </c>
      <c r="K7" s="123">
        <f ca="1">IFERROR(__xludf.DUMMYFUNCTION("""COMPUTED_VALUE"""),45959)</f>
        <v>45959</v>
      </c>
      <c r="L7" s="121" t="str">
        <f ca="1">IFERROR(__xludf.DUMMYFUNCTION("""COMPUTED_VALUE"""),"Personnel (section 1)")</f>
        <v>Personnel (section 1)</v>
      </c>
      <c r="M7" s="121" t="str">
        <f ca="1">IFERROR(__xludf.DUMMYFUNCTION("""COMPUTED_VALUE"""),"Data Verification")</f>
        <v>Data Verification</v>
      </c>
      <c r="N7" s="121" t="str">
        <f ca="1">IFERROR(__xludf.DUMMYFUNCTION("""COMPUTED_VALUE"""),"Dari")</f>
        <v>Dari</v>
      </c>
      <c r="O7" s="121" t="str">
        <f ca="1">IFERROR(__xludf.DUMMYFUNCTION("""COMPUTED_VALUE"""),"No")</f>
        <v>No</v>
      </c>
      <c r="P7" s="121" t="str">
        <f ca="1">IFERROR(__xludf.DUMMYFUNCTION("""COMPUTED_VALUE""")," Voice of both sides is clear")</f>
        <v xml:space="preserve"> Voice of both sides is clear</v>
      </c>
      <c r="Q7" s="121" t="str">
        <f ca="1">IFERROR(__xludf.DUMMYFUNCTION("""COMPUTED_VALUE"""),"Yes/all")</f>
        <v>Yes/all</v>
      </c>
      <c r="R7" s="121" t="str">
        <f ca="1">IFERROR(__xludf.DUMMYFUNCTION("""COMPUTED_VALUE"""),"No")</f>
        <v>No</v>
      </c>
      <c r="S7" s="121"/>
      <c r="T7" s="121" t="str">
        <f ca="1">IFERROR(__xludf.DUMMYFUNCTION("""COMPUTED_VALUE"""),"Checked")</f>
        <v>Checked</v>
      </c>
      <c r="U7" s="121" t="str">
        <f ca="1">IFERROR(__xludf.DUMMYFUNCTION("""COMPUTED_VALUE"""),"No")</f>
        <v>No</v>
      </c>
      <c r="V7" s="121" t="str">
        <f ca="1">IFERROR(__xludf.DUMMYFUNCTION("""COMPUTED_VALUE"""),"No")</f>
        <v>No</v>
      </c>
      <c r="W7" s="121">
        <f ca="1">IFERROR(__xludf.DUMMYFUNCTION("""COMPUTED_VALUE"""),4)</f>
        <v>4</v>
      </c>
      <c r="X7" s="121" t="str">
        <f ca="1">IFERROR(__xludf.DUMMYFUNCTION("""COMPUTED_VALUE"""),"Abdullah Mohammadi")</f>
        <v>Abdullah Mohammadi</v>
      </c>
      <c r="Y7" s="124">
        <f ca="1">IFERROR(__xludf.DUMMYFUNCTION("""COMPUTED_VALUE"""),45962)</f>
        <v>45962</v>
      </c>
      <c r="Z7" s="121" t="str">
        <f ca="1">IFERROR(__xludf.DUMMYFUNCTION("""COMPUTED_VALUE"""),"Approved")</f>
        <v>Approved</v>
      </c>
      <c r="AA7" s="121"/>
      <c r="AB7" s="121"/>
    </row>
    <row r="8" spans="1:44">
      <c r="A8" s="121" t="str">
        <f ca="1">IFERROR(__xludf.DUMMYFUNCTION("""COMPUTED_VALUE"""),"uuid:09a75ddf-3a61-40b5-89cc-d72c66ad20c4")</f>
        <v>uuid:09a75ddf-3a61-40b5-89cc-d72c66ad20c4</v>
      </c>
      <c r="B8" s="121" t="str">
        <f ca="1">IFERROR(__xludf.DUMMYFUNCTION("""COMPUTED_VALUE"""),"FR3127")</f>
        <v>FR3127</v>
      </c>
      <c r="C8" s="121" t="str">
        <f ca="1">IFERROR(__xludf.DUMMYFUNCTION("""COMPUTED_VALUE"""),"Rona Turk")</f>
        <v>Rona Turk</v>
      </c>
      <c r="D8" s="121" t="str">
        <f ca="1">IFERROR(__xludf.DUMMYFUNCTION("""COMPUTED_VALUE"""),"HER-JZJ-HF4362-Q2-2025-1097-01")</f>
        <v>HER-JZJ-HF4362-Q2-2025-1097-01</v>
      </c>
      <c r="E8" s="121" t="str">
        <f ca="1">IFERROR(__xludf.DUMMYFUNCTION("""COMPUTED_VALUE"""),"Jawzjan")</f>
        <v>Jawzjan</v>
      </c>
      <c r="F8" s="121" t="str">
        <f ca="1">IFERROR(__xludf.DUMMYFUNCTION("""COMPUTED_VALUE"""),"Sheberghaan")</f>
        <v>Sheberghaan</v>
      </c>
      <c r="G8" s="121" t="str">
        <f ca="1">IFERROR(__xludf.DUMMYFUNCTION("""COMPUTED_VALUE"""),"Mangoti SC (4362)")</f>
        <v>Mangoti SC (4362)</v>
      </c>
      <c r="H8" s="121" t="str">
        <f ca="1">IFERROR(__xludf.DUMMYFUNCTION("""COMPUTED_VALUE"""),"SHC")</f>
        <v>SHC</v>
      </c>
      <c r="I8" s="122">
        <f ca="1">IFERROR(__xludf.DUMMYFUNCTION("""COMPUTED_VALUE"""),174.783333333333)</f>
        <v>174.78333333333299</v>
      </c>
      <c r="J8" s="123">
        <f ca="1">IFERROR(__xludf.DUMMYFUNCTION("""COMPUTED_VALUE"""),45959)</f>
        <v>45959</v>
      </c>
      <c r="K8" s="123">
        <f ca="1">IFERROR(__xludf.DUMMYFUNCTION("""COMPUTED_VALUE"""),45959)</f>
        <v>45959</v>
      </c>
      <c r="L8" s="121" t="str">
        <f ca="1">IFERROR(__xludf.DUMMYFUNCTION("""COMPUTED_VALUE"""),"Equipments (section 4)")</f>
        <v>Equipments (section 4)</v>
      </c>
      <c r="M8" s="121" t="str">
        <f ca="1">IFERROR(__xludf.DUMMYFUNCTION("""COMPUTED_VALUE"""),"Data Verification")</f>
        <v>Data Verification</v>
      </c>
      <c r="N8" s="121" t="str">
        <f ca="1">IFERROR(__xludf.DUMMYFUNCTION("""COMPUTED_VALUE"""),"Dari")</f>
        <v>Dari</v>
      </c>
      <c r="O8" s="121" t="str">
        <f ca="1">IFERROR(__xludf.DUMMYFUNCTION("""COMPUTED_VALUE"""),"No")</f>
        <v>No</v>
      </c>
      <c r="P8" s="121" t="str">
        <f ca="1">IFERROR(__xludf.DUMMYFUNCTION("""COMPUTED_VALUE""")," Voice of both sides is clear")</f>
        <v xml:space="preserve"> Voice of both sides is clear</v>
      </c>
      <c r="Q8" s="121" t="str">
        <f ca="1">IFERROR(__xludf.DUMMYFUNCTION("""COMPUTED_VALUE"""),"Yes/Some")</f>
        <v>Yes/Some</v>
      </c>
      <c r="R8" s="121" t="str">
        <f ca="1">IFERROR(__xludf.DUMMYFUNCTION("""COMPUTED_VALUE"""),"Yes")</f>
        <v>Yes</v>
      </c>
      <c r="S8" s="121" t="str">
        <f ca="1">IFERROR(__xludf.DUMMYFUNCTION("""COMPUTED_VALUE"""),"Yes")</f>
        <v>Yes</v>
      </c>
      <c r="T8" s="121" t="str">
        <f ca="1">IFERROR(__xludf.DUMMYFUNCTION("""COMPUTED_VALUE"""),"Checked")</f>
        <v>Checked</v>
      </c>
      <c r="U8" s="121" t="str">
        <f ca="1">IFERROR(__xludf.DUMMYFUNCTION("""COMPUTED_VALUE"""),"No")</f>
        <v>No</v>
      </c>
      <c r="V8" s="121" t="str">
        <f ca="1">IFERROR(__xludf.DUMMYFUNCTION("""COMPUTED_VALUE"""),"Yes")</f>
        <v>Yes</v>
      </c>
      <c r="W8" s="121">
        <f ca="1">IFERROR(__xludf.DUMMYFUNCTION("""COMPUTED_VALUE"""),3)</f>
        <v>3</v>
      </c>
      <c r="X8" s="121" t="str">
        <f ca="1">IFERROR(__xludf.DUMMYFUNCTION("""COMPUTED_VALUE"""),"Abdullah Mohammadi")</f>
        <v>Abdullah Mohammadi</v>
      </c>
      <c r="Y8" s="124">
        <f ca="1">IFERROR(__xludf.DUMMYFUNCTION("""COMPUTED_VALUE"""),45963)</f>
        <v>45963</v>
      </c>
      <c r="Z8" s="121" t="str">
        <f ca="1">IFERROR(__xludf.DUMMYFUNCTION("""COMPUTED_VALUE"""),"Approved")</f>
        <v>Approved</v>
      </c>
      <c r="AA8" s="121"/>
      <c r="AB8" s="121"/>
    </row>
    <row r="9" spans="1:44">
      <c r="A9" s="121" t="str">
        <f ca="1">IFERROR(__xludf.DUMMYFUNCTION("""COMPUTED_VALUE"""),"uuid:f8b6c8c0-77e1-4b55-8c97-7d6bcd18129e")</f>
        <v>uuid:f8b6c8c0-77e1-4b55-8c97-7d6bcd18129e</v>
      </c>
      <c r="B9" s="121" t="str">
        <f ca="1">IFERROR(__xludf.DUMMYFUNCTION("""COMPUTED_VALUE"""),"FR3998")</f>
        <v>FR3998</v>
      </c>
      <c r="C9" s="121" t="str">
        <f ca="1">IFERROR(__xludf.DUMMYFUNCTION("""COMPUTED_VALUE"""),"Suliman Hajizada")</f>
        <v>Suliman Hajizada</v>
      </c>
      <c r="D9" s="121" t="str">
        <f ca="1">IFERROR(__xludf.DUMMYFUNCTION("""COMPUTED_VALUE"""),"HER-JZJ-HF4362-Q2-2025-1097-01")</f>
        <v>HER-JZJ-HF4362-Q2-2025-1097-01</v>
      </c>
      <c r="E9" s="121" t="str">
        <f ca="1">IFERROR(__xludf.DUMMYFUNCTION("""COMPUTED_VALUE"""),"Jawzjan")</f>
        <v>Jawzjan</v>
      </c>
      <c r="F9" s="121" t="str">
        <f ca="1">IFERROR(__xludf.DUMMYFUNCTION("""COMPUTED_VALUE"""),"Sheberghaan")</f>
        <v>Sheberghaan</v>
      </c>
      <c r="G9" s="121" t="str">
        <f ca="1">IFERROR(__xludf.DUMMYFUNCTION("""COMPUTED_VALUE"""),"Mangoti SC (4362)")</f>
        <v>Mangoti SC (4362)</v>
      </c>
      <c r="H9" s="121" t="str">
        <f ca="1">IFERROR(__xludf.DUMMYFUNCTION("""COMPUTED_VALUE"""),"SHC")</f>
        <v>SHC</v>
      </c>
      <c r="I9" s="122">
        <f ca="1">IFERROR(__xludf.DUMMYFUNCTION("""COMPUTED_VALUE"""),257.733333333333)</f>
        <v>257.73333333333301</v>
      </c>
      <c r="J9" s="123">
        <f ca="1">IFERROR(__xludf.DUMMYFUNCTION("""COMPUTED_VALUE"""),45959)</f>
        <v>45959</v>
      </c>
      <c r="K9" s="123">
        <f ca="1">IFERROR(__xludf.DUMMYFUNCTION("""COMPUTED_VALUE"""),45959)</f>
        <v>45959</v>
      </c>
      <c r="L9" s="121" t="str">
        <f ca="1">IFERROR(__xludf.DUMMYFUNCTION("""COMPUTED_VALUE"""),"Medicine (section 2)")</f>
        <v>Medicine (section 2)</v>
      </c>
      <c r="M9" s="121" t="str">
        <f ca="1">IFERROR(__xludf.DUMMYFUNCTION("""COMPUTED_VALUE"""),"Data Verification")</f>
        <v>Data Verification</v>
      </c>
      <c r="N9" s="121" t="str">
        <f ca="1">IFERROR(__xludf.DUMMYFUNCTION("""COMPUTED_VALUE"""),"Dari")</f>
        <v>Dari</v>
      </c>
      <c r="O9" s="121"/>
      <c r="P9" s="121" t="str">
        <f ca="1">IFERROR(__xludf.DUMMYFUNCTION("""COMPUTED_VALUE""")," Voice of both sides is clear")</f>
        <v xml:space="preserve"> Voice of both sides is clear</v>
      </c>
      <c r="Q9" s="121" t="str">
        <f ca="1">IFERROR(__xludf.DUMMYFUNCTION("""COMPUTED_VALUE"""),"Yes/Some")</f>
        <v>Yes/Some</v>
      </c>
      <c r="R9" s="121" t="str">
        <f ca="1">IFERROR(__xludf.DUMMYFUNCTION("""COMPUTED_VALUE"""),"Yes")</f>
        <v>Yes</v>
      </c>
      <c r="S9" s="121" t="str">
        <f ca="1">IFERROR(__xludf.DUMMYFUNCTION("""COMPUTED_VALUE"""),"Yes")</f>
        <v>Yes</v>
      </c>
      <c r="T9" s="121" t="str">
        <f ca="1">IFERROR(__xludf.DUMMYFUNCTION("""COMPUTED_VALUE"""),"Checked")</f>
        <v>Checked</v>
      </c>
      <c r="U9" s="121" t="str">
        <f ca="1">IFERROR(__xludf.DUMMYFUNCTION("""COMPUTED_VALUE"""),"No")</f>
        <v>No</v>
      </c>
      <c r="V9" s="121" t="str">
        <f ca="1">IFERROR(__xludf.DUMMYFUNCTION("""COMPUTED_VALUE"""),"Yes")</f>
        <v>Yes</v>
      </c>
      <c r="W9" s="121">
        <f ca="1">IFERROR(__xludf.DUMMYFUNCTION("""COMPUTED_VALUE"""),3)</f>
        <v>3</v>
      </c>
      <c r="X9" s="121" t="str">
        <f ca="1">IFERROR(__xludf.DUMMYFUNCTION("""COMPUTED_VALUE"""),"Mahdia Stanikzai")</f>
        <v>Mahdia Stanikzai</v>
      </c>
      <c r="Y9" s="124">
        <f ca="1">IFERROR(__xludf.DUMMYFUNCTION("""COMPUTED_VALUE"""),45963)</f>
        <v>45963</v>
      </c>
      <c r="Z9" s="121" t="str">
        <f ca="1">IFERROR(__xludf.DUMMYFUNCTION("""COMPUTED_VALUE"""),"Approved")</f>
        <v>Approved</v>
      </c>
      <c r="AA9" s="121"/>
      <c r="AB9" s="121"/>
    </row>
    <row r="10" spans="1:44">
      <c r="A10" s="121" t="str">
        <f ca="1">IFERROR(__xludf.DUMMYFUNCTION("""COMPUTED_VALUE"""),"uuid:97138807-60fe-431d-a5fc-b6468cf3e29c")</f>
        <v>uuid:97138807-60fe-431d-a5fc-b6468cf3e29c</v>
      </c>
      <c r="B10" s="121" t="str">
        <f ca="1">IFERROR(__xludf.DUMMYFUNCTION("""COMPUTED_VALUE"""),"FR3998")</f>
        <v>FR3998</v>
      </c>
      <c r="C10" s="121" t="str">
        <f ca="1">IFERROR(__xludf.DUMMYFUNCTION("""COMPUTED_VALUE"""),"Suliman Hajizada")</f>
        <v>Suliman Hajizada</v>
      </c>
      <c r="D10" s="121" t="str">
        <f ca="1">IFERROR(__xludf.DUMMYFUNCTION("""COMPUTED_VALUE"""),"HER-JZJ-HF4362-Q2-2025-1097-01")</f>
        <v>HER-JZJ-HF4362-Q2-2025-1097-01</v>
      </c>
      <c r="E10" s="121" t="str">
        <f ca="1">IFERROR(__xludf.DUMMYFUNCTION("""COMPUTED_VALUE"""),"Jawzjan")</f>
        <v>Jawzjan</v>
      </c>
      <c r="F10" s="121" t="str">
        <f ca="1">IFERROR(__xludf.DUMMYFUNCTION("""COMPUTED_VALUE"""),"Sheberghaan")</f>
        <v>Sheberghaan</v>
      </c>
      <c r="G10" s="121" t="str">
        <f ca="1">IFERROR(__xludf.DUMMYFUNCTION("""COMPUTED_VALUE"""),"Mangoti SC (4362)")</f>
        <v>Mangoti SC (4362)</v>
      </c>
      <c r="H10" s="121" t="str">
        <f ca="1">IFERROR(__xludf.DUMMYFUNCTION("""COMPUTED_VALUE"""),"SHC")</f>
        <v>SHC</v>
      </c>
      <c r="I10" s="122">
        <f ca="1">IFERROR(__xludf.DUMMYFUNCTION("""COMPUTED_VALUE"""),6.41666666666666)</f>
        <v>6.4166666666666599</v>
      </c>
      <c r="J10" s="123">
        <f ca="1">IFERROR(__xludf.DUMMYFUNCTION("""COMPUTED_VALUE"""),45960)</f>
        <v>45960</v>
      </c>
      <c r="K10" s="123">
        <f ca="1">IFERROR(__xludf.DUMMYFUNCTION("""COMPUTED_VALUE"""),45960)</f>
        <v>45960</v>
      </c>
      <c r="L10" s="121" t="str">
        <f ca="1">IFERROR(__xludf.DUMMYFUNCTION("""COMPUTED_VALUE"""),"Other than P4P (section 6)")</f>
        <v>Other than P4P (section 6)</v>
      </c>
      <c r="M10" s="121" t="str">
        <f ca="1">IFERROR(__xludf.DUMMYFUNCTION("""COMPUTED_VALUE"""),"Data Verification")</f>
        <v>Data Verification</v>
      </c>
      <c r="N10" s="121" t="str">
        <f ca="1">IFERROR(__xludf.DUMMYFUNCTION("""COMPUTED_VALUE"""),"Dari")</f>
        <v>Dari</v>
      </c>
      <c r="O10" s="121"/>
      <c r="P10" s="121" t="str">
        <f ca="1">IFERROR(__xludf.DUMMYFUNCTION("""COMPUTED_VALUE""")," Voice of both sides is clear")</f>
        <v xml:space="preserve"> Voice of both sides is clear</v>
      </c>
      <c r="Q10" s="121" t="str">
        <f ca="1">IFERROR(__xludf.DUMMYFUNCTION("""COMPUTED_VALUE"""),"Yes/all")</f>
        <v>Yes/all</v>
      </c>
      <c r="R10" s="121" t="str">
        <f ca="1">IFERROR(__xludf.DUMMYFUNCTION("""COMPUTED_VALUE"""),"No")</f>
        <v>No</v>
      </c>
      <c r="S10" s="121"/>
      <c r="T10" s="121" t="str">
        <f ca="1">IFERROR(__xludf.DUMMYFUNCTION("""COMPUTED_VALUE"""),"Checked")</f>
        <v>Checked</v>
      </c>
      <c r="U10" s="121" t="str">
        <f ca="1">IFERROR(__xludf.DUMMYFUNCTION("""COMPUTED_VALUE"""),"No")</f>
        <v>No</v>
      </c>
      <c r="V10" s="121" t="str">
        <f ca="1">IFERROR(__xludf.DUMMYFUNCTION("""COMPUTED_VALUE"""),"No")</f>
        <v>No</v>
      </c>
      <c r="W10" s="121">
        <f ca="1">IFERROR(__xludf.DUMMYFUNCTION("""COMPUTED_VALUE"""),4)</f>
        <v>4</v>
      </c>
      <c r="X10" s="121" t="str">
        <f ca="1">IFERROR(__xludf.DUMMYFUNCTION("""COMPUTED_VALUE"""),"Mahdia Stanikzai")</f>
        <v>Mahdia Stanikzai</v>
      </c>
      <c r="Y10" s="124">
        <f ca="1">IFERROR(__xludf.DUMMYFUNCTION("""COMPUTED_VALUE"""),45963)</f>
        <v>45963</v>
      </c>
      <c r="Z10" s="121" t="str">
        <f ca="1">IFERROR(__xludf.DUMMYFUNCTION("""COMPUTED_VALUE"""),"Approved")</f>
        <v>Approved</v>
      </c>
      <c r="AA10" s="121"/>
      <c r="AB10" s="121"/>
    </row>
    <row r="11" spans="1:44">
      <c r="A11" s="121" t="str">
        <f ca="1">IFERROR(__xludf.DUMMYFUNCTION("""COMPUTED_VALUE"""),"uuid:c51cc62d-c25d-432e-84fe-5d98bb3d20d8")</f>
        <v>uuid:c51cc62d-c25d-432e-84fe-5d98bb3d20d8</v>
      </c>
      <c r="B11" s="121" t="str">
        <f ca="1">IFERROR(__xludf.DUMMYFUNCTION("""COMPUTED_VALUE"""),"FR3691")</f>
        <v>FR3691</v>
      </c>
      <c r="C11" s="121" t="str">
        <f ca="1">IFERROR(__xludf.DUMMYFUNCTION("""COMPUTED_VALUE"""),"Adil Ahsas")</f>
        <v>Adil Ahsas</v>
      </c>
      <c r="D11" s="121" t="str">
        <f ca="1">IFERROR(__xludf.DUMMYFUNCTION("""COMPUTED_VALUE"""),"HER-PKA-HF1630-Q2-2025-1189-01")</f>
        <v>HER-PKA-HF1630-Q2-2025-1189-01</v>
      </c>
      <c r="E11" s="121" t="str">
        <f ca="1">IFERROR(__xludf.DUMMYFUNCTION("""COMPUTED_VALUE"""),"Paktika")</f>
        <v>Paktika</v>
      </c>
      <c r="F11" s="121" t="str">
        <f ca="1">IFERROR(__xludf.DUMMYFUNCTION("""COMPUTED_VALUE"""),"Zarghoon Shahr")</f>
        <v>Zarghoon Shahr</v>
      </c>
      <c r="G11" s="121" t="str">
        <f ca="1">IFERROR(__xludf.DUMMYFUNCTION("""COMPUTED_VALUE"""),"Bakkhel Clinic (1630)")</f>
        <v>Bakkhel Clinic (1630)</v>
      </c>
      <c r="H11" s="121" t="str">
        <f ca="1">IFERROR(__xludf.DUMMYFUNCTION("""COMPUTED_VALUE"""),"BHC")</f>
        <v>BHC</v>
      </c>
      <c r="I11" s="122">
        <f ca="1">IFERROR(__xludf.DUMMYFUNCTION("""COMPUTED_VALUE"""),48.4666666666666)</f>
        <v>48.466666666666598</v>
      </c>
      <c r="J11" s="123">
        <f ca="1">IFERROR(__xludf.DUMMYFUNCTION("""COMPUTED_VALUE"""),45960)</f>
        <v>45960</v>
      </c>
      <c r="K11" s="123">
        <f ca="1">IFERROR(__xludf.DUMMYFUNCTION("""COMPUTED_VALUE"""),45960)</f>
        <v>45960</v>
      </c>
      <c r="L11" s="121" t="str">
        <f ca="1">IFERROR(__xludf.DUMMYFUNCTION("""COMPUTED_VALUE"""),"1. General Management")</f>
        <v>1. General Management</v>
      </c>
      <c r="M11" s="121" t="str">
        <f ca="1">IFERROR(__xludf.DUMMYFUNCTION("""COMPUTED_VALUE"""),"QQC")</f>
        <v>QQC</v>
      </c>
      <c r="N11" s="121" t="str">
        <f ca="1">IFERROR(__xludf.DUMMYFUNCTION("""COMPUTED_VALUE"""),"Pashto")</f>
        <v>Pashto</v>
      </c>
      <c r="O11" s="121"/>
      <c r="P11" s="121" t="str">
        <f ca="1">IFERROR(__xludf.DUMMYFUNCTION("""COMPUTED_VALUE""")," Voice of both sides is clear")</f>
        <v xml:space="preserve"> Voice of both sides is clear</v>
      </c>
      <c r="Q11" s="121" t="str">
        <f ca="1">IFERROR(__xludf.DUMMYFUNCTION("""COMPUTED_VALUE"""),"Yes/all")</f>
        <v>Yes/all</v>
      </c>
      <c r="R11" s="121" t="str">
        <f ca="1">IFERROR(__xludf.DUMMYFUNCTION("""COMPUTED_VALUE"""),"No")</f>
        <v>No</v>
      </c>
      <c r="S11" s="121"/>
      <c r="T11" s="121" t="str">
        <f ca="1">IFERROR(__xludf.DUMMYFUNCTION("""COMPUTED_VALUE"""),"Checked")</f>
        <v>Checked</v>
      </c>
      <c r="U11" s="121" t="str">
        <f ca="1">IFERROR(__xludf.DUMMYFUNCTION("""COMPUTED_VALUE"""),"No")</f>
        <v>No</v>
      </c>
      <c r="V11" s="121" t="str">
        <f ca="1">IFERROR(__xludf.DUMMYFUNCTION("""COMPUTED_VALUE"""),"No")</f>
        <v>No</v>
      </c>
      <c r="W11" s="121">
        <f ca="1">IFERROR(__xludf.DUMMYFUNCTION("""COMPUTED_VALUE"""),4)</f>
        <v>4</v>
      </c>
      <c r="X11" s="121" t="str">
        <f ca="1">IFERROR(__xludf.DUMMYFUNCTION("""COMPUTED_VALUE"""),"Mahdia Stanikzai")</f>
        <v>Mahdia Stanikzai</v>
      </c>
      <c r="Y11" s="124">
        <f ca="1">IFERROR(__xludf.DUMMYFUNCTION("""COMPUTED_VALUE"""),45963)</f>
        <v>45963</v>
      </c>
      <c r="Z11" s="121" t="str">
        <f ca="1">IFERROR(__xludf.DUMMYFUNCTION("""COMPUTED_VALUE"""),"Approved")</f>
        <v>Approved</v>
      </c>
      <c r="AA11" s="121"/>
      <c r="AB11" s="121"/>
    </row>
    <row r="12" spans="1:44">
      <c r="A12" s="121" t="str">
        <f ca="1">IFERROR(__xludf.DUMMYFUNCTION("""COMPUTED_VALUE"""),"uuid:7f6479f4-5d12-4f13-a6b4-3cfc5e6fe479")</f>
        <v>uuid:7f6479f4-5d12-4f13-a6b4-3cfc5e6fe479</v>
      </c>
      <c r="B12" s="121" t="str">
        <f ca="1">IFERROR(__xludf.DUMMYFUNCTION("""COMPUTED_VALUE"""),"FR3691")</f>
        <v>FR3691</v>
      </c>
      <c r="C12" s="121" t="str">
        <f ca="1">IFERROR(__xludf.DUMMYFUNCTION("""COMPUTED_VALUE"""),"Adil Ahsas")</f>
        <v>Adil Ahsas</v>
      </c>
      <c r="D12" s="121" t="str">
        <f ca="1">IFERROR(__xludf.DUMMYFUNCTION("""COMPUTED_VALUE"""),"HER-PKA-HF1630-Q2-2025-1189-01")</f>
        <v>HER-PKA-HF1630-Q2-2025-1189-01</v>
      </c>
      <c r="E12" s="121" t="str">
        <f ca="1">IFERROR(__xludf.DUMMYFUNCTION("""COMPUTED_VALUE"""),"Paktika")</f>
        <v>Paktika</v>
      </c>
      <c r="F12" s="121" t="str">
        <f ca="1">IFERROR(__xludf.DUMMYFUNCTION("""COMPUTED_VALUE"""),"Zarghoon Shahr")</f>
        <v>Zarghoon Shahr</v>
      </c>
      <c r="G12" s="121" t="str">
        <f ca="1">IFERROR(__xludf.DUMMYFUNCTION("""COMPUTED_VALUE"""),"Bakkhel Clinic (1630)")</f>
        <v>Bakkhel Clinic (1630)</v>
      </c>
      <c r="H12" s="121" t="str">
        <f ca="1">IFERROR(__xludf.DUMMYFUNCTION("""COMPUTED_VALUE"""),"BHC")</f>
        <v>BHC</v>
      </c>
      <c r="I12" s="122">
        <f ca="1">IFERROR(__xludf.DUMMYFUNCTION("""COMPUTED_VALUE"""),26.2833333333333)</f>
        <v>26.283333333333299</v>
      </c>
      <c r="J12" s="123">
        <f ca="1">IFERROR(__xludf.DUMMYFUNCTION("""COMPUTED_VALUE"""),45960)</f>
        <v>45960</v>
      </c>
      <c r="K12" s="123">
        <f ca="1">IFERROR(__xludf.DUMMYFUNCTION("""COMPUTED_VALUE"""),45960)</f>
        <v>45960</v>
      </c>
      <c r="L12" s="121" t="str">
        <f ca="1">IFERROR(__xludf.DUMMYFUNCTION("""COMPUTED_VALUE"""),"5. Laboratory")</f>
        <v>5. Laboratory</v>
      </c>
      <c r="M12" s="121" t="str">
        <f ca="1">IFERROR(__xludf.DUMMYFUNCTION("""COMPUTED_VALUE"""),"QQC")</f>
        <v>QQC</v>
      </c>
      <c r="N12" s="121" t="str">
        <f ca="1">IFERROR(__xludf.DUMMYFUNCTION("""COMPUTED_VALUE"""),"Pashto")</f>
        <v>Pashto</v>
      </c>
      <c r="O12" s="121"/>
      <c r="P12" s="121" t="str">
        <f ca="1">IFERROR(__xludf.DUMMYFUNCTION("""COMPUTED_VALUE""")," Voice of both sides is clear")</f>
        <v xml:space="preserve"> Voice of both sides is clear</v>
      </c>
      <c r="Q12" s="121" t="str">
        <f ca="1">IFERROR(__xludf.DUMMYFUNCTION("""COMPUTED_VALUE"""),"Yes/Some")</f>
        <v>Yes/Some</v>
      </c>
      <c r="R12" s="121" t="str">
        <f ca="1">IFERROR(__xludf.DUMMYFUNCTION("""COMPUTED_VALUE"""),"No")</f>
        <v>No</v>
      </c>
      <c r="S12" s="121"/>
      <c r="T12" s="121" t="str">
        <f ca="1">IFERROR(__xludf.DUMMYFUNCTION("""COMPUTED_VALUE"""),"Checked")</f>
        <v>Checked</v>
      </c>
      <c r="U12" s="121" t="str">
        <f ca="1">IFERROR(__xludf.DUMMYFUNCTION("""COMPUTED_VALUE"""),"No")</f>
        <v>No</v>
      </c>
      <c r="V12" s="121" t="str">
        <f ca="1">IFERROR(__xludf.DUMMYFUNCTION("""COMPUTED_VALUE"""),"No")</f>
        <v>No</v>
      </c>
      <c r="W12" s="121">
        <f ca="1">IFERROR(__xludf.DUMMYFUNCTION("""COMPUTED_VALUE"""),3)</f>
        <v>3</v>
      </c>
      <c r="X12" s="121" t="str">
        <f ca="1">IFERROR(__xludf.DUMMYFUNCTION("""COMPUTED_VALUE"""),"Mahdia Stanikzai")</f>
        <v>Mahdia Stanikzai</v>
      </c>
      <c r="Y12" s="124">
        <f ca="1">IFERROR(__xludf.DUMMYFUNCTION("""COMPUTED_VALUE"""),45963)</f>
        <v>45963</v>
      </c>
      <c r="Z12" s="121" t="str">
        <f ca="1">IFERROR(__xludf.DUMMYFUNCTION("""COMPUTED_VALUE"""),"Approved")</f>
        <v>Approved</v>
      </c>
      <c r="AA12" s="121"/>
      <c r="AB12" s="121"/>
    </row>
    <row r="13" spans="1:44">
      <c r="A13" s="121" t="str">
        <f ca="1">IFERROR(__xludf.DUMMYFUNCTION("""COMPUTED_VALUE"""),"uuid:82c0844a-1ffb-4e0d-8120-27152ab200e2")</f>
        <v>uuid:82c0844a-1ffb-4e0d-8120-27152ab200e2</v>
      </c>
      <c r="B13" s="121" t="str">
        <f ca="1">IFERROR(__xludf.DUMMYFUNCTION("""COMPUTED_VALUE"""),"FR3691")</f>
        <v>FR3691</v>
      </c>
      <c r="C13" s="121" t="str">
        <f ca="1">IFERROR(__xludf.DUMMYFUNCTION("""COMPUTED_VALUE"""),"Adil Ahsas")</f>
        <v>Adil Ahsas</v>
      </c>
      <c r="D13" s="121" t="str">
        <f ca="1">IFERROR(__xludf.DUMMYFUNCTION("""COMPUTED_VALUE"""),"HER-PKA-HF1630-Q2-2025-1189-01")</f>
        <v>HER-PKA-HF1630-Q2-2025-1189-01</v>
      </c>
      <c r="E13" s="121" t="str">
        <f ca="1">IFERROR(__xludf.DUMMYFUNCTION("""COMPUTED_VALUE"""),"Paktika")</f>
        <v>Paktika</v>
      </c>
      <c r="F13" s="121" t="str">
        <f ca="1">IFERROR(__xludf.DUMMYFUNCTION("""COMPUTED_VALUE"""),"Zarghoon Shahr")</f>
        <v>Zarghoon Shahr</v>
      </c>
      <c r="G13" s="121" t="str">
        <f ca="1">IFERROR(__xludf.DUMMYFUNCTION("""COMPUTED_VALUE"""),"Bakkhel Clinic (1630)")</f>
        <v>Bakkhel Clinic (1630)</v>
      </c>
      <c r="H13" s="121" t="str">
        <f ca="1">IFERROR(__xludf.DUMMYFUNCTION("""COMPUTED_VALUE"""),"BHC")</f>
        <v>BHC</v>
      </c>
      <c r="I13" s="122">
        <f ca="1">IFERROR(__xludf.DUMMYFUNCTION("""COMPUTED_VALUE"""),115.866666666666)</f>
        <v>115.86666666666601</v>
      </c>
      <c r="J13" s="123">
        <f ca="1">IFERROR(__xludf.DUMMYFUNCTION("""COMPUTED_VALUE"""),45960)</f>
        <v>45960</v>
      </c>
      <c r="K13" s="123">
        <f ca="1">IFERROR(__xludf.DUMMYFUNCTION("""COMPUTED_VALUE"""),45960)</f>
        <v>45960</v>
      </c>
      <c r="L13" s="121" t="str">
        <f ca="1">IFERROR(__xludf.DUMMYFUNCTION("""COMPUTED_VALUE"""),"3. Curative Consultation (OPD)")</f>
        <v>3. Curative Consultation (OPD)</v>
      </c>
      <c r="M13" s="121" t="str">
        <f ca="1">IFERROR(__xludf.DUMMYFUNCTION("""COMPUTED_VALUE"""),"QQC")</f>
        <v>QQC</v>
      </c>
      <c r="N13" s="121" t="str">
        <f ca="1">IFERROR(__xludf.DUMMYFUNCTION("""COMPUTED_VALUE"""),"Pashto")</f>
        <v>Pashto</v>
      </c>
      <c r="O13" s="121"/>
      <c r="P13" s="121" t="str">
        <f ca="1">IFERROR(__xludf.DUMMYFUNCTION("""COMPUTED_VALUE""")," Voice of both sides is clear")</f>
        <v xml:space="preserve"> Voice of both sides is clear</v>
      </c>
      <c r="Q13" s="121" t="str">
        <f ca="1">IFERROR(__xludf.DUMMYFUNCTION("""COMPUTED_VALUE"""),"Yes/all")</f>
        <v>Yes/all</v>
      </c>
      <c r="R13" s="121" t="str">
        <f ca="1">IFERROR(__xludf.DUMMYFUNCTION("""COMPUTED_VALUE"""),"No")</f>
        <v>No</v>
      </c>
      <c r="S13" s="121"/>
      <c r="T13" s="121" t="str">
        <f ca="1">IFERROR(__xludf.DUMMYFUNCTION("""COMPUTED_VALUE"""),"Checked")</f>
        <v>Checked</v>
      </c>
      <c r="U13" s="121" t="str">
        <f ca="1">IFERROR(__xludf.DUMMYFUNCTION("""COMPUTED_VALUE"""),"No")</f>
        <v>No</v>
      </c>
      <c r="V13" s="121" t="str">
        <f ca="1">IFERROR(__xludf.DUMMYFUNCTION("""COMPUTED_VALUE"""),"Yes")</f>
        <v>Yes</v>
      </c>
      <c r="W13" s="121">
        <f ca="1">IFERROR(__xludf.DUMMYFUNCTION("""COMPUTED_VALUE"""),4)</f>
        <v>4</v>
      </c>
      <c r="X13" s="121" t="str">
        <f ca="1">IFERROR(__xludf.DUMMYFUNCTION("""COMPUTED_VALUE"""),"Najma Kohi")</f>
        <v>Najma Kohi</v>
      </c>
      <c r="Y13" s="124">
        <f ca="1">IFERROR(__xludf.DUMMYFUNCTION("""COMPUTED_VALUE"""),45964)</f>
        <v>45964</v>
      </c>
      <c r="Z13" s="121" t="str">
        <f ca="1">IFERROR(__xludf.DUMMYFUNCTION("""COMPUTED_VALUE"""),"Approved")</f>
        <v>Approved</v>
      </c>
      <c r="AA13" s="121"/>
      <c r="AB13" s="121" t="str">
        <f ca="1">IFERROR(__xludf.DUMMYFUNCTION("""COMPUTED_VALUE"""),"Determination of nutritional status of all children under 5 who come for a consultation is missed bc no child was present")</f>
        <v>Determination of nutritional status of all children under 5 who come for a consultation is missed bc no child was present</v>
      </c>
    </row>
    <row r="14" spans="1:44">
      <c r="A14" s="121" t="str">
        <f ca="1">IFERROR(__xludf.DUMMYFUNCTION("""COMPUTED_VALUE"""),"uuid:8db9c80b-9761-4e84-8a39-ac7eef08623c")</f>
        <v>uuid:8db9c80b-9761-4e84-8a39-ac7eef08623c</v>
      </c>
      <c r="B14" s="121" t="str">
        <f ca="1">IFERROR(__xludf.DUMMYFUNCTION("""COMPUTED_VALUE"""),"FR3127")</f>
        <v>FR3127</v>
      </c>
      <c r="C14" s="121" t="str">
        <f ca="1">IFERROR(__xludf.DUMMYFUNCTION("""COMPUTED_VALUE"""),"Rona Turk")</f>
        <v>Rona Turk</v>
      </c>
      <c r="D14" s="121" t="str">
        <f ca="1">IFERROR(__xludf.DUMMYFUNCTION("""COMPUTED_VALUE"""),"HER-JZJ-HF4362-Q2-2025-1097-01")</f>
        <v>HER-JZJ-HF4362-Q2-2025-1097-01</v>
      </c>
      <c r="E14" s="121" t="str">
        <f ca="1">IFERROR(__xludf.DUMMYFUNCTION("""COMPUTED_VALUE"""),"Jawzjan")</f>
        <v>Jawzjan</v>
      </c>
      <c r="F14" s="121" t="str">
        <f ca="1">IFERROR(__xludf.DUMMYFUNCTION("""COMPUTED_VALUE"""),"Sheberghaan")</f>
        <v>Sheberghaan</v>
      </c>
      <c r="G14" s="121" t="str">
        <f ca="1">IFERROR(__xludf.DUMMYFUNCTION("""COMPUTED_VALUE"""),"Mangoti SC (4362)")</f>
        <v>Mangoti SC (4362)</v>
      </c>
      <c r="H14" s="121" t="str">
        <f ca="1">IFERROR(__xludf.DUMMYFUNCTION("""COMPUTED_VALUE"""),"SHC")</f>
        <v>SHC</v>
      </c>
      <c r="I14" s="122">
        <f ca="1">IFERROR(__xludf.DUMMYFUNCTION("""COMPUTED_VALUE"""),68.4)</f>
        <v>68.400000000000006</v>
      </c>
      <c r="J14" s="123">
        <f ca="1">IFERROR(__xludf.DUMMYFUNCTION("""COMPUTED_VALUE"""),45960)</f>
        <v>45960</v>
      </c>
      <c r="K14" s="123">
        <f ca="1">IFERROR(__xludf.DUMMYFUNCTION("""COMPUTED_VALUE"""),45960)</f>
        <v>45960</v>
      </c>
      <c r="L14" s="121" t="str">
        <f ca="1">IFERROR(__xludf.DUMMYFUNCTION("""COMPUTED_VALUE"""),"Consumable (section 3)")</f>
        <v>Consumable (section 3)</v>
      </c>
      <c r="M14" s="121" t="str">
        <f ca="1">IFERROR(__xludf.DUMMYFUNCTION("""COMPUTED_VALUE"""),"Data Verification")</f>
        <v>Data Verification</v>
      </c>
      <c r="N14" s="121" t="str">
        <f ca="1">IFERROR(__xludf.DUMMYFUNCTION("""COMPUTED_VALUE"""),"Dari")</f>
        <v>Dari</v>
      </c>
      <c r="O14" s="121" t="str">
        <f ca="1">IFERROR(__xludf.DUMMYFUNCTION("""COMPUTED_VALUE"""),"No")</f>
        <v>No</v>
      </c>
      <c r="P14" s="121" t="str">
        <f ca="1">IFERROR(__xludf.DUMMYFUNCTION("""COMPUTED_VALUE""")," Voice of both sides is clear")</f>
        <v xml:space="preserve"> Voice of both sides is clear</v>
      </c>
      <c r="Q14" s="121" t="str">
        <f ca="1">IFERROR(__xludf.DUMMYFUNCTION("""COMPUTED_VALUE"""),"Yes/Some")</f>
        <v>Yes/Some</v>
      </c>
      <c r="R14" s="121" t="str">
        <f ca="1">IFERROR(__xludf.DUMMYFUNCTION("""COMPUTED_VALUE"""),"Yes")</f>
        <v>Yes</v>
      </c>
      <c r="S14" s="121" t="str">
        <f ca="1">IFERROR(__xludf.DUMMYFUNCTION("""COMPUTED_VALUE"""),"Yes")</f>
        <v>Yes</v>
      </c>
      <c r="T14" s="121" t="str">
        <f ca="1">IFERROR(__xludf.DUMMYFUNCTION("""COMPUTED_VALUE"""),"Checked")</f>
        <v>Checked</v>
      </c>
      <c r="U14" s="121" t="str">
        <f ca="1">IFERROR(__xludf.DUMMYFUNCTION("""COMPUTED_VALUE"""),"No")</f>
        <v>No</v>
      </c>
      <c r="V14" s="121" t="str">
        <f ca="1">IFERROR(__xludf.DUMMYFUNCTION("""COMPUTED_VALUE"""),"Yes")</f>
        <v>Yes</v>
      </c>
      <c r="W14" s="121">
        <f ca="1">IFERROR(__xludf.DUMMYFUNCTION("""COMPUTED_VALUE"""),4)</f>
        <v>4</v>
      </c>
      <c r="X14" s="121" t="str">
        <f ca="1">IFERROR(__xludf.DUMMYFUNCTION("""COMPUTED_VALUE"""),"Hashmatullah Banaee")</f>
        <v>Hashmatullah Banaee</v>
      </c>
      <c r="Y14" s="124">
        <f ca="1">IFERROR(__xludf.DUMMYFUNCTION("""COMPUTED_VALUE"""),45964)</f>
        <v>45964</v>
      </c>
      <c r="Z14" s="121" t="str">
        <f ca="1">IFERROR(__xludf.DUMMYFUNCTION("""COMPUTED_VALUE"""),"Approved")</f>
        <v>Approved</v>
      </c>
      <c r="AA14" s="121"/>
      <c r="AB14" s="121"/>
    </row>
    <row r="15" spans="1:44">
      <c r="A15" s="121" t="str">
        <f ca="1">IFERROR(__xludf.DUMMYFUNCTION("""COMPUTED_VALUE"""),"uuid:d48ba6f6-6e41-43bc-9977-2c553fc04f22")</f>
        <v>uuid:d48ba6f6-6e41-43bc-9977-2c553fc04f22</v>
      </c>
      <c r="B15" s="121" t="str">
        <f ca="1">IFERROR(__xludf.DUMMYFUNCTION("""COMPUTED_VALUE"""),"FR2579")</f>
        <v>FR2579</v>
      </c>
      <c r="C15" s="121" t="str">
        <f ca="1">IFERROR(__xludf.DUMMYFUNCTION("""COMPUTED_VALUE"""),"Ahmad Sear Malikzai")</f>
        <v>Ahmad Sear Malikzai</v>
      </c>
      <c r="D15" s="121" t="str">
        <f ca="1">IFERROR(__xludf.DUMMYFUNCTION("""COMPUTED_VALUE"""),"HER-NGR-HF3780-Q2-2025-1049-01")</f>
        <v>HER-NGR-HF3780-Q2-2025-1049-01</v>
      </c>
      <c r="E15" s="121" t="str">
        <f ca="1">IFERROR(__xludf.DUMMYFUNCTION("""COMPUTED_VALUE"""),"Nangarhar")</f>
        <v>Nangarhar</v>
      </c>
      <c r="F15" s="121" t="str">
        <f ca="1">IFERROR(__xludf.DUMMYFUNCTION("""COMPUTED_VALUE"""),"Kama")</f>
        <v>Kama</v>
      </c>
      <c r="G15" s="121" t="str">
        <f ca="1">IFERROR(__xludf.DUMMYFUNCTION("""COMPUTED_VALUE"""),"Deh Ghazi SC (3780)")</f>
        <v>Deh Ghazi SC (3780)</v>
      </c>
      <c r="H15" s="121" t="str">
        <f ca="1">IFERROR(__xludf.DUMMYFUNCTION("""COMPUTED_VALUE"""),"SHC")</f>
        <v>SHC</v>
      </c>
      <c r="I15" s="122">
        <f ca="1">IFERROR(__xludf.DUMMYFUNCTION("""COMPUTED_VALUE"""),235.05)</f>
        <v>235.05</v>
      </c>
      <c r="J15" s="123">
        <f ca="1">IFERROR(__xludf.DUMMYFUNCTION("""COMPUTED_VALUE"""),45960)</f>
        <v>45960</v>
      </c>
      <c r="K15" s="123">
        <f ca="1">IFERROR(__xludf.DUMMYFUNCTION("""COMPUTED_VALUE"""),45960)</f>
        <v>45960</v>
      </c>
      <c r="L15" s="121" t="str">
        <f ca="1">IFERROR(__xludf.DUMMYFUNCTION("""COMPUTED_VALUE"""),"Medicine (section 2)")</f>
        <v>Medicine (section 2)</v>
      </c>
      <c r="M15" s="121" t="str">
        <f ca="1">IFERROR(__xludf.DUMMYFUNCTION("""COMPUTED_VALUE"""),"Data Verification")</f>
        <v>Data Verification</v>
      </c>
      <c r="N15" s="121" t="str">
        <f ca="1">IFERROR(__xludf.DUMMYFUNCTION("""COMPUTED_VALUE"""),"Pashto")</f>
        <v>Pashto</v>
      </c>
      <c r="O15" s="121" t="str">
        <f ca="1">IFERROR(__xludf.DUMMYFUNCTION("""COMPUTED_VALUE"""),"No")</f>
        <v>No</v>
      </c>
      <c r="P15" s="121" t="str">
        <f ca="1">IFERROR(__xludf.DUMMYFUNCTION("""COMPUTED_VALUE""")," Voice of both sides is clear")</f>
        <v xml:space="preserve"> Voice of both sides is clear</v>
      </c>
      <c r="Q15" s="121" t="str">
        <f ca="1">IFERROR(__xludf.DUMMYFUNCTION("""COMPUTED_VALUE"""),"Yes/all")</f>
        <v>Yes/all</v>
      </c>
      <c r="R15" s="121" t="str">
        <f ca="1">IFERROR(__xludf.DUMMYFUNCTION("""COMPUTED_VALUE"""),"Yes")</f>
        <v>Yes</v>
      </c>
      <c r="S15" s="121" t="str">
        <f ca="1">IFERROR(__xludf.DUMMYFUNCTION("""COMPUTED_VALUE"""),"Yes")</f>
        <v>Yes</v>
      </c>
      <c r="T15" s="121"/>
      <c r="U15" s="121" t="str">
        <f ca="1">IFERROR(__xludf.DUMMYFUNCTION("""COMPUTED_VALUE"""),"No")</f>
        <v>No</v>
      </c>
      <c r="V15" s="121" t="str">
        <f ca="1">IFERROR(__xludf.DUMMYFUNCTION("""COMPUTED_VALUE"""),"Yes")</f>
        <v>Yes</v>
      </c>
      <c r="W15" s="121">
        <f ca="1">IFERROR(__xludf.DUMMYFUNCTION("""COMPUTED_VALUE"""),5)</f>
        <v>5</v>
      </c>
      <c r="X15" s="121" t="str">
        <f ca="1">IFERROR(__xludf.DUMMYFUNCTION("""COMPUTED_VALUE"""),"Ahsam Hashimi")</f>
        <v>Ahsam Hashimi</v>
      </c>
      <c r="Y15" s="124">
        <f ca="1">IFERROR(__xludf.DUMMYFUNCTION("""COMPUTED_VALUE"""),45962)</f>
        <v>45962</v>
      </c>
      <c r="Z15" s="121" t="str">
        <f ca="1">IFERROR(__xludf.DUMMYFUNCTION("""COMPUTED_VALUE"""),"Approved")</f>
        <v>Approved</v>
      </c>
      <c r="AA15" s="121"/>
      <c r="AB15" s="121" t="str">
        <f ca="1">IFERROR(__xludf.DUMMYFUNCTION("""COMPUTED_VALUE"""),"9 drag stock card not availble ")</f>
        <v xml:space="preserve">9 drag stock card not availble </v>
      </c>
    </row>
    <row r="16" spans="1:44">
      <c r="A16" s="121" t="str">
        <f ca="1">IFERROR(__xludf.DUMMYFUNCTION("""COMPUTED_VALUE"""),"uuid:39277657-4b79-4bce-8c01-4acb323e8f07")</f>
        <v>uuid:39277657-4b79-4bce-8c01-4acb323e8f07</v>
      </c>
      <c r="B16" s="121" t="str">
        <f ca="1">IFERROR(__xludf.DUMMYFUNCTION("""COMPUTED_VALUE"""),"FR2579")</f>
        <v>FR2579</v>
      </c>
      <c r="C16" s="121" t="str">
        <f ca="1">IFERROR(__xludf.DUMMYFUNCTION("""COMPUTED_VALUE"""),"Ahmad Sear Malikzai")</f>
        <v>Ahmad Sear Malikzai</v>
      </c>
      <c r="D16" s="121" t="str">
        <f ca="1">IFERROR(__xludf.DUMMYFUNCTION("""COMPUTED_VALUE"""),"HER-NGR-HF3780-Q2-2025-1049-01")</f>
        <v>HER-NGR-HF3780-Q2-2025-1049-01</v>
      </c>
      <c r="E16" s="121" t="str">
        <f ca="1">IFERROR(__xludf.DUMMYFUNCTION("""COMPUTED_VALUE"""),"Nangarhar")</f>
        <v>Nangarhar</v>
      </c>
      <c r="F16" s="121" t="str">
        <f ca="1">IFERROR(__xludf.DUMMYFUNCTION("""COMPUTED_VALUE"""),"Kama")</f>
        <v>Kama</v>
      </c>
      <c r="G16" s="121" t="str">
        <f ca="1">IFERROR(__xludf.DUMMYFUNCTION("""COMPUTED_VALUE"""),"Deh Ghazi SC (3780)")</f>
        <v>Deh Ghazi SC (3780)</v>
      </c>
      <c r="H16" s="121" t="str">
        <f ca="1">IFERROR(__xludf.DUMMYFUNCTION("""COMPUTED_VALUE"""),"SHC")</f>
        <v>SHC</v>
      </c>
      <c r="I16" s="122">
        <f ca="1">IFERROR(__xludf.DUMMYFUNCTION("""COMPUTED_VALUE"""),91.5333333333333)</f>
        <v>91.533333333333303</v>
      </c>
      <c r="J16" s="123">
        <f ca="1">IFERROR(__xludf.DUMMYFUNCTION("""COMPUTED_VALUE"""),45960)</f>
        <v>45960</v>
      </c>
      <c r="K16" s="123">
        <f ca="1">IFERROR(__xludf.DUMMYFUNCTION("""COMPUTED_VALUE"""),45960)</f>
        <v>45960</v>
      </c>
      <c r="L16" s="121" t="str">
        <f ca="1">IFERROR(__xludf.DUMMYFUNCTION("""COMPUTED_VALUE"""),"Other than P4P (section 6)")</f>
        <v>Other than P4P (section 6)</v>
      </c>
      <c r="M16" s="121" t="str">
        <f ca="1">IFERROR(__xludf.DUMMYFUNCTION("""COMPUTED_VALUE"""),"Data Verification")</f>
        <v>Data Verification</v>
      </c>
      <c r="N16" s="121" t="str">
        <f ca="1">IFERROR(__xludf.DUMMYFUNCTION("""COMPUTED_VALUE"""),"Pashto")</f>
        <v>Pashto</v>
      </c>
      <c r="O16" s="121" t="str">
        <f ca="1">IFERROR(__xludf.DUMMYFUNCTION("""COMPUTED_VALUE"""),"No")</f>
        <v>No</v>
      </c>
      <c r="P16" s="121" t="str">
        <f ca="1">IFERROR(__xludf.DUMMYFUNCTION("""COMPUTED_VALUE""")," Voice of both sides is clear")</f>
        <v xml:space="preserve"> Voice of both sides is clear</v>
      </c>
      <c r="Q16" s="121" t="str">
        <f ca="1">IFERROR(__xludf.DUMMYFUNCTION("""COMPUTED_VALUE"""),"Yes/all")</f>
        <v>Yes/all</v>
      </c>
      <c r="R16" s="121" t="str">
        <f ca="1">IFERROR(__xludf.DUMMYFUNCTION("""COMPUTED_VALUE"""),"No")</f>
        <v>No</v>
      </c>
      <c r="S16" s="121"/>
      <c r="T16" s="121"/>
      <c r="U16" s="121" t="str">
        <f ca="1">IFERROR(__xludf.DUMMYFUNCTION("""COMPUTED_VALUE"""),"No")</f>
        <v>No</v>
      </c>
      <c r="V16" s="121"/>
      <c r="W16" s="121"/>
      <c r="X16" s="121" t="str">
        <f ca="1">IFERROR(__xludf.DUMMYFUNCTION("""COMPUTED_VALUE"""),"Ahsam Hashimi")</f>
        <v>Ahsam Hashimi</v>
      </c>
      <c r="Y16" s="124">
        <f ca="1">IFERROR(__xludf.DUMMYFUNCTION("""COMPUTED_VALUE"""),45962)</f>
        <v>45962</v>
      </c>
      <c r="Z16" s="121" t="str">
        <f ca="1">IFERROR(__xludf.DUMMYFUNCTION("""COMPUTED_VALUE"""),"Approved")</f>
        <v>Approved</v>
      </c>
      <c r="AA16" s="121"/>
      <c r="AB16" s="121"/>
    </row>
    <row r="17" spans="1:28">
      <c r="A17" s="121" t="str">
        <f ca="1">IFERROR(__xludf.DUMMYFUNCTION("""COMPUTED_VALUE"""),"uuid:7f9cd6d0-f48a-4104-b932-484145b27efe")</f>
        <v>uuid:7f9cd6d0-f48a-4104-b932-484145b27efe</v>
      </c>
      <c r="B17" s="121" t="str">
        <f ca="1">IFERROR(__xludf.DUMMYFUNCTION("""COMPUTED_VALUE"""),"FR0220")</f>
        <v>FR0220</v>
      </c>
      <c r="C17" s="121" t="str">
        <f ca="1">IFERROR(__xludf.DUMMYFUNCTION("""COMPUTED_VALUE"""),"Raihana Sediqi")</f>
        <v>Raihana Sediqi</v>
      </c>
      <c r="D17" s="121" t="str">
        <f ca="1">IFERROR(__xludf.DUMMYFUNCTION("""COMPUTED_VALUE"""),"HER-NGR-HF3780-Q2-2025-1049-01")</f>
        <v>HER-NGR-HF3780-Q2-2025-1049-01</v>
      </c>
      <c r="E17" s="121" t="str">
        <f ca="1">IFERROR(__xludf.DUMMYFUNCTION("""COMPUTED_VALUE"""),"Nangarhar")</f>
        <v>Nangarhar</v>
      </c>
      <c r="F17" s="121" t="str">
        <f ca="1">IFERROR(__xludf.DUMMYFUNCTION("""COMPUTED_VALUE"""),"Kama")</f>
        <v>Kama</v>
      </c>
      <c r="G17" s="121" t="str">
        <f ca="1">IFERROR(__xludf.DUMMYFUNCTION("""COMPUTED_VALUE"""),"Deh Ghazi SC (3780)")</f>
        <v>Deh Ghazi SC (3780)</v>
      </c>
      <c r="H17" s="121" t="str">
        <f ca="1">IFERROR(__xludf.DUMMYFUNCTION("""COMPUTED_VALUE"""),"SHC")</f>
        <v>SHC</v>
      </c>
      <c r="I17" s="122">
        <f ca="1">IFERROR(__xludf.DUMMYFUNCTION("""COMPUTED_VALUE"""),184.866666666666)</f>
        <v>184.86666666666599</v>
      </c>
      <c r="J17" s="123">
        <f ca="1">IFERROR(__xludf.DUMMYFUNCTION("""COMPUTED_VALUE"""),45960)</f>
        <v>45960</v>
      </c>
      <c r="K17" s="123">
        <f ca="1">IFERROR(__xludf.DUMMYFUNCTION("""COMPUTED_VALUE"""),45960)</f>
        <v>45960</v>
      </c>
      <c r="L17" s="121" t="str">
        <f ca="1">IFERROR(__xludf.DUMMYFUNCTION("""COMPUTED_VALUE"""),"Personnel (section 1)")</f>
        <v>Personnel (section 1)</v>
      </c>
      <c r="M17" s="121" t="str">
        <f ca="1">IFERROR(__xludf.DUMMYFUNCTION("""COMPUTED_VALUE"""),"Data Verification")</f>
        <v>Data Verification</v>
      </c>
      <c r="N17" s="121" t="str">
        <f ca="1">IFERROR(__xludf.DUMMYFUNCTION("""COMPUTED_VALUE"""),"Pashto")</f>
        <v>Pashto</v>
      </c>
      <c r="O17" s="121" t="str">
        <f ca="1">IFERROR(__xludf.DUMMYFUNCTION("""COMPUTED_VALUE"""),"No")</f>
        <v>No</v>
      </c>
      <c r="P17" s="121" t="str">
        <f ca="1">IFERROR(__xludf.DUMMYFUNCTION("""COMPUTED_VALUE""")," Voice of both sides is clear")</f>
        <v xml:space="preserve"> Voice of both sides is clear</v>
      </c>
      <c r="Q17" s="121"/>
      <c r="R17" s="121" t="str">
        <f ca="1">IFERROR(__xludf.DUMMYFUNCTION("""COMPUTED_VALUE"""),"No")</f>
        <v>No</v>
      </c>
      <c r="S17" s="121"/>
      <c r="T17" s="121"/>
      <c r="U17" s="121" t="str">
        <f ca="1">IFERROR(__xludf.DUMMYFUNCTION("""COMPUTED_VALUE"""),"No")</f>
        <v>No</v>
      </c>
      <c r="V17" s="121" t="str">
        <f ca="1">IFERROR(__xludf.DUMMYFUNCTION("""COMPUTED_VALUE"""),"Yes")</f>
        <v>Yes</v>
      </c>
      <c r="W17" s="121">
        <f ca="1">IFERROR(__xludf.DUMMYFUNCTION("""COMPUTED_VALUE"""),2)</f>
        <v>2</v>
      </c>
      <c r="X17" s="121" t="str">
        <f ca="1">IFERROR(__xludf.DUMMYFUNCTION("""COMPUTED_VALUE"""),"Ahsam Hashimi")</f>
        <v>Ahsam Hashimi</v>
      </c>
      <c r="Y17" s="124">
        <f ca="1">IFERROR(__xludf.DUMMYFUNCTION("""COMPUTED_VALUE"""),45962)</f>
        <v>45962</v>
      </c>
      <c r="Z17" s="121" t="str">
        <f ca="1">IFERROR(__xludf.DUMMYFUNCTION("""COMPUTED_VALUE"""),"Approved")</f>
        <v>Approved</v>
      </c>
      <c r="AA17" s="121"/>
      <c r="AB17" s="121"/>
    </row>
    <row r="18" spans="1:28">
      <c r="A18" s="121" t="str">
        <f ca="1">IFERROR(__xludf.DUMMYFUNCTION("""COMPUTED_VALUE"""),"uuid:a135e94a-e957-4f83-8c2a-92a795cf8230")</f>
        <v>uuid:a135e94a-e957-4f83-8c2a-92a795cf8230</v>
      </c>
      <c r="B18" s="121" t="str">
        <f ca="1">IFERROR(__xludf.DUMMYFUNCTION("""COMPUTED_VALUE"""),"FR4015")</f>
        <v>FR4015</v>
      </c>
      <c r="C18" s="121" t="str">
        <f ca="1">IFERROR(__xludf.DUMMYFUNCTION("""COMPUTED_VALUE"""),"Nasratullah Danish")</f>
        <v>Nasratullah Danish</v>
      </c>
      <c r="D18" s="121" t="str">
        <f ca="1">IFERROR(__xludf.DUMMYFUNCTION("""COMPUTED_VALUE"""),"HER-LGM-HF2638-Q2-2025-1155-01")</f>
        <v>HER-LGM-HF2638-Q2-2025-1155-01</v>
      </c>
      <c r="E18" s="121" t="str">
        <f ca="1">IFERROR(__xludf.DUMMYFUNCTION("""COMPUTED_VALUE"""),"Laghman")</f>
        <v>Laghman</v>
      </c>
      <c r="F18" s="121" t="str">
        <f ca="1">IFERROR(__xludf.DUMMYFUNCTION("""COMPUTED_VALUE"""),"Aleengar")</f>
        <v>Aleengar</v>
      </c>
      <c r="G18" s="121" t="str">
        <f ca="1">IFERROR(__xludf.DUMMYFUNCTION("""COMPUTED_VALUE"""),"Sur SHC (2638)")</f>
        <v>Sur SHC (2638)</v>
      </c>
      <c r="H18" s="121" t="str">
        <f ca="1">IFERROR(__xludf.DUMMYFUNCTION("""COMPUTED_VALUE"""),"SHC")</f>
        <v>SHC</v>
      </c>
      <c r="I18" s="122">
        <f ca="1">IFERROR(__xludf.DUMMYFUNCTION("""COMPUTED_VALUE"""),51.5)</f>
        <v>51.5</v>
      </c>
      <c r="J18" s="123">
        <f ca="1">IFERROR(__xludf.DUMMYFUNCTION("""COMPUTED_VALUE"""),45961)</f>
        <v>45961</v>
      </c>
      <c r="K18" s="123">
        <f ca="1">IFERROR(__xludf.DUMMYFUNCTION("""COMPUTED_VALUE"""),45960)</f>
        <v>45960</v>
      </c>
      <c r="L18" s="121" t="str">
        <f ca="1">IFERROR(__xludf.DUMMYFUNCTION("""COMPUTED_VALUE"""),"Medicine (section 2)")</f>
        <v>Medicine (section 2)</v>
      </c>
      <c r="M18" s="121" t="str">
        <f ca="1">IFERROR(__xludf.DUMMYFUNCTION("""COMPUTED_VALUE"""),"Data Verification")</f>
        <v>Data Verification</v>
      </c>
      <c r="N18" s="121" t="str">
        <f ca="1">IFERROR(__xludf.DUMMYFUNCTION("""COMPUTED_VALUE"""),"Pashto")</f>
        <v>Pashto</v>
      </c>
      <c r="O18" s="121" t="str">
        <f ca="1">IFERROR(__xludf.DUMMYFUNCTION("""COMPUTED_VALUE"""),"Yes")</f>
        <v>Yes</v>
      </c>
      <c r="P18" s="121" t="str">
        <f ca="1">IFERROR(__xludf.DUMMYFUNCTION("""COMPUTED_VALUE""")," Voice of both sides is clear")</f>
        <v xml:space="preserve"> Voice of both sides is clear</v>
      </c>
      <c r="Q18" s="121" t="str">
        <f ca="1">IFERROR(__xludf.DUMMYFUNCTION("""COMPUTED_VALUE"""),"Yes/Some")</f>
        <v>Yes/Some</v>
      </c>
      <c r="R18" s="121" t="str">
        <f ca="1">IFERROR(__xludf.DUMMYFUNCTION("""COMPUTED_VALUE"""),"Yes")</f>
        <v>Yes</v>
      </c>
      <c r="S18" s="121" t="str">
        <f ca="1">IFERROR(__xludf.DUMMYFUNCTION("""COMPUTED_VALUE"""),"Yes")</f>
        <v>Yes</v>
      </c>
      <c r="T18" s="121"/>
      <c r="U18" s="121" t="str">
        <f ca="1">IFERROR(__xludf.DUMMYFUNCTION("""COMPUTED_VALUE"""),"No")</f>
        <v>No</v>
      </c>
      <c r="V18" s="121" t="str">
        <f ca="1">IFERROR(__xludf.DUMMYFUNCTION("""COMPUTED_VALUE"""),"No")</f>
        <v>No</v>
      </c>
      <c r="W18" s="121">
        <f ca="1">IFERROR(__xludf.DUMMYFUNCTION("""COMPUTED_VALUE"""),5)</f>
        <v>5</v>
      </c>
      <c r="X18" s="121" t="str">
        <f ca="1">IFERROR(__xludf.DUMMYFUNCTION("""COMPUTED_VALUE"""),"Ahsam Hashimi")</f>
        <v>Ahsam Hashimi</v>
      </c>
      <c r="Y18" s="124">
        <f ca="1">IFERROR(__xludf.DUMMYFUNCTION("""COMPUTED_VALUE"""),45963)</f>
        <v>45963</v>
      </c>
      <c r="Z18" s="121" t="str">
        <f ca="1">IFERROR(__xludf.DUMMYFUNCTION("""COMPUTED_VALUE"""),"Approved")</f>
        <v>Approved</v>
      </c>
      <c r="AA18" s="121"/>
      <c r="AB18" s="121"/>
    </row>
    <row r="19" spans="1:28">
      <c r="A19" s="121" t="str">
        <f ca="1">IFERROR(__xludf.DUMMYFUNCTION("""COMPUTED_VALUE"""),"uuid:297a7c1a-6c7d-4eaf-a25b-f621760c2ff2")</f>
        <v>uuid:297a7c1a-6c7d-4eaf-a25b-f621760c2ff2</v>
      </c>
      <c r="B19" s="121" t="str">
        <f ca="1">IFERROR(__xludf.DUMMYFUNCTION("""COMPUTED_VALUE"""),"FR4015")</f>
        <v>FR4015</v>
      </c>
      <c r="C19" s="121" t="str">
        <f ca="1">IFERROR(__xludf.DUMMYFUNCTION("""COMPUTED_VALUE"""),"Nasratullah Danish")</f>
        <v>Nasratullah Danish</v>
      </c>
      <c r="D19" s="121" t="str">
        <f ca="1">IFERROR(__xludf.DUMMYFUNCTION("""COMPUTED_VALUE"""),"HER-LGM-HF2638-Q2-2025-1155-01")</f>
        <v>HER-LGM-HF2638-Q2-2025-1155-01</v>
      </c>
      <c r="E19" s="121" t="str">
        <f ca="1">IFERROR(__xludf.DUMMYFUNCTION("""COMPUTED_VALUE"""),"Laghman")</f>
        <v>Laghman</v>
      </c>
      <c r="F19" s="121" t="str">
        <f ca="1">IFERROR(__xludf.DUMMYFUNCTION("""COMPUTED_VALUE"""),"Aleengar")</f>
        <v>Aleengar</v>
      </c>
      <c r="G19" s="121" t="str">
        <f ca="1">IFERROR(__xludf.DUMMYFUNCTION("""COMPUTED_VALUE"""),"Sur SHC (2638)")</f>
        <v>Sur SHC (2638)</v>
      </c>
      <c r="H19" s="121" t="str">
        <f ca="1">IFERROR(__xludf.DUMMYFUNCTION("""COMPUTED_VALUE"""),"SHC")</f>
        <v>SHC</v>
      </c>
      <c r="I19" s="122">
        <f ca="1">IFERROR(__xludf.DUMMYFUNCTION("""COMPUTED_VALUE"""),7.23333333333333)</f>
        <v>7.2333333333333298</v>
      </c>
      <c r="J19" s="123">
        <f ca="1">IFERROR(__xludf.DUMMYFUNCTION("""COMPUTED_VALUE"""),45961)</f>
        <v>45961</v>
      </c>
      <c r="K19" s="123">
        <f ca="1">IFERROR(__xludf.DUMMYFUNCTION("""COMPUTED_VALUE"""),45960)</f>
        <v>45960</v>
      </c>
      <c r="L19" s="121" t="str">
        <f ca="1">IFERROR(__xludf.DUMMYFUNCTION("""COMPUTED_VALUE"""),"Other than P4P (section 6)")</f>
        <v>Other than P4P (section 6)</v>
      </c>
      <c r="M19" s="121" t="str">
        <f ca="1">IFERROR(__xludf.DUMMYFUNCTION("""COMPUTED_VALUE"""),"Data Verification")</f>
        <v>Data Verification</v>
      </c>
      <c r="N19" s="121" t="str">
        <f ca="1">IFERROR(__xludf.DUMMYFUNCTION("""COMPUTED_VALUE"""),"Pashto")</f>
        <v>Pashto</v>
      </c>
      <c r="O19" s="121" t="str">
        <f ca="1">IFERROR(__xludf.DUMMYFUNCTION("""COMPUTED_VALUE"""),"Yes")</f>
        <v>Yes</v>
      </c>
      <c r="P19" s="121" t="str">
        <f ca="1">IFERROR(__xludf.DUMMYFUNCTION("""COMPUTED_VALUE""")," Voice of both sides is clear")</f>
        <v xml:space="preserve"> Voice of both sides is clear</v>
      </c>
      <c r="Q19" s="121" t="str">
        <f ca="1">IFERROR(__xludf.DUMMYFUNCTION("""COMPUTED_VALUE"""),"Yes/all")</f>
        <v>Yes/all</v>
      </c>
      <c r="R19" s="121" t="str">
        <f ca="1">IFERROR(__xludf.DUMMYFUNCTION("""COMPUTED_VALUE"""),"No")</f>
        <v>No</v>
      </c>
      <c r="S19" s="121"/>
      <c r="T19" s="121"/>
      <c r="U19" s="121" t="str">
        <f ca="1">IFERROR(__xludf.DUMMYFUNCTION("""COMPUTED_VALUE"""),"No")</f>
        <v>No</v>
      </c>
      <c r="V19" s="121" t="str">
        <f ca="1">IFERROR(__xludf.DUMMYFUNCTION("""COMPUTED_VALUE"""),"No")</f>
        <v>No</v>
      </c>
      <c r="W19" s="121">
        <f ca="1">IFERROR(__xludf.DUMMYFUNCTION("""COMPUTED_VALUE"""),5)</f>
        <v>5</v>
      </c>
      <c r="X19" s="121" t="str">
        <f ca="1">IFERROR(__xludf.DUMMYFUNCTION("""COMPUTED_VALUE"""),"Ahsam Hashimi")</f>
        <v>Ahsam Hashimi</v>
      </c>
      <c r="Y19" s="124">
        <f ca="1">IFERROR(__xludf.DUMMYFUNCTION("""COMPUTED_VALUE"""),45963)</f>
        <v>45963</v>
      </c>
      <c r="Z19" s="121" t="str">
        <f ca="1">IFERROR(__xludf.DUMMYFUNCTION("""COMPUTED_VALUE"""),"Approved")</f>
        <v>Approved</v>
      </c>
      <c r="AA19" s="121"/>
      <c r="AB19" s="121"/>
    </row>
    <row r="20" spans="1:28">
      <c r="A20" s="121" t="str">
        <f ca="1">IFERROR(__xludf.DUMMYFUNCTION("""COMPUTED_VALUE"""),"uuid:19fcb3f2-cc9c-456c-b2c7-ac80cd2ed80f")</f>
        <v>uuid:19fcb3f2-cc9c-456c-b2c7-ac80cd2ed80f</v>
      </c>
      <c r="B20" s="121" t="str">
        <f ca="1">IFERROR(__xludf.DUMMYFUNCTION("""COMPUTED_VALUE"""),"FR4696")</f>
        <v>FR4696</v>
      </c>
      <c r="C20" s="121" t="str">
        <f ca="1">IFERROR(__xludf.DUMMYFUNCTION("""COMPUTED_VALUE"""),"Mursal Tarakhil")</f>
        <v>Mursal Tarakhil</v>
      </c>
      <c r="D20" s="121" t="str">
        <f ca="1">IFERROR(__xludf.DUMMYFUNCTION("""COMPUTED_VALUE"""),"HER-LGM-HF2638-Q2-2025-1155-01")</f>
        <v>HER-LGM-HF2638-Q2-2025-1155-01</v>
      </c>
      <c r="E20" s="121" t="str">
        <f ca="1">IFERROR(__xludf.DUMMYFUNCTION("""COMPUTED_VALUE"""),"Laghman")</f>
        <v>Laghman</v>
      </c>
      <c r="F20" s="121" t="str">
        <f ca="1">IFERROR(__xludf.DUMMYFUNCTION("""COMPUTED_VALUE"""),"Aleengar")</f>
        <v>Aleengar</v>
      </c>
      <c r="G20" s="121" t="str">
        <f ca="1">IFERROR(__xludf.DUMMYFUNCTION("""COMPUTED_VALUE"""),"Sur SHC (2638)")</f>
        <v>Sur SHC (2638)</v>
      </c>
      <c r="H20" s="121" t="str">
        <f ca="1">IFERROR(__xludf.DUMMYFUNCTION("""COMPUTED_VALUE"""),"SHC")</f>
        <v>SHC</v>
      </c>
      <c r="I20" s="122">
        <f ca="1">IFERROR(__xludf.DUMMYFUNCTION("""COMPUTED_VALUE"""),26.9666666666666)</f>
        <v>26.966666666666601</v>
      </c>
      <c r="J20" s="123">
        <f ca="1">IFERROR(__xludf.DUMMYFUNCTION("""COMPUTED_VALUE"""),45961)</f>
        <v>45961</v>
      </c>
      <c r="K20" s="123">
        <f ca="1">IFERROR(__xludf.DUMMYFUNCTION("""COMPUTED_VALUE"""),45960)</f>
        <v>45960</v>
      </c>
      <c r="L20" s="121" t="str">
        <f ca="1">IFERROR(__xludf.DUMMYFUNCTION("""COMPUTED_VALUE"""),"Consumable (section 3)")</f>
        <v>Consumable (section 3)</v>
      </c>
      <c r="M20" s="121" t="str">
        <f ca="1">IFERROR(__xludf.DUMMYFUNCTION("""COMPUTED_VALUE"""),"Data Verification")</f>
        <v>Data Verification</v>
      </c>
      <c r="N20" s="121" t="str">
        <f ca="1">IFERROR(__xludf.DUMMYFUNCTION("""COMPUTED_VALUE"""),"Pashto")</f>
        <v>Pashto</v>
      </c>
      <c r="O20" s="121" t="str">
        <f ca="1">IFERROR(__xludf.DUMMYFUNCTION("""COMPUTED_VALUE"""),"Yes")</f>
        <v>Yes</v>
      </c>
      <c r="P20" s="121" t="str">
        <f ca="1">IFERROR(__xludf.DUMMYFUNCTION("""COMPUTED_VALUE""")," Voice of both sides is clear")</f>
        <v xml:space="preserve"> Voice of both sides is clear</v>
      </c>
      <c r="Q20" s="121" t="str">
        <f ca="1">IFERROR(__xludf.DUMMYFUNCTION("""COMPUTED_VALUE"""),"Yes/Some")</f>
        <v>Yes/Some</v>
      </c>
      <c r="R20" s="121" t="str">
        <f ca="1">IFERROR(__xludf.DUMMYFUNCTION("""COMPUTED_VALUE"""),"Yes")</f>
        <v>Yes</v>
      </c>
      <c r="S20" s="121" t="str">
        <f ca="1">IFERROR(__xludf.DUMMYFUNCTION("""COMPUTED_VALUE"""),"Yes")</f>
        <v>Yes</v>
      </c>
      <c r="T20" s="121"/>
      <c r="U20" s="121" t="str">
        <f ca="1">IFERROR(__xludf.DUMMYFUNCTION("""COMPUTED_VALUE"""),"No")</f>
        <v>No</v>
      </c>
      <c r="V20" s="121" t="str">
        <f ca="1">IFERROR(__xludf.DUMMYFUNCTION("""COMPUTED_VALUE"""),"No")</f>
        <v>No</v>
      </c>
      <c r="W20" s="121">
        <f ca="1">IFERROR(__xludf.DUMMYFUNCTION("""COMPUTED_VALUE"""),5)</f>
        <v>5</v>
      </c>
      <c r="X20" s="121" t="str">
        <f ca="1">IFERROR(__xludf.DUMMYFUNCTION("""COMPUTED_VALUE"""),"Ahsam Hashimi")</f>
        <v>Ahsam Hashimi</v>
      </c>
      <c r="Y20" s="124">
        <f ca="1">IFERROR(__xludf.DUMMYFUNCTION("""COMPUTED_VALUE"""),45963)</f>
        <v>45963</v>
      </c>
      <c r="Z20" s="121" t="str">
        <f ca="1">IFERROR(__xludf.DUMMYFUNCTION("""COMPUTED_VALUE"""),"Approved")</f>
        <v>Approved</v>
      </c>
      <c r="AA20" s="121"/>
      <c r="AB20" s="121"/>
    </row>
    <row r="21" spans="1:28">
      <c r="A21" s="121" t="str">
        <f ca="1">IFERROR(__xludf.DUMMYFUNCTION("""COMPUTED_VALUE"""),"uuid:71b78c5c-015a-4e68-acac-cd69b9da76b2")</f>
        <v>uuid:71b78c5c-015a-4e68-acac-cd69b9da76b2</v>
      </c>
      <c r="B21" s="121" t="str">
        <f ca="1">IFERROR(__xludf.DUMMYFUNCTION("""COMPUTED_VALUE"""),"FR4696")</f>
        <v>FR4696</v>
      </c>
      <c r="C21" s="121" t="str">
        <f ca="1">IFERROR(__xludf.DUMMYFUNCTION("""COMPUTED_VALUE"""),"Mursal Tarakhil")</f>
        <v>Mursal Tarakhil</v>
      </c>
      <c r="D21" s="121" t="str">
        <f ca="1">IFERROR(__xludf.DUMMYFUNCTION("""COMPUTED_VALUE"""),"HER-LGM-HF2638-Q2-2025-1155-01")</f>
        <v>HER-LGM-HF2638-Q2-2025-1155-01</v>
      </c>
      <c r="E21" s="121" t="str">
        <f ca="1">IFERROR(__xludf.DUMMYFUNCTION("""COMPUTED_VALUE"""),"Laghman")</f>
        <v>Laghman</v>
      </c>
      <c r="F21" s="121" t="str">
        <f ca="1">IFERROR(__xludf.DUMMYFUNCTION("""COMPUTED_VALUE"""),"Aleengar")</f>
        <v>Aleengar</v>
      </c>
      <c r="G21" s="121" t="str">
        <f ca="1">IFERROR(__xludf.DUMMYFUNCTION("""COMPUTED_VALUE"""),"Sur SHC (2638)")</f>
        <v>Sur SHC (2638)</v>
      </c>
      <c r="H21" s="121" t="str">
        <f ca="1">IFERROR(__xludf.DUMMYFUNCTION("""COMPUTED_VALUE"""),"SHC")</f>
        <v>SHC</v>
      </c>
      <c r="I21" s="122">
        <f ca="1">IFERROR(__xludf.DUMMYFUNCTION("""COMPUTED_VALUE"""),106)</f>
        <v>106</v>
      </c>
      <c r="J21" s="123">
        <f ca="1">IFERROR(__xludf.DUMMYFUNCTION("""COMPUTED_VALUE"""),45961)</f>
        <v>45961</v>
      </c>
      <c r="K21" s="123">
        <f ca="1">IFERROR(__xludf.DUMMYFUNCTION("""COMPUTED_VALUE"""),45960)</f>
        <v>45960</v>
      </c>
      <c r="L21" s="121" t="str">
        <f ca="1">IFERROR(__xludf.DUMMYFUNCTION("""COMPUTED_VALUE"""),"Equipments (section 4)")</f>
        <v>Equipments (section 4)</v>
      </c>
      <c r="M21" s="121" t="str">
        <f ca="1">IFERROR(__xludf.DUMMYFUNCTION("""COMPUTED_VALUE"""),"Data Verification")</f>
        <v>Data Verification</v>
      </c>
      <c r="N21" s="121" t="str">
        <f ca="1">IFERROR(__xludf.DUMMYFUNCTION("""COMPUTED_VALUE"""),"Pashto")</f>
        <v>Pashto</v>
      </c>
      <c r="O21" s="121" t="str">
        <f ca="1">IFERROR(__xludf.DUMMYFUNCTION("""COMPUTED_VALUE"""),"Yes")</f>
        <v>Yes</v>
      </c>
      <c r="P21" s="121" t="str">
        <f ca="1">IFERROR(__xludf.DUMMYFUNCTION("""COMPUTED_VALUE""")," Voice of both sides is clear")</f>
        <v xml:space="preserve"> Voice of both sides is clear</v>
      </c>
      <c r="Q21" s="121" t="str">
        <f ca="1">IFERROR(__xludf.DUMMYFUNCTION("""COMPUTED_VALUE"""),"Yes/Some")</f>
        <v>Yes/Some</v>
      </c>
      <c r="R21" s="121" t="str">
        <f ca="1">IFERROR(__xludf.DUMMYFUNCTION("""COMPUTED_VALUE"""),"No")</f>
        <v>No</v>
      </c>
      <c r="S21" s="121"/>
      <c r="T21" s="121"/>
      <c r="U21" s="121" t="str">
        <f ca="1">IFERROR(__xludf.DUMMYFUNCTION("""COMPUTED_VALUE"""),"No")</f>
        <v>No</v>
      </c>
      <c r="V21" s="121" t="str">
        <f ca="1">IFERROR(__xludf.DUMMYFUNCTION("""COMPUTED_VALUE"""),"Yes")</f>
        <v>Yes</v>
      </c>
      <c r="W21" s="121">
        <f ca="1">IFERROR(__xludf.DUMMYFUNCTION("""COMPUTED_VALUE"""),3)</f>
        <v>3</v>
      </c>
      <c r="X21" s="121" t="str">
        <f ca="1">IFERROR(__xludf.DUMMYFUNCTION("""COMPUTED_VALUE"""),"Ahsam Hashimi")</f>
        <v>Ahsam Hashimi</v>
      </c>
      <c r="Y21" s="124">
        <f ca="1">IFERROR(__xludf.DUMMYFUNCTION("""COMPUTED_VALUE"""),45963)</f>
        <v>45963</v>
      </c>
      <c r="Z21" s="121" t="str">
        <f ca="1">IFERROR(__xludf.DUMMYFUNCTION("""COMPUTED_VALUE"""),"Approved")</f>
        <v>Approved</v>
      </c>
      <c r="AA21" s="121"/>
      <c r="AB21" s="121"/>
    </row>
    <row r="22" spans="1:28">
      <c r="A22" s="121" t="str">
        <f ca="1">IFERROR(__xludf.DUMMYFUNCTION("""COMPUTED_VALUE"""),"uuid:e946cd56-fad9-4bb1-ad00-8cb91cb16986")</f>
        <v>uuid:e946cd56-fad9-4bb1-ad00-8cb91cb16986</v>
      </c>
      <c r="B22" s="121" t="str">
        <f ca="1">IFERROR(__xludf.DUMMYFUNCTION("""COMPUTED_VALUE"""),"FR4696")</f>
        <v>FR4696</v>
      </c>
      <c r="C22" s="121" t="str">
        <f ca="1">IFERROR(__xludf.DUMMYFUNCTION("""COMPUTED_VALUE"""),"Mursal Tarakhil")</f>
        <v>Mursal Tarakhil</v>
      </c>
      <c r="D22" s="121" t="str">
        <f ca="1">IFERROR(__xludf.DUMMYFUNCTION("""COMPUTED_VALUE"""),"HER-LGM-HF2638-Q2-2025-1155-01")</f>
        <v>HER-LGM-HF2638-Q2-2025-1155-01</v>
      </c>
      <c r="E22" s="121" t="str">
        <f ca="1">IFERROR(__xludf.DUMMYFUNCTION("""COMPUTED_VALUE"""),"Laghman")</f>
        <v>Laghman</v>
      </c>
      <c r="F22" s="121" t="str">
        <f ca="1">IFERROR(__xludf.DUMMYFUNCTION("""COMPUTED_VALUE"""),"Aleengar")</f>
        <v>Aleengar</v>
      </c>
      <c r="G22" s="121" t="str">
        <f ca="1">IFERROR(__xludf.DUMMYFUNCTION("""COMPUTED_VALUE"""),"Sur SHC (2638)")</f>
        <v>Sur SHC (2638)</v>
      </c>
      <c r="H22" s="121" t="str">
        <f ca="1">IFERROR(__xludf.DUMMYFUNCTION("""COMPUTED_VALUE"""),"SHC")</f>
        <v>SHC</v>
      </c>
      <c r="I22" s="122">
        <f ca="1">IFERROR(__xludf.DUMMYFUNCTION("""COMPUTED_VALUE"""),30.3666666666666)</f>
        <v>30.3666666666666</v>
      </c>
      <c r="J22" s="123">
        <f ca="1">IFERROR(__xludf.DUMMYFUNCTION("""COMPUTED_VALUE"""),45961)</f>
        <v>45961</v>
      </c>
      <c r="K22" s="123">
        <f ca="1">IFERROR(__xludf.DUMMYFUNCTION("""COMPUTED_VALUE"""),45960)</f>
        <v>45960</v>
      </c>
      <c r="L22" s="121" t="str">
        <f ca="1">IFERROR(__xludf.DUMMYFUNCTION("""COMPUTED_VALUE"""),"Personnel (section 1)")</f>
        <v>Personnel (section 1)</v>
      </c>
      <c r="M22" s="121" t="str">
        <f ca="1">IFERROR(__xludf.DUMMYFUNCTION("""COMPUTED_VALUE"""),"Data Verification")</f>
        <v>Data Verification</v>
      </c>
      <c r="N22" s="121" t="str">
        <f ca="1">IFERROR(__xludf.DUMMYFUNCTION("""COMPUTED_VALUE"""),"Pashto")</f>
        <v>Pashto</v>
      </c>
      <c r="O22" s="121" t="str">
        <f ca="1">IFERROR(__xludf.DUMMYFUNCTION("""COMPUTED_VALUE"""),"Yes")</f>
        <v>Yes</v>
      </c>
      <c r="P22" s="121" t="str">
        <f ca="1">IFERROR(__xludf.DUMMYFUNCTION("""COMPUTED_VALUE""")," Voice of both sides is clear")</f>
        <v xml:space="preserve"> Voice of both sides is clear</v>
      </c>
      <c r="Q22" s="121" t="str">
        <f ca="1">IFERROR(__xludf.DUMMYFUNCTION("""COMPUTED_VALUE"""),"Yes/all")</f>
        <v>Yes/all</v>
      </c>
      <c r="R22" s="121"/>
      <c r="S22" s="121"/>
      <c r="T22" s="121"/>
      <c r="U22" s="121" t="str">
        <f ca="1">IFERROR(__xludf.DUMMYFUNCTION("""COMPUTED_VALUE"""),"No")</f>
        <v>No</v>
      </c>
      <c r="V22" s="121" t="str">
        <f ca="1">IFERROR(__xludf.DUMMYFUNCTION("""COMPUTED_VALUE"""),"No")</f>
        <v>No</v>
      </c>
      <c r="W22" s="121">
        <f ca="1">IFERROR(__xludf.DUMMYFUNCTION("""COMPUTED_VALUE"""),4)</f>
        <v>4</v>
      </c>
      <c r="X22" s="121" t="str">
        <f ca="1">IFERROR(__xludf.DUMMYFUNCTION("""COMPUTED_VALUE"""),"Ahsam Hashimi")</f>
        <v>Ahsam Hashimi</v>
      </c>
      <c r="Y22" s="124">
        <f ca="1">IFERROR(__xludf.DUMMYFUNCTION("""COMPUTED_VALUE"""),45963)</f>
        <v>45963</v>
      </c>
      <c r="Z22" s="121" t="str">
        <f ca="1">IFERROR(__xludf.DUMMYFUNCTION("""COMPUTED_VALUE"""),"Approved")</f>
        <v>Approved</v>
      </c>
      <c r="AA22" s="121"/>
      <c r="AB22" s="121"/>
    </row>
    <row r="23" spans="1:28">
      <c r="A23" s="121" t="str">
        <f ca="1">IFERROR(__xludf.DUMMYFUNCTION("""COMPUTED_VALUE"""),"uuid:b0127acc-4503-422c-9965-29f8fac0c617")</f>
        <v>uuid:b0127acc-4503-422c-9965-29f8fac0c617</v>
      </c>
      <c r="B23" s="121" t="str">
        <f ca="1">IFERROR(__xludf.DUMMYFUNCTION("""COMPUTED_VALUE"""),"FR2761")</f>
        <v>FR2761</v>
      </c>
      <c r="C23" s="121" t="str">
        <f ca="1">IFERROR(__xludf.DUMMYFUNCTION("""COMPUTED_VALUE"""),"Rawzia Raihan")</f>
        <v>Rawzia Raihan</v>
      </c>
      <c r="D23" s="121" t="str">
        <f ca="1">IFERROR(__xludf.DUMMYFUNCTION("""COMPUTED_VALUE"""),"HER-PKA-HF1630-Q2-2025-1189-01")</f>
        <v>HER-PKA-HF1630-Q2-2025-1189-01</v>
      </c>
      <c r="E23" s="121" t="str">
        <f ca="1">IFERROR(__xludf.DUMMYFUNCTION("""COMPUTED_VALUE"""),"Paktika")</f>
        <v>Paktika</v>
      </c>
      <c r="F23" s="121" t="str">
        <f ca="1">IFERROR(__xludf.DUMMYFUNCTION("""COMPUTED_VALUE"""),"Zarghoon Shahr")</f>
        <v>Zarghoon Shahr</v>
      </c>
      <c r="G23" s="121" t="str">
        <f ca="1">IFERROR(__xludf.DUMMYFUNCTION("""COMPUTED_VALUE"""),"Bakkhel Clinic (1630)")</f>
        <v>Bakkhel Clinic (1630)</v>
      </c>
      <c r="H23" s="121" t="str">
        <f ca="1">IFERROR(__xludf.DUMMYFUNCTION("""COMPUTED_VALUE"""),"BHC")</f>
        <v>BHC</v>
      </c>
      <c r="I23" s="122">
        <f ca="1">IFERROR(__xludf.DUMMYFUNCTION("""COMPUTED_VALUE"""),24.65)</f>
        <v>24.65</v>
      </c>
      <c r="J23" s="123">
        <f ca="1">IFERROR(__xludf.DUMMYFUNCTION("""COMPUTED_VALUE"""),45962)</f>
        <v>45962</v>
      </c>
      <c r="K23" s="123">
        <f ca="1">IFERROR(__xludf.DUMMYFUNCTION("""COMPUTED_VALUE"""),45962)</f>
        <v>45962</v>
      </c>
      <c r="L23" s="121" t="str">
        <f ca="1">IFERROR(__xludf.DUMMYFUNCTION("""COMPUTED_VALUE"""),"10. Antenatal Care (ANC)")</f>
        <v>10. Antenatal Care (ANC)</v>
      </c>
      <c r="M23" s="121" t="str">
        <f ca="1">IFERROR(__xludf.DUMMYFUNCTION("""COMPUTED_VALUE"""),"QQC")</f>
        <v>QQC</v>
      </c>
      <c r="N23" s="121" t="str">
        <f ca="1">IFERROR(__xludf.DUMMYFUNCTION("""COMPUTED_VALUE"""),"Pashto")</f>
        <v>Pashto</v>
      </c>
      <c r="O23" s="121" t="str">
        <f ca="1">IFERROR(__xludf.DUMMYFUNCTION("""COMPUTED_VALUE"""),"Yes")</f>
        <v>Yes</v>
      </c>
      <c r="P23" s="121" t="str">
        <f ca="1">IFERROR(__xludf.DUMMYFUNCTION("""COMPUTED_VALUE"""),"Interview is taking place but both sides' voice isn't being heard")</f>
        <v>Interview is taking place but both sides' voice isn't being heard</v>
      </c>
      <c r="Q23" s="121" t="str">
        <f ca="1">IFERROR(__xludf.DUMMYFUNCTION("""COMPUTED_VALUE"""),"Yes/all")</f>
        <v>Yes/all</v>
      </c>
      <c r="R23" s="121"/>
      <c r="S23" s="121"/>
      <c r="T23" s="121"/>
      <c r="U23" s="121" t="str">
        <f ca="1">IFERROR(__xludf.DUMMYFUNCTION("""COMPUTED_VALUE"""),"No")</f>
        <v>No</v>
      </c>
      <c r="V23" s="121" t="str">
        <f ca="1">IFERROR(__xludf.DUMMYFUNCTION("""COMPUTED_VALUE"""),"No")</f>
        <v>No</v>
      </c>
      <c r="W23" s="121">
        <f ca="1">IFERROR(__xludf.DUMMYFUNCTION("""COMPUTED_VALUE"""),4)</f>
        <v>4</v>
      </c>
      <c r="X23" s="121" t="str">
        <f ca="1">IFERROR(__xludf.DUMMYFUNCTION("""COMPUTED_VALUE"""),"Ahsam Hashimi")</f>
        <v>Ahsam Hashimi</v>
      </c>
      <c r="Y23" s="124">
        <f ca="1">IFERROR(__xludf.DUMMYFUNCTION("""COMPUTED_VALUE"""),45963)</f>
        <v>45963</v>
      </c>
      <c r="Z23" s="121" t="str">
        <f ca="1">IFERROR(__xludf.DUMMYFUNCTION("""COMPUTED_VALUE"""),"Approved")</f>
        <v>Approved</v>
      </c>
      <c r="AA23" s="121"/>
      <c r="AB23" s="121"/>
    </row>
    <row r="24" spans="1:28">
      <c r="A24" s="121" t="str">
        <f ca="1">IFERROR(__xludf.DUMMYFUNCTION("""COMPUTED_VALUE"""),"uuid:9e8ccb2f-f8ae-4d71-a883-b69d616b8c4d")</f>
        <v>uuid:9e8ccb2f-f8ae-4d71-a883-b69d616b8c4d</v>
      </c>
      <c r="B24" s="121" t="str">
        <f ca="1">IFERROR(__xludf.DUMMYFUNCTION("""COMPUTED_VALUE"""),"FR2761")</f>
        <v>FR2761</v>
      </c>
      <c r="C24" s="121" t="str">
        <f ca="1">IFERROR(__xludf.DUMMYFUNCTION("""COMPUTED_VALUE"""),"Rawzia Raihan")</f>
        <v>Rawzia Raihan</v>
      </c>
      <c r="D24" s="121" t="str">
        <f ca="1">IFERROR(__xludf.DUMMYFUNCTION("""COMPUTED_VALUE"""),"HER-PKA-HF1630-Q2-2025-1189-01")</f>
        <v>HER-PKA-HF1630-Q2-2025-1189-01</v>
      </c>
      <c r="E24" s="121" t="str">
        <f ca="1">IFERROR(__xludf.DUMMYFUNCTION("""COMPUTED_VALUE"""),"Paktika")</f>
        <v>Paktika</v>
      </c>
      <c r="F24" s="121" t="str">
        <f ca="1">IFERROR(__xludf.DUMMYFUNCTION("""COMPUTED_VALUE"""),"Zarghoon Shahr")</f>
        <v>Zarghoon Shahr</v>
      </c>
      <c r="G24" s="121" t="str">
        <f ca="1">IFERROR(__xludf.DUMMYFUNCTION("""COMPUTED_VALUE"""),"Bakkhel Clinic (1630)")</f>
        <v>Bakkhel Clinic (1630)</v>
      </c>
      <c r="H24" s="121" t="str">
        <f ca="1">IFERROR(__xludf.DUMMYFUNCTION("""COMPUTED_VALUE"""),"BHC")</f>
        <v>BHC</v>
      </c>
      <c r="I24" s="122">
        <f ca="1">IFERROR(__xludf.DUMMYFUNCTION("""COMPUTED_VALUE"""),53.65)</f>
        <v>53.65</v>
      </c>
      <c r="J24" s="123">
        <f ca="1">IFERROR(__xludf.DUMMYFUNCTION("""COMPUTED_VALUE"""),45962)</f>
        <v>45962</v>
      </c>
      <c r="K24" s="123">
        <f ca="1">IFERROR(__xludf.DUMMYFUNCTION("""COMPUTED_VALUE"""),45960)</f>
        <v>45960</v>
      </c>
      <c r="L24" s="121" t="str">
        <f ca="1">IFERROR(__xludf.DUMMYFUNCTION("""COMPUTED_VALUE"""),"2. Hygiene and Sterilization")</f>
        <v>2. Hygiene and Sterilization</v>
      </c>
      <c r="M24" s="121" t="str">
        <f ca="1">IFERROR(__xludf.DUMMYFUNCTION("""COMPUTED_VALUE"""),"QQC")</f>
        <v>QQC</v>
      </c>
      <c r="N24" s="121" t="str">
        <f ca="1">IFERROR(__xludf.DUMMYFUNCTION("""COMPUTED_VALUE"""),"Pashto")</f>
        <v>Pashto</v>
      </c>
      <c r="O24" s="121"/>
      <c r="P24" s="121" t="str">
        <f ca="1">IFERROR(__xludf.DUMMYFUNCTION("""COMPUTED_VALUE""")," Voice of both sides is clear")</f>
        <v xml:space="preserve"> Voice of both sides is clear</v>
      </c>
      <c r="Q24" s="121" t="str">
        <f ca="1">IFERROR(__xludf.DUMMYFUNCTION("""COMPUTED_VALUE"""),"Yes/Some")</f>
        <v>Yes/Some</v>
      </c>
      <c r="R24" s="121" t="str">
        <f ca="1">IFERROR(__xludf.DUMMYFUNCTION("""COMPUTED_VALUE"""),"No")</f>
        <v>No</v>
      </c>
      <c r="S24" s="121"/>
      <c r="T24" s="121"/>
      <c r="U24" s="121" t="str">
        <f ca="1">IFERROR(__xludf.DUMMYFUNCTION("""COMPUTED_VALUE"""),"No")</f>
        <v>No</v>
      </c>
      <c r="V24" s="121" t="str">
        <f ca="1">IFERROR(__xludf.DUMMYFUNCTION("""COMPUTED_VALUE"""),"Yes")</f>
        <v>Yes</v>
      </c>
      <c r="W24" s="121">
        <f ca="1">IFERROR(__xludf.DUMMYFUNCTION("""COMPUTED_VALUE"""),4)</f>
        <v>4</v>
      </c>
      <c r="X24" s="121" t="str">
        <f ca="1">IFERROR(__xludf.DUMMYFUNCTION("""COMPUTED_VALUE"""),"Ahsam Hashimi")</f>
        <v>Ahsam Hashimi</v>
      </c>
      <c r="Y24" s="124">
        <f ca="1">IFERROR(__xludf.DUMMYFUNCTION("""COMPUTED_VALUE"""),45963)</f>
        <v>45963</v>
      </c>
      <c r="Z24" s="121" t="str">
        <f ca="1">IFERROR(__xludf.DUMMYFUNCTION("""COMPUTED_VALUE"""),"Approved")</f>
        <v>Approved</v>
      </c>
      <c r="AA24" s="121"/>
      <c r="AB24" s="121"/>
    </row>
    <row r="25" spans="1:28">
      <c r="A25" s="121" t="str">
        <f ca="1">IFERROR(__xludf.DUMMYFUNCTION("""COMPUTED_VALUE"""),"uuid:31bf89da-c96e-425c-9320-c183621e8185")</f>
        <v>uuid:31bf89da-c96e-425c-9320-c183621e8185</v>
      </c>
      <c r="B25" s="121" t="str">
        <f ca="1">IFERROR(__xludf.DUMMYFUNCTION("""COMPUTED_VALUE"""),"FR2761")</f>
        <v>FR2761</v>
      </c>
      <c r="C25" s="121" t="str">
        <f ca="1">IFERROR(__xludf.DUMMYFUNCTION("""COMPUTED_VALUE"""),"Rawzia Raihan")</f>
        <v>Rawzia Raihan</v>
      </c>
      <c r="D25" s="121" t="str">
        <f ca="1">IFERROR(__xludf.DUMMYFUNCTION("""COMPUTED_VALUE"""),"HER-PKA-HF1630-Q2-2025-1189-01")</f>
        <v>HER-PKA-HF1630-Q2-2025-1189-01</v>
      </c>
      <c r="E25" s="121" t="str">
        <f ca="1">IFERROR(__xludf.DUMMYFUNCTION("""COMPUTED_VALUE"""),"Paktika")</f>
        <v>Paktika</v>
      </c>
      <c r="F25" s="121" t="str">
        <f ca="1">IFERROR(__xludf.DUMMYFUNCTION("""COMPUTED_VALUE"""),"Zarghoon Shahr")</f>
        <v>Zarghoon Shahr</v>
      </c>
      <c r="G25" s="121" t="str">
        <f ca="1">IFERROR(__xludf.DUMMYFUNCTION("""COMPUTED_VALUE"""),"Bakkhel Clinic (1630)")</f>
        <v>Bakkhel Clinic (1630)</v>
      </c>
      <c r="H25" s="121" t="str">
        <f ca="1">IFERROR(__xludf.DUMMYFUNCTION("""COMPUTED_VALUE"""),"BHC")</f>
        <v>BHC</v>
      </c>
      <c r="I25" s="122">
        <f ca="1">IFERROR(__xludf.DUMMYFUNCTION("""COMPUTED_VALUE"""),34.65)</f>
        <v>34.65</v>
      </c>
      <c r="J25" s="123">
        <f ca="1">IFERROR(__xludf.DUMMYFUNCTION("""COMPUTED_VALUE"""),45962)</f>
        <v>45962</v>
      </c>
      <c r="K25" s="123">
        <f ca="1">IFERROR(__xludf.DUMMYFUNCTION("""COMPUTED_VALUE"""),45960)</f>
        <v>45960</v>
      </c>
      <c r="L25" s="121" t="str">
        <f ca="1">IFERROR(__xludf.DUMMYFUNCTION("""COMPUTED_VALUE"""),"8. Maternity")</f>
        <v>8. Maternity</v>
      </c>
      <c r="M25" s="121" t="str">
        <f ca="1">IFERROR(__xludf.DUMMYFUNCTION("""COMPUTED_VALUE"""),"QQC")</f>
        <v>QQC</v>
      </c>
      <c r="N25" s="121" t="str">
        <f ca="1">IFERROR(__xludf.DUMMYFUNCTION("""COMPUTED_VALUE"""),"Pashto")</f>
        <v>Pashto</v>
      </c>
      <c r="O25" s="121"/>
      <c r="P25" s="121" t="str">
        <f ca="1">IFERROR(__xludf.DUMMYFUNCTION("""COMPUTED_VALUE""")," Voice of both sides is clear")</f>
        <v xml:space="preserve"> Voice of both sides is clear</v>
      </c>
      <c r="Q25" s="121" t="str">
        <f ca="1">IFERROR(__xludf.DUMMYFUNCTION("""COMPUTED_VALUE"""),"Yes/all")</f>
        <v>Yes/all</v>
      </c>
      <c r="R25" s="121" t="str">
        <f ca="1">IFERROR(__xludf.DUMMYFUNCTION("""COMPUTED_VALUE"""),"No")</f>
        <v>No</v>
      </c>
      <c r="S25" s="121"/>
      <c r="T25" s="121" t="str">
        <f ca="1">IFERROR(__xludf.DUMMYFUNCTION("""COMPUTED_VALUE"""),"Checked")</f>
        <v>Checked</v>
      </c>
      <c r="U25" s="121" t="str">
        <f ca="1">IFERROR(__xludf.DUMMYFUNCTION("""COMPUTED_VALUE"""),"No")</f>
        <v>No</v>
      </c>
      <c r="V25" s="121" t="str">
        <f ca="1">IFERROR(__xludf.DUMMYFUNCTION("""COMPUTED_VALUE"""),"No")</f>
        <v>No</v>
      </c>
      <c r="W25" s="121">
        <f ca="1">IFERROR(__xludf.DUMMYFUNCTION("""COMPUTED_VALUE"""),4)</f>
        <v>4</v>
      </c>
      <c r="X25" s="121" t="str">
        <f ca="1">IFERROR(__xludf.DUMMYFUNCTION("""COMPUTED_VALUE"""),"Najma Kohi")</f>
        <v>Najma Kohi</v>
      </c>
      <c r="Y25" s="124">
        <f ca="1">IFERROR(__xludf.DUMMYFUNCTION("""COMPUTED_VALUE"""),45964)</f>
        <v>45964</v>
      </c>
      <c r="Z25" s="121" t="str">
        <f ca="1">IFERROR(__xludf.DUMMYFUNCTION("""COMPUTED_VALUE"""),"Approved")</f>
        <v>Approved</v>
      </c>
      <c r="AA25" s="121"/>
      <c r="AB25" s="121"/>
    </row>
    <row r="26" spans="1:28">
      <c r="A26" s="121" t="str">
        <f ca="1">IFERROR(__xludf.DUMMYFUNCTION("""COMPUTED_VALUE"""),"uuid:0485f715-16e8-4fd8-8378-5dcc6fef81b1")</f>
        <v>uuid:0485f715-16e8-4fd8-8378-5dcc6fef81b1</v>
      </c>
      <c r="B26" s="121" t="str">
        <f ca="1">IFERROR(__xludf.DUMMYFUNCTION("""COMPUTED_VALUE"""),"FR2761")</f>
        <v>FR2761</v>
      </c>
      <c r="C26" s="121" t="str">
        <f ca="1">IFERROR(__xludf.DUMMYFUNCTION("""COMPUTED_VALUE"""),"Rawzia Raihan")</f>
        <v>Rawzia Raihan</v>
      </c>
      <c r="D26" s="121" t="str">
        <f ca="1">IFERROR(__xludf.DUMMYFUNCTION("""COMPUTED_VALUE"""),"HER-PKA-HF1630-Q2-2025-1189-01")</f>
        <v>HER-PKA-HF1630-Q2-2025-1189-01</v>
      </c>
      <c r="E26" s="121" t="str">
        <f ca="1">IFERROR(__xludf.DUMMYFUNCTION("""COMPUTED_VALUE"""),"Paktika")</f>
        <v>Paktika</v>
      </c>
      <c r="F26" s="121" t="str">
        <f ca="1">IFERROR(__xludf.DUMMYFUNCTION("""COMPUTED_VALUE"""),"Zarghoon Shahr")</f>
        <v>Zarghoon Shahr</v>
      </c>
      <c r="G26" s="121" t="str">
        <f ca="1">IFERROR(__xludf.DUMMYFUNCTION("""COMPUTED_VALUE"""),"Bakkhel Clinic (1630)")</f>
        <v>Bakkhel Clinic (1630)</v>
      </c>
      <c r="H26" s="121" t="str">
        <f ca="1">IFERROR(__xludf.DUMMYFUNCTION("""COMPUTED_VALUE"""),"BHC")</f>
        <v>BHC</v>
      </c>
      <c r="I26" s="122">
        <f ca="1">IFERROR(__xludf.DUMMYFUNCTION("""COMPUTED_VALUE"""),31.5166666666666)</f>
        <v>31.516666666666602</v>
      </c>
      <c r="J26" s="123">
        <f ca="1">IFERROR(__xludf.DUMMYFUNCTION("""COMPUTED_VALUE"""),45962)</f>
        <v>45962</v>
      </c>
      <c r="K26" s="123">
        <f ca="1">IFERROR(__xludf.DUMMYFUNCTION("""COMPUTED_VALUE"""),45962)</f>
        <v>45962</v>
      </c>
      <c r="L26" s="121" t="str">
        <f ca="1">IFERROR(__xludf.DUMMYFUNCTION("""COMPUTED_VALUE"""),"8. Maternity")</f>
        <v>8. Maternity</v>
      </c>
      <c r="M26" s="121" t="str">
        <f ca="1">IFERROR(__xludf.DUMMYFUNCTION("""COMPUTED_VALUE"""),"QQC")</f>
        <v>QQC</v>
      </c>
      <c r="N26" s="121" t="str">
        <f ca="1">IFERROR(__xludf.DUMMYFUNCTION("""COMPUTED_VALUE"""),"Pashto")</f>
        <v>Pashto</v>
      </c>
      <c r="O26" s="121"/>
      <c r="P26" s="121" t="str">
        <f ca="1">IFERROR(__xludf.DUMMYFUNCTION("""COMPUTED_VALUE""")," Voice of both sides is clear")</f>
        <v xml:space="preserve"> Voice of both sides is clear</v>
      </c>
      <c r="Q26" s="121" t="str">
        <f ca="1">IFERROR(__xludf.DUMMYFUNCTION("""COMPUTED_VALUE"""),"Yes/all")</f>
        <v>Yes/all</v>
      </c>
      <c r="R26" s="121" t="str">
        <f ca="1">IFERROR(__xludf.DUMMYFUNCTION("""COMPUTED_VALUE"""),"Yes")</f>
        <v>Yes</v>
      </c>
      <c r="S26" s="121" t="str">
        <f ca="1">IFERROR(__xludf.DUMMYFUNCTION("""COMPUTED_VALUE"""),"Yes")</f>
        <v>Yes</v>
      </c>
      <c r="T26" s="121" t="str">
        <f ca="1">IFERROR(__xludf.DUMMYFUNCTION("""COMPUTED_VALUE"""),"Checked")</f>
        <v>Checked</v>
      </c>
      <c r="U26" s="121" t="str">
        <f ca="1">IFERROR(__xludf.DUMMYFUNCTION("""COMPUTED_VALUE"""),"No")</f>
        <v>No</v>
      </c>
      <c r="V26" s="121" t="str">
        <f ca="1">IFERROR(__xludf.DUMMYFUNCTION("""COMPUTED_VALUE"""),"Yes")</f>
        <v>Yes</v>
      </c>
      <c r="W26" s="121">
        <f ca="1">IFERROR(__xludf.DUMMYFUNCTION("""COMPUTED_VALUE"""),3)</f>
        <v>3</v>
      </c>
      <c r="X26" s="121" t="str">
        <f ca="1">IFERROR(__xludf.DUMMYFUNCTION("""COMPUTED_VALUE"""),"Zafar Emami")</f>
        <v>Zafar Emami</v>
      </c>
      <c r="Y26" s="124">
        <f ca="1">IFERROR(__xludf.DUMMYFUNCTION("""COMPUTED_VALUE"""),45964)</f>
        <v>45964</v>
      </c>
      <c r="Z26" s="121" t="str">
        <f ca="1">IFERROR(__xludf.DUMMYFUNCTION("""COMPUTED_VALUE"""),"Approved")</f>
        <v>Approved</v>
      </c>
      <c r="AA26" s="121"/>
      <c r="AB26" s="121" t="str">
        <f ca="1">IFERROR(__xludf.DUMMYFUNCTION("""COMPUTED_VALUE"""),"Photos of the partograph should be taken accurately.")</f>
        <v>Photos of the partograph should be taken accurately.</v>
      </c>
    </row>
    <row r="27" spans="1:28">
      <c r="A27" s="121" t="str">
        <f ca="1">IFERROR(__xludf.DUMMYFUNCTION("""COMPUTED_VALUE"""),"uuid:07d2db95-62ce-454f-8b41-c0a49e7cf1dd")</f>
        <v>uuid:07d2db95-62ce-454f-8b41-c0a49e7cf1dd</v>
      </c>
      <c r="B27" s="121" t="str">
        <f ca="1">IFERROR(__xludf.DUMMYFUNCTION("""COMPUTED_VALUE"""),"FR3691")</f>
        <v>FR3691</v>
      </c>
      <c r="C27" s="121" t="str">
        <f ca="1">IFERROR(__xludf.DUMMYFUNCTION("""COMPUTED_VALUE"""),"Adil Ahsas")</f>
        <v>Adil Ahsas</v>
      </c>
      <c r="D27" s="121" t="str">
        <f ca="1">IFERROR(__xludf.DUMMYFUNCTION("""COMPUTED_VALUE"""),"HER-PKA-HF1630-Q2-2025-1189-01")</f>
        <v>HER-PKA-HF1630-Q2-2025-1189-01</v>
      </c>
      <c r="E27" s="121" t="str">
        <f ca="1">IFERROR(__xludf.DUMMYFUNCTION("""COMPUTED_VALUE"""),"Paktika")</f>
        <v>Paktika</v>
      </c>
      <c r="F27" s="121" t="str">
        <f ca="1">IFERROR(__xludf.DUMMYFUNCTION("""COMPUTED_VALUE"""),"Zarghoon Shahr")</f>
        <v>Zarghoon Shahr</v>
      </c>
      <c r="G27" s="121" t="str">
        <f ca="1">IFERROR(__xludf.DUMMYFUNCTION("""COMPUTED_VALUE"""),"Bakkhel Clinic (1630)")</f>
        <v>Bakkhel Clinic (1630)</v>
      </c>
      <c r="H27" s="121" t="str">
        <f ca="1">IFERROR(__xludf.DUMMYFUNCTION("""COMPUTED_VALUE"""),"BHC")</f>
        <v>BHC</v>
      </c>
      <c r="I27" s="122">
        <f ca="1">IFERROR(__xludf.DUMMYFUNCTION("""COMPUTED_VALUE"""),60.6166666666666)</f>
        <v>60.616666666666603</v>
      </c>
      <c r="J27" s="123">
        <f ca="1">IFERROR(__xludf.DUMMYFUNCTION("""COMPUTED_VALUE"""),45962)</f>
        <v>45962</v>
      </c>
      <c r="K27" s="123">
        <f ca="1">IFERROR(__xludf.DUMMYFUNCTION("""COMPUTED_VALUE"""),45962)</f>
        <v>45962</v>
      </c>
      <c r="L27" s="121" t="str">
        <f ca="1">IFERROR(__xludf.DUMMYFUNCTION("""COMPUTED_VALUE"""),"11. Additional Questions")</f>
        <v>11. Additional Questions</v>
      </c>
      <c r="M27" s="121" t="str">
        <f ca="1">IFERROR(__xludf.DUMMYFUNCTION("""COMPUTED_VALUE"""),"QQC")</f>
        <v>QQC</v>
      </c>
      <c r="N27" s="121" t="str">
        <f ca="1">IFERROR(__xludf.DUMMYFUNCTION("""COMPUTED_VALUE"""),"Pashto")</f>
        <v>Pashto</v>
      </c>
      <c r="O27" s="121"/>
      <c r="P27" s="121" t="str">
        <f ca="1">IFERROR(__xludf.DUMMYFUNCTION("""COMPUTED_VALUE""")," Voice of both sides is clear")</f>
        <v xml:space="preserve"> Voice of both sides is clear</v>
      </c>
      <c r="Q27" s="121" t="str">
        <f ca="1">IFERROR(__xludf.DUMMYFUNCTION("""COMPUTED_VALUE"""),"Yes/all")</f>
        <v>Yes/all</v>
      </c>
      <c r="R27" s="121" t="str">
        <f ca="1">IFERROR(__xludf.DUMMYFUNCTION("""COMPUTED_VALUE"""),"Yes")</f>
        <v>Yes</v>
      </c>
      <c r="S27" s="121" t="str">
        <f ca="1">IFERROR(__xludf.DUMMYFUNCTION("""COMPUTED_VALUE"""),"Yes")</f>
        <v>Yes</v>
      </c>
      <c r="T27" s="121" t="str">
        <f ca="1">IFERROR(__xludf.DUMMYFUNCTION("""COMPUTED_VALUE"""),"Checked")</f>
        <v>Checked</v>
      </c>
      <c r="U27" s="121" t="str">
        <f ca="1">IFERROR(__xludf.DUMMYFUNCTION("""COMPUTED_VALUE"""),"No")</f>
        <v>No</v>
      </c>
      <c r="V27" s="121" t="str">
        <f ca="1">IFERROR(__xludf.DUMMYFUNCTION("""COMPUTED_VALUE"""),"No")</f>
        <v>No</v>
      </c>
      <c r="W27" s="121">
        <f ca="1">IFERROR(__xludf.DUMMYFUNCTION("""COMPUTED_VALUE"""),3)</f>
        <v>3</v>
      </c>
      <c r="X27" s="121" t="str">
        <f ca="1">IFERROR(__xludf.DUMMYFUNCTION("""COMPUTED_VALUE"""),"Zafar Emami")</f>
        <v>Zafar Emami</v>
      </c>
      <c r="Y27" s="124">
        <f ca="1">IFERROR(__xludf.DUMMYFUNCTION("""COMPUTED_VALUE"""),45964)</f>
        <v>45964</v>
      </c>
      <c r="Z27" s="121" t="str">
        <f ca="1">IFERROR(__xludf.DUMMYFUNCTION("""COMPUTED_VALUE"""),"Approved")</f>
        <v>Approved</v>
      </c>
      <c r="AA27" s="121"/>
      <c r="AB27" s="121"/>
    </row>
    <row r="28" spans="1:28">
      <c r="A28" s="121" t="str">
        <f ca="1">IFERROR(__xludf.DUMMYFUNCTION("""COMPUTED_VALUE"""),"uuid:19120a8c-9554-4663-853b-3f55e71f1abe")</f>
        <v>uuid:19120a8c-9554-4663-853b-3f55e71f1abe</v>
      </c>
      <c r="B28" s="121" t="str">
        <f ca="1">IFERROR(__xludf.DUMMYFUNCTION("""COMPUTED_VALUE"""),"FR3691")</f>
        <v>FR3691</v>
      </c>
      <c r="C28" s="121" t="str">
        <f ca="1">IFERROR(__xludf.DUMMYFUNCTION("""COMPUTED_VALUE"""),"Adil Ahsas")</f>
        <v>Adil Ahsas</v>
      </c>
      <c r="D28" s="121" t="str">
        <f ca="1">IFERROR(__xludf.DUMMYFUNCTION("""COMPUTED_VALUE"""),"HER-PKA-HF1630-Q2-2025-1189-01")</f>
        <v>HER-PKA-HF1630-Q2-2025-1189-01</v>
      </c>
      <c r="E28" s="121" t="str">
        <f ca="1">IFERROR(__xludf.DUMMYFUNCTION("""COMPUTED_VALUE"""),"Paktika")</f>
        <v>Paktika</v>
      </c>
      <c r="F28" s="121" t="str">
        <f ca="1">IFERROR(__xludf.DUMMYFUNCTION("""COMPUTED_VALUE"""),"Zarghoon Shahr")</f>
        <v>Zarghoon Shahr</v>
      </c>
      <c r="G28" s="121" t="str">
        <f ca="1">IFERROR(__xludf.DUMMYFUNCTION("""COMPUTED_VALUE"""),"Bakkhel Clinic (1630)")</f>
        <v>Bakkhel Clinic (1630)</v>
      </c>
      <c r="H28" s="121" t="str">
        <f ca="1">IFERROR(__xludf.DUMMYFUNCTION("""COMPUTED_VALUE"""),"BHC")</f>
        <v>BHC</v>
      </c>
      <c r="I28" s="122">
        <f ca="1">IFERROR(__xludf.DUMMYFUNCTION("""COMPUTED_VALUE"""),47.55)</f>
        <v>47.55</v>
      </c>
      <c r="J28" s="123">
        <f ca="1">IFERROR(__xludf.DUMMYFUNCTION("""COMPUTED_VALUE"""),45962)</f>
        <v>45962</v>
      </c>
      <c r="K28" s="123">
        <f ca="1">IFERROR(__xludf.DUMMYFUNCTION("""COMPUTED_VALUE"""),45962)</f>
        <v>45962</v>
      </c>
      <c r="L28" s="121" t="str">
        <f ca="1">IFERROR(__xludf.DUMMYFUNCTION("""COMPUTED_VALUE"""),"6. Essential Medicine Management")</f>
        <v>6. Essential Medicine Management</v>
      </c>
      <c r="M28" s="121" t="str">
        <f ca="1">IFERROR(__xludf.DUMMYFUNCTION("""COMPUTED_VALUE"""),"QQC")</f>
        <v>QQC</v>
      </c>
      <c r="N28" s="121" t="str">
        <f ca="1">IFERROR(__xludf.DUMMYFUNCTION("""COMPUTED_VALUE"""),"Pashto")</f>
        <v>Pashto</v>
      </c>
      <c r="O28" s="121"/>
      <c r="P28" s="121"/>
      <c r="Q28" s="121"/>
      <c r="R28" s="121"/>
      <c r="S28" s="121"/>
      <c r="T28" s="121"/>
      <c r="U28" s="121"/>
      <c r="V28" s="121"/>
      <c r="W28" s="121"/>
      <c r="X28" s="121" t="str">
        <f ca="1">IFERROR(__xludf.DUMMYFUNCTION("""COMPUTED_VALUE"""),"Zafar Emami")</f>
        <v>Zafar Emami</v>
      </c>
      <c r="Y28" s="124">
        <f ca="1">IFERROR(__xludf.DUMMYFUNCTION("""COMPUTED_VALUE"""),45965)</f>
        <v>45965</v>
      </c>
      <c r="Z28" s="121"/>
      <c r="AA28" s="121"/>
      <c r="AB28" s="121" t="str">
        <f ca="1">IFERROR(__xludf.DUMMYFUNCTION("""COMPUTED_VALUE"""),"The user name should double check")</f>
        <v>The user name should double check</v>
      </c>
    </row>
    <row r="29" spans="1:28">
      <c r="A29" s="121" t="str">
        <f ca="1">IFERROR(__xludf.DUMMYFUNCTION("""COMPUTED_VALUE"""),"uuid:4ce54f25-4654-49e1-8565-a61ec5812cee")</f>
        <v>uuid:4ce54f25-4654-49e1-8565-a61ec5812cee</v>
      </c>
      <c r="B29" s="121" t="str">
        <f ca="1">IFERROR(__xludf.DUMMYFUNCTION("""COMPUTED_VALUE"""),"FR3691")</f>
        <v>FR3691</v>
      </c>
      <c r="C29" s="121" t="str">
        <f ca="1">IFERROR(__xludf.DUMMYFUNCTION("""COMPUTED_VALUE"""),"Adil Ahsas")</f>
        <v>Adil Ahsas</v>
      </c>
      <c r="D29" s="121" t="str">
        <f ca="1">IFERROR(__xludf.DUMMYFUNCTION("""COMPUTED_VALUE"""),"HER-PKA-HF1630-Q2-2025-1189-01")</f>
        <v>HER-PKA-HF1630-Q2-2025-1189-01</v>
      </c>
      <c r="E29" s="121" t="str">
        <f ca="1">IFERROR(__xludf.DUMMYFUNCTION("""COMPUTED_VALUE"""),"Paktika")</f>
        <v>Paktika</v>
      </c>
      <c r="F29" s="121" t="str">
        <f ca="1">IFERROR(__xludf.DUMMYFUNCTION("""COMPUTED_VALUE"""),"Zarghoon Shahr")</f>
        <v>Zarghoon Shahr</v>
      </c>
      <c r="G29" s="121" t="str">
        <f ca="1">IFERROR(__xludf.DUMMYFUNCTION("""COMPUTED_VALUE"""),"Bakkhel Clinic (1630)")</f>
        <v>Bakkhel Clinic (1630)</v>
      </c>
      <c r="H29" s="121" t="str">
        <f ca="1">IFERROR(__xludf.DUMMYFUNCTION("""COMPUTED_VALUE"""),"BHC")</f>
        <v>BHC</v>
      </c>
      <c r="I29" s="122">
        <f ca="1">IFERROR(__xludf.DUMMYFUNCTION("""COMPUTED_VALUE"""),99.9833333333333)</f>
        <v>99.983333333333306</v>
      </c>
      <c r="J29" s="123">
        <f ca="1">IFERROR(__xludf.DUMMYFUNCTION("""COMPUTED_VALUE"""),45962)</f>
        <v>45962</v>
      </c>
      <c r="K29" s="123">
        <f ca="1">IFERROR(__xludf.DUMMYFUNCTION("""COMPUTED_VALUE"""),45962)</f>
        <v>45962</v>
      </c>
      <c r="L29" s="121" t="str">
        <f ca="1">IFERROR(__xludf.DUMMYFUNCTION("""COMPUTED_VALUE"""),"7. Tracer Medicine")</f>
        <v>7. Tracer Medicine</v>
      </c>
      <c r="M29" s="121" t="str">
        <f ca="1">IFERROR(__xludf.DUMMYFUNCTION("""COMPUTED_VALUE"""),"QQC")</f>
        <v>QQC</v>
      </c>
      <c r="N29" s="121" t="str">
        <f ca="1">IFERROR(__xludf.DUMMYFUNCTION("""COMPUTED_VALUE"""),"Pashto")</f>
        <v>Pashto</v>
      </c>
      <c r="O29" s="121"/>
      <c r="P29" s="121"/>
      <c r="Q29" s="121"/>
      <c r="R29" s="121"/>
      <c r="S29" s="121"/>
      <c r="T29" s="121"/>
      <c r="U29" s="121"/>
      <c r="V29" s="121"/>
      <c r="W29" s="121"/>
      <c r="X29" s="121" t="str">
        <f ca="1">IFERROR(__xludf.DUMMYFUNCTION("""COMPUTED_VALUE"""),"Zafar Emami")</f>
        <v>Zafar Emami</v>
      </c>
      <c r="Y29" s="124">
        <f ca="1">IFERROR(__xludf.DUMMYFUNCTION("""COMPUTED_VALUE"""),45965)</f>
        <v>45965</v>
      </c>
      <c r="Z29" s="121"/>
      <c r="AA29" s="121"/>
      <c r="AB29" s="121"/>
    </row>
    <row r="30" spans="1:28">
      <c r="A30" s="121" t="str">
        <f ca="1">IFERROR(__xludf.DUMMYFUNCTION("""COMPUTED_VALUE"""),"uuid:ed3ac7d8-f062-48d0-92a5-dd040282c336")</f>
        <v>uuid:ed3ac7d8-f062-48d0-92a5-dd040282c336</v>
      </c>
      <c r="B30" s="121" t="str">
        <f ca="1">IFERROR(__xludf.DUMMYFUNCTION("""COMPUTED_VALUE"""),"FR3127")</f>
        <v>FR3127</v>
      </c>
      <c r="C30" s="121" t="str">
        <f ca="1">IFERROR(__xludf.DUMMYFUNCTION("""COMPUTED_VALUE"""),"Rona Turk")</f>
        <v>Rona Turk</v>
      </c>
      <c r="D30" s="121" t="str">
        <f ca="1">IFERROR(__xludf.DUMMYFUNCTION("""COMPUTED_VALUE"""),"HER-JZJ-HF4362-Q2-2025-1097-01")</f>
        <v>HER-JZJ-HF4362-Q2-2025-1097-01</v>
      </c>
      <c r="E30" s="121" t="str">
        <f ca="1">IFERROR(__xludf.DUMMYFUNCTION("""COMPUTED_VALUE"""),"Jawzjan")</f>
        <v>Jawzjan</v>
      </c>
      <c r="F30" s="121" t="str">
        <f ca="1">IFERROR(__xludf.DUMMYFUNCTION("""COMPUTED_VALUE"""),"Sheberghaan")</f>
        <v>Sheberghaan</v>
      </c>
      <c r="G30" s="121" t="str">
        <f ca="1">IFERROR(__xludf.DUMMYFUNCTION("""COMPUTED_VALUE"""),"Mangoti SC (4362)")</f>
        <v>Mangoti SC (4362)</v>
      </c>
      <c r="H30" s="121" t="str">
        <f ca="1">IFERROR(__xludf.DUMMYFUNCTION("""COMPUTED_VALUE"""),"SHC")</f>
        <v>SHC</v>
      </c>
      <c r="I30" s="122">
        <f ca="1">IFERROR(__xludf.DUMMYFUNCTION("""COMPUTED_VALUE"""),10.6333333333333)</f>
        <v>10.633333333333301</v>
      </c>
      <c r="J30" s="123">
        <f ca="1">IFERROR(__xludf.DUMMYFUNCTION("""COMPUTED_VALUE"""),45960)</f>
        <v>45960</v>
      </c>
      <c r="K30" s="123">
        <f ca="1">IFERROR(__xludf.DUMMYFUNCTION("""COMPUTED_VALUE"""),45960)</f>
        <v>45960</v>
      </c>
      <c r="L30" s="121" t="str">
        <f ca="1">IFERROR(__xludf.DUMMYFUNCTION("""COMPUTED_VALUE"""),"Vignette [3] Growth Monitoring and Promotion")</f>
        <v>Vignette [3] Growth Monitoring and Promotion</v>
      </c>
      <c r="M30" s="121" t="str">
        <f ca="1">IFERROR(__xludf.DUMMYFUNCTION("""COMPUTED_VALUE"""),"Vignette")</f>
        <v>Vignette</v>
      </c>
      <c r="N30" s="121" t="str">
        <f ca="1">IFERROR(__xludf.DUMMYFUNCTION("""COMPUTED_VALUE"""),"N/A")</f>
        <v>N/A</v>
      </c>
      <c r="O30" s="121" t="str">
        <f ca="1">IFERROR(__xludf.DUMMYFUNCTION("""COMPUTED_VALUE"""),"No")</f>
        <v>No</v>
      </c>
      <c r="P30" s="121" t="str">
        <f ca="1">IFERROR(__xludf.DUMMYFUNCTION("""COMPUTED_VALUE""")," Voice of both sides is clear")</f>
        <v xml:space="preserve"> Voice of both sides is clear</v>
      </c>
      <c r="Q30" s="121" t="str">
        <f ca="1">IFERROR(__xludf.DUMMYFUNCTION("""COMPUTED_VALUE"""),"No Photo")</f>
        <v>No Photo</v>
      </c>
      <c r="R30" s="121" t="str">
        <f ca="1">IFERROR(__xludf.DUMMYFUNCTION("""COMPUTED_VALUE"""),"Yes")</f>
        <v>Yes</v>
      </c>
      <c r="S30" s="121" t="str">
        <f ca="1">IFERROR(__xludf.DUMMYFUNCTION("""COMPUTED_VALUE"""),"Yes")</f>
        <v>Yes</v>
      </c>
      <c r="T30" s="121" t="str">
        <f ca="1">IFERROR(__xludf.DUMMYFUNCTION("""COMPUTED_VALUE"""),"Checked")</f>
        <v>Checked</v>
      </c>
      <c r="U30" s="121" t="str">
        <f ca="1">IFERROR(__xludf.DUMMYFUNCTION("""COMPUTED_VALUE"""),"No")</f>
        <v>No</v>
      </c>
      <c r="V30" s="121" t="str">
        <f ca="1">IFERROR(__xludf.DUMMYFUNCTION("""COMPUTED_VALUE"""),"No")</f>
        <v>No</v>
      </c>
      <c r="W30" s="121">
        <f ca="1">IFERROR(__xludf.DUMMYFUNCTION("""COMPUTED_VALUE"""),4)</f>
        <v>4</v>
      </c>
      <c r="X30" s="121" t="str">
        <f ca="1">IFERROR(__xludf.DUMMYFUNCTION("""COMPUTED_VALUE"""),"Mohammad Elyas Safazada")</f>
        <v>Mohammad Elyas Safazada</v>
      </c>
      <c r="Y30" s="124">
        <f ca="1">IFERROR(__xludf.DUMMYFUNCTION("""COMPUTED_VALUE"""),45964)</f>
        <v>45964</v>
      </c>
      <c r="Z30" s="121" t="str">
        <f ca="1">IFERROR(__xludf.DUMMYFUNCTION("""COMPUTED_VALUE"""),"Approved")</f>
        <v>Approved</v>
      </c>
      <c r="AA30" s="121"/>
      <c r="AB30" s="121"/>
    </row>
    <row r="31" spans="1:28">
      <c r="A31" s="121" t="str">
        <f ca="1">IFERROR(__xludf.DUMMYFUNCTION("""COMPUTED_VALUE"""),"uuid:d7d40129-a0f6-43b8-a7e1-8719fd7e8a28")</f>
        <v>uuid:d7d40129-a0f6-43b8-a7e1-8719fd7e8a28</v>
      </c>
      <c r="B31" s="121" t="str">
        <f ca="1">IFERROR(__xludf.DUMMYFUNCTION("""COMPUTED_VALUE"""),"FR3127")</f>
        <v>FR3127</v>
      </c>
      <c r="C31" s="121" t="str">
        <f ca="1">IFERROR(__xludf.DUMMYFUNCTION("""COMPUTED_VALUE"""),"Rona Turk")</f>
        <v>Rona Turk</v>
      </c>
      <c r="D31" s="121" t="str">
        <f ca="1">IFERROR(__xludf.DUMMYFUNCTION("""COMPUTED_VALUE"""),"HER-JZJ-HF4362-Q2-2025-1097-01")</f>
        <v>HER-JZJ-HF4362-Q2-2025-1097-01</v>
      </c>
      <c r="E31" s="121" t="str">
        <f ca="1">IFERROR(__xludf.DUMMYFUNCTION("""COMPUTED_VALUE"""),"Jawzjan")</f>
        <v>Jawzjan</v>
      </c>
      <c r="F31" s="121" t="str">
        <f ca="1">IFERROR(__xludf.DUMMYFUNCTION("""COMPUTED_VALUE"""),"Sheberghaan")</f>
        <v>Sheberghaan</v>
      </c>
      <c r="G31" s="121" t="str">
        <f ca="1">IFERROR(__xludf.DUMMYFUNCTION("""COMPUTED_VALUE"""),"Mangoti SC (4362)")</f>
        <v>Mangoti SC (4362)</v>
      </c>
      <c r="H31" s="121" t="str">
        <f ca="1">IFERROR(__xludf.DUMMYFUNCTION("""COMPUTED_VALUE"""),"SHC")</f>
        <v>SHC</v>
      </c>
      <c r="I31" s="122">
        <f ca="1">IFERROR(__xludf.DUMMYFUNCTION("""COMPUTED_VALUE"""),19.1333333333333)</f>
        <v>19.133333333333301</v>
      </c>
      <c r="J31" s="123">
        <f ca="1">IFERROR(__xludf.DUMMYFUNCTION("""COMPUTED_VALUE"""),45960)</f>
        <v>45960</v>
      </c>
      <c r="K31" s="123">
        <f ca="1">IFERROR(__xludf.DUMMYFUNCTION("""COMPUTED_VALUE"""),45960)</f>
        <v>45960</v>
      </c>
      <c r="L31" s="121" t="str">
        <f ca="1">IFERROR(__xludf.DUMMYFUNCTION("""COMPUTED_VALUE"""),"Exit Interview 2")</f>
        <v>Exit Interview 2</v>
      </c>
      <c r="M31" s="121" t="str">
        <f ca="1">IFERROR(__xludf.DUMMYFUNCTION("""COMPUTED_VALUE"""),"Vignette")</f>
        <v>Vignette</v>
      </c>
      <c r="N31" s="121" t="str">
        <f ca="1">IFERROR(__xludf.DUMMYFUNCTION("""COMPUTED_VALUE"""),"N/A")</f>
        <v>N/A</v>
      </c>
      <c r="O31" s="121" t="str">
        <f ca="1">IFERROR(__xludf.DUMMYFUNCTION("""COMPUTED_VALUE"""),"No")</f>
        <v>No</v>
      </c>
      <c r="P31" s="121" t="str">
        <f ca="1">IFERROR(__xludf.DUMMYFUNCTION("""COMPUTED_VALUE""")," Voice of both sides is clear")</f>
        <v xml:space="preserve"> Voice of both sides is clear</v>
      </c>
      <c r="Q31" s="121" t="str">
        <f ca="1">IFERROR(__xludf.DUMMYFUNCTION("""COMPUTED_VALUE"""),"No Photo")</f>
        <v>No Photo</v>
      </c>
      <c r="R31" s="121" t="str">
        <f ca="1">IFERROR(__xludf.DUMMYFUNCTION("""COMPUTED_VALUE"""),"Yes")</f>
        <v>Yes</v>
      </c>
      <c r="S31" s="121" t="str">
        <f ca="1">IFERROR(__xludf.DUMMYFUNCTION("""COMPUTED_VALUE"""),"Yes")</f>
        <v>Yes</v>
      </c>
      <c r="T31" s="121" t="str">
        <f ca="1">IFERROR(__xludf.DUMMYFUNCTION("""COMPUTED_VALUE"""),"Checked")</f>
        <v>Checked</v>
      </c>
      <c r="U31" s="121" t="str">
        <f ca="1">IFERROR(__xludf.DUMMYFUNCTION("""COMPUTED_VALUE"""),"No")</f>
        <v>No</v>
      </c>
      <c r="V31" s="121" t="str">
        <f ca="1">IFERROR(__xludf.DUMMYFUNCTION("""COMPUTED_VALUE"""),"No")</f>
        <v>No</v>
      </c>
      <c r="W31" s="121">
        <f ca="1">IFERROR(__xludf.DUMMYFUNCTION("""COMPUTED_VALUE"""),4)</f>
        <v>4</v>
      </c>
      <c r="X31" s="121" t="str">
        <f ca="1">IFERROR(__xludf.DUMMYFUNCTION("""COMPUTED_VALUE"""),"Mohammad Elyas Safazada")</f>
        <v>Mohammad Elyas Safazada</v>
      </c>
      <c r="Y31" s="124">
        <f ca="1">IFERROR(__xludf.DUMMYFUNCTION("""COMPUTED_VALUE"""),45964)</f>
        <v>45964</v>
      </c>
      <c r="Z31" s="121" t="str">
        <f ca="1">IFERROR(__xludf.DUMMYFUNCTION("""COMPUTED_VALUE"""),"Approved")</f>
        <v>Approved</v>
      </c>
      <c r="AA31" s="121"/>
      <c r="AB31" s="121"/>
    </row>
    <row r="32" spans="1:28">
      <c r="A32" s="121" t="str">
        <f ca="1">IFERROR(__xludf.DUMMYFUNCTION("""COMPUTED_VALUE"""),"uuid:ddc575f7-acb5-4a07-8b8c-f54096f0a401")</f>
        <v>uuid:ddc575f7-acb5-4a07-8b8c-f54096f0a401</v>
      </c>
      <c r="B32" s="121" t="str">
        <f ca="1">IFERROR(__xludf.DUMMYFUNCTION("""COMPUTED_VALUE"""),"FR2579")</f>
        <v>FR2579</v>
      </c>
      <c r="C32" s="121" t="str">
        <f ca="1">IFERROR(__xludf.DUMMYFUNCTION("""COMPUTED_VALUE"""),"Ahmad Sear Malikzai")</f>
        <v>Ahmad Sear Malikzai</v>
      </c>
      <c r="D32" s="121" t="str">
        <f ca="1">IFERROR(__xludf.DUMMYFUNCTION("""COMPUTED_VALUE"""),"HER-NGR-HF3780-Q2-2025-1049-01")</f>
        <v>HER-NGR-HF3780-Q2-2025-1049-01</v>
      </c>
      <c r="E32" s="121" t="str">
        <f ca="1">IFERROR(__xludf.DUMMYFUNCTION("""COMPUTED_VALUE"""),"Nangarhar")</f>
        <v>Nangarhar</v>
      </c>
      <c r="F32" s="121" t="str">
        <f ca="1">IFERROR(__xludf.DUMMYFUNCTION("""COMPUTED_VALUE"""),"Kama")</f>
        <v>Kama</v>
      </c>
      <c r="G32" s="121" t="str">
        <f ca="1">IFERROR(__xludf.DUMMYFUNCTION("""COMPUTED_VALUE"""),"Deh Ghazi SC (3780)")</f>
        <v>Deh Ghazi SC (3780)</v>
      </c>
      <c r="H32" s="121" t="str">
        <f ca="1">IFERROR(__xludf.DUMMYFUNCTION("""COMPUTED_VALUE"""),"SHC")</f>
        <v>SHC</v>
      </c>
      <c r="I32" s="122">
        <f ca="1">IFERROR(__xludf.DUMMYFUNCTION("""COMPUTED_VALUE"""),10.2833333333333)</f>
        <v>10.283333333333299</v>
      </c>
      <c r="J32" s="123">
        <f ca="1">IFERROR(__xludf.DUMMYFUNCTION("""COMPUTED_VALUE"""),45960)</f>
        <v>45960</v>
      </c>
      <c r="K32" s="123">
        <f ca="1">IFERROR(__xludf.DUMMYFUNCTION("""COMPUTED_VALUE"""),45960)</f>
        <v>45960</v>
      </c>
      <c r="L32" s="121" t="str">
        <f ca="1">IFERROR(__xludf.DUMMYFUNCTION("""COMPUTED_VALUE"""),"Vignette [1] Respiratory Infection: Pneumonia")</f>
        <v>Vignette [1] Respiratory Infection: Pneumonia</v>
      </c>
      <c r="M32" s="121" t="str">
        <f ca="1">IFERROR(__xludf.DUMMYFUNCTION("""COMPUTED_VALUE"""),"Vignette")</f>
        <v>Vignette</v>
      </c>
      <c r="N32" s="121" t="str">
        <f ca="1">IFERROR(__xludf.DUMMYFUNCTION("""COMPUTED_VALUE"""),"N/A")</f>
        <v>N/A</v>
      </c>
      <c r="O32" s="121"/>
      <c r="P32" s="121" t="str">
        <f ca="1">IFERROR(__xludf.DUMMYFUNCTION("""COMPUTED_VALUE""")," Voice of both sides is clear")</f>
        <v xml:space="preserve"> Voice of both sides is clear</v>
      </c>
      <c r="Q32" s="121" t="str">
        <f ca="1">IFERROR(__xludf.DUMMYFUNCTION("""COMPUTED_VALUE"""),"No Photo")</f>
        <v>No Photo</v>
      </c>
      <c r="R32" s="121" t="str">
        <f ca="1">IFERROR(__xludf.DUMMYFUNCTION("""COMPUTED_VALUE"""),"No")</f>
        <v>No</v>
      </c>
      <c r="S32" s="121"/>
      <c r="T32" s="121" t="str">
        <f ca="1">IFERROR(__xludf.DUMMYFUNCTION("""COMPUTED_VALUE"""),"Checked")</f>
        <v>Checked</v>
      </c>
      <c r="U32" s="121" t="str">
        <f ca="1">IFERROR(__xludf.DUMMYFUNCTION("""COMPUTED_VALUE"""),"No")</f>
        <v>No</v>
      </c>
      <c r="V32" s="121" t="str">
        <f ca="1">IFERROR(__xludf.DUMMYFUNCTION("""COMPUTED_VALUE"""),"No")</f>
        <v>No</v>
      </c>
      <c r="W32" s="121">
        <f ca="1">IFERROR(__xludf.DUMMYFUNCTION("""COMPUTED_VALUE"""),3)</f>
        <v>3</v>
      </c>
      <c r="X32" s="121" t="str">
        <f ca="1">IFERROR(__xludf.DUMMYFUNCTION("""COMPUTED_VALUE"""),"Mahdia Stanikzai")</f>
        <v>Mahdia Stanikzai</v>
      </c>
      <c r="Y32" s="124">
        <f ca="1">IFERROR(__xludf.DUMMYFUNCTION("""COMPUTED_VALUE"""),45963)</f>
        <v>45963</v>
      </c>
      <c r="Z32" s="121" t="str">
        <f ca="1">IFERROR(__xludf.DUMMYFUNCTION("""COMPUTED_VALUE"""),"Approved")</f>
        <v>Approved</v>
      </c>
      <c r="AA32" s="121"/>
      <c r="AB32" s="121"/>
    </row>
    <row r="33" spans="1:28">
      <c r="A33" s="121" t="str">
        <f ca="1">IFERROR(__xludf.DUMMYFUNCTION("""COMPUTED_VALUE"""),"uuid:864022e2-c945-489b-afcc-6de8006a1f5e")</f>
        <v>uuid:864022e2-c945-489b-afcc-6de8006a1f5e</v>
      </c>
      <c r="B33" s="121" t="str">
        <f ca="1">IFERROR(__xludf.DUMMYFUNCTION("""COMPUTED_VALUE"""),"FR2579")</f>
        <v>FR2579</v>
      </c>
      <c r="C33" s="121" t="str">
        <f ca="1">IFERROR(__xludf.DUMMYFUNCTION("""COMPUTED_VALUE"""),"Ahmad Sear Malikzai")</f>
        <v>Ahmad Sear Malikzai</v>
      </c>
      <c r="D33" s="121" t="str">
        <f ca="1">IFERROR(__xludf.DUMMYFUNCTION("""COMPUTED_VALUE"""),"HER-NGR-HF3780-Q2-2025-1049-01")</f>
        <v>HER-NGR-HF3780-Q2-2025-1049-01</v>
      </c>
      <c r="E33" s="121" t="str">
        <f ca="1">IFERROR(__xludf.DUMMYFUNCTION("""COMPUTED_VALUE"""),"Nangarhar")</f>
        <v>Nangarhar</v>
      </c>
      <c r="F33" s="121" t="str">
        <f ca="1">IFERROR(__xludf.DUMMYFUNCTION("""COMPUTED_VALUE"""),"Kama")</f>
        <v>Kama</v>
      </c>
      <c r="G33" s="121" t="str">
        <f ca="1">IFERROR(__xludf.DUMMYFUNCTION("""COMPUTED_VALUE"""),"Deh Ghazi SC (3780)")</f>
        <v>Deh Ghazi SC (3780)</v>
      </c>
      <c r="H33" s="121" t="str">
        <f ca="1">IFERROR(__xludf.DUMMYFUNCTION("""COMPUTED_VALUE"""),"SHC")</f>
        <v>SHC</v>
      </c>
      <c r="I33" s="122">
        <f ca="1">IFERROR(__xludf.DUMMYFUNCTION("""COMPUTED_VALUE"""),5.96666666666666)</f>
        <v>5.9666666666666597</v>
      </c>
      <c r="J33" s="123">
        <f ca="1">IFERROR(__xludf.DUMMYFUNCTION("""COMPUTED_VALUE"""),45960)</f>
        <v>45960</v>
      </c>
      <c r="K33" s="123">
        <f ca="1">IFERROR(__xludf.DUMMYFUNCTION("""COMPUTED_VALUE"""),45960)</f>
        <v>45960</v>
      </c>
      <c r="L33" s="121" t="str">
        <f ca="1">IFERROR(__xludf.DUMMYFUNCTION("""COMPUTED_VALUE"""),"Vignette [4]: The management of presumptive TB patient")</f>
        <v>Vignette [4]: The management of presumptive TB patient</v>
      </c>
      <c r="M33" s="121" t="str">
        <f ca="1">IFERROR(__xludf.DUMMYFUNCTION("""COMPUTED_VALUE"""),"Vignette")</f>
        <v>Vignette</v>
      </c>
      <c r="N33" s="121" t="str">
        <f ca="1">IFERROR(__xludf.DUMMYFUNCTION("""COMPUTED_VALUE"""),"N/A")</f>
        <v>N/A</v>
      </c>
      <c r="O33" s="121"/>
      <c r="P33" s="121" t="str">
        <f ca="1">IFERROR(__xludf.DUMMYFUNCTION("""COMPUTED_VALUE""")," Voice of both sides is clear")</f>
        <v xml:space="preserve"> Voice of both sides is clear</v>
      </c>
      <c r="Q33" s="121" t="str">
        <f ca="1">IFERROR(__xludf.DUMMYFUNCTION("""COMPUTED_VALUE"""),"No Photo")</f>
        <v>No Photo</v>
      </c>
      <c r="R33" s="121" t="str">
        <f ca="1">IFERROR(__xludf.DUMMYFUNCTION("""COMPUTED_VALUE"""),"No")</f>
        <v>No</v>
      </c>
      <c r="S33" s="121"/>
      <c r="T33" s="121" t="str">
        <f ca="1">IFERROR(__xludf.DUMMYFUNCTION("""COMPUTED_VALUE"""),"Checked")</f>
        <v>Checked</v>
      </c>
      <c r="U33" s="121" t="str">
        <f ca="1">IFERROR(__xludf.DUMMYFUNCTION("""COMPUTED_VALUE"""),"No")</f>
        <v>No</v>
      </c>
      <c r="V33" s="121" t="str">
        <f ca="1">IFERROR(__xludf.DUMMYFUNCTION("""COMPUTED_VALUE"""),"No")</f>
        <v>No</v>
      </c>
      <c r="W33" s="121">
        <f ca="1">IFERROR(__xludf.DUMMYFUNCTION("""COMPUTED_VALUE"""),4)</f>
        <v>4</v>
      </c>
      <c r="X33" s="121" t="str">
        <f ca="1">IFERROR(__xludf.DUMMYFUNCTION("""COMPUTED_VALUE"""),"Mahdia Stanikzai")</f>
        <v>Mahdia Stanikzai</v>
      </c>
      <c r="Y33" s="124">
        <f ca="1">IFERROR(__xludf.DUMMYFUNCTION("""COMPUTED_VALUE"""),45963)</f>
        <v>45963</v>
      </c>
      <c r="Z33" s="121" t="str">
        <f ca="1">IFERROR(__xludf.DUMMYFUNCTION("""COMPUTED_VALUE"""),"Approved")</f>
        <v>Approved</v>
      </c>
      <c r="AA33" s="121"/>
      <c r="AB33" s="121"/>
    </row>
    <row r="34" spans="1:28">
      <c r="A34" s="121" t="str">
        <f ca="1">IFERROR(__xludf.DUMMYFUNCTION("""COMPUTED_VALUE"""),"uuid:cf0e3d0d-f569-450b-8c22-818d3ba82e6d")</f>
        <v>uuid:cf0e3d0d-f569-450b-8c22-818d3ba82e6d</v>
      </c>
      <c r="B34" s="121" t="str">
        <f ca="1">IFERROR(__xludf.DUMMYFUNCTION("""COMPUTED_VALUE"""),"FR2579")</f>
        <v>FR2579</v>
      </c>
      <c r="C34" s="121" t="str">
        <f ca="1">IFERROR(__xludf.DUMMYFUNCTION("""COMPUTED_VALUE"""),"Ahmad Sear Malikzai")</f>
        <v>Ahmad Sear Malikzai</v>
      </c>
      <c r="D34" s="121" t="str">
        <f ca="1">IFERROR(__xludf.DUMMYFUNCTION("""COMPUTED_VALUE"""),"HER-NGR-HF3780-Q2-2025-1049-01")</f>
        <v>HER-NGR-HF3780-Q2-2025-1049-01</v>
      </c>
      <c r="E34" s="121" t="str">
        <f ca="1">IFERROR(__xludf.DUMMYFUNCTION("""COMPUTED_VALUE"""),"Nangarhar")</f>
        <v>Nangarhar</v>
      </c>
      <c r="F34" s="121" t="str">
        <f ca="1">IFERROR(__xludf.DUMMYFUNCTION("""COMPUTED_VALUE"""),"Kama")</f>
        <v>Kama</v>
      </c>
      <c r="G34" s="121" t="str">
        <f ca="1">IFERROR(__xludf.DUMMYFUNCTION("""COMPUTED_VALUE"""),"Deh Ghazi SC (3780)")</f>
        <v>Deh Ghazi SC (3780)</v>
      </c>
      <c r="H34" s="121" t="str">
        <f ca="1">IFERROR(__xludf.DUMMYFUNCTION("""COMPUTED_VALUE"""),"SHC")</f>
        <v>SHC</v>
      </c>
      <c r="I34" s="122">
        <f ca="1">IFERROR(__xludf.DUMMYFUNCTION("""COMPUTED_VALUE"""),13.9666666666666)</f>
        <v>13.966666666666599</v>
      </c>
      <c r="J34" s="123">
        <f ca="1">IFERROR(__xludf.DUMMYFUNCTION("""COMPUTED_VALUE"""),45960)</f>
        <v>45960</v>
      </c>
      <c r="K34" s="123">
        <f ca="1">IFERROR(__xludf.DUMMYFUNCTION("""COMPUTED_VALUE"""),45960)</f>
        <v>45960</v>
      </c>
      <c r="L34" s="121" t="str">
        <f ca="1">IFERROR(__xludf.DUMMYFUNCTION("""COMPUTED_VALUE"""),"Exit Interview 1")</f>
        <v>Exit Interview 1</v>
      </c>
      <c r="M34" s="121" t="str">
        <f ca="1">IFERROR(__xludf.DUMMYFUNCTION("""COMPUTED_VALUE"""),"Vignette")</f>
        <v>Vignette</v>
      </c>
      <c r="N34" s="121" t="str">
        <f ca="1">IFERROR(__xludf.DUMMYFUNCTION("""COMPUTED_VALUE"""),"N/A")</f>
        <v>N/A</v>
      </c>
      <c r="O34" s="121"/>
      <c r="P34" s="121" t="str">
        <f ca="1">IFERROR(__xludf.DUMMYFUNCTION("""COMPUTED_VALUE""")," Voice of both sides is clear")</f>
        <v xml:space="preserve"> Voice of both sides is clear</v>
      </c>
      <c r="Q34" s="121" t="str">
        <f ca="1">IFERROR(__xludf.DUMMYFUNCTION("""COMPUTED_VALUE"""),"No Photo")</f>
        <v>No Photo</v>
      </c>
      <c r="R34" s="121" t="str">
        <f ca="1">IFERROR(__xludf.DUMMYFUNCTION("""COMPUTED_VALUE"""),"No")</f>
        <v>No</v>
      </c>
      <c r="S34" s="121"/>
      <c r="T34" s="121" t="str">
        <f ca="1">IFERROR(__xludf.DUMMYFUNCTION("""COMPUTED_VALUE"""),"Checked")</f>
        <v>Checked</v>
      </c>
      <c r="U34" s="121" t="str">
        <f ca="1">IFERROR(__xludf.DUMMYFUNCTION("""COMPUTED_VALUE"""),"No")</f>
        <v>No</v>
      </c>
      <c r="V34" s="121" t="str">
        <f ca="1">IFERROR(__xludf.DUMMYFUNCTION("""COMPUTED_VALUE"""),"No")</f>
        <v>No</v>
      </c>
      <c r="W34" s="121">
        <f ca="1">IFERROR(__xludf.DUMMYFUNCTION("""COMPUTED_VALUE"""),4)</f>
        <v>4</v>
      </c>
      <c r="X34" s="121" t="str">
        <f ca="1">IFERROR(__xludf.DUMMYFUNCTION("""COMPUTED_VALUE"""),"Mahdia Stanikzai")</f>
        <v>Mahdia Stanikzai</v>
      </c>
      <c r="Y34" s="124">
        <f ca="1">IFERROR(__xludf.DUMMYFUNCTION("""COMPUTED_VALUE"""),45963)</f>
        <v>45963</v>
      </c>
      <c r="Z34" s="121" t="str">
        <f ca="1">IFERROR(__xludf.DUMMYFUNCTION("""COMPUTED_VALUE"""),"Approved")</f>
        <v>Approved</v>
      </c>
      <c r="AA34" s="121"/>
      <c r="AB34" s="121"/>
    </row>
    <row r="35" spans="1:28">
      <c r="A35" s="121" t="str">
        <f ca="1">IFERROR(__xludf.DUMMYFUNCTION("""COMPUTED_VALUE"""),"uuid:bde08b0f-ed56-4df8-a95a-8a9cdc807828")</f>
        <v>uuid:bde08b0f-ed56-4df8-a95a-8a9cdc807828</v>
      </c>
      <c r="B35" s="121" t="str">
        <f ca="1">IFERROR(__xludf.DUMMYFUNCTION("""COMPUTED_VALUE"""),"FR0220")</f>
        <v>FR0220</v>
      </c>
      <c r="C35" s="121" t="str">
        <f ca="1">IFERROR(__xludf.DUMMYFUNCTION("""COMPUTED_VALUE"""),"Raihana Sediqi")</f>
        <v>Raihana Sediqi</v>
      </c>
      <c r="D35" s="121" t="str">
        <f ca="1">IFERROR(__xludf.DUMMYFUNCTION("""COMPUTED_VALUE"""),"HER-NGR-HF3780-Q2-2025-1049-01")</f>
        <v>HER-NGR-HF3780-Q2-2025-1049-01</v>
      </c>
      <c r="E35" s="121" t="str">
        <f ca="1">IFERROR(__xludf.DUMMYFUNCTION("""COMPUTED_VALUE"""),"Nangarhar")</f>
        <v>Nangarhar</v>
      </c>
      <c r="F35" s="121" t="str">
        <f ca="1">IFERROR(__xludf.DUMMYFUNCTION("""COMPUTED_VALUE"""),"Kama")</f>
        <v>Kama</v>
      </c>
      <c r="G35" s="121" t="str">
        <f ca="1">IFERROR(__xludf.DUMMYFUNCTION("""COMPUTED_VALUE"""),"Deh Ghazi SC (3780)")</f>
        <v>Deh Ghazi SC (3780)</v>
      </c>
      <c r="H35" s="121" t="str">
        <f ca="1">IFERROR(__xludf.DUMMYFUNCTION("""COMPUTED_VALUE"""),"SHC")</f>
        <v>SHC</v>
      </c>
      <c r="I35" s="122">
        <f ca="1">IFERROR(__xludf.DUMMYFUNCTION("""COMPUTED_VALUE"""),17)</f>
        <v>17</v>
      </c>
      <c r="J35" s="123">
        <f ca="1">IFERROR(__xludf.DUMMYFUNCTION("""COMPUTED_VALUE"""),45960)</f>
        <v>45960</v>
      </c>
      <c r="K35" s="123">
        <f ca="1">IFERROR(__xludf.DUMMYFUNCTION("""COMPUTED_VALUE"""),45960)</f>
        <v>45960</v>
      </c>
      <c r="L35" s="121" t="str">
        <f ca="1">IFERROR(__xludf.DUMMYFUNCTION("""COMPUTED_VALUE"""),"Vignette [3] Growth Monitoring and Promotion")</f>
        <v>Vignette [3] Growth Monitoring and Promotion</v>
      </c>
      <c r="M35" s="121" t="str">
        <f ca="1">IFERROR(__xludf.DUMMYFUNCTION("""COMPUTED_VALUE"""),"Vignette")</f>
        <v>Vignette</v>
      </c>
      <c r="N35" s="121" t="str">
        <f ca="1">IFERROR(__xludf.DUMMYFUNCTION("""COMPUTED_VALUE"""),"N/A")</f>
        <v>N/A</v>
      </c>
      <c r="O35" s="121" t="str">
        <f ca="1">IFERROR(__xludf.DUMMYFUNCTION("""COMPUTED_VALUE"""),"No")</f>
        <v>No</v>
      </c>
      <c r="P35" s="121" t="str">
        <f ca="1">IFERROR(__xludf.DUMMYFUNCTION("""COMPUTED_VALUE""")," Voice of both sides is clear")</f>
        <v xml:space="preserve"> Voice of both sides is clear</v>
      </c>
      <c r="Q35" s="121" t="str">
        <f ca="1">IFERROR(__xludf.DUMMYFUNCTION("""COMPUTED_VALUE"""),"No Photo")</f>
        <v>No Photo</v>
      </c>
      <c r="R35" s="121" t="str">
        <f ca="1">IFERROR(__xludf.DUMMYFUNCTION("""COMPUTED_VALUE"""),"No")</f>
        <v>No</v>
      </c>
      <c r="S35" s="121"/>
      <c r="T35" s="121" t="str">
        <f ca="1">IFERROR(__xludf.DUMMYFUNCTION("""COMPUTED_VALUE"""),"Checked")</f>
        <v>Checked</v>
      </c>
      <c r="U35" s="121" t="str">
        <f ca="1">IFERROR(__xludf.DUMMYFUNCTION("""COMPUTED_VALUE"""),"No")</f>
        <v>No</v>
      </c>
      <c r="V35" s="121" t="str">
        <f ca="1">IFERROR(__xludf.DUMMYFUNCTION("""COMPUTED_VALUE"""),"Yes")</f>
        <v>Yes</v>
      </c>
      <c r="W35" s="121">
        <f ca="1">IFERROR(__xludf.DUMMYFUNCTION("""COMPUTED_VALUE"""),3)</f>
        <v>3</v>
      </c>
      <c r="X35" s="121" t="str">
        <f ca="1">IFERROR(__xludf.DUMMYFUNCTION("""COMPUTED_VALUE"""),"Abdullah Mohammadi")</f>
        <v>Abdullah Mohammadi</v>
      </c>
      <c r="Y35" s="124">
        <f ca="1">IFERROR(__xludf.DUMMYFUNCTION("""COMPUTED_VALUE"""),45963)</f>
        <v>45963</v>
      </c>
      <c r="Z35" s="121" t="str">
        <f ca="1">IFERROR(__xludf.DUMMYFUNCTION("""COMPUTED_VALUE"""),"Approved")</f>
        <v>Approved</v>
      </c>
      <c r="AA35" s="121"/>
      <c r="AB35" s="121"/>
    </row>
    <row r="36" spans="1:28">
      <c r="A36" s="121" t="str">
        <f ca="1">IFERROR(__xludf.DUMMYFUNCTION("""COMPUTED_VALUE"""),"uuid:e9f6c3f2-fbc1-4672-99c1-4812f8c04e08")</f>
        <v>uuid:e9f6c3f2-fbc1-4672-99c1-4812f8c04e08</v>
      </c>
      <c r="B36" s="121" t="str">
        <f ca="1">IFERROR(__xludf.DUMMYFUNCTION("""COMPUTED_VALUE"""),"FR0220")</f>
        <v>FR0220</v>
      </c>
      <c r="C36" s="121" t="str">
        <f ca="1">IFERROR(__xludf.DUMMYFUNCTION("""COMPUTED_VALUE"""),"Raihana Sediqi")</f>
        <v>Raihana Sediqi</v>
      </c>
      <c r="D36" s="121" t="str">
        <f ca="1">IFERROR(__xludf.DUMMYFUNCTION("""COMPUTED_VALUE"""),"HER-NGR-HF3780-Q2-2025-1049-01")</f>
        <v>HER-NGR-HF3780-Q2-2025-1049-01</v>
      </c>
      <c r="E36" s="121" t="str">
        <f ca="1">IFERROR(__xludf.DUMMYFUNCTION("""COMPUTED_VALUE"""),"Nangarhar")</f>
        <v>Nangarhar</v>
      </c>
      <c r="F36" s="121" t="str">
        <f ca="1">IFERROR(__xludf.DUMMYFUNCTION("""COMPUTED_VALUE"""),"Kama")</f>
        <v>Kama</v>
      </c>
      <c r="G36" s="121" t="str">
        <f ca="1">IFERROR(__xludf.DUMMYFUNCTION("""COMPUTED_VALUE"""),"Deh Ghazi SC (3780)")</f>
        <v>Deh Ghazi SC (3780)</v>
      </c>
      <c r="H36" s="121" t="str">
        <f ca="1">IFERROR(__xludf.DUMMYFUNCTION("""COMPUTED_VALUE"""),"SHC")</f>
        <v>SHC</v>
      </c>
      <c r="I36" s="122">
        <f ca="1">IFERROR(__xludf.DUMMYFUNCTION("""COMPUTED_VALUE"""),38.9)</f>
        <v>38.9</v>
      </c>
      <c r="J36" s="123">
        <f ca="1">IFERROR(__xludf.DUMMYFUNCTION("""COMPUTED_VALUE"""),45960)</f>
        <v>45960</v>
      </c>
      <c r="K36" s="123">
        <f ca="1">IFERROR(__xludf.DUMMYFUNCTION("""COMPUTED_VALUE"""),45960)</f>
        <v>45960</v>
      </c>
      <c r="L36" s="121" t="str">
        <f ca="1">IFERROR(__xludf.DUMMYFUNCTION("""COMPUTED_VALUE"""),"Vignette [7] First ANC Visit")</f>
        <v>Vignette [7] First ANC Visit</v>
      </c>
      <c r="M36" s="121" t="str">
        <f ca="1">IFERROR(__xludf.DUMMYFUNCTION("""COMPUTED_VALUE"""),"Vignette")</f>
        <v>Vignette</v>
      </c>
      <c r="N36" s="121" t="str">
        <f ca="1">IFERROR(__xludf.DUMMYFUNCTION("""COMPUTED_VALUE"""),"N/A")</f>
        <v>N/A</v>
      </c>
      <c r="O36" s="121" t="str">
        <f ca="1">IFERROR(__xludf.DUMMYFUNCTION("""COMPUTED_VALUE"""),"No")</f>
        <v>No</v>
      </c>
      <c r="P36" s="121" t="str">
        <f ca="1">IFERROR(__xludf.DUMMYFUNCTION("""COMPUTED_VALUE""")," Voice of both sides is clear")</f>
        <v xml:space="preserve"> Voice of both sides is clear</v>
      </c>
      <c r="Q36" s="121" t="str">
        <f ca="1">IFERROR(__xludf.DUMMYFUNCTION("""COMPUTED_VALUE"""),"No Photo")</f>
        <v>No Photo</v>
      </c>
      <c r="R36" s="121" t="str">
        <f ca="1">IFERROR(__xludf.DUMMYFUNCTION("""COMPUTED_VALUE"""),"No")</f>
        <v>No</v>
      </c>
      <c r="S36" s="121"/>
      <c r="T36" s="121" t="str">
        <f ca="1">IFERROR(__xludf.DUMMYFUNCTION("""COMPUTED_VALUE"""),"Checked")</f>
        <v>Checked</v>
      </c>
      <c r="U36" s="121" t="str">
        <f ca="1">IFERROR(__xludf.DUMMYFUNCTION("""COMPUTED_VALUE"""),"No")</f>
        <v>No</v>
      </c>
      <c r="V36" s="121" t="str">
        <f ca="1">IFERROR(__xludf.DUMMYFUNCTION("""COMPUTED_VALUE"""),"Yes")</f>
        <v>Yes</v>
      </c>
      <c r="W36" s="121">
        <f ca="1">IFERROR(__xludf.DUMMYFUNCTION("""COMPUTED_VALUE"""),2)</f>
        <v>2</v>
      </c>
      <c r="X36" s="121" t="str">
        <f ca="1">IFERROR(__xludf.DUMMYFUNCTION("""COMPUTED_VALUE"""),"Abdullah Mohammadi")</f>
        <v>Abdullah Mohammadi</v>
      </c>
      <c r="Y36" s="124">
        <f ca="1">IFERROR(__xludf.DUMMYFUNCTION("""COMPUTED_VALUE"""),45963)</f>
        <v>45963</v>
      </c>
      <c r="Z36" s="121" t="str">
        <f ca="1">IFERROR(__xludf.DUMMYFUNCTION("""COMPUTED_VALUE"""),"Rejected")</f>
        <v>Rejected</v>
      </c>
      <c r="AA36" s="121" t="str">
        <f ca="1">IFERROR(__xludf.DUMMYFUNCTION("""COMPUTED_VALUE"""),"Does not follow DC rules (e.g. read options)")</f>
        <v>Does not follow DC rules (e.g. read options)</v>
      </c>
      <c r="AB36" s="121" t="str">
        <f ca="1">IFERROR(__xludf.DUMMYFUNCTION("""COMPUTED_VALUE"""),"The surveyor informs the interviewer which questions to ask and what to say, and as a result, their form is rejected.")</f>
        <v>The surveyor informs the interviewer which questions to ask and what to say, and as a result, their form is rejected.</v>
      </c>
    </row>
    <row r="37" spans="1:28">
      <c r="A37" s="121" t="str">
        <f ca="1">IFERROR(__xludf.DUMMYFUNCTION("""COMPUTED_VALUE"""),"uuid:1c39fbc7-ca50-426b-b584-15896c9575f8")</f>
        <v>uuid:1c39fbc7-ca50-426b-b584-15896c9575f8</v>
      </c>
      <c r="B37" s="121" t="str">
        <f ca="1">IFERROR(__xludf.DUMMYFUNCTION("""COMPUTED_VALUE"""),"FR0220")</f>
        <v>FR0220</v>
      </c>
      <c r="C37" s="121" t="str">
        <f ca="1">IFERROR(__xludf.DUMMYFUNCTION("""COMPUTED_VALUE"""),"Raihana Sediqi")</f>
        <v>Raihana Sediqi</v>
      </c>
      <c r="D37" s="121" t="str">
        <f ca="1">IFERROR(__xludf.DUMMYFUNCTION("""COMPUTED_VALUE"""),"HER-NGR-HF3780-Q2-2025-1049-01")</f>
        <v>HER-NGR-HF3780-Q2-2025-1049-01</v>
      </c>
      <c r="E37" s="121" t="str">
        <f ca="1">IFERROR(__xludf.DUMMYFUNCTION("""COMPUTED_VALUE"""),"Nangarhar")</f>
        <v>Nangarhar</v>
      </c>
      <c r="F37" s="121" t="str">
        <f ca="1">IFERROR(__xludf.DUMMYFUNCTION("""COMPUTED_VALUE"""),"Kama")</f>
        <v>Kama</v>
      </c>
      <c r="G37" s="121" t="str">
        <f ca="1">IFERROR(__xludf.DUMMYFUNCTION("""COMPUTED_VALUE"""),"Deh Ghazi SC (3780)")</f>
        <v>Deh Ghazi SC (3780)</v>
      </c>
      <c r="H37" s="121" t="str">
        <f ca="1">IFERROR(__xludf.DUMMYFUNCTION("""COMPUTED_VALUE"""),"SHC")</f>
        <v>SHC</v>
      </c>
      <c r="I37" s="122">
        <f ca="1">IFERROR(__xludf.DUMMYFUNCTION("""COMPUTED_VALUE"""),35.0666666666666)</f>
        <v>35.066666666666599</v>
      </c>
      <c r="J37" s="123">
        <f ca="1">IFERROR(__xludf.DUMMYFUNCTION("""COMPUTED_VALUE"""),45960)</f>
        <v>45960</v>
      </c>
      <c r="K37" s="123">
        <f ca="1">IFERROR(__xludf.DUMMYFUNCTION("""COMPUTED_VALUE"""),45960)</f>
        <v>45960</v>
      </c>
      <c r="L37" s="121" t="str">
        <f ca="1">IFERROR(__xludf.DUMMYFUNCTION("""COMPUTED_VALUE"""),"Vignette [6] PNC pre Discharge")</f>
        <v>Vignette [6] PNC pre Discharge</v>
      </c>
      <c r="M37" s="121" t="str">
        <f ca="1">IFERROR(__xludf.DUMMYFUNCTION("""COMPUTED_VALUE"""),"Vignette")</f>
        <v>Vignette</v>
      </c>
      <c r="N37" s="121" t="str">
        <f ca="1">IFERROR(__xludf.DUMMYFUNCTION("""COMPUTED_VALUE"""),"N/A")</f>
        <v>N/A</v>
      </c>
      <c r="O37" s="121"/>
      <c r="P37" s="121"/>
      <c r="Q37" s="121"/>
      <c r="R37" s="121"/>
      <c r="S37" s="121"/>
      <c r="T37" s="121"/>
      <c r="U37" s="121"/>
      <c r="V37" s="121"/>
      <c r="W37" s="121"/>
      <c r="X37" s="121" t="str">
        <f ca="1">IFERROR(__xludf.DUMMYFUNCTION("""COMPUTED_VALUE"""),"Abdullah Mohammadi")</f>
        <v>Abdullah Mohammadi</v>
      </c>
      <c r="Y37" s="124">
        <f ca="1">IFERROR(__xludf.DUMMYFUNCTION("""COMPUTED_VALUE"""),45963)</f>
        <v>45963</v>
      </c>
      <c r="Z37" s="121"/>
      <c r="AA37" s="121"/>
      <c r="AB37" s="121"/>
    </row>
    <row r="38" spans="1:28">
      <c r="A38" s="121" t="str">
        <f ca="1">IFERROR(__xludf.DUMMYFUNCTION("""COMPUTED_VALUE"""),"uuid:8054749b-df2a-46a1-927f-9b14d0736fb5")</f>
        <v>uuid:8054749b-df2a-46a1-927f-9b14d0736fb5</v>
      </c>
      <c r="B38" s="121" t="str">
        <f ca="1">IFERROR(__xludf.DUMMYFUNCTION("""COMPUTED_VALUE"""),"FR4015")</f>
        <v>FR4015</v>
      </c>
      <c r="C38" s="121" t="str">
        <f ca="1">IFERROR(__xludf.DUMMYFUNCTION("""COMPUTED_VALUE"""),"Nasratullah Danish")</f>
        <v>Nasratullah Danish</v>
      </c>
      <c r="D38" s="121" t="str">
        <f ca="1">IFERROR(__xludf.DUMMYFUNCTION("""COMPUTED_VALUE"""),"HER-LGM-HF2638-Q2-2025-1155-01")</f>
        <v>HER-LGM-HF2638-Q2-2025-1155-01</v>
      </c>
      <c r="E38" s="121" t="str">
        <f ca="1">IFERROR(__xludf.DUMMYFUNCTION("""COMPUTED_VALUE"""),"Laghman")</f>
        <v>Laghman</v>
      </c>
      <c r="F38" s="121" t="str">
        <f ca="1">IFERROR(__xludf.DUMMYFUNCTION("""COMPUTED_VALUE"""),"Aleengar")</f>
        <v>Aleengar</v>
      </c>
      <c r="G38" s="121" t="str">
        <f ca="1">IFERROR(__xludf.DUMMYFUNCTION("""COMPUTED_VALUE"""),"Sur SHC (2638)")</f>
        <v>Sur SHC (2638)</v>
      </c>
      <c r="H38" s="121" t="str">
        <f ca="1">IFERROR(__xludf.DUMMYFUNCTION("""COMPUTED_VALUE"""),"SHC")</f>
        <v>SHC</v>
      </c>
      <c r="I38" s="122">
        <f ca="1">IFERROR(__xludf.DUMMYFUNCTION("""COMPUTED_VALUE"""),12.3833333333333)</f>
        <v>12.383333333333301</v>
      </c>
      <c r="J38" s="123">
        <f ca="1">IFERROR(__xludf.DUMMYFUNCTION("""COMPUTED_VALUE"""),45961)</f>
        <v>45961</v>
      </c>
      <c r="K38" s="123">
        <f ca="1">IFERROR(__xludf.DUMMYFUNCTION("""COMPUTED_VALUE"""),45960)</f>
        <v>45960</v>
      </c>
      <c r="L38" s="121" t="str">
        <f ca="1">IFERROR(__xludf.DUMMYFUNCTION("""COMPUTED_VALUE"""),"Exit Interview 1")</f>
        <v>Exit Interview 1</v>
      </c>
      <c r="M38" s="121" t="str">
        <f ca="1">IFERROR(__xludf.DUMMYFUNCTION("""COMPUTED_VALUE"""),"Vignette")</f>
        <v>Vignette</v>
      </c>
      <c r="N38" s="121" t="str">
        <f ca="1">IFERROR(__xludf.DUMMYFUNCTION("""COMPUTED_VALUE"""),"N/A")</f>
        <v>N/A</v>
      </c>
      <c r="O38" s="121"/>
      <c r="P38" s="121" t="str">
        <f ca="1">IFERROR(__xludf.DUMMYFUNCTION("""COMPUTED_VALUE""")," Voice of both sides is clear")</f>
        <v xml:space="preserve"> Voice of both sides is clear</v>
      </c>
      <c r="Q38" s="121"/>
      <c r="R38" s="121" t="str">
        <f ca="1">IFERROR(__xludf.DUMMYFUNCTION("""COMPUTED_VALUE"""),"Yes")</f>
        <v>Yes</v>
      </c>
      <c r="S38" s="121" t="str">
        <f ca="1">IFERROR(__xludf.DUMMYFUNCTION("""COMPUTED_VALUE"""),"Yes")</f>
        <v>Yes</v>
      </c>
      <c r="T38" s="121" t="str">
        <f ca="1">IFERROR(__xludf.DUMMYFUNCTION("""COMPUTED_VALUE"""),"Checked")</f>
        <v>Checked</v>
      </c>
      <c r="U38" s="121" t="str">
        <f ca="1">IFERROR(__xludf.DUMMYFUNCTION("""COMPUTED_VALUE"""),"No")</f>
        <v>No</v>
      </c>
      <c r="V38" s="121" t="str">
        <f ca="1">IFERROR(__xludf.DUMMYFUNCTION("""COMPUTED_VALUE"""),"No")</f>
        <v>No</v>
      </c>
      <c r="W38" s="121">
        <f ca="1">IFERROR(__xludf.DUMMYFUNCTION("""COMPUTED_VALUE"""),4)</f>
        <v>4</v>
      </c>
      <c r="X38" s="121" t="str">
        <f ca="1">IFERROR(__xludf.DUMMYFUNCTION("""COMPUTED_VALUE"""),"Soman Tahiri")</f>
        <v>Soman Tahiri</v>
      </c>
      <c r="Y38" s="124">
        <f ca="1">IFERROR(__xludf.DUMMYFUNCTION("""COMPUTED_VALUE"""),45963)</f>
        <v>45963</v>
      </c>
      <c r="Z38" s="121" t="str">
        <f ca="1">IFERROR(__xludf.DUMMYFUNCTION("""COMPUTED_VALUE"""),"Approved")</f>
        <v>Approved</v>
      </c>
      <c r="AA38" s="121"/>
      <c r="AB38" s="121"/>
    </row>
    <row r="39" spans="1:28">
      <c r="A39" s="121" t="str">
        <f ca="1">IFERROR(__xludf.DUMMYFUNCTION("""COMPUTED_VALUE"""),"uuid:e1c66d2b-47e7-44eb-8044-9eb2c5f58d80")</f>
        <v>uuid:e1c66d2b-47e7-44eb-8044-9eb2c5f58d80</v>
      </c>
      <c r="B39" s="121" t="str">
        <f ca="1">IFERROR(__xludf.DUMMYFUNCTION("""COMPUTED_VALUE"""),"FR4015")</f>
        <v>FR4015</v>
      </c>
      <c r="C39" s="121" t="str">
        <f ca="1">IFERROR(__xludf.DUMMYFUNCTION("""COMPUTED_VALUE"""),"Nasratullah Danish")</f>
        <v>Nasratullah Danish</v>
      </c>
      <c r="D39" s="121" t="str">
        <f ca="1">IFERROR(__xludf.DUMMYFUNCTION("""COMPUTED_VALUE"""),"HER-LGM-HF2638-Q2-2025-1155-01")</f>
        <v>HER-LGM-HF2638-Q2-2025-1155-01</v>
      </c>
      <c r="E39" s="121" t="str">
        <f ca="1">IFERROR(__xludf.DUMMYFUNCTION("""COMPUTED_VALUE"""),"Laghman")</f>
        <v>Laghman</v>
      </c>
      <c r="F39" s="121" t="str">
        <f ca="1">IFERROR(__xludf.DUMMYFUNCTION("""COMPUTED_VALUE"""),"Aleengar")</f>
        <v>Aleengar</v>
      </c>
      <c r="G39" s="121" t="str">
        <f ca="1">IFERROR(__xludf.DUMMYFUNCTION("""COMPUTED_VALUE"""),"Sur SHC (2638)")</f>
        <v>Sur SHC (2638)</v>
      </c>
      <c r="H39" s="121" t="str">
        <f ca="1">IFERROR(__xludf.DUMMYFUNCTION("""COMPUTED_VALUE"""),"SHC")</f>
        <v>SHC</v>
      </c>
      <c r="I39" s="122">
        <f ca="1">IFERROR(__xludf.DUMMYFUNCTION("""COMPUTED_VALUE"""),5.26666666666666)</f>
        <v>5.2666666666666604</v>
      </c>
      <c r="J39" s="123">
        <f ca="1">IFERROR(__xludf.DUMMYFUNCTION("""COMPUTED_VALUE"""),45961)</f>
        <v>45961</v>
      </c>
      <c r="K39" s="123">
        <f ca="1">IFERROR(__xludf.DUMMYFUNCTION("""COMPUTED_VALUE"""),45960)</f>
        <v>45960</v>
      </c>
      <c r="L39" s="121" t="str">
        <f ca="1">IFERROR(__xludf.DUMMYFUNCTION("""COMPUTED_VALUE"""),"Vignette [1] Respiratory Infection: Pneumonia")</f>
        <v>Vignette [1] Respiratory Infection: Pneumonia</v>
      </c>
      <c r="M39" s="121" t="str">
        <f ca="1">IFERROR(__xludf.DUMMYFUNCTION("""COMPUTED_VALUE"""),"Vignette")</f>
        <v>Vignette</v>
      </c>
      <c r="N39" s="121" t="str">
        <f ca="1">IFERROR(__xludf.DUMMYFUNCTION("""COMPUTED_VALUE"""),"N/A")</f>
        <v>N/A</v>
      </c>
      <c r="O39" s="121"/>
      <c r="P39" s="121" t="str">
        <f ca="1">IFERROR(__xludf.DUMMYFUNCTION("""COMPUTED_VALUE""")," Voice of both sides is clear")</f>
        <v xml:space="preserve"> Voice of both sides is clear</v>
      </c>
      <c r="Q39" s="121"/>
      <c r="R39" s="121" t="str">
        <f ca="1">IFERROR(__xludf.DUMMYFUNCTION("""COMPUTED_VALUE"""),"Yes")</f>
        <v>Yes</v>
      </c>
      <c r="S39" s="121" t="str">
        <f ca="1">IFERROR(__xludf.DUMMYFUNCTION("""COMPUTED_VALUE"""),"Yes")</f>
        <v>Yes</v>
      </c>
      <c r="T39" s="121" t="str">
        <f ca="1">IFERROR(__xludf.DUMMYFUNCTION("""COMPUTED_VALUE"""),"Checked")</f>
        <v>Checked</v>
      </c>
      <c r="U39" s="121" t="str">
        <f ca="1">IFERROR(__xludf.DUMMYFUNCTION("""COMPUTED_VALUE"""),"No")</f>
        <v>No</v>
      </c>
      <c r="V39" s="121" t="str">
        <f ca="1">IFERROR(__xludf.DUMMYFUNCTION("""COMPUTED_VALUE"""),"No")</f>
        <v>No</v>
      </c>
      <c r="W39" s="121">
        <f ca="1">IFERROR(__xludf.DUMMYFUNCTION("""COMPUTED_VALUE"""),4)</f>
        <v>4</v>
      </c>
      <c r="X39" s="121" t="str">
        <f ca="1">IFERROR(__xludf.DUMMYFUNCTION("""COMPUTED_VALUE"""),"Soman Tahiri")</f>
        <v>Soman Tahiri</v>
      </c>
      <c r="Y39" s="124">
        <f ca="1">IFERROR(__xludf.DUMMYFUNCTION("""COMPUTED_VALUE"""),45963)</f>
        <v>45963</v>
      </c>
      <c r="Z39" s="121" t="str">
        <f ca="1">IFERROR(__xludf.DUMMYFUNCTION("""COMPUTED_VALUE"""),"Approved")</f>
        <v>Approved</v>
      </c>
      <c r="AA39" s="121"/>
      <c r="AB39" s="121"/>
    </row>
    <row r="40" spans="1:28">
      <c r="A40" s="121" t="str">
        <f ca="1">IFERROR(__xludf.DUMMYFUNCTION("""COMPUTED_VALUE"""),"uuid:7f841721-ab75-4338-9338-9dac30b90263")</f>
        <v>uuid:7f841721-ab75-4338-9338-9dac30b90263</v>
      </c>
      <c r="B40" s="121" t="str">
        <f ca="1">IFERROR(__xludf.DUMMYFUNCTION("""COMPUTED_VALUE"""),"FR4015")</f>
        <v>FR4015</v>
      </c>
      <c r="C40" s="121" t="str">
        <f ca="1">IFERROR(__xludf.DUMMYFUNCTION("""COMPUTED_VALUE"""),"Nasratullah Danish")</f>
        <v>Nasratullah Danish</v>
      </c>
      <c r="D40" s="121" t="str">
        <f ca="1">IFERROR(__xludf.DUMMYFUNCTION("""COMPUTED_VALUE"""),"HER-LGM-HF2638-Q2-2025-1155-01")</f>
        <v>HER-LGM-HF2638-Q2-2025-1155-01</v>
      </c>
      <c r="E40" s="121" t="str">
        <f ca="1">IFERROR(__xludf.DUMMYFUNCTION("""COMPUTED_VALUE"""),"Laghman")</f>
        <v>Laghman</v>
      </c>
      <c r="F40" s="121" t="str">
        <f ca="1">IFERROR(__xludf.DUMMYFUNCTION("""COMPUTED_VALUE"""),"Aleengar")</f>
        <v>Aleengar</v>
      </c>
      <c r="G40" s="121" t="str">
        <f ca="1">IFERROR(__xludf.DUMMYFUNCTION("""COMPUTED_VALUE"""),"Sur SHC (2638)")</f>
        <v>Sur SHC (2638)</v>
      </c>
      <c r="H40" s="121" t="str">
        <f ca="1">IFERROR(__xludf.DUMMYFUNCTION("""COMPUTED_VALUE"""),"SHC")</f>
        <v>SHC</v>
      </c>
      <c r="I40" s="122">
        <f ca="1">IFERROR(__xludf.DUMMYFUNCTION("""COMPUTED_VALUE"""),4.96666666666666)</f>
        <v>4.9666666666666597</v>
      </c>
      <c r="J40" s="123">
        <f ca="1">IFERROR(__xludf.DUMMYFUNCTION("""COMPUTED_VALUE"""),45961)</f>
        <v>45961</v>
      </c>
      <c r="K40" s="123">
        <f ca="1">IFERROR(__xludf.DUMMYFUNCTION("""COMPUTED_VALUE"""),45960)</f>
        <v>45960</v>
      </c>
      <c r="L40" s="121" t="str">
        <f ca="1">IFERROR(__xludf.DUMMYFUNCTION("""COMPUTED_VALUE"""),"Vignette [2]: Diarrhea with Cat B dehydration")</f>
        <v>Vignette [2]: Diarrhea with Cat B dehydration</v>
      </c>
      <c r="M40" s="121" t="str">
        <f ca="1">IFERROR(__xludf.DUMMYFUNCTION("""COMPUTED_VALUE"""),"Vignette")</f>
        <v>Vignette</v>
      </c>
      <c r="N40" s="121" t="str">
        <f ca="1">IFERROR(__xludf.DUMMYFUNCTION("""COMPUTED_VALUE"""),"N/A")</f>
        <v>N/A</v>
      </c>
      <c r="O40" s="121"/>
      <c r="P40" s="121" t="str">
        <f ca="1">IFERROR(__xludf.DUMMYFUNCTION("""COMPUTED_VALUE""")," Voice of both sides is clear")</f>
        <v xml:space="preserve"> Voice of both sides is clear</v>
      </c>
      <c r="Q40" s="121"/>
      <c r="R40" s="121" t="str">
        <f ca="1">IFERROR(__xludf.DUMMYFUNCTION("""COMPUTED_VALUE"""),"Yes")</f>
        <v>Yes</v>
      </c>
      <c r="S40" s="121" t="str">
        <f ca="1">IFERROR(__xludf.DUMMYFUNCTION("""COMPUTED_VALUE"""),"Yes")</f>
        <v>Yes</v>
      </c>
      <c r="T40" s="121" t="str">
        <f ca="1">IFERROR(__xludf.DUMMYFUNCTION("""COMPUTED_VALUE"""),"Checked")</f>
        <v>Checked</v>
      </c>
      <c r="U40" s="121" t="str">
        <f ca="1">IFERROR(__xludf.DUMMYFUNCTION("""COMPUTED_VALUE"""),"No")</f>
        <v>No</v>
      </c>
      <c r="V40" s="121" t="str">
        <f ca="1">IFERROR(__xludf.DUMMYFUNCTION("""COMPUTED_VALUE"""),"No")</f>
        <v>No</v>
      </c>
      <c r="W40" s="121">
        <f ca="1">IFERROR(__xludf.DUMMYFUNCTION("""COMPUTED_VALUE"""),4)</f>
        <v>4</v>
      </c>
      <c r="X40" s="121" t="str">
        <f ca="1">IFERROR(__xludf.DUMMYFUNCTION("""COMPUTED_VALUE"""),"Soman Tahiri")</f>
        <v>Soman Tahiri</v>
      </c>
      <c r="Y40" s="124">
        <f ca="1">IFERROR(__xludf.DUMMYFUNCTION("""COMPUTED_VALUE"""),45963)</f>
        <v>45963</v>
      </c>
      <c r="Z40" s="121" t="str">
        <f ca="1">IFERROR(__xludf.DUMMYFUNCTION("""COMPUTED_VALUE"""),"Approved")</f>
        <v>Approved</v>
      </c>
      <c r="AA40" s="121"/>
      <c r="AB40" s="121"/>
    </row>
    <row r="41" spans="1:28">
      <c r="A41" s="121" t="str">
        <f ca="1">IFERROR(__xludf.DUMMYFUNCTION("""COMPUTED_VALUE"""),"uuid:92042e77-4417-4d3a-b901-34638d6dc68b")</f>
        <v>uuid:92042e77-4417-4d3a-b901-34638d6dc68b</v>
      </c>
      <c r="B41" s="121" t="str">
        <f ca="1">IFERROR(__xludf.DUMMYFUNCTION("""COMPUTED_VALUE"""),"FR4015")</f>
        <v>FR4015</v>
      </c>
      <c r="C41" s="121" t="str">
        <f ca="1">IFERROR(__xludf.DUMMYFUNCTION("""COMPUTED_VALUE"""),"Nasratullah Danish")</f>
        <v>Nasratullah Danish</v>
      </c>
      <c r="D41" s="121" t="str">
        <f ca="1">IFERROR(__xludf.DUMMYFUNCTION("""COMPUTED_VALUE"""),"HER-LGM-HF2638-Q2-2025-1155-01")</f>
        <v>HER-LGM-HF2638-Q2-2025-1155-01</v>
      </c>
      <c r="E41" s="121" t="str">
        <f ca="1">IFERROR(__xludf.DUMMYFUNCTION("""COMPUTED_VALUE"""),"Laghman")</f>
        <v>Laghman</v>
      </c>
      <c r="F41" s="121" t="str">
        <f ca="1">IFERROR(__xludf.DUMMYFUNCTION("""COMPUTED_VALUE"""),"Aleengar")</f>
        <v>Aleengar</v>
      </c>
      <c r="G41" s="121" t="str">
        <f ca="1">IFERROR(__xludf.DUMMYFUNCTION("""COMPUTED_VALUE"""),"Sur SHC (2638)")</f>
        <v>Sur SHC (2638)</v>
      </c>
      <c r="H41" s="121" t="str">
        <f ca="1">IFERROR(__xludf.DUMMYFUNCTION("""COMPUTED_VALUE"""),"SHC")</f>
        <v>SHC</v>
      </c>
      <c r="I41" s="122">
        <f ca="1">IFERROR(__xludf.DUMMYFUNCTION("""COMPUTED_VALUE"""),3.65)</f>
        <v>3.65</v>
      </c>
      <c r="J41" s="123">
        <f ca="1">IFERROR(__xludf.DUMMYFUNCTION("""COMPUTED_VALUE"""),45961)</f>
        <v>45961</v>
      </c>
      <c r="K41" s="123">
        <f ca="1">IFERROR(__xludf.DUMMYFUNCTION("""COMPUTED_VALUE"""),45960)</f>
        <v>45960</v>
      </c>
      <c r="L41" s="121" t="str">
        <f ca="1">IFERROR(__xludf.DUMMYFUNCTION("""COMPUTED_VALUE"""),"Vignette [4]: The management of presumptive TB patient")</f>
        <v>Vignette [4]: The management of presumptive TB patient</v>
      </c>
      <c r="M41" s="121" t="str">
        <f ca="1">IFERROR(__xludf.DUMMYFUNCTION("""COMPUTED_VALUE"""),"Vignette")</f>
        <v>Vignette</v>
      </c>
      <c r="N41" s="121" t="str">
        <f ca="1">IFERROR(__xludf.DUMMYFUNCTION("""COMPUTED_VALUE"""),"N/A")</f>
        <v>N/A</v>
      </c>
      <c r="O41" s="121"/>
      <c r="P41" s="121" t="str">
        <f ca="1">IFERROR(__xludf.DUMMYFUNCTION("""COMPUTED_VALUE""")," Voice of both sides is clear")</f>
        <v xml:space="preserve"> Voice of both sides is clear</v>
      </c>
      <c r="Q41" s="121"/>
      <c r="R41" s="121" t="str">
        <f ca="1">IFERROR(__xludf.DUMMYFUNCTION("""COMPUTED_VALUE"""),"Yes")</f>
        <v>Yes</v>
      </c>
      <c r="S41" s="121" t="str">
        <f ca="1">IFERROR(__xludf.DUMMYFUNCTION("""COMPUTED_VALUE"""),"Yes")</f>
        <v>Yes</v>
      </c>
      <c r="T41" s="121" t="str">
        <f ca="1">IFERROR(__xludf.DUMMYFUNCTION("""COMPUTED_VALUE"""),"Checked")</f>
        <v>Checked</v>
      </c>
      <c r="U41" s="121" t="str">
        <f ca="1">IFERROR(__xludf.DUMMYFUNCTION("""COMPUTED_VALUE"""),"No")</f>
        <v>No</v>
      </c>
      <c r="V41" s="121" t="str">
        <f ca="1">IFERROR(__xludf.DUMMYFUNCTION("""COMPUTED_VALUE"""),"No")</f>
        <v>No</v>
      </c>
      <c r="W41" s="121">
        <f ca="1">IFERROR(__xludf.DUMMYFUNCTION("""COMPUTED_VALUE"""),4)</f>
        <v>4</v>
      </c>
      <c r="X41" s="121" t="str">
        <f ca="1">IFERROR(__xludf.DUMMYFUNCTION("""COMPUTED_VALUE"""),"Soman Tahiri")</f>
        <v>Soman Tahiri</v>
      </c>
      <c r="Y41" s="124">
        <f ca="1">IFERROR(__xludf.DUMMYFUNCTION("""COMPUTED_VALUE"""),45963)</f>
        <v>45963</v>
      </c>
      <c r="Z41" s="121" t="str">
        <f ca="1">IFERROR(__xludf.DUMMYFUNCTION("""COMPUTED_VALUE"""),"Approved")</f>
        <v>Approved</v>
      </c>
      <c r="AA41" s="121"/>
      <c r="AB41" s="121"/>
    </row>
    <row r="42" spans="1:28">
      <c r="A42" s="121" t="str">
        <f ca="1">IFERROR(__xludf.DUMMYFUNCTION("""COMPUTED_VALUE"""),"uuid:d069870e-353f-47a6-b753-3556b702c6bf")</f>
        <v>uuid:d069870e-353f-47a6-b753-3556b702c6bf</v>
      </c>
      <c r="B42" s="121" t="str">
        <f ca="1">IFERROR(__xludf.DUMMYFUNCTION("""COMPUTED_VALUE"""),"FR4696")</f>
        <v>FR4696</v>
      </c>
      <c r="C42" s="121" t="str">
        <f ca="1">IFERROR(__xludf.DUMMYFUNCTION("""COMPUTED_VALUE"""),"Mursal Tarakhil")</f>
        <v>Mursal Tarakhil</v>
      </c>
      <c r="D42" s="121" t="str">
        <f ca="1">IFERROR(__xludf.DUMMYFUNCTION("""COMPUTED_VALUE"""),"HER-LGM-HF2638-Q2-2025-1155-01")</f>
        <v>HER-LGM-HF2638-Q2-2025-1155-01</v>
      </c>
      <c r="E42" s="121" t="str">
        <f ca="1">IFERROR(__xludf.DUMMYFUNCTION("""COMPUTED_VALUE"""),"Laghman")</f>
        <v>Laghman</v>
      </c>
      <c r="F42" s="121" t="str">
        <f ca="1">IFERROR(__xludf.DUMMYFUNCTION("""COMPUTED_VALUE"""),"Aleengar")</f>
        <v>Aleengar</v>
      </c>
      <c r="G42" s="121" t="str">
        <f ca="1">IFERROR(__xludf.DUMMYFUNCTION("""COMPUTED_VALUE"""),"Sur SHC (2638)")</f>
        <v>Sur SHC (2638)</v>
      </c>
      <c r="H42" s="121" t="str">
        <f ca="1">IFERROR(__xludf.DUMMYFUNCTION("""COMPUTED_VALUE"""),"SHC")</f>
        <v>SHC</v>
      </c>
      <c r="I42" s="122">
        <f ca="1">IFERROR(__xludf.DUMMYFUNCTION("""COMPUTED_VALUE"""),29.7833333333333)</f>
        <v>29.783333333333299</v>
      </c>
      <c r="J42" s="123">
        <f ca="1">IFERROR(__xludf.DUMMYFUNCTION("""COMPUTED_VALUE"""),45961)</f>
        <v>45961</v>
      </c>
      <c r="K42" s="123">
        <f ca="1">IFERROR(__xludf.DUMMYFUNCTION("""COMPUTED_VALUE"""),45960)</f>
        <v>45960</v>
      </c>
      <c r="L42" s="121" t="str">
        <f ca="1">IFERROR(__xludf.DUMMYFUNCTION("""COMPUTED_VALUE"""),"Exit Interview 2")</f>
        <v>Exit Interview 2</v>
      </c>
      <c r="M42" s="121" t="str">
        <f ca="1">IFERROR(__xludf.DUMMYFUNCTION("""COMPUTED_VALUE"""),"Vignette")</f>
        <v>Vignette</v>
      </c>
      <c r="N42" s="121" t="str">
        <f ca="1">IFERROR(__xludf.DUMMYFUNCTION("""COMPUTED_VALUE"""),"N/A")</f>
        <v>N/A</v>
      </c>
      <c r="O42" s="121"/>
      <c r="P42" s="121" t="str">
        <f ca="1">IFERROR(__xludf.DUMMYFUNCTION("""COMPUTED_VALUE""")," Voice of both sides is clear")</f>
        <v xml:space="preserve"> Voice of both sides is clear</v>
      </c>
      <c r="Q42" s="121"/>
      <c r="R42" s="121" t="str">
        <f ca="1">IFERROR(__xludf.DUMMYFUNCTION("""COMPUTED_VALUE"""),"Yes")</f>
        <v>Yes</v>
      </c>
      <c r="S42" s="121" t="str">
        <f ca="1">IFERROR(__xludf.DUMMYFUNCTION("""COMPUTED_VALUE"""),"Yes")</f>
        <v>Yes</v>
      </c>
      <c r="T42" s="121" t="str">
        <f ca="1">IFERROR(__xludf.DUMMYFUNCTION("""COMPUTED_VALUE"""),"Checked")</f>
        <v>Checked</v>
      </c>
      <c r="U42" s="121" t="str">
        <f ca="1">IFERROR(__xludf.DUMMYFUNCTION("""COMPUTED_VALUE"""),"No")</f>
        <v>No</v>
      </c>
      <c r="V42" s="121" t="str">
        <f ca="1">IFERROR(__xludf.DUMMYFUNCTION("""COMPUTED_VALUE"""),"No")</f>
        <v>No</v>
      </c>
      <c r="W42" s="121">
        <f ca="1">IFERROR(__xludf.DUMMYFUNCTION("""COMPUTED_VALUE"""),4)</f>
        <v>4</v>
      </c>
      <c r="X42" s="121" t="str">
        <f ca="1">IFERROR(__xludf.DUMMYFUNCTION("""COMPUTED_VALUE"""),"Soman Tahiri")</f>
        <v>Soman Tahiri</v>
      </c>
      <c r="Y42" s="124">
        <f ca="1">IFERROR(__xludf.DUMMYFUNCTION("""COMPUTED_VALUE"""),45963)</f>
        <v>45963</v>
      </c>
      <c r="Z42" s="121" t="str">
        <f ca="1">IFERROR(__xludf.DUMMYFUNCTION("""COMPUTED_VALUE"""),"Approved")</f>
        <v>Approved</v>
      </c>
      <c r="AA42" s="121"/>
      <c r="AB42" s="121"/>
    </row>
    <row r="43" spans="1:28">
      <c r="A43" s="121" t="str">
        <f ca="1">IFERROR(__xludf.DUMMYFUNCTION("""COMPUTED_VALUE"""),"uuid:9ebc7e79-7fd8-478c-8e53-c04904a8782f")</f>
        <v>uuid:9ebc7e79-7fd8-478c-8e53-c04904a8782f</v>
      </c>
      <c r="B43" s="121" t="str">
        <f ca="1">IFERROR(__xludf.DUMMYFUNCTION("""COMPUTED_VALUE"""),"FR4696")</f>
        <v>FR4696</v>
      </c>
      <c r="C43" s="121" t="str">
        <f ca="1">IFERROR(__xludf.DUMMYFUNCTION("""COMPUTED_VALUE"""),"Mursal Tarakhil")</f>
        <v>Mursal Tarakhil</v>
      </c>
      <c r="D43" s="121" t="str">
        <f ca="1">IFERROR(__xludf.DUMMYFUNCTION("""COMPUTED_VALUE"""),"HER-LGM-HF2638-Q2-2025-1155-01")</f>
        <v>HER-LGM-HF2638-Q2-2025-1155-01</v>
      </c>
      <c r="E43" s="121" t="str">
        <f ca="1">IFERROR(__xludf.DUMMYFUNCTION("""COMPUTED_VALUE"""),"Laghman")</f>
        <v>Laghman</v>
      </c>
      <c r="F43" s="121" t="str">
        <f ca="1">IFERROR(__xludf.DUMMYFUNCTION("""COMPUTED_VALUE"""),"Aleengar")</f>
        <v>Aleengar</v>
      </c>
      <c r="G43" s="121" t="str">
        <f ca="1">IFERROR(__xludf.DUMMYFUNCTION("""COMPUTED_VALUE"""),"Sur SHC (2638)")</f>
        <v>Sur SHC (2638)</v>
      </c>
      <c r="H43" s="121" t="str">
        <f ca="1">IFERROR(__xludf.DUMMYFUNCTION("""COMPUTED_VALUE"""),"SHC")</f>
        <v>SHC</v>
      </c>
      <c r="I43" s="122">
        <f ca="1">IFERROR(__xludf.DUMMYFUNCTION("""COMPUTED_VALUE"""),4.58333333333333)</f>
        <v>4.5833333333333304</v>
      </c>
      <c r="J43" s="123">
        <f ca="1">IFERROR(__xludf.DUMMYFUNCTION("""COMPUTED_VALUE"""),45961)</f>
        <v>45961</v>
      </c>
      <c r="K43" s="123">
        <f ca="1">IFERROR(__xludf.DUMMYFUNCTION("""COMPUTED_VALUE"""),45960)</f>
        <v>45960</v>
      </c>
      <c r="L43" s="121" t="str">
        <f ca="1">IFERROR(__xludf.DUMMYFUNCTION("""COMPUTED_VALUE"""),"Vignette [8] Birth Spacing/ Family Planning :  FP Counselling")</f>
        <v>Vignette [8] Birth Spacing/ Family Planning :  FP Counselling</v>
      </c>
      <c r="M43" s="121" t="str">
        <f ca="1">IFERROR(__xludf.DUMMYFUNCTION("""COMPUTED_VALUE"""),"Vignette")</f>
        <v>Vignette</v>
      </c>
      <c r="N43" s="121" t="str">
        <f ca="1">IFERROR(__xludf.DUMMYFUNCTION("""COMPUTED_VALUE"""),"N/A")</f>
        <v>N/A</v>
      </c>
      <c r="O43" s="121"/>
      <c r="P43" s="121"/>
      <c r="Q43" s="121"/>
      <c r="R43" s="121"/>
      <c r="S43" s="121"/>
      <c r="T43" s="121"/>
      <c r="U43" s="121"/>
      <c r="V43" s="121"/>
      <c r="W43" s="121"/>
      <c r="X43" s="121" t="str">
        <f ca="1">IFERROR(__xludf.DUMMYFUNCTION("""COMPUTED_VALUE"""),"Soman Tahiri")</f>
        <v>Soman Tahiri</v>
      </c>
      <c r="Y43" s="124">
        <f ca="1">IFERROR(__xludf.DUMMYFUNCTION("""COMPUTED_VALUE"""),45963)</f>
        <v>45963</v>
      </c>
      <c r="Z43" s="121" t="str">
        <f ca="1">IFERROR(__xludf.DUMMYFUNCTION("""COMPUTED_VALUE"""),"Rejected")</f>
        <v>Rejected</v>
      </c>
      <c r="AA43" s="121" t="str">
        <f ca="1">IFERROR(__xludf.DUMMYFUNCTION("""COMPUTED_VALUE"""),"Extra data")</f>
        <v>Extra data</v>
      </c>
      <c r="AB43" s="121" t="str">
        <f ca="1">IFERROR(__xludf.DUMMYFUNCTION("""COMPUTED_VALUE"""),"Duplicated data")</f>
        <v>Duplicated data</v>
      </c>
    </row>
    <row r="44" spans="1:28">
      <c r="A44" s="121" t="str">
        <f ca="1">IFERROR(__xludf.DUMMYFUNCTION("""COMPUTED_VALUE"""),"uuid:ac459fd9-cfb8-428f-8fe5-b819916be734")</f>
        <v>uuid:ac459fd9-cfb8-428f-8fe5-b819916be734</v>
      </c>
      <c r="B44" s="121" t="str">
        <f ca="1">IFERROR(__xludf.DUMMYFUNCTION("""COMPUTED_VALUE"""),"FR4696")</f>
        <v>FR4696</v>
      </c>
      <c r="C44" s="121" t="str">
        <f ca="1">IFERROR(__xludf.DUMMYFUNCTION("""COMPUTED_VALUE"""),"Mursal Tarakhil")</f>
        <v>Mursal Tarakhil</v>
      </c>
      <c r="D44" s="121" t="str">
        <f ca="1">IFERROR(__xludf.DUMMYFUNCTION("""COMPUTED_VALUE"""),"HER-LGM-HF2638-Q2-2025-1155-01")</f>
        <v>HER-LGM-HF2638-Q2-2025-1155-01</v>
      </c>
      <c r="E44" s="121" t="str">
        <f ca="1">IFERROR(__xludf.DUMMYFUNCTION("""COMPUTED_VALUE"""),"Laghman")</f>
        <v>Laghman</v>
      </c>
      <c r="F44" s="121" t="str">
        <f ca="1">IFERROR(__xludf.DUMMYFUNCTION("""COMPUTED_VALUE"""),"Aleengar")</f>
        <v>Aleengar</v>
      </c>
      <c r="G44" s="121" t="str">
        <f ca="1">IFERROR(__xludf.DUMMYFUNCTION("""COMPUTED_VALUE"""),"Sur SHC (2638)")</f>
        <v>Sur SHC (2638)</v>
      </c>
      <c r="H44" s="121" t="str">
        <f ca="1">IFERROR(__xludf.DUMMYFUNCTION("""COMPUTED_VALUE"""),"SHC")</f>
        <v>SHC</v>
      </c>
      <c r="I44" s="122">
        <f ca="1">IFERROR(__xludf.DUMMYFUNCTION("""COMPUTED_VALUE"""),14.3833333333333)</f>
        <v>14.383333333333301</v>
      </c>
      <c r="J44" s="123">
        <f ca="1">IFERROR(__xludf.DUMMYFUNCTION("""COMPUTED_VALUE"""),45961)</f>
        <v>45961</v>
      </c>
      <c r="K44" s="123">
        <f ca="1">IFERROR(__xludf.DUMMYFUNCTION("""COMPUTED_VALUE"""),45960)</f>
        <v>45960</v>
      </c>
      <c r="L44" s="121" t="str">
        <f ca="1">IFERROR(__xludf.DUMMYFUNCTION("""COMPUTED_VALUE"""),"Vignette [8] Birth Spacing/ Family Planning :  FP Counselling")</f>
        <v>Vignette [8] Birth Spacing/ Family Planning :  FP Counselling</v>
      </c>
      <c r="M44" s="121" t="str">
        <f ca="1">IFERROR(__xludf.DUMMYFUNCTION("""COMPUTED_VALUE"""),"Vignette")</f>
        <v>Vignette</v>
      </c>
      <c r="N44" s="121" t="str">
        <f ca="1">IFERROR(__xludf.DUMMYFUNCTION("""COMPUTED_VALUE"""),"N/A")</f>
        <v>N/A</v>
      </c>
      <c r="O44" s="121"/>
      <c r="P44" s="121"/>
      <c r="Q44" s="121"/>
      <c r="R44" s="121"/>
      <c r="S44" s="121"/>
      <c r="T44" s="121"/>
      <c r="U44" s="121"/>
      <c r="V44" s="121"/>
      <c r="W44" s="121"/>
      <c r="X44" s="121" t="str">
        <f ca="1">IFERROR(__xludf.DUMMYFUNCTION("""COMPUTED_VALUE"""),"Soman Tahiri")</f>
        <v>Soman Tahiri</v>
      </c>
      <c r="Y44" s="124">
        <f ca="1">IFERROR(__xludf.DUMMYFUNCTION("""COMPUTED_VALUE"""),45963)</f>
        <v>45963</v>
      </c>
      <c r="Z44" s="121" t="str">
        <f ca="1">IFERROR(__xludf.DUMMYFUNCTION("""COMPUTED_VALUE"""),"Pending")</f>
        <v>Pending</v>
      </c>
      <c r="AA44" s="121"/>
      <c r="AB44" s="121"/>
    </row>
    <row r="45" spans="1:28">
      <c r="A45" s="121" t="str">
        <f ca="1">IFERROR(__xludf.DUMMYFUNCTION("""COMPUTED_VALUE"""),"uuid:49bc5753-ea0c-4a56-8263-bb8eb9b10265")</f>
        <v>uuid:49bc5753-ea0c-4a56-8263-bb8eb9b10265</v>
      </c>
      <c r="B45" s="121" t="str">
        <f ca="1">IFERROR(__xludf.DUMMYFUNCTION("""COMPUTED_VALUE"""),"FR4696")</f>
        <v>FR4696</v>
      </c>
      <c r="C45" s="121" t="str">
        <f ca="1">IFERROR(__xludf.DUMMYFUNCTION("""COMPUTED_VALUE"""),"Mursal Tarakhil")</f>
        <v>Mursal Tarakhil</v>
      </c>
      <c r="D45" s="121" t="str">
        <f ca="1">IFERROR(__xludf.DUMMYFUNCTION("""COMPUTED_VALUE"""),"HER-LGM-HF2638-Q2-2025-1155-01")</f>
        <v>HER-LGM-HF2638-Q2-2025-1155-01</v>
      </c>
      <c r="E45" s="121" t="str">
        <f ca="1">IFERROR(__xludf.DUMMYFUNCTION("""COMPUTED_VALUE"""),"Laghman")</f>
        <v>Laghman</v>
      </c>
      <c r="F45" s="121" t="str">
        <f ca="1">IFERROR(__xludf.DUMMYFUNCTION("""COMPUTED_VALUE"""),"Aleengar")</f>
        <v>Aleengar</v>
      </c>
      <c r="G45" s="121" t="str">
        <f ca="1">IFERROR(__xludf.DUMMYFUNCTION("""COMPUTED_VALUE"""),"Sur SHC (2638)")</f>
        <v>Sur SHC (2638)</v>
      </c>
      <c r="H45" s="121" t="str">
        <f ca="1">IFERROR(__xludf.DUMMYFUNCTION("""COMPUTED_VALUE"""),"SHC")</f>
        <v>SHC</v>
      </c>
      <c r="I45" s="122">
        <f ca="1">IFERROR(__xludf.DUMMYFUNCTION("""COMPUTED_VALUE"""),41.4833333333333)</f>
        <v>41.483333333333299</v>
      </c>
      <c r="J45" s="123">
        <f ca="1">IFERROR(__xludf.DUMMYFUNCTION("""COMPUTED_VALUE"""),45961)</f>
        <v>45961</v>
      </c>
      <c r="K45" s="123">
        <f ca="1">IFERROR(__xludf.DUMMYFUNCTION("""COMPUTED_VALUE"""),45960)</f>
        <v>45960</v>
      </c>
      <c r="L45" s="121" t="str">
        <f ca="1">IFERROR(__xludf.DUMMYFUNCTION("""COMPUTED_VALUE"""),"Vignette [3] Growth Monitoring and Promotion")</f>
        <v>Vignette [3] Growth Monitoring and Promotion</v>
      </c>
      <c r="M45" s="121" t="str">
        <f ca="1">IFERROR(__xludf.DUMMYFUNCTION("""COMPUTED_VALUE"""),"Vignette")</f>
        <v>Vignette</v>
      </c>
      <c r="N45" s="121" t="str">
        <f ca="1">IFERROR(__xludf.DUMMYFUNCTION("""COMPUTED_VALUE"""),"N/A")</f>
        <v>N/A</v>
      </c>
      <c r="O45" s="121"/>
      <c r="P45" s="121"/>
      <c r="Q45" s="121"/>
      <c r="R45" s="121"/>
      <c r="S45" s="121"/>
      <c r="T45" s="121"/>
      <c r="U45" s="121"/>
      <c r="V45" s="121"/>
      <c r="W45" s="121"/>
      <c r="X45" s="121"/>
      <c r="Y45" s="121"/>
      <c r="Z45" s="121"/>
      <c r="AA45" s="121"/>
      <c r="AB45" s="121"/>
    </row>
    <row r="46" spans="1:28">
      <c r="A46" s="121" t="str">
        <f ca="1">IFERROR(__xludf.DUMMYFUNCTION("""COMPUTED_VALUE"""),"uuid:c26c7641-2eb3-425f-97b3-36c8a83401ad")</f>
        <v>uuid:c26c7641-2eb3-425f-97b3-36c8a83401ad</v>
      </c>
      <c r="B46" s="121" t="str">
        <f ca="1">IFERROR(__xludf.DUMMYFUNCTION("""COMPUTED_VALUE"""),"FR2222")</f>
        <v>FR2222</v>
      </c>
      <c r="C46" s="121" t="str">
        <f ca="1">IFERROR(__xludf.DUMMYFUNCTION("""COMPUTED_VALUE"""),"Test Name 1")</f>
        <v>Test Name 1</v>
      </c>
      <c r="D46" s="121" t="str">
        <f ca="1">IFERROR(__xludf.DUMMYFUNCTION("""COMPUTED_VALUE"""),"HER-PAN-HF3174-Q2-2025-1203-01")</f>
        <v>HER-PAN-HF3174-Q2-2025-1203-01</v>
      </c>
      <c r="E46" s="121" t="str">
        <f ca="1">IFERROR(__xludf.DUMMYFUNCTION("""COMPUTED_VALUE"""),"Panjsher")</f>
        <v>Panjsher</v>
      </c>
      <c r="F46" s="121" t="str">
        <f ca="1">IFERROR(__xludf.DUMMYFUNCTION("""COMPUTED_VALUE"""),"Shutul")</f>
        <v>Shutul</v>
      </c>
      <c r="G46" s="121" t="str">
        <f ca="1">IFERROR(__xludf.DUMMYFUNCTION("""COMPUTED_VALUE"""),"Roy Dara SHC (3174)")</f>
        <v>Roy Dara SHC (3174)</v>
      </c>
      <c r="H46" s="121" t="str">
        <f ca="1">IFERROR(__xludf.DUMMYFUNCTION("""COMPUTED_VALUE"""),"SHC")</f>
        <v>SHC</v>
      </c>
      <c r="I46" s="122">
        <f ca="1">IFERROR(__xludf.DUMMYFUNCTION("""COMPUTED_VALUE"""),25.0666666666666)</f>
        <v>25.066666666666599</v>
      </c>
      <c r="J46" s="123">
        <f ca="1">IFERROR(__xludf.DUMMYFUNCTION("""COMPUTED_VALUE"""),45962)</f>
        <v>45962</v>
      </c>
      <c r="K46" s="123">
        <f ca="1">IFERROR(__xludf.DUMMYFUNCTION("""COMPUTED_VALUE"""),45960)</f>
        <v>45960</v>
      </c>
      <c r="L46" s="121" t="str">
        <f ca="1">IFERROR(__xludf.DUMMYFUNCTION("""COMPUTED_VALUE"""),"Exit Interview 1")</f>
        <v>Exit Interview 1</v>
      </c>
      <c r="M46" s="121" t="str">
        <f ca="1">IFERROR(__xludf.DUMMYFUNCTION("""COMPUTED_VALUE"""),"Vignette")</f>
        <v>Vignette</v>
      </c>
      <c r="N46" s="121" t="str">
        <f ca="1">IFERROR(__xludf.DUMMYFUNCTION("""COMPUTED_VALUE"""),"N/A")</f>
        <v>N/A</v>
      </c>
      <c r="O46" s="121"/>
      <c r="P46" s="121"/>
      <c r="Q46" s="121"/>
      <c r="R46" s="121"/>
      <c r="S46" s="121"/>
      <c r="T46" s="121"/>
      <c r="U46" s="121"/>
      <c r="V46" s="121"/>
      <c r="W46" s="121"/>
      <c r="X46" s="121"/>
      <c r="Y46" s="121"/>
      <c r="Z46" s="121"/>
      <c r="AA46" s="121"/>
      <c r="AB46" s="121" t="str">
        <f ca="1">IFERROR(__xludf.DUMMYFUNCTION("""COMPUTED_VALUE"""),"The user name should double check")</f>
        <v>The user name should double check</v>
      </c>
    </row>
    <row r="47" spans="1:28">
      <c r="A47" s="121" t="str">
        <f ca="1">IFERROR(__xludf.DUMMYFUNCTION("""COMPUTED_VALUE"""),"uuid:fdcf963e-f0fb-44dc-915d-3402093e760f")</f>
        <v>uuid:fdcf963e-f0fb-44dc-915d-3402093e760f</v>
      </c>
      <c r="B47" s="121" t="str">
        <f ca="1">IFERROR(__xludf.DUMMYFUNCTION("""COMPUTED_VALUE"""),"FR2761")</f>
        <v>FR2761</v>
      </c>
      <c r="C47" s="121" t="str">
        <f ca="1">IFERROR(__xludf.DUMMYFUNCTION("""COMPUTED_VALUE"""),"Rawzia Raihan")</f>
        <v>Rawzia Raihan</v>
      </c>
      <c r="D47" s="121" t="str">
        <f ca="1">IFERROR(__xludf.DUMMYFUNCTION("""COMPUTED_VALUE"""),"HER-PKA-HF1630-Q2-2025-1189-01")</f>
        <v>HER-PKA-HF1630-Q2-2025-1189-01</v>
      </c>
      <c r="E47" s="121" t="str">
        <f ca="1">IFERROR(__xludf.DUMMYFUNCTION("""COMPUTED_VALUE"""),"Paktika")</f>
        <v>Paktika</v>
      </c>
      <c r="F47" s="121" t="str">
        <f ca="1">IFERROR(__xludf.DUMMYFUNCTION("""COMPUTED_VALUE"""),"Zarghoon Shahr")</f>
        <v>Zarghoon Shahr</v>
      </c>
      <c r="G47" s="121" t="str">
        <f ca="1">IFERROR(__xludf.DUMMYFUNCTION("""COMPUTED_VALUE"""),"Bakkhel Clinic (1630)")</f>
        <v>Bakkhel Clinic (1630)</v>
      </c>
      <c r="H47" s="121" t="str">
        <f ca="1">IFERROR(__xludf.DUMMYFUNCTION("""COMPUTED_VALUE"""),"BHC")</f>
        <v>BHC</v>
      </c>
      <c r="I47" s="122">
        <f ca="1">IFERROR(__xludf.DUMMYFUNCTION("""COMPUTED_VALUE"""),53.4833333333333)</f>
        <v>53.483333333333299</v>
      </c>
      <c r="J47" s="123">
        <f ca="1">IFERROR(__xludf.DUMMYFUNCTION("""COMPUTED_VALUE"""),45962)</f>
        <v>45962</v>
      </c>
      <c r="K47" s="123">
        <f ca="1">IFERROR(__xludf.DUMMYFUNCTION("""COMPUTED_VALUE"""),45961)</f>
        <v>45961</v>
      </c>
      <c r="L47" s="121" t="str">
        <f ca="1">IFERROR(__xludf.DUMMYFUNCTION("""COMPUTED_VALUE"""),"Exit Interview 2")</f>
        <v>Exit Interview 2</v>
      </c>
      <c r="M47" s="121" t="str">
        <f ca="1">IFERROR(__xludf.DUMMYFUNCTION("""COMPUTED_VALUE"""),"Vignette")</f>
        <v>Vignette</v>
      </c>
      <c r="N47" s="121" t="str">
        <f ca="1">IFERROR(__xludf.DUMMYFUNCTION("""COMPUTED_VALUE"""),"N/A")</f>
        <v>N/A</v>
      </c>
      <c r="O47" s="121"/>
      <c r="P47" s="121"/>
      <c r="Q47" s="121"/>
      <c r="R47" s="121"/>
      <c r="S47" s="121"/>
      <c r="T47" s="121"/>
      <c r="U47" s="121"/>
      <c r="V47" s="121"/>
      <c r="W47" s="121"/>
      <c r="X47" s="121"/>
      <c r="Y47" s="121"/>
      <c r="Z47" s="121"/>
      <c r="AA47" s="121"/>
      <c r="AB47" s="121"/>
    </row>
    <row r="48" spans="1:28">
      <c r="A48" s="121" t="str">
        <f ca="1">IFERROR(__xludf.DUMMYFUNCTION("""COMPUTED_VALUE"""),"uuid:528f3f04-a00a-422a-bf34-10350ad5b41e")</f>
        <v>uuid:528f3f04-a00a-422a-bf34-10350ad5b41e</v>
      </c>
      <c r="B48" s="121" t="str">
        <f ca="1">IFERROR(__xludf.DUMMYFUNCTION("""COMPUTED_VALUE"""),"FR2761")</f>
        <v>FR2761</v>
      </c>
      <c r="C48" s="121" t="str">
        <f ca="1">IFERROR(__xludf.DUMMYFUNCTION("""COMPUTED_VALUE"""),"Rawzia Raihan")</f>
        <v>Rawzia Raihan</v>
      </c>
      <c r="D48" s="121" t="str">
        <f ca="1">IFERROR(__xludf.DUMMYFUNCTION("""COMPUTED_VALUE"""),"HER-PKA-HF1630-Q2-2025-1189-01")</f>
        <v>HER-PKA-HF1630-Q2-2025-1189-01</v>
      </c>
      <c r="E48" s="121" t="str">
        <f ca="1">IFERROR(__xludf.DUMMYFUNCTION("""COMPUTED_VALUE"""),"Paktika")</f>
        <v>Paktika</v>
      </c>
      <c r="F48" s="121" t="str">
        <f ca="1">IFERROR(__xludf.DUMMYFUNCTION("""COMPUTED_VALUE"""),"Zarghoon Shahr")</f>
        <v>Zarghoon Shahr</v>
      </c>
      <c r="G48" s="121" t="str">
        <f ca="1">IFERROR(__xludf.DUMMYFUNCTION("""COMPUTED_VALUE"""),"Bakkhel Clinic (1630)")</f>
        <v>Bakkhel Clinic (1630)</v>
      </c>
      <c r="H48" s="121" t="str">
        <f ca="1">IFERROR(__xludf.DUMMYFUNCTION("""COMPUTED_VALUE"""),"BHC")</f>
        <v>BHC</v>
      </c>
      <c r="I48" s="122">
        <f ca="1">IFERROR(__xludf.DUMMYFUNCTION("""COMPUTED_VALUE"""),18.45)</f>
        <v>18.45</v>
      </c>
      <c r="J48" s="123">
        <f ca="1">IFERROR(__xludf.DUMMYFUNCTION("""COMPUTED_VALUE"""),45962)</f>
        <v>45962</v>
      </c>
      <c r="K48" s="123">
        <f ca="1">IFERROR(__xludf.DUMMYFUNCTION("""COMPUTED_VALUE"""),45962)</f>
        <v>45962</v>
      </c>
      <c r="L48" s="121" t="str">
        <f ca="1">IFERROR(__xludf.DUMMYFUNCTION("""COMPUTED_VALUE"""),"Exit Interview 1")</f>
        <v>Exit Interview 1</v>
      </c>
      <c r="M48" s="121" t="str">
        <f ca="1">IFERROR(__xludf.DUMMYFUNCTION("""COMPUTED_VALUE"""),"Vignette")</f>
        <v>Vignette</v>
      </c>
      <c r="N48" s="121" t="str">
        <f ca="1">IFERROR(__xludf.DUMMYFUNCTION("""COMPUTED_VALUE"""),"N/A")</f>
        <v>N/A</v>
      </c>
      <c r="O48" s="121"/>
      <c r="P48" s="121"/>
      <c r="Q48" s="121"/>
      <c r="R48" s="121"/>
      <c r="S48" s="121"/>
      <c r="T48" s="121"/>
      <c r="U48" s="121"/>
      <c r="V48" s="121"/>
      <c r="W48" s="121"/>
      <c r="X48" s="121"/>
      <c r="Y48" s="121"/>
      <c r="Z48" s="121"/>
      <c r="AA48" s="121"/>
      <c r="AB48" s="121"/>
    </row>
    <row r="49" spans="1:28">
      <c r="A49" s="121" t="str">
        <f ca="1">IFERROR(__xludf.DUMMYFUNCTION("""COMPUTED_VALUE"""),"uuid:3ae7db9f-b28d-4478-ab8a-0457012c7527")</f>
        <v>uuid:3ae7db9f-b28d-4478-ab8a-0457012c7527</v>
      </c>
      <c r="B49" s="121" t="str">
        <f ca="1">IFERROR(__xludf.DUMMYFUNCTION("""COMPUTED_VALUE"""),"FR2761")</f>
        <v>FR2761</v>
      </c>
      <c r="C49" s="121" t="str">
        <f ca="1">IFERROR(__xludf.DUMMYFUNCTION("""COMPUTED_VALUE"""),"Rawzia Raihan")</f>
        <v>Rawzia Raihan</v>
      </c>
      <c r="D49" s="121" t="str">
        <f ca="1">IFERROR(__xludf.DUMMYFUNCTION("""COMPUTED_VALUE"""),"HER-PKA-HF1630-Q2-2025-1189-01")</f>
        <v>HER-PKA-HF1630-Q2-2025-1189-01</v>
      </c>
      <c r="E49" s="121" t="str">
        <f ca="1">IFERROR(__xludf.DUMMYFUNCTION("""COMPUTED_VALUE"""),"Paktika")</f>
        <v>Paktika</v>
      </c>
      <c r="F49" s="121" t="str">
        <f ca="1">IFERROR(__xludf.DUMMYFUNCTION("""COMPUTED_VALUE"""),"Zarghoon Shahr")</f>
        <v>Zarghoon Shahr</v>
      </c>
      <c r="G49" s="121" t="str">
        <f ca="1">IFERROR(__xludf.DUMMYFUNCTION("""COMPUTED_VALUE"""),"Bakkhel Clinic (1630)")</f>
        <v>Bakkhel Clinic (1630)</v>
      </c>
      <c r="H49" s="121" t="str">
        <f ca="1">IFERROR(__xludf.DUMMYFUNCTION("""COMPUTED_VALUE"""),"BHC")</f>
        <v>BHC</v>
      </c>
      <c r="I49" s="122">
        <f ca="1">IFERROR(__xludf.DUMMYFUNCTION("""COMPUTED_VALUE"""),42.5333333333333)</f>
        <v>42.533333333333303</v>
      </c>
      <c r="J49" s="123">
        <f ca="1">IFERROR(__xludf.DUMMYFUNCTION("""COMPUTED_VALUE"""),45962)</f>
        <v>45962</v>
      </c>
      <c r="K49" s="123">
        <f ca="1">IFERROR(__xludf.DUMMYFUNCTION("""COMPUTED_VALUE"""),45962)</f>
        <v>45962</v>
      </c>
      <c r="L49" s="121" t="str">
        <f ca="1">IFERROR(__xludf.DUMMYFUNCTION("""COMPUTED_VALUE"""),"Vignette [5] Labor")</f>
        <v>Vignette [5] Labor</v>
      </c>
      <c r="M49" s="121" t="str">
        <f ca="1">IFERROR(__xludf.DUMMYFUNCTION("""COMPUTED_VALUE"""),"Vignette")</f>
        <v>Vignette</v>
      </c>
      <c r="N49" s="121" t="str">
        <f ca="1">IFERROR(__xludf.DUMMYFUNCTION("""COMPUTED_VALUE"""),"N/A")</f>
        <v>N/A</v>
      </c>
      <c r="O49" s="121"/>
      <c r="P49" s="121"/>
      <c r="Q49" s="121"/>
      <c r="R49" s="121"/>
      <c r="S49" s="121"/>
      <c r="T49" s="121"/>
      <c r="U49" s="121"/>
      <c r="V49" s="121"/>
      <c r="W49" s="121"/>
      <c r="X49" s="121"/>
      <c r="Y49" s="121"/>
      <c r="Z49" s="121"/>
      <c r="AA49" s="121"/>
      <c r="AB49" s="121"/>
    </row>
    <row r="50" spans="1:28">
      <c r="A50" s="121" t="str">
        <f ca="1">IFERROR(__xludf.DUMMYFUNCTION("""COMPUTED_VALUE"""),"uuid:3b5226f6-3ad5-476a-af47-656bdbdb7690")</f>
        <v>uuid:3b5226f6-3ad5-476a-af47-656bdbdb7690</v>
      </c>
      <c r="B50" s="121" t="str">
        <f ca="1">IFERROR(__xludf.DUMMYFUNCTION("""COMPUTED_VALUE"""),"FR2761")</f>
        <v>FR2761</v>
      </c>
      <c r="C50" s="121" t="str">
        <f ca="1">IFERROR(__xludf.DUMMYFUNCTION("""COMPUTED_VALUE"""),"Rawzia Raihan")</f>
        <v>Rawzia Raihan</v>
      </c>
      <c r="D50" s="121" t="str">
        <f ca="1">IFERROR(__xludf.DUMMYFUNCTION("""COMPUTED_VALUE"""),"HER-PKA-HF1630-Q2-2025-1189-01")</f>
        <v>HER-PKA-HF1630-Q2-2025-1189-01</v>
      </c>
      <c r="E50" s="121" t="str">
        <f ca="1">IFERROR(__xludf.DUMMYFUNCTION("""COMPUTED_VALUE"""),"Paktika")</f>
        <v>Paktika</v>
      </c>
      <c r="F50" s="121" t="str">
        <f ca="1">IFERROR(__xludf.DUMMYFUNCTION("""COMPUTED_VALUE"""),"Zarghoon Shahr")</f>
        <v>Zarghoon Shahr</v>
      </c>
      <c r="G50" s="121" t="str">
        <f ca="1">IFERROR(__xludf.DUMMYFUNCTION("""COMPUTED_VALUE"""),"Bakkhel Clinic (1630)")</f>
        <v>Bakkhel Clinic (1630)</v>
      </c>
      <c r="H50" s="121" t="str">
        <f ca="1">IFERROR(__xludf.DUMMYFUNCTION("""COMPUTED_VALUE"""),"BHC")</f>
        <v>BHC</v>
      </c>
      <c r="I50" s="122">
        <f ca="1">IFERROR(__xludf.DUMMYFUNCTION("""COMPUTED_VALUE"""),9.58333333333333)</f>
        <v>9.5833333333333304</v>
      </c>
      <c r="J50" s="123">
        <f ca="1">IFERROR(__xludf.DUMMYFUNCTION("""COMPUTED_VALUE"""),45962)</f>
        <v>45962</v>
      </c>
      <c r="K50" s="123">
        <f ca="1">IFERROR(__xludf.DUMMYFUNCTION("""COMPUTED_VALUE"""),45962)</f>
        <v>45962</v>
      </c>
      <c r="L50" s="121" t="str">
        <f ca="1">IFERROR(__xludf.DUMMYFUNCTION("""COMPUTED_VALUE"""),"Vignette [6] PNC pre Discharge")</f>
        <v>Vignette [6] PNC pre Discharge</v>
      </c>
      <c r="M50" s="121" t="str">
        <f ca="1">IFERROR(__xludf.DUMMYFUNCTION("""COMPUTED_VALUE"""),"Vignette")</f>
        <v>Vignette</v>
      </c>
      <c r="N50" s="121" t="str">
        <f ca="1">IFERROR(__xludf.DUMMYFUNCTION("""COMPUTED_VALUE"""),"N/A")</f>
        <v>N/A</v>
      </c>
      <c r="O50" s="121"/>
      <c r="P50" s="121"/>
      <c r="Q50" s="121"/>
      <c r="R50" s="121"/>
      <c r="S50" s="121"/>
      <c r="T50" s="121"/>
      <c r="U50" s="121"/>
      <c r="V50" s="121"/>
      <c r="W50" s="121"/>
      <c r="X50" s="121"/>
      <c r="Y50" s="121"/>
      <c r="Z50" s="121"/>
      <c r="AA50" s="121"/>
      <c r="AB50" s="121"/>
    </row>
    <row r="51" spans="1:28">
      <c r="A51" s="121" t="str">
        <f ca="1">IFERROR(__xludf.DUMMYFUNCTION("""COMPUTED_VALUE"""),"uuid:0f95d626-0bc7-478a-9e03-ae1f614abbec")</f>
        <v>uuid:0f95d626-0bc7-478a-9e03-ae1f614abbec</v>
      </c>
      <c r="B51" s="121" t="str">
        <f ca="1">IFERROR(__xludf.DUMMYFUNCTION("""COMPUTED_VALUE"""),"FR2761")</f>
        <v>FR2761</v>
      </c>
      <c r="C51" s="121" t="str">
        <f ca="1">IFERROR(__xludf.DUMMYFUNCTION("""COMPUTED_VALUE"""),"Rawzia Raihan")</f>
        <v>Rawzia Raihan</v>
      </c>
      <c r="D51" s="121" t="str">
        <f ca="1">IFERROR(__xludf.DUMMYFUNCTION("""COMPUTED_VALUE"""),"HER-PKA-HF1630-Q2-2025-1189-01")</f>
        <v>HER-PKA-HF1630-Q2-2025-1189-01</v>
      </c>
      <c r="E51" s="121" t="str">
        <f ca="1">IFERROR(__xludf.DUMMYFUNCTION("""COMPUTED_VALUE"""),"Paktika")</f>
        <v>Paktika</v>
      </c>
      <c r="F51" s="121" t="str">
        <f ca="1">IFERROR(__xludf.DUMMYFUNCTION("""COMPUTED_VALUE"""),"Zarghoon Shahr")</f>
        <v>Zarghoon Shahr</v>
      </c>
      <c r="G51" s="121" t="str">
        <f ca="1">IFERROR(__xludf.DUMMYFUNCTION("""COMPUTED_VALUE"""),"Bakkhel Clinic (1630)")</f>
        <v>Bakkhel Clinic (1630)</v>
      </c>
      <c r="H51" s="121" t="str">
        <f ca="1">IFERROR(__xludf.DUMMYFUNCTION("""COMPUTED_VALUE"""),"BHC")</f>
        <v>BHC</v>
      </c>
      <c r="I51" s="122">
        <f ca="1">IFERROR(__xludf.DUMMYFUNCTION("""COMPUTED_VALUE"""),9.3)</f>
        <v>9.3000000000000007</v>
      </c>
      <c r="J51" s="123">
        <f ca="1">IFERROR(__xludf.DUMMYFUNCTION("""COMPUTED_VALUE"""),45962)</f>
        <v>45962</v>
      </c>
      <c r="K51" s="123">
        <f ca="1">IFERROR(__xludf.DUMMYFUNCTION("""COMPUTED_VALUE"""),45962)</f>
        <v>45962</v>
      </c>
      <c r="L51" s="121" t="str">
        <f ca="1">IFERROR(__xludf.DUMMYFUNCTION("""COMPUTED_VALUE"""),"Vignette [7] First ANC Visit")</f>
        <v>Vignette [7] First ANC Visit</v>
      </c>
      <c r="M51" s="121" t="str">
        <f ca="1">IFERROR(__xludf.DUMMYFUNCTION("""COMPUTED_VALUE"""),"Vignette")</f>
        <v>Vignette</v>
      </c>
      <c r="N51" s="121" t="str">
        <f ca="1">IFERROR(__xludf.DUMMYFUNCTION("""COMPUTED_VALUE"""),"N/A")</f>
        <v>N/A</v>
      </c>
      <c r="O51" s="121"/>
      <c r="P51" s="121"/>
      <c r="Q51" s="121"/>
      <c r="R51" s="121"/>
      <c r="S51" s="121"/>
      <c r="T51" s="121"/>
      <c r="U51" s="121"/>
      <c r="V51" s="121"/>
      <c r="W51" s="121"/>
      <c r="X51" s="121"/>
      <c r="Y51" s="121"/>
      <c r="Z51" s="121"/>
      <c r="AA51" s="121"/>
      <c r="AB51" s="121"/>
    </row>
    <row r="52" spans="1:28">
      <c r="A52" s="121" t="str">
        <f ca="1">IFERROR(__xludf.DUMMYFUNCTION("""COMPUTED_VALUE"""),"uuid:b92cfbd8-aa79-49c3-bb9f-69df8cb04ceb")</f>
        <v>uuid:b92cfbd8-aa79-49c3-bb9f-69df8cb04ceb</v>
      </c>
      <c r="B52" s="121" t="str">
        <f ca="1">IFERROR(__xludf.DUMMYFUNCTION("""COMPUTED_VALUE"""),"FR2761")</f>
        <v>FR2761</v>
      </c>
      <c r="C52" s="121" t="str">
        <f ca="1">IFERROR(__xludf.DUMMYFUNCTION("""COMPUTED_VALUE"""),"Rawzia Raihan")</f>
        <v>Rawzia Raihan</v>
      </c>
      <c r="D52" s="121" t="str">
        <f ca="1">IFERROR(__xludf.DUMMYFUNCTION("""COMPUTED_VALUE"""),"HER-PKA-HF1630-Q2-2025-1189-01")</f>
        <v>HER-PKA-HF1630-Q2-2025-1189-01</v>
      </c>
      <c r="E52" s="121" t="str">
        <f ca="1">IFERROR(__xludf.DUMMYFUNCTION("""COMPUTED_VALUE"""),"Paktika")</f>
        <v>Paktika</v>
      </c>
      <c r="F52" s="121" t="str">
        <f ca="1">IFERROR(__xludf.DUMMYFUNCTION("""COMPUTED_VALUE"""),"Zarghoon Shahr")</f>
        <v>Zarghoon Shahr</v>
      </c>
      <c r="G52" s="121" t="str">
        <f ca="1">IFERROR(__xludf.DUMMYFUNCTION("""COMPUTED_VALUE"""),"Bakkhel Clinic (1630)")</f>
        <v>Bakkhel Clinic (1630)</v>
      </c>
      <c r="H52" s="121" t="str">
        <f ca="1">IFERROR(__xludf.DUMMYFUNCTION("""COMPUTED_VALUE"""),"BHC")</f>
        <v>BHC</v>
      </c>
      <c r="I52" s="122">
        <f ca="1">IFERROR(__xludf.DUMMYFUNCTION("""COMPUTED_VALUE"""),7.01666666666666)</f>
        <v>7.0166666666666604</v>
      </c>
      <c r="J52" s="123">
        <f ca="1">IFERROR(__xludf.DUMMYFUNCTION("""COMPUTED_VALUE"""),45962)</f>
        <v>45962</v>
      </c>
      <c r="K52" s="123">
        <f ca="1">IFERROR(__xludf.DUMMYFUNCTION("""COMPUTED_VALUE"""),45962)</f>
        <v>45962</v>
      </c>
      <c r="L52" s="121" t="str">
        <f ca="1">IFERROR(__xludf.DUMMYFUNCTION("""COMPUTED_VALUE"""),"Vignette [8] Birth Spacing/ Family Planning :  FP Counselling")</f>
        <v>Vignette [8] Birth Spacing/ Family Planning :  FP Counselling</v>
      </c>
      <c r="M52" s="121" t="str">
        <f ca="1">IFERROR(__xludf.DUMMYFUNCTION("""COMPUTED_VALUE"""),"Vignette")</f>
        <v>Vignette</v>
      </c>
      <c r="N52" s="121" t="str">
        <f ca="1">IFERROR(__xludf.DUMMYFUNCTION("""COMPUTED_VALUE"""),"N/A")</f>
        <v>N/A</v>
      </c>
      <c r="O52" s="121"/>
      <c r="P52" s="121"/>
      <c r="Q52" s="121"/>
      <c r="R52" s="121"/>
      <c r="S52" s="121"/>
      <c r="T52" s="121"/>
      <c r="U52" s="121"/>
      <c r="V52" s="121"/>
      <c r="W52" s="121"/>
      <c r="X52" s="121"/>
      <c r="Y52" s="121"/>
      <c r="Z52" s="121"/>
      <c r="AA52" s="121"/>
      <c r="AB52" s="121"/>
    </row>
    <row r="53" spans="1:28">
      <c r="A53" s="121" t="str">
        <f ca="1">IFERROR(__xludf.DUMMYFUNCTION("""COMPUTED_VALUE"""),"uuid:2f616d6c-1b53-4aa3-8dc8-a8f9b0a27ede")</f>
        <v>uuid:2f616d6c-1b53-4aa3-8dc8-a8f9b0a27ede</v>
      </c>
      <c r="B53" s="121" t="str">
        <f ca="1">IFERROR(__xludf.DUMMYFUNCTION("""COMPUTED_VALUE"""),"FR2761")</f>
        <v>FR2761</v>
      </c>
      <c r="C53" s="121" t="str">
        <f ca="1">IFERROR(__xludf.DUMMYFUNCTION("""COMPUTED_VALUE"""),"Rawzia Raihan")</f>
        <v>Rawzia Raihan</v>
      </c>
      <c r="D53" s="121" t="str">
        <f ca="1">IFERROR(__xludf.DUMMYFUNCTION("""COMPUTED_VALUE"""),"HER-PKA-HF1630-Q2-2025-1189-01")</f>
        <v>HER-PKA-HF1630-Q2-2025-1189-01</v>
      </c>
      <c r="E53" s="121" t="str">
        <f ca="1">IFERROR(__xludf.DUMMYFUNCTION("""COMPUTED_VALUE"""),"Paktika")</f>
        <v>Paktika</v>
      </c>
      <c r="F53" s="121" t="str">
        <f ca="1">IFERROR(__xludf.DUMMYFUNCTION("""COMPUTED_VALUE"""),"Zarghoon Shahr")</f>
        <v>Zarghoon Shahr</v>
      </c>
      <c r="G53" s="121" t="str">
        <f ca="1">IFERROR(__xludf.DUMMYFUNCTION("""COMPUTED_VALUE"""),"Bakkhel Clinic (1630)")</f>
        <v>Bakkhel Clinic (1630)</v>
      </c>
      <c r="H53" s="121" t="str">
        <f ca="1">IFERROR(__xludf.DUMMYFUNCTION("""COMPUTED_VALUE"""),"BHC")</f>
        <v>BHC</v>
      </c>
      <c r="I53" s="122">
        <f ca="1">IFERROR(__xludf.DUMMYFUNCTION("""COMPUTED_VALUE"""),3.85)</f>
        <v>3.85</v>
      </c>
      <c r="J53" s="123">
        <f ca="1">IFERROR(__xludf.DUMMYFUNCTION("""COMPUTED_VALUE"""),45962)</f>
        <v>45962</v>
      </c>
      <c r="K53" s="123">
        <f ca="1">IFERROR(__xludf.DUMMYFUNCTION("""COMPUTED_VALUE"""),45962)</f>
        <v>45962</v>
      </c>
      <c r="L53" s="121" t="str">
        <f ca="1">IFERROR(__xludf.DUMMYFUNCTION("""COMPUTED_VALUE"""),"Vignette [9] Birth Spacing: Change FP method to Injectable")</f>
        <v>Vignette [9] Birth Spacing: Change FP method to Injectable</v>
      </c>
      <c r="M53" s="121" t="str">
        <f ca="1">IFERROR(__xludf.DUMMYFUNCTION("""COMPUTED_VALUE"""),"Vignette")</f>
        <v>Vignette</v>
      </c>
      <c r="N53" s="121" t="str">
        <f ca="1">IFERROR(__xludf.DUMMYFUNCTION("""COMPUTED_VALUE"""),"N/A")</f>
        <v>N/A</v>
      </c>
      <c r="O53" s="121"/>
      <c r="P53" s="121"/>
      <c r="Q53" s="121"/>
      <c r="R53" s="121"/>
      <c r="S53" s="121"/>
      <c r="T53" s="121"/>
      <c r="U53" s="121"/>
      <c r="V53" s="121"/>
      <c r="W53" s="121"/>
      <c r="X53" s="121"/>
      <c r="Y53" s="121"/>
      <c r="Z53" s="121"/>
      <c r="AA53" s="121"/>
      <c r="AB53" s="121"/>
    </row>
    <row r="54" spans="1:28">
      <c r="A54" s="121" t="str">
        <f ca="1">IFERROR(__xludf.DUMMYFUNCTION("""COMPUTED_VALUE"""),"uuid:eb567d91-68b5-4580-885a-b0909060ec4d")</f>
        <v>uuid:eb567d91-68b5-4580-885a-b0909060ec4d</v>
      </c>
      <c r="B54" s="121" t="str">
        <f ca="1">IFERROR(__xludf.DUMMYFUNCTION("""COMPUTED_VALUE"""),"FR2761")</f>
        <v>FR2761</v>
      </c>
      <c r="C54" s="121" t="str">
        <f ca="1">IFERROR(__xludf.DUMMYFUNCTION("""COMPUTED_VALUE"""),"Rawzia Raihan")</f>
        <v>Rawzia Raihan</v>
      </c>
      <c r="D54" s="121" t="str">
        <f ca="1">IFERROR(__xludf.DUMMYFUNCTION("""COMPUTED_VALUE"""),"HER-PKA-HF1630-Q2-2025-1189-01")</f>
        <v>HER-PKA-HF1630-Q2-2025-1189-01</v>
      </c>
      <c r="E54" s="121" t="str">
        <f ca="1">IFERROR(__xludf.DUMMYFUNCTION("""COMPUTED_VALUE"""),"Paktika")</f>
        <v>Paktika</v>
      </c>
      <c r="F54" s="121" t="str">
        <f ca="1">IFERROR(__xludf.DUMMYFUNCTION("""COMPUTED_VALUE"""),"Zarghoon Shahr")</f>
        <v>Zarghoon Shahr</v>
      </c>
      <c r="G54" s="121" t="str">
        <f ca="1">IFERROR(__xludf.DUMMYFUNCTION("""COMPUTED_VALUE"""),"Bakkhel Clinic (1630)")</f>
        <v>Bakkhel Clinic (1630)</v>
      </c>
      <c r="H54" s="121" t="str">
        <f ca="1">IFERROR(__xludf.DUMMYFUNCTION("""COMPUTED_VALUE"""),"BHC")</f>
        <v>BHC</v>
      </c>
      <c r="I54" s="122">
        <f ca="1">IFERROR(__xludf.DUMMYFUNCTION("""COMPUTED_VALUE"""),6.76666666666666)</f>
        <v>6.7666666666666604</v>
      </c>
      <c r="J54" s="123">
        <f ca="1">IFERROR(__xludf.DUMMYFUNCTION("""COMPUTED_VALUE"""),45962)</f>
        <v>45962</v>
      </c>
      <c r="K54" s="123">
        <f ca="1">IFERROR(__xludf.DUMMYFUNCTION("""COMPUTED_VALUE"""),45962)</f>
        <v>45962</v>
      </c>
      <c r="L54" s="121" t="str">
        <f ca="1">IFERROR(__xludf.DUMMYFUNCTION("""COMPUTED_VALUE"""),"Vignette [10] Post Partum Haemorrhage - Atonic Uterus at Health Centre")</f>
        <v>Vignette [10] Post Partum Haemorrhage - Atonic Uterus at Health Centre</v>
      </c>
      <c r="M54" s="121" t="str">
        <f ca="1">IFERROR(__xludf.DUMMYFUNCTION("""COMPUTED_VALUE"""),"Vignette")</f>
        <v>Vignette</v>
      </c>
      <c r="N54" s="121" t="str">
        <f ca="1">IFERROR(__xludf.DUMMYFUNCTION("""COMPUTED_VALUE"""),"N/A")</f>
        <v>N/A</v>
      </c>
      <c r="O54" s="121"/>
      <c r="P54" s="121"/>
      <c r="Q54" s="121"/>
      <c r="R54" s="121"/>
      <c r="S54" s="121"/>
      <c r="T54" s="121"/>
      <c r="U54" s="121"/>
      <c r="V54" s="121"/>
      <c r="W54" s="121"/>
      <c r="X54" s="121"/>
      <c r="Y54" s="121"/>
      <c r="Z54" s="121"/>
      <c r="AA54" s="121"/>
      <c r="AB54" s="121"/>
    </row>
    <row r="55" spans="1:28">
      <c r="A55" s="121" t="str">
        <f ca="1">IFERROR(__xludf.DUMMYFUNCTION("""COMPUTED_VALUE"""),"uuid:ff944172-6243-4a00-bf9a-006f8c2fd5c3")</f>
        <v>uuid:ff944172-6243-4a00-bf9a-006f8c2fd5c3</v>
      </c>
      <c r="B55" s="121" t="str">
        <f ca="1">IFERROR(__xludf.DUMMYFUNCTION("""COMPUTED_VALUE"""),"FR2761")</f>
        <v>FR2761</v>
      </c>
      <c r="C55" s="121" t="str">
        <f ca="1">IFERROR(__xludf.DUMMYFUNCTION("""COMPUTED_VALUE"""),"Rawzia Raihan")</f>
        <v>Rawzia Raihan</v>
      </c>
      <c r="D55" s="121" t="str">
        <f ca="1">IFERROR(__xludf.DUMMYFUNCTION("""COMPUTED_VALUE"""),"HER-PKA-HF1630-Q2-2025-1189-01")</f>
        <v>HER-PKA-HF1630-Q2-2025-1189-01</v>
      </c>
      <c r="E55" s="121" t="str">
        <f ca="1">IFERROR(__xludf.DUMMYFUNCTION("""COMPUTED_VALUE"""),"Paktika")</f>
        <v>Paktika</v>
      </c>
      <c r="F55" s="121" t="str">
        <f ca="1">IFERROR(__xludf.DUMMYFUNCTION("""COMPUTED_VALUE"""),"Zarghoon Shahr")</f>
        <v>Zarghoon Shahr</v>
      </c>
      <c r="G55" s="121" t="str">
        <f ca="1">IFERROR(__xludf.DUMMYFUNCTION("""COMPUTED_VALUE"""),"Bakkhel Clinic (1630)")</f>
        <v>Bakkhel Clinic (1630)</v>
      </c>
      <c r="H55" s="121" t="str">
        <f ca="1">IFERROR(__xludf.DUMMYFUNCTION("""COMPUTED_VALUE"""),"BHC")</f>
        <v>BHC</v>
      </c>
      <c r="I55" s="122">
        <f ca="1">IFERROR(__xludf.DUMMYFUNCTION("""COMPUTED_VALUE"""),8.98333333333333)</f>
        <v>8.9833333333333307</v>
      </c>
      <c r="J55" s="123">
        <f ca="1">IFERROR(__xludf.DUMMYFUNCTION("""COMPUTED_VALUE"""),45962)</f>
        <v>45962</v>
      </c>
      <c r="K55" s="123">
        <f ca="1">IFERROR(__xludf.DUMMYFUNCTION("""COMPUTED_VALUE"""),45962)</f>
        <v>45962</v>
      </c>
      <c r="L55" s="121" t="str">
        <f ca="1">IFERROR(__xludf.DUMMYFUNCTION("""COMPUTED_VALUE"""),"Vignette [3] Growth Monitoring and Promotion")</f>
        <v>Vignette [3] Growth Monitoring and Promotion</v>
      </c>
      <c r="M55" s="121" t="str">
        <f ca="1">IFERROR(__xludf.DUMMYFUNCTION("""COMPUTED_VALUE"""),"Vignette")</f>
        <v>Vignette</v>
      </c>
      <c r="N55" s="121" t="str">
        <f ca="1">IFERROR(__xludf.DUMMYFUNCTION("""COMPUTED_VALUE"""),"N/A")</f>
        <v>N/A</v>
      </c>
      <c r="O55" s="121"/>
      <c r="P55" s="121"/>
      <c r="Q55" s="121"/>
      <c r="R55" s="121"/>
      <c r="S55" s="121"/>
      <c r="T55" s="121"/>
      <c r="U55" s="121"/>
      <c r="V55" s="121"/>
      <c r="W55" s="121"/>
      <c r="X55" s="121"/>
      <c r="Y55" s="121"/>
      <c r="Z55" s="121"/>
      <c r="AA55" s="121"/>
      <c r="AB55" s="121"/>
    </row>
    <row r="56" spans="1:28">
      <c r="A56" s="121" t="str">
        <f ca="1">IFERROR(__xludf.DUMMYFUNCTION("""COMPUTED_VALUE"""),"uuid:c9b7a4c6-6523-4fbf-a791-49472a279d20")</f>
        <v>uuid:c9b7a4c6-6523-4fbf-a791-49472a279d20</v>
      </c>
      <c r="B56" s="121" t="str">
        <f ca="1">IFERROR(__xludf.DUMMYFUNCTION("""COMPUTED_VALUE"""),"FR3691")</f>
        <v>FR3691</v>
      </c>
      <c r="C56" s="121" t="str">
        <f ca="1">IFERROR(__xludf.DUMMYFUNCTION("""COMPUTED_VALUE"""),"Adil Ahsas")</f>
        <v>Adil Ahsas</v>
      </c>
      <c r="D56" s="121" t="str">
        <f ca="1">IFERROR(__xludf.DUMMYFUNCTION("""COMPUTED_VALUE"""),"HER-PKA-HF1630-Q2-2025-1189-01")</f>
        <v>HER-PKA-HF1630-Q2-2025-1189-01</v>
      </c>
      <c r="E56" s="121" t="str">
        <f ca="1">IFERROR(__xludf.DUMMYFUNCTION("""COMPUTED_VALUE"""),"Paktika")</f>
        <v>Paktika</v>
      </c>
      <c r="F56" s="121" t="str">
        <f ca="1">IFERROR(__xludf.DUMMYFUNCTION("""COMPUTED_VALUE"""),"Zarghoon Shahr")</f>
        <v>Zarghoon Shahr</v>
      </c>
      <c r="G56" s="121" t="str">
        <f ca="1">IFERROR(__xludf.DUMMYFUNCTION("""COMPUTED_VALUE"""),"Bakkhel Clinic (1630)")</f>
        <v>Bakkhel Clinic (1630)</v>
      </c>
      <c r="H56" s="121" t="str">
        <f ca="1">IFERROR(__xludf.DUMMYFUNCTION("""COMPUTED_VALUE"""),"BHC")</f>
        <v>BHC</v>
      </c>
      <c r="I56" s="122">
        <f ca="1">IFERROR(__xludf.DUMMYFUNCTION("""COMPUTED_VALUE"""),10.4833333333333)</f>
        <v>10.483333333333301</v>
      </c>
      <c r="J56" s="123">
        <f ca="1">IFERROR(__xludf.DUMMYFUNCTION("""COMPUTED_VALUE"""),45962)</f>
        <v>45962</v>
      </c>
      <c r="K56" s="123">
        <f ca="1">IFERROR(__xludf.DUMMYFUNCTION("""COMPUTED_VALUE"""),45962)</f>
        <v>45962</v>
      </c>
      <c r="L56" s="121" t="str">
        <f ca="1">IFERROR(__xludf.DUMMYFUNCTION("""COMPUTED_VALUE"""),"Vignette [1] Respiratory Infection: Pneumonia")</f>
        <v>Vignette [1] Respiratory Infection: Pneumonia</v>
      </c>
      <c r="M56" s="121" t="str">
        <f ca="1">IFERROR(__xludf.DUMMYFUNCTION("""COMPUTED_VALUE"""),"Vignette")</f>
        <v>Vignette</v>
      </c>
      <c r="N56" s="121" t="str">
        <f ca="1">IFERROR(__xludf.DUMMYFUNCTION("""COMPUTED_VALUE"""),"N/A")</f>
        <v>N/A</v>
      </c>
      <c r="O56" s="121"/>
      <c r="P56" s="121"/>
      <c r="Q56" s="121"/>
      <c r="R56" s="121"/>
      <c r="S56" s="121"/>
      <c r="T56" s="121"/>
      <c r="U56" s="121"/>
      <c r="V56" s="121"/>
      <c r="W56" s="121"/>
      <c r="X56" s="121"/>
      <c r="Y56" s="121"/>
      <c r="Z56" s="121"/>
      <c r="AA56" s="121"/>
      <c r="AB56" s="121"/>
    </row>
    <row r="57" spans="1:28">
      <c r="A57" s="121" t="str">
        <f ca="1">IFERROR(__xludf.DUMMYFUNCTION("""COMPUTED_VALUE"""),"uuid:5b3330c3-3ceb-47f3-ab15-c91cde463f9f")</f>
        <v>uuid:5b3330c3-3ceb-47f3-ab15-c91cde463f9f</v>
      </c>
      <c r="B57" s="121" t="str">
        <f ca="1">IFERROR(__xludf.DUMMYFUNCTION("""COMPUTED_VALUE"""),"FR3691")</f>
        <v>FR3691</v>
      </c>
      <c r="C57" s="121" t="str">
        <f ca="1">IFERROR(__xludf.DUMMYFUNCTION("""COMPUTED_VALUE"""),"Adil Ahsas")</f>
        <v>Adil Ahsas</v>
      </c>
      <c r="D57" s="121" t="str">
        <f ca="1">IFERROR(__xludf.DUMMYFUNCTION("""COMPUTED_VALUE"""),"HER-PKA-HF1630-Q2-2025-1189-01")</f>
        <v>HER-PKA-HF1630-Q2-2025-1189-01</v>
      </c>
      <c r="E57" s="121" t="str">
        <f ca="1">IFERROR(__xludf.DUMMYFUNCTION("""COMPUTED_VALUE"""),"Paktika")</f>
        <v>Paktika</v>
      </c>
      <c r="F57" s="121" t="str">
        <f ca="1">IFERROR(__xludf.DUMMYFUNCTION("""COMPUTED_VALUE"""),"Zarghoon Shahr")</f>
        <v>Zarghoon Shahr</v>
      </c>
      <c r="G57" s="121" t="str">
        <f ca="1">IFERROR(__xludf.DUMMYFUNCTION("""COMPUTED_VALUE"""),"Bakkhel Clinic (1630)")</f>
        <v>Bakkhel Clinic (1630)</v>
      </c>
      <c r="H57" s="121" t="str">
        <f ca="1">IFERROR(__xludf.DUMMYFUNCTION("""COMPUTED_VALUE"""),"BHC")</f>
        <v>BHC</v>
      </c>
      <c r="I57" s="122">
        <f ca="1">IFERROR(__xludf.DUMMYFUNCTION("""COMPUTED_VALUE"""),6.88333333333333)</f>
        <v>6.8833333333333302</v>
      </c>
      <c r="J57" s="123">
        <f ca="1">IFERROR(__xludf.DUMMYFUNCTION("""COMPUTED_VALUE"""),45962)</f>
        <v>45962</v>
      </c>
      <c r="K57" s="123">
        <f ca="1">IFERROR(__xludf.DUMMYFUNCTION("""COMPUTED_VALUE"""),45962)</f>
        <v>45962</v>
      </c>
      <c r="L57" s="121" t="str">
        <f ca="1">IFERROR(__xludf.DUMMYFUNCTION("""COMPUTED_VALUE"""),"Vignette [2]: Diarrhea with Cat B dehydration")</f>
        <v>Vignette [2]: Diarrhea with Cat B dehydration</v>
      </c>
      <c r="M57" s="121" t="str">
        <f ca="1">IFERROR(__xludf.DUMMYFUNCTION("""COMPUTED_VALUE"""),"Vignette")</f>
        <v>Vignette</v>
      </c>
      <c r="N57" s="121" t="str">
        <f ca="1">IFERROR(__xludf.DUMMYFUNCTION("""COMPUTED_VALUE"""),"N/A")</f>
        <v>N/A</v>
      </c>
      <c r="O57" s="121"/>
      <c r="P57" s="121"/>
      <c r="Q57" s="121"/>
      <c r="R57" s="121"/>
      <c r="S57" s="121"/>
      <c r="T57" s="121"/>
      <c r="U57" s="121"/>
      <c r="V57" s="121"/>
      <c r="W57" s="121"/>
      <c r="X57" s="121"/>
      <c r="Y57" s="121"/>
      <c r="Z57" s="121"/>
      <c r="AA57" s="121"/>
      <c r="AB57" s="121"/>
    </row>
    <row r="58" spans="1:28">
      <c r="A58" s="121" t="str">
        <f ca="1">IFERROR(__xludf.DUMMYFUNCTION("""COMPUTED_VALUE"""),"uuid:5b36575d-46ab-493b-b637-55589a8276b5")</f>
        <v>uuid:5b36575d-46ab-493b-b637-55589a8276b5</v>
      </c>
      <c r="B58" s="121" t="str">
        <f ca="1">IFERROR(__xludf.DUMMYFUNCTION("""COMPUTED_VALUE"""),"FR3691")</f>
        <v>FR3691</v>
      </c>
      <c r="C58" s="121" t="str">
        <f ca="1">IFERROR(__xludf.DUMMYFUNCTION("""COMPUTED_VALUE"""),"Adil Ahsas")</f>
        <v>Adil Ahsas</v>
      </c>
      <c r="D58" s="121" t="str">
        <f ca="1">IFERROR(__xludf.DUMMYFUNCTION("""COMPUTED_VALUE"""),"HER-PKA-HF1630-Q2-2025-1189-01")</f>
        <v>HER-PKA-HF1630-Q2-2025-1189-01</v>
      </c>
      <c r="E58" s="121" t="str">
        <f ca="1">IFERROR(__xludf.DUMMYFUNCTION("""COMPUTED_VALUE"""),"Paktika")</f>
        <v>Paktika</v>
      </c>
      <c r="F58" s="121" t="str">
        <f ca="1">IFERROR(__xludf.DUMMYFUNCTION("""COMPUTED_VALUE"""),"Zarghoon Shahr")</f>
        <v>Zarghoon Shahr</v>
      </c>
      <c r="G58" s="121" t="str">
        <f ca="1">IFERROR(__xludf.DUMMYFUNCTION("""COMPUTED_VALUE"""),"Bakkhel Clinic (1630)")</f>
        <v>Bakkhel Clinic (1630)</v>
      </c>
      <c r="H58" s="121" t="str">
        <f ca="1">IFERROR(__xludf.DUMMYFUNCTION("""COMPUTED_VALUE"""),"BHC")</f>
        <v>BHC</v>
      </c>
      <c r="I58" s="122">
        <f ca="1">IFERROR(__xludf.DUMMYFUNCTION("""COMPUTED_VALUE"""),7.18333333333333)</f>
        <v>7.18333333333333</v>
      </c>
      <c r="J58" s="123">
        <f ca="1">IFERROR(__xludf.DUMMYFUNCTION("""COMPUTED_VALUE"""),45962)</f>
        <v>45962</v>
      </c>
      <c r="K58" s="123">
        <f ca="1">IFERROR(__xludf.DUMMYFUNCTION("""COMPUTED_VALUE"""),45962)</f>
        <v>45962</v>
      </c>
      <c r="L58" s="121" t="str">
        <f ca="1">IFERROR(__xludf.DUMMYFUNCTION("""COMPUTED_VALUE"""),"Vignette [4]: The management of presumptive TB patient")</f>
        <v>Vignette [4]: The management of presumptive TB patient</v>
      </c>
      <c r="M58" s="121" t="str">
        <f ca="1">IFERROR(__xludf.DUMMYFUNCTION("""COMPUTED_VALUE"""),"Vignette")</f>
        <v>Vignette</v>
      </c>
      <c r="N58" s="121" t="str">
        <f ca="1">IFERROR(__xludf.DUMMYFUNCTION("""COMPUTED_VALUE"""),"N/A")</f>
        <v>N/A</v>
      </c>
      <c r="O58" s="121"/>
      <c r="P58" s="121"/>
      <c r="Q58" s="121"/>
      <c r="R58" s="121"/>
      <c r="S58" s="121"/>
      <c r="T58" s="121"/>
      <c r="U58" s="121"/>
      <c r="V58" s="121"/>
      <c r="W58" s="121"/>
      <c r="X58" s="121"/>
      <c r="Y58" s="121"/>
      <c r="Z58" s="121"/>
      <c r="AA58" s="121"/>
      <c r="AB58" s="121"/>
    </row>
    <row r="59" spans="1:28">
      <c r="A59" s="121" t="str">
        <f ca="1">IFERROR(__xludf.DUMMYFUNCTION("""COMPUTED_VALUE"""),"uuid:04944ded-392f-42dc-8a82-fe4ccb0295d0")</f>
        <v>uuid:04944ded-392f-42dc-8a82-fe4ccb0295d0</v>
      </c>
      <c r="B59" s="121" t="str">
        <f ca="1">IFERROR(__xludf.DUMMYFUNCTION("""COMPUTED_VALUE"""),"FR4046")</f>
        <v>FR4046</v>
      </c>
      <c r="C59" s="121" t="str">
        <f ca="1">IFERROR(__xludf.DUMMYFUNCTION("""COMPUTED_VALUE"""),"Hashmatullah Mohammadi")</f>
        <v>Hashmatullah Mohammadi</v>
      </c>
      <c r="D59" s="121" t="str">
        <f ca="1">IFERROR(__xludf.DUMMYFUNCTION("""COMPUTED_VALUE"""),"HER-SRP-HF3837-Q2-2025-1233-01")</f>
        <v>HER-SRP-HF3837-Q2-2025-1233-01</v>
      </c>
      <c r="E59" s="121" t="str">
        <f ca="1">IFERROR(__xludf.DUMMYFUNCTION("""COMPUTED_VALUE"""),"Sar-e-Pul")</f>
        <v>Sar-e-Pul</v>
      </c>
      <c r="F59" s="121" t="str">
        <f ca="1">IFERROR(__xludf.DUMMYFUNCTION("""COMPUTED_VALUE"""),"Sar-e-Pul")</f>
        <v>Sar-e-Pul</v>
      </c>
      <c r="G59" s="121" t="str">
        <f ca="1">IFERROR(__xludf.DUMMYFUNCTION("""COMPUTED_VALUE"""),"Sar-e-Pul City SC (3837)")</f>
        <v>Sar-e-Pul City SC (3837)</v>
      </c>
      <c r="H59" s="121" t="str">
        <f ca="1">IFERROR(__xludf.DUMMYFUNCTION("""COMPUTED_VALUE"""),"SHC")</f>
        <v>SHC</v>
      </c>
      <c r="I59" s="122">
        <f ca="1">IFERROR(__xludf.DUMMYFUNCTION("""COMPUTED_VALUE"""),16.35)</f>
        <v>16.350000000000001</v>
      </c>
      <c r="J59" s="123">
        <f ca="1">IFERROR(__xludf.DUMMYFUNCTION("""COMPUTED_VALUE"""),45962)</f>
        <v>45962</v>
      </c>
      <c r="K59" s="123">
        <f ca="1">IFERROR(__xludf.DUMMYFUNCTION("""COMPUTED_VALUE"""),45962)</f>
        <v>45962</v>
      </c>
      <c r="L59" s="121" t="str">
        <f ca="1">IFERROR(__xludf.DUMMYFUNCTION("""COMPUTED_VALUE"""),"Vignette [4]: The management of presumptive TB patient")</f>
        <v>Vignette [4]: The management of presumptive TB patient</v>
      </c>
      <c r="M59" s="121" t="str">
        <f ca="1">IFERROR(__xludf.DUMMYFUNCTION("""COMPUTED_VALUE"""),"Vignette")</f>
        <v>Vignette</v>
      </c>
      <c r="N59" s="121" t="str">
        <f ca="1">IFERROR(__xludf.DUMMYFUNCTION("""COMPUTED_VALUE"""),"N/A")</f>
        <v>N/A</v>
      </c>
      <c r="O59" s="121"/>
      <c r="P59" s="121"/>
      <c r="Q59" s="121"/>
      <c r="R59" s="121"/>
      <c r="S59" s="121"/>
      <c r="T59" s="121"/>
      <c r="U59" s="121"/>
      <c r="V59" s="121"/>
      <c r="W59" s="121"/>
      <c r="X59" s="121"/>
      <c r="Y59" s="121"/>
      <c r="Z59" s="121"/>
      <c r="AA59" s="121"/>
      <c r="AB59" s="121"/>
    </row>
    <row r="60" spans="1:28">
      <c r="A60" s="121" t="str">
        <f ca="1">IFERROR(__xludf.DUMMYFUNCTION("""COMPUTED_VALUE"""),"uuid:910b6972-e424-4578-8c75-3b70b20f34d0")</f>
        <v>uuid:910b6972-e424-4578-8c75-3b70b20f34d0</v>
      </c>
      <c r="B60" s="121" t="str">
        <f ca="1">IFERROR(__xludf.DUMMYFUNCTION("""COMPUTED_VALUE"""),"FR4046")</f>
        <v>FR4046</v>
      </c>
      <c r="C60" s="121" t="str">
        <f ca="1">IFERROR(__xludf.DUMMYFUNCTION("""COMPUTED_VALUE"""),"Hashmatullah Mohammadi")</f>
        <v>Hashmatullah Mohammadi</v>
      </c>
      <c r="D60" s="121" t="str">
        <f ca="1">IFERROR(__xludf.DUMMYFUNCTION("""COMPUTED_VALUE"""),"HER-SRP-HF3837-Q2-2025-1233-01")</f>
        <v>HER-SRP-HF3837-Q2-2025-1233-01</v>
      </c>
      <c r="E60" s="121" t="str">
        <f ca="1">IFERROR(__xludf.DUMMYFUNCTION("""COMPUTED_VALUE"""),"Sar-e-Pul")</f>
        <v>Sar-e-Pul</v>
      </c>
      <c r="F60" s="121" t="str">
        <f ca="1">IFERROR(__xludf.DUMMYFUNCTION("""COMPUTED_VALUE"""),"Sar-e-Pul")</f>
        <v>Sar-e-Pul</v>
      </c>
      <c r="G60" s="121" t="str">
        <f ca="1">IFERROR(__xludf.DUMMYFUNCTION("""COMPUTED_VALUE"""),"Sar-e-Pul City SC (3837)")</f>
        <v>Sar-e-Pul City SC (3837)</v>
      </c>
      <c r="H60" s="121" t="str">
        <f ca="1">IFERROR(__xludf.DUMMYFUNCTION("""COMPUTED_VALUE"""),"SHC")</f>
        <v>SHC</v>
      </c>
      <c r="I60" s="122">
        <f ca="1">IFERROR(__xludf.DUMMYFUNCTION("""COMPUTED_VALUE"""),29.65)</f>
        <v>29.65</v>
      </c>
      <c r="J60" s="123">
        <f ca="1">IFERROR(__xludf.DUMMYFUNCTION("""COMPUTED_VALUE"""),45962)</f>
        <v>45962</v>
      </c>
      <c r="K60" s="123">
        <f ca="1">IFERROR(__xludf.DUMMYFUNCTION("""COMPUTED_VALUE"""),45962)</f>
        <v>45962</v>
      </c>
      <c r="L60" s="121" t="str">
        <f ca="1">IFERROR(__xludf.DUMMYFUNCTION("""COMPUTED_VALUE"""),"Vignette [3] Growth Monitoring and Promotion")</f>
        <v>Vignette [3] Growth Monitoring and Promotion</v>
      </c>
      <c r="M60" s="121" t="str">
        <f ca="1">IFERROR(__xludf.DUMMYFUNCTION("""COMPUTED_VALUE"""),"Vignette")</f>
        <v>Vignette</v>
      </c>
      <c r="N60" s="121" t="str">
        <f ca="1">IFERROR(__xludf.DUMMYFUNCTION("""COMPUTED_VALUE"""),"N/A")</f>
        <v>N/A</v>
      </c>
      <c r="O60" s="121"/>
      <c r="P60" s="121"/>
      <c r="Q60" s="121"/>
      <c r="R60" s="121"/>
      <c r="S60" s="121"/>
      <c r="T60" s="121"/>
      <c r="U60" s="121"/>
      <c r="V60" s="121"/>
      <c r="W60" s="121"/>
      <c r="X60" s="121"/>
      <c r="Y60" s="121"/>
      <c r="Z60" s="121"/>
      <c r="AA60" s="121"/>
      <c r="AB60" s="121"/>
    </row>
    <row r="61" spans="1:28">
      <c r="A61" s="121" t="str">
        <f ca="1">IFERROR(__xludf.DUMMYFUNCTION("""COMPUTED_VALUE"""),"uuid:87d25d32-f0d9-4166-ba77-76191d7ead83")</f>
        <v>uuid:87d25d32-f0d9-4166-ba77-76191d7ead83</v>
      </c>
      <c r="B61" s="121" t="str">
        <f ca="1">IFERROR(__xludf.DUMMYFUNCTION("""COMPUTED_VALUE"""),"FR4046")</f>
        <v>FR4046</v>
      </c>
      <c r="C61" s="121" t="str">
        <f ca="1">IFERROR(__xludf.DUMMYFUNCTION("""COMPUTED_VALUE"""),"Hashmatullah Mohammadi")</f>
        <v>Hashmatullah Mohammadi</v>
      </c>
      <c r="D61" s="121" t="str">
        <f ca="1">IFERROR(__xludf.DUMMYFUNCTION("""COMPUTED_VALUE"""),"HER-SRP-HF3837-Q2-2025-1233-01")</f>
        <v>HER-SRP-HF3837-Q2-2025-1233-01</v>
      </c>
      <c r="E61" s="121" t="str">
        <f ca="1">IFERROR(__xludf.DUMMYFUNCTION("""COMPUTED_VALUE"""),"Sar-e-Pul")</f>
        <v>Sar-e-Pul</v>
      </c>
      <c r="F61" s="121" t="str">
        <f ca="1">IFERROR(__xludf.DUMMYFUNCTION("""COMPUTED_VALUE"""),"Sar-e-Pul")</f>
        <v>Sar-e-Pul</v>
      </c>
      <c r="G61" s="121" t="str">
        <f ca="1">IFERROR(__xludf.DUMMYFUNCTION("""COMPUTED_VALUE"""),"Sar-e-Pul City SC (3837)")</f>
        <v>Sar-e-Pul City SC (3837)</v>
      </c>
      <c r="H61" s="121" t="str">
        <f ca="1">IFERROR(__xludf.DUMMYFUNCTION("""COMPUTED_VALUE"""),"SHC")</f>
        <v>SHC</v>
      </c>
      <c r="I61" s="122">
        <f ca="1">IFERROR(__xludf.DUMMYFUNCTION("""COMPUTED_VALUE"""),22.9833333333333)</f>
        <v>22.983333333333299</v>
      </c>
      <c r="J61" s="123">
        <f ca="1">IFERROR(__xludf.DUMMYFUNCTION("""COMPUTED_VALUE"""),45962)</f>
        <v>45962</v>
      </c>
      <c r="K61" s="123">
        <f ca="1">IFERROR(__xludf.DUMMYFUNCTION("""COMPUTED_VALUE"""),45962)</f>
        <v>45962</v>
      </c>
      <c r="L61" s="121" t="str">
        <f ca="1">IFERROR(__xludf.DUMMYFUNCTION("""COMPUTED_VALUE"""),"Vignette [2]: Diarrhea with Cat B dehydration")</f>
        <v>Vignette [2]: Diarrhea with Cat B dehydration</v>
      </c>
      <c r="M61" s="121" t="str">
        <f ca="1">IFERROR(__xludf.DUMMYFUNCTION("""COMPUTED_VALUE"""),"Vignette")</f>
        <v>Vignette</v>
      </c>
      <c r="N61" s="121" t="str">
        <f ca="1">IFERROR(__xludf.DUMMYFUNCTION("""COMPUTED_VALUE"""),"N/A")</f>
        <v>N/A</v>
      </c>
      <c r="O61" s="121"/>
      <c r="P61" s="121"/>
      <c r="Q61" s="121"/>
      <c r="R61" s="121"/>
      <c r="S61" s="121"/>
      <c r="T61" s="121"/>
      <c r="U61" s="121"/>
      <c r="V61" s="121"/>
      <c r="W61" s="121"/>
      <c r="X61" s="121"/>
      <c r="Y61" s="121"/>
      <c r="Z61" s="121"/>
      <c r="AA61" s="121"/>
      <c r="AB61" s="121"/>
    </row>
    <row r="62" spans="1:28">
      <c r="A62" s="121" t="str">
        <f ca="1">IFERROR(__xludf.DUMMYFUNCTION("""COMPUTED_VALUE"""),"uuid:6d1c0097-2d59-4511-8cc9-665abbdfb7d0")</f>
        <v>uuid:6d1c0097-2d59-4511-8cc9-665abbdfb7d0</v>
      </c>
      <c r="B62" s="121" t="str">
        <f ca="1">IFERROR(__xludf.DUMMYFUNCTION("""COMPUTED_VALUE"""),"FR4046")</f>
        <v>FR4046</v>
      </c>
      <c r="C62" s="121" t="str">
        <f ca="1">IFERROR(__xludf.DUMMYFUNCTION("""COMPUTED_VALUE"""),"Hashmatullah Mohammadi")</f>
        <v>Hashmatullah Mohammadi</v>
      </c>
      <c r="D62" s="121" t="str">
        <f ca="1">IFERROR(__xludf.DUMMYFUNCTION("""COMPUTED_VALUE"""),"HER-SRP-HF3837-Q2-2025-1233-01")</f>
        <v>HER-SRP-HF3837-Q2-2025-1233-01</v>
      </c>
      <c r="E62" s="121" t="str">
        <f ca="1">IFERROR(__xludf.DUMMYFUNCTION("""COMPUTED_VALUE"""),"Sar-e-Pul")</f>
        <v>Sar-e-Pul</v>
      </c>
      <c r="F62" s="121" t="str">
        <f ca="1">IFERROR(__xludf.DUMMYFUNCTION("""COMPUTED_VALUE"""),"Sar-e-Pul")</f>
        <v>Sar-e-Pul</v>
      </c>
      <c r="G62" s="121" t="str">
        <f ca="1">IFERROR(__xludf.DUMMYFUNCTION("""COMPUTED_VALUE"""),"Sar-e-Pul City SC (3837)")</f>
        <v>Sar-e-Pul City SC (3837)</v>
      </c>
      <c r="H62" s="121" t="str">
        <f ca="1">IFERROR(__xludf.DUMMYFUNCTION("""COMPUTED_VALUE"""),"SHC")</f>
        <v>SHC</v>
      </c>
      <c r="I62" s="122">
        <f ca="1">IFERROR(__xludf.DUMMYFUNCTION("""COMPUTED_VALUE"""),32.25)</f>
        <v>32.25</v>
      </c>
      <c r="J62" s="123">
        <f ca="1">IFERROR(__xludf.DUMMYFUNCTION("""COMPUTED_VALUE"""),45962)</f>
        <v>45962</v>
      </c>
      <c r="K62" s="123">
        <f ca="1">IFERROR(__xludf.DUMMYFUNCTION("""COMPUTED_VALUE"""),45962)</f>
        <v>45962</v>
      </c>
      <c r="L62" s="121" t="str">
        <f ca="1">IFERROR(__xludf.DUMMYFUNCTION("""COMPUTED_VALUE"""),"Vignette [1] Respiratory Infection: Pneumonia")</f>
        <v>Vignette [1] Respiratory Infection: Pneumonia</v>
      </c>
      <c r="M62" s="121" t="str">
        <f ca="1">IFERROR(__xludf.DUMMYFUNCTION("""COMPUTED_VALUE"""),"Vignette")</f>
        <v>Vignette</v>
      </c>
      <c r="N62" s="121" t="str">
        <f ca="1">IFERROR(__xludf.DUMMYFUNCTION("""COMPUTED_VALUE"""),"N/A")</f>
        <v>N/A</v>
      </c>
      <c r="O62" s="121"/>
      <c r="P62" s="121"/>
      <c r="Q62" s="121"/>
      <c r="R62" s="121"/>
      <c r="S62" s="121"/>
      <c r="T62" s="121"/>
      <c r="U62" s="121"/>
      <c r="V62" s="121"/>
      <c r="W62" s="121"/>
      <c r="X62" s="121"/>
      <c r="Y62" s="121"/>
      <c r="Z62" s="121"/>
      <c r="AA62" s="121"/>
      <c r="AB62" s="121"/>
    </row>
    <row r="63" spans="1:28">
      <c r="A63" s="121" t="str">
        <f ca="1">IFERROR(__xludf.DUMMYFUNCTION("""COMPUTED_VALUE"""),"uuid:eb01d9cf-e93c-41eb-b191-b4a9e314ed21")</f>
        <v>uuid:eb01d9cf-e93c-41eb-b191-b4a9e314ed21</v>
      </c>
      <c r="B63" s="121" t="str">
        <f ca="1">IFERROR(__xludf.DUMMYFUNCTION("""COMPUTED_VALUE"""),"FR3914")</f>
        <v>FR3914</v>
      </c>
      <c r="C63" s="121" t="str">
        <f ca="1">IFERROR(__xludf.DUMMYFUNCTION("""COMPUTED_VALUE"""),"Shekiba Qaderi")</f>
        <v>Shekiba Qaderi</v>
      </c>
      <c r="D63" s="121" t="str">
        <f ca="1">IFERROR(__xludf.DUMMYFUNCTION("""COMPUTED_VALUE"""),"HER-TAK-HF2870-Q2-2025-1246-01")</f>
        <v>HER-TAK-HF2870-Q2-2025-1246-01</v>
      </c>
      <c r="E63" s="121" t="str">
        <f ca="1">IFERROR(__xludf.DUMMYFUNCTION("""COMPUTED_VALUE"""),"Takhar")</f>
        <v>Takhar</v>
      </c>
      <c r="F63" s="121" t="str">
        <f ca="1">IFERROR(__xludf.DUMMYFUNCTION("""COMPUTED_VALUE"""),"Taloqan")</f>
        <v>Taloqan</v>
      </c>
      <c r="G63" s="121" t="str">
        <f ca="1">IFERROR(__xludf.DUMMYFUNCTION("""COMPUTED_VALUE"""),"Shorab SHC (2870)")</f>
        <v>Shorab SHC (2870)</v>
      </c>
      <c r="H63" s="121" t="str">
        <f ca="1">IFERROR(__xludf.DUMMYFUNCTION("""COMPUTED_VALUE"""),"SHC")</f>
        <v>SHC</v>
      </c>
      <c r="I63" s="122">
        <f ca="1">IFERROR(__xludf.DUMMYFUNCTION("""COMPUTED_VALUE"""),13.8833333333333)</f>
        <v>13.883333333333301</v>
      </c>
      <c r="J63" s="123">
        <f ca="1">IFERROR(__xludf.DUMMYFUNCTION("""COMPUTED_VALUE"""),45962)</f>
        <v>45962</v>
      </c>
      <c r="K63" s="121" t="str">
        <f ca="1">IFERROR(__xludf.DUMMYFUNCTION("""COMPUTED_VALUE"""),"NaT")</f>
        <v>NaT</v>
      </c>
      <c r="L63" s="121" t="str">
        <f ca="1">IFERROR(__xludf.DUMMYFUNCTION("""COMPUTED_VALUE"""),"Vignette [5] Labor")</f>
        <v>Vignette [5] Labor</v>
      </c>
      <c r="M63" s="121" t="str">
        <f ca="1">IFERROR(__xludf.DUMMYFUNCTION("""COMPUTED_VALUE"""),"Vignette")</f>
        <v>Vignette</v>
      </c>
      <c r="N63" s="121" t="str">
        <f ca="1">IFERROR(__xludf.DUMMYFUNCTION("""COMPUTED_VALUE"""),"N/A")</f>
        <v>N/A</v>
      </c>
      <c r="O63" s="121"/>
      <c r="P63" s="121"/>
      <c r="Q63" s="121"/>
      <c r="R63" s="121"/>
      <c r="S63" s="121"/>
      <c r="T63" s="121"/>
      <c r="U63" s="121"/>
      <c r="V63" s="121"/>
      <c r="W63" s="121"/>
      <c r="X63" s="121"/>
      <c r="Y63" s="121"/>
      <c r="Z63" s="121"/>
      <c r="AA63" s="121"/>
      <c r="AB63" s="121"/>
    </row>
    <row r="64" spans="1:28">
      <c r="A64" s="121" t="str">
        <f ca="1">IFERROR(__xludf.DUMMYFUNCTION("""COMPUTED_VALUE"""),"uuid:06047d5f-f3cd-4554-879c-c894d6825d9f")</f>
        <v>uuid:06047d5f-f3cd-4554-879c-c894d6825d9f</v>
      </c>
      <c r="B64" s="121" t="str">
        <f ca="1">IFERROR(__xludf.DUMMYFUNCTION("""COMPUTED_VALUE"""),"FR3914")</f>
        <v>FR3914</v>
      </c>
      <c r="C64" s="121" t="str">
        <f ca="1">IFERROR(__xludf.DUMMYFUNCTION("""COMPUTED_VALUE"""),"Shekiba Qaderi")</f>
        <v>Shekiba Qaderi</v>
      </c>
      <c r="D64" s="121" t="str">
        <f ca="1">IFERROR(__xludf.DUMMYFUNCTION("""COMPUTED_VALUE"""),"HER-TAK-HF2870-Q2-2025-1246-01")</f>
        <v>HER-TAK-HF2870-Q2-2025-1246-01</v>
      </c>
      <c r="E64" s="121" t="str">
        <f ca="1">IFERROR(__xludf.DUMMYFUNCTION("""COMPUTED_VALUE"""),"Takhar")</f>
        <v>Takhar</v>
      </c>
      <c r="F64" s="121" t="str">
        <f ca="1">IFERROR(__xludf.DUMMYFUNCTION("""COMPUTED_VALUE"""),"Taloqan")</f>
        <v>Taloqan</v>
      </c>
      <c r="G64" s="121" t="str">
        <f ca="1">IFERROR(__xludf.DUMMYFUNCTION("""COMPUTED_VALUE"""),"Shorab SHC (2870)")</f>
        <v>Shorab SHC (2870)</v>
      </c>
      <c r="H64" s="121" t="str">
        <f ca="1">IFERROR(__xludf.DUMMYFUNCTION("""COMPUTED_VALUE"""),"SHC")</f>
        <v>SHC</v>
      </c>
      <c r="I64" s="122">
        <f ca="1">IFERROR(__xludf.DUMMYFUNCTION("""COMPUTED_VALUE"""),21.1833333333333)</f>
        <v>21.183333333333302</v>
      </c>
      <c r="J64" s="123">
        <f ca="1">IFERROR(__xludf.DUMMYFUNCTION("""COMPUTED_VALUE"""),45962)</f>
        <v>45962</v>
      </c>
      <c r="K64" s="123">
        <f ca="1">IFERROR(__xludf.DUMMYFUNCTION("""COMPUTED_VALUE"""),45962)</f>
        <v>45962</v>
      </c>
      <c r="L64" s="121" t="str">
        <f ca="1">IFERROR(__xludf.DUMMYFUNCTION("""COMPUTED_VALUE"""),"Vignette [6] PNC pre Discharge")</f>
        <v>Vignette [6] PNC pre Discharge</v>
      </c>
      <c r="M64" s="121" t="str">
        <f ca="1">IFERROR(__xludf.DUMMYFUNCTION("""COMPUTED_VALUE"""),"Vignette")</f>
        <v>Vignette</v>
      </c>
      <c r="N64" s="121" t="str">
        <f ca="1">IFERROR(__xludf.DUMMYFUNCTION("""COMPUTED_VALUE"""),"N/A")</f>
        <v>N/A</v>
      </c>
      <c r="O64" s="121"/>
      <c r="P64" s="121"/>
      <c r="Q64" s="121"/>
      <c r="R64" s="121"/>
      <c r="S64" s="121"/>
      <c r="T64" s="121"/>
      <c r="U64" s="121"/>
      <c r="V64" s="121"/>
      <c r="W64" s="121"/>
      <c r="X64" s="121"/>
      <c r="Y64" s="121"/>
      <c r="Z64" s="121"/>
      <c r="AA64" s="121"/>
      <c r="AB64" s="121"/>
    </row>
    <row r="65" spans="1:28">
      <c r="A65" s="121" t="str">
        <f ca="1">IFERROR(__xludf.DUMMYFUNCTION("""COMPUTED_VALUE"""),"uuid:1c910eb5-79bf-4ac6-ac3e-8ea027ad66d5")</f>
        <v>uuid:1c910eb5-79bf-4ac6-ac3e-8ea027ad66d5</v>
      </c>
      <c r="B65" s="121" t="str">
        <f ca="1">IFERROR(__xludf.DUMMYFUNCTION("""COMPUTED_VALUE"""),"FR3914")</f>
        <v>FR3914</v>
      </c>
      <c r="C65" s="121" t="str">
        <f ca="1">IFERROR(__xludf.DUMMYFUNCTION("""COMPUTED_VALUE"""),"Shekiba Qaderi")</f>
        <v>Shekiba Qaderi</v>
      </c>
      <c r="D65" s="121" t="str">
        <f ca="1">IFERROR(__xludf.DUMMYFUNCTION("""COMPUTED_VALUE"""),"HER-TAK-HF2870-Q2-2025-1246-01")</f>
        <v>HER-TAK-HF2870-Q2-2025-1246-01</v>
      </c>
      <c r="E65" s="121" t="str">
        <f ca="1">IFERROR(__xludf.DUMMYFUNCTION("""COMPUTED_VALUE"""),"Takhar")</f>
        <v>Takhar</v>
      </c>
      <c r="F65" s="121" t="str">
        <f ca="1">IFERROR(__xludf.DUMMYFUNCTION("""COMPUTED_VALUE"""),"Taloqan")</f>
        <v>Taloqan</v>
      </c>
      <c r="G65" s="121" t="str">
        <f ca="1">IFERROR(__xludf.DUMMYFUNCTION("""COMPUTED_VALUE"""),"Shorab SHC (2870)")</f>
        <v>Shorab SHC (2870)</v>
      </c>
      <c r="H65" s="121" t="str">
        <f ca="1">IFERROR(__xludf.DUMMYFUNCTION("""COMPUTED_VALUE"""),"SHC")</f>
        <v>SHC</v>
      </c>
      <c r="I65" s="122">
        <f ca="1">IFERROR(__xludf.DUMMYFUNCTION("""COMPUTED_VALUE"""),16.9833333333333)</f>
        <v>16.983333333333299</v>
      </c>
      <c r="J65" s="123">
        <f ca="1">IFERROR(__xludf.DUMMYFUNCTION("""COMPUTED_VALUE"""),45962)</f>
        <v>45962</v>
      </c>
      <c r="K65" s="123">
        <f ca="1">IFERROR(__xludf.DUMMYFUNCTION("""COMPUTED_VALUE"""),45962)</f>
        <v>45962</v>
      </c>
      <c r="L65" s="121" t="str">
        <f ca="1">IFERROR(__xludf.DUMMYFUNCTION("""COMPUTED_VALUE"""),"Vignette [3] Growth Monitoring and Promotion")</f>
        <v>Vignette [3] Growth Monitoring and Promotion</v>
      </c>
      <c r="M65" s="121" t="str">
        <f ca="1">IFERROR(__xludf.DUMMYFUNCTION("""COMPUTED_VALUE"""),"Vignette")</f>
        <v>Vignette</v>
      </c>
      <c r="N65" s="121" t="str">
        <f ca="1">IFERROR(__xludf.DUMMYFUNCTION("""COMPUTED_VALUE"""),"N/A")</f>
        <v>N/A</v>
      </c>
      <c r="O65" s="121"/>
      <c r="P65" s="121"/>
      <c r="Q65" s="121"/>
      <c r="R65" s="121"/>
      <c r="S65" s="121"/>
      <c r="T65" s="121"/>
      <c r="U65" s="121"/>
      <c r="V65" s="121"/>
      <c r="W65" s="121"/>
      <c r="X65" s="121"/>
      <c r="Y65" s="121"/>
      <c r="Z65" s="121"/>
      <c r="AA65" s="121"/>
      <c r="AB65" s="121"/>
    </row>
    <row r="66" spans="1:28">
      <c r="A66" s="121" t="str">
        <f ca="1">IFERROR(__xludf.DUMMYFUNCTION("""COMPUTED_VALUE"""),"uuid:2cde2c3d-42cb-4841-b529-df8562ab05c1")</f>
        <v>uuid:2cde2c3d-42cb-4841-b529-df8562ab05c1</v>
      </c>
      <c r="B66" s="121" t="str">
        <f ca="1">IFERROR(__xludf.DUMMYFUNCTION("""COMPUTED_VALUE"""),"FR3914")</f>
        <v>FR3914</v>
      </c>
      <c r="C66" s="121" t="str">
        <f ca="1">IFERROR(__xludf.DUMMYFUNCTION("""COMPUTED_VALUE"""),"Shekiba Qaderi")</f>
        <v>Shekiba Qaderi</v>
      </c>
      <c r="D66" s="121" t="str">
        <f ca="1">IFERROR(__xludf.DUMMYFUNCTION("""COMPUTED_VALUE"""),"HER-TAK-HF2870-Q2-2025-1246-01")</f>
        <v>HER-TAK-HF2870-Q2-2025-1246-01</v>
      </c>
      <c r="E66" s="121" t="str">
        <f ca="1">IFERROR(__xludf.DUMMYFUNCTION("""COMPUTED_VALUE"""),"Takhar")</f>
        <v>Takhar</v>
      </c>
      <c r="F66" s="121" t="str">
        <f ca="1">IFERROR(__xludf.DUMMYFUNCTION("""COMPUTED_VALUE"""),"Taloqan")</f>
        <v>Taloqan</v>
      </c>
      <c r="G66" s="121" t="str">
        <f ca="1">IFERROR(__xludf.DUMMYFUNCTION("""COMPUTED_VALUE"""),"Shorab SHC (2870)")</f>
        <v>Shorab SHC (2870)</v>
      </c>
      <c r="H66" s="121" t="str">
        <f ca="1">IFERROR(__xludf.DUMMYFUNCTION("""COMPUTED_VALUE"""),"SHC")</f>
        <v>SHC</v>
      </c>
      <c r="I66" s="122">
        <f ca="1">IFERROR(__xludf.DUMMYFUNCTION("""COMPUTED_VALUE"""),23.6166666666666)</f>
        <v>23.6166666666666</v>
      </c>
      <c r="J66" s="123">
        <f ca="1">IFERROR(__xludf.DUMMYFUNCTION("""COMPUTED_VALUE"""),45962)</f>
        <v>45962</v>
      </c>
      <c r="K66" s="123">
        <f ca="1">IFERROR(__xludf.DUMMYFUNCTION("""COMPUTED_VALUE"""),45962)</f>
        <v>45962</v>
      </c>
      <c r="L66" s="121" t="str">
        <f ca="1">IFERROR(__xludf.DUMMYFUNCTION("""COMPUTED_VALUE"""),"Exit Interview 2")</f>
        <v>Exit Interview 2</v>
      </c>
      <c r="M66" s="121" t="str">
        <f ca="1">IFERROR(__xludf.DUMMYFUNCTION("""COMPUTED_VALUE"""),"Vignette")</f>
        <v>Vignette</v>
      </c>
      <c r="N66" s="121" t="str">
        <f ca="1">IFERROR(__xludf.DUMMYFUNCTION("""COMPUTED_VALUE"""),"N/A")</f>
        <v>N/A</v>
      </c>
      <c r="O66" s="121"/>
      <c r="P66" s="121"/>
      <c r="Q66" s="121"/>
      <c r="R66" s="121"/>
      <c r="S66" s="121"/>
      <c r="T66" s="121"/>
      <c r="U66" s="121"/>
      <c r="V66" s="121"/>
      <c r="W66" s="121"/>
      <c r="X66" s="121"/>
      <c r="Y66" s="121"/>
      <c r="Z66" s="121"/>
      <c r="AA66" s="121"/>
      <c r="AB66" s="121"/>
    </row>
    <row r="67" spans="1:28">
      <c r="A67" s="121" t="str">
        <f ca="1">IFERROR(__xludf.DUMMYFUNCTION("""COMPUTED_VALUE"""),"uuid:bbf8e15d-e970-438f-a80e-72f1d2a01bb4")</f>
        <v>uuid:bbf8e15d-e970-438f-a80e-72f1d2a01bb4</v>
      </c>
      <c r="B67" s="121" t="str">
        <f ca="1">IFERROR(__xludf.DUMMYFUNCTION("""COMPUTED_VALUE"""),"FR4582")</f>
        <v>FR4582</v>
      </c>
      <c r="C67" s="121" t="str">
        <f ca="1">IFERROR(__xludf.DUMMYFUNCTION("""COMPUTED_VALUE"""),"Said Mahboob Esmat Zai")</f>
        <v>Said Mahboob Esmat Zai</v>
      </c>
      <c r="D67" s="121" t="str">
        <f ca="1">IFERROR(__xludf.DUMMYFUNCTION("""COMPUTED_VALUE"""),"HER-KNR-HF2706-Q2-2025-1139-01")</f>
        <v>HER-KNR-HF2706-Q2-2025-1139-01</v>
      </c>
      <c r="E67" s="121" t="str">
        <f ca="1">IFERROR(__xludf.DUMMYFUNCTION("""COMPUTED_VALUE"""),"Kunar")</f>
        <v>Kunar</v>
      </c>
      <c r="F67" s="121" t="str">
        <f ca="1">IFERROR(__xludf.DUMMYFUNCTION("""COMPUTED_VALUE"""),"Bar Kunar")</f>
        <v>Bar Kunar</v>
      </c>
      <c r="G67" s="121" t="str">
        <f ca="1">IFERROR(__xludf.DUMMYFUNCTION("""COMPUTED_VALUE"""),"Shangar SHC (2706)")</f>
        <v>Shangar SHC (2706)</v>
      </c>
      <c r="H67" s="121" t="str">
        <f ca="1">IFERROR(__xludf.DUMMYFUNCTION("""COMPUTED_VALUE"""),"SHC")</f>
        <v>SHC</v>
      </c>
      <c r="I67" s="122">
        <f ca="1">IFERROR(__xludf.DUMMYFUNCTION("""COMPUTED_VALUE"""),13.3833333333333)</f>
        <v>13.383333333333301</v>
      </c>
      <c r="J67" s="123">
        <f ca="1">IFERROR(__xludf.DUMMYFUNCTION("""COMPUTED_VALUE"""),45962)</f>
        <v>45962</v>
      </c>
      <c r="K67" s="123">
        <f ca="1">IFERROR(__xludf.DUMMYFUNCTION("""COMPUTED_VALUE"""),45962)</f>
        <v>45962</v>
      </c>
      <c r="L67" s="121" t="str">
        <f ca="1">IFERROR(__xludf.DUMMYFUNCTION("""COMPUTED_VALUE"""),"Vignette [1] Respiratory Infection: Pneumonia")</f>
        <v>Vignette [1] Respiratory Infection: Pneumonia</v>
      </c>
      <c r="M67" s="121" t="str">
        <f ca="1">IFERROR(__xludf.DUMMYFUNCTION("""COMPUTED_VALUE"""),"Vignette")</f>
        <v>Vignette</v>
      </c>
      <c r="N67" s="121" t="str">
        <f ca="1">IFERROR(__xludf.DUMMYFUNCTION("""COMPUTED_VALUE"""),"N/A")</f>
        <v>N/A</v>
      </c>
      <c r="O67" s="121" t="str">
        <f ca="1">IFERROR(__xludf.DUMMYFUNCTION("""COMPUTED_VALUE"""),"Yes")</f>
        <v>Yes</v>
      </c>
      <c r="P67" s="121" t="str">
        <f ca="1">IFERROR(__xludf.DUMMYFUNCTION("""COMPUTED_VALUE""")," Voice of both sides is clear")</f>
        <v xml:space="preserve"> Voice of both sides is clear</v>
      </c>
      <c r="Q67" s="121"/>
      <c r="R67" s="121" t="str">
        <f ca="1">IFERROR(__xludf.DUMMYFUNCTION("""COMPUTED_VALUE"""),"Yes")</f>
        <v>Yes</v>
      </c>
      <c r="S67" s="121" t="str">
        <f ca="1">IFERROR(__xludf.DUMMYFUNCTION("""COMPUTED_VALUE"""),"Yes")</f>
        <v>Yes</v>
      </c>
      <c r="T67" s="121" t="str">
        <f ca="1">IFERROR(__xludf.DUMMYFUNCTION("""COMPUTED_VALUE"""),"Checked")</f>
        <v>Checked</v>
      </c>
      <c r="U67" s="121"/>
      <c r="V67" s="121" t="str">
        <f ca="1">IFERROR(__xludf.DUMMYFUNCTION("""COMPUTED_VALUE"""),"No")</f>
        <v>No</v>
      </c>
      <c r="W67" s="121">
        <f ca="1">IFERROR(__xludf.DUMMYFUNCTION("""COMPUTED_VALUE"""),3)</f>
        <v>3</v>
      </c>
      <c r="X67" s="121" t="str">
        <f ca="1">IFERROR(__xludf.DUMMYFUNCTION("""COMPUTED_VALUE"""),"Nagina Esmatzai")</f>
        <v>Nagina Esmatzai</v>
      </c>
      <c r="Y67" s="124">
        <f ca="1">IFERROR(__xludf.DUMMYFUNCTION("""COMPUTED_VALUE"""),45965)</f>
        <v>45965</v>
      </c>
      <c r="Z67" s="121" t="str">
        <f ca="1">IFERROR(__xludf.DUMMYFUNCTION("""COMPUTED_VALUE"""),"Approved")</f>
        <v>Approved</v>
      </c>
      <c r="AA67" s="121"/>
      <c r="AB67" s="121"/>
    </row>
    <row r="68" spans="1:28">
      <c r="A68" s="121" t="str">
        <f ca="1">IFERROR(__xludf.DUMMYFUNCTION("""COMPUTED_VALUE"""),"uuid:e8dca5b6-788b-462d-93ef-2b20233f402b")</f>
        <v>uuid:e8dca5b6-788b-462d-93ef-2b20233f402b</v>
      </c>
      <c r="B68" s="121" t="str">
        <f ca="1">IFERROR(__xludf.DUMMYFUNCTION("""COMPUTED_VALUE"""),"FR4582")</f>
        <v>FR4582</v>
      </c>
      <c r="C68" s="121" t="str">
        <f ca="1">IFERROR(__xludf.DUMMYFUNCTION("""COMPUTED_VALUE"""),"Said Mahboob Esmat Zai")</f>
        <v>Said Mahboob Esmat Zai</v>
      </c>
      <c r="D68" s="121" t="str">
        <f ca="1">IFERROR(__xludf.DUMMYFUNCTION("""COMPUTED_VALUE"""),"HER-KNR-HF2706-Q2-2025-1139-01")</f>
        <v>HER-KNR-HF2706-Q2-2025-1139-01</v>
      </c>
      <c r="E68" s="121" t="str">
        <f ca="1">IFERROR(__xludf.DUMMYFUNCTION("""COMPUTED_VALUE"""),"Kunar")</f>
        <v>Kunar</v>
      </c>
      <c r="F68" s="121" t="str">
        <f ca="1">IFERROR(__xludf.DUMMYFUNCTION("""COMPUTED_VALUE"""),"Bar Kunar")</f>
        <v>Bar Kunar</v>
      </c>
      <c r="G68" s="121" t="str">
        <f ca="1">IFERROR(__xludf.DUMMYFUNCTION("""COMPUTED_VALUE"""),"Shangar SHC (2706)")</f>
        <v>Shangar SHC (2706)</v>
      </c>
      <c r="H68" s="121" t="str">
        <f ca="1">IFERROR(__xludf.DUMMYFUNCTION("""COMPUTED_VALUE"""),"SHC")</f>
        <v>SHC</v>
      </c>
      <c r="I68" s="122">
        <f ca="1">IFERROR(__xludf.DUMMYFUNCTION("""COMPUTED_VALUE"""),15.45)</f>
        <v>15.45</v>
      </c>
      <c r="J68" s="123">
        <f ca="1">IFERROR(__xludf.DUMMYFUNCTION("""COMPUTED_VALUE"""),45962)</f>
        <v>45962</v>
      </c>
      <c r="K68" s="123">
        <f ca="1">IFERROR(__xludf.DUMMYFUNCTION("""COMPUTED_VALUE"""),45962)</f>
        <v>45962</v>
      </c>
      <c r="L68" s="121" t="str">
        <f ca="1">IFERROR(__xludf.DUMMYFUNCTION("""COMPUTED_VALUE"""),"Vignette [2]: Diarrhea with Cat B dehydration")</f>
        <v>Vignette [2]: Diarrhea with Cat B dehydration</v>
      </c>
      <c r="M68" s="121" t="str">
        <f ca="1">IFERROR(__xludf.DUMMYFUNCTION("""COMPUTED_VALUE"""),"Vignette")</f>
        <v>Vignette</v>
      </c>
      <c r="N68" s="121" t="str">
        <f ca="1">IFERROR(__xludf.DUMMYFUNCTION("""COMPUTED_VALUE"""),"N/A")</f>
        <v>N/A</v>
      </c>
      <c r="O68" s="121" t="str">
        <f ca="1">IFERROR(__xludf.DUMMYFUNCTION("""COMPUTED_VALUE"""),"Yes")</f>
        <v>Yes</v>
      </c>
      <c r="P68" s="121" t="str">
        <f ca="1">IFERROR(__xludf.DUMMYFUNCTION("""COMPUTED_VALUE""")," Voice of both sides is clear")</f>
        <v xml:space="preserve"> Voice of both sides is clear</v>
      </c>
      <c r="Q68" s="121"/>
      <c r="R68" s="121" t="str">
        <f ca="1">IFERROR(__xludf.DUMMYFUNCTION("""COMPUTED_VALUE"""),"Yes")</f>
        <v>Yes</v>
      </c>
      <c r="S68" s="121" t="str">
        <f ca="1">IFERROR(__xludf.DUMMYFUNCTION("""COMPUTED_VALUE"""),"Yes")</f>
        <v>Yes</v>
      </c>
      <c r="T68" s="121" t="str">
        <f ca="1">IFERROR(__xludf.DUMMYFUNCTION("""COMPUTED_VALUE"""),"Checked")</f>
        <v>Checked</v>
      </c>
      <c r="U68" s="121"/>
      <c r="V68" s="121" t="str">
        <f ca="1">IFERROR(__xludf.DUMMYFUNCTION("""COMPUTED_VALUE"""),"No")</f>
        <v>No</v>
      </c>
      <c r="W68" s="121">
        <f ca="1">IFERROR(__xludf.DUMMYFUNCTION("""COMPUTED_VALUE"""),4)</f>
        <v>4</v>
      </c>
      <c r="X68" s="121" t="str">
        <f ca="1">IFERROR(__xludf.DUMMYFUNCTION("""COMPUTED_VALUE"""),"Nagina Esmatzai")</f>
        <v>Nagina Esmatzai</v>
      </c>
      <c r="Y68" s="124">
        <f ca="1">IFERROR(__xludf.DUMMYFUNCTION("""COMPUTED_VALUE"""),45965)</f>
        <v>45965</v>
      </c>
      <c r="Z68" s="121" t="str">
        <f ca="1">IFERROR(__xludf.DUMMYFUNCTION("""COMPUTED_VALUE"""),"Approved")</f>
        <v>Approved</v>
      </c>
      <c r="AA68" s="121"/>
      <c r="AB68" s="121"/>
    </row>
    <row r="69" spans="1:28">
      <c r="A69" s="121" t="str">
        <f ca="1">IFERROR(__xludf.DUMMYFUNCTION("""COMPUTED_VALUE"""),"uuid:3004827d-bc93-4959-bee3-8927491700c7")</f>
        <v>uuid:3004827d-bc93-4959-bee3-8927491700c7</v>
      </c>
      <c r="B69" s="121" t="str">
        <f ca="1">IFERROR(__xludf.DUMMYFUNCTION("""COMPUTED_VALUE"""),"FR4582")</f>
        <v>FR4582</v>
      </c>
      <c r="C69" s="121" t="str">
        <f ca="1">IFERROR(__xludf.DUMMYFUNCTION("""COMPUTED_VALUE"""),"Said Mahboob Esmat Zai")</f>
        <v>Said Mahboob Esmat Zai</v>
      </c>
      <c r="D69" s="121" t="str">
        <f ca="1">IFERROR(__xludf.DUMMYFUNCTION("""COMPUTED_VALUE"""),"HER-KNR-HF2706-Q2-2025-1139-01")</f>
        <v>HER-KNR-HF2706-Q2-2025-1139-01</v>
      </c>
      <c r="E69" s="121" t="str">
        <f ca="1">IFERROR(__xludf.DUMMYFUNCTION("""COMPUTED_VALUE"""),"Kunar")</f>
        <v>Kunar</v>
      </c>
      <c r="F69" s="121" t="str">
        <f ca="1">IFERROR(__xludf.DUMMYFUNCTION("""COMPUTED_VALUE"""),"Bar Kunar")</f>
        <v>Bar Kunar</v>
      </c>
      <c r="G69" s="121" t="str">
        <f ca="1">IFERROR(__xludf.DUMMYFUNCTION("""COMPUTED_VALUE"""),"Shangar SHC (2706)")</f>
        <v>Shangar SHC (2706)</v>
      </c>
      <c r="H69" s="121" t="str">
        <f ca="1">IFERROR(__xludf.DUMMYFUNCTION("""COMPUTED_VALUE"""),"SHC")</f>
        <v>SHC</v>
      </c>
      <c r="I69" s="122">
        <f ca="1">IFERROR(__xludf.DUMMYFUNCTION("""COMPUTED_VALUE"""),9.78333333333333)</f>
        <v>9.7833333333333297</v>
      </c>
      <c r="J69" s="123">
        <f ca="1">IFERROR(__xludf.DUMMYFUNCTION("""COMPUTED_VALUE"""),45962)</f>
        <v>45962</v>
      </c>
      <c r="K69" s="123">
        <f ca="1">IFERROR(__xludf.DUMMYFUNCTION("""COMPUTED_VALUE"""),45962)</f>
        <v>45962</v>
      </c>
      <c r="L69" s="121" t="str">
        <f ca="1">IFERROR(__xludf.DUMMYFUNCTION("""COMPUTED_VALUE"""),"Vignette [4]: The management of presumptive TB patient")</f>
        <v>Vignette [4]: The management of presumptive TB patient</v>
      </c>
      <c r="M69" s="121" t="str">
        <f ca="1">IFERROR(__xludf.DUMMYFUNCTION("""COMPUTED_VALUE"""),"Vignette")</f>
        <v>Vignette</v>
      </c>
      <c r="N69" s="121" t="str">
        <f ca="1">IFERROR(__xludf.DUMMYFUNCTION("""COMPUTED_VALUE"""),"N/A")</f>
        <v>N/A</v>
      </c>
      <c r="O69" s="121" t="str">
        <f ca="1">IFERROR(__xludf.DUMMYFUNCTION("""COMPUTED_VALUE"""),"Yes")</f>
        <v>Yes</v>
      </c>
      <c r="P69" s="121" t="str">
        <f ca="1">IFERROR(__xludf.DUMMYFUNCTION("""COMPUTED_VALUE""")," Voice of both sides is clear")</f>
        <v xml:space="preserve"> Voice of both sides is clear</v>
      </c>
      <c r="Q69" s="121"/>
      <c r="R69" s="121" t="str">
        <f ca="1">IFERROR(__xludf.DUMMYFUNCTION("""COMPUTED_VALUE"""),"Yes")</f>
        <v>Yes</v>
      </c>
      <c r="S69" s="121" t="str">
        <f ca="1">IFERROR(__xludf.DUMMYFUNCTION("""COMPUTED_VALUE"""),"Yes")</f>
        <v>Yes</v>
      </c>
      <c r="T69" s="121" t="str">
        <f ca="1">IFERROR(__xludf.DUMMYFUNCTION("""COMPUTED_VALUE"""),"Checked")</f>
        <v>Checked</v>
      </c>
      <c r="U69" s="121"/>
      <c r="V69" s="121" t="str">
        <f ca="1">IFERROR(__xludf.DUMMYFUNCTION("""COMPUTED_VALUE"""),"No")</f>
        <v>No</v>
      </c>
      <c r="W69" s="121">
        <f ca="1">IFERROR(__xludf.DUMMYFUNCTION("""COMPUTED_VALUE"""),4)</f>
        <v>4</v>
      </c>
      <c r="X69" s="121" t="str">
        <f ca="1">IFERROR(__xludf.DUMMYFUNCTION("""COMPUTED_VALUE"""),"Nagina Esmatzai")</f>
        <v>Nagina Esmatzai</v>
      </c>
      <c r="Y69" s="124">
        <f ca="1">IFERROR(__xludf.DUMMYFUNCTION("""COMPUTED_VALUE"""),45965)</f>
        <v>45965</v>
      </c>
      <c r="Z69" s="121" t="str">
        <f ca="1">IFERROR(__xludf.DUMMYFUNCTION("""COMPUTED_VALUE"""),"Approved")</f>
        <v>Approved</v>
      </c>
      <c r="AA69" s="121"/>
      <c r="AB69" s="121"/>
    </row>
    <row r="70" spans="1:28">
      <c r="A70" s="121" t="str">
        <f ca="1">IFERROR(__xludf.DUMMYFUNCTION("""COMPUTED_VALUE"""),"uuid:5bf37d7b-d9d3-4f74-bd2d-d1f5f7e8cd78")</f>
        <v>uuid:5bf37d7b-d9d3-4f74-bd2d-d1f5f7e8cd78</v>
      </c>
      <c r="B70" s="121" t="str">
        <f ca="1">IFERROR(__xludf.DUMMYFUNCTION("""COMPUTED_VALUE"""),"FR2615")</f>
        <v>FR2615</v>
      </c>
      <c r="C70" s="121" t="str">
        <f ca="1">IFERROR(__xludf.DUMMYFUNCTION("""COMPUTED_VALUE"""),"Freshta Mohammadi")</f>
        <v>Freshta Mohammadi</v>
      </c>
      <c r="D70" s="121" t="str">
        <f ca="1">IFERROR(__xludf.DUMMYFUNCTION("""COMPUTED_VALUE"""),"HER-SRP-HF3837-Q2-2025-1233-01")</f>
        <v>HER-SRP-HF3837-Q2-2025-1233-01</v>
      </c>
      <c r="E70" s="121" t="str">
        <f ca="1">IFERROR(__xludf.DUMMYFUNCTION("""COMPUTED_VALUE"""),"Sar-e-Pul")</f>
        <v>Sar-e-Pul</v>
      </c>
      <c r="F70" s="121" t="str">
        <f ca="1">IFERROR(__xludf.DUMMYFUNCTION("""COMPUTED_VALUE"""),"Sar-e-Pul")</f>
        <v>Sar-e-Pul</v>
      </c>
      <c r="G70" s="121" t="str">
        <f ca="1">IFERROR(__xludf.DUMMYFUNCTION("""COMPUTED_VALUE"""),"Sar-e-Pul City SC (3837)")</f>
        <v>Sar-e-Pul City SC (3837)</v>
      </c>
      <c r="H70" s="121" t="str">
        <f ca="1">IFERROR(__xludf.DUMMYFUNCTION("""COMPUTED_VALUE"""),"SHC")</f>
        <v>SHC</v>
      </c>
      <c r="I70" s="122">
        <f ca="1">IFERROR(__xludf.DUMMYFUNCTION("""COMPUTED_VALUE"""),11.8166666666666)</f>
        <v>11.816666666666601</v>
      </c>
      <c r="J70" s="123">
        <f ca="1">IFERROR(__xludf.DUMMYFUNCTION("""COMPUTED_VALUE"""),45962)</f>
        <v>45962</v>
      </c>
      <c r="K70" s="123">
        <f ca="1">IFERROR(__xludf.DUMMYFUNCTION("""COMPUTED_VALUE"""),45962)</f>
        <v>45962</v>
      </c>
      <c r="L70" s="121" t="str">
        <f ca="1">IFERROR(__xludf.DUMMYFUNCTION("""COMPUTED_VALUE"""),"Exit Interview 1")</f>
        <v>Exit Interview 1</v>
      </c>
      <c r="M70" s="121" t="str">
        <f ca="1">IFERROR(__xludf.DUMMYFUNCTION("""COMPUTED_VALUE"""),"Vignette")</f>
        <v>Vignette</v>
      </c>
      <c r="N70" s="121" t="str">
        <f ca="1">IFERROR(__xludf.DUMMYFUNCTION("""COMPUTED_VALUE"""),"N/A")</f>
        <v>N/A</v>
      </c>
      <c r="O70" s="121"/>
      <c r="P70" s="121"/>
      <c r="Q70" s="121"/>
      <c r="R70" s="121"/>
      <c r="S70" s="121"/>
      <c r="T70" s="121"/>
      <c r="U70" s="121"/>
      <c r="V70" s="121"/>
      <c r="W70" s="121"/>
      <c r="X70" s="121"/>
      <c r="Y70" s="121"/>
      <c r="Z70" s="121"/>
      <c r="AA70" s="121"/>
      <c r="AB70" s="121"/>
    </row>
    <row r="71" spans="1:28">
      <c r="A71" s="121" t="str">
        <f ca="1">IFERROR(__xludf.DUMMYFUNCTION("""COMPUTED_VALUE"""),"uuid:ae00f866-01fa-4eef-80b9-2f042c96588a")</f>
        <v>uuid:ae00f866-01fa-4eef-80b9-2f042c96588a</v>
      </c>
      <c r="B71" s="121" t="str">
        <f ca="1">IFERROR(__xludf.DUMMYFUNCTION("""COMPUTED_VALUE"""),"FR2615")</f>
        <v>FR2615</v>
      </c>
      <c r="C71" s="121" t="str">
        <f ca="1">IFERROR(__xludf.DUMMYFUNCTION("""COMPUTED_VALUE"""),"Freshta Mohammadi")</f>
        <v>Freshta Mohammadi</v>
      </c>
      <c r="D71" s="121" t="str">
        <f ca="1">IFERROR(__xludf.DUMMYFUNCTION("""COMPUTED_VALUE"""),"HER-SRP-HF3837-Q2-2025-1233-01")</f>
        <v>HER-SRP-HF3837-Q2-2025-1233-01</v>
      </c>
      <c r="E71" s="121" t="str">
        <f ca="1">IFERROR(__xludf.DUMMYFUNCTION("""COMPUTED_VALUE"""),"Sar-e-Pul")</f>
        <v>Sar-e-Pul</v>
      </c>
      <c r="F71" s="121" t="str">
        <f ca="1">IFERROR(__xludf.DUMMYFUNCTION("""COMPUTED_VALUE"""),"Sar-e-Pul")</f>
        <v>Sar-e-Pul</v>
      </c>
      <c r="G71" s="121" t="str">
        <f ca="1">IFERROR(__xludf.DUMMYFUNCTION("""COMPUTED_VALUE"""),"Sar-e-Pul City SC (3837)")</f>
        <v>Sar-e-Pul City SC (3837)</v>
      </c>
      <c r="H71" s="121" t="str">
        <f ca="1">IFERROR(__xludf.DUMMYFUNCTION("""COMPUTED_VALUE"""),"SHC")</f>
        <v>SHC</v>
      </c>
      <c r="I71" s="122">
        <f ca="1">IFERROR(__xludf.DUMMYFUNCTION("""COMPUTED_VALUE"""),15.0666666666666)</f>
        <v>15.066666666666601</v>
      </c>
      <c r="J71" s="123">
        <f ca="1">IFERROR(__xludf.DUMMYFUNCTION("""COMPUTED_VALUE"""),45962)</f>
        <v>45962</v>
      </c>
      <c r="K71" s="123">
        <f ca="1">IFERROR(__xludf.DUMMYFUNCTION("""COMPUTED_VALUE"""),45962)</f>
        <v>45962</v>
      </c>
      <c r="L71" s="121" t="str">
        <f ca="1">IFERROR(__xludf.DUMMYFUNCTION("""COMPUTED_VALUE"""),"Exit Interview 2")</f>
        <v>Exit Interview 2</v>
      </c>
      <c r="M71" s="121" t="str">
        <f ca="1">IFERROR(__xludf.DUMMYFUNCTION("""COMPUTED_VALUE"""),"Vignette")</f>
        <v>Vignette</v>
      </c>
      <c r="N71" s="121" t="str">
        <f ca="1">IFERROR(__xludf.DUMMYFUNCTION("""COMPUTED_VALUE"""),"N/A")</f>
        <v>N/A</v>
      </c>
      <c r="O71" s="121"/>
      <c r="P71" s="121"/>
      <c r="Q71" s="121"/>
      <c r="R71" s="121"/>
      <c r="S71" s="121"/>
      <c r="T71" s="121"/>
      <c r="U71" s="121"/>
      <c r="V71" s="121"/>
      <c r="W71" s="121"/>
      <c r="X71" s="121"/>
      <c r="Y71" s="121"/>
      <c r="Z71" s="121"/>
      <c r="AA71" s="121"/>
      <c r="AB71" s="121"/>
    </row>
    <row r="72" spans="1:28">
      <c r="A72" s="121" t="str">
        <f ca="1">IFERROR(__xludf.DUMMYFUNCTION("""COMPUTED_VALUE"""),"uuid:19e35bfa-1029-4629-873e-687a731404be")</f>
        <v>uuid:19e35bfa-1029-4629-873e-687a731404be</v>
      </c>
      <c r="B72" s="121" t="str">
        <f ca="1">IFERROR(__xludf.DUMMYFUNCTION("""COMPUTED_VALUE"""),"FR2615")</f>
        <v>FR2615</v>
      </c>
      <c r="C72" s="121" t="str">
        <f ca="1">IFERROR(__xludf.DUMMYFUNCTION("""COMPUTED_VALUE"""),"Freshta Mohammadi")</f>
        <v>Freshta Mohammadi</v>
      </c>
      <c r="D72" s="121" t="str">
        <f ca="1">IFERROR(__xludf.DUMMYFUNCTION("""COMPUTED_VALUE"""),"HER-SRP-HF3837-Q2-2025-1233-01")</f>
        <v>HER-SRP-HF3837-Q2-2025-1233-01</v>
      </c>
      <c r="E72" s="121" t="str">
        <f ca="1">IFERROR(__xludf.DUMMYFUNCTION("""COMPUTED_VALUE"""),"Sar-e-Pul")</f>
        <v>Sar-e-Pul</v>
      </c>
      <c r="F72" s="121" t="str">
        <f ca="1">IFERROR(__xludf.DUMMYFUNCTION("""COMPUTED_VALUE"""),"Sar-e-Pul")</f>
        <v>Sar-e-Pul</v>
      </c>
      <c r="G72" s="121" t="str">
        <f ca="1">IFERROR(__xludf.DUMMYFUNCTION("""COMPUTED_VALUE"""),"Sar-e-Pul City SC (3837)")</f>
        <v>Sar-e-Pul City SC (3837)</v>
      </c>
      <c r="H72" s="121" t="str">
        <f ca="1">IFERROR(__xludf.DUMMYFUNCTION("""COMPUTED_VALUE"""),"SHC")</f>
        <v>SHC</v>
      </c>
      <c r="I72" s="122">
        <f ca="1">IFERROR(__xludf.DUMMYFUNCTION("""COMPUTED_VALUE"""),9.08333333333333)</f>
        <v>9.0833333333333304</v>
      </c>
      <c r="J72" s="123">
        <f ca="1">IFERROR(__xludf.DUMMYFUNCTION("""COMPUTED_VALUE"""),45962)</f>
        <v>45962</v>
      </c>
      <c r="K72" s="123">
        <f ca="1">IFERROR(__xludf.DUMMYFUNCTION("""COMPUTED_VALUE"""),45960)</f>
        <v>45960</v>
      </c>
      <c r="L72" s="121" t="str">
        <f ca="1">IFERROR(__xludf.DUMMYFUNCTION("""COMPUTED_VALUE"""),"Vignette [3] Growth Monitoring and Promotion")</f>
        <v>Vignette [3] Growth Monitoring and Promotion</v>
      </c>
      <c r="M72" s="121" t="str">
        <f ca="1">IFERROR(__xludf.DUMMYFUNCTION("""COMPUTED_VALUE"""),"Vignette")</f>
        <v>Vignette</v>
      </c>
      <c r="N72" s="121" t="str">
        <f ca="1">IFERROR(__xludf.DUMMYFUNCTION("""COMPUTED_VALUE"""),"N/A")</f>
        <v>N/A</v>
      </c>
      <c r="O72" s="121"/>
      <c r="P72" s="121"/>
      <c r="Q72" s="121"/>
      <c r="R72" s="121"/>
      <c r="S72" s="121"/>
      <c r="T72" s="121"/>
      <c r="U72" s="121"/>
      <c r="V72" s="121"/>
      <c r="W72" s="121"/>
      <c r="X72" s="121"/>
      <c r="Y72" s="121"/>
      <c r="Z72" s="121"/>
      <c r="AA72" s="121"/>
      <c r="AB72" s="121"/>
    </row>
    <row r="73" spans="1:28">
      <c r="A73" s="121" t="str">
        <f ca="1">IFERROR(__xludf.DUMMYFUNCTION("""COMPUTED_VALUE"""),"uuid:350dfe9d-e600-4a3f-9982-9cdd3695d1f6")</f>
        <v>uuid:350dfe9d-e600-4a3f-9982-9cdd3695d1f6</v>
      </c>
      <c r="B73" s="121" t="str">
        <f ca="1">IFERROR(__xludf.DUMMYFUNCTION("""COMPUTED_VALUE"""),"FR2615")</f>
        <v>FR2615</v>
      </c>
      <c r="C73" s="121" t="str">
        <f ca="1">IFERROR(__xludf.DUMMYFUNCTION("""COMPUTED_VALUE"""),"Freshta Mohammadi")</f>
        <v>Freshta Mohammadi</v>
      </c>
      <c r="D73" s="121" t="str">
        <f ca="1">IFERROR(__xludf.DUMMYFUNCTION("""COMPUTED_VALUE"""),"HER-SRP-HF3837-Q2-2025-1233-01")</f>
        <v>HER-SRP-HF3837-Q2-2025-1233-01</v>
      </c>
      <c r="E73" s="121" t="str">
        <f ca="1">IFERROR(__xludf.DUMMYFUNCTION("""COMPUTED_VALUE"""),"Sar-e-Pul")</f>
        <v>Sar-e-Pul</v>
      </c>
      <c r="F73" s="121" t="str">
        <f ca="1">IFERROR(__xludf.DUMMYFUNCTION("""COMPUTED_VALUE"""),"Sar-e-Pul")</f>
        <v>Sar-e-Pul</v>
      </c>
      <c r="G73" s="121" t="str">
        <f ca="1">IFERROR(__xludf.DUMMYFUNCTION("""COMPUTED_VALUE"""),"Sar-e-Pul City SC (3837)")</f>
        <v>Sar-e-Pul City SC (3837)</v>
      </c>
      <c r="H73" s="121" t="str">
        <f ca="1">IFERROR(__xludf.DUMMYFUNCTION("""COMPUTED_VALUE"""),"SHC")</f>
        <v>SHC</v>
      </c>
      <c r="I73" s="122">
        <f ca="1">IFERROR(__xludf.DUMMYFUNCTION("""COMPUTED_VALUE"""),14.3)</f>
        <v>14.3</v>
      </c>
      <c r="J73" s="123">
        <f ca="1">IFERROR(__xludf.DUMMYFUNCTION("""COMPUTED_VALUE"""),45962)</f>
        <v>45962</v>
      </c>
      <c r="K73" s="123">
        <f ca="1">IFERROR(__xludf.DUMMYFUNCTION("""COMPUTED_VALUE"""),45960)</f>
        <v>45960</v>
      </c>
      <c r="L73" s="121" t="str">
        <f ca="1">IFERROR(__xludf.DUMMYFUNCTION("""COMPUTED_VALUE"""),"Vignette [5] Labor")</f>
        <v>Vignette [5] Labor</v>
      </c>
      <c r="M73" s="121" t="str">
        <f ca="1">IFERROR(__xludf.DUMMYFUNCTION("""COMPUTED_VALUE"""),"Vignette")</f>
        <v>Vignette</v>
      </c>
      <c r="N73" s="121" t="str">
        <f ca="1">IFERROR(__xludf.DUMMYFUNCTION("""COMPUTED_VALUE"""),"N/A")</f>
        <v>N/A</v>
      </c>
      <c r="O73" s="121"/>
      <c r="P73" s="121"/>
      <c r="Q73" s="121"/>
      <c r="R73" s="121"/>
      <c r="S73" s="121"/>
      <c r="T73" s="121"/>
      <c r="U73" s="121"/>
      <c r="V73" s="121"/>
      <c r="W73" s="121"/>
      <c r="X73" s="121"/>
      <c r="Y73" s="121"/>
      <c r="Z73" s="121"/>
      <c r="AA73" s="121"/>
      <c r="AB73" s="121"/>
    </row>
    <row r="74" spans="1:28">
      <c r="A74" s="121" t="str">
        <f ca="1">IFERROR(__xludf.DUMMYFUNCTION("""COMPUTED_VALUE"""),"uuid:9286d31a-b73e-4fd5-8461-36e615eb44ba")</f>
        <v>uuid:9286d31a-b73e-4fd5-8461-36e615eb44ba</v>
      </c>
      <c r="B74" s="121" t="str">
        <f ca="1">IFERROR(__xludf.DUMMYFUNCTION("""COMPUTED_VALUE"""),"FR2615")</f>
        <v>FR2615</v>
      </c>
      <c r="C74" s="121" t="str">
        <f ca="1">IFERROR(__xludf.DUMMYFUNCTION("""COMPUTED_VALUE"""),"Freshta Mohammadi")</f>
        <v>Freshta Mohammadi</v>
      </c>
      <c r="D74" s="121" t="str">
        <f ca="1">IFERROR(__xludf.DUMMYFUNCTION("""COMPUTED_VALUE"""),"HER-SRP-HF3837-Q2-2025-1233-01")</f>
        <v>HER-SRP-HF3837-Q2-2025-1233-01</v>
      </c>
      <c r="E74" s="121" t="str">
        <f ca="1">IFERROR(__xludf.DUMMYFUNCTION("""COMPUTED_VALUE"""),"Sar-e-Pul")</f>
        <v>Sar-e-Pul</v>
      </c>
      <c r="F74" s="121" t="str">
        <f ca="1">IFERROR(__xludf.DUMMYFUNCTION("""COMPUTED_VALUE"""),"Sar-e-Pul")</f>
        <v>Sar-e-Pul</v>
      </c>
      <c r="G74" s="121" t="str">
        <f ca="1">IFERROR(__xludf.DUMMYFUNCTION("""COMPUTED_VALUE"""),"Sar-e-Pul City SC (3837)")</f>
        <v>Sar-e-Pul City SC (3837)</v>
      </c>
      <c r="H74" s="121" t="str">
        <f ca="1">IFERROR(__xludf.DUMMYFUNCTION("""COMPUTED_VALUE"""),"SHC")</f>
        <v>SHC</v>
      </c>
      <c r="I74" s="122">
        <f ca="1">IFERROR(__xludf.DUMMYFUNCTION("""COMPUTED_VALUE"""),19.3)</f>
        <v>19.3</v>
      </c>
      <c r="J74" s="123">
        <f ca="1">IFERROR(__xludf.DUMMYFUNCTION("""COMPUTED_VALUE"""),45962)</f>
        <v>45962</v>
      </c>
      <c r="K74" s="123">
        <f ca="1">IFERROR(__xludf.DUMMYFUNCTION("""COMPUTED_VALUE"""),45960)</f>
        <v>45960</v>
      </c>
      <c r="L74" s="121" t="str">
        <f ca="1">IFERROR(__xludf.DUMMYFUNCTION("""COMPUTED_VALUE"""),"Vignette [8] Birth Spacing/ Family Planning :  FP Counselling")</f>
        <v>Vignette [8] Birth Spacing/ Family Planning :  FP Counselling</v>
      </c>
      <c r="M74" s="121" t="str">
        <f ca="1">IFERROR(__xludf.DUMMYFUNCTION("""COMPUTED_VALUE"""),"Vignette")</f>
        <v>Vignette</v>
      </c>
      <c r="N74" s="121" t="str">
        <f ca="1">IFERROR(__xludf.DUMMYFUNCTION("""COMPUTED_VALUE"""),"N/A")</f>
        <v>N/A</v>
      </c>
      <c r="O74" s="121"/>
      <c r="P74" s="121"/>
      <c r="Q74" s="121"/>
      <c r="R74" s="121"/>
      <c r="S74" s="121"/>
      <c r="T74" s="121"/>
      <c r="U74" s="121"/>
      <c r="V74" s="121"/>
      <c r="W74" s="121"/>
      <c r="X74" s="121"/>
      <c r="Y74" s="121"/>
      <c r="Z74" s="121"/>
      <c r="AA74" s="121"/>
      <c r="AB74" s="121"/>
    </row>
    <row r="75" spans="1:28">
      <c r="A75" s="121" t="str">
        <f ca="1">IFERROR(__xludf.DUMMYFUNCTION("""COMPUTED_VALUE"""),"uuid:8a8a348f-1241-4bd4-b8f5-74e2b91f25b8")</f>
        <v>uuid:8a8a348f-1241-4bd4-b8f5-74e2b91f25b8</v>
      </c>
      <c r="B75" s="121" t="str">
        <f ca="1">IFERROR(__xludf.DUMMYFUNCTION("""COMPUTED_VALUE"""),"FR4698")</f>
        <v>FR4698</v>
      </c>
      <c r="C75" s="121" t="str">
        <f ca="1">IFERROR(__xludf.DUMMYFUNCTION("""COMPUTED_VALUE"""),"Yar Murad Khalid")</f>
        <v>Yar Murad Khalid</v>
      </c>
      <c r="D75" s="121" t="str">
        <f ca="1">IFERROR(__xludf.DUMMYFUNCTION("""COMPUTED_VALUE"""),"HER-BDS-HF3053-Q2-2025-1002-01")</f>
        <v>HER-BDS-HF3053-Q2-2025-1002-01</v>
      </c>
      <c r="E75" s="121" t="str">
        <f ca="1">IFERROR(__xludf.DUMMYFUNCTION("""COMPUTED_VALUE"""),"Badakhshan")</f>
        <v>Badakhshan</v>
      </c>
      <c r="F75" s="121" t="str">
        <f ca="1">IFERROR(__xludf.DUMMYFUNCTION("""COMPUTED_VALUE"""),"Darayem")</f>
        <v>Darayem</v>
      </c>
      <c r="G75" s="121" t="str">
        <f ca="1">IFERROR(__xludf.DUMMYFUNCTION("""COMPUTED_VALUE"""),"Shahr-e-Saadat SHC (3053)")</f>
        <v>Shahr-e-Saadat SHC (3053)</v>
      </c>
      <c r="H75" s="121" t="str">
        <f ca="1">IFERROR(__xludf.DUMMYFUNCTION("""COMPUTED_VALUE"""),"SHC")</f>
        <v>SHC</v>
      </c>
      <c r="I75" s="122">
        <f ca="1">IFERROR(__xludf.DUMMYFUNCTION("""COMPUTED_VALUE"""),8.35)</f>
        <v>8.35</v>
      </c>
      <c r="J75" s="123">
        <f ca="1">IFERROR(__xludf.DUMMYFUNCTION("""COMPUTED_VALUE"""),45962)</f>
        <v>45962</v>
      </c>
      <c r="K75" s="123">
        <f ca="1">IFERROR(__xludf.DUMMYFUNCTION("""COMPUTED_VALUE"""),45962)</f>
        <v>45962</v>
      </c>
      <c r="L75" s="121" t="str">
        <f ca="1">IFERROR(__xludf.DUMMYFUNCTION("""COMPUTED_VALUE"""),"Exit Interview 1")</f>
        <v>Exit Interview 1</v>
      </c>
      <c r="M75" s="121" t="str">
        <f ca="1">IFERROR(__xludf.DUMMYFUNCTION("""COMPUTED_VALUE"""),"Vignette")</f>
        <v>Vignette</v>
      </c>
      <c r="N75" s="121" t="str">
        <f ca="1">IFERROR(__xludf.DUMMYFUNCTION("""COMPUTED_VALUE"""),"N/A")</f>
        <v>N/A</v>
      </c>
      <c r="O75" s="121" t="str">
        <f ca="1">IFERROR(__xludf.DUMMYFUNCTION("""COMPUTED_VALUE"""),"Yes")</f>
        <v>Yes</v>
      </c>
      <c r="P75" s="121" t="str">
        <f ca="1">IFERROR(__xludf.DUMMYFUNCTION("""COMPUTED_VALUE""")," Voice of both sides is clear")</f>
        <v xml:space="preserve"> Voice of both sides is clear</v>
      </c>
      <c r="Q75" s="121" t="str">
        <f ca="1">IFERROR(__xludf.DUMMYFUNCTION("""COMPUTED_VALUE"""),"No Photo")</f>
        <v>No Photo</v>
      </c>
      <c r="R75" s="121" t="str">
        <f ca="1">IFERROR(__xludf.DUMMYFUNCTION("""COMPUTED_VALUE"""),"No")</f>
        <v>No</v>
      </c>
      <c r="S75" s="121"/>
      <c r="T75" s="121" t="str">
        <f ca="1">IFERROR(__xludf.DUMMYFUNCTION("""COMPUTED_VALUE"""),"Checked")</f>
        <v>Checked</v>
      </c>
      <c r="U75" s="121" t="str">
        <f ca="1">IFERROR(__xludf.DUMMYFUNCTION("""COMPUTED_VALUE"""),"No")</f>
        <v>No</v>
      </c>
      <c r="V75" s="121" t="str">
        <f ca="1">IFERROR(__xludf.DUMMYFUNCTION("""COMPUTED_VALUE"""),"Yes")</f>
        <v>Yes</v>
      </c>
      <c r="W75" s="121">
        <f ca="1">IFERROR(__xludf.DUMMYFUNCTION("""COMPUTED_VALUE"""),4)</f>
        <v>4</v>
      </c>
      <c r="X75" s="121" t="str">
        <f ca="1">IFERROR(__xludf.DUMMYFUNCTION("""COMPUTED_VALUE"""),"Mahdia Stanikzai")</f>
        <v>Mahdia Stanikzai</v>
      </c>
      <c r="Y75" s="124">
        <f ca="1">IFERROR(__xludf.DUMMYFUNCTION("""COMPUTED_VALUE"""),45965)</f>
        <v>45965</v>
      </c>
      <c r="Z75" s="121" t="str">
        <f ca="1">IFERROR(__xludf.DUMMYFUNCTION("""COMPUTED_VALUE"""),"Approved")</f>
        <v>Approved</v>
      </c>
      <c r="AA75" s="121"/>
      <c r="AB75" s="121"/>
    </row>
    <row r="76" spans="1:28">
      <c r="A76" s="121" t="str">
        <f ca="1">IFERROR(__xludf.DUMMYFUNCTION("""COMPUTED_VALUE"""),"uuid:3eecca6a-c95d-4f83-bbf6-d0115cb6a04b")</f>
        <v>uuid:3eecca6a-c95d-4f83-bbf6-d0115cb6a04b</v>
      </c>
      <c r="B76" s="121" t="str">
        <f ca="1">IFERROR(__xludf.DUMMYFUNCTION("""COMPUTED_VALUE"""),"FR4698")</f>
        <v>FR4698</v>
      </c>
      <c r="C76" s="121" t="str">
        <f ca="1">IFERROR(__xludf.DUMMYFUNCTION("""COMPUTED_VALUE"""),"Yar Murad Khalid")</f>
        <v>Yar Murad Khalid</v>
      </c>
      <c r="D76" s="121" t="str">
        <f ca="1">IFERROR(__xludf.DUMMYFUNCTION("""COMPUTED_VALUE"""),"HER-BDS-HF3053-Q2-2025-1002-01")</f>
        <v>HER-BDS-HF3053-Q2-2025-1002-01</v>
      </c>
      <c r="E76" s="121" t="str">
        <f ca="1">IFERROR(__xludf.DUMMYFUNCTION("""COMPUTED_VALUE"""),"Badakhshan")</f>
        <v>Badakhshan</v>
      </c>
      <c r="F76" s="121" t="str">
        <f ca="1">IFERROR(__xludf.DUMMYFUNCTION("""COMPUTED_VALUE"""),"Darayem")</f>
        <v>Darayem</v>
      </c>
      <c r="G76" s="121" t="str">
        <f ca="1">IFERROR(__xludf.DUMMYFUNCTION("""COMPUTED_VALUE"""),"Shahr-e-Saadat SHC (3053)")</f>
        <v>Shahr-e-Saadat SHC (3053)</v>
      </c>
      <c r="H76" s="121" t="str">
        <f ca="1">IFERROR(__xludf.DUMMYFUNCTION("""COMPUTED_VALUE"""),"SHC")</f>
        <v>SHC</v>
      </c>
      <c r="I76" s="122">
        <f ca="1">IFERROR(__xludf.DUMMYFUNCTION("""COMPUTED_VALUE"""),15.1)</f>
        <v>15.1</v>
      </c>
      <c r="J76" s="123">
        <f ca="1">IFERROR(__xludf.DUMMYFUNCTION("""COMPUTED_VALUE"""),45962)</f>
        <v>45962</v>
      </c>
      <c r="K76" s="123">
        <f ca="1">IFERROR(__xludf.DUMMYFUNCTION("""COMPUTED_VALUE"""),45962)</f>
        <v>45962</v>
      </c>
      <c r="L76" s="121" t="str">
        <f ca="1">IFERROR(__xludf.DUMMYFUNCTION("""COMPUTED_VALUE"""),"Vignette [2]: Diarrhea with Cat B dehydration")</f>
        <v>Vignette [2]: Diarrhea with Cat B dehydration</v>
      </c>
      <c r="M76" s="121" t="str">
        <f ca="1">IFERROR(__xludf.DUMMYFUNCTION("""COMPUTED_VALUE"""),"Vignette")</f>
        <v>Vignette</v>
      </c>
      <c r="N76" s="121" t="str">
        <f ca="1">IFERROR(__xludf.DUMMYFUNCTION("""COMPUTED_VALUE"""),"N/A")</f>
        <v>N/A</v>
      </c>
      <c r="O76" s="121" t="str">
        <f ca="1">IFERROR(__xludf.DUMMYFUNCTION("""COMPUTED_VALUE"""),"Yes")</f>
        <v>Yes</v>
      </c>
      <c r="P76" s="121" t="str">
        <f ca="1">IFERROR(__xludf.DUMMYFUNCTION("""COMPUTED_VALUE""")," Voice of both sides is clear")</f>
        <v xml:space="preserve"> Voice of both sides is clear</v>
      </c>
      <c r="Q76" s="121" t="str">
        <f ca="1">IFERROR(__xludf.DUMMYFUNCTION("""COMPUTED_VALUE"""),"No Photo")</f>
        <v>No Photo</v>
      </c>
      <c r="R76" s="121" t="str">
        <f ca="1">IFERROR(__xludf.DUMMYFUNCTION("""COMPUTED_VALUE"""),"No")</f>
        <v>No</v>
      </c>
      <c r="S76" s="121"/>
      <c r="T76" s="121" t="str">
        <f ca="1">IFERROR(__xludf.DUMMYFUNCTION("""COMPUTED_VALUE"""),"Checked")</f>
        <v>Checked</v>
      </c>
      <c r="U76" s="121" t="str">
        <f ca="1">IFERROR(__xludf.DUMMYFUNCTION("""COMPUTED_VALUE"""),"No")</f>
        <v>No</v>
      </c>
      <c r="V76" s="121" t="str">
        <f ca="1">IFERROR(__xludf.DUMMYFUNCTION("""COMPUTED_VALUE"""),"Yes")</f>
        <v>Yes</v>
      </c>
      <c r="W76" s="121">
        <f ca="1">IFERROR(__xludf.DUMMYFUNCTION("""COMPUTED_VALUE"""),4)</f>
        <v>4</v>
      </c>
      <c r="X76" s="121" t="str">
        <f ca="1">IFERROR(__xludf.DUMMYFUNCTION("""COMPUTED_VALUE"""),"Mahdia Stanikzai")</f>
        <v>Mahdia Stanikzai</v>
      </c>
      <c r="Y76" s="124">
        <f ca="1">IFERROR(__xludf.DUMMYFUNCTION("""COMPUTED_VALUE"""),45965)</f>
        <v>45965</v>
      </c>
      <c r="Z76" s="121" t="str">
        <f ca="1">IFERROR(__xludf.DUMMYFUNCTION("""COMPUTED_VALUE"""),"Approved")</f>
        <v>Approved</v>
      </c>
      <c r="AA76" s="121"/>
      <c r="AB76" s="121"/>
    </row>
    <row r="77" spans="1:28">
      <c r="A77" s="121" t="str">
        <f ca="1">IFERROR(__xludf.DUMMYFUNCTION("""COMPUTED_VALUE"""),"uuid:ba4b75a8-0163-435e-b8f5-21dbaf95c2a7")</f>
        <v>uuid:ba4b75a8-0163-435e-b8f5-21dbaf95c2a7</v>
      </c>
      <c r="B77" s="121" t="str">
        <f ca="1">IFERROR(__xludf.DUMMYFUNCTION("""COMPUTED_VALUE"""),"FR4010")</f>
        <v>FR4010</v>
      </c>
      <c r="C77" s="121" t="str">
        <f ca="1">IFERROR(__xludf.DUMMYFUNCTION("""COMPUTED_VALUE"""),"Zainab Fazli")</f>
        <v>Zainab Fazli</v>
      </c>
      <c r="D77" s="121" t="str">
        <f ca="1">IFERROR(__xludf.DUMMYFUNCTION("""COMPUTED_VALUE"""),"HER-KNR-HF2706-Q2-2025-1139-01")</f>
        <v>HER-KNR-HF2706-Q2-2025-1139-01</v>
      </c>
      <c r="E77" s="121" t="str">
        <f ca="1">IFERROR(__xludf.DUMMYFUNCTION("""COMPUTED_VALUE"""),"Kunar")</f>
        <v>Kunar</v>
      </c>
      <c r="F77" s="121" t="str">
        <f ca="1">IFERROR(__xludf.DUMMYFUNCTION("""COMPUTED_VALUE"""),"Bar Kunar")</f>
        <v>Bar Kunar</v>
      </c>
      <c r="G77" s="121" t="str">
        <f ca="1">IFERROR(__xludf.DUMMYFUNCTION("""COMPUTED_VALUE"""),"Shangar SHC (2706)")</f>
        <v>Shangar SHC (2706)</v>
      </c>
      <c r="H77" s="121" t="str">
        <f ca="1">IFERROR(__xludf.DUMMYFUNCTION("""COMPUTED_VALUE"""),"SHC")</f>
        <v>SHC</v>
      </c>
      <c r="I77" s="122">
        <f ca="1">IFERROR(__xludf.DUMMYFUNCTION("""COMPUTED_VALUE"""),10.6833333333333)</f>
        <v>10.6833333333333</v>
      </c>
      <c r="J77" s="123">
        <f ca="1">IFERROR(__xludf.DUMMYFUNCTION("""COMPUTED_VALUE"""),45962)</f>
        <v>45962</v>
      </c>
      <c r="K77" s="123">
        <f ca="1">IFERROR(__xludf.DUMMYFUNCTION("""COMPUTED_VALUE"""),45962)</f>
        <v>45962</v>
      </c>
      <c r="L77" s="121" t="str">
        <f ca="1">IFERROR(__xludf.DUMMYFUNCTION("""COMPUTED_VALUE"""),"Vignette [5] Labor")</f>
        <v>Vignette [5] Labor</v>
      </c>
      <c r="M77" s="121" t="str">
        <f ca="1">IFERROR(__xludf.DUMMYFUNCTION("""COMPUTED_VALUE"""),"Vignette")</f>
        <v>Vignette</v>
      </c>
      <c r="N77" s="121" t="str">
        <f ca="1">IFERROR(__xludf.DUMMYFUNCTION("""COMPUTED_VALUE"""),"N/A")</f>
        <v>N/A</v>
      </c>
      <c r="O77" s="121" t="str">
        <f ca="1">IFERROR(__xludf.DUMMYFUNCTION("""COMPUTED_VALUE"""),"Yes")</f>
        <v>Yes</v>
      </c>
      <c r="P77" s="121" t="str">
        <f ca="1">IFERROR(__xludf.DUMMYFUNCTION("""COMPUTED_VALUE""")," Voice of both sides is clear")</f>
        <v xml:space="preserve"> Voice of both sides is clear</v>
      </c>
      <c r="Q77" s="121"/>
      <c r="R77" s="121" t="str">
        <f ca="1">IFERROR(__xludf.DUMMYFUNCTION("""COMPUTED_VALUE"""),"Yes")</f>
        <v>Yes</v>
      </c>
      <c r="S77" s="121" t="str">
        <f ca="1">IFERROR(__xludf.DUMMYFUNCTION("""COMPUTED_VALUE"""),"Yes")</f>
        <v>Yes</v>
      </c>
      <c r="T77" s="121" t="str">
        <f ca="1">IFERROR(__xludf.DUMMYFUNCTION("""COMPUTED_VALUE"""),"Checked")</f>
        <v>Checked</v>
      </c>
      <c r="U77" s="121"/>
      <c r="V77" s="121"/>
      <c r="W77" s="121">
        <f ca="1">IFERROR(__xludf.DUMMYFUNCTION("""COMPUTED_VALUE"""),3)</f>
        <v>3</v>
      </c>
      <c r="X77" s="121" t="str">
        <f ca="1">IFERROR(__xludf.DUMMYFUNCTION("""COMPUTED_VALUE"""),"Nagina Esmatzai")</f>
        <v>Nagina Esmatzai</v>
      </c>
      <c r="Y77" s="124">
        <f ca="1">IFERROR(__xludf.DUMMYFUNCTION("""COMPUTED_VALUE"""),45965)</f>
        <v>45965</v>
      </c>
      <c r="Z77" s="121" t="str">
        <f ca="1">IFERROR(__xludf.DUMMYFUNCTION("""COMPUTED_VALUE"""),"Pending")</f>
        <v>Pending</v>
      </c>
      <c r="AA77" s="121"/>
      <c r="AB77" s="121"/>
    </row>
    <row r="78" spans="1:28">
      <c r="A78" s="121" t="str">
        <f ca="1">IFERROR(__xludf.DUMMYFUNCTION("""COMPUTED_VALUE"""),"uuid:3e6e6209-1b1e-4684-88ba-a576f6956798")</f>
        <v>uuid:3e6e6209-1b1e-4684-88ba-a576f6956798</v>
      </c>
      <c r="B78" s="121" t="str">
        <f ca="1">IFERROR(__xludf.DUMMYFUNCTION("""COMPUTED_VALUE"""),"FR4010")</f>
        <v>FR4010</v>
      </c>
      <c r="C78" s="121" t="str">
        <f ca="1">IFERROR(__xludf.DUMMYFUNCTION("""COMPUTED_VALUE"""),"Zainab Fazli")</f>
        <v>Zainab Fazli</v>
      </c>
      <c r="D78" s="121" t="str">
        <f ca="1">IFERROR(__xludf.DUMMYFUNCTION("""COMPUTED_VALUE"""),"HER-KNR-HF2706-Q2-2025-1139-01")</f>
        <v>HER-KNR-HF2706-Q2-2025-1139-01</v>
      </c>
      <c r="E78" s="121" t="str">
        <f ca="1">IFERROR(__xludf.DUMMYFUNCTION("""COMPUTED_VALUE"""),"Kunar")</f>
        <v>Kunar</v>
      </c>
      <c r="F78" s="121" t="str">
        <f ca="1">IFERROR(__xludf.DUMMYFUNCTION("""COMPUTED_VALUE"""),"Bar Kunar")</f>
        <v>Bar Kunar</v>
      </c>
      <c r="G78" s="121" t="str">
        <f ca="1">IFERROR(__xludf.DUMMYFUNCTION("""COMPUTED_VALUE"""),"Shangar SHC (2706)")</f>
        <v>Shangar SHC (2706)</v>
      </c>
      <c r="H78" s="121" t="str">
        <f ca="1">IFERROR(__xludf.DUMMYFUNCTION("""COMPUTED_VALUE"""),"SHC")</f>
        <v>SHC</v>
      </c>
      <c r="I78" s="122">
        <f ca="1">IFERROR(__xludf.DUMMYFUNCTION("""COMPUTED_VALUE"""),21.5833333333333)</f>
        <v>21.5833333333333</v>
      </c>
      <c r="J78" s="123">
        <f ca="1">IFERROR(__xludf.DUMMYFUNCTION("""COMPUTED_VALUE"""),45962)</f>
        <v>45962</v>
      </c>
      <c r="K78" s="123">
        <f ca="1">IFERROR(__xludf.DUMMYFUNCTION("""COMPUTED_VALUE"""),45962)</f>
        <v>45962</v>
      </c>
      <c r="L78" s="121" t="str">
        <f ca="1">IFERROR(__xludf.DUMMYFUNCTION("""COMPUTED_VALUE"""),"Exit Interview 1")</f>
        <v>Exit Interview 1</v>
      </c>
      <c r="M78" s="121" t="str">
        <f ca="1">IFERROR(__xludf.DUMMYFUNCTION("""COMPUTED_VALUE"""),"Vignette")</f>
        <v>Vignette</v>
      </c>
      <c r="N78" s="121" t="str">
        <f ca="1">IFERROR(__xludf.DUMMYFUNCTION("""COMPUTED_VALUE"""),"N/A")</f>
        <v>N/A</v>
      </c>
      <c r="O78" s="121"/>
      <c r="P78" s="121"/>
      <c r="Q78" s="121"/>
      <c r="R78" s="121"/>
      <c r="S78" s="121"/>
      <c r="T78" s="121"/>
      <c r="U78" s="121"/>
      <c r="V78" s="121"/>
      <c r="W78" s="121"/>
      <c r="X78" s="121" t="str">
        <f ca="1">IFERROR(__xludf.DUMMYFUNCTION("""COMPUTED_VALUE"""),"Nagina Esmatzai")</f>
        <v>Nagina Esmatzai</v>
      </c>
      <c r="Y78" s="124">
        <f ca="1">IFERROR(__xludf.DUMMYFUNCTION("""COMPUTED_VALUE"""),45965)</f>
        <v>45965</v>
      </c>
      <c r="Z78" s="121"/>
      <c r="AA78" s="121"/>
      <c r="AB78" s="121"/>
    </row>
    <row r="79" spans="1:28">
      <c r="A79" s="121" t="str">
        <f ca="1">IFERROR(__xludf.DUMMYFUNCTION("""COMPUTED_VALUE"""),"uuid:b520f2d4-e765-4908-a8d1-af74f804e44f")</f>
        <v>uuid:b520f2d4-e765-4908-a8d1-af74f804e44f</v>
      </c>
      <c r="B79" s="121" t="str">
        <f ca="1">IFERROR(__xludf.DUMMYFUNCTION("""COMPUTED_VALUE"""),"FR4010")</f>
        <v>FR4010</v>
      </c>
      <c r="C79" s="121" t="str">
        <f ca="1">IFERROR(__xludf.DUMMYFUNCTION("""COMPUTED_VALUE"""),"Zainab Fazli")</f>
        <v>Zainab Fazli</v>
      </c>
      <c r="D79" s="121" t="str">
        <f ca="1">IFERROR(__xludf.DUMMYFUNCTION("""COMPUTED_VALUE"""),"HER-KNR-HF2706-Q2-2025-1139-01")</f>
        <v>HER-KNR-HF2706-Q2-2025-1139-01</v>
      </c>
      <c r="E79" s="121" t="str">
        <f ca="1">IFERROR(__xludf.DUMMYFUNCTION("""COMPUTED_VALUE"""),"Kunar")</f>
        <v>Kunar</v>
      </c>
      <c r="F79" s="121" t="str">
        <f ca="1">IFERROR(__xludf.DUMMYFUNCTION("""COMPUTED_VALUE"""),"Bar Kunar")</f>
        <v>Bar Kunar</v>
      </c>
      <c r="G79" s="121" t="str">
        <f ca="1">IFERROR(__xludf.DUMMYFUNCTION("""COMPUTED_VALUE"""),"Shangar SHC (2706)")</f>
        <v>Shangar SHC (2706)</v>
      </c>
      <c r="H79" s="121" t="str">
        <f ca="1">IFERROR(__xludf.DUMMYFUNCTION("""COMPUTED_VALUE"""),"SHC")</f>
        <v>SHC</v>
      </c>
      <c r="I79" s="122">
        <f ca="1">IFERROR(__xludf.DUMMYFUNCTION("""COMPUTED_VALUE"""),12.5666666666666)</f>
        <v>12.566666666666601</v>
      </c>
      <c r="J79" s="123">
        <f ca="1">IFERROR(__xludf.DUMMYFUNCTION("""COMPUTED_VALUE"""),45962)</f>
        <v>45962</v>
      </c>
      <c r="K79" s="123">
        <f ca="1">IFERROR(__xludf.DUMMYFUNCTION("""COMPUTED_VALUE"""),45962)</f>
        <v>45962</v>
      </c>
      <c r="L79" s="121" t="str">
        <f ca="1">IFERROR(__xludf.DUMMYFUNCTION("""COMPUTED_VALUE"""),"Exit Interview 2")</f>
        <v>Exit Interview 2</v>
      </c>
      <c r="M79" s="121" t="str">
        <f ca="1">IFERROR(__xludf.DUMMYFUNCTION("""COMPUTED_VALUE"""),"Vignette")</f>
        <v>Vignette</v>
      </c>
      <c r="N79" s="121" t="str">
        <f ca="1">IFERROR(__xludf.DUMMYFUNCTION("""COMPUTED_VALUE"""),"N/A")</f>
        <v>N/A</v>
      </c>
      <c r="O79" s="121"/>
      <c r="P79" s="121"/>
      <c r="Q79" s="121"/>
      <c r="R79" s="121"/>
      <c r="S79" s="121"/>
      <c r="T79" s="121"/>
      <c r="U79" s="121"/>
      <c r="V79" s="121"/>
      <c r="W79" s="121"/>
      <c r="X79" s="121"/>
      <c r="Y79" s="121"/>
      <c r="Z79" s="121"/>
      <c r="AA79" s="121"/>
      <c r="AB79" s="121"/>
    </row>
    <row r="80" spans="1:28">
      <c r="A80" s="121" t="str">
        <f ca="1">IFERROR(__xludf.DUMMYFUNCTION("""COMPUTED_VALUE"""),"uuid:32e9b0a9-40b4-45ec-a932-f5aedddeb70f")</f>
        <v>uuid:32e9b0a9-40b4-45ec-a932-f5aedddeb70f</v>
      </c>
      <c r="B80" s="121" t="str">
        <f ca="1">IFERROR(__xludf.DUMMYFUNCTION("""COMPUTED_VALUE"""),"FR4010")</f>
        <v>FR4010</v>
      </c>
      <c r="C80" s="121" t="str">
        <f ca="1">IFERROR(__xludf.DUMMYFUNCTION("""COMPUTED_VALUE"""),"Zainab Fazli")</f>
        <v>Zainab Fazli</v>
      </c>
      <c r="D80" s="121" t="str">
        <f ca="1">IFERROR(__xludf.DUMMYFUNCTION("""COMPUTED_VALUE"""),"HER-KNR-HF2706-Q2-2025-1139-01")</f>
        <v>HER-KNR-HF2706-Q2-2025-1139-01</v>
      </c>
      <c r="E80" s="121" t="str">
        <f ca="1">IFERROR(__xludf.DUMMYFUNCTION("""COMPUTED_VALUE"""),"Kunar")</f>
        <v>Kunar</v>
      </c>
      <c r="F80" s="121" t="str">
        <f ca="1">IFERROR(__xludf.DUMMYFUNCTION("""COMPUTED_VALUE"""),"Bar Kunar")</f>
        <v>Bar Kunar</v>
      </c>
      <c r="G80" s="121" t="str">
        <f ca="1">IFERROR(__xludf.DUMMYFUNCTION("""COMPUTED_VALUE"""),"Shangar SHC (2706)")</f>
        <v>Shangar SHC (2706)</v>
      </c>
      <c r="H80" s="121" t="str">
        <f ca="1">IFERROR(__xludf.DUMMYFUNCTION("""COMPUTED_VALUE"""),"SHC")</f>
        <v>SHC</v>
      </c>
      <c r="I80" s="122">
        <f ca="1">IFERROR(__xludf.DUMMYFUNCTION("""COMPUTED_VALUE"""),9.45)</f>
        <v>9.4499999999999993</v>
      </c>
      <c r="J80" s="123">
        <f ca="1">IFERROR(__xludf.DUMMYFUNCTION("""COMPUTED_VALUE"""),45962)</f>
        <v>45962</v>
      </c>
      <c r="K80" s="123">
        <f ca="1">IFERROR(__xludf.DUMMYFUNCTION("""COMPUTED_VALUE"""),45962)</f>
        <v>45962</v>
      </c>
      <c r="L80" s="121" t="str">
        <f ca="1">IFERROR(__xludf.DUMMYFUNCTION("""COMPUTED_VALUE"""),"Vignette [3] Growth Monitoring and Promotion")</f>
        <v>Vignette [3] Growth Monitoring and Promotion</v>
      </c>
      <c r="M80" s="121" t="str">
        <f ca="1">IFERROR(__xludf.DUMMYFUNCTION("""COMPUTED_VALUE"""),"Vignette")</f>
        <v>Vignette</v>
      </c>
      <c r="N80" s="121" t="str">
        <f ca="1">IFERROR(__xludf.DUMMYFUNCTION("""COMPUTED_VALUE"""),"N/A")</f>
        <v>N/A</v>
      </c>
      <c r="O80" s="121"/>
      <c r="P80" s="121"/>
      <c r="Q80" s="121"/>
      <c r="R80" s="121"/>
      <c r="S80" s="121"/>
      <c r="T80" s="121"/>
      <c r="U80" s="121"/>
      <c r="V80" s="121"/>
      <c r="W80" s="121"/>
      <c r="X80" s="121"/>
      <c r="Y80" s="121"/>
      <c r="Z80" s="121"/>
      <c r="AA80" s="121"/>
      <c r="AB80" s="121"/>
    </row>
    <row r="81" spans="1:28">
      <c r="A81" s="121" t="str">
        <f ca="1">IFERROR(__xludf.DUMMYFUNCTION("""COMPUTED_VALUE"""),"uuid:73d272c2-4966-4031-9318-a3f52b4e5605")</f>
        <v>uuid:73d272c2-4966-4031-9318-a3f52b4e5605</v>
      </c>
      <c r="B81" s="121" t="str">
        <f ca="1">IFERROR(__xludf.DUMMYFUNCTION("""COMPUTED_VALUE"""),"FR4046")</f>
        <v>FR4046</v>
      </c>
      <c r="C81" s="121" t="str">
        <f ca="1">IFERROR(__xludf.DUMMYFUNCTION("""COMPUTED_VALUE"""),"Hashmatullah Mohammadi")</f>
        <v>Hashmatullah Mohammadi</v>
      </c>
      <c r="D81" s="121" t="str">
        <f ca="1">IFERROR(__xludf.DUMMYFUNCTION("""COMPUTED_VALUE"""),"HER-SRP-HF3837-Q2-2025-1233-01")</f>
        <v>HER-SRP-HF3837-Q2-2025-1233-01</v>
      </c>
      <c r="E81" s="121" t="str">
        <f ca="1">IFERROR(__xludf.DUMMYFUNCTION("""COMPUTED_VALUE"""),"Sar-e-Pul")</f>
        <v>Sar-e-Pul</v>
      </c>
      <c r="F81" s="121" t="str">
        <f ca="1">IFERROR(__xludf.DUMMYFUNCTION("""COMPUTED_VALUE"""),"Sar-e-Pul")</f>
        <v>Sar-e-Pul</v>
      </c>
      <c r="G81" s="121" t="str">
        <f ca="1">IFERROR(__xludf.DUMMYFUNCTION("""COMPUTED_VALUE"""),"Sar-e-Pul City SC (3837)")</f>
        <v>Sar-e-Pul City SC (3837)</v>
      </c>
      <c r="H81" s="121" t="str">
        <f ca="1">IFERROR(__xludf.DUMMYFUNCTION("""COMPUTED_VALUE"""),"SHC")</f>
        <v>SHC</v>
      </c>
      <c r="I81" s="122">
        <f ca="1">IFERROR(__xludf.DUMMYFUNCTION("""COMPUTED_VALUE"""),26)</f>
        <v>26</v>
      </c>
      <c r="J81" s="123">
        <f ca="1">IFERROR(__xludf.DUMMYFUNCTION("""COMPUTED_VALUE"""),45962)</f>
        <v>45962</v>
      </c>
      <c r="K81" s="123">
        <f ca="1">IFERROR(__xludf.DUMMYFUNCTION("""COMPUTED_VALUE"""),45962)</f>
        <v>45962</v>
      </c>
      <c r="L81" s="121" t="str">
        <f ca="1">IFERROR(__xludf.DUMMYFUNCTION("""COMPUTED_VALUE"""),"Other than P4P (section 6)")</f>
        <v>Other than P4P (section 6)</v>
      </c>
      <c r="M81" s="121" t="str">
        <f ca="1">IFERROR(__xludf.DUMMYFUNCTION("""COMPUTED_VALUE"""),"Data Verification")</f>
        <v>Data Verification</v>
      </c>
      <c r="N81" s="121" t="str">
        <f ca="1">IFERROR(__xludf.DUMMYFUNCTION("""COMPUTED_VALUE"""),"Dari")</f>
        <v>Dari</v>
      </c>
      <c r="O81" s="121" t="str">
        <f ca="1">IFERROR(__xludf.DUMMYFUNCTION("""COMPUTED_VALUE"""),"Yes")</f>
        <v>Yes</v>
      </c>
      <c r="P81" s="121" t="str">
        <f ca="1">IFERROR(__xludf.DUMMYFUNCTION("""COMPUTED_VALUE""")," Voice of both sides is clear")</f>
        <v xml:space="preserve"> Voice of both sides is clear</v>
      </c>
      <c r="Q81" s="121" t="str">
        <f ca="1">IFERROR(__xludf.DUMMYFUNCTION("""COMPUTED_VALUE"""),"Yes/all")</f>
        <v>Yes/all</v>
      </c>
      <c r="R81" s="121" t="str">
        <f ca="1">IFERROR(__xludf.DUMMYFUNCTION("""COMPUTED_VALUE"""),"No")</f>
        <v>No</v>
      </c>
      <c r="S81" s="121"/>
      <c r="T81" s="121" t="str">
        <f ca="1">IFERROR(__xludf.DUMMYFUNCTION("""COMPUTED_VALUE"""),"Checked")</f>
        <v>Checked</v>
      </c>
      <c r="U81" s="121" t="str">
        <f ca="1">IFERROR(__xludf.DUMMYFUNCTION("""COMPUTED_VALUE"""),"No")</f>
        <v>No</v>
      </c>
      <c r="V81" s="121" t="str">
        <f ca="1">IFERROR(__xludf.DUMMYFUNCTION("""COMPUTED_VALUE"""),"No")</f>
        <v>No</v>
      </c>
      <c r="W81" s="121">
        <f ca="1">IFERROR(__xludf.DUMMYFUNCTION("""COMPUTED_VALUE"""),4)</f>
        <v>4</v>
      </c>
      <c r="X81" s="121" t="str">
        <f ca="1">IFERROR(__xludf.DUMMYFUNCTION("""COMPUTED_VALUE"""),"Hashmatullah Banaee")</f>
        <v>Hashmatullah Banaee</v>
      </c>
      <c r="Y81" s="124">
        <f ca="1">IFERROR(__xludf.DUMMYFUNCTION("""COMPUTED_VALUE"""),45964)</f>
        <v>45964</v>
      </c>
      <c r="Z81" s="121" t="str">
        <f ca="1">IFERROR(__xludf.DUMMYFUNCTION("""COMPUTED_VALUE"""),"Approved")</f>
        <v>Approved</v>
      </c>
      <c r="AA81" s="121"/>
      <c r="AB81" s="121"/>
    </row>
    <row r="82" spans="1:28">
      <c r="A82" s="121" t="str">
        <f ca="1">IFERROR(__xludf.DUMMYFUNCTION("""COMPUTED_VALUE"""),"uuid:910155dc-3655-4f06-b4a4-cc86d88cb7a9")</f>
        <v>uuid:910155dc-3655-4f06-b4a4-cc86d88cb7a9</v>
      </c>
      <c r="B82" s="121" t="str">
        <f ca="1">IFERROR(__xludf.DUMMYFUNCTION("""COMPUTED_VALUE"""),"FR4046")</f>
        <v>FR4046</v>
      </c>
      <c r="C82" s="121" t="str">
        <f ca="1">IFERROR(__xludf.DUMMYFUNCTION("""COMPUTED_VALUE"""),"Hashmatullah Mohammadi")</f>
        <v>Hashmatullah Mohammadi</v>
      </c>
      <c r="D82" s="121" t="str">
        <f ca="1">IFERROR(__xludf.DUMMYFUNCTION("""COMPUTED_VALUE"""),"HER-SRP-HF3837-Q2-2025-1233-01")</f>
        <v>HER-SRP-HF3837-Q2-2025-1233-01</v>
      </c>
      <c r="E82" s="121" t="str">
        <f ca="1">IFERROR(__xludf.DUMMYFUNCTION("""COMPUTED_VALUE"""),"Sar-e-Pul")</f>
        <v>Sar-e-Pul</v>
      </c>
      <c r="F82" s="121" t="str">
        <f ca="1">IFERROR(__xludf.DUMMYFUNCTION("""COMPUTED_VALUE"""),"Sar-e-Pul")</f>
        <v>Sar-e-Pul</v>
      </c>
      <c r="G82" s="121" t="str">
        <f ca="1">IFERROR(__xludf.DUMMYFUNCTION("""COMPUTED_VALUE"""),"Sar-e-Pul City SC (3837)")</f>
        <v>Sar-e-Pul City SC (3837)</v>
      </c>
      <c r="H82" s="121" t="str">
        <f ca="1">IFERROR(__xludf.DUMMYFUNCTION("""COMPUTED_VALUE"""),"SHC")</f>
        <v>SHC</v>
      </c>
      <c r="I82" s="122">
        <f ca="1">IFERROR(__xludf.DUMMYFUNCTION("""COMPUTED_VALUE"""),99)</f>
        <v>99</v>
      </c>
      <c r="J82" s="123">
        <f ca="1">IFERROR(__xludf.DUMMYFUNCTION("""COMPUTED_VALUE"""),45962)</f>
        <v>45962</v>
      </c>
      <c r="K82" s="123">
        <f ca="1">IFERROR(__xludf.DUMMYFUNCTION("""COMPUTED_VALUE"""),45962)</f>
        <v>45962</v>
      </c>
      <c r="L82" s="121" t="str">
        <f ca="1">IFERROR(__xludf.DUMMYFUNCTION("""COMPUTED_VALUE"""),"Medicine (section 2)")</f>
        <v>Medicine (section 2)</v>
      </c>
      <c r="M82" s="121" t="str">
        <f ca="1">IFERROR(__xludf.DUMMYFUNCTION("""COMPUTED_VALUE"""),"Data Verification")</f>
        <v>Data Verification</v>
      </c>
      <c r="N82" s="121" t="str">
        <f ca="1">IFERROR(__xludf.DUMMYFUNCTION("""COMPUTED_VALUE"""),"Uzbeki")</f>
        <v>Uzbeki</v>
      </c>
      <c r="O82" s="121"/>
      <c r="P82" s="121" t="str">
        <f ca="1">IFERROR(__xludf.DUMMYFUNCTION("""COMPUTED_VALUE""")," Voice of both sides is clear")</f>
        <v xml:space="preserve"> Voice of both sides is clear</v>
      </c>
      <c r="Q82" s="121" t="str">
        <f ca="1">IFERROR(__xludf.DUMMYFUNCTION("""COMPUTED_VALUE"""),"Yes/Some")</f>
        <v>Yes/Some</v>
      </c>
      <c r="R82" s="121" t="str">
        <f ca="1">IFERROR(__xludf.DUMMYFUNCTION("""COMPUTED_VALUE"""),"Yes")</f>
        <v>Yes</v>
      </c>
      <c r="S82" s="121" t="str">
        <f ca="1">IFERROR(__xludf.DUMMYFUNCTION("""COMPUTED_VALUE"""),"Yes")</f>
        <v>Yes</v>
      </c>
      <c r="T82" s="121" t="str">
        <f ca="1">IFERROR(__xludf.DUMMYFUNCTION("""COMPUTED_VALUE"""),"Checked")</f>
        <v>Checked</v>
      </c>
      <c r="U82" s="121" t="str">
        <f ca="1">IFERROR(__xludf.DUMMYFUNCTION("""COMPUTED_VALUE"""),"No")</f>
        <v>No</v>
      </c>
      <c r="V82" s="121" t="str">
        <f ca="1">IFERROR(__xludf.DUMMYFUNCTION("""COMPUTED_VALUE"""),"Yes")</f>
        <v>Yes</v>
      </c>
      <c r="W82" s="121">
        <f ca="1">IFERROR(__xludf.DUMMYFUNCTION("""COMPUTED_VALUE"""),2)</f>
        <v>2</v>
      </c>
      <c r="X82" s="121" t="str">
        <f ca="1">IFERROR(__xludf.DUMMYFUNCTION("""COMPUTED_VALUE"""),"Soman Tahiri")</f>
        <v>Soman Tahiri</v>
      </c>
      <c r="Y82" s="124">
        <f ca="1">IFERROR(__xludf.DUMMYFUNCTION("""COMPUTED_VALUE"""),45964)</f>
        <v>45964</v>
      </c>
      <c r="Z82" s="121" t="str">
        <f ca="1">IFERROR(__xludf.DUMMYFUNCTION("""COMPUTED_VALUE"""),"Rejected")</f>
        <v>Rejected</v>
      </c>
      <c r="AA82" s="121" t="str">
        <f ca="1">IFERROR(__xludf.DUMMYFUNCTION("""COMPUTED_VALUE"""),"Does not follow DC rules (e.g. read options)")</f>
        <v>Does not follow DC rules (e.g. read options)</v>
      </c>
      <c r="AB82" s="121" t="str">
        <f ca="1">IFERROR(__xludf.DUMMYFUNCTION("""COMPUTED_VALUE"""),"Most photos of medicine are irrelevant")</f>
        <v>Most photos of medicine are irrelevant</v>
      </c>
    </row>
    <row r="83" spans="1:28">
      <c r="A83" s="121" t="str">
        <f ca="1">IFERROR(__xludf.DUMMYFUNCTION("""COMPUTED_VALUE"""),"uuid:76bec5be-ee35-4a1a-ab77-bcc0baf76da9")</f>
        <v>uuid:76bec5be-ee35-4a1a-ab77-bcc0baf76da9</v>
      </c>
      <c r="B83" s="121" t="str">
        <f ca="1">IFERROR(__xludf.DUMMYFUNCTION("""COMPUTED_VALUE"""),"FR4582")</f>
        <v>FR4582</v>
      </c>
      <c r="C83" s="121" t="str">
        <f ca="1">IFERROR(__xludf.DUMMYFUNCTION("""COMPUTED_VALUE"""),"Said Mahboob Esmat Zai")</f>
        <v>Said Mahboob Esmat Zai</v>
      </c>
      <c r="D83" s="121" t="str">
        <f ca="1">IFERROR(__xludf.DUMMYFUNCTION("""COMPUTED_VALUE"""),"HER-KNR-HF2706-Q2-2025-1139-01")</f>
        <v>HER-KNR-HF2706-Q2-2025-1139-01</v>
      </c>
      <c r="E83" s="121" t="str">
        <f ca="1">IFERROR(__xludf.DUMMYFUNCTION("""COMPUTED_VALUE"""),"Kunar")</f>
        <v>Kunar</v>
      </c>
      <c r="F83" s="121" t="str">
        <f ca="1">IFERROR(__xludf.DUMMYFUNCTION("""COMPUTED_VALUE"""),"Bar Kunar")</f>
        <v>Bar Kunar</v>
      </c>
      <c r="G83" s="121" t="str">
        <f ca="1">IFERROR(__xludf.DUMMYFUNCTION("""COMPUTED_VALUE"""),"Shangar SHC (2706)")</f>
        <v>Shangar SHC (2706)</v>
      </c>
      <c r="H83" s="121" t="str">
        <f ca="1">IFERROR(__xludf.DUMMYFUNCTION("""COMPUTED_VALUE"""),"SHC")</f>
        <v>SHC</v>
      </c>
      <c r="I83" s="122">
        <f ca="1">IFERROR(__xludf.DUMMYFUNCTION("""COMPUTED_VALUE"""),9)</f>
        <v>9</v>
      </c>
      <c r="J83" s="123">
        <f ca="1">IFERROR(__xludf.DUMMYFUNCTION("""COMPUTED_VALUE"""),45962)</f>
        <v>45962</v>
      </c>
      <c r="K83" s="123">
        <f ca="1">IFERROR(__xludf.DUMMYFUNCTION("""COMPUTED_VALUE"""),45962)</f>
        <v>45962</v>
      </c>
      <c r="L83" s="121" t="str">
        <f ca="1">IFERROR(__xludf.DUMMYFUNCTION("""COMPUTED_VALUE"""),"Other than P4P (section 6)")</f>
        <v>Other than P4P (section 6)</v>
      </c>
      <c r="M83" s="121" t="str">
        <f ca="1">IFERROR(__xludf.DUMMYFUNCTION("""COMPUTED_VALUE"""),"Data Verification")</f>
        <v>Data Verification</v>
      </c>
      <c r="N83" s="121" t="str">
        <f ca="1">IFERROR(__xludf.DUMMYFUNCTION("""COMPUTED_VALUE"""),"Pashto")</f>
        <v>Pashto</v>
      </c>
      <c r="O83" s="121"/>
      <c r="P83" s="121" t="str">
        <f ca="1">IFERROR(__xludf.DUMMYFUNCTION("""COMPUTED_VALUE""")," Voice of both sides is clear")</f>
        <v xml:space="preserve"> Voice of both sides is clear</v>
      </c>
      <c r="Q83" s="121" t="str">
        <f ca="1">IFERROR(__xludf.DUMMYFUNCTION("""COMPUTED_VALUE"""),"Yes/Some")</f>
        <v>Yes/Some</v>
      </c>
      <c r="R83" s="121" t="str">
        <f ca="1">IFERROR(__xludf.DUMMYFUNCTION("""COMPUTED_VALUE"""),"Yes")</f>
        <v>Yes</v>
      </c>
      <c r="S83" s="121" t="str">
        <f ca="1">IFERROR(__xludf.DUMMYFUNCTION("""COMPUTED_VALUE"""),"Yes")</f>
        <v>Yes</v>
      </c>
      <c r="T83" s="121" t="str">
        <f ca="1">IFERROR(__xludf.DUMMYFUNCTION("""COMPUTED_VALUE"""),"Checked")</f>
        <v>Checked</v>
      </c>
      <c r="U83" s="121" t="str">
        <f ca="1">IFERROR(__xludf.DUMMYFUNCTION("""COMPUTED_VALUE"""),"No")</f>
        <v>No</v>
      </c>
      <c r="V83" s="121" t="str">
        <f ca="1">IFERROR(__xludf.DUMMYFUNCTION("""COMPUTED_VALUE"""),"Yes")</f>
        <v>Yes</v>
      </c>
      <c r="W83" s="121">
        <f ca="1">IFERROR(__xludf.DUMMYFUNCTION("""COMPUTED_VALUE"""),4)</f>
        <v>4</v>
      </c>
      <c r="X83" s="121" t="str">
        <f ca="1">IFERROR(__xludf.DUMMYFUNCTION("""COMPUTED_VALUE"""),"Soman Tahiri")</f>
        <v>Soman Tahiri</v>
      </c>
      <c r="Y83" s="124">
        <f ca="1">IFERROR(__xludf.DUMMYFUNCTION("""COMPUTED_VALUE"""),45964)</f>
        <v>45964</v>
      </c>
      <c r="Z83" s="121" t="str">
        <f ca="1">IFERROR(__xludf.DUMMYFUNCTION("""COMPUTED_VALUE"""),"Approved")</f>
        <v>Approved</v>
      </c>
      <c r="AA83" s="121"/>
      <c r="AB83" s="121"/>
    </row>
    <row r="84" spans="1:28">
      <c r="A84" s="121" t="str">
        <f ca="1">IFERROR(__xludf.DUMMYFUNCTION("""COMPUTED_VALUE"""),"uuid:2087e917-eb57-44fe-97c0-3660bf785240")</f>
        <v>uuid:2087e917-eb57-44fe-97c0-3660bf785240</v>
      </c>
      <c r="B84" s="121" t="str">
        <f ca="1">IFERROR(__xludf.DUMMYFUNCTION("""COMPUTED_VALUE"""),"FR4582")</f>
        <v>FR4582</v>
      </c>
      <c r="C84" s="121" t="str">
        <f ca="1">IFERROR(__xludf.DUMMYFUNCTION("""COMPUTED_VALUE"""),"Said Mahboob Esmat Zai")</f>
        <v>Said Mahboob Esmat Zai</v>
      </c>
      <c r="D84" s="121" t="str">
        <f ca="1">IFERROR(__xludf.DUMMYFUNCTION("""COMPUTED_VALUE"""),"HER-KNR-HF2706-Q2-2025-1139-01")</f>
        <v>HER-KNR-HF2706-Q2-2025-1139-01</v>
      </c>
      <c r="E84" s="121" t="str">
        <f ca="1">IFERROR(__xludf.DUMMYFUNCTION("""COMPUTED_VALUE"""),"Kunar")</f>
        <v>Kunar</v>
      </c>
      <c r="F84" s="121" t="str">
        <f ca="1">IFERROR(__xludf.DUMMYFUNCTION("""COMPUTED_VALUE"""),"Bar Kunar")</f>
        <v>Bar Kunar</v>
      </c>
      <c r="G84" s="121" t="str">
        <f ca="1">IFERROR(__xludf.DUMMYFUNCTION("""COMPUTED_VALUE"""),"Shangar SHC (2706)")</f>
        <v>Shangar SHC (2706)</v>
      </c>
      <c r="H84" s="121" t="str">
        <f ca="1">IFERROR(__xludf.DUMMYFUNCTION("""COMPUTED_VALUE"""),"SHC")</f>
        <v>SHC</v>
      </c>
      <c r="I84" s="122">
        <f ca="1">IFERROR(__xludf.DUMMYFUNCTION("""COMPUTED_VALUE"""),154)</f>
        <v>154</v>
      </c>
      <c r="J84" s="123">
        <f ca="1">IFERROR(__xludf.DUMMYFUNCTION("""COMPUTED_VALUE"""),45962)</f>
        <v>45962</v>
      </c>
      <c r="K84" s="123">
        <f ca="1">IFERROR(__xludf.DUMMYFUNCTION("""COMPUTED_VALUE"""),45962)</f>
        <v>45962</v>
      </c>
      <c r="L84" s="121" t="str">
        <f ca="1">IFERROR(__xludf.DUMMYFUNCTION("""COMPUTED_VALUE"""),"Medicine (section 2)")</f>
        <v>Medicine (section 2)</v>
      </c>
      <c r="M84" s="121" t="str">
        <f ca="1">IFERROR(__xludf.DUMMYFUNCTION("""COMPUTED_VALUE"""),"Data Verification")</f>
        <v>Data Verification</v>
      </c>
      <c r="N84" s="121" t="str">
        <f ca="1">IFERROR(__xludf.DUMMYFUNCTION("""COMPUTED_VALUE"""),"Pashto")</f>
        <v>Pashto</v>
      </c>
      <c r="O84" s="121"/>
      <c r="P84" s="121"/>
      <c r="Q84" s="121"/>
      <c r="R84" s="121"/>
      <c r="S84" s="121"/>
      <c r="T84" s="121"/>
      <c r="U84" s="121"/>
      <c r="V84" s="121"/>
      <c r="W84" s="121"/>
      <c r="X84" s="121" t="str">
        <f ca="1">IFERROR(__xludf.DUMMYFUNCTION("""COMPUTED_VALUE"""),"Abdullah Mohammadi")</f>
        <v>Abdullah Mohammadi</v>
      </c>
      <c r="Y84" s="124">
        <f ca="1">IFERROR(__xludf.DUMMYFUNCTION("""COMPUTED_VALUE"""),45965)</f>
        <v>45965</v>
      </c>
      <c r="Z84" s="121"/>
      <c r="AA84" s="121"/>
      <c r="AB84" s="121"/>
    </row>
    <row r="85" spans="1:28">
      <c r="A85" s="121" t="str">
        <f ca="1">IFERROR(__xludf.DUMMYFUNCTION("""COMPUTED_VALUE"""),"uuid:9097ad01-b65d-4e92-a879-9ad8d215ddc8")</f>
        <v>uuid:9097ad01-b65d-4e92-a879-9ad8d215ddc8</v>
      </c>
      <c r="B85" s="121" t="str">
        <f ca="1">IFERROR(__xludf.DUMMYFUNCTION("""COMPUTED_VALUE"""),"FR2615")</f>
        <v>FR2615</v>
      </c>
      <c r="C85" s="121" t="str">
        <f ca="1">IFERROR(__xludf.DUMMYFUNCTION("""COMPUTED_VALUE"""),"Freshta Mohammadi")</f>
        <v>Freshta Mohammadi</v>
      </c>
      <c r="D85" s="121" t="str">
        <f ca="1">IFERROR(__xludf.DUMMYFUNCTION("""COMPUTED_VALUE"""),"HER-SRP-HF3837-Q2-2025-1233-01")</f>
        <v>HER-SRP-HF3837-Q2-2025-1233-01</v>
      </c>
      <c r="E85" s="121" t="str">
        <f ca="1">IFERROR(__xludf.DUMMYFUNCTION("""COMPUTED_VALUE"""),"Sar-e-Pul")</f>
        <v>Sar-e-Pul</v>
      </c>
      <c r="F85" s="121" t="str">
        <f ca="1">IFERROR(__xludf.DUMMYFUNCTION("""COMPUTED_VALUE"""),"Sar-e-Pul")</f>
        <v>Sar-e-Pul</v>
      </c>
      <c r="G85" s="121" t="str">
        <f ca="1">IFERROR(__xludf.DUMMYFUNCTION("""COMPUTED_VALUE"""),"Sar-e-Pul City SC (3837)")</f>
        <v>Sar-e-Pul City SC (3837)</v>
      </c>
      <c r="H85" s="121" t="str">
        <f ca="1">IFERROR(__xludf.DUMMYFUNCTION("""COMPUTED_VALUE"""),"SHC")</f>
        <v>SHC</v>
      </c>
      <c r="I85" s="122">
        <f ca="1">IFERROR(__xludf.DUMMYFUNCTION("""COMPUTED_VALUE"""),22)</f>
        <v>22</v>
      </c>
      <c r="J85" s="123">
        <f ca="1">IFERROR(__xludf.DUMMYFUNCTION("""COMPUTED_VALUE"""),45962)</f>
        <v>45962</v>
      </c>
      <c r="K85" s="123">
        <f ca="1">IFERROR(__xludf.DUMMYFUNCTION("""COMPUTED_VALUE"""),45960)</f>
        <v>45960</v>
      </c>
      <c r="L85" s="121" t="str">
        <f ca="1">IFERROR(__xludf.DUMMYFUNCTION("""COMPUTED_VALUE"""),"Personnel (section 1)")</f>
        <v>Personnel (section 1)</v>
      </c>
      <c r="M85" s="121" t="str">
        <f ca="1">IFERROR(__xludf.DUMMYFUNCTION("""COMPUTED_VALUE"""),"Data Verification")</f>
        <v>Data Verification</v>
      </c>
      <c r="N85" s="121" t="str">
        <f ca="1">IFERROR(__xludf.DUMMYFUNCTION("""COMPUTED_VALUE"""),"Dari")</f>
        <v>Dari</v>
      </c>
      <c r="O85" s="121"/>
      <c r="P85" s="121"/>
      <c r="Q85" s="121"/>
      <c r="R85" s="121"/>
      <c r="S85" s="121"/>
      <c r="T85" s="121"/>
      <c r="U85" s="121"/>
      <c r="V85" s="121"/>
      <c r="W85" s="121"/>
      <c r="X85" s="121" t="str">
        <f ca="1">IFERROR(__xludf.DUMMYFUNCTION("""COMPUTED_VALUE"""),"Abdullah Mohammadi")</f>
        <v>Abdullah Mohammadi</v>
      </c>
      <c r="Y85" s="124">
        <f ca="1">IFERROR(__xludf.DUMMYFUNCTION("""COMPUTED_VALUE"""),45965)</f>
        <v>45965</v>
      </c>
      <c r="Z85" s="121"/>
      <c r="AA85" s="121"/>
      <c r="AB85" s="121"/>
    </row>
    <row r="86" spans="1:28">
      <c r="A86" s="121" t="str">
        <f ca="1">IFERROR(__xludf.DUMMYFUNCTION("""COMPUTED_VALUE"""),"uuid:ed2e772a-217c-4fe4-b017-eed62e48ef3f")</f>
        <v>uuid:ed2e772a-217c-4fe4-b017-eed62e48ef3f</v>
      </c>
      <c r="B86" s="121" t="str">
        <f ca="1">IFERROR(__xludf.DUMMYFUNCTION("""COMPUTED_VALUE"""),"FR2615")</f>
        <v>FR2615</v>
      </c>
      <c r="C86" s="121" t="str">
        <f ca="1">IFERROR(__xludf.DUMMYFUNCTION("""COMPUTED_VALUE"""),"Freshta Mohammadi")</f>
        <v>Freshta Mohammadi</v>
      </c>
      <c r="D86" s="121" t="str">
        <f ca="1">IFERROR(__xludf.DUMMYFUNCTION("""COMPUTED_VALUE"""),"HER-SRP-HF3837-Q2-2025-1233-01")</f>
        <v>HER-SRP-HF3837-Q2-2025-1233-01</v>
      </c>
      <c r="E86" s="121" t="str">
        <f ca="1">IFERROR(__xludf.DUMMYFUNCTION("""COMPUTED_VALUE"""),"Sar-e-Pul")</f>
        <v>Sar-e-Pul</v>
      </c>
      <c r="F86" s="121" t="str">
        <f ca="1">IFERROR(__xludf.DUMMYFUNCTION("""COMPUTED_VALUE"""),"Sar-e-Pul")</f>
        <v>Sar-e-Pul</v>
      </c>
      <c r="G86" s="121" t="str">
        <f ca="1">IFERROR(__xludf.DUMMYFUNCTION("""COMPUTED_VALUE"""),"Sar-e-Pul City SC (3837)")</f>
        <v>Sar-e-Pul City SC (3837)</v>
      </c>
      <c r="H86" s="121" t="str">
        <f ca="1">IFERROR(__xludf.DUMMYFUNCTION("""COMPUTED_VALUE"""),"SHC")</f>
        <v>SHC</v>
      </c>
      <c r="I86" s="122">
        <f ca="1">IFERROR(__xludf.DUMMYFUNCTION("""COMPUTED_VALUE"""),47)</f>
        <v>47</v>
      </c>
      <c r="J86" s="123">
        <f ca="1">IFERROR(__xludf.DUMMYFUNCTION("""COMPUTED_VALUE"""),45962)</f>
        <v>45962</v>
      </c>
      <c r="K86" s="123">
        <f ca="1">IFERROR(__xludf.DUMMYFUNCTION("""COMPUTED_VALUE"""),45962)</f>
        <v>45962</v>
      </c>
      <c r="L86" s="121" t="str">
        <f ca="1">IFERROR(__xludf.DUMMYFUNCTION("""COMPUTED_VALUE"""),"Consumable (section 3)")</f>
        <v>Consumable (section 3)</v>
      </c>
      <c r="M86" s="121" t="str">
        <f ca="1">IFERROR(__xludf.DUMMYFUNCTION("""COMPUTED_VALUE"""),"Data Verification")</f>
        <v>Data Verification</v>
      </c>
      <c r="N86" s="121" t="str">
        <f ca="1">IFERROR(__xludf.DUMMYFUNCTION("""COMPUTED_VALUE"""),"Dari")</f>
        <v>Dari</v>
      </c>
      <c r="O86" s="121"/>
      <c r="P86" s="121"/>
      <c r="Q86" s="121"/>
      <c r="R86" s="121"/>
      <c r="S86" s="121"/>
      <c r="T86" s="121"/>
      <c r="U86" s="121"/>
      <c r="V86" s="121"/>
      <c r="W86" s="121"/>
      <c r="X86" s="121" t="str">
        <f ca="1">IFERROR(__xludf.DUMMYFUNCTION("""COMPUTED_VALUE"""),"Abdullah Mohammadi")</f>
        <v>Abdullah Mohammadi</v>
      </c>
      <c r="Y86" s="124">
        <f ca="1">IFERROR(__xludf.DUMMYFUNCTION("""COMPUTED_VALUE"""),45965)</f>
        <v>45965</v>
      </c>
      <c r="Z86" s="121"/>
      <c r="AA86" s="121"/>
      <c r="AB86" s="121"/>
    </row>
    <row r="87" spans="1:28">
      <c r="A87" s="121" t="str">
        <f ca="1">IFERROR(__xludf.DUMMYFUNCTION("""COMPUTED_VALUE"""),"uuid:a96b4fec-ab58-4bb7-8a07-c3e14bf46cc3")</f>
        <v>uuid:a96b4fec-ab58-4bb7-8a07-c3e14bf46cc3</v>
      </c>
      <c r="B87" s="121" t="str">
        <f ca="1">IFERROR(__xludf.DUMMYFUNCTION("""COMPUTED_VALUE"""),"FR4010")</f>
        <v>FR4010</v>
      </c>
      <c r="C87" s="121" t="str">
        <f ca="1">IFERROR(__xludf.DUMMYFUNCTION("""COMPUTED_VALUE"""),"Zainab Fazli")</f>
        <v>Zainab Fazli</v>
      </c>
      <c r="D87" s="121" t="str">
        <f ca="1">IFERROR(__xludf.DUMMYFUNCTION("""COMPUTED_VALUE"""),"HER-KNR-HF2706-Q2-2025-1139-01")</f>
        <v>HER-KNR-HF2706-Q2-2025-1139-01</v>
      </c>
      <c r="E87" s="121" t="str">
        <f ca="1">IFERROR(__xludf.DUMMYFUNCTION("""COMPUTED_VALUE"""),"Kunar")</f>
        <v>Kunar</v>
      </c>
      <c r="F87" s="121" t="str">
        <f ca="1">IFERROR(__xludf.DUMMYFUNCTION("""COMPUTED_VALUE"""),"Bar Kunar")</f>
        <v>Bar Kunar</v>
      </c>
      <c r="G87" s="121" t="str">
        <f ca="1">IFERROR(__xludf.DUMMYFUNCTION("""COMPUTED_VALUE"""),"Shangar SHC (2706)")</f>
        <v>Shangar SHC (2706)</v>
      </c>
      <c r="H87" s="121" t="str">
        <f ca="1">IFERROR(__xludf.DUMMYFUNCTION("""COMPUTED_VALUE"""),"SHC")</f>
        <v>SHC</v>
      </c>
      <c r="I87" s="122">
        <f ca="1">IFERROR(__xludf.DUMMYFUNCTION("""COMPUTED_VALUE"""),96)</f>
        <v>96</v>
      </c>
      <c r="J87" s="123">
        <f ca="1">IFERROR(__xludf.DUMMYFUNCTION("""COMPUTED_VALUE"""),45962)</f>
        <v>45962</v>
      </c>
      <c r="K87" s="123">
        <f ca="1">IFERROR(__xludf.DUMMYFUNCTION("""COMPUTED_VALUE"""),45962)</f>
        <v>45962</v>
      </c>
      <c r="L87" s="121" t="str">
        <f ca="1">IFERROR(__xludf.DUMMYFUNCTION("""COMPUTED_VALUE"""),"Equipments (section 4)")</f>
        <v>Equipments (section 4)</v>
      </c>
      <c r="M87" s="121" t="str">
        <f ca="1">IFERROR(__xludf.DUMMYFUNCTION("""COMPUTED_VALUE"""),"Data Verification")</f>
        <v>Data Verification</v>
      </c>
      <c r="N87" s="121" t="str">
        <f ca="1">IFERROR(__xludf.DUMMYFUNCTION("""COMPUTED_VALUE"""),"Pashto")</f>
        <v>Pashto</v>
      </c>
      <c r="O87" s="121"/>
      <c r="P87" s="121"/>
      <c r="Q87" s="121"/>
      <c r="R87" s="121"/>
      <c r="S87" s="121"/>
      <c r="T87" s="121"/>
      <c r="U87" s="121"/>
      <c r="V87" s="121"/>
      <c r="W87" s="121"/>
      <c r="X87" s="121" t="str">
        <f ca="1">IFERROR(__xludf.DUMMYFUNCTION("""COMPUTED_VALUE"""),"Abdullah Mohammadi")</f>
        <v>Abdullah Mohammadi</v>
      </c>
      <c r="Y87" s="124">
        <f ca="1">IFERROR(__xludf.DUMMYFUNCTION("""COMPUTED_VALUE"""),45965)</f>
        <v>45965</v>
      </c>
      <c r="Z87" s="121"/>
      <c r="AA87" s="121"/>
      <c r="AB87" s="121"/>
    </row>
    <row r="88" spans="1:28">
      <c r="A88" s="121" t="str">
        <f ca="1">IFERROR(__xludf.DUMMYFUNCTION("""COMPUTED_VALUE"""),"uuid:c65cce10-dc76-4bae-8616-eeb9a0b6811f")</f>
        <v>uuid:c65cce10-dc76-4bae-8616-eeb9a0b6811f</v>
      </c>
      <c r="B88" s="121" t="str">
        <f ca="1">IFERROR(__xludf.DUMMYFUNCTION("""COMPUTED_VALUE"""),"FR4010")</f>
        <v>FR4010</v>
      </c>
      <c r="C88" s="121" t="str">
        <f ca="1">IFERROR(__xludf.DUMMYFUNCTION("""COMPUTED_VALUE"""),"Zainab Fazli")</f>
        <v>Zainab Fazli</v>
      </c>
      <c r="D88" s="121" t="str">
        <f ca="1">IFERROR(__xludf.DUMMYFUNCTION("""COMPUTED_VALUE"""),"HER-KNR-HF2706-Q2-2025-1139-01")</f>
        <v>HER-KNR-HF2706-Q2-2025-1139-01</v>
      </c>
      <c r="E88" s="121" t="str">
        <f ca="1">IFERROR(__xludf.DUMMYFUNCTION("""COMPUTED_VALUE"""),"Kunar")</f>
        <v>Kunar</v>
      </c>
      <c r="F88" s="121" t="str">
        <f ca="1">IFERROR(__xludf.DUMMYFUNCTION("""COMPUTED_VALUE"""),"Bar Kunar")</f>
        <v>Bar Kunar</v>
      </c>
      <c r="G88" s="121" t="str">
        <f ca="1">IFERROR(__xludf.DUMMYFUNCTION("""COMPUTED_VALUE"""),"Shangar SHC (2706)")</f>
        <v>Shangar SHC (2706)</v>
      </c>
      <c r="H88" s="121" t="str">
        <f ca="1">IFERROR(__xludf.DUMMYFUNCTION("""COMPUTED_VALUE"""),"SHC")</f>
        <v>SHC</v>
      </c>
      <c r="I88" s="122">
        <f ca="1">IFERROR(__xludf.DUMMYFUNCTION("""COMPUTED_VALUE"""),32)</f>
        <v>32</v>
      </c>
      <c r="J88" s="123">
        <f ca="1">IFERROR(__xludf.DUMMYFUNCTION("""COMPUTED_VALUE"""),45962)</f>
        <v>45962</v>
      </c>
      <c r="K88" s="123">
        <f ca="1">IFERROR(__xludf.DUMMYFUNCTION("""COMPUTED_VALUE"""),45962)</f>
        <v>45962</v>
      </c>
      <c r="L88" s="121" t="str">
        <f ca="1">IFERROR(__xludf.DUMMYFUNCTION("""COMPUTED_VALUE"""),"Personnel (section 1)")</f>
        <v>Personnel (section 1)</v>
      </c>
      <c r="M88" s="121" t="str">
        <f ca="1">IFERROR(__xludf.DUMMYFUNCTION("""COMPUTED_VALUE"""),"Data Verification")</f>
        <v>Data Verification</v>
      </c>
      <c r="N88" s="121" t="str">
        <f ca="1">IFERROR(__xludf.DUMMYFUNCTION("""COMPUTED_VALUE"""),"Pashto")</f>
        <v>Pashto</v>
      </c>
      <c r="O88" s="121"/>
      <c r="P88" s="121" t="str">
        <f ca="1">IFERROR(__xludf.DUMMYFUNCTION("""COMPUTED_VALUE""")," Voice of both sides is clear")</f>
        <v xml:space="preserve"> Voice of both sides is clear</v>
      </c>
      <c r="Q88" s="121" t="str">
        <f ca="1">IFERROR(__xludf.DUMMYFUNCTION("""COMPUTED_VALUE"""),"Yes/all")</f>
        <v>Yes/all</v>
      </c>
      <c r="R88" s="121" t="str">
        <f ca="1">IFERROR(__xludf.DUMMYFUNCTION("""COMPUTED_VALUE"""),"No")</f>
        <v>No</v>
      </c>
      <c r="S88" s="121"/>
      <c r="T88" s="121"/>
      <c r="U88" s="121" t="str">
        <f ca="1">IFERROR(__xludf.DUMMYFUNCTION("""COMPUTED_VALUE"""),"No")</f>
        <v>No</v>
      </c>
      <c r="V88" s="121" t="str">
        <f ca="1">IFERROR(__xludf.DUMMYFUNCTION("""COMPUTED_VALUE"""),"Yes")</f>
        <v>Yes</v>
      </c>
      <c r="W88" s="121">
        <f ca="1">IFERROR(__xludf.DUMMYFUNCTION("""COMPUTED_VALUE"""),4)</f>
        <v>4</v>
      </c>
      <c r="X88" s="121" t="str">
        <f ca="1">IFERROR(__xludf.DUMMYFUNCTION("""COMPUTED_VALUE"""),"Ahsam Hashimi")</f>
        <v>Ahsam Hashimi</v>
      </c>
      <c r="Y88" s="124">
        <f ca="1">IFERROR(__xludf.DUMMYFUNCTION("""COMPUTED_VALUE"""),45965)</f>
        <v>45965</v>
      </c>
      <c r="Z88" s="121" t="str">
        <f ca="1">IFERROR(__xludf.DUMMYFUNCTION("""COMPUTED_VALUE"""),"Approved")</f>
        <v>Approved</v>
      </c>
      <c r="AA88" s="121"/>
      <c r="AB88" s="121"/>
    </row>
    <row r="89" spans="1:28">
      <c r="A89" s="121" t="str">
        <f ca="1">IFERROR(__xludf.DUMMYFUNCTION("""COMPUTED_VALUE"""),"uuid:47cff623-3705-4c56-8a88-9b0076fbbbf1")</f>
        <v>uuid:47cff623-3705-4c56-8a88-9b0076fbbbf1</v>
      </c>
      <c r="B89" s="121" t="str">
        <f ca="1">IFERROR(__xludf.DUMMYFUNCTION("""COMPUTED_VALUE"""),"FR2615")</f>
        <v>FR2615</v>
      </c>
      <c r="C89" s="121" t="str">
        <f ca="1">IFERROR(__xludf.DUMMYFUNCTION("""COMPUTED_VALUE"""),"Freshta Mohammadi")</f>
        <v>Freshta Mohammadi</v>
      </c>
      <c r="D89" s="121" t="str">
        <f ca="1">IFERROR(__xludf.DUMMYFUNCTION("""COMPUTED_VALUE"""),"HER-SRP-HF3837-Q2-2025-1233-01")</f>
        <v>HER-SRP-HF3837-Q2-2025-1233-01</v>
      </c>
      <c r="E89" s="121" t="str">
        <f ca="1">IFERROR(__xludf.DUMMYFUNCTION("""COMPUTED_VALUE"""),"Sar-e-Pul")</f>
        <v>Sar-e-Pul</v>
      </c>
      <c r="F89" s="121" t="str">
        <f ca="1">IFERROR(__xludf.DUMMYFUNCTION("""COMPUTED_VALUE"""),"Sar-e-Pul")</f>
        <v>Sar-e-Pul</v>
      </c>
      <c r="G89" s="121" t="str">
        <f ca="1">IFERROR(__xludf.DUMMYFUNCTION("""COMPUTED_VALUE"""),"Sar-e-Pul City SC (3837)")</f>
        <v>Sar-e-Pul City SC (3837)</v>
      </c>
      <c r="H89" s="121" t="str">
        <f ca="1">IFERROR(__xludf.DUMMYFUNCTION("""COMPUTED_VALUE"""),"SHC")</f>
        <v>SHC</v>
      </c>
      <c r="I89" s="122">
        <f ca="1">IFERROR(__xludf.DUMMYFUNCTION("""COMPUTED_VALUE"""),152)</f>
        <v>152</v>
      </c>
      <c r="J89" s="123">
        <f ca="1">IFERROR(__xludf.DUMMYFUNCTION("""COMPUTED_VALUE"""),45963)</f>
        <v>45963</v>
      </c>
      <c r="K89" s="123">
        <f ca="1">IFERROR(__xludf.DUMMYFUNCTION("""COMPUTED_VALUE"""),45962)</f>
        <v>45962</v>
      </c>
      <c r="L89" s="121" t="str">
        <f ca="1">IFERROR(__xludf.DUMMYFUNCTION("""COMPUTED_VALUE"""),"Equipments (section 4)")</f>
        <v>Equipments (section 4)</v>
      </c>
      <c r="M89" s="121" t="str">
        <f ca="1">IFERROR(__xludf.DUMMYFUNCTION("""COMPUTED_VALUE"""),"Data Verification")</f>
        <v>Data Verification</v>
      </c>
      <c r="N89" s="121" t="str">
        <f ca="1">IFERROR(__xludf.DUMMYFUNCTION("""COMPUTED_VALUE"""),"Dari")</f>
        <v>Dari</v>
      </c>
      <c r="O89" s="121"/>
      <c r="P89" s="121" t="str">
        <f ca="1">IFERROR(__xludf.DUMMYFUNCTION("""COMPUTED_VALUE""")," Voice of both sides is clear")</f>
        <v xml:space="preserve"> Voice of both sides is clear</v>
      </c>
      <c r="Q89" s="121" t="str">
        <f ca="1">IFERROR(__xludf.DUMMYFUNCTION("""COMPUTED_VALUE"""),"Yes/all")</f>
        <v>Yes/all</v>
      </c>
      <c r="R89" s="121" t="str">
        <f ca="1">IFERROR(__xludf.DUMMYFUNCTION("""COMPUTED_VALUE"""),"Yes")</f>
        <v>Yes</v>
      </c>
      <c r="S89" s="121" t="str">
        <f ca="1">IFERROR(__xludf.DUMMYFUNCTION("""COMPUTED_VALUE"""),"Yes")</f>
        <v>Yes</v>
      </c>
      <c r="T89" s="121"/>
      <c r="U89" s="121" t="str">
        <f ca="1">IFERROR(__xludf.DUMMYFUNCTION("""COMPUTED_VALUE"""),"No")</f>
        <v>No</v>
      </c>
      <c r="V89" s="121" t="str">
        <f ca="1">IFERROR(__xludf.DUMMYFUNCTION("""COMPUTED_VALUE"""),"No")</f>
        <v>No</v>
      </c>
      <c r="W89" s="121">
        <f ca="1">IFERROR(__xludf.DUMMYFUNCTION("""COMPUTED_VALUE"""),4)</f>
        <v>4</v>
      </c>
      <c r="X89" s="121" t="str">
        <f ca="1">IFERROR(__xludf.DUMMYFUNCTION("""COMPUTED_VALUE"""),"Ahsam Hashimi")</f>
        <v>Ahsam Hashimi</v>
      </c>
      <c r="Y89" s="124">
        <f ca="1">IFERROR(__xludf.DUMMYFUNCTION("""COMPUTED_VALUE"""),45965)</f>
        <v>45965</v>
      </c>
      <c r="Z89" s="121" t="str">
        <f ca="1">IFERROR(__xludf.DUMMYFUNCTION("""COMPUTED_VALUE"""),"Approved")</f>
        <v>Approved</v>
      </c>
      <c r="AA89" s="121"/>
      <c r="AB89" s="121"/>
    </row>
    <row r="90" spans="1:28">
      <c r="A90" s="121" t="str">
        <f ca="1">IFERROR(__xludf.DUMMYFUNCTION("""COMPUTED_VALUE"""),"uuid:2968cdbb-5f0f-47d9-b420-a6aaa022fe6a")</f>
        <v>uuid:2968cdbb-5f0f-47d9-b420-a6aaa022fe6a</v>
      </c>
      <c r="B90" s="121" t="str">
        <f ca="1">IFERROR(__xludf.DUMMYFUNCTION("""COMPUTED_VALUE"""),"FR4010")</f>
        <v>FR4010</v>
      </c>
      <c r="C90" s="121" t="str">
        <f ca="1">IFERROR(__xludf.DUMMYFUNCTION("""COMPUTED_VALUE"""),"Zainab Fazli")</f>
        <v>Zainab Fazli</v>
      </c>
      <c r="D90" s="121" t="str">
        <f ca="1">IFERROR(__xludf.DUMMYFUNCTION("""COMPUTED_VALUE"""),"HER-KNR-HF2706-Q2-2025-1139-01")</f>
        <v>HER-KNR-HF2706-Q2-2025-1139-01</v>
      </c>
      <c r="E90" s="121" t="str">
        <f ca="1">IFERROR(__xludf.DUMMYFUNCTION("""COMPUTED_VALUE"""),"Kunar")</f>
        <v>Kunar</v>
      </c>
      <c r="F90" s="121" t="str">
        <f ca="1">IFERROR(__xludf.DUMMYFUNCTION("""COMPUTED_VALUE"""),"Bar Kunar")</f>
        <v>Bar Kunar</v>
      </c>
      <c r="G90" s="121" t="str">
        <f ca="1">IFERROR(__xludf.DUMMYFUNCTION("""COMPUTED_VALUE"""),"Shangar SHC (2706)")</f>
        <v>Shangar SHC (2706)</v>
      </c>
      <c r="H90" s="121" t="str">
        <f ca="1">IFERROR(__xludf.DUMMYFUNCTION("""COMPUTED_VALUE"""),"SHC")</f>
        <v>SHC</v>
      </c>
      <c r="I90" s="122">
        <f ca="1">IFERROR(__xludf.DUMMYFUNCTION("""COMPUTED_VALUE"""),100)</f>
        <v>100</v>
      </c>
      <c r="J90" s="123">
        <f ca="1">IFERROR(__xludf.DUMMYFUNCTION("""COMPUTED_VALUE"""),45963)</f>
        <v>45963</v>
      </c>
      <c r="K90" s="123">
        <f ca="1">IFERROR(__xludf.DUMMYFUNCTION("""COMPUTED_VALUE"""),45962)</f>
        <v>45962</v>
      </c>
      <c r="L90" s="121" t="str">
        <f ca="1">IFERROR(__xludf.DUMMYFUNCTION("""COMPUTED_VALUE"""),"Consumable (section 3)")</f>
        <v>Consumable (section 3)</v>
      </c>
      <c r="M90" s="121" t="str">
        <f ca="1">IFERROR(__xludf.DUMMYFUNCTION("""COMPUTED_VALUE"""),"Data Verification")</f>
        <v>Data Verification</v>
      </c>
      <c r="N90" s="121" t="str">
        <f ca="1">IFERROR(__xludf.DUMMYFUNCTION("""COMPUTED_VALUE"""),"Pashto")</f>
        <v>Pashto</v>
      </c>
      <c r="O90" s="121"/>
      <c r="P90" s="121" t="str">
        <f ca="1">IFERROR(__xludf.DUMMYFUNCTION("""COMPUTED_VALUE""")," Voice of both sides is clear")</f>
        <v xml:space="preserve"> Voice of both sides is clear</v>
      </c>
      <c r="Q90" s="121" t="str">
        <f ca="1">IFERROR(__xludf.DUMMYFUNCTION("""COMPUTED_VALUE"""),"Yes/all")</f>
        <v>Yes/all</v>
      </c>
      <c r="R90" s="121" t="str">
        <f ca="1">IFERROR(__xludf.DUMMYFUNCTION("""COMPUTED_VALUE"""),"Yes")</f>
        <v>Yes</v>
      </c>
      <c r="S90" s="121" t="str">
        <f ca="1">IFERROR(__xludf.DUMMYFUNCTION("""COMPUTED_VALUE"""),"Yes")</f>
        <v>Yes</v>
      </c>
      <c r="T90" s="121"/>
      <c r="U90" s="121" t="str">
        <f ca="1">IFERROR(__xludf.DUMMYFUNCTION("""COMPUTED_VALUE"""),"No")</f>
        <v>No</v>
      </c>
      <c r="V90" s="121" t="str">
        <f ca="1">IFERROR(__xludf.DUMMYFUNCTION("""COMPUTED_VALUE"""),"No")</f>
        <v>No</v>
      </c>
      <c r="W90" s="121">
        <f ca="1">IFERROR(__xludf.DUMMYFUNCTION("""COMPUTED_VALUE"""),4)</f>
        <v>4</v>
      </c>
      <c r="X90" s="121" t="str">
        <f ca="1">IFERROR(__xludf.DUMMYFUNCTION("""COMPUTED_VALUE"""),"Ahsam Hashimi")</f>
        <v>Ahsam Hashimi</v>
      </c>
      <c r="Y90" s="124">
        <f ca="1">IFERROR(__xludf.DUMMYFUNCTION("""COMPUTED_VALUE"""),45965)</f>
        <v>45965</v>
      </c>
      <c r="Z90" s="121" t="str">
        <f ca="1">IFERROR(__xludf.DUMMYFUNCTION("""COMPUTED_VALUE"""),"Approved")</f>
        <v>Approved</v>
      </c>
      <c r="AA90" s="121"/>
      <c r="AB90" s="121"/>
    </row>
    <row r="91" spans="1:28">
      <c r="A91" s="121" t="str">
        <f ca="1">IFERROR(__xludf.DUMMYFUNCTION("""COMPUTED_VALUE"""),"uuid:ec13c07b-dca2-4b0e-990d-25fd908ed104")</f>
        <v>uuid:ec13c07b-dca2-4b0e-990d-25fd908ed104</v>
      </c>
      <c r="B91" s="121" t="str">
        <f ca="1">IFERROR(__xludf.DUMMYFUNCTION("""COMPUTED_VALUE"""),"FR2222")</f>
        <v>FR2222</v>
      </c>
      <c r="C91" s="121" t="str">
        <f ca="1">IFERROR(__xludf.DUMMYFUNCTION("""COMPUTED_VALUE"""),"Test Name 1")</f>
        <v>Test Name 1</v>
      </c>
      <c r="D91" s="121" t="str">
        <f ca="1">IFERROR(__xludf.DUMMYFUNCTION("""COMPUTED_VALUE"""),"HER-BDS-HF4266-Q2-2025-1004-01")</f>
        <v>HER-BDS-HF4266-Q2-2025-1004-01</v>
      </c>
      <c r="E91" s="121" t="str">
        <f ca="1">IFERROR(__xludf.DUMMYFUNCTION("""COMPUTED_VALUE"""),"Badakhshan")</f>
        <v>Badakhshan</v>
      </c>
      <c r="F91" s="121" t="str">
        <f ca="1">IFERROR(__xludf.DUMMYFUNCTION("""COMPUTED_VALUE"""),"Jurm")</f>
        <v>Jurm</v>
      </c>
      <c r="G91" s="121" t="str">
        <f ca="1">IFERROR(__xludf.DUMMYFUNCTION("""COMPUTED_VALUE"""),"Kaman Yaran SC (4266)")</f>
        <v>Kaman Yaran SC (4266)</v>
      </c>
      <c r="H91" s="121" t="str">
        <f ca="1">IFERROR(__xludf.DUMMYFUNCTION("""COMPUTED_VALUE"""),"SHC")</f>
        <v>SHC</v>
      </c>
      <c r="I91" s="122">
        <f ca="1">IFERROR(__xludf.DUMMYFUNCTION("""COMPUTED_VALUE"""),26)</f>
        <v>26</v>
      </c>
      <c r="J91" s="123">
        <f ca="1">IFERROR(__xludf.DUMMYFUNCTION("""COMPUTED_VALUE"""),45963)</f>
        <v>45963</v>
      </c>
      <c r="K91" s="123">
        <f ca="1">IFERROR(__xludf.DUMMYFUNCTION("""COMPUTED_VALUE"""),45962)</f>
        <v>45962</v>
      </c>
      <c r="L91" s="121" t="str">
        <f ca="1">IFERROR(__xludf.DUMMYFUNCTION("""COMPUTED_VALUE"""),"Personnel (section 1)")</f>
        <v>Personnel (section 1)</v>
      </c>
      <c r="M91" s="121" t="str">
        <f ca="1">IFERROR(__xludf.DUMMYFUNCTION("""COMPUTED_VALUE"""),"Data Verification")</f>
        <v>Data Verification</v>
      </c>
      <c r="N91" s="121" t="str">
        <f ca="1">IFERROR(__xludf.DUMMYFUNCTION("""COMPUTED_VALUE"""),"Dari")</f>
        <v>Dari</v>
      </c>
      <c r="O91" s="121"/>
      <c r="P91" s="121"/>
      <c r="Q91" s="121"/>
      <c r="R91" s="121"/>
      <c r="S91" s="121"/>
      <c r="T91" s="121"/>
      <c r="U91" s="121"/>
      <c r="V91" s="121"/>
      <c r="W91" s="121"/>
      <c r="X91" s="121" t="str">
        <f ca="1">IFERROR(__xludf.DUMMYFUNCTION("""COMPUTED_VALUE"""),"Ahsam Hashimi")</f>
        <v>Ahsam Hashimi</v>
      </c>
      <c r="Y91" s="124">
        <f ca="1">IFERROR(__xludf.DUMMYFUNCTION("""COMPUTED_VALUE"""),45965)</f>
        <v>45965</v>
      </c>
      <c r="Z91" s="121"/>
      <c r="AA91" s="121"/>
      <c r="AB91" s="121" t="str">
        <f ca="1">IFERROR(__xludf.DUMMYFUNCTION("""COMPUTED_VALUE"""),"The user name should double check")</f>
        <v>The user name should double check</v>
      </c>
    </row>
    <row r="92" spans="1:28">
      <c r="A92" s="121" t="str">
        <f ca="1">IFERROR(__xludf.DUMMYFUNCTION("""COMPUTED_VALUE"""),"uuid:418eb764-3bc7-4e84-9b4a-a24d86768204")</f>
        <v>uuid:418eb764-3bc7-4e84-9b4a-a24d86768204</v>
      </c>
      <c r="B92" s="121" t="str">
        <f ca="1">IFERROR(__xludf.DUMMYFUNCTION("""COMPUTED_VALUE"""),"FR0220")</f>
        <v>FR0220</v>
      </c>
      <c r="C92" s="121" t="str">
        <f ca="1">IFERROR(__xludf.DUMMYFUNCTION("""COMPUTED_VALUE"""),"Raihana Sediqi")</f>
        <v>Raihana Sediqi</v>
      </c>
      <c r="D92" s="121" t="str">
        <f ca="1">IFERROR(__xludf.DUMMYFUNCTION("""COMPUTED_VALUE"""),"HER-NGR-HF3780-Q2-2025-1049-01")</f>
        <v>HER-NGR-HF3780-Q2-2025-1049-01</v>
      </c>
      <c r="E92" s="121" t="str">
        <f ca="1">IFERROR(__xludf.DUMMYFUNCTION("""COMPUTED_VALUE"""),"Nangarhar")</f>
        <v>Nangarhar</v>
      </c>
      <c r="F92" s="121" t="str">
        <f ca="1">IFERROR(__xludf.DUMMYFUNCTION("""COMPUTED_VALUE"""),"Kama")</f>
        <v>Kama</v>
      </c>
      <c r="G92" s="121" t="str">
        <f ca="1">IFERROR(__xludf.DUMMYFUNCTION("""COMPUTED_VALUE"""),"Deh Ghazi SC (3780)")</f>
        <v>Deh Ghazi SC (3780)</v>
      </c>
      <c r="H92" s="121" t="str">
        <f ca="1">IFERROR(__xludf.DUMMYFUNCTION("""COMPUTED_VALUE"""),"SHC")</f>
        <v>SHC</v>
      </c>
      <c r="I92" s="122">
        <f ca="1">IFERROR(__xludf.DUMMYFUNCTION("""COMPUTED_VALUE"""),160)</f>
        <v>160</v>
      </c>
      <c r="J92" s="123">
        <f ca="1">IFERROR(__xludf.DUMMYFUNCTION("""COMPUTED_VALUE"""),45963)</f>
        <v>45963</v>
      </c>
      <c r="K92" s="123">
        <f ca="1">IFERROR(__xludf.DUMMYFUNCTION("""COMPUTED_VALUE"""),45962)</f>
        <v>45962</v>
      </c>
      <c r="L92" s="121" t="str">
        <f ca="1">IFERROR(__xludf.DUMMYFUNCTION("""COMPUTED_VALUE"""),"Equipments (section 4)")</f>
        <v>Equipments (section 4)</v>
      </c>
      <c r="M92" s="121" t="str">
        <f ca="1">IFERROR(__xludf.DUMMYFUNCTION("""COMPUTED_VALUE"""),"Data Verification")</f>
        <v>Data Verification</v>
      </c>
      <c r="N92" s="121" t="str">
        <f ca="1">IFERROR(__xludf.DUMMYFUNCTION("""COMPUTED_VALUE"""),"Pashto")</f>
        <v>Pashto</v>
      </c>
      <c r="O92" s="121" t="str">
        <f ca="1">IFERROR(__xludf.DUMMYFUNCTION("""COMPUTED_VALUE"""),"No")</f>
        <v>No</v>
      </c>
      <c r="P92" s="121" t="str">
        <f ca="1">IFERROR(__xludf.DUMMYFUNCTION("""COMPUTED_VALUE""")," Voice of both sides is clear")</f>
        <v xml:space="preserve"> Voice of both sides is clear</v>
      </c>
      <c r="Q92" s="121" t="str">
        <f ca="1">IFERROR(__xludf.DUMMYFUNCTION("""COMPUTED_VALUE"""),"Yes/all")</f>
        <v>Yes/all</v>
      </c>
      <c r="R92" s="121" t="str">
        <f ca="1">IFERROR(__xludf.DUMMYFUNCTION("""COMPUTED_VALUE"""),"Yes")</f>
        <v>Yes</v>
      </c>
      <c r="S92" s="121" t="str">
        <f ca="1">IFERROR(__xludf.DUMMYFUNCTION("""COMPUTED_VALUE"""),"Yes")</f>
        <v>Yes</v>
      </c>
      <c r="T92" s="121" t="str">
        <f ca="1">IFERROR(__xludf.DUMMYFUNCTION("""COMPUTED_VALUE"""),"Checked")</f>
        <v>Checked</v>
      </c>
      <c r="U92" s="121" t="str">
        <f ca="1">IFERROR(__xludf.DUMMYFUNCTION("""COMPUTED_VALUE"""),"No")</f>
        <v>No</v>
      </c>
      <c r="V92" s="121" t="str">
        <f ca="1">IFERROR(__xludf.DUMMYFUNCTION("""COMPUTED_VALUE"""),"No")</f>
        <v>No</v>
      </c>
      <c r="W92" s="121">
        <f ca="1">IFERROR(__xludf.DUMMYFUNCTION("""COMPUTED_VALUE"""),4)</f>
        <v>4</v>
      </c>
      <c r="X92" s="121" t="str">
        <f ca="1">IFERROR(__xludf.DUMMYFUNCTION("""COMPUTED_VALUE"""),"Hashmatullah Banaee")</f>
        <v>Hashmatullah Banaee</v>
      </c>
      <c r="Y92" s="124">
        <f ca="1">IFERROR(__xludf.DUMMYFUNCTION("""COMPUTED_VALUE"""),45965)</f>
        <v>45965</v>
      </c>
      <c r="Z92" s="121" t="str">
        <f ca="1">IFERROR(__xludf.DUMMYFUNCTION("""COMPUTED_VALUE"""),"Approved")</f>
        <v>Approved</v>
      </c>
      <c r="AA92" s="121"/>
      <c r="AB92" s="121"/>
    </row>
    <row r="93" spans="1:28">
      <c r="A93" s="121" t="str">
        <f ca="1">IFERROR(__xludf.DUMMYFUNCTION("""COMPUTED_VALUE"""),"uuid:69b80eaf-8e30-4fe1-bf54-c588d637a852")</f>
        <v>uuid:69b80eaf-8e30-4fe1-bf54-c588d637a852</v>
      </c>
      <c r="B93" s="121" t="str">
        <f ca="1">IFERROR(__xludf.DUMMYFUNCTION("""COMPUTED_VALUE"""),"FR0220")</f>
        <v>FR0220</v>
      </c>
      <c r="C93" s="121" t="str">
        <f ca="1">IFERROR(__xludf.DUMMYFUNCTION("""COMPUTED_VALUE"""),"Raihana Sediqi")</f>
        <v>Raihana Sediqi</v>
      </c>
      <c r="D93" s="121" t="str">
        <f ca="1">IFERROR(__xludf.DUMMYFUNCTION("""COMPUTED_VALUE"""),"HER-NGR-HF3781-Q2-2025-1059-01")</f>
        <v>HER-NGR-HF3781-Q2-2025-1059-01</v>
      </c>
      <c r="E93" s="121" t="str">
        <f ca="1">IFERROR(__xludf.DUMMYFUNCTION("""COMPUTED_VALUE"""),"Nangarhar")</f>
        <v>Nangarhar</v>
      </c>
      <c r="F93" s="121" t="str">
        <f ca="1">IFERROR(__xludf.DUMMYFUNCTION("""COMPUTED_VALUE"""),"Kama")</f>
        <v>Kama</v>
      </c>
      <c r="G93" s="121" t="str">
        <f ca="1">IFERROR(__xludf.DUMMYFUNCTION("""COMPUTED_VALUE"""),"Gerdab SC (3781)")</f>
        <v>Gerdab SC (3781)</v>
      </c>
      <c r="H93" s="121" t="str">
        <f ca="1">IFERROR(__xludf.DUMMYFUNCTION("""COMPUTED_VALUE"""),"SHC")</f>
        <v>SHC</v>
      </c>
      <c r="I93" s="122">
        <f ca="1">IFERROR(__xludf.DUMMYFUNCTION("""COMPUTED_VALUE"""),24)</f>
        <v>24</v>
      </c>
      <c r="J93" s="123">
        <f ca="1">IFERROR(__xludf.DUMMYFUNCTION("""COMPUTED_VALUE"""),45963)</f>
        <v>45963</v>
      </c>
      <c r="K93" s="123">
        <f ca="1">IFERROR(__xludf.DUMMYFUNCTION("""COMPUTED_VALUE"""),45962)</f>
        <v>45962</v>
      </c>
      <c r="L93" s="121" t="str">
        <f ca="1">IFERROR(__xludf.DUMMYFUNCTION("""COMPUTED_VALUE"""),"Personnel (section 1)")</f>
        <v>Personnel (section 1)</v>
      </c>
      <c r="M93" s="121" t="str">
        <f ca="1">IFERROR(__xludf.DUMMYFUNCTION("""COMPUTED_VALUE"""),"Data Verification")</f>
        <v>Data Verification</v>
      </c>
      <c r="N93" s="121" t="str">
        <f ca="1">IFERROR(__xludf.DUMMYFUNCTION("""COMPUTED_VALUE"""),"Dari")</f>
        <v>Dari</v>
      </c>
      <c r="O93" s="121"/>
      <c r="P93" s="121"/>
      <c r="Q93" s="121"/>
      <c r="R93" s="121"/>
      <c r="S93" s="121"/>
      <c r="T93" s="121"/>
      <c r="U93" s="121"/>
      <c r="V93" s="121"/>
      <c r="W93" s="121"/>
      <c r="X93" s="121" t="str">
        <f ca="1">IFERROR(__xludf.DUMMYFUNCTION("""COMPUTED_VALUE"""),"Hashmatullah Banaee")</f>
        <v>Hashmatullah Banaee</v>
      </c>
      <c r="Y93" s="124">
        <f ca="1">IFERROR(__xludf.DUMMYFUNCTION("""COMPUTED_VALUE"""),45965)</f>
        <v>45965</v>
      </c>
      <c r="Z93" s="121"/>
      <c r="AA93" s="121"/>
      <c r="AB93" s="121"/>
    </row>
    <row r="94" spans="1:28">
      <c r="A94" s="121" t="str">
        <f ca="1">IFERROR(__xludf.DUMMYFUNCTION("""COMPUTED_VALUE"""),"uuid:e22d1b80-0292-4cea-b2e9-ccdef13e3c72")</f>
        <v>uuid:e22d1b80-0292-4cea-b2e9-ccdef13e3c72</v>
      </c>
      <c r="B94" s="121" t="str">
        <f ca="1">IFERROR(__xludf.DUMMYFUNCTION("""COMPUTED_VALUE"""),"FR4378")</f>
        <v>FR4378</v>
      </c>
      <c r="C94" s="121" t="str">
        <f ca="1">IFERROR(__xludf.DUMMYFUNCTION("""COMPUTED_VALUE"""),"Mohammad Shaiq Hakimi")</f>
        <v>Mohammad Shaiq Hakimi</v>
      </c>
      <c r="D94" s="121" t="str">
        <f ca="1">IFERROR(__xludf.DUMMYFUNCTION("""COMPUTED_VALUE"""),"HER-TAK-HF2870-Q2-2025-1246-01")</f>
        <v>HER-TAK-HF2870-Q2-2025-1246-01</v>
      </c>
      <c r="E94" s="121" t="str">
        <f ca="1">IFERROR(__xludf.DUMMYFUNCTION("""COMPUTED_VALUE"""),"Takhar")</f>
        <v>Takhar</v>
      </c>
      <c r="F94" s="121" t="str">
        <f ca="1">IFERROR(__xludf.DUMMYFUNCTION("""COMPUTED_VALUE"""),"Taloqan")</f>
        <v>Taloqan</v>
      </c>
      <c r="G94" s="121" t="str">
        <f ca="1">IFERROR(__xludf.DUMMYFUNCTION("""COMPUTED_VALUE"""),"Shorab SHC (2870)")</f>
        <v>Shorab SHC (2870)</v>
      </c>
      <c r="H94" s="121" t="str">
        <f ca="1">IFERROR(__xludf.DUMMYFUNCTION("""COMPUTED_VALUE"""),"SHC")</f>
        <v>SHC</v>
      </c>
      <c r="I94" s="122">
        <f ca="1">IFERROR(__xludf.DUMMYFUNCTION("""COMPUTED_VALUE"""),7)</f>
        <v>7</v>
      </c>
      <c r="J94" s="123">
        <f ca="1">IFERROR(__xludf.DUMMYFUNCTION("""COMPUTED_VALUE"""),45963)</f>
        <v>45963</v>
      </c>
      <c r="K94" s="123">
        <f ca="1">IFERROR(__xludf.DUMMYFUNCTION("""COMPUTED_VALUE"""),45962)</f>
        <v>45962</v>
      </c>
      <c r="L94" s="121" t="str">
        <f ca="1">IFERROR(__xludf.DUMMYFUNCTION("""COMPUTED_VALUE"""),"Other than P4P (section 6)")</f>
        <v>Other than P4P (section 6)</v>
      </c>
      <c r="M94" s="121" t="str">
        <f ca="1">IFERROR(__xludf.DUMMYFUNCTION("""COMPUTED_VALUE"""),"Data Verification")</f>
        <v>Data Verification</v>
      </c>
      <c r="N94" s="121" t="str">
        <f ca="1">IFERROR(__xludf.DUMMYFUNCTION("""COMPUTED_VALUE"""),"Dari")</f>
        <v>Dari</v>
      </c>
      <c r="O94" s="121"/>
      <c r="P94" s="121"/>
      <c r="Q94" s="121"/>
      <c r="R94" s="121"/>
      <c r="S94" s="121"/>
      <c r="T94" s="121"/>
      <c r="U94" s="121"/>
      <c r="V94" s="121"/>
      <c r="W94" s="121"/>
      <c r="X94" s="121"/>
      <c r="Y94" s="121"/>
      <c r="Z94" s="121"/>
      <c r="AA94" s="121"/>
      <c r="AB94" s="121"/>
    </row>
    <row r="95" spans="1:28">
      <c r="A95" s="121" t="str">
        <f ca="1">IFERROR(__xludf.DUMMYFUNCTION("""COMPUTED_VALUE"""),"uuid:bed9fad2-5e84-4e57-a418-c24d43a8ba4c")</f>
        <v>uuid:bed9fad2-5e84-4e57-a418-c24d43a8ba4c</v>
      </c>
      <c r="B95" s="121" t="str">
        <f ca="1">IFERROR(__xludf.DUMMYFUNCTION("""COMPUTED_VALUE"""),"FR4008")</f>
        <v>FR4008</v>
      </c>
      <c r="C95" s="121" t="str">
        <f ca="1">IFERROR(__xludf.DUMMYFUNCTION("""COMPUTED_VALUE"""),"Salim Khan Sadat Khan")</f>
        <v>Salim Khan Sadat Khan</v>
      </c>
      <c r="D95" s="121" t="str">
        <f ca="1">IFERROR(__xludf.DUMMYFUNCTION("""COMPUTED_VALUE"""),"HER-KHO-HF4396-Q2-2025-1122-01")</f>
        <v>HER-KHO-HF4396-Q2-2025-1122-01</v>
      </c>
      <c r="E95" s="121" t="str">
        <f ca="1">IFERROR(__xludf.DUMMYFUNCTION("""COMPUTED_VALUE"""),"Khost")</f>
        <v>Khost</v>
      </c>
      <c r="F95" s="121" t="str">
        <f ca="1">IFERROR(__xludf.DUMMYFUNCTION("""COMPUTED_VALUE"""),"Tanay")</f>
        <v>Tanay</v>
      </c>
      <c r="G95" s="121" t="str">
        <f ca="1">IFERROR(__xludf.DUMMYFUNCTION("""COMPUTED_VALUE"""),"Hesarak SC (4396)")</f>
        <v>Hesarak SC (4396)</v>
      </c>
      <c r="H95" s="121" t="str">
        <f ca="1">IFERROR(__xludf.DUMMYFUNCTION("""COMPUTED_VALUE"""),"SHC")</f>
        <v>SHC</v>
      </c>
      <c r="I95" s="122">
        <f ca="1">IFERROR(__xludf.DUMMYFUNCTION("""COMPUTED_VALUE"""),104)</f>
        <v>104</v>
      </c>
      <c r="J95" s="123">
        <f ca="1">IFERROR(__xludf.DUMMYFUNCTION("""COMPUTED_VALUE"""),45963)</f>
        <v>45963</v>
      </c>
      <c r="K95" s="123">
        <f ca="1">IFERROR(__xludf.DUMMYFUNCTION("""COMPUTED_VALUE"""),45962)</f>
        <v>45962</v>
      </c>
      <c r="L95" s="121" t="str">
        <f ca="1">IFERROR(__xludf.DUMMYFUNCTION("""COMPUTED_VALUE"""),"Medicine (section 2)")</f>
        <v>Medicine (section 2)</v>
      </c>
      <c r="M95" s="121" t="str">
        <f ca="1">IFERROR(__xludf.DUMMYFUNCTION("""COMPUTED_VALUE"""),"Data Verification")</f>
        <v>Data Verification</v>
      </c>
      <c r="N95" s="121" t="str">
        <f ca="1">IFERROR(__xludf.DUMMYFUNCTION("""COMPUTED_VALUE"""),"Pashto")</f>
        <v>Pashto</v>
      </c>
      <c r="O95" s="121"/>
      <c r="P95" s="121"/>
      <c r="Q95" s="121"/>
      <c r="R95" s="121"/>
      <c r="S95" s="121"/>
      <c r="T95" s="121"/>
      <c r="U95" s="121"/>
      <c r="V95" s="121"/>
      <c r="W95" s="121"/>
      <c r="X95" s="121" t="str">
        <f ca="1">IFERROR(__xludf.DUMMYFUNCTION("""COMPUTED_VALUE"""),"Dr Nayil")</f>
        <v>Dr Nayil</v>
      </c>
      <c r="Y95" s="124">
        <f ca="1">IFERROR(__xludf.DUMMYFUNCTION("""COMPUTED_VALUE"""),45965)</f>
        <v>45965</v>
      </c>
      <c r="Z95" s="121"/>
      <c r="AA95" s="121"/>
      <c r="AB95" s="121"/>
    </row>
    <row r="96" spans="1:28">
      <c r="A96" s="121" t="str">
        <f ca="1">IFERROR(__xludf.DUMMYFUNCTION("""COMPUTED_VALUE"""),"uuid:fbd599da-7980-4c3b-8180-ad60082ce83b")</f>
        <v>uuid:fbd599da-7980-4c3b-8180-ad60082ce83b</v>
      </c>
      <c r="B96" s="121" t="str">
        <f ca="1">IFERROR(__xludf.DUMMYFUNCTION("""COMPUTED_VALUE"""),"FR4008")</f>
        <v>FR4008</v>
      </c>
      <c r="C96" s="121" t="str">
        <f ca="1">IFERROR(__xludf.DUMMYFUNCTION("""COMPUTED_VALUE"""),"Salim Khan Sadat Khan")</f>
        <v>Salim Khan Sadat Khan</v>
      </c>
      <c r="D96" s="121" t="str">
        <f ca="1">IFERROR(__xludf.DUMMYFUNCTION("""COMPUTED_VALUE"""),"HER-KHO-HF4396-Q2-2025-1122-01")</f>
        <v>HER-KHO-HF4396-Q2-2025-1122-01</v>
      </c>
      <c r="E96" s="121" t="str">
        <f ca="1">IFERROR(__xludf.DUMMYFUNCTION("""COMPUTED_VALUE"""),"Khost")</f>
        <v>Khost</v>
      </c>
      <c r="F96" s="121" t="str">
        <f ca="1">IFERROR(__xludf.DUMMYFUNCTION("""COMPUTED_VALUE"""),"Tanay")</f>
        <v>Tanay</v>
      </c>
      <c r="G96" s="121" t="str">
        <f ca="1">IFERROR(__xludf.DUMMYFUNCTION("""COMPUTED_VALUE"""),"Hesarak SC (4396)")</f>
        <v>Hesarak SC (4396)</v>
      </c>
      <c r="H96" s="121" t="str">
        <f ca="1">IFERROR(__xludf.DUMMYFUNCTION("""COMPUTED_VALUE"""),"SHC")</f>
        <v>SHC</v>
      </c>
      <c r="I96" s="122">
        <f ca="1">IFERROR(__xludf.DUMMYFUNCTION("""COMPUTED_VALUE"""),17)</f>
        <v>17</v>
      </c>
      <c r="J96" s="123">
        <f ca="1">IFERROR(__xludf.DUMMYFUNCTION("""COMPUTED_VALUE"""),45963)</f>
        <v>45963</v>
      </c>
      <c r="K96" s="123">
        <f ca="1">IFERROR(__xludf.DUMMYFUNCTION("""COMPUTED_VALUE"""),45963)</f>
        <v>45963</v>
      </c>
      <c r="L96" s="121" t="str">
        <f ca="1">IFERROR(__xludf.DUMMYFUNCTION("""COMPUTED_VALUE"""),"Other than P4P (section 6)")</f>
        <v>Other than P4P (section 6)</v>
      </c>
      <c r="M96" s="121" t="str">
        <f ca="1">IFERROR(__xludf.DUMMYFUNCTION("""COMPUTED_VALUE"""),"Data Verification")</f>
        <v>Data Verification</v>
      </c>
      <c r="N96" s="121" t="str">
        <f ca="1">IFERROR(__xludf.DUMMYFUNCTION("""COMPUTED_VALUE"""),"Pashto")</f>
        <v>Pashto</v>
      </c>
      <c r="O96" s="121"/>
      <c r="P96" s="121"/>
      <c r="Q96" s="121"/>
      <c r="R96" s="121"/>
      <c r="S96" s="121"/>
      <c r="T96" s="121"/>
      <c r="U96" s="121"/>
      <c r="V96" s="121"/>
      <c r="W96" s="121"/>
      <c r="X96" s="121"/>
      <c r="Y96" s="121"/>
      <c r="Z96" s="121"/>
      <c r="AA96" s="121"/>
      <c r="AB96" s="121"/>
    </row>
    <row r="97" spans="1:28">
      <c r="A97" s="121" t="str">
        <f ca="1">IFERROR(__xludf.DUMMYFUNCTION("""COMPUTED_VALUE"""),"uuid:aafad290-5583-46a1-9f2b-01181bb10aa4")</f>
        <v>uuid:aafad290-5583-46a1-9f2b-01181bb10aa4</v>
      </c>
      <c r="B97" s="121" t="str">
        <f ca="1">IFERROR(__xludf.DUMMYFUNCTION("""COMPUTED_VALUE"""),"FR2579")</f>
        <v>FR2579</v>
      </c>
      <c r="C97" s="121" t="str">
        <f ca="1">IFERROR(__xludf.DUMMYFUNCTION("""COMPUTED_VALUE"""),"Ahmad Sear Malikzai")</f>
        <v>Ahmad Sear Malikzai</v>
      </c>
      <c r="D97" s="121" t="str">
        <f ca="1">IFERROR(__xludf.DUMMYFUNCTION("""COMPUTED_VALUE"""),"HER-NGR-HF3781-Q2-2025-1059-01")</f>
        <v>HER-NGR-HF3781-Q2-2025-1059-01</v>
      </c>
      <c r="E97" s="121" t="str">
        <f ca="1">IFERROR(__xludf.DUMMYFUNCTION("""COMPUTED_VALUE"""),"Nangarhar")</f>
        <v>Nangarhar</v>
      </c>
      <c r="F97" s="121" t="str">
        <f ca="1">IFERROR(__xludf.DUMMYFUNCTION("""COMPUTED_VALUE"""),"Kama")</f>
        <v>Kama</v>
      </c>
      <c r="G97" s="121" t="str">
        <f ca="1">IFERROR(__xludf.DUMMYFUNCTION("""COMPUTED_VALUE"""),"Gerdab SC (3781)")</f>
        <v>Gerdab SC (3781)</v>
      </c>
      <c r="H97" s="121" t="str">
        <f ca="1">IFERROR(__xludf.DUMMYFUNCTION("""COMPUTED_VALUE"""),"SHC")</f>
        <v>SHC</v>
      </c>
      <c r="I97" s="122">
        <f ca="1">IFERROR(__xludf.DUMMYFUNCTION("""COMPUTED_VALUE"""),123)</f>
        <v>123</v>
      </c>
      <c r="J97" s="123">
        <f ca="1">IFERROR(__xludf.DUMMYFUNCTION("""COMPUTED_VALUE"""),45963)</f>
        <v>45963</v>
      </c>
      <c r="K97" s="123">
        <f ca="1">IFERROR(__xludf.DUMMYFUNCTION("""COMPUTED_VALUE"""),45963)</f>
        <v>45963</v>
      </c>
      <c r="L97" s="121" t="str">
        <f ca="1">IFERROR(__xludf.DUMMYFUNCTION("""COMPUTED_VALUE"""),"Medicine (section 2)")</f>
        <v>Medicine (section 2)</v>
      </c>
      <c r="M97" s="121" t="str">
        <f ca="1">IFERROR(__xludf.DUMMYFUNCTION("""COMPUTED_VALUE"""),"Data Verification")</f>
        <v>Data Verification</v>
      </c>
      <c r="N97" s="121" t="str">
        <f ca="1">IFERROR(__xludf.DUMMYFUNCTION("""COMPUTED_VALUE"""),"Pashto")</f>
        <v>Pashto</v>
      </c>
      <c r="O97" s="121"/>
      <c r="P97" s="121"/>
      <c r="Q97" s="121"/>
      <c r="R97" s="121"/>
      <c r="S97" s="121"/>
      <c r="T97" s="121"/>
      <c r="U97" s="121"/>
      <c r="V97" s="121"/>
      <c r="W97" s="121"/>
      <c r="X97" s="121" t="str">
        <f ca="1">IFERROR(__xludf.DUMMYFUNCTION("""COMPUTED_VALUE"""),"Dr Nayil")</f>
        <v>Dr Nayil</v>
      </c>
      <c r="Y97" s="124">
        <f ca="1">IFERROR(__xludf.DUMMYFUNCTION("""COMPUTED_VALUE"""),45965)</f>
        <v>45965</v>
      </c>
      <c r="Z97" s="121"/>
      <c r="AA97" s="121"/>
      <c r="AB97" s="121"/>
    </row>
    <row r="98" spans="1:28">
      <c r="A98" s="121" t="str">
        <f ca="1">IFERROR(__xludf.DUMMYFUNCTION("""COMPUTED_VALUE"""),"uuid:5d25f5e4-78ae-4969-9b77-02583ea16763")</f>
        <v>uuid:5d25f5e4-78ae-4969-9b77-02583ea16763</v>
      </c>
      <c r="B98" s="121" t="str">
        <f ca="1">IFERROR(__xludf.DUMMYFUNCTION("""COMPUTED_VALUE"""),"FR2579")</f>
        <v>FR2579</v>
      </c>
      <c r="C98" s="121" t="str">
        <f ca="1">IFERROR(__xludf.DUMMYFUNCTION("""COMPUTED_VALUE"""),"Ahmad Sear Malikzai")</f>
        <v>Ahmad Sear Malikzai</v>
      </c>
      <c r="D98" s="121" t="str">
        <f ca="1">IFERROR(__xludf.DUMMYFUNCTION("""COMPUTED_VALUE"""),"HER-NGR-HF3781-Q2-2025-1059-01")</f>
        <v>HER-NGR-HF3781-Q2-2025-1059-01</v>
      </c>
      <c r="E98" s="121" t="str">
        <f ca="1">IFERROR(__xludf.DUMMYFUNCTION("""COMPUTED_VALUE"""),"Nangarhar")</f>
        <v>Nangarhar</v>
      </c>
      <c r="F98" s="121" t="str">
        <f ca="1">IFERROR(__xludf.DUMMYFUNCTION("""COMPUTED_VALUE"""),"Kama")</f>
        <v>Kama</v>
      </c>
      <c r="G98" s="121" t="str">
        <f ca="1">IFERROR(__xludf.DUMMYFUNCTION("""COMPUTED_VALUE"""),"Gerdab SC (3781)")</f>
        <v>Gerdab SC (3781)</v>
      </c>
      <c r="H98" s="121" t="str">
        <f ca="1">IFERROR(__xludf.DUMMYFUNCTION("""COMPUTED_VALUE"""),"SHC")</f>
        <v>SHC</v>
      </c>
      <c r="I98" s="122">
        <f ca="1">IFERROR(__xludf.DUMMYFUNCTION("""COMPUTED_VALUE"""),10)</f>
        <v>10</v>
      </c>
      <c r="J98" s="123">
        <f ca="1">IFERROR(__xludf.DUMMYFUNCTION("""COMPUTED_VALUE"""),45963)</f>
        <v>45963</v>
      </c>
      <c r="K98" s="123">
        <f ca="1">IFERROR(__xludf.DUMMYFUNCTION("""COMPUTED_VALUE"""),45963)</f>
        <v>45963</v>
      </c>
      <c r="L98" s="121" t="str">
        <f ca="1">IFERROR(__xludf.DUMMYFUNCTION("""COMPUTED_VALUE"""),"Other than P4P (section 6)")</f>
        <v>Other than P4P (section 6)</v>
      </c>
      <c r="M98" s="121" t="str">
        <f ca="1">IFERROR(__xludf.DUMMYFUNCTION("""COMPUTED_VALUE"""),"Data Verification")</f>
        <v>Data Verification</v>
      </c>
      <c r="N98" s="121" t="str">
        <f ca="1">IFERROR(__xludf.DUMMYFUNCTION("""COMPUTED_VALUE"""),"Pashto")</f>
        <v>Pashto</v>
      </c>
      <c r="O98" s="121" t="str">
        <f ca="1">IFERROR(__xludf.DUMMYFUNCTION("""COMPUTED_VALUE"""),"No")</f>
        <v>No</v>
      </c>
      <c r="P98" s="121" t="str">
        <f ca="1">IFERROR(__xludf.DUMMYFUNCTION("""COMPUTED_VALUE""")," Voice of both sides is clear")</f>
        <v xml:space="preserve"> Voice of both sides is clear</v>
      </c>
      <c r="Q98" s="121" t="str">
        <f ca="1">IFERROR(__xludf.DUMMYFUNCTION("""COMPUTED_VALUE"""),"Yes/all")</f>
        <v>Yes/all</v>
      </c>
      <c r="R98" s="121" t="str">
        <f ca="1">IFERROR(__xludf.DUMMYFUNCTION("""COMPUTED_VALUE"""),"Yes")</f>
        <v>Yes</v>
      </c>
      <c r="S98" s="121" t="str">
        <f ca="1">IFERROR(__xludf.DUMMYFUNCTION("""COMPUTED_VALUE"""),"Yes")</f>
        <v>Yes</v>
      </c>
      <c r="T98" s="121" t="str">
        <f ca="1">IFERROR(__xludf.DUMMYFUNCTION("""COMPUTED_VALUE"""),"Checked")</f>
        <v>Checked</v>
      </c>
      <c r="U98" s="121" t="str">
        <f ca="1">IFERROR(__xludf.DUMMYFUNCTION("""COMPUTED_VALUE"""),"No")</f>
        <v>No</v>
      </c>
      <c r="V98" s="121" t="str">
        <f ca="1">IFERROR(__xludf.DUMMYFUNCTION("""COMPUTED_VALUE"""),"No")</f>
        <v>No</v>
      </c>
      <c r="W98" s="121">
        <f ca="1">IFERROR(__xludf.DUMMYFUNCTION("""COMPUTED_VALUE"""),4)</f>
        <v>4</v>
      </c>
      <c r="X98" s="121" t="str">
        <f ca="1">IFERROR(__xludf.DUMMYFUNCTION("""COMPUTED_VALUE"""),"Hashmatullah Banaee")</f>
        <v>Hashmatullah Banaee</v>
      </c>
      <c r="Y98" s="124">
        <f ca="1">IFERROR(__xludf.DUMMYFUNCTION("""COMPUTED_VALUE"""),45965)</f>
        <v>45965</v>
      </c>
      <c r="Z98" s="121" t="str">
        <f ca="1">IFERROR(__xludf.DUMMYFUNCTION("""COMPUTED_VALUE"""),"Approved")</f>
        <v>Approved</v>
      </c>
      <c r="AA98" s="121"/>
      <c r="AB98" s="121"/>
    </row>
    <row r="99" spans="1:28">
      <c r="A99" s="121" t="str">
        <f ca="1">IFERROR(__xludf.DUMMYFUNCTION("""COMPUTED_VALUE"""),"uuid:2060cc84-ada2-4a4a-aece-b4b2303d2330")</f>
        <v>uuid:2060cc84-ada2-4a4a-aece-b4b2303d2330</v>
      </c>
      <c r="B99" s="121" t="str">
        <f ca="1">IFERROR(__xludf.DUMMYFUNCTION("""COMPUTED_VALUE"""),"FR4136")</f>
        <v>FR4136</v>
      </c>
      <c r="C99" s="121" t="str">
        <f ca="1">IFERROR(__xludf.DUMMYFUNCTION("""COMPUTED_VALUE"""),"Raqema Hutak")</f>
        <v>Raqema Hutak</v>
      </c>
      <c r="D99" s="121" t="str">
        <f ca="1">IFERROR(__xludf.DUMMYFUNCTION("""COMPUTED_VALUE"""),"HER-KHO-HF4396-Q2-2025-1122-01")</f>
        <v>HER-KHO-HF4396-Q2-2025-1122-01</v>
      </c>
      <c r="E99" s="121" t="str">
        <f ca="1">IFERROR(__xludf.DUMMYFUNCTION("""COMPUTED_VALUE"""),"Khost")</f>
        <v>Khost</v>
      </c>
      <c r="F99" s="121" t="str">
        <f ca="1">IFERROR(__xludf.DUMMYFUNCTION("""COMPUTED_VALUE"""),"Tanay")</f>
        <v>Tanay</v>
      </c>
      <c r="G99" s="121" t="str">
        <f ca="1">IFERROR(__xludf.DUMMYFUNCTION("""COMPUTED_VALUE"""),"Hesarak SC (4396)")</f>
        <v>Hesarak SC (4396)</v>
      </c>
      <c r="H99" s="121" t="str">
        <f ca="1">IFERROR(__xludf.DUMMYFUNCTION("""COMPUTED_VALUE"""),"SHC")</f>
        <v>SHC</v>
      </c>
      <c r="I99" s="122">
        <f ca="1">IFERROR(__xludf.DUMMYFUNCTION("""COMPUTED_VALUE"""),29)</f>
        <v>29</v>
      </c>
      <c r="J99" s="123">
        <f ca="1">IFERROR(__xludf.DUMMYFUNCTION("""COMPUTED_VALUE"""),45963)</f>
        <v>45963</v>
      </c>
      <c r="K99" s="123">
        <f ca="1">IFERROR(__xludf.DUMMYFUNCTION("""COMPUTED_VALUE"""),45962)</f>
        <v>45962</v>
      </c>
      <c r="L99" s="121" t="str">
        <f ca="1">IFERROR(__xludf.DUMMYFUNCTION("""COMPUTED_VALUE"""),"Personnel (section 1)")</f>
        <v>Personnel (section 1)</v>
      </c>
      <c r="M99" s="121" t="str">
        <f ca="1">IFERROR(__xludf.DUMMYFUNCTION("""COMPUTED_VALUE"""),"Data Verification")</f>
        <v>Data Verification</v>
      </c>
      <c r="N99" s="121" t="str">
        <f ca="1">IFERROR(__xludf.DUMMYFUNCTION("""COMPUTED_VALUE"""),"Pashto")</f>
        <v>Pashto</v>
      </c>
      <c r="O99" s="121"/>
      <c r="P99" s="121"/>
      <c r="Q99" s="121"/>
      <c r="R99" s="121"/>
      <c r="S99" s="121"/>
      <c r="T99" s="121"/>
      <c r="U99" s="121"/>
      <c r="V99" s="121"/>
      <c r="W99" s="121"/>
      <c r="X99" s="121" t="str">
        <f ca="1">IFERROR(__xludf.DUMMYFUNCTION("""COMPUTED_VALUE"""),"Hashmatullah Banaee")</f>
        <v>Hashmatullah Banaee</v>
      </c>
      <c r="Y99" s="124">
        <f ca="1">IFERROR(__xludf.DUMMYFUNCTION("""COMPUTED_VALUE"""),45965)</f>
        <v>45965</v>
      </c>
      <c r="Z99" s="121"/>
      <c r="AA99" s="121"/>
      <c r="AB99" s="121"/>
    </row>
    <row r="100" spans="1:28">
      <c r="A100" s="121" t="str">
        <f ca="1">IFERROR(__xludf.DUMMYFUNCTION("""COMPUTED_VALUE"""),"uuid:b105256c-1c2b-4b24-ab79-d9bc5b81d0ed")</f>
        <v>uuid:b105256c-1c2b-4b24-ab79-d9bc5b81d0ed</v>
      </c>
      <c r="B100" s="121" t="str">
        <f ca="1">IFERROR(__xludf.DUMMYFUNCTION("""COMPUTED_VALUE"""),"FR0220")</f>
        <v>FR0220</v>
      </c>
      <c r="C100" s="121" t="str">
        <f ca="1">IFERROR(__xludf.DUMMYFUNCTION("""COMPUTED_VALUE"""),"Raihana Sediqi")</f>
        <v>Raihana Sediqi</v>
      </c>
      <c r="D100" s="121" t="str">
        <f ca="1">IFERROR(__xludf.DUMMYFUNCTION("""COMPUTED_VALUE"""),"HER-NGR-HF3781-Q2-2025-1059-01")</f>
        <v>HER-NGR-HF3781-Q2-2025-1059-01</v>
      </c>
      <c r="E100" s="121" t="str">
        <f ca="1">IFERROR(__xludf.DUMMYFUNCTION("""COMPUTED_VALUE"""),"Nangarhar")</f>
        <v>Nangarhar</v>
      </c>
      <c r="F100" s="121" t="str">
        <f ca="1">IFERROR(__xludf.DUMMYFUNCTION("""COMPUTED_VALUE"""),"Kama")</f>
        <v>Kama</v>
      </c>
      <c r="G100" s="121" t="str">
        <f ca="1">IFERROR(__xludf.DUMMYFUNCTION("""COMPUTED_VALUE"""),"Gerdab SC (3781)")</f>
        <v>Gerdab SC (3781)</v>
      </c>
      <c r="H100" s="121" t="str">
        <f ca="1">IFERROR(__xludf.DUMMYFUNCTION("""COMPUTED_VALUE"""),"SHC")</f>
        <v>SHC</v>
      </c>
      <c r="I100" s="122">
        <f ca="1">IFERROR(__xludf.DUMMYFUNCTION("""COMPUTED_VALUE"""),70)</f>
        <v>70</v>
      </c>
      <c r="J100" s="123">
        <f ca="1">IFERROR(__xludf.DUMMYFUNCTION("""COMPUTED_VALUE"""),45963)</f>
        <v>45963</v>
      </c>
      <c r="K100" s="123">
        <f ca="1">IFERROR(__xludf.DUMMYFUNCTION("""COMPUTED_VALUE"""),45963)</f>
        <v>45963</v>
      </c>
      <c r="L100" s="121" t="str">
        <f ca="1">IFERROR(__xludf.DUMMYFUNCTION("""COMPUTED_VALUE"""),"Consumable (section 3)")</f>
        <v>Consumable (section 3)</v>
      </c>
      <c r="M100" s="121" t="str">
        <f ca="1">IFERROR(__xludf.DUMMYFUNCTION("""COMPUTED_VALUE"""),"Data Verification")</f>
        <v>Data Verification</v>
      </c>
      <c r="N100" s="121" t="str">
        <f ca="1">IFERROR(__xludf.DUMMYFUNCTION("""COMPUTED_VALUE"""),"Pashto")</f>
        <v>Pashto</v>
      </c>
      <c r="O100" s="121" t="str">
        <f ca="1">IFERROR(__xludf.DUMMYFUNCTION("""COMPUTED_VALUE"""),"No")</f>
        <v>No</v>
      </c>
      <c r="P100" s="121" t="str">
        <f ca="1">IFERROR(__xludf.DUMMYFUNCTION("""COMPUTED_VALUE""")," Voice of both sides is clear")</f>
        <v xml:space="preserve"> Voice of both sides is clear</v>
      </c>
      <c r="Q100" s="121" t="str">
        <f ca="1">IFERROR(__xludf.DUMMYFUNCTION("""COMPUTED_VALUE"""),"Yes/Some")</f>
        <v>Yes/Some</v>
      </c>
      <c r="R100" s="121" t="str">
        <f ca="1">IFERROR(__xludf.DUMMYFUNCTION("""COMPUTED_VALUE"""),"Yes")</f>
        <v>Yes</v>
      </c>
      <c r="S100" s="121" t="str">
        <f ca="1">IFERROR(__xludf.DUMMYFUNCTION("""COMPUTED_VALUE"""),"Yes")</f>
        <v>Yes</v>
      </c>
      <c r="T100" s="121" t="str">
        <f ca="1">IFERROR(__xludf.DUMMYFUNCTION("""COMPUTED_VALUE"""),"Checked")</f>
        <v>Checked</v>
      </c>
      <c r="U100" s="121" t="str">
        <f ca="1">IFERROR(__xludf.DUMMYFUNCTION("""COMPUTED_VALUE"""),"No")</f>
        <v>No</v>
      </c>
      <c r="V100" s="121" t="str">
        <f ca="1">IFERROR(__xludf.DUMMYFUNCTION("""COMPUTED_VALUE"""),"Yes")</f>
        <v>Yes</v>
      </c>
      <c r="W100" s="121">
        <f ca="1">IFERROR(__xludf.DUMMYFUNCTION("""COMPUTED_VALUE"""),3)</f>
        <v>3</v>
      </c>
      <c r="X100" s="121" t="str">
        <f ca="1">IFERROR(__xludf.DUMMYFUNCTION("""COMPUTED_VALUE"""),"Hashmatullah Banaee")</f>
        <v>Hashmatullah Banaee</v>
      </c>
      <c r="Y100" s="124">
        <f ca="1">IFERROR(__xludf.DUMMYFUNCTION("""COMPUTED_VALUE"""),45965)</f>
        <v>45965</v>
      </c>
      <c r="Z100" s="121" t="str">
        <f ca="1">IFERROR(__xludf.DUMMYFUNCTION("""COMPUTED_VALUE"""),"Approved")</f>
        <v>Approved</v>
      </c>
      <c r="AA100" s="121"/>
      <c r="AB100" s="121"/>
    </row>
    <row r="101" spans="1:28">
      <c r="A101" s="121" t="str">
        <f ca="1">IFERROR(__xludf.DUMMYFUNCTION("""COMPUTED_VALUE"""),"uuid:8e6e6d98-c3c4-4d40-9284-dafaa2844cf5")</f>
        <v>uuid:8e6e6d98-c3c4-4d40-9284-dafaa2844cf5</v>
      </c>
      <c r="B101" s="121" t="str">
        <f ca="1">IFERROR(__xludf.DUMMYFUNCTION("""COMPUTED_VALUE"""),"FR4136")</f>
        <v>FR4136</v>
      </c>
      <c r="C101" s="121" t="str">
        <f ca="1">IFERROR(__xludf.DUMMYFUNCTION("""COMPUTED_VALUE"""),"Raqema Hutak")</f>
        <v>Raqema Hutak</v>
      </c>
      <c r="D101" s="121" t="str">
        <f ca="1">IFERROR(__xludf.DUMMYFUNCTION("""COMPUTED_VALUE"""),"HER-KHO-HF4396-Q2-2025-1122-01")</f>
        <v>HER-KHO-HF4396-Q2-2025-1122-01</v>
      </c>
      <c r="E101" s="121" t="str">
        <f ca="1">IFERROR(__xludf.DUMMYFUNCTION("""COMPUTED_VALUE"""),"Khost")</f>
        <v>Khost</v>
      </c>
      <c r="F101" s="121" t="str">
        <f ca="1">IFERROR(__xludf.DUMMYFUNCTION("""COMPUTED_VALUE"""),"Tanay")</f>
        <v>Tanay</v>
      </c>
      <c r="G101" s="121" t="str">
        <f ca="1">IFERROR(__xludf.DUMMYFUNCTION("""COMPUTED_VALUE"""),"Hesarak SC (4396)")</f>
        <v>Hesarak SC (4396)</v>
      </c>
      <c r="H101" s="121" t="str">
        <f ca="1">IFERROR(__xludf.DUMMYFUNCTION("""COMPUTED_VALUE"""),"SHC")</f>
        <v>SHC</v>
      </c>
      <c r="I101" s="122">
        <f ca="1">IFERROR(__xludf.DUMMYFUNCTION("""COMPUTED_VALUE"""),123)</f>
        <v>123</v>
      </c>
      <c r="J101" s="123">
        <f ca="1">IFERROR(__xludf.DUMMYFUNCTION("""COMPUTED_VALUE"""),45963)</f>
        <v>45963</v>
      </c>
      <c r="K101" s="123">
        <f ca="1">IFERROR(__xludf.DUMMYFUNCTION("""COMPUTED_VALUE"""),45962)</f>
        <v>45962</v>
      </c>
      <c r="L101" s="121" t="str">
        <f ca="1">IFERROR(__xludf.DUMMYFUNCTION("""COMPUTED_VALUE"""),"Consumable (section 3)")</f>
        <v>Consumable (section 3)</v>
      </c>
      <c r="M101" s="121" t="str">
        <f ca="1">IFERROR(__xludf.DUMMYFUNCTION("""COMPUTED_VALUE"""),"Data Verification")</f>
        <v>Data Verification</v>
      </c>
      <c r="N101" s="121" t="str">
        <f ca="1">IFERROR(__xludf.DUMMYFUNCTION("""COMPUTED_VALUE"""),"Pashto")</f>
        <v>Pashto</v>
      </c>
      <c r="O101" s="121"/>
      <c r="P101" s="121"/>
      <c r="Q101" s="121"/>
      <c r="R101" s="121"/>
      <c r="S101" s="121"/>
      <c r="T101" s="121"/>
      <c r="U101" s="121"/>
      <c r="V101" s="121"/>
      <c r="W101" s="121"/>
      <c r="X101" s="121" t="str">
        <f ca="1">IFERROR(__xludf.DUMMYFUNCTION("""COMPUTED_VALUE"""),"Dr Nayil")</f>
        <v>Dr Nayil</v>
      </c>
      <c r="Y101" s="124">
        <f ca="1">IFERROR(__xludf.DUMMYFUNCTION("""COMPUTED_VALUE"""),45965)</f>
        <v>45965</v>
      </c>
      <c r="Z101" s="121"/>
      <c r="AA101" s="121"/>
      <c r="AB101" s="121"/>
    </row>
    <row r="102" spans="1:28">
      <c r="A102" s="121" t="str">
        <f ca="1">IFERROR(__xludf.DUMMYFUNCTION("""COMPUTED_VALUE"""),"uuid:7fffc3e4-eb69-4320-9da4-74f331ef6f96")</f>
        <v>uuid:7fffc3e4-eb69-4320-9da4-74f331ef6f96</v>
      </c>
      <c r="B102" s="121" t="str">
        <f ca="1">IFERROR(__xludf.DUMMYFUNCTION("""COMPUTED_VALUE"""),"FR4136")</f>
        <v>FR4136</v>
      </c>
      <c r="C102" s="121" t="str">
        <f ca="1">IFERROR(__xludf.DUMMYFUNCTION("""COMPUTED_VALUE"""),"Raqema Hutak")</f>
        <v>Raqema Hutak</v>
      </c>
      <c r="D102" s="121" t="str">
        <f ca="1">IFERROR(__xludf.DUMMYFUNCTION("""COMPUTED_VALUE"""),"HER-KHO-HF4396-Q2-2025-1122-01")</f>
        <v>HER-KHO-HF4396-Q2-2025-1122-01</v>
      </c>
      <c r="E102" s="121" t="str">
        <f ca="1">IFERROR(__xludf.DUMMYFUNCTION("""COMPUTED_VALUE"""),"Khost")</f>
        <v>Khost</v>
      </c>
      <c r="F102" s="121" t="str">
        <f ca="1">IFERROR(__xludf.DUMMYFUNCTION("""COMPUTED_VALUE"""),"Tanay")</f>
        <v>Tanay</v>
      </c>
      <c r="G102" s="121" t="str">
        <f ca="1">IFERROR(__xludf.DUMMYFUNCTION("""COMPUTED_VALUE"""),"Hesarak SC (4396)")</f>
        <v>Hesarak SC (4396)</v>
      </c>
      <c r="H102" s="121" t="str">
        <f ca="1">IFERROR(__xludf.DUMMYFUNCTION("""COMPUTED_VALUE"""),"SHC")</f>
        <v>SHC</v>
      </c>
      <c r="I102" s="122">
        <f ca="1">IFERROR(__xludf.DUMMYFUNCTION("""COMPUTED_VALUE"""),135)</f>
        <v>135</v>
      </c>
      <c r="J102" s="123">
        <f ca="1">IFERROR(__xludf.DUMMYFUNCTION("""COMPUTED_VALUE"""),45963)</f>
        <v>45963</v>
      </c>
      <c r="K102" s="123">
        <f ca="1">IFERROR(__xludf.DUMMYFUNCTION("""COMPUTED_VALUE"""),45962)</f>
        <v>45962</v>
      </c>
      <c r="L102" s="121" t="str">
        <f ca="1">IFERROR(__xludf.DUMMYFUNCTION("""COMPUTED_VALUE"""),"Equipments (section 4)")</f>
        <v>Equipments (section 4)</v>
      </c>
      <c r="M102" s="121" t="str">
        <f ca="1">IFERROR(__xludf.DUMMYFUNCTION("""COMPUTED_VALUE"""),"Data Verification")</f>
        <v>Data Verification</v>
      </c>
      <c r="N102" s="121" t="str">
        <f ca="1">IFERROR(__xludf.DUMMYFUNCTION("""COMPUTED_VALUE"""),"Pashto")</f>
        <v>Pashto</v>
      </c>
      <c r="O102" s="121"/>
      <c r="P102" s="121"/>
      <c r="Q102" s="121"/>
      <c r="R102" s="121"/>
      <c r="S102" s="121"/>
      <c r="T102" s="121"/>
      <c r="U102" s="121"/>
      <c r="V102" s="121"/>
      <c r="W102" s="121"/>
      <c r="X102" s="121" t="str">
        <f ca="1">IFERROR(__xludf.DUMMYFUNCTION("""COMPUTED_VALUE"""),"Dr Nayil")</f>
        <v>Dr Nayil</v>
      </c>
      <c r="Y102" s="124">
        <f ca="1">IFERROR(__xludf.DUMMYFUNCTION("""COMPUTED_VALUE"""),45965)</f>
        <v>45965</v>
      </c>
      <c r="Z102" s="121"/>
      <c r="AA102" s="121"/>
      <c r="AB102" s="121"/>
    </row>
    <row r="103" spans="1:28">
      <c r="A103" s="121" t="str">
        <f ca="1">IFERROR(__xludf.DUMMYFUNCTION("""COMPUTED_VALUE"""),"uuid:8efd44ae-9c02-4fba-b623-a409b9eeec81")</f>
        <v>uuid:8efd44ae-9c02-4fba-b623-a409b9eeec81</v>
      </c>
      <c r="B103" s="121" t="str">
        <f ca="1">IFERROR(__xludf.DUMMYFUNCTION("""COMPUTED_VALUE"""),"FR0220")</f>
        <v>FR0220</v>
      </c>
      <c r="C103" s="121" t="str">
        <f ca="1">IFERROR(__xludf.DUMMYFUNCTION("""COMPUTED_VALUE"""),"Raihana Sediqi")</f>
        <v>Raihana Sediqi</v>
      </c>
      <c r="D103" s="121" t="str">
        <f ca="1">IFERROR(__xludf.DUMMYFUNCTION("""COMPUTED_VALUE"""),"HER-NGR-HF3780-Q2-2025-1049-01")</f>
        <v>HER-NGR-HF3780-Q2-2025-1049-01</v>
      </c>
      <c r="E103" s="121" t="str">
        <f ca="1">IFERROR(__xludf.DUMMYFUNCTION("""COMPUTED_VALUE"""),"Nangarhar")</f>
        <v>Nangarhar</v>
      </c>
      <c r="F103" s="121" t="str">
        <f ca="1">IFERROR(__xludf.DUMMYFUNCTION("""COMPUTED_VALUE"""),"Kama")</f>
        <v>Kama</v>
      </c>
      <c r="G103" s="121" t="str">
        <f ca="1">IFERROR(__xludf.DUMMYFUNCTION("""COMPUTED_VALUE"""),"Deh Ghazi SC (3780)")</f>
        <v>Deh Ghazi SC (3780)</v>
      </c>
      <c r="H103" s="121" t="str">
        <f ca="1">IFERROR(__xludf.DUMMYFUNCTION("""COMPUTED_VALUE"""),"SHC")</f>
        <v>SHC</v>
      </c>
      <c r="I103" s="122">
        <f ca="1">IFERROR(__xludf.DUMMYFUNCTION("""COMPUTED_VALUE"""),61)</f>
        <v>61</v>
      </c>
      <c r="J103" s="123">
        <f ca="1">IFERROR(__xludf.DUMMYFUNCTION("""COMPUTED_VALUE"""),45963)</f>
        <v>45963</v>
      </c>
      <c r="K103" s="123">
        <f ca="1">IFERROR(__xludf.DUMMYFUNCTION("""COMPUTED_VALUE"""),45963)</f>
        <v>45963</v>
      </c>
      <c r="L103" s="121" t="str">
        <f ca="1">IFERROR(__xludf.DUMMYFUNCTION("""COMPUTED_VALUE"""),"Consumable (section 3)")</f>
        <v>Consumable (section 3)</v>
      </c>
      <c r="M103" s="121" t="str">
        <f ca="1">IFERROR(__xludf.DUMMYFUNCTION("""COMPUTED_VALUE"""),"Data Verification")</f>
        <v>Data Verification</v>
      </c>
      <c r="N103" s="121" t="str">
        <f ca="1">IFERROR(__xludf.DUMMYFUNCTION("""COMPUTED_VALUE"""),"Pashto")</f>
        <v>Pashto</v>
      </c>
      <c r="O103" s="121" t="str">
        <f ca="1">IFERROR(__xludf.DUMMYFUNCTION("""COMPUTED_VALUE"""),"No")</f>
        <v>No</v>
      </c>
      <c r="P103" s="121" t="str">
        <f ca="1">IFERROR(__xludf.DUMMYFUNCTION("""COMPUTED_VALUE""")," Voice of both sides is clear")</f>
        <v xml:space="preserve"> Voice of both sides is clear</v>
      </c>
      <c r="Q103" s="121" t="str">
        <f ca="1">IFERROR(__xludf.DUMMYFUNCTION("""COMPUTED_VALUE"""),"Yes/Some")</f>
        <v>Yes/Some</v>
      </c>
      <c r="R103" s="121" t="str">
        <f ca="1">IFERROR(__xludf.DUMMYFUNCTION("""COMPUTED_VALUE"""),"Yes")</f>
        <v>Yes</v>
      </c>
      <c r="S103" s="121" t="str">
        <f ca="1">IFERROR(__xludf.DUMMYFUNCTION("""COMPUTED_VALUE"""),"Yes")</f>
        <v>Yes</v>
      </c>
      <c r="T103" s="121" t="str">
        <f ca="1">IFERROR(__xludf.DUMMYFUNCTION("""COMPUTED_VALUE"""),"Checked")</f>
        <v>Checked</v>
      </c>
      <c r="U103" s="121" t="str">
        <f ca="1">IFERROR(__xludf.DUMMYFUNCTION("""COMPUTED_VALUE"""),"No")</f>
        <v>No</v>
      </c>
      <c r="V103" s="121" t="str">
        <f ca="1">IFERROR(__xludf.DUMMYFUNCTION("""COMPUTED_VALUE"""),"Yes")</f>
        <v>Yes</v>
      </c>
      <c r="W103" s="121">
        <f ca="1">IFERROR(__xludf.DUMMYFUNCTION("""COMPUTED_VALUE"""),3)</f>
        <v>3</v>
      </c>
      <c r="X103" s="121" t="str">
        <f ca="1">IFERROR(__xludf.DUMMYFUNCTION("""COMPUTED_VALUE"""),"Hashmatullah Banaee")</f>
        <v>Hashmatullah Banaee</v>
      </c>
      <c r="Y103" s="124">
        <f ca="1">IFERROR(__xludf.DUMMYFUNCTION("""COMPUTED_VALUE"""),45965)</f>
        <v>45965</v>
      </c>
      <c r="Z103" s="121" t="str">
        <f ca="1">IFERROR(__xludf.DUMMYFUNCTION("""COMPUTED_VALUE"""),"Approved")</f>
        <v>Approved</v>
      </c>
      <c r="AA103" s="121"/>
      <c r="AB103" s="121"/>
    </row>
    <row r="104" spans="1:28">
      <c r="A104" s="121" t="str">
        <f ca="1">IFERROR(__xludf.DUMMYFUNCTION("""COMPUTED_VALUE"""),"uuid:a471ca4c-0305-443c-aa8a-42a267daddd2")</f>
        <v>uuid:a471ca4c-0305-443c-aa8a-42a267daddd2</v>
      </c>
      <c r="B104" s="121" t="str">
        <f ca="1">IFERROR(__xludf.DUMMYFUNCTION("""COMPUTED_VALUE"""),"FR0220")</f>
        <v>FR0220</v>
      </c>
      <c r="C104" s="121" t="str">
        <f ca="1">IFERROR(__xludf.DUMMYFUNCTION("""COMPUTED_VALUE"""),"Raihana Sediqi")</f>
        <v>Raihana Sediqi</v>
      </c>
      <c r="D104" s="121" t="str">
        <f ca="1">IFERROR(__xludf.DUMMYFUNCTION("""COMPUTED_VALUE"""),"HER-NGR-HF3781-Q2-2025-1059-01")</f>
        <v>HER-NGR-HF3781-Q2-2025-1059-01</v>
      </c>
      <c r="E104" s="121" t="str">
        <f ca="1">IFERROR(__xludf.DUMMYFUNCTION("""COMPUTED_VALUE"""),"Nangarhar")</f>
        <v>Nangarhar</v>
      </c>
      <c r="F104" s="121" t="str">
        <f ca="1">IFERROR(__xludf.DUMMYFUNCTION("""COMPUTED_VALUE"""),"Kama")</f>
        <v>Kama</v>
      </c>
      <c r="G104" s="121" t="str">
        <f ca="1">IFERROR(__xludf.DUMMYFUNCTION("""COMPUTED_VALUE"""),"Gerdab SC (3781)")</f>
        <v>Gerdab SC (3781)</v>
      </c>
      <c r="H104" s="121" t="str">
        <f ca="1">IFERROR(__xludf.DUMMYFUNCTION("""COMPUTED_VALUE"""),"SHC")</f>
        <v>SHC</v>
      </c>
      <c r="I104" s="122">
        <f ca="1">IFERROR(__xludf.DUMMYFUNCTION("""COMPUTED_VALUE"""),176)</f>
        <v>176</v>
      </c>
      <c r="J104" s="123">
        <f ca="1">IFERROR(__xludf.DUMMYFUNCTION("""COMPUTED_VALUE"""),45963)</f>
        <v>45963</v>
      </c>
      <c r="K104" s="123">
        <f ca="1">IFERROR(__xludf.DUMMYFUNCTION("""COMPUTED_VALUE"""),45963)</f>
        <v>45963</v>
      </c>
      <c r="L104" s="121" t="str">
        <f ca="1">IFERROR(__xludf.DUMMYFUNCTION("""COMPUTED_VALUE"""),"Equipments (section 4)")</f>
        <v>Equipments (section 4)</v>
      </c>
      <c r="M104" s="121" t="str">
        <f ca="1">IFERROR(__xludf.DUMMYFUNCTION("""COMPUTED_VALUE"""),"Data Verification")</f>
        <v>Data Verification</v>
      </c>
      <c r="N104" s="121" t="str">
        <f ca="1">IFERROR(__xludf.DUMMYFUNCTION("""COMPUTED_VALUE"""),"Dari")</f>
        <v>Dari</v>
      </c>
      <c r="O104" s="121" t="str">
        <f ca="1">IFERROR(__xludf.DUMMYFUNCTION("""COMPUTED_VALUE"""),"No")</f>
        <v>No</v>
      </c>
      <c r="P104" s="121" t="str">
        <f ca="1">IFERROR(__xludf.DUMMYFUNCTION("""COMPUTED_VALUE""")," Voice of both sides is clear")</f>
        <v xml:space="preserve"> Voice of both sides is clear</v>
      </c>
      <c r="Q104" s="121" t="str">
        <f ca="1">IFERROR(__xludf.DUMMYFUNCTION("""COMPUTED_VALUE"""),"Yes/all")</f>
        <v>Yes/all</v>
      </c>
      <c r="R104" s="121" t="str">
        <f ca="1">IFERROR(__xludf.DUMMYFUNCTION("""COMPUTED_VALUE"""),"Yes")</f>
        <v>Yes</v>
      </c>
      <c r="S104" s="121" t="str">
        <f ca="1">IFERROR(__xludf.DUMMYFUNCTION("""COMPUTED_VALUE"""),"Yes")</f>
        <v>Yes</v>
      </c>
      <c r="T104" s="121" t="str">
        <f ca="1">IFERROR(__xludf.DUMMYFUNCTION("""COMPUTED_VALUE"""),"Checked")</f>
        <v>Checked</v>
      </c>
      <c r="U104" s="121" t="str">
        <f ca="1">IFERROR(__xludf.DUMMYFUNCTION("""COMPUTED_VALUE"""),"No")</f>
        <v>No</v>
      </c>
      <c r="V104" s="121" t="str">
        <f ca="1">IFERROR(__xludf.DUMMYFUNCTION("""COMPUTED_VALUE"""),"Yes")</f>
        <v>Yes</v>
      </c>
      <c r="W104" s="121">
        <f ca="1">IFERROR(__xludf.DUMMYFUNCTION("""COMPUTED_VALUE"""),4)</f>
        <v>4</v>
      </c>
      <c r="X104" s="121" t="str">
        <f ca="1">IFERROR(__xludf.DUMMYFUNCTION("""COMPUTED_VALUE"""),"Hashmatullah Banaee")</f>
        <v>Hashmatullah Banaee</v>
      </c>
      <c r="Y104" s="124">
        <f ca="1">IFERROR(__xludf.DUMMYFUNCTION("""COMPUTED_VALUE"""),45965)</f>
        <v>45965</v>
      </c>
      <c r="Z104" s="121" t="str">
        <f ca="1">IFERROR(__xludf.DUMMYFUNCTION("""COMPUTED_VALUE"""),"Approved")</f>
        <v>Approved</v>
      </c>
      <c r="AA104" s="121"/>
      <c r="AB104" s="121"/>
    </row>
    <row r="105" spans="1:28">
      <c r="A105" s="121" t="str">
        <f ca="1">IFERROR(__xludf.DUMMYFUNCTION("""COMPUTED_VALUE"""),"uuid:4cdbe98d-9a10-4144-804e-036aa8eb355e")</f>
        <v>uuid:4cdbe98d-9a10-4144-804e-036aa8eb355e</v>
      </c>
      <c r="B105" s="121" t="str">
        <f ca="1">IFERROR(__xludf.DUMMYFUNCTION("""COMPUTED_VALUE"""),"FR2044")</f>
        <v>FR2044</v>
      </c>
      <c r="C105" s="121" t="str">
        <f ca="1">IFERROR(__xludf.DUMMYFUNCTION("""COMPUTED_VALUE"""),"Rohullah Roz Bah")</f>
        <v>Rohullah Roz Bah</v>
      </c>
      <c r="D105" s="121" t="str">
        <f ca="1">IFERROR(__xludf.DUMMYFUNCTION("""COMPUTED_VALUE"""),"HER-PAR-HF2328-Q2-2025-1221-01")</f>
        <v>HER-PAR-HF2328-Q2-2025-1221-01</v>
      </c>
      <c r="E105" s="121" t="str">
        <f ca="1">IFERROR(__xludf.DUMMYFUNCTION("""COMPUTED_VALUE"""),"Parwan")</f>
        <v>Parwan</v>
      </c>
      <c r="F105" s="121" t="str">
        <f ca="1">IFERROR(__xludf.DUMMYFUNCTION("""COMPUTED_VALUE"""),"Chaharekar")</f>
        <v>Chaharekar</v>
      </c>
      <c r="G105" s="121" t="str">
        <f ca="1">IFERROR(__xludf.DUMMYFUNCTION("""COMPUTED_VALUE"""),"Ghorband Dara SHC (2328)")</f>
        <v>Ghorband Dara SHC (2328)</v>
      </c>
      <c r="H105" s="121" t="str">
        <f ca="1">IFERROR(__xludf.DUMMYFUNCTION("""COMPUTED_VALUE"""),"SHC")</f>
        <v>SHC</v>
      </c>
      <c r="I105" s="122">
        <f ca="1">IFERROR(__xludf.DUMMYFUNCTION("""COMPUTED_VALUE"""),83)</f>
        <v>83</v>
      </c>
      <c r="J105" s="123">
        <f ca="1">IFERROR(__xludf.DUMMYFUNCTION("""COMPUTED_VALUE"""),45963)</f>
        <v>45963</v>
      </c>
      <c r="K105" s="123">
        <f ca="1">IFERROR(__xludf.DUMMYFUNCTION("""COMPUTED_VALUE"""),45963)</f>
        <v>45963</v>
      </c>
      <c r="L105" s="121" t="str">
        <f ca="1">IFERROR(__xludf.DUMMYFUNCTION("""COMPUTED_VALUE"""),"Personnel (section 1)")</f>
        <v>Personnel (section 1)</v>
      </c>
      <c r="M105" s="121" t="str">
        <f ca="1">IFERROR(__xludf.DUMMYFUNCTION("""COMPUTED_VALUE"""),"Data Verification")</f>
        <v>Data Verification</v>
      </c>
      <c r="N105" s="121" t="str">
        <f ca="1">IFERROR(__xludf.DUMMYFUNCTION("""COMPUTED_VALUE"""),"Dari")</f>
        <v>Dari</v>
      </c>
      <c r="O105" s="121"/>
      <c r="P105" s="121"/>
      <c r="Q105" s="121"/>
      <c r="R105" s="121"/>
      <c r="S105" s="121"/>
      <c r="T105" s="121"/>
      <c r="U105" s="121"/>
      <c r="V105" s="121"/>
      <c r="W105" s="121"/>
      <c r="X105" s="121"/>
      <c r="Y105" s="121"/>
      <c r="Z105" s="121"/>
      <c r="AA105" s="121"/>
      <c r="AB105" s="121"/>
    </row>
    <row r="106" spans="1:28">
      <c r="A106" s="121" t="str">
        <f ca="1">IFERROR(__xludf.DUMMYFUNCTION("""COMPUTED_VALUE"""),"uuid:d1ab0428-dee3-49d6-bf30-4f0668cb830f")</f>
        <v>uuid:d1ab0428-dee3-49d6-bf30-4f0668cb830f</v>
      </c>
      <c r="B106" s="121" t="str">
        <f ca="1">IFERROR(__xludf.DUMMYFUNCTION("""COMPUTED_VALUE"""),"FR2044")</f>
        <v>FR2044</v>
      </c>
      <c r="C106" s="121" t="str">
        <f ca="1">IFERROR(__xludf.DUMMYFUNCTION("""COMPUTED_VALUE"""),"Rohullah Roz Bah")</f>
        <v>Rohullah Roz Bah</v>
      </c>
      <c r="D106" s="121" t="str">
        <f ca="1">IFERROR(__xludf.DUMMYFUNCTION("""COMPUTED_VALUE"""),"HER-PAR-HF2328-Q2-2025-1221-01")</f>
        <v>HER-PAR-HF2328-Q2-2025-1221-01</v>
      </c>
      <c r="E106" s="121" t="str">
        <f ca="1">IFERROR(__xludf.DUMMYFUNCTION("""COMPUTED_VALUE"""),"Parwan")</f>
        <v>Parwan</v>
      </c>
      <c r="F106" s="121" t="str">
        <f ca="1">IFERROR(__xludf.DUMMYFUNCTION("""COMPUTED_VALUE"""),"Chaharekar")</f>
        <v>Chaharekar</v>
      </c>
      <c r="G106" s="121" t="str">
        <f ca="1">IFERROR(__xludf.DUMMYFUNCTION("""COMPUTED_VALUE"""),"Ghorband Dara SHC (2328)")</f>
        <v>Ghorband Dara SHC (2328)</v>
      </c>
      <c r="H106" s="121" t="str">
        <f ca="1">IFERROR(__xludf.DUMMYFUNCTION("""COMPUTED_VALUE"""),"SHC")</f>
        <v>SHC</v>
      </c>
      <c r="I106" s="122">
        <f ca="1">IFERROR(__xludf.DUMMYFUNCTION("""COMPUTED_VALUE"""),127)</f>
        <v>127</v>
      </c>
      <c r="J106" s="123">
        <f ca="1">IFERROR(__xludf.DUMMYFUNCTION("""COMPUTED_VALUE"""),45963)</f>
        <v>45963</v>
      </c>
      <c r="K106" s="123">
        <f ca="1">IFERROR(__xludf.DUMMYFUNCTION("""COMPUTED_VALUE"""),45963)</f>
        <v>45963</v>
      </c>
      <c r="L106" s="121" t="str">
        <f ca="1">IFERROR(__xludf.DUMMYFUNCTION("""COMPUTED_VALUE"""),"Medicine (section 2)")</f>
        <v>Medicine (section 2)</v>
      </c>
      <c r="M106" s="121" t="str">
        <f ca="1">IFERROR(__xludf.DUMMYFUNCTION("""COMPUTED_VALUE"""),"Data Verification")</f>
        <v>Data Verification</v>
      </c>
      <c r="N106" s="121" t="str">
        <f ca="1">IFERROR(__xludf.DUMMYFUNCTION("""COMPUTED_VALUE"""),"Dari")</f>
        <v>Dari</v>
      </c>
      <c r="O106" s="121"/>
      <c r="P106" s="121"/>
      <c r="Q106" s="121"/>
      <c r="R106" s="121"/>
      <c r="S106" s="121"/>
      <c r="T106" s="121"/>
      <c r="U106" s="121"/>
      <c r="V106" s="121"/>
      <c r="W106" s="121"/>
      <c r="X106" s="121"/>
      <c r="Y106" s="121"/>
      <c r="Z106" s="121"/>
      <c r="AA106" s="121"/>
      <c r="AB106" s="121"/>
    </row>
    <row r="107" spans="1:28">
      <c r="A107" s="121" t="str">
        <f ca="1">IFERROR(__xludf.DUMMYFUNCTION("""COMPUTED_VALUE"""),"uuid:0f296017-4451-4979-b703-3221e3bd3c2f")</f>
        <v>uuid:0f296017-4451-4979-b703-3221e3bd3c2f</v>
      </c>
      <c r="B107" s="121" t="str">
        <f ca="1">IFERROR(__xludf.DUMMYFUNCTION("""COMPUTED_VALUE"""),"FR2044")</f>
        <v>FR2044</v>
      </c>
      <c r="C107" s="121" t="str">
        <f ca="1">IFERROR(__xludf.DUMMYFUNCTION("""COMPUTED_VALUE"""),"Rohullah Roz Bah")</f>
        <v>Rohullah Roz Bah</v>
      </c>
      <c r="D107" s="121" t="str">
        <f ca="1">IFERROR(__xludf.DUMMYFUNCTION("""COMPUTED_VALUE"""),"HER-PAR-HF2328-Q2-2025-1221-01")</f>
        <v>HER-PAR-HF2328-Q2-2025-1221-01</v>
      </c>
      <c r="E107" s="121" t="str">
        <f ca="1">IFERROR(__xludf.DUMMYFUNCTION("""COMPUTED_VALUE"""),"Parwan")</f>
        <v>Parwan</v>
      </c>
      <c r="F107" s="121" t="str">
        <f ca="1">IFERROR(__xludf.DUMMYFUNCTION("""COMPUTED_VALUE"""),"Chaharekar")</f>
        <v>Chaharekar</v>
      </c>
      <c r="G107" s="121" t="str">
        <f ca="1">IFERROR(__xludf.DUMMYFUNCTION("""COMPUTED_VALUE"""),"Ghorband Dara SHC (2328)")</f>
        <v>Ghorband Dara SHC (2328)</v>
      </c>
      <c r="H107" s="121" t="str">
        <f ca="1">IFERROR(__xludf.DUMMYFUNCTION("""COMPUTED_VALUE"""),"SHC")</f>
        <v>SHC</v>
      </c>
      <c r="I107" s="122">
        <f ca="1">IFERROR(__xludf.DUMMYFUNCTION("""COMPUTED_VALUE"""),11)</f>
        <v>11</v>
      </c>
      <c r="J107" s="123">
        <f ca="1">IFERROR(__xludf.DUMMYFUNCTION("""COMPUTED_VALUE"""),45963)</f>
        <v>45963</v>
      </c>
      <c r="K107" s="123">
        <f ca="1">IFERROR(__xludf.DUMMYFUNCTION("""COMPUTED_VALUE"""),45963)</f>
        <v>45963</v>
      </c>
      <c r="L107" s="121" t="str">
        <f ca="1">IFERROR(__xludf.DUMMYFUNCTION("""COMPUTED_VALUE"""),"Other than P4P (section 6)")</f>
        <v>Other than P4P (section 6)</v>
      </c>
      <c r="M107" s="121" t="str">
        <f ca="1">IFERROR(__xludf.DUMMYFUNCTION("""COMPUTED_VALUE"""),"Data Verification")</f>
        <v>Data Verification</v>
      </c>
      <c r="N107" s="121" t="str">
        <f ca="1">IFERROR(__xludf.DUMMYFUNCTION("""COMPUTED_VALUE"""),"Dari")</f>
        <v>Dari</v>
      </c>
      <c r="O107" s="121"/>
      <c r="P107" s="121"/>
      <c r="Q107" s="121"/>
      <c r="R107" s="121"/>
      <c r="S107" s="121"/>
      <c r="T107" s="121"/>
      <c r="U107" s="121"/>
      <c r="V107" s="121"/>
      <c r="W107" s="121"/>
      <c r="X107" s="121"/>
      <c r="Y107" s="121"/>
      <c r="Z107" s="121"/>
      <c r="AA107" s="121"/>
      <c r="AB107" s="121"/>
    </row>
    <row r="108" spans="1:28">
      <c r="A108" s="121" t="str">
        <f ca="1">IFERROR(__xludf.DUMMYFUNCTION("""COMPUTED_VALUE"""),"uuid:c45867b0-4ea5-428c-8d74-b58d2d7c4e86")</f>
        <v>uuid:c45867b0-4ea5-428c-8d74-b58d2d7c4e86</v>
      </c>
      <c r="B108" s="121" t="str">
        <f ca="1">IFERROR(__xludf.DUMMYFUNCTION("""COMPUTED_VALUE"""),"FR2222")</f>
        <v>FR2222</v>
      </c>
      <c r="C108" s="121" t="str">
        <f ca="1">IFERROR(__xludf.DUMMYFUNCTION("""COMPUTED_VALUE"""),"Test Name 1")</f>
        <v>Test Name 1</v>
      </c>
      <c r="D108" s="121" t="str">
        <f ca="1">IFERROR(__xludf.DUMMYFUNCTION("""COMPUTED_VALUE"""),"HER-PAN-HF4656-Q2-2025-1202-01")</f>
        <v>HER-PAN-HF4656-Q2-2025-1202-01</v>
      </c>
      <c r="E108" s="121" t="str">
        <f ca="1">IFERROR(__xludf.DUMMYFUNCTION("""COMPUTED_VALUE"""),"Panjsher")</f>
        <v>Panjsher</v>
      </c>
      <c r="F108" s="121" t="str">
        <f ca="1">IFERROR(__xludf.DUMMYFUNCTION("""COMPUTED_VALUE"""),"His-e-Awal (Khenj)")</f>
        <v>His-e-Awal (Khenj)</v>
      </c>
      <c r="G108" s="121" t="str">
        <f ca="1">IFERROR(__xludf.DUMMYFUNCTION("""COMPUTED_VALUE"""),"Jarwesh SHC (4656)")</f>
        <v>Jarwesh SHC (4656)</v>
      </c>
      <c r="H108" s="121" t="str">
        <f ca="1">IFERROR(__xludf.DUMMYFUNCTION("""COMPUTED_VALUE"""),"SHC")</f>
        <v>SHC</v>
      </c>
      <c r="I108" s="122">
        <f ca="1">IFERROR(__xludf.DUMMYFUNCTION("""COMPUTED_VALUE"""),24)</f>
        <v>24</v>
      </c>
      <c r="J108" s="123">
        <f ca="1">IFERROR(__xludf.DUMMYFUNCTION("""COMPUTED_VALUE"""),45963)</f>
        <v>45963</v>
      </c>
      <c r="K108" s="123">
        <f ca="1">IFERROR(__xludf.DUMMYFUNCTION("""COMPUTED_VALUE"""),45963)</f>
        <v>45963</v>
      </c>
      <c r="L108" s="121" t="str">
        <f ca="1">IFERROR(__xludf.DUMMYFUNCTION("""COMPUTED_VALUE"""),"Personnel (section 1)")</f>
        <v>Personnel (section 1)</v>
      </c>
      <c r="M108" s="121" t="str">
        <f ca="1">IFERROR(__xludf.DUMMYFUNCTION("""COMPUTED_VALUE"""),"Data Verification")</f>
        <v>Data Verification</v>
      </c>
      <c r="N108" s="121" t="str">
        <f ca="1">IFERROR(__xludf.DUMMYFUNCTION("""COMPUTED_VALUE"""),"Dari")</f>
        <v>Dari</v>
      </c>
      <c r="O108" s="121"/>
      <c r="P108" s="121"/>
      <c r="Q108" s="121"/>
      <c r="R108" s="121"/>
      <c r="S108" s="121"/>
      <c r="T108" s="121"/>
      <c r="U108" s="121"/>
      <c r="V108" s="121"/>
      <c r="W108" s="121"/>
      <c r="X108" s="121"/>
      <c r="Y108" s="121"/>
      <c r="Z108" s="121"/>
      <c r="AA108" s="121"/>
      <c r="AB108" s="121" t="str">
        <f ca="1">IFERROR(__xludf.DUMMYFUNCTION("""COMPUTED_VALUE"""),"The user name should double check")</f>
        <v>The user name should double check</v>
      </c>
    </row>
    <row r="109" spans="1:28">
      <c r="A109" s="121" t="str">
        <f ca="1">IFERROR(__xludf.DUMMYFUNCTION("""COMPUTED_VALUE"""),"uuid:90c9d38e-127f-444d-82a1-a4050f57ccdf")</f>
        <v>uuid:90c9d38e-127f-444d-82a1-a4050f57ccdf</v>
      </c>
      <c r="B109" s="121" t="str">
        <f ca="1">IFERROR(__xludf.DUMMYFUNCTION("""COMPUTED_VALUE"""),"FR2222")</f>
        <v>FR2222</v>
      </c>
      <c r="C109" s="121" t="str">
        <f ca="1">IFERROR(__xludf.DUMMYFUNCTION("""COMPUTED_VALUE"""),"Test Name 1")</f>
        <v>Test Name 1</v>
      </c>
      <c r="D109" s="121" t="str">
        <f ca="1">IFERROR(__xludf.DUMMYFUNCTION("""COMPUTED_VALUE"""),"HER-PAN-HF4656-Q2-2025-1202-01")</f>
        <v>HER-PAN-HF4656-Q2-2025-1202-01</v>
      </c>
      <c r="E109" s="121" t="str">
        <f ca="1">IFERROR(__xludf.DUMMYFUNCTION("""COMPUTED_VALUE"""),"Panjsher")</f>
        <v>Panjsher</v>
      </c>
      <c r="F109" s="121" t="str">
        <f ca="1">IFERROR(__xludf.DUMMYFUNCTION("""COMPUTED_VALUE"""),"His-e-Awal (Khenj)")</f>
        <v>His-e-Awal (Khenj)</v>
      </c>
      <c r="G109" s="121" t="str">
        <f ca="1">IFERROR(__xludf.DUMMYFUNCTION("""COMPUTED_VALUE"""),"Jarwesh SHC (4656)")</f>
        <v>Jarwesh SHC (4656)</v>
      </c>
      <c r="H109" s="121" t="str">
        <f ca="1">IFERROR(__xludf.DUMMYFUNCTION("""COMPUTED_VALUE"""),"SHC")</f>
        <v>SHC</v>
      </c>
      <c r="I109" s="122">
        <f ca="1">IFERROR(__xludf.DUMMYFUNCTION("""COMPUTED_VALUE"""),81)</f>
        <v>81</v>
      </c>
      <c r="J109" s="123">
        <f ca="1">IFERROR(__xludf.DUMMYFUNCTION("""COMPUTED_VALUE"""),45963)</f>
        <v>45963</v>
      </c>
      <c r="K109" s="123">
        <f ca="1">IFERROR(__xludf.DUMMYFUNCTION("""COMPUTED_VALUE"""),45963)</f>
        <v>45963</v>
      </c>
      <c r="L109" s="121" t="str">
        <f ca="1">IFERROR(__xludf.DUMMYFUNCTION("""COMPUTED_VALUE"""),"Consumable (section 3)")</f>
        <v>Consumable (section 3)</v>
      </c>
      <c r="M109" s="121" t="str">
        <f ca="1">IFERROR(__xludf.DUMMYFUNCTION("""COMPUTED_VALUE"""),"Data Verification")</f>
        <v>Data Verification</v>
      </c>
      <c r="N109" s="121" t="str">
        <f ca="1">IFERROR(__xludf.DUMMYFUNCTION("""COMPUTED_VALUE"""),"Dari")</f>
        <v>Dari</v>
      </c>
      <c r="O109" s="121"/>
      <c r="P109" s="121"/>
      <c r="Q109" s="121"/>
      <c r="R109" s="121"/>
      <c r="S109" s="121"/>
      <c r="T109" s="121"/>
      <c r="U109" s="121"/>
      <c r="V109" s="121"/>
      <c r="W109" s="121"/>
      <c r="X109" s="121"/>
      <c r="Y109" s="121"/>
      <c r="Z109" s="121"/>
      <c r="AA109" s="121"/>
      <c r="AB109" s="121" t="str">
        <f ca="1">IFERROR(__xludf.DUMMYFUNCTION("""COMPUTED_VALUE"""),"The user name should double check")</f>
        <v>The user name should double check</v>
      </c>
    </row>
    <row r="110" spans="1:28">
      <c r="A110" s="121" t="str">
        <f ca="1">IFERROR(__xludf.DUMMYFUNCTION("""COMPUTED_VALUE"""),"uuid:498c2786-60a5-40b4-aa53-cf68f3b292be")</f>
        <v>uuid:498c2786-60a5-40b4-aa53-cf68f3b292be</v>
      </c>
      <c r="B110" s="121" t="str">
        <f ca="1">IFERROR(__xludf.DUMMYFUNCTION("""COMPUTED_VALUE"""),"FR2222")</f>
        <v>FR2222</v>
      </c>
      <c r="C110" s="121" t="str">
        <f ca="1">IFERROR(__xludf.DUMMYFUNCTION("""COMPUTED_VALUE"""),"Test Name 1")</f>
        <v>Test Name 1</v>
      </c>
      <c r="D110" s="121" t="str">
        <f ca="1">IFERROR(__xludf.DUMMYFUNCTION("""COMPUTED_VALUE"""),"HER-PAN-HF4656-Q2-2025-1202-01")</f>
        <v>HER-PAN-HF4656-Q2-2025-1202-01</v>
      </c>
      <c r="E110" s="121" t="str">
        <f ca="1">IFERROR(__xludf.DUMMYFUNCTION("""COMPUTED_VALUE"""),"Panjsher")</f>
        <v>Panjsher</v>
      </c>
      <c r="F110" s="121" t="str">
        <f ca="1">IFERROR(__xludf.DUMMYFUNCTION("""COMPUTED_VALUE"""),"His-e-Awal (Khenj)")</f>
        <v>His-e-Awal (Khenj)</v>
      </c>
      <c r="G110" s="121" t="str">
        <f ca="1">IFERROR(__xludf.DUMMYFUNCTION("""COMPUTED_VALUE"""),"Jarwesh SHC (4656)")</f>
        <v>Jarwesh SHC (4656)</v>
      </c>
      <c r="H110" s="121" t="str">
        <f ca="1">IFERROR(__xludf.DUMMYFUNCTION("""COMPUTED_VALUE"""),"SHC")</f>
        <v>SHC</v>
      </c>
      <c r="I110" s="122">
        <f ca="1">IFERROR(__xludf.DUMMYFUNCTION("""COMPUTED_VALUE"""),151)</f>
        <v>151</v>
      </c>
      <c r="J110" s="123">
        <f ca="1">IFERROR(__xludf.DUMMYFUNCTION("""COMPUTED_VALUE"""),45963)</f>
        <v>45963</v>
      </c>
      <c r="K110" s="123">
        <f ca="1">IFERROR(__xludf.DUMMYFUNCTION("""COMPUTED_VALUE"""),45963)</f>
        <v>45963</v>
      </c>
      <c r="L110" s="121" t="str">
        <f ca="1">IFERROR(__xludf.DUMMYFUNCTION("""COMPUTED_VALUE"""),"Equipments (section 4)")</f>
        <v>Equipments (section 4)</v>
      </c>
      <c r="M110" s="121" t="str">
        <f ca="1">IFERROR(__xludf.DUMMYFUNCTION("""COMPUTED_VALUE"""),"Data Verification")</f>
        <v>Data Verification</v>
      </c>
      <c r="N110" s="121" t="str">
        <f ca="1">IFERROR(__xludf.DUMMYFUNCTION("""COMPUTED_VALUE"""),"Dari")</f>
        <v>Dari</v>
      </c>
      <c r="O110" s="121"/>
      <c r="P110" s="121"/>
      <c r="Q110" s="121"/>
      <c r="R110" s="121"/>
      <c r="S110" s="121"/>
      <c r="T110" s="121"/>
      <c r="U110" s="121"/>
      <c r="V110" s="121"/>
      <c r="W110" s="121"/>
      <c r="X110" s="121"/>
      <c r="Y110" s="121"/>
      <c r="Z110" s="121"/>
      <c r="AA110" s="121"/>
      <c r="AB110" s="121" t="str">
        <f ca="1">IFERROR(__xludf.DUMMYFUNCTION("""COMPUTED_VALUE"""),"The user name should double check")</f>
        <v>The user name should double check</v>
      </c>
    </row>
    <row r="111" spans="1:28">
      <c r="A111" s="121" t="str">
        <f ca="1">IFERROR(__xludf.DUMMYFUNCTION("""COMPUTED_VALUE"""),"uuid:fe09e732-6ae0-4e19-938f-c8491def1200")</f>
        <v>uuid:fe09e732-6ae0-4e19-938f-c8491def1200</v>
      </c>
      <c r="B111" s="121" t="str">
        <f ca="1">IFERROR(__xludf.DUMMYFUNCTION("""COMPUTED_VALUE"""),"FR3847")</f>
        <v>FR3847</v>
      </c>
      <c r="C111" s="121" t="str">
        <f ca="1">IFERROR(__xludf.DUMMYFUNCTION("""COMPUTED_VALUE"""),"Muslim Ebraheemi")</f>
        <v>Muslim Ebraheemi</v>
      </c>
      <c r="D111" s="121" t="str">
        <f ca="1">IFERROR(__xludf.DUMMYFUNCTION("""COMPUTED_VALUE"""),"HER-BAM-HF4349-Q2-2025-1074-01")</f>
        <v>HER-BAM-HF4349-Q2-2025-1074-01</v>
      </c>
      <c r="E111" s="121" t="str">
        <f ca="1">IFERROR(__xludf.DUMMYFUNCTION("""COMPUTED_VALUE"""),"Bamyan")</f>
        <v>Bamyan</v>
      </c>
      <c r="F111" s="121" t="str">
        <f ca="1">IFERROR(__xludf.DUMMYFUNCTION("""COMPUTED_VALUE"""),"Bamyan")</f>
        <v>Bamyan</v>
      </c>
      <c r="G111" s="121" t="str">
        <f ca="1">IFERROR(__xludf.DUMMYFUNCTION("""COMPUTED_VALUE"""),"Orgash SC (4349)")</f>
        <v>Orgash SC (4349)</v>
      </c>
      <c r="H111" s="121" t="str">
        <f ca="1">IFERROR(__xludf.DUMMYFUNCTION("""COMPUTED_VALUE"""),"SHC")</f>
        <v>SHC</v>
      </c>
      <c r="I111" s="122">
        <f ca="1">IFERROR(__xludf.DUMMYFUNCTION("""COMPUTED_VALUE"""),11)</f>
        <v>11</v>
      </c>
      <c r="J111" s="123">
        <f ca="1">IFERROR(__xludf.DUMMYFUNCTION("""COMPUTED_VALUE"""),45963)</f>
        <v>45963</v>
      </c>
      <c r="K111" s="123">
        <f ca="1">IFERROR(__xludf.DUMMYFUNCTION("""COMPUTED_VALUE"""),45963)</f>
        <v>45963</v>
      </c>
      <c r="L111" s="121" t="str">
        <f ca="1">IFERROR(__xludf.DUMMYFUNCTION("""COMPUTED_VALUE"""),"Other than P4P (section 6)")</f>
        <v>Other than P4P (section 6)</v>
      </c>
      <c r="M111" s="121" t="str">
        <f ca="1">IFERROR(__xludf.DUMMYFUNCTION("""COMPUTED_VALUE"""),"Data Verification")</f>
        <v>Data Verification</v>
      </c>
      <c r="N111" s="121" t="str">
        <f ca="1">IFERROR(__xludf.DUMMYFUNCTION("""COMPUTED_VALUE"""),"Dari")</f>
        <v>Dari</v>
      </c>
      <c r="O111" s="121"/>
      <c r="P111" s="121"/>
      <c r="Q111" s="121"/>
      <c r="R111" s="121"/>
      <c r="S111" s="121"/>
      <c r="T111" s="121"/>
      <c r="U111" s="121"/>
      <c r="V111" s="121"/>
      <c r="W111" s="121"/>
      <c r="X111" s="121"/>
      <c r="Y111" s="121"/>
      <c r="Z111" s="121"/>
      <c r="AA111" s="121"/>
      <c r="AB111" s="121"/>
    </row>
    <row r="112" spans="1:28">
      <c r="A112" s="121" t="str">
        <f ca="1">IFERROR(__xludf.DUMMYFUNCTION("""COMPUTED_VALUE"""),"uuid:b5bd9e0c-edc9-4656-9d13-6b39f0d6129c")</f>
        <v>uuid:b5bd9e0c-edc9-4656-9d13-6b39f0d6129c</v>
      </c>
      <c r="B112" s="121" t="str">
        <f ca="1">IFERROR(__xludf.DUMMYFUNCTION("""COMPUTED_VALUE"""),"FR2222")</f>
        <v>FR2222</v>
      </c>
      <c r="C112" s="121" t="str">
        <f ca="1">IFERROR(__xludf.DUMMYFUNCTION("""COMPUTED_VALUE"""),"Test Name 1")</f>
        <v>Test Name 1</v>
      </c>
      <c r="D112" s="121" t="str">
        <f ca="1">IFERROR(__xludf.DUMMYFUNCTION("""COMPUTED_VALUE"""),"HER-PAN-HF4656-Q2-2025-1202-01")</f>
        <v>HER-PAN-HF4656-Q2-2025-1202-01</v>
      </c>
      <c r="E112" s="121" t="str">
        <f ca="1">IFERROR(__xludf.DUMMYFUNCTION("""COMPUTED_VALUE"""),"Panjsher")</f>
        <v>Panjsher</v>
      </c>
      <c r="F112" s="121" t="str">
        <f ca="1">IFERROR(__xludf.DUMMYFUNCTION("""COMPUTED_VALUE"""),"His-e-Awal (Khenj)")</f>
        <v>His-e-Awal (Khenj)</v>
      </c>
      <c r="G112" s="121" t="str">
        <f ca="1">IFERROR(__xludf.DUMMYFUNCTION("""COMPUTED_VALUE"""),"Jarwesh SHC (4656)")</f>
        <v>Jarwesh SHC (4656)</v>
      </c>
      <c r="H112" s="121" t="str">
        <f ca="1">IFERROR(__xludf.DUMMYFUNCTION("""COMPUTED_VALUE"""),"SHC")</f>
        <v>SHC</v>
      </c>
      <c r="I112" s="122">
        <f ca="1">IFERROR(__xludf.DUMMYFUNCTION("""COMPUTED_VALUE"""),41)</f>
        <v>41</v>
      </c>
      <c r="J112" s="123">
        <f ca="1">IFERROR(__xludf.DUMMYFUNCTION("""COMPUTED_VALUE"""),45963)</f>
        <v>45963</v>
      </c>
      <c r="K112" s="123">
        <f ca="1">IFERROR(__xludf.DUMMYFUNCTION("""COMPUTED_VALUE"""),45963)</f>
        <v>45963</v>
      </c>
      <c r="L112" s="121" t="str">
        <f ca="1">IFERROR(__xludf.DUMMYFUNCTION("""COMPUTED_VALUE"""),"Other than P4P (section 6)")</f>
        <v>Other than P4P (section 6)</v>
      </c>
      <c r="M112" s="121" t="str">
        <f ca="1">IFERROR(__xludf.DUMMYFUNCTION("""COMPUTED_VALUE"""),"Data Verification")</f>
        <v>Data Verification</v>
      </c>
      <c r="N112" s="121" t="str">
        <f ca="1">IFERROR(__xludf.DUMMYFUNCTION("""COMPUTED_VALUE"""),"Dari")</f>
        <v>Dari</v>
      </c>
      <c r="O112" s="121"/>
      <c r="P112" s="121"/>
      <c r="Q112" s="121"/>
      <c r="R112" s="121"/>
      <c r="S112" s="121"/>
      <c r="T112" s="121"/>
      <c r="U112" s="121"/>
      <c r="V112" s="121"/>
      <c r="W112" s="121"/>
      <c r="X112" s="121"/>
      <c r="Y112" s="121"/>
      <c r="Z112" s="121"/>
      <c r="AA112" s="121"/>
      <c r="AB112" s="121" t="str">
        <f ca="1">IFERROR(__xludf.DUMMYFUNCTION("""COMPUTED_VALUE"""),"The user name should double check")</f>
        <v>The user name should double check</v>
      </c>
    </row>
    <row r="113" spans="1:28">
      <c r="A113" s="121" t="str">
        <f ca="1">IFERROR(__xludf.DUMMYFUNCTION("""COMPUTED_VALUE"""),"uuid:3089c498-2425-4fad-a085-b64c88b2c5ef")</f>
        <v>uuid:3089c498-2425-4fad-a085-b64c88b2c5ef</v>
      </c>
      <c r="B113" s="121" t="str">
        <f ca="1">IFERROR(__xludf.DUMMYFUNCTION("""COMPUTED_VALUE"""),"FR2222")</f>
        <v>FR2222</v>
      </c>
      <c r="C113" s="121" t="str">
        <f ca="1">IFERROR(__xludf.DUMMYFUNCTION("""COMPUTED_VALUE"""),"Test Name 1")</f>
        <v>Test Name 1</v>
      </c>
      <c r="D113" s="121" t="str">
        <f ca="1">IFERROR(__xludf.DUMMYFUNCTION("""COMPUTED_VALUE"""),"HER-PAN-HF4656-Q2-2025-1202-01")</f>
        <v>HER-PAN-HF4656-Q2-2025-1202-01</v>
      </c>
      <c r="E113" s="121" t="str">
        <f ca="1">IFERROR(__xludf.DUMMYFUNCTION("""COMPUTED_VALUE"""),"Panjsher")</f>
        <v>Panjsher</v>
      </c>
      <c r="F113" s="121" t="str">
        <f ca="1">IFERROR(__xludf.DUMMYFUNCTION("""COMPUTED_VALUE"""),"His-e-Awal (Khenj)")</f>
        <v>His-e-Awal (Khenj)</v>
      </c>
      <c r="G113" s="121" t="str">
        <f ca="1">IFERROR(__xludf.DUMMYFUNCTION("""COMPUTED_VALUE"""),"Jarwesh SHC (4656)")</f>
        <v>Jarwesh SHC (4656)</v>
      </c>
      <c r="H113" s="121" t="str">
        <f ca="1">IFERROR(__xludf.DUMMYFUNCTION("""COMPUTED_VALUE"""),"SHC")</f>
        <v>SHC</v>
      </c>
      <c r="I113" s="122">
        <f ca="1">IFERROR(__xludf.DUMMYFUNCTION("""COMPUTED_VALUE"""),244)</f>
        <v>244</v>
      </c>
      <c r="J113" s="123">
        <f ca="1">IFERROR(__xludf.DUMMYFUNCTION("""COMPUTED_VALUE"""),45963)</f>
        <v>45963</v>
      </c>
      <c r="K113" s="123">
        <f ca="1">IFERROR(__xludf.DUMMYFUNCTION("""COMPUTED_VALUE"""),45963)</f>
        <v>45963</v>
      </c>
      <c r="L113" s="121" t="str">
        <f ca="1">IFERROR(__xludf.DUMMYFUNCTION("""COMPUTED_VALUE"""),"Medicine (section 2)")</f>
        <v>Medicine (section 2)</v>
      </c>
      <c r="M113" s="121" t="str">
        <f ca="1">IFERROR(__xludf.DUMMYFUNCTION("""COMPUTED_VALUE"""),"Data Verification")</f>
        <v>Data Verification</v>
      </c>
      <c r="N113" s="121" t="str">
        <f ca="1">IFERROR(__xludf.DUMMYFUNCTION("""COMPUTED_VALUE"""),"Dari")</f>
        <v>Dari</v>
      </c>
      <c r="O113" s="121"/>
      <c r="P113" s="121"/>
      <c r="Q113" s="121"/>
      <c r="R113" s="121"/>
      <c r="S113" s="121"/>
      <c r="T113" s="121"/>
      <c r="U113" s="121"/>
      <c r="V113" s="121"/>
      <c r="W113" s="121"/>
      <c r="X113" s="121"/>
      <c r="Y113" s="121"/>
      <c r="Z113" s="121"/>
      <c r="AA113" s="121"/>
      <c r="AB113" s="121" t="str">
        <f ca="1">IFERROR(__xludf.DUMMYFUNCTION("""COMPUTED_VALUE"""),"The user name should double check")</f>
        <v>The user name should double check</v>
      </c>
    </row>
    <row r="114" spans="1:28">
      <c r="A114" s="121" t="str">
        <f ca="1">IFERROR(__xludf.DUMMYFUNCTION("""COMPUTED_VALUE"""),"uuid:3b100271-02ab-46bd-8cab-2ed45c4ee76f")</f>
        <v>uuid:3b100271-02ab-46bd-8cab-2ed45c4ee76f</v>
      </c>
      <c r="B114" s="121" t="str">
        <f ca="1">IFERROR(__xludf.DUMMYFUNCTION("""COMPUTED_VALUE"""),"FR2705")</f>
        <v>FR2705</v>
      </c>
      <c r="C114" s="121" t="str">
        <f ca="1">IFERROR(__xludf.DUMMYFUNCTION("""COMPUTED_VALUE"""),"Noorzia Khuram")</f>
        <v>Noorzia Khuram</v>
      </c>
      <c r="D114" s="121" t="str">
        <f ca="1">IFERROR(__xludf.DUMMYFUNCTION("""COMPUTED_VALUE"""),"HER-SAM-HF3792-Q2-2025-1227-01")</f>
        <v>HER-SAM-HF3792-Q2-2025-1227-01</v>
      </c>
      <c r="E114" s="121" t="str">
        <f ca="1">IFERROR(__xludf.DUMMYFUNCTION("""COMPUTED_VALUE"""),"Samangan")</f>
        <v>Samangan</v>
      </c>
      <c r="F114" s="121" t="str">
        <f ca="1">IFERROR(__xludf.DUMMYFUNCTION("""COMPUTED_VALUE"""),"Aybak")</f>
        <v>Aybak</v>
      </c>
      <c r="G114" s="121" t="str">
        <f ca="1">IFERROR(__xludf.DUMMYFUNCTION("""COMPUTED_VALUE"""),"Rabatak SC (3792)")</f>
        <v>Rabatak SC (3792)</v>
      </c>
      <c r="H114" s="121" t="str">
        <f ca="1">IFERROR(__xludf.DUMMYFUNCTION("""COMPUTED_VALUE"""),"SHC")</f>
        <v>SHC</v>
      </c>
      <c r="I114" s="122">
        <f ca="1">IFERROR(__xludf.DUMMYFUNCTION("""COMPUTED_VALUE"""),37)</f>
        <v>37</v>
      </c>
      <c r="J114" s="123">
        <f ca="1">IFERROR(__xludf.DUMMYFUNCTION("""COMPUTED_VALUE"""),45963)</f>
        <v>45963</v>
      </c>
      <c r="K114" s="123">
        <f ca="1">IFERROR(__xludf.DUMMYFUNCTION("""COMPUTED_VALUE"""),45963)</f>
        <v>45963</v>
      </c>
      <c r="L114" s="121" t="str">
        <f ca="1">IFERROR(__xludf.DUMMYFUNCTION("""COMPUTED_VALUE"""),"Personnel (section 1)")</f>
        <v>Personnel (section 1)</v>
      </c>
      <c r="M114" s="121" t="str">
        <f ca="1">IFERROR(__xludf.DUMMYFUNCTION("""COMPUTED_VALUE"""),"Data Verification")</f>
        <v>Data Verification</v>
      </c>
      <c r="N114" s="121" t="str">
        <f ca="1">IFERROR(__xludf.DUMMYFUNCTION("""COMPUTED_VALUE"""),"Dari")</f>
        <v>Dari</v>
      </c>
      <c r="O114" s="121"/>
      <c r="P114" s="121"/>
      <c r="Q114" s="121"/>
      <c r="R114" s="121"/>
      <c r="S114" s="121"/>
      <c r="T114" s="121"/>
      <c r="U114" s="121"/>
      <c r="V114" s="121"/>
      <c r="W114" s="121"/>
      <c r="X114" s="121"/>
      <c r="Y114" s="121"/>
      <c r="Z114" s="121"/>
      <c r="AA114" s="121"/>
      <c r="AB114" s="121"/>
    </row>
    <row r="115" spans="1:28">
      <c r="A115" s="121" t="str">
        <f ca="1">IFERROR(__xludf.DUMMYFUNCTION("""COMPUTED_VALUE"""),"uuid:d5168854-f550-4d95-bb3a-b719786e6b22")</f>
        <v>uuid:d5168854-f550-4d95-bb3a-b719786e6b22</v>
      </c>
      <c r="B115" s="121" t="str">
        <f ca="1">IFERROR(__xludf.DUMMYFUNCTION("""COMPUTED_VALUE"""),"FR2222")</f>
        <v>FR2222</v>
      </c>
      <c r="C115" s="121" t="str">
        <f ca="1">IFERROR(__xludf.DUMMYFUNCTION("""COMPUTED_VALUE"""),"Test Name 1")</f>
        <v>Test Name 1</v>
      </c>
      <c r="D115" s="121" t="str">
        <f ca="1">IFERROR(__xludf.DUMMYFUNCTION("""COMPUTED_VALUE"""),"HER-BDS-HF4266-Q2-2025-1004-01")</f>
        <v>HER-BDS-HF4266-Q2-2025-1004-01</v>
      </c>
      <c r="E115" s="121" t="str">
        <f ca="1">IFERROR(__xludf.DUMMYFUNCTION("""COMPUTED_VALUE"""),"Badakhshan")</f>
        <v>Badakhshan</v>
      </c>
      <c r="F115" s="121" t="str">
        <f ca="1">IFERROR(__xludf.DUMMYFUNCTION("""COMPUTED_VALUE"""),"Jurm")</f>
        <v>Jurm</v>
      </c>
      <c r="G115" s="121" t="str">
        <f ca="1">IFERROR(__xludf.DUMMYFUNCTION("""COMPUTED_VALUE"""),"Kaman Yaran SC (4266)")</f>
        <v>Kaman Yaran SC (4266)</v>
      </c>
      <c r="H115" s="121" t="str">
        <f ca="1">IFERROR(__xludf.DUMMYFUNCTION("""COMPUTED_VALUE"""),"SHC")</f>
        <v>SHC</v>
      </c>
      <c r="I115" s="122">
        <f ca="1">IFERROR(__xludf.DUMMYFUNCTION("""COMPUTED_VALUE"""),86)</f>
        <v>86</v>
      </c>
      <c r="J115" s="123">
        <f ca="1">IFERROR(__xludf.DUMMYFUNCTION("""COMPUTED_VALUE"""),45963)</f>
        <v>45963</v>
      </c>
      <c r="K115" s="123">
        <f ca="1">IFERROR(__xludf.DUMMYFUNCTION("""COMPUTED_VALUE"""),45962)</f>
        <v>45962</v>
      </c>
      <c r="L115" s="121" t="str">
        <f ca="1">IFERROR(__xludf.DUMMYFUNCTION("""COMPUTED_VALUE"""),"Medicine (section 2)")</f>
        <v>Medicine (section 2)</v>
      </c>
      <c r="M115" s="121" t="str">
        <f ca="1">IFERROR(__xludf.DUMMYFUNCTION("""COMPUTED_VALUE"""),"Data Verification")</f>
        <v>Data Verification</v>
      </c>
      <c r="N115" s="121" t="str">
        <f ca="1">IFERROR(__xludf.DUMMYFUNCTION("""COMPUTED_VALUE"""),"Dari")</f>
        <v>Dari</v>
      </c>
      <c r="O115" s="121"/>
      <c r="P115" s="121"/>
      <c r="Q115" s="121"/>
      <c r="R115" s="121"/>
      <c r="S115" s="121"/>
      <c r="T115" s="121"/>
      <c r="U115" s="121"/>
      <c r="V115" s="121"/>
      <c r="W115" s="121"/>
      <c r="X115" s="121"/>
      <c r="Y115" s="121"/>
      <c r="Z115" s="121"/>
      <c r="AA115" s="121"/>
      <c r="AB115" s="121" t="str">
        <f ca="1">IFERROR(__xludf.DUMMYFUNCTION("""COMPUTED_VALUE"""),"The user name should double check")</f>
        <v>The user name should double check</v>
      </c>
    </row>
    <row r="116" spans="1:28">
      <c r="A116" s="121" t="str">
        <f ca="1">IFERROR(__xludf.DUMMYFUNCTION("""COMPUTED_VALUE"""),"uuid:293f8850-a7cf-45b0-ba8b-66a9a6f5b934")</f>
        <v>uuid:293f8850-a7cf-45b0-ba8b-66a9a6f5b934</v>
      </c>
      <c r="B116" s="121" t="str">
        <f ca="1">IFERROR(__xludf.DUMMYFUNCTION("""COMPUTED_VALUE"""),"FR2222")</f>
        <v>FR2222</v>
      </c>
      <c r="C116" s="121" t="str">
        <f ca="1">IFERROR(__xludf.DUMMYFUNCTION("""COMPUTED_VALUE"""),"Test Name 1")</f>
        <v>Test Name 1</v>
      </c>
      <c r="D116" s="121" t="str">
        <f ca="1">IFERROR(__xludf.DUMMYFUNCTION("""COMPUTED_VALUE"""),"HER-BDS-HF4266-Q2-2025-1004-01")</f>
        <v>HER-BDS-HF4266-Q2-2025-1004-01</v>
      </c>
      <c r="E116" s="121" t="str">
        <f ca="1">IFERROR(__xludf.DUMMYFUNCTION("""COMPUTED_VALUE"""),"Badakhshan")</f>
        <v>Badakhshan</v>
      </c>
      <c r="F116" s="121" t="str">
        <f ca="1">IFERROR(__xludf.DUMMYFUNCTION("""COMPUTED_VALUE"""),"Jurm")</f>
        <v>Jurm</v>
      </c>
      <c r="G116" s="121" t="str">
        <f ca="1">IFERROR(__xludf.DUMMYFUNCTION("""COMPUTED_VALUE"""),"Kaman Yaran SC (4266)")</f>
        <v>Kaman Yaran SC (4266)</v>
      </c>
      <c r="H116" s="121" t="str">
        <f ca="1">IFERROR(__xludf.DUMMYFUNCTION("""COMPUTED_VALUE"""),"SHC")</f>
        <v>SHC</v>
      </c>
      <c r="I116" s="122">
        <f ca="1">IFERROR(__xludf.DUMMYFUNCTION("""COMPUTED_VALUE"""),64)</f>
        <v>64</v>
      </c>
      <c r="J116" s="123">
        <f ca="1">IFERROR(__xludf.DUMMYFUNCTION("""COMPUTED_VALUE"""),45963)</f>
        <v>45963</v>
      </c>
      <c r="K116" s="123">
        <f ca="1">IFERROR(__xludf.DUMMYFUNCTION("""COMPUTED_VALUE"""),45962)</f>
        <v>45962</v>
      </c>
      <c r="L116" s="121" t="str">
        <f ca="1">IFERROR(__xludf.DUMMYFUNCTION("""COMPUTED_VALUE"""),"Consumable (section 3)")</f>
        <v>Consumable (section 3)</v>
      </c>
      <c r="M116" s="121" t="str">
        <f ca="1">IFERROR(__xludf.DUMMYFUNCTION("""COMPUTED_VALUE"""),"Data Verification")</f>
        <v>Data Verification</v>
      </c>
      <c r="N116" s="121" t="str">
        <f ca="1">IFERROR(__xludf.DUMMYFUNCTION("""COMPUTED_VALUE"""),"Dari")</f>
        <v>Dari</v>
      </c>
      <c r="O116" s="121"/>
      <c r="P116" s="121"/>
      <c r="Q116" s="121"/>
      <c r="R116" s="121"/>
      <c r="S116" s="121"/>
      <c r="T116" s="121"/>
      <c r="U116" s="121"/>
      <c r="V116" s="121"/>
      <c r="W116" s="121"/>
      <c r="X116" s="121"/>
      <c r="Y116" s="121"/>
      <c r="Z116" s="121"/>
      <c r="AA116" s="121"/>
      <c r="AB116" s="121" t="str">
        <f ca="1">IFERROR(__xludf.DUMMYFUNCTION("""COMPUTED_VALUE"""),"The user name should double check")</f>
        <v>The user name should double check</v>
      </c>
    </row>
    <row r="117" spans="1:28">
      <c r="A117" s="121" t="str">
        <f ca="1">IFERROR(__xludf.DUMMYFUNCTION("""COMPUTED_VALUE"""),"uuid:7199032e-d783-490d-b4ab-38bf43b0a56d")</f>
        <v>uuid:7199032e-d783-490d-b4ab-38bf43b0a56d</v>
      </c>
      <c r="B117" s="121" t="str">
        <f ca="1">IFERROR(__xludf.DUMMYFUNCTION("""COMPUTED_VALUE"""),"FR2222")</f>
        <v>FR2222</v>
      </c>
      <c r="C117" s="121" t="str">
        <f ca="1">IFERROR(__xludf.DUMMYFUNCTION("""COMPUTED_VALUE"""),"Test Name 1")</f>
        <v>Test Name 1</v>
      </c>
      <c r="D117" s="121" t="str">
        <f ca="1">IFERROR(__xludf.DUMMYFUNCTION("""COMPUTED_VALUE"""),"HER-BDS-HF4266-Q2-2025-1004-01")</f>
        <v>HER-BDS-HF4266-Q2-2025-1004-01</v>
      </c>
      <c r="E117" s="121" t="str">
        <f ca="1">IFERROR(__xludf.DUMMYFUNCTION("""COMPUTED_VALUE"""),"Badakhshan")</f>
        <v>Badakhshan</v>
      </c>
      <c r="F117" s="121" t="str">
        <f ca="1">IFERROR(__xludf.DUMMYFUNCTION("""COMPUTED_VALUE"""),"Jurm")</f>
        <v>Jurm</v>
      </c>
      <c r="G117" s="121" t="str">
        <f ca="1">IFERROR(__xludf.DUMMYFUNCTION("""COMPUTED_VALUE"""),"Kaman Yaran SC (4266)")</f>
        <v>Kaman Yaran SC (4266)</v>
      </c>
      <c r="H117" s="121" t="str">
        <f ca="1">IFERROR(__xludf.DUMMYFUNCTION("""COMPUTED_VALUE"""),"SHC")</f>
        <v>SHC</v>
      </c>
      <c r="I117" s="122">
        <f ca="1">IFERROR(__xludf.DUMMYFUNCTION("""COMPUTED_VALUE"""),182)</f>
        <v>182</v>
      </c>
      <c r="J117" s="123">
        <f ca="1">IFERROR(__xludf.DUMMYFUNCTION("""COMPUTED_VALUE"""),45963)</f>
        <v>45963</v>
      </c>
      <c r="K117" s="123">
        <f ca="1">IFERROR(__xludf.DUMMYFUNCTION("""COMPUTED_VALUE"""),45963)</f>
        <v>45963</v>
      </c>
      <c r="L117" s="121" t="str">
        <f ca="1">IFERROR(__xludf.DUMMYFUNCTION("""COMPUTED_VALUE"""),"Equipments (section 4)")</f>
        <v>Equipments (section 4)</v>
      </c>
      <c r="M117" s="121" t="str">
        <f ca="1">IFERROR(__xludf.DUMMYFUNCTION("""COMPUTED_VALUE"""),"Data Verification")</f>
        <v>Data Verification</v>
      </c>
      <c r="N117" s="121" t="str">
        <f ca="1">IFERROR(__xludf.DUMMYFUNCTION("""COMPUTED_VALUE"""),"Dari")</f>
        <v>Dari</v>
      </c>
      <c r="O117" s="121"/>
      <c r="P117" s="121"/>
      <c r="Q117" s="121"/>
      <c r="R117" s="121"/>
      <c r="S117" s="121"/>
      <c r="T117" s="121"/>
      <c r="U117" s="121"/>
      <c r="V117" s="121"/>
      <c r="W117" s="121"/>
      <c r="X117" s="121"/>
      <c r="Y117" s="121"/>
      <c r="Z117" s="121"/>
      <c r="AA117" s="121"/>
      <c r="AB117" s="121" t="str">
        <f ca="1">IFERROR(__xludf.DUMMYFUNCTION("""COMPUTED_VALUE"""),"The user name should double check")</f>
        <v>The user name should double check</v>
      </c>
    </row>
    <row r="118" spans="1:28">
      <c r="A118" s="121" t="str">
        <f ca="1">IFERROR(__xludf.DUMMYFUNCTION("""COMPUTED_VALUE"""),"uuid:ba2e516c-d253-4ffc-b421-bf92c53c0222")</f>
        <v>uuid:ba2e516c-d253-4ffc-b421-bf92c53c0222</v>
      </c>
      <c r="B118" s="121" t="str">
        <f ca="1">IFERROR(__xludf.DUMMYFUNCTION("""COMPUTED_VALUE"""),"FR2222")</f>
        <v>FR2222</v>
      </c>
      <c r="C118" s="121" t="str">
        <f ca="1">IFERROR(__xludf.DUMMYFUNCTION("""COMPUTED_VALUE"""),"Test Name 1")</f>
        <v>Test Name 1</v>
      </c>
      <c r="D118" s="121" t="str">
        <f ca="1">IFERROR(__xludf.DUMMYFUNCTION("""COMPUTED_VALUE"""),"HER-BDS-HF4266-Q2-2025-1004-01")</f>
        <v>HER-BDS-HF4266-Q2-2025-1004-01</v>
      </c>
      <c r="E118" s="121" t="str">
        <f ca="1">IFERROR(__xludf.DUMMYFUNCTION("""COMPUTED_VALUE"""),"Badakhshan")</f>
        <v>Badakhshan</v>
      </c>
      <c r="F118" s="121" t="str">
        <f ca="1">IFERROR(__xludf.DUMMYFUNCTION("""COMPUTED_VALUE"""),"Jurm")</f>
        <v>Jurm</v>
      </c>
      <c r="G118" s="121" t="str">
        <f ca="1">IFERROR(__xludf.DUMMYFUNCTION("""COMPUTED_VALUE"""),"Kaman Yaran SC (4266)")</f>
        <v>Kaman Yaran SC (4266)</v>
      </c>
      <c r="H118" s="121" t="str">
        <f ca="1">IFERROR(__xludf.DUMMYFUNCTION("""COMPUTED_VALUE"""),"SHC")</f>
        <v>SHC</v>
      </c>
      <c r="I118" s="122">
        <f ca="1">IFERROR(__xludf.DUMMYFUNCTION("""COMPUTED_VALUE"""),6)</f>
        <v>6</v>
      </c>
      <c r="J118" s="123">
        <f ca="1">IFERROR(__xludf.DUMMYFUNCTION("""COMPUTED_VALUE"""),45963)</f>
        <v>45963</v>
      </c>
      <c r="K118" s="123">
        <f ca="1">IFERROR(__xludf.DUMMYFUNCTION("""COMPUTED_VALUE"""),45963)</f>
        <v>45963</v>
      </c>
      <c r="L118" s="121" t="str">
        <f ca="1">IFERROR(__xludf.DUMMYFUNCTION("""COMPUTED_VALUE"""),"Other than P4P (section 6)")</f>
        <v>Other than P4P (section 6)</v>
      </c>
      <c r="M118" s="121" t="str">
        <f ca="1">IFERROR(__xludf.DUMMYFUNCTION("""COMPUTED_VALUE"""),"Data Verification")</f>
        <v>Data Verification</v>
      </c>
      <c r="N118" s="121" t="str">
        <f ca="1">IFERROR(__xludf.DUMMYFUNCTION("""COMPUTED_VALUE"""),"Dari")</f>
        <v>Dari</v>
      </c>
      <c r="O118" s="121"/>
      <c r="P118" s="121"/>
      <c r="Q118" s="121"/>
      <c r="R118" s="121"/>
      <c r="S118" s="121"/>
      <c r="T118" s="121"/>
      <c r="U118" s="121"/>
      <c r="V118" s="121"/>
      <c r="W118" s="121"/>
      <c r="X118" s="121"/>
      <c r="Y118" s="121"/>
      <c r="Z118" s="121"/>
      <c r="AA118" s="121"/>
      <c r="AB118" s="121" t="str">
        <f ca="1">IFERROR(__xludf.DUMMYFUNCTION("""COMPUTED_VALUE"""),"The user name should double check")</f>
        <v>The user name should double check</v>
      </c>
    </row>
    <row r="119" spans="1:28">
      <c r="A119" s="121" t="str">
        <f ca="1">IFERROR(__xludf.DUMMYFUNCTION("""COMPUTED_VALUE"""),"uuid:6a989bef-4715-4624-ab05-da3476adfb84")</f>
        <v>uuid:6a989bef-4715-4624-ab05-da3476adfb84</v>
      </c>
      <c r="B119" s="121" t="str">
        <f ca="1">IFERROR(__xludf.DUMMYFUNCTION("""COMPUTED_VALUE"""),"FR4019")</f>
        <v>FR4019</v>
      </c>
      <c r="C119" s="121" t="str">
        <f ca="1">IFERROR(__xludf.DUMMYFUNCTION("""COMPUTED_VALUE"""),"Muhammad Qais Shahzada")</f>
        <v>Muhammad Qais Shahzada</v>
      </c>
      <c r="D119" s="121" t="str">
        <f ca="1">IFERROR(__xludf.DUMMYFUNCTION("""COMPUTED_VALUE"""),"HER-LGR-HF3807-Q2-2025-1167-01")</f>
        <v>HER-LGR-HF3807-Q2-2025-1167-01</v>
      </c>
      <c r="E119" s="121" t="str">
        <f ca="1">IFERROR(__xludf.DUMMYFUNCTION("""COMPUTED_VALUE"""),"Logar")</f>
        <v>Logar</v>
      </c>
      <c r="F119" s="121" t="str">
        <f ca="1">IFERROR(__xludf.DUMMYFUNCTION("""COMPUTED_VALUE"""),"Pul-e-Alam")</f>
        <v>Pul-e-Alam</v>
      </c>
      <c r="G119" s="121" t="str">
        <f ca="1">IFERROR(__xludf.DUMMYFUNCTION("""COMPUTED_VALUE"""),"Qala-e-Sadat Clinic (3807)")</f>
        <v>Qala-e-Sadat Clinic (3807)</v>
      </c>
      <c r="H119" s="121" t="str">
        <f ca="1">IFERROR(__xludf.DUMMYFUNCTION("""COMPUTED_VALUE"""),"BHC")</f>
        <v>BHC</v>
      </c>
      <c r="I119" s="122">
        <f ca="1">IFERROR(__xludf.DUMMYFUNCTION("""COMPUTED_VALUE"""),20)</f>
        <v>20</v>
      </c>
      <c r="J119" s="123">
        <f ca="1">IFERROR(__xludf.DUMMYFUNCTION("""COMPUTED_VALUE"""),45964)</f>
        <v>45964</v>
      </c>
      <c r="K119" s="123">
        <f ca="1">IFERROR(__xludf.DUMMYFUNCTION("""COMPUTED_VALUE"""),45963)</f>
        <v>45963</v>
      </c>
      <c r="L119" s="121" t="str">
        <f ca="1">IFERROR(__xludf.DUMMYFUNCTION("""COMPUTED_VALUE"""),"Hospital governance (section 7)")</f>
        <v>Hospital governance (section 7)</v>
      </c>
      <c r="M119" s="121" t="str">
        <f ca="1">IFERROR(__xludf.DUMMYFUNCTION("""COMPUTED_VALUE"""),"Data Verification")</f>
        <v>Data Verification</v>
      </c>
      <c r="N119" s="121" t="str">
        <f ca="1">IFERROR(__xludf.DUMMYFUNCTION("""COMPUTED_VALUE"""),"Dari")</f>
        <v>Dari</v>
      </c>
      <c r="O119" s="121"/>
      <c r="P119" s="121"/>
      <c r="Q119" s="121"/>
      <c r="R119" s="121"/>
      <c r="S119" s="121"/>
      <c r="T119" s="121"/>
      <c r="U119" s="121"/>
      <c r="V119" s="121"/>
      <c r="W119" s="121"/>
      <c r="X119" s="121" t="str">
        <f ca="1">IFERROR(__xludf.DUMMYFUNCTION("""COMPUTED_VALUE"""),"Masoud Saify")</f>
        <v>Masoud Saify</v>
      </c>
      <c r="Y119" s="124">
        <f ca="1">IFERROR(__xludf.DUMMYFUNCTION("""COMPUTED_VALUE"""),45965)</f>
        <v>45965</v>
      </c>
      <c r="Z119" s="121" t="str">
        <f ca="1">IFERROR(__xludf.DUMMYFUNCTION("""COMPUTED_VALUE"""),"Rejected")</f>
        <v>Rejected</v>
      </c>
      <c r="AA119" s="121" t="str">
        <f ca="1">IFERROR(__xludf.DUMMYFUNCTION("""COMPUTED_VALUE"""),"Extra data")</f>
        <v>Extra data</v>
      </c>
      <c r="AB119" s="121" t="str">
        <f ca="1">IFERROR(__xludf.DUMMYFUNCTION("""COMPUTED_VALUE"""),"The FR wrongly selecte RH instead of BHC and Data validation in not required")</f>
        <v>The FR wrongly selecte RH instead of BHC and Data validation in not required</v>
      </c>
    </row>
    <row r="120" spans="1:28">
      <c r="A120" s="121" t="str">
        <f ca="1">IFERROR(__xludf.DUMMYFUNCTION("""COMPUTED_VALUE"""),"uuid:679c7a09-a770-460c-a5d9-37189f24b488")</f>
        <v>uuid:679c7a09-a770-460c-a5d9-37189f24b488</v>
      </c>
      <c r="B120" s="121" t="str">
        <f ca="1">IFERROR(__xludf.DUMMYFUNCTION("""COMPUTED_VALUE"""),"FR4019")</f>
        <v>FR4019</v>
      </c>
      <c r="C120" s="121" t="str">
        <f ca="1">IFERROR(__xludf.DUMMYFUNCTION("""COMPUTED_VALUE"""),"Muhammad Qais Shahzada")</f>
        <v>Muhammad Qais Shahzada</v>
      </c>
      <c r="D120" s="121" t="str">
        <f ca="1">IFERROR(__xludf.DUMMYFUNCTION("""COMPUTED_VALUE"""),"HER-LGR-HF3807-Q2-2025-1167-01")</f>
        <v>HER-LGR-HF3807-Q2-2025-1167-01</v>
      </c>
      <c r="E120" s="121" t="str">
        <f ca="1">IFERROR(__xludf.DUMMYFUNCTION("""COMPUTED_VALUE"""),"Logar")</f>
        <v>Logar</v>
      </c>
      <c r="F120" s="121" t="str">
        <f ca="1">IFERROR(__xludf.DUMMYFUNCTION("""COMPUTED_VALUE"""),"Pul-e-Alam")</f>
        <v>Pul-e-Alam</v>
      </c>
      <c r="G120" s="121" t="str">
        <f ca="1">IFERROR(__xludf.DUMMYFUNCTION("""COMPUTED_VALUE"""),"Qala-e-Sadat Clinic (3807)")</f>
        <v>Qala-e-Sadat Clinic (3807)</v>
      </c>
      <c r="H120" s="121" t="str">
        <f ca="1">IFERROR(__xludf.DUMMYFUNCTION("""COMPUTED_VALUE"""),"BHC")</f>
        <v>BHC</v>
      </c>
      <c r="I120" s="122">
        <f ca="1">IFERROR(__xludf.DUMMYFUNCTION("""COMPUTED_VALUE"""),25)</f>
        <v>25</v>
      </c>
      <c r="J120" s="123">
        <f ca="1">IFERROR(__xludf.DUMMYFUNCTION("""COMPUTED_VALUE"""),45964)</f>
        <v>45964</v>
      </c>
      <c r="K120" s="123">
        <f ca="1">IFERROR(__xludf.DUMMYFUNCTION("""COMPUTED_VALUE"""),45963)</f>
        <v>45963</v>
      </c>
      <c r="L120" s="121" t="str">
        <f ca="1">IFERROR(__xludf.DUMMYFUNCTION("""COMPUTED_VALUE"""),"Other than P4P (section 6)")</f>
        <v>Other than P4P (section 6)</v>
      </c>
      <c r="M120" s="121" t="str">
        <f ca="1">IFERROR(__xludf.DUMMYFUNCTION("""COMPUTED_VALUE"""),"Data Verification")</f>
        <v>Data Verification</v>
      </c>
      <c r="N120" s="121" t="str">
        <f ca="1">IFERROR(__xludf.DUMMYFUNCTION("""COMPUTED_VALUE"""),"Dari")</f>
        <v>Dari</v>
      </c>
      <c r="O120" s="121"/>
      <c r="P120" s="121"/>
      <c r="Q120" s="121"/>
      <c r="R120" s="121"/>
      <c r="S120" s="121"/>
      <c r="T120" s="121"/>
      <c r="U120" s="121"/>
      <c r="V120" s="121"/>
      <c r="W120" s="121"/>
      <c r="X120" s="121" t="str">
        <f ca="1">IFERROR(__xludf.DUMMYFUNCTION("""COMPUTED_VALUE"""),"Masoud Saify")</f>
        <v>Masoud Saify</v>
      </c>
      <c r="Y120" s="124">
        <f ca="1">IFERROR(__xludf.DUMMYFUNCTION("""COMPUTED_VALUE"""),45965)</f>
        <v>45965</v>
      </c>
      <c r="Z120" s="121" t="str">
        <f ca="1">IFERROR(__xludf.DUMMYFUNCTION("""COMPUTED_VALUE"""),"Rejected")</f>
        <v>Rejected</v>
      </c>
      <c r="AA120" s="121" t="str">
        <f ca="1">IFERROR(__xludf.DUMMYFUNCTION("""COMPUTED_VALUE"""),"Extra data")</f>
        <v>Extra data</v>
      </c>
      <c r="AB120" s="121" t="str">
        <f ca="1">IFERROR(__xludf.DUMMYFUNCTION("""COMPUTED_VALUE"""),"The FR wrongly selecte RH instead of BHC and Data validation in not required")</f>
        <v>The FR wrongly selecte RH instead of BHC and Data validation in not required</v>
      </c>
    </row>
    <row r="121" spans="1:28">
      <c r="A121" s="121" t="str">
        <f ca="1">IFERROR(__xludf.DUMMYFUNCTION("""COMPUTED_VALUE"""),"uuid:30441865-5066-43d2-9613-c2f3804ed10a")</f>
        <v>uuid:30441865-5066-43d2-9613-c2f3804ed10a</v>
      </c>
      <c r="B121" s="121" t="str">
        <f ca="1">IFERROR(__xludf.DUMMYFUNCTION("""COMPUTED_VALUE"""),"FR3847")</f>
        <v>FR3847</v>
      </c>
      <c r="C121" s="121" t="str">
        <f ca="1">IFERROR(__xludf.DUMMYFUNCTION("""COMPUTED_VALUE"""),"Muslim Ebraheemi")</f>
        <v>Muslim Ebraheemi</v>
      </c>
      <c r="D121" s="121" t="str">
        <f ca="1">IFERROR(__xludf.DUMMYFUNCTION("""COMPUTED_VALUE"""),"HER-BAM-HF4349-Q2-2025-1074-01")</f>
        <v>HER-BAM-HF4349-Q2-2025-1074-01</v>
      </c>
      <c r="E121" s="121" t="str">
        <f ca="1">IFERROR(__xludf.DUMMYFUNCTION("""COMPUTED_VALUE"""),"Bamyan")</f>
        <v>Bamyan</v>
      </c>
      <c r="F121" s="121" t="str">
        <f ca="1">IFERROR(__xludf.DUMMYFUNCTION("""COMPUTED_VALUE"""),"Bamyan")</f>
        <v>Bamyan</v>
      </c>
      <c r="G121" s="121" t="str">
        <f ca="1">IFERROR(__xludf.DUMMYFUNCTION("""COMPUTED_VALUE"""),"Orgash SC (4349)")</f>
        <v>Orgash SC (4349)</v>
      </c>
      <c r="H121" s="121" t="str">
        <f ca="1">IFERROR(__xludf.DUMMYFUNCTION("""COMPUTED_VALUE"""),"SHC")</f>
        <v>SHC</v>
      </c>
      <c r="I121" s="122">
        <f ca="1">IFERROR(__xludf.DUMMYFUNCTION("""COMPUTED_VALUE"""),192)</f>
        <v>192</v>
      </c>
      <c r="J121" s="123">
        <f ca="1">IFERROR(__xludf.DUMMYFUNCTION("""COMPUTED_VALUE"""),45964)</f>
        <v>45964</v>
      </c>
      <c r="K121" s="123">
        <f ca="1">IFERROR(__xludf.DUMMYFUNCTION("""COMPUTED_VALUE"""),45963)</f>
        <v>45963</v>
      </c>
      <c r="L121" s="121" t="str">
        <f ca="1">IFERROR(__xludf.DUMMYFUNCTION("""COMPUTED_VALUE"""),"Medicine (section 2)")</f>
        <v>Medicine (section 2)</v>
      </c>
      <c r="M121" s="121" t="str">
        <f ca="1">IFERROR(__xludf.DUMMYFUNCTION("""COMPUTED_VALUE"""),"Data Verification")</f>
        <v>Data Verification</v>
      </c>
      <c r="N121" s="121" t="str">
        <f ca="1">IFERROR(__xludf.DUMMYFUNCTION("""COMPUTED_VALUE"""),"Dari")</f>
        <v>Dari</v>
      </c>
      <c r="O121" s="121"/>
      <c r="P121" s="121"/>
      <c r="Q121" s="121"/>
      <c r="R121" s="121"/>
      <c r="S121" s="121"/>
      <c r="T121" s="121"/>
      <c r="U121" s="121"/>
      <c r="V121" s="121"/>
      <c r="W121" s="121"/>
      <c r="X121" s="121"/>
      <c r="Y121" s="121"/>
      <c r="Z121" s="121"/>
      <c r="AA121" s="121"/>
      <c r="AB121" s="121"/>
    </row>
    <row r="122" spans="1:28">
      <c r="A122" s="121" t="str">
        <f ca="1">IFERROR(__xludf.DUMMYFUNCTION("""COMPUTED_VALUE"""),"uuid:6db4e29d-3ff4-48e7-b49c-98c818fea117")</f>
        <v>uuid:6db4e29d-3ff4-48e7-b49c-98c818fea117</v>
      </c>
      <c r="B122" s="121" t="str">
        <f ca="1">IFERROR(__xludf.DUMMYFUNCTION("""COMPUTED_VALUE"""),"FR4019")</f>
        <v>FR4019</v>
      </c>
      <c r="C122" s="121" t="str">
        <f ca="1">IFERROR(__xludf.DUMMYFUNCTION("""COMPUTED_VALUE"""),"Muhammad Qais Shahzada")</f>
        <v>Muhammad Qais Shahzada</v>
      </c>
      <c r="D122" s="121" t="str">
        <f ca="1">IFERROR(__xludf.DUMMYFUNCTION("""COMPUTED_VALUE"""),"HER-LGR-HF3807-Q2-2025-1167-01")</f>
        <v>HER-LGR-HF3807-Q2-2025-1167-01</v>
      </c>
      <c r="E122" s="121" t="str">
        <f ca="1">IFERROR(__xludf.DUMMYFUNCTION("""COMPUTED_VALUE"""),"Logar")</f>
        <v>Logar</v>
      </c>
      <c r="F122" s="121" t="str">
        <f ca="1">IFERROR(__xludf.DUMMYFUNCTION("""COMPUTED_VALUE"""),"Pul-e-Alam")</f>
        <v>Pul-e-Alam</v>
      </c>
      <c r="G122" s="121" t="str">
        <f ca="1">IFERROR(__xludf.DUMMYFUNCTION("""COMPUTED_VALUE"""),"Qala-e-Sadat Clinic (3807)")</f>
        <v>Qala-e-Sadat Clinic (3807)</v>
      </c>
      <c r="H122" s="121" t="str">
        <f ca="1">IFERROR(__xludf.DUMMYFUNCTION("""COMPUTED_VALUE"""),"BHC")</f>
        <v>BHC</v>
      </c>
      <c r="I122" s="122">
        <f ca="1">IFERROR(__xludf.DUMMYFUNCTION("""COMPUTED_VALUE"""),222)</f>
        <v>222</v>
      </c>
      <c r="J122" s="123">
        <f ca="1">IFERROR(__xludf.DUMMYFUNCTION("""COMPUTED_VALUE"""),45964)</f>
        <v>45964</v>
      </c>
      <c r="K122" s="123">
        <f ca="1">IFERROR(__xludf.DUMMYFUNCTION("""COMPUTED_VALUE"""),45963)</f>
        <v>45963</v>
      </c>
      <c r="L122" s="121" t="str">
        <f ca="1">IFERROR(__xludf.DUMMYFUNCTION("""COMPUTED_VALUE"""),"7. Tracer Medicine")</f>
        <v>7. Tracer Medicine</v>
      </c>
      <c r="M122" s="121" t="str">
        <f ca="1">IFERROR(__xludf.DUMMYFUNCTION("""COMPUTED_VALUE"""),"QQC")</f>
        <v>QQC</v>
      </c>
      <c r="N122" s="121" t="str">
        <f ca="1">IFERROR(__xludf.DUMMYFUNCTION("""COMPUTED_VALUE"""),"Dari")</f>
        <v>Dari</v>
      </c>
      <c r="O122" s="121"/>
      <c r="P122" s="121"/>
      <c r="Q122" s="121"/>
      <c r="R122" s="121"/>
      <c r="S122" s="121"/>
      <c r="T122" s="121"/>
      <c r="U122" s="121"/>
      <c r="V122" s="121"/>
      <c r="W122" s="121"/>
      <c r="X122" s="121" t="str">
        <f ca="1">IFERROR(__xludf.DUMMYFUNCTION("""COMPUTED_VALUE"""),"Zafar Emami")</f>
        <v>Zafar Emami</v>
      </c>
      <c r="Y122" s="124">
        <f ca="1">IFERROR(__xludf.DUMMYFUNCTION("""COMPUTED_VALUE"""),45965)</f>
        <v>45965</v>
      </c>
      <c r="Z122" s="121"/>
      <c r="AA122" s="121"/>
      <c r="AB122" s="121"/>
    </row>
    <row r="123" spans="1:28">
      <c r="A123" s="121" t="str">
        <f ca="1">IFERROR(__xludf.DUMMYFUNCTION("""COMPUTED_VALUE"""),"uuid:5ff638da-bee8-435f-aa1b-3d9eeed70dac")</f>
        <v>uuid:5ff638da-bee8-435f-aa1b-3d9eeed70dac</v>
      </c>
      <c r="B123" s="121" t="str">
        <f ca="1">IFERROR(__xludf.DUMMYFUNCTION("""COMPUTED_VALUE"""),"FR4019")</f>
        <v>FR4019</v>
      </c>
      <c r="C123" s="121" t="str">
        <f ca="1">IFERROR(__xludf.DUMMYFUNCTION("""COMPUTED_VALUE"""),"Muhammad Qais Shahzada")</f>
        <v>Muhammad Qais Shahzada</v>
      </c>
      <c r="D123" s="121" t="str">
        <f ca="1">IFERROR(__xludf.DUMMYFUNCTION("""COMPUTED_VALUE"""),"HER-LGR-HF3807-Q2-2025-1167-01")</f>
        <v>HER-LGR-HF3807-Q2-2025-1167-01</v>
      </c>
      <c r="E123" s="121" t="str">
        <f ca="1">IFERROR(__xludf.DUMMYFUNCTION("""COMPUTED_VALUE"""),"Logar")</f>
        <v>Logar</v>
      </c>
      <c r="F123" s="121" t="str">
        <f ca="1">IFERROR(__xludf.DUMMYFUNCTION("""COMPUTED_VALUE"""),"Pul-e-Alam")</f>
        <v>Pul-e-Alam</v>
      </c>
      <c r="G123" s="121" t="str">
        <f ca="1">IFERROR(__xludf.DUMMYFUNCTION("""COMPUTED_VALUE"""),"Qala-e-Sadat Clinic (3807)")</f>
        <v>Qala-e-Sadat Clinic (3807)</v>
      </c>
      <c r="H123" s="121" t="str">
        <f ca="1">IFERROR(__xludf.DUMMYFUNCTION("""COMPUTED_VALUE"""),"BHC")</f>
        <v>BHC</v>
      </c>
      <c r="I123" s="122">
        <f ca="1">IFERROR(__xludf.DUMMYFUNCTION("""COMPUTED_VALUE"""),110)</f>
        <v>110</v>
      </c>
      <c r="J123" s="123">
        <f ca="1">IFERROR(__xludf.DUMMYFUNCTION("""COMPUTED_VALUE"""),45964)</f>
        <v>45964</v>
      </c>
      <c r="K123" s="123">
        <f ca="1">IFERROR(__xludf.DUMMYFUNCTION("""COMPUTED_VALUE"""),45962)</f>
        <v>45962</v>
      </c>
      <c r="L123" s="121" t="str">
        <f ca="1">IFERROR(__xludf.DUMMYFUNCTION("""COMPUTED_VALUE"""),"6. Essential Medicine Management")</f>
        <v>6. Essential Medicine Management</v>
      </c>
      <c r="M123" s="121" t="str">
        <f ca="1">IFERROR(__xludf.DUMMYFUNCTION("""COMPUTED_VALUE"""),"QQC")</f>
        <v>QQC</v>
      </c>
      <c r="N123" s="121" t="str">
        <f ca="1">IFERROR(__xludf.DUMMYFUNCTION("""COMPUTED_VALUE"""),"Dari")</f>
        <v>Dari</v>
      </c>
      <c r="O123" s="121"/>
      <c r="P123" s="121"/>
      <c r="Q123" s="121"/>
      <c r="R123" s="121"/>
      <c r="S123" s="121"/>
      <c r="T123" s="121"/>
      <c r="U123" s="121"/>
      <c r="V123" s="121"/>
      <c r="W123" s="121"/>
      <c r="X123" s="121" t="str">
        <f ca="1">IFERROR(__xludf.DUMMYFUNCTION("""COMPUTED_VALUE"""),"Zafar Emami")</f>
        <v>Zafar Emami</v>
      </c>
      <c r="Y123" s="124">
        <f ca="1">IFERROR(__xludf.DUMMYFUNCTION("""COMPUTED_VALUE"""),45965)</f>
        <v>45965</v>
      </c>
      <c r="Z123" s="121"/>
      <c r="AA123" s="121"/>
      <c r="AB123" s="121"/>
    </row>
    <row r="124" spans="1:28">
      <c r="A124" s="121" t="str">
        <f ca="1">IFERROR(__xludf.DUMMYFUNCTION("""COMPUTED_VALUE"""),"uuid:85f9aa49-877d-487c-8fbf-6305a1b24cb7")</f>
        <v>uuid:85f9aa49-877d-487c-8fbf-6305a1b24cb7</v>
      </c>
      <c r="B124" s="121" t="str">
        <f ca="1">IFERROR(__xludf.DUMMYFUNCTION("""COMPUTED_VALUE"""),"FR4019")</f>
        <v>FR4019</v>
      </c>
      <c r="C124" s="121" t="str">
        <f ca="1">IFERROR(__xludf.DUMMYFUNCTION("""COMPUTED_VALUE"""),"Muhammad Qais Shahzada")</f>
        <v>Muhammad Qais Shahzada</v>
      </c>
      <c r="D124" s="121" t="str">
        <f ca="1">IFERROR(__xludf.DUMMYFUNCTION("""COMPUTED_VALUE"""),"HER-LGR-HF3807-Q2-2025-1167-01")</f>
        <v>HER-LGR-HF3807-Q2-2025-1167-01</v>
      </c>
      <c r="E124" s="121" t="str">
        <f ca="1">IFERROR(__xludf.DUMMYFUNCTION("""COMPUTED_VALUE"""),"Logar")</f>
        <v>Logar</v>
      </c>
      <c r="F124" s="121" t="str">
        <f ca="1">IFERROR(__xludf.DUMMYFUNCTION("""COMPUTED_VALUE"""),"Pul-e-Alam")</f>
        <v>Pul-e-Alam</v>
      </c>
      <c r="G124" s="121" t="str">
        <f ca="1">IFERROR(__xludf.DUMMYFUNCTION("""COMPUTED_VALUE"""),"Qala-e-Sadat Clinic (3807)")</f>
        <v>Qala-e-Sadat Clinic (3807)</v>
      </c>
      <c r="H124" s="121" t="str">
        <f ca="1">IFERROR(__xludf.DUMMYFUNCTION("""COMPUTED_VALUE"""),"BHC")</f>
        <v>BHC</v>
      </c>
      <c r="I124" s="122">
        <f ca="1">IFERROR(__xludf.DUMMYFUNCTION("""COMPUTED_VALUE"""),119)</f>
        <v>119</v>
      </c>
      <c r="J124" s="123">
        <f ca="1">IFERROR(__xludf.DUMMYFUNCTION("""COMPUTED_VALUE"""),45964)</f>
        <v>45964</v>
      </c>
      <c r="K124" s="123">
        <f ca="1">IFERROR(__xludf.DUMMYFUNCTION("""COMPUTED_VALUE"""),45962)</f>
        <v>45962</v>
      </c>
      <c r="L124" s="121" t="str">
        <f ca="1">IFERROR(__xludf.DUMMYFUNCTION("""COMPUTED_VALUE"""),"3. Curative Consultation (OPD)")</f>
        <v>3. Curative Consultation (OPD)</v>
      </c>
      <c r="M124" s="121" t="str">
        <f ca="1">IFERROR(__xludf.DUMMYFUNCTION("""COMPUTED_VALUE"""),"QQC")</f>
        <v>QQC</v>
      </c>
      <c r="N124" s="121" t="str">
        <f ca="1">IFERROR(__xludf.DUMMYFUNCTION("""COMPUTED_VALUE"""),"Dari")</f>
        <v>Dari</v>
      </c>
      <c r="O124" s="121"/>
      <c r="P124" s="121"/>
      <c r="Q124" s="121"/>
      <c r="R124" s="121"/>
      <c r="S124" s="121"/>
      <c r="T124" s="121"/>
      <c r="U124" s="121"/>
      <c r="V124" s="121"/>
      <c r="W124" s="121"/>
      <c r="X124" s="121" t="str">
        <f ca="1">IFERROR(__xludf.DUMMYFUNCTION("""COMPUTED_VALUE"""),"Zafar Emami")</f>
        <v>Zafar Emami</v>
      </c>
      <c r="Y124" s="124">
        <f ca="1">IFERROR(__xludf.DUMMYFUNCTION("""COMPUTED_VALUE"""),45965)</f>
        <v>45965</v>
      </c>
      <c r="Z124" s="121"/>
      <c r="AA124" s="121"/>
      <c r="AB124" s="121"/>
    </row>
    <row r="125" spans="1:28">
      <c r="A125" s="121" t="str">
        <f ca="1">IFERROR(__xludf.DUMMYFUNCTION("""COMPUTED_VALUE"""),"uuid:411c0200-34f7-483a-986c-9b8fc59a720f")</f>
        <v>uuid:411c0200-34f7-483a-986c-9b8fc59a720f</v>
      </c>
      <c r="B125" s="121" t="str">
        <f ca="1">IFERROR(__xludf.DUMMYFUNCTION("""COMPUTED_VALUE"""),"FR4019")</f>
        <v>FR4019</v>
      </c>
      <c r="C125" s="121" t="str">
        <f ca="1">IFERROR(__xludf.DUMMYFUNCTION("""COMPUTED_VALUE"""),"Muhammad Qais Shahzada")</f>
        <v>Muhammad Qais Shahzada</v>
      </c>
      <c r="D125" s="121" t="str">
        <f ca="1">IFERROR(__xludf.DUMMYFUNCTION("""COMPUTED_VALUE"""),"HER-LGR-HF3807-Q2-2025-1167-01")</f>
        <v>HER-LGR-HF3807-Q2-2025-1167-01</v>
      </c>
      <c r="E125" s="121" t="str">
        <f ca="1">IFERROR(__xludf.DUMMYFUNCTION("""COMPUTED_VALUE"""),"Logar")</f>
        <v>Logar</v>
      </c>
      <c r="F125" s="121" t="str">
        <f ca="1">IFERROR(__xludf.DUMMYFUNCTION("""COMPUTED_VALUE"""),"Pul-e-Alam")</f>
        <v>Pul-e-Alam</v>
      </c>
      <c r="G125" s="121" t="str">
        <f ca="1">IFERROR(__xludf.DUMMYFUNCTION("""COMPUTED_VALUE"""),"Qala-e-Sadat Clinic (3807)")</f>
        <v>Qala-e-Sadat Clinic (3807)</v>
      </c>
      <c r="H125" s="121" t="str">
        <f ca="1">IFERROR(__xludf.DUMMYFUNCTION("""COMPUTED_VALUE"""),"BHC")</f>
        <v>BHC</v>
      </c>
      <c r="I125" s="122">
        <f ca="1">IFERROR(__xludf.DUMMYFUNCTION("""COMPUTED_VALUE"""),135)</f>
        <v>135</v>
      </c>
      <c r="J125" s="123">
        <f ca="1">IFERROR(__xludf.DUMMYFUNCTION("""COMPUTED_VALUE"""),45964)</f>
        <v>45964</v>
      </c>
      <c r="K125" s="123">
        <f ca="1">IFERROR(__xludf.DUMMYFUNCTION("""COMPUTED_VALUE"""),45960)</f>
        <v>45960</v>
      </c>
      <c r="L125" s="121" t="str">
        <f ca="1">IFERROR(__xludf.DUMMYFUNCTION("""COMPUTED_VALUE"""),"1. General Management")</f>
        <v>1. General Management</v>
      </c>
      <c r="M125" s="121" t="str">
        <f ca="1">IFERROR(__xludf.DUMMYFUNCTION("""COMPUTED_VALUE"""),"QQC")</f>
        <v>QQC</v>
      </c>
      <c r="N125" s="121" t="str">
        <f ca="1">IFERROR(__xludf.DUMMYFUNCTION("""COMPUTED_VALUE"""),"Dari")</f>
        <v>Dari</v>
      </c>
      <c r="O125" s="121"/>
      <c r="P125" s="121"/>
      <c r="Q125" s="121"/>
      <c r="R125" s="121"/>
      <c r="S125" s="121"/>
      <c r="T125" s="121"/>
      <c r="U125" s="121"/>
      <c r="V125" s="121"/>
      <c r="W125" s="121"/>
      <c r="X125" s="121" t="str">
        <f ca="1">IFERROR(__xludf.DUMMYFUNCTION("""COMPUTED_VALUE"""),"Zafar Emami")</f>
        <v>Zafar Emami</v>
      </c>
      <c r="Y125" s="124">
        <f ca="1">IFERROR(__xludf.DUMMYFUNCTION("""COMPUTED_VALUE"""),45965)</f>
        <v>45965</v>
      </c>
      <c r="Z125" s="121"/>
      <c r="AA125" s="121"/>
      <c r="AB125" s="121"/>
    </row>
    <row r="126" spans="1:28">
      <c r="A126" s="121" t="str">
        <f ca="1">IFERROR(__xludf.DUMMYFUNCTION("""COMPUTED_VALUE"""),"uuid:a813d08d-584a-4035-9473-adb27bc6dedd")</f>
        <v>uuid:a813d08d-584a-4035-9473-adb27bc6dedd</v>
      </c>
      <c r="B126" s="121" t="str">
        <f ca="1">IFERROR(__xludf.DUMMYFUNCTION("""COMPUTED_VALUE"""),"FR4378")</f>
        <v>FR4378</v>
      </c>
      <c r="C126" s="121" t="str">
        <f ca="1">IFERROR(__xludf.DUMMYFUNCTION("""COMPUTED_VALUE"""),"Mohammad Shaiq Hakimi")</f>
        <v>Mohammad Shaiq Hakimi</v>
      </c>
      <c r="D126" s="121" t="str">
        <f ca="1">IFERROR(__xludf.DUMMYFUNCTION("""COMPUTED_VALUE"""),"HER-TAK-HF2870-Q2-2025-1246-01")</f>
        <v>HER-TAK-HF2870-Q2-2025-1246-01</v>
      </c>
      <c r="E126" s="121" t="str">
        <f ca="1">IFERROR(__xludf.DUMMYFUNCTION("""COMPUTED_VALUE"""),"Takhar")</f>
        <v>Takhar</v>
      </c>
      <c r="F126" s="121" t="str">
        <f ca="1">IFERROR(__xludf.DUMMYFUNCTION("""COMPUTED_VALUE"""),"Taloqan")</f>
        <v>Taloqan</v>
      </c>
      <c r="G126" s="121" t="str">
        <f ca="1">IFERROR(__xludf.DUMMYFUNCTION("""COMPUTED_VALUE"""),"Shorab SHC (2870)")</f>
        <v>Shorab SHC (2870)</v>
      </c>
      <c r="H126" s="121">
        <f ca="1">IFERROR(__xludf.DUMMYFUNCTION("""COMPUTED_VALUE"""),8)</f>
        <v>8</v>
      </c>
      <c r="I126" s="122">
        <f ca="1">IFERROR(__xludf.DUMMYFUNCTION("""COMPUTED_VALUE"""),18)</f>
        <v>18</v>
      </c>
      <c r="J126" s="123">
        <f ca="1">IFERROR(__xludf.DUMMYFUNCTION("""COMPUTED_VALUE"""),45963)</f>
        <v>45963</v>
      </c>
      <c r="K126" s="123">
        <f ca="1">IFERROR(__xludf.DUMMYFUNCTION("""COMPUTED_VALUE"""),45962)</f>
        <v>45962</v>
      </c>
      <c r="L126" s="121" t="str">
        <f ca="1">IFERROR(__xludf.DUMMYFUNCTION("""COMPUTED_VALUE"""),"Vignette [2]: Diarrhea with Cat B dehydration")</f>
        <v>Vignette [2]: Diarrhea with Cat B dehydration</v>
      </c>
      <c r="M126" s="121" t="str">
        <f ca="1">IFERROR(__xludf.DUMMYFUNCTION("""COMPUTED_VALUE"""),"Vignette")</f>
        <v>Vignette</v>
      </c>
      <c r="N126" s="121" t="str">
        <f ca="1">IFERROR(__xludf.DUMMYFUNCTION("""COMPUTED_VALUE"""),"N/A")</f>
        <v>N/A</v>
      </c>
      <c r="O126" s="121"/>
      <c r="P126" s="121"/>
      <c r="Q126" s="121"/>
      <c r="R126" s="121"/>
      <c r="S126" s="121"/>
      <c r="T126" s="121"/>
      <c r="U126" s="121"/>
      <c r="V126" s="121"/>
      <c r="W126" s="121"/>
      <c r="X126" s="121"/>
      <c r="Y126" s="121"/>
      <c r="Z126" s="121"/>
      <c r="AA126" s="121"/>
      <c r="AB126" s="121"/>
    </row>
    <row r="127" spans="1:28">
      <c r="A127" s="121" t="str">
        <f ca="1">IFERROR(__xludf.DUMMYFUNCTION("""COMPUTED_VALUE"""),"uuid:102a5490-df53-43bc-8873-fcfd7c058c6b")</f>
        <v>uuid:102a5490-df53-43bc-8873-fcfd7c058c6b</v>
      </c>
      <c r="B127" s="121" t="str">
        <f ca="1">IFERROR(__xludf.DUMMYFUNCTION("""COMPUTED_VALUE"""),"FR4378")</f>
        <v>FR4378</v>
      </c>
      <c r="C127" s="121" t="str">
        <f ca="1">IFERROR(__xludf.DUMMYFUNCTION("""COMPUTED_VALUE"""),"Mohammad Shaiq Hakimi")</f>
        <v>Mohammad Shaiq Hakimi</v>
      </c>
      <c r="D127" s="121" t="str">
        <f ca="1">IFERROR(__xludf.DUMMYFUNCTION("""COMPUTED_VALUE"""),"HER-TAK-HF2870-Q2-2025-1246-01")</f>
        <v>HER-TAK-HF2870-Q2-2025-1246-01</v>
      </c>
      <c r="E127" s="121" t="str">
        <f ca="1">IFERROR(__xludf.DUMMYFUNCTION("""COMPUTED_VALUE"""),"Takhar")</f>
        <v>Takhar</v>
      </c>
      <c r="F127" s="121" t="str">
        <f ca="1">IFERROR(__xludf.DUMMYFUNCTION("""COMPUTED_VALUE"""),"Taloqan")</f>
        <v>Taloqan</v>
      </c>
      <c r="G127" s="121" t="str">
        <f ca="1">IFERROR(__xludf.DUMMYFUNCTION("""COMPUTED_VALUE"""),"Shorab SHC (2870)")</f>
        <v>Shorab SHC (2870)</v>
      </c>
      <c r="H127" s="121">
        <f ca="1">IFERROR(__xludf.DUMMYFUNCTION("""COMPUTED_VALUE"""),8)</f>
        <v>8</v>
      </c>
      <c r="I127" s="122">
        <f ca="1">IFERROR(__xludf.DUMMYFUNCTION("""COMPUTED_VALUE"""),17)</f>
        <v>17</v>
      </c>
      <c r="J127" s="123">
        <f ca="1">IFERROR(__xludf.DUMMYFUNCTION("""COMPUTED_VALUE"""),45963)</f>
        <v>45963</v>
      </c>
      <c r="K127" s="123">
        <f ca="1">IFERROR(__xludf.DUMMYFUNCTION("""COMPUTED_VALUE"""),45962)</f>
        <v>45962</v>
      </c>
      <c r="L127" s="121" t="str">
        <f ca="1">IFERROR(__xludf.DUMMYFUNCTION("""COMPUTED_VALUE"""),"Vignette [1] Respiratory Infection: Pneumonia")</f>
        <v>Vignette [1] Respiratory Infection: Pneumonia</v>
      </c>
      <c r="M127" s="121" t="str">
        <f ca="1">IFERROR(__xludf.DUMMYFUNCTION("""COMPUTED_VALUE"""),"Vignette")</f>
        <v>Vignette</v>
      </c>
      <c r="N127" s="121" t="str">
        <f ca="1">IFERROR(__xludf.DUMMYFUNCTION("""COMPUTED_VALUE"""),"N/A")</f>
        <v>N/A</v>
      </c>
      <c r="O127" s="121"/>
      <c r="P127" s="121"/>
      <c r="Q127" s="121"/>
      <c r="R127" s="121"/>
      <c r="S127" s="121"/>
      <c r="T127" s="121"/>
      <c r="U127" s="121"/>
      <c r="V127" s="121"/>
      <c r="W127" s="121"/>
      <c r="X127" s="121"/>
      <c r="Y127" s="121"/>
      <c r="Z127" s="121"/>
      <c r="AA127" s="121"/>
      <c r="AB127" s="121"/>
    </row>
    <row r="128" spans="1:28">
      <c r="A128" s="121" t="str">
        <f ca="1">IFERROR(__xludf.DUMMYFUNCTION("""COMPUTED_VALUE"""),"uuid:88014d81-284f-473d-9c73-a0616c510bde")</f>
        <v>uuid:88014d81-284f-473d-9c73-a0616c510bde</v>
      </c>
      <c r="B128" s="121" t="str">
        <f ca="1">IFERROR(__xludf.DUMMYFUNCTION("""COMPUTED_VALUE"""),"FR4378")</f>
        <v>FR4378</v>
      </c>
      <c r="C128" s="121" t="str">
        <f ca="1">IFERROR(__xludf.DUMMYFUNCTION("""COMPUTED_VALUE"""),"Mohammad Shaiq Hakimi")</f>
        <v>Mohammad Shaiq Hakimi</v>
      </c>
      <c r="D128" s="121" t="str">
        <f ca="1">IFERROR(__xludf.DUMMYFUNCTION("""COMPUTED_VALUE"""),"HER-TAK-HF2870-Q2-2025-1246-01")</f>
        <v>HER-TAK-HF2870-Q2-2025-1246-01</v>
      </c>
      <c r="E128" s="121" t="str">
        <f ca="1">IFERROR(__xludf.DUMMYFUNCTION("""COMPUTED_VALUE"""),"Takhar")</f>
        <v>Takhar</v>
      </c>
      <c r="F128" s="121" t="str">
        <f ca="1">IFERROR(__xludf.DUMMYFUNCTION("""COMPUTED_VALUE"""),"Taloqan")</f>
        <v>Taloqan</v>
      </c>
      <c r="G128" s="121" t="str">
        <f ca="1">IFERROR(__xludf.DUMMYFUNCTION("""COMPUTED_VALUE"""),"Shorab SHC (2870)")</f>
        <v>Shorab SHC (2870)</v>
      </c>
      <c r="H128" s="121">
        <f ca="1">IFERROR(__xludf.DUMMYFUNCTION("""COMPUTED_VALUE"""),8)</f>
        <v>8</v>
      </c>
      <c r="I128" s="122">
        <f ca="1">IFERROR(__xludf.DUMMYFUNCTION("""COMPUTED_VALUE"""),19)</f>
        <v>19</v>
      </c>
      <c r="J128" s="123">
        <f ca="1">IFERROR(__xludf.DUMMYFUNCTION("""COMPUTED_VALUE"""),45963)</f>
        <v>45963</v>
      </c>
      <c r="K128" s="123">
        <f ca="1">IFERROR(__xludf.DUMMYFUNCTION("""COMPUTED_VALUE"""),45962)</f>
        <v>45962</v>
      </c>
      <c r="L128" s="121" t="str">
        <f ca="1">IFERROR(__xludf.DUMMYFUNCTION("""COMPUTED_VALUE"""),"Exit Interview 1")</f>
        <v>Exit Interview 1</v>
      </c>
      <c r="M128" s="121" t="str">
        <f ca="1">IFERROR(__xludf.DUMMYFUNCTION("""COMPUTED_VALUE"""),"Vignette")</f>
        <v>Vignette</v>
      </c>
      <c r="N128" s="121" t="str">
        <f ca="1">IFERROR(__xludf.DUMMYFUNCTION("""COMPUTED_VALUE"""),"N/A")</f>
        <v>N/A</v>
      </c>
      <c r="O128" s="121"/>
      <c r="P128" s="121"/>
      <c r="Q128" s="121"/>
      <c r="R128" s="121"/>
      <c r="S128" s="121"/>
      <c r="T128" s="121"/>
      <c r="U128" s="121"/>
      <c r="V128" s="121"/>
      <c r="W128" s="121"/>
      <c r="X128" s="121"/>
      <c r="Y128" s="121"/>
      <c r="Z128" s="121"/>
      <c r="AA128" s="121"/>
      <c r="AB128" s="121"/>
    </row>
    <row r="129" spans="1:28">
      <c r="A129" s="121" t="str">
        <f ca="1">IFERROR(__xludf.DUMMYFUNCTION("""COMPUTED_VALUE"""),"uuid:7fbd5464-a72b-4f21-a221-6a342dd638d4")</f>
        <v>uuid:7fbd5464-a72b-4f21-a221-6a342dd638d4</v>
      </c>
      <c r="B129" s="121" t="str">
        <f ca="1">IFERROR(__xludf.DUMMYFUNCTION("""COMPUTED_VALUE"""),"FR4008")</f>
        <v>FR4008</v>
      </c>
      <c r="C129" s="121" t="str">
        <f ca="1">IFERROR(__xludf.DUMMYFUNCTION("""COMPUTED_VALUE"""),"Salim Khan Sadat Khan")</f>
        <v>Salim Khan Sadat Khan</v>
      </c>
      <c r="D129" s="121" t="str">
        <f ca="1">IFERROR(__xludf.DUMMYFUNCTION("""COMPUTED_VALUE"""),"HER-KHO-HF4396-Q2-2025-1122-01")</f>
        <v>HER-KHO-HF4396-Q2-2025-1122-01</v>
      </c>
      <c r="E129" s="121" t="str">
        <f ca="1">IFERROR(__xludf.DUMMYFUNCTION("""COMPUTED_VALUE"""),"Khost")</f>
        <v>Khost</v>
      </c>
      <c r="F129" s="121" t="str">
        <f ca="1">IFERROR(__xludf.DUMMYFUNCTION("""COMPUTED_VALUE"""),"Tanay")</f>
        <v>Tanay</v>
      </c>
      <c r="G129" s="121" t="str">
        <f ca="1">IFERROR(__xludf.DUMMYFUNCTION("""COMPUTED_VALUE"""),"Hesarak SC (4396)")</f>
        <v>Hesarak SC (4396)</v>
      </c>
      <c r="H129" s="121">
        <f ca="1">IFERROR(__xludf.DUMMYFUNCTION("""COMPUTED_VALUE"""),8)</f>
        <v>8</v>
      </c>
      <c r="I129" s="122">
        <f ca="1">IFERROR(__xludf.DUMMYFUNCTION("""COMPUTED_VALUE"""),22)</f>
        <v>22</v>
      </c>
      <c r="J129" s="123">
        <f ca="1">IFERROR(__xludf.DUMMYFUNCTION("""COMPUTED_VALUE"""),45963)</f>
        <v>45963</v>
      </c>
      <c r="K129" s="123">
        <f ca="1">IFERROR(__xludf.DUMMYFUNCTION("""COMPUTED_VALUE"""),45962)</f>
        <v>45962</v>
      </c>
      <c r="L129" s="121" t="str">
        <f ca="1">IFERROR(__xludf.DUMMYFUNCTION("""COMPUTED_VALUE"""),"Vignette [3] Growth Monitoring and Promotion")</f>
        <v>Vignette [3] Growth Monitoring and Promotion</v>
      </c>
      <c r="M129" s="121" t="str">
        <f ca="1">IFERROR(__xludf.DUMMYFUNCTION("""COMPUTED_VALUE"""),"Vignette")</f>
        <v>Vignette</v>
      </c>
      <c r="N129" s="121" t="str">
        <f ca="1">IFERROR(__xludf.DUMMYFUNCTION("""COMPUTED_VALUE"""),"N/A")</f>
        <v>N/A</v>
      </c>
      <c r="O129" s="121"/>
      <c r="P129" s="121"/>
      <c r="Q129" s="121"/>
      <c r="R129" s="121"/>
      <c r="S129" s="121"/>
      <c r="T129" s="121"/>
      <c r="U129" s="121"/>
      <c r="V129" s="121"/>
      <c r="W129" s="121"/>
      <c r="X129" s="121"/>
      <c r="Y129" s="121"/>
      <c r="Z129" s="121"/>
      <c r="AA129" s="121"/>
      <c r="AB129" s="121"/>
    </row>
    <row r="130" spans="1:28">
      <c r="A130" s="121" t="str">
        <f ca="1">IFERROR(__xludf.DUMMYFUNCTION("""COMPUTED_VALUE"""),"uuid:104d5ebe-862a-4787-80b2-61788a3fe341")</f>
        <v>uuid:104d5ebe-862a-4787-80b2-61788a3fe341</v>
      </c>
      <c r="B130" s="121" t="str">
        <f ca="1">IFERROR(__xludf.DUMMYFUNCTION("""COMPUTED_VALUE"""),"FR4008")</f>
        <v>FR4008</v>
      </c>
      <c r="C130" s="121" t="str">
        <f ca="1">IFERROR(__xludf.DUMMYFUNCTION("""COMPUTED_VALUE"""),"Salim Khan Sadat Khan")</f>
        <v>Salim Khan Sadat Khan</v>
      </c>
      <c r="D130" s="121" t="str">
        <f ca="1">IFERROR(__xludf.DUMMYFUNCTION("""COMPUTED_VALUE"""),"HER-KHO-HF4396-Q2-2025-1122-01")</f>
        <v>HER-KHO-HF4396-Q2-2025-1122-01</v>
      </c>
      <c r="E130" s="121" t="str">
        <f ca="1">IFERROR(__xludf.DUMMYFUNCTION("""COMPUTED_VALUE"""),"Khost")</f>
        <v>Khost</v>
      </c>
      <c r="F130" s="121" t="str">
        <f ca="1">IFERROR(__xludf.DUMMYFUNCTION("""COMPUTED_VALUE"""),"Tanay")</f>
        <v>Tanay</v>
      </c>
      <c r="G130" s="121" t="str">
        <f ca="1">IFERROR(__xludf.DUMMYFUNCTION("""COMPUTED_VALUE"""),"Hesarak SC (4396)")</f>
        <v>Hesarak SC (4396)</v>
      </c>
      <c r="H130" s="121">
        <f ca="1">IFERROR(__xludf.DUMMYFUNCTION("""COMPUTED_VALUE"""),8)</f>
        <v>8</v>
      </c>
      <c r="I130" s="122">
        <f ca="1">IFERROR(__xludf.DUMMYFUNCTION("""COMPUTED_VALUE"""),15)</f>
        <v>15</v>
      </c>
      <c r="J130" s="123">
        <f ca="1">IFERROR(__xludf.DUMMYFUNCTION("""COMPUTED_VALUE"""),45963)</f>
        <v>45963</v>
      </c>
      <c r="K130" s="123">
        <f ca="1">IFERROR(__xludf.DUMMYFUNCTION("""COMPUTED_VALUE"""),45962)</f>
        <v>45962</v>
      </c>
      <c r="L130" s="121" t="str">
        <f ca="1">IFERROR(__xludf.DUMMYFUNCTION("""COMPUTED_VALUE"""),"Exit Interview 1")</f>
        <v>Exit Interview 1</v>
      </c>
      <c r="M130" s="121" t="str">
        <f ca="1">IFERROR(__xludf.DUMMYFUNCTION("""COMPUTED_VALUE"""),"Vignette")</f>
        <v>Vignette</v>
      </c>
      <c r="N130" s="121" t="str">
        <f ca="1">IFERROR(__xludf.DUMMYFUNCTION("""COMPUTED_VALUE"""),"N/A")</f>
        <v>N/A</v>
      </c>
      <c r="O130" s="121"/>
      <c r="P130" s="121"/>
      <c r="Q130" s="121"/>
      <c r="R130" s="121"/>
      <c r="S130" s="121"/>
      <c r="T130" s="121"/>
      <c r="U130" s="121"/>
      <c r="V130" s="121"/>
      <c r="W130" s="121"/>
      <c r="X130" s="121"/>
      <c r="Y130" s="121"/>
      <c r="Z130" s="121"/>
      <c r="AA130" s="121"/>
      <c r="AB130" s="121"/>
    </row>
    <row r="131" spans="1:28">
      <c r="A131" s="121" t="str">
        <f ca="1">IFERROR(__xludf.DUMMYFUNCTION("""COMPUTED_VALUE"""),"uuid:d75bd0cc-d246-4438-9455-0178ff0d8b14")</f>
        <v>uuid:d75bd0cc-d246-4438-9455-0178ff0d8b14</v>
      </c>
      <c r="B131" s="121" t="str">
        <f ca="1">IFERROR(__xludf.DUMMYFUNCTION("""COMPUTED_VALUE"""),"FR4008")</f>
        <v>FR4008</v>
      </c>
      <c r="C131" s="121" t="str">
        <f ca="1">IFERROR(__xludf.DUMMYFUNCTION("""COMPUTED_VALUE"""),"Salim Khan Sadat Khan")</f>
        <v>Salim Khan Sadat Khan</v>
      </c>
      <c r="D131" s="121" t="str">
        <f ca="1">IFERROR(__xludf.DUMMYFUNCTION("""COMPUTED_VALUE"""),"HER-KHO-HF4396-Q2-2025-1122-01")</f>
        <v>HER-KHO-HF4396-Q2-2025-1122-01</v>
      </c>
      <c r="E131" s="121" t="str">
        <f ca="1">IFERROR(__xludf.DUMMYFUNCTION("""COMPUTED_VALUE"""),"Khost")</f>
        <v>Khost</v>
      </c>
      <c r="F131" s="121" t="str">
        <f ca="1">IFERROR(__xludf.DUMMYFUNCTION("""COMPUTED_VALUE"""),"Tanay")</f>
        <v>Tanay</v>
      </c>
      <c r="G131" s="121" t="str">
        <f ca="1">IFERROR(__xludf.DUMMYFUNCTION("""COMPUTED_VALUE"""),"Hesarak SC (4396)")</f>
        <v>Hesarak SC (4396)</v>
      </c>
      <c r="H131" s="121">
        <f ca="1">IFERROR(__xludf.DUMMYFUNCTION("""COMPUTED_VALUE"""),8)</f>
        <v>8</v>
      </c>
      <c r="I131" s="122">
        <f ca="1">IFERROR(__xludf.DUMMYFUNCTION("""COMPUTED_VALUE"""),12)</f>
        <v>12</v>
      </c>
      <c r="J131" s="123">
        <f ca="1">IFERROR(__xludf.DUMMYFUNCTION("""COMPUTED_VALUE"""),45963)</f>
        <v>45963</v>
      </c>
      <c r="K131" s="123">
        <f ca="1">IFERROR(__xludf.DUMMYFUNCTION("""COMPUTED_VALUE"""),45962)</f>
        <v>45962</v>
      </c>
      <c r="L131" s="121" t="str">
        <f ca="1">IFERROR(__xludf.DUMMYFUNCTION("""COMPUTED_VALUE"""),"Vignette [1] Respiratory Infection: Pneumonia")</f>
        <v>Vignette [1] Respiratory Infection: Pneumonia</v>
      </c>
      <c r="M131" s="121" t="str">
        <f ca="1">IFERROR(__xludf.DUMMYFUNCTION("""COMPUTED_VALUE"""),"Vignette")</f>
        <v>Vignette</v>
      </c>
      <c r="N131" s="121" t="str">
        <f ca="1">IFERROR(__xludf.DUMMYFUNCTION("""COMPUTED_VALUE"""),"N/A")</f>
        <v>N/A</v>
      </c>
      <c r="O131" s="121"/>
      <c r="P131" s="121"/>
      <c r="Q131" s="121"/>
      <c r="R131" s="121"/>
      <c r="S131" s="121"/>
      <c r="T131" s="121"/>
      <c r="U131" s="121"/>
      <c r="V131" s="121"/>
      <c r="W131" s="121"/>
      <c r="X131" s="121"/>
      <c r="Y131" s="121"/>
      <c r="Z131" s="121"/>
      <c r="AA131" s="121"/>
      <c r="AB131" s="121"/>
    </row>
    <row r="132" spans="1:28">
      <c r="A132" s="121" t="str">
        <f ca="1">IFERROR(__xludf.DUMMYFUNCTION("""COMPUTED_VALUE"""),"uuid:d55aacb9-36ac-427e-a6a7-3557381bbf0e")</f>
        <v>uuid:d55aacb9-36ac-427e-a6a7-3557381bbf0e</v>
      </c>
      <c r="B132" s="121" t="str">
        <f ca="1">IFERROR(__xludf.DUMMYFUNCTION("""COMPUTED_VALUE"""),"FR4008")</f>
        <v>FR4008</v>
      </c>
      <c r="C132" s="121" t="str">
        <f ca="1">IFERROR(__xludf.DUMMYFUNCTION("""COMPUTED_VALUE"""),"Salim Khan Sadat Khan")</f>
        <v>Salim Khan Sadat Khan</v>
      </c>
      <c r="D132" s="121" t="str">
        <f ca="1">IFERROR(__xludf.DUMMYFUNCTION("""COMPUTED_VALUE"""),"HER-KHO-HF4396-Q2-2025-1122-01")</f>
        <v>HER-KHO-HF4396-Q2-2025-1122-01</v>
      </c>
      <c r="E132" s="121" t="str">
        <f ca="1">IFERROR(__xludf.DUMMYFUNCTION("""COMPUTED_VALUE"""),"Khost")</f>
        <v>Khost</v>
      </c>
      <c r="F132" s="121" t="str">
        <f ca="1">IFERROR(__xludf.DUMMYFUNCTION("""COMPUTED_VALUE"""),"Tanay")</f>
        <v>Tanay</v>
      </c>
      <c r="G132" s="121" t="str">
        <f ca="1">IFERROR(__xludf.DUMMYFUNCTION("""COMPUTED_VALUE"""),"Hesarak SC (4396)")</f>
        <v>Hesarak SC (4396)</v>
      </c>
      <c r="H132" s="121">
        <f ca="1">IFERROR(__xludf.DUMMYFUNCTION("""COMPUTED_VALUE"""),8)</f>
        <v>8</v>
      </c>
      <c r="I132" s="122">
        <f ca="1">IFERROR(__xludf.DUMMYFUNCTION("""COMPUTED_VALUE"""),7)</f>
        <v>7</v>
      </c>
      <c r="J132" s="123">
        <f ca="1">IFERROR(__xludf.DUMMYFUNCTION("""COMPUTED_VALUE"""),45963)</f>
        <v>45963</v>
      </c>
      <c r="K132" s="123">
        <f ca="1">IFERROR(__xludf.DUMMYFUNCTION("""COMPUTED_VALUE"""),45962)</f>
        <v>45962</v>
      </c>
      <c r="L132" s="121" t="str">
        <f ca="1">IFERROR(__xludf.DUMMYFUNCTION("""COMPUTED_VALUE"""),"Vignette [2]: Diarrhea with Cat B dehydration")</f>
        <v>Vignette [2]: Diarrhea with Cat B dehydration</v>
      </c>
      <c r="M132" s="121" t="str">
        <f ca="1">IFERROR(__xludf.DUMMYFUNCTION("""COMPUTED_VALUE"""),"Vignette")</f>
        <v>Vignette</v>
      </c>
      <c r="N132" s="121" t="str">
        <f ca="1">IFERROR(__xludf.DUMMYFUNCTION("""COMPUTED_VALUE"""),"N/A")</f>
        <v>N/A</v>
      </c>
      <c r="O132" s="121"/>
      <c r="P132" s="121"/>
      <c r="Q132" s="121"/>
      <c r="R132" s="121"/>
      <c r="S132" s="121"/>
      <c r="T132" s="121"/>
      <c r="U132" s="121"/>
      <c r="V132" s="121"/>
      <c r="W132" s="121"/>
      <c r="X132" s="121"/>
      <c r="Y132" s="121"/>
      <c r="Z132" s="121"/>
      <c r="AA132" s="121"/>
      <c r="AB132" s="121"/>
    </row>
    <row r="133" spans="1:28">
      <c r="A133" s="121" t="str">
        <f ca="1">IFERROR(__xludf.DUMMYFUNCTION("""COMPUTED_VALUE"""),"uuid:ea184034-5d31-436e-af63-92ea2fa22764")</f>
        <v>uuid:ea184034-5d31-436e-af63-92ea2fa22764</v>
      </c>
      <c r="B133" s="121" t="str">
        <f ca="1">IFERROR(__xludf.DUMMYFUNCTION("""COMPUTED_VALUE"""),"FR4008")</f>
        <v>FR4008</v>
      </c>
      <c r="C133" s="121" t="str">
        <f ca="1">IFERROR(__xludf.DUMMYFUNCTION("""COMPUTED_VALUE"""),"Salim Khan Sadat Khan")</f>
        <v>Salim Khan Sadat Khan</v>
      </c>
      <c r="D133" s="121" t="str">
        <f ca="1">IFERROR(__xludf.DUMMYFUNCTION("""COMPUTED_VALUE"""),"HER-KHO-HF4396-Q2-2025-1122-01")</f>
        <v>HER-KHO-HF4396-Q2-2025-1122-01</v>
      </c>
      <c r="E133" s="121" t="str">
        <f ca="1">IFERROR(__xludf.DUMMYFUNCTION("""COMPUTED_VALUE"""),"Khost")</f>
        <v>Khost</v>
      </c>
      <c r="F133" s="121" t="str">
        <f ca="1">IFERROR(__xludf.DUMMYFUNCTION("""COMPUTED_VALUE"""),"Tanay")</f>
        <v>Tanay</v>
      </c>
      <c r="G133" s="121" t="str">
        <f ca="1">IFERROR(__xludf.DUMMYFUNCTION("""COMPUTED_VALUE"""),"Hesarak SC (4396)")</f>
        <v>Hesarak SC (4396)</v>
      </c>
      <c r="H133" s="121">
        <f ca="1">IFERROR(__xludf.DUMMYFUNCTION("""COMPUTED_VALUE"""),8)</f>
        <v>8</v>
      </c>
      <c r="I133" s="122">
        <f ca="1">IFERROR(__xludf.DUMMYFUNCTION("""COMPUTED_VALUE"""),4)</f>
        <v>4</v>
      </c>
      <c r="J133" s="123">
        <f ca="1">IFERROR(__xludf.DUMMYFUNCTION("""COMPUTED_VALUE"""),45963)</f>
        <v>45963</v>
      </c>
      <c r="K133" s="123">
        <f ca="1">IFERROR(__xludf.DUMMYFUNCTION("""COMPUTED_VALUE"""),45962)</f>
        <v>45962</v>
      </c>
      <c r="L133" s="121" t="str">
        <f ca="1">IFERROR(__xludf.DUMMYFUNCTION("""COMPUTED_VALUE"""),"Vignette [4]: The management of presumptive TB patient")</f>
        <v>Vignette [4]: The management of presumptive TB patient</v>
      </c>
      <c r="M133" s="121" t="str">
        <f ca="1">IFERROR(__xludf.DUMMYFUNCTION("""COMPUTED_VALUE"""),"Vignette")</f>
        <v>Vignette</v>
      </c>
      <c r="N133" s="121" t="str">
        <f ca="1">IFERROR(__xludf.DUMMYFUNCTION("""COMPUTED_VALUE"""),"N/A")</f>
        <v>N/A</v>
      </c>
      <c r="O133" s="121"/>
      <c r="P133" s="121"/>
      <c r="Q133" s="121"/>
      <c r="R133" s="121"/>
      <c r="S133" s="121"/>
      <c r="T133" s="121"/>
      <c r="U133" s="121"/>
      <c r="V133" s="121"/>
      <c r="W133" s="121"/>
      <c r="X133" s="121"/>
      <c r="Y133" s="121"/>
      <c r="Z133" s="121"/>
      <c r="AA133" s="121"/>
      <c r="AB133" s="121"/>
    </row>
    <row r="134" spans="1:28">
      <c r="A134" s="121" t="str">
        <f ca="1">IFERROR(__xludf.DUMMYFUNCTION("""COMPUTED_VALUE"""),"uuid:02f580f1-f1a5-4680-9971-60aeaf7454db")</f>
        <v>uuid:02f580f1-f1a5-4680-9971-60aeaf7454db</v>
      </c>
      <c r="B134" s="121" t="str">
        <f ca="1">IFERROR(__xludf.DUMMYFUNCTION("""COMPUTED_VALUE"""),"FR2579")</f>
        <v>FR2579</v>
      </c>
      <c r="C134" s="121" t="str">
        <f ca="1">IFERROR(__xludf.DUMMYFUNCTION("""COMPUTED_VALUE"""),"Ahmad Sear Malikzai")</f>
        <v>Ahmad Sear Malikzai</v>
      </c>
      <c r="D134" s="121" t="str">
        <f ca="1">IFERROR(__xludf.DUMMYFUNCTION("""COMPUTED_VALUE"""),"HER-NGR-HF3781-Q2-2025-1059-01")</f>
        <v>HER-NGR-HF3781-Q2-2025-1059-01</v>
      </c>
      <c r="E134" s="121" t="str">
        <f ca="1">IFERROR(__xludf.DUMMYFUNCTION("""COMPUTED_VALUE"""),"Nangarhar")</f>
        <v>Nangarhar</v>
      </c>
      <c r="F134" s="121" t="str">
        <f ca="1">IFERROR(__xludf.DUMMYFUNCTION("""COMPUTED_VALUE"""),"Kama")</f>
        <v>Kama</v>
      </c>
      <c r="G134" s="121" t="str">
        <f ca="1">IFERROR(__xludf.DUMMYFUNCTION("""COMPUTED_VALUE"""),"Gerdab SC (3781)")</f>
        <v>Gerdab SC (3781)</v>
      </c>
      <c r="H134" s="121">
        <f ca="1">IFERROR(__xludf.DUMMYFUNCTION("""COMPUTED_VALUE"""),8)</f>
        <v>8</v>
      </c>
      <c r="I134" s="122">
        <f ca="1">IFERROR(__xludf.DUMMYFUNCTION("""COMPUTED_VALUE"""),16)</f>
        <v>16</v>
      </c>
      <c r="J134" s="123">
        <f ca="1">IFERROR(__xludf.DUMMYFUNCTION("""COMPUTED_VALUE"""),45963)</f>
        <v>45963</v>
      </c>
      <c r="K134" s="123">
        <f ca="1">IFERROR(__xludf.DUMMYFUNCTION("""COMPUTED_VALUE"""),45963)</f>
        <v>45963</v>
      </c>
      <c r="L134" s="121" t="str">
        <f ca="1">IFERROR(__xludf.DUMMYFUNCTION("""COMPUTED_VALUE"""),"Exit Interview 1")</f>
        <v>Exit Interview 1</v>
      </c>
      <c r="M134" s="121" t="str">
        <f ca="1">IFERROR(__xludf.DUMMYFUNCTION("""COMPUTED_VALUE"""),"Vignette")</f>
        <v>Vignette</v>
      </c>
      <c r="N134" s="121" t="str">
        <f ca="1">IFERROR(__xludf.DUMMYFUNCTION("""COMPUTED_VALUE"""),"N/A")</f>
        <v>N/A</v>
      </c>
      <c r="O134" s="121"/>
      <c r="P134" s="121"/>
      <c r="Q134" s="121"/>
      <c r="R134" s="121"/>
      <c r="S134" s="121"/>
      <c r="T134" s="121"/>
      <c r="U134" s="121"/>
      <c r="V134" s="121"/>
      <c r="W134" s="121"/>
      <c r="X134" s="121"/>
      <c r="Y134" s="121"/>
      <c r="Z134" s="121"/>
      <c r="AA134" s="121"/>
      <c r="AB134" s="121"/>
    </row>
    <row r="135" spans="1:28">
      <c r="A135" s="121" t="str">
        <f ca="1">IFERROR(__xludf.DUMMYFUNCTION("""COMPUTED_VALUE"""),"uuid:c44e2844-0230-45e4-8231-912637cb41e3")</f>
        <v>uuid:c44e2844-0230-45e4-8231-912637cb41e3</v>
      </c>
      <c r="B135" s="121" t="str">
        <f ca="1">IFERROR(__xludf.DUMMYFUNCTION("""COMPUTED_VALUE"""),"FR2579")</f>
        <v>FR2579</v>
      </c>
      <c r="C135" s="121" t="str">
        <f ca="1">IFERROR(__xludf.DUMMYFUNCTION("""COMPUTED_VALUE"""),"Ahmad Sear Malikzai")</f>
        <v>Ahmad Sear Malikzai</v>
      </c>
      <c r="D135" s="121" t="str">
        <f ca="1">IFERROR(__xludf.DUMMYFUNCTION("""COMPUTED_VALUE"""),"HER-NGR-HF3781-Q2-2025-1059-01")</f>
        <v>HER-NGR-HF3781-Q2-2025-1059-01</v>
      </c>
      <c r="E135" s="121" t="str">
        <f ca="1">IFERROR(__xludf.DUMMYFUNCTION("""COMPUTED_VALUE"""),"Nangarhar")</f>
        <v>Nangarhar</v>
      </c>
      <c r="F135" s="121" t="str">
        <f ca="1">IFERROR(__xludf.DUMMYFUNCTION("""COMPUTED_VALUE"""),"Kama")</f>
        <v>Kama</v>
      </c>
      <c r="G135" s="121" t="str">
        <f ca="1">IFERROR(__xludf.DUMMYFUNCTION("""COMPUTED_VALUE"""),"Gerdab SC (3781)")</f>
        <v>Gerdab SC (3781)</v>
      </c>
      <c r="H135" s="121">
        <f ca="1">IFERROR(__xludf.DUMMYFUNCTION("""COMPUTED_VALUE"""),8)</f>
        <v>8</v>
      </c>
      <c r="I135" s="122">
        <f ca="1">IFERROR(__xludf.DUMMYFUNCTION("""COMPUTED_VALUE"""),12)</f>
        <v>12</v>
      </c>
      <c r="J135" s="123">
        <f ca="1">IFERROR(__xludf.DUMMYFUNCTION("""COMPUTED_VALUE"""),45963)</f>
        <v>45963</v>
      </c>
      <c r="K135" s="123">
        <f ca="1">IFERROR(__xludf.DUMMYFUNCTION("""COMPUTED_VALUE"""),45963)</f>
        <v>45963</v>
      </c>
      <c r="L135" s="121" t="str">
        <f ca="1">IFERROR(__xludf.DUMMYFUNCTION("""COMPUTED_VALUE"""),"Vignette [1] Respiratory Infection: Pneumonia")</f>
        <v>Vignette [1] Respiratory Infection: Pneumonia</v>
      </c>
      <c r="M135" s="121" t="str">
        <f ca="1">IFERROR(__xludf.DUMMYFUNCTION("""COMPUTED_VALUE"""),"Vignette")</f>
        <v>Vignette</v>
      </c>
      <c r="N135" s="121" t="str">
        <f ca="1">IFERROR(__xludf.DUMMYFUNCTION("""COMPUTED_VALUE"""),"N/A")</f>
        <v>N/A</v>
      </c>
      <c r="O135" s="121"/>
      <c r="P135" s="121"/>
      <c r="Q135" s="121"/>
      <c r="R135" s="121"/>
      <c r="S135" s="121"/>
      <c r="T135" s="121"/>
      <c r="U135" s="121"/>
      <c r="V135" s="121"/>
      <c r="W135" s="121"/>
      <c r="X135" s="121"/>
      <c r="Y135" s="121"/>
      <c r="Z135" s="121"/>
      <c r="AA135" s="121"/>
      <c r="AB135" s="121"/>
    </row>
    <row r="136" spans="1:28">
      <c r="A136" s="121" t="str">
        <f ca="1">IFERROR(__xludf.DUMMYFUNCTION("""COMPUTED_VALUE"""),"uuid:662ef94d-625a-4e7b-a082-70800b79cffc")</f>
        <v>uuid:662ef94d-625a-4e7b-a082-70800b79cffc</v>
      </c>
      <c r="B136" s="121" t="str">
        <f ca="1">IFERROR(__xludf.DUMMYFUNCTION("""COMPUTED_VALUE"""),"FR0220")</f>
        <v>FR0220</v>
      </c>
      <c r="C136" s="121" t="str">
        <f ca="1">IFERROR(__xludf.DUMMYFUNCTION("""COMPUTED_VALUE"""),"Raihana Sediqi")</f>
        <v>Raihana Sediqi</v>
      </c>
      <c r="D136" s="121" t="str">
        <f ca="1">IFERROR(__xludf.DUMMYFUNCTION("""COMPUTED_VALUE"""),"HER-NGR-HF3781-Q2-2025-1059-01")</f>
        <v>HER-NGR-HF3781-Q2-2025-1059-01</v>
      </c>
      <c r="E136" s="121" t="str">
        <f ca="1">IFERROR(__xludf.DUMMYFUNCTION("""COMPUTED_VALUE"""),"Nangarhar")</f>
        <v>Nangarhar</v>
      </c>
      <c r="F136" s="121" t="str">
        <f ca="1">IFERROR(__xludf.DUMMYFUNCTION("""COMPUTED_VALUE"""),"Kama")</f>
        <v>Kama</v>
      </c>
      <c r="G136" s="121" t="str">
        <f ca="1">IFERROR(__xludf.DUMMYFUNCTION("""COMPUTED_VALUE"""),"Gerdab SC (3781)")</f>
        <v>Gerdab SC (3781)</v>
      </c>
      <c r="H136" s="121">
        <f ca="1">IFERROR(__xludf.DUMMYFUNCTION("""COMPUTED_VALUE"""),2)</f>
        <v>2</v>
      </c>
      <c r="I136" s="122">
        <f ca="1">IFERROR(__xludf.DUMMYFUNCTION("""COMPUTED_VALUE"""),25)</f>
        <v>25</v>
      </c>
      <c r="J136" s="123">
        <f ca="1">IFERROR(__xludf.DUMMYFUNCTION("""COMPUTED_VALUE"""),45963)</f>
        <v>45963</v>
      </c>
      <c r="K136" s="123">
        <f ca="1">IFERROR(__xludf.DUMMYFUNCTION("""COMPUTED_VALUE"""),45963)</f>
        <v>45963</v>
      </c>
      <c r="L136" s="121" t="str">
        <f ca="1">IFERROR(__xludf.DUMMYFUNCTION("""COMPUTED_VALUE"""),"Vignette [5] Labor")</f>
        <v>Vignette [5] Labor</v>
      </c>
      <c r="M136" s="121" t="str">
        <f ca="1">IFERROR(__xludf.DUMMYFUNCTION("""COMPUTED_VALUE"""),"Vignette")</f>
        <v>Vignette</v>
      </c>
      <c r="N136" s="121" t="str">
        <f ca="1">IFERROR(__xludf.DUMMYFUNCTION("""COMPUTED_VALUE"""),"N/A")</f>
        <v>N/A</v>
      </c>
      <c r="O136" s="121"/>
      <c r="P136" s="121"/>
      <c r="Q136" s="121"/>
      <c r="R136" s="121"/>
      <c r="S136" s="121"/>
      <c r="T136" s="121"/>
      <c r="U136" s="121"/>
      <c r="V136" s="121"/>
      <c r="W136" s="121"/>
      <c r="X136" s="121"/>
      <c r="Y136" s="121"/>
      <c r="Z136" s="121"/>
      <c r="AA136" s="121"/>
      <c r="AB136" s="121"/>
    </row>
    <row r="137" spans="1:28">
      <c r="A137" s="121" t="str">
        <f ca="1">IFERROR(__xludf.DUMMYFUNCTION("""COMPUTED_VALUE"""),"uuid:e825f523-2ac7-40b2-ba40-73d394b03c02")</f>
        <v>uuid:e825f523-2ac7-40b2-ba40-73d394b03c02</v>
      </c>
      <c r="B137" s="121" t="str">
        <f ca="1">IFERROR(__xludf.DUMMYFUNCTION("""COMPUTED_VALUE"""),"FR0220")</f>
        <v>FR0220</v>
      </c>
      <c r="C137" s="121" t="str">
        <f ca="1">IFERROR(__xludf.DUMMYFUNCTION("""COMPUTED_VALUE"""),"Raihana Sediqi")</f>
        <v>Raihana Sediqi</v>
      </c>
      <c r="D137" s="121" t="str">
        <f ca="1">IFERROR(__xludf.DUMMYFUNCTION("""COMPUTED_VALUE"""),"HER-NGR-HF3781-Q2-2025-1059-01")</f>
        <v>HER-NGR-HF3781-Q2-2025-1059-01</v>
      </c>
      <c r="E137" s="121" t="str">
        <f ca="1">IFERROR(__xludf.DUMMYFUNCTION("""COMPUTED_VALUE"""),"Nangarhar")</f>
        <v>Nangarhar</v>
      </c>
      <c r="F137" s="121" t="str">
        <f ca="1">IFERROR(__xludf.DUMMYFUNCTION("""COMPUTED_VALUE"""),"Kama")</f>
        <v>Kama</v>
      </c>
      <c r="G137" s="121" t="str">
        <f ca="1">IFERROR(__xludf.DUMMYFUNCTION("""COMPUTED_VALUE"""),"Gerdab SC (3781)")</f>
        <v>Gerdab SC (3781)</v>
      </c>
      <c r="H137" s="121">
        <f ca="1">IFERROR(__xludf.DUMMYFUNCTION("""COMPUTED_VALUE"""),2)</f>
        <v>2</v>
      </c>
      <c r="I137" s="122">
        <f ca="1">IFERROR(__xludf.DUMMYFUNCTION("""COMPUTED_VALUE"""),23)</f>
        <v>23</v>
      </c>
      <c r="J137" s="123">
        <f ca="1">IFERROR(__xludf.DUMMYFUNCTION("""COMPUTED_VALUE"""),45963)</f>
        <v>45963</v>
      </c>
      <c r="K137" s="123">
        <f ca="1">IFERROR(__xludf.DUMMYFUNCTION("""COMPUTED_VALUE"""),45963)</f>
        <v>45963</v>
      </c>
      <c r="L137" s="121" t="str">
        <f ca="1">IFERROR(__xludf.DUMMYFUNCTION("""COMPUTED_VALUE"""),"Vignette [6] PNC pre Discharge")</f>
        <v>Vignette [6] PNC pre Discharge</v>
      </c>
      <c r="M137" s="121" t="str">
        <f ca="1">IFERROR(__xludf.DUMMYFUNCTION("""COMPUTED_VALUE"""),"Vignette")</f>
        <v>Vignette</v>
      </c>
      <c r="N137" s="121" t="str">
        <f ca="1">IFERROR(__xludf.DUMMYFUNCTION("""COMPUTED_VALUE"""),"N/A")</f>
        <v>N/A</v>
      </c>
      <c r="O137" s="121"/>
      <c r="P137" s="121"/>
      <c r="Q137" s="121"/>
      <c r="R137" s="121"/>
      <c r="S137" s="121"/>
      <c r="T137" s="121"/>
      <c r="U137" s="121"/>
      <c r="V137" s="121"/>
      <c r="W137" s="121"/>
      <c r="X137" s="121"/>
      <c r="Y137" s="121"/>
      <c r="Z137" s="121"/>
      <c r="AA137" s="121"/>
      <c r="AB137" s="121"/>
    </row>
    <row r="138" spans="1:28">
      <c r="A138" s="121" t="str">
        <f ca="1">IFERROR(__xludf.DUMMYFUNCTION("""COMPUTED_VALUE"""),"uuid:5dad2a10-1ac9-4c51-bf5d-e6d8d2b3daba")</f>
        <v>uuid:5dad2a10-1ac9-4c51-bf5d-e6d8d2b3daba</v>
      </c>
      <c r="B138" s="121" t="str">
        <f ca="1">IFERROR(__xludf.DUMMYFUNCTION("""COMPUTED_VALUE"""),"FR0220")</f>
        <v>FR0220</v>
      </c>
      <c r="C138" s="121" t="str">
        <f ca="1">IFERROR(__xludf.DUMMYFUNCTION("""COMPUTED_VALUE"""),"Raihana Sediqi")</f>
        <v>Raihana Sediqi</v>
      </c>
      <c r="D138" s="121" t="str">
        <f ca="1">IFERROR(__xludf.DUMMYFUNCTION("""COMPUTED_VALUE"""),"HER-NGR-HF3781-Q2-2025-1059-01")</f>
        <v>HER-NGR-HF3781-Q2-2025-1059-01</v>
      </c>
      <c r="E138" s="121" t="str">
        <f ca="1">IFERROR(__xludf.DUMMYFUNCTION("""COMPUTED_VALUE"""),"Nangarhar")</f>
        <v>Nangarhar</v>
      </c>
      <c r="F138" s="121" t="str">
        <f ca="1">IFERROR(__xludf.DUMMYFUNCTION("""COMPUTED_VALUE"""),"Kama")</f>
        <v>Kama</v>
      </c>
      <c r="G138" s="121" t="str">
        <f ca="1">IFERROR(__xludf.DUMMYFUNCTION("""COMPUTED_VALUE"""),"Gerdab SC (3781)")</f>
        <v>Gerdab SC (3781)</v>
      </c>
      <c r="H138" s="121">
        <f ca="1">IFERROR(__xludf.DUMMYFUNCTION("""COMPUTED_VALUE"""),2)</f>
        <v>2</v>
      </c>
      <c r="I138" s="122">
        <f ca="1">IFERROR(__xludf.DUMMYFUNCTION("""COMPUTED_VALUE"""),61)</f>
        <v>61</v>
      </c>
      <c r="J138" s="123">
        <f ca="1">IFERROR(__xludf.DUMMYFUNCTION("""COMPUTED_VALUE"""),45963)</f>
        <v>45963</v>
      </c>
      <c r="K138" s="123">
        <f ca="1">IFERROR(__xludf.DUMMYFUNCTION("""COMPUTED_VALUE"""),45963)</f>
        <v>45963</v>
      </c>
      <c r="L138" s="121" t="str">
        <f ca="1">IFERROR(__xludf.DUMMYFUNCTION("""COMPUTED_VALUE"""),"Vignette [7] First ANC Visit")</f>
        <v>Vignette [7] First ANC Visit</v>
      </c>
      <c r="M138" s="121" t="str">
        <f ca="1">IFERROR(__xludf.DUMMYFUNCTION("""COMPUTED_VALUE"""),"Vignette")</f>
        <v>Vignette</v>
      </c>
      <c r="N138" s="121" t="str">
        <f ca="1">IFERROR(__xludf.DUMMYFUNCTION("""COMPUTED_VALUE"""),"N/A")</f>
        <v>N/A</v>
      </c>
      <c r="O138" s="121"/>
      <c r="P138" s="121"/>
      <c r="Q138" s="121"/>
      <c r="R138" s="121"/>
      <c r="S138" s="121"/>
      <c r="T138" s="121"/>
      <c r="U138" s="121"/>
      <c r="V138" s="121"/>
      <c r="W138" s="121"/>
      <c r="X138" s="121"/>
      <c r="Y138" s="121"/>
      <c r="Z138" s="121"/>
      <c r="AA138" s="121"/>
      <c r="AB138" s="121"/>
    </row>
    <row r="139" spans="1:28">
      <c r="A139" s="121" t="str">
        <f ca="1">IFERROR(__xludf.DUMMYFUNCTION("""COMPUTED_VALUE"""),"uuid:f263df13-de92-4a01-a385-b09f11864756")</f>
        <v>uuid:f263df13-de92-4a01-a385-b09f11864756</v>
      </c>
      <c r="B139" s="121" t="str">
        <f ca="1">IFERROR(__xludf.DUMMYFUNCTION("""COMPUTED_VALUE"""),"FR0220")</f>
        <v>FR0220</v>
      </c>
      <c r="C139" s="121" t="str">
        <f ca="1">IFERROR(__xludf.DUMMYFUNCTION("""COMPUTED_VALUE"""),"Raihana Sediqi")</f>
        <v>Raihana Sediqi</v>
      </c>
      <c r="D139" s="121" t="str">
        <f ca="1">IFERROR(__xludf.DUMMYFUNCTION("""COMPUTED_VALUE"""),"HER-NGR-HF3781-Q2-2025-1059-01")</f>
        <v>HER-NGR-HF3781-Q2-2025-1059-01</v>
      </c>
      <c r="E139" s="121" t="str">
        <f ca="1">IFERROR(__xludf.DUMMYFUNCTION("""COMPUTED_VALUE"""),"Nangarhar")</f>
        <v>Nangarhar</v>
      </c>
      <c r="F139" s="121" t="str">
        <f ca="1">IFERROR(__xludf.DUMMYFUNCTION("""COMPUTED_VALUE"""),"Kama")</f>
        <v>Kama</v>
      </c>
      <c r="G139" s="121" t="str">
        <f ca="1">IFERROR(__xludf.DUMMYFUNCTION("""COMPUTED_VALUE"""),"Gerdab SC (3781)")</f>
        <v>Gerdab SC (3781)</v>
      </c>
      <c r="H139" s="121">
        <f ca="1">IFERROR(__xludf.DUMMYFUNCTION("""COMPUTED_VALUE"""),2)</f>
        <v>2</v>
      </c>
      <c r="I139" s="122">
        <f ca="1">IFERROR(__xludf.DUMMYFUNCTION("""COMPUTED_VALUE"""),16)</f>
        <v>16</v>
      </c>
      <c r="J139" s="123">
        <f ca="1">IFERROR(__xludf.DUMMYFUNCTION("""COMPUTED_VALUE"""),45963)</f>
        <v>45963</v>
      </c>
      <c r="K139" s="123">
        <f ca="1">IFERROR(__xludf.DUMMYFUNCTION("""COMPUTED_VALUE"""),45963)</f>
        <v>45963</v>
      </c>
      <c r="L139" s="121" t="str">
        <f ca="1">IFERROR(__xludf.DUMMYFUNCTION("""COMPUTED_VALUE"""),"Vignette [8] Birth Spacing/ Family Planning :  FP Counselling")</f>
        <v>Vignette [8] Birth Spacing/ Family Planning :  FP Counselling</v>
      </c>
      <c r="M139" s="121" t="str">
        <f ca="1">IFERROR(__xludf.DUMMYFUNCTION("""COMPUTED_VALUE"""),"Vignette")</f>
        <v>Vignette</v>
      </c>
      <c r="N139" s="121" t="str">
        <f ca="1">IFERROR(__xludf.DUMMYFUNCTION("""COMPUTED_VALUE"""),"N/A")</f>
        <v>N/A</v>
      </c>
      <c r="O139" s="121"/>
      <c r="P139" s="121"/>
      <c r="Q139" s="121"/>
      <c r="R139" s="121"/>
      <c r="S139" s="121"/>
      <c r="T139" s="121"/>
      <c r="U139" s="121"/>
      <c r="V139" s="121"/>
      <c r="W139" s="121"/>
      <c r="X139" s="121"/>
      <c r="Y139" s="121"/>
      <c r="Z139" s="121"/>
      <c r="AA139" s="121"/>
      <c r="AB139" s="121"/>
    </row>
    <row r="140" spans="1:28">
      <c r="A140" s="121" t="str">
        <f ca="1">IFERROR(__xludf.DUMMYFUNCTION("""COMPUTED_VALUE"""),"uuid:2c677fd3-e0c2-4393-a661-ca58f1746cd1")</f>
        <v>uuid:2c677fd3-e0c2-4393-a661-ca58f1746cd1</v>
      </c>
      <c r="B140" s="121" t="str">
        <f ca="1">IFERROR(__xludf.DUMMYFUNCTION("""COMPUTED_VALUE"""),"FR4136")</f>
        <v>FR4136</v>
      </c>
      <c r="C140" s="121" t="str">
        <f ca="1">IFERROR(__xludf.DUMMYFUNCTION("""COMPUTED_VALUE"""),"Raqema Hutak")</f>
        <v>Raqema Hutak</v>
      </c>
      <c r="D140" s="121" t="str">
        <f ca="1">IFERROR(__xludf.DUMMYFUNCTION("""COMPUTED_VALUE"""),"HER-KBL-HF2496-Q2-2025-1103-01")</f>
        <v>HER-KBL-HF2496-Q2-2025-1103-01</v>
      </c>
      <c r="E140" s="121" t="str">
        <f ca="1">IFERROR(__xludf.DUMMYFUNCTION("""COMPUTED_VALUE"""),"Kabul")</f>
        <v>Kabul</v>
      </c>
      <c r="F140" s="121" t="str">
        <f ca="1">IFERROR(__xludf.DUMMYFUNCTION("""COMPUTED_VALUE"""),"Khak-e-Jabar")</f>
        <v>Khak-e-Jabar</v>
      </c>
      <c r="G140" s="121" t="str">
        <f ca="1">IFERROR(__xludf.DUMMYFUNCTION("""COMPUTED_VALUE"""),"Chenari SHC (2496)")</f>
        <v>Chenari SHC (2496)</v>
      </c>
      <c r="H140" s="121">
        <f ca="1">IFERROR(__xludf.DUMMYFUNCTION("""COMPUTED_VALUE"""),8)</f>
        <v>8</v>
      </c>
      <c r="I140" s="122">
        <f ca="1">IFERROR(__xludf.DUMMYFUNCTION("""COMPUTED_VALUE"""),15)</f>
        <v>15</v>
      </c>
      <c r="J140" s="123">
        <f ca="1">IFERROR(__xludf.DUMMYFUNCTION("""COMPUTED_VALUE"""),45963)</f>
        <v>45963</v>
      </c>
      <c r="K140" s="123">
        <f ca="1">IFERROR(__xludf.DUMMYFUNCTION("""COMPUTED_VALUE"""),45962)</f>
        <v>45962</v>
      </c>
      <c r="L140" s="121" t="str">
        <f ca="1">IFERROR(__xludf.DUMMYFUNCTION("""COMPUTED_VALUE"""),"Vignette [3] Growth Monitoring and Promotion")</f>
        <v>Vignette [3] Growth Monitoring and Promotion</v>
      </c>
      <c r="M140" s="121" t="str">
        <f ca="1">IFERROR(__xludf.DUMMYFUNCTION("""COMPUTED_VALUE"""),"Vignette")</f>
        <v>Vignette</v>
      </c>
      <c r="N140" s="121" t="str">
        <f ca="1">IFERROR(__xludf.DUMMYFUNCTION("""COMPUTED_VALUE"""),"N/A")</f>
        <v>N/A</v>
      </c>
      <c r="O140" s="121"/>
      <c r="P140" s="121"/>
      <c r="Q140" s="121"/>
      <c r="R140" s="121"/>
      <c r="S140" s="121"/>
      <c r="T140" s="121"/>
      <c r="U140" s="121"/>
      <c r="V140" s="121"/>
      <c r="W140" s="121"/>
      <c r="X140" s="121"/>
      <c r="Y140" s="121"/>
      <c r="Z140" s="121"/>
      <c r="AA140" s="121" t="str">
        <f ca="1">IFERROR(__xludf.DUMMYFUNCTION("""COMPUTED_VALUE"""),"Fake/Test data")</f>
        <v>Fake/Test data</v>
      </c>
      <c r="AB140" s="121" t="str">
        <f ca="1">IFERROR(__xludf.DUMMYFUNCTION("""COMPUTED_VALUE"""),"Test data")</f>
        <v>Test data</v>
      </c>
    </row>
    <row r="141" spans="1:28">
      <c r="A141" s="121" t="str">
        <f ca="1">IFERROR(__xludf.DUMMYFUNCTION("""COMPUTED_VALUE"""),"uuid:42a4fb79-368e-4e96-be71-2a41ecebc6ca")</f>
        <v>uuid:42a4fb79-368e-4e96-be71-2a41ecebc6ca</v>
      </c>
      <c r="B141" s="121" t="str">
        <f ca="1">IFERROR(__xludf.DUMMYFUNCTION("""COMPUTED_VALUE"""),"FR4136")</f>
        <v>FR4136</v>
      </c>
      <c r="C141" s="121" t="str">
        <f ca="1">IFERROR(__xludf.DUMMYFUNCTION("""COMPUTED_VALUE"""),"Raqema Hutak")</f>
        <v>Raqema Hutak</v>
      </c>
      <c r="D141" s="121" t="str">
        <f ca="1">IFERROR(__xludf.DUMMYFUNCTION("""COMPUTED_VALUE"""),"HER-KHO-HF4396-Q2-2025-1122-01")</f>
        <v>HER-KHO-HF4396-Q2-2025-1122-01</v>
      </c>
      <c r="E141" s="121" t="str">
        <f ca="1">IFERROR(__xludf.DUMMYFUNCTION("""COMPUTED_VALUE"""),"Khost")</f>
        <v>Khost</v>
      </c>
      <c r="F141" s="121" t="str">
        <f ca="1">IFERROR(__xludf.DUMMYFUNCTION("""COMPUTED_VALUE"""),"Tanay")</f>
        <v>Tanay</v>
      </c>
      <c r="G141" s="121" t="str">
        <f ca="1">IFERROR(__xludf.DUMMYFUNCTION("""COMPUTED_VALUE"""),"Hesarak SC (4396)")</f>
        <v>Hesarak SC (4396)</v>
      </c>
      <c r="H141" s="121">
        <f ca="1">IFERROR(__xludf.DUMMYFUNCTION("""COMPUTED_VALUE"""),8)</f>
        <v>8</v>
      </c>
      <c r="I141" s="122">
        <f ca="1">IFERROR(__xludf.DUMMYFUNCTION("""COMPUTED_VALUE"""),19)</f>
        <v>19</v>
      </c>
      <c r="J141" s="123">
        <f ca="1">IFERROR(__xludf.DUMMYFUNCTION("""COMPUTED_VALUE"""),45963)</f>
        <v>45963</v>
      </c>
      <c r="K141" s="123">
        <f ca="1">IFERROR(__xludf.DUMMYFUNCTION("""COMPUTED_VALUE"""),45962)</f>
        <v>45962</v>
      </c>
      <c r="L141" s="121" t="str">
        <f ca="1">IFERROR(__xludf.DUMMYFUNCTION("""COMPUTED_VALUE"""),"Vignette [5] Labor")</f>
        <v>Vignette [5] Labor</v>
      </c>
      <c r="M141" s="121" t="str">
        <f ca="1">IFERROR(__xludf.DUMMYFUNCTION("""COMPUTED_VALUE"""),"Vignette")</f>
        <v>Vignette</v>
      </c>
      <c r="N141" s="121" t="str">
        <f ca="1">IFERROR(__xludf.DUMMYFUNCTION("""COMPUTED_VALUE"""),"N/A")</f>
        <v>N/A</v>
      </c>
      <c r="O141" s="121"/>
      <c r="P141" s="121"/>
      <c r="Q141" s="121"/>
      <c r="R141" s="121"/>
      <c r="S141" s="121"/>
      <c r="T141" s="121"/>
      <c r="U141" s="121"/>
      <c r="V141" s="121"/>
      <c r="W141" s="121"/>
      <c r="X141" s="121"/>
      <c r="Y141" s="121"/>
      <c r="Z141" s="121"/>
      <c r="AA141" s="121"/>
      <c r="AB141" s="121"/>
    </row>
    <row r="142" spans="1:28">
      <c r="A142" s="121" t="str">
        <f ca="1">IFERROR(__xludf.DUMMYFUNCTION("""COMPUTED_VALUE"""),"uuid:ba68f408-98c7-407d-8051-c04999a1192f")</f>
        <v>uuid:ba68f408-98c7-407d-8051-c04999a1192f</v>
      </c>
      <c r="B142" s="121" t="str">
        <f ca="1">IFERROR(__xludf.DUMMYFUNCTION("""COMPUTED_VALUE"""),"FR4136")</f>
        <v>FR4136</v>
      </c>
      <c r="C142" s="121" t="str">
        <f ca="1">IFERROR(__xludf.DUMMYFUNCTION("""COMPUTED_VALUE"""),"Raqema Hutak")</f>
        <v>Raqema Hutak</v>
      </c>
      <c r="D142" s="121" t="str">
        <f ca="1">IFERROR(__xludf.DUMMYFUNCTION("""COMPUTED_VALUE"""),"HER-JZJ-HF4369-Q2-2025-1100-01")</f>
        <v>HER-JZJ-HF4369-Q2-2025-1100-01</v>
      </c>
      <c r="E142" s="121" t="str">
        <f ca="1">IFERROR(__xludf.DUMMYFUNCTION("""COMPUTED_VALUE"""),"Jawzjan")</f>
        <v>Jawzjan</v>
      </c>
      <c r="F142" s="121" t="str">
        <f ca="1">IFERROR(__xludf.DUMMYFUNCTION("""COMPUTED_VALUE"""),"Mardeyaan")</f>
        <v>Mardeyaan</v>
      </c>
      <c r="G142" s="121" t="str">
        <f ca="1">IFERROR(__xludf.DUMMYFUNCTION("""COMPUTED_VALUE"""),"Chlik Kol SC (4369)")</f>
        <v>Chlik Kol SC (4369)</v>
      </c>
      <c r="H142" s="121">
        <f ca="1">IFERROR(__xludf.DUMMYFUNCTION("""COMPUTED_VALUE"""),1)</f>
        <v>1</v>
      </c>
      <c r="I142" s="122">
        <f ca="1">IFERROR(__xludf.DUMMYFUNCTION("""COMPUTED_VALUE"""),47)</f>
        <v>47</v>
      </c>
      <c r="J142" s="123">
        <f ca="1">IFERROR(__xludf.DUMMYFUNCTION("""COMPUTED_VALUE"""),45963)</f>
        <v>45963</v>
      </c>
      <c r="K142" s="123">
        <f ca="1">IFERROR(__xludf.DUMMYFUNCTION("""COMPUTED_VALUE"""),45962)</f>
        <v>45962</v>
      </c>
      <c r="L142" s="121" t="str">
        <f ca="1">IFERROR(__xludf.DUMMYFUNCTION("""COMPUTED_VALUE"""),"Exit Interview 2")</f>
        <v>Exit Interview 2</v>
      </c>
      <c r="M142" s="121" t="str">
        <f ca="1">IFERROR(__xludf.DUMMYFUNCTION("""COMPUTED_VALUE"""),"Vignette")</f>
        <v>Vignette</v>
      </c>
      <c r="N142" s="121" t="str">
        <f ca="1">IFERROR(__xludf.DUMMYFUNCTION("""COMPUTED_VALUE"""),"N/A")</f>
        <v>N/A</v>
      </c>
      <c r="O142" s="121"/>
      <c r="P142" s="121"/>
      <c r="Q142" s="121"/>
      <c r="R142" s="121"/>
      <c r="S142" s="121"/>
      <c r="T142" s="121"/>
      <c r="U142" s="121"/>
      <c r="V142" s="121"/>
      <c r="W142" s="121"/>
      <c r="X142" s="121"/>
      <c r="Y142" s="121"/>
      <c r="Z142" s="121"/>
      <c r="AA142" s="121" t="str">
        <f ca="1">IFERROR(__xludf.DUMMYFUNCTION("""COMPUTED_VALUE"""),"Fake/Test data")</f>
        <v>Fake/Test data</v>
      </c>
      <c r="AB142" s="121"/>
    </row>
    <row r="143" spans="1:28">
      <c r="A143" s="121" t="str">
        <f ca="1">IFERROR(__xludf.DUMMYFUNCTION("""COMPUTED_VALUE"""),"uuid:c7ef41c2-ba9f-45d7-b8b8-6d222afffe2d")</f>
        <v>uuid:c7ef41c2-ba9f-45d7-b8b8-6d222afffe2d</v>
      </c>
      <c r="B143" s="121" t="str">
        <f ca="1">IFERROR(__xludf.DUMMYFUNCTION("""COMPUTED_VALUE"""),"FR2044")</f>
        <v>FR2044</v>
      </c>
      <c r="C143" s="121" t="str">
        <f ca="1">IFERROR(__xludf.DUMMYFUNCTION("""COMPUTED_VALUE"""),"Rohullah Roz Bah")</f>
        <v>Rohullah Roz Bah</v>
      </c>
      <c r="D143" s="121" t="str">
        <f ca="1">IFERROR(__xludf.DUMMYFUNCTION("""COMPUTED_VALUE"""),"HER-PAR-HF2328-Q2-2025-1221-01")</f>
        <v>HER-PAR-HF2328-Q2-2025-1221-01</v>
      </c>
      <c r="E143" s="121" t="str">
        <f ca="1">IFERROR(__xludf.DUMMYFUNCTION("""COMPUTED_VALUE"""),"Parwan")</f>
        <v>Parwan</v>
      </c>
      <c r="F143" s="121" t="str">
        <f ca="1">IFERROR(__xludf.DUMMYFUNCTION("""COMPUTED_VALUE"""),"Chaharekar")</f>
        <v>Chaharekar</v>
      </c>
      <c r="G143" s="121" t="str">
        <f ca="1">IFERROR(__xludf.DUMMYFUNCTION("""COMPUTED_VALUE"""),"Ghorband Dara SHC (2328)")</f>
        <v>Ghorband Dara SHC (2328)</v>
      </c>
      <c r="H143" s="121">
        <f ca="1">IFERROR(__xludf.DUMMYFUNCTION("""COMPUTED_VALUE"""),8)</f>
        <v>8</v>
      </c>
      <c r="I143" s="122">
        <f ca="1">IFERROR(__xludf.DUMMYFUNCTION("""COMPUTED_VALUE"""),30)</f>
        <v>30</v>
      </c>
      <c r="J143" s="123">
        <f ca="1">IFERROR(__xludf.DUMMYFUNCTION("""COMPUTED_VALUE"""),45963)</f>
        <v>45963</v>
      </c>
      <c r="K143" s="123">
        <f ca="1">IFERROR(__xludf.DUMMYFUNCTION("""COMPUTED_VALUE"""),45963)</f>
        <v>45963</v>
      </c>
      <c r="L143" s="121" t="str">
        <f ca="1">IFERROR(__xludf.DUMMYFUNCTION("""COMPUTED_VALUE"""),"Vignette [1] Respiratory Infection: Pneumonia")</f>
        <v>Vignette [1] Respiratory Infection: Pneumonia</v>
      </c>
      <c r="M143" s="121" t="str">
        <f ca="1">IFERROR(__xludf.DUMMYFUNCTION("""COMPUTED_VALUE"""),"Vignette")</f>
        <v>Vignette</v>
      </c>
      <c r="N143" s="121" t="str">
        <f ca="1">IFERROR(__xludf.DUMMYFUNCTION("""COMPUTED_VALUE"""),"N/A")</f>
        <v>N/A</v>
      </c>
      <c r="O143" s="121"/>
      <c r="P143" s="121"/>
      <c r="Q143" s="121"/>
      <c r="R143" s="121"/>
      <c r="S143" s="121"/>
      <c r="T143" s="121"/>
      <c r="U143" s="121"/>
      <c r="V143" s="121"/>
      <c r="W143" s="121"/>
      <c r="X143" s="121"/>
      <c r="Y143" s="121"/>
      <c r="Z143" s="121"/>
      <c r="AA143" s="121"/>
      <c r="AB143" s="121"/>
    </row>
    <row r="144" spans="1:28">
      <c r="A144" s="121" t="str">
        <f ca="1">IFERROR(__xludf.DUMMYFUNCTION("""COMPUTED_VALUE"""),"uuid:c9958bd0-bbba-4a12-8ae1-f6baec77bfbd")</f>
        <v>uuid:c9958bd0-bbba-4a12-8ae1-f6baec77bfbd</v>
      </c>
      <c r="B144" s="121" t="str">
        <f ca="1">IFERROR(__xludf.DUMMYFUNCTION("""COMPUTED_VALUE"""),"FR2222")</f>
        <v>FR2222</v>
      </c>
      <c r="C144" s="121" t="str">
        <f ca="1">IFERROR(__xludf.DUMMYFUNCTION("""COMPUTED_VALUE"""),"Test Name 1")</f>
        <v>Test Name 1</v>
      </c>
      <c r="D144" s="121" t="str">
        <f ca="1">IFERROR(__xludf.DUMMYFUNCTION("""COMPUTED_VALUE"""),"HER-PAN-HF4656-Q2-2025-1202-01")</f>
        <v>HER-PAN-HF4656-Q2-2025-1202-01</v>
      </c>
      <c r="E144" s="121" t="str">
        <f ca="1">IFERROR(__xludf.DUMMYFUNCTION("""COMPUTED_VALUE"""),"Panjsher")</f>
        <v>Panjsher</v>
      </c>
      <c r="F144" s="121" t="str">
        <f ca="1">IFERROR(__xludf.DUMMYFUNCTION("""COMPUTED_VALUE"""),"His-e-Awal (Khenj)")</f>
        <v>His-e-Awal (Khenj)</v>
      </c>
      <c r="G144" s="121" t="str">
        <f ca="1">IFERROR(__xludf.DUMMYFUNCTION("""COMPUTED_VALUE"""),"Jarwesh SHC (4656)")</f>
        <v>Jarwesh SHC (4656)</v>
      </c>
      <c r="H144" s="121">
        <f ca="1">IFERROR(__xludf.DUMMYFUNCTION("""COMPUTED_VALUE"""),8)</f>
        <v>8</v>
      </c>
      <c r="I144" s="122">
        <f ca="1">IFERROR(__xludf.DUMMYFUNCTION("""COMPUTED_VALUE"""),29)</f>
        <v>29</v>
      </c>
      <c r="J144" s="123">
        <f ca="1">IFERROR(__xludf.DUMMYFUNCTION("""COMPUTED_VALUE"""),45963)</f>
        <v>45963</v>
      </c>
      <c r="K144" s="123">
        <f ca="1">IFERROR(__xludf.DUMMYFUNCTION("""COMPUTED_VALUE"""),45963)</f>
        <v>45963</v>
      </c>
      <c r="L144" s="121" t="str">
        <f ca="1">IFERROR(__xludf.DUMMYFUNCTION("""COMPUTED_VALUE"""),"Vignette [6] PNC pre Discharge")</f>
        <v>Vignette [6] PNC pre Discharge</v>
      </c>
      <c r="M144" s="121" t="str">
        <f ca="1">IFERROR(__xludf.DUMMYFUNCTION("""COMPUTED_VALUE"""),"Vignette")</f>
        <v>Vignette</v>
      </c>
      <c r="N144" s="121" t="str">
        <f ca="1">IFERROR(__xludf.DUMMYFUNCTION("""COMPUTED_VALUE"""),"N/A")</f>
        <v>N/A</v>
      </c>
      <c r="O144" s="121"/>
      <c r="P144" s="121"/>
      <c r="Q144" s="121"/>
      <c r="R144" s="121"/>
      <c r="S144" s="121"/>
      <c r="T144" s="121"/>
      <c r="U144" s="121"/>
      <c r="V144" s="121"/>
      <c r="W144" s="121"/>
      <c r="X144" s="121"/>
      <c r="Y144" s="121"/>
      <c r="Z144" s="121"/>
      <c r="AA144" s="121"/>
      <c r="AB144" s="121" t="str">
        <f ca="1">IFERROR(__xludf.DUMMYFUNCTION("""COMPUTED_VALUE"""),"The user name should double check")</f>
        <v>The user name should double check</v>
      </c>
    </row>
    <row r="145" spans="1:28">
      <c r="A145" s="121" t="str">
        <f ca="1">IFERROR(__xludf.DUMMYFUNCTION("""COMPUTED_VALUE"""),"uuid:95341d36-c66a-41ec-9800-89ca3e8e6911")</f>
        <v>uuid:95341d36-c66a-41ec-9800-89ca3e8e6911</v>
      </c>
      <c r="B145" s="121" t="str">
        <f ca="1">IFERROR(__xludf.DUMMYFUNCTION("""COMPUTED_VALUE"""),"FR2222")</f>
        <v>FR2222</v>
      </c>
      <c r="C145" s="121" t="str">
        <f ca="1">IFERROR(__xludf.DUMMYFUNCTION("""COMPUTED_VALUE"""),"Test Name 1")</f>
        <v>Test Name 1</v>
      </c>
      <c r="D145" s="121" t="str">
        <f ca="1">IFERROR(__xludf.DUMMYFUNCTION("""COMPUTED_VALUE"""),"HER-PAN-HF4656-Q2-2025-1202-01")</f>
        <v>HER-PAN-HF4656-Q2-2025-1202-01</v>
      </c>
      <c r="E145" s="121" t="str">
        <f ca="1">IFERROR(__xludf.DUMMYFUNCTION("""COMPUTED_VALUE"""),"Panjsher")</f>
        <v>Panjsher</v>
      </c>
      <c r="F145" s="121" t="str">
        <f ca="1">IFERROR(__xludf.DUMMYFUNCTION("""COMPUTED_VALUE"""),"His-e-Awal (Khenj)")</f>
        <v>His-e-Awal (Khenj)</v>
      </c>
      <c r="G145" s="121" t="str">
        <f ca="1">IFERROR(__xludf.DUMMYFUNCTION("""COMPUTED_VALUE"""),"Jarwesh SHC (4656)")</f>
        <v>Jarwesh SHC (4656)</v>
      </c>
      <c r="H145" s="121">
        <f ca="1">IFERROR(__xludf.DUMMYFUNCTION("""COMPUTED_VALUE"""),8)</f>
        <v>8</v>
      </c>
      <c r="I145" s="122">
        <f ca="1">IFERROR(__xludf.DUMMYFUNCTION("""COMPUTED_VALUE"""),16)</f>
        <v>16</v>
      </c>
      <c r="J145" s="123">
        <f ca="1">IFERROR(__xludf.DUMMYFUNCTION("""COMPUTED_VALUE"""),45963)</f>
        <v>45963</v>
      </c>
      <c r="K145" s="123">
        <f ca="1">IFERROR(__xludf.DUMMYFUNCTION("""COMPUTED_VALUE"""),45963)</f>
        <v>45963</v>
      </c>
      <c r="L145" s="121" t="str">
        <f ca="1">IFERROR(__xludf.DUMMYFUNCTION("""COMPUTED_VALUE"""),"Vignette [3] Growth Monitoring and Promotion")</f>
        <v>Vignette [3] Growth Monitoring and Promotion</v>
      </c>
      <c r="M145" s="121" t="str">
        <f ca="1">IFERROR(__xludf.DUMMYFUNCTION("""COMPUTED_VALUE"""),"Vignette")</f>
        <v>Vignette</v>
      </c>
      <c r="N145" s="121" t="str">
        <f ca="1">IFERROR(__xludf.DUMMYFUNCTION("""COMPUTED_VALUE"""),"N/A")</f>
        <v>N/A</v>
      </c>
      <c r="O145" s="121"/>
      <c r="P145" s="121"/>
      <c r="Q145" s="121"/>
      <c r="R145" s="121"/>
      <c r="S145" s="121"/>
      <c r="T145" s="121"/>
      <c r="U145" s="121"/>
      <c r="V145" s="121"/>
      <c r="W145" s="121"/>
      <c r="X145" s="121"/>
      <c r="Y145" s="121"/>
      <c r="Z145" s="121"/>
      <c r="AA145" s="121"/>
      <c r="AB145" s="121" t="str">
        <f ca="1">IFERROR(__xludf.DUMMYFUNCTION("""COMPUTED_VALUE"""),"The user name should double check")</f>
        <v>The user name should double check</v>
      </c>
    </row>
    <row r="146" spans="1:28">
      <c r="A146" s="121" t="str">
        <f ca="1">IFERROR(__xludf.DUMMYFUNCTION("""COMPUTED_VALUE"""),"uuid:1c606ea8-5b4a-4ab3-ad44-9bbcb1514221")</f>
        <v>uuid:1c606ea8-5b4a-4ab3-ad44-9bbcb1514221</v>
      </c>
      <c r="B146" s="121" t="str">
        <f ca="1">IFERROR(__xludf.DUMMYFUNCTION("""COMPUTED_VALUE"""),"FR2222")</f>
        <v>FR2222</v>
      </c>
      <c r="C146" s="121" t="str">
        <f ca="1">IFERROR(__xludf.DUMMYFUNCTION("""COMPUTED_VALUE"""),"Test Name 1")</f>
        <v>Test Name 1</v>
      </c>
      <c r="D146" s="121" t="str">
        <f ca="1">IFERROR(__xludf.DUMMYFUNCTION("""COMPUTED_VALUE"""),"HER-PAN-HF4656-Q2-2025-1202-01")</f>
        <v>HER-PAN-HF4656-Q2-2025-1202-01</v>
      </c>
      <c r="E146" s="121" t="str">
        <f ca="1">IFERROR(__xludf.DUMMYFUNCTION("""COMPUTED_VALUE"""),"Panjsher")</f>
        <v>Panjsher</v>
      </c>
      <c r="F146" s="121" t="str">
        <f ca="1">IFERROR(__xludf.DUMMYFUNCTION("""COMPUTED_VALUE"""),"His-e-Awal (Khenj)")</f>
        <v>His-e-Awal (Khenj)</v>
      </c>
      <c r="G146" s="121" t="str">
        <f ca="1">IFERROR(__xludf.DUMMYFUNCTION("""COMPUTED_VALUE"""),"Jarwesh SHC (4656)")</f>
        <v>Jarwesh SHC (4656)</v>
      </c>
      <c r="H146" s="121">
        <f ca="1">IFERROR(__xludf.DUMMYFUNCTION("""COMPUTED_VALUE"""),8)</f>
        <v>8</v>
      </c>
      <c r="I146" s="122">
        <f ca="1">IFERROR(__xludf.DUMMYFUNCTION("""COMPUTED_VALUE"""),20)</f>
        <v>20</v>
      </c>
      <c r="J146" s="123">
        <f ca="1">IFERROR(__xludf.DUMMYFUNCTION("""COMPUTED_VALUE"""),45963)</f>
        <v>45963</v>
      </c>
      <c r="K146" s="123">
        <f ca="1">IFERROR(__xludf.DUMMYFUNCTION("""COMPUTED_VALUE"""),45963)</f>
        <v>45963</v>
      </c>
      <c r="L146" s="121" t="str">
        <f ca="1">IFERROR(__xludf.DUMMYFUNCTION("""COMPUTED_VALUE"""),"Vignette [1] Respiratory Infection: Pneumonia")</f>
        <v>Vignette [1] Respiratory Infection: Pneumonia</v>
      </c>
      <c r="M146" s="121" t="str">
        <f ca="1">IFERROR(__xludf.DUMMYFUNCTION("""COMPUTED_VALUE"""),"Vignette")</f>
        <v>Vignette</v>
      </c>
      <c r="N146" s="121" t="str">
        <f ca="1">IFERROR(__xludf.DUMMYFUNCTION("""COMPUTED_VALUE"""),"N/A")</f>
        <v>N/A</v>
      </c>
      <c r="O146" s="121"/>
      <c r="P146" s="121"/>
      <c r="Q146" s="121"/>
      <c r="R146" s="121"/>
      <c r="S146" s="121"/>
      <c r="T146" s="121"/>
      <c r="U146" s="121"/>
      <c r="V146" s="121"/>
      <c r="W146" s="121"/>
      <c r="X146" s="121"/>
      <c r="Y146" s="121"/>
      <c r="Z146" s="121"/>
      <c r="AA146" s="121"/>
      <c r="AB146" s="121" t="str">
        <f ca="1">IFERROR(__xludf.DUMMYFUNCTION("""COMPUTED_VALUE"""),"The user name should double check")</f>
        <v>The user name should double check</v>
      </c>
    </row>
    <row r="147" spans="1:28">
      <c r="A147" s="121" t="str">
        <f ca="1">IFERROR(__xludf.DUMMYFUNCTION("""COMPUTED_VALUE"""),"uuid:55b2f02e-7c9c-48b3-8e44-67ffcf96224d")</f>
        <v>uuid:55b2f02e-7c9c-48b3-8e44-67ffcf96224d</v>
      </c>
      <c r="B147" s="121" t="str">
        <f ca="1">IFERROR(__xludf.DUMMYFUNCTION("""COMPUTED_VALUE"""),"FR2222")</f>
        <v>FR2222</v>
      </c>
      <c r="C147" s="121" t="str">
        <f ca="1">IFERROR(__xludf.DUMMYFUNCTION("""COMPUTED_VALUE"""),"Test Name 1")</f>
        <v>Test Name 1</v>
      </c>
      <c r="D147" s="121" t="str">
        <f ca="1">IFERROR(__xludf.DUMMYFUNCTION("""COMPUTED_VALUE"""),"HER-PAN-HF4656-Q2-2025-1202-01")</f>
        <v>HER-PAN-HF4656-Q2-2025-1202-01</v>
      </c>
      <c r="E147" s="121" t="str">
        <f ca="1">IFERROR(__xludf.DUMMYFUNCTION("""COMPUTED_VALUE"""),"Panjsher")</f>
        <v>Panjsher</v>
      </c>
      <c r="F147" s="121" t="str">
        <f ca="1">IFERROR(__xludf.DUMMYFUNCTION("""COMPUTED_VALUE"""),"His-e-Awal (Khenj)")</f>
        <v>His-e-Awal (Khenj)</v>
      </c>
      <c r="G147" s="121" t="str">
        <f ca="1">IFERROR(__xludf.DUMMYFUNCTION("""COMPUTED_VALUE"""),"Jarwesh SHC (4656)")</f>
        <v>Jarwesh SHC (4656)</v>
      </c>
      <c r="H147" s="121">
        <f ca="1">IFERROR(__xludf.DUMMYFUNCTION("""COMPUTED_VALUE"""),8)</f>
        <v>8</v>
      </c>
      <c r="I147" s="122">
        <f ca="1">IFERROR(__xludf.DUMMYFUNCTION("""COMPUTED_VALUE"""),16)</f>
        <v>16</v>
      </c>
      <c r="J147" s="123">
        <f ca="1">IFERROR(__xludf.DUMMYFUNCTION("""COMPUTED_VALUE"""),45963)</f>
        <v>45963</v>
      </c>
      <c r="K147" s="123">
        <f ca="1">IFERROR(__xludf.DUMMYFUNCTION("""COMPUTED_VALUE"""),45963)</f>
        <v>45963</v>
      </c>
      <c r="L147" s="121" t="str">
        <f ca="1">IFERROR(__xludf.DUMMYFUNCTION("""COMPUTED_VALUE"""),"Vignette [2]: Diarrhea with Cat B dehydration")</f>
        <v>Vignette [2]: Diarrhea with Cat B dehydration</v>
      </c>
      <c r="M147" s="121" t="str">
        <f ca="1">IFERROR(__xludf.DUMMYFUNCTION("""COMPUTED_VALUE"""),"Vignette")</f>
        <v>Vignette</v>
      </c>
      <c r="N147" s="121" t="str">
        <f ca="1">IFERROR(__xludf.DUMMYFUNCTION("""COMPUTED_VALUE"""),"N/A")</f>
        <v>N/A</v>
      </c>
      <c r="O147" s="121"/>
      <c r="P147" s="121"/>
      <c r="Q147" s="121"/>
      <c r="R147" s="121"/>
      <c r="S147" s="121"/>
      <c r="T147" s="121"/>
      <c r="U147" s="121"/>
      <c r="V147" s="121"/>
      <c r="W147" s="121"/>
      <c r="X147" s="121"/>
      <c r="Y147" s="121"/>
      <c r="Z147" s="121"/>
      <c r="AA147" s="121"/>
      <c r="AB147" s="121" t="str">
        <f ca="1">IFERROR(__xludf.DUMMYFUNCTION("""COMPUTED_VALUE"""),"The user name should double check")</f>
        <v>The user name should double check</v>
      </c>
    </row>
    <row r="148" spans="1:28">
      <c r="A148" s="121" t="str">
        <f ca="1">IFERROR(__xludf.DUMMYFUNCTION("""COMPUTED_VALUE"""),"uuid:27dc58e9-b21c-4fb8-83f2-0227a80624a5")</f>
        <v>uuid:27dc58e9-b21c-4fb8-83f2-0227a80624a5</v>
      </c>
      <c r="B148" s="121" t="str">
        <f ca="1">IFERROR(__xludf.DUMMYFUNCTION("""COMPUTED_VALUE"""),"FR2705")</f>
        <v>FR2705</v>
      </c>
      <c r="C148" s="121" t="str">
        <f ca="1">IFERROR(__xludf.DUMMYFUNCTION("""COMPUTED_VALUE"""),"Noorzia Khuram")</f>
        <v>Noorzia Khuram</v>
      </c>
      <c r="D148" s="121" t="str">
        <f ca="1">IFERROR(__xludf.DUMMYFUNCTION("""COMPUTED_VALUE"""),"HER-SAM-HF3792-Q2-2025-1227-01")</f>
        <v>HER-SAM-HF3792-Q2-2025-1227-01</v>
      </c>
      <c r="E148" s="121" t="str">
        <f ca="1">IFERROR(__xludf.DUMMYFUNCTION("""COMPUTED_VALUE"""),"Samangan")</f>
        <v>Samangan</v>
      </c>
      <c r="F148" s="121" t="str">
        <f ca="1">IFERROR(__xludf.DUMMYFUNCTION("""COMPUTED_VALUE"""),"Aybak")</f>
        <v>Aybak</v>
      </c>
      <c r="G148" s="121" t="str">
        <f ca="1">IFERROR(__xludf.DUMMYFUNCTION("""COMPUTED_VALUE"""),"Rabatak SC (3792)")</f>
        <v>Rabatak SC (3792)</v>
      </c>
      <c r="H148" s="121">
        <f ca="1">IFERROR(__xludf.DUMMYFUNCTION("""COMPUTED_VALUE"""),8)</f>
        <v>8</v>
      </c>
      <c r="I148" s="122">
        <f ca="1">IFERROR(__xludf.DUMMYFUNCTION("""COMPUTED_VALUE"""),20)</f>
        <v>20</v>
      </c>
      <c r="J148" s="123">
        <f ca="1">IFERROR(__xludf.DUMMYFUNCTION("""COMPUTED_VALUE"""),45963)</f>
        <v>45963</v>
      </c>
      <c r="K148" s="123">
        <f ca="1">IFERROR(__xludf.DUMMYFUNCTION("""COMPUTED_VALUE"""),45962)</f>
        <v>45962</v>
      </c>
      <c r="L148" s="121" t="str">
        <f ca="1">IFERROR(__xludf.DUMMYFUNCTION("""COMPUTED_VALUE"""),"Vignette [5] Labor")</f>
        <v>Vignette [5] Labor</v>
      </c>
      <c r="M148" s="121" t="str">
        <f ca="1">IFERROR(__xludf.DUMMYFUNCTION("""COMPUTED_VALUE"""),"Vignette")</f>
        <v>Vignette</v>
      </c>
      <c r="N148" s="121" t="str">
        <f ca="1">IFERROR(__xludf.DUMMYFUNCTION("""COMPUTED_VALUE"""),"N/A")</f>
        <v>N/A</v>
      </c>
      <c r="O148" s="121"/>
      <c r="P148" s="121"/>
      <c r="Q148" s="121"/>
      <c r="R148" s="121"/>
      <c r="S148" s="121"/>
      <c r="T148" s="121"/>
      <c r="U148" s="121"/>
      <c r="V148" s="121"/>
      <c r="W148" s="121"/>
      <c r="X148" s="121"/>
      <c r="Y148" s="121"/>
      <c r="Z148" s="121"/>
      <c r="AA148" s="121"/>
      <c r="AB148" s="121"/>
    </row>
    <row r="149" spans="1:28">
      <c r="A149" s="121" t="str">
        <f ca="1">IFERROR(__xludf.DUMMYFUNCTION("""COMPUTED_VALUE"""),"uuid:177dc8fc-ce3c-4826-a772-66701b0bb4b6")</f>
        <v>uuid:177dc8fc-ce3c-4826-a772-66701b0bb4b6</v>
      </c>
      <c r="B149" s="121" t="str">
        <f ca="1">IFERROR(__xludf.DUMMYFUNCTION("""COMPUTED_VALUE"""),"FR2705")</f>
        <v>FR2705</v>
      </c>
      <c r="C149" s="121" t="str">
        <f ca="1">IFERROR(__xludf.DUMMYFUNCTION("""COMPUTED_VALUE"""),"Noorzia Khuram")</f>
        <v>Noorzia Khuram</v>
      </c>
      <c r="D149" s="121" t="str">
        <f ca="1">IFERROR(__xludf.DUMMYFUNCTION("""COMPUTED_VALUE"""),"HER-SAM-HF3792-Q2-2025-1227-01")</f>
        <v>HER-SAM-HF3792-Q2-2025-1227-01</v>
      </c>
      <c r="E149" s="121" t="str">
        <f ca="1">IFERROR(__xludf.DUMMYFUNCTION("""COMPUTED_VALUE"""),"Samangan")</f>
        <v>Samangan</v>
      </c>
      <c r="F149" s="121" t="str">
        <f ca="1">IFERROR(__xludf.DUMMYFUNCTION("""COMPUTED_VALUE"""),"Aybak")</f>
        <v>Aybak</v>
      </c>
      <c r="G149" s="121" t="str">
        <f ca="1">IFERROR(__xludf.DUMMYFUNCTION("""COMPUTED_VALUE"""),"Rabatak SC (3792)")</f>
        <v>Rabatak SC (3792)</v>
      </c>
      <c r="H149" s="121">
        <f ca="1">IFERROR(__xludf.DUMMYFUNCTION("""COMPUTED_VALUE"""),8)</f>
        <v>8</v>
      </c>
      <c r="I149" s="122">
        <f ca="1">IFERROR(__xludf.DUMMYFUNCTION("""COMPUTED_VALUE"""),20)</f>
        <v>20</v>
      </c>
      <c r="J149" s="123">
        <f ca="1">IFERROR(__xludf.DUMMYFUNCTION("""COMPUTED_VALUE"""),45963)</f>
        <v>45963</v>
      </c>
      <c r="K149" s="123">
        <f ca="1">IFERROR(__xludf.DUMMYFUNCTION("""COMPUTED_VALUE"""),45962)</f>
        <v>45962</v>
      </c>
      <c r="L149" s="121" t="str">
        <f ca="1">IFERROR(__xludf.DUMMYFUNCTION("""COMPUTED_VALUE"""),"Exit Interview 2")</f>
        <v>Exit Interview 2</v>
      </c>
      <c r="M149" s="121" t="str">
        <f ca="1">IFERROR(__xludf.DUMMYFUNCTION("""COMPUTED_VALUE"""),"Vignette")</f>
        <v>Vignette</v>
      </c>
      <c r="N149" s="121" t="str">
        <f ca="1">IFERROR(__xludf.DUMMYFUNCTION("""COMPUTED_VALUE"""),"N/A")</f>
        <v>N/A</v>
      </c>
      <c r="O149" s="121"/>
      <c r="P149" s="121"/>
      <c r="Q149" s="121"/>
      <c r="R149" s="121"/>
      <c r="S149" s="121"/>
      <c r="T149" s="121"/>
      <c r="U149" s="121"/>
      <c r="V149" s="121"/>
      <c r="W149" s="121"/>
      <c r="X149" s="121"/>
      <c r="Y149" s="121"/>
      <c r="Z149" s="121"/>
      <c r="AA149" s="121"/>
      <c r="AB149" s="121"/>
    </row>
    <row r="150" spans="1:28">
      <c r="A150" s="121" t="str">
        <f ca="1">IFERROR(__xludf.DUMMYFUNCTION("""COMPUTED_VALUE"""),"uuid:1dc8f138-7196-4b1c-990e-cd35729bc8cb")</f>
        <v>uuid:1dc8f138-7196-4b1c-990e-cd35729bc8cb</v>
      </c>
      <c r="B150" s="121" t="str">
        <f ca="1">IFERROR(__xludf.DUMMYFUNCTION("""COMPUTED_VALUE"""),"FR2705")</f>
        <v>FR2705</v>
      </c>
      <c r="C150" s="121" t="str">
        <f ca="1">IFERROR(__xludf.DUMMYFUNCTION("""COMPUTED_VALUE"""),"Noorzia Khuram")</f>
        <v>Noorzia Khuram</v>
      </c>
      <c r="D150" s="121" t="str">
        <f ca="1">IFERROR(__xludf.DUMMYFUNCTION("""COMPUTED_VALUE"""),"HER-SAM-HF3792-Q2-2025-1227-01")</f>
        <v>HER-SAM-HF3792-Q2-2025-1227-01</v>
      </c>
      <c r="E150" s="121" t="str">
        <f ca="1">IFERROR(__xludf.DUMMYFUNCTION("""COMPUTED_VALUE"""),"Samangan")</f>
        <v>Samangan</v>
      </c>
      <c r="F150" s="121" t="str">
        <f ca="1">IFERROR(__xludf.DUMMYFUNCTION("""COMPUTED_VALUE"""),"Aybak")</f>
        <v>Aybak</v>
      </c>
      <c r="G150" s="121" t="str">
        <f ca="1">IFERROR(__xludf.DUMMYFUNCTION("""COMPUTED_VALUE"""),"Rabatak SC (3792)")</f>
        <v>Rabatak SC (3792)</v>
      </c>
      <c r="H150" s="121">
        <f ca="1">IFERROR(__xludf.DUMMYFUNCTION("""COMPUTED_VALUE"""),8)</f>
        <v>8</v>
      </c>
      <c r="I150" s="122">
        <f ca="1">IFERROR(__xludf.DUMMYFUNCTION("""COMPUTED_VALUE"""),20)</f>
        <v>20</v>
      </c>
      <c r="J150" s="123">
        <f ca="1">IFERROR(__xludf.DUMMYFUNCTION("""COMPUTED_VALUE"""),45963)</f>
        <v>45963</v>
      </c>
      <c r="K150" s="121" t="str">
        <f ca="1">IFERROR(__xludf.DUMMYFUNCTION("""COMPUTED_VALUE"""),"NaT")</f>
        <v>NaT</v>
      </c>
      <c r="L150" s="121" t="str">
        <f ca="1">IFERROR(__xludf.DUMMYFUNCTION("""COMPUTED_VALUE"""),"Vignette [8] Birth Spacing/ Family Planning :  FP Counselling")</f>
        <v>Vignette [8] Birth Spacing/ Family Planning :  FP Counselling</v>
      </c>
      <c r="M150" s="121" t="str">
        <f ca="1">IFERROR(__xludf.DUMMYFUNCTION("""COMPUTED_VALUE"""),"Vignette")</f>
        <v>Vignette</v>
      </c>
      <c r="N150" s="121" t="str">
        <f ca="1">IFERROR(__xludf.DUMMYFUNCTION("""COMPUTED_VALUE"""),"N/A")</f>
        <v>N/A</v>
      </c>
      <c r="O150" s="121"/>
      <c r="P150" s="121"/>
      <c r="Q150" s="121"/>
      <c r="R150" s="121"/>
      <c r="S150" s="121"/>
      <c r="T150" s="121"/>
      <c r="U150" s="121"/>
      <c r="V150" s="121"/>
      <c r="W150" s="121"/>
      <c r="X150" s="121"/>
      <c r="Y150" s="121"/>
      <c r="Z150" s="121"/>
      <c r="AA150" s="121"/>
      <c r="AB150" s="121"/>
    </row>
    <row r="151" spans="1:28">
      <c r="A151" s="121" t="str">
        <f ca="1">IFERROR(__xludf.DUMMYFUNCTION("""COMPUTED_VALUE"""),"uuid:afdae8c2-8446-424d-9135-430d9f12f819")</f>
        <v>uuid:afdae8c2-8446-424d-9135-430d9f12f819</v>
      </c>
      <c r="B151" s="121" t="str">
        <f ca="1">IFERROR(__xludf.DUMMYFUNCTION("""COMPUTED_VALUE"""),"FR2222")</f>
        <v>FR2222</v>
      </c>
      <c r="C151" s="121" t="str">
        <f ca="1">IFERROR(__xludf.DUMMYFUNCTION("""COMPUTED_VALUE"""),"Test Name 1")</f>
        <v>Test Name 1</v>
      </c>
      <c r="D151" s="121" t="str">
        <f ca="1">IFERROR(__xludf.DUMMYFUNCTION("""COMPUTED_VALUE"""),"HER-BDS-HF4266-Q2-2025-1004-01")</f>
        <v>HER-BDS-HF4266-Q2-2025-1004-01</v>
      </c>
      <c r="E151" s="121" t="str">
        <f ca="1">IFERROR(__xludf.DUMMYFUNCTION("""COMPUTED_VALUE"""),"Badakhshan")</f>
        <v>Badakhshan</v>
      </c>
      <c r="F151" s="121" t="str">
        <f ca="1">IFERROR(__xludf.DUMMYFUNCTION("""COMPUTED_VALUE"""),"Jurm")</f>
        <v>Jurm</v>
      </c>
      <c r="G151" s="121" t="str">
        <f ca="1">IFERROR(__xludf.DUMMYFUNCTION("""COMPUTED_VALUE"""),"Kaman Yaran SC (4266)")</f>
        <v>Kaman Yaran SC (4266)</v>
      </c>
      <c r="H151" s="121">
        <f ca="1">IFERROR(__xludf.DUMMYFUNCTION("""COMPUTED_VALUE"""),8)</f>
        <v>8</v>
      </c>
      <c r="I151" s="122">
        <f ca="1">IFERROR(__xludf.DUMMYFUNCTION("""COMPUTED_VALUE"""),14)</f>
        <v>14</v>
      </c>
      <c r="J151" s="123">
        <f ca="1">IFERROR(__xludf.DUMMYFUNCTION("""COMPUTED_VALUE"""),45963)</f>
        <v>45963</v>
      </c>
      <c r="K151" s="123">
        <f ca="1">IFERROR(__xludf.DUMMYFUNCTION("""COMPUTED_VALUE"""),45963)</f>
        <v>45963</v>
      </c>
      <c r="L151" s="121" t="str">
        <f ca="1">IFERROR(__xludf.DUMMYFUNCTION("""COMPUTED_VALUE"""),"Vignette [1] Respiratory Infection: Pneumonia")</f>
        <v>Vignette [1] Respiratory Infection: Pneumonia</v>
      </c>
      <c r="M151" s="121" t="str">
        <f ca="1">IFERROR(__xludf.DUMMYFUNCTION("""COMPUTED_VALUE"""),"Vignette")</f>
        <v>Vignette</v>
      </c>
      <c r="N151" s="121" t="str">
        <f ca="1">IFERROR(__xludf.DUMMYFUNCTION("""COMPUTED_VALUE"""),"N/A")</f>
        <v>N/A</v>
      </c>
      <c r="O151" s="121"/>
      <c r="P151" s="121"/>
      <c r="Q151" s="121"/>
      <c r="R151" s="121"/>
      <c r="S151" s="121"/>
      <c r="T151" s="121"/>
      <c r="U151" s="121"/>
      <c r="V151" s="121"/>
      <c r="W151" s="121"/>
      <c r="X151" s="121"/>
      <c r="Y151" s="121"/>
      <c r="Z151" s="121"/>
      <c r="AA151" s="121"/>
      <c r="AB151" s="121" t="str">
        <f ca="1">IFERROR(__xludf.DUMMYFUNCTION("""COMPUTED_VALUE"""),"The user name should double check")</f>
        <v>The user name should double check</v>
      </c>
    </row>
    <row r="152" spans="1:28">
      <c r="A152" s="121" t="str">
        <f ca="1">IFERROR(__xludf.DUMMYFUNCTION("""COMPUTED_VALUE"""),"uuid:95adece5-2bb3-4ce1-add4-49ff3a94f284")</f>
        <v>uuid:95adece5-2bb3-4ce1-add4-49ff3a94f284</v>
      </c>
      <c r="B152" s="121" t="str">
        <f ca="1">IFERROR(__xludf.DUMMYFUNCTION("""COMPUTED_VALUE"""),"FR2222")</f>
        <v>FR2222</v>
      </c>
      <c r="C152" s="121" t="str">
        <f ca="1">IFERROR(__xludf.DUMMYFUNCTION("""COMPUTED_VALUE"""),"Test Name 1")</f>
        <v>Test Name 1</v>
      </c>
      <c r="D152" s="121" t="str">
        <f ca="1">IFERROR(__xludf.DUMMYFUNCTION("""COMPUTED_VALUE"""),"HER-BDS-HF4266-Q2-2025-1004-01")</f>
        <v>HER-BDS-HF4266-Q2-2025-1004-01</v>
      </c>
      <c r="E152" s="121" t="str">
        <f ca="1">IFERROR(__xludf.DUMMYFUNCTION("""COMPUTED_VALUE"""),"Badakhshan")</f>
        <v>Badakhshan</v>
      </c>
      <c r="F152" s="121" t="str">
        <f ca="1">IFERROR(__xludf.DUMMYFUNCTION("""COMPUTED_VALUE"""),"Jurm")</f>
        <v>Jurm</v>
      </c>
      <c r="G152" s="121" t="str">
        <f ca="1">IFERROR(__xludf.DUMMYFUNCTION("""COMPUTED_VALUE"""),"Kaman Yaran SC (4266)")</f>
        <v>Kaman Yaran SC (4266)</v>
      </c>
      <c r="H152" s="121">
        <f ca="1">IFERROR(__xludf.DUMMYFUNCTION("""COMPUTED_VALUE"""),8)</f>
        <v>8</v>
      </c>
      <c r="I152" s="122">
        <f ca="1">IFERROR(__xludf.DUMMYFUNCTION("""COMPUTED_VALUE"""),11)</f>
        <v>11</v>
      </c>
      <c r="J152" s="123">
        <f ca="1">IFERROR(__xludf.DUMMYFUNCTION("""COMPUTED_VALUE"""),45963)</f>
        <v>45963</v>
      </c>
      <c r="K152" s="123">
        <f ca="1">IFERROR(__xludf.DUMMYFUNCTION("""COMPUTED_VALUE"""),45963)</f>
        <v>45963</v>
      </c>
      <c r="L152" s="121" t="str">
        <f ca="1">IFERROR(__xludf.DUMMYFUNCTION("""COMPUTED_VALUE"""),"Vignette [4]: The management of presumptive TB patient")</f>
        <v>Vignette [4]: The management of presumptive TB patient</v>
      </c>
      <c r="M152" s="121" t="str">
        <f ca="1">IFERROR(__xludf.DUMMYFUNCTION("""COMPUTED_VALUE"""),"Vignette")</f>
        <v>Vignette</v>
      </c>
      <c r="N152" s="121" t="str">
        <f ca="1">IFERROR(__xludf.DUMMYFUNCTION("""COMPUTED_VALUE"""),"N/A")</f>
        <v>N/A</v>
      </c>
      <c r="O152" s="121"/>
      <c r="P152" s="121"/>
      <c r="Q152" s="121"/>
      <c r="R152" s="121"/>
      <c r="S152" s="121"/>
      <c r="T152" s="121"/>
      <c r="U152" s="121"/>
      <c r="V152" s="121"/>
      <c r="W152" s="121"/>
      <c r="X152" s="121"/>
      <c r="Y152" s="121"/>
      <c r="Z152" s="121"/>
      <c r="AA152" s="121"/>
      <c r="AB152" s="121" t="str">
        <f ca="1">IFERROR(__xludf.DUMMYFUNCTION("""COMPUTED_VALUE"""),"The user name should double check")</f>
        <v>The user name should double check</v>
      </c>
    </row>
    <row r="153" spans="1:28">
      <c r="A153" s="121" t="str">
        <f ca="1">IFERROR(__xludf.DUMMYFUNCTION("""COMPUTED_VALUE"""),"uuid:2bb19692-17ae-4a5c-b1f6-8a9a0957c684")</f>
        <v>uuid:2bb19692-17ae-4a5c-b1f6-8a9a0957c684</v>
      </c>
      <c r="B153" s="121" t="str">
        <f ca="1">IFERROR(__xludf.DUMMYFUNCTION("""COMPUTED_VALUE"""),"FR2222")</f>
        <v>FR2222</v>
      </c>
      <c r="C153" s="121" t="str">
        <f ca="1">IFERROR(__xludf.DUMMYFUNCTION("""COMPUTED_VALUE"""),"Test Name 1")</f>
        <v>Test Name 1</v>
      </c>
      <c r="D153" s="121" t="str">
        <f ca="1">IFERROR(__xludf.DUMMYFUNCTION("""COMPUTED_VALUE"""),"HER-BDS-HF4266-Q2-2025-1004-01")</f>
        <v>HER-BDS-HF4266-Q2-2025-1004-01</v>
      </c>
      <c r="E153" s="121" t="str">
        <f ca="1">IFERROR(__xludf.DUMMYFUNCTION("""COMPUTED_VALUE"""),"Badakhshan")</f>
        <v>Badakhshan</v>
      </c>
      <c r="F153" s="121" t="str">
        <f ca="1">IFERROR(__xludf.DUMMYFUNCTION("""COMPUTED_VALUE"""),"Jurm")</f>
        <v>Jurm</v>
      </c>
      <c r="G153" s="121" t="str">
        <f ca="1">IFERROR(__xludf.DUMMYFUNCTION("""COMPUTED_VALUE"""),"Kaman Yaran SC (4266)")</f>
        <v>Kaman Yaran SC (4266)</v>
      </c>
      <c r="H153" s="121">
        <f ca="1">IFERROR(__xludf.DUMMYFUNCTION("""COMPUTED_VALUE"""),8)</f>
        <v>8</v>
      </c>
      <c r="I153" s="122">
        <f ca="1">IFERROR(__xludf.DUMMYFUNCTION("""COMPUTED_VALUE"""),12)</f>
        <v>12</v>
      </c>
      <c r="J153" s="123">
        <f ca="1">IFERROR(__xludf.DUMMYFUNCTION("""COMPUTED_VALUE"""),45963)</f>
        <v>45963</v>
      </c>
      <c r="K153" s="123">
        <f ca="1">IFERROR(__xludf.DUMMYFUNCTION("""COMPUTED_VALUE"""),45963)</f>
        <v>45963</v>
      </c>
      <c r="L153" s="121" t="str">
        <f ca="1">IFERROR(__xludf.DUMMYFUNCTION("""COMPUTED_VALUE"""),"Vignette [2]: Diarrhea with Cat B dehydration")</f>
        <v>Vignette [2]: Diarrhea with Cat B dehydration</v>
      </c>
      <c r="M153" s="121" t="str">
        <f ca="1">IFERROR(__xludf.DUMMYFUNCTION("""COMPUTED_VALUE"""),"Vignette")</f>
        <v>Vignette</v>
      </c>
      <c r="N153" s="121" t="str">
        <f ca="1">IFERROR(__xludf.DUMMYFUNCTION("""COMPUTED_VALUE"""),"N/A")</f>
        <v>N/A</v>
      </c>
      <c r="O153" s="121"/>
      <c r="P153" s="121"/>
      <c r="Q153" s="121"/>
      <c r="R153" s="121"/>
      <c r="S153" s="121"/>
      <c r="T153" s="121"/>
      <c r="U153" s="121"/>
      <c r="V153" s="121"/>
      <c r="W153" s="121"/>
      <c r="X153" s="121"/>
      <c r="Y153" s="121"/>
      <c r="Z153" s="121"/>
      <c r="AA153" s="121"/>
      <c r="AB153" s="121" t="str">
        <f ca="1">IFERROR(__xludf.DUMMYFUNCTION("""COMPUTED_VALUE"""),"The user name should double check")</f>
        <v>The user name should double check</v>
      </c>
    </row>
    <row r="154" spans="1:28">
      <c r="A154" s="121" t="str">
        <f ca="1">IFERROR(__xludf.DUMMYFUNCTION("""COMPUTED_VALUE"""),"uuid:74142a28-31b3-409e-992e-473166ddeb66")</f>
        <v>uuid:74142a28-31b3-409e-992e-473166ddeb66</v>
      </c>
      <c r="B154" s="121" t="str">
        <f ca="1">IFERROR(__xludf.DUMMYFUNCTION("""COMPUTED_VALUE"""),"FR2222")</f>
        <v>FR2222</v>
      </c>
      <c r="C154" s="121" t="str">
        <f ca="1">IFERROR(__xludf.DUMMYFUNCTION("""COMPUTED_VALUE"""),"Test Name 1")</f>
        <v>Test Name 1</v>
      </c>
      <c r="D154" s="121" t="str">
        <f ca="1">IFERROR(__xludf.DUMMYFUNCTION("""COMPUTED_VALUE"""),"HER-BDS-HF4266-Q2-2025-1004-01")</f>
        <v>HER-BDS-HF4266-Q2-2025-1004-01</v>
      </c>
      <c r="E154" s="121" t="str">
        <f ca="1">IFERROR(__xludf.DUMMYFUNCTION("""COMPUTED_VALUE"""),"Badakhshan")</f>
        <v>Badakhshan</v>
      </c>
      <c r="F154" s="121" t="str">
        <f ca="1">IFERROR(__xludf.DUMMYFUNCTION("""COMPUTED_VALUE"""),"Jurm")</f>
        <v>Jurm</v>
      </c>
      <c r="G154" s="121" t="str">
        <f ca="1">IFERROR(__xludf.DUMMYFUNCTION("""COMPUTED_VALUE"""),"Kaman Yaran SC (4266)")</f>
        <v>Kaman Yaran SC (4266)</v>
      </c>
      <c r="H154" s="121">
        <f ca="1">IFERROR(__xludf.DUMMYFUNCTION("""COMPUTED_VALUE"""),8)</f>
        <v>8</v>
      </c>
      <c r="I154" s="122">
        <f ca="1">IFERROR(__xludf.DUMMYFUNCTION("""COMPUTED_VALUE"""),16)</f>
        <v>16</v>
      </c>
      <c r="J154" s="123">
        <f ca="1">IFERROR(__xludf.DUMMYFUNCTION("""COMPUTED_VALUE"""),45963)</f>
        <v>45963</v>
      </c>
      <c r="K154" s="123">
        <f ca="1">IFERROR(__xludf.DUMMYFUNCTION("""COMPUTED_VALUE"""),45963)</f>
        <v>45963</v>
      </c>
      <c r="L154" s="121" t="str">
        <f ca="1">IFERROR(__xludf.DUMMYFUNCTION("""COMPUTED_VALUE"""),"Exit Interview 1")</f>
        <v>Exit Interview 1</v>
      </c>
      <c r="M154" s="121" t="str">
        <f ca="1">IFERROR(__xludf.DUMMYFUNCTION("""COMPUTED_VALUE"""),"Vignette")</f>
        <v>Vignette</v>
      </c>
      <c r="N154" s="121" t="str">
        <f ca="1">IFERROR(__xludf.DUMMYFUNCTION("""COMPUTED_VALUE"""),"N/A")</f>
        <v>N/A</v>
      </c>
      <c r="O154" s="121"/>
      <c r="P154" s="121"/>
      <c r="Q154" s="121"/>
      <c r="R154" s="121"/>
      <c r="S154" s="121"/>
      <c r="T154" s="121"/>
      <c r="U154" s="121"/>
      <c r="V154" s="121"/>
      <c r="W154" s="121"/>
      <c r="X154" s="121"/>
      <c r="Y154" s="121"/>
      <c r="Z154" s="121"/>
      <c r="AA154" s="121"/>
      <c r="AB154" s="121" t="str">
        <f ca="1">IFERROR(__xludf.DUMMYFUNCTION("""COMPUTED_VALUE"""),"The user name should double check")</f>
        <v>The user name should double check</v>
      </c>
    </row>
    <row r="155" spans="1:28">
      <c r="A155" s="121" t="str">
        <f ca="1">IFERROR(__xludf.DUMMYFUNCTION("""COMPUTED_VALUE"""),"uuid:02155d9b-626a-4a67-8a7c-032e20c91f9e")</f>
        <v>uuid:02155d9b-626a-4a67-8a7c-032e20c91f9e</v>
      </c>
      <c r="B155" s="121" t="str">
        <f ca="1">IFERROR(__xludf.DUMMYFUNCTION("""COMPUTED_VALUE"""),"FR2656")</f>
        <v>FR2656</v>
      </c>
      <c r="C155" s="121" t="str">
        <f ca="1">IFERROR(__xludf.DUMMYFUNCTION("""COMPUTED_VALUE"""),"Rahila Danish")</f>
        <v>Rahila Danish</v>
      </c>
      <c r="D155" s="121" t="str">
        <f ca="1">IFERROR(__xludf.DUMMYFUNCTION("""COMPUTED_VALUE"""),"HER-BDS-HF3053-Q2-2025-1002-01")</f>
        <v>HER-BDS-HF3053-Q2-2025-1002-01</v>
      </c>
      <c r="E155" s="121" t="str">
        <f ca="1">IFERROR(__xludf.DUMMYFUNCTION("""COMPUTED_VALUE"""),"Badakhshan")</f>
        <v>Badakhshan</v>
      </c>
      <c r="F155" s="121" t="str">
        <f ca="1">IFERROR(__xludf.DUMMYFUNCTION("""COMPUTED_VALUE"""),"Darayem")</f>
        <v>Darayem</v>
      </c>
      <c r="G155" s="121" t="str">
        <f ca="1">IFERROR(__xludf.DUMMYFUNCTION("""COMPUTED_VALUE"""),"Shahr-e-Saadat SHC (3053)")</f>
        <v>Shahr-e-Saadat SHC (3053)</v>
      </c>
      <c r="H155" s="121">
        <f ca="1">IFERROR(__xludf.DUMMYFUNCTION("""COMPUTED_VALUE"""),8)</f>
        <v>8</v>
      </c>
      <c r="I155" s="122">
        <f ca="1">IFERROR(__xludf.DUMMYFUNCTION("""COMPUTED_VALUE"""),28)</f>
        <v>28</v>
      </c>
      <c r="J155" s="123">
        <f ca="1">IFERROR(__xludf.DUMMYFUNCTION("""COMPUTED_VALUE"""),45964)</f>
        <v>45964</v>
      </c>
      <c r="K155" s="123">
        <f ca="1">IFERROR(__xludf.DUMMYFUNCTION("""COMPUTED_VALUE"""),45963)</f>
        <v>45963</v>
      </c>
      <c r="L155" s="121" t="str">
        <f ca="1">IFERROR(__xludf.DUMMYFUNCTION("""COMPUTED_VALUE"""),"Vignette [8] Birth Spacing/ Family Planning :  FP Counselling")</f>
        <v>Vignette [8] Birth Spacing/ Family Planning :  FP Counselling</v>
      </c>
      <c r="M155" s="121" t="str">
        <f ca="1">IFERROR(__xludf.DUMMYFUNCTION("""COMPUTED_VALUE"""),"Vignette")</f>
        <v>Vignette</v>
      </c>
      <c r="N155" s="121" t="str">
        <f ca="1">IFERROR(__xludf.DUMMYFUNCTION("""COMPUTED_VALUE"""),"N/A")</f>
        <v>N/A</v>
      </c>
      <c r="O155" s="121" t="str">
        <f ca="1">IFERROR(__xludf.DUMMYFUNCTION("""COMPUTED_VALUE"""),"No")</f>
        <v>No</v>
      </c>
      <c r="P155" s="121" t="str">
        <f ca="1">IFERROR(__xludf.DUMMYFUNCTION("""COMPUTED_VALUE""")," Voice of both sides is clear")</f>
        <v xml:space="preserve"> Voice of both sides is clear</v>
      </c>
      <c r="Q155" s="121" t="str">
        <f ca="1">IFERROR(__xludf.DUMMYFUNCTION("""COMPUTED_VALUE"""),"No Photo")</f>
        <v>No Photo</v>
      </c>
      <c r="R155" s="121" t="str">
        <f ca="1">IFERROR(__xludf.DUMMYFUNCTION("""COMPUTED_VALUE"""),"Yes")</f>
        <v>Yes</v>
      </c>
      <c r="S155" s="121" t="str">
        <f ca="1">IFERROR(__xludf.DUMMYFUNCTION("""COMPUTED_VALUE"""),"Yes")</f>
        <v>Yes</v>
      </c>
      <c r="T155" s="121" t="str">
        <f ca="1">IFERROR(__xludf.DUMMYFUNCTION("""COMPUTED_VALUE"""),"Checked")</f>
        <v>Checked</v>
      </c>
      <c r="U155" s="121" t="str">
        <f ca="1">IFERROR(__xludf.DUMMYFUNCTION("""COMPUTED_VALUE"""),"No")</f>
        <v>No</v>
      </c>
      <c r="V155" s="121" t="str">
        <f ca="1">IFERROR(__xludf.DUMMYFUNCTION("""COMPUTED_VALUE"""),"No")</f>
        <v>No</v>
      </c>
      <c r="W155" s="121">
        <f ca="1">IFERROR(__xludf.DUMMYFUNCTION("""COMPUTED_VALUE"""),5)</f>
        <v>5</v>
      </c>
      <c r="X155" s="121" t="str">
        <f ca="1">IFERROR(__xludf.DUMMYFUNCTION("""COMPUTED_VALUE"""),"Mohammad Elyas Safazada")</f>
        <v>Mohammad Elyas Safazada</v>
      </c>
      <c r="Y155" s="124">
        <f ca="1">IFERROR(__xludf.DUMMYFUNCTION("""COMPUTED_VALUE"""),45965)</f>
        <v>45965</v>
      </c>
      <c r="Z155" s="121" t="str">
        <f ca="1">IFERROR(__xludf.DUMMYFUNCTION("""COMPUTED_VALUE"""),"Approved")</f>
        <v>Approved</v>
      </c>
      <c r="AA155" s="121"/>
      <c r="AB155" s="121"/>
    </row>
    <row r="156" spans="1:28">
      <c r="A156" s="121" t="str">
        <f ca="1">IFERROR(__xludf.DUMMYFUNCTION("""COMPUTED_VALUE"""),"uuid:2f275183-0f65-4f53-b749-36f39a464d54")</f>
        <v>uuid:2f275183-0f65-4f53-b749-36f39a464d54</v>
      </c>
      <c r="B156" s="121" t="str">
        <f ca="1">IFERROR(__xludf.DUMMYFUNCTION("""COMPUTED_VALUE"""),"FR2656")</f>
        <v>FR2656</v>
      </c>
      <c r="C156" s="121" t="str">
        <f ca="1">IFERROR(__xludf.DUMMYFUNCTION("""COMPUTED_VALUE"""),"Rahila Danish")</f>
        <v>Rahila Danish</v>
      </c>
      <c r="D156" s="121" t="str">
        <f ca="1">IFERROR(__xludf.DUMMYFUNCTION("""COMPUTED_VALUE"""),"HER-BDS-HF3053-Q2-2025-1002-01")</f>
        <v>HER-BDS-HF3053-Q2-2025-1002-01</v>
      </c>
      <c r="E156" s="121" t="str">
        <f ca="1">IFERROR(__xludf.DUMMYFUNCTION("""COMPUTED_VALUE"""),"Badakhshan")</f>
        <v>Badakhshan</v>
      </c>
      <c r="F156" s="121" t="str">
        <f ca="1">IFERROR(__xludf.DUMMYFUNCTION("""COMPUTED_VALUE"""),"Darayem")</f>
        <v>Darayem</v>
      </c>
      <c r="G156" s="121" t="str">
        <f ca="1">IFERROR(__xludf.DUMMYFUNCTION("""COMPUTED_VALUE"""),"Shahr-e-Saadat SHC (3053)")</f>
        <v>Shahr-e-Saadat SHC (3053)</v>
      </c>
      <c r="H156" s="121">
        <f ca="1">IFERROR(__xludf.DUMMYFUNCTION("""COMPUTED_VALUE"""),8)</f>
        <v>8</v>
      </c>
      <c r="I156" s="122">
        <f ca="1">IFERROR(__xludf.DUMMYFUNCTION("""COMPUTED_VALUE"""),20)</f>
        <v>20</v>
      </c>
      <c r="J156" s="123">
        <f ca="1">IFERROR(__xludf.DUMMYFUNCTION("""COMPUTED_VALUE"""),45964)</f>
        <v>45964</v>
      </c>
      <c r="K156" s="123">
        <f ca="1">IFERROR(__xludf.DUMMYFUNCTION("""COMPUTED_VALUE"""),45963)</f>
        <v>45963</v>
      </c>
      <c r="L156" s="121" t="str">
        <f ca="1">IFERROR(__xludf.DUMMYFUNCTION("""COMPUTED_VALUE"""),"Vignette [9] Birth Spacing: Change FP method to Injectable")</f>
        <v>Vignette [9] Birth Spacing: Change FP method to Injectable</v>
      </c>
      <c r="M156" s="121" t="str">
        <f ca="1">IFERROR(__xludf.DUMMYFUNCTION("""COMPUTED_VALUE"""),"Vignette")</f>
        <v>Vignette</v>
      </c>
      <c r="N156" s="121" t="str">
        <f ca="1">IFERROR(__xludf.DUMMYFUNCTION("""COMPUTED_VALUE"""),"N/A")</f>
        <v>N/A</v>
      </c>
      <c r="O156" s="121" t="str">
        <f ca="1">IFERROR(__xludf.DUMMYFUNCTION("""COMPUTED_VALUE"""),"No")</f>
        <v>No</v>
      </c>
      <c r="P156" s="121" t="str">
        <f ca="1">IFERROR(__xludf.DUMMYFUNCTION("""COMPUTED_VALUE""")," Voice of both sides is clear")</f>
        <v xml:space="preserve"> Voice of both sides is clear</v>
      </c>
      <c r="Q156" s="121" t="str">
        <f ca="1">IFERROR(__xludf.DUMMYFUNCTION("""COMPUTED_VALUE"""),"No Photo")</f>
        <v>No Photo</v>
      </c>
      <c r="R156" s="121" t="str">
        <f ca="1">IFERROR(__xludf.DUMMYFUNCTION("""COMPUTED_VALUE"""),"Yes")</f>
        <v>Yes</v>
      </c>
      <c r="S156" s="121" t="str">
        <f ca="1">IFERROR(__xludf.DUMMYFUNCTION("""COMPUTED_VALUE"""),"Yes")</f>
        <v>Yes</v>
      </c>
      <c r="T156" s="121" t="str">
        <f ca="1">IFERROR(__xludf.DUMMYFUNCTION("""COMPUTED_VALUE"""),"Checked")</f>
        <v>Checked</v>
      </c>
      <c r="U156" s="121" t="str">
        <f ca="1">IFERROR(__xludf.DUMMYFUNCTION("""COMPUTED_VALUE"""),"No")</f>
        <v>No</v>
      </c>
      <c r="V156" s="121" t="str">
        <f ca="1">IFERROR(__xludf.DUMMYFUNCTION("""COMPUTED_VALUE"""),"No")</f>
        <v>No</v>
      </c>
      <c r="W156" s="121">
        <f ca="1">IFERROR(__xludf.DUMMYFUNCTION("""COMPUTED_VALUE"""),5)</f>
        <v>5</v>
      </c>
      <c r="X156" s="121" t="str">
        <f ca="1">IFERROR(__xludf.DUMMYFUNCTION("""COMPUTED_VALUE"""),"Mohammad Elyas Safazada")</f>
        <v>Mohammad Elyas Safazada</v>
      </c>
      <c r="Y156" s="124">
        <f ca="1">IFERROR(__xludf.DUMMYFUNCTION("""COMPUTED_VALUE"""),45965)</f>
        <v>45965</v>
      </c>
      <c r="Z156" s="121" t="str">
        <f ca="1">IFERROR(__xludf.DUMMYFUNCTION("""COMPUTED_VALUE"""),"Approved")</f>
        <v>Approved</v>
      </c>
      <c r="AA156" s="121"/>
      <c r="AB156" s="121"/>
    </row>
    <row r="157" spans="1:28">
      <c r="A157" s="121" t="str">
        <f ca="1">IFERROR(__xludf.DUMMYFUNCTION("""COMPUTED_VALUE"""),"uuid:1902f7c3-a476-4723-aa44-e57035b47f4a")</f>
        <v>uuid:1902f7c3-a476-4723-aa44-e57035b47f4a</v>
      </c>
      <c r="B157" s="121" t="str">
        <f ca="1">IFERROR(__xludf.DUMMYFUNCTION("""COMPUTED_VALUE"""),"FR2656")</f>
        <v>FR2656</v>
      </c>
      <c r="C157" s="121" t="str">
        <f ca="1">IFERROR(__xludf.DUMMYFUNCTION("""COMPUTED_VALUE"""),"Rahila Danish")</f>
        <v>Rahila Danish</v>
      </c>
      <c r="D157" s="121" t="str">
        <f ca="1">IFERROR(__xludf.DUMMYFUNCTION("""COMPUTED_VALUE"""),"HER-BDS-HF3053-Q2-2025-1002-01")</f>
        <v>HER-BDS-HF3053-Q2-2025-1002-01</v>
      </c>
      <c r="E157" s="121" t="str">
        <f ca="1">IFERROR(__xludf.DUMMYFUNCTION("""COMPUTED_VALUE"""),"Badakhshan")</f>
        <v>Badakhshan</v>
      </c>
      <c r="F157" s="121" t="str">
        <f ca="1">IFERROR(__xludf.DUMMYFUNCTION("""COMPUTED_VALUE"""),"Darayem")</f>
        <v>Darayem</v>
      </c>
      <c r="G157" s="121" t="str">
        <f ca="1">IFERROR(__xludf.DUMMYFUNCTION("""COMPUTED_VALUE"""),"Shahr-e-Saadat SHC (3053)")</f>
        <v>Shahr-e-Saadat SHC (3053)</v>
      </c>
      <c r="H157" s="121">
        <f ca="1">IFERROR(__xludf.DUMMYFUNCTION("""COMPUTED_VALUE"""),8)</f>
        <v>8</v>
      </c>
      <c r="I157" s="122">
        <f ca="1">IFERROR(__xludf.DUMMYFUNCTION("""COMPUTED_VALUE"""),15)</f>
        <v>15</v>
      </c>
      <c r="J157" s="123">
        <f ca="1">IFERROR(__xludf.DUMMYFUNCTION("""COMPUTED_VALUE"""),45964)</f>
        <v>45964</v>
      </c>
      <c r="K157" s="123">
        <f ca="1">IFERROR(__xludf.DUMMYFUNCTION("""COMPUTED_VALUE"""),45963)</f>
        <v>45963</v>
      </c>
      <c r="L157" s="121" t="str">
        <f ca="1">IFERROR(__xludf.DUMMYFUNCTION("""COMPUTED_VALUE"""),"Vignette [10] Post Partum Haemorrhage - Atonic Uterus at Health Centre")</f>
        <v>Vignette [10] Post Partum Haemorrhage - Atonic Uterus at Health Centre</v>
      </c>
      <c r="M157" s="121" t="str">
        <f ca="1">IFERROR(__xludf.DUMMYFUNCTION("""COMPUTED_VALUE"""),"Vignette")</f>
        <v>Vignette</v>
      </c>
      <c r="N157" s="121" t="str">
        <f ca="1">IFERROR(__xludf.DUMMYFUNCTION("""COMPUTED_VALUE"""),"N/A")</f>
        <v>N/A</v>
      </c>
      <c r="O157" s="121" t="str">
        <f ca="1">IFERROR(__xludf.DUMMYFUNCTION("""COMPUTED_VALUE"""),"Yes")</f>
        <v>Yes</v>
      </c>
      <c r="P157" s="121" t="str">
        <f ca="1">IFERROR(__xludf.DUMMYFUNCTION("""COMPUTED_VALUE""")," Voice of both sides is clear")</f>
        <v xml:space="preserve"> Voice of both sides is clear</v>
      </c>
      <c r="Q157" s="121" t="str">
        <f ca="1">IFERROR(__xludf.DUMMYFUNCTION("""COMPUTED_VALUE"""),"No Photo")</f>
        <v>No Photo</v>
      </c>
      <c r="R157" s="121" t="str">
        <f ca="1">IFERROR(__xludf.DUMMYFUNCTION("""COMPUTED_VALUE"""),"Yes")</f>
        <v>Yes</v>
      </c>
      <c r="S157" s="121" t="str">
        <f ca="1">IFERROR(__xludf.DUMMYFUNCTION("""COMPUTED_VALUE"""),"Yes")</f>
        <v>Yes</v>
      </c>
      <c r="T157" s="121" t="str">
        <f ca="1">IFERROR(__xludf.DUMMYFUNCTION("""COMPUTED_VALUE"""),"Checked")</f>
        <v>Checked</v>
      </c>
      <c r="U157" s="121" t="str">
        <f ca="1">IFERROR(__xludf.DUMMYFUNCTION("""COMPUTED_VALUE"""),"No")</f>
        <v>No</v>
      </c>
      <c r="V157" s="121" t="str">
        <f ca="1">IFERROR(__xludf.DUMMYFUNCTION("""COMPUTED_VALUE"""),"No")</f>
        <v>No</v>
      </c>
      <c r="W157" s="121">
        <f ca="1">IFERROR(__xludf.DUMMYFUNCTION("""COMPUTED_VALUE"""),5)</f>
        <v>5</v>
      </c>
      <c r="X157" s="121" t="str">
        <f ca="1">IFERROR(__xludf.DUMMYFUNCTION("""COMPUTED_VALUE"""),"Mohammad Elyas Safazada")</f>
        <v>Mohammad Elyas Safazada</v>
      </c>
      <c r="Y157" s="124">
        <f ca="1">IFERROR(__xludf.DUMMYFUNCTION("""COMPUTED_VALUE"""),45965)</f>
        <v>45965</v>
      </c>
      <c r="Z157" s="121" t="str">
        <f ca="1">IFERROR(__xludf.DUMMYFUNCTION("""COMPUTED_VALUE"""),"Approved")</f>
        <v>Approved</v>
      </c>
      <c r="AA157" s="121"/>
      <c r="AB157" s="121"/>
    </row>
    <row r="158" spans="1:28">
      <c r="A158" s="121" t="str">
        <f ca="1">IFERROR(__xludf.DUMMYFUNCTION("""COMPUTED_VALUE"""),"uuid:5dfc33d4-f0c3-47d3-ac3e-fffabd9549a6")</f>
        <v>uuid:5dfc33d4-f0c3-47d3-ac3e-fffabd9549a6</v>
      </c>
      <c r="B158" s="121" t="str">
        <f ca="1">IFERROR(__xludf.DUMMYFUNCTION("""COMPUTED_VALUE"""),"FR2656")</f>
        <v>FR2656</v>
      </c>
      <c r="C158" s="121" t="str">
        <f ca="1">IFERROR(__xludf.DUMMYFUNCTION("""COMPUTED_VALUE"""),"Rahila Danish")</f>
        <v>Rahila Danish</v>
      </c>
      <c r="D158" s="121" t="str">
        <f ca="1">IFERROR(__xludf.DUMMYFUNCTION("""COMPUTED_VALUE"""),"HER-BDS-HF3053-Q2-2025-1002-01")</f>
        <v>HER-BDS-HF3053-Q2-2025-1002-01</v>
      </c>
      <c r="E158" s="121" t="str">
        <f ca="1">IFERROR(__xludf.DUMMYFUNCTION("""COMPUTED_VALUE"""),"Badakhshan")</f>
        <v>Badakhshan</v>
      </c>
      <c r="F158" s="121" t="str">
        <f ca="1">IFERROR(__xludf.DUMMYFUNCTION("""COMPUTED_VALUE"""),"Darayem")</f>
        <v>Darayem</v>
      </c>
      <c r="G158" s="121" t="str">
        <f ca="1">IFERROR(__xludf.DUMMYFUNCTION("""COMPUTED_VALUE"""),"Shahr-e-Saadat SHC (3053)")</f>
        <v>Shahr-e-Saadat SHC (3053)</v>
      </c>
      <c r="H158" s="121">
        <f ca="1">IFERROR(__xludf.DUMMYFUNCTION("""COMPUTED_VALUE"""),8)</f>
        <v>8</v>
      </c>
      <c r="I158" s="122">
        <f ca="1">IFERROR(__xludf.DUMMYFUNCTION("""COMPUTED_VALUE"""),15)</f>
        <v>15</v>
      </c>
      <c r="J158" s="123">
        <f ca="1">IFERROR(__xludf.DUMMYFUNCTION("""COMPUTED_VALUE"""),45964)</f>
        <v>45964</v>
      </c>
      <c r="K158" s="123">
        <f ca="1">IFERROR(__xludf.DUMMYFUNCTION("""COMPUTED_VALUE"""),45963)</f>
        <v>45963</v>
      </c>
      <c r="L158" s="121" t="str">
        <f ca="1">IFERROR(__xludf.DUMMYFUNCTION("""COMPUTED_VALUE"""),"Vignette [5] Labor")</f>
        <v>Vignette [5] Labor</v>
      </c>
      <c r="M158" s="121" t="str">
        <f ca="1">IFERROR(__xludf.DUMMYFUNCTION("""COMPUTED_VALUE"""),"Vignette")</f>
        <v>Vignette</v>
      </c>
      <c r="N158" s="121" t="str">
        <f ca="1">IFERROR(__xludf.DUMMYFUNCTION("""COMPUTED_VALUE"""),"N/A")</f>
        <v>N/A</v>
      </c>
      <c r="O158" s="121" t="str">
        <f ca="1">IFERROR(__xludf.DUMMYFUNCTION("""COMPUTED_VALUE"""),"No")</f>
        <v>No</v>
      </c>
      <c r="P158" s="121" t="str">
        <f ca="1">IFERROR(__xludf.DUMMYFUNCTION("""COMPUTED_VALUE""")," Voice of both sides is clear")</f>
        <v xml:space="preserve"> Voice of both sides is clear</v>
      </c>
      <c r="Q158" s="121" t="str">
        <f ca="1">IFERROR(__xludf.DUMMYFUNCTION("""COMPUTED_VALUE"""),"No Photo")</f>
        <v>No Photo</v>
      </c>
      <c r="R158" s="121" t="str">
        <f ca="1">IFERROR(__xludf.DUMMYFUNCTION("""COMPUTED_VALUE"""),"Yes")</f>
        <v>Yes</v>
      </c>
      <c r="S158" s="121" t="str">
        <f ca="1">IFERROR(__xludf.DUMMYFUNCTION("""COMPUTED_VALUE"""),"Yes")</f>
        <v>Yes</v>
      </c>
      <c r="T158" s="121" t="str">
        <f ca="1">IFERROR(__xludf.DUMMYFUNCTION("""COMPUTED_VALUE"""),"Checked")</f>
        <v>Checked</v>
      </c>
      <c r="U158" s="121" t="str">
        <f ca="1">IFERROR(__xludf.DUMMYFUNCTION("""COMPUTED_VALUE"""),"No")</f>
        <v>No</v>
      </c>
      <c r="V158" s="121" t="str">
        <f ca="1">IFERROR(__xludf.DUMMYFUNCTION("""COMPUTED_VALUE"""),"No")</f>
        <v>No</v>
      </c>
      <c r="W158" s="121">
        <f ca="1">IFERROR(__xludf.DUMMYFUNCTION("""COMPUTED_VALUE"""),5)</f>
        <v>5</v>
      </c>
      <c r="X158" s="121" t="str">
        <f ca="1">IFERROR(__xludf.DUMMYFUNCTION("""COMPUTED_VALUE"""),"Mohammad Elyas Safazada")</f>
        <v>Mohammad Elyas Safazada</v>
      </c>
      <c r="Y158" s="124">
        <f ca="1">IFERROR(__xludf.DUMMYFUNCTION("""COMPUTED_VALUE"""),45965)</f>
        <v>45965</v>
      </c>
      <c r="Z158" s="121" t="str">
        <f ca="1">IFERROR(__xludf.DUMMYFUNCTION("""COMPUTED_VALUE"""),"Approved")</f>
        <v>Approved</v>
      </c>
      <c r="AA158" s="121"/>
      <c r="AB158" s="121"/>
    </row>
    <row r="159" spans="1:28">
      <c r="A159" s="121" t="str">
        <f ca="1">IFERROR(__xludf.DUMMYFUNCTION("""COMPUTED_VALUE"""),"uuid:16673537-d204-4867-aa61-6986f4fcc015")</f>
        <v>uuid:16673537-d204-4867-aa61-6986f4fcc015</v>
      </c>
      <c r="B159" s="121" t="str">
        <f ca="1">IFERROR(__xludf.DUMMYFUNCTION("""COMPUTED_VALUE"""),"FR2656")</f>
        <v>FR2656</v>
      </c>
      <c r="C159" s="121" t="str">
        <f ca="1">IFERROR(__xludf.DUMMYFUNCTION("""COMPUTED_VALUE"""),"Rahila Danish")</f>
        <v>Rahila Danish</v>
      </c>
      <c r="D159" s="121" t="str">
        <f ca="1">IFERROR(__xludf.DUMMYFUNCTION("""COMPUTED_VALUE"""),"HER-BDS-HF3053-Q2-2025-1002-01")</f>
        <v>HER-BDS-HF3053-Q2-2025-1002-01</v>
      </c>
      <c r="E159" s="121" t="str">
        <f ca="1">IFERROR(__xludf.DUMMYFUNCTION("""COMPUTED_VALUE"""),"Badakhshan")</f>
        <v>Badakhshan</v>
      </c>
      <c r="F159" s="121" t="str">
        <f ca="1">IFERROR(__xludf.DUMMYFUNCTION("""COMPUTED_VALUE"""),"Darayem")</f>
        <v>Darayem</v>
      </c>
      <c r="G159" s="121" t="str">
        <f ca="1">IFERROR(__xludf.DUMMYFUNCTION("""COMPUTED_VALUE"""),"Shahr-e-Saadat SHC (3053)")</f>
        <v>Shahr-e-Saadat SHC (3053)</v>
      </c>
      <c r="H159" s="121">
        <f ca="1">IFERROR(__xludf.DUMMYFUNCTION("""COMPUTED_VALUE"""),8)</f>
        <v>8</v>
      </c>
      <c r="I159" s="122">
        <f ca="1">IFERROR(__xludf.DUMMYFUNCTION("""COMPUTED_VALUE"""),10)</f>
        <v>10</v>
      </c>
      <c r="J159" s="123">
        <f ca="1">IFERROR(__xludf.DUMMYFUNCTION("""COMPUTED_VALUE"""),45964)</f>
        <v>45964</v>
      </c>
      <c r="K159" s="123">
        <f ca="1">IFERROR(__xludf.DUMMYFUNCTION("""COMPUTED_VALUE"""),45963)</f>
        <v>45963</v>
      </c>
      <c r="L159" s="121" t="str">
        <f ca="1">IFERROR(__xludf.DUMMYFUNCTION("""COMPUTED_VALUE"""),"Vignette [3] Growth Monitoring and Promotion")</f>
        <v>Vignette [3] Growth Monitoring and Promotion</v>
      </c>
      <c r="M159" s="121" t="str">
        <f ca="1">IFERROR(__xludf.DUMMYFUNCTION("""COMPUTED_VALUE"""),"Vignette")</f>
        <v>Vignette</v>
      </c>
      <c r="N159" s="121" t="str">
        <f ca="1">IFERROR(__xludf.DUMMYFUNCTION("""COMPUTED_VALUE"""),"N/A")</f>
        <v>N/A</v>
      </c>
      <c r="O159" s="121" t="str">
        <f ca="1">IFERROR(__xludf.DUMMYFUNCTION("""COMPUTED_VALUE"""),"Yes")</f>
        <v>Yes</v>
      </c>
      <c r="P159" s="121" t="str">
        <f ca="1">IFERROR(__xludf.DUMMYFUNCTION("""COMPUTED_VALUE""")," Voice of both sides is clear")</f>
        <v xml:space="preserve"> Voice of both sides is clear</v>
      </c>
      <c r="Q159" s="121" t="str">
        <f ca="1">IFERROR(__xludf.DUMMYFUNCTION("""COMPUTED_VALUE"""),"No Photo")</f>
        <v>No Photo</v>
      </c>
      <c r="R159" s="121" t="str">
        <f ca="1">IFERROR(__xludf.DUMMYFUNCTION("""COMPUTED_VALUE"""),"Yes")</f>
        <v>Yes</v>
      </c>
      <c r="S159" s="121" t="str">
        <f ca="1">IFERROR(__xludf.DUMMYFUNCTION("""COMPUTED_VALUE"""),"Yes")</f>
        <v>Yes</v>
      </c>
      <c r="T159" s="121" t="str">
        <f ca="1">IFERROR(__xludf.DUMMYFUNCTION("""COMPUTED_VALUE"""),"Checked")</f>
        <v>Checked</v>
      </c>
      <c r="U159" s="121" t="str">
        <f ca="1">IFERROR(__xludf.DUMMYFUNCTION("""COMPUTED_VALUE"""),"No")</f>
        <v>No</v>
      </c>
      <c r="V159" s="121" t="str">
        <f ca="1">IFERROR(__xludf.DUMMYFUNCTION("""COMPUTED_VALUE"""),"No")</f>
        <v>No</v>
      </c>
      <c r="W159" s="121">
        <f ca="1">IFERROR(__xludf.DUMMYFUNCTION("""COMPUTED_VALUE"""),4)</f>
        <v>4</v>
      </c>
      <c r="X159" s="121" t="str">
        <f ca="1">IFERROR(__xludf.DUMMYFUNCTION("""COMPUTED_VALUE"""),"Mohammad Elyas Safazada")</f>
        <v>Mohammad Elyas Safazada</v>
      </c>
      <c r="Y159" s="124">
        <f ca="1">IFERROR(__xludf.DUMMYFUNCTION("""COMPUTED_VALUE"""),45965)</f>
        <v>45965</v>
      </c>
      <c r="Z159" s="121" t="str">
        <f ca="1">IFERROR(__xludf.DUMMYFUNCTION("""COMPUTED_VALUE"""),"Approved")</f>
        <v>Approved</v>
      </c>
      <c r="AA159" s="121"/>
      <c r="AB159" s="121"/>
    </row>
    <row r="160" spans="1:28">
      <c r="A160" s="121" t="str">
        <f ca="1">IFERROR(__xludf.DUMMYFUNCTION("""COMPUTED_VALUE"""),"uuid:29eb80f2-b297-4720-9bea-0c27b9d46e0a")</f>
        <v>uuid:29eb80f2-b297-4720-9bea-0c27b9d46e0a</v>
      </c>
      <c r="B160" s="121" t="str">
        <f ca="1">IFERROR(__xludf.DUMMYFUNCTION("""COMPUTED_VALUE"""),"FR2656")</f>
        <v>FR2656</v>
      </c>
      <c r="C160" s="121" t="str">
        <f ca="1">IFERROR(__xludf.DUMMYFUNCTION("""COMPUTED_VALUE"""),"Rahila Danish")</f>
        <v>Rahila Danish</v>
      </c>
      <c r="D160" s="121" t="str">
        <f ca="1">IFERROR(__xludf.DUMMYFUNCTION("""COMPUTED_VALUE"""),"HER-BDS-HF3053-Q2-2025-1002-01")</f>
        <v>HER-BDS-HF3053-Q2-2025-1002-01</v>
      </c>
      <c r="E160" s="121" t="str">
        <f ca="1">IFERROR(__xludf.DUMMYFUNCTION("""COMPUTED_VALUE"""),"Badakhshan")</f>
        <v>Badakhshan</v>
      </c>
      <c r="F160" s="121" t="str">
        <f ca="1">IFERROR(__xludf.DUMMYFUNCTION("""COMPUTED_VALUE"""),"Darayem")</f>
        <v>Darayem</v>
      </c>
      <c r="G160" s="121" t="str">
        <f ca="1">IFERROR(__xludf.DUMMYFUNCTION("""COMPUTED_VALUE"""),"Shahr-e-Saadat SHC (3053)")</f>
        <v>Shahr-e-Saadat SHC (3053)</v>
      </c>
      <c r="H160" s="121">
        <f ca="1">IFERROR(__xludf.DUMMYFUNCTION("""COMPUTED_VALUE"""),8)</f>
        <v>8</v>
      </c>
      <c r="I160" s="122">
        <f ca="1">IFERROR(__xludf.DUMMYFUNCTION("""COMPUTED_VALUE"""),22)</f>
        <v>22</v>
      </c>
      <c r="J160" s="123">
        <f ca="1">IFERROR(__xludf.DUMMYFUNCTION("""COMPUTED_VALUE"""),45964)</f>
        <v>45964</v>
      </c>
      <c r="K160" s="123">
        <f ca="1">IFERROR(__xludf.DUMMYFUNCTION("""COMPUTED_VALUE"""),45963)</f>
        <v>45963</v>
      </c>
      <c r="L160" s="121" t="str">
        <f ca="1">IFERROR(__xludf.DUMMYFUNCTION("""COMPUTED_VALUE"""),"Vignette [7] First ANC Visit")</f>
        <v>Vignette [7] First ANC Visit</v>
      </c>
      <c r="M160" s="121" t="str">
        <f ca="1">IFERROR(__xludf.DUMMYFUNCTION("""COMPUTED_VALUE"""),"Vignette")</f>
        <v>Vignette</v>
      </c>
      <c r="N160" s="121" t="str">
        <f ca="1">IFERROR(__xludf.DUMMYFUNCTION("""COMPUTED_VALUE"""),"N/A")</f>
        <v>N/A</v>
      </c>
      <c r="O160" s="121" t="str">
        <f ca="1">IFERROR(__xludf.DUMMYFUNCTION("""COMPUTED_VALUE"""),"Yes")</f>
        <v>Yes</v>
      </c>
      <c r="P160" s="121" t="str">
        <f ca="1">IFERROR(__xludf.DUMMYFUNCTION("""COMPUTED_VALUE""")," Voice of both sides is clear")</f>
        <v xml:space="preserve"> Voice of both sides is clear</v>
      </c>
      <c r="Q160" s="121" t="str">
        <f ca="1">IFERROR(__xludf.DUMMYFUNCTION("""COMPUTED_VALUE"""),"No Photo")</f>
        <v>No Photo</v>
      </c>
      <c r="R160" s="121" t="str">
        <f ca="1">IFERROR(__xludf.DUMMYFUNCTION("""COMPUTED_VALUE"""),"Yes")</f>
        <v>Yes</v>
      </c>
      <c r="S160" s="121" t="str">
        <f ca="1">IFERROR(__xludf.DUMMYFUNCTION("""COMPUTED_VALUE"""),"Yes")</f>
        <v>Yes</v>
      </c>
      <c r="T160" s="121" t="str">
        <f ca="1">IFERROR(__xludf.DUMMYFUNCTION("""COMPUTED_VALUE"""),"Checked")</f>
        <v>Checked</v>
      </c>
      <c r="U160" s="121" t="str">
        <f ca="1">IFERROR(__xludf.DUMMYFUNCTION("""COMPUTED_VALUE"""),"No")</f>
        <v>No</v>
      </c>
      <c r="V160" s="121" t="str">
        <f ca="1">IFERROR(__xludf.DUMMYFUNCTION("""COMPUTED_VALUE"""),"No")</f>
        <v>No</v>
      </c>
      <c r="W160" s="121">
        <f ca="1">IFERROR(__xludf.DUMMYFUNCTION("""COMPUTED_VALUE"""),5)</f>
        <v>5</v>
      </c>
      <c r="X160" s="121" t="str">
        <f ca="1">IFERROR(__xludf.DUMMYFUNCTION("""COMPUTED_VALUE"""),"Mohammad Elyas Safazada")</f>
        <v>Mohammad Elyas Safazada</v>
      </c>
      <c r="Y160" s="124">
        <f ca="1">IFERROR(__xludf.DUMMYFUNCTION("""COMPUTED_VALUE"""),45965)</f>
        <v>45965</v>
      </c>
      <c r="Z160" s="121" t="str">
        <f ca="1">IFERROR(__xludf.DUMMYFUNCTION("""COMPUTED_VALUE"""),"Approved")</f>
        <v>Approved</v>
      </c>
      <c r="AA160" s="121"/>
      <c r="AB160" s="121"/>
    </row>
    <row r="161" spans="1:28">
      <c r="A161" s="121" t="str">
        <f ca="1">IFERROR(__xludf.DUMMYFUNCTION("""COMPUTED_VALUE"""),"uuid:014330a6-f0ab-4356-8855-be58f532b205")</f>
        <v>uuid:014330a6-f0ab-4356-8855-be58f532b205</v>
      </c>
      <c r="B161" s="121" t="str">
        <f ca="1">IFERROR(__xludf.DUMMYFUNCTION("""COMPUTED_VALUE"""),"FR2656")</f>
        <v>FR2656</v>
      </c>
      <c r="C161" s="121" t="str">
        <f ca="1">IFERROR(__xludf.DUMMYFUNCTION("""COMPUTED_VALUE"""),"Rahila Danish")</f>
        <v>Rahila Danish</v>
      </c>
      <c r="D161" s="121" t="str">
        <f ca="1">IFERROR(__xludf.DUMMYFUNCTION("""COMPUTED_VALUE"""),"HER-BDS-HF3053-Q2-2025-1002-01")</f>
        <v>HER-BDS-HF3053-Q2-2025-1002-01</v>
      </c>
      <c r="E161" s="121" t="str">
        <f ca="1">IFERROR(__xludf.DUMMYFUNCTION("""COMPUTED_VALUE"""),"Badakhshan")</f>
        <v>Badakhshan</v>
      </c>
      <c r="F161" s="121" t="str">
        <f ca="1">IFERROR(__xludf.DUMMYFUNCTION("""COMPUTED_VALUE"""),"Darayem")</f>
        <v>Darayem</v>
      </c>
      <c r="G161" s="121" t="str">
        <f ca="1">IFERROR(__xludf.DUMMYFUNCTION("""COMPUTED_VALUE"""),"Shahr-e-Saadat SHC (3053)")</f>
        <v>Shahr-e-Saadat SHC (3053)</v>
      </c>
      <c r="H161" s="121">
        <f ca="1">IFERROR(__xludf.DUMMYFUNCTION("""COMPUTED_VALUE"""),8)</f>
        <v>8</v>
      </c>
      <c r="I161" s="122">
        <f ca="1">IFERROR(__xludf.DUMMYFUNCTION("""COMPUTED_VALUE"""),17)</f>
        <v>17</v>
      </c>
      <c r="J161" s="123">
        <f ca="1">IFERROR(__xludf.DUMMYFUNCTION("""COMPUTED_VALUE"""),45964)</f>
        <v>45964</v>
      </c>
      <c r="K161" s="123">
        <f ca="1">IFERROR(__xludf.DUMMYFUNCTION("""COMPUTED_VALUE"""),45963)</f>
        <v>45963</v>
      </c>
      <c r="L161" s="121" t="str">
        <f ca="1">IFERROR(__xludf.DUMMYFUNCTION("""COMPUTED_VALUE"""),"Vignette [6] PNC pre Discharge")</f>
        <v>Vignette [6] PNC pre Discharge</v>
      </c>
      <c r="M161" s="121" t="str">
        <f ca="1">IFERROR(__xludf.DUMMYFUNCTION("""COMPUTED_VALUE"""),"Vignette")</f>
        <v>Vignette</v>
      </c>
      <c r="N161" s="121" t="str">
        <f ca="1">IFERROR(__xludf.DUMMYFUNCTION("""COMPUTED_VALUE"""),"N/A")</f>
        <v>N/A</v>
      </c>
      <c r="O161" s="121" t="str">
        <f ca="1">IFERROR(__xludf.DUMMYFUNCTION("""COMPUTED_VALUE"""),"Yes")</f>
        <v>Yes</v>
      </c>
      <c r="P161" s="121" t="str">
        <f ca="1">IFERROR(__xludf.DUMMYFUNCTION("""COMPUTED_VALUE""")," Voice of both sides is clear")</f>
        <v xml:space="preserve"> Voice of both sides is clear</v>
      </c>
      <c r="Q161" s="121" t="str">
        <f ca="1">IFERROR(__xludf.DUMMYFUNCTION("""COMPUTED_VALUE"""),"No Photo")</f>
        <v>No Photo</v>
      </c>
      <c r="R161" s="121" t="str">
        <f ca="1">IFERROR(__xludf.DUMMYFUNCTION("""COMPUTED_VALUE"""),"Yes")</f>
        <v>Yes</v>
      </c>
      <c r="S161" s="121" t="str">
        <f ca="1">IFERROR(__xludf.DUMMYFUNCTION("""COMPUTED_VALUE"""),"Yes")</f>
        <v>Yes</v>
      </c>
      <c r="T161" s="121" t="str">
        <f ca="1">IFERROR(__xludf.DUMMYFUNCTION("""COMPUTED_VALUE"""),"Checked")</f>
        <v>Checked</v>
      </c>
      <c r="U161" s="121" t="str">
        <f ca="1">IFERROR(__xludf.DUMMYFUNCTION("""COMPUTED_VALUE"""),"No")</f>
        <v>No</v>
      </c>
      <c r="V161" s="121" t="str">
        <f ca="1">IFERROR(__xludf.DUMMYFUNCTION("""COMPUTED_VALUE"""),"No")</f>
        <v>No</v>
      </c>
      <c r="W161" s="121">
        <f ca="1">IFERROR(__xludf.DUMMYFUNCTION("""COMPUTED_VALUE"""),4)</f>
        <v>4</v>
      </c>
      <c r="X161" s="121" t="str">
        <f ca="1">IFERROR(__xludf.DUMMYFUNCTION("""COMPUTED_VALUE"""),"Mohammad Elyas Safazada")</f>
        <v>Mohammad Elyas Safazada</v>
      </c>
      <c r="Y161" s="124">
        <f ca="1">IFERROR(__xludf.DUMMYFUNCTION("""COMPUTED_VALUE"""),45965)</f>
        <v>45965</v>
      </c>
      <c r="Z161" s="121" t="str">
        <f ca="1">IFERROR(__xludf.DUMMYFUNCTION("""COMPUTED_VALUE"""),"Approved")</f>
        <v>Approved</v>
      </c>
      <c r="AA161" s="121"/>
      <c r="AB161" s="121"/>
    </row>
    <row r="162" spans="1:28">
      <c r="A162" s="121" t="str">
        <f ca="1">IFERROR(__xludf.DUMMYFUNCTION("""COMPUTED_VALUE"""),"uuid:f2274c56-2672-4d71-a0f9-5f8ce2688e5b")</f>
        <v>uuid:f2274c56-2672-4d71-a0f9-5f8ce2688e5b</v>
      </c>
      <c r="B162" s="121" t="str">
        <f ca="1">IFERROR(__xludf.DUMMYFUNCTION("""COMPUTED_VALUE"""),"FR2656")</f>
        <v>FR2656</v>
      </c>
      <c r="C162" s="121" t="str">
        <f ca="1">IFERROR(__xludf.DUMMYFUNCTION("""COMPUTED_VALUE"""),"Rahila Danish")</f>
        <v>Rahila Danish</v>
      </c>
      <c r="D162" s="121" t="str">
        <f ca="1">IFERROR(__xludf.DUMMYFUNCTION("""COMPUTED_VALUE"""),"HER-BDS-HF3053-Q2-2025-1002-01")</f>
        <v>HER-BDS-HF3053-Q2-2025-1002-01</v>
      </c>
      <c r="E162" s="121" t="str">
        <f ca="1">IFERROR(__xludf.DUMMYFUNCTION("""COMPUTED_VALUE"""),"Badakhshan")</f>
        <v>Badakhshan</v>
      </c>
      <c r="F162" s="121" t="str">
        <f ca="1">IFERROR(__xludf.DUMMYFUNCTION("""COMPUTED_VALUE"""),"Darayem")</f>
        <v>Darayem</v>
      </c>
      <c r="G162" s="121" t="str">
        <f ca="1">IFERROR(__xludf.DUMMYFUNCTION("""COMPUTED_VALUE"""),"Shahr-e-Saadat SHC (3053)")</f>
        <v>Shahr-e-Saadat SHC (3053)</v>
      </c>
      <c r="H162" s="121">
        <f ca="1">IFERROR(__xludf.DUMMYFUNCTION("""COMPUTED_VALUE"""),8)</f>
        <v>8</v>
      </c>
      <c r="I162" s="122">
        <f ca="1">IFERROR(__xludf.DUMMYFUNCTION("""COMPUTED_VALUE"""),19)</f>
        <v>19</v>
      </c>
      <c r="J162" s="123">
        <f ca="1">IFERROR(__xludf.DUMMYFUNCTION("""COMPUTED_VALUE"""),45964)</f>
        <v>45964</v>
      </c>
      <c r="K162" s="123">
        <f ca="1">IFERROR(__xludf.DUMMYFUNCTION("""COMPUTED_VALUE"""),45963)</f>
        <v>45963</v>
      </c>
      <c r="L162" s="121" t="str">
        <f ca="1">IFERROR(__xludf.DUMMYFUNCTION("""COMPUTED_VALUE"""),"Exit Interview 2")</f>
        <v>Exit Interview 2</v>
      </c>
      <c r="M162" s="121" t="str">
        <f ca="1">IFERROR(__xludf.DUMMYFUNCTION("""COMPUTED_VALUE"""),"Vignette")</f>
        <v>Vignette</v>
      </c>
      <c r="N162" s="121" t="str">
        <f ca="1">IFERROR(__xludf.DUMMYFUNCTION("""COMPUTED_VALUE"""),"N/A")</f>
        <v>N/A</v>
      </c>
      <c r="O162" s="121" t="str">
        <f ca="1">IFERROR(__xludf.DUMMYFUNCTION("""COMPUTED_VALUE"""),"Yes")</f>
        <v>Yes</v>
      </c>
      <c r="P162" s="121" t="str">
        <f ca="1">IFERROR(__xludf.DUMMYFUNCTION("""COMPUTED_VALUE""")," Voice of both sides is clear")</f>
        <v xml:space="preserve"> Voice of both sides is clear</v>
      </c>
      <c r="Q162" s="121" t="str">
        <f ca="1">IFERROR(__xludf.DUMMYFUNCTION("""COMPUTED_VALUE"""),"No Photo")</f>
        <v>No Photo</v>
      </c>
      <c r="R162" s="121" t="str">
        <f ca="1">IFERROR(__xludf.DUMMYFUNCTION("""COMPUTED_VALUE"""),"Yes")</f>
        <v>Yes</v>
      </c>
      <c r="S162" s="121" t="str">
        <f ca="1">IFERROR(__xludf.DUMMYFUNCTION("""COMPUTED_VALUE"""),"Yes")</f>
        <v>Yes</v>
      </c>
      <c r="T162" s="121" t="str">
        <f ca="1">IFERROR(__xludf.DUMMYFUNCTION("""COMPUTED_VALUE"""),"Checked")</f>
        <v>Checked</v>
      </c>
      <c r="U162" s="121" t="str">
        <f ca="1">IFERROR(__xludf.DUMMYFUNCTION("""COMPUTED_VALUE"""),"No")</f>
        <v>No</v>
      </c>
      <c r="V162" s="121" t="str">
        <f ca="1">IFERROR(__xludf.DUMMYFUNCTION("""COMPUTED_VALUE"""),"Yes")</f>
        <v>Yes</v>
      </c>
      <c r="W162" s="121">
        <f ca="1">IFERROR(__xludf.DUMMYFUNCTION("""COMPUTED_VALUE"""),4)</f>
        <v>4</v>
      </c>
      <c r="X162" s="121" t="str">
        <f ca="1">IFERROR(__xludf.DUMMYFUNCTION("""COMPUTED_VALUE"""),"Mohammad Elyas Safazada")</f>
        <v>Mohammad Elyas Safazada</v>
      </c>
      <c r="Y162" s="124">
        <f ca="1">IFERROR(__xludf.DUMMYFUNCTION("""COMPUTED_VALUE"""),45965)</f>
        <v>45965</v>
      </c>
      <c r="Z162" s="121" t="str">
        <f ca="1">IFERROR(__xludf.DUMMYFUNCTION("""COMPUTED_VALUE"""),"Approved")</f>
        <v>Approved</v>
      </c>
      <c r="AA162" s="121"/>
      <c r="AB162" s="121"/>
    </row>
    <row r="163" spans="1:28">
      <c r="A163" s="121" t="str">
        <f ca="1">IFERROR(__xludf.DUMMYFUNCTION("""COMPUTED_VALUE"""),"uuid:b02c841f-0fa0-44e4-9de6-c9793618a614")</f>
        <v>uuid:b02c841f-0fa0-44e4-9de6-c9793618a614</v>
      </c>
      <c r="B163" s="121" t="str">
        <f ca="1">IFERROR(__xludf.DUMMYFUNCTION("""COMPUTED_VALUE"""),"FR4019")</f>
        <v>FR4019</v>
      </c>
      <c r="C163" s="121" t="str">
        <f ca="1">IFERROR(__xludf.DUMMYFUNCTION("""COMPUTED_VALUE"""),"Muhammad Qais Shahzada")</f>
        <v>Muhammad Qais Shahzada</v>
      </c>
      <c r="D163" s="121" t="str">
        <f ca="1">IFERROR(__xludf.DUMMYFUNCTION("""COMPUTED_VALUE"""),"HER-LGR-HF3807-Q2-2025-1167-01")</f>
        <v>HER-LGR-HF3807-Q2-2025-1167-01</v>
      </c>
      <c r="E163" s="121" t="str">
        <f ca="1">IFERROR(__xludf.DUMMYFUNCTION("""COMPUTED_VALUE"""),"Logar")</f>
        <v>Logar</v>
      </c>
      <c r="F163" s="121" t="str">
        <f ca="1">IFERROR(__xludf.DUMMYFUNCTION("""COMPUTED_VALUE"""),"Pul-e-Alam")</f>
        <v>Pul-e-Alam</v>
      </c>
      <c r="G163" s="121" t="str">
        <f ca="1">IFERROR(__xludf.DUMMYFUNCTION("""COMPUTED_VALUE"""),"Qala-e-Sadat Clinic (3807)")</f>
        <v>Qala-e-Sadat Clinic (3807)</v>
      </c>
      <c r="H163" s="121">
        <f ca="1">IFERROR(__xludf.DUMMYFUNCTION("""COMPUTED_VALUE"""),3)</f>
        <v>3</v>
      </c>
      <c r="I163" s="122">
        <f ca="1">IFERROR(__xludf.DUMMYFUNCTION("""COMPUTED_VALUE"""),11)</f>
        <v>11</v>
      </c>
      <c r="J163" s="123">
        <f ca="1">IFERROR(__xludf.DUMMYFUNCTION("""COMPUTED_VALUE"""),45964)</f>
        <v>45964</v>
      </c>
      <c r="K163" s="123">
        <f ca="1">IFERROR(__xludf.DUMMYFUNCTION("""COMPUTED_VALUE"""),45963)</f>
        <v>45963</v>
      </c>
      <c r="L163" s="121" t="str">
        <f ca="1">IFERROR(__xludf.DUMMYFUNCTION("""COMPUTED_VALUE"""),"Exit Interview 1")</f>
        <v>Exit Interview 1</v>
      </c>
      <c r="M163" s="121" t="str">
        <f ca="1">IFERROR(__xludf.DUMMYFUNCTION("""COMPUTED_VALUE"""),"Vignette")</f>
        <v>Vignette</v>
      </c>
      <c r="N163" s="121" t="str">
        <f ca="1">IFERROR(__xludf.DUMMYFUNCTION("""COMPUTED_VALUE"""),"N/A")</f>
        <v>N/A</v>
      </c>
      <c r="O163" s="121"/>
      <c r="P163" s="121"/>
      <c r="Q163" s="121"/>
      <c r="R163" s="121"/>
      <c r="S163" s="121"/>
      <c r="T163" s="121"/>
      <c r="U163" s="121"/>
      <c r="V163" s="121"/>
      <c r="W163" s="121"/>
      <c r="X163" s="121"/>
      <c r="Y163" s="121"/>
      <c r="Z163" s="121"/>
      <c r="AA163" s="121"/>
      <c r="AB163" s="121"/>
    </row>
    <row r="164" spans="1:28">
      <c r="A164" s="121" t="str">
        <f ca="1">IFERROR(__xludf.DUMMYFUNCTION("""COMPUTED_VALUE"""),"uuid:46cf278f-c3ba-480f-94ad-b2e356d85188")</f>
        <v>uuid:46cf278f-c3ba-480f-94ad-b2e356d85188</v>
      </c>
      <c r="B164" s="121" t="str">
        <f ca="1">IFERROR(__xludf.DUMMYFUNCTION("""COMPUTED_VALUE"""),"FR4019")</f>
        <v>FR4019</v>
      </c>
      <c r="C164" s="121" t="str">
        <f ca="1">IFERROR(__xludf.DUMMYFUNCTION("""COMPUTED_VALUE"""),"Muhammad Qais Shahzada")</f>
        <v>Muhammad Qais Shahzada</v>
      </c>
      <c r="D164" s="121" t="str">
        <f ca="1">IFERROR(__xludf.DUMMYFUNCTION("""COMPUTED_VALUE"""),"HER-LGR-HF3807-Q2-2025-1167-01")</f>
        <v>HER-LGR-HF3807-Q2-2025-1167-01</v>
      </c>
      <c r="E164" s="121" t="str">
        <f ca="1">IFERROR(__xludf.DUMMYFUNCTION("""COMPUTED_VALUE"""),"Logar")</f>
        <v>Logar</v>
      </c>
      <c r="F164" s="121" t="str">
        <f ca="1">IFERROR(__xludf.DUMMYFUNCTION("""COMPUTED_VALUE"""),"Pul-e-Alam")</f>
        <v>Pul-e-Alam</v>
      </c>
      <c r="G164" s="121" t="str">
        <f ca="1">IFERROR(__xludf.DUMMYFUNCTION("""COMPUTED_VALUE"""),"Qala-e-Sadat Clinic (3807)")</f>
        <v>Qala-e-Sadat Clinic (3807)</v>
      </c>
      <c r="H164" s="121">
        <f ca="1">IFERROR(__xludf.DUMMYFUNCTION("""COMPUTED_VALUE"""),3)</f>
        <v>3</v>
      </c>
      <c r="I164" s="122">
        <f ca="1">IFERROR(__xludf.DUMMYFUNCTION("""COMPUTED_VALUE"""),8)</f>
        <v>8</v>
      </c>
      <c r="J164" s="123">
        <f ca="1">IFERROR(__xludf.DUMMYFUNCTION("""COMPUTED_VALUE"""),45964)</f>
        <v>45964</v>
      </c>
      <c r="K164" s="123">
        <f ca="1">IFERROR(__xludf.DUMMYFUNCTION("""COMPUTED_VALUE"""),45963)</f>
        <v>45963</v>
      </c>
      <c r="L164" s="121" t="str">
        <f ca="1">IFERROR(__xludf.DUMMYFUNCTION("""COMPUTED_VALUE"""),"Vignette [4]: The management of presumptive TB patient")</f>
        <v>Vignette [4]: The management of presumptive TB patient</v>
      </c>
      <c r="M164" s="121" t="str">
        <f ca="1">IFERROR(__xludf.DUMMYFUNCTION("""COMPUTED_VALUE"""),"Vignette")</f>
        <v>Vignette</v>
      </c>
      <c r="N164" s="121" t="str">
        <f ca="1">IFERROR(__xludf.DUMMYFUNCTION("""COMPUTED_VALUE"""),"N/A")</f>
        <v>N/A</v>
      </c>
      <c r="O164" s="121"/>
      <c r="P164" s="121"/>
      <c r="Q164" s="121"/>
      <c r="R164" s="121"/>
      <c r="S164" s="121"/>
      <c r="T164" s="121"/>
      <c r="U164" s="121"/>
      <c r="V164" s="121"/>
      <c r="W164" s="121"/>
      <c r="X164" s="121"/>
      <c r="Y164" s="121"/>
      <c r="Z164" s="121"/>
      <c r="AA164" s="121"/>
      <c r="AB164" s="121"/>
    </row>
    <row r="165" spans="1:28">
      <c r="A165" s="121" t="str">
        <f ca="1">IFERROR(__xludf.DUMMYFUNCTION("""COMPUTED_VALUE"""),"uuid:78f95591-b1f8-42bf-b2de-0f3a31470367")</f>
        <v>uuid:78f95591-b1f8-42bf-b2de-0f3a31470367</v>
      </c>
      <c r="B165" s="121" t="str">
        <f ca="1">IFERROR(__xludf.DUMMYFUNCTION("""COMPUTED_VALUE"""),"FR4019")</f>
        <v>FR4019</v>
      </c>
      <c r="C165" s="121" t="str">
        <f ca="1">IFERROR(__xludf.DUMMYFUNCTION("""COMPUTED_VALUE"""),"Muhammad Qais Shahzada")</f>
        <v>Muhammad Qais Shahzada</v>
      </c>
      <c r="D165" s="121" t="str">
        <f ca="1">IFERROR(__xludf.DUMMYFUNCTION("""COMPUTED_VALUE"""),"HER-LGR-HF3807-Q2-2025-1167-01")</f>
        <v>HER-LGR-HF3807-Q2-2025-1167-01</v>
      </c>
      <c r="E165" s="121" t="str">
        <f ca="1">IFERROR(__xludf.DUMMYFUNCTION("""COMPUTED_VALUE"""),"Logar")</f>
        <v>Logar</v>
      </c>
      <c r="F165" s="121" t="str">
        <f ca="1">IFERROR(__xludf.DUMMYFUNCTION("""COMPUTED_VALUE"""),"Pul-e-Alam")</f>
        <v>Pul-e-Alam</v>
      </c>
      <c r="G165" s="121" t="str">
        <f ca="1">IFERROR(__xludf.DUMMYFUNCTION("""COMPUTED_VALUE"""),"Qala-e-Sadat Clinic (3807)")</f>
        <v>Qala-e-Sadat Clinic (3807)</v>
      </c>
      <c r="H165" s="121">
        <f ca="1">IFERROR(__xludf.DUMMYFUNCTION("""COMPUTED_VALUE"""),3)</f>
        <v>3</v>
      </c>
      <c r="I165" s="122">
        <f ca="1">IFERROR(__xludf.DUMMYFUNCTION("""COMPUTED_VALUE"""),11)</f>
        <v>11</v>
      </c>
      <c r="J165" s="123">
        <f ca="1">IFERROR(__xludf.DUMMYFUNCTION("""COMPUTED_VALUE"""),45964)</f>
        <v>45964</v>
      </c>
      <c r="K165" s="123">
        <f ca="1">IFERROR(__xludf.DUMMYFUNCTION("""COMPUTED_VALUE"""),45963)</f>
        <v>45963</v>
      </c>
      <c r="L165" s="121" t="str">
        <f ca="1">IFERROR(__xludf.DUMMYFUNCTION("""COMPUTED_VALUE"""),"Vignette [3] Growth Monitoring and Promotion")</f>
        <v>Vignette [3] Growth Monitoring and Promotion</v>
      </c>
      <c r="M165" s="121" t="str">
        <f ca="1">IFERROR(__xludf.DUMMYFUNCTION("""COMPUTED_VALUE"""),"Vignette")</f>
        <v>Vignette</v>
      </c>
      <c r="N165" s="121" t="str">
        <f ca="1">IFERROR(__xludf.DUMMYFUNCTION("""COMPUTED_VALUE"""),"N/A")</f>
        <v>N/A</v>
      </c>
      <c r="O165" s="121"/>
      <c r="P165" s="121"/>
      <c r="Q165" s="121"/>
      <c r="R165" s="121"/>
      <c r="S165" s="121"/>
      <c r="T165" s="121"/>
      <c r="U165" s="121"/>
      <c r="V165" s="121"/>
      <c r="W165" s="121"/>
      <c r="X165" s="121"/>
      <c r="Y165" s="121"/>
      <c r="Z165" s="121"/>
      <c r="AA165" s="121"/>
      <c r="AB165" s="121"/>
    </row>
    <row r="166" spans="1:28">
      <c r="A166" s="121" t="str">
        <f ca="1">IFERROR(__xludf.DUMMYFUNCTION("""COMPUTED_VALUE"""),"uuid:a153921e-d382-4b02-88d8-4acbdc1b93eb")</f>
        <v>uuid:a153921e-d382-4b02-88d8-4acbdc1b93eb</v>
      </c>
      <c r="B166" s="121" t="str">
        <f ca="1">IFERROR(__xludf.DUMMYFUNCTION("""COMPUTED_VALUE"""),"FR4019")</f>
        <v>FR4019</v>
      </c>
      <c r="C166" s="121" t="str">
        <f ca="1">IFERROR(__xludf.DUMMYFUNCTION("""COMPUTED_VALUE"""),"Muhammad Qais Shahzada")</f>
        <v>Muhammad Qais Shahzada</v>
      </c>
      <c r="D166" s="121" t="str">
        <f ca="1">IFERROR(__xludf.DUMMYFUNCTION("""COMPUTED_VALUE"""),"HER-LGR-HF3807-Q2-2025-1167-01")</f>
        <v>HER-LGR-HF3807-Q2-2025-1167-01</v>
      </c>
      <c r="E166" s="121" t="str">
        <f ca="1">IFERROR(__xludf.DUMMYFUNCTION("""COMPUTED_VALUE"""),"Logar")</f>
        <v>Logar</v>
      </c>
      <c r="F166" s="121" t="str">
        <f ca="1">IFERROR(__xludf.DUMMYFUNCTION("""COMPUTED_VALUE"""),"Pul-e-Alam")</f>
        <v>Pul-e-Alam</v>
      </c>
      <c r="G166" s="121" t="str">
        <f ca="1">IFERROR(__xludf.DUMMYFUNCTION("""COMPUTED_VALUE"""),"Qala-e-Sadat Clinic (3807)")</f>
        <v>Qala-e-Sadat Clinic (3807)</v>
      </c>
      <c r="H166" s="121">
        <f ca="1">IFERROR(__xludf.DUMMYFUNCTION("""COMPUTED_VALUE"""),3)</f>
        <v>3</v>
      </c>
      <c r="I166" s="122">
        <f ca="1">IFERROR(__xludf.DUMMYFUNCTION("""COMPUTED_VALUE"""),12)</f>
        <v>12</v>
      </c>
      <c r="J166" s="123">
        <f ca="1">IFERROR(__xludf.DUMMYFUNCTION("""COMPUTED_VALUE"""),45964)</f>
        <v>45964</v>
      </c>
      <c r="K166" s="123">
        <f ca="1">IFERROR(__xludf.DUMMYFUNCTION("""COMPUTED_VALUE"""),45963)</f>
        <v>45963</v>
      </c>
      <c r="L166" s="121" t="str">
        <f ca="1">IFERROR(__xludf.DUMMYFUNCTION("""COMPUTED_VALUE"""),"Vignette [2]: Diarrhea with Cat B dehydration")</f>
        <v>Vignette [2]: Diarrhea with Cat B dehydration</v>
      </c>
      <c r="M166" s="121" t="str">
        <f ca="1">IFERROR(__xludf.DUMMYFUNCTION("""COMPUTED_VALUE"""),"Vignette")</f>
        <v>Vignette</v>
      </c>
      <c r="N166" s="121" t="str">
        <f ca="1">IFERROR(__xludf.DUMMYFUNCTION("""COMPUTED_VALUE"""),"N/A")</f>
        <v>N/A</v>
      </c>
      <c r="O166" s="121"/>
      <c r="P166" s="121"/>
      <c r="Q166" s="121"/>
      <c r="R166" s="121"/>
      <c r="S166" s="121"/>
      <c r="T166" s="121"/>
      <c r="U166" s="121"/>
      <c r="V166" s="121"/>
      <c r="W166" s="121"/>
      <c r="X166" s="121"/>
      <c r="Y166" s="121"/>
      <c r="Z166" s="121"/>
      <c r="AA166" s="121"/>
      <c r="AB166" s="121"/>
    </row>
    <row r="167" spans="1:28">
      <c r="A167" s="121" t="str">
        <f ca="1">IFERROR(__xludf.DUMMYFUNCTION("""COMPUTED_VALUE"""),"uuid:740ff111-07fa-4133-a6e8-c1cd19b5be76")</f>
        <v>uuid:740ff111-07fa-4133-a6e8-c1cd19b5be76</v>
      </c>
      <c r="B167" s="121" t="str">
        <f ca="1">IFERROR(__xludf.DUMMYFUNCTION("""COMPUTED_VALUE"""),"FR4019")</f>
        <v>FR4019</v>
      </c>
      <c r="C167" s="121" t="str">
        <f ca="1">IFERROR(__xludf.DUMMYFUNCTION("""COMPUTED_VALUE"""),"Muhammad Qais Shahzada")</f>
        <v>Muhammad Qais Shahzada</v>
      </c>
      <c r="D167" s="121" t="str">
        <f ca="1">IFERROR(__xludf.DUMMYFUNCTION("""COMPUTED_VALUE"""),"HER-LGR-HF3807-Q2-2025-1167-01")</f>
        <v>HER-LGR-HF3807-Q2-2025-1167-01</v>
      </c>
      <c r="E167" s="121" t="str">
        <f ca="1">IFERROR(__xludf.DUMMYFUNCTION("""COMPUTED_VALUE"""),"Logar")</f>
        <v>Logar</v>
      </c>
      <c r="F167" s="121" t="str">
        <f ca="1">IFERROR(__xludf.DUMMYFUNCTION("""COMPUTED_VALUE"""),"Pul-e-Alam")</f>
        <v>Pul-e-Alam</v>
      </c>
      <c r="G167" s="121" t="str">
        <f ca="1">IFERROR(__xludf.DUMMYFUNCTION("""COMPUTED_VALUE"""),"Qala-e-Sadat Clinic (3807)")</f>
        <v>Qala-e-Sadat Clinic (3807)</v>
      </c>
      <c r="H167" s="121">
        <f ca="1">IFERROR(__xludf.DUMMYFUNCTION("""COMPUTED_VALUE"""),3)</f>
        <v>3</v>
      </c>
      <c r="I167" s="122">
        <f ca="1">IFERROR(__xludf.DUMMYFUNCTION("""COMPUTED_VALUE"""),21)</f>
        <v>21</v>
      </c>
      <c r="J167" s="123">
        <f ca="1">IFERROR(__xludf.DUMMYFUNCTION("""COMPUTED_VALUE"""),45964)</f>
        <v>45964</v>
      </c>
      <c r="K167" s="123">
        <f ca="1">IFERROR(__xludf.DUMMYFUNCTION("""COMPUTED_VALUE"""),45963)</f>
        <v>45963</v>
      </c>
      <c r="L167" s="121" t="str">
        <f ca="1">IFERROR(__xludf.DUMMYFUNCTION("""COMPUTED_VALUE"""),"Vignette [1] Respiratory Infection: Pneumonia")</f>
        <v>Vignette [1] Respiratory Infection: Pneumonia</v>
      </c>
      <c r="M167" s="121" t="str">
        <f ca="1">IFERROR(__xludf.DUMMYFUNCTION("""COMPUTED_VALUE"""),"Vignette")</f>
        <v>Vignette</v>
      </c>
      <c r="N167" s="121" t="str">
        <f ca="1">IFERROR(__xludf.DUMMYFUNCTION("""COMPUTED_VALUE"""),"N/A")</f>
        <v>N/A</v>
      </c>
      <c r="O167" s="121"/>
      <c r="P167" s="121"/>
      <c r="Q167" s="121"/>
      <c r="R167" s="121"/>
      <c r="S167" s="121"/>
      <c r="T167" s="121"/>
      <c r="U167" s="121"/>
      <c r="V167" s="121"/>
      <c r="W167" s="121"/>
      <c r="X167" s="121"/>
      <c r="Y167" s="121"/>
      <c r="Z167" s="121"/>
      <c r="AA167" s="121"/>
      <c r="AB167" s="121"/>
    </row>
    <row r="168" spans="1:28">
      <c r="A168" s="121" t="str">
        <f ca="1">IFERROR(__xludf.DUMMYFUNCTION("""COMPUTED_VALUE"""),"uuid:04345fd2-c0a9-40f3-8c5c-f3281d72050e")</f>
        <v>uuid:04345fd2-c0a9-40f3-8c5c-f3281d72050e</v>
      </c>
      <c r="B168" s="121" t="str">
        <f ca="1">IFERROR(__xludf.DUMMYFUNCTION("""COMPUTED_VALUE"""),"FR4698")</f>
        <v>FR4698</v>
      </c>
      <c r="C168" s="121" t="str">
        <f ca="1">IFERROR(__xludf.DUMMYFUNCTION("""COMPUTED_VALUE"""),"Yar Murad Khalid")</f>
        <v>Yar Murad Khalid</v>
      </c>
      <c r="D168" s="121" t="str">
        <f ca="1">IFERROR(__xludf.DUMMYFUNCTION("""COMPUTED_VALUE"""),"HER-BDS-HF3053-Q2-2025-1002-01")</f>
        <v>HER-BDS-HF3053-Q2-2025-1002-01</v>
      </c>
      <c r="E168" s="121" t="str">
        <f ca="1">IFERROR(__xludf.DUMMYFUNCTION("""COMPUTED_VALUE"""),"Badakhshan")</f>
        <v>Badakhshan</v>
      </c>
      <c r="F168" s="121" t="str">
        <f ca="1">IFERROR(__xludf.DUMMYFUNCTION("""COMPUTED_VALUE"""),"Darayem")</f>
        <v>Darayem</v>
      </c>
      <c r="G168" s="121" t="str">
        <f ca="1">IFERROR(__xludf.DUMMYFUNCTION("""COMPUTED_VALUE"""),"Shahr-e-Saadat SHC (3053)")</f>
        <v>Shahr-e-Saadat SHC (3053)</v>
      </c>
      <c r="H168" s="121">
        <f ca="1">IFERROR(__xludf.DUMMYFUNCTION("""COMPUTED_VALUE"""),8)</f>
        <v>8</v>
      </c>
      <c r="I168" s="122">
        <f ca="1">IFERROR(__xludf.DUMMYFUNCTION("""COMPUTED_VALUE"""),40)</f>
        <v>40</v>
      </c>
      <c r="J168" s="123">
        <f ca="1">IFERROR(__xludf.DUMMYFUNCTION("""COMPUTED_VALUE"""),45964)</f>
        <v>45964</v>
      </c>
      <c r="K168" s="123">
        <f ca="1">IFERROR(__xludf.DUMMYFUNCTION("""COMPUTED_VALUE"""),45963)</f>
        <v>45963</v>
      </c>
      <c r="L168" s="121" t="str">
        <f ca="1">IFERROR(__xludf.DUMMYFUNCTION("""COMPUTED_VALUE"""),"Exit Interview 1")</f>
        <v>Exit Interview 1</v>
      </c>
      <c r="M168" s="121" t="str">
        <f ca="1">IFERROR(__xludf.DUMMYFUNCTION("""COMPUTED_VALUE"""),"Vignette")</f>
        <v>Vignette</v>
      </c>
      <c r="N168" s="121" t="str">
        <f ca="1">IFERROR(__xludf.DUMMYFUNCTION("""COMPUTED_VALUE"""),"N/A")</f>
        <v>N/A</v>
      </c>
      <c r="O168" s="121" t="str">
        <f ca="1">IFERROR(__xludf.DUMMYFUNCTION("""COMPUTED_VALUE"""),"Yes")</f>
        <v>Yes</v>
      </c>
      <c r="P168" s="121" t="str">
        <f ca="1">IFERROR(__xludf.DUMMYFUNCTION("""COMPUTED_VALUE""")," Voice of both sides is clear")</f>
        <v xml:space="preserve"> Voice of both sides is clear</v>
      </c>
      <c r="Q168" s="121" t="str">
        <f ca="1">IFERROR(__xludf.DUMMYFUNCTION("""COMPUTED_VALUE"""),"No Photo")</f>
        <v>No Photo</v>
      </c>
      <c r="R168" s="121" t="str">
        <f ca="1">IFERROR(__xludf.DUMMYFUNCTION("""COMPUTED_VALUE"""),"No")</f>
        <v>No</v>
      </c>
      <c r="S168" s="121"/>
      <c r="T168" s="121" t="str">
        <f ca="1">IFERROR(__xludf.DUMMYFUNCTION("""COMPUTED_VALUE"""),"Checked")</f>
        <v>Checked</v>
      </c>
      <c r="U168" s="121" t="str">
        <f ca="1">IFERROR(__xludf.DUMMYFUNCTION("""COMPUTED_VALUE"""),"No")</f>
        <v>No</v>
      </c>
      <c r="V168" s="121" t="str">
        <f ca="1">IFERROR(__xludf.DUMMYFUNCTION("""COMPUTED_VALUE"""),"Yes")</f>
        <v>Yes</v>
      </c>
      <c r="W168" s="121">
        <f ca="1">IFERROR(__xludf.DUMMYFUNCTION("""COMPUTED_VALUE"""),4)</f>
        <v>4</v>
      </c>
      <c r="X168" s="121" t="str">
        <f ca="1">IFERROR(__xludf.DUMMYFUNCTION("""COMPUTED_VALUE"""),"Mahdia Stanikzai")</f>
        <v>Mahdia Stanikzai</v>
      </c>
      <c r="Y168" s="124">
        <f ca="1">IFERROR(__xludf.DUMMYFUNCTION("""COMPUTED_VALUE"""),45965)</f>
        <v>45965</v>
      </c>
      <c r="Z168" s="121" t="str">
        <f ca="1">IFERROR(__xludf.DUMMYFUNCTION("""COMPUTED_VALUE"""),"Approved")</f>
        <v>Approved</v>
      </c>
      <c r="AA168" s="121"/>
      <c r="AB168" s="121"/>
    </row>
    <row r="169" spans="1:28">
      <c r="A169" s="121" t="str">
        <f ca="1">IFERROR(__xludf.DUMMYFUNCTION("""COMPUTED_VALUE"""),"uuid:bcc327d5-9230-4094-bceb-f7e959e7f015")</f>
        <v>uuid:bcc327d5-9230-4094-bceb-f7e959e7f015</v>
      </c>
      <c r="B169" s="121" t="str">
        <f ca="1">IFERROR(__xludf.DUMMYFUNCTION("""COMPUTED_VALUE"""),"FR4698")</f>
        <v>FR4698</v>
      </c>
      <c r="C169" s="121" t="str">
        <f ca="1">IFERROR(__xludf.DUMMYFUNCTION("""COMPUTED_VALUE"""),"Yar Murad Khalid")</f>
        <v>Yar Murad Khalid</v>
      </c>
      <c r="D169" s="121" t="str">
        <f ca="1">IFERROR(__xludf.DUMMYFUNCTION("""COMPUTED_VALUE"""),"HER-BDS-HF3053-Q2-2025-1002-01")</f>
        <v>HER-BDS-HF3053-Q2-2025-1002-01</v>
      </c>
      <c r="E169" s="121" t="str">
        <f ca="1">IFERROR(__xludf.DUMMYFUNCTION("""COMPUTED_VALUE"""),"Badakhshan")</f>
        <v>Badakhshan</v>
      </c>
      <c r="F169" s="121" t="str">
        <f ca="1">IFERROR(__xludf.DUMMYFUNCTION("""COMPUTED_VALUE"""),"Darayem")</f>
        <v>Darayem</v>
      </c>
      <c r="G169" s="121" t="str">
        <f ca="1">IFERROR(__xludf.DUMMYFUNCTION("""COMPUTED_VALUE"""),"Shahr-e-Saadat SHC (3053)")</f>
        <v>Shahr-e-Saadat SHC (3053)</v>
      </c>
      <c r="H169" s="121">
        <f ca="1">IFERROR(__xludf.DUMMYFUNCTION("""COMPUTED_VALUE"""),8)</f>
        <v>8</v>
      </c>
      <c r="I169" s="122">
        <f ca="1">IFERROR(__xludf.DUMMYFUNCTION("""COMPUTED_VALUE"""),14)</f>
        <v>14</v>
      </c>
      <c r="J169" s="123">
        <f ca="1">IFERROR(__xludf.DUMMYFUNCTION("""COMPUTED_VALUE"""),45964)</f>
        <v>45964</v>
      </c>
      <c r="K169" s="123">
        <f ca="1">IFERROR(__xludf.DUMMYFUNCTION("""COMPUTED_VALUE"""),45963)</f>
        <v>45963</v>
      </c>
      <c r="L169" s="121" t="str">
        <f ca="1">IFERROR(__xludf.DUMMYFUNCTION("""COMPUTED_VALUE"""),"Vignette [3] Growth Monitoring and Promotion")</f>
        <v>Vignette [3] Growth Monitoring and Promotion</v>
      </c>
      <c r="M169" s="121" t="str">
        <f ca="1">IFERROR(__xludf.DUMMYFUNCTION("""COMPUTED_VALUE"""),"Vignette")</f>
        <v>Vignette</v>
      </c>
      <c r="N169" s="121" t="str">
        <f ca="1">IFERROR(__xludf.DUMMYFUNCTION("""COMPUTED_VALUE"""),"N/A")</f>
        <v>N/A</v>
      </c>
      <c r="O169" s="121" t="str">
        <f ca="1">IFERROR(__xludf.DUMMYFUNCTION("""COMPUTED_VALUE"""),"Yes")</f>
        <v>Yes</v>
      </c>
      <c r="P169" s="121" t="str">
        <f ca="1">IFERROR(__xludf.DUMMYFUNCTION("""COMPUTED_VALUE""")," Voice of both sides is clear")</f>
        <v xml:space="preserve"> Voice of both sides is clear</v>
      </c>
      <c r="Q169" s="121" t="str">
        <f ca="1">IFERROR(__xludf.DUMMYFUNCTION("""COMPUTED_VALUE"""),"No Photo")</f>
        <v>No Photo</v>
      </c>
      <c r="R169" s="121" t="str">
        <f ca="1">IFERROR(__xludf.DUMMYFUNCTION("""COMPUTED_VALUE"""),"No")</f>
        <v>No</v>
      </c>
      <c r="S169" s="121"/>
      <c r="T169" s="121" t="str">
        <f ca="1">IFERROR(__xludf.DUMMYFUNCTION("""COMPUTED_VALUE"""),"Checked")</f>
        <v>Checked</v>
      </c>
      <c r="U169" s="121" t="str">
        <f ca="1">IFERROR(__xludf.DUMMYFUNCTION("""COMPUTED_VALUE"""),"No")</f>
        <v>No</v>
      </c>
      <c r="V169" s="121" t="str">
        <f ca="1">IFERROR(__xludf.DUMMYFUNCTION("""COMPUTED_VALUE"""),"Yes")</f>
        <v>Yes</v>
      </c>
      <c r="W169" s="121">
        <f ca="1">IFERROR(__xludf.DUMMYFUNCTION("""COMPUTED_VALUE"""),4)</f>
        <v>4</v>
      </c>
      <c r="X169" s="121" t="str">
        <f ca="1">IFERROR(__xludf.DUMMYFUNCTION("""COMPUTED_VALUE"""),"Mahdia Stanikzai")</f>
        <v>Mahdia Stanikzai</v>
      </c>
      <c r="Y169" s="124">
        <f ca="1">IFERROR(__xludf.DUMMYFUNCTION("""COMPUTED_VALUE"""),45965)</f>
        <v>45965</v>
      </c>
      <c r="Z169" s="121" t="str">
        <f ca="1">IFERROR(__xludf.DUMMYFUNCTION("""COMPUTED_VALUE"""),"Approved")</f>
        <v>Approved</v>
      </c>
      <c r="AA169" s="121"/>
      <c r="AB169" s="121"/>
    </row>
    <row r="170" spans="1:28">
      <c r="A170" s="121" t="str">
        <f ca="1">IFERROR(__xludf.DUMMYFUNCTION("""COMPUTED_VALUE"""),"uuid:d3cf72eb-a212-4a7b-ba5d-3ca7750583ab")</f>
        <v>uuid:d3cf72eb-a212-4a7b-ba5d-3ca7750583ab</v>
      </c>
      <c r="B170" s="121" t="str">
        <f ca="1">IFERROR(__xludf.DUMMYFUNCTION("""COMPUTED_VALUE"""),"FR4698")</f>
        <v>FR4698</v>
      </c>
      <c r="C170" s="121" t="str">
        <f ca="1">IFERROR(__xludf.DUMMYFUNCTION("""COMPUTED_VALUE"""),"Yar Murad Khalid")</f>
        <v>Yar Murad Khalid</v>
      </c>
      <c r="D170" s="121" t="str">
        <f ca="1">IFERROR(__xludf.DUMMYFUNCTION("""COMPUTED_VALUE"""),"HER-BDS-HF3053-Q2-2025-1002-01")</f>
        <v>HER-BDS-HF3053-Q2-2025-1002-01</v>
      </c>
      <c r="E170" s="121" t="str">
        <f ca="1">IFERROR(__xludf.DUMMYFUNCTION("""COMPUTED_VALUE"""),"Badakhshan")</f>
        <v>Badakhshan</v>
      </c>
      <c r="F170" s="121" t="str">
        <f ca="1">IFERROR(__xludf.DUMMYFUNCTION("""COMPUTED_VALUE"""),"Darayem")</f>
        <v>Darayem</v>
      </c>
      <c r="G170" s="121" t="str">
        <f ca="1">IFERROR(__xludf.DUMMYFUNCTION("""COMPUTED_VALUE"""),"Shahr-e-Saadat SHC (3053)")</f>
        <v>Shahr-e-Saadat SHC (3053)</v>
      </c>
      <c r="H170" s="121">
        <f ca="1">IFERROR(__xludf.DUMMYFUNCTION("""COMPUTED_VALUE"""),8)</f>
        <v>8</v>
      </c>
      <c r="I170" s="122">
        <f ca="1">IFERROR(__xludf.DUMMYFUNCTION("""COMPUTED_VALUE"""),23)</f>
        <v>23</v>
      </c>
      <c r="J170" s="123">
        <f ca="1">IFERROR(__xludf.DUMMYFUNCTION("""COMPUTED_VALUE"""),45964)</f>
        <v>45964</v>
      </c>
      <c r="K170" s="123">
        <f ca="1">IFERROR(__xludf.DUMMYFUNCTION("""COMPUTED_VALUE"""),45962)</f>
        <v>45962</v>
      </c>
      <c r="L170" s="121" t="str">
        <f ca="1">IFERROR(__xludf.DUMMYFUNCTION("""COMPUTED_VALUE"""),"Vignette [1] Respiratory Infection: Pneumonia")</f>
        <v>Vignette [1] Respiratory Infection: Pneumonia</v>
      </c>
      <c r="M170" s="121" t="str">
        <f ca="1">IFERROR(__xludf.DUMMYFUNCTION("""COMPUTED_VALUE"""),"Vignette")</f>
        <v>Vignette</v>
      </c>
      <c r="N170" s="121" t="str">
        <f ca="1">IFERROR(__xludf.DUMMYFUNCTION("""COMPUTED_VALUE"""),"N/A")</f>
        <v>N/A</v>
      </c>
      <c r="O170" s="121" t="str">
        <f ca="1">IFERROR(__xludf.DUMMYFUNCTION("""COMPUTED_VALUE"""),"Yes")</f>
        <v>Yes</v>
      </c>
      <c r="P170" s="121" t="str">
        <f ca="1">IFERROR(__xludf.DUMMYFUNCTION("""COMPUTED_VALUE""")," Voice of both sides is clear")</f>
        <v xml:space="preserve"> Voice of both sides is clear</v>
      </c>
      <c r="Q170" s="121" t="str">
        <f ca="1">IFERROR(__xludf.DUMMYFUNCTION("""COMPUTED_VALUE"""),"No Photo")</f>
        <v>No Photo</v>
      </c>
      <c r="R170" s="121" t="str">
        <f ca="1">IFERROR(__xludf.DUMMYFUNCTION("""COMPUTED_VALUE"""),"No")</f>
        <v>No</v>
      </c>
      <c r="S170" s="121"/>
      <c r="T170" s="121" t="str">
        <f ca="1">IFERROR(__xludf.DUMMYFUNCTION("""COMPUTED_VALUE"""),"Checked")</f>
        <v>Checked</v>
      </c>
      <c r="U170" s="121" t="str">
        <f ca="1">IFERROR(__xludf.DUMMYFUNCTION("""COMPUTED_VALUE"""),"No")</f>
        <v>No</v>
      </c>
      <c r="V170" s="121" t="str">
        <f ca="1">IFERROR(__xludf.DUMMYFUNCTION("""COMPUTED_VALUE"""),"Yes")</f>
        <v>Yes</v>
      </c>
      <c r="W170" s="121">
        <f ca="1">IFERROR(__xludf.DUMMYFUNCTION("""COMPUTED_VALUE"""),4)</f>
        <v>4</v>
      </c>
      <c r="X170" s="121" t="str">
        <f ca="1">IFERROR(__xludf.DUMMYFUNCTION("""COMPUTED_VALUE"""),"Mahdia Stanikzai")</f>
        <v>Mahdia Stanikzai</v>
      </c>
      <c r="Y170" s="124">
        <f ca="1">IFERROR(__xludf.DUMMYFUNCTION("""COMPUTED_VALUE"""),45965)</f>
        <v>45965</v>
      </c>
      <c r="Z170" s="121" t="str">
        <f ca="1">IFERROR(__xludf.DUMMYFUNCTION("""COMPUTED_VALUE"""),"Approved")</f>
        <v>Approved</v>
      </c>
      <c r="AA170" s="121"/>
      <c r="AB170" s="121"/>
    </row>
    <row r="171" spans="1:28">
      <c r="A171" s="121" t="str">
        <f ca="1">IFERROR(__xludf.DUMMYFUNCTION("""COMPUTED_VALUE"""),"uuid:90badc62-d42e-47b4-b60b-fb1d546747e3")</f>
        <v>uuid:90badc62-d42e-47b4-b60b-fb1d546747e3</v>
      </c>
      <c r="B171" s="121" t="str">
        <f ca="1">IFERROR(__xludf.DUMMYFUNCTION("""COMPUTED_VALUE"""),"FR2222")</f>
        <v>FR2222</v>
      </c>
      <c r="C171" s="121" t="str">
        <f ca="1">IFERROR(__xludf.DUMMYFUNCTION("""COMPUTED_VALUE"""),"Test Name 1")</f>
        <v>Test Name 1</v>
      </c>
      <c r="D171" s="121" t="str">
        <f ca="1">IFERROR(__xludf.DUMMYFUNCTION("""COMPUTED_VALUE"""),"HER-BDS-HF2507-Q1-2023-595-01")</f>
        <v>HER-BDS-HF2507-Q1-2023-595-01</v>
      </c>
      <c r="E171" s="121" t="str">
        <f ca="1">IFERROR(__xludf.DUMMYFUNCTION("""COMPUTED_VALUE"""),"Badakhshan")</f>
        <v>Badakhshan</v>
      </c>
      <c r="F171" s="121" t="str">
        <f ca="1">IFERROR(__xludf.DUMMYFUNCTION("""COMPUTED_VALUE"""),"Khwahan")</f>
        <v>Khwahan</v>
      </c>
      <c r="G171" s="121" t="str">
        <f ca="1">IFERROR(__xludf.DUMMYFUNCTION("""COMPUTED_VALUE"""),"Sildan SHC")</f>
        <v>Sildan SHC</v>
      </c>
      <c r="H171" s="121">
        <f ca="1">IFERROR(__xludf.DUMMYFUNCTION("""COMPUTED_VALUE"""),4)</f>
        <v>4</v>
      </c>
      <c r="I171" s="122">
        <f ca="1">IFERROR(__xludf.DUMMYFUNCTION("""COMPUTED_VALUE"""),21)</f>
        <v>21</v>
      </c>
      <c r="J171" s="123">
        <f ca="1">IFERROR(__xludf.DUMMYFUNCTION("""COMPUTED_VALUE"""),45964)</f>
        <v>45964</v>
      </c>
      <c r="K171" s="123">
        <f ca="1">IFERROR(__xludf.DUMMYFUNCTION("""COMPUTED_VALUE"""),45952)</f>
        <v>45952</v>
      </c>
      <c r="L171" s="121" t="str">
        <f ca="1">IFERROR(__xludf.DUMMYFUNCTION("""COMPUTED_VALUE"""),"Vignette [7] First ANC Visit")</f>
        <v>Vignette [7] First ANC Visit</v>
      </c>
      <c r="M171" s="121" t="str">
        <f ca="1">IFERROR(__xludf.DUMMYFUNCTION("""COMPUTED_VALUE"""),"Vignette")</f>
        <v>Vignette</v>
      </c>
      <c r="N171" s="121" t="str">
        <f ca="1">IFERROR(__xludf.DUMMYFUNCTION("""COMPUTED_VALUE"""),"N/A")</f>
        <v>N/A</v>
      </c>
      <c r="O171" s="121"/>
      <c r="P171" s="121"/>
      <c r="Q171" s="121"/>
      <c r="R171" s="121"/>
      <c r="S171" s="121"/>
      <c r="T171" s="121"/>
      <c r="U171" s="121"/>
      <c r="V171" s="121"/>
      <c r="W171" s="121"/>
      <c r="X171" s="121"/>
      <c r="Y171" s="121"/>
      <c r="Z171" s="121"/>
      <c r="AA171" s="121" t="str">
        <f ca="1">IFERROR(__xludf.DUMMYFUNCTION("""COMPUTED_VALUE"""),"Fake/Test data")</f>
        <v>Fake/Test data</v>
      </c>
      <c r="AB171" s="121" t="str">
        <f ca="1">IFERROR(__xludf.DUMMYFUNCTION("""COMPUTED_VALUE"""),"The user name should double check")</f>
        <v>The user name should double check</v>
      </c>
    </row>
    <row r="172" spans="1:28">
      <c r="A172" s="121" t="str">
        <f ca="1">IFERROR(__xludf.DUMMYFUNCTION("""COMPUTED_VALUE"""),"uuid:abce55d1-7fcf-46ec-97b8-c18c8caff9eb")</f>
        <v>uuid:abce55d1-7fcf-46ec-97b8-c18c8caff9eb</v>
      </c>
      <c r="B172" s="121" t="str">
        <f ca="1">IFERROR(__xludf.DUMMYFUNCTION("""COMPUTED_VALUE"""),"FR3681")</f>
        <v>FR3681</v>
      </c>
      <c r="C172" s="121" t="str">
        <f ca="1">IFERROR(__xludf.DUMMYFUNCTION("""COMPUTED_VALUE"""),"Shagofa Hajizada")</f>
        <v>Shagofa Hajizada</v>
      </c>
      <c r="D172" s="121" t="str">
        <f ca="1">IFERROR(__xludf.DUMMYFUNCTION("""COMPUTED_VALUE"""),"HER-LGR-HF3807-Q2-2025-1167-01")</f>
        <v>HER-LGR-HF3807-Q2-2025-1167-01</v>
      </c>
      <c r="E172" s="121" t="str">
        <f ca="1">IFERROR(__xludf.DUMMYFUNCTION("""COMPUTED_VALUE"""),"Logar")</f>
        <v>Logar</v>
      </c>
      <c r="F172" s="121" t="str">
        <f ca="1">IFERROR(__xludf.DUMMYFUNCTION("""COMPUTED_VALUE"""),"Pul-e-Alam")</f>
        <v>Pul-e-Alam</v>
      </c>
      <c r="G172" s="121" t="str">
        <f ca="1">IFERROR(__xludf.DUMMYFUNCTION("""COMPUTED_VALUE"""),"Qala-e-Sadat Clinic (3807)")</f>
        <v>Qala-e-Sadat Clinic (3807)</v>
      </c>
      <c r="H172" s="121">
        <f ca="1">IFERROR(__xludf.DUMMYFUNCTION("""COMPUTED_VALUE"""),6)</f>
        <v>6</v>
      </c>
      <c r="I172" s="122">
        <f ca="1">IFERROR(__xludf.DUMMYFUNCTION("""COMPUTED_VALUE"""),16)</f>
        <v>16</v>
      </c>
      <c r="J172" s="123">
        <f ca="1">IFERROR(__xludf.DUMMYFUNCTION("""COMPUTED_VALUE"""),45964)</f>
        <v>45964</v>
      </c>
      <c r="K172" s="123">
        <f ca="1">IFERROR(__xludf.DUMMYFUNCTION("""COMPUTED_VALUE"""),45963)</f>
        <v>45963</v>
      </c>
      <c r="L172" s="121" t="str">
        <f ca="1">IFERROR(__xludf.DUMMYFUNCTION("""COMPUTED_VALUE"""),"Exit Interview 2")</f>
        <v>Exit Interview 2</v>
      </c>
      <c r="M172" s="121" t="str">
        <f ca="1">IFERROR(__xludf.DUMMYFUNCTION("""COMPUTED_VALUE"""),"Vignette")</f>
        <v>Vignette</v>
      </c>
      <c r="N172" s="121" t="str">
        <f ca="1">IFERROR(__xludf.DUMMYFUNCTION("""COMPUTED_VALUE"""),"N/A")</f>
        <v>N/A</v>
      </c>
      <c r="O172" s="121"/>
      <c r="P172" s="121"/>
      <c r="Q172" s="121"/>
      <c r="R172" s="121"/>
      <c r="S172" s="121"/>
      <c r="T172" s="121"/>
      <c r="U172" s="121"/>
      <c r="V172" s="121"/>
      <c r="W172" s="121"/>
      <c r="X172" s="121"/>
      <c r="Y172" s="121"/>
      <c r="Z172" s="121"/>
      <c r="AA172" s="121"/>
      <c r="AB172" s="121"/>
    </row>
    <row r="173" spans="1:28">
      <c r="A173" s="121" t="str">
        <f ca="1">IFERROR(__xludf.DUMMYFUNCTION("""COMPUTED_VALUE"""),"uuid:6b27365c-b1cd-4ecb-84ce-acf9e9548e03")</f>
        <v>uuid:6b27365c-b1cd-4ecb-84ce-acf9e9548e03</v>
      </c>
      <c r="B173" s="121" t="str">
        <f ca="1">IFERROR(__xludf.DUMMYFUNCTION("""COMPUTED_VALUE"""),"FR3681")</f>
        <v>FR3681</v>
      </c>
      <c r="C173" s="121" t="str">
        <f ca="1">IFERROR(__xludf.DUMMYFUNCTION("""COMPUTED_VALUE"""),"Shagofa Hajizada")</f>
        <v>Shagofa Hajizada</v>
      </c>
      <c r="D173" s="121" t="str">
        <f ca="1">IFERROR(__xludf.DUMMYFUNCTION("""COMPUTED_VALUE"""),"HER-LGR-HF3807-Q2-2025-1167-01")</f>
        <v>HER-LGR-HF3807-Q2-2025-1167-01</v>
      </c>
      <c r="E173" s="121" t="str">
        <f ca="1">IFERROR(__xludf.DUMMYFUNCTION("""COMPUTED_VALUE"""),"Logar")</f>
        <v>Logar</v>
      </c>
      <c r="F173" s="121" t="str">
        <f ca="1">IFERROR(__xludf.DUMMYFUNCTION("""COMPUTED_VALUE"""),"Pul-e-Alam")</f>
        <v>Pul-e-Alam</v>
      </c>
      <c r="G173" s="121" t="str">
        <f ca="1">IFERROR(__xludf.DUMMYFUNCTION("""COMPUTED_VALUE"""),"Qala-e-Sadat Clinic (3807)")</f>
        <v>Qala-e-Sadat Clinic (3807)</v>
      </c>
      <c r="H173" s="121">
        <f ca="1">IFERROR(__xludf.DUMMYFUNCTION("""COMPUTED_VALUE"""),6)</f>
        <v>6</v>
      </c>
      <c r="I173" s="122">
        <f ca="1">IFERROR(__xludf.DUMMYFUNCTION("""COMPUTED_VALUE"""),11)</f>
        <v>11</v>
      </c>
      <c r="J173" s="123">
        <f ca="1">IFERROR(__xludf.DUMMYFUNCTION("""COMPUTED_VALUE"""),45964)</f>
        <v>45964</v>
      </c>
      <c r="K173" s="123">
        <f ca="1">IFERROR(__xludf.DUMMYFUNCTION("""COMPUTED_VALUE"""),45963)</f>
        <v>45963</v>
      </c>
      <c r="L173" s="121" t="str">
        <f ca="1">IFERROR(__xludf.DUMMYFUNCTION("""COMPUTED_VALUE"""),"Vignette [7] First ANC Visit")</f>
        <v>Vignette [7] First ANC Visit</v>
      </c>
      <c r="M173" s="121" t="str">
        <f ca="1">IFERROR(__xludf.DUMMYFUNCTION("""COMPUTED_VALUE"""),"Vignette")</f>
        <v>Vignette</v>
      </c>
      <c r="N173" s="121" t="str">
        <f ca="1">IFERROR(__xludf.DUMMYFUNCTION("""COMPUTED_VALUE"""),"N/A")</f>
        <v>N/A</v>
      </c>
      <c r="O173" s="121"/>
      <c r="P173" s="121"/>
      <c r="Q173" s="121"/>
      <c r="R173" s="121"/>
      <c r="S173" s="121"/>
      <c r="T173" s="121"/>
      <c r="U173" s="121"/>
      <c r="V173" s="121"/>
      <c r="W173" s="121"/>
      <c r="X173" s="121"/>
      <c r="Y173" s="121"/>
      <c r="Z173" s="121"/>
      <c r="AA173" s="121"/>
      <c r="AB173" s="121"/>
    </row>
    <row r="174" spans="1:28">
      <c r="A174" s="121" t="str">
        <f ca="1">IFERROR(__xludf.DUMMYFUNCTION("""COMPUTED_VALUE"""),"uuid:a57aa2dd-286e-4c73-846f-755729becdbc")</f>
        <v>uuid:a57aa2dd-286e-4c73-846f-755729becdbc</v>
      </c>
      <c r="B174" s="121" t="str">
        <f ca="1">IFERROR(__xludf.DUMMYFUNCTION("""COMPUTED_VALUE"""),"FR3681")</f>
        <v>FR3681</v>
      </c>
      <c r="C174" s="121" t="str">
        <f ca="1">IFERROR(__xludf.DUMMYFUNCTION("""COMPUTED_VALUE"""),"Shagofa Hajizada")</f>
        <v>Shagofa Hajizada</v>
      </c>
      <c r="D174" s="121" t="str">
        <f ca="1">IFERROR(__xludf.DUMMYFUNCTION("""COMPUTED_VALUE"""),"HER-LGR-HF3807-Q2-2025-1167-01")</f>
        <v>HER-LGR-HF3807-Q2-2025-1167-01</v>
      </c>
      <c r="E174" s="121" t="str">
        <f ca="1">IFERROR(__xludf.DUMMYFUNCTION("""COMPUTED_VALUE"""),"Logar")</f>
        <v>Logar</v>
      </c>
      <c r="F174" s="121" t="str">
        <f ca="1">IFERROR(__xludf.DUMMYFUNCTION("""COMPUTED_VALUE"""),"Pul-e-Alam")</f>
        <v>Pul-e-Alam</v>
      </c>
      <c r="G174" s="121" t="str">
        <f ca="1">IFERROR(__xludf.DUMMYFUNCTION("""COMPUTED_VALUE"""),"Qala-e-Sadat Clinic (3807)")</f>
        <v>Qala-e-Sadat Clinic (3807)</v>
      </c>
      <c r="H174" s="121">
        <f ca="1">IFERROR(__xludf.DUMMYFUNCTION("""COMPUTED_VALUE"""),6)</f>
        <v>6</v>
      </c>
      <c r="I174" s="122">
        <f ca="1">IFERROR(__xludf.DUMMYFUNCTION("""COMPUTED_VALUE"""),10)</f>
        <v>10</v>
      </c>
      <c r="J174" s="123">
        <f ca="1">IFERROR(__xludf.DUMMYFUNCTION("""COMPUTED_VALUE"""),45964)</f>
        <v>45964</v>
      </c>
      <c r="K174" s="123">
        <f ca="1">IFERROR(__xludf.DUMMYFUNCTION("""COMPUTED_VALUE"""),45963)</f>
        <v>45963</v>
      </c>
      <c r="L174" s="121" t="str">
        <f ca="1">IFERROR(__xludf.DUMMYFUNCTION("""COMPUTED_VALUE"""),"Vignette [5] Labor")</f>
        <v>Vignette [5] Labor</v>
      </c>
      <c r="M174" s="121" t="str">
        <f ca="1">IFERROR(__xludf.DUMMYFUNCTION("""COMPUTED_VALUE"""),"Vignette")</f>
        <v>Vignette</v>
      </c>
      <c r="N174" s="121" t="str">
        <f ca="1">IFERROR(__xludf.DUMMYFUNCTION("""COMPUTED_VALUE"""),"N/A")</f>
        <v>N/A</v>
      </c>
      <c r="O174" s="121"/>
      <c r="P174" s="121"/>
      <c r="Q174" s="121"/>
      <c r="R174" s="121"/>
      <c r="S174" s="121"/>
      <c r="T174" s="121"/>
      <c r="U174" s="121"/>
      <c r="V174" s="121"/>
      <c r="W174" s="121"/>
      <c r="X174" s="121"/>
      <c r="Y174" s="121"/>
      <c r="Z174" s="121"/>
      <c r="AA174" s="121"/>
      <c r="AB174" s="121"/>
    </row>
    <row r="175" spans="1:28">
      <c r="A175" s="121" t="str">
        <f ca="1">IFERROR(__xludf.DUMMYFUNCTION("""COMPUTED_VALUE"""),"uuid:8a5889b4-6604-4c8b-9b52-7fbf63d0e90e")</f>
        <v>uuid:8a5889b4-6604-4c8b-9b52-7fbf63d0e90e</v>
      </c>
      <c r="B175" s="121" t="str">
        <f ca="1">IFERROR(__xludf.DUMMYFUNCTION("""COMPUTED_VALUE"""),"FR3681")</f>
        <v>FR3681</v>
      </c>
      <c r="C175" s="121" t="str">
        <f ca="1">IFERROR(__xludf.DUMMYFUNCTION("""COMPUTED_VALUE"""),"Shagofa Hajizada")</f>
        <v>Shagofa Hajizada</v>
      </c>
      <c r="D175" s="121" t="str">
        <f ca="1">IFERROR(__xludf.DUMMYFUNCTION("""COMPUTED_VALUE"""),"HER-LGR-HF3807-Q2-2025-1167-01")</f>
        <v>HER-LGR-HF3807-Q2-2025-1167-01</v>
      </c>
      <c r="E175" s="121" t="str">
        <f ca="1">IFERROR(__xludf.DUMMYFUNCTION("""COMPUTED_VALUE"""),"Logar")</f>
        <v>Logar</v>
      </c>
      <c r="F175" s="121" t="str">
        <f ca="1">IFERROR(__xludf.DUMMYFUNCTION("""COMPUTED_VALUE"""),"Pul-e-Alam")</f>
        <v>Pul-e-Alam</v>
      </c>
      <c r="G175" s="121" t="str">
        <f ca="1">IFERROR(__xludf.DUMMYFUNCTION("""COMPUTED_VALUE"""),"Qala-e-Sadat Clinic (3807)")</f>
        <v>Qala-e-Sadat Clinic (3807)</v>
      </c>
      <c r="H175" s="121">
        <f ca="1">IFERROR(__xludf.DUMMYFUNCTION("""COMPUTED_VALUE"""),6)</f>
        <v>6</v>
      </c>
      <c r="I175" s="122">
        <f ca="1">IFERROR(__xludf.DUMMYFUNCTION("""COMPUTED_VALUE"""),20)</f>
        <v>20</v>
      </c>
      <c r="J175" s="123">
        <f ca="1">IFERROR(__xludf.DUMMYFUNCTION("""COMPUTED_VALUE"""),45964)</f>
        <v>45964</v>
      </c>
      <c r="K175" s="123">
        <f ca="1">IFERROR(__xludf.DUMMYFUNCTION("""COMPUTED_VALUE"""),45963)</f>
        <v>45963</v>
      </c>
      <c r="L175" s="121" t="str">
        <f ca="1">IFERROR(__xludf.DUMMYFUNCTION("""COMPUTED_VALUE"""),"Vignette [3] Growth Monitoring and Promotion")</f>
        <v>Vignette [3] Growth Monitoring and Promotion</v>
      </c>
      <c r="M175" s="121" t="str">
        <f ca="1">IFERROR(__xludf.DUMMYFUNCTION("""COMPUTED_VALUE"""),"Vignette")</f>
        <v>Vignette</v>
      </c>
      <c r="N175" s="121" t="str">
        <f ca="1">IFERROR(__xludf.DUMMYFUNCTION("""COMPUTED_VALUE"""),"N/A")</f>
        <v>N/A</v>
      </c>
      <c r="O175" s="121"/>
      <c r="P175" s="121"/>
      <c r="Q175" s="121"/>
      <c r="R175" s="121"/>
      <c r="S175" s="121"/>
      <c r="T175" s="121"/>
      <c r="U175" s="121"/>
      <c r="V175" s="121"/>
      <c r="W175" s="121"/>
      <c r="X175" s="121"/>
      <c r="Y175" s="121"/>
      <c r="Z175" s="121"/>
      <c r="AA175" s="121"/>
      <c r="AB175" s="121"/>
    </row>
    <row r="176" spans="1:28">
      <c r="A176" s="121" t="str">
        <f ca="1">IFERROR(__xludf.DUMMYFUNCTION("""COMPUTED_VALUE"""),"uuid:b8f0c6c5-dd58-416f-95cb-809d7705c1f3")</f>
        <v>uuid:b8f0c6c5-dd58-416f-95cb-809d7705c1f3</v>
      </c>
      <c r="B176" s="121" t="str">
        <f ca="1">IFERROR(__xludf.DUMMYFUNCTION("""COMPUTED_VALUE"""),"FR4015")</f>
        <v>FR4015</v>
      </c>
      <c r="C176" s="121" t="str">
        <f ca="1">IFERROR(__xludf.DUMMYFUNCTION("""COMPUTED_VALUE"""),"Nasratullah Danish")</f>
        <v>Nasratullah Danish</v>
      </c>
      <c r="D176" s="121" t="str">
        <f ca="1">IFERROR(__xludf.DUMMYFUNCTION("""COMPUTED_VALUE"""),"HER-LGM-HF3819-Q2-2025-1153-01")</f>
        <v>HER-LGM-HF3819-Q2-2025-1153-01</v>
      </c>
      <c r="E176" s="121" t="str">
        <f ca="1">IFERROR(__xludf.DUMMYFUNCTION("""COMPUTED_VALUE"""),"Laghman")</f>
        <v>Laghman</v>
      </c>
      <c r="F176" s="121" t="str">
        <f ca="1">IFERROR(__xludf.DUMMYFUNCTION("""COMPUTED_VALUE"""),"Dawlat Shah")</f>
        <v>Dawlat Shah</v>
      </c>
      <c r="G176" s="121" t="str">
        <f ca="1">IFERROR(__xludf.DUMMYFUNCTION("""COMPUTED_VALUE"""),"Karik SC (3819)")</f>
        <v>Karik SC (3819)</v>
      </c>
      <c r="H176" s="121" t="str">
        <f ca="1">IFERROR(__xludf.DUMMYFUNCTION("""COMPUTED_VALUE"""),"SHC")</f>
        <v>SHC</v>
      </c>
      <c r="I176" s="122">
        <f ca="1">IFERROR(__xludf.DUMMYFUNCTION("""COMPUTED_VALUE"""),29)</f>
        <v>29</v>
      </c>
      <c r="J176" s="121" t="str">
        <f ca="1">IFERROR(__xludf.DUMMYFUNCTION("""COMPUTED_VALUE"""),"2025-11-03")</f>
        <v>2025-11-03</v>
      </c>
      <c r="K176" s="121" t="str">
        <f ca="1">IFERROR(__xludf.DUMMYFUNCTION("""COMPUTED_VALUE"""),"2025-11-02")</f>
        <v>2025-11-02</v>
      </c>
      <c r="L176" s="121" t="str">
        <f ca="1">IFERROR(__xludf.DUMMYFUNCTION("""COMPUTED_VALUE"""),"Medicine (section 2)")</f>
        <v>Medicine (section 2)</v>
      </c>
      <c r="M176" s="121" t="str">
        <f ca="1">IFERROR(__xludf.DUMMYFUNCTION("""COMPUTED_VALUE"""),"Data Verification")</f>
        <v>Data Verification</v>
      </c>
      <c r="N176" s="121" t="str">
        <f ca="1">IFERROR(__xludf.DUMMYFUNCTION("""COMPUTED_VALUE"""),"Pashto")</f>
        <v>Pashto</v>
      </c>
      <c r="O176" s="121"/>
      <c r="P176" s="121"/>
      <c r="Q176" s="121"/>
      <c r="R176" s="121"/>
      <c r="S176" s="121"/>
      <c r="T176" s="121"/>
      <c r="U176" s="121"/>
      <c r="V176" s="121"/>
      <c r="W176" s="121"/>
      <c r="X176" s="121"/>
      <c r="Y176" s="121"/>
      <c r="Z176" s="121"/>
      <c r="AA176" s="121"/>
      <c r="AB176" s="121"/>
    </row>
    <row r="177" spans="1:28">
      <c r="A177" s="121" t="str">
        <f ca="1">IFERROR(__xludf.DUMMYFUNCTION("""COMPUTED_VALUE"""),"uuid:d8d110d3-6eb3-450f-8091-18df9065a717")</f>
        <v>uuid:d8d110d3-6eb3-450f-8091-18df9065a717</v>
      </c>
      <c r="B177" s="121" t="str">
        <f ca="1">IFERROR(__xludf.DUMMYFUNCTION("""COMPUTED_VALUE"""),"FR4015")</f>
        <v>FR4015</v>
      </c>
      <c r="C177" s="121" t="str">
        <f ca="1">IFERROR(__xludf.DUMMYFUNCTION("""COMPUTED_VALUE"""),"Nasratullah Danish")</f>
        <v>Nasratullah Danish</v>
      </c>
      <c r="D177" s="121" t="str">
        <f ca="1">IFERROR(__xludf.DUMMYFUNCTION("""COMPUTED_VALUE"""),"HER-LGM-HF3819-Q2-2025-1153-01")</f>
        <v>HER-LGM-HF3819-Q2-2025-1153-01</v>
      </c>
      <c r="E177" s="121" t="str">
        <f ca="1">IFERROR(__xludf.DUMMYFUNCTION("""COMPUTED_VALUE"""),"Laghman")</f>
        <v>Laghman</v>
      </c>
      <c r="F177" s="121" t="str">
        <f ca="1">IFERROR(__xludf.DUMMYFUNCTION("""COMPUTED_VALUE"""),"Dawlat Shah")</f>
        <v>Dawlat Shah</v>
      </c>
      <c r="G177" s="121" t="str">
        <f ca="1">IFERROR(__xludf.DUMMYFUNCTION("""COMPUTED_VALUE"""),"Karik SC (3819)")</f>
        <v>Karik SC (3819)</v>
      </c>
      <c r="H177" s="121" t="str">
        <f ca="1">IFERROR(__xludf.DUMMYFUNCTION("""COMPUTED_VALUE"""),"SHC")</f>
        <v>SHC</v>
      </c>
      <c r="I177" s="122">
        <f ca="1">IFERROR(__xludf.DUMMYFUNCTION("""COMPUTED_VALUE"""),7)</f>
        <v>7</v>
      </c>
      <c r="J177" s="121" t="str">
        <f ca="1">IFERROR(__xludf.DUMMYFUNCTION("""COMPUTED_VALUE"""),"2025-11-03")</f>
        <v>2025-11-03</v>
      </c>
      <c r="K177" s="121" t="str">
        <f ca="1">IFERROR(__xludf.DUMMYFUNCTION("""COMPUTED_VALUE"""),"2025-11-02")</f>
        <v>2025-11-02</v>
      </c>
      <c r="L177" s="121" t="str">
        <f ca="1">IFERROR(__xludf.DUMMYFUNCTION("""COMPUTED_VALUE"""),"Other than P4P (section 6)")</f>
        <v>Other than P4P (section 6)</v>
      </c>
      <c r="M177" s="121" t="str">
        <f ca="1">IFERROR(__xludf.DUMMYFUNCTION("""COMPUTED_VALUE"""),"Data Verification")</f>
        <v>Data Verification</v>
      </c>
      <c r="N177" s="121" t="str">
        <f ca="1">IFERROR(__xludf.DUMMYFUNCTION("""COMPUTED_VALUE"""),"Pashto")</f>
        <v>Pashto</v>
      </c>
      <c r="O177" s="121"/>
      <c r="P177" s="121"/>
      <c r="Q177" s="121"/>
      <c r="R177" s="121"/>
      <c r="S177" s="121"/>
      <c r="T177" s="121"/>
      <c r="U177" s="121"/>
      <c r="V177" s="121"/>
      <c r="W177" s="121"/>
      <c r="X177" s="121"/>
      <c r="Y177" s="121"/>
      <c r="Z177" s="121"/>
      <c r="AA177" s="121"/>
      <c r="AB177" s="121"/>
    </row>
    <row r="178" spans="1:28">
      <c r="A178" s="121" t="str">
        <f ca="1">IFERROR(__xludf.DUMMYFUNCTION("""COMPUTED_VALUE"""),"uuid:ea123c2e-b409-4576-a898-b0fb29b9cf55")</f>
        <v>uuid:ea123c2e-b409-4576-a898-b0fb29b9cf55</v>
      </c>
      <c r="B178" s="121" t="str">
        <f ca="1">IFERROR(__xludf.DUMMYFUNCTION("""COMPUTED_VALUE"""),"N/A")</f>
        <v>N/A</v>
      </c>
      <c r="C178" s="121" t="str">
        <f ca="1">IFERROR(__xludf.DUMMYFUNCTION("""COMPUTED_VALUE"""),"N/A")</f>
        <v>N/A</v>
      </c>
      <c r="D178" s="121" t="str">
        <f ca="1">IFERROR(__xludf.DUMMYFUNCTION("""COMPUTED_VALUE"""),"N/A")</f>
        <v>N/A</v>
      </c>
      <c r="E178" s="121" t="str">
        <f ca="1">IFERROR(__xludf.DUMMYFUNCTION("""COMPUTED_VALUE"""),"N/A")</f>
        <v>N/A</v>
      </c>
      <c r="F178" s="121" t="str">
        <f ca="1">IFERROR(__xludf.DUMMYFUNCTION("""COMPUTED_VALUE"""),"N/A")</f>
        <v>N/A</v>
      </c>
      <c r="G178" s="121" t="str">
        <f ca="1">IFERROR(__xludf.DUMMYFUNCTION("""COMPUTED_VALUE"""),"N/A")</f>
        <v>N/A</v>
      </c>
      <c r="H178" s="121" t="str">
        <f ca="1">IFERROR(__xludf.DUMMYFUNCTION("""COMPUTED_VALUE"""),"N/A")</f>
        <v>N/A</v>
      </c>
      <c r="I178" s="121" t="str">
        <f ca="1">IFERROR(__xludf.DUMMYFUNCTION("""COMPUTED_VALUE"""),"N/A")</f>
        <v>N/A</v>
      </c>
      <c r="J178" s="121" t="str">
        <f ca="1">IFERROR(__xludf.DUMMYFUNCTION("""COMPUTED_VALUE"""),"2025-11-03")</f>
        <v>2025-11-03</v>
      </c>
      <c r="K178" s="121" t="str">
        <f ca="1">IFERROR(__xludf.DUMMYFUNCTION("""COMPUTED_VALUE"""),"NaT")</f>
        <v>NaT</v>
      </c>
      <c r="L178" s="121" t="str">
        <f ca="1">IFERROR(__xludf.DUMMYFUNCTION("""COMPUTED_VALUE"""),"N/A")</f>
        <v>N/A</v>
      </c>
      <c r="M178" s="121" t="str">
        <f ca="1">IFERROR(__xludf.DUMMYFUNCTION("""COMPUTED_VALUE"""),"Data Verification")</f>
        <v>Data Verification</v>
      </c>
      <c r="N178" s="121" t="str">
        <f ca="1">IFERROR(__xludf.DUMMYFUNCTION("""COMPUTED_VALUE"""),"N/A")</f>
        <v>N/A</v>
      </c>
      <c r="O178" s="121"/>
      <c r="P178" s="121"/>
      <c r="Q178" s="121"/>
      <c r="R178" s="121"/>
      <c r="S178" s="121"/>
      <c r="T178" s="121"/>
      <c r="U178" s="121"/>
      <c r="V178" s="121"/>
      <c r="W178" s="121"/>
      <c r="X178" s="121"/>
      <c r="Y178" s="121"/>
      <c r="Z178" s="121"/>
      <c r="AA178" s="121" t="str">
        <f ca="1">IFERROR(__xludf.DUMMYFUNCTION("""COMPUTED_VALUE"""),"Fake/Test data")</f>
        <v>Fake/Test data</v>
      </c>
      <c r="AB178" s="121"/>
    </row>
    <row r="179" spans="1:28">
      <c r="A179" s="121" t="str">
        <f ca="1">IFERROR(__xludf.DUMMYFUNCTION("""COMPUTED_VALUE"""),"uuid:f813bd7d-a48d-4114-8ae3-fc89435d3a0d")</f>
        <v>uuid:f813bd7d-a48d-4114-8ae3-fc89435d3a0d</v>
      </c>
      <c r="B179" s="121" t="str">
        <f ca="1">IFERROR(__xludf.DUMMYFUNCTION("""COMPUTED_VALUE"""),"FR4698")</f>
        <v>FR4698</v>
      </c>
      <c r="C179" s="121" t="str">
        <f ca="1">IFERROR(__xludf.DUMMYFUNCTION("""COMPUTED_VALUE"""),"Yar Murad Khalid")</f>
        <v>Yar Murad Khalid</v>
      </c>
      <c r="D179" s="121" t="str">
        <f ca="1">IFERROR(__xludf.DUMMYFUNCTION("""COMPUTED_VALUE"""),"HER-BDS-HF3053-Q2-2025-1002-01")</f>
        <v>HER-BDS-HF3053-Q2-2025-1002-01</v>
      </c>
      <c r="E179" s="121" t="str">
        <f ca="1">IFERROR(__xludf.DUMMYFUNCTION("""COMPUTED_VALUE"""),"Badakhshan")</f>
        <v>Badakhshan</v>
      </c>
      <c r="F179" s="121" t="str">
        <f ca="1">IFERROR(__xludf.DUMMYFUNCTION("""COMPUTED_VALUE"""),"Darayem")</f>
        <v>Darayem</v>
      </c>
      <c r="G179" s="121" t="str">
        <f ca="1">IFERROR(__xludf.DUMMYFUNCTION("""COMPUTED_VALUE"""),"Shahr-e-Saadat SHC (3053)")</f>
        <v>Shahr-e-Saadat SHC (3053)</v>
      </c>
      <c r="H179" s="121" t="str">
        <f ca="1">IFERROR(__xludf.DUMMYFUNCTION("""COMPUTED_VALUE"""),"SHC")</f>
        <v>SHC</v>
      </c>
      <c r="I179" s="122">
        <f ca="1">IFERROR(__xludf.DUMMYFUNCTION("""COMPUTED_VALUE"""),94)</f>
        <v>94</v>
      </c>
      <c r="J179" s="121" t="str">
        <f ca="1">IFERROR(__xludf.DUMMYFUNCTION("""COMPUTED_VALUE"""),"2025-11-03")</f>
        <v>2025-11-03</v>
      </c>
      <c r="K179" s="121" t="str">
        <f ca="1">IFERROR(__xludf.DUMMYFUNCTION("""COMPUTED_VALUE"""),"2025-11-02")</f>
        <v>2025-11-02</v>
      </c>
      <c r="L179" s="121" t="str">
        <f ca="1">IFERROR(__xludf.DUMMYFUNCTION("""COMPUTED_VALUE"""),"Personnel (section 1)")</f>
        <v>Personnel (section 1)</v>
      </c>
      <c r="M179" s="121" t="str">
        <f ca="1">IFERROR(__xludf.DUMMYFUNCTION("""COMPUTED_VALUE"""),"Data Verification")</f>
        <v>Data Verification</v>
      </c>
      <c r="N179" s="121" t="str">
        <f ca="1">IFERROR(__xludf.DUMMYFUNCTION("""COMPUTED_VALUE"""),"Dari")</f>
        <v>Dari</v>
      </c>
      <c r="O179" s="121"/>
      <c r="P179" s="121"/>
      <c r="Q179" s="121"/>
      <c r="R179" s="121"/>
      <c r="S179" s="121"/>
      <c r="T179" s="121"/>
      <c r="U179" s="121"/>
      <c r="V179" s="121"/>
      <c r="W179" s="121"/>
      <c r="X179" s="121" t="str">
        <f ca="1">IFERROR(__xludf.DUMMYFUNCTION("""COMPUTED_VALUE"""),"Hashmatullah Banaee")</f>
        <v>Hashmatullah Banaee</v>
      </c>
      <c r="Y179" s="124">
        <f ca="1">IFERROR(__xludf.DUMMYFUNCTION("""COMPUTED_VALUE"""),45965)</f>
        <v>45965</v>
      </c>
      <c r="Z179" s="121"/>
      <c r="AA179" s="121"/>
      <c r="AB179" s="121"/>
    </row>
    <row r="180" spans="1:28">
      <c r="A180" s="121" t="str">
        <f ca="1">IFERROR(__xludf.DUMMYFUNCTION("""COMPUTED_VALUE"""),"uuid:f5522770-3f57-4088-9b89-0c0c3f301208")</f>
        <v>uuid:f5522770-3f57-4088-9b89-0c0c3f301208</v>
      </c>
      <c r="B180" s="121" t="str">
        <f ca="1">IFERROR(__xludf.DUMMYFUNCTION("""COMPUTED_VALUE"""),"FR4698")</f>
        <v>FR4698</v>
      </c>
      <c r="C180" s="121" t="str">
        <f ca="1">IFERROR(__xludf.DUMMYFUNCTION("""COMPUTED_VALUE"""),"Yar Murad Khalid")</f>
        <v>Yar Murad Khalid</v>
      </c>
      <c r="D180" s="121" t="str">
        <f ca="1">IFERROR(__xludf.DUMMYFUNCTION("""COMPUTED_VALUE"""),"HER-BDS-HF3053-Q2-2025-1002-01")</f>
        <v>HER-BDS-HF3053-Q2-2025-1002-01</v>
      </c>
      <c r="E180" s="121" t="str">
        <f ca="1">IFERROR(__xludf.DUMMYFUNCTION("""COMPUTED_VALUE"""),"Badakhshan")</f>
        <v>Badakhshan</v>
      </c>
      <c r="F180" s="121" t="str">
        <f ca="1">IFERROR(__xludf.DUMMYFUNCTION("""COMPUTED_VALUE"""),"Darayem")</f>
        <v>Darayem</v>
      </c>
      <c r="G180" s="121" t="str">
        <f ca="1">IFERROR(__xludf.DUMMYFUNCTION("""COMPUTED_VALUE"""),"Shahr-e-Saadat SHC (3053)")</f>
        <v>Shahr-e-Saadat SHC (3053)</v>
      </c>
      <c r="H180" s="121" t="str">
        <f ca="1">IFERROR(__xludf.DUMMYFUNCTION("""COMPUTED_VALUE"""),"SHC")</f>
        <v>SHC</v>
      </c>
      <c r="I180" s="122">
        <f ca="1">IFERROR(__xludf.DUMMYFUNCTION("""COMPUTED_VALUE"""),29)</f>
        <v>29</v>
      </c>
      <c r="J180" s="121" t="str">
        <f ca="1">IFERROR(__xludf.DUMMYFUNCTION("""COMPUTED_VALUE"""),"2025-11-03")</f>
        <v>2025-11-03</v>
      </c>
      <c r="K180" s="121" t="str">
        <f ca="1">IFERROR(__xludf.DUMMYFUNCTION("""COMPUTED_VALUE"""),"2025-11-01")</f>
        <v>2025-11-01</v>
      </c>
      <c r="L180" s="121" t="str">
        <f ca="1">IFERROR(__xludf.DUMMYFUNCTION("""COMPUTED_VALUE"""),"Other than P4P (section 6)")</f>
        <v>Other than P4P (section 6)</v>
      </c>
      <c r="M180" s="121" t="str">
        <f ca="1">IFERROR(__xludf.DUMMYFUNCTION("""COMPUTED_VALUE"""),"Data Verification")</f>
        <v>Data Verification</v>
      </c>
      <c r="N180" s="121" t="str">
        <f ca="1">IFERROR(__xludf.DUMMYFUNCTION("""COMPUTED_VALUE"""),"Dari")</f>
        <v>Dari</v>
      </c>
      <c r="O180" s="121"/>
      <c r="P180" s="121" t="str">
        <f ca="1">IFERROR(__xludf.DUMMYFUNCTION("""COMPUTED_VALUE""")," Voice of both sides is clear")</f>
        <v xml:space="preserve"> Voice of both sides is clear</v>
      </c>
      <c r="Q180" s="121" t="str">
        <f ca="1">IFERROR(__xludf.DUMMYFUNCTION("""COMPUTED_VALUE"""),"Yes/Some")</f>
        <v>Yes/Some</v>
      </c>
      <c r="R180" s="121" t="str">
        <f ca="1">IFERROR(__xludf.DUMMYFUNCTION("""COMPUTED_VALUE"""),"Yes")</f>
        <v>Yes</v>
      </c>
      <c r="S180" s="121" t="str">
        <f ca="1">IFERROR(__xludf.DUMMYFUNCTION("""COMPUTED_VALUE"""),"Yes")</f>
        <v>Yes</v>
      </c>
      <c r="T180" s="121" t="str">
        <f ca="1">IFERROR(__xludf.DUMMYFUNCTION("""COMPUTED_VALUE"""),"Checked")</f>
        <v>Checked</v>
      </c>
      <c r="U180" s="121" t="str">
        <f ca="1">IFERROR(__xludf.DUMMYFUNCTION("""COMPUTED_VALUE"""),"No")</f>
        <v>No</v>
      </c>
      <c r="V180" s="121" t="str">
        <f ca="1">IFERROR(__xludf.DUMMYFUNCTION("""COMPUTED_VALUE"""),"Yes")</f>
        <v>Yes</v>
      </c>
      <c r="W180" s="121">
        <f ca="1">IFERROR(__xludf.DUMMYFUNCTION("""COMPUTED_VALUE"""),3)</f>
        <v>3</v>
      </c>
      <c r="X180" s="121" t="str">
        <f ca="1">IFERROR(__xludf.DUMMYFUNCTION("""COMPUTED_VALUE"""),"Soman Tahiri")</f>
        <v>Soman Tahiri</v>
      </c>
      <c r="Y180" s="124">
        <f ca="1">IFERROR(__xludf.DUMMYFUNCTION("""COMPUTED_VALUE"""),45965)</f>
        <v>45965</v>
      </c>
      <c r="Z180" s="121" t="str">
        <f ca="1">IFERROR(__xludf.DUMMYFUNCTION("""COMPUTED_VALUE"""),"Approved")</f>
        <v>Approved</v>
      </c>
      <c r="AA180" s="121"/>
      <c r="AB180" s="121"/>
    </row>
    <row r="181" spans="1:28">
      <c r="A181" s="121" t="str">
        <f ca="1">IFERROR(__xludf.DUMMYFUNCTION("""COMPUTED_VALUE"""),"uuid:e101cba5-f561-4de9-ac99-3300ec94246a")</f>
        <v>uuid:e101cba5-f561-4de9-ac99-3300ec94246a</v>
      </c>
      <c r="B181" s="121" t="str">
        <f ca="1">IFERROR(__xludf.DUMMYFUNCTION("""COMPUTED_VALUE"""),"FR3900")</f>
        <v>FR3900</v>
      </c>
      <c r="C181" s="121" t="str">
        <f ca="1">IFERROR(__xludf.DUMMYFUNCTION("""COMPUTED_VALUE"""),"Younus Elham")</f>
        <v>Younus Elham</v>
      </c>
      <c r="D181" s="121" t="str">
        <f ca="1">IFERROR(__xludf.DUMMYFUNCTION("""COMPUTED_VALUE"""),"HER-PAK-HF2192-Q2-2025-1200-01")</f>
        <v>HER-PAK-HF2192-Q2-2025-1200-01</v>
      </c>
      <c r="E181" s="121" t="str">
        <f ca="1">IFERROR(__xludf.DUMMYFUNCTION("""COMPUTED_VALUE"""),"Paktya")</f>
        <v>Paktya</v>
      </c>
      <c r="F181" s="121" t="str">
        <f ca="1">IFERROR(__xludf.DUMMYFUNCTION("""COMPUTED_VALUE"""),"Ahmadaba")</f>
        <v>Ahmadaba</v>
      </c>
      <c r="G181" s="121" t="str">
        <f ca="1">IFERROR(__xludf.DUMMYFUNCTION("""COMPUTED_VALUE"""),"Surkai Malang Cilinic (2192)")</f>
        <v>Surkai Malang Cilinic (2192)</v>
      </c>
      <c r="H181" s="121" t="str">
        <f ca="1">IFERROR(__xludf.DUMMYFUNCTION("""COMPUTED_VALUE"""),"BHC")</f>
        <v>BHC</v>
      </c>
      <c r="I181" s="122">
        <f ca="1">IFERROR(__xludf.DUMMYFUNCTION("""COMPUTED_VALUE"""),32)</f>
        <v>32</v>
      </c>
      <c r="J181" s="121" t="str">
        <f ca="1">IFERROR(__xludf.DUMMYFUNCTION("""COMPUTED_VALUE"""),"2025-11-03")</f>
        <v>2025-11-03</v>
      </c>
      <c r="K181" s="121" t="str">
        <f ca="1">IFERROR(__xludf.DUMMYFUNCTION("""COMPUTED_VALUE"""),"2025-11-03")</f>
        <v>2025-11-03</v>
      </c>
      <c r="L181" s="121" t="str">
        <f ca="1">IFERROR(__xludf.DUMMYFUNCTION("""COMPUTED_VALUE"""),"Personnel (section 1)")</f>
        <v>Personnel (section 1)</v>
      </c>
      <c r="M181" s="121" t="str">
        <f ca="1">IFERROR(__xludf.DUMMYFUNCTION("""COMPUTED_VALUE"""),"Data Verification")</f>
        <v>Data Verification</v>
      </c>
      <c r="N181" s="121" t="str">
        <f ca="1">IFERROR(__xludf.DUMMYFUNCTION("""COMPUTED_VALUE"""),"Pashto")</f>
        <v>Pashto</v>
      </c>
      <c r="O181" s="121"/>
      <c r="P181" s="121"/>
      <c r="Q181" s="121"/>
      <c r="R181" s="121"/>
      <c r="S181" s="121"/>
      <c r="T181" s="121"/>
      <c r="U181" s="121"/>
      <c r="V181" s="121"/>
      <c r="W181" s="121"/>
      <c r="X181" s="121"/>
      <c r="Y181" s="121"/>
      <c r="Z181" s="121"/>
      <c r="AA181" s="121"/>
      <c r="AB181" s="121"/>
    </row>
    <row r="182" spans="1:28">
      <c r="A182" s="121" t="str">
        <f ca="1">IFERROR(__xludf.DUMMYFUNCTION("""COMPUTED_VALUE"""),"uuid:a36b7051-76cc-4ee5-a1d7-3deefda0d933")</f>
        <v>uuid:a36b7051-76cc-4ee5-a1d7-3deefda0d933</v>
      </c>
      <c r="B182" s="121" t="str">
        <f ca="1">IFERROR(__xludf.DUMMYFUNCTION("""COMPUTED_VALUE"""),"FR2222")</f>
        <v>FR2222</v>
      </c>
      <c r="C182" s="121" t="str">
        <f ca="1">IFERROR(__xludf.DUMMYFUNCTION("""COMPUTED_VALUE"""),"Test Name 1")</f>
        <v>Test Name 1</v>
      </c>
      <c r="D182" s="121" t="str">
        <f ca="1">IFERROR(__xludf.DUMMYFUNCTION("""COMPUTED_VALUE"""),"HER-KDZ-HF2647-Q2-2025-1143-01")</f>
        <v>HER-KDZ-HF2647-Q2-2025-1143-01</v>
      </c>
      <c r="E182" s="121" t="str">
        <f ca="1">IFERROR(__xludf.DUMMYFUNCTION("""COMPUTED_VALUE"""),"Kunduz")</f>
        <v>Kunduz</v>
      </c>
      <c r="F182" s="121" t="str">
        <f ca="1">IFERROR(__xludf.DUMMYFUNCTION("""COMPUTED_VALUE"""),"Kunduz")</f>
        <v>Kunduz</v>
      </c>
      <c r="G182" s="121" t="str">
        <f ca="1">IFERROR(__xludf.DUMMYFUNCTION("""COMPUTED_VALUE"""),"Jar Guzar SHC (2647)")</f>
        <v>Jar Guzar SHC (2647)</v>
      </c>
      <c r="H182" s="121" t="str">
        <f ca="1">IFERROR(__xludf.DUMMYFUNCTION("""COMPUTED_VALUE"""),"SHC")</f>
        <v>SHC</v>
      </c>
      <c r="I182" s="122">
        <f ca="1">IFERROR(__xludf.DUMMYFUNCTION("""COMPUTED_VALUE"""),3)</f>
        <v>3</v>
      </c>
      <c r="J182" s="121" t="str">
        <f ca="1">IFERROR(__xludf.DUMMYFUNCTION("""COMPUTED_VALUE"""),"2025-11-03")</f>
        <v>2025-11-03</v>
      </c>
      <c r="K182" s="121" t="str">
        <f ca="1">IFERROR(__xludf.DUMMYFUNCTION("""COMPUTED_VALUE"""),"2025-11-03")</f>
        <v>2025-11-03</v>
      </c>
      <c r="L182" s="121" t="str">
        <f ca="1">IFERROR(__xludf.DUMMYFUNCTION("""COMPUTED_VALUE"""),"Other than P4P (section 6)")</f>
        <v>Other than P4P (section 6)</v>
      </c>
      <c r="M182" s="121" t="str">
        <f ca="1">IFERROR(__xludf.DUMMYFUNCTION("""COMPUTED_VALUE"""),"Data Verification")</f>
        <v>Data Verification</v>
      </c>
      <c r="N182" s="121" t="str">
        <f ca="1">IFERROR(__xludf.DUMMYFUNCTION("""COMPUTED_VALUE"""),"Dari")</f>
        <v>Dari</v>
      </c>
      <c r="O182" s="121"/>
      <c r="P182" s="121"/>
      <c r="Q182" s="121"/>
      <c r="R182" s="121"/>
      <c r="S182" s="121"/>
      <c r="T182" s="121"/>
      <c r="U182" s="121"/>
      <c r="V182" s="121"/>
      <c r="W182" s="121"/>
      <c r="X182" s="121"/>
      <c r="Y182" s="121"/>
      <c r="Z182" s="121"/>
      <c r="AA182" s="121"/>
      <c r="AB182" s="121" t="str">
        <f ca="1">IFERROR(__xludf.DUMMYFUNCTION("""COMPUTED_VALUE"""),"The user name should double check")</f>
        <v>The user name should double check</v>
      </c>
    </row>
    <row r="183" spans="1:28">
      <c r="A183" s="121" t="str">
        <f ca="1">IFERROR(__xludf.DUMMYFUNCTION("""COMPUTED_VALUE"""),"uuid:cebde463-d983-4652-8771-830c8e50a831")</f>
        <v>uuid:cebde463-d983-4652-8771-830c8e50a831</v>
      </c>
      <c r="B183" s="121" t="str">
        <f ca="1">IFERROR(__xludf.DUMMYFUNCTION("""COMPUTED_VALUE"""),"FR2222")</f>
        <v>FR2222</v>
      </c>
      <c r="C183" s="121" t="str">
        <f ca="1">IFERROR(__xludf.DUMMYFUNCTION("""COMPUTED_VALUE"""),"Test Name 1")</f>
        <v>Test Name 1</v>
      </c>
      <c r="D183" s="121" t="str">
        <f ca="1">IFERROR(__xludf.DUMMYFUNCTION("""COMPUTED_VALUE"""),"HER-KDZ-HF2647-Q2-2025-1143-01")</f>
        <v>HER-KDZ-HF2647-Q2-2025-1143-01</v>
      </c>
      <c r="E183" s="121" t="str">
        <f ca="1">IFERROR(__xludf.DUMMYFUNCTION("""COMPUTED_VALUE"""),"Kunduz")</f>
        <v>Kunduz</v>
      </c>
      <c r="F183" s="121" t="str">
        <f ca="1">IFERROR(__xludf.DUMMYFUNCTION("""COMPUTED_VALUE"""),"Kunduz")</f>
        <v>Kunduz</v>
      </c>
      <c r="G183" s="121" t="str">
        <f ca="1">IFERROR(__xludf.DUMMYFUNCTION("""COMPUTED_VALUE"""),"Jar Guzar SHC (2647)")</f>
        <v>Jar Guzar SHC (2647)</v>
      </c>
      <c r="H183" s="121" t="str">
        <f ca="1">IFERROR(__xludf.DUMMYFUNCTION("""COMPUTED_VALUE"""),"SHC")</f>
        <v>SHC</v>
      </c>
      <c r="I183" s="122">
        <f ca="1">IFERROR(__xludf.DUMMYFUNCTION("""COMPUTED_VALUE"""),126)</f>
        <v>126</v>
      </c>
      <c r="J183" s="121" t="str">
        <f ca="1">IFERROR(__xludf.DUMMYFUNCTION("""COMPUTED_VALUE"""),"2025-11-03")</f>
        <v>2025-11-03</v>
      </c>
      <c r="K183" s="121" t="str">
        <f ca="1">IFERROR(__xludf.DUMMYFUNCTION("""COMPUTED_VALUE"""),"2025-11-03")</f>
        <v>2025-11-03</v>
      </c>
      <c r="L183" s="121" t="str">
        <f ca="1">IFERROR(__xludf.DUMMYFUNCTION("""COMPUTED_VALUE"""),"Medicine (section 2)")</f>
        <v>Medicine (section 2)</v>
      </c>
      <c r="M183" s="121" t="str">
        <f ca="1">IFERROR(__xludf.DUMMYFUNCTION("""COMPUTED_VALUE"""),"Data Verification")</f>
        <v>Data Verification</v>
      </c>
      <c r="N183" s="121" t="str">
        <f ca="1">IFERROR(__xludf.DUMMYFUNCTION("""COMPUTED_VALUE"""),"Dari")</f>
        <v>Dari</v>
      </c>
      <c r="O183" s="121"/>
      <c r="P183" s="121"/>
      <c r="Q183" s="121"/>
      <c r="R183" s="121"/>
      <c r="S183" s="121"/>
      <c r="T183" s="121"/>
      <c r="U183" s="121"/>
      <c r="V183" s="121"/>
      <c r="W183" s="121"/>
      <c r="X183" s="121"/>
      <c r="Y183" s="121"/>
      <c r="Z183" s="121"/>
      <c r="AA183" s="121"/>
      <c r="AB183" s="121" t="str">
        <f ca="1">IFERROR(__xludf.DUMMYFUNCTION("""COMPUTED_VALUE"""),"The user name should double check")</f>
        <v>The user name should double check</v>
      </c>
    </row>
    <row r="184" spans="1:28">
      <c r="A184" s="121" t="str">
        <f ca="1">IFERROR(__xludf.DUMMYFUNCTION("""COMPUTED_VALUE"""),"uuid:c7d6af93-f91e-4752-b9f2-1c2214d9c6dd")</f>
        <v>uuid:c7d6af93-f91e-4752-b9f2-1c2214d9c6dd</v>
      </c>
      <c r="B184" s="121" t="str">
        <f ca="1">IFERROR(__xludf.DUMMYFUNCTION("""COMPUTED_VALUE"""),"FR3914")</f>
        <v>FR3914</v>
      </c>
      <c r="C184" s="121" t="str">
        <f ca="1">IFERROR(__xludf.DUMMYFUNCTION("""COMPUTED_VALUE"""),"Shekiba Qaderi")</f>
        <v>Shekiba Qaderi</v>
      </c>
      <c r="D184" s="121" t="str">
        <f ca="1">IFERROR(__xludf.DUMMYFUNCTION("""COMPUTED_VALUE"""),"HER-TAK-HF2870-Q2-2025-1246-01")</f>
        <v>HER-TAK-HF2870-Q2-2025-1246-01</v>
      </c>
      <c r="E184" s="121" t="str">
        <f ca="1">IFERROR(__xludf.DUMMYFUNCTION("""COMPUTED_VALUE"""),"Takhar")</f>
        <v>Takhar</v>
      </c>
      <c r="F184" s="121" t="str">
        <f ca="1">IFERROR(__xludf.DUMMYFUNCTION("""COMPUTED_VALUE"""),"Taloqan")</f>
        <v>Taloqan</v>
      </c>
      <c r="G184" s="121" t="str">
        <f ca="1">IFERROR(__xludf.DUMMYFUNCTION("""COMPUTED_VALUE"""),"Shorab SHC (2870)")</f>
        <v>Shorab SHC (2870)</v>
      </c>
      <c r="H184" s="121" t="str">
        <f ca="1">IFERROR(__xludf.DUMMYFUNCTION("""COMPUTED_VALUE"""),"SHC")</f>
        <v>SHC</v>
      </c>
      <c r="I184" s="122">
        <f ca="1">IFERROR(__xludf.DUMMYFUNCTION("""COMPUTED_VALUE"""),16)</f>
        <v>16</v>
      </c>
      <c r="J184" s="121" t="str">
        <f ca="1">IFERROR(__xludf.DUMMYFUNCTION("""COMPUTED_VALUE"""),"2025-11-03")</f>
        <v>2025-11-03</v>
      </c>
      <c r="K184" s="121" t="str">
        <f ca="1">IFERROR(__xludf.DUMMYFUNCTION("""COMPUTED_VALUE"""),"2025-11-02")</f>
        <v>2025-11-02</v>
      </c>
      <c r="L184" s="121" t="str">
        <f ca="1">IFERROR(__xludf.DUMMYFUNCTION("""COMPUTED_VALUE"""),"Personnel (section 1)")</f>
        <v>Personnel (section 1)</v>
      </c>
      <c r="M184" s="121" t="str">
        <f ca="1">IFERROR(__xludf.DUMMYFUNCTION("""COMPUTED_VALUE"""),"Data Verification")</f>
        <v>Data Verification</v>
      </c>
      <c r="N184" s="121" t="str">
        <f ca="1">IFERROR(__xludf.DUMMYFUNCTION("""COMPUTED_VALUE"""),"Dari")</f>
        <v>Dari</v>
      </c>
      <c r="O184" s="121"/>
      <c r="P184" s="121"/>
      <c r="Q184" s="121"/>
      <c r="R184" s="121"/>
      <c r="S184" s="121"/>
      <c r="T184" s="121"/>
      <c r="U184" s="121"/>
      <c r="V184" s="121"/>
      <c r="W184" s="121"/>
      <c r="X184" s="121"/>
      <c r="Y184" s="121"/>
      <c r="Z184" s="121"/>
      <c r="AA184" s="121"/>
      <c r="AB184" s="121"/>
    </row>
    <row r="185" spans="1:28">
      <c r="A185" s="121" t="str">
        <f ca="1">IFERROR(__xludf.DUMMYFUNCTION("""COMPUTED_VALUE"""),"uuid:d2b5e468-f766-40be-a3f0-ebc49641a0a2")</f>
        <v>uuid:d2b5e468-f766-40be-a3f0-ebc49641a0a2</v>
      </c>
      <c r="B185" s="121" t="str">
        <f ca="1">IFERROR(__xludf.DUMMYFUNCTION("""COMPUTED_VALUE"""),"FR4378")</f>
        <v>FR4378</v>
      </c>
      <c r="C185" s="121" t="str">
        <f ca="1">IFERROR(__xludf.DUMMYFUNCTION("""COMPUTED_VALUE"""),"Mohammad Shaiq Hakimi")</f>
        <v>Mohammad Shaiq Hakimi</v>
      </c>
      <c r="D185" s="121" t="str">
        <f ca="1">IFERROR(__xludf.DUMMYFUNCTION("""COMPUTED_VALUE"""),"HER-TAK-HF2870-Q2-2025-1246-01")</f>
        <v>HER-TAK-HF2870-Q2-2025-1246-01</v>
      </c>
      <c r="E185" s="121" t="str">
        <f ca="1">IFERROR(__xludf.DUMMYFUNCTION("""COMPUTED_VALUE"""),"Takhar")</f>
        <v>Takhar</v>
      </c>
      <c r="F185" s="121" t="str">
        <f ca="1">IFERROR(__xludf.DUMMYFUNCTION("""COMPUTED_VALUE"""),"Taloqan")</f>
        <v>Taloqan</v>
      </c>
      <c r="G185" s="121" t="str">
        <f ca="1">IFERROR(__xludf.DUMMYFUNCTION("""COMPUTED_VALUE"""),"Shorab SHC (2870)")</f>
        <v>Shorab SHC (2870)</v>
      </c>
      <c r="H185" s="121" t="str">
        <f ca="1">IFERROR(__xludf.DUMMYFUNCTION("""COMPUTED_VALUE"""),"SHC")</f>
        <v>SHC</v>
      </c>
      <c r="I185" s="122">
        <f ca="1">IFERROR(__xludf.DUMMYFUNCTION("""COMPUTED_VALUE"""),94)</f>
        <v>94</v>
      </c>
      <c r="J185" s="121" t="str">
        <f ca="1">IFERROR(__xludf.DUMMYFUNCTION("""COMPUTED_VALUE"""),"2025-11-03")</f>
        <v>2025-11-03</v>
      </c>
      <c r="K185" s="121" t="str">
        <f ca="1">IFERROR(__xludf.DUMMYFUNCTION("""COMPUTED_VALUE"""),"2025-11-03")</f>
        <v>2025-11-03</v>
      </c>
      <c r="L185" s="121" t="str">
        <f ca="1">IFERROR(__xludf.DUMMYFUNCTION("""COMPUTED_VALUE"""),"Medicine (section 2)")</f>
        <v>Medicine (section 2)</v>
      </c>
      <c r="M185" s="121" t="str">
        <f ca="1">IFERROR(__xludf.DUMMYFUNCTION("""COMPUTED_VALUE"""),"Data Verification")</f>
        <v>Data Verification</v>
      </c>
      <c r="N185" s="121" t="str">
        <f ca="1">IFERROR(__xludf.DUMMYFUNCTION("""COMPUTED_VALUE"""),"Dari")</f>
        <v>Dari</v>
      </c>
      <c r="O185" s="121"/>
      <c r="P185" s="121"/>
      <c r="Q185" s="121"/>
      <c r="R185" s="121"/>
      <c r="S185" s="121"/>
      <c r="T185" s="121"/>
      <c r="U185" s="121"/>
      <c r="V185" s="121"/>
      <c r="W185" s="121"/>
      <c r="X185" s="121"/>
      <c r="Y185" s="121"/>
      <c r="Z185" s="121"/>
      <c r="AA185" s="121"/>
      <c r="AB185" s="121"/>
    </row>
    <row r="186" spans="1:28">
      <c r="A186" s="121" t="str">
        <f ca="1">IFERROR(__xludf.DUMMYFUNCTION("""COMPUTED_VALUE"""),"uuid:5b599b06-60e3-48e6-95a8-2fe568f8cf60")</f>
        <v>uuid:5b599b06-60e3-48e6-95a8-2fe568f8cf60</v>
      </c>
      <c r="B186" s="121" t="str">
        <f ca="1">IFERROR(__xludf.DUMMYFUNCTION("""COMPUTED_VALUE"""),"FR3914")</f>
        <v>FR3914</v>
      </c>
      <c r="C186" s="121" t="str">
        <f ca="1">IFERROR(__xludf.DUMMYFUNCTION("""COMPUTED_VALUE"""),"Shekiba Qaderi")</f>
        <v>Shekiba Qaderi</v>
      </c>
      <c r="D186" s="121" t="str">
        <f ca="1">IFERROR(__xludf.DUMMYFUNCTION("""COMPUTED_VALUE"""),"HER-TAK-HF2870-Q2-2025-1246-01")</f>
        <v>HER-TAK-HF2870-Q2-2025-1246-01</v>
      </c>
      <c r="E186" s="121" t="str">
        <f ca="1">IFERROR(__xludf.DUMMYFUNCTION("""COMPUTED_VALUE"""),"Takhar")</f>
        <v>Takhar</v>
      </c>
      <c r="F186" s="121" t="str">
        <f ca="1">IFERROR(__xludf.DUMMYFUNCTION("""COMPUTED_VALUE"""),"Taloqan")</f>
        <v>Taloqan</v>
      </c>
      <c r="G186" s="121" t="str">
        <f ca="1">IFERROR(__xludf.DUMMYFUNCTION("""COMPUTED_VALUE"""),"Shorab SHC (2870)")</f>
        <v>Shorab SHC (2870)</v>
      </c>
      <c r="H186" s="121" t="str">
        <f ca="1">IFERROR(__xludf.DUMMYFUNCTION("""COMPUTED_VALUE"""),"SHC")</f>
        <v>SHC</v>
      </c>
      <c r="I186" s="122">
        <f ca="1">IFERROR(__xludf.DUMMYFUNCTION("""COMPUTED_VALUE"""),148)</f>
        <v>148</v>
      </c>
      <c r="J186" s="121" t="str">
        <f ca="1">IFERROR(__xludf.DUMMYFUNCTION("""COMPUTED_VALUE"""),"2025-11-03")</f>
        <v>2025-11-03</v>
      </c>
      <c r="K186" s="121" t="str">
        <f ca="1">IFERROR(__xludf.DUMMYFUNCTION("""COMPUTED_VALUE"""),"2025-11-02")</f>
        <v>2025-11-02</v>
      </c>
      <c r="L186" s="121" t="str">
        <f ca="1">IFERROR(__xludf.DUMMYFUNCTION("""COMPUTED_VALUE"""),"Equipments (section 4)")</f>
        <v>Equipments (section 4)</v>
      </c>
      <c r="M186" s="121" t="str">
        <f ca="1">IFERROR(__xludf.DUMMYFUNCTION("""COMPUTED_VALUE"""),"Data Verification")</f>
        <v>Data Verification</v>
      </c>
      <c r="N186" s="121" t="str">
        <f ca="1">IFERROR(__xludf.DUMMYFUNCTION("""COMPUTED_VALUE"""),"Dari")</f>
        <v>Dari</v>
      </c>
      <c r="O186" s="121"/>
      <c r="P186" s="121"/>
      <c r="Q186" s="121"/>
      <c r="R186" s="121"/>
      <c r="S186" s="121"/>
      <c r="T186" s="121"/>
      <c r="U186" s="121"/>
      <c r="V186" s="121"/>
      <c r="W186" s="121"/>
      <c r="X186" s="121"/>
      <c r="Y186" s="121"/>
      <c r="Z186" s="121"/>
      <c r="AA186" s="121"/>
      <c r="AB186" s="121"/>
    </row>
    <row r="187" spans="1:28">
      <c r="A187" s="121" t="str">
        <f ca="1">IFERROR(__xludf.DUMMYFUNCTION("""COMPUTED_VALUE"""),"uuid:c206ecb7-d656-402d-aca7-dad2c279bb10")</f>
        <v>uuid:c206ecb7-d656-402d-aca7-dad2c279bb10</v>
      </c>
      <c r="B187" s="121" t="str">
        <f ca="1">IFERROR(__xludf.DUMMYFUNCTION("""COMPUTED_VALUE"""),"FR2628")</f>
        <v>FR2628</v>
      </c>
      <c r="C187" s="121" t="str">
        <f ca="1">IFERROR(__xludf.DUMMYFUNCTION("""COMPUTED_VALUE"""),"Tahira Akbari")</f>
        <v>Tahira Akbari</v>
      </c>
      <c r="D187" s="121" t="str">
        <f ca="1">IFERROR(__xludf.DUMMYFUNCTION("""COMPUTED_VALUE"""),"HER-BAM-HF4349-Q2-2025-1074-01")</f>
        <v>HER-BAM-HF4349-Q2-2025-1074-01</v>
      </c>
      <c r="E187" s="121" t="str">
        <f ca="1">IFERROR(__xludf.DUMMYFUNCTION("""COMPUTED_VALUE"""),"Bamyan")</f>
        <v>Bamyan</v>
      </c>
      <c r="F187" s="121" t="str">
        <f ca="1">IFERROR(__xludf.DUMMYFUNCTION("""COMPUTED_VALUE"""),"Bamyan")</f>
        <v>Bamyan</v>
      </c>
      <c r="G187" s="121" t="str">
        <f ca="1">IFERROR(__xludf.DUMMYFUNCTION("""COMPUTED_VALUE"""),"Orgash SC (4349)")</f>
        <v>Orgash SC (4349)</v>
      </c>
      <c r="H187" s="121" t="str">
        <f ca="1">IFERROR(__xludf.DUMMYFUNCTION("""COMPUTED_VALUE"""),"SHC")</f>
        <v>SHC</v>
      </c>
      <c r="I187" s="122">
        <f ca="1">IFERROR(__xludf.DUMMYFUNCTION("""COMPUTED_VALUE"""),21)</f>
        <v>21</v>
      </c>
      <c r="J187" s="121" t="str">
        <f ca="1">IFERROR(__xludf.DUMMYFUNCTION("""COMPUTED_VALUE"""),"2025-11-03")</f>
        <v>2025-11-03</v>
      </c>
      <c r="K187" s="121" t="str">
        <f ca="1">IFERROR(__xludf.DUMMYFUNCTION("""COMPUTED_VALUE"""),"2025-11-03")</f>
        <v>2025-11-03</v>
      </c>
      <c r="L187" s="121" t="str">
        <f ca="1">IFERROR(__xludf.DUMMYFUNCTION("""COMPUTED_VALUE"""),"Personnel (section 1)")</f>
        <v>Personnel (section 1)</v>
      </c>
      <c r="M187" s="121" t="str">
        <f ca="1">IFERROR(__xludf.DUMMYFUNCTION("""COMPUTED_VALUE"""),"Data Verification")</f>
        <v>Data Verification</v>
      </c>
      <c r="N187" s="121" t="str">
        <f ca="1">IFERROR(__xludf.DUMMYFUNCTION("""COMPUTED_VALUE"""),"Dari")</f>
        <v>Dari</v>
      </c>
      <c r="O187" s="121"/>
      <c r="P187" s="121"/>
      <c r="Q187" s="121"/>
      <c r="R187" s="121"/>
      <c r="S187" s="121"/>
      <c r="T187" s="121"/>
      <c r="U187" s="121"/>
      <c r="V187" s="121"/>
      <c r="W187" s="121"/>
      <c r="X187" s="121"/>
      <c r="Y187" s="121"/>
      <c r="Z187" s="121"/>
      <c r="AA187" s="121"/>
      <c r="AB187" s="121"/>
    </row>
    <row r="188" spans="1:28">
      <c r="A188" s="121" t="str">
        <f ca="1">IFERROR(__xludf.DUMMYFUNCTION("""COMPUTED_VALUE"""),"uuid:25768f63-1713-465d-9876-acfd77eedb3f")</f>
        <v>uuid:25768f63-1713-465d-9876-acfd77eedb3f</v>
      </c>
      <c r="B188" s="121" t="str">
        <f ca="1">IFERROR(__xludf.DUMMYFUNCTION("""COMPUTED_VALUE"""),"FR2628")</f>
        <v>FR2628</v>
      </c>
      <c r="C188" s="121" t="str">
        <f ca="1">IFERROR(__xludf.DUMMYFUNCTION("""COMPUTED_VALUE"""),"Tahira Akbari")</f>
        <v>Tahira Akbari</v>
      </c>
      <c r="D188" s="121" t="str">
        <f ca="1">IFERROR(__xludf.DUMMYFUNCTION("""COMPUTED_VALUE"""),"HER-BAM-HF4349-Q2-2025-1074-01")</f>
        <v>HER-BAM-HF4349-Q2-2025-1074-01</v>
      </c>
      <c r="E188" s="121" t="str">
        <f ca="1">IFERROR(__xludf.DUMMYFUNCTION("""COMPUTED_VALUE"""),"Bamyan")</f>
        <v>Bamyan</v>
      </c>
      <c r="F188" s="121" t="str">
        <f ca="1">IFERROR(__xludf.DUMMYFUNCTION("""COMPUTED_VALUE"""),"Bamyan")</f>
        <v>Bamyan</v>
      </c>
      <c r="G188" s="121" t="str">
        <f ca="1">IFERROR(__xludf.DUMMYFUNCTION("""COMPUTED_VALUE"""),"Orgash SC (4349)")</f>
        <v>Orgash SC (4349)</v>
      </c>
      <c r="H188" s="121" t="str">
        <f ca="1">IFERROR(__xludf.DUMMYFUNCTION("""COMPUTED_VALUE"""),"SHC")</f>
        <v>SHC</v>
      </c>
      <c r="I188" s="122">
        <f ca="1">IFERROR(__xludf.DUMMYFUNCTION("""COMPUTED_VALUE"""),152)</f>
        <v>152</v>
      </c>
      <c r="J188" s="121" t="str">
        <f ca="1">IFERROR(__xludf.DUMMYFUNCTION("""COMPUTED_VALUE"""),"2025-11-03")</f>
        <v>2025-11-03</v>
      </c>
      <c r="K188" s="121" t="str">
        <f ca="1">IFERROR(__xludf.DUMMYFUNCTION("""COMPUTED_VALUE"""),"2025-11-03")</f>
        <v>2025-11-03</v>
      </c>
      <c r="L188" s="121" t="str">
        <f ca="1">IFERROR(__xludf.DUMMYFUNCTION("""COMPUTED_VALUE"""),"Consumable (section 3)")</f>
        <v>Consumable (section 3)</v>
      </c>
      <c r="M188" s="121" t="str">
        <f ca="1">IFERROR(__xludf.DUMMYFUNCTION("""COMPUTED_VALUE"""),"Data Verification")</f>
        <v>Data Verification</v>
      </c>
      <c r="N188" s="121" t="str">
        <f ca="1">IFERROR(__xludf.DUMMYFUNCTION("""COMPUTED_VALUE"""),"Dari")</f>
        <v>Dari</v>
      </c>
      <c r="O188" s="121"/>
      <c r="P188" s="121"/>
      <c r="Q188" s="121"/>
      <c r="R188" s="121"/>
      <c r="S188" s="121"/>
      <c r="T188" s="121"/>
      <c r="U188" s="121"/>
      <c r="V188" s="121"/>
      <c r="W188" s="121"/>
      <c r="X188" s="121"/>
      <c r="Y188" s="121"/>
      <c r="Z188" s="121"/>
      <c r="AA188" s="121"/>
      <c r="AB188" s="121"/>
    </row>
    <row r="189" spans="1:28">
      <c r="A189" s="121" t="str">
        <f ca="1">IFERROR(__xludf.DUMMYFUNCTION("""COMPUTED_VALUE"""),"uuid:b1e26ec9-5bc7-49d8-bfb7-788db18404d6")</f>
        <v>uuid:b1e26ec9-5bc7-49d8-bfb7-788db18404d6</v>
      </c>
      <c r="B189" s="121" t="str">
        <f ca="1">IFERROR(__xludf.DUMMYFUNCTION("""COMPUTED_VALUE"""),"FR2628")</f>
        <v>FR2628</v>
      </c>
      <c r="C189" s="121" t="str">
        <f ca="1">IFERROR(__xludf.DUMMYFUNCTION("""COMPUTED_VALUE"""),"Tahira Akbari")</f>
        <v>Tahira Akbari</v>
      </c>
      <c r="D189" s="121" t="str">
        <f ca="1">IFERROR(__xludf.DUMMYFUNCTION("""COMPUTED_VALUE"""),"HER-BAM-HF4349-Q2-2025-1074-01")</f>
        <v>HER-BAM-HF4349-Q2-2025-1074-01</v>
      </c>
      <c r="E189" s="121" t="str">
        <f ca="1">IFERROR(__xludf.DUMMYFUNCTION("""COMPUTED_VALUE"""),"Bamyan")</f>
        <v>Bamyan</v>
      </c>
      <c r="F189" s="121" t="str">
        <f ca="1">IFERROR(__xludf.DUMMYFUNCTION("""COMPUTED_VALUE"""),"Bamyan")</f>
        <v>Bamyan</v>
      </c>
      <c r="G189" s="121" t="str">
        <f ca="1">IFERROR(__xludf.DUMMYFUNCTION("""COMPUTED_VALUE"""),"Orgash SC (4349)")</f>
        <v>Orgash SC (4349)</v>
      </c>
      <c r="H189" s="121" t="str">
        <f ca="1">IFERROR(__xludf.DUMMYFUNCTION("""COMPUTED_VALUE"""),"SHC")</f>
        <v>SHC</v>
      </c>
      <c r="I189" s="122">
        <f ca="1">IFERROR(__xludf.DUMMYFUNCTION("""COMPUTED_VALUE"""),106)</f>
        <v>106</v>
      </c>
      <c r="J189" s="121" t="str">
        <f ca="1">IFERROR(__xludf.DUMMYFUNCTION("""COMPUTED_VALUE"""),"2025-11-03")</f>
        <v>2025-11-03</v>
      </c>
      <c r="K189" s="121" t="str">
        <f ca="1">IFERROR(__xludf.DUMMYFUNCTION("""COMPUTED_VALUE"""),"2025-11-03")</f>
        <v>2025-11-03</v>
      </c>
      <c r="L189" s="121" t="str">
        <f ca="1">IFERROR(__xludf.DUMMYFUNCTION("""COMPUTED_VALUE"""),"Equipments (section 4)")</f>
        <v>Equipments (section 4)</v>
      </c>
      <c r="M189" s="121" t="str">
        <f ca="1">IFERROR(__xludf.DUMMYFUNCTION("""COMPUTED_VALUE"""),"Data Verification")</f>
        <v>Data Verification</v>
      </c>
      <c r="N189" s="121" t="str">
        <f ca="1">IFERROR(__xludf.DUMMYFUNCTION("""COMPUTED_VALUE"""),"Dari")</f>
        <v>Dari</v>
      </c>
      <c r="O189" s="121"/>
      <c r="P189" s="121"/>
      <c r="Q189" s="121"/>
      <c r="R189" s="121"/>
      <c r="S189" s="121"/>
      <c r="T189" s="121"/>
      <c r="U189" s="121"/>
      <c r="V189" s="121"/>
      <c r="W189" s="121"/>
      <c r="X189" s="121"/>
      <c r="Y189" s="121"/>
      <c r="Z189" s="121"/>
      <c r="AA189" s="121"/>
      <c r="AB189" s="121"/>
    </row>
    <row r="190" spans="1:28">
      <c r="A190" s="121" t="str">
        <f ca="1">IFERROR(__xludf.DUMMYFUNCTION("""COMPUTED_VALUE"""),"uuid:fb84b816-dff3-421f-95fe-04264763f25f")</f>
        <v>uuid:fb84b816-dff3-421f-95fe-04264763f25f</v>
      </c>
      <c r="B190" s="121" t="str">
        <f ca="1">IFERROR(__xludf.DUMMYFUNCTION("""COMPUTED_VALUE"""),"N/A")</f>
        <v>N/A</v>
      </c>
      <c r="C190" s="121" t="str">
        <f ca="1">IFERROR(__xludf.DUMMYFUNCTION("""COMPUTED_VALUE"""),"N/A")</f>
        <v>N/A</v>
      </c>
      <c r="D190" s="121" t="str">
        <f ca="1">IFERROR(__xludf.DUMMYFUNCTION("""COMPUTED_VALUE"""),"N/A")</f>
        <v>N/A</v>
      </c>
      <c r="E190" s="121" t="str">
        <f ca="1">IFERROR(__xludf.DUMMYFUNCTION("""COMPUTED_VALUE"""),"N/A")</f>
        <v>N/A</v>
      </c>
      <c r="F190" s="121" t="str">
        <f ca="1">IFERROR(__xludf.DUMMYFUNCTION("""COMPUTED_VALUE"""),"N/A")</f>
        <v>N/A</v>
      </c>
      <c r="G190" s="121" t="str">
        <f ca="1">IFERROR(__xludf.DUMMYFUNCTION("""COMPUTED_VALUE"""),"N/A")</f>
        <v>N/A</v>
      </c>
      <c r="H190" s="121" t="str">
        <f ca="1">IFERROR(__xludf.DUMMYFUNCTION("""COMPUTED_VALUE"""),"N/A")</f>
        <v>N/A</v>
      </c>
      <c r="I190" s="121" t="str">
        <f ca="1">IFERROR(__xludf.DUMMYFUNCTION("""COMPUTED_VALUE"""),"N/A")</f>
        <v>N/A</v>
      </c>
      <c r="J190" s="121" t="str">
        <f ca="1">IFERROR(__xludf.DUMMYFUNCTION("""COMPUTED_VALUE"""),"2025-11-03")</f>
        <v>2025-11-03</v>
      </c>
      <c r="K190" s="121" t="str">
        <f ca="1">IFERROR(__xludf.DUMMYFUNCTION("""COMPUTED_VALUE"""),"NaT")</f>
        <v>NaT</v>
      </c>
      <c r="L190" s="121" t="str">
        <f ca="1">IFERROR(__xludf.DUMMYFUNCTION("""COMPUTED_VALUE"""),"N/A")</f>
        <v>N/A</v>
      </c>
      <c r="M190" s="121" t="str">
        <f ca="1">IFERROR(__xludf.DUMMYFUNCTION("""COMPUTED_VALUE"""),"Data Verification")</f>
        <v>Data Verification</v>
      </c>
      <c r="N190" s="121" t="str">
        <f ca="1">IFERROR(__xludf.DUMMYFUNCTION("""COMPUTED_VALUE"""),"N/A")</f>
        <v>N/A</v>
      </c>
      <c r="O190" s="121"/>
      <c r="P190" s="121"/>
      <c r="Q190" s="121"/>
      <c r="R190" s="121"/>
      <c r="S190" s="121"/>
      <c r="T190" s="121"/>
      <c r="U190" s="121"/>
      <c r="V190" s="121"/>
      <c r="W190" s="121"/>
      <c r="X190" s="121"/>
      <c r="Y190" s="121"/>
      <c r="Z190" s="121"/>
      <c r="AA190" s="121" t="str">
        <f ca="1">IFERROR(__xludf.DUMMYFUNCTION("""COMPUTED_VALUE"""),"Fake/Test data")</f>
        <v>Fake/Test data</v>
      </c>
      <c r="AB190" s="121"/>
    </row>
    <row r="191" spans="1:28">
      <c r="A191" s="121" t="str">
        <f ca="1">IFERROR(__xludf.DUMMYFUNCTION("""COMPUTED_VALUE"""),"uuid:2be62a00-d610-4f2d-b201-e490f6308789")</f>
        <v>uuid:2be62a00-d610-4f2d-b201-e490f6308789</v>
      </c>
      <c r="B191" s="121" t="str">
        <f ca="1">IFERROR(__xludf.DUMMYFUNCTION("""COMPUTED_VALUE"""),"N/A")</f>
        <v>N/A</v>
      </c>
      <c r="C191" s="121" t="str">
        <f ca="1">IFERROR(__xludf.DUMMYFUNCTION("""COMPUTED_VALUE"""),"N/A")</f>
        <v>N/A</v>
      </c>
      <c r="D191" s="121" t="str">
        <f ca="1">IFERROR(__xludf.DUMMYFUNCTION("""COMPUTED_VALUE"""),"N/A")</f>
        <v>N/A</v>
      </c>
      <c r="E191" s="121" t="str">
        <f ca="1">IFERROR(__xludf.DUMMYFUNCTION("""COMPUTED_VALUE"""),"N/A")</f>
        <v>N/A</v>
      </c>
      <c r="F191" s="121" t="str">
        <f ca="1">IFERROR(__xludf.DUMMYFUNCTION("""COMPUTED_VALUE"""),"N/A")</f>
        <v>N/A</v>
      </c>
      <c r="G191" s="121" t="str">
        <f ca="1">IFERROR(__xludf.DUMMYFUNCTION("""COMPUTED_VALUE"""),"N/A")</f>
        <v>N/A</v>
      </c>
      <c r="H191" s="121" t="str">
        <f ca="1">IFERROR(__xludf.DUMMYFUNCTION("""COMPUTED_VALUE"""),"N/A")</f>
        <v>N/A</v>
      </c>
      <c r="I191" s="121" t="str">
        <f ca="1">IFERROR(__xludf.DUMMYFUNCTION("""COMPUTED_VALUE"""),"N/A")</f>
        <v>N/A</v>
      </c>
      <c r="J191" s="121" t="str">
        <f ca="1">IFERROR(__xludf.DUMMYFUNCTION("""COMPUTED_VALUE"""),"2025-11-03")</f>
        <v>2025-11-03</v>
      </c>
      <c r="K191" s="121" t="str">
        <f ca="1">IFERROR(__xludf.DUMMYFUNCTION("""COMPUTED_VALUE"""),"NaT")</f>
        <v>NaT</v>
      </c>
      <c r="L191" s="121" t="str">
        <f ca="1">IFERROR(__xludf.DUMMYFUNCTION("""COMPUTED_VALUE"""),"N/A")</f>
        <v>N/A</v>
      </c>
      <c r="M191" s="121" t="str">
        <f ca="1">IFERROR(__xludf.DUMMYFUNCTION("""COMPUTED_VALUE"""),"Data Verification")</f>
        <v>Data Verification</v>
      </c>
      <c r="N191" s="121" t="str">
        <f ca="1">IFERROR(__xludf.DUMMYFUNCTION("""COMPUTED_VALUE"""),"N/A")</f>
        <v>N/A</v>
      </c>
      <c r="O191" s="121"/>
      <c r="P191" s="121"/>
      <c r="Q191" s="121"/>
      <c r="R191" s="121"/>
      <c r="S191" s="121"/>
      <c r="T191" s="121"/>
      <c r="U191" s="121"/>
      <c r="V191" s="121"/>
      <c r="W191" s="121"/>
      <c r="X191" s="121"/>
      <c r="Y191" s="121"/>
      <c r="Z191" s="121"/>
      <c r="AA191" s="121" t="str">
        <f ca="1">IFERROR(__xludf.DUMMYFUNCTION("""COMPUTED_VALUE"""),"Fake/Test data")</f>
        <v>Fake/Test data</v>
      </c>
      <c r="AB191" s="121"/>
    </row>
    <row r="192" spans="1:28">
      <c r="A192" s="121" t="str">
        <f ca="1">IFERROR(__xludf.DUMMYFUNCTION("""COMPUTED_VALUE"""),"uuid:ee6b6b4e-d9e0-41b5-9cc9-d17267e8bb3f")</f>
        <v>uuid:ee6b6b4e-d9e0-41b5-9cc9-d17267e8bb3f</v>
      </c>
      <c r="B192" s="121" t="str">
        <f ca="1">IFERROR(__xludf.DUMMYFUNCTION("""COMPUTED_VALUE"""),"FR2222")</f>
        <v>FR2222</v>
      </c>
      <c r="C192" s="121" t="str">
        <f ca="1">IFERROR(__xludf.DUMMYFUNCTION("""COMPUTED_VALUE"""),"Test Name 1")</f>
        <v>Test Name 1</v>
      </c>
      <c r="D192" s="121" t="str">
        <f ca="1">IFERROR(__xludf.DUMMYFUNCTION("""COMPUTED_VALUE"""),"HER-KDZ-HF2647-Q2-2025-1143-01")</f>
        <v>HER-KDZ-HF2647-Q2-2025-1143-01</v>
      </c>
      <c r="E192" s="121" t="str">
        <f ca="1">IFERROR(__xludf.DUMMYFUNCTION("""COMPUTED_VALUE"""),"Kunduz")</f>
        <v>Kunduz</v>
      </c>
      <c r="F192" s="121" t="str">
        <f ca="1">IFERROR(__xludf.DUMMYFUNCTION("""COMPUTED_VALUE"""),"Kunduz")</f>
        <v>Kunduz</v>
      </c>
      <c r="G192" s="121" t="str">
        <f ca="1">IFERROR(__xludf.DUMMYFUNCTION("""COMPUTED_VALUE"""),"Jar Guzar SHC (2647)")</f>
        <v>Jar Guzar SHC (2647)</v>
      </c>
      <c r="H192" s="121" t="str">
        <f ca="1">IFERROR(__xludf.DUMMYFUNCTION("""COMPUTED_VALUE"""),"SHC")</f>
        <v>SHC</v>
      </c>
      <c r="I192" s="122">
        <f ca="1">IFERROR(__xludf.DUMMYFUNCTION("""COMPUTED_VALUE"""),61)</f>
        <v>61</v>
      </c>
      <c r="J192" s="121" t="str">
        <f ca="1">IFERROR(__xludf.DUMMYFUNCTION("""COMPUTED_VALUE"""),"2025-11-03")</f>
        <v>2025-11-03</v>
      </c>
      <c r="K192" s="121" t="str">
        <f ca="1">IFERROR(__xludf.DUMMYFUNCTION("""COMPUTED_VALUE"""),"2025-11-03")</f>
        <v>2025-11-03</v>
      </c>
      <c r="L192" s="121" t="str">
        <f ca="1">IFERROR(__xludf.DUMMYFUNCTION("""COMPUTED_VALUE"""),"Personnel (section 1)")</f>
        <v>Personnel (section 1)</v>
      </c>
      <c r="M192" s="121" t="str">
        <f ca="1">IFERROR(__xludf.DUMMYFUNCTION("""COMPUTED_VALUE"""),"Data Verification")</f>
        <v>Data Verification</v>
      </c>
      <c r="N192" s="121" t="str">
        <f ca="1">IFERROR(__xludf.DUMMYFUNCTION("""COMPUTED_VALUE"""),"Dari")</f>
        <v>Dari</v>
      </c>
      <c r="O192" s="121"/>
      <c r="P192" s="121"/>
      <c r="Q192" s="121"/>
      <c r="R192" s="121"/>
      <c r="S192" s="121"/>
      <c r="T192" s="121"/>
      <c r="U192" s="121"/>
      <c r="V192" s="121"/>
      <c r="W192" s="121"/>
      <c r="X192" s="121"/>
      <c r="Y192" s="121"/>
      <c r="Z192" s="121"/>
      <c r="AA192" s="121"/>
      <c r="AB192" s="121" t="str">
        <f ca="1">IFERROR(__xludf.DUMMYFUNCTION("""COMPUTED_VALUE"""),"The user name should double check")</f>
        <v>The user name should double check</v>
      </c>
    </row>
    <row r="193" spans="1:28">
      <c r="A193" s="121" t="str">
        <f ca="1">IFERROR(__xludf.DUMMYFUNCTION("""COMPUTED_VALUE"""),"uuid:0117b0ab-6bcd-4677-8a8b-c5e3ad2ba394")</f>
        <v>uuid:0117b0ab-6bcd-4677-8a8b-c5e3ad2ba394</v>
      </c>
      <c r="B193" s="121" t="str">
        <f ca="1">IFERROR(__xludf.DUMMYFUNCTION("""COMPUTED_VALUE"""),"FR2222")</f>
        <v>FR2222</v>
      </c>
      <c r="C193" s="121" t="str">
        <f ca="1">IFERROR(__xludf.DUMMYFUNCTION("""COMPUTED_VALUE"""),"Test Name 1")</f>
        <v>Test Name 1</v>
      </c>
      <c r="D193" s="121" t="str">
        <f ca="1">IFERROR(__xludf.DUMMYFUNCTION("""COMPUTED_VALUE"""),"HER-KDZ-HF2647-Q2-2025-1143-01")</f>
        <v>HER-KDZ-HF2647-Q2-2025-1143-01</v>
      </c>
      <c r="E193" s="121" t="str">
        <f ca="1">IFERROR(__xludf.DUMMYFUNCTION("""COMPUTED_VALUE"""),"Kunduz")</f>
        <v>Kunduz</v>
      </c>
      <c r="F193" s="121" t="str">
        <f ca="1">IFERROR(__xludf.DUMMYFUNCTION("""COMPUTED_VALUE"""),"Kunduz")</f>
        <v>Kunduz</v>
      </c>
      <c r="G193" s="121" t="str">
        <f ca="1">IFERROR(__xludf.DUMMYFUNCTION("""COMPUTED_VALUE"""),"Jar Guzar SHC (2647)")</f>
        <v>Jar Guzar SHC (2647)</v>
      </c>
      <c r="H193" s="121" t="str">
        <f ca="1">IFERROR(__xludf.DUMMYFUNCTION("""COMPUTED_VALUE"""),"SHC")</f>
        <v>SHC</v>
      </c>
      <c r="I193" s="122">
        <f ca="1">IFERROR(__xludf.DUMMYFUNCTION("""COMPUTED_VALUE"""),67)</f>
        <v>67</v>
      </c>
      <c r="J193" s="121" t="str">
        <f ca="1">IFERROR(__xludf.DUMMYFUNCTION("""COMPUTED_VALUE"""),"2025-11-03")</f>
        <v>2025-11-03</v>
      </c>
      <c r="K193" s="121" t="str">
        <f ca="1">IFERROR(__xludf.DUMMYFUNCTION("""COMPUTED_VALUE"""),"2025-11-03")</f>
        <v>2025-11-03</v>
      </c>
      <c r="L193" s="121" t="str">
        <f ca="1">IFERROR(__xludf.DUMMYFUNCTION("""COMPUTED_VALUE"""),"Consumable (section 3)")</f>
        <v>Consumable (section 3)</v>
      </c>
      <c r="M193" s="121" t="str">
        <f ca="1">IFERROR(__xludf.DUMMYFUNCTION("""COMPUTED_VALUE"""),"Data Verification")</f>
        <v>Data Verification</v>
      </c>
      <c r="N193" s="121" t="str">
        <f ca="1">IFERROR(__xludf.DUMMYFUNCTION("""COMPUTED_VALUE"""),"Dari")</f>
        <v>Dari</v>
      </c>
      <c r="O193" s="121"/>
      <c r="P193" s="121"/>
      <c r="Q193" s="121"/>
      <c r="R193" s="121"/>
      <c r="S193" s="121"/>
      <c r="T193" s="121"/>
      <c r="U193" s="121"/>
      <c r="V193" s="121"/>
      <c r="W193" s="121"/>
      <c r="X193" s="121"/>
      <c r="Y193" s="121"/>
      <c r="Z193" s="121"/>
      <c r="AA193" s="121"/>
      <c r="AB193" s="121" t="str">
        <f ca="1">IFERROR(__xludf.DUMMYFUNCTION("""COMPUTED_VALUE"""),"The user name should double check")</f>
        <v>The user name should double check</v>
      </c>
    </row>
    <row r="194" spans="1:28">
      <c r="A194" s="121" t="str">
        <f ca="1">IFERROR(__xludf.DUMMYFUNCTION("""COMPUTED_VALUE"""),"uuid:10d40ef2-0cec-442b-942a-f16323f4ee93")</f>
        <v>uuid:10d40ef2-0cec-442b-942a-f16323f4ee93</v>
      </c>
      <c r="B194" s="121" t="str">
        <f ca="1">IFERROR(__xludf.DUMMYFUNCTION("""COMPUTED_VALUE"""),"FR2761")</f>
        <v>FR2761</v>
      </c>
      <c r="C194" s="121" t="str">
        <f ca="1">IFERROR(__xludf.DUMMYFUNCTION("""COMPUTED_VALUE"""),"Rawzia Raihan")</f>
        <v>Rawzia Raihan</v>
      </c>
      <c r="D194" s="121" t="str">
        <f ca="1">IFERROR(__xludf.DUMMYFUNCTION("""COMPUTED_VALUE"""),"HER-PKA-HF4343-Q2-2025-1188-01")</f>
        <v>HER-PKA-HF4343-Q2-2025-1188-01</v>
      </c>
      <c r="E194" s="121" t="str">
        <f ca="1">IFERROR(__xludf.DUMMYFUNCTION("""COMPUTED_VALUE"""),"Paktika")</f>
        <v>Paktika</v>
      </c>
      <c r="F194" s="121" t="str">
        <f ca="1">IFERROR(__xludf.DUMMYFUNCTION("""COMPUTED_VALUE"""),"Sar-e-Rawza")</f>
        <v>Sar-e-Rawza</v>
      </c>
      <c r="G194" s="121" t="str">
        <f ca="1">IFERROR(__xludf.DUMMYFUNCTION("""COMPUTED_VALUE"""),"Qazi Kala SC (4343)")</f>
        <v>Qazi Kala SC (4343)</v>
      </c>
      <c r="H194" s="121" t="str">
        <f ca="1">IFERROR(__xludf.DUMMYFUNCTION("""COMPUTED_VALUE"""),"SHC")</f>
        <v>SHC</v>
      </c>
      <c r="I194" s="122">
        <f ca="1">IFERROR(__xludf.DUMMYFUNCTION("""COMPUTED_VALUE"""),63)</f>
        <v>63</v>
      </c>
      <c r="J194" s="121" t="str">
        <f ca="1">IFERROR(__xludf.DUMMYFUNCTION("""COMPUTED_VALUE"""),"2025-11-03")</f>
        <v>2025-11-03</v>
      </c>
      <c r="K194" s="121" t="str">
        <f ca="1">IFERROR(__xludf.DUMMYFUNCTION("""COMPUTED_VALUE"""),"2025-11-03")</f>
        <v>2025-11-03</v>
      </c>
      <c r="L194" s="121" t="str">
        <f ca="1">IFERROR(__xludf.DUMMYFUNCTION("""COMPUTED_VALUE"""),"Personnel (section 1)")</f>
        <v>Personnel (section 1)</v>
      </c>
      <c r="M194" s="121" t="str">
        <f ca="1">IFERROR(__xludf.DUMMYFUNCTION("""COMPUTED_VALUE"""),"Data Verification")</f>
        <v>Data Verification</v>
      </c>
      <c r="N194" s="121" t="str">
        <f ca="1">IFERROR(__xludf.DUMMYFUNCTION("""COMPUTED_VALUE"""),"Pashto")</f>
        <v>Pashto</v>
      </c>
      <c r="O194" s="121"/>
      <c r="P194" s="121"/>
      <c r="Q194" s="121"/>
      <c r="R194" s="121"/>
      <c r="S194" s="121"/>
      <c r="T194" s="121"/>
      <c r="U194" s="121"/>
      <c r="V194" s="121"/>
      <c r="W194" s="121"/>
      <c r="X194" s="121"/>
      <c r="Y194" s="121"/>
      <c r="Z194" s="121"/>
      <c r="AA194" s="121"/>
      <c r="AB194" s="121"/>
    </row>
    <row r="195" spans="1:28">
      <c r="A195" s="121" t="str">
        <f ca="1">IFERROR(__xludf.DUMMYFUNCTION("""COMPUTED_VALUE"""),"uuid:8755c787-3067-40e3-a810-b45b2c1206f5")</f>
        <v>uuid:8755c787-3067-40e3-a810-b45b2c1206f5</v>
      </c>
      <c r="B195" s="121" t="str">
        <f ca="1">IFERROR(__xludf.DUMMYFUNCTION("""COMPUTED_VALUE"""),"FR2761")</f>
        <v>FR2761</v>
      </c>
      <c r="C195" s="121" t="str">
        <f ca="1">IFERROR(__xludf.DUMMYFUNCTION("""COMPUTED_VALUE"""),"Rawzia Raihan")</f>
        <v>Rawzia Raihan</v>
      </c>
      <c r="D195" s="121" t="str">
        <f ca="1">IFERROR(__xludf.DUMMYFUNCTION("""COMPUTED_VALUE"""),"HER-PKA-HF4343-Q2-2025-1188-01")</f>
        <v>HER-PKA-HF4343-Q2-2025-1188-01</v>
      </c>
      <c r="E195" s="121" t="str">
        <f ca="1">IFERROR(__xludf.DUMMYFUNCTION("""COMPUTED_VALUE"""),"Paktika")</f>
        <v>Paktika</v>
      </c>
      <c r="F195" s="121" t="str">
        <f ca="1">IFERROR(__xludf.DUMMYFUNCTION("""COMPUTED_VALUE"""),"Sar-e-Rawza")</f>
        <v>Sar-e-Rawza</v>
      </c>
      <c r="G195" s="121" t="str">
        <f ca="1">IFERROR(__xludf.DUMMYFUNCTION("""COMPUTED_VALUE"""),"Qazi Kala SC (4343)")</f>
        <v>Qazi Kala SC (4343)</v>
      </c>
      <c r="H195" s="121" t="str">
        <f ca="1">IFERROR(__xludf.DUMMYFUNCTION("""COMPUTED_VALUE"""),"SHC")</f>
        <v>SHC</v>
      </c>
      <c r="I195" s="122">
        <f ca="1">IFERROR(__xludf.DUMMYFUNCTION("""COMPUTED_VALUE"""),81)</f>
        <v>81</v>
      </c>
      <c r="J195" s="121" t="str">
        <f ca="1">IFERROR(__xludf.DUMMYFUNCTION("""COMPUTED_VALUE"""),"2025-11-03")</f>
        <v>2025-11-03</v>
      </c>
      <c r="K195" s="121" t="str">
        <f ca="1">IFERROR(__xludf.DUMMYFUNCTION("""COMPUTED_VALUE"""),"2025-11-03")</f>
        <v>2025-11-03</v>
      </c>
      <c r="L195" s="121" t="str">
        <f ca="1">IFERROR(__xludf.DUMMYFUNCTION("""COMPUTED_VALUE"""),"Consumable (section 3)")</f>
        <v>Consumable (section 3)</v>
      </c>
      <c r="M195" s="121" t="str">
        <f ca="1">IFERROR(__xludf.DUMMYFUNCTION("""COMPUTED_VALUE"""),"Data Verification")</f>
        <v>Data Verification</v>
      </c>
      <c r="N195" s="121" t="str">
        <f ca="1">IFERROR(__xludf.DUMMYFUNCTION("""COMPUTED_VALUE"""),"Pashto")</f>
        <v>Pashto</v>
      </c>
      <c r="O195" s="121"/>
      <c r="P195" s="121"/>
      <c r="Q195" s="121"/>
      <c r="R195" s="121"/>
      <c r="S195" s="121"/>
      <c r="T195" s="121"/>
      <c r="U195" s="121"/>
      <c r="V195" s="121"/>
      <c r="W195" s="121"/>
      <c r="X195" s="121"/>
      <c r="Y195" s="121"/>
      <c r="Z195" s="121"/>
      <c r="AA195" s="121"/>
      <c r="AB195" s="121"/>
    </row>
    <row r="196" spans="1:28">
      <c r="A196" s="121" t="str">
        <f ca="1">IFERROR(__xludf.DUMMYFUNCTION("""COMPUTED_VALUE"""),"uuid:38a05bdb-842a-4c68-bcc6-ee2463137985")</f>
        <v>uuid:38a05bdb-842a-4c68-bcc6-ee2463137985</v>
      </c>
      <c r="B196" s="121" t="str">
        <f ca="1">IFERROR(__xludf.DUMMYFUNCTION("""COMPUTED_VALUE"""),"FR3985")</f>
        <v>FR3985</v>
      </c>
      <c r="C196" s="121" t="str">
        <f ca="1">IFERROR(__xludf.DUMMYFUNCTION("""COMPUTED_VALUE"""),"Nasrullah Mobashir")</f>
        <v>Nasrullah Mobashir</v>
      </c>
      <c r="D196" s="121" t="str">
        <f ca="1">IFERROR(__xludf.DUMMYFUNCTION("""COMPUTED_VALUE"""),"HER-GHA-HF2476-Q2-2025-1034-01")</f>
        <v>HER-GHA-HF2476-Q2-2025-1034-01</v>
      </c>
      <c r="E196" s="121" t="str">
        <f ca="1">IFERROR(__xludf.DUMMYFUNCTION("""COMPUTED_VALUE"""),"Ghazni")</f>
        <v>Ghazni</v>
      </c>
      <c r="F196" s="121" t="str">
        <f ca="1">IFERROR(__xludf.DUMMYFUNCTION("""COMPUTED_VALUE"""),"Qara Bagh (Ghazni)")</f>
        <v>Qara Bagh (Ghazni)</v>
      </c>
      <c r="G196" s="121" t="str">
        <f ca="1">IFERROR(__xludf.DUMMYFUNCTION("""COMPUTED_VALUE"""),"Shaheed Abdul Hakim Maisam SC (2476)")</f>
        <v>Shaheed Abdul Hakim Maisam SC (2476)</v>
      </c>
      <c r="H196" s="121" t="str">
        <f ca="1">IFERROR(__xludf.DUMMYFUNCTION("""COMPUTED_VALUE"""),"SHC")</f>
        <v>SHC</v>
      </c>
      <c r="I196" s="122">
        <f ca="1">IFERROR(__xludf.DUMMYFUNCTION("""COMPUTED_VALUE"""),136)</f>
        <v>136</v>
      </c>
      <c r="J196" s="121" t="str">
        <f ca="1">IFERROR(__xludf.DUMMYFUNCTION("""COMPUTED_VALUE"""),"2025-11-03")</f>
        <v>2025-11-03</v>
      </c>
      <c r="K196" s="121" t="str">
        <f ca="1">IFERROR(__xludf.DUMMYFUNCTION("""COMPUTED_VALUE"""),"2025-11-03")</f>
        <v>2025-11-03</v>
      </c>
      <c r="L196" s="121" t="str">
        <f ca="1">IFERROR(__xludf.DUMMYFUNCTION("""COMPUTED_VALUE"""),"Medicine (section 2)")</f>
        <v>Medicine (section 2)</v>
      </c>
      <c r="M196" s="121" t="str">
        <f ca="1">IFERROR(__xludf.DUMMYFUNCTION("""COMPUTED_VALUE"""),"Data Verification")</f>
        <v>Data Verification</v>
      </c>
      <c r="N196" s="121" t="str">
        <f ca="1">IFERROR(__xludf.DUMMYFUNCTION("""COMPUTED_VALUE"""),"Dari")</f>
        <v>Dari</v>
      </c>
      <c r="O196" s="121"/>
      <c r="P196" s="121" t="str">
        <f ca="1">IFERROR(__xludf.DUMMYFUNCTION("""COMPUTED_VALUE""")," Voice of both sides is clear")</f>
        <v xml:space="preserve"> Voice of both sides is clear</v>
      </c>
      <c r="Q196" s="121" t="str">
        <f ca="1">IFERROR(__xludf.DUMMYFUNCTION("""COMPUTED_VALUE"""),"Yes/Some")</f>
        <v>Yes/Some</v>
      </c>
      <c r="R196" s="121" t="str">
        <f ca="1">IFERROR(__xludf.DUMMYFUNCTION("""COMPUTED_VALUE"""),"Yes")</f>
        <v>Yes</v>
      </c>
      <c r="S196" s="121" t="str">
        <f ca="1">IFERROR(__xludf.DUMMYFUNCTION("""COMPUTED_VALUE"""),"Yes")</f>
        <v>Yes</v>
      </c>
      <c r="T196" s="121" t="str">
        <f ca="1">IFERROR(__xludf.DUMMYFUNCTION("""COMPUTED_VALUE"""),"Checked")</f>
        <v>Checked</v>
      </c>
      <c r="U196" s="121" t="str">
        <f ca="1">IFERROR(__xludf.DUMMYFUNCTION("""COMPUTED_VALUE"""),"No")</f>
        <v>No</v>
      </c>
      <c r="V196" s="121" t="str">
        <f ca="1">IFERROR(__xludf.DUMMYFUNCTION("""COMPUTED_VALUE"""),"No")</f>
        <v>No</v>
      </c>
      <c r="W196" s="121">
        <f ca="1">IFERROR(__xludf.DUMMYFUNCTION("""COMPUTED_VALUE"""),3)</f>
        <v>3</v>
      </c>
      <c r="X196" s="121" t="str">
        <f ca="1">IFERROR(__xludf.DUMMYFUNCTION("""COMPUTED_VALUE"""),"Soman Tahiri")</f>
        <v>Soman Tahiri</v>
      </c>
      <c r="Y196" s="124">
        <f ca="1">IFERROR(__xludf.DUMMYFUNCTION("""COMPUTED_VALUE"""),45965)</f>
        <v>45965</v>
      </c>
      <c r="Z196" s="121" t="str">
        <f ca="1">IFERROR(__xludf.DUMMYFUNCTION("""COMPUTED_VALUE"""),"Approved")</f>
        <v>Approved</v>
      </c>
      <c r="AA196" s="121"/>
      <c r="AB196" s="121"/>
    </row>
    <row r="197" spans="1:28">
      <c r="A197" s="121" t="str">
        <f ca="1">IFERROR(__xludf.DUMMYFUNCTION("""COMPUTED_VALUE"""),"uuid:64ae37ef-cb48-4130-8d0c-c2a7f5dc25ea")</f>
        <v>uuid:64ae37ef-cb48-4130-8d0c-c2a7f5dc25ea</v>
      </c>
      <c r="B197" s="121" t="str">
        <f ca="1">IFERROR(__xludf.DUMMYFUNCTION("""COMPUTED_VALUE"""),"FR3985")</f>
        <v>FR3985</v>
      </c>
      <c r="C197" s="121" t="str">
        <f ca="1">IFERROR(__xludf.DUMMYFUNCTION("""COMPUTED_VALUE"""),"Nasrullah Mobashir")</f>
        <v>Nasrullah Mobashir</v>
      </c>
      <c r="D197" s="121" t="str">
        <f ca="1">IFERROR(__xludf.DUMMYFUNCTION("""COMPUTED_VALUE"""),"HER-GHA-HF2476-Q2-2025-1034-01")</f>
        <v>HER-GHA-HF2476-Q2-2025-1034-01</v>
      </c>
      <c r="E197" s="121" t="str">
        <f ca="1">IFERROR(__xludf.DUMMYFUNCTION("""COMPUTED_VALUE"""),"Ghazni")</f>
        <v>Ghazni</v>
      </c>
      <c r="F197" s="121" t="str">
        <f ca="1">IFERROR(__xludf.DUMMYFUNCTION("""COMPUTED_VALUE"""),"Qara Bagh (Ghazni)")</f>
        <v>Qara Bagh (Ghazni)</v>
      </c>
      <c r="G197" s="121" t="str">
        <f ca="1">IFERROR(__xludf.DUMMYFUNCTION("""COMPUTED_VALUE"""),"Shaheed Abdul Hakim Maisam SC (2476)")</f>
        <v>Shaheed Abdul Hakim Maisam SC (2476)</v>
      </c>
      <c r="H197" s="121" t="str">
        <f ca="1">IFERROR(__xludf.DUMMYFUNCTION("""COMPUTED_VALUE"""),"SHC")</f>
        <v>SHC</v>
      </c>
      <c r="I197" s="122">
        <f ca="1">IFERROR(__xludf.DUMMYFUNCTION("""COMPUTED_VALUE"""),8)</f>
        <v>8</v>
      </c>
      <c r="J197" s="121" t="str">
        <f ca="1">IFERROR(__xludf.DUMMYFUNCTION("""COMPUTED_VALUE"""),"2025-11-03")</f>
        <v>2025-11-03</v>
      </c>
      <c r="K197" s="121" t="str">
        <f ca="1">IFERROR(__xludf.DUMMYFUNCTION("""COMPUTED_VALUE"""),"2025-11-03")</f>
        <v>2025-11-03</v>
      </c>
      <c r="L197" s="121" t="str">
        <f ca="1">IFERROR(__xludf.DUMMYFUNCTION("""COMPUTED_VALUE"""),"Other than P4P (section 6)")</f>
        <v>Other than P4P (section 6)</v>
      </c>
      <c r="M197" s="121" t="str">
        <f ca="1">IFERROR(__xludf.DUMMYFUNCTION("""COMPUTED_VALUE"""),"Data Verification")</f>
        <v>Data Verification</v>
      </c>
      <c r="N197" s="121" t="str">
        <f ca="1">IFERROR(__xludf.DUMMYFUNCTION("""COMPUTED_VALUE"""),"Dari")</f>
        <v>Dari</v>
      </c>
      <c r="O197" s="121"/>
      <c r="P197" s="121" t="str">
        <f ca="1">IFERROR(__xludf.DUMMYFUNCTION("""COMPUTED_VALUE""")," Voice of both sides is clear")</f>
        <v xml:space="preserve"> Voice of both sides is clear</v>
      </c>
      <c r="Q197" s="121"/>
      <c r="R197" s="121" t="str">
        <f ca="1">IFERROR(__xludf.DUMMYFUNCTION("""COMPUTED_VALUE"""),"No")</f>
        <v>No</v>
      </c>
      <c r="S197" s="121"/>
      <c r="T197" s="121" t="str">
        <f ca="1">IFERROR(__xludf.DUMMYFUNCTION("""COMPUTED_VALUE"""),"Checked")</f>
        <v>Checked</v>
      </c>
      <c r="U197" s="121" t="str">
        <f ca="1">IFERROR(__xludf.DUMMYFUNCTION("""COMPUTED_VALUE"""),"No")</f>
        <v>No</v>
      </c>
      <c r="V197" s="121" t="str">
        <f ca="1">IFERROR(__xludf.DUMMYFUNCTION("""COMPUTED_VALUE"""),"No")</f>
        <v>No</v>
      </c>
      <c r="W197" s="121">
        <f ca="1">IFERROR(__xludf.DUMMYFUNCTION("""COMPUTED_VALUE"""),4)</f>
        <v>4</v>
      </c>
      <c r="X197" s="121" t="str">
        <f ca="1">IFERROR(__xludf.DUMMYFUNCTION("""COMPUTED_VALUE"""),"Soman Tahiri")</f>
        <v>Soman Tahiri</v>
      </c>
      <c r="Y197" s="124">
        <f ca="1">IFERROR(__xludf.DUMMYFUNCTION("""COMPUTED_VALUE"""),45965)</f>
        <v>45965</v>
      </c>
      <c r="Z197" s="121" t="str">
        <f ca="1">IFERROR(__xludf.DUMMYFUNCTION("""COMPUTED_VALUE"""),"Approved")</f>
        <v>Approved</v>
      </c>
      <c r="AA197" s="121"/>
      <c r="AB197" s="121"/>
    </row>
    <row r="198" spans="1:28">
      <c r="A198" s="121" t="str">
        <f ca="1">IFERROR(__xludf.DUMMYFUNCTION("""COMPUTED_VALUE"""),"uuid:cccecaa9-ba85-49b0-9dfd-cb99db16a89e")</f>
        <v>uuid:cccecaa9-ba85-49b0-9dfd-cb99db16a89e</v>
      </c>
      <c r="B198" s="121" t="str">
        <f ca="1">IFERROR(__xludf.DUMMYFUNCTION("""COMPUTED_VALUE"""),"FR3691")</f>
        <v>FR3691</v>
      </c>
      <c r="C198" s="121" t="str">
        <f ca="1">IFERROR(__xludf.DUMMYFUNCTION("""COMPUTED_VALUE"""),"Adil Ahsas")</f>
        <v>Adil Ahsas</v>
      </c>
      <c r="D198" s="121" t="str">
        <f ca="1">IFERROR(__xludf.DUMMYFUNCTION("""COMPUTED_VALUE"""),"HER-PKA-HF4343-Q2-2025-1188-01")</f>
        <v>HER-PKA-HF4343-Q2-2025-1188-01</v>
      </c>
      <c r="E198" s="121" t="str">
        <f ca="1">IFERROR(__xludf.DUMMYFUNCTION("""COMPUTED_VALUE"""),"Paktika")</f>
        <v>Paktika</v>
      </c>
      <c r="F198" s="121" t="str">
        <f ca="1">IFERROR(__xludf.DUMMYFUNCTION("""COMPUTED_VALUE"""),"Sar-e-Rawza")</f>
        <v>Sar-e-Rawza</v>
      </c>
      <c r="G198" s="121" t="str">
        <f ca="1">IFERROR(__xludf.DUMMYFUNCTION("""COMPUTED_VALUE"""),"Qazi Kala SC (4343)")</f>
        <v>Qazi Kala SC (4343)</v>
      </c>
      <c r="H198" s="121" t="str">
        <f ca="1">IFERROR(__xludf.DUMMYFUNCTION("""COMPUTED_VALUE"""),"SHC")</f>
        <v>SHC</v>
      </c>
      <c r="I198" s="122">
        <f ca="1">IFERROR(__xludf.DUMMYFUNCTION("""COMPUTED_VALUE"""),5)</f>
        <v>5</v>
      </c>
      <c r="J198" s="121" t="str">
        <f ca="1">IFERROR(__xludf.DUMMYFUNCTION("""COMPUTED_VALUE"""),"2025-11-03")</f>
        <v>2025-11-03</v>
      </c>
      <c r="K198" s="121" t="str">
        <f ca="1">IFERROR(__xludf.DUMMYFUNCTION("""COMPUTED_VALUE"""),"2025-11-03")</f>
        <v>2025-11-03</v>
      </c>
      <c r="L198" s="121" t="str">
        <f ca="1">IFERROR(__xludf.DUMMYFUNCTION("""COMPUTED_VALUE"""),"Other than P4P (section 6)")</f>
        <v>Other than P4P (section 6)</v>
      </c>
      <c r="M198" s="121" t="str">
        <f ca="1">IFERROR(__xludf.DUMMYFUNCTION("""COMPUTED_VALUE"""),"Data Verification")</f>
        <v>Data Verification</v>
      </c>
      <c r="N198" s="121" t="str">
        <f ca="1">IFERROR(__xludf.DUMMYFUNCTION("""COMPUTED_VALUE"""),"Pashto")</f>
        <v>Pashto</v>
      </c>
      <c r="O198" s="121"/>
      <c r="P198" s="121"/>
      <c r="Q198" s="121"/>
      <c r="R198" s="121"/>
      <c r="S198" s="121"/>
      <c r="T198" s="121"/>
      <c r="U198" s="121"/>
      <c r="V198" s="121"/>
      <c r="W198" s="121"/>
      <c r="X198" s="121"/>
      <c r="Y198" s="121"/>
      <c r="Z198" s="121"/>
      <c r="AA198" s="121"/>
      <c r="AB198" s="121"/>
    </row>
    <row r="199" spans="1:28">
      <c r="A199" s="121" t="str">
        <f ca="1">IFERROR(__xludf.DUMMYFUNCTION("""COMPUTED_VALUE"""),"uuid:205a6e10-54a5-407a-a4d0-07eb1a421b2f")</f>
        <v>uuid:205a6e10-54a5-407a-a4d0-07eb1a421b2f</v>
      </c>
      <c r="B199" s="121" t="str">
        <f ca="1">IFERROR(__xludf.DUMMYFUNCTION("""COMPUTED_VALUE"""),"FR3691")</f>
        <v>FR3691</v>
      </c>
      <c r="C199" s="121" t="str">
        <f ca="1">IFERROR(__xludf.DUMMYFUNCTION("""COMPUTED_VALUE"""),"Adil Ahsas")</f>
        <v>Adil Ahsas</v>
      </c>
      <c r="D199" s="121" t="str">
        <f ca="1">IFERROR(__xludf.DUMMYFUNCTION("""COMPUTED_VALUE"""),"HER-PKA-HF4343-Q2-2025-1188-01")</f>
        <v>HER-PKA-HF4343-Q2-2025-1188-01</v>
      </c>
      <c r="E199" s="121" t="str">
        <f ca="1">IFERROR(__xludf.DUMMYFUNCTION("""COMPUTED_VALUE"""),"Paktika")</f>
        <v>Paktika</v>
      </c>
      <c r="F199" s="121" t="str">
        <f ca="1">IFERROR(__xludf.DUMMYFUNCTION("""COMPUTED_VALUE"""),"Sar-e-Rawza")</f>
        <v>Sar-e-Rawza</v>
      </c>
      <c r="G199" s="121" t="str">
        <f ca="1">IFERROR(__xludf.DUMMYFUNCTION("""COMPUTED_VALUE"""),"Qazi Kala SC (4343)")</f>
        <v>Qazi Kala SC (4343)</v>
      </c>
      <c r="H199" s="121" t="str">
        <f ca="1">IFERROR(__xludf.DUMMYFUNCTION("""COMPUTED_VALUE"""),"SHC")</f>
        <v>SHC</v>
      </c>
      <c r="I199" s="122">
        <f ca="1">IFERROR(__xludf.DUMMYFUNCTION("""COMPUTED_VALUE"""),75)</f>
        <v>75</v>
      </c>
      <c r="J199" s="121" t="str">
        <f ca="1">IFERROR(__xludf.DUMMYFUNCTION("""COMPUTED_VALUE"""),"2025-11-03")</f>
        <v>2025-11-03</v>
      </c>
      <c r="K199" s="121" t="str">
        <f ca="1">IFERROR(__xludf.DUMMYFUNCTION("""COMPUTED_VALUE"""),"2025-11-03")</f>
        <v>2025-11-03</v>
      </c>
      <c r="L199" s="121" t="str">
        <f ca="1">IFERROR(__xludf.DUMMYFUNCTION("""COMPUTED_VALUE"""),"Medicine (section 2)")</f>
        <v>Medicine (section 2)</v>
      </c>
      <c r="M199" s="121" t="str">
        <f ca="1">IFERROR(__xludf.DUMMYFUNCTION("""COMPUTED_VALUE"""),"Data Verification")</f>
        <v>Data Verification</v>
      </c>
      <c r="N199" s="121" t="str">
        <f ca="1">IFERROR(__xludf.DUMMYFUNCTION("""COMPUTED_VALUE"""),"Pashto")</f>
        <v>Pashto</v>
      </c>
      <c r="O199" s="121"/>
      <c r="P199" s="121"/>
      <c r="Q199" s="121"/>
      <c r="R199" s="121"/>
      <c r="S199" s="121"/>
      <c r="T199" s="121"/>
      <c r="U199" s="121"/>
      <c r="V199" s="121"/>
      <c r="W199" s="121"/>
      <c r="X199" s="121"/>
      <c r="Y199" s="121"/>
      <c r="Z199" s="121"/>
      <c r="AA199" s="121"/>
      <c r="AB199" s="121"/>
    </row>
    <row r="200" spans="1:28">
      <c r="A200" s="121" t="str">
        <f ca="1">IFERROR(__xludf.DUMMYFUNCTION("""COMPUTED_VALUE"""),"uuid:080b07aa-5b82-4bdd-8d62-84a353c3b4ba")</f>
        <v>uuid:080b07aa-5b82-4bdd-8d62-84a353c3b4ba</v>
      </c>
      <c r="B200" s="121" t="str">
        <f ca="1">IFERROR(__xludf.DUMMYFUNCTION("""COMPUTED_VALUE"""),"FR3863")</f>
        <v>FR3863</v>
      </c>
      <c r="C200" s="121" t="str">
        <f ca="1">IFERROR(__xludf.DUMMYFUNCTION("""COMPUTED_VALUE"""),"Setara Azim")</f>
        <v>Setara Azim</v>
      </c>
      <c r="D200" s="121" t="str">
        <f ca="1">IFERROR(__xludf.DUMMYFUNCTION("""COMPUTED_VALUE"""),"HER-GHA-HF2476-Q2-2025-1034-01")</f>
        <v>HER-GHA-HF2476-Q2-2025-1034-01</v>
      </c>
      <c r="E200" s="121" t="str">
        <f ca="1">IFERROR(__xludf.DUMMYFUNCTION("""COMPUTED_VALUE"""),"Ghazni")</f>
        <v>Ghazni</v>
      </c>
      <c r="F200" s="121" t="str">
        <f ca="1">IFERROR(__xludf.DUMMYFUNCTION("""COMPUTED_VALUE"""),"Qara Bagh (Ghazni)")</f>
        <v>Qara Bagh (Ghazni)</v>
      </c>
      <c r="G200" s="121" t="str">
        <f ca="1">IFERROR(__xludf.DUMMYFUNCTION("""COMPUTED_VALUE"""),"Shaheed Abdul Hakim Maisam SC (2476)")</f>
        <v>Shaheed Abdul Hakim Maisam SC (2476)</v>
      </c>
      <c r="H200" s="121" t="str">
        <f ca="1">IFERROR(__xludf.DUMMYFUNCTION("""COMPUTED_VALUE"""),"SHC")</f>
        <v>SHC</v>
      </c>
      <c r="I200" s="122">
        <f ca="1">IFERROR(__xludf.DUMMYFUNCTION("""COMPUTED_VALUE"""),8)</f>
        <v>8</v>
      </c>
      <c r="J200" s="121" t="str">
        <f ca="1">IFERROR(__xludf.DUMMYFUNCTION("""COMPUTED_VALUE"""),"2025-11-03")</f>
        <v>2025-11-03</v>
      </c>
      <c r="K200" s="121" t="str">
        <f ca="1">IFERROR(__xludf.DUMMYFUNCTION("""COMPUTED_VALUE"""),"2025-11-03")</f>
        <v>2025-11-03</v>
      </c>
      <c r="L200" s="121" t="str">
        <f ca="1">IFERROR(__xludf.DUMMYFUNCTION("""COMPUTED_VALUE"""),"Personnel (section 1)")</f>
        <v>Personnel (section 1)</v>
      </c>
      <c r="M200" s="121" t="str">
        <f ca="1">IFERROR(__xludf.DUMMYFUNCTION("""COMPUTED_VALUE"""),"Data Verification")</f>
        <v>Data Verification</v>
      </c>
      <c r="N200" s="121" t="str">
        <f ca="1">IFERROR(__xludf.DUMMYFUNCTION("""COMPUTED_VALUE"""),"Dari")</f>
        <v>Dari</v>
      </c>
      <c r="O200" s="121"/>
      <c r="P200" s="121" t="str">
        <f ca="1">IFERROR(__xludf.DUMMYFUNCTION("""COMPUTED_VALUE""")," Voice of both sides is clear")</f>
        <v xml:space="preserve"> Voice of both sides is clear</v>
      </c>
      <c r="Q200" s="121" t="str">
        <f ca="1">IFERROR(__xludf.DUMMYFUNCTION("""COMPUTED_VALUE"""),"Yes/all")</f>
        <v>Yes/all</v>
      </c>
      <c r="R200" s="121"/>
      <c r="S200" s="121"/>
      <c r="T200" s="121" t="str">
        <f ca="1">IFERROR(__xludf.DUMMYFUNCTION("""COMPUTED_VALUE"""),"Checked")</f>
        <v>Checked</v>
      </c>
      <c r="U200" s="121" t="str">
        <f ca="1">IFERROR(__xludf.DUMMYFUNCTION("""COMPUTED_VALUE"""),"No")</f>
        <v>No</v>
      </c>
      <c r="V200" s="121" t="str">
        <f ca="1">IFERROR(__xludf.DUMMYFUNCTION("""COMPUTED_VALUE"""),"No")</f>
        <v>No</v>
      </c>
      <c r="W200" s="121">
        <f ca="1">IFERROR(__xludf.DUMMYFUNCTION("""COMPUTED_VALUE"""),4)</f>
        <v>4</v>
      </c>
      <c r="X200" s="121" t="str">
        <f ca="1">IFERROR(__xludf.DUMMYFUNCTION("""COMPUTED_VALUE"""),"Soman Tahiri")</f>
        <v>Soman Tahiri</v>
      </c>
      <c r="Y200" s="124">
        <f ca="1">IFERROR(__xludf.DUMMYFUNCTION("""COMPUTED_VALUE"""),45965)</f>
        <v>45965</v>
      </c>
      <c r="Z200" s="121" t="str">
        <f ca="1">IFERROR(__xludf.DUMMYFUNCTION("""COMPUTED_VALUE"""),"Approved")</f>
        <v>Approved</v>
      </c>
      <c r="AA200" s="121"/>
      <c r="AB200" s="121"/>
    </row>
    <row r="201" spans="1:28">
      <c r="A201" s="121" t="str">
        <f ca="1">IFERROR(__xludf.DUMMYFUNCTION("""COMPUTED_VALUE"""),"uuid:45873a66-c45c-4446-bf52-e5ffee3ba50b")</f>
        <v>uuid:45873a66-c45c-4446-bf52-e5ffee3ba50b</v>
      </c>
      <c r="B201" s="121" t="str">
        <f ca="1">IFERROR(__xludf.DUMMYFUNCTION("""COMPUTED_VALUE"""),"FR4696")</f>
        <v>FR4696</v>
      </c>
      <c r="C201" s="121" t="str">
        <f ca="1">IFERROR(__xludf.DUMMYFUNCTION("""COMPUTED_VALUE"""),"Mursal Tarakhil")</f>
        <v>Mursal Tarakhil</v>
      </c>
      <c r="D201" s="121" t="str">
        <f ca="1">IFERROR(__xludf.DUMMYFUNCTION("""COMPUTED_VALUE"""),"HER-LGM-HF3819-Q2-2025-1153-01")</f>
        <v>HER-LGM-HF3819-Q2-2025-1153-01</v>
      </c>
      <c r="E201" s="121" t="str">
        <f ca="1">IFERROR(__xludf.DUMMYFUNCTION("""COMPUTED_VALUE"""),"Laghman")</f>
        <v>Laghman</v>
      </c>
      <c r="F201" s="121" t="str">
        <f ca="1">IFERROR(__xludf.DUMMYFUNCTION("""COMPUTED_VALUE"""),"Dawlat Shah")</f>
        <v>Dawlat Shah</v>
      </c>
      <c r="G201" s="121" t="str">
        <f ca="1">IFERROR(__xludf.DUMMYFUNCTION("""COMPUTED_VALUE"""),"Karik SC (3819)")</f>
        <v>Karik SC (3819)</v>
      </c>
      <c r="H201" s="121" t="str">
        <f ca="1">IFERROR(__xludf.DUMMYFUNCTION("""COMPUTED_VALUE"""),"SHC")</f>
        <v>SHC</v>
      </c>
      <c r="I201" s="122">
        <f ca="1">IFERROR(__xludf.DUMMYFUNCTION("""COMPUTED_VALUE"""),21)</f>
        <v>21</v>
      </c>
      <c r="J201" s="121" t="str">
        <f ca="1">IFERROR(__xludf.DUMMYFUNCTION("""COMPUTED_VALUE"""),"2025-11-03")</f>
        <v>2025-11-03</v>
      </c>
      <c r="K201" s="121" t="str">
        <f ca="1">IFERROR(__xludf.DUMMYFUNCTION("""COMPUTED_VALUE"""),"2025-11-02")</f>
        <v>2025-11-02</v>
      </c>
      <c r="L201" s="121" t="str">
        <f ca="1">IFERROR(__xludf.DUMMYFUNCTION("""COMPUTED_VALUE"""),"Consumable (section 3)")</f>
        <v>Consumable (section 3)</v>
      </c>
      <c r="M201" s="121" t="str">
        <f ca="1">IFERROR(__xludf.DUMMYFUNCTION("""COMPUTED_VALUE"""),"Data Verification")</f>
        <v>Data Verification</v>
      </c>
      <c r="N201" s="121" t="str">
        <f ca="1">IFERROR(__xludf.DUMMYFUNCTION("""COMPUTED_VALUE"""),"Pashto")</f>
        <v>Pashto</v>
      </c>
      <c r="O201" s="121"/>
      <c r="P201" s="121"/>
      <c r="Q201" s="121"/>
      <c r="R201" s="121"/>
      <c r="S201" s="121"/>
      <c r="T201" s="121"/>
      <c r="U201" s="121"/>
      <c r="V201" s="121"/>
      <c r="W201" s="121"/>
      <c r="X201" s="121" t="str">
        <f ca="1">IFERROR(__xludf.DUMMYFUNCTION("""COMPUTED_VALUE"""),"Soman Tahiri")</f>
        <v>Soman Tahiri</v>
      </c>
      <c r="Y201" s="124">
        <f ca="1">IFERROR(__xludf.DUMMYFUNCTION("""COMPUTED_VALUE"""),45965)</f>
        <v>45965</v>
      </c>
      <c r="Z201" s="121"/>
      <c r="AA201" s="121"/>
      <c r="AB201" s="121"/>
    </row>
    <row r="202" spans="1:28">
      <c r="A202" s="121" t="str">
        <f ca="1">IFERROR(__xludf.DUMMYFUNCTION("""COMPUTED_VALUE"""),"uuid:89a1c41f-195e-4ec8-93cb-2f702d44b68a")</f>
        <v>uuid:89a1c41f-195e-4ec8-93cb-2f702d44b68a</v>
      </c>
      <c r="B202" s="121" t="str">
        <f ca="1">IFERROR(__xludf.DUMMYFUNCTION("""COMPUTED_VALUE"""),"FR3863")</f>
        <v>FR3863</v>
      </c>
      <c r="C202" s="121" t="str">
        <f ca="1">IFERROR(__xludf.DUMMYFUNCTION("""COMPUTED_VALUE"""),"Setara Azim")</f>
        <v>Setara Azim</v>
      </c>
      <c r="D202" s="121" t="str">
        <f ca="1">IFERROR(__xludf.DUMMYFUNCTION("""COMPUTED_VALUE"""),"HER-GHA-HF2476-Q2-2025-1034-01")</f>
        <v>HER-GHA-HF2476-Q2-2025-1034-01</v>
      </c>
      <c r="E202" s="121" t="str">
        <f ca="1">IFERROR(__xludf.DUMMYFUNCTION("""COMPUTED_VALUE"""),"Ghazni")</f>
        <v>Ghazni</v>
      </c>
      <c r="F202" s="121" t="str">
        <f ca="1">IFERROR(__xludf.DUMMYFUNCTION("""COMPUTED_VALUE"""),"Qara Bagh (Ghazni)")</f>
        <v>Qara Bagh (Ghazni)</v>
      </c>
      <c r="G202" s="121" t="str">
        <f ca="1">IFERROR(__xludf.DUMMYFUNCTION("""COMPUTED_VALUE"""),"Shaheed Abdul Hakim Maisam SC (2476)")</f>
        <v>Shaheed Abdul Hakim Maisam SC (2476)</v>
      </c>
      <c r="H202" s="121" t="str">
        <f ca="1">IFERROR(__xludf.DUMMYFUNCTION("""COMPUTED_VALUE"""),"SHC")</f>
        <v>SHC</v>
      </c>
      <c r="I202" s="122">
        <f ca="1">IFERROR(__xludf.DUMMYFUNCTION("""COMPUTED_VALUE"""),110)</f>
        <v>110</v>
      </c>
      <c r="J202" s="121" t="str">
        <f ca="1">IFERROR(__xludf.DUMMYFUNCTION("""COMPUTED_VALUE"""),"2025-11-03")</f>
        <v>2025-11-03</v>
      </c>
      <c r="K202" s="121" t="str">
        <f ca="1">IFERROR(__xludf.DUMMYFUNCTION("""COMPUTED_VALUE"""),"2025-11-03")</f>
        <v>2025-11-03</v>
      </c>
      <c r="L202" s="121" t="str">
        <f ca="1">IFERROR(__xludf.DUMMYFUNCTION("""COMPUTED_VALUE"""),"Equipments (section 4)")</f>
        <v>Equipments (section 4)</v>
      </c>
      <c r="M202" s="121" t="str">
        <f ca="1">IFERROR(__xludf.DUMMYFUNCTION("""COMPUTED_VALUE"""),"Data Verification")</f>
        <v>Data Verification</v>
      </c>
      <c r="N202" s="121" t="str">
        <f ca="1">IFERROR(__xludf.DUMMYFUNCTION("""COMPUTED_VALUE"""),"Dari")</f>
        <v>Dari</v>
      </c>
      <c r="O202" s="121"/>
      <c r="P202" s="121"/>
      <c r="Q202" s="121"/>
      <c r="R202" s="121"/>
      <c r="S202" s="121"/>
      <c r="T202" s="121"/>
      <c r="U202" s="121"/>
      <c r="V202" s="121"/>
      <c r="W202" s="121"/>
      <c r="X202" s="121" t="str">
        <f ca="1">IFERROR(__xludf.DUMMYFUNCTION("""COMPUTED_VALUE"""),"Soman Tahiri")</f>
        <v>Soman Tahiri</v>
      </c>
      <c r="Y202" s="124">
        <f ca="1">IFERROR(__xludf.DUMMYFUNCTION("""COMPUTED_VALUE"""),45965)</f>
        <v>45965</v>
      </c>
      <c r="Z202" s="121"/>
      <c r="AA202" s="121"/>
      <c r="AB202" s="121"/>
    </row>
    <row r="203" spans="1:28">
      <c r="A203" s="121" t="str">
        <f ca="1">IFERROR(__xludf.DUMMYFUNCTION("""COMPUTED_VALUE"""),"uuid:b6a88703-ba2c-41ce-b283-4b42f6fe5d36")</f>
        <v>uuid:b6a88703-ba2c-41ce-b283-4b42f6fe5d36</v>
      </c>
      <c r="B203" s="121" t="str">
        <f ca="1">IFERROR(__xludf.DUMMYFUNCTION("""COMPUTED_VALUE"""),"FR4696")</f>
        <v>FR4696</v>
      </c>
      <c r="C203" s="121" t="str">
        <f ca="1">IFERROR(__xludf.DUMMYFUNCTION("""COMPUTED_VALUE"""),"Mursal Tarakhil")</f>
        <v>Mursal Tarakhil</v>
      </c>
      <c r="D203" s="121" t="str">
        <f ca="1">IFERROR(__xludf.DUMMYFUNCTION("""COMPUTED_VALUE"""),"HER-LGM-HF3819-Q2-2025-1153-01")</f>
        <v>HER-LGM-HF3819-Q2-2025-1153-01</v>
      </c>
      <c r="E203" s="121" t="str">
        <f ca="1">IFERROR(__xludf.DUMMYFUNCTION("""COMPUTED_VALUE"""),"Laghman")</f>
        <v>Laghman</v>
      </c>
      <c r="F203" s="121" t="str">
        <f ca="1">IFERROR(__xludf.DUMMYFUNCTION("""COMPUTED_VALUE"""),"Dawlat Shah")</f>
        <v>Dawlat Shah</v>
      </c>
      <c r="G203" s="121" t="str">
        <f ca="1">IFERROR(__xludf.DUMMYFUNCTION("""COMPUTED_VALUE"""),"Karik SC (3819)")</f>
        <v>Karik SC (3819)</v>
      </c>
      <c r="H203" s="121" t="str">
        <f ca="1">IFERROR(__xludf.DUMMYFUNCTION("""COMPUTED_VALUE"""),"SHC")</f>
        <v>SHC</v>
      </c>
      <c r="I203" s="122">
        <f ca="1">IFERROR(__xludf.DUMMYFUNCTION("""COMPUTED_VALUE"""),21)</f>
        <v>21</v>
      </c>
      <c r="J203" s="121" t="str">
        <f ca="1">IFERROR(__xludf.DUMMYFUNCTION("""COMPUTED_VALUE"""),"2025-11-03")</f>
        <v>2025-11-03</v>
      </c>
      <c r="K203" s="121" t="str">
        <f ca="1">IFERROR(__xludf.DUMMYFUNCTION("""COMPUTED_VALUE"""),"2025-11-02")</f>
        <v>2025-11-02</v>
      </c>
      <c r="L203" s="121" t="str">
        <f ca="1">IFERROR(__xludf.DUMMYFUNCTION("""COMPUTED_VALUE"""),"Personnel (section 1)")</f>
        <v>Personnel (section 1)</v>
      </c>
      <c r="M203" s="121" t="str">
        <f ca="1">IFERROR(__xludf.DUMMYFUNCTION("""COMPUTED_VALUE"""),"Data Verification")</f>
        <v>Data Verification</v>
      </c>
      <c r="N203" s="121" t="str">
        <f ca="1">IFERROR(__xludf.DUMMYFUNCTION("""COMPUTED_VALUE"""),"Pashto")</f>
        <v>Pashto</v>
      </c>
      <c r="O203" s="121"/>
      <c r="P203" s="121"/>
      <c r="Q203" s="121"/>
      <c r="R203" s="121"/>
      <c r="S203" s="121"/>
      <c r="T203" s="121"/>
      <c r="U203" s="121"/>
      <c r="V203" s="121"/>
      <c r="W203" s="121"/>
      <c r="X203" s="121"/>
      <c r="Y203" s="121"/>
      <c r="Z203" s="121"/>
      <c r="AA203" s="121"/>
      <c r="AB203" s="121"/>
    </row>
    <row r="204" spans="1:28">
      <c r="A204" s="121" t="str">
        <f ca="1">IFERROR(__xludf.DUMMYFUNCTION("""COMPUTED_VALUE"""),"uuid:5d83afbc-6f19-48a6-8ee2-4d92611d6d88")</f>
        <v>uuid:5d83afbc-6f19-48a6-8ee2-4d92611d6d88</v>
      </c>
      <c r="B204" s="121" t="str">
        <f ca="1">IFERROR(__xludf.DUMMYFUNCTION("""COMPUTED_VALUE"""),"FR3863")</f>
        <v>FR3863</v>
      </c>
      <c r="C204" s="121" t="str">
        <f ca="1">IFERROR(__xludf.DUMMYFUNCTION("""COMPUTED_VALUE"""),"Setara Azim")</f>
        <v>Setara Azim</v>
      </c>
      <c r="D204" s="121" t="str">
        <f ca="1">IFERROR(__xludf.DUMMYFUNCTION("""COMPUTED_VALUE"""),"HER-GHA-HF2476-Q2-2025-1034-01")</f>
        <v>HER-GHA-HF2476-Q2-2025-1034-01</v>
      </c>
      <c r="E204" s="121" t="str">
        <f ca="1">IFERROR(__xludf.DUMMYFUNCTION("""COMPUTED_VALUE"""),"Ghazni")</f>
        <v>Ghazni</v>
      </c>
      <c r="F204" s="121" t="str">
        <f ca="1">IFERROR(__xludf.DUMMYFUNCTION("""COMPUTED_VALUE"""),"Qara Bagh (Ghazni)")</f>
        <v>Qara Bagh (Ghazni)</v>
      </c>
      <c r="G204" s="121" t="str">
        <f ca="1">IFERROR(__xludf.DUMMYFUNCTION("""COMPUTED_VALUE"""),"Shaheed Abdul Hakim Maisam SC (2476)")</f>
        <v>Shaheed Abdul Hakim Maisam SC (2476)</v>
      </c>
      <c r="H204" s="121" t="str">
        <f ca="1">IFERROR(__xludf.DUMMYFUNCTION("""COMPUTED_VALUE"""),"SHC")</f>
        <v>SHC</v>
      </c>
      <c r="I204" s="122">
        <f ca="1">IFERROR(__xludf.DUMMYFUNCTION("""COMPUTED_VALUE"""),35)</f>
        <v>35</v>
      </c>
      <c r="J204" s="121" t="str">
        <f ca="1">IFERROR(__xludf.DUMMYFUNCTION("""COMPUTED_VALUE"""),"2025-11-03")</f>
        <v>2025-11-03</v>
      </c>
      <c r="K204" s="121" t="str">
        <f ca="1">IFERROR(__xludf.DUMMYFUNCTION("""COMPUTED_VALUE"""),"2025-11-03")</f>
        <v>2025-11-03</v>
      </c>
      <c r="L204" s="121" t="str">
        <f ca="1">IFERROR(__xludf.DUMMYFUNCTION("""COMPUTED_VALUE"""),"Consumable (section 3)")</f>
        <v>Consumable (section 3)</v>
      </c>
      <c r="M204" s="121" t="str">
        <f ca="1">IFERROR(__xludf.DUMMYFUNCTION("""COMPUTED_VALUE"""),"Data Verification")</f>
        <v>Data Verification</v>
      </c>
      <c r="N204" s="121" t="str">
        <f ca="1">IFERROR(__xludf.DUMMYFUNCTION("""COMPUTED_VALUE"""),"Dari")</f>
        <v>Dari</v>
      </c>
      <c r="O204" s="121"/>
      <c r="P204" s="121"/>
      <c r="Q204" s="121"/>
      <c r="R204" s="121"/>
      <c r="S204" s="121"/>
      <c r="T204" s="121"/>
      <c r="U204" s="121"/>
      <c r="V204" s="121"/>
      <c r="W204" s="121"/>
      <c r="X204" s="121" t="str">
        <f ca="1">IFERROR(__xludf.DUMMYFUNCTION("""COMPUTED_VALUE"""),"Soman Tahiri")</f>
        <v>Soman Tahiri</v>
      </c>
      <c r="Y204" s="124">
        <f ca="1">IFERROR(__xludf.DUMMYFUNCTION("""COMPUTED_VALUE"""),45965)</f>
        <v>45965</v>
      </c>
      <c r="Z204" s="121"/>
      <c r="AA204" s="121"/>
      <c r="AB204" s="121"/>
    </row>
    <row r="205" spans="1:28">
      <c r="A205" s="121" t="str">
        <f ca="1">IFERROR(__xludf.DUMMYFUNCTION("""COMPUTED_VALUE"""),"uuid:6df9eb4e-6c1f-401d-b1cc-8e845eaa11e7")</f>
        <v>uuid:6df9eb4e-6c1f-401d-b1cc-8e845eaa11e7</v>
      </c>
      <c r="B205" s="121" t="str">
        <f ca="1">IFERROR(__xludf.DUMMYFUNCTION("""COMPUTED_VALUE"""),"FR4696")</f>
        <v>FR4696</v>
      </c>
      <c r="C205" s="121" t="str">
        <f ca="1">IFERROR(__xludf.DUMMYFUNCTION("""COMPUTED_VALUE"""),"Mursal Tarakhil")</f>
        <v>Mursal Tarakhil</v>
      </c>
      <c r="D205" s="121" t="str">
        <f ca="1">IFERROR(__xludf.DUMMYFUNCTION("""COMPUTED_VALUE"""),"HER-LGM-HF3819-Q2-2025-1153-01")</f>
        <v>HER-LGM-HF3819-Q2-2025-1153-01</v>
      </c>
      <c r="E205" s="121" t="str">
        <f ca="1">IFERROR(__xludf.DUMMYFUNCTION("""COMPUTED_VALUE"""),"Laghman")</f>
        <v>Laghman</v>
      </c>
      <c r="F205" s="121" t="str">
        <f ca="1">IFERROR(__xludf.DUMMYFUNCTION("""COMPUTED_VALUE"""),"Dawlat Shah")</f>
        <v>Dawlat Shah</v>
      </c>
      <c r="G205" s="121" t="str">
        <f ca="1">IFERROR(__xludf.DUMMYFUNCTION("""COMPUTED_VALUE"""),"Karik SC (3819)")</f>
        <v>Karik SC (3819)</v>
      </c>
      <c r="H205" s="121" t="str">
        <f ca="1">IFERROR(__xludf.DUMMYFUNCTION("""COMPUTED_VALUE"""),"SHC")</f>
        <v>SHC</v>
      </c>
      <c r="I205" s="122">
        <f ca="1">IFERROR(__xludf.DUMMYFUNCTION("""COMPUTED_VALUE"""),87)</f>
        <v>87</v>
      </c>
      <c r="J205" s="121" t="str">
        <f ca="1">IFERROR(__xludf.DUMMYFUNCTION("""COMPUTED_VALUE"""),"2025-11-03")</f>
        <v>2025-11-03</v>
      </c>
      <c r="K205" s="121" t="str">
        <f ca="1">IFERROR(__xludf.DUMMYFUNCTION("""COMPUTED_VALUE"""),"2025-11-02")</f>
        <v>2025-11-02</v>
      </c>
      <c r="L205" s="121" t="str">
        <f ca="1">IFERROR(__xludf.DUMMYFUNCTION("""COMPUTED_VALUE"""),"Equipments (section 4)")</f>
        <v>Equipments (section 4)</v>
      </c>
      <c r="M205" s="121" t="str">
        <f ca="1">IFERROR(__xludf.DUMMYFUNCTION("""COMPUTED_VALUE"""),"Data Verification")</f>
        <v>Data Verification</v>
      </c>
      <c r="N205" s="121" t="str">
        <f ca="1">IFERROR(__xludf.DUMMYFUNCTION("""COMPUTED_VALUE"""),"Pashto")</f>
        <v>Pashto</v>
      </c>
      <c r="O205" s="121"/>
      <c r="P205" s="121"/>
      <c r="Q205" s="121"/>
      <c r="R205" s="121"/>
      <c r="S205" s="121"/>
      <c r="T205" s="121"/>
      <c r="U205" s="121"/>
      <c r="V205" s="121"/>
      <c r="W205" s="121"/>
      <c r="X205" s="121"/>
      <c r="Y205" s="121"/>
      <c r="Z205" s="121"/>
      <c r="AA205" s="121"/>
      <c r="AB205" s="121"/>
    </row>
    <row r="206" spans="1:28">
      <c r="A206" s="121" t="str">
        <f ca="1">IFERROR(__xludf.DUMMYFUNCTION("""COMPUTED_VALUE"""),"uuid:6eab9d0b-cea6-4cf9-91b3-af4d8edc05ed")</f>
        <v>uuid:6eab9d0b-cea6-4cf9-91b3-af4d8edc05ed</v>
      </c>
      <c r="B206" s="121" t="str">
        <f ca="1">IFERROR(__xludf.DUMMYFUNCTION("""COMPUTED_VALUE"""),"FR3681")</f>
        <v>FR3681</v>
      </c>
      <c r="C206" s="121" t="str">
        <f ca="1">IFERROR(__xludf.DUMMYFUNCTION("""COMPUTED_VALUE"""),"Shagofa Hajizada")</f>
        <v>Shagofa Hajizada</v>
      </c>
      <c r="D206" s="121" t="str">
        <f ca="1">IFERROR(__xludf.DUMMYFUNCTION("""COMPUTED_VALUE"""),"HER-LGR-HF3807-Q2-2025-1167-01")</f>
        <v>HER-LGR-HF3807-Q2-2025-1167-01</v>
      </c>
      <c r="E206" s="121" t="str">
        <f ca="1">IFERROR(__xludf.DUMMYFUNCTION("""COMPUTED_VALUE"""),"Logar")</f>
        <v>Logar</v>
      </c>
      <c r="F206" s="121" t="str">
        <f ca="1">IFERROR(__xludf.DUMMYFUNCTION("""COMPUTED_VALUE"""),"Pul-e-Alam")</f>
        <v>Pul-e-Alam</v>
      </c>
      <c r="G206" s="121" t="str">
        <f ca="1">IFERROR(__xludf.DUMMYFUNCTION("""COMPUTED_VALUE"""),"Qala-e-Sadat Clinic (3807)")</f>
        <v>Qala-e-Sadat Clinic (3807)</v>
      </c>
      <c r="H206" s="121" t="str">
        <f ca="1">IFERROR(__xludf.DUMMYFUNCTION("""COMPUTED_VALUE"""),"BHC")</f>
        <v>BHC</v>
      </c>
      <c r="I206" s="122">
        <f ca="1">IFERROR(__xludf.DUMMYFUNCTION("""COMPUTED_VALUE"""),54)</f>
        <v>54</v>
      </c>
      <c r="J206" s="121" t="str">
        <f ca="1">IFERROR(__xludf.DUMMYFUNCTION("""COMPUTED_VALUE"""),"2025-11-03")</f>
        <v>2025-11-03</v>
      </c>
      <c r="K206" s="121" t="str">
        <f ca="1">IFERROR(__xludf.DUMMYFUNCTION("""COMPUTED_VALUE"""),"2025-11-02")</f>
        <v>2025-11-02</v>
      </c>
      <c r="L206" s="121" t="str">
        <f ca="1">IFERROR(__xludf.DUMMYFUNCTION("""COMPUTED_VALUE"""),"9. EPI and Pre-school Consultation")</f>
        <v>9. EPI and Pre-school Consultation</v>
      </c>
      <c r="M206" s="121" t="str">
        <f ca="1">IFERROR(__xludf.DUMMYFUNCTION("""COMPUTED_VALUE"""),"QQC")</f>
        <v>QQC</v>
      </c>
      <c r="N206" s="121" t="str">
        <f ca="1">IFERROR(__xludf.DUMMYFUNCTION("""COMPUTED_VALUE"""),"Dari")</f>
        <v>Dari</v>
      </c>
      <c r="O206" s="121"/>
      <c r="P206" s="121" t="str">
        <f ca="1">IFERROR(__xludf.DUMMYFUNCTION("""COMPUTED_VALUE""")," Voice of both sides is clear")</f>
        <v xml:space="preserve"> Voice of both sides is clear</v>
      </c>
      <c r="Q206" s="121" t="str">
        <f ca="1">IFERROR(__xludf.DUMMYFUNCTION("""COMPUTED_VALUE"""),"Yes/all")</f>
        <v>Yes/all</v>
      </c>
      <c r="R206" s="121" t="str">
        <f ca="1">IFERROR(__xludf.DUMMYFUNCTION("""COMPUTED_VALUE"""),"Yes")</f>
        <v>Yes</v>
      </c>
      <c r="S206" s="121" t="str">
        <f ca="1">IFERROR(__xludf.DUMMYFUNCTION("""COMPUTED_VALUE"""),"Yes")</f>
        <v>Yes</v>
      </c>
      <c r="T206" s="121" t="str">
        <f ca="1">IFERROR(__xludf.DUMMYFUNCTION("""COMPUTED_VALUE"""),"Checked")</f>
        <v>Checked</v>
      </c>
      <c r="U206" s="121" t="str">
        <f ca="1">IFERROR(__xludf.DUMMYFUNCTION("""COMPUTED_VALUE"""),"No")</f>
        <v>No</v>
      </c>
      <c r="V206" s="121" t="str">
        <f ca="1">IFERROR(__xludf.DUMMYFUNCTION("""COMPUTED_VALUE"""),"No")</f>
        <v>No</v>
      </c>
      <c r="W206" s="121">
        <f ca="1">IFERROR(__xludf.DUMMYFUNCTION("""COMPUTED_VALUE"""),4)</f>
        <v>4</v>
      </c>
      <c r="X206" s="121" t="str">
        <f ca="1">IFERROR(__xludf.DUMMYFUNCTION("""COMPUTED_VALUE"""),"Zafar Emami")</f>
        <v>Zafar Emami</v>
      </c>
      <c r="Y206" s="124">
        <f ca="1">IFERROR(__xludf.DUMMYFUNCTION("""COMPUTED_VALUE"""),45965)</f>
        <v>45965</v>
      </c>
      <c r="Z206" s="121" t="str">
        <f ca="1">IFERROR(__xludf.DUMMYFUNCTION("""COMPUTED_VALUE"""),"Approved")</f>
        <v>Approved</v>
      </c>
      <c r="AA206" s="121"/>
      <c r="AB206" s="121"/>
    </row>
    <row r="207" spans="1:28">
      <c r="A207" s="121" t="str">
        <f ca="1">IFERROR(__xludf.DUMMYFUNCTION("""COMPUTED_VALUE"""),"uuid:5b8549d5-b3bc-4fb8-a5d4-533e13bd2b56")</f>
        <v>uuid:5b8549d5-b3bc-4fb8-a5d4-533e13bd2b56</v>
      </c>
      <c r="B207" s="121" t="str">
        <f ca="1">IFERROR(__xludf.DUMMYFUNCTION("""COMPUTED_VALUE"""),"FR3681")</f>
        <v>FR3681</v>
      </c>
      <c r="C207" s="121" t="str">
        <f ca="1">IFERROR(__xludf.DUMMYFUNCTION("""COMPUTED_VALUE"""),"Shagofa Hajizada")</f>
        <v>Shagofa Hajizada</v>
      </c>
      <c r="D207" s="121" t="str">
        <f ca="1">IFERROR(__xludf.DUMMYFUNCTION("""COMPUTED_VALUE"""),"HER-LGR-HF3807-Q2-2025-1167-01")</f>
        <v>HER-LGR-HF3807-Q2-2025-1167-01</v>
      </c>
      <c r="E207" s="121" t="str">
        <f ca="1">IFERROR(__xludf.DUMMYFUNCTION("""COMPUTED_VALUE"""),"Logar")</f>
        <v>Logar</v>
      </c>
      <c r="F207" s="121" t="str">
        <f ca="1">IFERROR(__xludf.DUMMYFUNCTION("""COMPUTED_VALUE"""),"Pul-e-Alam")</f>
        <v>Pul-e-Alam</v>
      </c>
      <c r="G207" s="121" t="str">
        <f ca="1">IFERROR(__xludf.DUMMYFUNCTION("""COMPUTED_VALUE"""),"Qala-e-Sadat Clinic (3807)")</f>
        <v>Qala-e-Sadat Clinic (3807)</v>
      </c>
      <c r="H207" s="121" t="str">
        <f ca="1">IFERROR(__xludf.DUMMYFUNCTION("""COMPUTED_VALUE"""),"BHC")</f>
        <v>BHC</v>
      </c>
      <c r="I207" s="122">
        <f ca="1">IFERROR(__xludf.DUMMYFUNCTION("""COMPUTED_VALUE"""),86)</f>
        <v>86</v>
      </c>
      <c r="J207" s="121" t="str">
        <f ca="1">IFERROR(__xludf.DUMMYFUNCTION("""COMPUTED_VALUE"""),"2025-11-03")</f>
        <v>2025-11-03</v>
      </c>
      <c r="K207" s="121" t="str">
        <f ca="1">IFERROR(__xludf.DUMMYFUNCTION("""COMPUTED_VALUE"""),"2025-11-02")</f>
        <v>2025-11-02</v>
      </c>
      <c r="L207" s="121" t="str">
        <f ca="1">IFERROR(__xludf.DUMMYFUNCTION("""COMPUTED_VALUE"""),"8. Maternity")</f>
        <v>8. Maternity</v>
      </c>
      <c r="M207" s="121" t="str">
        <f ca="1">IFERROR(__xludf.DUMMYFUNCTION("""COMPUTED_VALUE"""),"QQC")</f>
        <v>QQC</v>
      </c>
      <c r="N207" s="121" t="str">
        <f ca="1">IFERROR(__xludf.DUMMYFUNCTION("""COMPUTED_VALUE"""),"Dari")</f>
        <v>Dari</v>
      </c>
      <c r="O207" s="121"/>
      <c r="P207" s="121" t="str">
        <f ca="1">IFERROR(__xludf.DUMMYFUNCTION("""COMPUTED_VALUE"""),"No audio audit")</f>
        <v>No audio audit</v>
      </c>
      <c r="Q207" s="121" t="str">
        <f ca="1">IFERROR(__xludf.DUMMYFUNCTION("""COMPUTED_VALUE"""),"Yes/all")</f>
        <v>Yes/all</v>
      </c>
      <c r="R207" s="121" t="str">
        <f ca="1">IFERROR(__xludf.DUMMYFUNCTION("""COMPUTED_VALUE"""),"No")</f>
        <v>No</v>
      </c>
      <c r="S207" s="121" t="str">
        <f ca="1">IFERROR(__xludf.DUMMYFUNCTION("""COMPUTED_VALUE"""),"No")</f>
        <v>No</v>
      </c>
      <c r="T207" s="121" t="str">
        <f ca="1">IFERROR(__xludf.DUMMYFUNCTION("""COMPUTED_VALUE"""),"Checked")</f>
        <v>Checked</v>
      </c>
      <c r="U207" s="121" t="str">
        <f ca="1">IFERROR(__xludf.DUMMYFUNCTION("""COMPUTED_VALUE"""),"No")</f>
        <v>No</v>
      </c>
      <c r="V207" s="121" t="str">
        <f ca="1">IFERROR(__xludf.DUMMYFUNCTION("""COMPUTED_VALUE"""),"Yes")</f>
        <v>Yes</v>
      </c>
      <c r="W207" s="121">
        <f ca="1">IFERROR(__xludf.DUMMYFUNCTION("""COMPUTED_VALUE"""),3)</f>
        <v>3</v>
      </c>
      <c r="X207" s="121" t="str">
        <f ca="1">IFERROR(__xludf.DUMMYFUNCTION("""COMPUTED_VALUE"""),"Zafar Emami")</f>
        <v>Zafar Emami</v>
      </c>
      <c r="Y207" s="124">
        <f ca="1">IFERROR(__xludf.DUMMYFUNCTION("""COMPUTED_VALUE"""),45965)</f>
        <v>45965</v>
      </c>
      <c r="Z207" s="121" t="str">
        <f ca="1">IFERROR(__xludf.DUMMYFUNCTION("""COMPUTED_VALUE"""),"Approved")</f>
        <v>Approved</v>
      </c>
      <c r="AA207" s="121"/>
      <c r="AB207" s="121" t="str">
        <f ca="1">IFERROR(__xludf.DUMMYFUNCTION("""COMPUTED_VALUE"""),"Photos of the partograph are not from 1404.")</f>
        <v>Photos of the partograph are not from 1404.</v>
      </c>
    </row>
    <row r="208" spans="1:28">
      <c r="A208" s="121" t="str">
        <f ca="1">IFERROR(__xludf.DUMMYFUNCTION("""COMPUTED_VALUE"""),"uuid:df05ca7e-d15c-4743-9721-99d878d30b85")</f>
        <v>uuid:df05ca7e-d15c-4743-9721-99d878d30b85</v>
      </c>
      <c r="B208" s="121" t="str">
        <f ca="1">IFERROR(__xludf.DUMMYFUNCTION("""COMPUTED_VALUE"""),"FR3681")</f>
        <v>FR3681</v>
      </c>
      <c r="C208" s="121" t="str">
        <f ca="1">IFERROR(__xludf.DUMMYFUNCTION("""COMPUTED_VALUE"""),"Shagofa Hajizada")</f>
        <v>Shagofa Hajizada</v>
      </c>
      <c r="D208" s="121" t="str">
        <f ca="1">IFERROR(__xludf.DUMMYFUNCTION("""COMPUTED_VALUE"""),"HER-LGR-HF3807-Q2-2025-1167-01")</f>
        <v>HER-LGR-HF3807-Q2-2025-1167-01</v>
      </c>
      <c r="E208" s="121" t="str">
        <f ca="1">IFERROR(__xludf.DUMMYFUNCTION("""COMPUTED_VALUE"""),"Logar")</f>
        <v>Logar</v>
      </c>
      <c r="F208" s="121" t="str">
        <f ca="1">IFERROR(__xludf.DUMMYFUNCTION("""COMPUTED_VALUE"""),"Pul-e-Alam")</f>
        <v>Pul-e-Alam</v>
      </c>
      <c r="G208" s="121" t="str">
        <f ca="1">IFERROR(__xludf.DUMMYFUNCTION("""COMPUTED_VALUE"""),"Qala-e-Sadat Clinic (3807)")</f>
        <v>Qala-e-Sadat Clinic (3807)</v>
      </c>
      <c r="H208" s="121" t="str">
        <f ca="1">IFERROR(__xludf.DUMMYFUNCTION("""COMPUTED_VALUE"""),"BHC")</f>
        <v>BHC</v>
      </c>
      <c r="I208" s="122">
        <f ca="1">IFERROR(__xludf.DUMMYFUNCTION("""COMPUTED_VALUE"""),25)</f>
        <v>25</v>
      </c>
      <c r="J208" s="121" t="str">
        <f ca="1">IFERROR(__xludf.DUMMYFUNCTION("""COMPUTED_VALUE"""),"2025-11-03")</f>
        <v>2025-11-03</v>
      </c>
      <c r="K208" s="121" t="str">
        <f ca="1">IFERROR(__xludf.DUMMYFUNCTION("""COMPUTED_VALUE"""),"2025-11-02")</f>
        <v>2025-11-02</v>
      </c>
      <c r="L208" s="121" t="str">
        <f ca="1">IFERROR(__xludf.DUMMYFUNCTION("""COMPUTED_VALUE"""),"4. Family Planning")</f>
        <v>4. Family Planning</v>
      </c>
      <c r="M208" s="121" t="str">
        <f ca="1">IFERROR(__xludf.DUMMYFUNCTION("""COMPUTED_VALUE"""),"QQC")</f>
        <v>QQC</v>
      </c>
      <c r="N208" s="121" t="str">
        <f ca="1">IFERROR(__xludf.DUMMYFUNCTION("""COMPUTED_VALUE"""),"Dari")</f>
        <v>Dari</v>
      </c>
      <c r="O208" s="121"/>
      <c r="P208" s="121" t="str">
        <f ca="1">IFERROR(__xludf.DUMMYFUNCTION("""COMPUTED_VALUE""")," Voice of both sides is clear")</f>
        <v xml:space="preserve"> Voice of both sides is clear</v>
      </c>
      <c r="Q208" s="121" t="str">
        <f ca="1">IFERROR(__xludf.DUMMYFUNCTION("""COMPUTED_VALUE"""),"Yes/all")</f>
        <v>Yes/all</v>
      </c>
      <c r="R208" s="121" t="str">
        <f ca="1">IFERROR(__xludf.DUMMYFUNCTION("""COMPUTED_VALUE"""),"No")</f>
        <v>No</v>
      </c>
      <c r="S208" s="121"/>
      <c r="T208" s="121" t="str">
        <f ca="1">IFERROR(__xludf.DUMMYFUNCTION("""COMPUTED_VALUE"""),"Checked")</f>
        <v>Checked</v>
      </c>
      <c r="U208" s="121" t="str">
        <f ca="1">IFERROR(__xludf.DUMMYFUNCTION("""COMPUTED_VALUE"""),"No")</f>
        <v>No</v>
      </c>
      <c r="V208" s="121" t="str">
        <f ca="1">IFERROR(__xludf.DUMMYFUNCTION("""COMPUTED_VALUE"""),"No")</f>
        <v>No</v>
      </c>
      <c r="W208" s="121">
        <f ca="1">IFERROR(__xludf.DUMMYFUNCTION("""COMPUTED_VALUE"""),4)</f>
        <v>4</v>
      </c>
      <c r="X208" s="121" t="str">
        <f ca="1">IFERROR(__xludf.DUMMYFUNCTION("""COMPUTED_VALUE"""),"Najma Kohi")</f>
        <v>Najma Kohi</v>
      </c>
      <c r="Y208" s="124">
        <f ca="1">IFERROR(__xludf.DUMMYFUNCTION("""COMPUTED_VALUE"""),45965)</f>
        <v>45965</v>
      </c>
      <c r="Z208" s="121" t="str">
        <f ca="1">IFERROR(__xludf.DUMMYFUNCTION("""COMPUTED_VALUE"""),"Approved")</f>
        <v>Approved</v>
      </c>
      <c r="AA208" s="121"/>
      <c r="AB208" s="121"/>
    </row>
    <row r="209" spans="1:28">
      <c r="A209" s="121" t="str">
        <f ca="1">IFERROR(__xludf.DUMMYFUNCTION("""COMPUTED_VALUE"""),"uuid:ec7fb677-f4ab-4d7e-9595-7150cca4d2eb")</f>
        <v>uuid:ec7fb677-f4ab-4d7e-9595-7150cca4d2eb</v>
      </c>
      <c r="B209" s="121" t="str">
        <f ca="1">IFERROR(__xludf.DUMMYFUNCTION("""COMPUTED_VALUE"""),"FR3681")</f>
        <v>FR3681</v>
      </c>
      <c r="C209" s="121" t="str">
        <f ca="1">IFERROR(__xludf.DUMMYFUNCTION("""COMPUTED_VALUE"""),"Shagofa Hajizada")</f>
        <v>Shagofa Hajizada</v>
      </c>
      <c r="D209" s="121" t="str">
        <f ca="1">IFERROR(__xludf.DUMMYFUNCTION("""COMPUTED_VALUE"""),"HER-LGR-HF3807-Q2-2025-1167-01")</f>
        <v>HER-LGR-HF3807-Q2-2025-1167-01</v>
      </c>
      <c r="E209" s="121" t="str">
        <f ca="1">IFERROR(__xludf.DUMMYFUNCTION("""COMPUTED_VALUE"""),"Logar")</f>
        <v>Logar</v>
      </c>
      <c r="F209" s="121" t="str">
        <f ca="1">IFERROR(__xludf.DUMMYFUNCTION("""COMPUTED_VALUE"""),"Pul-e-Alam")</f>
        <v>Pul-e-Alam</v>
      </c>
      <c r="G209" s="121" t="str">
        <f ca="1">IFERROR(__xludf.DUMMYFUNCTION("""COMPUTED_VALUE"""),"Qala-e-Sadat Clinic (3807)")</f>
        <v>Qala-e-Sadat Clinic (3807)</v>
      </c>
      <c r="H209" s="121" t="str">
        <f ca="1">IFERROR(__xludf.DUMMYFUNCTION("""COMPUTED_VALUE"""),"BHC")</f>
        <v>BHC</v>
      </c>
      <c r="I209" s="122">
        <f ca="1">IFERROR(__xludf.DUMMYFUNCTION("""COMPUTED_VALUE"""),32)</f>
        <v>32</v>
      </c>
      <c r="J209" s="121" t="str">
        <f ca="1">IFERROR(__xludf.DUMMYFUNCTION("""COMPUTED_VALUE"""),"2025-11-03")</f>
        <v>2025-11-03</v>
      </c>
      <c r="K209" s="121" t="str">
        <f ca="1">IFERROR(__xludf.DUMMYFUNCTION("""COMPUTED_VALUE"""),"2025-11-02")</f>
        <v>2025-11-02</v>
      </c>
      <c r="L209" s="121" t="str">
        <f ca="1">IFERROR(__xludf.DUMMYFUNCTION("""COMPUTED_VALUE"""),"2. Hygiene and Sterilization")</f>
        <v>2. Hygiene and Sterilization</v>
      </c>
      <c r="M209" s="121" t="str">
        <f ca="1">IFERROR(__xludf.DUMMYFUNCTION("""COMPUTED_VALUE"""),"QQC")</f>
        <v>QQC</v>
      </c>
      <c r="N209" s="121" t="str">
        <f ca="1">IFERROR(__xludf.DUMMYFUNCTION("""COMPUTED_VALUE"""),"Dari")</f>
        <v>Dari</v>
      </c>
      <c r="O209" s="121"/>
      <c r="P209" s="121" t="str">
        <f ca="1">IFERROR(__xludf.DUMMYFUNCTION("""COMPUTED_VALUE""")," Voice of both sides is clear")</f>
        <v xml:space="preserve"> Voice of both sides is clear</v>
      </c>
      <c r="Q209" s="121" t="str">
        <f ca="1">IFERROR(__xludf.DUMMYFUNCTION("""COMPUTED_VALUE"""),"Yes/all")</f>
        <v>Yes/all</v>
      </c>
      <c r="R209" s="121" t="str">
        <f ca="1">IFERROR(__xludf.DUMMYFUNCTION("""COMPUTED_VALUE"""),"No")</f>
        <v>No</v>
      </c>
      <c r="S209" s="121"/>
      <c r="T209" s="121" t="str">
        <f ca="1">IFERROR(__xludf.DUMMYFUNCTION("""COMPUTED_VALUE"""),"Checked")</f>
        <v>Checked</v>
      </c>
      <c r="U209" s="121" t="str">
        <f ca="1">IFERROR(__xludf.DUMMYFUNCTION("""COMPUTED_VALUE"""),"No")</f>
        <v>No</v>
      </c>
      <c r="V209" s="121" t="str">
        <f ca="1">IFERROR(__xludf.DUMMYFUNCTION("""COMPUTED_VALUE"""),"No")</f>
        <v>No</v>
      </c>
      <c r="W209" s="121">
        <f ca="1">IFERROR(__xludf.DUMMYFUNCTION("""COMPUTED_VALUE"""),4)</f>
        <v>4</v>
      </c>
      <c r="X209" s="121" t="str">
        <f ca="1">IFERROR(__xludf.DUMMYFUNCTION("""COMPUTED_VALUE"""),"Najma Kohi")</f>
        <v>Najma Kohi</v>
      </c>
      <c r="Y209" s="124">
        <f ca="1">IFERROR(__xludf.DUMMYFUNCTION("""COMPUTED_VALUE"""),45965)</f>
        <v>45965</v>
      </c>
      <c r="Z209" s="121" t="str">
        <f ca="1">IFERROR(__xludf.DUMMYFUNCTION("""COMPUTED_VALUE"""),"Approved")</f>
        <v>Approved</v>
      </c>
      <c r="AA209" s="121"/>
      <c r="AB209" s="121"/>
    </row>
    <row r="210" spans="1:28">
      <c r="A210" s="121" t="str">
        <f ca="1">IFERROR(__xludf.DUMMYFUNCTION("""COMPUTED_VALUE"""),"uuid:9fccda39-075e-496a-899e-729823c07e38")</f>
        <v>uuid:9fccda39-075e-496a-899e-729823c07e38</v>
      </c>
      <c r="B210" s="121" t="str">
        <f ca="1">IFERROR(__xludf.DUMMYFUNCTION("""COMPUTED_VALUE"""),"FR3681")</f>
        <v>FR3681</v>
      </c>
      <c r="C210" s="121" t="str">
        <f ca="1">IFERROR(__xludf.DUMMYFUNCTION("""COMPUTED_VALUE"""),"Shagofa Hajizada")</f>
        <v>Shagofa Hajizada</v>
      </c>
      <c r="D210" s="121" t="str">
        <f ca="1">IFERROR(__xludf.DUMMYFUNCTION("""COMPUTED_VALUE"""),"HER-LGR-HF3807-Q2-2025-1167-01")</f>
        <v>HER-LGR-HF3807-Q2-2025-1167-01</v>
      </c>
      <c r="E210" s="121" t="str">
        <f ca="1">IFERROR(__xludf.DUMMYFUNCTION("""COMPUTED_VALUE"""),"Logar")</f>
        <v>Logar</v>
      </c>
      <c r="F210" s="121" t="str">
        <f ca="1">IFERROR(__xludf.DUMMYFUNCTION("""COMPUTED_VALUE"""),"Pul-e-Alam")</f>
        <v>Pul-e-Alam</v>
      </c>
      <c r="G210" s="121" t="str">
        <f ca="1">IFERROR(__xludf.DUMMYFUNCTION("""COMPUTED_VALUE"""),"Qala-e-Sadat Clinic (3807)")</f>
        <v>Qala-e-Sadat Clinic (3807)</v>
      </c>
      <c r="H210" s="121" t="str">
        <f ca="1">IFERROR(__xludf.DUMMYFUNCTION("""COMPUTED_VALUE"""),"BHC")</f>
        <v>BHC</v>
      </c>
      <c r="I210" s="122">
        <f ca="1">IFERROR(__xludf.DUMMYFUNCTION("""COMPUTED_VALUE"""),60)</f>
        <v>60</v>
      </c>
      <c r="J210" s="121" t="str">
        <f ca="1">IFERROR(__xludf.DUMMYFUNCTION("""COMPUTED_VALUE"""),"2025-11-03")</f>
        <v>2025-11-03</v>
      </c>
      <c r="K210" s="121" t="str">
        <f ca="1">IFERROR(__xludf.DUMMYFUNCTION("""COMPUTED_VALUE"""),"2025-11-02")</f>
        <v>2025-11-02</v>
      </c>
      <c r="L210" s="121" t="str">
        <f ca="1">IFERROR(__xludf.DUMMYFUNCTION("""COMPUTED_VALUE"""),"10. Antenatal Care (ANC)")</f>
        <v>10. Antenatal Care (ANC)</v>
      </c>
      <c r="M210" s="121" t="str">
        <f ca="1">IFERROR(__xludf.DUMMYFUNCTION("""COMPUTED_VALUE"""),"QQC")</f>
        <v>QQC</v>
      </c>
      <c r="N210" s="121" t="str">
        <f ca="1">IFERROR(__xludf.DUMMYFUNCTION("""COMPUTED_VALUE"""),"Dari")</f>
        <v>Dari</v>
      </c>
      <c r="O210" s="121"/>
      <c r="P210" s="121" t="str">
        <f ca="1">IFERROR(__xludf.DUMMYFUNCTION("""COMPUTED_VALUE""")," Voice of both sides is clear")</f>
        <v xml:space="preserve"> Voice of both sides is clear</v>
      </c>
      <c r="Q210" s="121" t="str">
        <f ca="1">IFERROR(__xludf.DUMMYFUNCTION("""COMPUTED_VALUE"""),"Yes/Some")</f>
        <v>Yes/Some</v>
      </c>
      <c r="R210" s="121" t="str">
        <f ca="1">IFERROR(__xludf.DUMMYFUNCTION("""COMPUTED_VALUE"""),"No")</f>
        <v>No</v>
      </c>
      <c r="S210" s="121"/>
      <c r="T210" s="121" t="str">
        <f ca="1">IFERROR(__xludf.DUMMYFUNCTION("""COMPUTED_VALUE"""),"Checked")</f>
        <v>Checked</v>
      </c>
      <c r="U210" s="121" t="str">
        <f ca="1">IFERROR(__xludf.DUMMYFUNCTION("""COMPUTED_VALUE"""),"No")</f>
        <v>No</v>
      </c>
      <c r="V210" s="121" t="str">
        <f ca="1">IFERROR(__xludf.DUMMYFUNCTION("""COMPUTED_VALUE"""),"Yes")</f>
        <v>Yes</v>
      </c>
      <c r="W210" s="121">
        <f ca="1">IFERROR(__xludf.DUMMYFUNCTION("""COMPUTED_VALUE"""),4)</f>
        <v>4</v>
      </c>
      <c r="X210" s="121" t="str">
        <f ca="1">IFERROR(__xludf.DUMMYFUNCTION("""COMPUTED_VALUE"""),"Najma Kohi")</f>
        <v>Najma Kohi</v>
      </c>
      <c r="Y210" s="124">
        <f ca="1">IFERROR(__xludf.DUMMYFUNCTION("""COMPUTED_VALUE"""),45965)</f>
        <v>45965</v>
      </c>
      <c r="Z210" s="121" t="str">
        <f ca="1">IFERROR(__xludf.DUMMYFUNCTION("""COMPUTED_VALUE"""),"Approved")</f>
        <v>Approved</v>
      </c>
      <c r="AA210" s="121"/>
      <c r="AB210" s="121"/>
    </row>
    <row r="211" spans="1:28">
      <c r="A211" s="121" t="str">
        <f ca="1">IFERROR(__xludf.DUMMYFUNCTION("""COMPUTED_VALUE"""),"uuid:f849237e-eed0-4851-877c-3a5333faf4bb")</f>
        <v>uuid:f849237e-eed0-4851-877c-3a5333faf4bb</v>
      </c>
      <c r="B211" s="121" t="str">
        <f ca="1">IFERROR(__xludf.DUMMYFUNCTION("""COMPUTED_VALUE"""),"FR2222")</f>
        <v>FR2222</v>
      </c>
      <c r="C211" s="121" t="str">
        <f ca="1">IFERROR(__xludf.DUMMYFUNCTION("""COMPUTED_VALUE"""),"Test Name 1")</f>
        <v>Test Name 1</v>
      </c>
      <c r="D211" s="121" t="str">
        <f ca="1">IFERROR(__xludf.DUMMYFUNCTION("""COMPUTED_VALUE"""),"HER-PAK-HF2192-Q2-2025-1200-01")</f>
        <v>HER-PAK-HF2192-Q2-2025-1200-01</v>
      </c>
      <c r="E211" s="121" t="str">
        <f ca="1">IFERROR(__xludf.DUMMYFUNCTION("""COMPUTED_VALUE"""),"Paktya")</f>
        <v>Paktya</v>
      </c>
      <c r="F211" s="121" t="str">
        <f ca="1">IFERROR(__xludf.DUMMYFUNCTION("""COMPUTED_VALUE"""),"Ahmadaba")</f>
        <v>Ahmadaba</v>
      </c>
      <c r="G211" s="121" t="str">
        <f ca="1">IFERROR(__xludf.DUMMYFUNCTION("""COMPUTED_VALUE"""),"Surkai Malang Cilinic (2192)")</f>
        <v>Surkai Malang Cilinic (2192)</v>
      </c>
      <c r="H211" s="121" t="str">
        <f ca="1">IFERROR(__xludf.DUMMYFUNCTION("""COMPUTED_VALUE"""),"BHC")</f>
        <v>BHC</v>
      </c>
      <c r="I211" s="122">
        <f ca="1">IFERROR(__xludf.DUMMYFUNCTION("""COMPUTED_VALUE"""),36)</f>
        <v>36</v>
      </c>
      <c r="J211" s="121" t="str">
        <f ca="1">IFERROR(__xludf.DUMMYFUNCTION("""COMPUTED_VALUE"""),"2025-11-03")</f>
        <v>2025-11-03</v>
      </c>
      <c r="K211" s="121" t="str">
        <f ca="1">IFERROR(__xludf.DUMMYFUNCTION("""COMPUTED_VALUE"""),"2025-11-02")</f>
        <v>2025-11-02</v>
      </c>
      <c r="L211" s="121" t="str">
        <f ca="1">IFERROR(__xludf.DUMMYFUNCTION("""COMPUTED_VALUE"""),"10. Antenatal Care (ANC)")</f>
        <v>10. Antenatal Care (ANC)</v>
      </c>
      <c r="M211" s="121" t="str">
        <f ca="1">IFERROR(__xludf.DUMMYFUNCTION("""COMPUTED_VALUE"""),"QQC")</f>
        <v>QQC</v>
      </c>
      <c r="N211" s="121" t="str">
        <f ca="1">IFERROR(__xludf.DUMMYFUNCTION("""COMPUTED_VALUE"""),"Pashto")</f>
        <v>Pashto</v>
      </c>
      <c r="O211" s="121" t="str">
        <f ca="1">IFERROR(__xludf.DUMMYFUNCTION("""COMPUTED_VALUE"""),"Yes")</f>
        <v>Yes</v>
      </c>
      <c r="P211" s="121" t="str">
        <f ca="1">IFERROR(__xludf.DUMMYFUNCTION("""COMPUTED_VALUE""")," Voice of both sides is clear")</f>
        <v xml:space="preserve"> Voice of both sides is clear</v>
      </c>
      <c r="Q211" s="121" t="str">
        <f ca="1">IFERROR(__xludf.DUMMYFUNCTION("""COMPUTED_VALUE"""),"Yes/all")</f>
        <v>Yes/all</v>
      </c>
      <c r="R211" s="121" t="str">
        <f ca="1">IFERROR(__xludf.DUMMYFUNCTION("""COMPUTED_VALUE"""),"No")</f>
        <v>No</v>
      </c>
      <c r="S211" s="121"/>
      <c r="T211" s="121" t="str">
        <f ca="1">IFERROR(__xludf.DUMMYFUNCTION("""COMPUTED_VALUE"""),"Checked")</f>
        <v>Checked</v>
      </c>
      <c r="U211" s="121" t="str">
        <f ca="1">IFERROR(__xludf.DUMMYFUNCTION("""COMPUTED_VALUE"""),"No")</f>
        <v>No</v>
      </c>
      <c r="V211" s="121" t="str">
        <f ca="1">IFERROR(__xludf.DUMMYFUNCTION("""COMPUTED_VALUE"""),"No")</f>
        <v>No</v>
      </c>
      <c r="W211" s="121">
        <f ca="1">IFERROR(__xludf.DUMMYFUNCTION("""COMPUTED_VALUE"""),4)</f>
        <v>4</v>
      </c>
      <c r="X211" s="121" t="str">
        <f ca="1">IFERROR(__xludf.DUMMYFUNCTION("""COMPUTED_VALUE"""),"Najma Kohi")</f>
        <v>Najma Kohi</v>
      </c>
      <c r="Y211" s="124">
        <f ca="1">IFERROR(__xludf.DUMMYFUNCTION("""COMPUTED_VALUE"""),45965)</f>
        <v>45965</v>
      </c>
      <c r="Z211" s="121" t="str">
        <f ca="1">IFERROR(__xludf.DUMMYFUNCTION("""COMPUTED_VALUE"""),"Approved")</f>
        <v>Approved</v>
      </c>
      <c r="AA211" s="121"/>
      <c r="AB211" s="121" t="str">
        <f ca="1">IFERROR(__xludf.DUMMYFUNCTION("""COMPUTED_VALUE"""),"The user name should double check")</f>
        <v>The user name should double check</v>
      </c>
    </row>
    <row r="212" spans="1:28">
      <c r="A212" s="121" t="str">
        <f ca="1">IFERROR(__xludf.DUMMYFUNCTION("""COMPUTED_VALUE"""),"uuid:a8018381-1eb4-4f3c-8bbc-f1b35ba3ad77")</f>
        <v>uuid:a8018381-1eb4-4f3c-8bbc-f1b35ba3ad77</v>
      </c>
      <c r="B212" s="121" t="str">
        <f ca="1">IFERROR(__xludf.DUMMYFUNCTION("""COMPUTED_VALUE"""),"FR2222")</f>
        <v>FR2222</v>
      </c>
      <c r="C212" s="121" t="str">
        <f ca="1">IFERROR(__xludf.DUMMYFUNCTION("""COMPUTED_VALUE"""),"Test Name 1")</f>
        <v>Test Name 1</v>
      </c>
      <c r="D212" s="121" t="str">
        <f ca="1">IFERROR(__xludf.DUMMYFUNCTION("""COMPUTED_VALUE"""),"HER-PAK-HF2192-Q2-2025-1200-01")</f>
        <v>HER-PAK-HF2192-Q2-2025-1200-01</v>
      </c>
      <c r="E212" s="121" t="str">
        <f ca="1">IFERROR(__xludf.DUMMYFUNCTION("""COMPUTED_VALUE"""),"Paktya")</f>
        <v>Paktya</v>
      </c>
      <c r="F212" s="121" t="str">
        <f ca="1">IFERROR(__xludf.DUMMYFUNCTION("""COMPUTED_VALUE"""),"Ahmadaba")</f>
        <v>Ahmadaba</v>
      </c>
      <c r="G212" s="121" t="str">
        <f ca="1">IFERROR(__xludf.DUMMYFUNCTION("""COMPUTED_VALUE"""),"Surkai Malang Cilinic (2192)")</f>
        <v>Surkai Malang Cilinic (2192)</v>
      </c>
      <c r="H212" s="121" t="str">
        <f ca="1">IFERROR(__xludf.DUMMYFUNCTION("""COMPUTED_VALUE"""),"BHC")</f>
        <v>BHC</v>
      </c>
      <c r="I212" s="122">
        <f ca="1">IFERROR(__xludf.DUMMYFUNCTION("""COMPUTED_VALUE"""),104)</f>
        <v>104</v>
      </c>
      <c r="J212" s="121" t="str">
        <f ca="1">IFERROR(__xludf.DUMMYFUNCTION("""COMPUTED_VALUE"""),"2025-11-03")</f>
        <v>2025-11-03</v>
      </c>
      <c r="K212" s="121" t="str">
        <f ca="1">IFERROR(__xludf.DUMMYFUNCTION("""COMPUTED_VALUE"""),"2025-11-02")</f>
        <v>2025-11-02</v>
      </c>
      <c r="L212" s="121" t="str">
        <f ca="1">IFERROR(__xludf.DUMMYFUNCTION("""COMPUTED_VALUE"""),"2. Hygiene and Sterilization")</f>
        <v>2. Hygiene and Sterilization</v>
      </c>
      <c r="M212" s="121" t="str">
        <f ca="1">IFERROR(__xludf.DUMMYFUNCTION("""COMPUTED_VALUE"""),"QQC")</f>
        <v>QQC</v>
      </c>
      <c r="N212" s="121" t="str">
        <f ca="1">IFERROR(__xludf.DUMMYFUNCTION("""COMPUTED_VALUE"""),"Pashto")</f>
        <v>Pashto</v>
      </c>
      <c r="O212" s="121" t="str">
        <f ca="1">IFERROR(__xludf.DUMMYFUNCTION("""COMPUTED_VALUE"""),"Yes")</f>
        <v>Yes</v>
      </c>
      <c r="P212" s="121" t="str">
        <f ca="1">IFERROR(__xludf.DUMMYFUNCTION("""COMPUTED_VALUE""")," Voice of both sides is clear")</f>
        <v xml:space="preserve"> Voice of both sides is clear</v>
      </c>
      <c r="Q212" s="121" t="str">
        <f ca="1">IFERROR(__xludf.DUMMYFUNCTION("""COMPUTED_VALUE"""),"Yes/all")</f>
        <v>Yes/all</v>
      </c>
      <c r="R212" s="121" t="str">
        <f ca="1">IFERROR(__xludf.DUMMYFUNCTION("""COMPUTED_VALUE"""),"No")</f>
        <v>No</v>
      </c>
      <c r="S212" s="121"/>
      <c r="T212" s="121" t="str">
        <f ca="1">IFERROR(__xludf.DUMMYFUNCTION("""COMPUTED_VALUE"""),"Checked")</f>
        <v>Checked</v>
      </c>
      <c r="U212" s="121" t="str">
        <f ca="1">IFERROR(__xludf.DUMMYFUNCTION("""COMPUTED_VALUE"""),"No")</f>
        <v>No</v>
      </c>
      <c r="V212" s="121" t="str">
        <f ca="1">IFERROR(__xludf.DUMMYFUNCTION("""COMPUTED_VALUE"""),"No")</f>
        <v>No</v>
      </c>
      <c r="W212" s="121">
        <f ca="1">IFERROR(__xludf.DUMMYFUNCTION("""COMPUTED_VALUE"""),4)</f>
        <v>4</v>
      </c>
      <c r="X212" s="121" t="str">
        <f ca="1">IFERROR(__xludf.DUMMYFUNCTION("""COMPUTED_VALUE"""),"Najma Kohi")</f>
        <v>Najma Kohi</v>
      </c>
      <c r="Y212" s="124">
        <f ca="1">IFERROR(__xludf.DUMMYFUNCTION("""COMPUTED_VALUE"""),45965)</f>
        <v>45965</v>
      </c>
      <c r="Z212" s="121" t="str">
        <f ca="1">IFERROR(__xludf.DUMMYFUNCTION("""COMPUTED_VALUE"""),"Approved")</f>
        <v>Approved</v>
      </c>
      <c r="AA212" s="121"/>
      <c r="AB212" s="121" t="str">
        <f ca="1">IFERROR(__xludf.DUMMYFUNCTION("""COMPUTED_VALUE"""),"The user name should double check")</f>
        <v>The user name should double check</v>
      </c>
    </row>
    <row r="213" spans="1:28">
      <c r="A213" s="121" t="str">
        <f ca="1">IFERROR(__xludf.DUMMYFUNCTION("""COMPUTED_VALUE"""),"uuid:454140e8-ce9a-4a75-b7b8-eaacb227eaf9")</f>
        <v>uuid:454140e8-ce9a-4a75-b7b8-eaacb227eaf9</v>
      </c>
      <c r="B213" s="121" t="str">
        <f ca="1">IFERROR(__xludf.DUMMYFUNCTION("""COMPUTED_VALUE"""),"FR3900")</f>
        <v>FR3900</v>
      </c>
      <c r="C213" s="121" t="str">
        <f ca="1">IFERROR(__xludf.DUMMYFUNCTION("""COMPUTED_VALUE"""),"Younus Elham")</f>
        <v>Younus Elham</v>
      </c>
      <c r="D213" s="121" t="str">
        <f ca="1">IFERROR(__xludf.DUMMYFUNCTION("""COMPUTED_VALUE"""),"HER-PAK-HF2192-Q2-2025-1200-01")</f>
        <v>HER-PAK-HF2192-Q2-2025-1200-01</v>
      </c>
      <c r="E213" s="121" t="str">
        <f ca="1">IFERROR(__xludf.DUMMYFUNCTION("""COMPUTED_VALUE"""),"Paktya")</f>
        <v>Paktya</v>
      </c>
      <c r="F213" s="121" t="str">
        <f ca="1">IFERROR(__xludf.DUMMYFUNCTION("""COMPUTED_VALUE"""),"Ahmadaba")</f>
        <v>Ahmadaba</v>
      </c>
      <c r="G213" s="121" t="str">
        <f ca="1">IFERROR(__xludf.DUMMYFUNCTION("""COMPUTED_VALUE"""),"Surkai Malang Cilinic (2192)")</f>
        <v>Surkai Malang Cilinic (2192)</v>
      </c>
      <c r="H213" s="121" t="str">
        <f ca="1">IFERROR(__xludf.DUMMYFUNCTION("""COMPUTED_VALUE"""),"BHC")</f>
        <v>BHC</v>
      </c>
      <c r="I213" s="122">
        <f ca="1">IFERROR(__xludf.DUMMYFUNCTION("""COMPUTED_VALUE"""),51)</f>
        <v>51</v>
      </c>
      <c r="J213" s="121" t="str">
        <f ca="1">IFERROR(__xludf.DUMMYFUNCTION("""COMPUTED_VALUE"""),"2025-11-03")</f>
        <v>2025-11-03</v>
      </c>
      <c r="K213" s="121" t="str">
        <f ca="1">IFERROR(__xludf.DUMMYFUNCTION("""COMPUTED_VALUE"""),"2025-11-02")</f>
        <v>2025-11-02</v>
      </c>
      <c r="L213" s="121" t="str">
        <f ca="1">IFERROR(__xludf.DUMMYFUNCTION("""COMPUTED_VALUE"""),"1. General Management")</f>
        <v>1. General Management</v>
      </c>
      <c r="M213" s="121" t="str">
        <f ca="1">IFERROR(__xludf.DUMMYFUNCTION("""COMPUTED_VALUE"""),"QQC")</f>
        <v>QQC</v>
      </c>
      <c r="N213" s="121" t="str">
        <f ca="1">IFERROR(__xludf.DUMMYFUNCTION("""COMPUTED_VALUE"""),"Pashto")</f>
        <v>Pashto</v>
      </c>
      <c r="O213" s="121"/>
      <c r="P213" s="121" t="str">
        <f ca="1">IFERROR(__xludf.DUMMYFUNCTION("""COMPUTED_VALUE""")," Voice of both sides is clear")</f>
        <v xml:space="preserve"> Voice of both sides is clear</v>
      </c>
      <c r="Q213" s="121" t="str">
        <f ca="1">IFERROR(__xludf.DUMMYFUNCTION("""COMPUTED_VALUE"""),"Yes/all")</f>
        <v>Yes/all</v>
      </c>
      <c r="R213" s="121" t="str">
        <f ca="1">IFERROR(__xludf.DUMMYFUNCTION("""COMPUTED_VALUE"""),"No")</f>
        <v>No</v>
      </c>
      <c r="S213" s="121"/>
      <c r="T213" s="121" t="str">
        <f ca="1">IFERROR(__xludf.DUMMYFUNCTION("""COMPUTED_VALUE"""),"Checked")</f>
        <v>Checked</v>
      </c>
      <c r="U213" s="121" t="str">
        <f ca="1">IFERROR(__xludf.DUMMYFUNCTION("""COMPUTED_VALUE"""),"No")</f>
        <v>No</v>
      </c>
      <c r="V213" s="121" t="str">
        <f ca="1">IFERROR(__xludf.DUMMYFUNCTION("""COMPUTED_VALUE"""),"No")</f>
        <v>No</v>
      </c>
      <c r="W213" s="121">
        <f ca="1">IFERROR(__xludf.DUMMYFUNCTION("""COMPUTED_VALUE"""),4)</f>
        <v>4</v>
      </c>
      <c r="X213" s="121" t="str">
        <f ca="1">IFERROR(__xludf.DUMMYFUNCTION("""COMPUTED_VALUE"""),"Najma Kohi")</f>
        <v>Najma Kohi</v>
      </c>
      <c r="Y213" s="124">
        <f ca="1">IFERROR(__xludf.DUMMYFUNCTION("""COMPUTED_VALUE"""),45965)</f>
        <v>45965</v>
      </c>
      <c r="Z213" s="121" t="str">
        <f ca="1">IFERROR(__xludf.DUMMYFUNCTION("""COMPUTED_VALUE"""),"Approved")</f>
        <v>Approved</v>
      </c>
      <c r="AA213" s="121"/>
      <c r="AB213" s="121"/>
    </row>
    <row r="214" spans="1:28">
      <c r="A214" s="121" t="str">
        <f ca="1">IFERROR(__xludf.DUMMYFUNCTION("""COMPUTED_VALUE"""),"uuid:341056f2-4e7a-4926-9605-4ada8bf485eb")</f>
        <v>uuid:341056f2-4e7a-4926-9605-4ada8bf485eb</v>
      </c>
      <c r="B214" s="121" t="str">
        <f ca="1">IFERROR(__xludf.DUMMYFUNCTION("""COMPUTED_VALUE"""),"FR3900")</f>
        <v>FR3900</v>
      </c>
      <c r="C214" s="121" t="str">
        <f ca="1">IFERROR(__xludf.DUMMYFUNCTION("""COMPUTED_VALUE"""),"Younus Elham")</f>
        <v>Younus Elham</v>
      </c>
      <c r="D214" s="121" t="str">
        <f ca="1">IFERROR(__xludf.DUMMYFUNCTION("""COMPUTED_VALUE"""),"HER-PAK-HF2192-Q2-2025-1200-01")</f>
        <v>HER-PAK-HF2192-Q2-2025-1200-01</v>
      </c>
      <c r="E214" s="121" t="str">
        <f ca="1">IFERROR(__xludf.DUMMYFUNCTION("""COMPUTED_VALUE"""),"Paktya")</f>
        <v>Paktya</v>
      </c>
      <c r="F214" s="121" t="str">
        <f ca="1">IFERROR(__xludf.DUMMYFUNCTION("""COMPUTED_VALUE"""),"Ahmadaba")</f>
        <v>Ahmadaba</v>
      </c>
      <c r="G214" s="121" t="str">
        <f ca="1">IFERROR(__xludf.DUMMYFUNCTION("""COMPUTED_VALUE"""),"Surkai Malang Cilinic (2192)")</f>
        <v>Surkai Malang Cilinic (2192)</v>
      </c>
      <c r="H214" s="121" t="str">
        <f ca="1">IFERROR(__xludf.DUMMYFUNCTION("""COMPUTED_VALUE"""),"BHC")</f>
        <v>BHC</v>
      </c>
      <c r="I214" s="122">
        <f ca="1">IFERROR(__xludf.DUMMYFUNCTION("""COMPUTED_VALUE"""),25)</f>
        <v>25</v>
      </c>
      <c r="J214" s="121" t="str">
        <f ca="1">IFERROR(__xludf.DUMMYFUNCTION("""COMPUTED_VALUE"""),"2025-11-03")</f>
        <v>2025-11-03</v>
      </c>
      <c r="K214" s="121" t="str">
        <f ca="1">IFERROR(__xludf.DUMMYFUNCTION("""COMPUTED_VALUE"""),"2025-11-03")</f>
        <v>2025-11-03</v>
      </c>
      <c r="L214" s="121" t="str">
        <f ca="1">IFERROR(__xludf.DUMMYFUNCTION("""COMPUTED_VALUE"""),"11. Additional Questions ")</f>
        <v xml:space="preserve">11. Additional Questions </v>
      </c>
      <c r="M214" s="121" t="str">
        <f ca="1">IFERROR(__xludf.DUMMYFUNCTION("""COMPUTED_VALUE"""),"QQC")</f>
        <v>QQC</v>
      </c>
      <c r="N214" s="121" t="str">
        <f ca="1">IFERROR(__xludf.DUMMYFUNCTION("""COMPUTED_VALUE"""),"Pashto")</f>
        <v>Pashto</v>
      </c>
      <c r="O214" s="121"/>
      <c r="P214" s="121"/>
      <c r="Q214" s="121"/>
      <c r="R214" s="121"/>
      <c r="S214" s="121"/>
      <c r="T214" s="121"/>
      <c r="U214" s="121"/>
      <c r="V214" s="121"/>
      <c r="W214" s="121"/>
      <c r="X214" s="121" t="str">
        <f ca="1">IFERROR(__xludf.DUMMYFUNCTION("""COMPUTED_VALUE"""),"Najma Kohi")</f>
        <v>Najma Kohi</v>
      </c>
      <c r="Y214" s="124">
        <f ca="1">IFERROR(__xludf.DUMMYFUNCTION("""COMPUTED_VALUE"""),45965)</f>
        <v>45965</v>
      </c>
      <c r="Z214" s="121"/>
      <c r="AA214" s="121"/>
      <c r="AB214" s="121"/>
    </row>
    <row r="215" spans="1:28">
      <c r="A215" s="121" t="str">
        <f ca="1">IFERROR(__xludf.DUMMYFUNCTION("""COMPUTED_VALUE"""),"uuid:ee82d227-ba61-4c42-835a-0276710785e1")</f>
        <v>uuid:ee82d227-ba61-4c42-835a-0276710785e1</v>
      </c>
      <c r="B215" s="121" t="str">
        <f ca="1">IFERROR(__xludf.DUMMYFUNCTION("""COMPUTED_VALUE"""),"FR3900")</f>
        <v>FR3900</v>
      </c>
      <c r="C215" s="121" t="str">
        <f ca="1">IFERROR(__xludf.DUMMYFUNCTION("""COMPUTED_VALUE"""),"Younus Elham")</f>
        <v>Younus Elham</v>
      </c>
      <c r="D215" s="121" t="str">
        <f ca="1">IFERROR(__xludf.DUMMYFUNCTION("""COMPUTED_VALUE"""),"HER-PAK-HF2192-Q2-2025-1200-01")</f>
        <v>HER-PAK-HF2192-Q2-2025-1200-01</v>
      </c>
      <c r="E215" s="121" t="str">
        <f ca="1">IFERROR(__xludf.DUMMYFUNCTION("""COMPUTED_VALUE"""),"Paktya")</f>
        <v>Paktya</v>
      </c>
      <c r="F215" s="121" t="str">
        <f ca="1">IFERROR(__xludf.DUMMYFUNCTION("""COMPUTED_VALUE"""),"Ahmadaba")</f>
        <v>Ahmadaba</v>
      </c>
      <c r="G215" s="121" t="str">
        <f ca="1">IFERROR(__xludf.DUMMYFUNCTION("""COMPUTED_VALUE"""),"Surkai Malang Cilinic (2192)")</f>
        <v>Surkai Malang Cilinic (2192)</v>
      </c>
      <c r="H215" s="121" t="str">
        <f ca="1">IFERROR(__xludf.DUMMYFUNCTION("""COMPUTED_VALUE"""),"BHC")</f>
        <v>BHC</v>
      </c>
      <c r="I215" s="122">
        <f ca="1">IFERROR(__xludf.DUMMYFUNCTION("""COMPUTED_VALUE"""),21)</f>
        <v>21</v>
      </c>
      <c r="J215" s="121" t="str">
        <f ca="1">IFERROR(__xludf.DUMMYFUNCTION("""COMPUTED_VALUE"""),"2025-11-03")</f>
        <v>2025-11-03</v>
      </c>
      <c r="K215" s="121" t="str">
        <f ca="1">IFERROR(__xludf.DUMMYFUNCTION("""COMPUTED_VALUE"""),"2025-11-02")</f>
        <v>2025-11-02</v>
      </c>
      <c r="L215" s="121" t="str">
        <f ca="1">IFERROR(__xludf.DUMMYFUNCTION("""COMPUTED_VALUE"""),"5. Laboratory")</f>
        <v>5. Laboratory</v>
      </c>
      <c r="M215" s="121" t="str">
        <f ca="1">IFERROR(__xludf.DUMMYFUNCTION("""COMPUTED_VALUE"""),"QQC")</f>
        <v>QQC</v>
      </c>
      <c r="N215" s="121" t="str">
        <f ca="1">IFERROR(__xludf.DUMMYFUNCTION("""COMPUTED_VALUE"""),"Pashto")</f>
        <v>Pashto</v>
      </c>
      <c r="O215" s="121"/>
      <c r="P215" s="121"/>
      <c r="Q215" s="121"/>
      <c r="R215" s="121"/>
      <c r="S215" s="121"/>
      <c r="T215" s="121"/>
      <c r="U215" s="121"/>
      <c r="V215" s="121"/>
      <c r="W215" s="121"/>
      <c r="X215" s="121" t="str">
        <f ca="1">IFERROR(__xludf.DUMMYFUNCTION("""COMPUTED_VALUE"""),"Najma Kohi")</f>
        <v>Najma Kohi</v>
      </c>
      <c r="Y215" s="124">
        <f ca="1">IFERROR(__xludf.DUMMYFUNCTION("""COMPUTED_VALUE"""),45965)</f>
        <v>45965</v>
      </c>
      <c r="Z215" s="121"/>
      <c r="AA215" s="121"/>
      <c r="AB215" s="121"/>
    </row>
    <row r="216" spans="1:28">
      <c r="A216" s="121" t="str">
        <f ca="1">IFERROR(__xludf.DUMMYFUNCTION("""COMPUTED_VALUE"""),"uuid:f63eb0ec-9646-4c8f-87c8-83dea4f8ef53")</f>
        <v>uuid:f63eb0ec-9646-4c8f-87c8-83dea4f8ef53</v>
      </c>
      <c r="B216" s="121" t="str">
        <f ca="1">IFERROR(__xludf.DUMMYFUNCTION("""COMPUTED_VALUE"""),"FR3900")</f>
        <v>FR3900</v>
      </c>
      <c r="C216" s="121" t="str">
        <f ca="1">IFERROR(__xludf.DUMMYFUNCTION("""COMPUTED_VALUE"""),"Younus Elham")</f>
        <v>Younus Elham</v>
      </c>
      <c r="D216" s="121" t="str">
        <f ca="1">IFERROR(__xludf.DUMMYFUNCTION("""COMPUTED_VALUE"""),"HER-PAK-HF2192-Q2-2025-1200-01")</f>
        <v>HER-PAK-HF2192-Q2-2025-1200-01</v>
      </c>
      <c r="E216" s="121" t="str">
        <f ca="1">IFERROR(__xludf.DUMMYFUNCTION("""COMPUTED_VALUE"""),"Paktya")</f>
        <v>Paktya</v>
      </c>
      <c r="F216" s="121" t="str">
        <f ca="1">IFERROR(__xludf.DUMMYFUNCTION("""COMPUTED_VALUE"""),"Ahmadaba")</f>
        <v>Ahmadaba</v>
      </c>
      <c r="G216" s="121" t="str">
        <f ca="1">IFERROR(__xludf.DUMMYFUNCTION("""COMPUTED_VALUE"""),"Surkai Malang Cilinic (2192)")</f>
        <v>Surkai Malang Cilinic (2192)</v>
      </c>
      <c r="H216" s="121" t="str">
        <f ca="1">IFERROR(__xludf.DUMMYFUNCTION("""COMPUTED_VALUE"""),"BHC")</f>
        <v>BHC</v>
      </c>
      <c r="I216" s="122">
        <f ca="1">IFERROR(__xludf.DUMMYFUNCTION("""COMPUTED_VALUE"""),19)</f>
        <v>19</v>
      </c>
      <c r="J216" s="121" t="str">
        <f ca="1">IFERROR(__xludf.DUMMYFUNCTION("""COMPUTED_VALUE"""),"2025-11-03")</f>
        <v>2025-11-03</v>
      </c>
      <c r="K216" s="121" t="str">
        <f ca="1">IFERROR(__xludf.DUMMYFUNCTION("""COMPUTED_VALUE"""),"2025-11-03")</f>
        <v>2025-11-03</v>
      </c>
      <c r="L216" s="121" t="str">
        <f ca="1">IFERROR(__xludf.DUMMYFUNCTION("""COMPUTED_VALUE"""),"6. Essential Medicine Management")</f>
        <v>6. Essential Medicine Management</v>
      </c>
      <c r="M216" s="121" t="str">
        <f ca="1">IFERROR(__xludf.DUMMYFUNCTION("""COMPUTED_VALUE"""),"QQC")</f>
        <v>QQC</v>
      </c>
      <c r="N216" s="121" t="str">
        <f ca="1">IFERROR(__xludf.DUMMYFUNCTION("""COMPUTED_VALUE"""),"Pashto")</f>
        <v>Pashto</v>
      </c>
      <c r="O216" s="121"/>
      <c r="P216" s="121"/>
      <c r="Q216" s="121"/>
      <c r="R216" s="121"/>
      <c r="S216" s="121"/>
      <c r="T216" s="121"/>
      <c r="U216" s="121"/>
      <c r="V216" s="121"/>
      <c r="W216" s="121"/>
      <c r="X216" s="121"/>
      <c r="Y216" s="121"/>
      <c r="Z216" s="121"/>
      <c r="AA216" s="121"/>
      <c r="AB216" s="121"/>
    </row>
    <row r="217" spans="1:28">
      <c r="A217" s="121" t="str">
        <f ca="1">IFERROR(__xludf.DUMMYFUNCTION("""COMPUTED_VALUE"""),"uuid:b93f0712-a506-477c-8970-cac94aa456ad")</f>
        <v>uuid:b93f0712-a506-477c-8970-cac94aa456ad</v>
      </c>
      <c r="B217" s="121" t="str">
        <f ca="1">IFERROR(__xludf.DUMMYFUNCTION("""COMPUTED_VALUE"""),"FR2222")</f>
        <v>FR2222</v>
      </c>
      <c r="C217" s="121" t="str">
        <f ca="1">IFERROR(__xludf.DUMMYFUNCTION("""COMPUTED_VALUE"""),"Test Name 1")</f>
        <v>Test Name 1</v>
      </c>
      <c r="D217" s="121" t="str">
        <f ca="1">IFERROR(__xludf.DUMMYFUNCTION("""COMPUTED_VALUE"""),"HER-BDS-HF2507-Q1-2023-595-01")</f>
        <v>HER-BDS-HF2507-Q1-2023-595-01</v>
      </c>
      <c r="E217" s="121" t="str">
        <f ca="1">IFERROR(__xludf.DUMMYFUNCTION("""COMPUTED_VALUE"""),"Badakhshan")</f>
        <v>Badakhshan</v>
      </c>
      <c r="F217" s="121" t="str">
        <f ca="1">IFERROR(__xludf.DUMMYFUNCTION("""COMPUTED_VALUE"""),"Khwahan")</f>
        <v>Khwahan</v>
      </c>
      <c r="G217" s="121" t="str">
        <f ca="1">IFERROR(__xludf.DUMMYFUNCTION("""COMPUTED_VALUE"""),"Sildan SHC")</f>
        <v>Sildan SHC</v>
      </c>
      <c r="H217" s="121" t="str">
        <f ca="1">IFERROR(__xludf.DUMMYFUNCTION("""COMPUTED_VALUE"""),"CHC")</f>
        <v>CHC</v>
      </c>
      <c r="I217" s="122">
        <f ca="1">IFERROR(__xludf.DUMMYFUNCTION("""COMPUTED_VALUE"""),23)</f>
        <v>23</v>
      </c>
      <c r="J217" s="121" t="str">
        <f ca="1">IFERROR(__xludf.DUMMYFUNCTION("""COMPUTED_VALUE"""),"2025-11-03")</f>
        <v>2025-11-03</v>
      </c>
      <c r="K217" s="121" t="str">
        <f ca="1">IFERROR(__xludf.DUMMYFUNCTION("""COMPUTED_VALUE"""),"2025-10-21")</f>
        <v>2025-10-21</v>
      </c>
      <c r="L217" s="121" t="str">
        <f ca="1">IFERROR(__xludf.DUMMYFUNCTION("""COMPUTED_VALUE"""),"2. Hygiene and Sterilization")</f>
        <v>2. Hygiene and Sterilization</v>
      </c>
      <c r="M217" s="121" t="str">
        <f ca="1">IFERROR(__xludf.DUMMYFUNCTION("""COMPUTED_VALUE"""),"QQC")</f>
        <v>QQC</v>
      </c>
      <c r="N217" s="121" t="str">
        <f ca="1">IFERROR(__xludf.DUMMYFUNCTION("""COMPUTED_VALUE"""),"N/A")</f>
        <v>N/A</v>
      </c>
      <c r="O217" s="121"/>
      <c r="P217" s="121"/>
      <c r="Q217" s="121"/>
      <c r="R217" s="121"/>
      <c r="S217" s="121"/>
      <c r="T217" s="121"/>
      <c r="U217" s="121"/>
      <c r="V217" s="121"/>
      <c r="W217" s="121"/>
      <c r="X217" s="121"/>
      <c r="Y217" s="121"/>
      <c r="Z217" s="121"/>
      <c r="AA217" s="121"/>
      <c r="AB217" s="121" t="str">
        <f ca="1">IFERROR(__xludf.DUMMYFUNCTION("""COMPUTED_VALUE"""),"The user name should double check")</f>
        <v>The user name should double check</v>
      </c>
    </row>
    <row r="218" spans="1:28">
      <c r="A218" s="121" t="str">
        <f ca="1">IFERROR(__xludf.DUMMYFUNCTION("""COMPUTED_VALUE"""),"uuid:7b6509cd-e51c-40b6-9139-1ddbfe59d81c")</f>
        <v>uuid:7b6509cd-e51c-40b6-9139-1ddbfe59d81c</v>
      </c>
      <c r="B218" s="121" t="str">
        <f ca="1">IFERROR(__xludf.DUMMYFUNCTION("""COMPUTED_VALUE"""),"FR3900")</f>
        <v>FR3900</v>
      </c>
      <c r="C218" s="121" t="str">
        <f ca="1">IFERROR(__xludf.DUMMYFUNCTION("""COMPUTED_VALUE"""),"Younus Elham")</f>
        <v>Younus Elham</v>
      </c>
      <c r="D218" s="121" t="str">
        <f ca="1">IFERROR(__xludf.DUMMYFUNCTION("""COMPUTED_VALUE"""),"HER-PAK-HF2192-Q2-2025-1200-01")</f>
        <v>HER-PAK-HF2192-Q2-2025-1200-01</v>
      </c>
      <c r="E218" s="121" t="str">
        <f ca="1">IFERROR(__xludf.DUMMYFUNCTION("""COMPUTED_VALUE"""),"Paktya")</f>
        <v>Paktya</v>
      </c>
      <c r="F218" s="121" t="str">
        <f ca="1">IFERROR(__xludf.DUMMYFUNCTION("""COMPUTED_VALUE"""),"Ahmadaba")</f>
        <v>Ahmadaba</v>
      </c>
      <c r="G218" s="121" t="str">
        <f ca="1">IFERROR(__xludf.DUMMYFUNCTION("""COMPUTED_VALUE"""),"Surkai Malang Cilinic (2192)")</f>
        <v>Surkai Malang Cilinic (2192)</v>
      </c>
      <c r="H218" s="121" t="str">
        <f ca="1">IFERROR(__xludf.DUMMYFUNCTION("""COMPUTED_VALUE"""),"BHC")</f>
        <v>BHC</v>
      </c>
      <c r="I218" s="122">
        <f ca="1">IFERROR(__xludf.DUMMYFUNCTION("""COMPUTED_VALUE"""),37)</f>
        <v>37</v>
      </c>
      <c r="J218" s="121" t="str">
        <f ca="1">IFERROR(__xludf.DUMMYFUNCTION("""COMPUTED_VALUE"""),"2025-11-03")</f>
        <v>2025-11-03</v>
      </c>
      <c r="K218" s="121" t="str">
        <f ca="1">IFERROR(__xludf.DUMMYFUNCTION("""COMPUTED_VALUE"""),"2025-11-02")</f>
        <v>2025-11-02</v>
      </c>
      <c r="L218" s="121" t="str">
        <f ca="1">IFERROR(__xludf.DUMMYFUNCTION("""COMPUTED_VALUE"""),"9. EPI and Pre-school Consultation")</f>
        <v>9. EPI and Pre-school Consultation</v>
      </c>
      <c r="M218" s="121" t="str">
        <f ca="1">IFERROR(__xludf.DUMMYFUNCTION("""COMPUTED_VALUE"""),"QQC")</f>
        <v>QQC</v>
      </c>
      <c r="N218" s="121" t="str">
        <f ca="1">IFERROR(__xludf.DUMMYFUNCTION("""COMPUTED_VALUE"""),"Pashto")</f>
        <v>Pashto</v>
      </c>
      <c r="O218" s="121"/>
      <c r="P218" s="121"/>
      <c r="Q218" s="121"/>
      <c r="R218" s="121"/>
      <c r="S218" s="121"/>
      <c r="T218" s="121"/>
      <c r="U218" s="121"/>
      <c r="V218" s="121"/>
      <c r="W218" s="121"/>
      <c r="X218" s="121"/>
      <c r="Y218" s="121"/>
      <c r="Z218" s="121"/>
      <c r="AA218" s="121"/>
      <c r="AB218" s="121"/>
    </row>
    <row r="219" spans="1:28">
      <c r="A219" s="121" t="str">
        <f ca="1">IFERROR(__xludf.DUMMYFUNCTION("""COMPUTED_VALUE"""),"uuid:4d32c8fd-c248-4e4e-beb0-bc1377fee39a")</f>
        <v>uuid:4d32c8fd-c248-4e4e-beb0-bc1377fee39a</v>
      </c>
      <c r="B219" s="121" t="str">
        <f ca="1">IFERROR(__xludf.DUMMYFUNCTION("""COMPUTED_VALUE"""),"FR3900")</f>
        <v>FR3900</v>
      </c>
      <c r="C219" s="121" t="str">
        <f ca="1">IFERROR(__xludf.DUMMYFUNCTION("""COMPUTED_VALUE"""),"Younus Elham")</f>
        <v>Younus Elham</v>
      </c>
      <c r="D219" s="121" t="str">
        <f ca="1">IFERROR(__xludf.DUMMYFUNCTION("""COMPUTED_VALUE"""),"HER-PAK-HF2192-Q2-2025-1200-01")</f>
        <v>HER-PAK-HF2192-Q2-2025-1200-01</v>
      </c>
      <c r="E219" s="121" t="str">
        <f ca="1">IFERROR(__xludf.DUMMYFUNCTION("""COMPUTED_VALUE"""),"Paktya")</f>
        <v>Paktya</v>
      </c>
      <c r="F219" s="121" t="str">
        <f ca="1">IFERROR(__xludf.DUMMYFUNCTION("""COMPUTED_VALUE"""),"Ahmadaba")</f>
        <v>Ahmadaba</v>
      </c>
      <c r="G219" s="121" t="str">
        <f ca="1">IFERROR(__xludf.DUMMYFUNCTION("""COMPUTED_VALUE"""),"Surkai Malang Cilinic (2192)")</f>
        <v>Surkai Malang Cilinic (2192)</v>
      </c>
      <c r="H219" s="121" t="str">
        <f ca="1">IFERROR(__xludf.DUMMYFUNCTION("""COMPUTED_VALUE"""),"BHC")</f>
        <v>BHC</v>
      </c>
      <c r="I219" s="122">
        <f ca="1">IFERROR(__xludf.DUMMYFUNCTION("""COMPUTED_VALUE"""),161)</f>
        <v>161</v>
      </c>
      <c r="J219" s="121" t="str">
        <f ca="1">IFERROR(__xludf.DUMMYFUNCTION("""COMPUTED_VALUE"""),"2025-11-03")</f>
        <v>2025-11-03</v>
      </c>
      <c r="K219" s="121" t="str">
        <f ca="1">IFERROR(__xludf.DUMMYFUNCTION("""COMPUTED_VALUE"""),"2025-11-03")</f>
        <v>2025-11-03</v>
      </c>
      <c r="L219" s="121" t="str">
        <f ca="1">IFERROR(__xludf.DUMMYFUNCTION("""COMPUTED_VALUE"""),"7. Tracer Medicine")</f>
        <v>7. Tracer Medicine</v>
      </c>
      <c r="M219" s="121" t="str">
        <f ca="1">IFERROR(__xludf.DUMMYFUNCTION("""COMPUTED_VALUE"""),"QQC")</f>
        <v>QQC</v>
      </c>
      <c r="N219" s="121" t="str">
        <f ca="1">IFERROR(__xludf.DUMMYFUNCTION("""COMPUTED_VALUE"""),"Pashto")</f>
        <v>Pashto</v>
      </c>
      <c r="O219" s="121"/>
      <c r="P219" s="121"/>
      <c r="Q219" s="121"/>
      <c r="R219" s="121"/>
      <c r="S219" s="121"/>
      <c r="T219" s="121"/>
      <c r="U219" s="121"/>
      <c r="V219" s="121"/>
      <c r="W219" s="121"/>
      <c r="X219" s="121"/>
      <c r="Y219" s="121"/>
      <c r="Z219" s="121"/>
      <c r="AA219" s="121"/>
      <c r="AB219" s="121"/>
    </row>
    <row r="220" spans="1:28">
      <c r="A220" s="121" t="str">
        <f ca="1">IFERROR(__xludf.DUMMYFUNCTION("""COMPUTED_VALUE"""),"uuid:b6c4a6cf-64e5-4ed6-af6f-dd6c3d1330aa")</f>
        <v>uuid:b6c4a6cf-64e5-4ed6-af6f-dd6c3d1330aa</v>
      </c>
      <c r="B220" s="121" t="str">
        <f ca="1">IFERROR(__xludf.DUMMYFUNCTION("""COMPUTED_VALUE"""),"FR2222")</f>
        <v>FR2222</v>
      </c>
      <c r="C220" s="121" t="str">
        <f ca="1">IFERROR(__xludf.DUMMYFUNCTION("""COMPUTED_VALUE"""),"Test Name 1")</f>
        <v>Test Name 1</v>
      </c>
      <c r="D220" s="121" t="str">
        <f ca="1">IFERROR(__xludf.DUMMYFUNCTION("""COMPUTED_VALUE"""),"HER-PAK-HF2192-Q2-2025-1200-01")</f>
        <v>HER-PAK-HF2192-Q2-2025-1200-01</v>
      </c>
      <c r="E220" s="121" t="str">
        <f ca="1">IFERROR(__xludf.DUMMYFUNCTION("""COMPUTED_VALUE"""),"Paktya")</f>
        <v>Paktya</v>
      </c>
      <c r="F220" s="121" t="str">
        <f ca="1">IFERROR(__xludf.DUMMYFUNCTION("""COMPUTED_VALUE"""),"Ahmadaba")</f>
        <v>Ahmadaba</v>
      </c>
      <c r="G220" s="121" t="str">
        <f ca="1">IFERROR(__xludf.DUMMYFUNCTION("""COMPUTED_VALUE"""),"Surkai Malang Cilinic (2192)")</f>
        <v>Surkai Malang Cilinic (2192)</v>
      </c>
      <c r="H220" s="121" t="str">
        <f ca="1">IFERROR(__xludf.DUMMYFUNCTION("""COMPUTED_VALUE"""),"BHC")</f>
        <v>BHC</v>
      </c>
      <c r="I220" s="122">
        <f ca="1">IFERROR(__xludf.DUMMYFUNCTION("""COMPUTED_VALUE"""),46)</f>
        <v>46</v>
      </c>
      <c r="J220" s="121" t="str">
        <f ca="1">IFERROR(__xludf.DUMMYFUNCTION("""COMPUTED_VALUE"""),"2025-11-03")</f>
        <v>2025-11-03</v>
      </c>
      <c r="K220" s="121" t="str">
        <f ca="1">IFERROR(__xludf.DUMMYFUNCTION("""COMPUTED_VALUE"""),"2025-11-02")</f>
        <v>2025-11-02</v>
      </c>
      <c r="L220" s="121" t="str">
        <f ca="1">IFERROR(__xludf.DUMMYFUNCTION("""COMPUTED_VALUE"""),"8. Maternity")</f>
        <v>8. Maternity</v>
      </c>
      <c r="M220" s="121" t="str">
        <f ca="1">IFERROR(__xludf.DUMMYFUNCTION("""COMPUTED_VALUE"""),"QQC")</f>
        <v>QQC</v>
      </c>
      <c r="N220" s="121" t="str">
        <f ca="1">IFERROR(__xludf.DUMMYFUNCTION("""COMPUTED_VALUE"""),"Pashto")</f>
        <v>Pashto</v>
      </c>
      <c r="O220" s="121"/>
      <c r="P220" s="121"/>
      <c r="Q220" s="121"/>
      <c r="R220" s="121"/>
      <c r="S220" s="121"/>
      <c r="T220" s="121"/>
      <c r="U220" s="121"/>
      <c r="V220" s="121"/>
      <c r="W220" s="121"/>
      <c r="X220" s="121"/>
      <c r="Y220" s="121"/>
      <c r="Z220" s="121"/>
      <c r="AA220" s="121"/>
      <c r="AB220" s="121" t="str">
        <f ca="1">IFERROR(__xludf.DUMMYFUNCTION("""COMPUTED_VALUE"""),"The user name should double check")</f>
        <v>The user name should double check</v>
      </c>
    </row>
    <row r="221" spans="1:28">
      <c r="A221" s="121" t="str">
        <f ca="1">IFERROR(__xludf.DUMMYFUNCTION("""COMPUTED_VALUE"""),"uuid:714f84e9-44d4-4f1a-8df2-906b5676c52e")</f>
        <v>uuid:714f84e9-44d4-4f1a-8df2-906b5676c52e</v>
      </c>
      <c r="B221" s="121" t="str">
        <f ca="1">IFERROR(__xludf.DUMMYFUNCTION("""COMPUTED_VALUE"""),"FR2222")</f>
        <v>FR2222</v>
      </c>
      <c r="C221" s="121" t="str">
        <f ca="1">IFERROR(__xludf.DUMMYFUNCTION("""COMPUTED_VALUE"""),"Test Name 1")</f>
        <v>Test Name 1</v>
      </c>
      <c r="D221" s="121" t="str">
        <f ca="1">IFERROR(__xludf.DUMMYFUNCTION("""COMPUTED_VALUE"""),"HER-PAK-HF2192-Q2-2025-1200-01")</f>
        <v>HER-PAK-HF2192-Q2-2025-1200-01</v>
      </c>
      <c r="E221" s="121" t="str">
        <f ca="1">IFERROR(__xludf.DUMMYFUNCTION("""COMPUTED_VALUE"""),"Paktya")</f>
        <v>Paktya</v>
      </c>
      <c r="F221" s="121" t="str">
        <f ca="1">IFERROR(__xludf.DUMMYFUNCTION("""COMPUTED_VALUE"""),"Ahmadaba")</f>
        <v>Ahmadaba</v>
      </c>
      <c r="G221" s="121" t="str">
        <f ca="1">IFERROR(__xludf.DUMMYFUNCTION("""COMPUTED_VALUE"""),"Surkai Malang Cilinic (2192)")</f>
        <v>Surkai Malang Cilinic (2192)</v>
      </c>
      <c r="H221" s="121" t="str">
        <f ca="1">IFERROR(__xludf.DUMMYFUNCTION("""COMPUTED_VALUE"""),"BHC")</f>
        <v>BHC</v>
      </c>
      <c r="I221" s="122">
        <f ca="1">IFERROR(__xludf.DUMMYFUNCTION("""COMPUTED_VALUE"""),30)</f>
        <v>30</v>
      </c>
      <c r="J221" s="121" t="str">
        <f ca="1">IFERROR(__xludf.DUMMYFUNCTION("""COMPUTED_VALUE"""),"2025-11-03")</f>
        <v>2025-11-03</v>
      </c>
      <c r="K221" s="121" t="str">
        <f ca="1">IFERROR(__xludf.DUMMYFUNCTION("""COMPUTED_VALUE"""),"2025-11-02")</f>
        <v>2025-11-02</v>
      </c>
      <c r="L221" s="121" t="str">
        <f ca="1">IFERROR(__xludf.DUMMYFUNCTION("""COMPUTED_VALUE"""),"4. Family Planning")</f>
        <v>4. Family Planning</v>
      </c>
      <c r="M221" s="121" t="str">
        <f ca="1">IFERROR(__xludf.DUMMYFUNCTION("""COMPUTED_VALUE"""),"QQC")</f>
        <v>QQC</v>
      </c>
      <c r="N221" s="121" t="str">
        <f ca="1">IFERROR(__xludf.DUMMYFUNCTION("""COMPUTED_VALUE"""),"Pashto")</f>
        <v>Pashto</v>
      </c>
      <c r="O221" s="121"/>
      <c r="P221" s="121"/>
      <c r="Q221" s="121"/>
      <c r="R221" s="121"/>
      <c r="S221" s="121"/>
      <c r="T221" s="121"/>
      <c r="U221" s="121"/>
      <c r="V221" s="121"/>
      <c r="W221" s="121"/>
      <c r="X221" s="121"/>
      <c r="Y221" s="121"/>
      <c r="Z221" s="121"/>
      <c r="AA221" s="121"/>
      <c r="AB221" s="121" t="str">
        <f ca="1">IFERROR(__xludf.DUMMYFUNCTION("""COMPUTED_VALUE"""),"The user name should double check")</f>
        <v>The user name should double check</v>
      </c>
    </row>
    <row r="222" spans="1:28">
      <c r="A222" s="121" t="str">
        <f ca="1">IFERROR(__xludf.DUMMYFUNCTION("""COMPUTED_VALUE"""),"uuid:7e9ab24f-a9ff-45ad-8cff-9eef03628fcb")</f>
        <v>uuid:7e9ab24f-a9ff-45ad-8cff-9eef03628fcb</v>
      </c>
      <c r="B222" s="121" t="str">
        <f ca="1">IFERROR(__xludf.DUMMYFUNCTION("""COMPUTED_VALUE"""),"FR4015")</f>
        <v>FR4015</v>
      </c>
      <c r="C222" s="121" t="str">
        <f ca="1">IFERROR(__xludf.DUMMYFUNCTION("""COMPUTED_VALUE"""),"Nasratullah Danish")</f>
        <v>Nasratullah Danish</v>
      </c>
      <c r="D222" s="121" t="str">
        <f ca="1">IFERROR(__xludf.DUMMYFUNCTION("""COMPUTED_VALUE"""),"HER-LGM-HF3819-Q2-2025-1153-01")</f>
        <v>HER-LGM-HF3819-Q2-2025-1153-01</v>
      </c>
      <c r="E222" s="121" t="str">
        <f ca="1">IFERROR(__xludf.DUMMYFUNCTION("""COMPUTED_VALUE"""),"Laghman")</f>
        <v>Laghman</v>
      </c>
      <c r="F222" s="121" t="str">
        <f ca="1">IFERROR(__xludf.DUMMYFUNCTION("""COMPUTED_VALUE"""),"Dawlat Shah")</f>
        <v>Dawlat Shah</v>
      </c>
      <c r="G222" s="121" t="str">
        <f ca="1">IFERROR(__xludf.DUMMYFUNCTION("""COMPUTED_VALUE"""),"Karik SC (3819)")</f>
        <v>Karik SC (3819)</v>
      </c>
      <c r="H222" s="121">
        <f ca="1">IFERROR(__xludf.DUMMYFUNCTION("""COMPUTED_VALUE"""),8)</f>
        <v>8</v>
      </c>
      <c r="I222" s="122">
        <f ca="1">IFERROR(__xludf.DUMMYFUNCTION("""COMPUTED_VALUE"""),7)</f>
        <v>7</v>
      </c>
      <c r="J222" s="121" t="str">
        <f ca="1">IFERROR(__xludf.DUMMYFUNCTION("""COMPUTED_VALUE"""),"2025-11-03")</f>
        <v>2025-11-03</v>
      </c>
      <c r="K222" s="121" t="str">
        <f ca="1">IFERROR(__xludf.DUMMYFUNCTION("""COMPUTED_VALUE"""),"2025-11-02")</f>
        <v>2025-11-02</v>
      </c>
      <c r="L222" s="121" t="str">
        <f ca="1">IFERROR(__xludf.DUMMYFUNCTION("""COMPUTED_VALUE"""),"Exit Interview 1")</f>
        <v>Exit Interview 1</v>
      </c>
      <c r="M222" s="121" t="str">
        <f ca="1">IFERROR(__xludf.DUMMYFUNCTION("""COMPUTED_VALUE"""),"Vignette")</f>
        <v>Vignette</v>
      </c>
      <c r="N222" s="121" t="str">
        <f ca="1">IFERROR(__xludf.DUMMYFUNCTION("""COMPUTED_VALUE"""),"N/A")</f>
        <v>N/A</v>
      </c>
      <c r="O222" s="121"/>
      <c r="P222" s="121"/>
      <c r="Q222" s="121"/>
      <c r="R222" s="121"/>
      <c r="S222" s="121"/>
      <c r="T222" s="121"/>
      <c r="U222" s="121"/>
      <c r="V222" s="121"/>
      <c r="W222" s="121"/>
      <c r="X222" s="121"/>
      <c r="Y222" s="121"/>
      <c r="Z222" s="121"/>
      <c r="AA222" s="121"/>
      <c r="AB222" s="121"/>
    </row>
    <row r="223" spans="1:28">
      <c r="A223" s="121" t="str">
        <f ca="1">IFERROR(__xludf.DUMMYFUNCTION("""COMPUTED_VALUE"""),"uuid:9005001e-45d1-4e29-84ce-573a310d6d28")</f>
        <v>uuid:9005001e-45d1-4e29-84ce-573a310d6d28</v>
      </c>
      <c r="B223" s="121" t="str">
        <f ca="1">IFERROR(__xludf.DUMMYFUNCTION("""COMPUTED_VALUE"""),"FR4015")</f>
        <v>FR4015</v>
      </c>
      <c r="C223" s="121" t="str">
        <f ca="1">IFERROR(__xludf.DUMMYFUNCTION("""COMPUTED_VALUE"""),"Nasratullah Danish")</f>
        <v>Nasratullah Danish</v>
      </c>
      <c r="D223" s="121" t="str">
        <f ca="1">IFERROR(__xludf.DUMMYFUNCTION("""COMPUTED_VALUE"""),"HER-LGM-HF3819-Q2-2025-1153-01")</f>
        <v>HER-LGM-HF3819-Q2-2025-1153-01</v>
      </c>
      <c r="E223" s="121" t="str">
        <f ca="1">IFERROR(__xludf.DUMMYFUNCTION("""COMPUTED_VALUE"""),"Laghman")</f>
        <v>Laghman</v>
      </c>
      <c r="F223" s="121" t="str">
        <f ca="1">IFERROR(__xludf.DUMMYFUNCTION("""COMPUTED_VALUE"""),"Dawlat Shah")</f>
        <v>Dawlat Shah</v>
      </c>
      <c r="G223" s="121" t="str">
        <f ca="1">IFERROR(__xludf.DUMMYFUNCTION("""COMPUTED_VALUE"""),"Karik SC (3819)")</f>
        <v>Karik SC (3819)</v>
      </c>
      <c r="H223" s="121">
        <f ca="1">IFERROR(__xludf.DUMMYFUNCTION("""COMPUTED_VALUE"""),8)</f>
        <v>8</v>
      </c>
      <c r="I223" s="122">
        <f ca="1">IFERROR(__xludf.DUMMYFUNCTION("""COMPUTED_VALUE"""),6)</f>
        <v>6</v>
      </c>
      <c r="J223" s="121" t="str">
        <f ca="1">IFERROR(__xludf.DUMMYFUNCTION("""COMPUTED_VALUE"""),"2025-11-03")</f>
        <v>2025-11-03</v>
      </c>
      <c r="K223" s="121" t="str">
        <f ca="1">IFERROR(__xludf.DUMMYFUNCTION("""COMPUTED_VALUE"""),"2025-11-02")</f>
        <v>2025-11-02</v>
      </c>
      <c r="L223" s="121" t="str">
        <f ca="1">IFERROR(__xludf.DUMMYFUNCTION("""COMPUTED_VALUE"""),"Vignette [4]: The management of presumptive TB patient")</f>
        <v>Vignette [4]: The management of presumptive TB patient</v>
      </c>
      <c r="M223" s="121" t="str">
        <f ca="1">IFERROR(__xludf.DUMMYFUNCTION("""COMPUTED_VALUE"""),"Vignette")</f>
        <v>Vignette</v>
      </c>
      <c r="N223" s="121" t="str">
        <f ca="1">IFERROR(__xludf.DUMMYFUNCTION("""COMPUTED_VALUE"""),"N/A")</f>
        <v>N/A</v>
      </c>
      <c r="O223" s="121"/>
      <c r="P223" s="121"/>
      <c r="Q223" s="121"/>
      <c r="R223" s="121"/>
      <c r="S223" s="121"/>
      <c r="T223" s="121"/>
      <c r="U223" s="121"/>
      <c r="V223" s="121"/>
      <c r="W223" s="121"/>
      <c r="X223" s="121"/>
      <c r="Y223" s="121"/>
      <c r="Z223" s="121"/>
      <c r="AA223" s="121"/>
      <c r="AB223" s="121"/>
    </row>
    <row r="224" spans="1:28">
      <c r="A224" s="121" t="str">
        <f ca="1">IFERROR(__xludf.DUMMYFUNCTION("""COMPUTED_VALUE"""),"uuid:b3dbffa2-b28e-4f4a-8618-668df7365166")</f>
        <v>uuid:b3dbffa2-b28e-4f4a-8618-668df7365166</v>
      </c>
      <c r="B224" s="121" t="str">
        <f ca="1">IFERROR(__xludf.DUMMYFUNCTION("""COMPUTED_VALUE"""),"FR4015")</f>
        <v>FR4015</v>
      </c>
      <c r="C224" s="121" t="str">
        <f ca="1">IFERROR(__xludf.DUMMYFUNCTION("""COMPUTED_VALUE"""),"Nasratullah Danish")</f>
        <v>Nasratullah Danish</v>
      </c>
      <c r="D224" s="121" t="str">
        <f ca="1">IFERROR(__xludf.DUMMYFUNCTION("""COMPUTED_VALUE"""),"HER-LGM-HF3819-Q2-2025-1153-01")</f>
        <v>HER-LGM-HF3819-Q2-2025-1153-01</v>
      </c>
      <c r="E224" s="121" t="str">
        <f ca="1">IFERROR(__xludf.DUMMYFUNCTION("""COMPUTED_VALUE"""),"Laghman")</f>
        <v>Laghman</v>
      </c>
      <c r="F224" s="121" t="str">
        <f ca="1">IFERROR(__xludf.DUMMYFUNCTION("""COMPUTED_VALUE"""),"Dawlat Shah")</f>
        <v>Dawlat Shah</v>
      </c>
      <c r="G224" s="121" t="str">
        <f ca="1">IFERROR(__xludf.DUMMYFUNCTION("""COMPUTED_VALUE"""),"Karik SC (3819)")</f>
        <v>Karik SC (3819)</v>
      </c>
      <c r="H224" s="121">
        <f ca="1">IFERROR(__xludf.DUMMYFUNCTION("""COMPUTED_VALUE"""),8)</f>
        <v>8</v>
      </c>
      <c r="I224" s="122">
        <f ca="1">IFERROR(__xludf.DUMMYFUNCTION("""COMPUTED_VALUE"""),6)</f>
        <v>6</v>
      </c>
      <c r="J224" s="121" t="str">
        <f ca="1">IFERROR(__xludf.DUMMYFUNCTION("""COMPUTED_VALUE"""),"2025-11-03")</f>
        <v>2025-11-03</v>
      </c>
      <c r="K224" s="121" t="str">
        <f ca="1">IFERROR(__xludf.DUMMYFUNCTION("""COMPUTED_VALUE"""),"2025-11-02")</f>
        <v>2025-11-02</v>
      </c>
      <c r="L224" s="121" t="str">
        <f ca="1">IFERROR(__xludf.DUMMYFUNCTION("""COMPUTED_VALUE"""),"Vignette [1] Respiratory Infection: Pneumonia")</f>
        <v>Vignette [1] Respiratory Infection: Pneumonia</v>
      </c>
      <c r="M224" s="121" t="str">
        <f ca="1">IFERROR(__xludf.DUMMYFUNCTION("""COMPUTED_VALUE"""),"Vignette")</f>
        <v>Vignette</v>
      </c>
      <c r="N224" s="121" t="str">
        <f ca="1">IFERROR(__xludf.DUMMYFUNCTION("""COMPUTED_VALUE"""),"N/A")</f>
        <v>N/A</v>
      </c>
      <c r="O224" s="121"/>
      <c r="P224" s="121"/>
      <c r="Q224" s="121"/>
      <c r="R224" s="121"/>
      <c r="S224" s="121"/>
      <c r="T224" s="121"/>
      <c r="U224" s="121"/>
      <c r="V224" s="121"/>
      <c r="W224" s="121"/>
      <c r="X224" s="121"/>
      <c r="Y224" s="121"/>
      <c r="Z224" s="121"/>
      <c r="AA224" s="121"/>
      <c r="AB224" s="121"/>
    </row>
    <row r="225" spans="1:28">
      <c r="A225" s="121" t="str">
        <f ca="1">IFERROR(__xludf.DUMMYFUNCTION("""COMPUTED_VALUE"""),"uuid:657db778-23db-421d-9692-e88f3bccced6")</f>
        <v>uuid:657db778-23db-421d-9692-e88f3bccced6</v>
      </c>
      <c r="B225" s="121" t="str">
        <f ca="1">IFERROR(__xludf.DUMMYFUNCTION("""COMPUTED_VALUE"""),"FR4015")</f>
        <v>FR4015</v>
      </c>
      <c r="C225" s="121" t="str">
        <f ca="1">IFERROR(__xludf.DUMMYFUNCTION("""COMPUTED_VALUE"""),"Nasratullah Danish")</f>
        <v>Nasratullah Danish</v>
      </c>
      <c r="D225" s="121" t="str">
        <f ca="1">IFERROR(__xludf.DUMMYFUNCTION("""COMPUTED_VALUE"""),"HER-LGM-HF3819-Q2-2025-1153-01")</f>
        <v>HER-LGM-HF3819-Q2-2025-1153-01</v>
      </c>
      <c r="E225" s="121" t="str">
        <f ca="1">IFERROR(__xludf.DUMMYFUNCTION("""COMPUTED_VALUE"""),"Laghman")</f>
        <v>Laghman</v>
      </c>
      <c r="F225" s="121" t="str">
        <f ca="1">IFERROR(__xludf.DUMMYFUNCTION("""COMPUTED_VALUE"""),"Dawlat Shah")</f>
        <v>Dawlat Shah</v>
      </c>
      <c r="G225" s="121" t="str">
        <f ca="1">IFERROR(__xludf.DUMMYFUNCTION("""COMPUTED_VALUE"""),"Karik SC (3819)")</f>
        <v>Karik SC (3819)</v>
      </c>
      <c r="H225" s="121">
        <f ca="1">IFERROR(__xludf.DUMMYFUNCTION("""COMPUTED_VALUE"""),8)</f>
        <v>8</v>
      </c>
      <c r="I225" s="122">
        <f ca="1">IFERROR(__xludf.DUMMYFUNCTION("""COMPUTED_VALUE"""),7)</f>
        <v>7</v>
      </c>
      <c r="J225" s="121" t="str">
        <f ca="1">IFERROR(__xludf.DUMMYFUNCTION("""COMPUTED_VALUE"""),"2025-11-03")</f>
        <v>2025-11-03</v>
      </c>
      <c r="K225" s="121" t="str">
        <f ca="1">IFERROR(__xludf.DUMMYFUNCTION("""COMPUTED_VALUE"""),"2025-11-02")</f>
        <v>2025-11-02</v>
      </c>
      <c r="L225" s="121" t="str">
        <f ca="1">IFERROR(__xludf.DUMMYFUNCTION("""COMPUTED_VALUE"""),"Vignette [2]: Diarrhea with Cat B dehydration")</f>
        <v>Vignette [2]: Diarrhea with Cat B dehydration</v>
      </c>
      <c r="M225" s="121" t="str">
        <f ca="1">IFERROR(__xludf.DUMMYFUNCTION("""COMPUTED_VALUE"""),"Vignette")</f>
        <v>Vignette</v>
      </c>
      <c r="N225" s="121" t="str">
        <f ca="1">IFERROR(__xludf.DUMMYFUNCTION("""COMPUTED_VALUE"""),"N/A")</f>
        <v>N/A</v>
      </c>
      <c r="O225" s="121"/>
      <c r="P225" s="121"/>
      <c r="Q225" s="121"/>
      <c r="R225" s="121"/>
      <c r="S225" s="121"/>
      <c r="T225" s="121"/>
      <c r="U225" s="121"/>
      <c r="V225" s="121"/>
      <c r="W225" s="121"/>
      <c r="X225" s="121"/>
      <c r="Y225" s="121"/>
      <c r="Z225" s="121"/>
      <c r="AA225" s="121"/>
      <c r="AB225" s="121"/>
    </row>
    <row r="226" spans="1:28">
      <c r="A226" s="121" t="str">
        <f ca="1">IFERROR(__xludf.DUMMYFUNCTION("""COMPUTED_VALUE"""),"uuid:e8fe4e5b-8ca1-4a04-bb2b-07e69df251c1")</f>
        <v>uuid:e8fe4e5b-8ca1-4a04-bb2b-07e69df251c1</v>
      </c>
      <c r="B226" s="121" t="str">
        <f ca="1">IFERROR(__xludf.DUMMYFUNCTION("""COMPUTED_VALUE"""),"FR2222")</f>
        <v>FR2222</v>
      </c>
      <c r="C226" s="121" t="str">
        <f ca="1">IFERROR(__xludf.DUMMYFUNCTION("""COMPUTED_VALUE"""),"Test Name 1")</f>
        <v>Test Name 1</v>
      </c>
      <c r="D226" s="121" t="str">
        <f ca="1">IFERROR(__xludf.DUMMYFUNCTION("""COMPUTED_VALUE"""),"HER-PAK-HF2192-Q2-2025-1200-01")</f>
        <v>HER-PAK-HF2192-Q2-2025-1200-01</v>
      </c>
      <c r="E226" s="121" t="str">
        <f ca="1">IFERROR(__xludf.DUMMYFUNCTION("""COMPUTED_VALUE"""),"Paktya")</f>
        <v>Paktya</v>
      </c>
      <c r="F226" s="121" t="str">
        <f ca="1">IFERROR(__xludf.DUMMYFUNCTION("""COMPUTED_VALUE"""),"Ahmadaba")</f>
        <v>Ahmadaba</v>
      </c>
      <c r="G226" s="121" t="str">
        <f ca="1">IFERROR(__xludf.DUMMYFUNCTION("""COMPUTED_VALUE"""),"Surkai Malang Cilinic (2192)")</f>
        <v>Surkai Malang Cilinic (2192)</v>
      </c>
      <c r="H226" s="121">
        <f ca="1">IFERROR(__xludf.DUMMYFUNCTION("""COMPUTED_VALUE"""),7)</f>
        <v>7</v>
      </c>
      <c r="I226" s="122">
        <f ca="1">IFERROR(__xludf.DUMMYFUNCTION("""COMPUTED_VALUE"""),25)</f>
        <v>25</v>
      </c>
      <c r="J226" s="121" t="str">
        <f ca="1">IFERROR(__xludf.DUMMYFUNCTION("""COMPUTED_VALUE"""),"2025-11-03")</f>
        <v>2025-11-03</v>
      </c>
      <c r="K226" s="121" t="str">
        <f ca="1">IFERROR(__xludf.DUMMYFUNCTION("""COMPUTED_VALUE"""),"2025-11-03")</f>
        <v>2025-11-03</v>
      </c>
      <c r="L226" s="121" t="str">
        <f ca="1">IFERROR(__xludf.DUMMYFUNCTION("""COMPUTED_VALUE"""),"Exit Interview 2")</f>
        <v>Exit Interview 2</v>
      </c>
      <c r="M226" s="121" t="str">
        <f ca="1">IFERROR(__xludf.DUMMYFUNCTION("""COMPUTED_VALUE"""),"Vignette")</f>
        <v>Vignette</v>
      </c>
      <c r="N226" s="121" t="str">
        <f ca="1">IFERROR(__xludf.DUMMYFUNCTION("""COMPUTED_VALUE"""),"N/A")</f>
        <v>N/A</v>
      </c>
      <c r="O226" s="121"/>
      <c r="P226" s="121"/>
      <c r="Q226" s="121"/>
      <c r="R226" s="121"/>
      <c r="S226" s="121"/>
      <c r="T226" s="121"/>
      <c r="U226" s="121"/>
      <c r="V226" s="121"/>
      <c r="W226" s="121"/>
      <c r="X226" s="121"/>
      <c r="Y226" s="121"/>
      <c r="Z226" s="121"/>
      <c r="AA226" s="121"/>
      <c r="AB226" s="121" t="str">
        <f ca="1">IFERROR(__xludf.DUMMYFUNCTION("""COMPUTED_VALUE"""),"The user name should double check")</f>
        <v>The user name should double check</v>
      </c>
    </row>
    <row r="227" spans="1:28">
      <c r="A227" s="121" t="str">
        <f ca="1">IFERROR(__xludf.DUMMYFUNCTION("""COMPUTED_VALUE"""),"uuid:42a8e3dc-cd41-4fd4-84ef-5564bcaa5d83")</f>
        <v>uuid:42a8e3dc-cd41-4fd4-84ef-5564bcaa5d83</v>
      </c>
      <c r="B227" s="121" t="str">
        <f ca="1">IFERROR(__xludf.DUMMYFUNCTION("""COMPUTED_VALUE"""),"FR2222")</f>
        <v>FR2222</v>
      </c>
      <c r="C227" s="121" t="str">
        <f ca="1">IFERROR(__xludf.DUMMYFUNCTION("""COMPUTED_VALUE"""),"Test Name 1")</f>
        <v>Test Name 1</v>
      </c>
      <c r="D227" s="121" t="str">
        <f ca="1">IFERROR(__xludf.DUMMYFUNCTION("""COMPUTED_VALUE"""),"HER-PAK-HF2192-Q2-2025-1200-01")</f>
        <v>HER-PAK-HF2192-Q2-2025-1200-01</v>
      </c>
      <c r="E227" s="121" t="str">
        <f ca="1">IFERROR(__xludf.DUMMYFUNCTION("""COMPUTED_VALUE"""),"Paktya")</f>
        <v>Paktya</v>
      </c>
      <c r="F227" s="121" t="str">
        <f ca="1">IFERROR(__xludf.DUMMYFUNCTION("""COMPUTED_VALUE"""),"Ahmadaba")</f>
        <v>Ahmadaba</v>
      </c>
      <c r="G227" s="121" t="str">
        <f ca="1">IFERROR(__xludf.DUMMYFUNCTION("""COMPUTED_VALUE"""),"Surkai Malang Cilinic (2192)")</f>
        <v>Surkai Malang Cilinic (2192)</v>
      </c>
      <c r="H227" s="121">
        <f ca="1">IFERROR(__xludf.DUMMYFUNCTION("""COMPUTED_VALUE"""),7)</f>
        <v>7</v>
      </c>
      <c r="I227" s="122">
        <f ca="1">IFERROR(__xludf.DUMMYFUNCTION("""COMPUTED_VALUE"""),20)</f>
        <v>20</v>
      </c>
      <c r="J227" s="121" t="str">
        <f ca="1">IFERROR(__xludf.DUMMYFUNCTION("""COMPUTED_VALUE"""),"2025-11-03")</f>
        <v>2025-11-03</v>
      </c>
      <c r="K227" s="121" t="str">
        <f ca="1">IFERROR(__xludf.DUMMYFUNCTION("""COMPUTED_VALUE"""),"2025-11-03")</f>
        <v>2025-11-03</v>
      </c>
      <c r="L227" s="121" t="str">
        <f ca="1">IFERROR(__xludf.DUMMYFUNCTION("""COMPUTED_VALUE"""),"Exit Interview 1")</f>
        <v>Exit Interview 1</v>
      </c>
      <c r="M227" s="121" t="str">
        <f ca="1">IFERROR(__xludf.DUMMYFUNCTION("""COMPUTED_VALUE"""),"Vignette")</f>
        <v>Vignette</v>
      </c>
      <c r="N227" s="121" t="str">
        <f ca="1">IFERROR(__xludf.DUMMYFUNCTION("""COMPUTED_VALUE"""),"N/A")</f>
        <v>N/A</v>
      </c>
      <c r="O227" s="121"/>
      <c r="P227" s="121"/>
      <c r="Q227" s="121"/>
      <c r="R227" s="121"/>
      <c r="S227" s="121"/>
      <c r="T227" s="121"/>
      <c r="U227" s="121"/>
      <c r="V227" s="121"/>
      <c r="W227" s="121"/>
      <c r="X227" s="121"/>
      <c r="Y227" s="121"/>
      <c r="Z227" s="121"/>
      <c r="AA227" s="121"/>
      <c r="AB227" s="121" t="str">
        <f ca="1">IFERROR(__xludf.DUMMYFUNCTION("""COMPUTED_VALUE"""),"The user name should double check")</f>
        <v>The user name should double check</v>
      </c>
    </row>
    <row r="228" spans="1:28">
      <c r="A228" s="121" t="str">
        <f ca="1">IFERROR(__xludf.DUMMYFUNCTION("""COMPUTED_VALUE"""),"uuid:4156840e-3500-4278-8114-de2d6026d6a8")</f>
        <v>uuid:4156840e-3500-4278-8114-de2d6026d6a8</v>
      </c>
      <c r="B228" s="121" t="str">
        <f ca="1">IFERROR(__xludf.DUMMYFUNCTION("""COMPUTED_VALUE"""),"FR2222")</f>
        <v>FR2222</v>
      </c>
      <c r="C228" s="121" t="str">
        <f ca="1">IFERROR(__xludf.DUMMYFUNCTION("""COMPUTED_VALUE"""),"Test Name 1")</f>
        <v>Test Name 1</v>
      </c>
      <c r="D228" s="121" t="str">
        <f ca="1">IFERROR(__xludf.DUMMYFUNCTION("""COMPUTED_VALUE"""),"HER-PAK-HF2192-Q2-2025-1200-01")</f>
        <v>HER-PAK-HF2192-Q2-2025-1200-01</v>
      </c>
      <c r="E228" s="121" t="str">
        <f ca="1">IFERROR(__xludf.DUMMYFUNCTION("""COMPUTED_VALUE"""),"Paktya")</f>
        <v>Paktya</v>
      </c>
      <c r="F228" s="121" t="str">
        <f ca="1">IFERROR(__xludf.DUMMYFUNCTION("""COMPUTED_VALUE"""),"Ahmadaba")</f>
        <v>Ahmadaba</v>
      </c>
      <c r="G228" s="121" t="str">
        <f ca="1">IFERROR(__xludf.DUMMYFUNCTION("""COMPUTED_VALUE"""),"Surkai Malang Cilinic (2192)")</f>
        <v>Surkai Malang Cilinic (2192)</v>
      </c>
      <c r="H228" s="121">
        <f ca="1">IFERROR(__xludf.DUMMYFUNCTION("""COMPUTED_VALUE"""),7)</f>
        <v>7</v>
      </c>
      <c r="I228" s="122">
        <f ca="1">IFERROR(__xludf.DUMMYFUNCTION("""COMPUTED_VALUE"""),12)</f>
        <v>12</v>
      </c>
      <c r="J228" s="121" t="str">
        <f ca="1">IFERROR(__xludf.DUMMYFUNCTION("""COMPUTED_VALUE"""),"2025-11-03")</f>
        <v>2025-11-03</v>
      </c>
      <c r="K228" s="121" t="str">
        <f ca="1">IFERROR(__xludf.DUMMYFUNCTION("""COMPUTED_VALUE"""),"2025-11-03")</f>
        <v>2025-11-03</v>
      </c>
      <c r="L228" s="121" t="str">
        <f ca="1">IFERROR(__xludf.DUMMYFUNCTION("""COMPUTED_VALUE"""),"Vignette [6] PNC pre Discharge")</f>
        <v>Vignette [6] PNC pre Discharge</v>
      </c>
      <c r="M228" s="121" t="str">
        <f ca="1">IFERROR(__xludf.DUMMYFUNCTION("""COMPUTED_VALUE"""),"Vignette")</f>
        <v>Vignette</v>
      </c>
      <c r="N228" s="121" t="str">
        <f ca="1">IFERROR(__xludf.DUMMYFUNCTION("""COMPUTED_VALUE"""),"N/A")</f>
        <v>N/A</v>
      </c>
      <c r="O228" s="121"/>
      <c r="P228" s="121"/>
      <c r="Q228" s="121"/>
      <c r="R228" s="121"/>
      <c r="S228" s="121"/>
      <c r="T228" s="121"/>
      <c r="U228" s="121"/>
      <c r="V228" s="121"/>
      <c r="W228" s="121"/>
      <c r="X228" s="121"/>
      <c r="Y228" s="121"/>
      <c r="Z228" s="121"/>
      <c r="AA228" s="121"/>
      <c r="AB228" s="121" t="str">
        <f ca="1">IFERROR(__xludf.DUMMYFUNCTION("""COMPUTED_VALUE"""),"The user name should double check")</f>
        <v>The user name should double check</v>
      </c>
    </row>
    <row r="229" spans="1:28">
      <c r="A229" s="121" t="str">
        <f ca="1">IFERROR(__xludf.DUMMYFUNCTION("""COMPUTED_VALUE"""),"uuid:b3ddd238-9cef-4704-bc82-91e1409eb340")</f>
        <v>uuid:b3ddd238-9cef-4704-bc82-91e1409eb340</v>
      </c>
      <c r="B229" s="121" t="str">
        <f ca="1">IFERROR(__xludf.DUMMYFUNCTION("""COMPUTED_VALUE"""),"FR2222")</f>
        <v>FR2222</v>
      </c>
      <c r="C229" s="121" t="str">
        <f ca="1">IFERROR(__xludf.DUMMYFUNCTION("""COMPUTED_VALUE"""),"Test Name 1")</f>
        <v>Test Name 1</v>
      </c>
      <c r="D229" s="121" t="str">
        <f ca="1">IFERROR(__xludf.DUMMYFUNCTION("""COMPUTED_VALUE"""),"HER-PAK-HF2192-Q2-2025-1200-01")</f>
        <v>HER-PAK-HF2192-Q2-2025-1200-01</v>
      </c>
      <c r="E229" s="121" t="str">
        <f ca="1">IFERROR(__xludf.DUMMYFUNCTION("""COMPUTED_VALUE"""),"Paktya")</f>
        <v>Paktya</v>
      </c>
      <c r="F229" s="121" t="str">
        <f ca="1">IFERROR(__xludf.DUMMYFUNCTION("""COMPUTED_VALUE"""),"Ahmadaba")</f>
        <v>Ahmadaba</v>
      </c>
      <c r="G229" s="121" t="str">
        <f ca="1">IFERROR(__xludf.DUMMYFUNCTION("""COMPUTED_VALUE"""),"Surkai Malang Cilinic (2192)")</f>
        <v>Surkai Malang Cilinic (2192)</v>
      </c>
      <c r="H229" s="121">
        <f ca="1">IFERROR(__xludf.DUMMYFUNCTION("""COMPUTED_VALUE"""),7)</f>
        <v>7</v>
      </c>
      <c r="I229" s="122">
        <f ca="1">IFERROR(__xludf.DUMMYFUNCTION("""COMPUTED_VALUE"""),16)</f>
        <v>16</v>
      </c>
      <c r="J229" s="121" t="str">
        <f ca="1">IFERROR(__xludf.DUMMYFUNCTION("""COMPUTED_VALUE"""),"2025-11-03")</f>
        <v>2025-11-03</v>
      </c>
      <c r="K229" s="121" t="str">
        <f ca="1">IFERROR(__xludf.DUMMYFUNCTION("""COMPUTED_VALUE"""),"2025-11-03")</f>
        <v>2025-11-03</v>
      </c>
      <c r="L229" s="121" t="str">
        <f ca="1">IFERROR(__xludf.DUMMYFUNCTION("""COMPUTED_VALUE"""),"Vignette [3] Growth Monitoring and Promotion")</f>
        <v>Vignette [3] Growth Monitoring and Promotion</v>
      </c>
      <c r="M229" s="121" t="str">
        <f ca="1">IFERROR(__xludf.DUMMYFUNCTION("""COMPUTED_VALUE"""),"Vignette")</f>
        <v>Vignette</v>
      </c>
      <c r="N229" s="121" t="str">
        <f ca="1">IFERROR(__xludf.DUMMYFUNCTION("""COMPUTED_VALUE"""),"N/A")</f>
        <v>N/A</v>
      </c>
      <c r="O229" s="121"/>
      <c r="P229" s="121"/>
      <c r="Q229" s="121"/>
      <c r="R229" s="121"/>
      <c r="S229" s="121"/>
      <c r="T229" s="121"/>
      <c r="U229" s="121"/>
      <c r="V229" s="121"/>
      <c r="W229" s="121"/>
      <c r="X229" s="121"/>
      <c r="Y229" s="121"/>
      <c r="Z229" s="121"/>
      <c r="AA229" s="121"/>
      <c r="AB229" s="121" t="str">
        <f ca="1">IFERROR(__xludf.DUMMYFUNCTION("""COMPUTED_VALUE"""),"The user name should double check")</f>
        <v>The user name should double check</v>
      </c>
    </row>
    <row r="230" spans="1:28">
      <c r="A230" s="121" t="str">
        <f ca="1">IFERROR(__xludf.DUMMYFUNCTION("""COMPUTED_VALUE"""),"uuid:baeecd7e-8ce4-4f1e-ad89-adfbefb3d530")</f>
        <v>uuid:baeecd7e-8ce4-4f1e-ad89-adfbefb3d530</v>
      </c>
      <c r="B230" s="121" t="str">
        <f ca="1">IFERROR(__xludf.DUMMYFUNCTION("""COMPUTED_VALUE"""),"FR4378")</f>
        <v>FR4378</v>
      </c>
      <c r="C230" s="121" t="str">
        <f ca="1">IFERROR(__xludf.DUMMYFUNCTION("""COMPUTED_VALUE"""),"Mohammad Shaiq Hakimi")</f>
        <v>Mohammad Shaiq Hakimi</v>
      </c>
      <c r="D230" s="121" t="str">
        <f ca="1">IFERROR(__xludf.DUMMYFUNCTION("""COMPUTED_VALUE"""),"HER-TAK-HF2870-Q2-2025-1246-01")</f>
        <v>HER-TAK-HF2870-Q2-2025-1246-01</v>
      </c>
      <c r="E230" s="121" t="str">
        <f ca="1">IFERROR(__xludf.DUMMYFUNCTION("""COMPUTED_VALUE"""),"Takhar")</f>
        <v>Takhar</v>
      </c>
      <c r="F230" s="121" t="str">
        <f ca="1">IFERROR(__xludf.DUMMYFUNCTION("""COMPUTED_VALUE"""),"Taloqan")</f>
        <v>Taloqan</v>
      </c>
      <c r="G230" s="121" t="str">
        <f ca="1">IFERROR(__xludf.DUMMYFUNCTION("""COMPUTED_VALUE"""),"Shorab SHC (2870)")</f>
        <v>Shorab SHC (2870)</v>
      </c>
      <c r="H230" s="121">
        <f ca="1">IFERROR(__xludf.DUMMYFUNCTION("""COMPUTED_VALUE"""),8)</f>
        <v>8</v>
      </c>
      <c r="I230" s="122">
        <f ca="1">IFERROR(__xludf.DUMMYFUNCTION("""COMPUTED_VALUE"""),13)</f>
        <v>13</v>
      </c>
      <c r="J230" s="121" t="str">
        <f ca="1">IFERROR(__xludf.DUMMYFUNCTION("""COMPUTED_VALUE"""),"2025-11-03")</f>
        <v>2025-11-03</v>
      </c>
      <c r="K230" s="121" t="str">
        <f ca="1">IFERROR(__xludf.DUMMYFUNCTION("""COMPUTED_VALUE"""),"2025-11-01")</f>
        <v>2025-11-01</v>
      </c>
      <c r="L230" s="121" t="str">
        <f ca="1">IFERROR(__xludf.DUMMYFUNCTION("""COMPUTED_VALUE"""),"Vignette [1] Respiratory Infection: Pneumonia")</f>
        <v>Vignette [1] Respiratory Infection: Pneumonia</v>
      </c>
      <c r="M230" s="121" t="str">
        <f ca="1">IFERROR(__xludf.DUMMYFUNCTION("""COMPUTED_VALUE"""),"Vignette")</f>
        <v>Vignette</v>
      </c>
      <c r="N230" s="121" t="str">
        <f ca="1">IFERROR(__xludf.DUMMYFUNCTION("""COMPUTED_VALUE"""),"N/A")</f>
        <v>N/A</v>
      </c>
      <c r="O230" s="121"/>
      <c r="P230" s="121"/>
      <c r="Q230" s="121"/>
      <c r="R230" s="121"/>
      <c r="S230" s="121"/>
      <c r="T230" s="121"/>
      <c r="U230" s="121"/>
      <c r="V230" s="121"/>
      <c r="W230" s="121"/>
      <c r="X230" s="121"/>
      <c r="Y230" s="121"/>
      <c r="Z230" s="121"/>
      <c r="AA230" s="121"/>
      <c r="AB230" s="121"/>
    </row>
    <row r="231" spans="1:28">
      <c r="A231" s="121" t="str">
        <f ca="1">IFERROR(__xludf.DUMMYFUNCTION("""COMPUTED_VALUE"""),"uuid:de722f60-dfc5-4b84-a105-2cf7e17b4d3c")</f>
        <v>uuid:de722f60-dfc5-4b84-a105-2cf7e17b4d3c</v>
      </c>
      <c r="B231" s="121" t="str">
        <f ca="1">IFERROR(__xludf.DUMMYFUNCTION("""COMPUTED_VALUE"""),"FR3900")</f>
        <v>FR3900</v>
      </c>
      <c r="C231" s="121" t="str">
        <f ca="1">IFERROR(__xludf.DUMMYFUNCTION("""COMPUTED_VALUE"""),"Younus Elham")</f>
        <v>Younus Elham</v>
      </c>
      <c r="D231" s="121" t="str">
        <f ca="1">IFERROR(__xludf.DUMMYFUNCTION("""COMPUTED_VALUE"""),"HER-PAK-HF2192-Q2-2025-1200-01")</f>
        <v>HER-PAK-HF2192-Q2-2025-1200-01</v>
      </c>
      <c r="E231" s="121" t="str">
        <f ca="1">IFERROR(__xludf.DUMMYFUNCTION("""COMPUTED_VALUE"""),"Paktya")</f>
        <v>Paktya</v>
      </c>
      <c r="F231" s="121" t="str">
        <f ca="1">IFERROR(__xludf.DUMMYFUNCTION("""COMPUTED_VALUE"""),"Ahmadaba")</f>
        <v>Ahmadaba</v>
      </c>
      <c r="G231" s="121" t="str">
        <f ca="1">IFERROR(__xludf.DUMMYFUNCTION("""COMPUTED_VALUE"""),"Surkai Malang Cilinic (2192)")</f>
        <v>Surkai Malang Cilinic (2192)</v>
      </c>
      <c r="H231" s="121">
        <f ca="1">IFERROR(__xludf.DUMMYFUNCTION("""COMPUTED_VALUE"""),6)</f>
        <v>6</v>
      </c>
      <c r="I231" s="122">
        <f ca="1">IFERROR(__xludf.DUMMYFUNCTION("""COMPUTED_VALUE"""),6)</f>
        <v>6</v>
      </c>
      <c r="J231" s="121" t="str">
        <f ca="1">IFERROR(__xludf.DUMMYFUNCTION("""COMPUTED_VALUE"""),"2025-11-03")</f>
        <v>2025-11-03</v>
      </c>
      <c r="K231" s="121" t="str">
        <f ca="1">IFERROR(__xludf.DUMMYFUNCTION("""COMPUTED_VALUE"""),"2025-11-03")</f>
        <v>2025-11-03</v>
      </c>
      <c r="L231" s="121" t="str">
        <f ca="1">IFERROR(__xludf.DUMMYFUNCTION("""COMPUTED_VALUE"""),"Vignette [4]: The management of presumptive TB patient")</f>
        <v>Vignette [4]: The management of presumptive TB patient</v>
      </c>
      <c r="M231" s="121" t="str">
        <f ca="1">IFERROR(__xludf.DUMMYFUNCTION("""COMPUTED_VALUE"""),"Vignette")</f>
        <v>Vignette</v>
      </c>
      <c r="N231" s="121" t="str">
        <f ca="1">IFERROR(__xludf.DUMMYFUNCTION("""COMPUTED_VALUE"""),"N/A")</f>
        <v>N/A</v>
      </c>
      <c r="O231" s="121"/>
      <c r="P231" s="121"/>
      <c r="Q231" s="121"/>
      <c r="R231" s="121"/>
      <c r="S231" s="121"/>
      <c r="T231" s="121"/>
      <c r="U231" s="121"/>
      <c r="V231" s="121"/>
      <c r="W231" s="121"/>
      <c r="X231" s="121"/>
      <c r="Y231" s="121"/>
      <c r="Z231" s="121"/>
      <c r="AA231" s="121"/>
      <c r="AB231" s="121"/>
    </row>
    <row r="232" spans="1:28">
      <c r="A232" s="121" t="str">
        <f ca="1">IFERROR(__xludf.DUMMYFUNCTION("""COMPUTED_VALUE"""),"uuid:aa2dc51f-c2b1-4efb-9977-cdf08ba592d4")</f>
        <v>uuid:aa2dc51f-c2b1-4efb-9977-cdf08ba592d4</v>
      </c>
      <c r="B232" s="121" t="str">
        <f ca="1">IFERROR(__xludf.DUMMYFUNCTION("""COMPUTED_VALUE"""),"FR3900")</f>
        <v>FR3900</v>
      </c>
      <c r="C232" s="121" t="str">
        <f ca="1">IFERROR(__xludf.DUMMYFUNCTION("""COMPUTED_VALUE"""),"Younus Elham")</f>
        <v>Younus Elham</v>
      </c>
      <c r="D232" s="121" t="str">
        <f ca="1">IFERROR(__xludf.DUMMYFUNCTION("""COMPUTED_VALUE"""),"HER-PAK-HF2192-Q2-2025-1200-01")</f>
        <v>HER-PAK-HF2192-Q2-2025-1200-01</v>
      </c>
      <c r="E232" s="121" t="str">
        <f ca="1">IFERROR(__xludf.DUMMYFUNCTION("""COMPUTED_VALUE"""),"Paktya")</f>
        <v>Paktya</v>
      </c>
      <c r="F232" s="121" t="str">
        <f ca="1">IFERROR(__xludf.DUMMYFUNCTION("""COMPUTED_VALUE"""),"Ahmadaba")</f>
        <v>Ahmadaba</v>
      </c>
      <c r="G232" s="121" t="str">
        <f ca="1">IFERROR(__xludf.DUMMYFUNCTION("""COMPUTED_VALUE"""),"Surkai Malang Cilinic (2192)")</f>
        <v>Surkai Malang Cilinic (2192)</v>
      </c>
      <c r="H232" s="121">
        <f ca="1">IFERROR(__xludf.DUMMYFUNCTION("""COMPUTED_VALUE"""),6)</f>
        <v>6</v>
      </c>
      <c r="I232" s="122">
        <f ca="1">IFERROR(__xludf.DUMMYFUNCTION("""COMPUTED_VALUE"""),4)</f>
        <v>4</v>
      </c>
      <c r="J232" s="121" t="str">
        <f ca="1">IFERROR(__xludf.DUMMYFUNCTION("""COMPUTED_VALUE"""),"2025-11-03")</f>
        <v>2025-11-03</v>
      </c>
      <c r="K232" s="121" t="str">
        <f ca="1">IFERROR(__xludf.DUMMYFUNCTION("""COMPUTED_VALUE"""),"2025-11-03")</f>
        <v>2025-11-03</v>
      </c>
      <c r="L232" s="121" t="str">
        <f ca="1">IFERROR(__xludf.DUMMYFUNCTION("""COMPUTED_VALUE"""),"Vignette [1] Respiratory Infection: Pneumonia")</f>
        <v>Vignette [1] Respiratory Infection: Pneumonia</v>
      </c>
      <c r="M232" s="121" t="str">
        <f ca="1">IFERROR(__xludf.DUMMYFUNCTION("""COMPUTED_VALUE"""),"Vignette")</f>
        <v>Vignette</v>
      </c>
      <c r="N232" s="121" t="str">
        <f ca="1">IFERROR(__xludf.DUMMYFUNCTION("""COMPUTED_VALUE"""),"N/A")</f>
        <v>N/A</v>
      </c>
      <c r="O232" s="121"/>
      <c r="P232" s="121"/>
      <c r="Q232" s="121"/>
      <c r="R232" s="121"/>
      <c r="S232" s="121"/>
      <c r="T232" s="121"/>
      <c r="U232" s="121"/>
      <c r="V232" s="121"/>
      <c r="W232" s="121"/>
      <c r="X232" s="121"/>
      <c r="Y232" s="121"/>
      <c r="Z232" s="121"/>
      <c r="AA232" s="121"/>
      <c r="AB232" s="121"/>
    </row>
    <row r="233" spans="1:28">
      <c r="A233" s="121" t="str">
        <f ca="1">IFERROR(__xludf.DUMMYFUNCTION("""COMPUTED_VALUE"""),"uuid:38658480-e1e1-4c24-9708-67f1f65048a4")</f>
        <v>uuid:38658480-e1e1-4c24-9708-67f1f65048a4</v>
      </c>
      <c r="B233" s="121" t="str">
        <f ca="1">IFERROR(__xludf.DUMMYFUNCTION("""COMPUTED_VALUE"""),"FR2222")</f>
        <v>FR2222</v>
      </c>
      <c r="C233" s="121" t="str">
        <f ca="1">IFERROR(__xludf.DUMMYFUNCTION("""COMPUTED_VALUE"""),"Test Name 1")</f>
        <v>Test Name 1</v>
      </c>
      <c r="D233" s="121" t="str">
        <f ca="1">IFERROR(__xludf.DUMMYFUNCTION("""COMPUTED_VALUE"""),"HER-KDZ-HF2647-Q2-2025-1143-01")</f>
        <v>HER-KDZ-HF2647-Q2-2025-1143-01</v>
      </c>
      <c r="E233" s="121" t="str">
        <f ca="1">IFERROR(__xludf.DUMMYFUNCTION("""COMPUTED_VALUE"""),"Kunduz")</f>
        <v>Kunduz</v>
      </c>
      <c r="F233" s="121" t="str">
        <f ca="1">IFERROR(__xludf.DUMMYFUNCTION("""COMPUTED_VALUE"""),"Kunduz")</f>
        <v>Kunduz</v>
      </c>
      <c r="G233" s="121" t="str">
        <f ca="1">IFERROR(__xludf.DUMMYFUNCTION("""COMPUTED_VALUE"""),"Jar Guzar SHC (2647)")</f>
        <v>Jar Guzar SHC (2647)</v>
      </c>
      <c r="H233" s="121">
        <f ca="1">IFERROR(__xludf.DUMMYFUNCTION("""COMPUTED_VALUE"""),8)</f>
        <v>8</v>
      </c>
      <c r="I233" s="122">
        <f ca="1">IFERROR(__xludf.DUMMYFUNCTION("""COMPUTED_VALUE"""),6)</f>
        <v>6</v>
      </c>
      <c r="J233" s="121" t="str">
        <f ca="1">IFERROR(__xludf.DUMMYFUNCTION("""COMPUTED_VALUE"""),"2025-11-03")</f>
        <v>2025-11-03</v>
      </c>
      <c r="K233" s="121" t="str">
        <f ca="1">IFERROR(__xludf.DUMMYFUNCTION("""COMPUTED_VALUE"""),"2025-11-03")</f>
        <v>2025-11-03</v>
      </c>
      <c r="L233" s="121" t="str">
        <f ca="1">IFERROR(__xludf.DUMMYFUNCTION("""COMPUTED_VALUE"""),"Exit Interview 1")</f>
        <v>Exit Interview 1</v>
      </c>
      <c r="M233" s="121" t="str">
        <f ca="1">IFERROR(__xludf.DUMMYFUNCTION("""COMPUTED_VALUE"""),"Vignette")</f>
        <v>Vignette</v>
      </c>
      <c r="N233" s="121" t="str">
        <f ca="1">IFERROR(__xludf.DUMMYFUNCTION("""COMPUTED_VALUE"""),"N/A")</f>
        <v>N/A</v>
      </c>
      <c r="O233" s="121"/>
      <c r="P233" s="121"/>
      <c r="Q233" s="121"/>
      <c r="R233" s="121"/>
      <c r="S233" s="121"/>
      <c r="T233" s="121"/>
      <c r="U233" s="121"/>
      <c r="V233" s="121"/>
      <c r="W233" s="121"/>
      <c r="X233" s="121"/>
      <c r="Y233" s="121"/>
      <c r="Z233" s="121"/>
      <c r="AA233" s="121"/>
      <c r="AB233" s="121" t="str">
        <f ca="1">IFERROR(__xludf.DUMMYFUNCTION("""COMPUTED_VALUE"""),"The user name should double check")</f>
        <v>The user name should double check</v>
      </c>
    </row>
    <row r="234" spans="1:28">
      <c r="A234" s="121" t="str">
        <f ca="1">IFERROR(__xludf.DUMMYFUNCTION("""COMPUTED_VALUE"""),"uuid:39c88c0c-d653-45a8-813d-829e954ec094")</f>
        <v>uuid:39c88c0c-d653-45a8-813d-829e954ec094</v>
      </c>
      <c r="B234" s="121" t="str">
        <f ca="1">IFERROR(__xludf.DUMMYFUNCTION("""COMPUTED_VALUE"""),"FR2222")</f>
        <v>FR2222</v>
      </c>
      <c r="C234" s="121" t="str">
        <f ca="1">IFERROR(__xludf.DUMMYFUNCTION("""COMPUTED_VALUE"""),"Test Name 1")</f>
        <v>Test Name 1</v>
      </c>
      <c r="D234" s="121" t="str">
        <f ca="1">IFERROR(__xludf.DUMMYFUNCTION("""COMPUTED_VALUE"""),"HER-KDZ-HF2647-Q2-2025-1143-01")</f>
        <v>HER-KDZ-HF2647-Q2-2025-1143-01</v>
      </c>
      <c r="E234" s="121" t="str">
        <f ca="1">IFERROR(__xludf.DUMMYFUNCTION("""COMPUTED_VALUE"""),"Kunduz")</f>
        <v>Kunduz</v>
      </c>
      <c r="F234" s="121" t="str">
        <f ca="1">IFERROR(__xludf.DUMMYFUNCTION("""COMPUTED_VALUE"""),"Kunduz")</f>
        <v>Kunduz</v>
      </c>
      <c r="G234" s="121" t="str">
        <f ca="1">IFERROR(__xludf.DUMMYFUNCTION("""COMPUTED_VALUE"""),"Jar Guzar SHC (2647)")</f>
        <v>Jar Guzar SHC (2647)</v>
      </c>
      <c r="H234" s="121">
        <f ca="1">IFERROR(__xludf.DUMMYFUNCTION("""COMPUTED_VALUE"""),8)</f>
        <v>8</v>
      </c>
      <c r="I234" s="122">
        <f ca="1">IFERROR(__xludf.DUMMYFUNCTION("""COMPUTED_VALUE"""),5)</f>
        <v>5</v>
      </c>
      <c r="J234" s="121" t="str">
        <f ca="1">IFERROR(__xludf.DUMMYFUNCTION("""COMPUTED_VALUE"""),"2025-11-03")</f>
        <v>2025-11-03</v>
      </c>
      <c r="K234" s="121" t="str">
        <f ca="1">IFERROR(__xludf.DUMMYFUNCTION("""COMPUTED_VALUE"""),"2025-11-03")</f>
        <v>2025-11-03</v>
      </c>
      <c r="L234" s="121" t="str">
        <f ca="1">IFERROR(__xludf.DUMMYFUNCTION("""COMPUTED_VALUE"""),"Vignette [4]: The management of presumptive TB patient")</f>
        <v>Vignette [4]: The management of presumptive TB patient</v>
      </c>
      <c r="M234" s="121" t="str">
        <f ca="1">IFERROR(__xludf.DUMMYFUNCTION("""COMPUTED_VALUE"""),"Vignette")</f>
        <v>Vignette</v>
      </c>
      <c r="N234" s="121" t="str">
        <f ca="1">IFERROR(__xludf.DUMMYFUNCTION("""COMPUTED_VALUE"""),"N/A")</f>
        <v>N/A</v>
      </c>
      <c r="O234" s="121"/>
      <c r="P234" s="121"/>
      <c r="Q234" s="121"/>
      <c r="R234" s="121"/>
      <c r="S234" s="121"/>
      <c r="T234" s="121"/>
      <c r="U234" s="121"/>
      <c r="V234" s="121"/>
      <c r="W234" s="121"/>
      <c r="X234" s="121"/>
      <c r="Y234" s="121"/>
      <c r="Z234" s="121"/>
      <c r="AA234" s="121"/>
      <c r="AB234" s="121" t="str">
        <f ca="1">IFERROR(__xludf.DUMMYFUNCTION("""COMPUTED_VALUE"""),"The user name should double check")</f>
        <v>The user name should double check</v>
      </c>
    </row>
    <row r="235" spans="1:28">
      <c r="A235" s="121" t="str">
        <f ca="1">IFERROR(__xludf.DUMMYFUNCTION("""COMPUTED_VALUE"""),"uuid:c261ff70-b294-4408-b142-5fe41b4fe2d3")</f>
        <v>uuid:c261ff70-b294-4408-b142-5fe41b4fe2d3</v>
      </c>
      <c r="B235" s="121" t="str">
        <f ca="1">IFERROR(__xludf.DUMMYFUNCTION("""COMPUTED_VALUE"""),"FR2222")</f>
        <v>FR2222</v>
      </c>
      <c r="C235" s="121" t="str">
        <f ca="1">IFERROR(__xludf.DUMMYFUNCTION("""COMPUTED_VALUE"""),"Test Name 1")</f>
        <v>Test Name 1</v>
      </c>
      <c r="D235" s="121" t="str">
        <f ca="1">IFERROR(__xludf.DUMMYFUNCTION("""COMPUTED_VALUE"""),"HER-KDZ-HF2647-Q2-2025-1143-01")</f>
        <v>HER-KDZ-HF2647-Q2-2025-1143-01</v>
      </c>
      <c r="E235" s="121" t="str">
        <f ca="1">IFERROR(__xludf.DUMMYFUNCTION("""COMPUTED_VALUE"""),"Kunduz")</f>
        <v>Kunduz</v>
      </c>
      <c r="F235" s="121" t="str">
        <f ca="1">IFERROR(__xludf.DUMMYFUNCTION("""COMPUTED_VALUE"""),"Kunduz")</f>
        <v>Kunduz</v>
      </c>
      <c r="G235" s="121" t="str">
        <f ca="1">IFERROR(__xludf.DUMMYFUNCTION("""COMPUTED_VALUE"""),"Jar Guzar SHC (2647)")</f>
        <v>Jar Guzar SHC (2647)</v>
      </c>
      <c r="H235" s="121">
        <f ca="1">IFERROR(__xludf.DUMMYFUNCTION("""COMPUTED_VALUE"""),8)</f>
        <v>8</v>
      </c>
      <c r="I235" s="122">
        <f ca="1">IFERROR(__xludf.DUMMYFUNCTION("""COMPUTED_VALUE"""),9)</f>
        <v>9</v>
      </c>
      <c r="J235" s="121" t="str">
        <f ca="1">IFERROR(__xludf.DUMMYFUNCTION("""COMPUTED_VALUE"""),"2025-11-03")</f>
        <v>2025-11-03</v>
      </c>
      <c r="K235" s="121" t="str">
        <f ca="1">IFERROR(__xludf.DUMMYFUNCTION("""COMPUTED_VALUE"""),"2025-11-03")</f>
        <v>2025-11-03</v>
      </c>
      <c r="L235" s="121" t="str">
        <f ca="1">IFERROR(__xludf.DUMMYFUNCTION("""COMPUTED_VALUE"""),"Vignette [1] Respiratory Infection: Pneumonia")</f>
        <v>Vignette [1] Respiratory Infection: Pneumonia</v>
      </c>
      <c r="M235" s="121" t="str">
        <f ca="1">IFERROR(__xludf.DUMMYFUNCTION("""COMPUTED_VALUE"""),"Vignette")</f>
        <v>Vignette</v>
      </c>
      <c r="N235" s="121" t="str">
        <f ca="1">IFERROR(__xludf.DUMMYFUNCTION("""COMPUTED_VALUE"""),"N/A")</f>
        <v>N/A</v>
      </c>
      <c r="O235" s="121"/>
      <c r="P235" s="121"/>
      <c r="Q235" s="121"/>
      <c r="R235" s="121"/>
      <c r="S235" s="121"/>
      <c r="T235" s="121"/>
      <c r="U235" s="121"/>
      <c r="V235" s="121"/>
      <c r="W235" s="121"/>
      <c r="X235" s="121"/>
      <c r="Y235" s="121"/>
      <c r="Z235" s="121"/>
      <c r="AA235" s="121"/>
      <c r="AB235" s="121" t="str">
        <f ca="1">IFERROR(__xludf.DUMMYFUNCTION("""COMPUTED_VALUE"""),"The user name should double check")</f>
        <v>The user name should double check</v>
      </c>
    </row>
    <row r="236" spans="1:28">
      <c r="A236" s="121" t="str">
        <f ca="1">IFERROR(__xludf.DUMMYFUNCTION("""COMPUTED_VALUE"""),"uuid:809f0c4e-7ade-445e-8cce-b004bb60d66a")</f>
        <v>uuid:809f0c4e-7ade-445e-8cce-b004bb60d66a</v>
      </c>
      <c r="B236" s="121" t="str">
        <f ca="1">IFERROR(__xludf.DUMMYFUNCTION("""COMPUTED_VALUE"""),"FR4696")</f>
        <v>FR4696</v>
      </c>
      <c r="C236" s="121" t="str">
        <f ca="1">IFERROR(__xludf.DUMMYFUNCTION("""COMPUTED_VALUE"""),"Mursal Tarakhil")</f>
        <v>Mursal Tarakhil</v>
      </c>
      <c r="D236" s="121" t="str">
        <f ca="1">IFERROR(__xludf.DUMMYFUNCTION("""COMPUTED_VALUE"""),"HER-LGM-HF3819-Q2-2025-1153-01")</f>
        <v>HER-LGM-HF3819-Q2-2025-1153-01</v>
      </c>
      <c r="E236" s="121" t="str">
        <f ca="1">IFERROR(__xludf.DUMMYFUNCTION("""COMPUTED_VALUE"""),"Laghman")</f>
        <v>Laghman</v>
      </c>
      <c r="F236" s="121" t="str">
        <f ca="1">IFERROR(__xludf.DUMMYFUNCTION("""COMPUTED_VALUE"""),"Dawlat Shah")</f>
        <v>Dawlat Shah</v>
      </c>
      <c r="G236" s="121" t="str">
        <f ca="1">IFERROR(__xludf.DUMMYFUNCTION("""COMPUTED_VALUE"""),"Karik SC (3819)")</f>
        <v>Karik SC (3819)</v>
      </c>
      <c r="H236" s="121">
        <f ca="1">IFERROR(__xludf.DUMMYFUNCTION("""COMPUTED_VALUE"""),8)</f>
        <v>8</v>
      </c>
      <c r="I236" s="122">
        <f ca="1">IFERROR(__xludf.DUMMYFUNCTION("""COMPUTED_VALUE"""),16)</f>
        <v>16</v>
      </c>
      <c r="J236" s="121" t="str">
        <f ca="1">IFERROR(__xludf.DUMMYFUNCTION("""COMPUTED_VALUE"""),"2025-11-03")</f>
        <v>2025-11-03</v>
      </c>
      <c r="K236" s="121" t="str">
        <f ca="1">IFERROR(__xludf.DUMMYFUNCTION("""COMPUTED_VALUE"""),"2025-11-02")</f>
        <v>2025-11-02</v>
      </c>
      <c r="L236" s="121" t="str">
        <f ca="1">IFERROR(__xludf.DUMMYFUNCTION("""COMPUTED_VALUE"""),"Exit Interview 2")</f>
        <v>Exit Interview 2</v>
      </c>
      <c r="M236" s="121" t="str">
        <f ca="1">IFERROR(__xludf.DUMMYFUNCTION("""COMPUTED_VALUE"""),"Vignette")</f>
        <v>Vignette</v>
      </c>
      <c r="N236" s="121" t="str">
        <f ca="1">IFERROR(__xludf.DUMMYFUNCTION("""COMPUTED_VALUE"""),"N/A")</f>
        <v>N/A</v>
      </c>
      <c r="O236" s="121"/>
      <c r="P236" s="121"/>
      <c r="Q236" s="121"/>
      <c r="R236" s="121"/>
      <c r="S236" s="121"/>
      <c r="T236" s="121"/>
      <c r="U236" s="121"/>
      <c r="V236" s="121"/>
      <c r="W236" s="121"/>
      <c r="X236" s="121"/>
      <c r="Y236" s="121"/>
      <c r="Z236" s="121"/>
      <c r="AA236" s="121"/>
      <c r="AB236" s="121"/>
    </row>
    <row r="237" spans="1:28">
      <c r="A237" s="121" t="str">
        <f ca="1">IFERROR(__xludf.DUMMYFUNCTION("""COMPUTED_VALUE"""),"uuid:400c14b7-ca21-48ec-ac3f-56a7c1dd0092")</f>
        <v>uuid:400c14b7-ca21-48ec-ac3f-56a7c1dd0092</v>
      </c>
      <c r="B237" s="121" t="str">
        <f ca="1">IFERROR(__xludf.DUMMYFUNCTION("""COMPUTED_VALUE"""),"FR3277")</f>
        <v>FR3277</v>
      </c>
      <c r="C237" s="121" t="str">
        <f ca="1">IFERROR(__xludf.DUMMYFUNCTION("""COMPUTED_VALUE"""),"Bibi Zahra Hakimi")</f>
        <v>Bibi Zahra Hakimi</v>
      </c>
      <c r="D237" s="121" t="str">
        <f ca="1">IFERROR(__xludf.DUMMYFUNCTION("""COMPUTED_VALUE"""),"HER-PAR-HF2328-Q2-2025-1221-01")</f>
        <v>HER-PAR-HF2328-Q2-2025-1221-01</v>
      </c>
      <c r="E237" s="121" t="str">
        <f ca="1">IFERROR(__xludf.DUMMYFUNCTION("""COMPUTED_VALUE"""),"Parwan")</f>
        <v>Parwan</v>
      </c>
      <c r="F237" s="121" t="str">
        <f ca="1">IFERROR(__xludf.DUMMYFUNCTION("""COMPUTED_VALUE"""),"Chaharekar")</f>
        <v>Chaharekar</v>
      </c>
      <c r="G237" s="121" t="str">
        <f ca="1">IFERROR(__xludf.DUMMYFUNCTION("""COMPUTED_VALUE"""),"Ghorband Dara SHC (2328)")</f>
        <v>Ghorband Dara SHC (2328)</v>
      </c>
      <c r="H237" s="121">
        <f ca="1">IFERROR(__xludf.DUMMYFUNCTION("""COMPUTED_VALUE"""),8)</f>
        <v>8</v>
      </c>
      <c r="I237" s="122">
        <f ca="1">IFERROR(__xludf.DUMMYFUNCTION("""COMPUTED_VALUE"""),28)</f>
        <v>28</v>
      </c>
      <c r="J237" s="121" t="str">
        <f ca="1">IFERROR(__xludf.DUMMYFUNCTION("""COMPUTED_VALUE"""),"2025-11-03")</f>
        <v>2025-11-03</v>
      </c>
      <c r="K237" s="121" t="str">
        <f ca="1">IFERROR(__xludf.DUMMYFUNCTION("""COMPUTED_VALUE"""),"2025-11-02")</f>
        <v>2025-11-02</v>
      </c>
      <c r="L237" s="121" t="str">
        <f ca="1">IFERROR(__xludf.DUMMYFUNCTION("""COMPUTED_VALUE"""),"Exit Interview 2")</f>
        <v>Exit Interview 2</v>
      </c>
      <c r="M237" s="121" t="str">
        <f ca="1">IFERROR(__xludf.DUMMYFUNCTION("""COMPUTED_VALUE"""),"Vignette")</f>
        <v>Vignette</v>
      </c>
      <c r="N237" s="121" t="str">
        <f ca="1">IFERROR(__xludf.DUMMYFUNCTION("""COMPUTED_VALUE"""),"N/A")</f>
        <v>N/A</v>
      </c>
      <c r="O237" s="121"/>
      <c r="P237" s="121"/>
      <c r="Q237" s="121"/>
      <c r="R237" s="121"/>
      <c r="S237" s="121"/>
      <c r="T237" s="121"/>
      <c r="U237" s="121"/>
      <c r="V237" s="121"/>
      <c r="W237" s="121"/>
      <c r="X237" s="121"/>
      <c r="Y237" s="121"/>
      <c r="Z237" s="121"/>
      <c r="AA237" s="121"/>
      <c r="AB237" s="121"/>
    </row>
    <row r="238" spans="1:28">
      <c r="A238" s="121" t="str">
        <f ca="1">IFERROR(__xludf.DUMMYFUNCTION("""COMPUTED_VALUE"""),"uuid:532a2fdb-7f55-4d9e-b4a9-1cd03e214a6b")</f>
        <v>uuid:532a2fdb-7f55-4d9e-b4a9-1cd03e214a6b</v>
      </c>
      <c r="B238" s="121" t="str">
        <f ca="1">IFERROR(__xludf.DUMMYFUNCTION("""COMPUTED_VALUE"""),"FR3277")</f>
        <v>FR3277</v>
      </c>
      <c r="C238" s="121" t="str">
        <f ca="1">IFERROR(__xludf.DUMMYFUNCTION("""COMPUTED_VALUE"""),"Bibi Zahra Hakimi")</f>
        <v>Bibi Zahra Hakimi</v>
      </c>
      <c r="D238" s="121" t="str">
        <f ca="1">IFERROR(__xludf.DUMMYFUNCTION("""COMPUTED_VALUE"""),"HER-PAR-HF2328-Q2-2025-1221-01")</f>
        <v>HER-PAR-HF2328-Q2-2025-1221-01</v>
      </c>
      <c r="E238" s="121" t="str">
        <f ca="1">IFERROR(__xludf.DUMMYFUNCTION("""COMPUTED_VALUE"""),"Parwan")</f>
        <v>Parwan</v>
      </c>
      <c r="F238" s="121" t="str">
        <f ca="1">IFERROR(__xludf.DUMMYFUNCTION("""COMPUTED_VALUE"""),"Chaharekar")</f>
        <v>Chaharekar</v>
      </c>
      <c r="G238" s="121" t="str">
        <f ca="1">IFERROR(__xludf.DUMMYFUNCTION("""COMPUTED_VALUE"""),"Ghorband Dara SHC (2328)")</f>
        <v>Ghorband Dara SHC (2328)</v>
      </c>
      <c r="H238" s="121">
        <f ca="1">IFERROR(__xludf.DUMMYFUNCTION("""COMPUTED_VALUE"""),8)</f>
        <v>8</v>
      </c>
      <c r="I238" s="122">
        <f ca="1">IFERROR(__xludf.DUMMYFUNCTION("""COMPUTED_VALUE"""),15)</f>
        <v>15</v>
      </c>
      <c r="J238" s="121" t="str">
        <f ca="1">IFERROR(__xludf.DUMMYFUNCTION("""COMPUTED_VALUE"""),"2025-11-03")</f>
        <v>2025-11-03</v>
      </c>
      <c r="K238" s="121" t="str">
        <f ca="1">IFERROR(__xludf.DUMMYFUNCTION("""COMPUTED_VALUE"""),"2025-11-02")</f>
        <v>2025-11-02</v>
      </c>
      <c r="L238" s="121" t="str">
        <f ca="1">IFERROR(__xludf.DUMMYFUNCTION("""COMPUTED_VALUE"""),"Exit Interview 1")</f>
        <v>Exit Interview 1</v>
      </c>
      <c r="M238" s="121" t="str">
        <f ca="1">IFERROR(__xludf.DUMMYFUNCTION("""COMPUTED_VALUE"""),"Vignette")</f>
        <v>Vignette</v>
      </c>
      <c r="N238" s="121" t="str">
        <f ca="1">IFERROR(__xludf.DUMMYFUNCTION("""COMPUTED_VALUE"""),"N/A")</f>
        <v>N/A</v>
      </c>
      <c r="O238" s="121"/>
      <c r="P238" s="121"/>
      <c r="Q238" s="121"/>
      <c r="R238" s="121"/>
      <c r="S238" s="121"/>
      <c r="T238" s="121"/>
      <c r="U238" s="121"/>
      <c r="V238" s="121"/>
      <c r="W238" s="121"/>
      <c r="X238" s="121"/>
      <c r="Y238" s="121"/>
      <c r="Z238" s="121"/>
      <c r="AA238" s="121"/>
      <c r="AB238" s="121"/>
    </row>
    <row r="239" spans="1:28">
      <c r="A239" s="121" t="str">
        <f ca="1">IFERROR(__xludf.DUMMYFUNCTION("""COMPUTED_VALUE"""),"uuid:187e0683-0ca6-4d47-b73a-4a612572589e")</f>
        <v>uuid:187e0683-0ca6-4d47-b73a-4a612572589e</v>
      </c>
      <c r="B239" s="121" t="str">
        <f ca="1">IFERROR(__xludf.DUMMYFUNCTION("""COMPUTED_VALUE"""),"FR2628")</f>
        <v>FR2628</v>
      </c>
      <c r="C239" s="121" t="str">
        <f ca="1">IFERROR(__xludf.DUMMYFUNCTION("""COMPUTED_VALUE"""),"Tahira Akbari")</f>
        <v>Tahira Akbari</v>
      </c>
      <c r="D239" s="121" t="str">
        <f ca="1">IFERROR(__xludf.DUMMYFUNCTION("""COMPUTED_VALUE"""),"HER-BAM-HF4349-Q2-2025-1074-01")</f>
        <v>HER-BAM-HF4349-Q2-2025-1074-01</v>
      </c>
      <c r="E239" s="121" t="str">
        <f ca="1">IFERROR(__xludf.DUMMYFUNCTION("""COMPUTED_VALUE"""),"Bamyan")</f>
        <v>Bamyan</v>
      </c>
      <c r="F239" s="121" t="str">
        <f ca="1">IFERROR(__xludf.DUMMYFUNCTION("""COMPUTED_VALUE"""),"Bamyan")</f>
        <v>Bamyan</v>
      </c>
      <c r="G239" s="121" t="str">
        <f ca="1">IFERROR(__xludf.DUMMYFUNCTION("""COMPUTED_VALUE"""),"Orgash SC (4349)")</f>
        <v>Orgash SC (4349)</v>
      </c>
      <c r="H239" s="121">
        <f ca="1">IFERROR(__xludf.DUMMYFUNCTION("""COMPUTED_VALUE"""),8)</f>
        <v>8</v>
      </c>
      <c r="I239" s="122">
        <f ca="1">IFERROR(__xludf.DUMMYFUNCTION("""COMPUTED_VALUE"""),13)</f>
        <v>13</v>
      </c>
      <c r="J239" s="121" t="str">
        <f ca="1">IFERROR(__xludf.DUMMYFUNCTION("""COMPUTED_VALUE"""),"2025-11-03")</f>
        <v>2025-11-03</v>
      </c>
      <c r="K239" s="121" t="str">
        <f ca="1">IFERROR(__xludf.DUMMYFUNCTION("""COMPUTED_VALUE"""),"2025-11-02")</f>
        <v>2025-11-02</v>
      </c>
      <c r="L239" s="121" t="str">
        <f ca="1">IFERROR(__xludf.DUMMYFUNCTION("""COMPUTED_VALUE"""),"Vignette [3] Growth Monitoring and Promotion")</f>
        <v>Vignette [3] Growth Monitoring and Promotion</v>
      </c>
      <c r="M239" s="121" t="str">
        <f ca="1">IFERROR(__xludf.DUMMYFUNCTION("""COMPUTED_VALUE"""),"Vignette")</f>
        <v>Vignette</v>
      </c>
      <c r="N239" s="121" t="str">
        <f ca="1">IFERROR(__xludf.DUMMYFUNCTION("""COMPUTED_VALUE"""),"N/A")</f>
        <v>N/A</v>
      </c>
      <c r="O239" s="121"/>
      <c r="P239" s="121"/>
      <c r="Q239" s="121"/>
      <c r="R239" s="121"/>
      <c r="S239" s="121"/>
      <c r="T239" s="121"/>
      <c r="U239" s="121"/>
      <c r="V239" s="121"/>
      <c r="W239" s="121"/>
      <c r="X239" s="121"/>
      <c r="Y239" s="121"/>
      <c r="Z239" s="121"/>
      <c r="AA239" s="121"/>
      <c r="AB239" s="121"/>
    </row>
    <row r="240" spans="1:28">
      <c r="A240" s="121" t="str">
        <f ca="1">IFERROR(__xludf.DUMMYFUNCTION("""COMPUTED_VALUE"""),"uuid:eff36ea3-3a9f-4543-b070-215eeec68f5b")</f>
        <v>uuid:eff36ea3-3a9f-4543-b070-215eeec68f5b</v>
      </c>
      <c r="B240" s="121" t="str">
        <f ca="1">IFERROR(__xludf.DUMMYFUNCTION("""COMPUTED_VALUE"""),"FR2628")</f>
        <v>FR2628</v>
      </c>
      <c r="C240" s="121" t="str">
        <f ca="1">IFERROR(__xludf.DUMMYFUNCTION("""COMPUTED_VALUE"""),"Tahira Akbari")</f>
        <v>Tahira Akbari</v>
      </c>
      <c r="D240" s="121" t="str">
        <f ca="1">IFERROR(__xludf.DUMMYFUNCTION("""COMPUTED_VALUE"""),"HER-BAM-HF4349-Q2-2025-1074-01")</f>
        <v>HER-BAM-HF4349-Q2-2025-1074-01</v>
      </c>
      <c r="E240" s="121" t="str">
        <f ca="1">IFERROR(__xludf.DUMMYFUNCTION("""COMPUTED_VALUE"""),"Bamyan")</f>
        <v>Bamyan</v>
      </c>
      <c r="F240" s="121" t="str">
        <f ca="1">IFERROR(__xludf.DUMMYFUNCTION("""COMPUTED_VALUE"""),"Bamyan")</f>
        <v>Bamyan</v>
      </c>
      <c r="G240" s="121" t="str">
        <f ca="1">IFERROR(__xludf.DUMMYFUNCTION("""COMPUTED_VALUE"""),"Orgash SC (4349)")</f>
        <v>Orgash SC (4349)</v>
      </c>
      <c r="H240" s="121">
        <f ca="1">IFERROR(__xludf.DUMMYFUNCTION("""COMPUTED_VALUE"""),8)</f>
        <v>8</v>
      </c>
      <c r="I240" s="122">
        <f ca="1">IFERROR(__xludf.DUMMYFUNCTION("""COMPUTED_VALUE"""),19)</f>
        <v>19</v>
      </c>
      <c r="J240" s="121" t="str">
        <f ca="1">IFERROR(__xludf.DUMMYFUNCTION("""COMPUTED_VALUE"""),"2025-11-03")</f>
        <v>2025-11-03</v>
      </c>
      <c r="K240" s="121" t="str">
        <f ca="1">IFERROR(__xludf.DUMMYFUNCTION("""COMPUTED_VALUE"""),"2025-11-03")</f>
        <v>2025-11-03</v>
      </c>
      <c r="L240" s="121" t="str">
        <f ca="1">IFERROR(__xludf.DUMMYFUNCTION("""COMPUTED_VALUE"""),"Vignette [1] Respiratory Infection: Pneumonia")</f>
        <v>Vignette [1] Respiratory Infection: Pneumonia</v>
      </c>
      <c r="M240" s="121" t="str">
        <f ca="1">IFERROR(__xludf.DUMMYFUNCTION("""COMPUTED_VALUE"""),"Vignette")</f>
        <v>Vignette</v>
      </c>
      <c r="N240" s="121" t="str">
        <f ca="1">IFERROR(__xludf.DUMMYFUNCTION("""COMPUTED_VALUE"""),"N/A")</f>
        <v>N/A</v>
      </c>
      <c r="O240" s="121"/>
      <c r="P240" s="121"/>
      <c r="Q240" s="121"/>
      <c r="R240" s="121"/>
      <c r="S240" s="121"/>
      <c r="T240" s="121"/>
      <c r="U240" s="121"/>
      <c r="V240" s="121"/>
      <c r="W240" s="121"/>
      <c r="X240" s="121"/>
      <c r="Y240" s="121"/>
      <c r="Z240" s="121"/>
      <c r="AA240" s="121"/>
      <c r="AB240" s="121"/>
    </row>
    <row r="241" spans="1:28">
      <c r="A241" s="121" t="str">
        <f ca="1">IFERROR(__xludf.DUMMYFUNCTION("""COMPUTED_VALUE"""),"uuid:741deed9-0b0f-4577-b7cd-0740d13e8ace")</f>
        <v>uuid:741deed9-0b0f-4577-b7cd-0740d13e8ace</v>
      </c>
      <c r="B241" s="121" t="str">
        <f ca="1">IFERROR(__xludf.DUMMYFUNCTION("""COMPUTED_VALUE"""),"FR2628")</f>
        <v>FR2628</v>
      </c>
      <c r="C241" s="121" t="str">
        <f ca="1">IFERROR(__xludf.DUMMYFUNCTION("""COMPUTED_VALUE"""),"Tahira Akbari")</f>
        <v>Tahira Akbari</v>
      </c>
      <c r="D241" s="121" t="str">
        <f ca="1">IFERROR(__xludf.DUMMYFUNCTION("""COMPUTED_VALUE"""),"HER-BAM-HF4349-Q2-2025-1074-01")</f>
        <v>HER-BAM-HF4349-Q2-2025-1074-01</v>
      </c>
      <c r="E241" s="121" t="str">
        <f ca="1">IFERROR(__xludf.DUMMYFUNCTION("""COMPUTED_VALUE"""),"Bamyan")</f>
        <v>Bamyan</v>
      </c>
      <c r="F241" s="121" t="str">
        <f ca="1">IFERROR(__xludf.DUMMYFUNCTION("""COMPUTED_VALUE"""),"Bamyan")</f>
        <v>Bamyan</v>
      </c>
      <c r="G241" s="121" t="str">
        <f ca="1">IFERROR(__xludf.DUMMYFUNCTION("""COMPUTED_VALUE"""),"Orgash SC (4349)")</f>
        <v>Orgash SC (4349)</v>
      </c>
      <c r="H241" s="121">
        <f ca="1">IFERROR(__xludf.DUMMYFUNCTION("""COMPUTED_VALUE"""),8)</f>
        <v>8</v>
      </c>
      <c r="I241" s="122">
        <f ca="1">IFERROR(__xludf.DUMMYFUNCTION("""COMPUTED_VALUE"""),14)</f>
        <v>14</v>
      </c>
      <c r="J241" s="121" t="str">
        <f ca="1">IFERROR(__xludf.DUMMYFUNCTION("""COMPUTED_VALUE"""),"2025-11-03")</f>
        <v>2025-11-03</v>
      </c>
      <c r="K241" s="121" t="str">
        <f ca="1">IFERROR(__xludf.DUMMYFUNCTION("""COMPUTED_VALUE"""),"2025-11-03")</f>
        <v>2025-11-03</v>
      </c>
      <c r="L241" s="121" t="str">
        <f ca="1">IFERROR(__xludf.DUMMYFUNCTION("""COMPUTED_VALUE"""),"Vignette [10] Post Partum Haemorrhage - Atonic Uterus at Health Centre")</f>
        <v>Vignette [10] Post Partum Haemorrhage - Atonic Uterus at Health Centre</v>
      </c>
      <c r="M241" s="121" t="str">
        <f ca="1">IFERROR(__xludf.DUMMYFUNCTION("""COMPUTED_VALUE"""),"Vignette")</f>
        <v>Vignette</v>
      </c>
      <c r="N241" s="121" t="str">
        <f ca="1">IFERROR(__xludf.DUMMYFUNCTION("""COMPUTED_VALUE"""),"N/A")</f>
        <v>N/A</v>
      </c>
      <c r="O241" s="121"/>
      <c r="P241" s="121"/>
      <c r="Q241" s="121"/>
      <c r="R241" s="121"/>
      <c r="S241" s="121"/>
      <c r="T241" s="121"/>
      <c r="U241" s="121"/>
      <c r="V241" s="121"/>
      <c r="W241" s="121"/>
      <c r="X241" s="121"/>
      <c r="Y241" s="121"/>
      <c r="Z241" s="121"/>
      <c r="AA241" s="121"/>
      <c r="AB241" s="121"/>
    </row>
    <row r="242" spans="1:28">
      <c r="A242" s="121" t="str">
        <f ca="1">IFERROR(__xludf.DUMMYFUNCTION("""COMPUTED_VALUE"""),"uuid:1075eb80-d0fa-496f-9929-c1c92efcc4b6")</f>
        <v>uuid:1075eb80-d0fa-496f-9929-c1c92efcc4b6</v>
      </c>
      <c r="B242" s="121" t="str">
        <f ca="1">IFERROR(__xludf.DUMMYFUNCTION("""COMPUTED_VALUE"""),"FR2222")</f>
        <v>FR2222</v>
      </c>
      <c r="C242" s="121" t="str">
        <f ca="1">IFERROR(__xludf.DUMMYFUNCTION("""COMPUTED_VALUE"""),"Test Name 1")</f>
        <v>Test Name 1</v>
      </c>
      <c r="D242" s="121" t="str">
        <f ca="1">IFERROR(__xludf.DUMMYFUNCTION("""COMPUTED_VALUE"""),"HER-BDS-HF417-Q1-2023-596-01")</f>
        <v>HER-BDS-HF417-Q1-2023-596-01</v>
      </c>
      <c r="E242" s="121" t="str">
        <f ca="1">IFERROR(__xludf.DUMMYFUNCTION("""COMPUTED_VALUE"""),"Badakhshan")</f>
        <v>Badakhshan</v>
      </c>
      <c r="F242" s="121" t="str">
        <f ca="1">IFERROR(__xludf.DUMMYFUNCTION("""COMPUTED_VALUE"""),"Eshkashem")</f>
        <v>Eshkashem</v>
      </c>
      <c r="G242" s="121" t="str">
        <f ca="1">IFERROR(__xludf.DUMMYFUNCTION("""COMPUTED_VALUE"""),"Eshkashem CHC+")</f>
        <v>Eshkashem CHC+</v>
      </c>
      <c r="H242" s="121">
        <f ca="1">IFERROR(__xludf.DUMMYFUNCTION("""COMPUTED_VALUE"""),3)</f>
        <v>3</v>
      </c>
      <c r="I242" s="122">
        <f ca="1">IFERROR(__xludf.DUMMYFUNCTION("""COMPUTED_VALUE"""),87)</f>
        <v>87</v>
      </c>
      <c r="J242" s="121" t="str">
        <f ca="1">IFERROR(__xludf.DUMMYFUNCTION("""COMPUTED_VALUE"""),"2025-11-03")</f>
        <v>2025-11-03</v>
      </c>
      <c r="K242" s="121" t="str">
        <f ca="1">IFERROR(__xludf.DUMMYFUNCTION("""COMPUTED_VALUE"""),"2025-10-23")</f>
        <v>2025-10-23</v>
      </c>
      <c r="L242" s="121" t="str">
        <f ca="1">IFERROR(__xludf.DUMMYFUNCTION("""COMPUTED_VALUE"""),"Vignette [10] Post Partum Haemorrhage - Atonic Uterus at Health Centre")</f>
        <v>Vignette [10] Post Partum Haemorrhage - Atonic Uterus at Health Centre</v>
      </c>
      <c r="M242" s="121" t="str">
        <f ca="1">IFERROR(__xludf.DUMMYFUNCTION("""COMPUTED_VALUE"""),"Vignette")</f>
        <v>Vignette</v>
      </c>
      <c r="N242" s="121" t="str">
        <f ca="1">IFERROR(__xludf.DUMMYFUNCTION("""COMPUTED_VALUE"""),"N/A")</f>
        <v>N/A</v>
      </c>
      <c r="O242" s="121"/>
      <c r="P242" s="121"/>
      <c r="Q242" s="121"/>
      <c r="R242" s="121"/>
      <c r="S242" s="121"/>
      <c r="T242" s="121"/>
      <c r="U242" s="121"/>
      <c r="V242" s="121"/>
      <c r="W242" s="121"/>
      <c r="X242" s="121"/>
      <c r="Y242" s="121"/>
      <c r="Z242" s="121"/>
      <c r="AA242" s="121" t="str">
        <f ca="1">IFERROR(__xludf.DUMMYFUNCTION("""COMPUTED_VALUE"""),"Fake/Test data")</f>
        <v>Fake/Test data</v>
      </c>
      <c r="AB242" s="121" t="str">
        <f ca="1">IFERROR(__xludf.DUMMYFUNCTION("""COMPUTED_VALUE"""),"The user name should double check")</f>
        <v>The user name should double check</v>
      </c>
    </row>
    <row r="243" spans="1:28">
      <c r="A243" s="121" t="str">
        <f ca="1">IFERROR(__xludf.DUMMYFUNCTION("""COMPUTED_VALUE"""),"uuid:0ce8b9f2-a10a-4490-9e2a-b0cdbd91c8a4")</f>
        <v>uuid:0ce8b9f2-a10a-4490-9e2a-b0cdbd91c8a4</v>
      </c>
      <c r="B243" s="121" t="str">
        <f ca="1">IFERROR(__xludf.DUMMYFUNCTION("""COMPUTED_VALUE"""),"FR2628")</f>
        <v>FR2628</v>
      </c>
      <c r="C243" s="121" t="str">
        <f ca="1">IFERROR(__xludf.DUMMYFUNCTION("""COMPUTED_VALUE"""),"Tahira Akbari")</f>
        <v>Tahira Akbari</v>
      </c>
      <c r="D243" s="121" t="str">
        <f ca="1">IFERROR(__xludf.DUMMYFUNCTION("""COMPUTED_VALUE"""),"HER-BAM-HF4349-Q2-2025-1074-01")</f>
        <v>HER-BAM-HF4349-Q2-2025-1074-01</v>
      </c>
      <c r="E243" s="121" t="str">
        <f ca="1">IFERROR(__xludf.DUMMYFUNCTION("""COMPUTED_VALUE"""),"Bamyan")</f>
        <v>Bamyan</v>
      </c>
      <c r="F243" s="121" t="str">
        <f ca="1">IFERROR(__xludf.DUMMYFUNCTION("""COMPUTED_VALUE"""),"Bamyan")</f>
        <v>Bamyan</v>
      </c>
      <c r="G243" s="121" t="str">
        <f ca="1">IFERROR(__xludf.DUMMYFUNCTION("""COMPUTED_VALUE"""),"Orgash SC (4349)")</f>
        <v>Orgash SC (4349)</v>
      </c>
      <c r="H243" s="121">
        <f ca="1">IFERROR(__xludf.DUMMYFUNCTION("""COMPUTED_VALUE"""),8)</f>
        <v>8</v>
      </c>
      <c r="I243" s="122">
        <f ca="1">IFERROR(__xludf.DUMMYFUNCTION("""COMPUTED_VALUE"""),16)</f>
        <v>16</v>
      </c>
      <c r="J243" s="121" t="str">
        <f ca="1">IFERROR(__xludf.DUMMYFUNCTION("""COMPUTED_VALUE"""),"2025-11-03")</f>
        <v>2025-11-03</v>
      </c>
      <c r="K243" s="121" t="str">
        <f ca="1">IFERROR(__xludf.DUMMYFUNCTION("""COMPUTED_VALUE"""),"2025-11-03")</f>
        <v>2025-11-03</v>
      </c>
      <c r="L243" s="121" t="str">
        <f ca="1">IFERROR(__xludf.DUMMYFUNCTION("""COMPUTED_VALUE"""),"Vignette [6] PNC pre Discharge")</f>
        <v>Vignette [6] PNC pre Discharge</v>
      </c>
      <c r="M243" s="121" t="str">
        <f ca="1">IFERROR(__xludf.DUMMYFUNCTION("""COMPUTED_VALUE"""),"Vignette")</f>
        <v>Vignette</v>
      </c>
      <c r="N243" s="121" t="str">
        <f ca="1">IFERROR(__xludf.DUMMYFUNCTION("""COMPUTED_VALUE"""),"N/A")</f>
        <v>N/A</v>
      </c>
      <c r="O243" s="121"/>
      <c r="P243" s="121"/>
      <c r="Q243" s="121"/>
      <c r="R243" s="121"/>
      <c r="S243" s="121"/>
      <c r="T243" s="121"/>
      <c r="U243" s="121"/>
      <c r="V243" s="121"/>
      <c r="W243" s="121"/>
      <c r="X243" s="121"/>
      <c r="Y243" s="121"/>
      <c r="Z243" s="121"/>
      <c r="AA243" s="121"/>
      <c r="AB243" s="121"/>
    </row>
    <row r="244" spans="1:28">
      <c r="A244" s="121" t="str">
        <f ca="1">IFERROR(__xludf.DUMMYFUNCTION("""COMPUTED_VALUE"""),"uuid:4c0d9299-7046-4052-b2ea-47ca70469d99")</f>
        <v>uuid:4c0d9299-7046-4052-b2ea-47ca70469d99</v>
      </c>
      <c r="B244" s="121" t="str">
        <f ca="1">IFERROR(__xludf.DUMMYFUNCTION("""COMPUTED_VALUE"""),"FR2628")</f>
        <v>FR2628</v>
      </c>
      <c r="C244" s="121" t="str">
        <f ca="1">IFERROR(__xludf.DUMMYFUNCTION("""COMPUTED_VALUE"""),"Tahira Akbari")</f>
        <v>Tahira Akbari</v>
      </c>
      <c r="D244" s="121" t="str">
        <f ca="1">IFERROR(__xludf.DUMMYFUNCTION("""COMPUTED_VALUE"""),"HER-BAM-HF4349-Q2-2025-1074-01")</f>
        <v>HER-BAM-HF4349-Q2-2025-1074-01</v>
      </c>
      <c r="E244" s="121" t="str">
        <f ca="1">IFERROR(__xludf.DUMMYFUNCTION("""COMPUTED_VALUE"""),"Bamyan")</f>
        <v>Bamyan</v>
      </c>
      <c r="F244" s="121" t="str">
        <f ca="1">IFERROR(__xludf.DUMMYFUNCTION("""COMPUTED_VALUE"""),"Bamyan")</f>
        <v>Bamyan</v>
      </c>
      <c r="G244" s="121" t="str">
        <f ca="1">IFERROR(__xludf.DUMMYFUNCTION("""COMPUTED_VALUE"""),"Orgash SC (4349)")</f>
        <v>Orgash SC (4349)</v>
      </c>
      <c r="H244" s="121">
        <f ca="1">IFERROR(__xludf.DUMMYFUNCTION("""COMPUTED_VALUE"""),8)</f>
        <v>8</v>
      </c>
      <c r="I244" s="122">
        <f ca="1">IFERROR(__xludf.DUMMYFUNCTION("""COMPUTED_VALUE"""),23)</f>
        <v>23</v>
      </c>
      <c r="J244" s="121" t="str">
        <f ca="1">IFERROR(__xludf.DUMMYFUNCTION("""COMPUTED_VALUE"""),"2025-11-03")</f>
        <v>2025-11-03</v>
      </c>
      <c r="K244" s="121" t="str">
        <f ca="1">IFERROR(__xludf.DUMMYFUNCTION("""COMPUTED_VALUE"""),"2025-11-03")</f>
        <v>2025-11-03</v>
      </c>
      <c r="L244" s="121" t="str">
        <f ca="1">IFERROR(__xludf.DUMMYFUNCTION("""COMPUTED_VALUE"""),"Exit Interview 2")</f>
        <v>Exit Interview 2</v>
      </c>
      <c r="M244" s="121" t="str">
        <f ca="1">IFERROR(__xludf.DUMMYFUNCTION("""COMPUTED_VALUE"""),"Vignette")</f>
        <v>Vignette</v>
      </c>
      <c r="N244" s="121" t="str">
        <f ca="1">IFERROR(__xludf.DUMMYFUNCTION("""COMPUTED_VALUE"""),"N/A")</f>
        <v>N/A</v>
      </c>
      <c r="O244" s="121"/>
      <c r="P244" s="121"/>
      <c r="Q244" s="121"/>
      <c r="R244" s="121"/>
      <c r="S244" s="121"/>
      <c r="T244" s="121"/>
      <c r="U244" s="121"/>
      <c r="V244" s="121"/>
      <c r="W244" s="121"/>
      <c r="X244" s="121"/>
      <c r="Y244" s="121"/>
      <c r="Z244" s="121"/>
      <c r="AA244" s="121"/>
      <c r="AB244" s="121"/>
    </row>
    <row r="245" spans="1:28">
      <c r="A245" s="121" t="str">
        <f ca="1">IFERROR(__xludf.DUMMYFUNCTION("""COMPUTED_VALUE"""),"uuid:62081537-e170-4d35-aab5-97b97670dad8")</f>
        <v>uuid:62081537-e170-4d35-aab5-97b97670dad8</v>
      </c>
      <c r="B245" s="121" t="str">
        <f ca="1">IFERROR(__xludf.DUMMYFUNCTION("""COMPUTED_VALUE"""),"FR2628")</f>
        <v>FR2628</v>
      </c>
      <c r="C245" s="121" t="str">
        <f ca="1">IFERROR(__xludf.DUMMYFUNCTION("""COMPUTED_VALUE"""),"Tahira Akbari")</f>
        <v>Tahira Akbari</v>
      </c>
      <c r="D245" s="121" t="str">
        <f ca="1">IFERROR(__xludf.DUMMYFUNCTION("""COMPUTED_VALUE"""),"HER-BAM-HF4349-Q2-2025-1074-01")</f>
        <v>HER-BAM-HF4349-Q2-2025-1074-01</v>
      </c>
      <c r="E245" s="121" t="str">
        <f ca="1">IFERROR(__xludf.DUMMYFUNCTION("""COMPUTED_VALUE"""),"Bamyan")</f>
        <v>Bamyan</v>
      </c>
      <c r="F245" s="121" t="str">
        <f ca="1">IFERROR(__xludf.DUMMYFUNCTION("""COMPUTED_VALUE"""),"Bamyan")</f>
        <v>Bamyan</v>
      </c>
      <c r="G245" s="121" t="str">
        <f ca="1">IFERROR(__xludf.DUMMYFUNCTION("""COMPUTED_VALUE"""),"Orgash SC (4349)")</f>
        <v>Orgash SC (4349)</v>
      </c>
      <c r="H245" s="121">
        <f ca="1">IFERROR(__xludf.DUMMYFUNCTION("""COMPUTED_VALUE"""),8)</f>
        <v>8</v>
      </c>
      <c r="I245" s="122">
        <f ca="1">IFERROR(__xludf.DUMMYFUNCTION("""COMPUTED_VALUE"""),17)</f>
        <v>17</v>
      </c>
      <c r="J245" s="121" t="str">
        <f ca="1">IFERROR(__xludf.DUMMYFUNCTION("""COMPUTED_VALUE"""),"2025-11-03")</f>
        <v>2025-11-03</v>
      </c>
      <c r="K245" s="121" t="str">
        <f ca="1">IFERROR(__xludf.DUMMYFUNCTION("""COMPUTED_VALUE"""),"2025-11-03")</f>
        <v>2025-11-03</v>
      </c>
      <c r="L245" s="121" t="str">
        <f ca="1">IFERROR(__xludf.DUMMYFUNCTION("""COMPUTED_VALUE"""),"Exit Interview 1")</f>
        <v>Exit Interview 1</v>
      </c>
      <c r="M245" s="121" t="str">
        <f ca="1">IFERROR(__xludf.DUMMYFUNCTION("""COMPUTED_VALUE"""),"Vignette")</f>
        <v>Vignette</v>
      </c>
      <c r="N245" s="121" t="str">
        <f ca="1">IFERROR(__xludf.DUMMYFUNCTION("""COMPUTED_VALUE"""),"N/A")</f>
        <v>N/A</v>
      </c>
      <c r="O245" s="121"/>
      <c r="P245" s="121"/>
      <c r="Q245" s="121"/>
      <c r="R245" s="121"/>
      <c r="S245" s="121"/>
      <c r="T245" s="121"/>
      <c r="U245" s="121"/>
      <c r="V245" s="121"/>
      <c r="W245" s="121"/>
      <c r="X245" s="121"/>
      <c r="Y245" s="121"/>
      <c r="Z245" s="121"/>
      <c r="AA245" s="121"/>
      <c r="AB245" s="121"/>
    </row>
    <row r="246" spans="1:28">
      <c r="A246" s="121" t="str">
        <f ca="1">IFERROR(__xludf.DUMMYFUNCTION("""COMPUTED_VALUE"""),"uuid:9947178a-ef51-4404-9eb2-a6ce476e248d")</f>
        <v>uuid:9947178a-ef51-4404-9eb2-a6ce476e248d</v>
      </c>
      <c r="B246" s="121" t="str">
        <f ca="1">IFERROR(__xludf.DUMMYFUNCTION("""COMPUTED_VALUE"""),"FR2222")</f>
        <v>FR2222</v>
      </c>
      <c r="C246" s="121" t="str">
        <f ca="1">IFERROR(__xludf.DUMMYFUNCTION("""COMPUTED_VALUE"""),"Test Name 1")</f>
        <v>Test Name 1</v>
      </c>
      <c r="D246" s="121" t="str">
        <f ca="1">IFERROR(__xludf.DUMMYFUNCTION("""COMPUTED_VALUE"""),"HER-BDG-HF1604-Q1-2023-597-01")</f>
        <v>HER-BDG-HF1604-Q1-2023-597-01</v>
      </c>
      <c r="E246" s="121" t="str">
        <f ca="1">IFERROR(__xludf.DUMMYFUNCTION("""COMPUTED_VALUE"""),"Badghis")</f>
        <v>Badghis</v>
      </c>
      <c r="F246" s="121" t="str">
        <f ca="1">IFERROR(__xludf.DUMMYFUNCTION("""COMPUTED_VALUE"""),"Ab Kamari")</f>
        <v>Ab Kamari</v>
      </c>
      <c r="G246" s="121" t="str">
        <f ca="1">IFERROR(__xludf.DUMMYFUNCTION("""COMPUTED_VALUE"""),"Chakab Clinic")</f>
        <v>Chakab Clinic</v>
      </c>
      <c r="H246" s="121">
        <f ca="1">IFERROR(__xludf.DUMMYFUNCTION("""COMPUTED_VALUE"""),4)</f>
        <v>4</v>
      </c>
      <c r="I246" s="122">
        <f ca="1">IFERROR(__xludf.DUMMYFUNCTION("""COMPUTED_VALUE"""),31)</f>
        <v>31</v>
      </c>
      <c r="J246" s="121" t="str">
        <f ca="1">IFERROR(__xludf.DUMMYFUNCTION("""COMPUTED_VALUE"""),"2025-11-03")</f>
        <v>2025-11-03</v>
      </c>
      <c r="K246" s="121" t="str">
        <f ca="1">IFERROR(__xludf.DUMMYFUNCTION("""COMPUTED_VALUE"""),"2025-10-24")</f>
        <v>2025-10-24</v>
      </c>
      <c r="L246" s="121" t="str">
        <f ca="1">IFERROR(__xludf.DUMMYFUNCTION("""COMPUTED_VALUE"""),"Vignette [9] Birth Spacing: Change FP method to Injectable")</f>
        <v>Vignette [9] Birth Spacing: Change FP method to Injectable</v>
      </c>
      <c r="M246" s="121" t="str">
        <f ca="1">IFERROR(__xludf.DUMMYFUNCTION("""COMPUTED_VALUE"""),"Vignette")</f>
        <v>Vignette</v>
      </c>
      <c r="N246" s="121" t="str">
        <f ca="1">IFERROR(__xludf.DUMMYFUNCTION("""COMPUTED_VALUE"""),"N/A")</f>
        <v>N/A</v>
      </c>
      <c r="O246" s="121"/>
      <c r="P246" s="121"/>
      <c r="Q246" s="121"/>
      <c r="R246" s="121"/>
      <c r="S246" s="121"/>
      <c r="T246" s="121"/>
      <c r="U246" s="121"/>
      <c r="V246" s="121"/>
      <c r="W246" s="121"/>
      <c r="X246" s="121"/>
      <c r="Y246" s="121"/>
      <c r="Z246" s="121"/>
      <c r="AA246" s="121"/>
      <c r="AB246" s="121" t="str">
        <f ca="1">IFERROR(__xludf.DUMMYFUNCTION("""COMPUTED_VALUE"""),"The user name should double check")</f>
        <v>The user name should double check</v>
      </c>
    </row>
    <row r="247" spans="1:28">
      <c r="A247" s="121" t="str">
        <f ca="1">IFERROR(__xludf.DUMMYFUNCTION("""COMPUTED_VALUE"""),"uuid:674a7d56-901f-4840-971e-80c7553ad56c")</f>
        <v>uuid:674a7d56-901f-4840-971e-80c7553ad56c</v>
      </c>
      <c r="B247" s="121" t="str">
        <f ca="1">IFERROR(__xludf.DUMMYFUNCTION("""COMPUTED_VALUE"""),"FR2761")</f>
        <v>FR2761</v>
      </c>
      <c r="C247" s="121" t="str">
        <f ca="1">IFERROR(__xludf.DUMMYFUNCTION("""COMPUTED_VALUE"""),"Rawzia Raihan")</f>
        <v>Rawzia Raihan</v>
      </c>
      <c r="D247" s="121" t="str">
        <f ca="1">IFERROR(__xludf.DUMMYFUNCTION("""COMPUTED_VALUE"""),"HER-PKA-HF1630-Q2-2025-1189-01")</f>
        <v>HER-PKA-HF1630-Q2-2025-1189-01</v>
      </c>
      <c r="E247" s="121" t="str">
        <f ca="1">IFERROR(__xludf.DUMMYFUNCTION("""COMPUTED_VALUE"""),"Paktika")</f>
        <v>Paktika</v>
      </c>
      <c r="F247" s="121" t="str">
        <f ca="1">IFERROR(__xludf.DUMMYFUNCTION("""COMPUTED_VALUE"""),"Zarghoon Shahr")</f>
        <v>Zarghoon Shahr</v>
      </c>
      <c r="G247" s="121" t="str">
        <f ca="1">IFERROR(__xludf.DUMMYFUNCTION("""COMPUTED_VALUE"""),"Bakkhel Clinic (1630)")</f>
        <v>Bakkhel Clinic (1630)</v>
      </c>
      <c r="H247" s="121">
        <f ca="1">IFERROR(__xludf.DUMMYFUNCTION("""COMPUTED_VALUE"""),8)</f>
        <v>8</v>
      </c>
      <c r="I247" s="122">
        <f ca="1">IFERROR(__xludf.DUMMYFUNCTION("""COMPUTED_VALUE"""),19)</f>
        <v>19</v>
      </c>
      <c r="J247" s="121" t="str">
        <f ca="1">IFERROR(__xludf.DUMMYFUNCTION("""COMPUTED_VALUE"""),"2025-11-03")</f>
        <v>2025-11-03</v>
      </c>
      <c r="K247" s="121" t="str">
        <f ca="1">IFERROR(__xludf.DUMMYFUNCTION("""COMPUTED_VALUE"""),"2025-11-01")</f>
        <v>2025-11-01</v>
      </c>
      <c r="L247" s="121" t="str">
        <f ca="1">IFERROR(__xludf.DUMMYFUNCTION("""COMPUTED_VALUE"""),"Vignette [5] Labor")</f>
        <v>Vignette [5] Labor</v>
      </c>
      <c r="M247" s="121" t="str">
        <f ca="1">IFERROR(__xludf.DUMMYFUNCTION("""COMPUTED_VALUE"""),"Vignette")</f>
        <v>Vignette</v>
      </c>
      <c r="N247" s="121" t="str">
        <f ca="1">IFERROR(__xludf.DUMMYFUNCTION("""COMPUTED_VALUE"""),"N/A")</f>
        <v>N/A</v>
      </c>
      <c r="O247" s="121"/>
      <c r="P247" s="121"/>
      <c r="Q247" s="121"/>
      <c r="R247" s="121"/>
      <c r="S247" s="121"/>
      <c r="T247" s="121"/>
      <c r="U247" s="121"/>
      <c r="V247" s="121"/>
      <c r="W247" s="121"/>
      <c r="X247" s="121"/>
      <c r="Y247" s="121"/>
      <c r="Z247" s="121"/>
      <c r="AA247" s="121"/>
      <c r="AB247" s="121"/>
    </row>
    <row r="248" spans="1:28">
      <c r="A248" s="121" t="str">
        <f ca="1">IFERROR(__xludf.DUMMYFUNCTION("""COMPUTED_VALUE"""),"uuid:88e9bfb2-0f60-4a27-8eec-d1ccc13c5d07")</f>
        <v>uuid:88e9bfb2-0f60-4a27-8eec-d1ccc13c5d07</v>
      </c>
      <c r="B248" s="121" t="str">
        <f ca="1">IFERROR(__xludf.DUMMYFUNCTION("""COMPUTED_VALUE"""),"FR2761")</f>
        <v>FR2761</v>
      </c>
      <c r="C248" s="121" t="str">
        <f ca="1">IFERROR(__xludf.DUMMYFUNCTION("""COMPUTED_VALUE"""),"Rawzia Raihan")</f>
        <v>Rawzia Raihan</v>
      </c>
      <c r="D248" s="121" t="str">
        <f ca="1">IFERROR(__xludf.DUMMYFUNCTION("""COMPUTED_VALUE"""),"HER-PKA-HF4343-Q2-2025-1188-01")</f>
        <v>HER-PKA-HF4343-Q2-2025-1188-01</v>
      </c>
      <c r="E248" s="121" t="str">
        <f ca="1">IFERROR(__xludf.DUMMYFUNCTION("""COMPUTED_VALUE"""),"Paktika")</f>
        <v>Paktika</v>
      </c>
      <c r="F248" s="121" t="str">
        <f ca="1">IFERROR(__xludf.DUMMYFUNCTION("""COMPUTED_VALUE"""),"Sar-e-Rawza")</f>
        <v>Sar-e-Rawza</v>
      </c>
      <c r="G248" s="121" t="str">
        <f ca="1">IFERROR(__xludf.DUMMYFUNCTION("""COMPUTED_VALUE"""),"Qazi Kala SC (4343)")</f>
        <v>Qazi Kala SC (4343)</v>
      </c>
      <c r="H248" s="121">
        <f ca="1">IFERROR(__xludf.DUMMYFUNCTION("""COMPUTED_VALUE"""),8)</f>
        <v>8</v>
      </c>
      <c r="I248" s="122">
        <f ca="1">IFERROR(__xludf.DUMMYFUNCTION("""COMPUTED_VALUE"""),10)</f>
        <v>10</v>
      </c>
      <c r="J248" s="121" t="str">
        <f ca="1">IFERROR(__xludf.DUMMYFUNCTION("""COMPUTED_VALUE"""),"2025-11-03")</f>
        <v>2025-11-03</v>
      </c>
      <c r="K248" s="121" t="str">
        <f ca="1">IFERROR(__xludf.DUMMYFUNCTION("""COMPUTED_VALUE"""),"2025-11-03")</f>
        <v>2025-11-03</v>
      </c>
      <c r="L248" s="121" t="str">
        <f ca="1">IFERROR(__xludf.DUMMYFUNCTION("""COMPUTED_VALUE"""),"Vignette [6] PNC pre Discharge")</f>
        <v>Vignette [6] PNC pre Discharge</v>
      </c>
      <c r="M248" s="121" t="str">
        <f ca="1">IFERROR(__xludf.DUMMYFUNCTION("""COMPUTED_VALUE"""),"Vignette")</f>
        <v>Vignette</v>
      </c>
      <c r="N248" s="121" t="str">
        <f ca="1">IFERROR(__xludf.DUMMYFUNCTION("""COMPUTED_VALUE"""),"N/A")</f>
        <v>N/A</v>
      </c>
      <c r="O248" s="121"/>
      <c r="P248" s="121"/>
      <c r="Q248" s="121"/>
      <c r="R248" s="121"/>
      <c r="S248" s="121"/>
      <c r="T248" s="121"/>
      <c r="U248" s="121"/>
      <c r="V248" s="121"/>
      <c r="W248" s="121"/>
      <c r="X248" s="121"/>
      <c r="Y248" s="121"/>
      <c r="Z248" s="121"/>
      <c r="AA248" s="121"/>
      <c r="AB248" s="121"/>
    </row>
    <row r="249" spans="1:28">
      <c r="A249" s="121" t="str">
        <f ca="1">IFERROR(__xludf.DUMMYFUNCTION("""COMPUTED_VALUE"""),"uuid:d4003342-8c8b-4259-9ad7-afd7dcdcc3dd")</f>
        <v>uuid:d4003342-8c8b-4259-9ad7-afd7dcdcc3dd</v>
      </c>
      <c r="B249" s="121" t="str">
        <f ca="1">IFERROR(__xludf.DUMMYFUNCTION("""COMPUTED_VALUE"""),"FR2761")</f>
        <v>FR2761</v>
      </c>
      <c r="C249" s="121" t="str">
        <f ca="1">IFERROR(__xludf.DUMMYFUNCTION("""COMPUTED_VALUE"""),"Rawzia Raihan")</f>
        <v>Rawzia Raihan</v>
      </c>
      <c r="D249" s="121" t="str">
        <f ca="1">IFERROR(__xludf.DUMMYFUNCTION("""COMPUTED_VALUE"""),"HER-PKA-HF4343-Q2-2025-1188-01")</f>
        <v>HER-PKA-HF4343-Q2-2025-1188-01</v>
      </c>
      <c r="E249" s="121" t="str">
        <f ca="1">IFERROR(__xludf.DUMMYFUNCTION("""COMPUTED_VALUE"""),"Paktika")</f>
        <v>Paktika</v>
      </c>
      <c r="F249" s="121" t="str">
        <f ca="1">IFERROR(__xludf.DUMMYFUNCTION("""COMPUTED_VALUE"""),"Sar-e-Rawza")</f>
        <v>Sar-e-Rawza</v>
      </c>
      <c r="G249" s="121" t="str">
        <f ca="1">IFERROR(__xludf.DUMMYFUNCTION("""COMPUTED_VALUE"""),"Qazi Kala SC (4343)")</f>
        <v>Qazi Kala SC (4343)</v>
      </c>
      <c r="H249" s="121">
        <f ca="1">IFERROR(__xludf.DUMMYFUNCTION("""COMPUTED_VALUE"""),8)</f>
        <v>8</v>
      </c>
      <c r="I249" s="122">
        <f ca="1">IFERROR(__xludf.DUMMYFUNCTION("""COMPUTED_VALUE"""),6)</f>
        <v>6</v>
      </c>
      <c r="J249" s="121" t="str">
        <f ca="1">IFERROR(__xludf.DUMMYFUNCTION("""COMPUTED_VALUE"""),"2025-11-03")</f>
        <v>2025-11-03</v>
      </c>
      <c r="K249" s="121" t="str">
        <f ca="1">IFERROR(__xludf.DUMMYFUNCTION("""COMPUTED_VALUE"""),"2025-11-03")</f>
        <v>2025-11-03</v>
      </c>
      <c r="L249" s="121" t="str">
        <f ca="1">IFERROR(__xludf.DUMMYFUNCTION("""COMPUTED_VALUE"""),"Exit Interview 2")</f>
        <v>Exit Interview 2</v>
      </c>
      <c r="M249" s="121" t="str">
        <f ca="1">IFERROR(__xludf.DUMMYFUNCTION("""COMPUTED_VALUE"""),"Vignette")</f>
        <v>Vignette</v>
      </c>
      <c r="N249" s="121" t="str">
        <f ca="1">IFERROR(__xludf.DUMMYFUNCTION("""COMPUTED_VALUE"""),"N/A")</f>
        <v>N/A</v>
      </c>
      <c r="O249" s="121"/>
      <c r="P249" s="121"/>
      <c r="Q249" s="121"/>
      <c r="R249" s="121"/>
      <c r="S249" s="121"/>
      <c r="T249" s="121"/>
      <c r="U249" s="121"/>
      <c r="V249" s="121"/>
      <c r="W249" s="121"/>
      <c r="X249" s="121"/>
      <c r="Y249" s="121"/>
      <c r="Z249" s="121"/>
      <c r="AA249" s="121"/>
      <c r="AB249" s="121"/>
    </row>
    <row r="250" spans="1:28">
      <c r="A250" s="121" t="str">
        <f ca="1">IFERROR(__xludf.DUMMYFUNCTION("""COMPUTED_VALUE"""),"uuid:8b19e3c0-b28d-4570-b49f-8b27999c3cc7")</f>
        <v>uuid:8b19e3c0-b28d-4570-b49f-8b27999c3cc7</v>
      </c>
      <c r="B250" s="121" t="str">
        <f ca="1">IFERROR(__xludf.DUMMYFUNCTION("""COMPUTED_VALUE"""),"FR3985")</f>
        <v>FR3985</v>
      </c>
      <c r="C250" s="121" t="str">
        <f ca="1">IFERROR(__xludf.DUMMYFUNCTION("""COMPUTED_VALUE"""),"Nasrullah Mobashir")</f>
        <v>Nasrullah Mobashir</v>
      </c>
      <c r="D250" s="121" t="str">
        <f ca="1">IFERROR(__xludf.DUMMYFUNCTION("""COMPUTED_VALUE"""),"HER-GHA-HF2476-Q2-2025-1034-01")</f>
        <v>HER-GHA-HF2476-Q2-2025-1034-01</v>
      </c>
      <c r="E250" s="121" t="str">
        <f ca="1">IFERROR(__xludf.DUMMYFUNCTION("""COMPUTED_VALUE"""),"Ghazni")</f>
        <v>Ghazni</v>
      </c>
      <c r="F250" s="121" t="str">
        <f ca="1">IFERROR(__xludf.DUMMYFUNCTION("""COMPUTED_VALUE"""),"Qara Bagh (Ghazni)")</f>
        <v>Qara Bagh (Ghazni)</v>
      </c>
      <c r="G250" s="121" t="str">
        <f ca="1">IFERROR(__xludf.DUMMYFUNCTION("""COMPUTED_VALUE"""),"Shaheed Abdul Hakim Maisam SC (2476)")</f>
        <v>Shaheed Abdul Hakim Maisam SC (2476)</v>
      </c>
      <c r="H250" s="121">
        <f ca="1">IFERROR(__xludf.DUMMYFUNCTION("""COMPUTED_VALUE"""),8)</f>
        <v>8</v>
      </c>
      <c r="I250" s="122">
        <f ca="1">IFERROR(__xludf.DUMMYFUNCTION("""COMPUTED_VALUE"""),14)</f>
        <v>14</v>
      </c>
      <c r="J250" s="121" t="str">
        <f ca="1">IFERROR(__xludf.DUMMYFUNCTION("""COMPUTED_VALUE"""),"2025-11-03")</f>
        <v>2025-11-03</v>
      </c>
      <c r="K250" s="121" t="str">
        <f ca="1">IFERROR(__xludf.DUMMYFUNCTION("""COMPUTED_VALUE"""),"2025-11-02")</f>
        <v>2025-11-02</v>
      </c>
      <c r="L250" s="121" t="str">
        <f ca="1">IFERROR(__xludf.DUMMYFUNCTION("""COMPUTED_VALUE"""),"Vignette [1] Respiratory Infection: Pneumonia")</f>
        <v>Vignette [1] Respiratory Infection: Pneumonia</v>
      </c>
      <c r="M250" s="121" t="str">
        <f ca="1">IFERROR(__xludf.DUMMYFUNCTION("""COMPUTED_VALUE"""),"Vignette")</f>
        <v>Vignette</v>
      </c>
      <c r="N250" s="121" t="str">
        <f ca="1">IFERROR(__xludf.DUMMYFUNCTION("""COMPUTED_VALUE"""),"N/A")</f>
        <v>N/A</v>
      </c>
      <c r="O250" s="121"/>
      <c r="P250" s="121"/>
      <c r="Q250" s="121"/>
      <c r="R250" s="121"/>
      <c r="S250" s="121"/>
      <c r="T250" s="121"/>
      <c r="U250" s="121"/>
      <c r="V250" s="121"/>
      <c r="W250" s="121"/>
      <c r="X250" s="121"/>
      <c r="Y250" s="121"/>
      <c r="Z250" s="121"/>
      <c r="AA250" s="121"/>
      <c r="AB250" s="121"/>
    </row>
    <row r="251" spans="1:28">
      <c r="A251" s="121" t="str">
        <f ca="1">IFERROR(__xludf.DUMMYFUNCTION("""COMPUTED_VALUE"""),"uuid:2ee86aab-e3ee-4ea6-baee-781532ac6bb3")</f>
        <v>uuid:2ee86aab-e3ee-4ea6-baee-781532ac6bb3</v>
      </c>
      <c r="B251" s="121" t="str">
        <f ca="1">IFERROR(__xludf.DUMMYFUNCTION("""COMPUTED_VALUE"""),"FR3985")</f>
        <v>FR3985</v>
      </c>
      <c r="C251" s="121" t="str">
        <f ca="1">IFERROR(__xludf.DUMMYFUNCTION("""COMPUTED_VALUE"""),"Nasrullah Mobashir")</f>
        <v>Nasrullah Mobashir</v>
      </c>
      <c r="D251" s="121" t="str">
        <f ca="1">IFERROR(__xludf.DUMMYFUNCTION("""COMPUTED_VALUE"""),"HER-GHA-HF2476-Q2-2025-1034-01")</f>
        <v>HER-GHA-HF2476-Q2-2025-1034-01</v>
      </c>
      <c r="E251" s="121" t="str">
        <f ca="1">IFERROR(__xludf.DUMMYFUNCTION("""COMPUTED_VALUE"""),"Ghazni")</f>
        <v>Ghazni</v>
      </c>
      <c r="F251" s="121" t="str">
        <f ca="1">IFERROR(__xludf.DUMMYFUNCTION("""COMPUTED_VALUE"""),"Qara Bagh (Ghazni)")</f>
        <v>Qara Bagh (Ghazni)</v>
      </c>
      <c r="G251" s="121" t="str">
        <f ca="1">IFERROR(__xludf.DUMMYFUNCTION("""COMPUTED_VALUE"""),"Shaheed Abdul Hakim Maisam SC (2476)")</f>
        <v>Shaheed Abdul Hakim Maisam SC (2476)</v>
      </c>
      <c r="H251" s="121">
        <f ca="1">IFERROR(__xludf.DUMMYFUNCTION("""COMPUTED_VALUE"""),8)</f>
        <v>8</v>
      </c>
      <c r="I251" s="122">
        <f ca="1">IFERROR(__xludf.DUMMYFUNCTION("""COMPUTED_VALUE"""),15)</f>
        <v>15</v>
      </c>
      <c r="J251" s="121" t="str">
        <f ca="1">IFERROR(__xludf.DUMMYFUNCTION("""COMPUTED_VALUE"""),"2025-11-03")</f>
        <v>2025-11-03</v>
      </c>
      <c r="K251" s="121" t="str">
        <f ca="1">IFERROR(__xludf.DUMMYFUNCTION("""COMPUTED_VALUE"""),"2025-11-02")</f>
        <v>2025-11-02</v>
      </c>
      <c r="L251" s="121" t="str">
        <f ca="1">IFERROR(__xludf.DUMMYFUNCTION("""COMPUTED_VALUE"""),"Vignette [2]: Diarrhea with Cat B dehydration")</f>
        <v>Vignette [2]: Diarrhea with Cat B dehydration</v>
      </c>
      <c r="M251" s="121" t="str">
        <f ca="1">IFERROR(__xludf.DUMMYFUNCTION("""COMPUTED_VALUE"""),"Vignette")</f>
        <v>Vignette</v>
      </c>
      <c r="N251" s="121" t="str">
        <f ca="1">IFERROR(__xludf.DUMMYFUNCTION("""COMPUTED_VALUE"""),"N/A")</f>
        <v>N/A</v>
      </c>
      <c r="O251" s="121"/>
      <c r="P251" s="121"/>
      <c r="Q251" s="121"/>
      <c r="R251" s="121"/>
      <c r="S251" s="121"/>
      <c r="T251" s="121"/>
      <c r="U251" s="121"/>
      <c r="V251" s="121"/>
      <c r="W251" s="121"/>
      <c r="X251" s="121"/>
      <c r="Y251" s="121"/>
      <c r="Z251" s="121"/>
      <c r="AA251" s="121"/>
      <c r="AB251" s="121"/>
    </row>
    <row r="252" spans="1:28">
      <c r="A252" s="121" t="str">
        <f ca="1">IFERROR(__xludf.DUMMYFUNCTION("""COMPUTED_VALUE"""),"uuid:b19dccd1-ec80-4365-8f78-5633824b34c2")</f>
        <v>uuid:b19dccd1-ec80-4365-8f78-5633824b34c2</v>
      </c>
      <c r="B252" s="121" t="str">
        <f ca="1">IFERROR(__xludf.DUMMYFUNCTION("""COMPUTED_VALUE"""),"FR3985")</f>
        <v>FR3985</v>
      </c>
      <c r="C252" s="121" t="str">
        <f ca="1">IFERROR(__xludf.DUMMYFUNCTION("""COMPUTED_VALUE"""),"Nasrullah Mobashir")</f>
        <v>Nasrullah Mobashir</v>
      </c>
      <c r="D252" s="121" t="str">
        <f ca="1">IFERROR(__xludf.DUMMYFUNCTION("""COMPUTED_VALUE"""),"HER-GHA-HF2476-Q2-2025-1034-01")</f>
        <v>HER-GHA-HF2476-Q2-2025-1034-01</v>
      </c>
      <c r="E252" s="121" t="str">
        <f ca="1">IFERROR(__xludf.DUMMYFUNCTION("""COMPUTED_VALUE"""),"Ghazni")</f>
        <v>Ghazni</v>
      </c>
      <c r="F252" s="121" t="str">
        <f ca="1">IFERROR(__xludf.DUMMYFUNCTION("""COMPUTED_VALUE"""),"Qara Bagh (Ghazni)")</f>
        <v>Qara Bagh (Ghazni)</v>
      </c>
      <c r="G252" s="121" t="str">
        <f ca="1">IFERROR(__xludf.DUMMYFUNCTION("""COMPUTED_VALUE"""),"Shaheed Abdul Hakim Maisam SC (2476)")</f>
        <v>Shaheed Abdul Hakim Maisam SC (2476)</v>
      </c>
      <c r="H252" s="121">
        <f ca="1">IFERROR(__xludf.DUMMYFUNCTION("""COMPUTED_VALUE"""),8)</f>
        <v>8</v>
      </c>
      <c r="I252" s="122">
        <f ca="1">IFERROR(__xludf.DUMMYFUNCTION("""COMPUTED_VALUE"""),10)</f>
        <v>10</v>
      </c>
      <c r="J252" s="121" t="str">
        <f ca="1">IFERROR(__xludf.DUMMYFUNCTION("""COMPUTED_VALUE"""),"2025-11-03")</f>
        <v>2025-11-03</v>
      </c>
      <c r="K252" s="121" t="str">
        <f ca="1">IFERROR(__xludf.DUMMYFUNCTION("""COMPUTED_VALUE"""),"2025-11-02")</f>
        <v>2025-11-02</v>
      </c>
      <c r="L252" s="121" t="str">
        <f ca="1">IFERROR(__xludf.DUMMYFUNCTION("""COMPUTED_VALUE"""),"Vignette [4]: The management of presumptive TB patient")</f>
        <v>Vignette [4]: The management of presumptive TB patient</v>
      </c>
      <c r="M252" s="121" t="str">
        <f ca="1">IFERROR(__xludf.DUMMYFUNCTION("""COMPUTED_VALUE"""),"Vignette")</f>
        <v>Vignette</v>
      </c>
      <c r="N252" s="121" t="str">
        <f ca="1">IFERROR(__xludf.DUMMYFUNCTION("""COMPUTED_VALUE"""),"N/A")</f>
        <v>N/A</v>
      </c>
      <c r="O252" s="121"/>
      <c r="P252" s="121"/>
      <c r="Q252" s="121"/>
      <c r="R252" s="121"/>
      <c r="S252" s="121"/>
      <c r="T252" s="121"/>
      <c r="U252" s="121"/>
      <c r="V252" s="121"/>
      <c r="W252" s="121"/>
      <c r="X252" s="121"/>
      <c r="Y252" s="121"/>
      <c r="Z252" s="121"/>
      <c r="AA252" s="121"/>
      <c r="AB252" s="121"/>
    </row>
    <row r="253" spans="1:28">
      <c r="A253" s="121" t="str">
        <f ca="1">IFERROR(__xludf.DUMMYFUNCTION("""COMPUTED_VALUE"""),"uuid:ac0c2a8c-bbe6-4b68-89c9-279951a80839")</f>
        <v>uuid:ac0c2a8c-bbe6-4b68-89c9-279951a80839</v>
      </c>
      <c r="B253" s="121" t="str">
        <f ca="1">IFERROR(__xludf.DUMMYFUNCTION("""COMPUTED_VALUE"""),"FR3985")</f>
        <v>FR3985</v>
      </c>
      <c r="C253" s="121" t="str">
        <f ca="1">IFERROR(__xludf.DUMMYFUNCTION("""COMPUTED_VALUE"""),"Nasrullah Mobashir")</f>
        <v>Nasrullah Mobashir</v>
      </c>
      <c r="D253" s="121" t="str">
        <f ca="1">IFERROR(__xludf.DUMMYFUNCTION("""COMPUTED_VALUE"""),"HER-GHA-HF2476-Q2-2025-1034-01")</f>
        <v>HER-GHA-HF2476-Q2-2025-1034-01</v>
      </c>
      <c r="E253" s="121" t="str">
        <f ca="1">IFERROR(__xludf.DUMMYFUNCTION("""COMPUTED_VALUE"""),"Ghazni")</f>
        <v>Ghazni</v>
      </c>
      <c r="F253" s="121" t="str">
        <f ca="1">IFERROR(__xludf.DUMMYFUNCTION("""COMPUTED_VALUE"""),"Qara Bagh (Ghazni)")</f>
        <v>Qara Bagh (Ghazni)</v>
      </c>
      <c r="G253" s="121" t="str">
        <f ca="1">IFERROR(__xludf.DUMMYFUNCTION("""COMPUTED_VALUE"""),"Shaheed Abdul Hakim Maisam SC (2476)")</f>
        <v>Shaheed Abdul Hakim Maisam SC (2476)</v>
      </c>
      <c r="H253" s="121">
        <f ca="1">IFERROR(__xludf.DUMMYFUNCTION("""COMPUTED_VALUE"""),8)</f>
        <v>8</v>
      </c>
      <c r="I253" s="122">
        <f ca="1">IFERROR(__xludf.DUMMYFUNCTION("""COMPUTED_VALUE"""),10)</f>
        <v>10</v>
      </c>
      <c r="J253" s="121" t="str">
        <f ca="1">IFERROR(__xludf.DUMMYFUNCTION("""COMPUTED_VALUE"""),"2025-11-03")</f>
        <v>2025-11-03</v>
      </c>
      <c r="K253" s="121" t="str">
        <f ca="1">IFERROR(__xludf.DUMMYFUNCTION("""COMPUTED_VALUE"""),"2025-11-03")</f>
        <v>2025-11-03</v>
      </c>
      <c r="L253" s="121" t="str">
        <f ca="1">IFERROR(__xludf.DUMMYFUNCTION("""COMPUTED_VALUE"""),"Exit Interview 1")</f>
        <v>Exit Interview 1</v>
      </c>
      <c r="M253" s="121" t="str">
        <f ca="1">IFERROR(__xludf.DUMMYFUNCTION("""COMPUTED_VALUE"""),"Vignette")</f>
        <v>Vignette</v>
      </c>
      <c r="N253" s="121" t="str">
        <f ca="1">IFERROR(__xludf.DUMMYFUNCTION("""COMPUTED_VALUE"""),"N/A")</f>
        <v>N/A</v>
      </c>
      <c r="O253" s="121"/>
      <c r="P253" s="121"/>
      <c r="Q253" s="121"/>
      <c r="R253" s="121"/>
      <c r="S253" s="121"/>
      <c r="T253" s="121"/>
      <c r="U253" s="121"/>
      <c r="V253" s="121"/>
      <c r="W253" s="121"/>
      <c r="X253" s="121"/>
      <c r="Y253" s="121"/>
      <c r="Z253" s="121"/>
      <c r="AA253" s="121"/>
      <c r="AB253" s="121"/>
    </row>
    <row r="254" spans="1:28">
      <c r="A254" s="121" t="str">
        <f ca="1">IFERROR(__xludf.DUMMYFUNCTION("""COMPUTED_VALUE"""),"uuid:e73e0810-e960-4f98-b522-a4614108ff7f")</f>
        <v>uuid:e73e0810-e960-4f98-b522-a4614108ff7f</v>
      </c>
      <c r="B254" s="121" t="str">
        <f ca="1">IFERROR(__xludf.DUMMYFUNCTION("""COMPUTED_VALUE"""),"FR3691")</f>
        <v>FR3691</v>
      </c>
      <c r="C254" s="121" t="str">
        <f ca="1">IFERROR(__xludf.DUMMYFUNCTION("""COMPUTED_VALUE"""),"Adil Ahsas")</f>
        <v>Adil Ahsas</v>
      </c>
      <c r="D254" s="121" t="str">
        <f ca="1">IFERROR(__xludf.DUMMYFUNCTION("""COMPUTED_VALUE"""),"HER-PKA-HF4343-Q2-2025-1188-01")</f>
        <v>HER-PKA-HF4343-Q2-2025-1188-01</v>
      </c>
      <c r="E254" s="121" t="str">
        <f ca="1">IFERROR(__xludf.DUMMYFUNCTION("""COMPUTED_VALUE"""),"Paktika")</f>
        <v>Paktika</v>
      </c>
      <c r="F254" s="121" t="str">
        <f ca="1">IFERROR(__xludf.DUMMYFUNCTION("""COMPUTED_VALUE"""),"Sar-e-Rawza")</f>
        <v>Sar-e-Rawza</v>
      </c>
      <c r="G254" s="121" t="str">
        <f ca="1">IFERROR(__xludf.DUMMYFUNCTION("""COMPUTED_VALUE"""),"Qazi Kala SC (4343)")</f>
        <v>Qazi Kala SC (4343)</v>
      </c>
      <c r="H254" s="121">
        <f ca="1">IFERROR(__xludf.DUMMYFUNCTION("""COMPUTED_VALUE"""),8)</f>
        <v>8</v>
      </c>
      <c r="I254" s="122">
        <f ca="1">IFERROR(__xludf.DUMMYFUNCTION("""COMPUTED_VALUE"""),6)</f>
        <v>6</v>
      </c>
      <c r="J254" s="121" t="str">
        <f ca="1">IFERROR(__xludf.DUMMYFUNCTION("""COMPUTED_VALUE"""),"2025-11-03")</f>
        <v>2025-11-03</v>
      </c>
      <c r="K254" s="121" t="str">
        <f ca="1">IFERROR(__xludf.DUMMYFUNCTION("""COMPUTED_VALUE"""),"2025-11-03")</f>
        <v>2025-11-03</v>
      </c>
      <c r="L254" s="121" t="str">
        <f ca="1">IFERROR(__xludf.DUMMYFUNCTION("""COMPUTED_VALUE"""),"Vignette [4]: The management of presumptive TB patient")</f>
        <v>Vignette [4]: The management of presumptive TB patient</v>
      </c>
      <c r="M254" s="121" t="str">
        <f ca="1">IFERROR(__xludf.DUMMYFUNCTION("""COMPUTED_VALUE"""),"Vignette")</f>
        <v>Vignette</v>
      </c>
      <c r="N254" s="121" t="str">
        <f ca="1">IFERROR(__xludf.DUMMYFUNCTION("""COMPUTED_VALUE"""),"N/A")</f>
        <v>N/A</v>
      </c>
      <c r="O254" s="121"/>
      <c r="P254" s="121"/>
      <c r="Q254" s="121"/>
      <c r="R254" s="121"/>
      <c r="S254" s="121"/>
      <c r="T254" s="121"/>
      <c r="U254" s="121"/>
      <c r="V254" s="121"/>
      <c r="W254" s="121"/>
      <c r="X254" s="121"/>
      <c r="Y254" s="121"/>
      <c r="Z254" s="121"/>
      <c r="AA254" s="121"/>
      <c r="AB254" s="121"/>
    </row>
    <row r="255" spans="1:28">
      <c r="A255" s="121" t="str">
        <f ca="1">IFERROR(__xludf.DUMMYFUNCTION("""COMPUTED_VALUE"""),"uuid:749f6d91-41d6-49b0-8d54-e8c142b9dd9b")</f>
        <v>uuid:749f6d91-41d6-49b0-8d54-e8c142b9dd9b</v>
      </c>
      <c r="B255" s="121" t="str">
        <f ca="1">IFERROR(__xludf.DUMMYFUNCTION("""COMPUTED_VALUE"""),"FR3691")</f>
        <v>FR3691</v>
      </c>
      <c r="C255" s="121" t="str">
        <f ca="1">IFERROR(__xludf.DUMMYFUNCTION("""COMPUTED_VALUE"""),"Adil Ahsas")</f>
        <v>Adil Ahsas</v>
      </c>
      <c r="D255" s="121" t="str">
        <f ca="1">IFERROR(__xludf.DUMMYFUNCTION("""COMPUTED_VALUE"""),"HER-PKA-HF4343-Q2-2025-1188-01")</f>
        <v>HER-PKA-HF4343-Q2-2025-1188-01</v>
      </c>
      <c r="E255" s="121" t="str">
        <f ca="1">IFERROR(__xludf.DUMMYFUNCTION("""COMPUTED_VALUE"""),"Paktika")</f>
        <v>Paktika</v>
      </c>
      <c r="F255" s="121" t="str">
        <f ca="1">IFERROR(__xludf.DUMMYFUNCTION("""COMPUTED_VALUE"""),"Sar-e-Rawza")</f>
        <v>Sar-e-Rawza</v>
      </c>
      <c r="G255" s="121" t="str">
        <f ca="1">IFERROR(__xludf.DUMMYFUNCTION("""COMPUTED_VALUE"""),"Qazi Kala SC (4343)")</f>
        <v>Qazi Kala SC (4343)</v>
      </c>
      <c r="H255" s="121">
        <f ca="1">IFERROR(__xludf.DUMMYFUNCTION("""COMPUTED_VALUE"""),8)</f>
        <v>8</v>
      </c>
      <c r="I255" s="122">
        <f ca="1">IFERROR(__xludf.DUMMYFUNCTION("""COMPUTED_VALUE"""),9)</f>
        <v>9</v>
      </c>
      <c r="J255" s="121" t="str">
        <f ca="1">IFERROR(__xludf.DUMMYFUNCTION("""COMPUTED_VALUE"""),"2025-11-03")</f>
        <v>2025-11-03</v>
      </c>
      <c r="K255" s="121" t="str">
        <f ca="1">IFERROR(__xludf.DUMMYFUNCTION("""COMPUTED_VALUE"""),"2025-11-03")</f>
        <v>2025-11-03</v>
      </c>
      <c r="L255" s="121" t="str">
        <f ca="1">IFERROR(__xludf.DUMMYFUNCTION("""COMPUTED_VALUE"""),"Vignette [2]: Diarrhea with Cat B dehydration")</f>
        <v>Vignette [2]: Diarrhea with Cat B dehydration</v>
      </c>
      <c r="M255" s="121" t="str">
        <f ca="1">IFERROR(__xludf.DUMMYFUNCTION("""COMPUTED_VALUE"""),"Vignette")</f>
        <v>Vignette</v>
      </c>
      <c r="N255" s="121" t="str">
        <f ca="1">IFERROR(__xludf.DUMMYFUNCTION("""COMPUTED_VALUE"""),"N/A")</f>
        <v>N/A</v>
      </c>
      <c r="O255" s="121"/>
      <c r="P255" s="121"/>
      <c r="Q255" s="121"/>
      <c r="R255" s="121"/>
      <c r="S255" s="121"/>
      <c r="T255" s="121"/>
      <c r="U255" s="121"/>
      <c r="V255" s="121"/>
      <c r="W255" s="121"/>
      <c r="X255" s="121"/>
      <c r="Y255" s="121"/>
      <c r="Z255" s="121"/>
      <c r="AA255" s="121"/>
      <c r="AB255" s="121"/>
    </row>
    <row r="256" spans="1:28">
      <c r="A256" s="121" t="str">
        <f ca="1">IFERROR(__xludf.DUMMYFUNCTION("""COMPUTED_VALUE"""),"uuid:bf44d9e7-35c3-411c-9889-05c847310095")</f>
        <v>uuid:bf44d9e7-35c3-411c-9889-05c847310095</v>
      </c>
      <c r="B256" s="121" t="str">
        <f ca="1">IFERROR(__xludf.DUMMYFUNCTION("""COMPUTED_VALUE"""),"FR3691")</f>
        <v>FR3691</v>
      </c>
      <c r="C256" s="121" t="str">
        <f ca="1">IFERROR(__xludf.DUMMYFUNCTION("""COMPUTED_VALUE"""),"Adil Ahsas")</f>
        <v>Adil Ahsas</v>
      </c>
      <c r="D256" s="121" t="str">
        <f ca="1">IFERROR(__xludf.DUMMYFUNCTION("""COMPUTED_VALUE"""),"HER-PKA-HF4343-Q2-2025-1188-01")</f>
        <v>HER-PKA-HF4343-Q2-2025-1188-01</v>
      </c>
      <c r="E256" s="121" t="str">
        <f ca="1">IFERROR(__xludf.DUMMYFUNCTION("""COMPUTED_VALUE"""),"Paktika")</f>
        <v>Paktika</v>
      </c>
      <c r="F256" s="121" t="str">
        <f ca="1">IFERROR(__xludf.DUMMYFUNCTION("""COMPUTED_VALUE"""),"Sar-e-Rawza")</f>
        <v>Sar-e-Rawza</v>
      </c>
      <c r="G256" s="121" t="str">
        <f ca="1">IFERROR(__xludf.DUMMYFUNCTION("""COMPUTED_VALUE"""),"Qazi Kala SC (4343)")</f>
        <v>Qazi Kala SC (4343)</v>
      </c>
      <c r="H256" s="121">
        <f ca="1">IFERROR(__xludf.DUMMYFUNCTION("""COMPUTED_VALUE"""),8)</f>
        <v>8</v>
      </c>
      <c r="I256" s="122">
        <f ca="1">IFERROR(__xludf.DUMMYFUNCTION("""COMPUTED_VALUE"""),9)</f>
        <v>9</v>
      </c>
      <c r="J256" s="121" t="str">
        <f ca="1">IFERROR(__xludf.DUMMYFUNCTION("""COMPUTED_VALUE"""),"2025-11-03")</f>
        <v>2025-11-03</v>
      </c>
      <c r="K256" s="121" t="str">
        <f ca="1">IFERROR(__xludf.DUMMYFUNCTION("""COMPUTED_VALUE"""),"2025-11-03")</f>
        <v>2025-11-03</v>
      </c>
      <c r="L256" s="121" t="str">
        <f ca="1">IFERROR(__xludf.DUMMYFUNCTION("""COMPUTED_VALUE"""),"Vignette [1] Respiratory Infection: Pneumonia")</f>
        <v>Vignette [1] Respiratory Infection: Pneumonia</v>
      </c>
      <c r="M256" s="121" t="str">
        <f ca="1">IFERROR(__xludf.DUMMYFUNCTION("""COMPUTED_VALUE"""),"Vignette")</f>
        <v>Vignette</v>
      </c>
      <c r="N256" s="121" t="str">
        <f ca="1">IFERROR(__xludf.DUMMYFUNCTION("""COMPUTED_VALUE"""),"N/A")</f>
        <v>N/A</v>
      </c>
      <c r="O256" s="121"/>
      <c r="P256" s="121"/>
      <c r="Q256" s="121"/>
      <c r="R256" s="121"/>
      <c r="S256" s="121"/>
      <c r="T256" s="121"/>
      <c r="U256" s="121"/>
      <c r="V256" s="121"/>
      <c r="W256" s="121"/>
      <c r="X256" s="121"/>
      <c r="Y256" s="121"/>
      <c r="Z256" s="121"/>
      <c r="AA256" s="121"/>
      <c r="AB256" s="121"/>
    </row>
    <row r="257" spans="1:28">
      <c r="A257" s="121" t="str">
        <f ca="1">IFERROR(__xludf.DUMMYFUNCTION("""COMPUTED_VALUE"""),"uuid:d94da639-039b-4c9d-a4f6-66ce62be1109")</f>
        <v>uuid:d94da639-039b-4c9d-a4f6-66ce62be1109</v>
      </c>
      <c r="B257" s="121" t="str">
        <f ca="1">IFERROR(__xludf.DUMMYFUNCTION("""COMPUTED_VALUE"""),"FR3691")</f>
        <v>FR3691</v>
      </c>
      <c r="C257" s="121" t="str">
        <f ca="1">IFERROR(__xludf.DUMMYFUNCTION("""COMPUTED_VALUE"""),"Adil Ahsas")</f>
        <v>Adil Ahsas</v>
      </c>
      <c r="D257" s="121" t="str">
        <f ca="1">IFERROR(__xludf.DUMMYFUNCTION("""COMPUTED_VALUE"""),"HER-PKA-HF4343-Q2-2025-1188-01")</f>
        <v>HER-PKA-HF4343-Q2-2025-1188-01</v>
      </c>
      <c r="E257" s="121" t="str">
        <f ca="1">IFERROR(__xludf.DUMMYFUNCTION("""COMPUTED_VALUE"""),"Paktika")</f>
        <v>Paktika</v>
      </c>
      <c r="F257" s="121" t="str">
        <f ca="1">IFERROR(__xludf.DUMMYFUNCTION("""COMPUTED_VALUE"""),"Sar-e-Rawza")</f>
        <v>Sar-e-Rawza</v>
      </c>
      <c r="G257" s="121" t="str">
        <f ca="1">IFERROR(__xludf.DUMMYFUNCTION("""COMPUTED_VALUE"""),"Qazi Kala SC (4343)")</f>
        <v>Qazi Kala SC (4343)</v>
      </c>
      <c r="H257" s="121">
        <f ca="1">IFERROR(__xludf.DUMMYFUNCTION("""COMPUTED_VALUE"""),8)</f>
        <v>8</v>
      </c>
      <c r="I257" s="122">
        <f ca="1">IFERROR(__xludf.DUMMYFUNCTION("""COMPUTED_VALUE"""),7)</f>
        <v>7</v>
      </c>
      <c r="J257" s="121" t="str">
        <f ca="1">IFERROR(__xludf.DUMMYFUNCTION("""COMPUTED_VALUE"""),"2025-11-03")</f>
        <v>2025-11-03</v>
      </c>
      <c r="K257" s="121" t="str">
        <f ca="1">IFERROR(__xludf.DUMMYFUNCTION("""COMPUTED_VALUE"""),"2025-11-03")</f>
        <v>2025-11-03</v>
      </c>
      <c r="L257" s="121" t="str">
        <f ca="1">IFERROR(__xludf.DUMMYFUNCTION("""COMPUTED_VALUE"""),"Exit Interview 1")</f>
        <v>Exit Interview 1</v>
      </c>
      <c r="M257" s="121" t="str">
        <f ca="1">IFERROR(__xludf.DUMMYFUNCTION("""COMPUTED_VALUE"""),"Vignette")</f>
        <v>Vignette</v>
      </c>
      <c r="N257" s="121" t="str">
        <f ca="1">IFERROR(__xludf.DUMMYFUNCTION("""COMPUTED_VALUE"""),"N/A")</f>
        <v>N/A</v>
      </c>
      <c r="O257" s="121"/>
      <c r="P257" s="121"/>
      <c r="Q257" s="121"/>
      <c r="R257" s="121"/>
      <c r="S257" s="121"/>
      <c r="T257" s="121"/>
      <c r="U257" s="121"/>
      <c r="V257" s="121"/>
      <c r="W257" s="121"/>
      <c r="X257" s="121"/>
      <c r="Y257" s="121"/>
      <c r="Z257" s="121"/>
      <c r="AA257" s="121"/>
      <c r="AB257" s="121"/>
    </row>
    <row r="258" spans="1:28">
      <c r="A258" s="121" t="str">
        <f ca="1">IFERROR(__xludf.DUMMYFUNCTION("""COMPUTED_VALUE"""),"uuid:342b6299-d881-4540-9469-3b2bcc27e992")</f>
        <v>uuid:342b6299-d881-4540-9469-3b2bcc27e992</v>
      </c>
      <c r="B258" s="121" t="str">
        <f ca="1">IFERROR(__xludf.DUMMYFUNCTION("""COMPUTED_VALUE"""),"FR4696")</f>
        <v>FR4696</v>
      </c>
      <c r="C258" s="121" t="str">
        <f ca="1">IFERROR(__xludf.DUMMYFUNCTION("""COMPUTED_VALUE"""),"Mursal Tarakhil")</f>
        <v>Mursal Tarakhil</v>
      </c>
      <c r="D258" s="121" t="str">
        <f ca="1">IFERROR(__xludf.DUMMYFUNCTION("""COMPUTED_VALUE"""),"HER-LGM-HF3819-Q2-2025-1153-01")</f>
        <v>HER-LGM-HF3819-Q2-2025-1153-01</v>
      </c>
      <c r="E258" s="121" t="str">
        <f ca="1">IFERROR(__xludf.DUMMYFUNCTION("""COMPUTED_VALUE"""),"Laghman")</f>
        <v>Laghman</v>
      </c>
      <c r="F258" s="121" t="str">
        <f ca="1">IFERROR(__xludf.DUMMYFUNCTION("""COMPUTED_VALUE"""),"Dawlat Shah")</f>
        <v>Dawlat Shah</v>
      </c>
      <c r="G258" s="121" t="str">
        <f ca="1">IFERROR(__xludf.DUMMYFUNCTION("""COMPUTED_VALUE"""),"Karik SC (3819)")</f>
        <v>Karik SC (3819)</v>
      </c>
      <c r="H258" s="121">
        <f ca="1">IFERROR(__xludf.DUMMYFUNCTION("""COMPUTED_VALUE"""),8)</f>
        <v>8</v>
      </c>
      <c r="I258" s="122">
        <f ca="1">IFERROR(__xludf.DUMMYFUNCTION("""COMPUTED_VALUE"""),8)</f>
        <v>8</v>
      </c>
      <c r="J258" s="121" t="str">
        <f ca="1">IFERROR(__xludf.DUMMYFUNCTION("""COMPUTED_VALUE"""),"2025-11-03")</f>
        <v>2025-11-03</v>
      </c>
      <c r="K258" s="121" t="str">
        <f ca="1">IFERROR(__xludf.DUMMYFUNCTION("""COMPUTED_VALUE"""),"2025-11-02")</f>
        <v>2025-11-02</v>
      </c>
      <c r="L258" s="121" t="str">
        <f ca="1">IFERROR(__xludf.DUMMYFUNCTION("""COMPUTED_VALUE"""),"Vignette [3] Growth Monitoring and Promotion")</f>
        <v>Vignette [3] Growth Monitoring and Promotion</v>
      </c>
      <c r="M258" s="121" t="str">
        <f ca="1">IFERROR(__xludf.DUMMYFUNCTION("""COMPUTED_VALUE"""),"Vignette")</f>
        <v>Vignette</v>
      </c>
      <c r="N258" s="121" t="str">
        <f ca="1">IFERROR(__xludf.DUMMYFUNCTION("""COMPUTED_VALUE"""),"N/A")</f>
        <v>N/A</v>
      </c>
      <c r="O258" s="121"/>
      <c r="P258" s="121"/>
      <c r="Q258" s="121"/>
      <c r="R258" s="121"/>
      <c r="S258" s="121"/>
      <c r="T258" s="121"/>
      <c r="U258" s="121"/>
      <c r="V258" s="121"/>
      <c r="W258" s="121"/>
      <c r="X258" s="121"/>
      <c r="Y258" s="121"/>
      <c r="Z258" s="121"/>
      <c r="AA258" s="121"/>
      <c r="AB258" s="121"/>
    </row>
    <row r="259" spans="1:28">
      <c r="A259" s="121" t="str">
        <f ca="1">IFERROR(__xludf.DUMMYFUNCTION("""COMPUTED_VALUE"""),"uuid:83b80bfe-751e-44ba-8d69-d06da602e628")</f>
        <v>uuid:83b80bfe-751e-44ba-8d69-d06da602e628</v>
      </c>
      <c r="B259" s="121" t="str">
        <f ca="1">IFERROR(__xludf.DUMMYFUNCTION("""COMPUTED_VALUE"""),"FR4696")</f>
        <v>FR4696</v>
      </c>
      <c r="C259" s="121" t="str">
        <f ca="1">IFERROR(__xludf.DUMMYFUNCTION("""COMPUTED_VALUE"""),"Mursal Tarakhil")</f>
        <v>Mursal Tarakhil</v>
      </c>
      <c r="D259" s="121" t="str">
        <f ca="1">IFERROR(__xludf.DUMMYFUNCTION("""COMPUTED_VALUE"""),"HER-LGM-HF3819-Q2-2025-1153-01")</f>
        <v>HER-LGM-HF3819-Q2-2025-1153-01</v>
      </c>
      <c r="E259" s="121" t="str">
        <f ca="1">IFERROR(__xludf.DUMMYFUNCTION("""COMPUTED_VALUE"""),"Laghman")</f>
        <v>Laghman</v>
      </c>
      <c r="F259" s="121" t="str">
        <f ca="1">IFERROR(__xludf.DUMMYFUNCTION("""COMPUTED_VALUE"""),"Dawlat Shah")</f>
        <v>Dawlat Shah</v>
      </c>
      <c r="G259" s="121" t="str">
        <f ca="1">IFERROR(__xludf.DUMMYFUNCTION("""COMPUTED_VALUE"""),"Karik SC (3819)")</f>
        <v>Karik SC (3819)</v>
      </c>
      <c r="H259" s="121">
        <f ca="1">IFERROR(__xludf.DUMMYFUNCTION("""COMPUTED_VALUE"""),8)</f>
        <v>8</v>
      </c>
      <c r="I259" s="122">
        <f ca="1">IFERROR(__xludf.DUMMYFUNCTION("""COMPUTED_VALUE"""),10)</f>
        <v>10</v>
      </c>
      <c r="J259" s="121" t="str">
        <f ca="1">IFERROR(__xludf.DUMMYFUNCTION("""COMPUTED_VALUE"""),"2025-11-03")</f>
        <v>2025-11-03</v>
      </c>
      <c r="K259" s="121" t="str">
        <f ca="1">IFERROR(__xludf.DUMMYFUNCTION("""COMPUTED_VALUE"""),"2025-11-02")</f>
        <v>2025-11-02</v>
      </c>
      <c r="L259" s="121" t="str">
        <f ca="1">IFERROR(__xludf.DUMMYFUNCTION("""COMPUTED_VALUE"""),"Vignette [9] Birth Spacing: Change FP method to Injectable")</f>
        <v>Vignette [9] Birth Spacing: Change FP method to Injectable</v>
      </c>
      <c r="M259" s="121" t="str">
        <f ca="1">IFERROR(__xludf.DUMMYFUNCTION("""COMPUTED_VALUE"""),"Vignette")</f>
        <v>Vignette</v>
      </c>
      <c r="N259" s="121" t="str">
        <f ca="1">IFERROR(__xludf.DUMMYFUNCTION("""COMPUTED_VALUE"""),"N/A")</f>
        <v>N/A</v>
      </c>
      <c r="O259" s="121"/>
      <c r="P259" s="121"/>
      <c r="Q259" s="121"/>
      <c r="R259" s="121"/>
      <c r="S259" s="121"/>
      <c r="T259" s="121"/>
      <c r="U259" s="121"/>
      <c r="V259" s="121"/>
      <c r="W259" s="121"/>
      <c r="X259" s="121"/>
      <c r="Y259" s="121"/>
      <c r="Z259" s="121"/>
      <c r="AA259" s="121"/>
      <c r="AB259" s="121"/>
    </row>
    <row r="260" spans="1:28">
      <c r="A260" s="121" t="str">
        <f ca="1">IFERROR(__xludf.DUMMYFUNCTION("""COMPUTED_VALUE"""),"uuid:63e210fc-6a8a-4688-8392-744eae2f83d7")</f>
        <v>uuid:63e210fc-6a8a-4688-8392-744eae2f83d7</v>
      </c>
      <c r="B260" s="121" t="str">
        <f ca="1">IFERROR(__xludf.DUMMYFUNCTION("""COMPUTED_VALUE"""),"FR4696")</f>
        <v>FR4696</v>
      </c>
      <c r="C260" s="121" t="str">
        <f ca="1">IFERROR(__xludf.DUMMYFUNCTION("""COMPUTED_VALUE"""),"Mursal Tarakhil")</f>
        <v>Mursal Tarakhil</v>
      </c>
      <c r="D260" s="121" t="str">
        <f ca="1">IFERROR(__xludf.DUMMYFUNCTION("""COMPUTED_VALUE"""),"HER-LGM-HF3819-Q2-2025-1153-01")</f>
        <v>HER-LGM-HF3819-Q2-2025-1153-01</v>
      </c>
      <c r="E260" s="121" t="str">
        <f ca="1">IFERROR(__xludf.DUMMYFUNCTION("""COMPUTED_VALUE"""),"Laghman")</f>
        <v>Laghman</v>
      </c>
      <c r="F260" s="121" t="str">
        <f ca="1">IFERROR(__xludf.DUMMYFUNCTION("""COMPUTED_VALUE"""),"Dawlat Shah")</f>
        <v>Dawlat Shah</v>
      </c>
      <c r="G260" s="121" t="str">
        <f ca="1">IFERROR(__xludf.DUMMYFUNCTION("""COMPUTED_VALUE"""),"Karik SC (3819)")</f>
        <v>Karik SC (3819)</v>
      </c>
      <c r="H260" s="121">
        <f ca="1">IFERROR(__xludf.DUMMYFUNCTION("""COMPUTED_VALUE"""),8)</f>
        <v>8</v>
      </c>
      <c r="I260" s="122">
        <f ca="1">IFERROR(__xludf.DUMMYFUNCTION("""COMPUTED_VALUE"""),17)</f>
        <v>17</v>
      </c>
      <c r="J260" s="121" t="str">
        <f ca="1">IFERROR(__xludf.DUMMYFUNCTION("""COMPUTED_VALUE"""),"2025-11-03")</f>
        <v>2025-11-03</v>
      </c>
      <c r="K260" s="121" t="str">
        <f ca="1">IFERROR(__xludf.DUMMYFUNCTION("""COMPUTED_VALUE"""),"2025-11-02")</f>
        <v>2025-11-02</v>
      </c>
      <c r="L260" s="121" t="str">
        <f ca="1">IFERROR(__xludf.DUMMYFUNCTION("""COMPUTED_VALUE"""),"Vignette [6] PNC pre Discharge")</f>
        <v>Vignette [6] PNC pre Discharge</v>
      </c>
      <c r="M260" s="121" t="str">
        <f ca="1">IFERROR(__xludf.DUMMYFUNCTION("""COMPUTED_VALUE"""),"Vignette")</f>
        <v>Vignette</v>
      </c>
      <c r="N260" s="121" t="str">
        <f ca="1">IFERROR(__xludf.DUMMYFUNCTION("""COMPUTED_VALUE"""),"N/A")</f>
        <v>N/A</v>
      </c>
      <c r="O260" s="121"/>
      <c r="P260" s="121"/>
      <c r="Q260" s="121"/>
      <c r="R260" s="121"/>
      <c r="S260" s="121"/>
      <c r="T260" s="121"/>
      <c r="U260" s="121"/>
      <c r="V260" s="121"/>
      <c r="W260" s="121"/>
      <c r="X260" s="121"/>
      <c r="Y260" s="121"/>
      <c r="Z260" s="121"/>
      <c r="AA260" s="121"/>
      <c r="AB260" s="121"/>
    </row>
    <row r="261" spans="1:28">
      <c r="A261" s="121" t="str">
        <f ca="1">IFERROR(__xludf.DUMMYFUNCTION("""COMPUTED_VALUE"""),"uuid:14c15cc2-9ef5-4d3e-b954-90f3f17223c5")</f>
        <v>uuid:14c15cc2-9ef5-4d3e-b954-90f3f17223c5</v>
      </c>
      <c r="B261" s="121" t="str">
        <f ca="1">IFERROR(__xludf.DUMMYFUNCTION("""COMPUTED_VALUE"""),"FR3863")</f>
        <v>FR3863</v>
      </c>
      <c r="C261" s="121" t="str">
        <f ca="1">IFERROR(__xludf.DUMMYFUNCTION("""COMPUTED_VALUE"""),"Setara Azim")</f>
        <v>Setara Azim</v>
      </c>
      <c r="D261" s="121" t="str">
        <f ca="1">IFERROR(__xludf.DUMMYFUNCTION("""COMPUTED_VALUE"""),"HER-GHA-HF2476-Q2-2025-1034-01")</f>
        <v>HER-GHA-HF2476-Q2-2025-1034-01</v>
      </c>
      <c r="E261" s="121" t="str">
        <f ca="1">IFERROR(__xludf.DUMMYFUNCTION("""COMPUTED_VALUE"""),"Ghazni")</f>
        <v>Ghazni</v>
      </c>
      <c r="F261" s="121" t="str">
        <f ca="1">IFERROR(__xludf.DUMMYFUNCTION("""COMPUTED_VALUE"""),"Qara Bagh (Ghazni)")</f>
        <v>Qara Bagh (Ghazni)</v>
      </c>
      <c r="G261" s="121" t="str">
        <f ca="1">IFERROR(__xludf.DUMMYFUNCTION("""COMPUTED_VALUE"""),"Shaheed Abdul Hakim Maisam SC (2476)")</f>
        <v>Shaheed Abdul Hakim Maisam SC (2476)</v>
      </c>
      <c r="H261" s="121">
        <f ca="1">IFERROR(__xludf.DUMMYFUNCTION("""COMPUTED_VALUE"""),8)</f>
        <v>8</v>
      </c>
      <c r="I261" s="122">
        <f ca="1">IFERROR(__xludf.DUMMYFUNCTION("""COMPUTED_VALUE"""),8)</f>
        <v>8</v>
      </c>
      <c r="J261" s="121" t="str">
        <f ca="1">IFERROR(__xludf.DUMMYFUNCTION("""COMPUTED_VALUE"""),"2025-11-03")</f>
        <v>2025-11-03</v>
      </c>
      <c r="K261" s="121" t="str">
        <f ca="1">IFERROR(__xludf.DUMMYFUNCTION("""COMPUTED_VALUE"""),"2025-11-03")</f>
        <v>2025-11-03</v>
      </c>
      <c r="L261" s="121" t="str">
        <f ca="1">IFERROR(__xludf.DUMMYFUNCTION("""COMPUTED_VALUE"""),"Vignette [5] Labor")</f>
        <v>Vignette [5] Labor</v>
      </c>
      <c r="M261" s="121" t="str">
        <f ca="1">IFERROR(__xludf.DUMMYFUNCTION("""COMPUTED_VALUE"""),"Vignette")</f>
        <v>Vignette</v>
      </c>
      <c r="N261" s="121" t="str">
        <f ca="1">IFERROR(__xludf.DUMMYFUNCTION("""COMPUTED_VALUE"""),"N/A")</f>
        <v>N/A</v>
      </c>
      <c r="O261" s="121"/>
      <c r="P261" s="121"/>
      <c r="Q261" s="121"/>
      <c r="R261" s="121"/>
      <c r="S261" s="121"/>
      <c r="T261" s="121"/>
      <c r="U261" s="121"/>
      <c r="V261" s="121"/>
      <c r="W261" s="121"/>
      <c r="X261" s="121"/>
      <c r="Y261" s="121"/>
      <c r="Z261" s="121"/>
      <c r="AA261" s="121"/>
      <c r="AB261" s="121"/>
    </row>
    <row r="262" spans="1:28">
      <c r="A262" s="121" t="str">
        <f ca="1">IFERROR(__xludf.DUMMYFUNCTION("""COMPUTED_VALUE"""),"uuid:ef00b41c-949f-4df1-8870-3e27942777fc")</f>
        <v>uuid:ef00b41c-949f-4df1-8870-3e27942777fc</v>
      </c>
      <c r="B262" s="121" t="str">
        <f ca="1">IFERROR(__xludf.DUMMYFUNCTION("""COMPUTED_VALUE"""),"FR3863")</f>
        <v>FR3863</v>
      </c>
      <c r="C262" s="121" t="str">
        <f ca="1">IFERROR(__xludf.DUMMYFUNCTION("""COMPUTED_VALUE"""),"Setara Azim")</f>
        <v>Setara Azim</v>
      </c>
      <c r="D262" s="121" t="str">
        <f ca="1">IFERROR(__xludf.DUMMYFUNCTION("""COMPUTED_VALUE"""),"HER-GHA-HF2476-Q2-2025-1034-01")</f>
        <v>HER-GHA-HF2476-Q2-2025-1034-01</v>
      </c>
      <c r="E262" s="121" t="str">
        <f ca="1">IFERROR(__xludf.DUMMYFUNCTION("""COMPUTED_VALUE"""),"Ghazni")</f>
        <v>Ghazni</v>
      </c>
      <c r="F262" s="121" t="str">
        <f ca="1">IFERROR(__xludf.DUMMYFUNCTION("""COMPUTED_VALUE"""),"Qara Bagh (Ghazni)")</f>
        <v>Qara Bagh (Ghazni)</v>
      </c>
      <c r="G262" s="121" t="str">
        <f ca="1">IFERROR(__xludf.DUMMYFUNCTION("""COMPUTED_VALUE"""),"Shaheed Abdul Hakim Maisam SC (2476)")</f>
        <v>Shaheed Abdul Hakim Maisam SC (2476)</v>
      </c>
      <c r="H262" s="121">
        <f ca="1">IFERROR(__xludf.DUMMYFUNCTION("""COMPUTED_VALUE"""),8)</f>
        <v>8</v>
      </c>
      <c r="I262" s="122">
        <f ca="1">IFERROR(__xludf.DUMMYFUNCTION("""COMPUTED_VALUE"""),9)</f>
        <v>9</v>
      </c>
      <c r="J262" s="121" t="str">
        <f ca="1">IFERROR(__xludf.DUMMYFUNCTION("""COMPUTED_VALUE"""),"2025-11-03")</f>
        <v>2025-11-03</v>
      </c>
      <c r="K262" s="121" t="str">
        <f ca="1">IFERROR(__xludf.DUMMYFUNCTION("""COMPUTED_VALUE"""),"2025-11-03")</f>
        <v>2025-11-03</v>
      </c>
      <c r="L262" s="121" t="str">
        <f ca="1">IFERROR(__xludf.DUMMYFUNCTION("""COMPUTED_VALUE"""),"Vignette [7] First ANC Visit")</f>
        <v>Vignette [7] First ANC Visit</v>
      </c>
      <c r="M262" s="121" t="str">
        <f ca="1">IFERROR(__xludf.DUMMYFUNCTION("""COMPUTED_VALUE"""),"Vignette")</f>
        <v>Vignette</v>
      </c>
      <c r="N262" s="121" t="str">
        <f ca="1">IFERROR(__xludf.DUMMYFUNCTION("""COMPUTED_VALUE"""),"N/A")</f>
        <v>N/A</v>
      </c>
      <c r="O262" s="121"/>
      <c r="P262" s="121"/>
      <c r="Q262" s="121"/>
      <c r="R262" s="121"/>
      <c r="S262" s="121"/>
      <c r="T262" s="121"/>
      <c r="U262" s="121"/>
      <c r="V262" s="121"/>
      <c r="W262" s="121"/>
      <c r="X262" s="121"/>
      <c r="Y262" s="121"/>
      <c r="Z262" s="121"/>
      <c r="AA262" s="121"/>
      <c r="AB262" s="121"/>
    </row>
    <row r="263" spans="1:28">
      <c r="A263" s="121" t="str">
        <f ca="1">IFERROR(__xludf.DUMMYFUNCTION("""COMPUTED_VALUE"""),"uuid:d5c55408-1edb-41ad-a09b-5ccd849c07cd")</f>
        <v>uuid:d5c55408-1edb-41ad-a09b-5ccd849c07cd</v>
      </c>
      <c r="B263" s="121" t="str">
        <f ca="1">IFERROR(__xludf.DUMMYFUNCTION("""COMPUTED_VALUE"""),"FR3863")</f>
        <v>FR3863</v>
      </c>
      <c r="C263" s="121" t="str">
        <f ca="1">IFERROR(__xludf.DUMMYFUNCTION("""COMPUTED_VALUE"""),"Setara Azim")</f>
        <v>Setara Azim</v>
      </c>
      <c r="D263" s="121" t="str">
        <f ca="1">IFERROR(__xludf.DUMMYFUNCTION("""COMPUTED_VALUE"""),"HER-GHA-HF2476-Q2-2025-1034-01")</f>
        <v>HER-GHA-HF2476-Q2-2025-1034-01</v>
      </c>
      <c r="E263" s="121" t="str">
        <f ca="1">IFERROR(__xludf.DUMMYFUNCTION("""COMPUTED_VALUE"""),"Ghazni")</f>
        <v>Ghazni</v>
      </c>
      <c r="F263" s="121" t="str">
        <f ca="1">IFERROR(__xludf.DUMMYFUNCTION("""COMPUTED_VALUE"""),"Qara Bagh (Ghazni)")</f>
        <v>Qara Bagh (Ghazni)</v>
      </c>
      <c r="G263" s="121" t="str">
        <f ca="1">IFERROR(__xludf.DUMMYFUNCTION("""COMPUTED_VALUE"""),"Shaheed Abdul Hakim Maisam SC (2476)")</f>
        <v>Shaheed Abdul Hakim Maisam SC (2476)</v>
      </c>
      <c r="H263" s="121">
        <f ca="1">IFERROR(__xludf.DUMMYFUNCTION("""COMPUTED_VALUE"""),8)</f>
        <v>8</v>
      </c>
      <c r="I263" s="122">
        <f ca="1">IFERROR(__xludf.DUMMYFUNCTION("""COMPUTED_VALUE"""),8)</f>
        <v>8</v>
      </c>
      <c r="J263" s="121" t="str">
        <f ca="1">IFERROR(__xludf.DUMMYFUNCTION("""COMPUTED_VALUE"""),"2025-11-03")</f>
        <v>2025-11-03</v>
      </c>
      <c r="K263" s="121" t="str">
        <f ca="1">IFERROR(__xludf.DUMMYFUNCTION("""COMPUTED_VALUE"""),"2025-11-03")</f>
        <v>2025-11-03</v>
      </c>
      <c r="L263" s="121" t="str">
        <f ca="1">IFERROR(__xludf.DUMMYFUNCTION("""COMPUTED_VALUE"""),"Exit Interview 1")</f>
        <v>Exit Interview 1</v>
      </c>
      <c r="M263" s="121" t="str">
        <f ca="1">IFERROR(__xludf.DUMMYFUNCTION("""COMPUTED_VALUE"""),"Vignette")</f>
        <v>Vignette</v>
      </c>
      <c r="N263" s="121" t="str">
        <f ca="1">IFERROR(__xludf.DUMMYFUNCTION("""COMPUTED_VALUE"""),"N/A")</f>
        <v>N/A</v>
      </c>
      <c r="O263" s="121"/>
      <c r="P263" s="121"/>
      <c r="Q263" s="121"/>
      <c r="R263" s="121"/>
      <c r="S263" s="121"/>
      <c r="T263" s="121"/>
      <c r="U263" s="121"/>
      <c r="V263" s="121"/>
      <c r="W263" s="121"/>
      <c r="X263" s="121"/>
      <c r="Y263" s="121"/>
      <c r="Z263" s="121"/>
      <c r="AA263" s="121"/>
      <c r="AB263" s="121"/>
    </row>
    <row r="264" spans="1:28">
      <c r="A264" s="121" t="str">
        <f ca="1">IFERROR(__xludf.DUMMYFUNCTION("""COMPUTED_VALUE"""),"uuid:c21f38d3-4f1b-4125-9a5d-f11040b496a8")</f>
        <v>uuid:c21f38d3-4f1b-4125-9a5d-f11040b496a8</v>
      </c>
      <c r="B264" s="121" t="str">
        <f ca="1">IFERROR(__xludf.DUMMYFUNCTION("""COMPUTED_VALUE"""),"FR3863")</f>
        <v>FR3863</v>
      </c>
      <c r="C264" s="121" t="str">
        <f ca="1">IFERROR(__xludf.DUMMYFUNCTION("""COMPUTED_VALUE"""),"Setara Azim")</f>
        <v>Setara Azim</v>
      </c>
      <c r="D264" s="121" t="str">
        <f ca="1">IFERROR(__xludf.DUMMYFUNCTION("""COMPUTED_VALUE"""),"HER-GHA-HF2476-Q2-2025-1034-01")</f>
        <v>HER-GHA-HF2476-Q2-2025-1034-01</v>
      </c>
      <c r="E264" s="121" t="str">
        <f ca="1">IFERROR(__xludf.DUMMYFUNCTION("""COMPUTED_VALUE"""),"Ghazni")</f>
        <v>Ghazni</v>
      </c>
      <c r="F264" s="121" t="str">
        <f ca="1">IFERROR(__xludf.DUMMYFUNCTION("""COMPUTED_VALUE"""),"Qara Bagh (Ghazni)")</f>
        <v>Qara Bagh (Ghazni)</v>
      </c>
      <c r="G264" s="121" t="str">
        <f ca="1">IFERROR(__xludf.DUMMYFUNCTION("""COMPUTED_VALUE"""),"Shaheed Abdul Hakim Maisam SC (2476)")</f>
        <v>Shaheed Abdul Hakim Maisam SC (2476)</v>
      </c>
      <c r="H264" s="121">
        <f ca="1">IFERROR(__xludf.DUMMYFUNCTION("""COMPUTED_VALUE"""),8)</f>
        <v>8</v>
      </c>
      <c r="I264" s="122">
        <f ca="1">IFERROR(__xludf.DUMMYFUNCTION("""COMPUTED_VALUE"""),12)</f>
        <v>12</v>
      </c>
      <c r="J264" s="121" t="str">
        <f ca="1">IFERROR(__xludf.DUMMYFUNCTION("""COMPUTED_VALUE"""),"2025-11-03")</f>
        <v>2025-11-03</v>
      </c>
      <c r="K264" s="121" t="str">
        <f ca="1">IFERROR(__xludf.DUMMYFUNCTION("""COMPUTED_VALUE"""),"2025-11-03")</f>
        <v>2025-11-03</v>
      </c>
      <c r="L264" s="121" t="str">
        <f ca="1">IFERROR(__xludf.DUMMYFUNCTION("""COMPUTED_VALUE"""),"Exit Interview 2")</f>
        <v>Exit Interview 2</v>
      </c>
      <c r="M264" s="121" t="str">
        <f ca="1">IFERROR(__xludf.DUMMYFUNCTION("""COMPUTED_VALUE"""),"Vignette")</f>
        <v>Vignette</v>
      </c>
      <c r="N264" s="121" t="str">
        <f ca="1">IFERROR(__xludf.DUMMYFUNCTION("""COMPUTED_VALUE"""),"N/A")</f>
        <v>N/A</v>
      </c>
      <c r="O264" s="121"/>
      <c r="P264" s="121"/>
      <c r="Q264" s="121"/>
      <c r="R264" s="121"/>
      <c r="S264" s="121"/>
      <c r="T264" s="121"/>
      <c r="U264" s="121"/>
      <c r="V264" s="121"/>
      <c r="W264" s="121"/>
      <c r="X264" s="121"/>
      <c r="Y264" s="121"/>
      <c r="Z264" s="121"/>
      <c r="AA264" s="121"/>
      <c r="AB264" s="121"/>
    </row>
    <row r="265" spans="1:28">
      <c r="A265" s="121" t="str">
        <f ca="1">IFERROR(__xludf.DUMMYFUNCTION("""COMPUTED_VALUE"""),"uuid:4fac991c-5e1d-4448-9a20-c58b4f3ca736")</f>
        <v>uuid:4fac991c-5e1d-4448-9a20-c58b4f3ca736</v>
      </c>
      <c r="B265" s="121" t="str">
        <f ca="1">IFERROR(__xludf.DUMMYFUNCTION("""COMPUTED_VALUE"""),"FR3863")</f>
        <v>FR3863</v>
      </c>
      <c r="C265" s="121" t="str">
        <f ca="1">IFERROR(__xludf.DUMMYFUNCTION("""COMPUTED_VALUE"""),"Noorzia Khuram")</f>
        <v>Noorzia Khuram</v>
      </c>
      <c r="D265" s="121" t="str">
        <f ca="1">IFERROR(__xludf.DUMMYFUNCTION("""COMPUTED_VALUE"""),"HER-SAM-HF3792-Q2-2025-1227-01")</f>
        <v>HER-SAM-HF3792-Q2-2025-1227-01</v>
      </c>
      <c r="E265" s="121" t="str">
        <f ca="1">IFERROR(__xludf.DUMMYFUNCTION("""COMPUTED_VALUE"""),"Samangan")</f>
        <v>Samangan</v>
      </c>
      <c r="F265" s="121" t="str">
        <f ca="1">IFERROR(__xludf.DUMMYFUNCTION("""COMPUTED_VALUE"""),"Aybak")</f>
        <v>Aybak</v>
      </c>
      <c r="G265" s="121" t="str">
        <f ca="1">IFERROR(__xludf.DUMMYFUNCTION("""COMPUTED_VALUE"""),"Rabatak SC (3792)")</f>
        <v>Rabatak SC (3792)</v>
      </c>
      <c r="H265" s="121" t="str">
        <f ca="1">IFERROR(__xludf.DUMMYFUNCTION("""COMPUTED_VALUE"""),"SHC")</f>
        <v>SHC</v>
      </c>
      <c r="I265" s="122">
        <f ca="1">IFERROR(__xludf.DUMMYFUNCTION("""COMPUTED_VALUE"""),115)</f>
        <v>115</v>
      </c>
      <c r="J265" s="121" t="str">
        <f ca="1">IFERROR(__xludf.DUMMYFUNCTION("""COMPUTED_VALUE"""),"2025-11-03")</f>
        <v>2025-11-03</v>
      </c>
      <c r="K265" s="121" t="str">
        <f ca="1">IFERROR(__xludf.DUMMYFUNCTION("""COMPUTED_VALUE"""),"2025-11-01")</f>
        <v>2025-11-01</v>
      </c>
      <c r="L265" s="121" t="str">
        <f ca="1">IFERROR(__xludf.DUMMYFUNCTION("""COMPUTED_VALUE"""),"Consumable (section 3)")</f>
        <v>Consumable (section 3)</v>
      </c>
      <c r="M265" s="121" t="str">
        <f ca="1">IFERROR(__xludf.DUMMYFUNCTION("""COMPUTED_VALUE"""),"Data Verification")</f>
        <v>Data Verification</v>
      </c>
      <c r="N265" s="121" t="str">
        <f ca="1">IFERROR(__xludf.DUMMYFUNCTION("""COMPUTED_VALUE"""),"Dari")</f>
        <v>Dari</v>
      </c>
      <c r="O265" s="121"/>
      <c r="P265" s="121"/>
      <c r="Q265" s="121"/>
      <c r="R265" s="121"/>
      <c r="S265" s="121"/>
      <c r="T265" s="121"/>
      <c r="U265" s="121"/>
      <c r="V265" s="121"/>
      <c r="W265" s="121"/>
      <c r="X265" s="121" t="str">
        <f ca="1">IFERROR(__xludf.DUMMYFUNCTION("""COMPUTED_VALUE"""),"Dr Sadat")</f>
        <v>Dr Sadat</v>
      </c>
      <c r="Y265" s="124">
        <f ca="1">IFERROR(__xludf.DUMMYFUNCTION("""COMPUTED_VALUE"""),45965)</f>
        <v>45965</v>
      </c>
      <c r="Z265" s="121" t="str">
        <f ca="1">IFERROR(__xludf.DUMMYFUNCTION("""COMPUTED_VALUE"""),"Approved")</f>
        <v>Approved</v>
      </c>
      <c r="AA265" s="121"/>
      <c r="AB265" s="121" t="str">
        <f ca="1">IFERROR(__xludf.DUMMYFUNCTION("""COMPUTED_VALUE"""),"She should select delivery kit not set, please editi it")</f>
        <v>She should select delivery kit not set, please editi it</v>
      </c>
    </row>
    <row r="266" spans="1:28">
      <c r="A266" s="121" t="str">
        <f ca="1">IFERROR(__xludf.DUMMYFUNCTION("""COMPUTED_VALUE"""),"uuid:725ca651-d8b2-4461-9b9d-ef0fc1b6c9a0")</f>
        <v>uuid:725ca651-d8b2-4461-9b9d-ef0fc1b6c9a0</v>
      </c>
      <c r="B266" s="121" t="str">
        <f ca="1">IFERROR(__xludf.DUMMYFUNCTION("""COMPUTED_VALUE"""),"FR2222")</f>
        <v>FR2222</v>
      </c>
      <c r="C266" s="121" t="str">
        <f ca="1">IFERROR(__xludf.DUMMYFUNCTION("""COMPUTED_VALUE"""),"Test Name 1")</f>
        <v>Test Name 1</v>
      </c>
      <c r="D266" s="121" t="str">
        <f ca="1">IFERROR(__xludf.DUMMYFUNCTION("""COMPUTED_VALUE"""),"HER-PAN-HF4656-Q2-2025-1202-01")</f>
        <v>HER-PAN-HF4656-Q2-2025-1202-01</v>
      </c>
      <c r="E266" s="121" t="str">
        <f ca="1">IFERROR(__xludf.DUMMYFUNCTION("""COMPUTED_VALUE"""),"Panjsher")</f>
        <v>Panjsher</v>
      </c>
      <c r="F266" s="121" t="str">
        <f ca="1">IFERROR(__xludf.DUMMYFUNCTION("""COMPUTED_VALUE"""),"His-e-Awal (Khenj)")</f>
        <v>His-e-Awal (Khenj)</v>
      </c>
      <c r="G266" s="121" t="str">
        <f ca="1">IFERROR(__xludf.DUMMYFUNCTION("""COMPUTED_VALUE"""),"Jarwesh SHC (4656)")</f>
        <v>Jarwesh SHC (4656)</v>
      </c>
      <c r="H266" s="121" t="str">
        <f ca="1">IFERROR(__xludf.DUMMYFUNCTION("""COMPUTED_VALUE"""),"SHC")</f>
        <v>SHC</v>
      </c>
      <c r="I266" s="122">
        <f ca="1">IFERROR(__xludf.DUMMYFUNCTION("""COMPUTED_VALUE"""),254)</f>
        <v>254</v>
      </c>
      <c r="J266" s="121" t="str">
        <f ca="1">IFERROR(__xludf.DUMMYFUNCTION("""COMPUTED_VALUE"""),"2025-11-03")</f>
        <v>2025-11-03</v>
      </c>
      <c r="K266" s="121" t="str">
        <f ca="1">IFERROR(__xludf.DUMMYFUNCTION("""COMPUTED_VALUE"""),"2025-11-02")</f>
        <v>2025-11-02</v>
      </c>
      <c r="L266" s="121" t="str">
        <f ca="1">IFERROR(__xludf.DUMMYFUNCTION("""COMPUTED_VALUE"""),"Medicine (section 2)")</f>
        <v>Medicine (section 2)</v>
      </c>
      <c r="M266" s="121" t="str">
        <f ca="1">IFERROR(__xludf.DUMMYFUNCTION("""COMPUTED_VALUE"""),"Data Verification")</f>
        <v>Data Verification</v>
      </c>
      <c r="N266" s="121" t="str">
        <f ca="1">IFERROR(__xludf.DUMMYFUNCTION("""COMPUTED_VALUE"""),"Dari")</f>
        <v>Dari</v>
      </c>
      <c r="O266" s="121"/>
      <c r="P266" s="121"/>
      <c r="Q266" s="121"/>
      <c r="R266" s="121"/>
      <c r="S266" s="121"/>
      <c r="T266" s="121"/>
      <c r="U266" s="121"/>
      <c r="V266" s="121"/>
      <c r="W266" s="121"/>
      <c r="X266" s="121" t="str">
        <f ca="1">IFERROR(__xludf.DUMMYFUNCTION("""COMPUTED_VALUE"""),"Dr Sadat")</f>
        <v>Dr Sadat</v>
      </c>
      <c r="Y266" s="124">
        <f ca="1">IFERROR(__xludf.DUMMYFUNCTION("""COMPUTED_VALUE"""),45965)</f>
        <v>45965</v>
      </c>
      <c r="Z266" s="121" t="str">
        <f ca="1">IFERROR(__xludf.DUMMYFUNCTION("""COMPUTED_VALUE"""),"Rejected")</f>
        <v>Rejected</v>
      </c>
      <c r="AA266" s="121" t="str">
        <f ca="1">IFERROR(__xludf.DUMMYFUNCTION("""COMPUTED_VALUE"""),"Fake/Test data")</f>
        <v>Fake/Test data</v>
      </c>
      <c r="AB266" s="121" t="str">
        <f ca="1">IFERROR(__xludf.DUMMYFUNCTION("""COMPUTED_VALUE"""),"The user name should double check")</f>
        <v>The user name should double check</v>
      </c>
    </row>
    <row r="267" spans="1:28">
      <c r="A267" s="121" t="str">
        <f ca="1">IFERROR(__xludf.DUMMYFUNCTION("""COMPUTED_VALUE"""),"uuid:5109c26c-85d9-4f30-85f7-612d616541cd")</f>
        <v>uuid:5109c26c-85d9-4f30-85f7-612d616541cd</v>
      </c>
      <c r="B267" s="121" t="str">
        <f ca="1">IFERROR(__xludf.DUMMYFUNCTION("""COMPUTED_VALUE"""),"FR3914")</f>
        <v>FR3914</v>
      </c>
      <c r="C267" s="121" t="str">
        <f ca="1">IFERROR(__xludf.DUMMYFUNCTION("""COMPUTED_VALUE"""),"Shekiba Qaderi")</f>
        <v>Shekiba Qaderi</v>
      </c>
      <c r="D267" s="121" t="str">
        <f ca="1">IFERROR(__xludf.DUMMYFUNCTION("""COMPUTED_VALUE"""),"HER-TAK-HF2870-Q2-2025-1246-01")</f>
        <v>HER-TAK-HF2870-Q2-2025-1246-01</v>
      </c>
      <c r="E267" s="121" t="str">
        <f ca="1">IFERROR(__xludf.DUMMYFUNCTION("""COMPUTED_VALUE"""),"Takhar")</f>
        <v>Takhar</v>
      </c>
      <c r="F267" s="121" t="str">
        <f ca="1">IFERROR(__xludf.DUMMYFUNCTION("""COMPUTED_VALUE"""),"Taloqan")</f>
        <v>Taloqan</v>
      </c>
      <c r="G267" s="121" t="str">
        <f ca="1">IFERROR(__xludf.DUMMYFUNCTION("""COMPUTED_VALUE"""),"Shorab SHC (2870)")</f>
        <v>Shorab SHC (2870)</v>
      </c>
      <c r="H267" s="121" t="str">
        <f ca="1">IFERROR(__xludf.DUMMYFUNCTION("""COMPUTED_VALUE"""),"SHC")</f>
        <v>SHC</v>
      </c>
      <c r="I267" s="122">
        <f ca="1">IFERROR(__xludf.DUMMYFUNCTION("""COMPUTED_VALUE"""),165)</f>
        <v>165</v>
      </c>
      <c r="J267" s="121" t="str">
        <f ca="1">IFERROR(__xludf.DUMMYFUNCTION("""COMPUTED_VALUE"""),"2025-11-03")</f>
        <v>2025-11-03</v>
      </c>
      <c r="K267" s="121" t="str">
        <f ca="1">IFERROR(__xludf.DUMMYFUNCTION("""COMPUTED_VALUE"""),"2025-11-03")</f>
        <v>2025-11-03</v>
      </c>
      <c r="L267" s="121" t="str">
        <f ca="1">IFERROR(__xludf.DUMMYFUNCTION("""COMPUTED_VALUE"""),"Consumable (section 3)")</f>
        <v>Consumable (section 3)</v>
      </c>
      <c r="M267" s="121" t="str">
        <f ca="1">IFERROR(__xludf.DUMMYFUNCTION("""COMPUTED_VALUE"""),"Data Verification")</f>
        <v>Data Verification</v>
      </c>
      <c r="N267" s="121" t="str">
        <f ca="1">IFERROR(__xludf.DUMMYFUNCTION("""COMPUTED_VALUE"""),"Dari")</f>
        <v>Dari</v>
      </c>
      <c r="O267" s="121"/>
      <c r="P267" s="121"/>
      <c r="Q267" s="121"/>
      <c r="R267" s="121"/>
      <c r="S267" s="121"/>
      <c r="T267" s="121"/>
      <c r="U267" s="121"/>
      <c r="V267" s="121"/>
      <c r="W267" s="121"/>
      <c r="X267" s="121" t="str">
        <f ca="1">IFERROR(__xludf.DUMMYFUNCTION("""COMPUTED_VALUE"""),"Dr Sadat")</f>
        <v>Dr Sadat</v>
      </c>
      <c r="Y267" s="124">
        <f ca="1">IFERROR(__xludf.DUMMYFUNCTION("""COMPUTED_VALUE"""),45965)</f>
        <v>45965</v>
      </c>
      <c r="Z267" s="121"/>
      <c r="AA267" s="121"/>
      <c r="AB267" s="121"/>
    </row>
    <row r="268" spans="1:28">
      <c r="A268" s="121" t="str">
        <f ca="1">IFERROR(__xludf.DUMMYFUNCTION("""COMPUTED_VALUE"""),"uuid:ebe83a85-dc4f-4b44-8180-381447b1bdc2")</f>
        <v>uuid:ebe83a85-dc4f-4b44-8180-381447b1bdc2</v>
      </c>
      <c r="B268" s="121" t="str">
        <f ca="1">IFERROR(__xludf.DUMMYFUNCTION("""COMPUTED_VALUE"""),"FR2761")</f>
        <v>FR2761</v>
      </c>
      <c r="C268" s="121" t="str">
        <f ca="1">IFERROR(__xludf.DUMMYFUNCTION("""COMPUTED_VALUE"""),"Rawzia Raihan")</f>
        <v>Rawzia Raihan</v>
      </c>
      <c r="D268" s="121" t="str">
        <f ca="1">IFERROR(__xludf.DUMMYFUNCTION("""COMPUTED_VALUE"""),"HER-PKA-HF4343-Q2-2025-1188-01")</f>
        <v>HER-PKA-HF4343-Q2-2025-1188-01</v>
      </c>
      <c r="E268" s="121" t="str">
        <f ca="1">IFERROR(__xludf.DUMMYFUNCTION("""COMPUTED_VALUE"""),"Paktika")</f>
        <v>Paktika</v>
      </c>
      <c r="F268" s="121" t="str">
        <f ca="1">IFERROR(__xludf.DUMMYFUNCTION("""COMPUTED_VALUE"""),"Sar-e-Rawza")</f>
        <v>Sar-e-Rawza</v>
      </c>
      <c r="G268" s="121" t="str">
        <f ca="1">IFERROR(__xludf.DUMMYFUNCTION("""COMPUTED_VALUE"""),"Qazi Kala SC (4343)")</f>
        <v>Qazi Kala SC (4343)</v>
      </c>
      <c r="H268" s="121" t="str">
        <f ca="1">IFERROR(__xludf.DUMMYFUNCTION("""COMPUTED_VALUE"""),"SHC")</f>
        <v>SHC</v>
      </c>
      <c r="I268" s="122">
        <f ca="1">IFERROR(__xludf.DUMMYFUNCTION("""COMPUTED_VALUE"""),96)</f>
        <v>96</v>
      </c>
      <c r="J268" s="121" t="str">
        <f ca="1">IFERROR(__xludf.DUMMYFUNCTION("""COMPUTED_VALUE"""),"2025-11-04")</f>
        <v>2025-11-04</v>
      </c>
      <c r="K268" s="121" t="str">
        <f ca="1">IFERROR(__xludf.DUMMYFUNCTION("""COMPUTED_VALUE"""),"2025-11-03")</f>
        <v>2025-11-03</v>
      </c>
      <c r="L268" s="121" t="str">
        <f ca="1">IFERROR(__xludf.DUMMYFUNCTION("""COMPUTED_VALUE"""),"Equipments (section 4)")</f>
        <v>Equipments (section 4)</v>
      </c>
      <c r="M268" s="121" t="str">
        <f ca="1">IFERROR(__xludf.DUMMYFUNCTION("""COMPUTED_VALUE"""),"Data Verification")</f>
        <v>Data Verification</v>
      </c>
      <c r="N268" s="121" t="str">
        <f ca="1">IFERROR(__xludf.DUMMYFUNCTION("""COMPUTED_VALUE"""),"Pashto")</f>
        <v>Pashto</v>
      </c>
      <c r="O268" s="121"/>
      <c r="P268" s="121"/>
      <c r="Q268" s="121"/>
      <c r="R268" s="121"/>
      <c r="S268" s="121"/>
      <c r="T268" s="121"/>
      <c r="U268" s="121"/>
      <c r="V268" s="121"/>
      <c r="W268" s="121"/>
      <c r="X268" s="121" t="str">
        <f ca="1">IFERROR(__xludf.DUMMYFUNCTION("""COMPUTED_VALUE"""),"Dr Sadat")</f>
        <v>Dr Sadat</v>
      </c>
      <c r="Y268" s="124">
        <f ca="1">IFERROR(__xludf.DUMMYFUNCTION("""COMPUTED_VALUE"""),45965)</f>
        <v>45965</v>
      </c>
      <c r="Z268" s="121"/>
      <c r="AA268" s="121"/>
      <c r="AB268" s="121"/>
    </row>
  </sheetData>
  <autoFilter ref="A1:AR268" xr:uid="{00000000-0009-0000-0000-000003000000}"/>
  <customSheetViews>
    <customSheetView guid="{6D6385CF-5334-46BC-876B-AA38DD1033DE}" filter="1" showAutoFilter="1">
      <pageMargins left="0.7" right="0.7" top="0.75" bottom="0.75" header="0.3" footer="0.3"/>
      <autoFilter ref="A1:AR175" xr:uid="{AA8AC0F1-F088-4028-A7B9-F0B345B9BDF0}">
        <filterColumn colId="2">
          <filters>
            <filter val="Ahmad Sear Malikzai"/>
            <filter val="Freshta Mohammadi"/>
            <filter val="Hashmatullah Mohammadi"/>
            <filter val="Mohammad Shaiq Hakimi"/>
            <filter val="Muhammad Qais Shahzada"/>
            <filter val="Mursal Tarakhil"/>
            <filter val="Muslim Ebraheemi"/>
            <filter val="Nasratullah Danish"/>
            <filter val="Noorzia Khuram"/>
            <filter val="Rahila Danish"/>
            <filter val="Raihana Sediqi"/>
            <filter val="Raqema Hutak"/>
            <filter val="Rawzia Raihan"/>
            <filter val="Rohullah Roz Bah"/>
            <filter val="Rona Turk"/>
            <filter val="Said Mahboob Esmat Zai"/>
            <filter val="Salim Khan Sadat Khan"/>
            <filter val="Shagofa Hajizada"/>
            <filter val="Shekiba Qaderi"/>
            <filter val="Suliman Hajizada"/>
            <filter val="Test Name 1"/>
            <filter val="Yar Murad Khalid"/>
            <filter val="Zainab Fazli"/>
          </filters>
        </filterColumn>
        <filterColumn colId="3">
          <filters>
            <filter val="HER-PKA-HF1630-Q2-2025-1189-01"/>
          </filters>
        </filterColumn>
        <filterColumn colId="12">
          <filters>
            <filter val="Data Verification"/>
            <filter val="Vignette"/>
          </filters>
        </filterColumn>
      </autoFilter>
    </customSheetView>
    <customSheetView guid="{828CB8D8-574F-4F4D-A98F-8FCB4246B5BA}" filter="1" showAutoFilter="1">
      <pageMargins left="0.7" right="0.7" top="0.75" bottom="0.75" header="0.3" footer="0.3"/>
      <autoFilter ref="A1:AR268" xr:uid="{C7A1D918-6C9E-482B-8C5C-7C76911D05A5}">
        <filterColumn colId="25">
          <filters>
            <filter val="Rejected"/>
          </filters>
        </filterColumn>
      </autoFilter>
    </customSheetView>
    <customSheetView guid="{E7099443-FD04-4B3C-A7C5-E56FF9ADDA4F}" filter="1" showAutoFilter="1">
      <pageMargins left="0.7" right="0.7" top="0.75" bottom="0.75" header="0.3" footer="0.3"/>
      <autoFilter ref="A1:AR268" xr:uid="{BCD47A26-0CE1-47A2-9BD8-2B7C2250286B}">
        <filterColumn colId="2">
          <filters>
            <filter val="Adil Ahsas"/>
            <filter val="Ahmad Sear Malikzai"/>
            <filter val="Bibi Zahra Hakimi"/>
            <filter val="Freshta Mohammadi"/>
            <filter val="Hashmatullah Mohammadi"/>
            <filter val="Mohammad Shaiq Hakimi"/>
            <filter val="Muhammad Qais Shahzada"/>
            <filter val="Mursal Tarakhil"/>
            <filter val="Muslim Ebraheemi"/>
            <filter val="N/A"/>
            <filter val="Nasratullah Danish"/>
            <filter val="Nasrullah Mobashir"/>
            <filter val="Noorzia Khuram"/>
            <filter val="Rahila Danish"/>
            <filter val="Raihana Sediqi"/>
            <filter val="Raqema Hutak"/>
            <filter val="Rawzia Raihan"/>
            <filter val="Rohullah Roz Bah"/>
            <filter val="Rona Turk"/>
            <filter val="Salim Khan Sadat Khan"/>
            <filter val="Setara Azim"/>
            <filter val="Shagofa Hajizada"/>
            <filter val="Shekiba Qaderi"/>
            <filter val="Suliman Hajizada"/>
            <filter val="Tahira Akbari"/>
            <filter val="Test Name 1"/>
            <filter val="Yar Murad Khalid"/>
            <filter val="Younus Elham"/>
            <filter val="Zainab Fazli"/>
          </filters>
        </filterColumn>
        <filterColumn colId="3">
          <filters>
            <filter val="HER-KNR-HF2706-Q2-2025-1139-01"/>
          </filters>
        </filterColumn>
        <filterColumn colId="12">
          <filters>
            <filter val="QQC"/>
            <filter val="Vignette"/>
          </filters>
        </filterColumn>
      </autoFilter>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F217"/>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cols>
    <col min="1" max="1" width="16" customWidth="1"/>
    <col min="2" max="3" width="17.85546875" customWidth="1"/>
    <col min="4" max="4" width="10.42578125" customWidth="1"/>
    <col min="5" max="5" width="17.42578125" customWidth="1"/>
    <col min="6" max="7" width="18.28515625" customWidth="1"/>
    <col min="8" max="8" width="21.85546875" customWidth="1"/>
    <col min="9" max="9" width="18.28515625" customWidth="1"/>
    <col min="10" max="10" width="17.42578125" customWidth="1"/>
    <col min="11" max="11" width="14.42578125" customWidth="1"/>
    <col min="14" max="14" width="16.140625" customWidth="1"/>
    <col min="15" max="15" width="17.42578125" customWidth="1"/>
    <col min="16" max="16" width="21.7109375" customWidth="1"/>
    <col min="19" max="19" width="16.140625" customWidth="1"/>
    <col min="20" max="20" width="17.42578125" customWidth="1"/>
    <col min="24" max="24" width="16.140625" customWidth="1"/>
    <col min="25" max="25" width="17.42578125" customWidth="1"/>
    <col min="29" max="29" width="16.140625" customWidth="1"/>
    <col min="30" max="30" width="17.42578125" customWidth="1"/>
    <col min="34" max="34" width="16.140625" customWidth="1"/>
    <col min="35" max="35" width="17.42578125" customWidth="1"/>
    <col min="39" max="39" width="16.140625" customWidth="1"/>
    <col min="40" max="40" width="17.42578125" customWidth="1"/>
    <col min="44" max="44" width="16.140625" customWidth="1"/>
    <col min="45" max="45" width="17.42578125" customWidth="1"/>
    <col min="49" max="49" width="16.140625" customWidth="1"/>
    <col min="50" max="50" width="17.42578125" customWidth="1"/>
    <col min="54" max="54" width="16.140625" customWidth="1"/>
    <col min="55" max="55" width="17.42578125" customWidth="1"/>
    <col min="59" max="59" width="16.140625" customWidth="1"/>
    <col min="60" max="60" width="17.42578125" customWidth="1"/>
    <col min="64" max="64" width="16.140625" customWidth="1"/>
    <col min="65" max="65" width="17.42578125" customWidth="1"/>
    <col min="69" max="69" width="16.140625" customWidth="1"/>
    <col min="70" max="70" width="17.42578125" customWidth="1"/>
    <col min="74" max="74" width="16.140625" customWidth="1"/>
    <col min="75" max="75" width="17.42578125" customWidth="1"/>
    <col min="79" max="79" width="16.140625" customWidth="1"/>
    <col min="80" max="80" width="17.42578125" customWidth="1"/>
    <col min="84" max="84" width="16.140625" customWidth="1"/>
  </cols>
  <sheetData>
    <row r="1" spans="1:84" ht="30.75" customHeight="1">
      <c r="A1" s="125" t="s">
        <v>138</v>
      </c>
      <c r="B1" s="125" t="s">
        <v>139</v>
      </c>
      <c r="C1" s="125" t="s">
        <v>140</v>
      </c>
      <c r="D1" s="125" t="s">
        <v>141</v>
      </c>
      <c r="E1" s="125" t="s">
        <v>12</v>
      </c>
      <c r="F1" s="126" t="s">
        <v>142</v>
      </c>
      <c r="G1" s="127" t="s">
        <v>143</v>
      </c>
      <c r="H1" s="127" t="s">
        <v>144</v>
      </c>
      <c r="I1" s="128" t="s">
        <v>145</v>
      </c>
      <c r="J1" s="129">
        <v>45959</v>
      </c>
      <c r="K1" s="125" t="s">
        <v>53</v>
      </c>
      <c r="L1" s="125" t="s">
        <v>146</v>
      </c>
      <c r="M1" s="125" t="s">
        <v>147</v>
      </c>
      <c r="N1" s="130" t="s">
        <v>148</v>
      </c>
      <c r="O1" s="129">
        <v>45960</v>
      </c>
      <c r="P1" s="125" t="s">
        <v>53</v>
      </c>
      <c r="Q1" s="125" t="s">
        <v>146</v>
      </c>
      <c r="R1" s="125" t="s">
        <v>147</v>
      </c>
      <c r="S1" s="130" t="s">
        <v>148</v>
      </c>
      <c r="T1" s="129">
        <v>45961</v>
      </c>
      <c r="U1" s="125" t="s">
        <v>53</v>
      </c>
      <c r="V1" s="125" t="s">
        <v>146</v>
      </c>
      <c r="W1" s="125" t="s">
        <v>147</v>
      </c>
      <c r="X1" s="130" t="s">
        <v>148</v>
      </c>
      <c r="Y1" s="129">
        <v>45962</v>
      </c>
      <c r="Z1" s="125" t="s">
        <v>53</v>
      </c>
      <c r="AA1" s="125" t="s">
        <v>146</v>
      </c>
      <c r="AB1" s="125" t="s">
        <v>147</v>
      </c>
      <c r="AC1" s="130" t="s">
        <v>148</v>
      </c>
      <c r="AD1" s="129">
        <v>45963</v>
      </c>
      <c r="AE1" s="125" t="s">
        <v>53</v>
      </c>
      <c r="AF1" s="125" t="s">
        <v>146</v>
      </c>
      <c r="AG1" s="125" t="s">
        <v>147</v>
      </c>
      <c r="AH1" s="130" t="s">
        <v>148</v>
      </c>
      <c r="AI1" s="129">
        <v>45964</v>
      </c>
      <c r="AJ1" s="125" t="s">
        <v>53</v>
      </c>
      <c r="AK1" s="125" t="s">
        <v>146</v>
      </c>
      <c r="AL1" s="125" t="s">
        <v>147</v>
      </c>
      <c r="AM1" s="130" t="s">
        <v>148</v>
      </c>
      <c r="AN1" s="129">
        <v>45965</v>
      </c>
      <c r="AO1" s="125" t="s">
        <v>53</v>
      </c>
      <c r="AP1" s="125" t="s">
        <v>146</v>
      </c>
      <c r="AQ1" s="125" t="s">
        <v>147</v>
      </c>
      <c r="AR1" s="130" t="s">
        <v>148</v>
      </c>
      <c r="AS1" s="129">
        <v>45966</v>
      </c>
      <c r="AT1" s="125" t="s">
        <v>53</v>
      </c>
      <c r="AU1" s="125" t="s">
        <v>146</v>
      </c>
      <c r="AV1" s="125" t="s">
        <v>147</v>
      </c>
      <c r="AW1" s="130" t="s">
        <v>148</v>
      </c>
      <c r="AX1" s="129">
        <v>45967</v>
      </c>
      <c r="AY1" s="125" t="s">
        <v>53</v>
      </c>
      <c r="AZ1" s="125" t="s">
        <v>146</v>
      </c>
      <c r="BA1" s="125" t="s">
        <v>147</v>
      </c>
      <c r="BB1" s="130" t="s">
        <v>148</v>
      </c>
      <c r="BC1" s="129">
        <v>45968</v>
      </c>
      <c r="BD1" s="125" t="s">
        <v>53</v>
      </c>
      <c r="BE1" s="125" t="s">
        <v>146</v>
      </c>
      <c r="BF1" s="125" t="s">
        <v>147</v>
      </c>
      <c r="BG1" s="130" t="s">
        <v>148</v>
      </c>
      <c r="BH1" s="129">
        <v>45969</v>
      </c>
      <c r="BI1" s="125" t="s">
        <v>53</v>
      </c>
      <c r="BJ1" s="125" t="s">
        <v>146</v>
      </c>
      <c r="BK1" s="125" t="s">
        <v>147</v>
      </c>
      <c r="BL1" s="130" t="s">
        <v>148</v>
      </c>
      <c r="BM1" s="129">
        <v>45970</v>
      </c>
      <c r="BN1" s="125" t="s">
        <v>53</v>
      </c>
      <c r="BO1" s="125" t="s">
        <v>146</v>
      </c>
      <c r="BP1" s="125" t="s">
        <v>147</v>
      </c>
      <c r="BQ1" s="130" t="s">
        <v>148</v>
      </c>
      <c r="BR1" s="129">
        <v>45971</v>
      </c>
      <c r="BS1" s="125" t="s">
        <v>53</v>
      </c>
      <c r="BT1" s="125" t="s">
        <v>146</v>
      </c>
      <c r="BU1" s="125" t="s">
        <v>147</v>
      </c>
      <c r="BV1" s="130" t="s">
        <v>148</v>
      </c>
      <c r="BW1" s="129">
        <v>45972</v>
      </c>
      <c r="BX1" s="125" t="s">
        <v>53</v>
      </c>
      <c r="BY1" s="125" t="s">
        <v>146</v>
      </c>
      <c r="BZ1" s="125" t="s">
        <v>147</v>
      </c>
      <c r="CA1" s="130" t="s">
        <v>148</v>
      </c>
      <c r="CB1" s="129">
        <v>45973</v>
      </c>
      <c r="CC1" s="125" t="s">
        <v>53</v>
      </c>
      <c r="CD1" s="125" t="s">
        <v>146</v>
      </c>
      <c r="CE1" s="125" t="s">
        <v>147</v>
      </c>
      <c r="CF1" s="130" t="s">
        <v>148</v>
      </c>
    </row>
    <row r="2" spans="1:84" ht="12.75">
      <c r="A2" s="119" t="s">
        <v>149</v>
      </c>
      <c r="B2" s="119" t="s">
        <v>150</v>
      </c>
      <c r="C2" s="119" t="s">
        <v>151</v>
      </c>
      <c r="D2" s="119" t="s">
        <v>152</v>
      </c>
      <c r="E2" s="119" t="s">
        <v>27</v>
      </c>
      <c r="F2" s="131">
        <f t="shared" ref="F2:F217" si="0">SUM(N2,S2,X2,AC2,AH2,AM2,AR2,AW2,BB2,BG2,BL2,BQ2,BV2,CA2,CF2)</f>
        <v>0</v>
      </c>
      <c r="G2" s="119">
        <f t="shared" ref="G2:G217" si="1">SUM(J2,O2,T2,Y2,AD2,AI2,AN2,AS2,AX2,BC2,BH2,BM2,BR2,BW2,CB2)</f>
        <v>3.5</v>
      </c>
      <c r="H2" s="119">
        <f t="shared" ref="H2:I2" si="2">SUM(L2,Q2,V2,AA2,AF2,AK2,AP2,AU2,AZ2,BE2,BJ2,BO2,BT2,BY2,CD2)</f>
        <v>200</v>
      </c>
      <c r="I2" s="132">
        <f t="shared" si="2"/>
        <v>0</v>
      </c>
      <c r="J2" s="119">
        <v>1</v>
      </c>
      <c r="K2" s="119" t="s">
        <v>153</v>
      </c>
      <c r="L2" s="119">
        <v>200</v>
      </c>
      <c r="M2" s="119">
        <v>0</v>
      </c>
      <c r="N2" s="133">
        <v>0</v>
      </c>
      <c r="O2" s="119">
        <v>0</v>
      </c>
      <c r="P2" s="119">
        <v>0</v>
      </c>
      <c r="Q2" s="119">
        <v>0</v>
      </c>
      <c r="R2" s="119">
        <v>0</v>
      </c>
      <c r="S2" s="133">
        <v>0</v>
      </c>
      <c r="T2" s="119">
        <v>0</v>
      </c>
      <c r="U2" s="119">
        <v>0</v>
      </c>
      <c r="V2" s="119">
        <v>0</v>
      </c>
      <c r="W2" s="119">
        <v>0</v>
      </c>
      <c r="X2" s="133">
        <v>0</v>
      </c>
      <c r="Y2" s="119">
        <v>1</v>
      </c>
      <c r="Z2" s="119" t="s">
        <v>154</v>
      </c>
      <c r="AA2" s="119">
        <v>0</v>
      </c>
      <c r="AB2" s="119">
        <v>0</v>
      </c>
      <c r="AC2" s="133"/>
      <c r="AD2" s="119">
        <v>1</v>
      </c>
      <c r="AE2" s="119" t="s">
        <v>154</v>
      </c>
      <c r="AF2" s="119">
        <v>0</v>
      </c>
      <c r="AG2" s="119">
        <v>0</v>
      </c>
      <c r="AH2" s="133"/>
      <c r="AI2" s="119">
        <v>0.5</v>
      </c>
      <c r="AJ2" s="119" t="s">
        <v>154</v>
      </c>
      <c r="AK2" s="119">
        <v>0</v>
      </c>
      <c r="AL2" s="119">
        <v>0</v>
      </c>
      <c r="AM2" s="133"/>
      <c r="AN2" s="119">
        <v>0</v>
      </c>
      <c r="AO2" s="119">
        <v>0</v>
      </c>
      <c r="AP2" s="119">
        <v>0</v>
      </c>
      <c r="AQ2" s="119">
        <v>0</v>
      </c>
      <c r="AR2" s="133">
        <v>0</v>
      </c>
      <c r="AS2" s="119"/>
      <c r="AT2" s="119"/>
      <c r="AU2" s="119"/>
      <c r="AV2" s="119"/>
      <c r="AW2" s="133"/>
      <c r="AX2" s="119"/>
      <c r="AY2" s="119"/>
      <c r="AZ2" s="119"/>
      <c r="BA2" s="119"/>
      <c r="BB2" s="133"/>
      <c r="BC2" s="119"/>
      <c r="BD2" s="119"/>
      <c r="BE2" s="119"/>
      <c r="BF2" s="119"/>
      <c r="BG2" s="133"/>
      <c r="BH2" s="119"/>
      <c r="BI2" s="119"/>
      <c r="BJ2" s="119"/>
      <c r="BK2" s="119"/>
      <c r="BL2" s="133"/>
      <c r="BM2" s="119"/>
      <c r="BN2" s="119"/>
      <c r="BO2" s="119"/>
      <c r="BP2" s="119"/>
      <c r="BQ2" s="133"/>
      <c r="BR2" s="119"/>
      <c r="BS2" s="119"/>
      <c r="BT2" s="119"/>
      <c r="BU2" s="119"/>
      <c r="BV2" s="133"/>
      <c r="BW2" s="119"/>
      <c r="BX2" s="119"/>
      <c r="BY2" s="119"/>
      <c r="BZ2" s="119"/>
      <c r="CA2" s="133"/>
      <c r="CB2" s="119"/>
      <c r="CC2" s="119"/>
      <c r="CD2" s="119"/>
      <c r="CE2" s="119"/>
      <c r="CF2" s="133"/>
    </row>
    <row r="3" spans="1:84" ht="12.75">
      <c r="A3" s="119" t="s">
        <v>155</v>
      </c>
      <c r="B3" s="119" t="s">
        <v>156</v>
      </c>
      <c r="C3" s="119" t="s">
        <v>157</v>
      </c>
      <c r="D3" s="119" t="s">
        <v>158</v>
      </c>
      <c r="E3" s="119" t="s">
        <v>27</v>
      </c>
      <c r="F3" s="131">
        <f t="shared" si="0"/>
        <v>0</v>
      </c>
      <c r="G3" s="119">
        <f t="shared" si="1"/>
        <v>2.5</v>
      </c>
      <c r="H3" s="119">
        <f t="shared" ref="H3:I3" si="3">SUM(L3,Q3,V3,AA3,AF3,AK3,AP3,AU3,AZ3,BE3,BJ3,BO3,BT3,BY3,CD3)</f>
        <v>0</v>
      </c>
      <c r="I3" s="132">
        <f t="shared" si="3"/>
        <v>0</v>
      </c>
      <c r="J3" s="119">
        <v>0</v>
      </c>
      <c r="K3" s="119">
        <v>0</v>
      </c>
      <c r="L3" s="119">
        <v>0</v>
      </c>
      <c r="M3" s="119">
        <v>0</v>
      </c>
      <c r="N3" s="133">
        <v>0</v>
      </c>
      <c r="O3" s="119">
        <v>0</v>
      </c>
      <c r="P3" s="119">
        <v>0</v>
      </c>
      <c r="Q3" s="119">
        <v>0</v>
      </c>
      <c r="R3" s="119">
        <v>0</v>
      </c>
      <c r="S3" s="133">
        <v>0</v>
      </c>
      <c r="T3" s="119">
        <v>0</v>
      </c>
      <c r="U3" s="119">
        <v>0</v>
      </c>
      <c r="V3" s="119">
        <v>0</v>
      </c>
      <c r="W3" s="119">
        <v>0</v>
      </c>
      <c r="X3" s="133">
        <v>0</v>
      </c>
      <c r="Y3" s="119">
        <v>1</v>
      </c>
      <c r="Z3" s="119" t="s">
        <v>154</v>
      </c>
      <c r="AA3" s="119">
        <v>0</v>
      </c>
      <c r="AB3" s="119">
        <v>0</v>
      </c>
      <c r="AC3" s="133"/>
      <c r="AD3" s="119">
        <v>1</v>
      </c>
      <c r="AE3" s="119" t="s">
        <v>154</v>
      </c>
      <c r="AF3" s="119">
        <v>0</v>
      </c>
      <c r="AG3" s="119">
        <v>0</v>
      </c>
      <c r="AH3" s="133"/>
      <c r="AI3" s="119">
        <v>0.5</v>
      </c>
      <c r="AJ3" s="119" t="s">
        <v>154</v>
      </c>
      <c r="AK3" s="119">
        <v>0</v>
      </c>
      <c r="AL3" s="119">
        <v>0</v>
      </c>
      <c r="AM3" s="133"/>
      <c r="AN3" s="119">
        <v>0</v>
      </c>
      <c r="AO3" s="119">
        <v>0</v>
      </c>
      <c r="AP3" s="119">
        <v>0</v>
      </c>
      <c r="AQ3" s="119">
        <v>0</v>
      </c>
      <c r="AR3" s="133">
        <v>0</v>
      </c>
      <c r="AS3" s="119"/>
      <c r="AT3" s="119"/>
      <c r="AU3" s="119"/>
      <c r="AV3" s="119"/>
      <c r="AW3" s="133"/>
      <c r="AX3" s="119"/>
      <c r="AY3" s="119"/>
      <c r="AZ3" s="119"/>
      <c r="BA3" s="119"/>
      <c r="BB3" s="133"/>
      <c r="BC3" s="119"/>
      <c r="BD3" s="119"/>
      <c r="BE3" s="119"/>
      <c r="BF3" s="119"/>
      <c r="BG3" s="133"/>
      <c r="BH3" s="119"/>
      <c r="BI3" s="119"/>
      <c r="BJ3" s="119"/>
      <c r="BK3" s="119"/>
      <c r="BL3" s="133"/>
      <c r="BM3" s="119"/>
      <c r="BN3" s="119"/>
      <c r="BO3" s="119"/>
      <c r="BP3" s="119"/>
      <c r="BQ3" s="133"/>
      <c r="BR3" s="119"/>
      <c r="BS3" s="119"/>
      <c r="BT3" s="119"/>
      <c r="BU3" s="119"/>
      <c r="BV3" s="133"/>
      <c r="BW3" s="119"/>
      <c r="BX3" s="119"/>
      <c r="BY3" s="119"/>
      <c r="BZ3" s="119"/>
      <c r="CA3" s="133"/>
      <c r="CB3" s="119"/>
      <c r="CC3" s="119"/>
      <c r="CD3" s="119"/>
      <c r="CE3" s="119"/>
      <c r="CF3" s="133"/>
    </row>
    <row r="4" spans="1:84" ht="12.75">
      <c r="A4" s="119" t="s">
        <v>159</v>
      </c>
      <c r="B4" s="119" t="s">
        <v>160</v>
      </c>
      <c r="C4" s="119" t="s">
        <v>161</v>
      </c>
      <c r="D4" s="119" t="s">
        <v>158</v>
      </c>
      <c r="E4" s="119" t="s">
        <v>27</v>
      </c>
      <c r="F4" s="131">
        <f t="shared" si="0"/>
        <v>0</v>
      </c>
      <c r="G4" s="119">
        <f t="shared" si="1"/>
        <v>0</v>
      </c>
      <c r="H4" s="119">
        <f t="shared" ref="H4:I4" si="4">SUM(L4,Q4,V4,AA4,AF4,AK4,AP4,AU4,AZ4,BE4,BJ4,BO4,BT4,BY4,CD4)</f>
        <v>0</v>
      </c>
      <c r="I4" s="132">
        <f t="shared" si="4"/>
        <v>0</v>
      </c>
      <c r="J4" s="119">
        <v>0</v>
      </c>
      <c r="K4" s="119">
        <v>0</v>
      </c>
      <c r="L4" s="119">
        <v>0</v>
      </c>
      <c r="M4" s="119">
        <v>0</v>
      </c>
      <c r="N4" s="133">
        <v>0</v>
      </c>
      <c r="O4" s="119">
        <v>0</v>
      </c>
      <c r="P4" s="119">
        <v>0</v>
      </c>
      <c r="Q4" s="119">
        <v>0</v>
      </c>
      <c r="R4" s="119">
        <v>0</v>
      </c>
      <c r="S4" s="133">
        <v>0</v>
      </c>
      <c r="T4" s="119">
        <v>0</v>
      </c>
      <c r="U4" s="119">
        <v>0</v>
      </c>
      <c r="V4" s="119">
        <v>0</v>
      </c>
      <c r="W4" s="119">
        <v>0</v>
      </c>
      <c r="X4" s="133">
        <v>0</v>
      </c>
      <c r="Y4" s="119">
        <v>0</v>
      </c>
      <c r="Z4" s="119">
        <v>0</v>
      </c>
      <c r="AA4" s="119">
        <v>0</v>
      </c>
      <c r="AB4" s="119">
        <v>0</v>
      </c>
      <c r="AC4" s="133">
        <v>0</v>
      </c>
      <c r="AD4" s="119">
        <v>0</v>
      </c>
      <c r="AE4" s="119">
        <v>0</v>
      </c>
      <c r="AF4" s="119">
        <v>0</v>
      </c>
      <c r="AG4" s="119">
        <v>0</v>
      </c>
      <c r="AH4" s="133">
        <v>0</v>
      </c>
      <c r="AI4" s="119">
        <v>0</v>
      </c>
      <c r="AJ4" s="119">
        <v>0</v>
      </c>
      <c r="AK4" s="119">
        <v>0</v>
      </c>
      <c r="AL4" s="119">
        <v>0</v>
      </c>
      <c r="AM4" s="133">
        <v>0</v>
      </c>
      <c r="AN4" s="119">
        <v>0</v>
      </c>
      <c r="AO4" s="119">
        <v>0</v>
      </c>
      <c r="AP4" s="119">
        <v>0</v>
      </c>
      <c r="AQ4" s="119">
        <v>0</v>
      </c>
      <c r="AR4" s="133">
        <v>0</v>
      </c>
      <c r="AS4" s="119"/>
      <c r="AT4" s="119"/>
      <c r="AU4" s="119"/>
      <c r="AV4" s="119"/>
      <c r="AW4" s="133"/>
      <c r="AX4" s="119"/>
      <c r="AY4" s="119"/>
      <c r="AZ4" s="119"/>
      <c r="BA4" s="119"/>
      <c r="BB4" s="133"/>
      <c r="BC4" s="119"/>
      <c r="BD4" s="119"/>
      <c r="BE4" s="119"/>
      <c r="BF4" s="119"/>
      <c r="BG4" s="133"/>
      <c r="BH4" s="119"/>
      <c r="BI4" s="119"/>
      <c r="BJ4" s="119"/>
      <c r="BK4" s="119"/>
      <c r="BL4" s="133"/>
      <c r="BM4" s="119"/>
      <c r="BN4" s="119"/>
      <c r="BO4" s="119"/>
      <c r="BP4" s="119"/>
      <c r="BQ4" s="133"/>
      <c r="BR4" s="119"/>
      <c r="BS4" s="119"/>
      <c r="BT4" s="119"/>
      <c r="BU4" s="119"/>
      <c r="BV4" s="133"/>
      <c r="BW4" s="119"/>
      <c r="BX4" s="119"/>
      <c r="BY4" s="119"/>
      <c r="BZ4" s="119"/>
      <c r="CA4" s="133"/>
      <c r="CB4" s="119"/>
      <c r="CC4" s="119"/>
      <c r="CD4" s="119"/>
      <c r="CE4" s="119"/>
      <c r="CF4" s="133"/>
    </row>
    <row r="5" spans="1:84" ht="12.75">
      <c r="A5" s="119" t="s">
        <v>162</v>
      </c>
      <c r="B5" s="119" t="s">
        <v>163</v>
      </c>
      <c r="C5" s="119" t="s">
        <v>164</v>
      </c>
      <c r="D5" s="119" t="s">
        <v>158</v>
      </c>
      <c r="E5" s="119" t="s">
        <v>27</v>
      </c>
      <c r="F5" s="131">
        <f t="shared" si="0"/>
        <v>0</v>
      </c>
      <c r="G5" s="119">
        <f t="shared" si="1"/>
        <v>0</v>
      </c>
      <c r="H5" s="119">
        <f t="shared" ref="H5:I5" si="5">SUM(L5,Q5,V5,AA5,AF5,AK5,AP5,AU5,AZ5,BE5,BJ5,BO5,BT5,BY5,CD5)</f>
        <v>0</v>
      </c>
      <c r="I5" s="132">
        <f t="shared" si="5"/>
        <v>0</v>
      </c>
      <c r="J5" s="119">
        <v>0</v>
      </c>
      <c r="K5" s="119">
        <v>0</v>
      </c>
      <c r="L5" s="119">
        <v>0</v>
      </c>
      <c r="M5" s="119">
        <v>0</v>
      </c>
      <c r="N5" s="133">
        <v>0</v>
      </c>
      <c r="O5" s="119">
        <v>0</v>
      </c>
      <c r="P5" s="119">
        <v>0</v>
      </c>
      <c r="Q5" s="119">
        <v>0</v>
      </c>
      <c r="R5" s="119">
        <v>0</v>
      </c>
      <c r="S5" s="133">
        <v>0</v>
      </c>
      <c r="T5" s="119">
        <v>0</v>
      </c>
      <c r="U5" s="119">
        <v>0</v>
      </c>
      <c r="V5" s="119">
        <v>0</v>
      </c>
      <c r="W5" s="119">
        <v>0</v>
      </c>
      <c r="X5" s="133">
        <v>0</v>
      </c>
      <c r="Y5" s="119">
        <v>0</v>
      </c>
      <c r="Z5" s="119">
        <v>0</v>
      </c>
      <c r="AA5" s="119">
        <v>0</v>
      </c>
      <c r="AB5" s="119">
        <v>0</v>
      </c>
      <c r="AC5" s="133">
        <v>0</v>
      </c>
      <c r="AD5" s="119">
        <v>0</v>
      </c>
      <c r="AE5" s="119">
        <v>0</v>
      </c>
      <c r="AF5" s="119">
        <v>0</v>
      </c>
      <c r="AG5" s="119">
        <v>0</v>
      </c>
      <c r="AH5" s="133">
        <v>0</v>
      </c>
      <c r="AI5" s="119">
        <v>0</v>
      </c>
      <c r="AJ5" s="119">
        <v>0</v>
      </c>
      <c r="AK5" s="119">
        <v>0</v>
      </c>
      <c r="AL5" s="119">
        <v>0</v>
      </c>
      <c r="AM5" s="133">
        <v>0</v>
      </c>
      <c r="AN5" s="119">
        <v>0</v>
      </c>
      <c r="AO5" s="119">
        <v>0</v>
      </c>
      <c r="AP5" s="119">
        <v>0</v>
      </c>
      <c r="AQ5" s="119">
        <v>0</v>
      </c>
      <c r="AR5" s="133">
        <v>0</v>
      </c>
      <c r="AS5" s="119"/>
      <c r="AT5" s="119"/>
      <c r="AU5" s="119"/>
      <c r="AV5" s="119"/>
      <c r="AW5" s="133"/>
      <c r="AX5" s="119"/>
      <c r="AY5" s="119"/>
      <c r="AZ5" s="119"/>
      <c r="BA5" s="119"/>
      <c r="BB5" s="133"/>
      <c r="BC5" s="119"/>
      <c r="BD5" s="119"/>
      <c r="BE5" s="119"/>
      <c r="BF5" s="119"/>
      <c r="BG5" s="133"/>
      <c r="BH5" s="119"/>
      <c r="BI5" s="119"/>
      <c r="BJ5" s="119"/>
      <c r="BK5" s="119"/>
      <c r="BL5" s="133"/>
      <c r="BM5" s="119"/>
      <c r="BN5" s="119"/>
      <c r="BO5" s="119"/>
      <c r="BP5" s="119"/>
      <c r="BQ5" s="133"/>
      <c r="BR5" s="119"/>
      <c r="BS5" s="119"/>
      <c r="BT5" s="119"/>
      <c r="BU5" s="119"/>
      <c r="BV5" s="133"/>
      <c r="BW5" s="119"/>
      <c r="BX5" s="119"/>
      <c r="BY5" s="119"/>
      <c r="BZ5" s="119"/>
      <c r="CA5" s="133"/>
      <c r="CB5" s="119"/>
      <c r="CC5" s="119"/>
      <c r="CD5" s="119"/>
      <c r="CE5" s="119"/>
      <c r="CF5" s="133"/>
    </row>
    <row r="6" spans="1:84" ht="12.75">
      <c r="A6" s="119" t="s">
        <v>165</v>
      </c>
      <c r="B6" s="119" t="s">
        <v>166</v>
      </c>
      <c r="C6" s="119" t="s">
        <v>167</v>
      </c>
      <c r="D6" s="119" t="s">
        <v>158</v>
      </c>
      <c r="E6" s="119" t="s">
        <v>27</v>
      </c>
      <c r="F6" s="131">
        <f t="shared" si="0"/>
        <v>0</v>
      </c>
      <c r="G6" s="119">
        <f t="shared" si="1"/>
        <v>0</v>
      </c>
      <c r="H6" s="119">
        <f t="shared" ref="H6:I6" si="6">SUM(L6,Q6,V6,AA6,AF6,AK6,AP6,AU6,AZ6,BE6,BJ6,BO6,BT6,BY6,CD6)</f>
        <v>0</v>
      </c>
      <c r="I6" s="132">
        <f t="shared" si="6"/>
        <v>0</v>
      </c>
      <c r="J6" s="119">
        <v>0</v>
      </c>
      <c r="K6" s="119">
        <v>0</v>
      </c>
      <c r="L6" s="119">
        <v>0</v>
      </c>
      <c r="M6" s="119">
        <v>0</v>
      </c>
      <c r="N6" s="133">
        <v>0</v>
      </c>
      <c r="O6" s="119">
        <v>0</v>
      </c>
      <c r="P6" s="119">
        <v>0</v>
      </c>
      <c r="Q6" s="119">
        <v>0</v>
      </c>
      <c r="R6" s="119">
        <v>0</v>
      </c>
      <c r="S6" s="133">
        <v>0</v>
      </c>
      <c r="T6" s="119">
        <v>0</v>
      </c>
      <c r="U6" s="119">
        <v>0</v>
      </c>
      <c r="V6" s="119">
        <v>0</v>
      </c>
      <c r="W6" s="119">
        <v>0</v>
      </c>
      <c r="X6" s="133">
        <v>0</v>
      </c>
      <c r="Y6" s="119">
        <v>0</v>
      </c>
      <c r="Z6" s="119">
        <v>0</v>
      </c>
      <c r="AA6" s="119">
        <v>0</v>
      </c>
      <c r="AB6" s="119">
        <v>0</v>
      </c>
      <c r="AC6" s="133">
        <v>0</v>
      </c>
      <c r="AD6" s="119">
        <v>0</v>
      </c>
      <c r="AE6" s="119">
        <v>0</v>
      </c>
      <c r="AF6" s="119">
        <v>0</v>
      </c>
      <c r="AG6" s="119">
        <v>0</v>
      </c>
      <c r="AH6" s="133">
        <v>0</v>
      </c>
      <c r="AI6" s="119">
        <v>0</v>
      </c>
      <c r="AJ6" s="119">
        <v>0</v>
      </c>
      <c r="AK6" s="119">
        <v>0</v>
      </c>
      <c r="AL6" s="119">
        <v>0</v>
      </c>
      <c r="AM6" s="133">
        <v>0</v>
      </c>
      <c r="AN6" s="119">
        <v>0</v>
      </c>
      <c r="AO6" s="119">
        <v>0</v>
      </c>
      <c r="AP6" s="119">
        <v>0</v>
      </c>
      <c r="AQ6" s="119">
        <v>0</v>
      </c>
      <c r="AR6" s="133">
        <v>0</v>
      </c>
      <c r="AS6" s="119"/>
      <c r="AT6" s="119"/>
      <c r="AU6" s="119"/>
      <c r="AV6" s="119"/>
      <c r="AW6" s="133"/>
      <c r="AX6" s="119"/>
      <c r="AY6" s="119"/>
      <c r="AZ6" s="119"/>
      <c r="BA6" s="119"/>
      <c r="BB6" s="133"/>
      <c r="BC6" s="119"/>
      <c r="BD6" s="119"/>
      <c r="BE6" s="119"/>
      <c r="BF6" s="119"/>
      <c r="BG6" s="133"/>
      <c r="BH6" s="119"/>
      <c r="BI6" s="119"/>
      <c r="BJ6" s="119"/>
      <c r="BK6" s="119"/>
      <c r="BL6" s="133"/>
      <c r="BM6" s="119"/>
      <c r="BN6" s="119"/>
      <c r="BO6" s="119"/>
      <c r="BP6" s="119"/>
      <c r="BQ6" s="133"/>
      <c r="BR6" s="119"/>
      <c r="BS6" s="119"/>
      <c r="BT6" s="119"/>
      <c r="BU6" s="119"/>
      <c r="BV6" s="133"/>
      <c r="BW6" s="119"/>
      <c r="BX6" s="119"/>
      <c r="BY6" s="119"/>
      <c r="BZ6" s="119"/>
      <c r="CA6" s="133"/>
      <c r="CB6" s="119"/>
      <c r="CC6" s="119"/>
      <c r="CD6" s="119"/>
      <c r="CE6" s="119"/>
      <c r="CF6" s="133"/>
    </row>
    <row r="7" spans="1:84" ht="12.75">
      <c r="A7" s="119" t="s">
        <v>168</v>
      </c>
      <c r="B7" s="119" t="s">
        <v>169</v>
      </c>
      <c r="C7" s="119" t="s">
        <v>170</v>
      </c>
      <c r="D7" s="119" t="s">
        <v>158</v>
      </c>
      <c r="E7" s="119" t="s">
        <v>27</v>
      </c>
      <c r="F7" s="131">
        <f t="shared" si="0"/>
        <v>0</v>
      </c>
      <c r="G7" s="119">
        <f t="shared" si="1"/>
        <v>0</v>
      </c>
      <c r="H7" s="119">
        <f t="shared" ref="H7:I7" si="7">SUM(L7,Q7,V7,AA7,AF7,AK7,AP7,AU7,AZ7,BE7,BJ7,BO7,BT7,BY7,CD7)</f>
        <v>0</v>
      </c>
      <c r="I7" s="132">
        <f t="shared" si="7"/>
        <v>0</v>
      </c>
      <c r="J7" s="119">
        <v>0</v>
      </c>
      <c r="K7" s="119">
        <v>0</v>
      </c>
      <c r="L7" s="119">
        <v>0</v>
      </c>
      <c r="M7" s="119">
        <v>0</v>
      </c>
      <c r="N7" s="133">
        <v>0</v>
      </c>
      <c r="O7" s="119">
        <v>0</v>
      </c>
      <c r="P7" s="119">
        <v>0</v>
      </c>
      <c r="Q7" s="119">
        <v>0</v>
      </c>
      <c r="R7" s="119">
        <v>0</v>
      </c>
      <c r="S7" s="133">
        <v>0</v>
      </c>
      <c r="T7" s="119">
        <v>0</v>
      </c>
      <c r="U7" s="119">
        <v>0</v>
      </c>
      <c r="V7" s="119">
        <v>0</v>
      </c>
      <c r="W7" s="119">
        <v>0</v>
      </c>
      <c r="X7" s="133">
        <v>0</v>
      </c>
      <c r="Y7" s="119">
        <v>0</v>
      </c>
      <c r="Z7" s="119">
        <v>0</v>
      </c>
      <c r="AA7" s="119">
        <v>0</v>
      </c>
      <c r="AB7" s="119">
        <v>0</v>
      </c>
      <c r="AC7" s="133">
        <v>0</v>
      </c>
      <c r="AD7" s="119">
        <v>0</v>
      </c>
      <c r="AE7" s="119">
        <v>0</v>
      </c>
      <c r="AF7" s="119">
        <v>0</v>
      </c>
      <c r="AG7" s="119">
        <v>0</v>
      </c>
      <c r="AH7" s="133">
        <v>0</v>
      </c>
      <c r="AI7" s="119">
        <v>0</v>
      </c>
      <c r="AJ7" s="119">
        <v>0</v>
      </c>
      <c r="AK7" s="119">
        <v>0</v>
      </c>
      <c r="AL7" s="119">
        <v>0</v>
      </c>
      <c r="AM7" s="133">
        <v>0</v>
      </c>
      <c r="AN7" s="119">
        <v>0</v>
      </c>
      <c r="AO7" s="119">
        <v>0</v>
      </c>
      <c r="AP7" s="119">
        <v>0</v>
      </c>
      <c r="AQ7" s="119">
        <v>0</v>
      </c>
      <c r="AR7" s="133">
        <v>0</v>
      </c>
      <c r="AS7" s="119"/>
      <c r="AT7" s="119"/>
      <c r="AU7" s="119"/>
      <c r="AV7" s="119"/>
      <c r="AW7" s="133"/>
      <c r="AX7" s="119"/>
      <c r="AY7" s="119"/>
      <c r="AZ7" s="119"/>
      <c r="BA7" s="119"/>
      <c r="BB7" s="133"/>
      <c r="BC7" s="119"/>
      <c r="BD7" s="119"/>
      <c r="BE7" s="119"/>
      <c r="BF7" s="119"/>
      <c r="BG7" s="133"/>
      <c r="BH7" s="119"/>
      <c r="BI7" s="119"/>
      <c r="BJ7" s="119"/>
      <c r="BK7" s="119"/>
      <c r="BL7" s="133"/>
      <c r="BM7" s="119"/>
      <c r="BN7" s="119"/>
      <c r="BO7" s="119"/>
      <c r="BP7" s="119"/>
      <c r="BQ7" s="133"/>
      <c r="BR7" s="119"/>
      <c r="BS7" s="119"/>
      <c r="BT7" s="119"/>
      <c r="BU7" s="119"/>
      <c r="BV7" s="133"/>
      <c r="BW7" s="119"/>
      <c r="BX7" s="119"/>
      <c r="BY7" s="119"/>
      <c r="BZ7" s="119"/>
      <c r="CA7" s="133"/>
      <c r="CB7" s="119"/>
      <c r="CC7" s="119"/>
      <c r="CD7" s="119"/>
      <c r="CE7" s="119"/>
      <c r="CF7" s="133"/>
    </row>
    <row r="8" spans="1:84" ht="12.75">
      <c r="A8" s="119" t="s">
        <v>171</v>
      </c>
      <c r="B8" s="119" t="s">
        <v>172</v>
      </c>
      <c r="C8" s="119" t="s">
        <v>173</v>
      </c>
      <c r="D8" s="119" t="s">
        <v>152</v>
      </c>
      <c r="E8" s="119" t="s">
        <v>27</v>
      </c>
      <c r="F8" s="131">
        <f t="shared" si="0"/>
        <v>0</v>
      </c>
      <c r="G8" s="119">
        <f t="shared" si="1"/>
        <v>0</v>
      </c>
      <c r="H8" s="119">
        <f t="shared" ref="H8:I8" si="8">SUM(L8,Q8,V8,AA8,AF8,AK8,AP8,AU8,AZ8,BE8,BJ8,BO8,BT8,BY8,CD8)</f>
        <v>0</v>
      </c>
      <c r="I8" s="132">
        <f t="shared" si="8"/>
        <v>0</v>
      </c>
      <c r="J8" s="119">
        <v>0</v>
      </c>
      <c r="K8" s="119">
        <v>0</v>
      </c>
      <c r="L8" s="119">
        <v>0</v>
      </c>
      <c r="M8" s="119">
        <v>0</v>
      </c>
      <c r="N8" s="133">
        <v>0</v>
      </c>
      <c r="O8" s="119">
        <v>0</v>
      </c>
      <c r="P8" s="119">
        <v>0</v>
      </c>
      <c r="Q8" s="119">
        <v>0</v>
      </c>
      <c r="R8" s="119">
        <v>0</v>
      </c>
      <c r="S8" s="133">
        <v>0</v>
      </c>
      <c r="T8" s="119">
        <v>0</v>
      </c>
      <c r="U8" s="119">
        <v>0</v>
      </c>
      <c r="V8" s="119">
        <v>0</v>
      </c>
      <c r="W8" s="119">
        <v>0</v>
      </c>
      <c r="X8" s="133">
        <v>0</v>
      </c>
      <c r="Y8" s="119">
        <v>0</v>
      </c>
      <c r="Z8" s="119">
        <v>0</v>
      </c>
      <c r="AA8" s="119">
        <v>0</v>
      </c>
      <c r="AB8" s="119">
        <v>0</v>
      </c>
      <c r="AC8" s="133">
        <v>0</v>
      </c>
      <c r="AD8" s="119">
        <v>0</v>
      </c>
      <c r="AE8" s="119">
        <v>0</v>
      </c>
      <c r="AF8" s="119">
        <v>0</v>
      </c>
      <c r="AG8" s="119">
        <v>0</v>
      </c>
      <c r="AH8" s="133">
        <v>0</v>
      </c>
      <c r="AI8" s="119">
        <v>0</v>
      </c>
      <c r="AJ8" s="119">
        <v>0</v>
      </c>
      <c r="AK8" s="119">
        <v>0</v>
      </c>
      <c r="AL8" s="119">
        <v>0</v>
      </c>
      <c r="AM8" s="133">
        <v>0</v>
      </c>
      <c r="AN8" s="119">
        <v>0</v>
      </c>
      <c r="AO8" s="119">
        <v>0</v>
      </c>
      <c r="AP8" s="119">
        <v>0</v>
      </c>
      <c r="AQ8" s="119">
        <v>0</v>
      </c>
      <c r="AR8" s="133">
        <v>0</v>
      </c>
      <c r="AS8" s="119"/>
      <c r="AT8" s="119"/>
      <c r="AU8" s="119"/>
      <c r="AV8" s="119"/>
      <c r="AW8" s="133"/>
      <c r="AX8" s="119"/>
      <c r="AY8" s="119"/>
      <c r="AZ8" s="119"/>
      <c r="BA8" s="119"/>
      <c r="BB8" s="133"/>
      <c r="BC8" s="119"/>
      <c r="BD8" s="119"/>
      <c r="BE8" s="119"/>
      <c r="BF8" s="119"/>
      <c r="BG8" s="133"/>
      <c r="BH8" s="119"/>
      <c r="BI8" s="119"/>
      <c r="BJ8" s="119"/>
      <c r="BK8" s="119"/>
      <c r="BL8" s="133"/>
      <c r="BM8" s="119"/>
      <c r="BN8" s="119"/>
      <c r="BO8" s="119"/>
      <c r="BP8" s="119"/>
      <c r="BQ8" s="133"/>
      <c r="BR8" s="119"/>
      <c r="BS8" s="119"/>
      <c r="BT8" s="119"/>
      <c r="BU8" s="119"/>
      <c r="BV8" s="133"/>
      <c r="BW8" s="119"/>
      <c r="BX8" s="119"/>
      <c r="BY8" s="119"/>
      <c r="BZ8" s="119"/>
      <c r="CA8" s="133"/>
      <c r="CB8" s="119"/>
      <c r="CC8" s="119"/>
      <c r="CD8" s="119"/>
      <c r="CE8" s="119"/>
      <c r="CF8" s="133"/>
    </row>
    <row r="9" spans="1:84" ht="12.75">
      <c r="A9" s="119" t="s">
        <v>174</v>
      </c>
      <c r="B9" s="119" t="s">
        <v>175</v>
      </c>
      <c r="C9" s="119" t="s">
        <v>176</v>
      </c>
      <c r="D9" s="119" t="s">
        <v>152</v>
      </c>
      <c r="E9" s="119" t="s">
        <v>129</v>
      </c>
      <c r="F9" s="131">
        <f t="shared" si="0"/>
        <v>0</v>
      </c>
      <c r="G9" s="119">
        <f t="shared" si="1"/>
        <v>5</v>
      </c>
      <c r="H9" s="119">
        <f t="shared" ref="H9:I9" si="9">SUM(L9,Q9,V9,AA9,AF9,AK9,AP9,AU9,AZ9,BE9,BJ9,BO9,BT9,BY9,CD9)</f>
        <v>800</v>
      </c>
      <c r="I9" s="132">
        <f t="shared" si="9"/>
        <v>0</v>
      </c>
      <c r="J9" s="119">
        <v>1</v>
      </c>
      <c r="K9" s="119" t="s">
        <v>153</v>
      </c>
      <c r="L9" s="119">
        <v>200</v>
      </c>
      <c r="M9" s="119">
        <v>0</v>
      </c>
      <c r="N9" s="133">
        <v>0</v>
      </c>
      <c r="O9" s="119">
        <v>0</v>
      </c>
      <c r="P9" s="119">
        <v>0</v>
      </c>
      <c r="Q9" s="119">
        <v>0</v>
      </c>
      <c r="R9" s="119">
        <v>0</v>
      </c>
      <c r="S9" s="133">
        <v>0</v>
      </c>
      <c r="T9" s="119">
        <v>0</v>
      </c>
      <c r="U9" s="119">
        <v>0</v>
      </c>
      <c r="V9" s="119">
        <v>0</v>
      </c>
      <c r="W9" s="119">
        <v>0</v>
      </c>
      <c r="X9" s="133">
        <v>0</v>
      </c>
      <c r="Y9" s="119">
        <v>1</v>
      </c>
      <c r="Z9" s="119" t="s">
        <v>153</v>
      </c>
      <c r="AA9" s="119">
        <v>200</v>
      </c>
      <c r="AB9" s="119">
        <v>0</v>
      </c>
      <c r="AC9" s="133">
        <v>0</v>
      </c>
      <c r="AD9" s="119">
        <v>1</v>
      </c>
      <c r="AE9" s="119" t="s">
        <v>153</v>
      </c>
      <c r="AF9" s="119">
        <v>200</v>
      </c>
      <c r="AG9" s="119">
        <v>0</v>
      </c>
      <c r="AH9" s="133">
        <v>0</v>
      </c>
      <c r="AI9" s="119">
        <v>1</v>
      </c>
      <c r="AJ9" s="119" t="s">
        <v>153</v>
      </c>
      <c r="AK9" s="119">
        <v>200</v>
      </c>
      <c r="AL9" s="119">
        <v>0</v>
      </c>
      <c r="AM9" s="133">
        <v>0</v>
      </c>
      <c r="AN9" s="119">
        <v>1</v>
      </c>
      <c r="AO9" s="119" t="s">
        <v>177</v>
      </c>
      <c r="AP9" s="119">
        <v>0</v>
      </c>
      <c r="AQ9" s="119">
        <v>0</v>
      </c>
      <c r="AR9" s="133"/>
      <c r="AS9" s="119"/>
      <c r="AT9" s="119"/>
      <c r="AU9" s="119"/>
      <c r="AV9" s="119"/>
      <c r="AW9" s="133"/>
      <c r="AX9" s="119"/>
      <c r="AY9" s="119"/>
      <c r="AZ9" s="119"/>
      <c r="BA9" s="119"/>
      <c r="BB9" s="133"/>
      <c r="BC9" s="119"/>
      <c r="BD9" s="119"/>
      <c r="BE9" s="119"/>
      <c r="BF9" s="119"/>
      <c r="BG9" s="133"/>
      <c r="BH9" s="119"/>
      <c r="BI9" s="119"/>
      <c r="BJ9" s="119"/>
      <c r="BK9" s="119"/>
      <c r="BL9" s="133"/>
      <c r="BM9" s="119"/>
      <c r="BN9" s="119"/>
      <c r="BO9" s="119"/>
      <c r="BP9" s="119"/>
      <c r="BQ9" s="133"/>
      <c r="BR9" s="119"/>
      <c r="BS9" s="119"/>
      <c r="BT9" s="119"/>
      <c r="BU9" s="119"/>
      <c r="BV9" s="133"/>
      <c r="BW9" s="119"/>
      <c r="BX9" s="119"/>
      <c r="BY9" s="119"/>
      <c r="BZ9" s="119"/>
      <c r="CA9" s="133"/>
      <c r="CB9" s="119"/>
      <c r="CC9" s="119"/>
      <c r="CD9" s="119"/>
      <c r="CE9" s="119"/>
      <c r="CF9" s="133"/>
    </row>
    <row r="10" spans="1:84" ht="12.75">
      <c r="A10" s="119" t="s">
        <v>178</v>
      </c>
      <c r="B10" s="119" t="s">
        <v>179</v>
      </c>
      <c r="C10" s="119" t="s">
        <v>180</v>
      </c>
      <c r="D10" s="119" t="s">
        <v>158</v>
      </c>
      <c r="E10" s="119" t="s">
        <v>129</v>
      </c>
      <c r="F10" s="131">
        <f t="shared" si="0"/>
        <v>0</v>
      </c>
      <c r="G10" s="119">
        <f t="shared" si="1"/>
        <v>2</v>
      </c>
      <c r="H10" s="119">
        <f t="shared" ref="H10:I10" si="10">SUM(L10,Q10,V10,AA10,AF10,AK10,AP10,AU10,AZ10,BE10,BJ10,BO10,BT10,BY10,CD10)</f>
        <v>400</v>
      </c>
      <c r="I10" s="132">
        <f t="shared" si="10"/>
        <v>0</v>
      </c>
      <c r="J10" s="119">
        <v>0</v>
      </c>
      <c r="K10" s="119">
        <v>0</v>
      </c>
      <c r="L10" s="119">
        <v>0</v>
      </c>
      <c r="M10" s="119">
        <v>0</v>
      </c>
      <c r="N10" s="133">
        <v>0</v>
      </c>
      <c r="O10" s="119">
        <v>0</v>
      </c>
      <c r="P10" s="119">
        <v>0</v>
      </c>
      <c r="Q10" s="119">
        <v>0</v>
      </c>
      <c r="R10" s="119">
        <v>0</v>
      </c>
      <c r="S10" s="133">
        <v>0</v>
      </c>
      <c r="T10" s="119">
        <v>0</v>
      </c>
      <c r="U10" s="119">
        <v>0</v>
      </c>
      <c r="V10" s="119">
        <v>0</v>
      </c>
      <c r="W10" s="119">
        <v>0</v>
      </c>
      <c r="X10" s="133">
        <v>0</v>
      </c>
      <c r="Y10" s="119">
        <v>1</v>
      </c>
      <c r="Z10" s="119" t="s">
        <v>153</v>
      </c>
      <c r="AA10" s="119">
        <v>400</v>
      </c>
      <c r="AB10" s="119">
        <v>0</v>
      </c>
      <c r="AC10" s="133">
        <v>0</v>
      </c>
      <c r="AD10" s="119">
        <v>0</v>
      </c>
      <c r="AE10" s="119">
        <v>0</v>
      </c>
      <c r="AF10" s="119">
        <v>0</v>
      </c>
      <c r="AG10" s="119">
        <v>0</v>
      </c>
      <c r="AH10" s="133">
        <v>0</v>
      </c>
      <c r="AI10" s="119">
        <v>0</v>
      </c>
      <c r="AJ10" s="119">
        <v>0</v>
      </c>
      <c r="AK10" s="119">
        <v>0</v>
      </c>
      <c r="AL10" s="119">
        <v>0</v>
      </c>
      <c r="AM10" s="133">
        <v>0</v>
      </c>
      <c r="AN10" s="119">
        <v>1</v>
      </c>
      <c r="AO10" s="119" t="s">
        <v>177</v>
      </c>
      <c r="AP10" s="119">
        <v>0</v>
      </c>
      <c r="AQ10" s="119">
        <v>0</v>
      </c>
      <c r="AR10" s="133"/>
      <c r="AS10" s="119"/>
      <c r="AT10" s="119"/>
      <c r="AU10" s="119"/>
      <c r="AV10" s="119"/>
      <c r="AW10" s="133"/>
      <c r="AX10" s="119"/>
      <c r="AY10" s="119"/>
      <c r="AZ10" s="119"/>
      <c r="BA10" s="119"/>
      <c r="BB10" s="133"/>
      <c r="BC10" s="119"/>
      <c r="BD10" s="119"/>
      <c r="BE10" s="119"/>
      <c r="BF10" s="119"/>
      <c r="BG10" s="133"/>
      <c r="BH10" s="119"/>
      <c r="BI10" s="119"/>
      <c r="BJ10" s="119"/>
      <c r="BK10" s="119"/>
      <c r="BL10" s="133"/>
      <c r="BM10" s="119"/>
      <c r="BN10" s="119"/>
      <c r="BO10" s="119"/>
      <c r="BP10" s="119"/>
      <c r="BQ10" s="133"/>
      <c r="BR10" s="119"/>
      <c r="BS10" s="119"/>
      <c r="BT10" s="119"/>
      <c r="BU10" s="119"/>
      <c r="BV10" s="133"/>
      <c r="BW10" s="119"/>
      <c r="BX10" s="119"/>
      <c r="BY10" s="119"/>
      <c r="BZ10" s="119"/>
      <c r="CA10" s="133"/>
      <c r="CB10" s="119"/>
      <c r="CC10" s="119"/>
      <c r="CD10" s="119"/>
      <c r="CE10" s="119"/>
      <c r="CF10" s="133"/>
    </row>
    <row r="11" spans="1:84" ht="12.75">
      <c r="A11" s="119" t="s">
        <v>181</v>
      </c>
      <c r="B11" s="119" t="s">
        <v>182</v>
      </c>
      <c r="C11" s="119" t="s">
        <v>183</v>
      </c>
      <c r="D11" s="119" t="s">
        <v>158</v>
      </c>
      <c r="E11" s="119" t="s">
        <v>129</v>
      </c>
      <c r="F11" s="131">
        <f t="shared" si="0"/>
        <v>0</v>
      </c>
      <c r="G11" s="119">
        <f t="shared" si="1"/>
        <v>0</v>
      </c>
      <c r="H11" s="119">
        <f t="shared" ref="H11:I11" si="11">SUM(L11,Q11,V11,AA11,AF11,AK11,AP11,AU11,AZ11,BE11,BJ11,BO11,BT11,BY11,CD11)</f>
        <v>0</v>
      </c>
      <c r="I11" s="132">
        <f t="shared" si="11"/>
        <v>0</v>
      </c>
      <c r="J11" s="119">
        <v>0</v>
      </c>
      <c r="K11" s="119">
        <v>0</v>
      </c>
      <c r="L11" s="119">
        <v>0</v>
      </c>
      <c r="M11" s="119">
        <v>0</v>
      </c>
      <c r="N11" s="133">
        <v>0</v>
      </c>
      <c r="O11" s="119">
        <v>0</v>
      </c>
      <c r="P11" s="119">
        <v>0</v>
      </c>
      <c r="Q11" s="119">
        <v>0</v>
      </c>
      <c r="R11" s="119">
        <v>0</v>
      </c>
      <c r="S11" s="133">
        <v>0</v>
      </c>
      <c r="T11" s="119">
        <v>0</v>
      </c>
      <c r="U11" s="119">
        <v>0</v>
      </c>
      <c r="V11" s="119">
        <v>0</v>
      </c>
      <c r="W11" s="119">
        <v>0</v>
      </c>
      <c r="X11" s="133">
        <v>0</v>
      </c>
      <c r="Y11" s="119">
        <v>0</v>
      </c>
      <c r="Z11" s="119">
        <v>0</v>
      </c>
      <c r="AA11" s="119">
        <v>0</v>
      </c>
      <c r="AB11" s="119">
        <v>0</v>
      </c>
      <c r="AC11" s="133">
        <v>0</v>
      </c>
      <c r="AD11" s="119">
        <v>0</v>
      </c>
      <c r="AE11" s="119">
        <v>0</v>
      </c>
      <c r="AF11" s="119">
        <v>0</v>
      </c>
      <c r="AG11" s="119">
        <v>0</v>
      </c>
      <c r="AH11" s="133">
        <v>0</v>
      </c>
      <c r="AI11" s="119">
        <v>0</v>
      </c>
      <c r="AJ11" s="119">
        <v>0</v>
      </c>
      <c r="AK11" s="119">
        <v>0</v>
      </c>
      <c r="AL11" s="119">
        <v>0</v>
      </c>
      <c r="AM11" s="133">
        <v>0</v>
      </c>
      <c r="AN11" s="119">
        <v>0</v>
      </c>
      <c r="AO11" s="119">
        <v>0</v>
      </c>
      <c r="AP11" s="119">
        <v>0</v>
      </c>
      <c r="AQ11" s="119">
        <v>0</v>
      </c>
      <c r="AR11" s="133">
        <v>0</v>
      </c>
      <c r="AS11" s="119"/>
      <c r="AT11" s="119"/>
      <c r="AU11" s="119"/>
      <c r="AV11" s="119"/>
      <c r="AW11" s="133"/>
      <c r="AX11" s="119"/>
      <c r="AY11" s="119"/>
      <c r="AZ11" s="119"/>
      <c r="BA11" s="119"/>
      <c r="BB11" s="133"/>
      <c r="BC11" s="119"/>
      <c r="BD11" s="119"/>
      <c r="BE11" s="119"/>
      <c r="BF11" s="119"/>
      <c r="BG11" s="133"/>
      <c r="BH11" s="119"/>
      <c r="BI11" s="119"/>
      <c r="BJ11" s="119"/>
      <c r="BK11" s="119"/>
      <c r="BL11" s="133"/>
      <c r="BM11" s="119"/>
      <c r="BN11" s="119"/>
      <c r="BO11" s="119"/>
      <c r="BP11" s="119"/>
      <c r="BQ11" s="133"/>
      <c r="BR11" s="119"/>
      <c r="BS11" s="119"/>
      <c r="BT11" s="119"/>
      <c r="BU11" s="119"/>
      <c r="BV11" s="133"/>
      <c r="BW11" s="119"/>
      <c r="BX11" s="119"/>
      <c r="BY11" s="119"/>
      <c r="BZ11" s="119"/>
      <c r="CA11" s="133"/>
      <c r="CB11" s="119"/>
      <c r="CC11" s="119"/>
      <c r="CD11" s="119"/>
      <c r="CE11" s="119"/>
      <c r="CF11" s="133"/>
    </row>
    <row r="12" spans="1:84" ht="12.75">
      <c r="A12" s="119" t="s">
        <v>184</v>
      </c>
      <c r="B12" s="119" t="s">
        <v>185</v>
      </c>
      <c r="C12" s="119" t="s">
        <v>186</v>
      </c>
      <c r="D12" s="119" t="s">
        <v>158</v>
      </c>
      <c r="E12" s="119" t="s">
        <v>129</v>
      </c>
      <c r="F12" s="131">
        <f t="shared" si="0"/>
        <v>0</v>
      </c>
      <c r="G12" s="119">
        <f t="shared" si="1"/>
        <v>0</v>
      </c>
      <c r="H12" s="119">
        <f t="shared" ref="H12:I12" si="12">SUM(L12,Q12,V12,AA12,AF12,AK12,AP12,AU12,AZ12,BE12,BJ12,BO12,BT12,BY12,CD12)</f>
        <v>0</v>
      </c>
      <c r="I12" s="132">
        <f t="shared" si="12"/>
        <v>0</v>
      </c>
      <c r="J12" s="119">
        <v>0</v>
      </c>
      <c r="K12" s="119">
        <v>0</v>
      </c>
      <c r="L12" s="119">
        <v>0</v>
      </c>
      <c r="M12" s="119">
        <v>0</v>
      </c>
      <c r="N12" s="133">
        <v>0</v>
      </c>
      <c r="O12" s="119">
        <v>0</v>
      </c>
      <c r="P12" s="119">
        <v>0</v>
      </c>
      <c r="Q12" s="119">
        <v>0</v>
      </c>
      <c r="R12" s="119">
        <v>0</v>
      </c>
      <c r="S12" s="133">
        <v>0</v>
      </c>
      <c r="T12" s="119">
        <v>0</v>
      </c>
      <c r="U12" s="119">
        <v>0</v>
      </c>
      <c r="V12" s="119">
        <v>0</v>
      </c>
      <c r="W12" s="119">
        <v>0</v>
      </c>
      <c r="X12" s="133">
        <v>0</v>
      </c>
      <c r="Y12" s="119">
        <v>0</v>
      </c>
      <c r="Z12" s="119">
        <v>0</v>
      </c>
      <c r="AA12" s="119">
        <v>0</v>
      </c>
      <c r="AB12" s="119">
        <v>0</v>
      </c>
      <c r="AC12" s="133">
        <v>0</v>
      </c>
      <c r="AD12" s="119">
        <v>0</v>
      </c>
      <c r="AE12" s="119">
        <v>0</v>
      </c>
      <c r="AF12" s="119">
        <v>0</v>
      </c>
      <c r="AG12" s="119">
        <v>0</v>
      </c>
      <c r="AH12" s="133">
        <v>0</v>
      </c>
      <c r="AI12" s="119">
        <v>0</v>
      </c>
      <c r="AJ12" s="119">
        <v>0</v>
      </c>
      <c r="AK12" s="119">
        <v>0</v>
      </c>
      <c r="AL12" s="119">
        <v>0</v>
      </c>
      <c r="AM12" s="133">
        <v>0</v>
      </c>
      <c r="AN12" s="119">
        <v>0</v>
      </c>
      <c r="AO12" s="119">
        <v>0</v>
      </c>
      <c r="AP12" s="119">
        <v>0</v>
      </c>
      <c r="AQ12" s="119">
        <v>0</v>
      </c>
      <c r="AR12" s="133">
        <v>0</v>
      </c>
      <c r="AS12" s="119"/>
      <c r="AT12" s="119"/>
      <c r="AU12" s="119"/>
      <c r="AV12" s="119"/>
      <c r="AW12" s="133"/>
      <c r="AX12" s="119"/>
      <c r="AY12" s="119"/>
      <c r="AZ12" s="119"/>
      <c r="BA12" s="119"/>
      <c r="BB12" s="133"/>
      <c r="BC12" s="119"/>
      <c r="BD12" s="119"/>
      <c r="BE12" s="119"/>
      <c r="BF12" s="119"/>
      <c r="BG12" s="133"/>
      <c r="BH12" s="119"/>
      <c r="BI12" s="119"/>
      <c r="BJ12" s="119"/>
      <c r="BK12" s="119"/>
      <c r="BL12" s="133"/>
      <c r="BM12" s="119"/>
      <c r="BN12" s="119"/>
      <c r="BO12" s="119"/>
      <c r="BP12" s="119"/>
      <c r="BQ12" s="133"/>
      <c r="BR12" s="119"/>
      <c r="BS12" s="119"/>
      <c r="BT12" s="119"/>
      <c r="BU12" s="119"/>
      <c r="BV12" s="133"/>
      <c r="BW12" s="119"/>
      <c r="BX12" s="119"/>
      <c r="BY12" s="119"/>
      <c r="BZ12" s="119"/>
      <c r="CA12" s="133"/>
      <c r="CB12" s="119"/>
      <c r="CC12" s="119"/>
      <c r="CD12" s="119"/>
      <c r="CE12" s="119"/>
      <c r="CF12" s="133"/>
    </row>
    <row r="13" spans="1:84" ht="12.75">
      <c r="A13" s="119" t="s">
        <v>187</v>
      </c>
      <c r="B13" s="119" t="s">
        <v>188</v>
      </c>
      <c r="C13" s="119" t="s">
        <v>189</v>
      </c>
      <c r="D13" s="119" t="s">
        <v>158</v>
      </c>
      <c r="E13" s="119" t="s">
        <v>129</v>
      </c>
      <c r="F13" s="131">
        <f t="shared" si="0"/>
        <v>0</v>
      </c>
      <c r="G13" s="119">
        <f t="shared" si="1"/>
        <v>0</v>
      </c>
      <c r="H13" s="119">
        <f t="shared" ref="H13:I13" si="13">SUM(L13,Q13,V13,AA13,AF13,AK13,AP13,AU13,AZ13,BE13,BJ13,BO13,BT13,BY13,CD13)</f>
        <v>0</v>
      </c>
      <c r="I13" s="132">
        <f t="shared" si="13"/>
        <v>0</v>
      </c>
      <c r="J13" s="119">
        <v>0</v>
      </c>
      <c r="K13" s="119">
        <v>0</v>
      </c>
      <c r="L13" s="119">
        <v>0</v>
      </c>
      <c r="M13" s="119">
        <v>0</v>
      </c>
      <c r="N13" s="133">
        <v>0</v>
      </c>
      <c r="O13" s="119">
        <v>0</v>
      </c>
      <c r="P13" s="119">
        <v>0</v>
      </c>
      <c r="Q13" s="119">
        <v>0</v>
      </c>
      <c r="R13" s="119">
        <v>0</v>
      </c>
      <c r="S13" s="133">
        <v>0</v>
      </c>
      <c r="T13" s="119">
        <v>0</v>
      </c>
      <c r="U13" s="119">
        <v>0</v>
      </c>
      <c r="V13" s="119">
        <v>0</v>
      </c>
      <c r="W13" s="119">
        <v>0</v>
      </c>
      <c r="X13" s="133">
        <v>0</v>
      </c>
      <c r="Y13" s="119">
        <v>0</v>
      </c>
      <c r="Z13" s="119">
        <v>0</v>
      </c>
      <c r="AA13" s="119">
        <v>0</v>
      </c>
      <c r="AB13" s="119">
        <v>0</v>
      </c>
      <c r="AC13" s="133">
        <v>0</v>
      </c>
      <c r="AD13" s="119">
        <v>0</v>
      </c>
      <c r="AE13" s="119">
        <v>0</v>
      </c>
      <c r="AF13" s="119">
        <v>0</v>
      </c>
      <c r="AG13" s="119">
        <v>0</v>
      </c>
      <c r="AH13" s="133">
        <v>0</v>
      </c>
      <c r="AI13" s="119">
        <v>0</v>
      </c>
      <c r="AJ13" s="119">
        <v>0</v>
      </c>
      <c r="AK13" s="119">
        <v>0</v>
      </c>
      <c r="AL13" s="119">
        <v>0</v>
      </c>
      <c r="AM13" s="133">
        <v>0</v>
      </c>
      <c r="AN13" s="119">
        <v>0</v>
      </c>
      <c r="AO13" s="119">
        <v>0</v>
      </c>
      <c r="AP13" s="119">
        <v>0</v>
      </c>
      <c r="AQ13" s="119">
        <v>0</v>
      </c>
      <c r="AR13" s="133">
        <v>0</v>
      </c>
      <c r="AS13" s="119"/>
      <c r="AT13" s="119"/>
      <c r="AU13" s="119"/>
      <c r="AV13" s="119"/>
      <c r="AW13" s="133"/>
      <c r="AX13" s="119"/>
      <c r="AY13" s="119"/>
      <c r="AZ13" s="119"/>
      <c r="BA13" s="119"/>
      <c r="BB13" s="133"/>
      <c r="BC13" s="119"/>
      <c r="BD13" s="119"/>
      <c r="BE13" s="119"/>
      <c r="BF13" s="119"/>
      <c r="BG13" s="133"/>
      <c r="BH13" s="119"/>
      <c r="BI13" s="119"/>
      <c r="BJ13" s="119"/>
      <c r="BK13" s="119"/>
      <c r="BL13" s="133"/>
      <c r="BM13" s="119"/>
      <c r="BN13" s="119"/>
      <c r="BO13" s="119"/>
      <c r="BP13" s="119"/>
      <c r="BQ13" s="133"/>
      <c r="BR13" s="119"/>
      <c r="BS13" s="119"/>
      <c r="BT13" s="119"/>
      <c r="BU13" s="119"/>
      <c r="BV13" s="133"/>
      <c r="BW13" s="119"/>
      <c r="BX13" s="119"/>
      <c r="BY13" s="119"/>
      <c r="BZ13" s="119"/>
      <c r="CA13" s="133"/>
      <c r="CB13" s="119"/>
      <c r="CC13" s="119"/>
      <c r="CD13" s="119"/>
      <c r="CE13" s="119"/>
      <c r="CF13" s="133"/>
    </row>
    <row r="14" spans="1:84" ht="12.75">
      <c r="A14" s="119" t="s">
        <v>190</v>
      </c>
      <c r="B14" s="119" t="s">
        <v>191</v>
      </c>
      <c r="C14" s="119" t="s">
        <v>192</v>
      </c>
      <c r="D14" s="119" t="s">
        <v>158</v>
      </c>
      <c r="E14" s="119" t="s">
        <v>129</v>
      </c>
      <c r="F14" s="131">
        <f t="shared" si="0"/>
        <v>0</v>
      </c>
      <c r="G14" s="119">
        <f t="shared" si="1"/>
        <v>0</v>
      </c>
      <c r="H14" s="119">
        <f t="shared" ref="H14:I14" si="14">SUM(L14,Q14,V14,AA14,AF14,AK14,AP14,AU14,AZ14,BE14,BJ14,BO14,BT14,BY14,CD14)</f>
        <v>0</v>
      </c>
      <c r="I14" s="132">
        <f t="shared" si="14"/>
        <v>0</v>
      </c>
      <c r="J14" s="119">
        <v>0</v>
      </c>
      <c r="K14" s="119">
        <v>0</v>
      </c>
      <c r="L14" s="119">
        <v>0</v>
      </c>
      <c r="M14" s="119">
        <v>0</v>
      </c>
      <c r="N14" s="133">
        <v>0</v>
      </c>
      <c r="O14" s="119">
        <v>0</v>
      </c>
      <c r="P14" s="119">
        <v>0</v>
      </c>
      <c r="Q14" s="119">
        <v>0</v>
      </c>
      <c r="R14" s="119">
        <v>0</v>
      </c>
      <c r="S14" s="133">
        <v>0</v>
      </c>
      <c r="T14" s="119">
        <v>0</v>
      </c>
      <c r="U14" s="119">
        <v>0</v>
      </c>
      <c r="V14" s="119">
        <v>0</v>
      </c>
      <c r="W14" s="119">
        <v>0</v>
      </c>
      <c r="X14" s="133">
        <v>0</v>
      </c>
      <c r="Y14" s="119">
        <v>0</v>
      </c>
      <c r="Z14" s="119">
        <v>0</v>
      </c>
      <c r="AA14" s="119">
        <v>0</v>
      </c>
      <c r="AB14" s="119">
        <v>0</v>
      </c>
      <c r="AC14" s="133">
        <v>0</v>
      </c>
      <c r="AD14" s="119">
        <v>0</v>
      </c>
      <c r="AE14" s="119">
        <v>0</v>
      </c>
      <c r="AF14" s="119">
        <v>0</v>
      </c>
      <c r="AG14" s="119">
        <v>0</v>
      </c>
      <c r="AH14" s="133">
        <v>0</v>
      </c>
      <c r="AI14" s="119">
        <v>0</v>
      </c>
      <c r="AJ14" s="119">
        <v>0</v>
      </c>
      <c r="AK14" s="119">
        <v>0</v>
      </c>
      <c r="AL14" s="119">
        <v>0</v>
      </c>
      <c r="AM14" s="133">
        <v>0</v>
      </c>
      <c r="AN14" s="119">
        <v>0</v>
      </c>
      <c r="AO14" s="119">
        <v>0</v>
      </c>
      <c r="AP14" s="119">
        <v>0</v>
      </c>
      <c r="AQ14" s="119">
        <v>0</v>
      </c>
      <c r="AR14" s="133">
        <v>0</v>
      </c>
      <c r="AS14" s="119"/>
      <c r="AT14" s="119"/>
      <c r="AU14" s="119"/>
      <c r="AV14" s="119"/>
      <c r="AW14" s="133"/>
      <c r="AX14" s="119"/>
      <c r="AY14" s="119"/>
      <c r="AZ14" s="119"/>
      <c r="BA14" s="119"/>
      <c r="BB14" s="133"/>
      <c r="BC14" s="119"/>
      <c r="BD14" s="119"/>
      <c r="BE14" s="119"/>
      <c r="BF14" s="119"/>
      <c r="BG14" s="133"/>
      <c r="BH14" s="119"/>
      <c r="BI14" s="119"/>
      <c r="BJ14" s="119"/>
      <c r="BK14" s="119"/>
      <c r="BL14" s="133"/>
      <c r="BM14" s="119"/>
      <c r="BN14" s="119"/>
      <c r="BO14" s="119"/>
      <c r="BP14" s="119"/>
      <c r="BQ14" s="133"/>
      <c r="BR14" s="119"/>
      <c r="BS14" s="119"/>
      <c r="BT14" s="119"/>
      <c r="BU14" s="119"/>
      <c r="BV14" s="133"/>
      <c r="BW14" s="119"/>
      <c r="BX14" s="119"/>
      <c r="BY14" s="119"/>
      <c r="BZ14" s="119"/>
      <c r="CA14" s="133"/>
      <c r="CB14" s="119"/>
      <c r="CC14" s="119"/>
      <c r="CD14" s="119"/>
      <c r="CE14" s="119"/>
      <c r="CF14" s="133"/>
    </row>
    <row r="15" spans="1:84" ht="12.75">
      <c r="A15" s="119" t="s">
        <v>193</v>
      </c>
      <c r="B15" s="119" t="s">
        <v>194</v>
      </c>
      <c r="C15" s="119" t="s">
        <v>176</v>
      </c>
      <c r="D15" s="119" t="s">
        <v>152</v>
      </c>
      <c r="E15" s="119" t="s">
        <v>129</v>
      </c>
      <c r="F15" s="131">
        <f t="shared" si="0"/>
        <v>0</v>
      </c>
      <c r="G15" s="119">
        <f t="shared" si="1"/>
        <v>0</v>
      </c>
      <c r="H15" s="119">
        <f t="shared" ref="H15:I15" si="15">SUM(L15,Q15,V15,AA15,AF15,AK15,AP15,AU15,AZ15,BE15,BJ15,BO15,BT15,BY15,CD15)</f>
        <v>0</v>
      </c>
      <c r="I15" s="132">
        <f t="shared" si="15"/>
        <v>0</v>
      </c>
      <c r="J15" s="119">
        <v>0</v>
      </c>
      <c r="K15" s="119">
        <v>0</v>
      </c>
      <c r="L15" s="119">
        <v>0</v>
      </c>
      <c r="M15" s="119">
        <v>0</v>
      </c>
      <c r="N15" s="133">
        <v>0</v>
      </c>
      <c r="O15" s="119">
        <v>0</v>
      </c>
      <c r="P15" s="119">
        <v>0</v>
      </c>
      <c r="Q15" s="119">
        <v>0</v>
      </c>
      <c r="R15" s="119">
        <v>0</v>
      </c>
      <c r="S15" s="133">
        <v>0</v>
      </c>
      <c r="T15" s="119">
        <v>0</v>
      </c>
      <c r="U15" s="119">
        <v>0</v>
      </c>
      <c r="V15" s="119">
        <v>0</v>
      </c>
      <c r="W15" s="119">
        <v>0</v>
      </c>
      <c r="X15" s="133">
        <v>0</v>
      </c>
      <c r="Y15" s="119">
        <v>0</v>
      </c>
      <c r="Z15" s="119">
        <v>0</v>
      </c>
      <c r="AA15" s="119">
        <v>0</v>
      </c>
      <c r="AB15" s="119">
        <v>0</v>
      </c>
      <c r="AC15" s="133">
        <v>0</v>
      </c>
      <c r="AD15" s="119">
        <v>0</v>
      </c>
      <c r="AE15" s="119">
        <v>0</v>
      </c>
      <c r="AF15" s="119">
        <v>0</v>
      </c>
      <c r="AG15" s="119">
        <v>0</v>
      </c>
      <c r="AH15" s="133">
        <v>0</v>
      </c>
      <c r="AI15" s="119">
        <v>0</v>
      </c>
      <c r="AJ15" s="119">
        <v>0</v>
      </c>
      <c r="AK15" s="119">
        <v>0</v>
      </c>
      <c r="AL15" s="119">
        <v>0</v>
      </c>
      <c r="AM15" s="133">
        <v>0</v>
      </c>
      <c r="AN15" s="119">
        <v>0</v>
      </c>
      <c r="AO15" s="119">
        <v>0</v>
      </c>
      <c r="AP15" s="119">
        <v>0</v>
      </c>
      <c r="AQ15" s="119">
        <v>0</v>
      </c>
      <c r="AR15" s="133">
        <v>0</v>
      </c>
      <c r="AS15" s="119"/>
      <c r="AT15" s="119"/>
      <c r="AU15" s="119"/>
      <c r="AV15" s="119"/>
      <c r="AW15" s="133"/>
      <c r="AX15" s="119"/>
      <c r="AY15" s="119"/>
      <c r="AZ15" s="119"/>
      <c r="BA15" s="119"/>
      <c r="BB15" s="133"/>
      <c r="BC15" s="119"/>
      <c r="BD15" s="119"/>
      <c r="BE15" s="119"/>
      <c r="BF15" s="119"/>
      <c r="BG15" s="133"/>
      <c r="BH15" s="119"/>
      <c r="BI15" s="119"/>
      <c r="BJ15" s="119"/>
      <c r="BK15" s="119"/>
      <c r="BL15" s="133"/>
      <c r="BM15" s="119"/>
      <c r="BN15" s="119"/>
      <c r="BO15" s="119"/>
      <c r="BP15" s="119"/>
      <c r="BQ15" s="133"/>
      <c r="BR15" s="119"/>
      <c r="BS15" s="119"/>
      <c r="BT15" s="119"/>
      <c r="BU15" s="119"/>
      <c r="BV15" s="133"/>
      <c r="BW15" s="119"/>
      <c r="BX15" s="119"/>
      <c r="BY15" s="119"/>
      <c r="BZ15" s="119"/>
      <c r="CA15" s="133"/>
      <c r="CB15" s="119"/>
      <c r="CC15" s="119"/>
      <c r="CD15" s="119"/>
      <c r="CE15" s="119"/>
      <c r="CF15" s="133"/>
    </row>
    <row r="16" spans="1:84" ht="12.75">
      <c r="A16" s="119" t="s">
        <v>195</v>
      </c>
      <c r="B16" s="119" t="s">
        <v>196</v>
      </c>
      <c r="C16" s="119" t="s">
        <v>197</v>
      </c>
      <c r="D16" s="119" t="s">
        <v>152</v>
      </c>
      <c r="E16" s="119" t="s">
        <v>125</v>
      </c>
      <c r="F16" s="131">
        <f t="shared" si="0"/>
        <v>0</v>
      </c>
      <c r="G16" s="119">
        <f t="shared" si="1"/>
        <v>0</v>
      </c>
      <c r="H16" s="119">
        <f t="shared" ref="H16:I16" si="16">SUM(L16,Q16,V16,AA16,AF16,AK16,AP16,AU16,AZ16,BE16,BJ16,BO16,BT16,BY16,CD16)</f>
        <v>0</v>
      </c>
      <c r="I16" s="132">
        <f t="shared" si="16"/>
        <v>0</v>
      </c>
      <c r="J16" s="119">
        <v>0</v>
      </c>
      <c r="K16" s="119"/>
      <c r="L16" s="119"/>
      <c r="M16" s="119"/>
      <c r="N16" s="133"/>
      <c r="O16" s="119">
        <v>0</v>
      </c>
      <c r="P16" s="119"/>
      <c r="Q16" s="119"/>
      <c r="R16" s="119"/>
      <c r="S16" s="133"/>
      <c r="T16" s="119">
        <v>0</v>
      </c>
      <c r="U16" s="119"/>
      <c r="V16" s="119"/>
      <c r="W16" s="119"/>
      <c r="X16" s="133"/>
      <c r="Y16" s="119">
        <v>0</v>
      </c>
      <c r="Z16" s="119"/>
      <c r="AA16" s="119"/>
      <c r="AB16" s="119"/>
      <c r="AC16" s="133"/>
      <c r="AD16" s="119"/>
      <c r="AE16" s="119"/>
      <c r="AF16" s="119"/>
      <c r="AG16" s="119"/>
      <c r="AH16" s="133"/>
      <c r="AI16" s="119"/>
      <c r="AJ16" s="119"/>
      <c r="AK16" s="119"/>
      <c r="AL16" s="119"/>
      <c r="AM16" s="133"/>
      <c r="AN16" s="119"/>
      <c r="AO16" s="119"/>
      <c r="AP16" s="119"/>
      <c r="AQ16" s="119"/>
      <c r="AR16" s="133"/>
      <c r="AS16" s="119"/>
      <c r="AT16" s="119"/>
      <c r="AU16" s="119"/>
      <c r="AV16" s="119"/>
      <c r="AW16" s="133"/>
      <c r="AX16" s="119"/>
      <c r="AY16" s="119"/>
      <c r="AZ16" s="119"/>
      <c r="BA16" s="119"/>
      <c r="BB16" s="133"/>
      <c r="BC16" s="119"/>
      <c r="BD16" s="119"/>
      <c r="BE16" s="119"/>
      <c r="BF16" s="119"/>
      <c r="BG16" s="133"/>
      <c r="BH16" s="119"/>
      <c r="BI16" s="119"/>
      <c r="BJ16" s="119"/>
      <c r="BK16" s="119"/>
      <c r="BL16" s="133"/>
      <c r="BM16" s="119"/>
      <c r="BN16" s="119"/>
      <c r="BO16" s="119"/>
      <c r="BP16" s="119"/>
      <c r="BQ16" s="133"/>
      <c r="BR16" s="119"/>
      <c r="BS16" s="119"/>
      <c r="BT16" s="119"/>
      <c r="BU16" s="119"/>
      <c r="BV16" s="133"/>
      <c r="BW16" s="119"/>
      <c r="BX16" s="119"/>
      <c r="BY16" s="119"/>
      <c r="BZ16" s="119"/>
      <c r="CA16" s="133"/>
      <c r="CB16" s="119"/>
      <c r="CC16" s="119"/>
      <c r="CD16" s="119"/>
      <c r="CE16" s="119"/>
      <c r="CF16" s="133"/>
    </row>
    <row r="17" spans="1:84" ht="12.75">
      <c r="A17" s="119" t="s">
        <v>198</v>
      </c>
      <c r="B17" s="119" t="s">
        <v>199</v>
      </c>
      <c r="C17" s="119" t="s">
        <v>200</v>
      </c>
      <c r="D17" s="119" t="s">
        <v>158</v>
      </c>
      <c r="E17" s="119" t="s">
        <v>125</v>
      </c>
      <c r="F17" s="131">
        <f t="shared" si="0"/>
        <v>0</v>
      </c>
      <c r="G17" s="119">
        <f t="shared" si="1"/>
        <v>0</v>
      </c>
      <c r="H17" s="119">
        <f t="shared" ref="H17:I17" si="17">SUM(L17,Q17,V17,AA17,AF17,AK17,AP17,AU17,AZ17,BE17,BJ17,BO17,BT17,BY17,CD17)</f>
        <v>0</v>
      </c>
      <c r="I17" s="132">
        <f t="shared" si="17"/>
        <v>0</v>
      </c>
      <c r="J17" s="119">
        <v>0</v>
      </c>
      <c r="K17" s="119"/>
      <c r="L17" s="119"/>
      <c r="M17" s="119"/>
      <c r="N17" s="133"/>
      <c r="O17" s="119">
        <v>0</v>
      </c>
      <c r="P17" s="119"/>
      <c r="Q17" s="119"/>
      <c r="R17" s="119"/>
      <c r="S17" s="133"/>
      <c r="T17" s="119">
        <v>0</v>
      </c>
      <c r="U17" s="119"/>
      <c r="V17" s="119"/>
      <c r="W17" s="119"/>
      <c r="X17" s="133"/>
      <c r="Y17" s="119">
        <v>0</v>
      </c>
      <c r="Z17" s="119"/>
      <c r="AA17" s="119"/>
      <c r="AB17" s="119"/>
      <c r="AC17" s="133"/>
      <c r="AD17" s="119"/>
      <c r="AE17" s="119"/>
      <c r="AF17" s="119"/>
      <c r="AG17" s="119"/>
      <c r="AH17" s="133"/>
      <c r="AI17" s="119"/>
      <c r="AJ17" s="119"/>
      <c r="AK17" s="119"/>
      <c r="AL17" s="119"/>
      <c r="AM17" s="133"/>
      <c r="AN17" s="119"/>
      <c r="AO17" s="119"/>
      <c r="AP17" s="119"/>
      <c r="AQ17" s="119"/>
      <c r="AR17" s="133"/>
      <c r="AS17" s="119"/>
      <c r="AT17" s="119"/>
      <c r="AU17" s="119"/>
      <c r="AV17" s="119"/>
      <c r="AW17" s="133"/>
      <c r="AX17" s="119"/>
      <c r="AY17" s="119"/>
      <c r="AZ17" s="119"/>
      <c r="BA17" s="119"/>
      <c r="BB17" s="133"/>
      <c r="BC17" s="119"/>
      <c r="BD17" s="119"/>
      <c r="BE17" s="119"/>
      <c r="BF17" s="119"/>
      <c r="BG17" s="133"/>
      <c r="BH17" s="119"/>
      <c r="BI17" s="119"/>
      <c r="BJ17" s="119"/>
      <c r="BK17" s="119"/>
      <c r="BL17" s="133"/>
      <c r="BM17" s="119"/>
      <c r="BN17" s="119"/>
      <c r="BO17" s="119"/>
      <c r="BP17" s="119"/>
      <c r="BQ17" s="133"/>
      <c r="BR17" s="119"/>
      <c r="BS17" s="119"/>
      <c r="BT17" s="119"/>
      <c r="BU17" s="119"/>
      <c r="BV17" s="133"/>
      <c r="BW17" s="119"/>
      <c r="BX17" s="119"/>
      <c r="BY17" s="119"/>
      <c r="BZ17" s="119"/>
      <c r="CA17" s="133"/>
      <c r="CB17" s="119"/>
      <c r="CC17" s="119"/>
      <c r="CD17" s="119"/>
      <c r="CE17" s="119"/>
      <c r="CF17" s="133"/>
    </row>
    <row r="18" spans="1:84" ht="12.75">
      <c r="A18" s="119" t="s">
        <v>201</v>
      </c>
      <c r="B18" s="119" t="s">
        <v>202</v>
      </c>
      <c r="C18" s="119" t="s">
        <v>203</v>
      </c>
      <c r="D18" s="119" t="s">
        <v>158</v>
      </c>
      <c r="E18" s="119" t="s">
        <v>125</v>
      </c>
      <c r="F18" s="131">
        <f t="shared" si="0"/>
        <v>0</v>
      </c>
      <c r="G18" s="119">
        <f t="shared" si="1"/>
        <v>0</v>
      </c>
      <c r="H18" s="119">
        <f t="shared" ref="H18:I18" si="18">SUM(L18,Q18,V18,AA18,AF18,AK18,AP18,AU18,AZ18,BE18,BJ18,BO18,BT18,BY18,CD18)</f>
        <v>0</v>
      </c>
      <c r="I18" s="132">
        <f t="shared" si="18"/>
        <v>0</v>
      </c>
      <c r="J18" s="119">
        <v>0</v>
      </c>
      <c r="K18" s="119"/>
      <c r="L18" s="119"/>
      <c r="M18" s="119"/>
      <c r="N18" s="133"/>
      <c r="O18" s="119">
        <v>0</v>
      </c>
      <c r="P18" s="119"/>
      <c r="Q18" s="119"/>
      <c r="R18" s="119"/>
      <c r="S18" s="133"/>
      <c r="T18" s="119">
        <v>0</v>
      </c>
      <c r="U18" s="119"/>
      <c r="V18" s="119"/>
      <c r="W18" s="119"/>
      <c r="X18" s="133"/>
      <c r="Y18" s="119">
        <v>0</v>
      </c>
      <c r="Z18" s="119"/>
      <c r="AA18" s="119"/>
      <c r="AB18" s="119"/>
      <c r="AC18" s="133"/>
      <c r="AD18" s="119"/>
      <c r="AE18" s="119"/>
      <c r="AF18" s="119"/>
      <c r="AG18" s="119"/>
      <c r="AH18" s="133"/>
      <c r="AI18" s="119"/>
      <c r="AJ18" s="119"/>
      <c r="AK18" s="119"/>
      <c r="AL18" s="119"/>
      <c r="AM18" s="133"/>
      <c r="AN18" s="119"/>
      <c r="AO18" s="119"/>
      <c r="AP18" s="119"/>
      <c r="AQ18" s="119"/>
      <c r="AR18" s="133"/>
      <c r="AS18" s="119"/>
      <c r="AT18" s="119"/>
      <c r="AU18" s="119"/>
      <c r="AV18" s="119"/>
      <c r="AW18" s="133"/>
      <c r="AX18" s="119"/>
      <c r="AY18" s="119"/>
      <c r="AZ18" s="119"/>
      <c r="BA18" s="119"/>
      <c r="BB18" s="133"/>
      <c r="BC18" s="119"/>
      <c r="BD18" s="119"/>
      <c r="BE18" s="119"/>
      <c r="BF18" s="119"/>
      <c r="BG18" s="133"/>
      <c r="BH18" s="119"/>
      <c r="BI18" s="119"/>
      <c r="BJ18" s="119"/>
      <c r="BK18" s="119"/>
      <c r="BL18" s="133"/>
      <c r="BM18" s="119"/>
      <c r="BN18" s="119"/>
      <c r="BO18" s="119"/>
      <c r="BP18" s="119"/>
      <c r="BQ18" s="133"/>
      <c r="BR18" s="119"/>
      <c r="BS18" s="119"/>
      <c r="BT18" s="119"/>
      <c r="BU18" s="119"/>
      <c r="BV18" s="133"/>
      <c r="BW18" s="119"/>
      <c r="BX18" s="119"/>
      <c r="BY18" s="119"/>
      <c r="BZ18" s="119"/>
      <c r="CA18" s="133"/>
      <c r="CB18" s="119"/>
      <c r="CC18" s="119"/>
      <c r="CD18" s="119"/>
      <c r="CE18" s="119"/>
      <c r="CF18" s="133"/>
    </row>
    <row r="19" spans="1:84" ht="12.75">
      <c r="A19" s="119" t="s">
        <v>204</v>
      </c>
      <c r="B19" s="119" t="s">
        <v>205</v>
      </c>
      <c r="C19" s="119" t="s">
        <v>173</v>
      </c>
      <c r="D19" s="119" t="s">
        <v>158</v>
      </c>
      <c r="E19" s="119" t="s">
        <v>125</v>
      </c>
      <c r="F19" s="131">
        <f t="shared" si="0"/>
        <v>0</v>
      </c>
      <c r="G19" s="119">
        <f t="shared" si="1"/>
        <v>0</v>
      </c>
      <c r="H19" s="119">
        <f t="shared" ref="H19:I19" si="19">SUM(L19,Q19,V19,AA19,AF19,AK19,AP19,AU19,AZ19,BE19,BJ19,BO19,BT19,BY19,CD19)</f>
        <v>0</v>
      </c>
      <c r="I19" s="132">
        <f t="shared" si="19"/>
        <v>0</v>
      </c>
      <c r="J19" s="119">
        <v>0</v>
      </c>
      <c r="K19" s="119"/>
      <c r="L19" s="119"/>
      <c r="M19" s="119"/>
      <c r="N19" s="133"/>
      <c r="O19" s="119">
        <v>0</v>
      </c>
      <c r="P19" s="119"/>
      <c r="Q19" s="119"/>
      <c r="R19" s="119"/>
      <c r="S19" s="133"/>
      <c r="T19" s="119">
        <v>0</v>
      </c>
      <c r="U19" s="119"/>
      <c r="V19" s="119"/>
      <c r="W19" s="119"/>
      <c r="X19" s="133"/>
      <c r="Y19" s="119">
        <v>0</v>
      </c>
      <c r="Z19" s="119"/>
      <c r="AA19" s="119"/>
      <c r="AB19" s="119"/>
      <c r="AC19" s="133"/>
      <c r="AD19" s="119"/>
      <c r="AE19" s="119"/>
      <c r="AF19" s="119"/>
      <c r="AG19" s="119"/>
      <c r="AH19" s="133"/>
      <c r="AI19" s="119"/>
      <c r="AJ19" s="119"/>
      <c r="AK19" s="119"/>
      <c r="AL19" s="119"/>
      <c r="AM19" s="133"/>
      <c r="AN19" s="119"/>
      <c r="AO19" s="119"/>
      <c r="AP19" s="119"/>
      <c r="AQ19" s="119"/>
      <c r="AR19" s="133"/>
      <c r="AS19" s="119"/>
      <c r="AT19" s="119"/>
      <c r="AU19" s="119"/>
      <c r="AV19" s="119"/>
      <c r="AW19" s="133"/>
      <c r="AX19" s="119"/>
      <c r="AY19" s="119"/>
      <c r="AZ19" s="119"/>
      <c r="BA19" s="119"/>
      <c r="BB19" s="133"/>
      <c r="BC19" s="119"/>
      <c r="BD19" s="119"/>
      <c r="BE19" s="119"/>
      <c r="BF19" s="119"/>
      <c r="BG19" s="133"/>
      <c r="BH19" s="119"/>
      <c r="BI19" s="119"/>
      <c r="BJ19" s="119"/>
      <c r="BK19" s="119"/>
      <c r="BL19" s="133"/>
      <c r="BM19" s="119"/>
      <c r="BN19" s="119"/>
      <c r="BO19" s="119"/>
      <c r="BP19" s="119"/>
      <c r="BQ19" s="133"/>
      <c r="BR19" s="119"/>
      <c r="BS19" s="119"/>
      <c r="BT19" s="119"/>
      <c r="BU19" s="119"/>
      <c r="BV19" s="133"/>
      <c r="BW19" s="119"/>
      <c r="BX19" s="119"/>
      <c r="BY19" s="119"/>
      <c r="BZ19" s="119"/>
      <c r="CA19" s="133"/>
      <c r="CB19" s="119"/>
      <c r="CC19" s="119"/>
      <c r="CD19" s="119"/>
      <c r="CE19" s="119"/>
      <c r="CF19" s="133"/>
    </row>
    <row r="20" spans="1:84" ht="12.75">
      <c r="A20" s="119" t="s">
        <v>206</v>
      </c>
      <c r="B20" s="119" t="s">
        <v>207</v>
      </c>
      <c r="C20" s="119" t="s">
        <v>208</v>
      </c>
      <c r="D20" s="119" t="s">
        <v>158</v>
      </c>
      <c r="E20" s="119" t="s">
        <v>125</v>
      </c>
      <c r="F20" s="131">
        <f t="shared" si="0"/>
        <v>0</v>
      </c>
      <c r="G20" s="119">
        <f t="shared" si="1"/>
        <v>0</v>
      </c>
      <c r="H20" s="119">
        <f t="shared" ref="H20:I20" si="20">SUM(L20,Q20,V20,AA20,AF20,AK20,AP20,AU20,AZ20,BE20,BJ20,BO20,BT20,BY20,CD20)</f>
        <v>0</v>
      </c>
      <c r="I20" s="132">
        <f t="shared" si="20"/>
        <v>0</v>
      </c>
      <c r="J20" s="119">
        <v>0</v>
      </c>
      <c r="K20" s="119"/>
      <c r="L20" s="119"/>
      <c r="M20" s="119"/>
      <c r="N20" s="133"/>
      <c r="O20" s="119">
        <v>0</v>
      </c>
      <c r="P20" s="119"/>
      <c r="Q20" s="119"/>
      <c r="R20" s="119"/>
      <c r="S20" s="133"/>
      <c r="T20" s="119">
        <v>0</v>
      </c>
      <c r="U20" s="119"/>
      <c r="V20" s="119"/>
      <c r="W20" s="119"/>
      <c r="X20" s="133"/>
      <c r="Y20" s="119">
        <v>0</v>
      </c>
      <c r="Z20" s="119"/>
      <c r="AA20" s="119"/>
      <c r="AB20" s="119"/>
      <c r="AC20" s="133"/>
      <c r="AD20" s="119"/>
      <c r="AE20" s="119"/>
      <c r="AF20" s="119"/>
      <c r="AG20" s="119"/>
      <c r="AH20" s="133"/>
      <c r="AI20" s="119"/>
      <c r="AJ20" s="119"/>
      <c r="AK20" s="119"/>
      <c r="AL20" s="119"/>
      <c r="AM20" s="133"/>
      <c r="AN20" s="119"/>
      <c r="AO20" s="119"/>
      <c r="AP20" s="119"/>
      <c r="AQ20" s="119"/>
      <c r="AR20" s="133"/>
      <c r="AS20" s="119"/>
      <c r="AT20" s="119"/>
      <c r="AU20" s="119"/>
      <c r="AV20" s="119"/>
      <c r="AW20" s="133"/>
      <c r="AX20" s="119"/>
      <c r="AY20" s="119"/>
      <c r="AZ20" s="119"/>
      <c r="BA20" s="119"/>
      <c r="BB20" s="133"/>
      <c r="BC20" s="119"/>
      <c r="BD20" s="119"/>
      <c r="BE20" s="119"/>
      <c r="BF20" s="119"/>
      <c r="BG20" s="133"/>
      <c r="BH20" s="119"/>
      <c r="BI20" s="119"/>
      <c r="BJ20" s="119"/>
      <c r="BK20" s="119"/>
      <c r="BL20" s="133"/>
      <c r="BM20" s="119"/>
      <c r="BN20" s="119"/>
      <c r="BO20" s="119"/>
      <c r="BP20" s="119"/>
      <c r="BQ20" s="133"/>
      <c r="BR20" s="119"/>
      <c r="BS20" s="119"/>
      <c r="BT20" s="119"/>
      <c r="BU20" s="119"/>
      <c r="BV20" s="133"/>
      <c r="BW20" s="119"/>
      <c r="BX20" s="119"/>
      <c r="BY20" s="119"/>
      <c r="BZ20" s="119"/>
      <c r="CA20" s="133"/>
      <c r="CB20" s="119"/>
      <c r="CC20" s="119"/>
      <c r="CD20" s="119"/>
      <c r="CE20" s="119"/>
      <c r="CF20" s="133"/>
    </row>
    <row r="21" spans="1:84" ht="12.75">
      <c r="A21" s="119" t="s">
        <v>209</v>
      </c>
      <c r="B21" s="119" t="s">
        <v>210</v>
      </c>
      <c r="C21" s="119" t="s">
        <v>211</v>
      </c>
      <c r="D21" s="119" t="s">
        <v>158</v>
      </c>
      <c r="E21" s="119" t="s">
        <v>125</v>
      </c>
      <c r="F21" s="131">
        <f t="shared" si="0"/>
        <v>0</v>
      </c>
      <c r="G21" s="119">
        <f t="shared" si="1"/>
        <v>0</v>
      </c>
      <c r="H21" s="119">
        <f t="shared" ref="H21:I21" si="21">SUM(L21,Q21,V21,AA21,AF21,AK21,AP21,AU21,AZ21,BE21,BJ21,BO21,BT21,BY21,CD21)</f>
        <v>0</v>
      </c>
      <c r="I21" s="132">
        <f t="shared" si="21"/>
        <v>0</v>
      </c>
      <c r="J21" s="119">
        <v>0</v>
      </c>
      <c r="K21" s="119"/>
      <c r="L21" s="119"/>
      <c r="M21" s="119"/>
      <c r="N21" s="133"/>
      <c r="O21" s="119">
        <v>0</v>
      </c>
      <c r="P21" s="119"/>
      <c r="Q21" s="119"/>
      <c r="R21" s="119"/>
      <c r="S21" s="133"/>
      <c r="T21" s="119">
        <v>0</v>
      </c>
      <c r="U21" s="119"/>
      <c r="V21" s="119"/>
      <c r="W21" s="119"/>
      <c r="X21" s="133"/>
      <c r="Y21" s="119">
        <v>0</v>
      </c>
      <c r="Z21" s="119"/>
      <c r="AA21" s="119"/>
      <c r="AB21" s="119"/>
      <c r="AC21" s="133"/>
      <c r="AD21" s="119"/>
      <c r="AE21" s="119"/>
      <c r="AF21" s="119"/>
      <c r="AG21" s="119"/>
      <c r="AH21" s="133"/>
      <c r="AI21" s="119"/>
      <c r="AJ21" s="119"/>
      <c r="AK21" s="119"/>
      <c r="AL21" s="119"/>
      <c r="AM21" s="133"/>
      <c r="AN21" s="119"/>
      <c r="AO21" s="119"/>
      <c r="AP21" s="119"/>
      <c r="AQ21" s="119"/>
      <c r="AR21" s="133"/>
      <c r="AS21" s="119"/>
      <c r="AT21" s="119"/>
      <c r="AU21" s="119"/>
      <c r="AV21" s="119"/>
      <c r="AW21" s="133"/>
      <c r="AX21" s="119"/>
      <c r="AY21" s="119"/>
      <c r="AZ21" s="119"/>
      <c r="BA21" s="119"/>
      <c r="BB21" s="133"/>
      <c r="BC21" s="119"/>
      <c r="BD21" s="119"/>
      <c r="BE21" s="119"/>
      <c r="BF21" s="119"/>
      <c r="BG21" s="133"/>
      <c r="BH21" s="119"/>
      <c r="BI21" s="119"/>
      <c r="BJ21" s="119"/>
      <c r="BK21" s="119"/>
      <c r="BL21" s="133"/>
      <c r="BM21" s="119"/>
      <c r="BN21" s="119"/>
      <c r="BO21" s="119"/>
      <c r="BP21" s="119"/>
      <c r="BQ21" s="133"/>
      <c r="BR21" s="119"/>
      <c r="BS21" s="119"/>
      <c r="BT21" s="119"/>
      <c r="BU21" s="119"/>
      <c r="BV21" s="133"/>
      <c r="BW21" s="119"/>
      <c r="BX21" s="119"/>
      <c r="BY21" s="119"/>
      <c r="BZ21" s="119"/>
      <c r="CA21" s="133"/>
      <c r="CB21" s="119"/>
      <c r="CC21" s="119"/>
      <c r="CD21" s="119"/>
      <c r="CE21" s="119"/>
      <c r="CF21" s="133"/>
    </row>
    <row r="22" spans="1:84" ht="12.75">
      <c r="A22" s="119" t="s">
        <v>212</v>
      </c>
      <c r="B22" s="119" t="s">
        <v>213</v>
      </c>
      <c r="C22" s="119" t="s">
        <v>214</v>
      </c>
      <c r="D22" s="119" t="s">
        <v>152</v>
      </c>
      <c r="E22" s="119" t="s">
        <v>125</v>
      </c>
      <c r="F22" s="131">
        <f t="shared" si="0"/>
        <v>0</v>
      </c>
      <c r="G22" s="119">
        <f t="shared" si="1"/>
        <v>0</v>
      </c>
      <c r="H22" s="119">
        <f t="shared" ref="H22:I22" si="22">SUM(L22,Q22,V22,AA22,AF22,AK22,AP22,AU22,AZ22,BE22,BJ22,BO22,BT22,BY22,CD22)</f>
        <v>0</v>
      </c>
      <c r="I22" s="132">
        <f t="shared" si="22"/>
        <v>0</v>
      </c>
      <c r="J22" s="119">
        <v>0</v>
      </c>
      <c r="K22" s="119"/>
      <c r="L22" s="119"/>
      <c r="M22" s="119"/>
      <c r="N22" s="133"/>
      <c r="O22" s="119">
        <v>0</v>
      </c>
      <c r="P22" s="119"/>
      <c r="Q22" s="119"/>
      <c r="R22" s="119"/>
      <c r="S22" s="133"/>
      <c r="T22" s="119">
        <v>0</v>
      </c>
      <c r="U22" s="119"/>
      <c r="V22" s="119"/>
      <c r="W22" s="119"/>
      <c r="X22" s="133"/>
      <c r="Y22" s="119">
        <v>0</v>
      </c>
      <c r="Z22" s="119"/>
      <c r="AA22" s="119"/>
      <c r="AB22" s="119"/>
      <c r="AC22" s="133"/>
      <c r="AD22" s="119"/>
      <c r="AE22" s="119"/>
      <c r="AF22" s="119"/>
      <c r="AG22" s="119"/>
      <c r="AH22" s="133"/>
      <c r="AI22" s="119"/>
      <c r="AJ22" s="119"/>
      <c r="AK22" s="119"/>
      <c r="AL22" s="119"/>
      <c r="AM22" s="133"/>
      <c r="AN22" s="119"/>
      <c r="AO22" s="119"/>
      <c r="AP22" s="119"/>
      <c r="AQ22" s="119"/>
      <c r="AR22" s="133"/>
      <c r="AS22" s="119"/>
      <c r="AT22" s="119"/>
      <c r="AU22" s="119"/>
      <c r="AV22" s="119"/>
      <c r="AW22" s="133"/>
      <c r="AX22" s="119"/>
      <c r="AY22" s="119"/>
      <c r="AZ22" s="119"/>
      <c r="BA22" s="119"/>
      <c r="BB22" s="133"/>
      <c r="BC22" s="119"/>
      <c r="BD22" s="119"/>
      <c r="BE22" s="119"/>
      <c r="BF22" s="119"/>
      <c r="BG22" s="133"/>
      <c r="BH22" s="119"/>
      <c r="BI22" s="119"/>
      <c r="BJ22" s="119"/>
      <c r="BK22" s="119"/>
      <c r="BL22" s="133"/>
      <c r="BM22" s="119"/>
      <c r="BN22" s="119"/>
      <c r="BO22" s="119"/>
      <c r="BP22" s="119"/>
      <c r="BQ22" s="133"/>
      <c r="BR22" s="119"/>
      <c r="BS22" s="119"/>
      <c r="BT22" s="119"/>
      <c r="BU22" s="119"/>
      <c r="BV22" s="133"/>
      <c r="BW22" s="119"/>
      <c r="BX22" s="119"/>
      <c r="BY22" s="119"/>
      <c r="BZ22" s="119"/>
      <c r="CA22" s="133"/>
      <c r="CB22" s="119"/>
      <c r="CC22" s="119"/>
      <c r="CD22" s="119"/>
      <c r="CE22" s="119"/>
      <c r="CF22" s="133"/>
    </row>
    <row r="23" spans="1:84" ht="12.75">
      <c r="A23" s="119" t="s">
        <v>215</v>
      </c>
      <c r="B23" s="119" t="s">
        <v>216</v>
      </c>
      <c r="C23" s="119" t="s">
        <v>217</v>
      </c>
      <c r="D23" s="119" t="s">
        <v>152</v>
      </c>
      <c r="E23" s="119" t="s">
        <v>30</v>
      </c>
      <c r="F23" s="131">
        <f t="shared" si="0"/>
        <v>0</v>
      </c>
      <c r="G23" s="119">
        <f t="shared" si="1"/>
        <v>2</v>
      </c>
      <c r="H23" s="119">
        <f t="shared" ref="H23:I23" si="23">SUM(L23,Q23,V23,AA23,AF23,AK23,AP23,AU23,AZ23,BE23,BJ23,BO23,BT23,BY23,CD23)</f>
        <v>200</v>
      </c>
      <c r="I23" s="132">
        <f t="shared" si="23"/>
        <v>0</v>
      </c>
      <c r="J23" s="119">
        <v>1</v>
      </c>
      <c r="K23" s="119" t="s">
        <v>218</v>
      </c>
      <c r="L23" s="119">
        <v>200</v>
      </c>
      <c r="M23" s="119">
        <v>0</v>
      </c>
      <c r="N23" s="133">
        <v>0</v>
      </c>
      <c r="O23" s="119">
        <v>0</v>
      </c>
      <c r="P23" s="119">
        <v>0</v>
      </c>
      <c r="Q23" s="119">
        <v>0</v>
      </c>
      <c r="R23" s="119">
        <v>0</v>
      </c>
      <c r="S23" s="133">
        <v>0</v>
      </c>
      <c r="T23" s="119">
        <v>0</v>
      </c>
      <c r="U23" s="119">
        <v>0</v>
      </c>
      <c r="V23" s="119">
        <v>0</v>
      </c>
      <c r="W23" s="119">
        <v>0</v>
      </c>
      <c r="X23" s="133">
        <v>0</v>
      </c>
      <c r="Y23" s="119">
        <v>0</v>
      </c>
      <c r="Z23" s="119">
        <v>0</v>
      </c>
      <c r="AA23" s="119">
        <v>0</v>
      </c>
      <c r="AB23" s="119">
        <v>0</v>
      </c>
      <c r="AC23" s="133">
        <v>0</v>
      </c>
      <c r="AD23" s="119">
        <v>1</v>
      </c>
      <c r="AE23" s="119" t="s">
        <v>219</v>
      </c>
      <c r="AF23" s="119"/>
      <c r="AG23" s="119">
        <v>0</v>
      </c>
      <c r="AH23" s="133"/>
      <c r="AI23" s="119">
        <v>0</v>
      </c>
      <c r="AJ23" s="119">
        <v>0</v>
      </c>
      <c r="AK23" s="119">
        <v>0</v>
      </c>
      <c r="AL23" s="119">
        <v>0</v>
      </c>
      <c r="AM23" s="133">
        <v>0</v>
      </c>
      <c r="AN23" s="119"/>
      <c r="AO23" s="119"/>
      <c r="AP23" s="119"/>
      <c r="AQ23" s="119"/>
      <c r="AR23" s="133"/>
      <c r="AS23" s="119"/>
      <c r="AT23" s="119"/>
      <c r="AU23" s="119"/>
      <c r="AV23" s="119"/>
      <c r="AW23" s="133"/>
      <c r="AX23" s="119"/>
      <c r="AY23" s="119"/>
      <c r="AZ23" s="119"/>
      <c r="BA23" s="119"/>
      <c r="BB23" s="133"/>
      <c r="BC23" s="119"/>
      <c r="BD23" s="119"/>
      <c r="BE23" s="119"/>
      <c r="BF23" s="119"/>
      <c r="BG23" s="133"/>
      <c r="BH23" s="119"/>
      <c r="BI23" s="119"/>
      <c r="BJ23" s="119"/>
      <c r="BK23" s="119"/>
      <c r="BL23" s="133"/>
      <c r="BM23" s="119"/>
      <c r="BN23" s="119"/>
      <c r="BO23" s="119"/>
      <c r="BP23" s="119"/>
      <c r="BQ23" s="133"/>
      <c r="BR23" s="119"/>
      <c r="BS23" s="119"/>
      <c r="BT23" s="119"/>
      <c r="BU23" s="119"/>
      <c r="BV23" s="133"/>
      <c r="BW23" s="119"/>
      <c r="BX23" s="119"/>
      <c r="BY23" s="119"/>
      <c r="BZ23" s="119"/>
      <c r="CA23" s="133"/>
      <c r="CB23" s="119"/>
      <c r="CC23" s="119"/>
      <c r="CD23" s="119"/>
      <c r="CE23" s="119"/>
      <c r="CF23" s="133"/>
    </row>
    <row r="24" spans="1:84" ht="12.75">
      <c r="A24" s="119" t="s">
        <v>220</v>
      </c>
      <c r="B24" s="119" t="s">
        <v>221</v>
      </c>
      <c r="C24" s="119" t="s">
        <v>222</v>
      </c>
      <c r="D24" s="119" t="s">
        <v>158</v>
      </c>
      <c r="E24" s="119" t="s">
        <v>30</v>
      </c>
      <c r="F24" s="131">
        <f t="shared" si="0"/>
        <v>0</v>
      </c>
      <c r="G24" s="119">
        <f t="shared" si="1"/>
        <v>2</v>
      </c>
      <c r="H24" s="119">
        <f t="shared" ref="H24:I24" si="24">SUM(L24,Q24,V24,AA24,AF24,AK24,AP24,AU24,AZ24,BE24,BJ24,BO24,BT24,BY24,CD24)</f>
        <v>0</v>
      </c>
      <c r="I24" s="132">
        <f t="shared" si="24"/>
        <v>0</v>
      </c>
      <c r="J24" s="119">
        <v>0</v>
      </c>
      <c r="K24" s="119">
        <v>0</v>
      </c>
      <c r="L24" s="119">
        <v>0</v>
      </c>
      <c r="M24" s="119">
        <v>0</v>
      </c>
      <c r="N24" s="133">
        <v>0</v>
      </c>
      <c r="O24" s="119">
        <v>0</v>
      </c>
      <c r="P24" s="119">
        <v>0</v>
      </c>
      <c r="Q24" s="119">
        <v>0</v>
      </c>
      <c r="R24" s="119">
        <v>0</v>
      </c>
      <c r="S24" s="133">
        <v>0</v>
      </c>
      <c r="T24" s="119">
        <v>0</v>
      </c>
      <c r="U24" s="119">
        <v>0</v>
      </c>
      <c r="V24" s="119">
        <v>0</v>
      </c>
      <c r="W24" s="119">
        <v>0</v>
      </c>
      <c r="X24" s="133">
        <v>0</v>
      </c>
      <c r="Y24" s="119">
        <v>0</v>
      </c>
      <c r="Z24" s="119">
        <v>0</v>
      </c>
      <c r="AA24" s="119">
        <v>0</v>
      </c>
      <c r="AB24" s="119">
        <v>0</v>
      </c>
      <c r="AC24" s="133">
        <v>0</v>
      </c>
      <c r="AD24" s="119">
        <v>1</v>
      </c>
      <c r="AE24" s="119" t="s">
        <v>219</v>
      </c>
      <c r="AF24" s="119"/>
      <c r="AG24" s="119">
        <v>0</v>
      </c>
      <c r="AH24" s="133"/>
      <c r="AI24" s="119">
        <v>1</v>
      </c>
      <c r="AJ24" s="119" t="s">
        <v>219</v>
      </c>
      <c r="AK24" s="119"/>
      <c r="AL24" s="119">
        <v>0</v>
      </c>
      <c r="AM24" s="133"/>
      <c r="AN24" s="119"/>
      <c r="AO24" s="119"/>
      <c r="AP24" s="119"/>
      <c r="AQ24" s="119"/>
      <c r="AR24" s="133"/>
      <c r="AS24" s="119"/>
      <c r="AT24" s="119"/>
      <c r="AU24" s="119"/>
      <c r="AV24" s="119"/>
      <c r="AW24" s="133"/>
      <c r="AX24" s="119"/>
      <c r="AY24" s="119"/>
      <c r="AZ24" s="119"/>
      <c r="BA24" s="119"/>
      <c r="BB24" s="133"/>
      <c r="BC24" s="119"/>
      <c r="BD24" s="119"/>
      <c r="BE24" s="119"/>
      <c r="BF24" s="119"/>
      <c r="BG24" s="133"/>
      <c r="BH24" s="119"/>
      <c r="BI24" s="119"/>
      <c r="BJ24" s="119"/>
      <c r="BK24" s="119"/>
      <c r="BL24" s="133"/>
      <c r="BM24" s="119"/>
      <c r="BN24" s="119"/>
      <c r="BO24" s="119"/>
      <c r="BP24" s="119"/>
      <c r="BQ24" s="133"/>
      <c r="BR24" s="119"/>
      <c r="BS24" s="119"/>
      <c r="BT24" s="119"/>
      <c r="BU24" s="119"/>
      <c r="BV24" s="133"/>
      <c r="BW24" s="119"/>
      <c r="BX24" s="119"/>
      <c r="BY24" s="119"/>
      <c r="BZ24" s="119"/>
      <c r="CA24" s="133"/>
      <c r="CB24" s="119"/>
      <c r="CC24" s="119"/>
      <c r="CD24" s="119"/>
      <c r="CE24" s="119"/>
      <c r="CF24" s="133"/>
    </row>
    <row r="25" spans="1:84" ht="12.75">
      <c r="A25" s="119" t="s">
        <v>223</v>
      </c>
      <c r="B25" s="119" t="s">
        <v>224</v>
      </c>
      <c r="C25" s="119" t="s">
        <v>225</v>
      </c>
      <c r="D25" s="119" t="s">
        <v>158</v>
      </c>
      <c r="E25" s="119" t="s">
        <v>30</v>
      </c>
      <c r="F25" s="131">
        <f t="shared" si="0"/>
        <v>0</v>
      </c>
      <c r="G25" s="119">
        <f t="shared" si="1"/>
        <v>0</v>
      </c>
      <c r="H25" s="119">
        <f t="shared" ref="H25:I25" si="25">SUM(L25,Q25,V25,AA25,AF25,AK25,AP25,AU25,AZ25,BE25,BJ25,BO25,BT25,BY25,CD25)</f>
        <v>0</v>
      </c>
      <c r="I25" s="132">
        <f t="shared" si="25"/>
        <v>0</v>
      </c>
      <c r="J25" s="119">
        <v>0</v>
      </c>
      <c r="K25" s="119">
        <v>0</v>
      </c>
      <c r="L25" s="119">
        <v>0</v>
      </c>
      <c r="M25" s="119">
        <v>0</v>
      </c>
      <c r="N25" s="133">
        <v>0</v>
      </c>
      <c r="O25" s="119">
        <v>0</v>
      </c>
      <c r="P25" s="119">
        <v>0</v>
      </c>
      <c r="Q25" s="119">
        <v>0</v>
      </c>
      <c r="R25" s="119">
        <v>0</v>
      </c>
      <c r="S25" s="133">
        <v>0</v>
      </c>
      <c r="T25" s="119">
        <v>0</v>
      </c>
      <c r="U25" s="119">
        <v>0</v>
      </c>
      <c r="V25" s="119">
        <v>0</v>
      </c>
      <c r="W25" s="119">
        <v>0</v>
      </c>
      <c r="X25" s="133">
        <v>0</v>
      </c>
      <c r="Y25" s="119">
        <v>0</v>
      </c>
      <c r="Z25" s="119">
        <v>0</v>
      </c>
      <c r="AA25" s="119">
        <v>0</v>
      </c>
      <c r="AB25" s="119">
        <v>0</v>
      </c>
      <c r="AC25" s="133">
        <v>0</v>
      </c>
      <c r="AD25" s="119">
        <v>0</v>
      </c>
      <c r="AE25" s="119">
        <v>0</v>
      </c>
      <c r="AF25" s="119">
        <v>0</v>
      </c>
      <c r="AG25" s="119">
        <v>0</v>
      </c>
      <c r="AH25" s="133">
        <v>0</v>
      </c>
      <c r="AI25" s="119">
        <v>0</v>
      </c>
      <c r="AJ25" s="119">
        <v>0</v>
      </c>
      <c r="AK25" s="119">
        <v>0</v>
      </c>
      <c r="AL25" s="119">
        <v>0</v>
      </c>
      <c r="AM25" s="133">
        <v>0</v>
      </c>
      <c r="AN25" s="119"/>
      <c r="AO25" s="119"/>
      <c r="AP25" s="119"/>
      <c r="AQ25" s="119"/>
      <c r="AR25" s="133"/>
      <c r="AS25" s="119"/>
      <c r="AT25" s="119"/>
      <c r="AU25" s="119"/>
      <c r="AV25" s="119"/>
      <c r="AW25" s="133"/>
      <c r="AX25" s="119"/>
      <c r="AY25" s="119"/>
      <c r="AZ25" s="119"/>
      <c r="BA25" s="119"/>
      <c r="BB25" s="133"/>
      <c r="BC25" s="119"/>
      <c r="BD25" s="119"/>
      <c r="BE25" s="119"/>
      <c r="BF25" s="119"/>
      <c r="BG25" s="133"/>
      <c r="BH25" s="119"/>
      <c r="BI25" s="119"/>
      <c r="BJ25" s="119"/>
      <c r="BK25" s="119"/>
      <c r="BL25" s="133"/>
      <c r="BM25" s="119"/>
      <c r="BN25" s="119"/>
      <c r="BO25" s="119"/>
      <c r="BP25" s="119"/>
      <c r="BQ25" s="133"/>
      <c r="BR25" s="119"/>
      <c r="BS25" s="119"/>
      <c r="BT25" s="119"/>
      <c r="BU25" s="119"/>
      <c r="BV25" s="133"/>
      <c r="BW25" s="119"/>
      <c r="BX25" s="119"/>
      <c r="BY25" s="119"/>
      <c r="BZ25" s="119"/>
      <c r="CA25" s="133"/>
      <c r="CB25" s="119"/>
      <c r="CC25" s="119"/>
      <c r="CD25" s="119"/>
      <c r="CE25" s="119"/>
      <c r="CF25" s="133"/>
    </row>
    <row r="26" spans="1:84" ht="12.75">
      <c r="A26" s="119" t="s">
        <v>226</v>
      </c>
      <c r="B26" s="119" t="s">
        <v>227</v>
      </c>
      <c r="C26" s="119" t="s">
        <v>228</v>
      </c>
      <c r="D26" s="119" t="s">
        <v>158</v>
      </c>
      <c r="E26" s="119" t="s">
        <v>30</v>
      </c>
      <c r="F26" s="131">
        <f t="shared" si="0"/>
        <v>0</v>
      </c>
      <c r="G26" s="119">
        <f t="shared" si="1"/>
        <v>0</v>
      </c>
      <c r="H26" s="119">
        <f t="shared" ref="H26:I26" si="26">SUM(L26,Q26,V26,AA26,AF26,AK26,AP26,AU26,AZ26,BE26,BJ26,BO26,BT26,BY26,CD26)</f>
        <v>0</v>
      </c>
      <c r="I26" s="132">
        <f t="shared" si="26"/>
        <v>0</v>
      </c>
      <c r="J26" s="119">
        <v>0</v>
      </c>
      <c r="K26" s="119">
        <v>0</v>
      </c>
      <c r="L26" s="119">
        <v>0</v>
      </c>
      <c r="M26" s="119">
        <v>0</v>
      </c>
      <c r="N26" s="133">
        <v>0</v>
      </c>
      <c r="O26" s="119">
        <v>0</v>
      </c>
      <c r="P26" s="119">
        <v>0</v>
      </c>
      <c r="Q26" s="119">
        <v>0</v>
      </c>
      <c r="R26" s="119">
        <v>0</v>
      </c>
      <c r="S26" s="133">
        <v>0</v>
      </c>
      <c r="T26" s="119">
        <v>0</v>
      </c>
      <c r="U26" s="119">
        <v>0</v>
      </c>
      <c r="V26" s="119">
        <v>0</v>
      </c>
      <c r="W26" s="119">
        <v>0</v>
      </c>
      <c r="X26" s="133">
        <v>0</v>
      </c>
      <c r="Y26" s="119">
        <v>0</v>
      </c>
      <c r="Z26" s="119">
        <v>0</v>
      </c>
      <c r="AA26" s="119">
        <v>0</v>
      </c>
      <c r="AB26" s="119">
        <v>0</v>
      </c>
      <c r="AC26" s="133">
        <v>0</v>
      </c>
      <c r="AD26" s="119">
        <v>0</v>
      </c>
      <c r="AE26" s="119">
        <v>0</v>
      </c>
      <c r="AF26" s="119">
        <v>0</v>
      </c>
      <c r="AG26" s="119">
        <v>0</v>
      </c>
      <c r="AH26" s="133">
        <v>0</v>
      </c>
      <c r="AI26" s="119">
        <v>0</v>
      </c>
      <c r="AJ26" s="119">
        <v>0</v>
      </c>
      <c r="AK26" s="119">
        <v>0</v>
      </c>
      <c r="AL26" s="119">
        <v>0</v>
      </c>
      <c r="AM26" s="133">
        <v>0</v>
      </c>
      <c r="AN26" s="119"/>
      <c r="AO26" s="119"/>
      <c r="AP26" s="119"/>
      <c r="AQ26" s="119"/>
      <c r="AR26" s="133"/>
      <c r="AS26" s="119"/>
      <c r="AT26" s="119"/>
      <c r="AU26" s="119"/>
      <c r="AV26" s="119"/>
      <c r="AW26" s="133"/>
      <c r="AX26" s="119"/>
      <c r="AY26" s="119"/>
      <c r="AZ26" s="119"/>
      <c r="BA26" s="119"/>
      <c r="BB26" s="133"/>
      <c r="BC26" s="119"/>
      <c r="BD26" s="119"/>
      <c r="BE26" s="119"/>
      <c r="BF26" s="119"/>
      <c r="BG26" s="133"/>
      <c r="BH26" s="119"/>
      <c r="BI26" s="119"/>
      <c r="BJ26" s="119"/>
      <c r="BK26" s="119"/>
      <c r="BL26" s="133"/>
      <c r="BM26" s="119"/>
      <c r="BN26" s="119"/>
      <c r="BO26" s="119"/>
      <c r="BP26" s="119"/>
      <c r="BQ26" s="133"/>
      <c r="BR26" s="119"/>
      <c r="BS26" s="119"/>
      <c r="BT26" s="119"/>
      <c r="BU26" s="119"/>
      <c r="BV26" s="133"/>
      <c r="BW26" s="119"/>
      <c r="BX26" s="119"/>
      <c r="BY26" s="119"/>
      <c r="BZ26" s="119"/>
      <c r="CA26" s="133"/>
      <c r="CB26" s="119"/>
      <c r="CC26" s="119"/>
      <c r="CD26" s="119"/>
      <c r="CE26" s="119"/>
      <c r="CF26" s="133"/>
    </row>
    <row r="27" spans="1:84" ht="12.75">
      <c r="A27" s="119" t="s">
        <v>229</v>
      </c>
      <c r="B27" s="119" t="s">
        <v>230</v>
      </c>
      <c r="C27" s="119" t="s">
        <v>231</v>
      </c>
      <c r="D27" s="119" t="s">
        <v>158</v>
      </c>
      <c r="E27" s="119" t="s">
        <v>30</v>
      </c>
      <c r="F27" s="131">
        <f t="shared" si="0"/>
        <v>0</v>
      </c>
      <c r="G27" s="119">
        <f t="shared" si="1"/>
        <v>0</v>
      </c>
      <c r="H27" s="119">
        <f t="shared" ref="H27:I27" si="27">SUM(L27,Q27,V27,AA27,AF27,AK27,AP27,AU27,AZ27,BE27,BJ27,BO27,BT27,BY27,CD27)</f>
        <v>0</v>
      </c>
      <c r="I27" s="132">
        <f t="shared" si="27"/>
        <v>0</v>
      </c>
      <c r="J27" s="119">
        <v>0</v>
      </c>
      <c r="K27" s="119">
        <v>0</v>
      </c>
      <c r="L27" s="119">
        <v>0</v>
      </c>
      <c r="M27" s="119">
        <v>0</v>
      </c>
      <c r="N27" s="133">
        <v>0</v>
      </c>
      <c r="O27" s="119">
        <v>0</v>
      </c>
      <c r="P27" s="119">
        <v>0</v>
      </c>
      <c r="Q27" s="119">
        <v>0</v>
      </c>
      <c r="R27" s="119">
        <v>0</v>
      </c>
      <c r="S27" s="133">
        <v>0</v>
      </c>
      <c r="T27" s="119">
        <v>0</v>
      </c>
      <c r="U27" s="119">
        <v>0</v>
      </c>
      <c r="V27" s="119">
        <v>0</v>
      </c>
      <c r="W27" s="119">
        <v>0</v>
      </c>
      <c r="X27" s="133">
        <v>0</v>
      </c>
      <c r="Y27" s="119">
        <v>0</v>
      </c>
      <c r="Z27" s="119">
        <v>0</v>
      </c>
      <c r="AA27" s="119">
        <v>0</v>
      </c>
      <c r="AB27" s="119">
        <v>0</v>
      </c>
      <c r="AC27" s="133">
        <v>0</v>
      </c>
      <c r="AD27" s="119">
        <v>0</v>
      </c>
      <c r="AE27" s="119">
        <v>0</v>
      </c>
      <c r="AF27" s="119">
        <v>0</v>
      </c>
      <c r="AG27" s="119">
        <v>0</v>
      </c>
      <c r="AH27" s="133">
        <v>0</v>
      </c>
      <c r="AI27" s="119">
        <v>0</v>
      </c>
      <c r="AJ27" s="119">
        <v>0</v>
      </c>
      <c r="AK27" s="119">
        <v>0</v>
      </c>
      <c r="AL27" s="119">
        <v>0</v>
      </c>
      <c r="AM27" s="133">
        <v>0</v>
      </c>
      <c r="AN27" s="119"/>
      <c r="AO27" s="119"/>
      <c r="AP27" s="119"/>
      <c r="AQ27" s="119"/>
      <c r="AR27" s="133"/>
      <c r="AS27" s="119"/>
      <c r="AT27" s="119"/>
      <c r="AU27" s="119"/>
      <c r="AV27" s="119"/>
      <c r="AW27" s="133"/>
      <c r="AX27" s="119"/>
      <c r="AY27" s="119"/>
      <c r="AZ27" s="119"/>
      <c r="BA27" s="119"/>
      <c r="BB27" s="133"/>
      <c r="BC27" s="119"/>
      <c r="BD27" s="119"/>
      <c r="BE27" s="119"/>
      <c r="BF27" s="119"/>
      <c r="BG27" s="133"/>
      <c r="BH27" s="119"/>
      <c r="BI27" s="119"/>
      <c r="BJ27" s="119"/>
      <c r="BK27" s="119"/>
      <c r="BL27" s="133"/>
      <c r="BM27" s="119"/>
      <c r="BN27" s="119"/>
      <c r="BO27" s="119"/>
      <c r="BP27" s="119"/>
      <c r="BQ27" s="133"/>
      <c r="BR27" s="119"/>
      <c r="BS27" s="119"/>
      <c r="BT27" s="119"/>
      <c r="BU27" s="119"/>
      <c r="BV27" s="133"/>
      <c r="BW27" s="119"/>
      <c r="BX27" s="119"/>
      <c r="BY27" s="119"/>
      <c r="BZ27" s="119"/>
      <c r="CA27" s="133"/>
      <c r="CB27" s="119"/>
      <c r="CC27" s="119"/>
      <c r="CD27" s="119"/>
      <c r="CE27" s="119"/>
      <c r="CF27" s="133"/>
    </row>
    <row r="28" spans="1:84" ht="12.75">
      <c r="A28" s="119" t="s">
        <v>232</v>
      </c>
      <c r="B28" s="119" t="s">
        <v>233</v>
      </c>
      <c r="C28" s="119" t="s">
        <v>234</v>
      </c>
      <c r="D28" s="119" t="s">
        <v>158</v>
      </c>
      <c r="E28" s="119" t="s">
        <v>30</v>
      </c>
      <c r="F28" s="131">
        <f t="shared" si="0"/>
        <v>0</v>
      </c>
      <c r="G28" s="119">
        <f t="shared" si="1"/>
        <v>0</v>
      </c>
      <c r="H28" s="119">
        <f t="shared" ref="H28:I28" si="28">SUM(L28,Q28,V28,AA28,AF28,AK28,AP28,AU28,AZ28,BE28,BJ28,BO28,BT28,BY28,CD28)</f>
        <v>0</v>
      </c>
      <c r="I28" s="132">
        <f t="shared" si="28"/>
        <v>0</v>
      </c>
      <c r="J28" s="119">
        <v>0</v>
      </c>
      <c r="K28" s="119">
        <v>0</v>
      </c>
      <c r="L28" s="119">
        <v>0</v>
      </c>
      <c r="M28" s="119">
        <v>0</v>
      </c>
      <c r="N28" s="133">
        <v>0</v>
      </c>
      <c r="O28" s="119">
        <v>0</v>
      </c>
      <c r="P28" s="119">
        <v>0</v>
      </c>
      <c r="Q28" s="119">
        <v>0</v>
      </c>
      <c r="R28" s="119">
        <v>0</v>
      </c>
      <c r="S28" s="133">
        <v>0</v>
      </c>
      <c r="T28" s="119">
        <v>0</v>
      </c>
      <c r="U28" s="119">
        <v>0</v>
      </c>
      <c r="V28" s="119">
        <v>0</v>
      </c>
      <c r="W28" s="119">
        <v>0</v>
      </c>
      <c r="X28" s="133">
        <v>0</v>
      </c>
      <c r="Y28" s="119">
        <v>0</v>
      </c>
      <c r="Z28" s="119">
        <v>0</v>
      </c>
      <c r="AA28" s="119">
        <v>0</v>
      </c>
      <c r="AB28" s="119">
        <v>0</v>
      </c>
      <c r="AC28" s="133">
        <v>0</v>
      </c>
      <c r="AD28" s="119">
        <v>0</v>
      </c>
      <c r="AE28" s="119">
        <v>0</v>
      </c>
      <c r="AF28" s="119">
        <v>0</v>
      </c>
      <c r="AG28" s="119">
        <v>0</v>
      </c>
      <c r="AH28" s="133">
        <v>0</v>
      </c>
      <c r="AI28" s="119">
        <v>0</v>
      </c>
      <c r="AJ28" s="119">
        <v>0</v>
      </c>
      <c r="AK28" s="119">
        <v>0</v>
      </c>
      <c r="AL28" s="119">
        <v>0</v>
      </c>
      <c r="AM28" s="133">
        <v>0</v>
      </c>
      <c r="AN28" s="119"/>
      <c r="AO28" s="119"/>
      <c r="AP28" s="119"/>
      <c r="AQ28" s="119"/>
      <c r="AR28" s="133"/>
      <c r="AS28" s="119"/>
      <c r="AT28" s="119"/>
      <c r="AU28" s="119"/>
      <c r="AV28" s="119"/>
      <c r="AW28" s="133"/>
      <c r="AX28" s="119"/>
      <c r="AY28" s="119"/>
      <c r="AZ28" s="119"/>
      <c r="BA28" s="119"/>
      <c r="BB28" s="133"/>
      <c r="BC28" s="119"/>
      <c r="BD28" s="119"/>
      <c r="BE28" s="119"/>
      <c r="BF28" s="119"/>
      <c r="BG28" s="133"/>
      <c r="BH28" s="119"/>
      <c r="BI28" s="119"/>
      <c r="BJ28" s="119"/>
      <c r="BK28" s="119"/>
      <c r="BL28" s="133"/>
      <c r="BM28" s="119"/>
      <c r="BN28" s="119"/>
      <c r="BO28" s="119"/>
      <c r="BP28" s="119"/>
      <c r="BQ28" s="133"/>
      <c r="BR28" s="119"/>
      <c r="BS28" s="119"/>
      <c r="BT28" s="119"/>
      <c r="BU28" s="119"/>
      <c r="BV28" s="133"/>
      <c r="BW28" s="119"/>
      <c r="BX28" s="119"/>
      <c r="BY28" s="119"/>
      <c r="BZ28" s="119"/>
      <c r="CA28" s="133"/>
      <c r="CB28" s="119"/>
      <c r="CC28" s="119"/>
      <c r="CD28" s="119"/>
      <c r="CE28" s="119"/>
      <c r="CF28" s="133"/>
    </row>
    <row r="29" spans="1:84" ht="12.75">
      <c r="A29" s="119" t="s">
        <v>235</v>
      </c>
      <c r="B29" s="119" t="s">
        <v>236</v>
      </c>
      <c r="C29" s="119" t="s">
        <v>237</v>
      </c>
      <c r="D29" s="119" t="s">
        <v>152</v>
      </c>
      <c r="E29" s="119" t="s">
        <v>30</v>
      </c>
      <c r="F29" s="131">
        <f t="shared" si="0"/>
        <v>0</v>
      </c>
      <c r="G29" s="119">
        <f t="shared" si="1"/>
        <v>1</v>
      </c>
      <c r="H29" s="119">
        <f t="shared" ref="H29:I29" si="29">SUM(L29,Q29,V29,AA29,AF29,AK29,AP29,AU29,AZ29,BE29,BJ29,BO29,BT29,BY29,CD29)</f>
        <v>200</v>
      </c>
      <c r="I29" s="132">
        <f t="shared" si="29"/>
        <v>0</v>
      </c>
      <c r="J29" s="119">
        <v>0</v>
      </c>
      <c r="K29" s="119">
        <v>0</v>
      </c>
      <c r="L29" s="119">
        <v>0</v>
      </c>
      <c r="M29" s="119">
        <v>0</v>
      </c>
      <c r="N29" s="133">
        <v>0</v>
      </c>
      <c r="O29" s="119">
        <v>0</v>
      </c>
      <c r="P29" s="119">
        <v>0</v>
      </c>
      <c r="Q29" s="119">
        <v>0</v>
      </c>
      <c r="R29" s="119">
        <v>0</v>
      </c>
      <c r="S29" s="133">
        <v>0</v>
      </c>
      <c r="T29" s="119">
        <v>0</v>
      </c>
      <c r="U29" s="119">
        <v>0</v>
      </c>
      <c r="V29" s="119">
        <v>0</v>
      </c>
      <c r="W29" s="119">
        <v>0</v>
      </c>
      <c r="X29" s="133">
        <v>0</v>
      </c>
      <c r="Y29" s="119">
        <v>0</v>
      </c>
      <c r="Z29" s="119">
        <v>0</v>
      </c>
      <c r="AA29" s="119">
        <v>0</v>
      </c>
      <c r="AB29" s="119">
        <v>0</v>
      </c>
      <c r="AC29" s="133">
        <v>0</v>
      </c>
      <c r="AD29" s="119">
        <v>0</v>
      </c>
      <c r="AE29" s="119">
        <v>0</v>
      </c>
      <c r="AF29" s="119">
        <v>0</v>
      </c>
      <c r="AG29" s="119">
        <v>0</v>
      </c>
      <c r="AH29" s="133">
        <v>0</v>
      </c>
      <c r="AI29" s="119">
        <v>1</v>
      </c>
      <c r="AJ29" s="119" t="s">
        <v>218</v>
      </c>
      <c r="AK29" s="119">
        <v>200</v>
      </c>
      <c r="AL29" s="119">
        <v>0</v>
      </c>
      <c r="AM29" s="133">
        <v>0</v>
      </c>
      <c r="AN29" s="119"/>
      <c r="AO29" s="119"/>
      <c r="AP29" s="119"/>
      <c r="AQ29" s="119"/>
      <c r="AR29" s="133"/>
      <c r="AS29" s="119"/>
      <c r="AT29" s="119"/>
      <c r="AU29" s="119"/>
      <c r="AV29" s="119"/>
      <c r="AW29" s="133"/>
      <c r="AX29" s="119"/>
      <c r="AY29" s="119"/>
      <c r="AZ29" s="119"/>
      <c r="BA29" s="119"/>
      <c r="BB29" s="133"/>
      <c r="BC29" s="119"/>
      <c r="BD29" s="119"/>
      <c r="BE29" s="119"/>
      <c r="BF29" s="119"/>
      <c r="BG29" s="133"/>
      <c r="BH29" s="119"/>
      <c r="BI29" s="119"/>
      <c r="BJ29" s="119"/>
      <c r="BK29" s="119"/>
      <c r="BL29" s="133"/>
      <c r="BM29" s="119"/>
      <c r="BN29" s="119"/>
      <c r="BO29" s="119"/>
      <c r="BP29" s="119"/>
      <c r="BQ29" s="133"/>
      <c r="BR29" s="119"/>
      <c r="BS29" s="119"/>
      <c r="BT29" s="119"/>
      <c r="BU29" s="119"/>
      <c r="BV29" s="133"/>
      <c r="BW29" s="119"/>
      <c r="BX29" s="119"/>
      <c r="BY29" s="119"/>
      <c r="BZ29" s="119"/>
      <c r="CA29" s="133"/>
      <c r="CB29" s="119"/>
      <c r="CC29" s="119"/>
      <c r="CD29" s="119"/>
      <c r="CE29" s="119"/>
      <c r="CF29" s="133"/>
    </row>
    <row r="30" spans="1:84" ht="12.75">
      <c r="A30" s="119" t="s">
        <v>238</v>
      </c>
      <c r="B30" s="119" t="s">
        <v>239</v>
      </c>
      <c r="C30" s="119" t="s">
        <v>240</v>
      </c>
      <c r="D30" s="119" t="s">
        <v>152</v>
      </c>
      <c r="E30" s="119" t="s">
        <v>132</v>
      </c>
      <c r="F30" s="131">
        <f t="shared" si="0"/>
        <v>0</v>
      </c>
      <c r="G30" s="119">
        <f t="shared" si="1"/>
        <v>1.5</v>
      </c>
      <c r="H30" s="119">
        <f t="shared" ref="H30:I30" si="30">SUM(L30,Q30,V30,AA30,AF30,AK30,AP30,AU30,AZ30,BE30,BJ30,BO30,BT30,BY30,CD30)</f>
        <v>400</v>
      </c>
      <c r="I30" s="132">
        <f t="shared" si="30"/>
        <v>0</v>
      </c>
      <c r="J30" s="119">
        <v>1</v>
      </c>
      <c r="K30" s="119" t="s">
        <v>241</v>
      </c>
      <c r="L30" s="119">
        <v>200</v>
      </c>
      <c r="M30" s="119">
        <v>0</v>
      </c>
      <c r="N30" s="133"/>
      <c r="O30" s="119">
        <v>0.5</v>
      </c>
      <c r="P30" s="119" t="s">
        <v>241</v>
      </c>
      <c r="Q30" s="119">
        <v>200</v>
      </c>
      <c r="R30" s="119">
        <v>0</v>
      </c>
      <c r="S30" s="133"/>
      <c r="T30" s="119">
        <v>0</v>
      </c>
      <c r="U30" s="119"/>
      <c r="V30" s="119"/>
      <c r="W30" s="119"/>
      <c r="X30" s="133"/>
      <c r="Y30" s="119">
        <v>0</v>
      </c>
      <c r="Z30" s="119"/>
      <c r="AA30" s="119"/>
      <c r="AB30" s="119"/>
      <c r="AC30" s="133"/>
      <c r="AD30" s="119"/>
      <c r="AE30" s="119"/>
      <c r="AF30" s="119"/>
      <c r="AG30" s="119"/>
      <c r="AH30" s="133"/>
      <c r="AI30" s="119"/>
      <c r="AJ30" s="119"/>
      <c r="AK30" s="119"/>
      <c r="AL30" s="119"/>
      <c r="AM30" s="133"/>
      <c r="AN30" s="119"/>
      <c r="AO30" s="119"/>
      <c r="AP30" s="119"/>
      <c r="AQ30" s="119"/>
      <c r="AR30" s="133"/>
      <c r="AS30" s="119"/>
      <c r="AT30" s="119"/>
      <c r="AU30" s="119"/>
      <c r="AV30" s="119"/>
      <c r="AW30" s="133"/>
      <c r="AX30" s="119"/>
      <c r="AY30" s="119"/>
      <c r="AZ30" s="119"/>
      <c r="BA30" s="119"/>
      <c r="BB30" s="133"/>
      <c r="BC30" s="119"/>
      <c r="BD30" s="119"/>
      <c r="BE30" s="119"/>
      <c r="BF30" s="119"/>
      <c r="BG30" s="133"/>
      <c r="BH30" s="119"/>
      <c r="BI30" s="119"/>
      <c r="BJ30" s="119"/>
      <c r="BK30" s="119"/>
      <c r="BL30" s="133"/>
      <c r="BM30" s="119"/>
      <c r="BN30" s="119"/>
      <c r="BO30" s="119"/>
      <c r="BP30" s="119"/>
      <c r="BQ30" s="133"/>
      <c r="BR30" s="119"/>
      <c r="BS30" s="119"/>
      <c r="BT30" s="119"/>
      <c r="BU30" s="119"/>
      <c r="BV30" s="133"/>
      <c r="BW30" s="119"/>
      <c r="BX30" s="119"/>
      <c r="BY30" s="119"/>
      <c r="BZ30" s="119"/>
      <c r="CA30" s="133"/>
      <c r="CB30" s="119"/>
      <c r="CC30" s="119"/>
      <c r="CD30" s="119"/>
      <c r="CE30" s="119"/>
      <c r="CF30" s="133"/>
    </row>
    <row r="31" spans="1:84" ht="12.75">
      <c r="A31" s="119" t="s">
        <v>242</v>
      </c>
      <c r="B31" s="119" t="s">
        <v>243</v>
      </c>
      <c r="C31" s="119" t="s">
        <v>244</v>
      </c>
      <c r="D31" s="119" t="s">
        <v>158</v>
      </c>
      <c r="E31" s="119" t="s">
        <v>132</v>
      </c>
      <c r="F31" s="131">
        <f t="shared" si="0"/>
        <v>0</v>
      </c>
      <c r="G31" s="119">
        <f t="shared" si="1"/>
        <v>1.5</v>
      </c>
      <c r="H31" s="119">
        <f t="shared" ref="H31:I31" si="31">SUM(L31,Q31,V31,AA31,AF31,AK31,AP31,AU31,AZ31,BE31,BJ31,BO31,BT31,BY31,CD31)</f>
        <v>600</v>
      </c>
      <c r="I31" s="132">
        <f t="shared" si="31"/>
        <v>0</v>
      </c>
      <c r="J31" s="119">
        <v>0.5</v>
      </c>
      <c r="K31" s="119" t="s">
        <v>241</v>
      </c>
      <c r="L31" s="119">
        <v>200</v>
      </c>
      <c r="M31" s="119">
        <v>0</v>
      </c>
      <c r="N31" s="133"/>
      <c r="O31" s="119">
        <v>0.5</v>
      </c>
      <c r="P31" s="119" t="s">
        <v>241</v>
      </c>
      <c r="Q31" s="119">
        <v>200</v>
      </c>
      <c r="R31" s="119">
        <v>0</v>
      </c>
      <c r="S31" s="133"/>
      <c r="T31" s="119">
        <v>0</v>
      </c>
      <c r="U31" s="119"/>
      <c r="V31" s="119"/>
      <c r="W31" s="119"/>
      <c r="X31" s="133"/>
      <c r="Y31" s="119">
        <v>0.5</v>
      </c>
      <c r="Z31" s="119" t="s">
        <v>241</v>
      </c>
      <c r="AA31" s="119">
        <v>200</v>
      </c>
      <c r="AB31" s="119"/>
      <c r="AC31" s="133"/>
      <c r="AD31" s="119"/>
      <c r="AE31" s="119"/>
      <c r="AF31" s="119"/>
      <c r="AG31" s="119"/>
      <c r="AH31" s="133"/>
      <c r="AI31" s="119"/>
      <c r="AJ31" s="119"/>
      <c r="AK31" s="119"/>
      <c r="AL31" s="119"/>
      <c r="AM31" s="133"/>
      <c r="AN31" s="119"/>
      <c r="AO31" s="119"/>
      <c r="AP31" s="119"/>
      <c r="AQ31" s="119"/>
      <c r="AR31" s="133"/>
      <c r="AS31" s="119"/>
      <c r="AT31" s="119"/>
      <c r="AU31" s="119"/>
      <c r="AV31" s="119"/>
      <c r="AW31" s="133"/>
      <c r="AX31" s="119"/>
      <c r="AY31" s="119"/>
      <c r="AZ31" s="119"/>
      <c r="BA31" s="119"/>
      <c r="BB31" s="133"/>
      <c r="BC31" s="119"/>
      <c r="BD31" s="119"/>
      <c r="BE31" s="119"/>
      <c r="BF31" s="119"/>
      <c r="BG31" s="133"/>
      <c r="BH31" s="119"/>
      <c r="BI31" s="119"/>
      <c r="BJ31" s="119"/>
      <c r="BK31" s="119"/>
      <c r="BL31" s="133"/>
      <c r="BM31" s="119"/>
      <c r="BN31" s="119"/>
      <c r="BO31" s="119"/>
      <c r="BP31" s="119"/>
      <c r="BQ31" s="133"/>
      <c r="BR31" s="119"/>
      <c r="BS31" s="119"/>
      <c r="BT31" s="119"/>
      <c r="BU31" s="119"/>
      <c r="BV31" s="133"/>
      <c r="BW31" s="119"/>
      <c r="BX31" s="119"/>
      <c r="BY31" s="119"/>
      <c r="BZ31" s="119"/>
      <c r="CA31" s="133"/>
      <c r="CB31" s="119"/>
      <c r="CC31" s="119"/>
      <c r="CD31" s="119"/>
      <c r="CE31" s="119"/>
      <c r="CF31" s="133"/>
    </row>
    <row r="32" spans="1:84" ht="12.75">
      <c r="A32" s="119" t="s">
        <v>245</v>
      </c>
      <c r="B32" s="119" t="s">
        <v>246</v>
      </c>
      <c r="C32" s="119" t="s">
        <v>247</v>
      </c>
      <c r="D32" s="119" t="s">
        <v>158</v>
      </c>
      <c r="E32" s="119" t="s">
        <v>132</v>
      </c>
      <c r="F32" s="131">
        <f t="shared" si="0"/>
        <v>0</v>
      </c>
      <c r="G32" s="119">
        <f t="shared" si="1"/>
        <v>0</v>
      </c>
      <c r="H32" s="119">
        <f t="shared" ref="H32:I32" si="32">SUM(L32,Q32,V32,AA32,AF32,AK32,AP32,AU32,AZ32,BE32,BJ32,BO32,BT32,BY32,CD32)</f>
        <v>0</v>
      </c>
      <c r="I32" s="132">
        <f t="shared" si="32"/>
        <v>0</v>
      </c>
      <c r="J32" s="119"/>
      <c r="K32" s="119"/>
      <c r="L32" s="119"/>
      <c r="M32" s="119"/>
      <c r="N32" s="133"/>
      <c r="O32" s="119"/>
      <c r="P32" s="119"/>
      <c r="Q32" s="119"/>
      <c r="R32" s="119"/>
      <c r="S32" s="133"/>
      <c r="T32" s="119">
        <v>0</v>
      </c>
      <c r="U32" s="119"/>
      <c r="V32" s="119"/>
      <c r="W32" s="119"/>
      <c r="X32" s="133"/>
      <c r="Y32" s="119">
        <v>0</v>
      </c>
      <c r="Z32" s="119"/>
      <c r="AA32" s="119"/>
      <c r="AB32" s="119"/>
      <c r="AC32" s="133"/>
      <c r="AD32" s="119"/>
      <c r="AE32" s="119"/>
      <c r="AF32" s="119"/>
      <c r="AG32" s="119"/>
      <c r="AH32" s="133"/>
      <c r="AI32" s="119"/>
      <c r="AJ32" s="119"/>
      <c r="AK32" s="119"/>
      <c r="AL32" s="119"/>
      <c r="AM32" s="133"/>
      <c r="AN32" s="119"/>
      <c r="AO32" s="119"/>
      <c r="AP32" s="119"/>
      <c r="AQ32" s="119"/>
      <c r="AR32" s="133"/>
      <c r="AS32" s="119"/>
      <c r="AT32" s="119"/>
      <c r="AU32" s="119"/>
      <c r="AV32" s="119"/>
      <c r="AW32" s="133"/>
      <c r="AX32" s="119"/>
      <c r="AY32" s="119"/>
      <c r="AZ32" s="119"/>
      <c r="BA32" s="119"/>
      <c r="BB32" s="133"/>
      <c r="BC32" s="119"/>
      <c r="BD32" s="119"/>
      <c r="BE32" s="119"/>
      <c r="BF32" s="119"/>
      <c r="BG32" s="133"/>
      <c r="BH32" s="119"/>
      <c r="BI32" s="119"/>
      <c r="BJ32" s="119"/>
      <c r="BK32" s="119"/>
      <c r="BL32" s="133"/>
      <c r="BM32" s="119"/>
      <c r="BN32" s="119"/>
      <c r="BO32" s="119"/>
      <c r="BP32" s="119"/>
      <c r="BQ32" s="133"/>
      <c r="BR32" s="119"/>
      <c r="BS32" s="119"/>
      <c r="BT32" s="119"/>
      <c r="BU32" s="119"/>
      <c r="BV32" s="133"/>
      <c r="BW32" s="119"/>
      <c r="BX32" s="119"/>
      <c r="BY32" s="119"/>
      <c r="BZ32" s="119"/>
      <c r="CA32" s="133"/>
      <c r="CB32" s="119"/>
      <c r="CC32" s="119"/>
      <c r="CD32" s="119"/>
      <c r="CE32" s="119"/>
      <c r="CF32" s="133"/>
    </row>
    <row r="33" spans="1:84" ht="12.75">
      <c r="A33" s="119" t="s">
        <v>248</v>
      </c>
      <c r="B33" s="119" t="s">
        <v>249</v>
      </c>
      <c r="C33" s="119" t="s">
        <v>214</v>
      </c>
      <c r="D33" s="119" t="s">
        <v>158</v>
      </c>
      <c r="E33" s="119" t="s">
        <v>132</v>
      </c>
      <c r="F33" s="131">
        <f t="shared" si="0"/>
        <v>0</v>
      </c>
      <c r="G33" s="119">
        <f t="shared" si="1"/>
        <v>0</v>
      </c>
      <c r="H33" s="119">
        <f t="shared" ref="H33:I33" si="33">SUM(L33,Q33,V33,AA33,AF33,AK33,AP33,AU33,AZ33,BE33,BJ33,BO33,BT33,BY33,CD33)</f>
        <v>0</v>
      </c>
      <c r="I33" s="132">
        <f t="shared" si="33"/>
        <v>0</v>
      </c>
      <c r="J33" s="119"/>
      <c r="K33" s="119"/>
      <c r="L33" s="119"/>
      <c r="M33" s="119"/>
      <c r="N33" s="133"/>
      <c r="O33" s="119"/>
      <c r="P33" s="119"/>
      <c r="Q33" s="119"/>
      <c r="R33" s="119"/>
      <c r="S33" s="133"/>
      <c r="T33" s="119">
        <v>0</v>
      </c>
      <c r="U33" s="119"/>
      <c r="V33" s="119"/>
      <c r="W33" s="119"/>
      <c r="X33" s="133"/>
      <c r="Y33" s="119">
        <v>0</v>
      </c>
      <c r="Z33" s="119"/>
      <c r="AA33" s="119"/>
      <c r="AB33" s="119"/>
      <c r="AC33" s="133"/>
      <c r="AD33" s="119"/>
      <c r="AE33" s="119"/>
      <c r="AF33" s="119"/>
      <c r="AG33" s="119"/>
      <c r="AH33" s="133"/>
      <c r="AI33" s="119"/>
      <c r="AJ33" s="119"/>
      <c r="AK33" s="119"/>
      <c r="AL33" s="119"/>
      <c r="AM33" s="133"/>
      <c r="AN33" s="119"/>
      <c r="AO33" s="119"/>
      <c r="AP33" s="119"/>
      <c r="AQ33" s="119"/>
      <c r="AR33" s="133"/>
      <c r="AS33" s="119"/>
      <c r="AT33" s="119"/>
      <c r="AU33" s="119"/>
      <c r="AV33" s="119"/>
      <c r="AW33" s="133"/>
      <c r="AX33" s="119"/>
      <c r="AY33" s="119"/>
      <c r="AZ33" s="119"/>
      <c r="BA33" s="119"/>
      <c r="BB33" s="133"/>
      <c r="BC33" s="119"/>
      <c r="BD33" s="119"/>
      <c r="BE33" s="119"/>
      <c r="BF33" s="119"/>
      <c r="BG33" s="133"/>
      <c r="BH33" s="119"/>
      <c r="BI33" s="119"/>
      <c r="BJ33" s="119"/>
      <c r="BK33" s="119"/>
      <c r="BL33" s="133"/>
      <c r="BM33" s="119"/>
      <c r="BN33" s="119"/>
      <c r="BO33" s="119"/>
      <c r="BP33" s="119"/>
      <c r="BQ33" s="133"/>
      <c r="BR33" s="119"/>
      <c r="BS33" s="119"/>
      <c r="BT33" s="119"/>
      <c r="BU33" s="119"/>
      <c r="BV33" s="133"/>
      <c r="BW33" s="119"/>
      <c r="BX33" s="119"/>
      <c r="BY33" s="119"/>
      <c r="BZ33" s="119"/>
      <c r="CA33" s="133"/>
      <c r="CB33" s="119"/>
      <c r="CC33" s="119"/>
      <c r="CD33" s="119"/>
      <c r="CE33" s="119"/>
      <c r="CF33" s="133"/>
    </row>
    <row r="34" spans="1:84" ht="12.75">
      <c r="A34" s="119" t="s">
        <v>250</v>
      </c>
      <c r="B34" s="119" t="s">
        <v>251</v>
      </c>
      <c r="C34" s="119" t="s">
        <v>200</v>
      </c>
      <c r="D34" s="119" t="s">
        <v>158</v>
      </c>
      <c r="E34" s="119" t="s">
        <v>132</v>
      </c>
      <c r="F34" s="131">
        <f t="shared" si="0"/>
        <v>0</v>
      </c>
      <c r="G34" s="119">
        <f t="shared" si="1"/>
        <v>0</v>
      </c>
      <c r="H34" s="119">
        <f t="shared" ref="H34:I34" si="34">SUM(L34,Q34,V34,AA34,AF34,AK34,AP34,AU34,AZ34,BE34,BJ34,BO34,BT34,BY34,CD34)</f>
        <v>0</v>
      </c>
      <c r="I34" s="132">
        <f t="shared" si="34"/>
        <v>0</v>
      </c>
      <c r="J34" s="119"/>
      <c r="K34" s="119"/>
      <c r="L34" s="119"/>
      <c r="M34" s="119"/>
      <c r="N34" s="133"/>
      <c r="O34" s="119"/>
      <c r="P34" s="119"/>
      <c r="Q34" s="119"/>
      <c r="R34" s="119"/>
      <c r="S34" s="133"/>
      <c r="T34" s="119">
        <v>0</v>
      </c>
      <c r="U34" s="119"/>
      <c r="V34" s="119"/>
      <c r="W34" s="119"/>
      <c r="X34" s="133"/>
      <c r="Y34" s="119">
        <v>0</v>
      </c>
      <c r="Z34" s="119"/>
      <c r="AA34" s="119"/>
      <c r="AB34" s="119"/>
      <c r="AC34" s="133"/>
      <c r="AD34" s="119"/>
      <c r="AE34" s="119"/>
      <c r="AF34" s="119"/>
      <c r="AG34" s="119"/>
      <c r="AH34" s="133"/>
      <c r="AI34" s="119"/>
      <c r="AJ34" s="119"/>
      <c r="AK34" s="119"/>
      <c r="AL34" s="119"/>
      <c r="AM34" s="133"/>
      <c r="AN34" s="119"/>
      <c r="AO34" s="119"/>
      <c r="AP34" s="119"/>
      <c r="AQ34" s="119"/>
      <c r="AR34" s="133"/>
      <c r="AS34" s="119"/>
      <c r="AT34" s="119"/>
      <c r="AU34" s="119"/>
      <c r="AV34" s="119"/>
      <c r="AW34" s="133"/>
      <c r="AX34" s="119"/>
      <c r="AY34" s="119"/>
      <c r="AZ34" s="119"/>
      <c r="BA34" s="119"/>
      <c r="BB34" s="133"/>
      <c r="BC34" s="119"/>
      <c r="BD34" s="119"/>
      <c r="BE34" s="119"/>
      <c r="BF34" s="119"/>
      <c r="BG34" s="133"/>
      <c r="BH34" s="119"/>
      <c r="BI34" s="119"/>
      <c r="BJ34" s="119"/>
      <c r="BK34" s="119"/>
      <c r="BL34" s="133"/>
      <c r="BM34" s="119"/>
      <c r="BN34" s="119"/>
      <c r="BO34" s="119"/>
      <c r="BP34" s="119"/>
      <c r="BQ34" s="133"/>
      <c r="BR34" s="119"/>
      <c r="BS34" s="119"/>
      <c r="BT34" s="119"/>
      <c r="BU34" s="119"/>
      <c r="BV34" s="133"/>
      <c r="BW34" s="119"/>
      <c r="BX34" s="119"/>
      <c r="BY34" s="119"/>
      <c r="BZ34" s="119"/>
      <c r="CA34" s="133"/>
      <c r="CB34" s="119"/>
      <c r="CC34" s="119"/>
      <c r="CD34" s="119"/>
      <c r="CE34" s="119"/>
      <c r="CF34" s="133"/>
    </row>
    <row r="35" spans="1:84" ht="12.75">
      <c r="A35" s="119" t="s">
        <v>252</v>
      </c>
      <c r="B35" s="119" t="s">
        <v>253</v>
      </c>
      <c r="C35" s="119" t="s">
        <v>254</v>
      </c>
      <c r="D35" s="119" t="s">
        <v>158</v>
      </c>
      <c r="E35" s="119" t="s">
        <v>132</v>
      </c>
      <c r="F35" s="131">
        <f t="shared" si="0"/>
        <v>0</v>
      </c>
      <c r="G35" s="119">
        <f t="shared" si="1"/>
        <v>0</v>
      </c>
      <c r="H35" s="119">
        <f t="shared" ref="H35:I35" si="35">SUM(L35,Q35,V35,AA35,AF35,AK35,AP35,AU35,AZ35,BE35,BJ35,BO35,BT35,BY35,CD35)</f>
        <v>0</v>
      </c>
      <c r="I35" s="132">
        <f t="shared" si="35"/>
        <v>0</v>
      </c>
      <c r="J35" s="119"/>
      <c r="K35" s="119"/>
      <c r="L35" s="119"/>
      <c r="M35" s="119"/>
      <c r="N35" s="133"/>
      <c r="O35" s="119"/>
      <c r="P35" s="119"/>
      <c r="Q35" s="119"/>
      <c r="R35" s="119"/>
      <c r="S35" s="133"/>
      <c r="T35" s="119">
        <v>0</v>
      </c>
      <c r="U35" s="119"/>
      <c r="V35" s="119"/>
      <c r="W35" s="119"/>
      <c r="X35" s="133"/>
      <c r="Y35" s="119">
        <v>0</v>
      </c>
      <c r="Z35" s="119"/>
      <c r="AA35" s="119"/>
      <c r="AB35" s="119"/>
      <c r="AC35" s="133"/>
      <c r="AD35" s="119"/>
      <c r="AE35" s="119"/>
      <c r="AF35" s="119"/>
      <c r="AG35" s="119"/>
      <c r="AH35" s="133"/>
      <c r="AI35" s="119"/>
      <c r="AJ35" s="119"/>
      <c r="AK35" s="119"/>
      <c r="AL35" s="119"/>
      <c r="AM35" s="133"/>
      <c r="AN35" s="119"/>
      <c r="AO35" s="119"/>
      <c r="AP35" s="119"/>
      <c r="AQ35" s="119"/>
      <c r="AR35" s="133"/>
      <c r="AS35" s="119"/>
      <c r="AT35" s="119"/>
      <c r="AU35" s="119"/>
      <c r="AV35" s="119"/>
      <c r="AW35" s="133"/>
      <c r="AX35" s="119"/>
      <c r="AY35" s="119"/>
      <c r="AZ35" s="119"/>
      <c r="BA35" s="119"/>
      <c r="BB35" s="133"/>
      <c r="BC35" s="119"/>
      <c r="BD35" s="119"/>
      <c r="BE35" s="119"/>
      <c r="BF35" s="119"/>
      <c r="BG35" s="133"/>
      <c r="BH35" s="119"/>
      <c r="BI35" s="119"/>
      <c r="BJ35" s="119"/>
      <c r="BK35" s="119"/>
      <c r="BL35" s="133"/>
      <c r="BM35" s="119"/>
      <c r="BN35" s="119"/>
      <c r="BO35" s="119"/>
      <c r="BP35" s="119"/>
      <c r="BQ35" s="133"/>
      <c r="BR35" s="119"/>
      <c r="BS35" s="119"/>
      <c r="BT35" s="119"/>
      <c r="BU35" s="119"/>
      <c r="BV35" s="133"/>
      <c r="BW35" s="119"/>
      <c r="BX35" s="119"/>
      <c r="BY35" s="119"/>
      <c r="BZ35" s="119"/>
      <c r="CA35" s="133"/>
      <c r="CB35" s="119"/>
      <c r="CC35" s="119"/>
      <c r="CD35" s="119"/>
      <c r="CE35" s="119"/>
      <c r="CF35" s="133"/>
    </row>
    <row r="36" spans="1:84" ht="12.75">
      <c r="A36" s="119" t="s">
        <v>255</v>
      </c>
      <c r="B36" s="119" t="s">
        <v>256</v>
      </c>
      <c r="C36" s="119" t="s">
        <v>257</v>
      </c>
      <c r="D36" s="119" t="s">
        <v>152</v>
      </c>
      <c r="E36" s="119" t="s">
        <v>132</v>
      </c>
      <c r="F36" s="131">
        <f t="shared" si="0"/>
        <v>0</v>
      </c>
      <c r="G36" s="119">
        <f t="shared" si="1"/>
        <v>0</v>
      </c>
      <c r="H36" s="119">
        <f t="shared" ref="H36:I36" si="36">SUM(L36,Q36,V36,AA36,AF36,AK36,AP36,AU36,AZ36,BE36,BJ36,BO36,BT36,BY36,CD36)</f>
        <v>0</v>
      </c>
      <c r="I36" s="132">
        <f t="shared" si="36"/>
        <v>0</v>
      </c>
      <c r="J36" s="119"/>
      <c r="K36" s="119"/>
      <c r="L36" s="119"/>
      <c r="M36" s="119"/>
      <c r="N36" s="133"/>
      <c r="O36" s="119"/>
      <c r="P36" s="119"/>
      <c r="Q36" s="119"/>
      <c r="R36" s="119"/>
      <c r="S36" s="133"/>
      <c r="T36" s="119">
        <v>0</v>
      </c>
      <c r="U36" s="119"/>
      <c r="V36" s="119"/>
      <c r="W36" s="119"/>
      <c r="X36" s="133"/>
      <c r="Y36" s="119">
        <v>0</v>
      </c>
      <c r="Z36" s="119"/>
      <c r="AA36" s="119"/>
      <c r="AB36" s="119"/>
      <c r="AC36" s="133"/>
      <c r="AD36" s="119"/>
      <c r="AE36" s="119"/>
      <c r="AF36" s="119"/>
      <c r="AG36" s="119"/>
      <c r="AH36" s="133"/>
      <c r="AI36" s="119"/>
      <c r="AJ36" s="119"/>
      <c r="AK36" s="119"/>
      <c r="AL36" s="119"/>
      <c r="AM36" s="133"/>
      <c r="AN36" s="119"/>
      <c r="AO36" s="119"/>
      <c r="AP36" s="119"/>
      <c r="AQ36" s="119"/>
      <c r="AR36" s="133"/>
      <c r="AS36" s="119"/>
      <c r="AT36" s="119"/>
      <c r="AU36" s="119"/>
      <c r="AV36" s="119"/>
      <c r="AW36" s="133"/>
      <c r="AX36" s="119"/>
      <c r="AY36" s="119"/>
      <c r="AZ36" s="119"/>
      <c r="BA36" s="119"/>
      <c r="BB36" s="133"/>
      <c r="BC36" s="119"/>
      <c r="BD36" s="119"/>
      <c r="BE36" s="119"/>
      <c r="BF36" s="119"/>
      <c r="BG36" s="133"/>
      <c r="BH36" s="119"/>
      <c r="BI36" s="119"/>
      <c r="BJ36" s="119"/>
      <c r="BK36" s="119"/>
      <c r="BL36" s="133"/>
      <c r="BM36" s="119"/>
      <c r="BN36" s="119"/>
      <c r="BO36" s="119"/>
      <c r="BP36" s="119"/>
      <c r="BQ36" s="133"/>
      <c r="BR36" s="119"/>
      <c r="BS36" s="119"/>
      <c r="BT36" s="119"/>
      <c r="BU36" s="119"/>
      <c r="BV36" s="133"/>
      <c r="BW36" s="119"/>
      <c r="BX36" s="119"/>
      <c r="BY36" s="119"/>
      <c r="BZ36" s="119"/>
      <c r="CA36" s="133"/>
      <c r="CB36" s="119"/>
      <c r="CC36" s="119"/>
      <c r="CD36" s="119"/>
      <c r="CE36" s="119"/>
      <c r="CF36" s="133"/>
    </row>
    <row r="37" spans="1:84" ht="12.75">
      <c r="A37" s="119" t="s">
        <v>258</v>
      </c>
      <c r="B37" s="119" t="s">
        <v>259</v>
      </c>
      <c r="C37" s="119" t="s">
        <v>260</v>
      </c>
      <c r="D37" s="119" t="s">
        <v>152</v>
      </c>
      <c r="E37" s="119" t="s">
        <v>35</v>
      </c>
      <c r="F37" s="131">
        <f t="shared" si="0"/>
        <v>0</v>
      </c>
      <c r="G37" s="119">
        <f t="shared" si="1"/>
        <v>3</v>
      </c>
      <c r="H37" s="119">
        <f t="shared" ref="H37:I37" si="37">SUM(L37,Q37,V37,AA37,AF37,AK37,AP37,AU37,AZ37,BE37,BJ37,BO37,BT37,BY37,CD37)</f>
        <v>200</v>
      </c>
      <c r="I37" s="132">
        <f t="shared" si="37"/>
        <v>1</v>
      </c>
      <c r="J37" s="119">
        <v>0</v>
      </c>
      <c r="K37" s="119">
        <v>0</v>
      </c>
      <c r="L37" s="119">
        <v>0</v>
      </c>
      <c r="M37" s="119">
        <v>0</v>
      </c>
      <c r="N37" s="133">
        <v>0</v>
      </c>
      <c r="O37" s="119">
        <v>0</v>
      </c>
      <c r="P37" s="119">
        <v>0</v>
      </c>
      <c r="Q37" s="119">
        <v>0</v>
      </c>
      <c r="R37" s="119">
        <v>0</v>
      </c>
      <c r="S37" s="133">
        <v>0</v>
      </c>
      <c r="T37" s="119">
        <v>0</v>
      </c>
      <c r="U37" s="119">
        <v>0</v>
      </c>
      <c r="V37" s="119">
        <v>0</v>
      </c>
      <c r="W37" s="119">
        <v>0</v>
      </c>
      <c r="X37" s="133">
        <v>0</v>
      </c>
      <c r="Y37" s="119">
        <v>1</v>
      </c>
      <c r="Z37" s="119" t="s">
        <v>261</v>
      </c>
      <c r="AA37" s="119">
        <v>200</v>
      </c>
      <c r="AB37" s="119">
        <v>0</v>
      </c>
      <c r="AC37" s="133">
        <v>0</v>
      </c>
      <c r="AD37" s="119">
        <v>1</v>
      </c>
      <c r="AE37" s="119" t="s">
        <v>262</v>
      </c>
      <c r="AF37" s="119"/>
      <c r="AG37" s="119">
        <v>1</v>
      </c>
      <c r="AH37" s="133"/>
      <c r="AI37" s="119">
        <v>1</v>
      </c>
      <c r="AJ37" s="119" t="s">
        <v>262</v>
      </c>
      <c r="AK37" s="119"/>
      <c r="AL37" s="119">
        <v>0</v>
      </c>
      <c r="AM37" s="133">
        <v>0</v>
      </c>
      <c r="AN37" s="119">
        <v>0</v>
      </c>
      <c r="AO37" s="119">
        <v>0</v>
      </c>
      <c r="AP37" s="119">
        <v>0</v>
      </c>
      <c r="AQ37" s="119">
        <v>0</v>
      </c>
      <c r="AR37" s="133">
        <v>0</v>
      </c>
      <c r="AS37" s="119"/>
      <c r="AT37" s="119"/>
      <c r="AU37" s="119"/>
      <c r="AV37" s="119"/>
      <c r="AW37" s="133"/>
      <c r="AX37" s="119"/>
      <c r="AY37" s="119"/>
      <c r="AZ37" s="119"/>
      <c r="BA37" s="119"/>
      <c r="BB37" s="133"/>
      <c r="BC37" s="119"/>
      <c r="BD37" s="119"/>
      <c r="BE37" s="119"/>
      <c r="BF37" s="119"/>
      <c r="BG37" s="133"/>
      <c r="BH37" s="119"/>
      <c r="BI37" s="119"/>
      <c r="BJ37" s="119"/>
      <c r="BK37" s="119"/>
      <c r="BL37" s="133"/>
      <c r="BM37" s="119"/>
      <c r="BN37" s="119"/>
      <c r="BO37" s="119"/>
      <c r="BP37" s="119"/>
      <c r="BQ37" s="133"/>
      <c r="BR37" s="119"/>
      <c r="BS37" s="119"/>
      <c r="BT37" s="119"/>
      <c r="BU37" s="119"/>
      <c r="BV37" s="133"/>
      <c r="BW37" s="119"/>
      <c r="BX37" s="119"/>
      <c r="BY37" s="119"/>
      <c r="BZ37" s="119"/>
      <c r="CA37" s="133"/>
      <c r="CB37" s="119"/>
      <c r="CC37" s="119"/>
      <c r="CD37" s="119"/>
      <c r="CE37" s="119"/>
      <c r="CF37" s="133"/>
    </row>
    <row r="38" spans="1:84" ht="12.75">
      <c r="A38" s="119" t="s">
        <v>263</v>
      </c>
      <c r="B38" s="119" t="s">
        <v>264</v>
      </c>
      <c r="C38" s="119" t="s">
        <v>265</v>
      </c>
      <c r="D38" s="119" t="s">
        <v>158</v>
      </c>
      <c r="E38" s="119" t="s">
        <v>35</v>
      </c>
      <c r="F38" s="131">
        <f t="shared" si="0"/>
        <v>0</v>
      </c>
      <c r="G38" s="119">
        <f t="shared" si="1"/>
        <v>2</v>
      </c>
      <c r="H38" s="119">
        <f t="shared" ref="H38:I38" si="38">SUM(L38,Q38,V38,AA38,AF38,AK38,AP38,AU38,AZ38,BE38,BJ38,BO38,BT38,BY38,CD38)</f>
        <v>0</v>
      </c>
      <c r="I38" s="132">
        <f t="shared" si="38"/>
        <v>1</v>
      </c>
      <c r="J38" s="119">
        <v>0</v>
      </c>
      <c r="K38" s="119">
        <v>0</v>
      </c>
      <c r="L38" s="119">
        <v>0</v>
      </c>
      <c r="M38" s="119">
        <v>0</v>
      </c>
      <c r="N38" s="133">
        <v>0</v>
      </c>
      <c r="O38" s="119">
        <v>0</v>
      </c>
      <c r="P38" s="119">
        <v>0</v>
      </c>
      <c r="Q38" s="119">
        <v>0</v>
      </c>
      <c r="R38" s="119">
        <v>0</v>
      </c>
      <c r="S38" s="133">
        <v>0</v>
      </c>
      <c r="T38" s="119">
        <v>0</v>
      </c>
      <c r="U38" s="119">
        <v>0</v>
      </c>
      <c r="V38" s="119">
        <v>0</v>
      </c>
      <c r="W38" s="119">
        <v>0</v>
      </c>
      <c r="X38" s="133">
        <v>0</v>
      </c>
      <c r="Y38" s="119">
        <v>0</v>
      </c>
      <c r="Z38" s="119">
        <v>0</v>
      </c>
      <c r="AA38" s="119">
        <v>0</v>
      </c>
      <c r="AB38" s="119">
        <v>0</v>
      </c>
      <c r="AC38" s="133">
        <v>0</v>
      </c>
      <c r="AD38" s="119">
        <v>1</v>
      </c>
      <c r="AE38" s="119" t="s">
        <v>262</v>
      </c>
      <c r="AF38" s="119"/>
      <c r="AG38" s="119">
        <v>1</v>
      </c>
      <c r="AH38" s="133">
        <v>0</v>
      </c>
      <c r="AI38" s="119">
        <v>1</v>
      </c>
      <c r="AJ38" s="119" t="s">
        <v>262</v>
      </c>
      <c r="AK38" s="119"/>
      <c r="AL38" s="119">
        <v>0</v>
      </c>
      <c r="AM38" s="133"/>
      <c r="AN38" s="119">
        <v>0</v>
      </c>
      <c r="AO38" s="119">
        <v>0</v>
      </c>
      <c r="AP38" s="119">
        <v>0</v>
      </c>
      <c r="AQ38" s="119">
        <v>0</v>
      </c>
      <c r="AR38" s="133">
        <v>0</v>
      </c>
      <c r="AS38" s="119"/>
      <c r="AT38" s="119"/>
      <c r="AU38" s="119"/>
      <c r="AV38" s="119"/>
      <c r="AW38" s="133"/>
      <c r="AX38" s="119"/>
      <c r="AY38" s="119"/>
      <c r="AZ38" s="119"/>
      <c r="BA38" s="119"/>
      <c r="BB38" s="133"/>
      <c r="BC38" s="119"/>
      <c r="BD38" s="119"/>
      <c r="BE38" s="119"/>
      <c r="BF38" s="119"/>
      <c r="BG38" s="133"/>
      <c r="BH38" s="119"/>
      <c r="BI38" s="119"/>
      <c r="BJ38" s="119"/>
      <c r="BK38" s="119"/>
      <c r="BL38" s="133"/>
      <c r="BM38" s="119"/>
      <c r="BN38" s="119"/>
      <c r="BO38" s="119"/>
      <c r="BP38" s="119"/>
      <c r="BQ38" s="133"/>
      <c r="BR38" s="119"/>
      <c r="BS38" s="119"/>
      <c r="BT38" s="119"/>
      <c r="BU38" s="119"/>
      <c r="BV38" s="133"/>
      <c r="BW38" s="119"/>
      <c r="BX38" s="119"/>
      <c r="BY38" s="119"/>
      <c r="BZ38" s="119"/>
      <c r="CA38" s="133"/>
      <c r="CB38" s="119"/>
      <c r="CC38" s="119"/>
      <c r="CD38" s="119"/>
      <c r="CE38" s="119"/>
      <c r="CF38" s="133"/>
    </row>
    <row r="39" spans="1:84" ht="12.75">
      <c r="A39" s="119" t="s">
        <v>266</v>
      </c>
      <c r="B39" s="119" t="s">
        <v>267</v>
      </c>
      <c r="C39" s="119" t="s">
        <v>268</v>
      </c>
      <c r="D39" s="119" t="s">
        <v>158</v>
      </c>
      <c r="E39" s="119" t="s">
        <v>35</v>
      </c>
      <c r="F39" s="131">
        <f t="shared" si="0"/>
        <v>0</v>
      </c>
      <c r="G39" s="119">
        <f t="shared" si="1"/>
        <v>0</v>
      </c>
      <c r="H39" s="119">
        <f t="shared" ref="H39:I39" si="39">SUM(L39,Q39,V39,AA39,AF39,AK39,AP39,AU39,AZ39,BE39,BJ39,BO39,BT39,BY39,CD39)</f>
        <v>0</v>
      </c>
      <c r="I39" s="132">
        <f t="shared" si="39"/>
        <v>0</v>
      </c>
      <c r="J39" s="119">
        <v>0</v>
      </c>
      <c r="K39" s="119">
        <v>0</v>
      </c>
      <c r="L39" s="119">
        <v>0</v>
      </c>
      <c r="M39" s="119">
        <v>0</v>
      </c>
      <c r="N39" s="133">
        <v>0</v>
      </c>
      <c r="O39" s="119">
        <v>0</v>
      </c>
      <c r="P39" s="119">
        <v>0</v>
      </c>
      <c r="Q39" s="119">
        <v>0</v>
      </c>
      <c r="R39" s="119">
        <v>0</v>
      </c>
      <c r="S39" s="133">
        <v>0</v>
      </c>
      <c r="T39" s="119">
        <v>0</v>
      </c>
      <c r="U39" s="119">
        <v>0</v>
      </c>
      <c r="V39" s="119">
        <v>0</v>
      </c>
      <c r="W39" s="119">
        <v>0</v>
      </c>
      <c r="X39" s="133">
        <v>0</v>
      </c>
      <c r="Y39" s="119">
        <v>0</v>
      </c>
      <c r="Z39" s="119">
        <v>0</v>
      </c>
      <c r="AA39" s="119">
        <v>0</v>
      </c>
      <c r="AB39" s="119">
        <v>0</v>
      </c>
      <c r="AC39" s="133">
        <v>0</v>
      </c>
      <c r="AD39" s="119">
        <v>0</v>
      </c>
      <c r="AE39" s="119">
        <v>0</v>
      </c>
      <c r="AF39" s="119">
        <v>0</v>
      </c>
      <c r="AG39" s="119">
        <v>0</v>
      </c>
      <c r="AH39" s="133">
        <v>0</v>
      </c>
      <c r="AI39" s="119">
        <v>0</v>
      </c>
      <c r="AJ39" s="119">
        <v>0</v>
      </c>
      <c r="AK39" s="119">
        <v>0</v>
      </c>
      <c r="AL39" s="119">
        <v>0</v>
      </c>
      <c r="AM39" s="133">
        <v>0</v>
      </c>
      <c r="AN39" s="119">
        <v>0</v>
      </c>
      <c r="AO39" s="119">
        <v>0</v>
      </c>
      <c r="AP39" s="119">
        <v>0</v>
      </c>
      <c r="AQ39" s="119">
        <v>0</v>
      </c>
      <c r="AR39" s="133">
        <v>0</v>
      </c>
      <c r="AS39" s="119"/>
      <c r="AT39" s="119"/>
      <c r="AU39" s="119"/>
      <c r="AV39" s="119"/>
      <c r="AW39" s="133"/>
      <c r="AX39" s="119"/>
      <c r="AY39" s="119"/>
      <c r="AZ39" s="119"/>
      <c r="BA39" s="119"/>
      <c r="BB39" s="133"/>
      <c r="BC39" s="119"/>
      <c r="BD39" s="119"/>
      <c r="BE39" s="119"/>
      <c r="BF39" s="119"/>
      <c r="BG39" s="133"/>
      <c r="BH39" s="119"/>
      <c r="BI39" s="119"/>
      <c r="BJ39" s="119"/>
      <c r="BK39" s="119"/>
      <c r="BL39" s="133"/>
      <c r="BM39" s="119"/>
      <c r="BN39" s="119"/>
      <c r="BO39" s="119"/>
      <c r="BP39" s="119"/>
      <c r="BQ39" s="133"/>
      <c r="BR39" s="119"/>
      <c r="BS39" s="119"/>
      <c r="BT39" s="119"/>
      <c r="BU39" s="119"/>
      <c r="BV39" s="133"/>
      <c r="BW39" s="119"/>
      <c r="BX39" s="119"/>
      <c r="BY39" s="119"/>
      <c r="BZ39" s="119"/>
      <c r="CA39" s="133"/>
      <c r="CB39" s="119"/>
      <c r="CC39" s="119"/>
      <c r="CD39" s="119"/>
      <c r="CE39" s="119"/>
      <c r="CF39" s="133"/>
    </row>
    <row r="40" spans="1:84" ht="12.75">
      <c r="A40" s="119" t="s">
        <v>269</v>
      </c>
      <c r="B40" s="119" t="s">
        <v>270</v>
      </c>
      <c r="C40" s="119" t="s">
        <v>271</v>
      </c>
      <c r="D40" s="119" t="s">
        <v>158</v>
      </c>
      <c r="E40" s="119" t="s">
        <v>35</v>
      </c>
      <c r="F40" s="131">
        <f t="shared" si="0"/>
        <v>0</v>
      </c>
      <c r="G40" s="119">
        <f t="shared" si="1"/>
        <v>0</v>
      </c>
      <c r="H40" s="119">
        <f t="shared" ref="H40:I40" si="40">SUM(L40,Q40,V40,AA40,AF40,AK40,AP40,AU40,AZ40,BE40,BJ40,BO40,BT40,BY40,CD40)</f>
        <v>0</v>
      </c>
      <c r="I40" s="132">
        <f t="shared" si="40"/>
        <v>0</v>
      </c>
      <c r="J40" s="119">
        <v>0</v>
      </c>
      <c r="K40" s="119">
        <v>0</v>
      </c>
      <c r="L40" s="119">
        <v>0</v>
      </c>
      <c r="M40" s="119">
        <v>0</v>
      </c>
      <c r="N40" s="133">
        <v>0</v>
      </c>
      <c r="O40" s="119">
        <v>0</v>
      </c>
      <c r="P40" s="119">
        <v>0</v>
      </c>
      <c r="Q40" s="119">
        <v>0</v>
      </c>
      <c r="R40" s="119">
        <v>0</v>
      </c>
      <c r="S40" s="133">
        <v>0</v>
      </c>
      <c r="T40" s="119">
        <v>0</v>
      </c>
      <c r="U40" s="119">
        <v>0</v>
      </c>
      <c r="V40" s="119">
        <v>0</v>
      </c>
      <c r="W40" s="119">
        <v>0</v>
      </c>
      <c r="X40" s="133">
        <v>0</v>
      </c>
      <c r="Y40" s="119">
        <v>0</v>
      </c>
      <c r="Z40" s="119">
        <v>0</v>
      </c>
      <c r="AA40" s="119">
        <v>0</v>
      </c>
      <c r="AB40" s="119">
        <v>0</v>
      </c>
      <c r="AC40" s="133">
        <v>0</v>
      </c>
      <c r="AD40" s="119">
        <v>0</v>
      </c>
      <c r="AE40" s="119">
        <v>0</v>
      </c>
      <c r="AF40" s="119">
        <v>0</v>
      </c>
      <c r="AG40" s="119">
        <v>0</v>
      </c>
      <c r="AH40" s="133">
        <v>0</v>
      </c>
      <c r="AI40" s="119">
        <v>0</v>
      </c>
      <c r="AJ40" s="119">
        <v>0</v>
      </c>
      <c r="AK40" s="119">
        <v>0</v>
      </c>
      <c r="AL40" s="119">
        <v>0</v>
      </c>
      <c r="AM40" s="133">
        <v>0</v>
      </c>
      <c r="AN40" s="119">
        <v>0</v>
      </c>
      <c r="AO40" s="119">
        <v>0</v>
      </c>
      <c r="AP40" s="119">
        <v>0</v>
      </c>
      <c r="AQ40" s="119">
        <v>0</v>
      </c>
      <c r="AR40" s="133">
        <v>0</v>
      </c>
      <c r="AS40" s="119"/>
      <c r="AT40" s="119"/>
      <c r="AU40" s="119"/>
      <c r="AV40" s="119"/>
      <c r="AW40" s="133"/>
      <c r="AX40" s="119"/>
      <c r="AY40" s="119"/>
      <c r="AZ40" s="119"/>
      <c r="BA40" s="119"/>
      <c r="BB40" s="133"/>
      <c r="BC40" s="119"/>
      <c r="BD40" s="119"/>
      <c r="BE40" s="119"/>
      <c r="BF40" s="119"/>
      <c r="BG40" s="133"/>
      <c r="BH40" s="119"/>
      <c r="BI40" s="119"/>
      <c r="BJ40" s="119"/>
      <c r="BK40" s="119"/>
      <c r="BL40" s="133"/>
      <c r="BM40" s="119"/>
      <c r="BN40" s="119"/>
      <c r="BO40" s="119"/>
      <c r="BP40" s="119"/>
      <c r="BQ40" s="133"/>
      <c r="BR40" s="119"/>
      <c r="BS40" s="119"/>
      <c r="BT40" s="119"/>
      <c r="BU40" s="119"/>
      <c r="BV40" s="133"/>
      <c r="BW40" s="119"/>
      <c r="BX40" s="119"/>
      <c r="BY40" s="119"/>
      <c r="BZ40" s="119"/>
      <c r="CA40" s="133"/>
      <c r="CB40" s="119"/>
      <c r="CC40" s="119"/>
      <c r="CD40" s="119"/>
      <c r="CE40" s="119"/>
      <c r="CF40" s="133"/>
    </row>
    <row r="41" spans="1:84" ht="12.75">
      <c r="A41" s="119" t="s">
        <v>272</v>
      </c>
      <c r="B41" s="119" t="s">
        <v>273</v>
      </c>
      <c r="C41" s="119" t="s">
        <v>274</v>
      </c>
      <c r="D41" s="119" t="s">
        <v>158</v>
      </c>
      <c r="E41" s="119" t="s">
        <v>35</v>
      </c>
      <c r="F41" s="131">
        <f t="shared" si="0"/>
        <v>0</v>
      </c>
      <c r="G41" s="119">
        <f t="shared" si="1"/>
        <v>0</v>
      </c>
      <c r="H41" s="119">
        <f t="shared" ref="H41:I41" si="41">SUM(L41,Q41,V41,AA41,AF41,AK41,AP41,AU41,AZ41,BE41,BJ41,BO41,BT41,BY41,CD41)</f>
        <v>0</v>
      </c>
      <c r="I41" s="132">
        <f t="shared" si="41"/>
        <v>0</v>
      </c>
      <c r="J41" s="119">
        <v>0</v>
      </c>
      <c r="K41" s="119">
        <v>0</v>
      </c>
      <c r="L41" s="119">
        <v>0</v>
      </c>
      <c r="M41" s="119">
        <v>0</v>
      </c>
      <c r="N41" s="133">
        <v>0</v>
      </c>
      <c r="O41" s="119">
        <v>0</v>
      </c>
      <c r="P41" s="119">
        <v>0</v>
      </c>
      <c r="Q41" s="119">
        <v>0</v>
      </c>
      <c r="R41" s="119">
        <v>0</v>
      </c>
      <c r="S41" s="133">
        <v>0</v>
      </c>
      <c r="T41" s="119">
        <v>0</v>
      </c>
      <c r="U41" s="119">
        <v>0</v>
      </c>
      <c r="V41" s="119">
        <v>0</v>
      </c>
      <c r="W41" s="119">
        <v>0</v>
      </c>
      <c r="X41" s="133">
        <v>0</v>
      </c>
      <c r="Y41" s="119">
        <v>0</v>
      </c>
      <c r="Z41" s="119">
        <v>0</v>
      </c>
      <c r="AA41" s="119">
        <v>0</v>
      </c>
      <c r="AB41" s="119">
        <v>0</v>
      </c>
      <c r="AC41" s="133">
        <v>0</v>
      </c>
      <c r="AD41" s="119">
        <v>0</v>
      </c>
      <c r="AE41" s="119">
        <v>0</v>
      </c>
      <c r="AF41" s="119">
        <v>0</v>
      </c>
      <c r="AG41" s="119">
        <v>0</v>
      </c>
      <c r="AH41" s="133">
        <v>0</v>
      </c>
      <c r="AI41" s="119">
        <v>0</v>
      </c>
      <c r="AJ41" s="119">
        <v>0</v>
      </c>
      <c r="AK41" s="119">
        <v>0</v>
      </c>
      <c r="AL41" s="119">
        <v>0</v>
      </c>
      <c r="AM41" s="133">
        <v>0</v>
      </c>
      <c r="AN41" s="119">
        <v>0</v>
      </c>
      <c r="AO41" s="119">
        <v>0</v>
      </c>
      <c r="AP41" s="119">
        <v>0</v>
      </c>
      <c r="AQ41" s="119">
        <v>0</v>
      </c>
      <c r="AR41" s="133">
        <v>0</v>
      </c>
      <c r="AS41" s="119"/>
      <c r="AT41" s="119"/>
      <c r="AU41" s="119"/>
      <c r="AV41" s="119"/>
      <c r="AW41" s="133"/>
      <c r="AX41" s="119"/>
      <c r="AY41" s="119"/>
      <c r="AZ41" s="119"/>
      <c r="BA41" s="119"/>
      <c r="BB41" s="133"/>
      <c r="BC41" s="119"/>
      <c r="BD41" s="119"/>
      <c r="BE41" s="119"/>
      <c r="BF41" s="119"/>
      <c r="BG41" s="133"/>
      <c r="BH41" s="119"/>
      <c r="BI41" s="119"/>
      <c r="BJ41" s="119"/>
      <c r="BK41" s="119"/>
      <c r="BL41" s="133"/>
      <c r="BM41" s="119"/>
      <c r="BN41" s="119"/>
      <c r="BO41" s="119"/>
      <c r="BP41" s="119"/>
      <c r="BQ41" s="133"/>
      <c r="BR41" s="119"/>
      <c r="BS41" s="119"/>
      <c r="BT41" s="119"/>
      <c r="BU41" s="119"/>
      <c r="BV41" s="133"/>
      <c r="BW41" s="119"/>
      <c r="BX41" s="119"/>
      <c r="BY41" s="119"/>
      <c r="BZ41" s="119"/>
      <c r="CA41" s="133"/>
      <c r="CB41" s="119"/>
      <c r="CC41" s="119"/>
      <c r="CD41" s="119"/>
      <c r="CE41" s="119"/>
      <c r="CF41" s="133"/>
    </row>
    <row r="42" spans="1:84" ht="12.75">
      <c r="A42" s="119" t="s">
        <v>275</v>
      </c>
      <c r="B42" s="119" t="s">
        <v>276</v>
      </c>
      <c r="C42" s="119" t="s">
        <v>200</v>
      </c>
      <c r="D42" s="119" t="s">
        <v>158</v>
      </c>
      <c r="E42" s="119" t="s">
        <v>35</v>
      </c>
      <c r="F42" s="131">
        <f t="shared" si="0"/>
        <v>0</v>
      </c>
      <c r="G42" s="119">
        <f t="shared" si="1"/>
        <v>0</v>
      </c>
      <c r="H42" s="119">
        <f t="shared" ref="H42:I42" si="42">SUM(L42,Q42,V42,AA42,AF42,AK42,AP42,AU42,AZ42,BE42,BJ42,BO42,BT42,BY42,CD42)</f>
        <v>0</v>
      </c>
      <c r="I42" s="132">
        <f t="shared" si="42"/>
        <v>0</v>
      </c>
      <c r="J42" s="119">
        <v>0</v>
      </c>
      <c r="K42" s="119">
        <v>0</v>
      </c>
      <c r="L42" s="119">
        <v>0</v>
      </c>
      <c r="M42" s="119">
        <v>0</v>
      </c>
      <c r="N42" s="133">
        <v>0</v>
      </c>
      <c r="O42" s="119">
        <v>0</v>
      </c>
      <c r="P42" s="119">
        <v>0</v>
      </c>
      <c r="Q42" s="119">
        <v>0</v>
      </c>
      <c r="R42" s="119">
        <v>0</v>
      </c>
      <c r="S42" s="133">
        <v>0</v>
      </c>
      <c r="T42" s="119">
        <v>0</v>
      </c>
      <c r="U42" s="119">
        <v>0</v>
      </c>
      <c r="V42" s="119">
        <v>0</v>
      </c>
      <c r="W42" s="119">
        <v>0</v>
      </c>
      <c r="X42" s="133">
        <v>0</v>
      </c>
      <c r="Y42" s="119">
        <v>0</v>
      </c>
      <c r="Z42" s="119">
        <v>0</v>
      </c>
      <c r="AA42" s="119">
        <v>0</v>
      </c>
      <c r="AB42" s="119">
        <v>0</v>
      </c>
      <c r="AC42" s="133">
        <v>0</v>
      </c>
      <c r="AD42" s="119">
        <v>0</v>
      </c>
      <c r="AE42" s="119">
        <v>0</v>
      </c>
      <c r="AF42" s="119">
        <v>0</v>
      </c>
      <c r="AG42" s="119">
        <v>0</v>
      </c>
      <c r="AH42" s="133">
        <v>0</v>
      </c>
      <c r="AI42" s="119">
        <v>0</v>
      </c>
      <c r="AJ42" s="119">
        <v>0</v>
      </c>
      <c r="AK42" s="119">
        <v>0</v>
      </c>
      <c r="AL42" s="119">
        <v>0</v>
      </c>
      <c r="AM42" s="133">
        <v>0</v>
      </c>
      <c r="AN42" s="119">
        <v>0</v>
      </c>
      <c r="AO42" s="119">
        <v>0</v>
      </c>
      <c r="AP42" s="119">
        <v>0</v>
      </c>
      <c r="AQ42" s="119">
        <v>0</v>
      </c>
      <c r="AR42" s="133">
        <v>0</v>
      </c>
      <c r="AS42" s="119"/>
      <c r="AT42" s="119"/>
      <c r="AU42" s="119"/>
      <c r="AV42" s="119"/>
      <c r="AW42" s="133"/>
      <c r="AX42" s="119"/>
      <c r="AY42" s="119"/>
      <c r="AZ42" s="119"/>
      <c r="BA42" s="119"/>
      <c r="BB42" s="133"/>
      <c r="BC42" s="119"/>
      <c r="BD42" s="119"/>
      <c r="BE42" s="119"/>
      <c r="BF42" s="119"/>
      <c r="BG42" s="133"/>
      <c r="BH42" s="119"/>
      <c r="BI42" s="119"/>
      <c r="BJ42" s="119"/>
      <c r="BK42" s="119"/>
      <c r="BL42" s="133"/>
      <c r="BM42" s="119"/>
      <c r="BN42" s="119"/>
      <c r="BO42" s="119"/>
      <c r="BP42" s="119"/>
      <c r="BQ42" s="133"/>
      <c r="BR42" s="119"/>
      <c r="BS42" s="119"/>
      <c r="BT42" s="119"/>
      <c r="BU42" s="119"/>
      <c r="BV42" s="133"/>
      <c r="BW42" s="119"/>
      <c r="BX42" s="119"/>
      <c r="BY42" s="119"/>
      <c r="BZ42" s="119"/>
      <c r="CA42" s="133"/>
      <c r="CB42" s="119"/>
      <c r="CC42" s="119"/>
      <c r="CD42" s="119"/>
      <c r="CE42" s="119"/>
      <c r="CF42" s="133"/>
    </row>
    <row r="43" spans="1:84" ht="12.75">
      <c r="A43" s="119" t="s">
        <v>277</v>
      </c>
      <c r="B43" s="119" t="s">
        <v>278</v>
      </c>
      <c r="C43" s="119" t="s">
        <v>279</v>
      </c>
      <c r="D43" s="119" t="s">
        <v>152</v>
      </c>
      <c r="E43" s="119" t="s">
        <v>35</v>
      </c>
      <c r="F43" s="131">
        <f t="shared" si="0"/>
        <v>0</v>
      </c>
      <c r="G43" s="119">
        <f t="shared" si="1"/>
        <v>0</v>
      </c>
      <c r="H43" s="119">
        <f t="shared" ref="H43:I43" si="43">SUM(L43,Q43,V43,AA43,AF43,AK43,AP43,AU43,AZ43,BE43,BJ43,BO43,BT43,BY43,CD43)</f>
        <v>0</v>
      </c>
      <c r="I43" s="132">
        <f t="shared" si="43"/>
        <v>0</v>
      </c>
      <c r="J43" s="119">
        <v>0</v>
      </c>
      <c r="K43" s="119">
        <v>0</v>
      </c>
      <c r="L43" s="119">
        <v>0</v>
      </c>
      <c r="M43" s="119">
        <v>0</v>
      </c>
      <c r="N43" s="133">
        <v>0</v>
      </c>
      <c r="O43" s="119">
        <v>0</v>
      </c>
      <c r="P43" s="119">
        <v>0</v>
      </c>
      <c r="Q43" s="119">
        <v>0</v>
      </c>
      <c r="R43" s="119">
        <v>0</v>
      </c>
      <c r="S43" s="133">
        <v>0</v>
      </c>
      <c r="T43" s="119">
        <v>0</v>
      </c>
      <c r="U43" s="119">
        <v>0</v>
      </c>
      <c r="V43" s="119">
        <v>0</v>
      </c>
      <c r="W43" s="119">
        <v>0</v>
      </c>
      <c r="X43" s="133">
        <v>0</v>
      </c>
      <c r="Y43" s="119">
        <v>0</v>
      </c>
      <c r="Z43" s="119">
        <v>0</v>
      </c>
      <c r="AA43" s="119">
        <v>0</v>
      </c>
      <c r="AB43" s="119">
        <v>0</v>
      </c>
      <c r="AC43" s="133">
        <v>0</v>
      </c>
      <c r="AD43" s="119">
        <v>0</v>
      </c>
      <c r="AE43" s="119">
        <v>0</v>
      </c>
      <c r="AF43" s="119">
        <v>0</v>
      </c>
      <c r="AG43" s="119">
        <v>0</v>
      </c>
      <c r="AH43" s="133">
        <v>0</v>
      </c>
      <c r="AI43" s="119">
        <v>0</v>
      </c>
      <c r="AJ43" s="119">
        <v>0</v>
      </c>
      <c r="AK43" s="119">
        <v>0</v>
      </c>
      <c r="AL43" s="119">
        <v>0</v>
      </c>
      <c r="AM43" s="133">
        <v>0</v>
      </c>
      <c r="AN43" s="119">
        <v>0</v>
      </c>
      <c r="AO43" s="119">
        <v>0</v>
      </c>
      <c r="AP43" s="119">
        <v>0</v>
      </c>
      <c r="AQ43" s="119">
        <v>0</v>
      </c>
      <c r="AR43" s="133">
        <v>0</v>
      </c>
      <c r="AS43" s="119"/>
      <c r="AT43" s="119"/>
      <c r="AU43" s="119"/>
      <c r="AV43" s="119"/>
      <c r="AW43" s="133"/>
      <c r="AX43" s="119"/>
      <c r="AY43" s="119"/>
      <c r="AZ43" s="119"/>
      <c r="BA43" s="119"/>
      <c r="BB43" s="133"/>
      <c r="BC43" s="119"/>
      <c r="BD43" s="119"/>
      <c r="BE43" s="119"/>
      <c r="BF43" s="119"/>
      <c r="BG43" s="133"/>
      <c r="BH43" s="119"/>
      <c r="BI43" s="119"/>
      <c r="BJ43" s="119"/>
      <c r="BK43" s="119"/>
      <c r="BL43" s="133"/>
      <c r="BM43" s="119"/>
      <c r="BN43" s="119"/>
      <c r="BO43" s="119"/>
      <c r="BP43" s="119"/>
      <c r="BQ43" s="133"/>
      <c r="BR43" s="119"/>
      <c r="BS43" s="119"/>
      <c r="BT43" s="119"/>
      <c r="BU43" s="119"/>
      <c r="BV43" s="133"/>
      <c r="BW43" s="119"/>
      <c r="BX43" s="119"/>
      <c r="BY43" s="119"/>
      <c r="BZ43" s="119"/>
      <c r="CA43" s="133"/>
      <c r="CB43" s="119"/>
      <c r="CC43" s="119"/>
      <c r="CD43" s="119"/>
      <c r="CE43" s="119"/>
      <c r="CF43" s="133"/>
    </row>
    <row r="44" spans="1:84" ht="12.75">
      <c r="A44" s="119" t="s">
        <v>280</v>
      </c>
      <c r="B44" s="119" t="s">
        <v>281</v>
      </c>
      <c r="C44" s="119" t="s">
        <v>282</v>
      </c>
      <c r="D44" s="119" t="s">
        <v>152</v>
      </c>
      <c r="E44" s="119" t="s">
        <v>283</v>
      </c>
      <c r="F44" s="131">
        <f t="shared" si="0"/>
        <v>0</v>
      </c>
      <c r="G44" s="119">
        <f t="shared" si="1"/>
        <v>1.5</v>
      </c>
      <c r="H44" s="119">
        <f t="shared" ref="H44:I44" si="44">SUM(L44,Q44,V44,AA44,AF44,AK44,AP44,AU44,AZ44,BE44,BJ44,BO44,BT44,BY44,CD44)</f>
        <v>0</v>
      </c>
      <c r="I44" s="132">
        <f t="shared" si="44"/>
        <v>0</v>
      </c>
      <c r="J44" s="119">
        <v>1</v>
      </c>
      <c r="K44" s="119" t="s">
        <v>284</v>
      </c>
      <c r="L44" s="119"/>
      <c r="M44" s="119">
        <v>0</v>
      </c>
      <c r="N44" s="133"/>
      <c r="O44" s="119">
        <v>0.5</v>
      </c>
      <c r="P44" s="119" t="s">
        <v>284</v>
      </c>
      <c r="Q44" s="119"/>
      <c r="R44" s="119">
        <v>0</v>
      </c>
      <c r="S44" s="133"/>
      <c r="T44" s="119">
        <v>0</v>
      </c>
      <c r="U44" s="119"/>
      <c r="V44" s="119"/>
      <c r="W44" s="119"/>
      <c r="X44" s="133"/>
      <c r="Y44" s="119">
        <v>0</v>
      </c>
      <c r="Z44" s="119"/>
      <c r="AA44" s="119"/>
      <c r="AB44" s="119"/>
      <c r="AC44" s="133"/>
      <c r="AD44" s="119"/>
      <c r="AE44" s="119"/>
      <c r="AF44" s="119"/>
      <c r="AG44" s="119"/>
      <c r="AH44" s="133"/>
      <c r="AI44" s="119"/>
      <c r="AJ44" s="119"/>
      <c r="AK44" s="119"/>
      <c r="AL44" s="119"/>
      <c r="AM44" s="133"/>
      <c r="AN44" s="119"/>
      <c r="AO44" s="119"/>
      <c r="AP44" s="119"/>
      <c r="AQ44" s="119"/>
      <c r="AR44" s="133"/>
      <c r="AS44" s="119"/>
      <c r="AT44" s="119"/>
      <c r="AU44" s="119"/>
      <c r="AV44" s="119"/>
      <c r="AW44" s="133"/>
      <c r="AX44" s="119"/>
      <c r="AY44" s="119"/>
      <c r="AZ44" s="119"/>
      <c r="BA44" s="119"/>
      <c r="BB44" s="133"/>
      <c r="BC44" s="119"/>
      <c r="BD44" s="119"/>
      <c r="BE44" s="119"/>
      <c r="BF44" s="119"/>
      <c r="BG44" s="133"/>
      <c r="BH44" s="119"/>
      <c r="BI44" s="119"/>
      <c r="BJ44" s="119"/>
      <c r="BK44" s="119"/>
      <c r="BL44" s="133"/>
      <c r="BM44" s="119"/>
      <c r="BN44" s="119"/>
      <c r="BO44" s="119"/>
      <c r="BP44" s="119"/>
      <c r="BQ44" s="133"/>
      <c r="BR44" s="119"/>
      <c r="BS44" s="119"/>
      <c r="BT44" s="119"/>
      <c r="BU44" s="119"/>
      <c r="BV44" s="133"/>
      <c r="BW44" s="119"/>
      <c r="BX44" s="119"/>
      <c r="BY44" s="119"/>
      <c r="BZ44" s="119"/>
      <c r="CA44" s="133"/>
      <c r="CB44" s="119"/>
      <c r="CC44" s="119"/>
      <c r="CD44" s="119"/>
      <c r="CE44" s="119"/>
      <c r="CF44" s="133"/>
    </row>
    <row r="45" spans="1:84" ht="12.75">
      <c r="A45" s="119" t="s">
        <v>285</v>
      </c>
      <c r="B45" s="119" t="s">
        <v>286</v>
      </c>
      <c r="C45" s="119" t="s">
        <v>287</v>
      </c>
      <c r="D45" s="119" t="s">
        <v>158</v>
      </c>
      <c r="E45" s="119" t="s">
        <v>283</v>
      </c>
      <c r="F45" s="131">
        <f t="shared" si="0"/>
        <v>0</v>
      </c>
      <c r="G45" s="119">
        <f t="shared" si="1"/>
        <v>1.5</v>
      </c>
      <c r="H45" s="119">
        <f t="shared" ref="H45:I45" si="45">SUM(L45,Q45,V45,AA45,AF45,AK45,AP45,AU45,AZ45,BE45,BJ45,BO45,BT45,BY45,CD45)</f>
        <v>0</v>
      </c>
      <c r="I45" s="132">
        <f t="shared" si="45"/>
        <v>0</v>
      </c>
      <c r="J45" s="119">
        <v>1</v>
      </c>
      <c r="K45" s="119" t="s">
        <v>284</v>
      </c>
      <c r="L45" s="119"/>
      <c r="M45" s="119">
        <v>0</v>
      </c>
      <c r="N45" s="133"/>
      <c r="O45" s="119">
        <v>0.5</v>
      </c>
      <c r="P45" s="119" t="s">
        <v>284</v>
      </c>
      <c r="Q45" s="119"/>
      <c r="R45" s="119">
        <v>0</v>
      </c>
      <c r="S45" s="133"/>
      <c r="T45" s="119">
        <v>0</v>
      </c>
      <c r="U45" s="119"/>
      <c r="V45" s="119"/>
      <c r="W45" s="119"/>
      <c r="X45" s="133"/>
      <c r="Y45" s="119">
        <v>0</v>
      </c>
      <c r="Z45" s="119"/>
      <c r="AA45" s="119"/>
      <c r="AB45" s="119"/>
      <c r="AC45" s="133"/>
      <c r="AD45" s="119"/>
      <c r="AE45" s="119"/>
      <c r="AF45" s="119"/>
      <c r="AG45" s="119"/>
      <c r="AH45" s="133"/>
      <c r="AI45" s="119"/>
      <c r="AJ45" s="119"/>
      <c r="AK45" s="119"/>
      <c r="AL45" s="119"/>
      <c r="AM45" s="133"/>
      <c r="AN45" s="119"/>
      <c r="AO45" s="119"/>
      <c r="AP45" s="119"/>
      <c r="AQ45" s="119"/>
      <c r="AR45" s="133"/>
      <c r="AS45" s="119"/>
      <c r="AT45" s="119"/>
      <c r="AU45" s="119"/>
      <c r="AV45" s="119"/>
      <c r="AW45" s="133"/>
      <c r="AX45" s="119"/>
      <c r="AY45" s="119"/>
      <c r="AZ45" s="119"/>
      <c r="BA45" s="119"/>
      <c r="BB45" s="133"/>
      <c r="BC45" s="119"/>
      <c r="BD45" s="119"/>
      <c r="BE45" s="119"/>
      <c r="BF45" s="119"/>
      <c r="BG45" s="133"/>
      <c r="BH45" s="119"/>
      <c r="BI45" s="119"/>
      <c r="BJ45" s="119"/>
      <c r="BK45" s="119"/>
      <c r="BL45" s="133"/>
      <c r="BM45" s="119"/>
      <c r="BN45" s="119"/>
      <c r="BO45" s="119"/>
      <c r="BP45" s="119"/>
      <c r="BQ45" s="133"/>
      <c r="BR45" s="119"/>
      <c r="BS45" s="119"/>
      <c r="BT45" s="119"/>
      <c r="BU45" s="119"/>
      <c r="BV45" s="133"/>
      <c r="BW45" s="119"/>
      <c r="BX45" s="119"/>
      <c r="BY45" s="119"/>
      <c r="BZ45" s="119"/>
      <c r="CA45" s="133"/>
      <c r="CB45" s="119"/>
      <c r="CC45" s="119"/>
      <c r="CD45" s="119"/>
      <c r="CE45" s="119"/>
      <c r="CF45" s="133"/>
    </row>
    <row r="46" spans="1:84" ht="12.75">
      <c r="A46" s="119" t="s">
        <v>288</v>
      </c>
      <c r="B46" s="119" t="s">
        <v>289</v>
      </c>
      <c r="C46" s="119" t="s">
        <v>203</v>
      </c>
      <c r="D46" s="119" t="s">
        <v>158</v>
      </c>
      <c r="E46" s="119" t="s">
        <v>283</v>
      </c>
      <c r="F46" s="131">
        <f t="shared" si="0"/>
        <v>0</v>
      </c>
      <c r="G46" s="119">
        <f t="shared" si="1"/>
        <v>0</v>
      </c>
      <c r="H46" s="119">
        <f t="shared" ref="H46:I46" si="46">SUM(L46,Q46,V46,AA46,AF46,AK46,AP46,AU46,AZ46,BE46,BJ46,BO46,BT46,BY46,CD46)</f>
        <v>0</v>
      </c>
      <c r="I46" s="132">
        <f t="shared" si="46"/>
        <v>0</v>
      </c>
      <c r="J46" s="119">
        <v>0</v>
      </c>
      <c r="K46" s="119"/>
      <c r="L46" s="119"/>
      <c r="M46" s="119"/>
      <c r="N46" s="133"/>
      <c r="O46" s="119">
        <v>0</v>
      </c>
      <c r="P46" s="119"/>
      <c r="Q46" s="119"/>
      <c r="R46" s="119"/>
      <c r="S46" s="133"/>
      <c r="T46" s="119">
        <v>0</v>
      </c>
      <c r="U46" s="119"/>
      <c r="V46" s="119"/>
      <c r="W46" s="119"/>
      <c r="X46" s="133"/>
      <c r="Y46" s="119">
        <v>0</v>
      </c>
      <c r="Z46" s="119"/>
      <c r="AA46" s="119"/>
      <c r="AB46" s="119"/>
      <c r="AC46" s="133"/>
      <c r="AD46" s="119"/>
      <c r="AE46" s="119"/>
      <c r="AF46" s="119"/>
      <c r="AG46" s="119"/>
      <c r="AH46" s="133"/>
      <c r="AI46" s="119"/>
      <c r="AJ46" s="119"/>
      <c r="AK46" s="119"/>
      <c r="AL46" s="119"/>
      <c r="AM46" s="133"/>
      <c r="AN46" s="119"/>
      <c r="AO46" s="119"/>
      <c r="AP46" s="119"/>
      <c r="AQ46" s="119"/>
      <c r="AR46" s="133"/>
      <c r="AS46" s="119"/>
      <c r="AT46" s="119"/>
      <c r="AU46" s="119"/>
      <c r="AV46" s="119"/>
      <c r="AW46" s="133"/>
      <c r="AX46" s="119"/>
      <c r="AY46" s="119"/>
      <c r="AZ46" s="119"/>
      <c r="BA46" s="119"/>
      <c r="BB46" s="133"/>
      <c r="BC46" s="119"/>
      <c r="BD46" s="119"/>
      <c r="BE46" s="119"/>
      <c r="BF46" s="119"/>
      <c r="BG46" s="133"/>
      <c r="BH46" s="119"/>
      <c r="BI46" s="119"/>
      <c r="BJ46" s="119"/>
      <c r="BK46" s="119"/>
      <c r="BL46" s="133"/>
      <c r="BM46" s="119"/>
      <c r="BN46" s="119"/>
      <c r="BO46" s="119"/>
      <c r="BP46" s="119"/>
      <c r="BQ46" s="133"/>
      <c r="BR46" s="119"/>
      <c r="BS46" s="119"/>
      <c r="BT46" s="119"/>
      <c r="BU46" s="119"/>
      <c r="BV46" s="133"/>
      <c r="BW46" s="119"/>
      <c r="BX46" s="119"/>
      <c r="BY46" s="119"/>
      <c r="BZ46" s="119"/>
      <c r="CA46" s="133"/>
      <c r="CB46" s="119"/>
      <c r="CC46" s="119"/>
      <c r="CD46" s="119"/>
      <c r="CE46" s="119"/>
      <c r="CF46" s="133"/>
    </row>
    <row r="47" spans="1:84" ht="12.75">
      <c r="A47" s="119" t="s">
        <v>290</v>
      </c>
      <c r="B47" s="119" t="s">
        <v>291</v>
      </c>
      <c r="C47" s="119" t="s">
        <v>292</v>
      </c>
      <c r="D47" s="119" t="s">
        <v>158</v>
      </c>
      <c r="E47" s="119" t="s">
        <v>283</v>
      </c>
      <c r="F47" s="131">
        <f t="shared" si="0"/>
        <v>0</v>
      </c>
      <c r="G47" s="119">
        <f t="shared" si="1"/>
        <v>0</v>
      </c>
      <c r="H47" s="119">
        <f t="shared" ref="H47:I47" si="47">SUM(L47,Q47,V47,AA47,AF47,AK47,AP47,AU47,AZ47,BE47,BJ47,BO47,BT47,BY47,CD47)</f>
        <v>0</v>
      </c>
      <c r="I47" s="132">
        <f t="shared" si="47"/>
        <v>0</v>
      </c>
      <c r="J47" s="119">
        <v>0</v>
      </c>
      <c r="K47" s="119"/>
      <c r="L47" s="119"/>
      <c r="M47" s="119"/>
      <c r="N47" s="133"/>
      <c r="O47" s="119">
        <v>0</v>
      </c>
      <c r="P47" s="119"/>
      <c r="Q47" s="119"/>
      <c r="R47" s="119"/>
      <c r="S47" s="133"/>
      <c r="T47" s="119">
        <v>0</v>
      </c>
      <c r="U47" s="119"/>
      <c r="V47" s="119"/>
      <c r="W47" s="119"/>
      <c r="X47" s="133"/>
      <c r="Y47" s="119">
        <v>0</v>
      </c>
      <c r="Z47" s="119"/>
      <c r="AA47" s="119"/>
      <c r="AB47" s="119"/>
      <c r="AC47" s="133"/>
      <c r="AD47" s="119"/>
      <c r="AE47" s="119"/>
      <c r="AF47" s="119"/>
      <c r="AG47" s="119"/>
      <c r="AH47" s="133"/>
      <c r="AI47" s="119"/>
      <c r="AJ47" s="119"/>
      <c r="AK47" s="119"/>
      <c r="AL47" s="119"/>
      <c r="AM47" s="133"/>
      <c r="AN47" s="119"/>
      <c r="AO47" s="119"/>
      <c r="AP47" s="119"/>
      <c r="AQ47" s="119"/>
      <c r="AR47" s="133"/>
      <c r="AS47" s="119"/>
      <c r="AT47" s="119"/>
      <c r="AU47" s="119"/>
      <c r="AV47" s="119"/>
      <c r="AW47" s="133"/>
      <c r="AX47" s="119"/>
      <c r="AY47" s="119"/>
      <c r="AZ47" s="119"/>
      <c r="BA47" s="119"/>
      <c r="BB47" s="133"/>
      <c r="BC47" s="119"/>
      <c r="BD47" s="119"/>
      <c r="BE47" s="119"/>
      <c r="BF47" s="119"/>
      <c r="BG47" s="133"/>
      <c r="BH47" s="119"/>
      <c r="BI47" s="119"/>
      <c r="BJ47" s="119"/>
      <c r="BK47" s="119"/>
      <c r="BL47" s="133"/>
      <c r="BM47" s="119"/>
      <c r="BN47" s="119"/>
      <c r="BO47" s="119"/>
      <c r="BP47" s="119"/>
      <c r="BQ47" s="133"/>
      <c r="BR47" s="119"/>
      <c r="BS47" s="119"/>
      <c r="BT47" s="119"/>
      <c r="BU47" s="119"/>
      <c r="BV47" s="133"/>
      <c r="BW47" s="119"/>
      <c r="BX47" s="119"/>
      <c r="BY47" s="119"/>
      <c r="BZ47" s="119"/>
      <c r="CA47" s="133"/>
      <c r="CB47" s="119"/>
      <c r="CC47" s="119"/>
      <c r="CD47" s="119"/>
      <c r="CE47" s="119"/>
      <c r="CF47" s="133"/>
    </row>
    <row r="48" spans="1:84" ht="12.75">
      <c r="A48" s="119" t="s">
        <v>293</v>
      </c>
      <c r="B48" s="119" t="s">
        <v>294</v>
      </c>
      <c r="C48" s="119" t="s">
        <v>274</v>
      </c>
      <c r="D48" s="119" t="s">
        <v>158</v>
      </c>
      <c r="E48" s="119" t="s">
        <v>283</v>
      </c>
      <c r="F48" s="131">
        <f t="shared" si="0"/>
        <v>0</v>
      </c>
      <c r="G48" s="119">
        <f t="shared" si="1"/>
        <v>0</v>
      </c>
      <c r="H48" s="119">
        <f t="shared" ref="H48:I48" si="48">SUM(L48,Q48,V48,AA48,AF48,AK48,AP48,AU48,AZ48,BE48,BJ48,BO48,BT48,BY48,CD48)</f>
        <v>0</v>
      </c>
      <c r="I48" s="132">
        <f t="shared" si="48"/>
        <v>0</v>
      </c>
      <c r="J48" s="119">
        <v>0</v>
      </c>
      <c r="K48" s="119"/>
      <c r="L48" s="119"/>
      <c r="M48" s="119"/>
      <c r="N48" s="133"/>
      <c r="O48" s="119">
        <v>0</v>
      </c>
      <c r="P48" s="119"/>
      <c r="Q48" s="119"/>
      <c r="R48" s="119"/>
      <c r="S48" s="133"/>
      <c r="T48" s="119">
        <v>0</v>
      </c>
      <c r="U48" s="119"/>
      <c r="V48" s="119"/>
      <c r="W48" s="119"/>
      <c r="X48" s="133"/>
      <c r="Y48" s="119">
        <v>0</v>
      </c>
      <c r="Z48" s="119"/>
      <c r="AA48" s="119"/>
      <c r="AB48" s="119"/>
      <c r="AC48" s="133"/>
      <c r="AD48" s="119"/>
      <c r="AE48" s="119"/>
      <c r="AF48" s="119"/>
      <c r="AG48" s="119"/>
      <c r="AH48" s="133"/>
      <c r="AI48" s="119"/>
      <c r="AJ48" s="119"/>
      <c r="AK48" s="119"/>
      <c r="AL48" s="119"/>
      <c r="AM48" s="133"/>
      <c r="AN48" s="119"/>
      <c r="AO48" s="119"/>
      <c r="AP48" s="119"/>
      <c r="AQ48" s="119"/>
      <c r="AR48" s="133"/>
      <c r="AS48" s="119"/>
      <c r="AT48" s="119"/>
      <c r="AU48" s="119"/>
      <c r="AV48" s="119"/>
      <c r="AW48" s="133"/>
      <c r="AX48" s="119"/>
      <c r="AY48" s="119"/>
      <c r="AZ48" s="119"/>
      <c r="BA48" s="119"/>
      <c r="BB48" s="133"/>
      <c r="BC48" s="119"/>
      <c r="BD48" s="119"/>
      <c r="BE48" s="119"/>
      <c r="BF48" s="119"/>
      <c r="BG48" s="133"/>
      <c r="BH48" s="119"/>
      <c r="BI48" s="119"/>
      <c r="BJ48" s="119"/>
      <c r="BK48" s="119"/>
      <c r="BL48" s="133"/>
      <c r="BM48" s="119"/>
      <c r="BN48" s="119"/>
      <c r="BO48" s="119"/>
      <c r="BP48" s="119"/>
      <c r="BQ48" s="133"/>
      <c r="BR48" s="119"/>
      <c r="BS48" s="119"/>
      <c r="BT48" s="119"/>
      <c r="BU48" s="119"/>
      <c r="BV48" s="133"/>
      <c r="BW48" s="119"/>
      <c r="BX48" s="119"/>
      <c r="BY48" s="119"/>
      <c r="BZ48" s="119"/>
      <c r="CA48" s="133"/>
      <c r="CB48" s="119"/>
      <c r="CC48" s="119"/>
      <c r="CD48" s="119"/>
      <c r="CE48" s="119"/>
      <c r="CF48" s="133"/>
    </row>
    <row r="49" spans="1:84" ht="12.75">
      <c r="A49" s="119" t="s">
        <v>295</v>
      </c>
      <c r="B49" s="119" t="s">
        <v>296</v>
      </c>
      <c r="C49" s="119" t="s">
        <v>297</v>
      </c>
      <c r="D49" s="119" t="s">
        <v>158</v>
      </c>
      <c r="E49" s="119" t="s">
        <v>283</v>
      </c>
      <c r="F49" s="131">
        <f t="shared" si="0"/>
        <v>0</v>
      </c>
      <c r="G49" s="119">
        <f t="shared" si="1"/>
        <v>0</v>
      </c>
      <c r="H49" s="119">
        <f t="shared" ref="H49:I49" si="49">SUM(L49,Q49,V49,AA49,AF49,AK49,AP49,AU49,AZ49,BE49,BJ49,BO49,BT49,BY49,CD49)</f>
        <v>0</v>
      </c>
      <c r="I49" s="132">
        <f t="shared" si="49"/>
        <v>0</v>
      </c>
      <c r="J49" s="119">
        <v>0</v>
      </c>
      <c r="K49" s="119"/>
      <c r="L49" s="119"/>
      <c r="M49" s="119"/>
      <c r="N49" s="133"/>
      <c r="O49" s="119">
        <v>0</v>
      </c>
      <c r="P49" s="119"/>
      <c r="Q49" s="119"/>
      <c r="R49" s="119"/>
      <c r="S49" s="133"/>
      <c r="T49" s="119">
        <v>0</v>
      </c>
      <c r="U49" s="119"/>
      <c r="V49" s="119"/>
      <c r="W49" s="119"/>
      <c r="X49" s="133"/>
      <c r="Y49" s="119">
        <v>0</v>
      </c>
      <c r="Z49" s="119"/>
      <c r="AA49" s="119"/>
      <c r="AB49" s="119"/>
      <c r="AC49" s="133"/>
      <c r="AD49" s="119"/>
      <c r="AE49" s="119"/>
      <c r="AF49" s="119"/>
      <c r="AG49" s="119"/>
      <c r="AH49" s="133"/>
      <c r="AI49" s="119"/>
      <c r="AJ49" s="119"/>
      <c r="AK49" s="119"/>
      <c r="AL49" s="119"/>
      <c r="AM49" s="133"/>
      <c r="AN49" s="119"/>
      <c r="AO49" s="119"/>
      <c r="AP49" s="119"/>
      <c r="AQ49" s="119"/>
      <c r="AR49" s="133"/>
      <c r="AS49" s="119"/>
      <c r="AT49" s="119"/>
      <c r="AU49" s="119"/>
      <c r="AV49" s="119"/>
      <c r="AW49" s="133"/>
      <c r="AX49" s="119"/>
      <c r="AY49" s="119"/>
      <c r="AZ49" s="119"/>
      <c r="BA49" s="119"/>
      <c r="BB49" s="133"/>
      <c r="BC49" s="119"/>
      <c r="BD49" s="119"/>
      <c r="BE49" s="119"/>
      <c r="BF49" s="119"/>
      <c r="BG49" s="133"/>
      <c r="BH49" s="119"/>
      <c r="BI49" s="119"/>
      <c r="BJ49" s="119"/>
      <c r="BK49" s="119"/>
      <c r="BL49" s="133"/>
      <c r="BM49" s="119"/>
      <c r="BN49" s="119"/>
      <c r="BO49" s="119"/>
      <c r="BP49" s="119"/>
      <c r="BQ49" s="133"/>
      <c r="BR49" s="119"/>
      <c r="BS49" s="119"/>
      <c r="BT49" s="119"/>
      <c r="BU49" s="119"/>
      <c r="BV49" s="133"/>
      <c r="BW49" s="119"/>
      <c r="BX49" s="119"/>
      <c r="BY49" s="119"/>
      <c r="BZ49" s="119"/>
      <c r="CA49" s="133"/>
      <c r="CB49" s="119"/>
      <c r="CC49" s="119"/>
      <c r="CD49" s="119"/>
      <c r="CE49" s="119"/>
      <c r="CF49" s="133"/>
    </row>
    <row r="50" spans="1:84" ht="12.75">
      <c r="A50" s="119" t="s">
        <v>298</v>
      </c>
      <c r="B50" s="119" t="s">
        <v>299</v>
      </c>
      <c r="C50" s="119" t="s">
        <v>274</v>
      </c>
      <c r="D50" s="119" t="s">
        <v>152</v>
      </c>
      <c r="E50" s="119" t="s">
        <v>283</v>
      </c>
      <c r="F50" s="131">
        <f t="shared" si="0"/>
        <v>0</v>
      </c>
      <c r="G50" s="119">
        <f t="shared" si="1"/>
        <v>0</v>
      </c>
      <c r="H50" s="119">
        <f t="shared" ref="H50:I50" si="50">SUM(L50,Q50,V50,AA50,AF50,AK50,AP50,AU50,AZ50,BE50,BJ50,BO50,BT50,BY50,CD50)</f>
        <v>0</v>
      </c>
      <c r="I50" s="132">
        <f t="shared" si="50"/>
        <v>0</v>
      </c>
      <c r="J50" s="119">
        <v>0</v>
      </c>
      <c r="K50" s="119"/>
      <c r="L50" s="119"/>
      <c r="M50" s="119"/>
      <c r="N50" s="133"/>
      <c r="O50" s="119">
        <v>0</v>
      </c>
      <c r="P50" s="119"/>
      <c r="Q50" s="119"/>
      <c r="R50" s="119"/>
      <c r="S50" s="133"/>
      <c r="T50" s="119">
        <v>0</v>
      </c>
      <c r="U50" s="119"/>
      <c r="V50" s="119"/>
      <c r="W50" s="119"/>
      <c r="X50" s="133"/>
      <c r="Y50" s="119">
        <v>0</v>
      </c>
      <c r="Z50" s="119"/>
      <c r="AA50" s="119"/>
      <c r="AB50" s="119"/>
      <c r="AC50" s="133"/>
      <c r="AD50" s="119"/>
      <c r="AE50" s="119"/>
      <c r="AF50" s="119"/>
      <c r="AG50" s="119"/>
      <c r="AH50" s="133"/>
      <c r="AI50" s="119"/>
      <c r="AJ50" s="119"/>
      <c r="AK50" s="119"/>
      <c r="AL50" s="119"/>
      <c r="AM50" s="133"/>
      <c r="AN50" s="119"/>
      <c r="AO50" s="119"/>
      <c r="AP50" s="119"/>
      <c r="AQ50" s="119"/>
      <c r="AR50" s="133"/>
      <c r="AS50" s="119"/>
      <c r="AT50" s="119"/>
      <c r="AU50" s="119"/>
      <c r="AV50" s="119"/>
      <c r="AW50" s="133"/>
      <c r="AX50" s="119"/>
      <c r="AY50" s="119"/>
      <c r="AZ50" s="119"/>
      <c r="BA50" s="119"/>
      <c r="BB50" s="133"/>
      <c r="BC50" s="119"/>
      <c r="BD50" s="119"/>
      <c r="BE50" s="119"/>
      <c r="BF50" s="119"/>
      <c r="BG50" s="133"/>
      <c r="BH50" s="119"/>
      <c r="BI50" s="119"/>
      <c r="BJ50" s="119"/>
      <c r="BK50" s="119"/>
      <c r="BL50" s="133"/>
      <c r="BM50" s="119"/>
      <c r="BN50" s="119"/>
      <c r="BO50" s="119"/>
      <c r="BP50" s="119"/>
      <c r="BQ50" s="133"/>
      <c r="BR50" s="119"/>
      <c r="BS50" s="119"/>
      <c r="BT50" s="119"/>
      <c r="BU50" s="119"/>
      <c r="BV50" s="133"/>
      <c r="BW50" s="119"/>
      <c r="BX50" s="119"/>
      <c r="BY50" s="119"/>
      <c r="BZ50" s="119"/>
      <c r="CA50" s="133"/>
      <c r="CB50" s="119"/>
      <c r="CC50" s="119"/>
      <c r="CD50" s="119"/>
      <c r="CE50" s="119"/>
      <c r="CF50" s="133"/>
    </row>
    <row r="51" spans="1:84" ht="12.75">
      <c r="A51" s="119" t="s">
        <v>300</v>
      </c>
      <c r="B51" s="119" t="s">
        <v>301</v>
      </c>
      <c r="C51" s="119"/>
      <c r="D51" s="119" t="s">
        <v>158</v>
      </c>
      <c r="E51" s="119" t="s">
        <v>134</v>
      </c>
      <c r="F51" s="131">
        <f t="shared" si="0"/>
        <v>0</v>
      </c>
      <c r="G51" s="119">
        <f t="shared" si="1"/>
        <v>0</v>
      </c>
      <c r="H51" s="119">
        <f t="shared" ref="H51:I51" si="51">SUM(L51,Q51,V51,AA51,AF51,AK51,AP51,AU51,AZ51,BE51,BJ51,BO51,BT51,BY51,CD51)</f>
        <v>0</v>
      </c>
      <c r="I51" s="132">
        <f t="shared" si="51"/>
        <v>0</v>
      </c>
      <c r="J51" s="119">
        <v>0</v>
      </c>
      <c r="K51" s="119" t="s">
        <v>173</v>
      </c>
      <c r="L51" s="119" t="s">
        <v>173</v>
      </c>
      <c r="M51" s="119">
        <v>0</v>
      </c>
      <c r="N51" s="133">
        <v>0</v>
      </c>
      <c r="O51" s="119">
        <v>0</v>
      </c>
      <c r="P51" s="119" t="s">
        <v>173</v>
      </c>
      <c r="Q51" s="119" t="s">
        <v>173</v>
      </c>
      <c r="R51" s="119">
        <v>0</v>
      </c>
      <c r="S51" s="133">
        <v>0</v>
      </c>
      <c r="T51" s="119">
        <v>0</v>
      </c>
      <c r="U51" s="119" t="s">
        <v>173</v>
      </c>
      <c r="V51" s="119" t="s">
        <v>173</v>
      </c>
      <c r="W51" s="119">
        <v>0</v>
      </c>
      <c r="X51" s="133">
        <v>0</v>
      </c>
      <c r="Y51" s="119">
        <v>0</v>
      </c>
      <c r="Z51" s="119" t="s">
        <v>173</v>
      </c>
      <c r="AA51" s="119" t="s">
        <v>173</v>
      </c>
      <c r="AB51" s="119">
        <v>0</v>
      </c>
      <c r="AC51" s="133">
        <v>0</v>
      </c>
      <c r="AD51" s="119">
        <v>0</v>
      </c>
      <c r="AE51" s="119" t="s">
        <v>173</v>
      </c>
      <c r="AF51" s="119">
        <v>0</v>
      </c>
      <c r="AG51" s="119">
        <v>0</v>
      </c>
      <c r="AH51" s="133">
        <v>0</v>
      </c>
      <c r="AI51" s="119">
        <v>0</v>
      </c>
      <c r="AJ51" s="119" t="s">
        <v>173</v>
      </c>
      <c r="AK51" s="119">
        <v>0</v>
      </c>
      <c r="AL51" s="119">
        <v>0</v>
      </c>
      <c r="AM51" s="133">
        <v>0</v>
      </c>
      <c r="AN51" s="119">
        <v>0</v>
      </c>
      <c r="AO51" s="119" t="s">
        <v>173</v>
      </c>
      <c r="AP51" s="119">
        <v>0</v>
      </c>
      <c r="AQ51" s="119">
        <v>0</v>
      </c>
      <c r="AR51" s="133">
        <v>0</v>
      </c>
      <c r="AS51" s="119"/>
      <c r="AT51" s="119"/>
      <c r="AU51" s="119"/>
      <c r="AV51" s="119"/>
      <c r="AW51" s="133"/>
      <c r="AX51" s="119"/>
      <c r="AY51" s="119"/>
      <c r="AZ51" s="119"/>
      <c r="BA51" s="119"/>
      <c r="BB51" s="133"/>
      <c r="BC51" s="119"/>
      <c r="BD51" s="119"/>
      <c r="BE51" s="119"/>
      <c r="BF51" s="119"/>
      <c r="BG51" s="133"/>
      <c r="BH51" s="119"/>
      <c r="BI51" s="119"/>
      <c r="BJ51" s="119"/>
      <c r="BK51" s="119"/>
      <c r="BL51" s="133"/>
      <c r="BM51" s="119"/>
      <c r="BN51" s="119"/>
      <c r="BO51" s="119"/>
      <c r="BP51" s="119"/>
      <c r="BQ51" s="133"/>
      <c r="BR51" s="119"/>
      <c r="BS51" s="119"/>
      <c r="BT51" s="119"/>
      <c r="BU51" s="119"/>
      <c r="BV51" s="133"/>
      <c r="BW51" s="119"/>
      <c r="BX51" s="119"/>
      <c r="BY51" s="119"/>
      <c r="BZ51" s="119"/>
      <c r="CA51" s="133"/>
      <c r="CB51" s="119"/>
      <c r="CC51" s="119"/>
      <c r="CD51" s="119"/>
      <c r="CE51" s="119"/>
      <c r="CF51" s="133"/>
    </row>
    <row r="52" spans="1:84" ht="12.75">
      <c r="A52" s="119" t="s">
        <v>302</v>
      </c>
      <c r="B52" s="119" t="s">
        <v>303</v>
      </c>
      <c r="C52" s="119" t="s">
        <v>304</v>
      </c>
      <c r="D52" s="119" t="s">
        <v>152</v>
      </c>
      <c r="E52" s="119" t="s">
        <v>134</v>
      </c>
      <c r="F52" s="131">
        <f t="shared" si="0"/>
        <v>0</v>
      </c>
      <c r="G52" s="119">
        <f t="shared" si="1"/>
        <v>0</v>
      </c>
      <c r="H52" s="119">
        <f t="shared" ref="H52:I52" si="52">SUM(L52,Q52,V52,AA52,AF52,AK52,AP52,AU52,AZ52,BE52,BJ52,BO52,BT52,BY52,CD52)</f>
        <v>0</v>
      </c>
      <c r="I52" s="132">
        <f t="shared" si="52"/>
        <v>0</v>
      </c>
      <c r="J52" s="119">
        <v>0</v>
      </c>
      <c r="K52" s="119" t="s">
        <v>173</v>
      </c>
      <c r="L52" s="119" t="s">
        <v>173</v>
      </c>
      <c r="M52" s="119">
        <v>0</v>
      </c>
      <c r="N52" s="133">
        <v>0</v>
      </c>
      <c r="O52" s="119">
        <v>0</v>
      </c>
      <c r="P52" s="119" t="s">
        <v>173</v>
      </c>
      <c r="Q52" s="119" t="s">
        <v>173</v>
      </c>
      <c r="R52" s="119">
        <v>0</v>
      </c>
      <c r="S52" s="133">
        <v>0</v>
      </c>
      <c r="T52" s="119">
        <v>0</v>
      </c>
      <c r="U52" s="119" t="s">
        <v>173</v>
      </c>
      <c r="V52" s="119" t="s">
        <v>173</v>
      </c>
      <c r="W52" s="119">
        <v>0</v>
      </c>
      <c r="X52" s="133">
        <v>0</v>
      </c>
      <c r="Y52" s="119">
        <v>0</v>
      </c>
      <c r="Z52" s="119" t="s">
        <v>173</v>
      </c>
      <c r="AA52" s="119" t="s">
        <v>173</v>
      </c>
      <c r="AB52" s="119">
        <v>0</v>
      </c>
      <c r="AC52" s="133">
        <v>0</v>
      </c>
      <c r="AD52" s="119">
        <v>0</v>
      </c>
      <c r="AE52" s="119" t="s">
        <v>173</v>
      </c>
      <c r="AF52" s="119">
        <v>0</v>
      </c>
      <c r="AG52" s="119">
        <v>0</v>
      </c>
      <c r="AH52" s="133">
        <v>0</v>
      </c>
      <c r="AI52" s="119">
        <v>0</v>
      </c>
      <c r="AJ52" s="119" t="s">
        <v>173</v>
      </c>
      <c r="AK52" s="119">
        <v>0</v>
      </c>
      <c r="AL52" s="119">
        <v>0</v>
      </c>
      <c r="AM52" s="133">
        <v>0</v>
      </c>
      <c r="AN52" s="119">
        <v>0</v>
      </c>
      <c r="AO52" s="119" t="s">
        <v>173</v>
      </c>
      <c r="AP52" s="119">
        <v>0</v>
      </c>
      <c r="AQ52" s="119">
        <v>0</v>
      </c>
      <c r="AR52" s="133">
        <v>0</v>
      </c>
      <c r="AS52" s="119"/>
      <c r="AT52" s="119"/>
      <c r="AU52" s="119"/>
      <c r="AV52" s="119"/>
      <c r="AW52" s="133"/>
      <c r="AX52" s="119"/>
      <c r="AY52" s="119"/>
      <c r="AZ52" s="119"/>
      <c r="BA52" s="119"/>
      <c r="BB52" s="133"/>
      <c r="BC52" s="119"/>
      <c r="BD52" s="119"/>
      <c r="BE52" s="119"/>
      <c r="BF52" s="119"/>
      <c r="BG52" s="133"/>
      <c r="BH52" s="119"/>
      <c r="BI52" s="119"/>
      <c r="BJ52" s="119"/>
      <c r="BK52" s="119"/>
      <c r="BL52" s="133"/>
      <c r="BM52" s="119"/>
      <c r="BN52" s="119"/>
      <c r="BO52" s="119"/>
      <c r="BP52" s="119"/>
      <c r="BQ52" s="133"/>
      <c r="BR52" s="119"/>
      <c r="BS52" s="119"/>
      <c r="BT52" s="119"/>
      <c r="BU52" s="119"/>
      <c r="BV52" s="133"/>
      <c r="BW52" s="119"/>
      <c r="BX52" s="119"/>
      <c r="BY52" s="119"/>
      <c r="BZ52" s="119"/>
      <c r="CA52" s="133"/>
      <c r="CB52" s="119"/>
      <c r="CC52" s="119"/>
      <c r="CD52" s="119"/>
      <c r="CE52" s="119"/>
      <c r="CF52" s="133"/>
    </row>
    <row r="53" spans="1:84" ht="12.75">
      <c r="A53" s="119" t="s">
        <v>305</v>
      </c>
      <c r="B53" s="119" t="s">
        <v>306</v>
      </c>
      <c r="C53" s="119" t="s">
        <v>307</v>
      </c>
      <c r="D53" s="119" t="s">
        <v>158</v>
      </c>
      <c r="E53" s="119" t="s">
        <v>134</v>
      </c>
      <c r="F53" s="131">
        <f t="shared" si="0"/>
        <v>0</v>
      </c>
      <c r="G53" s="119">
        <f t="shared" si="1"/>
        <v>0</v>
      </c>
      <c r="H53" s="119">
        <f t="shared" ref="H53:I53" si="53">SUM(L53,Q53,V53,AA53,AF53,AK53,AP53,AU53,AZ53,BE53,BJ53,BO53,BT53,BY53,CD53)</f>
        <v>0</v>
      </c>
      <c r="I53" s="132">
        <f t="shared" si="53"/>
        <v>0</v>
      </c>
      <c r="J53" s="119">
        <v>0</v>
      </c>
      <c r="K53" s="119" t="s">
        <v>173</v>
      </c>
      <c r="L53" s="119" t="s">
        <v>173</v>
      </c>
      <c r="M53" s="119">
        <v>0</v>
      </c>
      <c r="N53" s="133">
        <v>0</v>
      </c>
      <c r="O53" s="119">
        <v>0</v>
      </c>
      <c r="P53" s="119" t="s">
        <v>173</v>
      </c>
      <c r="Q53" s="119" t="s">
        <v>173</v>
      </c>
      <c r="R53" s="119">
        <v>0</v>
      </c>
      <c r="S53" s="133">
        <v>0</v>
      </c>
      <c r="T53" s="119">
        <v>0</v>
      </c>
      <c r="U53" s="119" t="s">
        <v>173</v>
      </c>
      <c r="V53" s="119" t="s">
        <v>173</v>
      </c>
      <c r="W53" s="119">
        <v>0</v>
      </c>
      <c r="X53" s="133">
        <v>0</v>
      </c>
      <c r="Y53" s="119">
        <v>0</v>
      </c>
      <c r="Z53" s="119" t="s">
        <v>173</v>
      </c>
      <c r="AA53" s="119" t="s">
        <v>173</v>
      </c>
      <c r="AB53" s="119">
        <v>0</v>
      </c>
      <c r="AC53" s="133">
        <v>0</v>
      </c>
      <c r="AD53" s="119">
        <v>0</v>
      </c>
      <c r="AE53" s="119" t="s">
        <v>173</v>
      </c>
      <c r="AF53" s="119">
        <v>0</v>
      </c>
      <c r="AG53" s="119">
        <v>0</v>
      </c>
      <c r="AH53" s="133">
        <v>0</v>
      </c>
      <c r="AI53" s="119">
        <v>0</v>
      </c>
      <c r="AJ53" s="119" t="s">
        <v>173</v>
      </c>
      <c r="AK53" s="119">
        <v>0</v>
      </c>
      <c r="AL53" s="119">
        <v>0</v>
      </c>
      <c r="AM53" s="133">
        <v>0</v>
      </c>
      <c r="AN53" s="119">
        <v>0</v>
      </c>
      <c r="AO53" s="119" t="s">
        <v>173</v>
      </c>
      <c r="AP53" s="119">
        <v>0</v>
      </c>
      <c r="AQ53" s="119">
        <v>0</v>
      </c>
      <c r="AR53" s="133">
        <v>0</v>
      </c>
      <c r="AS53" s="119"/>
      <c r="AT53" s="119"/>
      <c r="AU53" s="119"/>
      <c r="AV53" s="119"/>
      <c r="AW53" s="133"/>
      <c r="AX53" s="119"/>
      <c r="AY53" s="119"/>
      <c r="AZ53" s="119"/>
      <c r="BA53" s="119"/>
      <c r="BB53" s="133"/>
      <c r="BC53" s="119"/>
      <c r="BD53" s="119"/>
      <c r="BE53" s="119"/>
      <c r="BF53" s="119"/>
      <c r="BG53" s="133"/>
      <c r="BH53" s="119"/>
      <c r="BI53" s="119"/>
      <c r="BJ53" s="119"/>
      <c r="BK53" s="119"/>
      <c r="BL53" s="133"/>
      <c r="BM53" s="119"/>
      <c r="BN53" s="119"/>
      <c r="BO53" s="119"/>
      <c r="BP53" s="119"/>
      <c r="BQ53" s="133"/>
      <c r="BR53" s="119"/>
      <c r="BS53" s="119"/>
      <c r="BT53" s="119"/>
      <c r="BU53" s="119"/>
      <c r="BV53" s="133"/>
      <c r="BW53" s="119"/>
      <c r="BX53" s="119"/>
      <c r="BY53" s="119"/>
      <c r="BZ53" s="119"/>
      <c r="CA53" s="133"/>
      <c r="CB53" s="119"/>
      <c r="CC53" s="119"/>
      <c r="CD53" s="119"/>
      <c r="CE53" s="119"/>
      <c r="CF53" s="133"/>
    </row>
    <row r="54" spans="1:84" ht="12.75">
      <c r="A54" s="119" t="s">
        <v>308</v>
      </c>
      <c r="B54" s="119" t="s">
        <v>309</v>
      </c>
      <c r="C54" s="119" t="s">
        <v>214</v>
      </c>
      <c r="D54" s="119" t="s">
        <v>158</v>
      </c>
      <c r="E54" s="119" t="s">
        <v>134</v>
      </c>
      <c r="F54" s="131">
        <f t="shared" si="0"/>
        <v>0</v>
      </c>
      <c r="G54" s="119">
        <f t="shared" si="1"/>
        <v>0</v>
      </c>
      <c r="H54" s="119">
        <f t="shared" ref="H54:I54" si="54">SUM(L54,Q54,V54,AA54,AF54,AK54,AP54,AU54,AZ54,BE54,BJ54,BO54,BT54,BY54,CD54)</f>
        <v>0</v>
      </c>
      <c r="I54" s="132">
        <f t="shared" si="54"/>
        <v>0</v>
      </c>
      <c r="J54" s="119">
        <v>0</v>
      </c>
      <c r="K54" s="119" t="s">
        <v>173</v>
      </c>
      <c r="L54" s="119" t="s">
        <v>173</v>
      </c>
      <c r="M54" s="119">
        <v>0</v>
      </c>
      <c r="N54" s="133">
        <v>0</v>
      </c>
      <c r="O54" s="119">
        <v>0</v>
      </c>
      <c r="P54" s="119" t="s">
        <v>173</v>
      </c>
      <c r="Q54" s="119" t="s">
        <v>173</v>
      </c>
      <c r="R54" s="119">
        <v>0</v>
      </c>
      <c r="S54" s="133">
        <v>0</v>
      </c>
      <c r="T54" s="119">
        <v>0</v>
      </c>
      <c r="U54" s="119" t="s">
        <v>173</v>
      </c>
      <c r="V54" s="119" t="s">
        <v>173</v>
      </c>
      <c r="W54" s="119">
        <v>0</v>
      </c>
      <c r="X54" s="133">
        <v>0</v>
      </c>
      <c r="Y54" s="119">
        <v>0</v>
      </c>
      <c r="Z54" s="119" t="s">
        <v>173</v>
      </c>
      <c r="AA54" s="119" t="s">
        <v>173</v>
      </c>
      <c r="AB54" s="119">
        <v>0</v>
      </c>
      <c r="AC54" s="133">
        <v>0</v>
      </c>
      <c r="AD54" s="119">
        <v>0</v>
      </c>
      <c r="AE54" s="119" t="s">
        <v>173</v>
      </c>
      <c r="AF54" s="119">
        <v>0</v>
      </c>
      <c r="AG54" s="119">
        <v>0</v>
      </c>
      <c r="AH54" s="133">
        <v>0</v>
      </c>
      <c r="AI54" s="119">
        <v>0</v>
      </c>
      <c r="AJ54" s="119" t="s">
        <v>173</v>
      </c>
      <c r="AK54" s="119">
        <v>0</v>
      </c>
      <c r="AL54" s="119">
        <v>0</v>
      </c>
      <c r="AM54" s="133">
        <v>0</v>
      </c>
      <c r="AN54" s="119">
        <v>0</v>
      </c>
      <c r="AO54" s="119" t="s">
        <v>173</v>
      </c>
      <c r="AP54" s="119">
        <v>0</v>
      </c>
      <c r="AQ54" s="119">
        <v>0</v>
      </c>
      <c r="AR54" s="133">
        <v>0</v>
      </c>
      <c r="AS54" s="119"/>
      <c r="AT54" s="119"/>
      <c r="AU54" s="119"/>
      <c r="AV54" s="119"/>
      <c r="AW54" s="133"/>
      <c r="AX54" s="119"/>
      <c r="AY54" s="119"/>
      <c r="AZ54" s="119"/>
      <c r="BA54" s="119"/>
      <c r="BB54" s="133"/>
      <c r="BC54" s="119"/>
      <c r="BD54" s="119"/>
      <c r="BE54" s="119"/>
      <c r="BF54" s="119"/>
      <c r="BG54" s="133"/>
      <c r="BH54" s="119"/>
      <c r="BI54" s="119"/>
      <c r="BJ54" s="119"/>
      <c r="BK54" s="119"/>
      <c r="BL54" s="133"/>
      <c r="BM54" s="119"/>
      <c r="BN54" s="119"/>
      <c r="BO54" s="119"/>
      <c r="BP54" s="119"/>
      <c r="BQ54" s="133"/>
      <c r="BR54" s="119"/>
      <c r="BS54" s="119"/>
      <c r="BT54" s="119"/>
      <c r="BU54" s="119"/>
      <c r="BV54" s="133"/>
      <c r="BW54" s="119"/>
      <c r="BX54" s="119"/>
      <c r="BY54" s="119"/>
      <c r="BZ54" s="119"/>
      <c r="CA54" s="133"/>
      <c r="CB54" s="119"/>
      <c r="CC54" s="119"/>
      <c r="CD54" s="119"/>
      <c r="CE54" s="119"/>
      <c r="CF54" s="133"/>
    </row>
    <row r="55" spans="1:84" ht="12.75">
      <c r="A55" s="119" t="s">
        <v>310</v>
      </c>
      <c r="B55" s="119" t="s">
        <v>311</v>
      </c>
      <c r="C55" s="119" t="s">
        <v>312</v>
      </c>
      <c r="D55" s="119" t="s">
        <v>158</v>
      </c>
      <c r="E55" s="119" t="s">
        <v>134</v>
      </c>
      <c r="F55" s="131">
        <f t="shared" si="0"/>
        <v>0</v>
      </c>
      <c r="G55" s="119">
        <f t="shared" si="1"/>
        <v>0</v>
      </c>
      <c r="H55" s="119">
        <f t="shared" ref="H55:I55" si="55">SUM(L55,Q55,V55,AA55,AF55,AK55,AP55,AU55,AZ55,BE55,BJ55,BO55,BT55,BY55,CD55)</f>
        <v>0</v>
      </c>
      <c r="I55" s="132">
        <f t="shared" si="55"/>
        <v>0</v>
      </c>
      <c r="J55" s="119">
        <v>0</v>
      </c>
      <c r="K55" s="119" t="s">
        <v>173</v>
      </c>
      <c r="L55" s="119" t="s">
        <v>173</v>
      </c>
      <c r="M55" s="119">
        <v>0</v>
      </c>
      <c r="N55" s="133">
        <v>0</v>
      </c>
      <c r="O55" s="119">
        <v>0</v>
      </c>
      <c r="P55" s="119" t="s">
        <v>173</v>
      </c>
      <c r="Q55" s="119" t="s">
        <v>173</v>
      </c>
      <c r="R55" s="119">
        <v>0</v>
      </c>
      <c r="S55" s="133">
        <v>0</v>
      </c>
      <c r="T55" s="119">
        <v>0</v>
      </c>
      <c r="U55" s="119" t="s">
        <v>173</v>
      </c>
      <c r="V55" s="119" t="s">
        <v>173</v>
      </c>
      <c r="W55" s="119">
        <v>0</v>
      </c>
      <c r="X55" s="133">
        <v>0</v>
      </c>
      <c r="Y55" s="119">
        <v>0</v>
      </c>
      <c r="Z55" s="119" t="s">
        <v>173</v>
      </c>
      <c r="AA55" s="119" t="s">
        <v>173</v>
      </c>
      <c r="AB55" s="119">
        <v>0</v>
      </c>
      <c r="AC55" s="133">
        <v>0</v>
      </c>
      <c r="AD55" s="119">
        <v>0</v>
      </c>
      <c r="AE55" s="119" t="s">
        <v>173</v>
      </c>
      <c r="AF55" s="119">
        <v>0</v>
      </c>
      <c r="AG55" s="119">
        <v>0</v>
      </c>
      <c r="AH55" s="133">
        <v>0</v>
      </c>
      <c r="AI55" s="119">
        <v>0</v>
      </c>
      <c r="AJ55" s="119" t="s">
        <v>173</v>
      </c>
      <c r="AK55" s="119">
        <v>0</v>
      </c>
      <c r="AL55" s="119">
        <v>0</v>
      </c>
      <c r="AM55" s="133">
        <v>0</v>
      </c>
      <c r="AN55" s="119">
        <v>0</v>
      </c>
      <c r="AO55" s="119" t="s">
        <v>173</v>
      </c>
      <c r="AP55" s="119">
        <v>0</v>
      </c>
      <c r="AQ55" s="119">
        <v>0</v>
      </c>
      <c r="AR55" s="133">
        <v>0</v>
      </c>
      <c r="AS55" s="119"/>
      <c r="AT55" s="119"/>
      <c r="AU55" s="119"/>
      <c r="AV55" s="119"/>
      <c r="AW55" s="133"/>
      <c r="AX55" s="119"/>
      <c r="AY55" s="119"/>
      <c r="AZ55" s="119"/>
      <c r="BA55" s="119"/>
      <c r="BB55" s="133"/>
      <c r="BC55" s="119"/>
      <c r="BD55" s="119"/>
      <c r="BE55" s="119"/>
      <c r="BF55" s="119"/>
      <c r="BG55" s="133"/>
      <c r="BH55" s="119"/>
      <c r="BI55" s="119"/>
      <c r="BJ55" s="119"/>
      <c r="BK55" s="119"/>
      <c r="BL55" s="133"/>
      <c r="BM55" s="119"/>
      <c r="BN55" s="119"/>
      <c r="BO55" s="119"/>
      <c r="BP55" s="119"/>
      <c r="BQ55" s="133"/>
      <c r="BR55" s="119"/>
      <c r="BS55" s="119"/>
      <c r="BT55" s="119"/>
      <c r="BU55" s="119"/>
      <c r="BV55" s="133"/>
      <c r="BW55" s="119"/>
      <c r="BX55" s="119"/>
      <c r="BY55" s="119"/>
      <c r="BZ55" s="119"/>
      <c r="CA55" s="133"/>
      <c r="CB55" s="119"/>
      <c r="CC55" s="119"/>
      <c r="CD55" s="119"/>
      <c r="CE55" s="119"/>
      <c r="CF55" s="133"/>
    </row>
    <row r="56" spans="1:84" ht="12.75">
      <c r="A56" s="119" t="s">
        <v>313</v>
      </c>
      <c r="B56" s="119" t="s">
        <v>314</v>
      </c>
      <c r="C56" s="119" t="s">
        <v>315</v>
      </c>
      <c r="D56" s="119" t="s">
        <v>158</v>
      </c>
      <c r="E56" s="119" t="s">
        <v>134</v>
      </c>
      <c r="F56" s="131">
        <f t="shared" si="0"/>
        <v>0</v>
      </c>
      <c r="G56" s="119">
        <f t="shared" si="1"/>
        <v>0</v>
      </c>
      <c r="H56" s="119">
        <f t="shared" ref="H56:I56" si="56">SUM(L56,Q56,V56,AA56,AF56,AK56,AP56,AU56,AZ56,BE56,BJ56,BO56,BT56,BY56,CD56)</f>
        <v>0</v>
      </c>
      <c r="I56" s="132">
        <f t="shared" si="56"/>
        <v>0</v>
      </c>
      <c r="J56" s="119">
        <v>0</v>
      </c>
      <c r="K56" s="119" t="s">
        <v>173</v>
      </c>
      <c r="L56" s="119" t="s">
        <v>173</v>
      </c>
      <c r="M56" s="119">
        <v>0</v>
      </c>
      <c r="N56" s="133">
        <v>0</v>
      </c>
      <c r="O56" s="119">
        <v>0</v>
      </c>
      <c r="P56" s="119" t="s">
        <v>173</v>
      </c>
      <c r="Q56" s="119" t="s">
        <v>173</v>
      </c>
      <c r="R56" s="119">
        <v>0</v>
      </c>
      <c r="S56" s="133">
        <v>0</v>
      </c>
      <c r="T56" s="119">
        <v>0</v>
      </c>
      <c r="U56" s="119" t="s">
        <v>173</v>
      </c>
      <c r="V56" s="119" t="s">
        <v>173</v>
      </c>
      <c r="W56" s="119">
        <v>0</v>
      </c>
      <c r="X56" s="133">
        <v>0</v>
      </c>
      <c r="Y56" s="119">
        <v>0</v>
      </c>
      <c r="Z56" s="119" t="s">
        <v>173</v>
      </c>
      <c r="AA56" s="119" t="s">
        <v>173</v>
      </c>
      <c r="AB56" s="119">
        <v>0</v>
      </c>
      <c r="AC56" s="133">
        <v>0</v>
      </c>
      <c r="AD56" s="119">
        <v>0</v>
      </c>
      <c r="AE56" s="119" t="s">
        <v>173</v>
      </c>
      <c r="AF56" s="119">
        <v>0</v>
      </c>
      <c r="AG56" s="119">
        <v>0</v>
      </c>
      <c r="AH56" s="133">
        <v>0</v>
      </c>
      <c r="AI56" s="119">
        <v>0</v>
      </c>
      <c r="AJ56" s="119" t="s">
        <v>173</v>
      </c>
      <c r="AK56" s="119">
        <v>0</v>
      </c>
      <c r="AL56" s="119">
        <v>0</v>
      </c>
      <c r="AM56" s="133">
        <v>0</v>
      </c>
      <c r="AN56" s="119">
        <v>0</v>
      </c>
      <c r="AO56" s="119" t="s">
        <v>173</v>
      </c>
      <c r="AP56" s="119">
        <v>0</v>
      </c>
      <c r="AQ56" s="119">
        <v>0</v>
      </c>
      <c r="AR56" s="133">
        <v>0</v>
      </c>
      <c r="AS56" s="119"/>
      <c r="AT56" s="119"/>
      <c r="AU56" s="119"/>
      <c r="AV56" s="119"/>
      <c r="AW56" s="133"/>
      <c r="AX56" s="119"/>
      <c r="AY56" s="119"/>
      <c r="AZ56" s="119"/>
      <c r="BA56" s="119"/>
      <c r="BB56" s="133"/>
      <c r="BC56" s="119"/>
      <c r="BD56" s="119"/>
      <c r="BE56" s="119"/>
      <c r="BF56" s="119"/>
      <c r="BG56" s="133"/>
      <c r="BH56" s="119"/>
      <c r="BI56" s="119"/>
      <c r="BJ56" s="119"/>
      <c r="BK56" s="119"/>
      <c r="BL56" s="133"/>
      <c r="BM56" s="119"/>
      <c r="BN56" s="119"/>
      <c r="BO56" s="119"/>
      <c r="BP56" s="119"/>
      <c r="BQ56" s="133"/>
      <c r="BR56" s="119"/>
      <c r="BS56" s="119"/>
      <c r="BT56" s="119"/>
      <c r="BU56" s="119"/>
      <c r="BV56" s="133"/>
      <c r="BW56" s="119"/>
      <c r="BX56" s="119"/>
      <c r="BY56" s="119"/>
      <c r="BZ56" s="119"/>
      <c r="CA56" s="133"/>
      <c r="CB56" s="119"/>
      <c r="CC56" s="119"/>
      <c r="CD56" s="119"/>
      <c r="CE56" s="119"/>
      <c r="CF56" s="133"/>
    </row>
    <row r="57" spans="1:84" ht="12.75">
      <c r="A57" s="119" t="s">
        <v>316</v>
      </c>
      <c r="B57" s="119" t="s">
        <v>317</v>
      </c>
      <c r="C57" s="119" t="s">
        <v>318</v>
      </c>
      <c r="D57" s="119" t="s">
        <v>152</v>
      </c>
      <c r="E57" s="119" t="s">
        <v>134</v>
      </c>
      <c r="F57" s="131">
        <f t="shared" si="0"/>
        <v>0</v>
      </c>
      <c r="G57" s="119">
        <f t="shared" si="1"/>
        <v>0</v>
      </c>
      <c r="H57" s="119">
        <f t="shared" ref="H57:I57" si="57">SUM(L57,Q57,V57,AA57,AF57,AK57,AP57,AU57,AZ57,BE57,BJ57,BO57,BT57,BY57,CD57)</f>
        <v>0</v>
      </c>
      <c r="I57" s="132">
        <f t="shared" si="57"/>
        <v>0</v>
      </c>
      <c r="J57" s="119">
        <v>0</v>
      </c>
      <c r="K57" s="119" t="s">
        <v>173</v>
      </c>
      <c r="L57" s="119" t="s">
        <v>173</v>
      </c>
      <c r="M57" s="119">
        <v>0</v>
      </c>
      <c r="N57" s="133">
        <v>0</v>
      </c>
      <c r="O57" s="119">
        <v>0</v>
      </c>
      <c r="P57" s="119" t="s">
        <v>173</v>
      </c>
      <c r="Q57" s="119" t="s">
        <v>173</v>
      </c>
      <c r="R57" s="119">
        <v>0</v>
      </c>
      <c r="S57" s="133">
        <v>0</v>
      </c>
      <c r="T57" s="119">
        <v>0</v>
      </c>
      <c r="U57" s="119" t="s">
        <v>173</v>
      </c>
      <c r="V57" s="119" t="s">
        <v>173</v>
      </c>
      <c r="W57" s="119">
        <v>0</v>
      </c>
      <c r="X57" s="133">
        <v>0</v>
      </c>
      <c r="Y57" s="119">
        <v>0</v>
      </c>
      <c r="Z57" s="119" t="s">
        <v>173</v>
      </c>
      <c r="AA57" s="119" t="s">
        <v>173</v>
      </c>
      <c r="AB57" s="119">
        <v>0</v>
      </c>
      <c r="AC57" s="133">
        <v>0</v>
      </c>
      <c r="AD57" s="119">
        <v>0</v>
      </c>
      <c r="AE57" s="119" t="s">
        <v>173</v>
      </c>
      <c r="AF57" s="119">
        <v>0</v>
      </c>
      <c r="AG57" s="119">
        <v>0</v>
      </c>
      <c r="AH57" s="133">
        <v>0</v>
      </c>
      <c r="AI57" s="119">
        <v>0</v>
      </c>
      <c r="AJ57" s="119" t="s">
        <v>173</v>
      </c>
      <c r="AK57" s="119">
        <v>0</v>
      </c>
      <c r="AL57" s="119">
        <v>0</v>
      </c>
      <c r="AM57" s="133">
        <v>0</v>
      </c>
      <c r="AN57" s="119">
        <v>0</v>
      </c>
      <c r="AO57" s="119" t="s">
        <v>173</v>
      </c>
      <c r="AP57" s="119">
        <v>0</v>
      </c>
      <c r="AQ57" s="119">
        <v>0</v>
      </c>
      <c r="AR57" s="133">
        <v>0</v>
      </c>
      <c r="AS57" s="119"/>
      <c r="AT57" s="119"/>
      <c r="AU57" s="119"/>
      <c r="AV57" s="119"/>
      <c r="AW57" s="133"/>
      <c r="AX57" s="119"/>
      <c r="AY57" s="119"/>
      <c r="AZ57" s="119"/>
      <c r="BA57" s="119"/>
      <c r="BB57" s="133"/>
      <c r="BC57" s="119"/>
      <c r="BD57" s="119"/>
      <c r="BE57" s="119"/>
      <c r="BF57" s="119"/>
      <c r="BG57" s="133"/>
      <c r="BH57" s="119"/>
      <c r="BI57" s="119"/>
      <c r="BJ57" s="119"/>
      <c r="BK57" s="119"/>
      <c r="BL57" s="133"/>
      <c r="BM57" s="119"/>
      <c r="BN57" s="119"/>
      <c r="BO57" s="119"/>
      <c r="BP57" s="119"/>
      <c r="BQ57" s="133"/>
      <c r="BR57" s="119"/>
      <c r="BS57" s="119"/>
      <c r="BT57" s="119"/>
      <c r="BU57" s="119"/>
      <c r="BV57" s="133"/>
      <c r="BW57" s="119"/>
      <c r="BX57" s="119"/>
      <c r="BY57" s="119"/>
      <c r="BZ57" s="119"/>
      <c r="CA57" s="133"/>
      <c r="CB57" s="119"/>
      <c r="CC57" s="119"/>
      <c r="CD57" s="119"/>
      <c r="CE57" s="119"/>
      <c r="CF57" s="133"/>
    </row>
    <row r="58" spans="1:84" ht="12.75">
      <c r="A58" s="119" t="s">
        <v>319</v>
      </c>
      <c r="B58" s="119" t="s">
        <v>320</v>
      </c>
      <c r="C58" s="119" t="s">
        <v>321</v>
      </c>
      <c r="D58" s="119" t="s">
        <v>152</v>
      </c>
      <c r="E58" s="119" t="s">
        <v>135</v>
      </c>
      <c r="F58" s="131">
        <f t="shared" si="0"/>
        <v>0</v>
      </c>
      <c r="G58" s="119">
        <f t="shared" si="1"/>
        <v>1</v>
      </c>
      <c r="H58" s="119">
        <f t="shared" ref="H58:I58" si="58">SUM(L58,Q58,V58,AA58,AF58,AK58,AP58,AU58,AZ58,BE58,BJ58,BO58,BT58,BY58,CD58)</f>
        <v>300</v>
      </c>
      <c r="I58" s="132">
        <f t="shared" si="58"/>
        <v>0</v>
      </c>
      <c r="J58" s="119">
        <v>0</v>
      </c>
      <c r="K58" s="119">
        <v>0</v>
      </c>
      <c r="L58" s="119">
        <v>0</v>
      </c>
      <c r="M58" s="119">
        <v>0</v>
      </c>
      <c r="N58" s="133">
        <v>0</v>
      </c>
      <c r="O58" s="119">
        <v>0.5</v>
      </c>
      <c r="P58" s="119" t="s">
        <v>218</v>
      </c>
      <c r="Q58" s="119">
        <v>200</v>
      </c>
      <c r="R58" s="119">
        <v>0</v>
      </c>
      <c r="S58" s="133">
        <v>0</v>
      </c>
      <c r="T58" s="119">
        <v>0</v>
      </c>
      <c r="U58" s="119">
        <v>0</v>
      </c>
      <c r="V58" s="119">
        <v>0</v>
      </c>
      <c r="W58" s="119">
        <v>0</v>
      </c>
      <c r="X58" s="133">
        <v>0</v>
      </c>
      <c r="Y58" s="119">
        <v>0</v>
      </c>
      <c r="Z58" s="119">
        <v>0</v>
      </c>
      <c r="AA58" s="119">
        <v>0</v>
      </c>
      <c r="AB58" s="119">
        <v>0</v>
      </c>
      <c r="AC58" s="133">
        <v>0</v>
      </c>
      <c r="AD58" s="119">
        <v>0</v>
      </c>
      <c r="AE58" s="119">
        <v>0</v>
      </c>
      <c r="AF58" s="119">
        <v>0</v>
      </c>
      <c r="AG58" s="119">
        <v>0</v>
      </c>
      <c r="AH58" s="133">
        <v>0</v>
      </c>
      <c r="AI58" s="119">
        <v>0.5</v>
      </c>
      <c r="AJ58" s="119" t="s">
        <v>218</v>
      </c>
      <c r="AK58" s="119">
        <v>100</v>
      </c>
      <c r="AL58" s="119">
        <v>0</v>
      </c>
      <c r="AM58" s="133">
        <v>0</v>
      </c>
      <c r="AN58" s="119">
        <v>0</v>
      </c>
      <c r="AO58" s="119">
        <v>0</v>
      </c>
      <c r="AP58" s="119">
        <v>0</v>
      </c>
      <c r="AQ58" s="119">
        <v>0</v>
      </c>
      <c r="AR58" s="133">
        <v>0</v>
      </c>
      <c r="AS58" s="119"/>
      <c r="AT58" s="119"/>
      <c r="AU58" s="119"/>
      <c r="AV58" s="119"/>
      <c r="AW58" s="133"/>
      <c r="AX58" s="119"/>
      <c r="AY58" s="119"/>
      <c r="AZ58" s="119"/>
      <c r="BA58" s="119"/>
      <c r="BB58" s="133"/>
      <c r="BC58" s="119"/>
      <c r="BD58" s="119"/>
      <c r="BE58" s="119"/>
      <c r="BF58" s="119"/>
      <c r="BG58" s="133"/>
      <c r="BH58" s="119"/>
      <c r="BI58" s="119"/>
      <c r="BJ58" s="119"/>
      <c r="BK58" s="119"/>
      <c r="BL58" s="133"/>
      <c r="BM58" s="119"/>
      <c r="BN58" s="119"/>
      <c r="BO58" s="119"/>
      <c r="BP58" s="119"/>
      <c r="BQ58" s="133"/>
      <c r="BR58" s="119"/>
      <c r="BS58" s="119"/>
      <c r="BT58" s="119"/>
      <c r="BU58" s="119"/>
      <c r="BV58" s="133"/>
      <c r="BW58" s="119"/>
      <c r="BX58" s="119"/>
      <c r="BY58" s="119"/>
      <c r="BZ58" s="119"/>
      <c r="CA58" s="133"/>
      <c r="CB58" s="119"/>
      <c r="CC58" s="119"/>
      <c r="CD58" s="119"/>
      <c r="CE58" s="119"/>
      <c r="CF58" s="133"/>
    </row>
    <row r="59" spans="1:84" ht="12.75">
      <c r="A59" s="119" t="s">
        <v>322</v>
      </c>
      <c r="B59" s="119" t="s">
        <v>323</v>
      </c>
      <c r="C59" s="119" t="s">
        <v>324</v>
      </c>
      <c r="D59" s="119" t="s">
        <v>158</v>
      </c>
      <c r="E59" s="119" t="s">
        <v>135</v>
      </c>
      <c r="F59" s="131">
        <f t="shared" si="0"/>
        <v>0</v>
      </c>
      <c r="G59" s="119">
        <f t="shared" si="1"/>
        <v>0.5</v>
      </c>
      <c r="H59" s="119">
        <f t="shared" ref="H59:I59" si="59">SUM(L59,Q59,V59,AA59,AF59,AK59,AP59,AU59,AZ59,BE59,BJ59,BO59,BT59,BY59,CD59)</f>
        <v>100</v>
      </c>
      <c r="I59" s="132">
        <f t="shared" si="59"/>
        <v>0</v>
      </c>
      <c r="J59" s="119">
        <v>0</v>
      </c>
      <c r="K59" s="119">
        <v>0</v>
      </c>
      <c r="L59" s="119">
        <v>0</v>
      </c>
      <c r="M59" s="119">
        <v>0</v>
      </c>
      <c r="N59" s="133">
        <v>0</v>
      </c>
      <c r="O59" s="119">
        <v>0</v>
      </c>
      <c r="P59" s="119">
        <v>0</v>
      </c>
      <c r="Q59" s="119">
        <v>0</v>
      </c>
      <c r="R59" s="119">
        <v>0</v>
      </c>
      <c r="S59" s="133">
        <v>0</v>
      </c>
      <c r="T59" s="119">
        <v>0</v>
      </c>
      <c r="U59" s="119">
        <v>0</v>
      </c>
      <c r="V59" s="119">
        <v>0</v>
      </c>
      <c r="W59" s="119">
        <v>0</v>
      </c>
      <c r="X59" s="133">
        <v>0</v>
      </c>
      <c r="Y59" s="119">
        <v>0</v>
      </c>
      <c r="Z59" s="119">
        <v>0</v>
      </c>
      <c r="AA59" s="119">
        <v>0</v>
      </c>
      <c r="AB59" s="119">
        <v>0</v>
      </c>
      <c r="AC59" s="133">
        <v>0</v>
      </c>
      <c r="AD59" s="119">
        <v>0</v>
      </c>
      <c r="AE59" s="119">
        <v>0</v>
      </c>
      <c r="AF59" s="119">
        <v>0</v>
      </c>
      <c r="AG59" s="119">
        <v>0</v>
      </c>
      <c r="AH59" s="133">
        <v>0</v>
      </c>
      <c r="AI59" s="119">
        <v>0.5</v>
      </c>
      <c r="AJ59" s="119" t="s">
        <v>218</v>
      </c>
      <c r="AK59" s="119">
        <v>100</v>
      </c>
      <c r="AL59" s="119">
        <v>0</v>
      </c>
      <c r="AM59" s="133">
        <v>0</v>
      </c>
      <c r="AN59" s="119">
        <v>0</v>
      </c>
      <c r="AO59" s="119">
        <v>0</v>
      </c>
      <c r="AP59" s="119">
        <v>0</v>
      </c>
      <c r="AQ59" s="119">
        <v>0</v>
      </c>
      <c r="AR59" s="133">
        <v>0</v>
      </c>
      <c r="AS59" s="119"/>
      <c r="AT59" s="119"/>
      <c r="AU59" s="119"/>
      <c r="AV59" s="119"/>
      <c r="AW59" s="133"/>
      <c r="AX59" s="119"/>
      <c r="AY59" s="119"/>
      <c r="AZ59" s="119"/>
      <c r="BA59" s="119"/>
      <c r="BB59" s="133"/>
      <c r="BC59" s="119"/>
      <c r="BD59" s="119"/>
      <c r="BE59" s="119"/>
      <c r="BF59" s="119"/>
      <c r="BG59" s="133"/>
      <c r="BH59" s="119"/>
      <c r="BI59" s="119"/>
      <c r="BJ59" s="119"/>
      <c r="BK59" s="119"/>
      <c r="BL59" s="133"/>
      <c r="BM59" s="119"/>
      <c r="BN59" s="119"/>
      <c r="BO59" s="119"/>
      <c r="BP59" s="119"/>
      <c r="BQ59" s="133"/>
      <c r="BR59" s="119"/>
      <c r="BS59" s="119"/>
      <c r="BT59" s="119"/>
      <c r="BU59" s="119"/>
      <c r="BV59" s="133"/>
      <c r="BW59" s="119"/>
      <c r="BX59" s="119"/>
      <c r="BY59" s="119"/>
      <c r="BZ59" s="119"/>
      <c r="CA59" s="133"/>
      <c r="CB59" s="119"/>
      <c r="CC59" s="119"/>
      <c r="CD59" s="119"/>
      <c r="CE59" s="119"/>
      <c r="CF59" s="133"/>
    </row>
    <row r="60" spans="1:84" ht="12.75">
      <c r="A60" s="119" t="s">
        <v>325</v>
      </c>
      <c r="B60" s="119" t="s">
        <v>326</v>
      </c>
      <c r="C60" s="119" t="s">
        <v>327</v>
      </c>
      <c r="D60" s="119" t="s">
        <v>158</v>
      </c>
      <c r="E60" s="119" t="s">
        <v>135</v>
      </c>
      <c r="F60" s="131">
        <f t="shared" si="0"/>
        <v>0</v>
      </c>
      <c r="G60" s="119">
        <f t="shared" si="1"/>
        <v>0.5</v>
      </c>
      <c r="H60" s="119">
        <f t="shared" ref="H60:I60" si="60">SUM(L60,Q60,V60,AA60,AF60,AK60,AP60,AU60,AZ60,BE60,BJ60,BO60,BT60,BY60,CD60)</f>
        <v>100</v>
      </c>
      <c r="I60" s="132">
        <f t="shared" si="60"/>
        <v>0</v>
      </c>
      <c r="J60" s="119">
        <v>0</v>
      </c>
      <c r="K60" s="119">
        <v>0</v>
      </c>
      <c r="L60" s="119">
        <v>0</v>
      </c>
      <c r="M60" s="119">
        <v>0</v>
      </c>
      <c r="N60" s="133">
        <v>0</v>
      </c>
      <c r="O60" s="119">
        <v>0</v>
      </c>
      <c r="P60" s="119">
        <v>0</v>
      </c>
      <c r="Q60" s="119">
        <v>0</v>
      </c>
      <c r="R60" s="119">
        <v>0</v>
      </c>
      <c r="S60" s="133">
        <v>0</v>
      </c>
      <c r="T60" s="119">
        <v>0</v>
      </c>
      <c r="U60" s="119">
        <v>0</v>
      </c>
      <c r="V60" s="119">
        <v>0</v>
      </c>
      <c r="W60" s="119">
        <v>0</v>
      </c>
      <c r="X60" s="133">
        <v>0</v>
      </c>
      <c r="Y60" s="119">
        <v>0</v>
      </c>
      <c r="Z60" s="119">
        <v>0</v>
      </c>
      <c r="AA60" s="119">
        <v>0</v>
      </c>
      <c r="AB60" s="119">
        <v>0</v>
      </c>
      <c r="AC60" s="133">
        <v>0</v>
      </c>
      <c r="AD60" s="119">
        <v>0</v>
      </c>
      <c r="AE60" s="119">
        <v>0</v>
      </c>
      <c r="AF60" s="119">
        <v>0</v>
      </c>
      <c r="AG60" s="119">
        <v>0</v>
      </c>
      <c r="AH60" s="133">
        <v>0</v>
      </c>
      <c r="AI60" s="119">
        <v>0.5</v>
      </c>
      <c r="AJ60" s="119" t="s">
        <v>218</v>
      </c>
      <c r="AK60" s="119">
        <v>100</v>
      </c>
      <c r="AL60" s="119">
        <v>0</v>
      </c>
      <c r="AM60" s="133">
        <v>0</v>
      </c>
      <c r="AN60" s="119">
        <v>0</v>
      </c>
      <c r="AO60" s="119">
        <v>0</v>
      </c>
      <c r="AP60" s="119">
        <v>0</v>
      </c>
      <c r="AQ60" s="119">
        <v>0</v>
      </c>
      <c r="AR60" s="133">
        <v>0</v>
      </c>
      <c r="AS60" s="119"/>
      <c r="AT60" s="119"/>
      <c r="AU60" s="119"/>
      <c r="AV60" s="119"/>
      <c r="AW60" s="133"/>
      <c r="AX60" s="119"/>
      <c r="AY60" s="119"/>
      <c r="AZ60" s="119"/>
      <c r="BA60" s="119"/>
      <c r="BB60" s="133"/>
      <c r="BC60" s="119"/>
      <c r="BD60" s="119"/>
      <c r="BE60" s="119"/>
      <c r="BF60" s="119"/>
      <c r="BG60" s="133"/>
      <c r="BH60" s="119"/>
      <c r="BI60" s="119"/>
      <c r="BJ60" s="119"/>
      <c r="BK60" s="119"/>
      <c r="BL60" s="133"/>
      <c r="BM60" s="119"/>
      <c r="BN60" s="119"/>
      <c r="BO60" s="119"/>
      <c r="BP60" s="119"/>
      <c r="BQ60" s="133"/>
      <c r="BR60" s="119"/>
      <c r="BS60" s="119"/>
      <c r="BT60" s="119"/>
      <c r="BU60" s="119"/>
      <c r="BV60" s="133"/>
      <c r="BW60" s="119"/>
      <c r="BX60" s="119"/>
      <c r="BY60" s="119"/>
      <c r="BZ60" s="119"/>
      <c r="CA60" s="133"/>
      <c r="CB60" s="119"/>
      <c r="CC60" s="119"/>
      <c r="CD60" s="119"/>
      <c r="CE60" s="119"/>
      <c r="CF60" s="133"/>
    </row>
    <row r="61" spans="1:84" ht="12.75">
      <c r="A61" s="119" t="s">
        <v>328</v>
      </c>
      <c r="B61" s="119" t="s">
        <v>329</v>
      </c>
      <c r="C61" s="119" t="s">
        <v>330</v>
      </c>
      <c r="D61" s="119" t="s">
        <v>158</v>
      </c>
      <c r="E61" s="119" t="s">
        <v>135</v>
      </c>
      <c r="F61" s="131">
        <f t="shared" si="0"/>
        <v>0</v>
      </c>
      <c r="G61" s="119">
        <f t="shared" si="1"/>
        <v>0.5</v>
      </c>
      <c r="H61" s="119">
        <f t="shared" ref="H61:I61" si="61">SUM(L61,Q61,V61,AA61,AF61,AK61,AP61,AU61,AZ61,BE61,BJ61,BO61,BT61,BY61,CD61)</f>
        <v>100</v>
      </c>
      <c r="I61" s="132">
        <f t="shared" si="61"/>
        <v>0</v>
      </c>
      <c r="J61" s="119">
        <v>0</v>
      </c>
      <c r="K61" s="119">
        <v>0</v>
      </c>
      <c r="L61" s="119">
        <v>0</v>
      </c>
      <c r="M61" s="119">
        <v>0</v>
      </c>
      <c r="N61" s="133">
        <v>0</v>
      </c>
      <c r="O61" s="119">
        <v>0</v>
      </c>
      <c r="P61" s="119">
        <v>0</v>
      </c>
      <c r="Q61" s="119">
        <v>0</v>
      </c>
      <c r="R61" s="119">
        <v>0</v>
      </c>
      <c r="S61" s="133">
        <v>0</v>
      </c>
      <c r="T61" s="119">
        <v>0</v>
      </c>
      <c r="U61" s="119">
        <v>0</v>
      </c>
      <c r="V61" s="119">
        <v>0</v>
      </c>
      <c r="W61" s="119">
        <v>0</v>
      </c>
      <c r="X61" s="133">
        <v>0</v>
      </c>
      <c r="Y61" s="119">
        <v>0</v>
      </c>
      <c r="Z61" s="119">
        <v>0</v>
      </c>
      <c r="AA61" s="119">
        <v>0</v>
      </c>
      <c r="AB61" s="119">
        <v>0</v>
      </c>
      <c r="AC61" s="133">
        <v>0</v>
      </c>
      <c r="AD61" s="119">
        <v>0</v>
      </c>
      <c r="AE61" s="119">
        <v>0</v>
      </c>
      <c r="AF61" s="119">
        <v>0</v>
      </c>
      <c r="AG61" s="119">
        <v>0</v>
      </c>
      <c r="AH61" s="133">
        <v>0</v>
      </c>
      <c r="AI61" s="119">
        <v>0.5</v>
      </c>
      <c r="AJ61" s="119" t="s">
        <v>218</v>
      </c>
      <c r="AK61" s="119">
        <v>100</v>
      </c>
      <c r="AL61" s="119">
        <v>0</v>
      </c>
      <c r="AM61" s="133">
        <v>0</v>
      </c>
      <c r="AN61" s="119">
        <v>0</v>
      </c>
      <c r="AO61" s="119">
        <v>0</v>
      </c>
      <c r="AP61" s="119">
        <v>0</v>
      </c>
      <c r="AQ61" s="119">
        <v>0</v>
      </c>
      <c r="AR61" s="133">
        <v>0</v>
      </c>
      <c r="AS61" s="119"/>
      <c r="AT61" s="119"/>
      <c r="AU61" s="119"/>
      <c r="AV61" s="119"/>
      <c r="AW61" s="133"/>
      <c r="AX61" s="119"/>
      <c r="AY61" s="119"/>
      <c r="AZ61" s="119"/>
      <c r="BA61" s="119"/>
      <c r="BB61" s="133"/>
      <c r="BC61" s="119"/>
      <c r="BD61" s="119"/>
      <c r="BE61" s="119"/>
      <c r="BF61" s="119"/>
      <c r="BG61" s="133"/>
      <c r="BH61" s="119"/>
      <c r="BI61" s="119"/>
      <c r="BJ61" s="119"/>
      <c r="BK61" s="119"/>
      <c r="BL61" s="133"/>
      <c r="BM61" s="119"/>
      <c r="BN61" s="119"/>
      <c r="BO61" s="119"/>
      <c r="BP61" s="119"/>
      <c r="BQ61" s="133"/>
      <c r="BR61" s="119"/>
      <c r="BS61" s="119"/>
      <c r="BT61" s="119"/>
      <c r="BU61" s="119"/>
      <c r="BV61" s="133"/>
      <c r="BW61" s="119"/>
      <c r="BX61" s="119"/>
      <c r="BY61" s="119"/>
      <c r="BZ61" s="119"/>
      <c r="CA61" s="133"/>
      <c r="CB61" s="119"/>
      <c r="CC61" s="119"/>
      <c r="CD61" s="119"/>
      <c r="CE61" s="119"/>
      <c r="CF61" s="133"/>
    </row>
    <row r="62" spans="1:84" ht="12.75">
      <c r="A62" s="119" t="s">
        <v>331</v>
      </c>
      <c r="B62" s="119" t="s">
        <v>332</v>
      </c>
      <c r="C62" s="119" t="s">
        <v>333</v>
      </c>
      <c r="D62" s="119" t="s">
        <v>158</v>
      </c>
      <c r="E62" s="119" t="s">
        <v>135</v>
      </c>
      <c r="F62" s="131">
        <f t="shared" si="0"/>
        <v>0</v>
      </c>
      <c r="G62" s="119">
        <f t="shared" si="1"/>
        <v>0.5</v>
      </c>
      <c r="H62" s="119">
        <f t="shared" ref="H62:I62" si="62">SUM(L62,Q62,V62,AA62,AF62,AK62,AP62,AU62,AZ62,BE62,BJ62,BO62,BT62,BY62,CD62)</f>
        <v>100</v>
      </c>
      <c r="I62" s="132">
        <f t="shared" si="62"/>
        <v>0</v>
      </c>
      <c r="J62" s="119">
        <v>0</v>
      </c>
      <c r="K62" s="119">
        <v>0</v>
      </c>
      <c r="L62" s="119">
        <v>0</v>
      </c>
      <c r="M62" s="119">
        <v>0</v>
      </c>
      <c r="N62" s="133">
        <v>0</v>
      </c>
      <c r="O62" s="119">
        <v>0</v>
      </c>
      <c r="P62" s="119">
        <v>0</v>
      </c>
      <c r="Q62" s="119">
        <v>0</v>
      </c>
      <c r="R62" s="119">
        <v>0</v>
      </c>
      <c r="S62" s="133">
        <v>0</v>
      </c>
      <c r="T62" s="119">
        <v>0</v>
      </c>
      <c r="U62" s="119">
        <v>0</v>
      </c>
      <c r="V62" s="119">
        <v>0</v>
      </c>
      <c r="W62" s="119">
        <v>0</v>
      </c>
      <c r="X62" s="133">
        <v>0</v>
      </c>
      <c r="Y62" s="119">
        <v>0</v>
      </c>
      <c r="Z62" s="119">
        <v>0</v>
      </c>
      <c r="AA62" s="119">
        <v>0</v>
      </c>
      <c r="AB62" s="119">
        <v>0</v>
      </c>
      <c r="AC62" s="133">
        <v>0</v>
      </c>
      <c r="AD62" s="119">
        <v>0</v>
      </c>
      <c r="AE62" s="119">
        <v>0</v>
      </c>
      <c r="AF62" s="119">
        <v>0</v>
      </c>
      <c r="AG62" s="119">
        <v>0</v>
      </c>
      <c r="AH62" s="133">
        <v>0</v>
      </c>
      <c r="AI62" s="119">
        <v>0.5</v>
      </c>
      <c r="AJ62" s="119" t="s">
        <v>218</v>
      </c>
      <c r="AK62" s="119">
        <v>100</v>
      </c>
      <c r="AL62" s="119">
        <v>0</v>
      </c>
      <c r="AM62" s="133">
        <v>0</v>
      </c>
      <c r="AN62" s="119">
        <v>0</v>
      </c>
      <c r="AO62" s="119">
        <v>0</v>
      </c>
      <c r="AP62" s="119">
        <v>0</v>
      </c>
      <c r="AQ62" s="119">
        <v>0</v>
      </c>
      <c r="AR62" s="133">
        <v>0</v>
      </c>
      <c r="AS62" s="119"/>
      <c r="AT62" s="119"/>
      <c r="AU62" s="119"/>
      <c r="AV62" s="119"/>
      <c r="AW62" s="133"/>
      <c r="AX62" s="119"/>
      <c r="AY62" s="119"/>
      <c r="AZ62" s="119"/>
      <c r="BA62" s="119"/>
      <c r="BB62" s="133"/>
      <c r="BC62" s="119"/>
      <c r="BD62" s="119"/>
      <c r="BE62" s="119"/>
      <c r="BF62" s="119"/>
      <c r="BG62" s="133"/>
      <c r="BH62" s="119"/>
      <c r="BI62" s="119"/>
      <c r="BJ62" s="119"/>
      <c r="BK62" s="119"/>
      <c r="BL62" s="133"/>
      <c r="BM62" s="119"/>
      <c r="BN62" s="119"/>
      <c r="BO62" s="119"/>
      <c r="BP62" s="119"/>
      <c r="BQ62" s="133"/>
      <c r="BR62" s="119"/>
      <c r="BS62" s="119"/>
      <c r="BT62" s="119"/>
      <c r="BU62" s="119"/>
      <c r="BV62" s="133"/>
      <c r="BW62" s="119"/>
      <c r="BX62" s="119"/>
      <c r="BY62" s="119"/>
      <c r="BZ62" s="119"/>
      <c r="CA62" s="133"/>
      <c r="CB62" s="119"/>
      <c r="CC62" s="119"/>
      <c r="CD62" s="119"/>
      <c r="CE62" s="119"/>
      <c r="CF62" s="133"/>
    </row>
    <row r="63" spans="1:84" ht="12.75">
      <c r="A63" s="119" t="s">
        <v>334</v>
      </c>
      <c r="B63" s="119" t="s">
        <v>335</v>
      </c>
      <c r="C63" s="119" t="s">
        <v>336</v>
      </c>
      <c r="D63" s="119" t="s">
        <v>158</v>
      </c>
      <c r="E63" s="119" t="s">
        <v>135</v>
      </c>
      <c r="F63" s="131">
        <f t="shared" si="0"/>
        <v>0</v>
      </c>
      <c r="G63" s="119">
        <f t="shared" si="1"/>
        <v>0.5</v>
      </c>
      <c r="H63" s="119">
        <f t="shared" ref="H63:I63" si="63">SUM(L63,Q63,V63,AA63,AF63,AK63,AP63,AU63,AZ63,BE63,BJ63,BO63,BT63,BY63,CD63)</f>
        <v>100</v>
      </c>
      <c r="I63" s="132">
        <f t="shared" si="63"/>
        <v>0</v>
      </c>
      <c r="J63" s="119">
        <v>0</v>
      </c>
      <c r="K63" s="119">
        <v>0</v>
      </c>
      <c r="L63" s="119">
        <v>0</v>
      </c>
      <c r="M63" s="119">
        <v>0</v>
      </c>
      <c r="N63" s="133">
        <v>0</v>
      </c>
      <c r="O63" s="119">
        <v>0</v>
      </c>
      <c r="P63" s="119">
        <v>0</v>
      </c>
      <c r="Q63" s="119">
        <v>0</v>
      </c>
      <c r="R63" s="119">
        <v>0</v>
      </c>
      <c r="S63" s="133">
        <v>0</v>
      </c>
      <c r="T63" s="119">
        <v>0</v>
      </c>
      <c r="U63" s="119">
        <v>0</v>
      </c>
      <c r="V63" s="119">
        <v>0</v>
      </c>
      <c r="W63" s="119">
        <v>0</v>
      </c>
      <c r="X63" s="133">
        <v>0</v>
      </c>
      <c r="Y63" s="119">
        <v>0</v>
      </c>
      <c r="Z63" s="119">
        <v>0</v>
      </c>
      <c r="AA63" s="119">
        <v>0</v>
      </c>
      <c r="AB63" s="119">
        <v>0</v>
      </c>
      <c r="AC63" s="133">
        <v>0</v>
      </c>
      <c r="AD63" s="119">
        <v>0</v>
      </c>
      <c r="AE63" s="119">
        <v>0</v>
      </c>
      <c r="AF63" s="119">
        <v>0</v>
      </c>
      <c r="AG63" s="119">
        <v>0</v>
      </c>
      <c r="AH63" s="133">
        <v>0</v>
      </c>
      <c r="AI63" s="119">
        <v>0.5</v>
      </c>
      <c r="AJ63" s="119" t="s">
        <v>218</v>
      </c>
      <c r="AK63" s="119">
        <v>100</v>
      </c>
      <c r="AL63" s="119">
        <v>0</v>
      </c>
      <c r="AM63" s="133">
        <v>0</v>
      </c>
      <c r="AN63" s="119">
        <v>0</v>
      </c>
      <c r="AO63" s="119">
        <v>0</v>
      </c>
      <c r="AP63" s="119">
        <v>0</v>
      </c>
      <c r="AQ63" s="119">
        <v>0</v>
      </c>
      <c r="AR63" s="133">
        <v>0</v>
      </c>
      <c r="AS63" s="119"/>
      <c r="AT63" s="119"/>
      <c r="AU63" s="119"/>
      <c r="AV63" s="119"/>
      <c r="AW63" s="133"/>
      <c r="AX63" s="119"/>
      <c r="AY63" s="119"/>
      <c r="AZ63" s="119"/>
      <c r="BA63" s="119"/>
      <c r="BB63" s="133"/>
      <c r="BC63" s="119"/>
      <c r="BD63" s="119"/>
      <c r="BE63" s="119"/>
      <c r="BF63" s="119"/>
      <c r="BG63" s="133"/>
      <c r="BH63" s="119"/>
      <c r="BI63" s="119"/>
      <c r="BJ63" s="119"/>
      <c r="BK63" s="119"/>
      <c r="BL63" s="133"/>
      <c r="BM63" s="119"/>
      <c r="BN63" s="119"/>
      <c r="BO63" s="119"/>
      <c r="BP63" s="119"/>
      <c r="BQ63" s="133"/>
      <c r="BR63" s="119"/>
      <c r="BS63" s="119"/>
      <c r="BT63" s="119"/>
      <c r="BU63" s="119"/>
      <c r="BV63" s="133"/>
      <c r="BW63" s="119"/>
      <c r="BX63" s="119"/>
      <c r="BY63" s="119"/>
      <c r="BZ63" s="119"/>
      <c r="CA63" s="133"/>
      <c r="CB63" s="119"/>
      <c r="CC63" s="119"/>
      <c r="CD63" s="119"/>
      <c r="CE63" s="119"/>
      <c r="CF63" s="133"/>
    </row>
    <row r="64" spans="1:84" ht="12.75">
      <c r="A64" s="119" t="s">
        <v>337</v>
      </c>
      <c r="B64" s="119" t="s">
        <v>338</v>
      </c>
      <c r="C64" s="119" t="s">
        <v>339</v>
      </c>
      <c r="D64" s="119" t="s">
        <v>152</v>
      </c>
      <c r="E64" s="119" t="s">
        <v>135</v>
      </c>
      <c r="F64" s="131">
        <f t="shared" si="0"/>
        <v>0</v>
      </c>
      <c r="G64" s="119">
        <f t="shared" si="1"/>
        <v>0.5</v>
      </c>
      <c r="H64" s="119">
        <f t="shared" ref="H64:I64" si="64">SUM(L64,Q64,V64,AA64,AF64,AK64,AP64,AU64,AZ64,BE64,BJ64,BO64,BT64,BY64,CD64)</f>
        <v>100</v>
      </c>
      <c r="I64" s="132">
        <f t="shared" si="64"/>
        <v>0</v>
      </c>
      <c r="J64" s="119">
        <v>0</v>
      </c>
      <c r="K64" s="119">
        <v>0</v>
      </c>
      <c r="L64" s="119">
        <v>0</v>
      </c>
      <c r="M64" s="119">
        <v>0</v>
      </c>
      <c r="N64" s="133">
        <v>0</v>
      </c>
      <c r="O64" s="119">
        <v>0</v>
      </c>
      <c r="P64" s="119">
        <v>0</v>
      </c>
      <c r="Q64" s="119">
        <v>0</v>
      </c>
      <c r="R64" s="119">
        <v>0</v>
      </c>
      <c r="S64" s="133">
        <v>0</v>
      </c>
      <c r="T64" s="119">
        <v>0</v>
      </c>
      <c r="U64" s="119">
        <v>0</v>
      </c>
      <c r="V64" s="119">
        <v>0</v>
      </c>
      <c r="W64" s="119">
        <v>0</v>
      </c>
      <c r="X64" s="133">
        <v>0</v>
      </c>
      <c r="Y64" s="119">
        <v>0</v>
      </c>
      <c r="Z64" s="119">
        <v>0</v>
      </c>
      <c r="AA64" s="119">
        <v>0</v>
      </c>
      <c r="AB64" s="119">
        <v>0</v>
      </c>
      <c r="AC64" s="133">
        <v>0</v>
      </c>
      <c r="AD64" s="119">
        <v>0</v>
      </c>
      <c r="AE64" s="119">
        <v>0</v>
      </c>
      <c r="AF64" s="119">
        <v>0</v>
      </c>
      <c r="AG64" s="119">
        <v>0</v>
      </c>
      <c r="AH64" s="133">
        <v>0</v>
      </c>
      <c r="AI64" s="119">
        <v>0.5</v>
      </c>
      <c r="AJ64" s="119" t="s">
        <v>218</v>
      </c>
      <c r="AK64" s="119">
        <v>100</v>
      </c>
      <c r="AL64" s="119">
        <v>0</v>
      </c>
      <c r="AM64" s="133">
        <v>0</v>
      </c>
      <c r="AN64" s="119">
        <v>0</v>
      </c>
      <c r="AO64" s="119">
        <v>0</v>
      </c>
      <c r="AP64" s="119">
        <v>0</v>
      </c>
      <c r="AQ64" s="119">
        <v>0</v>
      </c>
      <c r="AR64" s="133">
        <v>0</v>
      </c>
      <c r="AS64" s="119"/>
      <c r="AT64" s="119"/>
      <c r="AU64" s="119"/>
      <c r="AV64" s="119"/>
      <c r="AW64" s="133"/>
      <c r="AX64" s="119"/>
      <c r="AY64" s="119"/>
      <c r="AZ64" s="119"/>
      <c r="BA64" s="119"/>
      <c r="BB64" s="133"/>
      <c r="BC64" s="119"/>
      <c r="BD64" s="119"/>
      <c r="BE64" s="119"/>
      <c r="BF64" s="119"/>
      <c r="BG64" s="133"/>
      <c r="BH64" s="119"/>
      <c r="BI64" s="119"/>
      <c r="BJ64" s="119"/>
      <c r="BK64" s="119"/>
      <c r="BL64" s="133"/>
      <c r="BM64" s="119"/>
      <c r="BN64" s="119"/>
      <c r="BO64" s="119"/>
      <c r="BP64" s="119"/>
      <c r="BQ64" s="133"/>
      <c r="BR64" s="119"/>
      <c r="BS64" s="119"/>
      <c r="BT64" s="119"/>
      <c r="BU64" s="119"/>
      <c r="BV64" s="133"/>
      <c r="BW64" s="119"/>
      <c r="BX64" s="119"/>
      <c r="BY64" s="119"/>
      <c r="BZ64" s="119"/>
      <c r="CA64" s="133"/>
      <c r="CB64" s="119"/>
      <c r="CC64" s="119"/>
      <c r="CD64" s="119"/>
      <c r="CE64" s="119"/>
      <c r="CF64" s="133"/>
    </row>
    <row r="65" spans="1:84" ht="12.75">
      <c r="A65" s="119" t="s">
        <v>340</v>
      </c>
      <c r="B65" s="119" t="s">
        <v>341</v>
      </c>
      <c r="C65" s="119" t="s">
        <v>342</v>
      </c>
      <c r="D65" s="119" t="s">
        <v>152</v>
      </c>
      <c r="E65" s="119" t="s">
        <v>28</v>
      </c>
      <c r="F65" s="131">
        <f t="shared" si="0"/>
        <v>0</v>
      </c>
      <c r="G65" s="119">
        <f t="shared" si="1"/>
        <v>4.5</v>
      </c>
      <c r="H65" s="119">
        <f t="shared" ref="H65:I65" si="65">SUM(L65,Q65,V65,AA65,AF65,AK65,AP65,AU65,AZ65,BE65,BJ65,BO65,BT65,BY65,CD65)</f>
        <v>300</v>
      </c>
      <c r="I65" s="132">
        <f t="shared" si="65"/>
        <v>1</v>
      </c>
      <c r="J65" s="119">
        <v>1</v>
      </c>
      <c r="K65" s="119" t="s">
        <v>343</v>
      </c>
      <c r="L65" s="119"/>
      <c r="M65" s="119"/>
      <c r="N65" s="133">
        <v>0</v>
      </c>
      <c r="O65" s="119">
        <v>1</v>
      </c>
      <c r="P65" s="119" t="s">
        <v>261</v>
      </c>
      <c r="Q65" s="119">
        <v>300</v>
      </c>
      <c r="R65" s="119">
        <v>0</v>
      </c>
      <c r="S65" s="133">
        <v>0</v>
      </c>
      <c r="T65" s="119">
        <v>0</v>
      </c>
      <c r="U65" s="119">
        <v>0</v>
      </c>
      <c r="V65" s="119">
        <v>0</v>
      </c>
      <c r="W65" s="119">
        <v>0</v>
      </c>
      <c r="X65" s="133">
        <v>0</v>
      </c>
      <c r="Y65" s="119">
        <v>1</v>
      </c>
      <c r="Z65" s="119" t="s">
        <v>343</v>
      </c>
      <c r="AA65" s="119"/>
      <c r="AB65" s="119">
        <v>1</v>
      </c>
      <c r="AC65" s="133">
        <v>0</v>
      </c>
      <c r="AD65" s="119">
        <v>1.5</v>
      </c>
      <c r="AE65" s="119" t="s">
        <v>343</v>
      </c>
      <c r="AF65" s="119"/>
      <c r="AG65" s="119">
        <v>0</v>
      </c>
      <c r="AH65" s="133"/>
      <c r="AI65" s="119">
        <v>0</v>
      </c>
      <c r="AJ65" s="119">
        <v>0</v>
      </c>
      <c r="AK65" s="119">
        <v>0</v>
      </c>
      <c r="AL65" s="119">
        <v>0</v>
      </c>
      <c r="AM65" s="133">
        <v>0</v>
      </c>
      <c r="AN65" s="119">
        <v>0</v>
      </c>
      <c r="AO65" s="119">
        <v>0</v>
      </c>
      <c r="AP65" s="119">
        <v>0</v>
      </c>
      <c r="AQ65" s="119">
        <v>0</v>
      </c>
      <c r="AR65" s="133">
        <v>0</v>
      </c>
      <c r="AS65" s="119"/>
      <c r="AT65" s="119"/>
      <c r="AU65" s="119"/>
      <c r="AV65" s="119"/>
      <c r="AW65" s="133"/>
      <c r="AX65" s="119"/>
      <c r="AY65" s="119"/>
      <c r="AZ65" s="119"/>
      <c r="BA65" s="119"/>
      <c r="BB65" s="133"/>
      <c r="BC65" s="119"/>
      <c r="BD65" s="119"/>
      <c r="BE65" s="119"/>
      <c r="BF65" s="119"/>
      <c r="BG65" s="133"/>
      <c r="BH65" s="119"/>
      <c r="BI65" s="119"/>
      <c r="BJ65" s="119"/>
      <c r="BK65" s="119"/>
      <c r="BL65" s="133"/>
      <c r="BM65" s="119"/>
      <c r="BN65" s="119"/>
      <c r="BO65" s="119"/>
      <c r="BP65" s="119"/>
      <c r="BQ65" s="133"/>
      <c r="BR65" s="119"/>
      <c r="BS65" s="119"/>
      <c r="BT65" s="119"/>
      <c r="BU65" s="119"/>
      <c r="BV65" s="133"/>
      <c r="BW65" s="119"/>
      <c r="BX65" s="119"/>
      <c r="BY65" s="119"/>
      <c r="BZ65" s="119"/>
      <c r="CA65" s="133"/>
      <c r="CB65" s="119"/>
      <c r="CC65" s="119"/>
      <c r="CD65" s="119"/>
      <c r="CE65" s="119"/>
      <c r="CF65" s="133"/>
    </row>
    <row r="66" spans="1:84" ht="12.75">
      <c r="A66" s="119" t="s">
        <v>344</v>
      </c>
      <c r="B66" s="119" t="s">
        <v>345</v>
      </c>
      <c r="C66" s="119" t="s">
        <v>346</v>
      </c>
      <c r="D66" s="119" t="s">
        <v>158</v>
      </c>
      <c r="E66" s="119" t="s">
        <v>28</v>
      </c>
      <c r="F66" s="131">
        <f t="shared" si="0"/>
        <v>0</v>
      </c>
      <c r="G66" s="119">
        <f t="shared" si="1"/>
        <v>3.5</v>
      </c>
      <c r="H66" s="119">
        <f t="shared" ref="H66:I66" si="66">SUM(L66,Q66,V66,AA66,AF66,AK66,AP66,AU66,AZ66,BE66,BJ66,BO66,BT66,BY66,CD66)</f>
        <v>0</v>
      </c>
      <c r="I66" s="132">
        <f t="shared" si="66"/>
        <v>1</v>
      </c>
      <c r="J66" s="119">
        <v>1</v>
      </c>
      <c r="K66" s="119" t="s">
        <v>343</v>
      </c>
      <c r="L66" s="119"/>
      <c r="M66" s="119"/>
      <c r="N66" s="133">
        <v>0</v>
      </c>
      <c r="O66" s="119">
        <v>0</v>
      </c>
      <c r="P66" s="119">
        <v>0</v>
      </c>
      <c r="Q66" s="119">
        <v>0</v>
      </c>
      <c r="R66" s="119">
        <v>0</v>
      </c>
      <c r="S66" s="133">
        <v>0</v>
      </c>
      <c r="T66" s="119">
        <v>0</v>
      </c>
      <c r="U66" s="119">
        <v>0</v>
      </c>
      <c r="V66" s="119">
        <v>0</v>
      </c>
      <c r="W66" s="119">
        <v>0</v>
      </c>
      <c r="X66" s="133">
        <v>0</v>
      </c>
      <c r="Y66" s="119">
        <v>1</v>
      </c>
      <c r="Z66" s="119" t="s">
        <v>343</v>
      </c>
      <c r="AA66" s="119"/>
      <c r="AB66" s="119">
        <v>1</v>
      </c>
      <c r="AC66" s="133">
        <v>0</v>
      </c>
      <c r="AD66" s="119">
        <v>1.5</v>
      </c>
      <c r="AE66" s="119" t="s">
        <v>343</v>
      </c>
      <c r="AF66" s="119"/>
      <c r="AG66" s="119">
        <v>0</v>
      </c>
      <c r="AH66" s="133"/>
      <c r="AI66" s="119">
        <v>0</v>
      </c>
      <c r="AJ66" s="119">
        <v>0</v>
      </c>
      <c r="AK66" s="119">
        <v>0</v>
      </c>
      <c r="AL66" s="119">
        <v>0</v>
      </c>
      <c r="AM66" s="133">
        <v>0</v>
      </c>
      <c r="AN66" s="119">
        <v>0</v>
      </c>
      <c r="AO66" s="119">
        <v>0</v>
      </c>
      <c r="AP66" s="119">
        <v>0</v>
      </c>
      <c r="AQ66" s="119">
        <v>0</v>
      </c>
      <c r="AR66" s="133">
        <v>0</v>
      </c>
      <c r="AS66" s="119"/>
      <c r="AT66" s="119"/>
      <c r="AU66" s="119"/>
      <c r="AV66" s="119"/>
      <c r="AW66" s="133"/>
      <c r="AX66" s="119"/>
      <c r="AY66" s="119"/>
      <c r="AZ66" s="119"/>
      <c r="BA66" s="119"/>
      <c r="BB66" s="133"/>
      <c r="BC66" s="119"/>
      <c r="BD66" s="119"/>
      <c r="BE66" s="119"/>
      <c r="BF66" s="119"/>
      <c r="BG66" s="133"/>
      <c r="BH66" s="119"/>
      <c r="BI66" s="119"/>
      <c r="BJ66" s="119"/>
      <c r="BK66" s="119"/>
      <c r="BL66" s="133"/>
      <c r="BM66" s="119"/>
      <c r="BN66" s="119"/>
      <c r="BO66" s="119"/>
      <c r="BP66" s="119"/>
      <c r="BQ66" s="133"/>
      <c r="BR66" s="119"/>
      <c r="BS66" s="119"/>
      <c r="BT66" s="119"/>
      <c r="BU66" s="119"/>
      <c r="BV66" s="133"/>
      <c r="BW66" s="119"/>
      <c r="BX66" s="119"/>
      <c r="BY66" s="119"/>
      <c r="BZ66" s="119"/>
      <c r="CA66" s="133"/>
      <c r="CB66" s="119"/>
      <c r="CC66" s="119"/>
      <c r="CD66" s="119"/>
      <c r="CE66" s="119"/>
      <c r="CF66" s="133"/>
    </row>
    <row r="67" spans="1:84" ht="12.75">
      <c r="A67" s="119" t="s">
        <v>347</v>
      </c>
      <c r="B67" s="119" t="s">
        <v>348</v>
      </c>
      <c r="C67" s="119" t="s">
        <v>271</v>
      </c>
      <c r="D67" s="119" t="s">
        <v>158</v>
      </c>
      <c r="E67" s="119" t="s">
        <v>28</v>
      </c>
      <c r="F67" s="131">
        <f t="shared" si="0"/>
        <v>0</v>
      </c>
      <c r="G67" s="119">
        <f t="shared" si="1"/>
        <v>0</v>
      </c>
      <c r="H67" s="119">
        <f t="shared" ref="H67:I67" si="67">SUM(L67,Q67,V67,AA67,AF67,AK67,AP67,AU67,AZ67,BE67,BJ67,BO67,BT67,BY67,CD67)</f>
        <v>0</v>
      </c>
      <c r="I67" s="132">
        <f t="shared" si="67"/>
        <v>0</v>
      </c>
      <c r="J67" s="119">
        <v>0</v>
      </c>
      <c r="K67" s="119">
        <v>0</v>
      </c>
      <c r="L67" s="119">
        <v>0</v>
      </c>
      <c r="M67" s="119">
        <v>0</v>
      </c>
      <c r="N67" s="133">
        <v>0</v>
      </c>
      <c r="O67" s="119">
        <v>0</v>
      </c>
      <c r="P67" s="119">
        <v>0</v>
      </c>
      <c r="Q67" s="119">
        <v>0</v>
      </c>
      <c r="R67" s="119">
        <v>0</v>
      </c>
      <c r="S67" s="133">
        <v>0</v>
      </c>
      <c r="T67" s="119">
        <v>0</v>
      </c>
      <c r="U67" s="119">
        <v>0</v>
      </c>
      <c r="V67" s="119">
        <v>0</v>
      </c>
      <c r="W67" s="119">
        <v>0</v>
      </c>
      <c r="X67" s="133">
        <v>0</v>
      </c>
      <c r="Y67" s="119">
        <v>0</v>
      </c>
      <c r="Z67" s="119">
        <v>0</v>
      </c>
      <c r="AA67" s="119">
        <v>0</v>
      </c>
      <c r="AB67" s="119">
        <v>0</v>
      </c>
      <c r="AC67" s="133">
        <v>0</v>
      </c>
      <c r="AD67" s="119">
        <v>0</v>
      </c>
      <c r="AE67" s="119">
        <v>0</v>
      </c>
      <c r="AF67" s="119">
        <v>0</v>
      </c>
      <c r="AG67" s="119">
        <v>0</v>
      </c>
      <c r="AH67" s="133">
        <v>0</v>
      </c>
      <c r="AI67" s="119">
        <v>0</v>
      </c>
      <c r="AJ67" s="119">
        <v>0</v>
      </c>
      <c r="AK67" s="119">
        <v>0</v>
      </c>
      <c r="AL67" s="119">
        <v>0</v>
      </c>
      <c r="AM67" s="133">
        <v>0</v>
      </c>
      <c r="AN67" s="119">
        <v>0</v>
      </c>
      <c r="AO67" s="119">
        <v>0</v>
      </c>
      <c r="AP67" s="119">
        <v>0</v>
      </c>
      <c r="AQ67" s="119">
        <v>0</v>
      </c>
      <c r="AR67" s="133">
        <v>0</v>
      </c>
      <c r="AS67" s="119"/>
      <c r="AT67" s="119"/>
      <c r="AU67" s="119"/>
      <c r="AV67" s="119"/>
      <c r="AW67" s="133"/>
      <c r="AX67" s="119"/>
      <c r="AY67" s="119"/>
      <c r="AZ67" s="119"/>
      <c r="BA67" s="119"/>
      <c r="BB67" s="133"/>
      <c r="BC67" s="119"/>
      <c r="BD67" s="119"/>
      <c r="BE67" s="119"/>
      <c r="BF67" s="119"/>
      <c r="BG67" s="133"/>
      <c r="BH67" s="119"/>
      <c r="BI67" s="119"/>
      <c r="BJ67" s="119"/>
      <c r="BK67" s="119"/>
      <c r="BL67" s="133"/>
      <c r="BM67" s="119"/>
      <c r="BN67" s="119"/>
      <c r="BO67" s="119"/>
      <c r="BP67" s="119"/>
      <c r="BQ67" s="133"/>
      <c r="BR67" s="119"/>
      <c r="BS67" s="119"/>
      <c r="BT67" s="119"/>
      <c r="BU67" s="119"/>
      <c r="BV67" s="133"/>
      <c r="BW67" s="119"/>
      <c r="BX67" s="119"/>
      <c r="BY67" s="119"/>
      <c r="BZ67" s="119"/>
      <c r="CA67" s="133"/>
      <c r="CB67" s="119"/>
      <c r="CC67" s="119"/>
      <c r="CD67" s="119"/>
      <c r="CE67" s="119"/>
      <c r="CF67" s="133"/>
    </row>
    <row r="68" spans="1:84" ht="12.75">
      <c r="A68" s="119" t="s">
        <v>349</v>
      </c>
      <c r="B68" s="119" t="s">
        <v>350</v>
      </c>
      <c r="C68" s="119" t="s">
        <v>351</v>
      </c>
      <c r="D68" s="119" t="s">
        <v>158</v>
      </c>
      <c r="E68" s="119" t="s">
        <v>28</v>
      </c>
      <c r="F68" s="131">
        <f t="shared" si="0"/>
        <v>0</v>
      </c>
      <c r="G68" s="119">
        <f t="shared" si="1"/>
        <v>0</v>
      </c>
      <c r="H68" s="119">
        <f t="shared" ref="H68:I68" si="68">SUM(L68,Q68,V68,AA68,AF68,AK68,AP68,AU68,AZ68,BE68,BJ68,BO68,BT68,BY68,CD68)</f>
        <v>0</v>
      </c>
      <c r="I68" s="132">
        <f t="shared" si="68"/>
        <v>0</v>
      </c>
      <c r="J68" s="119">
        <v>0</v>
      </c>
      <c r="K68" s="119">
        <v>0</v>
      </c>
      <c r="L68" s="119">
        <v>0</v>
      </c>
      <c r="M68" s="119">
        <v>0</v>
      </c>
      <c r="N68" s="133">
        <v>0</v>
      </c>
      <c r="O68" s="119">
        <v>0</v>
      </c>
      <c r="P68" s="119">
        <v>0</v>
      </c>
      <c r="Q68" s="119">
        <v>0</v>
      </c>
      <c r="R68" s="119">
        <v>0</v>
      </c>
      <c r="S68" s="133">
        <v>0</v>
      </c>
      <c r="T68" s="119">
        <v>0</v>
      </c>
      <c r="U68" s="119">
        <v>0</v>
      </c>
      <c r="V68" s="119">
        <v>0</v>
      </c>
      <c r="W68" s="119">
        <v>0</v>
      </c>
      <c r="X68" s="133">
        <v>0</v>
      </c>
      <c r="Y68" s="119">
        <v>0</v>
      </c>
      <c r="Z68" s="119">
        <v>0</v>
      </c>
      <c r="AA68" s="119">
        <v>0</v>
      </c>
      <c r="AB68" s="119">
        <v>0</v>
      </c>
      <c r="AC68" s="133">
        <v>0</v>
      </c>
      <c r="AD68" s="119">
        <v>0</v>
      </c>
      <c r="AE68" s="119">
        <v>0</v>
      </c>
      <c r="AF68" s="119">
        <v>0</v>
      </c>
      <c r="AG68" s="119">
        <v>0</v>
      </c>
      <c r="AH68" s="133">
        <v>0</v>
      </c>
      <c r="AI68" s="119">
        <v>0</v>
      </c>
      <c r="AJ68" s="119">
        <v>0</v>
      </c>
      <c r="AK68" s="119">
        <v>0</v>
      </c>
      <c r="AL68" s="119">
        <v>0</v>
      </c>
      <c r="AM68" s="133">
        <v>0</v>
      </c>
      <c r="AN68" s="119">
        <v>0</v>
      </c>
      <c r="AO68" s="119">
        <v>0</v>
      </c>
      <c r="AP68" s="119">
        <v>0</v>
      </c>
      <c r="AQ68" s="119">
        <v>0</v>
      </c>
      <c r="AR68" s="133">
        <v>0</v>
      </c>
      <c r="AS68" s="119"/>
      <c r="AT68" s="119"/>
      <c r="AU68" s="119"/>
      <c r="AV68" s="119"/>
      <c r="AW68" s="133"/>
      <c r="AX68" s="119"/>
      <c r="AY68" s="119"/>
      <c r="AZ68" s="119"/>
      <c r="BA68" s="119"/>
      <c r="BB68" s="133"/>
      <c r="BC68" s="119"/>
      <c r="BD68" s="119"/>
      <c r="BE68" s="119"/>
      <c r="BF68" s="119"/>
      <c r="BG68" s="133"/>
      <c r="BH68" s="119"/>
      <c r="BI68" s="119"/>
      <c r="BJ68" s="119"/>
      <c r="BK68" s="119"/>
      <c r="BL68" s="133"/>
      <c r="BM68" s="119"/>
      <c r="BN68" s="119"/>
      <c r="BO68" s="119"/>
      <c r="BP68" s="119"/>
      <c r="BQ68" s="133"/>
      <c r="BR68" s="119"/>
      <c r="BS68" s="119"/>
      <c r="BT68" s="119"/>
      <c r="BU68" s="119"/>
      <c r="BV68" s="133"/>
      <c r="BW68" s="119"/>
      <c r="BX68" s="119"/>
      <c r="BY68" s="119"/>
      <c r="BZ68" s="119"/>
      <c r="CA68" s="133"/>
      <c r="CB68" s="119"/>
      <c r="CC68" s="119"/>
      <c r="CD68" s="119"/>
      <c r="CE68" s="119"/>
      <c r="CF68" s="133"/>
    </row>
    <row r="69" spans="1:84" ht="12.75">
      <c r="A69" s="119" t="s">
        <v>352</v>
      </c>
      <c r="B69" s="119" t="s">
        <v>353</v>
      </c>
      <c r="C69" s="119" t="s">
        <v>354</v>
      </c>
      <c r="D69" s="119" t="s">
        <v>158</v>
      </c>
      <c r="E69" s="119" t="s">
        <v>28</v>
      </c>
      <c r="F69" s="131">
        <f t="shared" si="0"/>
        <v>0</v>
      </c>
      <c r="G69" s="119">
        <f t="shared" si="1"/>
        <v>0</v>
      </c>
      <c r="H69" s="119">
        <f t="shared" ref="H69:I69" si="69">SUM(L69,Q69,V69,AA69,AF69,AK69,AP69,AU69,AZ69,BE69,BJ69,BO69,BT69,BY69,CD69)</f>
        <v>0</v>
      </c>
      <c r="I69" s="132">
        <f t="shared" si="69"/>
        <v>0</v>
      </c>
      <c r="J69" s="119">
        <v>0</v>
      </c>
      <c r="K69" s="119">
        <v>0</v>
      </c>
      <c r="L69" s="119">
        <v>0</v>
      </c>
      <c r="M69" s="119">
        <v>0</v>
      </c>
      <c r="N69" s="133">
        <v>0</v>
      </c>
      <c r="O69" s="119">
        <v>0</v>
      </c>
      <c r="P69" s="119">
        <v>0</v>
      </c>
      <c r="Q69" s="119">
        <v>0</v>
      </c>
      <c r="R69" s="119">
        <v>0</v>
      </c>
      <c r="S69" s="133">
        <v>0</v>
      </c>
      <c r="T69" s="119">
        <v>0</v>
      </c>
      <c r="U69" s="119">
        <v>0</v>
      </c>
      <c r="V69" s="119">
        <v>0</v>
      </c>
      <c r="W69" s="119">
        <v>0</v>
      </c>
      <c r="X69" s="133">
        <v>0</v>
      </c>
      <c r="Y69" s="119">
        <v>0</v>
      </c>
      <c r="Z69" s="119">
        <v>0</v>
      </c>
      <c r="AA69" s="119">
        <v>0</v>
      </c>
      <c r="AB69" s="119">
        <v>0</v>
      </c>
      <c r="AC69" s="133">
        <v>0</v>
      </c>
      <c r="AD69" s="119">
        <v>0</v>
      </c>
      <c r="AE69" s="119">
        <v>0</v>
      </c>
      <c r="AF69" s="119">
        <v>0</v>
      </c>
      <c r="AG69" s="119">
        <v>0</v>
      </c>
      <c r="AH69" s="133">
        <v>0</v>
      </c>
      <c r="AI69" s="119">
        <v>0</v>
      </c>
      <c r="AJ69" s="119">
        <v>0</v>
      </c>
      <c r="AK69" s="119">
        <v>0</v>
      </c>
      <c r="AL69" s="119">
        <v>0</v>
      </c>
      <c r="AM69" s="133">
        <v>0</v>
      </c>
      <c r="AN69" s="119">
        <v>0</v>
      </c>
      <c r="AO69" s="119">
        <v>0</v>
      </c>
      <c r="AP69" s="119">
        <v>0</v>
      </c>
      <c r="AQ69" s="119">
        <v>0</v>
      </c>
      <c r="AR69" s="133">
        <v>0</v>
      </c>
      <c r="AS69" s="119"/>
      <c r="AT69" s="119"/>
      <c r="AU69" s="119"/>
      <c r="AV69" s="119"/>
      <c r="AW69" s="133"/>
      <c r="AX69" s="119"/>
      <c r="AY69" s="119"/>
      <c r="AZ69" s="119"/>
      <c r="BA69" s="119"/>
      <c r="BB69" s="133"/>
      <c r="BC69" s="119"/>
      <c r="BD69" s="119"/>
      <c r="BE69" s="119"/>
      <c r="BF69" s="119"/>
      <c r="BG69" s="133"/>
      <c r="BH69" s="119"/>
      <c r="BI69" s="119"/>
      <c r="BJ69" s="119"/>
      <c r="BK69" s="119"/>
      <c r="BL69" s="133"/>
      <c r="BM69" s="119"/>
      <c r="BN69" s="119"/>
      <c r="BO69" s="119"/>
      <c r="BP69" s="119"/>
      <c r="BQ69" s="133"/>
      <c r="BR69" s="119"/>
      <c r="BS69" s="119"/>
      <c r="BT69" s="119"/>
      <c r="BU69" s="119"/>
      <c r="BV69" s="133"/>
      <c r="BW69" s="119"/>
      <c r="BX69" s="119"/>
      <c r="BY69" s="119"/>
      <c r="BZ69" s="119"/>
      <c r="CA69" s="133"/>
      <c r="CB69" s="119"/>
      <c r="CC69" s="119"/>
      <c r="CD69" s="119"/>
      <c r="CE69" s="119"/>
      <c r="CF69" s="133"/>
    </row>
    <row r="70" spans="1:84" ht="12.75">
      <c r="A70" s="119" t="s">
        <v>355</v>
      </c>
      <c r="B70" s="119" t="s">
        <v>356</v>
      </c>
      <c r="C70" s="119" t="s">
        <v>357</v>
      </c>
      <c r="D70" s="119" t="s">
        <v>158</v>
      </c>
      <c r="E70" s="119" t="s">
        <v>28</v>
      </c>
      <c r="F70" s="131">
        <f t="shared" si="0"/>
        <v>0</v>
      </c>
      <c r="G70" s="119">
        <f t="shared" si="1"/>
        <v>0</v>
      </c>
      <c r="H70" s="119">
        <f t="shared" ref="H70:I70" si="70">SUM(L70,Q70,V70,AA70,AF70,AK70,AP70,AU70,AZ70,BE70,BJ70,BO70,BT70,BY70,CD70)</f>
        <v>0</v>
      </c>
      <c r="I70" s="132">
        <f t="shared" si="70"/>
        <v>0</v>
      </c>
      <c r="J70" s="119">
        <v>0</v>
      </c>
      <c r="K70" s="119">
        <v>0</v>
      </c>
      <c r="L70" s="119">
        <v>0</v>
      </c>
      <c r="M70" s="119">
        <v>0</v>
      </c>
      <c r="N70" s="133">
        <v>0</v>
      </c>
      <c r="O70" s="119">
        <v>0</v>
      </c>
      <c r="P70" s="119">
        <v>0</v>
      </c>
      <c r="Q70" s="119">
        <v>0</v>
      </c>
      <c r="R70" s="119">
        <v>0</v>
      </c>
      <c r="S70" s="133">
        <v>0</v>
      </c>
      <c r="T70" s="119">
        <v>0</v>
      </c>
      <c r="U70" s="119">
        <v>0</v>
      </c>
      <c r="V70" s="119">
        <v>0</v>
      </c>
      <c r="W70" s="119">
        <v>0</v>
      </c>
      <c r="X70" s="133">
        <v>0</v>
      </c>
      <c r="Y70" s="119">
        <v>0</v>
      </c>
      <c r="Z70" s="119">
        <v>0</v>
      </c>
      <c r="AA70" s="119">
        <v>0</v>
      </c>
      <c r="AB70" s="119">
        <v>0</v>
      </c>
      <c r="AC70" s="133">
        <v>0</v>
      </c>
      <c r="AD70" s="119">
        <v>0</v>
      </c>
      <c r="AE70" s="119">
        <v>0</v>
      </c>
      <c r="AF70" s="119">
        <v>0</v>
      </c>
      <c r="AG70" s="119">
        <v>0</v>
      </c>
      <c r="AH70" s="133">
        <v>0</v>
      </c>
      <c r="AI70" s="119">
        <v>0</v>
      </c>
      <c r="AJ70" s="119">
        <v>0</v>
      </c>
      <c r="AK70" s="119">
        <v>0</v>
      </c>
      <c r="AL70" s="119">
        <v>0</v>
      </c>
      <c r="AM70" s="133">
        <v>0</v>
      </c>
      <c r="AN70" s="119">
        <v>0</v>
      </c>
      <c r="AO70" s="119">
        <v>0</v>
      </c>
      <c r="AP70" s="119">
        <v>0</v>
      </c>
      <c r="AQ70" s="119">
        <v>0</v>
      </c>
      <c r="AR70" s="133">
        <v>0</v>
      </c>
      <c r="AS70" s="119"/>
      <c r="AT70" s="119"/>
      <c r="AU70" s="119"/>
      <c r="AV70" s="119"/>
      <c r="AW70" s="133"/>
      <c r="AX70" s="119"/>
      <c r="AY70" s="119"/>
      <c r="AZ70" s="119"/>
      <c r="BA70" s="119"/>
      <c r="BB70" s="133"/>
      <c r="BC70" s="119"/>
      <c r="BD70" s="119"/>
      <c r="BE70" s="119"/>
      <c r="BF70" s="119"/>
      <c r="BG70" s="133"/>
      <c r="BH70" s="119"/>
      <c r="BI70" s="119"/>
      <c r="BJ70" s="119"/>
      <c r="BK70" s="119"/>
      <c r="BL70" s="133"/>
      <c r="BM70" s="119"/>
      <c r="BN70" s="119"/>
      <c r="BO70" s="119"/>
      <c r="BP70" s="119"/>
      <c r="BQ70" s="133"/>
      <c r="BR70" s="119"/>
      <c r="BS70" s="119"/>
      <c r="BT70" s="119"/>
      <c r="BU70" s="119"/>
      <c r="BV70" s="133"/>
      <c r="BW70" s="119"/>
      <c r="BX70" s="119"/>
      <c r="BY70" s="119"/>
      <c r="BZ70" s="119"/>
      <c r="CA70" s="133"/>
      <c r="CB70" s="119"/>
      <c r="CC70" s="119"/>
      <c r="CD70" s="119"/>
      <c r="CE70" s="119"/>
      <c r="CF70" s="133"/>
    </row>
    <row r="71" spans="1:84" ht="12.75">
      <c r="A71" s="119" t="s">
        <v>358</v>
      </c>
      <c r="B71" s="119" t="s">
        <v>359</v>
      </c>
      <c r="C71" s="119" t="s">
        <v>360</v>
      </c>
      <c r="D71" s="119" t="s">
        <v>152</v>
      </c>
      <c r="E71" s="119" t="s">
        <v>28</v>
      </c>
      <c r="F71" s="131">
        <f t="shared" si="0"/>
        <v>0</v>
      </c>
      <c r="G71" s="119">
        <f t="shared" si="1"/>
        <v>1</v>
      </c>
      <c r="H71" s="119">
        <f t="shared" ref="H71:I71" si="71">SUM(L71,Q71,V71,AA71,AF71,AK71,AP71,AU71,AZ71,BE71,BJ71,BO71,BT71,BY71,CD71)</f>
        <v>200</v>
      </c>
      <c r="I71" s="132">
        <f t="shared" si="71"/>
        <v>0</v>
      </c>
      <c r="J71" s="119">
        <v>0</v>
      </c>
      <c r="K71" s="119">
        <v>0</v>
      </c>
      <c r="L71" s="119">
        <v>0</v>
      </c>
      <c r="M71" s="119">
        <v>0</v>
      </c>
      <c r="N71" s="133">
        <v>0</v>
      </c>
      <c r="O71" s="119">
        <v>0</v>
      </c>
      <c r="P71" s="119">
        <v>0</v>
      </c>
      <c r="Q71" s="119">
        <v>0</v>
      </c>
      <c r="R71" s="119">
        <v>0</v>
      </c>
      <c r="S71" s="133">
        <v>0</v>
      </c>
      <c r="T71" s="119">
        <v>0</v>
      </c>
      <c r="U71" s="119">
        <v>0</v>
      </c>
      <c r="V71" s="119">
        <v>0</v>
      </c>
      <c r="W71" s="119">
        <v>0</v>
      </c>
      <c r="X71" s="133">
        <v>0</v>
      </c>
      <c r="Y71" s="119">
        <v>0</v>
      </c>
      <c r="Z71" s="119">
        <v>0</v>
      </c>
      <c r="AA71" s="119">
        <v>0</v>
      </c>
      <c r="AB71" s="119">
        <v>0</v>
      </c>
      <c r="AC71" s="133">
        <v>0</v>
      </c>
      <c r="AD71" s="119">
        <v>0</v>
      </c>
      <c r="AE71" s="119">
        <v>0</v>
      </c>
      <c r="AF71" s="119">
        <v>0</v>
      </c>
      <c r="AG71" s="119">
        <v>0</v>
      </c>
      <c r="AH71" s="133">
        <v>0</v>
      </c>
      <c r="AI71" s="119">
        <v>0</v>
      </c>
      <c r="AJ71" s="119">
        <v>0</v>
      </c>
      <c r="AK71" s="119">
        <v>0</v>
      </c>
      <c r="AL71" s="119">
        <v>0</v>
      </c>
      <c r="AM71" s="133">
        <v>0</v>
      </c>
      <c r="AN71" s="119">
        <v>1</v>
      </c>
      <c r="AO71" s="119" t="s">
        <v>261</v>
      </c>
      <c r="AP71" s="119">
        <v>200</v>
      </c>
      <c r="AQ71" s="119">
        <v>0</v>
      </c>
      <c r="AR71" s="133">
        <v>0</v>
      </c>
      <c r="AS71" s="119"/>
      <c r="AT71" s="119"/>
      <c r="AU71" s="119"/>
      <c r="AV71" s="119"/>
      <c r="AW71" s="133"/>
      <c r="AX71" s="119"/>
      <c r="AY71" s="119"/>
      <c r="AZ71" s="119"/>
      <c r="BA71" s="119"/>
      <c r="BB71" s="133"/>
      <c r="BC71" s="119"/>
      <c r="BD71" s="119"/>
      <c r="BE71" s="119"/>
      <c r="BF71" s="119"/>
      <c r="BG71" s="133"/>
      <c r="BH71" s="119"/>
      <c r="BI71" s="119"/>
      <c r="BJ71" s="119"/>
      <c r="BK71" s="119"/>
      <c r="BL71" s="133"/>
      <c r="BM71" s="119"/>
      <c r="BN71" s="119"/>
      <c r="BO71" s="119"/>
      <c r="BP71" s="119"/>
      <c r="BQ71" s="133"/>
      <c r="BR71" s="119"/>
      <c r="BS71" s="119"/>
      <c r="BT71" s="119"/>
      <c r="BU71" s="119"/>
      <c r="BV71" s="133"/>
      <c r="BW71" s="119"/>
      <c r="BX71" s="119"/>
      <c r="BY71" s="119"/>
      <c r="BZ71" s="119"/>
      <c r="CA71" s="133"/>
      <c r="CB71" s="119"/>
      <c r="CC71" s="119"/>
      <c r="CD71" s="119"/>
      <c r="CE71" s="119"/>
      <c r="CF71" s="133"/>
    </row>
    <row r="72" spans="1:84" ht="12.75">
      <c r="A72" s="119" t="s">
        <v>361</v>
      </c>
      <c r="B72" s="119" t="s">
        <v>362</v>
      </c>
      <c r="C72" s="119" t="s">
        <v>363</v>
      </c>
      <c r="D72" s="119" t="s">
        <v>152</v>
      </c>
      <c r="E72" s="119" t="s">
        <v>26</v>
      </c>
      <c r="F72" s="131">
        <f t="shared" si="0"/>
        <v>0</v>
      </c>
      <c r="G72" s="119">
        <f t="shared" si="1"/>
        <v>2.5</v>
      </c>
      <c r="H72" s="119">
        <f t="shared" ref="H72:I72" si="72">SUM(L72,Q72,V72,AA72,AF72,AK72,AP72,AU72,AZ72,BE72,BJ72,BO72,BT72,BY72,CD72)</f>
        <v>200</v>
      </c>
      <c r="I72" s="132">
        <f t="shared" si="72"/>
        <v>0</v>
      </c>
      <c r="J72" s="119">
        <v>1</v>
      </c>
      <c r="K72" s="119" t="s">
        <v>364</v>
      </c>
      <c r="L72" s="119">
        <v>200</v>
      </c>
      <c r="M72" s="119">
        <v>0</v>
      </c>
      <c r="N72" s="133">
        <v>0</v>
      </c>
      <c r="O72" s="119">
        <v>0</v>
      </c>
      <c r="P72" s="119">
        <v>0</v>
      </c>
      <c r="Q72" s="119">
        <v>0</v>
      </c>
      <c r="R72" s="119">
        <v>0</v>
      </c>
      <c r="S72" s="133" t="s">
        <v>365</v>
      </c>
      <c r="T72" s="119">
        <v>0</v>
      </c>
      <c r="U72" s="119">
        <v>0</v>
      </c>
      <c r="V72" s="119">
        <v>0</v>
      </c>
      <c r="W72" s="119">
        <v>0</v>
      </c>
      <c r="X72" s="133">
        <v>0</v>
      </c>
      <c r="Y72" s="119">
        <v>1.5</v>
      </c>
      <c r="Z72" s="119" t="s">
        <v>366</v>
      </c>
      <c r="AA72" s="119">
        <v>0</v>
      </c>
      <c r="AB72" s="119">
        <v>0</v>
      </c>
      <c r="AC72" s="133">
        <v>0</v>
      </c>
      <c r="AD72" s="119">
        <v>0</v>
      </c>
      <c r="AE72" s="119">
        <v>0</v>
      </c>
      <c r="AF72" s="119">
        <v>0</v>
      </c>
      <c r="AG72" s="119">
        <v>0</v>
      </c>
      <c r="AH72" s="133">
        <v>0</v>
      </c>
      <c r="AI72" s="119">
        <v>0</v>
      </c>
      <c r="AJ72" s="119"/>
      <c r="AK72" s="119"/>
      <c r="AL72" s="119"/>
      <c r="AM72" s="133"/>
      <c r="AN72" s="119"/>
      <c r="AO72" s="119"/>
      <c r="AP72" s="119"/>
      <c r="AQ72" s="119"/>
      <c r="AR72" s="133"/>
      <c r="AS72" s="119"/>
      <c r="AT72" s="119"/>
      <c r="AU72" s="119"/>
      <c r="AV72" s="119"/>
      <c r="AW72" s="133"/>
      <c r="AX72" s="119"/>
      <c r="AY72" s="119"/>
      <c r="AZ72" s="119"/>
      <c r="BA72" s="119"/>
      <c r="BB72" s="133"/>
      <c r="BC72" s="119"/>
      <c r="BD72" s="119"/>
      <c r="BE72" s="119"/>
      <c r="BF72" s="119"/>
      <c r="BG72" s="133"/>
      <c r="BH72" s="119"/>
      <c r="BI72" s="119"/>
      <c r="BJ72" s="119"/>
      <c r="BK72" s="119"/>
      <c r="BL72" s="133"/>
      <c r="BM72" s="119"/>
      <c r="BN72" s="119"/>
      <c r="BO72" s="119"/>
      <c r="BP72" s="119"/>
      <c r="BQ72" s="133"/>
      <c r="BR72" s="119"/>
      <c r="BS72" s="119"/>
      <c r="BT72" s="119"/>
      <c r="BU72" s="119"/>
      <c r="BV72" s="133"/>
      <c r="BW72" s="119"/>
      <c r="BX72" s="119"/>
      <c r="BY72" s="119"/>
      <c r="BZ72" s="119"/>
      <c r="CA72" s="133"/>
      <c r="CB72" s="119"/>
      <c r="CC72" s="119"/>
      <c r="CD72" s="119"/>
      <c r="CE72" s="119"/>
      <c r="CF72" s="133"/>
    </row>
    <row r="73" spans="1:84" ht="12.75">
      <c r="A73" s="119" t="s">
        <v>367</v>
      </c>
      <c r="B73" s="119" t="s">
        <v>368</v>
      </c>
      <c r="C73" s="119" t="s">
        <v>369</v>
      </c>
      <c r="D73" s="119" t="s">
        <v>158</v>
      </c>
      <c r="E73" s="119" t="s">
        <v>26</v>
      </c>
      <c r="F73" s="131">
        <f t="shared" si="0"/>
        <v>0</v>
      </c>
      <c r="G73" s="119">
        <f t="shared" si="1"/>
        <v>1.5</v>
      </c>
      <c r="H73" s="119">
        <f t="shared" ref="H73:I73" si="73">SUM(L73,Q73,V73,AA73,AF73,AK73,AP73,AU73,AZ73,BE73,BJ73,BO73,BT73,BY73,CD73)</f>
        <v>0</v>
      </c>
      <c r="I73" s="132">
        <f t="shared" si="73"/>
        <v>0</v>
      </c>
      <c r="J73" s="119">
        <v>0</v>
      </c>
      <c r="K73" s="119">
        <v>0</v>
      </c>
      <c r="L73" s="119">
        <v>0</v>
      </c>
      <c r="M73" s="119">
        <v>0</v>
      </c>
      <c r="N73" s="133">
        <v>0</v>
      </c>
      <c r="O73" s="119">
        <v>0</v>
      </c>
      <c r="P73" s="119">
        <v>0</v>
      </c>
      <c r="Q73" s="119">
        <v>0</v>
      </c>
      <c r="R73" s="119">
        <v>0</v>
      </c>
      <c r="S73" s="133" t="s">
        <v>365</v>
      </c>
      <c r="T73" s="119">
        <v>0</v>
      </c>
      <c r="U73" s="119">
        <v>0</v>
      </c>
      <c r="V73" s="119">
        <v>0</v>
      </c>
      <c r="W73" s="119">
        <v>0</v>
      </c>
      <c r="X73" s="133">
        <v>0</v>
      </c>
      <c r="Y73" s="119">
        <v>1.5</v>
      </c>
      <c r="Z73" s="119" t="s">
        <v>366</v>
      </c>
      <c r="AA73" s="119">
        <v>0</v>
      </c>
      <c r="AB73" s="119">
        <v>0</v>
      </c>
      <c r="AC73" s="133">
        <v>0</v>
      </c>
      <c r="AD73" s="119">
        <v>0</v>
      </c>
      <c r="AE73" s="119">
        <v>0</v>
      </c>
      <c r="AF73" s="119">
        <v>0</v>
      </c>
      <c r="AG73" s="119">
        <v>0</v>
      </c>
      <c r="AH73" s="133">
        <v>0</v>
      </c>
      <c r="AI73" s="119">
        <v>0</v>
      </c>
      <c r="AJ73" s="119"/>
      <c r="AK73" s="119"/>
      <c r="AL73" s="119"/>
      <c r="AM73" s="133"/>
      <c r="AN73" s="119"/>
      <c r="AO73" s="119"/>
      <c r="AP73" s="119"/>
      <c r="AQ73" s="119"/>
      <c r="AR73" s="133"/>
      <c r="AS73" s="119"/>
      <c r="AT73" s="119"/>
      <c r="AU73" s="119"/>
      <c r="AV73" s="119"/>
      <c r="AW73" s="133"/>
      <c r="AX73" s="119"/>
      <c r="AY73" s="119"/>
      <c r="AZ73" s="119"/>
      <c r="BA73" s="119"/>
      <c r="BB73" s="133"/>
      <c r="BC73" s="119"/>
      <c r="BD73" s="119"/>
      <c r="BE73" s="119"/>
      <c r="BF73" s="119"/>
      <c r="BG73" s="133"/>
      <c r="BH73" s="119"/>
      <c r="BI73" s="119"/>
      <c r="BJ73" s="119"/>
      <c r="BK73" s="119"/>
      <c r="BL73" s="133"/>
      <c r="BM73" s="119"/>
      <c r="BN73" s="119"/>
      <c r="BO73" s="119"/>
      <c r="BP73" s="119"/>
      <c r="BQ73" s="133"/>
      <c r="BR73" s="119"/>
      <c r="BS73" s="119"/>
      <c r="BT73" s="119"/>
      <c r="BU73" s="119"/>
      <c r="BV73" s="133"/>
      <c r="BW73" s="119"/>
      <c r="BX73" s="119"/>
      <c r="BY73" s="119"/>
      <c r="BZ73" s="119"/>
      <c r="CA73" s="133"/>
      <c r="CB73" s="119"/>
      <c r="CC73" s="119"/>
      <c r="CD73" s="119"/>
      <c r="CE73" s="119"/>
      <c r="CF73" s="133"/>
    </row>
    <row r="74" spans="1:84" ht="12.75">
      <c r="A74" s="119" t="s">
        <v>370</v>
      </c>
      <c r="B74" s="119" t="s">
        <v>210</v>
      </c>
      <c r="C74" s="119" t="s">
        <v>371</v>
      </c>
      <c r="D74" s="119" t="s">
        <v>158</v>
      </c>
      <c r="E74" s="119" t="s">
        <v>26</v>
      </c>
      <c r="F74" s="131">
        <f t="shared" si="0"/>
        <v>0</v>
      </c>
      <c r="G74" s="119">
        <f t="shared" si="1"/>
        <v>0</v>
      </c>
      <c r="H74" s="119">
        <f t="shared" ref="H74:I74" si="74">SUM(L74,Q74,V74,AA74,AF74,AK74,AP74,AU74,AZ74,BE74,BJ74,BO74,BT74,BY74,CD74)</f>
        <v>0</v>
      </c>
      <c r="I74" s="132">
        <f t="shared" si="74"/>
        <v>0</v>
      </c>
      <c r="J74" s="119">
        <v>0</v>
      </c>
      <c r="K74" s="119">
        <v>0</v>
      </c>
      <c r="L74" s="119">
        <v>0</v>
      </c>
      <c r="M74" s="119">
        <v>0</v>
      </c>
      <c r="N74" s="133">
        <v>0</v>
      </c>
      <c r="O74" s="119">
        <v>0</v>
      </c>
      <c r="P74" s="119">
        <v>0</v>
      </c>
      <c r="Q74" s="119">
        <v>0</v>
      </c>
      <c r="R74" s="119">
        <v>0</v>
      </c>
      <c r="S74" s="133" t="s">
        <v>365</v>
      </c>
      <c r="T74" s="119">
        <v>0</v>
      </c>
      <c r="U74" s="119">
        <v>0</v>
      </c>
      <c r="V74" s="119">
        <v>0</v>
      </c>
      <c r="W74" s="119">
        <v>0</v>
      </c>
      <c r="X74" s="133">
        <v>0</v>
      </c>
      <c r="Y74" s="119">
        <v>0</v>
      </c>
      <c r="Z74" s="119">
        <v>0</v>
      </c>
      <c r="AA74" s="119">
        <v>0</v>
      </c>
      <c r="AB74" s="119">
        <v>0</v>
      </c>
      <c r="AC74" s="133">
        <v>0</v>
      </c>
      <c r="AD74" s="119">
        <v>0</v>
      </c>
      <c r="AE74" s="119">
        <v>0</v>
      </c>
      <c r="AF74" s="119">
        <v>0</v>
      </c>
      <c r="AG74" s="119">
        <v>0</v>
      </c>
      <c r="AH74" s="133">
        <v>0</v>
      </c>
      <c r="AI74" s="119">
        <v>0</v>
      </c>
      <c r="AJ74" s="119"/>
      <c r="AK74" s="119"/>
      <c r="AL74" s="119"/>
      <c r="AM74" s="133"/>
      <c r="AN74" s="119"/>
      <c r="AO74" s="119"/>
      <c r="AP74" s="119"/>
      <c r="AQ74" s="119"/>
      <c r="AR74" s="133"/>
      <c r="AS74" s="119"/>
      <c r="AT74" s="119"/>
      <c r="AU74" s="119"/>
      <c r="AV74" s="119"/>
      <c r="AW74" s="133"/>
      <c r="AX74" s="119"/>
      <c r="AY74" s="119"/>
      <c r="AZ74" s="119"/>
      <c r="BA74" s="119"/>
      <c r="BB74" s="133"/>
      <c r="BC74" s="119"/>
      <c r="BD74" s="119"/>
      <c r="BE74" s="119"/>
      <c r="BF74" s="119"/>
      <c r="BG74" s="133"/>
      <c r="BH74" s="119"/>
      <c r="BI74" s="119"/>
      <c r="BJ74" s="119"/>
      <c r="BK74" s="119"/>
      <c r="BL74" s="133"/>
      <c r="BM74" s="119"/>
      <c r="BN74" s="119"/>
      <c r="BO74" s="119"/>
      <c r="BP74" s="119"/>
      <c r="BQ74" s="133"/>
      <c r="BR74" s="119"/>
      <c r="BS74" s="119"/>
      <c r="BT74" s="119"/>
      <c r="BU74" s="119"/>
      <c r="BV74" s="133"/>
      <c r="BW74" s="119"/>
      <c r="BX74" s="119"/>
      <c r="BY74" s="119"/>
      <c r="BZ74" s="119"/>
      <c r="CA74" s="133"/>
      <c r="CB74" s="119"/>
      <c r="CC74" s="119"/>
      <c r="CD74" s="119"/>
      <c r="CE74" s="119"/>
      <c r="CF74" s="133"/>
    </row>
    <row r="75" spans="1:84" ht="12.75">
      <c r="A75" s="119" t="s">
        <v>372</v>
      </c>
      <c r="B75" s="119" t="s">
        <v>373</v>
      </c>
      <c r="C75" s="119" t="s">
        <v>374</v>
      </c>
      <c r="D75" s="119" t="s">
        <v>158</v>
      </c>
      <c r="E75" s="119" t="s">
        <v>26</v>
      </c>
      <c r="F75" s="131">
        <f t="shared" si="0"/>
        <v>0</v>
      </c>
      <c r="G75" s="119">
        <f t="shared" si="1"/>
        <v>0</v>
      </c>
      <c r="H75" s="119">
        <f t="shared" ref="H75:I75" si="75">SUM(L75,Q75,V75,AA75,AF75,AK75,AP75,AU75,AZ75,BE75,BJ75,BO75,BT75,BY75,CD75)</f>
        <v>0</v>
      </c>
      <c r="I75" s="132">
        <f t="shared" si="75"/>
        <v>0</v>
      </c>
      <c r="J75" s="119">
        <v>0</v>
      </c>
      <c r="K75" s="119">
        <v>0</v>
      </c>
      <c r="L75" s="119">
        <v>0</v>
      </c>
      <c r="M75" s="119">
        <v>0</v>
      </c>
      <c r="N75" s="133">
        <v>0</v>
      </c>
      <c r="O75" s="119">
        <v>0</v>
      </c>
      <c r="P75" s="119">
        <v>0</v>
      </c>
      <c r="Q75" s="119">
        <v>0</v>
      </c>
      <c r="R75" s="119">
        <v>0</v>
      </c>
      <c r="S75" s="133" t="s">
        <v>365</v>
      </c>
      <c r="T75" s="119">
        <v>0</v>
      </c>
      <c r="U75" s="119">
        <v>0</v>
      </c>
      <c r="V75" s="119">
        <v>0</v>
      </c>
      <c r="W75" s="119">
        <v>0</v>
      </c>
      <c r="X75" s="133">
        <v>0</v>
      </c>
      <c r="Y75" s="119">
        <v>0</v>
      </c>
      <c r="Z75" s="119">
        <v>0</v>
      </c>
      <c r="AA75" s="119">
        <v>0</v>
      </c>
      <c r="AB75" s="119">
        <v>0</v>
      </c>
      <c r="AC75" s="133">
        <v>0</v>
      </c>
      <c r="AD75" s="119">
        <v>0</v>
      </c>
      <c r="AE75" s="119">
        <v>0</v>
      </c>
      <c r="AF75" s="119">
        <v>0</v>
      </c>
      <c r="AG75" s="119">
        <v>0</v>
      </c>
      <c r="AH75" s="133">
        <v>0</v>
      </c>
      <c r="AI75" s="119">
        <v>0</v>
      </c>
      <c r="AJ75" s="119"/>
      <c r="AK75" s="119"/>
      <c r="AL75" s="119"/>
      <c r="AM75" s="133"/>
      <c r="AN75" s="119"/>
      <c r="AO75" s="119"/>
      <c r="AP75" s="119"/>
      <c r="AQ75" s="119"/>
      <c r="AR75" s="133"/>
      <c r="AS75" s="119"/>
      <c r="AT75" s="119"/>
      <c r="AU75" s="119"/>
      <c r="AV75" s="119"/>
      <c r="AW75" s="133"/>
      <c r="AX75" s="119"/>
      <c r="AY75" s="119"/>
      <c r="AZ75" s="119"/>
      <c r="BA75" s="119"/>
      <c r="BB75" s="133"/>
      <c r="BC75" s="119"/>
      <c r="BD75" s="119"/>
      <c r="BE75" s="119"/>
      <c r="BF75" s="119"/>
      <c r="BG75" s="133"/>
      <c r="BH75" s="119"/>
      <c r="BI75" s="119"/>
      <c r="BJ75" s="119"/>
      <c r="BK75" s="119"/>
      <c r="BL75" s="133"/>
      <c r="BM75" s="119"/>
      <c r="BN75" s="119"/>
      <c r="BO75" s="119"/>
      <c r="BP75" s="119"/>
      <c r="BQ75" s="133"/>
      <c r="BR75" s="119"/>
      <c r="BS75" s="119"/>
      <c r="BT75" s="119"/>
      <c r="BU75" s="119"/>
      <c r="BV75" s="133"/>
      <c r="BW75" s="119"/>
      <c r="BX75" s="119"/>
      <c r="BY75" s="119"/>
      <c r="BZ75" s="119"/>
      <c r="CA75" s="133"/>
      <c r="CB75" s="119"/>
      <c r="CC75" s="119"/>
      <c r="CD75" s="119"/>
      <c r="CE75" s="119"/>
      <c r="CF75" s="133"/>
    </row>
    <row r="76" spans="1:84" ht="12.75">
      <c r="A76" s="119" t="s">
        <v>375</v>
      </c>
      <c r="B76" s="119" t="s">
        <v>376</v>
      </c>
      <c r="C76" s="119" t="s">
        <v>173</v>
      </c>
      <c r="D76" s="119" t="s">
        <v>158</v>
      </c>
      <c r="E76" s="119" t="s">
        <v>26</v>
      </c>
      <c r="F76" s="131">
        <f t="shared" si="0"/>
        <v>0</v>
      </c>
      <c r="G76" s="119">
        <f t="shared" si="1"/>
        <v>0</v>
      </c>
      <c r="H76" s="119">
        <f t="shared" ref="H76:I76" si="76">SUM(L76,Q76,V76,AA76,AF76,AK76,AP76,AU76,AZ76,BE76,BJ76,BO76,BT76,BY76,CD76)</f>
        <v>0</v>
      </c>
      <c r="I76" s="132">
        <f t="shared" si="76"/>
        <v>0</v>
      </c>
      <c r="J76" s="119">
        <v>0</v>
      </c>
      <c r="K76" s="119">
        <v>0</v>
      </c>
      <c r="L76" s="119">
        <v>0</v>
      </c>
      <c r="M76" s="119">
        <v>0</v>
      </c>
      <c r="N76" s="133">
        <v>0</v>
      </c>
      <c r="O76" s="119">
        <v>0</v>
      </c>
      <c r="P76" s="119">
        <v>0</v>
      </c>
      <c r="Q76" s="119">
        <v>0</v>
      </c>
      <c r="R76" s="119">
        <v>0</v>
      </c>
      <c r="S76" s="133" t="s">
        <v>365</v>
      </c>
      <c r="T76" s="119">
        <v>0</v>
      </c>
      <c r="U76" s="119">
        <v>0</v>
      </c>
      <c r="V76" s="119">
        <v>0</v>
      </c>
      <c r="W76" s="119">
        <v>0</v>
      </c>
      <c r="X76" s="133">
        <v>0</v>
      </c>
      <c r="Y76" s="119">
        <v>0</v>
      </c>
      <c r="Z76" s="119">
        <v>0</v>
      </c>
      <c r="AA76" s="119">
        <v>0</v>
      </c>
      <c r="AB76" s="119">
        <v>0</v>
      </c>
      <c r="AC76" s="133">
        <v>0</v>
      </c>
      <c r="AD76" s="119">
        <v>0</v>
      </c>
      <c r="AE76" s="119">
        <v>0</v>
      </c>
      <c r="AF76" s="119">
        <v>0</v>
      </c>
      <c r="AG76" s="119">
        <v>0</v>
      </c>
      <c r="AH76" s="133">
        <v>0</v>
      </c>
      <c r="AI76" s="119">
        <v>0</v>
      </c>
      <c r="AJ76" s="119"/>
      <c r="AK76" s="119"/>
      <c r="AL76" s="119"/>
      <c r="AM76" s="133"/>
      <c r="AN76" s="119"/>
      <c r="AO76" s="119"/>
      <c r="AP76" s="119"/>
      <c r="AQ76" s="119"/>
      <c r="AR76" s="133"/>
      <c r="AS76" s="119"/>
      <c r="AT76" s="119"/>
      <c r="AU76" s="119"/>
      <c r="AV76" s="119"/>
      <c r="AW76" s="133"/>
      <c r="AX76" s="119"/>
      <c r="AY76" s="119"/>
      <c r="AZ76" s="119"/>
      <c r="BA76" s="119"/>
      <c r="BB76" s="133"/>
      <c r="BC76" s="119"/>
      <c r="BD76" s="119"/>
      <c r="BE76" s="119"/>
      <c r="BF76" s="119"/>
      <c r="BG76" s="133"/>
      <c r="BH76" s="119"/>
      <c r="BI76" s="119"/>
      <c r="BJ76" s="119"/>
      <c r="BK76" s="119"/>
      <c r="BL76" s="133"/>
      <c r="BM76" s="119"/>
      <c r="BN76" s="119"/>
      <c r="BO76" s="119"/>
      <c r="BP76" s="119"/>
      <c r="BQ76" s="133"/>
      <c r="BR76" s="119"/>
      <c r="BS76" s="119"/>
      <c r="BT76" s="119"/>
      <c r="BU76" s="119"/>
      <c r="BV76" s="133"/>
      <c r="BW76" s="119"/>
      <c r="BX76" s="119"/>
      <c r="BY76" s="119"/>
      <c r="BZ76" s="119"/>
      <c r="CA76" s="133"/>
      <c r="CB76" s="119"/>
      <c r="CC76" s="119"/>
      <c r="CD76" s="119"/>
      <c r="CE76" s="119"/>
      <c r="CF76" s="133"/>
    </row>
    <row r="77" spans="1:84" ht="12.75">
      <c r="A77" s="119" t="s">
        <v>377</v>
      </c>
      <c r="B77" s="119" t="s">
        <v>378</v>
      </c>
      <c r="C77" s="119" t="s">
        <v>173</v>
      </c>
      <c r="D77" s="119" t="s">
        <v>158</v>
      </c>
      <c r="E77" s="119" t="s">
        <v>26</v>
      </c>
      <c r="F77" s="131">
        <f t="shared" si="0"/>
        <v>0</v>
      </c>
      <c r="G77" s="119">
        <f t="shared" si="1"/>
        <v>0</v>
      </c>
      <c r="H77" s="119">
        <f t="shared" ref="H77:I77" si="77">SUM(L77,Q77,V77,AA77,AF77,AK77,AP77,AU77,AZ77,BE77,BJ77,BO77,BT77,BY77,CD77)</f>
        <v>0</v>
      </c>
      <c r="I77" s="132">
        <f t="shared" si="77"/>
        <v>0</v>
      </c>
      <c r="J77" s="119">
        <v>0</v>
      </c>
      <c r="K77" s="119">
        <v>0</v>
      </c>
      <c r="L77" s="119">
        <v>0</v>
      </c>
      <c r="M77" s="119">
        <v>0</v>
      </c>
      <c r="N77" s="133">
        <v>0</v>
      </c>
      <c r="O77" s="119">
        <v>0</v>
      </c>
      <c r="P77" s="119">
        <v>0</v>
      </c>
      <c r="Q77" s="119">
        <v>0</v>
      </c>
      <c r="R77" s="119">
        <v>0</v>
      </c>
      <c r="S77" s="133">
        <v>0</v>
      </c>
      <c r="T77" s="119">
        <v>0</v>
      </c>
      <c r="U77" s="119">
        <v>0</v>
      </c>
      <c r="V77" s="119">
        <v>0</v>
      </c>
      <c r="W77" s="119">
        <v>0</v>
      </c>
      <c r="X77" s="133">
        <v>0</v>
      </c>
      <c r="Y77" s="119">
        <v>0</v>
      </c>
      <c r="Z77" s="119">
        <v>0</v>
      </c>
      <c r="AA77" s="119">
        <v>0</v>
      </c>
      <c r="AB77" s="119">
        <v>0</v>
      </c>
      <c r="AC77" s="133">
        <v>0</v>
      </c>
      <c r="AD77" s="119">
        <v>0</v>
      </c>
      <c r="AE77" s="119">
        <v>0</v>
      </c>
      <c r="AF77" s="119">
        <v>0</v>
      </c>
      <c r="AG77" s="119">
        <v>0</v>
      </c>
      <c r="AH77" s="133">
        <v>0</v>
      </c>
      <c r="AI77" s="119">
        <v>0</v>
      </c>
      <c r="AJ77" s="119"/>
      <c r="AK77" s="119"/>
      <c r="AL77" s="119"/>
      <c r="AM77" s="133"/>
      <c r="AN77" s="119"/>
      <c r="AO77" s="119"/>
      <c r="AP77" s="119"/>
      <c r="AQ77" s="119"/>
      <c r="AR77" s="133"/>
      <c r="AS77" s="119"/>
      <c r="AT77" s="119"/>
      <c r="AU77" s="119"/>
      <c r="AV77" s="119"/>
      <c r="AW77" s="133"/>
      <c r="AX77" s="119"/>
      <c r="AY77" s="119"/>
      <c r="AZ77" s="119"/>
      <c r="BA77" s="119"/>
      <c r="BB77" s="133"/>
      <c r="BC77" s="119"/>
      <c r="BD77" s="119"/>
      <c r="BE77" s="119"/>
      <c r="BF77" s="119"/>
      <c r="BG77" s="133"/>
      <c r="BH77" s="119"/>
      <c r="BI77" s="119"/>
      <c r="BJ77" s="119"/>
      <c r="BK77" s="119"/>
      <c r="BL77" s="133"/>
      <c r="BM77" s="119"/>
      <c r="BN77" s="119"/>
      <c r="BO77" s="119"/>
      <c r="BP77" s="119"/>
      <c r="BQ77" s="133"/>
      <c r="BR77" s="119"/>
      <c r="BS77" s="119"/>
      <c r="BT77" s="119"/>
      <c r="BU77" s="119"/>
      <c r="BV77" s="133"/>
      <c r="BW77" s="119"/>
      <c r="BX77" s="119"/>
      <c r="BY77" s="119"/>
      <c r="BZ77" s="119"/>
      <c r="CA77" s="133"/>
      <c r="CB77" s="119"/>
      <c r="CC77" s="119"/>
      <c r="CD77" s="119"/>
      <c r="CE77" s="119"/>
      <c r="CF77" s="133"/>
    </row>
    <row r="78" spans="1:84" ht="12.75">
      <c r="A78" s="119" t="s">
        <v>379</v>
      </c>
      <c r="B78" s="119" t="s">
        <v>380</v>
      </c>
      <c r="C78" s="119" t="s">
        <v>381</v>
      </c>
      <c r="D78" s="119" t="s">
        <v>152</v>
      </c>
      <c r="E78" s="119" t="s">
        <v>26</v>
      </c>
      <c r="F78" s="131">
        <f t="shared" si="0"/>
        <v>0</v>
      </c>
      <c r="G78" s="119">
        <f t="shared" si="1"/>
        <v>0</v>
      </c>
      <c r="H78" s="119">
        <f t="shared" ref="H78:I78" si="78">SUM(L78,Q78,V78,AA78,AF78,AK78,AP78,AU78,AZ78,BE78,BJ78,BO78,BT78,BY78,CD78)</f>
        <v>0</v>
      </c>
      <c r="I78" s="132">
        <f t="shared" si="78"/>
        <v>0</v>
      </c>
      <c r="J78" s="119">
        <v>0</v>
      </c>
      <c r="K78" s="119">
        <v>0</v>
      </c>
      <c r="L78" s="119">
        <v>0</v>
      </c>
      <c r="M78" s="119">
        <v>0</v>
      </c>
      <c r="N78" s="133">
        <v>0</v>
      </c>
      <c r="O78" s="119">
        <v>0</v>
      </c>
      <c r="P78" s="119">
        <v>0</v>
      </c>
      <c r="Q78" s="119">
        <v>0</v>
      </c>
      <c r="R78" s="119">
        <v>0</v>
      </c>
      <c r="S78" s="133" t="s">
        <v>365</v>
      </c>
      <c r="T78" s="119">
        <v>0</v>
      </c>
      <c r="U78" s="119">
        <v>0</v>
      </c>
      <c r="V78" s="119">
        <v>0</v>
      </c>
      <c r="W78" s="119">
        <v>0</v>
      </c>
      <c r="X78" s="133">
        <v>0</v>
      </c>
      <c r="Y78" s="119">
        <v>0</v>
      </c>
      <c r="Z78" s="119">
        <v>0</v>
      </c>
      <c r="AA78" s="119">
        <v>0</v>
      </c>
      <c r="AB78" s="119">
        <v>0</v>
      </c>
      <c r="AC78" s="133">
        <v>0</v>
      </c>
      <c r="AD78" s="119">
        <v>0</v>
      </c>
      <c r="AE78" s="119">
        <v>0</v>
      </c>
      <c r="AF78" s="119">
        <v>0</v>
      </c>
      <c r="AG78" s="119">
        <v>0</v>
      </c>
      <c r="AH78" s="133">
        <v>0</v>
      </c>
      <c r="AI78" s="119"/>
      <c r="AJ78" s="119"/>
      <c r="AK78" s="119"/>
      <c r="AL78" s="119"/>
      <c r="AM78" s="133"/>
      <c r="AN78" s="119"/>
      <c r="AO78" s="119"/>
      <c r="AP78" s="119"/>
      <c r="AQ78" s="119"/>
      <c r="AR78" s="133"/>
      <c r="AS78" s="119"/>
      <c r="AT78" s="119"/>
      <c r="AU78" s="119"/>
      <c r="AV78" s="119"/>
      <c r="AW78" s="133"/>
      <c r="AX78" s="119"/>
      <c r="AY78" s="119"/>
      <c r="AZ78" s="119"/>
      <c r="BA78" s="119"/>
      <c r="BB78" s="133"/>
      <c r="BC78" s="119"/>
      <c r="BD78" s="119"/>
      <c r="BE78" s="119"/>
      <c r="BF78" s="119"/>
      <c r="BG78" s="133"/>
      <c r="BH78" s="119"/>
      <c r="BI78" s="119"/>
      <c r="BJ78" s="119"/>
      <c r="BK78" s="119"/>
      <c r="BL78" s="133"/>
      <c r="BM78" s="119"/>
      <c r="BN78" s="119"/>
      <c r="BO78" s="119"/>
      <c r="BP78" s="119"/>
      <c r="BQ78" s="133"/>
      <c r="BR78" s="119"/>
      <c r="BS78" s="119"/>
      <c r="BT78" s="119"/>
      <c r="BU78" s="119"/>
      <c r="BV78" s="133"/>
      <c r="BW78" s="119"/>
      <c r="BX78" s="119"/>
      <c r="BY78" s="119"/>
      <c r="BZ78" s="119"/>
      <c r="CA78" s="133"/>
      <c r="CB78" s="119"/>
      <c r="CC78" s="119"/>
      <c r="CD78" s="119"/>
      <c r="CE78" s="119"/>
      <c r="CF78" s="133"/>
    </row>
    <row r="79" spans="1:84" ht="12.75">
      <c r="A79" s="119" t="s">
        <v>382</v>
      </c>
      <c r="B79" s="119" t="s">
        <v>383</v>
      </c>
      <c r="C79" s="119" t="s">
        <v>384</v>
      </c>
      <c r="D79" s="119" t="s">
        <v>152</v>
      </c>
      <c r="E79" s="119" t="s">
        <v>34</v>
      </c>
      <c r="F79" s="131">
        <f t="shared" si="0"/>
        <v>0</v>
      </c>
      <c r="G79" s="119">
        <f t="shared" si="1"/>
        <v>2</v>
      </c>
      <c r="H79" s="119">
        <f t="shared" ref="H79:I79" si="79">SUM(L79,Q79,V79,AA79,AF79,AK79,AP79,AU79,AZ79,BE79,BJ79,BO79,BT79,BY79,CD79)</f>
        <v>566</v>
      </c>
      <c r="I79" s="132">
        <f t="shared" si="79"/>
        <v>0</v>
      </c>
      <c r="J79" s="119">
        <v>0</v>
      </c>
      <c r="K79" s="119">
        <v>0</v>
      </c>
      <c r="L79" s="119">
        <v>0</v>
      </c>
      <c r="M79" s="119">
        <v>0</v>
      </c>
      <c r="N79" s="133">
        <v>0</v>
      </c>
      <c r="O79" s="119">
        <v>0.5</v>
      </c>
      <c r="P79" s="119" t="s">
        <v>218</v>
      </c>
      <c r="Q79" s="119">
        <v>150</v>
      </c>
      <c r="R79" s="119">
        <v>0</v>
      </c>
      <c r="S79" s="133">
        <v>0</v>
      </c>
      <c r="T79" s="119">
        <v>0</v>
      </c>
      <c r="U79" s="119">
        <v>0</v>
      </c>
      <c r="V79" s="119">
        <v>0</v>
      </c>
      <c r="W79" s="119">
        <v>0</v>
      </c>
      <c r="X79" s="133">
        <v>0</v>
      </c>
      <c r="Y79" s="119">
        <v>0.5</v>
      </c>
      <c r="Z79" s="119" t="s">
        <v>218</v>
      </c>
      <c r="AA79" s="119">
        <v>150</v>
      </c>
      <c r="AB79" s="119">
        <v>0</v>
      </c>
      <c r="AC79" s="133">
        <v>0</v>
      </c>
      <c r="AD79" s="119">
        <v>0</v>
      </c>
      <c r="AE79" s="119">
        <v>0</v>
      </c>
      <c r="AF79" s="119">
        <v>0</v>
      </c>
      <c r="AG79" s="119">
        <v>0</v>
      </c>
      <c r="AH79" s="133">
        <v>0</v>
      </c>
      <c r="AI79" s="119">
        <v>1</v>
      </c>
      <c r="AJ79" s="119" t="s">
        <v>385</v>
      </c>
      <c r="AK79" s="119">
        <v>266</v>
      </c>
      <c r="AL79" s="119">
        <v>0</v>
      </c>
      <c r="AM79" s="133">
        <v>0</v>
      </c>
      <c r="AN79" s="119">
        <v>0</v>
      </c>
      <c r="AO79" s="119">
        <v>0</v>
      </c>
      <c r="AP79" s="119">
        <v>0</v>
      </c>
      <c r="AQ79" s="119">
        <v>0</v>
      </c>
      <c r="AR79" s="133">
        <v>0</v>
      </c>
      <c r="AS79" s="119"/>
      <c r="AT79" s="119"/>
      <c r="AU79" s="119"/>
      <c r="AV79" s="119"/>
      <c r="AW79" s="133"/>
      <c r="AX79" s="119"/>
      <c r="AY79" s="119"/>
      <c r="AZ79" s="119"/>
      <c r="BA79" s="119"/>
      <c r="BB79" s="133"/>
      <c r="BC79" s="119"/>
      <c r="BD79" s="119"/>
      <c r="BE79" s="119"/>
      <c r="BF79" s="119"/>
      <c r="BG79" s="133"/>
      <c r="BH79" s="119"/>
      <c r="BI79" s="119"/>
      <c r="BJ79" s="119"/>
      <c r="BK79" s="119"/>
      <c r="BL79" s="133"/>
      <c r="BM79" s="119"/>
      <c r="BN79" s="119"/>
      <c r="BO79" s="119"/>
      <c r="BP79" s="119"/>
      <c r="BQ79" s="133"/>
      <c r="BR79" s="119"/>
      <c r="BS79" s="119"/>
      <c r="BT79" s="119"/>
      <c r="BU79" s="119"/>
      <c r="BV79" s="133"/>
      <c r="BW79" s="119"/>
      <c r="BX79" s="119"/>
      <c r="BY79" s="119"/>
      <c r="BZ79" s="119"/>
      <c r="CA79" s="133"/>
      <c r="CB79" s="119"/>
      <c r="CC79" s="119"/>
      <c r="CD79" s="119"/>
      <c r="CE79" s="119"/>
      <c r="CF79" s="133"/>
    </row>
    <row r="80" spans="1:84" ht="12.75">
      <c r="A80" s="119" t="s">
        <v>386</v>
      </c>
      <c r="B80" s="119" t="s">
        <v>387</v>
      </c>
      <c r="C80" s="119" t="s">
        <v>388</v>
      </c>
      <c r="D80" s="119" t="s">
        <v>158</v>
      </c>
      <c r="E80" s="119" t="s">
        <v>34</v>
      </c>
      <c r="F80" s="131">
        <f t="shared" si="0"/>
        <v>3</v>
      </c>
      <c r="G80" s="119">
        <f t="shared" si="1"/>
        <v>2</v>
      </c>
      <c r="H80" s="119">
        <f t="shared" ref="H80:I80" si="80">SUM(L80,Q80,V80,AA80,AF80,AK80,AP80,AU80,AZ80,BE80,BJ80,BO80,BT80,BY80,CD80)</f>
        <v>1340</v>
      </c>
      <c r="I80" s="132">
        <f t="shared" si="80"/>
        <v>0</v>
      </c>
      <c r="J80" s="119">
        <v>0</v>
      </c>
      <c r="K80" s="119">
        <v>0</v>
      </c>
      <c r="L80" s="119">
        <v>0</v>
      </c>
      <c r="M80" s="119">
        <v>0</v>
      </c>
      <c r="N80" s="133">
        <v>0</v>
      </c>
      <c r="O80" s="119">
        <v>0</v>
      </c>
      <c r="P80" s="119">
        <v>0</v>
      </c>
      <c r="Q80" s="119">
        <v>0</v>
      </c>
      <c r="R80" s="119">
        <v>0</v>
      </c>
      <c r="S80" s="133">
        <v>0</v>
      </c>
      <c r="T80" s="119">
        <v>0</v>
      </c>
      <c r="U80" s="119">
        <v>0</v>
      </c>
      <c r="V80" s="119">
        <v>0</v>
      </c>
      <c r="W80" s="119">
        <v>0</v>
      </c>
      <c r="X80" s="133">
        <v>0</v>
      </c>
      <c r="Y80" s="119">
        <v>0</v>
      </c>
      <c r="Z80" s="119">
        <v>0</v>
      </c>
      <c r="AA80" s="119">
        <v>0</v>
      </c>
      <c r="AB80" s="119">
        <v>0</v>
      </c>
      <c r="AC80" s="133">
        <v>0</v>
      </c>
      <c r="AD80" s="119">
        <v>0</v>
      </c>
      <c r="AE80" s="119">
        <v>0</v>
      </c>
      <c r="AF80" s="119">
        <v>0</v>
      </c>
      <c r="AG80" s="119">
        <v>0</v>
      </c>
      <c r="AH80" s="133">
        <v>0</v>
      </c>
      <c r="AI80" s="119">
        <v>1</v>
      </c>
      <c r="AJ80" s="119" t="s">
        <v>385</v>
      </c>
      <c r="AK80" s="119">
        <v>540</v>
      </c>
      <c r="AL80" s="119">
        <v>0</v>
      </c>
      <c r="AM80" s="133">
        <v>0</v>
      </c>
      <c r="AN80" s="119">
        <v>1</v>
      </c>
      <c r="AO80" s="119" t="s">
        <v>385</v>
      </c>
      <c r="AP80" s="119">
        <v>800</v>
      </c>
      <c r="AQ80" s="119">
        <v>0</v>
      </c>
      <c r="AR80" s="133">
        <v>3</v>
      </c>
      <c r="AS80" s="119"/>
      <c r="AT80" s="119"/>
      <c r="AU80" s="119"/>
      <c r="AV80" s="119"/>
      <c r="AW80" s="133"/>
      <c r="AX80" s="119"/>
      <c r="AY80" s="119"/>
      <c r="AZ80" s="119"/>
      <c r="BA80" s="119"/>
      <c r="BB80" s="133"/>
      <c r="BC80" s="119"/>
      <c r="BD80" s="119"/>
      <c r="BE80" s="119"/>
      <c r="BF80" s="119"/>
      <c r="BG80" s="133"/>
      <c r="BH80" s="119"/>
      <c r="BI80" s="119"/>
      <c r="BJ80" s="119"/>
      <c r="BK80" s="119"/>
      <c r="BL80" s="133"/>
      <c r="BM80" s="119"/>
      <c r="BN80" s="119"/>
      <c r="BO80" s="119"/>
      <c r="BP80" s="119"/>
      <c r="BQ80" s="133"/>
      <c r="BR80" s="119"/>
      <c r="BS80" s="119"/>
      <c r="BT80" s="119"/>
      <c r="BU80" s="119"/>
      <c r="BV80" s="133"/>
      <c r="BW80" s="119"/>
      <c r="BX80" s="119"/>
      <c r="BY80" s="119"/>
      <c r="BZ80" s="119"/>
      <c r="CA80" s="133"/>
      <c r="CB80" s="119"/>
      <c r="CC80" s="119"/>
      <c r="CD80" s="119"/>
      <c r="CE80" s="119"/>
      <c r="CF80" s="133"/>
    </row>
    <row r="81" spans="1:84" ht="12.75">
      <c r="A81" s="119" t="s">
        <v>389</v>
      </c>
      <c r="B81" s="119" t="s">
        <v>296</v>
      </c>
      <c r="C81" s="119" t="s">
        <v>388</v>
      </c>
      <c r="D81" s="119" t="s">
        <v>158</v>
      </c>
      <c r="E81" s="119" t="s">
        <v>34</v>
      </c>
      <c r="F81" s="131">
        <f t="shared" si="0"/>
        <v>0</v>
      </c>
      <c r="G81" s="119">
        <f t="shared" si="1"/>
        <v>0</v>
      </c>
      <c r="H81" s="119">
        <f t="shared" ref="H81:I81" si="81">SUM(L81,Q81,V81,AA81,AF81,AK81,AP81,AU81,AZ81,BE81,BJ81,BO81,BT81,BY81,CD81)</f>
        <v>0</v>
      </c>
      <c r="I81" s="132">
        <f t="shared" si="81"/>
        <v>0</v>
      </c>
      <c r="J81" s="119">
        <v>0</v>
      </c>
      <c r="K81" s="119">
        <v>0</v>
      </c>
      <c r="L81" s="119">
        <v>0</v>
      </c>
      <c r="M81" s="119">
        <v>0</v>
      </c>
      <c r="N81" s="133">
        <v>0</v>
      </c>
      <c r="O81" s="119">
        <v>0</v>
      </c>
      <c r="P81" s="119">
        <v>0</v>
      </c>
      <c r="Q81" s="119">
        <v>0</v>
      </c>
      <c r="R81" s="119">
        <v>0</v>
      </c>
      <c r="S81" s="133">
        <v>0</v>
      </c>
      <c r="T81" s="119">
        <v>0</v>
      </c>
      <c r="U81" s="119">
        <v>0</v>
      </c>
      <c r="V81" s="119">
        <v>0</v>
      </c>
      <c r="W81" s="119">
        <v>0</v>
      </c>
      <c r="X81" s="133">
        <v>0</v>
      </c>
      <c r="Y81" s="119">
        <v>0</v>
      </c>
      <c r="Z81" s="119">
        <v>0</v>
      </c>
      <c r="AA81" s="119">
        <v>0</v>
      </c>
      <c r="AB81" s="119">
        <v>0</v>
      </c>
      <c r="AC81" s="133">
        <v>0</v>
      </c>
      <c r="AD81" s="119">
        <v>0</v>
      </c>
      <c r="AE81" s="119">
        <v>0</v>
      </c>
      <c r="AF81" s="119">
        <v>0</v>
      </c>
      <c r="AG81" s="119">
        <v>0</v>
      </c>
      <c r="AH81" s="133">
        <v>0</v>
      </c>
      <c r="AI81" s="119">
        <v>0</v>
      </c>
      <c r="AJ81" s="119">
        <v>0</v>
      </c>
      <c r="AK81" s="119">
        <v>0</v>
      </c>
      <c r="AL81" s="119">
        <v>0</v>
      </c>
      <c r="AM81" s="133">
        <v>0</v>
      </c>
      <c r="AN81" s="119">
        <v>0</v>
      </c>
      <c r="AO81" s="119">
        <v>0</v>
      </c>
      <c r="AP81" s="119">
        <v>0</v>
      </c>
      <c r="AQ81" s="119">
        <v>0</v>
      </c>
      <c r="AR81" s="133">
        <v>0</v>
      </c>
      <c r="AS81" s="119"/>
      <c r="AT81" s="119"/>
      <c r="AU81" s="119"/>
      <c r="AV81" s="119"/>
      <c r="AW81" s="133"/>
      <c r="AX81" s="119"/>
      <c r="AY81" s="119"/>
      <c r="AZ81" s="119"/>
      <c r="BA81" s="119"/>
      <c r="BB81" s="133"/>
      <c r="BC81" s="119"/>
      <c r="BD81" s="119"/>
      <c r="BE81" s="119"/>
      <c r="BF81" s="119"/>
      <c r="BG81" s="133"/>
      <c r="BH81" s="119"/>
      <c r="BI81" s="119"/>
      <c r="BJ81" s="119"/>
      <c r="BK81" s="119"/>
      <c r="BL81" s="133"/>
      <c r="BM81" s="119"/>
      <c r="BN81" s="119"/>
      <c r="BO81" s="119"/>
      <c r="BP81" s="119"/>
      <c r="BQ81" s="133"/>
      <c r="BR81" s="119"/>
      <c r="BS81" s="119"/>
      <c r="BT81" s="119"/>
      <c r="BU81" s="119"/>
      <c r="BV81" s="133"/>
      <c r="BW81" s="119"/>
      <c r="BX81" s="119"/>
      <c r="BY81" s="119"/>
      <c r="BZ81" s="119"/>
      <c r="CA81" s="133"/>
      <c r="CB81" s="119"/>
      <c r="CC81" s="119"/>
      <c r="CD81" s="119"/>
      <c r="CE81" s="119"/>
      <c r="CF81" s="133"/>
    </row>
    <row r="82" spans="1:84" ht="12.75">
      <c r="A82" s="119" t="s">
        <v>390</v>
      </c>
      <c r="B82" s="119" t="s">
        <v>378</v>
      </c>
      <c r="C82" s="119" t="s">
        <v>391</v>
      </c>
      <c r="D82" s="119" t="s">
        <v>158</v>
      </c>
      <c r="E82" s="119" t="s">
        <v>34</v>
      </c>
      <c r="F82" s="131">
        <f t="shared" si="0"/>
        <v>0</v>
      </c>
      <c r="G82" s="119">
        <f t="shared" si="1"/>
        <v>0</v>
      </c>
      <c r="H82" s="119">
        <f t="shared" ref="H82:I82" si="82">SUM(L82,Q82,V82,AA82,AF82,AK82,AP82,AU82,AZ82,BE82,BJ82,BO82,BT82,BY82,CD82)</f>
        <v>0</v>
      </c>
      <c r="I82" s="132">
        <f t="shared" si="82"/>
        <v>0</v>
      </c>
      <c r="J82" s="119">
        <v>0</v>
      </c>
      <c r="K82" s="119">
        <v>0</v>
      </c>
      <c r="L82" s="119">
        <v>0</v>
      </c>
      <c r="M82" s="119">
        <v>0</v>
      </c>
      <c r="N82" s="133">
        <v>0</v>
      </c>
      <c r="O82" s="119">
        <v>0</v>
      </c>
      <c r="P82" s="119">
        <v>0</v>
      </c>
      <c r="Q82" s="119">
        <v>0</v>
      </c>
      <c r="R82" s="119">
        <v>0</v>
      </c>
      <c r="S82" s="133">
        <v>0</v>
      </c>
      <c r="T82" s="119">
        <v>0</v>
      </c>
      <c r="U82" s="119">
        <v>0</v>
      </c>
      <c r="V82" s="119">
        <v>0</v>
      </c>
      <c r="W82" s="119">
        <v>0</v>
      </c>
      <c r="X82" s="133">
        <v>0</v>
      </c>
      <c r="Y82" s="119">
        <v>0</v>
      </c>
      <c r="Z82" s="119">
        <v>0</v>
      </c>
      <c r="AA82" s="119">
        <v>0</v>
      </c>
      <c r="AB82" s="119">
        <v>0</v>
      </c>
      <c r="AC82" s="133">
        <v>0</v>
      </c>
      <c r="AD82" s="119">
        <v>0</v>
      </c>
      <c r="AE82" s="119">
        <v>0</v>
      </c>
      <c r="AF82" s="119">
        <v>0</v>
      </c>
      <c r="AG82" s="119">
        <v>0</v>
      </c>
      <c r="AH82" s="133">
        <v>0</v>
      </c>
      <c r="AI82" s="119">
        <v>0</v>
      </c>
      <c r="AJ82" s="119">
        <v>0</v>
      </c>
      <c r="AK82" s="119">
        <v>0</v>
      </c>
      <c r="AL82" s="119">
        <v>0</v>
      </c>
      <c r="AM82" s="133">
        <v>0</v>
      </c>
      <c r="AN82" s="119">
        <v>0</v>
      </c>
      <c r="AO82" s="119">
        <v>0</v>
      </c>
      <c r="AP82" s="119">
        <v>0</v>
      </c>
      <c r="AQ82" s="119">
        <v>0</v>
      </c>
      <c r="AR82" s="133">
        <v>0</v>
      </c>
      <c r="AS82" s="119"/>
      <c r="AT82" s="119"/>
      <c r="AU82" s="119"/>
      <c r="AV82" s="119"/>
      <c r="AW82" s="133"/>
      <c r="AX82" s="119"/>
      <c r="AY82" s="119"/>
      <c r="AZ82" s="119"/>
      <c r="BA82" s="119"/>
      <c r="BB82" s="133"/>
      <c r="BC82" s="119"/>
      <c r="BD82" s="119"/>
      <c r="BE82" s="119"/>
      <c r="BF82" s="119"/>
      <c r="BG82" s="133"/>
      <c r="BH82" s="119"/>
      <c r="BI82" s="119"/>
      <c r="BJ82" s="119"/>
      <c r="BK82" s="119"/>
      <c r="BL82" s="133"/>
      <c r="BM82" s="119"/>
      <c r="BN82" s="119"/>
      <c r="BO82" s="119"/>
      <c r="BP82" s="119"/>
      <c r="BQ82" s="133"/>
      <c r="BR82" s="119"/>
      <c r="BS82" s="119"/>
      <c r="BT82" s="119"/>
      <c r="BU82" s="119"/>
      <c r="BV82" s="133"/>
      <c r="BW82" s="119"/>
      <c r="BX82" s="119"/>
      <c r="BY82" s="119"/>
      <c r="BZ82" s="119"/>
      <c r="CA82" s="133"/>
      <c r="CB82" s="119"/>
      <c r="CC82" s="119"/>
      <c r="CD82" s="119"/>
      <c r="CE82" s="119"/>
      <c r="CF82" s="133"/>
    </row>
    <row r="83" spans="1:84" ht="12.75">
      <c r="A83" s="119" t="s">
        <v>392</v>
      </c>
      <c r="B83" s="119" t="s">
        <v>249</v>
      </c>
      <c r="C83" s="119" t="s">
        <v>393</v>
      </c>
      <c r="D83" s="119" t="s">
        <v>158</v>
      </c>
      <c r="E83" s="119" t="s">
        <v>34</v>
      </c>
      <c r="F83" s="131">
        <f t="shared" si="0"/>
        <v>0</v>
      </c>
      <c r="G83" s="119">
        <f t="shared" si="1"/>
        <v>0</v>
      </c>
      <c r="H83" s="119">
        <f t="shared" ref="H83:I83" si="83">SUM(L83,Q83,V83,AA83,AF83,AK83,AP83,AU83,AZ83,BE83,BJ83,BO83,BT83,BY83,CD83)</f>
        <v>0</v>
      </c>
      <c r="I83" s="132">
        <f t="shared" si="83"/>
        <v>0</v>
      </c>
      <c r="J83" s="119">
        <v>0</v>
      </c>
      <c r="K83" s="119">
        <v>0</v>
      </c>
      <c r="L83" s="119">
        <v>0</v>
      </c>
      <c r="M83" s="119">
        <v>0</v>
      </c>
      <c r="N83" s="133">
        <v>0</v>
      </c>
      <c r="O83" s="119">
        <v>0</v>
      </c>
      <c r="P83" s="119">
        <v>0</v>
      </c>
      <c r="Q83" s="119">
        <v>0</v>
      </c>
      <c r="R83" s="119">
        <v>0</v>
      </c>
      <c r="S83" s="133">
        <v>0</v>
      </c>
      <c r="T83" s="119">
        <v>0</v>
      </c>
      <c r="U83" s="119">
        <v>0</v>
      </c>
      <c r="V83" s="119">
        <v>0</v>
      </c>
      <c r="W83" s="119">
        <v>0</v>
      </c>
      <c r="X83" s="133">
        <v>0</v>
      </c>
      <c r="Y83" s="119">
        <v>0</v>
      </c>
      <c r="Z83" s="119">
        <v>0</v>
      </c>
      <c r="AA83" s="119">
        <v>0</v>
      </c>
      <c r="AB83" s="119">
        <v>0</v>
      </c>
      <c r="AC83" s="133">
        <v>0</v>
      </c>
      <c r="AD83" s="119">
        <v>0</v>
      </c>
      <c r="AE83" s="119">
        <v>0</v>
      </c>
      <c r="AF83" s="119">
        <v>0</v>
      </c>
      <c r="AG83" s="119">
        <v>0</v>
      </c>
      <c r="AH83" s="133">
        <v>0</v>
      </c>
      <c r="AI83" s="119">
        <v>0</v>
      </c>
      <c r="AJ83" s="119">
        <v>0</v>
      </c>
      <c r="AK83" s="119">
        <v>0</v>
      </c>
      <c r="AL83" s="119">
        <v>0</v>
      </c>
      <c r="AM83" s="133">
        <v>0</v>
      </c>
      <c r="AN83" s="119">
        <v>0</v>
      </c>
      <c r="AO83" s="119">
        <v>0</v>
      </c>
      <c r="AP83" s="119">
        <v>0</v>
      </c>
      <c r="AQ83" s="119">
        <v>0</v>
      </c>
      <c r="AR83" s="133">
        <v>0</v>
      </c>
      <c r="AS83" s="119"/>
      <c r="AT83" s="119"/>
      <c r="AU83" s="119"/>
      <c r="AV83" s="119"/>
      <c r="AW83" s="133"/>
      <c r="AX83" s="119"/>
      <c r="AY83" s="119"/>
      <c r="AZ83" s="119"/>
      <c r="BA83" s="119"/>
      <c r="BB83" s="133"/>
      <c r="BC83" s="119"/>
      <c r="BD83" s="119"/>
      <c r="BE83" s="119"/>
      <c r="BF83" s="119"/>
      <c r="BG83" s="133"/>
      <c r="BH83" s="119"/>
      <c r="BI83" s="119"/>
      <c r="BJ83" s="119"/>
      <c r="BK83" s="119"/>
      <c r="BL83" s="133"/>
      <c r="BM83" s="119"/>
      <c r="BN83" s="119"/>
      <c r="BO83" s="119"/>
      <c r="BP83" s="119"/>
      <c r="BQ83" s="133"/>
      <c r="BR83" s="119"/>
      <c r="BS83" s="119"/>
      <c r="BT83" s="119"/>
      <c r="BU83" s="119"/>
      <c r="BV83" s="133"/>
      <c r="BW83" s="119"/>
      <c r="BX83" s="119"/>
      <c r="BY83" s="119"/>
      <c r="BZ83" s="119"/>
      <c r="CA83" s="133"/>
      <c r="CB83" s="119"/>
      <c r="CC83" s="119"/>
      <c r="CD83" s="119"/>
      <c r="CE83" s="119"/>
      <c r="CF83" s="133"/>
    </row>
    <row r="84" spans="1:84" ht="12.75">
      <c r="A84" s="119" t="s">
        <v>394</v>
      </c>
      <c r="B84" s="119" t="s">
        <v>395</v>
      </c>
      <c r="C84" s="119" t="s">
        <v>396</v>
      </c>
      <c r="D84" s="119" t="s">
        <v>158</v>
      </c>
      <c r="E84" s="119" t="s">
        <v>34</v>
      </c>
      <c r="F84" s="131">
        <f t="shared" si="0"/>
        <v>0</v>
      </c>
      <c r="G84" s="119">
        <f t="shared" si="1"/>
        <v>0</v>
      </c>
      <c r="H84" s="119">
        <f t="shared" ref="H84:I84" si="84">SUM(L84,Q84,V84,AA84,AF84,AK84,AP84,AU84,AZ84,BE84,BJ84,BO84,BT84,BY84,CD84)</f>
        <v>0</v>
      </c>
      <c r="I84" s="132">
        <f t="shared" si="84"/>
        <v>0</v>
      </c>
      <c r="J84" s="119">
        <v>0</v>
      </c>
      <c r="K84" s="119">
        <v>0</v>
      </c>
      <c r="L84" s="119">
        <v>0</v>
      </c>
      <c r="M84" s="119">
        <v>0</v>
      </c>
      <c r="N84" s="133">
        <v>0</v>
      </c>
      <c r="O84" s="119">
        <v>0</v>
      </c>
      <c r="P84" s="119">
        <v>0</v>
      </c>
      <c r="Q84" s="119">
        <v>0</v>
      </c>
      <c r="R84" s="119">
        <v>0</v>
      </c>
      <c r="S84" s="133">
        <v>0</v>
      </c>
      <c r="T84" s="119">
        <v>0</v>
      </c>
      <c r="U84" s="119">
        <v>0</v>
      </c>
      <c r="V84" s="119">
        <v>0</v>
      </c>
      <c r="W84" s="119">
        <v>0</v>
      </c>
      <c r="X84" s="133">
        <v>0</v>
      </c>
      <c r="Y84" s="119">
        <v>0</v>
      </c>
      <c r="Z84" s="119">
        <v>0</v>
      </c>
      <c r="AA84" s="119">
        <v>0</v>
      </c>
      <c r="AB84" s="119">
        <v>0</v>
      </c>
      <c r="AC84" s="133">
        <v>0</v>
      </c>
      <c r="AD84" s="119">
        <v>0</v>
      </c>
      <c r="AE84" s="119">
        <v>0</v>
      </c>
      <c r="AF84" s="119">
        <v>0</v>
      </c>
      <c r="AG84" s="119">
        <v>0</v>
      </c>
      <c r="AH84" s="133">
        <v>0</v>
      </c>
      <c r="AI84" s="119">
        <v>0</v>
      </c>
      <c r="AJ84" s="119">
        <v>0</v>
      </c>
      <c r="AK84" s="119">
        <v>0</v>
      </c>
      <c r="AL84" s="119">
        <v>0</v>
      </c>
      <c r="AM84" s="133">
        <v>0</v>
      </c>
      <c r="AN84" s="119">
        <v>0</v>
      </c>
      <c r="AO84" s="119">
        <v>0</v>
      </c>
      <c r="AP84" s="119">
        <v>0</v>
      </c>
      <c r="AQ84" s="119">
        <v>0</v>
      </c>
      <c r="AR84" s="133">
        <v>0</v>
      </c>
      <c r="AS84" s="119"/>
      <c r="AT84" s="119"/>
      <c r="AU84" s="119"/>
      <c r="AV84" s="119"/>
      <c r="AW84" s="133"/>
      <c r="AX84" s="119"/>
      <c r="AY84" s="119"/>
      <c r="AZ84" s="119"/>
      <c r="BA84" s="119"/>
      <c r="BB84" s="133"/>
      <c r="BC84" s="119"/>
      <c r="BD84" s="119"/>
      <c r="BE84" s="119"/>
      <c r="BF84" s="119"/>
      <c r="BG84" s="133"/>
      <c r="BH84" s="119"/>
      <c r="BI84" s="119"/>
      <c r="BJ84" s="119"/>
      <c r="BK84" s="119"/>
      <c r="BL84" s="133"/>
      <c r="BM84" s="119"/>
      <c r="BN84" s="119"/>
      <c r="BO84" s="119"/>
      <c r="BP84" s="119"/>
      <c r="BQ84" s="133"/>
      <c r="BR84" s="119"/>
      <c r="BS84" s="119"/>
      <c r="BT84" s="119"/>
      <c r="BU84" s="119"/>
      <c r="BV84" s="133"/>
      <c r="BW84" s="119"/>
      <c r="BX84" s="119"/>
      <c r="BY84" s="119"/>
      <c r="BZ84" s="119"/>
      <c r="CA84" s="133"/>
      <c r="CB84" s="119"/>
      <c r="CC84" s="119"/>
      <c r="CD84" s="119"/>
      <c r="CE84" s="119"/>
      <c r="CF84" s="133"/>
    </row>
    <row r="85" spans="1:84" ht="12.75">
      <c r="A85" s="119" t="s">
        <v>397</v>
      </c>
      <c r="B85" s="119" t="s">
        <v>398</v>
      </c>
      <c r="C85" s="119" t="s">
        <v>399</v>
      </c>
      <c r="D85" s="119" t="s">
        <v>152</v>
      </c>
      <c r="E85" s="119" t="s">
        <v>34</v>
      </c>
      <c r="F85" s="131">
        <f t="shared" si="0"/>
        <v>0</v>
      </c>
      <c r="G85" s="119">
        <f t="shared" si="1"/>
        <v>0.5</v>
      </c>
      <c r="H85" s="119">
        <f t="shared" ref="H85:I85" si="85">SUM(L85,Q85,V85,AA85,AF85,AK85,AP85,AU85,AZ85,BE85,BJ85,BO85,BT85,BY85,CD85)</f>
        <v>200</v>
      </c>
      <c r="I85" s="132">
        <f t="shared" si="85"/>
        <v>0</v>
      </c>
      <c r="J85" s="119">
        <v>0</v>
      </c>
      <c r="K85" s="119">
        <v>0</v>
      </c>
      <c r="L85" s="119">
        <v>0</v>
      </c>
      <c r="M85" s="119">
        <v>0</v>
      </c>
      <c r="N85" s="133">
        <v>0</v>
      </c>
      <c r="O85" s="119">
        <v>0</v>
      </c>
      <c r="P85" s="119">
        <v>0</v>
      </c>
      <c r="Q85" s="119">
        <v>0</v>
      </c>
      <c r="R85" s="119">
        <v>0</v>
      </c>
      <c r="S85" s="133">
        <v>0</v>
      </c>
      <c r="T85" s="119">
        <v>0</v>
      </c>
      <c r="U85" s="119">
        <v>0</v>
      </c>
      <c r="V85" s="119">
        <v>0</v>
      </c>
      <c r="W85" s="119">
        <v>0</v>
      </c>
      <c r="X85" s="133">
        <v>0</v>
      </c>
      <c r="Y85" s="119">
        <v>0</v>
      </c>
      <c r="Z85" s="119">
        <v>0</v>
      </c>
      <c r="AA85" s="119">
        <v>0</v>
      </c>
      <c r="AB85" s="119">
        <v>0</v>
      </c>
      <c r="AC85" s="133">
        <v>0</v>
      </c>
      <c r="AD85" s="119">
        <v>0.5</v>
      </c>
      <c r="AE85" s="119" t="s">
        <v>218</v>
      </c>
      <c r="AF85" s="119">
        <v>200</v>
      </c>
      <c r="AG85" s="119">
        <v>0</v>
      </c>
      <c r="AH85" s="133">
        <v>0</v>
      </c>
      <c r="AI85" s="119">
        <v>0</v>
      </c>
      <c r="AJ85" s="119">
        <v>0</v>
      </c>
      <c r="AK85" s="119">
        <v>0</v>
      </c>
      <c r="AL85" s="119">
        <v>0</v>
      </c>
      <c r="AM85" s="133">
        <v>0</v>
      </c>
      <c r="AN85" s="119">
        <v>0</v>
      </c>
      <c r="AO85" s="119">
        <v>0</v>
      </c>
      <c r="AP85" s="119">
        <v>0</v>
      </c>
      <c r="AQ85" s="119">
        <v>0</v>
      </c>
      <c r="AR85" s="133">
        <v>0</v>
      </c>
      <c r="AS85" s="119"/>
      <c r="AT85" s="119"/>
      <c r="AU85" s="119"/>
      <c r="AV85" s="119"/>
      <c r="AW85" s="133"/>
      <c r="AX85" s="119"/>
      <c r="AY85" s="119"/>
      <c r="AZ85" s="119"/>
      <c r="BA85" s="119"/>
      <c r="BB85" s="133"/>
      <c r="BC85" s="119"/>
      <c r="BD85" s="119"/>
      <c r="BE85" s="119"/>
      <c r="BF85" s="119"/>
      <c r="BG85" s="133"/>
      <c r="BH85" s="119"/>
      <c r="BI85" s="119"/>
      <c r="BJ85" s="119"/>
      <c r="BK85" s="119"/>
      <c r="BL85" s="133"/>
      <c r="BM85" s="119"/>
      <c r="BN85" s="119"/>
      <c r="BO85" s="119"/>
      <c r="BP85" s="119"/>
      <c r="BQ85" s="133"/>
      <c r="BR85" s="119"/>
      <c r="BS85" s="119"/>
      <c r="BT85" s="119"/>
      <c r="BU85" s="119"/>
      <c r="BV85" s="133"/>
      <c r="BW85" s="119"/>
      <c r="BX85" s="119"/>
      <c r="BY85" s="119"/>
      <c r="BZ85" s="119"/>
      <c r="CA85" s="133"/>
      <c r="CB85" s="119"/>
      <c r="CC85" s="119"/>
      <c r="CD85" s="119"/>
      <c r="CE85" s="119"/>
      <c r="CF85" s="133"/>
    </row>
    <row r="86" spans="1:84" ht="12.75">
      <c r="A86" s="119" t="s">
        <v>400</v>
      </c>
      <c r="B86" s="119" t="s">
        <v>401</v>
      </c>
      <c r="C86" s="119" t="s">
        <v>157</v>
      </c>
      <c r="D86" s="119" t="s">
        <v>152</v>
      </c>
      <c r="E86" s="119" t="s">
        <v>22</v>
      </c>
      <c r="F86" s="131">
        <f t="shared" si="0"/>
        <v>0</v>
      </c>
      <c r="G86" s="119">
        <f t="shared" si="1"/>
        <v>4.5</v>
      </c>
      <c r="H86" s="119">
        <f t="shared" ref="H86:I86" si="86">SUM(L86,Q86,V86,AA86,AF86,AK86,AP86,AU86,AZ86,BE86,BJ86,BO86,BT86,BY86,CD86)</f>
        <v>500</v>
      </c>
      <c r="I86" s="132">
        <f t="shared" si="86"/>
        <v>2</v>
      </c>
      <c r="J86" s="119">
        <v>1</v>
      </c>
      <c r="K86" s="119" t="s">
        <v>364</v>
      </c>
      <c r="L86" s="119">
        <v>200</v>
      </c>
      <c r="M86" s="119">
        <v>0</v>
      </c>
      <c r="N86" s="133">
        <v>0</v>
      </c>
      <c r="O86" s="119">
        <v>1</v>
      </c>
      <c r="P86" s="119" t="s">
        <v>402</v>
      </c>
      <c r="Q86" s="119">
        <v>0</v>
      </c>
      <c r="R86" s="119">
        <v>1</v>
      </c>
      <c r="S86" s="133">
        <v>0</v>
      </c>
      <c r="T86" s="119">
        <v>0</v>
      </c>
      <c r="U86" s="119" t="s">
        <v>403</v>
      </c>
      <c r="V86" s="119">
        <v>0</v>
      </c>
      <c r="W86" s="119">
        <v>0</v>
      </c>
      <c r="X86" s="133">
        <v>0</v>
      </c>
      <c r="Y86" s="119">
        <v>0</v>
      </c>
      <c r="Z86" s="119">
        <v>0</v>
      </c>
      <c r="AA86" s="119">
        <v>0</v>
      </c>
      <c r="AB86" s="119">
        <v>0</v>
      </c>
      <c r="AC86" s="133">
        <v>0</v>
      </c>
      <c r="AD86" s="119">
        <v>1</v>
      </c>
      <c r="AE86" s="119" t="s">
        <v>404</v>
      </c>
      <c r="AF86" s="119">
        <v>0</v>
      </c>
      <c r="AG86" s="119">
        <v>1</v>
      </c>
      <c r="AH86" s="133">
        <v>0</v>
      </c>
      <c r="AI86" s="119">
        <v>0.5</v>
      </c>
      <c r="AJ86" s="119" t="s">
        <v>404</v>
      </c>
      <c r="AK86" s="119">
        <v>0</v>
      </c>
      <c r="AL86" s="119">
        <v>0</v>
      </c>
      <c r="AM86" s="133">
        <v>0</v>
      </c>
      <c r="AN86" s="119">
        <v>1</v>
      </c>
      <c r="AO86" s="119" t="s">
        <v>405</v>
      </c>
      <c r="AP86" s="119">
        <v>300</v>
      </c>
      <c r="AQ86" s="119">
        <v>0</v>
      </c>
      <c r="AR86" s="133">
        <v>0</v>
      </c>
      <c r="AS86" s="119"/>
      <c r="AT86" s="119"/>
      <c r="AU86" s="119"/>
      <c r="AV86" s="119"/>
      <c r="AW86" s="133"/>
      <c r="AX86" s="119"/>
      <c r="AY86" s="119"/>
      <c r="AZ86" s="119"/>
      <c r="BA86" s="119"/>
      <c r="BB86" s="133"/>
      <c r="BC86" s="119"/>
      <c r="BD86" s="119"/>
      <c r="BE86" s="119"/>
      <c r="BF86" s="119"/>
      <c r="BG86" s="133"/>
      <c r="BH86" s="119"/>
      <c r="BI86" s="119"/>
      <c r="BJ86" s="119"/>
      <c r="BK86" s="119"/>
      <c r="BL86" s="133"/>
      <c r="BM86" s="119"/>
      <c r="BN86" s="119"/>
      <c r="BO86" s="119"/>
      <c r="BP86" s="119"/>
      <c r="BQ86" s="133"/>
      <c r="BR86" s="119"/>
      <c r="BS86" s="119"/>
      <c r="BT86" s="119"/>
      <c r="BU86" s="119"/>
      <c r="BV86" s="133"/>
      <c r="BW86" s="119"/>
      <c r="BX86" s="119"/>
      <c r="BY86" s="119"/>
      <c r="BZ86" s="119"/>
      <c r="CA86" s="133"/>
      <c r="CB86" s="119"/>
      <c r="CC86" s="119"/>
      <c r="CD86" s="119"/>
      <c r="CE86" s="119"/>
      <c r="CF86" s="133"/>
    </row>
    <row r="87" spans="1:84" ht="12.75">
      <c r="A87" s="119" t="s">
        <v>406</v>
      </c>
      <c r="B87" s="119" t="s">
        <v>407</v>
      </c>
      <c r="C87" s="119" t="s">
        <v>408</v>
      </c>
      <c r="D87" s="119" t="s">
        <v>158</v>
      </c>
      <c r="E87" s="119" t="s">
        <v>22</v>
      </c>
      <c r="F87" s="131">
        <f t="shared" si="0"/>
        <v>0</v>
      </c>
      <c r="G87" s="119">
        <f t="shared" si="1"/>
        <v>2.5</v>
      </c>
      <c r="H87" s="119">
        <f t="shared" ref="H87:I87" si="87">SUM(L87,Q87,V87,AA87,AF87,AK87,AP87,AU87,AZ87,BE87,BJ87,BO87,BT87,BY87,CD87)</f>
        <v>0</v>
      </c>
      <c r="I87" s="132">
        <f t="shared" si="87"/>
        <v>2</v>
      </c>
      <c r="J87" s="119">
        <v>0</v>
      </c>
      <c r="K87" s="119">
        <v>0</v>
      </c>
      <c r="L87" s="119">
        <v>0</v>
      </c>
      <c r="M87" s="119">
        <v>0</v>
      </c>
      <c r="N87" s="133">
        <v>0</v>
      </c>
      <c r="O87" s="119">
        <v>1</v>
      </c>
      <c r="P87" s="119" t="s">
        <v>402</v>
      </c>
      <c r="Q87" s="119">
        <v>0</v>
      </c>
      <c r="R87" s="119">
        <v>1</v>
      </c>
      <c r="S87" s="133">
        <v>0</v>
      </c>
      <c r="T87" s="119">
        <v>0</v>
      </c>
      <c r="U87" s="119" t="s">
        <v>403</v>
      </c>
      <c r="V87" s="119">
        <v>0</v>
      </c>
      <c r="W87" s="119">
        <v>0</v>
      </c>
      <c r="X87" s="133">
        <v>0</v>
      </c>
      <c r="Y87" s="119">
        <v>0</v>
      </c>
      <c r="Z87" s="119">
        <v>0</v>
      </c>
      <c r="AA87" s="119">
        <v>0</v>
      </c>
      <c r="AB87" s="119">
        <v>0</v>
      </c>
      <c r="AC87" s="133">
        <v>0</v>
      </c>
      <c r="AD87" s="119">
        <v>1</v>
      </c>
      <c r="AE87" s="119" t="s">
        <v>404</v>
      </c>
      <c r="AF87" s="119">
        <v>0</v>
      </c>
      <c r="AG87" s="119">
        <v>1</v>
      </c>
      <c r="AH87" s="133">
        <v>0</v>
      </c>
      <c r="AI87" s="119">
        <v>0.5</v>
      </c>
      <c r="AJ87" s="119" t="s">
        <v>404</v>
      </c>
      <c r="AK87" s="119">
        <v>0</v>
      </c>
      <c r="AL87" s="119">
        <v>0</v>
      </c>
      <c r="AM87" s="133">
        <v>0</v>
      </c>
      <c r="AN87" s="119">
        <v>0</v>
      </c>
      <c r="AO87" s="119">
        <v>0</v>
      </c>
      <c r="AP87" s="119">
        <v>0</v>
      </c>
      <c r="AQ87" s="119">
        <v>0</v>
      </c>
      <c r="AR87" s="133">
        <v>0</v>
      </c>
      <c r="AS87" s="119"/>
      <c r="AT87" s="119"/>
      <c r="AU87" s="119"/>
      <c r="AV87" s="119"/>
      <c r="AW87" s="133"/>
      <c r="AX87" s="119"/>
      <c r="AY87" s="119"/>
      <c r="AZ87" s="119"/>
      <c r="BA87" s="119"/>
      <c r="BB87" s="133"/>
      <c r="BC87" s="119"/>
      <c r="BD87" s="119"/>
      <c r="BE87" s="119"/>
      <c r="BF87" s="119"/>
      <c r="BG87" s="133"/>
      <c r="BH87" s="119"/>
      <c r="BI87" s="119"/>
      <c r="BJ87" s="119"/>
      <c r="BK87" s="119"/>
      <c r="BL87" s="133"/>
      <c r="BM87" s="119"/>
      <c r="BN87" s="119"/>
      <c r="BO87" s="119"/>
      <c r="BP87" s="119"/>
      <c r="BQ87" s="133"/>
      <c r="BR87" s="119"/>
      <c r="BS87" s="119"/>
      <c r="BT87" s="119"/>
      <c r="BU87" s="119"/>
      <c r="BV87" s="133"/>
      <c r="BW87" s="119"/>
      <c r="BX87" s="119"/>
      <c r="BY87" s="119"/>
      <c r="BZ87" s="119"/>
      <c r="CA87" s="133"/>
      <c r="CB87" s="119"/>
      <c r="CC87" s="119"/>
      <c r="CD87" s="119"/>
      <c r="CE87" s="119"/>
      <c r="CF87" s="133"/>
    </row>
    <row r="88" spans="1:84" ht="12.75">
      <c r="A88" s="119" t="s">
        <v>409</v>
      </c>
      <c r="B88" s="119" t="s">
        <v>410</v>
      </c>
      <c r="C88" s="119" t="s">
        <v>173</v>
      </c>
      <c r="D88" s="119" t="s">
        <v>158</v>
      </c>
      <c r="E88" s="119" t="s">
        <v>22</v>
      </c>
      <c r="F88" s="131">
        <f t="shared" si="0"/>
        <v>0</v>
      </c>
      <c r="G88" s="119">
        <f t="shared" si="1"/>
        <v>0</v>
      </c>
      <c r="H88" s="119">
        <f t="shared" ref="H88:I88" si="88">SUM(L88,Q88,V88,AA88,AF88,AK88,AP88,AU88,AZ88,BE88,BJ88,BO88,BT88,BY88,CD88)</f>
        <v>0</v>
      </c>
      <c r="I88" s="132">
        <f t="shared" si="88"/>
        <v>0</v>
      </c>
      <c r="J88" s="119">
        <v>0</v>
      </c>
      <c r="K88" s="119">
        <v>0</v>
      </c>
      <c r="L88" s="119">
        <v>0</v>
      </c>
      <c r="M88" s="119">
        <v>0</v>
      </c>
      <c r="N88" s="133">
        <v>0</v>
      </c>
      <c r="O88" s="119">
        <v>0</v>
      </c>
      <c r="P88" s="119">
        <v>0</v>
      </c>
      <c r="Q88" s="119">
        <v>0</v>
      </c>
      <c r="R88" s="119">
        <v>0</v>
      </c>
      <c r="S88" s="133">
        <v>0</v>
      </c>
      <c r="T88" s="119">
        <v>0</v>
      </c>
      <c r="U88" s="119">
        <v>0</v>
      </c>
      <c r="V88" s="119">
        <v>0</v>
      </c>
      <c r="W88" s="119">
        <v>0</v>
      </c>
      <c r="X88" s="133">
        <v>0</v>
      </c>
      <c r="Y88" s="119">
        <v>0</v>
      </c>
      <c r="Z88" s="119">
        <v>0</v>
      </c>
      <c r="AA88" s="119">
        <v>0</v>
      </c>
      <c r="AB88" s="119">
        <v>0</v>
      </c>
      <c r="AC88" s="133">
        <v>0</v>
      </c>
      <c r="AD88" s="119">
        <v>0</v>
      </c>
      <c r="AE88" s="119">
        <v>0</v>
      </c>
      <c r="AF88" s="119">
        <v>0</v>
      </c>
      <c r="AG88" s="119">
        <v>0</v>
      </c>
      <c r="AH88" s="133">
        <v>0</v>
      </c>
      <c r="AI88" s="119">
        <v>0</v>
      </c>
      <c r="AJ88" s="119">
        <v>0</v>
      </c>
      <c r="AK88" s="119">
        <v>0</v>
      </c>
      <c r="AL88" s="119">
        <v>0</v>
      </c>
      <c r="AM88" s="133">
        <v>0</v>
      </c>
      <c r="AN88" s="119">
        <v>0</v>
      </c>
      <c r="AO88" s="119">
        <v>0</v>
      </c>
      <c r="AP88" s="119">
        <v>0</v>
      </c>
      <c r="AQ88" s="119">
        <v>0</v>
      </c>
      <c r="AR88" s="133">
        <v>0</v>
      </c>
      <c r="AS88" s="119"/>
      <c r="AT88" s="119"/>
      <c r="AU88" s="119"/>
      <c r="AV88" s="119"/>
      <c r="AW88" s="133"/>
      <c r="AX88" s="119"/>
      <c r="AY88" s="119"/>
      <c r="AZ88" s="119"/>
      <c r="BA88" s="119"/>
      <c r="BB88" s="133"/>
      <c r="BC88" s="119"/>
      <c r="BD88" s="119"/>
      <c r="BE88" s="119"/>
      <c r="BF88" s="119"/>
      <c r="BG88" s="133"/>
      <c r="BH88" s="119"/>
      <c r="BI88" s="119"/>
      <c r="BJ88" s="119"/>
      <c r="BK88" s="119"/>
      <c r="BL88" s="133"/>
      <c r="BM88" s="119"/>
      <c r="BN88" s="119"/>
      <c r="BO88" s="119"/>
      <c r="BP88" s="119"/>
      <c r="BQ88" s="133"/>
      <c r="BR88" s="119"/>
      <c r="BS88" s="119"/>
      <c r="BT88" s="119"/>
      <c r="BU88" s="119"/>
      <c r="BV88" s="133"/>
      <c r="BW88" s="119"/>
      <c r="BX88" s="119"/>
      <c r="BY88" s="119"/>
      <c r="BZ88" s="119"/>
      <c r="CA88" s="133"/>
      <c r="CB88" s="119"/>
      <c r="CC88" s="119"/>
      <c r="CD88" s="119"/>
      <c r="CE88" s="119"/>
      <c r="CF88" s="133"/>
    </row>
    <row r="89" spans="1:84" ht="12.75">
      <c r="A89" s="119" t="s">
        <v>411</v>
      </c>
      <c r="B89" s="119" t="s">
        <v>412</v>
      </c>
      <c r="C89" s="119" t="s">
        <v>413</v>
      </c>
      <c r="D89" s="119" t="s">
        <v>158</v>
      </c>
      <c r="E89" s="119" t="s">
        <v>22</v>
      </c>
      <c r="F89" s="131">
        <f t="shared" si="0"/>
        <v>0</v>
      </c>
      <c r="G89" s="119">
        <f t="shared" si="1"/>
        <v>0</v>
      </c>
      <c r="H89" s="119">
        <f t="shared" ref="H89:I89" si="89">SUM(L89,Q89,V89,AA89,AF89,AK89,AP89,AU89,AZ89,BE89,BJ89,BO89,BT89,BY89,CD89)</f>
        <v>0</v>
      </c>
      <c r="I89" s="132">
        <f t="shared" si="89"/>
        <v>0</v>
      </c>
      <c r="J89" s="119">
        <v>0</v>
      </c>
      <c r="K89" s="119">
        <v>0</v>
      </c>
      <c r="L89" s="119">
        <v>0</v>
      </c>
      <c r="M89" s="119">
        <v>0</v>
      </c>
      <c r="N89" s="133">
        <v>0</v>
      </c>
      <c r="O89" s="119">
        <v>0</v>
      </c>
      <c r="P89" s="119">
        <v>0</v>
      </c>
      <c r="Q89" s="119">
        <v>0</v>
      </c>
      <c r="R89" s="119">
        <v>0</v>
      </c>
      <c r="S89" s="133">
        <v>0</v>
      </c>
      <c r="T89" s="119">
        <v>0</v>
      </c>
      <c r="U89" s="119">
        <v>0</v>
      </c>
      <c r="V89" s="119">
        <v>0</v>
      </c>
      <c r="W89" s="119">
        <v>0</v>
      </c>
      <c r="X89" s="133">
        <v>0</v>
      </c>
      <c r="Y89" s="119">
        <v>0</v>
      </c>
      <c r="Z89" s="119">
        <v>0</v>
      </c>
      <c r="AA89" s="119">
        <v>0</v>
      </c>
      <c r="AB89" s="119">
        <v>0</v>
      </c>
      <c r="AC89" s="133">
        <v>0</v>
      </c>
      <c r="AD89" s="119">
        <v>0</v>
      </c>
      <c r="AE89" s="119">
        <v>0</v>
      </c>
      <c r="AF89" s="119">
        <v>0</v>
      </c>
      <c r="AG89" s="119">
        <v>0</v>
      </c>
      <c r="AH89" s="133">
        <v>0</v>
      </c>
      <c r="AI89" s="119">
        <v>0</v>
      </c>
      <c r="AJ89" s="119">
        <v>0</v>
      </c>
      <c r="AK89" s="119">
        <v>0</v>
      </c>
      <c r="AL89" s="119">
        <v>0</v>
      </c>
      <c r="AM89" s="133">
        <v>0</v>
      </c>
      <c r="AN89" s="119">
        <v>0</v>
      </c>
      <c r="AO89" s="119">
        <v>0</v>
      </c>
      <c r="AP89" s="119">
        <v>0</v>
      </c>
      <c r="AQ89" s="119">
        <v>0</v>
      </c>
      <c r="AR89" s="133">
        <v>0</v>
      </c>
      <c r="AS89" s="119"/>
      <c r="AT89" s="119"/>
      <c r="AU89" s="119"/>
      <c r="AV89" s="119"/>
      <c r="AW89" s="133"/>
      <c r="AX89" s="119"/>
      <c r="AY89" s="119"/>
      <c r="AZ89" s="119"/>
      <c r="BA89" s="119"/>
      <c r="BB89" s="133"/>
      <c r="BC89" s="119"/>
      <c r="BD89" s="119"/>
      <c r="BE89" s="119"/>
      <c r="BF89" s="119"/>
      <c r="BG89" s="133"/>
      <c r="BH89" s="119"/>
      <c r="BI89" s="119"/>
      <c r="BJ89" s="119"/>
      <c r="BK89" s="119"/>
      <c r="BL89" s="133"/>
      <c r="BM89" s="119"/>
      <c r="BN89" s="119"/>
      <c r="BO89" s="119"/>
      <c r="BP89" s="119"/>
      <c r="BQ89" s="133"/>
      <c r="BR89" s="119"/>
      <c r="BS89" s="119"/>
      <c r="BT89" s="119"/>
      <c r="BU89" s="119"/>
      <c r="BV89" s="133"/>
      <c r="BW89" s="119"/>
      <c r="BX89" s="119"/>
      <c r="BY89" s="119"/>
      <c r="BZ89" s="119"/>
      <c r="CA89" s="133"/>
      <c r="CB89" s="119"/>
      <c r="CC89" s="119"/>
      <c r="CD89" s="119"/>
      <c r="CE89" s="119"/>
      <c r="CF89" s="133"/>
    </row>
    <row r="90" spans="1:84" ht="12.75">
      <c r="A90" s="119" t="s">
        <v>414</v>
      </c>
      <c r="B90" s="119" t="s">
        <v>415</v>
      </c>
      <c r="C90" s="119" t="s">
        <v>369</v>
      </c>
      <c r="D90" s="119" t="s">
        <v>158</v>
      </c>
      <c r="E90" s="119" t="s">
        <v>22</v>
      </c>
      <c r="F90" s="131">
        <f t="shared" si="0"/>
        <v>0</v>
      </c>
      <c r="G90" s="119">
        <f t="shared" si="1"/>
        <v>0</v>
      </c>
      <c r="H90" s="119">
        <f t="shared" ref="H90:I90" si="90">SUM(L90,Q90,V90,AA90,AF90,AK90,AP90,AU90,AZ90,BE90,BJ90,BO90,BT90,BY90,CD90)</f>
        <v>0</v>
      </c>
      <c r="I90" s="132">
        <f t="shared" si="90"/>
        <v>0</v>
      </c>
      <c r="J90" s="119">
        <v>0</v>
      </c>
      <c r="K90" s="119">
        <v>0</v>
      </c>
      <c r="L90" s="119">
        <v>0</v>
      </c>
      <c r="M90" s="119">
        <v>0</v>
      </c>
      <c r="N90" s="133">
        <v>0</v>
      </c>
      <c r="O90" s="119">
        <v>0</v>
      </c>
      <c r="P90" s="119">
        <v>0</v>
      </c>
      <c r="Q90" s="119">
        <v>0</v>
      </c>
      <c r="R90" s="119">
        <v>0</v>
      </c>
      <c r="S90" s="133">
        <v>0</v>
      </c>
      <c r="T90" s="119">
        <v>0</v>
      </c>
      <c r="U90" s="119">
        <v>0</v>
      </c>
      <c r="V90" s="119">
        <v>0</v>
      </c>
      <c r="W90" s="119">
        <v>0</v>
      </c>
      <c r="X90" s="133">
        <v>0</v>
      </c>
      <c r="Y90" s="119">
        <v>0</v>
      </c>
      <c r="Z90" s="119">
        <v>0</v>
      </c>
      <c r="AA90" s="119">
        <v>0</v>
      </c>
      <c r="AB90" s="119">
        <v>0</v>
      </c>
      <c r="AC90" s="133">
        <v>0</v>
      </c>
      <c r="AD90" s="119">
        <v>0</v>
      </c>
      <c r="AE90" s="119">
        <v>0</v>
      </c>
      <c r="AF90" s="119">
        <v>0</v>
      </c>
      <c r="AG90" s="119">
        <v>0</v>
      </c>
      <c r="AH90" s="133">
        <v>0</v>
      </c>
      <c r="AI90" s="119">
        <v>0</v>
      </c>
      <c r="AJ90" s="119">
        <v>0</v>
      </c>
      <c r="AK90" s="119">
        <v>0</v>
      </c>
      <c r="AL90" s="119">
        <v>0</v>
      </c>
      <c r="AM90" s="133">
        <v>0</v>
      </c>
      <c r="AN90" s="119">
        <v>0</v>
      </c>
      <c r="AO90" s="119">
        <v>0</v>
      </c>
      <c r="AP90" s="119">
        <v>0</v>
      </c>
      <c r="AQ90" s="119">
        <v>0</v>
      </c>
      <c r="AR90" s="133">
        <v>0</v>
      </c>
      <c r="AS90" s="119"/>
      <c r="AT90" s="119"/>
      <c r="AU90" s="119"/>
      <c r="AV90" s="119"/>
      <c r="AW90" s="133"/>
      <c r="AX90" s="119"/>
      <c r="AY90" s="119"/>
      <c r="AZ90" s="119"/>
      <c r="BA90" s="119"/>
      <c r="BB90" s="133"/>
      <c r="BC90" s="119"/>
      <c r="BD90" s="119"/>
      <c r="BE90" s="119"/>
      <c r="BF90" s="119"/>
      <c r="BG90" s="133"/>
      <c r="BH90" s="119"/>
      <c r="BI90" s="119"/>
      <c r="BJ90" s="119"/>
      <c r="BK90" s="119"/>
      <c r="BL90" s="133"/>
      <c r="BM90" s="119"/>
      <c r="BN90" s="119"/>
      <c r="BO90" s="119"/>
      <c r="BP90" s="119"/>
      <c r="BQ90" s="133"/>
      <c r="BR90" s="119"/>
      <c r="BS90" s="119"/>
      <c r="BT90" s="119"/>
      <c r="BU90" s="119"/>
      <c r="BV90" s="133"/>
      <c r="BW90" s="119"/>
      <c r="BX90" s="119"/>
      <c r="BY90" s="119"/>
      <c r="BZ90" s="119"/>
      <c r="CA90" s="133"/>
      <c r="CB90" s="119"/>
      <c r="CC90" s="119"/>
      <c r="CD90" s="119"/>
      <c r="CE90" s="119"/>
      <c r="CF90" s="133"/>
    </row>
    <row r="91" spans="1:84" ht="12.75">
      <c r="A91" s="119" t="s">
        <v>416</v>
      </c>
      <c r="B91" s="119" t="s">
        <v>417</v>
      </c>
      <c r="C91" s="119" t="s">
        <v>418</v>
      </c>
      <c r="D91" s="119" t="s">
        <v>158</v>
      </c>
      <c r="E91" s="119" t="s">
        <v>22</v>
      </c>
      <c r="F91" s="131">
        <f t="shared" si="0"/>
        <v>0</v>
      </c>
      <c r="G91" s="119">
        <f t="shared" si="1"/>
        <v>0</v>
      </c>
      <c r="H91" s="119">
        <f t="shared" ref="H91:I91" si="91">SUM(L91,Q91,V91,AA91,AF91,AK91,AP91,AU91,AZ91,BE91,BJ91,BO91,BT91,BY91,CD91)</f>
        <v>0</v>
      </c>
      <c r="I91" s="132">
        <f t="shared" si="91"/>
        <v>0</v>
      </c>
      <c r="J91" s="119">
        <v>0</v>
      </c>
      <c r="K91" s="119">
        <v>0</v>
      </c>
      <c r="L91" s="119">
        <v>0</v>
      </c>
      <c r="M91" s="119">
        <v>0</v>
      </c>
      <c r="N91" s="133">
        <v>0</v>
      </c>
      <c r="O91" s="119">
        <v>0</v>
      </c>
      <c r="P91" s="119">
        <v>0</v>
      </c>
      <c r="Q91" s="119">
        <v>0</v>
      </c>
      <c r="R91" s="119">
        <v>0</v>
      </c>
      <c r="S91" s="133">
        <v>0</v>
      </c>
      <c r="T91" s="119">
        <v>0</v>
      </c>
      <c r="U91" s="119">
        <v>0</v>
      </c>
      <c r="V91" s="119">
        <v>0</v>
      </c>
      <c r="W91" s="119">
        <v>0</v>
      </c>
      <c r="X91" s="133">
        <v>0</v>
      </c>
      <c r="Y91" s="119">
        <v>0</v>
      </c>
      <c r="Z91" s="119">
        <v>0</v>
      </c>
      <c r="AA91" s="119">
        <v>0</v>
      </c>
      <c r="AB91" s="119">
        <v>0</v>
      </c>
      <c r="AC91" s="133">
        <v>0</v>
      </c>
      <c r="AD91" s="119">
        <v>0</v>
      </c>
      <c r="AE91" s="119">
        <v>0</v>
      </c>
      <c r="AF91" s="119">
        <v>0</v>
      </c>
      <c r="AG91" s="119">
        <v>0</v>
      </c>
      <c r="AH91" s="133">
        <v>0</v>
      </c>
      <c r="AI91" s="119">
        <v>0</v>
      </c>
      <c r="AJ91" s="119">
        <v>0</v>
      </c>
      <c r="AK91" s="119">
        <v>0</v>
      </c>
      <c r="AL91" s="119">
        <v>0</v>
      </c>
      <c r="AM91" s="133">
        <v>0</v>
      </c>
      <c r="AN91" s="119">
        <v>0</v>
      </c>
      <c r="AO91" s="119">
        <v>0</v>
      </c>
      <c r="AP91" s="119">
        <v>0</v>
      </c>
      <c r="AQ91" s="119">
        <v>0</v>
      </c>
      <c r="AR91" s="133">
        <v>0</v>
      </c>
      <c r="AS91" s="119"/>
      <c r="AT91" s="119"/>
      <c r="AU91" s="119"/>
      <c r="AV91" s="119"/>
      <c r="AW91" s="133"/>
      <c r="AX91" s="119"/>
      <c r="AY91" s="119"/>
      <c r="AZ91" s="119"/>
      <c r="BA91" s="119"/>
      <c r="BB91" s="133"/>
      <c r="BC91" s="119"/>
      <c r="BD91" s="119"/>
      <c r="BE91" s="119"/>
      <c r="BF91" s="119"/>
      <c r="BG91" s="133"/>
      <c r="BH91" s="119"/>
      <c r="BI91" s="119"/>
      <c r="BJ91" s="119"/>
      <c r="BK91" s="119"/>
      <c r="BL91" s="133"/>
      <c r="BM91" s="119"/>
      <c r="BN91" s="119"/>
      <c r="BO91" s="119"/>
      <c r="BP91" s="119"/>
      <c r="BQ91" s="133"/>
      <c r="BR91" s="119"/>
      <c r="BS91" s="119"/>
      <c r="BT91" s="119"/>
      <c r="BU91" s="119"/>
      <c r="BV91" s="133"/>
      <c r="BW91" s="119"/>
      <c r="BX91" s="119"/>
      <c r="BY91" s="119"/>
      <c r="BZ91" s="119"/>
      <c r="CA91" s="133"/>
      <c r="CB91" s="119"/>
      <c r="CC91" s="119"/>
      <c r="CD91" s="119"/>
      <c r="CE91" s="119"/>
      <c r="CF91" s="133"/>
    </row>
    <row r="92" spans="1:84" ht="12.75">
      <c r="A92" s="119" t="s">
        <v>419</v>
      </c>
      <c r="B92" s="119" t="s">
        <v>420</v>
      </c>
      <c r="C92" s="119" t="s">
        <v>421</v>
      </c>
      <c r="D92" s="119" t="s">
        <v>152</v>
      </c>
      <c r="E92" s="119" t="s">
        <v>22</v>
      </c>
      <c r="F92" s="131">
        <f t="shared" si="0"/>
        <v>0</v>
      </c>
      <c r="G92" s="119">
        <f t="shared" si="1"/>
        <v>0</v>
      </c>
      <c r="H92" s="119">
        <f t="shared" ref="H92:I92" si="92">SUM(L92,Q92,V92,AA92,AF92,AK92,AP92,AU92,AZ92,BE92,BJ92,BO92,BT92,BY92,CD92)</f>
        <v>200</v>
      </c>
      <c r="I92" s="132">
        <f t="shared" si="92"/>
        <v>1</v>
      </c>
      <c r="J92" s="119">
        <v>0</v>
      </c>
      <c r="K92" s="119">
        <v>0</v>
      </c>
      <c r="L92" s="119">
        <v>0</v>
      </c>
      <c r="M92" s="119">
        <v>0</v>
      </c>
      <c r="N92" s="133">
        <v>0</v>
      </c>
      <c r="O92" s="119">
        <v>0</v>
      </c>
      <c r="P92" s="119">
        <v>0</v>
      </c>
      <c r="Q92" s="119">
        <v>0</v>
      </c>
      <c r="R92" s="119">
        <v>0</v>
      </c>
      <c r="S92" s="133">
        <v>0</v>
      </c>
      <c r="T92" s="119">
        <v>0</v>
      </c>
      <c r="U92" s="119">
        <v>0</v>
      </c>
      <c r="V92" s="119">
        <v>0</v>
      </c>
      <c r="W92" s="119">
        <v>0</v>
      </c>
      <c r="X92" s="133">
        <v>0</v>
      </c>
      <c r="Y92" s="119">
        <v>0</v>
      </c>
      <c r="Z92" s="119">
        <v>0</v>
      </c>
      <c r="AA92" s="119">
        <v>0</v>
      </c>
      <c r="AB92" s="119">
        <v>0</v>
      </c>
      <c r="AC92" s="133">
        <v>0</v>
      </c>
      <c r="AD92" s="119">
        <v>0</v>
      </c>
      <c r="AE92" s="119">
        <v>0</v>
      </c>
      <c r="AF92" s="119">
        <v>0</v>
      </c>
      <c r="AG92" s="119">
        <v>0</v>
      </c>
      <c r="AH92" s="133">
        <v>0</v>
      </c>
      <c r="AI92" s="119">
        <v>0</v>
      </c>
      <c r="AJ92" s="119">
        <v>0</v>
      </c>
      <c r="AK92" s="119">
        <v>0</v>
      </c>
      <c r="AL92" s="119">
        <v>0</v>
      </c>
      <c r="AM92" s="133">
        <v>0</v>
      </c>
      <c r="AN92" s="119">
        <v>0</v>
      </c>
      <c r="AO92" s="119" t="s">
        <v>405</v>
      </c>
      <c r="AP92" s="119">
        <v>200</v>
      </c>
      <c r="AQ92" s="119">
        <v>1</v>
      </c>
      <c r="AR92" s="133">
        <v>0</v>
      </c>
      <c r="AS92" s="119"/>
      <c r="AT92" s="119"/>
      <c r="AU92" s="119"/>
      <c r="AV92" s="119"/>
      <c r="AW92" s="133"/>
      <c r="AX92" s="119"/>
      <c r="AY92" s="119"/>
      <c r="AZ92" s="119"/>
      <c r="BA92" s="119"/>
      <c r="BB92" s="133"/>
      <c r="BC92" s="119"/>
      <c r="BD92" s="119"/>
      <c r="BE92" s="119"/>
      <c r="BF92" s="119"/>
      <c r="BG92" s="133"/>
      <c r="BH92" s="119"/>
      <c r="BI92" s="119"/>
      <c r="BJ92" s="119"/>
      <c r="BK92" s="119"/>
      <c r="BL92" s="133"/>
      <c r="BM92" s="119"/>
      <c r="BN92" s="119"/>
      <c r="BO92" s="119"/>
      <c r="BP92" s="119"/>
      <c r="BQ92" s="133"/>
      <c r="BR92" s="119"/>
      <c r="BS92" s="119"/>
      <c r="BT92" s="119"/>
      <c r="BU92" s="119"/>
      <c r="BV92" s="133"/>
      <c r="BW92" s="119"/>
      <c r="BX92" s="119"/>
      <c r="BY92" s="119"/>
      <c r="BZ92" s="119"/>
      <c r="CA92" s="133"/>
      <c r="CB92" s="119"/>
      <c r="CC92" s="119"/>
      <c r="CD92" s="119"/>
      <c r="CE92" s="119"/>
      <c r="CF92" s="133"/>
    </row>
    <row r="93" spans="1:84" ht="12.75">
      <c r="A93" s="119" t="s">
        <v>422</v>
      </c>
      <c r="B93" s="119" t="s">
        <v>423</v>
      </c>
      <c r="C93" s="119" t="s">
        <v>424</v>
      </c>
      <c r="D93" s="119" t="s">
        <v>152</v>
      </c>
      <c r="E93" s="119" t="s">
        <v>32</v>
      </c>
      <c r="F93" s="131">
        <f t="shared" si="0"/>
        <v>0</v>
      </c>
      <c r="G93" s="119">
        <f t="shared" si="1"/>
        <v>2</v>
      </c>
      <c r="H93" s="119">
        <f t="shared" ref="H93:I93" si="93">SUM(L93,Q93,V93,AA93,AF93,AK93,AP93,AU93,AZ93,BE93,BJ93,BO93,BT93,BY93,CD93)</f>
        <v>0</v>
      </c>
      <c r="I93" s="132">
        <f t="shared" si="93"/>
        <v>0</v>
      </c>
      <c r="J93" s="119">
        <v>0</v>
      </c>
      <c r="K93" s="119" t="s">
        <v>173</v>
      </c>
      <c r="L93" s="119">
        <v>0</v>
      </c>
      <c r="M93" s="119">
        <v>0</v>
      </c>
      <c r="N93" s="133">
        <v>0</v>
      </c>
      <c r="O93" s="119">
        <v>0</v>
      </c>
      <c r="P93" s="119" t="s">
        <v>173</v>
      </c>
      <c r="Q93" s="119">
        <v>0</v>
      </c>
      <c r="R93" s="119">
        <v>0</v>
      </c>
      <c r="S93" s="133">
        <v>0</v>
      </c>
      <c r="T93" s="119">
        <v>0</v>
      </c>
      <c r="U93" s="119" t="s">
        <v>173</v>
      </c>
      <c r="V93" s="119">
        <v>0</v>
      </c>
      <c r="W93" s="119">
        <v>0</v>
      </c>
      <c r="X93" s="133">
        <v>0</v>
      </c>
      <c r="Y93" s="119">
        <v>1</v>
      </c>
      <c r="Z93" s="119" t="s">
        <v>425</v>
      </c>
      <c r="AA93" s="119">
        <v>0</v>
      </c>
      <c r="AB93" s="119">
        <v>0</v>
      </c>
      <c r="AC93" s="133"/>
      <c r="AD93" s="119">
        <v>1</v>
      </c>
      <c r="AE93" s="119" t="s">
        <v>425</v>
      </c>
      <c r="AF93" s="119">
        <v>0</v>
      </c>
      <c r="AG93" s="119">
        <v>0</v>
      </c>
      <c r="AH93" s="133"/>
      <c r="AI93" s="119">
        <v>0</v>
      </c>
      <c r="AJ93" s="119" t="s">
        <v>173</v>
      </c>
      <c r="AK93" s="119">
        <v>0</v>
      </c>
      <c r="AL93" s="119">
        <v>0</v>
      </c>
      <c r="AM93" s="133">
        <v>0</v>
      </c>
      <c r="AN93" s="119">
        <v>0</v>
      </c>
      <c r="AO93" s="119" t="s">
        <v>173</v>
      </c>
      <c r="AP93" s="119">
        <v>0</v>
      </c>
      <c r="AQ93" s="119">
        <v>0</v>
      </c>
      <c r="AR93" s="133">
        <v>0</v>
      </c>
      <c r="AS93" s="119"/>
      <c r="AT93" s="119"/>
      <c r="AU93" s="119"/>
      <c r="AV93" s="119"/>
      <c r="AW93" s="133"/>
      <c r="AX93" s="119"/>
      <c r="AY93" s="119"/>
      <c r="AZ93" s="119"/>
      <c r="BA93" s="119"/>
      <c r="BB93" s="133"/>
      <c r="BC93" s="119"/>
      <c r="BD93" s="119"/>
      <c r="BE93" s="119"/>
      <c r="BF93" s="119"/>
      <c r="BG93" s="133"/>
      <c r="BH93" s="119"/>
      <c r="BI93" s="119"/>
      <c r="BJ93" s="119"/>
      <c r="BK93" s="119"/>
      <c r="BL93" s="133"/>
      <c r="BM93" s="119"/>
      <c r="BN93" s="119"/>
      <c r="BO93" s="119"/>
      <c r="BP93" s="119"/>
      <c r="BQ93" s="133"/>
      <c r="BR93" s="119"/>
      <c r="BS93" s="119"/>
      <c r="BT93" s="119"/>
      <c r="BU93" s="119"/>
      <c r="BV93" s="133"/>
      <c r="BW93" s="119"/>
      <c r="BX93" s="119"/>
      <c r="BY93" s="119"/>
      <c r="BZ93" s="119"/>
      <c r="CA93" s="133"/>
      <c r="CB93" s="119"/>
      <c r="CC93" s="119"/>
      <c r="CD93" s="119"/>
      <c r="CE93" s="119"/>
      <c r="CF93" s="133"/>
    </row>
    <row r="94" spans="1:84" ht="12.75">
      <c r="A94" s="119" t="s">
        <v>426</v>
      </c>
      <c r="B94" s="119" t="s">
        <v>427</v>
      </c>
      <c r="C94" s="119" t="s">
        <v>282</v>
      </c>
      <c r="D94" s="119" t="s">
        <v>158</v>
      </c>
      <c r="E94" s="119" t="s">
        <v>32</v>
      </c>
      <c r="F94" s="131">
        <f t="shared" si="0"/>
        <v>0</v>
      </c>
      <c r="G94" s="119">
        <f t="shared" si="1"/>
        <v>2</v>
      </c>
      <c r="H94" s="119">
        <f t="shared" ref="H94:I94" si="94">SUM(L94,Q94,V94,AA94,AF94,AK94,AP94,AU94,AZ94,BE94,BJ94,BO94,BT94,BY94,CD94)</f>
        <v>0</v>
      </c>
      <c r="I94" s="132">
        <f t="shared" si="94"/>
        <v>0</v>
      </c>
      <c r="J94" s="119">
        <v>0</v>
      </c>
      <c r="K94" s="119" t="s">
        <v>173</v>
      </c>
      <c r="L94" s="119">
        <v>0</v>
      </c>
      <c r="M94" s="119">
        <v>0</v>
      </c>
      <c r="N94" s="133">
        <v>0</v>
      </c>
      <c r="O94" s="119">
        <v>0</v>
      </c>
      <c r="P94" s="119" t="s">
        <v>173</v>
      </c>
      <c r="Q94" s="119">
        <v>0</v>
      </c>
      <c r="R94" s="119">
        <v>0</v>
      </c>
      <c r="S94" s="133">
        <v>0</v>
      </c>
      <c r="T94" s="119">
        <v>0</v>
      </c>
      <c r="U94" s="119" t="s">
        <v>173</v>
      </c>
      <c r="V94" s="119">
        <v>0</v>
      </c>
      <c r="W94" s="119">
        <v>0</v>
      </c>
      <c r="X94" s="133">
        <v>0</v>
      </c>
      <c r="Y94" s="119">
        <v>1</v>
      </c>
      <c r="Z94" s="119" t="s">
        <v>425</v>
      </c>
      <c r="AA94" s="119">
        <v>0</v>
      </c>
      <c r="AB94" s="119">
        <v>0</v>
      </c>
      <c r="AC94" s="133"/>
      <c r="AD94" s="119">
        <v>1</v>
      </c>
      <c r="AE94" s="119" t="s">
        <v>425</v>
      </c>
      <c r="AF94" s="119">
        <v>0</v>
      </c>
      <c r="AG94" s="119">
        <v>0</v>
      </c>
      <c r="AH94" s="133"/>
      <c r="AI94" s="119">
        <v>0</v>
      </c>
      <c r="AJ94" s="119" t="s">
        <v>173</v>
      </c>
      <c r="AK94" s="119">
        <v>0</v>
      </c>
      <c r="AL94" s="119">
        <v>0</v>
      </c>
      <c r="AM94" s="133">
        <v>0</v>
      </c>
      <c r="AN94" s="119">
        <v>0</v>
      </c>
      <c r="AO94" s="119" t="s">
        <v>173</v>
      </c>
      <c r="AP94" s="119">
        <v>0</v>
      </c>
      <c r="AQ94" s="119">
        <v>0</v>
      </c>
      <c r="AR94" s="133">
        <v>0</v>
      </c>
      <c r="AS94" s="119"/>
      <c r="AT94" s="119"/>
      <c r="AU94" s="119"/>
      <c r="AV94" s="119"/>
      <c r="AW94" s="133"/>
      <c r="AX94" s="119"/>
      <c r="AY94" s="119"/>
      <c r="AZ94" s="119"/>
      <c r="BA94" s="119"/>
      <c r="BB94" s="133"/>
      <c r="BC94" s="119"/>
      <c r="BD94" s="119"/>
      <c r="BE94" s="119"/>
      <c r="BF94" s="119"/>
      <c r="BG94" s="133"/>
      <c r="BH94" s="119"/>
      <c r="BI94" s="119"/>
      <c r="BJ94" s="119"/>
      <c r="BK94" s="119"/>
      <c r="BL94" s="133"/>
      <c r="BM94" s="119"/>
      <c r="BN94" s="119"/>
      <c r="BO94" s="119"/>
      <c r="BP94" s="119"/>
      <c r="BQ94" s="133"/>
      <c r="BR94" s="119"/>
      <c r="BS94" s="119"/>
      <c r="BT94" s="119"/>
      <c r="BU94" s="119"/>
      <c r="BV94" s="133"/>
      <c r="BW94" s="119"/>
      <c r="BX94" s="119"/>
      <c r="BY94" s="119"/>
      <c r="BZ94" s="119"/>
      <c r="CA94" s="133"/>
      <c r="CB94" s="119"/>
      <c r="CC94" s="119"/>
      <c r="CD94" s="119"/>
      <c r="CE94" s="119"/>
      <c r="CF94" s="133"/>
    </row>
    <row r="95" spans="1:84" ht="12.75">
      <c r="A95" s="119" t="s">
        <v>428</v>
      </c>
      <c r="B95" s="119" t="s">
        <v>156</v>
      </c>
      <c r="C95" s="119" t="s">
        <v>173</v>
      </c>
      <c r="D95" s="119" t="s">
        <v>158</v>
      </c>
      <c r="E95" s="119" t="s">
        <v>32</v>
      </c>
      <c r="F95" s="131">
        <f t="shared" si="0"/>
        <v>0</v>
      </c>
      <c r="G95" s="119">
        <f t="shared" si="1"/>
        <v>0</v>
      </c>
      <c r="H95" s="119">
        <f t="shared" ref="H95:I95" si="95">SUM(L95,Q95,V95,AA95,AF95,AK95,AP95,AU95,AZ95,BE95,BJ95,BO95,BT95,BY95,CD95)</f>
        <v>0</v>
      </c>
      <c r="I95" s="132">
        <f t="shared" si="95"/>
        <v>0</v>
      </c>
      <c r="J95" s="119">
        <v>0</v>
      </c>
      <c r="K95" s="119" t="s">
        <v>173</v>
      </c>
      <c r="L95" s="119">
        <v>0</v>
      </c>
      <c r="M95" s="119">
        <v>0</v>
      </c>
      <c r="N95" s="133">
        <v>0</v>
      </c>
      <c r="O95" s="119">
        <v>0</v>
      </c>
      <c r="P95" s="119" t="s">
        <v>173</v>
      </c>
      <c r="Q95" s="119">
        <v>0</v>
      </c>
      <c r="R95" s="119">
        <v>0</v>
      </c>
      <c r="S95" s="133">
        <v>0</v>
      </c>
      <c r="T95" s="119">
        <v>0</v>
      </c>
      <c r="U95" s="119" t="s">
        <v>173</v>
      </c>
      <c r="V95" s="119">
        <v>0</v>
      </c>
      <c r="W95" s="119">
        <v>0</v>
      </c>
      <c r="X95" s="133">
        <v>0</v>
      </c>
      <c r="Y95" s="119">
        <v>0</v>
      </c>
      <c r="Z95" s="119" t="s">
        <v>173</v>
      </c>
      <c r="AA95" s="119">
        <v>0</v>
      </c>
      <c r="AB95" s="119">
        <v>0</v>
      </c>
      <c r="AC95" s="133">
        <v>0</v>
      </c>
      <c r="AD95" s="119">
        <v>0</v>
      </c>
      <c r="AE95" s="119" t="s">
        <v>173</v>
      </c>
      <c r="AF95" s="119">
        <v>0</v>
      </c>
      <c r="AG95" s="119">
        <v>0</v>
      </c>
      <c r="AH95" s="133">
        <v>0</v>
      </c>
      <c r="AI95" s="119">
        <v>0</v>
      </c>
      <c r="AJ95" s="119" t="s">
        <v>173</v>
      </c>
      <c r="AK95" s="119">
        <v>0</v>
      </c>
      <c r="AL95" s="119">
        <v>0</v>
      </c>
      <c r="AM95" s="133">
        <v>0</v>
      </c>
      <c r="AN95" s="119">
        <v>0</v>
      </c>
      <c r="AO95" s="119" t="s">
        <v>173</v>
      </c>
      <c r="AP95" s="119">
        <v>0</v>
      </c>
      <c r="AQ95" s="119">
        <v>0</v>
      </c>
      <c r="AR95" s="133">
        <v>0</v>
      </c>
      <c r="AS95" s="119"/>
      <c r="AT95" s="119"/>
      <c r="AU95" s="119"/>
      <c r="AV95" s="119"/>
      <c r="AW95" s="133"/>
      <c r="AX95" s="119"/>
      <c r="AY95" s="119"/>
      <c r="AZ95" s="119"/>
      <c r="BA95" s="119"/>
      <c r="BB95" s="133"/>
      <c r="BC95" s="119"/>
      <c r="BD95" s="119"/>
      <c r="BE95" s="119"/>
      <c r="BF95" s="119"/>
      <c r="BG95" s="133"/>
      <c r="BH95" s="119"/>
      <c r="BI95" s="119"/>
      <c r="BJ95" s="119"/>
      <c r="BK95" s="119"/>
      <c r="BL95" s="133"/>
      <c r="BM95" s="119"/>
      <c r="BN95" s="119"/>
      <c r="BO95" s="119"/>
      <c r="BP95" s="119"/>
      <c r="BQ95" s="133"/>
      <c r="BR95" s="119"/>
      <c r="BS95" s="119"/>
      <c r="BT95" s="119"/>
      <c r="BU95" s="119"/>
      <c r="BV95" s="133"/>
      <c r="BW95" s="119"/>
      <c r="BX95" s="119"/>
      <c r="BY95" s="119"/>
      <c r="BZ95" s="119"/>
      <c r="CA95" s="133"/>
      <c r="CB95" s="119"/>
      <c r="CC95" s="119"/>
      <c r="CD95" s="119"/>
      <c r="CE95" s="119"/>
      <c r="CF95" s="133"/>
    </row>
    <row r="96" spans="1:84" ht="12.75">
      <c r="A96" s="119" t="s">
        <v>429</v>
      </c>
      <c r="B96" s="119" t="s">
        <v>430</v>
      </c>
      <c r="C96" s="119" t="s">
        <v>431</v>
      </c>
      <c r="D96" s="119" t="s">
        <v>158</v>
      </c>
      <c r="E96" s="119" t="s">
        <v>32</v>
      </c>
      <c r="F96" s="131">
        <f t="shared" si="0"/>
        <v>0</v>
      </c>
      <c r="G96" s="119">
        <f t="shared" si="1"/>
        <v>0</v>
      </c>
      <c r="H96" s="119">
        <f t="shared" ref="H96:I96" si="96">SUM(L96,Q96,V96,AA96,AF96,AK96,AP96,AU96,AZ96,BE96,BJ96,BO96,BT96,BY96,CD96)</f>
        <v>0</v>
      </c>
      <c r="I96" s="132">
        <f t="shared" si="96"/>
        <v>0</v>
      </c>
      <c r="J96" s="119">
        <v>0</v>
      </c>
      <c r="K96" s="119" t="s">
        <v>173</v>
      </c>
      <c r="L96" s="119">
        <v>0</v>
      </c>
      <c r="M96" s="119">
        <v>0</v>
      </c>
      <c r="N96" s="133">
        <v>0</v>
      </c>
      <c r="O96" s="119">
        <v>0</v>
      </c>
      <c r="P96" s="119" t="s">
        <v>173</v>
      </c>
      <c r="Q96" s="119">
        <v>0</v>
      </c>
      <c r="R96" s="119">
        <v>0</v>
      </c>
      <c r="S96" s="133">
        <v>0</v>
      </c>
      <c r="T96" s="119">
        <v>0</v>
      </c>
      <c r="U96" s="119" t="s">
        <v>173</v>
      </c>
      <c r="V96" s="119">
        <v>0</v>
      </c>
      <c r="W96" s="119">
        <v>0</v>
      </c>
      <c r="X96" s="133">
        <v>0</v>
      </c>
      <c r="Y96" s="119">
        <v>0</v>
      </c>
      <c r="Z96" s="119" t="s">
        <v>173</v>
      </c>
      <c r="AA96" s="119">
        <v>0</v>
      </c>
      <c r="AB96" s="119">
        <v>0</v>
      </c>
      <c r="AC96" s="133">
        <v>0</v>
      </c>
      <c r="AD96" s="119">
        <v>0</v>
      </c>
      <c r="AE96" s="119" t="s">
        <v>173</v>
      </c>
      <c r="AF96" s="119">
        <v>0</v>
      </c>
      <c r="AG96" s="119">
        <v>0</v>
      </c>
      <c r="AH96" s="133">
        <v>0</v>
      </c>
      <c r="AI96" s="119">
        <v>0</v>
      </c>
      <c r="AJ96" s="119" t="s">
        <v>173</v>
      </c>
      <c r="AK96" s="119">
        <v>0</v>
      </c>
      <c r="AL96" s="119">
        <v>0</v>
      </c>
      <c r="AM96" s="133">
        <v>0</v>
      </c>
      <c r="AN96" s="119">
        <v>0</v>
      </c>
      <c r="AO96" s="119" t="s">
        <v>173</v>
      </c>
      <c r="AP96" s="119">
        <v>0</v>
      </c>
      <c r="AQ96" s="119">
        <v>0</v>
      </c>
      <c r="AR96" s="133">
        <v>0</v>
      </c>
      <c r="AS96" s="119"/>
      <c r="AT96" s="119"/>
      <c r="AU96" s="119"/>
      <c r="AV96" s="119"/>
      <c r="AW96" s="133"/>
      <c r="AX96" s="119"/>
      <c r="AY96" s="119"/>
      <c r="AZ96" s="119"/>
      <c r="BA96" s="119"/>
      <c r="BB96" s="133"/>
      <c r="BC96" s="119"/>
      <c r="BD96" s="119"/>
      <c r="BE96" s="119"/>
      <c r="BF96" s="119"/>
      <c r="BG96" s="133"/>
      <c r="BH96" s="119"/>
      <c r="BI96" s="119"/>
      <c r="BJ96" s="119"/>
      <c r="BK96" s="119"/>
      <c r="BL96" s="133"/>
      <c r="BM96" s="119"/>
      <c r="BN96" s="119"/>
      <c r="BO96" s="119"/>
      <c r="BP96" s="119"/>
      <c r="BQ96" s="133"/>
      <c r="BR96" s="119"/>
      <c r="BS96" s="119"/>
      <c r="BT96" s="119"/>
      <c r="BU96" s="119"/>
      <c r="BV96" s="133"/>
      <c r="BW96" s="119"/>
      <c r="BX96" s="119"/>
      <c r="BY96" s="119"/>
      <c r="BZ96" s="119"/>
      <c r="CA96" s="133"/>
      <c r="CB96" s="119"/>
      <c r="CC96" s="119"/>
      <c r="CD96" s="119"/>
      <c r="CE96" s="119"/>
      <c r="CF96" s="133"/>
    </row>
    <row r="97" spans="1:84" ht="12.75">
      <c r="A97" s="119" t="s">
        <v>432</v>
      </c>
      <c r="B97" s="119" t="s">
        <v>433</v>
      </c>
      <c r="C97" s="119" t="s">
        <v>434</v>
      </c>
      <c r="D97" s="119" t="s">
        <v>158</v>
      </c>
      <c r="E97" s="119" t="s">
        <v>32</v>
      </c>
      <c r="F97" s="131">
        <f t="shared" si="0"/>
        <v>0</v>
      </c>
      <c r="G97" s="119">
        <f t="shared" si="1"/>
        <v>0</v>
      </c>
      <c r="H97" s="119">
        <f t="shared" ref="H97:I97" si="97">SUM(L97,Q97,V97,AA97,AF97,AK97,AP97,AU97,AZ97,BE97,BJ97,BO97,BT97,BY97,CD97)</f>
        <v>0</v>
      </c>
      <c r="I97" s="132">
        <f t="shared" si="97"/>
        <v>0</v>
      </c>
      <c r="J97" s="119">
        <v>0</v>
      </c>
      <c r="K97" s="119" t="s">
        <v>173</v>
      </c>
      <c r="L97" s="119">
        <v>0</v>
      </c>
      <c r="M97" s="119">
        <v>0</v>
      </c>
      <c r="N97" s="133">
        <v>0</v>
      </c>
      <c r="O97" s="119">
        <v>0</v>
      </c>
      <c r="P97" s="119" t="s">
        <v>173</v>
      </c>
      <c r="Q97" s="119">
        <v>0</v>
      </c>
      <c r="R97" s="119">
        <v>0</v>
      </c>
      <c r="S97" s="133">
        <v>0</v>
      </c>
      <c r="T97" s="119">
        <v>0</v>
      </c>
      <c r="U97" s="119" t="s">
        <v>173</v>
      </c>
      <c r="V97" s="119">
        <v>0</v>
      </c>
      <c r="W97" s="119">
        <v>0</v>
      </c>
      <c r="X97" s="133">
        <v>0</v>
      </c>
      <c r="Y97" s="119">
        <v>0</v>
      </c>
      <c r="Z97" s="119" t="s">
        <v>173</v>
      </c>
      <c r="AA97" s="119">
        <v>0</v>
      </c>
      <c r="AB97" s="119">
        <v>0</v>
      </c>
      <c r="AC97" s="133">
        <v>0</v>
      </c>
      <c r="AD97" s="119">
        <v>0</v>
      </c>
      <c r="AE97" s="119" t="s">
        <v>173</v>
      </c>
      <c r="AF97" s="119">
        <v>0</v>
      </c>
      <c r="AG97" s="119">
        <v>0</v>
      </c>
      <c r="AH97" s="133">
        <v>0</v>
      </c>
      <c r="AI97" s="119">
        <v>0</v>
      </c>
      <c r="AJ97" s="119" t="s">
        <v>173</v>
      </c>
      <c r="AK97" s="119">
        <v>0</v>
      </c>
      <c r="AL97" s="119">
        <v>0</v>
      </c>
      <c r="AM97" s="133">
        <v>0</v>
      </c>
      <c r="AN97" s="119">
        <v>0</v>
      </c>
      <c r="AO97" s="119" t="s">
        <v>173</v>
      </c>
      <c r="AP97" s="119">
        <v>0</v>
      </c>
      <c r="AQ97" s="119">
        <v>0</v>
      </c>
      <c r="AR97" s="133">
        <v>0</v>
      </c>
      <c r="AS97" s="119"/>
      <c r="AT97" s="119"/>
      <c r="AU97" s="119"/>
      <c r="AV97" s="119"/>
      <c r="AW97" s="133"/>
      <c r="AX97" s="119"/>
      <c r="AY97" s="119"/>
      <c r="AZ97" s="119"/>
      <c r="BA97" s="119"/>
      <c r="BB97" s="133"/>
      <c r="BC97" s="119"/>
      <c r="BD97" s="119"/>
      <c r="BE97" s="119"/>
      <c r="BF97" s="119"/>
      <c r="BG97" s="133"/>
      <c r="BH97" s="119"/>
      <c r="BI97" s="119"/>
      <c r="BJ97" s="119"/>
      <c r="BK97" s="119"/>
      <c r="BL97" s="133"/>
      <c r="BM97" s="119"/>
      <c r="BN97" s="119"/>
      <c r="BO97" s="119"/>
      <c r="BP97" s="119"/>
      <c r="BQ97" s="133"/>
      <c r="BR97" s="119"/>
      <c r="BS97" s="119"/>
      <c r="BT97" s="119"/>
      <c r="BU97" s="119"/>
      <c r="BV97" s="133"/>
      <c r="BW97" s="119"/>
      <c r="BX97" s="119"/>
      <c r="BY97" s="119"/>
      <c r="BZ97" s="119"/>
      <c r="CA97" s="133"/>
      <c r="CB97" s="119"/>
      <c r="CC97" s="119"/>
      <c r="CD97" s="119"/>
      <c r="CE97" s="119"/>
      <c r="CF97" s="133"/>
    </row>
    <row r="98" spans="1:84" ht="12.75">
      <c r="A98" s="119" t="s">
        <v>435</v>
      </c>
      <c r="B98" s="119" t="s">
        <v>436</v>
      </c>
      <c r="C98" s="119" t="s">
        <v>214</v>
      </c>
      <c r="D98" s="119" t="s">
        <v>158</v>
      </c>
      <c r="E98" s="119" t="s">
        <v>32</v>
      </c>
      <c r="F98" s="131">
        <f t="shared" si="0"/>
        <v>0</v>
      </c>
      <c r="G98" s="119">
        <f t="shared" si="1"/>
        <v>0</v>
      </c>
      <c r="H98" s="119">
        <f t="shared" ref="H98:I98" si="98">SUM(L98,Q98,V98,AA98,AF98,AK98,AP98,AU98,AZ98,BE98,BJ98,BO98,BT98,BY98,CD98)</f>
        <v>0</v>
      </c>
      <c r="I98" s="132">
        <f t="shared" si="98"/>
        <v>0</v>
      </c>
      <c r="J98" s="119">
        <v>0</v>
      </c>
      <c r="K98" s="119" t="s">
        <v>173</v>
      </c>
      <c r="L98" s="119">
        <v>0</v>
      </c>
      <c r="M98" s="119">
        <v>0</v>
      </c>
      <c r="N98" s="133">
        <v>0</v>
      </c>
      <c r="O98" s="119">
        <v>0</v>
      </c>
      <c r="P98" s="119" t="s">
        <v>173</v>
      </c>
      <c r="Q98" s="119">
        <v>0</v>
      </c>
      <c r="R98" s="119">
        <v>0</v>
      </c>
      <c r="S98" s="133">
        <v>0</v>
      </c>
      <c r="T98" s="119">
        <v>0</v>
      </c>
      <c r="U98" s="119" t="s">
        <v>173</v>
      </c>
      <c r="V98" s="119">
        <v>0</v>
      </c>
      <c r="W98" s="119">
        <v>0</v>
      </c>
      <c r="X98" s="133">
        <v>0</v>
      </c>
      <c r="Y98" s="119">
        <v>0</v>
      </c>
      <c r="Z98" s="119" t="s">
        <v>173</v>
      </c>
      <c r="AA98" s="119">
        <v>0</v>
      </c>
      <c r="AB98" s="119">
        <v>0</v>
      </c>
      <c r="AC98" s="133">
        <v>0</v>
      </c>
      <c r="AD98" s="119">
        <v>0</v>
      </c>
      <c r="AE98" s="119" t="s">
        <v>173</v>
      </c>
      <c r="AF98" s="119">
        <v>0</v>
      </c>
      <c r="AG98" s="119">
        <v>0</v>
      </c>
      <c r="AH98" s="133">
        <v>0</v>
      </c>
      <c r="AI98" s="119">
        <v>0</v>
      </c>
      <c r="AJ98" s="119" t="s">
        <v>173</v>
      </c>
      <c r="AK98" s="119">
        <v>0</v>
      </c>
      <c r="AL98" s="119">
        <v>0</v>
      </c>
      <c r="AM98" s="133">
        <v>0</v>
      </c>
      <c r="AN98" s="119">
        <v>0</v>
      </c>
      <c r="AO98" s="119" t="s">
        <v>173</v>
      </c>
      <c r="AP98" s="119">
        <v>0</v>
      </c>
      <c r="AQ98" s="119">
        <v>0</v>
      </c>
      <c r="AR98" s="133">
        <v>0</v>
      </c>
      <c r="AS98" s="119"/>
      <c r="AT98" s="119"/>
      <c r="AU98" s="119"/>
      <c r="AV98" s="119"/>
      <c r="AW98" s="133"/>
      <c r="AX98" s="119"/>
      <c r="AY98" s="119"/>
      <c r="AZ98" s="119"/>
      <c r="BA98" s="119"/>
      <c r="BB98" s="133"/>
      <c r="BC98" s="119"/>
      <c r="BD98" s="119"/>
      <c r="BE98" s="119"/>
      <c r="BF98" s="119"/>
      <c r="BG98" s="133"/>
      <c r="BH98" s="119"/>
      <c r="BI98" s="119"/>
      <c r="BJ98" s="119"/>
      <c r="BK98" s="119"/>
      <c r="BL98" s="133"/>
      <c r="BM98" s="119"/>
      <c r="BN98" s="119"/>
      <c r="BO98" s="119"/>
      <c r="BP98" s="119"/>
      <c r="BQ98" s="133"/>
      <c r="BR98" s="119"/>
      <c r="BS98" s="119"/>
      <c r="BT98" s="119"/>
      <c r="BU98" s="119"/>
      <c r="BV98" s="133"/>
      <c r="BW98" s="119"/>
      <c r="BX98" s="119"/>
      <c r="BY98" s="119"/>
      <c r="BZ98" s="119"/>
      <c r="CA98" s="133"/>
      <c r="CB98" s="119"/>
      <c r="CC98" s="119"/>
      <c r="CD98" s="119"/>
      <c r="CE98" s="119"/>
      <c r="CF98" s="133"/>
    </row>
    <row r="99" spans="1:84" ht="12.75">
      <c r="A99" s="119" t="s">
        <v>437</v>
      </c>
      <c r="B99" s="119" t="s">
        <v>438</v>
      </c>
      <c r="C99" s="119" t="s">
        <v>439</v>
      </c>
      <c r="D99" s="119" t="s">
        <v>152</v>
      </c>
      <c r="E99" s="119" t="s">
        <v>32</v>
      </c>
      <c r="F99" s="131">
        <f t="shared" si="0"/>
        <v>0</v>
      </c>
      <c r="G99" s="119">
        <f t="shared" si="1"/>
        <v>0</v>
      </c>
      <c r="H99" s="119">
        <f t="shared" ref="H99:I99" si="99">SUM(L99,Q99,V99,AA99,AF99,AK99,AP99,AU99,AZ99,BE99,BJ99,BO99,BT99,BY99,CD99)</f>
        <v>0</v>
      </c>
      <c r="I99" s="132">
        <f t="shared" si="99"/>
        <v>0</v>
      </c>
      <c r="J99" s="119">
        <v>0</v>
      </c>
      <c r="K99" s="119" t="s">
        <v>173</v>
      </c>
      <c r="L99" s="119">
        <v>0</v>
      </c>
      <c r="M99" s="119">
        <v>0</v>
      </c>
      <c r="N99" s="133">
        <v>0</v>
      </c>
      <c r="O99" s="119">
        <v>0</v>
      </c>
      <c r="P99" s="119" t="s">
        <v>173</v>
      </c>
      <c r="Q99" s="119">
        <v>0</v>
      </c>
      <c r="R99" s="119">
        <v>0</v>
      </c>
      <c r="S99" s="133">
        <v>0</v>
      </c>
      <c r="T99" s="119">
        <v>0</v>
      </c>
      <c r="U99" s="119" t="s">
        <v>173</v>
      </c>
      <c r="V99" s="119">
        <v>0</v>
      </c>
      <c r="W99" s="119">
        <v>0</v>
      </c>
      <c r="X99" s="133">
        <v>0</v>
      </c>
      <c r="Y99" s="119">
        <v>0</v>
      </c>
      <c r="Z99" s="119" t="s">
        <v>173</v>
      </c>
      <c r="AA99" s="119">
        <v>0</v>
      </c>
      <c r="AB99" s="119">
        <v>0</v>
      </c>
      <c r="AC99" s="133">
        <v>0</v>
      </c>
      <c r="AD99" s="119">
        <v>0</v>
      </c>
      <c r="AE99" s="119" t="s">
        <v>173</v>
      </c>
      <c r="AF99" s="119">
        <v>0</v>
      </c>
      <c r="AG99" s="119">
        <v>0</v>
      </c>
      <c r="AH99" s="133">
        <v>0</v>
      </c>
      <c r="AI99" s="119">
        <v>0</v>
      </c>
      <c r="AJ99" s="119" t="s">
        <v>173</v>
      </c>
      <c r="AK99" s="119">
        <v>0</v>
      </c>
      <c r="AL99" s="119">
        <v>0</v>
      </c>
      <c r="AM99" s="133">
        <v>0</v>
      </c>
      <c r="AN99" s="119">
        <v>0</v>
      </c>
      <c r="AO99" s="119" t="s">
        <v>173</v>
      </c>
      <c r="AP99" s="119">
        <v>0</v>
      </c>
      <c r="AQ99" s="119">
        <v>0</v>
      </c>
      <c r="AR99" s="133">
        <v>0</v>
      </c>
      <c r="AS99" s="119"/>
      <c r="AT99" s="119"/>
      <c r="AU99" s="119"/>
      <c r="AV99" s="119"/>
      <c r="AW99" s="133"/>
      <c r="AX99" s="119"/>
      <c r="AY99" s="119"/>
      <c r="AZ99" s="119"/>
      <c r="BA99" s="119"/>
      <c r="BB99" s="133"/>
      <c r="BC99" s="119"/>
      <c r="BD99" s="119"/>
      <c r="BE99" s="119"/>
      <c r="BF99" s="119"/>
      <c r="BG99" s="133"/>
      <c r="BH99" s="119"/>
      <c r="BI99" s="119"/>
      <c r="BJ99" s="119"/>
      <c r="BK99" s="119"/>
      <c r="BL99" s="133"/>
      <c r="BM99" s="119"/>
      <c r="BN99" s="119"/>
      <c r="BO99" s="119"/>
      <c r="BP99" s="119"/>
      <c r="BQ99" s="133"/>
      <c r="BR99" s="119"/>
      <c r="BS99" s="119"/>
      <c r="BT99" s="119"/>
      <c r="BU99" s="119"/>
      <c r="BV99" s="133"/>
      <c r="BW99" s="119"/>
      <c r="BX99" s="119"/>
      <c r="BY99" s="119"/>
      <c r="BZ99" s="119"/>
      <c r="CA99" s="133"/>
      <c r="CB99" s="119"/>
      <c r="CC99" s="119"/>
      <c r="CD99" s="119"/>
      <c r="CE99" s="119"/>
      <c r="CF99" s="133"/>
    </row>
    <row r="100" spans="1:84" ht="12.75">
      <c r="A100" s="119" t="s">
        <v>440</v>
      </c>
      <c r="B100" s="119" t="s">
        <v>441</v>
      </c>
      <c r="C100" s="119" t="s">
        <v>442</v>
      </c>
      <c r="D100" s="119" t="s">
        <v>152</v>
      </c>
      <c r="E100" s="119" t="s">
        <v>21</v>
      </c>
      <c r="F100" s="131">
        <f t="shared" si="0"/>
        <v>9</v>
      </c>
      <c r="G100" s="119">
        <f t="shared" si="1"/>
        <v>4</v>
      </c>
      <c r="H100" s="119">
        <f t="shared" ref="H100:I100" si="100">SUM(L100,Q100,V100,AA100,AF100,AK100,AP100,AU100,AZ100,BE100,BJ100,BO100,BT100,BY100,CD100)</f>
        <v>200</v>
      </c>
      <c r="I100" s="132">
        <f t="shared" si="100"/>
        <v>0</v>
      </c>
      <c r="J100" s="119">
        <v>0</v>
      </c>
      <c r="K100" s="119">
        <v>0</v>
      </c>
      <c r="L100" s="119">
        <v>0</v>
      </c>
      <c r="M100" s="119">
        <v>0</v>
      </c>
      <c r="N100" s="133">
        <v>0</v>
      </c>
      <c r="O100" s="119">
        <v>1</v>
      </c>
      <c r="P100" s="119" t="s">
        <v>443</v>
      </c>
      <c r="Q100" s="119"/>
      <c r="R100" s="119">
        <v>0</v>
      </c>
      <c r="S100" s="133">
        <v>5</v>
      </c>
      <c r="T100" s="119">
        <v>0</v>
      </c>
      <c r="U100" s="119">
        <v>0</v>
      </c>
      <c r="V100" s="119">
        <v>0</v>
      </c>
      <c r="W100" s="119">
        <v>0</v>
      </c>
      <c r="X100" s="133">
        <v>0</v>
      </c>
      <c r="Y100" s="119">
        <v>1</v>
      </c>
      <c r="Z100" s="119" t="s">
        <v>444</v>
      </c>
      <c r="AA100" s="119"/>
      <c r="AB100" s="119">
        <v>0</v>
      </c>
      <c r="AC100" s="133">
        <v>0</v>
      </c>
      <c r="AD100" s="119">
        <v>1</v>
      </c>
      <c r="AE100" s="119" t="s">
        <v>444</v>
      </c>
      <c r="AF100" s="119"/>
      <c r="AG100" s="119">
        <v>0</v>
      </c>
      <c r="AH100" s="133">
        <v>4</v>
      </c>
      <c r="AI100" s="119">
        <v>1</v>
      </c>
      <c r="AJ100" s="119">
        <v>0</v>
      </c>
      <c r="AK100" s="119">
        <v>200</v>
      </c>
      <c r="AL100" s="119">
        <v>0</v>
      </c>
      <c r="AM100" s="133">
        <v>0</v>
      </c>
      <c r="AN100" s="119">
        <v>0</v>
      </c>
      <c r="AO100" s="119">
        <v>0</v>
      </c>
      <c r="AP100" s="119">
        <v>0</v>
      </c>
      <c r="AQ100" s="119">
        <v>0</v>
      </c>
      <c r="AR100" s="133">
        <v>0</v>
      </c>
      <c r="AS100" s="119"/>
      <c r="AT100" s="119"/>
      <c r="AU100" s="119"/>
      <c r="AV100" s="119"/>
      <c r="AW100" s="133"/>
      <c r="AX100" s="119"/>
      <c r="AY100" s="119"/>
      <c r="AZ100" s="119"/>
      <c r="BA100" s="119"/>
      <c r="BB100" s="133"/>
      <c r="BC100" s="119"/>
      <c r="BD100" s="119"/>
      <c r="BE100" s="119"/>
      <c r="BF100" s="119"/>
      <c r="BG100" s="133"/>
      <c r="BH100" s="119"/>
      <c r="BI100" s="119"/>
      <c r="BJ100" s="119"/>
      <c r="BK100" s="119"/>
      <c r="BL100" s="133"/>
      <c r="BM100" s="119"/>
      <c r="BN100" s="119"/>
      <c r="BO100" s="119"/>
      <c r="BP100" s="119"/>
      <c r="BQ100" s="133"/>
      <c r="BR100" s="119"/>
      <c r="BS100" s="119"/>
      <c r="BT100" s="119"/>
      <c r="BU100" s="119"/>
      <c r="BV100" s="133"/>
      <c r="BW100" s="119"/>
      <c r="BX100" s="119"/>
      <c r="BY100" s="119"/>
      <c r="BZ100" s="119"/>
      <c r="CA100" s="133"/>
      <c r="CB100" s="119"/>
      <c r="CC100" s="119"/>
      <c r="CD100" s="119"/>
      <c r="CE100" s="119"/>
      <c r="CF100" s="133"/>
    </row>
    <row r="101" spans="1:84" ht="12.75">
      <c r="A101" s="119" t="s">
        <v>445</v>
      </c>
      <c r="B101" s="119" t="s">
        <v>446</v>
      </c>
      <c r="C101" s="119" t="s">
        <v>447</v>
      </c>
      <c r="D101" s="119" t="s">
        <v>158</v>
      </c>
      <c r="E101" s="119" t="s">
        <v>21</v>
      </c>
      <c r="F101" s="131">
        <f t="shared" si="0"/>
        <v>12</v>
      </c>
      <c r="G101" s="119">
        <f t="shared" si="1"/>
        <v>3</v>
      </c>
      <c r="H101" s="119">
        <f t="shared" ref="H101:I101" si="101">SUM(L101,Q101,V101,AA101,AF101,AK101,AP101,AU101,AZ101,BE101,BJ101,BO101,BT101,BY101,CD101)</f>
        <v>0</v>
      </c>
      <c r="I101" s="132">
        <f t="shared" si="101"/>
        <v>0</v>
      </c>
      <c r="J101" s="119">
        <v>0</v>
      </c>
      <c r="K101" s="119">
        <v>0</v>
      </c>
      <c r="L101" s="119">
        <v>0</v>
      </c>
      <c r="M101" s="119">
        <v>0</v>
      </c>
      <c r="N101" s="133">
        <v>0</v>
      </c>
      <c r="O101" s="119">
        <v>1</v>
      </c>
      <c r="P101" s="119" t="s">
        <v>443</v>
      </c>
      <c r="Q101" s="119"/>
      <c r="R101" s="119">
        <v>0</v>
      </c>
      <c r="S101" s="133">
        <v>4</v>
      </c>
      <c r="T101" s="119">
        <v>0</v>
      </c>
      <c r="U101" s="119">
        <v>0</v>
      </c>
      <c r="V101" s="119">
        <v>0</v>
      </c>
      <c r="W101" s="119">
        <v>0</v>
      </c>
      <c r="X101" s="133">
        <v>0</v>
      </c>
      <c r="Y101" s="119">
        <v>1</v>
      </c>
      <c r="Z101" s="119" t="s">
        <v>444</v>
      </c>
      <c r="AA101" s="119"/>
      <c r="AB101" s="119">
        <v>0</v>
      </c>
      <c r="AC101" s="133">
        <v>0</v>
      </c>
      <c r="AD101" s="119">
        <v>1</v>
      </c>
      <c r="AE101" s="119" t="s">
        <v>444</v>
      </c>
      <c r="AF101" s="119"/>
      <c r="AG101" s="119">
        <v>0</v>
      </c>
      <c r="AH101" s="133">
        <v>8</v>
      </c>
      <c r="AI101" s="119">
        <v>0</v>
      </c>
      <c r="AJ101" s="119">
        <v>0</v>
      </c>
      <c r="AK101" s="119">
        <v>0</v>
      </c>
      <c r="AL101" s="119">
        <v>0</v>
      </c>
      <c r="AM101" s="133">
        <v>0</v>
      </c>
      <c r="AN101" s="119">
        <v>0</v>
      </c>
      <c r="AO101" s="119">
        <v>0</v>
      </c>
      <c r="AP101" s="119">
        <v>0</v>
      </c>
      <c r="AQ101" s="119">
        <v>0</v>
      </c>
      <c r="AR101" s="133">
        <v>0</v>
      </c>
      <c r="AS101" s="119"/>
      <c r="AT101" s="119"/>
      <c r="AU101" s="119"/>
      <c r="AV101" s="119"/>
      <c r="AW101" s="133"/>
      <c r="AX101" s="119"/>
      <c r="AY101" s="119"/>
      <c r="AZ101" s="119"/>
      <c r="BA101" s="119"/>
      <c r="BB101" s="133"/>
      <c r="BC101" s="119"/>
      <c r="BD101" s="119"/>
      <c r="BE101" s="119"/>
      <c r="BF101" s="119"/>
      <c r="BG101" s="133"/>
      <c r="BH101" s="119"/>
      <c r="BI101" s="119"/>
      <c r="BJ101" s="119"/>
      <c r="BK101" s="119"/>
      <c r="BL101" s="133"/>
      <c r="BM101" s="119"/>
      <c r="BN101" s="119"/>
      <c r="BO101" s="119"/>
      <c r="BP101" s="119"/>
      <c r="BQ101" s="133"/>
      <c r="BR101" s="119"/>
      <c r="BS101" s="119"/>
      <c r="BT101" s="119"/>
      <c r="BU101" s="119"/>
      <c r="BV101" s="133"/>
      <c r="BW101" s="119"/>
      <c r="BX101" s="119"/>
      <c r="BY101" s="119"/>
      <c r="BZ101" s="119"/>
      <c r="CA101" s="133"/>
      <c r="CB101" s="119"/>
      <c r="CC101" s="119"/>
      <c r="CD101" s="119"/>
      <c r="CE101" s="119"/>
      <c r="CF101" s="133"/>
    </row>
    <row r="102" spans="1:84" ht="12.75">
      <c r="A102" s="119" t="s">
        <v>448</v>
      </c>
      <c r="B102" s="119" t="s">
        <v>449</v>
      </c>
      <c r="C102" s="119" t="s">
        <v>450</v>
      </c>
      <c r="D102" s="119" t="s">
        <v>158</v>
      </c>
      <c r="E102" s="119" t="s">
        <v>21</v>
      </c>
      <c r="F102" s="131">
        <f t="shared" si="0"/>
        <v>0</v>
      </c>
      <c r="G102" s="119">
        <f t="shared" si="1"/>
        <v>0</v>
      </c>
      <c r="H102" s="119">
        <f t="shared" ref="H102:I102" si="102">SUM(L102,Q102,V102,AA102,AF102,AK102,AP102,AU102,AZ102,BE102,BJ102,BO102,BT102,BY102,CD102)</f>
        <v>0</v>
      </c>
      <c r="I102" s="132">
        <f t="shared" si="102"/>
        <v>0</v>
      </c>
      <c r="J102" s="119">
        <v>0</v>
      </c>
      <c r="K102" s="119">
        <v>0</v>
      </c>
      <c r="L102" s="119">
        <v>0</v>
      </c>
      <c r="M102" s="119">
        <v>0</v>
      </c>
      <c r="N102" s="133">
        <v>0</v>
      </c>
      <c r="O102" s="119">
        <v>0</v>
      </c>
      <c r="P102" s="119">
        <v>0</v>
      </c>
      <c r="Q102" s="119">
        <v>0</v>
      </c>
      <c r="R102" s="119">
        <v>0</v>
      </c>
      <c r="S102" s="133">
        <v>0</v>
      </c>
      <c r="T102" s="119">
        <v>0</v>
      </c>
      <c r="U102" s="119">
        <v>0</v>
      </c>
      <c r="V102" s="119">
        <v>0</v>
      </c>
      <c r="W102" s="119">
        <v>0</v>
      </c>
      <c r="X102" s="133">
        <v>0</v>
      </c>
      <c r="Y102" s="119">
        <v>0</v>
      </c>
      <c r="Z102" s="119">
        <v>0</v>
      </c>
      <c r="AA102" s="119">
        <v>0</v>
      </c>
      <c r="AB102" s="119">
        <v>0</v>
      </c>
      <c r="AC102" s="133">
        <v>0</v>
      </c>
      <c r="AD102" s="119">
        <v>0</v>
      </c>
      <c r="AE102" s="119">
        <v>0</v>
      </c>
      <c r="AF102" s="119">
        <v>0</v>
      </c>
      <c r="AG102" s="119">
        <v>0</v>
      </c>
      <c r="AH102" s="133">
        <v>0</v>
      </c>
      <c r="AI102" s="119">
        <v>0</v>
      </c>
      <c r="AJ102" s="119">
        <v>0</v>
      </c>
      <c r="AK102" s="119">
        <v>0</v>
      </c>
      <c r="AL102" s="119">
        <v>0</v>
      </c>
      <c r="AM102" s="133">
        <v>0</v>
      </c>
      <c r="AN102" s="119">
        <v>0</v>
      </c>
      <c r="AO102" s="119">
        <v>0</v>
      </c>
      <c r="AP102" s="119">
        <v>0</v>
      </c>
      <c r="AQ102" s="119">
        <v>0</v>
      </c>
      <c r="AR102" s="133">
        <v>0</v>
      </c>
      <c r="AS102" s="119"/>
      <c r="AT102" s="119"/>
      <c r="AU102" s="119"/>
      <c r="AV102" s="119"/>
      <c r="AW102" s="133"/>
      <c r="AX102" s="119"/>
      <c r="AY102" s="119"/>
      <c r="AZ102" s="119"/>
      <c r="BA102" s="119"/>
      <c r="BB102" s="133"/>
      <c r="BC102" s="119"/>
      <c r="BD102" s="119"/>
      <c r="BE102" s="119"/>
      <c r="BF102" s="119"/>
      <c r="BG102" s="133"/>
      <c r="BH102" s="119"/>
      <c r="BI102" s="119"/>
      <c r="BJ102" s="119"/>
      <c r="BK102" s="119"/>
      <c r="BL102" s="133"/>
      <c r="BM102" s="119"/>
      <c r="BN102" s="119"/>
      <c r="BO102" s="119"/>
      <c r="BP102" s="119"/>
      <c r="BQ102" s="133"/>
      <c r="BR102" s="119"/>
      <c r="BS102" s="119"/>
      <c r="BT102" s="119"/>
      <c r="BU102" s="119"/>
      <c r="BV102" s="133"/>
      <c r="BW102" s="119"/>
      <c r="BX102" s="119"/>
      <c r="BY102" s="119"/>
      <c r="BZ102" s="119"/>
      <c r="CA102" s="133"/>
      <c r="CB102" s="119"/>
      <c r="CC102" s="119"/>
      <c r="CD102" s="119"/>
      <c r="CE102" s="119"/>
      <c r="CF102" s="133"/>
    </row>
    <row r="103" spans="1:84" ht="12.75">
      <c r="A103" s="119" t="s">
        <v>451</v>
      </c>
      <c r="B103" s="119" t="s">
        <v>407</v>
      </c>
      <c r="C103" s="119" t="s">
        <v>452</v>
      </c>
      <c r="D103" s="119" t="s">
        <v>158</v>
      </c>
      <c r="E103" s="119" t="s">
        <v>21</v>
      </c>
      <c r="F103" s="131">
        <f t="shared" si="0"/>
        <v>0</v>
      </c>
      <c r="G103" s="119">
        <f t="shared" si="1"/>
        <v>0</v>
      </c>
      <c r="H103" s="119">
        <f t="shared" ref="H103:I103" si="103">SUM(L103,Q103,V103,AA103,AF103,AK103,AP103,AU103,AZ103,BE103,BJ103,BO103,BT103,BY103,CD103)</f>
        <v>0</v>
      </c>
      <c r="I103" s="132">
        <f t="shared" si="103"/>
        <v>0</v>
      </c>
      <c r="J103" s="119">
        <v>0</v>
      </c>
      <c r="K103" s="119">
        <v>0</v>
      </c>
      <c r="L103" s="119">
        <v>0</v>
      </c>
      <c r="M103" s="119">
        <v>0</v>
      </c>
      <c r="N103" s="133">
        <v>0</v>
      </c>
      <c r="O103" s="119">
        <v>0</v>
      </c>
      <c r="P103" s="119">
        <v>0</v>
      </c>
      <c r="Q103" s="119">
        <v>0</v>
      </c>
      <c r="R103" s="119">
        <v>0</v>
      </c>
      <c r="S103" s="133">
        <v>0</v>
      </c>
      <c r="T103" s="119">
        <v>0</v>
      </c>
      <c r="U103" s="119">
        <v>0</v>
      </c>
      <c r="V103" s="119">
        <v>0</v>
      </c>
      <c r="W103" s="119">
        <v>0</v>
      </c>
      <c r="X103" s="133">
        <v>0</v>
      </c>
      <c r="Y103" s="119">
        <v>0</v>
      </c>
      <c r="Z103" s="119">
        <v>0</v>
      </c>
      <c r="AA103" s="119">
        <v>0</v>
      </c>
      <c r="AB103" s="119">
        <v>0</v>
      </c>
      <c r="AC103" s="133">
        <v>0</v>
      </c>
      <c r="AD103" s="119">
        <v>0</v>
      </c>
      <c r="AE103" s="119">
        <v>0</v>
      </c>
      <c r="AF103" s="119">
        <v>0</v>
      </c>
      <c r="AG103" s="119">
        <v>0</v>
      </c>
      <c r="AH103" s="133">
        <v>0</v>
      </c>
      <c r="AI103" s="119">
        <v>0</v>
      </c>
      <c r="AJ103" s="119">
        <v>0</v>
      </c>
      <c r="AK103" s="119">
        <v>0</v>
      </c>
      <c r="AL103" s="119">
        <v>0</v>
      </c>
      <c r="AM103" s="133">
        <v>0</v>
      </c>
      <c r="AN103" s="119">
        <v>0</v>
      </c>
      <c r="AO103" s="119">
        <v>0</v>
      </c>
      <c r="AP103" s="119">
        <v>0</v>
      </c>
      <c r="AQ103" s="119">
        <v>0</v>
      </c>
      <c r="AR103" s="133">
        <v>0</v>
      </c>
      <c r="AS103" s="119"/>
      <c r="AT103" s="119"/>
      <c r="AU103" s="119"/>
      <c r="AV103" s="119"/>
      <c r="AW103" s="133"/>
      <c r="AX103" s="119"/>
      <c r="AY103" s="119"/>
      <c r="AZ103" s="119"/>
      <c r="BA103" s="119"/>
      <c r="BB103" s="133"/>
      <c r="BC103" s="119"/>
      <c r="BD103" s="119"/>
      <c r="BE103" s="119"/>
      <c r="BF103" s="119"/>
      <c r="BG103" s="133"/>
      <c r="BH103" s="119"/>
      <c r="BI103" s="119"/>
      <c r="BJ103" s="119"/>
      <c r="BK103" s="119"/>
      <c r="BL103" s="133"/>
      <c r="BM103" s="119"/>
      <c r="BN103" s="119"/>
      <c r="BO103" s="119"/>
      <c r="BP103" s="119"/>
      <c r="BQ103" s="133"/>
      <c r="BR103" s="119"/>
      <c r="BS103" s="119"/>
      <c r="BT103" s="119"/>
      <c r="BU103" s="119"/>
      <c r="BV103" s="133"/>
      <c r="BW103" s="119"/>
      <c r="BX103" s="119"/>
      <c r="BY103" s="119"/>
      <c r="BZ103" s="119"/>
      <c r="CA103" s="133"/>
      <c r="CB103" s="119"/>
      <c r="CC103" s="119"/>
      <c r="CD103" s="119"/>
      <c r="CE103" s="119"/>
      <c r="CF103" s="133"/>
    </row>
    <row r="104" spans="1:84" ht="12.75">
      <c r="A104" s="119" t="s">
        <v>453</v>
      </c>
      <c r="B104" s="119" t="s">
        <v>454</v>
      </c>
      <c r="C104" s="119" t="s">
        <v>455</v>
      </c>
      <c r="D104" s="119" t="s">
        <v>158</v>
      </c>
      <c r="E104" s="119" t="s">
        <v>21</v>
      </c>
      <c r="F104" s="131">
        <f t="shared" si="0"/>
        <v>0</v>
      </c>
      <c r="G104" s="119">
        <f t="shared" si="1"/>
        <v>0</v>
      </c>
      <c r="H104" s="119">
        <f t="shared" ref="H104:I104" si="104">SUM(L104,Q104,V104,AA104,AF104,AK104,AP104,AU104,AZ104,BE104,BJ104,BO104,BT104,BY104,CD104)</f>
        <v>0</v>
      </c>
      <c r="I104" s="132">
        <f t="shared" si="104"/>
        <v>0</v>
      </c>
      <c r="J104" s="119">
        <v>0</v>
      </c>
      <c r="K104" s="119">
        <v>0</v>
      </c>
      <c r="L104" s="119">
        <v>0</v>
      </c>
      <c r="M104" s="119">
        <v>0</v>
      </c>
      <c r="N104" s="133">
        <v>0</v>
      </c>
      <c r="O104" s="119">
        <v>0</v>
      </c>
      <c r="P104" s="119">
        <v>0</v>
      </c>
      <c r="Q104" s="119">
        <v>0</v>
      </c>
      <c r="R104" s="119">
        <v>0</v>
      </c>
      <c r="S104" s="133">
        <v>0</v>
      </c>
      <c r="T104" s="119">
        <v>0</v>
      </c>
      <c r="U104" s="119">
        <v>0</v>
      </c>
      <c r="V104" s="119">
        <v>0</v>
      </c>
      <c r="W104" s="119">
        <v>0</v>
      </c>
      <c r="X104" s="133">
        <v>0</v>
      </c>
      <c r="Y104" s="119">
        <v>0</v>
      </c>
      <c r="Z104" s="119">
        <v>0</v>
      </c>
      <c r="AA104" s="119">
        <v>0</v>
      </c>
      <c r="AB104" s="119">
        <v>0</v>
      </c>
      <c r="AC104" s="133">
        <v>0</v>
      </c>
      <c r="AD104" s="119">
        <v>0</v>
      </c>
      <c r="AE104" s="119">
        <v>0</v>
      </c>
      <c r="AF104" s="119">
        <v>0</v>
      </c>
      <c r="AG104" s="119">
        <v>0</v>
      </c>
      <c r="AH104" s="133">
        <v>0</v>
      </c>
      <c r="AI104" s="119">
        <v>0</v>
      </c>
      <c r="AJ104" s="119">
        <v>0</v>
      </c>
      <c r="AK104" s="119">
        <v>0</v>
      </c>
      <c r="AL104" s="119">
        <v>0</v>
      </c>
      <c r="AM104" s="133">
        <v>0</v>
      </c>
      <c r="AN104" s="119">
        <v>0</v>
      </c>
      <c r="AO104" s="119">
        <v>0</v>
      </c>
      <c r="AP104" s="119">
        <v>0</v>
      </c>
      <c r="AQ104" s="119">
        <v>0</v>
      </c>
      <c r="AR104" s="133">
        <v>0</v>
      </c>
      <c r="AS104" s="119"/>
      <c r="AT104" s="119"/>
      <c r="AU104" s="119"/>
      <c r="AV104" s="119"/>
      <c r="AW104" s="133"/>
      <c r="AX104" s="119"/>
      <c r="AY104" s="119"/>
      <c r="AZ104" s="119"/>
      <c r="BA104" s="119"/>
      <c r="BB104" s="133"/>
      <c r="BC104" s="119"/>
      <c r="BD104" s="119"/>
      <c r="BE104" s="119"/>
      <c r="BF104" s="119"/>
      <c r="BG104" s="133"/>
      <c r="BH104" s="119"/>
      <c r="BI104" s="119"/>
      <c r="BJ104" s="119"/>
      <c r="BK104" s="119"/>
      <c r="BL104" s="133"/>
      <c r="BM104" s="119"/>
      <c r="BN104" s="119"/>
      <c r="BO104" s="119"/>
      <c r="BP104" s="119"/>
      <c r="BQ104" s="133"/>
      <c r="BR104" s="119"/>
      <c r="BS104" s="119"/>
      <c r="BT104" s="119"/>
      <c r="BU104" s="119"/>
      <c r="BV104" s="133"/>
      <c r="BW104" s="119"/>
      <c r="BX104" s="119"/>
      <c r="BY104" s="119"/>
      <c r="BZ104" s="119"/>
      <c r="CA104" s="133"/>
      <c r="CB104" s="119"/>
      <c r="CC104" s="119"/>
      <c r="CD104" s="119"/>
      <c r="CE104" s="119"/>
      <c r="CF104" s="133"/>
    </row>
    <row r="105" spans="1:84" ht="12.75">
      <c r="A105" s="119" t="s">
        <v>456</v>
      </c>
      <c r="B105" s="119" t="s">
        <v>457</v>
      </c>
      <c r="C105" s="119" t="s">
        <v>391</v>
      </c>
      <c r="D105" s="119" t="s">
        <v>158</v>
      </c>
      <c r="E105" s="119" t="s">
        <v>21</v>
      </c>
      <c r="F105" s="131">
        <f t="shared" si="0"/>
        <v>0</v>
      </c>
      <c r="G105" s="119">
        <f t="shared" si="1"/>
        <v>0</v>
      </c>
      <c r="H105" s="119">
        <f t="shared" ref="H105:I105" si="105">SUM(L105,Q105,V105,AA105,AF105,AK105,AP105,AU105,AZ105,BE105,BJ105,BO105,BT105,BY105,CD105)</f>
        <v>0</v>
      </c>
      <c r="I105" s="132">
        <f t="shared" si="105"/>
        <v>0</v>
      </c>
      <c r="J105" s="119">
        <v>0</v>
      </c>
      <c r="K105" s="119">
        <v>0</v>
      </c>
      <c r="L105" s="119">
        <v>0</v>
      </c>
      <c r="M105" s="119">
        <v>0</v>
      </c>
      <c r="N105" s="133">
        <v>0</v>
      </c>
      <c r="O105" s="119">
        <v>0</v>
      </c>
      <c r="P105" s="119">
        <v>0</v>
      </c>
      <c r="Q105" s="119">
        <v>0</v>
      </c>
      <c r="R105" s="119">
        <v>0</v>
      </c>
      <c r="S105" s="133">
        <v>0</v>
      </c>
      <c r="T105" s="119">
        <v>0</v>
      </c>
      <c r="U105" s="119">
        <v>0</v>
      </c>
      <c r="V105" s="119">
        <v>0</v>
      </c>
      <c r="W105" s="119">
        <v>0</v>
      </c>
      <c r="X105" s="133">
        <v>0</v>
      </c>
      <c r="Y105" s="119">
        <v>0</v>
      </c>
      <c r="Z105" s="119">
        <v>0</v>
      </c>
      <c r="AA105" s="119">
        <v>0</v>
      </c>
      <c r="AB105" s="119">
        <v>0</v>
      </c>
      <c r="AC105" s="133">
        <v>0</v>
      </c>
      <c r="AD105" s="119">
        <v>0</v>
      </c>
      <c r="AE105" s="119">
        <v>0</v>
      </c>
      <c r="AF105" s="119">
        <v>0</v>
      </c>
      <c r="AG105" s="119">
        <v>0</v>
      </c>
      <c r="AH105" s="133">
        <v>0</v>
      </c>
      <c r="AI105" s="119">
        <v>0</v>
      </c>
      <c r="AJ105" s="119">
        <v>0</v>
      </c>
      <c r="AK105" s="119">
        <v>0</v>
      </c>
      <c r="AL105" s="119">
        <v>0</v>
      </c>
      <c r="AM105" s="133">
        <v>0</v>
      </c>
      <c r="AN105" s="119">
        <v>0</v>
      </c>
      <c r="AO105" s="119">
        <v>0</v>
      </c>
      <c r="AP105" s="119">
        <v>0</v>
      </c>
      <c r="AQ105" s="119">
        <v>0</v>
      </c>
      <c r="AR105" s="133">
        <v>0</v>
      </c>
      <c r="AS105" s="119"/>
      <c r="AT105" s="119"/>
      <c r="AU105" s="119"/>
      <c r="AV105" s="119"/>
      <c r="AW105" s="133"/>
      <c r="AX105" s="119"/>
      <c r="AY105" s="119"/>
      <c r="AZ105" s="119"/>
      <c r="BA105" s="119"/>
      <c r="BB105" s="133"/>
      <c r="BC105" s="119"/>
      <c r="BD105" s="119"/>
      <c r="BE105" s="119"/>
      <c r="BF105" s="119"/>
      <c r="BG105" s="133"/>
      <c r="BH105" s="119"/>
      <c r="BI105" s="119"/>
      <c r="BJ105" s="119"/>
      <c r="BK105" s="119"/>
      <c r="BL105" s="133"/>
      <c r="BM105" s="119"/>
      <c r="BN105" s="119"/>
      <c r="BO105" s="119"/>
      <c r="BP105" s="119"/>
      <c r="BQ105" s="133"/>
      <c r="BR105" s="119"/>
      <c r="BS105" s="119"/>
      <c r="BT105" s="119"/>
      <c r="BU105" s="119"/>
      <c r="BV105" s="133"/>
      <c r="BW105" s="119"/>
      <c r="BX105" s="119"/>
      <c r="BY105" s="119"/>
      <c r="BZ105" s="119"/>
      <c r="CA105" s="133"/>
      <c r="CB105" s="119"/>
      <c r="CC105" s="119"/>
      <c r="CD105" s="119"/>
      <c r="CE105" s="119"/>
      <c r="CF105" s="133"/>
    </row>
    <row r="106" spans="1:84" ht="12.75">
      <c r="A106" s="119" t="s">
        <v>458</v>
      </c>
      <c r="B106" s="119" t="s">
        <v>459</v>
      </c>
      <c r="C106" s="119" t="s">
        <v>173</v>
      </c>
      <c r="D106" s="119" t="s">
        <v>152</v>
      </c>
      <c r="E106" s="119" t="s">
        <v>21</v>
      </c>
      <c r="F106" s="131">
        <f t="shared" si="0"/>
        <v>0</v>
      </c>
      <c r="G106" s="119">
        <f t="shared" si="1"/>
        <v>1</v>
      </c>
      <c r="H106" s="119">
        <f t="shared" ref="H106:I106" si="106">SUM(L106,Q106,V106,AA106,AF106,AK106,AP106,AU106,AZ106,BE106,BJ106,BO106,BT106,BY106,CD106)</f>
        <v>200</v>
      </c>
      <c r="I106" s="132">
        <f t="shared" si="106"/>
        <v>0</v>
      </c>
      <c r="J106" s="119">
        <v>0</v>
      </c>
      <c r="K106" s="119">
        <v>0</v>
      </c>
      <c r="L106" s="119">
        <v>0</v>
      </c>
      <c r="M106" s="119">
        <v>0</v>
      </c>
      <c r="N106" s="133">
        <v>0</v>
      </c>
      <c r="O106" s="119">
        <v>0</v>
      </c>
      <c r="P106" s="119">
        <v>0</v>
      </c>
      <c r="Q106" s="119">
        <v>0</v>
      </c>
      <c r="R106" s="119">
        <v>0</v>
      </c>
      <c r="S106" s="133">
        <v>0</v>
      </c>
      <c r="T106" s="119">
        <v>0</v>
      </c>
      <c r="U106" s="119">
        <v>0</v>
      </c>
      <c r="V106" s="119">
        <v>0</v>
      </c>
      <c r="W106" s="119">
        <v>0</v>
      </c>
      <c r="X106" s="133">
        <v>0</v>
      </c>
      <c r="Y106" s="119">
        <v>0</v>
      </c>
      <c r="Z106" s="119">
        <v>0</v>
      </c>
      <c r="AA106" s="119">
        <v>0</v>
      </c>
      <c r="AB106" s="119">
        <v>0</v>
      </c>
      <c r="AC106" s="133">
        <v>0</v>
      </c>
      <c r="AD106" s="119">
        <v>0</v>
      </c>
      <c r="AE106" s="119">
        <v>0</v>
      </c>
      <c r="AF106" s="119">
        <v>0</v>
      </c>
      <c r="AG106" s="119">
        <v>0</v>
      </c>
      <c r="AH106" s="133">
        <v>0</v>
      </c>
      <c r="AI106" s="119">
        <v>1</v>
      </c>
      <c r="AJ106" s="119">
        <v>0</v>
      </c>
      <c r="AK106" s="119">
        <v>200</v>
      </c>
      <c r="AL106" s="119">
        <v>0</v>
      </c>
      <c r="AM106" s="133">
        <v>0</v>
      </c>
      <c r="AN106" s="119">
        <v>0</v>
      </c>
      <c r="AO106" s="119">
        <v>0</v>
      </c>
      <c r="AP106" s="119">
        <v>0</v>
      </c>
      <c r="AQ106" s="119">
        <v>0</v>
      </c>
      <c r="AR106" s="133">
        <v>0</v>
      </c>
      <c r="AS106" s="119"/>
      <c r="AT106" s="119"/>
      <c r="AU106" s="119"/>
      <c r="AV106" s="119"/>
      <c r="AW106" s="133"/>
      <c r="AX106" s="119"/>
      <c r="AY106" s="119"/>
      <c r="AZ106" s="119"/>
      <c r="BA106" s="119"/>
      <c r="BB106" s="133"/>
      <c r="BC106" s="119"/>
      <c r="BD106" s="119"/>
      <c r="BE106" s="119"/>
      <c r="BF106" s="119"/>
      <c r="BG106" s="133"/>
      <c r="BH106" s="119"/>
      <c r="BI106" s="119"/>
      <c r="BJ106" s="119"/>
      <c r="BK106" s="119"/>
      <c r="BL106" s="133"/>
      <c r="BM106" s="119"/>
      <c r="BN106" s="119"/>
      <c r="BO106" s="119"/>
      <c r="BP106" s="119"/>
      <c r="BQ106" s="133"/>
      <c r="BR106" s="119"/>
      <c r="BS106" s="119"/>
      <c r="BT106" s="119"/>
      <c r="BU106" s="119"/>
      <c r="BV106" s="133"/>
      <c r="BW106" s="119"/>
      <c r="BX106" s="119"/>
      <c r="BY106" s="119"/>
      <c r="BZ106" s="119"/>
      <c r="CA106" s="133"/>
      <c r="CB106" s="119"/>
      <c r="CC106" s="119"/>
      <c r="CD106" s="119"/>
      <c r="CE106" s="119"/>
      <c r="CF106" s="133"/>
    </row>
    <row r="107" spans="1:84" ht="12.75">
      <c r="A107" s="119" t="s">
        <v>460</v>
      </c>
      <c r="B107" s="119" t="s">
        <v>461</v>
      </c>
      <c r="C107" s="119" t="s">
        <v>462</v>
      </c>
      <c r="D107" s="119" t="s">
        <v>152</v>
      </c>
      <c r="E107" s="119" t="s">
        <v>463</v>
      </c>
      <c r="F107" s="131">
        <f t="shared" si="0"/>
        <v>0</v>
      </c>
      <c r="G107" s="119">
        <f t="shared" si="1"/>
        <v>1</v>
      </c>
      <c r="H107" s="119">
        <f t="shared" ref="H107:I107" si="107">SUM(L107,Q107,V107,AA107,AF107,AK107,AP107,AU107,AZ107,BE107,BJ107,BO107,BT107,BY107,CD107)</f>
        <v>200</v>
      </c>
      <c r="I107" s="132">
        <f t="shared" si="107"/>
        <v>0</v>
      </c>
      <c r="J107" s="119">
        <v>0</v>
      </c>
      <c r="K107" s="119">
        <v>0</v>
      </c>
      <c r="L107" s="119">
        <v>0</v>
      </c>
      <c r="M107" s="119">
        <v>0</v>
      </c>
      <c r="N107" s="133">
        <v>0</v>
      </c>
      <c r="O107" s="119">
        <v>1</v>
      </c>
      <c r="P107" s="119">
        <v>0</v>
      </c>
      <c r="Q107" s="119">
        <v>200</v>
      </c>
      <c r="R107" s="119">
        <v>0</v>
      </c>
      <c r="S107" s="133">
        <v>0</v>
      </c>
      <c r="T107" s="119">
        <v>0</v>
      </c>
      <c r="U107" s="119">
        <v>0</v>
      </c>
      <c r="V107" s="119">
        <v>0</v>
      </c>
      <c r="W107" s="119">
        <v>0</v>
      </c>
      <c r="X107" s="133">
        <v>0</v>
      </c>
      <c r="Y107" s="119">
        <v>0</v>
      </c>
      <c r="Z107" s="119">
        <v>0</v>
      </c>
      <c r="AA107" s="119">
        <v>0</v>
      </c>
      <c r="AB107" s="119">
        <v>0</v>
      </c>
      <c r="AC107" s="133">
        <v>0</v>
      </c>
      <c r="AD107" s="119">
        <v>0</v>
      </c>
      <c r="AE107" s="119">
        <v>0</v>
      </c>
      <c r="AF107" s="119">
        <v>0</v>
      </c>
      <c r="AG107" s="119">
        <v>0</v>
      </c>
      <c r="AH107" s="133">
        <v>0</v>
      </c>
      <c r="AI107" s="119"/>
      <c r="AJ107" s="119"/>
      <c r="AK107" s="119"/>
      <c r="AL107" s="119"/>
      <c r="AM107" s="133"/>
      <c r="AN107" s="119"/>
      <c r="AO107" s="119"/>
      <c r="AP107" s="119"/>
      <c r="AQ107" s="119"/>
      <c r="AR107" s="133"/>
      <c r="AS107" s="119"/>
      <c r="AT107" s="119"/>
      <c r="AU107" s="119"/>
      <c r="AV107" s="119"/>
      <c r="AW107" s="133"/>
      <c r="AX107" s="119"/>
      <c r="AY107" s="119"/>
      <c r="AZ107" s="119"/>
      <c r="BA107" s="119"/>
      <c r="BB107" s="133"/>
      <c r="BC107" s="119"/>
      <c r="BD107" s="119"/>
      <c r="BE107" s="119"/>
      <c r="BF107" s="119"/>
      <c r="BG107" s="133"/>
      <c r="BH107" s="119"/>
      <c r="BI107" s="119"/>
      <c r="BJ107" s="119"/>
      <c r="BK107" s="119"/>
      <c r="BL107" s="133"/>
      <c r="BM107" s="119"/>
      <c r="BN107" s="119"/>
      <c r="BO107" s="119"/>
      <c r="BP107" s="119"/>
      <c r="BQ107" s="133"/>
      <c r="BR107" s="119"/>
      <c r="BS107" s="119"/>
      <c r="BT107" s="119"/>
      <c r="BU107" s="119"/>
      <c r="BV107" s="133"/>
      <c r="BW107" s="119"/>
      <c r="BX107" s="119"/>
      <c r="BY107" s="119"/>
      <c r="BZ107" s="119"/>
      <c r="CA107" s="133"/>
      <c r="CB107" s="119"/>
      <c r="CC107" s="119"/>
      <c r="CD107" s="119"/>
      <c r="CE107" s="119"/>
      <c r="CF107" s="133"/>
    </row>
    <row r="108" spans="1:84" ht="12.75">
      <c r="A108" s="119" t="s">
        <v>464</v>
      </c>
      <c r="B108" s="119" t="s">
        <v>465</v>
      </c>
      <c r="C108" s="119" t="s">
        <v>327</v>
      </c>
      <c r="D108" s="119" t="s">
        <v>158</v>
      </c>
      <c r="E108" s="119" t="s">
        <v>463</v>
      </c>
      <c r="F108" s="131">
        <f t="shared" si="0"/>
        <v>0</v>
      </c>
      <c r="G108" s="119">
        <f t="shared" si="1"/>
        <v>0</v>
      </c>
      <c r="H108" s="119">
        <f t="shared" ref="H108:I108" si="108">SUM(L108,Q108,V108,AA108,AF108,AK108,AP108,AU108,AZ108,BE108,BJ108,BO108,BT108,BY108,CD108)</f>
        <v>0</v>
      </c>
      <c r="I108" s="132">
        <f t="shared" si="108"/>
        <v>0</v>
      </c>
      <c r="J108" s="119">
        <v>0</v>
      </c>
      <c r="K108" s="119">
        <v>0</v>
      </c>
      <c r="L108" s="119">
        <v>0</v>
      </c>
      <c r="M108" s="119">
        <v>0</v>
      </c>
      <c r="N108" s="133">
        <v>0</v>
      </c>
      <c r="O108" s="119">
        <v>0</v>
      </c>
      <c r="P108" s="119">
        <v>0</v>
      </c>
      <c r="Q108" s="119">
        <v>0</v>
      </c>
      <c r="R108" s="119">
        <v>0</v>
      </c>
      <c r="S108" s="133">
        <v>0</v>
      </c>
      <c r="T108" s="119">
        <v>0</v>
      </c>
      <c r="U108" s="119">
        <v>0</v>
      </c>
      <c r="V108" s="119">
        <v>0</v>
      </c>
      <c r="W108" s="119">
        <v>0</v>
      </c>
      <c r="X108" s="133">
        <v>0</v>
      </c>
      <c r="Y108" s="119">
        <v>0</v>
      </c>
      <c r="Z108" s="119">
        <v>0</v>
      </c>
      <c r="AA108" s="119">
        <v>0</v>
      </c>
      <c r="AB108" s="119">
        <v>0</v>
      </c>
      <c r="AC108" s="133">
        <v>0</v>
      </c>
      <c r="AD108" s="119">
        <v>0</v>
      </c>
      <c r="AE108" s="119">
        <v>0</v>
      </c>
      <c r="AF108" s="119">
        <v>0</v>
      </c>
      <c r="AG108" s="119">
        <v>0</v>
      </c>
      <c r="AH108" s="133">
        <v>0</v>
      </c>
      <c r="AI108" s="119"/>
      <c r="AJ108" s="119"/>
      <c r="AK108" s="119"/>
      <c r="AL108" s="119"/>
      <c r="AM108" s="133"/>
      <c r="AN108" s="119"/>
      <c r="AO108" s="119"/>
      <c r="AP108" s="119"/>
      <c r="AQ108" s="119"/>
      <c r="AR108" s="133"/>
      <c r="AS108" s="119"/>
      <c r="AT108" s="119"/>
      <c r="AU108" s="119"/>
      <c r="AV108" s="119"/>
      <c r="AW108" s="133"/>
      <c r="AX108" s="119"/>
      <c r="AY108" s="119"/>
      <c r="AZ108" s="119"/>
      <c r="BA108" s="119"/>
      <c r="BB108" s="133"/>
      <c r="BC108" s="119"/>
      <c r="BD108" s="119"/>
      <c r="BE108" s="119"/>
      <c r="BF108" s="119"/>
      <c r="BG108" s="133"/>
      <c r="BH108" s="119"/>
      <c r="BI108" s="119"/>
      <c r="BJ108" s="119"/>
      <c r="BK108" s="119"/>
      <c r="BL108" s="133"/>
      <c r="BM108" s="119"/>
      <c r="BN108" s="119"/>
      <c r="BO108" s="119"/>
      <c r="BP108" s="119"/>
      <c r="BQ108" s="133"/>
      <c r="BR108" s="119"/>
      <c r="BS108" s="119"/>
      <c r="BT108" s="119"/>
      <c r="BU108" s="119"/>
      <c r="BV108" s="133"/>
      <c r="BW108" s="119"/>
      <c r="BX108" s="119"/>
      <c r="BY108" s="119"/>
      <c r="BZ108" s="119"/>
      <c r="CA108" s="133"/>
      <c r="CB108" s="119"/>
      <c r="CC108" s="119"/>
      <c r="CD108" s="119"/>
      <c r="CE108" s="119"/>
      <c r="CF108" s="133"/>
    </row>
    <row r="109" spans="1:84" ht="12.75">
      <c r="A109" s="119" t="s">
        <v>466</v>
      </c>
      <c r="B109" s="119" t="s">
        <v>467</v>
      </c>
      <c r="C109" s="119" t="s">
        <v>468</v>
      </c>
      <c r="D109" s="119" t="s">
        <v>158</v>
      </c>
      <c r="E109" s="119" t="s">
        <v>463</v>
      </c>
      <c r="F109" s="131">
        <f t="shared" si="0"/>
        <v>0</v>
      </c>
      <c r="G109" s="119">
        <f t="shared" si="1"/>
        <v>0</v>
      </c>
      <c r="H109" s="119">
        <f t="shared" ref="H109:I109" si="109">SUM(L109,Q109,V109,AA109,AF109,AK109,AP109,AU109,AZ109,BE109,BJ109,BO109,BT109,BY109,CD109)</f>
        <v>0</v>
      </c>
      <c r="I109" s="132">
        <f t="shared" si="109"/>
        <v>0</v>
      </c>
      <c r="J109" s="119">
        <v>0</v>
      </c>
      <c r="K109" s="119">
        <v>0</v>
      </c>
      <c r="L109" s="119">
        <v>0</v>
      </c>
      <c r="M109" s="119">
        <v>0</v>
      </c>
      <c r="N109" s="133">
        <v>0</v>
      </c>
      <c r="O109" s="119">
        <v>0</v>
      </c>
      <c r="P109" s="119">
        <v>0</v>
      </c>
      <c r="Q109" s="119">
        <v>0</v>
      </c>
      <c r="R109" s="119">
        <v>0</v>
      </c>
      <c r="S109" s="133">
        <v>0</v>
      </c>
      <c r="T109" s="119">
        <v>0</v>
      </c>
      <c r="U109" s="119">
        <v>0</v>
      </c>
      <c r="V109" s="119">
        <v>0</v>
      </c>
      <c r="W109" s="119">
        <v>0</v>
      </c>
      <c r="X109" s="133">
        <v>0</v>
      </c>
      <c r="Y109" s="119">
        <v>0</v>
      </c>
      <c r="Z109" s="119">
        <v>0</v>
      </c>
      <c r="AA109" s="119">
        <v>0</v>
      </c>
      <c r="AB109" s="119">
        <v>0</v>
      </c>
      <c r="AC109" s="133">
        <v>0</v>
      </c>
      <c r="AD109" s="119">
        <v>0</v>
      </c>
      <c r="AE109" s="119">
        <v>0</v>
      </c>
      <c r="AF109" s="119">
        <v>0</v>
      </c>
      <c r="AG109" s="119">
        <v>0</v>
      </c>
      <c r="AH109" s="133">
        <v>0</v>
      </c>
      <c r="AI109" s="119"/>
      <c r="AJ109" s="119"/>
      <c r="AK109" s="119"/>
      <c r="AL109" s="119"/>
      <c r="AM109" s="133"/>
      <c r="AN109" s="119"/>
      <c r="AO109" s="119"/>
      <c r="AP109" s="119"/>
      <c r="AQ109" s="119"/>
      <c r="AR109" s="133"/>
      <c r="AS109" s="119"/>
      <c r="AT109" s="119"/>
      <c r="AU109" s="119"/>
      <c r="AV109" s="119"/>
      <c r="AW109" s="133"/>
      <c r="AX109" s="119"/>
      <c r="AY109" s="119"/>
      <c r="AZ109" s="119"/>
      <c r="BA109" s="119"/>
      <c r="BB109" s="133"/>
      <c r="BC109" s="119"/>
      <c r="BD109" s="119"/>
      <c r="BE109" s="119"/>
      <c r="BF109" s="119"/>
      <c r="BG109" s="133"/>
      <c r="BH109" s="119"/>
      <c r="BI109" s="119"/>
      <c r="BJ109" s="119"/>
      <c r="BK109" s="119"/>
      <c r="BL109" s="133"/>
      <c r="BM109" s="119"/>
      <c r="BN109" s="119"/>
      <c r="BO109" s="119"/>
      <c r="BP109" s="119"/>
      <c r="BQ109" s="133"/>
      <c r="BR109" s="119"/>
      <c r="BS109" s="119"/>
      <c r="BT109" s="119"/>
      <c r="BU109" s="119"/>
      <c r="BV109" s="133"/>
      <c r="BW109" s="119"/>
      <c r="BX109" s="119"/>
      <c r="BY109" s="119"/>
      <c r="BZ109" s="119"/>
      <c r="CA109" s="133"/>
      <c r="CB109" s="119"/>
      <c r="CC109" s="119"/>
      <c r="CD109" s="119"/>
      <c r="CE109" s="119"/>
      <c r="CF109" s="133"/>
    </row>
    <row r="110" spans="1:84" ht="12.75">
      <c r="A110" s="119" t="s">
        <v>469</v>
      </c>
      <c r="B110" s="119" t="s">
        <v>470</v>
      </c>
      <c r="C110" s="119" t="s">
        <v>471</v>
      </c>
      <c r="D110" s="119" t="s">
        <v>158</v>
      </c>
      <c r="E110" s="119" t="s">
        <v>463</v>
      </c>
      <c r="F110" s="131">
        <f t="shared" si="0"/>
        <v>0</v>
      </c>
      <c r="G110" s="119">
        <f t="shared" si="1"/>
        <v>0</v>
      </c>
      <c r="H110" s="119">
        <f t="shared" ref="H110:I110" si="110">SUM(L110,Q110,V110,AA110,AF110,AK110,AP110,AU110,AZ110,BE110,BJ110,BO110,BT110,BY110,CD110)</f>
        <v>0</v>
      </c>
      <c r="I110" s="132">
        <f t="shared" si="110"/>
        <v>0</v>
      </c>
      <c r="J110" s="119">
        <v>0</v>
      </c>
      <c r="K110" s="119">
        <v>0</v>
      </c>
      <c r="L110" s="119">
        <v>0</v>
      </c>
      <c r="M110" s="119">
        <v>0</v>
      </c>
      <c r="N110" s="133">
        <v>0</v>
      </c>
      <c r="O110" s="119">
        <v>0</v>
      </c>
      <c r="P110" s="119">
        <v>0</v>
      </c>
      <c r="Q110" s="119">
        <v>0</v>
      </c>
      <c r="R110" s="119">
        <v>0</v>
      </c>
      <c r="S110" s="133">
        <v>0</v>
      </c>
      <c r="T110" s="119">
        <v>0</v>
      </c>
      <c r="U110" s="119">
        <v>0</v>
      </c>
      <c r="V110" s="119">
        <v>0</v>
      </c>
      <c r="W110" s="119">
        <v>0</v>
      </c>
      <c r="X110" s="133">
        <v>0</v>
      </c>
      <c r="Y110" s="119">
        <v>0</v>
      </c>
      <c r="Z110" s="119">
        <v>0</v>
      </c>
      <c r="AA110" s="119">
        <v>0</v>
      </c>
      <c r="AB110" s="119">
        <v>0</v>
      </c>
      <c r="AC110" s="133">
        <v>0</v>
      </c>
      <c r="AD110" s="119">
        <v>0</v>
      </c>
      <c r="AE110" s="119">
        <v>0</v>
      </c>
      <c r="AF110" s="119">
        <v>0</v>
      </c>
      <c r="AG110" s="119">
        <v>0</v>
      </c>
      <c r="AH110" s="133">
        <v>0</v>
      </c>
      <c r="AI110" s="119"/>
      <c r="AJ110" s="119"/>
      <c r="AK110" s="119"/>
      <c r="AL110" s="119"/>
      <c r="AM110" s="133"/>
      <c r="AN110" s="119"/>
      <c r="AO110" s="119"/>
      <c r="AP110" s="119"/>
      <c r="AQ110" s="119"/>
      <c r="AR110" s="133"/>
      <c r="AS110" s="119"/>
      <c r="AT110" s="119"/>
      <c r="AU110" s="119"/>
      <c r="AV110" s="119"/>
      <c r="AW110" s="133"/>
      <c r="AX110" s="119"/>
      <c r="AY110" s="119"/>
      <c r="AZ110" s="119"/>
      <c r="BA110" s="119"/>
      <c r="BB110" s="133"/>
      <c r="BC110" s="119"/>
      <c r="BD110" s="119"/>
      <c r="BE110" s="119"/>
      <c r="BF110" s="119"/>
      <c r="BG110" s="133"/>
      <c r="BH110" s="119"/>
      <c r="BI110" s="119"/>
      <c r="BJ110" s="119"/>
      <c r="BK110" s="119"/>
      <c r="BL110" s="133"/>
      <c r="BM110" s="119"/>
      <c r="BN110" s="119"/>
      <c r="BO110" s="119"/>
      <c r="BP110" s="119"/>
      <c r="BQ110" s="133"/>
      <c r="BR110" s="119"/>
      <c r="BS110" s="119"/>
      <c r="BT110" s="119"/>
      <c r="BU110" s="119"/>
      <c r="BV110" s="133"/>
      <c r="BW110" s="119"/>
      <c r="BX110" s="119"/>
      <c r="BY110" s="119"/>
      <c r="BZ110" s="119"/>
      <c r="CA110" s="133"/>
      <c r="CB110" s="119"/>
      <c r="CC110" s="119"/>
      <c r="CD110" s="119"/>
      <c r="CE110" s="119"/>
      <c r="CF110" s="133"/>
    </row>
    <row r="111" spans="1:84" ht="12.75">
      <c r="A111" s="119" t="s">
        <v>472</v>
      </c>
      <c r="B111" s="119" t="s">
        <v>473</v>
      </c>
      <c r="C111" s="119" t="s">
        <v>391</v>
      </c>
      <c r="D111" s="119" t="s">
        <v>158</v>
      </c>
      <c r="E111" s="119" t="s">
        <v>463</v>
      </c>
      <c r="F111" s="131">
        <f t="shared" si="0"/>
        <v>0</v>
      </c>
      <c r="G111" s="119">
        <f t="shared" si="1"/>
        <v>0</v>
      </c>
      <c r="H111" s="119">
        <f t="shared" ref="H111:I111" si="111">SUM(L111,Q111,V111,AA111,AF111,AK111,AP111,AU111,AZ111,BE111,BJ111,BO111,BT111,BY111,CD111)</f>
        <v>0</v>
      </c>
      <c r="I111" s="132">
        <f t="shared" si="111"/>
        <v>0</v>
      </c>
      <c r="J111" s="119">
        <v>0</v>
      </c>
      <c r="K111" s="119">
        <v>0</v>
      </c>
      <c r="L111" s="119">
        <v>0</v>
      </c>
      <c r="M111" s="119">
        <v>0</v>
      </c>
      <c r="N111" s="133">
        <v>0</v>
      </c>
      <c r="O111" s="119">
        <v>0</v>
      </c>
      <c r="P111" s="119">
        <v>0</v>
      </c>
      <c r="Q111" s="119">
        <v>0</v>
      </c>
      <c r="R111" s="119">
        <v>0</v>
      </c>
      <c r="S111" s="133">
        <v>0</v>
      </c>
      <c r="T111" s="119">
        <v>0</v>
      </c>
      <c r="U111" s="119">
        <v>0</v>
      </c>
      <c r="V111" s="119">
        <v>0</v>
      </c>
      <c r="W111" s="119">
        <v>0</v>
      </c>
      <c r="X111" s="133">
        <v>0</v>
      </c>
      <c r="Y111" s="119">
        <v>0</v>
      </c>
      <c r="Z111" s="119">
        <v>0</v>
      </c>
      <c r="AA111" s="119">
        <v>0</v>
      </c>
      <c r="AB111" s="119">
        <v>0</v>
      </c>
      <c r="AC111" s="133">
        <v>0</v>
      </c>
      <c r="AD111" s="119">
        <v>0</v>
      </c>
      <c r="AE111" s="119">
        <v>0</v>
      </c>
      <c r="AF111" s="119">
        <v>0</v>
      </c>
      <c r="AG111" s="119">
        <v>0</v>
      </c>
      <c r="AH111" s="133">
        <v>0</v>
      </c>
      <c r="AI111" s="119"/>
      <c r="AJ111" s="119"/>
      <c r="AK111" s="119"/>
      <c r="AL111" s="119"/>
      <c r="AM111" s="133"/>
      <c r="AN111" s="119"/>
      <c r="AO111" s="119"/>
      <c r="AP111" s="119"/>
      <c r="AQ111" s="119"/>
      <c r="AR111" s="133"/>
      <c r="AS111" s="119"/>
      <c r="AT111" s="119"/>
      <c r="AU111" s="119"/>
      <c r="AV111" s="119"/>
      <c r="AW111" s="133"/>
      <c r="AX111" s="119"/>
      <c r="AY111" s="119"/>
      <c r="AZ111" s="119"/>
      <c r="BA111" s="119"/>
      <c r="BB111" s="133"/>
      <c r="BC111" s="119"/>
      <c r="BD111" s="119"/>
      <c r="BE111" s="119"/>
      <c r="BF111" s="119"/>
      <c r="BG111" s="133"/>
      <c r="BH111" s="119"/>
      <c r="BI111" s="119"/>
      <c r="BJ111" s="119"/>
      <c r="BK111" s="119"/>
      <c r="BL111" s="133"/>
      <c r="BM111" s="119"/>
      <c r="BN111" s="119"/>
      <c r="BO111" s="119"/>
      <c r="BP111" s="119"/>
      <c r="BQ111" s="133"/>
      <c r="BR111" s="119"/>
      <c r="BS111" s="119"/>
      <c r="BT111" s="119"/>
      <c r="BU111" s="119"/>
      <c r="BV111" s="133"/>
      <c r="BW111" s="119"/>
      <c r="BX111" s="119"/>
      <c r="BY111" s="119"/>
      <c r="BZ111" s="119"/>
      <c r="CA111" s="133"/>
      <c r="CB111" s="119"/>
      <c r="CC111" s="119"/>
      <c r="CD111" s="119"/>
      <c r="CE111" s="119"/>
      <c r="CF111" s="133"/>
    </row>
    <row r="112" spans="1:84" ht="12.75">
      <c r="A112" s="119" t="s">
        <v>474</v>
      </c>
      <c r="B112" s="119" t="s">
        <v>356</v>
      </c>
      <c r="C112" s="119" t="s">
        <v>173</v>
      </c>
      <c r="D112" s="119" t="s">
        <v>158</v>
      </c>
      <c r="E112" s="119" t="s">
        <v>463</v>
      </c>
      <c r="F112" s="131">
        <f t="shared" si="0"/>
        <v>0</v>
      </c>
      <c r="G112" s="119">
        <f t="shared" si="1"/>
        <v>0</v>
      </c>
      <c r="H112" s="119">
        <f t="shared" ref="H112:I112" si="112">SUM(L112,Q112,V112,AA112,AF112,AK112,AP112,AU112,AZ112,BE112,BJ112,BO112,BT112,BY112,CD112)</f>
        <v>0</v>
      </c>
      <c r="I112" s="132">
        <f t="shared" si="112"/>
        <v>0</v>
      </c>
      <c r="J112" s="119">
        <v>0</v>
      </c>
      <c r="K112" s="119">
        <v>0</v>
      </c>
      <c r="L112" s="119">
        <v>0</v>
      </c>
      <c r="M112" s="119">
        <v>0</v>
      </c>
      <c r="N112" s="133">
        <v>0</v>
      </c>
      <c r="O112" s="119">
        <v>0</v>
      </c>
      <c r="P112" s="119">
        <v>0</v>
      </c>
      <c r="Q112" s="119">
        <v>0</v>
      </c>
      <c r="R112" s="119">
        <v>0</v>
      </c>
      <c r="S112" s="133">
        <v>0</v>
      </c>
      <c r="T112" s="119">
        <v>0</v>
      </c>
      <c r="U112" s="119">
        <v>0</v>
      </c>
      <c r="V112" s="119">
        <v>0</v>
      </c>
      <c r="W112" s="119">
        <v>0</v>
      </c>
      <c r="X112" s="133">
        <v>0</v>
      </c>
      <c r="Y112" s="119">
        <v>0</v>
      </c>
      <c r="Z112" s="119">
        <v>0</v>
      </c>
      <c r="AA112" s="119">
        <v>0</v>
      </c>
      <c r="AB112" s="119">
        <v>0</v>
      </c>
      <c r="AC112" s="133">
        <v>0</v>
      </c>
      <c r="AD112" s="119">
        <v>0</v>
      </c>
      <c r="AE112" s="119">
        <v>0</v>
      </c>
      <c r="AF112" s="119">
        <v>0</v>
      </c>
      <c r="AG112" s="119">
        <v>0</v>
      </c>
      <c r="AH112" s="133">
        <v>0</v>
      </c>
      <c r="AI112" s="119"/>
      <c r="AJ112" s="119"/>
      <c r="AK112" s="119"/>
      <c r="AL112" s="119"/>
      <c r="AM112" s="133"/>
      <c r="AN112" s="119"/>
      <c r="AO112" s="119"/>
      <c r="AP112" s="119"/>
      <c r="AQ112" s="119"/>
      <c r="AR112" s="133"/>
      <c r="AS112" s="119"/>
      <c r="AT112" s="119"/>
      <c r="AU112" s="119"/>
      <c r="AV112" s="119"/>
      <c r="AW112" s="133"/>
      <c r="AX112" s="119"/>
      <c r="AY112" s="119"/>
      <c r="AZ112" s="119"/>
      <c r="BA112" s="119"/>
      <c r="BB112" s="133"/>
      <c r="BC112" s="119"/>
      <c r="BD112" s="119"/>
      <c r="BE112" s="119"/>
      <c r="BF112" s="119"/>
      <c r="BG112" s="133"/>
      <c r="BH112" s="119"/>
      <c r="BI112" s="119"/>
      <c r="BJ112" s="119"/>
      <c r="BK112" s="119"/>
      <c r="BL112" s="133"/>
      <c r="BM112" s="119"/>
      <c r="BN112" s="119"/>
      <c r="BO112" s="119"/>
      <c r="BP112" s="119"/>
      <c r="BQ112" s="133"/>
      <c r="BR112" s="119"/>
      <c r="BS112" s="119"/>
      <c r="BT112" s="119"/>
      <c r="BU112" s="119"/>
      <c r="BV112" s="133"/>
      <c r="BW112" s="119"/>
      <c r="BX112" s="119"/>
      <c r="BY112" s="119"/>
      <c r="BZ112" s="119"/>
      <c r="CA112" s="133"/>
      <c r="CB112" s="119"/>
      <c r="CC112" s="119"/>
      <c r="CD112" s="119"/>
      <c r="CE112" s="119"/>
      <c r="CF112" s="133"/>
    </row>
    <row r="113" spans="1:84" ht="12.75">
      <c r="A113" s="119" t="s">
        <v>475</v>
      </c>
      <c r="B113" s="119" t="s">
        <v>476</v>
      </c>
      <c r="C113" s="119" t="s">
        <v>477</v>
      </c>
      <c r="D113" s="119" t="s">
        <v>152</v>
      </c>
      <c r="E113" s="119" t="s">
        <v>463</v>
      </c>
      <c r="F113" s="131">
        <f t="shared" si="0"/>
        <v>0</v>
      </c>
      <c r="G113" s="119">
        <f t="shared" si="1"/>
        <v>0</v>
      </c>
      <c r="H113" s="119">
        <f t="shared" ref="H113:I113" si="113">SUM(L113,Q113,V113,AA113,AF113,AK113,AP113,AU113,AZ113,BE113,BJ113,BO113,BT113,BY113,CD113)</f>
        <v>0</v>
      </c>
      <c r="I113" s="132">
        <f t="shared" si="113"/>
        <v>0</v>
      </c>
      <c r="J113" s="119">
        <v>0</v>
      </c>
      <c r="K113" s="119">
        <v>0</v>
      </c>
      <c r="L113" s="119">
        <v>0</v>
      </c>
      <c r="M113" s="119">
        <v>0</v>
      </c>
      <c r="N113" s="133">
        <v>0</v>
      </c>
      <c r="O113" s="119">
        <v>0</v>
      </c>
      <c r="P113" s="119">
        <v>0</v>
      </c>
      <c r="Q113" s="119">
        <v>0</v>
      </c>
      <c r="R113" s="119">
        <v>0</v>
      </c>
      <c r="S113" s="133">
        <v>0</v>
      </c>
      <c r="T113" s="119">
        <v>0</v>
      </c>
      <c r="U113" s="119">
        <v>0</v>
      </c>
      <c r="V113" s="119">
        <v>0</v>
      </c>
      <c r="W113" s="119">
        <v>0</v>
      </c>
      <c r="X113" s="133">
        <v>0</v>
      </c>
      <c r="Y113" s="119">
        <v>0</v>
      </c>
      <c r="Z113" s="119">
        <v>0</v>
      </c>
      <c r="AA113" s="119">
        <v>0</v>
      </c>
      <c r="AB113" s="119">
        <v>0</v>
      </c>
      <c r="AC113" s="133">
        <v>0</v>
      </c>
      <c r="AD113" s="119">
        <v>0</v>
      </c>
      <c r="AE113" s="119">
        <v>0</v>
      </c>
      <c r="AF113" s="119">
        <v>0</v>
      </c>
      <c r="AG113" s="119">
        <v>0</v>
      </c>
      <c r="AH113" s="133">
        <v>0</v>
      </c>
      <c r="AI113" s="119"/>
      <c r="AJ113" s="119"/>
      <c r="AK113" s="119"/>
      <c r="AL113" s="119"/>
      <c r="AM113" s="133"/>
      <c r="AN113" s="119"/>
      <c r="AO113" s="119"/>
      <c r="AP113" s="119"/>
      <c r="AQ113" s="119"/>
      <c r="AR113" s="133"/>
      <c r="AS113" s="119"/>
      <c r="AT113" s="119"/>
      <c r="AU113" s="119"/>
      <c r="AV113" s="119"/>
      <c r="AW113" s="133"/>
      <c r="AX113" s="119"/>
      <c r="AY113" s="119"/>
      <c r="AZ113" s="119"/>
      <c r="BA113" s="119"/>
      <c r="BB113" s="133"/>
      <c r="BC113" s="119"/>
      <c r="BD113" s="119"/>
      <c r="BE113" s="119"/>
      <c r="BF113" s="119"/>
      <c r="BG113" s="133"/>
      <c r="BH113" s="119"/>
      <c r="BI113" s="119"/>
      <c r="BJ113" s="119"/>
      <c r="BK113" s="119"/>
      <c r="BL113" s="133"/>
      <c r="BM113" s="119"/>
      <c r="BN113" s="119"/>
      <c r="BO113" s="119"/>
      <c r="BP113" s="119"/>
      <c r="BQ113" s="133"/>
      <c r="BR113" s="119"/>
      <c r="BS113" s="119"/>
      <c r="BT113" s="119"/>
      <c r="BU113" s="119"/>
      <c r="BV113" s="133"/>
      <c r="BW113" s="119"/>
      <c r="BX113" s="119"/>
      <c r="BY113" s="119"/>
      <c r="BZ113" s="119"/>
      <c r="CA113" s="133"/>
      <c r="CB113" s="119"/>
      <c r="CC113" s="119"/>
      <c r="CD113" s="119"/>
      <c r="CE113" s="119"/>
      <c r="CF113" s="133"/>
    </row>
    <row r="114" spans="1:84" ht="12.75">
      <c r="A114" s="119" t="s">
        <v>478</v>
      </c>
      <c r="B114" s="119" t="s">
        <v>479</v>
      </c>
      <c r="C114" s="119" t="s">
        <v>480</v>
      </c>
      <c r="D114" s="119" t="s">
        <v>152</v>
      </c>
      <c r="E114" s="119" t="s">
        <v>481</v>
      </c>
      <c r="F114" s="131">
        <f t="shared" si="0"/>
        <v>13</v>
      </c>
      <c r="G114" s="119">
        <f t="shared" si="1"/>
        <v>2.5</v>
      </c>
      <c r="H114" s="119">
        <f t="shared" ref="H114:I114" si="114">SUM(L114,Q114,V114,AA114,AF114,AK114,AP114,AU114,AZ114,BE114,BJ114,BO114,BT114,BY114,CD114)</f>
        <v>0</v>
      </c>
      <c r="I114" s="132">
        <f t="shared" si="114"/>
        <v>0</v>
      </c>
      <c r="J114" s="119">
        <v>0</v>
      </c>
      <c r="K114" s="119">
        <v>0</v>
      </c>
      <c r="L114" s="119">
        <v>0</v>
      </c>
      <c r="M114" s="119">
        <v>0</v>
      </c>
      <c r="N114" s="133">
        <v>0</v>
      </c>
      <c r="O114" s="119">
        <v>0</v>
      </c>
      <c r="P114" s="119">
        <v>0</v>
      </c>
      <c r="Q114" s="119">
        <v>0</v>
      </c>
      <c r="R114" s="119">
        <v>0</v>
      </c>
      <c r="S114" s="133">
        <v>0</v>
      </c>
      <c r="T114" s="119">
        <v>0</v>
      </c>
      <c r="U114" s="119">
        <v>0</v>
      </c>
      <c r="V114" s="119">
        <v>0</v>
      </c>
      <c r="W114" s="119">
        <v>0</v>
      </c>
      <c r="X114" s="133">
        <v>0</v>
      </c>
      <c r="Y114" s="119">
        <v>0.5</v>
      </c>
      <c r="Z114" s="119">
        <v>0</v>
      </c>
      <c r="AA114" s="119">
        <v>0</v>
      </c>
      <c r="AB114" s="119">
        <v>0</v>
      </c>
      <c r="AC114" s="133">
        <v>0</v>
      </c>
      <c r="AD114" s="119">
        <v>1</v>
      </c>
      <c r="AE114" s="119" t="s">
        <v>482</v>
      </c>
      <c r="AF114" s="119"/>
      <c r="AG114" s="119">
        <v>0</v>
      </c>
      <c r="AH114" s="133">
        <v>3</v>
      </c>
      <c r="AI114" s="119">
        <v>1</v>
      </c>
      <c r="AJ114" s="119" t="s">
        <v>482</v>
      </c>
      <c r="AK114" s="119"/>
      <c r="AL114" s="119">
        <v>0</v>
      </c>
      <c r="AM114" s="133">
        <v>10</v>
      </c>
      <c r="AN114" s="119">
        <v>0</v>
      </c>
      <c r="AO114" s="119">
        <v>0</v>
      </c>
      <c r="AP114" s="119">
        <v>0</v>
      </c>
      <c r="AQ114" s="119">
        <v>0</v>
      </c>
      <c r="AR114" s="133">
        <v>0</v>
      </c>
      <c r="AS114" s="119"/>
      <c r="AT114" s="119"/>
      <c r="AU114" s="119"/>
      <c r="AV114" s="119"/>
      <c r="AW114" s="133"/>
      <c r="AX114" s="119"/>
      <c r="AY114" s="119"/>
      <c r="AZ114" s="119"/>
      <c r="BA114" s="119"/>
      <c r="BB114" s="133"/>
      <c r="BC114" s="119"/>
      <c r="BD114" s="119"/>
      <c r="BE114" s="119"/>
      <c r="BF114" s="119"/>
      <c r="BG114" s="133"/>
      <c r="BH114" s="119"/>
      <c r="BI114" s="119"/>
      <c r="BJ114" s="119"/>
      <c r="BK114" s="119"/>
      <c r="BL114" s="133"/>
      <c r="BM114" s="119"/>
      <c r="BN114" s="119"/>
      <c r="BO114" s="119"/>
      <c r="BP114" s="119"/>
      <c r="BQ114" s="133"/>
      <c r="BR114" s="119"/>
      <c r="BS114" s="119"/>
      <c r="BT114" s="119"/>
      <c r="BU114" s="119"/>
      <c r="BV114" s="133"/>
      <c r="BW114" s="119"/>
      <c r="BX114" s="119"/>
      <c r="BY114" s="119"/>
      <c r="BZ114" s="119"/>
      <c r="CA114" s="133"/>
      <c r="CB114" s="119"/>
      <c r="CC114" s="119"/>
      <c r="CD114" s="119"/>
      <c r="CE114" s="119"/>
      <c r="CF114" s="133"/>
    </row>
    <row r="115" spans="1:84" ht="12.75">
      <c r="A115" s="119" t="s">
        <v>483</v>
      </c>
      <c r="B115" s="119" t="s">
        <v>233</v>
      </c>
      <c r="C115" s="119" t="s">
        <v>381</v>
      </c>
      <c r="D115" s="119" t="s">
        <v>158</v>
      </c>
      <c r="E115" s="119" t="s">
        <v>481</v>
      </c>
      <c r="F115" s="131">
        <f t="shared" si="0"/>
        <v>4</v>
      </c>
      <c r="G115" s="119">
        <f t="shared" si="1"/>
        <v>2</v>
      </c>
      <c r="H115" s="119">
        <f t="shared" ref="H115:I115" si="115">SUM(L115,Q115,V115,AA115,AF115,AK115,AP115,AU115,AZ115,BE115,BJ115,BO115,BT115,BY115,CD115)</f>
        <v>0</v>
      </c>
      <c r="I115" s="132">
        <f t="shared" si="115"/>
        <v>0</v>
      </c>
      <c r="J115" s="119">
        <v>0</v>
      </c>
      <c r="K115" s="119">
        <v>0</v>
      </c>
      <c r="L115" s="119">
        <v>0</v>
      </c>
      <c r="M115" s="119">
        <v>0</v>
      </c>
      <c r="N115" s="133">
        <v>0</v>
      </c>
      <c r="O115" s="119">
        <v>0</v>
      </c>
      <c r="P115" s="119">
        <v>0</v>
      </c>
      <c r="Q115" s="119">
        <v>0</v>
      </c>
      <c r="R115" s="119">
        <v>0</v>
      </c>
      <c r="S115" s="133">
        <v>0</v>
      </c>
      <c r="T115" s="119">
        <v>0</v>
      </c>
      <c r="U115" s="119">
        <v>0</v>
      </c>
      <c r="V115" s="119">
        <v>0</v>
      </c>
      <c r="W115" s="119">
        <v>0</v>
      </c>
      <c r="X115" s="133">
        <v>0</v>
      </c>
      <c r="Y115" s="119">
        <v>0</v>
      </c>
      <c r="Z115" s="119">
        <v>0</v>
      </c>
      <c r="AA115" s="119">
        <v>0</v>
      </c>
      <c r="AB115" s="119">
        <v>0</v>
      </c>
      <c r="AC115" s="133">
        <v>0</v>
      </c>
      <c r="AD115" s="119">
        <v>1</v>
      </c>
      <c r="AE115" s="119" t="s">
        <v>482</v>
      </c>
      <c r="AF115" s="119"/>
      <c r="AG115" s="119">
        <v>0</v>
      </c>
      <c r="AH115" s="133">
        <v>4</v>
      </c>
      <c r="AI115" s="119">
        <v>1</v>
      </c>
      <c r="AJ115" s="119" t="s">
        <v>482</v>
      </c>
      <c r="AK115" s="119"/>
      <c r="AL115" s="119">
        <v>0</v>
      </c>
      <c r="AM115" s="133"/>
      <c r="AN115" s="119">
        <v>0</v>
      </c>
      <c r="AO115" s="119">
        <v>0</v>
      </c>
      <c r="AP115" s="119">
        <v>0</v>
      </c>
      <c r="AQ115" s="119">
        <v>0</v>
      </c>
      <c r="AR115" s="133">
        <v>0</v>
      </c>
      <c r="AS115" s="119"/>
      <c r="AT115" s="119"/>
      <c r="AU115" s="119"/>
      <c r="AV115" s="119"/>
      <c r="AW115" s="133"/>
      <c r="AX115" s="119"/>
      <c r="AY115" s="119"/>
      <c r="AZ115" s="119"/>
      <c r="BA115" s="119"/>
      <c r="BB115" s="133"/>
      <c r="BC115" s="119"/>
      <c r="BD115" s="119"/>
      <c r="BE115" s="119"/>
      <c r="BF115" s="119"/>
      <c r="BG115" s="133"/>
      <c r="BH115" s="119"/>
      <c r="BI115" s="119"/>
      <c r="BJ115" s="119"/>
      <c r="BK115" s="119"/>
      <c r="BL115" s="133"/>
      <c r="BM115" s="119"/>
      <c r="BN115" s="119"/>
      <c r="BO115" s="119"/>
      <c r="BP115" s="119"/>
      <c r="BQ115" s="133"/>
      <c r="BR115" s="119"/>
      <c r="BS115" s="119"/>
      <c r="BT115" s="119"/>
      <c r="BU115" s="119"/>
      <c r="BV115" s="133"/>
      <c r="BW115" s="119"/>
      <c r="BX115" s="119"/>
      <c r="BY115" s="119"/>
      <c r="BZ115" s="119"/>
      <c r="CA115" s="133"/>
      <c r="CB115" s="119"/>
      <c r="CC115" s="119"/>
      <c r="CD115" s="119"/>
      <c r="CE115" s="119"/>
      <c r="CF115" s="133"/>
    </row>
    <row r="116" spans="1:84" ht="12.75">
      <c r="A116" s="119" t="s">
        <v>484</v>
      </c>
      <c r="B116" s="119" t="s">
        <v>485</v>
      </c>
      <c r="C116" s="119" t="s">
        <v>486</v>
      </c>
      <c r="D116" s="119" t="s">
        <v>158</v>
      </c>
      <c r="E116" s="119" t="s">
        <v>481</v>
      </c>
      <c r="F116" s="131">
        <f t="shared" si="0"/>
        <v>0</v>
      </c>
      <c r="G116" s="119">
        <f t="shared" si="1"/>
        <v>0</v>
      </c>
      <c r="H116" s="119">
        <f t="shared" ref="H116:I116" si="116">SUM(L116,Q116,V116,AA116,AF116,AK116,AP116,AU116,AZ116,BE116,BJ116,BO116,BT116,BY116,CD116)</f>
        <v>0</v>
      </c>
      <c r="I116" s="132">
        <f t="shared" si="116"/>
        <v>0</v>
      </c>
      <c r="J116" s="119">
        <v>0</v>
      </c>
      <c r="K116" s="119">
        <v>0</v>
      </c>
      <c r="L116" s="119">
        <v>0</v>
      </c>
      <c r="M116" s="119">
        <v>0</v>
      </c>
      <c r="N116" s="133">
        <v>0</v>
      </c>
      <c r="O116" s="119">
        <v>0</v>
      </c>
      <c r="P116" s="119">
        <v>0</v>
      </c>
      <c r="Q116" s="119">
        <v>0</v>
      </c>
      <c r="R116" s="119">
        <v>0</v>
      </c>
      <c r="S116" s="133">
        <v>0</v>
      </c>
      <c r="T116" s="119">
        <v>0</v>
      </c>
      <c r="U116" s="119">
        <v>0</v>
      </c>
      <c r="V116" s="119">
        <v>0</v>
      </c>
      <c r="W116" s="119">
        <v>0</v>
      </c>
      <c r="X116" s="133">
        <v>0</v>
      </c>
      <c r="Y116" s="119">
        <v>0</v>
      </c>
      <c r="Z116" s="119">
        <v>0</v>
      </c>
      <c r="AA116" s="119">
        <v>0</v>
      </c>
      <c r="AB116" s="119">
        <v>0</v>
      </c>
      <c r="AC116" s="133">
        <v>0</v>
      </c>
      <c r="AD116" s="119">
        <v>0</v>
      </c>
      <c r="AE116" s="119">
        <v>0</v>
      </c>
      <c r="AF116" s="119">
        <v>0</v>
      </c>
      <c r="AG116" s="119">
        <v>0</v>
      </c>
      <c r="AH116" s="133">
        <v>0</v>
      </c>
      <c r="AI116" s="119">
        <v>0</v>
      </c>
      <c r="AJ116" s="119">
        <v>0</v>
      </c>
      <c r="AK116" s="119">
        <v>0</v>
      </c>
      <c r="AL116" s="119">
        <v>0</v>
      </c>
      <c r="AM116" s="133">
        <v>0</v>
      </c>
      <c r="AN116" s="119">
        <v>0</v>
      </c>
      <c r="AO116" s="119">
        <v>0</v>
      </c>
      <c r="AP116" s="119">
        <v>0</v>
      </c>
      <c r="AQ116" s="119">
        <v>0</v>
      </c>
      <c r="AR116" s="133">
        <v>0</v>
      </c>
      <c r="AS116" s="119"/>
      <c r="AT116" s="119"/>
      <c r="AU116" s="119"/>
      <c r="AV116" s="119"/>
      <c r="AW116" s="133"/>
      <c r="AX116" s="119"/>
      <c r="AY116" s="119"/>
      <c r="AZ116" s="119"/>
      <c r="BA116" s="119"/>
      <c r="BB116" s="133"/>
      <c r="BC116" s="119"/>
      <c r="BD116" s="119"/>
      <c r="BE116" s="119"/>
      <c r="BF116" s="119"/>
      <c r="BG116" s="133"/>
      <c r="BH116" s="119"/>
      <c r="BI116" s="119"/>
      <c r="BJ116" s="119"/>
      <c r="BK116" s="119"/>
      <c r="BL116" s="133"/>
      <c r="BM116" s="119"/>
      <c r="BN116" s="119"/>
      <c r="BO116" s="119"/>
      <c r="BP116" s="119"/>
      <c r="BQ116" s="133"/>
      <c r="BR116" s="119"/>
      <c r="BS116" s="119"/>
      <c r="BT116" s="119"/>
      <c r="BU116" s="119"/>
      <c r="BV116" s="133"/>
      <c r="BW116" s="119"/>
      <c r="BX116" s="119"/>
      <c r="BY116" s="119"/>
      <c r="BZ116" s="119"/>
      <c r="CA116" s="133"/>
      <c r="CB116" s="119"/>
      <c r="CC116" s="119"/>
      <c r="CD116" s="119"/>
      <c r="CE116" s="119"/>
      <c r="CF116" s="133"/>
    </row>
    <row r="117" spans="1:84" ht="12.75">
      <c r="A117" s="119" t="s">
        <v>487</v>
      </c>
      <c r="B117" s="119" t="s">
        <v>488</v>
      </c>
      <c r="C117" s="119" t="s">
        <v>173</v>
      </c>
      <c r="D117" s="119" t="s">
        <v>158</v>
      </c>
      <c r="E117" s="119" t="s">
        <v>481</v>
      </c>
      <c r="F117" s="131">
        <f t="shared" si="0"/>
        <v>0</v>
      </c>
      <c r="G117" s="119">
        <f t="shared" si="1"/>
        <v>0</v>
      </c>
      <c r="H117" s="119">
        <f t="shared" ref="H117:I117" si="117">SUM(L117,Q117,V117,AA117,AF117,AK117,AP117,AU117,AZ117,BE117,BJ117,BO117,BT117,BY117,CD117)</f>
        <v>0</v>
      </c>
      <c r="I117" s="132">
        <f t="shared" si="117"/>
        <v>0</v>
      </c>
      <c r="J117" s="119">
        <v>0</v>
      </c>
      <c r="K117" s="119">
        <v>0</v>
      </c>
      <c r="L117" s="119">
        <v>0</v>
      </c>
      <c r="M117" s="119">
        <v>0</v>
      </c>
      <c r="N117" s="133">
        <v>0</v>
      </c>
      <c r="O117" s="119">
        <v>0</v>
      </c>
      <c r="P117" s="119">
        <v>0</v>
      </c>
      <c r="Q117" s="119">
        <v>0</v>
      </c>
      <c r="R117" s="119">
        <v>0</v>
      </c>
      <c r="S117" s="133">
        <v>0</v>
      </c>
      <c r="T117" s="119">
        <v>0</v>
      </c>
      <c r="U117" s="119">
        <v>0</v>
      </c>
      <c r="V117" s="119">
        <v>0</v>
      </c>
      <c r="W117" s="119">
        <v>0</v>
      </c>
      <c r="X117" s="133">
        <v>0</v>
      </c>
      <c r="Y117" s="119">
        <v>0</v>
      </c>
      <c r="Z117" s="119">
        <v>0</v>
      </c>
      <c r="AA117" s="119">
        <v>0</v>
      </c>
      <c r="AB117" s="119">
        <v>0</v>
      </c>
      <c r="AC117" s="133">
        <v>0</v>
      </c>
      <c r="AD117" s="119">
        <v>0</v>
      </c>
      <c r="AE117" s="119">
        <v>0</v>
      </c>
      <c r="AF117" s="119">
        <v>0</v>
      </c>
      <c r="AG117" s="119">
        <v>0</v>
      </c>
      <c r="AH117" s="133">
        <v>0</v>
      </c>
      <c r="AI117" s="119">
        <v>0</v>
      </c>
      <c r="AJ117" s="119">
        <v>0</v>
      </c>
      <c r="AK117" s="119">
        <v>0</v>
      </c>
      <c r="AL117" s="119">
        <v>0</v>
      </c>
      <c r="AM117" s="133">
        <v>0</v>
      </c>
      <c r="AN117" s="119">
        <v>0</v>
      </c>
      <c r="AO117" s="119">
        <v>0</v>
      </c>
      <c r="AP117" s="119">
        <v>0</v>
      </c>
      <c r="AQ117" s="119">
        <v>0</v>
      </c>
      <c r="AR117" s="133">
        <v>0</v>
      </c>
      <c r="AS117" s="119"/>
      <c r="AT117" s="119"/>
      <c r="AU117" s="119"/>
      <c r="AV117" s="119"/>
      <c r="AW117" s="133"/>
      <c r="AX117" s="119"/>
      <c r="AY117" s="119"/>
      <c r="AZ117" s="119"/>
      <c r="BA117" s="119"/>
      <c r="BB117" s="133"/>
      <c r="BC117" s="119"/>
      <c r="BD117" s="119"/>
      <c r="BE117" s="119"/>
      <c r="BF117" s="119"/>
      <c r="BG117" s="133"/>
      <c r="BH117" s="119"/>
      <c r="BI117" s="119"/>
      <c r="BJ117" s="119"/>
      <c r="BK117" s="119"/>
      <c r="BL117" s="133"/>
      <c r="BM117" s="119"/>
      <c r="BN117" s="119"/>
      <c r="BO117" s="119"/>
      <c r="BP117" s="119"/>
      <c r="BQ117" s="133"/>
      <c r="BR117" s="119"/>
      <c r="BS117" s="119"/>
      <c r="BT117" s="119"/>
      <c r="BU117" s="119"/>
      <c r="BV117" s="133"/>
      <c r="BW117" s="119"/>
      <c r="BX117" s="119"/>
      <c r="BY117" s="119"/>
      <c r="BZ117" s="119"/>
      <c r="CA117" s="133"/>
      <c r="CB117" s="119"/>
      <c r="CC117" s="119"/>
      <c r="CD117" s="119"/>
      <c r="CE117" s="119"/>
      <c r="CF117" s="133"/>
    </row>
    <row r="118" spans="1:84" ht="12.75">
      <c r="A118" s="119" t="s">
        <v>489</v>
      </c>
      <c r="B118" s="119" t="s">
        <v>490</v>
      </c>
      <c r="C118" s="119" t="s">
        <v>391</v>
      </c>
      <c r="D118" s="119" t="s">
        <v>158</v>
      </c>
      <c r="E118" s="119" t="s">
        <v>481</v>
      </c>
      <c r="F118" s="131">
        <f t="shared" si="0"/>
        <v>0</v>
      </c>
      <c r="G118" s="119">
        <f t="shared" si="1"/>
        <v>0</v>
      </c>
      <c r="H118" s="119">
        <f t="shared" ref="H118:I118" si="118">SUM(L118,Q118,V118,AA118,AF118,AK118,AP118,AU118,AZ118,BE118,BJ118,BO118,BT118,BY118,CD118)</f>
        <v>0</v>
      </c>
      <c r="I118" s="132">
        <f t="shared" si="118"/>
        <v>0</v>
      </c>
      <c r="J118" s="119">
        <v>0</v>
      </c>
      <c r="K118" s="119">
        <v>0</v>
      </c>
      <c r="L118" s="119">
        <v>0</v>
      </c>
      <c r="M118" s="119">
        <v>0</v>
      </c>
      <c r="N118" s="133">
        <v>0</v>
      </c>
      <c r="O118" s="119">
        <v>0</v>
      </c>
      <c r="P118" s="119">
        <v>0</v>
      </c>
      <c r="Q118" s="119">
        <v>0</v>
      </c>
      <c r="R118" s="119">
        <v>0</v>
      </c>
      <c r="S118" s="133">
        <v>0</v>
      </c>
      <c r="T118" s="119">
        <v>0</v>
      </c>
      <c r="U118" s="119">
        <v>0</v>
      </c>
      <c r="V118" s="119">
        <v>0</v>
      </c>
      <c r="W118" s="119">
        <v>0</v>
      </c>
      <c r="X118" s="133">
        <v>0</v>
      </c>
      <c r="Y118" s="119">
        <v>0</v>
      </c>
      <c r="Z118" s="119">
        <v>0</v>
      </c>
      <c r="AA118" s="119">
        <v>0</v>
      </c>
      <c r="AB118" s="119">
        <v>0</v>
      </c>
      <c r="AC118" s="133">
        <v>0</v>
      </c>
      <c r="AD118" s="119">
        <v>0</v>
      </c>
      <c r="AE118" s="119">
        <v>0</v>
      </c>
      <c r="AF118" s="119">
        <v>0</v>
      </c>
      <c r="AG118" s="119">
        <v>0</v>
      </c>
      <c r="AH118" s="133">
        <v>0</v>
      </c>
      <c r="AI118" s="119">
        <v>0</v>
      </c>
      <c r="AJ118" s="119">
        <v>0</v>
      </c>
      <c r="AK118" s="119">
        <v>0</v>
      </c>
      <c r="AL118" s="119">
        <v>0</v>
      </c>
      <c r="AM118" s="133">
        <v>0</v>
      </c>
      <c r="AN118" s="119">
        <v>0</v>
      </c>
      <c r="AO118" s="119">
        <v>0</v>
      </c>
      <c r="AP118" s="119">
        <v>0</v>
      </c>
      <c r="AQ118" s="119">
        <v>0</v>
      </c>
      <c r="AR118" s="133">
        <v>0</v>
      </c>
      <c r="AS118" s="119"/>
      <c r="AT118" s="119"/>
      <c r="AU118" s="119"/>
      <c r="AV118" s="119"/>
      <c r="AW118" s="133"/>
      <c r="AX118" s="119"/>
      <c r="AY118" s="119"/>
      <c r="AZ118" s="119"/>
      <c r="BA118" s="119"/>
      <c r="BB118" s="133"/>
      <c r="BC118" s="119"/>
      <c r="BD118" s="119"/>
      <c r="BE118" s="119"/>
      <c r="BF118" s="119"/>
      <c r="BG118" s="133"/>
      <c r="BH118" s="119"/>
      <c r="BI118" s="119"/>
      <c r="BJ118" s="119"/>
      <c r="BK118" s="119"/>
      <c r="BL118" s="133"/>
      <c r="BM118" s="119"/>
      <c r="BN118" s="119"/>
      <c r="BO118" s="119"/>
      <c r="BP118" s="119"/>
      <c r="BQ118" s="133"/>
      <c r="BR118" s="119"/>
      <c r="BS118" s="119"/>
      <c r="BT118" s="119"/>
      <c r="BU118" s="119"/>
      <c r="BV118" s="133"/>
      <c r="BW118" s="119"/>
      <c r="BX118" s="119"/>
      <c r="BY118" s="119"/>
      <c r="BZ118" s="119"/>
      <c r="CA118" s="133"/>
      <c r="CB118" s="119"/>
      <c r="CC118" s="119"/>
      <c r="CD118" s="119"/>
      <c r="CE118" s="119"/>
      <c r="CF118" s="133"/>
    </row>
    <row r="119" spans="1:84" ht="12.75">
      <c r="A119" s="119" t="s">
        <v>491</v>
      </c>
      <c r="B119" s="119" t="s">
        <v>492</v>
      </c>
      <c r="C119" s="119" t="s">
        <v>493</v>
      </c>
      <c r="D119" s="119" t="s">
        <v>158</v>
      </c>
      <c r="E119" s="119" t="s">
        <v>481</v>
      </c>
      <c r="F119" s="131">
        <f t="shared" si="0"/>
        <v>0</v>
      </c>
      <c r="G119" s="119">
        <f t="shared" si="1"/>
        <v>0</v>
      </c>
      <c r="H119" s="119">
        <f t="shared" ref="H119:I119" si="119">SUM(L119,Q119,V119,AA119,AF119,AK119,AP119,AU119,AZ119,BE119,BJ119,BO119,BT119,BY119,CD119)</f>
        <v>0</v>
      </c>
      <c r="I119" s="132">
        <f t="shared" si="119"/>
        <v>0</v>
      </c>
      <c r="J119" s="119">
        <v>0</v>
      </c>
      <c r="K119" s="119">
        <v>0</v>
      </c>
      <c r="L119" s="119">
        <v>0</v>
      </c>
      <c r="M119" s="119">
        <v>0</v>
      </c>
      <c r="N119" s="133">
        <v>0</v>
      </c>
      <c r="O119" s="119">
        <v>0</v>
      </c>
      <c r="P119" s="119">
        <v>0</v>
      </c>
      <c r="Q119" s="119">
        <v>0</v>
      </c>
      <c r="R119" s="119">
        <v>0</v>
      </c>
      <c r="S119" s="133">
        <v>0</v>
      </c>
      <c r="T119" s="119">
        <v>0</v>
      </c>
      <c r="U119" s="119">
        <v>0</v>
      </c>
      <c r="V119" s="119">
        <v>0</v>
      </c>
      <c r="W119" s="119">
        <v>0</v>
      </c>
      <c r="X119" s="133">
        <v>0</v>
      </c>
      <c r="Y119" s="119">
        <v>0</v>
      </c>
      <c r="Z119" s="119">
        <v>0</v>
      </c>
      <c r="AA119" s="119">
        <v>0</v>
      </c>
      <c r="AB119" s="119">
        <v>0</v>
      </c>
      <c r="AC119" s="133">
        <v>0</v>
      </c>
      <c r="AD119" s="119">
        <v>0</v>
      </c>
      <c r="AE119" s="119">
        <v>0</v>
      </c>
      <c r="AF119" s="119">
        <v>0</v>
      </c>
      <c r="AG119" s="119">
        <v>0</v>
      </c>
      <c r="AH119" s="133">
        <v>0</v>
      </c>
      <c r="AI119" s="119">
        <v>0</v>
      </c>
      <c r="AJ119" s="119">
        <v>0</v>
      </c>
      <c r="AK119" s="119">
        <v>0</v>
      </c>
      <c r="AL119" s="119">
        <v>0</v>
      </c>
      <c r="AM119" s="133">
        <v>0</v>
      </c>
      <c r="AN119" s="119">
        <v>0</v>
      </c>
      <c r="AO119" s="119">
        <v>0</v>
      </c>
      <c r="AP119" s="119">
        <v>0</v>
      </c>
      <c r="AQ119" s="119">
        <v>0</v>
      </c>
      <c r="AR119" s="133">
        <v>0</v>
      </c>
      <c r="AS119" s="119"/>
      <c r="AT119" s="119"/>
      <c r="AU119" s="119"/>
      <c r="AV119" s="119"/>
      <c r="AW119" s="133"/>
      <c r="AX119" s="119"/>
      <c r="AY119" s="119"/>
      <c r="AZ119" s="119"/>
      <c r="BA119" s="119"/>
      <c r="BB119" s="133"/>
      <c r="BC119" s="119"/>
      <c r="BD119" s="119"/>
      <c r="BE119" s="119"/>
      <c r="BF119" s="119"/>
      <c r="BG119" s="133"/>
      <c r="BH119" s="119"/>
      <c r="BI119" s="119"/>
      <c r="BJ119" s="119"/>
      <c r="BK119" s="119"/>
      <c r="BL119" s="133"/>
      <c r="BM119" s="119"/>
      <c r="BN119" s="119"/>
      <c r="BO119" s="119"/>
      <c r="BP119" s="119"/>
      <c r="BQ119" s="133"/>
      <c r="BR119" s="119"/>
      <c r="BS119" s="119"/>
      <c r="BT119" s="119"/>
      <c r="BU119" s="119"/>
      <c r="BV119" s="133"/>
      <c r="BW119" s="119"/>
      <c r="BX119" s="119"/>
      <c r="BY119" s="119"/>
      <c r="BZ119" s="119"/>
      <c r="CA119" s="133"/>
      <c r="CB119" s="119"/>
      <c r="CC119" s="119"/>
      <c r="CD119" s="119"/>
      <c r="CE119" s="119"/>
      <c r="CF119" s="133"/>
    </row>
    <row r="120" spans="1:84" ht="12.75">
      <c r="A120" s="119" t="s">
        <v>494</v>
      </c>
      <c r="B120" s="119" t="s">
        <v>495</v>
      </c>
      <c r="C120" s="119" t="s">
        <v>496</v>
      </c>
      <c r="D120" s="119" t="s">
        <v>152</v>
      </c>
      <c r="E120" s="119" t="s">
        <v>481</v>
      </c>
      <c r="F120" s="131">
        <f t="shared" si="0"/>
        <v>0</v>
      </c>
      <c r="G120" s="119">
        <f t="shared" si="1"/>
        <v>0</v>
      </c>
      <c r="H120" s="119">
        <f t="shared" ref="H120:I120" si="120">SUM(L120,Q120,V120,AA120,AF120,AK120,AP120,AU120,AZ120,BE120,BJ120,BO120,BT120,BY120,CD120)</f>
        <v>0</v>
      </c>
      <c r="I120" s="132">
        <f t="shared" si="120"/>
        <v>0</v>
      </c>
      <c r="J120" s="119">
        <v>0</v>
      </c>
      <c r="K120" s="119">
        <v>0</v>
      </c>
      <c r="L120" s="119">
        <v>0</v>
      </c>
      <c r="M120" s="119">
        <v>0</v>
      </c>
      <c r="N120" s="133">
        <v>0</v>
      </c>
      <c r="O120" s="119">
        <v>0</v>
      </c>
      <c r="P120" s="119">
        <v>0</v>
      </c>
      <c r="Q120" s="119">
        <v>0</v>
      </c>
      <c r="R120" s="119">
        <v>0</v>
      </c>
      <c r="S120" s="133">
        <v>0</v>
      </c>
      <c r="T120" s="119">
        <v>0</v>
      </c>
      <c r="U120" s="119">
        <v>0</v>
      </c>
      <c r="V120" s="119">
        <v>0</v>
      </c>
      <c r="W120" s="119">
        <v>0</v>
      </c>
      <c r="X120" s="133">
        <v>0</v>
      </c>
      <c r="Y120" s="119">
        <v>0</v>
      </c>
      <c r="Z120" s="119">
        <v>0</v>
      </c>
      <c r="AA120" s="119">
        <v>0</v>
      </c>
      <c r="AB120" s="119">
        <v>0</v>
      </c>
      <c r="AC120" s="133">
        <v>0</v>
      </c>
      <c r="AD120" s="119">
        <v>0</v>
      </c>
      <c r="AE120" s="119">
        <v>0</v>
      </c>
      <c r="AF120" s="119">
        <v>0</v>
      </c>
      <c r="AG120" s="119">
        <v>0</v>
      </c>
      <c r="AH120" s="133">
        <v>0</v>
      </c>
      <c r="AI120" s="119">
        <v>0</v>
      </c>
      <c r="AJ120" s="119">
        <v>0</v>
      </c>
      <c r="AK120" s="119">
        <v>0</v>
      </c>
      <c r="AL120" s="119">
        <v>0</v>
      </c>
      <c r="AM120" s="133">
        <v>0</v>
      </c>
      <c r="AN120" s="119">
        <v>0</v>
      </c>
      <c r="AO120" s="119">
        <v>0</v>
      </c>
      <c r="AP120" s="119">
        <v>0</v>
      </c>
      <c r="AQ120" s="119">
        <v>0</v>
      </c>
      <c r="AR120" s="133">
        <v>0</v>
      </c>
      <c r="AS120" s="119"/>
      <c r="AT120" s="119"/>
      <c r="AU120" s="119"/>
      <c r="AV120" s="119"/>
      <c r="AW120" s="133"/>
      <c r="AX120" s="119"/>
      <c r="AY120" s="119"/>
      <c r="AZ120" s="119"/>
      <c r="BA120" s="119"/>
      <c r="BB120" s="133"/>
      <c r="BC120" s="119"/>
      <c r="BD120" s="119"/>
      <c r="BE120" s="119"/>
      <c r="BF120" s="119"/>
      <c r="BG120" s="133"/>
      <c r="BH120" s="119"/>
      <c r="BI120" s="119"/>
      <c r="BJ120" s="119"/>
      <c r="BK120" s="119"/>
      <c r="BL120" s="133"/>
      <c r="BM120" s="119"/>
      <c r="BN120" s="119"/>
      <c r="BO120" s="119"/>
      <c r="BP120" s="119"/>
      <c r="BQ120" s="133"/>
      <c r="BR120" s="119"/>
      <c r="BS120" s="119"/>
      <c r="BT120" s="119"/>
      <c r="BU120" s="119"/>
      <c r="BV120" s="133"/>
      <c r="BW120" s="119"/>
      <c r="BX120" s="119"/>
      <c r="BY120" s="119"/>
      <c r="BZ120" s="119"/>
      <c r="CA120" s="133"/>
      <c r="CB120" s="119"/>
      <c r="CC120" s="119"/>
      <c r="CD120" s="119"/>
      <c r="CE120" s="119"/>
      <c r="CF120" s="133"/>
    </row>
    <row r="121" spans="1:84" ht="12.75">
      <c r="A121" s="119" t="s">
        <v>497</v>
      </c>
      <c r="B121" s="119" t="s">
        <v>498</v>
      </c>
      <c r="C121" s="119" t="s">
        <v>499</v>
      </c>
      <c r="D121" s="119" t="s">
        <v>152</v>
      </c>
      <c r="E121" s="119" t="s">
        <v>20</v>
      </c>
      <c r="F121" s="131">
        <f t="shared" si="0"/>
        <v>15</v>
      </c>
      <c r="G121" s="119">
        <f t="shared" si="1"/>
        <v>3</v>
      </c>
      <c r="H121" s="119">
        <f t="shared" ref="H121:I121" si="121">SUM(L121,Q121,V121,AA121,AF121,AK121,AP121,AU121,AZ121,BE121,BJ121,BO121,BT121,BY121,CD121)</f>
        <v>0</v>
      </c>
      <c r="I121" s="132">
        <f t="shared" si="121"/>
        <v>0</v>
      </c>
      <c r="J121" s="119">
        <v>0</v>
      </c>
      <c r="K121" s="119">
        <v>0</v>
      </c>
      <c r="L121" s="119">
        <v>0</v>
      </c>
      <c r="M121" s="119">
        <v>0</v>
      </c>
      <c r="N121" s="133">
        <v>0</v>
      </c>
      <c r="O121" s="119">
        <v>1</v>
      </c>
      <c r="P121" s="119" t="s">
        <v>500</v>
      </c>
      <c r="Q121" s="119"/>
      <c r="R121" s="119">
        <v>0</v>
      </c>
      <c r="S121" s="133">
        <v>3</v>
      </c>
      <c r="T121" s="119">
        <v>0</v>
      </c>
      <c r="U121" s="119">
        <v>0</v>
      </c>
      <c r="V121" s="119">
        <v>0</v>
      </c>
      <c r="W121" s="119">
        <v>0</v>
      </c>
      <c r="X121" s="133">
        <v>0</v>
      </c>
      <c r="Y121" s="119">
        <v>1</v>
      </c>
      <c r="Z121" s="119" t="s">
        <v>500</v>
      </c>
      <c r="AA121" s="119"/>
      <c r="AB121" s="119">
        <v>0</v>
      </c>
      <c r="AC121" s="133">
        <v>6</v>
      </c>
      <c r="AD121" s="119">
        <v>0</v>
      </c>
      <c r="AE121" s="119">
        <v>0</v>
      </c>
      <c r="AF121" s="119">
        <v>0</v>
      </c>
      <c r="AG121" s="119">
        <v>0</v>
      </c>
      <c r="AH121" s="133">
        <v>0</v>
      </c>
      <c r="AI121" s="119">
        <v>1</v>
      </c>
      <c r="AJ121" s="119" t="s">
        <v>501</v>
      </c>
      <c r="AK121" s="119"/>
      <c r="AL121" s="119">
        <v>0</v>
      </c>
      <c r="AM121" s="133">
        <v>6</v>
      </c>
      <c r="AN121" s="119">
        <v>0</v>
      </c>
      <c r="AO121" s="119">
        <v>0</v>
      </c>
      <c r="AP121" s="119">
        <v>0</v>
      </c>
      <c r="AQ121" s="119">
        <v>0</v>
      </c>
      <c r="AR121" s="133">
        <v>0</v>
      </c>
      <c r="AS121" s="119"/>
      <c r="AT121" s="119"/>
      <c r="AU121" s="119"/>
      <c r="AV121" s="119"/>
      <c r="AW121" s="133"/>
      <c r="AX121" s="119"/>
      <c r="AY121" s="119"/>
      <c r="AZ121" s="119"/>
      <c r="BA121" s="119"/>
      <c r="BB121" s="133"/>
      <c r="BC121" s="119"/>
      <c r="BD121" s="119"/>
      <c r="BE121" s="119"/>
      <c r="BF121" s="119"/>
      <c r="BG121" s="133"/>
      <c r="BH121" s="119"/>
      <c r="BI121" s="119"/>
      <c r="BJ121" s="119"/>
      <c r="BK121" s="119"/>
      <c r="BL121" s="133"/>
      <c r="BM121" s="119"/>
      <c r="BN121" s="119"/>
      <c r="BO121" s="119"/>
      <c r="BP121" s="119"/>
      <c r="BQ121" s="133"/>
      <c r="BR121" s="119"/>
      <c r="BS121" s="119"/>
      <c r="BT121" s="119"/>
      <c r="BU121" s="119"/>
      <c r="BV121" s="133"/>
      <c r="BW121" s="119"/>
      <c r="BX121" s="119"/>
      <c r="BY121" s="119"/>
      <c r="BZ121" s="119"/>
      <c r="CA121" s="133"/>
      <c r="CB121" s="119"/>
      <c r="CC121" s="119"/>
      <c r="CD121" s="119"/>
      <c r="CE121" s="119"/>
      <c r="CF121" s="133"/>
    </row>
    <row r="122" spans="1:84" ht="12.75">
      <c r="A122" s="119" t="s">
        <v>502</v>
      </c>
      <c r="B122" s="119" t="s">
        <v>503</v>
      </c>
      <c r="C122" s="119" t="s">
        <v>504</v>
      </c>
      <c r="D122" s="119" t="s">
        <v>158</v>
      </c>
      <c r="E122" s="119" t="s">
        <v>20</v>
      </c>
      <c r="F122" s="131">
        <f t="shared" si="0"/>
        <v>20</v>
      </c>
      <c r="G122" s="119">
        <f t="shared" si="1"/>
        <v>3</v>
      </c>
      <c r="H122" s="119">
        <f t="shared" ref="H122:I122" si="122">SUM(L122,Q122,V122,AA122,AF122,AK122,AP122,AU122,AZ122,BE122,BJ122,BO122,BT122,BY122,CD122)</f>
        <v>0</v>
      </c>
      <c r="I122" s="132">
        <f t="shared" si="122"/>
        <v>0</v>
      </c>
      <c r="J122" s="119">
        <v>0</v>
      </c>
      <c r="K122" s="119">
        <v>0</v>
      </c>
      <c r="L122" s="119">
        <v>0</v>
      </c>
      <c r="M122" s="119">
        <v>0</v>
      </c>
      <c r="N122" s="133">
        <v>0</v>
      </c>
      <c r="O122" s="119">
        <v>1</v>
      </c>
      <c r="P122" s="119" t="s">
        <v>500</v>
      </c>
      <c r="Q122" s="119"/>
      <c r="R122" s="119">
        <v>0</v>
      </c>
      <c r="S122" s="133">
        <v>2</v>
      </c>
      <c r="T122" s="119">
        <v>0</v>
      </c>
      <c r="U122" s="119">
        <v>0</v>
      </c>
      <c r="V122" s="119">
        <v>0</v>
      </c>
      <c r="W122" s="119">
        <v>0</v>
      </c>
      <c r="X122" s="133">
        <v>0</v>
      </c>
      <c r="Y122" s="119">
        <v>1</v>
      </c>
      <c r="Z122" s="119" t="s">
        <v>500</v>
      </c>
      <c r="AA122" s="119"/>
      <c r="AB122" s="119">
        <v>0</v>
      </c>
      <c r="AC122" s="133">
        <v>12</v>
      </c>
      <c r="AD122" s="119">
        <v>0</v>
      </c>
      <c r="AE122" s="119">
        <v>0</v>
      </c>
      <c r="AF122" s="119">
        <v>0</v>
      </c>
      <c r="AG122" s="119">
        <v>0</v>
      </c>
      <c r="AH122" s="133">
        <v>0</v>
      </c>
      <c r="AI122" s="119">
        <v>1</v>
      </c>
      <c r="AJ122" s="119" t="s">
        <v>501</v>
      </c>
      <c r="AK122" s="119"/>
      <c r="AL122" s="119">
        <v>0</v>
      </c>
      <c r="AM122" s="133">
        <v>6</v>
      </c>
      <c r="AN122" s="119">
        <v>0</v>
      </c>
      <c r="AO122" s="119">
        <v>0</v>
      </c>
      <c r="AP122" s="119">
        <v>0</v>
      </c>
      <c r="AQ122" s="119">
        <v>0</v>
      </c>
      <c r="AR122" s="133">
        <v>0</v>
      </c>
      <c r="AS122" s="119"/>
      <c r="AT122" s="119"/>
      <c r="AU122" s="119"/>
      <c r="AV122" s="119"/>
      <c r="AW122" s="133"/>
      <c r="AX122" s="119"/>
      <c r="AY122" s="119"/>
      <c r="AZ122" s="119"/>
      <c r="BA122" s="119"/>
      <c r="BB122" s="133"/>
      <c r="BC122" s="119"/>
      <c r="BD122" s="119"/>
      <c r="BE122" s="119"/>
      <c r="BF122" s="119"/>
      <c r="BG122" s="133"/>
      <c r="BH122" s="119"/>
      <c r="BI122" s="119"/>
      <c r="BJ122" s="119"/>
      <c r="BK122" s="119"/>
      <c r="BL122" s="133"/>
      <c r="BM122" s="119"/>
      <c r="BN122" s="119"/>
      <c r="BO122" s="119"/>
      <c r="BP122" s="119"/>
      <c r="BQ122" s="133"/>
      <c r="BR122" s="119"/>
      <c r="BS122" s="119"/>
      <c r="BT122" s="119"/>
      <c r="BU122" s="119"/>
      <c r="BV122" s="133"/>
      <c r="BW122" s="119"/>
      <c r="BX122" s="119"/>
      <c r="BY122" s="119"/>
      <c r="BZ122" s="119"/>
      <c r="CA122" s="133"/>
      <c r="CB122" s="119"/>
      <c r="CC122" s="119"/>
      <c r="CD122" s="119"/>
      <c r="CE122" s="119"/>
      <c r="CF122" s="133"/>
    </row>
    <row r="123" spans="1:84" ht="12.75">
      <c r="A123" s="119" t="s">
        <v>505</v>
      </c>
      <c r="B123" s="119" t="s">
        <v>506</v>
      </c>
      <c r="C123" s="119" t="s">
        <v>507</v>
      </c>
      <c r="D123" s="119" t="s">
        <v>158</v>
      </c>
      <c r="E123" s="119" t="s">
        <v>20</v>
      </c>
      <c r="F123" s="131">
        <f t="shared" si="0"/>
        <v>0</v>
      </c>
      <c r="G123" s="119">
        <f t="shared" si="1"/>
        <v>0</v>
      </c>
      <c r="H123" s="119">
        <f t="shared" ref="H123:I123" si="123">SUM(L123,Q123,V123,AA123,AF123,AK123,AP123,AU123,AZ123,BE123,BJ123,BO123,BT123,BY123,CD123)</f>
        <v>0</v>
      </c>
      <c r="I123" s="132">
        <f t="shared" si="123"/>
        <v>0</v>
      </c>
      <c r="J123" s="119">
        <v>0</v>
      </c>
      <c r="K123" s="119">
        <v>0</v>
      </c>
      <c r="L123" s="119">
        <v>0</v>
      </c>
      <c r="M123" s="119">
        <v>0</v>
      </c>
      <c r="N123" s="133">
        <v>0</v>
      </c>
      <c r="O123" s="119">
        <v>0</v>
      </c>
      <c r="P123" s="119">
        <v>0</v>
      </c>
      <c r="Q123" s="119">
        <v>0</v>
      </c>
      <c r="R123" s="119">
        <v>0</v>
      </c>
      <c r="S123" s="133">
        <v>0</v>
      </c>
      <c r="T123" s="119">
        <v>0</v>
      </c>
      <c r="U123" s="119">
        <v>0</v>
      </c>
      <c r="V123" s="119">
        <v>0</v>
      </c>
      <c r="W123" s="119">
        <v>0</v>
      </c>
      <c r="X123" s="133">
        <v>0</v>
      </c>
      <c r="Y123" s="119">
        <v>0</v>
      </c>
      <c r="Z123" s="119">
        <v>0</v>
      </c>
      <c r="AA123" s="119">
        <v>0</v>
      </c>
      <c r="AB123" s="119">
        <v>0</v>
      </c>
      <c r="AC123" s="133">
        <v>0</v>
      </c>
      <c r="AD123" s="119">
        <v>0</v>
      </c>
      <c r="AE123" s="119">
        <v>0</v>
      </c>
      <c r="AF123" s="119">
        <v>0</v>
      </c>
      <c r="AG123" s="119">
        <v>0</v>
      </c>
      <c r="AH123" s="133">
        <v>0</v>
      </c>
      <c r="AI123" s="119">
        <v>0</v>
      </c>
      <c r="AJ123" s="119">
        <v>0</v>
      </c>
      <c r="AK123" s="119">
        <v>0</v>
      </c>
      <c r="AL123" s="119">
        <v>0</v>
      </c>
      <c r="AM123" s="133">
        <v>0</v>
      </c>
      <c r="AN123" s="119">
        <v>0</v>
      </c>
      <c r="AO123" s="119">
        <v>0</v>
      </c>
      <c r="AP123" s="119">
        <v>0</v>
      </c>
      <c r="AQ123" s="119">
        <v>0</v>
      </c>
      <c r="AR123" s="133">
        <v>0</v>
      </c>
      <c r="AS123" s="119"/>
      <c r="AT123" s="119"/>
      <c r="AU123" s="119"/>
      <c r="AV123" s="119"/>
      <c r="AW123" s="133"/>
      <c r="AX123" s="119"/>
      <c r="AY123" s="119"/>
      <c r="AZ123" s="119"/>
      <c r="BA123" s="119"/>
      <c r="BB123" s="133"/>
      <c r="BC123" s="119"/>
      <c r="BD123" s="119"/>
      <c r="BE123" s="119"/>
      <c r="BF123" s="119"/>
      <c r="BG123" s="133"/>
      <c r="BH123" s="119"/>
      <c r="BI123" s="119"/>
      <c r="BJ123" s="119"/>
      <c r="BK123" s="119"/>
      <c r="BL123" s="133"/>
      <c r="BM123" s="119"/>
      <c r="BN123" s="119"/>
      <c r="BO123" s="119"/>
      <c r="BP123" s="119"/>
      <c r="BQ123" s="133"/>
      <c r="BR123" s="119"/>
      <c r="BS123" s="119"/>
      <c r="BT123" s="119"/>
      <c r="BU123" s="119"/>
      <c r="BV123" s="133"/>
      <c r="BW123" s="119"/>
      <c r="BX123" s="119"/>
      <c r="BY123" s="119"/>
      <c r="BZ123" s="119"/>
      <c r="CA123" s="133"/>
      <c r="CB123" s="119"/>
      <c r="CC123" s="119"/>
      <c r="CD123" s="119"/>
      <c r="CE123" s="119"/>
      <c r="CF123" s="133"/>
    </row>
    <row r="124" spans="1:84" ht="12.75">
      <c r="A124" s="119" t="s">
        <v>508</v>
      </c>
      <c r="B124" s="119" t="s">
        <v>509</v>
      </c>
      <c r="C124" s="119" t="s">
        <v>271</v>
      </c>
      <c r="D124" s="119" t="s">
        <v>158</v>
      </c>
      <c r="E124" s="119" t="s">
        <v>20</v>
      </c>
      <c r="F124" s="131">
        <f t="shared" si="0"/>
        <v>0</v>
      </c>
      <c r="G124" s="119">
        <f t="shared" si="1"/>
        <v>0</v>
      </c>
      <c r="H124" s="119">
        <f t="shared" ref="H124:I124" si="124">SUM(L124,Q124,V124,AA124,AF124,AK124,AP124,AU124,AZ124,BE124,BJ124,BO124,BT124,BY124,CD124)</f>
        <v>0</v>
      </c>
      <c r="I124" s="132">
        <f t="shared" si="124"/>
        <v>0</v>
      </c>
      <c r="J124" s="119">
        <v>0</v>
      </c>
      <c r="K124" s="119">
        <v>0</v>
      </c>
      <c r="L124" s="119">
        <v>0</v>
      </c>
      <c r="M124" s="119">
        <v>0</v>
      </c>
      <c r="N124" s="133">
        <v>0</v>
      </c>
      <c r="O124" s="119">
        <v>0</v>
      </c>
      <c r="P124" s="119">
        <v>0</v>
      </c>
      <c r="Q124" s="119">
        <v>0</v>
      </c>
      <c r="R124" s="119">
        <v>0</v>
      </c>
      <c r="S124" s="133">
        <v>0</v>
      </c>
      <c r="T124" s="119">
        <v>0</v>
      </c>
      <c r="U124" s="119">
        <v>0</v>
      </c>
      <c r="V124" s="119">
        <v>0</v>
      </c>
      <c r="W124" s="119">
        <v>0</v>
      </c>
      <c r="X124" s="133">
        <v>0</v>
      </c>
      <c r="Y124" s="119">
        <v>0</v>
      </c>
      <c r="Z124" s="119">
        <v>0</v>
      </c>
      <c r="AA124" s="119">
        <v>0</v>
      </c>
      <c r="AB124" s="119">
        <v>0</v>
      </c>
      <c r="AC124" s="133">
        <v>0</v>
      </c>
      <c r="AD124" s="119">
        <v>0</v>
      </c>
      <c r="AE124" s="119">
        <v>0</v>
      </c>
      <c r="AF124" s="119">
        <v>0</v>
      </c>
      <c r="AG124" s="119">
        <v>0</v>
      </c>
      <c r="AH124" s="133">
        <v>0</v>
      </c>
      <c r="AI124" s="119">
        <v>0</v>
      </c>
      <c r="AJ124" s="119">
        <v>0</v>
      </c>
      <c r="AK124" s="119">
        <v>0</v>
      </c>
      <c r="AL124" s="119">
        <v>0</v>
      </c>
      <c r="AM124" s="133">
        <v>0</v>
      </c>
      <c r="AN124" s="119">
        <v>0</v>
      </c>
      <c r="AO124" s="119">
        <v>0</v>
      </c>
      <c r="AP124" s="119">
        <v>0</v>
      </c>
      <c r="AQ124" s="119">
        <v>0</v>
      </c>
      <c r="AR124" s="133">
        <v>0</v>
      </c>
      <c r="AS124" s="119"/>
      <c r="AT124" s="119"/>
      <c r="AU124" s="119"/>
      <c r="AV124" s="119"/>
      <c r="AW124" s="133"/>
      <c r="AX124" s="119"/>
      <c r="AY124" s="119"/>
      <c r="AZ124" s="119"/>
      <c r="BA124" s="119"/>
      <c r="BB124" s="133"/>
      <c r="BC124" s="119"/>
      <c r="BD124" s="119"/>
      <c r="BE124" s="119"/>
      <c r="BF124" s="119"/>
      <c r="BG124" s="133"/>
      <c r="BH124" s="119"/>
      <c r="BI124" s="119"/>
      <c r="BJ124" s="119"/>
      <c r="BK124" s="119"/>
      <c r="BL124" s="133"/>
      <c r="BM124" s="119"/>
      <c r="BN124" s="119"/>
      <c r="BO124" s="119"/>
      <c r="BP124" s="119"/>
      <c r="BQ124" s="133"/>
      <c r="BR124" s="119"/>
      <c r="BS124" s="119"/>
      <c r="BT124" s="119"/>
      <c r="BU124" s="119"/>
      <c r="BV124" s="133"/>
      <c r="BW124" s="119"/>
      <c r="BX124" s="119"/>
      <c r="BY124" s="119"/>
      <c r="BZ124" s="119"/>
      <c r="CA124" s="133"/>
      <c r="CB124" s="119"/>
      <c r="CC124" s="119"/>
      <c r="CD124" s="119"/>
      <c r="CE124" s="119"/>
      <c r="CF124" s="133"/>
    </row>
    <row r="125" spans="1:84" ht="12.75">
      <c r="A125" s="119" t="s">
        <v>510</v>
      </c>
      <c r="B125" s="119" t="s">
        <v>511</v>
      </c>
      <c r="C125" s="119" t="s">
        <v>512</v>
      </c>
      <c r="D125" s="119" t="s">
        <v>158</v>
      </c>
      <c r="E125" s="119" t="s">
        <v>20</v>
      </c>
      <c r="F125" s="131">
        <f t="shared" si="0"/>
        <v>0</v>
      </c>
      <c r="G125" s="119">
        <f t="shared" si="1"/>
        <v>0</v>
      </c>
      <c r="H125" s="119">
        <f t="shared" ref="H125:I125" si="125">SUM(L125,Q125,V125,AA125,AF125,AK125,AP125,AU125,AZ125,BE125,BJ125,BO125,BT125,BY125,CD125)</f>
        <v>0</v>
      </c>
      <c r="I125" s="132">
        <f t="shared" si="125"/>
        <v>0</v>
      </c>
      <c r="J125" s="119">
        <v>0</v>
      </c>
      <c r="K125" s="119">
        <v>0</v>
      </c>
      <c r="L125" s="119">
        <v>0</v>
      </c>
      <c r="M125" s="119">
        <v>0</v>
      </c>
      <c r="N125" s="133">
        <v>0</v>
      </c>
      <c r="O125" s="119">
        <v>0</v>
      </c>
      <c r="P125" s="119">
        <v>0</v>
      </c>
      <c r="Q125" s="119">
        <v>0</v>
      </c>
      <c r="R125" s="119">
        <v>0</v>
      </c>
      <c r="S125" s="133">
        <v>0</v>
      </c>
      <c r="T125" s="119">
        <v>0</v>
      </c>
      <c r="U125" s="119">
        <v>0</v>
      </c>
      <c r="V125" s="119">
        <v>0</v>
      </c>
      <c r="W125" s="119">
        <v>0</v>
      </c>
      <c r="X125" s="133">
        <v>0</v>
      </c>
      <c r="Y125" s="119">
        <v>0</v>
      </c>
      <c r="Z125" s="119">
        <v>0</v>
      </c>
      <c r="AA125" s="119">
        <v>0</v>
      </c>
      <c r="AB125" s="119">
        <v>0</v>
      </c>
      <c r="AC125" s="133">
        <v>0</v>
      </c>
      <c r="AD125" s="119">
        <v>0</v>
      </c>
      <c r="AE125" s="119">
        <v>0</v>
      </c>
      <c r="AF125" s="119">
        <v>0</v>
      </c>
      <c r="AG125" s="119">
        <v>0</v>
      </c>
      <c r="AH125" s="133">
        <v>0</v>
      </c>
      <c r="AI125" s="119">
        <v>0</v>
      </c>
      <c r="AJ125" s="119">
        <v>0</v>
      </c>
      <c r="AK125" s="119">
        <v>0</v>
      </c>
      <c r="AL125" s="119">
        <v>0</v>
      </c>
      <c r="AM125" s="133">
        <v>0</v>
      </c>
      <c r="AN125" s="119">
        <v>0</v>
      </c>
      <c r="AO125" s="119">
        <v>0</v>
      </c>
      <c r="AP125" s="119">
        <v>0</v>
      </c>
      <c r="AQ125" s="119">
        <v>0</v>
      </c>
      <c r="AR125" s="133">
        <v>0</v>
      </c>
      <c r="AS125" s="119"/>
      <c r="AT125" s="119"/>
      <c r="AU125" s="119"/>
      <c r="AV125" s="119"/>
      <c r="AW125" s="133"/>
      <c r="AX125" s="119"/>
      <c r="AY125" s="119"/>
      <c r="AZ125" s="119"/>
      <c r="BA125" s="119"/>
      <c r="BB125" s="133"/>
      <c r="BC125" s="119"/>
      <c r="BD125" s="119"/>
      <c r="BE125" s="119"/>
      <c r="BF125" s="119"/>
      <c r="BG125" s="133"/>
      <c r="BH125" s="119"/>
      <c r="BI125" s="119"/>
      <c r="BJ125" s="119"/>
      <c r="BK125" s="119"/>
      <c r="BL125" s="133"/>
      <c r="BM125" s="119"/>
      <c r="BN125" s="119"/>
      <c r="BO125" s="119"/>
      <c r="BP125" s="119"/>
      <c r="BQ125" s="133"/>
      <c r="BR125" s="119"/>
      <c r="BS125" s="119"/>
      <c r="BT125" s="119"/>
      <c r="BU125" s="119"/>
      <c r="BV125" s="133"/>
      <c r="BW125" s="119"/>
      <c r="BX125" s="119"/>
      <c r="BY125" s="119"/>
      <c r="BZ125" s="119"/>
      <c r="CA125" s="133"/>
      <c r="CB125" s="119"/>
      <c r="CC125" s="119"/>
      <c r="CD125" s="119"/>
      <c r="CE125" s="119"/>
      <c r="CF125" s="133"/>
    </row>
    <row r="126" spans="1:84" ht="12.75">
      <c r="A126" s="119" t="s">
        <v>513</v>
      </c>
      <c r="B126" s="119" t="s">
        <v>514</v>
      </c>
      <c r="C126" s="119" t="s">
        <v>515</v>
      </c>
      <c r="D126" s="119" t="s">
        <v>158</v>
      </c>
      <c r="E126" s="119" t="s">
        <v>20</v>
      </c>
      <c r="F126" s="131">
        <f t="shared" si="0"/>
        <v>0</v>
      </c>
      <c r="G126" s="119">
        <f t="shared" si="1"/>
        <v>0</v>
      </c>
      <c r="H126" s="119">
        <f t="shared" ref="H126:I126" si="126">SUM(L126,Q126,V126,AA126,AF126,AK126,AP126,AU126,AZ126,BE126,BJ126,BO126,BT126,BY126,CD126)</f>
        <v>0</v>
      </c>
      <c r="I126" s="132">
        <f t="shared" si="126"/>
        <v>0</v>
      </c>
      <c r="J126" s="119">
        <v>0</v>
      </c>
      <c r="K126" s="119">
        <v>0</v>
      </c>
      <c r="L126" s="119">
        <v>0</v>
      </c>
      <c r="M126" s="119">
        <v>0</v>
      </c>
      <c r="N126" s="133">
        <v>0</v>
      </c>
      <c r="O126" s="119">
        <v>0</v>
      </c>
      <c r="P126" s="119">
        <v>0</v>
      </c>
      <c r="Q126" s="119">
        <v>0</v>
      </c>
      <c r="R126" s="119">
        <v>0</v>
      </c>
      <c r="S126" s="133">
        <v>0</v>
      </c>
      <c r="T126" s="119">
        <v>0</v>
      </c>
      <c r="U126" s="119">
        <v>0</v>
      </c>
      <c r="V126" s="119">
        <v>0</v>
      </c>
      <c r="W126" s="119">
        <v>0</v>
      </c>
      <c r="X126" s="133">
        <v>0</v>
      </c>
      <c r="Y126" s="119">
        <v>0</v>
      </c>
      <c r="Z126" s="119">
        <v>0</v>
      </c>
      <c r="AA126" s="119">
        <v>0</v>
      </c>
      <c r="AB126" s="119">
        <v>0</v>
      </c>
      <c r="AC126" s="133">
        <v>0</v>
      </c>
      <c r="AD126" s="119">
        <v>0</v>
      </c>
      <c r="AE126" s="119">
        <v>0</v>
      </c>
      <c r="AF126" s="119">
        <v>0</v>
      </c>
      <c r="AG126" s="119">
        <v>0</v>
      </c>
      <c r="AH126" s="133">
        <v>0</v>
      </c>
      <c r="AI126" s="119">
        <v>0</v>
      </c>
      <c r="AJ126" s="119">
        <v>0</v>
      </c>
      <c r="AK126" s="119">
        <v>0</v>
      </c>
      <c r="AL126" s="119">
        <v>0</v>
      </c>
      <c r="AM126" s="133">
        <v>0</v>
      </c>
      <c r="AN126" s="119">
        <v>0</v>
      </c>
      <c r="AO126" s="119">
        <v>0</v>
      </c>
      <c r="AP126" s="119">
        <v>0</v>
      </c>
      <c r="AQ126" s="119">
        <v>0</v>
      </c>
      <c r="AR126" s="133">
        <v>0</v>
      </c>
      <c r="AS126" s="119"/>
      <c r="AT126" s="119"/>
      <c r="AU126" s="119"/>
      <c r="AV126" s="119"/>
      <c r="AW126" s="133"/>
      <c r="AX126" s="119"/>
      <c r="AY126" s="119"/>
      <c r="AZ126" s="119"/>
      <c r="BA126" s="119"/>
      <c r="BB126" s="133"/>
      <c r="BC126" s="119"/>
      <c r="BD126" s="119"/>
      <c r="BE126" s="119"/>
      <c r="BF126" s="119"/>
      <c r="BG126" s="133"/>
      <c r="BH126" s="119"/>
      <c r="BI126" s="119"/>
      <c r="BJ126" s="119"/>
      <c r="BK126" s="119"/>
      <c r="BL126" s="133"/>
      <c r="BM126" s="119"/>
      <c r="BN126" s="119"/>
      <c r="BO126" s="119"/>
      <c r="BP126" s="119"/>
      <c r="BQ126" s="133"/>
      <c r="BR126" s="119"/>
      <c r="BS126" s="119"/>
      <c r="BT126" s="119"/>
      <c r="BU126" s="119"/>
      <c r="BV126" s="133"/>
      <c r="BW126" s="119"/>
      <c r="BX126" s="119"/>
      <c r="BY126" s="119"/>
      <c r="BZ126" s="119"/>
      <c r="CA126" s="133"/>
      <c r="CB126" s="119"/>
      <c r="CC126" s="119"/>
      <c r="CD126" s="119"/>
      <c r="CE126" s="119"/>
      <c r="CF126" s="133"/>
    </row>
    <row r="127" spans="1:84" ht="12.75">
      <c r="A127" s="119" t="s">
        <v>516</v>
      </c>
      <c r="B127" s="119" t="s">
        <v>517</v>
      </c>
      <c r="C127" s="119" t="s">
        <v>518</v>
      </c>
      <c r="D127" s="119" t="s">
        <v>152</v>
      </c>
      <c r="E127" s="119" t="s">
        <v>20</v>
      </c>
      <c r="F127" s="131">
        <f t="shared" si="0"/>
        <v>0</v>
      </c>
      <c r="G127" s="119">
        <f t="shared" si="1"/>
        <v>1.5</v>
      </c>
      <c r="H127" s="119">
        <f t="shared" ref="H127:I127" si="127">SUM(L127,Q127,V127,AA127,AF127,AK127,AP127,AU127,AZ127,BE127,BJ127,BO127,BT127,BY127,CD127)</f>
        <v>400</v>
      </c>
      <c r="I127" s="132">
        <f t="shared" si="127"/>
        <v>0</v>
      </c>
      <c r="J127" s="119">
        <v>0</v>
      </c>
      <c r="K127" s="119">
        <v>0</v>
      </c>
      <c r="L127" s="119">
        <v>0</v>
      </c>
      <c r="M127" s="119">
        <v>0</v>
      </c>
      <c r="N127" s="133">
        <v>0</v>
      </c>
      <c r="O127" s="119">
        <v>0</v>
      </c>
      <c r="P127" s="119">
        <v>0</v>
      </c>
      <c r="Q127" s="119">
        <v>0</v>
      </c>
      <c r="R127" s="119">
        <v>0</v>
      </c>
      <c r="S127" s="133">
        <v>0</v>
      </c>
      <c r="T127" s="119">
        <v>0</v>
      </c>
      <c r="U127" s="119">
        <v>0</v>
      </c>
      <c r="V127" s="119">
        <v>0</v>
      </c>
      <c r="W127" s="119">
        <v>0</v>
      </c>
      <c r="X127" s="133">
        <v>0</v>
      </c>
      <c r="Y127" s="119">
        <v>0</v>
      </c>
      <c r="Z127" s="119">
        <v>0</v>
      </c>
      <c r="AA127" s="119">
        <v>0</v>
      </c>
      <c r="AB127" s="119">
        <v>0</v>
      </c>
      <c r="AC127" s="133">
        <v>0</v>
      </c>
      <c r="AD127" s="119">
        <v>0</v>
      </c>
      <c r="AE127" s="119">
        <v>0</v>
      </c>
      <c r="AF127" s="119">
        <v>0</v>
      </c>
      <c r="AG127" s="119">
        <v>0</v>
      </c>
      <c r="AH127" s="133">
        <v>0</v>
      </c>
      <c r="AI127" s="119">
        <v>1</v>
      </c>
      <c r="AJ127" s="119">
        <v>0</v>
      </c>
      <c r="AK127" s="119">
        <v>200</v>
      </c>
      <c r="AL127" s="119">
        <v>0</v>
      </c>
      <c r="AM127" s="133">
        <v>0</v>
      </c>
      <c r="AN127" s="119">
        <v>0.5</v>
      </c>
      <c r="AO127" s="119">
        <v>0</v>
      </c>
      <c r="AP127" s="119">
        <v>200</v>
      </c>
      <c r="AQ127" s="119">
        <v>0</v>
      </c>
      <c r="AR127" s="133">
        <v>0</v>
      </c>
      <c r="AS127" s="119"/>
      <c r="AT127" s="119"/>
      <c r="AU127" s="119"/>
      <c r="AV127" s="119"/>
      <c r="AW127" s="133"/>
      <c r="AX127" s="119"/>
      <c r="AY127" s="119"/>
      <c r="AZ127" s="119"/>
      <c r="BA127" s="119"/>
      <c r="BB127" s="133"/>
      <c r="BC127" s="119"/>
      <c r="BD127" s="119"/>
      <c r="BE127" s="119"/>
      <c r="BF127" s="119"/>
      <c r="BG127" s="133"/>
      <c r="BH127" s="119"/>
      <c r="BI127" s="119"/>
      <c r="BJ127" s="119"/>
      <c r="BK127" s="119"/>
      <c r="BL127" s="133"/>
      <c r="BM127" s="119"/>
      <c r="BN127" s="119"/>
      <c r="BO127" s="119"/>
      <c r="BP127" s="119"/>
      <c r="BQ127" s="133"/>
      <c r="BR127" s="119"/>
      <c r="BS127" s="119"/>
      <c r="BT127" s="119"/>
      <c r="BU127" s="119"/>
      <c r="BV127" s="133"/>
      <c r="BW127" s="119"/>
      <c r="BX127" s="119"/>
      <c r="BY127" s="119"/>
      <c r="BZ127" s="119"/>
      <c r="CA127" s="133"/>
      <c r="CB127" s="119"/>
      <c r="CC127" s="119"/>
      <c r="CD127" s="119"/>
      <c r="CE127" s="119"/>
      <c r="CF127" s="133"/>
    </row>
    <row r="128" spans="1:84" ht="12.75">
      <c r="A128" s="119" t="s">
        <v>519</v>
      </c>
      <c r="B128" s="119" t="s">
        <v>520</v>
      </c>
      <c r="C128" s="119" t="s">
        <v>521</v>
      </c>
      <c r="D128" s="119" t="s">
        <v>152</v>
      </c>
      <c r="E128" s="119" t="s">
        <v>522</v>
      </c>
      <c r="F128" s="131">
        <f t="shared" si="0"/>
        <v>0</v>
      </c>
      <c r="G128" s="119">
        <f t="shared" si="1"/>
        <v>3.5</v>
      </c>
      <c r="H128" s="119">
        <f t="shared" ref="H128:I128" si="128">SUM(L128,Q128,V128,AA128,AF128,AK128,AP128,AU128,AZ128,BE128,BJ128,BO128,BT128,BY128,CD128)</f>
        <v>200</v>
      </c>
      <c r="I128" s="132">
        <f t="shared" si="128"/>
        <v>0</v>
      </c>
      <c r="J128" s="119">
        <v>0</v>
      </c>
      <c r="K128" s="119">
        <v>0</v>
      </c>
      <c r="L128" s="119">
        <v>0</v>
      </c>
      <c r="M128" s="119">
        <v>0</v>
      </c>
      <c r="N128" s="133">
        <v>0</v>
      </c>
      <c r="O128" s="119">
        <v>0</v>
      </c>
      <c r="P128" s="119">
        <v>0</v>
      </c>
      <c r="Q128" s="119">
        <v>0</v>
      </c>
      <c r="R128" s="119">
        <v>0</v>
      </c>
      <c r="S128" s="133">
        <v>0</v>
      </c>
      <c r="T128" s="119">
        <v>0</v>
      </c>
      <c r="U128" s="119">
        <v>0</v>
      </c>
      <c r="V128" s="119">
        <v>0</v>
      </c>
      <c r="W128" s="119">
        <v>0</v>
      </c>
      <c r="X128" s="133">
        <v>0</v>
      </c>
      <c r="Y128" s="119">
        <v>1</v>
      </c>
      <c r="Z128" s="119" t="s">
        <v>364</v>
      </c>
      <c r="AA128" s="119">
        <v>200</v>
      </c>
      <c r="AB128" s="119">
        <v>0</v>
      </c>
      <c r="AC128" s="133">
        <v>0</v>
      </c>
      <c r="AD128" s="119">
        <v>1</v>
      </c>
      <c r="AE128" s="119" t="s">
        <v>523</v>
      </c>
      <c r="AF128" s="119">
        <v>0</v>
      </c>
      <c r="AG128" s="119">
        <v>0</v>
      </c>
      <c r="AH128" s="133"/>
      <c r="AI128" s="119">
        <v>0</v>
      </c>
      <c r="AJ128" s="119">
        <v>0</v>
      </c>
      <c r="AK128" s="119">
        <v>0</v>
      </c>
      <c r="AL128" s="119">
        <v>0</v>
      </c>
      <c r="AM128" s="133">
        <v>0</v>
      </c>
      <c r="AN128" s="119">
        <v>1.5</v>
      </c>
      <c r="AO128" s="119" t="s">
        <v>523</v>
      </c>
      <c r="AP128" s="119"/>
      <c r="AQ128" s="119">
        <v>0</v>
      </c>
      <c r="AR128" s="133"/>
      <c r="AS128" s="119"/>
      <c r="AT128" s="119"/>
      <c r="AU128" s="119"/>
      <c r="AV128" s="119"/>
      <c r="AW128" s="133"/>
      <c r="AX128" s="119"/>
      <c r="AY128" s="119"/>
      <c r="AZ128" s="119"/>
      <c r="BA128" s="119"/>
      <c r="BB128" s="133"/>
      <c r="BC128" s="119"/>
      <c r="BD128" s="119"/>
      <c r="BE128" s="119"/>
      <c r="BF128" s="119"/>
      <c r="BG128" s="133"/>
      <c r="BH128" s="119"/>
      <c r="BI128" s="119"/>
      <c r="BJ128" s="119"/>
      <c r="BK128" s="119"/>
      <c r="BL128" s="133"/>
      <c r="BM128" s="119"/>
      <c r="BN128" s="119"/>
      <c r="BO128" s="119"/>
      <c r="BP128" s="119"/>
      <c r="BQ128" s="133"/>
      <c r="BR128" s="119"/>
      <c r="BS128" s="119"/>
      <c r="BT128" s="119"/>
      <c r="BU128" s="119"/>
      <c r="BV128" s="133"/>
      <c r="BW128" s="119"/>
      <c r="BX128" s="119"/>
      <c r="BY128" s="119"/>
      <c r="BZ128" s="119"/>
      <c r="CA128" s="133"/>
      <c r="CB128" s="119"/>
      <c r="CC128" s="119"/>
      <c r="CD128" s="119"/>
      <c r="CE128" s="119"/>
      <c r="CF128" s="133"/>
    </row>
    <row r="129" spans="1:84" ht="12.75">
      <c r="A129" s="119" t="s">
        <v>524</v>
      </c>
      <c r="B129" s="119" t="s">
        <v>525</v>
      </c>
      <c r="C129" s="119" t="s">
        <v>526</v>
      </c>
      <c r="D129" s="119" t="s">
        <v>158</v>
      </c>
      <c r="E129" s="119" t="s">
        <v>522</v>
      </c>
      <c r="F129" s="131">
        <f t="shared" si="0"/>
        <v>0</v>
      </c>
      <c r="G129" s="119">
        <f t="shared" si="1"/>
        <v>2.5</v>
      </c>
      <c r="H129" s="119">
        <f t="shared" ref="H129:I129" si="129">SUM(L129,Q129,V129,AA129,AF129,AK129,AP129,AU129,AZ129,BE129,BJ129,BO129,BT129,BY129,CD129)</f>
        <v>0</v>
      </c>
      <c r="I129" s="132">
        <f t="shared" si="129"/>
        <v>0</v>
      </c>
      <c r="J129" s="119">
        <v>0</v>
      </c>
      <c r="K129" s="119">
        <v>0</v>
      </c>
      <c r="L129" s="119">
        <v>0</v>
      </c>
      <c r="M129" s="119">
        <v>0</v>
      </c>
      <c r="N129" s="133">
        <v>0</v>
      </c>
      <c r="O129" s="119">
        <v>0</v>
      </c>
      <c r="P129" s="119">
        <v>0</v>
      </c>
      <c r="Q129" s="119">
        <v>0</v>
      </c>
      <c r="R129" s="119">
        <v>0</v>
      </c>
      <c r="S129" s="133">
        <v>0</v>
      </c>
      <c r="T129" s="119">
        <v>0</v>
      </c>
      <c r="U129" s="119">
        <v>0</v>
      </c>
      <c r="V129" s="119">
        <v>0</v>
      </c>
      <c r="W129" s="119">
        <v>0</v>
      </c>
      <c r="X129" s="133">
        <v>0</v>
      </c>
      <c r="Y129" s="119">
        <v>0</v>
      </c>
      <c r="Z129" s="119">
        <v>0</v>
      </c>
      <c r="AA129" s="119">
        <v>0</v>
      </c>
      <c r="AB129" s="119">
        <v>0</v>
      </c>
      <c r="AC129" s="133">
        <v>0</v>
      </c>
      <c r="AD129" s="119">
        <v>1</v>
      </c>
      <c r="AE129" s="119" t="s">
        <v>523</v>
      </c>
      <c r="AF129" s="119">
        <v>0</v>
      </c>
      <c r="AG129" s="119">
        <v>0</v>
      </c>
      <c r="AH129" s="133"/>
      <c r="AI129" s="119">
        <v>0</v>
      </c>
      <c r="AJ129" s="119">
        <v>0</v>
      </c>
      <c r="AK129" s="119">
        <v>0</v>
      </c>
      <c r="AL129" s="119">
        <v>0</v>
      </c>
      <c r="AM129" s="133">
        <v>0</v>
      </c>
      <c r="AN129" s="119">
        <v>1.5</v>
      </c>
      <c r="AO129" s="119" t="s">
        <v>523</v>
      </c>
      <c r="AP129" s="119"/>
      <c r="AQ129" s="119">
        <v>0</v>
      </c>
      <c r="AR129" s="133"/>
      <c r="AS129" s="119"/>
      <c r="AT129" s="119"/>
      <c r="AU129" s="119"/>
      <c r="AV129" s="119"/>
      <c r="AW129" s="133"/>
      <c r="AX129" s="119"/>
      <c r="AY129" s="119"/>
      <c r="AZ129" s="119"/>
      <c r="BA129" s="119"/>
      <c r="BB129" s="133"/>
      <c r="BC129" s="119"/>
      <c r="BD129" s="119"/>
      <c r="BE129" s="119"/>
      <c r="BF129" s="119"/>
      <c r="BG129" s="133"/>
      <c r="BH129" s="119"/>
      <c r="BI129" s="119"/>
      <c r="BJ129" s="119"/>
      <c r="BK129" s="119"/>
      <c r="BL129" s="133"/>
      <c r="BM129" s="119"/>
      <c r="BN129" s="119"/>
      <c r="BO129" s="119"/>
      <c r="BP129" s="119"/>
      <c r="BQ129" s="133"/>
      <c r="BR129" s="119"/>
      <c r="BS129" s="119"/>
      <c r="BT129" s="119"/>
      <c r="BU129" s="119"/>
      <c r="BV129" s="133"/>
      <c r="BW129" s="119"/>
      <c r="BX129" s="119"/>
      <c r="BY129" s="119"/>
      <c r="BZ129" s="119"/>
      <c r="CA129" s="133"/>
      <c r="CB129" s="119"/>
      <c r="CC129" s="119"/>
      <c r="CD129" s="119"/>
      <c r="CE129" s="119"/>
      <c r="CF129" s="133"/>
    </row>
    <row r="130" spans="1:84" ht="12.75">
      <c r="A130" s="119" t="s">
        <v>527</v>
      </c>
      <c r="B130" s="119" t="s">
        <v>528</v>
      </c>
      <c r="C130" s="119" t="s">
        <v>529</v>
      </c>
      <c r="D130" s="119" t="s">
        <v>158</v>
      </c>
      <c r="E130" s="119" t="s">
        <v>522</v>
      </c>
      <c r="F130" s="131">
        <f t="shared" si="0"/>
        <v>0</v>
      </c>
      <c r="G130" s="119">
        <f t="shared" si="1"/>
        <v>0</v>
      </c>
      <c r="H130" s="119">
        <f t="shared" ref="H130:I130" si="130">SUM(L130,Q130,V130,AA130,AF130,AK130,AP130,AU130,AZ130,BE130,BJ130,BO130,BT130,BY130,CD130)</f>
        <v>0</v>
      </c>
      <c r="I130" s="132">
        <f t="shared" si="130"/>
        <v>0</v>
      </c>
      <c r="J130" s="119">
        <v>0</v>
      </c>
      <c r="K130" s="119">
        <v>0</v>
      </c>
      <c r="L130" s="119">
        <v>0</v>
      </c>
      <c r="M130" s="119">
        <v>0</v>
      </c>
      <c r="N130" s="133">
        <v>0</v>
      </c>
      <c r="O130" s="119">
        <v>0</v>
      </c>
      <c r="P130" s="119">
        <v>0</v>
      </c>
      <c r="Q130" s="119">
        <v>0</v>
      </c>
      <c r="R130" s="119">
        <v>0</v>
      </c>
      <c r="S130" s="133">
        <v>0</v>
      </c>
      <c r="T130" s="119">
        <v>0</v>
      </c>
      <c r="U130" s="119">
        <v>0</v>
      </c>
      <c r="V130" s="119">
        <v>0</v>
      </c>
      <c r="W130" s="119">
        <v>0</v>
      </c>
      <c r="X130" s="133">
        <v>0</v>
      </c>
      <c r="Y130" s="119">
        <v>0</v>
      </c>
      <c r="Z130" s="119">
        <v>0</v>
      </c>
      <c r="AA130" s="119">
        <v>0</v>
      </c>
      <c r="AB130" s="119">
        <v>0</v>
      </c>
      <c r="AC130" s="133">
        <v>0</v>
      </c>
      <c r="AD130" s="119">
        <v>0</v>
      </c>
      <c r="AE130" s="119">
        <v>0</v>
      </c>
      <c r="AF130" s="119">
        <v>0</v>
      </c>
      <c r="AG130" s="119">
        <v>0</v>
      </c>
      <c r="AH130" s="133">
        <v>0</v>
      </c>
      <c r="AI130" s="119">
        <v>0</v>
      </c>
      <c r="AJ130" s="119">
        <v>0</v>
      </c>
      <c r="AK130" s="119">
        <v>0</v>
      </c>
      <c r="AL130" s="119">
        <v>0</v>
      </c>
      <c r="AM130" s="133">
        <v>0</v>
      </c>
      <c r="AN130" s="119">
        <v>0</v>
      </c>
      <c r="AO130" s="119">
        <v>0</v>
      </c>
      <c r="AP130" s="119">
        <v>0</v>
      </c>
      <c r="AQ130" s="119">
        <v>0</v>
      </c>
      <c r="AR130" s="133">
        <v>0</v>
      </c>
      <c r="AS130" s="119"/>
      <c r="AT130" s="119"/>
      <c r="AU130" s="119"/>
      <c r="AV130" s="119"/>
      <c r="AW130" s="133"/>
      <c r="AX130" s="119"/>
      <c r="AY130" s="119"/>
      <c r="AZ130" s="119"/>
      <c r="BA130" s="119"/>
      <c r="BB130" s="133"/>
      <c r="BC130" s="119"/>
      <c r="BD130" s="119"/>
      <c r="BE130" s="119"/>
      <c r="BF130" s="119"/>
      <c r="BG130" s="133"/>
      <c r="BH130" s="119"/>
      <c r="BI130" s="119"/>
      <c r="BJ130" s="119"/>
      <c r="BK130" s="119"/>
      <c r="BL130" s="133"/>
      <c r="BM130" s="119"/>
      <c r="BN130" s="119"/>
      <c r="BO130" s="119"/>
      <c r="BP130" s="119"/>
      <c r="BQ130" s="133"/>
      <c r="BR130" s="119"/>
      <c r="BS130" s="119"/>
      <c r="BT130" s="119"/>
      <c r="BU130" s="119"/>
      <c r="BV130" s="133"/>
      <c r="BW130" s="119"/>
      <c r="BX130" s="119"/>
      <c r="BY130" s="119"/>
      <c r="BZ130" s="119"/>
      <c r="CA130" s="133"/>
      <c r="CB130" s="119"/>
      <c r="CC130" s="119"/>
      <c r="CD130" s="119"/>
      <c r="CE130" s="119"/>
      <c r="CF130" s="133"/>
    </row>
    <row r="131" spans="1:84" ht="12.75">
      <c r="A131" s="119" t="s">
        <v>530</v>
      </c>
      <c r="B131" s="119" t="s">
        <v>531</v>
      </c>
      <c r="C131" s="119" t="s">
        <v>381</v>
      </c>
      <c r="D131" s="119" t="s">
        <v>158</v>
      </c>
      <c r="E131" s="119" t="s">
        <v>522</v>
      </c>
      <c r="F131" s="131">
        <f t="shared" si="0"/>
        <v>0</v>
      </c>
      <c r="G131" s="119">
        <f t="shared" si="1"/>
        <v>0</v>
      </c>
      <c r="H131" s="119">
        <f t="shared" ref="H131:I131" si="131">SUM(L131,Q131,V131,AA131,AF131,AK131,AP131,AU131,AZ131,BE131,BJ131,BO131,BT131,BY131,CD131)</f>
        <v>0</v>
      </c>
      <c r="I131" s="132">
        <f t="shared" si="131"/>
        <v>0</v>
      </c>
      <c r="J131" s="119">
        <v>0</v>
      </c>
      <c r="K131" s="119">
        <v>0</v>
      </c>
      <c r="L131" s="119">
        <v>0</v>
      </c>
      <c r="M131" s="119">
        <v>0</v>
      </c>
      <c r="N131" s="133">
        <v>0</v>
      </c>
      <c r="O131" s="119">
        <v>0</v>
      </c>
      <c r="P131" s="119">
        <v>0</v>
      </c>
      <c r="Q131" s="119">
        <v>0</v>
      </c>
      <c r="R131" s="119">
        <v>0</v>
      </c>
      <c r="S131" s="133">
        <v>0</v>
      </c>
      <c r="T131" s="119">
        <v>0</v>
      </c>
      <c r="U131" s="119">
        <v>0</v>
      </c>
      <c r="V131" s="119">
        <v>0</v>
      </c>
      <c r="W131" s="119">
        <v>0</v>
      </c>
      <c r="X131" s="133">
        <v>0</v>
      </c>
      <c r="Y131" s="119">
        <v>0</v>
      </c>
      <c r="Z131" s="119">
        <v>0</v>
      </c>
      <c r="AA131" s="119">
        <v>0</v>
      </c>
      <c r="AB131" s="119">
        <v>0</v>
      </c>
      <c r="AC131" s="133">
        <v>0</v>
      </c>
      <c r="AD131" s="119">
        <v>0</v>
      </c>
      <c r="AE131" s="119">
        <v>0</v>
      </c>
      <c r="AF131" s="119">
        <v>0</v>
      </c>
      <c r="AG131" s="119">
        <v>0</v>
      </c>
      <c r="AH131" s="133">
        <v>0</v>
      </c>
      <c r="AI131" s="119">
        <v>0</v>
      </c>
      <c r="AJ131" s="119">
        <v>0</v>
      </c>
      <c r="AK131" s="119">
        <v>0</v>
      </c>
      <c r="AL131" s="119">
        <v>0</v>
      </c>
      <c r="AM131" s="133">
        <v>0</v>
      </c>
      <c r="AN131" s="119">
        <v>0</v>
      </c>
      <c r="AO131" s="119">
        <v>0</v>
      </c>
      <c r="AP131" s="119">
        <v>0</v>
      </c>
      <c r="AQ131" s="119">
        <v>0</v>
      </c>
      <c r="AR131" s="133">
        <v>0</v>
      </c>
      <c r="AS131" s="119"/>
      <c r="AT131" s="119"/>
      <c r="AU131" s="119"/>
      <c r="AV131" s="119"/>
      <c r="AW131" s="133"/>
      <c r="AX131" s="119"/>
      <c r="AY131" s="119"/>
      <c r="AZ131" s="119"/>
      <c r="BA131" s="119"/>
      <c r="BB131" s="133"/>
      <c r="BC131" s="119"/>
      <c r="BD131" s="119"/>
      <c r="BE131" s="119"/>
      <c r="BF131" s="119"/>
      <c r="BG131" s="133"/>
      <c r="BH131" s="119"/>
      <c r="BI131" s="119"/>
      <c r="BJ131" s="119"/>
      <c r="BK131" s="119"/>
      <c r="BL131" s="133"/>
      <c r="BM131" s="119"/>
      <c r="BN131" s="119"/>
      <c r="BO131" s="119"/>
      <c r="BP131" s="119"/>
      <c r="BQ131" s="133"/>
      <c r="BR131" s="119"/>
      <c r="BS131" s="119"/>
      <c r="BT131" s="119"/>
      <c r="BU131" s="119"/>
      <c r="BV131" s="133"/>
      <c r="BW131" s="119"/>
      <c r="BX131" s="119"/>
      <c r="BY131" s="119"/>
      <c r="BZ131" s="119"/>
      <c r="CA131" s="133"/>
      <c r="CB131" s="119"/>
      <c r="CC131" s="119"/>
      <c r="CD131" s="119"/>
      <c r="CE131" s="119"/>
      <c r="CF131" s="133"/>
    </row>
    <row r="132" spans="1:84" ht="12.75">
      <c r="A132" s="119" t="s">
        <v>532</v>
      </c>
      <c r="B132" s="119" t="s">
        <v>533</v>
      </c>
      <c r="C132" s="119" t="s">
        <v>534</v>
      </c>
      <c r="D132" s="119" t="s">
        <v>158</v>
      </c>
      <c r="E132" s="119" t="s">
        <v>522</v>
      </c>
      <c r="F132" s="131">
        <f t="shared" si="0"/>
        <v>0</v>
      </c>
      <c r="G132" s="119">
        <f t="shared" si="1"/>
        <v>0</v>
      </c>
      <c r="H132" s="119">
        <f t="shared" ref="H132:I132" si="132">SUM(L132,Q132,V132,AA132,AF132,AK132,AP132,AU132,AZ132,BE132,BJ132,BO132,BT132,BY132,CD132)</f>
        <v>0</v>
      </c>
      <c r="I132" s="132">
        <f t="shared" si="132"/>
        <v>0</v>
      </c>
      <c r="J132" s="119">
        <v>0</v>
      </c>
      <c r="K132" s="119">
        <v>0</v>
      </c>
      <c r="L132" s="119">
        <v>0</v>
      </c>
      <c r="M132" s="119">
        <v>0</v>
      </c>
      <c r="N132" s="133">
        <v>0</v>
      </c>
      <c r="O132" s="119">
        <v>0</v>
      </c>
      <c r="P132" s="119">
        <v>0</v>
      </c>
      <c r="Q132" s="119">
        <v>0</v>
      </c>
      <c r="R132" s="119">
        <v>0</v>
      </c>
      <c r="S132" s="133">
        <v>0</v>
      </c>
      <c r="T132" s="119">
        <v>0</v>
      </c>
      <c r="U132" s="119">
        <v>0</v>
      </c>
      <c r="V132" s="119">
        <v>0</v>
      </c>
      <c r="W132" s="119">
        <v>0</v>
      </c>
      <c r="X132" s="133">
        <v>0</v>
      </c>
      <c r="Y132" s="119">
        <v>0</v>
      </c>
      <c r="Z132" s="119">
        <v>0</v>
      </c>
      <c r="AA132" s="119">
        <v>0</v>
      </c>
      <c r="AB132" s="119">
        <v>0</v>
      </c>
      <c r="AC132" s="133">
        <v>0</v>
      </c>
      <c r="AD132" s="119">
        <v>0</v>
      </c>
      <c r="AE132" s="119">
        <v>0</v>
      </c>
      <c r="AF132" s="119">
        <v>0</v>
      </c>
      <c r="AG132" s="119">
        <v>0</v>
      </c>
      <c r="AH132" s="133">
        <v>0</v>
      </c>
      <c r="AI132" s="119">
        <v>0</v>
      </c>
      <c r="AJ132" s="119">
        <v>0</v>
      </c>
      <c r="AK132" s="119">
        <v>0</v>
      </c>
      <c r="AL132" s="119">
        <v>0</v>
      </c>
      <c r="AM132" s="133">
        <v>0</v>
      </c>
      <c r="AN132" s="119">
        <v>0</v>
      </c>
      <c r="AO132" s="119">
        <v>0</v>
      </c>
      <c r="AP132" s="119">
        <v>0</v>
      </c>
      <c r="AQ132" s="119">
        <v>0</v>
      </c>
      <c r="AR132" s="133">
        <v>0</v>
      </c>
      <c r="AS132" s="119"/>
      <c r="AT132" s="119"/>
      <c r="AU132" s="119"/>
      <c r="AV132" s="119"/>
      <c r="AW132" s="133"/>
      <c r="AX132" s="119"/>
      <c r="AY132" s="119"/>
      <c r="AZ132" s="119"/>
      <c r="BA132" s="119"/>
      <c r="BB132" s="133"/>
      <c r="BC132" s="119"/>
      <c r="BD132" s="119"/>
      <c r="BE132" s="119"/>
      <c r="BF132" s="119"/>
      <c r="BG132" s="133"/>
      <c r="BH132" s="119"/>
      <c r="BI132" s="119"/>
      <c r="BJ132" s="119"/>
      <c r="BK132" s="119"/>
      <c r="BL132" s="133"/>
      <c r="BM132" s="119"/>
      <c r="BN132" s="119"/>
      <c r="BO132" s="119"/>
      <c r="BP132" s="119"/>
      <c r="BQ132" s="133"/>
      <c r="BR132" s="119"/>
      <c r="BS132" s="119"/>
      <c r="BT132" s="119"/>
      <c r="BU132" s="119"/>
      <c r="BV132" s="133"/>
      <c r="BW132" s="119"/>
      <c r="BX132" s="119"/>
      <c r="BY132" s="119"/>
      <c r="BZ132" s="119"/>
      <c r="CA132" s="133"/>
      <c r="CB132" s="119"/>
      <c r="CC132" s="119"/>
      <c r="CD132" s="119"/>
      <c r="CE132" s="119"/>
      <c r="CF132" s="133"/>
    </row>
    <row r="133" spans="1:84" ht="12.75">
      <c r="A133" s="119" t="s">
        <v>535</v>
      </c>
      <c r="B133" s="119" t="s">
        <v>536</v>
      </c>
      <c r="C133" s="119" t="s">
        <v>240</v>
      </c>
      <c r="D133" s="119" t="s">
        <v>158</v>
      </c>
      <c r="E133" s="119" t="s">
        <v>522</v>
      </c>
      <c r="F133" s="131">
        <f t="shared" si="0"/>
        <v>0</v>
      </c>
      <c r="G133" s="119">
        <f t="shared" si="1"/>
        <v>0</v>
      </c>
      <c r="H133" s="119">
        <f t="shared" ref="H133:I133" si="133">SUM(L133,Q133,V133,AA133,AF133,AK133,AP133,AU133,AZ133,BE133,BJ133,BO133,BT133,BY133,CD133)</f>
        <v>0</v>
      </c>
      <c r="I133" s="132">
        <f t="shared" si="133"/>
        <v>0</v>
      </c>
      <c r="J133" s="119">
        <v>0</v>
      </c>
      <c r="K133" s="119">
        <v>0</v>
      </c>
      <c r="L133" s="119">
        <v>0</v>
      </c>
      <c r="M133" s="119">
        <v>0</v>
      </c>
      <c r="N133" s="133">
        <v>0</v>
      </c>
      <c r="O133" s="119">
        <v>0</v>
      </c>
      <c r="P133" s="119">
        <v>0</v>
      </c>
      <c r="Q133" s="119">
        <v>0</v>
      </c>
      <c r="R133" s="119">
        <v>0</v>
      </c>
      <c r="S133" s="133">
        <v>0</v>
      </c>
      <c r="T133" s="119">
        <v>0</v>
      </c>
      <c r="U133" s="119">
        <v>0</v>
      </c>
      <c r="V133" s="119">
        <v>0</v>
      </c>
      <c r="W133" s="119">
        <v>0</v>
      </c>
      <c r="X133" s="133">
        <v>0</v>
      </c>
      <c r="Y133" s="119">
        <v>0</v>
      </c>
      <c r="Z133" s="119">
        <v>0</v>
      </c>
      <c r="AA133" s="119">
        <v>0</v>
      </c>
      <c r="AB133" s="119">
        <v>0</v>
      </c>
      <c r="AC133" s="133">
        <v>0</v>
      </c>
      <c r="AD133" s="119">
        <v>0</v>
      </c>
      <c r="AE133" s="119">
        <v>0</v>
      </c>
      <c r="AF133" s="119">
        <v>0</v>
      </c>
      <c r="AG133" s="119">
        <v>0</v>
      </c>
      <c r="AH133" s="133">
        <v>0</v>
      </c>
      <c r="AI133" s="119">
        <v>0</v>
      </c>
      <c r="AJ133" s="119">
        <v>0</v>
      </c>
      <c r="AK133" s="119">
        <v>0</v>
      </c>
      <c r="AL133" s="119">
        <v>0</v>
      </c>
      <c r="AM133" s="133">
        <v>0</v>
      </c>
      <c r="AN133" s="119">
        <v>0</v>
      </c>
      <c r="AO133" s="119">
        <v>0</v>
      </c>
      <c r="AP133" s="119">
        <v>0</v>
      </c>
      <c r="AQ133" s="119">
        <v>0</v>
      </c>
      <c r="AR133" s="133">
        <v>0</v>
      </c>
      <c r="AS133" s="119"/>
      <c r="AT133" s="119"/>
      <c r="AU133" s="119"/>
      <c r="AV133" s="119"/>
      <c r="AW133" s="133"/>
      <c r="AX133" s="119"/>
      <c r="AY133" s="119"/>
      <c r="AZ133" s="119"/>
      <c r="BA133" s="119"/>
      <c r="BB133" s="133"/>
      <c r="BC133" s="119"/>
      <c r="BD133" s="119"/>
      <c r="BE133" s="119"/>
      <c r="BF133" s="119"/>
      <c r="BG133" s="133"/>
      <c r="BH133" s="119"/>
      <c r="BI133" s="119"/>
      <c r="BJ133" s="119"/>
      <c r="BK133" s="119"/>
      <c r="BL133" s="133"/>
      <c r="BM133" s="119"/>
      <c r="BN133" s="119"/>
      <c r="BO133" s="119"/>
      <c r="BP133" s="119"/>
      <c r="BQ133" s="133"/>
      <c r="BR133" s="119"/>
      <c r="BS133" s="119"/>
      <c r="BT133" s="119"/>
      <c r="BU133" s="119"/>
      <c r="BV133" s="133"/>
      <c r="BW133" s="119"/>
      <c r="BX133" s="119"/>
      <c r="BY133" s="119"/>
      <c r="BZ133" s="119"/>
      <c r="CA133" s="133"/>
      <c r="CB133" s="119"/>
      <c r="CC133" s="119"/>
      <c r="CD133" s="119"/>
      <c r="CE133" s="119"/>
      <c r="CF133" s="133"/>
    </row>
    <row r="134" spans="1:84" ht="12.75">
      <c r="A134" s="119" t="s">
        <v>537</v>
      </c>
      <c r="B134" s="119" t="s">
        <v>538</v>
      </c>
      <c r="C134" s="119" t="s">
        <v>539</v>
      </c>
      <c r="D134" s="119" t="s">
        <v>152</v>
      </c>
      <c r="E134" s="119" t="s">
        <v>522</v>
      </c>
      <c r="F134" s="131">
        <f t="shared" si="0"/>
        <v>0</v>
      </c>
      <c r="G134" s="119">
        <f t="shared" si="1"/>
        <v>0</v>
      </c>
      <c r="H134" s="119">
        <f t="shared" ref="H134:I134" si="134">SUM(L134,Q134,V134,AA134,AF134,AK134,AP134,AU134,AZ134,BE134,BJ134,BO134,BT134,BY134,CD134)</f>
        <v>0</v>
      </c>
      <c r="I134" s="132">
        <f t="shared" si="134"/>
        <v>0</v>
      </c>
      <c r="J134" s="119">
        <v>0</v>
      </c>
      <c r="K134" s="119">
        <v>0</v>
      </c>
      <c r="L134" s="119">
        <v>0</v>
      </c>
      <c r="M134" s="119">
        <v>0</v>
      </c>
      <c r="N134" s="133">
        <v>0</v>
      </c>
      <c r="O134" s="119">
        <v>0</v>
      </c>
      <c r="P134" s="119">
        <v>0</v>
      </c>
      <c r="Q134" s="119">
        <v>0</v>
      </c>
      <c r="R134" s="119">
        <v>0</v>
      </c>
      <c r="S134" s="133">
        <v>0</v>
      </c>
      <c r="T134" s="119">
        <v>0</v>
      </c>
      <c r="U134" s="119">
        <v>0</v>
      </c>
      <c r="V134" s="119">
        <v>0</v>
      </c>
      <c r="W134" s="119">
        <v>0</v>
      </c>
      <c r="X134" s="133">
        <v>0</v>
      </c>
      <c r="Y134" s="119">
        <v>0</v>
      </c>
      <c r="Z134" s="119">
        <v>0</v>
      </c>
      <c r="AA134" s="119">
        <v>0</v>
      </c>
      <c r="AB134" s="119">
        <v>0</v>
      </c>
      <c r="AC134" s="133">
        <v>0</v>
      </c>
      <c r="AD134" s="119">
        <v>0</v>
      </c>
      <c r="AE134" s="119">
        <v>0</v>
      </c>
      <c r="AF134" s="119">
        <v>0</v>
      </c>
      <c r="AG134" s="119">
        <v>0</v>
      </c>
      <c r="AH134" s="133">
        <v>0</v>
      </c>
      <c r="AI134" s="119">
        <v>0</v>
      </c>
      <c r="AJ134" s="119">
        <v>0</v>
      </c>
      <c r="AK134" s="119">
        <v>0</v>
      </c>
      <c r="AL134" s="119">
        <v>0</v>
      </c>
      <c r="AM134" s="133">
        <v>0</v>
      </c>
      <c r="AN134" s="119">
        <v>0</v>
      </c>
      <c r="AO134" s="119">
        <v>0</v>
      </c>
      <c r="AP134" s="119">
        <v>0</v>
      </c>
      <c r="AQ134" s="119">
        <v>0</v>
      </c>
      <c r="AR134" s="133">
        <v>0</v>
      </c>
      <c r="AS134" s="119"/>
      <c r="AT134" s="119"/>
      <c r="AU134" s="119"/>
      <c r="AV134" s="119"/>
      <c r="AW134" s="133"/>
      <c r="AX134" s="119"/>
      <c r="AY134" s="119"/>
      <c r="AZ134" s="119"/>
      <c r="BA134" s="119"/>
      <c r="BB134" s="133"/>
      <c r="BC134" s="119"/>
      <c r="BD134" s="119"/>
      <c r="BE134" s="119"/>
      <c r="BF134" s="119"/>
      <c r="BG134" s="133"/>
      <c r="BH134" s="119"/>
      <c r="BI134" s="119"/>
      <c r="BJ134" s="119"/>
      <c r="BK134" s="119"/>
      <c r="BL134" s="133"/>
      <c r="BM134" s="119"/>
      <c r="BN134" s="119"/>
      <c r="BO134" s="119"/>
      <c r="BP134" s="119"/>
      <c r="BQ134" s="133"/>
      <c r="BR134" s="119"/>
      <c r="BS134" s="119"/>
      <c r="BT134" s="119"/>
      <c r="BU134" s="119"/>
      <c r="BV134" s="133"/>
      <c r="BW134" s="119"/>
      <c r="BX134" s="119"/>
      <c r="BY134" s="119"/>
      <c r="BZ134" s="119"/>
      <c r="CA134" s="133"/>
      <c r="CB134" s="119"/>
      <c r="CC134" s="119"/>
      <c r="CD134" s="119"/>
      <c r="CE134" s="119"/>
      <c r="CF134" s="133"/>
    </row>
    <row r="135" spans="1:84" ht="12.75">
      <c r="A135" s="119" t="s">
        <v>540</v>
      </c>
      <c r="B135" s="119" t="s">
        <v>541</v>
      </c>
      <c r="C135" s="119" t="s">
        <v>542</v>
      </c>
      <c r="D135" s="119" t="s">
        <v>152</v>
      </c>
      <c r="E135" s="119" t="s">
        <v>29</v>
      </c>
      <c r="F135" s="131">
        <f t="shared" si="0"/>
        <v>7</v>
      </c>
      <c r="G135" s="119">
        <f t="shared" si="1"/>
        <v>2.5</v>
      </c>
      <c r="H135" s="119">
        <f t="shared" ref="H135:I135" si="135">SUM(L135,Q135,V135,AA135,AF135,AK135,AP135,AU135,AZ135,BE135,BJ135,BO135,BT135,BY135,CD135)</f>
        <v>300</v>
      </c>
      <c r="I135" s="132">
        <f t="shared" si="135"/>
        <v>0</v>
      </c>
      <c r="J135" s="119">
        <v>0</v>
      </c>
      <c r="K135" s="119">
        <v>0</v>
      </c>
      <c r="L135" s="119">
        <v>0</v>
      </c>
      <c r="M135" s="119">
        <v>0</v>
      </c>
      <c r="N135" s="133">
        <v>0</v>
      </c>
      <c r="O135" s="119">
        <v>0.5</v>
      </c>
      <c r="P135" s="119" t="s">
        <v>218</v>
      </c>
      <c r="Q135" s="119">
        <v>150</v>
      </c>
      <c r="R135" s="119">
        <v>0</v>
      </c>
      <c r="S135" s="133">
        <v>0</v>
      </c>
      <c r="T135" s="119">
        <v>0</v>
      </c>
      <c r="U135" s="119">
        <v>0</v>
      </c>
      <c r="V135" s="119">
        <v>0</v>
      </c>
      <c r="W135" s="119">
        <v>0</v>
      </c>
      <c r="X135" s="133">
        <v>0</v>
      </c>
      <c r="Y135" s="119">
        <v>1</v>
      </c>
      <c r="Z135" s="119" t="s">
        <v>218</v>
      </c>
      <c r="AA135" s="119">
        <v>150</v>
      </c>
      <c r="AB135" s="119">
        <v>0</v>
      </c>
      <c r="AC135" s="133">
        <v>0</v>
      </c>
      <c r="AD135" s="119">
        <v>1</v>
      </c>
      <c r="AE135" s="119" t="s">
        <v>543</v>
      </c>
      <c r="AF135" s="119">
        <v>0</v>
      </c>
      <c r="AG135" s="119">
        <v>0</v>
      </c>
      <c r="AH135" s="133">
        <v>7</v>
      </c>
      <c r="AI135" s="119">
        <v>0</v>
      </c>
      <c r="AJ135" s="119">
        <v>0</v>
      </c>
      <c r="AK135" s="119">
        <v>0</v>
      </c>
      <c r="AL135" s="119">
        <v>0</v>
      </c>
      <c r="AM135" s="133">
        <v>0</v>
      </c>
      <c r="AN135" s="119">
        <v>0</v>
      </c>
      <c r="AO135" s="119">
        <v>0</v>
      </c>
      <c r="AP135" s="119">
        <v>0</v>
      </c>
      <c r="AQ135" s="119">
        <v>0</v>
      </c>
      <c r="AR135" s="133">
        <v>0</v>
      </c>
      <c r="AS135" s="119"/>
      <c r="AT135" s="119"/>
      <c r="AU135" s="119"/>
      <c r="AV135" s="119"/>
      <c r="AW135" s="133"/>
      <c r="AX135" s="119"/>
      <c r="AY135" s="119"/>
      <c r="AZ135" s="119"/>
      <c r="BA135" s="119"/>
      <c r="BB135" s="133"/>
      <c r="BC135" s="119"/>
      <c r="BD135" s="119"/>
      <c r="BE135" s="119"/>
      <c r="BF135" s="119"/>
      <c r="BG135" s="133"/>
      <c r="BH135" s="119"/>
      <c r="BI135" s="119"/>
      <c r="BJ135" s="119"/>
      <c r="BK135" s="119"/>
      <c r="BL135" s="133"/>
      <c r="BM135" s="119"/>
      <c r="BN135" s="119"/>
      <c r="BO135" s="119"/>
      <c r="BP135" s="119"/>
      <c r="BQ135" s="133"/>
      <c r="BR135" s="119"/>
      <c r="BS135" s="119"/>
      <c r="BT135" s="119"/>
      <c r="BU135" s="119"/>
      <c r="BV135" s="133"/>
      <c r="BW135" s="119"/>
      <c r="BX135" s="119"/>
      <c r="BY135" s="119"/>
      <c r="BZ135" s="119"/>
      <c r="CA135" s="133"/>
      <c r="CB135" s="119"/>
      <c r="CC135" s="119"/>
      <c r="CD135" s="119"/>
      <c r="CE135" s="119"/>
      <c r="CF135" s="133"/>
    </row>
    <row r="136" spans="1:84" ht="12.75">
      <c r="A136" s="119" t="s">
        <v>544</v>
      </c>
      <c r="B136" s="119" t="s">
        <v>545</v>
      </c>
      <c r="C136" s="119" t="s">
        <v>534</v>
      </c>
      <c r="D136" s="119" t="s">
        <v>158</v>
      </c>
      <c r="E136" s="119" t="s">
        <v>29</v>
      </c>
      <c r="F136" s="131">
        <f t="shared" si="0"/>
        <v>7</v>
      </c>
      <c r="G136" s="119">
        <f t="shared" si="1"/>
        <v>2.5</v>
      </c>
      <c r="H136" s="119">
        <f t="shared" ref="H136:I136" si="136">SUM(L136,Q136,V136,AA136,AF136,AK136,AP136,AU136,AZ136,BE136,BJ136,BO136,BT136,BY136,CD136)</f>
        <v>300</v>
      </c>
      <c r="I136" s="132">
        <f t="shared" si="136"/>
        <v>0</v>
      </c>
      <c r="J136" s="119">
        <v>0</v>
      </c>
      <c r="K136" s="119">
        <v>0</v>
      </c>
      <c r="L136" s="119">
        <v>0</v>
      </c>
      <c r="M136" s="119">
        <v>0</v>
      </c>
      <c r="N136" s="133">
        <v>0</v>
      </c>
      <c r="O136" s="119">
        <v>0.5</v>
      </c>
      <c r="P136" s="119" t="s">
        <v>218</v>
      </c>
      <c r="Q136" s="119">
        <v>150</v>
      </c>
      <c r="R136" s="119">
        <v>0</v>
      </c>
      <c r="S136" s="133">
        <v>0</v>
      </c>
      <c r="T136" s="119">
        <v>0</v>
      </c>
      <c r="U136" s="119">
        <v>0</v>
      </c>
      <c r="V136" s="119">
        <v>0</v>
      </c>
      <c r="W136" s="119">
        <v>0</v>
      </c>
      <c r="X136" s="133">
        <v>0</v>
      </c>
      <c r="Y136" s="119">
        <v>1</v>
      </c>
      <c r="Z136" s="119" t="s">
        <v>218</v>
      </c>
      <c r="AA136" s="119">
        <v>150</v>
      </c>
      <c r="AB136" s="119">
        <v>0</v>
      </c>
      <c r="AC136" s="133">
        <v>0</v>
      </c>
      <c r="AD136" s="119">
        <v>1</v>
      </c>
      <c r="AE136" s="119" t="s">
        <v>543</v>
      </c>
      <c r="AF136" s="119">
        <v>0</v>
      </c>
      <c r="AG136" s="119">
        <v>0</v>
      </c>
      <c r="AH136" s="133">
        <v>7</v>
      </c>
      <c r="AI136" s="119">
        <v>0</v>
      </c>
      <c r="AJ136" s="119">
        <v>0</v>
      </c>
      <c r="AK136" s="119">
        <v>0</v>
      </c>
      <c r="AL136" s="119">
        <v>0</v>
      </c>
      <c r="AM136" s="133">
        <v>0</v>
      </c>
      <c r="AN136" s="119">
        <v>0</v>
      </c>
      <c r="AO136" s="119">
        <v>0</v>
      </c>
      <c r="AP136" s="119">
        <v>0</v>
      </c>
      <c r="AQ136" s="119">
        <v>0</v>
      </c>
      <c r="AR136" s="133">
        <v>0</v>
      </c>
      <c r="AS136" s="119"/>
      <c r="AT136" s="119"/>
      <c r="AU136" s="119"/>
      <c r="AV136" s="119"/>
      <c r="AW136" s="133"/>
      <c r="AX136" s="119"/>
      <c r="AY136" s="119"/>
      <c r="AZ136" s="119"/>
      <c r="BA136" s="119"/>
      <c r="BB136" s="133"/>
      <c r="BC136" s="119"/>
      <c r="BD136" s="119"/>
      <c r="BE136" s="119"/>
      <c r="BF136" s="119"/>
      <c r="BG136" s="133"/>
      <c r="BH136" s="119"/>
      <c r="BI136" s="119"/>
      <c r="BJ136" s="119"/>
      <c r="BK136" s="119"/>
      <c r="BL136" s="133"/>
      <c r="BM136" s="119"/>
      <c r="BN136" s="119"/>
      <c r="BO136" s="119"/>
      <c r="BP136" s="119"/>
      <c r="BQ136" s="133"/>
      <c r="BR136" s="119"/>
      <c r="BS136" s="119"/>
      <c r="BT136" s="119"/>
      <c r="BU136" s="119"/>
      <c r="BV136" s="133"/>
      <c r="BW136" s="119"/>
      <c r="BX136" s="119"/>
      <c r="BY136" s="119"/>
      <c r="BZ136" s="119"/>
      <c r="CA136" s="133"/>
      <c r="CB136" s="119"/>
      <c r="CC136" s="119"/>
      <c r="CD136" s="119"/>
      <c r="CE136" s="119"/>
      <c r="CF136" s="133"/>
    </row>
    <row r="137" spans="1:84" ht="12.75">
      <c r="A137" s="119" t="s">
        <v>546</v>
      </c>
      <c r="B137" s="119" t="s">
        <v>547</v>
      </c>
      <c r="C137" s="119" t="s">
        <v>214</v>
      </c>
      <c r="D137" s="119" t="s">
        <v>158</v>
      </c>
      <c r="E137" s="119" t="s">
        <v>29</v>
      </c>
      <c r="F137" s="131">
        <f t="shared" si="0"/>
        <v>0</v>
      </c>
      <c r="G137" s="119">
        <f t="shared" si="1"/>
        <v>0.5</v>
      </c>
      <c r="H137" s="119">
        <f>SUM(L137,Q137,V137,AA137,AF137,AK138,AP137,AU137,AZ137,BE137,BJ137,BO137,BT137,BY137,CD137)</f>
        <v>100</v>
      </c>
      <c r="I137" s="132">
        <f t="shared" ref="I137:I138" si="137">SUM(M137,R137,W137,AB137,AG137,AL137,AQ137,AV137,BA137,BF137,BK137,BP137,BU137,BZ137,CE137)</f>
        <v>0</v>
      </c>
      <c r="J137" s="119">
        <v>0</v>
      </c>
      <c r="K137" s="119">
        <v>0</v>
      </c>
      <c r="L137" s="119">
        <v>0</v>
      </c>
      <c r="M137" s="119">
        <v>0</v>
      </c>
      <c r="N137" s="133">
        <v>0</v>
      </c>
      <c r="O137" s="119">
        <v>0</v>
      </c>
      <c r="P137" s="119">
        <v>0</v>
      </c>
      <c r="Q137" s="119">
        <v>0</v>
      </c>
      <c r="R137" s="119">
        <v>0</v>
      </c>
      <c r="S137" s="133">
        <v>0</v>
      </c>
      <c r="T137" s="119">
        <v>0</v>
      </c>
      <c r="U137" s="119">
        <v>0</v>
      </c>
      <c r="V137" s="119">
        <v>0</v>
      </c>
      <c r="W137" s="119">
        <v>0</v>
      </c>
      <c r="X137" s="133">
        <v>0</v>
      </c>
      <c r="Y137" s="119">
        <v>0</v>
      </c>
      <c r="Z137" s="119">
        <v>0</v>
      </c>
      <c r="AA137" s="119">
        <v>0</v>
      </c>
      <c r="AB137" s="119">
        <v>0</v>
      </c>
      <c r="AC137" s="133">
        <v>0</v>
      </c>
      <c r="AD137" s="119">
        <v>0</v>
      </c>
      <c r="AE137" s="119">
        <v>0</v>
      </c>
      <c r="AF137" s="119">
        <v>0</v>
      </c>
      <c r="AG137" s="119">
        <v>0</v>
      </c>
      <c r="AH137" s="133">
        <v>0</v>
      </c>
      <c r="AI137" s="119">
        <v>0.5</v>
      </c>
      <c r="AJ137" s="119" t="s">
        <v>218</v>
      </c>
      <c r="AK137" s="102">
        <v>100</v>
      </c>
      <c r="AL137" s="119">
        <v>0</v>
      </c>
      <c r="AM137" s="133">
        <v>0</v>
      </c>
      <c r="AN137" s="119">
        <v>0</v>
      </c>
      <c r="AO137" s="119">
        <v>0</v>
      </c>
      <c r="AP137" s="119">
        <v>0</v>
      </c>
      <c r="AQ137" s="119">
        <v>0</v>
      </c>
      <c r="AR137" s="133">
        <v>0</v>
      </c>
      <c r="AS137" s="119"/>
      <c r="AT137" s="119"/>
      <c r="AU137" s="119"/>
      <c r="AV137" s="119"/>
      <c r="AW137" s="133"/>
      <c r="AX137" s="119"/>
      <c r="AY137" s="119"/>
      <c r="AZ137" s="119"/>
      <c r="BA137" s="119"/>
      <c r="BB137" s="133"/>
      <c r="BC137" s="119"/>
      <c r="BD137" s="119"/>
      <c r="BE137" s="119"/>
      <c r="BF137" s="119"/>
      <c r="BG137" s="133"/>
      <c r="BH137" s="119"/>
      <c r="BI137" s="119"/>
      <c r="BJ137" s="119"/>
      <c r="BK137" s="119"/>
      <c r="BL137" s="133"/>
      <c r="BM137" s="119"/>
      <c r="BN137" s="119"/>
      <c r="BO137" s="119"/>
      <c r="BP137" s="119"/>
      <c r="BQ137" s="133"/>
      <c r="BR137" s="119"/>
      <c r="BS137" s="119"/>
      <c r="BT137" s="119"/>
      <c r="BU137" s="119"/>
      <c r="BV137" s="133"/>
      <c r="BW137" s="119"/>
      <c r="BX137" s="119"/>
      <c r="BY137" s="119"/>
      <c r="BZ137" s="119"/>
      <c r="CA137" s="133"/>
      <c r="CB137" s="119"/>
      <c r="CC137" s="119"/>
      <c r="CD137" s="119"/>
      <c r="CE137" s="119"/>
      <c r="CF137" s="133"/>
    </row>
    <row r="138" spans="1:84" ht="12.75">
      <c r="A138" s="119" t="s">
        <v>548</v>
      </c>
      <c r="B138" s="119" t="s">
        <v>549</v>
      </c>
      <c r="C138" s="119" t="s">
        <v>200</v>
      </c>
      <c r="D138" s="119" t="s">
        <v>158</v>
      </c>
      <c r="E138" s="119" t="s">
        <v>29</v>
      </c>
      <c r="F138" s="131">
        <f t="shared" si="0"/>
        <v>0</v>
      </c>
      <c r="G138" s="119">
        <f t="shared" si="1"/>
        <v>0.5</v>
      </c>
      <c r="H138" s="119" t="e">
        <f>SUM(L138,Q138,V138,AA138,AF138,#REF!,AP138,AU138,AZ138,BE138,BJ138,BO138,BT138,BY138,CD138)</f>
        <v>#REF!</v>
      </c>
      <c r="I138" s="132">
        <f t="shared" si="137"/>
        <v>0</v>
      </c>
      <c r="J138" s="119">
        <v>0</v>
      </c>
      <c r="K138" s="119">
        <v>0</v>
      </c>
      <c r="L138" s="119">
        <v>0</v>
      </c>
      <c r="M138" s="119">
        <v>0</v>
      </c>
      <c r="N138" s="133">
        <v>0</v>
      </c>
      <c r="O138" s="119">
        <v>0</v>
      </c>
      <c r="P138" s="119">
        <v>0</v>
      </c>
      <c r="Q138" s="119">
        <v>0</v>
      </c>
      <c r="R138" s="119">
        <v>0</v>
      </c>
      <c r="S138" s="133">
        <v>0</v>
      </c>
      <c r="T138" s="119">
        <v>0</v>
      </c>
      <c r="U138" s="119">
        <v>0</v>
      </c>
      <c r="V138" s="119">
        <v>0</v>
      </c>
      <c r="W138" s="119">
        <v>0</v>
      </c>
      <c r="X138" s="133">
        <v>0</v>
      </c>
      <c r="Y138" s="119">
        <v>0</v>
      </c>
      <c r="Z138" s="119">
        <v>0</v>
      </c>
      <c r="AA138" s="119">
        <v>0</v>
      </c>
      <c r="AB138" s="119">
        <v>0</v>
      </c>
      <c r="AC138" s="133">
        <v>0</v>
      </c>
      <c r="AD138" s="119">
        <v>0</v>
      </c>
      <c r="AE138" s="119">
        <v>0</v>
      </c>
      <c r="AF138" s="119">
        <v>0</v>
      </c>
      <c r="AG138" s="119">
        <v>0</v>
      </c>
      <c r="AH138" s="133">
        <v>0</v>
      </c>
      <c r="AI138" s="119">
        <v>0.5</v>
      </c>
      <c r="AJ138" s="119" t="s">
        <v>218</v>
      </c>
      <c r="AK138" s="119">
        <v>100</v>
      </c>
      <c r="AL138" s="119">
        <v>0</v>
      </c>
      <c r="AM138" s="133">
        <v>0</v>
      </c>
      <c r="AN138" s="119">
        <v>0</v>
      </c>
      <c r="AO138" s="119">
        <v>0</v>
      </c>
      <c r="AP138" s="119">
        <v>0</v>
      </c>
      <c r="AQ138" s="119">
        <v>0</v>
      </c>
      <c r="AR138" s="133">
        <v>0</v>
      </c>
      <c r="AS138" s="119"/>
      <c r="AT138" s="119"/>
      <c r="AU138" s="119"/>
      <c r="AV138" s="119"/>
      <c r="AW138" s="133"/>
      <c r="AX138" s="119"/>
      <c r="AY138" s="119"/>
      <c r="AZ138" s="119"/>
      <c r="BA138" s="119"/>
      <c r="BB138" s="133"/>
      <c r="BC138" s="119"/>
      <c r="BD138" s="119"/>
      <c r="BE138" s="119"/>
      <c r="BF138" s="119"/>
      <c r="BG138" s="133"/>
      <c r="BH138" s="119"/>
      <c r="BI138" s="119"/>
      <c r="BJ138" s="119"/>
      <c r="BK138" s="119"/>
      <c r="BL138" s="133"/>
      <c r="BM138" s="119"/>
      <c r="BN138" s="119"/>
      <c r="BO138" s="119"/>
      <c r="BP138" s="119"/>
      <c r="BQ138" s="133"/>
      <c r="BR138" s="119"/>
      <c r="BS138" s="119"/>
      <c r="BT138" s="119"/>
      <c r="BU138" s="119"/>
      <c r="BV138" s="133"/>
      <c r="BW138" s="119"/>
      <c r="BX138" s="119"/>
      <c r="BY138" s="119"/>
      <c r="BZ138" s="119"/>
      <c r="CA138" s="133"/>
      <c r="CB138" s="119"/>
      <c r="CC138" s="119"/>
      <c r="CD138" s="119"/>
      <c r="CE138" s="119"/>
      <c r="CF138" s="133"/>
    </row>
    <row r="139" spans="1:84" ht="12.75">
      <c r="A139" s="119" t="s">
        <v>550</v>
      </c>
      <c r="B139" s="119" t="s">
        <v>551</v>
      </c>
      <c r="C139" s="119" t="s">
        <v>214</v>
      </c>
      <c r="D139" s="119" t="s">
        <v>158</v>
      </c>
      <c r="E139" s="119" t="s">
        <v>29</v>
      </c>
      <c r="F139" s="131">
        <f t="shared" si="0"/>
        <v>0</v>
      </c>
      <c r="G139" s="119">
        <f t="shared" si="1"/>
        <v>0.5</v>
      </c>
      <c r="H139" s="119">
        <f t="shared" ref="H139:I139" si="138">SUM(L139,Q139,V139,AA139,AF139,AK139,AP139,AU139,AZ139,BE139,BJ139,BO139,BT139,BY139,CD139)</f>
        <v>100</v>
      </c>
      <c r="I139" s="132">
        <f t="shared" si="138"/>
        <v>0</v>
      </c>
      <c r="J139" s="119">
        <v>0</v>
      </c>
      <c r="K139" s="119">
        <v>0</v>
      </c>
      <c r="L139" s="119">
        <v>0</v>
      </c>
      <c r="M139" s="119">
        <v>0</v>
      </c>
      <c r="N139" s="133">
        <v>0</v>
      </c>
      <c r="O139" s="119">
        <v>0</v>
      </c>
      <c r="P139" s="119">
        <v>0</v>
      </c>
      <c r="Q139" s="119">
        <v>0</v>
      </c>
      <c r="R139" s="119">
        <v>0</v>
      </c>
      <c r="S139" s="133">
        <v>0</v>
      </c>
      <c r="T139" s="119">
        <v>0</v>
      </c>
      <c r="U139" s="119">
        <v>0</v>
      </c>
      <c r="V139" s="119">
        <v>0</v>
      </c>
      <c r="W139" s="119">
        <v>0</v>
      </c>
      <c r="X139" s="133">
        <v>0</v>
      </c>
      <c r="Y139" s="119">
        <v>0</v>
      </c>
      <c r="Z139" s="119">
        <v>0</v>
      </c>
      <c r="AA139" s="119">
        <v>0</v>
      </c>
      <c r="AB139" s="119">
        <v>0</v>
      </c>
      <c r="AC139" s="133">
        <v>0</v>
      </c>
      <c r="AD139" s="119">
        <v>0</v>
      </c>
      <c r="AE139" s="119">
        <v>0</v>
      </c>
      <c r="AF139" s="119">
        <v>0</v>
      </c>
      <c r="AG139" s="119">
        <v>0</v>
      </c>
      <c r="AH139" s="133">
        <v>0</v>
      </c>
      <c r="AI139" s="119">
        <v>0.5</v>
      </c>
      <c r="AJ139" s="119" t="s">
        <v>218</v>
      </c>
      <c r="AK139" s="119">
        <v>100</v>
      </c>
      <c r="AL139" s="119">
        <v>0</v>
      </c>
      <c r="AM139" s="133">
        <v>0</v>
      </c>
      <c r="AN139" s="119">
        <v>0</v>
      </c>
      <c r="AO139" s="119">
        <v>0</v>
      </c>
      <c r="AP139" s="119">
        <v>0</v>
      </c>
      <c r="AQ139" s="119">
        <v>0</v>
      </c>
      <c r="AR139" s="133">
        <v>0</v>
      </c>
      <c r="AS139" s="119"/>
      <c r="AT139" s="119"/>
      <c r="AU139" s="119"/>
      <c r="AV139" s="119"/>
      <c r="AW139" s="133"/>
      <c r="AX139" s="119"/>
      <c r="AY139" s="119"/>
      <c r="AZ139" s="119"/>
      <c r="BA139" s="119"/>
      <c r="BB139" s="133"/>
      <c r="BC139" s="119"/>
      <c r="BD139" s="119"/>
      <c r="BE139" s="119"/>
      <c r="BF139" s="119"/>
      <c r="BG139" s="133"/>
      <c r="BH139" s="119"/>
      <c r="BI139" s="119"/>
      <c r="BJ139" s="119"/>
      <c r="BK139" s="119"/>
      <c r="BL139" s="133"/>
      <c r="BM139" s="119"/>
      <c r="BN139" s="119"/>
      <c r="BO139" s="119"/>
      <c r="BP139" s="119"/>
      <c r="BQ139" s="133"/>
      <c r="BR139" s="119"/>
      <c r="BS139" s="119"/>
      <c r="BT139" s="119"/>
      <c r="BU139" s="119"/>
      <c r="BV139" s="133"/>
      <c r="BW139" s="119"/>
      <c r="BX139" s="119"/>
      <c r="BY139" s="119"/>
      <c r="BZ139" s="119"/>
      <c r="CA139" s="133"/>
      <c r="CB139" s="119"/>
      <c r="CC139" s="119"/>
      <c r="CD139" s="119"/>
      <c r="CE139" s="119"/>
      <c r="CF139" s="133"/>
    </row>
    <row r="140" spans="1:84" ht="12.75">
      <c r="A140" s="119" t="s">
        <v>552</v>
      </c>
      <c r="B140" s="119" t="s">
        <v>553</v>
      </c>
      <c r="C140" s="119" t="s">
        <v>240</v>
      </c>
      <c r="D140" s="119" t="s">
        <v>158</v>
      </c>
      <c r="E140" s="119" t="s">
        <v>29</v>
      </c>
      <c r="F140" s="131">
        <f t="shared" si="0"/>
        <v>0</v>
      </c>
      <c r="G140" s="119">
        <f t="shared" si="1"/>
        <v>0.5</v>
      </c>
      <c r="H140" s="119">
        <f t="shared" ref="H140:I140" si="139">SUM(L140,Q140,V140,AA140,AF140,AK140,AP140,AU140,AZ140,BE140,BJ140,BO140,BT140,BY140,CD140)</f>
        <v>100</v>
      </c>
      <c r="I140" s="132">
        <f t="shared" si="139"/>
        <v>0</v>
      </c>
      <c r="J140" s="119">
        <v>0</v>
      </c>
      <c r="K140" s="119">
        <v>0</v>
      </c>
      <c r="L140" s="119">
        <v>0</v>
      </c>
      <c r="M140" s="119">
        <v>0</v>
      </c>
      <c r="N140" s="133">
        <v>0</v>
      </c>
      <c r="O140" s="119">
        <v>0</v>
      </c>
      <c r="P140" s="119">
        <v>0</v>
      </c>
      <c r="Q140" s="119">
        <v>0</v>
      </c>
      <c r="R140" s="119">
        <v>0</v>
      </c>
      <c r="S140" s="133">
        <v>0</v>
      </c>
      <c r="T140" s="119">
        <v>0</v>
      </c>
      <c r="U140" s="119">
        <v>0</v>
      </c>
      <c r="V140" s="119">
        <v>0</v>
      </c>
      <c r="W140" s="119">
        <v>0</v>
      </c>
      <c r="X140" s="133">
        <v>0</v>
      </c>
      <c r="Y140" s="119">
        <v>0</v>
      </c>
      <c r="Z140" s="119">
        <v>0</v>
      </c>
      <c r="AA140" s="119">
        <v>0</v>
      </c>
      <c r="AB140" s="119">
        <v>0</v>
      </c>
      <c r="AC140" s="133">
        <v>0</v>
      </c>
      <c r="AD140" s="119">
        <v>0</v>
      </c>
      <c r="AE140" s="119">
        <v>0</v>
      </c>
      <c r="AF140" s="119">
        <v>0</v>
      </c>
      <c r="AG140" s="119">
        <v>0</v>
      </c>
      <c r="AH140" s="133">
        <v>0</v>
      </c>
      <c r="AI140" s="119">
        <v>0.5</v>
      </c>
      <c r="AJ140" s="119" t="s">
        <v>218</v>
      </c>
      <c r="AK140" s="119">
        <v>100</v>
      </c>
      <c r="AL140" s="119">
        <v>0</v>
      </c>
      <c r="AM140" s="133">
        <v>0</v>
      </c>
      <c r="AN140" s="119">
        <v>0</v>
      </c>
      <c r="AO140" s="119">
        <v>0</v>
      </c>
      <c r="AP140" s="119">
        <v>0</v>
      </c>
      <c r="AQ140" s="119">
        <v>0</v>
      </c>
      <c r="AR140" s="133">
        <v>0</v>
      </c>
      <c r="AS140" s="119"/>
      <c r="AT140" s="119"/>
      <c r="AU140" s="119"/>
      <c r="AV140" s="119"/>
      <c r="AW140" s="133"/>
      <c r="AX140" s="119"/>
      <c r="AY140" s="119"/>
      <c r="AZ140" s="119"/>
      <c r="BA140" s="119"/>
      <c r="BB140" s="133"/>
      <c r="BC140" s="119"/>
      <c r="BD140" s="119"/>
      <c r="BE140" s="119"/>
      <c r="BF140" s="119"/>
      <c r="BG140" s="133"/>
      <c r="BH140" s="119"/>
      <c r="BI140" s="119"/>
      <c r="BJ140" s="119"/>
      <c r="BK140" s="119"/>
      <c r="BL140" s="133"/>
      <c r="BM140" s="119"/>
      <c r="BN140" s="119"/>
      <c r="BO140" s="119"/>
      <c r="BP140" s="119"/>
      <c r="BQ140" s="133"/>
      <c r="BR140" s="119"/>
      <c r="BS140" s="119"/>
      <c r="BT140" s="119"/>
      <c r="BU140" s="119"/>
      <c r="BV140" s="133"/>
      <c r="BW140" s="119"/>
      <c r="BX140" s="119"/>
      <c r="BY140" s="119"/>
      <c r="BZ140" s="119"/>
      <c r="CA140" s="133"/>
      <c r="CB140" s="119"/>
      <c r="CC140" s="119"/>
      <c r="CD140" s="119"/>
      <c r="CE140" s="119"/>
      <c r="CF140" s="133"/>
    </row>
    <row r="141" spans="1:84" ht="12.75">
      <c r="A141" s="119" t="s">
        <v>554</v>
      </c>
      <c r="B141" s="119" t="s">
        <v>555</v>
      </c>
      <c r="C141" s="119" t="s">
        <v>556</v>
      </c>
      <c r="D141" s="119" t="s">
        <v>152</v>
      </c>
      <c r="E141" s="119" t="s">
        <v>29</v>
      </c>
      <c r="F141" s="131">
        <f t="shared" si="0"/>
        <v>0</v>
      </c>
      <c r="G141" s="119">
        <f t="shared" si="1"/>
        <v>1</v>
      </c>
      <c r="H141" s="119">
        <f t="shared" ref="H141:I141" si="140">SUM(L141,Q141,V141,AA141,AF141,AK141,AP141,AU141,AZ141,BE141,BJ141,BO141,BT141,BY141,CD141)</f>
        <v>250</v>
      </c>
      <c r="I141" s="132">
        <f t="shared" si="140"/>
        <v>0</v>
      </c>
      <c r="J141" s="119">
        <v>0</v>
      </c>
      <c r="K141" s="119">
        <v>0</v>
      </c>
      <c r="L141" s="119">
        <v>0</v>
      </c>
      <c r="M141" s="119">
        <v>0</v>
      </c>
      <c r="N141" s="133">
        <v>0</v>
      </c>
      <c r="O141" s="119">
        <v>0</v>
      </c>
      <c r="P141" s="119">
        <v>0</v>
      </c>
      <c r="Q141" s="119">
        <v>0</v>
      </c>
      <c r="R141" s="119">
        <v>0</v>
      </c>
      <c r="S141" s="133">
        <v>0</v>
      </c>
      <c r="T141" s="119">
        <v>0</v>
      </c>
      <c r="U141" s="119">
        <v>0</v>
      </c>
      <c r="V141" s="119">
        <v>0</v>
      </c>
      <c r="W141" s="119">
        <v>0</v>
      </c>
      <c r="X141" s="133">
        <v>0</v>
      </c>
      <c r="Y141" s="119">
        <v>0</v>
      </c>
      <c r="Z141" s="119">
        <v>0</v>
      </c>
      <c r="AA141" s="119">
        <v>0</v>
      </c>
      <c r="AB141" s="119">
        <v>0</v>
      </c>
      <c r="AC141" s="133">
        <v>0</v>
      </c>
      <c r="AD141" s="119">
        <v>0.5</v>
      </c>
      <c r="AE141" s="119" t="s">
        <v>218</v>
      </c>
      <c r="AF141" s="119">
        <v>150</v>
      </c>
      <c r="AG141" s="119">
        <v>0</v>
      </c>
      <c r="AH141" s="133">
        <v>0</v>
      </c>
      <c r="AI141" s="119">
        <v>0.5</v>
      </c>
      <c r="AJ141" s="119" t="s">
        <v>218</v>
      </c>
      <c r="AK141" s="119">
        <v>100</v>
      </c>
      <c r="AL141" s="119">
        <v>0</v>
      </c>
      <c r="AM141" s="133">
        <v>0</v>
      </c>
      <c r="AN141" s="119">
        <v>0</v>
      </c>
      <c r="AO141" s="119">
        <v>0</v>
      </c>
      <c r="AP141" s="119">
        <v>0</v>
      </c>
      <c r="AQ141" s="119">
        <v>0</v>
      </c>
      <c r="AR141" s="133">
        <v>0</v>
      </c>
      <c r="AS141" s="119"/>
      <c r="AT141" s="119"/>
      <c r="AU141" s="119"/>
      <c r="AV141" s="119"/>
      <c r="AW141" s="133"/>
      <c r="AX141" s="119"/>
      <c r="AY141" s="119"/>
      <c r="AZ141" s="119"/>
      <c r="BA141" s="119"/>
      <c r="BB141" s="133"/>
      <c r="BC141" s="119"/>
      <c r="BD141" s="119"/>
      <c r="BE141" s="119"/>
      <c r="BF141" s="119"/>
      <c r="BG141" s="133"/>
      <c r="BH141" s="119"/>
      <c r="BI141" s="119"/>
      <c r="BJ141" s="119"/>
      <c r="BK141" s="119"/>
      <c r="BL141" s="133"/>
      <c r="BM141" s="119"/>
      <c r="BN141" s="119"/>
      <c r="BO141" s="119"/>
      <c r="BP141" s="119"/>
      <c r="BQ141" s="133"/>
      <c r="BR141" s="119"/>
      <c r="BS141" s="119"/>
      <c r="BT141" s="119"/>
      <c r="BU141" s="119"/>
      <c r="BV141" s="133"/>
      <c r="BW141" s="119"/>
      <c r="BX141" s="119"/>
      <c r="BY141" s="119"/>
      <c r="BZ141" s="119"/>
      <c r="CA141" s="133"/>
      <c r="CB141" s="119"/>
      <c r="CC141" s="119"/>
      <c r="CD141" s="119"/>
      <c r="CE141" s="119"/>
      <c r="CF141" s="133"/>
    </row>
    <row r="142" spans="1:84" ht="12.75">
      <c r="A142" s="119" t="s">
        <v>557</v>
      </c>
      <c r="B142" s="119" t="s">
        <v>558</v>
      </c>
      <c r="C142" s="119" t="s">
        <v>559</v>
      </c>
      <c r="D142" s="119" t="s">
        <v>152</v>
      </c>
      <c r="E142" s="119" t="s">
        <v>31</v>
      </c>
      <c r="F142" s="131">
        <f t="shared" si="0"/>
        <v>0</v>
      </c>
      <c r="G142" s="119">
        <f t="shared" si="1"/>
        <v>3.5</v>
      </c>
      <c r="H142" s="119">
        <f t="shared" ref="H142:I142" si="141">SUM(L142,Q142,V142,AA142,AF142,AK142,AP142,AU142,AZ142,BE142,BJ142,BO142,BT142,BY142,CD142)</f>
        <v>400</v>
      </c>
      <c r="I142" s="132">
        <f t="shared" si="141"/>
        <v>0</v>
      </c>
      <c r="J142" s="119">
        <v>0.5</v>
      </c>
      <c r="K142" s="119" t="s">
        <v>218</v>
      </c>
      <c r="L142" s="119">
        <v>200</v>
      </c>
      <c r="M142" s="119">
        <v>0</v>
      </c>
      <c r="N142" s="133">
        <v>0</v>
      </c>
      <c r="O142" s="119">
        <v>1</v>
      </c>
      <c r="P142" s="119" t="s">
        <v>218</v>
      </c>
      <c r="Q142" s="119">
        <v>200</v>
      </c>
      <c r="R142" s="119">
        <v>0</v>
      </c>
      <c r="S142" s="133">
        <v>0</v>
      </c>
      <c r="T142" s="119">
        <v>0</v>
      </c>
      <c r="U142" s="119">
        <v>0</v>
      </c>
      <c r="V142" s="119">
        <v>0</v>
      </c>
      <c r="W142" s="119">
        <v>0</v>
      </c>
      <c r="X142" s="133">
        <v>0</v>
      </c>
      <c r="Y142" s="119">
        <v>1</v>
      </c>
      <c r="Z142" s="119" t="s">
        <v>560</v>
      </c>
      <c r="AA142" s="119"/>
      <c r="AB142" s="119">
        <v>0</v>
      </c>
      <c r="AC142" s="133"/>
      <c r="AD142" s="119">
        <v>1</v>
      </c>
      <c r="AE142" s="119" t="s">
        <v>560</v>
      </c>
      <c r="AF142" s="119"/>
      <c r="AG142" s="119">
        <v>0</v>
      </c>
      <c r="AH142" s="133"/>
      <c r="AI142" s="119">
        <v>0</v>
      </c>
      <c r="AJ142" s="119">
        <v>0</v>
      </c>
      <c r="AK142" s="119">
        <v>0</v>
      </c>
      <c r="AL142" s="119">
        <v>0</v>
      </c>
      <c r="AM142" s="133">
        <v>0</v>
      </c>
      <c r="AN142" s="119"/>
      <c r="AO142" s="119"/>
      <c r="AP142" s="119"/>
      <c r="AQ142" s="119"/>
      <c r="AR142" s="133"/>
      <c r="AS142" s="119"/>
      <c r="AT142" s="119"/>
      <c r="AU142" s="119"/>
      <c r="AV142" s="119"/>
      <c r="AW142" s="133"/>
      <c r="AX142" s="119"/>
      <c r="AY142" s="119"/>
      <c r="AZ142" s="119"/>
      <c r="BA142" s="119"/>
      <c r="BB142" s="133"/>
      <c r="BC142" s="119"/>
      <c r="BD142" s="119"/>
      <c r="BE142" s="119"/>
      <c r="BF142" s="119"/>
      <c r="BG142" s="133"/>
      <c r="BH142" s="119"/>
      <c r="BI142" s="119"/>
      <c r="BJ142" s="119"/>
      <c r="BK142" s="119"/>
      <c r="BL142" s="133"/>
      <c r="BM142" s="119"/>
      <c r="BN142" s="119"/>
      <c r="BO142" s="119"/>
      <c r="BP142" s="119"/>
      <c r="BQ142" s="133"/>
      <c r="BR142" s="119"/>
      <c r="BS142" s="119"/>
      <c r="BT142" s="119"/>
      <c r="BU142" s="119"/>
      <c r="BV142" s="133"/>
      <c r="BW142" s="119"/>
      <c r="BX142" s="119"/>
      <c r="BY142" s="119"/>
      <c r="BZ142" s="119"/>
      <c r="CA142" s="133"/>
      <c r="CB142" s="119"/>
      <c r="CC142" s="119"/>
      <c r="CD142" s="119"/>
      <c r="CE142" s="119"/>
      <c r="CF142" s="133"/>
    </row>
    <row r="143" spans="1:84" ht="12.75">
      <c r="A143" s="119" t="s">
        <v>561</v>
      </c>
      <c r="B143" s="119" t="s">
        <v>350</v>
      </c>
      <c r="C143" s="119" t="s">
        <v>562</v>
      </c>
      <c r="D143" s="119" t="s">
        <v>158</v>
      </c>
      <c r="E143" s="119" t="s">
        <v>31</v>
      </c>
      <c r="F143" s="131">
        <f t="shared" si="0"/>
        <v>0</v>
      </c>
      <c r="G143" s="119">
        <f t="shared" si="1"/>
        <v>2</v>
      </c>
      <c r="H143" s="119">
        <f t="shared" ref="H143:I143" si="142">SUM(L143,Q143,V143,AA143,AF143,AK143,AP143,AU143,AZ143,BE143,BJ143,BO143,BT143,BY143,CD143)</f>
        <v>0</v>
      </c>
      <c r="I143" s="132">
        <f t="shared" si="142"/>
        <v>0</v>
      </c>
      <c r="J143" s="119">
        <v>0</v>
      </c>
      <c r="K143" s="119">
        <v>0</v>
      </c>
      <c r="L143" s="119">
        <v>0</v>
      </c>
      <c r="M143" s="119">
        <v>0</v>
      </c>
      <c r="N143" s="133">
        <v>0</v>
      </c>
      <c r="O143" s="119">
        <v>0</v>
      </c>
      <c r="P143" s="119">
        <v>0</v>
      </c>
      <c r="Q143" s="119">
        <v>0</v>
      </c>
      <c r="R143" s="119">
        <v>0</v>
      </c>
      <c r="S143" s="133">
        <v>0</v>
      </c>
      <c r="T143" s="119">
        <v>0</v>
      </c>
      <c r="U143" s="119">
        <v>0</v>
      </c>
      <c r="V143" s="119">
        <v>0</v>
      </c>
      <c r="W143" s="119">
        <v>0</v>
      </c>
      <c r="X143" s="133">
        <v>0</v>
      </c>
      <c r="Y143" s="119">
        <v>1</v>
      </c>
      <c r="Z143" s="119" t="s">
        <v>560</v>
      </c>
      <c r="AA143" s="119"/>
      <c r="AB143" s="119">
        <v>0</v>
      </c>
      <c r="AC143" s="133"/>
      <c r="AD143" s="119">
        <v>1</v>
      </c>
      <c r="AE143" s="119" t="s">
        <v>560</v>
      </c>
      <c r="AF143" s="119"/>
      <c r="AG143" s="119">
        <v>0</v>
      </c>
      <c r="AH143" s="133"/>
      <c r="AI143" s="119">
        <v>0</v>
      </c>
      <c r="AJ143" s="119">
        <v>0</v>
      </c>
      <c r="AK143" s="119">
        <v>0</v>
      </c>
      <c r="AL143" s="119">
        <v>0</v>
      </c>
      <c r="AM143" s="133">
        <v>0</v>
      </c>
      <c r="AN143" s="119"/>
      <c r="AO143" s="119"/>
      <c r="AP143" s="119"/>
      <c r="AQ143" s="119"/>
      <c r="AR143" s="133"/>
      <c r="AS143" s="119"/>
      <c r="AT143" s="119"/>
      <c r="AU143" s="119"/>
      <c r="AV143" s="119"/>
      <c r="AW143" s="133"/>
      <c r="AX143" s="119"/>
      <c r="AY143" s="119"/>
      <c r="AZ143" s="119"/>
      <c r="BA143" s="119"/>
      <c r="BB143" s="133"/>
      <c r="BC143" s="119"/>
      <c r="BD143" s="119"/>
      <c r="BE143" s="119"/>
      <c r="BF143" s="119"/>
      <c r="BG143" s="133"/>
      <c r="BH143" s="119"/>
      <c r="BI143" s="119"/>
      <c r="BJ143" s="119"/>
      <c r="BK143" s="119"/>
      <c r="BL143" s="133"/>
      <c r="BM143" s="119"/>
      <c r="BN143" s="119"/>
      <c r="BO143" s="119"/>
      <c r="BP143" s="119"/>
      <c r="BQ143" s="133"/>
      <c r="BR143" s="119"/>
      <c r="BS143" s="119"/>
      <c r="BT143" s="119"/>
      <c r="BU143" s="119"/>
      <c r="BV143" s="133"/>
      <c r="BW143" s="119"/>
      <c r="BX143" s="119"/>
      <c r="BY143" s="119"/>
      <c r="BZ143" s="119"/>
      <c r="CA143" s="133"/>
      <c r="CB143" s="119"/>
      <c r="CC143" s="119"/>
      <c r="CD143" s="119"/>
      <c r="CE143" s="119"/>
      <c r="CF143" s="133"/>
    </row>
    <row r="144" spans="1:84" ht="12.75">
      <c r="A144" s="119" t="s">
        <v>563</v>
      </c>
      <c r="B144" s="119" t="s">
        <v>564</v>
      </c>
      <c r="C144" s="119" t="s">
        <v>565</v>
      </c>
      <c r="D144" s="119" t="s">
        <v>158</v>
      </c>
      <c r="E144" s="119" t="s">
        <v>31</v>
      </c>
      <c r="F144" s="131">
        <f t="shared" si="0"/>
        <v>0</v>
      </c>
      <c r="G144" s="119">
        <f t="shared" si="1"/>
        <v>0</v>
      </c>
      <c r="H144" s="119">
        <f t="shared" ref="H144:I144" si="143">SUM(L144,Q144,V144,AA144,AF144,AK144,AP144,AU144,AZ144,BE144,BJ144,BO144,BT144,BY144,CD144)</f>
        <v>0</v>
      </c>
      <c r="I144" s="132">
        <f t="shared" si="143"/>
        <v>0</v>
      </c>
      <c r="J144" s="119">
        <v>0</v>
      </c>
      <c r="K144" s="119">
        <v>0</v>
      </c>
      <c r="L144" s="119">
        <v>0</v>
      </c>
      <c r="M144" s="119">
        <v>0</v>
      </c>
      <c r="N144" s="133">
        <v>0</v>
      </c>
      <c r="O144" s="119">
        <v>0</v>
      </c>
      <c r="P144" s="119">
        <v>0</v>
      </c>
      <c r="Q144" s="119">
        <v>0</v>
      </c>
      <c r="R144" s="119">
        <v>0</v>
      </c>
      <c r="S144" s="133">
        <v>0</v>
      </c>
      <c r="T144" s="119">
        <v>0</v>
      </c>
      <c r="U144" s="119">
        <v>0</v>
      </c>
      <c r="V144" s="119">
        <v>0</v>
      </c>
      <c r="W144" s="119">
        <v>0</v>
      </c>
      <c r="X144" s="133">
        <v>0</v>
      </c>
      <c r="Y144" s="119">
        <v>0</v>
      </c>
      <c r="Z144" s="119">
        <v>0</v>
      </c>
      <c r="AA144" s="119">
        <v>0</v>
      </c>
      <c r="AB144" s="119">
        <v>0</v>
      </c>
      <c r="AC144" s="133">
        <v>0</v>
      </c>
      <c r="AD144" s="119">
        <v>0</v>
      </c>
      <c r="AE144" s="119">
        <v>0</v>
      </c>
      <c r="AF144" s="119">
        <v>0</v>
      </c>
      <c r="AG144" s="119">
        <v>0</v>
      </c>
      <c r="AH144" s="133">
        <v>0</v>
      </c>
      <c r="AI144" s="119">
        <v>0</v>
      </c>
      <c r="AJ144" s="119">
        <v>0</v>
      </c>
      <c r="AK144" s="119">
        <v>0</v>
      </c>
      <c r="AL144" s="119">
        <v>0</v>
      </c>
      <c r="AM144" s="133">
        <v>0</v>
      </c>
      <c r="AN144" s="119"/>
      <c r="AO144" s="119"/>
      <c r="AP144" s="119"/>
      <c r="AQ144" s="119"/>
      <c r="AR144" s="133"/>
      <c r="AS144" s="119"/>
      <c r="AT144" s="119"/>
      <c r="AU144" s="119"/>
      <c r="AV144" s="119"/>
      <c r="AW144" s="133"/>
      <c r="AX144" s="119"/>
      <c r="AY144" s="119"/>
      <c r="AZ144" s="119"/>
      <c r="BA144" s="119"/>
      <c r="BB144" s="133"/>
      <c r="BC144" s="119"/>
      <c r="BD144" s="119"/>
      <c r="BE144" s="119"/>
      <c r="BF144" s="119"/>
      <c r="BG144" s="133"/>
      <c r="BH144" s="119"/>
      <c r="BI144" s="119"/>
      <c r="BJ144" s="119"/>
      <c r="BK144" s="119"/>
      <c r="BL144" s="133"/>
      <c r="BM144" s="119"/>
      <c r="BN144" s="119"/>
      <c r="BO144" s="119"/>
      <c r="BP144" s="119"/>
      <c r="BQ144" s="133"/>
      <c r="BR144" s="119"/>
      <c r="BS144" s="119"/>
      <c r="BT144" s="119"/>
      <c r="BU144" s="119"/>
      <c r="BV144" s="133"/>
      <c r="BW144" s="119"/>
      <c r="BX144" s="119"/>
      <c r="BY144" s="119"/>
      <c r="BZ144" s="119"/>
      <c r="CA144" s="133"/>
      <c r="CB144" s="119"/>
      <c r="CC144" s="119"/>
      <c r="CD144" s="119"/>
      <c r="CE144" s="119"/>
      <c r="CF144" s="133"/>
    </row>
    <row r="145" spans="1:84" ht="12.75">
      <c r="A145" s="119" t="s">
        <v>566</v>
      </c>
      <c r="B145" s="119" t="s">
        <v>567</v>
      </c>
      <c r="C145" s="119" t="s">
        <v>568</v>
      </c>
      <c r="D145" s="119" t="s">
        <v>158</v>
      </c>
      <c r="E145" s="119" t="s">
        <v>31</v>
      </c>
      <c r="F145" s="131">
        <f t="shared" si="0"/>
        <v>0</v>
      </c>
      <c r="G145" s="119">
        <f t="shared" si="1"/>
        <v>0</v>
      </c>
      <c r="H145" s="119">
        <f t="shared" ref="H145:I145" si="144">SUM(L145,Q145,V145,AA145,AF145,AK145,AP145,AU145,AZ145,BE145,BJ145,BO145,BT145,BY145,CD145)</f>
        <v>0</v>
      </c>
      <c r="I145" s="132">
        <f t="shared" si="144"/>
        <v>0</v>
      </c>
      <c r="J145" s="119">
        <v>0</v>
      </c>
      <c r="K145" s="119">
        <v>0</v>
      </c>
      <c r="L145" s="119">
        <v>0</v>
      </c>
      <c r="M145" s="119">
        <v>0</v>
      </c>
      <c r="N145" s="133">
        <v>0</v>
      </c>
      <c r="O145" s="119">
        <v>0</v>
      </c>
      <c r="P145" s="119">
        <v>0</v>
      </c>
      <c r="Q145" s="119">
        <v>0</v>
      </c>
      <c r="R145" s="119">
        <v>0</v>
      </c>
      <c r="S145" s="133">
        <v>0</v>
      </c>
      <c r="T145" s="119">
        <v>0</v>
      </c>
      <c r="U145" s="119">
        <v>0</v>
      </c>
      <c r="V145" s="119">
        <v>0</v>
      </c>
      <c r="W145" s="119">
        <v>0</v>
      </c>
      <c r="X145" s="133">
        <v>0</v>
      </c>
      <c r="Y145" s="119">
        <v>0</v>
      </c>
      <c r="Z145" s="119">
        <v>0</v>
      </c>
      <c r="AA145" s="119">
        <v>0</v>
      </c>
      <c r="AB145" s="119">
        <v>0</v>
      </c>
      <c r="AC145" s="133">
        <v>0</v>
      </c>
      <c r="AD145" s="119">
        <v>0</v>
      </c>
      <c r="AE145" s="119">
        <v>0</v>
      </c>
      <c r="AF145" s="119">
        <v>0</v>
      </c>
      <c r="AG145" s="119">
        <v>0</v>
      </c>
      <c r="AH145" s="133">
        <v>0</v>
      </c>
      <c r="AI145" s="119">
        <v>0</v>
      </c>
      <c r="AJ145" s="119">
        <v>0</v>
      </c>
      <c r="AK145" s="119">
        <v>0</v>
      </c>
      <c r="AL145" s="119">
        <v>0</v>
      </c>
      <c r="AM145" s="133">
        <v>0</v>
      </c>
      <c r="AN145" s="119"/>
      <c r="AO145" s="119"/>
      <c r="AP145" s="119"/>
      <c r="AQ145" s="119"/>
      <c r="AR145" s="133"/>
      <c r="AS145" s="119"/>
      <c r="AT145" s="119"/>
      <c r="AU145" s="119"/>
      <c r="AV145" s="119"/>
      <c r="AW145" s="133"/>
      <c r="AX145" s="119"/>
      <c r="AY145" s="119"/>
      <c r="AZ145" s="119"/>
      <c r="BA145" s="119"/>
      <c r="BB145" s="133"/>
      <c r="BC145" s="119"/>
      <c r="BD145" s="119"/>
      <c r="BE145" s="119"/>
      <c r="BF145" s="119"/>
      <c r="BG145" s="133"/>
      <c r="BH145" s="119"/>
      <c r="BI145" s="119"/>
      <c r="BJ145" s="119"/>
      <c r="BK145" s="119"/>
      <c r="BL145" s="133"/>
      <c r="BM145" s="119"/>
      <c r="BN145" s="119"/>
      <c r="BO145" s="119"/>
      <c r="BP145" s="119"/>
      <c r="BQ145" s="133"/>
      <c r="BR145" s="119"/>
      <c r="BS145" s="119"/>
      <c r="BT145" s="119"/>
      <c r="BU145" s="119"/>
      <c r="BV145" s="133"/>
      <c r="BW145" s="119"/>
      <c r="BX145" s="119"/>
      <c r="BY145" s="119"/>
      <c r="BZ145" s="119"/>
      <c r="CA145" s="133"/>
      <c r="CB145" s="119"/>
      <c r="CC145" s="119"/>
      <c r="CD145" s="119"/>
      <c r="CE145" s="119"/>
      <c r="CF145" s="133"/>
    </row>
    <row r="146" spans="1:84" ht="12.75">
      <c r="A146" s="119" t="s">
        <v>569</v>
      </c>
      <c r="B146" s="119" t="s">
        <v>570</v>
      </c>
      <c r="C146" s="119" t="s">
        <v>167</v>
      </c>
      <c r="D146" s="119" t="s">
        <v>158</v>
      </c>
      <c r="E146" s="119" t="s">
        <v>31</v>
      </c>
      <c r="F146" s="131">
        <f t="shared" si="0"/>
        <v>0</v>
      </c>
      <c r="G146" s="119">
        <f t="shared" si="1"/>
        <v>0</v>
      </c>
      <c r="H146" s="119">
        <f t="shared" ref="H146:I146" si="145">SUM(L146,Q146,V146,AA146,AF146,AK146,AP146,AU146,AZ146,BE146,BJ146,BO146,BT146,BY146,CD146)</f>
        <v>0</v>
      </c>
      <c r="I146" s="132">
        <f t="shared" si="145"/>
        <v>0</v>
      </c>
      <c r="J146" s="119">
        <v>0</v>
      </c>
      <c r="K146" s="119">
        <v>0</v>
      </c>
      <c r="L146" s="119">
        <v>0</v>
      </c>
      <c r="M146" s="119">
        <v>0</v>
      </c>
      <c r="N146" s="133">
        <v>0</v>
      </c>
      <c r="O146" s="119">
        <v>0</v>
      </c>
      <c r="P146" s="119">
        <v>0</v>
      </c>
      <c r="Q146" s="119">
        <v>0</v>
      </c>
      <c r="R146" s="119">
        <v>0</v>
      </c>
      <c r="S146" s="133">
        <v>0</v>
      </c>
      <c r="T146" s="119">
        <v>0</v>
      </c>
      <c r="U146" s="119">
        <v>0</v>
      </c>
      <c r="V146" s="119">
        <v>0</v>
      </c>
      <c r="W146" s="119">
        <v>0</v>
      </c>
      <c r="X146" s="133">
        <v>0</v>
      </c>
      <c r="Y146" s="119">
        <v>0</v>
      </c>
      <c r="Z146" s="119">
        <v>0</v>
      </c>
      <c r="AA146" s="119">
        <v>0</v>
      </c>
      <c r="AB146" s="119">
        <v>0</v>
      </c>
      <c r="AC146" s="133">
        <v>0</v>
      </c>
      <c r="AD146" s="119">
        <v>0</v>
      </c>
      <c r="AE146" s="119">
        <v>0</v>
      </c>
      <c r="AF146" s="119">
        <v>0</v>
      </c>
      <c r="AG146" s="119">
        <v>0</v>
      </c>
      <c r="AH146" s="133">
        <v>0</v>
      </c>
      <c r="AI146" s="119">
        <v>0</v>
      </c>
      <c r="AJ146" s="119">
        <v>0</v>
      </c>
      <c r="AK146" s="119">
        <v>0</v>
      </c>
      <c r="AL146" s="119">
        <v>0</v>
      </c>
      <c r="AM146" s="133">
        <v>0</v>
      </c>
      <c r="AN146" s="119"/>
      <c r="AO146" s="119"/>
      <c r="AP146" s="119"/>
      <c r="AQ146" s="119"/>
      <c r="AR146" s="133"/>
      <c r="AS146" s="119"/>
      <c r="AT146" s="119"/>
      <c r="AU146" s="119"/>
      <c r="AV146" s="119"/>
      <c r="AW146" s="133"/>
      <c r="AX146" s="119"/>
      <c r="AY146" s="119"/>
      <c r="AZ146" s="119"/>
      <c r="BA146" s="119"/>
      <c r="BB146" s="133"/>
      <c r="BC146" s="119"/>
      <c r="BD146" s="119"/>
      <c r="BE146" s="119"/>
      <c r="BF146" s="119"/>
      <c r="BG146" s="133"/>
      <c r="BH146" s="119"/>
      <c r="BI146" s="119"/>
      <c r="BJ146" s="119"/>
      <c r="BK146" s="119"/>
      <c r="BL146" s="133"/>
      <c r="BM146" s="119"/>
      <c r="BN146" s="119"/>
      <c r="BO146" s="119"/>
      <c r="BP146" s="119"/>
      <c r="BQ146" s="133"/>
      <c r="BR146" s="119"/>
      <c r="BS146" s="119"/>
      <c r="BT146" s="119"/>
      <c r="BU146" s="119"/>
      <c r="BV146" s="133"/>
      <c r="BW146" s="119"/>
      <c r="BX146" s="119"/>
      <c r="BY146" s="119"/>
      <c r="BZ146" s="119"/>
      <c r="CA146" s="133"/>
      <c r="CB146" s="119"/>
      <c r="CC146" s="119"/>
      <c r="CD146" s="119"/>
      <c r="CE146" s="119"/>
      <c r="CF146" s="133"/>
    </row>
    <row r="147" spans="1:84" ht="12.75">
      <c r="A147" s="119" t="s">
        <v>571</v>
      </c>
      <c r="B147" s="119" t="s">
        <v>296</v>
      </c>
      <c r="C147" s="119" t="s">
        <v>572</v>
      </c>
      <c r="D147" s="119" t="s">
        <v>158</v>
      </c>
      <c r="E147" s="119" t="s">
        <v>31</v>
      </c>
      <c r="F147" s="131">
        <f t="shared" si="0"/>
        <v>0</v>
      </c>
      <c r="G147" s="119">
        <f t="shared" si="1"/>
        <v>0</v>
      </c>
      <c r="H147" s="119">
        <f t="shared" ref="H147:I147" si="146">SUM(L147,Q147,V147,AA147,AF147,AK147,AP147,AU147,AZ147,BE147,BJ147,BO147,BT147,BY147,CD147)</f>
        <v>0</v>
      </c>
      <c r="I147" s="132">
        <f t="shared" si="146"/>
        <v>0</v>
      </c>
      <c r="J147" s="119">
        <v>0</v>
      </c>
      <c r="K147" s="119">
        <v>0</v>
      </c>
      <c r="L147" s="119">
        <v>0</v>
      </c>
      <c r="M147" s="119">
        <v>0</v>
      </c>
      <c r="N147" s="133">
        <v>0</v>
      </c>
      <c r="O147" s="119">
        <v>0</v>
      </c>
      <c r="P147" s="119">
        <v>0</v>
      </c>
      <c r="Q147" s="119">
        <v>0</v>
      </c>
      <c r="R147" s="119">
        <v>0</v>
      </c>
      <c r="S147" s="133">
        <v>0</v>
      </c>
      <c r="T147" s="119">
        <v>0</v>
      </c>
      <c r="U147" s="119">
        <v>0</v>
      </c>
      <c r="V147" s="119">
        <v>0</v>
      </c>
      <c r="W147" s="119">
        <v>0</v>
      </c>
      <c r="X147" s="133">
        <v>0</v>
      </c>
      <c r="Y147" s="119">
        <v>0</v>
      </c>
      <c r="Z147" s="119">
        <v>0</v>
      </c>
      <c r="AA147" s="119">
        <v>0</v>
      </c>
      <c r="AB147" s="119">
        <v>0</v>
      </c>
      <c r="AC147" s="133">
        <v>0</v>
      </c>
      <c r="AD147" s="119">
        <v>0</v>
      </c>
      <c r="AE147" s="119">
        <v>0</v>
      </c>
      <c r="AF147" s="119">
        <v>0</v>
      </c>
      <c r="AG147" s="119">
        <v>0</v>
      </c>
      <c r="AH147" s="133">
        <v>0</v>
      </c>
      <c r="AI147" s="119">
        <v>0</v>
      </c>
      <c r="AJ147" s="119">
        <v>0</v>
      </c>
      <c r="AK147" s="119">
        <v>0</v>
      </c>
      <c r="AL147" s="119">
        <v>0</v>
      </c>
      <c r="AM147" s="133">
        <v>0</v>
      </c>
      <c r="AN147" s="119"/>
      <c r="AO147" s="119"/>
      <c r="AP147" s="119"/>
      <c r="AQ147" s="119"/>
      <c r="AR147" s="133"/>
      <c r="AS147" s="119"/>
      <c r="AT147" s="119"/>
      <c r="AU147" s="119"/>
      <c r="AV147" s="119"/>
      <c r="AW147" s="133"/>
      <c r="AX147" s="119"/>
      <c r="AY147" s="119"/>
      <c r="AZ147" s="119"/>
      <c r="BA147" s="119"/>
      <c r="BB147" s="133"/>
      <c r="BC147" s="119"/>
      <c r="BD147" s="119"/>
      <c r="BE147" s="119"/>
      <c r="BF147" s="119"/>
      <c r="BG147" s="133"/>
      <c r="BH147" s="119"/>
      <c r="BI147" s="119"/>
      <c r="BJ147" s="119"/>
      <c r="BK147" s="119"/>
      <c r="BL147" s="133"/>
      <c r="BM147" s="119"/>
      <c r="BN147" s="119"/>
      <c r="BO147" s="119"/>
      <c r="BP147" s="119"/>
      <c r="BQ147" s="133"/>
      <c r="BR147" s="119"/>
      <c r="BS147" s="119"/>
      <c r="BT147" s="119"/>
      <c r="BU147" s="119"/>
      <c r="BV147" s="133"/>
      <c r="BW147" s="119"/>
      <c r="BX147" s="119"/>
      <c r="BY147" s="119"/>
      <c r="BZ147" s="119"/>
      <c r="CA147" s="133"/>
      <c r="CB147" s="119"/>
      <c r="CC147" s="119"/>
      <c r="CD147" s="119"/>
      <c r="CE147" s="119"/>
      <c r="CF147" s="133"/>
    </row>
    <row r="148" spans="1:84" ht="12.75">
      <c r="A148" s="119" t="s">
        <v>573</v>
      </c>
      <c r="B148" s="119" t="s">
        <v>320</v>
      </c>
      <c r="C148" s="119" t="s">
        <v>574</v>
      </c>
      <c r="D148" s="119" t="s">
        <v>152</v>
      </c>
      <c r="E148" s="119" t="s">
        <v>31</v>
      </c>
      <c r="F148" s="131">
        <f t="shared" si="0"/>
        <v>0</v>
      </c>
      <c r="G148" s="119">
        <f t="shared" si="1"/>
        <v>2.5</v>
      </c>
      <c r="H148" s="119">
        <f t="shared" ref="H148:I148" si="147">SUM(L148,Q148,V148,AA148,AF148,AK148,AP148,AU148,AZ148,BE148,BJ148,BO148,BT148,BY148,CD148)</f>
        <v>400</v>
      </c>
      <c r="I148" s="132">
        <f t="shared" si="147"/>
        <v>0</v>
      </c>
      <c r="J148" s="119">
        <v>0</v>
      </c>
      <c r="K148" s="119">
        <v>0</v>
      </c>
      <c r="L148" s="119">
        <v>0</v>
      </c>
      <c r="M148" s="119">
        <v>0</v>
      </c>
      <c r="N148" s="133">
        <v>0</v>
      </c>
      <c r="O148" s="119">
        <v>0</v>
      </c>
      <c r="P148" s="119">
        <v>0</v>
      </c>
      <c r="Q148" s="119">
        <v>0</v>
      </c>
      <c r="R148" s="119">
        <v>0</v>
      </c>
      <c r="S148" s="133">
        <v>0</v>
      </c>
      <c r="T148" s="119">
        <v>0</v>
      </c>
      <c r="U148" s="119">
        <v>0</v>
      </c>
      <c r="V148" s="119">
        <v>0</v>
      </c>
      <c r="W148" s="119">
        <v>0</v>
      </c>
      <c r="X148" s="133">
        <v>0</v>
      </c>
      <c r="Y148" s="119">
        <v>0</v>
      </c>
      <c r="Z148" s="119">
        <v>0</v>
      </c>
      <c r="AA148" s="119">
        <v>0</v>
      </c>
      <c r="AB148" s="119">
        <v>0</v>
      </c>
      <c r="AC148" s="133">
        <v>0</v>
      </c>
      <c r="AD148" s="119">
        <v>1</v>
      </c>
      <c r="AE148" s="119" t="s">
        <v>218</v>
      </c>
      <c r="AF148" s="119">
        <v>200</v>
      </c>
      <c r="AG148" s="119">
        <v>0</v>
      </c>
      <c r="AH148" s="133">
        <v>0</v>
      </c>
      <c r="AI148" s="119">
        <v>1</v>
      </c>
      <c r="AJ148" s="119">
        <v>200</v>
      </c>
      <c r="AK148" s="119" t="s">
        <v>218</v>
      </c>
      <c r="AL148" s="119">
        <v>0</v>
      </c>
      <c r="AM148" s="133">
        <v>0</v>
      </c>
      <c r="AN148" s="119">
        <v>0.5</v>
      </c>
      <c r="AO148" s="119" t="s">
        <v>218</v>
      </c>
      <c r="AP148" s="119">
        <v>200</v>
      </c>
      <c r="AQ148" s="119"/>
      <c r="AR148" s="133"/>
      <c r="AS148" s="119"/>
      <c r="AT148" s="119"/>
      <c r="AU148" s="119"/>
      <c r="AV148" s="119"/>
      <c r="AW148" s="133"/>
      <c r="AX148" s="119"/>
      <c r="AY148" s="119"/>
      <c r="AZ148" s="119"/>
      <c r="BA148" s="119"/>
      <c r="BB148" s="133"/>
      <c r="BC148" s="119"/>
      <c r="BD148" s="119"/>
      <c r="BE148" s="119"/>
      <c r="BF148" s="119"/>
      <c r="BG148" s="133"/>
      <c r="BH148" s="119"/>
      <c r="BI148" s="119"/>
      <c r="BJ148" s="119"/>
      <c r="BK148" s="119"/>
      <c r="BL148" s="133"/>
      <c r="BM148" s="119"/>
      <c r="BN148" s="119"/>
      <c r="BO148" s="119"/>
      <c r="BP148" s="119"/>
      <c r="BQ148" s="133"/>
      <c r="BR148" s="119"/>
      <c r="BS148" s="119"/>
      <c r="BT148" s="119"/>
      <c r="BU148" s="119"/>
      <c r="BV148" s="133"/>
      <c r="BW148" s="119"/>
      <c r="BX148" s="119"/>
      <c r="BY148" s="119"/>
      <c r="BZ148" s="119"/>
      <c r="CA148" s="133"/>
      <c r="CB148" s="119"/>
      <c r="CC148" s="119"/>
      <c r="CD148" s="119"/>
      <c r="CE148" s="119"/>
      <c r="CF148" s="133"/>
    </row>
    <row r="149" spans="1:84" ht="12.75">
      <c r="A149" s="119" t="s">
        <v>575</v>
      </c>
      <c r="B149" s="119" t="s">
        <v>299</v>
      </c>
      <c r="C149" s="119" t="s">
        <v>200</v>
      </c>
      <c r="D149" s="119" t="s">
        <v>152</v>
      </c>
      <c r="E149" s="119" t="s">
        <v>576</v>
      </c>
      <c r="F149" s="131">
        <f t="shared" si="0"/>
        <v>0</v>
      </c>
      <c r="G149" s="119">
        <f t="shared" si="1"/>
        <v>2.5</v>
      </c>
      <c r="H149" s="119">
        <f t="shared" ref="H149:I149" si="148">SUM(L149,Q149,V149,AA149,AF149,AK149,AP149,AU149,AZ149,BE149,BJ149,BO149,BT149,BY149,CD149)</f>
        <v>200</v>
      </c>
      <c r="I149" s="132">
        <f t="shared" si="148"/>
        <v>0</v>
      </c>
      <c r="J149" s="119">
        <v>1</v>
      </c>
      <c r="K149" s="119">
        <v>0</v>
      </c>
      <c r="L149" s="119">
        <v>200</v>
      </c>
      <c r="M149" s="119">
        <v>0</v>
      </c>
      <c r="N149" s="133">
        <v>0</v>
      </c>
      <c r="O149" s="119">
        <v>0.5</v>
      </c>
      <c r="P149" s="119" t="s">
        <v>577</v>
      </c>
      <c r="Q149" s="119"/>
      <c r="R149" s="119">
        <v>0</v>
      </c>
      <c r="S149" s="133">
        <v>0</v>
      </c>
      <c r="T149" s="119">
        <v>0</v>
      </c>
      <c r="U149" s="119">
        <v>0</v>
      </c>
      <c r="V149" s="119">
        <v>0</v>
      </c>
      <c r="W149" s="119">
        <v>0</v>
      </c>
      <c r="X149" s="133">
        <v>0</v>
      </c>
      <c r="Y149" s="119">
        <v>1</v>
      </c>
      <c r="Z149" s="119" t="s">
        <v>577</v>
      </c>
      <c r="AA149" s="119"/>
      <c r="AB149" s="119">
        <v>0</v>
      </c>
      <c r="AC149" s="133"/>
      <c r="AD149" s="119">
        <v>0</v>
      </c>
      <c r="AE149" s="119">
        <v>0</v>
      </c>
      <c r="AF149" s="119">
        <v>0</v>
      </c>
      <c r="AG149" s="119">
        <v>0</v>
      </c>
      <c r="AH149" s="133">
        <v>0</v>
      </c>
      <c r="AI149" s="119">
        <v>0</v>
      </c>
      <c r="AJ149" s="119">
        <v>0</v>
      </c>
      <c r="AK149" s="119">
        <v>0</v>
      </c>
      <c r="AL149" s="119">
        <v>0</v>
      </c>
      <c r="AM149" s="133">
        <v>0</v>
      </c>
      <c r="AN149" s="119"/>
      <c r="AO149" s="119"/>
      <c r="AP149" s="119"/>
      <c r="AQ149" s="119"/>
      <c r="AR149" s="133"/>
      <c r="AS149" s="119"/>
      <c r="AT149" s="119"/>
      <c r="AU149" s="119"/>
      <c r="AV149" s="119"/>
      <c r="AW149" s="133"/>
      <c r="AX149" s="119"/>
      <c r="AY149" s="119"/>
      <c r="AZ149" s="119"/>
      <c r="BA149" s="119"/>
      <c r="BB149" s="133"/>
      <c r="BC149" s="119"/>
      <c r="BD149" s="119"/>
      <c r="BE149" s="119"/>
      <c r="BF149" s="119"/>
      <c r="BG149" s="133"/>
      <c r="BH149" s="119"/>
      <c r="BI149" s="119"/>
      <c r="BJ149" s="119"/>
      <c r="BK149" s="119"/>
      <c r="BL149" s="133"/>
      <c r="BM149" s="119"/>
      <c r="BN149" s="119"/>
      <c r="BO149" s="119"/>
      <c r="BP149" s="119"/>
      <c r="BQ149" s="133"/>
      <c r="BR149" s="119"/>
      <c r="BS149" s="119"/>
      <c r="BT149" s="119"/>
      <c r="BU149" s="119"/>
      <c r="BV149" s="133"/>
      <c r="BW149" s="119"/>
      <c r="BX149" s="119"/>
      <c r="BY149" s="119"/>
      <c r="BZ149" s="119"/>
      <c r="CA149" s="133"/>
      <c r="CB149" s="119"/>
      <c r="CC149" s="119"/>
      <c r="CD149" s="119"/>
      <c r="CE149" s="119"/>
      <c r="CF149" s="133"/>
    </row>
    <row r="150" spans="1:84" ht="12.75">
      <c r="A150" s="119" t="s">
        <v>578</v>
      </c>
      <c r="B150" s="119" t="s">
        <v>270</v>
      </c>
      <c r="C150" s="119" t="s">
        <v>200</v>
      </c>
      <c r="D150" s="119" t="s">
        <v>158</v>
      </c>
      <c r="E150" s="119" t="s">
        <v>576</v>
      </c>
      <c r="F150" s="131">
        <f t="shared" si="0"/>
        <v>0</v>
      </c>
      <c r="G150" s="119">
        <f t="shared" si="1"/>
        <v>1.5</v>
      </c>
      <c r="H150" s="119">
        <f t="shared" ref="H150:I150" si="149">SUM(L150,Q150,V150,AA150,AF150,AK150,AP150,AU150,AZ150,BE150,BJ150,BO150,BT150,BY150,CD150)</f>
        <v>0</v>
      </c>
      <c r="I150" s="132">
        <f t="shared" si="149"/>
        <v>0</v>
      </c>
      <c r="J150" s="119">
        <v>0</v>
      </c>
      <c r="K150" s="119">
        <v>0</v>
      </c>
      <c r="L150" s="119">
        <v>0</v>
      </c>
      <c r="M150" s="119">
        <v>0</v>
      </c>
      <c r="N150" s="133">
        <v>0</v>
      </c>
      <c r="O150" s="119">
        <v>0.5</v>
      </c>
      <c r="P150" s="119" t="s">
        <v>577</v>
      </c>
      <c r="Q150" s="119"/>
      <c r="R150" s="119">
        <v>0</v>
      </c>
      <c r="S150" s="133">
        <v>0</v>
      </c>
      <c r="T150" s="119">
        <v>0</v>
      </c>
      <c r="U150" s="119">
        <v>0</v>
      </c>
      <c r="V150" s="119">
        <v>0</v>
      </c>
      <c r="W150" s="119">
        <v>0</v>
      </c>
      <c r="X150" s="133">
        <v>0</v>
      </c>
      <c r="Y150" s="119">
        <v>1</v>
      </c>
      <c r="Z150" s="119" t="s">
        <v>577</v>
      </c>
      <c r="AA150" s="119"/>
      <c r="AB150" s="119">
        <v>0</v>
      </c>
      <c r="AC150" s="133"/>
      <c r="AD150" s="119">
        <v>0</v>
      </c>
      <c r="AE150" s="119">
        <v>0</v>
      </c>
      <c r="AF150" s="119">
        <v>0</v>
      </c>
      <c r="AG150" s="119">
        <v>0</v>
      </c>
      <c r="AH150" s="133">
        <v>0</v>
      </c>
      <c r="AI150" s="119">
        <v>0</v>
      </c>
      <c r="AJ150" s="119">
        <v>0</v>
      </c>
      <c r="AK150" s="119">
        <v>0</v>
      </c>
      <c r="AL150" s="119">
        <v>0</v>
      </c>
      <c r="AM150" s="133">
        <v>0</v>
      </c>
      <c r="AN150" s="119"/>
      <c r="AO150" s="119"/>
      <c r="AP150" s="119"/>
      <c r="AQ150" s="119"/>
      <c r="AR150" s="133"/>
      <c r="AS150" s="119"/>
      <c r="AT150" s="119"/>
      <c r="AU150" s="119"/>
      <c r="AV150" s="119"/>
      <c r="AW150" s="133"/>
      <c r="AX150" s="119"/>
      <c r="AY150" s="119"/>
      <c r="AZ150" s="119"/>
      <c r="BA150" s="119"/>
      <c r="BB150" s="133"/>
      <c r="BC150" s="119"/>
      <c r="BD150" s="119"/>
      <c r="BE150" s="119"/>
      <c r="BF150" s="119"/>
      <c r="BG150" s="133"/>
      <c r="BH150" s="119"/>
      <c r="BI150" s="119"/>
      <c r="BJ150" s="119"/>
      <c r="BK150" s="119"/>
      <c r="BL150" s="133"/>
      <c r="BM150" s="119"/>
      <c r="BN150" s="119"/>
      <c r="BO150" s="119"/>
      <c r="BP150" s="119"/>
      <c r="BQ150" s="133"/>
      <c r="BR150" s="119"/>
      <c r="BS150" s="119"/>
      <c r="BT150" s="119"/>
      <c r="BU150" s="119"/>
      <c r="BV150" s="133"/>
      <c r="BW150" s="119"/>
      <c r="BX150" s="119"/>
      <c r="BY150" s="119"/>
      <c r="BZ150" s="119"/>
      <c r="CA150" s="133"/>
      <c r="CB150" s="119"/>
      <c r="CC150" s="119"/>
      <c r="CD150" s="119"/>
      <c r="CE150" s="119"/>
      <c r="CF150" s="133"/>
    </row>
    <row r="151" spans="1:84" ht="12.75">
      <c r="A151" s="119" t="s">
        <v>579</v>
      </c>
      <c r="B151" s="119" t="s">
        <v>454</v>
      </c>
      <c r="C151" s="119" t="s">
        <v>580</v>
      </c>
      <c r="D151" s="119" t="s">
        <v>158</v>
      </c>
      <c r="E151" s="119" t="s">
        <v>576</v>
      </c>
      <c r="F151" s="131">
        <f t="shared" si="0"/>
        <v>0</v>
      </c>
      <c r="G151" s="119">
        <f t="shared" si="1"/>
        <v>0</v>
      </c>
      <c r="H151" s="119">
        <f t="shared" ref="H151:I151" si="150">SUM(L151,Q151,V151,AA151,AF151,AK151,AP151,AU151,AZ151,BE151,BJ151,BO151,BT151,BY151,CD151)</f>
        <v>0</v>
      </c>
      <c r="I151" s="132">
        <f t="shared" si="150"/>
        <v>0</v>
      </c>
      <c r="J151" s="119">
        <v>0</v>
      </c>
      <c r="K151" s="119">
        <v>0</v>
      </c>
      <c r="L151" s="119">
        <v>0</v>
      </c>
      <c r="M151" s="119">
        <v>0</v>
      </c>
      <c r="N151" s="133">
        <v>0</v>
      </c>
      <c r="O151" s="119">
        <v>0</v>
      </c>
      <c r="P151" s="119">
        <v>0</v>
      </c>
      <c r="Q151" s="119">
        <v>0</v>
      </c>
      <c r="R151" s="119">
        <v>0</v>
      </c>
      <c r="S151" s="133">
        <v>0</v>
      </c>
      <c r="T151" s="119">
        <v>0</v>
      </c>
      <c r="U151" s="119">
        <v>0</v>
      </c>
      <c r="V151" s="119">
        <v>0</v>
      </c>
      <c r="W151" s="119">
        <v>0</v>
      </c>
      <c r="X151" s="133">
        <v>0</v>
      </c>
      <c r="Y151" s="119">
        <v>0</v>
      </c>
      <c r="Z151" s="119">
        <v>0</v>
      </c>
      <c r="AA151" s="119">
        <v>0</v>
      </c>
      <c r="AB151" s="119">
        <v>0</v>
      </c>
      <c r="AC151" s="133">
        <v>0</v>
      </c>
      <c r="AD151" s="119">
        <v>0</v>
      </c>
      <c r="AE151" s="119">
        <v>0</v>
      </c>
      <c r="AF151" s="119">
        <v>0</v>
      </c>
      <c r="AG151" s="119">
        <v>0</v>
      </c>
      <c r="AH151" s="133">
        <v>0</v>
      </c>
      <c r="AI151" s="119">
        <v>0</v>
      </c>
      <c r="AJ151" s="119">
        <v>0</v>
      </c>
      <c r="AK151" s="119">
        <v>0</v>
      </c>
      <c r="AL151" s="119">
        <v>0</v>
      </c>
      <c r="AM151" s="133">
        <v>0</v>
      </c>
      <c r="AN151" s="119"/>
      <c r="AO151" s="119"/>
      <c r="AP151" s="119"/>
      <c r="AQ151" s="119"/>
      <c r="AR151" s="133"/>
      <c r="AS151" s="119"/>
      <c r="AT151" s="119"/>
      <c r="AU151" s="119"/>
      <c r="AV151" s="119"/>
      <c r="AW151" s="133"/>
      <c r="AX151" s="119"/>
      <c r="AY151" s="119"/>
      <c r="AZ151" s="119"/>
      <c r="BA151" s="119"/>
      <c r="BB151" s="133"/>
      <c r="BC151" s="119"/>
      <c r="BD151" s="119"/>
      <c r="BE151" s="119"/>
      <c r="BF151" s="119"/>
      <c r="BG151" s="133"/>
      <c r="BH151" s="119"/>
      <c r="BI151" s="119"/>
      <c r="BJ151" s="119"/>
      <c r="BK151" s="119"/>
      <c r="BL151" s="133"/>
      <c r="BM151" s="119"/>
      <c r="BN151" s="119"/>
      <c r="BO151" s="119"/>
      <c r="BP151" s="119"/>
      <c r="BQ151" s="133"/>
      <c r="BR151" s="119"/>
      <c r="BS151" s="119"/>
      <c r="BT151" s="119"/>
      <c r="BU151" s="119"/>
      <c r="BV151" s="133"/>
      <c r="BW151" s="119"/>
      <c r="BX151" s="119"/>
      <c r="BY151" s="119"/>
      <c r="BZ151" s="119"/>
      <c r="CA151" s="133"/>
      <c r="CB151" s="119"/>
      <c r="CC151" s="119"/>
      <c r="CD151" s="119"/>
      <c r="CE151" s="119"/>
      <c r="CF151" s="133"/>
    </row>
    <row r="152" spans="1:84" ht="12.75">
      <c r="A152" s="119" t="s">
        <v>581</v>
      </c>
      <c r="B152" s="119" t="s">
        <v>582</v>
      </c>
      <c r="C152" s="119" t="s">
        <v>583</v>
      </c>
      <c r="D152" s="119" t="s">
        <v>158</v>
      </c>
      <c r="E152" s="119" t="s">
        <v>576</v>
      </c>
      <c r="F152" s="131">
        <f t="shared" si="0"/>
        <v>0</v>
      </c>
      <c r="G152" s="119">
        <f t="shared" si="1"/>
        <v>0</v>
      </c>
      <c r="H152" s="119">
        <f t="shared" ref="H152:I152" si="151">SUM(L152,Q152,V152,AA152,AF152,AK152,AP152,AU152,AZ152,BE152,BJ152,BO152,BT152,BY152,CD152)</f>
        <v>0</v>
      </c>
      <c r="I152" s="132">
        <f t="shared" si="151"/>
        <v>0</v>
      </c>
      <c r="J152" s="119">
        <v>0</v>
      </c>
      <c r="K152" s="119">
        <v>0</v>
      </c>
      <c r="L152" s="119">
        <v>0</v>
      </c>
      <c r="M152" s="119">
        <v>0</v>
      </c>
      <c r="N152" s="133">
        <v>0</v>
      </c>
      <c r="O152" s="119">
        <v>0</v>
      </c>
      <c r="P152" s="119">
        <v>0</v>
      </c>
      <c r="Q152" s="119">
        <v>0</v>
      </c>
      <c r="R152" s="119">
        <v>0</v>
      </c>
      <c r="S152" s="133">
        <v>0</v>
      </c>
      <c r="T152" s="119">
        <v>0</v>
      </c>
      <c r="U152" s="119">
        <v>0</v>
      </c>
      <c r="V152" s="119">
        <v>0</v>
      </c>
      <c r="W152" s="119">
        <v>0</v>
      </c>
      <c r="X152" s="133">
        <v>0</v>
      </c>
      <c r="Y152" s="119">
        <v>0</v>
      </c>
      <c r="Z152" s="119">
        <v>0</v>
      </c>
      <c r="AA152" s="119">
        <v>0</v>
      </c>
      <c r="AB152" s="119">
        <v>0</v>
      </c>
      <c r="AC152" s="133">
        <v>0</v>
      </c>
      <c r="AD152" s="119">
        <v>0</v>
      </c>
      <c r="AE152" s="119">
        <v>0</v>
      </c>
      <c r="AF152" s="119">
        <v>0</v>
      </c>
      <c r="AG152" s="119">
        <v>0</v>
      </c>
      <c r="AH152" s="133">
        <v>0</v>
      </c>
      <c r="AI152" s="119">
        <v>0</v>
      </c>
      <c r="AJ152" s="119">
        <v>0</v>
      </c>
      <c r="AK152" s="119">
        <v>0</v>
      </c>
      <c r="AL152" s="119">
        <v>0</v>
      </c>
      <c r="AM152" s="133">
        <v>0</v>
      </c>
      <c r="AN152" s="119"/>
      <c r="AO152" s="119"/>
      <c r="AP152" s="119"/>
      <c r="AQ152" s="119"/>
      <c r="AR152" s="133"/>
      <c r="AS152" s="119"/>
      <c r="AT152" s="119"/>
      <c r="AU152" s="119"/>
      <c r="AV152" s="119"/>
      <c r="AW152" s="133"/>
      <c r="AX152" s="119"/>
      <c r="AY152" s="119"/>
      <c r="AZ152" s="119"/>
      <c r="BA152" s="119"/>
      <c r="BB152" s="133"/>
      <c r="BC152" s="119"/>
      <c r="BD152" s="119"/>
      <c r="BE152" s="119"/>
      <c r="BF152" s="119"/>
      <c r="BG152" s="133"/>
      <c r="BH152" s="119"/>
      <c r="BI152" s="119"/>
      <c r="BJ152" s="119"/>
      <c r="BK152" s="119"/>
      <c r="BL152" s="133"/>
      <c r="BM152" s="119"/>
      <c r="BN152" s="119"/>
      <c r="BO152" s="119"/>
      <c r="BP152" s="119"/>
      <c r="BQ152" s="133"/>
      <c r="BR152" s="119"/>
      <c r="BS152" s="119"/>
      <c r="BT152" s="119"/>
      <c r="BU152" s="119"/>
      <c r="BV152" s="133"/>
      <c r="BW152" s="119"/>
      <c r="BX152" s="119"/>
      <c r="BY152" s="119"/>
      <c r="BZ152" s="119"/>
      <c r="CA152" s="133"/>
      <c r="CB152" s="119"/>
      <c r="CC152" s="119"/>
      <c r="CD152" s="119"/>
      <c r="CE152" s="119"/>
      <c r="CF152" s="133"/>
    </row>
    <row r="153" spans="1:84" ht="12.75">
      <c r="A153" s="119" t="s">
        <v>584</v>
      </c>
      <c r="B153" s="119" t="s">
        <v>585</v>
      </c>
      <c r="C153" s="119" t="s">
        <v>572</v>
      </c>
      <c r="D153" s="119" t="s">
        <v>158</v>
      </c>
      <c r="E153" s="119" t="s">
        <v>576</v>
      </c>
      <c r="F153" s="131">
        <f t="shared" si="0"/>
        <v>0</v>
      </c>
      <c r="G153" s="119">
        <f t="shared" si="1"/>
        <v>0</v>
      </c>
      <c r="H153" s="119">
        <f t="shared" ref="H153:I153" si="152">SUM(L153,Q153,V153,AA153,AF153,AK153,AP153,AU153,AZ153,BE153,BJ153,BO153,BT153,BY153,CD153)</f>
        <v>0</v>
      </c>
      <c r="I153" s="132">
        <f t="shared" si="152"/>
        <v>0</v>
      </c>
      <c r="J153" s="119">
        <v>0</v>
      </c>
      <c r="K153" s="119">
        <v>0</v>
      </c>
      <c r="L153" s="119">
        <v>0</v>
      </c>
      <c r="M153" s="119">
        <v>0</v>
      </c>
      <c r="N153" s="133">
        <v>0</v>
      </c>
      <c r="O153" s="119">
        <v>0</v>
      </c>
      <c r="P153" s="119">
        <v>0</v>
      </c>
      <c r="Q153" s="119">
        <v>0</v>
      </c>
      <c r="R153" s="119">
        <v>0</v>
      </c>
      <c r="S153" s="133">
        <v>0</v>
      </c>
      <c r="T153" s="119">
        <v>0</v>
      </c>
      <c r="U153" s="119">
        <v>0</v>
      </c>
      <c r="V153" s="119">
        <v>0</v>
      </c>
      <c r="W153" s="119">
        <v>0</v>
      </c>
      <c r="X153" s="133">
        <v>0</v>
      </c>
      <c r="Y153" s="119">
        <v>0</v>
      </c>
      <c r="Z153" s="119">
        <v>0</v>
      </c>
      <c r="AA153" s="119">
        <v>0</v>
      </c>
      <c r="AB153" s="119">
        <v>0</v>
      </c>
      <c r="AC153" s="133">
        <v>0</v>
      </c>
      <c r="AD153" s="119">
        <v>0</v>
      </c>
      <c r="AE153" s="119">
        <v>0</v>
      </c>
      <c r="AF153" s="119">
        <v>0</v>
      </c>
      <c r="AG153" s="119">
        <v>0</v>
      </c>
      <c r="AH153" s="133">
        <v>0</v>
      </c>
      <c r="AI153" s="119">
        <v>0</v>
      </c>
      <c r="AJ153" s="119">
        <v>0</v>
      </c>
      <c r="AK153" s="119">
        <v>0</v>
      </c>
      <c r="AL153" s="119">
        <v>0</v>
      </c>
      <c r="AM153" s="133">
        <v>0</v>
      </c>
      <c r="AN153" s="119"/>
      <c r="AO153" s="119"/>
      <c r="AP153" s="119"/>
      <c r="AQ153" s="119"/>
      <c r="AR153" s="133"/>
      <c r="AS153" s="119"/>
      <c r="AT153" s="119"/>
      <c r="AU153" s="119"/>
      <c r="AV153" s="119"/>
      <c r="AW153" s="133"/>
      <c r="AX153" s="119"/>
      <c r="AY153" s="119"/>
      <c r="AZ153" s="119"/>
      <c r="BA153" s="119"/>
      <c r="BB153" s="133"/>
      <c r="BC153" s="119"/>
      <c r="BD153" s="119"/>
      <c r="BE153" s="119"/>
      <c r="BF153" s="119"/>
      <c r="BG153" s="133"/>
      <c r="BH153" s="119"/>
      <c r="BI153" s="119"/>
      <c r="BJ153" s="119"/>
      <c r="BK153" s="119"/>
      <c r="BL153" s="133"/>
      <c r="BM153" s="119"/>
      <c r="BN153" s="119"/>
      <c r="BO153" s="119"/>
      <c r="BP153" s="119"/>
      <c r="BQ153" s="133"/>
      <c r="BR153" s="119"/>
      <c r="BS153" s="119"/>
      <c r="BT153" s="119"/>
      <c r="BU153" s="119"/>
      <c r="BV153" s="133"/>
      <c r="BW153" s="119"/>
      <c r="BX153" s="119"/>
      <c r="BY153" s="119"/>
      <c r="BZ153" s="119"/>
      <c r="CA153" s="133"/>
      <c r="CB153" s="119"/>
      <c r="CC153" s="119"/>
      <c r="CD153" s="119"/>
      <c r="CE153" s="119"/>
      <c r="CF153" s="133"/>
    </row>
    <row r="154" spans="1:84" ht="12.75">
      <c r="A154" s="119" t="s">
        <v>586</v>
      </c>
      <c r="B154" s="119" t="s">
        <v>587</v>
      </c>
      <c r="C154" s="119" t="s">
        <v>588</v>
      </c>
      <c r="D154" s="119" t="s">
        <v>158</v>
      </c>
      <c r="E154" s="119" t="s">
        <v>576</v>
      </c>
      <c r="F154" s="131">
        <f t="shared" si="0"/>
        <v>0</v>
      </c>
      <c r="G154" s="119">
        <f t="shared" si="1"/>
        <v>0</v>
      </c>
      <c r="H154" s="119">
        <f t="shared" ref="H154:I154" si="153">SUM(L154,Q154,V154,AA154,AF154,AK154,AP154,AU154,AZ154,BE154,BJ154,BO154,BT154,BY154,CD154)</f>
        <v>0</v>
      </c>
      <c r="I154" s="132">
        <f t="shared" si="153"/>
        <v>0</v>
      </c>
      <c r="J154" s="119">
        <v>0</v>
      </c>
      <c r="K154" s="119">
        <v>0</v>
      </c>
      <c r="L154" s="119">
        <v>0</v>
      </c>
      <c r="M154" s="119">
        <v>0</v>
      </c>
      <c r="N154" s="133">
        <v>0</v>
      </c>
      <c r="O154" s="119">
        <v>0</v>
      </c>
      <c r="P154" s="119">
        <v>0</v>
      </c>
      <c r="Q154" s="119">
        <v>0</v>
      </c>
      <c r="R154" s="119">
        <v>0</v>
      </c>
      <c r="S154" s="133">
        <v>0</v>
      </c>
      <c r="T154" s="119">
        <v>0</v>
      </c>
      <c r="U154" s="119">
        <v>0</v>
      </c>
      <c r="V154" s="119">
        <v>0</v>
      </c>
      <c r="W154" s="119">
        <v>0</v>
      </c>
      <c r="X154" s="133">
        <v>0</v>
      </c>
      <c r="Y154" s="119">
        <v>0</v>
      </c>
      <c r="Z154" s="119">
        <v>0</v>
      </c>
      <c r="AA154" s="119">
        <v>0</v>
      </c>
      <c r="AB154" s="119">
        <v>0</v>
      </c>
      <c r="AC154" s="133">
        <v>0</v>
      </c>
      <c r="AD154" s="119">
        <v>0</v>
      </c>
      <c r="AE154" s="119">
        <v>0</v>
      </c>
      <c r="AF154" s="119">
        <v>0</v>
      </c>
      <c r="AG154" s="119">
        <v>0</v>
      </c>
      <c r="AH154" s="133">
        <v>0</v>
      </c>
      <c r="AI154" s="119">
        <v>0</v>
      </c>
      <c r="AJ154" s="119">
        <v>0</v>
      </c>
      <c r="AK154" s="119">
        <v>0</v>
      </c>
      <c r="AL154" s="119">
        <v>0</v>
      </c>
      <c r="AM154" s="133">
        <v>0</v>
      </c>
      <c r="AN154" s="119"/>
      <c r="AO154" s="119"/>
      <c r="AP154" s="119"/>
      <c r="AQ154" s="119"/>
      <c r="AR154" s="133"/>
      <c r="AS154" s="119"/>
      <c r="AT154" s="119"/>
      <c r="AU154" s="119"/>
      <c r="AV154" s="119"/>
      <c r="AW154" s="133"/>
      <c r="AX154" s="119"/>
      <c r="AY154" s="119"/>
      <c r="AZ154" s="119"/>
      <c r="BA154" s="119"/>
      <c r="BB154" s="133"/>
      <c r="BC154" s="119"/>
      <c r="BD154" s="119"/>
      <c r="BE154" s="119"/>
      <c r="BF154" s="119"/>
      <c r="BG154" s="133"/>
      <c r="BH154" s="119"/>
      <c r="BI154" s="119"/>
      <c r="BJ154" s="119"/>
      <c r="BK154" s="119"/>
      <c r="BL154" s="133"/>
      <c r="BM154" s="119"/>
      <c r="BN154" s="119"/>
      <c r="BO154" s="119"/>
      <c r="BP154" s="119"/>
      <c r="BQ154" s="133"/>
      <c r="BR154" s="119"/>
      <c r="BS154" s="119"/>
      <c r="BT154" s="119"/>
      <c r="BU154" s="119"/>
      <c r="BV154" s="133"/>
      <c r="BW154" s="119"/>
      <c r="BX154" s="119"/>
      <c r="BY154" s="119"/>
      <c r="BZ154" s="119"/>
      <c r="CA154" s="133"/>
      <c r="CB154" s="119"/>
      <c r="CC154" s="119"/>
      <c r="CD154" s="119"/>
      <c r="CE154" s="119"/>
      <c r="CF154" s="133"/>
    </row>
    <row r="155" spans="1:84" ht="12.75">
      <c r="A155" s="119" t="s">
        <v>589</v>
      </c>
      <c r="B155" s="119" t="s">
        <v>590</v>
      </c>
      <c r="C155" s="119" t="s">
        <v>304</v>
      </c>
      <c r="D155" s="119" t="s">
        <v>152</v>
      </c>
      <c r="E155" s="119" t="s">
        <v>576</v>
      </c>
      <c r="F155" s="131">
        <f t="shared" si="0"/>
        <v>0</v>
      </c>
      <c r="G155" s="119">
        <f t="shared" si="1"/>
        <v>1</v>
      </c>
      <c r="H155" s="119">
        <f t="shared" ref="H155:I155" si="154">SUM(L155,Q155,V155,AA155,AF155,AK155,AP155,AU155,AZ155,BE155,BJ155,BO155,BT155,BY155,CD155)</f>
        <v>200</v>
      </c>
      <c r="I155" s="132">
        <f t="shared" si="154"/>
        <v>0</v>
      </c>
      <c r="J155" s="119">
        <v>0</v>
      </c>
      <c r="K155" s="119">
        <v>0</v>
      </c>
      <c r="L155" s="119">
        <v>0</v>
      </c>
      <c r="M155" s="119">
        <v>0</v>
      </c>
      <c r="N155" s="133">
        <v>0</v>
      </c>
      <c r="O155" s="119">
        <v>0</v>
      </c>
      <c r="P155" s="119">
        <v>0</v>
      </c>
      <c r="Q155" s="119">
        <v>0</v>
      </c>
      <c r="R155" s="119">
        <v>0</v>
      </c>
      <c r="S155" s="133">
        <v>0</v>
      </c>
      <c r="T155" s="119">
        <v>0</v>
      </c>
      <c r="U155" s="119">
        <v>0</v>
      </c>
      <c r="V155" s="119">
        <v>0</v>
      </c>
      <c r="W155" s="119">
        <v>0</v>
      </c>
      <c r="X155" s="133">
        <v>0</v>
      </c>
      <c r="Y155" s="119">
        <v>0</v>
      </c>
      <c r="Z155" s="119">
        <v>0</v>
      </c>
      <c r="AA155" s="119">
        <v>0</v>
      </c>
      <c r="AB155" s="119">
        <v>0</v>
      </c>
      <c r="AC155" s="133">
        <v>0</v>
      </c>
      <c r="AD155" s="119">
        <v>0</v>
      </c>
      <c r="AE155" s="119">
        <v>0</v>
      </c>
      <c r="AF155" s="119">
        <v>0</v>
      </c>
      <c r="AG155" s="119">
        <v>0</v>
      </c>
      <c r="AH155" s="133">
        <v>0</v>
      </c>
      <c r="AI155" s="119">
        <v>1</v>
      </c>
      <c r="AJ155" s="119" t="s">
        <v>218</v>
      </c>
      <c r="AK155" s="119">
        <v>200</v>
      </c>
      <c r="AL155" s="119">
        <v>0</v>
      </c>
      <c r="AM155" s="133">
        <v>0</v>
      </c>
      <c r="AN155" s="119"/>
      <c r="AO155" s="119"/>
      <c r="AP155" s="119"/>
      <c r="AQ155" s="119"/>
      <c r="AR155" s="133"/>
      <c r="AS155" s="119"/>
      <c r="AT155" s="119"/>
      <c r="AU155" s="119"/>
      <c r="AV155" s="119"/>
      <c r="AW155" s="133"/>
      <c r="AX155" s="119"/>
      <c r="AY155" s="119"/>
      <c r="AZ155" s="119"/>
      <c r="BA155" s="119"/>
      <c r="BB155" s="133"/>
      <c r="BC155" s="119"/>
      <c r="BD155" s="119"/>
      <c r="BE155" s="119"/>
      <c r="BF155" s="119"/>
      <c r="BG155" s="133"/>
      <c r="BH155" s="119"/>
      <c r="BI155" s="119"/>
      <c r="BJ155" s="119"/>
      <c r="BK155" s="119"/>
      <c r="BL155" s="133"/>
      <c r="BM155" s="119"/>
      <c r="BN155" s="119"/>
      <c r="BO155" s="119"/>
      <c r="BP155" s="119"/>
      <c r="BQ155" s="133"/>
      <c r="BR155" s="119"/>
      <c r="BS155" s="119"/>
      <c r="BT155" s="119"/>
      <c r="BU155" s="119"/>
      <c r="BV155" s="133"/>
      <c r="BW155" s="119"/>
      <c r="BX155" s="119"/>
      <c r="BY155" s="119"/>
      <c r="BZ155" s="119"/>
      <c r="CA155" s="133"/>
      <c r="CB155" s="119"/>
      <c r="CC155" s="119"/>
      <c r="CD155" s="119"/>
      <c r="CE155" s="119"/>
      <c r="CF155" s="133"/>
    </row>
    <row r="156" spans="1:84" ht="12.75">
      <c r="A156" s="119" t="s">
        <v>591</v>
      </c>
      <c r="B156" s="119" t="s">
        <v>592</v>
      </c>
      <c r="C156" s="119" t="s">
        <v>534</v>
      </c>
      <c r="D156" s="119" t="s">
        <v>152</v>
      </c>
      <c r="E156" s="119" t="s">
        <v>25</v>
      </c>
      <c r="F156" s="131">
        <f t="shared" si="0"/>
        <v>0</v>
      </c>
      <c r="G156" s="119">
        <f t="shared" si="1"/>
        <v>5.5</v>
      </c>
      <c r="H156" s="119">
        <f t="shared" ref="H156:I156" si="155">SUM(L156,Q156,V156,AA156,AF156,AK156,AP156,AU156,AZ156,BE156,BJ156,BO156,BT156,BY156,CD156)</f>
        <v>400</v>
      </c>
      <c r="I156" s="132">
        <f t="shared" si="155"/>
        <v>0</v>
      </c>
      <c r="J156" s="119">
        <v>1</v>
      </c>
      <c r="K156" s="119" t="s">
        <v>153</v>
      </c>
      <c r="L156" s="119">
        <v>200</v>
      </c>
      <c r="M156" s="119">
        <v>0</v>
      </c>
      <c r="N156" s="133">
        <v>0</v>
      </c>
      <c r="O156" s="119">
        <v>1</v>
      </c>
      <c r="P156" s="119" t="s">
        <v>153</v>
      </c>
      <c r="Q156" s="119">
        <v>200</v>
      </c>
      <c r="R156" s="119">
        <v>0</v>
      </c>
      <c r="S156" s="133">
        <v>0</v>
      </c>
      <c r="T156" s="119">
        <v>0</v>
      </c>
      <c r="U156" s="119">
        <v>0</v>
      </c>
      <c r="V156" s="119">
        <v>0</v>
      </c>
      <c r="W156" s="119">
        <v>0</v>
      </c>
      <c r="X156" s="133">
        <v>0</v>
      </c>
      <c r="Y156" s="119">
        <v>1</v>
      </c>
      <c r="Z156" s="119" t="s">
        <v>593</v>
      </c>
      <c r="AA156" s="119">
        <v>0</v>
      </c>
      <c r="AB156" s="119">
        <v>0</v>
      </c>
      <c r="AC156" s="133"/>
      <c r="AD156" s="119">
        <v>1.5</v>
      </c>
      <c r="AE156" s="119" t="s">
        <v>593</v>
      </c>
      <c r="AF156" s="119">
        <v>0</v>
      </c>
      <c r="AG156" s="119">
        <v>0</v>
      </c>
      <c r="AH156" s="133"/>
      <c r="AI156" s="119">
        <v>1</v>
      </c>
      <c r="AJ156" s="119" t="s">
        <v>593</v>
      </c>
      <c r="AK156" s="119">
        <v>0</v>
      </c>
      <c r="AL156" s="119">
        <v>0</v>
      </c>
      <c r="AM156" s="133"/>
      <c r="AN156" s="119">
        <v>0</v>
      </c>
      <c r="AO156" s="119">
        <v>0</v>
      </c>
      <c r="AP156" s="119">
        <v>0</v>
      </c>
      <c r="AQ156" s="119">
        <v>0</v>
      </c>
      <c r="AR156" s="133">
        <v>0</v>
      </c>
      <c r="AS156" s="119"/>
      <c r="AT156" s="119"/>
      <c r="AU156" s="119"/>
      <c r="AV156" s="119"/>
      <c r="AW156" s="133"/>
      <c r="AX156" s="119"/>
      <c r="AY156" s="119"/>
      <c r="AZ156" s="119"/>
      <c r="BA156" s="119"/>
      <c r="BB156" s="133"/>
      <c r="BC156" s="119"/>
      <c r="BD156" s="119"/>
      <c r="BE156" s="119"/>
      <c r="BF156" s="119"/>
      <c r="BG156" s="133"/>
      <c r="BH156" s="119"/>
      <c r="BI156" s="119"/>
      <c r="BJ156" s="119"/>
      <c r="BK156" s="119"/>
      <c r="BL156" s="133"/>
      <c r="BM156" s="119"/>
      <c r="BN156" s="119"/>
      <c r="BO156" s="119"/>
      <c r="BP156" s="119"/>
      <c r="BQ156" s="133"/>
      <c r="BR156" s="119"/>
      <c r="BS156" s="119"/>
      <c r="BT156" s="119"/>
      <c r="BU156" s="119"/>
      <c r="BV156" s="133"/>
      <c r="BW156" s="119"/>
      <c r="BX156" s="119"/>
      <c r="BY156" s="119"/>
      <c r="BZ156" s="119"/>
      <c r="CA156" s="133"/>
      <c r="CB156" s="119"/>
      <c r="CC156" s="119"/>
      <c r="CD156" s="119"/>
      <c r="CE156" s="119"/>
      <c r="CF156" s="133"/>
    </row>
    <row r="157" spans="1:84" ht="12.75">
      <c r="A157" s="119" t="s">
        <v>594</v>
      </c>
      <c r="B157" s="119" t="s">
        <v>595</v>
      </c>
      <c r="C157" s="119" t="s">
        <v>596</v>
      </c>
      <c r="D157" s="119" t="s">
        <v>158</v>
      </c>
      <c r="E157" s="119" t="s">
        <v>25</v>
      </c>
      <c r="F157" s="131">
        <f t="shared" si="0"/>
        <v>0</v>
      </c>
      <c r="G157" s="119">
        <f t="shared" si="1"/>
        <v>4.5</v>
      </c>
      <c r="H157" s="119">
        <f t="shared" ref="H157:I157" si="156">SUM(L157,Q157,V157,AA157,AF157,AK157,AP157,AU157,AZ157,BE157,BJ157,BO157,BT157,BY157,CD157)</f>
        <v>400</v>
      </c>
      <c r="I157" s="132">
        <f t="shared" si="156"/>
        <v>0</v>
      </c>
      <c r="J157" s="119">
        <v>0</v>
      </c>
      <c r="K157" s="119">
        <v>0</v>
      </c>
      <c r="L157" s="119">
        <v>0</v>
      </c>
      <c r="M157" s="119">
        <v>0</v>
      </c>
      <c r="N157" s="133">
        <v>0</v>
      </c>
      <c r="O157" s="119">
        <v>1</v>
      </c>
      <c r="P157" s="119" t="s">
        <v>153</v>
      </c>
      <c r="Q157" s="119">
        <v>400</v>
      </c>
      <c r="R157" s="119">
        <v>0</v>
      </c>
      <c r="S157" s="133">
        <v>0</v>
      </c>
      <c r="T157" s="119">
        <v>0</v>
      </c>
      <c r="U157" s="119">
        <v>0</v>
      </c>
      <c r="V157" s="119">
        <v>0</v>
      </c>
      <c r="W157" s="119">
        <v>0</v>
      </c>
      <c r="X157" s="133">
        <v>0</v>
      </c>
      <c r="Y157" s="119">
        <v>1</v>
      </c>
      <c r="Z157" s="119" t="s">
        <v>593</v>
      </c>
      <c r="AA157" s="119">
        <v>0</v>
      </c>
      <c r="AB157" s="119">
        <v>0</v>
      </c>
      <c r="AC157" s="133"/>
      <c r="AD157" s="119">
        <v>1.5</v>
      </c>
      <c r="AE157" s="119" t="s">
        <v>593</v>
      </c>
      <c r="AF157" s="119">
        <v>0</v>
      </c>
      <c r="AG157" s="119">
        <v>0</v>
      </c>
      <c r="AH157" s="133"/>
      <c r="AI157" s="119">
        <v>1</v>
      </c>
      <c r="AJ157" s="119" t="s">
        <v>593</v>
      </c>
      <c r="AK157" s="119">
        <v>0</v>
      </c>
      <c r="AL157" s="119">
        <v>0</v>
      </c>
      <c r="AM157" s="133"/>
      <c r="AN157" s="119">
        <v>0</v>
      </c>
      <c r="AO157" s="119">
        <v>0</v>
      </c>
      <c r="AP157" s="119">
        <v>0</v>
      </c>
      <c r="AQ157" s="119">
        <v>0</v>
      </c>
      <c r="AR157" s="133">
        <v>0</v>
      </c>
      <c r="AS157" s="119"/>
      <c r="AT157" s="119"/>
      <c r="AU157" s="119"/>
      <c r="AV157" s="119"/>
      <c r="AW157" s="133"/>
      <c r="AX157" s="119"/>
      <c r="AY157" s="119"/>
      <c r="AZ157" s="119"/>
      <c r="BA157" s="119"/>
      <c r="BB157" s="133"/>
      <c r="BC157" s="119"/>
      <c r="BD157" s="119"/>
      <c r="BE157" s="119"/>
      <c r="BF157" s="119"/>
      <c r="BG157" s="133"/>
      <c r="BH157" s="119"/>
      <c r="BI157" s="119"/>
      <c r="BJ157" s="119"/>
      <c r="BK157" s="119"/>
      <c r="BL157" s="133"/>
      <c r="BM157" s="119"/>
      <c r="BN157" s="119"/>
      <c r="BO157" s="119"/>
      <c r="BP157" s="119"/>
      <c r="BQ157" s="133"/>
      <c r="BR157" s="119"/>
      <c r="BS157" s="119"/>
      <c r="BT157" s="119"/>
      <c r="BU157" s="119"/>
      <c r="BV157" s="133"/>
      <c r="BW157" s="119"/>
      <c r="BX157" s="119"/>
      <c r="BY157" s="119"/>
      <c r="BZ157" s="119"/>
      <c r="CA157" s="133"/>
      <c r="CB157" s="119"/>
      <c r="CC157" s="119"/>
      <c r="CD157" s="119"/>
      <c r="CE157" s="119"/>
      <c r="CF157" s="133"/>
    </row>
    <row r="158" spans="1:84" ht="12.75">
      <c r="A158" s="119" t="s">
        <v>597</v>
      </c>
      <c r="B158" s="119" t="s">
        <v>598</v>
      </c>
      <c r="C158" s="119" t="s">
        <v>447</v>
      </c>
      <c r="D158" s="119" t="s">
        <v>158</v>
      </c>
      <c r="E158" s="119" t="s">
        <v>25</v>
      </c>
      <c r="F158" s="131">
        <f t="shared" si="0"/>
        <v>0</v>
      </c>
      <c r="G158" s="119">
        <f t="shared" si="1"/>
        <v>0</v>
      </c>
      <c r="H158" s="119">
        <f t="shared" ref="H158:I158" si="157">SUM(L158,Q158,V158,AA158,AF158,AK158,AP158,AU158,AZ158,BE158,BJ158,BO158,BT158,BY158,CD158)</f>
        <v>0</v>
      </c>
      <c r="I158" s="132">
        <f t="shared" si="157"/>
        <v>0</v>
      </c>
      <c r="J158" s="119">
        <v>0</v>
      </c>
      <c r="K158" s="119">
        <v>0</v>
      </c>
      <c r="L158" s="119">
        <v>0</v>
      </c>
      <c r="M158" s="119">
        <v>0</v>
      </c>
      <c r="N158" s="133">
        <v>0</v>
      </c>
      <c r="O158" s="119">
        <v>0</v>
      </c>
      <c r="P158" s="119">
        <v>0</v>
      </c>
      <c r="Q158" s="119">
        <v>0</v>
      </c>
      <c r="R158" s="119">
        <v>0</v>
      </c>
      <c r="S158" s="133">
        <v>0</v>
      </c>
      <c r="T158" s="119">
        <v>0</v>
      </c>
      <c r="U158" s="119">
        <v>0</v>
      </c>
      <c r="V158" s="119">
        <v>0</v>
      </c>
      <c r="W158" s="119">
        <v>0</v>
      </c>
      <c r="X158" s="133">
        <v>0</v>
      </c>
      <c r="Y158" s="119">
        <v>0</v>
      </c>
      <c r="Z158" s="119">
        <v>0</v>
      </c>
      <c r="AA158" s="119">
        <v>0</v>
      </c>
      <c r="AB158" s="119">
        <v>0</v>
      </c>
      <c r="AC158" s="133">
        <v>0</v>
      </c>
      <c r="AD158" s="119">
        <v>0</v>
      </c>
      <c r="AE158" s="119">
        <v>0</v>
      </c>
      <c r="AF158" s="119">
        <v>0</v>
      </c>
      <c r="AG158" s="119">
        <v>0</v>
      </c>
      <c r="AH158" s="133">
        <v>0</v>
      </c>
      <c r="AI158" s="119">
        <v>0</v>
      </c>
      <c r="AJ158" s="119">
        <v>0</v>
      </c>
      <c r="AK158" s="119">
        <v>0</v>
      </c>
      <c r="AL158" s="119">
        <v>0</v>
      </c>
      <c r="AM158" s="133">
        <v>0</v>
      </c>
      <c r="AN158" s="119">
        <v>0</v>
      </c>
      <c r="AO158" s="119">
        <v>0</v>
      </c>
      <c r="AP158" s="119">
        <v>0</v>
      </c>
      <c r="AQ158" s="119">
        <v>0</v>
      </c>
      <c r="AR158" s="133">
        <v>0</v>
      </c>
      <c r="AS158" s="119"/>
      <c r="AT158" s="119"/>
      <c r="AU158" s="119"/>
      <c r="AV158" s="119"/>
      <c r="AW158" s="133"/>
      <c r="AX158" s="119"/>
      <c r="AY158" s="119"/>
      <c r="AZ158" s="119"/>
      <c r="BA158" s="119"/>
      <c r="BB158" s="133"/>
      <c r="BC158" s="119"/>
      <c r="BD158" s="119"/>
      <c r="BE158" s="119"/>
      <c r="BF158" s="119"/>
      <c r="BG158" s="133"/>
      <c r="BH158" s="119"/>
      <c r="BI158" s="119"/>
      <c r="BJ158" s="119"/>
      <c r="BK158" s="119"/>
      <c r="BL158" s="133"/>
      <c r="BM158" s="119"/>
      <c r="BN158" s="119"/>
      <c r="BO158" s="119"/>
      <c r="BP158" s="119"/>
      <c r="BQ158" s="133"/>
      <c r="BR158" s="119"/>
      <c r="BS158" s="119"/>
      <c r="BT158" s="119"/>
      <c r="BU158" s="119"/>
      <c r="BV158" s="133"/>
      <c r="BW158" s="119"/>
      <c r="BX158" s="119"/>
      <c r="BY158" s="119"/>
      <c r="BZ158" s="119"/>
      <c r="CA158" s="133"/>
      <c r="CB158" s="119"/>
      <c r="CC158" s="119"/>
      <c r="CD158" s="119"/>
      <c r="CE158" s="119"/>
      <c r="CF158" s="133"/>
    </row>
    <row r="159" spans="1:84" ht="12.75">
      <c r="A159" s="119" t="s">
        <v>599</v>
      </c>
      <c r="B159" s="119" t="s">
        <v>207</v>
      </c>
      <c r="C159" s="119" t="s">
        <v>600</v>
      </c>
      <c r="D159" s="119" t="s">
        <v>158</v>
      </c>
      <c r="E159" s="119" t="s">
        <v>25</v>
      </c>
      <c r="F159" s="131">
        <f t="shared" si="0"/>
        <v>0</v>
      </c>
      <c r="G159" s="119">
        <f t="shared" si="1"/>
        <v>0</v>
      </c>
      <c r="H159" s="119">
        <f t="shared" ref="H159:I159" si="158">SUM(L159,Q159,V159,AA159,AF159,AK159,AP159,AU159,AZ159,BE159,BJ159,BO159,BT159,BY159,CD159)</f>
        <v>0</v>
      </c>
      <c r="I159" s="132">
        <f t="shared" si="158"/>
        <v>0</v>
      </c>
      <c r="J159" s="119">
        <v>0</v>
      </c>
      <c r="K159" s="119">
        <v>0</v>
      </c>
      <c r="L159" s="119">
        <v>0</v>
      </c>
      <c r="M159" s="119">
        <v>0</v>
      </c>
      <c r="N159" s="133">
        <v>0</v>
      </c>
      <c r="O159" s="119">
        <v>0</v>
      </c>
      <c r="P159" s="119">
        <v>0</v>
      </c>
      <c r="Q159" s="119">
        <v>0</v>
      </c>
      <c r="R159" s="119">
        <v>0</v>
      </c>
      <c r="S159" s="133">
        <v>0</v>
      </c>
      <c r="T159" s="119">
        <v>0</v>
      </c>
      <c r="U159" s="119">
        <v>0</v>
      </c>
      <c r="V159" s="119">
        <v>0</v>
      </c>
      <c r="W159" s="119">
        <v>0</v>
      </c>
      <c r="X159" s="133">
        <v>0</v>
      </c>
      <c r="Y159" s="119">
        <v>0</v>
      </c>
      <c r="Z159" s="119">
        <v>0</v>
      </c>
      <c r="AA159" s="119">
        <v>0</v>
      </c>
      <c r="AB159" s="119">
        <v>0</v>
      </c>
      <c r="AC159" s="133">
        <v>0</v>
      </c>
      <c r="AD159" s="119">
        <v>0</v>
      </c>
      <c r="AE159" s="119">
        <v>0</v>
      </c>
      <c r="AF159" s="119">
        <v>0</v>
      </c>
      <c r="AG159" s="119">
        <v>0</v>
      </c>
      <c r="AH159" s="133">
        <v>0</v>
      </c>
      <c r="AI159" s="119">
        <v>0</v>
      </c>
      <c r="AJ159" s="119">
        <v>0</v>
      </c>
      <c r="AK159" s="119">
        <v>0</v>
      </c>
      <c r="AL159" s="119">
        <v>0</v>
      </c>
      <c r="AM159" s="133">
        <v>0</v>
      </c>
      <c r="AN159" s="119">
        <v>0</v>
      </c>
      <c r="AO159" s="119">
        <v>0</v>
      </c>
      <c r="AP159" s="119">
        <v>0</v>
      </c>
      <c r="AQ159" s="119">
        <v>0</v>
      </c>
      <c r="AR159" s="133">
        <v>0</v>
      </c>
      <c r="AS159" s="119"/>
      <c r="AT159" s="119"/>
      <c r="AU159" s="119"/>
      <c r="AV159" s="119"/>
      <c r="AW159" s="133"/>
      <c r="AX159" s="119"/>
      <c r="AY159" s="119"/>
      <c r="AZ159" s="119"/>
      <c r="BA159" s="119"/>
      <c r="BB159" s="133"/>
      <c r="BC159" s="119"/>
      <c r="BD159" s="119"/>
      <c r="BE159" s="119"/>
      <c r="BF159" s="119"/>
      <c r="BG159" s="133"/>
      <c r="BH159" s="119"/>
      <c r="BI159" s="119"/>
      <c r="BJ159" s="119"/>
      <c r="BK159" s="119"/>
      <c r="BL159" s="133"/>
      <c r="BM159" s="119"/>
      <c r="BN159" s="119"/>
      <c r="BO159" s="119"/>
      <c r="BP159" s="119"/>
      <c r="BQ159" s="133"/>
      <c r="BR159" s="119"/>
      <c r="BS159" s="119"/>
      <c r="BT159" s="119"/>
      <c r="BU159" s="119"/>
      <c r="BV159" s="133"/>
      <c r="BW159" s="119"/>
      <c r="BX159" s="119"/>
      <c r="BY159" s="119"/>
      <c r="BZ159" s="119"/>
      <c r="CA159" s="133"/>
      <c r="CB159" s="119"/>
      <c r="CC159" s="119"/>
      <c r="CD159" s="119"/>
      <c r="CE159" s="119"/>
      <c r="CF159" s="133"/>
    </row>
    <row r="160" spans="1:84" ht="12.75">
      <c r="A160" s="119" t="s">
        <v>601</v>
      </c>
      <c r="B160" s="119" t="s">
        <v>602</v>
      </c>
      <c r="C160" s="119" t="s">
        <v>580</v>
      </c>
      <c r="D160" s="119" t="s">
        <v>158</v>
      </c>
      <c r="E160" s="119" t="s">
        <v>25</v>
      </c>
      <c r="F160" s="131">
        <f t="shared" si="0"/>
        <v>0</v>
      </c>
      <c r="G160" s="119">
        <f t="shared" si="1"/>
        <v>0</v>
      </c>
      <c r="H160" s="119">
        <f t="shared" ref="H160:I160" si="159">SUM(L160,Q160,V160,AA160,AF160,AK160,AP160,AU160,AZ160,BE160,BJ160,BO160,BT160,BY160,CD160)</f>
        <v>0</v>
      </c>
      <c r="I160" s="132">
        <f t="shared" si="159"/>
        <v>0</v>
      </c>
      <c r="J160" s="119">
        <v>0</v>
      </c>
      <c r="K160" s="119">
        <v>0</v>
      </c>
      <c r="L160" s="119">
        <v>0</v>
      </c>
      <c r="M160" s="119">
        <v>0</v>
      </c>
      <c r="N160" s="133">
        <v>0</v>
      </c>
      <c r="O160" s="119">
        <v>0</v>
      </c>
      <c r="P160" s="119">
        <v>0</v>
      </c>
      <c r="Q160" s="119">
        <v>0</v>
      </c>
      <c r="R160" s="119">
        <v>0</v>
      </c>
      <c r="S160" s="133">
        <v>0</v>
      </c>
      <c r="T160" s="119">
        <v>0</v>
      </c>
      <c r="U160" s="119">
        <v>0</v>
      </c>
      <c r="V160" s="119">
        <v>0</v>
      </c>
      <c r="W160" s="119">
        <v>0</v>
      </c>
      <c r="X160" s="133">
        <v>0</v>
      </c>
      <c r="Y160" s="119">
        <v>0</v>
      </c>
      <c r="Z160" s="119">
        <v>0</v>
      </c>
      <c r="AA160" s="119">
        <v>0</v>
      </c>
      <c r="AB160" s="119">
        <v>0</v>
      </c>
      <c r="AC160" s="133">
        <v>0</v>
      </c>
      <c r="AD160" s="119">
        <v>0</v>
      </c>
      <c r="AE160" s="119">
        <v>0</v>
      </c>
      <c r="AF160" s="119">
        <v>0</v>
      </c>
      <c r="AG160" s="119">
        <v>0</v>
      </c>
      <c r="AH160" s="133">
        <v>0</v>
      </c>
      <c r="AI160" s="119">
        <v>0</v>
      </c>
      <c r="AJ160" s="119">
        <v>0</v>
      </c>
      <c r="AK160" s="119">
        <v>0</v>
      </c>
      <c r="AL160" s="119">
        <v>0</v>
      </c>
      <c r="AM160" s="133">
        <v>0</v>
      </c>
      <c r="AN160" s="119">
        <v>0</v>
      </c>
      <c r="AO160" s="119">
        <v>0</v>
      </c>
      <c r="AP160" s="119">
        <v>0</v>
      </c>
      <c r="AQ160" s="119">
        <v>0</v>
      </c>
      <c r="AR160" s="133">
        <v>0</v>
      </c>
      <c r="AS160" s="119"/>
      <c r="AT160" s="119"/>
      <c r="AU160" s="119"/>
      <c r="AV160" s="119"/>
      <c r="AW160" s="133"/>
      <c r="AX160" s="119"/>
      <c r="AY160" s="119"/>
      <c r="AZ160" s="119"/>
      <c r="BA160" s="119"/>
      <c r="BB160" s="133"/>
      <c r="BC160" s="119"/>
      <c r="BD160" s="119"/>
      <c r="BE160" s="119"/>
      <c r="BF160" s="119"/>
      <c r="BG160" s="133"/>
      <c r="BH160" s="119"/>
      <c r="BI160" s="119"/>
      <c r="BJ160" s="119"/>
      <c r="BK160" s="119"/>
      <c r="BL160" s="133"/>
      <c r="BM160" s="119"/>
      <c r="BN160" s="119"/>
      <c r="BO160" s="119"/>
      <c r="BP160" s="119"/>
      <c r="BQ160" s="133"/>
      <c r="BR160" s="119"/>
      <c r="BS160" s="119"/>
      <c r="BT160" s="119"/>
      <c r="BU160" s="119"/>
      <c r="BV160" s="133"/>
      <c r="BW160" s="119"/>
      <c r="BX160" s="119"/>
      <c r="BY160" s="119"/>
      <c r="BZ160" s="119"/>
      <c r="CA160" s="133"/>
      <c r="CB160" s="119"/>
      <c r="CC160" s="119"/>
      <c r="CD160" s="119"/>
      <c r="CE160" s="119"/>
      <c r="CF160" s="133"/>
    </row>
    <row r="161" spans="1:84" ht="12.75">
      <c r="A161" s="119" t="s">
        <v>603</v>
      </c>
      <c r="B161" s="119" t="s">
        <v>604</v>
      </c>
      <c r="C161" s="119" t="s">
        <v>203</v>
      </c>
      <c r="D161" s="119" t="s">
        <v>158</v>
      </c>
      <c r="E161" s="119" t="s">
        <v>25</v>
      </c>
      <c r="F161" s="131">
        <f t="shared" si="0"/>
        <v>0</v>
      </c>
      <c r="G161" s="119">
        <f t="shared" si="1"/>
        <v>0</v>
      </c>
      <c r="H161" s="119">
        <f t="shared" ref="H161:I161" si="160">SUM(L161,Q161,V161,AA161,AF161,AK161,AP161,AU161,AZ161,BE161,BJ161,BO161,BT161,BY161,CD161)</f>
        <v>0</v>
      </c>
      <c r="I161" s="132">
        <f t="shared" si="160"/>
        <v>0</v>
      </c>
      <c r="J161" s="119">
        <v>0</v>
      </c>
      <c r="K161" s="119">
        <v>0</v>
      </c>
      <c r="L161" s="119">
        <v>0</v>
      </c>
      <c r="M161" s="119">
        <v>0</v>
      </c>
      <c r="N161" s="133">
        <v>0</v>
      </c>
      <c r="O161" s="119">
        <v>0</v>
      </c>
      <c r="P161" s="119">
        <v>0</v>
      </c>
      <c r="Q161" s="119">
        <v>0</v>
      </c>
      <c r="R161" s="119">
        <v>0</v>
      </c>
      <c r="S161" s="133">
        <v>0</v>
      </c>
      <c r="T161" s="119">
        <v>0</v>
      </c>
      <c r="U161" s="119">
        <v>0</v>
      </c>
      <c r="V161" s="119">
        <v>0</v>
      </c>
      <c r="W161" s="119">
        <v>0</v>
      </c>
      <c r="X161" s="133">
        <v>0</v>
      </c>
      <c r="Y161" s="119">
        <v>0</v>
      </c>
      <c r="Z161" s="119">
        <v>0</v>
      </c>
      <c r="AA161" s="119">
        <v>0</v>
      </c>
      <c r="AB161" s="119">
        <v>0</v>
      </c>
      <c r="AC161" s="133">
        <v>0</v>
      </c>
      <c r="AD161" s="119">
        <v>0</v>
      </c>
      <c r="AE161" s="119">
        <v>0</v>
      </c>
      <c r="AF161" s="119">
        <v>0</v>
      </c>
      <c r="AG161" s="119">
        <v>0</v>
      </c>
      <c r="AH161" s="133">
        <v>0</v>
      </c>
      <c r="AI161" s="119">
        <v>0</v>
      </c>
      <c r="AJ161" s="119">
        <v>0</v>
      </c>
      <c r="AK161" s="119">
        <v>0</v>
      </c>
      <c r="AL161" s="119">
        <v>0</v>
      </c>
      <c r="AM161" s="133">
        <v>0</v>
      </c>
      <c r="AN161" s="119">
        <v>0</v>
      </c>
      <c r="AO161" s="119">
        <v>0</v>
      </c>
      <c r="AP161" s="119">
        <v>0</v>
      </c>
      <c r="AQ161" s="119">
        <v>0</v>
      </c>
      <c r="AR161" s="133">
        <v>0</v>
      </c>
      <c r="AS161" s="119"/>
      <c r="AT161" s="119"/>
      <c r="AU161" s="119"/>
      <c r="AV161" s="119"/>
      <c r="AW161" s="133"/>
      <c r="AX161" s="119"/>
      <c r="AY161" s="119"/>
      <c r="AZ161" s="119"/>
      <c r="BA161" s="119"/>
      <c r="BB161" s="133"/>
      <c r="BC161" s="119"/>
      <c r="BD161" s="119"/>
      <c r="BE161" s="119"/>
      <c r="BF161" s="119"/>
      <c r="BG161" s="133"/>
      <c r="BH161" s="119"/>
      <c r="BI161" s="119"/>
      <c r="BJ161" s="119"/>
      <c r="BK161" s="119"/>
      <c r="BL161" s="133"/>
      <c r="BM161" s="119"/>
      <c r="BN161" s="119"/>
      <c r="BO161" s="119"/>
      <c r="BP161" s="119"/>
      <c r="BQ161" s="133"/>
      <c r="BR161" s="119"/>
      <c r="BS161" s="119"/>
      <c r="BT161" s="119"/>
      <c r="BU161" s="119"/>
      <c r="BV161" s="133"/>
      <c r="BW161" s="119"/>
      <c r="BX161" s="119"/>
      <c r="BY161" s="119"/>
      <c r="BZ161" s="119"/>
      <c r="CA161" s="133"/>
      <c r="CB161" s="119"/>
      <c r="CC161" s="119"/>
      <c r="CD161" s="119"/>
      <c r="CE161" s="119"/>
      <c r="CF161" s="133"/>
    </row>
    <row r="162" spans="1:84" ht="12.75">
      <c r="A162" s="119" t="s">
        <v>605</v>
      </c>
      <c r="B162" s="119" t="s">
        <v>606</v>
      </c>
      <c r="C162" s="119" t="s">
        <v>607</v>
      </c>
      <c r="D162" s="119" t="s">
        <v>152</v>
      </c>
      <c r="E162" s="119" t="s">
        <v>25</v>
      </c>
      <c r="F162" s="131">
        <f t="shared" si="0"/>
        <v>0</v>
      </c>
      <c r="G162" s="119">
        <f t="shared" si="1"/>
        <v>0</v>
      </c>
      <c r="H162" s="119">
        <f t="shared" ref="H162:I162" si="161">SUM(L162,Q162,V162,AA162,AF162,AK162,AP162,AU162,AZ162,BE162,BJ162,BO162,BT162,BY162,CD162)</f>
        <v>0</v>
      </c>
      <c r="I162" s="132">
        <f t="shared" si="161"/>
        <v>0</v>
      </c>
      <c r="J162" s="119">
        <v>0</v>
      </c>
      <c r="K162" s="119">
        <v>0</v>
      </c>
      <c r="L162" s="119">
        <v>0</v>
      </c>
      <c r="M162" s="119">
        <v>0</v>
      </c>
      <c r="N162" s="133">
        <v>0</v>
      </c>
      <c r="O162" s="119">
        <v>0</v>
      </c>
      <c r="P162" s="119">
        <v>0</v>
      </c>
      <c r="Q162" s="119">
        <v>0</v>
      </c>
      <c r="R162" s="119">
        <v>0</v>
      </c>
      <c r="S162" s="133">
        <v>0</v>
      </c>
      <c r="T162" s="119">
        <v>0</v>
      </c>
      <c r="U162" s="119">
        <v>0</v>
      </c>
      <c r="V162" s="119">
        <v>0</v>
      </c>
      <c r="W162" s="119">
        <v>0</v>
      </c>
      <c r="X162" s="133">
        <v>0</v>
      </c>
      <c r="Y162" s="119">
        <v>0</v>
      </c>
      <c r="Z162" s="119">
        <v>0</v>
      </c>
      <c r="AA162" s="119">
        <v>0</v>
      </c>
      <c r="AB162" s="119">
        <v>0</v>
      </c>
      <c r="AC162" s="133">
        <v>0</v>
      </c>
      <c r="AD162" s="119">
        <v>0</v>
      </c>
      <c r="AE162" s="119">
        <v>0</v>
      </c>
      <c r="AF162" s="119">
        <v>0</v>
      </c>
      <c r="AG162" s="119">
        <v>0</v>
      </c>
      <c r="AH162" s="133">
        <v>0</v>
      </c>
      <c r="AI162" s="119">
        <v>0</v>
      </c>
      <c r="AJ162" s="119">
        <v>0</v>
      </c>
      <c r="AK162" s="119">
        <v>0</v>
      </c>
      <c r="AL162" s="119">
        <v>0</v>
      </c>
      <c r="AM162" s="133">
        <v>0</v>
      </c>
      <c r="AN162" s="119">
        <v>0</v>
      </c>
      <c r="AO162" s="119">
        <v>0</v>
      </c>
      <c r="AP162" s="119">
        <v>0</v>
      </c>
      <c r="AQ162" s="119">
        <v>0</v>
      </c>
      <c r="AR162" s="133">
        <v>0</v>
      </c>
      <c r="AS162" s="119"/>
      <c r="AT162" s="119"/>
      <c r="AU162" s="119"/>
      <c r="AV162" s="119"/>
      <c r="AW162" s="133"/>
      <c r="AX162" s="119"/>
      <c r="AY162" s="119"/>
      <c r="AZ162" s="119"/>
      <c r="BA162" s="119"/>
      <c r="BB162" s="133"/>
      <c r="BC162" s="119"/>
      <c r="BD162" s="119"/>
      <c r="BE162" s="119"/>
      <c r="BF162" s="119"/>
      <c r="BG162" s="133"/>
      <c r="BH162" s="119"/>
      <c r="BI162" s="119"/>
      <c r="BJ162" s="119"/>
      <c r="BK162" s="119"/>
      <c r="BL162" s="133"/>
      <c r="BM162" s="119"/>
      <c r="BN162" s="119"/>
      <c r="BO162" s="119"/>
      <c r="BP162" s="119"/>
      <c r="BQ162" s="133"/>
      <c r="BR162" s="119"/>
      <c r="BS162" s="119"/>
      <c r="BT162" s="119"/>
      <c r="BU162" s="119"/>
      <c r="BV162" s="133"/>
      <c r="BW162" s="119"/>
      <c r="BX162" s="119"/>
      <c r="BY162" s="119"/>
      <c r="BZ162" s="119"/>
      <c r="CA162" s="133"/>
      <c r="CB162" s="119"/>
      <c r="CC162" s="119"/>
      <c r="CD162" s="119"/>
      <c r="CE162" s="119"/>
      <c r="CF162" s="133"/>
    </row>
    <row r="163" spans="1:84" ht="12.75">
      <c r="A163" s="119" t="s">
        <v>608</v>
      </c>
      <c r="B163" s="119" t="s">
        <v>609</v>
      </c>
      <c r="C163" s="119" t="s">
        <v>610</v>
      </c>
      <c r="D163" s="119" t="s">
        <v>152</v>
      </c>
      <c r="E163" s="119" t="s">
        <v>137</v>
      </c>
      <c r="F163" s="131">
        <f t="shared" si="0"/>
        <v>0</v>
      </c>
      <c r="G163" s="119">
        <f t="shared" si="1"/>
        <v>0</v>
      </c>
      <c r="H163" s="119">
        <f t="shared" ref="H163:I163" si="162">SUM(L163,Q163,V163,AA163,AF163,AK163,AP163,AU163,AZ163,BE163,BJ163,BO163,BT163,BY163,CD163)</f>
        <v>0</v>
      </c>
      <c r="I163" s="132">
        <f t="shared" si="162"/>
        <v>0</v>
      </c>
      <c r="J163" s="119">
        <v>0</v>
      </c>
      <c r="K163" s="119" t="s">
        <v>173</v>
      </c>
      <c r="L163" s="119">
        <v>0</v>
      </c>
      <c r="M163" s="119">
        <v>0</v>
      </c>
      <c r="N163" s="133">
        <v>0</v>
      </c>
      <c r="O163" s="119">
        <v>0</v>
      </c>
      <c r="P163" s="119" t="s">
        <v>173</v>
      </c>
      <c r="Q163" s="119">
        <v>0</v>
      </c>
      <c r="R163" s="119">
        <v>0</v>
      </c>
      <c r="S163" s="133">
        <v>0</v>
      </c>
      <c r="T163" s="119">
        <v>0</v>
      </c>
      <c r="U163" s="119" t="s">
        <v>173</v>
      </c>
      <c r="V163" s="119">
        <v>0</v>
      </c>
      <c r="W163" s="119">
        <v>0</v>
      </c>
      <c r="X163" s="133">
        <v>0</v>
      </c>
      <c r="Y163" s="119">
        <v>0</v>
      </c>
      <c r="Z163" s="119" t="s">
        <v>173</v>
      </c>
      <c r="AA163" s="119">
        <v>0</v>
      </c>
      <c r="AB163" s="119">
        <v>0</v>
      </c>
      <c r="AC163" s="133">
        <v>0</v>
      </c>
      <c r="AD163" s="119">
        <v>0</v>
      </c>
      <c r="AE163" s="119" t="s">
        <v>173</v>
      </c>
      <c r="AF163" s="119">
        <v>0</v>
      </c>
      <c r="AG163" s="119">
        <v>0</v>
      </c>
      <c r="AH163" s="133">
        <v>0</v>
      </c>
      <c r="AI163" s="119">
        <v>0</v>
      </c>
      <c r="AJ163" s="119" t="s">
        <v>173</v>
      </c>
      <c r="AK163" s="119">
        <v>0</v>
      </c>
      <c r="AL163" s="119">
        <v>0</v>
      </c>
      <c r="AM163" s="133">
        <v>0</v>
      </c>
      <c r="AN163" s="119">
        <v>0</v>
      </c>
      <c r="AO163" s="119" t="s">
        <v>173</v>
      </c>
      <c r="AP163" s="119">
        <v>0</v>
      </c>
      <c r="AQ163" s="119">
        <v>0</v>
      </c>
      <c r="AR163" s="133">
        <v>0</v>
      </c>
      <c r="AS163" s="119"/>
      <c r="AT163" s="119"/>
      <c r="AU163" s="119"/>
      <c r="AV163" s="119"/>
      <c r="AW163" s="133"/>
      <c r="AX163" s="119"/>
      <c r="AY163" s="119"/>
      <c r="AZ163" s="119"/>
      <c r="BA163" s="119"/>
      <c r="BB163" s="133"/>
      <c r="BC163" s="119"/>
      <c r="BD163" s="119"/>
      <c r="BE163" s="119"/>
      <c r="BF163" s="119"/>
      <c r="BG163" s="133"/>
      <c r="BH163" s="119"/>
      <c r="BI163" s="119"/>
      <c r="BJ163" s="119"/>
      <c r="BK163" s="119"/>
      <c r="BL163" s="133"/>
      <c r="BM163" s="119"/>
      <c r="BN163" s="119"/>
      <c r="BO163" s="119"/>
      <c r="BP163" s="119"/>
      <c r="BQ163" s="133"/>
      <c r="BR163" s="119"/>
      <c r="BS163" s="119"/>
      <c r="BT163" s="119"/>
      <c r="BU163" s="119"/>
      <c r="BV163" s="133"/>
      <c r="BW163" s="119"/>
      <c r="BX163" s="119"/>
      <c r="BY163" s="119"/>
      <c r="BZ163" s="119"/>
      <c r="CA163" s="133"/>
      <c r="CB163" s="119"/>
      <c r="CC163" s="119"/>
      <c r="CD163" s="119"/>
      <c r="CE163" s="119"/>
      <c r="CF163" s="133"/>
    </row>
    <row r="164" spans="1:84" ht="12.75">
      <c r="A164" s="119" t="s">
        <v>611</v>
      </c>
      <c r="B164" s="119" t="s">
        <v>612</v>
      </c>
      <c r="C164" s="119" t="s">
        <v>613</v>
      </c>
      <c r="D164" s="119" t="s">
        <v>158</v>
      </c>
      <c r="E164" s="119" t="s">
        <v>137</v>
      </c>
      <c r="F164" s="131">
        <f t="shared" si="0"/>
        <v>0</v>
      </c>
      <c r="G164" s="119">
        <f t="shared" si="1"/>
        <v>0</v>
      </c>
      <c r="H164" s="119">
        <f t="shared" ref="H164:I164" si="163">SUM(L164,Q164,V164,AA164,AF164,AK164,AP164,AU164,AZ164,BE164,BJ164,BO164,BT164,BY164,CD164)</f>
        <v>0</v>
      </c>
      <c r="I164" s="132">
        <f t="shared" si="163"/>
        <v>0</v>
      </c>
      <c r="J164" s="119">
        <v>0</v>
      </c>
      <c r="K164" s="119" t="s">
        <v>173</v>
      </c>
      <c r="L164" s="119">
        <v>0</v>
      </c>
      <c r="M164" s="119">
        <v>0</v>
      </c>
      <c r="N164" s="133">
        <v>0</v>
      </c>
      <c r="O164" s="119">
        <v>0</v>
      </c>
      <c r="P164" s="119" t="s">
        <v>173</v>
      </c>
      <c r="Q164" s="119">
        <v>0</v>
      </c>
      <c r="R164" s="119">
        <v>0</v>
      </c>
      <c r="S164" s="133">
        <v>0</v>
      </c>
      <c r="T164" s="119">
        <v>0</v>
      </c>
      <c r="U164" s="119" t="s">
        <v>173</v>
      </c>
      <c r="V164" s="119">
        <v>0</v>
      </c>
      <c r="W164" s="119">
        <v>0</v>
      </c>
      <c r="X164" s="133">
        <v>0</v>
      </c>
      <c r="Y164" s="119">
        <v>0</v>
      </c>
      <c r="Z164" s="119" t="s">
        <v>173</v>
      </c>
      <c r="AA164" s="119">
        <v>0</v>
      </c>
      <c r="AB164" s="119">
        <v>0</v>
      </c>
      <c r="AC164" s="133">
        <v>0</v>
      </c>
      <c r="AD164" s="119">
        <v>0</v>
      </c>
      <c r="AE164" s="119" t="s">
        <v>173</v>
      </c>
      <c r="AF164" s="119">
        <v>0</v>
      </c>
      <c r="AG164" s="119">
        <v>0</v>
      </c>
      <c r="AH164" s="133">
        <v>0</v>
      </c>
      <c r="AI164" s="119">
        <v>0</v>
      </c>
      <c r="AJ164" s="119" t="s">
        <v>173</v>
      </c>
      <c r="AK164" s="119">
        <v>0</v>
      </c>
      <c r="AL164" s="119">
        <v>0</v>
      </c>
      <c r="AM164" s="133">
        <v>0</v>
      </c>
      <c r="AN164" s="119">
        <v>0</v>
      </c>
      <c r="AO164" s="119" t="s">
        <v>173</v>
      </c>
      <c r="AP164" s="119">
        <v>0</v>
      </c>
      <c r="AQ164" s="119">
        <v>0</v>
      </c>
      <c r="AR164" s="133">
        <v>0</v>
      </c>
      <c r="AS164" s="119"/>
      <c r="AT164" s="119"/>
      <c r="AU164" s="119"/>
      <c r="AV164" s="119"/>
      <c r="AW164" s="133"/>
      <c r="AX164" s="119"/>
      <c r="AY164" s="119"/>
      <c r="AZ164" s="119"/>
      <c r="BA164" s="119"/>
      <c r="BB164" s="133"/>
      <c r="BC164" s="119"/>
      <c r="BD164" s="119"/>
      <c r="BE164" s="119"/>
      <c r="BF164" s="119"/>
      <c r="BG164" s="133"/>
      <c r="BH164" s="119"/>
      <c r="BI164" s="119"/>
      <c r="BJ164" s="119"/>
      <c r="BK164" s="119"/>
      <c r="BL164" s="133"/>
      <c r="BM164" s="119"/>
      <c r="BN164" s="119"/>
      <c r="BO164" s="119"/>
      <c r="BP164" s="119"/>
      <c r="BQ164" s="133"/>
      <c r="BR164" s="119"/>
      <c r="BS164" s="119"/>
      <c r="BT164" s="119"/>
      <c r="BU164" s="119"/>
      <c r="BV164" s="133"/>
      <c r="BW164" s="119"/>
      <c r="BX164" s="119"/>
      <c r="BY164" s="119"/>
      <c r="BZ164" s="119"/>
      <c r="CA164" s="133"/>
      <c r="CB164" s="119"/>
      <c r="CC164" s="119"/>
      <c r="CD164" s="119"/>
      <c r="CE164" s="119"/>
      <c r="CF164" s="133"/>
    </row>
    <row r="165" spans="1:84" ht="12.75">
      <c r="A165" s="119" t="s">
        <v>614</v>
      </c>
      <c r="B165" s="119" t="s">
        <v>615</v>
      </c>
      <c r="C165" s="119" t="s">
        <v>616</v>
      </c>
      <c r="D165" s="119" t="s">
        <v>158</v>
      </c>
      <c r="E165" s="119" t="s">
        <v>137</v>
      </c>
      <c r="F165" s="131">
        <f t="shared" si="0"/>
        <v>0</v>
      </c>
      <c r="G165" s="119">
        <f t="shared" si="1"/>
        <v>0</v>
      </c>
      <c r="H165" s="119">
        <f t="shared" ref="H165:I165" si="164">SUM(L165,Q165,V165,AA165,AF165,AK165,AP165,AU165,AZ165,BE165,BJ165,BO165,BT165,BY165,CD165)</f>
        <v>0</v>
      </c>
      <c r="I165" s="132">
        <f t="shared" si="164"/>
        <v>0</v>
      </c>
      <c r="J165" s="119">
        <v>0</v>
      </c>
      <c r="K165" s="119" t="s">
        <v>173</v>
      </c>
      <c r="L165" s="119">
        <v>0</v>
      </c>
      <c r="M165" s="119">
        <v>0</v>
      </c>
      <c r="N165" s="133">
        <v>0</v>
      </c>
      <c r="O165" s="119">
        <v>0</v>
      </c>
      <c r="P165" s="119" t="s">
        <v>173</v>
      </c>
      <c r="Q165" s="119">
        <v>0</v>
      </c>
      <c r="R165" s="119">
        <v>0</v>
      </c>
      <c r="S165" s="133">
        <v>0</v>
      </c>
      <c r="T165" s="119">
        <v>0</v>
      </c>
      <c r="U165" s="119" t="s">
        <v>173</v>
      </c>
      <c r="V165" s="119">
        <v>0</v>
      </c>
      <c r="W165" s="119">
        <v>0</v>
      </c>
      <c r="X165" s="133">
        <v>0</v>
      </c>
      <c r="Y165" s="119">
        <v>0</v>
      </c>
      <c r="Z165" s="119" t="s">
        <v>173</v>
      </c>
      <c r="AA165" s="119">
        <v>0</v>
      </c>
      <c r="AB165" s="119">
        <v>0</v>
      </c>
      <c r="AC165" s="133">
        <v>0</v>
      </c>
      <c r="AD165" s="119">
        <v>0</v>
      </c>
      <c r="AE165" s="119" t="s">
        <v>173</v>
      </c>
      <c r="AF165" s="119">
        <v>0</v>
      </c>
      <c r="AG165" s="119">
        <v>0</v>
      </c>
      <c r="AH165" s="133">
        <v>0</v>
      </c>
      <c r="AI165" s="119">
        <v>0</v>
      </c>
      <c r="AJ165" s="119" t="s">
        <v>173</v>
      </c>
      <c r="AK165" s="119">
        <v>0</v>
      </c>
      <c r="AL165" s="119">
        <v>0</v>
      </c>
      <c r="AM165" s="133">
        <v>0</v>
      </c>
      <c r="AN165" s="119">
        <v>0</v>
      </c>
      <c r="AO165" s="119" t="s">
        <v>173</v>
      </c>
      <c r="AP165" s="119">
        <v>0</v>
      </c>
      <c r="AQ165" s="119">
        <v>0</v>
      </c>
      <c r="AR165" s="133">
        <v>0</v>
      </c>
      <c r="AS165" s="119"/>
      <c r="AT165" s="119"/>
      <c r="AU165" s="119"/>
      <c r="AV165" s="119"/>
      <c r="AW165" s="133"/>
      <c r="AX165" s="119"/>
      <c r="AY165" s="119"/>
      <c r="AZ165" s="119"/>
      <c r="BA165" s="119"/>
      <c r="BB165" s="133"/>
      <c r="BC165" s="119"/>
      <c r="BD165" s="119"/>
      <c r="BE165" s="119"/>
      <c r="BF165" s="119"/>
      <c r="BG165" s="133"/>
      <c r="BH165" s="119"/>
      <c r="BI165" s="119"/>
      <c r="BJ165" s="119"/>
      <c r="BK165" s="119"/>
      <c r="BL165" s="133"/>
      <c r="BM165" s="119"/>
      <c r="BN165" s="119"/>
      <c r="BO165" s="119"/>
      <c r="BP165" s="119"/>
      <c r="BQ165" s="133"/>
      <c r="BR165" s="119"/>
      <c r="BS165" s="119"/>
      <c r="BT165" s="119"/>
      <c r="BU165" s="119"/>
      <c r="BV165" s="133"/>
      <c r="BW165" s="119"/>
      <c r="BX165" s="119"/>
      <c r="BY165" s="119"/>
      <c r="BZ165" s="119"/>
      <c r="CA165" s="133"/>
      <c r="CB165" s="119"/>
      <c r="CC165" s="119"/>
      <c r="CD165" s="119"/>
      <c r="CE165" s="119"/>
      <c r="CF165" s="133"/>
    </row>
    <row r="166" spans="1:84" ht="12.75">
      <c r="A166" s="119" t="s">
        <v>617</v>
      </c>
      <c r="B166" s="119" t="s">
        <v>618</v>
      </c>
      <c r="C166" s="119" t="s">
        <v>137</v>
      </c>
      <c r="D166" s="119" t="s">
        <v>158</v>
      </c>
      <c r="E166" s="119" t="s">
        <v>137</v>
      </c>
      <c r="F166" s="131">
        <f t="shared" si="0"/>
        <v>0</v>
      </c>
      <c r="G166" s="119">
        <f t="shared" si="1"/>
        <v>0</v>
      </c>
      <c r="H166" s="119">
        <f t="shared" ref="H166:I166" si="165">SUM(L166,Q166,V166,AA166,AF166,AK166,AP166,AU166,AZ166,BE166,BJ166,BO166,BT166,BY166,CD166)</f>
        <v>0</v>
      </c>
      <c r="I166" s="132">
        <f t="shared" si="165"/>
        <v>0</v>
      </c>
      <c r="J166" s="119">
        <v>0</v>
      </c>
      <c r="K166" s="119" t="s">
        <v>173</v>
      </c>
      <c r="L166" s="119">
        <v>0</v>
      </c>
      <c r="M166" s="119">
        <v>0</v>
      </c>
      <c r="N166" s="133">
        <v>0</v>
      </c>
      <c r="O166" s="119">
        <v>0</v>
      </c>
      <c r="P166" s="119" t="s">
        <v>173</v>
      </c>
      <c r="Q166" s="119">
        <v>0</v>
      </c>
      <c r="R166" s="119">
        <v>0</v>
      </c>
      <c r="S166" s="133">
        <v>0</v>
      </c>
      <c r="T166" s="119">
        <v>0</v>
      </c>
      <c r="U166" s="119" t="s">
        <v>173</v>
      </c>
      <c r="V166" s="119">
        <v>0</v>
      </c>
      <c r="W166" s="119">
        <v>0</v>
      </c>
      <c r="X166" s="133">
        <v>0</v>
      </c>
      <c r="Y166" s="119">
        <v>0</v>
      </c>
      <c r="Z166" s="119" t="s">
        <v>173</v>
      </c>
      <c r="AA166" s="119">
        <v>0</v>
      </c>
      <c r="AB166" s="119">
        <v>0</v>
      </c>
      <c r="AC166" s="133">
        <v>0</v>
      </c>
      <c r="AD166" s="119">
        <v>0</v>
      </c>
      <c r="AE166" s="119" t="s">
        <v>173</v>
      </c>
      <c r="AF166" s="119">
        <v>0</v>
      </c>
      <c r="AG166" s="119">
        <v>0</v>
      </c>
      <c r="AH166" s="133">
        <v>0</v>
      </c>
      <c r="AI166" s="119">
        <v>0</v>
      </c>
      <c r="AJ166" s="119" t="s">
        <v>173</v>
      </c>
      <c r="AK166" s="119">
        <v>0</v>
      </c>
      <c r="AL166" s="119">
        <v>0</v>
      </c>
      <c r="AM166" s="133">
        <v>0</v>
      </c>
      <c r="AN166" s="119">
        <v>0</v>
      </c>
      <c r="AO166" s="119" t="s">
        <v>173</v>
      </c>
      <c r="AP166" s="119">
        <v>0</v>
      </c>
      <c r="AQ166" s="119">
        <v>0</v>
      </c>
      <c r="AR166" s="133">
        <v>0</v>
      </c>
      <c r="AS166" s="119"/>
      <c r="AT166" s="119"/>
      <c r="AU166" s="119"/>
      <c r="AV166" s="119"/>
      <c r="AW166" s="133"/>
      <c r="AX166" s="119"/>
      <c r="AY166" s="119"/>
      <c r="AZ166" s="119"/>
      <c r="BA166" s="119"/>
      <c r="BB166" s="133"/>
      <c r="BC166" s="119"/>
      <c r="BD166" s="119"/>
      <c r="BE166" s="119"/>
      <c r="BF166" s="119"/>
      <c r="BG166" s="133"/>
      <c r="BH166" s="119"/>
      <c r="BI166" s="119"/>
      <c r="BJ166" s="119"/>
      <c r="BK166" s="119"/>
      <c r="BL166" s="133"/>
      <c r="BM166" s="119"/>
      <c r="BN166" s="119"/>
      <c r="BO166" s="119"/>
      <c r="BP166" s="119"/>
      <c r="BQ166" s="133"/>
      <c r="BR166" s="119"/>
      <c r="BS166" s="119"/>
      <c r="BT166" s="119"/>
      <c r="BU166" s="119"/>
      <c r="BV166" s="133"/>
      <c r="BW166" s="119"/>
      <c r="BX166" s="119"/>
      <c r="BY166" s="119"/>
      <c r="BZ166" s="119"/>
      <c r="CA166" s="133"/>
      <c r="CB166" s="119"/>
      <c r="CC166" s="119"/>
      <c r="CD166" s="119"/>
      <c r="CE166" s="119"/>
      <c r="CF166" s="133"/>
    </row>
    <row r="167" spans="1:84" ht="12.75">
      <c r="A167" s="119" t="s">
        <v>619</v>
      </c>
      <c r="B167" s="119" t="s">
        <v>620</v>
      </c>
      <c r="C167" s="119" t="s">
        <v>621</v>
      </c>
      <c r="D167" s="119" t="s">
        <v>158</v>
      </c>
      <c r="E167" s="119" t="s">
        <v>137</v>
      </c>
      <c r="F167" s="131">
        <f t="shared" si="0"/>
        <v>0</v>
      </c>
      <c r="G167" s="119">
        <f t="shared" si="1"/>
        <v>0</v>
      </c>
      <c r="H167" s="119">
        <f t="shared" ref="H167:I167" si="166">SUM(L167,Q167,V167,AA167,AF167,AK167,AP167,AU167,AZ167,BE167,BJ167,BO167,BT167,BY167,CD167)</f>
        <v>0</v>
      </c>
      <c r="I167" s="132">
        <f t="shared" si="166"/>
        <v>0</v>
      </c>
      <c r="J167" s="119">
        <v>0</v>
      </c>
      <c r="K167" s="119" t="s">
        <v>173</v>
      </c>
      <c r="L167" s="119">
        <v>0</v>
      </c>
      <c r="M167" s="119">
        <v>0</v>
      </c>
      <c r="N167" s="133">
        <v>0</v>
      </c>
      <c r="O167" s="119">
        <v>0</v>
      </c>
      <c r="P167" s="119" t="s">
        <v>173</v>
      </c>
      <c r="Q167" s="119">
        <v>0</v>
      </c>
      <c r="R167" s="119">
        <v>0</v>
      </c>
      <c r="S167" s="133">
        <v>0</v>
      </c>
      <c r="T167" s="119">
        <v>0</v>
      </c>
      <c r="U167" s="119" t="s">
        <v>173</v>
      </c>
      <c r="V167" s="119">
        <v>0</v>
      </c>
      <c r="W167" s="119">
        <v>0</v>
      </c>
      <c r="X167" s="133">
        <v>0</v>
      </c>
      <c r="Y167" s="119">
        <v>0</v>
      </c>
      <c r="Z167" s="119" t="s">
        <v>173</v>
      </c>
      <c r="AA167" s="119">
        <v>0</v>
      </c>
      <c r="AB167" s="119">
        <v>0</v>
      </c>
      <c r="AC167" s="133">
        <v>0</v>
      </c>
      <c r="AD167" s="119">
        <v>0</v>
      </c>
      <c r="AE167" s="119" t="s">
        <v>173</v>
      </c>
      <c r="AF167" s="119">
        <v>0</v>
      </c>
      <c r="AG167" s="119">
        <v>0</v>
      </c>
      <c r="AH167" s="133">
        <v>0</v>
      </c>
      <c r="AI167" s="119">
        <v>0</v>
      </c>
      <c r="AJ167" s="119" t="s">
        <v>173</v>
      </c>
      <c r="AK167" s="119">
        <v>0</v>
      </c>
      <c r="AL167" s="119">
        <v>0</v>
      </c>
      <c r="AM167" s="133">
        <v>0</v>
      </c>
      <c r="AN167" s="119">
        <v>0</v>
      </c>
      <c r="AO167" s="119" t="s">
        <v>173</v>
      </c>
      <c r="AP167" s="119">
        <v>0</v>
      </c>
      <c r="AQ167" s="119">
        <v>0</v>
      </c>
      <c r="AR167" s="133">
        <v>0</v>
      </c>
      <c r="AS167" s="119"/>
      <c r="AT167" s="119"/>
      <c r="AU167" s="119"/>
      <c r="AV167" s="119"/>
      <c r="AW167" s="133"/>
      <c r="AX167" s="119"/>
      <c r="AY167" s="119"/>
      <c r="AZ167" s="119"/>
      <c r="BA167" s="119"/>
      <c r="BB167" s="133"/>
      <c r="BC167" s="119"/>
      <c r="BD167" s="119"/>
      <c r="BE167" s="119"/>
      <c r="BF167" s="119"/>
      <c r="BG167" s="133"/>
      <c r="BH167" s="119"/>
      <c r="BI167" s="119"/>
      <c r="BJ167" s="119"/>
      <c r="BK167" s="119"/>
      <c r="BL167" s="133"/>
      <c r="BM167" s="119"/>
      <c r="BN167" s="119"/>
      <c r="BO167" s="119"/>
      <c r="BP167" s="119"/>
      <c r="BQ167" s="133"/>
      <c r="BR167" s="119"/>
      <c r="BS167" s="119"/>
      <c r="BT167" s="119"/>
      <c r="BU167" s="119"/>
      <c r="BV167" s="133"/>
      <c r="BW167" s="119"/>
      <c r="BX167" s="119"/>
      <c r="BY167" s="119"/>
      <c r="BZ167" s="119"/>
      <c r="CA167" s="133"/>
      <c r="CB167" s="119"/>
      <c r="CC167" s="119"/>
      <c r="CD167" s="119"/>
      <c r="CE167" s="119"/>
      <c r="CF167" s="133"/>
    </row>
    <row r="168" spans="1:84" ht="12.75">
      <c r="A168" s="119" t="s">
        <v>622</v>
      </c>
      <c r="B168" s="119" t="s">
        <v>623</v>
      </c>
      <c r="C168" s="119" t="s">
        <v>624</v>
      </c>
      <c r="D168" s="119" t="s">
        <v>158</v>
      </c>
      <c r="E168" s="119" t="s">
        <v>137</v>
      </c>
      <c r="F168" s="131">
        <f t="shared" si="0"/>
        <v>0</v>
      </c>
      <c r="G168" s="119">
        <f t="shared" si="1"/>
        <v>0</v>
      </c>
      <c r="H168" s="119">
        <f t="shared" ref="H168:I168" si="167">SUM(L168,Q168,V168,AA168,AF168,AK168,AP168,AU168,AZ168,BE168,BJ168,BO168,BT168,BY168,CD168)</f>
        <v>0</v>
      </c>
      <c r="I168" s="132">
        <f t="shared" si="167"/>
        <v>0</v>
      </c>
      <c r="J168" s="119">
        <v>0</v>
      </c>
      <c r="K168" s="119" t="s">
        <v>173</v>
      </c>
      <c r="L168" s="119">
        <v>0</v>
      </c>
      <c r="M168" s="119">
        <v>0</v>
      </c>
      <c r="N168" s="133">
        <v>0</v>
      </c>
      <c r="O168" s="119">
        <v>0</v>
      </c>
      <c r="P168" s="119" t="s">
        <v>173</v>
      </c>
      <c r="Q168" s="119">
        <v>0</v>
      </c>
      <c r="R168" s="119">
        <v>0</v>
      </c>
      <c r="S168" s="133">
        <v>0</v>
      </c>
      <c r="T168" s="119">
        <v>0</v>
      </c>
      <c r="U168" s="119" t="s">
        <v>173</v>
      </c>
      <c r="V168" s="119">
        <v>0</v>
      </c>
      <c r="W168" s="119">
        <v>0</v>
      </c>
      <c r="X168" s="133">
        <v>0</v>
      </c>
      <c r="Y168" s="119">
        <v>0</v>
      </c>
      <c r="Z168" s="119" t="s">
        <v>173</v>
      </c>
      <c r="AA168" s="119">
        <v>0</v>
      </c>
      <c r="AB168" s="119">
        <v>0</v>
      </c>
      <c r="AC168" s="133">
        <v>0</v>
      </c>
      <c r="AD168" s="119">
        <v>0</v>
      </c>
      <c r="AE168" s="119" t="s">
        <v>173</v>
      </c>
      <c r="AF168" s="119">
        <v>0</v>
      </c>
      <c r="AG168" s="119">
        <v>0</v>
      </c>
      <c r="AH168" s="133">
        <v>0</v>
      </c>
      <c r="AI168" s="119">
        <v>0</v>
      </c>
      <c r="AJ168" s="119" t="s">
        <v>173</v>
      </c>
      <c r="AK168" s="119">
        <v>0</v>
      </c>
      <c r="AL168" s="119">
        <v>0</v>
      </c>
      <c r="AM168" s="133">
        <v>0</v>
      </c>
      <c r="AN168" s="119">
        <v>0</v>
      </c>
      <c r="AO168" s="119" t="s">
        <v>173</v>
      </c>
      <c r="AP168" s="119">
        <v>0</v>
      </c>
      <c r="AQ168" s="119">
        <v>0</v>
      </c>
      <c r="AR168" s="133">
        <v>0</v>
      </c>
      <c r="AS168" s="119"/>
      <c r="AT168" s="119"/>
      <c r="AU168" s="119"/>
      <c r="AV168" s="119"/>
      <c r="AW168" s="133"/>
      <c r="AX168" s="119"/>
      <c r="AY168" s="119"/>
      <c r="AZ168" s="119"/>
      <c r="BA168" s="119"/>
      <c r="BB168" s="133"/>
      <c r="BC168" s="119"/>
      <c r="BD168" s="119"/>
      <c r="BE168" s="119"/>
      <c r="BF168" s="119"/>
      <c r="BG168" s="133"/>
      <c r="BH168" s="119"/>
      <c r="BI168" s="119"/>
      <c r="BJ168" s="119"/>
      <c r="BK168" s="119"/>
      <c r="BL168" s="133"/>
      <c r="BM168" s="119"/>
      <c r="BN168" s="119"/>
      <c r="BO168" s="119"/>
      <c r="BP168" s="119"/>
      <c r="BQ168" s="133"/>
      <c r="BR168" s="119"/>
      <c r="BS168" s="119"/>
      <c r="BT168" s="119"/>
      <c r="BU168" s="119"/>
      <c r="BV168" s="133"/>
      <c r="BW168" s="119"/>
      <c r="BX168" s="119"/>
      <c r="BY168" s="119"/>
      <c r="BZ168" s="119"/>
      <c r="CA168" s="133"/>
      <c r="CB168" s="119"/>
      <c r="CC168" s="119"/>
      <c r="CD168" s="119"/>
      <c r="CE168" s="119"/>
      <c r="CF168" s="133"/>
    </row>
    <row r="169" spans="1:84" ht="12.75">
      <c r="A169" s="119" t="s">
        <v>625</v>
      </c>
      <c r="B169" s="119" t="s">
        <v>626</v>
      </c>
      <c r="C169" s="119" t="s">
        <v>214</v>
      </c>
      <c r="D169" s="119" t="s">
        <v>152</v>
      </c>
      <c r="E169" s="119" t="s">
        <v>137</v>
      </c>
      <c r="F169" s="131">
        <f t="shared" si="0"/>
        <v>0</v>
      </c>
      <c r="G169" s="119">
        <f t="shared" si="1"/>
        <v>0</v>
      </c>
      <c r="H169" s="119">
        <f t="shared" ref="H169:I169" si="168">SUM(L169,Q169,V169,AA169,AF169,AK169,AP169,AU169,AZ169,BE169,BJ169,BO169,BT169,BY169,CD169)</f>
        <v>0</v>
      </c>
      <c r="I169" s="132">
        <f t="shared" si="168"/>
        <v>0</v>
      </c>
      <c r="J169" s="119">
        <v>0</v>
      </c>
      <c r="K169" s="119" t="s">
        <v>173</v>
      </c>
      <c r="L169" s="119">
        <v>0</v>
      </c>
      <c r="M169" s="119">
        <v>0</v>
      </c>
      <c r="N169" s="133">
        <v>0</v>
      </c>
      <c r="O169" s="119">
        <v>0</v>
      </c>
      <c r="P169" s="119" t="s">
        <v>173</v>
      </c>
      <c r="Q169" s="119">
        <v>0</v>
      </c>
      <c r="R169" s="119">
        <v>0</v>
      </c>
      <c r="S169" s="133">
        <v>0</v>
      </c>
      <c r="T169" s="119">
        <v>0</v>
      </c>
      <c r="U169" s="119" t="s">
        <v>173</v>
      </c>
      <c r="V169" s="119">
        <v>0</v>
      </c>
      <c r="W169" s="119">
        <v>0</v>
      </c>
      <c r="X169" s="133">
        <v>0</v>
      </c>
      <c r="Y169" s="119">
        <v>0</v>
      </c>
      <c r="Z169" s="119" t="s">
        <v>173</v>
      </c>
      <c r="AA169" s="119">
        <v>0</v>
      </c>
      <c r="AB169" s="119">
        <v>0</v>
      </c>
      <c r="AC169" s="133">
        <v>0</v>
      </c>
      <c r="AD169" s="119">
        <v>0</v>
      </c>
      <c r="AE169" s="119" t="s">
        <v>173</v>
      </c>
      <c r="AF169" s="119">
        <v>0</v>
      </c>
      <c r="AG169" s="119">
        <v>0</v>
      </c>
      <c r="AH169" s="133">
        <v>0</v>
      </c>
      <c r="AI169" s="119">
        <v>0</v>
      </c>
      <c r="AJ169" s="119" t="s">
        <v>173</v>
      </c>
      <c r="AK169" s="119">
        <v>0</v>
      </c>
      <c r="AL169" s="119">
        <v>0</v>
      </c>
      <c r="AM169" s="133">
        <v>0</v>
      </c>
      <c r="AN169" s="119">
        <v>0</v>
      </c>
      <c r="AO169" s="119" t="s">
        <v>173</v>
      </c>
      <c r="AP169" s="119">
        <v>0</v>
      </c>
      <c r="AQ169" s="119">
        <v>0</v>
      </c>
      <c r="AR169" s="133">
        <v>0</v>
      </c>
      <c r="AS169" s="119"/>
      <c r="AT169" s="119"/>
      <c r="AU169" s="119"/>
      <c r="AV169" s="119"/>
      <c r="AW169" s="133"/>
      <c r="AX169" s="119"/>
      <c r="AY169" s="119"/>
      <c r="AZ169" s="119"/>
      <c r="BA169" s="119"/>
      <c r="BB169" s="133"/>
      <c r="BC169" s="119"/>
      <c r="BD169" s="119"/>
      <c r="BE169" s="119"/>
      <c r="BF169" s="119"/>
      <c r="BG169" s="133"/>
      <c r="BH169" s="119"/>
      <c r="BI169" s="119"/>
      <c r="BJ169" s="119"/>
      <c r="BK169" s="119"/>
      <c r="BL169" s="133"/>
      <c r="BM169" s="119"/>
      <c r="BN169" s="119"/>
      <c r="BO169" s="119"/>
      <c r="BP169" s="119"/>
      <c r="BQ169" s="133"/>
      <c r="BR169" s="119"/>
      <c r="BS169" s="119"/>
      <c r="BT169" s="119"/>
      <c r="BU169" s="119"/>
      <c r="BV169" s="133"/>
      <c r="BW169" s="119"/>
      <c r="BX169" s="119"/>
      <c r="BY169" s="119"/>
      <c r="BZ169" s="119"/>
      <c r="CA169" s="133"/>
      <c r="CB169" s="119"/>
      <c r="CC169" s="119"/>
      <c r="CD169" s="119"/>
      <c r="CE169" s="119"/>
      <c r="CF169" s="133"/>
    </row>
    <row r="170" spans="1:84" ht="12.75">
      <c r="A170" s="119" t="s">
        <v>627</v>
      </c>
      <c r="B170" s="119" t="s">
        <v>628</v>
      </c>
      <c r="C170" s="119" t="s">
        <v>200</v>
      </c>
      <c r="D170" s="119" t="s">
        <v>152</v>
      </c>
      <c r="E170" s="119" t="s">
        <v>27</v>
      </c>
      <c r="F170" s="131">
        <f t="shared" si="0"/>
        <v>0</v>
      </c>
      <c r="G170" s="119">
        <f t="shared" si="1"/>
        <v>0</v>
      </c>
      <c r="H170" s="119">
        <f t="shared" ref="H170:I170" si="169">SUM(L170,Q170,V170,AA170,AF170,AK170,AP170,AU170,AZ170,BE170,BJ170,BO170,BT170,BY170,CD170)</f>
        <v>0</v>
      </c>
      <c r="I170" s="132">
        <f t="shared" si="169"/>
        <v>0</v>
      </c>
      <c r="J170" s="119"/>
      <c r="K170" s="119"/>
      <c r="L170" s="119"/>
      <c r="M170" s="119"/>
      <c r="N170" s="133"/>
      <c r="O170" s="119"/>
      <c r="P170" s="119"/>
      <c r="Q170" s="119"/>
      <c r="R170" s="119"/>
      <c r="S170" s="133"/>
      <c r="T170" s="119"/>
      <c r="U170" s="119"/>
      <c r="V170" s="119"/>
      <c r="W170" s="119"/>
      <c r="X170" s="133"/>
      <c r="Y170" s="119"/>
      <c r="Z170" s="119"/>
      <c r="AA170" s="119"/>
      <c r="AB170" s="119"/>
      <c r="AC170" s="133"/>
      <c r="AD170" s="119"/>
      <c r="AE170" s="119"/>
      <c r="AF170" s="119"/>
      <c r="AG170" s="119"/>
      <c r="AH170" s="133"/>
      <c r="AI170" s="119"/>
      <c r="AJ170" s="119"/>
      <c r="AK170" s="119"/>
      <c r="AL170" s="119"/>
      <c r="AM170" s="133"/>
      <c r="AN170" s="119"/>
      <c r="AO170" s="119"/>
      <c r="AP170" s="119"/>
      <c r="AQ170" s="119"/>
      <c r="AR170" s="133"/>
      <c r="AS170" s="119"/>
      <c r="AT170" s="119"/>
      <c r="AU170" s="119"/>
      <c r="AV170" s="119"/>
      <c r="AW170" s="133"/>
      <c r="AX170" s="119"/>
      <c r="AY170" s="119"/>
      <c r="AZ170" s="119"/>
      <c r="BA170" s="119"/>
      <c r="BB170" s="133"/>
      <c r="BC170" s="119"/>
      <c r="BD170" s="119"/>
      <c r="BE170" s="119"/>
      <c r="BF170" s="119"/>
      <c r="BG170" s="133"/>
      <c r="BH170" s="119"/>
      <c r="BI170" s="119"/>
      <c r="BJ170" s="119"/>
      <c r="BK170" s="119"/>
      <c r="BL170" s="133"/>
      <c r="BM170" s="119"/>
      <c r="BN170" s="119"/>
      <c r="BO170" s="119"/>
      <c r="BP170" s="119"/>
      <c r="BQ170" s="133"/>
      <c r="BR170" s="119"/>
      <c r="BS170" s="119"/>
      <c r="BT170" s="119"/>
      <c r="BU170" s="119"/>
      <c r="BV170" s="133"/>
      <c r="BW170" s="119"/>
      <c r="BX170" s="119"/>
      <c r="BY170" s="119"/>
      <c r="BZ170" s="119"/>
      <c r="CA170" s="133"/>
      <c r="CB170" s="119"/>
      <c r="CC170" s="119"/>
      <c r="CD170" s="119"/>
      <c r="CE170" s="119"/>
      <c r="CF170" s="133"/>
    </row>
    <row r="171" spans="1:84" ht="12.75">
      <c r="A171" s="119" t="s">
        <v>629</v>
      </c>
      <c r="B171" s="119" t="s">
        <v>630</v>
      </c>
      <c r="C171" s="119" t="s">
        <v>631</v>
      </c>
      <c r="D171" s="119" t="s">
        <v>158</v>
      </c>
      <c r="E171" s="119" t="s">
        <v>27</v>
      </c>
      <c r="F171" s="131">
        <f t="shared" si="0"/>
        <v>0</v>
      </c>
      <c r="G171" s="119">
        <f t="shared" si="1"/>
        <v>0</v>
      </c>
      <c r="H171" s="119">
        <f t="shared" ref="H171:I171" si="170">SUM(L171,Q171,V171,AA171,AF171,AK171,AP171,AU171,AZ171,BE171,BJ171,BO171,BT171,BY171,CD171)</f>
        <v>0</v>
      </c>
      <c r="I171" s="132">
        <f t="shared" si="170"/>
        <v>0</v>
      </c>
      <c r="J171" s="119"/>
      <c r="K171" s="119"/>
      <c r="L171" s="119"/>
      <c r="M171" s="119"/>
      <c r="N171" s="133"/>
      <c r="O171" s="119"/>
      <c r="P171" s="119"/>
      <c r="Q171" s="119"/>
      <c r="R171" s="119"/>
      <c r="S171" s="133"/>
      <c r="T171" s="119"/>
      <c r="U171" s="119"/>
      <c r="V171" s="119"/>
      <c r="W171" s="119"/>
      <c r="X171" s="133"/>
      <c r="Y171" s="119"/>
      <c r="Z171" s="119"/>
      <c r="AA171" s="119"/>
      <c r="AB171" s="119"/>
      <c r="AC171" s="133"/>
      <c r="AD171" s="119"/>
      <c r="AE171" s="119"/>
      <c r="AF171" s="119"/>
      <c r="AG171" s="119"/>
      <c r="AH171" s="133"/>
      <c r="AI171" s="119"/>
      <c r="AJ171" s="119"/>
      <c r="AK171" s="119"/>
      <c r="AL171" s="119"/>
      <c r="AM171" s="133"/>
      <c r="AN171" s="119"/>
      <c r="AO171" s="119"/>
      <c r="AP171" s="119"/>
      <c r="AQ171" s="119"/>
      <c r="AR171" s="133"/>
      <c r="AS171" s="119"/>
      <c r="AT171" s="119"/>
      <c r="AU171" s="119"/>
      <c r="AV171" s="119"/>
      <c r="AW171" s="133"/>
      <c r="AX171" s="119"/>
      <c r="AY171" s="119"/>
      <c r="AZ171" s="119"/>
      <c r="BA171" s="119"/>
      <c r="BB171" s="133"/>
      <c r="BC171" s="119"/>
      <c r="BD171" s="119"/>
      <c r="BE171" s="119"/>
      <c r="BF171" s="119"/>
      <c r="BG171" s="133"/>
      <c r="BH171" s="119"/>
      <c r="BI171" s="119"/>
      <c r="BJ171" s="119"/>
      <c r="BK171" s="119"/>
      <c r="BL171" s="133"/>
      <c r="BM171" s="119"/>
      <c r="BN171" s="119"/>
      <c r="BO171" s="119"/>
      <c r="BP171" s="119"/>
      <c r="BQ171" s="133"/>
      <c r="BR171" s="119"/>
      <c r="BS171" s="119"/>
      <c r="BT171" s="119"/>
      <c r="BU171" s="119"/>
      <c r="BV171" s="133"/>
      <c r="BW171" s="119"/>
      <c r="BX171" s="119"/>
      <c r="BY171" s="119"/>
      <c r="BZ171" s="119"/>
      <c r="CA171" s="133"/>
      <c r="CB171" s="119"/>
      <c r="CC171" s="119"/>
      <c r="CD171" s="119"/>
      <c r="CE171" s="119"/>
      <c r="CF171" s="133"/>
    </row>
    <row r="172" spans="1:84" ht="12.75">
      <c r="A172" s="119" t="s">
        <v>632</v>
      </c>
      <c r="B172" s="119" t="s">
        <v>633</v>
      </c>
      <c r="C172" s="119" t="s">
        <v>240</v>
      </c>
      <c r="D172" s="119" t="s">
        <v>152</v>
      </c>
      <c r="E172" s="119" t="s">
        <v>129</v>
      </c>
      <c r="F172" s="131">
        <f t="shared" si="0"/>
        <v>0</v>
      </c>
      <c r="G172" s="119">
        <f t="shared" si="1"/>
        <v>0</v>
      </c>
      <c r="H172" s="119">
        <f t="shared" ref="H172:I172" si="171">SUM(L172,Q172,V172,AA172,AF172,AK172,AP172,AU172,AZ172,BE172,BJ172,BO172,BT172,BY172,CD172)</f>
        <v>0</v>
      </c>
      <c r="I172" s="132">
        <f t="shared" si="171"/>
        <v>0</v>
      </c>
      <c r="J172" s="119"/>
      <c r="K172" s="119"/>
      <c r="L172" s="119"/>
      <c r="M172" s="119"/>
      <c r="N172" s="133"/>
      <c r="O172" s="119"/>
      <c r="P172" s="119"/>
      <c r="Q172" s="119"/>
      <c r="R172" s="119"/>
      <c r="S172" s="133"/>
      <c r="T172" s="119"/>
      <c r="U172" s="119"/>
      <c r="V172" s="119"/>
      <c r="W172" s="119"/>
      <c r="X172" s="133"/>
      <c r="Y172" s="119"/>
      <c r="Z172" s="119"/>
      <c r="AA172" s="119"/>
      <c r="AB172" s="119"/>
      <c r="AC172" s="133"/>
      <c r="AD172" s="119"/>
      <c r="AE172" s="119"/>
      <c r="AF172" s="119"/>
      <c r="AG172" s="119"/>
      <c r="AH172" s="133"/>
      <c r="AI172" s="119"/>
      <c r="AJ172" s="119"/>
      <c r="AK172" s="119"/>
      <c r="AL172" s="119"/>
      <c r="AM172" s="133"/>
      <c r="AN172" s="119"/>
      <c r="AO172" s="119"/>
      <c r="AP172" s="119"/>
      <c r="AQ172" s="119"/>
      <c r="AR172" s="133"/>
      <c r="AS172" s="119"/>
      <c r="AT172" s="119"/>
      <c r="AU172" s="119"/>
      <c r="AV172" s="119"/>
      <c r="AW172" s="133"/>
      <c r="AX172" s="119"/>
      <c r="AY172" s="119"/>
      <c r="AZ172" s="119"/>
      <c r="BA172" s="119"/>
      <c r="BB172" s="133"/>
      <c r="BC172" s="119"/>
      <c r="BD172" s="119"/>
      <c r="BE172" s="119"/>
      <c r="BF172" s="119"/>
      <c r="BG172" s="133"/>
      <c r="BH172" s="119"/>
      <c r="BI172" s="119"/>
      <c r="BJ172" s="119"/>
      <c r="BK172" s="119"/>
      <c r="BL172" s="133"/>
      <c r="BM172" s="119"/>
      <c r="BN172" s="119"/>
      <c r="BO172" s="119"/>
      <c r="BP172" s="119"/>
      <c r="BQ172" s="133"/>
      <c r="BR172" s="119"/>
      <c r="BS172" s="119"/>
      <c r="BT172" s="119"/>
      <c r="BU172" s="119"/>
      <c r="BV172" s="133"/>
      <c r="BW172" s="119"/>
      <c r="BX172" s="119"/>
      <c r="BY172" s="119"/>
      <c r="BZ172" s="119"/>
      <c r="CA172" s="133"/>
      <c r="CB172" s="119"/>
      <c r="CC172" s="119"/>
      <c r="CD172" s="119"/>
      <c r="CE172" s="119"/>
      <c r="CF172" s="133"/>
    </row>
    <row r="173" spans="1:84" ht="12.75">
      <c r="A173" s="119" t="s">
        <v>634</v>
      </c>
      <c r="B173" s="119" t="s">
        <v>623</v>
      </c>
      <c r="C173" s="119" t="s">
        <v>635</v>
      </c>
      <c r="D173" s="119" t="s">
        <v>158</v>
      </c>
      <c r="E173" s="119" t="s">
        <v>129</v>
      </c>
      <c r="F173" s="131">
        <f t="shared" si="0"/>
        <v>0</v>
      </c>
      <c r="G173" s="119">
        <f t="shared" si="1"/>
        <v>0</v>
      </c>
      <c r="H173" s="119">
        <f t="shared" ref="H173:I173" si="172">SUM(L173,Q173,V173,AA173,AF173,AK173,AP173,AU173,AZ173,BE173,BJ173,BO173,BT173,BY173,CD173)</f>
        <v>0</v>
      </c>
      <c r="I173" s="132">
        <f t="shared" si="172"/>
        <v>0</v>
      </c>
      <c r="J173" s="119"/>
      <c r="K173" s="119"/>
      <c r="L173" s="119"/>
      <c r="M173" s="119"/>
      <c r="N173" s="133"/>
      <c r="O173" s="119"/>
      <c r="P173" s="119"/>
      <c r="Q173" s="119"/>
      <c r="R173" s="119"/>
      <c r="S173" s="133"/>
      <c r="T173" s="119"/>
      <c r="U173" s="119"/>
      <c r="V173" s="119"/>
      <c r="W173" s="119"/>
      <c r="X173" s="133"/>
      <c r="Y173" s="119"/>
      <c r="Z173" s="119"/>
      <c r="AA173" s="119"/>
      <c r="AB173" s="119"/>
      <c r="AC173" s="133"/>
      <c r="AD173" s="119"/>
      <c r="AE173" s="119"/>
      <c r="AF173" s="119"/>
      <c r="AG173" s="119"/>
      <c r="AH173" s="133"/>
      <c r="AI173" s="119"/>
      <c r="AJ173" s="119"/>
      <c r="AK173" s="119"/>
      <c r="AL173" s="119"/>
      <c r="AM173" s="133"/>
      <c r="AN173" s="119"/>
      <c r="AO173" s="119"/>
      <c r="AP173" s="119"/>
      <c r="AQ173" s="119"/>
      <c r="AR173" s="133"/>
      <c r="AS173" s="119"/>
      <c r="AT173" s="119"/>
      <c r="AU173" s="119"/>
      <c r="AV173" s="119"/>
      <c r="AW173" s="133"/>
      <c r="AX173" s="119"/>
      <c r="AY173" s="119"/>
      <c r="AZ173" s="119"/>
      <c r="BA173" s="119"/>
      <c r="BB173" s="133"/>
      <c r="BC173" s="119"/>
      <c r="BD173" s="119"/>
      <c r="BE173" s="119"/>
      <c r="BF173" s="119"/>
      <c r="BG173" s="133"/>
      <c r="BH173" s="119"/>
      <c r="BI173" s="119"/>
      <c r="BJ173" s="119"/>
      <c r="BK173" s="119"/>
      <c r="BL173" s="133"/>
      <c r="BM173" s="119"/>
      <c r="BN173" s="119"/>
      <c r="BO173" s="119"/>
      <c r="BP173" s="119"/>
      <c r="BQ173" s="133"/>
      <c r="BR173" s="119"/>
      <c r="BS173" s="119"/>
      <c r="BT173" s="119"/>
      <c r="BU173" s="119"/>
      <c r="BV173" s="133"/>
      <c r="BW173" s="119"/>
      <c r="BX173" s="119"/>
      <c r="BY173" s="119"/>
      <c r="BZ173" s="119"/>
      <c r="CA173" s="133"/>
      <c r="CB173" s="119"/>
      <c r="CC173" s="119"/>
      <c r="CD173" s="119"/>
      <c r="CE173" s="119"/>
      <c r="CF173" s="133"/>
    </row>
    <row r="174" spans="1:84" ht="12.75">
      <c r="A174" s="119" t="s">
        <v>636</v>
      </c>
      <c r="B174" s="119" t="s">
        <v>637</v>
      </c>
      <c r="C174" s="119" t="s">
        <v>638</v>
      </c>
      <c r="D174" s="119" t="s">
        <v>152</v>
      </c>
      <c r="E174" s="119" t="s">
        <v>125</v>
      </c>
      <c r="F174" s="131">
        <f t="shared" si="0"/>
        <v>0</v>
      </c>
      <c r="G174" s="119">
        <f t="shared" si="1"/>
        <v>0</v>
      </c>
      <c r="H174" s="119">
        <f t="shared" ref="H174:I174" si="173">SUM(L174,Q174,V174,AA174,AF174,AK174,AP174,AU174,AZ174,BE174,BJ174,BO174,BT174,BY174,CD174)</f>
        <v>0</v>
      </c>
      <c r="I174" s="132">
        <f t="shared" si="173"/>
        <v>0</v>
      </c>
      <c r="J174" s="119"/>
      <c r="K174" s="119"/>
      <c r="L174" s="119"/>
      <c r="M174" s="119"/>
      <c r="N174" s="133"/>
      <c r="O174" s="119"/>
      <c r="P174" s="119"/>
      <c r="Q174" s="119"/>
      <c r="R174" s="119"/>
      <c r="S174" s="133"/>
      <c r="T174" s="119"/>
      <c r="U174" s="119"/>
      <c r="V174" s="119"/>
      <c r="W174" s="119"/>
      <c r="X174" s="133"/>
      <c r="Y174" s="119"/>
      <c r="Z174" s="119"/>
      <c r="AA174" s="119"/>
      <c r="AB174" s="119"/>
      <c r="AC174" s="133"/>
      <c r="AD174" s="119"/>
      <c r="AE174" s="119"/>
      <c r="AF174" s="119"/>
      <c r="AG174" s="119"/>
      <c r="AH174" s="133"/>
      <c r="AI174" s="119"/>
      <c r="AJ174" s="119"/>
      <c r="AK174" s="119"/>
      <c r="AL174" s="119"/>
      <c r="AM174" s="133"/>
      <c r="AN174" s="119"/>
      <c r="AO174" s="119"/>
      <c r="AP174" s="119"/>
      <c r="AQ174" s="119"/>
      <c r="AR174" s="133"/>
      <c r="AS174" s="119"/>
      <c r="AT174" s="119"/>
      <c r="AU174" s="119"/>
      <c r="AV174" s="119"/>
      <c r="AW174" s="133"/>
      <c r="AX174" s="119"/>
      <c r="AY174" s="119"/>
      <c r="AZ174" s="119"/>
      <c r="BA174" s="119"/>
      <c r="BB174" s="133"/>
      <c r="BC174" s="119"/>
      <c r="BD174" s="119"/>
      <c r="BE174" s="119"/>
      <c r="BF174" s="119"/>
      <c r="BG174" s="133"/>
      <c r="BH174" s="119"/>
      <c r="BI174" s="119"/>
      <c r="BJ174" s="119"/>
      <c r="BK174" s="119"/>
      <c r="BL174" s="133"/>
      <c r="BM174" s="119"/>
      <c r="BN174" s="119"/>
      <c r="BO174" s="119"/>
      <c r="BP174" s="119"/>
      <c r="BQ174" s="133"/>
      <c r="BR174" s="119"/>
      <c r="BS174" s="119"/>
      <c r="BT174" s="119"/>
      <c r="BU174" s="119"/>
      <c r="BV174" s="133"/>
      <c r="BW174" s="119"/>
      <c r="BX174" s="119"/>
      <c r="BY174" s="119"/>
      <c r="BZ174" s="119"/>
      <c r="CA174" s="133"/>
      <c r="CB174" s="119"/>
      <c r="CC174" s="119"/>
      <c r="CD174" s="119"/>
      <c r="CE174" s="119"/>
      <c r="CF174" s="133"/>
    </row>
    <row r="175" spans="1:84" ht="12.75">
      <c r="A175" s="119" t="s">
        <v>639</v>
      </c>
      <c r="B175" s="119" t="s">
        <v>640</v>
      </c>
      <c r="C175" s="119" t="s">
        <v>200</v>
      </c>
      <c r="D175" s="119" t="s">
        <v>158</v>
      </c>
      <c r="E175" s="119" t="s">
        <v>125</v>
      </c>
      <c r="F175" s="131">
        <f t="shared" si="0"/>
        <v>0</v>
      </c>
      <c r="G175" s="119">
        <f t="shared" si="1"/>
        <v>0</v>
      </c>
      <c r="H175" s="119">
        <f t="shared" ref="H175:I175" si="174">SUM(L175,Q175,V175,AA175,AF175,AK175,AP175,AU175,AZ175,BE175,BJ175,BO175,BT175,BY175,CD175)</f>
        <v>0</v>
      </c>
      <c r="I175" s="132">
        <f t="shared" si="174"/>
        <v>0</v>
      </c>
      <c r="J175" s="119"/>
      <c r="K175" s="119"/>
      <c r="L175" s="119"/>
      <c r="M175" s="119"/>
      <c r="N175" s="133"/>
      <c r="O175" s="119"/>
      <c r="P175" s="119"/>
      <c r="Q175" s="119"/>
      <c r="R175" s="119"/>
      <c r="S175" s="133"/>
      <c r="T175" s="119"/>
      <c r="U175" s="119"/>
      <c r="V175" s="119"/>
      <c r="W175" s="119"/>
      <c r="X175" s="133"/>
      <c r="Y175" s="119"/>
      <c r="Z175" s="119"/>
      <c r="AA175" s="119"/>
      <c r="AB175" s="119"/>
      <c r="AC175" s="133"/>
      <c r="AD175" s="119"/>
      <c r="AE175" s="119"/>
      <c r="AF175" s="119"/>
      <c r="AG175" s="119"/>
      <c r="AH175" s="133"/>
      <c r="AI175" s="119"/>
      <c r="AJ175" s="119"/>
      <c r="AK175" s="119"/>
      <c r="AL175" s="119"/>
      <c r="AM175" s="133"/>
      <c r="AN175" s="119"/>
      <c r="AO175" s="119"/>
      <c r="AP175" s="119"/>
      <c r="AQ175" s="119"/>
      <c r="AR175" s="133"/>
      <c r="AS175" s="119"/>
      <c r="AT175" s="119"/>
      <c r="AU175" s="119"/>
      <c r="AV175" s="119"/>
      <c r="AW175" s="133"/>
      <c r="AX175" s="119"/>
      <c r="AY175" s="119"/>
      <c r="AZ175" s="119"/>
      <c r="BA175" s="119"/>
      <c r="BB175" s="133"/>
      <c r="BC175" s="119"/>
      <c r="BD175" s="119"/>
      <c r="BE175" s="119"/>
      <c r="BF175" s="119"/>
      <c r="BG175" s="133"/>
      <c r="BH175" s="119"/>
      <c r="BI175" s="119"/>
      <c r="BJ175" s="119"/>
      <c r="BK175" s="119"/>
      <c r="BL175" s="133"/>
      <c r="BM175" s="119"/>
      <c r="BN175" s="119"/>
      <c r="BO175" s="119"/>
      <c r="BP175" s="119"/>
      <c r="BQ175" s="133"/>
      <c r="BR175" s="119"/>
      <c r="BS175" s="119"/>
      <c r="BT175" s="119"/>
      <c r="BU175" s="119"/>
      <c r="BV175" s="133"/>
      <c r="BW175" s="119"/>
      <c r="BX175" s="119"/>
      <c r="BY175" s="119"/>
      <c r="BZ175" s="119"/>
      <c r="CA175" s="133"/>
      <c r="CB175" s="119"/>
      <c r="CC175" s="119"/>
      <c r="CD175" s="119"/>
      <c r="CE175" s="119"/>
      <c r="CF175" s="133"/>
    </row>
    <row r="176" spans="1:84" ht="12.75">
      <c r="A176" s="119" t="s">
        <v>641</v>
      </c>
      <c r="B176" s="119" t="s">
        <v>642</v>
      </c>
      <c r="C176" s="119" t="s">
        <v>643</v>
      </c>
      <c r="D176" s="119" t="s">
        <v>152</v>
      </c>
      <c r="E176" s="119" t="s">
        <v>30</v>
      </c>
      <c r="F176" s="131">
        <f t="shared" si="0"/>
        <v>0</v>
      </c>
      <c r="G176" s="119">
        <f t="shared" si="1"/>
        <v>0</v>
      </c>
      <c r="H176" s="119">
        <f t="shared" ref="H176:I176" si="175">SUM(L176,Q176,V176,AA176,AF176,AK176,AP176,AU176,AZ176,BE176,BJ176,BO176,BT176,BY176,CD176)</f>
        <v>0</v>
      </c>
      <c r="I176" s="132">
        <f t="shared" si="175"/>
        <v>0</v>
      </c>
      <c r="J176" s="119"/>
      <c r="K176" s="119"/>
      <c r="L176" s="119"/>
      <c r="M176" s="119"/>
      <c r="N176" s="133"/>
      <c r="O176" s="119"/>
      <c r="P176" s="119"/>
      <c r="Q176" s="119"/>
      <c r="R176" s="119"/>
      <c r="S176" s="133"/>
      <c r="T176" s="119"/>
      <c r="U176" s="119"/>
      <c r="V176" s="119"/>
      <c r="W176" s="119"/>
      <c r="X176" s="133"/>
      <c r="Y176" s="119"/>
      <c r="Z176" s="119"/>
      <c r="AA176" s="119"/>
      <c r="AB176" s="119"/>
      <c r="AC176" s="133"/>
      <c r="AD176" s="119"/>
      <c r="AE176" s="119"/>
      <c r="AF176" s="119"/>
      <c r="AG176" s="119"/>
      <c r="AH176" s="133"/>
      <c r="AI176" s="119"/>
      <c r="AJ176" s="119"/>
      <c r="AK176" s="119"/>
      <c r="AL176" s="119"/>
      <c r="AM176" s="133"/>
      <c r="AN176" s="119"/>
      <c r="AO176" s="119"/>
      <c r="AP176" s="119"/>
      <c r="AQ176" s="119"/>
      <c r="AR176" s="133"/>
      <c r="AS176" s="119"/>
      <c r="AT176" s="119"/>
      <c r="AU176" s="119"/>
      <c r="AV176" s="119"/>
      <c r="AW176" s="133"/>
      <c r="AX176" s="119"/>
      <c r="AY176" s="119"/>
      <c r="AZ176" s="119"/>
      <c r="BA176" s="119"/>
      <c r="BB176" s="133"/>
      <c r="BC176" s="119"/>
      <c r="BD176" s="119"/>
      <c r="BE176" s="119"/>
      <c r="BF176" s="119"/>
      <c r="BG176" s="133"/>
      <c r="BH176" s="119"/>
      <c r="BI176" s="119"/>
      <c r="BJ176" s="119"/>
      <c r="BK176" s="119"/>
      <c r="BL176" s="133"/>
      <c r="BM176" s="119"/>
      <c r="BN176" s="119"/>
      <c r="BO176" s="119"/>
      <c r="BP176" s="119"/>
      <c r="BQ176" s="133"/>
      <c r="BR176" s="119"/>
      <c r="BS176" s="119"/>
      <c r="BT176" s="119"/>
      <c r="BU176" s="119"/>
      <c r="BV176" s="133"/>
      <c r="BW176" s="119"/>
      <c r="BX176" s="119"/>
      <c r="BY176" s="119"/>
      <c r="BZ176" s="119"/>
      <c r="CA176" s="133"/>
      <c r="CB176" s="119"/>
      <c r="CC176" s="119"/>
      <c r="CD176" s="119"/>
      <c r="CE176" s="119"/>
      <c r="CF176" s="133"/>
    </row>
    <row r="177" spans="1:84" ht="12.75">
      <c r="A177" s="119" t="s">
        <v>644</v>
      </c>
      <c r="B177" s="119" t="s">
        <v>645</v>
      </c>
      <c r="C177" s="119" t="s">
        <v>643</v>
      </c>
      <c r="D177" s="119" t="s">
        <v>158</v>
      </c>
      <c r="E177" s="119" t="s">
        <v>30</v>
      </c>
      <c r="F177" s="131">
        <f t="shared" si="0"/>
        <v>0</v>
      </c>
      <c r="G177" s="119">
        <f t="shared" si="1"/>
        <v>0</v>
      </c>
      <c r="H177" s="119">
        <f t="shared" ref="H177:I177" si="176">SUM(L177,Q177,V177,AA177,AF177,AK177,AP177,AU177,AZ177,BE177,BJ177,BO177,BT177,BY177,CD177)</f>
        <v>0</v>
      </c>
      <c r="I177" s="132">
        <f t="shared" si="176"/>
        <v>0</v>
      </c>
      <c r="J177" s="119"/>
      <c r="K177" s="119"/>
      <c r="L177" s="119"/>
      <c r="M177" s="119"/>
      <c r="N177" s="133"/>
      <c r="O177" s="119"/>
      <c r="P177" s="119"/>
      <c r="Q177" s="119"/>
      <c r="R177" s="119"/>
      <c r="S177" s="133"/>
      <c r="T177" s="119"/>
      <c r="U177" s="119"/>
      <c r="V177" s="119"/>
      <c r="W177" s="119"/>
      <c r="X177" s="133"/>
      <c r="Y177" s="119"/>
      <c r="Z177" s="119"/>
      <c r="AA177" s="119"/>
      <c r="AB177" s="119"/>
      <c r="AC177" s="133"/>
      <c r="AD177" s="119"/>
      <c r="AE177" s="119"/>
      <c r="AF177" s="119"/>
      <c r="AG177" s="119"/>
      <c r="AH177" s="133"/>
      <c r="AI177" s="119"/>
      <c r="AJ177" s="119"/>
      <c r="AK177" s="119"/>
      <c r="AL177" s="119"/>
      <c r="AM177" s="133"/>
      <c r="AN177" s="119"/>
      <c r="AO177" s="119"/>
      <c r="AP177" s="119"/>
      <c r="AQ177" s="119"/>
      <c r="AR177" s="133"/>
      <c r="AS177" s="119"/>
      <c r="AT177" s="119"/>
      <c r="AU177" s="119"/>
      <c r="AV177" s="119"/>
      <c r="AW177" s="133"/>
      <c r="AX177" s="119"/>
      <c r="AY177" s="119"/>
      <c r="AZ177" s="119"/>
      <c r="BA177" s="119"/>
      <c r="BB177" s="133"/>
      <c r="BC177" s="119"/>
      <c r="BD177" s="119"/>
      <c r="BE177" s="119"/>
      <c r="BF177" s="119"/>
      <c r="BG177" s="133"/>
      <c r="BH177" s="119"/>
      <c r="BI177" s="119"/>
      <c r="BJ177" s="119"/>
      <c r="BK177" s="119"/>
      <c r="BL177" s="133"/>
      <c r="BM177" s="119"/>
      <c r="BN177" s="119"/>
      <c r="BO177" s="119"/>
      <c r="BP177" s="119"/>
      <c r="BQ177" s="133"/>
      <c r="BR177" s="119"/>
      <c r="BS177" s="119"/>
      <c r="BT177" s="119"/>
      <c r="BU177" s="119"/>
      <c r="BV177" s="133"/>
      <c r="BW177" s="119"/>
      <c r="BX177" s="119"/>
      <c r="BY177" s="119"/>
      <c r="BZ177" s="119"/>
      <c r="CA177" s="133"/>
      <c r="CB177" s="119"/>
      <c r="CC177" s="119"/>
      <c r="CD177" s="119"/>
      <c r="CE177" s="119"/>
      <c r="CF177" s="133"/>
    </row>
    <row r="178" spans="1:84" ht="12.75">
      <c r="A178" s="119" t="s">
        <v>646</v>
      </c>
      <c r="B178" s="119" t="s">
        <v>647</v>
      </c>
      <c r="C178" s="119" t="s">
        <v>648</v>
      </c>
      <c r="D178" s="119" t="s">
        <v>152</v>
      </c>
      <c r="E178" s="119" t="s">
        <v>132</v>
      </c>
      <c r="F178" s="131">
        <f t="shared" si="0"/>
        <v>0</v>
      </c>
      <c r="G178" s="119">
        <f t="shared" si="1"/>
        <v>0</v>
      </c>
      <c r="H178" s="119">
        <f t="shared" ref="H178:I178" si="177">SUM(L178,Q178,V178,AA178,AF178,AK178,AP178,AU178,AZ178,BE178,BJ178,BO178,BT178,BY178,CD178)</f>
        <v>0</v>
      </c>
      <c r="I178" s="132">
        <f t="shared" si="177"/>
        <v>0</v>
      </c>
      <c r="J178" s="119"/>
      <c r="K178" s="119"/>
      <c r="L178" s="119"/>
      <c r="M178" s="119"/>
      <c r="N178" s="133"/>
      <c r="O178" s="119"/>
      <c r="P178" s="119"/>
      <c r="Q178" s="119"/>
      <c r="R178" s="119"/>
      <c r="S178" s="133"/>
      <c r="T178" s="119"/>
      <c r="U178" s="119"/>
      <c r="V178" s="119"/>
      <c r="W178" s="119"/>
      <c r="X178" s="133"/>
      <c r="Y178" s="119"/>
      <c r="Z178" s="119"/>
      <c r="AA178" s="119"/>
      <c r="AB178" s="119"/>
      <c r="AC178" s="133"/>
      <c r="AD178" s="119"/>
      <c r="AE178" s="119"/>
      <c r="AF178" s="119"/>
      <c r="AG178" s="119"/>
      <c r="AH178" s="133"/>
      <c r="AI178" s="119"/>
      <c r="AJ178" s="119"/>
      <c r="AK178" s="119"/>
      <c r="AL178" s="119"/>
      <c r="AM178" s="133"/>
      <c r="AN178" s="119"/>
      <c r="AO178" s="119"/>
      <c r="AP178" s="119"/>
      <c r="AQ178" s="119"/>
      <c r="AR178" s="133"/>
      <c r="AS178" s="119"/>
      <c r="AT178" s="119"/>
      <c r="AU178" s="119"/>
      <c r="AV178" s="119"/>
      <c r="AW178" s="133"/>
      <c r="AX178" s="119"/>
      <c r="AY178" s="119"/>
      <c r="AZ178" s="119"/>
      <c r="BA178" s="119"/>
      <c r="BB178" s="133"/>
      <c r="BC178" s="119"/>
      <c r="BD178" s="119"/>
      <c r="BE178" s="119"/>
      <c r="BF178" s="119"/>
      <c r="BG178" s="133"/>
      <c r="BH178" s="119"/>
      <c r="BI178" s="119"/>
      <c r="BJ178" s="119"/>
      <c r="BK178" s="119"/>
      <c r="BL178" s="133"/>
      <c r="BM178" s="119"/>
      <c r="BN178" s="119"/>
      <c r="BO178" s="119"/>
      <c r="BP178" s="119"/>
      <c r="BQ178" s="133"/>
      <c r="BR178" s="119"/>
      <c r="BS178" s="119"/>
      <c r="BT178" s="119"/>
      <c r="BU178" s="119"/>
      <c r="BV178" s="133"/>
      <c r="BW178" s="119"/>
      <c r="BX178" s="119"/>
      <c r="BY178" s="119"/>
      <c r="BZ178" s="119"/>
      <c r="CA178" s="133"/>
      <c r="CB178" s="119"/>
      <c r="CC178" s="119"/>
      <c r="CD178" s="119"/>
      <c r="CE178" s="119"/>
      <c r="CF178" s="133"/>
    </row>
    <row r="179" spans="1:84" ht="12.75">
      <c r="A179" s="119" t="s">
        <v>649</v>
      </c>
      <c r="B179" s="119" t="s">
        <v>650</v>
      </c>
      <c r="C179" s="119" t="s">
        <v>580</v>
      </c>
      <c r="D179" s="119" t="s">
        <v>158</v>
      </c>
      <c r="E179" s="119" t="s">
        <v>132</v>
      </c>
      <c r="F179" s="131">
        <f t="shared" si="0"/>
        <v>0</v>
      </c>
      <c r="G179" s="119">
        <f t="shared" si="1"/>
        <v>0</v>
      </c>
      <c r="H179" s="119">
        <f t="shared" ref="H179:I179" si="178">SUM(L179,Q179,V179,AA179,AF179,AK179,AP179,AU179,AZ179,BE179,BJ179,BO179,BT179,BY179,CD179)</f>
        <v>0</v>
      </c>
      <c r="I179" s="132">
        <f t="shared" si="178"/>
        <v>0</v>
      </c>
      <c r="J179" s="119"/>
      <c r="K179" s="119"/>
      <c r="L179" s="119"/>
      <c r="M179" s="119"/>
      <c r="N179" s="133"/>
      <c r="O179" s="119"/>
      <c r="P179" s="119"/>
      <c r="Q179" s="119"/>
      <c r="R179" s="119"/>
      <c r="S179" s="133"/>
      <c r="T179" s="119"/>
      <c r="U179" s="119"/>
      <c r="V179" s="119"/>
      <c r="W179" s="119"/>
      <c r="X179" s="133"/>
      <c r="Y179" s="119"/>
      <c r="Z179" s="119"/>
      <c r="AA179" s="119"/>
      <c r="AB179" s="119"/>
      <c r="AC179" s="133"/>
      <c r="AD179" s="119"/>
      <c r="AE179" s="119"/>
      <c r="AF179" s="119"/>
      <c r="AG179" s="119"/>
      <c r="AH179" s="133"/>
      <c r="AI179" s="119"/>
      <c r="AJ179" s="119"/>
      <c r="AK179" s="119"/>
      <c r="AL179" s="119"/>
      <c r="AM179" s="133"/>
      <c r="AN179" s="119"/>
      <c r="AO179" s="119"/>
      <c r="AP179" s="119"/>
      <c r="AQ179" s="119"/>
      <c r="AR179" s="133"/>
      <c r="AS179" s="119"/>
      <c r="AT179" s="119"/>
      <c r="AU179" s="119"/>
      <c r="AV179" s="119"/>
      <c r="AW179" s="133"/>
      <c r="AX179" s="119"/>
      <c r="AY179" s="119"/>
      <c r="AZ179" s="119"/>
      <c r="BA179" s="119"/>
      <c r="BB179" s="133"/>
      <c r="BC179" s="119"/>
      <c r="BD179" s="119"/>
      <c r="BE179" s="119"/>
      <c r="BF179" s="119"/>
      <c r="BG179" s="133"/>
      <c r="BH179" s="119"/>
      <c r="BI179" s="119"/>
      <c r="BJ179" s="119"/>
      <c r="BK179" s="119"/>
      <c r="BL179" s="133"/>
      <c r="BM179" s="119"/>
      <c r="BN179" s="119"/>
      <c r="BO179" s="119"/>
      <c r="BP179" s="119"/>
      <c r="BQ179" s="133"/>
      <c r="BR179" s="119"/>
      <c r="BS179" s="119"/>
      <c r="BT179" s="119"/>
      <c r="BU179" s="119"/>
      <c r="BV179" s="133"/>
      <c r="BW179" s="119"/>
      <c r="BX179" s="119"/>
      <c r="BY179" s="119"/>
      <c r="BZ179" s="119"/>
      <c r="CA179" s="133"/>
      <c r="CB179" s="119"/>
      <c r="CC179" s="119"/>
      <c r="CD179" s="119"/>
      <c r="CE179" s="119"/>
      <c r="CF179" s="133"/>
    </row>
    <row r="180" spans="1:84" ht="12.75">
      <c r="A180" s="119" t="s">
        <v>651</v>
      </c>
      <c r="B180" s="119" t="s">
        <v>652</v>
      </c>
      <c r="C180" s="119" t="s">
        <v>203</v>
      </c>
      <c r="D180" s="119" t="s">
        <v>152</v>
      </c>
      <c r="E180" s="119" t="s">
        <v>35</v>
      </c>
      <c r="F180" s="131">
        <f t="shared" si="0"/>
        <v>0</v>
      </c>
      <c r="G180" s="119">
        <f t="shared" si="1"/>
        <v>0</v>
      </c>
      <c r="H180" s="119">
        <f t="shared" ref="H180:I180" si="179">SUM(L180,Q180,V180,AA180,AF180,AK180,AP180,AU180,AZ180,BE180,BJ180,BO180,BT180,BY180,CD180)</f>
        <v>0</v>
      </c>
      <c r="I180" s="132">
        <f t="shared" si="179"/>
        <v>0</v>
      </c>
      <c r="J180" s="119"/>
      <c r="K180" s="119"/>
      <c r="L180" s="119"/>
      <c r="M180" s="119"/>
      <c r="N180" s="133"/>
      <c r="O180" s="119"/>
      <c r="P180" s="119"/>
      <c r="Q180" s="119"/>
      <c r="R180" s="119"/>
      <c r="S180" s="133"/>
      <c r="T180" s="119"/>
      <c r="U180" s="119"/>
      <c r="V180" s="119"/>
      <c r="W180" s="119"/>
      <c r="X180" s="133"/>
      <c r="Y180" s="119"/>
      <c r="Z180" s="119"/>
      <c r="AA180" s="119"/>
      <c r="AB180" s="119"/>
      <c r="AC180" s="133"/>
      <c r="AD180" s="119"/>
      <c r="AE180" s="119"/>
      <c r="AF180" s="119"/>
      <c r="AG180" s="119"/>
      <c r="AH180" s="133"/>
      <c r="AI180" s="119"/>
      <c r="AJ180" s="119"/>
      <c r="AK180" s="119"/>
      <c r="AL180" s="119"/>
      <c r="AM180" s="133"/>
      <c r="AN180" s="119"/>
      <c r="AO180" s="119"/>
      <c r="AP180" s="119"/>
      <c r="AQ180" s="119"/>
      <c r="AR180" s="133"/>
      <c r="AS180" s="119"/>
      <c r="AT180" s="119"/>
      <c r="AU180" s="119"/>
      <c r="AV180" s="119"/>
      <c r="AW180" s="133"/>
      <c r="AX180" s="119"/>
      <c r="AY180" s="119"/>
      <c r="AZ180" s="119"/>
      <c r="BA180" s="119"/>
      <c r="BB180" s="133"/>
      <c r="BC180" s="119"/>
      <c r="BD180" s="119"/>
      <c r="BE180" s="119"/>
      <c r="BF180" s="119"/>
      <c r="BG180" s="133"/>
      <c r="BH180" s="119"/>
      <c r="BI180" s="119"/>
      <c r="BJ180" s="119"/>
      <c r="BK180" s="119"/>
      <c r="BL180" s="133"/>
      <c r="BM180" s="119"/>
      <c r="BN180" s="119"/>
      <c r="BO180" s="119"/>
      <c r="BP180" s="119"/>
      <c r="BQ180" s="133"/>
      <c r="BR180" s="119"/>
      <c r="BS180" s="119"/>
      <c r="BT180" s="119"/>
      <c r="BU180" s="119"/>
      <c r="BV180" s="133"/>
      <c r="BW180" s="119"/>
      <c r="BX180" s="119"/>
      <c r="BY180" s="119"/>
      <c r="BZ180" s="119"/>
      <c r="CA180" s="133"/>
      <c r="CB180" s="119"/>
      <c r="CC180" s="119"/>
      <c r="CD180" s="119"/>
      <c r="CE180" s="119"/>
      <c r="CF180" s="133"/>
    </row>
    <row r="181" spans="1:84" ht="12.75">
      <c r="A181" s="119" t="s">
        <v>653</v>
      </c>
      <c r="B181" s="119" t="s">
        <v>654</v>
      </c>
      <c r="C181" s="119" t="s">
        <v>655</v>
      </c>
      <c r="D181" s="119" t="s">
        <v>158</v>
      </c>
      <c r="E181" s="119" t="s">
        <v>35</v>
      </c>
      <c r="F181" s="131">
        <f t="shared" si="0"/>
        <v>0</v>
      </c>
      <c r="G181" s="119">
        <f t="shared" si="1"/>
        <v>0</v>
      </c>
      <c r="H181" s="119">
        <f t="shared" ref="H181:I181" si="180">SUM(L181,Q181,V181,AA181,AF181,AK181,AP181,AU181,AZ181,BE181,BJ181,BO181,BT181,BY181,CD181)</f>
        <v>0</v>
      </c>
      <c r="I181" s="132">
        <f t="shared" si="180"/>
        <v>0</v>
      </c>
      <c r="J181" s="119"/>
      <c r="K181" s="119"/>
      <c r="L181" s="119"/>
      <c r="M181" s="119"/>
      <c r="N181" s="133"/>
      <c r="O181" s="119"/>
      <c r="P181" s="119"/>
      <c r="Q181" s="119"/>
      <c r="R181" s="119"/>
      <c r="S181" s="133"/>
      <c r="T181" s="119"/>
      <c r="U181" s="119"/>
      <c r="V181" s="119"/>
      <c r="W181" s="119"/>
      <c r="X181" s="133"/>
      <c r="Y181" s="119"/>
      <c r="Z181" s="119"/>
      <c r="AA181" s="119"/>
      <c r="AB181" s="119"/>
      <c r="AC181" s="133"/>
      <c r="AD181" s="119"/>
      <c r="AE181" s="119"/>
      <c r="AF181" s="119"/>
      <c r="AG181" s="119"/>
      <c r="AH181" s="133"/>
      <c r="AI181" s="119"/>
      <c r="AJ181" s="119"/>
      <c r="AK181" s="119"/>
      <c r="AL181" s="119"/>
      <c r="AM181" s="133"/>
      <c r="AN181" s="119"/>
      <c r="AO181" s="119"/>
      <c r="AP181" s="119"/>
      <c r="AQ181" s="119"/>
      <c r="AR181" s="133"/>
      <c r="AS181" s="119"/>
      <c r="AT181" s="119"/>
      <c r="AU181" s="119"/>
      <c r="AV181" s="119"/>
      <c r="AW181" s="133"/>
      <c r="AX181" s="119"/>
      <c r="AY181" s="119"/>
      <c r="AZ181" s="119"/>
      <c r="BA181" s="119"/>
      <c r="BB181" s="133"/>
      <c r="BC181" s="119"/>
      <c r="BD181" s="119"/>
      <c r="BE181" s="119"/>
      <c r="BF181" s="119"/>
      <c r="BG181" s="133"/>
      <c r="BH181" s="119"/>
      <c r="BI181" s="119"/>
      <c r="BJ181" s="119"/>
      <c r="BK181" s="119"/>
      <c r="BL181" s="133"/>
      <c r="BM181" s="119"/>
      <c r="BN181" s="119"/>
      <c r="BO181" s="119"/>
      <c r="BP181" s="119"/>
      <c r="BQ181" s="133"/>
      <c r="BR181" s="119"/>
      <c r="BS181" s="119"/>
      <c r="BT181" s="119"/>
      <c r="BU181" s="119"/>
      <c r="BV181" s="133"/>
      <c r="BW181" s="119"/>
      <c r="BX181" s="119"/>
      <c r="BY181" s="119"/>
      <c r="BZ181" s="119"/>
      <c r="CA181" s="133"/>
      <c r="CB181" s="119"/>
      <c r="CC181" s="119"/>
      <c r="CD181" s="119"/>
      <c r="CE181" s="119"/>
      <c r="CF181" s="133"/>
    </row>
    <row r="182" spans="1:84" ht="12.75">
      <c r="A182" s="119" t="s">
        <v>656</v>
      </c>
      <c r="B182" s="119" t="s">
        <v>657</v>
      </c>
      <c r="C182" s="119" t="s">
        <v>200</v>
      </c>
      <c r="D182" s="119" t="s">
        <v>152</v>
      </c>
      <c r="E182" s="119" t="s">
        <v>283</v>
      </c>
      <c r="F182" s="131">
        <f t="shared" si="0"/>
        <v>0</v>
      </c>
      <c r="G182" s="119">
        <f t="shared" si="1"/>
        <v>0</v>
      </c>
      <c r="H182" s="119">
        <f t="shared" ref="H182:I182" si="181">SUM(L182,Q182,V182,AA182,AF182,AK182,AP182,AU182,AZ182,BE182,BJ182,BO182,BT182,BY182,CD182)</f>
        <v>0</v>
      </c>
      <c r="I182" s="132">
        <f t="shared" si="181"/>
        <v>0</v>
      </c>
      <c r="J182" s="119"/>
      <c r="K182" s="119"/>
      <c r="L182" s="119"/>
      <c r="M182" s="119"/>
      <c r="N182" s="133"/>
      <c r="O182" s="119"/>
      <c r="P182" s="119"/>
      <c r="Q182" s="119"/>
      <c r="R182" s="119"/>
      <c r="S182" s="133"/>
      <c r="T182" s="119"/>
      <c r="U182" s="119"/>
      <c r="V182" s="119"/>
      <c r="W182" s="119"/>
      <c r="X182" s="133"/>
      <c r="Y182" s="119"/>
      <c r="Z182" s="119"/>
      <c r="AA182" s="119"/>
      <c r="AB182" s="119"/>
      <c r="AC182" s="133"/>
      <c r="AD182" s="119"/>
      <c r="AE182" s="119"/>
      <c r="AF182" s="119"/>
      <c r="AG182" s="119"/>
      <c r="AH182" s="133"/>
      <c r="AI182" s="119"/>
      <c r="AJ182" s="119"/>
      <c r="AK182" s="119"/>
      <c r="AL182" s="119"/>
      <c r="AM182" s="133"/>
      <c r="AN182" s="119"/>
      <c r="AO182" s="119"/>
      <c r="AP182" s="119"/>
      <c r="AQ182" s="119"/>
      <c r="AR182" s="133"/>
      <c r="AS182" s="119"/>
      <c r="AT182" s="119"/>
      <c r="AU182" s="119"/>
      <c r="AV182" s="119"/>
      <c r="AW182" s="133"/>
      <c r="AX182" s="119"/>
      <c r="AY182" s="119"/>
      <c r="AZ182" s="119"/>
      <c r="BA182" s="119"/>
      <c r="BB182" s="133"/>
      <c r="BC182" s="119"/>
      <c r="BD182" s="119"/>
      <c r="BE182" s="119"/>
      <c r="BF182" s="119"/>
      <c r="BG182" s="133"/>
      <c r="BH182" s="119"/>
      <c r="BI182" s="119"/>
      <c r="BJ182" s="119"/>
      <c r="BK182" s="119"/>
      <c r="BL182" s="133"/>
      <c r="BM182" s="119"/>
      <c r="BN182" s="119"/>
      <c r="BO182" s="119"/>
      <c r="BP182" s="119"/>
      <c r="BQ182" s="133"/>
      <c r="BR182" s="119"/>
      <c r="BS182" s="119"/>
      <c r="BT182" s="119"/>
      <c r="BU182" s="119"/>
      <c r="BV182" s="133"/>
      <c r="BW182" s="119"/>
      <c r="BX182" s="119"/>
      <c r="BY182" s="119"/>
      <c r="BZ182" s="119"/>
      <c r="CA182" s="133"/>
      <c r="CB182" s="119"/>
      <c r="CC182" s="119"/>
      <c r="CD182" s="119"/>
      <c r="CE182" s="119"/>
      <c r="CF182" s="133"/>
    </row>
    <row r="183" spans="1:84" ht="12.75">
      <c r="A183" s="119" t="s">
        <v>658</v>
      </c>
      <c r="B183" s="119" t="s">
        <v>659</v>
      </c>
      <c r="C183" s="119" t="s">
        <v>381</v>
      </c>
      <c r="D183" s="119" t="s">
        <v>158</v>
      </c>
      <c r="E183" s="119" t="s">
        <v>283</v>
      </c>
      <c r="F183" s="131">
        <f t="shared" si="0"/>
        <v>0</v>
      </c>
      <c r="G183" s="119">
        <f t="shared" si="1"/>
        <v>0</v>
      </c>
      <c r="H183" s="119">
        <f t="shared" ref="H183:I183" si="182">SUM(L183,Q183,V183,AA183,AF183,AK183,AP183,AU183,AZ183,BE183,BJ183,BO183,BT183,BY183,CD183)</f>
        <v>0</v>
      </c>
      <c r="I183" s="132">
        <f t="shared" si="182"/>
        <v>0</v>
      </c>
      <c r="J183" s="119"/>
      <c r="K183" s="119"/>
      <c r="L183" s="119"/>
      <c r="M183" s="119"/>
      <c r="N183" s="133"/>
      <c r="O183" s="119"/>
      <c r="P183" s="119"/>
      <c r="Q183" s="119"/>
      <c r="R183" s="119"/>
      <c r="S183" s="133"/>
      <c r="T183" s="119"/>
      <c r="U183" s="119"/>
      <c r="V183" s="119"/>
      <c r="W183" s="119"/>
      <c r="X183" s="133"/>
      <c r="Y183" s="119"/>
      <c r="Z183" s="119"/>
      <c r="AA183" s="119"/>
      <c r="AB183" s="119"/>
      <c r="AC183" s="133"/>
      <c r="AD183" s="119"/>
      <c r="AE183" s="119"/>
      <c r="AF183" s="119"/>
      <c r="AG183" s="119"/>
      <c r="AH183" s="133"/>
      <c r="AI183" s="119"/>
      <c r="AJ183" s="119"/>
      <c r="AK183" s="119"/>
      <c r="AL183" s="119"/>
      <c r="AM183" s="133"/>
      <c r="AN183" s="119"/>
      <c r="AO183" s="119"/>
      <c r="AP183" s="119"/>
      <c r="AQ183" s="119"/>
      <c r="AR183" s="133"/>
      <c r="AS183" s="119"/>
      <c r="AT183" s="119"/>
      <c r="AU183" s="119"/>
      <c r="AV183" s="119"/>
      <c r="AW183" s="133"/>
      <c r="AX183" s="119"/>
      <c r="AY183" s="119"/>
      <c r="AZ183" s="119"/>
      <c r="BA183" s="119"/>
      <c r="BB183" s="133"/>
      <c r="BC183" s="119"/>
      <c r="BD183" s="119"/>
      <c r="BE183" s="119"/>
      <c r="BF183" s="119"/>
      <c r="BG183" s="133"/>
      <c r="BH183" s="119"/>
      <c r="BI183" s="119"/>
      <c r="BJ183" s="119"/>
      <c r="BK183" s="119"/>
      <c r="BL183" s="133"/>
      <c r="BM183" s="119"/>
      <c r="BN183" s="119"/>
      <c r="BO183" s="119"/>
      <c r="BP183" s="119"/>
      <c r="BQ183" s="133"/>
      <c r="BR183" s="119"/>
      <c r="BS183" s="119"/>
      <c r="BT183" s="119"/>
      <c r="BU183" s="119"/>
      <c r="BV183" s="133"/>
      <c r="BW183" s="119"/>
      <c r="BX183" s="119"/>
      <c r="BY183" s="119"/>
      <c r="BZ183" s="119"/>
      <c r="CA183" s="133"/>
      <c r="CB183" s="119"/>
      <c r="CC183" s="119"/>
      <c r="CD183" s="119"/>
      <c r="CE183" s="119"/>
      <c r="CF183" s="133"/>
    </row>
    <row r="184" spans="1:84" ht="12.75">
      <c r="A184" s="119" t="s">
        <v>660</v>
      </c>
      <c r="B184" s="119" t="s">
        <v>661</v>
      </c>
      <c r="C184" s="119" t="s">
        <v>662</v>
      </c>
      <c r="D184" s="119" t="s">
        <v>152</v>
      </c>
      <c r="E184" s="119" t="s">
        <v>134</v>
      </c>
      <c r="F184" s="131">
        <f t="shared" si="0"/>
        <v>0</v>
      </c>
      <c r="G184" s="119">
        <f t="shared" si="1"/>
        <v>0</v>
      </c>
      <c r="H184" s="119">
        <f t="shared" ref="H184:I184" si="183">SUM(L184,Q184,V184,AA184,AF184,AK184,AP184,AU184,AZ184,BE184,BJ184,BO184,BT184,BY184,CD184)</f>
        <v>0</v>
      </c>
      <c r="I184" s="132">
        <f t="shared" si="183"/>
        <v>0</v>
      </c>
      <c r="J184" s="119"/>
      <c r="K184" s="119"/>
      <c r="L184" s="119"/>
      <c r="M184" s="119"/>
      <c r="N184" s="133"/>
      <c r="O184" s="119"/>
      <c r="P184" s="119"/>
      <c r="Q184" s="119"/>
      <c r="R184" s="119"/>
      <c r="S184" s="133"/>
      <c r="T184" s="119"/>
      <c r="U184" s="119"/>
      <c r="V184" s="119"/>
      <c r="W184" s="119"/>
      <c r="X184" s="133"/>
      <c r="Y184" s="119"/>
      <c r="Z184" s="119"/>
      <c r="AA184" s="119"/>
      <c r="AB184" s="119"/>
      <c r="AC184" s="133"/>
      <c r="AD184" s="119"/>
      <c r="AE184" s="119"/>
      <c r="AF184" s="119"/>
      <c r="AG184" s="119"/>
      <c r="AH184" s="133"/>
      <c r="AI184" s="119"/>
      <c r="AJ184" s="119"/>
      <c r="AK184" s="119"/>
      <c r="AL184" s="119"/>
      <c r="AM184" s="133"/>
      <c r="AN184" s="119"/>
      <c r="AO184" s="119"/>
      <c r="AP184" s="119"/>
      <c r="AQ184" s="119"/>
      <c r="AR184" s="133"/>
      <c r="AS184" s="119"/>
      <c r="AT184" s="119"/>
      <c r="AU184" s="119"/>
      <c r="AV184" s="119"/>
      <c r="AW184" s="133"/>
      <c r="AX184" s="119"/>
      <c r="AY184" s="119"/>
      <c r="AZ184" s="119"/>
      <c r="BA184" s="119"/>
      <c r="BB184" s="133"/>
      <c r="BC184" s="119"/>
      <c r="BD184" s="119"/>
      <c r="BE184" s="119"/>
      <c r="BF184" s="119"/>
      <c r="BG184" s="133"/>
      <c r="BH184" s="119"/>
      <c r="BI184" s="119"/>
      <c r="BJ184" s="119"/>
      <c r="BK184" s="119"/>
      <c r="BL184" s="133"/>
      <c r="BM184" s="119"/>
      <c r="BN184" s="119"/>
      <c r="BO184" s="119"/>
      <c r="BP184" s="119"/>
      <c r="BQ184" s="133"/>
      <c r="BR184" s="119"/>
      <c r="BS184" s="119"/>
      <c r="BT184" s="119"/>
      <c r="BU184" s="119"/>
      <c r="BV184" s="133"/>
      <c r="BW184" s="119"/>
      <c r="BX184" s="119"/>
      <c r="BY184" s="119"/>
      <c r="BZ184" s="119"/>
      <c r="CA184" s="133"/>
      <c r="CB184" s="119"/>
      <c r="CC184" s="119"/>
      <c r="CD184" s="119"/>
      <c r="CE184" s="119"/>
      <c r="CF184" s="133"/>
    </row>
    <row r="185" spans="1:84" ht="12.75">
      <c r="A185" s="119" t="s">
        <v>663</v>
      </c>
      <c r="B185" s="119" t="s">
        <v>664</v>
      </c>
      <c r="C185" s="119" t="s">
        <v>665</v>
      </c>
      <c r="D185" s="119" t="s">
        <v>158</v>
      </c>
      <c r="E185" s="119" t="s">
        <v>134</v>
      </c>
      <c r="F185" s="131">
        <f t="shared" si="0"/>
        <v>0</v>
      </c>
      <c r="G185" s="119">
        <f t="shared" si="1"/>
        <v>0</v>
      </c>
      <c r="H185" s="119">
        <f t="shared" ref="H185:I185" si="184">SUM(L185,Q185,V185,AA185,AF185,AK185,AP185,AU185,AZ185,BE185,BJ185,BO185,BT185,BY185,CD185)</f>
        <v>0</v>
      </c>
      <c r="I185" s="132">
        <f t="shared" si="184"/>
        <v>0</v>
      </c>
      <c r="J185" s="119"/>
      <c r="K185" s="119"/>
      <c r="L185" s="119"/>
      <c r="M185" s="119"/>
      <c r="N185" s="133"/>
      <c r="O185" s="119"/>
      <c r="P185" s="119"/>
      <c r="Q185" s="119"/>
      <c r="R185" s="119"/>
      <c r="S185" s="133"/>
      <c r="T185" s="119"/>
      <c r="U185" s="119"/>
      <c r="V185" s="119"/>
      <c r="W185" s="119"/>
      <c r="X185" s="133"/>
      <c r="Y185" s="119"/>
      <c r="Z185" s="119"/>
      <c r="AA185" s="119"/>
      <c r="AB185" s="119"/>
      <c r="AC185" s="133"/>
      <c r="AD185" s="119"/>
      <c r="AE185" s="119"/>
      <c r="AF185" s="119"/>
      <c r="AG185" s="119"/>
      <c r="AH185" s="133"/>
      <c r="AI185" s="119"/>
      <c r="AJ185" s="119"/>
      <c r="AK185" s="119"/>
      <c r="AL185" s="119"/>
      <c r="AM185" s="133"/>
      <c r="AN185" s="119"/>
      <c r="AO185" s="119"/>
      <c r="AP185" s="119"/>
      <c r="AQ185" s="119"/>
      <c r="AR185" s="133"/>
      <c r="AS185" s="119"/>
      <c r="AT185" s="119"/>
      <c r="AU185" s="119"/>
      <c r="AV185" s="119"/>
      <c r="AW185" s="133"/>
      <c r="AX185" s="119"/>
      <c r="AY185" s="119"/>
      <c r="AZ185" s="119"/>
      <c r="BA185" s="119"/>
      <c r="BB185" s="133"/>
      <c r="BC185" s="119"/>
      <c r="BD185" s="119"/>
      <c r="BE185" s="119"/>
      <c r="BF185" s="119"/>
      <c r="BG185" s="133"/>
      <c r="BH185" s="119"/>
      <c r="BI185" s="119"/>
      <c r="BJ185" s="119"/>
      <c r="BK185" s="119"/>
      <c r="BL185" s="133"/>
      <c r="BM185" s="119"/>
      <c r="BN185" s="119"/>
      <c r="BO185" s="119"/>
      <c r="BP185" s="119"/>
      <c r="BQ185" s="133"/>
      <c r="BR185" s="119"/>
      <c r="BS185" s="119"/>
      <c r="BT185" s="119"/>
      <c r="BU185" s="119"/>
      <c r="BV185" s="133"/>
      <c r="BW185" s="119"/>
      <c r="BX185" s="119"/>
      <c r="BY185" s="119"/>
      <c r="BZ185" s="119"/>
      <c r="CA185" s="133"/>
      <c r="CB185" s="119"/>
      <c r="CC185" s="119"/>
      <c r="CD185" s="119"/>
      <c r="CE185" s="119"/>
      <c r="CF185" s="133"/>
    </row>
    <row r="186" spans="1:84" ht="12.75">
      <c r="A186" s="119" t="s">
        <v>666</v>
      </c>
      <c r="B186" s="119" t="s">
        <v>667</v>
      </c>
      <c r="C186" s="119" t="s">
        <v>228</v>
      </c>
      <c r="D186" s="119" t="s">
        <v>152</v>
      </c>
      <c r="E186" s="119" t="s">
        <v>135</v>
      </c>
      <c r="F186" s="131">
        <f t="shared" si="0"/>
        <v>0</v>
      </c>
      <c r="G186" s="119">
        <f t="shared" si="1"/>
        <v>0</v>
      </c>
      <c r="H186" s="119">
        <f t="shared" ref="H186:I186" si="185">SUM(L186,Q186,V186,AA186,AF186,AK186,AP186,AU186,AZ186,BE186,BJ186,BO186,BT186,BY186,CD186)</f>
        <v>0</v>
      </c>
      <c r="I186" s="132">
        <f t="shared" si="185"/>
        <v>0</v>
      </c>
      <c r="J186" s="119">
        <v>0</v>
      </c>
      <c r="K186" s="119">
        <v>0</v>
      </c>
      <c r="L186" s="119">
        <v>0</v>
      </c>
      <c r="M186" s="119">
        <v>0</v>
      </c>
      <c r="N186" s="133">
        <v>0</v>
      </c>
      <c r="O186" s="119">
        <v>0</v>
      </c>
      <c r="P186" s="119">
        <v>0</v>
      </c>
      <c r="Q186" s="119">
        <v>0</v>
      </c>
      <c r="R186" s="119">
        <v>0</v>
      </c>
      <c r="S186" s="133">
        <v>0</v>
      </c>
      <c r="T186" s="119"/>
      <c r="U186" s="119"/>
      <c r="V186" s="119"/>
      <c r="W186" s="119"/>
      <c r="X186" s="133"/>
      <c r="Y186" s="119"/>
      <c r="Z186" s="119"/>
      <c r="AA186" s="119"/>
      <c r="AB186" s="119"/>
      <c r="AC186" s="133"/>
      <c r="AD186" s="119"/>
      <c r="AE186" s="119"/>
      <c r="AF186" s="119"/>
      <c r="AG186" s="119"/>
      <c r="AH186" s="133"/>
      <c r="AI186" s="119"/>
      <c r="AJ186" s="119"/>
      <c r="AK186" s="119"/>
      <c r="AL186" s="119"/>
      <c r="AM186" s="133"/>
      <c r="AN186" s="119">
        <v>0</v>
      </c>
      <c r="AO186" s="119">
        <v>0</v>
      </c>
      <c r="AP186" s="119">
        <v>0</v>
      </c>
      <c r="AQ186" s="119">
        <v>0</v>
      </c>
      <c r="AR186" s="133">
        <v>0</v>
      </c>
      <c r="AS186" s="119"/>
      <c r="AT186" s="119"/>
      <c r="AU186" s="119"/>
      <c r="AV186" s="119"/>
      <c r="AW186" s="133"/>
      <c r="AX186" s="119"/>
      <c r="AY186" s="119"/>
      <c r="AZ186" s="119"/>
      <c r="BA186" s="119"/>
      <c r="BB186" s="133"/>
      <c r="BC186" s="119"/>
      <c r="BD186" s="119"/>
      <c r="BE186" s="119"/>
      <c r="BF186" s="119"/>
      <c r="BG186" s="133"/>
      <c r="BH186" s="119"/>
      <c r="BI186" s="119"/>
      <c r="BJ186" s="119"/>
      <c r="BK186" s="119"/>
      <c r="BL186" s="133"/>
      <c r="BM186" s="119"/>
      <c r="BN186" s="119"/>
      <c r="BO186" s="119"/>
      <c r="BP186" s="119"/>
      <c r="BQ186" s="133"/>
      <c r="BR186" s="119"/>
      <c r="BS186" s="119"/>
      <c r="BT186" s="119"/>
      <c r="BU186" s="119"/>
      <c r="BV186" s="133"/>
      <c r="BW186" s="119"/>
      <c r="BX186" s="119"/>
      <c r="BY186" s="119"/>
      <c r="BZ186" s="119"/>
      <c r="CA186" s="133"/>
      <c r="CB186" s="119"/>
      <c r="CC186" s="119"/>
      <c r="CD186" s="119"/>
      <c r="CE186" s="119"/>
      <c r="CF186" s="133"/>
    </row>
    <row r="187" spans="1:84" ht="12.75">
      <c r="A187" s="119" t="s">
        <v>668</v>
      </c>
      <c r="B187" s="119" t="s">
        <v>669</v>
      </c>
      <c r="C187" s="119" t="s">
        <v>670</v>
      </c>
      <c r="D187" s="119" t="s">
        <v>158</v>
      </c>
      <c r="E187" s="119" t="s">
        <v>135</v>
      </c>
      <c r="F187" s="131">
        <f t="shared" si="0"/>
        <v>0</v>
      </c>
      <c r="G187" s="119">
        <f t="shared" si="1"/>
        <v>0</v>
      </c>
      <c r="H187" s="119">
        <f t="shared" ref="H187:I187" si="186">SUM(L187,Q187,V187,AA187,AF187,AK187,AP187,AU187,AZ187,BE187,BJ187,BO187,BT187,BY187,CD187)</f>
        <v>0</v>
      </c>
      <c r="I187" s="132">
        <f t="shared" si="186"/>
        <v>0</v>
      </c>
      <c r="J187" s="119">
        <v>0</v>
      </c>
      <c r="K187" s="119">
        <v>0</v>
      </c>
      <c r="L187" s="119">
        <v>0</v>
      </c>
      <c r="M187" s="119">
        <v>0</v>
      </c>
      <c r="N187" s="133">
        <v>0</v>
      </c>
      <c r="O187" s="119">
        <v>0</v>
      </c>
      <c r="P187" s="119">
        <v>0</v>
      </c>
      <c r="Q187" s="119">
        <v>0</v>
      </c>
      <c r="R187" s="119">
        <v>0</v>
      </c>
      <c r="S187" s="133">
        <v>0</v>
      </c>
      <c r="T187" s="119"/>
      <c r="U187" s="119"/>
      <c r="V187" s="119"/>
      <c r="W187" s="119"/>
      <c r="X187" s="133"/>
      <c r="Y187" s="119"/>
      <c r="Z187" s="119"/>
      <c r="AA187" s="119"/>
      <c r="AB187" s="119"/>
      <c r="AC187" s="133"/>
      <c r="AD187" s="119"/>
      <c r="AE187" s="119"/>
      <c r="AF187" s="119"/>
      <c r="AG187" s="119"/>
      <c r="AH187" s="133"/>
      <c r="AI187" s="119"/>
      <c r="AJ187" s="119"/>
      <c r="AK187" s="119"/>
      <c r="AL187" s="119"/>
      <c r="AM187" s="133"/>
      <c r="AN187" s="119">
        <v>0</v>
      </c>
      <c r="AO187" s="119">
        <v>0</v>
      </c>
      <c r="AP187" s="119">
        <v>0</v>
      </c>
      <c r="AQ187" s="119">
        <v>0</v>
      </c>
      <c r="AR187" s="133">
        <v>0</v>
      </c>
      <c r="AS187" s="119"/>
      <c r="AT187" s="119"/>
      <c r="AU187" s="119"/>
      <c r="AV187" s="119"/>
      <c r="AW187" s="133"/>
      <c r="AX187" s="119"/>
      <c r="AY187" s="119"/>
      <c r="AZ187" s="119"/>
      <c r="BA187" s="119"/>
      <c r="BB187" s="133"/>
      <c r="BC187" s="119"/>
      <c r="BD187" s="119"/>
      <c r="BE187" s="119"/>
      <c r="BF187" s="119"/>
      <c r="BG187" s="133"/>
      <c r="BH187" s="119"/>
      <c r="BI187" s="119"/>
      <c r="BJ187" s="119"/>
      <c r="BK187" s="119"/>
      <c r="BL187" s="133"/>
      <c r="BM187" s="119"/>
      <c r="BN187" s="119"/>
      <c r="BO187" s="119"/>
      <c r="BP187" s="119"/>
      <c r="BQ187" s="133"/>
      <c r="BR187" s="119"/>
      <c r="BS187" s="119"/>
      <c r="BT187" s="119"/>
      <c r="BU187" s="119"/>
      <c r="BV187" s="133"/>
      <c r="BW187" s="119"/>
      <c r="BX187" s="119"/>
      <c r="BY187" s="119"/>
      <c r="BZ187" s="119"/>
      <c r="CA187" s="133"/>
      <c r="CB187" s="119"/>
      <c r="CC187" s="119"/>
      <c r="CD187" s="119"/>
      <c r="CE187" s="119"/>
      <c r="CF187" s="133"/>
    </row>
    <row r="188" spans="1:84" ht="12.75">
      <c r="A188" s="119" t="s">
        <v>671</v>
      </c>
      <c r="B188" s="119" t="s">
        <v>672</v>
      </c>
      <c r="C188" s="119" t="s">
        <v>673</v>
      </c>
      <c r="D188" s="119" t="s">
        <v>152</v>
      </c>
      <c r="E188" s="119" t="s">
        <v>28</v>
      </c>
      <c r="F188" s="131">
        <f t="shared" si="0"/>
        <v>0</v>
      </c>
      <c r="G188" s="119">
        <f t="shared" si="1"/>
        <v>0</v>
      </c>
      <c r="H188" s="119">
        <f t="shared" ref="H188:I188" si="187">SUM(L188,Q188,V188,AA188,AF188,AK188,AP188,AU188,AZ188,BE188,BJ188,BO188,BT188,BY188,CD188)</f>
        <v>0</v>
      </c>
      <c r="I188" s="132">
        <f t="shared" si="187"/>
        <v>0</v>
      </c>
      <c r="J188" s="119"/>
      <c r="K188" s="119"/>
      <c r="L188" s="119"/>
      <c r="M188" s="119"/>
      <c r="N188" s="133"/>
      <c r="O188" s="119"/>
      <c r="P188" s="119"/>
      <c r="Q188" s="119"/>
      <c r="R188" s="119"/>
      <c r="S188" s="133"/>
      <c r="T188" s="119"/>
      <c r="U188" s="119"/>
      <c r="V188" s="119"/>
      <c r="W188" s="119"/>
      <c r="X188" s="133"/>
      <c r="Y188" s="119"/>
      <c r="Z188" s="119"/>
      <c r="AA188" s="119"/>
      <c r="AB188" s="119"/>
      <c r="AC188" s="133"/>
      <c r="AD188" s="119"/>
      <c r="AE188" s="119"/>
      <c r="AF188" s="119"/>
      <c r="AG188" s="119"/>
      <c r="AH188" s="133"/>
      <c r="AI188" s="119"/>
      <c r="AJ188" s="119"/>
      <c r="AK188" s="119"/>
      <c r="AL188" s="119"/>
      <c r="AM188" s="133"/>
      <c r="AN188" s="119"/>
      <c r="AO188" s="119"/>
      <c r="AP188" s="119"/>
      <c r="AQ188" s="119"/>
      <c r="AR188" s="133"/>
      <c r="AS188" s="119"/>
      <c r="AT188" s="119"/>
      <c r="AU188" s="119"/>
      <c r="AV188" s="119"/>
      <c r="AW188" s="133"/>
      <c r="AX188" s="119"/>
      <c r="AY188" s="119"/>
      <c r="AZ188" s="119"/>
      <c r="BA188" s="119"/>
      <c r="BB188" s="133"/>
      <c r="BC188" s="119"/>
      <c r="BD188" s="119"/>
      <c r="BE188" s="119"/>
      <c r="BF188" s="119"/>
      <c r="BG188" s="133"/>
      <c r="BH188" s="119"/>
      <c r="BI188" s="119"/>
      <c r="BJ188" s="119"/>
      <c r="BK188" s="119"/>
      <c r="BL188" s="133"/>
      <c r="BM188" s="119"/>
      <c r="BN188" s="119"/>
      <c r="BO188" s="119"/>
      <c r="BP188" s="119"/>
      <c r="BQ188" s="133"/>
      <c r="BR188" s="119"/>
      <c r="BS188" s="119"/>
      <c r="BT188" s="119"/>
      <c r="BU188" s="119"/>
      <c r="BV188" s="133"/>
      <c r="BW188" s="119"/>
      <c r="BX188" s="119"/>
      <c r="BY188" s="119"/>
      <c r="BZ188" s="119"/>
      <c r="CA188" s="133"/>
      <c r="CB188" s="119"/>
      <c r="CC188" s="119"/>
      <c r="CD188" s="119"/>
      <c r="CE188" s="119"/>
      <c r="CF188" s="133"/>
    </row>
    <row r="189" spans="1:84" ht="12.75">
      <c r="A189" s="119" t="s">
        <v>674</v>
      </c>
      <c r="B189" s="119" t="s">
        <v>675</v>
      </c>
      <c r="C189" s="119" t="s">
        <v>676</v>
      </c>
      <c r="D189" s="119" t="s">
        <v>158</v>
      </c>
      <c r="E189" s="119" t="s">
        <v>28</v>
      </c>
      <c r="F189" s="131">
        <f t="shared" si="0"/>
        <v>0</v>
      </c>
      <c r="G189" s="119">
        <f t="shared" si="1"/>
        <v>0</v>
      </c>
      <c r="H189" s="119">
        <f t="shared" ref="H189:I189" si="188">SUM(L189,Q189,V189,AA189,AF189,AK189,AP189,AU189,AZ189,BE189,BJ189,BO189,BT189,BY189,CD189)</f>
        <v>0</v>
      </c>
      <c r="I189" s="132">
        <f t="shared" si="188"/>
        <v>0</v>
      </c>
      <c r="J189" s="119"/>
      <c r="K189" s="119"/>
      <c r="L189" s="119"/>
      <c r="M189" s="119"/>
      <c r="N189" s="133"/>
      <c r="O189" s="119"/>
      <c r="P189" s="119"/>
      <c r="Q189" s="119"/>
      <c r="R189" s="119"/>
      <c r="S189" s="133"/>
      <c r="T189" s="119"/>
      <c r="U189" s="119"/>
      <c r="V189" s="119"/>
      <c r="W189" s="119"/>
      <c r="X189" s="133"/>
      <c r="Y189" s="119"/>
      <c r="Z189" s="119"/>
      <c r="AA189" s="119"/>
      <c r="AB189" s="119"/>
      <c r="AC189" s="133"/>
      <c r="AD189" s="119"/>
      <c r="AE189" s="119"/>
      <c r="AF189" s="119"/>
      <c r="AG189" s="119"/>
      <c r="AH189" s="133"/>
      <c r="AI189" s="119"/>
      <c r="AJ189" s="119"/>
      <c r="AK189" s="119"/>
      <c r="AL189" s="119"/>
      <c r="AM189" s="133"/>
      <c r="AN189" s="119"/>
      <c r="AO189" s="119"/>
      <c r="AP189" s="119"/>
      <c r="AQ189" s="119"/>
      <c r="AR189" s="133"/>
      <c r="AS189" s="119"/>
      <c r="AT189" s="119"/>
      <c r="AU189" s="119"/>
      <c r="AV189" s="119"/>
      <c r="AW189" s="133"/>
      <c r="AX189" s="119"/>
      <c r="AY189" s="119"/>
      <c r="AZ189" s="119"/>
      <c r="BA189" s="119"/>
      <c r="BB189" s="133"/>
      <c r="BC189" s="119"/>
      <c r="BD189" s="119"/>
      <c r="BE189" s="119"/>
      <c r="BF189" s="119"/>
      <c r="BG189" s="133"/>
      <c r="BH189" s="119"/>
      <c r="BI189" s="119"/>
      <c r="BJ189" s="119"/>
      <c r="BK189" s="119"/>
      <c r="BL189" s="133"/>
      <c r="BM189" s="119"/>
      <c r="BN189" s="119"/>
      <c r="BO189" s="119"/>
      <c r="BP189" s="119"/>
      <c r="BQ189" s="133"/>
      <c r="BR189" s="119"/>
      <c r="BS189" s="119"/>
      <c r="BT189" s="119"/>
      <c r="BU189" s="119"/>
      <c r="BV189" s="133"/>
      <c r="BW189" s="119"/>
      <c r="BX189" s="119"/>
      <c r="BY189" s="119"/>
      <c r="BZ189" s="119"/>
      <c r="CA189" s="133"/>
      <c r="CB189" s="119"/>
      <c r="CC189" s="119"/>
      <c r="CD189" s="119"/>
      <c r="CE189" s="119"/>
      <c r="CF189" s="133"/>
    </row>
    <row r="190" spans="1:84" ht="12.75">
      <c r="A190" s="119" t="s">
        <v>677</v>
      </c>
      <c r="B190" s="119" t="s">
        <v>678</v>
      </c>
      <c r="C190" s="119" t="s">
        <v>371</v>
      </c>
      <c r="D190" s="119" t="s">
        <v>152</v>
      </c>
      <c r="E190" s="119" t="s">
        <v>26</v>
      </c>
      <c r="F190" s="131">
        <f t="shared" si="0"/>
        <v>0</v>
      </c>
      <c r="G190" s="119">
        <f t="shared" si="1"/>
        <v>0</v>
      </c>
      <c r="H190" s="119">
        <f t="shared" ref="H190:I190" si="189">SUM(L190,Q190,V190,AA190,AF190,AK190,AP190,AU190,AZ190,BE190,BJ190,BO190,BT190,BY190,CD190)</f>
        <v>0</v>
      </c>
      <c r="I190" s="132">
        <f t="shared" si="189"/>
        <v>0</v>
      </c>
      <c r="J190" s="119"/>
      <c r="K190" s="119"/>
      <c r="L190" s="119"/>
      <c r="M190" s="119"/>
      <c r="N190" s="133"/>
      <c r="O190" s="119"/>
      <c r="P190" s="119"/>
      <c r="Q190" s="119"/>
      <c r="R190" s="119"/>
      <c r="S190" s="133"/>
      <c r="T190" s="119"/>
      <c r="U190" s="119"/>
      <c r="V190" s="119"/>
      <c r="W190" s="119"/>
      <c r="X190" s="133"/>
      <c r="Y190" s="119"/>
      <c r="Z190" s="119"/>
      <c r="AA190" s="119"/>
      <c r="AB190" s="119"/>
      <c r="AC190" s="133"/>
      <c r="AD190" s="119"/>
      <c r="AE190" s="119"/>
      <c r="AF190" s="119"/>
      <c r="AG190" s="119"/>
      <c r="AH190" s="133"/>
      <c r="AI190" s="119"/>
      <c r="AJ190" s="119"/>
      <c r="AK190" s="119"/>
      <c r="AL190" s="119"/>
      <c r="AM190" s="133"/>
      <c r="AN190" s="119"/>
      <c r="AO190" s="119"/>
      <c r="AP190" s="119"/>
      <c r="AQ190" s="119"/>
      <c r="AR190" s="133"/>
      <c r="AS190" s="119"/>
      <c r="AT190" s="119"/>
      <c r="AU190" s="119"/>
      <c r="AV190" s="119"/>
      <c r="AW190" s="133"/>
      <c r="AX190" s="119"/>
      <c r="AY190" s="119"/>
      <c r="AZ190" s="119"/>
      <c r="BA190" s="119"/>
      <c r="BB190" s="133"/>
      <c r="BC190" s="119"/>
      <c r="BD190" s="119"/>
      <c r="BE190" s="119"/>
      <c r="BF190" s="119"/>
      <c r="BG190" s="133"/>
      <c r="BH190" s="119"/>
      <c r="BI190" s="119"/>
      <c r="BJ190" s="119"/>
      <c r="BK190" s="119"/>
      <c r="BL190" s="133"/>
      <c r="BM190" s="119"/>
      <c r="BN190" s="119"/>
      <c r="BO190" s="119"/>
      <c r="BP190" s="119"/>
      <c r="BQ190" s="133"/>
      <c r="BR190" s="119"/>
      <c r="BS190" s="119"/>
      <c r="BT190" s="119"/>
      <c r="BU190" s="119"/>
      <c r="BV190" s="133"/>
      <c r="BW190" s="119"/>
      <c r="BX190" s="119"/>
      <c r="BY190" s="119"/>
      <c r="BZ190" s="119"/>
      <c r="CA190" s="133"/>
      <c r="CB190" s="119"/>
      <c r="CC190" s="119"/>
      <c r="CD190" s="119"/>
      <c r="CE190" s="119"/>
      <c r="CF190" s="133"/>
    </row>
    <row r="191" spans="1:84" ht="12.75">
      <c r="A191" s="119" t="s">
        <v>679</v>
      </c>
      <c r="B191" s="119" t="s">
        <v>490</v>
      </c>
      <c r="C191" s="119" t="s">
        <v>680</v>
      </c>
      <c r="D191" s="119" t="s">
        <v>158</v>
      </c>
      <c r="E191" s="119" t="s">
        <v>26</v>
      </c>
      <c r="F191" s="131">
        <f t="shared" si="0"/>
        <v>0</v>
      </c>
      <c r="G191" s="119">
        <f t="shared" si="1"/>
        <v>0</v>
      </c>
      <c r="H191" s="119">
        <f t="shared" ref="H191:I191" si="190">SUM(L191,Q191,V191,AA191,AF191,AK191,AP191,AU191,AZ191,BE191,BJ191,BO191,BT191,BY191,CD191)</f>
        <v>0</v>
      </c>
      <c r="I191" s="132">
        <f t="shared" si="190"/>
        <v>0</v>
      </c>
      <c r="J191" s="119"/>
      <c r="K191" s="119"/>
      <c r="L191" s="119"/>
      <c r="M191" s="119"/>
      <c r="N191" s="133"/>
      <c r="O191" s="119"/>
      <c r="P191" s="119"/>
      <c r="Q191" s="119"/>
      <c r="R191" s="119"/>
      <c r="S191" s="133"/>
      <c r="T191" s="119"/>
      <c r="U191" s="119"/>
      <c r="V191" s="119"/>
      <c r="W191" s="119"/>
      <c r="X191" s="133"/>
      <c r="Y191" s="119"/>
      <c r="Z191" s="119"/>
      <c r="AA191" s="119"/>
      <c r="AB191" s="119"/>
      <c r="AC191" s="133"/>
      <c r="AD191" s="119"/>
      <c r="AE191" s="119"/>
      <c r="AF191" s="119"/>
      <c r="AG191" s="119"/>
      <c r="AH191" s="133"/>
      <c r="AI191" s="119"/>
      <c r="AJ191" s="119"/>
      <c r="AK191" s="119"/>
      <c r="AL191" s="119"/>
      <c r="AM191" s="133"/>
      <c r="AN191" s="119"/>
      <c r="AO191" s="119"/>
      <c r="AP191" s="119"/>
      <c r="AQ191" s="119"/>
      <c r="AR191" s="133"/>
      <c r="AS191" s="119"/>
      <c r="AT191" s="119"/>
      <c r="AU191" s="119"/>
      <c r="AV191" s="119"/>
      <c r="AW191" s="133"/>
      <c r="AX191" s="119"/>
      <c r="AY191" s="119"/>
      <c r="AZ191" s="119"/>
      <c r="BA191" s="119"/>
      <c r="BB191" s="133"/>
      <c r="BC191" s="119"/>
      <c r="BD191" s="119"/>
      <c r="BE191" s="119"/>
      <c r="BF191" s="119"/>
      <c r="BG191" s="133"/>
      <c r="BH191" s="119"/>
      <c r="BI191" s="119"/>
      <c r="BJ191" s="119"/>
      <c r="BK191" s="119"/>
      <c r="BL191" s="133"/>
      <c r="BM191" s="119"/>
      <c r="BN191" s="119"/>
      <c r="BO191" s="119"/>
      <c r="BP191" s="119"/>
      <c r="BQ191" s="133"/>
      <c r="BR191" s="119"/>
      <c r="BS191" s="119"/>
      <c r="BT191" s="119"/>
      <c r="BU191" s="119"/>
      <c r="BV191" s="133"/>
      <c r="BW191" s="119"/>
      <c r="BX191" s="119"/>
      <c r="BY191" s="119"/>
      <c r="BZ191" s="119"/>
      <c r="CA191" s="133"/>
      <c r="CB191" s="119"/>
      <c r="CC191" s="119"/>
      <c r="CD191" s="119"/>
      <c r="CE191" s="119"/>
      <c r="CF191" s="133"/>
    </row>
    <row r="192" spans="1:84" ht="12.75">
      <c r="A192" s="119" t="s">
        <v>681</v>
      </c>
      <c r="B192" s="119" t="s">
        <v>682</v>
      </c>
      <c r="C192" s="119" t="s">
        <v>683</v>
      </c>
      <c r="D192" s="119" t="s">
        <v>152</v>
      </c>
      <c r="E192" s="119" t="s">
        <v>34</v>
      </c>
      <c r="F192" s="131">
        <f t="shared" si="0"/>
        <v>0</v>
      </c>
      <c r="G192" s="119">
        <f t="shared" si="1"/>
        <v>0</v>
      </c>
      <c r="H192" s="119">
        <f t="shared" ref="H192:I192" si="191">SUM(L192,Q192,V192,AA192,AF192,AK192,AP192,AU192,AZ192,BE192,BJ192,BO192,BT192,BY192,CD192)</f>
        <v>0</v>
      </c>
      <c r="I192" s="132">
        <f t="shared" si="191"/>
        <v>0</v>
      </c>
      <c r="J192" s="119">
        <v>0</v>
      </c>
      <c r="K192" s="119">
        <v>0</v>
      </c>
      <c r="L192" s="119">
        <v>0</v>
      </c>
      <c r="M192" s="119">
        <v>0</v>
      </c>
      <c r="N192" s="133">
        <v>0</v>
      </c>
      <c r="O192" s="119">
        <v>0</v>
      </c>
      <c r="P192" s="119">
        <v>0</v>
      </c>
      <c r="Q192" s="119">
        <v>0</v>
      </c>
      <c r="R192" s="119">
        <v>0</v>
      </c>
      <c r="S192" s="133">
        <v>0</v>
      </c>
      <c r="T192" s="119"/>
      <c r="U192" s="119"/>
      <c r="V192" s="119"/>
      <c r="W192" s="119"/>
      <c r="X192" s="133"/>
      <c r="Y192" s="119"/>
      <c r="Z192" s="119"/>
      <c r="AA192" s="119"/>
      <c r="AB192" s="119"/>
      <c r="AC192" s="133"/>
      <c r="AD192" s="119"/>
      <c r="AE192" s="119"/>
      <c r="AF192" s="119"/>
      <c r="AG192" s="119"/>
      <c r="AH192" s="133"/>
      <c r="AI192" s="119"/>
      <c r="AJ192" s="119"/>
      <c r="AK192" s="119"/>
      <c r="AL192" s="119"/>
      <c r="AM192" s="133"/>
      <c r="AN192" s="119">
        <v>0</v>
      </c>
      <c r="AO192" s="119">
        <v>0</v>
      </c>
      <c r="AP192" s="119">
        <v>0</v>
      </c>
      <c r="AQ192" s="119">
        <v>0</v>
      </c>
      <c r="AR192" s="133">
        <v>0</v>
      </c>
      <c r="AS192" s="119"/>
      <c r="AT192" s="119"/>
      <c r="AU192" s="119"/>
      <c r="AV192" s="119"/>
      <c r="AW192" s="133"/>
      <c r="AX192" s="119"/>
      <c r="AY192" s="119"/>
      <c r="AZ192" s="119"/>
      <c r="BA192" s="119"/>
      <c r="BB192" s="133"/>
      <c r="BC192" s="119"/>
      <c r="BD192" s="119"/>
      <c r="BE192" s="119"/>
      <c r="BF192" s="119"/>
      <c r="BG192" s="133"/>
      <c r="BH192" s="119"/>
      <c r="BI192" s="119"/>
      <c r="BJ192" s="119"/>
      <c r="BK192" s="119"/>
      <c r="BL192" s="133"/>
      <c r="BM192" s="119"/>
      <c r="BN192" s="119"/>
      <c r="BO192" s="119"/>
      <c r="BP192" s="119"/>
      <c r="BQ192" s="133"/>
      <c r="BR192" s="119"/>
      <c r="BS192" s="119"/>
      <c r="BT192" s="119"/>
      <c r="BU192" s="119"/>
      <c r="BV192" s="133"/>
      <c r="BW192" s="119"/>
      <c r="BX192" s="119"/>
      <c r="BY192" s="119"/>
      <c r="BZ192" s="119"/>
      <c r="CA192" s="133"/>
      <c r="CB192" s="119"/>
      <c r="CC192" s="119"/>
      <c r="CD192" s="119"/>
      <c r="CE192" s="119"/>
      <c r="CF192" s="133"/>
    </row>
    <row r="193" spans="1:84" ht="12.75">
      <c r="A193" s="119" t="s">
        <v>684</v>
      </c>
      <c r="B193" s="119" t="s">
        <v>685</v>
      </c>
      <c r="C193" s="119" t="s">
        <v>274</v>
      </c>
      <c r="D193" s="119" t="s">
        <v>158</v>
      </c>
      <c r="E193" s="119" t="s">
        <v>34</v>
      </c>
      <c r="F193" s="131">
        <f t="shared" si="0"/>
        <v>0</v>
      </c>
      <c r="G193" s="119">
        <f t="shared" si="1"/>
        <v>0</v>
      </c>
      <c r="H193" s="119">
        <f t="shared" ref="H193:I193" si="192">SUM(L193,Q193,V193,AA193,AF193,AK193,AP193,AU193,AZ193,BE193,BJ193,BO193,BT193,BY193,CD193)</f>
        <v>0</v>
      </c>
      <c r="I193" s="132">
        <f t="shared" si="192"/>
        <v>0</v>
      </c>
      <c r="J193" s="119">
        <v>0</v>
      </c>
      <c r="K193" s="119">
        <v>0</v>
      </c>
      <c r="L193" s="119">
        <v>0</v>
      </c>
      <c r="M193" s="119">
        <v>0</v>
      </c>
      <c r="N193" s="133">
        <v>0</v>
      </c>
      <c r="O193" s="119">
        <v>0</v>
      </c>
      <c r="P193" s="119">
        <v>0</v>
      </c>
      <c r="Q193" s="119">
        <v>0</v>
      </c>
      <c r="R193" s="119">
        <v>0</v>
      </c>
      <c r="S193" s="133">
        <v>0</v>
      </c>
      <c r="T193" s="119"/>
      <c r="U193" s="119"/>
      <c r="V193" s="119"/>
      <c r="W193" s="119"/>
      <c r="X193" s="133"/>
      <c r="Y193" s="119"/>
      <c r="Z193" s="119"/>
      <c r="AA193" s="119"/>
      <c r="AB193" s="119"/>
      <c r="AC193" s="133"/>
      <c r="AD193" s="119"/>
      <c r="AE193" s="119"/>
      <c r="AF193" s="119"/>
      <c r="AG193" s="119"/>
      <c r="AH193" s="133"/>
      <c r="AI193" s="119"/>
      <c r="AJ193" s="119"/>
      <c r="AK193" s="119"/>
      <c r="AL193" s="119"/>
      <c r="AM193" s="133"/>
      <c r="AN193" s="119">
        <v>0</v>
      </c>
      <c r="AO193" s="119">
        <v>0</v>
      </c>
      <c r="AP193" s="119">
        <v>0</v>
      </c>
      <c r="AQ193" s="119">
        <v>0</v>
      </c>
      <c r="AR193" s="133">
        <v>0</v>
      </c>
      <c r="AS193" s="119"/>
      <c r="AT193" s="119"/>
      <c r="AU193" s="119"/>
      <c r="AV193" s="119"/>
      <c r="AW193" s="133"/>
      <c r="AX193" s="119"/>
      <c r="AY193" s="119"/>
      <c r="AZ193" s="119"/>
      <c r="BA193" s="119"/>
      <c r="BB193" s="133"/>
      <c r="BC193" s="119"/>
      <c r="BD193" s="119"/>
      <c r="BE193" s="119"/>
      <c r="BF193" s="119"/>
      <c r="BG193" s="133"/>
      <c r="BH193" s="119"/>
      <c r="BI193" s="119"/>
      <c r="BJ193" s="119"/>
      <c r="BK193" s="119"/>
      <c r="BL193" s="133"/>
      <c r="BM193" s="119"/>
      <c r="BN193" s="119"/>
      <c r="BO193" s="119"/>
      <c r="BP193" s="119"/>
      <c r="BQ193" s="133"/>
      <c r="BR193" s="119"/>
      <c r="BS193" s="119"/>
      <c r="BT193" s="119"/>
      <c r="BU193" s="119"/>
      <c r="BV193" s="133"/>
      <c r="BW193" s="119"/>
      <c r="BX193" s="119"/>
      <c r="BY193" s="119"/>
      <c r="BZ193" s="119"/>
      <c r="CA193" s="133"/>
      <c r="CB193" s="119"/>
      <c r="CC193" s="119"/>
      <c r="CD193" s="119"/>
      <c r="CE193" s="119"/>
      <c r="CF193" s="133"/>
    </row>
    <row r="194" spans="1:84" ht="12.75">
      <c r="A194" s="119" t="s">
        <v>686</v>
      </c>
      <c r="B194" s="119" t="s">
        <v>687</v>
      </c>
      <c r="C194" s="119" t="s">
        <v>688</v>
      </c>
      <c r="D194" s="119" t="s">
        <v>152</v>
      </c>
      <c r="E194" s="119" t="s">
        <v>22</v>
      </c>
      <c r="F194" s="131">
        <f t="shared" si="0"/>
        <v>0</v>
      </c>
      <c r="G194" s="119">
        <f t="shared" si="1"/>
        <v>0</v>
      </c>
      <c r="H194" s="119">
        <f t="shared" ref="H194:I194" si="193">SUM(L194,Q194,V194,AA194,AF194,AK194,AP194,AU194,AZ194,BE194,BJ194,BO194,BT194,BY194,CD194)</f>
        <v>0</v>
      </c>
      <c r="I194" s="132">
        <f t="shared" si="193"/>
        <v>0</v>
      </c>
      <c r="J194" s="119"/>
      <c r="K194" s="119"/>
      <c r="L194" s="119"/>
      <c r="M194" s="119"/>
      <c r="N194" s="133"/>
      <c r="O194" s="119"/>
      <c r="P194" s="119"/>
      <c r="Q194" s="119"/>
      <c r="R194" s="119"/>
      <c r="S194" s="133"/>
      <c r="T194" s="119"/>
      <c r="U194" s="119"/>
      <c r="V194" s="119"/>
      <c r="W194" s="119"/>
      <c r="X194" s="133"/>
      <c r="Y194" s="119"/>
      <c r="Z194" s="119"/>
      <c r="AA194" s="119"/>
      <c r="AB194" s="119"/>
      <c r="AC194" s="133"/>
      <c r="AD194" s="119"/>
      <c r="AE194" s="119"/>
      <c r="AF194" s="119"/>
      <c r="AG194" s="119"/>
      <c r="AH194" s="133"/>
      <c r="AI194" s="119"/>
      <c r="AJ194" s="119"/>
      <c r="AK194" s="119"/>
      <c r="AL194" s="119"/>
      <c r="AM194" s="133"/>
      <c r="AN194" s="119"/>
      <c r="AO194" s="119"/>
      <c r="AP194" s="119"/>
      <c r="AQ194" s="119"/>
      <c r="AR194" s="133"/>
      <c r="AS194" s="119"/>
      <c r="AT194" s="119"/>
      <c r="AU194" s="119"/>
      <c r="AV194" s="119"/>
      <c r="AW194" s="133"/>
      <c r="AX194" s="119"/>
      <c r="AY194" s="119"/>
      <c r="AZ194" s="119"/>
      <c r="BA194" s="119"/>
      <c r="BB194" s="133"/>
      <c r="BC194" s="119"/>
      <c r="BD194" s="119"/>
      <c r="BE194" s="119"/>
      <c r="BF194" s="119"/>
      <c r="BG194" s="133"/>
      <c r="BH194" s="119"/>
      <c r="BI194" s="119"/>
      <c r="BJ194" s="119"/>
      <c r="BK194" s="119"/>
      <c r="BL194" s="133"/>
      <c r="BM194" s="119"/>
      <c r="BN194" s="119"/>
      <c r="BO194" s="119"/>
      <c r="BP194" s="119"/>
      <c r="BQ194" s="133"/>
      <c r="BR194" s="119"/>
      <c r="BS194" s="119"/>
      <c r="BT194" s="119"/>
      <c r="BU194" s="119"/>
      <c r="BV194" s="133"/>
      <c r="BW194" s="119"/>
      <c r="BX194" s="119"/>
      <c r="BY194" s="119"/>
      <c r="BZ194" s="119"/>
      <c r="CA194" s="133"/>
      <c r="CB194" s="119"/>
      <c r="CC194" s="119"/>
      <c r="CD194" s="119"/>
      <c r="CE194" s="119"/>
      <c r="CF194" s="133"/>
    </row>
    <row r="195" spans="1:84" ht="12.75">
      <c r="A195" s="119" t="s">
        <v>689</v>
      </c>
      <c r="B195" s="119" t="s">
        <v>528</v>
      </c>
      <c r="C195" s="119" t="s">
        <v>690</v>
      </c>
      <c r="D195" s="119" t="s">
        <v>158</v>
      </c>
      <c r="E195" s="119" t="s">
        <v>22</v>
      </c>
      <c r="F195" s="131">
        <f t="shared" si="0"/>
        <v>0</v>
      </c>
      <c r="G195" s="119">
        <f t="shared" si="1"/>
        <v>0</v>
      </c>
      <c r="H195" s="119">
        <f t="shared" ref="H195:I195" si="194">SUM(L195,Q195,V195,AA195,AF195,AK195,AP195,AU195,AZ195,BE195,BJ195,BO195,BT195,BY195,CD195)</f>
        <v>0</v>
      </c>
      <c r="I195" s="132">
        <f t="shared" si="194"/>
        <v>0</v>
      </c>
      <c r="J195" s="119"/>
      <c r="K195" s="119"/>
      <c r="L195" s="119"/>
      <c r="M195" s="119"/>
      <c r="N195" s="133"/>
      <c r="O195" s="119"/>
      <c r="P195" s="119"/>
      <c r="Q195" s="119"/>
      <c r="R195" s="119"/>
      <c r="S195" s="133"/>
      <c r="T195" s="119"/>
      <c r="U195" s="119"/>
      <c r="V195" s="119"/>
      <c r="W195" s="119"/>
      <c r="X195" s="133"/>
      <c r="Y195" s="119"/>
      <c r="Z195" s="119"/>
      <c r="AA195" s="119"/>
      <c r="AB195" s="119"/>
      <c r="AC195" s="133"/>
      <c r="AD195" s="119"/>
      <c r="AE195" s="119"/>
      <c r="AF195" s="119"/>
      <c r="AG195" s="119"/>
      <c r="AH195" s="133"/>
      <c r="AI195" s="119"/>
      <c r="AJ195" s="119"/>
      <c r="AK195" s="119"/>
      <c r="AL195" s="119"/>
      <c r="AM195" s="133"/>
      <c r="AN195" s="119"/>
      <c r="AO195" s="119"/>
      <c r="AP195" s="119"/>
      <c r="AQ195" s="119"/>
      <c r="AR195" s="133"/>
      <c r="AS195" s="119"/>
      <c r="AT195" s="119"/>
      <c r="AU195" s="119"/>
      <c r="AV195" s="119"/>
      <c r="AW195" s="133"/>
      <c r="AX195" s="119"/>
      <c r="AY195" s="119"/>
      <c r="AZ195" s="119"/>
      <c r="BA195" s="119"/>
      <c r="BB195" s="133"/>
      <c r="BC195" s="119"/>
      <c r="BD195" s="119"/>
      <c r="BE195" s="119"/>
      <c r="BF195" s="119"/>
      <c r="BG195" s="133"/>
      <c r="BH195" s="119"/>
      <c r="BI195" s="119"/>
      <c r="BJ195" s="119"/>
      <c r="BK195" s="119"/>
      <c r="BL195" s="133"/>
      <c r="BM195" s="119"/>
      <c r="BN195" s="119"/>
      <c r="BO195" s="119"/>
      <c r="BP195" s="119"/>
      <c r="BQ195" s="133"/>
      <c r="BR195" s="119"/>
      <c r="BS195" s="119"/>
      <c r="BT195" s="119"/>
      <c r="BU195" s="119"/>
      <c r="BV195" s="133"/>
      <c r="BW195" s="119"/>
      <c r="BX195" s="119"/>
      <c r="BY195" s="119"/>
      <c r="BZ195" s="119"/>
      <c r="CA195" s="133"/>
      <c r="CB195" s="119"/>
      <c r="CC195" s="119"/>
      <c r="CD195" s="119"/>
      <c r="CE195" s="119"/>
      <c r="CF195" s="133"/>
    </row>
    <row r="196" spans="1:84" ht="12.75">
      <c r="A196" s="119" t="s">
        <v>691</v>
      </c>
      <c r="B196" s="119" t="s">
        <v>692</v>
      </c>
      <c r="C196" s="119" t="s">
        <v>197</v>
      </c>
      <c r="D196" s="119" t="s">
        <v>152</v>
      </c>
      <c r="E196" s="119" t="s">
        <v>32</v>
      </c>
      <c r="F196" s="131">
        <f t="shared" si="0"/>
        <v>0</v>
      </c>
      <c r="G196" s="119">
        <f t="shared" si="1"/>
        <v>0</v>
      </c>
      <c r="H196" s="119">
        <f t="shared" ref="H196:I196" si="195">SUM(L196,Q196,V196,AA196,AF196,AK196,AP196,AU196,AZ196,BE196,BJ196,BO196,BT196,BY196,CD196)</f>
        <v>0</v>
      </c>
      <c r="I196" s="132">
        <f t="shared" si="195"/>
        <v>0</v>
      </c>
      <c r="J196" s="119"/>
      <c r="K196" s="119"/>
      <c r="L196" s="119"/>
      <c r="M196" s="119"/>
      <c r="N196" s="133"/>
      <c r="O196" s="119"/>
      <c r="P196" s="119"/>
      <c r="Q196" s="119"/>
      <c r="R196" s="119"/>
      <c r="S196" s="133"/>
      <c r="T196" s="119"/>
      <c r="U196" s="119"/>
      <c r="V196" s="119"/>
      <c r="W196" s="119"/>
      <c r="X196" s="133"/>
      <c r="Y196" s="119"/>
      <c r="Z196" s="119"/>
      <c r="AA196" s="119"/>
      <c r="AB196" s="119"/>
      <c r="AC196" s="133"/>
      <c r="AD196" s="119"/>
      <c r="AE196" s="119"/>
      <c r="AF196" s="119"/>
      <c r="AG196" s="119"/>
      <c r="AH196" s="133"/>
      <c r="AI196" s="119"/>
      <c r="AJ196" s="119"/>
      <c r="AK196" s="119"/>
      <c r="AL196" s="119"/>
      <c r="AM196" s="133"/>
      <c r="AN196" s="119"/>
      <c r="AO196" s="119"/>
      <c r="AP196" s="119"/>
      <c r="AQ196" s="119"/>
      <c r="AR196" s="133"/>
      <c r="AS196" s="119"/>
      <c r="AT196" s="119"/>
      <c r="AU196" s="119"/>
      <c r="AV196" s="119"/>
      <c r="AW196" s="133"/>
      <c r="AX196" s="119"/>
      <c r="AY196" s="119"/>
      <c r="AZ196" s="119"/>
      <c r="BA196" s="119"/>
      <c r="BB196" s="133"/>
      <c r="BC196" s="119"/>
      <c r="BD196" s="119"/>
      <c r="BE196" s="119"/>
      <c r="BF196" s="119"/>
      <c r="BG196" s="133"/>
      <c r="BH196" s="119"/>
      <c r="BI196" s="119"/>
      <c r="BJ196" s="119"/>
      <c r="BK196" s="119"/>
      <c r="BL196" s="133"/>
      <c r="BM196" s="119"/>
      <c r="BN196" s="119"/>
      <c r="BO196" s="119"/>
      <c r="BP196" s="119"/>
      <c r="BQ196" s="133"/>
      <c r="BR196" s="119"/>
      <c r="BS196" s="119"/>
      <c r="BT196" s="119"/>
      <c r="BU196" s="119"/>
      <c r="BV196" s="133"/>
      <c r="BW196" s="119"/>
      <c r="BX196" s="119"/>
      <c r="BY196" s="119"/>
      <c r="BZ196" s="119"/>
      <c r="CA196" s="133"/>
      <c r="CB196" s="119"/>
      <c r="CC196" s="119"/>
      <c r="CD196" s="119"/>
      <c r="CE196" s="119"/>
      <c r="CF196" s="133"/>
    </row>
    <row r="197" spans="1:84" ht="12.75">
      <c r="A197" s="119" t="s">
        <v>693</v>
      </c>
      <c r="B197" s="119" t="s">
        <v>454</v>
      </c>
      <c r="C197" s="119" t="s">
        <v>694</v>
      </c>
      <c r="D197" s="119" t="s">
        <v>158</v>
      </c>
      <c r="E197" s="119" t="s">
        <v>32</v>
      </c>
      <c r="F197" s="131">
        <f t="shared" si="0"/>
        <v>0</v>
      </c>
      <c r="G197" s="119">
        <f t="shared" si="1"/>
        <v>0</v>
      </c>
      <c r="H197" s="119">
        <f t="shared" ref="H197:I197" si="196">SUM(L197,Q197,V197,AA197,AF197,AK197,AP197,AU197,AZ197,BE197,BJ197,BO197,BT197,BY197,CD197)</f>
        <v>0</v>
      </c>
      <c r="I197" s="132">
        <f t="shared" si="196"/>
        <v>0</v>
      </c>
      <c r="J197" s="119"/>
      <c r="K197" s="119"/>
      <c r="L197" s="119"/>
      <c r="M197" s="119"/>
      <c r="N197" s="133"/>
      <c r="O197" s="119"/>
      <c r="P197" s="119"/>
      <c r="Q197" s="119"/>
      <c r="R197" s="119"/>
      <c r="S197" s="133"/>
      <c r="T197" s="119"/>
      <c r="U197" s="119"/>
      <c r="V197" s="119"/>
      <c r="W197" s="119"/>
      <c r="X197" s="133"/>
      <c r="Y197" s="119"/>
      <c r="Z197" s="119"/>
      <c r="AA197" s="119"/>
      <c r="AB197" s="119"/>
      <c r="AC197" s="133"/>
      <c r="AD197" s="119"/>
      <c r="AE197" s="119"/>
      <c r="AF197" s="119"/>
      <c r="AG197" s="119"/>
      <c r="AH197" s="133"/>
      <c r="AI197" s="119"/>
      <c r="AJ197" s="119"/>
      <c r="AK197" s="119"/>
      <c r="AL197" s="119"/>
      <c r="AM197" s="133"/>
      <c r="AN197" s="119"/>
      <c r="AO197" s="119"/>
      <c r="AP197" s="119"/>
      <c r="AQ197" s="119"/>
      <c r="AR197" s="133"/>
      <c r="AS197" s="119"/>
      <c r="AT197" s="119"/>
      <c r="AU197" s="119"/>
      <c r="AV197" s="119"/>
      <c r="AW197" s="133"/>
      <c r="AX197" s="119"/>
      <c r="AY197" s="119"/>
      <c r="AZ197" s="119"/>
      <c r="BA197" s="119"/>
      <c r="BB197" s="133"/>
      <c r="BC197" s="119"/>
      <c r="BD197" s="119"/>
      <c r="BE197" s="119"/>
      <c r="BF197" s="119"/>
      <c r="BG197" s="133"/>
      <c r="BH197" s="119"/>
      <c r="BI197" s="119"/>
      <c r="BJ197" s="119"/>
      <c r="BK197" s="119"/>
      <c r="BL197" s="133"/>
      <c r="BM197" s="119"/>
      <c r="BN197" s="119"/>
      <c r="BO197" s="119"/>
      <c r="BP197" s="119"/>
      <c r="BQ197" s="133"/>
      <c r="BR197" s="119"/>
      <c r="BS197" s="119"/>
      <c r="BT197" s="119"/>
      <c r="BU197" s="119"/>
      <c r="BV197" s="133"/>
      <c r="BW197" s="119"/>
      <c r="BX197" s="119"/>
      <c r="BY197" s="119"/>
      <c r="BZ197" s="119"/>
      <c r="CA197" s="133"/>
      <c r="CB197" s="119"/>
      <c r="CC197" s="119"/>
      <c r="CD197" s="119"/>
      <c r="CE197" s="119"/>
      <c r="CF197" s="133"/>
    </row>
    <row r="198" spans="1:84" ht="12.75">
      <c r="A198" s="119" t="s">
        <v>695</v>
      </c>
      <c r="B198" s="119" t="s">
        <v>678</v>
      </c>
      <c r="C198" s="119" t="s">
        <v>580</v>
      </c>
      <c r="D198" s="119" t="s">
        <v>152</v>
      </c>
      <c r="E198" s="119" t="s">
        <v>21</v>
      </c>
      <c r="F198" s="131">
        <f t="shared" si="0"/>
        <v>0</v>
      </c>
      <c r="G198" s="119">
        <f t="shared" si="1"/>
        <v>0</v>
      </c>
      <c r="H198" s="119">
        <f t="shared" ref="H198:I198" si="197">SUM(L198,Q198,V198,AA198,AF198,AK198,AP198,AU198,AZ198,BE198,BJ198,BO198,BT198,BY198,CD198)</f>
        <v>0</v>
      </c>
      <c r="I198" s="132">
        <f t="shared" si="197"/>
        <v>0</v>
      </c>
      <c r="J198" s="119"/>
      <c r="K198" s="119"/>
      <c r="L198" s="119"/>
      <c r="M198" s="119"/>
      <c r="N198" s="133"/>
      <c r="O198" s="119"/>
      <c r="P198" s="119"/>
      <c r="Q198" s="119"/>
      <c r="R198" s="119"/>
      <c r="S198" s="133"/>
      <c r="T198" s="119"/>
      <c r="U198" s="119"/>
      <c r="V198" s="119"/>
      <c r="W198" s="119"/>
      <c r="X198" s="133"/>
      <c r="Y198" s="119"/>
      <c r="Z198" s="119"/>
      <c r="AA198" s="119"/>
      <c r="AB198" s="119"/>
      <c r="AC198" s="133"/>
      <c r="AD198" s="119"/>
      <c r="AE198" s="119"/>
      <c r="AF198" s="119"/>
      <c r="AG198" s="119"/>
      <c r="AH198" s="133"/>
      <c r="AI198" s="119"/>
      <c r="AJ198" s="119"/>
      <c r="AK198" s="119"/>
      <c r="AL198" s="119"/>
      <c r="AM198" s="133"/>
      <c r="AN198" s="119">
        <v>0</v>
      </c>
      <c r="AO198" s="119">
        <v>0</v>
      </c>
      <c r="AP198" s="119">
        <v>0</v>
      </c>
      <c r="AQ198" s="119">
        <v>0</v>
      </c>
      <c r="AR198" s="133">
        <v>0</v>
      </c>
      <c r="AS198" s="119"/>
      <c r="AT198" s="119"/>
      <c r="AU198" s="119"/>
      <c r="AV198" s="119"/>
      <c r="AW198" s="133"/>
      <c r="AX198" s="119"/>
      <c r="AY198" s="119"/>
      <c r="AZ198" s="119"/>
      <c r="BA198" s="119"/>
      <c r="BB198" s="133"/>
      <c r="BC198" s="119"/>
      <c r="BD198" s="119"/>
      <c r="BE198" s="119"/>
      <c r="BF198" s="119"/>
      <c r="BG198" s="133"/>
      <c r="BH198" s="119"/>
      <c r="BI198" s="119"/>
      <c r="BJ198" s="119"/>
      <c r="BK198" s="119"/>
      <c r="BL198" s="133"/>
      <c r="BM198" s="119"/>
      <c r="BN198" s="119"/>
      <c r="BO198" s="119"/>
      <c r="BP198" s="119"/>
      <c r="BQ198" s="133"/>
      <c r="BR198" s="119"/>
      <c r="BS198" s="119"/>
      <c r="BT198" s="119"/>
      <c r="BU198" s="119"/>
      <c r="BV198" s="133"/>
      <c r="BW198" s="119"/>
      <c r="BX198" s="119"/>
      <c r="BY198" s="119"/>
      <c r="BZ198" s="119"/>
      <c r="CA198" s="133"/>
      <c r="CB198" s="119"/>
      <c r="CC198" s="119"/>
      <c r="CD198" s="119"/>
      <c r="CE198" s="119"/>
      <c r="CF198" s="133"/>
    </row>
    <row r="199" spans="1:84" ht="12.75">
      <c r="A199" s="119" t="s">
        <v>696</v>
      </c>
      <c r="B199" s="119" t="s">
        <v>697</v>
      </c>
      <c r="C199" s="119" t="s">
        <v>173</v>
      </c>
      <c r="D199" s="119" t="s">
        <v>158</v>
      </c>
      <c r="E199" s="119" t="s">
        <v>21</v>
      </c>
      <c r="F199" s="131">
        <f t="shared" si="0"/>
        <v>0</v>
      </c>
      <c r="G199" s="119">
        <f t="shared" si="1"/>
        <v>0</v>
      </c>
      <c r="H199" s="119">
        <f t="shared" ref="H199:I199" si="198">SUM(L199,Q199,V199,AA199,AF199,AK199,AP199,AU199,AZ199,BE199,BJ199,BO199,BT199,BY199,CD199)</f>
        <v>0</v>
      </c>
      <c r="I199" s="132">
        <f t="shared" si="198"/>
        <v>0</v>
      </c>
      <c r="J199" s="119"/>
      <c r="K199" s="119"/>
      <c r="L199" s="119"/>
      <c r="M199" s="119"/>
      <c r="N199" s="133"/>
      <c r="O199" s="119"/>
      <c r="P199" s="119"/>
      <c r="Q199" s="119"/>
      <c r="R199" s="119"/>
      <c r="S199" s="133"/>
      <c r="T199" s="119"/>
      <c r="U199" s="119"/>
      <c r="V199" s="119"/>
      <c r="W199" s="119"/>
      <c r="X199" s="133"/>
      <c r="Y199" s="119"/>
      <c r="Z199" s="119"/>
      <c r="AA199" s="119"/>
      <c r="AB199" s="119"/>
      <c r="AC199" s="133"/>
      <c r="AD199" s="119"/>
      <c r="AE199" s="119"/>
      <c r="AF199" s="119"/>
      <c r="AG199" s="119"/>
      <c r="AH199" s="133"/>
      <c r="AI199" s="119"/>
      <c r="AJ199" s="119"/>
      <c r="AK199" s="119"/>
      <c r="AL199" s="119"/>
      <c r="AM199" s="133"/>
      <c r="AN199" s="119">
        <v>0</v>
      </c>
      <c r="AO199" s="119">
        <v>0</v>
      </c>
      <c r="AP199" s="119">
        <v>0</v>
      </c>
      <c r="AQ199" s="119">
        <v>0</v>
      </c>
      <c r="AR199" s="133">
        <v>0</v>
      </c>
      <c r="AS199" s="119"/>
      <c r="AT199" s="119"/>
      <c r="AU199" s="119"/>
      <c r="AV199" s="119"/>
      <c r="AW199" s="133"/>
      <c r="AX199" s="119"/>
      <c r="AY199" s="119"/>
      <c r="AZ199" s="119"/>
      <c r="BA199" s="119"/>
      <c r="BB199" s="133"/>
      <c r="BC199" s="119"/>
      <c r="BD199" s="119"/>
      <c r="BE199" s="119"/>
      <c r="BF199" s="119"/>
      <c r="BG199" s="133"/>
      <c r="BH199" s="119"/>
      <c r="BI199" s="119"/>
      <c r="BJ199" s="119"/>
      <c r="BK199" s="119"/>
      <c r="BL199" s="133"/>
      <c r="BM199" s="119"/>
      <c r="BN199" s="119"/>
      <c r="BO199" s="119"/>
      <c r="BP199" s="119"/>
      <c r="BQ199" s="133"/>
      <c r="BR199" s="119"/>
      <c r="BS199" s="119"/>
      <c r="BT199" s="119"/>
      <c r="BU199" s="119"/>
      <c r="BV199" s="133"/>
      <c r="BW199" s="119"/>
      <c r="BX199" s="119"/>
      <c r="BY199" s="119"/>
      <c r="BZ199" s="119"/>
      <c r="CA199" s="133"/>
      <c r="CB199" s="119"/>
      <c r="CC199" s="119"/>
      <c r="CD199" s="119"/>
      <c r="CE199" s="119"/>
      <c r="CF199" s="133"/>
    </row>
    <row r="200" spans="1:84" ht="12.75">
      <c r="A200" s="119" t="s">
        <v>698</v>
      </c>
      <c r="B200" s="119" t="s">
        <v>699</v>
      </c>
      <c r="C200" s="119" t="s">
        <v>700</v>
      </c>
      <c r="D200" s="119" t="s">
        <v>152</v>
      </c>
      <c r="E200" s="119" t="s">
        <v>463</v>
      </c>
      <c r="F200" s="131">
        <f t="shared" si="0"/>
        <v>0</v>
      </c>
      <c r="G200" s="119">
        <f t="shared" si="1"/>
        <v>0</v>
      </c>
      <c r="H200" s="119">
        <f t="shared" ref="H200:I200" si="199">SUM(L200,Q200,V200,AA200,AF200,AK200,AP200,AU200,AZ200,BE200,BJ200,BO200,BT200,BY200,CD200)</f>
        <v>0</v>
      </c>
      <c r="I200" s="132">
        <f t="shared" si="199"/>
        <v>0</v>
      </c>
      <c r="J200" s="119"/>
      <c r="K200" s="119"/>
      <c r="L200" s="119"/>
      <c r="M200" s="119"/>
      <c r="N200" s="133"/>
      <c r="O200" s="119"/>
      <c r="P200" s="119"/>
      <c r="Q200" s="119"/>
      <c r="R200" s="119"/>
      <c r="S200" s="133"/>
      <c r="T200" s="119"/>
      <c r="U200" s="119"/>
      <c r="V200" s="119"/>
      <c r="W200" s="119"/>
      <c r="X200" s="133"/>
      <c r="Y200" s="119"/>
      <c r="Z200" s="119"/>
      <c r="AA200" s="119"/>
      <c r="AB200" s="119"/>
      <c r="AC200" s="133"/>
      <c r="AD200" s="119"/>
      <c r="AE200" s="119"/>
      <c r="AF200" s="119"/>
      <c r="AG200" s="119"/>
      <c r="AH200" s="133"/>
      <c r="AI200" s="119"/>
      <c r="AJ200" s="119"/>
      <c r="AK200" s="119"/>
      <c r="AL200" s="119"/>
      <c r="AM200" s="133"/>
      <c r="AN200" s="119"/>
      <c r="AO200" s="119"/>
      <c r="AP200" s="119"/>
      <c r="AQ200" s="119"/>
      <c r="AR200" s="133"/>
      <c r="AS200" s="119"/>
      <c r="AT200" s="119"/>
      <c r="AU200" s="119"/>
      <c r="AV200" s="119"/>
      <c r="AW200" s="133"/>
      <c r="AX200" s="119"/>
      <c r="AY200" s="119"/>
      <c r="AZ200" s="119"/>
      <c r="BA200" s="119"/>
      <c r="BB200" s="133"/>
      <c r="BC200" s="119"/>
      <c r="BD200" s="119"/>
      <c r="BE200" s="119"/>
      <c r="BF200" s="119"/>
      <c r="BG200" s="133"/>
      <c r="BH200" s="119"/>
      <c r="BI200" s="119"/>
      <c r="BJ200" s="119"/>
      <c r="BK200" s="119"/>
      <c r="BL200" s="133"/>
      <c r="BM200" s="119"/>
      <c r="BN200" s="119"/>
      <c r="BO200" s="119"/>
      <c r="BP200" s="119"/>
      <c r="BQ200" s="133"/>
      <c r="BR200" s="119"/>
      <c r="BS200" s="119"/>
      <c r="BT200" s="119"/>
      <c r="BU200" s="119"/>
      <c r="BV200" s="133"/>
      <c r="BW200" s="119"/>
      <c r="BX200" s="119"/>
      <c r="BY200" s="119"/>
      <c r="BZ200" s="119"/>
      <c r="CA200" s="133"/>
      <c r="CB200" s="119"/>
      <c r="CC200" s="119"/>
      <c r="CD200" s="119"/>
      <c r="CE200" s="119"/>
      <c r="CF200" s="133"/>
    </row>
    <row r="201" spans="1:84" ht="12.75">
      <c r="A201" s="119" t="s">
        <v>701</v>
      </c>
      <c r="B201" s="119" t="s">
        <v>702</v>
      </c>
      <c r="C201" s="119" t="s">
        <v>703</v>
      </c>
      <c r="D201" s="119" t="s">
        <v>158</v>
      </c>
      <c r="E201" s="119" t="s">
        <v>463</v>
      </c>
      <c r="F201" s="131">
        <f t="shared" si="0"/>
        <v>0</v>
      </c>
      <c r="G201" s="119">
        <f t="shared" si="1"/>
        <v>0</v>
      </c>
      <c r="H201" s="119">
        <f t="shared" ref="H201:I201" si="200">SUM(L201,Q201,V201,AA201,AF201,AK201,AP201,AU201,AZ201,BE201,BJ201,BO201,BT201,BY201,CD201)</f>
        <v>0</v>
      </c>
      <c r="I201" s="132">
        <f t="shared" si="200"/>
        <v>0</v>
      </c>
      <c r="J201" s="119"/>
      <c r="K201" s="119"/>
      <c r="L201" s="119"/>
      <c r="M201" s="119"/>
      <c r="N201" s="133"/>
      <c r="O201" s="119"/>
      <c r="P201" s="119"/>
      <c r="Q201" s="119"/>
      <c r="R201" s="119"/>
      <c r="S201" s="133"/>
      <c r="T201" s="119"/>
      <c r="U201" s="119"/>
      <c r="V201" s="119"/>
      <c r="W201" s="119"/>
      <c r="X201" s="133"/>
      <c r="Y201" s="119"/>
      <c r="Z201" s="119"/>
      <c r="AA201" s="119"/>
      <c r="AB201" s="119"/>
      <c r="AC201" s="133"/>
      <c r="AD201" s="119"/>
      <c r="AE201" s="119"/>
      <c r="AF201" s="119"/>
      <c r="AG201" s="119"/>
      <c r="AH201" s="133"/>
      <c r="AI201" s="119"/>
      <c r="AJ201" s="119"/>
      <c r="AK201" s="119"/>
      <c r="AL201" s="119"/>
      <c r="AM201" s="133"/>
      <c r="AN201" s="119"/>
      <c r="AO201" s="119"/>
      <c r="AP201" s="119"/>
      <c r="AQ201" s="119"/>
      <c r="AR201" s="133"/>
      <c r="AS201" s="119"/>
      <c r="AT201" s="119"/>
      <c r="AU201" s="119"/>
      <c r="AV201" s="119"/>
      <c r="AW201" s="133"/>
      <c r="AX201" s="119"/>
      <c r="AY201" s="119"/>
      <c r="AZ201" s="119"/>
      <c r="BA201" s="119"/>
      <c r="BB201" s="133"/>
      <c r="BC201" s="119"/>
      <c r="BD201" s="119"/>
      <c r="BE201" s="119"/>
      <c r="BF201" s="119"/>
      <c r="BG201" s="133"/>
      <c r="BH201" s="119"/>
      <c r="BI201" s="119"/>
      <c r="BJ201" s="119"/>
      <c r="BK201" s="119"/>
      <c r="BL201" s="133"/>
      <c r="BM201" s="119"/>
      <c r="BN201" s="119"/>
      <c r="BO201" s="119"/>
      <c r="BP201" s="119"/>
      <c r="BQ201" s="133"/>
      <c r="BR201" s="119"/>
      <c r="BS201" s="119"/>
      <c r="BT201" s="119"/>
      <c r="BU201" s="119"/>
      <c r="BV201" s="133"/>
      <c r="BW201" s="119"/>
      <c r="BX201" s="119"/>
      <c r="BY201" s="119"/>
      <c r="BZ201" s="119"/>
      <c r="CA201" s="133"/>
      <c r="CB201" s="119"/>
      <c r="CC201" s="119"/>
      <c r="CD201" s="119"/>
      <c r="CE201" s="119"/>
      <c r="CF201" s="133"/>
    </row>
    <row r="202" spans="1:84" ht="12.75">
      <c r="A202" s="119" t="s">
        <v>704</v>
      </c>
      <c r="B202" s="119" t="s">
        <v>705</v>
      </c>
      <c r="C202" s="119" t="s">
        <v>706</v>
      </c>
      <c r="D202" s="119" t="s">
        <v>152</v>
      </c>
      <c r="E202" s="119" t="s">
        <v>481</v>
      </c>
      <c r="F202" s="131">
        <f t="shared" si="0"/>
        <v>0</v>
      </c>
      <c r="G202" s="119">
        <f t="shared" si="1"/>
        <v>1</v>
      </c>
      <c r="H202" s="119">
        <f t="shared" ref="H202:I202" si="201">SUM(L202,Q202,V202,AA202,AF202,AK202,AP202,AU202,AZ202,BE202,BJ202,BO202,BT202,BY202,CD202)</f>
        <v>0</v>
      </c>
      <c r="I202" s="132">
        <f t="shared" si="201"/>
        <v>0</v>
      </c>
      <c r="J202" s="119"/>
      <c r="K202" s="119"/>
      <c r="L202" s="119"/>
      <c r="M202" s="119"/>
      <c r="N202" s="133"/>
      <c r="O202" s="119"/>
      <c r="P202" s="119"/>
      <c r="Q202" s="119"/>
      <c r="R202" s="119"/>
      <c r="S202" s="133"/>
      <c r="T202" s="119"/>
      <c r="U202" s="119"/>
      <c r="V202" s="119"/>
      <c r="W202" s="119"/>
      <c r="X202" s="133"/>
      <c r="Y202" s="119"/>
      <c r="Z202" s="119"/>
      <c r="AA202" s="119"/>
      <c r="AB202" s="119"/>
      <c r="AC202" s="133"/>
      <c r="AD202" s="119"/>
      <c r="AE202" s="119"/>
      <c r="AF202" s="119"/>
      <c r="AG202" s="119"/>
      <c r="AH202" s="133"/>
      <c r="AI202" s="119"/>
      <c r="AJ202" s="119"/>
      <c r="AK202" s="119"/>
      <c r="AL202" s="119"/>
      <c r="AM202" s="133"/>
      <c r="AN202" s="119">
        <v>1</v>
      </c>
      <c r="AO202" s="119" t="s">
        <v>707</v>
      </c>
      <c r="AP202" s="119"/>
      <c r="AQ202" s="119"/>
      <c r="AR202" s="133"/>
      <c r="AS202" s="119"/>
      <c r="AT202" s="119"/>
      <c r="AU202" s="119"/>
      <c r="AV202" s="119"/>
      <c r="AW202" s="133"/>
      <c r="AX202" s="119"/>
      <c r="AY202" s="119"/>
      <c r="AZ202" s="119"/>
      <c r="BA202" s="119"/>
      <c r="BB202" s="133"/>
      <c r="BC202" s="119"/>
      <c r="BD202" s="119"/>
      <c r="BE202" s="119"/>
      <c r="BF202" s="119"/>
      <c r="BG202" s="133"/>
      <c r="BH202" s="119"/>
      <c r="BI202" s="119"/>
      <c r="BJ202" s="119"/>
      <c r="BK202" s="119"/>
      <c r="BL202" s="133"/>
      <c r="BM202" s="119"/>
      <c r="BN202" s="119"/>
      <c r="BO202" s="119"/>
      <c r="BP202" s="119"/>
      <c r="BQ202" s="133"/>
      <c r="BR202" s="119"/>
      <c r="BS202" s="119"/>
      <c r="BT202" s="119"/>
      <c r="BU202" s="119"/>
      <c r="BV202" s="133"/>
      <c r="BW202" s="119"/>
      <c r="BX202" s="119"/>
      <c r="BY202" s="119"/>
      <c r="BZ202" s="119"/>
      <c r="CA202" s="133"/>
      <c r="CB202" s="119"/>
      <c r="CC202" s="119"/>
      <c r="CD202" s="119"/>
      <c r="CE202" s="119"/>
      <c r="CF202" s="133"/>
    </row>
    <row r="203" spans="1:84" ht="12.75">
      <c r="A203" s="119" t="s">
        <v>708</v>
      </c>
      <c r="B203" s="119" t="s">
        <v>249</v>
      </c>
      <c r="C203" s="119" t="s">
        <v>709</v>
      </c>
      <c r="D203" s="119" t="s">
        <v>158</v>
      </c>
      <c r="E203" s="119" t="s">
        <v>481</v>
      </c>
      <c r="F203" s="131">
        <f t="shared" si="0"/>
        <v>0</v>
      </c>
      <c r="G203" s="119">
        <f t="shared" si="1"/>
        <v>1</v>
      </c>
      <c r="H203" s="119">
        <f t="shared" ref="H203:I203" si="202">SUM(L203,Q203,V203,AA203,AF203,AK203,AP203,AU203,AZ203,BE203,BJ203,BO203,BT203,BY203,CD203)</f>
        <v>0</v>
      </c>
      <c r="I203" s="132">
        <f t="shared" si="202"/>
        <v>0</v>
      </c>
      <c r="J203" s="119"/>
      <c r="K203" s="119"/>
      <c r="L203" s="119"/>
      <c r="M203" s="119"/>
      <c r="N203" s="133"/>
      <c r="O203" s="119"/>
      <c r="P203" s="119"/>
      <c r="Q203" s="119"/>
      <c r="R203" s="119"/>
      <c r="S203" s="133"/>
      <c r="T203" s="119"/>
      <c r="U203" s="119"/>
      <c r="V203" s="119"/>
      <c r="W203" s="119"/>
      <c r="X203" s="133"/>
      <c r="Y203" s="119"/>
      <c r="Z203" s="119"/>
      <c r="AA203" s="119"/>
      <c r="AB203" s="119"/>
      <c r="AC203" s="133"/>
      <c r="AD203" s="119"/>
      <c r="AE203" s="119"/>
      <c r="AF203" s="119"/>
      <c r="AG203" s="119"/>
      <c r="AH203" s="133"/>
      <c r="AI203" s="119"/>
      <c r="AJ203" s="119"/>
      <c r="AK203" s="119"/>
      <c r="AL203" s="119"/>
      <c r="AM203" s="133"/>
      <c r="AN203" s="119">
        <v>1</v>
      </c>
      <c r="AO203" s="119" t="s">
        <v>707</v>
      </c>
      <c r="AP203" s="119"/>
      <c r="AQ203" s="119"/>
      <c r="AR203" s="133"/>
      <c r="AS203" s="119"/>
      <c r="AT203" s="119"/>
      <c r="AU203" s="119"/>
      <c r="AV203" s="119"/>
      <c r="AW203" s="133"/>
      <c r="AX203" s="119"/>
      <c r="AY203" s="119"/>
      <c r="AZ203" s="119"/>
      <c r="BA203" s="119"/>
      <c r="BB203" s="133"/>
      <c r="BC203" s="119"/>
      <c r="BD203" s="119"/>
      <c r="BE203" s="119"/>
      <c r="BF203" s="119"/>
      <c r="BG203" s="133"/>
      <c r="BH203" s="119"/>
      <c r="BI203" s="119"/>
      <c r="BJ203" s="119"/>
      <c r="BK203" s="119"/>
      <c r="BL203" s="133"/>
      <c r="BM203" s="119"/>
      <c r="BN203" s="119"/>
      <c r="BO203" s="119"/>
      <c r="BP203" s="119"/>
      <c r="BQ203" s="133"/>
      <c r="BR203" s="119"/>
      <c r="BS203" s="119"/>
      <c r="BT203" s="119"/>
      <c r="BU203" s="119"/>
      <c r="BV203" s="133"/>
      <c r="BW203" s="119"/>
      <c r="BX203" s="119"/>
      <c r="BY203" s="119"/>
      <c r="BZ203" s="119"/>
      <c r="CA203" s="133"/>
      <c r="CB203" s="119"/>
      <c r="CC203" s="119"/>
      <c r="CD203" s="119"/>
      <c r="CE203" s="119"/>
      <c r="CF203" s="133"/>
    </row>
    <row r="204" spans="1:84" ht="12.75">
      <c r="A204" s="119" t="s">
        <v>710</v>
      </c>
      <c r="B204" s="119" t="s">
        <v>711</v>
      </c>
      <c r="C204" s="119" t="s">
        <v>200</v>
      </c>
      <c r="D204" s="119" t="s">
        <v>152</v>
      </c>
      <c r="E204" s="119" t="s">
        <v>20</v>
      </c>
      <c r="F204" s="131">
        <f t="shared" si="0"/>
        <v>0</v>
      </c>
      <c r="G204" s="119">
        <f t="shared" si="1"/>
        <v>0.5</v>
      </c>
      <c r="H204" s="119">
        <f t="shared" ref="H204:I204" si="203">SUM(L204,Q204,V204,AA204,AF204,AK204,AP204,AU204,AZ204,BE204,BJ204,BO204,BT204,BY204,CD204)</f>
        <v>200</v>
      </c>
      <c r="I204" s="132">
        <f t="shared" si="203"/>
        <v>0</v>
      </c>
      <c r="J204" s="119"/>
      <c r="K204" s="119"/>
      <c r="L204" s="119"/>
      <c r="M204" s="119"/>
      <c r="N204" s="133"/>
      <c r="O204" s="119"/>
      <c r="P204" s="119"/>
      <c r="Q204" s="119"/>
      <c r="R204" s="119"/>
      <c r="S204" s="133"/>
      <c r="T204" s="119"/>
      <c r="U204" s="119"/>
      <c r="V204" s="119"/>
      <c r="W204" s="119"/>
      <c r="X204" s="133"/>
      <c r="Y204" s="119"/>
      <c r="Z204" s="119"/>
      <c r="AA204" s="119"/>
      <c r="AB204" s="119"/>
      <c r="AC204" s="133"/>
      <c r="AD204" s="119"/>
      <c r="AE204" s="119"/>
      <c r="AF204" s="119"/>
      <c r="AG204" s="119"/>
      <c r="AH204" s="133"/>
      <c r="AI204" s="119"/>
      <c r="AJ204" s="119"/>
      <c r="AK204" s="119"/>
      <c r="AL204" s="119"/>
      <c r="AM204" s="133"/>
      <c r="AN204" s="119">
        <v>0.5</v>
      </c>
      <c r="AO204" s="119">
        <v>0</v>
      </c>
      <c r="AP204" s="119">
        <v>200</v>
      </c>
      <c r="AQ204" s="119">
        <v>0</v>
      </c>
      <c r="AR204" s="133">
        <v>0</v>
      </c>
      <c r="AS204" s="119"/>
      <c r="AT204" s="119"/>
      <c r="AU204" s="119"/>
      <c r="AV204" s="119"/>
      <c r="AW204" s="133"/>
      <c r="AX204" s="119"/>
      <c r="AY204" s="119"/>
      <c r="AZ204" s="119"/>
      <c r="BA204" s="119"/>
      <c r="BB204" s="133"/>
      <c r="BC204" s="119"/>
      <c r="BD204" s="119"/>
      <c r="BE204" s="119"/>
      <c r="BF204" s="119"/>
      <c r="BG204" s="133"/>
      <c r="BH204" s="119"/>
      <c r="BI204" s="119"/>
      <c r="BJ204" s="119"/>
      <c r="BK204" s="119"/>
      <c r="BL204" s="133"/>
      <c r="BM204" s="119"/>
      <c r="BN204" s="119"/>
      <c r="BO204" s="119"/>
      <c r="BP204" s="119"/>
      <c r="BQ204" s="133"/>
      <c r="BR204" s="119"/>
      <c r="BS204" s="119"/>
      <c r="BT204" s="119"/>
      <c r="BU204" s="119"/>
      <c r="BV204" s="133"/>
      <c r="BW204" s="119"/>
      <c r="BX204" s="119"/>
      <c r="BY204" s="119"/>
      <c r="BZ204" s="119"/>
      <c r="CA204" s="133"/>
      <c r="CB204" s="119"/>
      <c r="CC204" s="119"/>
      <c r="CD204" s="119"/>
      <c r="CE204" s="119"/>
      <c r="CF204" s="133"/>
    </row>
    <row r="205" spans="1:84" ht="12.75">
      <c r="A205" s="119" t="s">
        <v>712</v>
      </c>
      <c r="B205" s="119" t="s">
        <v>205</v>
      </c>
      <c r="C205" s="119" t="s">
        <v>596</v>
      </c>
      <c r="D205" s="119" t="s">
        <v>158</v>
      </c>
      <c r="E205" s="119" t="s">
        <v>20</v>
      </c>
      <c r="F205" s="131">
        <f t="shared" si="0"/>
        <v>0</v>
      </c>
      <c r="G205" s="119">
        <f t="shared" si="1"/>
        <v>0</v>
      </c>
      <c r="H205" s="119">
        <f t="shared" ref="H205:I205" si="204">SUM(L205,Q205,V205,AA205,AF205,AK205,AP205,AU205,AZ205,BE205,BJ205,BO205,BT205,BY205,CD205)</f>
        <v>0</v>
      </c>
      <c r="I205" s="132">
        <f t="shared" si="204"/>
        <v>0</v>
      </c>
      <c r="J205" s="119"/>
      <c r="K205" s="119"/>
      <c r="L205" s="119"/>
      <c r="M205" s="119"/>
      <c r="N205" s="133"/>
      <c r="O205" s="119"/>
      <c r="P205" s="119"/>
      <c r="Q205" s="119"/>
      <c r="R205" s="119"/>
      <c r="S205" s="133"/>
      <c r="T205" s="119"/>
      <c r="U205" s="119"/>
      <c r="V205" s="119"/>
      <c r="W205" s="119"/>
      <c r="X205" s="133"/>
      <c r="Y205" s="119"/>
      <c r="Z205" s="119"/>
      <c r="AA205" s="119"/>
      <c r="AB205" s="119"/>
      <c r="AC205" s="133"/>
      <c r="AD205" s="119"/>
      <c r="AE205" s="119"/>
      <c r="AF205" s="119"/>
      <c r="AG205" s="119"/>
      <c r="AH205" s="133"/>
      <c r="AI205" s="119"/>
      <c r="AJ205" s="119"/>
      <c r="AK205" s="119"/>
      <c r="AL205" s="119"/>
      <c r="AM205" s="133"/>
      <c r="AN205" s="119">
        <v>0</v>
      </c>
      <c r="AO205" s="119">
        <v>0</v>
      </c>
      <c r="AP205" s="119">
        <v>0</v>
      </c>
      <c r="AQ205" s="119">
        <v>0</v>
      </c>
      <c r="AR205" s="133">
        <v>0</v>
      </c>
      <c r="AS205" s="119"/>
      <c r="AT205" s="119"/>
      <c r="AU205" s="119"/>
      <c r="AV205" s="119"/>
      <c r="AW205" s="133"/>
      <c r="AX205" s="119"/>
      <c r="AY205" s="119"/>
      <c r="AZ205" s="119"/>
      <c r="BA205" s="119"/>
      <c r="BB205" s="133"/>
      <c r="BC205" s="119"/>
      <c r="BD205" s="119"/>
      <c r="BE205" s="119"/>
      <c r="BF205" s="119"/>
      <c r="BG205" s="133"/>
      <c r="BH205" s="119"/>
      <c r="BI205" s="119"/>
      <c r="BJ205" s="119"/>
      <c r="BK205" s="119"/>
      <c r="BL205" s="133"/>
      <c r="BM205" s="119"/>
      <c r="BN205" s="119"/>
      <c r="BO205" s="119"/>
      <c r="BP205" s="119"/>
      <c r="BQ205" s="133"/>
      <c r="BR205" s="119"/>
      <c r="BS205" s="119"/>
      <c r="BT205" s="119"/>
      <c r="BU205" s="119"/>
      <c r="BV205" s="133"/>
      <c r="BW205" s="119"/>
      <c r="BX205" s="119"/>
      <c r="BY205" s="119"/>
      <c r="BZ205" s="119"/>
      <c r="CA205" s="133"/>
      <c r="CB205" s="119"/>
      <c r="CC205" s="119"/>
      <c r="CD205" s="119"/>
      <c r="CE205" s="119"/>
      <c r="CF205" s="133"/>
    </row>
    <row r="206" spans="1:84" ht="12.75">
      <c r="A206" s="119" t="s">
        <v>713</v>
      </c>
      <c r="B206" s="119" t="s">
        <v>714</v>
      </c>
      <c r="C206" s="119" t="s">
        <v>715</v>
      </c>
      <c r="D206" s="119" t="s">
        <v>152</v>
      </c>
      <c r="E206" s="119" t="s">
        <v>522</v>
      </c>
      <c r="F206" s="131">
        <f t="shared" si="0"/>
        <v>0</v>
      </c>
      <c r="G206" s="119">
        <f t="shared" si="1"/>
        <v>0</v>
      </c>
      <c r="H206" s="119">
        <f t="shared" ref="H206:I206" si="205">SUM(L206,Q206,V206,AA206,AF206,AK206,AP206,AU206,AZ206,BE206,BJ206,BO206,BT206,BY206,CD206)</f>
        <v>0</v>
      </c>
      <c r="I206" s="132">
        <f t="shared" si="205"/>
        <v>0</v>
      </c>
      <c r="J206" s="119"/>
      <c r="K206" s="119"/>
      <c r="L206" s="119"/>
      <c r="M206" s="119"/>
      <c r="N206" s="133"/>
      <c r="O206" s="119"/>
      <c r="P206" s="119"/>
      <c r="Q206" s="119"/>
      <c r="R206" s="119"/>
      <c r="S206" s="133"/>
      <c r="T206" s="119"/>
      <c r="U206" s="119"/>
      <c r="V206" s="119"/>
      <c r="W206" s="119"/>
      <c r="X206" s="133"/>
      <c r="Y206" s="119"/>
      <c r="Z206" s="119"/>
      <c r="AA206" s="119"/>
      <c r="AB206" s="119"/>
      <c r="AC206" s="133"/>
      <c r="AD206" s="119"/>
      <c r="AE206" s="119"/>
      <c r="AF206" s="119"/>
      <c r="AG206" s="119"/>
      <c r="AH206" s="133"/>
      <c r="AI206" s="119"/>
      <c r="AJ206" s="119"/>
      <c r="AK206" s="119"/>
      <c r="AL206" s="119"/>
      <c r="AM206" s="133"/>
      <c r="AN206" s="119"/>
      <c r="AO206" s="119"/>
      <c r="AP206" s="119"/>
      <c r="AQ206" s="119"/>
      <c r="AR206" s="133"/>
      <c r="AS206" s="119"/>
      <c r="AT206" s="119"/>
      <c r="AU206" s="119"/>
      <c r="AV206" s="119"/>
      <c r="AW206" s="133"/>
      <c r="AX206" s="119"/>
      <c r="AY206" s="119"/>
      <c r="AZ206" s="119"/>
      <c r="BA206" s="119"/>
      <c r="BB206" s="133"/>
      <c r="BC206" s="119"/>
      <c r="BD206" s="119"/>
      <c r="BE206" s="119"/>
      <c r="BF206" s="119"/>
      <c r="BG206" s="133"/>
      <c r="BH206" s="119"/>
      <c r="BI206" s="119"/>
      <c r="BJ206" s="119"/>
      <c r="BK206" s="119"/>
      <c r="BL206" s="133"/>
      <c r="BM206" s="119"/>
      <c r="BN206" s="119"/>
      <c r="BO206" s="119"/>
      <c r="BP206" s="119"/>
      <c r="BQ206" s="133"/>
      <c r="BR206" s="119"/>
      <c r="BS206" s="119"/>
      <c r="BT206" s="119"/>
      <c r="BU206" s="119"/>
      <c r="BV206" s="133"/>
      <c r="BW206" s="119"/>
      <c r="BX206" s="119"/>
      <c r="BY206" s="119"/>
      <c r="BZ206" s="119"/>
      <c r="CA206" s="133"/>
      <c r="CB206" s="119"/>
      <c r="CC206" s="119"/>
      <c r="CD206" s="119"/>
      <c r="CE206" s="119"/>
      <c r="CF206" s="133"/>
    </row>
    <row r="207" spans="1:84" ht="12.75">
      <c r="A207" s="119" t="s">
        <v>716</v>
      </c>
      <c r="B207" s="119" t="s">
        <v>717</v>
      </c>
      <c r="C207" s="119" t="s">
        <v>200</v>
      </c>
      <c r="D207" s="119" t="s">
        <v>158</v>
      </c>
      <c r="E207" s="119" t="s">
        <v>522</v>
      </c>
      <c r="F207" s="131">
        <f t="shared" si="0"/>
        <v>0</v>
      </c>
      <c r="G207" s="119">
        <f t="shared" si="1"/>
        <v>0</v>
      </c>
      <c r="H207" s="119">
        <f t="shared" ref="H207:I207" si="206">SUM(L207,Q207,V207,AA207,AF207,AK207,AP207,AU207,AZ207,BE207,BJ207,BO207,BT207,BY207,CD207)</f>
        <v>0</v>
      </c>
      <c r="I207" s="132">
        <f t="shared" si="206"/>
        <v>0</v>
      </c>
      <c r="J207" s="119"/>
      <c r="K207" s="119"/>
      <c r="L207" s="119"/>
      <c r="M207" s="119"/>
      <c r="N207" s="133"/>
      <c r="O207" s="119"/>
      <c r="P207" s="119"/>
      <c r="Q207" s="119"/>
      <c r="R207" s="119"/>
      <c r="S207" s="133"/>
      <c r="T207" s="119"/>
      <c r="U207" s="119"/>
      <c r="V207" s="119"/>
      <c r="W207" s="119"/>
      <c r="X207" s="133"/>
      <c r="Y207" s="119"/>
      <c r="Z207" s="119"/>
      <c r="AA207" s="119"/>
      <c r="AB207" s="119"/>
      <c r="AC207" s="133"/>
      <c r="AD207" s="119"/>
      <c r="AE207" s="119"/>
      <c r="AF207" s="119"/>
      <c r="AG207" s="119"/>
      <c r="AH207" s="133"/>
      <c r="AI207" s="119"/>
      <c r="AJ207" s="119"/>
      <c r="AK207" s="119"/>
      <c r="AL207" s="119"/>
      <c r="AM207" s="133"/>
      <c r="AN207" s="119"/>
      <c r="AO207" s="119"/>
      <c r="AP207" s="119"/>
      <c r="AQ207" s="119"/>
      <c r="AR207" s="133"/>
      <c r="AS207" s="119"/>
      <c r="AT207" s="119"/>
      <c r="AU207" s="119"/>
      <c r="AV207" s="119"/>
      <c r="AW207" s="133"/>
      <c r="AX207" s="119"/>
      <c r="AY207" s="119"/>
      <c r="AZ207" s="119"/>
      <c r="BA207" s="119"/>
      <c r="BB207" s="133"/>
      <c r="BC207" s="119"/>
      <c r="BD207" s="119"/>
      <c r="BE207" s="119"/>
      <c r="BF207" s="119"/>
      <c r="BG207" s="133"/>
      <c r="BH207" s="119"/>
      <c r="BI207" s="119"/>
      <c r="BJ207" s="119"/>
      <c r="BK207" s="119"/>
      <c r="BL207" s="133"/>
      <c r="BM207" s="119"/>
      <c r="BN207" s="119"/>
      <c r="BO207" s="119"/>
      <c r="BP207" s="119"/>
      <c r="BQ207" s="133"/>
      <c r="BR207" s="119"/>
      <c r="BS207" s="119"/>
      <c r="BT207" s="119"/>
      <c r="BU207" s="119"/>
      <c r="BV207" s="133"/>
      <c r="BW207" s="119"/>
      <c r="BX207" s="119"/>
      <c r="BY207" s="119"/>
      <c r="BZ207" s="119"/>
      <c r="CA207" s="133"/>
      <c r="CB207" s="119"/>
      <c r="CC207" s="119"/>
      <c r="CD207" s="119"/>
      <c r="CE207" s="119"/>
      <c r="CF207" s="133"/>
    </row>
    <row r="208" spans="1:84" ht="12.75">
      <c r="A208" s="119" t="s">
        <v>718</v>
      </c>
      <c r="B208" s="119" t="s">
        <v>719</v>
      </c>
      <c r="C208" s="119" t="s">
        <v>720</v>
      </c>
      <c r="D208" s="119" t="s">
        <v>152</v>
      </c>
      <c r="E208" s="119" t="s">
        <v>29</v>
      </c>
      <c r="F208" s="131">
        <f t="shared" si="0"/>
        <v>0</v>
      </c>
      <c r="G208" s="119">
        <f t="shared" si="1"/>
        <v>0</v>
      </c>
      <c r="H208" s="119">
        <f t="shared" ref="H208:I208" si="207">SUM(L208,Q208,V208,AA208,AF208,AK208,AP208,AU208,AZ208,BE208,BJ208,BO208,BT208,BY208,CD208)</f>
        <v>0</v>
      </c>
      <c r="I208" s="132">
        <f t="shared" si="207"/>
        <v>0</v>
      </c>
      <c r="J208" s="119">
        <v>0</v>
      </c>
      <c r="K208" s="119">
        <v>0</v>
      </c>
      <c r="L208" s="119">
        <v>0</v>
      </c>
      <c r="M208" s="119">
        <v>0</v>
      </c>
      <c r="N208" s="133">
        <v>0</v>
      </c>
      <c r="O208" s="119">
        <v>0</v>
      </c>
      <c r="P208" s="119">
        <v>0</v>
      </c>
      <c r="Q208" s="119">
        <v>0</v>
      </c>
      <c r="R208" s="119">
        <v>0</v>
      </c>
      <c r="S208" s="133">
        <v>0</v>
      </c>
      <c r="T208" s="119"/>
      <c r="U208" s="119"/>
      <c r="V208" s="119"/>
      <c r="W208" s="119"/>
      <c r="X208" s="133"/>
      <c r="Y208" s="119"/>
      <c r="Z208" s="119"/>
      <c r="AA208" s="119"/>
      <c r="AB208" s="119"/>
      <c r="AC208" s="133"/>
      <c r="AD208" s="119"/>
      <c r="AE208" s="119"/>
      <c r="AF208" s="119"/>
      <c r="AG208" s="119"/>
      <c r="AH208" s="133"/>
      <c r="AI208" s="119"/>
      <c r="AJ208" s="119"/>
      <c r="AK208" s="119"/>
      <c r="AL208" s="119"/>
      <c r="AM208" s="133"/>
      <c r="AN208" s="119">
        <v>0</v>
      </c>
      <c r="AO208" s="119">
        <v>0</v>
      </c>
      <c r="AP208" s="119">
        <v>0</v>
      </c>
      <c r="AQ208" s="119">
        <v>0</v>
      </c>
      <c r="AR208" s="133">
        <v>0</v>
      </c>
      <c r="AS208" s="119"/>
      <c r="AT208" s="119"/>
      <c r="AU208" s="119"/>
      <c r="AV208" s="119"/>
      <c r="AW208" s="133"/>
      <c r="AX208" s="119"/>
      <c r="AY208" s="119"/>
      <c r="AZ208" s="119"/>
      <c r="BA208" s="119"/>
      <c r="BB208" s="133"/>
      <c r="BC208" s="119"/>
      <c r="BD208" s="119"/>
      <c r="BE208" s="119"/>
      <c r="BF208" s="119"/>
      <c r="BG208" s="133"/>
      <c r="BH208" s="119"/>
      <c r="BI208" s="119"/>
      <c r="BJ208" s="119"/>
      <c r="BK208" s="119"/>
      <c r="BL208" s="133"/>
      <c r="BM208" s="119"/>
      <c r="BN208" s="119"/>
      <c r="BO208" s="119"/>
      <c r="BP208" s="119"/>
      <c r="BQ208" s="133"/>
      <c r="BR208" s="119"/>
      <c r="BS208" s="119"/>
      <c r="BT208" s="119"/>
      <c r="BU208" s="119"/>
      <c r="BV208" s="133"/>
      <c r="BW208" s="119"/>
      <c r="BX208" s="119"/>
      <c r="BY208" s="119"/>
      <c r="BZ208" s="119"/>
      <c r="CA208" s="133"/>
      <c r="CB208" s="119"/>
      <c r="CC208" s="119"/>
      <c r="CD208" s="119"/>
      <c r="CE208" s="119"/>
      <c r="CF208" s="133"/>
    </row>
    <row r="209" spans="1:84" ht="12.75">
      <c r="A209" s="119" t="s">
        <v>721</v>
      </c>
      <c r="B209" s="119" t="s">
        <v>722</v>
      </c>
      <c r="C209" s="119" t="s">
        <v>723</v>
      </c>
      <c r="D209" s="119" t="s">
        <v>158</v>
      </c>
      <c r="E209" s="119" t="s">
        <v>29</v>
      </c>
      <c r="F209" s="131">
        <f t="shared" si="0"/>
        <v>0</v>
      </c>
      <c r="G209" s="119">
        <f t="shared" si="1"/>
        <v>0</v>
      </c>
      <c r="H209" s="119">
        <f t="shared" ref="H209:I209" si="208">SUM(L209,Q209,V209,AA209,AF209,AK209,AP209,AU209,AZ209,BE209,BJ209,BO209,BT209,BY209,CD209)</f>
        <v>0</v>
      </c>
      <c r="I209" s="132">
        <f t="shared" si="208"/>
        <v>0</v>
      </c>
      <c r="J209" s="119">
        <v>0</v>
      </c>
      <c r="K209" s="119">
        <v>0</v>
      </c>
      <c r="L209" s="119">
        <v>0</v>
      </c>
      <c r="M209" s="119">
        <v>0</v>
      </c>
      <c r="N209" s="133">
        <v>0</v>
      </c>
      <c r="O209" s="119">
        <v>0</v>
      </c>
      <c r="P209" s="119">
        <v>0</v>
      </c>
      <c r="Q209" s="119">
        <v>0</v>
      </c>
      <c r="R209" s="119">
        <v>0</v>
      </c>
      <c r="S209" s="133">
        <v>0</v>
      </c>
      <c r="T209" s="119"/>
      <c r="U209" s="119"/>
      <c r="V209" s="119"/>
      <c r="W209" s="119"/>
      <c r="X209" s="133"/>
      <c r="Y209" s="119"/>
      <c r="Z209" s="119"/>
      <c r="AA209" s="119"/>
      <c r="AB209" s="119"/>
      <c r="AC209" s="133"/>
      <c r="AD209" s="119"/>
      <c r="AE209" s="119"/>
      <c r="AF209" s="119"/>
      <c r="AG209" s="119"/>
      <c r="AH209" s="133"/>
      <c r="AI209" s="119"/>
      <c r="AJ209" s="119"/>
      <c r="AK209" s="119"/>
      <c r="AL209" s="119"/>
      <c r="AM209" s="133"/>
      <c r="AN209" s="119">
        <v>0</v>
      </c>
      <c r="AO209" s="119">
        <v>0</v>
      </c>
      <c r="AP209" s="119">
        <v>0</v>
      </c>
      <c r="AQ209" s="119">
        <v>0</v>
      </c>
      <c r="AR209" s="133">
        <v>0</v>
      </c>
      <c r="AS209" s="119"/>
      <c r="AT209" s="119"/>
      <c r="AU209" s="119"/>
      <c r="AV209" s="119"/>
      <c r="AW209" s="133"/>
      <c r="AX209" s="119"/>
      <c r="AY209" s="119"/>
      <c r="AZ209" s="119"/>
      <c r="BA209" s="119"/>
      <c r="BB209" s="133"/>
      <c r="BC209" s="119"/>
      <c r="BD209" s="119"/>
      <c r="BE209" s="119"/>
      <c r="BF209" s="119"/>
      <c r="BG209" s="133"/>
      <c r="BH209" s="119"/>
      <c r="BI209" s="119"/>
      <c r="BJ209" s="119"/>
      <c r="BK209" s="119"/>
      <c r="BL209" s="133"/>
      <c r="BM209" s="119"/>
      <c r="BN209" s="119"/>
      <c r="BO209" s="119"/>
      <c r="BP209" s="119"/>
      <c r="BQ209" s="133"/>
      <c r="BR209" s="119"/>
      <c r="BS209" s="119"/>
      <c r="BT209" s="119"/>
      <c r="BU209" s="119"/>
      <c r="BV209" s="133"/>
      <c r="BW209" s="119"/>
      <c r="BX209" s="119"/>
      <c r="BY209" s="119"/>
      <c r="BZ209" s="119"/>
      <c r="CA209" s="133"/>
      <c r="CB209" s="119"/>
      <c r="CC209" s="119"/>
      <c r="CD209" s="119"/>
      <c r="CE209" s="119"/>
      <c r="CF209" s="133"/>
    </row>
    <row r="210" spans="1:84" ht="12.75">
      <c r="A210" s="119" t="s">
        <v>724</v>
      </c>
      <c r="B210" s="119" t="s">
        <v>725</v>
      </c>
      <c r="C210" s="119" t="s">
        <v>726</v>
      </c>
      <c r="D210" s="119" t="s">
        <v>152</v>
      </c>
      <c r="E210" s="119" t="s">
        <v>31</v>
      </c>
      <c r="F210" s="131">
        <f t="shared" si="0"/>
        <v>0</v>
      </c>
      <c r="G210" s="119">
        <f t="shared" si="1"/>
        <v>0</v>
      </c>
      <c r="H210" s="119">
        <f t="shared" ref="H210:I210" si="209">SUM(L210,Q210,V210,AA210,AF210,AK210,AP210,AU210,AZ210,BE210,BJ210,BO210,BT210,BY210,CD210)</f>
        <v>0</v>
      </c>
      <c r="I210" s="132">
        <f t="shared" si="209"/>
        <v>0</v>
      </c>
      <c r="J210" s="119"/>
      <c r="K210" s="119"/>
      <c r="L210" s="119"/>
      <c r="M210" s="119"/>
      <c r="N210" s="133"/>
      <c r="O210" s="119"/>
      <c r="P210" s="119"/>
      <c r="Q210" s="119"/>
      <c r="R210" s="119"/>
      <c r="S210" s="133"/>
      <c r="T210" s="119"/>
      <c r="U210" s="119"/>
      <c r="V210" s="119"/>
      <c r="W210" s="119"/>
      <c r="X210" s="133"/>
      <c r="Y210" s="119"/>
      <c r="Z210" s="119"/>
      <c r="AA210" s="119"/>
      <c r="AB210" s="119"/>
      <c r="AC210" s="133"/>
      <c r="AD210" s="119"/>
      <c r="AE210" s="119"/>
      <c r="AF210" s="119"/>
      <c r="AG210" s="119"/>
      <c r="AH210" s="133"/>
      <c r="AI210" s="119"/>
      <c r="AJ210" s="119"/>
      <c r="AK210" s="119"/>
      <c r="AL210" s="119"/>
      <c r="AM210" s="133"/>
      <c r="AN210" s="119"/>
      <c r="AO210" s="119"/>
      <c r="AP210" s="119"/>
      <c r="AQ210" s="119"/>
      <c r="AR210" s="133"/>
      <c r="AS210" s="119"/>
      <c r="AT210" s="119"/>
      <c r="AU210" s="119"/>
      <c r="AV210" s="119"/>
      <c r="AW210" s="133"/>
      <c r="AX210" s="119"/>
      <c r="AY210" s="119"/>
      <c r="AZ210" s="119"/>
      <c r="BA210" s="119"/>
      <c r="BB210" s="133"/>
      <c r="BC210" s="119"/>
      <c r="BD210" s="119"/>
      <c r="BE210" s="119"/>
      <c r="BF210" s="119"/>
      <c r="BG210" s="133"/>
      <c r="BH210" s="119"/>
      <c r="BI210" s="119"/>
      <c r="BJ210" s="119"/>
      <c r="BK210" s="119"/>
      <c r="BL210" s="133"/>
      <c r="BM210" s="119"/>
      <c r="BN210" s="119"/>
      <c r="BO210" s="119"/>
      <c r="BP210" s="119"/>
      <c r="BQ210" s="133"/>
      <c r="BR210" s="119"/>
      <c r="BS210" s="119"/>
      <c r="BT210" s="119"/>
      <c r="BU210" s="119"/>
      <c r="BV210" s="133"/>
      <c r="BW210" s="119"/>
      <c r="BX210" s="119"/>
      <c r="BY210" s="119"/>
      <c r="BZ210" s="119"/>
      <c r="CA210" s="133"/>
      <c r="CB210" s="119"/>
      <c r="CC210" s="119"/>
      <c r="CD210" s="119"/>
      <c r="CE210" s="119"/>
      <c r="CF210" s="133"/>
    </row>
    <row r="211" spans="1:84" ht="12.75">
      <c r="A211" s="119" t="s">
        <v>727</v>
      </c>
      <c r="B211" s="119" t="s">
        <v>728</v>
      </c>
      <c r="C211" s="119" t="s">
        <v>729</v>
      </c>
      <c r="D211" s="119" t="s">
        <v>158</v>
      </c>
      <c r="E211" s="119" t="s">
        <v>31</v>
      </c>
      <c r="F211" s="131">
        <f t="shared" si="0"/>
        <v>0</v>
      </c>
      <c r="G211" s="119">
        <f t="shared" si="1"/>
        <v>0</v>
      </c>
      <c r="H211" s="119">
        <f t="shared" ref="H211:I211" si="210">SUM(L211,Q211,V211,AA211,AF211,AK211,AP211,AU211,AZ211,BE211,BJ211,BO211,BT211,BY211,CD211)</f>
        <v>0</v>
      </c>
      <c r="I211" s="132">
        <f t="shared" si="210"/>
        <v>0</v>
      </c>
      <c r="J211" s="119"/>
      <c r="K211" s="119"/>
      <c r="L211" s="119"/>
      <c r="M211" s="119"/>
      <c r="N211" s="133"/>
      <c r="O211" s="119"/>
      <c r="P211" s="119"/>
      <c r="Q211" s="119"/>
      <c r="R211" s="119"/>
      <c r="S211" s="133"/>
      <c r="T211" s="119"/>
      <c r="U211" s="119"/>
      <c r="V211" s="119"/>
      <c r="W211" s="119"/>
      <c r="X211" s="133"/>
      <c r="Y211" s="119"/>
      <c r="Z211" s="119"/>
      <c r="AA211" s="119"/>
      <c r="AB211" s="119"/>
      <c r="AC211" s="133"/>
      <c r="AD211" s="119"/>
      <c r="AE211" s="119"/>
      <c r="AF211" s="119"/>
      <c r="AG211" s="119"/>
      <c r="AH211" s="133"/>
      <c r="AI211" s="119"/>
      <c r="AJ211" s="119"/>
      <c r="AK211" s="119"/>
      <c r="AL211" s="119"/>
      <c r="AM211" s="133"/>
      <c r="AN211" s="119"/>
      <c r="AO211" s="119"/>
      <c r="AP211" s="119"/>
      <c r="AQ211" s="119"/>
      <c r="AR211" s="133"/>
      <c r="AS211" s="119"/>
      <c r="AT211" s="119"/>
      <c r="AU211" s="119"/>
      <c r="AV211" s="119"/>
      <c r="AW211" s="133"/>
      <c r="AX211" s="119"/>
      <c r="AY211" s="119"/>
      <c r="AZ211" s="119"/>
      <c r="BA211" s="119"/>
      <c r="BB211" s="133"/>
      <c r="BC211" s="119"/>
      <c r="BD211" s="119"/>
      <c r="BE211" s="119"/>
      <c r="BF211" s="119"/>
      <c r="BG211" s="133"/>
      <c r="BH211" s="119"/>
      <c r="BI211" s="119"/>
      <c r="BJ211" s="119"/>
      <c r="BK211" s="119"/>
      <c r="BL211" s="133"/>
      <c r="BM211" s="119"/>
      <c r="BN211" s="119"/>
      <c r="BO211" s="119"/>
      <c r="BP211" s="119"/>
      <c r="BQ211" s="133"/>
      <c r="BR211" s="119"/>
      <c r="BS211" s="119"/>
      <c r="BT211" s="119"/>
      <c r="BU211" s="119"/>
      <c r="BV211" s="133"/>
      <c r="BW211" s="119"/>
      <c r="BX211" s="119"/>
      <c r="BY211" s="119"/>
      <c r="BZ211" s="119"/>
      <c r="CA211" s="133"/>
      <c r="CB211" s="119"/>
      <c r="CC211" s="119"/>
      <c r="CD211" s="119"/>
      <c r="CE211" s="119"/>
      <c r="CF211" s="133"/>
    </row>
    <row r="212" spans="1:84" ht="12.75">
      <c r="A212" s="119" t="s">
        <v>730</v>
      </c>
      <c r="B212" s="119" t="s">
        <v>731</v>
      </c>
      <c r="C212" s="119" t="s">
        <v>304</v>
      </c>
      <c r="D212" s="119" t="s">
        <v>152</v>
      </c>
      <c r="E212" s="119" t="s">
        <v>576</v>
      </c>
      <c r="F212" s="131">
        <f t="shared" si="0"/>
        <v>0</v>
      </c>
      <c r="G212" s="119">
        <f t="shared" si="1"/>
        <v>0</v>
      </c>
      <c r="H212" s="119">
        <f t="shared" ref="H212:I212" si="211">SUM(L212,Q212,V212,AA212,AF212,AK212,AP212,AU212,AZ212,BE212,BJ212,BO212,BT212,BY212,CD212)</f>
        <v>0</v>
      </c>
      <c r="I212" s="132">
        <f t="shared" si="211"/>
        <v>0</v>
      </c>
      <c r="J212" s="119"/>
      <c r="K212" s="119"/>
      <c r="L212" s="119"/>
      <c r="M212" s="119"/>
      <c r="N212" s="133"/>
      <c r="O212" s="119"/>
      <c r="P212" s="119"/>
      <c r="Q212" s="119"/>
      <c r="R212" s="119"/>
      <c r="S212" s="133"/>
      <c r="T212" s="119"/>
      <c r="U212" s="119"/>
      <c r="V212" s="119"/>
      <c r="W212" s="119"/>
      <c r="X212" s="133"/>
      <c r="Y212" s="119"/>
      <c r="Z212" s="119"/>
      <c r="AA212" s="119"/>
      <c r="AB212" s="119"/>
      <c r="AC212" s="133"/>
      <c r="AD212" s="119"/>
      <c r="AE212" s="119"/>
      <c r="AF212" s="119"/>
      <c r="AG212" s="119"/>
      <c r="AH212" s="133"/>
      <c r="AI212" s="119"/>
      <c r="AJ212" s="119"/>
      <c r="AK212" s="119"/>
      <c r="AL212" s="119"/>
      <c r="AM212" s="133"/>
      <c r="AN212" s="119"/>
      <c r="AO212" s="119"/>
      <c r="AP212" s="119"/>
      <c r="AQ212" s="119"/>
      <c r="AR212" s="133"/>
      <c r="AS212" s="119"/>
      <c r="AT212" s="119"/>
      <c r="AU212" s="119"/>
      <c r="AV212" s="119"/>
      <c r="AW212" s="133"/>
      <c r="AX212" s="119"/>
      <c r="AY212" s="119"/>
      <c r="AZ212" s="119"/>
      <c r="BA212" s="119"/>
      <c r="BB212" s="133"/>
      <c r="BC212" s="119"/>
      <c r="BD212" s="119"/>
      <c r="BE212" s="119"/>
      <c r="BF212" s="119"/>
      <c r="BG212" s="133"/>
      <c r="BH212" s="119"/>
      <c r="BI212" s="119"/>
      <c r="BJ212" s="119"/>
      <c r="BK212" s="119"/>
      <c r="BL212" s="133"/>
      <c r="BM212" s="119"/>
      <c r="BN212" s="119"/>
      <c r="BO212" s="119"/>
      <c r="BP212" s="119"/>
      <c r="BQ212" s="133"/>
      <c r="BR212" s="119"/>
      <c r="BS212" s="119"/>
      <c r="BT212" s="119"/>
      <c r="BU212" s="119"/>
      <c r="BV212" s="133"/>
      <c r="BW212" s="119"/>
      <c r="BX212" s="119"/>
      <c r="BY212" s="119"/>
      <c r="BZ212" s="119"/>
      <c r="CA212" s="133"/>
      <c r="CB212" s="119"/>
      <c r="CC212" s="119"/>
      <c r="CD212" s="119"/>
      <c r="CE212" s="119"/>
      <c r="CF212" s="133"/>
    </row>
    <row r="213" spans="1:84" ht="12.75">
      <c r="A213" s="119" t="s">
        <v>732</v>
      </c>
      <c r="B213" s="119" t="s">
        <v>733</v>
      </c>
      <c r="C213" s="119" t="s">
        <v>734</v>
      </c>
      <c r="D213" s="119" t="s">
        <v>158</v>
      </c>
      <c r="E213" s="119" t="s">
        <v>576</v>
      </c>
      <c r="F213" s="131">
        <f t="shared" si="0"/>
        <v>0</v>
      </c>
      <c r="G213" s="119">
        <f t="shared" si="1"/>
        <v>0</v>
      </c>
      <c r="H213" s="119">
        <f t="shared" ref="H213:I213" si="212">SUM(L213,Q213,V213,AA213,AF213,AK213,AP213,AU213,AZ213,BE213,BJ213,BO213,BT213,BY213,CD213)</f>
        <v>0</v>
      </c>
      <c r="I213" s="132">
        <f t="shared" si="212"/>
        <v>0</v>
      </c>
      <c r="J213" s="119"/>
      <c r="K213" s="119"/>
      <c r="L213" s="119"/>
      <c r="M213" s="119"/>
      <c r="N213" s="133"/>
      <c r="O213" s="119"/>
      <c r="P213" s="119"/>
      <c r="Q213" s="119"/>
      <c r="R213" s="119"/>
      <c r="S213" s="133"/>
      <c r="T213" s="119"/>
      <c r="U213" s="119"/>
      <c r="V213" s="119"/>
      <c r="W213" s="119"/>
      <c r="X213" s="133"/>
      <c r="Y213" s="119"/>
      <c r="Z213" s="119"/>
      <c r="AA213" s="119"/>
      <c r="AB213" s="119"/>
      <c r="AC213" s="133"/>
      <c r="AD213" s="119"/>
      <c r="AE213" s="119"/>
      <c r="AF213" s="119"/>
      <c r="AG213" s="119"/>
      <c r="AH213" s="133"/>
      <c r="AI213" s="119"/>
      <c r="AJ213" s="119"/>
      <c r="AK213" s="119"/>
      <c r="AL213" s="119"/>
      <c r="AM213" s="133"/>
      <c r="AN213" s="119"/>
      <c r="AO213" s="119"/>
      <c r="AP213" s="119"/>
      <c r="AQ213" s="119"/>
      <c r="AR213" s="133"/>
      <c r="AS213" s="119"/>
      <c r="AT213" s="119"/>
      <c r="AU213" s="119"/>
      <c r="AV213" s="119"/>
      <c r="AW213" s="133"/>
      <c r="AX213" s="119"/>
      <c r="AY213" s="119"/>
      <c r="AZ213" s="119"/>
      <c r="BA213" s="119"/>
      <c r="BB213" s="133"/>
      <c r="BC213" s="119"/>
      <c r="BD213" s="119"/>
      <c r="BE213" s="119"/>
      <c r="BF213" s="119"/>
      <c r="BG213" s="133"/>
      <c r="BH213" s="119"/>
      <c r="BI213" s="119"/>
      <c r="BJ213" s="119"/>
      <c r="BK213" s="119"/>
      <c r="BL213" s="133"/>
      <c r="BM213" s="119"/>
      <c r="BN213" s="119"/>
      <c r="BO213" s="119"/>
      <c r="BP213" s="119"/>
      <c r="BQ213" s="133"/>
      <c r="BR213" s="119"/>
      <c r="BS213" s="119"/>
      <c r="BT213" s="119"/>
      <c r="BU213" s="119"/>
      <c r="BV213" s="133"/>
      <c r="BW213" s="119"/>
      <c r="BX213" s="119"/>
      <c r="BY213" s="119"/>
      <c r="BZ213" s="119"/>
      <c r="CA213" s="133"/>
      <c r="CB213" s="119"/>
      <c r="CC213" s="119"/>
      <c r="CD213" s="119"/>
      <c r="CE213" s="119"/>
      <c r="CF213" s="133"/>
    </row>
    <row r="214" spans="1:84" ht="12.75">
      <c r="A214" s="119" t="s">
        <v>735</v>
      </c>
      <c r="B214" s="119" t="s">
        <v>736</v>
      </c>
      <c r="C214" s="119" t="s">
        <v>737</v>
      </c>
      <c r="D214" s="119" t="s">
        <v>152</v>
      </c>
      <c r="E214" s="119" t="s">
        <v>25</v>
      </c>
      <c r="F214" s="131">
        <f t="shared" si="0"/>
        <v>0</v>
      </c>
      <c r="G214" s="119">
        <f t="shared" si="1"/>
        <v>0</v>
      </c>
      <c r="H214" s="119">
        <f t="shared" ref="H214:I214" si="213">SUM(L214,Q214,V214,AA214,AF214,AK214,AP214,AU214,AZ214,BE214,BJ214,BO214,BT214,BY214,CD214)</f>
        <v>0</v>
      </c>
      <c r="I214" s="132">
        <f t="shared" si="213"/>
        <v>0</v>
      </c>
      <c r="J214" s="119"/>
      <c r="K214" s="119"/>
      <c r="L214" s="119"/>
      <c r="M214" s="119"/>
      <c r="N214" s="133"/>
      <c r="O214" s="119"/>
      <c r="P214" s="119"/>
      <c r="Q214" s="119"/>
      <c r="R214" s="119"/>
      <c r="S214" s="133"/>
      <c r="T214" s="119"/>
      <c r="U214" s="119"/>
      <c r="V214" s="119"/>
      <c r="W214" s="119"/>
      <c r="X214" s="133"/>
      <c r="Y214" s="119"/>
      <c r="Z214" s="119"/>
      <c r="AA214" s="119"/>
      <c r="AB214" s="119"/>
      <c r="AC214" s="133"/>
      <c r="AD214" s="119"/>
      <c r="AE214" s="119"/>
      <c r="AF214" s="119"/>
      <c r="AG214" s="119"/>
      <c r="AH214" s="133"/>
      <c r="AI214" s="119"/>
      <c r="AJ214" s="119"/>
      <c r="AK214" s="119"/>
      <c r="AL214" s="119"/>
      <c r="AM214" s="133"/>
      <c r="AN214" s="119"/>
      <c r="AO214" s="119"/>
      <c r="AP214" s="119"/>
      <c r="AQ214" s="119"/>
      <c r="AR214" s="133"/>
      <c r="AS214" s="119"/>
      <c r="AT214" s="119"/>
      <c r="AU214" s="119"/>
      <c r="AV214" s="119"/>
      <c r="AW214" s="133"/>
      <c r="AX214" s="119"/>
      <c r="AY214" s="119"/>
      <c r="AZ214" s="119"/>
      <c r="BA214" s="119"/>
      <c r="BB214" s="133"/>
      <c r="BC214" s="119"/>
      <c r="BD214" s="119"/>
      <c r="BE214" s="119"/>
      <c r="BF214" s="119"/>
      <c r="BG214" s="133"/>
      <c r="BH214" s="119"/>
      <c r="BI214" s="119"/>
      <c r="BJ214" s="119"/>
      <c r="BK214" s="119"/>
      <c r="BL214" s="133"/>
      <c r="BM214" s="119"/>
      <c r="BN214" s="119"/>
      <c r="BO214" s="119"/>
      <c r="BP214" s="119"/>
      <c r="BQ214" s="133"/>
      <c r="BR214" s="119"/>
      <c r="BS214" s="119"/>
      <c r="BT214" s="119"/>
      <c r="BU214" s="119"/>
      <c r="BV214" s="133"/>
      <c r="BW214" s="119"/>
      <c r="BX214" s="119"/>
      <c r="BY214" s="119"/>
      <c r="BZ214" s="119"/>
      <c r="CA214" s="133"/>
      <c r="CB214" s="119"/>
      <c r="CC214" s="119"/>
      <c r="CD214" s="119"/>
      <c r="CE214" s="119"/>
      <c r="CF214" s="133"/>
    </row>
    <row r="215" spans="1:84" ht="12.75">
      <c r="A215" s="119" t="s">
        <v>738</v>
      </c>
      <c r="B215" s="119" t="s">
        <v>739</v>
      </c>
      <c r="C215" s="119" t="s">
        <v>740</v>
      </c>
      <c r="D215" s="119" t="s">
        <v>158</v>
      </c>
      <c r="E215" s="119" t="s">
        <v>25</v>
      </c>
      <c r="F215" s="131">
        <f t="shared" si="0"/>
        <v>0</v>
      </c>
      <c r="G215" s="119">
        <f t="shared" si="1"/>
        <v>0</v>
      </c>
      <c r="H215" s="119">
        <f t="shared" ref="H215:I215" si="214">SUM(L215,Q215,V215,AA215,AF215,AK215,AP215,AU215,AZ215,BE215,BJ215,BO215,BT215,BY215,CD215)</f>
        <v>0</v>
      </c>
      <c r="I215" s="132">
        <f t="shared" si="214"/>
        <v>0</v>
      </c>
      <c r="J215" s="119"/>
      <c r="K215" s="119"/>
      <c r="L215" s="119"/>
      <c r="M215" s="119"/>
      <c r="N215" s="133"/>
      <c r="O215" s="119"/>
      <c r="P215" s="119"/>
      <c r="Q215" s="119"/>
      <c r="R215" s="119"/>
      <c r="S215" s="133"/>
      <c r="T215" s="119"/>
      <c r="U215" s="119"/>
      <c r="V215" s="119"/>
      <c r="W215" s="119"/>
      <c r="X215" s="133"/>
      <c r="Y215" s="119"/>
      <c r="Z215" s="119"/>
      <c r="AA215" s="119"/>
      <c r="AB215" s="119"/>
      <c r="AC215" s="133"/>
      <c r="AD215" s="119"/>
      <c r="AE215" s="119"/>
      <c r="AF215" s="119"/>
      <c r="AG215" s="119"/>
      <c r="AH215" s="133"/>
      <c r="AI215" s="119"/>
      <c r="AJ215" s="119"/>
      <c r="AK215" s="119"/>
      <c r="AL215" s="119"/>
      <c r="AM215" s="133"/>
      <c r="AN215" s="119"/>
      <c r="AO215" s="119"/>
      <c r="AP215" s="119"/>
      <c r="AQ215" s="119"/>
      <c r="AR215" s="133"/>
      <c r="AS215" s="119"/>
      <c r="AT215" s="119"/>
      <c r="AU215" s="119"/>
      <c r="AV215" s="119"/>
      <c r="AW215" s="133"/>
      <c r="AX215" s="119"/>
      <c r="AY215" s="119"/>
      <c r="AZ215" s="119"/>
      <c r="BA215" s="119"/>
      <c r="BB215" s="133"/>
      <c r="BC215" s="119"/>
      <c r="BD215" s="119"/>
      <c r="BE215" s="119"/>
      <c r="BF215" s="119"/>
      <c r="BG215" s="133"/>
      <c r="BH215" s="119"/>
      <c r="BI215" s="119"/>
      <c r="BJ215" s="119"/>
      <c r="BK215" s="119"/>
      <c r="BL215" s="133"/>
      <c r="BM215" s="119"/>
      <c r="BN215" s="119"/>
      <c r="BO215" s="119"/>
      <c r="BP215" s="119"/>
      <c r="BQ215" s="133"/>
      <c r="BR215" s="119"/>
      <c r="BS215" s="119"/>
      <c r="BT215" s="119"/>
      <c r="BU215" s="119"/>
      <c r="BV215" s="133"/>
      <c r="BW215" s="119"/>
      <c r="BX215" s="119"/>
      <c r="BY215" s="119"/>
      <c r="BZ215" s="119"/>
      <c r="CA215" s="133"/>
      <c r="CB215" s="119"/>
      <c r="CC215" s="119"/>
      <c r="CD215" s="119"/>
      <c r="CE215" s="119"/>
      <c r="CF215" s="133"/>
    </row>
    <row r="216" spans="1:84" ht="12.75">
      <c r="A216" s="119" t="s">
        <v>741</v>
      </c>
      <c r="B216" s="119" t="s">
        <v>742</v>
      </c>
      <c r="C216" s="119" t="s">
        <v>214</v>
      </c>
      <c r="D216" s="119" t="s">
        <v>152</v>
      </c>
      <c r="E216" s="119" t="s">
        <v>137</v>
      </c>
      <c r="F216" s="131">
        <f t="shared" si="0"/>
        <v>0</v>
      </c>
      <c r="G216" s="119">
        <f t="shared" si="1"/>
        <v>0</v>
      </c>
      <c r="H216" s="119">
        <f t="shared" ref="H216:I216" si="215">SUM(L216,Q216,V216,AA216,AF216,AK216,AP216,AU216,AZ216,BE216,BJ216,BO216,BT216,BY216,CD216)</f>
        <v>0</v>
      </c>
      <c r="I216" s="132">
        <f t="shared" si="215"/>
        <v>0</v>
      </c>
      <c r="J216" s="119"/>
      <c r="K216" s="119"/>
      <c r="L216" s="119"/>
      <c r="M216" s="119"/>
      <c r="N216" s="133"/>
      <c r="O216" s="119"/>
      <c r="P216" s="119"/>
      <c r="Q216" s="119"/>
      <c r="R216" s="119"/>
      <c r="S216" s="133"/>
      <c r="T216" s="119"/>
      <c r="U216" s="119"/>
      <c r="V216" s="119"/>
      <c r="W216" s="119"/>
      <c r="X216" s="133"/>
      <c r="Y216" s="119"/>
      <c r="Z216" s="119"/>
      <c r="AA216" s="119"/>
      <c r="AB216" s="119"/>
      <c r="AC216" s="133"/>
      <c r="AD216" s="119"/>
      <c r="AE216" s="119"/>
      <c r="AF216" s="119"/>
      <c r="AG216" s="119"/>
      <c r="AH216" s="133"/>
      <c r="AI216" s="119"/>
      <c r="AJ216" s="119"/>
      <c r="AK216" s="119"/>
      <c r="AL216" s="119"/>
      <c r="AM216" s="133"/>
      <c r="AN216" s="119"/>
      <c r="AO216" s="119"/>
      <c r="AP216" s="119"/>
      <c r="AQ216" s="119"/>
      <c r="AR216" s="133"/>
      <c r="AS216" s="119"/>
      <c r="AT216" s="119"/>
      <c r="AU216" s="119"/>
      <c r="AV216" s="119"/>
      <c r="AW216" s="133"/>
      <c r="AX216" s="119"/>
      <c r="AY216" s="119"/>
      <c r="AZ216" s="119"/>
      <c r="BA216" s="119"/>
      <c r="BB216" s="133"/>
      <c r="BC216" s="119"/>
      <c r="BD216" s="119"/>
      <c r="BE216" s="119"/>
      <c r="BF216" s="119"/>
      <c r="BG216" s="133"/>
      <c r="BH216" s="119"/>
      <c r="BI216" s="119"/>
      <c r="BJ216" s="119"/>
      <c r="BK216" s="119"/>
      <c r="BL216" s="133"/>
      <c r="BM216" s="119"/>
      <c r="BN216" s="119"/>
      <c r="BO216" s="119"/>
      <c r="BP216" s="119"/>
      <c r="BQ216" s="133"/>
      <c r="BR216" s="119"/>
      <c r="BS216" s="119"/>
      <c r="BT216" s="119"/>
      <c r="BU216" s="119"/>
      <c r="BV216" s="133"/>
      <c r="BW216" s="119"/>
      <c r="BX216" s="119"/>
      <c r="BY216" s="119"/>
      <c r="BZ216" s="119"/>
      <c r="CA216" s="133"/>
      <c r="CB216" s="119"/>
      <c r="CC216" s="119"/>
      <c r="CD216" s="119"/>
      <c r="CE216" s="119"/>
      <c r="CF216" s="133"/>
    </row>
    <row r="217" spans="1:84" ht="12.75">
      <c r="A217" s="119" t="s">
        <v>743</v>
      </c>
      <c r="B217" s="119" t="s">
        <v>685</v>
      </c>
      <c r="C217" s="119" t="s">
        <v>214</v>
      </c>
      <c r="D217" s="119" t="s">
        <v>158</v>
      </c>
      <c r="E217" s="119" t="s">
        <v>137</v>
      </c>
      <c r="F217" s="131">
        <f t="shared" si="0"/>
        <v>0</v>
      </c>
      <c r="G217" s="119">
        <f t="shared" si="1"/>
        <v>0</v>
      </c>
      <c r="H217" s="119">
        <f t="shared" ref="H217:I217" si="216">SUM(L217,Q217,V217,AA217,AF217,AK217,AP217,AU217,AZ217,BE217,BJ217,BO217,BT217,BY217,CD217)</f>
        <v>0</v>
      </c>
      <c r="I217" s="132">
        <f t="shared" si="216"/>
        <v>0</v>
      </c>
      <c r="J217" s="119"/>
      <c r="K217" s="119"/>
      <c r="L217" s="119"/>
      <c r="M217" s="119"/>
      <c r="N217" s="133"/>
      <c r="O217" s="119"/>
      <c r="P217" s="119"/>
      <c r="Q217" s="119"/>
      <c r="R217" s="119"/>
      <c r="S217" s="133"/>
      <c r="T217" s="119"/>
      <c r="U217" s="119"/>
      <c r="V217" s="119"/>
      <c r="W217" s="119"/>
      <c r="X217" s="133"/>
      <c r="Y217" s="119"/>
      <c r="Z217" s="119"/>
      <c r="AA217" s="119"/>
      <c r="AB217" s="119"/>
      <c r="AC217" s="133"/>
      <c r="AD217" s="119"/>
      <c r="AE217" s="119"/>
      <c r="AF217" s="119"/>
      <c r="AG217" s="119"/>
      <c r="AH217" s="133"/>
      <c r="AI217" s="119"/>
      <c r="AJ217" s="119"/>
      <c r="AK217" s="119"/>
      <c r="AL217" s="119"/>
      <c r="AM217" s="133"/>
      <c r="AN217" s="119"/>
      <c r="AO217" s="119"/>
      <c r="AP217" s="119"/>
      <c r="AQ217" s="119"/>
      <c r="AR217" s="133"/>
      <c r="AS217" s="119"/>
      <c r="AT217" s="119"/>
      <c r="AU217" s="119"/>
      <c r="AV217" s="119"/>
      <c r="AW217" s="133"/>
      <c r="AX217" s="119"/>
      <c r="AY217" s="119"/>
      <c r="AZ217" s="119"/>
      <c r="BA217" s="119"/>
      <c r="BB217" s="133"/>
      <c r="BC217" s="119"/>
      <c r="BD217" s="119"/>
      <c r="BE217" s="119"/>
      <c r="BF217" s="119"/>
      <c r="BG217" s="133"/>
      <c r="BH217" s="119"/>
      <c r="BI217" s="119"/>
      <c r="BJ217" s="119"/>
      <c r="BK217" s="119"/>
      <c r="BL217" s="133"/>
      <c r="BM217" s="119"/>
      <c r="BN217" s="119"/>
      <c r="BO217" s="119"/>
      <c r="BP217" s="119"/>
      <c r="BQ217" s="133"/>
      <c r="BR217" s="119"/>
      <c r="BS217" s="119"/>
      <c r="BT217" s="119"/>
      <c r="BU217" s="119"/>
      <c r="BV217" s="133"/>
      <c r="BW217" s="119"/>
      <c r="BX217" s="119"/>
      <c r="BY217" s="119"/>
      <c r="BZ217" s="119"/>
      <c r="CA217" s="133"/>
      <c r="CB217" s="119"/>
      <c r="CC217" s="119"/>
      <c r="CD217" s="119"/>
      <c r="CE217" s="119"/>
      <c r="CF217" s="133"/>
    </row>
  </sheetData>
  <conditionalFormatting sqref="J2:CF217">
    <cfRule type="containsBlanks" dxfId="2" priority="1">
      <formula>LEN(TRIM(J2))=0</formula>
    </cfRule>
  </conditionalFormatting>
  <dataValidations count="2">
    <dataValidation type="list" allowBlank="1" showErrorMessage="1" sqref="AI88 M2:M217 R2:R217 W2:W217 AB16:AB217 AG2:AG217 AL2:AL217 AQ2:AQ217 AV2:AV217 BA2:BA217 BF2:BF217 BK2:BK217 BP2:BP217 BU2:BU217 BZ2:BZ217 CE2:CE217" xr:uid="{00000000-0002-0000-0400-000000000000}">
      <formula1>"0,1"</formula1>
    </dataValidation>
    <dataValidation type="list" allowBlank="1" showErrorMessage="1" sqref="Y2:Y3 Y4:Z8 AI2:AI87 J2:J217 O2:O217 T2:T217 Y9:Y217 AD2:AD217 AI89:AI217 AN2:AN217 AS2:AS217 AX2:AX217 BC2:BC217 BH2:BH217 BM2:BM217 BR2:BR217 BW2:BW217 CB2:CB217" xr:uid="{00000000-0002-0000-0400-000001000000}">
      <formula1>"0,1,1.5,0.5"</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1000"/>
  <sheetViews>
    <sheetView workbookViewId="0">
      <pane ySplit="1" topLeftCell="A2" activePane="bottomLeft" state="frozen"/>
      <selection pane="bottomLeft" activeCell="B3" sqref="B3"/>
    </sheetView>
  </sheetViews>
  <sheetFormatPr defaultColWidth="12.5703125" defaultRowHeight="15.75" customHeight="1"/>
  <cols>
    <col min="1" max="4" width="21.28515625" customWidth="1"/>
    <col min="5" max="5" width="23.28515625" customWidth="1"/>
  </cols>
  <sheetData>
    <row r="1" spans="1:21" ht="23.25" customHeight="1">
      <c r="A1" s="134" t="s">
        <v>12</v>
      </c>
      <c r="B1" s="134" t="s">
        <v>744</v>
      </c>
      <c r="C1" s="134" t="s">
        <v>745</v>
      </c>
      <c r="D1" s="135" t="s">
        <v>746</v>
      </c>
      <c r="E1" s="135" t="s">
        <v>747</v>
      </c>
      <c r="F1" s="136">
        <v>45965</v>
      </c>
      <c r="G1" s="136">
        <v>45966</v>
      </c>
      <c r="H1" s="136">
        <v>45967</v>
      </c>
      <c r="I1" s="136">
        <v>45968</v>
      </c>
      <c r="J1" s="136">
        <v>45969</v>
      </c>
      <c r="K1" s="136">
        <v>45970</v>
      </c>
      <c r="L1" s="136">
        <v>45971</v>
      </c>
      <c r="M1" s="136">
        <v>45972</v>
      </c>
      <c r="N1" s="136">
        <v>45973</v>
      </c>
      <c r="O1" s="136">
        <v>45974</v>
      </c>
      <c r="P1" s="136">
        <v>45975</v>
      </c>
      <c r="Q1" s="136">
        <v>45976</v>
      </c>
      <c r="R1" s="136">
        <v>45977</v>
      </c>
      <c r="S1" s="136">
        <v>45978</v>
      </c>
      <c r="T1" s="136">
        <v>45979</v>
      </c>
      <c r="U1" s="136">
        <v>45980</v>
      </c>
    </row>
    <row r="2" spans="1:21" ht="12.75">
      <c r="A2" s="121" t="s">
        <v>481</v>
      </c>
      <c r="B2" s="121" t="s">
        <v>748</v>
      </c>
      <c r="C2" s="121" t="s">
        <v>37</v>
      </c>
      <c r="D2" s="111">
        <v>777770133</v>
      </c>
      <c r="E2" s="137">
        <f t="shared" ref="E2:E256" si="0">COUNTIF(F2:U2,"Yes")</f>
        <v>0</v>
      </c>
      <c r="F2" s="102"/>
      <c r="G2" s="102"/>
      <c r="H2" s="102"/>
      <c r="I2" s="102"/>
      <c r="J2" s="102"/>
      <c r="K2" s="102"/>
      <c r="L2" s="102"/>
      <c r="M2" s="102"/>
      <c r="N2" s="102"/>
      <c r="O2" s="102"/>
      <c r="P2" s="102"/>
      <c r="Q2" s="102"/>
      <c r="R2" s="102"/>
      <c r="S2" s="102"/>
      <c r="T2" s="102"/>
      <c r="U2" s="102"/>
    </row>
    <row r="3" spans="1:21" ht="12.75">
      <c r="A3" s="121" t="s">
        <v>481</v>
      </c>
      <c r="B3" s="121" t="s">
        <v>748</v>
      </c>
      <c r="C3" s="121" t="s">
        <v>749</v>
      </c>
      <c r="D3" s="111">
        <v>777770133</v>
      </c>
      <c r="E3" s="137">
        <f t="shared" si="0"/>
        <v>0</v>
      </c>
      <c r="F3" s="102"/>
      <c r="G3" s="102"/>
      <c r="H3" s="102"/>
      <c r="I3" s="102"/>
      <c r="J3" s="102"/>
      <c r="K3" s="102"/>
      <c r="L3" s="102"/>
      <c r="M3" s="102"/>
      <c r="N3" s="102"/>
      <c r="O3" s="102"/>
      <c r="P3" s="102"/>
      <c r="Q3" s="102"/>
      <c r="R3" s="102"/>
      <c r="S3" s="102"/>
      <c r="T3" s="102"/>
      <c r="U3" s="102"/>
    </row>
    <row r="4" spans="1:21" ht="12.75">
      <c r="A4" s="121" t="s">
        <v>481</v>
      </c>
      <c r="B4" s="121" t="s">
        <v>748</v>
      </c>
      <c r="C4" s="121" t="s">
        <v>750</v>
      </c>
      <c r="D4" s="111">
        <v>777770133</v>
      </c>
      <c r="E4" s="137">
        <f t="shared" si="0"/>
        <v>0</v>
      </c>
      <c r="F4" s="102"/>
      <c r="G4" s="102"/>
      <c r="H4" s="102"/>
      <c r="I4" s="102"/>
      <c r="J4" s="102"/>
      <c r="K4" s="102"/>
      <c r="L4" s="102"/>
      <c r="M4" s="102"/>
      <c r="N4" s="102"/>
      <c r="O4" s="102"/>
      <c r="P4" s="102"/>
      <c r="Q4" s="102"/>
      <c r="R4" s="102"/>
      <c r="S4" s="102"/>
      <c r="T4" s="102"/>
      <c r="U4" s="102"/>
    </row>
    <row r="5" spans="1:21" ht="12.75">
      <c r="A5" s="121" t="s">
        <v>20</v>
      </c>
      <c r="B5" s="121" t="s">
        <v>751</v>
      </c>
      <c r="C5" s="121" t="s">
        <v>37</v>
      </c>
      <c r="D5" s="111">
        <v>773504913</v>
      </c>
      <c r="E5" s="137">
        <f t="shared" si="0"/>
        <v>0</v>
      </c>
      <c r="F5" s="102"/>
      <c r="G5" s="102"/>
      <c r="H5" s="102"/>
      <c r="I5" s="102"/>
      <c r="J5" s="102"/>
      <c r="K5" s="102"/>
      <c r="L5" s="102"/>
      <c r="M5" s="102"/>
      <c r="N5" s="102"/>
      <c r="O5" s="102"/>
      <c r="P5" s="102"/>
      <c r="Q5" s="102"/>
      <c r="R5" s="102"/>
      <c r="S5" s="102"/>
      <c r="T5" s="102"/>
      <c r="U5" s="102"/>
    </row>
    <row r="6" spans="1:21" ht="12.75">
      <c r="A6" s="121" t="s">
        <v>20</v>
      </c>
      <c r="B6" s="121" t="s">
        <v>752</v>
      </c>
      <c r="C6" s="121" t="s">
        <v>750</v>
      </c>
      <c r="D6" s="111">
        <v>771212589</v>
      </c>
      <c r="E6" s="137">
        <f t="shared" si="0"/>
        <v>0</v>
      </c>
      <c r="F6" s="102"/>
      <c r="G6" s="102"/>
      <c r="H6" s="102"/>
      <c r="I6" s="102"/>
      <c r="J6" s="102"/>
      <c r="K6" s="102"/>
      <c r="L6" s="102"/>
      <c r="M6" s="102"/>
      <c r="N6" s="102"/>
      <c r="O6" s="102"/>
      <c r="P6" s="102"/>
      <c r="Q6" s="102"/>
      <c r="R6" s="102"/>
      <c r="S6" s="102"/>
      <c r="T6" s="102"/>
      <c r="U6" s="102"/>
    </row>
    <row r="7" spans="1:21" ht="12.75">
      <c r="A7" s="121" t="s">
        <v>20</v>
      </c>
      <c r="B7" s="121" t="s">
        <v>753</v>
      </c>
      <c r="C7" s="121" t="s">
        <v>749</v>
      </c>
      <c r="D7" s="111" t="s">
        <v>173</v>
      </c>
      <c r="E7" s="137">
        <f t="shared" si="0"/>
        <v>0</v>
      </c>
      <c r="F7" s="102"/>
      <c r="G7" s="102"/>
      <c r="H7" s="102"/>
      <c r="I7" s="102"/>
      <c r="J7" s="102"/>
      <c r="K7" s="102"/>
      <c r="L7" s="102"/>
      <c r="M7" s="102"/>
      <c r="N7" s="102"/>
      <c r="O7" s="102"/>
      <c r="P7" s="102"/>
      <c r="Q7" s="102"/>
      <c r="R7" s="102"/>
      <c r="S7" s="102"/>
      <c r="T7" s="102"/>
      <c r="U7" s="102"/>
    </row>
    <row r="8" spans="1:21" ht="12.75">
      <c r="C8" s="121"/>
      <c r="D8" s="111"/>
      <c r="E8" s="137">
        <f t="shared" si="0"/>
        <v>0</v>
      </c>
      <c r="F8" s="102"/>
      <c r="G8" s="102"/>
      <c r="H8" s="102"/>
      <c r="I8" s="102"/>
      <c r="J8" s="102"/>
      <c r="K8" s="102"/>
      <c r="L8" s="102"/>
      <c r="M8" s="102"/>
      <c r="N8" s="102"/>
      <c r="O8" s="102"/>
      <c r="P8" s="102"/>
      <c r="Q8" s="102"/>
      <c r="R8" s="102"/>
      <c r="S8" s="102"/>
      <c r="T8" s="102"/>
      <c r="U8" s="102"/>
    </row>
    <row r="9" spans="1:21" ht="12.75">
      <c r="C9" s="121"/>
      <c r="D9" s="111"/>
      <c r="E9" s="137">
        <f t="shared" si="0"/>
        <v>0</v>
      </c>
      <c r="F9" s="102"/>
      <c r="G9" s="102"/>
      <c r="H9" s="102"/>
      <c r="I9" s="102"/>
      <c r="J9" s="102"/>
      <c r="K9" s="102"/>
      <c r="L9" s="102"/>
      <c r="M9" s="102"/>
      <c r="N9" s="102"/>
      <c r="O9" s="102"/>
      <c r="P9" s="102"/>
      <c r="Q9" s="102"/>
      <c r="R9" s="102"/>
      <c r="S9" s="102"/>
      <c r="T9" s="102"/>
      <c r="U9" s="102"/>
    </row>
    <row r="10" spans="1:21" ht="12.75">
      <c r="C10" s="121"/>
      <c r="D10" s="111"/>
      <c r="E10" s="137">
        <f t="shared" si="0"/>
        <v>0</v>
      </c>
      <c r="F10" s="102"/>
      <c r="G10" s="102"/>
      <c r="H10" s="102"/>
      <c r="I10" s="102"/>
      <c r="J10" s="102"/>
      <c r="K10" s="102"/>
      <c r="L10" s="102"/>
      <c r="M10" s="102"/>
      <c r="N10" s="102"/>
      <c r="O10" s="102"/>
      <c r="P10" s="102"/>
      <c r="Q10" s="102"/>
      <c r="R10" s="102"/>
      <c r="S10" s="102"/>
      <c r="T10" s="102"/>
      <c r="U10" s="102"/>
    </row>
    <row r="11" spans="1:21" ht="12.75">
      <c r="C11" s="121"/>
      <c r="D11" s="111"/>
      <c r="E11" s="137">
        <f t="shared" si="0"/>
        <v>0</v>
      </c>
      <c r="F11" s="102"/>
      <c r="G11" s="102"/>
      <c r="H11" s="102"/>
      <c r="I11" s="102"/>
      <c r="J11" s="102"/>
      <c r="K11" s="102"/>
      <c r="L11" s="102"/>
      <c r="M11" s="102"/>
      <c r="N11" s="102"/>
      <c r="O11" s="102"/>
      <c r="P11" s="102"/>
      <c r="Q11" s="102"/>
      <c r="R11" s="102"/>
      <c r="S11" s="102"/>
      <c r="T11" s="102"/>
      <c r="U11" s="102"/>
    </row>
    <row r="12" spans="1:21" ht="12.75">
      <c r="C12" s="121"/>
      <c r="D12" s="111"/>
      <c r="E12" s="137">
        <f t="shared" si="0"/>
        <v>0</v>
      </c>
      <c r="F12" s="102"/>
      <c r="G12" s="102"/>
      <c r="H12" s="102"/>
      <c r="I12" s="102"/>
      <c r="J12" s="102"/>
      <c r="K12" s="102"/>
      <c r="L12" s="102"/>
      <c r="M12" s="102"/>
      <c r="N12" s="102"/>
      <c r="O12" s="102"/>
      <c r="P12" s="102"/>
      <c r="Q12" s="102"/>
      <c r="R12" s="102"/>
      <c r="S12" s="102"/>
      <c r="T12" s="102"/>
      <c r="U12" s="102"/>
    </row>
    <row r="13" spans="1:21" ht="12.75">
      <c r="C13" s="121"/>
      <c r="D13" s="111"/>
      <c r="E13" s="137">
        <f t="shared" si="0"/>
        <v>0</v>
      </c>
      <c r="F13" s="102"/>
      <c r="G13" s="102"/>
      <c r="H13" s="102"/>
      <c r="I13" s="102"/>
      <c r="J13" s="102"/>
      <c r="K13" s="102"/>
      <c r="L13" s="102"/>
      <c r="M13" s="102"/>
      <c r="N13" s="102"/>
      <c r="O13" s="102"/>
      <c r="P13" s="102"/>
      <c r="Q13" s="102"/>
      <c r="R13" s="102"/>
      <c r="S13" s="102"/>
      <c r="T13" s="102"/>
      <c r="U13" s="102"/>
    </row>
    <row r="14" spans="1:21" ht="12.75">
      <c r="C14" s="121"/>
      <c r="D14" s="111"/>
      <c r="E14" s="137">
        <f t="shared" si="0"/>
        <v>0</v>
      </c>
      <c r="F14" s="102"/>
      <c r="G14" s="102"/>
      <c r="H14" s="102"/>
      <c r="I14" s="102"/>
      <c r="J14" s="102"/>
      <c r="K14" s="102"/>
      <c r="L14" s="102"/>
      <c r="M14" s="102"/>
      <c r="N14" s="102"/>
      <c r="O14" s="102"/>
      <c r="P14" s="102"/>
      <c r="Q14" s="102"/>
      <c r="R14" s="102"/>
      <c r="S14" s="102"/>
      <c r="T14" s="102"/>
      <c r="U14" s="102"/>
    </row>
    <row r="15" spans="1:21" ht="12.75">
      <c r="C15" s="121"/>
      <c r="D15" s="111"/>
      <c r="E15" s="137">
        <f t="shared" si="0"/>
        <v>0</v>
      </c>
      <c r="F15" s="102"/>
      <c r="G15" s="102"/>
      <c r="H15" s="102"/>
      <c r="I15" s="102"/>
      <c r="J15" s="102"/>
      <c r="K15" s="102"/>
      <c r="L15" s="102"/>
      <c r="M15" s="102"/>
      <c r="N15" s="102"/>
      <c r="O15" s="102"/>
      <c r="P15" s="102"/>
      <c r="Q15" s="102"/>
      <c r="R15" s="102"/>
      <c r="S15" s="102"/>
      <c r="T15" s="102"/>
      <c r="U15" s="102"/>
    </row>
    <row r="16" spans="1:21" ht="12.75">
      <c r="C16" s="121"/>
      <c r="D16" s="111"/>
      <c r="E16" s="137">
        <f t="shared" si="0"/>
        <v>0</v>
      </c>
      <c r="F16" s="102"/>
      <c r="G16" s="102"/>
      <c r="H16" s="102"/>
      <c r="I16" s="102"/>
      <c r="J16" s="102"/>
      <c r="K16" s="102"/>
      <c r="L16" s="102"/>
      <c r="M16" s="102"/>
      <c r="N16" s="102"/>
      <c r="O16" s="102"/>
      <c r="P16" s="102"/>
      <c r="Q16" s="102"/>
      <c r="R16" s="102"/>
      <c r="S16" s="102"/>
      <c r="T16" s="102"/>
      <c r="U16" s="102"/>
    </row>
    <row r="17" spans="3:21" ht="12.75">
      <c r="C17" s="121"/>
      <c r="D17" s="111"/>
      <c r="E17" s="137">
        <f t="shared" si="0"/>
        <v>0</v>
      </c>
      <c r="F17" s="102"/>
      <c r="G17" s="102"/>
      <c r="H17" s="102"/>
      <c r="I17" s="102"/>
      <c r="J17" s="102"/>
      <c r="K17" s="102"/>
      <c r="L17" s="102"/>
      <c r="M17" s="102"/>
      <c r="N17" s="102"/>
      <c r="O17" s="102"/>
      <c r="P17" s="102"/>
      <c r="Q17" s="102"/>
      <c r="R17" s="102"/>
      <c r="S17" s="102"/>
      <c r="T17" s="102"/>
      <c r="U17" s="102"/>
    </row>
    <row r="18" spans="3:21" ht="12.75">
      <c r="C18" s="121"/>
      <c r="D18" s="111"/>
      <c r="E18" s="137">
        <f t="shared" si="0"/>
        <v>0</v>
      </c>
      <c r="F18" s="102"/>
      <c r="G18" s="102"/>
      <c r="H18" s="102"/>
      <c r="I18" s="102"/>
      <c r="J18" s="102"/>
      <c r="K18" s="102"/>
      <c r="L18" s="102"/>
      <c r="M18" s="102"/>
      <c r="N18" s="102"/>
      <c r="O18" s="102"/>
      <c r="P18" s="102"/>
      <c r="Q18" s="102"/>
      <c r="R18" s="102"/>
      <c r="S18" s="102"/>
      <c r="T18" s="102"/>
      <c r="U18" s="102"/>
    </row>
    <row r="19" spans="3:21" ht="12.75">
      <c r="C19" s="121"/>
      <c r="D19" s="111"/>
      <c r="E19" s="137">
        <f t="shared" si="0"/>
        <v>0</v>
      </c>
      <c r="F19" s="102"/>
      <c r="G19" s="102"/>
      <c r="H19" s="102"/>
      <c r="I19" s="102"/>
      <c r="J19" s="102"/>
      <c r="K19" s="102"/>
      <c r="L19" s="102"/>
      <c r="M19" s="102"/>
      <c r="N19" s="102"/>
      <c r="O19" s="102"/>
      <c r="P19" s="102"/>
      <c r="Q19" s="102"/>
      <c r="R19" s="102"/>
      <c r="S19" s="102"/>
      <c r="T19" s="102"/>
      <c r="U19" s="102"/>
    </row>
    <row r="20" spans="3:21" ht="12.75">
      <c r="C20" s="121"/>
      <c r="D20" s="111"/>
      <c r="E20" s="137">
        <f t="shared" si="0"/>
        <v>0</v>
      </c>
      <c r="F20" s="102"/>
      <c r="G20" s="102"/>
      <c r="H20" s="102"/>
      <c r="I20" s="102"/>
      <c r="J20" s="102"/>
      <c r="K20" s="102"/>
      <c r="L20" s="102"/>
      <c r="M20" s="102"/>
      <c r="N20" s="102"/>
      <c r="O20" s="102"/>
      <c r="P20" s="102"/>
      <c r="Q20" s="102"/>
      <c r="R20" s="102"/>
      <c r="S20" s="102"/>
      <c r="T20" s="102"/>
      <c r="U20" s="102"/>
    </row>
    <row r="21" spans="3:21" ht="12.75">
      <c r="C21" s="121"/>
      <c r="D21" s="111"/>
      <c r="E21" s="137">
        <f t="shared" si="0"/>
        <v>0</v>
      </c>
      <c r="F21" s="102"/>
      <c r="G21" s="102"/>
      <c r="H21" s="102"/>
      <c r="I21" s="102"/>
      <c r="J21" s="102"/>
      <c r="K21" s="102"/>
      <c r="L21" s="102"/>
      <c r="M21" s="102"/>
      <c r="N21" s="102"/>
      <c r="O21" s="102"/>
      <c r="P21" s="102"/>
      <c r="Q21" s="102"/>
      <c r="R21" s="102"/>
      <c r="S21" s="102"/>
      <c r="T21" s="102"/>
      <c r="U21" s="102"/>
    </row>
    <row r="22" spans="3:21" ht="12.75">
      <c r="C22" s="121"/>
      <c r="D22" s="111"/>
      <c r="E22" s="137">
        <f t="shared" si="0"/>
        <v>0</v>
      </c>
      <c r="F22" s="102"/>
      <c r="G22" s="102"/>
      <c r="H22" s="102"/>
      <c r="I22" s="102"/>
      <c r="J22" s="102"/>
      <c r="K22" s="102"/>
      <c r="L22" s="102"/>
      <c r="M22" s="102"/>
      <c r="N22" s="102"/>
      <c r="O22" s="102"/>
      <c r="P22" s="102"/>
      <c r="Q22" s="102"/>
      <c r="R22" s="102"/>
      <c r="S22" s="102"/>
      <c r="T22" s="102"/>
      <c r="U22" s="102"/>
    </row>
    <row r="23" spans="3:21" ht="12.75">
      <c r="C23" s="121"/>
      <c r="D23" s="111"/>
      <c r="E23" s="137">
        <f t="shared" si="0"/>
        <v>0</v>
      </c>
      <c r="F23" s="102"/>
      <c r="G23" s="102"/>
      <c r="H23" s="102"/>
      <c r="I23" s="102"/>
      <c r="J23" s="102"/>
      <c r="K23" s="102"/>
      <c r="L23" s="102"/>
      <c r="M23" s="102"/>
      <c r="N23" s="102"/>
      <c r="O23" s="102"/>
      <c r="P23" s="102"/>
      <c r="Q23" s="102"/>
      <c r="R23" s="102"/>
      <c r="S23" s="102"/>
      <c r="T23" s="102"/>
      <c r="U23" s="102"/>
    </row>
    <row r="24" spans="3:21" ht="12.75">
      <c r="C24" s="121"/>
      <c r="D24" s="111"/>
      <c r="E24" s="137">
        <f t="shared" si="0"/>
        <v>0</v>
      </c>
      <c r="F24" s="102"/>
      <c r="G24" s="102"/>
      <c r="H24" s="102"/>
      <c r="I24" s="102"/>
      <c r="J24" s="102"/>
      <c r="K24" s="102"/>
      <c r="L24" s="102"/>
      <c r="M24" s="102"/>
      <c r="N24" s="102"/>
      <c r="O24" s="102"/>
      <c r="P24" s="102"/>
      <c r="Q24" s="102"/>
      <c r="R24" s="102"/>
      <c r="S24" s="102"/>
      <c r="T24" s="102"/>
      <c r="U24" s="102"/>
    </row>
    <row r="25" spans="3:21" ht="12.75">
      <c r="C25" s="121"/>
      <c r="D25" s="111"/>
      <c r="E25" s="137">
        <f t="shared" si="0"/>
        <v>0</v>
      </c>
      <c r="F25" s="102"/>
      <c r="G25" s="102"/>
      <c r="H25" s="102"/>
      <c r="I25" s="102"/>
      <c r="J25" s="102"/>
      <c r="K25" s="102"/>
      <c r="L25" s="102"/>
      <c r="M25" s="102"/>
      <c r="N25" s="102"/>
      <c r="O25" s="102"/>
      <c r="P25" s="102"/>
      <c r="Q25" s="102"/>
      <c r="R25" s="102"/>
      <c r="S25" s="102"/>
      <c r="T25" s="102"/>
      <c r="U25" s="102"/>
    </row>
    <row r="26" spans="3:21" ht="12.75">
      <c r="C26" s="121"/>
      <c r="D26" s="111"/>
      <c r="E26" s="137">
        <f t="shared" si="0"/>
        <v>0</v>
      </c>
      <c r="F26" s="102"/>
      <c r="G26" s="102"/>
      <c r="H26" s="102"/>
      <c r="I26" s="102"/>
      <c r="J26" s="102"/>
      <c r="K26" s="102"/>
      <c r="L26" s="102"/>
      <c r="M26" s="102"/>
      <c r="N26" s="102"/>
      <c r="O26" s="102"/>
      <c r="P26" s="102"/>
      <c r="Q26" s="102"/>
      <c r="R26" s="102"/>
      <c r="S26" s="102"/>
      <c r="T26" s="102"/>
      <c r="U26" s="102"/>
    </row>
    <row r="27" spans="3:21" ht="12.75">
      <c r="C27" s="121"/>
      <c r="D27" s="111"/>
      <c r="E27" s="137">
        <f t="shared" si="0"/>
        <v>0</v>
      </c>
      <c r="F27" s="102"/>
      <c r="G27" s="102"/>
      <c r="H27" s="102"/>
      <c r="I27" s="102"/>
      <c r="J27" s="102"/>
      <c r="K27" s="102"/>
      <c r="L27" s="102"/>
      <c r="M27" s="102"/>
      <c r="N27" s="102"/>
      <c r="O27" s="102"/>
      <c r="P27" s="102"/>
      <c r="Q27" s="102"/>
      <c r="R27" s="102"/>
      <c r="S27" s="102"/>
      <c r="T27" s="102"/>
      <c r="U27" s="102"/>
    </row>
    <row r="28" spans="3:21" ht="12.75">
      <c r="C28" s="121"/>
      <c r="D28" s="111"/>
      <c r="E28" s="137">
        <f t="shared" si="0"/>
        <v>0</v>
      </c>
      <c r="F28" s="102"/>
      <c r="G28" s="102"/>
      <c r="H28" s="102"/>
      <c r="I28" s="102"/>
      <c r="J28" s="102"/>
      <c r="K28" s="102"/>
      <c r="L28" s="102"/>
      <c r="M28" s="102"/>
      <c r="N28" s="102"/>
      <c r="O28" s="102"/>
      <c r="P28" s="102"/>
      <c r="Q28" s="102"/>
      <c r="R28" s="102"/>
      <c r="S28" s="102"/>
      <c r="T28" s="102"/>
      <c r="U28" s="102"/>
    </row>
    <row r="29" spans="3:21" ht="12.75">
      <c r="C29" s="121"/>
      <c r="D29" s="111"/>
      <c r="E29" s="137">
        <f t="shared" si="0"/>
        <v>0</v>
      </c>
      <c r="F29" s="102"/>
      <c r="G29" s="102"/>
      <c r="H29" s="102"/>
      <c r="I29" s="102"/>
      <c r="J29" s="102"/>
      <c r="K29" s="102"/>
      <c r="L29" s="102"/>
      <c r="M29" s="102"/>
      <c r="N29" s="102"/>
      <c r="O29" s="102"/>
      <c r="P29" s="102"/>
      <c r="Q29" s="102"/>
      <c r="R29" s="102"/>
      <c r="S29" s="102"/>
      <c r="T29" s="102"/>
      <c r="U29" s="102"/>
    </row>
    <row r="30" spans="3:21" ht="12.75">
      <c r="C30" s="121"/>
      <c r="D30" s="111"/>
      <c r="E30" s="137">
        <f t="shared" si="0"/>
        <v>0</v>
      </c>
      <c r="F30" s="102"/>
      <c r="G30" s="102"/>
      <c r="H30" s="102"/>
      <c r="I30" s="102"/>
      <c r="J30" s="102"/>
      <c r="K30" s="102"/>
      <c r="L30" s="102"/>
      <c r="M30" s="102"/>
      <c r="N30" s="102"/>
      <c r="O30" s="102"/>
      <c r="P30" s="102"/>
      <c r="Q30" s="102"/>
      <c r="R30" s="102"/>
      <c r="S30" s="102"/>
      <c r="T30" s="102"/>
      <c r="U30" s="102"/>
    </row>
    <row r="31" spans="3:21" ht="12.75">
      <c r="C31" s="121"/>
      <c r="D31" s="111"/>
      <c r="E31" s="137">
        <f t="shared" si="0"/>
        <v>0</v>
      </c>
      <c r="F31" s="102"/>
      <c r="G31" s="102"/>
      <c r="H31" s="102"/>
      <c r="I31" s="102"/>
      <c r="J31" s="102"/>
      <c r="K31" s="102"/>
      <c r="L31" s="102"/>
      <c r="M31" s="102"/>
      <c r="N31" s="102"/>
      <c r="O31" s="102"/>
      <c r="P31" s="102"/>
      <c r="Q31" s="102"/>
      <c r="R31" s="102"/>
      <c r="S31" s="102"/>
      <c r="T31" s="102"/>
      <c r="U31" s="102"/>
    </row>
    <row r="32" spans="3:21" ht="12.75">
      <c r="C32" s="121"/>
      <c r="D32" s="111"/>
      <c r="E32" s="137">
        <f t="shared" si="0"/>
        <v>0</v>
      </c>
      <c r="F32" s="102"/>
      <c r="G32" s="102"/>
      <c r="H32" s="102"/>
      <c r="I32" s="102"/>
      <c r="J32" s="102"/>
      <c r="K32" s="102"/>
      <c r="L32" s="102"/>
      <c r="M32" s="102"/>
      <c r="N32" s="102"/>
      <c r="O32" s="102"/>
      <c r="P32" s="102"/>
      <c r="Q32" s="102"/>
      <c r="R32" s="102"/>
      <c r="S32" s="102"/>
      <c r="T32" s="102"/>
      <c r="U32" s="102"/>
    </row>
    <row r="33" spans="3:21" ht="12.75">
      <c r="C33" s="121"/>
      <c r="D33" s="111"/>
      <c r="E33" s="137">
        <f t="shared" si="0"/>
        <v>0</v>
      </c>
      <c r="F33" s="102"/>
      <c r="G33" s="102"/>
      <c r="H33" s="102"/>
      <c r="I33" s="102"/>
      <c r="J33" s="102"/>
      <c r="K33" s="102"/>
      <c r="L33" s="102"/>
      <c r="M33" s="102"/>
      <c r="N33" s="102"/>
      <c r="O33" s="102"/>
      <c r="P33" s="102"/>
      <c r="Q33" s="102"/>
      <c r="R33" s="102"/>
      <c r="S33" s="102"/>
      <c r="T33" s="102"/>
      <c r="U33" s="102"/>
    </row>
    <row r="34" spans="3:21" ht="12.75">
      <c r="C34" s="121"/>
      <c r="D34" s="111"/>
      <c r="E34" s="137">
        <f t="shared" si="0"/>
        <v>0</v>
      </c>
      <c r="F34" s="102"/>
      <c r="G34" s="102"/>
      <c r="H34" s="102"/>
      <c r="I34" s="102"/>
      <c r="J34" s="102"/>
      <c r="K34" s="102"/>
      <c r="L34" s="102"/>
      <c r="M34" s="102"/>
      <c r="N34" s="102"/>
      <c r="O34" s="102"/>
      <c r="P34" s="102"/>
      <c r="Q34" s="102"/>
      <c r="R34" s="102"/>
      <c r="S34" s="102"/>
      <c r="T34" s="102"/>
      <c r="U34" s="102"/>
    </row>
    <row r="35" spans="3:21" ht="12.75">
      <c r="C35" s="121"/>
      <c r="D35" s="111"/>
      <c r="E35" s="137">
        <f t="shared" si="0"/>
        <v>0</v>
      </c>
      <c r="F35" s="102"/>
      <c r="G35" s="102"/>
      <c r="H35" s="102"/>
      <c r="I35" s="102"/>
      <c r="J35" s="102"/>
      <c r="K35" s="102"/>
      <c r="L35" s="102"/>
      <c r="M35" s="102"/>
      <c r="N35" s="102"/>
      <c r="O35" s="102"/>
      <c r="P35" s="102"/>
      <c r="Q35" s="102"/>
      <c r="R35" s="102"/>
      <c r="S35" s="102"/>
      <c r="T35" s="102"/>
      <c r="U35" s="102"/>
    </row>
    <row r="36" spans="3:21" ht="12.75">
      <c r="C36" s="121"/>
      <c r="D36" s="111"/>
      <c r="E36" s="137">
        <f t="shared" si="0"/>
        <v>0</v>
      </c>
      <c r="F36" s="102"/>
      <c r="G36" s="102"/>
      <c r="H36" s="102"/>
      <c r="I36" s="102"/>
      <c r="J36" s="102"/>
      <c r="K36" s="102"/>
      <c r="L36" s="102"/>
      <c r="M36" s="102"/>
      <c r="N36" s="102"/>
      <c r="O36" s="102"/>
      <c r="P36" s="102"/>
      <c r="Q36" s="102"/>
      <c r="R36" s="102"/>
      <c r="S36" s="102"/>
      <c r="T36" s="102"/>
      <c r="U36" s="102"/>
    </row>
    <row r="37" spans="3:21" ht="12.75">
      <c r="C37" s="121"/>
      <c r="D37" s="111"/>
      <c r="E37" s="137">
        <f t="shared" si="0"/>
        <v>0</v>
      </c>
      <c r="F37" s="102"/>
      <c r="G37" s="102"/>
      <c r="H37" s="102"/>
      <c r="I37" s="102"/>
      <c r="J37" s="102"/>
      <c r="K37" s="102"/>
      <c r="L37" s="102"/>
      <c r="M37" s="102"/>
      <c r="N37" s="102"/>
      <c r="O37" s="102"/>
      <c r="P37" s="102"/>
      <c r="Q37" s="102"/>
      <c r="R37" s="102"/>
      <c r="S37" s="102"/>
      <c r="T37" s="102"/>
      <c r="U37" s="102"/>
    </row>
    <row r="38" spans="3:21" ht="12.75">
      <c r="C38" s="121"/>
      <c r="D38" s="111"/>
      <c r="E38" s="137">
        <f t="shared" si="0"/>
        <v>0</v>
      </c>
      <c r="F38" s="102"/>
      <c r="G38" s="102"/>
      <c r="H38" s="102"/>
      <c r="I38" s="102"/>
      <c r="J38" s="102"/>
      <c r="K38" s="102"/>
      <c r="L38" s="102"/>
      <c r="M38" s="102"/>
      <c r="N38" s="102"/>
      <c r="O38" s="102"/>
      <c r="P38" s="102"/>
      <c r="Q38" s="102"/>
      <c r="R38" s="102"/>
      <c r="S38" s="102"/>
      <c r="T38" s="102"/>
      <c r="U38" s="102"/>
    </row>
    <row r="39" spans="3:21" ht="12.75">
      <c r="C39" s="121"/>
      <c r="D39" s="111"/>
      <c r="E39" s="137">
        <f t="shared" si="0"/>
        <v>0</v>
      </c>
      <c r="F39" s="102"/>
      <c r="G39" s="102"/>
      <c r="H39" s="102"/>
      <c r="I39" s="102"/>
      <c r="J39" s="102"/>
      <c r="K39" s="102"/>
      <c r="L39" s="102"/>
      <c r="M39" s="102"/>
      <c r="N39" s="102"/>
      <c r="O39" s="102"/>
      <c r="P39" s="102"/>
      <c r="Q39" s="102"/>
      <c r="R39" s="102"/>
      <c r="S39" s="102"/>
      <c r="T39" s="102"/>
      <c r="U39" s="102"/>
    </row>
    <row r="40" spans="3:21" ht="12.75">
      <c r="C40" s="121"/>
      <c r="D40" s="111"/>
      <c r="E40" s="137">
        <f t="shared" si="0"/>
        <v>0</v>
      </c>
      <c r="F40" s="102"/>
      <c r="G40" s="102"/>
      <c r="H40" s="102"/>
      <c r="I40" s="102"/>
      <c r="J40" s="102"/>
      <c r="K40" s="102"/>
      <c r="L40" s="102"/>
      <c r="M40" s="102"/>
      <c r="N40" s="102"/>
      <c r="O40" s="102"/>
      <c r="P40" s="102"/>
      <c r="Q40" s="102"/>
      <c r="R40" s="102"/>
      <c r="S40" s="102"/>
      <c r="T40" s="102"/>
      <c r="U40" s="102"/>
    </row>
    <row r="41" spans="3:21" ht="12.75">
      <c r="C41" s="121"/>
      <c r="D41" s="111"/>
      <c r="E41" s="137">
        <f t="shared" si="0"/>
        <v>0</v>
      </c>
      <c r="F41" s="102"/>
      <c r="G41" s="102"/>
      <c r="H41" s="102"/>
      <c r="I41" s="102"/>
      <c r="J41" s="102"/>
      <c r="K41" s="102"/>
      <c r="L41" s="102"/>
      <c r="M41" s="102"/>
      <c r="N41" s="102"/>
      <c r="O41" s="102"/>
      <c r="P41" s="102"/>
      <c r="Q41" s="102"/>
      <c r="R41" s="102"/>
      <c r="S41" s="102"/>
      <c r="T41" s="102"/>
      <c r="U41" s="102"/>
    </row>
    <row r="42" spans="3:21" ht="12.75">
      <c r="C42" s="121"/>
      <c r="D42" s="111"/>
      <c r="E42" s="137">
        <f t="shared" si="0"/>
        <v>0</v>
      </c>
      <c r="F42" s="102"/>
      <c r="G42" s="102"/>
      <c r="H42" s="102"/>
      <c r="I42" s="102"/>
      <c r="J42" s="102"/>
      <c r="K42" s="102"/>
      <c r="L42" s="102"/>
      <c r="M42" s="102"/>
      <c r="N42" s="102"/>
      <c r="O42" s="102"/>
      <c r="P42" s="102"/>
      <c r="Q42" s="102"/>
      <c r="R42" s="102"/>
      <c r="S42" s="102"/>
      <c r="T42" s="102"/>
      <c r="U42" s="102"/>
    </row>
    <row r="43" spans="3:21" ht="12.75">
      <c r="C43" s="121"/>
      <c r="D43" s="111"/>
      <c r="E43" s="137">
        <f t="shared" si="0"/>
        <v>0</v>
      </c>
      <c r="F43" s="102"/>
      <c r="G43" s="102"/>
      <c r="H43" s="102"/>
      <c r="I43" s="102"/>
      <c r="J43" s="102"/>
      <c r="K43" s="102"/>
      <c r="L43" s="102"/>
      <c r="M43" s="102"/>
      <c r="N43" s="102"/>
      <c r="O43" s="102"/>
      <c r="P43" s="102"/>
      <c r="Q43" s="102"/>
      <c r="R43" s="102"/>
      <c r="S43" s="102"/>
      <c r="T43" s="102"/>
      <c r="U43" s="102"/>
    </row>
    <row r="44" spans="3:21" ht="12.75">
      <c r="C44" s="121"/>
      <c r="D44" s="111"/>
      <c r="E44" s="137">
        <f t="shared" si="0"/>
        <v>0</v>
      </c>
      <c r="F44" s="102"/>
      <c r="G44" s="102"/>
      <c r="H44" s="102"/>
      <c r="I44" s="102"/>
      <c r="J44" s="102"/>
      <c r="K44" s="102"/>
      <c r="L44" s="102"/>
      <c r="M44" s="102"/>
      <c r="N44" s="102"/>
      <c r="O44" s="102"/>
      <c r="P44" s="102"/>
      <c r="Q44" s="102"/>
      <c r="R44" s="102"/>
      <c r="S44" s="102"/>
      <c r="T44" s="102"/>
      <c r="U44" s="102"/>
    </row>
    <row r="45" spans="3:21" ht="12.75">
      <c r="C45" s="121"/>
      <c r="D45" s="111"/>
      <c r="E45" s="137">
        <f t="shared" si="0"/>
        <v>0</v>
      </c>
      <c r="F45" s="102"/>
      <c r="G45" s="102"/>
      <c r="H45" s="102"/>
      <c r="I45" s="102"/>
      <c r="J45" s="102"/>
      <c r="K45" s="102"/>
      <c r="L45" s="102"/>
      <c r="M45" s="102"/>
      <c r="N45" s="102"/>
      <c r="O45" s="102"/>
      <c r="P45" s="102"/>
      <c r="Q45" s="102"/>
      <c r="R45" s="102"/>
      <c r="S45" s="102"/>
      <c r="T45" s="102"/>
      <c r="U45" s="102"/>
    </row>
    <row r="46" spans="3:21" ht="12.75">
      <c r="C46" s="121"/>
      <c r="D46" s="111"/>
      <c r="E46" s="137">
        <f t="shared" si="0"/>
        <v>0</v>
      </c>
      <c r="F46" s="102"/>
      <c r="G46" s="102"/>
      <c r="H46" s="102"/>
      <c r="I46" s="102"/>
      <c r="J46" s="102"/>
      <c r="K46" s="102"/>
      <c r="L46" s="102"/>
      <c r="M46" s="102"/>
      <c r="N46" s="102"/>
      <c r="O46" s="102"/>
      <c r="P46" s="102"/>
      <c r="Q46" s="102"/>
      <c r="R46" s="102"/>
      <c r="S46" s="102"/>
      <c r="T46" s="102"/>
      <c r="U46" s="102"/>
    </row>
    <row r="47" spans="3:21" ht="12.75">
      <c r="C47" s="121"/>
      <c r="D47" s="111"/>
      <c r="E47" s="137">
        <f t="shared" si="0"/>
        <v>0</v>
      </c>
      <c r="F47" s="102"/>
      <c r="G47" s="102"/>
      <c r="H47" s="102"/>
      <c r="I47" s="102"/>
      <c r="J47" s="102"/>
      <c r="K47" s="102"/>
      <c r="L47" s="102"/>
      <c r="M47" s="102"/>
      <c r="N47" s="102"/>
      <c r="O47" s="102"/>
      <c r="P47" s="102"/>
      <c r="Q47" s="102"/>
      <c r="R47" s="102"/>
      <c r="S47" s="102"/>
      <c r="T47" s="102"/>
      <c r="U47" s="102"/>
    </row>
    <row r="48" spans="3:21" ht="12.75">
      <c r="C48" s="121"/>
      <c r="D48" s="111"/>
      <c r="E48" s="137">
        <f t="shared" si="0"/>
        <v>0</v>
      </c>
      <c r="F48" s="102"/>
      <c r="G48" s="102"/>
      <c r="H48" s="102"/>
      <c r="I48" s="102"/>
      <c r="J48" s="102"/>
      <c r="K48" s="102"/>
      <c r="L48" s="102"/>
      <c r="M48" s="102"/>
      <c r="N48" s="102"/>
      <c r="O48" s="102"/>
      <c r="P48" s="102"/>
      <c r="Q48" s="102"/>
      <c r="R48" s="102"/>
      <c r="S48" s="102"/>
      <c r="T48" s="102"/>
      <c r="U48" s="102"/>
    </row>
    <row r="49" spans="3:21" ht="12.75">
      <c r="C49" s="121"/>
      <c r="D49" s="111"/>
      <c r="E49" s="137">
        <f t="shared" si="0"/>
        <v>0</v>
      </c>
      <c r="F49" s="102"/>
      <c r="G49" s="102"/>
      <c r="H49" s="102"/>
      <c r="I49" s="102"/>
      <c r="J49" s="102"/>
      <c r="K49" s="102"/>
      <c r="L49" s="102"/>
      <c r="M49" s="102"/>
      <c r="N49" s="102"/>
      <c r="O49" s="102"/>
      <c r="P49" s="102"/>
      <c r="Q49" s="102"/>
      <c r="R49" s="102"/>
      <c r="S49" s="102"/>
      <c r="T49" s="102"/>
      <c r="U49" s="102"/>
    </row>
    <row r="50" spans="3:21" ht="12.75">
      <c r="C50" s="121"/>
      <c r="D50" s="111"/>
      <c r="E50" s="137">
        <f t="shared" si="0"/>
        <v>0</v>
      </c>
      <c r="F50" s="102"/>
      <c r="G50" s="102"/>
      <c r="H50" s="102"/>
      <c r="I50" s="102"/>
      <c r="J50" s="102"/>
      <c r="K50" s="102"/>
      <c r="L50" s="102"/>
      <c r="M50" s="102"/>
      <c r="N50" s="102"/>
      <c r="O50" s="102"/>
      <c r="P50" s="102"/>
      <c r="Q50" s="102"/>
      <c r="R50" s="102"/>
      <c r="S50" s="102"/>
      <c r="T50" s="102"/>
      <c r="U50" s="102"/>
    </row>
    <row r="51" spans="3:21" ht="12.75">
      <c r="C51" s="121"/>
      <c r="D51" s="111"/>
      <c r="E51" s="137">
        <f t="shared" si="0"/>
        <v>0</v>
      </c>
      <c r="F51" s="102"/>
      <c r="G51" s="102"/>
      <c r="H51" s="102"/>
      <c r="I51" s="102"/>
      <c r="J51" s="102"/>
      <c r="K51" s="102"/>
      <c r="L51" s="102"/>
      <c r="M51" s="102"/>
      <c r="N51" s="102"/>
      <c r="O51" s="102"/>
      <c r="P51" s="102"/>
      <c r="Q51" s="102"/>
      <c r="R51" s="102"/>
      <c r="S51" s="102"/>
      <c r="T51" s="102"/>
      <c r="U51" s="102"/>
    </row>
    <row r="52" spans="3:21" ht="12.75">
      <c r="C52" s="121"/>
      <c r="D52" s="111"/>
      <c r="E52" s="137">
        <f t="shared" si="0"/>
        <v>0</v>
      </c>
      <c r="F52" s="102"/>
      <c r="G52" s="102"/>
      <c r="H52" s="102"/>
      <c r="I52" s="102"/>
      <c r="J52" s="102"/>
      <c r="K52" s="102"/>
      <c r="L52" s="102"/>
      <c r="M52" s="102"/>
      <c r="N52" s="102"/>
      <c r="O52" s="102"/>
      <c r="P52" s="102"/>
      <c r="Q52" s="102"/>
      <c r="R52" s="102"/>
      <c r="S52" s="102"/>
      <c r="T52" s="102"/>
      <c r="U52" s="102"/>
    </row>
    <row r="53" spans="3:21" ht="12.75">
      <c r="C53" s="121"/>
      <c r="D53" s="111"/>
      <c r="E53" s="137">
        <f t="shared" si="0"/>
        <v>0</v>
      </c>
      <c r="F53" s="102"/>
      <c r="G53" s="102"/>
      <c r="H53" s="102"/>
      <c r="I53" s="102"/>
      <c r="J53" s="102"/>
      <c r="K53" s="102"/>
      <c r="L53" s="102"/>
      <c r="M53" s="102"/>
      <c r="N53" s="102"/>
      <c r="O53" s="102"/>
      <c r="P53" s="102"/>
      <c r="Q53" s="102"/>
      <c r="R53" s="102"/>
      <c r="S53" s="102"/>
      <c r="T53" s="102"/>
      <c r="U53" s="102"/>
    </row>
    <row r="54" spans="3:21" ht="12.75">
      <c r="C54" s="121"/>
      <c r="D54" s="111"/>
      <c r="E54" s="137">
        <f t="shared" si="0"/>
        <v>0</v>
      </c>
      <c r="F54" s="102"/>
      <c r="G54" s="102"/>
      <c r="H54" s="102"/>
      <c r="I54" s="102"/>
      <c r="J54" s="102"/>
      <c r="K54" s="102"/>
      <c r="L54" s="102"/>
      <c r="M54" s="102"/>
      <c r="N54" s="102"/>
      <c r="O54" s="102"/>
      <c r="P54" s="102"/>
      <c r="Q54" s="102"/>
      <c r="R54" s="102"/>
      <c r="S54" s="102"/>
      <c r="T54" s="102"/>
      <c r="U54" s="102"/>
    </row>
    <row r="55" spans="3:21" ht="12.75">
      <c r="C55" s="121"/>
      <c r="D55" s="111"/>
      <c r="E55" s="137">
        <f t="shared" si="0"/>
        <v>0</v>
      </c>
      <c r="F55" s="102"/>
      <c r="G55" s="102"/>
      <c r="H55" s="102"/>
      <c r="I55" s="102"/>
      <c r="J55" s="102"/>
      <c r="K55" s="102"/>
      <c r="L55" s="102"/>
      <c r="M55" s="102"/>
      <c r="N55" s="102"/>
      <c r="O55" s="102"/>
      <c r="P55" s="102"/>
      <c r="Q55" s="102"/>
      <c r="R55" s="102"/>
      <c r="S55" s="102"/>
      <c r="T55" s="102"/>
      <c r="U55" s="102"/>
    </row>
    <row r="56" spans="3:21" ht="12.75">
      <c r="C56" s="121"/>
      <c r="D56" s="111"/>
      <c r="E56" s="137">
        <f t="shared" si="0"/>
        <v>0</v>
      </c>
      <c r="F56" s="102"/>
      <c r="G56" s="102"/>
      <c r="H56" s="102"/>
      <c r="I56" s="102"/>
      <c r="J56" s="102"/>
      <c r="K56" s="102"/>
      <c r="L56" s="102"/>
      <c r="M56" s="102"/>
      <c r="N56" s="102"/>
      <c r="O56" s="102"/>
      <c r="P56" s="102"/>
      <c r="Q56" s="102"/>
      <c r="R56" s="102"/>
      <c r="S56" s="102"/>
      <c r="T56" s="102"/>
      <c r="U56" s="102"/>
    </row>
    <row r="57" spans="3:21" ht="12.75">
      <c r="C57" s="121"/>
      <c r="D57" s="111"/>
      <c r="E57" s="137">
        <f t="shared" si="0"/>
        <v>0</v>
      </c>
      <c r="F57" s="102"/>
      <c r="G57" s="102"/>
      <c r="H57" s="102"/>
      <c r="I57" s="102"/>
      <c r="J57" s="102"/>
      <c r="K57" s="102"/>
      <c r="L57" s="102"/>
      <c r="M57" s="102"/>
      <c r="N57" s="102"/>
      <c r="O57" s="102"/>
      <c r="P57" s="102"/>
      <c r="Q57" s="102"/>
      <c r="R57" s="102"/>
      <c r="S57" s="102"/>
      <c r="T57" s="102"/>
      <c r="U57" s="102"/>
    </row>
    <row r="58" spans="3:21" ht="12.75">
      <c r="C58" s="121"/>
      <c r="D58" s="111"/>
      <c r="E58" s="137">
        <f t="shared" si="0"/>
        <v>0</v>
      </c>
      <c r="F58" s="102"/>
      <c r="G58" s="102"/>
      <c r="H58" s="102"/>
      <c r="I58" s="102"/>
      <c r="J58" s="102"/>
      <c r="K58" s="102"/>
      <c r="L58" s="102"/>
      <c r="M58" s="102"/>
      <c r="N58" s="102"/>
      <c r="O58" s="102"/>
      <c r="P58" s="102"/>
      <c r="Q58" s="102"/>
      <c r="R58" s="102"/>
      <c r="S58" s="102"/>
      <c r="T58" s="102"/>
      <c r="U58" s="102"/>
    </row>
    <row r="59" spans="3:21" ht="12.75">
      <c r="C59" s="121"/>
      <c r="D59" s="111"/>
      <c r="E59" s="137">
        <f t="shared" si="0"/>
        <v>0</v>
      </c>
      <c r="F59" s="102"/>
      <c r="G59" s="102"/>
      <c r="H59" s="102"/>
      <c r="I59" s="102"/>
      <c r="J59" s="102"/>
      <c r="K59" s="102"/>
      <c r="L59" s="102"/>
      <c r="M59" s="102"/>
      <c r="N59" s="102"/>
      <c r="O59" s="102"/>
      <c r="P59" s="102"/>
      <c r="Q59" s="102"/>
      <c r="R59" s="102"/>
      <c r="S59" s="102"/>
      <c r="T59" s="102"/>
      <c r="U59" s="102"/>
    </row>
    <row r="60" spans="3:21" ht="12.75">
      <c r="C60" s="121"/>
      <c r="D60" s="111"/>
      <c r="E60" s="137">
        <f t="shared" si="0"/>
        <v>0</v>
      </c>
      <c r="F60" s="102"/>
      <c r="G60" s="102"/>
      <c r="H60" s="102"/>
      <c r="I60" s="102"/>
      <c r="J60" s="102"/>
      <c r="K60" s="102"/>
      <c r="L60" s="102"/>
      <c r="M60" s="102"/>
      <c r="N60" s="102"/>
      <c r="O60" s="102"/>
      <c r="P60" s="102"/>
      <c r="Q60" s="102"/>
      <c r="R60" s="102"/>
      <c r="S60" s="102"/>
      <c r="T60" s="102"/>
      <c r="U60" s="102"/>
    </row>
    <row r="61" spans="3:21" ht="12.75">
      <c r="C61" s="121"/>
      <c r="D61" s="111"/>
      <c r="E61" s="137">
        <f t="shared" si="0"/>
        <v>0</v>
      </c>
      <c r="F61" s="102"/>
      <c r="G61" s="102"/>
      <c r="H61" s="102"/>
      <c r="I61" s="102"/>
      <c r="J61" s="102"/>
      <c r="K61" s="102"/>
      <c r="L61" s="102"/>
      <c r="M61" s="102"/>
      <c r="N61" s="102"/>
      <c r="O61" s="102"/>
      <c r="P61" s="102"/>
      <c r="Q61" s="102"/>
      <c r="R61" s="102"/>
      <c r="S61" s="102"/>
      <c r="T61" s="102"/>
      <c r="U61" s="102"/>
    </row>
    <row r="62" spans="3:21" ht="12.75">
      <c r="C62" s="121"/>
      <c r="D62" s="111"/>
      <c r="E62" s="137">
        <f t="shared" si="0"/>
        <v>0</v>
      </c>
      <c r="F62" s="102"/>
      <c r="G62" s="102"/>
      <c r="H62" s="102"/>
      <c r="I62" s="102"/>
      <c r="J62" s="102"/>
      <c r="K62" s="102"/>
      <c r="L62" s="102"/>
      <c r="M62" s="102"/>
      <c r="N62" s="102"/>
      <c r="O62" s="102"/>
      <c r="P62" s="102"/>
      <c r="Q62" s="102"/>
      <c r="R62" s="102"/>
      <c r="S62" s="102"/>
      <c r="T62" s="102"/>
      <c r="U62" s="102"/>
    </row>
    <row r="63" spans="3:21" ht="12.75">
      <c r="C63" s="121"/>
      <c r="D63" s="111"/>
      <c r="E63" s="137">
        <f t="shared" si="0"/>
        <v>0</v>
      </c>
      <c r="F63" s="102"/>
      <c r="G63" s="102"/>
      <c r="H63" s="102"/>
      <c r="I63" s="102"/>
      <c r="J63" s="102"/>
      <c r="K63" s="102"/>
      <c r="L63" s="102"/>
      <c r="M63" s="102"/>
      <c r="N63" s="102"/>
      <c r="O63" s="102"/>
      <c r="P63" s="102"/>
      <c r="Q63" s="102"/>
      <c r="R63" s="102"/>
      <c r="S63" s="102"/>
      <c r="T63" s="102"/>
      <c r="U63" s="102"/>
    </row>
    <row r="64" spans="3:21" ht="12.75">
      <c r="C64" s="121"/>
      <c r="D64" s="111"/>
      <c r="E64" s="137">
        <f t="shared" si="0"/>
        <v>0</v>
      </c>
      <c r="F64" s="102"/>
      <c r="G64" s="102"/>
      <c r="H64" s="102"/>
      <c r="I64" s="102"/>
      <c r="J64" s="102"/>
      <c r="K64" s="102"/>
      <c r="L64" s="102"/>
      <c r="M64" s="102"/>
      <c r="N64" s="102"/>
      <c r="O64" s="102"/>
      <c r="P64" s="102"/>
      <c r="Q64" s="102"/>
      <c r="R64" s="102"/>
      <c r="S64" s="102"/>
      <c r="T64" s="102"/>
      <c r="U64" s="102"/>
    </row>
    <row r="65" spans="3:21" ht="12.75">
      <c r="C65" s="121"/>
      <c r="D65" s="111"/>
      <c r="E65" s="137">
        <f t="shared" si="0"/>
        <v>0</v>
      </c>
      <c r="F65" s="102"/>
      <c r="G65" s="102"/>
      <c r="H65" s="102"/>
      <c r="I65" s="102"/>
      <c r="J65" s="102"/>
      <c r="K65" s="102"/>
      <c r="L65" s="102"/>
      <c r="M65" s="102"/>
      <c r="N65" s="102"/>
      <c r="O65" s="102"/>
      <c r="P65" s="102"/>
      <c r="Q65" s="102"/>
      <c r="R65" s="102"/>
      <c r="S65" s="102"/>
      <c r="T65" s="102"/>
      <c r="U65" s="102"/>
    </row>
    <row r="66" spans="3:21" ht="12.75">
      <c r="C66" s="121"/>
      <c r="D66" s="111"/>
      <c r="E66" s="137">
        <f t="shared" si="0"/>
        <v>0</v>
      </c>
      <c r="F66" s="102"/>
      <c r="G66" s="102"/>
      <c r="H66" s="102"/>
      <c r="I66" s="102"/>
      <c r="J66" s="102"/>
      <c r="K66" s="102"/>
      <c r="L66" s="102"/>
      <c r="M66" s="102"/>
      <c r="N66" s="102"/>
      <c r="O66" s="102"/>
      <c r="P66" s="102"/>
      <c r="Q66" s="102"/>
      <c r="R66" s="102"/>
      <c r="S66" s="102"/>
      <c r="T66" s="102"/>
      <c r="U66" s="102"/>
    </row>
    <row r="67" spans="3:21" ht="12.75">
      <c r="C67" s="121"/>
      <c r="D67" s="111"/>
      <c r="E67" s="137">
        <f t="shared" si="0"/>
        <v>0</v>
      </c>
      <c r="F67" s="102"/>
      <c r="G67" s="102"/>
      <c r="H67" s="102"/>
      <c r="I67" s="102"/>
      <c r="J67" s="102"/>
      <c r="K67" s="102"/>
      <c r="L67" s="102"/>
      <c r="M67" s="102"/>
      <c r="N67" s="102"/>
      <c r="O67" s="102"/>
      <c r="P67" s="102"/>
      <c r="Q67" s="102"/>
      <c r="R67" s="102"/>
      <c r="S67" s="102"/>
      <c r="T67" s="102"/>
      <c r="U67" s="102"/>
    </row>
    <row r="68" spans="3:21" ht="12.75">
      <c r="C68" s="121"/>
      <c r="D68" s="111"/>
      <c r="E68" s="137">
        <f t="shared" si="0"/>
        <v>0</v>
      </c>
      <c r="F68" s="102"/>
      <c r="G68" s="102"/>
      <c r="H68" s="102"/>
      <c r="I68" s="102"/>
      <c r="J68" s="102"/>
      <c r="K68" s="102"/>
      <c r="L68" s="102"/>
      <c r="M68" s="102"/>
      <c r="N68" s="102"/>
      <c r="O68" s="102"/>
      <c r="P68" s="102"/>
      <c r="Q68" s="102"/>
      <c r="R68" s="102"/>
      <c r="S68" s="102"/>
      <c r="T68" s="102"/>
      <c r="U68" s="102"/>
    </row>
    <row r="69" spans="3:21" ht="12.75">
      <c r="C69" s="121"/>
      <c r="D69" s="111"/>
      <c r="E69" s="137">
        <f t="shared" si="0"/>
        <v>0</v>
      </c>
      <c r="F69" s="102"/>
      <c r="G69" s="102"/>
      <c r="H69" s="102"/>
      <c r="I69" s="102"/>
      <c r="J69" s="102"/>
      <c r="K69" s="102"/>
      <c r="L69" s="102"/>
      <c r="M69" s="102"/>
      <c r="N69" s="102"/>
      <c r="O69" s="102"/>
      <c r="P69" s="102"/>
      <c r="Q69" s="102"/>
      <c r="R69" s="102"/>
      <c r="S69" s="102"/>
      <c r="T69" s="102"/>
      <c r="U69" s="102"/>
    </row>
    <row r="70" spans="3:21" ht="12.75">
      <c r="C70" s="121"/>
      <c r="D70" s="111"/>
      <c r="E70" s="137">
        <f t="shared" si="0"/>
        <v>0</v>
      </c>
      <c r="F70" s="102"/>
      <c r="G70" s="102"/>
      <c r="H70" s="102"/>
      <c r="I70" s="102"/>
      <c r="J70" s="102"/>
      <c r="K70" s="102"/>
      <c r="L70" s="102"/>
      <c r="M70" s="102"/>
      <c r="N70" s="102"/>
      <c r="O70" s="102"/>
      <c r="P70" s="102"/>
      <c r="Q70" s="102"/>
      <c r="R70" s="102"/>
      <c r="S70" s="102"/>
      <c r="T70" s="102"/>
      <c r="U70" s="102"/>
    </row>
    <row r="71" spans="3:21" ht="12.75">
      <c r="C71" s="121"/>
      <c r="D71" s="111"/>
      <c r="E71" s="137">
        <f t="shared" si="0"/>
        <v>0</v>
      </c>
      <c r="F71" s="102"/>
      <c r="G71" s="102"/>
      <c r="H71" s="102"/>
      <c r="I71" s="102"/>
      <c r="J71" s="102"/>
      <c r="K71" s="102"/>
      <c r="L71" s="102"/>
      <c r="M71" s="102"/>
      <c r="N71" s="102"/>
      <c r="O71" s="102"/>
      <c r="P71" s="102"/>
      <c r="Q71" s="102"/>
      <c r="R71" s="102"/>
      <c r="S71" s="102"/>
      <c r="T71" s="102"/>
      <c r="U71" s="102"/>
    </row>
    <row r="72" spans="3:21" ht="12.75">
      <c r="C72" s="121"/>
      <c r="D72" s="111"/>
      <c r="E72" s="137">
        <f t="shared" si="0"/>
        <v>0</v>
      </c>
      <c r="F72" s="102"/>
      <c r="G72" s="102"/>
      <c r="H72" s="102"/>
      <c r="I72" s="102"/>
      <c r="J72" s="102"/>
      <c r="K72" s="102"/>
      <c r="L72" s="102"/>
      <c r="M72" s="102"/>
      <c r="N72" s="102"/>
      <c r="O72" s="102"/>
      <c r="P72" s="102"/>
      <c r="Q72" s="102"/>
      <c r="R72" s="102"/>
      <c r="S72" s="102"/>
      <c r="T72" s="102"/>
      <c r="U72" s="102"/>
    </row>
    <row r="73" spans="3:21" ht="12.75">
      <c r="C73" s="121"/>
      <c r="D73" s="111"/>
      <c r="E73" s="137">
        <f t="shared" si="0"/>
        <v>0</v>
      </c>
      <c r="F73" s="102"/>
      <c r="G73" s="102"/>
      <c r="H73" s="102"/>
      <c r="I73" s="102"/>
      <c r="J73" s="102"/>
      <c r="K73" s="102"/>
      <c r="L73" s="102"/>
      <c r="M73" s="102"/>
      <c r="N73" s="102"/>
      <c r="O73" s="102"/>
      <c r="P73" s="102"/>
      <c r="Q73" s="102"/>
      <c r="R73" s="102"/>
      <c r="S73" s="102"/>
      <c r="T73" s="102"/>
      <c r="U73" s="102"/>
    </row>
    <row r="74" spans="3:21" ht="12.75">
      <c r="C74" s="121"/>
      <c r="D74" s="111"/>
      <c r="E74" s="137">
        <f t="shared" si="0"/>
        <v>0</v>
      </c>
      <c r="F74" s="102"/>
      <c r="G74" s="102"/>
      <c r="H74" s="102"/>
      <c r="I74" s="102"/>
      <c r="J74" s="102"/>
      <c r="K74" s="102"/>
      <c r="L74" s="102"/>
      <c r="M74" s="102"/>
      <c r="N74" s="102"/>
      <c r="O74" s="102"/>
      <c r="P74" s="102"/>
      <c r="Q74" s="102"/>
      <c r="R74" s="102"/>
      <c r="S74" s="102"/>
      <c r="T74" s="102"/>
      <c r="U74" s="102"/>
    </row>
    <row r="75" spans="3:21" ht="12.75">
      <c r="C75" s="121"/>
      <c r="D75" s="111"/>
      <c r="E75" s="137">
        <f t="shared" si="0"/>
        <v>0</v>
      </c>
      <c r="F75" s="102"/>
      <c r="G75" s="102"/>
      <c r="H75" s="102"/>
      <c r="I75" s="102"/>
      <c r="J75" s="102"/>
      <c r="K75" s="102"/>
      <c r="L75" s="102"/>
      <c r="M75" s="102"/>
      <c r="N75" s="102"/>
      <c r="O75" s="102"/>
      <c r="P75" s="102"/>
      <c r="Q75" s="102"/>
      <c r="R75" s="102"/>
      <c r="S75" s="102"/>
      <c r="T75" s="102"/>
      <c r="U75" s="102"/>
    </row>
    <row r="76" spans="3:21" ht="12.75">
      <c r="C76" s="121"/>
      <c r="D76" s="111"/>
      <c r="E76" s="137">
        <f t="shared" si="0"/>
        <v>0</v>
      </c>
      <c r="F76" s="102"/>
      <c r="G76" s="102"/>
      <c r="H76" s="102"/>
      <c r="I76" s="102"/>
      <c r="J76" s="102"/>
      <c r="K76" s="102"/>
      <c r="L76" s="102"/>
      <c r="M76" s="102"/>
      <c r="N76" s="102"/>
      <c r="O76" s="102"/>
      <c r="P76" s="102"/>
      <c r="Q76" s="102"/>
      <c r="R76" s="102"/>
      <c r="S76" s="102"/>
      <c r="T76" s="102"/>
      <c r="U76" s="102"/>
    </row>
    <row r="77" spans="3:21" ht="12.75">
      <c r="C77" s="121"/>
      <c r="D77" s="111"/>
      <c r="E77" s="137">
        <f t="shared" si="0"/>
        <v>0</v>
      </c>
      <c r="F77" s="102"/>
      <c r="G77" s="102"/>
      <c r="H77" s="102"/>
      <c r="I77" s="102"/>
      <c r="J77" s="102"/>
      <c r="K77" s="102"/>
      <c r="L77" s="102"/>
      <c r="M77" s="102"/>
      <c r="N77" s="102"/>
      <c r="O77" s="102"/>
      <c r="P77" s="102"/>
      <c r="Q77" s="102"/>
      <c r="R77" s="102"/>
      <c r="S77" s="102"/>
      <c r="T77" s="102"/>
      <c r="U77" s="102"/>
    </row>
    <row r="78" spans="3:21" ht="12.75">
      <c r="C78" s="121"/>
      <c r="D78" s="111"/>
      <c r="E78" s="137">
        <f t="shared" si="0"/>
        <v>0</v>
      </c>
      <c r="F78" s="102"/>
      <c r="G78" s="102"/>
      <c r="H78" s="102"/>
      <c r="I78" s="102"/>
      <c r="J78" s="102"/>
      <c r="K78" s="102"/>
      <c r="L78" s="102"/>
      <c r="M78" s="102"/>
      <c r="N78" s="102"/>
      <c r="O78" s="102"/>
      <c r="P78" s="102"/>
      <c r="Q78" s="102"/>
      <c r="R78" s="102"/>
      <c r="S78" s="102"/>
      <c r="T78" s="102"/>
      <c r="U78" s="102"/>
    </row>
    <row r="79" spans="3:21" ht="12.75">
      <c r="C79" s="121"/>
      <c r="D79" s="111"/>
      <c r="E79" s="137">
        <f t="shared" si="0"/>
        <v>0</v>
      </c>
      <c r="F79" s="102"/>
      <c r="G79" s="102"/>
      <c r="H79" s="102"/>
      <c r="I79" s="102"/>
      <c r="J79" s="102"/>
      <c r="K79" s="102"/>
      <c r="L79" s="102"/>
      <c r="M79" s="102"/>
      <c r="N79" s="102"/>
      <c r="O79" s="102"/>
      <c r="P79" s="102"/>
      <c r="Q79" s="102"/>
      <c r="R79" s="102"/>
      <c r="S79" s="102"/>
      <c r="T79" s="102"/>
      <c r="U79" s="102"/>
    </row>
    <row r="80" spans="3:21" ht="12.75">
      <c r="C80" s="121"/>
      <c r="D80" s="111"/>
      <c r="E80" s="137">
        <f t="shared" si="0"/>
        <v>0</v>
      </c>
      <c r="F80" s="102"/>
      <c r="G80" s="102"/>
      <c r="H80" s="102"/>
      <c r="I80" s="102"/>
      <c r="J80" s="102"/>
      <c r="K80" s="102"/>
      <c r="L80" s="102"/>
      <c r="M80" s="102"/>
      <c r="N80" s="102"/>
      <c r="O80" s="102"/>
      <c r="P80" s="102"/>
      <c r="Q80" s="102"/>
      <c r="R80" s="102"/>
      <c r="S80" s="102"/>
      <c r="T80" s="102"/>
      <c r="U80" s="102"/>
    </row>
    <row r="81" spans="3:21" ht="12.75">
      <c r="C81" s="121"/>
      <c r="D81" s="111"/>
      <c r="E81" s="137">
        <f t="shared" si="0"/>
        <v>0</v>
      </c>
      <c r="F81" s="102"/>
      <c r="G81" s="102"/>
      <c r="H81" s="102"/>
      <c r="I81" s="102"/>
      <c r="J81" s="102"/>
      <c r="K81" s="102"/>
      <c r="L81" s="102"/>
      <c r="M81" s="102"/>
      <c r="N81" s="102"/>
      <c r="O81" s="102"/>
      <c r="P81" s="102"/>
      <c r="Q81" s="102"/>
      <c r="R81" s="102"/>
      <c r="S81" s="102"/>
      <c r="T81" s="102"/>
      <c r="U81" s="102"/>
    </row>
    <row r="82" spans="3:21" ht="12.75">
      <c r="C82" s="121"/>
      <c r="D82" s="111"/>
      <c r="E82" s="137">
        <f t="shared" si="0"/>
        <v>0</v>
      </c>
      <c r="F82" s="102"/>
      <c r="G82" s="102"/>
      <c r="H82" s="102"/>
      <c r="I82" s="102"/>
      <c r="J82" s="102"/>
      <c r="K82" s="102"/>
      <c r="L82" s="102"/>
      <c r="M82" s="102"/>
      <c r="N82" s="102"/>
      <c r="O82" s="102"/>
      <c r="P82" s="102"/>
      <c r="Q82" s="102"/>
      <c r="R82" s="102"/>
      <c r="S82" s="102"/>
      <c r="T82" s="102"/>
      <c r="U82" s="102"/>
    </row>
    <row r="83" spans="3:21" ht="12.75">
      <c r="C83" s="121"/>
      <c r="D83" s="111"/>
      <c r="E83" s="137">
        <f t="shared" si="0"/>
        <v>0</v>
      </c>
      <c r="F83" s="102"/>
      <c r="G83" s="102"/>
      <c r="H83" s="102"/>
      <c r="I83" s="102"/>
      <c r="J83" s="102"/>
      <c r="K83" s="102"/>
      <c r="L83" s="102"/>
      <c r="M83" s="102"/>
      <c r="N83" s="102"/>
      <c r="O83" s="102"/>
      <c r="P83" s="102"/>
      <c r="Q83" s="102"/>
      <c r="R83" s="102"/>
      <c r="S83" s="102"/>
      <c r="T83" s="102"/>
      <c r="U83" s="102"/>
    </row>
    <row r="84" spans="3:21" ht="12.75">
      <c r="C84" s="121"/>
      <c r="D84" s="111"/>
      <c r="E84" s="137">
        <f t="shared" si="0"/>
        <v>0</v>
      </c>
      <c r="F84" s="102"/>
      <c r="G84" s="102"/>
      <c r="H84" s="102"/>
      <c r="I84" s="102"/>
      <c r="J84" s="102"/>
      <c r="K84" s="102"/>
      <c r="L84" s="102"/>
      <c r="M84" s="102"/>
      <c r="N84" s="102"/>
      <c r="O84" s="102"/>
      <c r="P84" s="102"/>
      <c r="Q84" s="102"/>
      <c r="R84" s="102"/>
      <c r="S84" s="102"/>
      <c r="T84" s="102"/>
      <c r="U84" s="102"/>
    </row>
    <row r="85" spans="3:21" ht="12.75">
      <c r="C85" s="121"/>
      <c r="D85" s="111"/>
      <c r="E85" s="137">
        <f t="shared" si="0"/>
        <v>0</v>
      </c>
      <c r="F85" s="102"/>
      <c r="G85" s="102"/>
      <c r="H85" s="102"/>
      <c r="I85" s="102"/>
      <c r="J85" s="102"/>
      <c r="K85" s="102"/>
      <c r="L85" s="102"/>
      <c r="M85" s="102"/>
      <c r="N85" s="102"/>
      <c r="O85" s="102"/>
      <c r="P85" s="102"/>
      <c r="Q85" s="102"/>
      <c r="R85" s="102"/>
      <c r="S85" s="102"/>
      <c r="T85" s="102"/>
      <c r="U85" s="102"/>
    </row>
    <row r="86" spans="3:21" ht="12.75">
      <c r="C86" s="121"/>
      <c r="D86" s="111"/>
      <c r="E86" s="137">
        <f t="shared" si="0"/>
        <v>0</v>
      </c>
      <c r="F86" s="102"/>
      <c r="G86" s="102"/>
      <c r="H86" s="102"/>
      <c r="I86" s="102"/>
      <c r="J86" s="102"/>
      <c r="K86" s="102"/>
      <c r="L86" s="102"/>
      <c r="M86" s="102"/>
      <c r="N86" s="102"/>
      <c r="O86" s="102"/>
      <c r="P86" s="102"/>
      <c r="Q86" s="102"/>
      <c r="R86" s="102"/>
      <c r="S86" s="102"/>
      <c r="T86" s="102"/>
      <c r="U86" s="102"/>
    </row>
    <row r="87" spans="3:21" ht="12.75">
      <c r="C87" s="121"/>
      <c r="D87" s="111"/>
      <c r="E87" s="137">
        <f t="shared" si="0"/>
        <v>0</v>
      </c>
      <c r="F87" s="102"/>
      <c r="G87" s="102"/>
      <c r="H87" s="102"/>
      <c r="I87" s="102"/>
      <c r="J87" s="102"/>
      <c r="K87" s="102"/>
      <c r="L87" s="102"/>
      <c r="M87" s="102"/>
      <c r="N87" s="102"/>
      <c r="O87" s="102"/>
      <c r="P87" s="102"/>
      <c r="Q87" s="102"/>
      <c r="R87" s="102"/>
      <c r="S87" s="102"/>
      <c r="T87" s="102"/>
      <c r="U87" s="102"/>
    </row>
    <row r="88" spans="3:21" ht="12.75">
      <c r="C88" s="121"/>
      <c r="D88" s="111"/>
      <c r="E88" s="137">
        <f t="shared" si="0"/>
        <v>0</v>
      </c>
      <c r="F88" s="102"/>
      <c r="G88" s="102"/>
      <c r="H88" s="102"/>
      <c r="I88" s="102"/>
      <c r="J88" s="102"/>
      <c r="K88" s="102"/>
      <c r="L88" s="102"/>
      <c r="M88" s="102"/>
      <c r="N88" s="102"/>
      <c r="O88" s="102"/>
      <c r="P88" s="102"/>
      <c r="Q88" s="102"/>
      <c r="R88" s="102"/>
      <c r="S88" s="102"/>
      <c r="T88" s="102"/>
      <c r="U88" s="102"/>
    </row>
    <row r="89" spans="3:21" ht="12.75">
      <c r="C89" s="121"/>
      <c r="D89" s="111"/>
      <c r="E89" s="137">
        <f t="shared" si="0"/>
        <v>0</v>
      </c>
      <c r="F89" s="102"/>
      <c r="G89" s="102"/>
      <c r="H89" s="102"/>
      <c r="I89" s="102"/>
      <c r="J89" s="102"/>
      <c r="K89" s="102"/>
      <c r="L89" s="102"/>
      <c r="M89" s="102"/>
      <c r="N89" s="102"/>
      <c r="O89" s="102"/>
      <c r="P89" s="102"/>
      <c r="Q89" s="102"/>
      <c r="R89" s="102"/>
      <c r="S89" s="102"/>
      <c r="T89" s="102"/>
      <c r="U89" s="102"/>
    </row>
    <row r="90" spans="3:21" ht="12.75">
      <c r="C90" s="121"/>
      <c r="D90" s="111"/>
      <c r="E90" s="137">
        <f t="shared" si="0"/>
        <v>0</v>
      </c>
      <c r="F90" s="102"/>
      <c r="G90" s="102"/>
      <c r="H90" s="102"/>
      <c r="I90" s="102"/>
      <c r="J90" s="102"/>
      <c r="K90" s="102"/>
      <c r="L90" s="102"/>
      <c r="M90" s="102"/>
      <c r="N90" s="102"/>
      <c r="O90" s="102"/>
      <c r="P90" s="102"/>
      <c r="Q90" s="102"/>
      <c r="R90" s="102"/>
      <c r="S90" s="102"/>
      <c r="T90" s="102"/>
      <c r="U90" s="102"/>
    </row>
    <row r="91" spans="3:21" ht="12.75">
      <c r="C91" s="121"/>
      <c r="D91" s="111"/>
      <c r="E91" s="137">
        <f t="shared" si="0"/>
        <v>0</v>
      </c>
      <c r="F91" s="102"/>
      <c r="G91" s="102"/>
      <c r="H91" s="102"/>
      <c r="I91" s="102"/>
      <c r="J91" s="102"/>
      <c r="K91" s="102"/>
      <c r="L91" s="102"/>
      <c r="M91" s="102"/>
      <c r="N91" s="102"/>
      <c r="O91" s="102"/>
      <c r="P91" s="102"/>
      <c r="Q91" s="102"/>
      <c r="R91" s="102"/>
      <c r="S91" s="102"/>
      <c r="T91" s="102"/>
      <c r="U91" s="102"/>
    </row>
    <row r="92" spans="3:21" ht="12.75">
      <c r="C92" s="121"/>
      <c r="D92" s="111"/>
      <c r="E92" s="137">
        <f t="shared" si="0"/>
        <v>0</v>
      </c>
      <c r="F92" s="102"/>
      <c r="G92" s="102"/>
      <c r="H92" s="102"/>
      <c r="I92" s="102"/>
      <c r="J92" s="102"/>
      <c r="K92" s="102"/>
      <c r="L92" s="102"/>
      <c r="M92" s="102"/>
      <c r="N92" s="102"/>
      <c r="O92" s="102"/>
      <c r="P92" s="102"/>
      <c r="Q92" s="102"/>
      <c r="R92" s="102"/>
      <c r="S92" s="102"/>
      <c r="T92" s="102"/>
      <c r="U92" s="102"/>
    </row>
    <row r="93" spans="3:21" ht="12.75">
      <c r="C93" s="121"/>
      <c r="D93" s="111"/>
      <c r="E93" s="137">
        <f t="shared" si="0"/>
        <v>0</v>
      </c>
      <c r="F93" s="102"/>
      <c r="G93" s="102"/>
      <c r="H93" s="102"/>
      <c r="I93" s="102"/>
      <c r="J93" s="102"/>
      <c r="K93" s="102"/>
      <c r="L93" s="102"/>
      <c r="M93" s="102"/>
      <c r="N93" s="102"/>
      <c r="O93" s="102"/>
      <c r="P93" s="102"/>
      <c r="Q93" s="102"/>
      <c r="R93" s="102"/>
      <c r="S93" s="102"/>
      <c r="T93" s="102"/>
      <c r="U93" s="102"/>
    </row>
    <row r="94" spans="3:21" ht="12.75">
      <c r="C94" s="121"/>
      <c r="D94" s="111"/>
      <c r="E94" s="137">
        <f t="shared" si="0"/>
        <v>0</v>
      </c>
      <c r="F94" s="102"/>
      <c r="G94" s="102"/>
      <c r="H94" s="102"/>
      <c r="I94" s="102"/>
      <c r="J94" s="102"/>
      <c r="K94" s="102"/>
      <c r="L94" s="102"/>
      <c r="M94" s="102"/>
      <c r="N94" s="102"/>
      <c r="O94" s="102"/>
      <c r="P94" s="102"/>
      <c r="Q94" s="102"/>
      <c r="R94" s="102"/>
      <c r="S94" s="102"/>
      <c r="T94" s="102"/>
      <c r="U94" s="102"/>
    </row>
    <row r="95" spans="3:21" ht="12.75">
      <c r="C95" s="121"/>
      <c r="D95" s="111"/>
      <c r="E95" s="137">
        <f t="shared" si="0"/>
        <v>0</v>
      </c>
      <c r="F95" s="102"/>
      <c r="G95" s="102"/>
      <c r="H95" s="102"/>
      <c r="I95" s="102"/>
      <c r="J95" s="102"/>
      <c r="K95" s="102"/>
      <c r="L95" s="102"/>
      <c r="M95" s="102"/>
      <c r="N95" s="102"/>
      <c r="O95" s="102"/>
      <c r="P95" s="102"/>
      <c r="Q95" s="102"/>
      <c r="R95" s="102"/>
      <c r="S95" s="102"/>
      <c r="T95" s="102"/>
      <c r="U95" s="102"/>
    </row>
    <row r="96" spans="3:21" ht="12.75">
      <c r="C96" s="121"/>
      <c r="D96" s="111"/>
      <c r="E96" s="137">
        <f t="shared" si="0"/>
        <v>0</v>
      </c>
      <c r="F96" s="102"/>
      <c r="G96" s="102"/>
      <c r="H96" s="102"/>
      <c r="I96" s="102"/>
      <c r="J96" s="102"/>
      <c r="K96" s="102"/>
      <c r="L96" s="102"/>
      <c r="M96" s="102"/>
      <c r="N96" s="102"/>
      <c r="O96" s="102"/>
      <c r="P96" s="102"/>
      <c r="Q96" s="102"/>
      <c r="R96" s="102"/>
      <c r="S96" s="102"/>
      <c r="T96" s="102"/>
      <c r="U96" s="102"/>
    </row>
    <row r="97" spans="3:21" ht="12.75">
      <c r="C97" s="121"/>
      <c r="D97" s="111"/>
      <c r="E97" s="137">
        <f t="shared" si="0"/>
        <v>0</v>
      </c>
      <c r="F97" s="102"/>
      <c r="G97" s="102"/>
      <c r="H97" s="102"/>
      <c r="I97" s="102"/>
      <c r="J97" s="102"/>
      <c r="K97" s="102"/>
      <c r="L97" s="102"/>
      <c r="M97" s="102"/>
      <c r="N97" s="102"/>
      <c r="O97" s="102"/>
      <c r="P97" s="102"/>
      <c r="Q97" s="102"/>
      <c r="R97" s="102"/>
      <c r="S97" s="102"/>
      <c r="T97" s="102"/>
      <c r="U97" s="102"/>
    </row>
    <row r="98" spans="3:21" ht="12.75">
      <c r="C98" s="121"/>
      <c r="D98" s="111"/>
      <c r="E98" s="137">
        <f t="shared" si="0"/>
        <v>0</v>
      </c>
      <c r="F98" s="102"/>
      <c r="G98" s="102"/>
      <c r="H98" s="102"/>
      <c r="I98" s="102"/>
      <c r="J98" s="102"/>
      <c r="K98" s="102"/>
      <c r="L98" s="102"/>
      <c r="M98" s="102"/>
      <c r="N98" s="102"/>
      <c r="O98" s="102"/>
      <c r="P98" s="102"/>
      <c r="Q98" s="102"/>
      <c r="R98" s="102"/>
      <c r="S98" s="102"/>
      <c r="T98" s="102"/>
      <c r="U98" s="102"/>
    </row>
    <row r="99" spans="3:21" ht="12.75">
      <c r="C99" s="121"/>
      <c r="D99" s="111"/>
      <c r="E99" s="137">
        <f t="shared" si="0"/>
        <v>0</v>
      </c>
      <c r="F99" s="102"/>
      <c r="G99" s="102"/>
      <c r="H99" s="102"/>
      <c r="I99" s="102"/>
      <c r="J99" s="102"/>
      <c r="K99" s="102"/>
      <c r="L99" s="102"/>
      <c r="M99" s="102"/>
      <c r="N99" s="102"/>
      <c r="O99" s="102"/>
      <c r="P99" s="102"/>
      <c r="Q99" s="102"/>
      <c r="R99" s="102"/>
      <c r="S99" s="102"/>
      <c r="T99" s="102"/>
      <c r="U99" s="102"/>
    </row>
    <row r="100" spans="3:21" ht="12.75">
      <c r="C100" s="121"/>
      <c r="D100" s="111"/>
      <c r="E100" s="137">
        <f t="shared" si="0"/>
        <v>0</v>
      </c>
      <c r="F100" s="102"/>
      <c r="G100" s="102"/>
      <c r="H100" s="102"/>
      <c r="I100" s="102"/>
      <c r="J100" s="102"/>
      <c r="K100" s="102"/>
      <c r="L100" s="102"/>
      <c r="M100" s="102"/>
      <c r="N100" s="102"/>
      <c r="O100" s="102"/>
      <c r="P100" s="102"/>
      <c r="Q100" s="102"/>
      <c r="R100" s="102"/>
      <c r="S100" s="102"/>
      <c r="T100" s="102"/>
      <c r="U100" s="102"/>
    </row>
    <row r="101" spans="3:21" ht="12.75">
      <c r="C101" s="121"/>
      <c r="D101" s="111"/>
      <c r="E101" s="137">
        <f t="shared" si="0"/>
        <v>0</v>
      </c>
      <c r="F101" s="102"/>
      <c r="G101" s="102"/>
      <c r="H101" s="102"/>
      <c r="I101" s="102"/>
      <c r="J101" s="102"/>
      <c r="K101" s="102"/>
      <c r="L101" s="102"/>
      <c r="M101" s="102"/>
      <c r="N101" s="102"/>
      <c r="O101" s="102"/>
      <c r="P101" s="102"/>
      <c r="Q101" s="102"/>
      <c r="R101" s="102"/>
      <c r="S101" s="102"/>
      <c r="T101" s="102"/>
      <c r="U101" s="102"/>
    </row>
    <row r="102" spans="3:21" ht="12.75">
      <c r="C102" s="121"/>
      <c r="D102" s="111"/>
      <c r="E102" s="137">
        <f t="shared" si="0"/>
        <v>0</v>
      </c>
      <c r="F102" s="102"/>
      <c r="G102" s="102"/>
      <c r="H102" s="102"/>
      <c r="I102" s="102"/>
      <c r="J102" s="102"/>
      <c r="K102" s="102"/>
      <c r="L102" s="102"/>
      <c r="M102" s="102"/>
      <c r="N102" s="102"/>
      <c r="O102" s="102"/>
      <c r="P102" s="102"/>
      <c r="Q102" s="102"/>
      <c r="R102" s="102"/>
      <c r="S102" s="102"/>
      <c r="T102" s="102"/>
      <c r="U102" s="102"/>
    </row>
    <row r="103" spans="3:21" ht="12.75">
      <c r="C103" s="121"/>
      <c r="D103" s="111"/>
      <c r="E103" s="137">
        <f t="shared" si="0"/>
        <v>0</v>
      </c>
      <c r="F103" s="102"/>
      <c r="G103" s="102"/>
      <c r="H103" s="102"/>
      <c r="I103" s="102"/>
      <c r="J103" s="102"/>
      <c r="K103" s="102"/>
      <c r="L103" s="102"/>
      <c r="M103" s="102"/>
      <c r="N103" s="102"/>
      <c r="O103" s="102"/>
      <c r="P103" s="102"/>
      <c r="Q103" s="102"/>
      <c r="R103" s="102"/>
      <c r="S103" s="102"/>
      <c r="T103" s="102"/>
      <c r="U103" s="102"/>
    </row>
    <row r="104" spans="3:21" ht="12.75">
      <c r="C104" s="121"/>
      <c r="D104" s="111"/>
      <c r="E104" s="137">
        <f t="shared" si="0"/>
        <v>0</v>
      </c>
      <c r="F104" s="102"/>
      <c r="G104" s="102"/>
      <c r="H104" s="102"/>
      <c r="I104" s="102"/>
      <c r="J104" s="102"/>
      <c r="K104" s="102"/>
      <c r="L104" s="102"/>
      <c r="M104" s="102"/>
      <c r="N104" s="102"/>
      <c r="O104" s="102"/>
      <c r="P104" s="102"/>
      <c r="Q104" s="102"/>
      <c r="R104" s="102"/>
      <c r="S104" s="102"/>
      <c r="T104" s="102"/>
      <c r="U104" s="102"/>
    </row>
    <row r="105" spans="3:21" ht="12.75">
      <c r="C105" s="121"/>
      <c r="D105" s="111"/>
      <c r="E105" s="137">
        <f t="shared" si="0"/>
        <v>0</v>
      </c>
      <c r="F105" s="102"/>
      <c r="G105" s="102"/>
      <c r="H105" s="102"/>
      <c r="I105" s="102"/>
      <c r="J105" s="102"/>
      <c r="K105" s="102"/>
      <c r="L105" s="102"/>
      <c r="M105" s="102"/>
      <c r="N105" s="102"/>
      <c r="O105" s="102"/>
      <c r="P105" s="102"/>
      <c r="Q105" s="102"/>
      <c r="R105" s="102"/>
      <c r="S105" s="102"/>
      <c r="T105" s="102"/>
      <c r="U105" s="102"/>
    </row>
    <row r="106" spans="3:21" ht="12.75">
      <c r="C106" s="121"/>
      <c r="D106" s="111"/>
      <c r="E106" s="137">
        <f t="shared" si="0"/>
        <v>0</v>
      </c>
      <c r="F106" s="102"/>
      <c r="G106" s="102"/>
      <c r="H106" s="102"/>
      <c r="I106" s="102"/>
      <c r="J106" s="102"/>
      <c r="K106" s="102"/>
      <c r="L106" s="102"/>
      <c r="M106" s="102"/>
      <c r="N106" s="102"/>
      <c r="O106" s="102"/>
      <c r="P106" s="102"/>
      <c r="Q106" s="102"/>
      <c r="R106" s="102"/>
      <c r="S106" s="102"/>
      <c r="T106" s="102"/>
      <c r="U106" s="102"/>
    </row>
    <row r="107" spans="3:21" ht="12.75">
      <c r="C107" s="121"/>
      <c r="D107" s="111"/>
      <c r="E107" s="137">
        <f t="shared" si="0"/>
        <v>0</v>
      </c>
      <c r="F107" s="102"/>
      <c r="G107" s="102"/>
      <c r="H107" s="102"/>
      <c r="I107" s="102"/>
      <c r="J107" s="102"/>
      <c r="K107" s="102"/>
      <c r="L107" s="102"/>
      <c r="M107" s="102"/>
      <c r="N107" s="102"/>
      <c r="O107" s="102"/>
      <c r="P107" s="102"/>
      <c r="Q107" s="102"/>
      <c r="R107" s="102"/>
      <c r="S107" s="102"/>
      <c r="T107" s="102"/>
      <c r="U107" s="102"/>
    </row>
    <row r="108" spans="3:21" ht="12.75">
      <c r="C108" s="121"/>
      <c r="D108" s="111"/>
      <c r="E108" s="137">
        <f t="shared" si="0"/>
        <v>0</v>
      </c>
      <c r="F108" s="102"/>
      <c r="G108" s="102"/>
      <c r="H108" s="102"/>
      <c r="I108" s="102"/>
      <c r="J108" s="102"/>
      <c r="K108" s="102"/>
      <c r="L108" s="102"/>
      <c r="M108" s="102"/>
      <c r="N108" s="102"/>
      <c r="O108" s="102"/>
      <c r="P108" s="102"/>
      <c r="Q108" s="102"/>
      <c r="R108" s="102"/>
      <c r="S108" s="102"/>
      <c r="T108" s="102"/>
      <c r="U108" s="102"/>
    </row>
    <row r="109" spans="3:21" ht="12.75">
      <c r="C109" s="121"/>
      <c r="D109" s="111"/>
      <c r="E109" s="137">
        <f t="shared" si="0"/>
        <v>0</v>
      </c>
      <c r="F109" s="102"/>
      <c r="G109" s="102"/>
      <c r="H109" s="102"/>
      <c r="I109" s="102"/>
      <c r="J109" s="102"/>
      <c r="K109" s="102"/>
      <c r="L109" s="102"/>
      <c r="M109" s="102"/>
      <c r="N109" s="102"/>
      <c r="O109" s="102"/>
      <c r="P109" s="102"/>
      <c r="Q109" s="102"/>
      <c r="R109" s="102"/>
      <c r="S109" s="102"/>
      <c r="T109" s="102"/>
      <c r="U109" s="102"/>
    </row>
    <row r="110" spans="3:21" ht="12.75">
      <c r="C110" s="121"/>
      <c r="D110" s="111"/>
      <c r="E110" s="137">
        <f t="shared" si="0"/>
        <v>0</v>
      </c>
      <c r="F110" s="102"/>
      <c r="G110" s="102"/>
      <c r="H110" s="102"/>
      <c r="I110" s="102"/>
      <c r="J110" s="102"/>
      <c r="K110" s="102"/>
      <c r="L110" s="102"/>
      <c r="M110" s="102"/>
      <c r="N110" s="102"/>
      <c r="O110" s="102"/>
      <c r="P110" s="102"/>
      <c r="Q110" s="102"/>
      <c r="R110" s="102"/>
      <c r="S110" s="102"/>
      <c r="T110" s="102"/>
      <c r="U110" s="102"/>
    </row>
    <row r="111" spans="3:21" ht="12.75">
      <c r="C111" s="121"/>
      <c r="D111" s="111"/>
      <c r="E111" s="137">
        <f t="shared" si="0"/>
        <v>0</v>
      </c>
      <c r="F111" s="102"/>
      <c r="G111" s="102"/>
      <c r="H111" s="102"/>
      <c r="I111" s="102"/>
      <c r="J111" s="102"/>
      <c r="K111" s="102"/>
      <c r="L111" s="102"/>
      <c r="M111" s="102"/>
      <c r="N111" s="102"/>
      <c r="O111" s="102"/>
      <c r="P111" s="102"/>
      <c r="Q111" s="102"/>
      <c r="R111" s="102"/>
      <c r="S111" s="102"/>
      <c r="T111" s="102"/>
      <c r="U111" s="102"/>
    </row>
    <row r="112" spans="3:21" ht="12.75">
      <c r="C112" s="121"/>
      <c r="D112" s="111"/>
      <c r="E112" s="137">
        <f t="shared" si="0"/>
        <v>0</v>
      </c>
      <c r="F112" s="102"/>
      <c r="G112" s="102"/>
      <c r="H112" s="102"/>
      <c r="I112" s="102"/>
      <c r="J112" s="102"/>
      <c r="K112" s="102"/>
      <c r="L112" s="102"/>
      <c r="M112" s="102"/>
      <c r="N112" s="102"/>
      <c r="O112" s="102"/>
      <c r="P112" s="102"/>
      <c r="Q112" s="102"/>
      <c r="R112" s="102"/>
      <c r="S112" s="102"/>
      <c r="T112" s="102"/>
      <c r="U112" s="102"/>
    </row>
    <row r="113" spans="3:21" ht="12.75">
      <c r="C113" s="121"/>
      <c r="D113" s="111"/>
      <c r="E113" s="137">
        <f t="shared" si="0"/>
        <v>0</v>
      </c>
      <c r="F113" s="102"/>
      <c r="G113" s="102"/>
      <c r="H113" s="102"/>
      <c r="I113" s="102"/>
      <c r="J113" s="102"/>
      <c r="K113" s="102"/>
      <c r="L113" s="102"/>
      <c r="M113" s="102"/>
      <c r="N113" s="102"/>
      <c r="O113" s="102"/>
      <c r="P113" s="102"/>
      <c r="Q113" s="102"/>
      <c r="R113" s="102"/>
      <c r="S113" s="102"/>
      <c r="T113" s="102"/>
      <c r="U113" s="102"/>
    </row>
    <row r="114" spans="3:21" ht="12.75">
      <c r="C114" s="121"/>
      <c r="D114" s="111"/>
      <c r="E114" s="137">
        <f t="shared" si="0"/>
        <v>0</v>
      </c>
      <c r="F114" s="102"/>
      <c r="G114" s="102"/>
      <c r="H114" s="102"/>
      <c r="I114" s="102"/>
      <c r="J114" s="102"/>
      <c r="K114" s="102"/>
      <c r="L114" s="102"/>
      <c r="M114" s="102"/>
      <c r="N114" s="102"/>
      <c r="O114" s="102"/>
      <c r="P114" s="102"/>
      <c r="Q114" s="102"/>
      <c r="R114" s="102"/>
      <c r="S114" s="102"/>
      <c r="T114" s="102"/>
      <c r="U114" s="102"/>
    </row>
    <row r="115" spans="3:21" ht="12.75">
      <c r="C115" s="121"/>
      <c r="D115" s="111"/>
      <c r="E115" s="137">
        <f t="shared" si="0"/>
        <v>0</v>
      </c>
      <c r="F115" s="102"/>
      <c r="G115" s="102"/>
      <c r="H115" s="102"/>
      <c r="I115" s="102"/>
      <c r="J115" s="102"/>
      <c r="K115" s="102"/>
      <c r="L115" s="102"/>
      <c r="M115" s="102"/>
      <c r="N115" s="102"/>
      <c r="O115" s="102"/>
      <c r="P115" s="102"/>
      <c r="Q115" s="102"/>
      <c r="R115" s="102"/>
      <c r="S115" s="102"/>
      <c r="T115" s="102"/>
      <c r="U115" s="102"/>
    </row>
    <row r="116" spans="3:21" ht="12.75">
      <c r="C116" s="121"/>
      <c r="D116" s="111"/>
      <c r="E116" s="137">
        <f t="shared" si="0"/>
        <v>0</v>
      </c>
      <c r="F116" s="102"/>
      <c r="G116" s="102"/>
      <c r="H116" s="102"/>
      <c r="I116" s="102"/>
      <c r="J116" s="102"/>
      <c r="K116" s="102"/>
      <c r="L116" s="102"/>
      <c r="M116" s="102"/>
      <c r="N116" s="102"/>
      <c r="O116" s="102"/>
      <c r="P116" s="102"/>
      <c r="Q116" s="102"/>
      <c r="R116" s="102"/>
      <c r="S116" s="102"/>
      <c r="T116" s="102"/>
      <c r="U116" s="102"/>
    </row>
    <row r="117" spans="3:21" ht="12.75">
      <c r="C117" s="121"/>
      <c r="D117" s="111"/>
      <c r="E117" s="137">
        <f t="shared" si="0"/>
        <v>0</v>
      </c>
      <c r="F117" s="102"/>
      <c r="G117" s="102"/>
      <c r="H117" s="102"/>
      <c r="I117" s="102"/>
      <c r="J117" s="102"/>
      <c r="K117" s="102"/>
      <c r="L117" s="102"/>
      <c r="M117" s="102"/>
      <c r="N117" s="102"/>
      <c r="O117" s="102"/>
      <c r="P117" s="102"/>
      <c r="Q117" s="102"/>
      <c r="R117" s="102"/>
      <c r="S117" s="102"/>
      <c r="T117" s="102"/>
      <c r="U117" s="102"/>
    </row>
    <row r="118" spans="3:21" ht="12.75">
      <c r="C118" s="121"/>
      <c r="D118" s="111"/>
      <c r="E118" s="137">
        <f t="shared" si="0"/>
        <v>0</v>
      </c>
      <c r="F118" s="102"/>
      <c r="G118" s="102"/>
      <c r="H118" s="102"/>
      <c r="I118" s="102"/>
      <c r="J118" s="102"/>
      <c r="K118" s="102"/>
      <c r="L118" s="102"/>
      <c r="M118" s="102"/>
      <c r="N118" s="102"/>
      <c r="O118" s="102"/>
      <c r="P118" s="102"/>
      <c r="Q118" s="102"/>
      <c r="R118" s="102"/>
      <c r="S118" s="102"/>
      <c r="T118" s="102"/>
      <c r="U118" s="102"/>
    </row>
    <row r="119" spans="3:21" ht="12.75">
      <c r="C119" s="121"/>
      <c r="D119" s="111"/>
      <c r="E119" s="137">
        <f t="shared" si="0"/>
        <v>0</v>
      </c>
      <c r="F119" s="102"/>
      <c r="G119" s="102"/>
      <c r="H119" s="102"/>
      <c r="I119" s="102"/>
      <c r="J119" s="102"/>
      <c r="K119" s="102"/>
      <c r="L119" s="102"/>
      <c r="M119" s="102"/>
      <c r="N119" s="102"/>
      <c r="O119" s="102"/>
      <c r="P119" s="102"/>
      <c r="Q119" s="102"/>
      <c r="R119" s="102"/>
      <c r="S119" s="102"/>
      <c r="T119" s="102"/>
      <c r="U119" s="102"/>
    </row>
    <row r="120" spans="3:21" ht="12.75">
      <c r="C120" s="121"/>
      <c r="D120" s="111"/>
      <c r="E120" s="137">
        <f t="shared" si="0"/>
        <v>0</v>
      </c>
      <c r="F120" s="102"/>
      <c r="G120" s="102"/>
      <c r="H120" s="102"/>
      <c r="I120" s="102"/>
      <c r="J120" s="102"/>
      <c r="K120" s="102"/>
      <c r="L120" s="102"/>
      <c r="M120" s="102"/>
      <c r="N120" s="102"/>
      <c r="O120" s="102"/>
      <c r="P120" s="102"/>
      <c r="Q120" s="102"/>
      <c r="R120" s="102"/>
      <c r="S120" s="102"/>
      <c r="T120" s="102"/>
      <c r="U120" s="102"/>
    </row>
    <row r="121" spans="3:21" ht="12.75">
      <c r="C121" s="121"/>
      <c r="D121" s="111"/>
      <c r="E121" s="137">
        <f t="shared" si="0"/>
        <v>0</v>
      </c>
      <c r="F121" s="102"/>
      <c r="G121" s="102"/>
      <c r="H121" s="102"/>
      <c r="I121" s="102"/>
      <c r="J121" s="102"/>
      <c r="K121" s="102"/>
      <c r="L121" s="102"/>
      <c r="M121" s="102"/>
      <c r="N121" s="102"/>
      <c r="O121" s="102"/>
      <c r="P121" s="102"/>
      <c r="Q121" s="102"/>
      <c r="R121" s="102"/>
      <c r="S121" s="102"/>
      <c r="T121" s="102"/>
      <c r="U121" s="102"/>
    </row>
    <row r="122" spans="3:21" ht="12.75">
      <c r="C122" s="121"/>
      <c r="D122" s="111"/>
      <c r="E122" s="137">
        <f t="shared" si="0"/>
        <v>0</v>
      </c>
      <c r="F122" s="102"/>
      <c r="G122" s="102"/>
      <c r="H122" s="102"/>
      <c r="I122" s="102"/>
      <c r="J122" s="102"/>
      <c r="K122" s="102"/>
      <c r="L122" s="102"/>
      <c r="M122" s="102"/>
      <c r="N122" s="102"/>
      <c r="O122" s="102"/>
      <c r="P122" s="102"/>
      <c r="Q122" s="102"/>
      <c r="R122" s="102"/>
      <c r="S122" s="102"/>
      <c r="T122" s="102"/>
      <c r="U122" s="102"/>
    </row>
    <row r="123" spans="3:21" ht="12.75">
      <c r="C123" s="121"/>
      <c r="D123" s="111"/>
      <c r="E123" s="137">
        <f t="shared" si="0"/>
        <v>0</v>
      </c>
      <c r="F123" s="102"/>
      <c r="G123" s="102"/>
      <c r="H123" s="102"/>
      <c r="I123" s="102"/>
      <c r="J123" s="102"/>
      <c r="K123" s="102"/>
      <c r="L123" s="102"/>
      <c r="M123" s="102"/>
      <c r="N123" s="102"/>
      <c r="O123" s="102"/>
      <c r="P123" s="102"/>
      <c r="Q123" s="102"/>
      <c r="R123" s="102"/>
      <c r="S123" s="102"/>
      <c r="T123" s="102"/>
      <c r="U123" s="102"/>
    </row>
    <row r="124" spans="3:21" ht="12.75">
      <c r="C124" s="121"/>
      <c r="D124" s="111"/>
      <c r="E124" s="137">
        <f t="shared" si="0"/>
        <v>0</v>
      </c>
      <c r="F124" s="102"/>
      <c r="G124" s="102"/>
      <c r="H124" s="102"/>
      <c r="I124" s="102"/>
      <c r="J124" s="102"/>
      <c r="K124" s="102"/>
      <c r="L124" s="102"/>
      <c r="M124" s="102"/>
      <c r="N124" s="102"/>
      <c r="O124" s="102"/>
      <c r="P124" s="102"/>
      <c r="Q124" s="102"/>
      <c r="R124" s="102"/>
      <c r="S124" s="102"/>
      <c r="T124" s="102"/>
      <c r="U124" s="102"/>
    </row>
    <row r="125" spans="3:21" ht="12.75">
      <c r="C125" s="121"/>
      <c r="D125" s="111"/>
      <c r="E125" s="137">
        <f t="shared" si="0"/>
        <v>0</v>
      </c>
      <c r="F125" s="102"/>
      <c r="G125" s="102"/>
      <c r="H125" s="102"/>
      <c r="I125" s="102"/>
      <c r="J125" s="102"/>
      <c r="K125" s="102"/>
      <c r="L125" s="102"/>
      <c r="M125" s="102"/>
      <c r="N125" s="102"/>
      <c r="O125" s="102"/>
      <c r="P125" s="102"/>
      <c r="Q125" s="102"/>
      <c r="R125" s="102"/>
      <c r="S125" s="102"/>
      <c r="T125" s="102"/>
      <c r="U125" s="102"/>
    </row>
    <row r="126" spans="3:21" ht="12.75">
      <c r="C126" s="121"/>
      <c r="D126" s="111"/>
      <c r="E126" s="137">
        <f t="shared" si="0"/>
        <v>0</v>
      </c>
      <c r="F126" s="102"/>
      <c r="G126" s="102"/>
      <c r="H126" s="102"/>
      <c r="I126" s="102"/>
      <c r="J126" s="102"/>
      <c r="K126" s="102"/>
      <c r="L126" s="102"/>
      <c r="M126" s="102"/>
      <c r="N126" s="102"/>
      <c r="O126" s="102"/>
      <c r="P126" s="102"/>
      <c r="Q126" s="102"/>
      <c r="R126" s="102"/>
      <c r="S126" s="102"/>
      <c r="T126" s="102"/>
      <c r="U126" s="102"/>
    </row>
    <row r="127" spans="3:21" ht="12.75">
      <c r="C127" s="121"/>
      <c r="D127" s="111"/>
      <c r="E127" s="137">
        <f t="shared" si="0"/>
        <v>0</v>
      </c>
      <c r="F127" s="102"/>
      <c r="G127" s="102"/>
      <c r="H127" s="102"/>
      <c r="I127" s="102"/>
      <c r="J127" s="102"/>
      <c r="K127" s="102"/>
      <c r="L127" s="102"/>
      <c r="M127" s="102"/>
      <c r="N127" s="102"/>
      <c r="O127" s="102"/>
      <c r="P127" s="102"/>
      <c r="Q127" s="102"/>
      <c r="R127" s="102"/>
      <c r="S127" s="102"/>
      <c r="T127" s="102"/>
      <c r="U127" s="102"/>
    </row>
    <row r="128" spans="3:21" ht="12.75">
      <c r="C128" s="121"/>
      <c r="D128" s="111"/>
      <c r="E128" s="137">
        <f t="shared" si="0"/>
        <v>0</v>
      </c>
      <c r="F128" s="102"/>
      <c r="G128" s="102"/>
      <c r="H128" s="102"/>
      <c r="I128" s="102"/>
      <c r="J128" s="102"/>
      <c r="K128" s="102"/>
      <c r="L128" s="102"/>
      <c r="M128" s="102"/>
      <c r="N128" s="102"/>
      <c r="O128" s="102"/>
      <c r="P128" s="102"/>
      <c r="Q128" s="102"/>
      <c r="R128" s="102"/>
      <c r="S128" s="102"/>
      <c r="T128" s="102"/>
      <c r="U128" s="102"/>
    </row>
    <row r="129" spans="3:21" ht="12.75">
      <c r="C129" s="121"/>
      <c r="D129" s="111"/>
      <c r="E129" s="137">
        <f t="shared" si="0"/>
        <v>0</v>
      </c>
      <c r="F129" s="102"/>
      <c r="G129" s="102"/>
      <c r="H129" s="102"/>
      <c r="I129" s="102"/>
      <c r="J129" s="102"/>
      <c r="K129" s="102"/>
      <c r="L129" s="102"/>
      <c r="M129" s="102"/>
      <c r="N129" s="102"/>
      <c r="O129" s="102"/>
      <c r="P129" s="102"/>
      <c r="Q129" s="102"/>
      <c r="R129" s="102"/>
      <c r="S129" s="102"/>
      <c r="T129" s="102"/>
      <c r="U129" s="102"/>
    </row>
    <row r="130" spans="3:21" ht="12.75">
      <c r="C130" s="121"/>
      <c r="D130" s="111"/>
      <c r="E130" s="137">
        <f t="shared" si="0"/>
        <v>0</v>
      </c>
      <c r="F130" s="102"/>
      <c r="G130" s="102"/>
      <c r="H130" s="102"/>
      <c r="I130" s="102"/>
      <c r="J130" s="102"/>
      <c r="K130" s="102"/>
      <c r="L130" s="102"/>
      <c r="M130" s="102"/>
      <c r="N130" s="102"/>
      <c r="O130" s="102"/>
      <c r="P130" s="102"/>
      <c r="Q130" s="102"/>
      <c r="R130" s="102"/>
      <c r="S130" s="102"/>
      <c r="T130" s="102"/>
      <c r="U130" s="102"/>
    </row>
    <row r="131" spans="3:21" ht="12.75">
      <c r="C131" s="121"/>
      <c r="D131" s="111"/>
      <c r="E131" s="137">
        <f t="shared" si="0"/>
        <v>0</v>
      </c>
      <c r="F131" s="102"/>
      <c r="G131" s="102"/>
      <c r="H131" s="102"/>
      <c r="I131" s="102"/>
      <c r="J131" s="102"/>
      <c r="K131" s="102"/>
      <c r="L131" s="102"/>
      <c r="M131" s="102"/>
      <c r="N131" s="102"/>
      <c r="O131" s="102"/>
      <c r="P131" s="102"/>
      <c r="Q131" s="102"/>
      <c r="R131" s="102"/>
      <c r="S131" s="102"/>
      <c r="T131" s="102"/>
      <c r="U131" s="102"/>
    </row>
    <row r="132" spans="3:21" ht="12.75">
      <c r="C132" s="121"/>
      <c r="D132" s="111"/>
      <c r="E132" s="137">
        <f t="shared" si="0"/>
        <v>0</v>
      </c>
      <c r="F132" s="102"/>
      <c r="G132" s="102"/>
      <c r="H132" s="102"/>
      <c r="I132" s="102"/>
      <c r="J132" s="102"/>
      <c r="K132" s="102"/>
      <c r="L132" s="102"/>
      <c r="M132" s="102"/>
      <c r="N132" s="102"/>
      <c r="O132" s="102"/>
      <c r="P132" s="102"/>
      <c r="Q132" s="102"/>
      <c r="R132" s="102"/>
      <c r="S132" s="102"/>
      <c r="T132" s="102"/>
      <c r="U132" s="102"/>
    </row>
    <row r="133" spans="3:21" ht="12.75">
      <c r="C133" s="121"/>
      <c r="D133" s="111"/>
      <c r="E133" s="137">
        <f t="shared" si="0"/>
        <v>0</v>
      </c>
      <c r="F133" s="102"/>
      <c r="G133" s="102"/>
      <c r="H133" s="102"/>
      <c r="I133" s="102"/>
      <c r="J133" s="102"/>
      <c r="K133" s="102"/>
      <c r="L133" s="102"/>
      <c r="M133" s="102"/>
      <c r="N133" s="102"/>
      <c r="O133" s="102"/>
      <c r="P133" s="102"/>
      <c r="Q133" s="102"/>
      <c r="R133" s="102"/>
      <c r="S133" s="102"/>
      <c r="T133" s="102"/>
      <c r="U133" s="102"/>
    </row>
    <row r="134" spans="3:21" ht="12.75">
      <c r="C134" s="121"/>
      <c r="D134" s="111"/>
      <c r="E134" s="137">
        <f t="shared" si="0"/>
        <v>0</v>
      </c>
      <c r="F134" s="102"/>
      <c r="G134" s="102"/>
      <c r="H134" s="102"/>
      <c r="I134" s="102"/>
      <c r="J134" s="102"/>
      <c r="K134" s="102"/>
      <c r="L134" s="102"/>
      <c r="M134" s="102"/>
      <c r="N134" s="102"/>
      <c r="O134" s="102"/>
      <c r="P134" s="102"/>
      <c r="Q134" s="102"/>
      <c r="R134" s="102"/>
      <c r="S134" s="102"/>
      <c r="T134" s="102"/>
      <c r="U134" s="102"/>
    </row>
    <row r="135" spans="3:21" ht="12.75">
      <c r="C135" s="121"/>
      <c r="D135" s="111"/>
      <c r="E135" s="137">
        <f t="shared" si="0"/>
        <v>0</v>
      </c>
      <c r="F135" s="102"/>
      <c r="G135" s="102"/>
      <c r="H135" s="102"/>
      <c r="I135" s="102"/>
      <c r="J135" s="102"/>
      <c r="K135" s="102"/>
      <c r="L135" s="102"/>
      <c r="M135" s="102"/>
      <c r="N135" s="102"/>
      <c r="O135" s="102"/>
      <c r="P135" s="102"/>
      <c r="Q135" s="102"/>
      <c r="R135" s="102"/>
      <c r="S135" s="102"/>
      <c r="T135" s="102"/>
      <c r="U135" s="102"/>
    </row>
    <row r="136" spans="3:21" ht="12.75">
      <c r="C136" s="121"/>
      <c r="D136" s="111"/>
      <c r="E136" s="137">
        <f t="shared" si="0"/>
        <v>0</v>
      </c>
      <c r="F136" s="102"/>
      <c r="G136" s="102"/>
      <c r="H136" s="102"/>
      <c r="I136" s="102"/>
      <c r="J136" s="102"/>
      <c r="K136" s="102"/>
      <c r="L136" s="102"/>
      <c r="M136" s="102"/>
      <c r="N136" s="102"/>
      <c r="O136" s="102"/>
      <c r="P136" s="102"/>
      <c r="Q136" s="102"/>
      <c r="R136" s="102"/>
      <c r="S136" s="102"/>
      <c r="T136" s="102"/>
      <c r="U136" s="102"/>
    </row>
    <row r="137" spans="3:21" ht="12.75">
      <c r="C137" s="121"/>
      <c r="D137" s="111"/>
      <c r="E137" s="137">
        <f t="shared" si="0"/>
        <v>0</v>
      </c>
      <c r="F137" s="102"/>
      <c r="G137" s="102"/>
      <c r="H137" s="102"/>
      <c r="I137" s="102"/>
      <c r="J137" s="102"/>
      <c r="K137" s="102"/>
      <c r="L137" s="102"/>
      <c r="M137" s="102"/>
      <c r="N137" s="102"/>
      <c r="O137" s="102"/>
      <c r="P137" s="102"/>
      <c r="Q137" s="102"/>
      <c r="R137" s="102"/>
      <c r="S137" s="102"/>
      <c r="T137" s="102"/>
      <c r="U137" s="102"/>
    </row>
    <row r="138" spans="3:21" ht="12.75">
      <c r="C138" s="121"/>
      <c r="D138" s="111"/>
      <c r="E138" s="137">
        <f t="shared" si="0"/>
        <v>0</v>
      </c>
      <c r="F138" s="102"/>
      <c r="G138" s="102"/>
      <c r="H138" s="102"/>
      <c r="I138" s="102"/>
      <c r="J138" s="102"/>
      <c r="K138" s="102"/>
      <c r="L138" s="102"/>
      <c r="M138" s="102"/>
      <c r="N138" s="102"/>
      <c r="O138" s="102"/>
      <c r="P138" s="102"/>
      <c r="Q138" s="102"/>
      <c r="R138" s="102"/>
      <c r="S138" s="102"/>
      <c r="T138" s="102"/>
      <c r="U138" s="102"/>
    </row>
    <row r="139" spans="3:21" ht="12.75">
      <c r="C139" s="121"/>
      <c r="D139" s="111"/>
      <c r="E139" s="137">
        <f t="shared" si="0"/>
        <v>0</v>
      </c>
      <c r="F139" s="102"/>
      <c r="G139" s="102"/>
      <c r="H139" s="102"/>
      <c r="I139" s="102"/>
      <c r="J139" s="102"/>
      <c r="K139" s="102"/>
      <c r="L139" s="102"/>
      <c r="M139" s="102"/>
      <c r="N139" s="102"/>
      <c r="O139" s="102"/>
      <c r="P139" s="102"/>
      <c r="Q139" s="102"/>
      <c r="R139" s="102"/>
      <c r="S139" s="102"/>
      <c r="T139" s="102"/>
      <c r="U139" s="102"/>
    </row>
    <row r="140" spans="3:21" ht="12.75">
      <c r="C140" s="121"/>
      <c r="D140" s="111"/>
      <c r="E140" s="137">
        <f t="shared" si="0"/>
        <v>0</v>
      </c>
      <c r="F140" s="102"/>
      <c r="G140" s="102"/>
      <c r="H140" s="102"/>
      <c r="I140" s="102"/>
      <c r="J140" s="102"/>
      <c r="K140" s="102"/>
      <c r="L140" s="102"/>
      <c r="M140" s="102"/>
      <c r="N140" s="102"/>
      <c r="O140" s="102"/>
      <c r="P140" s="102"/>
      <c r="Q140" s="102"/>
      <c r="R140" s="102"/>
      <c r="S140" s="102"/>
      <c r="T140" s="102"/>
      <c r="U140" s="102"/>
    </row>
    <row r="141" spans="3:21" ht="12.75">
      <c r="C141" s="121"/>
      <c r="D141" s="111"/>
      <c r="E141" s="137">
        <f t="shared" si="0"/>
        <v>0</v>
      </c>
      <c r="F141" s="102"/>
      <c r="G141" s="102"/>
      <c r="H141" s="102"/>
      <c r="I141" s="102"/>
      <c r="J141" s="102"/>
      <c r="K141" s="102"/>
      <c r="L141" s="102"/>
      <c r="M141" s="102"/>
      <c r="N141" s="102"/>
      <c r="O141" s="102"/>
      <c r="P141" s="102"/>
      <c r="Q141" s="102"/>
      <c r="R141" s="102"/>
      <c r="S141" s="102"/>
      <c r="T141" s="102"/>
      <c r="U141" s="102"/>
    </row>
    <row r="142" spans="3:21" ht="12.75">
      <c r="C142" s="121"/>
      <c r="D142" s="111"/>
      <c r="E142" s="137">
        <f t="shared" si="0"/>
        <v>0</v>
      </c>
      <c r="F142" s="102"/>
      <c r="G142" s="102"/>
      <c r="H142" s="102"/>
      <c r="I142" s="102"/>
      <c r="J142" s="102"/>
      <c r="K142" s="102"/>
      <c r="L142" s="102"/>
      <c r="M142" s="102"/>
      <c r="N142" s="102"/>
      <c r="O142" s="102"/>
      <c r="P142" s="102"/>
      <c r="Q142" s="102"/>
      <c r="R142" s="102"/>
      <c r="S142" s="102"/>
      <c r="T142" s="102"/>
      <c r="U142" s="102"/>
    </row>
    <row r="143" spans="3:21" ht="12.75">
      <c r="C143" s="121"/>
      <c r="D143" s="111"/>
      <c r="E143" s="137">
        <f t="shared" si="0"/>
        <v>0</v>
      </c>
      <c r="F143" s="102"/>
      <c r="G143" s="102"/>
      <c r="H143" s="102"/>
      <c r="I143" s="102"/>
      <c r="J143" s="102"/>
      <c r="K143" s="102"/>
      <c r="L143" s="102"/>
      <c r="M143" s="102"/>
      <c r="N143" s="102"/>
      <c r="O143" s="102"/>
      <c r="P143" s="102"/>
      <c r="Q143" s="102"/>
      <c r="R143" s="102"/>
      <c r="S143" s="102"/>
      <c r="T143" s="102"/>
      <c r="U143" s="102"/>
    </row>
    <row r="144" spans="3:21" ht="12.75">
      <c r="C144" s="121"/>
      <c r="D144" s="111"/>
      <c r="E144" s="137">
        <f t="shared" si="0"/>
        <v>0</v>
      </c>
      <c r="F144" s="102"/>
      <c r="G144" s="102"/>
      <c r="H144" s="102"/>
      <c r="I144" s="102"/>
      <c r="J144" s="102"/>
      <c r="K144" s="102"/>
      <c r="L144" s="102"/>
      <c r="M144" s="102"/>
      <c r="N144" s="102"/>
      <c r="O144" s="102"/>
      <c r="P144" s="102"/>
      <c r="Q144" s="102"/>
      <c r="R144" s="102"/>
      <c r="S144" s="102"/>
      <c r="T144" s="102"/>
      <c r="U144" s="102"/>
    </row>
    <row r="145" spans="3:21" ht="12.75">
      <c r="C145" s="121"/>
      <c r="D145" s="111"/>
      <c r="E145" s="137">
        <f t="shared" si="0"/>
        <v>0</v>
      </c>
      <c r="F145" s="102"/>
      <c r="G145" s="102"/>
      <c r="H145" s="102"/>
      <c r="I145" s="102"/>
      <c r="J145" s="102"/>
      <c r="K145" s="102"/>
      <c r="L145" s="102"/>
      <c r="M145" s="102"/>
      <c r="N145" s="102"/>
      <c r="O145" s="102"/>
      <c r="P145" s="102"/>
      <c r="Q145" s="102"/>
      <c r="R145" s="102"/>
      <c r="S145" s="102"/>
      <c r="T145" s="102"/>
      <c r="U145" s="102"/>
    </row>
    <row r="146" spans="3:21" ht="12.75">
      <c r="C146" s="121"/>
      <c r="D146" s="111"/>
      <c r="E146" s="137">
        <f t="shared" si="0"/>
        <v>0</v>
      </c>
      <c r="F146" s="102"/>
      <c r="G146" s="102"/>
      <c r="H146" s="102"/>
      <c r="I146" s="102"/>
      <c r="J146" s="102"/>
      <c r="K146" s="102"/>
      <c r="L146" s="102"/>
      <c r="M146" s="102"/>
      <c r="N146" s="102"/>
      <c r="O146" s="102"/>
      <c r="P146" s="102"/>
      <c r="Q146" s="102"/>
      <c r="R146" s="102"/>
      <c r="S146" s="102"/>
      <c r="T146" s="102"/>
      <c r="U146" s="102"/>
    </row>
    <row r="147" spans="3:21" ht="12.75">
      <c r="C147" s="121"/>
      <c r="D147" s="111"/>
      <c r="E147" s="137">
        <f t="shared" si="0"/>
        <v>0</v>
      </c>
      <c r="F147" s="102"/>
      <c r="G147" s="102"/>
      <c r="H147" s="102"/>
      <c r="I147" s="102"/>
      <c r="J147" s="102"/>
      <c r="K147" s="102"/>
      <c r="L147" s="102"/>
      <c r="M147" s="102"/>
      <c r="N147" s="102"/>
      <c r="O147" s="102"/>
      <c r="P147" s="102"/>
      <c r="Q147" s="102"/>
      <c r="R147" s="102"/>
      <c r="S147" s="102"/>
      <c r="T147" s="102"/>
      <c r="U147" s="102"/>
    </row>
    <row r="148" spans="3:21" ht="12.75">
      <c r="C148" s="121"/>
      <c r="D148" s="111"/>
      <c r="E148" s="137">
        <f t="shared" si="0"/>
        <v>0</v>
      </c>
      <c r="F148" s="102"/>
      <c r="G148" s="102"/>
      <c r="H148" s="102"/>
      <c r="I148" s="102"/>
      <c r="J148" s="102"/>
      <c r="K148" s="102"/>
      <c r="L148" s="102"/>
      <c r="M148" s="102"/>
      <c r="N148" s="102"/>
      <c r="O148" s="102"/>
      <c r="P148" s="102"/>
      <c r="Q148" s="102"/>
      <c r="R148" s="102"/>
      <c r="S148" s="102"/>
      <c r="T148" s="102"/>
      <c r="U148" s="102"/>
    </row>
    <row r="149" spans="3:21" ht="12.75">
      <c r="C149" s="121"/>
      <c r="D149" s="111"/>
      <c r="E149" s="137">
        <f t="shared" si="0"/>
        <v>0</v>
      </c>
      <c r="F149" s="102"/>
      <c r="G149" s="102"/>
      <c r="H149" s="102"/>
      <c r="I149" s="102"/>
      <c r="J149" s="102"/>
      <c r="K149" s="102"/>
      <c r="L149" s="102"/>
      <c r="M149" s="102"/>
      <c r="N149" s="102"/>
      <c r="O149" s="102"/>
      <c r="P149" s="102"/>
      <c r="Q149" s="102"/>
      <c r="R149" s="102"/>
      <c r="S149" s="102"/>
      <c r="T149" s="102"/>
      <c r="U149" s="102"/>
    </row>
    <row r="150" spans="3:21" ht="12.75">
      <c r="C150" s="121"/>
      <c r="D150" s="111"/>
      <c r="E150" s="137">
        <f t="shared" si="0"/>
        <v>0</v>
      </c>
      <c r="F150" s="102"/>
      <c r="G150" s="102"/>
      <c r="H150" s="102"/>
      <c r="I150" s="102"/>
      <c r="J150" s="102"/>
      <c r="K150" s="102"/>
      <c r="L150" s="102"/>
      <c r="M150" s="102"/>
      <c r="N150" s="102"/>
      <c r="O150" s="102"/>
      <c r="P150" s="102"/>
      <c r="Q150" s="102"/>
      <c r="R150" s="102"/>
      <c r="S150" s="102"/>
      <c r="T150" s="102"/>
      <c r="U150" s="102"/>
    </row>
    <row r="151" spans="3:21" ht="12.75">
      <c r="C151" s="121"/>
      <c r="D151" s="111"/>
      <c r="E151" s="137">
        <f t="shared" si="0"/>
        <v>0</v>
      </c>
      <c r="F151" s="102"/>
      <c r="G151" s="102"/>
      <c r="H151" s="102"/>
      <c r="I151" s="102"/>
      <c r="J151" s="102"/>
      <c r="K151" s="102"/>
      <c r="L151" s="102"/>
      <c r="M151" s="102"/>
      <c r="N151" s="102"/>
      <c r="O151" s="102"/>
      <c r="P151" s="102"/>
      <c r="Q151" s="102"/>
      <c r="R151" s="102"/>
      <c r="S151" s="102"/>
      <c r="T151" s="102"/>
      <c r="U151" s="102"/>
    </row>
    <row r="152" spans="3:21" ht="12.75">
      <c r="C152" s="121"/>
      <c r="D152" s="111"/>
      <c r="E152" s="137">
        <f t="shared" si="0"/>
        <v>0</v>
      </c>
      <c r="F152" s="102"/>
      <c r="G152" s="102"/>
      <c r="H152" s="102"/>
      <c r="I152" s="102"/>
      <c r="J152" s="102"/>
      <c r="K152" s="102"/>
      <c r="L152" s="102"/>
      <c r="M152" s="102"/>
      <c r="N152" s="102"/>
      <c r="O152" s="102"/>
      <c r="P152" s="102"/>
      <c r="Q152" s="102"/>
      <c r="R152" s="102"/>
      <c r="S152" s="102"/>
      <c r="T152" s="102"/>
      <c r="U152" s="102"/>
    </row>
    <row r="153" spans="3:21" ht="12.75">
      <c r="C153" s="121"/>
      <c r="D153" s="111"/>
      <c r="E153" s="137">
        <f t="shared" si="0"/>
        <v>0</v>
      </c>
      <c r="F153" s="102"/>
      <c r="G153" s="102"/>
      <c r="H153" s="102"/>
      <c r="I153" s="102"/>
      <c r="J153" s="102"/>
      <c r="K153" s="102"/>
      <c r="L153" s="102"/>
      <c r="M153" s="102"/>
      <c r="N153" s="102"/>
      <c r="O153" s="102"/>
      <c r="P153" s="102"/>
      <c r="Q153" s="102"/>
      <c r="R153" s="102"/>
      <c r="S153" s="102"/>
      <c r="T153" s="102"/>
      <c r="U153" s="102"/>
    </row>
    <row r="154" spans="3:21" ht="12.75">
      <c r="C154" s="121"/>
      <c r="D154" s="111"/>
      <c r="E154" s="137">
        <f t="shared" si="0"/>
        <v>0</v>
      </c>
      <c r="F154" s="102"/>
      <c r="G154" s="102"/>
      <c r="H154" s="102"/>
      <c r="I154" s="102"/>
      <c r="J154" s="102"/>
      <c r="K154" s="102"/>
      <c r="L154" s="102"/>
      <c r="M154" s="102"/>
      <c r="N154" s="102"/>
      <c r="O154" s="102"/>
      <c r="P154" s="102"/>
      <c r="Q154" s="102"/>
      <c r="R154" s="102"/>
      <c r="S154" s="102"/>
      <c r="T154" s="102"/>
      <c r="U154" s="102"/>
    </row>
    <row r="155" spans="3:21" ht="12.75">
      <c r="C155" s="121"/>
      <c r="D155" s="111"/>
      <c r="E155" s="137">
        <f t="shared" si="0"/>
        <v>0</v>
      </c>
      <c r="F155" s="102"/>
      <c r="G155" s="102"/>
      <c r="H155" s="102"/>
      <c r="I155" s="102"/>
      <c r="J155" s="102"/>
      <c r="K155" s="102"/>
      <c r="L155" s="102"/>
      <c r="M155" s="102"/>
      <c r="N155" s="102"/>
      <c r="O155" s="102"/>
      <c r="P155" s="102"/>
      <c r="Q155" s="102"/>
      <c r="R155" s="102"/>
      <c r="S155" s="102"/>
      <c r="T155" s="102"/>
      <c r="U155" s="102"/>
    </row>
    <row r="156" spans="3:21" ht="12.75">
      <c r="C156" s="121"/>
      <c r="D156" s="111"/>
      <c r="E156" s="137">
        <f t="shared" si="0"/>
        <v>0</v>
      </c>
      <c r="F156" s="102"/>
      <c r="G156" s="102"/>
      <c r="H156" s="102"/>
      <c r="I156" s="102"/>
      <c r="J156" s="102"/>
      <c r="K156" s="102"/>
      <c r="L156" s="102"/>
      <c r="M156" s="102"/>
      <c r="N156" s="102"/>
      <c r="O156" s="102"/>
      <c r="P156" s="102"/>
      <c r="Q156" s="102"/>
      <c r="R156" s="102"/>
      <c r="S156" s="102"/>
      <c r="T156" s="102"/>
      <c r="U156" s="102"/>
    </row>
    <row r="157" spans="3:21" ht="12.75">
      <c r="C157" s="121"/>
      <c r="D157" s="111"/>
      <c r="E157" s="137">
        <f t="shared" si="0"/>
        <v>0</v>
      </c>
      <c r="F157" s="102"/>
      <c r="G157" s="102"/>
      <c r="H157" s="102"/>
      <c r="I157" s="102"/>
      <c r="J157" s="102"/>
      <c r="K157" s="102"/>
      <c r="L157" s="102"/>
      <c r="M157" s="102"/>
      <c r="N157" s="102"/>
      <c r="O157" s="102"/>
      <c r="P157" s="102"/>
      <c r="Q157" s="102"/>
      <c r="R157" s="102"/>
      <c r="S157" s="102"/>
      <c r="T157" s="102"/>
      <c r="U157" s="102"/>
    </row>
    <row r="158" spans="3:21" ht="12.75">
      <c r="C158" s="121"/>
      <c r="D158" s="111"/>
      <c r="E158" s="137">
        <f t="shared" si="0"/>
        <v>0</v>
      </c>
      <c r="F158" s="102"/>
      <c r="G158" s="102"/>
      <c r="H158" s="102"/>
      <c r="I158" s="102"/>
      <c r="J158" s="102"/>
      <c r="K158" s="102"/>
      <c r="L158" s="102"/>
      <c r="M158" s="102"/>
      <c r="N158" s="102"/>
      <c r="O158" s="102"/>
      <c r="P158" s="102"/>
      <c r="Q158" s="102"/>
      <c r="R158" s="102"/>
      <c r="S158" s="102"/>
      <c r="T158" s="102"/>
      <c r="U158" s="102"/>
    </row>
    <row r="159" spans="3:21" ht="12.75">
      <c r="C159" s="121"/>
      <c r="D159" s="111"/>
      <c r="E159" s="137">
        <f t="shared" si="0"/>
        <v>0</v>
      </c>
      <c r="F159" s="102"/>
      <c r="G159" s="102"/>
      <c r="H159" s="102"/>
      <c r="I159" s="102"/>
      <c r="J159" s="102"/>
      <c r="K159" s="102"/>
      <c r="L159" s="102"/>
      <c r="M159" s="102"/>
      <c r="N159" s="102"/>
      <c r="O159" s="102"/>
      <c r="P159" s="102"/>
      <c r="Q159" s="102"/>
      <c r="R159" s="102"/>
      <c r="S159" s="102"/>
      <c r="T159" s="102"/>
      <c r="U159" s="102"/>
    </row>
    <row r="160" spans="3:21" ht="12.75">
      <c r="C160" s="121"/>
      <c r="D160" s="111"/>
      <c r="E160" s="137">
        <f t="shared" si="0"/>
        <v>0</v>
      </c>
      <c r="F160" s="102"/>
      <c r="G160" s="102"/>
      <c r="H160" s="102"/>
      <c r="I160" s="102"/>
      <c r="J160" s="102"/>
      <c r="K160" s="102"/>
      <c r="L160" s="102"/>
      <c r="M160" s="102"/>
      <c r="N160" s="102"/>
      <c r="O160" s="102"/>
      <c r="P160" s="102"/>
      <c r="Q160" s="102"/>
      <c r="R160" s="102"/>
      <c r="S160" s="102"/>
      <c r="T160" s="102"/>
      <c r="U160" s="102"/>
    </row>
    <row r="161" spans="3:21" ht="12.75">
      <c r="C161" s="121"/>
      <c r="D161" s="111"/>
      <c r="E161" s="137">
        <f t="shared" si="0"/>
        <v>0</v>
      </c>
      <c r="F161" s="102"/>
      <c r="G161" s="102"/>
      <c r="H161" s="102"/>
      <c r="I161" s="102"/>
      <c r="J161" s="102"/>
      <c r="K161" s="102"/>
      <c r="L161" s="102"/>
      <c r="M161" s="102"/>
      <c r="N161" s="102"/>
      <c r="O161" s="102"/>
      <c r="P161" s="102"/>
      <c r="Q161" s="102"/>
      <c r="R161" s="102"/>
      <c r="S161" s="102"/>
      <c r="T161" s="102"/>
      <c r="U161" s="102"/>
    </row>
    <row r="162" spans="3:21" ht="12.75">
      <c r="C162" s="121"/>
      <c r="D162" s="111"/>
      <c r="E162" s="137">
        <f t="shared" si="0"/>
        <v>0</v>
      </c>
      <c r="F162" s="102"/>
      <c r="G162" s="102"/>
      <c r="H162" s="102"/>
      <c r="I162" s="102"/>
      <c r="J162" s="102"/>
      <c r="K162" s="102"/>
      <c r="L162" s="102"/>
      <c r="M162" s="102"/>
      <c r="N162" s="102"/>
      <c r="O162" s="102"/>
      <c r="P162" s="102"/>
      <c r="Q162" s="102"/>
      <c r="R162" s="102"/>
      <c r="S162" s="102"/>
      <c r="T162" s="102"/>
      <c r="U162" s="102"/>
    </row>
    <row r="163" spans="3:21" ht="12.75">
      <c r="C163" s="121"/>
      <c r="D163" s="111"/>
      <c r="E163" s="137">
        <f t="shared" si="0"/>
        <v>0</v>
      </c>
      <c r="F163" s="102"/>
      <c r="G163" s="102"/>
      <c r="H163" s="102"/>
      <c r="I163" s="102"/>
      <c r="J163" s="102"/>
      <c r="K163" s="102"/>
      <c r="L163" s="102"/>
      <c r="M163" s="102"/>
      <c r="N163" s="102"/>
      <c r="O163" s="102"/>
      <c r="P163" s="102"/>
      <c r="Q163" s="102"/>
      <c r="R163" s="102"/>
      <c r="S163" s="102"/>
      <c r="T163" s="102"/>
      <c r="U163" s="102"/>
    </row>
    <row r="164" spans="3:21" ht="12.75">
      <c r="C164" s="121"/>
      <c r="D164" s="111"/>
      <c r="E164" s="137">
        <f t="shared" si="0"/>
        <v>0</v>
      </c>
      <c r="F164" s="102"/>
      <c r="G164" s="102"/>
      <c r="H164" s="102"/>
      <c r="I164" s="102"/>
      <c r="J164" s="102"/>
      <c r="K164" s="102"/>
      <c r="L164" s="102"/>
      <c r="M164" s="102"/>
      <c r="N164" s="102"/>
      <c r="O164" s="102"/>
      <c r="P164" s="102"/>
      <c r="Q164" s="102"/>
      <c r="R164" s="102"/>
      <c r="S164" s="102"/>
      <c r="T164" s="102"/>
      <c r="U164" s="102"/>
    </row>
    <row r="165" spans="3:21" ht="12.75">
      <c r="C165" s="121"/>
      <c r="D165" s="111"/>
      <c r="E165" s="137">
        <f t="shared" si="0"/>
        <v>0</v>
      </c>
      <c r="F165" s="102"/>
      <c r="G165" s="102"/>
      <c r="H165" s="102"/>
      <c r="I165" s="102"/>
      <c r="J165" s="102"/>
      <c r="K165" s="102"/>
      <c r="L165" s="102"/>
      <c r="M165" s="102"/>
      <c r="N165" s="102"/>
      <c r="O165" s="102"/>
      <c r="P165" s="102"/>
      <c r="Q165" s="102"/>
      <c r="R165" s="102"/>
      <c r="S165" s="102"/>
      <c r="T165" s="102"/>
      <c r="U165" s="102"/>
    </row>
    <row r="166" spans="3:21" ht="12.75">
      <c r="C166" s="121"/>
      <c r="D166" s="111"/>
      <c r="E166" s="137">
        <f t="shared" si="0"/>
        <v>0</v>
      </c>
      <c r="F166" s="102"/>
      <c r="G166" s="102"/>
      <c r="H166" s="102"/>
      <c r="I166" s="102"/>
      <c r="J166" s="102"/>
      <c r="K166" s="102"/>
      <c r="L166" s="102"/>
      <c r="M166" s="102"/>
      <c r="N166" s="102"/>
      <c r="O166" s="102"/>
      <c r="P166" s="102"/>
      <c r="Q166" s="102"/>
      <c r="R166" s="102"/>
      <c r="S166" s="102"/>
      <c r="T166" s="102"/>
      <c r="U166" s="102"/>
    </row>
    <row r="167" spans="3:21" ht="12.75">
      <c r="C167" s="121"/>
      <c r="D167" s="111"/>
      <c r="E167" s="137">
        <f t="shared" si="0"/>
        <v>0</v>
      </c>
      <c r="F167" s="102"/>
      <c r="G167" s="102"/>
      <c r="H167" s="102"/>
      <c r="I167" s="102"/>
      <c r="J167" s="102"/>
      <c r="K167" s="102"/>
      <c r="L167" s="102"/>
      <c r="M167" s="102"/>
      <c r="N167" s="102"/>
      <c r="O167" s="102"/>
      <c r="P167" s="102"/>
      <c r="Q167" s="102"/>
      <c r="R167" s="102"/>
      <c r="S167" s="102"/>
      <c r="T167" s="102"/>
      <c r="U167" s="102"/>
    </row>
    <row r="168" spans="3:21" ht="12.75">
      <c r="C168" s="121"/>
      <c r="D168" s="111"/>
      <c r="E168" s="137">
        <f t="shared" si="0"/>
        <v>0</v>
      </c>
      <c r="F168" s="102"/>
      <c r="G168" s="102"/>
      <c r="H168" s="102"/>
      <c r="I168" s="102"/>
      <c r="J168" s="102"/>
      <c r="K168" s="102"/>
      <c r="L168" s="102"/>
      <c r="M168" s="102"/>
      <c r="N168" s="102"/>
      <c r="O168" s="102"/>
      <c r="P168" s="102"/>
      <c r="Q168" s="102"/>
      <c r="R168" s="102"/>
      <c r="S168" s="102"/>
      <c r="T168" s="102"/>
      <c r="U168" s="102"/>
    </row>
    <row r="169" spans="3:21" ht="12.75">
      <c r="C169" s="121"/>
      <c r="D169" s="111"/>
      <c r="E169" s="137">
        <f t="shared" si="0"/>
        <v>0</v>
      </c>
      <c r="F169" s="102"/>
      <c r="G169" s="102"/>
      <c r="H169" s="102"/>
      <c r="I169" s="102"/>
      <c r="J169" s="102"/>
      <c r="K169" s="102"/>
      <c r="L169" s="102"/>
      <c r="M169" s="102"/>
      <c r="N169" s="102"/>
      <c r="O169" s="102"/>
      <c r="P169" s="102"/>
      <c r="Q169" s="102"/>
      <c r="R169" s="102"/>
      <c r="S169" s="102"/>
      <c r="T169" s="102"/>
      <c r="U169" s="102"/>
    </row>
    <row r="170" spans="3:21" ht="12.75">
      <c r="C170" s="121"/>
      <c r="D170" s="111"/>
      <c r="E170" s="137">
        <f t="shared" si="0"/>
        <v>0</v>
      </c>
      <c r="F170" s="102"/>
      <c r="G170" s="102"/>
      <c r="H170" s="102"/>
      <c r="I170" s="102"/>
      <c r="J170" s="102"/>
      <c r="K170" s="102"/>
      <c r="L170" s="102"/>
      <c r="M170" s="102"/>
      <c r="N170" s="102"/>
      <c r="O170" s="102"/>
      <c r="P170" s="102"/>
      <c r="Q170" s="102"/>
      <c r="R170" s="102"/>
      <c r="S170" s="102"/>
      <c r="T170" s="102"/>
      <c r="U170" s="102"/>
    </row>
    <row r="171" spans="3:21" ht="12.75">
      <c r="C171" s="121"/>
      <c r="D171" s="111"/>
      <c r="E171" s="137">
        <f t="shared" si="0"/>
        <v>0</v>
      </c>
      <c r="F171" s="102"/>
      <c r="G171" s="102"/>
      <c r="H171" s="102"/>
      <c r="I171" s="102"/>
      <c r="J171" s="102"/>
      <c r="K171" s="102"/>
      <c r="L171" s="102"/>
      <c r="M171" s="102"/>
      <c r="N171" s="102"/>
      <c r="O171" s="102"/>
      <c r="P171" s="102"/>
      <c r="Q171" s="102"/>
      <c r="R171" s="102"/>
      <c r="S171" s="102"/>
      <c r="T171" s="102"/>
      <c r="U171" s="102"/>
    </row>
    <row r="172" spans="3:21" ht="12.75">
      <c r="C172" s="121"/>
      <c r="D172" s="111"/>
      <c r="E172" s="137">
        <f t="shared" si="0"/>
        <v>0</v>
      </c>
      <c r="F172" s="102"/>
      <c r="G172" s="102"/>
      <c r="H172" s="102"/>
      <c r="I172" s="102"/>
      <c r="J172" s="102"/>
      <c r="K172" s="102"/>
      <c r="L172" s="102"/>
      <c r="M172" s="102"/>
      <c r="N172" s="102"/>
      <c r="O172" s="102"/>
      <c r="P172" s="102"/>
      <c r="Q172" s="102"/>
      <c r="R172" s="102"/>
      <c r="S172" s="102"/>
      <c r="T172" s="102"/>
      <c r="U172" s="102"/>
    </row>
    <row r="173" spans="3:21" ht="12.75">
      <c r="C173" s="121"/>
      <c r="D173" s="111"/>
      <c r="E173" s="137">
        <f t="shared" si="0"/>
        <v>0</v>
      </c>
      <c r="F173" s="102"/>
      <c r="G173" s="102"/>
      <c r="H173" s="102"/>
      <c r="I173" s="102"/>
      <c r="J173" s="102"/>
      <c r="K173" s="102"/>
      <c r="L173" s="102"/>
      <c r="M173" s="102"/>
      <c r="N173" s="102"/>
      <c r="O173" s="102"/>
      <c r="P173" s="102"/>
      <c r="Q173" s="102"/>
      <c r="R173" s="102"/>
      <c r="S173" s="102"/>
      <c r="T173" s="102"/>
      <c r="U173" s="102"/>
    </row>
    <row r="174" spans="3:21" ht="12.75">
      <c r="C174" s="121"/>
      <c r="D174" s="111"/>
      <c r="E174" s="137">
        <f t="shared" si="0"/>
        <v>0</v>
      </c>
      <c r="F174" s="102"/>
      <c r="G174" s="102"/>
      <c r="H174" s="102"/>
      <c r="I174" s="102"/>
      <c r="J174" s="102"/>
      <c r="K174" s="102"/>
      <c r="L174" s="102"/>
      <c r="M174" s="102"/>
      <c r="N174" s="102"/>
      <c r="O174" s="102"/>
      <c r="P174" s="102"/>
      <c r="Q174" s="102"/>
      <c r="R174" s="102"/>
      <c r="S174" s="102"/>
      <c r="T174" s="102"/>
      <c r="U174" s="102"/>
    </row>
    <row r="175" spans="3:21" ht="12.75">
      <c r="C175" s="121"/>
      <c r="D175" s="111"/>
      <c r="E175" s="137">
        <f t="shared" si="0"/>
        <v>0</v>
      </c>
      <c r="F175" s="102"/>
      <c r="G175" s="102"/>
      <c r="H175" s="102"/>
      <c r="I175" s="102"/>
      <c r="J175" s="102"/>
      <c r="K175" s="102"/>
      <c r="L175" s="102"/>
      <c r="M175" s="102"/>
      <c r="N175" s="102"/>
      <c r="O175" s="102"/>
      <c r="P175" s="102"/>
      <c r="Q175" s="102"/>
      <c r="R175" s="102"/>
      <c r="S175" s="102"/>
      <c r="T175" s="102"/>
      <c r="U175" s="102"/>
    </row>
    <row r="176" spans="3:21" ht="12.75">
      <c r="C176" s="121"/>
      <c r="D176" s="111"/>
      <c r="E176" s="137">
        <f t="shared" si="0"/>
        <v>0</v>
      </c>
      <c r="F176" s="102"/>
      <c r="G176" s="102"/>
      <c r="H176" s="102"/>
      <c r="I176" s="102"/>
      <c r="J176" s="102"/>
      <c r="K176" s="102"/>
      <c r="L176" s="102"/>
      <c r="M176" s="102"/>
      <c r="N176" s="102"/>
      <c r="O176" s="102"/>
      <c r="P176" s="102"/>
      <c r="Q176" s="102"/>
      <c r="R176" s="102"/>
      <c r="S176" s="102"/>
      <c r="T176" s="102"/>
      <c r="U176" s="102"/>
    </row>
    <row r="177" spans="3:21" ht="12.75">
      <c r="C177" s="121"/>
      <c r="D177" s="111"/>
      <c r="E177" s="137">
        <f t="shared" si="0"/>
        <v>0</v>
      </c>
      <c r="F177" s="102"/>
      <c r="G177" s="102"/>
      <c r="H177" s="102"/>
      <c r="I177" s="102"/>
      <c r="J177" s="102"/>
      <c r="K177" s="102"/>
      <c r="L177" s="102"/>
      <c r="M177" s="102"/>
      <c r="N177" s="102"/>
      <c r="O177" s="102"/>
      <c r="P177" s="102"/>
      <c r="Q177" s="102"/>
      <c r="R177" s="102"/>
      <c r="S177" s="102"/>
      <c r="T177" s="102"/>
      <c r="U177" s="102"/>
    </row>
    <row r="178" spans="3:21" ht="12.75">
      <c r="C178" s="121"/>
      <c r="D178" s="111"/>
      <c r="E178" s="137">
        <f t="shared" si="0"/>
        <v>0</v>
      </c>
      <c r="F178" s="102"/>
      <c r="G178" s="102"/>
      <c r="H178" s="102"/>
      <c r="I178" s="102"/>
      <c r="J178" s="102"/>
      <c r="K178" s="102"/>
      <c r="L178" s="102"/>
      <c r="M178" s="102"/>
      <c r="N178" s="102"/>
      <c r="O178" s="102"/>
      <c r="P178" s="102"/>
      <c r="Q178" s="102"/>
      <c r="R178" s="102"/>
      <c r="S178" s="102"/>
      <c r="T178" s="102"/>
      <c r="U178" s="102"/>
    </row>
    <row r="179" spans="3:21" ht="12.75">
      <c r="C179" s="121"/>
      <c r="D179" s="111"/>
      <c r="E179" s="137">
        <f t="shared" si="0"/>
        <v>0</v>
      </c>
      <c r="F179" s="102"/>
      <c r="G179" s="102"/>
      <c r="H179" s="102"/>
      <c r="I179" s="102"/>
      <c r="J179" s="102"/>
      <c r="K179" s="102"/>
      <c r="L179" s="102"/>
      <c r="M179" s="102"/>
      <c r="N179" s="102"/>
      <c r="O179" s="102"/>
      <c r="P179" s="102"/>
      <c r="Q179" s="102"/>
      <c r="R179" s="102"/>
      <c r="S179" s="102"/>
      <c r="T179" s="102"/>
      <c r="U179" s="102"/>
    </row>
    <row r="180" spans="3:21" ht="12.75">
      <c r="C180" s="121"/>
      <c r="D180" s="111"/>
      <c r="E180" s="137">
        <f t="shared" si="0"/>
        <v>0</v>
      </c>
      <c r="F180" s="102"/>
      <c r="G180" s="102"/>
      <c r="H180" s="102"/>
      <c r="I180" s="102"/>
      <c r="J180" s="102"/>
      <c r="K180" s="102"/>
      <c r="L180" s="102"/>
      <c r="M180" s="102"/>
      <c r="N180" s="102"/>
      <c r="O180" s="102"/>
      <c r="P180" s="102"/>
      <c r="Q180" s="102"/>
      <c r="R180" s="102"/>
      <c r="S180" s="102"/>
      <c r="T180" s="102"/>
      <c r="U180" s="102"/>
    </row>
    <row r="181" spans="3:21" ht="12.75">
      <c r="C181" s="121"/>
      <c r="D181" s="111"/>
      <c r="E181" s="137">
        <f t="shared" si="0"/>
        <v>0</v>
      </c>
      <c r="F181" s="102"/>
      <c r="G181" s="102"/>
      <c r="H181" s="102"/>
      <c r="I181" s="102"/>
      <c r="J181" s="102"/>
      <c r="K181" s="102"/>
      <c r="L181" s="102"/>
      <c r="M181" s="102"/>
      <c r="N181" s="102"/>
      <c r="O181" s="102"/>
      <c r="P181" s="102"/>
      <c r="Q181" s="102"/>
      <c r="R181" s="102"/>
      <c r="S181" s="102"/>
      <c r="T181" s="102"/>
      <c r="U181" s="102"/>
    </row>
    <row r="182" spans="3:21" ht="12.75">
      <c r="C182" s="121"/>
      <c r="D182" s="111"/>
      <c r="E182" s="137">
        <f t="shared" si="0"/>
        <v>0</v>
      </c>
      <c r="F182" s="102"/>
      <c r="G182" s="102"/>
      <c r="H182" s="102"/>
      <c r="I182" s="102"/>
      <c r="J182" s="102"/>
      <c r="K182" s="102"/>
      <c r="L182" s="102"/>
      <c r="M182" s="102"/>
      <c r="N182" s="102"/>
      <c r="O182" s="102"/>
      <c r="P182" s="102"/>
      <c r="Q182" s="102"/>
      <c r="R182" s="102"/>
      <c r="S182" s="102"/>
      <c r="T182" s="102"/>
      <c r="U182" s="102"/>
    </row>
    <row r="183" spans="3:21" ht="12.75">
      <c r="C183" s="121"/>
      <c r="D183" s="111"/>
      <c r="E183" s="137">
        <f t="shared" si="0"/>
        <v>0</v>
      </c>
      <c r="F183" s="102"/>
      <c r="G183" s="102"/>
      <c r="H183" s="102"/>
      <c r="I183" s="102"/>
      <c r="J183" s="102"/>
      <c r="K183" s="102"/>
      <c r="L183" s="102"/>
      <c r="M183" s="102"/>
      <c r="N183" s="102"/>
      <c r="O183" s="102"/>
      <c r="P183" s="102"/>
      <c r="Q183" s="102"/>
      <c r="R183" s="102"/>
      <c r="S183" s="102"/>
      <c r="T183" s="102"/>
      <c r="U183" s="102"/>
    </row>
    <row r="184" spans="3:21" ht="12.75">
      <c r="C184" s="121"/>
      <c r="D184" s="111"/>
      <c r="E184" s="137">
        <f t="shared" si="0"/>
        <v>0</v>
      </c>
      <c r="F184" s="102"/>
      <c r="G184" s="102"/>
      <c r="H184" s="102"/>
      <c r="I184" s="102"/>
      <c r="J184" s="102"/>
      <c r="K184" s="102"/>
      <c r="L184" s="102"/>
      <c r="M184" s="102"/>
      <c r="N184" s="102"/>
      <c r="O184" s="102"/>
      <c r="P184" s="102"/>
      <c r="Q184" s="102"/>
      <c r="R184" s="102"/>
      <c r="S184" s="102"/>
      <c r="T184" s="102"/>
      <c r="U184" s="102"/>
    </row>
    <row r="185" spans="3:21" ht="12.75">
      <c r="C185" s="121"/>
      <c r="D185" s="111"/>
      <c r="E185" s="137">
        <f t="shared" si="0"/>
        <v>0</v>
      </c>
      <c r="F185" s="102"/>
      <c r="G185" s="102"/>
      <c r="H185" s="102"/>
      <c r="I185" s="102"/>
      <c r="J185" s="102"/>
      <c r="K185" s="102"/>
      <c r="L185" s="102"/>
      <c r="M185" s="102"/>
      <c r="N185" s="102"/>
      <c r="O185" s="102"/>
      <c r="P185" s="102"/>
      <c r="Q185" s="102"/>
      <c r="R185" s="102"/>
      <c r="S185" s="102"/>
      <c r="T185" s="102"/>
      <c r="U185" s="102"/>
    </row>
    <row r="186" spans="3:21" ht="12.75">
      <c r="C186" s="121"/>
      <c r="D186" s="111"/>
      <c r="E186" s="137">
        <f t="shared" si="0"/>
        <v>0</v>
      </c>
      <c r="F186" s="102"/>
      <c r="G186" s="102"/>
      <c r="H186" s="102"/>
      <c r="I186" s="102"/>
      <c r="J186" s="102"/>
      <c r="K186" s="102"/>
      <c r="L186" s="102"/>
      <c r="M186" s="102"/>
      <c r="N186" s="102"/>
      <c r="O186" s="102"/>
      <c r="P186" s="102"/>
      <c r="Q186" s="102"/>
      <c r="R186" s="102"/>
      <c r="S186" s="102"/>
      <c r="T186" s="102"/>
      <c r="U186" s="102"/>
    </row>
    <row r="187" spans="3:21" ht="12.75">
      <c r="C187" s="121"/>
      <c r="D187" s="111"/>
      <c r="E187" s="137">
        <f t="shared" si="0"/>
        <v>0</v>
      </c>
      <c r="F187" s="102"/>
      <c r="G187" s="102"/>
      <c r="H187" s="102"/>
      <c r="I187" s="102"/>
      <c r="J187" s="102"/>
      <c r="K187" s="102"/>
      <c r="L187" s="102"/>
      <c r="M187" s="102"/>
      <c r="N187" s="102"/>
      <c r="O187" s="102"/>
      <c r="P187" s="102"/>
      <c r="Q187" s="102"/>
      <c r="R187" s="102"/>
      <c r="S187" s="102"/>
      <c r="T187" s="102"/>
      <c r="U187" s="102"/>
    </row>
    <row r="188" spans="3:21" ht="12.75">
      <c r="C188" s="121"/>
      <c r="D188" s="111"/>
      <c r="E188" s="137">
        <f t="shared" si="0"/>
        <v>0</v>
      </c>
      <c r="F188" s="102"/>
      <c r="G188" s="102"/>
      <c r="H188" s="102"/>
      <c r="I188" s="102"/>
      <c r="J188" s="102"/>
      <c r="K188" s="102"/>
      <c r="L188" s="102"/>
      <c r="M188" s="102"/>
      <c r="N188" s="102"/>
      <c r="O188" s="102"/>
      <c r="P188" s="102"/>
      <c r="Q188" s="102"/>
      <c r="R188" s="102"/>
      <c r="S188" s="102"/>
      <c r="T188" s="102"/>
      <c r="U188" s="102"/>
    </row>
    <row r="189" spans="3:21" ht="12.75">
      <c r="C189" s="121"/>
      <c r="D189" s="111"/>
      <c r="E189" s="137">
        <f t="shared" si="0"/>
        <v>0</v>
      </c>
      <c r="F189" s="102"/>
      <c r="G189" s="102"/>
      <c r="H189" s="102"/>
      <c r="I189" s="102"/>
      <c r="J189" s="102"/>
      <c r="K189" s="102"/>
      <c r="L189" s="102"/>
      <c r="M189" s="102"/>
      <c r="N189" s="102"/>
      <c r="O189" s="102"/>
      <c r="P189" s="102"/>
      <c r="Q189" s="102"/>
      <c r="R189" s="102"/>
      <c r="S189" s="102"/>
      <c r="T189" s="102"/>
      <c r="U189" s="102"/>
    </row>
    <row r="190" spans="3:21" ht="12.75">
      <c r="C190" s="121"/>
      <c r="D190" s="111"/>
      <c r="E190" s="137">
        <f t="shared" si="0"/>
        <v>0</v>
      </c>
      <c r="F190" s="102"/>
      <c r="G190" s="102"/>
      <c r="H190" s="102"/>
      <c r="I190" s="102"/>
      <c r="J190" s="102"/>
      <c r="K190" s="102"/>
      <c r="L190" s="102"/>
      <c r="M190" s="102"/>
      <c r="N190" s="102"/>
      <c r="O190" s="102"/>
      <c r="P190" s="102"/>
      <c r="Q190" s="102"/>
      <c r="R190" s="102"/>
      <c r="S190" s="102"/>
      <c r="T190" s="102"/>
      <c r="U190" s="102"/>
    </row>
    <row r="191" spans="3:21" ht="12.75">
      <c r="C191" s="121"/>
      <c r="D191" s="111"/>
      <c r="E191" s="137">
        <f t="shared" si="0"/>
        <v>0</v>
      </c>
      <c r="F191" s="102"/>
      <c r="G191" s="102"/>
      <c r="H191" s="102"/>
      <c r="I191" s="102"/>
      <c r="J191" s="102"/>
      <c r="K191" s="102"/>
      <c r="L191" s="102"/>
      <c r="M191" s="102"/>
      <c r="N191" s="102"/>
      <c r="O191" s="102"/>
      <c r="P191" s="102"/>
      <c r="Q191" s="102"/>
      <c r="R191" s="102"/>
      <c r="S191" s="102"/>
      <c r="T191" s="102"/>
      <c r="U191" s="102"/>
    </row>
    <row r="192" spans="3:21" ht="12.75">
      <c r="C192" s="121"/>
      <c r="D192" s="111"/>
      <c r="E192" s="137">
        <f t="shared" si="0"/>
        <v>0</v>
      </c>
      <c r="F192" s="102"/>
      <c r="G192" s="102"/>
      <c r="H192" s="102"/>
      <c r="I192" s="102"/>
      <c r="J192" s="102"/>
      <c r="K192" s="102"/>
      <c r="L192" s="102"/>
      <c r="M192" s="102"/>
      <c r="N192" s="102"/>
      <c r="O192" s="102"/>
      <c r="P192" s="102"/>
      <c r="Q192" s="102"/>
      <c r="R192" s="102"/>
      <c r="S192" s="102"/>
      <c r="T192" s="102"/>
      <c r="U192" s="102"/>
    </row>
    <row r="193" spans="3:21" ht="12.75">
      <c r="C193" s="121"/>
      <c r="D193" s="111"/>
      <c r="E193" s="137">
        <f t="shared" si="0"/>
        <v>0</v>
      </c>
      <c r="F193" s="102"/>
      <c r="G193" s="102"/>
      <c r="H193" s="102"/>
      <c r="I193" s="102"/>
      <c r="J193" s="102"/>
      <c r="K193" s="102"/>
      <c r="L193" s="102"/>
      <c r="M193" s="102"/>
      <c r="N193" s="102"/>
      <c r="O193" s="102"/>
      <c r="P193" s="102"/>
      <c r="Q193" s="102"/>
      <c r="R193" s="102"/>
      <c r="S193" s="102"/>
      <c r="T193" s="102"/>
      <c r="U193" s="102"/>
    </row>
    <row r="194" spans="3:21" ht="12.75">
      <c r="C194" s="121"/>
      <c r="D194" s="111"/>
      <c r="E194" s="137">
        <f t="shared" si="0"/>
        <v>0</v>
      </c>
      <c r="F194" s="102"/>
      <c r="G194" s="102"/>
      <c r="H194" s="102"/>
      <c r="I194" s="102"/>
      <c r="J194" s="102"/>
      <c r="K194" s="102"/>
      <c r="L194" s="102"/>
      <c r="M194" s="102"/>
      <c r="N194" s="102"/>
      <c r="O194" s="102"/>
      <c r="P194" s="102"/>
      <c r="Q194" s="102"/>
      <c r="R194" s="102"/>
      <c r="S194" s="102"/>
      <c r="T194" s="102"/>
      <c r="U194" s="102"/>
    </row>
    <row r="195" spans="3:21" ht="12.75">
      <c r="C195" s="121"/>
      <c r="D195" s="111"/>
      <c r="E195" s="137">
        <f t="shared" si="0"/>
        <v>0</v>
      </c>
      <c r="F195" s="102"/>
      <c r="G195" s="102"/>
      <c r="H195" s="102"/>
      <c r="I195" s="102"/>
      <c r="J195" s="102"/>
      <c r="K195" s="102"/>
      <c r="L195" s="102"/>
      <c r="M195" s="102"/>
      <c r="N195" s="102"/>
      <c r="O195" s="102"/>
      <c r="P195" s="102"/>
      <c r="Q195" s="102"/>
      <c r="R195" s="102"/>
      <c r="S195" s="102"/>
      <c r="T195" s="102"/>
      <c r="U195" s="102"/>
    </row>
    <row r="196" spans="3:21" ht="12.75">
      <c r="C196" s="121"/>
      <c r="D196" s="111"/>
      <c r="E196" s="137">
        <f t="shared" si="0"/>
        <v>0</v>
      </c>
      <c r="F196" s="102"/>
      <c r="G196" s="102"/>
      <c r="H196" s="102"/>
      <c r="I196" s="102"/>
      <c r="J196" s="102"/>
      <c r="K196" s="102"/>
      <c r="L196" s="102"/>
      <c r="M196" s="102"/>
      <c r="N196" s="102"/>
      <c r="O196" s="102"/>
      <c r="P196" s="102"/>
      <c r="Q196" s="102"/>
      <c r="R196" s="102"/>
      <c r="S196" s="102"/>
      <c r="T196" s="102"/>
      <c r="U196" s="102"/>
    </row>
    <row r="197" spans="3:21" ht="12.75">
      <c r="C197" s="121"/>
      <c r="D197" s="111"/>
      <c r="E197" s="137">
        <f t="shared" si="0"/>
        <v>0</v>
      </c>
      <c r="F197" s="102"/>
      <c r="G197" s="102"/>
      <c r="H197" s="102"/>
      <c r="I197" s="102"/>
      <c r="J197" s="102"/>
      <c r="K197" s="102"/>
      <c r="L197" s="102"/>
      <c r="M197" s="102"/>
      <c r="N197" s="102"/>
      <c r="O197" s="102"/>
      <c r="P197" s="102"/>
      <c r="Q197" s="102"/>
      <c r="R197" s="102"/>
      <c r="S197" s="102"/>
      <c r="T197" s="102"/>
      <c r="U197" s="102"/>
    </row>
    <row r="198" spans="3:21" ht="12.75">
      <c r="C198" s="121"/>
      <c r="D198" s="111"/>
      <c r="E198" s="137">
        <f t="shared" si="0"/>
        <v>0</v>
      </c>
      <c r="F198" s="102"/>
      <c r="G198" s="102"/>
      <c r="H198" s="102"/>
      <c r="I198" s="102"/>
      <c r="J198" s="102"/>
      <c r="K198" s="102"/>
      <c r="L198" s="102"/>
      <c r="M198" s="102"/>
      <c r="N198" s="102"/>
      <c r="O198" s="102"/>
      <c r="P198" s="102"/>
      <c r="Q198" s="102"/>
      <c r="R198" s="102"/>
      <c r="S198" s="102"/>
      <c r="T198" s="102"/>
      <c r="U198" s="102"/>
    </row>
    <row r="199" spans="3:21" ht="12.75">
      <c r="C199" s="121"/>
      <c r="D199" s="111"/>
      <c r="E199" s="137">
        <f t="shared" si="0"/>
        <v>0</v>
      </c>
      <c r="F199" s="102"/>
      <c r="G199" s="102"/>
      <c r="H199" s="102"/>
      <c r="I199" s="102"/>
      <c r="J199" s="102"/>
      <c r="K199" s="102"/>
      <c r="L199" s="102"/>
      <c r="M199" s="102"/>
      <c r="N199" s="102"/>
      <c r="O199" s="102"/>
      <c r="P199" s="102"/>
      <c r="Q199" s="102"/>
      <c r="R199" s="102"/>
      <c r="S199" s="102"/>
      <c r="T199" s="102"/>
      <c r="U199" s="102"/>
    </row>
    <row r="200" spans="3:21" ht="12.75">
      <c r="C200" s="121"/>
      <c r="D200" s="111"/>
      <c r="E200" s="137">
        <f t="shared" si="0"/>
        <v>0</v>
      </c>
      <c r="F200" s="102"/>
      <c r="G200" s="102"/>
      <c r="H200" s="102"/>
      <c r="I200" s="102"/>
      <c r="J200" s="102"/>
      <c r="K200" s="102"/>
      <c r="L200" s="102"/>
      <c r="M200" s="102"/>
      <c r="N200" s="102"/>
      <c r="O200" s="102"/>
      <c r="P200" s="102"/>
      <c r="Q200" s="102"/>
      <c r="R200" s="102"/>
      <c r="S200" s="102"/>
      <c r="T200" s="102"/>
      <c r="U200" s="102"/>
    </row>
    <row r="201" spans="3:21" ht="12.75">
      <c r="C201" s="121"/>
      <c r="D201" s="111"/>
      <c r="E201" s="137">
        <f t="shared" si="0"/>
        <v>0</v>
      </c>
      <c r="F201" s="102"/>
      <c r="G201" s="102"/>
      <c r="H201" s="102"/>
      <c r="I201" s="102"/>
      <c r="J201" s="102"/>
      <c r="K201" s="102"/>
      <c r="L201" s="102"/>
      <c r="M201" s="102"/>
      <c r="N201" s="102"/>
      <c r="O201" s="102"/>
      <c r="P201" s="102"/>
      <c r="Q201" s="102"/>
      <c r="R201" s="102"/>
      <c r="S201" s="102"/>
      <c r="T201" s="102"/>
      <c r="U201" s="102"/>
    </row>
    <row r="202" spans="3:21" ht="12.75">
      <c r="C202" s="121"/>
      <c r="D202" s="111"/>
      <c r="E202" s="137">
        <f t="shared" si="0"/>
        <v>0</v>
      </c>
      <c r="F202" s="102"/>
      <c r="G202" s="102"/>
      <c r="H202" s="102"/>
      <c r="I202" s="102"/>
      <c r="J202" s="102"/>
      <c r="K202" s="102"/>
      <c r="L202" s="102"/>
      <c r="M202" s="102"/>
      <c r="N202" s="102"/>
      <c r="O202" s="102"/>
      <c r="P202" s="102"/>
      <c r="Q202" s="102"/>
      <c r="R202" s="102"/>
      <c r="S202" s="102"/>
      <c r="T202" s="102"/>
      <c r="U202" s="102"/>
    </row>
    <row r="203" spans="3:21" ht="12.75">
      <c r="C203" s="121"/>
      <c r="D203" s="111"/>
      <c r="E203" s="137">
        <f t="shared" si="0"/>
        <v>0</v>
      </c>
      <c r="F203" s="102"/>
      <c r="G203" s="102"/>
      <c r="H203" s="102"/>
      <c r="I203" s="102"/>
      <c r="J203" s="102"/>
      <c r="K203" s="102"/>
      <c r="L203" s="102"/>
      <c r="M203" s="102"/>
      <c r="N203" s="102"/>
      <c r="O203" s="102"/>
      <c r="P203" s="102"/>
      <c r="Q203" s="102"/>
      <c r="R203" s="102"/>
      <c r="S203" s="102"/>
      <c r="T203" s="102"/>
      <c r="U203" s="102"/>
    </row>
    <row r="204" spans="3:21" ht="12.75">
      <c r="C204" s="121"/>
      <c r="D204" s="111"/>
      <c r="E204" s="137">
        <f t="shared" si="0"/>
        <v>0</v>
      </c>
      <c r="F204" s="102"/>
      <c r="G204" s="102"/>
      <c r="H204" s="102"/>
      <c r="I204" s="102"/>
      <c r="J204" s="102"/>
      <c r="K204" s="102"/>
      <c r="L204" s="102"/>
      <c r="M204" s="102"/>
      <c r="N204" s="102"/>
      <c r="O204" s="102"/>
      <c r="P204" s="102"/>
      <c r="Q204" s="102"/>
      <c r="R204" s="102"/>
      <c r="S204" s="102"/>
      <c r="T204" s="102"/>
      <c r="U204" s="102"/>
    </row>
    <row r="205" spans="3:21" ht="12.75">
      <c r="C205" s="121"/>
      <c r="D205" s="111"/>
      <c r="E205" s="137">
        <f t="shared" si="0"/>
        <v>0</v>
      </c>
      <c r="F205" s="102"/>
      <c r="G205" s="102"/>
      <c r="H205" s="102"/>
      <c r="I205" s="102"/>
      <c r="J205" s="102"/>
      <c r="K205" s="102"/>
      <c r="L205" s="102"/>
      <c r="M205" s="102"/>
      <c r="N205" s="102"/>
      <c r="O205" s="102"/>
      <c r="P205" s="102"/>
      <c r="Q205" s="102"/>
      <c r="R205" s="102"/>
      <c r="S205" s="102"/>
      <c r="T205" s="102"/>
      <c r="U205" s="102"/>
    </row>
    <row r="206" spans="3:21" ht="12.75">
      <c r="C206" s="121"/>
      <c r="D206" s="111"/>
      <c r="E206" s="137">
        <f t="shared" si="0"/>
        <v>0</v>
      </c>
      <c r="F206" s="102"/>
      <c r="G206" s="102"/>
      <c r="H206" s="102"/>
      <c r="I206" s="102"/>
      <c r="J206" s="102"/>
      <c r="K206" s="102"/>
      <c r="L206" s="102"/>
      <c r="M206" s="102"/>
      <c r="N206" s="102"/>
      <c r="O206" s="102"/>
      <c r="P206" s="102"/>
      <c r="Q206" s="102"/>
      <c r="R206" s="102"/>
      <c r="S206" s="102"/>
      <c r="T206" s="102"/>
      <c r="U206" s="102"/>
    </row>
    <row r="207" spans="3:21" ht="12.75">
      <c r="C207" s="121"/>
      <c r="D207" s="111"/>
      <c r="E207" s="137">
        <f t="shared" si="0"/>
        <v>0</v>
      </c>
      <c r="F207" s="102"/>
      <c r="G207" s="102"/>
      <c r="H207" s="102"/>
      <c r="I207" s="102"/>
      <c r="J207" s="102"/>
      <c r="K207" s="102"/>
      <c r="L207" s="102"/>
      <c r="M207" s="102"/>
      <c r="N207" s="102"/>
      <c r="O207" s="102"/>
      <c r="P207" s="102"/>
      <c r="Q207" s="102"/>
      <c r="R207" s="102"/>
      <c r="S207" s="102"/>
      <c r="T207" s="102"/>
      <c r="U207" s="102"/>
    </row>
    <row r="208" spans="3:21" ht="12.75">
      <c r="C208" s="121"/>
      <c r="D208" s="111"/>
      <c r="E208" s="137">
        <f t="shared" si="0"/>
        <v>0</v>
      </c>
      <c r="F208" s="102"/>
      <c r="G208" s="102"/>
      <c r="H208" s="102"/>
      <c r="I208" s="102"/>
      <c r="J208" s="102"/>
      <c r="K208" s="102"/>
      <c r="L208" s="102"/>
      <c r="M208" s="102"/>
      <c r="N208" s="102"/>
      <c r="O208" s="102"/>
      <c r="P208" s="102"/>
      <c r="Q208" s="102"/>
      <c r="R208" s="102"/>
      <c r="S208" s="102"/>
      <c r="T208" s="102"/>
      <c r="U208" s="102"/>
    </row>
    <row r="209" spans="3:21" ht="12.75">
      <c r="C209" s="121"/>
      <c r="D209" s="111"/>
      <c r="E209" s="137">
        <f t="shared" si="0"/>
        <v>0</v>
      </c>
      <c r="F209" s="102"/>
      <c r="G209" s="102"/>
      <c r="H209" s="102"/>
      <c r="I209" s="102"/>
      <c r="J209" s="102"/>
      <c r="K209" s="102"/>
      <c r="L209" s="102"/>
      <c r="M209" s="102"/>
      <c r="N209" s="102"/>
      <c r="O209" s="102"/>
      <c r="P209" s="102"/>
      <c r="Q209" s="102"/>
      <c r="R209" s="102"/>
      <c r="S209" s="102"/>
      <c r="T209" s="102"/>
      <c r="U209" s="102"/>
    </row>
    <row r="210" spans="3:21" ht="12.75">
      <c r="C210" s="121"/>
      <c r="D210" s="111"/>
      <c r="E210" s="137">
        <f t="shared" si="0"/>
        <v>0</v>
      </c>
      <c r="F210" s="102"/>
      <c r="G210" s="102"/>
      <c r="H210" s="102"/>
      <c r="I210" s="102"/>
      <c r="J210" s="102"/>
      <c r="K210" s="102"/>
      <c r="L210" s="102"/>
      <c r="M210" s="102"/>
      <c r="N210" s="102"/>
      <c r="O210" s="102"/>
      <c r="P210" s="102"/>
      <c r="Q210" s="102"/>
      <c r="R210" s="102"/>
      <c r="S210" s="102"/>
      <c r="T210" s="102"/>
      <c r="U210" s="102"/>
    </row>
    <row r="211" spans="3:21" ht="12.75">
      <c r="C211" s="121"/>
      <c r="D211" s="111"/>
      <c r="E211" s="137">
        <f t="shared" si="0"/>
        <v>0</v>
      </c>
      <c r="F211" s="102"/>
      <c r="G211" s="102"/>
      <c r="H211" s="102"/>
      <c r="I211" s="102"/>
      <c r="J211" s="102"/>
      <c r="K211" s="102"/>
      <c r="L211" s="102"/>
      <c r="M211" s="102"/>
      <c r="N211" s="102"/>
      <c r="O211" s="102"/>
      <c r="P211" s="102"/>
      <c r="Q211" s="102"/>
      <c r="R211" s="102"/>
      <c r="S211" s="102"/>
      <c r="T211" s="102"/>
      <c r="U211" s="102"/>
    </row>
    <row r="212" spans="3:21" ht="12.75">
      <c r="C212" s="121"/>
      <c r="D212" s="111"/>
      <c r="E212" s="137">
        <f t="shared" si="0"/>
        <v>0</v>
      </c>
      <c r="F212" s="102"/>
      <c r="G212" s="102"/>
      <c r="H212" s="102"/>
      <c r="I212" s="102"/>
      <c r="J212" s="102"/>
      <c r="K212" s="102"/>
      <c r="L212" s="102"/>
      <c r="M212" s="102"/>
      <c r="N212" s="102"/>
      <c r="O212" s="102"/>
      <c r="P212" s="102"/>
      <c r="Q212" s="102"/>
      <c r="R212" s="102"/>
      <c r="S212" s="102"/>
      <c r="T212" s="102"/>
      <c r="U212" s="102"/>
    </row>
    <row r="213" spans="3:21" ht="12.75">
      <c r="C213" s="121"/>
      <c r="D213" s="111"/>
      <c r="E213" s="137">
        <f t="shared" si="0"/>
        <v>0</v>
      </c>
      <c r="F213" s="102"/>
      <c r="G213" s="102"/>
      <c r="H213" s="102"/>
      <c r="I213" s="102"/>
      <c r="J213" s="102"/>
      <c r="K213" s="102"/>
      <c r="L213" s="102"/>
      <c r="M213" s="102"/>
      <c r="N213" s="102"/>
      <c r="O213" s="102"/>
      <c r="P213" s="102"/>
      <c r="Q213" s="102"/>
      <c r="R213" s="102"/>
      <c r="S213" s="102"/>
      <c r="T213" s="102"/>
      <c r="U213" s="102"/>
    </row>
    <row r="214" spans="3:21" ht="12.75">
      <c r="C214" s="121"/>
      <c r="D214" s="111"/>
      <c r="E214" s="137">
        <f t="shared" si="0"/>
        <v>0</v>
      </c>
      <c r="F214" s="102"/>
      <c r="G214" s="102"/>
      <c r="H214" s="102"/>
      <c r="I214" s="102"/>
      <c r="J214" s="102"/>
      <c r="K214" s="102"/>
      <c r="L214" s="102"/>
      <c r="M214" s="102"/>
      <c r="N214" s="102"/>
      <c r="O214" s="102"/>
      <c r="P214" s="102"/>
      <c r="Q214" s="102"/>
      <c r="R214" s="102"/>
      <c r="S214" s="102"/>
      <c r="T214" s="102"/>
      <c r="U214" s="102"/>
    </row>
    <row r="215" spans="3:21" ht="12.75">
      <c r="C215" s="121"/>
      <c r="D215" s="111"/>
      <c r="E215" s="137">
        <f t="shared" si="0"/>
        <v>0</v>
      </c>
      <c r="F215" s="102"/>
      <c r="G215" s="102"/>
      <c r="H215" s="102"/>
      <c r="I215" s="102"/>
      <c r="J215" s="102"/>
      <c r="K215" s="102"/>
      <c r="L215" s="102"/>
      <c r="M215" s="102"/>
      <c r="N215" s="102"/>
      <c r="O215" s="102"/>
      <c r="P215" s="102"/>
      <c r="Q215" s="102"/>
      <c r="R215" s="102"/>
      <c r="S215" s="102"/>
      <c r="T215" s="102"/>
      <c r="U215" s="102"/>
    </row>
    <row r="216" spans="3:21" ht="12.75">
      <c r="C216" s="121"/>
      <c r="D216" s="111"/>
      <c r="E216" s="137">
        <f t="shared" si="0"/>
        <v>0</v>
      </c>
      <c r="F216" s="102"/>
      <c r="G216" s="102"/>
      <c r="H216" s="102"/>
      <c r="I216" s="102"/>
      <c r="J216" s="102"/>
      <c r="K216" s="102"/>
      <c r="L216" s="102"/>
      <c r="M216" s="102"/>
      <c r="N216" s="102"/>
      <c r="O216" s="102"/>
      <c r="P216" s="102"/>
      <c r="Q216" s="102"/>
      <c r="R216" s="102"/>
      <c r="S216" s="102"/>
      <c r="T216" s="102"/>
      <c r="U216" s="102"/>
    </row>
    <row r="217" spans="3:21" ht="12.75">
      <c r="C217" s="121"/>
      <c r="D217" s="111"/>
      <c r="E217" s="137">
        <f t="shared" si="0"/>
        <v>0</v>
      </c>
      <c r="F217" s="102"/>
      <c r="G217" s="102"/>
      <c r="H217" s="102"/>
      <c r="I217" s="102"/>
      <c r="J217" s="102"/>
      <c r="K217" s="102"/>
      <c r="L217" s="102"/>
      <c r="M217" s="102"/>
      <c r="N217" s="102"/>
      <c r="O217" s="102"/>
      <c r="P217" s="102"/>
      <c r="Q217" s="102"/>
      <c r="R217" s="102"/>
      <c r="S217" s="102"/>
      <c r="T217" s="102"/>
      <c r="U217" s="102"/>
    </row>
    <row r="218" spans="3:21" ht="12.75">
      <c r="C218" s="121"/>
      <c r="D218" s="111"/>
      <c r="E218" s="137">
        <f t="shared" si="0"/>
        <v>0</v>
      </c>
      <c r="F218" s="102"/>
      <c r="G218" s="102"/>
      <c r="H218" s="102"/>
      <c r="I218" s="102"/>
      <c r="J218" s="102"/>
      <c r="K218" s="102"/>
      <c r="L218" s="102"/>
      <c r="M218" s="102"/>
      <c r="N218" s="102"/>
      <c r="O218" s="102"/>
      <c r="P218" s="102"/>
      <c r="Q218" s="102"/>
      <c r="R218" s="102"/>
      <c r="S218" s="102"/>
      <c r="T218" s="102"/>
      <c r="U218" s="102"/>
    </row>
    <row r="219" spans="3:21" ht="12.75">
      <c r="C219" s="121"/>
      <c r="D219" s="111"/>
      <c r="E219" s="137">
        <f t="shared" si="0"/>
        <v>0</v>
      </c>
      <c r="F219" s="102"/>
      <c r="G219" s="102"/>
      <c r="H219" s="102"/>
      <c r="I219" s="102"/>
      <c r="J219" s="102"/>
      <c r="K219" s="102"/>
      <c r="L219" s="102"/>
      <c r="M219" s="102"/>
      <c r="N219" s="102"/>
      <c r="O219" s="102"/>
      <c r="P219" s="102"/>
      <c r="Q219" s="102"/>
      <c r="R219" s="102"/>
      <c r="S219" s="102"/>
      <c r="T219" s="102"/>
      <c r="U219" s="102"/>
    </row>
    <row r="220" spans="3:21" ht="12.75">
      <c r="C220" s="121"/>
      <c r="D220" s="111"/>
      <c r="E220" s="137">
        <f t="shared" si="0"/>
        <v>0</v>
      </c>
      <c r="F220" s="102"/>
      <c r="G220" s="102"/>
      <c r="H220" s="102"/>
      <c r="I220" s="102"/>
      <c r="J220" s="102"/>
      <c r="K220" s="102"/>
      <c r="L220" s="102"/>
      <c r="M220" s="102"/>
      <c r="N220" s="102"/>
      <c r="O220" s="102"/>
      <c r="P220" s="102"/>
      <c r="Q220" s="102"/>
      <c r="R220" s="102"/>
      <c r="S220" s="102"/>
      <c r="T220" s="102"/>
      <c r="U220" s="102"/>
    </row>
    <row r="221" spans="3:21" ht="12.75">
      <c r="C221" s="121"/>
      <c r="D221" s="111"/>
      <c r="E221" s="137">
        <f t="shared" si="0"/>
        <v>0</v>
      </c>
      <c r="F221" s="102"/>
      <c r="G221" s="102"/>
      <c r="H221" s="102"/>
      <c r="I221" s="102"/>
      <c r="J221" s="102"/>
      <c r="K221" s="102"/>
      <c r="L221" s="102"/>
      <c r="M221" s="102"/>
      <c r="N221" s="102"/>
      <c r="O221" s="102"/>
      <c r="P221" s="102"/>
      <c r="Q221" s="102"/>
      <c r="R221" s="102"/>
      <c r="S221" s="102"/>
      <c r="T221" s="102"/>
      <c r="U221" s="102"/>
    </row>
    <row r="222" spans="3:21" ht="12.75">
      <c r="C222" s="121"/>
      <c r="D222" s="111"/>
      <c r="E222" s="137">
        <f t="shared" si="0"/>
        <v>0</v>
      </c>
      <c r="F222" s="102"/>
      <c r="G222" s="102"/>
      <c r="H222" s="102"/>
      <c r="I222" s="102"/>
      <c r="J222" s="102"/>
      <c r="K222" s="102"/>
      <c r="L222" s="102"/>
      <c r="M222" s="102"/>
      <c r="N222" s="102"/>
      <c r="O222" s="102"/>
      <c r="P222" s="102"/>
      <c r="Q222" s="102"/>
      <c r="R222" s="102"/>
      <c r="S222" s="102"/>
      <c r="T222" s="102"/>
      <c r="U222" s="102"/>
    </row>
    <row r="223" spans="3:21" ht="12.75">
      <c r="C223" s="121"/>
      <c r="D223" s="111"/>
      <c r="E223" s="137">
        <f t="shared" si="0"/>
        <v>0</v>
      </c>
      <c r="F223" s="102"/>
      <c r="G223" s="102"/>
      <c r="H223" s="102"/>
      <c r="I223" s="102"/>
      <c r="J223" s="102"/>
      <c r="K223" s="102"/>
      <c r="L223" s="102"/>
      <c r="M223" s="102"/>
      <c r="N223" s="102"/>
      <c r="O223" s="102"/>
      <c r="P223" s="102"/>
      <c r="Q223" s="102"/>
      <c r="R223" s="102"/>
      <c r="S223" s="102"/>
      <c r="T223" s="102"/>
      <c r="U223" s="102"/>
    </row>
    <row r="224" spans="3:21" ht="12.75">
      <c r="C224" s="121"/>
      <c r="D224" s="111"/>
      <c r="E224" s="137">
        <f t="shared" si="0"/>
        <v>0</v>
      </c>
      <c r="F224" s="102"/>
      <c r="G224" s="102"/>
      <c r="H224" s="102"/>
      <c r="I224" s="102"/>
      <c r="J224" s="102"/>
      <c r="K224" s="102"/>
      <c r="L224" s="102"/>
      <c r="M224" s="102"/>
      <c r="N224" s="102"/>
      <c r="O224" s="102"/>
      <c r="P224" s="102"/>
      <c r="Q224" s="102"/>
      <c r="R224" s="102"/>
      <c r="S224" s="102"/>
      <c r="T224" s="102"/>
      <c r="U224" s="102"/>
    </row>
    <row r="225" spans="3:21" ht="12.75">
      <c r="C225" s="121"/>
      <c r="D225" s="111"/>
      <c r="E225" s="137">
        <f t="shared" si="0"/>
        <v>0</v>
      </c>
      <c r="F225" s="102"/>
      <c r="G225" s="102"/>
      <c r="H225" s="102"/>
      <c r="I225" s="102"/>
      <c r="J225" s="102"/>
      <c r="K225" s="102"/>
      <c r="L225" s="102"/>
      <c r="M225" s="102"/>
      <c r="N225" s="102"/>
      <c r="O225" s="102"/>
      <c r="P225" s="102"/>
      <c r="Q225" s="102"/>
      <c r="R225" s="102"/>
      <c r="S225" s="102"/>
      <c r="T225" s="102"/>
      <c r="U225" s="102"/>
    </row>
    <row r="226" spans="3:21" ht="12.75">
      <c r="C226" s="121"/>
      <c r="D226" s="111"/>
      <c r="E226" s="137">
        <f t="shared" si="0"/>
        <v>0</v>
      </c>
      <c r="F226" s="102"/>
      <c r="G226" s="102"/>
      <c r="H226" s="102"/>
      <c r="I226" s="102"/>
      <c r="J226" s="102"/>
      <c r="K226" s="102"/>
      <c r="L226" s="102"/>
      <c r="M226" s="102"/>
      <c r="N226" s="102"/>
      <c r="O226" s="102"/>
      <c r="P226" s="102"/>
      <c r="Q226" s="102"/>
      <c r="R226" s="102"/>
      <c r="S226" s="102"/>
      <c r="T226" s="102"/>
      <c r="U226" s="102"/>
    </row>
    <row r="227" spans="3:21" ht="12.75">
      <c r="C227" s="121"/>
      <c r="D227" s="111"/>
      <c r="E227" s="137">
        <f t="shared" si="0"/>
        <v>0</v>
      </c>
      <c r="F227" s="102"/>
      <c r="G227" s="102"/>
      <c r="H227" s="102"/>
      <c r="I227" s="102"/>
      <c r="J227" s="102"/>
      <c r="K227" s="102"/>
      <c r="L227" s="102"/>
      <c r="M227" s="102"/>
      <c r="N227" s="102"/>
      <c r="O227" s="102"/>
      <c r="P227" s="102"/>
      <c r="Q227" s="102"/>
      <c r="R227" s="102"/>
      <c r="S227" s="102"/>
      <c r="T227" s="102"/>
      <c r="U227" s="102"/>
    </row>
    <row r="228" spans="3:21" ht="12.75">
      <c r="C228" s="121"/>
      <c r="D228" s="111"/>
      <c r="E228" s="137">
        <f t="shared" si="0"/>
        <v>0</v>
      </c>
      <c r="F228" s="102"/>
      <c r="G228" s="102"/>
      <c r="H228" s="102"/>
      <c r="I228" s="102"/>
      <c r="J228" s="102"/>
      <c r="K228" s="102"/>
      <c r="L228" s="102"/>
      <c r="M228" s="102"/>
      <c r="N228" s="102"/>
      <c r="O228" s="102"/>
      <c r="P228" s="102"/>
      <c r="Q228" s="102"/>
      <c r="R228" s="102"/>
      <c r="S228" s="102"/>
      <c r="T228" s="102"/>
      <c r="U228" s="102"/>
    </row>
    <row r="229" spans="3:21" ht="12.75">
      <c r="C229" s="121"/>
      <c r="D229" s="111"/>
      <c r="E229" s="137">
        <f t="shared" si="0"/>
        <v>0</v>
      </c>
      <c r="F229" s="102"/>
      <c r="G229" s="102"/>
      <c r="H229" s="102"/>
      <c r="I229" s="102"/>
      <c r="J229" s="102"/>
      <c r="K229" s="102"/>
      <c r="L229" s="102"/>
      <c r="M229" s="102"/>
      <c r="N229" s="102"/>
      <c r="O229" s="102"/>
      <c r="P229" s="102"/>
      <c r="Q229" s="102"/>
      <c r="R229" s="102"/>
      <c r="S229" s="102"/>
      <c r="T229" s="102"/>
      <c r="U229" s="102"/>
    </row>
    <row r="230" spans="3:21" ht="12.75">
      <c r="C230" s="121"/>
      <c r="D230" s="111"/>
      <c r="E230" s="137">
        <f t="shared" si="0"/>
        <v>0</v>
      </c>
      <c r="F230" s="102"/>
      <c r="G230" s="102"/>
      <c r="H230" s="102"/>
      <c r="I230" s="102"/>
      <c r="J230" s="102"/>
      <c r="K230" s="102"/>
      <c r="L230" s="102"/>
      <c r="M230" s="102"/>
      <c r="N230" s="102"/>
      <c r="O230" s="102"/>
      <c r="P230" s="102"/>
      <c r="Q230" s="102"/>
      <c r="R230" s="102"/>
      <c r="S230" s="102"/>
      <c r="T230" s="102"/>
      <c r="U230" s="102"/>
    </row>
    <row r="231" spans="3:21" ht="12.75">
      <c r="C231" s="121"/>
      <c r="D231" s="111"/>
      <c r="E231" s="137">
        <f t="shared" si="0"/>
        <v>0</v>
      </c>
      <c r="F231" s="102"/>
      <c r="G231" s="102"/>
      <c r="H231" s="102"/>
      <c r="I231" s="102"/>
      <c r="J231" s="102"/>
      <c r="K231" s="102"/>
      <c r="L231" s="102"/>
      <c r="M231" s="102"/>
      <c r="N231" s="102"/>
      <c r="O231" s="102"/>
      <c r="P231" s="102"/>
      <c r="Q231" s="102"/>
      <c r="R231" s="102"/>
      <c r="S231" s="102"/>
      <c r="T231" s="102"/>
      <c r="U231" s="102"/>
    </row>
    <row r="232" spans="3:21" ht="12.75">
      <c r="C232" s="121"/>
      <c r="D232" s="111"/>
      <c r="E232" s="137">
        <f t="shared" si="0"/>
        <v>0</v>
      </c>
      <c r="F232" s="102"/>
      <c r="G232" s="102"/>
      <c r="H232" s="102"/>
      <c r="I232" s="102"/>
      <c r="J232" s="102"/>
      <c r="K232" s="102"/>
      <c r="L232" s="102"/>
      <c r="M232" s="102"/>
      <c r="N232" s="102"/>
      <c r="O232" s="102"/>
      <c r="P232" s="102"/>
      <c r="Q232" s="102"/>
      <c r="R232" s="102"/>
      <c r="S232" s="102"/>
      <c r="T232" s="102"/>
      <c r="U232" s="102"/>
    </row>
    <row r="233" spans="3:21" ht="12.75">
      <c r="C233" s="121"/>
      <c r="D233" s="111"/>
      <c r="E233" s="137">
        <f t="shared" si="0"/>
        <v>0</v>
      </c>
      <c r="F233" s="102"/>
      <c r="G233" s="102"/>
      <c r="H233" s="102"/>
      <c r="I233" s="102"/>
      <c r="J233" s="102"/>
      <c r="K233" s="102"/>
      <c r="L233" s="102"/>
      <c r="M233" s="102"/>
      <c r="N233" s="102"/>
      <c r="O233" s="102"/>
      <c r="P233" s="102"/>
      <c r="Q233" s="102"/>
      <c r="R233" s="102"/>
      <c r="S233" s="102"/>
      <c r="T233" s="102"/>
      <c r="U233" s="102"/>
    </row>
    <row r="234" spans="3:21" ht="12.75">
      <c r="C234" s="121"/>
      <c r="D234" s="111"/>
      <c r="E234" s="137">
        <f t="shared" si="0"/>
        <v>0</v>
      </c>
      <c r="F234" s="102"/>
      <c r="G234" s="102"/>
      <c r="H234" s="102"/>
      <c r="I234" s="102"/>
      <c r="J234" s="102"/>
      <c r="K234" s="102"/>
      <c r="L234" s="102"/>
      <c r="M234" s="102"/>
      <c r="N234" s="102"/>
      <c r="O234" s="102"/>
      <c r="P234" s="102"/>
      <c r="Q234" s="102"/>
      <c r="R234" s="102"/>
      <c r="S234" s="102"/>
      <c r="T234" s="102"/>
      <c r="U234" s="102"/>
    </row>
    <row r="235" spans="3:21" ht="12.75">
      <c r="C235" s="121"/>
      <c r="D235" s="111"/>
      <c r="E235" s="137">
        <f t="shared" si="0"/>
        <v>0</v>
      </c>
      <c r="F235" s="102"/>
      <c r="G235" s="102"/>
      <c r="H235" s="102"/>
      <c r="I235" s="102"/>
      <c r="J235" s="102"/>
      <c r="K235" s="102"/>
      <c r="L235" s="102"/>
      <c r="M235" s="102"/>
      <c r="N235" s="102"/>
      <c r="O235" s="102"/>
      <c r="P235" s="102"/>
      <c r="Q235" s="102"/>
      <c r="R235" s="102"/>
      <c r="S235" s="102"/>
      <c r="T235" s="102"/>
      <c r="U235" s="102"/>
    </row>
    <row r="236" spans="3:21" ht="12.75">
      <c r="C236" s="121"/>
      <c r="D236" s="111"/>
      <c r="E236" s="137">
        <f t="shared" si="0"/>
        <v>0</v>
      </c>
      <c r="F236" s="102"/>
      <c r="G236" s="102"/>
      <c r="H236" s="102"/>
      <c r="I236" s="102"/>
      <c r="J236" s="102"/>
      <c r="K236" s="102"/>
      <c r="L236" s="102"/>
      <c r="M236" s="102"/>
      <c r="N236" s="102"/>
      <c r="O236" s="102"/>
      <c r="P236" s="102"/>
      <c r="Q236" s="102"/>
      <c r="R236" s="102"/>
      <c r="S236" s="102"/>
      <c r="T236" s="102"/>
      <c r="U236" s="102"/>
    </row>
    <row r="237" spans="3:21" ht="12.75">
      <c r="C237" s="121"/>
      <c r="D237" s="111"/>
      <c r="E237" s="137">
        <f t="shared" si="0"/>
        <v>0</v>
      </c>
      <c r="F237" s="102"/>
      <c r="G237" s="102"/>
      <c r="H237" s="102"/>
      <c r="I237" s="102"/>
      <c r="J237" s="102"/>
      <c r="K237" s="102"/>
      <c r="L237" s="102"/>
      <c r="M237" s="102"/>
      <c r="N237" s="102"/>
      <c r="O237" s="102"/>
      <c r="P237" s="102"/>
      <c r="Q237" s="102"/>
      <c r="R237" s="102"/>
      <c r="S237" s="102"/>
      <c r="T237" s="102"/>
      <c r="U237" s="102"/>
    </row>
    <row r="238" spans="3:21" ht="12.75">
      <c r="C238" s="121"/>
      <c r="D238" s="111"/>
      <c r="E238" s="137">
        <f t="shared" si="0"/>
        <v>0</v>
      </c>
      <c r="F238" s="102"/>
      <c r="G238" s="102"/>
      <c r="H238" s="102"/>
      <c r="I238" s="102"/>
      <c r="J238" s="102"/>
      <c r="K238" s="102"/>
      <c r="L238" s="102"/>
      <c r="M238" s="102"/>
      <c r="N238" s="102"/>
      <c r="O238" s="102"/>
      <c r="P238" s="102"/>
      <c r="Q238" s="102"/>
      <c r="R238" s="102"/>
      <c r="S238" s="102"/>
      <c r="T238" s="102"/>
      <c r="U238" s="102"/>
    </row>
    <row r="239" spans="3:21" ht="12.75">
      <c r="C239" s="121"/>
      <c r="D239" s="111"/>
      <c r="E239" s="137">
        <f t="shared" si="0"/>
        <v>0</v>
      </c>
      <c r="F239" s="102"/>
      <c r="G239" s="102"/>
      <c r="H239" s="102"/>
      <c r="I239" s="102"/>
      <c r="J239" s="102"/>
      <c r="K239" s="102"/>
      <c r="L239" s="102"/>
      <c r="M239" s="102"/>
      <c r="N239" s="102"/>
      <c r="O239" s="102"/>
      <c r="P239" s="102"/>
      <c r="Q239" s="102"/>
      <c r="R239" s="102"/>
      <c r="S239" s="102"/>
      <c r="T239" s="102"/>
      <c r="U239" s="102"/>
    </row>
    <row r="240" spans="3:21" ht="12.75">
      <c r="C240" s="121"/>
      <c r="D240" s="111"/>
      <c r="E240" s="137">
        <f t="shared" si="0"/>
        <v>0</v>
      </c>
      <c r="F240" s="102"/>
      <c r="G240" s="102"/>
      <c r="H240" s="102"/>
      <c r="I240" s="102"/>
      <c r="J240" s="102"/>
      <c r="K240" s="102"/>
      <c r="L240" s="102"/>
      <c r="M240" s="102"/>
      <c r="N240" s="102"/>
      <c r="O240" s="102"/>
      <c r="P240" s="102"/>
      <c r="Q240" s="102"/>
      <c r="R240" s="102"/>
      <c r="S240" s="102"/>
      <c r="T240" s="102"/>
      <c r="U240" s="102"/>
    </row>
    <row r="241" spans="3:21" ht="12.75">
      <c r="C241" s="121"/>
      <c r="D241" s="111"/>
      <c r="E241" s="137">
        <f t="shared" si="0"/>
        <v>0</v>
      </c>
      <c r="F241" s="102"/>
      <c r="G241" s="102"/>
      <c r="H241" s="102"/>
      <c r="I241" s="102"/>
      <c r="J241" s="102"/>
      <c r="K241" s="102"/>
      <c r="L241" s="102"/>
      <c r="M241" s="102"/>
      <c r="N241" s="102"/>
      <c r="O241" s="102"/>
      <c r="P241" s="102"/>
      <c r="Q241" s="102"/>
      <c r="R241" s="102"/>
      <c r="S241" s="102"/>
      <c r="T241" s="102"/>
      <c r="U241" s="102"/>
    </row>
    <row r="242" spans="3:21" ht="12.75">
      <c r="C242" s="121"/>
      <c r="D242" s="111"/>
      <c r="E242" s="137">
        <f t="shared" si="0"/>
        <v>0</v>
      </c>
      <c r="F242" s="102"/>
      <c r="G242" s="102"/>
      <c r="H242" s="102"/>
      <c r="I242" s="102"/>
      <c r="J242" s="102"/>
      <c r="K242" s="102"/>
      <c r="L242" s="102"/>
      <c r="M242" s="102"/>
      <c r="N242" s="102"/>
      <c r="O242" s="102"/>
      <c r="P242" s="102"/>
      <c r="Q242" s="102"/>
      <c r="R242" s="102"/>
      <c r="S242" s="102"/>
      <c r="T242" s="102"/>
      <c r="U242" s="102"/>
    </row>
    <row r="243" spans="3:21" ht="12.75">
      <c r="C243" s="121"/>
      <c r="D243" s="111"/>
      <c r="E243" s="137">
        <f t="shared" si="0"/>
        <v>0</v>
      </c>
      <c r="F243" s="102"/>
      <c r="G243" s="102"/>
      <c r="H243" s="102"/>
      <c r="I243" s="102"/>
      <c r="J243" s="102"/>
      <c r="K243" s="102"/>
      <c r="L243" s="102"/>
      <c r="M243" s="102"/>
      <c r="N243" s="102"/>
      <c r="O243" s="102"/>
      <c r="P243" s="102"/>
      <c r="Q243" s="102"/>
      <c r="R243" s="102"/>
      <c r="S243" s="102"/>
      <c r="T243" s="102"/>
      <c r="U243" s="102"/>
    </row>
    <row r="244" spans="3:21" ht="12.75">
      <c r="C244" s="121"/>
      <c r="D244" s="111"/>
      <c r="E244" s="137">
        <f t="shared" si="0"/>
        <v>0</v>
      </c>
      <c r="F244" s="102"/>
      <c r="G244" s="102"/>
      <c r="H244" s="102"/>
      <c r="I244" s="102"/>
      <c r="J244" s="102"/>
      <c r="K244" s="102"/>
      <c r="L244" s="102"/>
      <c r="M244" s="102"/>
      <c r="N244" s="102"/>
      <c r="O244" s="102"/>
      <c r="P244" s="102"/>
      <c r="Q244" s="102"/>
      <c r="R244" s="102"/>
      <c r="S244" s="102"/>
      <c r="T244" s="102"/>
      <c r="U244" s="102"/>
    </row>
    <row r="245" spans="3:21" ht="12.75">
      <c r="C245" s="121"/>
      <c r="D245" s="111"/>
      <c r="E245" s="137">
        <f t="shared" si="0"/>
        <v>0</v>
      </c>
      <c r="F245" s="102"/>
      <c r="G245" s="102"/>
      <c r="H245" s="102"/>
      <c r="I245" s="102"/>
      <c r="J245" s="102"/>
      <c r="K245" s="102"/>
      <c r="L245" s="102"/>
      <c r="M245" s="102"/>
      <c r="N245" s="102"/>
      <c r="O245" s="102"/>
      <c r="P245" s="102"/>
      <c r="Q245" s="102"/>
      <c r="R245" s="102"/>
      <c r="S245" s="102"/>
      <c r="T245" s="102"/>
      <c r="U245" s="102"/>
    </row>
    <row r="246" spans="3:21" ht="12.75">
      <c r="C246" s="121"/>
      <c r="D246" s="111"/>
      <c r="E246" s="137">
        <f t="shared" si="0"/>
        <v>0</v>
      </c>
      <c r="F246" s="102"/>
      <c r="G246" s="102"/>
      <c r="H246" s="102"/>
      <c r="I246" s="102"/>
      <c r="J246" s="102"/>
      <c r="K246" s="102"/>
      <c r="L246" s="102"/>
      <c r="M246" s="102"/>
      <c r="N246" s="102"/>
      <c r="O246" s="102"/>
      <c r="P246" s="102"/>
      <c r="Q246" s="102"/>
      <c r="R246" s="102"/>
      <c r="S246" s="102"/>
      <c r="T246" s="102"/>
      <c r="U246" s="102"/>
    </row>
    <row r="247" spans="3:21" ht="12.75">
      <c r="C247" s="121"/>
      <c r="D247" s="111"/>
      <c r="E247" s="137">
        <f t="shared" si="0"/>
        <v>0</v>
      </c>
      <c r="F247" s="102"/>
      <c r="G247" s="102"/>
      <c r="H247" s="102"/>
      <c r="I247" s="102"/>
      <c r="J247" s="102"/>
      <c r="K247" s="102"/>
      <c r="L247" s="102"/>
      <c r="M247" s="102"/>
      <c r="N247" s="102"/>
      <c r="O247" s="102"/>
      <c r="P247" s="102"/>
      <c r="Q247" s="102"/>
      <c r="R247" s="102"/>
      <c r="S247" s="102"/>
      <c r="T247" s="102"/>
      <c r="U247" s="102"/>
    </row>
    <row r="248" spans="3:21" ht="12.75">
      <c r="C248" s="121"/>
      <c r="D248" s="111"/>
      <c r="E248" s="137">
        <f t="shared" si="0"/>
        <v>0</v>
      </c>
      <c r="F248" s="102"/>
      <c r="G248" s="102"/>
      <c r="H248" s="102"/>
      <c r="I248" s="102"/>
      <c r="J248" s="102"/>
      <c r="K248" s="102"/>
      <c r="L248" s="102"/>
      <c r="M248" s="102"/>
      <c r="N248" s="102"/>
      <c r="O248" s="102"/>
      <c r="P248" s="102"/>
      <c r="Q248" s="102"/>
      <c r="R248" s="102"/>
      <c r="S248" s="102"/>
      <c r="T248" s="102"/>
      <c r="U248" s="102"/>
    </row>
    <row r="249" spans="3:21" ht="12.75">
      <c r="C249" s="121"/>
      <c r="D249" s="111"/>
      <c r="E249" s="137">
        <f t="shared" si="0"/>
        <v>0</v>
      </c>
      <c r="F249" s="102"/>
      <c r="G249" s="102"/>
      <c r="H249" s="102"/>
      <c r="I249" s="102"/>
      <c r="J249" s="102"/>
      <c r="K249" s="102"/>
      <c r="L249" s="102"/>
      <c r="M249" s="102"/>
      <c r="N249" s="102"/>
      <c r="O249" s="102"/>
      <c r="P249" s="102"/>
      <c r="Q249" s="102"/>
      <c r="R249" s="102"/>
      <c r="S249" s="102"/>
      <c r="T249" s="102"/>
      <c r="U249" s="102"/>
    </row>
    <row r="250" spans="3:21" ht="12.75">
      <c r="C250" s="121"/>
      <c r="D250" s="111"/>
      <c r="E250" s="137">
        <f t="shared" si="0"/>
        <v>0</v>
      </c>
      <c r="F250" s="102"/>
      <c r="G250" s="102"/>
      <c r="H250" s="102"/>
      <c r="I250" s="102"/>
      <c r="J250" s="102"/>
      <c r="K250" s="102"/>
      <c r="L250" s="102"/>
      <c r="M250" s="102"/>
      <c r="N250" s="102"/>
      <c r="O250" s="102"/>
      <c r="P250" s="102"/>
      <c r="Q250" s="102"/>
      <c r="R250" s="102"/>
      <c r="S250" s="102"/>
      <c r="T250" s="102"/>
      <c r="U250" s="102"/>
    </row>
    <row r="251" spans="3:21" ht="12.75">
      <c r="C251" s="121"/>
      <c r="D251" s="111"/>
      <c r="E251" s="137">
        <f t="shared" si="0"/>
        <v>0</v>
      </c>
      <c r="F251" s="102"/>
      <c r="G251" s="102"/>
      <c r="H251" s="102"/>
      <c r="I251" s="102"/>
      <c r="J251" s="102"/>
      <c r="K251" s="102"/>
      <c r="L251" s="102"/>
      <c r="M251" s="102"/>
      <c r="N251" s="102"/>
      <c r="O251" s="102"/>
      <c r="P251" s="102"/>
      <c r="Q251" s="102"/>
      <c r="R251" s="102"/>
      <c r="S251" s="102"/>
      <c r="T251" s="102"/>
      <c r="U251" s="102"/>
    </row>
    <row r="252" spans="3:21" ht="12.75">
      <c r="C252" s="121"/>
      <c r="D252" s="111"/>
      <c r="E252" s="137">
        <f t="shared" si="0"/>
        <v>0</v>
      </c>
      <c r="F252" s="102"/>
      <c r="G252" s="102"/>
      <c r="H252" s="102"/>
      <c r="I252" s="102"/>
      <c r="J252" s="102"/>
      <c r="K252" s="102"/>
      <c r="L252" s="102"/>
      <c r="M252" s="102"/>
      <c r="N252" s="102"/>
      <c r="O252" s="102"/>
      <c r="P252" s="102"/>
      <c r="Q252" s="102"/>
      <c r="R252" s="102"/>
      <c r="S252" s="102"/>
      <c r="T252" s="102"/>
      <c r="U252" s="102"/>
    </row>
    <row r="253" spans="3:21" ht="12.75">
      <c r="C253" s="121"/>
      <c r="D253" s="111"/>
      <c r="E253" s="137">
        <f t="shared" si="0"/>
        <v>0</v>
      </c>
      <c r="F253" s="102"/>
      <c r="G253" s="102"/>
      <c r="H253" s="102"/>
      <c r="I253" s="102"/>
      <c r="J253" s="102"/>
      <c r="K253" s="102"/>
      <c r="L253" s="102"/>
      <c r="M253" s="102"/>
      <c r="N253" s="102"/>
      <c r="O253" s="102"/>
      <c r="P253" s="102"/>
      <c r="Q253" s="102"/>
      <c r="R253" s="102"/>
      <c r="S253" s="102"/>
      <c r="T253" s="102"/>
      <c r="U253" s="102"/>
    </row>
    <row r="254" spans="3:21" ht="12.75">
      <c r="C254" s="121"/>
      <c r="D254" s="111"/>
      <c r="E254" s="137">
        <f t="shared" si="0"/>
        <v>0</v>
      </c>
      <c r="F254" s="102"/>
      <c r="G254" s="102"/>
      <c r="H254" s="102"/>
      <c r="I254" s="102"/>
      <c r="J254" s="102"/>
      <c r="K254" s="102"/>
      <c r="L254" s="102"/>
      <c r="M254" s="102"/>
      <c r="N254" s="102"/>
      <c r="O254" s="102"/>
      <c r="P254" s="102"/>
      <c r="Q254" s="102"/>
      <c r="R254" s="102"/>
      <c r="S254" s="102"/>
      <c r="T254" s="102"/>
      <c r="U254" s="102"/>
    </row>
    <row r="255" spans="3:21" ht="12.75">
      <c r="C255" s="121"/>
      <c r="D255" s="111"/>
      <c r="E255" s="137">
        <f t="shared" si="0"/>
        <v>0</v>
      </c>
      <c r="F255" s="102"/>
      <c r="G255" s="102"/>
      <c r="H255" s="102"/>
      <c r="I255" s="102"/>
      <c r="J255" s="102"/>
      <c r="K255" s="102"/>
      <c r="L255" s="102"/>
      <c r="M255" s="102"/>
      <c r="N255" s="102"/>
      <c r="O255" s="102"/>
      <c r="P255" s="102"/>
      <c r="Q255" s="102"/>
      <c r="R255" s="102"/>
      <c r="S255" s="102"/>
      <c r="T255" s="102"/>
      <c r="U255" s="102"/>
    </row>
    <row r="256" spans="3:21" ht="12.75">
      <c r="C256" s="121"/>
      <c r="D256" s="111"/>
      <c r="E256" s="137">
        <f t="shared" si="0"/>
        <v>0</v>
      </c>
      <c r="F256" s="102"/>
      <c r="G256" s="102"/>
      <c r="H256" s="102"/>
      <c r="I256" s="102"/>
      <c r="J256" s="102"/>
      <c r="K256" s="102"/>
      <c r="L256" s="102"/>
      <c r="M256" s="102"/>
      <c r="N256" s="102"/>
      <c r="O256" s="102"/>
      <c r="P256" s="102"/>
      <c r="Q256" s="102"/>
      <c r="R256" s="102"/>
      <c r="S256" s="102"/>
      <c r="T256" s="102"/>
      <c r="U256" s="102"/>
    </row>
    <row r="257" spans="3:21" ht="12.75">
      <c r="C257" s="121"/>
      <c r="D257" s="111"/>
      <c r="E257" s="137">
        <f t="shared" ref="E257:E511" si="1">COUNTIF(F257:U257,"Yes")</f>
        <v>0</v>
      </c>
      <c r="F257" s="102"/>
      <c r="G257" s="102"/>
      <c r="H257" s="102"/>
      <c r="I257" s="102"/>
      <c r="J257" s="102"/>
      <c r="K257" s="102"/>
      <c r="L257" s="102"/>
      <c r="M257" s="102"/>
      <c r="N257" s="102"/>
      <c r="O257" s="102"/>
      <c r="P257" s="102"/>
      <c r="Q257" s="102"/>
      <c r="R257" s="102"/>
      <c r="S257" s="102"/>
      <c r="T257" s="102"/>
      <c r="U257" s="102"/>
    </row>
    <row r="258" spans="3:21" ht="12.75">
      <c r="C258" s="121"/>
      <c r="D258" s="111"/>
      <c r="E258" s="137">
        <f t="shared" si="1"/>
        <v>0</v>
      </c>
      <c r="F258" s="102"/>
      <c r="G258" s="102"/>
      <c r="H258" s="102"/>
      <c r="I258" s="102"/>
      <c r="J258" s="102"/>
      <c r="K258" s="102"/>
      <c r="L258" s="102"/>
      <c r="M258" s="102"/>
      <c r="N258" s="102"/>
      <c r="O258" s="102"/>
      <c r="P258" s="102"/>
      <c r="Q258" s="102"/>
      <c r="R258" s="102"/>
      <c r="S258" s="102"/>
      <c r="T258" s="102"/>
      <c r="U258" s="102"/>
    </row>
    <row r="259" spans="3:21" ht="12.75">
      <c r="C259" s="121"/>
      <c r="D259" s="111"/>
      <c r="E259" s="137">
        <f t="shared" si="1"/>
        <v>0</v>
      </c>
      <c r="F259" s="102"/>
      <c r="G259" s="102"/>
      <c r="H259" s="102"/>
      <c r="I259" s="102"/>
      <c r="J259" s="102"/>
      <c r="K259" s="102"/>
      <c r="L259" s="102"/>
      <c r="M259" s="102"/>
      <c r="N259" s="102"/>
      <c r="O259" s="102"/>
      <c r="P259" s="102"/>
      <c r="Q259" s="102"/>
      <c r="R259" s="102"/>
      <c r="S259" s="102"/>
      <c r="T259" s="102"/>
      <c r="U259" s="102"/>
    </row>
    <row r="260" spans="3:21" ht="12.75">
      <c r="C260" s="121"/>
      <c r="D260" s="111"/>
      <c r="E260" s="137">
        <f t="shared" si="1"/>
        <v>0</v>
      </c>
      <c r="F260" s="102"/>
      <c r="G260" s="102"/>
      <c r="H260" s="102"/>
      <c r="I260" s="102"/>
      <c r="J260" s="102"/>
      <c r="K260" s="102"/>
      <c r="L260" s="102"/>
      <c r="M260" s="102"/>
      <c r="N260" s="102"/>
      <c r="O260" s="102"/>
      <c r="P260" s="102"/>
      <c r="Q260" s="102"/>
      <c r="R260" s="102"/>
      <c r="S260" s="102"/>
      <c r="T260" s="102"/>
      <c r="U260" s="102"/>
    </row>
    <row r="261" spans="3:21" ht="12.75">
      <c r="C261" s="121"/>
      <c r="D261" s="111"/>
      <c r="E261" s="137">
        <f t="shared" si="1"/>
        <v>0</v>
      </c>
      <c r="F261" s="102"/>
      <c r="G261" s="102"/>
      <c r="H261" s="102"/>
      <c r="I261" s="102"/>
      <c r="J261" s="102"/>
      <c r="K261" s="102"/>
      <c r="L261" s="102"/>
      <c r="M261" s="102"/>
      <c r="N261" s="102"/>
      <c r="O261" s="102"/>
      <c r="P261" s="102"/>
      <c r="Q261" s="102"/>
      <c r="R261" s="102"/>
      <c r="S261" s="102"/>
      <c r="T261" s="102"/>
      <c r="U261" s="102"/>
    </row>
    <row r="262" spans="3:21" ht="12.75">
      <c r="C262" s="121"/>
      <c r="D262" s="111"/>
      <c r="E262" s="137">
        <f t="shared" si="1"/>
        <v>0</v>
      </c>
      <c r="F262" s="102"/>
      <c r="G262" s="102"/>
      <c r="H262" s="102"/>
      <c r="I262" s="102"/>
      <c r="J262" s="102"/>
      <c r="K262" s="102"/>
      <c r="L262" s="102"/>
      <c r="M262" s="102"/>
      <c r="N262" s="102"/>
      <c r="O262" s="102"/>
      <c r="P262" s="102"/>
      <c r="Q262" s="102"/>
      <c r="R262" s="102"/>
      <c r="S262" s="102"/>
      <c r="T262" s="102"/>
      <c r="U262" s="102"/>
    </row>
    <row r="263" spans="3:21" ht="12.75">
      <c r="C263" s="121"/>
      <c r="D263" s="111"/>
      <c r="E263" s="137">
        <f t="shared" si="1"/>
        <v>0</v>
      </c>
      <c r="F263" s="102"/>
      <c r="G263" s="102"/>
      <c r="H263" s="102"/>
      <c r="I263" s="102"/>
      <c r="J263" s="102"/>
      <c r="K263" s="102"/>
      <c r="L263" s="102"/>
      <c r="M263" s="102"/>
      <c r="N263" s="102"/>
      <c r="O263" s="102"/>
      <c r="P263" s="102"/>
      <c r="Q263" s="102"/>
      <c r="R263" s="102"/>
      <c r="S263" s="102"/>
      <c r="T263" s="102"/>
      <c r="U263" s="102"/>
    </row>
    <row r="264" spans="3:21" ht="12.75">
      <c r="C264" s="121"/>
      <c r="D264" s="111"/>
      <c r="E264" s="137">
        <f t="shared" si="1"/>
        <v>0</v>
      </c>
      <c r="F264" s="102"/>
      <c r="G264" s="102"/>
      <c r="H264" s="102"/>
      <c r="I264" s="102"/>
      <c r="J264" s="102"/>
      <c r="K264" s="102"/>
      <c r="L264" s="102"/>
      <c r="M264" s="102"/>
      <c r="N264" s="102"/>
      <c r="O264" s="102"/>
      <c r="P264" s="102"/>
      <c r="Q264" s="102"/>
      <c r="R264" s="102"/>
      <c r="S264" s="102"/>
      <c r="T264" s="102"/>
      <c r="U264" s="102"/>
    </row>
    <row r="265" spans="3:21" ht="12.75">
      <c r="C265" s="121"/>
      <c r="D265" s="111"/>
      <c r="E265" s="137">
        <f t="shared" si="1"/>
        <v>0</v>
      </c>
      <c r="F265" s="102"/>
      <c r="G265" s="102"/>
      <c r="H265" s="102"/>
      <c r="I265" s="102"/>
      <c r="J265" s="102"/>
      <c r="K265" s="102"/>
      <c r="L265" s="102"/>
      <c r="M265" s="102"/>
      <c r="N265" s="102"/>
      <c r="O265" s="102"/>
      <c r="P265" s="102"/>
      <c r="Q265" s="102"/>
      <c r="R265" s="102"/>
      <c r="S265" s="102"/>
      <c r="T265" s="102"/>
      <c r="U265" s="102"/>
    </row>
    <row r="266" spans="3:21" ht="12.75">
      <c r="C266" s="121"/>
      <c r="D266" s="111"/>
      <c r="E266" s="137">
        <f t="shared" si="1"/>
        <v>0</v>
      </c>
      <c r="F266" s="102"/>
      <c r="G266" s="102"/>
      <c r="H266" s="102"/>
      <c r="I266" s="102"/>
      <c r="J266" s="102"/>
      <c r="K266" s="102"/>
      <c r="L266" s="102"/>
      <c r="M266" s="102"/>
      <c r="N266" s="102"/>
      <c r="O266" s="102"/>
      <c r="P266" s="102"/>
      <c r="Q266" s="102"/>
      <c r="R266" s="102"/>
      <c r="S266" s="102"/>
      <c r="T266" s="102"/>
      <c r="U266" s="102"/>
    </row>
    <row r="267" spans="3:21" ht="12.75">
      <c r="C267" s="121"/>
      <c r="D267" s="111"/>
      <c r="E267" s="137">
        <f t="shared" si="1"/>
        <v>0</v>
      </c>
      <c r="F267" s="102"/>
      <c r="G267" s="102"/>
      <c r="H267" s="102"/>
      <c r="I267" s="102"/>
      <c r="J267" s="102"/>
      <c r="K267" s="102"/>
      <c r="L267" s="102"/>
      <c r="M267" s="102"/>
      <c r="N267" s="102"/>
      <c r="O267" s="102"/>
      <c r="P267" s="102"/>
      <c r="Q267" s="102"/>
      <c r="R267" s="102"/>
      <c r="S267" s="102"/>
      <c r="T267" s="102"/>
      <c r="U267" s="102"/>
    </row>
    <row r="268" spans="3:21" ht="12.75">
      <c r="C268" s="121"/>
      <c r="D268" s="111"/>
      <c r="E268" s="137">
        <f t="shared" si="1"/>
        <v>0</v>
      </c>
      <c r="F268" s="102"/>
      <c r="G268" s="102"/>
      <c r="H268" s="102"/>
      <c r="I268" s="102"/>
      <c r="J268" s="102"/>
      <c r="K268" s="102"/>
      <c r="L268" s="102"/>
      <c r="M268" s="102"/>
      <c r="N268" s="102"/>
      <c r="O268" s="102"/>
      <c r="P268" s="102"/>
      <c r="Q268" s="102"/>
      <c r="R268" s="102"/>
      <c r="S268" s="102"/>
      <c r="T268" s="102"/>
      <c r="U268" s="102"/>
    </row>
    <row r="269" spans="3:21" ht="12.75">
      <c r="C269" s="121"/>
      <c r="D269" s="111"/>
      <c r="E269" s="137">
        <f t="shared" si="1"/>
        <v>0</v>
      </c>
      <c r="F269" s="102"/>
      <c r="G269" s="102"/>
      <c r="H269" s="102"/>
      <c r="I269" s="102"/>
      <c r="J269" s="102"/>
      <c r="K269" s="102"/>
      <c r="L269" s="102"/>
      <c r="M269" s="102"/>
      <c r="N269" s="102"/>
      <c r="O269" s="102"/>
      <c r="P269" s="102"/>
      <c r="Q269" s="102"/>
      <c r="R269" s="102"/>
      <c r="S269" s="102"/>
      <c r="T269" s="102"/>
      <c r="U269" s="102"/>
    </row>
    <row r="270" spans="3:21" ht="12.75">
      <c r="C270" s="121"/>
      <c r="D270" s="111"/>
      <c r="E270" s="137">
        <f t="shared" si="1"/>
        <v>0</v>
      </c>
      <c r="F270" s="102"/>
      <c r="G270" s="102"/>
      <c r="H270" s="102"/>
      <c r="I270" s="102"/>
      <c r="J270" s="102"/>
      <c r="K270" s="102"/>
      <c r="L270" s="102"/>
      <c r="M270" s="102"/>
      <c r="N270" s="102"/>
      <c r="O270" s="102"/>
      <c r="P270" s="102"/>
      <c r="Q270" s="102"/>
      <c r="R270" s="102"/>
      <c r="S270" s="102"/>
      <c r="T270" s="102"/>
      <c r="U270" s="102"/>
    </row>
    <row r="271" spans="3:21" ht="12.75">
      <c r="C271" s="121"/>
      <c r="D271" s="111"/>
      <c r="E271" s="137">
        <f t="shared" si="1"/>
        <v>0</v>
      </c>
      <c r="F271" s="102"/>
      <c r="G271" s="102"/>
      <c r="H271" s="102"/>
      <c r="I271" s="102"/>
      <c r="J271" s="102"/>
      <c r="K271" s="102"/>
      <c r="L271" s="102"/>
      <c r="M271" s="102"/>
      <c r="N271" s="102"/>
      <c r="O271" s="102"/>
      <c r="P271" s="102"/>
      <c r="Q271" s="102"/>
      <c r="R271" s="102"/>
      <c r="S271" s="102"/>
      <c r="T271" s="102"/>
      <c r="U271" s="102"/>
    </row>
    <row r="272" spans="3:21" ht="12.75">
      <c r="C272" s="121"/>
      <c r="D272" s="111"/>
      <c r="E272" s="137">
        <f t="shared" si="1"/>
        <v>0</v>
      </c>
      <c r="F272" s="102"/>
      <c r="G272" s="102"/>
      <c r="H272" s="102"/>
      <c r="I272" s="102"/>
      <c r="J272" s="102"/>
      <c r="K272" s="102"/>
      <c r="L272" s="102"/>
      <c r="M272" s="102"/>
      <c r="N272" s="102"/>
      <c r="O272" s="102"/>
      <c r="P272" s="102"/>
      <c r="Q272" s="102"/>
      <c r="R272" s="102"/>
      <c r="S272" s="102"/>
      <c r="T272" s="102"/>
      <c r="U272" s="102"/>
    </row>
    <row r="273" spans="3:21" ht="12.75">
      <c r="C273" s="121"/>
      <c r="D273" s="111"/>
      <c r="E273" s="137">
        <f t="shared" si="1"/>
        <v>0</v>
      </c>
      <c r="F273" s="102"/>
      <c r="G273" s="102"/>
      <c r="H273" s="102"/>
      <c r="I273" s="102"/>
      <c r="J273" s="102"/>
      <c r="K273" s="102"/>
      <c r="L273" s="102"/>
      <c r="M273" s="102"/>
      <c r="N273" s="102"/>
      <c r="O273" s="102"/>
      <c r="P273" s="102"/>
      <c r="Q273" s="102"/>
      <c r="R273" s="102"/>
      <c r="S273" s="102"/>
      <c r="T273" s="102"/>
      <c r="U273" s="102"/>
    </row>
    <row r="274" spans="3:21" ht="12.75">
      <c r="C274" s="121"/>
      <c r="D274" s="111"/>
      <c r="E274" s="137">
        <f t="shared" si="1"/>
        <v>0</v>
      </c>
      <c r="F274" s="102"/>
      <c r="G274" s="102"/>
      <c r="H274" s="102"/>
      <c r="I274" s="102"/>
      <c r="J274" s="102"/>
      <c r="K274" s="102"/>
      <c r="L274" s="102"/>
      <c r="M274" s="102"/>
      <c r="N274" s="102"/>
      <c r="O274" s="102"/>
      <c r="P274" s="102"/>
      <c r="Q274" s="102"/>
      <c r="R274" s="102"/>
      <c r="S274" s="102"/>
      <c r="T274" s="102"/>
      <c r="U274" s="102"/>
    </row>
    <row r="275" spans="3:21" ht="12.75">
      <c r="C275" s="121"/>
      <c r="D275" s="111"/>
      <c r="E275" s="137">
        <f t="shared" si="1"/>
        <v>0</v>
      </c>
      <c r="F275" s="102"/>
      <c r="G275" s="102"/>
      <c r="H275" s="102"/>
      <c r="I275" s="102"/>
      <c r="J275" s="102"/>
      <c r="K275" s="102"/>
      <c r="L275" s="102"/>
      <c r="M275" s="102"/>
      <c r="N275" s="102"/>
      <c r="O275" s="102"/>
      <c r="P275" s="102"/>
      <c r="Q275" s="102"/>
      <c r="R275" s="102"/>
      <c r="S275" s="102"/>
      <c r="T275" s="102"/>
      <c r="U275" s="102"/>
    </row>
    <row r="276" spans="3:21" ht="12.75">
      <c r="C276" s="121"/>
      <c r="D276" s="111"/>
      <c r="E276" s="137">
        <f t="shared" si="1"/>
        <v>0</v>
      </c>
      <c r="F276" s="102"/>
      <c r="G276" s="102"/>
      <c r="H276" s="102"/>
      <c r="I276" s="102"/>
      <c r="J276" s="102"/>
      <c r="K276" s="102"/>
      <c r="L276" s="102"/>
      <c r="M276" s="102"/>
      <c r="N276" s="102"/>
      <c r="O276" s="102"/>
      <c r="P276" s="102"/>
      <c r="Q276" s="102"/>
      <c r="R276" s="102"/>
      <c r="S276" s="102"/>
      <c r="T276" s="102"/>
      <c r="U276" s="102"/>
    </row>
    <row r="277" spans="3:21" ht="12.75">
      <c r="C277" s="121"/>
      <c r="D277" s="111"/>
      <c r="E277" s="137">
        <f t="shared" si="1"/>
        <v>0</v>
      </c>
      <c r="F277" s="102"/>
      <c r="G277" s="102"/>
      <c r="H277" s="102"/>
      <c r="I277" s="102"/>
      <c r="J277" s="102"/>
      <c r="K277" s="102"/>
      <c r="L277" s="102"/>
      <c r="M277" s="102"/>
      <c r="N277" s="102"/>
      <c r="O277" s="102"/>
      <c r="P277" s="102"/>
      <c r="Q277" s="102"/>
      <c r="R277" s="102"/>
      <c r="S277" s="102"/>
      <c r="T277" s="102"/>
      <c r="U277" s="102"/>
    </row>
    <row r="278" spans="3:21" ht="12.75">
      <c r="C278" s="121"/>
      <c r="D278" s="111"/>
      <c r="E278" s="137">
        <f t="shared" si="1"/>
        <v>0</v>
      </c>
      <c r="F278" s="102"/>
      <c r="G278" s="102"/>
      <c r="H278" s="102"/>
      <c r="I278" s="102"/>
      <c r="J278" s="102"/>
      <c r="K278" s="102"/>
      <c r="L278" s="102"/>
      <c r="M278" s="102"/>
      <c r="N278" s="102"/>
      <c r="O278" s="102"/>
      <c r="P278" s="102"/>
      <c r="Q278" s="102"/>
      <c r="R278" s="102"/>
      <c r="S278" s="102"/>
      <c r="T278" s="102"/>
      <c r="U278" s="102"/>
    </row>
    <row r="279" spans="3:21" ht="12.75">
      <c r="C279" s="121"/>
      <c r="D279" s="111"/>
      <c r="E279" s="137">
        <f t="shared" si="1"/>
        <v>0</v>
      </c>
      <c r="F279" s="102"/>
      <c r="G279" s="102"/>
      <c r="H279" s="102"/>
      <c r="I279" s="102"/>
      <c r="J279" s="102"/>
      <c r="K279" s="102"/>
      <c r="L279" s="102"/>
      <c r="M279" s="102"/>
      <c r="N279" s="102"/>
      <c r="O279" s="102"/>
      <c r="P279" s="102"/>
      <c r="Q279" s="102"/>
      <c r="R279" s="102"/>
      <c r="S279" s="102"/>
      <c r="T279" s="102"/>
      <c r="U279" s="102"/>
    </row>
    <row r="280" spans="3:21" ht="12.75">
      <c r="C280" s="121"/>
      <c r="D280" s="111"/>
      <c r="E280" s="137">
        <f t="shared" si="1"/>
        <v>0</v>
      </c>
      <c r="F280" s="102"/>
      <c r="G280" s="102"/>
      <c r="H280" s="102"/>
      <c r="I280" s="102"/>
      <c r="J280" s="102"/>
      <c r="K280" s="102"/>
      <c r="L280" s="102"/>
      <c r="M280" s="102"/>
      <c r="N280" s="102"/>
      <c r="O280" s="102"/>
      <c r="P280" s="102"/>
      <c r="Q280" s="102"/>
      <c r="R280" s="102"/>
      <c r="S280" s="102"/>
      <c r="T280" s="102"/>
      <c r="U280" s="102"/>
    </row>
    <row r="281" spans="3:21" ht="12.75">
      <c r="C281" s="121"/>
      <c r="D281" s="111"/>
      <c r="E281" s="137">
        <f t="shared" si="1"/>
        <v>0</v>
      </c>
      <c r="F281" s="102"/>
      <c r="G281" s="102"/>
      <c r="H281" s="102"/>
      <c r="I281" s="102"/>
      <c r="J281" s="102"/>
      <c r="K281" s="102"/>
      <c r="L281" s="102"/>
      <c r="M281" s="102"/>
      <c r="N281" s="102"/>
      <c r="O281" s="102"/>
      <c r="P281" s="102"/>
      <c r="Q281" s="102"/>
      <c r="R281" s="102"/>
      <c r="S281" s="102"/>
      <c r="T281" s="102"/>
      <c r="U281" s="102"/>
    </row>
    <row r="282" spans="3:21" ht="12.75">
      <c r="C282" s="121"/>
      <c r="D282" s="111"/>
      <c r="E282" s="137">
        <f t="shared" si="1"/>
        <v>0</v>
      </c>
      <c r="F282" s="102"/>
      <c r="G282" s="102"/>
      <c r="H282" s="102"/>
      <c r="I282" s="102"/>
      <c r="J282" s="102"/>
      <c r="K282" s="102"/>
      <c r="L282" s="102"/>
      <c r="M282" s="102"/>
      <c r="N282" s="102"/>
      <c r="O282" s="102"/>
      <c r="P282" s="102"/>
      <c r="Q282" s="102"/>
      <c r="R282" s="102"/>
      <c r="S282" s="102"/>
      <c r="T282" s="102"/>
      <c r="U282" s="102"/>
    </row>
    <row r="283" spans="3:21" ht="12.75">
      <c r="C283" s="121"/>
      <c r="D283" s="111"/>
      <c r="E283" s="137">
        <f t="shared" si="1"/>
        <v>0</v>
      </c>
      <c r="F283" s="102"/>
      <c r="G283" s="102"/>
      <c r="H283" s="102"/>
      <c r="I283" s="102"/>
      <c r="J283" s="102"/>
      <c r="K283" s="102"/>
      <c r="L283" s="102"/>
      <c r="M283" s="102"/>
      <c r="N283" s="102"/>
      <c r="O283" s="102"/>
      <c r="P283" s="102"/>
      <c r="Q283" s="102"/>
      <c r="R283" s="102"/>
      <c r="S283" s="102"/>
      <c r="T283" s="102"/>
      <c r="U283" s="102"/>
    </row>
    <row r="284" spans="3:21" ht="12.75">
      <c r="C284" s="121"/>
      <c r="D284" s="111"/>
      <c r="E284" s="137">
        <f t="shared" si="1"/>
        <v>0</v>
      </c>
      <c r="F284" s="102"/>
      <c r="G284" s="102"/>
      <c r="H284" s="102"/>
      <c r="I284" s="102"/>
      <c r="J284" s="102"/>
      <c r="K284" s="102"/>
      <c r="L284" s="102"/>
      <c r="M284" s="102"/>
      <c r="N284" s="102"/>
      <c r="O284" s="102"/>
      <c r="P284" s="102"/>
      <c r="Q284" s="102"/>
      <c r="R284" s="102"/>
      <c r="S284" s="102"/>
      <c r="T284" s="102"/>
      <c r="U284" s="102"/>
    </row>
    <row r="285" spans="3:21" ht="12.75">
      <c r="C285" s="121"/>
      <c r="D285" s="111"/>
      <c r="E285" s="137">
        <f t="shared" si="1"/>
        <v>0</v>
      </c>
      <c r="F285" s="102"/>
      <c r="G285" s="102"/>
      <c r="H285" s="102"/>
      <c r="I285" s="102"/>
      <c r="J285" s="102"/>
      <c r="K285" s="102"/>
      <c r="L285" s="102"/>
      <c r="M285" s="102"/>
      <c r="N285" s="102"/>
      <c r="O285" s="102"/>
      <c r="P285" s="102"/>
      <c r="Q285" s="102"/>
      <c r="R285" s="102"/>
      <c r="S285" s="102"/>
      <c r="T285" s="102"/>
      <c r="U285" s="102"/>
    </row>
    <row r="286" spans="3:21" ht="12.75">
      <c r="C286" s="121"/>
      <c r="D286" s="111"/>
      <c r="E286" s="137">
        <f t="shared" si="1"/>
        <v>0</v>
      </c>
      <c r="F286" s="102"/>
      <c r="G286" s="102"/>
      <c r="H286" s="102"/>
      <c r="I286" s="102"/>
      <c r="J286" s="102"/>
      <c r="K286" s="102"/>
      <c r="L286" s="102"/>
      <c r="M286" s="102"/>
      <c r="N286" s="102"/>
      <c r="O286" s="102"/>
      <c r="P286" s="102"/>
      <c r="Q286" s="102"/>
      <c r="R286" s="102"/>
      <c r="S286" s="102"/>
      <c r="T286" s="102"/>
      <c r="U286" s="102"/>
    </row>
    <row r="287" spans="3:21" ht="12.75">
      <c r="C287" s="121"/>
      <c r="D287" s="111"/>
      <c r="E287" s="137">
        <f t="shared" si="1"/>
        <v>0</v>
      </c>
      <c r="F287" s="102"/>
      <c r="G287" s="102"/>
      <c r="H287" s="102"/>
      <c r="I287" s="102"/>
      <c r="J287" s="102"/>
      <c r="K287" s="102"/>
      <c r="L287" s="102"/>
      <c r="M287" s="102"/>
      <c r="N287" s="102"/>
      <c r="O287" s="102"/>
      <c r="P287" s="102"/>
      <c r="Q287" s="102"/>
      <c r="R287" s="102"/>
      <c r="S287" s="102"/>
      <c r="T287" s="102"/>
      <c r="U287" s="102"/>
    </row>
    <row r="288" spans="3:21" ht="12.75">
      <c r="C288" s="121"/>
      <c r="D288" s="111"/>
      <c r="E288" s="137">
        <f t="shared" si="1"/>
        <v>0</v>
      </c>
      <c r="F288" s="102"/>
      <c r="G288" s="102"/>
      <c r="H288" s="102"/>
      <c r="I288" s="102"/>
      <c r="J288" s="102"/>
      <c r="K288" s="102"/>
      <c r="L288" s="102"/>
      <c r="M288" s="102"/>
      <c r="N288" s="102"/>
      <c r="O288" s="102"/>
      <c r="P288" s="102"/>
      <c r="Q288" s="102"/>
      <c r="R288" s="102"/>
      <c r="S288" s="102"/>
      <c r="T288" s="102"/>
      <c r="U288" s="102"/>
    </row>
    <row r="289" spans="3:21" ht="12.75">
      <c r="C289" s="121"/>
      <c r="D289" s="111"/>
      <c r="E289" s="137">
        <f t="shared" si="1"/>
        <v>0</v>
      </c>
      <c r="F289" s="102"/>
      <c r="G289" s="102"/>
      <c r="H289" s="102"/>
      <c r="I289" s="102"/>
      <c r="J289" s="102"/>
      <c r="K289" s="102"/>
      <c r="L289" s="102"/>
      <c r="M289" s="102"/>
      <c r="N289" s="102"/>
      <c r="O289" s="102"/>
      <c r="P289" s="102"/>
      <c r="Q289" s="102"/>
      <c r="R289" s="102"/>
      <c r="S289" s="102"/>
      <c r="T289" s="102"/>
      <c r="U289" s="102"/>
    </row>
    <row r="290" spans="3:21" ht="12.75">
      <c r="C290" s="121"/>
      <c r="D290" s="111"/>
      <c r="E290" s="137">
        <f t="shared" si="1"/>
        <v>0</v>
      </c>
      <c r="F290" s="102"/>
      <c r="G290" s="102"/>
      <c r="H290" s="102"/>
      <c r="I290" s="102"/>
      <c r="J290" s="102"/>
      <c r="K290" s="102"/>
      <c r="L290" s="102"/>
      <c r="M290" s="102"/>
      <c r="N290" s="102"/>
      <c r="O290" s="102"/>
      <c r="P290" s="102"/>
      <c r="Q290" s="102"/>
      <c r="R290" s="102"/>
      <c r="S290" s="102"/>
      <c r="T290" s="102"/>
      <c r="U290" s="102"/>
    </row>
    <row r="291" spans="3:21" ht="12.75">
      <c r="C291" s="121"/>
      <c r="D291" s="111"/>
      <c r="E291" s="137">
        <f t="shared" si="1"/>
        <v>0</v>
      </c>
      <c r="F291" s="102"/>
      <c r="G291" s="102"/>
      <c r="H291" s="102"/>
      <c r="I291" s="102"/>
      <c r="J291" s="102"/>
      <c r="K291" s="102"/>
      <c r="L291" s="102"/>
      <c r="M291" s="102"/>
      <c r="N291" s="102"/>
      <c r="O291" s="102"/>
      <c r="P291" s="102"/>
      <c r="Q291" s="102"/>
      <c r="R291" s="102"/>
      <c r="S291" s="102"/>
      <c r="T291" s="102"/>
      <c r="U291" s="102"/>
    </row>
    <row r="292" spans="3:21" ht="12.75">
      <c r="C292" s="121"/>
      <c r="D292" s="111"/>
      <c r="E292" s="137">
        <f t="shared" si="1"/>
        <v>0</v>
      </c>
      <c r="F292" s="102"/>
      <c r="G292" s="102"/>
      <c r="H292" s="102"/>
      <c r="I292" s="102"/>
      <c r="J292" s="102"/>
      <c r="K292" s="102"/>
      <c r="L292" s="102"/>
      <c r="M292" s="102"/>
      <c r="N292" s="102"/>
      <c r="O292" s="102"/>
      <c r="P292" s="102"/>
      <c r="Q292" s="102"/>
      <c r="R292" s="102"/>
      <c r="S292" s="102"/>
      <c r="T292" s="102"/>
      <c r="U292" s="102"/>
    </row>
    <row r="293" spans="3:21" ht="12.75">
      <c r="C293" s="121"/>
      <c r="D293" s="111"/>
      <c r="E293" s="137">
        <f t="shared" si="1"/>
        <v>0</v>
      </c>
      <c r="F293" s="102"/>
      <c r="G293" s="102"/>
      <c r="H293" s="102"/>
      <c r="I293" s="102"/>
      <c r="J293" s="102"/>
      <c r="K293" s="102"/>
      <c r="L293" s="102"/>
      <c r="M293" s="102"/>
      <c r="N293" s="102"/>
      <c r="O293" s="102"/>
      <c r="P293" s="102"/>
      <c r="Q293" s="102"/>
      <c r="R293" s="102"/>
      <c r="S293" s="102"/>
      <c r="T293" s="102"/>
      <c r="U293" s="102"/>
    </row>
    <row r="294" spans="3:21" ht="12.75">
      <c r="C294" s="121"/>
      <c r="D294" s="111"/>
      <c r="E294" s="137">
        <f t="shared" si="1"/>
        <v>0</v>
      </c>
      <c r="F294" s="102"/>
      <c r="G294" s="102"/>
      <c r="H294" s="102"/>
      <c r="I294" s="102"/>
      <c r="J294" s="102"/>
      <c r="K294" s="102"/>
      <c r="L294" s="102"/>
      <c r="M294" s="102"/>
      <c r="N294" s="102"/>
      <c r="O294" s="102"/>
      <c r="P294" s="102"/>
      <c r="Q294" s="102"/>
      <c r="R294" s="102"/>
      <c r="S294" s="102"/>
      <c r="T294" s="102"/>
      <c r="U294" s="102"/>
    </row>
    <row r="295" spans="3:21" ht="12.75">
      <c r="C295" s="121"/>
      <c r="D295" s="111"/>
      <c r="E295" s="137">
        <f t="shared" si="1"/>
        <v>0</v>
      </c>
      <c r="F295" s="102"/>
      <c r="G295" s="102"/>
      <c r="H295" s="102"/>
      <c r="I295" s="102"/>
      <c r="J295" s="102"/>
      <c r="K295" s="102"/>
      <c r="L295" s="102"/>
      <c r="M295" s="102"/>
      <c r="N295" s="102"/>
      <c r="O295" s="102"/>
      <c r="P295" s="102"/>
      <c r="Q295" s="102"/>
      <c r="R295" s="102"/>
      <c r="S295" s="102"/>
      <c r="T295" s="102"/>
      <c r="U295" s="102"/>
    </row>
    <row r="296" spans="3:21" ht="12.75">
      <c r="C296" s="121"/>
      <c r="D296" s="111"/>
      <c r="E296" s="137">
        <f t="shared" si="1"/>
        <v>0</v>
      </c>
      <c r="F296" s="102"/>
      <c r="G296" s="102"/>
      <c r="H296" s="102"/>
      <c r="I296" s="102"/>
      <c r="J296" s="102"/>
      <c r="K296" s="102"/>
      <c r="L296" s="102"/>
      <c r="M296" s="102"/>
      <c r="N296" s="102"/>
      <c r="O296" s="102"/>
      <c r="P296" s="102"/>
      <c r="Q296" s="102"/>
      <c r="R296" s="102"/>
      <c r="S296" s="102"/>
      <c r="T296" s="102"/>
      <c r="U296" s="102"/>
    </row>
    <row r="297" spans="3:21" ht="12.75">
      <c r="C297" s="121"/>
      <c r="D297" s="111"/>
      <c r="E297" s="137">
        <f t="shared" si="1"/>
        <v>0</v>
      </c>
      <c r="F297" s="102"/>
      <c r="G297" s="102"/>
      <c r="H297" s="102"/>
      <c r="I297" s="102"/>
      <c r="J297" s="102"/>
      <c r="K297" s="102"/>
      <c r="L297" s="102"/>
      <c r="M297" s="102"/>
      <c r="N297" s="102"/>
      <c r="O297" s="102"/>
      <c r="P297" s="102"/>
      <c r="Q297" s="102"/>
      <c r="R297" s="102"/>
      <c r="S297" s="102"/>
      <c r="T297" s="102"/>
      <c r="U297" s="102"/>
    </row>
    <row r="298" spans="3:21" ht="12.75">
      <c r="C298" s="121"/>
      <c r="D298" s="111"/>
      <c r="E298" s="137">
        <f t="shared" si="1"/>
        <v>0</v>
      </c>
      <c r="F298" s="102"/>
      <c r="G298" s="102"/>
      <c r="H298" s="102"/>
      <c r="I298" s="102"/>
      <c r="J298" s="102"/>
      <c r="K298" s="102"/>
      <c r="L298" s="102"/>
      <c r="M298" s="102"/>
      <c r="N298" s="102"/>
      <c r="O298" s="102"/>
      <c r="P298" s="102"/>
      <c r="Q298" s="102"/>
      <c r="R298" s="102"/>
      <c r="S298" s="102"/>
      <c r="T298" s="102"/>
      <c r="U298" s="102"/>
    </row>
    <row r="299" spans="3:21" ht="12.75">
      <c r="C299" s="121"/>
      <c r="D299" s="111"/>
      <c r="E299" s="137">
        <f t="shared" si="1"/>
        <v>0</v>
      </c>
      <c r="F299" s="102"/>
      <c r="G299" s="102"/>
      <c r="H299" s="102"/>
      <c r="I299" s="102"/>
      <c r="J299" s="102"/>
      <c r="K299" s="102"/>
      <c r="L299" s="102"/>
      <c r="M299" s="102"/>
      <c r="N299" s="102"/>
      <c r="O299" s="102"/>
      <c r="P299" s="102"/>
      <c r="Q299" s="102"/>
      <c r="R299" s="102"/>
      <c r="S299" s="102"/>
      <c r="T299" s="102"/>
      <c r="U299" s="102"/>
    </row>
    <row r="300" spans="3:21" ht="12.75">
      <c r="C300" s="121"/>
      <c r="D300" s="111"/>
      <c r="E300" s="137">
        <f t="shared" si="1"/>
        <v>0</v>
      </c>
      <c r="F300" s="102"/>
      <c r="G300" s="102"/>
      <c r="H300" s="102"/>
      <c r="I300" s="102"/>
      <c r="J300" s="102"/>
      <c r="K300" s="102"/>
      <c r="L300" s="102"/>
      <c r="M300" s="102"/>
      <c r="N300" s="102"/>
      <c r="O300" s="102"/>
      <c r="P300" s="102"/>
      <c r="Q300" s="102"/>
      <c r="R300" s="102"/>
      <c r="S300" s="102"/>
      <c r="T300" s="102"/>
      <c r="U300" s="102"/>
    </row>
    <row r="301" spans="3:21" ht="12.75">
      <c r="C301" s="121"/>
      <c r="D301" s="111"/>
      <c r="E301" s="137">
        <f t="shared" si="1"/>
        <v>0</v>
      </c>
      <c r="F301" s="102"/>
      <c r="G301" s="102"/>
      <c r="H301" s="102"/>
      <c r="I301" s="102"/>
      <c r="J301" s="102"/>
      <c r="K301" s="102"/>
      <c r="L301" s="102"/>
      <c r="M301" s="102"/>
      <c r="N301" s="102"/>
      <c r="O301" s="102"/>
      <c r="P301" s="102"/>
      <c r="Q301" s="102"/>
      <c r="R301" s="102"/>
      <c r="S301" s="102"/>
      <c r="T301" s="102"/>
      <c r="U301" s="102"/>
    </row>
    <row r="302" spans="3:21" ht="12.75">
      <c r="C302" s="121"/>
      <c r="D302" s="111"/>
      <c r="E302" s="137">
        <f t="shared" si="1"/>
        <v>0</v>
      </c>
      <c r="F302" s="102"/>
      <c r="G302" s="102"/>
      <c r="H302" s="102"/>
      <c r="I302" s="102"/>
      <c r="J302" s="102"/>
      <c r="K302" s="102"/>
      <c r="L302" s="102"/>
      <c r="M302" s="102"/>
      <c r="N302" s="102"/>
      <c r="O302" s="102"/>
      <c r="P302" s="102"/>
      <c r="Q302" s="102"/>
      <c r="R302" s="102"/>
      <c r="S302" s="102"/>
      <c r="T302" s="102"/>
      <c r="U302" s="102"/>
    </row>
    <row r="303" spans="3:21" ht="12.75">
      <c r="C303" s="121"/>
      <c r="D303" s="111"/>
      <c r="E303" s="137">
        <f t="shared" si="1"/>
        <v>0</v>
      </c>
      <c r="F303" s="102"/>
      <c r="G303" s="102"/>
      <c r="H303" s="102"/>
      <c r="I303" s="102"/>
      <c r="J303" s="102"/>
      <c r="K303" s="102"/>
      <c r="L303" s="102"/>
      <c r="M303" s="102"/>
      <c r="N303" s="102"/>
      <c r="O303" s="102"/>
      <c r="P303" s="102"/>
      <c r="Q303" s="102"/>
      <c r="R303" s="102"/>
      <c r="S303" s="102"/>
      <c r="T303" s="102"/>
      <c r="U303" s="102"/>
    </row>
    <row r="304" spans="3:21" ht="12.75">
      <c r="C304" s="121"/>
      <c r="D304" s="111"/>
      <c r="E304" s="137">
        <f t="shared" si="1"/>
        <v>0</v>
      </c>
      <c r="F304" s="102"/>
      <c r="G304" s="102"/>
      <c r="H304" s="102"/>
      <c r="I304" s="102"/>
      <c r="J304" s="102"/>
      <c r="K304" s="102"/>
      <c r="L304" s="102"/>
      <c r="M304" s="102"/>
      <c r="N304" s="102"/>
      <c r="O304" s="102"/>
      <c r="P304" s="102"/>
      <c r="Q304" s="102"/>
      <c r="R304" s="102"/>
      <c r="S304" s="102"/>
      <c r="T304" s="102"/>
      <c r="U304" s="102"/>
    </row>
    <row r="305" spans="3:21" ht="12.75">
      <c r="C305" s="121"/>
      <c r="D305" s="111"/>
      <c r="E305" s="137">
        <f t="shared" si="1"/>
        <v>0</v>
      </c>
      <c r="F305" s="102"/>
      <c r="G305" s="102"/>
      <c r="H305" s="102"/>
      <c r="I305" s="102"/>
      <c r="J305" s="102"/>
      <c r="K305" s="102"/>
      <c r="L305" s="102"/>
      <c r="M305" s="102"/>
      <c r="N305" s="102"/>
      <c r="O305" s="102"/>
      <c r="P305" s="102"/>
      <c r="Q305" s="102"/>
      <c r="R305" s="102"/>
      <c r="S305" s="102"/>
      <c r="T305" s="102"/>
      <c r="U305" s="102"/>
    </row>
    <row r="306" spans="3:21" ht="12.75">
      <c r="C306" s="121"/>
      <c r="D306" s="111"/>
      <c r="E306" s="137">
        <f t="shared" si="1"/>
        <v>0</v>
      </c>
      <c r="F306" s="102"/>
      <c r="G306" s="102"/>
      <c r="H306" s="102"/>
      <c r="I306" s="102"/>
      <c r="J306" s="102"/>
      <c r="K306" s="102"/>
      <c r="L306" s="102"/>
      <c r="M306" s="102"/>
      <c r="N306" s="102"/>
      <c r="O306" s="102"/>
      <c r="P306" s="102"/>
      <c r="Q306" s="102"/>
      <c r="R306" s="102"/>
      <c r="S306" s="102"/>
      <c r="T306" s="102"/>
      <c r="U306" s="102"/>
    </row>
    <row r="307" spans="3:21" ht="12.75">
      <c r="C307" s="121"/>
      <c r="D307" s="111"/>
      <c r="E307" s="137">
        <f t="shared" si="1"/>
        <v>0</v>
      </c>
      <c r="F307" s="102"/>
      <c r="G307" s="102"/>
      <c r="H307" s="102"/>
      <c r="I307" s="102"/>
      <c r="J307" s="102"/>
      <c r="K307" s="102"/>
      <c r="L307" s="102"/>
      <c r="M307" s="102"/>
      <c r="N307" s="102"/>
      <c r="O307" s="102"/>
      <c r="P307" s="102"/>
      <c r="Q307" s="102"/>
      <c r="R307" s="102"/>
      <c r="S307" s="102"/>
      <c r="T307" s="102"/>
      <c r="U307" s="102"/>
    </row>
    <row r="308" spans="3:21" ht="12.75">
      <c r="C308" s="121"/>
      <c r="D308" s="111"/>
      <c r="E308" s="137">
        <f t="shared" si="1"/>
        <v>0</v>
      </c>
      <c r="F308" s="102"/>
      <c r="G308" s="102"/>
      <c r="H308" s="102"/>
      <c r="I308" s="102"/>
      <c r="J308" s="102"/>
      <c r="K308" s="102"/>
      <c r="L308" s="102"/>
      <c r="M308" s="102"/>
      <c r="N308" s="102"/>
      <c r="O308" s="102"/>
      <c r="P308" s="102"/>
      <c r="Q308" s="102"/>
      <c r="R308" s="102"/>
      <c r="S308" s="102"/>
      <c r="T308" s="102"/>
      <c r="U308" s="102"/>
    </row>
    <row r="309" spans="3:21" ht="12.75">
      <c r="C309" s="121"/>
      <c r="D309" s="111"/>
      <c r="E309" s="137">
        <f t="shared" si="1"/>
        <v>0</v>
      </c>
      <c r="F309" s="102"/>
      <c r="G309" s="102"/>
      <c r="H309" s="102"/>
      <c r="I309" s="102"/>
      <c r="J309" s="102"/>
      <c r="K309" s="102"/>
      <c r="L309" s="102"/>
      <c r="M309" s="102"/>
      <c r="N309" s="102"/>
      <c r="O309" s="102"/>
      <c r="P309" s="102"/>
      <c r="Q309" s="102"/>
      <c r="R309" s="102"/>
      <c r="S309" s="102"/>
      <c r="T309" s="102"/>
      <c r="U309" s="102"/>
    </row>
    <row r="310" spans="3:21" ht="12.75">
      <c r="C310" s="121"/>
      <c r="D310" s="111"/>
      <c r="E310" s="137">
        <f t="shared" si="1"/>
        <v>0</v>
      </c>
      <c r="F310" s="102"/>
      <c r="G310" s="102"/>
      <c r="H310" s="102"/>
      <c r="I310" s="102"/>
      <c r="J310" s="102"/>
      <c r="K310" s="102"/>
      <c r="L310" s="102"/>
      <c r="M310" s="102"/>
      <c r="N310" s="102"/>
      <c r="O310" s="102"/>
      <c r="P310" s="102"/>
      <c r="Q310" s="102"/>
      <c r="R310" s="102"/>
      <c r="S310" s="102"/>
      <c r="T310" s="102"/>
      <c r="U310" s="102"/>
    </row>
    <row r="311" spans="3:21" ht="12.75">
      <c r="C311" s="121"/>
      <c r="D311" s="111"/>
      <c r="E311" s="137">
        <f t="shared" si="1"/>
        <v>0</v>
      </c>
      <c r="F311" s="102"/>
      <c r="G311" s="102"/>
      <c r="H311" s="102"/>
      <c r="I311" s="102"/>
      <c r="J311" s="102"/>
      <c r="K311" s="102"/>
      <c r="L311" s="102"/>
      <c r="M311" s="102"/>
      <c r="N311" s="102"/>
      <c r="O311" s="102"/>
      <c r="P311" s="102"/>
      <c r="Q311" s="102"/>
      <c r="R311" s="102"/>
      <c r="S311" s="102"/>
      <c r="T311" s="102"/>
      <c r="U311" s="102"/>
    </row>
    <row r="312" spans="3:21" ht="12.75">
      <c r="C312" s="121"/>
      <c r="D312" s="111"/>
      <c r="E312" s="137">
        <f t="shared" si="1"/>
        <v>0</v>
      </c>
      <c r="F312" s="102"/>
      <c r="G312" s="102"/>
      <c r="H312" s="102"/>
      <c r="I312" s="102"/>
      <c r="J312" s="102"/>
      <c r="K312" s="102"/>
      <c r="L312" s="102"/>
      <c r="M312" s="102"/>
      <c r="N312" s="102"/>
      <c r="O312" s="102"/>
      <c r="P312" s="102"/>
      <c r="Q312" s="102"/>
      <c r="R312" s="102"/>
      <c r="S312" s="102"/>
      <c r="T312" s="102"/>
      <c r="U312" s="102"/>
    </row>
    <row r="313" spans="3:21" ht="12.75">
      <c r="C313" s="121"/>
      <c r="D313" s="111"/>
      <c r="E313" s="137">
        <f t="shared" si="1"/>
        <v>0</v>
      </c>
      <c r="F313" s="102"/>
      <c r="G313" s="102"/>
      <c r="H313" s="102"/>
      <c r="I313" s="102"/>
      <c r="J313" s="102"/>
      <c r="K313" s="102"/>
      <c r="L313" s="102"/>
      <c r="M313" s="102"/>
      <c r="N313" s="102"/>
      <c r="O313" s="102"/>
      <c r="P313" s="102"/>
      <c r="Q313" s="102"/>
      <c r="R313" s="102"/>
      <c r="S313" s="102"/>
      <c r="T313" s="102"/>
      <c r="U313" s="102"/>
    </row>
    <row r="314" spans="3:21" ht="12.75">
      <c r="C314" s="121"/>
      <c r="D314" s="111"/>
      <c r="E314" s="137">
        <f t="shared" si="1"/>
        <v>0</v>
      </c>
      <c r="F314" s="102"/>
      <c r="G314" s="102"/>
      <c r="H314" s="102"/>
      <c r="I314" s="102"/>
      <c r="J314" s="102"/>
      <c r="K314" s="102"/>
      <c r="L314" s="102"/>
      <c r="M314" s="102"/>
      <c r="N314" s="102"/>
      <c r="O314" s="102"/>
      <c r="P314" s="102"/>
      <c r="Q314" s="102"/>
      <c r="R314" s="102"/>
      <c r="S314" s="102"/>
      <c r="T314" s="102"/>
      <c r="U314" s="102"/>
    </row>
    <row r="315" spans="3:21" ht="12.75">
      <c r="C315" s="121"/>
      <c r="D315" s="111"/>
      <c r="E315" s="137">
        <f t="shared" si="1"/>
        <v>0</v>
      </c>
      <c r="F315" s="102"/>
      <c r="G315" s="102"/>
      <c r="H315" s="102"/>
      <c r="I315" s="102"/>
      <c r="J315" s="102"/>
      <c r="K315" s="102"/>
      <c r="L315" s="102"/>
      <c r="M315" s="102"/>
      <c r="N315" s="102"/>
      <c r="O315" s="102"/>
      <c r="P315" s="102"/>
      <c r="Q315" s="102"/>
      <c r="R315" s="102"/>
      <c r="S315" s="102"/>
      <c r="T315" s="102"/>
      <c r="U315" s="102"/>
    </row>
    <row r="316" spans="3:21" ht="12.75">
      <c r="C316" s="121"/>
      <c r="D316" s="111"/>
      <c r="E316" s="137">
        <f t="shared" si="1"/>
        <v>0</v>
      </c>
      <c r="F316" s="102"/>
      <c r="G316" s="102"/>
      <c r="H316" s="102"/>
      <c r="I316" s="102"/>
      <c r="J316" s="102"/>
      <c r="K316" s="102"/>
      <c r="L316" s="102"/>
      <c r="M316" s="102"/>
      <c r="N316" s="102"/>
      <c r="O316" s="102"/>
      <c r="P316" s="102"/>
      <c r="Q316" s="102"/>
      <c r="R316" s="102"/>
      <c r="S316" s="102"/>
      <c r="T316" s="102"/>
      <c r="U316" s="102"/>
    </row>
    <row r="317" spans="3:21" ht="12.75">
      <c r="C317" s="121"/>
      <c r="D317" s="111"/>
      <c r="E317" s="137">
        <f t="shared" si="1"/>
        <v>0</v>
      </c>
      <c r="F317" s="102"/>
      <c r="G317" s="102"/>
      <c r="H317" s="102"/>
      <c r="I317" s="102"/>
      <c r="J317" s="102"/>
      <c r="K317" s="102"/>
      <c r="L317" s="102"/>
      <c r="M317" s="102"/>
      <c r="N317" s="102"/>
      <c r="O317" s="102"/>
      <c r="P317" s="102"/>
      <c r="Q317" s="102"/>
      <c r="R317" s="102"/>
      <c r="S317" s="102"/>
      <c r="T317" s="102"/>
      <c r="U317" s="102"/>
    </row>
    <row r="318" spans="3:21" ht="12.75">
      <c r="C318" s="121"/>
      <c r="D318" s="111"/>
      <c r="E318" s="137">
        <f t="shared" si="1"/>
        <v>0</v>
      </c>
      <c r="F318" s="102"/>
      <c r="G318" s="102"/>
      <c r="H318" s="102"/>
      <c r="I318" s="102"/>
      <c r="J318" s="102"/>
      <c r="K318" s="102"/>
      <c r="L318" s="102"/>
      <c r="M318" s="102"/>
      <c r="N318" s="102"/>
      <c r="O318" s="102"/>
      <c r="P318" s="102"/>
      <c r="Q318" s="102"/>
      <c r="R318" s="102"/>
      <c r="S318" s="102"/>
      <c r="T318" s="102"/>
      <c r="U318" s="102"/>
    </row>
    <row r="319" spans="3:21" ht="12.75">
      <c r="C319" s="121"/>
      <c r="D319" s="111"/>
      <c r="E319" s="137">
        <f t="shared" si="1"/>
        <v>0</v>
      </c>
      <c r="F319" s="102"/>
      <c r="G319" s="102"/>
      <c r="H319" s="102"/>
      <c r="I319" s="102"/>
      <c r="J319" s="102"/>
      <c r="K319" s="102"/>
      <c r="L319" s="102"/>
      <c r="M319" s="102"/>
      <c r="N319" s="102"/>
      <c r="O319" s="102"/>
      <c r="P319" s="102"/>
      <c r="Q319" s="102"/>
      <c r="R319" s="102"/>
      <c r="S319" s="102"/>
      <c r="T319" s="102"/>
      <c r="U319" s="102"/>
    </row>
    <row r="320" spans="3:21" ht="12.75">
      <c r="C320" s="121"/>
      <c r="D320" s="111"/>
      <c r="E320" s="137">
        <f t="shared" si="1"/>
        <v>0</v>
      </c>
      <c r="F320" s="102"/>
      <c r="G320" s="102"/>
      <c r="H320" s="102"/>
      <c r="I320" s="102"/>
      <c r="J320" s="102"/>
      <c r="K320" s="102"/>
      <c r="L320" s="102"/>
      <c r="M320" s="102"/>
      <c r="N320" s="102"/>
      <c r="O320" s="102"/>
      <c r="P320" s="102"/>
      <c r="Q320" s="102"/>
      <c r="R320" s="102"/>
      <c r="S320" s="102"/>
      <c r="T320" s="102"/>
      <c r="U320" s="102"/>
    </row>
    <row r="321" spans="3:21" ht="12.75">
      <c r="C321" s="121"/>
      <c r="D321" s="111"/>
      <c r="E321" s="137">
        <f t="shared" si="1"/>
        <v>0</v>
      </c>
      <c r="F321" s="102"/>
      <c r="G321" s="102"/>
      <c r="H321" s="102"/>
      <c r="I321" s="102"/>
      <c r="J321" s="102"/>
      <c r="K321" s="102"/>
      <c r="L321" s="102"/>
      <c r="M321" s="102"/>
      <c r="N321" s="102"/>
      <c r="O321" s="102"/>
      <c r="P321" s="102"/>
      <c r="Q321" s="102"/>
      <c r="R321" s="102"/>
      <c r="S321" s="102"/>
      <c r="T321" s="102"/>
      <c r="U321" s="102"/>
    </row>
    <row r="322" spans="3:21" ht="12.75">
      <c r="C322" s="121"/>
      <c r="D322" s="111"/>
      <c r="E322" s="137">
        <f t="shared" si="1"/>
        <v>0</v>
      </c>
      <c r="F322" s="102"/>
      <c r="G322" s="102"/>
      <c r="H322" s="102"/>
      <c r="I322" s="102"/>
      <c r="J322" s="102"/>
      <c r="K322" s="102"/>
      <c r="L322" s="102"/>
      <c r="M322" s="102"/>
      <c r="N322" s="102"/>
      <c r="O322" s="102"/>
      <c r="P322" s="102"/>
      <c r="Q322" s="102"/>
      <c r="R322" s="102"/>
      <c r="S322" s="102"/>
      <c r="T322" s="102"/>
      <c r="U322" s="102"/>
    </row>
    <row r="323" spans="3:21" ht="12.75">
      <c r="C323" s="121"/>
      <c r="D323" s="111"/>
      <c r="E323" s="137">
        <f t="shared" si="1"/>
        <v>0</v>
      </c>
      <c r="F323" s="102"/>
      <c r="G323" s="102"/>
      <c r="H323" s="102"/>
      <c r="I323" s="102"/>
      <c r="J323" s="102"/>
      <c r="K323" s="102"/>
      <c r="L323" s="102"/>
      <c r="M323" s="102"/>
      <c r="N323" s="102"/>
      <c r="O323" s="102"/>
      <c r="P323" s="102"/>
      <c r="Q323" s="102"/>
      <c r="R323" s="102"/>
      <c r="S323" s="102"/>
      <c r="T323" s="102"/>
      <c r="U323" s="102"/>
    </row>
    <row r="324" spans="3:21" ht="12.75">
      <c r="C324" s="121"/>
      <c r="D324" s="111"/>
      <c r="E324" s="137">
        <f t="shared" si="1"/>
        <v>0</v>
      </c>
      <c r="F324" s="102"/>
      <c r="G324" s="102"/>
      <c r="H324" s="102"/>
      <c r="I324" s="102"/>
      <c r="J324" s="102"/>
      <c r="K324" s="102"/>
      <c r="L324" s="102"/>
      <c r="M324" s="102"/>
      <c r="N324" s="102"/>
      <c r="O324" s="102"/>
      <c r="P324" s="102"/>
      <c r="Q324" s="102"/>
      <c r="R324" s="102"/>
      <c r="S324" s="102"/>
      <c r="T324" s="102"/>
      <c r="U324" s="102"/>
    </row>
    <row r="325" spans="3:21" ht="12.75">
      <c r="C325" s="121"/>
      <c r="D325" s="111"/>
      <c r="E325" s="137">
        <f t="shared" si="1"/>
        <v>0</v>
      </c>
      <c r="F325" s="102"/>
      <c r="G325" s="102"/>
      <c r="H325" s="102"/>
      <c r="I325" s="102"/>
      <c r="J325" s="102"/>
      <c r="K325" s="102"/>
      <c r="L325" s="102"/>
      <c r="M325" s="102"/>
      <c r="N325" s="102"/>
      <c r="O325" s="102"/>
      <c r="P325" s="102"/>
      <c r="Q325" s="102"/>
      <c r="R325" s="102"/>
      <c r="S325" s="102"/>
      <c r="T325" s="102"/>
      <c r="U325" s="102"/>
    </row>
    <row r="326" spans="3:21" ht="12.75">
      <c r="C326" s="121"/>
      <c r="D326" s="111"/>
      <c r="E326" s="137">
        <f t="shared" si="1"/>
        <v>0</v>
      </c>
      <c r="F326" s="102"/>
      <c r="G326" s="102"/>
      <c r="H326" s="102"/>
      <c r="I326" s="102"/>
      <c r="J326" s="102"/>
      <c r="K326" s="102"/>
      <c r="L326" s="102"/>
      <c r="M326" s="102"/>
      <c r="N326" s="102"/>
      <c r="O326" s="102"/>
      <c r="P326" s="102"/>
      <c r="Q326" s="102"/>
      <c r="R326" s="102"/>
      <c r="S326" s="102"/>
      <c r="T326" s="102"/>
      <c r="U326" s="102"/>
    </row>
    <row r="327" spans="3:21" ht="12.75">
      <c r="C327" s="121"/>
      <c r="D327" s="111"/>
      <c r="E327" s="137">
        <f t="shared" si="1"/>
        <v>0</v>
      </c>
      <c r="F327" s="102"/>
      <c r="G327" s="102"/>
      <c r="H327" s="102"/>
      <c r="I327" s="102"/>
      <c r="J327" s="102"/>
      <c r="K327" s="102"/>
      <c r="L327" s="102"/>
      <c r="M327" s="102"/>
      <c r="N327" s="102"/>
      <c r="O327" s="102"/>
      <c r="P327" s="102"/>
      <c r="Q327" s="102"/>
      <c r="R327" s="102"/>
      <c r="S327" s="102"/>
      <c r="T327" s="102"/>
      <c r="U327" s="102"/>
    </row>
    <row r="328" spans="3:21" ht="12.75">
      <c r="C328" s="121"/>
      <c r="D328" s="111"/>
      <c r="E328" s="137">
        <f t="shared" si="1"/>
        <v>0</v>
      </c>
      <c r="F328" s="102"/>
      <c r="G328" s="102"/>
      <c r="H328" s="102"/>
      <c r="I328" s="102"/>
      <c r="J328" s="102"/>
      <c r="K328" s="102"/>
      <c r="L328" s="102"/>
      <c r="M328" s="102"/>
      <c r="N328" s="102"/>
      <c r="O328" s="102"/>
      <c r="P328" s="102"/>
      <c r="Q328" s="102"/>
      <c r="R328" s="102"/>
      <c r="S328" s="102"/>
      <c r="T328" s="102"/>
      <c r="U328" s="102"/>
    </row>
    <row r="329" spans="3:21" ht="12.75">
      <c r="C329" s="121"/>
      <c r="D329" s="111"/>
      <c r="E329" s="137">
        <f t="shared" si="1"/>
        <v>0</v>
      </c>
      <c r="F329" s="102"/>
      <c r="G329" s="102"/>
      <c r="H329" s="102"/>
      <c r="I329" s="102"/>
      <c r="J329" s="102"/>
      <c r="K329" s="102"/>
      <c r="L329" s="102"/>
      <c r="M329" s="102"/>
      <c r="N329" s="102"/>
      <c r="O329" s="102"/>
      <c r="P329" s="102"/>
      <c r="Q329" s="102"/>
      <c r="R329" s="102"/>
      <c r="S329" s="102"/>
      <c r="T329" s="102"/>
      <c r="U329" s="102"/>
    </row>
    <row r="330" spans="3:21" ht="12.75">
      <c r="C330" s="121"/>
      <c r="D330" s="111"/>
      <c r="E330" s="137">
        <f t="shared" si="1"/>
        <v>0</v>
      </c>
      <c r="F330" s="102"/>
      <c r="G330" s="102"/>
      <c r="H330" s="102"/>
      <c r="I330" s="102"/>
      <c r="J330" s="102"/>
      <c r="K330" s="102"/>
      <c r="L330" s="102"/>
      <c r="M330" s="102"/>
      <c r="N330" s="102"/>
      <c r="O330" s="102"/>
      <c r="P330" s="102"/>
      <c r="Q330" s="102"/>
      <c r="R330" s="102"/>
      <c r="S330" s="102"/>
      <c r="T330" s="102"/>
      <c r="U330" s="102"/>
    </row>
    <row r="331" spans="3:21" ht="12.75">
      <c r="C331" s="121"/>
      <c r="D331" s="111"/>
      <c r="E331" s="137">
        <f t="shared" si="1"/>
        <v>0</v>
      </c>
      <c r="F331" s="102"/>
      <c r="G331" s="102"/>
      <c r="H331" s="102"/>
      <c r="I331" s="102"/>
      <c r="J331" s="102"/>
      <c r="K331" s="102"/>
      <c r="L331" s="102"/>
      <c r="M331" s="102"/>
      <c r="N331" s="102"/>
      <c r="O331" s="102"/>
      <c r="P331" s="102"/>
      <c r="Q331" s="102"/>
      <c r="R331" s="102"/>
      <c r="S331" s="102"/>
      <c r="T331" s="102"/>
      <c r="U331" s="102"/>
    </row>
    <row r="332" spans="3:21" ht="12.75">
      <c r="C332" s="121"/>
      <c r="D332" s="111"/>
      <c r="E332" s="137">
        <f t="shared" si="1"/>
        <v>0</v>
      </c>
      <c r="F332" s="102"/>
      <c r="G332" s="102"/>
      <c r="H332" s="102"/>
      <c r="I332" s="102"/>
      <c r="J332" s="102"/>
      <c r="K332" s="102"/>
      <c r="L332" s="102"/>
      <c r="M332" s="102"/>
      <c r="N332" s="102"/>
      <c r="O332" s="102"/>
      <c r="P332" s="102"/>
      <c r="Q332" s="102"/>
      <c r="R332" s="102"/>
      <c r="S332" s="102"/>
      <c r="T332" s="102"/>
      <c r="U332" s="102"/>
    </row>
    <row r="333" spans="3:21" ht="12.75">
      <c r="C333" s="121"/>
      <c r="D333" s="111"/>
      <c r="E333" s="137">
        <f t="shared" si="1"/>
        <v>0</v>
      </c>
      <c r="F333" s="102"/>
      <c r="G333" s="102"/>
      <c r="H333" s="102"/>
      <c r="I333" s="102"/>
      <c r="J333" s="102"/>
      <c r="K333" s="102"/>
      <c r="L333" s="102"/>
      <c r="M333" s="102"/>
      <c r="N333" s="102"/>
      <c r="O333" s="102"/>
      <c r="P333" s="102"/>
      <c r="Q333" s="102"/>
      <c r="R333" s="102"/>
      <c r="S333" s="102"/>
      <c r="T333" s="102"/>
      <c r="U333" s="102"/>
    </row>
    <row r="334" spans="3:21" ht="12.75">
      <c r="C334" s="121"/>
      <c r="D334" s="111"/>
      <c r="E334" s="137">
        <f t="shared" si="1"/>
        <v>0</v>
      </c>
      <c r="F334" s="102"/>
      <c r="G334" s="102"/>
      <c r="H334" s="102"/>
      <c r="I334" s="102"/>
      <c r="J334" s="102"/>
      <c r="K334" s="102"/>
      <c r="L334" s="102"/>
      <c r="M334" s="102"/>
      <c r="N334" s="102"/>
      <c r="O334" s="102"/>
      <c r="P334" s="102"/>
      <c r="Q334" s="102"/>
      <c r="R334" s="102"/>
      <c r="S334" s="102"/>
      <c r="T334" s="102"/>
      <c r="U334" s="102"/>
    </row>
    <row r="335" spans="3:21" ht="12.75">
      <c r="C335" s="121"/>
      <c r="D335" s="111"/>
      <c r="E335" s="137">
        <f t="shared" si="1"/>
        <v>0</v>
      </c>
      <c r="F335" s="102"/>
      <c r="G335" s="102"/>
      <c r="H335" s="102"/>
      <c r="I335" s="102"/>
      <c r="J335" s="102"/>
      <c r="K335" s="102"/>
      <c r="L335" s="102"/>
      <c r="M335" s="102"/>
      <c r="N335" s="102"/>
      <c r="O335" s="102"/>
      <c r="P335" s="102"/>
      <c r="Q335" s="102"/>
      <c r="R335" s="102"/>
      <c r="S335" s="102"/>
      <c r="T335" s="102"/>
      <c r="U335" s="102"/>
    </row>
    <row r="336" spans="3:21" ht="12.75">
      <c r="C336" s="121"/>
      <c r="D336" s="111"/>
      <c r="E336" s="137">
        <f t="shared" si="1"/>
        <v>0</v>
      </c>
      <c r="F336" s="102"/>
      <c r="G336" s="102"/>
      <c r="H336" s="102"/>
      <c r="I336" s="102"/>
      <c r="J336" s="102"/>
      <c r="K336" s="102"/>
      <c r="L336" s="102"/>
      <c r="M336" s="102"/>
      <c r="N336" s="102"/>
      <c r="O336" s="102"/>
      <c r="P336" s="102"/>
      <c r="Q336" s="102"/>
      <c r="R336" s="102"/>
      <c r="S336" s="102"/>
      <c r="T336" s="102"/>
      <c r="U336" s="102"/>
    </row>
    <row r="337" spans="3:21" ht="12.75">
      <c r="C337" s="121"/>
      <c r="D337" s="111"/>
      <c r="E337" s="137">
        <f t="shared" si="1"/>
        <v>0</v>
      </c>
      <c r="F337" s="102"/>
      <c r="G337" s="102"/>
      <c r="H337" s="102"/>
      <c r="I337" s="102"/>
      <c r="J337" s="102"/>
      <c r="K337" s="102"/>
      <c r="L337" s="102"/>
      <c r="M337" s="102"/>
      <c r="N337" s="102"/>
      <c r="O337" s="102"/>
      <c r="P337" s="102"/>
      <c r="Q337" s="102"/>
      <c r="R337" s="102"/>
      <c r="S337" s="102"/>
      <c r="T337" s="102"/>
      <c r="U337" s="102"/>
    </row>
    <row r="338" spans="3:21" ht="12.75">
      <c r="C338" s="121"/>
      <c r="D338" s="111"/>
      <c r="E338" s="137">
        <f t="shared" si="1"/>
        <v>0</v>
      </c>
      <c r="F338" s="102"/>
      <c r="G338" s="102"/>
      <c r="H338" s="102"/>
      <c r="I338" s="102"/>
      <c r="J338" s="102"/>
      <c r="K338" s="102"/>
      <c r="L338" s="102"/>
      <c r="M338" s="102"/>
      <c r="N338" s="102"/>
      <c r="O338" s="102"/>
      <c r="P338" s="102"/>
      <c r="Q338" s="102"/>
      <c r="R338" s="102"/>
      <c r="S338" s="102"/>
      <c r="T338" s="102"/>
      <c r="U338" s="102"/>
    </row>
    <row r="339" spans="3:21" ht="12.75">
      <c r="C339" s="121"/>
      <c r="D339" s="111"/>
      <c r="E339" s="137">
        <f t="shared" si="1"/>
        <v>0</v>
      </c>
      <c r="F339" s="102"/>
      <c r="G339" s="102"/>
      <c r="H339" s="102"/>
      <c r="I339" s="102"/>
      <c r="J339" s="102"/>
      <c r="K339" s="102"/>
      <c r="L339" s="102"/>
      <c r="M339" s="102"/>
      <c r="N339" s="102"/>
      <c r="O339" s="102"/>
      <c r="P339" s="102"/>
      <c r="Q339" s="102"/>
      <c r="R339" s="102"/>
      <c r="S339" s="102"/>
      <c r="T339" s="102"/>
      <c r="U339" s="102"/>
    </row>
    <row r="340" spans="3:21" ht="12.75">
      <c r="C340" s="121"/>
      <c r="D340" s="111"/>
      <c r="E340" s="137">
        <f t="shared" si="1"/>
        <v>0</v>
      </c>
      <c r="F340" s="102"/>
      <c r="G340" s="102"/>
      <c r="H340" s="102"/>
      <c r="I340" s="102"/>
      <c r="J340" s="102"/>
      <c r="K340" s="102"/>
      <c r="L340" s="102"/>
      <c r="M340" s="102"/>
      <c r="N340" s="102"/>
      <c r="O340" s="102"/>
      <c r="P340" s="102"/>
      <c r="Q340" s="102"/>
      <c r="R340" s="102"/>
      <c r="S340" s="102"/>
      <c r="T340" s="102"/>
      <c r="U340" s="102"/>
    </row>
    <row r="341" spans="3:21" ht="12.75">
      <c r="C341" s="121"/>
      <c r="D341" s="111"/>
      <c r="E341" s="137">
        <f t="shared" si="1"/>
        <v>0</v>
      </c>
      <c r="F341" s="102"/>
      <c r="G341" s="102"/>
      <c r="H341" s="102"/>
      <c r="I341" s="102"/>
      <c r="J341" s="102"/>
      <c r="K341" s="102"/>
      <c r="L341" s="102"/>
      <c r="M341" s="102"/>
      <c r="N341" s="102"/>
      <c r="O341" s="102"/>
      <c r="P341" s="102"/>
      <c r="Q341" s="102"/>
      <c r="R341" s="102"/>
      <c r="S341" s="102"/>
      <c r="T341" s="102"/>
      <c r="U341" s="102"/>
    </row>
    <row r="342" spans="3:21" ht="12.75">
      <c r="C342" s="121"/>
      <c r="D342" s="111"/>
      <c r="E342" s="137">
        <f t="shared" si="1"/>
        <v>0</v>
      </c>
      <c r="F342" s="102"/>
      <c r="G342" s="102"/>
      <c r="H342" s="102"/>
      <c r="I342" s="102"/>
      <c r="J342" s="102"/>
      <c r="K342" s="102"/>
      <c r="L342" s="102"/>
      <c r="M342" s="102"/>
      <c r="N342" s="102"/>
      <c r="O342" s="102"/>
      <c r="P342" s="102"/>
      <c r="Q342" s="102"/>
      <c r="R342" s="102"/>
      <c r="S342" s="102"/>
      <c r="T342" s="102"/>
      <c r="U342" s="102"/>
    </row>
    <row r="343" spans="3:21" ht="12.75">
      <c r="C343" s="121"/>
      <c r="D343" s="111"/>
      <c r="E343" s="137">
        <f t="shared" si="1"/>
        <v>0</v>
      </c>
      <c r="F343" s="102"/>
      <c r="G343" s="102"/>
      <c r="H343" s="102"/>
      <c r="I343" s="102"/>
      <c r="J343" s="102"/>
      <c r="K343" s="102"/>
      <c r="L343" s="102"/>
      <c r="M343" s="102"/>
      <c r="N343" s="102"/>
      <c r="O343" s="102"/>
      <c r="P343" s="102"/>
      <c r="Q343" s="102"/>
      <c r="R343" s="102"/>
      <c r="S343" s="102"/>
      <c r="T343" s="102"/>
      <c r="U343" s="102"/>
    </row>
    <row r="344" spans="3:21" ht="12.75">
      <c r="C344" s="121"/>
      <c r="D344" s="111"/>
      <c r="E344" s="137">
        <f t="shared" si="1"/>
        <v>0</v>
      </c>
      <c r="F344" s="102"/>
      <c r="G344" s="102"/>
      <c r="H344" s="102"/>
      <c r="I344" s="102"/>
      <c r="J344" s="102"/>
      <c r="K344" s="102"/>
      <c r="L344" s="102"/>
      <c r="M344" s="102"/>
      <c r="N344" s="102"/>
      <c r="O344" s="102"/>
      <c r="P344" s="102"/>
      <c r="Q344" s="102"/>
      <c r="R344" s="102"/>
      <c r="S344" s="102"/>
      <c r="T344" s="102"/>
      <c r="U344" s="102"/>
    </row>
    <row r="345" spans="3:21" ht="12.75">
      <c r="C345" s="121"/>
      <c r="D345" s="111"/>
      <c r="E345" s="137">
        <f t="shared" si="1"/>
        <v>0</v>
      </c>
      <c r="F345" s="102"/>
      <c r="G345" s="102"/>
      <c r="H345" s="102"/>
      <c r="I345" s="102"/>
      <c r="J345" s="102"/>
      <c r="K345" s="102"/>
      <c r="L345" s="102"/>
      <c r="M345" s="102"/>
      <c r="N345" s="102"/>
      <c r="O345" s="102"/>
      <c r="P345" s="102"/>
      <c r="Q345" s="102"/>
      <c r="R345" s="102"/>
      <c r="S345" s="102"/>
      <c r="T345" s="102"/>
      <c r="U345" s="102"/>
    </row>
    <row r="346" spans="3:21" ht="12.75">
      <c r="C346" s="121"/>
      <c r="D346" s="111"/>
      <c r="E346" s="137">
        <f t="shared" si="1"/>
        <v>0</v>
      </c>
      <c r="F346" s="102"/>
      <c r="G346" s="102"/>
      <c r="H346" s="102"/>
      <c r="I346" s="102"/>
      <c r="J346" s="102"/>
      <c r="K346" s="102"/>
      <c r="L346" s="102"/>
      <c r="M346" s="102"/>
      <c r="N346" s="102"/>
      <c r="O346" s="102"/>
      <c r="P346" s="102"/>
      <c r="Q346" s="102"/>
      <c r="R346" s="102"/>
      <c r="S346" s="102"/>
      <c r="T346" s="102"/>
      <c r="U346" s="102"/>
    </row>
    <row r="347" spans="3:21" ht="12.75">
      <c r="C347" s="121"/>
      <c r="D347" s="111"/>
      <c r="E347" s="137">
        <f t="shared" si="1"/>
        <v>0</v>
      </c>
      <c r="F347" s="102"/>
      <c r="G347" s="102"/>
      <c r="H347" s="102"/>
      <c r="I347" s="102"/>
      <c r="J347" s="102"/>
      <c r="K347" s="102"/>
      <c r="L347" s="102"/>
      <c r="M347" s="102"/>
      <c r="N347" s="102"/>
      <c r="O347" s="102"/>
      <c r="P347" s="102"/>
      <c r="Q347" s="102"/>
      <c r="R347" s="102"/>
      <c r="S347" s="102"/>
      <c r="T347" s="102"/>
      <c r="U347" s="102"/>
    </row>
    <row r="348" spans="3:21" ht="12.75">
      <c r="C348" s="121"/>
      <c r="D348" s="111"/>
      <c r="E348" s="137">
        <f t="shared" si="1"/>
        <v>0</v>
      </c>
      <c r="F348" s="102"/>
      <c r="G348" s="102"/>
      <c r="H348" s="102"/>
      <c r="I348" s="102"/>
      <c r="J348" s="102"/>
      <c r="K348" s="102"/>
      <c r="L348" s="102"/>
      <c r="M348" s="102"/>
      <c r="N348" s="102"/>
      <c r="O348" s="102"/>
      <c r="P348" s="102"/>
      <c r="Q348" s="102"/>
      <c r="R348" s="102"/>
      <c r="S348" s="102"/>
      <c r="T348" s="102"/>
      <c r="U348" s="102"/>
    </row>
    <row r="349" spans="3:21" ht="12.75">
      <c r="C349" s="121"/>
      <c r="D349" s="111"/>
      <c r="E349" s="137">
        <f t="shared" si="1"/>
        <v>0</v>
      </c>
      <c r="F349" s="102"/>
      <c r="G349" s="102"/>
      <c r="H349" s="102"/>
      <c r="I349" s="102"/>
      <c r="J349" s="102"/>
      <c r="K349" s="102"/>
      <c r="L349" s="102"/>
      <c r="M349" s="102"/>
      <c r="N349" s="102"/>
      <c r="O349" s="102"/>
      <c r="P349" s="102"/>
      <c r="Q349" s="102"/>
      <c r="R349" s="102"/>
      <c r="S349" s="102"/>
      <c r="T349" s="102"/>
      <c r="U349" s="102"/>
    </row>
    <row r="350" spans="3:21" ht="12.75">
      <c r="C350" s="121"/>
      <c r="D350" s="111"/>
      <c r="E350" s="137">
        <f t="shared" si="1"/>
        <v>0</v>
      </c>
      <c r="F350" s="102"/>
      <c r="G350" s="102"/>
      <c r="H350" s="102"/>
      <c r="I350" s="102"/>
      <c r="J350" s="102"/>
      <c r="K350" s="102"/>
      <c r="L350" s="102"/>
      <c r="M350" s="102"/>
      <c r="N350" s="102"/>
      <c r="O350" s="102"/>
      <c r="P350" s="102"/>
      <c r="Q350" s="102"/>
      <c r="R350" s="102"/>
      <c r="S350" s="102"/>
      <c r="T350" s="102"/>
      <c r="U350" s="102"/>
    </row>
    <row r="351" spans="3:21" ht="12.75">
      <c r="C351" s="121"/>
      <c r="D351" s="111"/>
      <c r="E351" s="137">
        <f t="shared" si="1"/>
        <v>0</v>
      </c>
      <c r="F351" s="102"/>
      <c r="G351" s="102"/>
      <c r="H351" s="102"/>
      <c r="I351" s="102"/>
      <c r="J351" s="102"/>
      <c r="K351" s="102"/>
      <c r="L351" s="102"/>
      <c r="M351" s="102"/>
      <c r="N351" s="102"/>
      <c r="O351" s="102"/>
      <c r="P351" s="102"/>
      <c r="Q351" s="102"/>
      <c r="R351" s="102"/>
      <c r="S351" s="102"/>
      <c r="T351" s="102"/>
      <c r="U351" s="102"/>
    </row>
    <row r="352" spans="3:21" ht="12.75">
      <c r="C352" s="121"/>
      <c r="D352" s="111"/>
      <c r="E352" s="137">
        <f t="shared" si="1"/>
        <v>0</v>
      </c>
      <c r="F352" s="102"/>
      <c r="G352" s="102"/>
      <c r="H352" s="102"/>
      <c r="I352" s="102"/>
      <c r="J352" s="102"/>
      <c r="K352" s="102"/>
      <c r="L352" s="102"/>
      <c r="M352" s="102"/>
      <c r="N352" s="102"/>
      <c r="O352" s="102"/>
      <c r="P352" s="102"/>
      <c r="Q352" s="102"/>
      <c r="R352" s="102"/>
      <c r="S352" s="102"/>
      <c r="T352" s="102"/>
      <c r="U352" s="102"/>
    </row>
    <row r="353" spans="3:21" ht="12.75">
      <c r="C353" s="121"/>
      <c r="D353" s="111"/>
      <c r="E353" s="137">
        <f t="shared" si="1"/>
        <v>0</v>
      </c>
      <c r="F353" s="102"/>
      <c r="G353" s="102"/>
      <c r="H353" s="102"/>
      <c r="I353" s="102"/>
      <c r="J353" s="102"/>
      <c r="K353" s="102"/>
      <c r="L353" s="102"/>
      <c r="M353" s="102"/>
      <c r="N353" s="102"/>
      <c r="O353" s="102"/>
      <c r="P353" s="102"/>
      <c r="Q353" s="102"/>
      <c r="R353" s="102"/>
      <c r="S353" s="102"/>
      <c r="T353" s="102"/>
      <c r="U353" s="102"/>
    </row>
    <row r="354" spans="3:21" ht="12.75">
      <c r="C354" s="121"/>
      <c r="D354" s="111"/>
      <c r="E354" s="137">
        <f t="shared" si="1"/>
        <v>0</v>
      </c>
      <c r="F354" s="102"/>
      <c r="G354" s="102"/>
      <c r="H354" s="102"/>
      <c r="I354" s="102"/>
      <c r="J354" s="102"/>
      <c r="K354" s="102"/>
      <c r="L354" s="102"/>
      <c r="M354" s="102"/>
      <c r="N354" s="102"/>
      <c r="O354" s="102"/>
      <c r="P354" s="102"/>
      <c r="Q354" s="102"/>
      <c r="R354" s="102"/>
      <c r="S354" s="102"/>
      <c r="T354" s="102"/>
      <c r="U354" s="102"/>
    </row>
    <row r="355" spans="3:21" ht="12.75">
      <c r="C355" s="121"/>
      <c r="D355" s="111"/>
      <c r="E355" s="137">
        <f t="shared" si="1"/>
        <v>0</v>
      </c>
      <c r="F355" s="102"/>
      <c r="G355" s="102"/>
      <c r="H355" s="102"/>
      <c r="I355" s="102"/>
      <c r="J355" s="102"/>
      <c r="K355" s="102"/>
      <c r="L355" s="102"/>
      <c r="M355" s="102"/>
      <c r="N355" s="102"/>
      <c r="O355" s="102"/>
      <c r="P355" s="102"/>
      <c r="Q355" s="102"/>
      <c r="R355" s="102"/>
      <c r="S355" s="102"/>
      <c r="T355" s="102"/>
      <c r="U355" s="102"/>
    </row>
    <row r="356" spans="3:21" ht="12.75">
      <c r="C356" s="121"/>
      <c r="D356" s="111"/>
      <c r="E356" s="137">
        <f t="shared" si="1"/>
        <v>0</v>
      </c>
      <c r="F356" s="102"/>
      <c r="G356" s="102"/>
      <c r="H356" s="102"/>
      <c r="I356" s="102"/>
      <c r="J356" s="102"/>
      <c r="K356" s="102"/>
      <c r="L356" s="102"/>
      <c r="M356" s="102"/>
      <c r="N356" s="102"/>
      <c r="O356" s="102"/>
      <c r="P356" s="102"/>
      <c r="Q356" s="102"/>
      <c r="R356" s="102"/>
      <c r="S356" s="102"/>
      <c r="T356" s="102"/>
      <c r="U356" s="102"/>
    </row>
    <row r="357" spans="3:21" ht="12.75">
      <c r="C357" s="121"/>
      <c r="D357" s="111"/>
      <c r="E357" s="137">
        <f t="shared" si="1"/>
        <v>0</v>
      </c>
      <c r="F357" s="102"/>
      <c r="G357" s="102"/>
      <c r="H357" s="102"/>
      <c r="I357" s="102"/>
      <c r="J357" s="102"/>
      <c r="K357" s="102"/>
      <c r="L357" s="102"/>
      <c r="M357" s="102"/>
      <c r="N357" s="102"/>
      <c r="O357" s="102"/>
      <c r="P357" s="102"/>
      <c r="Q357" s="102"/>
      <c r="R357" s="102"/>
      <c r="S357" s="102"/>
      <c r="T357" s="102"/>
      <c r="U357" s="102"/>
    </row>
    <row r="358" spans="3:21" ht="12.75">
      <c r="C358" s="121"/>
      <c r="D358" s="111"/>
      <c r="E358" s="137">
        <f t="shared" si="1"/>
        <v>0</v>
      </c>
      <c r="F358" s="102"/>
      <c r="G358" s="102"/>
      <c r="H358" s="102"/>
      <c r="I358" s="102"/>
      <c r="J358" s="102"/>
      <c r="K358" s="102"/>
      <c r="L358" s="102"/>
      <c r="M358" s="102"/>
      <c r="N358" s="102"/>
      <c r="O358" s="102"/>
      <c r="P358" s="102"/>
      <c r="Q358" s="102"/>
      <c r="R358" s="102"/>
      <c r="S358" s="102"/>
      <c r="T358" s="102"/>
      <c r="U358" s="102"/>
    </row>
    <row r="359" spans="3:21" ht="12.75">
      <c r="C359" s="121"/>
      <c r="D359" s="111"/>
      <c r="E359" s="137">
        <f t="shared" si="1"/>
        <v>0</v>
      </c>
      <c r="F359" s="102"/>
      <c r="G359" s="102"/>
      <c r="H359" s="102"/>
      <c r="I359" s="102"/>
      <c r="J359" s="102"/>
      <c r="K359" s="102"/>
      <c r="L359" s="102"/>
      <c r="M359" s="102"/>
      <c r="N359" s="102"/>
      <c r="O359" s="102"/>
      <c r="P359" s="102"/>
      <c r="Q359" s="102"/>
      <c r="R359" s="102"/>
      <c r="S359" s="102"/>
      <c r="T359" s="102"/>
      <c r="U359" s="102"/>
    </row>
    <row r="360" spans="3:21" ht="12.75">
      <c r="C360" s="121"/>
      <c r="D360" s="111"/>
      <c r="E360" s="137">
        <f t="shared" si="1"/>
        <v>0</v>
      </c>
      <c r="F360" s="102"/>
      <c r="G360" s="102"/>
      <c r="H360" s="102"/>
      <c r="I360" s="102"/>
      <c r="J360" s="102"/>
      <c r="K360" s="102"/>
      <c r="L360" s="102"/>
      <c r="M360" s="102"/>
      <c r="N360" s="102"/>
      <c r="O360" s="102"/>
      <c r="P360" s="102"/>
      <c r="Q360" s="102"/>
      <c r="R360" s="102"/>
      <c r="S360" s="102"/>
      <c r="T360" s="102"/>
      <c r="U360" s="102"/>
    </row>
    <row r="361" spans="3:21" ht="12.75">
      <c r="C361" s="121"/>
      <c r="D361" s="111"/>
      <c r="E361" s="137">
        <f t="shared" si="1"/>
        <v>0</v>
      </c>
      <c r="F361" s="102"/>
      <c r="G361" s="102"/>
      <c r="H361" s="102"/>
      <c r="I361" s="102"/>
      <c r="J361" s="102"/>
      <c r="K361" s="102"/>
      <c r="L361" s="102"/>
      <c r="M361" s="102"/>
      <c r="N361" s="102"/>
      <c r="O361" s="102"/>
      <c r="P361" s="102"/>
      <c r="Q361" s="102"/>
      <c r="R361" s="102"/>
      <c r="S361" s="102"/>
      <c r="T361" s="102"/>
      <c r="U361" s="102"/>
    </row>
    <row r="362" spans="3:21" ht="12.75">
      <c r="C362" s="121"/>
      <c r="D362" s="111"/>
      <c r="E362" s="137">
        <f t="shared" si="1"/>
        <v>0</v>
      </c>
      <c r="F362" s="102"/>
      <c r="G362" s="102"/>
      <c r="H362" s="102"/>
      <c r="I362" s="102"/>
      <c r="J362" s="102"/>
      <c r="K362" s="102"/>
      <c r="L362" s="102"/>
      <c r="M362" s="102"/>
      <c r="N362" s="102"/>
      <c r="O362" s="102"/>
      <c r="P362" s="102"/>
      <c r="Q362" s="102"/>
      <c r="R362" s="102"/>
      <c r="S362" s="102"/>
      <c r="T362" s="102"/>
      <c r="U362" s="102"/>
    </row>
    <row r="363" spans="3:21" ht="12.75">
      <c r="C363" s="121"/>
      <c r="D363" s="111"/>
      <c r="E363" s="137">
        <f t="shared" si="1"/>
        <v>0</v>
      </c>
      <c r="F363" s="102"/>
      <c r="G363" s="102"/>
      <c r="H363" s="102"/>
      <c r="I363" s="102"/>
      <c r="J363" s="102"/>
      <c r="K363" s="102"/>
      <c r="L363" s="102"/>
      <c r="M363" s="102"/>
      <c r="N363" s="102"/>
      <c r="O363" s="102"/>
      <c r="P363" s="102"/>
      <c r="Q363" s="102"/>
      <c r="R363" s="102"/>
      <c r="S363" s="102"/>
      <c r="T363" s="102"/>
      <c r="U363" s="102"/>
    </row>
    <row r="364" spans="3:21" ht="12.75">
      <c r="C364" s="121"/>
      <c r="D364" s="111"/>
      <c r="E364" s="137">
        <f t="shared" si="1"/>
        <v>0</v>
      </c>
      <c r="F364" s="102"/>
      <c r="G364" s="102"/>
      <c r="H364" s="102"/>
      <c r="I364" s="102"/>
      <c r="J364" s="102"/>
      <c r="K364" s="102"/>
      <c r="L364" s="102"/>
      <c r="M364" s="102"/>
      <c r="N364" s="102"/>
      <c r="O364" s="102"/>
      <c r="P364" s="102"/>
      <c r="Q364" s="102"/>
      <c r="R364" s="102"/>
      <c r="S364" s="102"/>
      <c r="T364" s="102"/>
      <c r="U364" s="102"/>
    </row>
    <row r="365" spans="3:21" ht="12.75">
      <c r="C365" s="121"/>
      <c r="D365" s="111"/>
      <c r="E365" s="137">
        <f t="shared" si="1"/>
        <v>0</v>
      </c>
      <c r="F365" s="102"/>
      <c r="G365" s="102"/>
      <c r="H365" s="102"/>
      <c r="I365" s="102"/>
      <c r="J365" s="102"/>
      <c r="K365" s="102"/>
      <c r="L365" s="102"/>
      <c r="M365" s="102"/>
      <c r="N365" s="102"/>
      <c r="O365" s="102"/>
      <c r="P365" s="102"/>
      <c r="Q365" s="102"/>
      <c r="R365" s="102"/>
      <c r="S365" s="102"/>
      <c r="T365" s="102"/>
      <c r="U365" s="102"/>
    </row>
    <row r="366" spans="3:21" ht="12.75">
      <c r="C366" s="121"/>
      <c r="D366" s="111"/>
      <c r="E366" s="137">
        <f t="shared" si="1"/>
        <v>0</v>
      </c>
      <c r="F366" s="102"/>
      <c r="G366" s="102"/>
      <c r="H366" s="102"/>
      <c r="I366" s="102"/>
      <c r="J366" s="102"/>
      <c r="K366" s="102"/>
      <c r="L366" s="102"/>
      <c r="M366" s="102"/>
      <c r="N366" s="102"/>
      <c r="O366" s="102"/>
      <c r="P366" s="102"/>
      <c r="Q366" s="102"/>
      <c r="R366" s="102"/>
      <c r="S366" s="102"/>
      <c r="T366" s="102"/>
      <c r="U366" s="102"/>
    </row>
    <row r="367" spans="3:21" ht="12.75">
      <c r="C367" s="121"/>
      <c r="D367" s="111"/>
      <c r="E367" s="137">
        <f t="shared" si="1"/>
        <v>0</v>
      </c>
      <c r="F367" s="102"/>
      <c r="G367" s="102"/>
      <c r="H367" s="102"/>
      <c r="I367" s="102"/>
      <c r="J367" s="102"/>
      <c r="K367" s="102"/>
      <c r="L367" s="102"/>
      <c r="M367" s="102"/>
      <c r="N367" s="102"/>
      <c r="O367" s="102"/>
      <c r="P367" s="102"/>
      <c r="Q367" s="102"/>
      <c r="R367" s="102"/>
      <c r="S367" s="102"/>
      <c r="T367" s="102"/>
      <c r="U367" s="102"/>
    </row>
    <row r="368" spans="3:21" ht="12.75">
      <c r="C368" s="121"/>
      <c r="D368" s="111"/>
      <c r="E368" s="137">
        <f t="shared" si="1"/>
        <v>0</v>
      </c>
      <c r="F368" s="102"/>
      <c r="G368" s="102"/>
      <c r="H368" s="102"/>
      <c r="I368" s="102"/>
      <c r="J368" s="102"/>
      <c r="K368" s="102"/>
      <c r="L368" s="102"/>
      <c r="M368" s="102"/>
      <c r="N368" s="102"/>
      <c r="O368" s="102"/>
      <c r="P368" s="102"/>
      <c r="Q368" s="102"/>
      <c r="R368" s="102"/>
      <c r="S368" s="102"/>
      <c r="T368" s="102"/>
      <c r="U368" s="102"/>
    </row>
    <row r="369" spans="3:21" ht="12.75">
      <c r="C369" s="121"/>
      <c r="D369" s="111"/>
      <c r="E369" s="137">
        <f t="shared" si="1"/>
        <v>0</v>
      </c>
      <c r="F369" s="102"/>
      <c r="G369" s="102"/>
      <c r="H369" s="102"/>
      <c r="I369" s="102"/>
      <c r="J369" s="102"/>
      <c r="K369" s="102"/>
      <c r="L369" s="102"/>
      <c r="M369" s="102"/>
      <c r="N369" s="102"/>
      <c r="O369" s="102"/>
      <c r="P369" s="102"/>
      <c r="Q369" s="102"/>
      <c r="R369" s="102"/>
      <c r="S369" s="102"/>
      <c r="T369" s="102"/>
      <c r="U369" s="102"/>
    </row>
    <row r="370" spans="3:21" ht="12.75">
      <c r="C370" s="121"/>
      <c r="D370" s="111"/>
      <c r="E370" s="137">
        <f t="shared" si="1"/>
        <v>0</v>
      </c>
      <c r="F370" s="102"/>
      <c r="G370" s="102"/>
      <c r="H370" s="102"/>
      <c r="I370" s="102"/>
      <c r="J370" s="102"/>
      <c r="K370" s="102"/>
      <c r="L370" s="102"/>
      <c r="M370" s="102"/>
      <c r="N370" s="102"/>
      <c r="O370" s="102"/>
      <c r="P370" s="102"/>
      <c r="Q370" s="102"/>
      <c r="R370" s="102"/>
      <c r="S370" s="102"/>
      <c r="T370" s="102"/>
      <c r="U370" s="102"/>
    </row>
    <row r="371" spans="3:21" ht="12.75">
      <c r="C371" s="121"/>
      <c r="D371" s="111"/>
      <c r="E371" s="137">
        <f t="shared" si="1"/>
        <v>0</v>
      </c>
      <c r="F371" s="102"/>
      <c r="G371" s="102"/>
      <c r="H371" s="102"/>
      <c r="I371" s="102"/>
      <c r="J371" s="102"/>
      <c r="K371" s="102"/>
      <c r="L371" s="102"/>
      <c r="M371" s="102"/>
      <c r="N371" s="102"/>
      <c r="O371" s="102"/>
      <c r="P371" s="102"/>
      <c r="Q371" s="102"/>
      <c r="R371" s="102"/>
      <c r="S371" s="102"/>
      <c r="T371" s="102"/>
      <c r="U371" s="102"/>
    </row>
    <row r="372" spans="3:21" ht="12.75">
      <c r="C372" s="121"/>
      <c r="D372" s="111"/>
      <c r="E372" s="137">
        <f t="shared" si="1"/>
        <v>0</v>
      </c>
      <c r="F372" s="102"/>
      <c r="G372" s="102"/>
      <c r="H372" s="102"/>
      <c r="I372" s="102"/>
      <c r="J372" s="102"/>
      <c r="K372" s="102"/>
      <c r="L372" s="102"/>
      <c r="M372" s="102"/>
      <c r="N372" s="102"/>
      <c r="O372" s="102"/>
      <c r="P372" s="102"/>
      <c r="Q372" s="102"/>
      <c r="R372" s="102"/>
      <c r="S372" s="102"/>
      <c r="T372" s="102"/>
      <c r="U372" s="102"/>
    </row>
    <row r="373" spans="3:21" ht="12.75">
      <c r="C373" s="121"/>
      <c r="D373" s="111"/>
      <c r="E373" s="137">
        <f t="shared" si="1"/>
        <v>0</v>
      </c>
      <c r="F373" s="102"/>
      <c r="G373" s="102"/>
      <c r="H373" s="102"/>
      <c r="I373" s="102"/>
      <c r="J373" s="102"/>
      <c r="K373" s="102"/>
      <c r="L373" s="102"/>
      <c r="M373" s="102"/>
      <c r="N373" s="102"/>
      <c r="O373" s="102"/>
      <c r="P373" s="102"/>
      <c r="Q373" s="102"/>
      <c r="R373" s="102"/>
      <c r="S373" s="102"/>
      <c r="T373" s="102"/>
      <c r="U373" s="102"/>
    </row>
    <row r="374" spans="3:21" ht="12.75">
      <c r="C374" s="121"/>
      <c r="D374" s="111"/>
      <c r="E374" s="137">
        <f t="shared" si="1"/>
        <v>0</v>
      </c>
      <c r="F374" s="102"/>
      <c r="G374" s="102"/>
      <c r="H374" s="102"/>
      <c r="I374" s="102"/>
      <c r="J374" s="102"/>
      <c r="K374" s="102"/>
      <c r="L374" s="102"/>
      <c r="M374" s="102"/>
      <c r="N374" s="102"/>
      <c r="O374" s="102"/>
      <c r="P374" s="102"/>
      <c r="Q374" s="102"/>
      <c r="R374" s="102"/>
      <c r="S374" s="102"/>
      <c r="T374" s="102"/>
      <c r="U374" s="102"/>
    </row>
    <row r="375" spans="3:21" ht="12.75">
      <c r="C375" s="121"/>
      <c r="D375" s="111"/>
      <c r="E375" s="137">
        <f t="shared" si="1"/>
        <v>0</v>
      </c>
      <c r="F375" s="102"/>
      <c r="G375" s="102"/>
      <c r="H375" s="102"/>
      <c r="I375" s="102"/>
      <c r="J375" s="102"/>
      <c r="K375" s="102"/>
      <c r="L375" s="102"/>
      <c r="M375" s="102"/>
      <c r="N375" s="102"/>
      <c r="O375" s="102"/>
      <c r="P375" s="102"/>
      <c r="Q375" s="102"/>
      <c r="R375" s="102"/>
      <c r="S375" s="102"/>
      <c r="T375" s="102"/>
      <c r="U375" s="102"/>
    </row>
    <row r="376" spans="3:21" ht="12.75">
      <c r="C376" s="121"/>
      <c r="D376" s="111"/>
      <c r="E376" s="137">
        <f t="shared" si="1"/>
        <v>0</v>
      </c>
      <c r="F376" s="102"/>
      <c r="G376" s="102"/>
      <c r="H376" s="102"/>
      <c r="I376" s="102"/>
      <c r="J376" s="102"/>
      <c r="K376" s="102"/>
      <c r="L376" s="102"/>
      <c r="M376" s="102"/>
      <c r="N376" s="102"/>
      <c r="O376" s="102"/>
      <c r="P376" s="102"/>
      <c r="Q376" s="102"/>
      <c r="R376" s="102"/>
      <c r="S376" s="102"/>
      <c r="T376" s="102"/>
      <c r="U376" s="102"/>
    </row>
    <row r="377" spans="3:21" ht="12.75">
      <c r="C377" s="121"/>
      <c r="D377" s="111"/>
      <c r="E377" s="137">
        <f t="shared" si="1"/>
        <v>0</v>
      </c>
      <c r="F377" s="102"/>
      <c r="G377" s="102"/>
      <c r="H377" s="102"/>
      <c r="I377" s="102"/>
      <c r="J377" s="102"/>
      <c r="K377" s="102"/>
      <c r="L377" s="102"/>
      <c r="M377" s="102"/>
      <c r="N377" s="102"/>
      <c r="O377" s="102"/>
      <c r="P377" s="102"/>
      <c r="Q377" s="102"/>
      <c r="R377" s="102"/>
      <c r="S377" s="102"/>
      <c r="T377" s="102"/>
      <c r="U377" s="102"/>
    </row>
    <row r="378" spans="3:21" ht="12.75">
      <c r="C378" s="121"/>
      <c r="D378" s="111"/>
      <c r="E378" s="137">
        <f t="shared" si="1"/>
        <v>0</v>
      </c>
      <c r="F378" s="102"/>
      <c r="G378" s="102"/>
      <c r="H378" s="102"/>
      <c r="I378" s="102"/>
      <c r="J378" s="102"/>
      <c r="K378" s="102"/>
      <c r="L378" s="102"/>
      <c r="M378" s="102"/>
      <c r="N378" s="102"/>
      <c r="O378" s="102"/>
      <c r="P378" s="102"/>
      <c r="Q378" s="102"/>
      <c r="R378" s="102"/>
      <c r="S378" s="102"/>
      <c r="T378" s="102"/>
      <c r="U378" s="102"/>
    </row>
    <row r="379" spans="3:21" ht="12.75">
      <c r="C379" s="121"/>
      <c r="D379" s="111"/>
      <c r="E379" s="137">
        <f t="shared" si="1"/>
        <v>0</v>
      </c>
      <c r="F379" s="102"/>
      <c r="G379" s="102"/>
      <c r="H379" s="102"/>
      <c r="I379" s="102"/>
      <c r="J379" s="102"/>
      <c r="K379" s="102"/>
      <c r="L379" s="102"/>
      <c r="M379" s="102"/>
      <c r="N379" s="102"/>
      <c r="O379" s="102"/>
      <c r="P379" s="102"/>
      <c r="Q379" s="102"/>
      <c r="R379" s="102"/>
      <c r="S379" s="102"/>
      <c r="T379" s="102"/>
      <c r="U379" s="102"/>
    </row>
    <row r="380" spans="3:21" ht="12.75">
      <c r="C380" s="121"/>
      <c r="D380" s="111"/>
      <c r="E380" s="137">
        <f t="shared" si="1"/>
        <v>0</v>
      </c>
      <c r="F380" s="102"/>
      <c r="G380" s="102"/>
      <c r="H380" s="102"/>
      <c r="I380" s="102"/>
      <c r="J380" s="102"/>
      <c r="K380" s="102"/>
      <c r="L380" s="102"/>
      <c r="M380" s="102"/>
      <c r="N380" s="102"/>
      <c r="O380" s="102"/>
      <c r="P380" s="102"/>
      <c r="Q380" s="102"/>
      <c r="R380" s="102"/>
      <c r="S380" s="102"/>
      <c r="T380" s="102"/>
      <c r="U380" s="102"/>
    </row>
    <row r="381" spans="3:21" ht="12.75">
      <c r="C381" s="121"/>
      <c r="D381" s="111"/>
      <c r="E381" s="137">
        <f t="shared" si="1"/>
        <v>0</v>
      </c>
      <c r="F381" s="102"/>
      <c r="G381" s="102"/>
      <c r="H381" s="102"/>
      <c r="I381" s="102"/>
      <c r="J381" s="102"/>
      <c r="K381" s="102"/>
      <c r="L381" s="102"/>
      <c r="M381" s="102"/>
      <c r="N381" s="102"/>
      <c r="O381" s="102"/>
      <c r="P381" s="102"/>
      <c r="Q381" s="102"/>
      <c r="R381" s="102"/>
      <c r="S381" s="102"/>
      <c r="T381" s="102"/>
      <c r="U381" s="102"/>
    </row>
    <row r="382" spans="3:21" ht="12.75">
      <c r="C382" s="121"/>
      <c r="D382" s="111"/>
      <c r="E382" s="137">
        <f t="shared" si="1"/>
        <v>0</v>
      </c>
      <c r="F382" s="102"/>
      <c r="G382" s="102"/>
      <c r="H382" s="102"/>
      <c r="I382" s="102"/>
      <c r="J382" s="102"/>
      <c r="K382" s="102"/>
      <c r="L382" s="102"/>
      <c r="M382" s="102"/>
      <c r="N382" s="102"/>
      <c r="O382" s="102"/>
      <c r="P382" s="102"/>
      <c r="Q382" s="102"/>
      <c r="R382" s="102"/>
      <c r="S382" s="102"/>
      <c r="T382" s="102"/>
      <c r="U382" s="102"/>
    </row>
    <row r="383" spans="3:21" ht="12.75">
      <c r="C383" s="121"/>
      <c r="D383" s="111"/>
      <c r="E383" s="137">
        <f t="shared" si="1"/>
        <v>0</v>
      </c>
      <c r="F383" s="102"/>
      <c r="G383" s="102"/>
      <c r="H383" s="102"/>
      <c r="I383" s="102"/>
      <c r="J383" s="102"/>
      <c r="K383" s="102"/>
      <c r="L383" s="102"/>
      <c r="M383" s="102"/>
      <c r="N383" s="102"/>
      <c r="O383" s="102"/>
      <c r="P383" s="102"/>
      <c r="Q383" s="102"/>
      <c r="R383" s="102"/>
      <c r="S383" s="102"/>
      <c r="T383" s="102"/>
      <c r="U383" s="102"/>
    </row>
    <row r="384" spans="3:21" ht="12.75">
      <c r="C384" s="121"/>
      <c r="D384" s="111"/>
      <c r="E384" s="137">
        <f t="shared" si="1"/>
        <v>0</v>
      </c>
      <c r="F384" s="102"/>
      <c r="G384" s="102"/>
      <c r="H384" s="102"/>
      <c r="I384" s="102"/>
      <c r="J384" s="102"/>
      <c r="K384" s="102"/>
      <c r="L384" s="102"/>
      <c r="M384" s="102"/>
      <c r="N384" s="102"/>
      <c r="O384" s="102"/>
      <c r="P384" s="102"/>
      <c r="Q384" s="102"/>
      <c r="R384" s="102"/>
      <c r="S384" s="102"/>
      <c r="T384" s="102"/>
      <c r="U384" s="102"/>
    </row>
    <row r="385" spans="3:21" ht="12.75">
      <c r="C385" s="121"/>
      <c r="D385" s="111"/>
      <c r="E385" s="137">
        <f t="shared" si="1"/>
        <v>0</v>
      </c>
      <c r="F385" s="102"/>
      <c r="G385" s="102"/>
      <c r="H385" s="102"/>
      <c r="I385" s="102"/>
      <c r="J385" s="102"/>
      <c r="K385" s="102"/>
      <c r="L385" s="102"/>
      <c r="M385" s="102"/>
      <c r="N385" s="102"/>
      <c r="O385" s="102"/>
      <c r="P385" s="102"/>
      <c r="Q385" s="102"/>
      <c r="R385" s="102"/>
      <c r="S385" s="102"/>
      <c r="T385" s="102"/>
      <c r="U385" s="102"/>
    </row>
    <row r="386" spans="3:21" ht="12.75">
      <c r="C386" s="121"/>
      <c r="D386" s="111"/>
      <c r="E386" s="137">
        <f t="shared" si="1"/>
        <v>0</v>
      </c>
      <c r="F386" s="102"/>
      <c r="G386" s="102"/>
      <c r="H386" s="102"/>
      <c r="I386" s="102"/>
      <c r="J386" s="102"/>
      <c r="K386" s="102"/>
      <c r="L386" s="102"/>
      <c r="M386" s="102"/>
      <c r="N386" s="102"/>
      <c r="O386" s="102"/>
      <c r="P386" s="102"/>
      <c r="Q386" s="102"/>
      <c r="R386" s="102"/>
      <c r="S386" s="102"/>
      <c r="T386" s="102"/>
      <c r="U386" s="102"/>
    </row>
    <row r="387" spans="3:21" ht="12.75">
      <c r="C387" s="121"/>
      <c r="D387" s="111"/>
      <c r="E387" s="137">
        <f t="shared" si="1"/>
        <v>0</v>
      </c>
      <c r="F387" s="102"/>
      <c r="G387" s="102"/>
      <c r="H387" s="102"/>
      <c r="I387" s="102"/>
      <c r="J387" s="102"/>
      <c r="K387" s="102"/>
      <c r="L387" s="102"/>
      <c r="M387" s="102"/>
      <c r="N387" s="102"/>
      <c r="O387" s="102"/>
      <c r="P387" s="102"/>
      <c r="Q387" s="102"/>
      <c r="R387" s="102"/>
      <c r="S387" s="102"/>
      <c r="T387" s="102"/>
      <c r="U387" s="102"/>
    </row>
    <row r="388" spans="3:21" ht="12.75">
      <c r="C388" s="121"/>
      <c r="D388" s="111"/>
      <c r="E388" s="137">
        <f t="shared" si="1"/>
        <v>0</v>
      </c>
      <c r="F388" s="102"/>
      <c r="G388" s="102"/>
      <c r="H388" s="102"/>
      <c r="I388" s="102"/>
      <c r="J388" s="102"/>
      <c r="K388" s="102"/>
      <c r="L388" s="102"/>
      <c r="M388" s="102"/>
      <c r="N388" s="102"/>
      <c r="O388" s="102"/>
      <c r="P388" s="102"/>
      <c r="Q388" s="102"/>
      <c r="R388" s="102"/>
      <c r="S388" s="102"/>
      <c r="T388" s="102"/>
      <c r="U388" s="102"/>
    </row>
    <row r="389" spans="3:21" ht="12.75">
      <c r="C389" s="121"/>
      <c r="D389" s="111"/>
      <c r="E389" s="137">
        <f t="shared" si="1"/>
        <v>0</v>
      </c>
      <c r="F389" s="102"/>
      <c r="G389" s="102"/>
      <c r="H389" s="102"/>
      <c r="I389" s="102"/>
      <c r="J389" s="102"/>
      <c r="K389" s="102"/>
      <c r="L389" s="102"/>
      <c r="M389" s="102"/>
      <c r="N389" s="102"/>
      <c r="O389" s="102"/>
      <c r="P389" s="102"/>
      <c r="Q389" s="102"/>
      <c r="R389" s="102"/>
      <c r="S389" s="102"/>
      <c r="T389" s="102"/>
      <c r="U389" s="102"/>
    </row>
    <row r="390" spans="3:21" ht="12.75">
      <c r="C390" s="121"/>
      <c r="D390" s="111"/>
      <c r="E390" s="137">
        <f t="shared" si="1"/>
        <v>0</v>
      </c>
      <c r="F390" s="102"/>
      <c r="G390" s="102"/>
      <c r="H390" s="102"/>
      <c r="I390" s="102"/>
      <c r="J390" s="102"/>
      <c r="K390" s="102"/>
      <c r="L390" s="102"/>
      <c r="M390" s="102"/>
      <c r="N390" s="102"/>
      <c r="O390" s="102"/>
      <c r="P390" s="102"/>
      <c r="Q390" s="102"/>
      <c r="R390" s="102"/>
      <c r="S390" s="102"/>
      <c r="T390" s="102"/>
      <c r="U390" s="102"/>
    </row>
    <row r="391" spans="3:21" ht="12.75">
      <c r="C391" s="121"/>
      <c r="D391" s="111"/>
      <c r="E391" s="137">
        <f t="shared" si="1"/>
        <v>0</v>
      </c>
      <c r="F391" s="102"/>
      <c r="G391" s="102"/>
      <c r="H391" s="102"/>
      <c r="I391" s="102"/>
      <c r="J391" s="102"/>
      <c r="K391" s="102"/>
      <c r="L391" s="102"/>
      <c r="M391" s="102"/>
      <c r="N391" s="102"/>
      <c r="O391" s="102"/>
      <c r="P391" s="102"/>
      <c r="Q391" s="102"/>
      <c r="R391" s="102"/>
      <c r="S391" s="102"/>
      <c r="T391" s="102"/>
      <c r="U391" s="102"/>
    </row>
    <row r="392" spans="3:21" ht="12.75">
      <c r="C392" s="121"/>
      <c r="D392" s="111"/>
      <c r="E392" s="137">
        <f t="shared" si="1"/>
        <v>0</v>
      </c>
      <c r="F392" s="102"/>
      <c r="G392" s="102"/>
      <c r="H392" s="102"/>
      <c r="I392" s="102"/>
      <c r="J392" s="102"/>
      <c r="K392" s="102"/>
      <c r="L392" s="102"/>
      <c r="M392" s="102"/>
      <c r="N392" s="102"/>
      <c r="O392" s="102"/>
      <c r="P392" s="102"/>
      <c r="Q392" s="102"/>
      <c r="R392" s="102"/>
      <c r="S392" s="102"/>
      <c r="T392" s="102"/>
      <c r="U392" s="102"/>
    </row>
    <row r="393" spans="3:21" ht="12.75">
      <c r="C393" s="121"/>
      <c r="D393" s="111"/>
      <c r="E393" s="137">
        <f t="shared" si="1"/>
        <v>0</v>
      </c>
      <c r="F393" s="102"/>
      <c r="G393" s="102"/>
      <c r="H393" s="102"/>
      <c r="I393" s="102"/>
      <c r="J393" s="102"/>
      <c r="K393" s="102"/>
      <c r="L393" s="102"/>
      <c r="M393" s="102"/>
      <c r="N393" s="102"/>
      <c r="O393" s="102"/>
      <c r="P393" s="102"/>
      <c r="Q393" s="102"/>
      <c r="R393" s="102"/>
      <c r="S393" s="102"/>
      <c r="T393" s="102"/>
      <c r="U393" s="102"/>
    </row>
    <row r="394" spans="3:21" ht="12.75">
      <c r="C394" s="121"/>
      <c r="D394" s="111"/>
      <c r="E394" s="137">
        <f t="shared" si="1"/>
        <v>0</v>
      </c>
      <c r="F394" s="102"/>
      <c r="G394" s="102"/>
      <c r="H394" s="102"/>
      <c r="I394" s="102"/>
      <c r="J394" s="102"/>
      <c r="K394" s="102"/>
      <c r="L394" s="102"/>
      <c r="M394" s="102"/>
      <c r="N394" s="102"/>
      <c r="O394" s="102"/>
      <c r="P394" s="102"/>
      <c r="Q394" s="102"/>
      <c r="R394" s="102"/>
      <c r="S394" s="102"/>
      <c r="T394" s="102"/>
      <c r="U394" s="102"/>
    </row>
    <row r="395" spans="3:21" ht="12.75">
      <c r="C395" s="121"/>
      <c r="D395" s="111"/>
      <c r="E395" s="137">
        <f t="shared" si="1"/>
        <v>0</v>
      </c>
      <c r="F395" s="102"/>
      <c r="G395" s="102"/>
      <c r="H395" s="102"/>
      <c r="I395" s="102"/>
      <c r="J395" s="102"/>
      <c r="K395" s="102"/>
      <c r="L395" s="102"/>
      <c r="M395" s="102"/>
      <c r="N395" s="102"/>
      <c r="O395" s="102"/>
      <c r="P395" s="102"/>
      <c r="Q395" s="102"/>
      <c r="R395" s="102"/>
      <c r="S395" s="102"/>
      <c r="T395" s="102"/>
      <c r="U395" s="102"/>
    </row>
    <row r="396" spans="3:21" ht="12.75">
      <c r="C396" s="121"/>
      <c r="D396" s="111"/>
      <c r="E396" s="137">
        <f t="shared" si="1"/>
        <v>0</v>
      </c>
      <c r="F396" s="102"/>
      <c r="G396" s="102"/>
      <c r="H396" s="102"/>
      <c r="I396" s="102"/>
      <c r="J396" s="102"/>
      <c r="K396" s="102"/>
      <c r="L396" s="102"/>
      <c r="M396" s="102"/>
      <c r="N396" s="102"/>
      <c r="O396" s="102"/>
      <c r="P396" s="102"/>
      <c r="Q396" s="102"/>
      <c r="R396" s="102"/>
      <c r="S396" s="102"/>
      <c r="T396" s="102"/>
      <c r="U396" s="102"/>
    </row>
    <row r="397" spans="3:21" ht="12.75">
      <c r="C397" s="121"/>
      <c r="D397" s="111"/>
      <c r="E397" s="137">
        <f t="shared" si="1"/>
        <v>0</v>
      </c>
      <c r="F397" s="102"/>
      <c r="G397" s="102"/>
      <c r="H397" s="102"/>
      <c r="I397" s="102"/>
      <c r="J397" s="102"/>
      <c r="K397" s="102"/>
      <c r="L397" s="102"/>
      <c r="M397" s="102"/>
      <c r="N397" s="102"/>
      <c r="O397" s="102"/>
      <c r="P397" s="102"/>
      <c r="Q397" s="102"/>
      <c r="R397" s="102"/>
      <c r="S397" s="102"/>
      <c r="T397" s="102"/>
      <c r="U397" s="102"/>
    </row>
    <row r="398" spans="3:21" ht="12.75">
      <c r="C398" s="121"/>
      <c r="D398" s="111"/>
      <c r="E398" s="137">
        <f t="shared" si="1"/>
        <v>0</v>
      </c>
      <c r="F398" s="102"/>
      <c r="G398" s="102"/>
      <c r="H398" s="102"/>
      <c r="I398" s="102"/>
      <c r="J398" s="102"/>
      <c r="K398" s="102"/>
      <c r="L398" s="102"/>
      <c r="M398" s="102"/>
      <c r="N398" s="102"/>
      <c r="O398" s="102"/>
      <c r="P398" s="102"/>
      <c r="Q398" s="102"/>
      <c r="R398" s="102"/>
      <c r="S398" s="102"/>
      <c r="T398" s="102"/>
      <c r="U398" s="102"/>
    </row>
    <row r="399" spans="3:21" ht="12.75">
      <c r="C399" s="121"/>
      <c r="D399" s="111"/>
      <c r="E399" s="137">
        <f t="shared" si="1"/>
        <v>0</v>
      </c>
      <c r="F399" s="102"/>
      <c r="G399" s="102"/>
      <c r="H399" s="102"/>
      <c r="I399" s="102"/>
      <c r="J399" s="102"/>
      <c r="K399" s="102"/>
      <c r="L399" s="102"/>
      <c r="M399" s="102"/>
      <c r="N399" s="102"/>
      <c r="O399" s="102"/>
      <c r="P399" s="102"/>
      <c r="Q399" s="102"/>
      <c r="R399" s="102"/>
      <c r="S399" s="102"/>
      <c r="T399" s="102"/>
      <c r="U399" s="102"/>
    </row>
    <row r="400" spans="3:21" ht="12.75">
      <c r="C400" s="121"/>
      <c r="D400" s="111"/>
      <c r="E400" s="137">
        <f t="shared" si="1"/>
        <v>0</v>
      </c>
      <c r="F400" s="102"/>
      <c r="G400" s="102"/>
      <c r="H400" s="102"/>
      <c r="I400" s="102"/>
      <c r="J400" s="102"/>
      <c r="K400" s="102"/>
      <c r="L400" s="102"/>
      <c r="M400" s="102"/>
      <c r="N400" s="102"/>
      <c r="O400" s="102"/>
      <c r="P400" s="102"/>
      <c r="Q400" s="102"/>
      <c r="R400" s="102"/>
      <c r="S400" s="102"/>
      <c r="T400" s="102"/>
      <c r="U400" s="102"/>
    </row>
    <row r="401" spans="3:21" ht="12.75">
      <c r="C401" s="121"/>
      <c r="D401" s="111"/>
      <c r="E401" s="137">
        <f t="shared" si="1"/>
        <v>0</v>
      </c>
      <c r="F401" s="102"/>
      <c r="G401" s="102"/>
      <c r="H401" s="102"/>
      <c r="I401" s="102"/>
      <c r="J401" s="102"/>
      <c r="K401" s="102"/>
      <c r="L401" s="102"/>
      <c r="M401" s="102"/>
      <c r="N401" s="102"/>
      <c r="O401" s="102"/>
      <c r="P401" s="102"/>
      <c r="Q401" s="102"/>
      <c r="R401" s="102"/>
      <c r="S401" s="102"/>
      <c r="T401" s="102"/>
      <c r="U401" s="102"/>
    </row>
    <row r="402" spans="3:21" ht="12.75">
      <c r="C402" s="121"/>
      <c r="D402" s="111"/>
      <c r="E402" s="137">
        <f t="shared" si="1"/>
        <v>0</v>
      </c>
      <c r="F402" s="102"/>
      <c r="G402" s="102"/>
      <c r="H402" s="102"/>
      <c r="I402" s="102"/>
      <c r="J402" s="102"/>
      <c r="K402" s="102"/>
      <c r="L402" s="102"/>
      <c r="M402" s="102"/>
      <c r="N402" s="102"/>
      <c r="O402" s="102"/>
      <c r="P402" s="102"/>
      <c r="Q402" s="102"/>
      <c r="R402" s="102"/>
      <c r="S402" s="102"/>
      <c r="T402" s="102"/>
      <c r="U402" s="102"/>
    </row>
    <row r="403" spans="3:21" ht="12.75">
      <c r="C403" s="121"/>
      <c r="D403" s="111"/>
      <c r="E403" s="137">
        <f t="shared" si="1"/>
        <v>0</v>
      </c>
      <c r="F403" s="102"/>
      <c r="G403" s="102"/>
      <c r="H403" s="102"/>
      <c r="I403" s="102"/>
      <c r="J403" s="102"/>
      <c r="K403" s="102"/>
      <c r="L403" s="102"/>
      <c r="M403" s="102"/>
      <c r="N403" s="102"/>
      <c r="O403" s="102"/>
      <c r="P403" s="102"/>
      <c r="Q403" s="102"/>
      <c r="R403" s="102"/>
      <c r="S403" s="102"/>
      <c r="T403" s="102"/>
      <c r="U403" s="102"/>
    </row>
    <row r="404" spans="3:21" ht="12.75">
      <c r="C404" s="121"/>
      <c r="D404" s="111"/>
      <c r="E404" s="137">
        <f t="shared" si="1"/>
        <v>0</v>
      </c>
      <c r="F404" s="102"/>
      <c r="G404" s="102"/>
      <c r="H404" s="102"/>
      <c r="I404" s="102"/>
      <c r="J404" s="102"/>
      <c r="K404" s="102"/>
      <c r="L404" s="102"/>
      <c r="M404" s="102"/>
      <c r="N404" s="102"/>
      <c r="O404" s="102"/>
      <c r="P404" s="102"/>
      <c r="Q404" s="102"/>
      <c r="R404" s="102"/>
      <c r="S404" s="102"/>
      <c r="T404" s="102"/>
      <c r="U404" s="102"/>
    </row>
    <row r="405" spans="3:21" ht="12.75">
      <c r="C405" s="121"/>
      <c r="D405" s="111"/>
      <c r="E405" s="137">
        <f t="shared" si="1"/>
        <v>0</v>
      </c>
      <c r="F405" s="102"/>
      <c r="G405" s="102"/>
      <c r="H405" s="102"/>
      <c r="I405" s="102"/>
      <c r="J405" s="102"/>
      <c r="K405" s="102"/>
      <c r="L405" s="102"/>
      <c r="M405" s="102"/>
      <c r="N405" s="102"/>
      <c r="O405" s="102"/>
      <c r="P405" s="102"/>
      <c r="Q405" s="102"/>
      <c r="R405" s="102"/>
      <c r="S405" s="102"/>
      <c r="T405" s="102"/>
      <c r="U405" s="102"/>
    </row>
    <row r="406" spans="3:21" ht="12.75">
      <c r="C406" s="121"/>
      <c r="D406" s="111"/>
      <c r="E406" s="137">
        <f t="shared" si="1"/>
        <v>0</v>
      </c>
      <c r="F406" s="102"/>
      <c r="G406" s="102"/>
      <c r="H406" s="102"/>
      <c r="I406" s="102"/>
      <c r="J406" s="102"/>
      <c r="K406" s="102"/>
      <c r="L406" s="102"/>
      <c r="M406" s="102"/>
      <c r="N406" s="102"/>
      <c r="O406" s="102"/>
      <c r="P406" s="102"/>
      <c r="Q406" s="102"/>
      <c r="R406" s="102"/>
      <c r="S406" s="102"/>
      <c r="T406" s="102"/>
      <c r="U406" s="102"/>
    </row>
    <row r="407" spans="3:21" ht="12.75">
      <c r="C407" s="121"/>
      <c r="D407" s="111"/>
      <c r="E407" s="137">
        <f t="shared" si="1"/>
        <v>0</v>
      </c>
      <c r="F407" s="102"/>
      <c r="G407" s="102"/>
      <c r="H407" s="102"/>
      <c r="I407" s="102"/>
      <c r="J407" s="102"/>
      <c r="K407" s="102"/>
      <c r="L407" s="102"/>
      <c r="M407" s="102"/>
      <c r="N407" s="102"/>
      <c r="O407" s="102"/>
      <c r="P407" s="102"/>
      <c r="Q407" s="102"/>
      <c r="R407" s="102"/>
      <c r="S407" s="102"/>
      <c r="T407" s="102"/>
      <c r="U407" s="102"/>
    </row>
    <row r="408" spans="3:21" ht="12.75">
      <c r="C408" s="121"/>
      <c r="D408" s="111"/>
      <c r="E408" s="137">
        <f t="shared" si="1"/>
        <v>0</v>
      </c>
      <c r="F408" s="102"/>
      <c r="G408" s="102"/>
      <c r="H408" s="102"/>
      <c r="I408" s="102"/>
      <c r="J408" s="102"/>
      <c r="K408" s="102"/>
      <c r="L408" s="102"/>
      <c r="M408" s="102"/>
      <c r="N408" s="102"/>
      <c r="O408" s="102"/>
      <c r="P408" s="102"/>
      <c r="Q408" s="102"/>
      <c r="R408" s="102"/>
      <c r="S408" s="102"/>
      <c r="T408" s="102"/>
      <c r="U408" s="102"/>
    </row>
    <row r="409" spans="3:21" ht="12.75">
      <c r="C409" s="121"/>
      <c r="D409" s="111"/>
      <c r="E409" s="137">
        <f t="shared" si="1"/>
        <v>0</v>
      </c>
      <c r="F409" s="102"/>
      <c r="G409" s="102"/>
      <c r="H409" s="102"/>
      <c r="I409" s="102"/>
      <c r="J409" s="102"/>
      <c r="K409" s="102"/>
      <c r="L409" s="102"/>
      <c r="M409" s="102"/>
      <c r="N409" s="102"/>
      <c r="O409" s="102"/>
      <c r="P409" s="102"/>
      <c r="Q409" s="102"/>
      <c r="R409" s="102"/>
      <c r="S409" s="102"/>
      <c r="T409" s="102"/>
      <c r="U409" s="102"/>
    </row>
    <row r="410" spans="3:21" ht="12.75">
      <c r="C410" s="121"/>
      <c r="D410" s="111"/>
      <c r="E410" s="137">
        <f t="shared" si="1"/>
        <v>0</v>
      </c>
      <c r="F410" s="102"/>
      <c r="G410" s="102"/>
      <c r="H410" s="102"/>
      <c r="I410" s="102"/>
      <c r="J410" s="102"/>
      <c r="K410" s="102"/>
      <c r="L410" s="102"/>
      <c r="M410" s="102"/>
      <c r="N410" s="102"/>
      <c r="O410" s="102"/>
      <c r="P410" s="102"/>
      <c r="Q410" s="102"/>
      <c r="R410" s="102"/>
      <c r="S410" s="102"/>
      <c r="T410" s="102"/>
      <c r="U410" s="102"/>
    </row>
    <row r="411" spans="3:21" ht="12.75">
      <c r="C411" s="121"/>
      <c r="D411" s="111"/>
      <c r="E411" s="137">
        <f t="shared" si="1"/>
        <v>0</v>
      </c>
      <c r="F411" s="102"/>
      <c r="G411" s="102"/>
      <c r="H411" s="102"/>
      <c r="I411" s="102"/>
      <c r="J411" s="102"/>
      <c r="K411" s="102"/>
      <c r="L411" s="102"/>
      <c r="M411" s="102"/>
      <c r="N411" s="102"/>
      <c r="O411" s="102"/>
      <c r="P411" s="102"/>
      <c r="Q411" s="102"/>
      <c r="R411" s="102"/>
      <c r="S411" s="102"/>
      <c r="T411" s="102"/>
      <c r="U411" s="102"/>
    </row>
    <row r="412" spans="3:21" ht="12.75">
      <c r="C412" s="121"/>
      <c r="D412" s="111"/>
      <c r="E412" s="137">
        <f t="shared" si="1"/>
        <v>0</v>
      </c>
      <c r="F412" s="102"/>
      <c r="G412" s="102"/>
      <c r="H412" s="102"/>
      <c r="I412" s="102"/>
      <c r="J412" s="102"/>
      <c r="K412" s="102"/>
      <c r="L412" s="102"/>
      <c r="M412" s="102"/>
      <c r="N412" s="102"/>
      <c r="O412" s="102"/>
      <c r="P412" s="102"/>
      <c r="Q412" s="102"/>
      <c r="R412" s="102"/>
      <c r="S412" s="102"/>
      <c r="T412" s="102"/>
      <c r="U412" s="102"/>
    </row>
    <row r="413" spans="3:21" ht="12.75">
      <c r="C413" s="121"/>
      <c r="D413" s="111"/>
      <c r="E413" s="137">
        <f t="shared" si="1"/>
        <v>0</v>
      </c>
      <c r="F413" s="102"/>
      <c r="G413" s="102"/>
      <c r="H413" s="102"/>
      <c r="I413" s="102"/>
      <c r="J413" s="102"/>
      <c r="K413" s="102"/>
      <c r="L413" s="102"/>
      <c r="M413" s="102"/>
      <c r="N413" s="102"/>
      <c r="O413" s="102"/>
      <c r="P413" s="102"/>
      <c r="Q413" s="102"/>
      <c r="R413" s="102"/>
      <c r="S413" s="102"/>
      <c r="T413" s="102"/>
      <c r="U413" s="102"/>
    </row>
    <row r="414" spans="3:21" ht="12.75">
      <c r="C414" s="121"/>
      <c r="D414" s="111"/>
      <c r="E414" s="137">
        <f t="shared" si="1"/>
        <v>0</v>
      </c>
      <c r="F414" s="102"/>
      <c r="G414" s="102"/>
      <c r="H414" s="102"/>
      <c r="I414" s="102"/>
      <c r="J414" s="102"/>
      <c r="K414" s="102"/>
      <c r="L414" s="102"/>
      <c r="M414" s="102"/>
      <c r="N414" s="102"/>
      <c r="O414" s="102"/>
      <c r="P414" s="102"/>
      <c r="Q414" s="102"/>
      <c r="R414" s="102"/>
      <c r="S414" s="102"/>
      <c r="T414" s="102"/>
      <c r="U414" s="102"/>
    </row>
    <row r="415" spans="3:21" ht="12.75">
      <c r="C415" s="121"/>
      <c r="D415" s="111"/>
      <c r="E415" s="137">
        <f t="shared" si="1"/>
        <v>0</v>
      </c>
      <c r="F415" s="102"/>
      <c r="G415" s="102"/>
      <c r="H415" s="102"/>
      <c r="I415" s="102"/>
      <c r="J415" s="102"/>
      <c r="K415" s="102"/>
      <c r="L415" s="102"/>
      <c r="M415" s="102"/>
      <c r="N415" s="102"/>
      <c r="O415" s="102"/>
      <c r="P415" s="102"/>
      <c r="Q415" s="102"/>
      <c r="R415" s="102"/>
      <c r="S415" s="102"/>
      <c r="T415" s="102"/>
      <c r="U415" s="102"/>
    </row>
    <row r="416" spans="3:21" ht="12.75">
      <c r="C416" s="121"/>
      <c r="D416" s="111"/>
      <c r="E416" s="137">
        <f t="shared" si="1"/>
        <v>0</v>
      </c>
      <c r="F416" s="102"/>
      <c r="G416" s="102"/>
      <c r="H416" s="102"/>
      <c r="I416" s="102"/>
      <c r="J416" s="102"/>
      <c r="K416" s="102"/>
      <c r="L416" s="102"/>
      <c r="M416" s="102"/>
      <c r="N416" s="102"/>
      <c r="O416" s="102"/>
      <c r="P416" s="102"/>
      <c r="Q416" s="102"/>
      <c r="R416" s="102"/>
      <c r="S416" s="102"/>
      <c r="T416" s="102"/>
      <c r="U416" s="102"/>
    </row>
    <row r="417" spans="3:21" ht="12.75">
      <c r="C417" s="121"/>
      <c r="D417" s="111"/>
      <c r="E417" s="137">
        <f t="shared" si="1"/>
        <v>0</v>
      </c>
      <c r="F417" s="102"/>
      <c r="G417" s="102"/>
      <c r="H417" s="102"/>
      <c r="I417" s="102"/>
      <c r="J417" s="102"/>
      <c r="K417" s="102"/>
      <c r="L417" s="102"/>
      <c r="M417" s="102"/>
      <c r="N417" s="102"/>
      <c r="O417" s="102"/>
      <c r="P417" s="102"/>
      <c r="Q417" s="102"/>
      <c r="R417" s="102"/>
      <c r="S417" s="102"/>
      <c r="T417" s="102"/>
      <c r="U417" s="102"/>
    </row>
    <row r="418" spans="3:21" ht="12.75">
      <c r="C418" s="121"/>
      <c r="D418" s="111"/>
      <c r="E418" s="137">
        <f t="shared" si="1"/>
        <v>0</v>
      </c>
      <c r="F418" s="102"/>
      <c r="G418" s="102"/>
      <c r="H418" s="102"/>
      <c r="I418" s="102"/>
      <c r="J418" s="102"/>
      <c r="K418" s="102"/>
      <c r="L418" s="102"/>
      <c r="M418" s="102"/>
      <c r="N418" s="102"/>
      <c r="O418" s="102"/>
      <c r="P418" s="102"/>
      <c r="Q418" s="102"/>
      <c r="R418" s="102"/>
      <c r="S418" s="102"/>
      <c r="T418" s="102"/>
      <c r="U418" s="102"/>
    </row>
    <row r="419" spans="3:21" ht="12.75">
      <c r="C419" s="121"/>
      <c r="D419" s="111"/>
      <c r="E419" s="137">
        <f t="shared" si="1"/>
        <v>0</v>
      </c>
      <c r="F419" s="102"/>
      <c r="G419" s="102"/>
      <c r="H419" s="102"/>
      <c r="I419" s="102"/>
      <c r="J419" s="102"/>
      <c r="K419" s="102"/>
      <c r="L419" s="102"/>
      <c r="M419" s="102"/>
      <c r="N419" s="102"/>
      <c r="O419" s="102"/>
      <c r="P419" s="102"/>
      <c r="Q419" s="102"/>
      <c r="R419" s="102"/>
      <c r="S419" s="102"/>
      <c r="T419" s="102"/>
      <c r="U419" s="102"/>
    </row>
    <row r="420" spans="3:21" ht="12.75">
      <c r="C420" s="121"/>
      <c r="D420" s="111"/>
      <c r="E420" s="137">
        <f t="shared" si="1"/>
        <v>0</v>
      </c>
      <c r="F420" s="102"/>
      <c r="G420" s="102"/>
      <c r="H420" s="102"/>
      <c r="I420" s="102"/>
      <c r="J420" s="102"/>
      <c r="K420" s="102"/>
      <c r="L420" s="102"/>
      <c r="M420" s="102"/>
      <c r="N420" s="102"/>
      <c r="O420" s="102"/>
      <c r="P420" s="102"/>
      <c r="Q420" s="102"/>
      <c r="R420" s="102"/>
      <c r="S420" s="102"/>
      <c r="T420" s="102"/>
      <c r="U420" s="102"/>
    </row>
    <row r="421" spans="3:21" ht="12.75">
      <c r="C421" s="121"/>
      <c r="D421" s="111"/>
      <c r="E421" s="137">
        <f t="shared" si="1"/>
        <v>0</v>
      </c>
      <c r="F421" s="102"/>
      <c r="G421" s="102"/>
      <c r="H421" s="102"/>
      <c r="I421" s="102"/>
      <c r="J421" s="102"/>
      <c r="K421" s="102"/>
      <c r="L421" s="102"/>
      <c r="M421" s="102"/>
      <c r="N421" s="102"/>
      <c r="O421" s="102"/>
      <c r="P421" s="102"/>
      <c r="Q421" s="102"/>
      <c r="R421" s="102"/>
      <c r="S421" s="102"/>
      <c r="T421" s="102"/>
      <c r="U421" s="102"/>
    </row>
    <row r="422" spans="3:21" ht="12.75">
      <c r="C422" s="121"/>
      <c r="D422" s="111"/>
      <c r="E422" s="137">
        <f t="shared" si="1"/>
        <v>0</v>
      </c>
      <c r="F422" s="102"/>
      <c r="G422" s="102"/>
      <c r="H422" s="102"/>
      <c r="I422" s="102"/>
      <c r="J422" s="102"/>
      <c r="K422" s="102"/>
      <c r="L422" s="102"/>
      <c r="M422" s="102"/>
      <c r="N422" s="102"/>
      <c r="O422" s="102"/>
      <c r="P422" s="102"/>
      <c r="Q422" s="102"/>
      <c r="R422" s="102"/>
      <c r="S422" s="102"/>
      <c r="T422" s="102"/>
      <c r="U422" s="102"/>
    </row>
    <row r="423" spans="3:21" ht="12.75">
      <c r="C423" s="121"/>
      <c r="D423" s="111"/>
      <c r="E423" s="137">
        <f t="shared" si="1"/>
        <v>0</v>
      </c>
      <c r="F423" s="102"/>
      <c r="G423" s="102"/>
      <c r="H423" s="102"/>
      <c r="I423" s="102"/>
      <c r="J423" s="102"/>
      <c r="K423" s="102"/>
      <c r="L423" s="102"/>
      <c r="M423" s="102"/>
      <c r="N423" s="102"/>
      <c r="O423" s="102"/>
      <c r="P423" s="102"/>
      <c r="Q423" s="102"/>
      <c r="R423" s="102"/>
      <c r="S423" s="102"/>
      <c r="T423" s="102"/>
      <c r="U423" s="102"/>
    </row>
    <row r="424" spans="3:21" ht="12.75">
      <c r="C424" s="121"/>
      <c r="D424" s="111"/>
      <c r="E424" s="137">
        <f t="shared" si="1"/>
        <v>0</v>
      </c>
      <c r="F424" s="102"/>
      <c r="G424" s="102"/>
      <c r="H424" s="102"/>
      <c r="I424" s="102"/>
      <c r="J424" s="102"/>
      <c r="K424" s="102"/>
      <c r="L424" s="102"/>
      <c r="M424" s="102"/>
      <c r="N424" s="102"/>
      <c r="O424" s="102"/>
      <c r="P424" s="102"/>
      <c r="Q424" s="102"/>
      <c r="R424" s="102"/>
      <c r="S424" s="102"/>
      <c r="T424" s="102"/>
      <c r="U424" s="102"/>
    </row>
    <row r="425" spans="3:21" ht="12.75">
      <c r="C425" s="121"/>
      <c r="D425" s="111"/>
      <c r="E425" s="137">
        <f t="shared" si="1"/>
        <v>0</v>
      </c>
      <c r="F425" s="102"/>
      <c r="G425" s="102"/>
      <c r="H425" s="102"/>
      <c r="I425" s="102"/>
      <c r="J425" s="102"/>
      <c r="K425" s="102"/>
      <c r="L425" s="102"/>
      <c r="M425" s="102"/>
      <c r="N425" s="102"/>
      <c r="O425" s="102"/>
      <c r="P425" s="102"/>
      <c r="Q425" s="102"/>
      <c r="R425" s="102"/>
      <c r="S425" s="102"/>
      <c r="T425" s="102"/>
      <c r="U425" s="102"/>
    </row>
    <row r="426" spans="3:21" ht="12.75">
      <c r="C426" s="121"/>
      <c r="D426" s="111"/>
      <c r="E426" s="137">
        <f t="shared" si="1"/>
        <v>0</v>
      </c>
      <c r="F426" s="102"/>
      <c r="G426" s="102"/>
      <c r="H426" s="102"/>
      <c r="I426" s="102"/>
      <c r="J426" s="102"/>
      <c r="K426" s="102"/>
      <c r="L426" s="102"/>
      <c r="M426" s="102"/>
      <c r="N426" s="102"/>
      <c r="O426" s="102"/>
      <c r="P426" s="102"/>
      <c r="Q426" s="102"/>
      <c r="R426" s="102"/>
      <c r="S426" s="102"/>
      <c r="T426" s="102"/>
      <c r="U426" s="102"/>
    </row>
    <row r="427" spans="3:21" ht="12.75">
      <c r="C427" s="121"/>
      <c r="D427" s="111"/>
      <c r="E427" s="137">
        <f t="shared" si="1"/>
        <v>0</v>
      </c>
      <c r="F427" s="102"/>
      <c r="G427" s="102"/>
      <c r="H427" s="102"/>
      <c r="I427" s="102"/>
      <c r="J427" s="102"/>
      <c r="K427" s="102"/>
      <c r="L427" s="102"/>
      <c r="M427" s="102"/>
      <c r="N427" s="102"/>
      <c r="O427" s="102"/>
      <c r="P427" s="102"/>
      <c r="Q427" s="102"/>
      <c r="R427" s="102"/>
      <c r="S427" s="102"/>
      <c r="T427" s="102"/>
      <c r="U427" s="102"/>
    </row>
    <row r="428" spans="3:21" ht="12.75">
      <c r="C428" s="121"/>
      <c r="D428" s="111"/>
      <c r="E428" s="137">
        <f t="shared" si="1"/>
        <v>0</v>
      </c>
      <c r="F428" s="102"/>
      <c r="G428" s="102"/>
      <c r="H428" s="102"/>
      <c r="I428" s="102"/>
      <c r="J428" s="102"/>
      <c r="K428" s="102"/>
      <c r="L428" s="102"/>
      <c r="M428" s="102"/>
      <c r="N428" s="102"/>
      <c r="O428" s="102"/>
      <c r="P428" s="102"/>
      <c r="Q428" s="102"/>
      <c r="R428" s="102"/>
      <c r="S428" s="102"/>
      <c r="T428" s="102"/>
      <c r="U428" s="102"/>
    </row>
    <row r="429" spans="3:21" ht="12.75">
      <c r="C429" s="121"/>
      <c r="D429" s="111"/>
      <c r="E429" s="137">
        <f t="shared" si="1"/>
        <v>0</v>
      </c>
      <c r="F429" s="102"/>
      <c r="G429" s="102"/>
      <c r="H429" s="102"/>
      <c r="I429" s="102"/>
      <c r="J429" s="102"/>
      <c r="K429" s="102"/>
      <c r="L429" s="102"/>
      <c r="M429" s="102"/>
      <c r="N429" s="102"/>
      <c r="O429" s="102"/>
      <c r="P429" s="102"/>
      <c r="Q429" s="102"/>
      <c r="R429" s="102"/>
      <c r="S429" s="102"/>
      <c r="T429" s="102"/>
      <c r="U429" s="102"/>
    </row>
    <row r="430" spans="3:21" ht="12.75">
      <c r="C430" s="121"/>
      <c r="D430" s="111"/>
      <c r="E430" s="137">
        <f t="shared" si="1"/>
        <v>0</v>
      </c>
      <c r="F430" s="102"/>
      <c r="G430" s="102"/>
      <c r="H430" s="102"/>
      <c r="I430" s="102"/>
      <c r="J430" s="102"/>
      <c r="K430" s="102"/>
      <c r="L430" s="102"/>
      <c r="M430" s="102"/>
      <c r="N430" s="102"/>
      <c r="O430" s="102"/>
      <c r="P430" s="102"/>
      <c r="Q430" s="102"/>
      <c r="R430" s="102"/>
      <c r="S430" s="102"/>
      <c r="T430" s="102"/>
      <c r="U430" s="102"/>
    </row>
    <row r="431" spans="3:21" ht="12.75">
      <c r="C431" s="121"/>
      <c r="D431" s="111"/>
      <c r="E431" s="137">
        <f t="shared" si="1"/>
        <v>0</v>
      </c>
      <c r="F431" s="102"/>
      <c r="G431" s="102"/>
      <c r="H431" s="102"/>
      <c r="I431" s="102"/>
      <c r="J431" s="102"/>
      <c r="K431" s="102"/>
      <c r="L431" s="102"/>
      <c r="M431" s="102"/>
      <c r="N431" s="102"/>
      <c r="O431" s="102"/>
      <c r="P431" s="102"/>
      <c r="Q431" s="102"/>
      <c r="R431" s="102"/>
      <c r="S431" s="102"/>
      <c r="T431" s="102"/>
      <c r="U431" s="102"/>
    </row>
    <row r="432" spans="3:21" ht="12.75">
      <c r="C432" s="121"/>
      <c r="D432" s="111"/>
      <c r="E432" s="137">
        <f t="shared" si="1"/>
        <v>0</v>
      </c>
      <c r="F432" s="102"/>
      <c r="G432" s="102"/>
      <c r="H432" s="102"/>
      <c r="I432" s="102"/>
      <c r="J432" s="102"/>
      <c r="K432" s="102"/>
      <c r="L432" s="102"/>
      <c r="M432" s="102"/>
      <c r="N432" s="102"/>
      <c r="O432" s="102"/>
      <c r="P432" s="102"/>
      <c r="Q432" s="102"/>
      <c r="R432" s="102"/>
      <c r="S432" s="102"/>
      <c r="T432" s="102"/>
      <c r="U432" s="102"/>
    </row>
    <row r="433" spans="3:21" ht="12.75">
      <c r="C433" s="121"/>
      <c r="D433" s="111"/>
      <c r="E433" s="137">
        <f t="shared" si="1"/>
        <v>0</v>
      </c>
      <c r="F433" s="102"/>
      <c r="G433" s="102"/>
      <c r="H433" s="102"/>
      <c r="I433" s="102"/>
      <c r="J433" s="102"/>
      <c r="K433" s="102"/>
      <c r="L433" s="102"/>
      <c r="M433" s="102"/>
      <c r="N433" s="102"/>
      <c r="O433" s="102"/>
      <c r="P433" s="102"/>
      <c r="Q433" s="102"/>
      <c r="R433" s="102"/>
      <c r="S433" s="102"/>
      <c r="T433" s="102"/>
      <c r="U433" s="102"/>
    </row>
    <row r="434" spans="3:21" ht="12.75">
      <c r="C434" s="121"/>
      <c r="D434" s="111"/>
      <c r="E434" s="137">
        <f t="shared" si="1"/>
        <v>0</v>
      </c>
      <c r="F434" s="102"/>
      <c r="G434" s="102"/>
      <c r="H434" s="102"/>
      <c r="I434" s="102"/>
      <c r="J434" s="102"/>
      <c r="K434" s="102"/>
      <c r="L434" s="102"/>
      <c r="M434" s="102"/>
      <c r="N434" s="102"/>
      <c r="O434" s="102"/>
      <c r="P434" s="102"/>
      <c r="Q434" s="102"/>
      <c r="R434" s="102"/>
      <c r="S434" s="102"/>
      <c r="T434" s="102"/>
      <c r="U434" s="102"/>
    </row>
    <row r="435" spans="3:21" ht="12.75">
      <c r="C435" s="121"/>
      <c r="D435" s="111"/>
      <c r="E435" s="137">
        <f t="shared" si="1"/>
        <v>0</v>
      </c>
      <c r="F435" s="102"/>
      <c r="G435" s="102"/>
      <c r="H435" s="102"/>
      <c r="I435" s="102"/>
      <c r="J435" s="102"/>
      <c r="K435" s="102"/>
      <c r="L435" s="102"/>
      <c r="M435" s="102"/>
      <c r="N435" s="102"/>
      <c r="O435" s="102"/>
      <c r="P435" s="102"/>
      <c r="Q435" s="102"/>
      <c r="R435" s="102"/>
      <c r="S435" s="102"/>
      <c r="T435" s="102"/>
      <c r="U435" s="102"/>
    </row>
    <row r="436" spans="3:21" ht="12.75">
      <c r="C436" s="121"/>
      <c r="D436" s="111"/>
      <c r="E436" s="137">
        <f t="shared" si="1"/>
        <v>0</v>
      </c>
      <c r="F436" s="102"/>
      <c r="G436" s="102"/>
      <c r="H436" s="102"/>
      <c r="I436" s="102"/>
      <c r="J436" s="102"/>
      <c r="K436" s="102"/>
      <c r="L436" s="102"/>
      <c r="M436" s="102"/>
      <c r="N436" s="102"/>
      <c r="O436" s="102"/>
      <c r="P436" s="102"/>
      <c r="Q436" s="102"/>
      <c r="R436" s="102"/>
      <c r="S436" s="102"/>
      <c r="T436" s="102"/>
      <c r="U436" s="102"/>
    </row>
    <row r="437" spans="3:21" ht="12.75">
      <c r="C437" s="121"/>
      <c r="D437" s="111"/>
      <c r="E437" s="137">
        <f t="shared" si="1"/>
        <v>0</v>
      </c>
      <c r="F437" s="102"/>
      <c r="G437" s="102"/>
      <c r="H437" s="102"/>
      <c r="I437" s="102"/>
      <c r="J437" s="102"/>
      <c r="K437" s="102"/>
      <c r="L437" s="102"/>
      <c r="M437" s="102"/>
      <c r="N437" s="102"/>
      <c r="O437" s="102"/>
      <c r="P437" s="102"/>
      <c r="Q437" s="102"/>
      <c r="R437" s="102"/>
      <c r="S437" s="102"/>
      <c r="T437" s="102"/>
      <c r="U437" s="102"/>
    </row>
    <row r="438" spans="3:21" ht="12.75">
      <c r="C438" s="121"/>
      <c r="D438" s="111"/>
      <c r="E438" s="137">
        <f t="shared" si="1"/>
        <v>0</v>
      </c>
      <c r="F438" s="102"/>
      <c r="G438" s="102"/>
      <c r="H438" s="102"/>
      <c r="I438" s="102"/>
      <c r="J438" s="102"/>
      <c r="K438" s="102"/>
      <c r="L438" s="102"/>
      <c r="M438" s="102"/>
      <c r="N438" s="102"/>
      <c r="O438" s="102"/>
      <c r="P438" s="102"/>
      <c r="Q438" s="102"/>
      <c r="R438" s="102"/>
      <c r="S438" s="102"/>
      <c r="T438" s="102"/>
      <c r="U438" s="102"/>
    </row>
    <row r="439" spans="3:21" ht="12.75">
      <c r="C439" s="121"/>
      <c r="D439" s="111"/>
      <c r="E439" s="137">
        <f t="shared" si="1"/>
        <v>0</v>
      </c>
      <c r="F439" s="102"/>
      <c r="G439" s="102"/>
      <c r="H439" s="102"/>
      <c r="I439" s="102"/>
      <c r="J439" s="102"/>
      <c r="K439" s="102"/>
      <c r="L439" s="102"/>
      <c r="M439" s="102"/>
      <c r="N439" s="102"/>
      <c r="O439" s="102"/>
      <c r="P439" s="102"/>
      <c r="Q439" s="102"/>
      <c r="R439" s="102"/>
      <c r="S439" s="102"/>
      <c r="T439" s="102"/>
      <c r="U439" s="102"/>
    </row>
    <row r="440" spans="3:21" ht="12.75">
      <c r="C440" s="121"/>
      <c r="D440" s="111"/>
      <c r="E440" s="137">
        <f t="shared" si="1"/>
        <v>0</v>
      </c>
      <c r="F440" s="102"/>
      <c r="G440" s="102"/>
      <c r="H440" s="102"/>
      <c r="I440" s="102"/>
      <c r="J440" s="102"/>
      <c r="K440" s="102"/>
      <c r="L440" s="102"/>
      <c r="M440" s="102"/>
      <c r="N440" s="102"/>
      <c r="O440" s="102"/>
      <c r="P440" s="102"/>
      <c r="Q440" s="102"/>
      <c r="R440" s="102"/>
      <c r="S440" s="102"/>
      <c r="T440" s="102"/>
      <c r="U440" s="102"/>
    </row>
    <row r="441" spans="3:21" ht="12.75">
      <c r="C441" s="121"/>
      <c r="D441" s="111"/>
      <c r="E441" s="137">
        <f t="shared" si="1"/>
        <v>0</v>
      </c>
      <c r="F441" s="102"/>
      <c r="G441" s="102"/>
      <c r="H441" s="102"/>
      <c r="I441" s="102"/>
      <c r="J441" s="102"/>
      <c r="K441" s="102"/>
      <c r="L441" s="102"/>
      <c r="M441" s="102"/>
      <c r="N441" s="102"/>
      <c r="O441" s="102"/>
      <c r="P441" s="102"/>
      <c r="Q441" s="102"/>
      <c r="R441" s="102"/>
      <c r="S441" s="102"/>
      <c r="T441" s="102"/>
      <c r="U441" s="102"/>
    </row>
    <row r="442" spans="3:21" ht="12.75">
      <c r="C442" s="121"/>
      <c r="D442" s="111"/>
      <c r="E442" s="137">
        <f t="shared" si="1"/>
        <v>0</v>
      </c>
      <c r="F442" s="102"/>
      <c r="G442" s="102"/>
      <c r="H442" s="102"/>
      <c r="I442" s="102"/>
      <c r="J442" s="102"/>
      <c r="K442" s="102"/>
      <c r="L442" s="102"/>
      <c r="M442" s="102"/>
      <c r="N442" s="102"/>
      <c r="O442" s="102"/>
      <c r="P442" s="102"/>
      <c r="Q442" s="102"/>
      <c r="R442" s="102"/>
      <c r="S442" s="102"/>
      <c r="T442" s="102"/>
      <c r="U442" s="102"/>
    </row>
    <row r="443" spans="3:21" ht="12.75">
      <c r="C443" s="121"/>
      <c r="D443" s="111"/>
      <c r="E443" s="137">
        <f t="shared" si="1"/>
        <v>0</v>
      </c>
      <c r="F443" s="102"/>
      <c r="G443" s="102"/>
      <c r="H443" s="102"/>
      <c r="I443" s="102"/>
      <c r="J443" s="102"/>
      <c r="K443" s="102"/>
      <c r="L443" s="102"/>
      <c r="M443" s="102"/>
      <c r="N443" s="102"/>
      <c r="O443" s="102"/>
      <c r="P443" s="102"/>
      <c r="Q443" s="102"/>
      <c r="R443" s="102"/>
      <c r="S443" s="102"/>
      <c r="T443" s="102"/>
      <c r="U443" s="102"/>
    </row>
    <row r="444" spans="3:21" ht="12.75">
      <c r="C444" s="121"/>
      <c r="D444" s="111"/>
      <c r="E444" s="137">
        <f t="shared" si="1"/>
        <v>0</v>
      </c>
      <c r="F444" s="102"/>
      <c r="G444" s="102"/>
      <c r="H444" s="102"/>
      <c r="I444" s="102"/>
      <c r="J444" s="102"/>
      <c r="K444" s="102"/>
      <c r="L444" s="102"/>
      <c r="M444" s="102"/>
      <c r="N444" s="102"/>
      <c r="O444" s="102"/>
      <c r="P444" s="102"/>
      <c r="Q444" s="102"/>
      <c r="R444" s="102"/>
      <c r="S444" s="102"/>
      <c r="T444" s="102"/>
      <c r="U444" s="102"/>
    </row>
    <row r="445" spans="3:21" ht="12.75">
      <c r="C445" s="121"/>
      <c r="D445" s="111"/>
      <c r="E445" s="137">
        <f t="shared" si="1"/>
        <v>0</v>
      </c>
      <c r="F445" s="102"/>
      <c r="G445" s="102"/>
      <c r="H445" s="102"/>
      <c r="I445" s="102"/>
      <c r="J445" s="102"/>
      <c r="K445" s="102"/>
      <c r="L445" s="102"/>
      <c r="M445" s="102"/>
      <c r="N445" s="102"/>
      <c r="O445" s="102"/>
      <c r="P445" s="102"/>
      <c r="Q445" s="102"/>
      <c r="R445" s="102"/>
      <c r="S445" s="102"/>
      <c r="T445" s="102"/>
      <c r="U445" s="102"/>
    </row>
    <row r="446" spans="3:21" ht="12.75">
      <c r="C446" s="121"/>
      <c r="D446" s="111"/>
      <c r="E446" s="137">
        <f t="shared" si="1"/>
        <v>0</v>
      </c>
      <c r="F446" s="102"/>
      <c r="G446" s="102"/>
      <c r="H446" s="102"/>
      <c r="I446" s="102"/>
      <c r="J446" s="102"/>
      <c r="K446" s="102"/>
      <c r="L446" s="102"/>
      <c r="M446" s="102"/>
      <c r="N446" s="102"/>
      <c r="O446" s="102"/>
      <c r="P446" s="102"/>
      <c r="Q446" s="102"/>
      <c r="R446" s="102"/>
      <c r="S446" s="102"/>
      <c r="T446" s="102"/>
      <c r="U446" s="102"/>
    </row>
    <row r="447" spans="3:21" ht="12.75">
      <c r="C447" s="121"/>
      <c r="D447" s="111"/>
      <c r="E447" s="137">
        <f t="shared" si="1"/>
        <v>0</v>
      </c>
      <c r="F447" s="102"/>
      <c r="G447" s="102"/>
      <c r="H447" s="102"/>
      <c r="I447" s="102"/>
      <c r="J447" s="102"/>
      <c r="K447" s="102"/>
      <c r="L447" s="102"/>
      <c r="M447" s="102"/>
      <c r="N447" s="102"/>
      <c r="O447" s="102"/>
      <c r="P447" s="102"/>
      <c r="Q447" s="102"/>
      <c r="R447" s="102"/>
      <c r="S447" s="102"/>
      <c r="T447" s="102"/>
      <c r="U447" s="102"/>
    </row>
    <row r="448" spans="3:21" ht="12.75">
      <c r="C448" s="121"/>
      <c r="D448" s="111"/>
      <c r="E448" s="137">
        <f t="shared" si="1"/>
        <v>0</v>
      </c>
      <c r="F448" s="102"/>
      <c r="G448" s="102"/>
      <c r="H448" s="102"/>
      <c r="I448" s="102"/>
      <c r="J448" s="102"/>
      <c r="K448" s="102"/>
      <c r="L448" s="102"/>
      <c r="M448" s="102"/>
      <c r="N448" s="102"/>
      <c r="O448" s="102"/>
      <c r="P448" s="102"/>
      <c r="Q448" s="102"/>
      <c r="R448" s="102"/>
      <c r="S448" s="102"/>
      <c r="T448" s="102"/>
      <c r="U448" s="102"/>
    </row>
    <row r="449" spans="3:21" ht="12.75">
      <c r="C449" s="121"/>
      <c r="D449" s="111"/>
      <c r="E449" s="137">
        <f t="shared" si="1"/>
        <v>0</v>
      </c>
      <c r="F449" s="102"/>
      <c r="G449" s="102"/>
      <c r="H449" s="102"/>
      <c r="I449" s="102"/>
      <c r="J449" s="102"/>
      <c r="K449" s="102"/>
      <c r="L449" s="102"/>
      <c r="M449" s="102"/>
      <c r="N449" s="102"/>
      <c r="O449" s="102"/>
      <c r="P449" s="102"/>
      <c r="Q449" s="102"/>
      <c r="R449" s="102"/>
      <c r="S449" s="102"/>
      <c r="T449" s="102"/>
      <c r="U449" s="102"/>
    </row>
    <row r="450" spans="3:21" ht="12.75">
      <c r="C450" s="121"/>
      <c r="D450" s="111"/>
      <c r="E450" s="137">
        <f t="shared" si="1"/>
        <v>0</v>
      </c>
      <c r="F450" s="102"/>
      <c r="G450" s="102"/>
      <c r="H450" s="102"/>
      <c r="I450" s="102"/>
      <c r="J450" s="102"/>
      <c r="K450" s="102"/>
      <c r="L450" s="102"/>
      <c r="M450" s="102"/>
      <c r="N450" s="102"/>
      <c r="O450" s="102"/>
      <c r="P450" s="102"/>
      <c r="Q450" s="102"/>
      <c r="R450" s="102"/>
      <c r="S450" s="102"/>
      <c r="T450" s="102"/>
      <c r="U450" s="102"/>
    </row>
    <row r="451" spans="3:21" ht="12.75">
      <c r="C451" s="121"/>
      <c r="D451" s="111"/>
      <c r="E451" s="137">
        <f t="shared" si="1"/>
        <v>0</v>
      </c>
      <c r="F451" s="102"/>
      <c r="G451" s="102"/>
      <c r="H451" s="102"/>
      <c r="I451" s="102"/>
      <c r="J451" s="102"/>
      <c r="K451" s="102"/>
      <c r="L451" s="102"/>
      <c r="M451" s="102"/>
      <c r="N451" s="102"/>
      <c r="O451" s="102"/>
      <c r="P451" s="102"/>
      <c r="Q451" s="102"/>
      <c r="R451" s="102"/>
      <c r="S451" s="102"/>
      <c r="T451" s="102"/>
      <c r="U451" s="102"/>
    </row>
    <row r="452" spans="3:21" ht="12.75">
      <c r="C452" s="121"/>
      <c r="D452" s="111"/>
      <c r="E452" s="137">
        <f t="shared" si="1"/>
        <v>0</v>
      </c>
      <c r="F452" s="102"/>
      <c r="G452" s="102"/>
      <c r="H452" s="102"/>
      <c r="I452" s="102"/>
      <c r="J452" s="102"/>
      <c r="K452" s="102"/>
      <c r="L452" s="102"/>
      <c r="M452" s="102"/>
      <c r="N452" s="102"/>
      <c r="O452" s="102"/>
      <c r="P452" s="102"/>
      <c r="Q452" s="102"/>
      <c r="R452" s="102"/>
      <c r="S452" s="102"/>
      <c r="T452" s="102"/>
      <c r="U452" s="102"/>
    </row>
    <row r="453" spans="3:21" ht="12.75">
      <c r="C453" s="121"/>
      <c r="D453" s="111"/>
      <c r="E453" s="137">
        <f t="shared" si="1"/>
        <v>0</v>
      </c>
      <c r="F453" s="102"/>
      <c r="G453" s="102"/>
      <c r="H453" s="102"/>
      <c r="I453" s="102"/>
      <c r="J453" s="102"/>
      <c r="K453" s="102"/>
      <c r="L453" s="102"/>
      <c r="M453" s="102"/>
      <c r="N453" s="102"/>
      <c r="O453" s="102"/>
      <c r="P453" s="102"/>
      <c r="Q453" s="102"/>
      <c r="R453" s="102"/>
      <c r="S453" s="102"/>
      <c r="T453" s="102"/>
      <c r="U453" s="102"/>
    </row>
    <row r="454" spans="3:21" ht="12.75">
      <c r="C454" s="121"/>
      <c r="D454" s="111"/>
      <c r="E454" s="137">
        <f t="shared" si="1"/>
        <v>0</v>
      </c>
      <c r="F454" s="102"/>
      <c r="G454" s="102"/>
      <c r="H454" s="102"/>
      <c r="I454" s="102"/>
      <c r="J454" s="102"/>
      <c r="K454" s="102"/>
      <c r="L454" s="102"/>
      <c r="M454" s="102"/>
      <c r="N454" s="102"/>
      <c r="O454" s="102"/>
      <c r="P454" s="102"/>
      <c r="Q454" s="102"/>
      <c r="R454" s="102"/>
      <c r="S454" s="102"/>
      <c r="T454" s="102"/>
      <c r="U454" s="102"/>
    </row>
    <row r="455" spans="3:21" ht="12.75">
      <c r="C455" s="121"/>
      <c r="D455" s="111"/>
      <c r="E455" s="137">
        <f t="shared" si="1"/>
        <v>0</v>
      </c>
      <c r="F455" s="102"/>
      <c r="G455" s="102"/>
      <c r="H455" s="102"/>
      <c r="I455" s="102"/>
      <c r="J455" s="102"/>
      <c r="K455" s="102"/>
      <c r="L455" s="102"/>
      <c r="M455" s="102"/>
      <c r="N455" s="102"/>
      <c r="O455" s="102"/>
      <c r="P455" s="102"/>
      <c r="Q455" s="102"/>
      <c r="R455" s="102"/>
      <c r="S455" s="102"/>
      <c r="T455" s="102"/>
      <c r="U455" s="102"/>
    </row>
    <row r="456" spans="3:21" ht="12.75">
      <c r="C456" s="121"/>
      <c r="D456" s="111"/>
      <c r="E456" s="137">
        <f t="shared" si="1"/>
        <v>0</v>
      </c>
      <c r="F456" s="102"/>
      <c r="G456" s="102"/>
      <c r="H456" s="102"/>
      <c r="I456" s="102"/>
      <c r="J456" s="102"/>
      <c r="K456" s="102"/>
      <c r="L456" s="102"/>
      <c r="M456" s="102"/>
      <c r="N456" s="102"/>
      <c r="O456" s="102"/>
      <c r="P456" s="102"/>
      <c r="Q456" s="102"/>
      <c r="R456" s="102"/>
      <c r="S456" s="102"/>
      <c r="T456" s="102"/>
      <c r="U456" s="102"/>
    </row>
    <row r="457" spans="3:21" ht="12.75">
      <c r="C457" s="121"/>
      <c r="D457" s="111"/>
      <c r="E457" s="137">
        <f t="shared" si="1"/>
        <v>0</v>
      </c>
      <c r="F457" s="102"/>
      <c r="G457" s="102"/>
      <c r="H457" s="102"/>
      <c r="I457" s="102"/>
      <c r="J457" s="102"/>
      <c r="K457" s="102"/>
      <c r="L457" s="102"/>
      <c r="M457" s="102"/>
      <c r="N457" s="102"/>
      <c r="O457" s="102"/>
      <c r="P457" s="102"/>
      <c r="Q457" s="102"/>
      <c r="R457" s="102"/>
      <c r="S457" s="102"/>
      <c r="T457" s="102"/>
      <c r="U457" s="102"/>
    </row>
    <row r="458" spans="3:21" ht="12.75">
      <c r="C458" s="121"/>
      <c r="D458" s="111"/>
      <c r="E458" s="137">
        <f t="shared" si="1"/>
        <v>0</v>
      </c>
      <c r="F458" s="102"/>
      <c r="G458" s="102"/>
      <c r="H458" s="102"/>
      <c r="I458" s="102"/>
      <c r="J458" s="102"/>
      <c r="K458" s="102"/>
      <c r="L458" s="102"/>
      <c r="M458" s="102"/>
      <c r="N458" s="102"/>
      <c r="O458" s="102"/>
      <c r="P458" s="102"/>
      <c r="Q458" s="102"/>
      <c r="R458" s="102"/>
      <c r="S458" s="102"/>
      <c r="T458" s="102"/>
      <c r="U458" s="102"/>
    </row>
    <row r="459" spans="3:21" ht="12.75">
      <c r="C459" s="121"/>
      <c r="D459" s="111"/>
      <c r="E459" s="137">
        <f t="shared" si="1"/>
        <v>0</v>
      </c>
      <c r="F459" s="102"/>
      <c r="G459" s="102"/>
      <c r="H459" s="102"/>
      <c r="I459" s="102"/>
      <c r="J459" s="102"/>
      <c r="K459" s="102"/>
      <c r="L459" s="102"/>
      <c r="M459" s="102"/>
      <c r="N459" s="102"/>
      <c r="O459" s="102"/>
      <c r="P459" s="102"/>
      <c r="Q459" s="102"/>
      <c r="R459" s="102"/>
      <c r="S459" s="102"/>
      <c r="T459" s="102"/>
      <c r="U459" s="102"/>
    </row>
    <row r="460" spans="3:21" ht="12.75">
      <c r="C460" s="121"/>
      <c r="D460" s="111"/>
      <c r="E460" s="137">
        <f t="shared" si="1"/>
        <v>0</v>
      </c>
      <c r="F460" s="102"/>
      <c r="G460" s="102"/>
      <c r="H460" s="102"/>
      <c r="I460" s="102"/>
      <c r="J460" s="102"/>
      <c r="K460" s="102"/>
      <c r="L460" s="102"/>
      <c r="M460" s="102"/>
      <c r="N460" s="102"/>
      <c r="O460" s="102"/>
      <c r="P460" s="102"/>
      <c r="Q460" s="102"/>
      <c r="R460" s="102"/>
      <c r="S460" s="102"/>
      <c r="T460" s="102"/>
      <c r="U460" s="102"/>
    </row>
    <row r="461" spans="3:21" ht="12.75">
      <c r="C461" s="121"/>
      <c r="D461" s="111"/>
      <c r="E461" s="137">
        <f t="shared" si="1"/>
        <v>0</v>
      </c>
      <c r="F461" s="102"/>
      <c r="G461" s="102"/>
      <c r="H461" s="102"/>
      <c r="I461" s="102"/>
      <c r="J461" s="102"/>
      <c r="K461" s="102"/>
      <c r="L461" s="102"/>
      <c r="M461" s="102"/>
      <c r="N461" s="102"/>
      <c r="O461" s="102"/>
      <c r="P461" s="102"/>
      <c r="Q461" s="102"/>
      <c r="R461" s="102"/>
      <c r="S461" s="102"/>
      <c r="T461" s="102"/>
      <c r="U461" s="102"/>
    </row>
    <row r="462" spans="3:21" ht="12.75">
      <c r="C462" s="121"/>
      <c r="D462" s="111"/>
      <c r="E462" s="137">
        <f t="shared" si="1"/>
        <v>0</v>
      </c>
      <c r="F462" s="102"/>
      <c r="G462" s="102"/>
      <c r="H462" s="102"/>
      <c r="I462" s="102"/>
      <c r="J462" s="102"/>
      <c r="K462" s="102"/>
      <c r="L462" s="102"/>
      <c r="M462" s="102"/>
      <c r="N462" s="102"/>
      <c r="O462" s="102"/>
      <c r="P462" s="102"/>
      <c r="Q462" s="102"/>
      <c r="R462" s="102"/>
      <c r="S462" s="102"/>
      <c r="T462" s="102"/>
      <c r="U462" s="102"/>
    </row>
    <row r="463" spans="3:21" ht="12.75">
      <c r="C463" s="121"/>
      <c r="D463" s="111"/>
      <c r="E463" s="137">
        <f t="shared" si="1"/>
        <v>0</v>
      </c>
      <c r="F463" s="102"/>
      <c r="G463" s="102"/>
      <c r="H463" s="102"/>
      <c r="I463" s="102"/>
      <c r="J463" s="102"/>
      <c r="K463" s="102"/>
      <c r="L463" s="102"/>
      <c r="M463" s="102"/>
      <c r="N463" s="102"/>
      <c r="O463" s="102"/>
      <c r="P463" s="102"/>
      <c r="Q463" s="102"/>
      <c r="R463" s="102"/>
      <c r="S463" s="102"/>
      <c r="T463" s="102"/>
      <c r="U463" s="102"/>
    </row>
    <row r="464" spans="3:21" ht="12.75">
      <c r="C464" s="121"/>
      <c r="D464" s="111"/>
      <c r="E464" s="137">
        <f t="shared" si="1"/>
        <v>0</v>
      </c>
      <c r="F464" s="102"/>
      <c r="G464" s="102"/>
      <c r="H464" s="102"/>
      <c r="I464" s="102"/>
      <c r="J464" s="102"/>
      <c r="K464" s="102"/>
      <c r="L464" s="102"/>
      <c r="M464" s="102"/>
      <c r="N464" s="102"/>
      <c r="O464" s="102"/>
      <c r="P464" s="102"/>
      <c r="Q464" s="102"/>
      <c r="R464" s="102"/>
      <c r="S464" s="102"/>
      <c r="T464" s="102"/>
      <c r="U464" s="102"/>
    </row>
    <row r="465" spans="3:21" ht="12.75">
      <c r="C465" s="121"/>
      <c r="D465" s="111"/>
      <c r="E465" s="137">
        <f t="shared" si="1"/>
        <v>0</v>
      </c>
      <c r="F465" s="102"/>
      <c r="G465" s="102"/>
      <c r="H465" s="102"/>
      <c r="I465" s="102"/>
      <c r="J465" s="102"/>
      <c r="K465" s="102"/>
      <c r="L465" s="102"/>
      <c r="M465" s="102"/>
      <c r="N465" s="102"/>
      <c r="O465" s="102"/>
      <c r="P465" s="102"/>
      <c r="Q465" s="102"/>
      <c r="R465" s="102"/>
      <c r="S465" s="102"/>
      <c r="T465" s="102"/>
      <c r="U465" s="102"/>
    </row>
    <row r="466" spans="3:21" ht="12.75">
      <c r="C466" s="121"/>
      <c r="D466" s="111"/>
      <c r="E466" s="137">
        <f t="shared" si="1"/>
        <v>0</v>
      </c>
      <c r="F466" s="102"/>
      <c r="G466" s="102"/>
      <c r="H466" s="102"/>
      <c r="I466" s="102"/>
      <c r="J466" s="102"/>
      <c r="K466" s="102"/>
      <c r="L466" s="102"/>
      <c r="M466" s="102"/>
      <c r="N466" s="102"/>
      <c r="O466" s="102"/>
      <c r="P466" s="102"/>
      <c r="Q466" s="102"/>
      <c r="R466" s="102"/>
      <c r="S466" s="102"/>
      <c r="T466" s="102"/>
      <c r="U466" s="102"/>
    </row>
    <row r="467" spans="3:21" ht="12.75">
      <c r="C467" s="121"/>
      <c r="D467" s="111"/>
      <c r="E467" s="137">
        <f t="shared" si="1"/>
        <v>0</v>
      </c>
      <c r="F467" s="102"/>
      <c r="G467" s="102"/>
      <c r="H467" s="102"/>
      <c r="I467" s="102"/>
      <c r="J467" s="102"/>
      <c r="K467" s="102"/>
      <c r="L467" s="102"/>
      <c r="M467" s="102"/>
      <c r="N467" s="102"/>
      <c r="O467" s="102"/>
      <c r="P467" s="102"/>
      <c r="Q467" s="102"/>
      <c r="R467" s="102"/>
      <c r="S467" s="102"/>
      <c r="T467" s="102"/>
      <c r="U467" s="102"/>
    </row>
    <row r="468" spans="3:21" ht="12.75">
      <c r="C468" s="121"/>
      <c r="D468" s="111"/>
      <c r="E468" s="137">
        <f t="shared" si="1"/>
        <v>0</v>
      </c>
      <c r="F468" s="102"/>
      <c r="G468" s="102"/>
      <c r="H468" s="102"/>
      <c r="I468" s="102"/>
      <c r="J468" s="102"/>
      <c r="K468" s="102"/>
      <c r="L468" s="102"/>
      <c r="M468" s="102"/>
      <c r="N468" s="102"/>
      <c r="O468" s="102"/>
      <c r="P468" s="102"/>
      <c r="Q468" s="102"/>
      <c r="R468" s="102"/>
      <c r="S468" s="102"/>
      <c r="T468" s="102"/>
      <c r="U468" s="102"/>
    </row>
    <row r="469" spans="3:21" ht="12.75">
      <c r="C469" s="121"/>
      <c r="D469" s="111"/>
      <c r="E469" s="137">
        <f t="shared" si="1"/>
        <v>0</v>
      </c>
      <c r="F469" s="102"/>
      <c r="G469" s="102"/>
      <c r="H469" s="102"/>
      <c r="I469" s="102"/>
      <c r="J469" s="102"/>
      <c r="K469" s="102"/>
      <c r="L469" s="102"/>
      <c r="M469" s="102"/>
      <c r="N469" s="102"/>
      <c r="O469" s="102"/>
      <c r="P469" s="102"/>
      <c r="Q469" s="102"/>
      <c r="R469" s="102"/>
      <c r="S469" s="102"/>
      <c r="T469" s="102"/>
      <c r="U469" s="102"/>
    </row>
    <row r="470" spans="3:21" ht="12.75">
      <c r="C470" s="121"/>
      <c r="D470" s="111"/>
      <c r="E470" s="137">
        <f t="shared" si="1"/>
        <v>0</v>
      </c>
      <c r="F470" s="102"/>
      <c r="G470" s="102"/>
      <c r="H470" s="102"/>
      <c r="I470" s="102"/>
      <c r="J470" s="102"/>
      <c r="K470" s="102"/>
      <c r="L470" s="102"/>
      <c r="M470" s="102"/>
      <c r="N470" s="102"/>
      <c r="O470" s="102"/>
      <c r="P470" s="102"/>
      <c r="Q470" s="102"/>
      <c r="R470" s="102"/>
      <c r="S470" s="102"/>
      <c r="T470" s="102"/>
      <c r="U470" s="102"/>
    </row>
    <row r="471" spans="3:21" ht="12.75">
      <c r="C471" s="121"/>
      <c r="D471" s="111"/>
      <c r="E471" s="137">
        <f t="shared" si="1"/>
        <v>0</v>
      </c>
      <c r="F471" s="102"/>
      <c r="G471" s="102"/>
      <c r="H471" s="102"/>
      <c r="I471" s="102"/>
      <c r="J471" s="102"/>
      <c r="K471" s="102"/>
      <c r="L471" s="102"/>
      <c r="M471" s="102"/>
      <c r="N471" s="102"/>
      <c r="O471" s="102"/>
      <c r="P471" s="102"/>
      <c r="Q471" s="102"/>
      <c r="R471" s="102"/>
      <c r="S471" s="102"/>
      <c r="T471" s="102"/>
      <c r="U471" s="102"/>
    </row>
    <row r="472" spans="3:21" ht="12.75">
      <c r="C472" s="121"/>
      <c r="D472" s="111"/>
      <c r="E472" s="137">
        <f t="shared" si="1"/>
        <v>0</v>
      </c>
      <c r="F472" s="102"/>
      <c r="G472" s="102"/>
      <c r="H472" s="102"/>
      <c r="I472" s="102"/>
      <c r="J472" s="102"/>
      <c r="K472" s="102"/>
      <c r="L472" s="102"/>
      <c r="M472" s="102"/>
      <c r="N472" s="102"/>
      <c r="O472" s="102"/>
      <c r="P472" s="102"/>
      <c r="Q472" s="102"/>
      <c r="R472" s="102"/>
      <c r="S472" s="102"/>
      <c r="T472" s="102"/>
      <c r="U472" s="102"/>
    </row>
    <row r="473" spans="3:21" ht="12.75">
      <c r="C473" s="121"/>
      <c r="D473" s="111"/>
      <c r="E473" s="137">
        <f t="shared" si="1"/>
        <v>0</v>
      </c>
      <c r="F473" s="102"/>
      <c r="G473" s="102"/>
      <c r="H473" s="102"/>
      <c r="I473" s="102"/>
      <c r="J473" s="102"/>
      <c r="K473" s="102"/>
      <c r="L473" s="102"/>
      <c r="M473" s="102"/>
      <c r="N473" s="102"/>
      <c r="O473" s="102"/>
      <c r="P473" s="102"/>
      <c r="Q473" s="102"/>
      <c r="R473" s="102"/>
      <c r="S473" s="102"/>
      <c r="T473" s="102"/>
      <c r="U473" s="102"/>
    </row>
    <row r="474" spans="3:21" ht="12.75">
      <c r="C474" s="121"/>
      <c r="D474" s="111"/>
      <c r="E474" s="137">
        <f t="shared" si="1"/>
        <v>0</v>
      </c>
      <c r="F474" s="102"/>
      <c r="G474" s="102"/>
      <c r="H474" s="102"/>
      <c r="I474" s="102"/>
      <c r="J474" s="102"/>
      <c r="K474" s="102"/>
      <c r="L474" s="102"/>
      <c r="M474" s="102"/>
      <c r="N474" s="102"/>
      <c r="O474" s="102"/>
      <c r="P474" s="102"/>
      <c r="Q474" s="102"/>
      <c r="R474" s="102"/>
      <c r="S474" s="102"/>
      <c r="T474" s="102"/>
      <c r="U474" s="102"/>
    </row>
    <row r="475" spans="3:21" ht="12.75">
      <c r="C475" s="121"/>
      <c r="D475" s="111"/>
      <c r="E475" s="137">
        <f t="shared" si="1"/>
        <v>0</v>
      </c>
      <c r="F475" s="102"/>
      <c r="G475" s="102"/>
      <c r="H475" s="102"/>
      <c r="I475" s="102"/>
      <c r="J475" s="102"/>
      <c r="K475" s="102"/>
      <c r="L475" s="102"/>
      <c r="M475" s="102"/>
      <c r="N475" s="102"/>
      <c r="O475" s="102"/>
      <c r="P475" s="102"/>
      <c r="Q475" s="102"/>
      <c r="R475" s="102"/>
      <c r="S475" s="102"/>
      <c r="T475" s="102"/>
      <c r="U475" s="102"/>
    </row>
    <row r="476" spans="3:21" ht="12.75">
      <c r="C476" s="121"/>
      <c r="D476" s="111"/>
      <c r="E476" s="137">
        <f t="shared" si="1"/>
        <v>0</v>
      </c>
      <c r="F476" s="102"/>
      <c r="G476" s="102"/>
      <c r="H476" s="102"/>
      <c r="I476" s="102"/>
      <c r="J476" s="102"/>
      <c r="K476" s="102"/>
      <c r="L476" s="102"/>
      <c r="M476" s="102"/>
      <c r="N476" s="102"/>
      <c r="O476" s="102"/>
      <c r="P476" s="102"/>
      <c r="Q476" s="102"/>
      <c r="R476" s="102"/>
      <c r="S476" s="102"/>
      <c r="T476" s="102"/>
      <c r="U476" s="102"/>
    </row>
    <row r="477" spans="3:21" ht="12.75">
      <c r="C477" s="121"/>
      <c r="D477" s="111"/>
      <c r="E477" s="137">
        <f t="shared" si="1"/>
        <v>0</v>
      </c>
      <c r="F477" s="102"/>
      <c r="G477" s="102"/>
      <c r="H477" s="102"/>
      <c r="I477" s="102"/>
      <c r="J477" s="102"/>
      <c r="K477" s="102"/>
      <c r="L477" s="102"/>
      <c r="M477" s="102"/>
      <c r="N477" s="102"/>
      <c r="O477" s="102"/>
      <c r="P477" s="102"/>
      <c r="Q477" s="102"/>
      <c r="R477" s="102"/>
      <c r="S477" s="102"/>
      <c r="T477" s="102"/>
      <c r="U477" s="102"/>
    </row>
    <row r="478" spans="3:21" ht="12.75">
      <c r="C478" s="121"/>
      <c r="D478" s="111"/>
      <c r="E478" s="137">
        <f t="shared" si="1"/>
        <v>0</v>
      </c>
      <c r="F478" s="102"/>
      <c r="G478" s="102"/>
      <c r="H478" s="102"/>
      <c r="I478" s="102"/>
      <c r="J478" s="102"/>
      <c r="K478" s="102"/>
      <c r="L478" s="102"/>
      <c r="M478" s="102"/>
      <c r="N478" s="102"/>
      <c r="O478" s="102"/>
      <c r="P478" s="102"/>
      <c r="Q478" s="102"/>
      <c r="R478" s="102"/>
      <c r="S478" s="102"/>
      <c r="T478" s="102"/>
      <c r="U478" s="102"/>
    </row>
    <row r="479" spans="3:21" ht="12.75">
      <c r="C479" s="121"/>
      <c r="D479" s="111"/>
      <c r="E479" s="137">
        <f t="shared" si="1"/>
        <v>0</v>
      </c>
      <c r="F479" s="102"/>
      <c r="G479" s="102"/>
      <c r="H479" s="102"/>
      <c r="I479" s="102"/>
      <c r="J479" s="102"/>
      <c r="K479" s="102"/>
      <c r="L479" s="102"/>
      <c r="M479" s="102"/>
      <c r="N479" s="102"/>
      <c r="O479" s="102"/>
      <c r="P479" s="102"/>
      <c r="Q479" s="102"/>
      <c r="R479" s="102"/>
      <c r="S479" s="102"/>
      <c r="T479" s="102"/>
      <c r="U479" s="102"/>
    </row>
    <row r="480" spans="3:21" ht="12.75">
      <c r="C480" s="121"/>
      <c r="D480" s="111"/>
      <c r="E480" s="137">
        <f t="shared" si="1"/>
        <v>0</v>
      </c>
      <c r="F480" s="102"/>
      <c r="G480" s="102"/>
      <c r="H480" s="102"/>
      <c r="I480" s="102"/>
      <c r="J480" s="102"/>
      <c r="K480" s="102"/>
      <c r="L480" s="102"/>
      <c r="M480" s="102"/>
      <c r="N480" s="102"/>
      <c r="O480" s="102"/>
      <c r="P480" s="102"/>
      <c r="Q480" s="102"/>
      <c r="R480" s="102"/>
      <c r="S480" s="102"/>
      <c r="T480" s="102"/>
      <c r="U480" s="102"/>
    </row>
    <row r="481" spans="3:21" ht="12.75">
      <c r="C481" s="121"/>
      <c r="D481" s="111"/>
      <c r="E481" s="137">
        <f t="shared" si="1"/>
        <v>0</v>
      </c>
      <c r="F481" s="102"/>
      <c r="G481" s="102"/>
      <c r="H481" s="102"/>
      <c r="I481" s="102"/>
      <c r="J481" s="102"/>
      <c r="K481" s="102"/>
      <c r="L481" s="102"/>
      <c r="M481" s="102"/>
      <c r="N481" s="102"/>
      <c r="O481" s="102"/>
      <c r="P481" s="102"/>
      <c r="Q481" s="102"/>
      <c r="R481" s="102"/>
      <c r="S481" s="102"/>
      <c r="T481" s="102"/>
      <c r="U481" s="102"/>
    </row>
    <row r="482" spans="3:21" ht="12.75">
      <c r="C482" s="121"/>
      <c r="D482" s="111"/>
      <c r="E482" s="137">
        <f t="shared" si="1"/>
        <v>0</v>
      </c>
      <c r="F482" s="102"/>
      <c r="G482" s="102"/>
      <c r="H482" s="102"/>
      <c r="I482" s="102"/>
      <c r="J482" s="102"/>
      <c r="K482" s="102"/>
      <c r="L482" s="102"/>
      <c r="M482" s="102"/>
      <c r="N482" s="102"/>
      <c r="O482" s="102"/>
      <c r="P482" s="102"/>
      <c r="Q482" s="102"/>
      <c r="R482" s="102"/>
      <c r="S482" s="102"/>
      <c r="T482" s="102"/>
      <c r="U482" s="102"/>
    </row>
    <row r="483" spans="3:21" ht="12.75">
      <c r="C483" s="121"/>
      <c r="D483" s="111"/>
      <c r="E483" s="137">
        <f t="shared" si="1"/>
        <v>0</v>
      </c>
      <c r="F483" s="102"/>
      <c r="G483" s="102"/>
      <c r="H483" s="102"/>
      <c r="I483" s="102"/>
      <c r="J483" s="102"/>
      <c r="K483" s="102"/>
      <c r="L483" s="102"/>
      <c r="M483" s="102"/>
      <c r="N483" s="102"/>
      <c r="O483" s="102"/>
      <c r="P483" s="102"/>
      <c r="Q483" s="102"/>
      <c r="R483" s="102"/>
      <c r="S483" s="102"/>
      <c r="T483" s="102"/>
      <c r="U483" s="102"/>
    </row>
    <row r="484" spans="3:21" ht="12.75">
      <c r="C484" s="121"/>
      <c r="D484" s="111"/>
      <c r="E484" s="137">
        <f t="shared" si="1"/>
        <v>0</v>
      </c>
      <c r="F484" s="102"/>
      <c r="G484" s="102"/>
      <c r="H484" s="102"/>
      <c r="I484" s="102"/>
      <c r="J484" s="102"/>
      <c r="K484" s="102"/>
      <c r="L484" s="102"/>
      <c r="M484" s="102"/>
      <c r="N484" s="102"/>
      <c r="O484" s="102"/>
      <c r="P484" s="102"/>
      <c r="Q484" s="102"/>
      <c r="R484" s="102"/>
      <c r="S484" s="102"/>
      <c r="T484" s="102"/>
      <c r="U484" s="102"/>
    </row>
    <row r="485" spans="3:21" ht="12.75">
      <c r="C485" s="121"/>
      <c r="D485" s="111"/>
      <c r="E485" s="137">
        <f t="shared" si="1"/>
        <v>0</v>
      </c>
      <c r="F485" s="102"/>
      <c r="G485" s="102"/>
      <c r="H485" s="102"/>
      <c r="I485" s="102"/>
      <c r="J485" s="102"/>
      <c r="K485" s="102"/>
      <c r="L485" s="102"/>
      <c r="M485" s="102"/>
      <c r="N485" s="102"/>
      <c r="O485" s="102"/>
      <c r="P485" s="102"/>
      <c r="Q485" s="102"/>
      <c r="R485" s="102"/>
      <c r="S485" s="102"/>
      <c r="T485" s="102"/>
      <c r="U485" s="102"/>
    </row>
    <row r="486" spans="3:21" ht="12.75">
      <c r="C486" s="121"/>
      <c r="D486" s="111"/>
      <c r="E486" s="137">
        <f t="shared" si="1"/>
        <v>0</v>
      </c>
      <c r="F486" s="102"/>
      <c r="G486" s="102"/>
      <c r="H486" s="102"/>
      <c r="I486" s="102"/>
      <c r="J486" s="102"/>
      <c r="K486" s="102"/>
      <c r="L486" s="102"/>
      <c r="M486" s="102"/>
      <c r="N486" s="102"/>
      <c r="O486" s="102"/>
      <c r="P486" s="102"/>
      <c r="Q486" s="102"/>
      <c r="R486" s="102"/>
      <c r="S486" s="102"/>
      <c r="T486" s="102"/>
      <c r="U486" s="102"/>
    </row>
    <row r="487" spans="3:21" ht="12.75">
      <c r="C487" s="121"/>
      <c r="D487" s="111"/>
      <c r="E487" s="137">
        <f t="shared" si="1"/>
        <v>0</v>
      </c>
      <c r="F487" s="102"/>
      <c r="G487" s="102"/>
      <c r="H487" s="102"/>
      <c r="I487" s="102"/>
      <c r="J487" s="102"/>
      <c r="K487" s="102"/>
      <c r="L487" s="102"/>
      <c r="M487" s="102"/>
      <c r="N487" s="102"/>
      <c r="O487" s="102"/>
      <c r="P487" s="102"/>
      <c r="Q487" s="102"/>
      <c r="R487" s="102"/>
      <c r="S487" s="102"/>
      <c r="T487" s="102"/>
      <c r="U487" s="102"/>
    </row>
    <row r="488" spans="3:21" ht="12.75">
      <c r="C488" s="121"/>
      <c r="D488" s="111"/>
      <c r="E488" s="137">
        <f t="shared" si="1"/>
        <v>0</v>
      </c>
      <c r="F488" s="102"/>
      <c r="G488" s="102"/>
      <c r="H488" s="102"/>
      <c r="I488" s="102"/>
      <c r="J488" s="102"/>
      <c r="K488" s="102"/>
      <c r="L488" s="102"/>
      <c r="M488" s="102"/>
      <c r="N488" s="102"/>
      <c r="O488" s="102"/>
      <c r="P488" s="102"/>
      <c r="Q488" s="102"/>
      <c r="R488" s="102"/>
      <c r="S488" s="102"/>
      <c r="T488" s="102"/>
      <c r="U488" s="102"/>
    </row>
    <row r="489" spans="3:21" ht="12.75">
      <c r="C489" s="121"/>
      <c r="D489" s="111"/>
      <c r="E489" s="137">
        <f t="shared" si="1"/>
        <v>0</v>
      </c>
      <c r="F489" s="102"/>
      <c r="G489" s="102"/>
      <c r="H489" s="102"/>
      <c r="I489" s="102"/>
      <c r="J489" s="102"/>
      <c r="K489" s="102"/>
      <c r="L489" s="102"/>
      <c r="M489" s="102"/>
      <c r="N489" s="102"/>
      <c r="O489" s="102"/>
      <c r="P489" s="102"/>
      <c r="Q489" s="102"/>
      <c r="R489" s="102"/>
      <c r="S489" s="102"/>
      <c r="T489" s="102"/>
      <c r="U489" s="102"/>
    </row>
    <row r="490" spans="3:21" ht="12.75">
      <c r="C490" s="121"/>
      <c r="D490" s="111"/>
      <c r="E490" s="137">
        <f t="shared" si="1"/>
        <v>0</v>
      </c>
      <c r="F490" s="102"/>
      <c r="G490" s="102"/>
      <c r="H490" s="102"/>
      <c r="I490" s="102"/>
      <c r="J490" s="102"/>
      <c r="K490" s="102"/>
      <c r="L490" s="102"/>
      <c r="M490" s="102"/>
      <c r="N490" s="102"/>
      <c r="O490" s="102"/>
      <c r="P490" s="102"/>
      <c r="Q490" s="102"/>
      <c r="R490" s="102"/>
      <c r="S490" s="102"/>
      <c r="T490" s="102"/>
      <c r="U490" s="102"/>
    </row>
    <row r="491" spans="3:21" ht="12.75">
      <c r="C491" s="121"/>
      <c r="D491" s="111"/>
      <c r="E491" s="137">
        <f t="shared" si="1"/>
        <v>0</v>
      </c>
      <c r="F491" s="102"/>
      <c r="G491" s="102"/>
      <c r="H491" s="102"/>
      <c r="I491" s="102"/>
      <c r="J491" s="102"/>
      <c r="K491" s="102"/>
      <c r="L491" s="102"/>
      <c r="M491" s="102"/>
      <c r="N491" s="102"/>
      <c r="O491" s="102"/>
      <c r="P491" s="102"/>
      <c r="Q491" s="102"/>
      <c r="R491" s="102"/>
      <c r="S491" s="102"/>
      <c r="T491" s="102"/>
      <c r="U491" s="102"/>
    </row>
    <row r="492" spans="3:21" ht="12.75">
      <c r="C492" s="121"/>
      <c r="D492" s="111"/>
      <c r="E492" s="137">
        <f t="shared" si="1"/>
        <v>0</v>
      </c>
      <c r="F492" s="102"/>
      <c r="G492" s="102"/>
      <c r="H492" s="102"/>
      <c r="I492" s="102"/>
      <c r="J492" s="102"/>
      <c r="K492" s="102"/>
      <c r="L492" s="102"/>
      <c r="M492" s="102"/>
      <c r="N492" s="102"/>
      <c r="O492" s="102"/>
      <c r="P492" s="102"/>
      <c r="Q492" s="102"/>
      <c r="R492" s="102"/>
      <c r="S492" s="102"/>
      <c r="T492" s="102"/>
      <c r="U492" s="102"/>
    </row>
    <row r="493" spans="3:21" ht="12.75">
      <c r="C493" s="121"/>
      <c r="D493" s="111"/>
      <c r="E493" s="137">
        <f t="shared" si="1"/>
        <v>0</v>
      </c>
      <c r="F493" s="102"/>
      <c r="G493" s="102"/>
      <c r="H493" s="102"/>
      <c r="I493" s="102"/>
      <c r="J493" s="102"/>
      <c r="K493" s="102"/>
      <c r="L493" s="102"/>
      <c r="M493" s="102"/>
      <c r="N493" s="102"/>
      <c r="O493" s="102"/>
      <c r="P493" s="102"/>
      <c r="Q493" s="102"/>
      <c r="R493" s="102"/>
      <c r="S493" s="102"/>
      <c r="T493" s="102"/>
      <c r="U493" s="102"/>
    </row>
    <row r="494" spans="3:21" ht="12.75">
      <c r="C494" s="121"/>
      <c r="D494" s="111"/>
      <c r="E494" s="137">
        <f t="shared" si="1"/>
        <v>0</v>
      </c>
      <c r="F494" s="102"/>
      <c r="G494" s="102"/>
      <c r="H494" s="102"/>
      <c r="I494" s="102"/>
      <c r="J494" s="102"/>
      <c r="K494" s="102"/>
      <c r="L494" s="102"/>
      <c r="M494" s="102"/>
      <c r="N494" s="102"/>
      <c r="O494" s="102"/>
      <c r="P494" s="102"/>
      <c r="Q494" s="102"/>
      <c r="R494" s="102"/>
      <c r="S494" s="102"/>
      <c r="T494" s="102"/>
      <c r="U494" s="102"/>
    </row>
    <row r="495" spans="3:21" ht="12.75">
      <c r="C495" s="121"/>
      <c r="D495" s="111"/>
      <c r="E495" s="137">
        <f t="shared" si="1"/>
        <v>0</v>
      </c>
      <c r="F495" s="102"/>
      <c r="G495" s="102"/>
      <c r="H495" s="102"/>
      <c r="I495" s="102"/>
      <c r="J495" s="102"/>
      <c r="K495" s="102"/>
      <c r="L495" s="102"/>
      <c r="M495" s="102"/>
      <c r="N495" s="102"/>
      <c r="O495" s="102"/>
      <c r="P495" s="102"/>
      <c r="Q495" s="102"/>
      <c r="R495" s="102"/>
      <c r="S495" s="102"/>
      <c r="T495" s="102"/>
      <c r="U495" s="102"/>
    </row>
    <row r="496" spans="3:21" ht="12.75">
      <c r="C496" s="121"/>
      <c r="D496" s="111"/>
      <c r="E496" s="137">
        <f t="shared" si="1"/>
        <v>0</v>
      </c>
      <c r="F496" s="102"/>
      <c r="G496" s="102"/>
      <c r="H496" s="102"/>
      <c r="I496" s="102"/>
      <c r="J496" s="102"/>
      <c r="K496" s="102"/>
      <c r="L496" s="102"/>
      <c r="M496" s="102"/>
      <c r="N496" s="102"/>
      <c r="O496" s="102"/>
      <c r="P496" s="102"/>
      <c r="Q496" s="102"/>
      <c r="R496" s="102"/>
      <c r="S496" s="102"/>
      <c r="T496" s="102"/>
      <c r="U496" s="102"/>
    </row>
    <row r="497" spans="3:21" ht="12.75">
      <c r="C497" s="121"/>
      <c r="D497" s="111"/>
      <c r="E497" s="137">
        <f t="shared" si="1"/>
        <v>0</v>
      </c>
      <c r="F497" s="102"/>
      <c r="G497" s="102"/>
      <c r="H497" s="102"/>
      <c r="I497" s="102"/>
      <c r="J497" s="102"/>
      <c r="K497" s="102"/>
      <c r="L497" s="102"/>
      <c r="M497" s="102"/>
      <c r="N497" s="102"/>
      <c r="O497" s="102"/>
      <c r="P497" s="102"/>
      <c r="Q497" s="102"/>
      <c r="R497" s="102"/>
      <c r="S497" s="102"/>
      <c r="T497" s="102"/>
      <c r="U497" s="102"/>
    </row>
    <row r="498" spans="3:21" ht="12.75">
      <c r="C498" s="121"/>
      <c r="D498" s="111"/>
      <c r="E498" s="137">
        <f t="shared" si="1"/>
        <v>0</v>
      </c>
      <c r="F498" s="102"/>
      <c r="G498" s="102"/>
      <c r="H498" s="102"/>
      <c r="I498" s="102"/>
      <c r="J498" s="102"/>
      <c r="K498" s="102"/>
      <c r="L498" s="102"/>
      <c r="M498" s="102"/>
      <c r="N498" s="102"/>
      <c r="O498" s="102"/>
      <c r="P498" s="102"/>
      <c r="Q498" s="102"/>
      <c r="R498" s="102"/>
      <c r="S498" s="102"/>
      <c r="T498" s="102"/>
      <c r="U498" s="102"/>
    </row>
    <row r="499" spans="3:21" ht="12.75">
      <c r="C499" s="121"/>
      <c r="D499" s="111"/>
      <c r="E499" s="137">
        <f t="shared" si="1"/>
        <v>0</v>
      </c>
      <c r="F499" s="102"/>
      <c r="G499" s="102"/>
      <c r="H499" s="102"/>
      <c r="I499" s="102"/>
      <c r="J499" s="102"/>
      <c r="K499" s="102"/>
      <c r="L499" s="102"/>
      <c r="M499" s="102"/>
      <c r="N499" s="102"/>
      <c r="O499" s="102"/>
      <c r="P499" s="102"/>
      <c r="Q499" s="102"/>
      <c r="R499" s="102"/>
      <c r="S499" s="102"/>
      <c r="T499" s="102"/>
      <c r="U499" s="102"/>
    </row>
    <row r="500" spans="3:21" ht="12.75">
      <c r="C500" s="121"/>
      <c r="D500" s="111"/>
      <c r="E500" s="137">
        <f t="shared" si="1"/>
        <v>0</v>
      </c>
      <c r="F500" s="102"/>
      <c r="G500" s="102"/>
      <c r="H500" s="102"/>
      <c r="I500" s="102"/>
      <c r="J500" s="102"/>
      <c r="K500" s="102"/>
      <c r="L500" s="102"/>
      <c r="M500" s="102"/>
      <c r="N500" s="102"/>
      <c r="O500" s="102"/>
      <c r="P500" s="102"/>
      <c r="Q500" s="102"/>
      <c r="R500" s="102"/>
      <c r="S500" s="102"/>
      <c r="T500" s="102"/>
      <c r="U500" s="102"/>
    </row>
    <row r="501" spans="3:21" ht="12.75">
      <c r="C501" s="121"/>
      <c r="D501" s="111"/>
      <c r="E501" s="137">
        <f t="shared" si="1"/>
        <v>0</v>
      </c>
      <c r="F501" s="102"/>
      <c r="G501" s="102"/>
      <c r="H501" s="102"/>
      <c r="I501" s="102"/>
      <c r="J501" s="102"/>
      <c r="K501" s="102"/>
      <c r="L501" s="102"/>
      <c r="M501" s="102"/>
      <c r="N501" s="102"/>
      <c r="O501" s="102"/>
      <c r="P501" s="102"/>
      <c r="Q501" s="102"/>
      <c r="R501" s="102"/>
      <c r="S501" s="102"/>
      <c r="T501" s="102"/>
      <c r="U501" s="102"/>
    </row>
    <row r="502" spans="3:21" ht="12.75">
      <c r="C502" s="121"/>
      <c r="D502" s="111"/>
      <c r="E502" s="137">
        <f t="shared" si="1"/>
        <v>0</v>
      </c>
      <c r="F502" s="102"/>
      <c r="G502" s="102"/>
      <c r="H502" s="102"/>
      <c r="I502" s="102"/>
      <c r="J502" s="102"/>
      <c r="K502" s="102"/>
      <c r="L502" s="102"/>
      <c r="M502" s="102"/>
      <c r="N502" s="102"/>
      <c r="O502" s="102"/>
      <c r="P502" s="102"/>
      <c r="Q502" s="102"/>
      <c r="R502" s="102"/>
      <c r="S502" s="102"/>
      <c r="T502" s="102"/>
      <c r="U502" s="102"/>
    </row>
    <row r="503" spans="3:21" ht="12.75">
      <c r="C503" s="121"/>
      <c r="D503" s="111"/>
      <c r="E503" s="137">
        <f t="shared" si="1"/>
        <v>0</v>
      </c>
      <c r="F503" s="102"/>
      <c r="G503" s="102"/>
      <c r="H503" s="102"/>
      <c r="I503" s="102"/>
      <c r="J503" s="102"/>
      <c r="K503" s="102"/>
      <c r="L503" s="102"/>
      <c r="M503" s="102"/>
      <c r="N503" s="102"/>
      <c r="O503" s="102"/>
      <c r="P503" s="102"/>
      <c r="Q503" s="102"/>
      <c r="R503" s="102"/>
      <c r="S503" s="102"/>
      <c r="T503" s="102"/>
      <c r="U503" s="102"/>
    </row>
    <row r="504" spans="3:21" ht="12.75">
      <c r="C504" s="121"/>
      <c r="D504" s="111"/>
      <c r="E504" s="137">
        <f t="shared" si="1"/>
        <v>0</v>
      </c>
      <c r="F504" s="102"/>
      <c r="G504" s="102"/>
      <c r="H504" s="102"/>
      <c r="I504" s="102"/>
      <c r="J504" s="102"/>
      <c r="K504" s="102"/>
      <c r="L504" s="102"/>
      <c r="M504" s="102"/>
      <c r="N504" s="102"/>
      <c r="O504" s="102"/>
      <c r="P504" s="102"/>
      <c r="Q504" s="102"/>
      <c r="R504" s="102"/>
      <c r="S504" s="102"/>
      <c r="T504" s="102"/>
      <c r="U504" s="102"/>
    </row>
    <row r="505" spans="3:21" ht="12.75">
      <c r="C505" s="121"/>
      <c r="D505" s="111"/>
      <c r="E505" s="137">
        <f t="shared" si="1"/>
        <v>0</v>
      </c>
      <c r="F505" s="102"/>
      <c r="G505" s="102"/>
      <c r="H505" s="102"/>
      <c r="I505" s="102"/>
      <c r="J505" s="102"/>
      <c r="K505" s="102"/>
      <c r="L505" s="102"/>
      <c r="M505" s="102"/>
      <c r="N505" s="102"/>
      <c r="O505" s="102"/>
      <c r="P505" s="102"/>
      <c r="Q505" s="102"/>
      <c r="R505" s="102"/>
      <c r="S505" s="102"/>
      <c r="T505" s="102"/>
      <c r="U505" s="102"/>
    </row>
    <row r="506" spans="3:21" ht="12.75">
      <c r="C506" s="121"/>
      <c r="D506" s="111"/>
      <c r="E506" s="137">
        <f t="shared" si="1"/>
        <v>0</v>
      </c>
      <c r="F506" s="102"/>
      <c r="G506" s="102"/>
      <c r="H506" s="102"/>
      <c r="I506" s="102"/>
      <c r="J506" s="102"/>
      <c r="K506" s="102"/>
      <c r="L506" s="102"/>
      <c r="M506" s="102"/>
      <c r="N506" s="102"/>
      <c r="O506" s="102"/>
      <c r="P506" s="102"/>
      <c r="Q506" s="102"/>
      <c r="R506" s="102"/>
      <c r="S506" s="102"/>
      <c r="T506" s="102"/>
      <c r="U506" s="102"/>
    </row>
    <row r="507" spans="3:21" ht="12.75">
      <c r="C507" s="121"/>
      <c r="D507" s="111"/>
      <c r="E507" s="137">
        <f t="shared" si="1"/>
        <v>0</v>
      </c>
      <c r="F507" s="102"/>
      <c r="G507" s="102"/>
      <c r="H507" s="102"/>
      <c r="I507" s="102"/>
      <c r="J507" s="102"/>
      <c r="K507" s="102"/>
      <c r="L507" s="102"/>
      <c r="M507" s="102"/>
      <c r="N507" s="102"/>
      <c r="O507" s="102"/>
      <c r="P507" s="102"/>
      <c r="Q507" s="102"/>
      <c r="R507" s="102"/>
      <c r="S507" s="102"/>
      <c r="T507" s="102"/>
      <c r="U507" s="102"/>
    </row>
    <row r="508" spans="3:21" ht="12.75">
      <c r="C508" s="121"/>
      <c r="D508" s="111"/>
      <c r="E508" s="137">
        <f t="shared" si="1"/>
        <v>0</v>
      </c>
      <c r="F508" s="102"/>
      <c r="G508" s="102"/>
      <c r="H508" s="102"/>
      <c r="I508" s="102"/>
      <c r="J508" s="102"/>
      <c r="K508" s="102"/>
      <c r="L508" s="102"/>
      <c r="M508" s="102"/>
      <c r="N508" s="102"/>
      <c r="O508" s="102"/>
      <c r="P508" s="102"/>
      <c r="Q508" s="102"/>
      <c r="R508" s="102"/>
      <c r="S508" s="102"/>
      <c r="T508" s="102"/>
      <c r="U508" s="102"/>
    </row>
    <row r="509" spans="3:21" ht="12.75">
      <c r="C509" s="121"/>
      <c r="D509" s="111"/>
      <c r="E509" s="137">
        <f t="shared" si="1"/>
        <v>0</v>
      </c>
      <c r="F509" s="102"/>
      <c r="G509" s="102"/>
      <c r="H509" s="102"/>
      <c r="I509" s="102"/>
      <c r="J509" s="102"/>
      <c r="K509" s="102"/>
      <c r="L509" s="102"/>
      <c r="M509" s="102"/>
      <c r="N509" s="102"/>
      <c r="O509" s="102"/>
      <c r="P509" s="102"/>
      <c r="Q509" s="102"/>
      <c r="R509" s="102"/>
      <c r="S509" s="102"/>
      <c r="T509" s="102"/>
      <c r="U509" s="102"/>
    </row>
    <row r="510" spans="3:21" ht="12.75">
      <c r="C510" s="121"/>
      <c r="D510" s="111"/>
      <c r="E510" s="137">
        <f t="shared" si="1"/>
        <v>0</v>
      </c>
      <c r="F510" s="102"/>
      <c r="G510" s="102"/>
      <c r="H510" s="102"/>
      <c r="I510" s="102"/>
      <c r="J510" s="102"/>
      <c r="K510" s="102"/>
      <c r="L510" s="102"/>
      <c r="M510" s="102"/>
      <c r="N510" s="102"/>
      <c r="O510" s="102"/>
      <c r="P510" s="102"/>
      <c r="Q510" s="102"/>
      <c r="R510" s="102"/>
      <c r="S510" s="102"/>
      <c r="T510" s="102"/>
      <c r="U510" s="102"/>
    </row>
    <row r="511" spans="3:21" ht="12.75">
      <c r="C511" s="121"/>
      <c r="D511" s="111"/>
      <c r="E511" s="137">
        <f t="shared" si="1"/>
        <v>0</v>
      </c>
      <c r="F511" s="102"/>
      <c r="G511" s="102"/>
      <c r="H511" s="102"/>
      <c r="I511" s="102"/>
      <c r="J511" s="102"/>
      <c r="K511" s="102"/>
      <c r="L511" s="102"/>
      <c r="M511" s="102"/>
      <c r="N511" s="102"/>
      <c r="O511" s="102"/>
      <c r="P511" s="102"/>
      <c r="Q511" s="102"/>
      <c r="R511" s="102"/>
      <c r="S511" s="102"/>
      <c r="T511" s="102"/>
      <c r="U511" s="102"/>
    </row>
    <row r="512" spans="3:21" ht="12.75">
      <c r="C512" s="121"/>
      <c r="D512" s="111"/>
      <c r="E512" s="137">
        <f t="shared" ref="E512:E766" si="2">COUNTIF(F512:U512,"Yes")</f>
        <v>0</v>
      </c>
      <c r="F512" s="102"/>
      <c r="G512" s="102"/>
      <c r="H512" s="102"/>
      <c r="I512" s="102"/>
      <c r="J512" s="102"/>
      <c r="K512" s="102"/>
      <c r="L512" s="102"/>
      <c r="M512" s="102"/>
      <c r="N512" s="102"/>
      <c r="O512" s="102"/>
      <c r="P512" s="102"/>
      <c r="Q512" s="102"/>
      <c r="R512" s="102"/>
      <c r="S512" s="102"/>
      <c r="T512" s="102"/>
      <c r="U512" s="102"/>
    </row>
    <row r="513" spans="3:21" ht="12.75">
      <c r="C513" s="121"/>
      <c r="D513" s="111"/>
      <c r="E513" s="137">
        <f t="shared" si="2"/>
        <v>0</v>
      </c>
      <c r="F513" s="102"/>
      <c r="G513" s="102"/>
      <c r="H513" s="102"/>
      <c r="I513" s="102"/>
      <c r="J513" s="102"/>
      <c r="K513" s="102"/>
      <c r="L513" s="102"/>
      <c r="M513" s="102"/>
      <c r="N513" s="102"/>
      <c r="O513" s="102"/>
      <c r="P513" s="102"/>
      <c r="Q513" s="102"/>
      <c r="R513" s="102"/>
      <c r="S513" s="102"/>
      <c r="T513" s="102"/>
      <c r="U513" s="102"/>
    </row>
    <row r="514" spans="3:21" ht="12.75">
      <c r="C514" s="121"/>
      <c r="D514" s="111"/>
      <c r="E514" s="137">
        <f t="shared" si="2"/>
        <v>0</v>
      </c>
      <c r="F514" s="102"/>
      <c r="G514" s="102"/>
      <c r="H514" s="102"/>
      <c r="I514" s="102"/>
      <c r="J514" s="102"/>
      <c r="K514" s="102"/>
      <c r="L514" s="102"/>
      <c r="M514" s="102"/>
      <c r="N514" s="102"/>
      <c r="O514" s="102"/>
      <c r="P514" s="102"/>
      <c r="Q514" s="102"/>
      <c r="R514" s="102"/>
      <c r="S514" s="102"/>
      <c r="T514" s="102"/>
      <c r="U514" s="102"/>
    </row>
    <row r="515" spans="3:21" ht="12.75">
      <c r="C515" s="121"/>
      <c r="D515" s="111"/>
      <c r="E515" s="137">
        <f t="shared" si="2"/>
        <v>0</v>
      </c>
      <c r="F515" s="102"/>
      <c r="G515" s="102"/>
      <c r="H515" s="102"/>
      <c r="I515" s="102"/>
      <c r="J515" s="102"/>
      <c r="K515" s="102"/>
      <c r="L515" s="102"/>
      <c r="M515" s="102"/>
      <c r="N515" s="102"/>
      <c r="O515" s="102"/>
      <c r="P515" s="102"/>
      <c r="Q515" s="102"/>
      <c r="R515" s="102"/>
      <c r="S515" s="102"/>
      <c r="T515" s="102"/>
      <c r="U515" s="102"/>
    </row>
    <row r="516" spans="3:21" ht="12.75">
      <c r="C516" s="121"/>
      <c r="D516" s="111"/>
      <c r="E516" s="137">
        <f t="shared" si="2"/>
        <v>0</v>
      </c>
      <c r="F516" s="102"/>
      <c r="G516" s="102"/>
      <c r="H516" s="102"/>
      <c r="I516" s="102"/>
      <c r="J516" s="102"/>
      <c r="K516" s="102"/>
      <c r="L516" s="102"/>
      <c r="M516" s="102"/>
      <c r="N516" s="102"/>
      <c r="O516" s="102"/>
      <c r="P516" s="102"/>
      <c r="Q516" s="102"/>
      <c r="R516" s="102"/>
      <c r="S516" s="102"/>
      <c r="T516" s="102"/>
      <c r="U516" s="102"/>
    </row>
    <row r="517" spans="3:21" ht="12.75">
      <c r="C517" s="121"/>
      <c r="D517" s="111"/>
      <c r="E517" s="137">
        <f t="shared" si="2"/>
        <v>0</v>
      </c>
      <c r="F517" s="102"/>
      <c r="G517" s="102"/>
      <c r="H517" s="102"/>
      <c r="I517" s="102"/>
      <c r="J517" s="102"/>
      <c r="K517" s="102"/>
      <c r="L517" s="102"/>
      <c r="M517" s="102"/>
      <c r="N517" s="102"/>
      <c r="O517" s="102"/>
      <c r="P517" s="102"/>
      <c r="Q517" s="102"/>
      <c r="R517" s="102"/>
      <c r="S517" s="102"/>
      <c r="T517" s="102"/>
      <c r="U517" s="102"/>
    </row>
    <row r="518" spans="3:21" ht="12.75">
      <c r="C518" s="121"/>
      <c r="D518" s="111"/>
      <c r="E518" s="137">
        <f t="shared" si="2"/>
        <v>0</v>
      </c>
      <c r="F518" s="102"/>
      <c r="G518" s="102"/>
      <c r="H518" s="102"/>
      <c r="I518" s="102"/>
      <c r="J518" s="102"/>
      <c r="K518" s="102"/>
      <c r="L518" s="102"/>
      <c r="M518" s="102"/>
      <c r="N518" s="102"/>
      <c r="O518" s="102"/>
      <c r="P518" s="102"/>
      <c r="Q518" s="102"/>
      <c r="R518" s="102"/>
      <c r="S518" s="102"/>
      <c r="T518" s="102"/>
      <c r="U518" s="102"/>
    </row>
    <row r="519" spans="3:21" ht="12.75">
      <c r="C519" s="121"/>
      <c r="D519" s="111"/>
      <c r="E519" s="137">
        <f t="shared" si="2"/>
        <v>0</v>
      </c>
      <c r="F519" s="102"/>
      <c r="G519" s="102"/>
      <c r="H519" s="102"/>
      <c r="I519" s="102"/>
      <c r="J519" s="102"/>
      <c r="K519" s="102"/>
      <c r="L519" s="102"/>
      <c r="M519" s="102"/>
      <c r="N519" s="102"/>
      <c r="O519" s="102"/>
      <c r="P519" s="102"/>
      <c r="Q519" s="102"/>
      <c r="R519" s="102"/>
      <c r="S519" s="102"/>
      <c r="T519" s="102"/>
      <c r="U519" s="102"/>
    </row>
    <row r="520" spans="3:21" ht="12.75">
      <c r="C520" s="121"/>
      <c r="D520" s="111"/>
      <c r="E520" s="137">
        <f t="shared" si="2"/>
        <v>0</v>
      </c>
      <c r="F520" s="102"/>
      <c r="G520" s="102"/>
      <c r="H520" s="102"/>
      <c r="I520" s="102"/>
      <c r="J520" s="102"/>
      <c r="K520" s="102"/>
      <c r="L520" s="102"/>
      <c r="M520" s="102"/>
      <c r="N520" s="102"/>
      <c r="O520" s="102"/>
      <c r="P520" s="102"/>
      <c r="Q520" s="102"/>
      <c r="R520" s="102"/>
      <c r="S520" s="102"/>
      <c r="T520" s="102"/>
      <c r="U520" s="102"/>
    </row>
    <row r="521" spans="3:21" ht="12.75">
      <c r="C521" s="121"/>
      <c r="D521" s="111"/>
      <c r="E521" s="137">
        <f t="shared" si="2"/>
        <v>0</v>
      </c>
      <c r="F521" s="102"/>
      <c r="G521" s="102"/>
      <c r="H521" s="102"/>
      <c r="I521" s="102"/>
      <c r="J521" s="102"/>
      <c r="K521" s="102"/>
      <c r="L521" s="102"/>
      <c r="M521" s="102"/>
      <c r="N521" s="102"/>
      <c r="O521" s="102"/>
      <c r="P521" s="102"/>
      <c r="Q521" s="102"/>
      <c r="R521" s="102"/>
      <c r="S521" s="102"/>
      <c r="T521" s="102"/>
      <c r="U521" s="102"/>
    </row>
    <row r="522" spans="3:21" ht="12.75">
      <c r="C522" s="121"/>
      <c r="D522" s="111"/>
      <c r="E522" s="137">
        <f t="shared" si="2"/>
        <v>0</v>
      </c>
      <c r="F522" s="102"/>
      <c r="G522" s="102"/>
      <c r="H522" s="102"/>
      <c r="I522" s="102"/>
      <c r="J522" s="102"/>
      <c r="K522" s="102"/>
      <c r="L522" s="102"/>
      <c r="M522" s="102"/>
      <c r="N522" s="102"/>
      <c r="O522" s="102"/>
      <c r="P522" s="102"/>
      <c r="Q522" s="102"/>
      <c r="R522" s="102"/>
      <c r="S522" s="102"/>
      <c r="T522" s="102"/>
      <c r="U522" s="102"/>
    </row>
    <row r="523" spans="3:21" ht="12.75">
      <c r="C523" s="121"/>
      <c r="D523" s="111"/>
      <c r="E523" s="137">
        <f t="shared" si="2"/>
        <v>0</v>
      </c>
      <c r="F523" s="102"/>
      <c r="G523" s="102"/>
      <c r="H523" s="102"/>
      <c r="I523" s="102"/>
      <c r="J523" s="102"/>
      <c r="K523" s="102"/>
      <c r="L523" s="102"/>
      <c r="M523" s="102"/>
      <c r="N523" s="102"/>
      <c r="O523" s="102"/>
      <c r="P523" s="102"/>
      <c r="Q523" s="102"/>
      <c r="R523" s="102"/>
      <c r="S523" s="102"/>
      <c r="T523" s="102"/>
      <c r="U523" s="102"/>
    </row>
    <row r="524" spans="3:21" ht="12.75">
      <c r="C524" s="121"/>
      <c r="D524" s="111"/>
      <c r="E524" s="137">
        <f t="shared" si="2"/>
        <v>0</v>
      </c>
      <c r="F524" s="102"/>
      <c r="G524" s="102"/>
      <c r="H524" s="102"/>
      <c r="I524" s="102"/>
      <c r="J524" s="102"/>
      <c r="K524" s="102"/>
      <c r="L524" s="102"/>
      <c r="M524" s="102"/>
      <c r="N524" s="102"/>
      <c r="O524" s="102"/>
      <c r="P524" s="102"/>
      <c r="Q524" s="102"/>
      <c r="R524" s="102"/>
      <c r="S524" s="102"/>
      <c r="T524" s="102"/>
      <c r="U524" s="102"/>
    </row>
    <row r="525" spans="3:21" ht="12.75">
      <c r="C525" s="121"/>
      <c r="D525" s="111"/>
      <c r="E525" s="137">
        <f t="shared" si="2"/>
        <v>0</v>
      </c>
      <c r="F525" s="102"/>
      <c r="G525" s="102"/>
      <c r="H525" s="102"/>
      <c r="I525" s="102"/>
      <c r="J525" s="102"/>
      <c r="K525" s="102"/>
      <c r="L525" s="102"/>
      <c r="M525" s="102"/>
      <c r="N525" s="102"/>
      <c r="O525" s="102"/>
      <c r="P525" s="102"/>
      <c r="Q525" s="102"/>
      <c r="R525" s="102"/>
      <c r="S525" s="102"/>
      <c r="T525" s="102"/>
      <c r="U525" s="102"/>
    </row>
    <row r="526" spans="3:21" ht="12.75">
      <c r="C526" s="121"/>
      <c r="D526" s="111"/>
      <c r="E526" s="137">
        <f t="shared" si="2"/>
        <v>0</v>
      </c>
      <c r="F526" s="102"/>
      <c r="G526" s="102"/>
      <c r="H526" s="102"/>
      <c r="I526" s="102"/>
      <c r="J526" s="102"/>
      <c r="K526" s="102"/>
      <c r="L526" s="102"/>
      <c r="M526" s="102"/>
      <c r="N526" s="102"/>
      <c r="O526" s="102"/>
      <c r="P526" s="102"/>
      <c r="Q526" s="102"/>
      <c r="R526" s="102"/>
      <c r="S526" s="102"/>
      <c r="T526" s="102"/>
      <c r="U526" s="102"/>
    </row>
    <row r="527" spans="3:21" ht="12.75">
      <c r="C527" s="121"/>
      <c r="D527" s="111"/>
      <c r="E527" s="137">
        <f t="shared" si="2"/>
        <v>0</v>
      </c>
      <c r="F527" s="102"/>
      <c r="G527" s="102"/>
      <c r="H527" s="102"/>
      <c r="I527" s="102"/>
      <c r="J527" s="102"/>
      <c r="K527" s="102"/>
      <c r="L527" s="102"/>
      <c r="M527" s="102"/>
      <c r="N527" s="102"/>
      <c r="O527" s="102"/>
      <c r="P527" s="102"/>
      <c r="Q527" s="102"/>
      <c r="R527" s="102"/>
      <c r="S527" s="102"/>
      <c r="T527" s="102"/>
      <c r="U527" s="102"/>
    </row>
    <row r="528" spans="3:21" ht="12.75">
      <c r="C528" s="121"/>
      <c r="D528" s="111"/>
      <c r="E528" s="137">
        <f t="shared" si="2"/>
        <v>0</v>
      </c>
      <c r="F528" s="102"/>
      <c r="G528" s="102"/>
      <c r="H528" s="102"/>
      <c r="I528" s="102"/>
      <c r="J528" s="102"/>
      <c r="K528" s="102"/>
      <c r="L528" s="102"/>
      <c r="M528" s="102"/>
      <c r="N528" s="102"/>
      <c r="O528" s="102"/>
      <c r="P528" s="102"/>
      <c r="Q528" s="102"/>
      <c r="R528" s="102"/>
      <c r="S528" s="102"/>
      <c r="T528" s="102"/>
      <c r="U528" s="102"/>
    </row>
    <row r="529" spans="3:21" ht="12.75">
      <c r="C529" s="121"/>
      <c r="D529" s="111"/>
      <c r="E529" s="137">
        <f t="shared" si="2"/>
        <v>0</v>
      </c>
      <c r="F529" s="102"/>
      <c r="G529" s="102"/>
      <c r="H529" s="102"/>
      <c r="I529" s="102"/>
      <c r="J529" s="102"/>
      <c r="K529" s="102"/>
      <c r="L529" s="102"/>
      <c r="M529" s="102"/>
      <c r="N529" s="102"/>
      <c r="O529" s="102"/>
      <c r="P529" s="102"/>
      <c r="Q529" s="102"/>
      <c r="R529" s="102"/>
      <c r="S529" s="102"/>
      <c r="T529" s="102"/>
      <c r="U529" s="102"/>
    </row>
    <row r="530" spans="3:21" ht="12.75">
      <c r="C530" s="121"/>
      <c r="D530" s="111"/>
      <c r="E530" s="137">
        <f t="shared" si="2"/>
        <v>0</v>
      </c>
      <c r="F530" s="102"/>
      <c r="G530" s="102"/>
      <c r="H530" s="102"/>
      <c r="I530" s="102"/>
      <c r="J530" s="102"/>
      <c r="K530" s="102"/>
      <c r="L530" s="102"/>
      <c r="M530" s="102"/>
      <c r="N530" s="102"/>
      <c r="O530" s="102"/>
      <c r="P530" s="102"/>
      <c r="Q530" s="102"/>
      <c r="R530" s="102"/>
      <c r="S530" s="102"/>
      <c r="T530" s="102"/>
      <c r="U530" s="102"/>
    </row>
    <row r="531" spans="3:21" ht="12.75">
      <c r="C531" s="121"/>
      <c r="D531" s="111"/>
      <c r="E531" s="137">
        <f t="shared" si="2"/>
        <v>0</v>
      </c>
      <c r="F531" s="102"/>
      <c r="G531" s="102"/>
      <c r="H531" s="102"/>
      <c r="I531" s="102"/>
      <c r="J531" s="102"/>
      <c r="K531" s="102"/>
      <c r="L531" s="102"/>
      <c r="M531" s="102"/>
      <c r="N531" s="102"/>
      <c r="O531" s="102"/>
      <c r="P531" s="102"/>
      <c r="Q531" s="102"/>
      <c r="R531" s="102"/>
      <c r="S531" s="102"/>
      <c r="T531" s="102"/>
      <c r="U531" s="102"/>
    </row>
    <row r="532" spans="3:21" ht="12.75">
      <c r="C532" s="121"/>
      <c r="D532" s="111"/>
      <c r="E532" s="137">
        <f t="shared" si="2"/>
        <v>0</v>
      </c>
      <c r="F532" s="102"/>
      <c r="G532" s="102"/>
      <c r="H532" s="102"/>
      <c r="I532" s="102"/>
      <c r="J532" s="102"/>
      <c r="K532" s="102"/>
      <c r="L532" s="102"/>
      <c r="M532" s="102"/>
      <c r="N532" s="102"/>
      <c r="O532" s="102"/>
      <c r="P532" s="102"/>
      <c r="Q532" s="102"/>
      <c r="R532" s="102"/>
      <c r="S532" s="102"/>
      <c r="T532" s="102"/>
      <c r="U532" s="102"/>
    </row>
    <row r="533" spans="3:21" ht="12.75">
      <c r="C533" s="121"/>
      <c r="D533" s="111"/>
      <c r="E533" s="137">
        <f t="shared" si="2"/>
        <v>0</v>
      </c>
      <c r="F533" s="102"/>
      <c r="G533" s="102"/>
      <c r="H533" s="102"/>
      <c r="I533" s="102"/>
      <c r="J533" s="102"/>
      <c r="K533" s="102"/>
      <c r="L533" s="102"/>
      <c r="M533" s="102"/>
      <c r="N533" s="102"/>
      <c r="O533" s="102"/>
      <c r="P533" s="102"/>
      <c r="Q533" s="102"/>
      <c r="R533" s="102"/>
      <c r="S533" s="102"/>
      <c r="T533" s="102"/>
      <c r="U533" s="102"/>
    </row>
    <row r="534" spans="3:21" ht="12.75">
      <c r="C534" s="121"/>
      <c r="D534" s="111"/>
      <c r="E534" s="137">
        <f t="shared" si="2"/>
        <v>0</v>
      </c>
      <c r="F534" s="102"/>
      <c r="G534" s="102"/>
      <c r="H534" s="102"/>
      <c r="I534" s="102"/>
      <c r="J534" s="102"/>
      <c r="K534" s="102"/>
      <c r="L534" s="102"/>
      <c r="M534" s="102"/>
      <c r="N534" s="102"/>
      <c r="O534" s="102"/>
      <c r="P534" s="102"/>
      <c r="Q534" s="102"/>
      <c r="R534" s="102"/>
      <c r="S534" s="102"/>
      <c r="T534" s="102"/>
      <c r="U534" s="102"/>
    </row>
    <row r="535" spans="3:21" ht="12.75">
      <c r="C535" s="121"/>
      <c r="D535" s="111"/>
      <c r="E535" s="137">
        <f t="shared" si="2"/>
        <v>0</v>
      </c>
      <c r="F535" s="102"/>
      <c r="G535" s="102"/>
      <c r="H535" s="102"/>
      <c r="I535" s="102"/>
      <c r="J535" s="102"/>
      <c r="K535" s="102"/>
      <c r="L535" s="102"/>
      <c r="M535" s="102"/>
      <c r="N535" s="102"/>
      <c r="O535" s="102"/>
      <c r="P535" s="102"/>
      <c r="Q535" s="102"/>
      <c r="R535" s="102"/>
      <c r="S535" s="102"/>
      <c r="T535" s="102"/>
      <c r="U535" s="102"/>
    </row>
    <row r="536" spans="3:21" ht="12.75">
      <c r="C536" s="121"/>
      <c r="D536" s="111"/>
      <c r="E536" s="137">
        <f t="shared" si="2"/>
        <v>0</v>
      </c>
      <c r="F536" s="102"/>
      <c r="G536" s="102"/>
      <c r="H536" s="102"/>
      <c r="I536" s="102"/>
      <c r="J536" s="102"/>
      <c r="K536" s="102"/>
      <c r="L536" s="102"/>
      <c r="M536" s="102"/>
      <c r="N536" s="102"/>
      <c r="O536" s="102"/>
      <c r="P536" s="102"/>
      <c r="Q536" s="102"/>
      <c r="R536" s="102"/>
      <c r="S536" s="102"/>
      <c r="T536" s="102"/>
      <c r="U536" s="102"/>
    </row>
    <row r="537" spans="3:21" ht="12.75">
      <c r="C537" s="121"/>
      <c r="D537" s="111"/>
      <c r="E537" s="137">
        <f t="shared" si="2"/>
        <v>0</v>
      </c>
      <c r="F537" s="102"/>
      <c r="G537" s="102"/>
      <c r="H537" s="102"/>
      <c r="I537" s="102"/>
      <c r="J537" s="102"/>
      <c r="K537" s="102"/>
      <c r="L537" s="102"/>
      <c r="M537" s="102"/>
      <c r="N537" s="102"/>
      <c r="O537" s="102"/>
      <c r="P537" s="102"/>
      <c r="Q537" s="102"/>
      <c r="R537" s="102"/>
      <c r="S537" s="102"/>
      <c r="T537" s="102"/>
      <c r="U537" s="102"/>
    </row>
    <row r="538" spans="3:21" ht="12.75">
      <c r="C538" s="121"/>
      <c r="D538" s="111"/>
      <c r="E538" s="137">
        <f t="shared" si="2"/>
        <v>0</v>
      </c>
      <c r="F538" s="102"/>
      <c r="G538" s="102"/>
      <c r="H538" s="102"/>
      <c r="I538" s="102"/>
      <c r="J538" s="102"/>
      <c r="K538" s="102"/>
      <c r="L538" s="102"/>
      <c r="M538" s="102"/>
      <c r="N538" s="102"/>
      <c r="O538" s="102"/>
      <c r="P538" s="102"/>
      <c r="Q538" s="102"/>
      <c r="R538" s="102"/>
      <c r="S538" s="102"/>
      <c r="T538" s="102"/>
      <c r="U538" s="102"/>
    </row>
    <row r="539" spans="3:21" ht="12.75">
      <c r="C539" s="121"/>
      <c r="D539" s="111"/>
      <c r="E539" s="137">
        <f t="shared" si="2"/>
        <v>0</v>
      </c>
      <c r="F539" s="102"/>
      <c r="G539" s="102"/>
      <c r="H539" s="102"/>
      <c r="I539" s="102"/>
      <c r="J539" s="102"/>
      <c r="K539" s="102"/>
      <c r="L539" s="102"/>
      <c r="M539" s="102"/>
      <c r="N539" s="102"/>
      <c r="O539" s="102"/>
      <c r="P539" s="102"/>
      <c r="Q539" s="102"/>
      <c r="R539" s="102"/>
      <c r="S539" s="102"/>
      <c r="T539" s="102"/>
      <c r="U539" s="102"/>
    </row>
    <row r="540" spans="3:21" ht="12.75">
      <c r="C540" s="121"/>
      <c r="D540" s="111"/>
      <c r="E540" s="137">
        <f t="shared" si="2"/>
        <v>0</v>
      </c>
      <c r="F540" s="102"/>
      <c r="G540" s="102"/>
      <c r="H540" s="102"/>
      <c r="I540" s="102"/>
      <c r="J540" s="102"/>
      <c r="K540" s="102"/>
      <c r="L540" s="102"/>
      <c r="M540" s="102"/>
      <c r="N540" s="102"/>
      <c r="O540" s="102"/>
      <c r="P540" s="102"/>
      <c r="Q540" s="102"/>
      <c r="R540" s="102"/>
      <c r="S540" s="102"/>
      <c r="T540" s="102"/>
      <c r="U540" s="102"/>
    </row>
    <row r="541" spans="3:21" ht="12.75">
      <c r="C541" s="121"/>
      <c r="D541" s="111"/>
      <c r="E541" s="137">
        <f t="shared" si="2"/>
        <v>0</v>
      </c>
      <c r="F541" s="102"/>
      <c r="G541" s="102"/>
      <c r="H541" s="102"/>
      <c r="I541" s="102"/>
      <c r="J541" s="102"/>
      <c r="K541" s="102"/>
      <c r="L541" s="102"/>
      <c r="M541" s="102"/>
      <c r="N541" s="102"/>
      <c r="O541" s="102"/>
      <c r="P541" s="102"/>
      <c r="Q541" s="102"/>
      <c r="R541" s="102"/>
      <c r="S541" s="102"/>
      <c r="T541" s="102"/>
      <c r="U541" s="102"/>
    </row>
    <row r="542" spans="3:21" ht="12.75">
      <c r="C542" s="121"/>
      <c r="D542" s="111"/>
      <c r="E542" s="137">
        <f t="shared" si="2"/>
        <v>0</v>
      </c>
      <c r="F542" s="102"/>
      <c r="G542" s="102"/>
      <c r="H542" s="102"/>
      <c r="I542" s="102"/>
      <c r="J542" s="102"/>
      <c r="K542" s="102"/>
      <c r="L542" s="102"/>
      <c r="M542" s="102"/>
      <c r="N542" s="102"/>
      <c r="O542" s="102"/>
      <c r="P542" s="102"/>
      <c r="Q542" s="102"/>
      <c r="R542" s="102"/>
      <c r="S542" s="102"/>
      <c r="T542" s="102"/>
      <c r="U542" s="102"/>
    </row>
    <row r="543" spans="3:21" ht="12.75">
      <c r="C543" s="121"/>
      <c r="D543" s="111"/>
      <c r="E543" s="137">
        <f t="shared" si="2"/>
        <v>0</v>
      </c>
      <c r="F543" s="102"/>
      <c r="G543" s="102"/>
      <c r="H543" s="102"/>
      <c r="I543" s="102"/>
      <c r="J543" s="102"/>
      <c r="K543" s="102"/>
      <c r="L543" s="102"/>
      <c r="M543" s="102"/>
      <c r="N543" s="102"/>
      <c r="O543" s="102"/>
      <c r="P543" s="102"/>
      <c r="Q543" s="102"/>
      <c r="R543" s="102"/>
      <c r="S543" s="102"/>
      <c r="T543" s="102"/>
      <c r="U543" s="102"/>
    </row>
    <row r="544" spans="3:21" ht="12.75">
      <c r="C544" s="121"/>
      <c r="D544" s="111"/>
      <c r="E544" s="137">
        <f t="shared" si="2"/>
        <v>0</v>
      </c>
      <c r="F544" s="102"/>
      <c r="G544" s="102"/>
      <c r="H544" s="102"/>
      <c r="I544" s="102"/>
      <c r="J544" s="102"/>
      <c r="K544" s="102"/>
      <c r="L544" s="102"/>
      <c r="M544" s="102"/>
      <c r="N544" s="102"/>
      <c r="O544" s="102"/>
      <c r="P544" s="102"/>
      <c r="Q544" s="102"/>
      <c r="R544" s="102"/>
      <c r="S544" s="102"/>
      <c r="T544" s="102"/>
      <c r="U544" s="102"/>
    </row>
    <row r="545" spans="3:21" ht="12.75">
      <c r="C545" s="121"/>
      <c r="D545" s="111"/>
      <c r="E545" s="137">
        <f t="shared" si="2"/>
        <v>0</v>
      </c>
      <c r="F545" s="102"/>
      <c r="G545" s="102"/>
      <c r="H545" s="102"/>
      <c r="I545" s="102"/>
      <c r="J545" s="102"/>
      <c r="K545" s="102"/>
      <c r="L545" s="102"/>
      <c r="M545" s="102"/>
      <c r="N545" s="102"/>
      <c r="O545" s="102"/>
      <c r="P545" s="102"/>
      <c r="Q545" s="102"/>
      <c r="R545" s="102"/>
      <c r="S545" s="102"/>
      <c r="T545" s="102"/>
      <c r="U545" s="102"/>
    </row>
    <row r="546" spans="3:21" ht="12.75">
      <c r="C546" s="121"/>
      <c r="D546" s="111"/>
      <c r="E546" s="137">
        <f t="shared" si="2"/>
        <v>0</v>
      </c>
      <c r="F546" s="102"/>
      <c r="G546" s="102"/>
      <c r="H546" s="102"/>
      <c r="I546" s="102"/>
      <c r="J546" s="102"/>
      <c r="K546" s="102"/>
      <c r="L546" s="102"/>
      <c r="M546" s="102"/>
      <c r="N546" s="102"/>
      <c r="O546" s="102"/>
      <c r="P546" s="102"/>
      <c r="Q546" s="102"/>
      <c r="R546" s="102"/>
      <c r="S546" s="102"/>
      <c r="T546" s="102"/>
      <c r="U546" s="102"/>
    </row>
    <row r="547" spans="3:21" ht="12.75">
      <c r="C547" s="121"/>
      <c r="D547" s="111"/>
      <c r="E547" s="137">
        <f t="shared" si="2"/>
        <v>0</v>
      </c>
      <c r="F547" s="102"/>
      <c r="G547" s="102"/>
      <c r="H547" s="102"/>
      <c r="I547" s="102"/>
      <c r="J547" s="102"/>
      <c r="K547" s="102"/>
      <c r="L547" s="102"/>
      <c r="M547" s="102"/>
      <c r="N547" s="102"/>
      <c r="O547" s="102"/>
      <c r="P547" s="102"/>
      <c r="Q547" s="102"/>
      <c r="R547" s="102"/>
      <c r="S547" s="102"/>
      <c r="T547" s="102"/>
      <c r="U547" s="102"/>
    </row>
    <row r="548" spans="3:21" ht="12.75">
      <c r="C548" s="121"/>
      <c r="D548" s="111"/>
      <c r="E548" s="137">
        <f t="shared" si="2"/>
        <v>0</v>
      </c>
      <c r="F548" s="102"/>
      <c r="G548" s="102"/>
      <c r="H548" s="102"/>
      <c r="I548" s="102"/>
      <c r="J548" s="102"/>
      <c r="K548" s="102"/>
      <c r="L548" s="102"/>
      <c r="M548" s="102"/>
      <c r="N548" s="102"/>
      <c r="O548" s="102"/>
      <c r="P548" s="102"/>
      <c r="Q548" s="102"/>
      <c r="R548" s="102"/>
      <c r="S548" s="102"/>
      <c r="T548" s="102"/>
      <c r="U548" s="102"/>
    </row>
    <row r="549" spans="3:21" ht="12.75">
      <c r="C549" s="121"/>
      <c r="D549" s="111"/>
      <c r="E549" s="137">
        <f t="shared" si="2"/>
        <v>0</v>
      </c>
      <c r="F549" s="102"/>
      <c r="G549" s="102"/>
      <c r="H549" s="102"/>
      <c r="I549" s="102"/>
      <c r="J549" s="102"/>
      <c r="K549" s="102"/>
      <c r="L549" s="102"/>
      <c r="M549" s="102"/>
      <c r="N549" s="102"/>
      <c r="O549" s="102"/>
      <c r="P549" s="102"/>
      <c r="Q549" s="102"/>
      <c r="R549" s="102"/>
      <c r="S549" s="102"/>
      <c r="T549" s="102"/>
      <c r="U549" s="102"/>
    </row>
    <row r="550" spans="3:21" ht="12.75">
      <c r="C550" s="121"/>
      <c r="D550" s="111"/>
      <c r="E550" s="137">
        <f t="shared" si="2"/>
        <v>0</v>
      </c>
      <c r="F550" s="102"/>
      <c r="G550" s="102"/>
      <c r="H550" s="102"/>
      <c r="I550" s="102"/>
      <c r="J550" s="102"/>
      <c r="K550" s="102"/>
      <c r="L550" s="102"/>
      <c r="M550" s="102"/>
      <c r="N550" s="102"/>
      <c r="O550" s="102"/>
      <c r="P550" s="102"/>
      <c r="Q550" s="102"/>
      <c r="R550" s="102"/>
      <c r="S550" s="102"/>
      <c r="T550" s="102"/>
      <c r="U550" s="102"/>
    </row>
    <row r="551" spans="3:21" ht="12.75">
      <c r="C551" s="121"/>
      <c r="D551" s="111"/>
      <c r="E551" s="137">
        <f t="shared" si="2"/>
        <v>0</v>
      </c>
      <c r="F551" s="102"/>
      <c r="G551" s="102"/>
      <c r="H551" s="102"/>
      <c r="I551" s="102"/>
      <c r="J551" s="102"/>
      <c r="K551" s="102"/>
      <c r="L551" s="102"/>
      <c r="M551" s="102"/>
      <c r="N551" s="102"/>
      <c r="O551" s="102"/>
      <c r="P551" s="102"/>
      <c r="Q551" s="102"/>
      <c r="R551" s="102"/>
      <c r="S551" s="102"/>
      <c r="T551" s="102"/>
      <c r="U551" s="102"/>
    </row>
    <row r="552" spans="3:21" ht="12.75">
      <c r="C552" s="121"/>
      <c r="D552" s="111"/>
      <c r="E552" s="137">
        <f t="shared" si="2"/>
        <v>0</v>
      </c>
      <c r="F552" s="102"/>
      <c r="G552" s="102"/>
      <c r="H552" s="102"/>
      <c r="I552" s="102"/>
      <c r="J552" s="102"/>
      <c r="K552" s="102"/>
      <c r="L552" s="102"/>
      <c r="M552" s="102"/>
      <c r="N552" s="102"/>
      <c r="O552" s="102"/>
      <c r="P552" s="102"/>
      <c r="Q552" s="102"/>
      <c r="R552" s="102"/>
      <c r="S552" s="102"/>
      <c r="T552" s="102"/>
      <c r="U552" s="102"/>
    </row>
    <row r="553" spans="3:21" ht="12.75">
      <c r="C553" s="121"/>
      <c r="D553" s="111"/>
      <c r="E553" s="137">
        <f t="shared" si="2"/>
        <v>0</v>
      </c>
      <c r="F553" s="102"/>
      <c r="G553" s="102"/>
      <c r="H553" s="102"/>
      <c r="I553" s="102"/>
      <c r="J553" s="102"/>
      <c r="K553" s="102"/>
      <c r="L553" s="102"/>
      <c r="M553" s="102"/>
      <c r="N553" s="102"/>
      <c r="O553" s="102"/>
      <c r="P553" s="102"/>
      <c r="Q553" s="102"/>
      <c r="R553" s="102"/>
      <c r="S553" s="102"/>
      <c r="T553" s="102"/>
      <c r="U553" s="102"/>
    </row>
    <row r="554" spans="3:21" ht="12.75">
      <c r="C554" s="121"/>
      <c r="D554" s="111"/>
      <c r="E554" s="137">
        <f t="shared" si="2"/>
        <v>0</v>
      </c>
      <c r="F554" s="102"/>
      <c r="G554" s="102"/>
      <c r="H554" s="102"/>
      <c r="I554" s="102"/>
      <c r="J554" s="102"/>
      <c r="K554" s="102"/>
      <c r="L554" s="102"/>
      <c r="M554" s="102"/>
      <c r="N554" s="102"/>
      <c r="O554" s="102"/>
      <c r="P554" s="102"/>
      <c r="Q554" s="102"/>
      <c r="R554" s="102"/>
      <c r="S554" s="102"/>
      <c r="T554" s="102"/>
      <c r="U554" s="102"/>
    </row>
    <row r="555" spans="3:21" ht="12.75">
      <c r="C555" s="121"/>
      <c r="D555" s="111"/>
      <c r="E555" s="137">
        <f t="shared" si="2"/>
        <v>0</v>
      </c>
      <c r="F555" s="102"/>
      <c r="G555" s="102"/>
      <c r="H555" s="102"/>
      <c r="I555" s="102"/>
      <c r="J555" s="102"/>
      <c r="K555" s="102"/>
      <c r="L555" s="102"/>
      <c r="M555" s="102"/>
      <c r="N555" s="102"/>
      <c r="O555" s="102"/>
      <c r="P555" s="102"/>
      <c r="Q555" s="102"/>
      <c r="R555" s="102"/>
      <c r="S555" s="102"/>
      <c r="T555" s="102"/>
      <c r="U555" s="102"/>
    </row>
    <row r="556" spans="3:21" ht="12.75">
      <c r="C556" s="121"/>
      <c r="D556" s="111"/>
      <c r="E556" s="137">
        <f t="shared" si="2"/>
        <v>0</v>
      </c>
      <c r="F556" s="102"/>
      <c r="G556" s="102"/>
      <c r="H556" s="102"/>
      <c r="I556" s="102"/>
      <c r="J556" s="102"/>
      <c r="K556" s="102"/>
      <c r="L556" s="102"/>
      <c r="M556" s="102"/>
      <c r="N556" s="102"/>
      <c r="O556" s="102"/>
      <c r="P556" s="102"/>
      <c r="Q556" s="102"/>
      <c r="R556" s="102"/>
      <c r="S556" s="102"/>
      <c r="T556" s="102"/>
      <c r="U556" s="102"/>
    </row>
    <row r="557" spans="3:21" ht="12.75">
      <c r="C557" s="121"/>
      <c r="D557" s="111"/>
      <c r="E557" s="137">
        <f t="shared" si="2"/>
        <v>0</v>
      </c>
      <c r="F557" s="102"/>
      <c r="G557" s="102"/>
      <c r="H557" s="102"/>
      <c r="I557" s="102"/>
      <c r="J557" s="102"/>
      <c r="K557" s="102"/>
      <c r="L557" s="102"/>
      <c r="M557" s="102"/>
      <c r="N557" s="102"/>
      <c r="O557" s="102"/>
      <c r="P557" s="102"/>
      <c r="Q557" s="102"/>
      <c r="R557" s="102"/>
      <c r="S557" s="102"/>
      <c r="T557" s="102"/>
      <c r="U557" s="102"/>
    </row>
    <row r="558" spans="3:21" ht="12.75">
      <c r="C558" s="121"/>
      <c r="D558" s="111"/>
      <c r="E558" s="137">
        <f t="shared" si="2"/>
        <v>0</v>
      </c>
      <c r="F558" s="102"/>
      <c r="G558" s="102"/>
      <c r="H558" s="102"/>
      <c r="I558" s="102"/>
      <c r="J558" s="102"/>
      <c r="K558" s="102"/>
      <c r="L558" s="102"/>
      <c r="M558" s="102"/>
      <c r="N558" s="102"/>
      <c r="O558" s="102"/>
      <c r="P558" s="102"/>
      <c r="Q558" s="102"/>
      <c r="R558" s="102"/>
      <c r="S558" s="102"/>
      <c r="T558" s="102"/>
      <c r="U558" s="102"/>
    </row>
    <row r="559" spans="3:21" ht="12.75">
      <c r="C559" s="121"/>
      <c r="D559" s="111"/>
      <c r="E559" s="137">
        <f t="shared" si="2"/>
        <v>0</v>
      </c>
      <c r="F559" s="102"/>
      <c r="G559" s="102"/>
      <c r="H559" s="102"/>
      <c r="I559" s="102"/>
      <c r="J559" s="102"/>
      <c r="K559" s="102"/>
      <c r="L559" s="102"/>
      <c r="M559" s="102"/>
      <c r="N559" s="102"/>
      <c r="O559" s="102"/>
      <c r="P559" s="102"/>
      <c r="Q559" s="102"/>
      <c r="R559" s="102"/>
      <c r="S559" s="102"/>
      <c r="T559" s="102"/>
      <c r="U559" s="102"/>
    </row>
    <row r="560" spans="3:21" ht="12.75">
      <c r="C560" s="121"/>
      <c r="D560" s="111"/>
      <c r="E560" s="137">
        <f t="shared" si="2"/>
        <v>0</v>
      </c>
      <c r="F560" s="102"/>
      <c r="G560" s="102"/>
      <c r="H560" s="102"/>
      <c r="I560" s="102"/>
      <c r="J560" s="102"/>
      <c r="K560" s="102"/>
      <c r="L560" s="102"/>
      <c r="M560" s="102"/>
      <c r="N560" s="102"/>
      <c r="O560" s="102"/>
      <c r="P560" s="102"/>
      <c r="Q560" s="102"/>
      <c r="R560" s="102"/>
      <c r="S560" s="102"/>
      <c r="T560" s="102"/>
      <c r="U560" s="102"/>
    </row>
    <row r="561" spans="3:21" ht="12.75">
      <c r="C561" s="121"/>
      <c r="D561" s="111"/>
      <c r="E561" s="137">
        <f t="shared" si="2"/>
        <v>0</v>
      </c>
      <c r="F561" s="102"/>
      <c r="G561" s="102"/>
      <c r="H561" s="102"/>
      <c r="I561" s="102"/>
      <c r="J561" s="102"/>
      <c r="K561" s="102"/>
      <c r="L561" s="102"/>
      <c r="M561" s="102"/>
      <c r="N561" s="102"/>
      <c r="O561" s="102"/>
      <c r="P561" s="102"/>
      <c r="Q561" s="102"/>
      <c r="R561" s="102"/>
      <c r="S561" s="102"/>
      <c r="T561" s="102"/>
      <c r="U561" s="102"/>
    </row>
    <row r="562" spans="3:21" ht="12.75">
      <c r="C562" s="121"/>
      <c r="D562" s="111"/>
      <c r="E562" s="137">
        <f t="shared" si="2"/>
        <v>0</v>
      </c>
      <c r="F562" s="102"/>
      <c r="G562" s="102"/>
      <c r="H562" s="102"/>
      <c r="I562" s="102"/>
      <c r="J562" s="102"/>
      <c r="K562" s="102"/>
      <c r="L562" s="102"/>
      <c r="M562" s="102"/>
      <c r="N562" s="102"/>
      <c r="O562" s="102"/>
      <c r="P562" s="102"/>
      <c r="Q562" s="102"/>
      <c r="R562" s="102"/>
      <c r="S562" s="102"/>
      <c r="T562" s="102"/>
      <c r="U562" s="102"/>
    </row>
    <row r="563" spans="3:21" ht="12.75">
      <c r="C563" s="121"/>
      <c r="D563" s="111"/>
      <c r="E563" s="137">
        <f t="shared" si="2"/>
        <v>0</v>
      </c>
      <c r="F563" s="102"/>
      <c r="G563" s="102"/>
      <c r="H563" s="102"/>
      <c r="I563" s="102"/>
      <c r="J563" s="102"/>
      <c r="K563" s="102"/>
      <c r="L563" s="102"/>
      <c r="M563" s="102"/>
      <c r="N563" s="102"/>
      <c r="O563" s="102"/>
      <c r="P563" s="102"/>
      <c r="Q563" s="102"/>
      <c r="R563" s="102"/>
      <c r="S563" s="102"/>
      <c r="T563" s="102"/>
      <c r="U563" s="102"/>
    </row>
    <row r="564" spans="3:21" ht="12.75">
      <c r="C564" s="121"/>
      <c r="D564" s="111"/>
      <c r="E564" s="137">
        <f t="shared" si="2"/>
        <v>0</v>
      </c>
      <c r="F564" s="102"/>
      <c r="G564" s="102"/>
      <c r="H564" s="102"/>
      <c r="I564" s="102"/>
      <c r="J564" s="102"/>
      <c r="K564" s="102"/>
      <c r="L564" s="102"/>
      <c r="M564" s="102"/>
      <c r="N564" s="102"/>
      <c r="O564" s="102"/>
      <c r="P564" s="102"/>
      <c r="Q564" s="102"/>
      <c r="R564" s="102"/>
      <c r="S564" s="102"/>
      <c r="T564" s="102"/>
      <c r="U564" s="102"/>
    </row>
    <row r="565" spans="3:21" ht="12.75">
      <c r="C565" s="121"/>
      <c r="D565" s="111"/>
      <c r="E565" s="137">
        <f t="shared" si="2"/>
        <v>0</v>
      </c>
      <c r="F565" s="102"/>
      <c r="G565" s="102"/>
      <c r="H565" s="102"/>
      <c r="I565" s="102"/>
      <c r="J565" s="102"/>
      <c r="K565" s="102"/>
      <c r="L565" s="102"/>
      <c r="M565" s="102"/>
      <c r="N565" s="102"/>
      <c r="O565" s="102"/>
      <c r="P565" s="102"/>
      <c r="Q565" s="102"/>
      <c r="R565" s="102"/>
      <c r="S565" s="102"/>
      <c r="T565" s="102"/>
      <c r="U565" s="102"/>
    </row>
    <row r="566" spans="3:21" ht="12.75">
      <c r="C566" s="121"/>
      <c r="D566" s="111"/>
      <c r="E566" s="137">
        <f t="shared" si="2"/>
        <v>0</v>
      </c>
      <c r="F566" s="102"/>
      <c r="G566" s="102"/>
      <c r="H566" s="102"/>
      <c r="I566" s="102"/>
      <c r="J566" s="102"/>
      <c r="K566" s="102"/>
      <c r="L566" s="102"/>
      <c r="M566" s="102"/>
      <c r="N566" s="102"/>
      <c r="O566" s="102"/>
      <c r="P566" s="102"/>
      <c r="Q566" s="102"/>
      <c r="R566" s="102"/>
      <c r="S566" s="102"/>
      <c r="T566" s="102"/>
      <c r="U566" s="102"/>
    </row>
    <row r="567" spans="3:21" ht="12.75">
      <c r="C567" s="121"/>
      <c r="D567" s="111"/>
      <c r="E567" s="137">
        <f t="shared" si="2"/>
        <v>0</v>
      </c>
      <c r="F567" s="102"/>
      <c r="G567" s="102"/>
      <c r="H567" s="102"/>
      <c r="I567" s="102"/>
      <c r="J567" s="102"/>
      <c r="K567" s="102"/>
      <c r="L567" s="102"/>
      <c r="M567" s="102"/>
      <c r="N567" s="102"/>
      <c r="O567" s="102"/>
      <c r="P567" s="102"/>
      <c r="Q567" s="102"/>
      <c r="R567" s="102"/>
      <c r="S567" s="102"/>
      <c r="T567" s="102"/>
      <c r="U567" s="102"/>
    </row>
    <row r="568" spans="3:21" ht="12.75">
      <c r="C568" s="121"/>
      <c r="D568" s="111"/>
      <c r="E568" s="137">
        <f t="shared" si="2"/>
        <v>0</v>
      </c>
      <c r="F568" s="102"/>
      <c r="G568" s="102"/>
      <c r="H568" s="102"/>
      <c r="I568" s="102"/>
      <c r="J568" s="102"/>
      <c r="K568" s="102"/>
      <c r="L568" s="102"/>
      <c r="M568" s="102"/>
      <c r="N568" s="102"/>
      <c r="O568" s="102"/>
      <c r="P568" s="102"/>
      <c r="Q568" s="102"/>
      <c r="R568" s="102"/>
      <c r="S568" s="102"/>
      <c r="T568" s="102"/>
      <c r="U568" s="102"/>
    </row>
    <row r="569" spans="3:21" ht="12.75">
      <c r="C569" s="121"/>
      <c r="D569" s="111"/>
      <c r="E569" s="137">
        <f t="shared" si="2"/>
        <v>0</v>
      </c>
      <c r="F569" s="102"/>
      <c r="G569" s="102"/>
      <c r="H569" s="102"/>
      <c r="I569" s="102"/>
      <c r="J569" s="102"/>
      <c r="K569" s="102"/>
      <c r="L569" s="102"/>
      <c r="M569" s="102"/>
      <c r="N569" s="102"/>
      <c r="O569" s="102"/>
      <c r="P569" s="102"/>
      <c r="Q569" s="102"/>
      <c r="R569" s="102"/>
      <c r="S569" s="102"/>
      <c r="T569" s="102"/>
      <c r="U569" s="102"/>
    </row>
    <row r="570" spans="3:21" ht="12.75">
      <c r="C570" s="121"/>
      <c r="D570" s="111"/>
      <c r="E570" s="137">
        <f t="shared" si="2"/>
        <v>0</v>
      </c>
      <c r="F570" s="102"/>
      <c r="G570" s="102"/>
      <c r="H570" s="102"/>
      <c r="I570" s="102"/>
      <c r="J570" s="102"/>
      <c r="K570" s="102"/>
      <c r="L570" s="102"/>
      <c r="M570" s="102"/>
      <c r="N570" s="102"/>
      <c r="O570" s="102"/>
      <c r="P570" s="102"/>
      <c r="Q570" s="102"/>
      <c r="R570" s="102"/>
      <c r="S570" s="102"/>
      <c r="T570" s="102"/>
      <c r="U570" s="102"/>
    </row>
    <row r="571" spans="3:21" ht="12.75">
      <c r="C571" s="121"/>
      <c r="D571" s="111"/>
      <c r="E571" s="137">
        <f t="shared" si="2"/>
        <v>0</v>
      </c>
      <c r="F571" s="102"/>
      <c r="G571" s="102"/>
      <c r="H571" s="102"/>
      <c r="I571" s="102"/>
      <c r="J571" s="102"/>
      <c r="K571" s="102"/>
      <c r="L571" s="102"/>
      <c r="M571" s="102"/>
      <c r="N571" s="102"/>
      <c r="O571" s="102"/>
      <c r="P571" s="102"/>
      <c r="Q571" s="102"/>
      <c r="R571" s="102"/>
      <c r="S571" s="102"/>
      <c r="T571" s="102"/>
      <c r="U571" s="102"/>
    </row>
    <row r="572" spans="3:21" ht="12.75">
      <c r="C572" s="121"/>
      <c r="D572" s="111"/>
      <c r="E572" s="137">
        <f t="shared" si="2"/>
        <v>0</v>
      </c>
      <c r="F572" s="102"/>
      <c r="G572" s="102"/>
      <c r="H572" s="102"/>
      <c r="I572" s="102"/>
      <c r="J572" s="102"/>
      <c r="K572" s="102"/>
      <c r="L572" s="102"/>
      <c r="M572" s="102"/>
      <c r="N572" s="102"/>
      <c r="O572" s="102"/>
      <c r="P572" s="102"/>
      <c r="Q572" s="102"/>
      <c r="R572" s="102"/>
      <c r="S572" s="102"/>
      <c r="T572" s="102"/>
      <c r="U572" s="102"/>
    </row>
    <row r="573" spans="3:21" ht="12.75">
      <c r="C573" s="121"/>
      <c r="D573" s="111"/>
      <c r="E573" s="137">
        <f t="shared" si="2"/>
        <v>0</v>
      </c>
      <c r="F573" s="102"/>
      <c r="G573" s="102"/>
      <c r="H573" s="102"/>
      <c r="I573" s="102"/>
      <c r="J573" s="102"/>
      <c r="K573" s="102"/>
      <c r="L573" s="102"/>
      <c r="M573" s="102"/>
      <c r="N573" s="102"/>
      <c r="O573" s="102"/>
      <c r="P573" s="102"/>
      <c r="Q573" s="102"/>
      <c r="R573" s="102"/>
      <c r="S573" s="102"/>
      <c r="T573" s="102"/>
      <c r="U573" s="102"/>
    </row>
    <row r="574" spans="3:21" ht="12.75">
      <c r="C574" s="121"/>
      <c r="D574" s="111"/>
      <c r="E574" s="137">
        <f t="shared" si="2"/>
        <v>0</v>
      </c>
      <c r="F574" s="102"/>
      <c r="G574" s="102"/>
      <c r="H574" s="102"/>
      <c r="I574" s="102"/>
      <c r="J574" s="102"/>
      <c r="K574" s="102"/>
      <c r="L574" s="102"/>
      <c r="M574" s="102"/>
      <c r="N574" s="102"/>
      <c r="O574" s="102"/>
      <c r="P574" s="102"/>
      <c r="Q574" s="102"/>
      <c r="R574" s="102"/>
      <c r="S574" s="102"/>
      <c r="T574" s="102"/>
      <c r="U574" s="102"/>
    </row>
    <row r="575" spans="3:21" ht="12.75">
      <c r="C575" s="121"/>
      <c r="D575" s="111"/>
      <c r="E575" s="137">
        <f t="shared" si="2"/>
        <v>0</v>
      </c>
      <c r="F575" s="102"/>
      <c r="G575" s="102"/>
      <c r="H575" s="102"/>
      <c r="I575" s="102"/>
      <c r="J575" s="102"/>
      <c r="K575" s="102"/>
      <c r="L575" s="102"/>
      <c r="M575" s="102"/>
      <c r="N575" s="102"/>
      <c r="O575" s="102"/>
      <c r="P575" s="102"/>
      <c r="Q575" s="102"/>
      <c r="R575" s="102"/>
      <c r="S575" s="102"/>
      <c r="T575" s="102"/>
      <c r="U575" s="102"/>
    </row>
    <row r="576" spans="3:21" ht="12.75">
      <c r="C576" s="121"/>
      <c r="D576" s="111"/>
      <c r="E576" s="137">
        <f t="shared" si="2"/>
        <v>0</v>
      </c>
      <c r="F576" s="102"/>
      <c r="G576" s="102"/>
      <c r="H576" s="102"/>
      <c r="I576" s="102"/>
      <c r="J576" s="102"/>
      <c r="K576" s="102"/>
      <c r="L576" s="102"/>
      <c r="M576" s="102"/>
      <c r="N576" s="102"/>
      <c r="O576" s="102"/>
      <c r="P576" s="102"/>
      <c r="Q576" s="102"/>
      <c r="R576" s="102"/>
      <c r="S576" s="102"/>
      <c r="T576" s="102"/>
      <c r="U576" s="102"/>
    </row>
    <row r="577" spans="3:21" ht="12.75">
      <c r="C577" s="121"/>
      <c r="D577" s="111"/>
      <c r="E577" s="137">
        <f t="shared" si="2"/>
        <v>0</v>
      </c>
      <c r="F577" s="102"/>
      <c r="G577" s="102"/>
      <c r="H577" s="102"/>
      <c r="I577" s="102"/>
      <c r="J577" s="102"/>
      <c r="K577" s="102"/>
      <c r="L577" s="102"/>
      <c r="M577" s="102"/>
      <c r="N577" s="102"/>
      <c r="O577" s="102"/>
      <c r="P577" s="102"/>
      <c r="Q577" s="102"/>
      <c r="R577" s="102"/>
      <c r="S577" s="102"/>
      <c r="T577" s="102"/>
      <c r="U577" s="102"/>
    </row>
    <row r="578" spans="3:21" ht="12.75">
      <c r="C578" s="121"/>
      <c r="D578" s="111"/>
      <c r="E578" s="137">
        <f t="shared" si="2"/>
        <v>0</v>
      </c>
      <c r="F578" s="102"/>
      <c r="G578" s="102"/>
      <c r="H578" s="102"/>
      <c r="I578" s="102"/>
      <c r="J578" s="102"/>
      <c r="K578" s="102"/>
      <c r="L578" s="102"/>
      <c r="M578" s="102"/>
      <c r="N578" s="102"/>
      <c r="O578" s="102"/>
      <c r="P578" s="102"/>
      <c r="Q578" s="102"/>
      <c r="R578" s="102"/>
      <c r="S578" s="102"/>
      <c r="T578" s="102"/>
      <c r="U578" s="102"/>
    </row>
    <row r="579" spans="3:21" ht="12.75">
      <c r="C579" s="121"/>
      <c r="D579" s="111"/>
      <c r="E579" s="137">
        <f t="shared" si="2"/>
        <v>0</v>
      </c>
      <c r="F579" s="102"/>
      <c r="G579" s="102"/>
      <c r="H579" s="102"/>
      <c r="I579" s="102"/>
      <c r="J579" s="102"/>
      <c r="K579" s="102"/>
      <c r="L579" s="102"/>
      <c r="M579" s="102"/>
      <c r="N579" s="102"/>
      <c r="O579" s="102"/>
      <c r="P579" s="102"/>
      <c r="Q579" s="102"/>
      <c r="R579" s="102"/>
      <c r="S579" s="102"/>
      <c r="T579" s="102"/>
      <c r="U579" s="102"/>
    </row>
    <row r="580" spans="3:21" ht="12.75">
      <c r="C580" s="121"/>
      <c r="D580" s="111"/>
      <c r="E580" s="137">
        <f t="shared" si="2"/>
        <v>0</v>
      </c>
      <c r="F580" s="102"/>
      <c r="G580" s="102"/>
      <c r="H580" s="102"/>
      <c r="I580" s="102"/>
      <c r="J580" s="102"/>
      <c r="K580" s="102"/>
      <c r="L580" s="102"/>
      <c r="M580" s="102"/>
      <c r="N580" s="102"/>
      <c r="O580" s="102"/>
      <c r="P580" s="102"/>
      <c r="Q580" s="102"/>
      <c r="R580" s="102"/>
      <c r="S580" s="102"/>
      <c r="T580" s="102"/>
      <c r="U580" s="102"/>
    </row>
    <row r="581" spans="3:21" ht="12.75">
      <c r="C581" s="121"/>
      <c r="D581" s="111"/>
      <c r="E581" s="137">
        <f t="shared" si="2"/>
        <v>0</v>
      </c>
      <c r="F581" s="102"/>
      <c r="G581" s="102"/>
      <c r="H581" s="102"/>
      <c r="I581" s="102"/>
      <c r="J581" s="102"/>
      <c r="K581" s="102"/>
      <c r="L581" s="102"/>
      <c r="M581" s="102"/>
      <c r="N581" s="102"/>
      <c r="O581" s="102"/>
      <c r="P581" s="102"/>
      <c r="Q581" s="102"/>
      <c r="R581" s="102"/>
      <c r="S581" s="102"/>
      <c r="T581" s="102"/>
      <c r="U581" s="102"/>
    </row>
    <row r="582" spans="3:21" ht="12.75">
      <c r="C582" s="121"/>
      <c r="D582" s="111"/>
      <c r="E582" s="137">
        <f t="shared" si="2"/>
        <v>0</v>
      </c>
      <c r="F582" s="102"/>
      <c r="G582" s="102"/>
      <c r="H582" s="102"/>
      <c r="I582" s="102"/>
      <c r="J582" s="102"/>
      <c r="K582" s="102"/>
      <c r="L582" s="102"/>
      <c r="M582" s="102"/>
      <c r="N582" s="102"/>
      <c r="O582" s="102"/>
      <c r="P582" s="102"/>
      <c r="Q582" s="102"/>
      <c r="R582" s="102"/>
      <c r="S582" s="102"/>
      <c r="T582" s="102"/>
      <c r="U582" s="102"/>
    </row>
    <row r="583" spans="3:21" ht="12.75">
      <c r="C583" s="121"/>
      <c r="D583" s="111"/>
      <c r="E583" s="137">
        <f t="shared" si="2"/>
        <v>0</v>
      </c>
      <c r="F583" s="102"/>
      <c r="G583" s="102"/>
      <c r="H583" s="102"/>
      <c r="I583" s="102"/>
      <c r="J583" s="102"/>
      <c r="K583" s="102"/>
      <c r="L583" s="102"/>
      <c r="M583" s="102"/>
      <c r="N583" s="102"/>
      <c r="O583" s="102"/>
      <c r="P583" s="102"/>
      <c r="Q583" s="102"/>
      <c r="R583" s="102"/>
      <c r="S583" s="102"/>
      <c r="T583" s="102"/>
      <c r="U583" s="102"/>
    </row>
    <row r="584" spans="3:21" ht="12.75">
      <c r="C584" s="121"/>
      <c r="D584" s="111"/>
      <c r="E584" s="137">
        <f t="shared" si="2"/>
        <v>0</v>
      </c>
      <c r="F584" s="102"/>
      <c r="G584" s="102"/>
      <c r="H584" s="102"/>
      <c r="I584" s="102"/>
      <c r="J584" s="102"/>
      <c r="K584" s="102"/>
      <c r="L584" s="102"/>
      <c r="M584" s="102"/>
      <c r="N584" s="102"/>
      <c r="O584" s="102"/>
      <c r="P584" s="102"/>
      <c r="Q584" s="102"/>
      <c r="R584" s="102"/>
      <c r="S584" s="102"/>
      <c r="T584" s="102"/>
      <c r="U584" s="102"/>
    </row>
    <row r="585" spans="3:21" ht="12.75">
      <c r="C585" s="121"/>
      <c r="D585" s="111"/>
      <c r="E585" s="137">
        <f t="shared" si="2"/>
        <v>0</v>
      </c>
      <c r="F585" s="102"/>
      <c r="G585" s="102"/>
      <c r="H585" s="102"/>
      <c r="I585" s="102"/>
      <c r="J585" s="102"/>
      <c r="K585" s="102"/>
      <c r="L585" s="102"/>
      <c r="M585" s="102"/>
      <c r="N585" s="102"/>
      <c r="O585" s="102"/>
      <c r="P585" s="102"/>
      <c r="Q585" s="102"/>
      <c r="R585" s="102"/>
      <c r="S585" s="102"/>
      <c r="T585" s="102"/>
      <c r="U585" s="102"/>
    </row>
    <row r="586" spans="3:21" ht="12.75">
      <c r="C586" s="121"/>
      <c r="D586" s="111"/>
      <c r="E586" s="137">
        <f t="shared" si="2"/>
        <v>0</v>
      </c>
      <c r="F586" s="102"/>
      <c r="G586" s="102"/>
      <c r="H586" s="102"/>
      <c r="I586" s="102"/>
      <c r="J586" s="102"/>
      <c r="K586" s="102"/>
      <c r="L586" s="102"/>
      <c r="M586" s="102"/>
      <c r="N586" s="102"/>
      <c r="O586" s="102"/>
      <c r="P586" s="102"/>
      <c r="Q586" s="102"/>
      <c r="R586" s="102"/>
      <c r="S586" s="102"/>
      <c r="T586" s="102"/>
      <c r="U586" s="102"/>
    </row>
    <row r="587" spans="3:21" ht="12.75">
      <c r="C587" s="121"/>
      <c r="D587" s="111"/>
      <c r="E587" s="137">
        <f t="shared" si="2"/>
        <v>0</v>
      </c>
      <c r="F587" s="102"/>
      <c r="G587" s="102"/>
      <c r="H587" s="102"/>
      <c r="I587" s="102"/>
      <c r="J587" s="102"/>
      <c r="K587" s="102"/>
      <c r="L587" s="102"/>
      <c r="M587" s="102"/>
      <c r="N587" s="102"/>
      <c r="O587" s="102"/>
      <c r="P587" s="102"/>
      <c r="Q587" s="102"/>
      <c r="R587" s="102"/>
      <c r="S587" s="102"/>
      <c r="T587" s="102"/>
      <c r="U587" s="102"/>
    </row>
    <row r="588" spans="3:21" ht="12.75">
      <c r="C588" s="121"/>
      <c r="D588" s="111"/>
      <c r="E588" s="137">
        <f t="shared" si="2"/>
        <v>0</v>
      </c>
      <c r="F588" s="102"/>
      <c r="G588" s="102"/>
      <c r="H588" s="102"/>
      <c r="I588" s="102"/>
      <c r="J588" s="102"/>
      <c r="K588" s="102"/>
      <c r="L588" s="102"/>
      <c r="M588" s="102"/>
      <c r="N588" s="102"/>
      <c r="O588" s="102"/>
      <c r="P588" s="102"/>
      <c r="Q588" s="102"/>
      <c r="R588" s="102"/>
      <c r="S588" s="102"/>
      <c r="T588" s="102"/>
      <c r="U588" s="102"/>
    </row>
    <row r="589" spans="3:21" ht="12.75">
      <c r="C589" s="121"/>
      <c r="D589" s="111"/>
      <c r="E589" s="137">
        <f t="shared" si="2"/>
        <v>0</v>
      </c>
      <c r="F589" s="102"/>
      <c r="G589" s="102"/>
      <c r="H589" s="102"/>
      <c r="I589" s="102"/>
      <c r="J589" s="102"/>
      <c r="K589" s="102"/>
      <c r="L589" s="102"/>
      <c r="M589" s="102"/>
      <c r="N589" s="102"/>
      <c r="O589" s="102"/>
      <c r="P589" s="102"/>
      <c r="Q589" s="102"/>
      <c r="R589" s="102"/>
      <c r="S589" s="102"/>
      <c r="T589" s="102"/>
      <c r="U589" s="102"/>
    </row>
    <row r="590" spans="3:21" ht="12.75">
      <c r="C590" s="121"/>
      <c r="D590" s="111"/>
      <c r="E590" s="137">
        <f t="shared" si="2"/>
        <v>0</v>
      </c>
      <c r="F590" s="102"/>
      <c r="G590" s="102"/>
      <c r="H590" s="102"/>
      <c r="I590" s="102"/>
      <c r="J590" s="102"/>
      <c r="K590" s="102"/>
      <c r="L590" s="102"/>
      <c r="M590" s="102"/>
      <c r="N590" s="102"/>
      <c r="O590" s="102"/>
      <c r="P590" s="102"/>
      <c r="Q590" s="102"/>
      <c r="R590" s="102"/>
      <c r="S590" s="102"/>
      <c r="T590" s="102"/>
      <c r="U590" s="102"/>
    </row>
    <row r="591" spans="3:21" ht="12.75">
      <c r="C591" s="121"/>
      <c r="D591" s="111"/>
      <c r="E591" s="137">
        <f t="shared" si="2"/>
        <v>0</v>
      </c>
      <c r="F591" s="102"/>
      <c r="G591" s="102"/>
      <c r="H591" s="102"/>
      <c r="I591" s="102"/>
      <c r="J591" s="102"/>
      <c r="K591" s="102"/>
      <c r="L591" s="102"/>
      <c r="M591" s="102"/>
      <c r="N591" s="102"/>
      <c r="O591" s="102"/>
      <c r="P591" s="102"/>
      <c r="Q591" s="102"/>
      <c r="R591" s="102"/>
      <c r="S591" s="102"/>
      <c r="T591" s="102"/>
      <c r="U591" s="102"/>
    </row>
    <row r="592" spans="3:21" ht="12.75">
      <c r="C592" s="121"/>
      <c r="D592" s="111"/>
      <c r="E592" s="137">
        <f t="shared" si="2"/>
        <v>0</v>
      </c>
      <c r="F592" s="102"/>
      <c r="G592" s="102"/>
      <c r="H592" s="102"/>
      <c r="I592" s="102"/>
      <c r="J592" s="102"/>
      <c r="K592" s="102"/>
      <c r="L592" s="102"/>
      <c r="M592" s="102"/>
      <c r="N592" s="102"/>
      <c r="O592" s="102"/>
      <c r="P592" s="102"/>
      <c r="Q592" s="102"/>
      <c r="R592" s="102"/>
      <c r="S592" s="102"/>
      <c r="T592" s="102"/>
      <c r="U592" s="102"/>
    </row>
    <row r="593" spans="3:21" ht="12.75">
      <c r="C593" s="121"/>
      <c r="D593" s="111"/>
      <c r="E593" s="137">
        <f t="shared" si="2"/>
        <v>0</v>
      </c>
      <c r="F593" s="102"/>
      <c r="G593" s="102"/>
      <c r="H593" s="102"/>
      <c r="I593" s="102"/>
      <c r="J593" s="102"/>
      <c r="K593" s="102"/>
      <c r="L593" s="102"/>
      <c r="M593" s="102"/>
      <c r="N593" s="102"/>
      <c r="O593" s="102"/>
      <c r="P593" s="102"/>
      <c r="Q593" s="102"/>
      <c r="R593" s="102"/>
      <c r="S593" s="102"/>
      <c r="T593" s="102"/>
      <c r="U593" s="102"/>
    </row>
    <row r="594" spans="3:21" ht="12.75">
      <c r="C594" s="121"/>
      <c r="D594" s="111"/>
      <c r="E594" s="137">
        <f t="shared" si="2"/>
        <v>0</v>
      </c>
      <c r="F594" s="102"/>
      <c r="G594" s="102"/>
      <c r="H594" s="102"/>
      <c r="I594" s="102"/>
      <c r="J594" s="102"/>
      <c r="K594" s="102"/>
      <c r="L594" s="102"/>
      <c r="M594" s="102"/>
      <c r="N594" s="102"/>
      <c r="O594" s="102"/>
      <c r="P594" s="102"/>
      <c r="Q594" s="102"/>
      <c r="R594" s="102"/>
      <c r="S594" s="102"/>
      <c r="T594" s="102"/>
      <c r="U594" s="102"/>
    </row>
    <row r="595" spans="3:21" ht="12.75">
      <c r="C595" s="121"/>
      <c r="D595" s="111"/>
      <c r="E595" s="137">
        <f t="shared" si="2"/>
        <v>0</v>
      </c>
      <c r="F595" s="102"/>
      <c r="G595" s="102"/>
      <c r="H595" s="102"/>
      <c r="I595" s="102"/>
      <c r="J595" s="102"/>
      <c r="K595" s="102"/>
      <c r="L595" s="102"/>
      <c r="M595" s="102"/>
      <c r="N595" s="102"/>
      <c r="O595" s="102"/>
      <c r="P595" s="102"/>
      <c r="Q595" s="102"/>
      <c r="R595" s="102"/>
      <c r="S595" s="102"/>
      <c r="T595" s="102"/>
      <c r="U595" s="102"/>
    </row>
    <row r="596" spans="3:21" ht="12.75">
      <c r="C596" s="121"/>
      <c r="D596" s="111"/>
      <c r="E596" s="137">
        <f t="shared" si="2"/>
        <v>0</v>
      </c>
      <c r="F596" s="102"/>
      <c r="G596" s="102"/>
      <c r="H596" s="102"/>
      <c r="I596" s="102"/>
      <c r="J596" s="102"/>
      <c r="K596" s="102"/>
      <c r="L596" s="102"/>
      <c r="M596" s="102"/>
      <c r="N596" s="102"/>
      <c r="O596" s="102"/>
      <c r="P596" s="102"/>
      <c r="Q596" s="102"/>
      <c r="R596" s="102"/>
      <c r="S596" s="102"/>
      <c r="T596" s="102"/>
      <c r="U596" s="102"/>
    </row>
    <row r="597" spans="3:21" ht="12.75">
      <c r="C597" s="121"/>
      <c r="D597" s="111"/>
      <c r="E597" s="137">
        <f t="shared" si="2"/>
        <v>0</v>
      </c>
      <c r="F597" s="102"/>
      <c r="G597" s="102"/>
      <c r="H597" s="102"/>
      <c r="I597" s="102"/>
      <c r="J597" s="102"/>
      <c r="K597" s="102"/>
      <c r="L597" s="102"/>
      <c r="M597" s="102"/>
      <c r="N597" s="102"/>
      <c r="O597" s="102"/>
      <c r="P597" s="102"/>
      <c r="Q597" s="102"/>
      <c r="R597" s="102"/>
      <c r="S597" s="102"/>
      <c r="T597" s="102"/>
      <c r="U597" s="102"/>
    </row>
    <row r="598" spans="3:21" ht="12.75">
      <c r="C598" s="121"/>
      <c r="D598" s="111"/>
      <c r="E598" s="137">
        <f t="shared" si="2"/>
        <v>0</v>
      </c>
      <c r="F598" s="102"/>
      <c r="G598" s="102"/>
      <c r="H598" s="102"/>
      <c r="I598" s="102"/>
      <c r="J598" s="102"/>
      <c r="K598" s="102"/>
      <c r="L598" s="102"/>
      <c r="M598" s="102"/>
      <c r="N598" s="102"/>
      <c r="O598" s="102"/>
      <c r="P598" s="102"/>
      <c r="Q598" s="102"/>
      <c r="R598" s="102"/>
      <c r="S598" s="102"/>
      <c r="T598" s="102"/>
      <c r="U598" s="102"/>
    </row>
    <row r="599" spans="3:21" ht="12.75">
      <c r="C599" s="121"/>
      <c r="D599" s="111"/>
      <c r="E599" s="137">
        <f t="shared" si="2"/>
        <v>0</v>
      </c>
      <c r="F599" s="102"/>
      <c r="G599" s="102"/>
      <c r="H599" s="102"/>
      <c r="I599" s="102"/>
      <c r="J599" s="102"/>
      <c r="K599" s="102"/>
      <c r="L599" s="102"/>
      <c r="M599" s="102"/>
      <c r="N599" s="102"/>
      <c r="O599" s="102"/>
      <c r="P599" s="102"/>
      <c r="Q599" s="102"/>
      <c r="R599" s="102"/>
      <c r="S599" s="102"/>
      <c r="T599" s="102"/>
      <c r="U599" s="102"/>
    </row>
    <row r="600" spans="3:21" ht="12.75">
      <c r="C600" s="121"/>
      <c r="D600" s="111"/>
      <c r="E600" s="137">
        <f t="shared" si="2"/>
        <v>0</v>
      </c>
      <c r="F600" s="102"/>
      <c r="G600" s="102"/>
      <c r="H600" s="102"/>
      <c r="I600" s="102"/>
      <c r="J600" s="102"/>
      <c r="K600" s="102"/>
      <c r="L600" s="102"/>
      <c r="M600" s="102"/>
      <c r="N600" s="102"/>
      <c r="O600" s="102"/>
      <c r="P600" s="102"/>
      <c r="Q600" s="102"/>
      <c r="R600" s="102"/>
      <c r="S600" s="102"/>
      <c r="T600" s="102"/>
      <c r="U600" s="102"/>
    </row>
    <row r="601" spans="3:21" ht="12.75">
      <c r="C601" s="121"/>
      <c r="D601" s="111"/>
      <c r="E601" s="137">
        <f t="shared" si="2"/>
        <v>0</v>
      </c>
      <c r="F601" s="102"/>
      <c r="G601" s="102"/>
      <c r="H601" s="102"/>
      <c r="I601" s="102"/>
      <c r="J601" s="102"/>
      <c r="K601" s="102"/>
      <c r="L601" s="102"/>
      <c r="M601" s="102"/>
      <c r="N601" s="102"/>
      <c r="O601" s="102"/>
      <c r="P601" s="102"/>
      <c r="Q601" s="102"/>
      <c r="R601" s="102"/>
      <c r="S601" s="102"/>
      <c r="T601" s="102"/>
      <c r="U601" s="102"/>
    </row>
    <row r="602" spans="3:21" ht="12.75">
      <c r="C602" s="121"/>
      <c r="D602" s="111"/>
      <c r="E602" s="137">
        <f t="shared" si="2"/>
        <v>0</v>
      </c>
      <c r="F602" s="102"/>
      <c r="G602" s="102"/>
      <c r="H602" s="102"/>
      <c r="I602" s="102"/>
      <c r="J602" s="102"/>
      <c r="K602" s="102"/>
      <c r="L602" s="102"/>
      <c r="M602" s="102"/>
      <c r="N602" s="102"/>
      <c r="O602" s="102"/>
      <c r="P602" s="102"/>
      <c r="Q602" s="102"/>
      <c r="R602" s="102"/>
      <c r="S602" s="102"/>
      <c r="T602" s="102"/>
      <c r="U602" s="102"/>
    </row>
    <row r="603" spans="3:21" ht="12.75">
      <c r="C603" s="121"/>
      <c r="D603" s="111"/>
      <c r="E603" s="137">
        <f t="shared" si="2"/>
        <v>0</v>
      </c>
      <c r="F603" s="102"/>
      <c r="G603" s="102"/>
      <c r="H603" s="102"/>
      <c r="I603" s="102"/>
      <c r="J603" s="102"/>
      <c r="K603" s="102"/>
      <c r="L603" s="102"/>
      <c r="M603" s="102"/>
      <c r="N603" s="102"/>
      <c r="O603" s="102"/>
      <c r="P603" s="102"/>
      <c r="Q603" s="102"/>
      <c r="R603" s="102"/>
      <c r="S603" s="102"/>
      <c r="T603" s="102"/>
      <c r="U603" s="102"/>
    </row>
    <row r="604" spans="3:21" ht="12.75">
      <c r="C604" s="121"/>
      <c r="D604" s="111"/>
      <c r="E604" s="137">
        <f t="shared" si="2"/>
        <v>0</v>
      </c>
      <c r="F604" s="102"/>
      <c r="G604" s="102"/>
      <c r="H604" s="102"/>
      <c r="I604" s="102"/>
      <c r="J604" s="102"/>
      <c r="K604" s="102"/>
      <c r="L604" s="102"/>
      <c r="M604" s="102"/>
      <c r="N604" s="102"/>
      <c r="O604" s="102"/>
      <c r="P604" s="102"/>
      <c r="Q604" s="102"/>
      <c r="R604" s="102"/>
      <c r="S604" s="102"/>
      <c r="T604" s="102"/>
      <c r="U604" s="102"/>
    </row>
    <row r="605" spans="3:21" ht="12.75">
      <c r="C605" s="121"/>
      <c r="D605" s="111"/>
      <c r="E605" s="137">
        <f t="shared" si="2"/>
        <v>0</v>
      </c>
      <c r="F605" s="102"/>
      <c r="G605" s="102"/>
      <c r="H605" s="102"/>
      <c r="I605" s="102"/>
      <c r="J605" s="102"/>
      <c r="K605" s="102"/>
      <c r="L605" s="102"/>
      <c r="M605" s="102"/>
      <c r="N605" s="102"/>
      <c r="O605" s="102"/>
      <c r="P605" s="102"/>
      <c r="Q605" s="102"/>
      <c r="R605" s="102"/>
      <c r="S605" s="102"/>
      <c r="T605" s="102"/>
      <c r="U605" s="102"/>
    </row>
    <row r="606" spans="3:21" ht="12.75">
      <c r="C606" s="121"/>
      <c r="D606" s="111"/>
      <c r="E606" s="137">
        <f t="shared" si="2"/>
        <v>0</v>
      </c>
      <c r="F606" s="102"/>
      <c r="G606" s="102"/>
      <c r="H606" s="102"/>
      <c r="I606" s="102"/>
      <c r="J606" s="102"/>
      <c r="K606" s="102"/>
      <c r="L606" s="102"/>
      <c r="M606" s="102"/>
      <c r="N606" s="102"/>
      <c r="O606" s="102"/>
      <c r="P606" s="102"/>
      <c r="Q606" s="102"/>
      <c r="R606" s="102"/>
      <c r="S606" s="102"/>
      <c r="T606" s="102"/>
      <c r="U606" s="102"/>
    </row>
    <row r="607" spans="3:21" ht="12.75">
      <c r="C607" s="121"/>
      <c r="D607" s="111"/>
      <c r="E607" s="137">
        <f t="shared" si="2"/>
        <v>0</v>
      </c>
      <c r="F607" s="102"/>
      <c r="G607" s="102"/>
      <c r="H607" s="102"/>
      <c r="I607" s="102"/>
      <c r="J607" s="102"/>
      <c r="K607" s="102"/>
      <c r="L607" s="102"/>
      <c r="M607" s="102"/>
      <c r="N607" s="102"/>
      <c r="O607" s="102"/>
      <c r="P607" s="102"/>
      <c r="Q607" s="102"/>
      <c r="R607" s="102"/>
      <c r="S607" s="102"/>
      <c r="T607" s="102"/>
      <c r="U607" s="102"/>
    </row>
    <row r="608" spans="3:21" ht="12.75">
      <c r="C608" s="121"/>
      <c r="D608" s="111"/>
      <c r="E608" s="137">
        <f t="shared" si="2"/>
        <v>0</v>
      </c>
      <c r="F608" s="102"/>
      <c r="G608" s="102"/>
      <c r="H608" s="102"/>
      <c r="I608" s="102"/>
      <c r="J608" s="102"/>
      <c r="K608" s="102"/>
      <c r="L608" s="102"/>
      <c r="M608" s="102"/>
      <c r="N608" s="102"/>
      <c r="O608" s="102"/>
      <c r="P608" s="102"/>
      <c r="Q608" s="102"/>
      <c r="R608" s="102"/>
      <c r="S608" s="102"/>
      <c r="T608" s="102"/>
      <c r="U608" s="102"/>
    </row>
    <row r="609" spans="3:21" ht="12.75">
      <c r="C609" s="121"/>
      <c r="D609" s="111"/>
      <c r="E609" s="137">
        <f t="shared" si="2"/>
        <v>0</v>
      </c>
      <c r="F609" s="102"/>
      <c r="G609" s="102"/>
      <c r="H609" s="102"/>
      <c r="I609" s="102"/>
      <c r="J609" s="102"/>
      <c r="K609" s="102"/>
      <c r="L609" s="102"/>
      <c r="M609" s="102"/>
      <c r="N609" s="102"/>
      <c r="O609" s="102"/>
      <c r="P609" s="102"/>
      <c r="Q609" s="102"/>
      <c r="R609" s="102"/>
      <c r="S609" s="102"/>
      <c r="T609" s="102"/>
      <c r="U609" s="102"/>
    </row>
    <row r="610" spans="3:21" ht="12.75">
      <c r="C610" s="121"/>
      <c r="D610" s="111"/>
      <c r="E610" s="137">
        <f t="shared" si="2"/>
        <v>0</v>
      </c>
      <c r="F610" s="102"/>
      <c r="G610" s="102"/>
      <c r="H610" s="102"/>
      <c r="I610" s="102"/>
      <c r="J610" s="102"/>
      <c r="K610" s="102"/>
      <c r="L610" s="102"/>
      <c r="M610" s="102"/>
      <c r="N610" s="102"/>
      <c r="O610" s="102"/>
      <c r="P610" s="102"/>
      <c r="Q610" s="102"/>
      <c r="R610" s="102"/>
      <c r="S610" s="102"/>
      <c r="T610" s="102"/>
      <c r="U610" s="102"/>
    </row>
    <row r="611" spans="3:21" ht="12.75">
      <c r="C611" s="121"/>
      <c r="D611" s="111"/>
      <c r="E611" s="137">
        <f t="shared" si="2"/>
        <v>0</v>
      </c>
      <c r="F611" s="102"/>
      <c r="G611" s="102"/>
      <c r="H611" s="102"/>
      <c r="I611" s="102"/>
      <c r="J611" s="102"/>
      <c r="K611" s="102"/>
      <c r="L611" s="102"/>
      <c r="M611" s="102"/>
      <c r="N611" s="102"/>
      <c r="O611" s="102"/>
      <c r="P611" s="102"/>
      <c r="Q611" s="102"/>
      <c r="R611" s="102"/>
      <c r="S611" s="102"/>
      <c r="T611" s="102"/>
      <c r="U611" s="102"/>
    </row>
    <row r="612" spans="3:21" ht="12.75">
      <c r="C612" s="121"/>
      <c r="D612" s="111"/>
      <c r="E612" s="137">
        <f t="shared" si="2"/>
        <v>0</v>
      </c>
      <c r="F612" s="102"/>
      <c r="G612" s="102"/>
      <c r="H612" s="102"/>
      <c r="I612" s="102"/>
      <c r="J612" s="102"/>
      <c r="K612" s="102"/>
      <c r="L612" s="102"/>
      <c r="M612" s="102"/>
      <c r="N612" s="102"/>
      <c r="O612" s="102"/>
      <c r="P612" s="102"/>
      <c r="Q612" s="102"/>
      <c r="R612" s="102"/>
      <c r="S612" s="102"/>
      <c r="T612" s="102"/>
      <c r="U612" s="102"/>
    </row>
    <row r="613" spans="3:21" ht="12.75">
      <c r="C613" s="121"/>
      <c r="D613" s="111"/>
      <c r="E613" s="137">
        <f t="shared" si="2"/>
        <v>0</v>
      </c>
      <c r="F613" s="102"/>
      <c r="G613" s="102"/>
      <c r="H613" s="102"/>
      <c r="I613" s="102"/>
      <c r="J613" s="102"/>
      <c r="K613" s="102"/>
      <c r="L613" s="102"/>
      <c r="M613" s="102"/>
      <c r="N613" s="102"/>
      <c r="O613" s="102"/>
      <c r="P613" s="102"/>
      <c r="Q613" s="102"/>
      <c r="R613" s="102"/>
      <c r="S613" s="102"/>
      <c r="T613" s="102"/>
      <c r="U613" s="102"/>
    </row>
    <row r="614" spans="3:21" ht="12.75">
      <c r="C614" s="121"/>
      <c r="D614" s="111"/>
      <c r="E614" s="137">
        <f t="shared" si="2"/>
        <v>0</v>
      </c>
      <c r="F614" s="102"/>
      <c r="G614" s="102"/>
      <c r="H614" s="102"/>
      <c r="I614" s="102"/>
      <c r="J614" s="102"/>
      <c r="K614" s="102"/>
      <c r="L614" s="102"/>
      <c r="M614" s="102"/>
      <c r="N614" s="102"/>
      <c r="O614" s="102"/>
      <c r="P614" s="102"/>
      <c r="Q614" s="102"/>
      <c r="R614" s="102"/>
      <c r="S614" s="102"/>
      <c r="T614" s="102"/>
      <c r="U614" s="102"/>
    </row>
    <row r="615" spans="3:21" ht="12.75">
      <c r="C615" s="121"/>
      <c r="D615" s="111"/>
      <c r="E615" s="137">
        <f t="shared" si="2"/>
        <v>0</v>
      </c>
      <c r="F615" s="102"/>
      <c r="G615" s="102"/>
      <c r="H615" s="102"/>
      <c r="I615" s="102"/>
      <c r="J615" s="102"/>
      <c r="K615" s="102"/>
      <c r="L615" s="102"/>
      <c r="M615" s="102"/>
      <c r="N615" s="102"/>
      <c r="O615" s="102"/>
      <c r="P615" s="102"/>
      <c r="Q615" s="102"/>
      <c r="R615" s="102"/>
      <c r="S615" s="102"/>
      <c r="T615" s="102"/>
      <c r="U615" s="102"/>
    </row>
    <row r="616" spans="3:21" ht="12.75">
      <c r="C616" s="121"/>
      <c r="D616" s="111"/>
      <c r="E616" s="137">
        <f t="shared" si="2"/>
        <v>0</v>
      </c>
      <c r="F616" s="102"/>
      <c r="G616" s="102"/>
      <c r="H616" s="102"/>
      <c r="I616" s="102"/>
      <c r="J616" s="102"/>
      <c r="K616" s="102"/>
      <c r="L616" s="102"/>
      <c r="M616" s="102"/>
      <c r="N616" s="102"/>
      <c r="O616" s="102"/>
      <c r="P616" s="102"/>
      <c r="Q616" s="102"/>
      <c r="R616" s="102"/>
      <c r="S616" s="102"/>
      <c r="T616" s="102"/>
      <c r="U616" s="102"/>
    </row>
    <row r="617" spans="3:21" ht="12.75">
      <c r="C617" s="121"/>
      <c r="D617" s="111"/>
      <c r="E617" s="137">
        <f t="shared" si="2"/>
        <v>0</v>
      </c>
      <c r="F617" s="102"/>
      <c r="G617" s="102"/>
      <c r="H617" s="102"/>
      <c r="I617" s="102"/>
      <c r="J617" s="102"/>
      <c r="K617" s="102"/>
      <c r="L617" s="102"/>
      <c r="M617" s="102"/>
      <c r="N617" s="102"/>
      <c r="O617" s="102"/>
      <c r="P617" s="102"/>
      <c r="Q617" s="102"/>
      <c r="R617" s="102"/>
      <c r="S617" s="102"/>
      <c r="T617" s="102"/>
      <c r="U617" s="102"/>
    </row>
    <row r="618" spans="3:21" ht="12.75">
      <c r="C618" s="121"/>
      <c r="D618" s="111"/>
      <c r="E618" s="137">
        <f t="shared" si="2"/>
        <v>0</v>
      </c>
      <c r="F618" s="102"/>
      <c r="G618" s="102"/>
      <c r="H618" s="102"/>
      <c r="I618" s="102"/>
      <c r="J618" s="102"/>
      <c r="K618" s="102"/>
      <c r="L618" s="102"/>
      <c r="M618" s="102"/>
      <c r="N618" s="102"/>
      <c r="O618" s="102"/>
      <c r="P618" s="102"/>
      <c r="Q618" s="102"/>
      <c r="R618" s="102"/>
      <c r="S618" s="102"/>
      <c r="T618" s="102"/>
      <c r="U618" s="102"/>
    </row>
    <row r="619" spans="3:21" ht="12.75">
      <c r="C619" s="121"/>
      <c r="D619" s="111"/>
      <c r="E619" s="137">
        <f t="shared" si="2"/>
        <v>0</v>
      </c>
      <c r="F619" s="102"/>
      <c r="G619" s="102"/>
      <c r="H619" s="102"/>
      <c r="I619" s="102"/>
      <c r="J619" s="102"/>
      <c r="K619" s="102"/>
      <c r="L619" s="102"/>
      <c r="M619" s="102"/>
      <c r="N619" s="102"/>
      <c r="O619" s="102"/>
      <c r="P619" s="102"/>
      <c r="Q619" s="102"/>
      <c r="R619" s="102"/>
      <c r="S619" s="102"/>
      <c r="T619" s="102"/>
      <c r="U619" s="102"/>
    </row>
    <row r="620" spans="3:21" ht="12.75">
      <c r="C620" s="121"/>
      <c r="D620" s="111"/>
      <c r="E620" s="137">
        <f t="shared" si="2"/>
        <v>0</v>
      </c>
      <c r="F620" s="102"/>
      <c r="G620" s="102"/>
      <c r="H620" s="102"/>
      <c r="I620" s="102"/>
      <c r="J620" s="102"/>
      <c r="K620" s="102"/>
      <c r="L620" s="102"/>
      <c r="M620" s="102"/>
      <c r="N620" s="102"/>
      <c r="O620" s="102"/>
      <c r="P620" s="102"/>
      <c r="Q620" s="102"/>
      <c r="R620" s="102"/>
      <c r="S620" s="102"/>
      <c r="T620" s="102"/>
      <c r="U620" s="102"/>
    </row>
    <row r="621" spans="3:21" ht="12.75">
      <c r="C621" s="121"/>
      <c r="D621" s="111"/>
      <c r="E621" s="137">
        <f t="shared" si="2"/>
        <v>0</v>
      </c>
      <c r="F621" s="102"/>
      <c r="G621" s="102"/>
      <c r="H621" s="102"/>
      <c r="I621" s="102"/>
      <c r="J621" s="102"/>
      <c r="K621" s="102"/>
      <c r="L621" s="102"/>
      <c r="M621" s="102"/>
      <c r="N621" s="102"/>
      <c r="O621" s="102"/>
      <c r="P621" s="102"/>
      <c r="Q621" s="102"/>
      <c r="R621" s="102"/>
      <c r="S621" s="102"/>
      <c r="T621" s="102"/>
      <c r="U621" s="102"/>
    </row>
    <row r="622" spans="3:21" ht="12.75">
      <c r="C622" s="121"/>
      <c r="D622" s="111"/>
      <c r="E622" s="137">
        <f t="shared" si="2"/>
        <v>0</v>
      </c>
      <c r="F622" s="102"/>
      <c r="G622" s="102"/>
      <c r="H622" s="102"/>
      <c r="I622" s="102"/>
      <c r="J622" s="102"/>
      <c r="K622" s="102"/>
      <c r="L622" s="102"/>
      <c r="M622" s="102"/>
      <c r="N622" s="102"/>
      <c r="O622" s="102"/>
      <c r="P622" s="102"/>
      <c r="Q622" s="102"/>
      <c r="R622" s="102"/>
      <c r="S622" s="102"/>
      <c r="T622" s="102"/>
      <c r="U622" s="102"/>
    </row>
    <row r="623" spans="3:21" ht="12.75">
      <c r="C623" s="121"/>
      <c r="D623" s="111"/>
      <c r="E623" s="137">
        <f t="shared" si="2"/>
        <v>0</v>
      </c>
      <c r="F623" s="102"/>
      <c r="G623" s="102"/>
      <c r="H623" s="102"/>
      <c r="I623" s="102"/>
      <c r="J623" s="102"/>
      <c r="K623" s="102"/>
      <c r="L623" s="102"/>
      <c r="M623" s="102"/>
      <c r="N623" s="102"/>
      <c r="O623" s="102"/>
      <c r="P623" s="102"/>
      <c r="Q623" s="102"/>
      <c r="R623" s="102"/>
      <c r="S623" s="102"/>
      <c r="T623" s="102"/>
      <c r="U623" s="102"/>
    </row>
    <row r="624" spans="3:21" ht="12.75">
      <c r="C624" s="121"/>
      <c r="D624" s="111"/>
      <c r="E624" s="137">
        <f t="shared" si="2"/>
        <v>0</v>
      </c>
      <c r="F624" s="102"/>
      <c r="G624" s="102"/>
      <c r="H624" s="102"/>
      <c r="I624" s="102"/>
      <c r="J624" s="102"/>
      <c r="K624" s="102"/>
      <c r="L624" s="102"/>
      <c r="M624" s="102"/>
      <c r="N624" s="102"/>
      <c r="O624" s="102"/>
      <c r="P624" s="102"/>
      <c r="Q624" s="102"/>
      <c r="R624" s="102"/>
      <c r="S624" s="102"/>
      <c r="T624" s="102"/>
      <c r="U624" s="102"/>
    </row>
    <row r="625" spans="3:21" ht="12.75">
      <c r="C625" s="121"/>
      <c r="D625" s="111"/>
      <c r="E625" s="137">
        <f t="shared" si="2"/>
        <v>0</v>
      </c>
      <c r="F625" s="102"/>
      <c r="G625" s="102"/>
      <c r="H625" s="102"/>
      <c r="I625" s="102"/>
      <c r="J625" s="102"/>
      <c r="K625" s="102"/>
      <c r="L625" s="102"/>
      <c r="M625" s="102"/>
      <c r="N625" s="102"/>
      <c r="O625" s="102"/>
      <c r="P625" s="102"/>
      <c r="Q625" s="102"/>
      <c r="R625" s="102"/>
      <c r="S625" s="102"/>
      <c r="T625" s="102"/>
      <c r="U625" s="102"/>
    </row>
    <row r="626" spans="3:21" ht="12.75">
      <c r="C626" s="121"/>
      <c r="D626" s="111"/>
      <c r="E626" s="137">
        <f t="shared" si="2"/>
        <v>0</v>
      </c>
      <c r="F626" s="102"/>
      <c r="G626" s="102"/>
      <c r="H626" s="102"/>
      <c r="I626" s="102"/>
      <c r="J626" s="102"/>
      <c r="K626" s="102"/>
      <c r="L626" s="102"/>
      <c r="M626" s="102"/>
      <c r="N626" s="102"/>
      <c r="O626" s="102"/>
      <c r="P626" s="102"/>
      <c r="Q626" s="102"/>
      <c r="R626" s="102"/>
      <c r="S626" s="102"/>
      <c r="T626" s="102"/>
      <c r="U626" s="102"/>
    </row>
    <row r="627" spans="3:21" ht="12.75">
      <c r="C627" s="121"/>
      <c r="D627" s="111"/>
      <c r="E627" s="137">
        <f t="shared" si="2"/>
        <v>0</v>
      </c>
      <c r="F627" s="102"/>
      <c r="G627" s="102"/>
      <c r="H627" s="102"/>
      <c r="I627" s="102"/>
      <c r="J627" s="102"/>
      <c r="K627" s="102"/>
      <c r="L627" s="102"/>
      <c r="M627" s="102"/>
      <c r="N627" s="102"/>
      <c r="O627" s="102"/>
      <c r="P627" s="102"/>
      <c r="Q627" s="102"/>
      <c r="R627" s="102"/>
      <c r="S627" s="102"/>
      <c r="T627" s="102"/>
      <c r="U627" s="102"/>
    </row>
    <row r="628" spans="3:21" ht="12.75">
      <c r="C628" s="121"/>
      <c r="D628" s="111"/>
      <c r="E628" s="137">
        <f t="shared" si="2"/>
        <v>0</v>
      </c>
      <c r="F628" s="102"/>
      <c r="G628" s="102"/>
      <c r="H628" s="102"/>
      <c r="I628" s="102"/>
      <c r="J628" s="102"/>
      <c r="K628" s="102"/>
      <c r="L628" s="102"/>
      <c r="M628" s="102"/>
      <c r="N628" s="102"/>
      <c r="O628" s="102"/>
      <c r="P628" s="102"/>
      <c r="Q628" s="102"/>
      <c r="R628" s="102"/>
      <c r="S628" s="102"/>
      <c r="T628" s="102"/>
      <c r="U628" s="102"/>
    </row>
    <row r="629" spans="3:21" ht="12.75">
      <c r="C629" s="121"/>
      <c r="D629" s="111"/>
      <c r="E629" s="137">
        <f t="shared" si="2"/>
        <v>0</v>
      </c>
      <c r="F629" s="102"/>
      <c r="G629" s="102"/>
      <c r="H629" s="102"/>
      <c r="I629" s="102"/>
      <c r="J629" s="102"/>
      <c r="K629" s="102"/>
      <c r="L629" s="102"/>
      <c r="M629" s="102"/>
      <c r="N629" s="102"/>
      <c r="O629" s="102"/>
      <c r="P629" s="102"/>
      <c r="Q629" s="102"/>
      <c r="R629" s="102"/>
      <c r="S629" s="102"/>
      <c r="T629" s="102"/>
      <c r="U629" s="102"/>
    </row>
    <row r="630" spans="3:21" ht="12.75">
      <c r="C630" s="121"/>
      <c r="D630" s="111"/>
      <c r="E630" s="137">
        <f t="shared" si="2"/>
        <v>0</v>
      </c>
      <c r="F630" s="102"/>
      <c r="G630" s="102"/>
      <c r="H630" s="102"/>
      <c r="I630" s="102"/>
      <c r="J630" s="102"/>
      <c r="K630" s="102"/>
      <c r="L630" s="102"/>
      <c r="M630" s="102"/>
      <c r="N630" s="102"/>
      <c r="O630" s="102"/>
      <c r="P630" s="102"/>
      <c r="Q630" s="102"/>
      <c r="R630" s="102"/>
      <c r="S630" s="102"/>
      <c r="T630" s="102"/>
      <c r="U630" s="102"/>
    </row>
    <row r="631" spans="3:21" ht="12.75">
      <c r="C631" s="121"/>
      <c r="D631" s="111"/>
      <c r="E631" s="137">
        <f t="shared" si="2"/>
        <v>0</v>
      </c>
      <c r="F631" s="102"/>
      <c r="G631" s="102"/>
      <c r="H631" s="102"/>
      <c r="I631" s="102"/>
      <c r="J631" s="102"/>
      <c r="K631" s="102"/>
      <c r="L631" s="102"/>
      <c r="M631" s="102"/>
      <c r="N631" s="102"/>
      <c r="O631" s="102"/>
      <c r="P631" s="102"/>
      <c r="Q631" s="102"/>
      <c r="R631" s="102"/>
      <c r="S631" s="102"/>
      <c r="T631" s="102"/>
      <c r="U631" s="102"/>
    </row>
    <row r="632" spans="3:21" ht="12.75">
      <c r="C632" s="121"/>
      <c r="D632" s="111"/>
      <c r="E632" s="137">
        <f t="shared" si="2"/>
        <v>0</v>
      </c>
      <c r="F632" s="102"/>
      <c r="G632" s="102"/>
      <c r="H632" s="102"/>
      <c r="I632" s="102"/>
      <c r="J632" s="102"/>
      <c r="K632" s="102"/>
      <c r="L632" s="102"/>
      <c r="M632" s="102"/>
      <c r="N632" s="102"/>
      <c r="O632" s="102"/>
      <c r="P632" s="102"/>
      <c r="Q632" s="102"/>
      <c r="R632" s="102"/>
      <c r="S632" s="102"/>
      <c r="T632" s="102"/>
      <c r="U632" s="102"/>
    </row>
    <row r="633" spans="3:21" ht="12.75">
      <c r="C633" s="121"/>
      <c r="D633" s="111"/>
      <c r="E633" s="137">
        <f t="shared" si="2"/>
        <v>0</v>
      </c>
      <c r="F633" s="102"/>
      <c r="G633" s="102"/>
      <c r="H633" s="102"/>
      <c r="I633" s="102"/>
      <c r="J633" s="102"/>
      <c r="K633" s="102"/>
      <c r="L633" s="102"/>
      <c r="M633" s="102"/>
      <c r="N633" s="102"/>
      <c r="O633" s="102"/>
      <c r="P633" s="102"/>
      <c r="Q633" s="102"/>
      <c r="R633" s="102"/>
      <c r="S633" s="102"/>
      <c r="T633" s="102"/>
      <c r="U633" s="102"/>
    </row>
    <row r="634" spans="3:21" ht="12.75">
      <c r="C634" s="121"/>
      <c r="D634" s="111"/>
      <c r="E634" s="137">
        <f t="shared" si="2"/>
        <v>0</v>
      </c>
      <c r="F634" s="102"/>
      <c r="G634" s="102"/>
      <c r="H634" s="102"/>
      <c r="I634" s="102"/>
      <c r="J634" s="102"/>
      <c r="K634" s="102"/>
      <c r="L634" s="102"/>
      <c r="M634" s="102"/>
      <c r="N634" s="102"/>
      <c r="O634" s="102"/>
      <c r="P634" s="102"/>
      <c r="Q634" s="102"/>
      <c r="R634" s="102"/>
      <c r="S634" s="102"/>
      <c r="T634" s="102"/>
      <c r="U634" s="102"/>
    </row>
    <row r="635" spans="3:21" ht="12.75">
      <c r="C635" s="121"/>
      <c r="D635" s="111"/>
      <c r="E635" s="137">
        <f t="shared" si="2"/>
        <v>0</v>
      </c>
      <c r="F635" s="102"/>
      <c r="G635" s="102"/>
      <c r="H635" s="102"/>
      <c r="I635" s="102"/>
      <c r="J635" s="102"/>
      <c r="K635" s="102"/>
      <c r="L635" s="102"/>
      <c r="M635" s="102"/>
      <c r="N635" s="102"/>
      <c r="O635" s="102"/>
      <c r="P635" s="102"/>
      <c r="Q635" s="102"/>
      <c r="R635" s="102"/>
      <c r="S635" s="102"/>
      <c r="T635" s="102"/>
      <c r="U635" s="102"/>
    </row>
    <row r="636" spans="3:21" ht="12.75">
      <c r="C636" s="121"/>
      <c r="D636" s="111"/>
      <c r="E636" s="137">
        <f t="shared" si="2"/>
        <v>0</v>
      </c>
      <c r="F636" s="102"/>
      <c r="G636" s="102"/>
      <c r="H636" s="102"/>
      <c r="I636" s="102"/>
      <c r="J636" s="102"/>
      <c r="K636" s="102"/>
      <c r="L636" s="102"/>
      <c r="M636" s="102"/>
      <c r="N636" s="102"/>
      <c r="O636" s="102"/>
      <c r="P636" s="102"/>
      <c r="Q636" s="102"/>
      <c r="R636" s="102"/>
      <c r="S636" s="102"/>
      <c r="T636" s="102"/>
      <c r="U636" s="102"/>
    </row>
    <row r="637" spans="3:21" ht="12.75">
      <c r="C637" s="121"/>
      <c r="D637" s="111"/>
      <c r="E637" s="137">
        <f t="shared" si="2"/>
        <v>0</v>
      </c>
      <c r="F637" s="102"/>
      <c r="G637" s="102"/>
      <c r="H637" s="102"/>
      <c r="I637" s="102"/>
      <c r="J637" s="102"/>
      <c r="K637" s="102"/>
      <c r="L637" s="102"/>
      <c r="M637" s="102"/>
      <c r="N637" s="102"/>
      <c r="O637" s="102"/>
      <c r="P637" s="102"/>
      <c r="Q637" s="102"/>
      <c r="R637" s="102"/>
      <c r="S637" s="102"/>
      <c r="T637" s="102"/>
      <c r="U637" s="102"/>
    </row>
    <row r="638" spans="3:21" ht="12.75">
      <c r="C638" s="121"/>
      <c r="D638" s="111"/>
      <c r="E638" s="137">
        <f t="shared" si="2"/>
        <v>0</v>
      </c>
      <c r="F638" s="102"/>
      <c r="G638" s="102"/>
      <c r="H638" s="102"/>
      <c r="I638" s="102"/>
      <c r="J638" s="102"/>
      <c r="K638" s="102"/>
      <c r="L638" s="102"/>
      <c r="M638" s="102"/>
      <c r="N638" s="102"/>
      <c r="O638" s="102"/>
      <c r="P638" s="102"/>
      <c r="Q638" s="102"/>
      <c r="R638" s="102"/>
      <c r="S638" s="102"/>
      <c r="T638" s="102"/>
      <c r="U638" s="102"/>
    </row>
    <row r="639" spans="3:21" ht="12.75">
      <c r="C639" s="121"/>
      <c r="D639" s="111"/>
      <c r="E639" s="137">
        <f t="shared" si="2"/>
        <v>0</v>
      </c>
      <c r="F639" s="102"/>
      <c r="G639" s="102"/>
      <c r="H639" s="102"/>
      <c r="I639" s="102"/>
      <c r="J639" s="102"/>
      <c r="K639" s="102"/>
      <c r="L639" s="102"/>
      <c r="M639" s="102"/>
      <c r="N639" s="102"/>
      <c r="O639" s="102"/>
      <c r="P639" s="102"/>
      <c r="Q639" s="102"/>
      <c r="R639" s="102"/>
      <c r="S639" s="102"/>
      <c r="T639" s="102"/>
      <c r="U639" s="102"/>
    </row>
    <row r="640" spans="3:21" ht="12.75">
      <c r="C640" s="121"/>
      <c r="D640" s="111"/>
      <c r="E640" s="137">
        <f t="shared" si="2"/>
        <v>0</v>
      </c>
      <c r="F640" s="102"/>
      <c r="G640" s="102"/>
      <c r="H640" s="102"/>
      <c r="I640" s="102"/>
      <c r="J640" s="102"/>
      <c r="K640" s="102"/>
      <c r="L640" s="102"/>
      <c r="M640" s="102"/>
      <c r="N640" s="102"/>
      <c r="O640" s="102"/>
      <c r="P640" s="102"/>
      <c r="Q640" s="102"/>
      <c r="R640" s="102"/>
      <c r="S640" s="102"/>
      <c r="T640" s="102"/>
      <c r="U640" s="102"/>
    </row>
    <row r="641" spans="3:21" ht="12.75">
      <c r="C641" s="121"/>
      <c r="D641" s="111"/>
      <c r="E641" s="137">
        <f t="shared" si="2"/>
        <v>0</v>
      </c>
      <c r="F641" s="102"/>
      <c r="G641" s="102"/>
      <c r="H641" s="102"/>
      <c r="I641" s="102"/>
      <c r="J641" s="102"/>
      <c r="K641" s="102"/>
      <c r="L641" s="102"/>
      <c r="M641" s="102"/>
      <c r="N641" s="102"/>
      <c r="O641" s="102"/>
      <c r="P641" s="102"/>
      <c r="Q641" s="102"/>
      <c r="R641" s="102"/>
      <c r="S641" s="102"/>
      <c r="T641" s="102"/>
      <c r="U641" s="102"/>
    </row>
    <row r="642" spans="3:21" ht="12.75">
      <c r="C642" s="121"/>
      <c r="D642" s="111"/>
      <c r="E642" s="137">
        <f t="shared" si="2"/>
        <v>0</v>
      </c>
      <c r="F642" s="102"/>
      <c r="G642" s="102"/>
      <c r="H642" s="102"/>
      <c r="I642" s="102"/>
      <c r="J642" s="102"/>
      <c r="K642" s="102"/>
      <c r="L642" s="102"/>
      <c r="M642" s="102"/>
      <c r="N642" s="102"/>
      <c r="O642" s="102"/>
      <c r="P642" s="102"/>
      <c r="Q642" s="102"/>
      <c r="R642" s="102"/>
      <c r="S642" s="102"/>
      <c r="T642" s="102"/>
      <c r="U642" s="102"/>
    </row>
    <row r="643" spans="3:21" ht="12.75">
      <c r="C643" s="121"/>
      <c r="D643" s="111"/>
      <c r="E643" s="137">
        <f t="shared" si="2"/>
        <v>0</v>
      </c>
      <c r="F643" s="102"/>
      <c r="G643" s="102"/>
      <c r="H643" s="102"/>
      <c r="I643" s="102"/>
      <c r="J643" s="102"/>
      <c r="K643" s="102"/>
      <c r="L643" s="102"/>
      <c r="M643" s="102"/>
      <c r="N643" s="102"/>
      <c r="O643" s="102"/>
      <c r="P643" s="102"/>
      <c r="Q643" s="102"/>
      <c r="R643" s="102"/>
      <c r="S643" s="102"/>
      <c r="T643" s="102"/>
      <c r="U643" s="102"/>
    </row>
    <row r="644" spans="3:21" ht="12.75">
      <c r="C644" s="121"/>
      <c r="D644" s="111"/>
      <c r="E644" s="137">
        <f t="shared" si="2"/>
        <v>0</v>
      </c>
      <c r="F644" s="102"/>
      <c r="G644" s="102"/>
      <c r="H644" s="102"/>
      <c r="I644" s="102"/>
      <c r="J644" s="102"/>
      <c r="K644" s="102"/>
      <c r="L644" s="102"/>
      <c r="M644" s="102"/>
      <c r="N644" s="102"/>
      <c r="O644" s="102"/>
      <c r="P644" s="102"/>
      <c r="Q644" s="102"/>
      <c r="R644" s="102"/>
      <c r="S644" s="102"/>
      <c r="T644" s="102"/>
      <c r="U644" s="102"/>
    </row>
    <row r="645" spans="3:21" ht="12.75">
      <c r="C645" s="121"/>
      <c r="D645" s="111"/>
      <c r="E645" s="137">
        <f t="shared" si="2"/>
        <v>0</v>
      </c>
      <c r="F645" s="102"/>
      <c r="G645" s="102"/>
      <c r="H645" s="102"/>
      <c r="I645" s="102"/>
      <c r="J645" s="102"/>
      <c r="K645" s="102"/>
      <c r="L645" s="102"/>
      <c r="M645" s="102"/>
      <c r="N645" s="102"/>
      <c r="O645" s="102"/>
      <c r="P645" s="102"/>
      <c r="Q645" s="102"/>
      <c r="R645" s="102"/>
      <c r="S645" s="102"/>
      <c r="T645" s="102"/>
      <c r="U645" s="102"/>
    </row>
    <row r="646" spans="3:21" ht="12.75">
      <c r="C646" s="121"/>
      <c r="D646" s="111"/>
      <c r="E646" s="137">
        <f t="shared" si="2"/>
        <v>0</v>
      </c>
      <c r="F646" s="102"/>
      <c r="G646" s="102"/>
      <c r="H646" s="102"/>
      <c r="I646" s="102"/>
      <c r="J646" s="102"/>
      <c r="K646" s="102"/>
      <c r="L646" s="102"/>
      <c r="M646" s="102"/>
      <c r="N646" s="102"/>
      <c r="O646" s="102"/>
      <c r="P646" s="102"/>
      <c r="Q646" s="102"/>
      <c r="R646" s="102"/>
      <c r="S646" s="102"/>
      <c r="T646" s="102"/>
      <c r="U646" s="102"/>
    </row>
    <row r="647" spans="3:21" ht="12.75">
      <c r="C647" s="121"/>
      <c r="D647" s="111"/>
      <c r="E647" s="137">
        <f t="shared" si="2"/>
        <v>0</v>
      </c>
      <c r="F647" s="102"/>
      <c r="G647" s="102"/>
      <c r="H647" s="102"/>
      <c r="I647" s="102"/>
      <c r="J647" s="102"/>
      <c r="K647" s="102"/>
      <c r="L647" s="102"/>
      <c r="M647" s="102"/>
      <c r="N647" s="102"/>
      <c r="O647" s="102"/>
      <c r="P647" s="102"/>
      <c r="Q647" s="102"/>
      <c r="R647" s="102"/>
      <c r="S647" s="102"/>
      <c r="T647" s="102"/>
      <c r="U647" s="102"/>
    </row>
    <row r="648" spans="3:21" ht="12.75">
      <c r="C648" s="121"/>
      <c r="D648" s="111"/>
      <c r="E648" s="137">
        <f t="shared" si="2"/>
        <v>0</v>
      </c>
      <c r="F648" s="102"/>
      <c r="G648" s="102"/>
      <c r="H648" s="102"/>
      <c r="I648" s="102"/>
      <c r="J648" s="102"/>
      <c r="K648" s="102"/>
      <c r="L648" s="102"/>
      <c r="M648" s="102"/>
      <c r="N648" s="102"/>
      <c r="O648" s="102"/>
      <c r="P648" s="102"/>
      <c r="Q648" s="102"/>
      <c r="R648" s="102"/>
      <c r="S648" s="102"/>
      <c r="T648" s="102"/>
      <c r="U648" s="102"/>
    </row>
    <row r="649" spans="3:21" ht="12.75">
      <c r="C649" s="121"/>
      <c r="D649" s="111"/>
      <c r="E649" s="137">
        <f t="shared" si="2"/>
        <v>0</v>
      </c>
      <c r="F649" s="102"/>
      <c r="G649" s="102"/>
      <c r="H649" s="102"/>
      <c r="I649" s="102"/>
      <c r="J649" s="102"/>
      <c r="K649" s="102"/>
      <c r="L649" s="102"/>
      <c r="M649" s="102"/>
      <c r="N649" s="102"/>
      <c r="O649" s="102"/>
      <c r="P649" s="102"/>
      <c r="Q649" s="102"/>
      <c r="R649" s="102"/>
      <c r="S649" s="102"/>
      <c r="T649" s="102"/>
      <c r="U649" s="102"/>
    </row>
    <row r="650" spans="3:21" ht="12.75">
      <c r="C650" s="121"/>
      <c r="D650" s="111"/>
      <c r="E650" s="137">
        <f t="shared" si="2"/>
        <v>0</v>
      </c>
      <c r="F650" s="102"/>
      <c r="G650" s="102"/>
      <c r="H650" s="102"/>
      <c r="I650" s="102"/>
      <c r="J650" s="102"/>
      <c r="K650" s="102"/>
      <c r="L650" s="102"/>
      <c r="M650" s="102"/>
      <c r="N650" s="102"/>
      <c r="O650" s="102"/>
      <c r="P650" s="102"/>
      <c r="Q650" s="102"/>
      <c r="R650" s="102"/>
      <c r="S650" s="102"/>
      <c r="T650" s="102"/>
      <c r="U650" s="102"/>
    </row>
    <row r="651" spans="3:21" ht="12.75">
      <c r="C651" s="121"/>
      <c r="D651" s="111"/>
      <c r="E651" s="137">
        <f t="shared" si="2"/>
        <v>0</v>
      </c>
      <c r="F651" s="102"/>
      <c r="G651" s="102"/>
      <c r="H651" s="102"/>
      <c r="I651" s="102"/>
      <c r="J651" s="102"/>
      <c r="K651" s="102"/>
      <c r="L651" s="102"/>
      <c r="M651" s="102"/>
      <c r="N651" s="102"/>
      <c r="O651" s="102"/>
      <c r="P651" s="102"/>
      <c r="Q651" s="102"/>
      <c r="R651" s="102"/>
      <c r="S651" s="102"/>
      <c r="T651" s="102"/>
      <c r="U651" s="102"/>
    </row>
    <row r="652" spans="3:21" ht="12.75">
      <c r="C652" s="121"/>
      <c r="D652" s="111"/>
      <c r="E652" s="137">
        <f t="shared" si="2"/>
        <v>0</v>
      </c>
      <c r="F652" s="102"/>
      <c r="G652" s="102"/>
      <c r="H652" s="102"/>
      <c r="I652" s="102"/>
      <c r="J652" s="102"/>
      <c r="K652" s="102"/>
      <c r="L652" s="102"/>
      <c r="M652" s="102"/>
      <c r="N652" s="102"/>
      <c r="O652" s="102"/>
      <c r="P652" s="102"/>
      <c r="Q652" s="102"/>
      <c r="R652" s="102"/>
      <c r="S652" s="102"/>
      <c r="T652" s="102"/>
      <c r="U652" s="102"/>
    </row>
    <row r="653" spans="3:21" ht="12.75">
      <c r="C653" s="121"/>
      <c r="D653" s="111"/>
      <c r="E653" s="137">
        <f t="shared" si="2"/>
        <v>0</v>
      </c>
      <c r="F653" s="102"/>
      <c r="G653" s="102"/>
      <c r="H653" s="102"/>
      <c r="I653" s="102"/>
      <c r="J653" s="102"/>
      <c r="K653" s="102"/>
      <c r="L653" s="102"/>
      <c r="M653" s="102"/>
      <c r="N653" s="102"/>
      <c r="O653" s="102"/>
      <c r="P653" s="102"/>
      <c r="Q653" s="102"/>
      <c r="R653" s="102"/>
      <c r="S653" s="102"/>
      <c r="T653" s="102"/>
      <c r="U653" s="102"/>
    </row>
    <row r="654" spans="3:21" ht="12.75">
      <c r="C654" s="121"/>
      <c r="D654" s="111"/>
      <c r="E654" s="137">
        <f t="shared" si="2"/>
        <v>0</v>
      </c>
      <c r="F654" s="102"/>
      <c r="G654" s="102"/>
      <c r="H654" s="102"/>
      <c r="I654" s="102"/>
      <c r="J654" s="102"/>
      <c r="K654" s="102"/>
      <c r="L654" s="102"/>
      <c r="M654" s="102"/>
      <c r="N654" s="102"/>
      <c r="O654" s="102"/>
      <c r="P654" s="102"/>
      <c r="Q654" s="102"/>
      <c r="R654" s="102"/>
      <c r="S654" s="102"/>
      <c r="T654" s="102"/>
      <c r="U654" s="102"/>
    </row>
    <row r="655" spans="3:21" ht="12.75">
      <c r="C655" s="121"/>
      <c r="D655" s="111"/>
      <c r="E655" s="137">
        <f t="shared" si="2"/>
        <v>0</v>
      </c>
      <c r="F655" s="102"/>
      <c r="G655" s="102"/>
      <c r="H655" s="102"/>
      <c r="I655" s="102"/>
      <c r="J655" s="102"/>
      <c r="K655" s="102"/>
      <c r="L655" s="102"/>
      <c r="M655" s="102"/>
      <c r="N655" s="102"/>
      <c r="O655" s="102"/>
      <c r="P655" s="102"/>
      <c r="Q655" s="102"/>
      <c r="R655" s="102"/>
      <c r="S655" s="102"/>
      <c r="T655" s="102"/>
      <c r="U655" s="102"/>
    </row>
    <row r="656" spans="3:21" ht="12.75">
      <c r="C656" s="121"/>
      <c r="D656" s="111"/>
      <c r="E656" s="137">
        <f t="shared" si="2"/>
        <v>0</v>
      </c>
      <c r="F656" s="102"/>
      <c r="G656" s="102"/>
      <c r="H656" s="102"/>
      <c r="I656" s="102"/>
      <c r="J656" s="102"/>
      <c r="K656" s="102"/>
      <c r="L656" s="102"/>
      <c r="M656" s="102"/>
      <c r="N656" s="102"/>
      <c r="O656" s="102"/>
      <c r="P656" s="102"/>
      <c r="Q656" s="102"/>
      <c r="R656" s="102"/>
      <c r="S656" s="102"/>
      <c r="T656" s="102"/>
      <c r="U656" s="102"/>
    </row>
    <row r="657" spans="3:21" ht="12.75">
      <c r="C657" s="121"/>
      <c r="D657" s="111"/>
      <c r="E657" s="137">
        <f t="shared" si="2"/>
        <v>0</v>
      </c>
      <c r="F657" s="102"/>
      <c r="G657" s="102"/>
      <c r="H657" s="102"/>
      <c r="I657" s="102"/>
      <c r="J657" s="102"/>
      <c r="K657" s="102"/>
      <c r="L657" s="102"/>
      <c r="M657" s="102"/>
      <c r="N657" s="102"/>
      <c r="O657" s="102"/>
      <c r="P657" s="102"/>
      <c r="Q657" s="102"/>
      <c r="R657" s="102"/>
      <c r="S657" s="102"/>
      <c r="T657" s="102"/>
      <c r="U657" s="102"/>
    </row>
    <row r="658" spans="3:21" ht="12.75">
      <c r="C658" s="121"/>
      <c r="D658" s="111"/>
      <c r="E658" s="137">
        <f t="shared" si="2"/>
        <v>0</v>
      </c>
      <c r="F658" s="102"/>
      <c r="G658" s="102"/>
      <c r="H658" s="102"/>
      <c r="I658" s="102"/>
      <c r="J658" s="102"/>
      <c r="K658" s="102"/>
      <c r="L658" s="102"/>
      <c r="M658" s="102"/>
      <c r="N658" s="102"/>
      <c r="O658" s="102"/>
      <c r="P658" s="102"/>
      <c r="Q658" s="102"/>
      <c r="R658" s="102"/>
      <c r="S658" s="102"/>
      <c r="T658" s="102"/>
      <c r="U658" s="102"/>
    </row>
    <row r="659" spans="3:21" ht="12.75">
      <c r="C659" s="121"/>
      <c r="D659" s="111"/>
      <c r="E659" s="137">
        <f t="shared" si="2"/>
        <v>0</v>
      </c>
      <c r="F659" s="102"/>
      <c r="G659" s="102"/>
      <c r="H659" s="102"/>
      <c r="I659" s="102"/>
      <c r="J659" s="102"/>
      <c r="K659" s="102"/>
      <c r="L659" s="102"/>
      <c r="M659" s="102"/>
      <c r="N659" s="102"/>
      <c r="O659" s="102"/>
      <c r="P659" s="102"/>
      <c r="Q659" s="102"/>
      <c r="R659" s="102"/>
      <c r="S659" s="102"/>
      <c r="T659" s="102"/>
      <c r="U659" s="102"/>
    </row>
    <row r="660" spans="3:21" ht="12.75">
      <c r="C660" s="121"/>
      <c r="D660" s="111"/>
      <c r="E660" s="137">
        <f t="shared" si="2"/>
        <v>0</v>
      </c>
      <c r="F660" s="102"/>
      <c r="G660" s="102"/>
      <c r="H660" s="102"/>
      <c r="I660" s="102"/>
      <c r="J660" s="102"/>
      <c r="K660" s="102"/>
      <c r="L660" s="102"/>
      <c r="M660" s="102"/>
      <c r="N660" s="102"/>
      <c r="O660" s="102"/>
      <c r="P660" s="102"/>
      <c r="Q660" s="102"/>
      <c r="R660" s="102"/>
      <c r="S660" s="102"/>
      <c r="T660" s="102"/>
      <c r="U660" s="102"/>
    </row>
    <row r="661" spans="3:21" ht="12.75">
      <c r="C661" s="121"/>
      <c r="D661" s="111"/>
      <c r="E661" s="137">
        <f t="shared" si="2"/>
        <v>0</v>
      </c>
      <c r="F661" s="102"/>
      <c r="G661" s="102"/>
      <c r="H661" s="102"/>
      <c r="I661" s="102"/>
      <c r="J661" s="102"/>
      <c r="K661" s="102"/>
      <c r="L661" s="102"/>
      <c r="M661" s="102"/>
      <c r="N661" s="102"/>
      <c r="O661" s="102"/>
      <c r="P661" s="102"/>
      <c r="Q661" s="102"/>
      <c r="R661" s="102"/>
      <c r="S661" s="102"/>
      <c r="T661" s="102"/>
      <c r="U661" s="102"/>
    </row>
    <row r="662" spans="3:21" ht="12.75">
      <c r="C662" s="121"/>
      <c r="D662" s="111"/>
      <c r="E662" s="137">
        <f t="shared" si="2"/>
        <v>0</v>
      </c>
      <c r="F662" s="102"/>
      <c r="G662" s="102"/>
      <c r="H662" s="102"/>
      <c r="I662" s="102"/>
      <c r="J662" s="102"/>
      <c r="K662" s="102"/>
      <c r="L662" s="102"/>
      <c r="M662" s="102"/>
      <c r="N662" s="102"/>
      <c r="O662" s="102"/>
      <c r="P662" s="102"/>
      <c r="Q662" s="102"/>
      <c r="R662" s="102"/>
      <c r="S662" s="102"/>
      <c r="T662" s="102"/>
      <c r="U662" s="102"/>
    </row>
    <row r="663" spans="3:21" ht="12.75">
      <c r="C663" s="121"/>
      <c r="D663" s="111"/>
      <c r="E663" s="137">
        <f t="shared" si="2"/>
        <v>0</v>
      </c>
      <c r="F663" s="102"/>
      <c r="G663" s="102"/>
      <c r="H663" s="102"/>
      <c r="I663" s="102"/>
      <c r="J663" s="102"/>
      <c r="K663" s="102"/>
      <c r="L663" s="102"/>
      <c r="M663" s="102"/>
      <c r="N663" s="102"/>
      <c r="O663" s="102"/>
      <c r="P663" s="102"/>
      <c r="Q663" s="102"/>
      <c r="R663" s="102"/>
      <c r="S663" s="102"/>
      <c r="T663" s="102"/>
      <c r="U663" s="102"/>
    </row>
    <row r="664" spans="3:21" ht="12.75">
      <c r="C664" s="121"/>
      <c r="D664" s="111"/>
      <c r="E664" s="137">
        <f t="shared" si="2"/>
        <v>0</v>
      </c>
      <c r="F664" s="102"/>
      <c r="G664" s="102"/>
      <c r="H664" s="102"/>
      <c r="I664" s="102"/>
      <c r="J664" s="102"/>
      <c r="K664" s="102"/>
      <c r="L664" s="102"/>
      <c r="M664" s="102"/>
      <c r="N664" s="102"/>
      <c r="O664" s="102"/>
      <c r="P664" s="102"/>
      <c r="Q664" s="102"/>
      <c r="R664" s="102"/>
      <c r="S664" s="102"/>
      <c r="T664" s="102"/>
      <c r="U664" s="102"/>
    </row>
    <row r="665" spans="3:21" ht="12.75">
      <c r="C665" s="121"/>
      <c r="D665" s="111"/>
      <c r="E665" s="137">
        <f t="shared" si="2"/>
        <v>0</v>
      </c>
      <c r="F665" s="102"/>
      <c r="G665" s="102"/>
      <c r="H665" s="102"/>
      <c r="I665" s="102"/>
      <c r="J665" s="102"/>
      <c r="K665" s="102"/>
      <c r="L665" s="102"/>
      <c r="M665" s="102"/>
      <c r="N665" s="102"/>
      <c r="O665" s="102"/>
      <c r="P665" s="102"/>
      <c r="Q665" s="102"/>
      <c r="R665" s="102"/>
      <c r="S665" s="102"/>
      <c r="T665" s="102"/>
      <c r="U665" s="102"/>
    </row>
    <row r="666" spans="3:21" ht="12.75">
      <c r="C666" s="121"/>
      <c r="D666" s="111"/>
      <c r="E666" s="137">
        <f t="shared" si="2"/>
        <v>0</v>
      </c>
      <c r="F666" s="102"/>
      <c r="G666" s="102"/>
      <c r="H666" s="102"/>
      <c r="I666" s="102"/>
      <c r="J666" s="102"/>
      <c r="K666" s="102"/>
      <c r="L666" s="102"/>
      <c r="M666" s="102"/>
      <c r="N666" s="102"/>
      <c r="O666" s="102"/>
      <c r="P666" s="102"/>
      <c r="Q666" s="102"/>
      <c r="R666" s="102"/>
      <c r="S666" s="102"/>
      <c r="T666" s="102"/>
      <c r="U666" s="102"/>
    </row>
    <row r="667" spans="3:21" ht="12.75">
      <c r="C667" s="121"/>
      <c r="D667" s="111"/>
      <c r="E667" s="137">
        <f t="shared" si="2"/>
        <v>0</v>
      </c>
      <c r="F667" s="102"/>
      <c r="G667" s="102"/>
      <c r="H667" s="102"/>
      <c r="I667" s="102"/>
      <c r="J667" s="102"/>
      <c r="K667" s="102"/>
      <c r="L667" s="102"/>
      <c r="M667" s="102"/>
      <c r="N667" s="102"/>
      <c r="O667" s="102"/>
      <c r="P667" s="102"/>
      <c r="Q667" s="102"/>
      <c r="R667" s="102"/>
      <c r="S667" s="102"/>
      <c r="T667" s="102"/>
      <c r="U667" s="102"/>
    </row>
    <row r="668" spans="3:21" ht="12.75">
      <c r="C668" s="121"/>
      <c r="D668" s="111"/>
      <c r="E668" s="137">
        <f t="shared" si="2"/>
        <v>0</v>
      </c>
      <c r="F668" s="102"/>
      <c r="G668" s="102"/>
      <c r="H668" s="102"/>
      <c r="I668" s="102"/>
      <c r="J668" s="102"/>
      <c r="K668" s="102"/>
      <c r="L668" s="102"/>
      <c r="M668" s="102"/>
      <c r="N668" s="102"/>
      <c r="O668" s="102"/>
      <c r="P668" s="102"/>
      <c r="Q668" s="102"/>
      <c r="R668" s="102"/>
      <c r="S668" s="102"/>
      <c r="T668" s="102"/>
      <c r="U668" s="102"/>
    </row>
    <row r="669" spans="3:21" ht="12.75">
      <c r="C669" s="121"/>
      <c r="D669" s="111"/>
      <c r="E669" s="137">
        <f t="shared" si="2"/>
        <v>0</v>
      </c>
      <c r="F669" s="102"/>
      <c r="G669" s="102"/>
      <c r="H669" s="102"/>
      <c r="I669" s="102"/>
      <c r="J669" s="102"/>
      <c r="K669" s="102"/>
      <c r="L669" s="102"/>
      <c r="M669" s="102"/>
      <c r="N669" s="102"/>
      <c r="O669" s="102"/>
      <c r="P669" s="102"/>
      <c r="Q669" s="102"/>
      <c r="R669" s="102"/>
      <c r="S669" s="102"/>
      <c r="T669" s="102"/>
      <c r="U669" s="102"/>
    </row>
    <row r="670" spans="3:21" ht="12.75">
      <c r="C670" s="121"/>
      <c r="D670" s="111"/>
      <c r="E670" s="137">
        <f t="shared" si="2"/>
        <v>0</v>
      </c>
      <c r="F670" s="102"/>
      <c r="G670" s="102"/>
      <c r="H670" s="102"/>
      <c r="I670" s="102"/>
      <c r="J670" s="102"/>
      <c r="K670" s="102"/>
      <c r="L670" s="102"/>
      <c r="M670" s="102"/>
      <c r="N670" s="102"/>
      <c r="O670" s="102"/>
      <c r="P670" s="102"/>
      <c r="Q670" s="102"/>
      <c r="R670" s="102"/>
      <c r="S670" s="102"/>
      <c r="T670" s="102"/>
      <c r="U670" s="102"/>
    </row>
    <row r="671" spans="3:21" ht="12.75">
      <c r="C671" s="121"/>
      <c r="D671" s="111"/>
      <c r="E671" s="137">
        <f t="shared" si="2"/>
        <v>0</v>
      </c>
      <c r="F671" s="102"/>
      <c r="G671" s="102"/>
      <c r="H671" s="102"/>
      <c r="I671" s="102"/>
      <c r="J671" s="102"/>
      <c r="K671" s="102"/>
      <c r="L671" s="102"/>
      <c r="M671" s="102"/>
      <c r="N671" s="102"/>
      <c r="O671" s="102"/>
      <c r="P671" s="102"/>
      <c r="Q671" s="102"/>
      <c r="R671" s="102"/>
      <c r="S671" s="102"/>
      <c r="T671" s="102"/>
      <c r="U671" s="102"/>
    </row>
    <row r="672" spans="3:21" ht="12.75">
      <c r="C672" s="121"/>
      <c r="D672" s="111"/>
      <c r="E672" s="137">
        <f t="shared" si="2"/>
        <v>0</v>
      </c>
      <c r="F672" s="102"/>
      <c r="G672" s="102"/>
      <c r="H672" s="102"/>
      <c r="I672" s="102"/>
      <c r="J672" s="102"/>
      <c r="K672" s="102"/>
      <c r="L672" s="102"/>
      <c r="M672" s="102"/>
      <c r="N672" s="102"/>
      <c r="O672" s="102"/>
      <c r="P672" s="102"/>
      <c r="Q672" s="102"/>
      <c r="R672" s="102"/>
      <c r="S672" s="102"/>
      <c r="T672" s="102"/>
      <c r="U672" s="102"/>
    </row>
    <row r="673" spans="3:21" ht="12.75">
      <c r="C673" s="121"/>
      <c r="D673" s="111"/>
      <c r="E673" s="137">
        <f t="shared" si="2"/>
        <v>0</v>
      </c>
      <c r="F673" s="102"/>
      <c r="G673" s="102"/>
      <c r="H673" s="102"/>
      <c r="I673" s="102"/>
      <c r="J673" s="102"/>
      <c r="K673" s="102"/>
      <c r="L673" s="102"/>
      <c r="M673" s="102"/>
      <c r="N673" s="102"/>
      <c r="O673" s="102"/>
      <c r="P673" s="102"/>
      <c r="Q673" s="102"/>
      <c r="R673" s="102"/>
      <c r="S673" s="102"/>
      <c r="T673" s="102"/>
      <c r="U673" s="102"/>
    </row>
    <row r="674" spans="3:21" ht="12.75">
      <c r="C674" s="121"/>
      <c r="D674" s="111"/>
      <c r="E674" s="137">
        <f t="shared" si="2"/>
        <v>0</v>
      </c>
      <c r="F674" s="102"/>
      <c r="G674" s="102"/>
      <c r="H674" s="102"/>
      <c r="I674" s="102"/>
      <c r="J674" s="102"/>
      <c r="K674" s="102"/>
      <c r="L674" s="102"/>
      <c r="M674" s="102"/>
      <c r="N674" s="102"/>
      <c r="O674" s="102"/>
      <c r="P674" s="102"/>
      <c r="Q674" s="102"/>
      <c r="R674" s="102"/>
      <c r="S674" s="102"/>
      <c r="T674" s="102"/>
      <c r="U674" s="102"/>
    </row>
    <row r="675" spans="3:21" ht="12.75">
      <c r="C675" s="121"/>
      <c r="D675" s="111"/>
      <c r="E675" s="137">
        <f t="shared" si="2"/>
        <v>0</v>
      </c>
      <c r="F675" s="102"/>
      <c r="G675" s="102"/>
      <c r="H675" s="102"/>
      <c r="I675" s="102"/>
      <c r="J675" s="102"/>
      <c r="K675" s="102"/>
      <c r="L675" s="102"/>
      <c r="M675" s="102"/>
      <c r="N675" s="102"/>
      <c r="O675" s="102"/>
      <c r="P675" s="102"/>
      <c r="Q675" s="102"/>
      <c r="R675" s="102"/>
      <c r="S675" s="102"/>
      <c r="T675" s="102"/>
      <c r="U675" s="102"/>
    </row>
    <row r="676" spans="3:21" ht="12.75">
      <c r="C676" s="121"/>
      <c r="D676" s="111"/>
      <c r="E676" s="137">
        <f t="shared" si="2"/>
        <v>0</v>
      </c>
      <c r="F676" s="102"/>
      <c r="G676" s="102"/>
      <c r="H676" s="102"/>
      <c r="I676" s="102"/>
      <c r="J676" s="102"/>
      <c r="K676" s="102"/>
      <c r="L676" s="102"/>
      <c r="M676" s="102"/>
      <c r="N676" s="102"/>
      <c r="O676" s="102"/>
      <c r="P676" s="102"/>
      <c r="Q676" s="102"/>
      <c r="R676" s="102"/>
      <c r="S676" s="102"/>
      <c r="T676" s="102"/>
      <c r="U676" s="102"/>
    </row>
    <row r="677" spans="3:21" ht="12.75">
      <c r="C677" s="121"/>
      <c r="D677" s="111"/>
      <c r="E677" s="137">
        <f t="shared" si="2"/>
        <v>0</v>
      </c>
      <c r="F677" s="102"/>
      <c r="G677" s="102"/>
      <c r="H677" s="102"/>
      <c r="I677" s="102"/>
      <c r="J677" s="102"/>
      <c r="K677" s="102"/>
      <c r="L677" s="102"/>
      <c r="M677" s="102"/>
      <c r="N677" s="102"/>
      <c r="O677" s="102"/>
      <c r="P677" s="102"/>
      <c r="Q677" s="102"/>
      <c r="R677" s="102"/>
      <c r="S677" s="102"/>
      <c r="T677" s="102"/>
      <c r="U677" s="102"/>
    </row>
    <row r="678" spans="3:21" ht="12.75">
      <c r="C678" s="121"/>
      <c r="D678" s="111"/>
      <c r="E678" s="137">
        <f t="shared" si="2"/>
        <v>0</v>
      </c>
      <c r="F678" s="102"/>
      <c r="G678" s="102"/>
      <c r="H678" s="102"/>
      <c r="I678" s="102"/>
      <c r="J678" s="102"/>
      <c r="K678" s="102"/>
      <c r="L678" s="102"/>
      <c r="M678" s="102"/>
      <c r="N678" s="102"/>
      <c r="O678" s="102"/>
      <c r="P678" s="102"/>
      <c r="Q678" s="102"/>
      <c r="R678" s="102"/>
      <c r="S678" s="102"/>
      <c r="T678" s="102"/>
      <c r="U678" s="102"/>
    </row>
    <row r="679" spans="3:21" ht="12.75">
      <c r="C679" s="121"/>
      <c r="D679" s="111"/>
      <c r="E679" s="137">
        <f t="shared" si="2"/>
        <v>0</v>
      </c>
      <c r="F679" s="102"/>
      <c r="G679" s="102"/>
      <c r="H679" s="102"/>
      <c r="I679" s="102"/>
      <c r="J679" s="102"/>
      <c r="K679" s="102"/>
      <c r="L679" s="102"/>
      <c r="M679" s="102"/>
      <c r="N679" s="102"/>
      <c r="O679" s="102"/>
      <c r="P679" s="102"/>
      <c r="Q679" s="102"/>
      <c r="R679" s="102"/>
      <c r="S679" s="102"/>
      <c r="T679" s="102"/>
      <c r="U679" s="102"/>
    </row>
    <row r="680" spans="3:21" ht="12.75">
      <c r="C680" s="121"/>
      <c r="D680" s="111"/>
      <c r="E680" s="137">
        <f t="shared" si="2"/>
        <v>0</v>
      </c>
      <c r="F680" s="102"/>
      <c r="G680" s="102"/>
      <c r="H680" s="102"/>
      <c r="I680" s="102"/>
      <c r="J680" s="102"/>
      <c r="K680" s="102"/>
      <c r="L680" s="102"/>
      <c r="M680" s="102"/>
      <c r="N680" s="102"/>
      <c r="O680" s="102"/>
      <c r="P680" s="102"/>
      <c r="Q680" s="102"/>
      <c r="R680" s="102"/>
      <c r="S680" s="102"/>
      <c r="T680" s="102"/>
      <c r="U680" s="102"/>
    </row>
    <row r="681" spans="3:21" ht="12.75">
      <c r="C681" s="121"/>
      <c r="D681" s="111"/>
      <c r="E681" s="137">
        <f t="shared" si="2"/>
        <v>0</v>
      </c>
      <c r="F681" s="102"/>
      <c r="G681" s="102"/>
      <c r="H681" s="102"/>
      <c r="I681" s="102"/>
      <c r="J681" s="102"/>
      <c r="K681" s="102"/>
      <c r="L681" s="102"/>
      <c r="M681" s="102"/>
      <c r="N681" s="102"/>
      <c r="O681" s="102"/>
      <c r="P681" s="102"/>
      <c r="Q681" s="102"/>
      <c r="R681" s="102"/>
      <c r="S681" s="102"/>
      <c r="T681" s="102"/>
      <c r="U681" s="102"/>
    </row>
    <row r="682" spans="3:21" ht="12.75">
      <c r="C682" s="121"/>
      <c r="D682" s="111"/>
      <c r="E682" s="137">
        <f t="shared" si="2"/>
        <v>0</v>
      </c>
      <c r="F682" s="102"/>
      <c r="G682" s="102"/>
      <c r="H682" s="102"/>
      <c r="I682" s="102"/>
      <c r="J682" s="102"/>
      <c r="K682" s="102"/>
      <c r="L682" s="102"/>
      <c r="M682" s="102"/>
      <c r="N682" s="102"/>
      <c r="O682" s="102"/>
      <c r="P682" s="102"/>
      <c r="Q682" s="102"/>
      <c r="R682" s="102"/>
      <c r="S682" s="102"/>
      <c r="T682" s="102"/>
      <c r="U682" s="102"/>
    </row>
    <row r="683" spans="3:21" ht="12.75">
      <c r="C683" s="121"/>
      <c r="D683" s="111"/>
      <c r="E683" s="137">
        <f t="shared" si="2"/>
        <v>0</v>
      </c>
      <c r="F683" s="102"/>
      <c r="G683" s="102"/>
      <c r="H683" s="102"/>
      <c r="I683" s="102"/>
      <c r="J683" s="102"/>
      <c r="K683" s="102"/>
      <c r="L683" s="102"/>
      <c r="M683" s="102"/>
      <c r="N683" s="102"/>
      <c r="O683" s="102"/>
      <c r="P683" s="102"/>
      <c r="Q683" s="102"/>
      <c r="R683" s="102"/>
      <c r="S683" s="102"/>
      <c r="T683" s="102"/>
      <c r="U683" s="102"/>
    </row>
    <row r="684" spans="3:21" ht="12.75">
      <c r="C684" s="121"/>
      <c r="D684" s="111"/>
      <c r="E684" s="137">
        <f t="shared" si="2"/>
        <v>0</v>
      </c>
      <c r="F684" s="102"/>
      <c r="G684" s="102"/>
      <c r="H684" s="102"/>
      <c r="I684" s="102"/>
      <c r="J684" s="102"/>
      <c r="K684" s="102"/>
      <c r="L684" s="102"/>
      <c r="M684" s="102"/>
      <c r="N684" s="102"/>
      <c r="O684" s="102"/>
      <c r="P684" s="102"/>
      <c r="Q684" s="102"/>
      <c r="R684" s="102"/>
      <c r="S684" s="102"/>
      <c r="T684" s="102"/>
      <c r="U684" s="102"/>
    </row>
    <row r="685" spans="3:21" ht="12.75">
      <c r="C685" s="121"/>
      <c r="D685" s="111"/>
      <c r="E685" s="137">
        <f t="shared" si="2"/>
        <v>0</v>
      </c>
      <c r="F685" s="102"/>
      <c r="G685" s="102"/>
      <c r="H685" s="102"/>
      <c r="I685" s="102"/>
      <c r="J685" s="102"/>
      <c r="K685" s="102"/>
      <c r="L685" s="102"/>
      <c r="M685" s="102"/>
      <c r="N685" s="102"/>
      <c r="O685" s="102"/>
      <c r="P685" s="102"/>
      <c r="Q685" s="102"/>
      <c r="R685" s="102"/>
      <c r="S685" s="102"/>
      <c r="T685" s="102"/>
      <c r="U685" s="102"/>
    </row>
    <row r="686" spans="3:21" ht="12.75">
      <c r="C686" s="121"/>
      <c r="D686" s="111"/>
      <c r="E686" s="137">
        <f t="shared" si="2"/>
        <v>0</v>
      </c>
      <c r="F686" s="102"/>
      <c r="G686" s="102"/>
      <c r="H686" s="102"/>
      <c r="I686" s="102"/>
      <c r="J686" s="102"/>
      <c r="K686" s="102"/>
      <c r="L686" s="102"/>
      <c r="M686" s="102"/>
      <c r="N686" s="102"/>
      <c r="O686" s="102"/>
      <c r="P686" s="102"/>
      <c r="Q686" s="102"/>
      <c r="R686" s="102"/>
      <c r="S686" s="102"/>
      <c r="T686" s="102"/>
      <c r="U686" s="102"/>
    </row>
    <row r="687" spans="3:21" ht="12.75">
      <c r="C687" s="121"/>
      <c r="D687" s="111"/>
      <c r="E687" s="137">
        <f t="shared" si="2"/>
        <v>0</v>
      </c>
      <c r="F687" s="102"/>
      <c r="G687" s="102"/>
      <c r="H687" s="102"/>
      <c r="I687" s="102"/>
      <c r="J687" s="102"/>
      <c r="K687" s="102"/>
      <c r="L687" s="102"/>
      <c r="M687" s="102"/>
      <c r="N687" s="102"/>
      <c r="O687" s="102"/>
      <c r="P687" s="102"/>
      <c r="Q687" s="102"/>
      <c r="R687" s="102"/>
      <c r="S687" s="102"/>
      <c r="T687" s="102"/>
      <c r="U687" s="102"/>
    </row>
    <row r="688" spans="3:21" ht="12.75">
      <c r="C688" s="121"/>
      <c r="D688" s="111"/>
      <c r="E688" s="137">
        <f t="shared" si="2"/>
        <v>0</v>
      </c>
      <c r="F688" s="102"/>
      <c r="G688" s="102"/>
      <c r="H688" s="102"/>
      <c r="I688" s="102"/>
      <c r="J688" s="102"/>
      <c r="K688" s="102"/>
      <c r="L688" s="102"/>
      <c r="M688" s="102"/>
      <c r="N688" s="102"/>
      <c r="O688" s="102"/>
      <c r="P688" s="102"/>
      <c r="Q688" s="102"/>
      <c r="R688" s="102"/>
      <c r="S688" s="102"/>
      <c r="T688" s="102"/>
      <c r="U688" s="102"/>
    </row>
    <row r="689" spans="3:21" ht="12.75">
      <c r="C689" s="121"/>
      <c r="D689" s="111"/>
      <c r="E689" s="137">
        <f t="shared" si="2"/>
        <v>0</v>
      </c>
      <c r="F689" s="102"/>
      <c r="G689" s="102"/>
      <c r="H689" s="102"/>
      <c r="I689" s="102"/>
      <c r="J689" s="102"/>
      <c r="K689" s="102"/>
      <c r="L689" s="102"/>
      <c r="M689" s="102"/>
      <c r="N689" s="102"/>
      <c r="O689" s="102"/>
      <c r="P689" s="102"/>
      <c r="Q689" s="102"/>
      <c r="R689" s="102"/>
      <c r="S689" s="102"/>
      <c r="T689" s="102"/>
      <c r="U689" s="102"/>
    </row>
    <row r="690" spans="3:21" ht="12.75">
      <c r="C690" s="121"/>
      <c r="D690" s="111"/>
      <c r="E690" s="137">
        <f t="shared" si="2"/>
        <v>0</v>
      </c>
      <c r="F690" s="102"/>
      <c r="G690" s="102"/>
      <c r="H690" s="102"/>
      <c r="I690" s="102"/>
      <c r="J690" s="102"/>
      <c r="K690" s="102"/>
      <c r="L690" s="102"/>
      <c r="M690" s="102"/>
      <c r="N690" s="102"/>
      <c r="O690" s="102"/>
      <c r="P690" s="102"/>
      <c r="Q690" s="102"/>
      <c r="R690" s="102"/>
      <c r="S690" s="102"/>
      <c r="T690" s="102"/>
      <c r="U690" s="102"/>
    </row>
    <row r="691" spans="3:21" ht="12.75">
      <c r="C691" s="121"/>
      <c r="D691" s="111"/>
      <c r="E691" s="137">
        <f t="shared" si="2"/>
        <v>0</v>
      </c>
      <c r="F691" s="102"/>
      <c r="G691" s="102"/>
      <c r="H691" s="102"/>
      <c r="I691" s="102"/>
      <c r="J691" s="102"/>
      <c r="K691" s="102"/>
      <c r="L691" s="102"/>
      <c r="M691" s="102"/>
      <c r="N691" s="102"/>
      <c r="O691" s="102"/>
      <c r="P691" s="102"/>
      <c r="Q691" s="102"/>
      <c r="R691" s="102"/>
      <c r="S691" s="102"/>
      <c r="T691" s="102"/>
      <c r="U691" s="102"/>
    </row>
    <row r="692" spans="3:21" ht="12.75">
      <c r="C692" s="121"/>
      <c r="D692" s="111"/>
      <c r="E692" s="137">
        <f t="shared" si="2"/>
        <v>0</v>
      </c>
      <c r="F692" s="102"/>
      <c r="G692" s="102"/>
      <c r="H692" s="102"/>
      <c r="I692" s="102"/>
      <c r="J692" s="102"/>
      <c r="K692" s="102"/>
      <c r="L692" s="102"/>
      <c r="M692" s="102"/>
      <c r="N692" s="102"/>
      <c r="O692" s="102"/>
      <c r="P692" s="102"/>
      <c r="Q692" s="102"/>
      <c r="R692" s="102"/>
      <c r="S692" s="102"/>
      <c r="T692" s="102"/>
      <c r="U692" s="102"/>
    </row>
    <row r="693" spans="3:21" ht="12.75">
      <c r="C693" s="121"/>
      <c r="D693" s="111"/>
      <c r="E693" s="137">
        <f t="shared" si="2"/>
        <v>0</v>
      </c>
      <c r="F693" s="102"/>
      <c r="G693" s="102"/>
      <c r="H693" s="102"/>
      <c r="I693" s="102"/>
      <c r="J693" s="102"/>
      <c r="K693" s="102"/>
      <c r="L693" s="102"/>
      <c r="M693" s="102"/>
      <c r="N693" s="102"/>
      <c r="O693" s="102"/>
      <c r="P693" s="102"/>
      <c r="Q693" s="102"/>
      <c r="R693" s="102"/>
      <c r="S693" s="102"/>
      <c r="T693" s="102"/>
      <c r="U693" s="102"/>
    </row>
    <row r="694" spans="3:21" ht="12.75">
      <c r="C694" s="121"/>
      <c r="D694" s="111"/>
      <c r="E694" s="137">
        <f t="shared" si="2"/>
        <v>0</v>
      </c>
      <c r="F694" s="102"/>
      <c r="G694" s="102"/>
      <c r="H694" s="102"/>
      <c r="I694" s="102"/>
      <c r="J694" s="102"/>
      <c r="K694" s="102"/>
      <c r="L694" s="102"/>
      <c r="M694" s="102"/>
      <c r="N694" s="102"/>
      <c r="O694" s="102"/>
      <c r="P694" s="102"/>
      <c r="Q694" s="102"/>
      <c r="R694" s="102"/>
      <c r="S694" s="102"/>
      <c r="T694" s="102"/>
      <c r="U694" s="102"/>
    </row>
    <row r="695" spans="3:21" ht="12.75">
      <c r="C695" s="121"/>
      <c r="D695" s="111"/>
      <c r="E695" s="137">
        <f t="shared" si="2"/>
        <v>0</v>
      </c>
      <c r="F695" s="102"/>
      <c r="G695" s="102"/>
      <c r="H695" s="102"/>
      <c r="I695" s="102"/>
      <c r="J695" s="102"/>
      <c r="K695" s="102"/>
      <c r="L695" s="102"/>
      <c r="M695" s="102"/>
      <c r="N695" s="102"/>
      <c r="O695" s="102"/>
      <c r="P695" s="102"/>
      <c r="Q695" s="102"/>
      <c r="R695" s="102"/>
      <c r="S695" s="102"/>
      <c r="T695" s="102"/>
      <c r="U695" s="102"/>
    </row>
    <row r="696" spans="3:21" ht="12.75">
      <c r="C696" s="121"/>
      <c r="D696" s="111"/>
      <c r="E696" s="137">
        <f t="shared" si="2"/>
        <v>0</v>
      </c>
      <c r="F696" s="102"/>
      <c r="G696" s="102"/>
      <c r="H696" s="102"/>
      <c r="I696" s="102"/>
      <c r="J696" s="102"/>
      <c r="K696" s="102"/>
      <c r="L696" s="102"/>
      <c r="M696" s="102"/>
      <c r="N696" s="102"/>
      <c r="O696" s="102"/>
      <c r="P696" s="102"/>
      <c r="Q696" s="102"/>
      <c r="R696" s="102"/>
      <c r="S696" s="102"/>
      <c r="T696" s="102"/>
      <c r="U696" s="102"/>
    </row>
    <row r="697" spans="3:21" ht="12.75">
      <c r="C697" s="121"/>
      <c r="D697" s="111"/>
      <c r="E697" s="137">
        <f t="shared" si="2"/>
        <v>0</v>
      </c>
      <c r="F697" s="102"/>
      <c r="G697" s="102"/>
      <c r="H697" s="102"/>
      <c r="I697" s="102"/>
      <c r="J697" s="102"/>
      <c r="K697" s="102"/>
      <c r="L697" s="102"/>
      <c r="M697" s="102"/>
      <c r="N697" s="102"/>
      <c r="O697" s="102"/>
      <c r="P697" s="102"/>
      <c r="Q697" s="102"/>
      <c r="R697" s="102"/>
      <c r="S697" s="102"/>
      <c r="T697" s="102"/>
      <c r="U697" s="102"/>
    </row>
    <row r="698" spans="3:21" ht="12.75">
      <c r="C698" s="121"/>
      <c r="D698" s="111"/>
      <c r="E698" s="137">
        <f t="shared" si="2"/>
        <v>0</v>
      </c>
      <c r="F698" s="102"/>
      <c r="G698" s="102"/>
      <c r="H698" s="102"/>
      <c r="I698" s="102"/>
      <c r="J698" s="102"/>
      <c r="K698" s="102"/>
      <c r="L698" s="102"/>
      <c r="M698" s="102"/>
      <c r="N698" s="102"/>
      <c r="O698" s="102"/>
      <c r="P698" s="102"/>
      <c r="Q698" s="102"/>
      <c r="R698" s="102"/>
      <c r="S698" s="102"/>
      <c r="T698" s="102"/>
      <c r="U698" s="102"/>
    </row>
    <row r="699" spans="3:21" ht="12.75">
      <c r="C699" s="121"/>
      <c r="D699" s="111"/>
      <c r="E699" s="137">
        <f t="shared" si="2"/>
        <v>0</v>
      </c>
      <c r="F699" s="102"/>
      <c r="G699" s="102"/>
      <c r="H699" s="102"/>
      <c r="I699" s="102"/>
      <c r="J699" s="102"/>
      <c r="K699" s="102"/>
      <c r="L699" s="102"/>
      <c r="M699" s="102"/>
      <c r="N699" s="102"/>
      <c r="O699" s="102"/>
      <c r="P699" s="102"/>
      <c r="Q699" s="102"/>
      <c r="R699" s="102"/>
      <c r="S699" s="102"/>
      <c r="T699" s="102"/>
      <c r="U699" s="102"/>
    </row>
    <row r="700" spans="3:21" ht="12.75">
      <c r="C700" s="121"/>
      <c r="D700" s="111"/>
      <c r="E700" s="137">
        <f t="shared" si="2"/>
        <v>0</v>
      </c>
      <c r="F700" s="102"/>
      <c r="G700" s="102"/>
      <c r="H700" s="102"/>
      <c r="I700" s="102"/>
      <c r="J700" s="102"/>
      <c r="K700" s="102"/>
      <c r="L700" s="102"/>
      <c r="M700" s="102"/>
      <c r="N700" s="102"/>
      <c r="O700" s="102"/>
      <c r="P700" s="102"/>
      <c r="Q700" s="102"/>
      <c r="R700" s="102"/>
      <c r="S700" s="102"/>
      <c r="T700" s="102"/>
      <c r="U700" s="102"/>
    </row>
    <row r="701" spans="3:21" ht="12.75">
      <c r="C701" s="121"/>
      <c r="D701" s="111"/>
      <c r="E701" s="137">
        <f t="shared" si="2"/>
        <v>0</v>
      </c>
      <c r="F701" s="102"/>
      <c r="G701" s="102"/>
      <c r="H701" s="102"/>
      <c r="I701" s="102"/>
      <c r="J701" s="102"/>
      <c r="K701" s="102"/>
      <c r="L701" s="102"/>
      <c r="M701" s="102"/>
      <c r="N701" s="102"/>
      <c r="O701" s="102"/>
      <c r="P701" s="102"/>
      <c r="Q701" s="102"/>
      <c r="R701" s="102"/>
      <c r="S701" s="102"/>
      <c r="T701" s="102"/>
      <c r="U701" s="102"/>
    </row>
    <row r="702" spans="3:21" ht="12.75">
      <c r="C702" s="121"/>
      <c r="D702" s="111"/>
      <c r="E702" s="137">
        <f t="shared" si="2"/>
        <v>0</v>
      </c>
      <c r="F702" s="102"/>
      <c r="G702" s="102"/>
      <c r="H702" s="102"/>
      <c r="I702" s="102"/>
      <c r="J702" s="102"/>
      <c r="K702" s="102"/>
      <c r="L702" s="102"/>
      <c r="M702" s="102"/>
      <c r="N702" s="102"/>
      <c r="O702" s="102"/>
      <c r="P702" s="102"/>
      <c r="Q702" s="102"/>
      <c r="R702" s="102"/>
      <c r="S702" s="102"/>
      <c r="T702" s="102"/>
      <c r="U702" s="102"/>
    </row>
    <row r="703" spans="3:21" ht="12.75">
      <c r="C703" s="121"/>
      <c r="D703" s="111"/>
      <c r="E703" s="137">
        <f t="shared" si="2"/>
        <v>0</v>
      </c>
      <c r="F703" s="102"/>
      <c r="G703" s="102"/>
      <c r="H703" s="102"/>
      <c r="I703" s="102"/>
      <c r="J703" s="102"/>
      <c r="K703" s="102"/>
      <c r="L703" s="102"/>
      <c r="M703" s="102"/>
      <c r="N703" s="102"/>
      <c r="O703" s="102"/>
      <c r="P703" s="102"/>
      <c r="Q703" s="102"/>
      <c r="R703" s="102"/>
      <c r="S703" s="102"/>
      <c r="T703" s="102"/>
      <c r="U703" s="102"/>
    </row>
    <row r="704" spans="3:21" ht="12.75">
      <c r="C704" s="121"/>
      <c r="D704" s="111"/>
      <c r="E704" s="137">
        <f t="shared" si="2"/>
        <v>0</v>
      </c>
      <c r="F704" s="102"/>
      <c r="G704" s="102"/>
      <c r="H704" s="102"/>
      <c r="I704" s="102"/>
      <c r="J704" s="102"/>
      <c r="K704" s="102"/>
      <c r="L704" s="102"/>
      <c r="M704" s="102"/>
      <c r="N704" s="102"/>
      <c r="O704" s="102"/>
      <c r="P704" s="102"/>
      <c r="Q704" s="102"/>
      <c r="R704" s="102"/>
      <c r="S704" s="102"/>
      <c r="T704" s="102"/>
      <c r="U704" s="102"/>
    </row>
    <row r="705" spans="3:21" ht="12.75">
      <c r="C705" s="121"/>
      <c r="D705" s="111"/>
      <c r="E705" s="137">
        <f t="shared" si="2"/>
        <v>0</v>
      </c>
      <c r="F705" s="102"/>
      <c r="G705" s="102"/>
      <c r="H705" s="102"/>
      <c r="I705" s="102"/>
      <c r="J705" s="102"/>
      <c r="K705" s="102"/>
      <c r="L705" s="102"/>
      <c r="M705" s="102"/>
      <c r="N705" s="102"/>
      <c r="O705" s="102"/>
      <c r="P705" s="102"/>
      <c r="Q705" s="102"/>
      <c r="R705" s="102"/>
      <c r="S705" s="102"/>
      <c r="T705" s="102"/>
      <c r="U705" s="102"/>
    </row>
    <row r="706" spans="3:21" ht="12.75">
      <c r="C706" s="121"/>
      <c r="D706" s="111"/>
      <c r="E706" s="137">
        <f t="shared" si="2"/>
        <v>0</v>
      </c>
      <c r="F706" s="102"/>
      <c r="G706" s="102"/>
      <c r="H706" s="102"/>
      <c r="I706" s="102"/>
      <c r="J706" s="102"/>
      <c r="K706" s="102"/>
      <c r="L706" s="102"/>
      <c r="M706" s="102"/>
      <c r="N706" s="102"/>
      <c r="O706" s="102"/>
      <c r="P706" s="102"/>
      <c r="Q706" s="102"/>
      <c r="R706" s="102"/>
      <c r="S706" s="102"/>
      <c r="T706" s="102"/>
      <c r="U706" s="102"/>
    </row>
    <row r="707" spans="3:21" ht="12.75">
      <c r="C707" s="121"/>
      <c r="D707" s="111"/>
      <c r="E707" s="137">
        <f t="shared" si="2"/>
        <v>0</v>
      </c>
      <c r="F707" s="102"/>
      <c r="G707" s="102"/>
      <c r="H707" s="102"/>
      <c r="I707" s="102"/>
      <c r="J707" s="102"/>
      <c r="K707" s="102"/>
      <c r="L707" s="102"/>
      <c r="M707" s="102"/>
      <c r="N707" s="102"/>
      <c r="O707" s="102"/>
      <c r="P707" s="102"/>
      <c r="Q707" s="102"/>
      <c r="R707" s="102"/>
      <c r="S707" s="102"/>
      <c r="T707" s="102"/>
      <c r="U707" s="102"/>
    </row>
    <row r="708" spans="3:21" ht="12.75">
      <c r="C708" s="121"/>
      <c r="D708" s="111"/>
      <c r="E708" s="137">
        <f t="shared" si="2"/>
        <v>0</v>
      </c>
      <c r="F708" s="102"/>
      <c r="G708" s="102"/>
      <c r="H708" s="102"/>
      <c r="I708" s="102"/>
      <c r="J708" s="102"/>
      <c r="K708" s="102"/>
      <c r="L708" s="102"/>
      <c r="M708" s="102"/>
      <c r="N708" s="102"/>
      <c r="O708" s="102"/>
      <c r="P708" s="102"/>
      <c r="Q708" s="102"/>
      <c r="R708" s="102"/>
      <c r="S708" s="102"/>
      <c r="T708" s="102"/>
      <c r="U708" s="102"/>
    </row>
    <row r="709" spans="3:21" ht="12.75">
      <c r="C709" s="121"/>
      <c r="D709" s="111"/>
      <c r="E709" s="137">
        <f t="shared" si="2"/>
        <v>0</v>
      </c>
      <c r="F709" s="102"/>
      <c r="G709" s="102"/>
      <c r="H709" s="102"/>
      <c r="I709" s="102"/>
      <c r="J709" s="102"/>
      <c r="K709" s="102"/>
      <c r="L709" s="102"/>
      <c r="M709" s="102"/>
      <c r="N709" s="102"/>
      <c r="O709" s="102"/>
      <c r="P709" s="102"/>
      <c r="Q709" s="102"/>
      <c r="R709" s="102"/>
      <c r="S709" s="102"/>
      <c r="T709" s="102"/>
      <c r="U709" s="102"/>
    </row>
    <row r="710" spans="3:21" ht="12.75">
      <c r="C710" s="121"/>
      <c r="D710" s="111"/>
      <c r="E710" s="137">
        <f t="shared" si="2"/>
        <v>0</v>
      </c>
      <c r="F710" s="102"/>
      <c r="G710" s="102"/>
      <c r="H710" s="102"/>
      <c r="I710" s="102"/>
      <c r="J710" s="102"/>
      <c r="K710" s="102"/>
      <c r="L710" s="102"/>
      <c r="M710" s="102"/>
      <c r="N710" s="102"/>
      <c r="O710" s="102"/>
      <c r="P710" s="102"/>
      <c r="Q710" s="102"/>
      <c r="R710" s="102"/>
      <c r="S710" s="102"/>
      <c r="T710" s="102"/>
      <c r="U710" s="102"/>
    </row>
    <row r="711" spans="3:21" ht="12.75">
      <c r="C711" s="121"/>
      <c r="D711" s="111"/>
      <c r="E711" s="137">
        <f t="shared" si="2"/>
        <v>0</v>
      </c>
      <c r="F711" s="102"/>
      <c r="G711" s="102"/>
      <c r="H711" s="102"/>
      <c r="I711" s="102"/>
      <c r="J711" s="102"/>
      <c r="K711" s="102"/>
      <c r="L711" s="102"/>
      <c r="M711" s="102"/>
      <c r="N711" s="102"/>
      <c r="O711" s="102"/>
      <c r="P711" s="102"/>
      <c r="Q711" s="102"/>
      <c r="R711" s="102"/>
      <c r="S711" s="102"/>
      <c r="T711" s="102"/>
      <c r="U711" s="102"/>
    </row>
    <row r="712" spans="3:21" ht="12.75">
      <c r="C712" s="121"/>
      <c r="D712" s="111"/>
      <c r="E712" s="137">
        <f t="shared" si="2"/>
        <v>0</v>
      </c>
      <c r="F712" s="102"/>
      <c r="G712" s="102"/>
      <c r="H712" s="102"/>
      <c r="I712" s="102"/>
      <c r="J712" s="102"/>
      <c r="K712" s="102"/>
      <c r="L712" s="102"/>
      <c r="M712" s="102"/>
      <c r="N712" s="102"/>
      <c r="O712" s="102"/>
      <c r="P712" s="102"/>
      <c r="Q712" s="102"/>
      <c r="R712" s="102"/>
      <c r="S712" s="102"/>
      <c r="T712" s="102"/>
      <c r="U712" s="102"/>
    </row>
    <row r="713" spans="3:21" ht="12.75">
      <c r="C713" s="121"/>
      <c r="D713" s="111"/>
      <c r="E713" s="137">
        <f t="shared" si="2"/>
        <v>0</v>
      </c>
      <c r="F713" s="102"/>
      <c r="G713" s="102"/>
      <c r="H713" s="102"/>
      <c r="I713" s="102"/>
      <c r="J713" s="102"/>
      <c r="K713" s="102"/>
      <c r="L713" s="102"/>
      <c r="M713" s="102"/>
      <c r="N713" s="102"/>
      <c r="O713" s="102"/>
      <c r="P713" s="102"/>
      <c r="Q713" s="102"/>
      <c r="R713" s="102"/>
      <c r="S713" s="102"/>
      <c r="T713" s="102"/>
      <c r="U713" s="102"/>
    </row>
    <row r="714" spans="3:21" ht="12.75">
      <c r="C714" s="121"/>
      <c r="D714" s="111"/>
      <c r="E714" s="137">
        <f t="shared" si="2"/>
        <v>0</v>
      </c>
      <c r="F714" s="102"/>
      <c r="G714" s="102"/>
      <c r="H714" s="102"/>
      <c r="I714" s="102"/>
      <c r="J714" s="102"/>
      <c r="K714" s="102"/>
      <c r="L714" s="102"/>
      <c r="M714" s="102"/>
      <c r="N714" s="102"/>
      <c r="O714" s="102"/>
      <c r="P714" s="102"/>
      <c r="Q714" s="102"/>
      <c r="R714" s="102"/>
      <c r="S714" s="102"/>
      <c r="T714" s="102"/>
      <c r="U714" s="102"/>
    </row>
    <row r="715" spans="3:21" ht="12.75">
      <c r="C715" s="121"/>
      <c r="D715" s="111"/>
      <c r="E715" s="137">
        <f t="shared" si="2"/>
        <v>0</v>
      </c>
      <c r="F715" s="102"/>
      <c r="G715" s="102"/>
      <c r="H715" s="102"/>
      <c r="I715" s="102"/>
      <c r="J715" s="102"/>
      <c r="K715" s="102"/>
      <c r="L715" s="102"/>
      <c r="M715" s="102"/>
      <c r="N715" s="102"/>
      <c r="O715" s="102"/>
      <c r="P715" s="102"/>
      <c r="Q715" s="102"/>
      <c r="R715" s="102"/>
      <c r="S715" s="102"/>
      <c r="T715" s="102"/>
      <c r="U715" s="102"/>
    </row>
    <row r="716" spans="3:21" ht="12.75">
      <c r="C716" s="121"/>
      <c r="D716" s="111"/>
      <c r="E716" s="137">
        <f t="shared" si="2"/>
        <v>0</v>
      </c>
      <c r="F716" s="102"/>
      <c r="G716" s="102"/>
      <c r="H716" s="102"/>
      <c r="I716" s="102"/>
      <c r="J716" s="102"/>
      <c r="K716" s="102"/>
      <c r="L716" s="102"/>
      <c r="M716" s="102"/>
      <c r="N716" s="102"/>
      <c r="O716" s="102"/>
      <c r="P716" s="102"/>
      <c r="Q716" s="102"/>
      <c r="R716" s="102"/>
      <c r="S716" s="102"/>
      <c r="T716" s="102"/>
      <c r="U716" s="102"/>
    </row>
    <row r="717" spans="3:21" ht="12.75">
      <c r="C717" s="121"/>
      <c r="D717" s="111"/>
      <c r="E717" s="137">
        <f t="shared" si="2"/>
        <v>0</v>
      </c>
      <c r="F717" s="102"/>
      <c r="G717" s="102"/>
      <c r="H717" s="102"/>
      <c r="I717" s="102"/>
      <c r="J717" s="102"/>
      <c r="K717" s="102"/>
      <c r="L717" s="102"/>
      <c r="M717" s="102"/>
      <c r="N717" s="102"/>
      <c r="O717" s="102"/>
      <c r="P717" s="102"/>
      <c r="Q717" s="102"/>
      <c r="R717" s="102"/>
      <c r="S717" s="102"/>
      <c r="T717" s="102"/>
      <c r="U717" s="102"/>
    </row>
    <row r="718" spans="3:21" ht="12.75">
      <c r="C718" s="121"/>
      <c r="D718" s="111"/>
      <c r="E718" s="137">
        <f t="shared" si="2"/>
        <v>0</v>
      </c>
      <c r="F718" s="102"/>
      <c r="G718" s="102"/>
      <c r="H718" s="102"/>
      <c r="I718" s="102"/>
      <c r="J718" s="102"/>
      <c r="K718" s="102"/>
      <c r="L718" s="102"/>
      <c r="M718" s="102"/>
      <c r="N718" s="102"/>
      <c r="O718" s="102"/>
      <c r="P718" s="102"/>
      <c r="Q718" s="102"/>
      <c r="R718" s="102"/>
      <c r="S718" s="102"/>
      <c r="T718" s="102"/>
      <c r="U718" s="102"/>
    </row>
    <row r="719" spans="3:21" ht="12.75">
      <c r="C719" s="121"/>
      <c r="D719" s="111"/>
      <c r="E719" s="137">
        <f t="shared" si="2"/>
        <v>0</v>
      </c>
      <c r="F719" s="102"/>
      <c r="G719" s="102"/>
      <c r="H719" s="102"/>
      <c r="I719" s="102"/>
      <c r="J719" s="102"/>
      <c r="K719" s="102"/>
      <c r="L719" s="102"/>
      <c r="M719" s="102"/>
      <c r="N719" s="102"/>
      <c r="O719" s="102"/>
      <c r="P719" s="102"/>
      <c r="Q719" s="102"/>
      <c r="R719" s="102"/>
      <c r="S719" s="102"/>
      <c r="T719" s="102"/>
      <c r="U719" s="102"/>
    </row>
    <row r="720" spans="3:21" ht="12.75">
      <c r="C720" s="121"/>
      <c r="D720" s="111"/>
      <c r="E720" s="137">
        <f t="shared" si="2"/>
        <v>0</v>
      </c>
      <c r="F720" s="102"/>
      <c r="G720" s="102"/>
      <c r="H720" s="102"/>
      <c r="I720" s="102"/>
      <c r="J720" s="102"/>
      <c r="K720" s="102"/>
      <c r="L720" s="102"/>
      <c r="M720" s="102"/>
      <c r="N720" s="102"/>
      <c r="O720" s="102"/>
      <c r="P720" s="102"/>
      <c r="Q720" s="102"/>
      <c r="R720" s="102"/>
      <c r="S720" s="102"/>
      <c r="T720" s="102"/>
      <c r="U720" s="102"/>
    </row>
    <row r="721" spans="3:21" ht="12.75">
      <c r="C721" s="121"/>
      <c r="D721" s="111"/>
      <c r="E721" s="137">
        <f t="shared" si="2"/>
        <v>0</v>
      </c>
      <c r="F721" s="102"/>
      <c r="G721" s="102"/>
      <c r="H721" s="102"/>
      <c r="I721" s="102"/>
      <c r="J721" s="102"/>
      <c r="K721" s="102"/>
      <c r="L721" s="102"/>
      <c r="M721" s="102"/>
      <c r="N721" s="102"/>
      <c r="O721" s="102"/>
      <c r="P721" s="102"/>
      <c r="Q721" s="102"/>
      <c r="R721" s="102"/>
      <c r="S721" s="102"/>
      <c r="T721" s="102"/>
      <c r="U721" s="102"/>
    </row>
    <row r="722" spans="3:21" ht="12.75">
      <c r="C722" s="121"/>
      <c r="D722" s="111"/>
      <c r="E722" s="137">
        <f t="shared" si="2"/>
        <v>0</v>
      </c>
      <c r="F722" s="102"/>
      <c r="G722" s="102"/>
      <c r="H722" s="102"/>
      <c r="I722" s="102"/>
      <c r="J722" s="102"/>
      <c r="K722" s="102"/>
      <c r="L722" s="102"/>
      <c r="M722" s="102"/>
      <c r="N722" s="102"/>
      <c r="O722" s="102"/>
      <c r="P722" s="102"/>
      <c r="Q722" s="102"/>
      <c r="R722" s="102"/>
      <c r="S722" s="102"/>
      <c r="T722" s="102"/>
      <c r="U722" s="102"/>
    </row>
    <row r="723" spans="3:21" ht="12.75">
      <c r="C723" s="121"/>
      <c r="D723" s="111"/>
      <c r="E723" s="137">
        <f t="shared" si="2"/>
        <v>0</v>
      </c>
      <c r="F723" s="102"/>
      <c r="G723" s="102"/>
      <c r="H723" s="102"/>
      <c r="I723" s="102"/>
      <c r="J723" s="102"/>
      <c r="K723" s="102"/>
      <c r="L723" s="102"/>
      <c r="M723" s="102"/>
      <c r="N723" s="102"/>
      <c r="O723" s="102"/>
      <c r="P723" s="102"/>
      <c r="Q723" s="102"/>
      <c r="R723" s="102"/>
      <c r="S723" s="102"/>
      <c r="T723" s="102"/>
      <c r="U723" s="102"/>
    </row>
    <row r="724" spans="3:21" ht="12.75">
      <c r="C724" s="121"/>
      <c r="D724" s="111"/>
      <c r="E724" s="137">
        <f t="shared" si="2"/>
        <v>0</v>
      </c>
      <c r="F724" s="102"/>
      <c r="G724" s="102"/>
      <c r="H724" s="102"/>
      <c r="I724" s="102"/>
      <c r="J724" s="102"/>
      <c r="K724" s="102"/>
      <c r="L724" s="102"/>
      <c r="M724" s="102"/>
      <c r="N724" s="102"/>
      <c r="O724" s="102"/>
      <c r="P724" s="102"/>
      <c r="Q724" s="102"/>
      <c r="R724" s="102"/>
      <c r="S724" s="102"/>
      <c r="T724" s="102"/>
      <c r="U724" s="102"/>
    </row>
    <row r="725" spans="3:21" ht="12.75">
      <c r="C725" s="121"/>
      <c r="D725" s="111"/>
      <c r="E725" s="137">
        <f t="shared" si="2"/>
        <v>0</v>
      </c>
      <c r="F725" s="102"/>
      <c r="G725" s="102"/>
      <c r="H725" s="102"/>
      <c r="I725" s="102"/>
      <c r="J725" s="102"/>
      <c r="K725" s="102"/>
      <c r="L725" s="102"/>
      <c r="M725" s="102"/>
      <c r="N725" s="102"/>
      <c r="O725" s="102"/>
      <c r="P725" s="102"/>
      <c r="Q725" s="102"/>
      <c r="R725" s="102"/>
      <c r="S725" s="102"/>
      <c r="T725" s="102"/>
      <c r="U725" s="102"/>
    </row>
    <row r="726" spans="3:21" ht="12.75">
      <c r="C726" s="121"/>
      <c r="D726" s="111"/>
      <c r="E726" s="137">
        <f t="shared" si="2"/>
        <v>0</v>
      </c>
      <c r="F726" s="102"/>
      <c r="G726" s="102"/>
      <c r="H726" s="102"/>
      <c r="I726" s="102"/>
      <c r="J726" s="102"/>
      <c r="K726" s="102"/>
      <c r="L726" s="102"/>
      <c r="M726" s="102"/>
      <c r="N726" s="102"/>
      <c r="O726" s="102"/>
      <c r="P726" s="102"/>
      <c r="Q726" s="102"/>
      <c r="R726" s="102"/>
      <c r="S726" s="102"/>
      <c r="T726" s="102"/>
      <c r="U726" s="102"/>
    </row>
    <row r="727" spans="3:21" ht="12.75">
      <c r="C727" s="121"/>
      <c r="D727" s="111"/>
      <c r="E727" s="137">
        <f t="shared" si="2"/>
        <v>0</v>
      </c>
      <c r="F727" s="102"/>
      <c r="G727" s="102"/>
      <c r="H727" s="102"/>
      <c r="I727" s="102"/>
      <c r="J727" s="102"/>
      <c r="K727" s="102"/>
      <c r="L727" s="102"/>
      <c r="M727" s="102"/>
      <c r="N727" s="102"/>
      <c r="O727" s="102"/>
      <c r="P727" s="102"/>
      <c r="Q727" s="102"/>
      <c r="R727" s="102"/>
      <c r="S727" s="102"/>
      <c r="T727" s="102"/>
      <c r="U727" s="102"/>
    </row>
    <row r="728" spans="3:21" ht="12.75">
      <c r="C728" s="121"/>
      <c r="D728" s="111"/>
      <c r="E728" s="137">
        <f t="shared" si="2"/>
        <v>0</v>
      </c>
      <c r="F728" s="102"/>
      <c r="G728" s="102"/>
      <c r="H728" s="102"/>
      <c r="I728" s="102"/>
      <c r="J728" s="102"/>
      <c r="K728" s="102"/>
      <c r="L728" s="102"/>
      <c r="M728" s="102"/>
      <c r="N728" s="102"/>
      <c r="O728" s="102"/>
      <c r="P728" s="102"/>
      <c r="Q728" s="102"/>
      <c r="R728" s="102"/>
      <c r="S728" s="102"/>
      <c r="T728" s="102"/>
      <c r="U728" s="102"/>
    </row>
    <row r="729" spans="3:21" ht="12.75">
      <c r="C729" s="121"/>
      <c r="D729" s="111"/>
      <c r="E729" s="137">
        <f t="shared" si="2"/>
        <v>0</v>
      </c>
      <c r="F729" s="102"/>
      <c r="G729" s="102"/>
      <c r="H729" s="102"/>
      <c r="I729" s="102"/>
      <c r="J729" s="102"/>
      <c r="K729" s="102"/>
      <c r="L729" s="102"/>
      <c r="M729" s="102"/>
      <c r="N729" s="102"/>
      <c r="O729" s="102"/>
      <c r="P729" s="102"/>
      <c r="Q729" s="102"/>
      <c r="R729" s="102"/>
      <c r="S729" s="102"/>
      <c r="T729" s="102"/>
      <c r="U729" s="102"/>
    </row>
    <row r="730" spans="3:21" ht="12.75">
      <c r="C730" s="121"/>
      <c r="D730" s="111"/>
      <c r="E730" s="137">
        <f t="shared" si="2"/>
        <v>0</v>
      </c>
      <c r="F730" s="102"/>
      <c r="G730" s="102"/>
      <c r="H730" s="102"/>
      <c r="I730" s="102"/>
      <c r="J730" s="102"/>
      <c r="K730" s="102"/>
      <c r="L730" s="102"/>
      <c r="M730" s="102"/>
      <c r="N730" s="102"/>
      <c r="O730" s="102"/>
      <c r="P730" s="102"/>
      <c r="Q730" s="102"/>
      <c r="R730" s="102"/>
      <c r="S730" s="102"/>
      <c r="T730" s="102"/>
      <c r="U730" s="102"/>
    </row>
    <row r="731" spans="3:21" ht="12.75">
      <c r="C731" s="121"/>
      <c r="D731" s="111"/>
      <c r="E731" s="137">
        <f t="shared" si="2"/>
        <v>0</v>
      </c>
      <c r="F731" s="102"/>
      <c r="G731" s="102"/>
      <c r="H731" s="102"/>
      <c r="I731" s="102"/>
      <c r="J731" s="102"/>
      <c r="K731" s="102"/>
      <c r="L731" s="102"/>
      <c r="M731" s="102"/>
      <c r="N731" s="102"/>
      <c r="O731" s="102"/>
      <c r="P731" s="102"/>
      <c r="Q731" s="102"/>
      <c r="R731" s="102"/>
      <c r="S731" s="102"/>
      <c r="T731" s="102"/>
      <c r="U731" s="102"/>
    </row>
    <row r="732" spans="3:21" ht="12.75">
      <c r="C732" s="121"/>
      <c r="D732" s="111"/>
      <c r="E732" s="137">
        <f t="shared" si="2"/>
        <v>0</v>
      </c>
      <c r="F732" s="102"/>
      <c r="G732" s="102"/>
      <c r="H732" s="102"/>
      <c r="I732" s="102"/>
      <c r="J732" s="102"/>
      <c r="K732" s="102"/>
      <c r="L732" s="102"/>
      <c r="M732" s="102"/>
      <c r="N732" s="102"/>
      <c r="O732" s="102"/>
      <c r="P732" s="102"/>
      <c r="Q732" s="102"/>
      <c r="R732" s="102"/>
      <c r="S732" s="102"/>
      <c r="T732" s="102"/>
      <c r="U732" s="102"/>
    </row>
    <row r="733" spans="3:21" ht="12.75">
      <c r="C733" s="121"/>
      <c r="D733" s="111"/>
      <c r="E733" s="137">
        <f t="shared" si="2"/>
        <v>0</v>
      </c>
      <c r="F733" s="102"/>
      <c r="G733" s="102"/>
      <c r="H733" s="102"/>
      <c r="I733" s="102"/>
      <c r="J733" s="102"/>
      <c r="K733" s="102"/>
      <c r="L733" s="102"/>
      <c r="M733" s="102"/>
      <c r="N733" s="102"/>
      <c r="O733" s="102"/>
      <c r="P733" s="102"/>
      <c r="Q733" s="102"/>
      <c r="R733" s="102"/>
      <c r="S733" s="102"/>
      <c r="T733" s="102"/>
      <c r="U733" s="102"/>
    </row>
    <row r="734" spans="3:21" ht="12.75">
      <c r="C734" s="121"/>
      <c r="D734" s="111"/>
      <c r="E734" s="137">
        <f t="shared" si="2"/>
        <v>0</v>
      </c>
      <c r="F734" s="102"/>
      <c r="G734" s="102"/>
      <c r="H734" s="102"/>
      <c r="I734" s="102"/>
      <c r="J734" s="102"/>
      <c r="K734" s="102"/>
      <c r="L734" s="102"/>
      <c r="M734" s="102"/>
      <c r="N734" s="102"/>
      <c r="O734" s="102"/>
      <c r="P734" s="102"/>
      <c r="Q734" s="102"/>
      <c r="R734" s="102"/>
      <c r="S734" s="102"/>
      <c r="T734" s="102"/>
      <c r="U734" s="102"/>
    </row>
    <row r="735" spans="3:21" ht="12.75">
      <c r="C735" s="121"/>
      <c r="D735" s="111"/>
      <c r="E735" s="137">
        <f t="shared" si="2"/>
        <v>0</v>
      </c>
      <c r="F735" s="102"/>
      <c r="G735" s="102"/>
      <c r="H735" s="102"/>
      <c r="I735" s="102"/>
      <c r="J735" s="102"/>
      <c r="K735" s="102"/>
      <c r="L735" s="102"/>
      <c r="M735" s="102"/>
      <c r="N735" s="102"/>
      <c r="O735" s="102"/>
      <c r="P735" s="102"/>
      <c r="Q735" s="102"/>
      <c r="R735" s="102"/>
      <c r="S735" s="102"/>
      <c r="T735" s="102"/>
      <c r="U735" s="102"/>
    </row>
    <row r="736" spans="3:21" ht="12.75">
      <c r="C736" s="121"/>
      <c r="D736" s="111"/>
      <c r="E736" s="137">
        <f t="shared" si="2"/>
        <v>0</v>
      </c>
      <c r="F736" s="102"/>
      <c r="G736" s="102"/>
      <c r="H736" s="102"/>
      <c r="I736" s="102"/>
      <c r="J736" s="102"/>
      <c r="K736" s="102"/>
      <c r="L736" s="102"/>
      <c r="M736" s="102"/>
      <c r="N736" s="102"/>
      <c r="O736" s="102"/>
      <c r="P736" s="102"/>
      <c r="Q736" s="102"/>
      <c r="R736" s="102"/>
      <c r="S736" s="102"/>
      <c r="T736" s="102"/>
      <c r="U736" s="102"/>
    </row>
    <row r="737" spans="3:21" ht="12.75">
      <c r="C737" s="121"/>
      <c r="D737" s="111"/>
      <c r="E737" s="137">
        <f t="shared" si="2"/>
        <v>0</v>
      </c>
      <c r="F737" s="102"/>
      <c r="G737" s="102"/>
      <c r="H737" s="102"/>
      <c r="I737" s="102"/>
      <c r="J737" s="102"/>
      <c r="K737" s="102"/>
      <c r="L737" s="102"/>
      <c r="M737" s="102"/>
      <c r="N737" s="102"/>
      <c r="O737" s="102"/>
      <c r="P737" s="102"/>
      <c r="Q737" s="102"/>
      <c r="R737" s="102"/>
      <c r="S737" s="102"/>
      <c r="T737" s="102"/>
      <c r="U737" s="102"/>
    </row>
    <row r="738" spans="3:21" ht="12.75">
      <c r="C738" s="121"/>
      <c r="D738" s="111"/>
      <c r="E738" s="137">
        <f t="shared" si="2"/>
        <v>0</v>
      </c>
      <c r="F738" s="102"/>
      <c r="G738" s="102"/>
      <c r="H738" s="102"/>
      <c r="I738" s="102"/>
      <c r="J738" s="102"/>
      <c r="K738" s="102"/>
      <c r="L738" s="102"/>
      <c r="M738" s="102"/>
      <c r="N738" s="102"/>
      <c r="O738" s="102"/>
      <c r="P738" s="102"/>
      <c r="Q738" s="102"/>
      <c r="R738" s="102"/>
      <c r="S738" s="102"/>
      <c r="T738" s="102"/>
      <c r="U738" s="102"/>
    </row>
    <row r="739" spans="3:21" ht="12.75">
      <c r="C739" s="121"/>
      <c r="D739" s="111"/>
      <c r="E739" s="137">
        <f t="shared" si="2"/>
        <v>0</v>
      </c>
      <c r="F739" s="102"/>
      <c r="G739" s="102"/>
      <c r="H739" s="102"/>
      <c r="I739" s="102"/>
      <c r="J739" s="102"/>
      <c r="K739" s="102"/>
      <c r="L739" s="102"/>
      <c r="M739" s="102"/>
      <c r="N739" s="102"/>
      <c r="O739" s="102"/>
      <c r="P739" s="102"/>
      <c r="Q739" s="102"/>
      <c r="R739" s="102"/>
      <c r="S739" s="102"/>
      <c r="T739" s="102"/>
      <c r="U739" s="102"/>
    </row>
    <row r="740" spans="3:21" ht="12.75">
      <c r="C740" s="121"/>
      <c r="D740" s="111"/>
      <c r="E740" s="137">
        <f t="shared" si="2"/>
        <v>0</v>
      </c>
      <c r="F740" s="102"/>
      <c r="G740" s="102"/>
      <c r="H740" s="102"/>
      <c r="I740" s="102"/>
      <c r="J740" s="102"/>
      <c r="K740" s="102"/>
      <c r="L740" s="102"/>
      <c r="M740" s="102"/>
      <c r="N740" s="102"/>
      <c r="O740" s="102"/>
      <c r="P740" s="102"/>
      <c r="Q740" s="102"/>
      <c r="R740" s="102"/>
      <c r="S740" s="102"/>
      <c r="T740" s="102"/>
      <c r="U740" s="102"/>
    </row>
    <row r="741" spans="3:21" ht="12.75">
      <c r="C741" s="121"/>
      <c r="D741" s="111"/>
      <c r="E741" s="137">
        <f t="shared" si="2"/>
        <v>0</v>
      </c>
      <c r="F741" s="102"/>
      <c r="G741" s="102"/>
      <c r="H741" s="102"/>
      <c r="I741" s="102"/>
      <c r="J741" s="102"/>
      <c r="K741" s="102"/>
      <c r="L741" s="102"/>
      <c r="M741" s="102"/>
      <c r="N741" s="102"/>
      <c r="O741" s="102"/>
      <c r="P741" s="102"/>
      <c r="Q741" s="102"/>
      <c r="R741" s="102"/>
      <c r="S741" s="102"/>
      <c r="T741" s="102"/>
      <c r="U741" s="102"/>
    </row>
    <row r="742" spans="3:21" ht="12.75">
      <c r="C742" s="121"/>
      <c r="D742" s="111"/>
      <c r="E742" s="137">
        <f t="shared" si="2"/>
        <v>0</v>
      </c>
      <c r="F742" s="102"/>
      <c r="G742" s="102"/>
      <c r="H742" s="102"/>
      <c r="I742" s="102"/>
      <c r="J742" s="102"/>
      <c r="K742" s="102"/>
      <c r="L742" s="102"/>
      <c r="M742" s="102"/>
      <c r="N742" s="102"/>
      <c r="O742" s="102"/>
      <c r="P742" s="102"/>
      <c r="Q742" s="102"/>
      <c r="R742" s="102"/>
      <c r="S742" s="102"/>
      <c r="T742" s="102"/>
      <c r="U742" s="102"/>
    </row>
    <row r="743" spans="3:21" ht="12.75">
      <c r="C743" s="121"/>
      <c r="D743" s="111"/>
      <c r="E743" s="137">
        <f t="shared" si="2"/>
        <v>0</v>
      </c>
      <c r="F743" s="102"/>
      <c r="G743" s="102"/>
      <c r="H743" s="102"/>
      <c r="I743" s="102"/>
      <c r="J743" s="102"/>
      <c r="K743" s="102"/>
      <c r="L743" s="102"/>
      <c r="M743" s="102"/>
      <c r="N743" s="102"/>
      <c r="O743" s="102"/>
      <c r="P743" s="102"/>
      <c r="Q743" s="102"/>
      <c r="R743" s="102"/>
      <c r="S743" s="102"/>
      <c r="T743" s="102"/>
      <c r="U743" s="102"/>
    </row>
    <row r="744" spans="3:21" ht="12.75">
      <c r="C744" s="121"/>
      <c r="D744" s="111"/>
      <c r="E744" s="137">
        <f t="shared" si="2"/>
        <v>0</v>
      </c>
      <c r="F744" s="102"/>
      <c r="G744" s="102"/>
      <c r="H744" s="102"/>
      <c r="I744" s="102"/>
      <c r="J744" s="102"/>
      <c r="K744" s="102"/>
      <c r="L744" s="102"/>
      <c r="M744" s="102"/>
      <c r="N744" s="102"/>
      <c r="O744" s="102"/>
      <c r="P744" s="102"/>
      <c r="Q744" s="102"/>
      <c r="R744" s="102"/>
      <c r="S744" s="102"/>
      <c r="T744" s="102"/>
      <c r="U744" s="102"/>
    </row>
    <row r="745" spans="3:21" ht="12.75">
      <c r="C745" s="121"/>
      <c r="D745" s="111"/>
      <c r="E745" s="137">
        <f t="shared" si="2"/>
        <v>0</v>
      </c>
      <c r="F745" s="102"/>
      <c r="G745" s="102"/>
      <c r="H745" s="102"/>
      <c r="I745" s="102"/>
      <c r="J745" s="102"/>
      <c r="K745" s="102"/>
      <c r="L745" s="102"/>
      <c r="M745" s="102"/>
      <c r="N745" s="102"/>
      <c r="O745" s="102"/>
      <c r="P745" s="102"/>
      <c r="Q745" s="102"/>
      <c r="R745" s="102"/>
      <c r="S745" s="102"/>
      <c r="T745" s="102"/>
      <c r="U745" s="102"/>
    </row>
    <row r="746" spans="3:21" ht="12.75">
      <c r="C746" s="121"/>
      <c r="D746" s="111"/>
      <c r="E746" s="137">
        <f t="shared" si="2"/>
        <v>0</v>
      </c>
      <c r="F746" s="102"/>
      <c r="G746" s="102"/>
      <c r="H746" s="102"/>
      <c r="I746" s="102"/>
      <c r="J746" s="102"/>
      <c r="K746" s="102"/>
      <c r="L746" s="102"/>
      <c r="M746" s="102"/>
      <c r="N746" s="102"/>
      <c r="O746" s="102"/>
      <c r="P746" s="102"/>
      <c r="Q746" s="102"/>
      <c r="R746" s="102"/>
      <c r="S746" s="102"/>
      <c r="T746" s="102"/>
      <c r="U746" s="102"/>
    </row>
    <row r="747" spans="3:21" ht="12.75">
      <c r="C747" s="121"/>
      <c r="D747" s="111"/>
      <c r="E747" s="137">
        <f t="shared" si="2"/>
        <v>0</v>
      </c>
      <c r="F747" s="102"/>
      <c r="G747" s="102"/>
      <c r="H747" s="102"/>
      <c r="I747" s="102"/>
      <c r="J747" s="102"/>
      <c r="K747" s="102"/>
      <c r="L747" s="102"/>
      <c r="M747" s="102"/>
      <c r="N747" s="102"/>
      <c r="O747" s="102"/>
      <c r="P747" s="102"/>
      <c r="Q747" s="102"/>
      <c r="R747" s="102"/>
      <c r="S747" s="102"/>
      <c r="T747" s="102"/>
      <c r="U747" s="102"/>
    </row>
    <row r="748" spans="3:21" ht="12.75">
      <c r="C748" s="121"/>
      <c r="D748" s="111"/>
      <c r="E748" s="137">
        <f t="shared" si="2"/>
        <v>0</v>
      </c>
      <c r="F748" s="102"/>
      <c r="G748" s="102"/>
      <c r="H748" s="102"/>
      <c r="I748" s="102"/>
      <c r="J748" s="102"/>
      <c r="K748" s="102"/>
      <c r="L748" s="102"/>
      <c r="M748" s="102"/>
      <c r="N748" s="102"/>
      <c r="O748" s="102"/>
      <c r="P748" s="102"/>
      <c r="Q748" s="102"/>
      <c r="R748" s="102"/>
      <c r="S748" s="102"/>
      <c r="T748" s="102"/>
      <c r="U748" s="102"/>
    </row>
    <row r="749" spans="3:21" ht="12.75">
      <c r="C749" s="121"/>
      <c r="D749" s="111"/>
      <c r="E749" s="137">
        <f t="shared" si="2"/>
        <v>0</v>
      </c>
      <c r="F749" s="102"/>
      <c r="G749" s="102"/>
      <c r="H749" s="102"/>
      <c r="I749" s="102"/>
      <c r="J749" s="102"/>
      <c r="K749" s="102"/>
      <c r="L749" s="102"/>
      <c r="M749" s="102"/>
      <c r="N749" s="102"/>
      <c r="O749" s="102"/>
      <c r="P749" s="102"/>
      <c r="Q749" s="102"/>
      <c r="R749" s="102"/>
      <c r="S749" s="102"/>
      <c r="T749" s="102"/>
      <c r="U749" s="102"/>
    </row>
    <row r="750" spans="3:21" ht="12.75">
      <c r="C750" s="121"/>
      <c r="D750" s="111"/>
      <c r="E750" s="137">
        <f t="shared" si="2"/>
        <v>0</v>
      </c>
      <c r="F750" s="102"/>
      <c r="G750" s="102"/>
      <c r="H750" s="102"/>
      <c r="I750" s="102"/>
      <c r="J750" s="102"/>
      <c r="K750" s="102"/>
      <c r="L750" s="102"/>
      <c r="M750" s="102"/>
      <c r="N750" s="102"/>
      <c r="O750" s="102"/>
      <c r="P750" s="102"/>
      <c r="Q750" s="102"/>
      <c r="R750" s="102"/>
      <c r="S750" s="102"/>
      <c r="T750" s="102"/>
      <c r="U750" s="102"/>
    </row>
    <row r="751" spans="3:21" ht="12.75">
      <c r="C751" s="121"/>
      <c r="D751" s="111"/>
      <c r="E751" s="137">
        <f t="shared" si="2"/>
        <v>0</v>
      </c>
      <c r="F751" s="102"/>
      <c r="G751" s="102"/>
      <c r="H751" s="102"/>
      <c r="I751" s="102"/>
      <c r="J751" s="102"/>
      <c r="K751" s="102"/>
      <c r="L751" s="102"/>
      <c r="M751" s="102"/>
      <c r="N751" s="102"/>
      <c r="O751" s="102"/>
      <c r="P751" s="102"/>
      <c r="Q751" s="102"/>
      <c r="R751" s="102"/>
      <c r="S751" s="102"/>
      <c r="T751" s="102"/>
      <c r="U751" s="102"/>
    </row>
    <row r="752" spans="3:21" ht="12.75">
      <c r="C752" s="121"/>
      <c r="D752" s="111"/>
      <c r="E752" s="137">
        <f t="shared" si="2"/>
        <v>0</v>
      </c>
      <c r="F752" s="102"/>
      <c r="G752" s="102"/>
      <c r="H752" s="102"/>
      <c r="I752" s="102"/>
      <c r="J752" s="102"/>
      <c r="K752" s="102"/>
      <c r="L752" s="102"/>
      <c r="M752" s="102"/>
      <c r="N752" s="102"/>
      <c r="O752" s="102"/>
      <c r="P752" s="102"/>
      <c r="Q752" s="102"/>
      <c r="R752" s="102"/>
      <c r="S752" s="102"/>
      <c r="T752" s="102"/>
      <c r="U752" s="102"/>
    </row>
    <row r="753" spans="3:21" ht="12.75">
      <c r="C753" s="121"/>
      <c r="D753" s="111"/>
      <c r="E753" s="137">
        <f t="shared" si="2"/>
        <v>0</v>
      </c>
      <c r="F753" s="102"/>
      <c r="G753" s="102"/>
      <c r="H753" s="102"/>
      <c r="I753" s="102"/>
      <c r="J753" s="102"/>
      <c r="K753" s="102"/>
      <c r="L753" s="102"/>
      <c r="M753" s="102"/>
      <c r="N753" s="102"/>
      <c r="O753" s="102"/>
      <c r="P753" s="102"/>
      <c r="Q753" s="102"/>
      <c r="R753" s="102"/>
      <c r="S753" s="102"/>
      <c r="T753" s="102"/>
      <c r="U753" s="102"/>
    </row>
    <row r="754" spans="3:21" ht="12.75">
      <c r="C754" s="121"/>
      <c r="D754" s="111"/>
      <c r="E754" s="137">
        <f t="shared" si="2"/>
        <v>0</v>
      </c>
      <c r="F754" s="102"/>
      <c r="G754" s="102"/>
      <c r="H754" s="102"/>
      <c r="I754" s="102"/>
      <c r="J754" s="102"/>
      <c r="K754" s="102"/>
      <c r="L754" s="102"/>
      <c r="M754" s="102"/>
      <c r="N754" s="102"/>
      <c r="O754" s="102"/>
      <c r="P754" s="102"/>
      <c r="Q754" s="102"/>
      <c r="R754" s="102"/>
      <c r="S754" s="102"/>
      <c r="T754" s="102"/>
      <c r="U754" s="102"/>
    </row>
    <row r="755" spans="3:21" ht="12.75">
      <c r="C755" s="121"/>
      <c r="D755" s="111"/>
      <c r="E755" s="137">
        <f t="shared" si="2"/>
        <v>0</v>
      </c>
      <c r="F755" s="102"/>
      <c r="G755" s="102"/>
      <c r="H755" s="102"/>
      <c r="I755" s="102"/>
      <c r="J755" s="102"/>
      <c r="K755" s="102"/>
      <c r="L755" s="102"/>
      <c r="M755" s="102"/>
      <c r="N755" s="102"/>
      <c r="O755" s="102"/>
      <c r="P755" s="102"/>
      <c r="Q755" s="102"/>
      <c r="R755" s="102"/>
      <c r="S755" s="102"/>
      <c r="T755" s="102"/>
      <c r="U755" s="102"/>
    </row>
    <row r="756" spans="3:21" ht="12.75">
      <c r="C756" s="121"/>
      <c r="D756" s="111"/>
      <c r="E756" s="137">
        <f t="shared" si="2"/>
        <v>0</v>
      </c>
      <c r="F756" s="102"/>
      <c r="G756" s="102"/>
      <c r="H756" s="102"/>
      <c r="I756" s="102"/>
      <c r="J756" s="102"/>
      <c r="K756" s="102"/>
      <c r="L756" s="102"/>
      <c r="M756" s="102"/>
      <c r="N756" s="102"/>
      <c r="O756" s="102"/>
      <c r="P756" s="102"/>
      <c r="Q756" s="102"/>
      <c r="R756" s="102"/>
      <c r="S756" s="102"/>
      <c r="T756" s="102"/>
      <c r="U756" s="102"/>
    </row>
    <row r="757" spans="3:21" ht="12.75">
      <c r="C757" s="121"/>
      <c r="D757" s="111"/>
      <c r="E757" s="137">
        <f t="shared" si="2"/>
        <v>0</v>
      </c>
      <c r="F757" s="102"/>
      <c r="G757" s="102"/>
      <c r="H757" s="102"/>
      <c r="I757" s="102"/>
      <c r="J757" s="102"/>
      <c r="K757" s="102"/>
      <c r="L757" s="102"/>
      <c r="M757" s="102"/>
      <c r="N757" s="102"/>
      <c r="O757" s="102"/>
      <c r="P757" s="102"/>
      <c r="Q757" s="102"/>
      <c r="R757" s="102"/>
      <c r="S757" s="102"/>
      <c r="T757" s="102"/>
      <c r="U757" s="102"/>
    </row>
    <row r="758" spans="3:21" ht="12.75">
      <c r="C758" s="121"/>
      <c r="D758" s="111"/>
      <c r="E758" s="137">
        <f t="shared" si="2"/>
        <v>0</v>
      </c>
      <c r="F758" s="102"/>
      <c r="G758" s="102"/>
      <c r="H758" s="102"/>
      <c r="I758" s="102"/>
      <c r="J758" s="102"/>
      <c r="K758" s="102"/>
      <c r="L758" s="102"/>
      <c r="M758" s="102"/>
      <c r="N758" s="102"/>
      <c r="O758" s="102"/>
      <c r="P758" s="102"/>
      <c r="Q758" s="102"/>
      <c r="R758" s="102"/>
      <c r="S758" s="102"/>
      <c r="T758" s="102"/>
      <c r="U758" s="102"/>
    </row>
    <row r="759" spans="3:21" ht="12.75">
      <c r="C759" s="121"/>
      <c r="D759" s="111"/>
      <c r="E759" s="137">
        <f t="shared" si="2"/>
        <v>0</v>
      </c>
      <c r="F759" s="102"/>
      <c r="G759" s="102"/>
      <c r="H759" s="102"/>
      <c r="I759" s="102"/>
      <c r="J759" s="102"/>
      <c r="K759" s="102"/>
      <c r="L759" s="102"/>
      <c r="M759" s="102"/>
      <c r="N759" s="102"/>
      <c r="O759" s="102"/>
      <c r="P759" s="102"/>
      <c r="Q759" s="102"/>
      <c r="R759" s="102"/>
      <c r="S759" s="102"/>
      <c r="T759" s="102"/>
      <c r="U759" s="102"/>
    </row>
    <row r="760" spans="3:21" ht="12.75">
      <c r="C760" s="121"/>
      <c r="D760" s="111"/>
      <c r="E760" s="137">
        <f t="shared" si="2"/>
        <v>0</v>
      </c>
      <c r="F760" s="102"/>
      <c r="G760" s="102"/>
      <c r="H760" s="102"/>
      <c r="I760" s="102"/>
      <c r="J760" s="102"/>
      <c r="K760" s="102"/>
      <c r="L760" s="102"/>
      <c r="M760" s="102"/>
      <c r="N760" s="102"/>
      <c r="O760" s="102"/>
      <c r="P760" s="102"/>
      <c r="Q760" s="102"/>
      <c r="R760" s="102"/>
      <c r="S760" s="102"/>
      <c r="T760" s="102"/>
      <c r="U760" s="102"/>
    </row>
    <row r="761" spans="3:21" ht="12.75">
      <c r="C761" s="121"/>
      <c r="D761" s="111"/>
      <c r="E761" s="137">
        <f t="shared" si="2"/>
        <v>0</v>
      </c>
      <c r="F761" s="102"/>
      <c r="G761" s="102"/>
      <c r="H761" s="102"/>
      <c r="I761" s="102"/>
      <c r="J761" s="102"/>
      <c r="K761" s="102"/>
      <c r="L761" s="102"/>
      <c r="M761" s="102"/>
      <c r="N761" s="102"/>
      <c r="O761" s="102"/>
      <c r="P761" s="102"/>
      <c r="Q761" s="102"/>
      <c r="R761" s="102"/>
      <c r="S761" s="102"/>
      <c r="T761" s="102"/>
      <c r="U761" s="102"/>
    </row>
    <row r="762" spans="3:21" ht="12.75">
      <c r="C762" s="121"/>
      <c r="D762" s="111"/>
      <c r="E762" s="137">
        <f t="shared" si="2"/>
        <v>0</v>
      </c>
      <c r="F762" s="102"/>
      <c r="G762" s="102"/>
      <c r="H762" s="102"/>
      <c r="I762" s="102"/>
      <c r="J762" s="102"/>
      <c r="K762" s="102"/>
      <c r="L762" s="102"/>
      <c r="M762" s="102"/>
      <c r="N762" s="102"/>
      <c r="O762" s="102"/>
      <c r="P762" s="102"/>
      <c r="Q762" s="102"/>
      <c r="R762" s="102"/>
      <c r="S762" s="102"/>
      <c r="T762" s="102"/>
      <c r="U762" s="102"/>
    </row>
    <row r="763" spans="3:21" ht="12.75">
      <c r="C763" s="121"/>
      <c r="D763" s="111"/>
      <c r="E763" s="137">
        <f t="shared" si="2"/>
        <v>0</v>
      </c>
      <c r="F763" s="102"/>
      <c r="G763" s="102"/>
      <c r="H763" s="102"/>
      <c r="I763" s="102"/>
      <c r="J763" s="102"/>
      <c r="K763" s="102"/>
      <c r="L763" s="102"/>
      <c r="M763" s="102"/>
      <c r="N763" s="102"/>
      <c r="O763" s="102"/>
      <c r="P763" s="102"/>
      <c r="Q763" s="102"/>
      <c r="R763" s="102"/>
      <c r="S763" s="102"/>
      <c r="T763" s="102"/>
      <c r="U763" s="102"/>
    </row>
    <row r="764" spans="3:21" ht="12.75">
      <c r="C764" s="121"/>
      <c r="D764" s="111"/>
      <c r="E764" s="137">
        <f t="shared" si="2"/>
        <v>0</v>
      </c>
      <c r="F764" s="102"/>
      <c r="G764" s="102"/>
      <c r="H764" s="102"/>
      <c r="I764" s="102"/>
      <c r="J764" s="102"/>
      <c r="K764" s="102"/>
      <c r="L764" s="102"/>
      <c r="M764" s="102"/>
      <c r="N764" s="102"/>
      <c r="O764" s="102"/>
      <c r="P764" s="102"/>
      <c r="Q764" s="102"/>
      <c r="R764" s="102"/>
      <c r="S764" s="102"/>
      <c r="T764" s="102"/>
      <c r="U764" s="102"/>
    </row>
    <row r="765" spans="3:21" ht="12.75">
      <c r="C765" s="121"/>
      <c r="D765" s="111"/>
      <c r="E765" s="137">
        <f t="shared" si="2"/>
        <v>0</v>
      </c>
      <c r="F765" s="102"/>
      <c r="G765" s="102"/>
      <c r="H765" s="102"/>
      <c r="I765" s="102"/>
      <c r="J765" s="102"/>
      <c r="K765" s="102"/>
      <c r="L765" s="102"/>
      <c r="M765" s="102"/>
      <c r="N765" s="102"/>
      <c r="O765" s="102"/>
      <c r="P765" s="102"/>
      <c r="Q765" s="102"/>
      <c r="R765" s="102"/>
      <c r="S765" s="102"/>
      <c r="T765" s="102"/>
      <c r="U765" s="102"/>
    </row>
    <row r="766" spans="3:21" ht="12.75">
      <c r="C766" s="121"/>
      <c r="D766" s="111"/>
      <c r="E766" s="137">
        <f t="shared" si="2"/>
        <v>0</v>
      </c>
      <c r="F766" s="102"/>
      <c r="G766" s="102"/>
      <c r="H766" s="102"/>
      <c r="I766" s="102"/>
      <c r="J766" s="102"/>
      <c r="K766" s="102"/>
      <c r="L766" s="102"/>
      <c r="M766" s="102"/>
      <c r="N766" s="102"/>
      <c r="O766" s="102"/>
      <c r="P766" s="102"/>
      <c r="Q766" s="102"/>
      <c r="R766" s="102"/>
      <c r="S766" s="102"/>
      <c r="T766" s="102"/>
      <c r="U766" s="102"/>
    </row>
    <row r="767" spans="3:21" ht="12.75">
      <c r="C767" s="121"/>
      <c r="D767" s="111"/>
      <c r="E767" s="137">
        <f t="shared" ref="E767:E1000" si="3">COUNTIF(F767:U767,"Yes")</f>
        <v>0</v>
      </c>
      <c r="F767" s="102"/>
      <c r="G767" s="102"/>
      <c r="H767" s="102"/>
      <c r="I767" s="102"/>
      <c r="J767" s="102"/>
      <c r="K767" s="102"/>
      <c r="L767" s="102"/>
      <c r="M767" s="102"/>
      <c r="N767" s="102"/>
      <c r="O767" s="102"/>
      <c r="P767" s="102"/>
      <c r="Q767" s="102"/>
      <c r="R767" s="102"/>
      <c r="S767" s="102"/>
      <c r="T767" s="102"/>
      <c r="U767" s="102"/>
    </row>
    <row r="768" spans="3:21" ht="12.75">
      <c r="C768" s="121"/>
      <c r="D768" s="111"/>
      <c r="E768" s="137">
        <f t="shared" si="3"/>
        <v>0</v>
      </c>
      <c r="F768" s="102"/>
      <c r="G768" s="102"/>
      <c r="H768" s="102"/>
      <c r="I768" s="102"/>
      <c r="J768" s="102"/>
      <c r="K768" s="102"/>
      <c r="L768" s="102"/>
      <c r="M768" s="102"/>
      <c r="N768" s="102"/>
      <c r="O768" s="102"/>
      <c r="P768" s="102"/>
      <c r="Q768" s="102"/>
      <c r="R768" s="102"/>
      <c r="S768" s="102"/>
      <c r="T768" s="102"/>
      <c r="U768" s="102"/>
    </row>
    <row r="769" spans="3:21" ht="12.75">
      <c r="C769" s="121"/>
      <c r="D769" s="111"/>
      <c r="E769" s="137">
        <f t="shared" si="3"/>
        <v>0</v>
      </c>
      <c r="F769" s="102"/>
      <c r="G769" s="102"/>
      <c r="H769" s="102"/>
      <c r="I769" s="102"/>
      <c r="J769" s="102"/>
      <c r="K769" s="102"/>
      <c r="L769" s="102"/>
      <c r="M769" s="102"/>
      <c r="N769" s="102"/>
      <c r="O769" s="102"/>
      <c r="P769" s="102"/>
      <c r="Q769" s="102"/>
      <c r="R769" s="102"/>
      <c r="S769" s="102"/>
      <c r="T769" s="102"/>
      <c r="U769" s="102"/>
    </row>
    <row r="770" spans="3:21" ht="12.75">
      <c r="C770" s="121"/>
      <c r="D770" s="111"/>
      <c r="E770" s="137">
        <f t="shared" si="3"/>
        <v>0</v>
      </c>
      <c r="F770" s="102"/>
      <c r="G770" s="102"/>
      <c r="H770" s="102"/>
      <c r="I770" s="102"/>
      <c r="J770" s="102"/>
      <c r="K770" s="102"/>
      <c r="L770" s="102"/>
      <c r="M770" s="102"/>
      <c r="N770" s="102"/>
      <c r="O770" s="102"/>
      <c r="P770" s="102"/>
      <c r="Q770" s="102"/>
      <c r="R770" s="102"/>
      <c r="S770" s="102"/>
      <c r="T770" s="102"/>
      <c r="U770" s="102"/>
    </row>
    <row r="771" spans="3:21" ht="12.75">
      <c r="C771" s="121"/>
      <c r="D771" s="111"/>
      <c r="E771" s="137">
        <f t="shared" si="3"/>
        <v>0</v>
      </c>
      <c r="F771" s="102"/>
      <c r="G771" s="102"/>
      <c r="H771" s="102"/>
      <c r="I771" s="102"/>
      <c r="J771" s="102"/>
      <c r="K771" s="102"/>
      <c r="L771" s="102"/>
      <c r="M771" s="102"/>
      <c r="N771" s="102"/>
      <c r="O771" s="102"/>
      <c r="P771" s="102"/>
      <c r="Q771" s="102"/>
      <c r="R771" s="102"/>
      <c r="S771" s="102"/>
      <c r="T771" s="102"/>
      <c r="U771" s="102"/>
    </row>
    <row r="772" spans="3:21" ht="12.75">
      <c r="C772" s="121"/>
      <c r="D772" s="111"/>
      <c r="E772" s="137">
        <f t="shared" si="3"/>
        <v>0</v>
      </c>
      <c r="F772" s="102"/>
      <c r="G772" s="102"/>
      <c r="H772" s="102"/>
      <c r="I772" s="102"/>
      <c r="J772" s="102"/>
      <c r="K772" s="102"/>
      <c r="L772" s="102"/>
      <c r="M772" s="102"/>
      <c r="N772" s="102"/>
      <c r="O772" s="102"/>
      <c r="P772" s="102"/>
      <c r="Q772" s="102"/>
      <c r="R772" s="102"/>
      <c r="S772" s="102"/>
      <c r="T772" s="102"/>
      <c r="U772" s="102"/>
    </row>
    <row r="773" spans="3:21" ht="12.75">
      <c r="C773" s="121"/>
      <c r="D773" s="111"/>
      <c r="E773" s="137">
        <f t="shared" si="3"/>
        <v>0</v>
      </c>
      <c r="F773" s="102"/>
      <c r="G773" s="102"/>
      <c r="H773" s="102"/>
      <c r="I773" s="102"/>
      <c r="J773" s="102"/>
      <c r="K773" s="102"/>
      <c r="L773" s="102"/>
      <c r="M773" s="102"/>
      <c r="N773" s="102"/>
      <c r="O773" s="102"/>
      <c r="P773" s="102"/>
      <c r="Q773" s="102"/>
      <c r="R773" s="102"/>
      <c r="S773" s="102"/>
      <c r="T773" s="102"/>
      <c r="U773" s="102"/>
    </row>
    <row r="774" spans="3:21" ht="12.75">
      <c r="C774" s="121"/>
      <c r="D774" s="111"/>
      <c r="E774" s="137">
        <f t="shared" si="3"/>
        <v>0</v>
      </c>
      <c r="F774" s="102"/>
      <c r="G774" s="102"/>
      <c r="H774" s="102"/>
      <c r="I774" s="102"/>
      <c r="J774" s="102"/>
      <c r="K774" s="102"/>
      <c r="L774" s="102"/>
      <c r="M774" s="102"/>
      <c r="N774" s="102"/>
      <c r="O774" s="102"/>
      <c r="P774" s="102"/>
      <c r="Q774" s="102"/>
      <c r="R774" s="102"/>
      <c r="S774" s="102"/>
      <c r="T774" s="102"/>
      <c r="U774" s="102"/>
    </row>
    <row r="775" spans="3:21" ht="12.75">
      <c r="C775" s="121"/>
      <c r="D775" s="111"/>
      <c r="E775" s="137">
        <f t="shared" si="3"/>
        <v>0</v>
      </c>
      <c r="F775" s="102"/>
      <c r="G775" s="102"/>
      <c r="H775" s="102"/>
      <c r="I775" s="102"/>
      <c r="J775" s="102"/>
      <c r="K775" s="102"/>
      <c r="L775" s="102"/>
      <c r="M775" s="102"/>
      <c r="N775" s="102"/>
      <c r="O775" s="102"/>
      <c r="P775" s="102"/>
      <c r="Q775" s="102"/>
      <c r="R775" s="102"/>
      <c r="S775" s="102"/>
      <c r="T775" s="102"/>
      <c r="U775" s="102"/>
    </row>
    <row r="776" spans="3:21" ht="12.75">
      <c r="C776" s="121"/>
      <c r="D776" s="111"/>
      <c r="E776" s="137">
        <f t="shared" si="3"/>
        <v>0</v>
      </c>
      <c r="F776" s="102"/>
      <c r="G776" s="102"/>
      <c r="H776" s="102"/>
      <c r="I776" s="102"/>
      <c r="J776" s="102"/>
      <c r="K776" s="102"/>
      <c r="L776" s="102"/>
      <c r="M776" s="102"/>
      <c r="N776" s="102"/>
      <c r="O776" s="102"/>
      <c r="P776" s="102"/>
      <c r="Q776" s="102"/>
      <c r="R776" s="102"/>
      <c r="S776" s="102"/>
      <c r="T776" s="102"/>
      <c r="U776" s="102"/>
    </row>
    <row r="777" spans="3:21" ht="12.75">
      <c r="C777" s="121"/>
      <c r="D777" s="111"/>
      <c r="E777" s="137">
        <f t="shared" si="3"/>
        <v>0</v>
      </c>
      <c r="F777" s="102"/>
      <c r="G777" s="102"/>
      <c r="H777" s="102"/>
      <c r="I777" s="102"/>
      <c r="J777" s="102"/>
      <c r="K777" s="102"/>
      <c r="L777" s="102"/>
      <c r="M777" s="102"/>
      <c r="N777" s="102"/>
      <c r="O777" s="102"/>
      <c r="P777" s="102"/>
      <c r="Q777" s="102"/>
      <c r="R777" s="102"/>
      <c r="S777" s="102"/>
      <c r="T777" s="102"/>
      <c r="U777" s="102"/>
    </row>
    <row r="778" spans="3:21" ht="12.75">
      <c r="C778" s="121"/>
      <c r="D778" s="111"/>
      <c r="E778" s="137">
        <f t="shared" si="3"/>
        <v>0</v>
      </c>
      <c r="F778" s="102"/>
      <c r="G778" s="102"/>
      <c r="H778" s="102"/>
      <c r="I778" s="102"/>
      <c r="J778" s="102"/>
      <c r="K778" s="102"/>
      <c r="L778" s="102"/>
      <c r="M778" s="102"/>
      <c r="N778" s="102"/>
      <c r="O778" s="102"/>
      <c r="P778" s="102"/>
      <c r="Q778" s="102"/>
      <c r="R778" s="102"/>
      <c r="S778" s="102"/>
      <c r="T778" s="102"/>
      <c r="U778" s="102"/>
    </row>
    <row r="779" spans="3:21" ht="12.75">
      <c r="C779" s="121"/>
      <c r="D779" s="111"/>
      <c r="E779" s="137">
        <f t="shared" si="3"/>
        <v>0</v>
      </c>
      <c r="F779" s="102"/>
      <c r="G779" s="102"/>
      <c r="H779" s="102"/>
      <c r="I779" s="102"/>
      <c r="J779" s="102"/>
      <c r="K779" s="102"/>
      <c r="L779" s="102"/>
      <c r="M779" s="102"/>
      <c r="N779" s="102"/>
      <c r="O779" s="102"/>
      <c r="P779" s="102"/>
      <c r="Q779" s="102"/>
      <c r="R779" s="102"/>
      <c r="S779" s="102"/>
      <c r="T779" s="102"/>
      <c r="U779" s="102"/>
    </row>
    <row r="780" spans="3:21" ht="12.75">
      <c r="C780" s="121"/>
      <c r="D780" s="111"/>
      <c r="E780" s="137">
        <f t="shared" si="3"/>
        <v>0</v>
      </c>
      <c r="F780" s="102"/>
      <c r="G780" s="102"/>
      <c r="H780" s="102"/>
      <c r="I780" s="102"/>
      <c r="J780" s="102"/>
      <c r="K780" s="102"/>
      <c r="L780" s="102"/>
      <c r="M780" s="102"/>
      <c r="N780" s="102"/>
      <c r="O780" s="102"/>
      <c r="P780" s="102"/>
      <c r="Q780" s="102"/>
      <c r="R780" s="102"/>
      <c r="S780" s="102"/>
      <c r="T780" s="102"/>
      <c r="U780" s="102"/>
    </row>
    <row r="781" spans="3:21" ht="12.75">
      <c r="C781" s="121"/>
      <c r="D781" s="111"/>
      <c r="E781" s="137">
        <f t="shared" si="3"/>
        <v>0</v>
      </c>
      <c r="F781" s="102"/>
      <c r="G781" s="102"/>
      <c r="H781" s="102"/>
      <c r="I781" s="102"/>
      <c r="J781" s="102"/>
      <c r="K781" s="102"/>
      <c r="L781" s="102"/>
      <c r="M781" s="102"/>
      <c r="N781" s="102"/>
      <c r="O781" s="102"/>
      <c r="P781" s="102"/>
      <c r="Q781" s="102"/>
      <c r="R781" s="102"/>
      <c r="S781" s="102"/>
      <c r="T781" s="102"/>
      <c r="U781" s="102"/>
    </row>
    <row r="782" spans="3:21" ht="12.75">
      <c r="C782" s="121"/>
      <c r="D782" s="111"/>
      <c r="E782" s="137">
        <f t="shared" si="3"/>
        <v>0</v>
      </c>
      <c r="F782" s="102"/>
      <c r="G782" s="102"/>
      <c r="H782" s="102"/>
      <c r="I782" s="102"/>
      <c r="J782" s="102"/>
      <c r="K782" s="102"/>
      <c r="L782" s="102"/>
      <c r="M782" s="102"/>
      <c r="N782" s="102"/>
      <c r="O782" s="102"/>
      <c r="P782" s="102"/>
      <c r="Q782" s="102"/>
      <c r="R782" s="102"/>
      <c r="S782" s="102"/>
      <c r="T782" s="102"/>
      <c r="U782" s="102"/>
    </row>
    <row r="783" spans="3:21" ht="12.75">
      <c r="C783" s="121"/>
      <c r="D783" s="111"/>
      <c r="E783" s="137">
        <f t="shared" si="3"/>
        <v>0</v>
      </c>
      <c r="F783" s="102"/>
      <c r="G783" s="102"/>
      <c r="H783" s="102"/>
      <c r="I783" s="102"/>
      <c r="J783" s="102"/>
      <c r="K783" s="102"/>
      <c r="L783" s="102"/>
      <c r="M783" s="102"/>
      <c r="N783" s="102"/>
      <c r="O783" s="102"/>
      <c r="P783" s="102"/>
      <c r="Q783" s="102"/>
      <c r="R783" s="102"/>
      <c r="S783" s="102"/>
      <c r="T783" s="102"/>
      <c r="U783" s="102"/>
    </row>
    <row r="784" spans="3:21" ht="12.75">
      <c r="C784" s="121"/>
      <c r="D784" s="111"/>
      <c r="E784" s="137">
        <f t="shared" si="3"/>
        <v>0</v>
      </c>
      <c r="F784" s="102"/>
      <c r="G784" s="102"/>
      <c r="H784" s="102"/>
      <c r="I784" s="102"/>
      <c r="J784" s="102"/>
      <c r="K784" s="102"/>
      <c r="L784" s="102"/>
      <c r="M784" s="102"/>
      <c r="N784" s="102"/>
      <c r="O784" s="102"/>
      <c r="P784" s="102"/>
      <c r="Q784" s="102"/>
      <c r="R784" s="102"/>
      <c r="S784" s="102"/>
      <c r="T784" s="102"/>
      <c r="U784" s="102"/>
    </row>
    <row r="785" spans="3:21" ht="12.75">
      <c r="C785" s="121"/>
      <c r="D785" s="111"/>
      <c r="E785" s="137">
        <f t="shared" si="3"/>
        <v>0</v>
      </c>
      <c r="F785" s="102"/>
      <c r="G785" s="102"/>
      <c r="H785" s="102"/>
      <c r="I785" s="102"/>
      <c r="J785" s="102"/>
      <c r="K785" s="102"/>
      <c r="L785" s="102"/>
      <c r="M785" s="102"/>
      <c r="N785" s="102"/>
      <c r="O785" s="102"/>
      <c r="P785" s="102"/>
      <c r="Q785" s="102"/>
      <c r="R785" s="102"/>
      <c r="S785" s="102"/>
      <c r="T785" s="102"/>
      <c r="U785" s="102"/>
    </row>
    <row r="786" spans="3:21" ht="12.75">
      <c r="C786" s="121"/>
      <c r="D786" s="111"/>
      <c r="E786" s="137">
        <f t="shared" si="3"/>
        <v>0</v>
      </c>
      <c r="F786" s="102"/>
      <c r="G786" s="102"/>
      <c r="H786" s="102"/>
      <c r="I786" s="102"/>
      <c r="J786" s="102"/>
      <c r="K786" s="102"/>
      <c r="L786" s="102"/>
      <c r="M786" s="102"/>
      <c r="N786" s="102"/>
      <c r="O786" s="102"/>
      <c r="P786" s="102"/>
      <c r="Q786" s="102"/>
      <c r="R786" s="102"/>
      <c r="S786" s="102"/>
      <c r="T786" s="102"/>
      <c r="U786" s="102"/>
    </row>
    <row r="787" spans="3:21" ht="12.75">
      <c r="C787" s="121"/>
      <c r="D787" s="111"/>
      <c r="E787" s="137">
        <f t="shared" si="3"/>
        <v>0</v>
      </c>
      <c r="F787" s="102"/>
      <c r="G787" s="102"/>
      <c r="H787" s="102"/>
      <c r="I787" s="102"/>
      <c r="J787" s="102"/>
      <c r="K787" s="102"/>
      <c r="L787" s="102"/>
      <c r="M787" s="102"/>
      <c r="N787" s="102"/>
      <c r="O787" s="102"/>
      <c r="P787" s="102"/>
      <c r="Q787" s="102"/>
      <c r="R787" s="102"/>
      <c r="S787" s="102"/>
      <c r="T787" s="102"/>
      <c r="U787" s="102"/>
    </row>
    <row r="788" spans="3:21" ht="12.75">
      <c r="C788" s="121"/>
      <c r="D788" s="111"/>
      <c r="E788" s="137">
        <f t="shared" si="3"/>
        <v>0</v>
      </c>
      <c r="F788" s="102"/>
      <c r="G788" s="102"/>
      <c r="H788" s="102"/>
      <c r="I788" s="102"/>
      <c r="J788" s="102"/>
      <c r="K788" s="102"/>
      <c r="L788" s="102"/>
      <c r="M788" s="102"/>
      <c r="N788" s="102"/>
      <c r="O788" s="102"/>
      <c r="P788" s="102"/>
      <c r="Q788" s="102"/>
      <c r="R788" s="102"/>
      <c r="S788" s="102"/>
      <c r="T788" s="102"/>
      <c r="U788" s="102"/>
    </row>
    <row r="789" spans="3:21" ht="12.75">
      <c r="C789" s="121"/>
      <c r="D789" s="111"/>
      <c r="E789" s="137">
        <f t="shared" si="3"/>
        <v>0</v>
      </c>
      <c r="F789" s="102"/>
      <c r="G789" s="102"/>
      <c r="H789" s="102"/>
      <c r="I789" s="102"/>
      <c r="J789" s="102"/>
      <c r="K789" s="102"/>
      <c r="L789" s="102"/>
      <c r="M789" s="102"/>
      <c r="N789" s="102"/>
      <c r="O789" s="102"/>
      <c r="P789" s="102"/>
      <c r="Q789" s="102"/>
      <c r="R789" s="102"/>
      <c r="S789" s="102"/>
      <c r="T789" s="102"/>
      <c r="U789" s="102"/>
    </row>
    <row r="790" spans="3:21" ht="12.75">
      <c r="C790" s="121"/>
      <c r="D790" s="111"/>
      <c r="E790" s="137">
        <f t="shared" si="3"/>
        <v>0</v>
      </c>
      <c r="F790" s="102"/>
      <c r="G790" s="102"/>
      <c r="H790" s="102"/>
      <c r="I790" s="102"/>
      <c r="J790" s="102"/>
      <c r="K790" s="102"/>
      <c r="L790" s="102"/>
      <c r="M790" s="102"/>
      <c r="N790" s="102"/>
      <c r="O790" s="102"/>
      <c r="P790" s="102"/>
      <c r="Q790" s="102"/>
      <c r="R790" s="102"/>
      <c r="S790" s="102"/>
      <c r="T790" s="102"/>
      <c r="U790" s="102"/>
    </row>
    <row r="791" spans="3:21" ht="12.75">
      <c r="C791" s="121"/>
      <c r="D791" s="111"/>
      <c r="E791" s="137">
        <f t="shared" si="3"/>
        <v>0</v>
      </c>
      <c r="F791" s="102"/>
      <c r="G791" s="102"/>
      <c r="H791" s="102"/>
      <c r="I791" s="102"/>
      <c r="J791" s="102"/>
      <c r="K791" s="102"/>
      <c r="L791" s="102"/>
      <c r="M791" s="102"/>
      <c r="N791" s="102"/>
      <c r="O791" s="102"/>
      <c r="P791" s="102"/>
      <c r="Q791" s="102"/>
      <c r="R791" s="102"/>
      <c r="S791" s="102"/>
      <c r="T791" s="102"/>
      <c r="U791" s="102"/>
    </row>
    <row r="792" spans="3:21" ht="12.75">
      <c r="C792" s="121"/>
      <c r="D792" s="111"/>
      <c r="E792" s="137">
        <f t="shared" si="3"/>
        <v>0</v>
      </c>
      <c r="F792" s="102"/>
      <c r="G792" s="102"/>
      <c r="H792" s="102"/>
      <c r="I792" s="102"/>
      <c r="J792" s="102"/>
      <c r="K792" s="102"/>
      <c r="L792" s="102"/>
      <c r="M792" s="102"/>
      <c r="N792" s="102"/>
      <c r="O792" s="102"/>
      <c r="P792" s="102"/>
      <c r="Q792" s="102"/>
      <c r="R792" s="102"/>
      <c r="S792" s="102"/>
      <c r="T792" s="102"/>
      <c r="U792" s="102"/>
    </row>
    <row r="793" spans="3:21" ht="12.75">
      <c r="C793" s="121"/>
      <c r="D793" s="111"/>
      <c r="E793" s="137">
        <f t="shared" si="3"/>
        <v>0</v>
      </c>
      <c r="F793" s="102"/>
      <c r="G793" s="102"/>
      <c r="H793" s="102"/>
      <c r="I793" s="102"/>
      <c r="J793" s="102"/>
      <c r="K793" s="102"/>
      <c r="L793" s="102"/>
      <c r="M793" s="102"/>
      <c r="N793" s="102"/>
      <c r="O793" s="102"/>
      <c r="P793" s="102"/>
      <c r="Q793" s="102"/>
      <c r="R793" s="102"/>
      <c r="S793" s="102"/>
      <c r="T793" s="102"/>
      <c r="U793" s="102"/>
    </row>
    <row r="794" spans="3:21" ht="12.75">
      <c r="C794" s="121"/>
      <c r="D794" s="111"/>
      <c r="E794" s="137">
        <f t="shared" si="3"/>
        <v>0</v>
      </c>
      <c r="F794" s="102"/>
      <c r="G794" s="102"/>
      <c r="H794" s="102"/>
      <c r="I794" s="102"/>
      <c r="J794" s="102"/>
      <c r="K794" s="102"/>
      <c r="L794" s="102"/>
      <c r="M794" s="102"/>
      <c r="N794" s="102"/>
      <c r="O794" s="102"/>
      <c r="P794" s="102"/>
      <c r="Q794" s="102"/>
      <c r="R794" s="102"/>
      <c r="S794" s="102"/>
      <c r="T794" s="102"/>
      <c r="U794" s="102"/>
    </row>
    <row r="795" spans="3:21" ht="12.75">
      <c r="C795" s="121"/>
      <c r="D795" s="111"/>
      <c r="E795" s="137">
        <f t="shared" si="3"/>
        <v>0</v>
      </c>
      <c r="F795" s="102"/>
      <c r="G795" s="102"/>
      <c r="H795" s="102"/>
      <c r="I795" s="102"/>
      <c r="J795" s="102"/>
      <c r="K795" s="102"/>
      <c r="L795" s="102"/>
      <c r="M795" s="102"/>
      <c r="N795" s="102"/>
      <c r="O795" s="102"/>
      <c r="P795" s="102"/>
      <c r="Q795" s="102"/>
      <c r="R795" s="102"/>
      <c r="S795" s="102"/>
      <c r="T795" s="102"/>
      <c r="U795" s="102"/>
    </row>
    <row r="796" spans="3:21" ht="12.75">
      <c r="C796" s="121"/>
      <c r="D796" s="111"/>
      <c r="E796" s="137">
        <f t="shared" si="3"/>
        <v>0</v>
      </c>
      <c r="F796" s="102"/>
      <c r="G796" s="102"/>
      <c r="H796" s="102"/>
      <c r="I796" s="102"/>
      <c r="J796" s="102"/>
      <c r="K796" s="102"/>
      <c r="L796" s="102"/>
      <c r="M796" s="102"/>
      <c r="N796" s="102"/>
      <c r="O796" s="102"/>
      <c r="P796" s="102"/>
      <c r="Q796" s="102"/>
      <c r="R796" s="102"/>
      <c r="S796" s="102"/>
      <c r="T796" s="102"/>
      <c r="U796" s="102"/>
    </row>
    <row r="797" spans="3:21" ht="12.75">
      <c r="C797" s="121"/>
      <c r="D797" s="111"/>
      <c r="E797" s="137">
        <f t="shared" si="3"/>
        <v>0</v>
      </c>
      <c r="F797" s="102"/>
      <c r="G797" s="102"/>
      <c r="H797" s="102"/>
      <c r="I797" s="102"/>
      <c r="J797" s="102"/>
      <c r="K797" s="102"/>
      <c r="L797" s="102"/>
      <c r="M797" s="102"/>
      <c r="N797" s="102"/>
      <c r="O797" s="102"/>
      <c r="P797" s="102"/>
      <c r="Q797" s="102"/>
      <c r="R797" s="102"/>
      <c r="S797" s="102"/>
      <c r="T797" s="102"/>
      <c r="U797" s="102"/>
    </row>
    <row r="798" spans="3:21" ht="12.75">
      <c r="C798" s="121"/>
      <c r="D798" s="111"/>
      <c r="E798" s="137">
        <f t="shared" si="3"/>
        <v>0</v>
      </c>
      <c r="F798" s="102"/>
      <c r="G798" s="102"/>
      <c r="H798" s="102"/>
      <c r="I798" s="102"/>
      <c r="J798" s="102"/>
      <c r="K798" s="102"/>
      <c r="L798" s="102"/>
      <c r="M798" s="102"/>
      <c r="N798" s="102"/>
      <c r="O798" s="102"/>
      <c r="P798" s="102"/>
      <c r="Q798" s="102"/>
      <c r="R798" s="102"/>
      <c r="S798" s="102"/>
      <c r="T798" s="102"/>
      <c r="U798" s="102"/>
    </row>
    <row r="799" spans="3:21" ht="12.75">
      <c r="C799" s="121"/>
      <c r="D799" s="111"/>
      <c r="E799" s="137">
        <f t="shared" si="3"/>
        <v>0</v>
      </c>
      <c r="F799" s="102"/>
      <c r="G799" s="102"/>
      <c r="H799" s="102"/>
      <c r="I799" s="102"/>
      <c r="J799" s="102"/>
      <c r="K799" s="102"/>
      <c r="L799" s="102"/>
      <c r="M799" s="102"/>
      <c r="N799" s="102"/>
      <c r="O799" s="102"/>
      <c r="P799" s="102"/>
      <c r="Q799" s="102"/>
      <c r="R799" s="102"/>
      <c r="S799" s="102"/>
      <c r="T799" s="102"/>
      <c r="U799" s="102"/>
    </row>
    <row r="800" spans="3:21" ht="12.75">
      <c r="C800" s="121"/>
      <c r="D800" s="111"/>
      <c r="E800" s="137">
        <f t="shared" si="3"/>
        <v>0</v>
      </c>
      <c r="F800" s="102"/>
      <c r="G800" s="102"/>
      <c r="H800" s="102"/>
      <c r="I800" s="102"/>
      <c r="J800" s="102"/>
      <c r="K800" s="102"/>
      <c r="L800" s="102"/>
      <c r="M800" s="102"/>
      <c r="N800" s="102"/>
      <c r="O800" s="102"/>
      <c r="P800" s="102"/>
      <c r="Q800" s="102"/>
      <c r="R800" s="102"/>
      <c r="S800" s="102"/>
      <c r="T800" s="102"/>
      <c r="U800" s="102"/>
    </row>
    <row r="801" spans="3:21" ht="12.75">
      <c r="C801" s="121"/>
      <c r="D801" s="111"/>
      <c r="E801" s="137">
        <f t="shared" si="3"/>
        <v>0</v>
      </c>
      <c r="F801" s="102"/>
      <c r="G801" s="102"/>
      <c r="H801" s="102"/>
      <c r="I801" s="102"/>
      <c r="J801" s="102"/>
      <c r="K801" s="102"/>
      <c r="L801" s="102"/>
      <c r="M801" s="102"/>
      <c r="N801" s="102"/>
      <c r="O801" s="102"/>
      <c r="P801" s="102"/>
      <c r="Q801" s="102"/>
      <c r="R801" s="102"/>
      <c r="S801" s="102"/>
      <c r="T801" s="102"/>
      <c r="U801" s="102"/>
    </row>
    <row r="802" spans="3:21" ht="12.75">
      <c r="C802" s="121"/>
      <c r="D802" s="111"/>
      <c r="E802" s="137">
        <f t="shared" si="3"/>
        <v>0</v>
      </c>
      <c r="F802" s="102"/>
      <c r="G802" s="102"/>
      <c r="H802" s="102"/>
      <c r="I802" s="102"/>
      <c r="J802" s="102"/>
      <c r="K802" s="102"/>
      <c r="L802" s="102"/>
      <c r="M802" s="102"/>
      <c r="N802" s="102"/>
      <c r="O802" s="102"/>
      <c r="P802" s="102"/>
      <c r="Q802" s="102"/>
      <c r="R802" s="102"/>
      <c r="S802" s="102"/>
      <c r="T802" s="102"/>
      <c r="U802" s="102"/>
    </row>
    <row r="803" spans="3:21" ht="12.75">
      <c r="C803" s="121"/>
      <c r="D803" s="111"/>
      <c r="E803" s="137">
        <f t="shared" si="3"/>
        <v>0</v>
      </c>
      <c r="F803" s="102"/>
      <c r="G803" s="102"/>
      <c r="H803" s="102"/>
      <c r="I803" s="102"/>
      <c r="J803" s="102"/>
      <c r="K803" s="102"/>
      <c r="L803" s="102"/>
      <c r="M803" s="102"/>
      <c r="N803" s="102"/>
      <c r="O803" s="102"/>
      <c r="P803" s="102"/>
      <c r="Q803" s="102"/>
      <c r="R803" s="102"/>
      <c r="S803" s="102"/>
      <c r="T803" s="102"/>
      <c r="U803" s="102"/>
    </row>
    <row r="804" spans="3:21" ht="12.75">
      <c r="C804" s="121"/>
      <c r="D804" s="111"/>
      <c r="E804" s="137">
        <f t="shared" si="3"/>
        <v>0</v>
      </c>
      <c r="F804" s="102"/>
      <c r="G804" s="102"/>
      <c r="H804" s="102"/>
      <c r="I804" s="102"/>
      <c r="J804" s="102"/>
      <c r="K804" s="102"/>
      <c r="L804" s="102"/>
      <c r="M804" s="102"/>
      <c r="N804" s="102"/>
      <c r="O804" s="102"/>
      <c r="P804" s="102"/>
      <c r="Q804" s="102"/>
      <c r="R804" s="102"/>
      <c r="S804" s="102"/>
      <c r="T804" s="102"/>
      <c r="U804" s="102"/>
    </row>
    <row r="805" spans="3:21" ht="12.75">
      <c r="C805" s="121"/>
      <c r="D805" s="111"/>
      <c r="E805" s="137">
        <f t="shared" si="3"/>
        <v>0</v>
      </c>
      <c r="F805" s="102"/>
      <c r="G805" s="102"/>
      <c r="H805" s="102"/>
      <c r="I805" s="102"/>
      <c r="J805" s="102"/>
      <c r="K805" s="102"/>
      <c r="L805" s="102"/>
      <c r="M805" s="102"/>
      <c r="N805" s="102"/>
      <c r="O805" s="102"/>
      <c r="P805" s="102"/>
      <c r="Q805" s="102"/>
      <c r="R805" s="102"/>
      <c r="S805" s="102"/>
      <c r="T805" s="102"/>
      <c r="U805" s="102"/>
    </row>
    <row r="806" spans="3:21" ht="12.75">
      <c r="C806" s="121"/>
      <c r="D806" s="111"/>
      <c r="E806" s="137">
        <f t="shared" si="3"/>
        <v>0</v>
      </c>
      <c r="F806" s="102"/>
      <c r="G806" s="102"/>
      <c r="H806" s="102"/>
      <c r="I806" s="102"/>
      <c r="J806" s="102"/>
      <c r="K806" s="102"/>
      <c r="L806" s="102"/>
      <c r="M806" s="102"/>
      <c r="N806" s="102"/>
      <c r="O806" s="102"/>
      <c r="P806" s="102"/>
      <c r="Q806" s="102"/>
      <c r="R806" s="102"/>
      <c r="S806" s="102"/>
      <c r="T806" s="102"/>
      <c r="U806" s="102"/>
    </row>
    <row r="807" spans="3:21" ht="12.75">
      <c r="C807" s="121"/>
      <c r="D807" s="111"/>
      <c r="E807" s="137">
        <f t="shared" si="3"/>
        <v>0</v>
      </c>
      <c r="F807" s="102"/>
      <c r="G807" s="102"/>
      <c r="H807" s="102"/>
      <c r="I807" s="102"/>
      <c r="J807" s="102"/>
      <c r="K807" s="102"/>
      <c r="L807" s="102"/>
      <c r="M807" s="102"/>
      <c r="N807" s="102"/>
      <c r="O807" s="102"/>
      <c r="P807" s="102"/>
      <c r="Q807" s="102"/>
      <c r="R807" s="102"/>
      <c r="S807" s="102"/>
      <c r="T807" s="102"/>
      <c r="U807" s="102"/>
    </row>
    <row r="808" spans="3:21" ht="12.75">
      <c r="C808" s="121"/>
      <c r="D808" s="111"/>
      <c r="E808" s="137">
        <f t="shared" si="3"/>
        <v>0</v>
      </c>
      <c r="F808" s="102"/>
      <c r="G808" s="102"/>
      <c r="H808" s="102"/>
      <c r="I808" s="102"/>
      <c r="J808" s="102"/>
      <c r="K808" s="102"/>
      <c r="L808" s="102"/>
      <c r="M808" s="102"/>
      <c r="N808" s="102"/>
      <c r="O808" s="102"/>
      <c r="P808" s="102"/>
      <c r="Q808" s="102"/>
      <c r="R808" s="102"/>
      <c r="S808" s="102"/>
      <c r="T808" s="102"/>
      <c r="U808" s="102"/>
    </row>
    <row r="809" spans="3:21" ht="12.75">
      <c r="C809" s="121"/>
      <c r="D809" s="111"/>
      <c r="E809" s="137">
        <f t="shared" si="3"/>
        <v>0</v>
      </c>
      <c r="F809" s="102"/>
      <c r="G809" s="102"/>
      <c r="H809" s="102"/>
      <c r="I809" s="102"/>
      <c r="J809" s="102"/>
      <c r="K809" s="102"/>
      <c r="L809" s="102"/>
      <c r="M809" s="102"/>
      <c r="N809" s="102"/>
      <c r="O809" s="102"/>
      <c r="P809" s="102"/>
      <c r="Q809" s="102"/>
      <c r="R809" s="102"/>
      <c r="S809" s="102"/>
      <c r="T809" s="102"/>
      <c r="U809" s="102"/>
    </row>
    <row r="810" spans="3:21" ht="12.75">
      <c r="C810" s="121"/>
      <c r="D810" s="111"/>
      <c r="E810" s="137">
        <f t="shared" si="3"/>
        <v>0</v>
      </c>
      <c r="F810" s="102"/>
      <c r="G810" s="102"/>
      <c r="H810" s="102"/>
      <c r="I810" s="102"/>
      <c r="J810" s="102"/>
      <c r="K810" s="102"/>
      <c r="L810" s="102"/>
      <c r="M810" s="102"/>
      <c r="N810" s="102"/>
      <c r="O810" s="102"/>
      <c r="P810" s="102"/>
      <c r="Q810" s="102"/>
      <c r="R810" s="102"/>
      <c r="S810" s="102"/>
      <c r="T810" s="102"/>
      <c r="U810" s="102"/>
    </row>
    <row r="811" spans="3:21" ht="12.75">
      <c r="C811" s="121"/>
      <c r="D811" s="111"/>
      <c r="E811" s="137">
        <f t="shared" si="3"/>
        <v>0</v>
      </c>
      <c r="F811" s="102"/>
      <c r="G811" s="102"/>
      <c r="H811" s="102"/>
      <c r="I811" s="102"/>
      <c r="J811" s="102"/>
      <c r="K811" s="102"/>
      <c r="L811" s="102"/>
      <c r="M811" s="102"/>
      <c r="N811" s="102"/>
      <c r="O811" s="102"/>
      <c r="P811" s="102"/>
      <c r="Q811" s="102"/>
      <c r="R811" s="102"/>
      <c r="S811" s="102"/>
      <c r="T811" s="102"/>
      <c r="U811" s="102"/>
    </row>
    <row r="812" spans="3:21" ht="12.75">
      <c r="C812" s="121"/>
      <c r="D812" s="111"/>
      <c r="E812" s="137">
        <f t="shared" si="3"/>
        <v>0</v>
      </c>
      <c r="F812" s="102"/>
      <c r="G812" s="102"/>
      <c r="H812" s="102"/>
      <c r="I812" s="102"/>
      <c r="J812" s="102"/>
      <c r="K812" s="102"/>
      <c r="L812" s="102"/>
      <c r="M812" s="102"/>
      <c r="N812" s="102"/>
      <c r="O812" s="102"/>
      <c r="P812" s="102"/>
      <c r="Q812" s="102"/>
      <c r="R812" s="102"/>
      <c r="S812" s="102"/>
      <c r="T812" s="102"/>
      <c r="U812" s="102"/>
    </row>
    <row r="813" spans="3:21" ht="12.75">
      <c r="C813" s="121"/>
      <c r="D813" s="111"/>
      <c r="E813" s="137">
        <f t="shared" si="3"/>
        <v>0</v>
      </c>
      <c r="F813" s="102"/>
      <c r="G813" s="102"/>
      <c r="H813" s="102"/>
      <c r="I813" s="102"/>
      <c r="J813" s="102"/>
      <c r="K813" s="102"/>
      <c r="L813" s="102"/>
      <c r="M813" s="102"/>
      <c r="N813" s="102"/>
      <c r="O813" s="102"/>
      <c r="P813" s="102"/>
      <c r="Q813" s="102"/>
      <c r="R813" s="102"/>
      <c r="S813" s="102"/>
      <c r="T813" s="102"/>
      <c r="U813" s="102"/>
    </row>
    <row r="814" spans="3:21" ht="12.75">
      <c r="C814" s="121"/>
      <c r="D814" s="111"/>
      <c r="E814" s="137">
        <f t="shared" si="3"/>
        <v>0</v>
      </c>
      <c r="F814" s="102"/>
      <c r="G814" s="102"/>
      <c r="H814" s="102"/>
      <c r="I814" s="102"/>
      <c r="J814" s="102"/>
      <c r="K814" s="102"/>
      <c r="L814" s="102"/>
      <c r="M814" s="102"/>
      <c r="N814" s="102"/>
      <c r="O814" s="102"/>
      <c r="P814" s="102"/>
      <c r="Q814" s="102"/>
      <c r="R814" s="102"/>
      <c r="S814" s="102"/>
      <c r="T814" s="102"/>
      <c r="U814" s="102"/>
    </row>
    <row r="815" spans="3:21" ht="12.75">
      <c r="C815" s="121"/>
      <c r="D815" s="111"/>
      <c r="E815" s="137">
        <f t="shared" si="3"/>
        <v>0</v>
      </c>
      <c r="F815" s="102"/>
      <c r="G815" s="102"/>
      <c r="H815" s="102"/>
      <c r="I815" s="102"/>
      <c r="J815" s="102"/>
      <c r="K815" s="102"/>
      <c r="L815" s="102"/>
      <c r="M815" s="102"/>
      <c r="N815" s="102"/>
      <c r="O815" s="102"/>
      <c r="P815" s="102"/>
      <c r="Q815" s="102"/>
      <c r="R815" s="102"/>
      <c r="S815" s="102"/>
      <c r="T815" s="102"/>
      <c r="U815" s="102"/>
    </row>
    <row r="816" spans="3:21" ht="12.75">
      <c r="C816" s="121"/>
      <c r="D816" s="111"/>
      <c r="E816" s="137">
        <f t="shared" si="3"/>
        <v>0</v>
      </c>
      <c r="F816" s="102"/>
      <c r="G816" s="102"/>
      <c r="H816" s="102"/>
      <c r="I816" s="102"/>
      <c r="J816" s="102"/>
      <c r="K816" s="102"/>
      <c r="L816" s="102"/>
      <c r="M816" s="102"/>
      <c r="N816" s="102"/>
      <c r="O816" s="102"/>
      <c r="P816" s="102"/>
      <c r="Q816" s="102"/>
      <c r="R816" s="102"/>
      <c r="S816" s="102"/>
      <c r="T816" s="102"/>
      <c r="U816" s="102"/>
    </row>
    <row r="817" spans="3:21" ht="12.75">
      <c r="C817" s="121"/>
      <c r="D817" s="111"/>
      <c r="E817" s="137">
        <f t="shared" si="3"/>
        <v>0</v>
      </c>
      <c r="F817" s="102"/>
      <c r="G817" s="102"/>
      <c r="H817" s="102"/>
      <c r="I817" s="102"/>
      <c r="J817" s="102"/>
      <c r="K817" s="102"/>
      <c r="L817" s="102"/>
      <c r="M817" s="102"/>
      <c r="N817" s="102"/>
      <c r="O817" s="102"/>
      <c r="P817" s="102"/>
      <c r="Q817" s="102"/>
      <c r="R817" s="102"/>
      <c r="S817" s="102"/>
      <c r="T817" s="102"/>
      <c r="U817" s="102"/>
    </row>
    <row r="818" spans="3:21" ht="12.75">
      <c r="C818" s="121"/>
      <c r="D818" s="111"/>
      <c r="E818" s="137">
        <f t="shared" si="3"/>
        <v>0</v>
      </c>
      <c r="F818" s="102"/>
      <c r="G818" s="102"/>
      <c r="H818" s="102"/>
      <c r="I818" s="102"/>
      <c r="J818" s="102"/>
      <c r="K818" s="102"/>
      <c r="L818" s="102"/>
      <c r="M818" s="102"/>
      <c r="N818" s="102"/>
      <c r="O818" s="102"/>
      <c r="P818" s="102"/>
      <c r="Q818" s="102"/>
      <c r="R818" s="102"/>
      <c r="S818" s="102"/>
      <c r="T818" s="102"/>
      <c r="U818" s="102"/>
    </row>
    <row r="819" spans="3:21" ht="12.75">
      <c r="C819" s="121"/>
      <c r="D819" s="111"/>
      <c r="E819" s="137">
        <f t="shared" si="3"/>
        <v>0</v>
      </c>
      <c r="F819" s="102"/>
      <c r="G819" s="102"/>
      <c r="H819" s="102"/>
      <c r="I819" s="102"/>
      <c r="J819" s="102"/>
      <c r="K819" s="102"/>
      <c r="L819" s="102"/>
      <c r="M819" s="102"/>
      <c r="N819" s="102"/>
      <c r="O819" s="102"/>
      <c r="P819" s="102"/>
      <c r="Q819" s="102"/>
      <c r="R819" s="102"/>
      <c r="S819" s="102"/>
      <c r="T819" s="102"/>
      <c r="U819" s="102"/>
    </row>
    <row r="820" spans="3:21" ht="12.75">
      <c r="C820" s="121"/>
      <c r="D820" s="111"/>
      <c r="E820" s="137">
        <f t="shared" si="3"/>
        <v>0</v>
      </c>
      <c r="F820" s="102"/>
      <c r="G820" s="102"/>
      <c r="H820" s="102"/>
      <c r="I820" s="102"/>
      <c r="J820" s="102"/>
      <c r="K820" s="102"/>
      <c r="L820" s="102"/>
      <c r="M820" s="102"/>
      <c r="N820" s="102"/>
      <c r="O820" s="102"/>
      <c r="P820" s="102"/>
      <c r="Q820" s="102"/>
      <c r="R820" s="102"/>
      <c r="S820" s="102"/>
      <c r="T820" s="102"/>
      <c r="U820" s="102"/>
    </row>
    <row r="821" spans="3:21" ht="12.75">
      <c r="C821" s="121"/>
      <c r="D821" s="111"/>
      <c r="E821" s="137">
        <f t="shared" si="3"/>
        <v>0</v>
      </c>
      <c r="F821" s="102"/>
      <c r="G821" s="102"/>
      <c r="H821" s="102"/>
      <c r="I821" s="102"/>
      <c r="J821" s="102"/>
      <c r="K821" s="102"/>
      <c r="L821" s="102"/>
      <c r="M821" s="102"/>
      <c r="N821" s="102"/>
      <c r="O821" s="102"/>
      <c r="P821" s="102"/>
      <c r="Q821" s="102"/>
      <c r="R821" s="102"/>
      <c r="S821" s="102"/>
      <c r="T821" s="102"/>
      <c r="U821" s="102"/>
    </row>
    <row r="822" spans="3:21" ht="12.75">
      <c r="C822" s="121"/>
      <c r="D822" s="111"/>
      <c r="E822" s="137">
        <f t="shared" si="3"/>
        <v>0</v>
      </c>
      <c r="F822" s="102"/>
      <c r="G822" s="102"/>
      <c r="H822" s="102"/>
      <c r="I822" s="102"/>
      <c r="J822" s="102"/>
      <c r="K822" s="102"/>
      <c r="L822" s="102"/>
      <c r="M822" s="102"/>
      <c r="N822" s="102"/>
      <c r="O822" s="102"/>
      <c r="P822" s="102"/>
      <c r="Q822" s="102"/>
      <c r="R822" s="102"/>
      <c r="S822" s="102"/>
      <c r="T822" s="102"/>
      <c r="U822" s="102"/>
    </row>
    <row r="823" spans="3:21" ht="12.75">
      <c r="C823" s="121"/>
      <c r="D823" s="111"/>
      <c r="E823" s="137">
        <f t="shared" si="3"/>
        <v>0</v>
      </c>
      <c r="F823" s="102"/>
      <c r="G823" s="102"/>
      <c r="H823" s="102"/>
      <c r="I823" s="102"/>
      <c r="J823" s="102"/>
      <c r="K823" s="102"/>
      <c r="L823" s="102"/>
      <c r="M823" s="102"/>
      <c r="N823" s="102"/>
      <c r="O823" s="102"/>
      <c r="P823" s="102"/>
      <c r="Q823" s="102"/>
      <c r="R823" s="102"/>
      <c r="S823" s="102"/>
      <c r="T823" s="102"/>
      <c r="U823" s="102"/>
    </row>
    <row r="824" spans="3:21" ht="12.75">
      <c r="C824" s="121"/>
      <c r="D824" s="111"/>
      <c r="E824" s="137">
        <f t="shared" si="3"/>
        <v>0</v>
      </c>
      <c r="F824" s="102"/>
      <c r="G824" s="102"/>
      <c r="H824" s="102"/>
      <c r="I824" s="102"/>
      <c r="J824" s="102"/>
      <c r="K824" s="102"/>
      <c r="L824" s="102"/>
      <c r="M824" s="102"/>
      <c r="N824" s="102"/>
      <c r="O824" s="102"/>
      <c r="P824" s="102"/>
      <c r="Q824" s="102"/>
      <c r="R824" s="102"/>
      <c r="S824" s="102"/>
      <c r="T824" s="102"/>
      <c r="U824" s="102"/>
    </row>
    <row r="825" spans="3:21" ht="12.75">
      <c r="C825" s="121"/>
      <c r="D825" s="111"/>
      <c r="E825" s="137">
        <f t="shared" si="3"/>
        <v>0</v>
      </c>
      <c r="F825" s="102"/>
      <c r="G825" s="102"/>
      <c r="H825" s="102"/>
      <c r="I825" s="102"/>
      <c r="J825" s="102"/>
      <c r="K825" s="102"/>
      <c r="L825" s="102"/>
      <c r="M825" s="102"/>
      <c r="N825" s="102"/>
      <c r="O825" s="102"/>
      <c r="P825" s="102"/>
      <c r="Q825" s="102"/>
      <c r="R825" s="102"/>
      <c r="S825" s="102"/>
      <c r="T825" s="102"/>
      <c r="U825" s="102"/>
    </row>
    <row r="826" spans="3:21" ht="12.75">
      <c r="C826" s="121"/>
      <c r="D826" s="111"/>
      <c r="E826" s="137">
        <f t="shared" si="3"/>
        <v>0</v>
      </c>
      <c r="F826" s="102"/>
      <c r="G826" s="102"/>
      <c r="H826" s="102"/>
      <c r="I826" s="102"/>
      <c r="J826" s="102"/>
      <c r="K826" s="102"/>
      <c r="L826" s="102"/>
      <c r="M826" s="102"/>
      <c r="N826" s="102"/>
      <c r="O826" s="102"/>
      <c r="P826" s="102"/>
      <c r="Q826" s="102"/>
      <c r="R826" s="102"/>
      <c r="S826" s="102"/>
      <c r="T826" s="102"/>
      <c r="U826" s="102"/>
    </row>
    <row r="827" spans="3:21" ht="12.75">
      <c r="C827" s="121"/>
      <c r="D827" s="111"/>
      <c r="E827" s="137">
        <f t="shared" si="3"/>
        <v>0</v>
      </c>
      <c r="F827" s="102"/>
      <c r="G827" s="102"/>
      <c r="H827" s="102"/>
      <c r="I827" s="102"/>
      <c r="J827" s="102"/>
      <c r="K827" s="102"/>
      <c r="L827" s="102"/>
      <c r="M827" s="102"/>
      <c r="N827" s="102"/>
      <c r="O827" s="102"/>
      <c r="P827" s="102"/>
      <c r="Q827" s="102"/>
      <c r="R827" s="102"/>
      <c r="S827" s="102"/>
      <c r="T827" s="102"/>
      <c r="U827" s="102"/>
    </row>
    <row r="828" spans="3:21" ht="12.75">
      <c r="C828" s="121"/>
      <c r="D828" s="111"/>
      <c r="E828" s="137">
        <f t="shared" si="3"/>
        <v>0</v>
      </c>
      <c r="F828" s="102"/>
      <c r="G828" s="102"/>
      <c r="H828" s="102"/>
      <c r="I828" s="102"/>
      <c r="J828" s="102"/>
      <c r="K828" s="102"/>
      <c r="L828" s="102"/>
      <c r="M828" s="102"/>
      <c r="N828" s="102"/>
      <c r="O828" s="102"/>
      <c r="P828" s="102"/>
      <c r="Q828" s="102"/>
      <c r="R828" s="102"/>
      <c r="S828" s="102"/>
      <c r="T828" s="102"/>
      <c r="U828" s="102"/>
    </row>
    <row r="829" spans="3:21" ht="12.75">
      <c r="C829" s="121"/>
      <c r="D829" s="111"/>
      <c r="E829" s="137">
        <f t="shared" si="3"/>
        <v>0</v>
      </c>
      <c r="F829" s="102"/>
      <c r="G829" s="102"/>
      <c r="H829" s="102"/>
      <c r="I829" s="102"/>
      <c r="J829" s="102"/>
      <c r="K829" s="102"/>
      <c r="L829" s="102"/>
      <c r="M829" s="102"/>
      <c r="N829" s="102"/>
      <c r="O829" s="102"/>
      <c r="P829" s="102"/>
      <c r="Q829" s="102"/>
      <c r="R829" s="102"/>
      <c r="S829" s="102"/>
      <c r="T829" s="102"/>
      <c r="U829" s="102"/>
    </row>
    <row r="830" spans="3:21" ht="12.75">
      <c r="C830" s="121"/>
      <c r="D830" s="111"/>
      <c r="E830" s="137">
        <f t="shared" si="3"/>
        <v>0</v>
      </c>
      <c r="F830" s="102"/>
      <c r="G830" s="102"/>
      <c r="H830" s="102"/>
      <c r="I830" s="102"/>
      <c r="J830" s="102"/>
      <c r="K830" s="102"/>
      <c r="L830" s="102"/>
      <c r="M830" s="102"/>
      <c r="N830" s="102"/>
      <c r="O830" s="102"/>
      <c r="P830" s="102"/>
      <c r="Q830" s="102"/>
      <c r="R830" s="102"/>
      <c r="S830" s="102"/>
      <c r="T830" s="102"/>
      <c r="U830" s="102"/>
    </row>
    <row r="831" spans="3:21" ht="12.75">
      <c r="C831" s="121"/>
      <c r="D831" s="111"/>
      <c r="E831" s="137">
        <f t="shared" si="3"/>
        <v>0</v>
      </c>
      <c r="F831" s="102"/>
      <c r="G831" s="102"/>
      <c r="H831" s="102"/>
      <c r="I831" s="102"/>
      <c r="J831" s="102"/>
      <c r="K831" s="102"/>
      <c r="L831" s="102"/>
      <c r="M831" s="102"/>
      <c r="N831" s="102"/>
      <c r="O831" s="102"/>
      <c r="P831" s="102"/>
      <c r="Q831" s="102"/>
      <c r="R831" s="102"/>
      <c r="S831" s="102"/>
      <c r="T831" s="102"/>
      <c r="U831" s="102"/>
    </row>
    <row r="832" spans="3:21" ht="12.75">
      <c r="C832" s="121"/>
      <c r="D832" s="111"/>
      <c r="E832" s="137">
        <f t="shared" si="3"/>
        <v>0</v>
      </c>
      <c r="F832" s="102"/>
      <c r="G832" s="102"/>
      <c r="H832" s="102"/>
      <c r="I832" s="102"/>
      <c r="J832" s="102"/>
      <c r="K832" s="102"/>
      <c r="L832" s="102"/>
      <c r="M832" s="102"/>
      <c r="N832" s="102"/>
      <c r="O832" s="102"/>
      <c r="P832" s="102"/>
      <c r="Q832" s="102"/>
      <c r="R832" s="102"/>
      <c r="S832" s="102"/>
      <c r="T832" s="102"/>
      <c r="U832" s="102"/>
    </row>
    <row r="833" spans="3:21" ht="12.75">
      <c r="C833" s="121"/>
      <c r="D833" s="111"/>
      <c r="E833" s="137">
        <f t="shared" si="3"/>
        <v>0</v>
      </c>
      <c r="F833" s="102"/>
      <c r="G833" s="102"/>
      <c r="H833" s="102"/>
      <c r="I833" s="102"/>
      <c r="J833" s="102"/>
      <c r="K833" s="102"/>
      <c r="L833" s="102"/>
      <c r="M833" s="102"/>
      <c r="N833" s="102"/>
      <c r="O833" s="102"/>
      <c r="P833" s="102"/>
      <c r="Q833" s="102"/>
      <c r="R833" s="102"/>
      <c r="S833" s="102"/>
      <c r="T833" s="102"/>
      <c r="U833" s="102"/>
    </row>
    <row r="834" spans="3:21" ht="12.75">
      <c r="C834" s="121"/>
      <c r="D834" s="111"/>
      <c r="E834" s="137">
        <f t="shared" si="3"/>
        <v>0</v>
      </c>
      <c r="F834" s="102"/>
      <c r="G834" s="102"/>
      <c r="H834" s="102"/>
      <c r="I834" s="102"/>
      <c r="J834" s="102"/>
      <c r="K834" s="102"/>
      <c r="L834" s="102"/>
      <c r="M834" s="102"/>
      <c r="N834" s="102"/>
      <c r="O834" s="102"/>
      <c r="P834" s="102"/>
      <c r="Q834" s="102"/>
      <c r="R834" s="102"/>
      <c r="S834" s="102"/>
      <c r="T834" s="102"/>
      <c r="U834" s="102"/>
    </row>
    <row r="835" spans="3:21" ht="12.75">
      <c r="C835" s="121"/>
      <c r="D835" s="111"/>
      <c r="E835" s="137">
        <f t="shared" si="3"/>
        <v>0</v>
      </c>
      <c r="F835" s="102"/>
      <c r="G835" s="102"/>
      <c r="H835" s="102"/>
      <c r="I835" s="102"/>
      <c r="J835" s="102"/>
      <c r="K835" s="102"/>
      <c r="L835" s="102"/>
      <c r="M835" s="102"/>
      <c r="N835" s="102"/>
      <c r="O835" s="102"/>
      <c r="P835" s="102"/>
      <c r="Q835" s="102"/>
      <c r="R835" s="102"/>
      <c r="S835" s="102"/>
      <c r="T835" s="102"/>
      <c r="U835" s="102"/>
    </row>
    <row r="836" spans="3:21" ht="12.75">
      <c r="C836" s="121"/>
      <c r="D836" s="111"/>
      <c r="E836" s="137">
        <f t="shared" si="3"/>
        <v>0</v>
      </c>
      <c r="F836" s="102"/>
      <c r="G836" s="102"/>
      <c r="H836" s="102"/>
      <c r="I836" s="102"/>
      <c r="J836" s="102"/>
      <c r="K836" s="102"/>
      <c r="L836" s="102"/>
      <c r="M836" s="102"/>
      <c r="N836" s="102"/>
      <c r="O836" s="102"/>
      <c r="P836" s="102"/>
      <c r="Q836" s="102"/>
      <c r="R836" s="102"/>
      <c r="S836" s="102"/>
      <c r="T836" s="102"/>
      <c r="U836" s="102"/>
    </row>
    <row r="837" spans="3:21" ht="12.75">
      <c r="C837" s="121"/>
      <c r="D837" s="111"/>
      <c r="E837" s="137">
        <f t="shared" si="3"/>
        <v>0</v>
      </c>
      <c r="F837" s="102"/>
      <c r="G837" s="102"/>
      <c r="H837" s="102"/>
      <c r="I837" s="102"/>
      <c r="J837" s="102"/>
      <c r="K837" s="102"/>
      <c r="L837" s="102"/>
      <c r="M837" s="102"/>
      <c r="N837" s="102"/>
      <c r="O837" s="102"/>
      <c r="P837" s="102"/>
      <c r="Q837" s="102"/>
      <c r="R837" s="102"/>
      <c r="S837" s="102"/>
      <c r="T837" s="102"/>
      <c r="U837" s="102"/>
    </row>
    <row r="838" spans="3:21" ht="12.75">
      <c r="C838" s="121"/>
      <c r="D838" s="111"/>
      <c r="E838" s="137">
        <f t="shared" si="3"/>
        <v>0</v>
      </c>
      <c r="F838" s="102"/>
      <c r="G838" s="102"/>
      <c r="H838" s="102"/>
      <c r="I838" s="102"/>
      <c r="J838" s="102"/>
      <c r="K838" s="102"/>
      <c r="L838" s="102"/>
      <c r="M838" s="102"/>
      <c r="N838" s="102"/>
      <c r="O838" s="102"/>
      <c r="P838" s="102"/>
      <c r="Q838" s="102"/>
      <c r="R838" s="102"/>
      <c r="S838" s="102"/>
      <c r="T838" s="102"/>
      <c r="U838" s="102"/>
    </row>
    <row r="839" spans="3:21" ht="12.75">
      <c r="C839" s="121"/>
      <c r="D839" s="111"/>
      <c r="E839" s="137">
        <f t="shared" si="3"/>
        <v>0</v>
      </c>
      <c r="F839" s="102"/>
      <c r="G839" s="102"/>
      <c r="H839" s="102"/>
      <c r="I839" s="102"/>
      <c r="J839" s="102"/>
      <c r="K839" s="102"/>
      <c r="L839" s="102"/>
      <c r="M839" s="102"/>
      <c r="N839" s="102"/>
      <c r="O839" s="102"/>
      <c r="P839" s="102"/>
      <c r="Q839" s="102"/>
      <c r="R839" s="102"/>
      <c r="S839" s="102"/>
      <c r="T839" s="102"/>
      <c r="U839" s="102"/>
    </row>
    <row r="840" spans="3:21" ht="12.75">
      <c r="C840" s="121"/>
      <c r="D840" s="111"/>
      <c r="E840" s="137">
        <f t="shared" si="3"/>
        <v>0</v>
      </c>
      <c r="F840" s="102"/>
      <c r="G840" s="102"/>
      <c r="H840" s="102"/>
      <c r="I840" s="102"/>
      <c r="J840" s="102"/>
      <c r="K840" s="102"/>
      <c r="L840" s="102"/>
      <c r="M840" s="102"/>
      <c r="N840" s="102"/>
      <c r="O840" s="102"/>
      <c r="P840" s="102"/>
      <c r="Q840" s="102"/>
      <c r="R840" s="102"/>
      <c r="S840" s="102"/>
      <c r="T840" s="102"/>
      <c r="U840" s="102"/>
    </row>
    <row r="841" spans="3:21" ht="12.75">
      <c r="C841" s="121"/>
      <c r="D841" s="111"/>
      <c r="E841" s="137">
        <f t="shared" si="3"/>
        <v>0</v>
      </c>
      <c r="F841" s="102"/>
      <c r="G841" s="102"/>
      <c r="H841" s="102"/>
      <c r="I841" s="102"/>
      <c r="J841" s="102"/>
      <c r="K841" s="102"/>
      <c r="L841" s="102"/>
      <c r="M841" s="102"/>
      <c r="N841" s="102"/>
      <c r="O841" s="102"/>
      <c r="P841" s="102"/>
      <c r="Q841" s="102"/>
      <c r="R841" s="102"/>
      <c r="S841" s="102"/>
      <c r="T841" s="102"/>
      <c r="U841" s="102"/>
    </row>
    <row r="842" spans="3:21" ht="12.75">
      <c r="C842" s="121"/>
      <c r="D842" s="111"/>
      <c r="E842" s="137">
        <f t="shared" si="3"/>
        <v>0</v>
      </c>
      <c r="F842" s="102"/>
      <c r="G842" s="102"/>
      <c r="H842" s="102"/>
      <c r="I842" s="102"/>
      <c r="J842" s="102"/>
      <c r="K842" s="102"/>
      <c r="L842" s="102"/>
      <c r="M842" s="102"/>
      <c r="N842" s="102"/>
      <c r="O842" s="102"/>
      <c r="P842" s="102"/>
      <c r="Q842" s="102"/>
      <c r="R842" s="102"/>
      <c r="S842" s="102"/>
      <c r="T842" s="102"/>
      <c r="U842" s="102"/>
    </row>
    <row r="843" spans="3:21" ht="12.75">
      <c r="C843" s="121"/>
      <c r="D843" s="111"/>
      <c r="E843" s="137">
        <f t="shared" si="3"/>
        <v>0</v>
      </c>
      <c r="F843" s="102"/>
      <c r="G843" s="102"/>
      <c r="H843" s="102"/>
      <c r="I843" s="102"/>
      <c r="J843" s="102"/>
      <c r="K843" s="102"/>
      <c r="L843" s="102"/>
      <c r="M843" s="102"/>
      <c r="N843" s="102"/>
      <c r="O843" s="102"/>
      <c r="P843" s="102"/>
      <c r="Q843" s="102"/>
      <c r="R843" s="102"/>
      <c r="S843" s="102"/>
      <c r="T843" s="102"/>
      <c r="U843" s="102"/>
    </row>
    <row r="844" spans="3:21" ht="12.75">
      <c r="C844" s="121"/>
      <c r="D844" s="111"/>
      <c r="E844" s="137">
        <f t="shared" si="3"/>
        <v>0</v>
      </c>
      <c r="F844" s="102"/>
      <c r="G844" s="102"/>
      <c r="H844" s="102"/>
      <c r="I844" s="102"/>
      <c r="J844" s="102"/>
      <c r="K844" s="102"/>
      <c r="L844" s="102"/>
      <c r="M844" s="102"/>
      <c r="N844" s="102"/>
      <c r="O844" s="102"/>
      <c r="P844" s="102"/>
      <c r="Q844" s="102"/>
      <c r="R844" s="102"/>
      <c r="S844" s="102"/>
      <c r="T844" s="102"/>
      <c r="U844" s="102"/>
    </row>
    <row r="845" spans="3:21" ht="12.75">
      <c r="C845" s="121"/>
      <c r="D845" s="111"/>
      <c r="E845" s="137">
        <f t="shared" si="3"/>
        <v>0</v>
      </c>
      <c r="F845" s="102"/>
      <c r="G845" s="102"/>
      <c r="H845" s="102"/>
      <c r="I845" s="102"/>
      <c r="J845" s="102"/>
      <c r="K845" s="102"/>
      <c r="L845" s="102"/>
      <c r="M845" s="102"/>
      <c r="N845" s="102"/>
      <c r="O845" s="102"/>
      <c r="P845" s="102"/>
      <c r="Q845" s="102"/>
      <c r="R845" s="102"/>
      <c r="S845" s="102"/>
      <c r="T845" s="102"/>
      <c r="U845" s="102"/>
    </row>
    <row r="846" spans="3:21" ht="12.75">
      <c r="C846" s="121"/>
      <c r="D846" s="111"/>
      <c r="E846" s="137">
        <f t="shared" si="3"/>
        <v>0</v>
      </c>
      <c r="F846" s="102"/>
      <c r="G846" s="102"/>
      <c r="H846" s="102"/>
      <c r="I846" s="102"/>
      <c r="J846" s="102"/>
      <c r="K846" s="102"/>
      <c r="L846" s="102"/>
      <c r="M846" s="102"/>
      <c r="N846" s="102"/>
      <c r="O846" s="102"/>
      <c r="P846" s="102"/>
      <c r="Q846" s="102"/>
      <c r="R846" s="102"/>
      <c r="S846" s="102"/>
      <c r="T846" s="102"/>
      <c r="U846" s="102"/>
    </row>
    <row r="847" spans="3:21" ht="12.75">
      <c r="C847" s="121"/>
      <c r="D847" s="111"/>
      <c r="E847" s="137">
        <f t="shared" si="3"/>
        <v>0</v>
      </c>
      <c r="F847" s="102"/>
      <c r="G847" s="102"/>
      <c r="H847" s="102"/>
      <c r="I847" s="102"/>
      <c r="J847" s="102"/>
      <c r="K847" s="102"/>
      <c r="L847" s="102"/>
      <c r="M847" s="102"/>
      <c r="N847" s="102"/>
      <c r="O847" s="102"/>
      <c r="P847" s="102"/>
      <c r="Q847" s="102"/>
      <c r="R847" s="102"/>
      <c r="S847" s="102"/>
      <c r="T847" s="102"/>
      <c r="U847" s="102"/>
    </row>
    <row r="848" spans="3:21" ht="12.75">
      <c r="C848" s="121"/>
      <c r="D848" s="111"/>
      <c r="E848" s="137">
        <f t="shared" si="3"/>
        <v>0</v>
      </c>
      <c r="F848" s="102"/>
      <c r="G848" s="102"/>
      <c r="H848" s="102"/>
      <c r="I848" s="102"/>
      <c r="J848" s="102"/>
      <c r="K848" s="102"/>
      <c r="L848" s="102"/>
      <c r="M848" s="102"/>
      <c r="N848" s="102"/>
      <c r="O848" s="102"/>
      <c r="P848" s="102"/>
      <c r="Q848" s="102"/>
      <c r="R848" s="102"/>
      <c r="S848" s="102"/>
      <c r="T848" s="102"/>
      <c r="U848" s="102"/>
    </row>
    <row r="849" spans="3:21" ht="12.75">
      <c r="C849" s="121"/>
      <c r="D849" s="111"/>
      <c r="E849" s="137">
        <f t="shared" si="3"/>
        <v>0</v>
      </c>
      <c r="F849" s="102"/>
      <c r="G849" s="102"/>
      <c r="H849" s="102"/>
      <c r="I849" s="102"/>
      <c r="J849" s="102"/>
      <c r="K849" s="102"/>
      <c r="L849" s="102"/>
      <c r="M849" s="102"/>
      <c r="N849" s="102"/>
      <c r="O849" s="102"/>
      <c r="P849" s="102"/>
      <c r="Q849" s="102"/>
      <c r="R849" s="102"/>
      <c r="S849" s="102"/>
      <c r="T849" s="102"/>
      <c r="U849" s="102"/>
    </row>
    <row r="850" spans="3:21" ht="12.75">
      <c r="C850" s="121"/>
      <c r="D850" s="111"/>
      <c r="E850" s="137">
        <f t="shared" si="3"/>
        <v>0</v>
      </c>
      <c r="F850" s="102"/>
      <c r="G850" s="102"/>
      <c r="H850" s="102"/>
      <c r="I850" s="102"/>
      <c r="J850" s="102"/>
      <c r="K850" s="102"/>
      <c r="L850" s="102"/>
      <c r="M850" s="102"/>
      <c r="N850" s="102"/>
      <c r="O850" s="102"/>
      <c r="P850" s="102"/>
      <c r="Q850" s="102"/>
      <c r="R850" s="102"/>
      <c r="S850" s="102"/>
      <c r="T850" s="102"/>
      <c r="U850" s="102"/>
    </row>
    <row r="851" spans="3:21" ht="12.75">
      <c r="C851" s="121"/>
      <c r="D851" s="111"/>
      <c r="E851" s="137">
        <f t="shared" si="3"/>
        <v>0</v>
      </c>
      <c r="F851" s="102"/>
      <c r="G851" s="102"/>
      <c r="H851" s="102"/>
      <c r="I851" s="102"/>
      <c r="J851" s="102"/>
      <c r="K851" s="102"/>
      <c r="L851" s="102"/>
      <c r="M851" s="102"/>
      <c r="N851" s="102"/>
      <c r="O851" s="102"/>
      <c r="P851" s="102"/>
      <c r="Q851" s="102"/>
      <c r="R851" s="102"/>
      <c r="S851" s="102"/>
      <c r="T851" s="102"/>
      <c r="U851" s="102"/>
    </row>
    <row r="852" spans="3:21" ht="12.75">
      <c r="C852" s="121"/>
      <c r="D852" s="111"/>
      <c r="E852" s="137">
        <f t="shared" si="3"/>
        <v>0</v>
      </c>
      <c r="F852" s="102"/>
      <c r="G852" s="102"/>
      <c r="H852" s="102"/>
      <c r="I852" s="102"/>
      <c r="J852" s="102"/>
      <c r="K852" s="102"/>
      <c r="L852" s="102"/>
      <c r="M852" s="102"/>
      <c r="N852" s="102"/>
      <c r="O852" s="102"/>
      <c r="P852" s="102"/>
      <c r="Q852" s="102"/>
      <c r="R852" s="102"/>
      <c r="S852" s="102"/>
      <c r="T852" s="102"/>
      <c r="U852" s="102"/>
    </row>
    <row r="853" spans="3:21" ht="12.75">
      <c r="C853" s="121"/>
      <c r="D853" s="111"/>
      <c r="E853" s="137">
        <f t="shared" si="3"/>
        <v>0</v>
      </c>
      <c r="F853" s="102"/>
      <c r="G853" s="102"/>
      <c r="H853" s="102"/>
      <c r="I853" s="102"/>
      <c r="J853" s="102"/>
      <c r="K853" s="102"/>
      <c r="L853" s="102"/>
      <c r="M853" s="102"/>
      <c r="N853" s="102"/>
      <c r="O853" s="102"/>
      <c r="P853" s="102"/>
      <c r="Q853" s="102"/>
      <c r="R853" s="102"/>
      <c r="S853" s="102"/>
      <c r="T853" s="102"/>
      <c r="U853" s="102"/>
    </row>
    <row r="854" spans="3:21" ht="12.75">
      <c r="C854" s="121"/>
      <c r="D854" s="111"/>
      <c r="E854" s="137">
        <f t="shared" si="3"/>
        <v>0</v>
      </c>
      <c r="F854" s="102"/>
      <c r="G854" s="102"/>
      <c r="H854" s="102"/>
      <c r="I854" s="102"/>
      <c r="J854" s="102"/>
      <c r="K854" s="102"/>
      <c r="L854" s="102"/>
      <c r="M854" s="102"/>
      <c r="N854" s="102"/>
      <c r="O854" s="102"/>
      <c r="P854" s="102"/>
      <c r="Q854" s="102"/>
      <c r="R854" s="102"/>
      <c r="S854" s="102"/>
      <c r="T854" s="102"/>
      <c r="U854" s="102"/>
    </row>
    <row r="855" spans="3:21" ht="12.75">
      <c r="C855" s="121"/>
      <c r="D855" s="111"/>
      <c r="E855" s="137">
        <f t="shared" si="3"/>
        <v>0</v>
      </c>
      <c r="F855" s="102"/>
      <c r="G855" s="102"/>
      <c r="H855" s="102"/>
      <c r="I855" s="102"/>
      <c r="J855" s="102"/>
      <c r="K855" s="102"/>
      <c r="L855" s="102"/>
      <c r="M855" s="102"/>
      <c r="N855" s="102"/>
      <c r="O855" s="102"/>
      <c r="P855" s="102"/>
      <c r="Q855" s="102"/>
      <c r="R855" s="102"/>
      <c r="S855" s="102"/>
      <c r="T855" s="102"/>
      <c r="U855" s="102"/>
    </row>
    <row r="856" spans="3:21" ht="12.75">
      <c r="C856" s="121"/>
      <c r="D856" s="111"/>
      <c r="E856" s="137">
        <f t="shared" si="3"/>
        <v>0</v>
      </c>
      <c r="F856" s="102"/>
      <c r="G856" s="102"/>
      <c r="H856" s="102"/>
      <c r="I856" s="102"/>
      <c r="J856" s="102"/>
      <c r="K856" s="102"/>
      <c r="L856" s="102"/>
      <c r="M856" s="102"/>
      <c r="N856" s="102"/>
      <c r="O856" s="102"/>
      <c r="P856" s="102"/>
      <c r="Q856" s="102"/>
      <c r="R856" s="102"/>
      <c r="S856" s="102"/>
      <c r="T856" s="102"/>
      <c r="U856" s="102"/>
    </row>
    <row r="857" spans="3:21" ht="12.75">
      <c r="C857" s="121"/>
      <c r="D857" s="111"/>
      <c r="E857" s="137">
        <f t="shared" si="3"/>
        <v>0</v>
      </c>
      <c r="F857" s="102"/>
      <c r="G857" s="102"/>
      <c r="H857" s="102"/>
      <c r="I857" s="102"/>
      <c r="J857" s="102"/>
      <c r="K857" s="102"/>
      <c r="L857" s="102"/>
      <c r="M857" s="102"/>
      <c r="N857" s="102"/>
      <c r="O857" s="102"/>
      <c r="P857" s="102"/>
      <c r="Q857" s="102"/>
      <c r="R857" s="102"/>
      <c r="S857" s="102"/>
      <c r="T857" s="102"/>
      <c r="U857" s="102"/>
    </row>
    <row r="858" spans="3:21" ht="12.75">
      <c r="C858" s="121"/>
      <c r="D858" s="111"/>
      <c r="E858" s="137">
        <f t="shared" si="3"/>
        <v>0</v>
      </c>
      <c r="F858" s="102"/>
      <c r="G858" s="102"/>
      <c r="H858" s="102"/>
      <c r="I858" s="102"/>
      <c r="J858" s="102"/>
      <c r="K858" s="102"/>
      <c r="L858" s="102"/>
      <c r="M858" s="102"/>
      <c r="N858" s="102"/>
      <c r="O858" s="102"/>
      <c r="P858" s="102"/>
      <c r="Q858" s="102"/>
      <c r="R858" s="102"/>
      <c r="S858" s="102"/>
      <c r="T858" s="102"/>
      <c r="U858" s="102"/>
    </row>
    <row r="859" spans="3:21" ht="12.75">
      <c r="C859" s="121"/>
      <c r="D859" s="111"/>
      <c r="E859" s="137">
        <f t="shared" si="3"/>
        <v>0</v>
      </c>
      <c r="F859" s="102"/>
      <c r="G859" s="102"/>
      <c r="H859" s="102"/>
      <c r="I859" s="102"/>
      <c r="J859" s="102"/>
      <c r="K859" s="102"/>
      <c r="L859" s="102"/>
      <c r="M859" s="102"/>
      <c r="N859" s="102"/>
      <c r="O859" s="102"/>
      <c r="P859" s="102"/>
      <c r="Q859" s="102"/>
      <c r="R859" s="102"/>
      <c r="S859" s="102"/>
      <c r="T859" s="102"/>
      <c r="U859" s="102"/>
    </row>
    <row r="860" spans="3:21" ht="12.75">
      <c r="C860" s="121"/>
      <c r="D860" s="111"/>
      <c r="E860" s="137">
        <f t="shared" si="3"/>
        <v>0</v>
      </c>
      <c r="F860" s="102"/>
      <c r="G860" s="102"/>
      <c r="H860" s="102"/>
      <c r="I860" s="102"/>
      <c r="J860" s="102"/>
      <c r="K860" s="102"/>
      <c r="L860" s="102"/>
      <c r="M860" s="102"/>
      <c r="N860" s="102"/>
      <c r="O860" s="102"/>
      <c r="P860" s="102"/>
      <c r="Q860" s="102"/>
      <c r="R860" s="102"/>
      <c r="S860" s="102"/>
      <c r="T860" s="102"/>
      <c r="U860" s="102"/>
    </row>
    <row r="861" spans="3:21" ht="12.75">
      <c r="C861" s="121"/>
      <c r="D861" s="111"/>
      <c r="E861" s="137">
        <f t="shared" si="3"/>
        <v>0</v>
      </c>
      <c r="F861" s="102"/>
      <c r="G861" s="102"/>
      <c r="H861" s="102"/>
      <c r="I861" s="102"/>
      <c r="J861" s="102"/>
      <c r="K861" s="102"/>
      <c r="L861" s="102"/>
      <c r="M861" s="102"/>
      <c r="N861" s="102"/>
      <c r="O861" s="102"/>
      <c r="P861" s="102"/>
      <c r="Q861" s="102"/>
      <c r="R861" s="102"/>
      <c r="S861" s="102"/>
      <c r="T861" s="102"/>
      <c r="U861" s="102"/>
    </row>
    <row r="862" spans="3:21" ht="12.75">
      <c r="C862" s="121"/>
      <c r="D862" s="111"/>
      <c r="E862" s="137">
        <f t="shared" si="3"/>
        <v>0</v>
      </c>
      <c r="F862" s="102"/>
      <c r="G862" s="102"/>
      <c r="H862" s="102"/>
      <c r="I862" s="102"/>
      <c r="J862" s="102"/>
      <c r="K862" s="102"/>
      <c r="L862" s="102"/>
      <c r="M862" s="102"/>
      <c r="N862" s="102"/>
      <c r="O862" s="102"/>
      <c r="P862" s="102"/>
      <c r="Q862" s="102"/>
      <c r="R862" s="102"/>
      <c r="S862" s="102"/>
      <c r="T862" s="102"/>
      <c r="U862" s="102"/>
    </row>
    <row r="863" spans="3:21" ht="12.75">
      <c r="C863" s="121"/>
      <c r="D863" s="111"/>
      <c r="E863" s="137">
        <f t="shared" si="3"/>
        <v>0</v>
      </c>
      <c r="F863" s="102"/>
      <c r="G863" s="102"/>
      <c r="H863" s="102"/>
      <c r="I863" s="102"/>
      <c r="J863" s="102"/>
      <c r="K863" s="102"/>
      <c r="L863" s="102"/>
      <c r="M863" s="102"/>
      <c r="N863" s="102"/>
      <c r="O863" s="102"/>
      <c r="P863" s="102"/>
      <c r="Q863" s="102"/>
      <c r="R863" s="102"/>
      <c r="S863" s="102"/>
      <c r="T863" s="102"/>
      <c r="U863" s="102"/>
    </row>
    <row r="864" spans="3:21" ht="12.75">
      <c r="C864" s="121"/>
      <c r="D864" s="111"/>
      <c r="E864" s="137">
        <f t="shared" si="3"/>
        <v>0</v>
      </c>
      <c r="F864" s="102"/>
      <c r="G864" s="102"/>
      <c r="H864" s="102"/>
      <c r="I864" s="102"/>
      <c r="J864" s="102"/>
      <c r="K864" s="102"/>
      <c r="L864" s="102"/>
      <c r="M864" s="102"/>
      <c r="N864" s="102"/>
      <c r="O864" s="102"/>
      <c r="P864" s="102"/>
      <c r="Q864" s="102"/>
      <c r="R864" s="102"/>
      <c r="S864" s="102"/>
      <c r="T864" s="102"/>
      <c r="U864" s="102"/>
    </row>
    <row r="865" spans="3:21" ht="12.75">
      <c r="C865" s="121"/>
      <c r="D865" s="111"/>
      <c r="E865" s="137">
        <f t="shared" si="3"/>
        <v>0</v>
      </c>
      <c r="F865" s="102"/>
      <c r="G865" s="102"/>
      <c r="H865" s="102"/>
      <c r="I865" s="102"/>
      <c r="J865" s="102"/>
      <c r="K865" s="102"/>
      <c r="L865" s="102"/>
      <c r="M865" s="102"/>
      <c r="N865" s="102"/>
      <c r="O865" s="102"/>
      <c r="P865" s="102"/>
      <c r="Q865" s="102"/>
      <c r="R865" s="102"/>
      <c r="S865" s="102"/>
      <c r="T865" s="102"/>
      <c r="U865" s="102"/>
    </row>
    <row r="866" spans="3:21" ht="12.75">
      <c r="C866" s="121"/>
      <c r="D866" s="111"/>
      <c r="E866" s="137">
        <f t="shared" si="3"/>
        <v>0</v>
      </c>
      <c r="F866" s="102"/>
      <c r="G866" s="102"/>
      <c r="H866" s="102"/>
      <c r="I866" s="102"/>
      <c r="J866" s="102"/>
      <c r="K866" s="102"/>
      <c r="L866" s="102"/>
      <c r="M866" s="102"/>
      <c r="N866" s="102"/>
      <c r="O866" s="102"/>
      <c r="P866" s="102"/>
      <c r="Q866" s="102"/>
      <c r="R866" s="102"/>
      <c r="S866" s="102"/>
      <c r="T866" s="102"/>
      <c r="U866" s="102"/>
    </row>
    <row r="867" spans="3:21" ht="12.75">
      <c r="C867" s="121"/>
      <c r="D867" s="111"/>
      <c r="E867" s="137">
        <f t="shared" si="3"/>
        <v>0</v>
      </c>
      <c r="F867" s="102"/>
      <c r="G867" s="102"/>
      <c r="H867" s="102"/>
      <c r="I867" s="102"/>
      <c r="J867" s="102"/>
      <c r="K867" s="102"/>
      <c r="L867" s="102"/>
      <c r="M867" s="102"/>
      <c r="N867" s="102"/>
      <c r="O867" s="102"/>
      <c r="P867" s="102"/>
      <c r="Q867" s="102"/>
      <c r="R867" s="102"/>
      <c r="S867" s="102"/>
      <c r="T867" s="102"/>
      <c r="U867" s="102"/>
    </row>
    <row r="868" spans="3:21" ht="12.75">
      <c r="C868" s="121"/>
      <c r="D868" s="111"/>
      <c r="E868" s="137">
        <f t="shared" si="3"/>
        <v>0</v>
      </c>
      <c r="F868" s="102"/>
      <c r="G868" s="102"/>
      <c r="H868" s="102"/>
      <c r="I868" s="102"/>
      <c r="J868" s="102"/>
      <c r="K868" s="102"/>
      <c r="L868" s="102"/>
      <c r="M868" s="102"/>
      <c r="N868" s="102"/>
      <c r="O868" s="102"/>
      <c r="P868" s="102"/>
      <c r="Q868" s="102"/>
      <c r="R868" s="102"/>
      <c r="S868" s="102"/>
      <c r="T868" s="102"/>
      <c r="U868" s="102"/>
    </row>
    <row r="869" spans="3:21" ht="12.75">
      <c r="C869" s="121"/>
      <c r="D869" s="111"/>
      <c r="E869" s="137">
        <f t="shared" si="3"/>
        <v>0</v>
      </c>
      <c r="F869" s="102"/>
      <c r="G869" s="102"/>
      <c r="H869" s="102"/>
      <c r="I869" s="102"/>
      <c r="J869" s="102"/>
      <c r="K869" s="102"/>
      <c r="L869" s="102"/>
      <c r="M869" s="102"/>
      <c r="N869" s="102"/>
      <c r="O869" s="102"/>
      <c r="P869" s="102"/>
      <c r="Q869" s="102"/>
      <c r="R869" s="102"/>
      <c r="S869" s="102"/>
      <c r="T869" s="102"/>
      <c r="U869" s="102"/>
    </row>
    <row r="870" spans="3:21" ht="12.75">
      <c r="C870" s="121"/>
      <c r="D870" s="111"/>
      <c r="E870" s="137">
        <f t="shared" si="3"/>
        <v>0</v>
      </c>
      <c r="F870" s="102"/>
      <c r="G870" s="102"/>
      <c r="H870" s="102"/>
      <c r="I870" s="102"/>
      <c r="J870" s="102"/>
      <c r="K870" s="102"/>
      <c r="L870" s="102"/>
      <c r="M870" s="102"/>
      <c r="N870" s="102"/>
      <c r="O870" s="102"/>
      <c r="P870" s="102"/>
      <c r="Q870" s="102"/>
      <c r="R870" s="102"/>
      <c r="S870" s="102"/>
      <c r="T870" s="102"/>
      <c r="U870" s="102"/>
    </row>
    <row r="871" spans="3:21" ht="12.75">
      <c r="C871" s="121"/>
      <c r="D871" s="111"/>
      <c r="E871" s="137">
        <f t="shared" si="3"/>
        <v>0</v>
      </c>
      <c r="F871" s="102"/>
      <c r="G871" s="102"/>
      <c r="H871" s="102"/>
      <c r="I871" s="102"/>
      <c r="J871" s="102"/>
      <c r="K871" s="102"/>
      <c r="L871" s="102"/>
      <c r="M871" s="102"/>
      <c r="N871" s="102"/>
      <c r="O871" s="102"/>
      <c r="P871" s="102"/>
      <c r="Q871" s="102"/>
      <c r="R871" s="102"/>
      <c r="S871" s="102"/>
      <c r="T871" s="102"/>
      <c r="U871" s="102"/>
    </row>
    <row r="872" spans="3:21" ht="12.75">
      <c r="C872" s="121"/>
      <c r="D872" s="111"/>
      <c r="E872" s="137">
        <f t="shared" si="3"/>
        <v>0</v>
      </c>
      <c r="F872" s="102"/>
      <c r="G872" s="102"/>
      <c r="H872" s="102"/>
      <c r="I872" s="102"/>
      <c r="J872" s="102"/>
      <c r="K872" s="102"/>
      <c r="L872" s="102"/>
      <c r="M872" s="102"/>
      <c r="N872" s="102"/>
      <c r="O872" s="102"/>
      <c r="P872" s="102"/>
      <c r="Q872" s="102"/>
      <c r="R872" s="102"/>
      <c r="S872" s="102"/>
      <c r="T872" s="102"/>
      <c r="U872" s="102"/>
    </row>
    <row r="873" spans="3:21" ht="12.75">
      <c r="C873" s="121"/>
      <c r="D873" s="111"/>
      <c r="E873" s="137">
        <f t="shared" si="3"/>
        <v>0</v>
      </c>
      <c r="F873" s="102"/>
      <c r="G873" s="102"/>
      <c r="H873" s="102"/>
      <c r="I873" s="102"/>
      <c r="J873" s="102"/>
      <c r="K873" s="102"/>
      <c r="L873" s="102"/>
      <c r="M873" s="102"/>
      <c r="N873" s="102"/>
      <c r="O873" s="102"/>
      <c r="P873" s="102"/>
      <c r="Q873" s="102"/>
      <c r="R873" s="102"/>
      <c r="S873" s="102"/>
      <c r="T873" s="102"/>
      <c r="U873" s="102"/>
    </row>
    <row r="874" spans="3:21" ht="12.75">
      <c r="C874" s="121"/>
      <c r="D874" s="111"/>
      <c r="E874" s="137">
        <f t="shared" si="3"/>
        <v>0</v>
      </c>
      <c r="F874" s="102"/>
      <c r="G874" s="102"/>
      <c r="H874" s="102"/>
      <c r="I874" s="102"/>
      <c r="J874" s="102"/>
      <c r="K874" s="102"/>
      <c r="L874" s="102"/>
      <c r="M874" s="102"/>
      <c r="N874" s="102"/>
      <c r="O874" s="102"/>
      <c r="P874" s="102"/>
      <c r="Q874" s="102"/>
      <c r="R874" s="102"/>
      <c r="S874" s="102"/>
      <c r="T874" s="102"/>
      <c r="U874" s="102"/>
    </row>
    <row r="875" spans="3:21" ht="12.75">
      <c r="C875" s="121"/>
      <c r="D875" s="111"/>
      <c r="E875" s="137">
        <f t="shared" si="3"/>
        <v>0</v>
      </c>
      <c r="F875" s="102"/>
      <c r="G875" s="102"/>
      <c r="H875" s="102"/>
      <c r="I875" s="102"/>
      <c r="J875" s="102"/>
      <c r="K875" s="102"/>
      <c r="L875" s="102"/>
      <c r="M875" s="102"/>
      <c r="N875" s="102"/>
      <c r="O875" s="102"/>
      <c r="P875" s="102"/>
      <c r="Q875" s="102"/>
      <c r="R875" s="102"/>
      <c r="S875" s="102"/>
      <c r="T875" s="102"/>
      <c r="U875" s="102"/>
    </row>
    <row r="876" spans="3:21" ht="12.75">
      <c r="C876" s="121"/>
      <c r="D876" s="111"/>
      <c r="E876" s="137">
        <f t="shared" si="3"/>
        <v>0</v>
      </c>
      <c r="F876" s="102"/>
      <c r="G876" s="102"/>
      <c r="H876" s="102"/>
      <c r="I876" s="102"/>
      <c r="J876" s="102"/>
      <c r="K876" s="102"/>
      <c r="L876" s="102"/>
      <c r="M876" s="102"/>
      <c r="N876" s="102"/>
      <c r="O876" s="102"/>
      <c r="P876" s="102"/>
      <c r="Q876" s="102"/>
      <c r="R876" s="102"/>
      <c r="S876" s="102"/>
      <c r="T876" s="102"/>
      <c r="U876" s="102"/>
    </row>
    <row r="877" spans="3:21" ht="12.75">
      <c r="C877" s="121"/>
      <c r="D877" s="111"/>
      <c r="E877" s="137">
        <f t="shared" si="3"/>
        <v>0</v>
      </c>
      <c r="F877" s="102"/>
      <c r="G877" s="102"/>
      <c r="H877" s="102"/>
      <c r="I877" s="102"/>
      <c r="J877" s="102"/>
      <c r="K877" s="102"/>
      <c r="L877" s="102"/>
      <c r="M877" s="102"/>
      <c r="N877" s="102"/>
      <c r="O877" s="102"/>
      <c r="P877" s="102"/>
      <c r="Q877" s="102"/>
      <c r="R877" s="102"/>
      <c r="S877" s="102"/>
      <c r="T877" s="102"/>
      <c r="U877" s="102"/>
    </row>
    <row r="878" spans="3:21" ht="12.75">
      <c r="C878" s="121"/>
      <c r="D878" s="111"/>
      <c r="E878" s="137">
        <f t="shared" si="3"/>
        <v>0</v>
      </c>
      <c r="F878" s="102"/>
      <c r="G878" s="102"/>
      <c r="H878" s="102"/>
      <c r="I878" s="102"/>
      <c r="J878" s="102"/>
      <c r="K878" s="102"/>
      <c r="L878" s="102"/>
      <c r="M878" s="102"/>
      <c r="N878" s="102"/>
      <c r="O878" s="102"/>
      <c r="P878" s="102"/>
      <c r="Q878" s="102"/>
      <c r="R878" s="102"/>
      <c r="S878" s="102"/>
      <c r="T878" s="102"/>
      <c r="U878" s="102"/>
    </row>
    <row r="879" spans="3:21" ht="12.75">
      <c r="C879" s="121"/>
      <c r="D879" s="111"/>
      <c r="E879" s="137">
        <f t="shared" si="3"/>
        <v>0</v>
      </c>
      <c r="F879" s="102"/>
      <c r="G879" s="102"/>
      <c r="H879" s="102"/>
      <c r="I879" s="102"/>
      <c r="J879" s="102"/>
      <c r="K879" s="102"/>
      <c r="L879" s="102"/>
      <c r="M879" s="102"/>
      <c r="N879" s="102"/>
      <c r="O879" s="102"/>
      <c r="P879" s="102"/>
      <c r="Q879" s="102"/>
      <c r="R879" s="102"/>
      <c r="S879" s="102"/>
      <c r="T879" s="102"/>
      <c r="U879" s="102"/>
    </row>
    <row r="880" spans="3:21" ht="12.75">
      <c r="C880" s="121"/>
      <c r="D880" s="111"/>
      <c r="E880" s="137">
        <f t="shared" si="3"/>
        <v>0</v>
      </c>
      <c r="F880" s="102"/>
      <c r="G880" s="102"/>
      <c r="H880" s="102"/>
      <c r="I880" s="102"/>
      <c r="J880" s="102"/>
      <c r="K880" s="102"/>
      <c r="L880" s="102"/>
      <c r="M880" s="102"/>
      <c r="N880" s="102"/>
      <c r="O880" s="102"/>
      <c r="P880" s="102"/>
      <c r="Q880" s="102"/>
      <c r="R880" s="102"/>
      <c r="S880" s="102"/>
      <c r="T880" s="102"/>
      <c r="U880" s="102"/>
    </row>
    <row r="881" spans="3:21" ht="12.75">
      <c r="C881" s="121"/>
      <c r="D881" s="111"/>
      <c r="E881" s="137">
        <f t="shared" si="3"/>
        <v>0</v>
      </c>
      <c r="F881" s="102"/>
      <c r="G881" s="102"/>
      <c r="H881" s="102"/>
      <c r="I881" s="102"/>
      <c r="J881" s="102"/>
      <c r="K881" s="102"/>
      <c r="L881" s="102"/>
      <c r="M881" s="102"/>
      <c r="N881" s="102"/>
      <c r="O881" s="102"/>
      <c r="P881" s="102"/>
      <c r="Q881" s="102"/>
      <c r="R881" s="102"/>
      <c r="S881" s="102"/>
      <c r="T881" s="102"/>
      <c r="U881" s="102"/>
    </row>
    <row r="882" spans="3:21" ht="12.75">
      <c r="C882" s="121"/>
      <c r="D882" s="111"/>
      <c r="E882" s="137">
        <f t="shared" si="3"/>
        <v>0</v>
      </c>
      <c r="F882" s="102"/>
      <c r="G882" s="102"/>
      <c r="H882" s="102"/>
      <c r="I882" s="102"/>
      <c r="J882" s="102"/>
      <c r="K882" s="102"/>
      <c r="L882" s="102"/>
      <c r="M882" s="102"/>
      <c r="N882" s="102"/>
      <c r="O882" s="102"/>
      <c r="P882" s="102"/>
      <c r="Q882" s="102"/>
      <c r="R882" s="102"/>
      <c r="S882" s="102"/>
      <c r="T882" s="102"/>
      <c r="U882" s="102"/>
    </row>
    <row r="883" spans="3:21" ht="12.75">
      <c r="C883" s="121"/>
      <c r="D883" s="111"/>
      <c r="E883" s="137">
        <f t="shared" si="3"/>
        <v>0</v>
      </c>
      <c r="F883" s="102"/>
      <c r="G883" s="102"/>
      <c r="H883" s="102"/>
      <c r="I883" s="102"/>
      <c r="J883" s="102"/>
      <c r="K883" s="102"/>
      <c r="L883" s="102"/>
      <c r="M883" s="102"/>
      <c r="N883" s="102"/>
      <c r="O883" s="102"/>
      <c r="P883" s="102"/>
      <c r="Q883" s="102"/>
      <c r="R883" s="102"/>
      <c r="S883" s="102"/>
      <c r="T883" s="102"/>
      <c r="U883" s="102"/>
    </row>
    <row r="884" spans="3:21" ht="12.75">
      <c r="C884" s="121"/>
      <c r="D884" s="111"/>
      <c r="E884" s="137">
        <f t="shared" si="3"/>
        <v>0</v>
      </c>
      <c r="F884" s="102"/>
      <c r="G884" s="102"/>
      <c r="H884" s="102"/>
      <c r="I884" s="102"/>
      <c r="J884" s="102"/>
      <c r="K884" s="102"/>
      <c r="L884" s="102"/>
      <c r="M884" s="102"/>
      <c r="N884" s="102"/>
      <c r="O884" s="102"/>
      <c r="P884" s="102"/>
      <c r="Q884" s="102"/>
      <c r="R884" s="102"/>
      <c r="S884" s="102"/>
      <c r="T884" s="102"/>
      <c r="U884" s="102"/>
    </row>
    <row r="885" spans="3:21" ht="12.75">
      <c r="C885" s="121"/>
      <c r="D885" s="111"/>
      <c r="E885" s="137">
        <f t="shared" si="3"/>
        <v>0</v>
      </c>
      <c r="F885" s="102"/>
      <c r="G885" s="102"/>
      <c r="H885" s="102"/>
      <c r="I885" s="102"/>
      <c r="J885" s="102"/>
      <c r="K885" s="102"/>
      <c r="L885" s="102"/>
      <c r="M885" s="102"/>
      <c r="N885" s="102"/>
      <c r="O885" s="102"/>
      <c r="P885" s="102"/>
      <c r="Q885" s="102"/>
      <c r="R885" s="102"/>
      <c r="S885" s="102"/>
      <c r="T885" s="102"/>
      <c r="U885" s="102"/>
    </row>
    <row r="886" spans="3:21" ht="12.75">
      <c r="C886" s="121"/>
      <c r="D886" s="111"/>
      <c r="E886" s="137">
        <f t="shared" si="3"/>
        <v>0</v>
      </c>
      <c r="F886" s="102"/>
      <c r="G886" s="102"/>
      <c r="H886" s="102"/>
      <c r="I886" s="102"/>
      <c r="J886" s="102"/>
      <c r="K886" s="102"/>
      <c r="L886" s="102"/>
      <c r="M886" s="102"/>
      <c r="N886" s="102"/>
      <c r="O886" s="102"/>
      <c r="P886" s="102"/>
      <c r="Q886" s="102"/>
      <c r="R886" s="102"/>
      <c r="S886" s="102"/>
      <c r="T886" s="102"/>
      <c r="U886" s="102"/>
    </row>
    <row r="887" spans="3:21" ht="12.75">
      <c r="C887" s="121"/>
      <c r="D887" s="111"/>
      <c r="E887" s="137">
        <f t="shared" si="3"/>
        <v>0</v>
      </c>
      <c r="F887" s="102"/>
      <c r="G887" s="102"/>
      <c r="H887" s="102"/>
      <c r="I887" s="102"/>
      <c r="J887" s="102"/>
      <c r="K887" s="102"/>
      <c r="L887" s="102"/>
      <c r="M887" s="102"/>
      <c r="N887" s="102"/>
      <c r="O887" s="102"/>
      <c r="P887" s="102"/>
      <c r="Q887" s="102"/>
      <c r="R887" s="102"/>
      <c r="S887" s="102"/>
      <c r="T887" s="102"/>
      <c r="U887" s="102"/>
    </row>
    <row r="888" spans="3:21" ht="12.75">
      <c r="C888" s="121"/>
      <c r="D888" s="111"/>
      <c r="E888" s="137">
        <f t="shared" si="3"/>
        <v>0</v>
      </c>
      <c r="F888" s="102"/>
      <c r="G888" s="102"/>
      <c r="H888" s="102"/>
      <c r="I888" s="102"/>
      <c r="J888" s="102"/>
      <c r="K888" s="102"/>
      <c r="L888" s="102"/>
      <c r="M888" s="102"/>
      <c r="N888" s="102"/>
      <c r="O888" s="102"/>
      <c r="P888" s="102"/>
      <c r="Q888" s="102"/>
      <c r="R888" s="102"/>
      <c r="S888" s="102"/>
      <c r="T888" s="102"/>
      <c r="U888" s="102"/>
    </row>
    <row r="889" spans="3:21" ht="12.75">
      <c r="C889" s="121"/>
      <c r="D889" s="111"/>
      <c r="E889" s="137">
        <f t="shared" si="3"/>
        <v>0</v>
      </c>
      <c r="F889" s="102"/>
      <c r="G889" s="102"/>
      <c r="H889" s="102"/>
      <c r="I889" s="102"/>
      <c r="J889" s="102"/>
      <c r="K889" s="102"/>
      <c r="L889" s="102"/>
      <c r="M889" s="102"/>
      <c r="N889" s="102"/>
      <c r="O889" s="102"/>
      <c r="P889" s="102"/>
      <c r="Q889" s="102"/>
      <c r="R889" s="102"/>
      <c r="S889" s="102"/>
      <c r="T889" s="102"/>
      <c r="U889" s="102"/>
    </row>
    <row r="890" spans="3:21" ht="12.75">
      <c r="C890" s="121"/>
      <c r="D890" s="111"/>
      <c r="E890" s="137">
        <f t="shared" si="3"/>
        <v>0</v>
      </c>
      <c r="F890" s="102"/>
      <c r="G890" s="102"/>
      <c r="H890" s="102"/>
      <c r="I890" s="102"/>
      <c r="J890" s="102"/>
      <c r="K890" s="102"/>
      <c r="L890" s="102"/>
      <c r="M890" s="102"/>
      <c r="N890" s="102"/>
      <c r="O890" s="102"/>
      <c r="P890" s="102"/>
      <c r="Q890" s="102"/>
      <c r="R890" s="102"/>
      <c r="S890" s="102"/>
      <c r="T890" s="102"/>
      <c r="U890" s="102"/>
    </row>
    <row r="891" spans="3:21" ht="12.75">
      <c r="C891" s="121"/>
      <c r="D891" s="111"/>
      <c r="E891" s="137">
        <f t="shared" si="3"/>
        <v>0</v>
      </c>
      <c r="F891" s="102"/>
      <c r="G891" s="102"/>
      <c r="H891" s="102"/>
      <c r="I891" s="102"/>
      <c r="J891" s="102"/>
      <c r="K891" s="102"/>
      <c r="L891" s="102"/>
      <c r="M891" s="102"/>
      <c r="N891" s="102"/>
      <c r="O891" s="102"/>
      <c r="P891" s="102"/>
      <c r="Q891" s="102"/>
      <c r="R891" s="102"/>
      <c r="S891" s="102"/>
      <c r="T891" s="102"/>
      <c r="U891" s="102"/>
    </row>
    <row r="892" spans="3:21" ht="12.75">
      <c r="C892" s="121"/>
      <c r="D892" s="111"/>
      <c r="E892" s="137">
        <f t="shared" si="3"/>
        <v>0</v>
      </c>
      <c r="F892" s="102"/>
      <c r="G892" s="102"/>
      <c r="H892" s="102"/>
      <c r="I892" s="102"/>
      <c r="J892" s="102"/>
      <c r="K892" s="102"/>
      <c r="L892" s="102"/>
      <c r="M892" s="102"/>
      <c r="N892" s="102"/>
      <c r="O892" s="102"/>
      <c r="P892" s="102"/>
      <c r="Q892" s="102"/>
      <c r="R892" s="102"/>
      <c r="S892" s="102"/>
      <c r="T892" s="102"/>
      <c r="U892" s="102"/>
    </row>
    <row r="893" spans="3:21" ht="12.75">
      <c r="C893" s="121"/>
      <c r="D893" s="111"/>
      <c r="E893" s="137">
        <f t="shared" si="3"/>
        <v>0</v>
      </c>
      <c r="F893" s="102"/>
      <c r="G893" s="102"/>
      <c r="H893" s="102"/>
      <c r="I893" s="102"/>
      <c r="J893" s="102"/>
      <c r="K893" s="102"/>
      <c r="L893" s="102"/>
      <c r="M893" s="102"/>
      <c r="N893" s="102"/>
      <c r="O893" s="102"/>
      <c r="P893" s="102"/>
      <c r="Q893" s="102"/>
      <c r="R893" s="102"/>
      <c r="S893" s="102"/>
      <c r="T893" s="102"/>
      <c r="U893" s="102"/>
    </row>
    <row r="894" spans="3:21" ht="12.75">
      <c r="C894" s="121"/>
      <c r="D894" s="111"/>
      <c r="E894" s="137">
        <f t="shared" si="3"/>
        <v>0</v>
      </c>
      <c r="F894" s="102"/>
      <c r="G894" s="102"/>
      <c r="H894" s="102"/>
      <c r="I894" s="102"/>
      <c r="J894" s="102"/>
      <c r="K894" s="102"/>
      <c r="L894" s="102"/>
      <c r="M894" s="102"/>
      <c r="N894" s="102"/>
      <c r="O894" s="102"/>
      <c r="P894" s="102"/>
      <c r="Q894" s="102"/>
      <c r="R894" s="102"/>
      <c r="S894" s="102"/>
      <c r="T894" s="102"/>
      <c r="U894" s="102"/>
    </row>
    <row r="895" spans="3:21" ht="12.75">
      <c r="C895" s="121"/>
      <c r="D895" s="111"/>
      <c r="E895" s="137">
        <f t="shared" si="3"/>
        <v>0</v>
      </c>
      <c r="F895" s="102"/>
      <c r="G895" s="102"/>
      <c r="H895" s="102"/>
      <c r="I895" s="102"/>
      <c r="J895" s="102"/>
      <c r="K895" s="102"/>
      <c r="L895" s="102"/>
      <c r="M895" s="102"/>
      <c r="N895" s="102"/>
      <c r="O895" s="102"/>
      <c r="P895" s="102"/>
      <c r="Q895" s="102"/>
      <c r="R895" s="102"/>
      <c r="S895" s="102"/>
      <c r="T895" s="102"/>
      <c r="U895" s="102"/>
    </row>
    <row r="896" spans="3:21" ht="12.75">
      <c r="C896" s="121"/>
      <c r="D896" s="111"/>
      <c r="E896" s="137">
        <f t="shared" si="3"/>
        <v>0</v>
      </c>
      <c r="F896" s="102"/>
      <c r="G896" s="102"/>
      <c r="H896" s="102"/>
      <c r="I896" s="102"/>
      <c r="J896" s="102"/>
      <c r="K896" s="102"/>
      <c r="L896" s="102"/>
      <c r="M896" s="102"/>
      <c r="N896" s="102"/>
      <c r="O896" s="102"/>
      <c r="P896" s="102"/>
      <c r="Q896" s="102"/>
      <c r="R896" s="102"/>
      <c r="S896" s="102"/>
      <c r="T896" s="102"/>
      <c r="U896" s="102"/>
    </row>
    <row r="897" spans="3:21" ht="12.75">
      <c r="C897" s="121"/>
      <c r="D897" s="111"/>
      <c r="E897" s="137">
        <f t="shared" si="3"/>
        <v>0</v>
      </c>
      <c r="F897" s="102"/>
      <c r="G897" s="102"/>
      <c r="H897" s="102"/>
      <c r="I897" s="102"/>
      <c r="J897" s="102"/>
      <c r="K897" s="102"/>
      <c r="L897" s="102"/>
      <c r="M897" s="102"/>
      <c r="N897" s="102"/>
      <c r="O897" s="102"/>
      <c r="P897" s="102"/>
      <c r="Q897" s="102"/>
      <c r="R897" s="102"/>
      <c r="S897" s="102"/>
      <c r="T897" s="102"/>
      <c r="U897" s="102"/>
    </row>
    <row r="898" spans="3:21" ht="12.75">
      <c r="C898" s="121"/>
      <c r="D898" s="111"/>
      <c r="E898" s="137">
        <f t="shared" si="3"/>
        <v>0</v>
      </c>
      <c r="F898" s="102"/>
      <c r="G898" s="102"/>
      <c r="H898" s="102"/>
      <c r="I898" s="102"/>
      <c r="J898" s="102"/>
      <c r="K898" s="102"/>
      <c r="L898" s="102"/>
      <c r="M898" s="102"/>
      <c r="N898" s="102"/>
      <c r="O898" s="102"/>
      <c r="P898" s="102"/>
      <c r="Q898" s="102"/>
      <c r="R898" s="102"/>
      <c r="S898" s="102"/>
      <c r="T898" s="102"/>
      <c r="U898" s="102"/>
    </row>
    <row r="899" spans="3:21" ht="12.75">
      <c r="C899" s="121"/>
      <c r="D899" s="111"/>
      <c r="E899" s="137">
        <f t="shared" si="3"/>
        <v>0</v>
      </c>
      <c r="F899" s="102"/>
      <c r="G899" s="102"/>
      <c r="H899" s="102"/>
      <c r="I899" s="102"/>
      <c r="J899" s="102"/>
      <c r="K899" s="102"/>
      <c r="L899" s="102"/>
      <c r="M899" s="102"/>
      <c r="N899" s="102"/>
      <c r="O899" s="102"/>
      <c r="P899" s="102"/>
      <c r="Q899" s="102"/>
      <c r="R899" s="102"/>
      <c r="S899" s="102"/>
      <c r="T899" s="102"/>
      <c r="U899" s="102"/>
    </row>
    <row r="900" spans="3:21" ht="12.75">
      <c r="C900" s="121"/>
      <c r="D900" s="111"/>
      <c r="E900" s="137">
        <f t="shared" si="3"/>
        <v>0</v>
      </c>
      <c r="F900" s="102"/>
      <c r="G900" s="102"/>
      <c r="H900" s="102"/>
      <c r="I900" s="102"/>
      <c r="J900" s="102"/>
      <c r="K900" s="102"/>
      <c r="L900" s="102"/>
      <c r="M900" s="102"/>
      <c r="N900" s="102"/>
      <c r="O900" s="102"/>
      <c r="P900" s="102"/>
      <c r="Q900" s="102"/>
      <c r="R900" s="102"/>
      <c r="S900" s="102"/>
      <c r="T900" s="102"/>
      <c r="U900" s="102"/>
    </row>
    <row r="901" spans="3:21" ht="12.75">
      <c r="C901" s="121"/>
      <c r="D901" s="111"/>
      <c r="E901" s="137">
        <f t="shared" si="3"/>
        <v>0</v>
      </c>
      <c r="F901" s="102"/>
      <c r="G901" s="102"/>
      <c r="H901" s="102"/>
      <c r="I901" s="102"/>
      <c r="J901" s="102"/>
      <c r="K901" s="102"/>
      <c r="L901" s="102"/>
      <c r="M901" s="102"/>
      <c r="N901" s="102"/>
      <c r="O901" s="102"/>
      <c r="P901" s="102"/>
      <c r="Q901" s="102"/>
      <c r="R901" s="102"/>
      <c r="S901" s="102"/>
      <c r="T901" s="102"/>
      <c r="U901" s="102"/>
    </row>
    <row r="902" spans="3:21" ht="12.75">
      <c r="C902" s="121"/>
      <c r="D902" s="111"/>
      <c r="E902" s="137">
        <f t="shared" si="3"/>
        <v>0</v>
      </c>
      <c r="F902" s="102"/>
      <c r="G902" s="102"/>
      <c r="H902" s="102"/>
      <c r="I902" s="102"/>
      <c r="J902" s="102"/>
      <c r="K902" s="102"/>
      <c r="L902" s="102"/>
      <c r="M902" s="102"/>
      <c r="N902" s="102"/>
      <c r="O902" s="102"/>
      <c r="P902" s="102"/>
      <c r="Q902" s="102"/>
      <c r="R902" s="102"/>
      <c r="S902" s="102"/>
      <c r="T902" s="102"/>
      <c r="U902" s="102"/>
    </row>
    <row r="903" spans="3:21" ht="12.75">
      <c r="C903" s="121"/>
      <c r="D903" s="111"/>
      <c r="E903" s="137">
        <f t="shared" si="3"/>
        <v>0</v>
      </c>
      <c r="F903" s="102"/>
      <c r="G903" s="102"/>
      <c r="H903" s="102"/>
      <c r="I903" s="102"/>
      <c r="J903" s="102"/>
      <c r="K903" s="102"/>
      <c r="L903" s="102"/>
      <c r="M903" s="102"/>
      <c r="N903" s="102"/>
      <c r="O903" s="102"/>
      <c r="P903" s="102"/>
      <c r="Q903" s="102"/>
      <c r="R903" s="102"/>
      <c r="S903" s="102"/>
      <c r="T903" s="102"/>
      <c r="U903" s="102"/>
    </row>
    <row r="904" spans="3:21" ht="12.75">
      <c r="C904" s="121"/>
      <c r="D904" s="111"/>
      <c r="E904" s="137">
        <f t="shared" si="3"/>
        <v>0</v>
      </c>
      <c r="F904" s="102"/>
      <c r="G904" s="102"/>
      <c r="H904" s="102"/>
      <c r="I904" s="102"/>
      <c r="J904" s="102"/>
      <c r="K904" s="102"/>
      <c r="L904" s="102"/>
      <c r="M904" s="102"/>
      <c r="N904" s="102"/>
      <c r="O904" s="102"/>
      <c r="P904" s="102"/>
      <c r="Q904" s="102"/>
      <c r="R904" s="102"/>
      <c r="S904" s="102"/>
      <c r="T904" s="102"/>
      <c r="U904" s="102"/>
    </row>
    <row r="905" spans="3:21" ht="12.75">
      <c r="C905" s="121"/>
      <c r="D905" s="111"/>
      <c r="E905" s="137">
        <f t="shared" si="3"/>
        <v>0</v>
      </c>
      <c r="F905" s="102"/>
      <c r="G905" s="102"/>
      <c r="H905" s="102"/>
      <c r="I905" s="102"/>
      <c r="J905" s="102"/>
      <c r="K905" s="102"/>
      <c r="L905" s="102"/>
      <c r="M905" s="102"/>
      <c r="N905" s="102"/>
      <c r="O905" s="102"/>
      <c r="P905" s="102"/>
      <c r="Q905" s="102"/>
      <c r="R905" s="102"/>
      <c r="S905" s="102"/>
      <c r="T905" s="102"/>
      <c r="U905" s="102"/>
    </row>
    <row r="906" spans="3:21" ht="12.75">
      <c r="C906" s="121"/>
      <c r="D906" s="111"/>
      <c r="E906" s="137">
        <f t="shared" si="3"/>
        <v>0</v>
      </c>
      <c r="F906" s="102"/>
      <c r="G906" s="102"/>
      <c r="H906" s="102"/>
      <c r="I906" s="102"/>
      <c r="J906" s="102"/>
      <c r="K906" s="102"/>
      <c r="L906" s="102"/>
      <c r="M906" s="102"/>
      <c r="N906" s="102"/>
      <c r="O906" s="102"/>
      <c r="P906" s="102"/>
      <c r="Q906" s="102"/>
      <c r="R906" s="102"/>
      <c r="S906" s="102"/>
      <c r="T906" s="102"/>
      <c r="U906" s="102"/>
    </row>
    <row r="907" spans="3:21" ht="12.75">
      <c r="C907" s="121"/>
      <c r="D907" s="111"/>
      <c r="E907" s="137">
        <f t="shared" si="3"/>
        <v>0</v>
      </c>
      <c r="F907" s="102"/>
      <c r="G907" s="102"/>
      <c r="H907" s="102"/>
      <c r="I907" s="102"/>
      <c r="J907" s="102"/>
      <c r="K907" s="102"/>
      <c r="L907" s="102"/>
      <c r="M907" s="102"/>
      <c r="N907" s="102"/>
      <c r="O907" s="102"/>
      <c r="P907" s="102"/>
      <c r="Q907" s="102"/>
      <c r="R907" s="102"/>
      <c r="S907" s="102"/>
      <c r="T907" s="102"/>
      <c r="U907" s="102"/>
    </row>
    <row r="908" spans="3:21" ht="12.75">
      <c r="C908" s="121"/>
      <c r="D908" s="111"/>
      <c r="E908" s="137">
        <f t="shared" si="3"/>
        <v>0</v>
      </c>
      <c r="F908" s="102"/>
      <c r="G908" s="102"/>
      <c r="H908" s="102"/>
      <c r="I908" s="102"/>
      <c r="J908" s="102"/>
      <c r="K908" s="102"/>
      <c r="L908" s="102"/>
      <c r="M908" s="102"/>
      <c r="N908" s="102"/>
      <c r="O908" s="102"/>
      <c r="P908" s="102"/>
      <c r="Q908" s="102"/>
      <c r="R908" s="102"/>
      <c r="S908" s="102"/>
      <c r="T908" s="102"/>
      <c r="U908" s="102"/>
    </row>
    <row r="909" spans="3:21" ht="12.75">
      <c r="C909" s="121"/>
      <c r="D909" s="111"/>
      <c r="E909" s="137">
        <f t="shared" si="3"/>
        <v>0</v>
      </c>
      <c r="F909" s="102"/>
      <c r="G909" s="102"/>
      <c r="H909" s="102"/>
      <c r="I909" s="102"/>
      <c r="J909" s="102"/>
      <c r="K909" s="102"/>
      <c r="L909" s="102"/>
      <c r="M909" s="102"/>
      <c r="N909" s="102"/>
      <c r="O909" s="102"/>
      <c r="P909" s="102"/>
      <c r="Q909" s="102"/>
      <c r="R909" s="102"/>
      <c r="S909" s="102"/>
      <c r="T909" s="102"/>
      <c r="U909" s="102"/>
    </row>
    <row r="910" spans="3:21" ht="12.75">
      <c r="C910" s="121"/>
      <c r="D910" s="111"/>
      <c r="E910" s="137">
        <f t="shared" si="3"/>
        <v>0</v>
      </c>
      <c r="F910" s="102"/>
      <c r="G910" s="102"/>
      <c r="H910" s="102"/>
      <c r="I910" s="102"/>
      <c r="J910" s="102"/>
      <c r="K910" s="102"/>
      <c r="L910" s="102"/>
      <c r="M910" s="102"/>
      <c r="N910" s="102"/>
      <c r="O910" s="102"/>
      <c r="P910" s="102"/>
      <c r="Q910" s="102"/>
      <c r="R910" s="102"/>
      <c r="S910" s="102"/>
      <c r="T910" s="102"/>
      <c r="U910" s="102"/>
    </row>
    <row r="911" spans="3:21" ht="12.75">
      <c r="C911" s="121"/>
      <c r="D911" s="111"/>
      <c r="E911" s="137">
        <f t="shared" si="3"/>
        <v>0</v>
      </c>
      <c r="F911" s="102"/>
      <c r="G911" s="102"/>
      <c r="H911" s="102"/>
      <c r="I911" s="102"/>
      <c r="J911" s="102"/>
      <c r="K911" s="102"/>
      <c r="L911" s="102"/>
      <c r="M911" s="102"/>
      <c r="N911" s="102"/>
      <c r="O911" s="102"/>
      <c r="P911" s="102"/>
      <c r="Q911" s="102"/>
      <c r="R911" s="102"/>
      <c r="S911" s="102"/>
      <c r="T911" s="102"/>
      <c r="U911" s="102"/>
    </row>
    <row r="912" spans="3:21" ht="12.75">
      <c r="C912" s="121"/>
      <c r="D912" s="111"/>
      <c r="E912" s="137">
        <f t="shared" si="3"/>
        <v>0</v>
      </c>
      <c r="F912" s="102"/>
      <c r="G912" s="102"/>
      <c r="H912" s="102"/>
      <c r="I912" s="102"/>
      <c r="J912" s="102"/>
      <c r="K912" s="102"/>
      <c r="L912" s="102"/>
      <c r="M912" s="102"/>
      <c r="N912" s="102"/>
      <c r="O912" s="102"/>
      <c r="P912" s="102"/>
      <c r="Q912" s="102"/>
      <c r="R912" s="102"/>
      <c r="S912" s="102"/>
      <c r="T912" s="102"/>
      <c r="U912" s="102"/>
    </row>
    <row r="913" spans="3:21" ht="12.75">
      <c r="C913" s="121"/>
      <c r="D913" s="111"/>
      <c r="E913" s="137">
        <f t="shared" si="3"/>
        <v>0</v>
      </c>
      <c r="F913" s="102"/>
      <c r="G913" s="102"/>
      <c r="H913" s="102"/>
      <c r="I913" s="102"/>
      <c r="J913" s="102"/>
      <c r="K913" s="102"/>
      <c r="L913" s="102"/>
      <c r="M913" s="102"/>
      <c r="N913" s="102"/>
      <c r="O913" s="102"/>
      <c r="P913" s="102"/>
      <c r="Q913" s="102"/>
      <c r="R913" s="102"/>
      <c r="S913" s="102"/>
      <c r="T913" s="102"/>
      <c r="U913" s="102"/>
    </row>
    <row r="914" spans="3:21" ht="12.75">
      <c r="C914" s="121"/>
      <c r="D914" s="111"/>
      <c r="E914" s="137">
        <f t="shared" si="3"/>
        <v>0</v>
      </c>
      <c r="F914" s="102"/>
      <c r="G914" s="102"/>
      <c r="H914" s="102"/>
      <c r="I914" s="102"/>
      <c r="J914" s="102"/>
      <c r="K914" s="102"/>
      <c r="L914" s="102"/>
      <c r="M914" s="102"/>
      <c r="N914" s="102"/>
      <c r="O914" s="102"/>
      <c r="P914" s="102"/>
      <c r="Q914" s="102"/>
      <c r="R914" s="102"/>
      <c r="S914" s="102"/>
      <c r="T914" s="102"/>
      <c r="U914" s="102"/>
    </row>
    <row r="915" spans="3:21" ht="12.75">
      <c r="C915" s="121"/>
      <c r="D915" s="111"/>
      <c r="E915" s="137">
        <f t="shared" si="3"/>
        <v>0</v>
      </c>
      <c r="F915" s="102"/>
      <c r="G915" s="102"/>
      <c r="H915" s="102"/>
      <c r="I915" s="102"/>
      <c r="J915" s="102"/>
      <c r="K915" s="102"/>
      <c r="L915" s="102"/>
      <c r="M915" s="102"/>
      <c r="N915" s="102"/>
      <c r="O915" s="102"/>
      <c r="P915" s="102"/>
      <c r="Q915" s="102"/>
      <c r="R915" s="102"/>
      <c r="S915" s="102"/>
      <c r="T915" s="102"/>
      <c r="U915" s="102"/>
    </row>
    <row r="916" spans="3:21" ht="12.75">
      <c r="C916" s="121"/>
      <c r="D916" s="111"/>
      <c r="E916" s="137">
        <f t="shared" si="3"/>
        <v>0</v>
      </c>
      <c r="F916" s="102"/>
      <c r="G916" s="102"/>
      <c r="H916" s="102"/>
      <c r="I916" s="102"/>
      <c r="J916" s="102"/>
      <c r="K916" s="102"/>
      <c r="L916" s="102"/>
      <c r="M916" s="102"/>
      <c r="N916" s="102"/>
      <c r="O916" s="102"/>
      <c r="P916" s="102"/>
      <c r="Q916" s="102"/>
      <c r="R916" s="102"/>
      <c r="S916" s="102"/>
      <c r="T916" s="102"/>
      <c r="U916" s="102"/>
    </row>
    <row r="917" spans="3:21" ht="12.75">
      <c r="C917" s="121"/>
      <c r="D917" s="111"/>
      <c r="E917" s="137">
        <f t="shared" si="3"/>
        <v>0</v>
      </c>
      <c r="F917" s="102"/>
      <c r="G917" s="102"/>
      <c r="H917" s="102"/>
      <c r="I917" s="102"/>
      <c r="J917" s="102"/>
      <c r="K917" s="102"/>
      <c r="L917" s="102"/>
      <c r="M917" s="102"/>
      <c r="N917" s="102"/>
      <c r="O917" s="102"/>
      <c r="P917" s="102"/>
      <c r="Q917" s="102"/>
      <c r="R917" s="102"/>
      <c r="S917" s="102"/>
      <c r="T917" s="102"/>
      <c r="U917" s="102"/>
    </row>
    <row r="918" spans="3:21" ht="12.75">
      <c r="C918" s="121"/>
      <c r="D918" s="111"/>
      <c r="E918" s="137">
        <f t="shared" si="3"/>
        <v>0</v>
      </c>
      <c r="F918" s="102"/>
      <c r="G918" s="102"/>
      <c r="H918" s="102"/>
      <c r="I918" s="102"/>
      <c r="J918" s="102"/>
      <c r="K918" s="102"/>
      <c r="L918" s="102"/>
      <c r="M918" s="102"/>
      <c r="N918" s="102"/>
      <c r="O918" s="102"/>
      <c r="P918" s="102"/>
      <c r="Q918" s="102"/>
      <c r="R918" s="102"/>
      <c r="S918" s="102"/>
      <c r="T918" s="102"/>
      <c r="U918" s="102"/>
    </row>
    <row r="919" spans="3:21" ht="12.75">
      <c r="C919" s="121"/>
      <c r="D919" s="111"/>
      <c r="E919" s="137">
        <f t="shared" si="3"/>
        <v>0</v>
      </c>
      <c r="F919" s="102"/>
      <c r="G919" s="102"/>
      <c r="H919" s="102"/>
      <c r="I919" s="102"/>
      <c r="J919" s="102"/>
      <c r="K919" s="102"/>
      <c r="L919" s="102"/>
      <c r="M919" s="102"/>
      <c r="N919" s="102"/>
      <c r="O919" s="102"/>
      <c r="P919" s="102"/>
      <c r="Q919" s="102"/>
      <c r="R919" s="102"/>
      <c r="S919" s="102"/>
      <c r="T919" s="102"/>
      <c r="U919" s="102"/>
    </row>
    <row r="920" spans="3:21" ht="12.75">
      <c r="C920" s="121"/>
      <c r="D920" s="111"/>
      <c r="E920" s="137">
        <f t="shared" si="3"/>
        <v>0</v>
      </c>
      <c r="F920" s="102"/>
      <c r="G920" s="102"/>
      <c r="H920" s="102"/>
      <c r="I920" s="102"/>
      <c r="J920" s="102"/>
      <c r="K920" s="102"/>
      <c r="L920" s="102"/>
      <c r="M920" s="102"/>
      <c r="N920" s="102"/>
      <c r="O920" s="102"/>
      <c r="P920" s="102"/>
      <c r="Q920" s="102"/>
      <c r="R920" s="102"/>
      <c r="S920" s="102"/>
      <c r="T920" s="102"/>
      <c r="U920" s="102"/>
    </row>
    <row r="921" spans="3:21" ht="12.75">
      <c r="C921" s="121"/>
      <c r="D921" s="111"/>
      <c r="E921" s="137">
        <f t="shared" si="3"/>
        <v>0</v>
      </c>
      <c r="F921" s="102"/>
      <c r="G921" s="102"/>
      <c r="H921" s="102"/>
      <c r="I921" s="102"/>
      <c r="J921" s="102"/>
      <c r="K921" s="102"/>
      <c r="L921" s="102"/>
      <c r="M921" s="102"/>
      <c r="N921" s="102"/>
      <c r="O921" s="102"/>
      <c r="P921" s="102"/>
      <c r="Q921" s="102"/>
      <c r="R921" s="102"/>
      <c r="S921" s="102"/>
      <c r="T921" s="102"/>
      <c r="U921" s="102"/>
    </row>
    <row r="922" spans="3:21" ht="12.75">
      <c r="C922" s="121"/>
      <c r="D922" s="111"/>
      <c r="E922" s="137">
        <f t="shared" si="3"/>
        <v>0</v>
      </c>
      <c r="F922" s="102"/>
      <c r="G922" s="102"/>
      <c r="H922" s="102"/>
      <c r="I922" s="102"/>
      <c r="J922" s="102"/>
      <c r="K922" s="102"/>
      <c r="L922" s="102"/>
      <c r="M922" s="102"/>
      <c r="N922" s="102"/>
      <c r="O922" s="102"/>
      <c r="P922" s="102"/>
      <c r="Q922" s="102"/>
      <c r="R922" s="102"/>
      <c r="S922" s="102"/>
      <c r="T922" s="102"/>
      <c r="U922" s="102"/>
    </row>
    <row r="923" spans="3:21" ht="12.75">
      <c r="C923" s="121"/>
      <c r="D923" s="111"/>
      <c r="E923" s="137">
        <f t="shared" si="3"/>
        <v>0</v>
      </c>
      <c r="F923" s="102"/>
      <c r="G923" s="102"/>
      <c r="H923" s="102"/>
      <c r="I923" s="102"/>
      <c r="J923" s="102"/>
      <c r="K923" s="102"/>
      <c r="L923" s="102"/>
      <c r="M923" s="102"/>
      <c r="N923" s="102"/>
      <c r="O923" s="102"/>
      <c r="P923" s="102"/>
      <c r="Q923" s="102"/>
      <c r="R923" s="102"/>
      <c r="S923" s="102"/>
      <c r="T923" s="102"/>
      <c r="U923" s="102"/>
    </row>
    <row r="924" spans="3:21" ht="12.75">
      <c r="C924" s="121"/>
      <c r="D924" s="111"/>
      <c r="E924" s="137">
        <f t="shared" si="3"/>
        <v>0</v>
      </c>
      <c r="F924" s="102"/>
      <c r="G924" s="102"/>
      <c r="H924" s="102"/>
      <c r="I924" s="102"/>
      <c r="J924" s="102"/>
      <c r="K924" s="102"/>
      <c r="L924" s="102"/>
      <c r="M924" s="102"/>
      <c r="N924" s="102"/>
      <c r="O924" s="102"/>
      <c r="P924" s="102"/>
      <c r="Q924" s="102"/>
      <c r="R924" s="102"/>
      <c r="S924" s="102"/>
      <c r="T924" s="102"/>
      <c r="U924" s="102"/>
    </row>
    <row r="925" spans="3:21" ht="12.75">
      <c r="C925" s="121"/>
      <c r="D925" s="111"/>
      <c r="E925" s="137">
        <f t="shared" si="3"/>
        <v>0</v>
      </c>
      <c r="F925" s="102"/>
      <c r="G925" s="102"/>
      <c r="H925" s="102"/>
      <c r="I925" s="102"/>
      <c r="J925" s="102"/>
      <c r="K925" s="102"/>
      <c r="L925" s="102"/>
      <c r="M925" s="102"/>
      <c r="N925" s="102"/>
      <c r="O925" s="102"/>
      <c r="P925" s="102"/>
      <c r="Q925" s="102"/>
      <c r="R925" s="102"/>
      <c r="S925" s="102"/>
      <c r="T925" s="102"/>
      <c r="U925" s="102"/>
    </row>
    <row r="926" spans="3:21" ht="12.75">
      <c r="C926" s="121"/>
      <c r="D926" s="111"/>
      <c r="E926" s="137">
        <f t="shared" si="3"/>
        <v>0</v>
      </c>
      <c r="F926" s="102"/>
      <c r="G926" s="102"/>
      <c r="H926" s="102"/>
      <c r="I926" s="102"/>
      <c r="J926" s="102"/>
      <c r="K926" s="102"/>
      <c r="L926" s="102"/>
      <c r="M926" s="102"/>
      <c r="N926" s="102"/>
      <c r="O926" s="102"/>
      <c r="P926" s="102"/>
      <c r="Q926" s="102"/>
      <c r="R926" s="102"/>
      <c r="S926" s="102"/>
      <c r="T926" s="102"/>
      <c r="U926" s="102"/>
    </row>
    <row r="927" spans="3:21" ht="12.75">
      <c r="C927" s="121"/>
      <c r="D927" s="111"/>
      <c r="E927" s="137">
        <f t="shared" si="3"/>
        <v>0</v>
      </c>
      <c r="F927" s="102"/>
      <c r="G927" s="102"/>
      <c r="H927" s="102"/>
      <c r="I927" s="102"/>
      <c r="J927" s="102"/>
      <c r="K927" s="102"/>
      <c r="L927" s="102"/>
      <c r="M927" s="102"/>
      <c r="N927" s="102"/>
      <c r="O927" s="102"/>
      <c r="P927" s="102"/>
      <c r="Q927" s="102"/>
      <c r="R927" s="102"/>
      <c r="S927" s="102"/>
      <c r="T927" s="102"/>
      <c r="U927" s="102"/>
    </row>
    <row r="928" spans="3:21" ht="12.75">
      <c r="C928" s="121"/>
      <c r="D928" s="111"/>
      <c r="E928" s="137">
        <f t="shared" si="3"/>
        <v>0</v>
      </c>
      <c r="F928" s="102"/>
      <c r="G928" s="102"/>
      <c r="H928" s="102"/>
      <c r="I928" s="102"/>
      <c r="J928" s="102"/>
      <c r="K928" s="102"/>
      <c r="L928" s="102"/>
      <c r="M928" s="102"/>
      <c r="N928" s="102"/>
      <c r="O928" s="102"/>
      <c r="P928" s="102"/>
      <c r="Q928" s="102"/>
      <c r="R928" s="102"/>
      <c r="S928" s="102"/>
      <c r="T928" s="102"/>
      <c r="U928" s="102"/>
    </row>
    <row r="929" spans="3:21" ht="12.75">
      <c r="C929" s="121"/>
      <c r="D929" s="111"/>
      <c r="E929" s="137">
        <f t="shared" si="3"/>
        <v>0</v>
      </c>
      <c r="F929" s="102"/>
      <c r="G929" s="102"/>
      <c r="H929" s="102"/>
      <c r="I929" s="102"/>
      <c r="J929" s="102"/>
      <c r="K929" s="102"/>
      <c r="L929" s="102"/>
      <c r="M929" s="102"/>
      <c r="N929" s="102"/>
      <c r="O929" s="102"/>
      <c r="P929" s="102"/>
      <c r="Q929" s="102"/>
      <c r="R929" s="102"/>
      <c r="S929" s="102"/>
      <c r="T929" s="102"/>
      <c r="U929" s="102"/>
    </row>
    <row r="930" spans="3:21" ht="12.75">
      <c r="C930" s="121"/>
      <c r="D930" s="111"/>
      <c r="E930" s="137">
        <f t="shared" si="3"/>
        <v>0</v>
      </c>
      <c r="F930" s="102"/>
      <c r="G930" s="102"/>
      <c r="H930" s="102"/>
      <c r="I930" s="102"/>
      <c r="J930" s="102"/>
      <c r="K930" s="102"/>
      <c r="L930" s="102"/>
      <c r="M930" s="102"/>
      <c r="N930" s="102"/>
      <c r="O930" s="102"/>
      <c r="P930" s="102"/>
      <c r="Q930" s="102"/>
      <c r="R930" s="102"/>
      <c r="S930" s="102"/>
      <c r="T930" s="102"/>
      <c r="U930" s="102"/>
    </row>
    <row r="931" spans="3:21" ht="12.75">
      <c r="C931" s="121"/>
      <c r="D931" s="111"/>
      <c r="E931" s="137">
        <f t="shared" si="3"/>
        <v>0</v>
      </c>
      <c r="F931" s="102"/>
      <c r="G931" s="102"/>
      <c r="H931" s="102"/>
      <c r="I931" s="102"/>
      <c r="J931" s="102"/>
      <c r="K931" s="102"/>
      <c r="L931" s="102"/>
      <c r="M931" s="102"/>
      <c r="N931" s="102"/>
      <c r="O931" s="102"/>
      <c r="P931" s="102"/>
      <c r="Q931" s="102"/>
      <c r="R931" s="102"/>
      <c r="S931" s="102"/>
      <c r="T931" s="102"/>
      <c r="U931" s="102"/>
    </row>
    <row r="932" spans="3:21" ht="12.75">
      <c r="C932" s="121"/>
      <c r="D932" s="111"/>
      <c r="E932" s="137">
        <f t="shared" si="3"/>
        <v>0</v>
      </c>
      <c r="F932" s="102"/>
      <c r="G932" s="102"/>
      <c r="H932" s="102"/>
      <c r="I932" s="102"/>
      <c r="J932" s="102"/>
      <c r="K932" s="102"/>
      <c r="L932" s="102"/>
      <c r="M932" s="102"/>
      <c r="N932" s="102"/>
      <c r="O932" s="102"/>
      <c r="P932" s="102"/>
      <c r="Q932" s="102"/>
      <c r="R932" s="102"/>
      <c r="S932" s="102"/>
      <c r="T932" s="102"/>
      <c r="U932" s="102"/>
    </row>
    <row r="933" spans="3:21" ht="12.75">
      <c r="C933" s="121"/>
      <c r="D933" s="111"/>
      <c r="E933" s="137">
        <f t="shared" si="3"/>
        <v>0</v>
      </c>
      <c r="F933" s="102"/>
      <c r="G933" s="102"/>
      <c r="H933" s="102"/>
      <c r="I933" s="102"/>
      <c r="J933" s="102"/>
      <c r="K933" s="102"/>
      <c r="L933" s="102"/>
      <c r="M933" s="102"/>
      <c r="N933" s="102"/>
      <c r="O933" s="102"/>
      <c r="P933" s="102"/>
      <c r="Q933" s="102"/>
      <c r="R933" s="102"/>
      <c r="S933" s="102"/>
      <c r="T933" s="102"/>
      <c r="U933" s="102"/>
    </row>
    <row r="934" spans="3:21" ht="12.75">
      <c r="C934" s="121"/>
      <c r="D934" s="111"/>
      <c r="E934" s="137">
        <f t="shared" si="3"/>
        <v>0</v>
      </c>
      <c r="F934" s="102"/>
      <c r="G934" s="102"/>
      <c r="H934" s="102"/>
      <c r="I934" s="102"/>
      <c r="J934" s="102"/>
      <c r="K934" s="102"/>
      <c r="L934" s="102"/>
      <c r="M934" s="102"/>
      <c r="N934" s="102"/>
      <c r="O934" s="102"/>
      <c r="P934" s="102"/>
      <c r="Q934" s="102"/>
      <c r="R934" s="102"/>
      <c r="S934" s="102"/>
      <c r="T934" s="102"/>
      <c r="U934" s="102"/>
    </row>
    <row r="935" spans="3:21" ht="12.75">
      <c r="C935" s="121"/>
      <c r="D935" s="111"/>
      <c r="E935" s="137">
        <f t="shared" si="3"/>
        <v>0</v>
      </c>
      <c r="F935" s="102"/>
      <c r="G935" s="102"/>
      <c r="H935" s="102"/>
      <c r="I935" s="102"/>
      <c r="J935" s="102"/>
      <c r="K935" s="102"/>
      <c r="L935" s="102"/>
      <c r="M935" s="102"/>
      <c r="N935" s="102"/>
      <c r="O935" s="102"/>
      <c r="P935" s="102"/>
      <c r="Q935" s="102"/>
      <c r="R935" s="102"/>
      <c r="S935" s="102"/>
      <c r="T935" s="102"/>
      <c r="U935" s="102"/>
    </row>
    <row r="936" spans="3:21" ht="12.75">
      <c r="C936" s="121"/>
      <c r="D936" s="111"/>
      <c r="E936" s="137">
        <f t="shared" si="3"/>
        <v>0</v>
      </c>
      <c r="F936" s="102"/>
      <c r="G936" s="102"/>
      <c r="H936" s="102"/>
      <c r="I936" s="102"/>
      <c r="J936" s="102"/>
      <c r="K936" s="102"/>
      <c r="L936" s="102"/>
      <c r="M936" s="102"/>
      <c r="N936" s="102"/>
      <c r="O936" s="102"/>
      <c r="P936" s="102"/>
      <c r="Q936" s="102"/>
      <c r="R936" s="102"/>
      <c r="S936" s="102"/>
      <c r="T936" s="102"/>
      <c r="U936" s="102"/>
    </row>
    <row r="937" spans="3:21" ht="12.75">
      <c r="C937" s="121"/>
      <c r="D937" s="111"/>
      <c r="E937" s="137">
        <f t="shared" si="3"/>
        <v>0</v>
      </c>
      <c r="F937" s="102"/>
      <c r="G937" s="102"/>
      <c r="H937" s="102"/>
      <c r="I937" s="102"/>
      <c r="J937" s="102"/>
      <c r="K937" s="102"/>
      <c r="L937" s="102"/>
      <c r="M937" s="102"/>
      <c r="N937" s="102"/>
      <c r="O937" s="102"/>
      <c r="P937" s="102"/>
      <c r="Q937" s="102"/>
      <c r="R937" s="102"/>
      <c r="S937" s="102"/>
      <c r="T937" s="102"/>
      <c r="U937" s="102"/>
    </row>
    <row r="938" spans="3:21" ht="12.75">
      <c r="C938" s="121"/>
      <c r="D938" s="111"/>
      <c r="E938" s="137">
        <f t="shared" si="3"/>
        <v>0</v>
      </c>
      <c r="F938" s="102"/>
      <c r="G938" s="102"/>
      <c r="H938" s="102"/>
      <c r="I938" s="102"/>
      <c r="J938" s="102"/>
      <c r="K938" s="102"/>
      <c r="L938" s="102"/>
      <c r="M938" s="102"/>
      <c r="N938" s="102"/>
      <c r="O938" s="102"/>
      <c r="P938" s="102"/>
      <c r="Q938" s="102"/>
      <c r="R938" s="102"/>
      <c r="S938" s="102"/>
      <c r="T938" s="102"/>
      <c r="U938" s="102"/>
    </row>
    <row r="939" spans="3:21" ht="12.75">
      <c r="C939" s="121"/>
      <c r="D939" s="111"/>
      <c r="E939" s="137">
        <f t="shared" si="3"/>
        <v>0</v>
      </c>
      <c r="F939" s="102"/>
      <c r="G939" s="102"/>
      <c r="H939" s="102"/>
      <c r="I939" s="102"/>
      <c r="J939" s="102"/>
      <c r="K939" s="102"/>
      <c r="L939" s="102"/>
      <c r="M939" s="102"/>
      <c r="N939" s="102"/>
      <c r="O939" s="102"/>
      <c r="P939" s="102"/>
      <c r="Q939" s="102"/>
      <c r="R939" s="102"/>
      <c r="S939" s="102"/>
      <c r="T939" s="102"/>
      <c r="U939" s="102"/>
    </row>
    <row r="940" spans="3:21" ht="12.75">
      <c r="C940" s="121"/>
      <c r="D940" s="111"/>
      <c r="E940" s="137">
        <f t="shared" si="3"/>
        <v>0</v>
      </c>
      <c r="F940" s="102"/>
      <c r="G940" s="102"/>
      <c r="H940" s="102"/>
      <c r="I940" s="102"/>
      <c r="J940" s="102"/>
      <c r="K940" s="102"/>
      <c r="L940" s="102"/>
      <c r="M940" s="102"/>
      <c r="N940" s="102"/>
      <c r="O940" s="102"/>
      <c r="P940" s="102"/>
      <c r="Q940" s="102"/>
      <c r="R940" s="102"/>
      <c r="S940" s="102"/>
      <c r="T940" s="102"/>
      <c r="U940" s="102"/>
    </row>
    <row r="941" spans="3:21" ht="12.75">
      <c r="C941" s="121"/>
      <c r="D941" s="111"/>
      <c r="E941" s="137">
        <f t="shared" si="3"/>
        <v>0</v>
      </c>
      <c r="F941" s="102"/>
      <c r="G941" s="102"/>
      <c r="H941" s="102"/>
      <c r="I941" s="102"/>
      <c r="J941" s="102"/>
      <c r="K941" s="102"/>
      <c r="L941" s="102"/>
      <c r="M941" s="102"/>
      <c r="N941" s="102"/>
      <c r="O941" s="102"/>
      <c r="P941" s="102"/>
      <c r="Q941" s="102"/>
      <c r="R941" s="102"/>
      <c r="S941" s="102"/>
      <c r="T941" s="102"/>
      <c r="U941" s="102"/>
    </row>
    <row r="942" spans="3:21" ht="12.75">
      <c r="C942" s="121"/>
      <c r="D942" s="111"/>
      <c r="E942" s="137">
        <f t="shared" si="3"/>
        <v>0</v>
      </c>
      <c r="F942" s="102"/>
      <c r="G942" s="102"/>
      <c r="H942" s="102"/>
      <c r="I942" s="102"/>
      <c r="J942" s="102"/>
      <c r="K942" s="102"/>
      <c r="L942" s="102"/>
      <c r="M942" s="102"/>
      <c r="N942" s="102"/>
      <c r="O942" s="102"/>
      <c r="P942" s="102"/>
      <c r="Q942" s="102"/>
      <c r="R942" s="102"/>
      <c r="S942" s="102"/>
      <c r="T942" s="102"/>
      <c r="U942" s="102"/>
    </row>
    <row r="943" spans="3:21" ht="12.75">
      <c r="C943" s="121"/>
      <c r="D943" s="111"/>
      <c r="E943" s="137">
        <f t="shared" si="3"/>
        <v>0</v>
      </c>
      <c r="F943" s="102"/>
      <c r="G943" s="102"/>
      <c r="H943" s="102"/>
      <c r="I943" s="102"/>
      <c r="J943" s="102"/>
      <c r="K943" s="102"/>
      <c r="L943" s="102"/>
      <c r="M943" s="102"/>
      <c r="N943" s="102"/>
      <c r="O943" s="102"/>
      <c r="P943" s="102"/>
      <c r="Q943" s="102"/>
      <c r="R943" s="102"/>
      <c r="S943" s="102"/>
      <c r="T943" s="102"/>
      <c r="U943" s="102"/>
    </row>
    <row r="944" spans="3:21" ht="12.75">
      <c r="C944" s="121"/>
      <c r="D944" s="111"/>
      <c r="E944" s="137">
        <f t="shared" si="3"/>
        <v>0</v>
      </c>
      <c r="F944" s="102"/>
      <c r="G944" s="102"/>
      <c r="H944" s="102"/>
      <c r="I944" s="102"/>
      <c r="J944" s="102"/>
      <c r="K944" s="102"/>
      <c r="L944" s="102"/>
      <c r="M944" s="102"/>
      <c r="N944" s="102"/>
      <c r="O944" s="102"/>
      <c r="P944" s="102"/>
      <c r="Q944" s="102"/>
      <c r="R944" s="102"/>
      <c r="S944" s="102"/>
      <c r="T944" s="102"/>
      <c r="U944" s="102"/>
    </row>
    <row r="945" spans="3:21" ht="12.75">
      <c r="C945" s="121"/>
      <c r="D945" s="111"/>
      <c r="E945" s="137">
        <f t="shared" si="3"/>
        <v>0</v>
      </c>
      <c r="F945" s="102"/>
      <c r="G945" s="102"/>
      <c r="H945" s="102"/>
      <c r="I945" s="102"/>
      <c r="J945" s="102"/>
      <c r="K945" s="102"/>
      <c r="L945" s="102"/>
      <c r="M945" s="102"/>
      <c r="N945" s="102"/>
      <c r="O945" s="102"/>
      <c r="P945" s="102"/>
      <c r="Q945" s="102"/>
      <c r="R945" s="102"/>
      <c r="S945" s="102"/>
      <c r="T945" s="102"/>
      <c r="U945" s="102"/>
    </row>
    <row r="946" spans="3:21" ht="12.75">
      <c r="C946" s="121"/>
      <c r="D946" s="111"/>
      <c r="E946" s="137">
        <f t="shared" si="3"/>
        <v>0</v>
      </c>
      <c r="F946" s="102"/>
      <c r="G946" s="102"/>
      <c r="H946" s="102"/>
      <c r="I946" s="102"/>
      <c r="J946" s="102"/>
      <c r="K946" s="102"/>
      <c r="L946" s="102"/>
      <c r="M946" s="102"/>
      <c r="N946" s="102"/>
      <c r="O946" s="102"/>
      <c r="P946" s="102"/>
      <c r="Q946" s="102"/>
      <c r="R946" s="102"/>
      <c r="S946" s="102"/>
      <c r="T946" s="102"/>
      <c r="U946" s="102"/>
    </row>
    <row r="947" spans="3:21" ht="12.75">
      <c r="C947" s="121"/>
      <c r="D947" s="111"/>
      <c r="E947" s="137">
        <f t="shared" si="3"/>
        <v>0</v>
      </c>
      <c r="F947" s="102"/>
      <c r="G947" s="102"/>
      <c r="H947" s="102"/>
      <c r="I947" s="102"/>
      <c r="J947" s="102"/>
      <c r="K947" s="102"/>
      <c r="L947" s="102"/>
      <c r="M947" s="102"/>
      <c r="N947" s="102"/>
      <c r="O947" s="102"/>
      <c r="P947" s="102"/>
      <c r="Q947" s="102"/>
      <c r="R947" s="102"/>
      <c r="S947" s="102"/>
      <c r="T947" s="102"/>
      <c r="U947" s="102"/>
    </row>
    <row r="948" spans="3:21" ht="12.75">
      <c r="C948" s="121"/>
      <c r="D948" s="111"/>
      <c r="E948" s="137">
        <f t="shared" si="3"/>
        <v>0</v>
      </c>
      <c r="F948" s="102"/>
      <c r="G948" s="102"/>
      <c r="H948" s="102"/>
      <c r="I948" s="102"/>
      <c r="J948" s="102"/>
      <c r="K948" s="102"/>
      <c r="L948" s="102"/>
      <c r="M948" s="102"/>
      <c r="N948" s="102"/>
      <c r="O948" s="102"/>
      <c r="P948" s="102"/>
      <c r="Q948" s="102"/>
      <c r="R948" s="102"/>
      <c r="S948" s="102"/>
      <c r="T948" s="102"/>
      <c r="U948" s="102"/>
    </row>
    <row r="949" spans="3:21" ht="12.75">
      <c r="C949" s="121"/>
      <c r="D949" s="111"/>
      <c r="E949" s="137">
        <f t="shared" si="3"/>
        <v>0</v>
      </c>
      <c r="F949" s="102"/>
      <c r="G949" s="102"/>
      <c r="H949" s="102"/>
      <c r="I949" s="102"/>
      <c r="J949" s="102"/>
      <c r="K949" s="102"/>
      <c r="L949" s="102"/>
      <c r="M949" s="102"/>
      <c r="N949" s="102"/>
      <c r="O949" s="102"/>
      <c r="P949" s="102"/>
      <c r="Q949" s="102"/>
      <c r="R949" s="102"/>
      <c r="S949" s="102"/>
      <c r="T949" s="102"/>
      <c r="U949" s="102"/>
    </row>
    <row r="950" spans="3:21" ht="12.75">
      <c r="C950" s="121"/>
      <c r="D950" s="111"/>
      <c r="E950" s="137">
        <f t="shared" si="3"/>
        <v>0</v>
      </c>
      <c r="F950" s="102"/>
      <c r="G950" s="102"/>
      <c r="H950" s="102"/>
      <c r="I950" s="102"/>
      <c r="J950" s="102"/>
      <c r="K950" s="102"/>
      <c r="L950" s="102"/>
      <c r="M950" s="102"/>
      <c r="N950" s="102"/>
      <c r="O950" s="102"/>
      <c r="P950" s="102"/>
      <c r="Q950" s="102"/>
      <c r="R950" s="102"/>
      <c r="S950" s="102"/>
      <c r="T950" s="102"/>
      <c r="U950" s="102"/>
    </row>
    <row r="951" spans="3:21" ht="12.75">
      <c r="C951" s="121"/>
      <c r="D951" s="111"/>
      <c r="E951" s="137">
        <f t="shared" si="3"/>
        <v>0</v>
      </c>
      <c r="F951" s="102"/>
      <c r="G951" s="102"/>
      <c r="H951" s="102"/>
      <c r="I951" s="102"/>
      <c r="J951" s="102"/>
      <c r="K951" s="102"/>
      <c r="L951" s="102"/>
      <c r="M951" s="102"/>
      <c r="N951" s="102"/>
      <c r="O951" s="102"/>
      <c r="P951" s="102"/>
      <c r="Q951" s="102"/>
      <c r="R951" s="102"/>
      <c r="S951" s="102"/>
      <c r="T951" s="102"/>
      <c r="U951" s="102"/>
    </row>
    <row r="952" spans="3:21" ht="12.75">
      <c r="C952" s="121"/>
      <c r="D952" s="111"/>
      <c r="E952" s="137">
        <f t="shared" si="3"/>
        <v>0</v>
      </c>
      <c r="F952" s="102"/>
      <c r="G952" s="102"/>
      <c r="H952" s="102"/>
      <c r="I952" s="102"/>
      <c r="J952" s="102"/>
      <c r="K952" s="102"/>
      <c r="L952" s="102"/>
      <c r="M952" s="102"/>
      <c r="N952" s="102"/>
      <c r="O952" s="102"/>
      <c r="P952" s="102"/>
      <c r="Q952" s="102"/>
      <c r="R952" s="102"/>
      <c r="S952" s="102"/>
      <c r="T952" s="102"/>
      <c r="U952" s="102"/>
    </row>
    <row r="953" spans="3:21" ht="12.75">
      <c r="C953" s="121"/>
      <c r="D953" s="111"/>
      <c r="E953" s="137">
        <f t="shared" si="3"/>
        <v>0</v>
      </c>
      <c r="F953" s="102"/>
      <c r="G953" s="102"/>
      <c r="H953" s="102"/>
      <c r="I953" s="102"/>
      <c r="J953" s="102"/>
      <c r="K953" s="102"/>
      <c r="L953" s="102"/>
      <c r="M953" s="102"/>
      <c r="N953" s="102"/>
      <c r="O953" s="102"/>
      <c r="P953" s="102"/>
      <c r="Q953" s="102"/>
      <c r="R953" s="102"/>
      <c r="S953" s="102"/>
      <c r="T953" s="102"/>
      <c r="U953" s="102"/>
    </row>
    <row r="954" spans="3:21" ht="12.75">
      <c r="C954" s="121"/>
      <c r="D954" s="111"/>
      <c r="E954" s="137">
        <f t="shared" si="3"/>
        <v>0</v>
      </c>
      <c r="F954" s="102"/>
      <c r="G954" s="102"/>
      <c r="H954" s="102"/>
      <c r="I954" s="102"/>
      <c r="J954" s="102"/>
      <c r="K954" s="102"/>
      <c r="L954" s="102"/>
      <c r="M954" s="102"/>
      <c r="N954" s="102"/>
      <c r="O954" s="102"/>
      <c r="P954" s="102"/>
      <c r="Q954" s="102"/>
      <c r="R954" s="102"/>
      <c r="S954" s="102"/>
      <c r="T954" s="102"/>
      <c r="U954" s="102"/>
    </row>
    <row r="955" spans="3:21" ht="12.75">
      <c r="C955" s="121"/>
      <c r="D955" s="111"/>
      <c r="E955" s="137">
        <f t="shared" si="3"/>
        <v>0</v>
      </c>
      <c r="F955" s="102"/>
      <c r="G955" s="102"/>
      <c r="H955" s="102"/>
      <c r="I955" s="102"/>
      <c r="J955" s="102"/>
      <c r="K955" s="102"/>
      <c r="L955" s="102"/>
      <c r="M955" s="102"/>
      <c r="N955" s="102"/>
      <c r="O955" s="102"/>
      <c r="P955" s="102"/>
      <c r="Q955" s="102"/>
      <c r="R955" s="102"/>
      <c r="S955" s="102"/>
      <c r="T955" s="102"/>
      <c r="U955" s="102"/>
    </row>
    <row r="956" spans="3:21" ht="12.75">
      <c r="C956" s="121"/>
      <c r="D956" s="111"/>
      <c r="E956" s="137">
        <f t="shared" si="3"/>
        <v>0</v>
      </c>
      <c r="F956" s="102"/>
      <c r="G956" s="102"/>
      <c r="H956" s="102"/>
      <c r="I956" s="102"/>
      <c r="J956" s="102"/>
      <c r="K956" s="102"/>
      <c r="L956" s="102"/>
      <c r="M956" s="102"/>
      <c r="N956" s="102"/>
      <c r="O956" s="102"/>
      <c r="P956" s="102"/>
      <c r="Q956" s="102"/>
      <c r="R956" s="102"/>
      <c r="S956" s="102"/>
      <c r="T956" s="102"/>
      <c r="U956" s="102"/>
    </row>
    <row r="957" spans="3:21" ht="12.75">
      <c r="C957" s="121"/>
      <c r="D957" s="111"/>
      <c r="E957" s="137">
        <f t="shared" si="3"/>
        <v>0</v>
      </c>
      <c r="F957" s="102"/>
      <c r="G957" s="102"/>
      <c r="H957" s="102"/>
      <c r="I957" s="102"/>
      <c r="J957" s="102"/>
      <c r="K957" s="102"/>
      <c r="L957" s="102"/>
      <c r="M957" s="102"/>
      <c r="N957" s="102"/>
      <c r="O957" s="102"/>
      <c r="P957" s="102"/>
      <c r="Q957" s="102"/>
      <c r="R957" s="102"/>
      <c r="S957" s="102"/>
      <c r="T957" s="102"/>
      <c r="U957" s="102"/>
    </row>
    <row r="958" spans="3:21" ht="12.75">
      <c r="C958" s="121"/>
      <c r="D958" s="111"/>
      <c r="E958" s="137">
        <f t="shared" si="3"/>
        <v>0</v>
      </c>
      <c r="F958" s="102"/>
      <c r="G958" s="102"/>
      <c r="H958" s="102"/>
      <c r="I958" s="102"/>
      <c r="J958" s="102"/>
      <c r="K958" s="102"/>
      <c r="L958" s="102"/>
      <c r="M958" s="102"/>
      <c r="N958" s="102"/>
      <c r="O958" s="102"/>
      <c r="P958" s="102"/>
      <c r="Q958" s="102"/>
      <c r="R958" s="102"/>
      <c r="S958" s="102"/>
      <c r="T958" s="102"/>
      <c r="U958" s="102"/>
    </row>
    <row r="959" spans="3:21" ht="12.75">
      <c r="C959" s="121"/>
      <c r="D959" s="111"/>
      <c r="E959" s="137">
        <f t="shared" si="3"/>
        <v>0</v>
      </c>
      <c r="F959" s="102"/>
      <c r="G959" s="102"/>
      <c r="H959" s="102"/>
      <c r="I959" s="102"/>
      <c r="J959" s="102"/>
      <c r="K959" s="102"/>
      <c r="L959" s="102"/>
      <c r="M959" s="102"/>
      <c r="N959" s="102"/>
      <c r="O959" s="102"/>
      <c r="P959" s="102"/>
      <c r="Q959" s="102"/>
      <c r="R959" s="102"/>
      <c r="S959" s="102"/>
      <c r="T959" s="102"/>
      <c r="U959" s="102"/>
    </row>
    <row r="960" spans="3:21" ht="12.75">
      <c r="C960" s="121"/>
      <c r="D960" s="111"/>
      <c r="E960" s="137">
        <f t="shared" si="3"/>
        <v>0</v>
      </c>
      <c r="F960" s="102"/>
      <c r="G960" s="102"/>
      <c r="H960" s="102"/>
      <c r="I960" s="102"/>
      <c r="J960" s="102"/>
      <c r="K960" s="102"/>
      <c r="L960" s="102"/>
      <c r="M960" s="102"/>
      <c r="N960" s="102"/>
      <c r="O960" s="102"/>
      <c r="P960" s="102"/>
      <c r="Q960" s="102"/>
      <c r="R960" s="102"/>
      <c r="S960" s="102"/>
      <c r="T960" s="102"/>
      <c r="U960" s="102"/>
    </row>
    <row r="961" spans="3:21" ht="12.75">
      <c r="C961" s="121"/>
      <c r="D961" s="111"/>
      <c r="E961" s="137">
        <f t="shared" si="3"/>
        <v>0</v>
      </c>
      <c r="F961" s="102"/>
      <c r="G961" s="102"/>
      <c r="H961" s="102"/>
      <c r="I961" s="102"/>
      <c r="J961" s="102"/>
      <c r="K961" s="102"/>
      <c r="L961" s="102"/>
      <c r="M961" s="102"/>
      <c r="N961" s="102"/>
      <c r="O961" s="102"/>
      <c r="P961" s="102"/>
      <c r="Q961" s="102"/>
      <c r="R961" s="102"/>
      <c r="S961" s="102"/>
      <c r="T961" s="102"/>
      <c r="U961" s="102"/>
    </row>
    <row r="962" spans="3:21" ht="12.75">
      <c r="C962" s="121"/>
      <c r="D962" s="111"/>
      <c r="E962" s="137">
        <f t="shared" si="3"/>
        <v>0</v>
      </c>
      <c r="F962" s="102"/>
      <c r="G962" s="102"/>
      <c r="H962" s="102"/>
      <c r="I962" s="102"/>
      <c r="J962" s="102"/>
      <c r="K962" s="102"/>
      <c r="L962" s="102"/>
      <c r="M962" s="102"/>
      <c r="N962" s="102"/>
      <c r="O962" s="102"/>
      <c r="P962" s="102"/>
      <c r="Q962" s="102"/>
      <c r="R962" s="102"/>
      <c r="S962" s="102"/>
      <c r="T962" s="102"/>
      <c r="U962" s="102"/>
    </row>
    <row r="963" spans="3:21" ht="12.75">
      <c r="C963" s="121"/>
      <c r="D963" s="111"/>
      <c r="E963" s="137">
        <f t="shared" si="3"/>
        <v>0</v>
      </c>
      <c r="F963" s="102"/>
      <c r="G963" s="102"/>
      <c r="H963" s="102"/>
      <c r="I963" s="102"/>
      <c r="J963" s="102"/>
      <c r="K963" s="102"/>
      <c r="L963" s="102"/>
      <c r="M963" s="102"/>
      <c r="N963" s="102"/>
      <c r="O963" s="102"/>
      <c r="P963" s="102"/>
      <c r="Q963" s="102"/>
      <c r="R963" s="102"/>
      <c r="S963" s="102"/>
      <c r="T963" s="102"/>
      <c r="U963" s="102"/>
    </row>
    <row r="964" spans="3:21" ht="12.75">
      <c r="C964" s="121"/>
      <c r="D964" s="111"/>
      <c r="E964" s="137">
        <f t="shared" si="3"/>
        <v>0</v>
      </c>
      <c r="F964" s="102"/>
      <c r="G964" s="102"/>
      <c r="H964" s="102"/>
      <c r="I964" s="102"/>
      <c r="J964" s="102"/>
      <c r="K964" s="102"/>
      <c r="L964" s="102"/>
      <c r="M964" s="102"/>
      <c r="N964" s="102"/>
      <c r="O964" s="102"/>
      <c r="P964" s="102"/>
      <c r="Q964" s="102"/>
      <c r="R964" s="102"/>
      <c r="S964" s="102"/>
      <c r="T964" s="102"/>
      <c r="U964" s="102"/>
    </row>
    <row r="965" spans="3:21" ht="12.75">
      <c r="C965" s="121"/>
      <c r="D965" s="111"/>
      <c r="E965" s="137">
        <f t="shared" si="3"/>
        <v>0</v>
      </c>
      <c r="F965" s="102"/>
      <c r="G965" s="102"/>
      <c r="H965" s="102"/>
      <c r="I965" s="102"/>
      <c r="J965" s="102"/>
      <c r="K965" s="102"/>
      <c r="L965" s="102"/>
      <c r="M965" s="102"/>
      <c r="N965" s="102"/>
      <c r="O965" s="102"/>
      <c r="P965" s="102"/>
      <c r="Q965" s="102"/>
      <c r="R965" s="102"/>
      <c r="S965" s="102"/>
      <c r="T965" s="102"/>
      <c r="U965" s="102"/>
    </row>
    <row r="966" spans="3:21" ht="12.75">
      <c r="C966" s="121"/>
      <c r="D966" s="111"/>
      <c r="E966" s="137">
        <f t="shared" si="3"/>
        <v>0</v>
      </c>
      <c r="F966" s="102"/>
      <c r="G966" s="102"/>
      <c r="H966" s="102"/>
      <c r="I966" s="102"/>
      <c r="J966" s="102"/>
      <c r="K966" s="102"/>
      <c r="L966" s="102"/>
      <c r="M966" s="102"/>
      <c r="N966" s="102"/>
      <c r="O966" s="102"/>
      <c r="P966" s="102"/>
      <c r="Q966" s="102"/>
      <c r="R966" s="102"/>
      <c r="S966" s="102"/>
      <c r="T966" s="102"/>
      <c r="U966" s="102"/>
    </row>
    <row r="967" spans="3:21" ht="12.75">
      <c r="C967" s="121"/>
      <c r="D967" s="111"/>
      <c r="E967" s="137">
        <f t="shared" si="3"/>
        <v>0</v>
      </c>
      <c r="F967" s="102"/>
      <c r="G967" s="102"/>
      <c r="H967" s="102"/>
      <c r="I967" s="102"/>
      <c r="J967" s="102"/>
      <c r="K967" s="102"/>
      <c r="L967" s="102"/>
      <c r="M967" s="102"/>
      <c r="N967" s="102"/>
      <c r="O967" s="102"/>
      <c r="P967" s="102"/>
      <c r="Q967" s="102"/>
      <c r="R967" s="102"/>
      <c r="S967" s="102"/>
      <c r="T967" s="102"/>
      <c r="U967" s="102"/>
    </row>
    <row r="968" spans="3:21" ht="12.75">
      <c r="C968" s="121"/>
      <c r="D968" s="111"/>
      <c r="E968" s="137">
        <f t="shared" si="3"/>
        <v>0</v>
      </c>
      <c r="F968" s="102"/>
      <c r="G968" s="102"/>
      <c r="H968" s="102"/>
      <c r="I968" s="102"/>
      <c r="J968" s="102"/>
      <c r="K968" s="102"/>
      <c r="L968" s="102"/>
      <c r="M968" s="102"/>
      <c r="N968" s="102"/>
      <c r="O968" s="102"/>
      <c r="P968" s="102"/>
      <c r="Q968" s="102"/>
      <c r="R968" s="102"/>
      <c r="S968" s="102"/>
      <c r="T968" s="102"/>
      <c r="U968" s="102"/>
    </row>
    <row r="969" spans="3:21" ht="12.75">
      <c r="C969" s="121"/>
      <c r="D969" s="111"/>
      <c r="E969" s="137">
        <f t="shared" si="3"/>
        <v>0</v>
      </c>
      <c r="F969" s="102"/>
      <c r="G969" s="102"/>
      <c r="H969" s="102"/>
      <c r="I969" s="102"/>
      <c r="J969" s="102"/>
      <c r="K969" s="102"/>
      <c r="L969" s="102"/>
      <c r="M969" s="102"/>
      <c r="N969" s="102"/>
      <c r="O969" s="102"/>
      <c r="P969" s="102"/>
      <c r="Q969" s="102"/>
      <c r="R969" s="102"/>
      <c r="S969" s="102"/>
      <c r="T969" s="102"/>
      <c r="U969" s="102"/>
    </row>
    <row r="970" spans="3:21" ht="12.75">
      <c r="C970" s="121"/>
      <c r="D970" s="111"/>
      <c r="E970" s="137">
        <f t="shared" si="3"/>
        <v>0</v>
      </c>
      <c r="F970" s="102"/>
      <c r="G970" s="102"/>
      <c r="H970" s="102"/>
      <c r="I970" s="102"/>
      <c r="J970" s="102"/>
      <c r="K970" s="102"/>
      <c r="L970" s="102"/>
      <c r="M970" s="102"/>
      <c r="N970" s="102"/>
      <c r="O970" s="102"/>
      <c r="P970" s="102"/>
      <c r="Q970" s="102"/>
      <c r="R970" s="102"/>
      <c r="S970" s="102"/>
      <c r="T970" s="102"/>
      <c r="U970" s="102"/>
    </row>
    <row r="971" spans="3:21" ht="12.75">
      <c r="C971" s="121"/>
      <c r="D971" s="111"/>
      <c r="E971" s="137">
        <f t="shared" si="3"/>
        <v>0</v>
      </c>
      <c r="F971" s="102"/>
      <c r="G971" s="102"/>
      <c r="H971" s="102"/>
      <c r="I971" s="102"/>
      <c r="J971" s="102"/>
      <c r="K971" s="102"/>
      <c r="L971" s="102"/>
      <c r="M971" s="102"/>
      <c r="N971" s="102"/>
      <c r="O971" s="102"/>
      <c r="P971" s="102"/>
      <c r="Q971" s="102"/>
      <c r="R971" s="102"/>
      <c r="S971" s="102"/>
      <c r="T971" s="102"/>
      <c r="U971" s="102"/>
    </row>
    <row r="972" spans="3:21" ht="12.75">
      <c r="C972" s="121"/>
      <c r="D972" s="111"/>
      <c r="E972" s="137">
        <f t="shared" si="3"/>
        <v>0</v>
      </c>
      <c r="F972" s="102"/>
      <c r="G972" s="102"/>
      <c r="H972" s="102"/>
      <c r="I972" s="102"/>
      <c r="J972" s="102"/>
      <c r="K972" s="102"/>
      <c r="L972" s="102"/>
      <c r="M972" s="102"/>
      <c r="N972" s="102"/>
      <c r="O972" s="102"/>
      <c r="P972" s="102"/>
      <c r="Q972" s="102"/>
      <c r="R972" s="102"/>
      <c r="S972" s="102"/>
      <c r="T972" s="102"/>
      <c r="U972" s="102"/>
    </row>
    <row r="973" spans="3:21" ht="12.75">
      <c r="C973" s="121"/>
      <c r="D973" s="111"/>
      <c r="E973" s="137">
        <f t="shared" si="3"/>
        <v>0</v>
      </c>
      <c r="F973" s="102"/>
      <c r="G973" s="102"/>
      <c r="H973" s="102"/>
      <c r="I973" s="102"/>
      <c r="J973" s="102"/>
      <c r="K973" s="102"/>
      <c r="L973" s="102"/>
      <c r="M973" s="102"/>
      <c r="N973" s="102"/>
      <c r="O973" s="102"/>
      <c r="P973" s="102"/>
      <c r="Q973" s="102"/>
      <c r="R973" s="102"/>
      <c r="S973" s="102"/>
      <c r="T973" s="102"/>
      <c r="U973" s="102"/>
    </row>
    <row r="974" spans="3:21" ht="12.75">
      <c r="C974" s="121"/>
      <c r="D974" s="111"/>
      <c r="E974" s="137">
        <f t="shared" si="3"/>
        <v>0</v>
      </c>
      <c r="F974" s="102"/>
      <c r="G974" s="102"/>
      <c r="H974" s="102"/>
      <c r="I974" s="102"/>
      <c r="J974" s="102"/>
      <c r="K974" s="102"/>
      <c r="L974" s="102"/>
      <c r="M974" s="102"/>
      <c r="N974" s="102"/>
      <c r="O974" s="102"/>
      <c r="P974" s="102"/>
      <c r="Q974" s="102"/>
      <c r="R974" s="102"/>
      <c r="S974" s="102"/>
      <c r="T974" s="102"/>
      <c r="U974" s="102"/>
    </row>
    <row r="975" spans="3:21" ht="12.75">
      <c r="C975" s="121"/>
      <c r="D975" s="111"/>
      <c r="E975" s="137">
        <f t="shared" si="3"/>
        <v>0</v>
      </c>
      <c r="F975" s="102"/>
      <c r="G975" s="102"/>
      <c r="H975" s="102"/>
      <c r="I975" s="102"/>
      <c r="J975" s="102"/>
      <c r="K975" s="102"/>
      <c r="L975" s="102"/>
      <c r="M975" s="102"/>
      <c r="N975" s="102"/>
      <c r="O975" s="102"/>
      <c r="P975" s="102"/>
      <c r="Q975" s="102"/>
      <c r="R975" s="102"/>
      <c r="S975" s="102"/>
      <c r="T975" s="102"/>
      <c r="U975" s="102"/>
    </row>
    <row r="976" spans="3:21" ht="12.75">
      <c r="C976" s="121"/>
      <c r="D976" s="111"/>
      <c r="E976" s="137">
        <f t="shared" si="3"/>
        <v>0</v>
      </c>
      <c r="F976" s="102"/>
      <c r="G976" s="102"/>
      <c r="H976" s="102"/>
      <c r="I976" s="102"/>
      <c r="J976" s="102"/>
      <c r="K976" s="102"/>
      <c r="L976" s="102"/>
      <c r="M976" s="102"/>
      <c r="N976" s="102"/>
      <c r="O976" s="102"/>
      <c r="P976" s="102"/>
      <c r="Q976" s="102"/>
      <c r="R976" s="102"/>
      <c r="S976" s="102"/>
      <c r="T976" s="102"/>
      <c r="U976" s="102"/>
    </row>
    <row r="977" spans="3:21" ht="12.75">
      <c r="C977" s="121"/>
      <c r="D977" s="111"/>
      <c r="E977" s="137">
        <f t="shared" si="3"/>
        <v>0</v>
      </c>
      <c r="F977" s="102"/>
      <c r="G977" s="102"/>
      <c r="H977" s="102"/>
      <c r="I977" s="102"/>
      <c r="J977" s="102"/>
      <c r="K977" s="102"/>
      <c r="L977" s="102"/>
      <c r="M977" s="102"/>
      <c r="N977" s="102"/>
      <c r="O977" s="102"/>
      <c r="P977" s="102"/>
      <c r="Q977" s="102"/>
      <c r="R977" s="102"/>
      <c r="S977" s="102"/>
      <c r="T977" s="102"/>
      <c r="U977" s="102"/>
    </row>
    <row r="978" spans="3:21" ht="12.75">
      <c r="C978" s="121"/>
      <c r="D978" s="111"/>
      <c r="E978" s="137">
        <f t="shared" si="3"/>
        <v>0</v>
      </c>
      <c r="F978" s="102"/>
      <c r="G978" s="102"/>
      <c r="H978" s="102"/>
      <c r="I978" s="102"/>
      <c r="J978" s="102"/>
      <c r="K978" s="102"/>
      <c r="L978" s="102"/>
      <c r="M978" s="102"/>
      <c r="N978" s="102"/>
      <c r="O978" s="102"/>
      <c r="P978" s="102"/>
      <c r="Q978" s="102"/>
      <c r="R978" s="102"/>
      <c r="S978" s="102"/>
      <c r="T978" s="102"/>
      <c r="U978" s="102"/>
    </row>
    <row r="979" spans="3:21" ht="12.75">
      <c r="C979" s="121"/>
      <c r="D979" s="111"/>
      <c r="E979" s="137">
        <f t="shared" si="3"/>
        <v>0</v>
      </c>
      <c r="F979" s="102"/>
      <c r="G979" s="102"/>
      <c r="H979" s="102"/>
      <c r="I979" s="102"/>
      <c r="J979" s="102"/>
      <c r="K979" s="102"/>
      <c r="L979" s="102"/>
      <c r="M979" s="102"/>
      <c r="N979" s="102"/>
      <c r="O979" s="102"/>
      <c r="P979" s="102"/>
      <c r="Q979" s="102"/>
      <c r="R979" s="102"/>
      <c r="S979" s="102"/>
      <c r="T979" s="102"/>
      <c r="U979" s="102"/>
    </row>
    <row r="980" spans="3:21" ht="12.75">
      <c r="C980" s="121"/>
      <c r="D980" s="111"/>
      <c r="E980" s="137">
        <f t="shared" si="3"/>
        <v>0</v>
      </c>
      <c r="F980" s="102"/>
      <c r="G980" s="102"/>
      <c r="H980" s="102"/>
      <c r="I980" s="102"/>
      <c r="J980" s="102"/>
      <c r="K980" s="102"/>
      <c r="L980" s="102"/>
      <c r="M980" s="102"/>
      <c r="N980" s="102"/>
      <c r="O980" s="102"/>
      <c r="P980" s="102"/>
      <c r="Q980" s="102"/>
      <c r="R980" s="102"/>
      <c r="S980" s="102"/>
      <c r="T980" s="102"/>
      <c r="U980" s="102"/>
    </row>
    <row r="981" spans="3:21" ht="12.75">
      <c r="C981" s="121"/>
      <c r="D981" s="111"/>
      <c r="E981" s="137">
        <f t="shared" si="3"/>
        <v>0</v>
      </c>
      <c r="F981" s="102"/>
      <c r="G981" s="102"/>
      <c r="H981" s="102"/>
      <c r="I981" s="102"/>
      <c r="J981" s="102"/>
      <c r="K981" s="102"/>
      <c r="L981" s="102"/>
      <c r="M981" s="102"/>
      <c r="N981" s="102"/>
      <c r="O981" s="102"/>
      <c r="P981" s="102"/>
      <c r="Q981" s="102"/>
      <c r="R981" s="102"/>
      <c r="S981" s="102"/>
      <c r="T981" s="102"/>
      <c r="U981" s="102"/>
    </row>
    <row r="982" spans="3:21" ht="12.75">
      <c r="C982" s="121"/>
      <c r="D982" s="111"/>
      <c r="E982" s="137">
        <f t="shared" si="3"/>
        <v>0</v>
      </c>
      <c r="F982" s="102"/>
      <c r="G982" s="102"/>
      <c r="H982" s="102"/>
      <c r="I982" s="102"/>
      <c r="J982" s="102"/>
      <c r="K982" s="102"/>
      <c r="L982" s="102"/>
      <c r="M982" s="102"/>
      <c r="N982" s="102"/>
      <c r="O982" s="102"/>
      <c r="P982" s="102"/>
      <c r="Q982" s="102"/>
      <c r="R982" s="102"/>
      <c r="S982" s="102"/>
      <c r="T982" s="102"/>
      <c r="U982" s="102"/>
    </row>
    <row r="983" spans="3:21" ht="12.75">
      <c r="C983" s="121"/>
      <c r="D983" s="111"/>
      <c r="E983" s="137">
        <f t="shared" si="3"/>
        <v>0</v>
      </c>
      <c r="F983" s="102"/>
      <c r="G983" s="102"/>
      <c r="H983" s="102"/>
      <c r="I983" s="102"/>
      <c r="J983" s="102"/>
      <c r="K983" s="102"/>
      <c r="L983" s="102"/>
      <c r="M983" s="102"/>
      <c r="N983" s="102"/>
      <c r="O983" s="102"/>
      <c r="P983" s="102"/>
      <c r="Q983" s="102"/>
      <c r="R983" s="102"/>
      <c r="S983" s="102"/>
      <c r="T983" s="102"/>
      <c r="U983" s="102"/>
    </row>
    <row r="984" spans="3:21" ht="12.75">
      <c r="C984" s="121"/>
      <c r="D984" s="111"/>
      <c r="E984" s="137">
        <f t="shared" si="3"/>
        <v>0</v>
      </c>
      <c r="F984" s="102"/>
      <c r="G984" s="102"/>
      <c r="H984" s="102"/>
      <c r="I984" s="102"/>
      <c r="J984" s="102"/>
      <c r="K984" s="102"/>
      <c r="L984" s="102"/>
      <c r="M984" s="102"/>
      <c r="N984" s="102"/>
      <c r="O984" s="102"/>
      <c r="P984" s="102"/>
      <c r="Q984" s="102"/>
      <c r="R984" s="102"/>
      <c r="S984" s="102"/>
      <c r="T984" s="102"/>
      <c r="U984" s="102"/>
    </row>
    <row r="985" spans="3:21" ht="12.75">
      <c r="C985" s="121"/>
      <c r="D985" s="111"/>
      <c r="E985" s="137">
        <f t="shared" si="3"/>
        <v>0</v>
      </c>
      <c r="F985" s="102"/>
      <c r="G985" s="102"/>
      <c r="H985" s="102"/>
      <c r="I985" s="102"/>
      <c r="J985" s="102"/>
      <c r="K985" s="102"/>
      <c r="L985" s="102"/>
      <c r="M985" s="102"/>
      <c r="N985" s="102"/>
      <c r="O985" s="102"/>
      <c r="P985" s="102"/>
      <c r="Q985" s="102"/>
      <c r="R985" s="102"/>
      <c r="S985" s="102"/>
      <c r="T985" s="102"/>
      <c r="U985" s="102"/>
    </row>
    <row r="986" spans="3:21" ht="12.75">
      <c r="C986" s="121"/>
      <c r="D986" s="111"/>
      <c r="E986" s="137">
        <f t="shared" si="3"/>
        <v>0</v>
      </c>
      <c r="F986" s="102"/>
      <c r="G986" s="102"/>
      <c r="H986" s="102"/>
      <c r="I986" s="102"/>
      <c r="J986" s="102"/>
      <c r="K986" s="102"/>
      <c r="L986" s="102"/>
      <c r="M986" s="102"/>
      <c r="N986" s="102"/>
      <c r="O986" s="102"/>
      <c r="P986" s="102"/>
      <c r="Q986" s="102"/>
      <c r="R986" s="102"/>
      <c r="S986" s="102"/>
      <c r="T986" s="102"/>
      <c r="U986" s="102"/>
    </row>
    <row r="987" spans="3:21" ht="12.75">
      <c r="C987" s="121"/>
      <c r="D987" s="111"/>
      <c r="E987" s="137">
        <f t="shared" si="3"/>
        <v>0</v>
      </c>
      <c r="F987" s="102"/>
      <c r="G987" s="102"/>
      <c r="H987" s="102"/>
      <c r="I987" s="102"/>
      <c r="J987" s="102"/>
      <c r="K987" s="102"/>
      <c r="L987" s="102"/>
      <c r="M987" s="102"/>
      <c r="N987" s="102"/>
      <c r="O987" s="102"/>
      <c r="P987" s="102"/>
      <c r="Q987" s="102"/>
      <c r="R987" s="102"/>
      <c r="S987" s="102"/>
      <c r="T987" s="102"/>
      <c r="U987" s="102"/>
    </row>
    <row r="988" spans="3:21" ht="12.75">
      <c r="C988" s="121"/>
      <c r="D988" s="111"/>
      <c r="E988" s="137">
        <f t="shared" si="3"/>
        <v>0</v>
      </c>
      <c r="F988" s="102"/>
      <c r="G988" s="102"/>
      <c r="H988" s="102"/>
      <c r="I988" s="102"/>
      <c r="J988" s="102"/>
      <c r="K988" s="102"/>
      <c r="L988" s="102"/>
      <c r="M988" s="102"/>
      <c r="N988" s="102"/>
      <c r="O988" s="102"/>
      <c r="P988" s="102"/>
      <c r="Q988" s="102"/>
      <c r="R988" s="102"/>
      <c r="S988" s="102"/>
      <c r="T988" s="102"/>
      <c r="U988" s="102"/>
    </row>
    <row r="989" spans="3:21" ht="12.75">
      <c r="C989" s="121"/>
      <c r="D989" s="111"/>
      <c r="E989" s="137">
        <f t="shared" si="3"/>
        <v>0</v>
      </c>
      <c r="F989" s="102"/>
      <c r="G989" s="102"/>
      <c r="H989" s="102"/>
      <c r="I989" s="102"/>
      <c r="J989" s="102"/>
      <c r="K989" s="102"/>
      <c r="L989" s="102"/>
      <c r="M989" s="102"/>
      <c r="N989" s="102"/>
      <c r="O989" s="102"/>
      <c r="P989" s="102"/>
      <c r="Q989" s="102"/>
      <c r="R989" s="102"/>
      <c r="S989" s="102"/>
      <c r="T989" s="102"/>
      <c r="U989" s="102"/>
    </row>
    <row r="990" spans="3:21" ht="12.75">
      <c r="C990" s="121"/>
      <c r="D990" s="111"/>
      <c r="E990" s="137">
        <f t="shared" si="3"/>
        <v>0</v>
      </c>
      <c r="F990" s="102"/>
      <c r="G990" s="102"/>
      <c r="H990" s="102"/>
      <c r="I990" s="102"/>
      <c r="J990" s="102"/>
      <c r="K990" s="102"/>
      <c r="L990" s="102"/>
      <c r="M990" s="102"/>
      <c r="N990" s="102"/>
      <c r="O990" s="102"/>
      <c r="P990" s="102"/>
      <c r="Q990" s="102"/>
      <c r="R990" s="102"/>
      <c r="S990" s="102"/>
      <c r="T990" s="102"/>
      <c r="U990" s="102"/>
    </row>
    <row r="991" spans="3:21" ht="12.75">
      <c r="C991" s="121"/>
      <c r="D991" s="111"/>
      <c r="E991" s="137">
        <f t="shared" si="3"/>
        <v>0</v>
      </c>
      <c r="F991" s="102"/>
      <c r="G991" s="102"/>
      <c r="H991" s="102"/>
      <c r="I991" s="102"/>
      <c r="J991" s="102"/>
      <c r="K991" s="102"/>
      <c r="L991" s="102"/>
      <c r="M991" s="102"/>
      <c r="N991" s="102"/>
      <c r="O991" s="102"/>
      <c r="P991" s="102"/>
      <c r="Q991" s="102"/>
      <c r="R991" s="102"/>
      <c r="S991" s="102"/>
      <c r="T991" s="102"/>
      <c r="U991" s="102"/>
    </row>
    <row r="992" spans="3:21" ht="12.75">
      <c r="C992" s="121"/>
      <c r="D992" s="111"/>
      <c r="E992" s="137">
        <f t="shared" si="3"/>
        <v>0</v>
      </c>
      <c r="F992" s="102"/>
      <c r="G992" s="102"/>
      <c r="H992" s="102"/>
      <c r="I992" s="102"/>
      <c r="J992" s="102"/>
      <c r="K992" s="102"/>
      <c r="L992" s="102"/>
      <c r="M992" s="102"/>
      <c r="N992" s="102"/>
      <c r="O992" s="102"/>
      <c r="P992" s="102"/>
      <c r="Q992" s="102"/>
      <c r="R992" s="102"/>
      <c r="S992" s="102"/>
      <c r="T992" s="102"/>
      <c r="U992" s="102"/>
    </row>
    <row r="993" spans="3:21" ht="12.75">
      <c r="C993" s="121"/>
      <c r="D993" s="111"/>
      <c r="E993" s="137">
        <f t="shared" si="3"/>
        <v>0</v>
      </c>
      <c r="F993" s="102"/>
      <c r="G993" s="102"/>
      <c r="H993" s="102"/>
      <c r="I993" s="102"/>
      <c r="J993" s="102"/>
      <c r="K993" s="102"/>
      <c r="L993" s="102"/>
      <c r="M993" s="102"/>
      <c r="N993" s="102"/>
      <c r="O993" s="102"/>
      <c r="P993" s="102"/>
      <c r="Q993" s="102"/>
      <c r="R993" s="102"/>
      <c r="S993" s="102"/>
      <c r="T993" s="102"/>
      <c r="U993" s="102"/>
    </row>
    <row r="994" spans="3:21" ht="12.75">
      <c r="C994" s="121"/>
      <c r="D994" s="111"/>
      <c r="E994" s="137">
        <f t="shared" si="3"/>
        <v>0</v>
      </c>
      <c r="F994" s="102"/>
      <c r="G994" s="102"/>
      <c r="H994" s="102"/>
      <c r="I994" s="102"/>
      <c r="J994" s="102"/>
      <c r="K994" s="102"/>
      <c r="L994" s="102"/>
      <c r="M994" s="102"/>
      <c r="N994" s="102"/>
      <c r="O994" s="102"/>
      <c r="P994" s="102"/>
      <c r="Q994" s="102"/>
      <c r="R994" s="102"/>
      <c r="S994" s="102"/>
      <c r="T994" s="102"/>
      <c r="U994" s="102"/>
    </row>
    <row r="995" spans="3:21" ht="12.75">
      <c r="C995" s="121"/>
      <c r="D995" s="111"/>
      <c r="E995" s="137">
        <f t="shared" si="3"/>
        <v>0</v>
      </c>
      <c r="F995" s="102"/>
      <c r="G995" s="102"/>
      <c r="H995" s="102"/>
      <c r="I995" s="102"/>
      <c r="J995" s="102"/>
      <c r="K995" s="102"/>
      <c r="L995" s="102"/>
      <c r="M995" s="102"/>
      <c r="N995" s="102"/>
      <c r="O995" s="102"/>
      <c r="P995" s="102"/>
      <c r="Q995" s="102"/>
      <c r="R995" s="102"/>
      <c r="S995" s="102"/>
      <c r="T995" s="102"/>
      <c r="U995" s="102"/>
    </row>
    <row r="996" spans="3:21" ht="12.75">
      <c r="C996" s="121"/>
      <c r="D996" s="111"/>
      <c r="E996" s="137">
        <f t="shared" si="3"/>
        <v>0</v>
      </c>
      <c r="F996" s="102"/>
      <c r="G996" s="102"/>
      <c r="H996" s="102"/>
      <c r="I996" s="102"/>
      <c r="J996" s="102"/>
      <c r="K996" s="102"/>
      <c r="L996" s="102"/>
      <c r="M996" s="102"/>
      <c r="N996" s="102"/>
      <c r="O996" s="102"/>
      <c r="P996" s="102"/>
      <c r="Q996" s="102"/>
      <c r="R996" s="102"/>
      <c r="S996" s="102"/>
      <c r="T996" s="102"/>
      <c r="U996" s="102"/>
    </row>
    <row r="997" spans="3:21" ht="12.75">
      <c r="C997" s="121"/>
      <c r="D997" s="111"/>
      <c r="E997" s="137">
        <f t="shared" si="3"/>
        <v>0</v>
      </c>
      <c r="F997" s="102"/>
      <c r="G997" s="102"/>
      <c r="H997" s="102"/>
      <c r="I997" s="102"/>
      <c r="J997" s="102"/>
      <c r="K997" s="102"/>
      <c r="L997" s="102"/>
      <c r="M997" s="102"/>
      <c r="N997" s="102"/>
      <c r="O997" s="102"/>
      <c r="P997" s="102"/>
      <c r="Q997" s="102"/>
      <c r="R997" s="102"/>
      <c r="S997" s="102"/>
      <c r="T997" s="102"/>
      <c r="U997" s="102"/>
    </row>
    <row r="998" spans="3:21" ht="12.75">
      <c r="C998" s="121"/>
      <c r="D998" s="111"/>
      <c r="E998" s="137">
        <f t="shared" si="3"/>
        <v>0</v>
      </c>
      <c r="F998" s="102"/>
      <c r="G998" s="102"/>
      <c r="H998" s="102"/>
      <c r="I998" s="102"/>
      <c r="J998" s="102"/>
      <c r="K998" s="102"/>
      <c r="L998" s="102"/>
      <c r="M998" s="102"/>
      <c r="N998" s="102"/>
      <c r="O998" s="102"/>
      <c r="P998" s="102"/>
      <c r="Q998" s="102"/>
      <c r="R998" s="102"/>
      <c r="S998" s="102"/>
      <c r="T998" s="102"/>
      <c r="U998" s="102"/>
    </row>
    <row r="999" spans="3:21" ht="12.75">
      <c r="C999" s="121"/>
      <c r="D999" s="111"/>
      <c r="E999" s="137">
        <f t="shared" si="3"/>
        <v>0</v>
      </c>
      <c r="F999" s="102"/>
      <c r="G999" s="102"/>
      <c r="H999" s="102"/>
      <c r="I999" s="102"/>
      <c r="J999" s="102"/>
      <c r="K999" s="102"/>
      <c r="L999" s="102"/>
      <c r="M999" s="102"/>
      <c r="N999" s="102"/>
      <c r="O999" s="102"/>
      <c r="P999" s="102"/>
      <c r="Q999" s="102"/>
      <c r="R999" s="102"/>
      <c r="S999" s="102"/>
      <c r="T999" s="102"/>
      <c r="U999" s="102"/>
    </row>
    <row r="1000" spans="3:21" ht="12.75">
      <c r="C1000" s="121"/>
      <c r="D1000" s="111"/>
      <c r="E1000" s="137">
        <f t="shared" si="3"/>
        <v>0</v>
      </c>
      <c r="F1000" s="102"/>
      <c r="G1000" s="102"/>
      <c r="H1000" s="102"/>
      <c r="I1000" s="102"/>
      <c r="J1000" s="102"/>
      <c r="K1000" s="102"/>
      <c r="L1000" s="102"/>
      <c r="M1000" s="102"/>
      <c r="N1000" s="102"/>
      <c r="O1000" s="102"/>
      <c r="P1000" s="102"/>
      <c r="Q1000" s="102"/>
      <c r="R1000" s="102"/>
      <c r="S1000" s="102"/>
      <c r="T1000" s="102"/>
      <c r="U1000" s="102"/>
    </row>
  </sheetData>
  <dataValidations count="2">
    <dataValidation type="list" allowBlank="1" showErrorMessage="1" sqref="F2:U1000" xr:uid="{00000000-0002-0000-0500-000000000000}">
      <formula1>"Yes,No"</formula1>
    </dataValidation>
    <dataValidation type="list" allowBlank="1" showErrorMessage="1" sqref="C2:C1000" xr:uid="{00000000-0002-0000-0500-000001000000}">
      <formula1>"QQC,Patient,HMIS"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55"/>
  <sheetViews>
    <sheetView workbookViewId="0">
      <pane ySplit="1" topLeftCell="A2" activePane="bottomLeft" state="frozen"/>
      <selection pane="bottomLeft" activeCell="B3" sqref="B3"/>
    </sheetView>
  </sheetViews>
  <sheetFormatPr defaultColWidth="12.5703125" defaultRowHeight="15.75" customHeight="1"/>
  <cols>
    <col min="1" max="1" width="62.7109375" hidden="1" customWidth="1"/>
    <col min="2" max="2" width="23.42578125" customWidth="1"/>
    <col min="3" max="3" width="21.28515625" customWidth="1"/>
    <col min="4" max="5" width="19.7109375" customWidth="1"/>
    <col min="6" max="6" width="37.42578125" customWidth="1"/>
    <col min="7" max="7" width="89.5703125" customWidth="1"/>
    <col min="8" max="11" width="37.42578125" customWidth="1"/>
  </cols>
  <sheetData>
    <row r="1" spans="1:11">
      <c r="A1" s="138" t="s">
        <v>754</v>
      </c>
      <c r="B1" s="139" t="s">
        <v>12</v>
      </c>
      <c r="C1" s="139" t="s">
        <v>51</v>
      </c>
      <c r="D1" s="139" t="s">
        <v>755</v>
      </c>
      <c r="E1" s="139" t="s">
        <v>756</v>
      </c>
      <c r="F1" s="139" t="s">
        <v>757</v>
      </c>
      <c r="G1" s="139" t="s">
        <v>758</v>
      </c>
      <c r="H1" s="139" t="s">
        <v>759</v>
      </c>
      <c r="I1" s="139" t="s">
        <v>760</v>
      </c>
      <c r="J1" s="139" t="s">
        <v>761</v>
      </c>
      <c r="K1" s="139" t="s">
        <v>762</v>
      </c>
    </row>
    <row r="2" spans="1:11">
      <c r="A2" s="138" t="s">
        <v>763</v>
      </c>
      <c r="B2" s="140"/>
      <c r="C2" s="140"/>
      <c r="D2" s="140"/>
      <c r="E2" s="140"/>
      <c r="F2" s="140"/>
      <c r="G2" s="140"/>
      <c r="H2" s="140"/>
      <c r="I2" s="140"/>
      <c r="J2" s="140"/>
      <c r="K2" s="140"/>
    </row>
    <row r="3" spans="1:11">
      <c r="A3" s="138" t="s">
        <v>764</v>
      </c>
      <c r="B3" s="140"/>
      <c r="C3" s="140"/>
      <c r="D3" s="140"/>
      <c r="E3" s="140"/>
      <c r="F3" s="140"/>
      <c r="G3" s="140"/>
      <c r="H3" s="140"/>
      <c r="I3" s="140"/>
      <c r="J3" s="140"/>
      <c r="K3" s="140"/>
    </row>
    <row r="4" spans="1:11">
      <c r="A4" s="138" t="s">
        <v>765</v>
      </c>
      <c r="B4" s="140"/>
      <c r="C4" s="140"/>
      <c r="D4" s="140"/>
      <c r="E4" s="140"/>
      <c r="F4" s="140"/>
      <c r="G4" s="140"/>
      <c r="H4" s="140"/>
      <c r="I4" s="140"/>
      <c r="J4" s="140"/>
      <c r="K4" s="140"/>
    </row>
    <row r="5" spans="1:11">
      <c r="A5" s="138" t="s">
        <v>766</v>
      </c>
      <c r="B5" s="140"/>
      <c r="C5" s="140"/>
      <c r="D5" s="140"/>
      <c r="E5" s="140"/>
      <c r="F5" s="140"/>
      <c r="G5" s="140"/>
      <c r="H5" s="140"/>
      <c r="I5" s="140"/>
      <c r="J5" s="140"/>
      <c r="K5" s="140"/>
    </row>
    <row r="6" spans="1:11">
      <c r="A6" s="138" t="s">
        <v>767</v>
      </c>
      <c r="B6" s="140"/>
      <c r="C6" s="140"/>
      <c r="D6" s="140"/>
      <c r="E6" s="140"/>
      <c r="F6" s="140"/>
      <c r="G6" s="140"/>
      <c r="H6" s="140"/>
      <c r="I6" s="140"/>
      <c r="J6" s="140"/>
      <c r="K6" s="140"/>
    </row>
    <row r="7" spans="1:11">
      <c r="A7" s="138" t="s">
        <v>768</v>
      </c>
      <c r="B7" s="140"/>
      <c r="C7" s="140"/>
      <c r="D7" s="140"/>
      <c r="E7" s="140"/>
      <c r="F7" s="140"/>
      <c r="G7" s="140"/>
      <c r="H7" s="140"/>
      <c r="I7" s="140"/>
      <c r="J7" s="140"/>
      <c r="K7" s="140"/>
    </row>
    <row r="8" spans="1:11">
      <c r="A8" s="138" t="s">
        <v>769</v>
      </c>
      <c r="B8" s="140"/>
      <c r="C8" s="140"/>
      <c r="D8" s="140"/>
      <c r="E8" s="140"/>
      <c r="F8" s="140"/>
      <c r="G8" s="140"/>
      <c r="H8" s="140"/>
      <c r="I8" s="140"/>
      <c r="J8" s="140"/>
      <c r="K8" s="140"/>
    </row>
    <row r="9" spans="1:11">
      <c r="A9" s="138" t="s">
        <v>770</v>
      </c>
      <c r="B9" s="140"/>
      <c r="C9" s="140"/>
      <c r="D9" s="140"/>
      <c r="E9" s="140"/>
      <c r="F9" s="140"/>
      <c r="G9" s="140"/>
      <c r="H9" s="140"/>
      <c r="I9" s="140"/>
      <c r="J9" s="140"/>
      <c r="K9" s="140"/>
    </row>
    <row r="10" spans="1:11">
      <c r="A10" s="138" t="s">
        <v>771</v>
      </c>
      <c r="B10" s="140"/>
      <c r="C10" s="140"/>
      <c r="D10" s="140"/>
      <c r="E10" s="140"/>
      <c r="F10" s="140"/>
      <c r="G10" s="140"/>
      <c r="H10" s="140"/>
      <c r="I10" s="140"/>
      <c r="J10" s="140"/>
      <c r="K10" s="140"/>
    </row>
    <row r="11" spans="1:11">
      <c r="A11" s="138" t="s">
        <v>772</v>
      </c>
      <c r="B11" s="140"/>
      <c r="C11" s="140"/>
      <c r="D11" s="140"/>
      <c r="E11" s="140"/>
      <c r="F11" s="140"/>
      <c r="G11" s="140"/>
      <c r="H11" s="140"/>
      <c r="I11" s="140"/>
      <c r="J11" s="140"/>
      <c r="K11" s="140"/>
    </row>
    <row r="12" spans="1:11">
      <c r="A12" s="138" t="s">
        <v>773</v>
      </c>
      <c r="B12" s="140"/>
      <c r="C12" s="140"/>
      <c r="D12" s="140"/>
      <c r="E12" s="140"/>
      <c r="F12" s="140"/>
      <c r="G12" s="140"/>
      <c r="H12" s="140"/>
      <c r="I12" s="140"/>
      <c r="J12" s="140"/>
      <c r="K12" s="140"/>
    </row>
    <row r="13" spans="1:11">
      <c r="A13" s="138" t="s">
        <v>774</v>
      </c>
      <c r="B13" s="140"/>
      <c r="C13" s="140"/>
      <c r="D13" s="140"/>
      <c r="E13" s="140"/>
      <c r="F13" s="140"/>
      <c r="G13" s="140"/>
      <c r="H13" s="140"/>
      <c r="I13" s="140"/>
      <c r="J13" s="140"/>
      <c r="K13" s="140"/>
    </row>
    <row r="14" spans="1:11">
      <c r="A14" s="138" t="s">
        <v>775</v>
      </c>
      <c r="B14" s="140"/>
      <c r="C14" s="140"/>
      <c r="D14" s="140"/>
      <c r="E14" s="140"/>
      <c r="F14" s="140"/>
      <c r="G14" s="140"/>
      <c r="H14" s="140"/>
      <c r="I14" s="140"/>
      <c r="J14" s="140"/>
      <c r="K14" s="140"/>
    </row>
    <row r="15" spans="1:11">
      <c r="A15" s="138" t="s">
        <v>776</v>
      </c>
      <c r="B15" s="140"/>
      <c r="C15" s="140"/>
      <c r="D15" s="140"/>
      <c r="E15" s="140"/>
      <c r="F15" s="140"/>
      <c r="G15" s="140"/>
      <c r="H15" s="140"/>
      <c r="I15" s="140"/>
      <c r="J15" s="140"/>
      <c r="K15" s="140"/>
    </row>
    <row r="16" spans="1:11">
      <c r="A16" s="138" t="s">
        <v>777</v>
      </c>
      <c r="B16" s="140"/>
      <c r="C16" s="140"/>
      <c r="D16" s="140"/>
      <c r="E16" s="140"/>
      <c r="F16" s="140"/>
      <c r="G16" s="140"/>
      <c r="H16" s="140"/>
      <c r="I16" s="140"/>
      <c r="J16" s="140"/>
      <c r="K16" s="140"/>
    </row>
    <row r="17" spans="1:11">
      <c r="A17" s="138" t="s">
        <v>778</v>
      </c>
      <c r="B17" s="140"/>
      <c r="C17" s="140"/>
      <c r="D17" s="140"/>
      <c r="E17" s="140"/>
      <c r="F17" s="140"/>
      <c r="G17" s="140"/>
      <c r="H17" s="140"/>
      <c r="I17" s="140"/>
      <c r="J17" s="140"/>
      <c r="K17" s="140"/>
    </row>
    <row r="18" spans="1:11">
      <c r="A18" s="138" t="s">
        <v>779</v>
      </c>
      <c r="B18" s="140"/>
      <c r="C18" s="140"/>
      <c r="D18" s="140"/>
      <c r="E18" s="140"/>
      <c r="F18" s="140"/>
      <c r="G18" s="140"/>
      <c r="H18" s="140"/>
      <c r="I18" s="140"/>
      <c r="J18" s="140"/>
      <c r="K18" s="140"/>
    </row>
    <row r="19" spans="1:11">
      <c r="A19" s="138" t="s">
        <v>780</v>
      </c>
      <c r="B19" s="140"/>
      <c r="C19" s="140"/>
      <c r="D19" s="140"/>
      <c r="E19" s="140"/>
      <c r="F19" s="140"/>
      <c r="G19" s="140"/>
      <c r="H19" s="140"/>
      <c r="I19" s="140"/>
      <c r="J19" s="140"/>
      <c r="K19" s="140"/>
    </row>
    <row r="20" spans="1:11">
      <c r="A20" s="138" t="s">
        <v>781</v>
      </c>
      <c r="B20" s="140"/>
      <c r="C20" s="140"/>
      <c r="D20" s="140"/>
      <c r="E20" s="140"/>
      <c r="F20" s="140"/>
      <c r="G20" s="140"/>
      <c r="H20" s="140"/>
      <c r="I20" s="140"/>
      <c r="J20" s="140"/>
      <c r="K20" s="140"/>
    </row>
    <row r="21" spans="1:11">
      <c r="A21" s="138" t="s">
        <v>782</v>
      </c>
      <c r="B21" s="140"/>
      <c r="C21" s="140"/>
      <c r="D21" s="140"/>
      <c r="E21" s="140"/>
      <c r="F21" s="140"/>
      <c r="G21" s="140"/>
      <c r="H21" s="140"/>
      <c r="I21" s="140"/>
      <c r="J21" s="140"/>
      <c r="K21" s="140"/>
    </row>
    <row r="22" spans="1:11">
      <c r="A22" s="138" t="s">
        <v>783</v>
      </c>
      <c r="B22" s="140"/>
      <c r="C22" s="140"/>
      <c r="D22" s="140"/>
      <c r="E22" s="140"/>
      <c r="F22" s="140"/>
      <c r="G22" s="140"/>
      <c r="H22" s="140"/>
      <c r="I22" s="140"/>
      <c r="J22" s="140"/>
      <c r="K22" s="140"/>
    </row>
    <row r="23" spans="1:11">
      <c r="A23" s="138" t="s">
        <v>784</v>
      </c>
      <c r="B23" s="140"/>
      <c r="C23" s="140"/>
      <c r="D23" s="140"/>
      <c r="E23" s="140"/>
      <c r="F23" s="140"/>
      <c r="G23" s="140"/>
      <c r="H23" s="140"/>
      <c r="I23" s="140"/>
      <c r="J23" s="140"/>
      <c r="K23" s="140"/>
    </row>
    <row r="24" spans="1:11">
      <c r="A24" s="138" t="s">
        <v>785</v>
      </c>
      <c r="B24" s="140"/>
      <c r="C24" s="140"/>
      <c r="D24" s="140"/>
      <c r="E24" s="140"/>
      <c r="F24" s="140"/>
      <c r="G24" s="140"/>
      <c r="H24" s="140"/>
      <c r="I24" s="140"/>
      <c r="J24" s="140"/>
      <c r="K24" s="140"/>
    </row>
    <row r="25" spans="1:11">
      <c r="A25" s="138" t="s">
        <v>786</v>
      </c>
      <c r="B25" s="140"/>
      <c r="C25" s="140"/>
      <c r="D25" s="140"/>
      <c r="E25" s="140"/>
      <c r="F25" s="140"/>
      <c r="G25" s="140"/>
      <c r="H25" s="140"/>
      <c r="I25" s="140"/>
      <c r="J25" s="140"/>
      <c r="K25" s="140"/>
    </row>
    <row r="26" spans="1:11">
      <c r="A26" s="138" t="s">
        <v>787</v>
      </c>
      <c r="B26" s="140"/>
      <c r="C26" s="140"/>
      <c r="D26" s="140"/>
      <c r="E26" s="140"/>
      <c r="F26" s="140"/>
      <c r="G26" s="140"/>
      <c r="H26" s="140"/>
      <c r="I26" s="140"/>
      <c r="J26" s="140"/>
      <c r="K26" s="140"/>
    </row>
    <row r="27" spans="1:11">
      <c r="A27" s="138" t="s">
        <v>788</v>
      </c>
      <c r="B27" s="140"/>
      <c r="C27" s="140"/>
      <c r="D27" s="140"/>
      <c r="E27" s="140"/>
      <c r="F27" s="140"/>
      <c r="G27" s="140"/>
      <c r="H27" s="140"/>
      <c r="I27" s="140"/>
      <c r="J27" s="140"/>
      <c r="K27" s="140"/>
    </row>
    <row r="28" spans="1:11">
      <c r="A28" s="138"/>
      <c r="B28" s="138"/>
      <c r="C28" s="138"/>
      <c r="D28" s="138"/>
      <c r="E28" s="138"/>
      <c r="F28" s="138"/>
      <c r="G28" s="140"/>
      <c r="H28" s="138"/>
      <c r="I28" s="138"/>
      <c r="J28" s="138"/>
      <c r="K28" s="138"/>
    </row>
    <row r="29" spans="1:11">
      <c r="A29" s="138"/>
      <c r="B29" s="140"/>
      <c r="C29" s="140"/>
      <c r="D29" s="140"/>
      <c r="E29" s="140"/>
      <c r="F29" s="140"/>
      <c r="G29" s="140"/>
      <c r="H29" s="140"/>
      <c r="I29" s="140"/>
      <c r="J29" s="140"/>
      <c r="K29" s="140"/>
    </row>
    <row r="30" spans="1:11">
      <c r="A30" s="138"/>
      <c r="B30" s="140"/>
      <c r="C30" s="140"/>
      <c r="D30" s="140"/>
      <c r="E30" s="140"/>
      <c r="F30" s="140"/>
      <c r="G30" s="140"/>
      <c r="H30" s="140"/>
      <c r="I30" s="140"/>
      <c r="J30" s="140"/>
      <c r="K30" s="140"/>
    </row>
    <row r="31" spans="1:11">
      <c r="A31" s="138"/>
      <c r="B31" s="140"/>
      <c r="C31" s="140"/>
      <c r="D31" s="140"/>
      <c r="E31" s="140"/>
      <c r="F31" s="140"/>
      <c r="G31" s="140"/>
      <c r="H31" s="140"/>
      <c r="I31" s="140"/>
      <c r="J31" s="140"/>
      <c r="K31" s="140"/>
    </row>
    <row r="32" spans="1:11">
      <c r="A32" s="138"/>
      <c r="B32" s="140"/>
      <c r="C32" s="140"/>
      <c r="D32" s="140"/>
      <c r="E32" s="140"/>
      <c r="F32" s="140"/>
      <c r="G32" s="140"/>
      <c r="H32" s="140"/>
      <c r="I32" s="140"/>
      <c r="J32" s="140"/>
      <c r="K32" s="140"/>
    </row>
    <row r="33" spans="1:11">
      <c r="A33" s="138"/>
      <c r="B33" s="140"/>
      <c r="C33" s="140"/>
      <c r="D33" s="140"/>
      <c r="E33" s="140"/>
      <c r="F33" s="140"/>
      <c r="G33" s="140"/>
      <c r="H33" s="140"/>
      <c r="I33" s="140"/>
      <c r="J33" s="140"/>
      <c r="K33" s="140"/>
    </row>
    <row r="34" spans="1:11">
      <c r="A34" s="138"/>
      <c r="B34" s="140"/>
      <c r="C34" s="140"/>
      <c r="D34" s="140"/>
      <c r="E34" s="140"/>
      <c r="F34" s="140"/>
      <c r="G34" s="140"/>
      <c r="H34" s="140"/>
      <c r="I34" s="140"/>
      <c r="J34" s="140"/>
      <c r="K34" s="140"/>
    </row>
    <row r="35" spans="1:11">
      <c r="A35" s="138"/>
      <c r="B35" s="140"/>
      <c r="C35" s="140"/>
      <c r="D35" s="140"/>
      <c r="E35" s="140"/>
      <c r="F35" s="140"/>
      <c r="G35" s="140"/>
      <c r="H35" s="140"/>
      <c r="I35" s="140"/>
      <c r="J35" s="140"/>
      <c r="K35" s="140"/>
    </row>
    <row r="36" spans="1:11">
      <c r="A36" s="138"/>
      <c r="B36" s="140"/>
      <c r="C36" s="140"/>
      <c r="D36" s="140"/>
      <c r="E36" s="140"/>
      <c r="F36" s="140"/>
      <c r="G36" s="140"/>
      <c r="H36" s="140"/>
      <c r="I36" s="140"/>
      <c r="J36" s="140"/>
      <c r="K36" s="140"/>
    </row>
    <row r="37" spans="1:11">
      <c r="A37" s="138"/>
      <c r="B37" s="140"/>
      <c r="C37" s="140"/>
      <c r="D37" s="140"/>
      <c r="E37" s="140"/>
      <c r="F37" s="140"/>
      <c r="G37" s="140"/>
      <c r="H37" s="140"/>
      <c r="I37" s="140"/>
      <c r="J37" s="140"/>
      <c r="K37" s="140"/>
    </row>
    <row r="38" spans="1:11">
      <c r="A38" s="138"/>
      <c r="B38" s="140"/>
      <c r="C38" s="140"/>
      <c r="D38" s="140"/>
      <c r="E38" s="140"/>
      <c r="F38" s="140"/>
      <c r="G38" s="140"/>
      <c r="H38" s="140"/>
      <c r="I38" s="140"/>
      <c r="J38" s="140"/>
      <c r="K38" s="140"/>
    </row>
    <row r="39" spans="1:11">
      <c r="A39" s="138"/>
      <c r="B39" s="140"/>
      <c r="C39" s="140"/>
      <c r="D39" s="140"/>
      <c r="E39" s="140"/>
      <c r="F39" s="140"/>
      <c r="G39" s="140"/>
      <c r="H39" s="140"/>
      <c r="I39" s="140"/>
      <c r="J39" s="140"/>
      <c r="K39" s="140"/>
    </row>
    <row r="40" spans="1:11">
      <c r="A40" s="138"/>
      <c r="B40" s="140"/>
      <c r="C40" s="140"/>
      <c r="D40" s="140"/>
      <c r="E40" s="140"/>
      <c r="F40" s="140"/>
      <c r="G40" s="140"/>
      <c r="H40" s="140"/>
      <c r="I40" s="140"/>
      <c r="J40" s="140"/>
      <c r="K40" s="140"/>
    </row>
    <row r="41" spans="1:11">
      <c r="A41" s="138"/>
      <c r="B41" s="140"/>
      <c r="C41" s="140"/>
      <c r="D41" s="140"/>
      <c r="E41" s="140"/>
      <c r="F41" s="140"/>
      <c r="G41" s="140"/>
      <c r="H41" s="140"/>
      <c r="I41" s="140"/>
      <c r="J41" s="140"/>
      <c r="K41" s="140"/>
    </row>
    <row r="42" spans="1:11">
      <c r="A42" s="138"/>
      <c r="B42" s="140"/>
      <c r="C42" s="140"/>
      <c r="D42" s="140"/>
      <c r="E42" s="140"/>
      <c r="F42" s="140"/>
      <c r="G42" s="140"/>
      <c r="H42" s="140"/>
      <c r="I42" s="140"/>
      <c r="J42" s="140"/>
      <c r="K42" s="140"/>
    </row>
    <row r="43" spans="1:11">
      <c r="A43" s="138"/>
      <c r="B43" s="138"/>
      <c r="C43" s="138"/>
      <c r="D43" s="138"/>
      <c r="E43" s="138"/>
      <c r="F43" s="138"/>
      <c r="G43" s="140"/>
      <c r="H43" s="138"/>
      <c r="I43" s="138"/>
      <c r="J43" s="138"/>
      <c r="K43" s="138"/>
    </row>
    <row r="44" spans="1:11">
      <c r="A44" s="138"/>
      <c r="B44" s="140"/>
      <c r="C44" s="140"/>
      <c r="D44" s="140"/>
      <c r="E44" s="140"/>
      <c r="F44" s="140"/>
      <c r="G44" s="140"/>
      <c r="H44" s="140"/>
      <c r="I44" s="140"/>
      <c r="J44" s="140"/>
      <c r="K44" s="140"/>
    </row>
    <row r="45" spans="1:11">
      <c r="A45" s="138"/>
      <c r="B45" s="140"/>
      <c r="C45" s="140"/>
      <c r="D45" s="140"/>
      <c r="E45" s="140"/>
      <c r="F45" s="140"/>
      <c r="G45" s="140"/>
      <c r="H45" s="140"/>
      <c r="I45" s="140"/>
      <c r="J45" s="140"/>
      <c r="K45" s="140"/>
    </row>
    <row r="46" spans="1:11">
      <c r="A46" s="138"/>
      <c r="B46" s="140"/>
      <c r="C46" s="140"/>
      <c r="D46" s="140"/>
      <c r="E46" s="140"/>
      <c r="F46" s="140"/>
      <c r="G46" s="140"/>
      <c r="H46" s="140"/>
      <c r="I46" s="140"/>
      <c r="J46" s="140"/>
      <c r="K46" s="140"/>
    </row>
    <row r="47" spans="1:11">
      <c r="A47" s="138"/>
      <c r="B47" s="140"/>
      <c r="C47" s="140"/>
      <c r="D47" s="140"/>
      <c r="E47" s="140"/>
      <c r="F47" s="140"/>
      <c r="G47" s="140"/>
      <c r="H47" s="140"/>
      <c r="I47" s="140"/>
      <c r="J47" s="140"/>
      <c r="K47" s="140"/>
    </row>
    <row r="48" spans="1:11">
      <c r="A48" s="138"/>
      <c r="B48" s="140"/>
      <c r="C48" s="140"/>
      <c r="D48" s="140"/>
      <c r="E48" s="140"/>
      <c r="F48" s="140"/>
      <c r="G48" s="140"/>
      <c r="H48" s="140"/>
      <c r="I48" s="140"/>
      <c r="J48" s="140"/>
      <c r="K48" s="140"/>
    </row>
    <row r="49" spans="1:11">
      <c r="A49" s="138"/>
      <c r="B49" s="140"/>
      <c r="C49" s="140"/>
      <c r="D49" s="140"/>
      <c r="E49" s="140"/>
      <c r="F49" s="140"/>
      <c r="G49" s="140"/>
      <c r="H49" s="140"/>
      <c r="I49" s="140"/>
      <c r="J49" s="140"/>
      <c r="K49" s="140"/>
    </row>
    <row r="50" spans="1:11">
      <c r="A50" s="138"/>
      <c r="B50" s="140"/>
      <c r="C50" s="140"/>
      <c r="D50" s="140"/>
      <c r="E50" s="140"/>
      <c r="F50" s="140"/>
      <c r="G50" s="140"/>
      <c r="H50" s="140"/>
      <c r="I50" s="140"/>
      <c r="J50" s="140"/>
      <c r="K50" s="140"/>
    </row>
    <row r="51" spans="1:11">
      <c r="A51" s="138"/>
      <c r="B51" s="140"/>
      <c r="C51" s="140"/>
      <c r="D51" s="140"/>
      <c r="E51" s="140"/>
      <c r="F51" s="140"/>
      <c r="G51" s="140"/>
      <c r="H51" s="140"/>
      <c r="I51" s="140"/>
      <c r="J51" s="140"/>
      <c r="K51" s="140"/>
    </row>
    <row r="52" spans="1:11">
      <c r="A52" s="138"/>
      <c r="B52" s="140"/>
      <c r="C52" s="140"/>
      <c r="D52" s="140"/>
      <c r="E52" s="140"/>
      <c r="F52" s="140"/>
      <c r="G52" s="140"/>
      <c r="H52" s="140"/>
      <c r="I52" s="140"/>
      <c r="J52" s="140"/>
      <c r="K52" s="140"/>
    </row>
    <row r="53" spans="1:11">
      <c r="A53" s="138"/>
      <c r="B53" s="140"/>
      <c r="C53" s="140"/>
      <c r="D53" s="140"/>
      <c r="E53" s="140"/>
      <c r="F53" s="140"/>
      <c r="G53" s="140"/>
      <c r="H53" s="140"/>
      <c r="I53" s="140"/>
      <c r="J53" s="140"/>
      <c r="K53" s="140"/>
    </row>
    <row r="54" spans="1:11">
      <c r="A54" s="138"/>
      <c r="B54" s="140"/>
      <c r="C54" s="140"/>
      <c r="D54" s="140"/>
      <c r="E54" s="140"/>
      <c r="F54" s="140"/>
      <c r="G54" s="140"/>
      <c r="H54" s="140"/>
      <c r="I54" s="140"/>
      <c r="J54" s="140"/>
      <c r="K54" s="140"/>
    </row>
    <row r="55" spans="1:11">
      <c r="A55" s="138"/>
      <c r="B55" s="140"/>
      <c r="C55" s="140"/>
      <c r="D55" s="140"/>
      <c r="E55" s="140"/>
      <c r="F55" s="140"/>
      <c r="G55" s="140"/>
      <c r="H55" s="140"/>
      <c r="I55" s="140"/>
      <c r="J55" s="140"/>
      <c r="K55" s="140"/>
    </row>
  </sheetData>
  <dataValidations count="1">
    <dataValidation type="list" allowBlank="1" showErrorMessage="1" sqref="G2:G55" xr:uid="{00000000-0002-0000-0600-000000000000}">
      <formula1>"Health facility closed during normal expected working hours,Health facility has non-functional sections,Staff absent without notifying facility management (unreported staff absences),Minimum staffing requirements not met,Staff salaries unpaid, delayed, or"&amp;" shortfalls (&lt;90% on-time pay),Stock-out of essential medicines/nutrition (RUTF),Unauthorized sale of medicines,Patients given prescriptions to procure medication outside HF,Major violations affecting drug quality (e.g., improper storage),Registers not av"&amp;"ailable (or missing) for HMIS verification,Clients report abuse, exploitation, or mistreatment by staff,Theft incident at the health facility"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1"/>
  <sheetViews>
    <sheetView workbookViewId="0">
      <pane ySplit="1" topLeftCell="A2" activePane="bottomLeft" state="frozen"/>
      <selection pane="bottomLeft" activeCell="B3" sqref="B3"/>
    </sheetView>
  </sheetViews>
  <sheetFormatPr defaultColWidth="12.5703125" defaultRowHeight="15.75" customHeight="1"/>
  <cols>
    <col min="1" max="5" width="14.42578125" customWidth="1"/>
    <col min="6" max="6" width="21.85546875" customWidth="1"/>
    <col min="7" max="7" width="24.85546875" customWidth="1"/>
    <col min="8" max="9" width="14.42578125" customWidth="1"/>
  </cols>
  <sheetData>
    <row r="1" spans="1:9">
      <c r="A1" s="141" t="s">
        <v>789</v>
      </c>
      <c r="B1" s="141" t="s">
        <v>12</v>
      </c>
      <c r="C1" s="141" t="s">
        <v>51</v>
      </c>
      <c r="D1" s="141" t="s">
        <v>790</v>
      </c>
      <c r="E1" s="141" t="s">
        <v>791</v>
      </c>
      <c r="F1" s="141" t="s">
        <v>792</v>
      </c>
      <c r="G1" s="141" t="s">
        <v>793</v>
      </c>
      <c r="H1" s="141" t="s">
        <v>794</v>
      </c>
      <c r="I1" s="141" t="s">
        <v>762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000"/>
  <sheetViews>
    <sheetView workbookViewId="0">
      <pane ySplit="1" topLeftCell="A2" activePane="bottomLeft" state="frozen"/>
      <selection pane="bottomLeft" activeCell="B3" sqref="B3"/>
    </sheetView>
  </sheetViews>
  <sheetFormatPr defaultColWidth="12.5703125" defaultRowHeight="15.75" customHeight="1"/>
  <cols>
    <col min="1" max="1" width="3.140625" customWidth="1"/>
    <col min="2" max="2" width="21.28515625" customWidth="1"/>
    <col min="3" max="5" width="14.7109375" customWidth="1"/>
    <col min="6" max="6" width="94.140625" customWidth="1"/>
    <col min="7" max="10" width="14.7109375" customWidth="1"/>
  </cols>
  <sheetData>
    <row r="1" spans="1:10" ht="12.75">
      <c r="A1" s="142" t="s">
        <v>795</v>
      </c>
      <c r="B1" s="143" t="s">
        <v>789</v>
      </c>
      <c r="C1" s="143" t="s">
        <v>12</v>
      </c>
      <c r="D1" s="143" t="s">
        <v>51</v>
      </c>
      <c r="E1" s="143" t="s">
        <v>790</v>
      </c>
      <c r="F1" s="143" t="s">
        <v>796</v>
      </c>
      <c r="G1" s="144" t="s">
        <v>797</v>
      </c>
      <c r="H1" s="143" t="s">
        <v>798</v>
      </c>
      <c r="I1" s="143" t="s">
        <v>759</v>
      </c>
      <c r="J1" s="143" t="s">
        <v>799</v>
      </c>
    </row>
    <row r="2" spans="1:10" ht="12.75">
      <c r="A2" s="145">
        <v>1</v>
      </c>
      <c r="B2" s="146"/>
      <c r="C2" s="146" t="s">
        <v>481</v>
      </c>
      <c r="D2" s="146"/>
      <c r="E2" s="146"/>
      <c r="F2" s="146" t="s">
        <v>800</v>
      </c>
      <c r="G2" s="147">
        <v>45959</v>
      </c>
      <c r="H2" s="146" t="s">
        <v>801</v>
      </c>
      <c r="I2" s="146" t="s">
        <v>802</v>
      </c>
      <c r="J2" s="146" t="s">
        <v>803</v>
      </c>
    </row>
    <row r="3" spans="1:10" ht="12.75">
      <c r="A3" s="145">
        <v>2</v>
      </c>
      <c r="B3" s="146"/>
      <c r="C3" s="146" t="s">
        <v>804</v>
      </c>
      <c r="D3" s="146"/>
      <c r="E3" s="146"/>
      <c r="F3" s="146" t="s">
        <v>805</v>
      </c>
      <c r="G3" s="147">
        <v>45959</v>
      </c>
      <c r="H3" s="146" t="s">
        <v>801</v>
      </c>
      <c r="I3" s="146" t="s">
        <v>802</v>
      </c>
      <c r="J3" s="146" t="s">
        <v>803</v>
      </c>
    </row>
    <row r="4" spans="1:10" ht="12.75">
      <c r="A4" s="145">
        <v>3</v>
      </c>
      <c r="B4" s="146"/>
      <c r="C4" s="146" t="s">
        <v>806</v>
      </c>
      <c r="D4" s="146"/>
      <c r="E4" s="146"/>
      <c r="F4" s="146" t="s">
        <v>807</v>
      </c>
      <c r="G4" s="147">
        <v>45959</v>
      </c>
      <c r="H4" s="146" t="s">
        <v>801</v>
      </c>
      <c r="I4" s="146" t="s">
        <v>802</v>
      </c>
      <c r="J4" s="146" t="s">
        <v>803</v>
      </c>
    </row>
    <row r="5" spans="1:10" ht="12.75">
      <c r="A5" s="145">
        <v>4</v>
      </c>
      <c r="B5" s="146"/>
      <c r="C5" s="146" t="s">
        <v>135</v>
      </c>
      <c r="D5" s="146"/>
      <c r="E5" s="146"/>
      <c r="F5" s="146" t="s">
        <v>808</v>
      </c>
      <c r="G5" s="147">
        <v>45959</v>
      </c>
      <c r="H5" s="146" t="s">
        <v>801</v>
      </c>
      <c r="I5" s="146" t="s">
        <v>802</v>
      </c>
      <c r="J5" s="146" t="s">
        <v>803</v>
      </c>
    </row>
    <row r="6" spans="1:10" ht="12.75">
      <c r="A6" s="145">
        <v>5</v>
      </c>
      <c r="B6" s="146"/>
      <c r="C6" s="146" t="s">
        <v>804</v>
      </c>
      <c r="D6" s="146"/>
      <c r="E6" s="146"/>
      <c r="F6" s="146" t="s">
        <v>809</v>
      </c>
      <c r="G6" s="147">
        <v>45960</v>
      </c>
      <c r="H6" s="146" t="s">
        <v>810</v>
      </c>
      <c r="I6" s="146" t="s">
        <v>802</v>
      </c>
      <c r="J6" s="146" t="s">
        <v>803</v>
      </c>
    </row>
    <row r="7" spans="1:10" ht="12.75">
      <c r="A7" s="145">
        <v>6</v>
      </c>
      <c r="B7" s="146"/>
      <c r="C7" s="146" t="s">
        <v>135</v>
      </c>
      <c r="D7" s="146"/>
      <c r="E7" s="146"/>
      <c r="F7" s="148" t="s">
        <v>811</v>
      </c>
      <c r="G7" s="147">
        <v>45960</v>
      </c>
      <c r="H7" s="146" t="s">
        <v>801</v>
      </c>
      <c r="I7" s="146" t="s">
        <v>802</v>
      </c>
      <c r="J7" s="146" t="s">
        <v>803</v>
      </c>
    </row>
    <row r="8" spans="1:10" ht="12.75">
      <c r="A8" s="145">
        <v>7</v>
      </c>
      <c r="B8" s="146"/>
      <c r="C8" s="146" t="s">
        <v>806</v>
      </c>
      <c r="D8" s="146"/>
      <c r="E8" s="146"/>
      <c r="F8" s="146" t="s">
        <v>812</v>
      </c>
      <c r="G8" s="147">
        <v>45960</v>
      </c>
      <c r="H8" s="146" t="s">
        <v>810</v>
      </c>
      <c r="I8" s="146" t="s">
        <v>802</v>
      </c>
      <c r="J8" s="146" t="s">
        <v>803</v>
      </c>
    </row>
    <row r="9" spans="1:10" ht="12.75">
      <c r="A9" s="145">
        <v>8</v>
      </c>
      <c r="B9" s="146"/>
      <c r="C9" s="146" t="s">
        <v>25</v>
      </c>
      <c r="D9" s="146"/>
      <c r="E9" s="146"/>
      <c r="F9" s="146" t="s">
        <v>813</v>
      </c>
      <c r="G9" s="147">
        <v>45960</v>
      </c>
      <c r="H9" s="146" t="s">
        <v>814</v>
      </c>
      <c r="I9" s="146" t="s">
        <v>802</v>
      </c>
      <c r="J9" s="146" t="s">
        <v>803</v>
      </c>
    </row>
    <row r="10" spans="1:10" ht="12.75">
      <c r="A10" s="145">
        <v>9</v>
      </c>
      <c r="B10" s="146"/>
      <c r="C10" s="146" t="s">
        <v>129</v>
      </c>
      <c r="D10" s="146"/>
      <c r="E10" s="146"/>
      <c r="F10" s="146" t="s">
        <v>815</v>
      </c>
      <c r="G10" s="147">
        <v>45963</v>
      </c>
      <c r="H10" s="146"/>
      <c r="I10" s="146" t="s">
        <v>802</v>
      </c>
      <c r="J10" s="146"/>
    </row>
    <row r="11" spans="1:10" ht="18" customHeight="1">
      <c r="A11" s="145">
        <v>10</v>
      </c>
      <c r="B11" s="149"/>
      <c r="C11" s="145" t="s">
        <v>132</v>
      </c>
      <c r="D11" s="149"/>
      <c r="E11" s="149"/>
      <c r="F11" s="145" t="s">
        <v>816</v>
      </c>
      <c r="G11" s="150">
        <v>45958</v>
      </c>
      <c r="H11" s="145" t="s">
        <v>817</v>
      </c>
      <c r="I11" s="145" t="s">
        <v>802</v>
      </c>
      <c r="J11" s="149" t="s">
        <v>803</v>
      </c>
    </row>
    <row r="12" spans="1:10" ht="12.75">
      <c r="A12" s="145">
        <v>11</v>
      </c>
      <c r="B12" s="146"/>
      <c r="C12" s="146" t="s">
        <v>30</v>
      </c>
      <c r="D12" s="146"/>
      <c r="E12" s="146"/>
      <c r="F12" s="146" t="s">
        <v>818</v>
      </c>
      <c r="G12" s="151">
        <v>45960</v>
      </c>
      <c r="H12" s="146" t="s">
        <v>810</v>
      </c>
      <c r="I12" s="146" t="s">
        <v>802</v>
      </c>
      <c r="J12" s="146"/>
    </row>
    <row r="13" spans="1:10" ht="12.75">
      <c r="A13" s="145">
        <v>12</v>
      </c>
      <c r="B13" s="146"/>
      <c r="C13" s="146" t="s">
        <v>34</v>
      </c>
      <c r="D13" s="146"/>
      <c r="E13" s="146"/>
      <c r="F13" s="146" t="s">
        <v>819</v>
      </c>
      <c r="G13" s="151">
        <v>45963</v>
      </c>
      <c r="H13" s="146" t="s">
        <v>810</v>
      </c>
      <c r="I13" s="146" t="s">
        <v>802</v>
      </c>
      <c r="J13" s="146" t="s">
        <v>803</v>
      </c>
    </row>
    <row r="14" spans="1:10" ht="12.75">
      <c r="A14" s="145">
        <v>13</v>
      </c>
      <c r="B14" s="146"/>
      <c r="C14" s="146" t="s">
        <v>137</v>
      </c>
      <c r="D14" s="146"/>
      <c r="E14" s="146"/>
      <c r="F14" s="146" t="s">
        <v>820</v>
      </c>
      <c r="G14" s="151" t="s">
        <v>821</v>
      </c>
      <c r="H14" s="146" t="s">
        <v>817</v>
      </c>
      <c r="J14" s="146" t="s">
        <v>803</v>
      </c>
    </row>
    <row r="15" spans="1:10" ht="12.75">
      <c r="A15" s="145">
        <v>14</v>
      </c>
      <c r="B15" s="146"/>
      <c r="C15" s="146" t="s">
        <v>804</v>
      </c>
      <c r="D15" s="146"/>
      <c r="E15" s="146"/>
      <c r="F15" s="146" t="s">
        <v>822</v>
      </c>
      <c r="G15" s="151">
        <v>45964</v>
      </c>
      <c r="H15" s="146" t="s">
        <v>810</v>
      </c>
      <c r="I15" s="146" t="s">
        <v>802</v>
      </c>
      <c r="J15" s="146" t="s">
        <v>803</v>
      </c>
    </row>
    <row r="16" spans="1:10" ht="12.75">
      <c r="A16" s="145">
        <v>15</v>
      </c>
      <c r="B16" s="146"/>
      <c r="C16" s="146" t="s">
        <v>135</v>
      </c>
      <c r="D16" s="146"/>
      <c r="E16" s="146"/>
      <c r="F16" s="146" t="s">
        <v>823</v>
      </c>
      <c r="G16" s="151">
        <v>45964</v>
      </c>
      <c r="H16" s="146" t="s">
        <v>810</v>
      </c>
      <c r="I16" s="146" t="s">
        <v>802</v>
      </c>
      <c r="J16" s="146" t="s">
        <v>803</v>
      </c>
    </row>
    <row r="17" spans="1:10" ht="12.75">
      <c r="A17" s="145">
        <v>16</v>
      </c>
      <c r="B17" s="146"/>
      <c r="C17" s="146" t="s">
        <v>25</v>
      </c>
      <c r="D17" s="146"/>
      <c r="E17" s="146"/>
      <c r="F17" s="146" t="s">
        <v>824</v>
      </c>
      <c r="G17" s="147">
        <v>45962</v>
      </c>
      <c r="H17" s="146"/>
      <c r="I17" s="146" t="s">
        <v>802</v>
      </c>
      <c r="J17" s="146"/>
    </row>
    <row r="18" spans="1:10" ht="12.75">
      <c r="A18" s="145">
        <v>17</v>
      </c>
      <c r="B18" s="146"/>
      <c r="C18" s="146" t="s">
        <v>31</v>
      </c>
      <c r="D18" s="146"/>
      <c r="E18" s="146"/>
      <c r="F18" s="146" t="s">
        <v>825</v>
      </c>
      <c r="G18" s="147">
        <v>45964</v>
      </c>
      <c r="H18" s="146" t="s">
        <v>810</v>
      </c>
      <c r="I18" s="146" t="s">
        <v>802</v>
      </c>
      <c r="J18" s="146" t="s">
        <v>803</v>
      </c>
    </row>
    <row r="19" spans="1:10" ht="12.75">
      <c r="A19" s="145">
        <v>18</v>
      </c>
      <c r="B19" s="146"/>
      <c r="C19" s="146" t="s">
        <v>134</v>
      </c>
      <c r="D19" s="146"/>
      <c r="E19" s="146"/>
      <c r="F19" s="146" t="s">
        <v>826</v>
      </c>
      <c r="G19" s="151" t="s">
        <v>821</v>
      </c>
      <c r="H19" s="146" t="s">
        <v>817</v>
      </c>
      <c r="I19" s="146"/>
      <c r="J19" s="146" t="s">
        <v>803</v>
      </c>
    </row>
    <row r="20" spans="1:10" ht="12.75">
      <c r="A20" s="152">
        <v>19</v>
      </c>
      <c r="G20" s="102"/>
    </row>
    <row r="21" spans="1:10" ht="12.75">
      <c r="A21" s="152">
        <v>20</v>
      </c>
      <c r="G21" s="102"/>
    </row>
    <row r="22" spans="1:10" ht="12.75">
      <c r="A22" s="152">
        <v>21</v>
      </c>
      <c r="G22" s="102"/>
    </row>
    <row r="23" spans="1:10" ht="12.75">
      <c r="A23" s="152">
        <v>22</v>
      </c>
      <c r="G23" s="102"/>
    </row>
    <row r="24" spans="1:10" ht="12.75">
      <c r="A24" s="152">
        <v>23</v>
      </c>
      <c r="G24" s="102"/>
    </row>
    <row r="25" spans="1:10" ht="12.75">
      <c r="A25" s="152">
        <v>24</v>
      </c>
      <c r="G25" s="102"/>
    </row>
    <row r="26" spans="1:10" ht="12.75">
      <c r="A26" s="152">
        <v>25</v>
      </c>
      <c r="G26" s="102"/>
    </row>
    <row r="27" spans="1:10" ht="12.75">
      <c r="A27" s="152">
        <v>26</v>
      </c>
      <c r="G27" s="102"/>
    </row>
    <row r="28" spans="1:10" ht="12.75">
      <c r="A28" s="152"/>
      <c r="G28" s="102"/>
    </row>
    <row r="29" spans="1:10" ht="12.75">
      <c r="A29" s="152"/>
      <c r="G29" s="102"/>
    </row>
    <row r="30" spans="1:10" ht="12.75">
      <c r="A30" s="152"/>
      <c r="G30" s="102"/>
    </row>
    <row r="31" spans="1:10" ht="12.75">
      <c r="A31" s="152"/>
      <c r="G31" s="102"/>
    </row>
    <row r="32" spans="1:10" ht="12.75">
      <c r="A32" s="152"/>
      <c r="G32" s="102"/>
    </row>
    <row r="33" spans="1:7" ht="12.75">
      <c r="A33" s="152"/>
      <c r="G33" s="102"/>
    </row>
    <row r="34" spans="1:7" ht="12.75">
      <c r="A34" s="152"/>
      <c r="G34" s="102"/>
    </row>
    <row r="35" spans="1:7" ht="12.75">
      <c r="A35" s="152"/>
      <c r="G35" s="102"/>
    </row>
    <row r="36" spans="1:7" ht="12.75">
      <c r="A36" s="152"/>
      <c r="G36" s="102"/>
    </row>
    <row r="37" spans="1:7" ht="12.75">
      <c r="A37" s="152"/>
      <c r="G37" s="102"/>
    </row>
    <row r="38" spans="1:7" ht="12.75">
      <c r="A38" s="152"/>
      <c r="G38" s="102"/>
    </row>
    <row r="39" spans="1:7" ht="12.75">
      <c r="A39" s="152"/>
      <c r="G39" s="102"/>
    </row>
    <row r="40" spans="1:7" ht="12.75">
      <c r="A40" s="152"/>
      <c r="G40" s="102"/>
    </row>
    <row r="41" spans="1:7" ht="12.75">
      <c r="A41" s="152"/>
      <c r="G41" s="102"/>
    </row>
    <row r="42" spans="1:7" ht="12.75">
      <c r="A42" s="152"/>
      <c r="G42" s="102"/>
    </row>
    <row r="43" spans="1:7" ht="12.75">
      <c r="A43" s="152"/>
      <c r="G43" s="102"/>
    </row>
    <row r="44" spans="1:7" ht="12.75">
      <c r="A44" s="152"/>
      <c r="G44" s="102"/>
    </row>
    <row r="45" spans="1:7" ht="12.75">
      <c r="A45" s="152"/>
      <c r="G45" s="102"/>
    </row>
    <row r="46" spans="1:7" ht="12.75">
      <c r="A46" s="152"/>
      <c r="G46" s="102"/>
    </row>
    <row r="47" spans="1:7" ht="12.75">
      <c r="A47" s="152"/>
      <c r="G47" s="102"/>
    </row>
    <row r="48" spans="1:7" ht="12.75">
      <c r="A48" s="152"/>
      <c r="G48" s="102"/>
    </row>
    <row r="49" spans="1:7" ht="12.75">
      <c r="A49" s="152"/>
      <c r="G49" s="102"/>
    </row>
    <row r="50" spans="1:7" ht="12.75">
      <c r="A50" s="152"/>
      <c r="G50" s="102"/>
    </row>
    <row r="51" spans="1:7" ht="12.75">
      <c r="A51" s="152"/>
      <c r="G51" s="102"/>
    </row>
    <row r="52" spans="1:7" ht="12.75">
      <c r="A52" s="152"/>
      <c r="G52" s="102"/>
    </row>
    <row r="53" spans="1:7" ht="12.75">
      <c r="A53" s="152"/>
      <c r="G53" s="102"/>
    </row>
    <row r="54" spans="1:7" ht="12.75">
      <c r="A54" s="152"/>
      <c r="G54" s="102"/>
    </row>
    <row r="55" spans="1:7" ht="12.75">
      <c r="A55" s="152"/>
      <c r="G55" s="102"/>
    </row>
    <row r="56" spans="1:7" ht="12.75">
      <c r="A56" s="152"/>
      <c r="G56" s="102"/>
    </row>
    <row r="57" spans="1:7" ht="12.75">
      <c r="A57" s="152"/>
      <c r="G57" s="102"/>
    </row>
    <row r="58" spans="1:7" ht="12.75">
      <c r="A58" s="152"/>
      <c r="G58" s="102"/>
    </row>
    <row r="59" spans="1:7" ht="12.75">
      <c r="A59" s="152"/>
      <c r="G59" s="102"/>
    </row>
    <row r="60" spans="1:7" ht="12.75">
      <c r="A60" s="152"/>
      <c r="G60" s="102"/>
    </row>
    <row r="61" spans="1:7" ht="12.75">
      <c r="A61" s="152"/>
      <c r="G61" s="102"/>
    </row>
    <row r="62" spans="1:7" ht="12.75">
      <c r="A62" s="152"/>
      <c r="G62" s="102"/>
    </row>
    <row r="63" spans="1:7" ht="12.75">
      <c r="A63" s="152"/>
      <c r="G63" s="102"/>
    </row>
    <row r="64" spans="1:7" ht="12.75">
      <c r="A64" s="152"/>
      <c r="G64" s="102"/>
    </row>
    <row r="65" spans="1:7" ht="12.75">
      <c r="A65" s="152"/>
      <c r="G65" s="102"/>
    </row>
    <row r="66" spans="1:7" ht="12.75">
      <c r="A66" s="152"/>
      <c r="G66" s="102"/>
    </row>
    <row r="67" spans="1:7" ht="12.75">
      <c r="A67" s="152"/>
      <c r="G67" s="102"/>
    </row>
    <row r="68" spans="1:7" ht="12.75">
      <c r="A68" s="152"/>
      <c r="G68" s="102"/>
    </row>
    <row r="69" spans="1:7" ht="12.75">
      <c r="A69" s="152"/>
      <c r="G69" s="102"/>
    </row>
    <row r="70" spans="1:7" ht="12.75">
      <c r="A70" s="152"/>
      <c r="G70" s="102"/>
    </row>
    <row r="71" spans="1:7" ht="12.75">
      <c r="A71" s="152"/>
      <c r="G71" s="102"/>
    </row>
    <row r="72" spans="1:7" ht="12.75">
      <c r="A72" s="152"/>
      <c r="G72" s="102"/>
    </row>
    <row r="73" spans="1:7" ht="12.75">
      <c r="A73" s="152"/>
      <c r="G73" s="102"/>
    </row>
    <row r="74" spans="1:7" ht="12.75">
      <c r="A74" s="152"/>
      <c r="G74" s="102"/>
    </row>
    <row r="75" spans="1:7" ht="12.75">
      <c r="A75" s="152"/>
      <c r="G75" s="102"/>
    </row>
    <row r="76" spans="1:7" ht="12.75">
      <c r="A76" s="152"/>
      <c r="G76" s="102"/>
    </row>
    <row r="77" spans="1:7" ht="12.75">
      <c r="A77" s="152"/>
      <c r="G77" s="102"/>
    </row>
    <row r="78" spans="1:7" ht="12.75">
      <c r="A78" s="152"/>
      <c r="G78" s="102"/>
    </row>
    <row r="79" spans="1:7" ht="12.75">
      <c r="A79" s="152"/>
      <c r="G79" s="102"/>
    </row>
    <row r="80" spans="1:7" ht="12.75">
      <c r="A80" s="152"/>
      <c r="G80" s="102"/>
    </row>
    <row r="81" spans="1:7" ht="12.75">
      <c r="A81" s="152"/>
      <c r="G81" s="102"/>
    </row>
    <row r="82" spans="1:7" ht="12.75">
      <c r="A82" s="152"/>
      <c r="G82" s="102"/>
    </row>
    <row r="83" spans="1:7" ht="12.75">
      <c r="A83" s="152"/>
      <c r="G83" s="102"/>
    </row>
    <row r="84" spans="1:7" ht="12.75">
      <c r="A84" s="152"/>
      <c r="G84" s="102"/>
    </row>
    <row r="85" spans="1:7" ht="12.75">
      <c r="A85" s="152"/>
      <c r="G85" s="102"/>
    </row>
    <row r="86" spans="1:7" ht="12.75">
      <c r="A86" s="152"/>
      <c r="G86" s="102"/>
    </row>
    <row r="87" spans="1:7" ht="12.75">
      <c r="A87" s="152"/>
      <c r="G87" s="102"/>
    </row>
    <row r="88" spans="1:7" ht="12.75">
      <c r="A88" s="152"/>
      <c r="G88" s="102"/>
    </row>
    <row r="89" spans="1:7" ht="12.75">
      <c r="A89" s="152"/>
      <c r="G89" s="102"/>
    </row>
    <row r="90" spans="1:7" ht="12.75">
      <c r="A90" s="152"/>
      <c r="G90" s="102"/>
    </row>
    <row r="91" spans="1:7" ht="12.75">
      <c r="A91" s="152"/>
      <c r="G91" s="102"/>
    </row>
    <row r="92" spans="1:7" ht="12.75">
      <c r="A92" s="152"/>
      <c r="G92" s="102"/>
    </row>
    <row r="93" spans="1:7" ht="12.75">
      <c r="A93" s="152"/>
      <c r="G93" s="102"/>
    </row>
    <row r="94" spans="1:7" ht="12.75">
      <c r="A94" s="152"/>
      <c r="G94" s="102"/>
    </row>
    <row r="95" spans="1:7" ht="12.75">
      <c r="A95" s="152"/>
      <c r="G95" s="102"/>
    </row>
    <row r="96" spans="1:7" ht="12.75">
      <c r="A96" s="152"/>
      <c r="G96" s="102"/>
    </row>
    <row r="97" spans="1:7" ht="12.75">
      <c r="A97" s="152"/>
      <c r="G97" s="102"/>
    </row>
    <row r="98" spans="1:7" ht="12.75">
      <c r="A98" s="152"/>
      <c r="G98" s="102"/>
    </row>
    <row r="99" spans="1:7" ht="12.75">
      <c r="A99" s="152"/>
      <c r="G99" s="102"/>
    </row>
    <row r="100" spans="1:7" ht="12.75">
      <c r="A100" s="152"/>
      <c r="G100" s="102"/>
    </row>
    <row r="101" spans="1:7" ht="12.75">
      <c r="A101" s="152"/>
      <c r="G101" s="102"/>
    </row>
    <row r="102" spans="1:7" ht="12.75">
      <c r="A102" s="152"/>
      <c r="G102" s="102"/>
    </row>
    <row r="103" spans="1:7" ht="12.75">
      <c r="A103" s="152"/>
      <c r="G103" s="102"/>
    </row>
    <row r="104" spans="1:7" ht="12.75">
      <c r="A104" s="152"/>
      <c r="G104" s="102"/>
    </row>
    <row r="105" spans="1:7" ht="12.75">
      <c r="A105" s="152"/>
      <c r="G105" s="102"/>
    </row>
    <row r="106" spans="1:7" ht="12.75">
      <c r="A106" s="152"/>
      <c r="G106" s="102"/>
    </row>
    <row r="107" spans="1:7" ht="12.75">
      <c r="A107" s="152"/>
      <c r="G107" s="102"/>
    </row>
    <row r="108" spans="1:7" ht="12.75">
      <c r="A108" s="152"/>
      <c r="G108" s="102"/>
    </row>
    <row r="109" spans="1:7" ht="12.75">
      <c r="A109" s="152"/>
      <c r="G109" s="102"/>
    </row>
    <row r="110" spans="1:7" ht="12.75">
      <c r="A110" s="152"/>
      <c r="G110" s="102"/>
    </row>
    <row r="111" spans="1:7" ht="12.75">
      <c r="A111" s="152"/>
      <c r="G111" s="102"/>
    </row>
    <row r="112" spans="1:7" ht="12.75">
      <c r="A112" s="152"/>
      <c r="G112" s="102"/>
    </row>
    <row r="113" spans="1:7" ht="12.75">
      <c r="A113" s="152"/>
      <c r="G113" s="102"/>
    </row>
    <row r="114" spans="1:7" ht="12.75">
      <c r="A114" s="152"/>
      <c r="G114" s="102"/>
    </row>
    <row r="115" spans="1:7" ht="12.75">
      <c r="A115" s="152"/>
      <c r="G115" s="102"/>
    </row>
    <row r="116" spans="1:7" ht="12.75">
      <c r="A116" s="152"/>
      <c r="G116" s="102"/>
    </row>
    <row r="117" spans="1:7" ht="12.75">
      <c r="A117" s="152"/>
      <c r="G117" s="102"/>
    </row>
    <row r="118" spans="1:7" ht="12.75">
      <c r="A118" s="152"/>
      <c r="G118" s="102"/>
    </row>
    <row r="119" spans="1:7" ht="12.75">
      <c r="A119" s="152"/>
      <c r="G119" s="102"/>
    </row>
    <row r="120" spans="1:7" ht="12.75">
      <c r="A120" s="152"/>
      <c r="G120" s="102"/>
    </row>
    <row r="121" spans="1:7" ht="12.75">
      <c r="A121" s="152"/>
      <c r="G121" s="102"/>
    </row>
    <row r="122" spans="1:7" ht="12.75">
      <c r="A122" s="152"/>
      <c r="G122" s="102"/>
    </row>
    <row r="123" spans="1:7" ht="12.75">
      <c r="A123" s="152"/>
      <c r="G123" s="102"/>
    </row>
    <row r="124" spans="1:7" ht="12.75">
      <c r="A124" s="152"/>
      <c r="G124" s="102"/>
    </row>
    <row r="125" spans="1:7" ht="12.75">
      <c r="A125" s="152"/>
      <c r="G125" s="102"/>
    </row>
    <row r="126" spans="1:7" ht="12.75">
      <c r="A126" s="152"/>
      <c r="G126" s="102"/>
    </row>
    <row r="127" spans="1:7" ht="12.75">
      <c r="A127" s="152"/>
      <c r="G127" s="102"/>
    </row>
    <row r="128" spans="1:7" ht="12.75">
      <c r="A128" s="152"/>
      <c r="G128" s="102"/>
    </row>
    <row r="129" spans="1:7" ht="12.75">
      <c r="A129" s="152"/>
      <c r="G129" s="102"/>
    </row>
    <row r="130" spans="1:7" ht="12.75">
      <c r="A130" s="152"/>
      <c r="G130" s="102"/>
    </row>
    <row r="131" spans="1:7" ht="12.75">
      <c r="A131" s="152"/>
      <c r="G131" s="102"/>
    </row>
    <row r="132" spans="1:7" ht="12.75">
      <c r="A132" s="152"/>
      <c r="G132" s="102"/>
    </row>
    <row r="133" spans="1:7" ht="12.75">
      <c r="A133" s="152"/>
      <c r="G133" s="102"/>
    </row>
    <row r="134" spans="1:7" ht="12.75">
      <c r="A134" s="152"/>
      <c r="G134" s="102"/>
    </row>
    <row r="135" spans="1:7" ht="12.75">
      <c r="A135" s="152"/>
      <c r="G135" s="102"/>
    </row>
    <row r="136" spans="1:7" ht="12.75">
      <c r="A136" s="152"/>
      <c r="G136" s="102"/>
    </row>
    <row r="137" spans="1:7" ht="12.75">
      <c r="A137" s="152"/>
      <c r="G137" s="102"/>
    </row>
    <row r="138" spans="1:7" ht="12.75">
      <c r="A138" s="152"/>
      <c r="G138" s="102"/>
    </row>
    <row r="139" spans="1:7" ht="12.75">
      <c r="A139" s="152"/>
      <c r="G139" s="102"/>
    </row>
    <row r="140" spans="1:7" ht="12.75">
      <c r="A140" s="152"/>
      <c r="G140" s="102"/>
    </row>
    <row r="141" spans="1:7" ht="12.75">
      <c r="A141" s="152"/>
      <c r="G141" s="102"/>
    </row>
    <row r="142" spans="1:7" ht="12.75">
      <c r="A142" s="152"/>
      <c r="G142" s="102"/>
    </row>
    <row r="143" spans="1:7" ht="12.75">
      <c r="A143" s="152"/>
      <c r="G143" s="102"/>
    </row>
    <row r="144" spans="1:7" ht="12.75">
      <c r="A144" s="152"/>
      <c r="G144" s="102"/>
    </row>
    <row r="145" spans="1:7" ht="12.75">
      <c r="A145" s="152"/>
      <c r="G145" s="102"/>
    </row>
    <row r="146" spans="1:7" ht="12.75">
      <c r="A146" s="152"/>
      <c r="G146" s="102"/>
    </row>
    <row r="147" spans="1:7" ht="12.75">
      <c r="A147" s="152"/>
      <c r="G147" s="102"/>
    </row>
    <row r="148" spans="1:7" ht="12.75">
      <c r="A148" s="152"/>
      <c r="G148" s="102"/>
    </row>
    <row r="149" spans="1:7" ht="12.75">
      <c r="A149" s="152"/>
      <c r="G149" s="102"/>
    </row>
    <row r="150" spans="1:7" ht="12.75">
      <c r="A150" s="152"/>
      <c r="G150" s="102"/>
    </row>
    <row r="151" spans="1:7" ht="12.75">
      <c r="A151" s="152"/>
      <c r="G151" s="102"/>
    </row>
    <row r="152" spans="1:7" ht="12.75">
      <c r="A152" s="152"/>
      <c r="G152" s="102"/>
    </row>
    <row r="153" spans="1:7" ht="12.75">
      <c r="A153" s="152"/>
      <c r="G153" s="102"/>
    </row>
    <row r="154" spans="1:7" ht="12.75">
      <c r="A154" s="152"/>
      <c r="G154" s="102"/>
    </row>
    <row r="155" spans="1:7" ht="12.75">
      <c r="A155" s="152"/>
      <c r="G155" s="102"/>
    </row>
    <row r="156" spans="1:7" ht="12.75">
      <c r="A156" s="152"/>
      <c r="G156" s="102"/>
    </row>
    <row r="157" spans="1:7" ht="12.75">
      <c r="A157" s="152"/>
      <c r="G157" s="102"/>
    </row>
    <row r="158" spans="1:7" ht="12.75">
      <c r="A158" s="152"/>
      <c r="G158" s="102"/>
    </row>
    <row r="159" spans="1:7" ht="12.75">
      <c r="A159" s="152"/>
      <c r="G159" s="102"/>
    </row>
    <row r="160" spans="1:7" ht="12.75">
      <c r="A160" s="152"/>
      <c r="G160" s="102"/>
    </row>
    <row r="161" spans="1:7" ht="12.75">
      <c r="A161" s="152"/>
      <c r="G161" s="102"/>
    </row>
    <row r="162" spans="1:7" ht="12.75">
      <c r="A162" s="152"/>
      <c r="G162" s="102"/>
    </row>
    <row r="163" spans="1:7" ht="12.75">
      <c r="A163" s="152"/>
      <c r="G163" s="102"/>
    </row>
    <row r="164" spans="1:7" ht="12.75">
      <c r="A164" s="152"/>
      <c r="G164" s="102"/>
    </row>
    <row r="165" spans="1:7" ht="12.75">
      <c r="A165" s="152"/>
      <c r="G165" s="102"/>
    </row>
    <row r="166" spans="1:7" ht="12.75">
      <c r="A166" s="152"/>
      <c r="G166" s="102"/>
    </row>
    <row r="167" spans="1:7" ht="12.75">
      <c r="A167" s="152"/>
      <c r="G167" s="102"/>
    </row>
    <row r="168" spans="1:7" ht="12.75">
      <c r="A168" s="152"/>
      <c r="G168" s="102"/>
    </row>
    <row r="169" spans="1:7" ht="12.75">
      <c r="A169" s="152"/>
      <c r="G169" s="102"/>
    </row>
    <row r="170" spans="1:7" ht="12.75">
      <c r="A170" s="152"/>
      <c r="G170" s="102"/>
    </row>
    <row r="171" spans="1:7" ht="12.75">
      <c r="A171" s="152"/>
      <c r="G171" s="102"/>
    </row>
    <row r="172" spans="1:7" ht="12.75">
      <c r="A172" s="152"/>
      <c r="G172" s="102"/>
    </row>
    <row r="173" spans="1:7" ht="12.75">
      <c r="A173" s="152"/>
      <c r="G173" s="102"/>
    </row>
    <row r="174" spans="1:7" ht="12.75">
      <c r="A174" s="152"/>
      <c r="G174" s="102"/>
    </row>
    <row r="175" spans="1:7" ht="12.75">
      <c r="A175" s="152"/>
      <c r="G175" s="102"/>
    </row>
    <row r="176" spans="1:7" ht="12.75">
      <c r="A176" s="152"/>
      <c r="G176" s="102"/>
    </row>
    <row r="177" spans="1:7" ht="12.75">
      <c r="A177" s="152"/>
      <c r="G177" s="102"/>
    </row>
    <row r="178" spans="1:7" ht="12.75">
      <c r="A178" s="152"/>
      <c r="G178" s="102"/>
    </row>
    <row r="179" spans="1:7" ht="12.75">
      <c r="A179" s="152"/>
      <c r="G179" s="102"/>
    </row>
    <row r="180" spans="1:7" ht="12.75">
      <c r="A180" s="152"/>
      <c r="G180" s="102"/>
    </row>
    <row r="181" spans="1:7" ht="12.75">
      <c r="A181" s="152"/>
      <c r="G181" s="102"/>
    </row>
    <row r="182" spans="1:7" ht="12.75">
      <c r="A182" s="152"/>
      <c r="G182" s="102"/>
    </row>
    <row r="183" spans="1:7" ht="12.75">
      <c r="A183" s="152"/>
      <c r="G183" s="102"/>
    </row>
    <row r="184" spans="1:7" ht="12.75">
      <c r="A184" s="152"/>
      <c r="G184" s="102"/>
    </row>
    <row r="185" spans="1:7" ht="12.75">
      <c r="A185" s="152"/>
      <c r="G185" s="102"/>
    </row>
    <row r="186" spans="1:7" ht="12.75">
      <c r="A186" s="152"/>
      <c r="G186" s="102"/>
    </row>
    <row r="187" spans="1:7" ht="12.75">
      <c r="A187" s="152"/>
      <c r="G187" s="102"/>
    </row>
    <row r="188" spans="1:7" ht="12.75">
      <c r="A188" s="152"/>
      <c r="G188" s="102"/>
    </row>
    <row r="189" spans="1:7" ht="12.75">
      <c r="A189" s="152"/>
      <c r="G189" s="102"/>
    </row>
    <row r="190" spans="1:7" ht="12.75">
      <c r="A190" s="152"/>
      <c r="G190" s="102"/>
    </row>
    <row r="191" spans="1:7" ht="12.75">
      <c r="A191" s="152"/>
      <c r="G191" s="102"/>
    </row>
    <row r="192" spans="1:7" ht="12.75">
      <c r="A192" s="152"/>
      <c r="G192" s="102"/>
    </row>
    <row r="193" spans="1:7" ht="12.75">
      <c r="A193" s="152"/>
      <c r="G193" s="102"/>
    </row>
    <row r="194" spans="1:7" ht="12.75">
      <c r="A194" s="152"/>
      <c r="G194" s="102"/>
    </row>
    <row r="195" spans="1:7" ht="12.75">
      <c r="A195" s="152"/>
      <c r="G195" s="102"/>
    </row>
    <row r="196" spans="1:7" ht="12.75">
      <c r="A196" s="152"/>
      <c r="G196" s="102"/>
    </row>
    <row r="197" spans="1:7" ht="12.75">
      <c r="A197" s="152"/>
      <c r="G197" s="102"/>
    </row>
    <row r="198" spans="1:7" ht="12.75">
      <c r="A198" s="152"/>
      <c r="G198" s="102"/>
    </row>
    <row r="199" spans="1:7" ht="12.75">
      <c r="A199" s="152"/>
      <c r="G199" s="102"/>
    </row>
    <row r="200" spans="1:7" ht="12.75">
      <c r="A200" s="152"/>
      <c r="G200" s="102"/>
    </row>
    <row r="201" spans="1:7" ht="12.75">
      <c r="A201" s="152"/>
      <c r="G201" s="102"/>
    </row>
    <row r="202" spans="1:7" ht="12.75">
      <c r="A202" s="152"/>
      <c r="G202" s="102"/>
    </row>
    <row r="203" spans="1:7" ht="12.75">
      <c r="A203" s="152"/>
      <c r="G203" s="102"/>
    </row>
    <row r="204" spans="1:7" ht="12.75">
      <c r="A204" s="152"/>
      <c r="G204" s="102"/>
    </row>
    <row r="205" spans="1:7" ht="12.75">
      <c r="A205" s="152"/>
      <c r="G205" s="102"/>
    </row>
    <row r="206" spans="1:7" ht="12.75">
      <c r="A206" s="152"/>
      <c r="G206" s="102"/>
    </row>
    <row r="207" spans="1:7" ht="12.75">
      <c r="A207" s="152"/>
      <c r="G207" s="102"/>
    </row>
    <row r="208" spans="1:7" ht="12.75">
      <c r="A208" s="152"/>
      <c r="G208" s="102"/>
    </row>
    <row r="209" spans="1:7" ht="12.75">
      <c r="A209" s="152"/>
      <c r="G209" s="102"/>
    </row>
    <row r="210" spans="1:7" ht="12.75">
      <c r="A210" s="152"/>
      <c r="G210" s="102"/>
    </row>
    <row r="211" spans="1:7" ht="12.75">
      <c r="A211" s="152"/>
      <c r="G211" s="102"/>
    </row>
    <row r="212" spans="1:7" ht="12.75">
      <c r="A212" s="152"/>
      <c r="G212" s="102"/>
    </row>
    <row r="213" spans="1:7" ht="12.75">
      <c r="A213" s="152"/>
      <c r="G213" s="102"/>
    </row>
    <row r="214" spans="1:7" ht="12.75">
      <c r="A214" s="152"/>
      <c r="G214" s="102"/>
    </row>
    <row r="215" spans="1:7" ht="12.75">
      <c r="A215" s="152"/>
      <c r="G215" s="102"/>
    </row>
    <row r="216" spans="1:7" ht="12.75">
      <c r="A216" s="152"/>
      <c r="G216" s="102"/>
    </row>
    <row r="217" spans="1:7" ht="12.75">
      <c r="A217" s="152"/>
      <c r="G217" s="102"/>
    </row>
    <row r="218" spans="1:7" ht="12.75">
      <c r="A218" s="152"/>
      <c r="G218" s="102"/>
    </row>
    <row r="219" spans="1:7" ht="12.75">
      <c r="A219" s="152"/>
      <c r="G219" s="102"/>
    </row>
    <row r="220" spans="1:7" ht="12.75">
      <c r="A220" s="152"/>
      <c r="G220" s="102"/>
    </row>
    <row r="221" spans="1:7" ht="12.75">
      <c r="A221" s="152"/>
      <c r="G221" s="102"/>
    </row>
    <row r="222" spans="1:7" ht="12.75">
      <c r="A222" s="152"/>
      <c r="G222" s="102"/>
    </row>
    <row r="223" spans="1:7" ht="12.75">
      <c r="A223" s="152"/>
      <c r="G223" s="102"/>
    </row>
    <row r="224" spans="1:7" ht="12.75">
      <c r="A224" s="152"/>
      <c r="G224" s="102"/>
    </row>
    <row r="225" spans="1:7" ht="12.75">
      <c r="A225" s="152"/>
      <c r="G225" s="102"/>
    </row>
    <row r="226" spans="1:7" ht="12.75">
      <c r="A226" s="152"/>
      <c r="G226" s="102"/>
    </row>
    <row r="227" spans="1:7" ht="12.75">
      <c r="A227" s="152"/>
      <c r="G227" s="102"/>
    </row>
    <row r="228" spans="1:7" ht="12.75">
      <c r="A228" s="152"/>
      <c r="G228" s="102"/>
    </row>
    <row r="229" spans="1:7" ht="12.75">
      <c r="A229" s="152"/>
      <c r="G229" s="102"/>
    </row>
    <row r="230" spans="1:7" ht="12.75">
      <c r="A230" s="152"/>
      <c r="G230" s="102"/>
    </row>
    <row r="231" spans="1:7" ht="12.75">
      <c r="A231" s="152"/>
      <c r="G231" s="102"/>
    </row>
    <row r="232" spans="1:7" ht="12.75">
      <c r="A232" s="152"/>
      <c r="G232" s="102"/>
    </row>
    <row r="233" spans="1:7" ht="12.75">
      <c r="A233" s="152"/>
      <c r="G233" s="102"/>
    </row>
    <row r="234" spans="1:7" ht="12.75">
      <c r="A234" s="152"/>
      <c r="G234" s="102"/>
    </row>
    <row r="235" spans="1:7" ht="12.75">
      <c r="A235" s="152"/>
      <c r="G235" s="102"/>
    </row>
    <row r="236" spans="1:7" ht="12.75">
      <c r="A236" s="152"/>
      <c r="G236" s="102"/>
    </row>
    <row r="237" spans="1:7" ht="12.75">
      <c r="A237" s="152"/>
      <c r="G237" s="102"/>
    </row>
    <row r="238" spans="1:7" ht="12.75">
      <c r="A238" s="152"/>
      <c r="G238" s="102"/>
    </row>
    <row r="239" spans="1:7" ht="12.75">
      <c r="A239" s="152"/>
      <c r="G239" s="102"/>
    </row>
    <row r="240" spans="1:7" ht="12.75">
      <c r="A240" s="152"/>
      <c r="G240" s="102"/>
    </row>
    <row r="241" spans="1:7" ht="12.75">
      <c r="A241" s="152"/>
      <c r="G241" s="102"/>
    </row>
    <row r="242" spans="1:7" ht="12.75">
      <c r="A242" s="152"/>
      <c r="G242" s="102"/>
    </row>
    <row r="243" spans="1:7" ht="12.75">
      <c r="A243" s="152"/>
      <c r="G243" s="102"/>
    </row>
    <row r="244" spans="1:7" ht="12.75">
      <c r="A244" s="152"/>
      <c r="G244" s="102"/>
    </row>
    <row r="245" spans="1:7" ht="12.75">
      <c r="A245" s="152"/>
      <c r="G245" s="102"/>
    </row>
    <row r="246" spans="1:7" ht="12.75">
      <c r="A246" s="152"/>
      <c r="G246" s="102"/>
    </row>
    <row r="247" spans="1:7" ht="12.75">
      <c r="A247" s="152"/>
      <c r="G247" s="102"/>
    </row>
    <row r="248" spans="1:7" ht="12.75">
      <c r="A248" s="152"/>
      <c r="G248" s="102"/>
    </row>
    <row r="249" spans="1:7" ht="12.75">
      <c r="A249" s="152"/>
      <c r="G249" s="102"/>
    </row>
    <row r="250" spans="1:7" ht="12.75">
      <c r="A250" s="152"/>
      <c r="G250" s="102"/>
    </row>
    <row r="251" spans="1:7" ht="12.75">
      <c r="A251" s="152"/>
      <c r="G251" s="102"/>
    </row>
    <row r="252" spans="1:7" ht="12.75">
      <c r="A252" s="152"/>
      <c r="G252" s="102"/>
    </row>
    <row r="253" spans="1:7" ht="12.75">
      <c r="A253" s="152"/>
      <c r="G253" s="102"/>
    </row>
    <row r="254" spans="1:7" ht="12.75">
      <c r="A254" s="152"/>
      <c r="G254" s="102"/>
    </row>
    <row r="255" spans="1:7" ht="12.75">
      <c r="A255" s="152"/>
      <c r="G255" s="102"/>
    </row>
    <row r="256" spans="1:7" ht="12.75">
      <c r="A256" s="152"/>
      <c r="G256" s="102"/>
    </row>
    <row r="257" spans="1:7" ht="12.75">
      <c r="A257" s="152"/>
      <c r="G257" s="102"/>
    </row>
    <row r="258" spans="1:7" ht="12.75">
      <c r="A258" s="152"/>
      <c r="G258" s="102"/>
    </row>
    <row r="259" spans="1:7" ht="12.75">
      <c r="A259" s="152"/>
      <c r="G259" s="102"/>
    </row>
    <row r="260" spans="1:7" ht="12.75">
      <c r="A260" s="152"/>
      <c r="G260" s="102"/>
    </row>
    <row r="261" spans="1:7" ht="12.75">
      <c r="A261" s="152"/>
      <c r="G261" s="102"/>
    </row>
    <row r="262" spans="1:7" ht="12.75">
      <c r="A262" s="152"/>
      <c r="G262" s="102"/>
    </row>
    <row r="263" spans="1:7" ht="12.75">
      <c r="A263" s="152"/>
      <c r="G263" s="102"/>
    </row>
    <row r="264" spans="1:7" ht="12.75">
      <c r="A264" s="152"/>
      <c r="G264" s="102"/>
    </row>
    <row r="265" spans="1:7" ht="12.75">
      <c r="A265" s="152"/>
      <c r="G265" s="102"/>
    </row>
    <row r="266" spans="1:7" ht="12.75">
      <c r="A266" s="152"/>
      <c r="G266" s="102"/>
    </row>
    <row r="267" spans="1:7" ht="12.75">
      <c r="A267" s="152"/>
      <c r="G267" s="102"/>
    </row>
    <row r="268" spans="1:7" ht="12.75">
      <c r="A268" s="152"/>
      <c r="G268" s="102"/>
    </row>
    <row r="269" spans="1:7" ht="12.75">
      <c r="A269" s="152"/>
      <c r="G269" s="102"/>
    </row>
    <row r="270" spans="1:7" ht="12.75">
      <c r="A270" s="152"/>
      <c r="G270" s="102"/>
    </row>
    <row r="271" spans="1:7" ht="12.75">
      <c r="A271" s="152"/>
      <c r="G271" s="102"/>
    </row>
    <row r="272" spans="1:7" ht="12.75">
      <c r="A272" s="152"/>
      <c r="G272" s="102"/>
    </row>
    <row r="273" spans="1:7" ht="12.75">
      <c r="A273" s="152"/>
      <c r="G273" s="102"/>
    </row>
    <row r="274" spans="1:7" ht="12.75">
      <c r="A274" s="152"/>
      <c r="G274" s="102"/>
    </row>
    <row r="275" spans="1:7" ht="12.75">
      <c r="A275" s="152"/>
      <c r="G275" s="102"/>
    </row>
    <row r="276" spans="1:7" ht="12.75">
      <c r="A276" s="152"/>
      <c r="G276" s="102"/>
    </row>
    <row r="277" spans="1:7" ht="12.75">
      <c r="A277" s="152"/>
      <c r="G277" s="102"/>
    </row>
    <row r="278" spans="1:7" ht="12.75">
      <c r="A278" s="152"/>
      <c r="G278" s="102"/>
    </row>
    <row r="279" spans="1:7" ht="12.75">
      <c r="A279" s="152"/>
      <c r="G279" s="102"/>
    </row>
    <row r="280" spans="1:7" ht="12.75">
      <c r="A280" s="152"/>
      <c r="G280" s="102"/>
    </row>
    <row r="281" spans="1:7" ht="12.75">
      <c r="A281" s="152"/>
      <c r="G281" s="102"/>
    </row>
    <row r="282" spans="1:7" ht="12.75">
      <c r="A282" s="152"/>
      <c r="G282" s="102"/>
    </row>
    <row r="283" spans="1:7" ht="12.75">
      <c r="A283" s="152"/>
      <c r="G283" s="102"/>
    </row>
    <row r="284" spans="1:7" ht="12.75">
      <c r="A284" s="152"/>
      <c r="G284" s="102"/>
    </row>
    <row r="285" spans="1:7" ht="12.75">
      <c r="A285" s="152"/>
      <c r="G285" s="102"/>
    </row>
    <row r="286" spans="1:7" ht="12.75">
      <c r="A286" s="152"/>
      <c r="G286" s="102"/>
    </row>
    <row r="287" spans="1:7" ht="12.75">
      <c r="A287" s="152"/>
      <c r="G287" s="102"/>
    </row>
    <row r="288" spans="1:7" ht="12.75">
      <c r="A288" s="152"/>
      <c r="G288" s="102"/>
    </row>
    <row r="289" spans="1:7" ht="12.75">
      <c r="A289" s="152"/>
      <c r="G289" s="102"/>
    </row>
    <row r="290" spans="1:7" ht="12.75">
      <c r="A290" s="152"/>
      <c r="G290" s="102"/>
    </row>
    <row r="291" spans="1:7" ht="12.75">
      <c r="A291" s="152"/>
      <c r="G291" s="102"/>
    </row>
    <row r="292" spans="1:7" ht="12.75">
      <c r="A292" s="152"/>
      <c r="G292" s="102"/>
    </row>
    <row r="293" spans="1:7" ht="12.75">
      <c r="A293" s="152"/>
      <c r="G293" s="102"/>
    </row>
    <row r="294" spans="1:7" ht="12.75">
      <c r="A294" s="152"/>
      <c r="G294" s="102"/>
    </row>
    <row r="295" spans="1:7" ht="12.75">
      <c r="A295" s="152"/>
      <c r="G295" s="102"/>
    </row>
    <row r="296" spans="1:7" ht="12.75">
      <c r="A296" s="152"/>
      <c r="G296" s="102"/>
    </row>
    <row r="297" spans="1:7" ht="12.75">
      <c r="A297" s="152"/>
      <c r="G297" s="102"/>
    </row>
    <row r="298" spans="1:7" ht="12.75">
      <c r="A298" s="152"/>
      <c r="G298" s="102"/>
    </row>
    <row r="299" spans="1:7" ht="12.75">
      <c r="A299" s="152"/>
      <c r="G299" s="102"/>
    </row>
    <row r="300" spans="1:7" ht="12.75">
      <c r="A300" s="152"/>
      <c r="G300" s="102"/>
    </row>
    <row r="301" spans="1:7" ht="12.75">
      <c r="A301" s="152"/>
      <c r="G301" s="102"/>
    </row>
    <row r="302" spans="1:7" ht="12.75">
      <c r="A302" s="152"/>
      <c r="G302" s="102"/>
    </row>
    <row r="303" spans="1:7" ht="12.75">
      <c r="A303" s="152"/>
      <c r="G303" s="102"/>
    </row>
    <row r="304" spans="1:7" ht="12.75">
      <c r="A304" s="152"/>
      <c r="G304" s="102"/>
    </row>
    <row r="305" spans="1:7" ht="12.75">
      <c r="A305" s="152"/>
      <c r="G305" s="102"/>
    </row>
    <row r="306" spans="1:7" ht="12.75">
      <c r="A306" s="152"/>
      <c r="G306" s="102"/>
    </row>
    <row r="307" spans="1:7" ht="12.75">
      <c r="A307" s="152"/>
      <c r="G307" s="102"/>
    </row>
    <row r="308" spans="1:7" ht="12.75">
      <c r="A308" s="152"/>
      <c r="G308" s="102"/>
    </row>
    <row r="309" spans="1:7" ht="12.75">
      <c r="A309" s="152"/>
      <c r="G309" s="102"/>
    </row>
    <row r="310" spans="1:7" ht="12.75">
      <c r="A310" s="152"/>
      <c r="G310" s="102"/>
    </row>
    <row r="311" spans="1:7" ht="12.75">
      <c r="A311" s="152"/>
      <c r="G311" s="102"/>
    </row>
    <row r="312" spans="1:7" ht="12.75">
      <c r="A312" s="152"/>
      <c r="G312" s="102"/>
    </row>
    <row r="313" spans="1:7" ht="12.75">
      <c r="A313" s="152"/>
      <c r="G313" s="102"/>
    </row>
    <row r="314" spans="1:7" ht="12.75">
      <c r="A314" s="152"/>
      <c r="G314" s="102"/>
    </row>
    <row r="315" spans="1:7" ht="12.75">
      <c r="A315" s="152"/>
      <c r="G315" s="102"/>
    </row>
    <row r="316" spans="1:7" ht="12.75">
      <c r="A316" s="152"/>
      <c r="G316" s="102"/>
    </row>
    <row r="317" spans="1:7" ht="12.75">
      <c r="A317" s="152"/>
      <c r="G317" s="102"/>
    </row>
    <row r="318" spans="1:7" ht="12.75">
      <c r="A318" s="152"/>
      <c r="G318" s="102"/>
    </row>
    <row r="319" spans="1:7" ht="12.75">
      <c r="A319" s="152"/>
      <c r="G319" s="102"/>
    </row>
    <row r="320" spans="1:7" ht="12.75">
      <c r="A320" s="152"/>
      <c r="G320" s="102"/>
    </row>
    <row r="321" spans="1:7" ht="12.75">
      <c r="A321" s="152"/>
      <c r="G321" s="102"/>
    </row>
    <row r="322" spans="1:7" ht="12.75">
      <c r="A322" s="152"/>
      <c r="G322" s="102"/>
    </row>
    <row r="323" spans="1:7" ht="12.75">
      <c r="A323" s="152"/>
      <c r="G323" s="102"/>
    </row>
    <row r="324" spans="1:7" ht="12.75">
      <c r="A324" s="152"/>
      <c r="G324" s="102"/>
    </row>
    <row r="325" spans="1:7" ht="12.75">
      <c r="A325" s="152"/>
      <c r="G325" s="102"/>
    </row>
    <row r="326" spans="1:7" ht="12.75">
      <c r="A326" s="152"/>
      <c r="G326" s="102"/>
    </row>
    <row r="327" spans="1:7" ht="12.75">
      <c r="A327" s="152"/>
      <c r="G327" s="102"/>
    </row>
    <row r="328" spans="1:7" ht="12.75">
      <c r="A328" s="152"/>
      <c r="G328" s="102"/>
    </row>
    <row r="329" spans="1:7" ht="12.75">
      <c r="A329" s="152"/>
      <c r="G329" s="102"/>
    </row>
    <row r="330" spans="1:7" ht="12.75">
      <c r="A330" s="152"/>
      <c r="G330" s="102"/>
    </row>
    <row r="331" spans="1:7" ht="12.75">
      <c r="A331" s="152"/>
      <c r="G331" s="102"/>
    </row>
    <row r="332" spans="1:7" ht="12.75">
      <c r="A332" s="152"/>
      <c r="G332" s="102"/>
    </row>
    <row r="333" spans="1:7" ht="12.75">
      <c r="A333" s="152"/>
      <c r="G333" s="102"/>
    </row>
    <row r="334" spans="1:7" ht="12.75">
      <c r="A334" s="152"/>
      <c r="G334" s="102"/>
    </row>
    <row r="335" spans="1:7" ht="12.75">
      <c r="A335" s="152"/>
      <c r="G335" s="102"/>
    </row>
    <row r="336" spans="1:7" ht="12.75">
      <c r="A336" s="152"/>
      <c r="G336" s="102"/>
    </row>
    <row r="337" spans="1:7" ht="12.75">
      <c r="A337" s="152"/>
      <c r="G337" s="102"/>
    </row>
    <row r="338" spans="1:7" ht="12.75">
      <c r="A338" s="152"/>
      <c r="G338" s="102"/>
    </row>
    <row r="339" spans="1:7" ht="12.75">
      <c r="A339" s="152"/>
      <c r="G339" s="102"/>
    </row>
    <row r="340" spans="1:7" ht="12.75">
      <c r="A340" s="152"/>
      <c r="G340" s="102"/>
    </row>
    <row r="341" spans="1:7" ht="12.75">
      <c r="A341" s="152"/>
      <c r="G341" s="102"/>
    </row>
    <row r="342" spans="1:7" ht="12.75">
      <c r="A342" s="152"/>
      <c r="G342" s="102"/>
    </row>
    <row r="343" spans="1:7" ht="12.75">
      <c r="A343" s="152"/>
      <c r="G343" s="102"/>
    </row>
    <row r="344" spans="1:7" ht="12.75">
      <c r="A344" s="152"/>
      <c r="G344" s="102"/>
    </row>
    <row r="345" spans="1:7" ht="12.75">
      <c r="A345" s="152"/>
      <c r="G345" s="102"/>
    </row>
    <row r="346" spans="1:7" ht="12.75">
      <c r="A346" s="152"/>
      <c r="G346" s="102"/>
    </row>
    <row r="347" spans="1:7" ht="12.75">
      <c r="A347" s="152"/>
      <c r="G347" s="102"/>
    </row>
    <row r="348" spans="1:7" ht="12.75">
      <c r="A348" s="152"/>
      <c r="G348" s="102"/>
    </row>
    <row r="349" spans="1:7" ht="12.75">
      <c r="A349" s="152"/>
      <c r="G349" s="102"/>
    </row>
    <row r="350" spans="1:7" ht="12.75">
      <c r="A350" s="152"/>
      <c r="G350" s="102"/>
    </row>
    <row r="351" spans="1:7" ht="12.75">
      <c r="A351" s="152"/>
      <c r="G351" s="102"/>
    </row>
    <row r="352" spans="1:7" ht="12.75">
      <c r="A352" s="152"/>
      <c r="G352" s="102"/>
    </row>
    <row r="353" spans="1:7" ht="12.75">
      <c r="A353" s="152"/>
      <c r="G353" s="102"/>
    </row>
    <row r="354" spans="1:7" ht="12.75">
      <c r="A354" s="152"/>
      <c r="G354" s="102"/>
    </row>
    <row r="355" spans="1:7" ht="12.75">
      <c r="A355" s="152"/>
      <c r="G355" s="102"/>
    </row>
    <row r="356" spans="1:7" ht="12.75">
      <c r="A356" s="152"/>
      <c r="G356" s="102"/>
    </row>
    <row r="357" spans="1:7" ht="12.75">
      <c r="A357" s="152"/>
      <c r="G357" s="102"/>
    </row>
    <row r="358" spans="1:7" ht="12.75">
      <c r="A358" s="152"/>
      <c r="G358" s="102"/>
    </row>
    <row r="359" spans="1:7" ht="12.75">
      <c r="A359" s="152"/>
      <c r="G359" s="102"/>
    </row>
    <row r="360" spans="1:7" ht="12.75">
      <c r="A360" s="152"/>
      <c r="G360" s="102"/>
    </row>
    <row r="361" spans="1:7" ht="12.75">
      <c r="A361" s="152"/>
      <c r="G361" s="102"/>
    </row>
    <row r="362" spans="1:7" ht="12.75">
      <c r="A362" s="152"/>
      <c r="G362" s="102"/>
    </row>
    <row r="363" spans="1:7" ht="12.75">
      <c r="A363" s="152"/>
      <c r="G363" s="102"/>
    </row>
    <row r="364" spans="1:7" ht="12.75">
      <c r="A364" s="152"/>
      <c r="G364" s="102"/>
    </row>
    <row r="365" spans="1:7" ht="12.75">
      <c r="A365" s="152"/>
      <c r="G365" s="102"/>
    </row>
    <row r="366" spans="1:7" ht="12.75">
      <c r="A366" s="152"/>
      <c r="G366" s="102"/>
    </row>
    <row r="367" spans="1:7" ht="12.75">
      <c r="A367" s="152"/>
      <c r="G367" s="102"/>
    </row>
    <row r="368" spans="1:7" ht="12.75">
      <c r="A368" s="152"/>
      <c r="G368" s="102"/>
    </row>
    <row r="369" spans="1:7" ht="12.75">
      <c r="A369" s="152"/>
      <c r="G369" s="102"/>
    </row>
    <row r="370" spans="1:7" ht="12.75">
      <c r="A370" s="152"/>
      <c r="G370" s="102"/>
    </row>
    <row r="371" spans="1:7" ht="12.75">
      <c r="A371" s="152"/>
      <c r="G371" s="102"/>
    </row>
    <row r="372" spans="1:7" ht="12.75">
      <c r="A372" s="152"/>
      <c r="G372" s="102"/>
    </row>
    <row r="373" spans="1:7" ht="12.75">
      <c r="A373" s="152"/>
      <c r="G373" s="102"/>
    </row>
    <row r="374" spans="1:7" ht="12.75">
      <c r="A374" s="152"/>
      <c r="G374" s="102"/>
    </row>
    <row r="375" spans="1:7" ht="12.75">
      <c r="A375" s="152"/>
      <c r="G375" s="102"/>
    </row>
    <row r="376" spans="1:7" ht="12.75">
      <c r="A376" s="152"/>
      <c r="G376" s="102"/>
    </row>
    <row r="377" spans="1:7" ht="12.75">
      <c r="A377" s="152"/>
      <c r="G377" s="102"/>
    </row>
    <row r="378" spans="1:7" ht="12.75">
      <c r="A378" s="152"/>
      <c r="G378" s="102"/>
    </row>
    <row r="379" spans="1:7" ht="12.75">
      <c r="A379" s="152"/>
      <c r="G379" s="102"/>
    </row>
    <row r="380" spans="1:7" ht="12.75">
      <c r="A380" s="152"/>
      <c r="G380" s="102"/>
    </row>
    <row r="381" spans="1:7" ht="12.75">
      <c r="A381" s="152"/>
      <c r="G381" s="102"/>
    </row>
    <row r="382" spans="1:7" ht="12.75">
      <c r="A382" s="152"/>
      <c r="G382" s="102"/>
    </row>
    <row r="383" spans="1:7" ht="12.75">
      <c r="A383" s="152"/>
      <c r="G383" s="102"/>
    </row>
    <row r="384" spans="1:7" ht="12.75">
      <c r="A384" s="152"/>
      <c r="G384" s="102"/>
    </row>
    <row r="385" spans="1:7" ht="12.75">
      <c r="A385" s="152"/>
      <c r="G385" s="102"/>
    </row>
    <row r="386" spans="1:7" ht="12.75">
      <c r="A386" s="152"/>
      <c r="G386" s="102"/>
    </row>
    <row r="387" spans="1:7" ht="12.75">
      <c r="A387" s="152"/>
      <c r="G387" s="102"/>
    </row>
    <row r="388" spans="1:7" ht="12.75">
      <c r="A388" s="152"/>
      <c r="G388" s="102"/>
    </row>
    <row r="389" spans="1:7" ht="12.75">
      <c r="A389" s="152"/>
      <c r="G389" s="102"/>
    </row>
    <row r="390" spans="1:7" ht="12.75">
      <c r="A390" s="152"/>
      <c r="G390" s="102"/>
    </row>
    <row r="391" spans="1:7" ht="12.75">
      <c r="A391" s="152"/>
      <c r="G391" s="102"/>
    </row>
    <row r="392" spans="1:7" ht="12.75">
      <c r="A392" s="152"/>
      <c r="G392" s="102"/>
    </row>
    <row r="393" spans="1:7" ht="12.75">
      <c r="A393" s="152"/>
      <c r="G393" s="102"/>
    </row>
    <row r="394" spans="1:7" ht="12.75">
      <c r="A394" s="152"/>
      <c r="G394" s="102"/>
    </row>
    <row r="395" spans="1:7" ht="12.75">
      <c r="A395" s="152"/>
      <c r="G395" s="102"/>
    </row>
    <row r="396" spans="1:7" ht="12.75">
      <c r="A396" s="152"/>
      <c r="G396" s="102"/>
    </row>
    <row r="397" spans="1:7" ht="12.75">
      <c r="A397" s="152"/>
      <c r="G397" s="102"/>
    </row>
    <row r="398" spans="1:7" ht="12.75">
      <c r="A398" s="152"/>
      <c r="G398" s="102"/>
    </row>
    <row r="399" spans="1:7" ht="12.75">
      <c r="A399" s="152"/>
      <c r="G399" s="102"/>
    </row>
    <row r="400" spans="1:7" ht="12.75">
      <c r="A400" s="152"/>
      <c r="G400" s="102"/>
    </row>
    <row r="401" spans="1:7" ht="12.75">
      <c r="A401" s="152"/>
      <c r="G401" s="102"/>
    </row>
    <row r="402" spans="1:7" ht="12.75">
      <c r="A402" s="152"/>
      <c r="G402" s="102"/>
    </row>
    <row r="403" spans="1:7" ht="12.75">
      <c r="A403" s="152"/>
      <c r="G403" s="102"/>
    </row>
    <row r="404" spans="1:7" ht="12.75">
      <c r="A404" s="152"/>
      <c r="G404" s="102"/>
    </row>
    <row r="405" spans="1:7" ht="12.75">
      <c r="A405" s="152"/>
      <c r="G405" s="102"/>
    </row>
    <row r="406" spans="1:7" ht="12.75">
      <c r="A406" s="152"/>
      <c r="G406" s="102"/>
    </row>
    <row r="407" spans="1:7" ht="12.75">
      <c r="A407" s="152"/>
      <c r="G407" s="102"/>
    </row>
    <row r="408" spans="1:7" ht="12.75">
      <c r="A408" s="152"/>
      <c r="G408" s="102"/>
    </row>
    <row r="409" spans="1:7" ht="12.75">
      <c r="A409" s="152"/>
      <c r="G409" s="102"/>
    </row>
    <row r="410" spans="1:7" ht="12.75">
      <c r="A410" s="152"/>
      <c r="G410" s="102"/>
    </row>
    <row r="411" spans="1:7" ht="12.75">
      <c r="A411" s="152"/>
      <c r="G411" s="102"/>
    </row>
    <row r="412" spans="1:7" ht="12.75">
      <c r="A412" s="152"/>
      <c r="G412" s="102"/>
    </row>
    <row r="413" spans="1:7" ht="12.75">
      <c r="A413" s="152"/>
      <c r="G413" s="102"/>
    </row>
    <row r="414" spans="1:7" ht="12.75">
      <c r="A414" s="152"/>
      <c r="G414" s="102"/>
    </row>
    <row r="415" spans="1:7" ht="12.75">
      <c r="A415" s="152"/>
      <c r="G415" s="102"/>
    </row>
    <row r="416" spans="1:7" ht="12.75">
      <c r="A416" s="152"/>
      <c r="G416" s="102"/>
    </row>
    <row r="417" spans="1:7" ht="12.75">
      <c r="A417" s="152"/>
      <c r="G417" s="102"/>
    </row>
    <row r="418" spans="1:7" ht="12.75">
      <c r="A418" s="152"/>
      <c r="G418" s="102"/>
    </row>
    <row r="419" spans="1:7" ht="12.75">
      <c r="A419" s="152"/>
      <c r="G419" s="102"/>
    </row>
    <row r="420" spans="1:7" ht="12.75">
      <c r="A420" s="152"/>
      <c r="G420" s="102"/>
    </row>
    <row r="421" spans="1:7" ht="12.75">
      <c r="A421" s="152"/>
      <c r="G421" s="102"/>
    </row>
    <row r="422" spans="1:7" ht="12.75">
      <c r="A422" s="152"/>
      <c r="G422" s="102"/>
    </row>
    <row r="423" spans="1:7" ht="12.75">
      <c r="A423" s="152"/>
      <c r="G423" s="102"/>
    </row>
    <row r="424" spans="1:7" ht="12.75">
      <c r="A424" s="152"/>
      <c r="G424" s="102"/>
    </row>
    <row r="425" spans="1:7" ht="12.75">
      <c r="A425" s="152"/>
      <c r="G425" s="102"/>
    </row>
    <row r="426" spans="1:7" ht="12.75">
      <c r="A426" s="152"/>
      <c r="G426" s="102"/>
    </row>
    <row r="427" spans="1:7" ht="12.75">
      <c r="A427" s="152"/>
      <c r="G427" s="102"/>
    </row>
    <row r="428" spans="1:7" ht="12.75">
      <c r="A428" s="152"/>
      <c r="G428" s="102"/>
    </row>
    <row r="429" spans="1:7" ht="12.75">
      <c r="A429" s="152"/>
      <c r="G429" s="102"/>
    </row>
    <row r="430" spans="1:7" ht="12.75">
      <c r="A430" s="152"/>
      <c r="G430" s="102"/>
    </row>
    <row r="431" spans="1:7" ht="12.75">
      <c r="A431" s="152"/>
      <c r="G431" s="102"/>
    </row>
    <row r="432" spans="1:7" ht="12.75">
      <c r="A432" s="152"/>
      <c r="G432" s="102"/>
    </row>
    <row r="433" spans="1:7" ht="12.75">
      <c r="A433" s="152"/>
      <c r="G433" s="102"/>
    </row>
    <row r="434" spans="1:7" ht="12.75">
      <c r="A434" s="152"/>
      <c r="G434" s="102"/>
    </row>
    <row r="435" spans="1:7" ht="12.75">
      <c r="A435" s="152"/>
      <c r="G435" s="102"/>
    </row>
    <row r="436" spans="1:7" ht="12.75">
      <c r="A436" s="152"/>
      <c r="G436" s="102"/>
    </row>
    <row r="437" spans="1:7" ht="12.75">
      <c r="A437" s="152"/>
      <c r="G437" s="102"/>
    </row>
    <row r="438" spans="1:7" ht="12.75">
      <c r="A438" s="152"/>
      <c r="G438" s="102"/>
    </row>
    <row r="439" spans="1:7" ht="12.75">
      <c r="A439" s="152"/>
      <c r="G439" s="102"/>
    </row>
    <row r="440" spans="1:7" ht="12.75">
      <c r="A440" s="152"/>
      <c r="G440" s="102"/>
    </row>
    <row r="441" spans="1:7" ht="12.75">
      <c r="A441" s="152"/>
      <c r="G441" s="102"/>
    </row>
    <row r="442" spans="1:7" ht="12.75">
      <c r="A442" s="152"/>
      <c r="G442" s="102"/>
    </row>
    <row r="443" spans="1:7" ht="12.75">
      <c r="A443" s="152"/>
      <c r="G443" s="102"/>
    </row>
    <row r="444" spans="1:7" ht="12.75">
      <c r="A444" s="152"/>
      <c r="G444" s="102"/>
    </row>
    <row r="445" spans="1:7" ht="12.75">
      <c r="A445" s="152"/>
      <c r="G445" s="102"/>
    </row>
    <row r="446" spans="1:7" ht="12.75">
      <c r="A446" s="152"/>
      <c r="G446" s="102"/>
    </row>
    <row r="447" spans="1:7" ht="12.75">
      <c r="A447" s="152"/>
      <c r="G447" s="102"/>
    </row>
    <row r="448" spans="1:7" ht="12.75">
      <c r="A448" s="152"/>
      <c r="G448" s="102"/>
    </row>
    <row r="449" spans="1:7" ht="12.75">
      <c r="A449" s="152"/>
      <c r="G449" s="102"/>
    </row>
    <row r="450" spans="1:7" ht="12.75">
      <c r="A450" s="152"/>
      <c r="G450" s="102"/>
    </row>
    <row r="451" spans="1:7" ht="12.75">
      <c r="A451" s="152"/>
      <c r="G451" s="102"/>
    </row>
    <row r="452" spans="1:7" ht="12.75">
      <c r="A452" s="152"/>
      <c r="G452" s="102"/>
    </row>
    <row r="453" spans="1:7" ht="12.75">
      <c r="A453" s="152"/>
      <c r="G453" s="102"/>
    </row>
    <row r="454" spans="1:7" ht="12.75">
      <c r="A454" s="152"/>
      <c r="G454" s="102"/>
    </row>
    <row r="455" spans="1:7" ht="12.75">
      <c r="A455" s="152"/>
      <c r="G455" s="102"/>
    </row>
    <row r="456" spans="1:7" ht="12.75">
      <c r="A456" s="152"/>
      <c r="G456" s="102"/>
    </row>
    <row r="457" spans="1:7" ht="12.75">
      <c r="A457" s="152"/>
      <c r="G457" s="102"/>
    </row>
    <row r="458" spans="1:7" ht="12.75">
      <c r="A458" s="152"/>
      <c r="G458" s="102"/>
    </row>
    <row r="459" spans="1:7" ht="12.75">
      <c r="A459" s="152"/>
      <c r="G459" s="102"/>
    </row>
    <row r="460" spans="1:7" ht="12.75">
      <c r="A460" s="152"/>
      <c r="G460" s="102"/>
    </row>
    <row r="461" spans="1:7" ht="12.75">
      <c r="A461" s="152"/>
      <c r="G461" s="102"/>
    </row>
    <row r="462" spans="1:7" ht="12.75">
      <c r="A462" s="152"/>
      <c r="G462" s="102"/>
    </row>
    <row r="463" spans="1:7" ht="12.75">
      <c r="A463" s="152"/>
      <c r="G463" s="102"/>
    </row>
    <row r="464" spans="1:7" ht="12.75">
      <c r="A464" s="152"/>
      <c r="G464" s="102"/>
    </row>
    <row r="465" spans="1:7" ht="12.75">
      <c r="A465" s="152"/>
      <c r="G465" s="102"/>
    </row>
    <row r="466" spans="1:7" ht="12.75">
      <c r="A466" s="152"/>
      <c r="G466" s="102"/>
    </row>
    <row r="467" spans="1:7" ht="12.75">
      <c r="A467" s="152"/>
      <c r="G467" s="102"/>
    </row>
    <row r="468" spans="1:7" ht="12.75">
      <c r="A468" s="152"/>
      <c r="G468" s="102"/>
    </row>
    <row r="469" spans="1:7" ht="12.75">
      <c r="A469" s="152"/>
      <c r="G469" s="102"/>
    </row>
    <row r="470" spans="1:7" ht="12.75">
      <c r="A470" s="152"/>
      <c r="G470" s="102"/>
    </row>
    <row r="471" spans="1:7" ht="12.75">
      <c r="A471" s="152"/>
      <c r="G471" s="102"/>
    </row>
    <row r="472" spans="1:7" ht="12.75">
      <c r="A472" s="152"/>
      <c r="G472" s="102"/>
    </row>
    <row r="473" spans="1:7" ht="12.75">
      <c r="A473" s="152"/>
      <c r="G473" s="102"/>
    </row>
    <row r="474" spans="1:7" ht="12.75">
      <c r="A474" s="152"/>
      <c r="G474" s="102"/>
    </row>
    <row r="475" spans="1:7" ht="12.75">
      <c r="A475" s="152"/>
      <c r="G475" s="102"/>
    </row>
    <row r="476" spans="1:7" ht="12.75">
      <c r="A476" s="152"/>
      <c r="G476" s="102"/>
    </row>
    <row r="477" spans="1:7" ht="12.75">
      <c r="A477" s="152"/>
      <c r="G477" s="102"/>
    </row>
    <row r="478" spans="1:7" ht="12.75">
      <c r="A478" s="152"/>
      <c r="G478" s="102"/>
    </row>
    <row r="479" spans="1:7" ht="12.75">
      <c r="A479" s="152"/>
      <c r="G479" s="102"/>
    </row>
    <row r="480" spans="1:7" ht="12.75">
      <c r="A480" s="152"/>
      <c r="G480" s="102"/>
    </row>
    <row r="481" spans="1:7" ht="12.75">
      <c r="A481" s="152"/>
      <c r="G481" s="102"/>
    </row>
    <row r="482" spans="1:7" ht="12.75">
      <c r="A482" s="152"/>
      <c r="G482" s="102"/>
    </row>
    <row r="483" spans="1:7" ht="12.75">
      <c r="A483" s="152"/>
      <c r="G483" s="102"/>
    </row>
    <row r="484" spans="1:7" ht="12.75">
      <c r="A484" s="152"/>
      <c r="G484" s="102"/>
    </row>
    <row r="485" spans="1:7" ht="12.75">
      <c r="A485" s="152"/>
      <c r="G485" s="102"/>
    </row>
    <row r="486" spans="1:7" ht="12.75">
      <c r="A486" s="152"/>
      <c r="G486" s="102"/>
    </row>
    <row r="487" spans="1:7" ht="12.75">
      <c r="A487" s="152"/>
      <c r="G487" s="102"/>
    </row>
    <row r="488" spans="1:7" ht="12.75">
      <c r="A488" s="152"/>
      <c r="G488" s="102"/>
    </row>
    <row r="489" spans="1:7" ht="12.75">
      <c r="A489" s="152"/>
      <c r="G489" s="102"/>
    </row>
    <row r="490" spans="1:7" ht="12.75">
      <c r="A490" s="152"/>
      <c r="G490" s="102"/>
    </row>
    <row r="491" spans="1:7" ht="12.75">
      <c r="A491" s="152"/>
      <c r="G491" s="102"/>
    </row>
    <row r="492" spans="1:7" ht="12.75">
      <c r="A492" s="152"/>
      <c r="G492" s="102"/>
    </row>
    <row r="493" spans="1:7" ht="12.75">
      <c r="A493" s="152"/>
      <c r="G493" s="102"/>
    </row>
    <row r="494" spans="1:7" ht="12.75">
      <c r="A494" s="152"/>
      <c r="G494" s="102"/>
    </row>
    <row r="495" spans="1:7" ht="12.75">
      <c r="A495" s="152"/>
      <c r="G495" s="102"/>
    </row>
    <row r="496" spans="1:7" ht="12.75">
      <c r="A496" s="152"/>
      <c r="G496" s="102"/>
    </row>
    <row r="497" spans="1:7" ht="12.75">
      <c r="A497" s="152"/>
      <c r="G497" s="102"/>
    </row>
    <row r="498" spans="1:7" ht="12.75">
      <c r="A498" s="152"/>
      <c r="G498" s="102"/>
    </row>
    <row r="499" spans="1:7" ht="12.75">
      <c r="A499" s="152"/>
      <c r="G499" s="102"/>
    </row>
    <row r="500" spans="1:7" ht="12.75">
      <c r="A500" s="152"/>
      <c r="G500" s="102"/>
    </row>
    <row r="501" spans="1:7" ht="12.75">
      <c r="A501" s="152"/>
      <c r="G501" s="102"/>
    </row>
    <row r="502" spans="1:7" ht="12.75">
      <c r="A502" s="152"/>
      <c r="G502" s="102"/>
    </row>
    <row r="503" spans="1:7" ht="12.75">
      <c r="A503" s="152"/>
      <c r="G503" s="102"/>
    </row>
    <row r="504" spans="1:7" ht="12.75">
      <c r="A504" s="152"/>
      <c r="G504" s="102"/>
    </row>
    <row r="505" spans="1:7" ht="12.75">
      <c r="A505" s="152"/>
      <c r="G505" s="102"/>
    </row>
    <row r="506" spans="1:7" ht="12.75">
      <c r="A506" s="152"/>
      <c r="G506" s="102"/>
    </row>
    <row r="507" spans="1:7" ht="12.75">
      <c r="A507" s="152"/>
      <c r="G507" s="102"/>
    </row>
    <row r="508" spans="1:7" ht="12.75">
      <c r="A508" s="152"/>
      <c r="G508" s="102"/>
    </row>
    <row r="509" spans="1:7" ht="12.75">
      <c r="A509" s="152"/>
      <c r="G509" s="102"/>
    </row>
    <row r="510" spans="1:7" ht="12.75">
      <c r="A510" s="152"/>
      <c r="G510" s="102"/>
    </row>
    <row r="511" spans="1:7" ht="12.75">
      <c r="A511" s="152"/>
      <c r="G511" s="102"/>
    </row>
    <row r="512" spans="1:7" ht="12.75">
      <c r="A512" s="152"/>
      <c r="G512" s="102"/>
    </row>
    <row r="513" spans="1:7" ht="12.75">
      <c r="A513" s="152"/>
      <c r="G513" s="102"/>
    </row>
    <row r="514" spans="1:7" ht="12.75">
      <c r="A514" s="152"/>
      <c r="G514" s="102"/>
    </row>
    <row r="515" spans="1:7" ht="12.75">
      <c r="A515" s="152"/>
      <c r="G515" s="102"/>
    </row>
    <row r="516" spans="1:7" ht="12.75">
      <c r="A516" s="152"/>
      <c r="G516" s="102"/>
    </row>
    <row r="517" spans="1:7" ht="12.75">
      <c r="A517" s="152"/>
      <c r="G517" s="102"/>
    </row>
    <row r="518" spans="1:7" ht="12.75">
      <c r="A518" s="152"/>
      <c r="G518" s="102"/>
    </row>
    <row r="519" spans="1:7" ht="12.75">
      <c r="A519" s="152"/>
      <c r="G519" s="102"/>
    </row>
    <row r="520" spans="1:7" ht="12.75">
      <c r="A520" s="152"/>
      <c r="G520" s="102"/>
    </row>
    <row r="521" spans="1:7" ht="12.75">
      <c r="A521" s="152"/>
      <c r="G521" s="102"/>
    </row>
    <row r="522" spans="1:7" ht="12.75">
      <c r="A522" s="152"/>
      <c r="G522" s="102"/>
    </row>
    <row r="523" spans="1:7" ht="12.75">
      <c r="A523" s="152"/>
      <c r="G523" s="102"/>
    </row>
    <row r="524" spans="1:7" ht="12.75">
      <c r="A524" s="152"/>
      <c r="G524" s="102"/>
    </row>
    <row r="525" spans="1:7" ht="12.75">
      <c r="A525" s="152"/>
      <c r="G525" s="102"/>
    </row>
    <row r="526" spans="1:7" ht="12.75">
      <c r="A526" s="152"/>
      <c r="G526" s="102"/>
    </row>
    <row r="527" spans="1:7" ht="12.75">
      <c r="A527" s="152"/>
      <c r="G527" s="102"/>
    </row>
    <row r="528" spans="1:7" ht="12.75">
      <c r="A528" s="152"/>
      <c r="G528" s="102"/>
    </row>
    <row r="529" spans="1:7" ht="12.75">
      <c r="A529" s="152"/>
      <c r="G529" s="102"/>
    </row>
    <row r="530" spans="1:7" ht="12.75">
      <c r="A530" s="152"/>
      <c r="G530" s="102"/>
    </row>
    <row r="531" spans="1:7" ht="12.75">
      <c r="A531" s="152"/>
      <c r="G531" s="102"/>
    </row>
    <row r="532" spans="1:7" ht="12.75">
      <c r="A532" s="152"/>
      <c r="G532" s="102"/>
    </row>
    <row r="533" spans="1:7" ht="12.75">
      <c r="A533" s="152"/>
      <c r="G533" s="102"/>
    </row>
    <row r="534" spans="1:7" ht="12.75">
      <c r="A534" s="152"/>
      <c r="G534" s="102"/>
    </row>
    <row r="535" spans="1:7" ht="12.75">
      <c r="A535" s="152"/>
      <c r="G535" s="102"/>
    </row>
    <row r="536" spans="1:7" ht="12.75">
      <c r="A536" s="152"/>
      <c r="G536" s="102"/>
    </row>
    <row r="537" spans="1:7" ht="12.75">
      <c r="A537" s="152"/>
      <c r="G537" s="102"/>
    </row>
    <row r="538" spans="1:7" ht="12.75">
      <c r="A538" s="152"/>
      <c r="G538" s="102"/>
    </row>
    <row r="539" spans="1:7" ht="12.75">
      <c r="A539" s="152"/>
      <c r="G539" s="102"/>
    </row>
    <row r="540" spans="1:7" ht="12.75">
      <c r="A540" s="152"/>
      <c r="G540" s="102"/>
    </row>
    <row r="541" spans="1:7" ht="12.75">
      <c r="A541" s="152"/>
      <c r="G541" s="102"/>
    </row>
    <row r="542" spans="1:7" ht="12.75">
      <c r="A542" s="152"/>
      <c r="G542" s="102"/>
    </row>
    <row r="543" spans="1:7" ht="12.75">
      <c r="A543" s="152"/>
      <c r="G543" s="102"/>
    </row>
    <row r="544" spans="1:7" ht="12.75">
      <c r="A544" s="152"/>
      <c r="G544" s="102"/>
    </row>
    <row r="545" spans="1:7" ht="12.75">
      <c r="A545" s="152"/>
      <c r="G545" s="102"/>
    </row>
    <row r="546" spans="1:7" ht="12.75">
      <c r="A546" s="152"/>
      <c r="G546" s="102"/>
    </row>
    <row r="547" spans="1:7" ht="12.75">
      <c r="A547" s="152"/>
      <c r="G547" s="102"/>
    </row>
    <row r="548" spans="1:7" ht="12.75">
      <c r="A548" s="152"/>
      <c r="G548" s="102"/>
    </row>
    <row r="549" spans="1:7" ht="12.75">
      <c r="A549" s="152"/>
      <c r="G549" s="102"/>
    </row>
    <row r="550" spans="1:7" ht="12.75">
      <c r="A550" s="152"/>
      <c r="G550" s="102"/>
    </row>
    <row r="551" spans="1:7" ht="12.75">
      <c r="A551" s="152"/>
      <c r="G551" s="102"/>
    </row>
    <row r="552" spans="1:7" ht="12.75">
      <c r="A552" s="152"/>
      <c r="G552" s="102"/>
    </row>
    <row r="553" spans="1:7" ht="12.75">
      <c r="A553" s="152"/>
      <c r="G553" s="102"/>
    </row>
    <row r="554" spans="1:7" ht="12.75">
      <c r="A554" s="152"/>
      <c r="G554" s="102"/>
    </row>
    <row r="555" spans="1:7" ht="12.75">
      <c r="A555" s="152"/>
      <c r="G555" s="102"/>
    </row>
    <row r="556" spans="1:7" ht="12.75">
      <c r="A556" s="152"/>
      <c r="G556" s="102"/>
    </row>
    <row r="557" spans="1:7" ht="12.75">
      <c r="A557" s="152"/>
      <c r="G557" s="102"/>
    </row>
    <row r="558" spans="1:7" ht="12.75">
      <c r="A558" s="152"/>
      <c r="G558" s="102"/>
    </row>
    <row r="559" spans="1:7" ht="12.75">
      <c r="A559" s="152"/>
      <c r="G559" s="102"/>
    </row>
    <row r="560" spans="1:7" ht="12.75">
      <c r="A560" s="152"/>
      <c r="G560" s="102"/>
    </row>
    <row r="561" spans="1:7" ht="12.75">
      <c r="A561" s="152"/>
      <c r="G561" s="102"/>
    </row>
    <row r="562" spans="1:7" ht="12.75">
      <c r="A562" s="152"/>
      <c r="G562" s="102"/>
    </row>
    <row r="563" spans="1:7" ht="12.75">
      <c r="A563" s="152"/>
      <c r="G563" s="102"/>
    </row>
    <row r="564" spans="1:7" ht="12.75">
      <c r="A564" s="152"/>
      <c r="G564" s="102"/>
    </row>
    <row r="565" spans="1:7" ht="12.75">
      <c r="A565" s="152"/>
      <c r="G565" s="102"/>
    </row>
    <row r="566" spans="1:7" ht="12.75">
      <c r="A566" s="152"/>
      <c r="G566" s="102"/>
    </row>
    <row r="567" spans="1:7" ht="12.75">
      <c r="A567" s="152"/>
      <c r="G567" s="102"/>
    </row>
    <row r="568" spans="1:7" ht="12.75">
      <c r="A568" s="152"/>
      <c r="G568" s="102"/>
    </row>
    <row r="569" spans="1:7" ht="12.75">
      <c r="A569" s="152"/>
      <c r="G569" s="102"/>
    </row>
    <row r="570" spans="1:7" ht="12.75">
      <c r="A570" s="152"/>
      <c r="G570" s="102"/>
    </row>
    <row r="571" spans="1:7" ht="12.75">
      <c r="A571" s="152"/>
      <c r="G571" s="102"/>
    </row>
    <row r="572" spans="1:7" ht="12.75">
      <c r="A572" s="152"/>
      <c r="G572" s="102"/>
    </row>
    <row r="573" spans="1:7" ht="12.75">
      <c r="A573" s="152"/>
      <c r="G573" s="102"/>
    </row>
    <row r="574" spans="1:7" ht="12.75">
      <c r="A574" s="152"/>
      <c r="G574" s="102"/>
    </row>
    <row r="575" spans="1:7" ht="12.75">
      <c r="A575" s="152"/>
      <c r="G575" s="102"/>
    </row>
    <row r="576" spans="1:7" ht="12.75">
      <c r="A576" s="152"/>
      <c r="G576" s="102"/>
    </row>
    <row r="577" spans="1:7" ht="12.75">
      <c r="A577" s="152"/>
      <c r="G577" s="102"/>
    </row>
    <row r="578" spans="1:7" ht="12.75">
      <c r="A578" s="152"/>
      <c r="G578" s="102"/>
    </row>
    <row r="579" spans="1:7" ht="12.75">
      <c r="A579" s="152"/>
      <c r="G579" s="102"/>
    </row>
    <row r="580" spans="1:7" ht="12.75">
      <c r="A580" s="152"/>
      <c r="G580" s="102"/>
    </row>
    <row r="581" spans="1:7" ht="12.75">
      <c r="A581" s="152"/>
      <c r="G581" s="102"/>
    </row>
    <row r="582" spans="1:7" ht="12.75">
      <c r="A582" s="152"/>
      <c r="G582" s="102"/>
    </row>
    <row r="583" spans="1:7" ht="12.75">
      <c r="A583" s="152"/>
      <c r="G583" s="102"/>
    </row>
    <row r="584" spans="1:7" ht="12.75">
      <c r="A584" s="152"/>
      <c r="G584" s="102"/>
    </row>
    <row r="585" spans="1:7" ht="12.75">
      <c r="A585" s="152"/>
      <c r="G585" s="102"/>
    </row>
    <row r="586" spans="1:7" ht="12.75">
      <c r="A586" s="152"/>
      <c r="G586" s="102"/>
    </row>
    <row r="587" spans="1:7" ht="12.75">
      <c r="A587" s="152"/>
      <c r="G587" s="102"/>
    </row>
    <row r="588" spans="1:7" ht="12.75">
      <c r="A588" s="152"/>
      <c r="G588" s="102"/>
    </row>
    <row r="589" spans="1:7" ht="12.75">
      <c r="A589" s="152"/>
      <c r="G589" s="102"/>
    </row>
    <row r="590" spans="1:7" ht="12.75">
      <c r="A590" s="152"/>
      <c r="G590" s="102"/>
    </row>
    <row r="591" spans="1:7" ht="12.75">
      <c r="A591" s="152"/>
      <c r="G591" s="102"/>
    </row>
    <row r="592" spans="1:7" ht="12.75">
      <c r="A592" s="152"/>
      <c r="G592" s="102"/>
    </row>
    <row r="593" spans="1:7" ht="12.75">
      <c r="A593" s="152"/>
      <c r="G593" s="102"/>
    </row>
    <row r="594" spans="1:7" ht="12.75">
      <c r="A594" s="152"/>
      <c r="G594" s="102"/>
    </row>
    <row r="595" spans="1:7" ht="12.75">
      <c r="A595" s="152"/>
      <c r="G595" s="102"/>
    </row>
    <row r="596" spans="1:7" ht="12.75">
      <c r="A596" s="152"/>
      <c r="G596" s="102"/>
    </row>
    <row r="597" spans="1:7" ht="12.75">
      <c r="A597" s="152"/>
      <c r="G597" s="102"/>
    </row>
    <row r="598" spans="1:7" ht="12.75">
      <c r="A598" s="152"/>
      <c r="G598" s="102"/>
    </row>
    <row r="599" spans="1:7" ht="12.75">
      <c r="A599" s="152"/>
      <c r="G599" s="102"/>
    </row>
    <row r="600" spans="1:7" ht="12.75">
      <c r="A600" s="152"/>
      <c r="G600" s="102"/>
    </row>
    <row r="601" spans="1:7" ht="12.75">
      <c r="A601" s="152"/>
      <c r="G601" s="102"/>
    </row>
    <row r="602" spans="1:7" ht="12.75">
      <c r="A602" s="152"/>
      <c r="G602" s="102"/>
    </row>
    <row r="603" spans="1:7" ht="12.75">
      <c r="A603" s="152"/>
      <c r="G603" s="102"/>
    </row>
    <row r="604" spans="1:7" ht="12.75">
      <c r="A604" s="152"/>
      <c r="G604" s="102"/>
    </row>
    <row r="605" spans="1:7" ht="12.75">
      <c r="A605" s="152"/>
      <c r="G605" s="102"/>
    </row>
    <row r="606" spans="1:7" ht="12.75">
      <c r="A606" s="152"/>
      <c r="G606" s="102"/>
    </row>
    <row r="607" spans="1:7" ht="12.75">
      <c r="A607" s="152"/>
      <c r="G607" s="102"/>
    </row>
    <row r="608" spans="1:7" ht="12.75">
      <c r="A608" s="152"/>
      <c r="G608" s="102"/>
    </row>
    <row r="609" spans="1:7" ht="12.75">
      <c r="A609" s="152"/>
      <c r="G609" s="102"/>
    </row>
    <row r="610" spans="1:7" ht="12.75">
      <c r="A610" s="152"/>
      <c r="G610" s="102"/>
    </row>
    <row r="611" spans="1:7" ht="12.75">
      <c r="A611" s="152"/>
      <c r="G611" s="102"/>
    </row>
    <row r="612" spans="1:7" ht="12.75">
      <c r="A612" s="152"/>
      <c r="G612" s="102"/>
    </row>
    <row r="613" spans="1:7" ht="12.75">
      <c r="A613" s="152"/>
      <c r="G613" s="102"/>
    </row>
    <row r="614" spans="1:7" ht="12.75">
      <c r="A614" s="152"/>
      <c r="G614" s="102"/>
    </row>
    <row r="615" spans="1:7" ht="12.75">
      <c r="A615" s="152"/>
      <c r="G615" s="102"/>
    </row>
    <row r="616" spans="1:7" ht="12.75">
      <c r="A616" s="152"/>
      <c r="G616" s="102"/>
    </row>
    <row r="617" spans="1:7" ht="12.75">
      <c r="A617" s="152"/>
      <c r="G617" s="102"/>
    </row>
    <row r="618" spans="1:7" ht="12.75">
      <c r="A618" s="152"/>
      <c r="G618" s="102"/>
    </row>
    <row r="619" spans="1:7" ht="12.75">
      <c r="A619" s="152"/>
      <c r="G619" s="102"/>
    </row>
    <row r="620" spans="1:7" ht="12.75">
      <c r="A620" s="152"/>
      <c r="G620" s="102"/>
    </row>
    <row r="621" spans="1:7" ht="12.75">
      <c r="A621" s="152"/>
      <c r="G621" s="102"/>
    </row>
    <row r="622" spans="1:7" ht="12.75">
      <c r="A622" s="152"/>
      <c r="G622" s="102"/>
    </row>
    <row r="623" spans="1:7" ht="12.75">
      <c r="A623" s="152"/>
      <c r="G623" s="102"/>
    </row>
    <row r="624" spans="1:7" ht="12.75">
      <c r="A624" s="152"/>
      <c r="G624" s="102"/>
    </row>
    <row r="625" spans="1:7" ht="12.75">
      <c r="A625" s="152"/>
      <c r="G625" s="102"/>
    </row>
    <row r="626" spans="1:7" ht="12.75">
      <c r="A626" s="152"/>
      <c r="G626" s="102"/>
    </row>
    <row r="627" spans="1:7" ht="12.75">
      <c r="A627" s="152"/>
      <c r="G627" s="102"/>
    </row>
    <row r="628" spans="1:7" ht="12.75">
      <c r="A628" s="152"/>
      <c r="G628" s="102"/>
    </row>
    <row r="629" spans="1:7" ht="12.75">
      <c r="A629" s="152"/>
      <c r="G629" s="102"/>
    </row>
    <row r="630" spans="1:7" ht="12.75">
      <c r="A630" s="152"/>
      <c r="G630" s="102"/>
    </row>
    <row r="631" spans="1:7" ht="12.75">
      <c r="A631" s="152"/>
      <c r="G631" s="102"/>
    </row>
    <row r="632" spans="1:7" ht="12.75">
      <c r="A632" s="152"/>
      <c r="G632" s="102"/>
    </row>
    <row r="633" spans="1:7" ht="12.75">
      <c r="A633" s="152"/>
      <c r="G633" s="102"/>
    </row>
    <row r="634" spans="1:7" ht="12.75">
      <c r="A634" s="152"/>
      <c r="G634" s="102"/>
    </row>
    <row r="635" spans="1:7" ht="12.75">
      <c r="A635" s="152"/>
      <c r="G635" s="102"/>
    </row>
    <row r="636" spans="1:7" ht="12.75">
      <c r="A636" s="152"/>
      <c r="G636" s="102"/>
    </row>
    <row r="637" spans="1:7" ht="12.75">
      <c r="A637" s="152"/>
      <c r="G637" s="102"/>
    </row>
    <row r="638" spans="1:7" ht="12.75">
      <c r="A638" s="152"/>
      <c r="G638" s="102"/>
    </row>
    <row r="639" spans="1:7" ht="12.75">
      <c r="A639" s="152"/>
      <c r="G639" s="102"/>
    </row>
    <row r="640" spans="1:7" ht="12.75">
      <c r="A640" s="152"/>
      <c r="G640" s="102"/>
    </row>
    <row r="641" spans="1:7" ht="12.75">
      <c r="A641" s="152"/>
      <c r="G641" s="102"/>
    </row>
    <row r="642" spans="1:7" ht="12.75">
      <c r="A642" s="152"/>
      <c r="G642" s="102"/>
    </row>
    <row r="643" spans="1:7" ht="12.75">
      <c r="A643" s="152"/>
      <c r="G643" s="102"/>
    </row>
    <row r="644" spans="1:7" ht="12.75">
      <c r="A644" s="152"/>
      <c r="G644" s="102"/>
    </row>
    <row r="645" spans="1:7" ht="12.75">
      <c r="A645" s="152"/>
      <c r="G645" s="102"/>
    </row>
    <row r="646" spans="1:7" ht="12.75">
      <c r="A646" s="152"/>
      <c r="G646" s="102"/>
    </row>
    <row r="647" spans="1:7" ht="12.75">
      <c r="A647" s="152"/>
      <c r="G647" s="102"/>
    </row>
    <row r="648" spans="1:7" ht="12.75">
      <c r="A648" s="152"/>
      <c r="G648" s="102"/>
    </row>
    <row r="649" spans="1:7" ht="12.75">
      <c r="A649" s="152"/>
      <c r="G649" s="102"/>
    </row>
    <row r="650" spans="1:7" ht="12.75">
      <c r="A650" s="152"/>
      <c r="G650" s="102"/>
    </row>
    <row r="651" spans="1:7" ht="12.75">
      <c r="A651" s="152"/>
      <c r="G651" s="102"/>
    </row>
    <row r="652" spans="1:7" ht="12.75">
      <c r="A652" s="152"/>
      <c r="G652" s="102"/>
    </row>
    <row r="653" spans="1:7" ht="12.75">
      <c r="A653" s="152"/>
      <c r="G653" s="102"/>
    </row>
    <row r="654" spans="1:7" ht="12.75">
      <c r="A654" s="152"/>
      <c r="G654" s="102"/>
    </row>
    <row r="655" spans="1:7" ht="12.75">
      <c r="A655" s="152"/>
      <c r="G655" s="102"/>
    </row>
    <row r="656" spans="1:7" ht="12.75">
      <c r="A656" s="152"/>
      <c r="G656" s="102"/>
    </row>
    <row r="657" spans="1:7" ht="12.75">
      <c r="A657" s="152"/>
      <c r="G657" s="102"/>
    </row>
    <row r="658" spans="1:7" ht="12.75">
      <c r="A658" s="152"/>
      <c r="G658" s="102"/>
    </row>
    <row r="659" spans="1:7" ht="12.75">
      <c r="A659" s="152"/>
      <c r="G659" s="102"/>
    </row>
    <row r="660" spans="1:7" ht="12.75">
      <c r="A660" s="152"/>
      <c r="G660" s="102"/>
    </row>
    <row r="661" spans="1:7" ht="12.75">
      <c r="A661" s="152"/>
      <c r="G661" s="102"/>
    </row>
    <row r="662" spans="1:7" ht="12.75">
      <c r="A662" s="152"/>
      <c r="G662" s="102"/>
    </row>
    <row r="663" spans="1:7" ht="12.75">
      <c r="A663" s="152"/>
      <c r="G663" s="102"/>
    </row>
    <row r="664" spans="1:7" ht="12.75">
      <c r="A664" s="152"/>
      <c r="G664" s="102"/>
    </row>
    <row r="665" spans="1:7" ht="12.75">
      <c r="A665" s="152"/>
      <c r="G665" s="102"/>
    </row>
    <row r="666" spans="1:7" ht="12.75">
      <c r="A666" s="152"/>
      <c r="G666" s="102"/>
    </row>
    <row r="667" spans="1:7" ht="12.75">
      <c r="A667" s="152"/>
      <c r="G667" s="102"/>
    </row>
    <row r="668" spans="1:7" ht="12.75">
      <c r="A668" s="152"/>
      <c r="G668" s="102"/>
    </row>
    <row r="669" spans="1:7" ht="12.75">
      <c r="A669" s="152"/>
      <c r="G669" s="102"/>
    </row>
    <row r="670" spans="1:7" ht="12.75">
      <c r="A670" s="152"/>
      <c r="G670" s="102"/>
    </row>
    <row r="671" spans="1:7" ht="12.75">
      <c r="A671" s="152"/>
      <c r="G671" s="102"/>
    </row>
    <row r="672" spans="1:7" ht="12.75">
      <c r="A672" s="152"/>
      <c r="G672" s="102"/>
    </row>
    <row r="673" spans="1:7" ht="12.75">
      <c r="A673" s="152"/>
      <c r="G673" s="102"/>
    </row>
    <row r="674" spans="1:7" ht="12.75">
      <c r="A674" s="152"/>
      <c r="G674" s="102"/>
    </row>
    <row r="675" spans="1:7" ht="12.75">
      <c r="A675" s="152"/>
      <c r="G675" s="102"/>
    </row>
    <row r="676" spans="1:7" ht="12.75">
      <c r="A676" s="152"/>
      <c r="G676" s="102"/>
    </row>
    <row r="677" spans="1:7" ht="12.75">
      <c r="A677" s="152"/>
      <c r="G677" s="102"/>
    </row>
    <row r="678" spans="1:7" ht="12.75">
      <c r="A678" s="152"/>
      <c r="G678" s="102"/>
    </row>
    <row r="679" spans="1:7" ht="12.75">
      <c r="A679" s="152"/>
      <c r="G679" s="102"/>
    </row>
    <row r="680" spans="1:7" ht="12.75">
      <c r="A680" s="152"/>
      <c r="G680" s="102"/>
    </row>
    <row r="681" spans="1:7" ht="12.75">
      <c r="A681" s="152"/>
      <c r="G681" s="102"/>
    </row>
    <row r="682" spans="1:7" ht="12.75">
      <c r="A682" s="152"/>
      <c r="G682" s="102"/>
    </row>
    <row r="683" spans="1:7" ht="12.75">
      <c r="A683" s="152"/>
      <c r="G683" s="102"/>
    </row>
    <row r="684" spans="1:7" ht="12.75">
      <c r="A684" s="152"/>
      <c r="G684" s="102"/>
    </row>
    <row r="685" spans="1:7" ht="12.75">
      <c r="A685" s="152"/>
      <c r="G685" s="102"/>
    </row>
    <row r="686" spans="1:7" ht="12.75">
      <c r="A686" s="152"/>
      <c r="G686" s="102"/>
    </row>
    <row r="687" spans="1:7" ht="12.75">
      <c r="A687" s="152"/>
      <c r="G687" s="102"/>
    </row>
    <row r="688" spans="1:7" ht="12.75">
      <c r="A688" s="152"/>
      <c r="G688" s="102"/>
    </row>
    <row r="689" spans="1:7" ht="12.75">
      <c r="A689" s="152"/>
      <c r="G689" s="102"/>
    </row>
    <row r="690" spans="1:7" ht="12.75">
      <c r="A690" s="152"/>
      <c r="G690" s="102"/>
    </row>
    <row r="691" spans="1:7" ht="12.75">
      <c r="A691" s="152"/>
      <c r="G691" s="102"/>
    </row>
    <row r="692" spans="1:7" ht="12.75">
      <c r="A692" s="152"/>
      <c r="G692" s="102"/>
    </row>
    <row r="693" spans="1:7" ht="12.75">
      <c r="A693" s="152"/>
      <c r="G693" s="102"/>
    </row>
    <row r="694" spans="1:7" ht="12.75">
      <c r="A694" s="152"/>
      <c r="G694" s="102"/>
    </row>
    <row r="695" spans="1:7" ht="12.75">
      <c r="A695" s="152"/>
      <c r="G695" s="102"/>
    </row>
    <row r="696" spans="1:7" ht="12.75">
      <c r="A696" s="152"/>
      <c r="G696" s="102"/>
    </row>
    <row r="697" spans="1:7" ht="12.75">
      <c r="A697" s="152"/>
      <c r="G697" s="102"/>
    </row>
    <row r="698" spans="1:7" ht="12.75">
      <c r="A698" s="152"/>
      <c r="G698" s="102"/>
    </row>
    <row r="699" spans="1:7" ht="12.75">
      <c r="A699" s="152"/>
      <c r="G699" s="102"/>
    </row>
    <row r="700" spans="1:7" ht="12.75">
      <c r="A700" s="152"/>
      <c r="G700" s="102"/>
    </row>
    <row r="701" spans="1:7" ht="12.75">
      <c r="A701" s="152"/>
      <c r="G701" s="102"/>
    </row>
    <row r="702" spans="1:7" ht="12.75">
      <c r="A702" s="152"/>
      <c r="G702" s="102"/>
    </row>
    <row r="703" spans="1:7" ht="12.75">
      <c r="A703" s="152"/>
      <c r="G703" s="102"/>
    </row>
    <row r="704" spans="1:7" ht="12.75">
      <c r="A704" s="152"/>
      <c r="G704" s="102"/>
    </row>
    <row r="705" spans="1:7" ht="12.75">
      <c r="A705" s="152"/>
      <c r="G705" s="102"/>
    </row>
    <row r="706" spans="1:7" ht="12.75">
      <c r="A706" s="152"/>
      <c r="G706" s="102"/>
    </row>
    <row r="707" spans="1:7" ht="12.75">
      <c r="A707" s="152"/>
      <c r="G707" s="102"/>
    </row>
    <row r="708" spans="1:7" ht="12.75">
      <c r="A708" s="152"/>
      <c r="G708" s="102"/>
    </row>
    <row r="709" spans="1:7" ht="12.75">
      <c r="A709" s="152"/>
      <c r="G709" s="102"/>
    </row>
    <row r="710" spans="1:7" ht="12.75">
      <c r="A710" s="152"/>
      <c r="G710" s="102"/>
    </row>
    <row r="711" spans="1:7" ht="12.75">
      <c r="A711" s="152"/>
      <c r="G711" s="102"/>
    </row>
    <row r="712" spans="1:7" ht="12.75">
      <c r="A712" s="152"/>
      <c r="G712" s="102"/>
    </row>
    <row r="713" spans="1:7" ht="12.75">
      <c r="A713" s="152"/>
      <c r="G713" s="102"/>
    </row>
    <row r="714" spans="1:7" ht="12.75">
      <c r="A714" s="152"/>
      <c r="G714" s="102"/>
    </row>
    <row r="715" spans="1:7" ht="12.75">
      <c r="A715" s="152"/>
      <c r="G715" s="102"/>
    </row>
    <row r="716" spans="1:7" ht="12.75">
      <c r="A716" s="152"/>
      <c r="G716" s="102"/>
    </row>
    <row r="717" spans="1:7" ht="12.75">
      <c r="A717" s="152"/>
      <c r="G717" s="102"/>
    </row>
    <row r="718" spans="1:7" ht="12.75">
      <c r="A718" s="152"/>
      <c r="G718" s="102"/>
    </row>
    <row r="719" spans="1:7" ht="12.75">
      <c r="A719" s="152"/>
      <c r="G719" s="102"/>
    </row>
    <row r="720" spans="1:7" ht="12.75">
      <c r="A720" s="152"/>
      <c r="G720" s="102"/>
    </row>
    <row r="721" spans="1:7" ht="12.75">
      <c r="A721" s="152"/>
      <c r="G721" s="102"/>
    </row>
    <row r="722" spans="1:7" ht="12.75">
      <c r="A722" s="152"/>
      <c r="G722" s="102"/>
    </row>
    <row r="723" spans="1:7" ht="12.75">
      <c r="A723" s="152"/>
      <c r="G723" s="102"/>
    </row>
    <row r="724" spans="1:7" ht="12.75">
      <c r="A724" s="152"/>
      <c r="G724" s="102"/>
    </row>
    <row r="725" spans="1:7" ht="12.75">
      <c r="A725" s="152"/>
      <c r="G725" s="102"/>
    </row>
    <row r="726" spans="1:7" ht="12.75">
      <c r="A726" s="152"/>
      <c r="G726" s="102"/>
    </row>
    <row r="727" spans="1:7" ht="12.75">
      <c r="A727" s="152"/>
      <c r="G727" s="102"/>
    </row>
    <row r="728" spans="1:7" ht="12.75">
      <c r="A728" s="152"/>
      <c r="G728" s="102"/>
    </row>
    <row r="729" spans="1:7" ht="12.75">
      <c r="A729" s="152"/>
      <c r="G729" s="102"/>
    </row>
    <row r="730" spans="1:7" ht="12.75">
      <c r="A730" s="152"/>
      <c r="G730" s="102"/>
    </row>
    <row r="731" spans="1:7" ht="12.75">
      <c r="A731" s="152"/>
      <c r="G731" s="102"/>
    </row>
    <row r="732" spans="1:7" ht="12.75">
      <c r="A732" s="152"/>
      <c r="G732" s="102"/>
    </row>
    <row r="733" spans="1:7" ht="12.75">
      <c r="A733" s="152"/>
      <c r="G733" s="102"/>
    </row>
    <row r="734" spans="1:7" ht="12.75">
      <c r="A734" s="152"/>
      <c r="G734" s="102"/>
    </row>
    <row r="735" spans="1:7" ht="12.75">
      <c r="A735" s="152"/>
      <c r="G735" s="102"/>
    </row>
    <row r="736" spans="1:7" ht="12.75">
      <c r="A736" s="152"/>
      <c r="G736" s="102"/>
    </row>
    <row r="737" spans="1:7" ht="12.75">
      <c r="A737" s="152"/>
      <c r="G737" s="102"/>
    </row>
    <row r="738" spans="1:7" ht="12.75">
      <c r="A738" s="152"/>
      <c r="G738" s="102"/>
    </row>
    <row r="739" spans="1:7" ht="12.75">
      <c r="A739" s="152"/>
      <c r="G739" s="102"/>
    </row>
    <row r="740" spans="1:7" ht="12.75">
      <c r="A740" s="152"/>
      <c r="G740" s="102"/>
    </row>
    <row r="741" spans="1:7" ht="12.75">
      <c r="A741" s="152"/>
      <c r="G741" s="102"/>
    </row>
    <row r="742" spans="1:7" ht="12.75">
      <c r="A742" s="152"/>
      <c r="G742" s="102"/>
    </row>
    <row r="743" spans="1:7" ht="12.75">
      <c r="A743" s="152"/>
      <c r="G743" s="102"/>
    </row>
    <row r="744" spans="1:7" ht="12.75">
      <c r="A744" s="152"/>
      <c r="G744" s="102"/>
    </row>
    <row r="745" spans="1:7" ht="12.75">
      <c r="A745" s="152"/>
      <c r="G745" s="102"/>
    </row>
    <row r="746" spans="1:7" ht="12.75">
      <c r="A746" s="152"/>
      <c r="G746" s="102"/>
    </row>
    <row r="747" spans="1:7" ht="12.75">
      <c r="A747" s="152"/>
      <c r="G747" s="102"/>
    </row>
    <row r="748" spans="1:7" ht="12.75">
      <c r="A748" s="152"/>
      <c r="G748" s="102"/>
    </row>
    <row r="749" spans="1:7" ht="12.75">
      <c r="A749" s="152"/>
      <c r="G749" s="102"/>
    </row>
    <row r="750" spans="1:7" ht="12.75">
      <c r="A750" s="152"/>
      <c r="G750" s="102"/>
    </row>
    <row r="751" spans="1:7" ht="12.75">
      <c r="A751" s="152"/>
      <c r="G751" s="102"/>
    </row>
    <row r="752" spans="1:7" ht="12.75">
      <c r="A752" s="152"/>
      <c r="G752" s="102"/>
    </row>
    <row r="753" spans="1:7" ht="12.75">
      <c r="A753" s="152"/>
      <c r="G753" s="102"/>
    </row>
    <row r="754" spans="1:7" ht="12.75">
      <c r="A754" s="152"/>
      <c r="G754" s="102"/>
    </row>
    <row r="755" spans="1:7" ht="12.75">
      <c r="A755" s="152"/>
      <c r="G755" s="102"/>
    </row>
    <row r="756" spans="1:7" ht="12.75">
      <c r="A756" s="152"/>
      <c r="G756" s="102"/>
    </row>
    <row r="757" spans="1:7" ht="12.75">
      <c r="A757" s="152"/>
      <c r="G757" s="102"/>
    </row>
    <row r="758" spans="1:7" ht="12.75">
      <c r="A758" s="152"/>
      <c r="G758" s="102"/>
    </row>
    <row r="759" spans="1:7" ht="12.75">
      <c r="A759" s="152"/>
      <c r="G759" s="102"/>
    </row>
    <row r="760" spans="1:7" ht="12.75">
      <c r="A760" s="152"/>
      <c r="G760" s="102"/>
    </row>
    <row r="761" spans="1:7" ht="12.75">
      <c r="A761" s="152"/>
      <c r="G761" s="102"/>
    </row>
    <row r="762" spans="1:7" ht="12.75">
      <c r="A762" s="152"/>
      <c r="G762" s="102"/>
    </row>
    <row r="763" spans="1:7" ht="12.75">
      <c r="A763" s="152"/>
      <c r="G763" s="102"/>
    </row>
    <row r="764" spans="1:7" ht="12.75">
      <c r="A764" s="152"/>
      <c r="G764" s="102"/>
    </row>
    <row r="765" spans="1:7" ht="12.75">
      <c r="A765" s="152"/>
      <c r="G765" s="102"/>
    </row>
    <row r="766" spans="1:7" ht="12.75">
      <c r="A766" s="152"/>
      <c r="G766" s="102"/>
    </row>
    <row r="767" spans="1:7" ht="12.75">
      <c r="A767" s="152"/>
      <c r="G767" s="102"/>
    </row>
    <row r="768" spans="1:7" ht="12.75">
      <c r="A768" s="152"/>
      <c r="G768" s="102"/>
    </row>
    <row r="769" spans="1:7" ht="12.75">
      <c r="A769" s="152"/>
      <c r="G769" s="102"/>
    </row>
    <row r="770" spans="1:7" ht="12.75">
      <c r="A770" s="152"/>
      <c r="G770" s="102"/>
    </row>
    <row r="771" spans="1:7" ht="12.75">
      <c r="A771" s="152"/>
      <c r="G771" s="102"/>
    </row>
    <row r="772" spans="1:7" ht="12.75">
      <c r="A772" s="152"/>
      <c r="G772" s="102"/>
    </row>
    <row r="773" spans="1:7" ht="12.75">
      <c r="A773" s="152"/>
      <c r="G773" s="102"/>
    </row>
    <row r="774" spans="1:7" ht="12.75">
      <c r="A774" s="152"/>
      <c r="G774" s="102"/>
    </row>
    <row r="775" spans="1:7" ht="12.75">
      <c r="A775" s="152"/>
      <c r="G775" s="102"/>
    </row>
    <row r="776" spans="1:7" ht="12.75">
      <c r="A776" s="152"/>
      <c r="G776" s="102"/>
    </row>
    <row r="777" spans="1:7" ht="12.75">
      <c r="A777" s="152"/>
      <c r="G777" s="102"/>
    </row>
    <row r="778" spans="1:7" ht="12.75">
      <c r="A778" s="152"/>
      <c r="G778" s="102"/>
    </row>
    <row r="779" spans="1:7" ht="12.75">
      <c r="A779" s="152"/>
      <c r="G779" s="102"/>
    </row>
    <row r="780" spans="1:7" ht="12.75">
      <c r="A780" s="152"/>
      <c r="G780" s="102"/>
    </row>
    <row r="781" spans="1:7" ht="12.75">
      <c r="A781" s="152"/>
      <c r="G781" s="102"/>
    </row>
    <row r="782" spans="1:7" ht="12.75">
      <c r="A782" s="152"/>
      <c r="G782" s="102"/>
    </row>
    <row r="783" spans="1:7" ht="12.75">
      <c r="A783" s="152"/>
      <c r="G783" s="102"/>
    </row>
    <row r="784" spans="1:7" ht="12.75">
      <c r="A784" s="152"/>
      <c r="G784" s="102"/>
    </row>
    <row r="785" spans="1:7" ht="12.75">
      <c r="A785" s="152"/>
      <c r="G785" s="102"/>
    </row>
    <row r="786" spans="1:7" ht="12.75">
      <c r="A786" s="152"/>
      <c r="G786" s="102"/>
    </row>
    <row r="787" spans="1:7" ht="12.75">
      <c r="A787" s="152"/>
      <c r="G787" s="102"/>
    </row>
    <row r="788" spans="1:7" ht="12.75">
      <c r="A788" s="152"/>
      <c r="G788" s="102"/>
    </row>
    <row r="789" spans="1:7" ht="12.75">
      <c r="A789" s="152"/>
      <c r="G789" s="102"/>
    </row>
    <row r="790" spans="1:7" ht="12.75">
      <c r="A790" s="152"/>
      <c r="G790" s="102"/>
    </row>
    <row r="791" spans="1:7" ht="12.75">
      <c r="A791" s="152"/>
      <c r="G791" s="102"/>
    </row>
    <row r="792" spans="1:7" ht="12.75">
      <c r="A792" s="152"/>
      <c r="G792" s="102"/>
    </row>
    <row r="793" spans="1:7" ht="12.75">
      <c r="A793" s="152"/>
      <c r="G793" s="102"/>
    </row>
    <row r="794" spans="1:7" ht="12.75">
      <c r="A794" s="152"/>
      <c r="G794" s="102"/>
    </row>
    <row r="795" spans="1:7" ht="12.75">
      <c r="A795" s="152"/>
      <c r="G795" s="102"/>
    </row>
    <row r="796" spans="1:7" ht="12.75">
      <c r="A796" s="152"/>
      <c r="G796" s="102"/>
    </row>
    <row r="797" spans="1:7" ht="12.75">
      <c r="A797" s="152"/>
      <c r="G797" s="102"/>
    </row>
    <row r="798" spans="1:7" ht="12.75">
      <c r="A798" s="152"/>
      <c r="G798" s="102"/>
    </row>
    <row r="799" spans="1:7" ht="12.75">
      <c r="A799" s="152"/>
      <c r="G799" s="102"/>
    </row>
    <row r="800" spans="1:7" ht="12.75">
      <c r="A800" s="152"/>
      <c r="G800" s="102"/>
    </row>
    <row r="801" spans="1:7" ht="12.75">
      <c r="A801" s="152"/>
      <c r="G801" s="102"/>
    </row>
    <row r="802" spans="1:7" ht="12.75">
      <c r="A802" s="152"/>
      <c r="G802" s="102"/>
    </row>
    <row r="803" spans="1:7" ht="12.75">
      <c r="A803" s="152"/>
      <c r="G803" s="102"/>
    </row>
    <row r="804" spans="1:7" ht="12.75">
      <c r="A804" s="152"/>
      <c r="G804" s="102"/>
    </row>
    <row r="805" spans="1:7" ht="12.75">
      <c r="A805" s="152"/>
      <c r="G805" s="102"/>
    </row>
    <row r="806" spans="1:7" ht="12.75">
      <c r="A806" s="152"/>
      <c r="G806" s="102"/>
    </row>
    <row r="807" spans="1:7" ht="12.75">
      <c r="A807" s="152"/>
      <c r="G807" s="102"/>
    </row>
    <row r="808" spans="1:7" ht="12.75">
      <c r="A808" s="152"/>
      <c r="G808" s="102"/>
    </row>
    <row r="809" spans="1:7" ht="12.75">
      <c r="A809" s="152"/>
      <c r="G809" s="102"/>
    </row>
    <row r="810" spans="1:7" ht="12.75">
      <c r="A810" s="152"/>
      <c r="G810" s="102"/>
    </row>
    <row r="811" spans="1:7" ht="12.75">
      <c r="A811" s="152"/>
      <c r="G811" s="102"/>
    </row>
    <row r="812" spans="1:7" ht="12.75">
      <c r="A812" s="152"/>
      <c r="G812" s="102"/>
    </row>
    <row r="813" spans="1:7" ht="12.75">
      <c r="A813" s="152"/>
      <c r="G813" s="102"/>
    </row>
    <row r="814" spans="1:7" ht="12.75">
      <c r="A814" s="152"/>
      <c r="G814" s="102"/>
    </row>
    <row r="815" spans="1:7" ht="12.75">
      <c r="A815" s="152"/>
      <c r="G815" s="102"/>
    </row>
    <row r="816" spans="1:7" ht="12.75">
      <c r="A816" s="152"/>
      <c r="G816" s="102"/>
    </row>
    <row r="817" spans="1:7" ht="12.75">
      <c r="A817" s="152"/>
      <c r="G817" s="102"/>
    </row>
    <row r="818" spans="1:7" ht="12.75">
      <c r="A818" s="152"/>
      <c r="G818" s="102"/>
    </row>
    <row r="819" spans="1:7" ht="12.75">
      <c r="A819" s="152"/>
      <c r="G819" s="102"/>
    </row>
    <row r="820" spans="1:7" ht="12.75">
      <c r="A820" s="152"/>
      <c r="G820" s="102"/>
    </row>
    <row r="821" spans="1:7" ht="12.75">
      <c r="A821" s="152"/>
      <c r="G821" s="102"/>
    </row>
    <row r="822" spans="1:7" ht="12.75">
      <c r="A822" s="152"/>
      <c r="G822" s="102"/>
    </row>
    <row r="823" spans="1:7" ht="12.75">
      <c r="A823" s="152"/>
      <c r="G823" s="102"/>
    </row>
    <row r="824" spans="1:7" ht="12.75">
      <c r="A824" s="152"/>
      <c r="G824" s="102"/>
    </row>
    <row r="825" spans="1:7" ht="12.75">
      <c r="A825" s="152"/>
      <c r="G825" s="102"/>
    </row>
    <row r="826" spans="1:7" ht="12.75">
      <c r="A826" s="152"/>
      <c r="G826" s="102"/>
    </row>
    <row r="827" spans="1:7" ht="12.75">
      <c r="A827" s="152"/>
      <c r="G827" s="102"/>
    </row>
    <row r="828" spans="1:7" ht="12.75">
      <c r="A828" s="152"/>
      <c r="G828" s="102"/>
    </row>
    <row r="829" spans="1:7" ht="12.75">
      <c r="A829" s="152"/>
      <c r="G829" s="102"/>
    </row>
    <row r="830" spans="1:7" ht="12.75">
      <c r="A830" s="152"/>
      <c r="G830" s="102"/>
    </row>
    <row r="831" spans="1:7" ht="12.75">
      <c r="A831" s="152"/>
      <c r="G831" s="102"/>
    </row>
    <row r="832" spans="1:7" ht="12.75">
      <c r="A832" s="152"/>
      <c r="G832" s="102"/>
    </row>
    <row r="833" spans="1:7" ht="12.75">
      <c r="A833" s="152"/>
      <c r="G833" s="102"/>
    </row>
    <row r="834" spans="1:7" ht="12.75">
      <c r="A834" s="152"/>
      <c r="G834" s="102"/>
    </row>
    <row r="835" spans="1:7" ht="12.75">
      <c r="A835" s="152"/>
      <c r="G835" s="102"/>
    </row>
    <row r="836" spans="1:7" ht="12.75">
      <c r="A836" s="152"/>
      <c r="G836" s="102"/>
    </row>
    <row r="837" spans="1:7" ht="12.75">
      <c r="A837" s="152"/>
      <c r="G837" s="102"/>
    </row>
    <row r="838" spans="1:7" ht="12.75">
      <c r="A838" s="152"/>
      <c r="G838" s="102"/>
    </row>
    <row r="839" spans="1:7" ht="12.75">
      <c r="A839" s="152"/>
      <c r="G839" s="102"/>
    </row>
    <row r="840" spans="1:7" ht="12.75">
      <c r="A840" s="152"/>
      <c r="G840" s="102"/>
    </row>
    <row r="841" spans="1:7" ht="12.75">
      <c r="A841" s="152"/>
      <c r="G841" s="102"/>
    </row>
    <row r="842" spans="1:7" ht="12.75">
      <c r="A842" s="152"/>
      <c r="G842" s="102"/>
    </row>
    <row r="843" spans="1:7" ht="12.75">
      <c r="A843" s="152"/>
      <c r="G843" s="102"/>
    </row>
    <row r="844" spans="1:7" ht="12.75">
      <c r="A844" s="152"/>
      <c r="G844" s="102"/>
    </row>
    <row r="845" spans="1:7" ht="12.75">
      <c r="A845" s="152"/>
      <c r="G845" s="102"/>
    </row>
    <row r="846" spans="1:7" ht="12.75">
      <c r="A846" s="152"/>
      <c r="G846" s="102"/>
    </row>
    <row r="847" spans="1:7" ht="12.75">
      <c r="A847" s="152"/>
      <c r="G847" s="102"/>
    </row>
    <row r="848" spans="1:7" ht="12.75">
      <c r="A848" s="152"/>
      <c r="G848" s="102"/>
    </row>
    <row r="849" spans="1:7" ht="12.75">
      <c r="A849" s="152"/>
      <c r="G849" s="102"/>
    </row>
    <row r="850" spans="1:7" ht="12.75">
      <c r="A850" s="152"/>
      <c r="G850" s="102"/>
    </row>
    <row r="851" spans="1:7" ht="12.75">
      <c r="A851" s="152"/>
      <c r="G851" s="102"/>
    </row>
    <row r="852" spans="1:7" ht="12.75">
      <c r="A852" s="152"/>
      <c r="G852" s="102"/>
    </row>
    <row r="853" spans="1:7" ht="12.75">
      <c r="A853" s="152"/>
      <c r="G853" s="102"/>
    </row>
    <row r="854" spans="1:7" ht="12.75">
      <c r="A854" s="152"/>
      <c r="G854" s="102"/>
    </row>
    <row r="855" spans="1:7" ht="12.75">
      <c r="A855" s="152"/>
      <c r="G855" s="102"/>
    </row>
    <row r="856" spans="1:7" ht="12.75">
      <c r="A856" s="152"/>
      <c r="G856" s="102"/>
    </row>
    <row r="857" spans="1:7" ht="12.75">
      <c r="A857" s="152"/>
      <c r="G857" s="102"/>
    </row>
    <row r="858" spans="1:7" ht="12.75">
      <c r="A858" s="152"/>
      <c r="G858" s="102"/>
    </row>
    <row r="859" spans="1:7" ht="12.75">
      <c r="A859" s="152"/>
      <c r="G859" s="102"/>
    </row>
    <row r="860" spans="1:7" ht="12.75">
      <c r="A860" s="152"/>
      <c r="G860" s="102"/>
    </row>
    <row r="861" spans="1:7" ht="12.75">
      <c r="A861" s="152"/>
      <c r="G861" s="102"/>
    </row>
    <row r="862" spans="1:7" ht="12.75">
      <c r="A862" s="152"/>
      <c r="G862" s="102"/>
    </row>
    <row r="863" spans="1:7" ht="12.75">
      <c r="A863" s="152"/>
      <c r="G863" s="102"/>
    </row>
    <row r="864" spans="1:7" ht="12.75">
      <c r="A864" s="152"/>
      <c r="G864" s="102"/>
    </row>
    <row r="865" spans="1:7" ht="12.75">
      <c r="A865" s="152"/>
      <c r="G865" s="102"/>
    </row>
    <row r="866" spans="1:7" ht="12.75">
      <c r="A866" s="152"/>
      <c r="G866" s="102"/>
    </row>
    <row r="867" spans="1:7" ht="12.75">
      <c r="A867" s="152"/>
      <c r="G867" s="102"/>
    </row>
    <row r="868" spans="1:7" ht="12.75">
      <c r="A868" s="152"/>
      <c r="G868" s="102"/>
    </row>
    <row r="869" spans="1:7" ht="12.75">
      <c r="A869" s="152"/>
      <c r="G869" s="102"/>
    </row>
    <row r="870" spans="1:7" ht="12.75">
      <c r="A870" s="152"/>
      <c r="G870" s="102"/>
    </row>
    <row r="871" spans="1:7" ht="12.75">
      <c r="A871" s="152"/>
      <c r="G871" s="102"/>
    </row>
    <row r="872" spans="1:7" ht="12.75">
      <c r="A872" s="152"/>
      <c r="G872" s="102"/>
    </row>
    <row r="873" spans="1:7" ht="12.75">
      <c r="A873" s="152"/>
      <c r="G873" s="102"/>
    </row>
    <row r="874" spans="1:7" ht="12.75">
      <c r="A874" s="152"/>
      <c r="G874" s="102"/>
    </row>
    <row r="875" spans="1:7" ht="12.75">
      <c r="A875" s="152"/>
      <c r="G875" s="102"/>
    </row>
    <row r="876" spans="1:7" ht="12.75">
      <c r="A876" s="152"/>
      <c r="G876" s="102"/>
    </row>
    <row r="877" spans="1:7" ht="12.75">
      <c r="A877" s="152"/>
      <c r="G877" s="102"/>
    </row>
    <row r="878" spans="1:7" ht="12.75">
      <c r="A878" s="152"/>
      <c r="G878" s="102"/>
    </row>
    <row r="879" spans="1:7" ht="12.75">
      <c r="A879" s="152"/>
      <c r="G879" s="102"/>
    </row>
    <row r="880" spans="1:7" ht="12.75">
      <c r="A880" s="152"/>
      <c r="G880" s="102"/>
    </row>
    <row r="881" spans="1:7" ht="12.75">
      <c r="A881" s="152"/>
      <c r="G881" s="102"/>
    </row>
    <row r="882" spans="1:7" ht="12.75">
      <c r="A882" s="152"/>
      <c r="G882" s="102"/>
    </row>
    <row r="883" spans="1:7" ht="12.75">
      <c r="A883" s="152"/>
      <c r="G883" s="102"/>
    </row>
    <row r="884" spans="1:7" ht="12.75">
      <c r="A884" s="152"/>
      <c r="G884" s="102"/>
    </row>
    <row r="885" spans="1:7" ht="12.75">
      <c r="A885" s="152"/>
      <c r="G885" s="102"/>
    </row>
    <row r="886" spans="1:7" ht="12.75">
      <c r="A886" s="152"/>
      <c r="G886" s="102"/>
    </row>
    <row r="887" spans="1:7" ht="12.75">
      <c r="A887" s="152"/>
      <c r="G887" s="102"/>
    </row>
    <row r="888" spans="1:7" ht="12.75">
      <c r="A888" s="152"/>
      <c r="G888" s="102"/>
    </row>
    <row r="889" spans="1:7" ht="12.75">
      <c r="A889" s="152"/>
      <c r="G889" s="102"/>
    </row>
    <row r="890" spans="1:7" ht="12.75">
      <c r="A890" s="152"/>
      <c r="G890" s="102"/>
    </row>
    <row r="891" spans="1:7" ht="12.75">
      <c r="A891" s="152"/>
      <c r="G891" s="102"/>
    </row>
    <row r="892" spans="1:7" ht="12.75">
      <c r="A892" s="152"/>
      <c r="G892" s="102"/>
    </row>
    <row r="893" spans="1:7" ht="12.75">
      <c r="A893" s="152"/>
      <c r="G893" s="102"/>
    </row>
    <row r="894" spans="1:7" ht="12.75">
      <c r="A894" s="152"/>
      <c r="G894" s="102"/>
    </row>
    <row r="895" spans="1:7" ht="12.75">
      <c r="A895" s="152"/>
      <c r="G895" s="102"/>
    </row>
    <row r="896" spans="1:7" ht="12.75">
      <c r="A896" s="152"/>
      <c r="G896" s="102"/>
    </row>
    <row r="897" spans="1:7" ht="12.75">
      <c r="A897" s="152"/>
      <c r="G897" s="102"/>
    </row>
    <row r="898" spans="1:7" ht="12.75">
      <c r="A898" s="152"/>
      <c r="G898" s="102"/>
    </row>
    <row r="899" spans="1:7" ht="12.75">
      <c r="A899" s="152"/>
      <c r="G899" s="102"/>
    </row>
    <row r="900" spans="1:7" ht="12.75">
      <c r="A900" s="152"/>
      <c r="G900" s="102"/>
    </row>
    <row r="901" spans="1:7" ht="12.75">
      <c r="A901" s="152"/>
      <c r="G901" s="102"/>
    </row>
    <row r="902" spans="1:7" ht="12.75">
      <c r="A902" s="152"/>
      <c r="G902" s="102"/>
    </row>
    <row r="903" spans="1:7" ht="12.75">
      <c r="A903" s="152"/>
      <c r="G903" s="102"/>
    </row>
    <row r="904" spans="1:7" ht="12.75">
      <c r="A904" s="152"/>
      <c r="G904" s="102"/>
    </row>
    <row r="905" spans="1:7" ht="12.75">
      <c r="A905" s="152"/>
      <c r="G905" s="102"/>
    </row>
    <row r="906" spans="1:7" ht="12.75">
      <c r="A906" s="152"/>
      <c r="G906" s="102"/>
    </row>
    <row r="907" spans="1:7" ht="12.75">
      <c r="A907" s="152"/>
      <c r="G907" s="102"/>
    </row>
    <row r="908" spans="1:7" ht="12.75">
      <c r="A908" s="152"/>
      <c r="G908" s="102"/>
    </row>
    <row r="909" spans="1:7" ht="12.75">
      <c r="A909" s="152"/>
      <c r="G909" s="102"/>
    </row>
    <row r="910" spans="1:7" ht="12.75">
      <c r="A910" s="152"/>
      <c r="G910" s="102"/>
    </row>
    <row r="911" spans="1:7" ht="12.75">
      <c r="A911" s="152"/>
      <c r="G911" s="102"/>
    </row>
    <row r="912" spans="1:7" ht="12.75">
      <c r="A912" s="152"/>
      <c r="G912" s="102"/>
    </row>
    <row r="913" spans="1:7" ht="12.75">
      <c r="A913" s="152"/>
      <c r="G913" s="102"/>
    </row>
    <row r="914" spans="1:7" ht="12.75">
      <c r="A914" s="152"/>
      <c r="G914" s="102"/>
    </row>
    <row r="915" spans="1:7" ht="12.75">
      <c r="A915" s="152"/>
      <c r="G915" s="102"/>
    </row>
    <row r="916" spans="1:7" ht="12.75">
      <c r="A916" s="152"/>
      <c r="G916" s="102"/>
    </row>
    <row r="917" spans="1:7" ht="12.75">
      <c r="A917" s="152"/>
      <c r="G917" s="102"/>
    </row>
    <row r="918" spans="1:7" ht="12.75">
      <c r="A918" s="152"/>
      <c r="G918" s="102"/>
    </row>
    <row r="919" spans="1:7" ht="12.75">
      <c r="A919" s="152"/>
      <c r="G919" s="102"/>
    </row>
    <row r="920" spans="1:7" ht="12.75">
      <c r="A920" s="152"/>
      <c r="G920" s="102"/>
    </row>
    <row r="921" spans="1:7" ht="12.75">
      <c r="A921" s="152"/>
      <c r="G921" s="102"/>
    </row>
    <row r="922" spans="1:7" ht="12.75">
      <c r="A922" s="152"/>
      <c r="G922" s="102"/>
    </row>
    <row r="923" spans="1:7" ht="12.75">
      <c r="A923" s="152"/>
      <c r="G923" s="102"/>
    </row>
    <row r="924" spans="1:7" ht="12.75">
      <c r="A924" s="152"/>
      <c r="G924" s="102"/>
    </row>
    <row r="925" spans="1:7" ht="12.75">
      <c r="A925" s="152"/>
      <c r="G925" s="102"/>
    </row>
    <row r="926" spans="1:7" ht="12.75">
      <c r="A926" s="152"/>
      <c r="G926" s="102"/>
    </row>
    <row r="927" spans="1:7" ht="12.75">
      <c r="A927" s="152"/>
      <c r="G927" s="102"/>
    </row>
    <row r="928" spans="1:7" ht="12.75">
      <c r="A928" s="152"/>
      <c r="G928" s="102"/>
    </row>
    <row r="929" spans="1:7" ht="12.75">
      <c r="A929" s="152"/>
      <c r="G929" s="102"/>
    </row>
    <row r="930" spans="1:7" ht="12.75">
      <c r="A930" s="152"/>
      <c r="G930" s="102"/>
    </row>
    <row r="931" spans="1:7" ht="12.75">
      <c r="A931" s="152"/>
      <c r="G931" s="102"/>
    </row>
    <row r="932" spans="1:7" ht="12.75">
      <c r="A932" s="152"/>
      <c r="G932" s="102"/>
    </row>
    <row r="933" spans="1:7" ht="12.75">
      <c r="A933" s="152"/>
      <c r="G933" s="102"/>
    </row>
    <row r="934" spans="1:7" ht="12.75">
      <c r="A934" s="152"/>
      <c r="G934" s="102"/>
    </row>
    <row r="935" spans="1:7" ht="12.75">
      <c r="A935" s="152"/>
      <c r="G935" s="102"/>
    </row>
    <row r="936" spans="1:7" ht="12.75">
      <c r="A936" s="152"/>
      <c r="G936" s="102"/>
    </row>
    <row r="937" spans="1:7" ht="12.75">
      <c r="A937" s="152"/>
      <c r="G937" s="102"/>
    </row>
    <row r="938" spans="1:7" ht="12.75">
      <c r="A938" s="152"/>
      <c r="G938" s="102"/>
    </row>
    <row r="939" spans="1:7" ht="12.75">
      <c r="A939" s="152"/>
      <c r="G939" s="102"/>
    </row>
    <row r="940" spans="1:7" ht="12.75">
      <c r="A940" s="152"/>
      <c r="G940" s="102"/>
    </row>
    <row r="941" spans="1:7" ht="12.75">
      <c r="A941" s="152"/>
      <c r="G941" s="102"/>
    </row>
    <row r="942" spans="1:7" ht="12.75">
      <c r="A942" s="152"/>
      <c r="G942" s="102"/>
    </row>
    <row r="943" spans="1:7" ht="12.75">
      <c r="A943" s="152"/>
      <c r="G943" s="102"/>
    </row>
    <row r="944" spans="1:7" ht="12.75">
      <c r="A944" s="152"/>
      <c r="G944" s="102"/>
    </row>
    <row r="945" spans="1:7" ht="12.75">
      <c r="A945" s="152"/>
      <c r="G945" s="102"/>
    </row>
    <row r="946" spans="1:7" ht="12.75">
      <c r="A946" s="152"/>
      <c r="G946" s="102"/>
    </row>
    <row r="947" spans="1:7" ht="12.75">
      <c r="A947" s="152"/>
      <c r="G947" s="102"/>
    </row>
    <row r="948" spans="1:7" ht="12.75">
      <c r="A948" s="152"/>
      <c r="G948" s="102"/>
    </row>
    <row r="949" spans="1:7" ht="12.75">
      <c r="A949" s="152"/>
      <c r="G949" s="102"/>
    </row>
    <row r="950" spans="1:7" ht="12.75">
      <c r="A950" s="152"/>
      <c r="G950" s="102"/>
    </row>
    <row r="951" spans="1:7" ht="12.75">
      <c r="A951" s="152"/>
      <c r="G951" s="102"/>
    </row>
    <row r="952" spans="1:7" ht="12.75">
      <c r="A952" s="152"/>
      <c r="G952" s="102"/>
    </row>
    <row r="953" spans="1:7" ht="12.75">
      <c r="A953" s="152"/>
      <c r="G953" s="102"/>
    </row>
    <row r="954" spans="1:7" ht="12.75">
      <c r="A954" s="152"/>
      <c r="G954" s="102"/>
    </row>
    <row r="955" spans="1:7" ht="12.75">
      <c r="A955" s="152"/>
      <c r="G955" s="102"/>
    </row>
    <row r="956" spans="1:7" ht="12.75">
      <c r="A956" s="152"/>
      <c r="G956" s="102"/>
    </row>
    <row r="957" spans="1:7" ht="12.75">
      <c r="A957" s="152"/>
      <c r="G957" s="102"/>
    </row>
    <row r="958" spans="1:7" ht="12.75">
      <c r="A958" s="152"/>
      <c r="G958" s="102"/>
    </row>
    <row r="959" spans="1:7" ht="12.75">
      <c r="A959" s="152"/>
      <c r="G959" s="102"/>
    </row>
    <row r="960" spans="1:7" ht="12.75">
      <c r="A960" s="152"/>
      <c r="G960" s="102"/>
    </row>
    <row r="961" spans="1:7" ht="12.75">
      <c r="A961" s="152"/>
      <c r="G961" s="102"/>
    </row>
    <row r="962" spans="1:7" ht="12.75">
      <c r="A962" s="152"/>
      <c r="G962" s="102"/>
    </row>
    <row r="963" spans="1:7" ht="12.75">
      <c r="A963" s="152"/>
      <c r="G963" s="102"/>
    </row>
    <row r="964" spans="1:7" ht="12.75">
      <c r="A964" s="152"/>
      <c r="G964" s="102"/>
    </row>
    <row r="965" spans="1:7" ht="12.75">
      <c r="A965" s="152"/>
      <c r="G965" s="102"/>
    </row>
    <row r="966" spans="1:7" ht="12.75">
      <c r="A966" s="152"/>
      <c r="G966" s="102"/>
    </row>
    <row r="967" spans="1:7" ht="12.75">
      <c r="A967" s="152"/>
      <c r="G967" s="102"/>
    </row>
    <row r="968" spans="1:7" ht="12.75">
      <c r="A968" s="152"/>
      <c r="G968" s="102"/>
    </row>
    <row r="969" spans="1:7" ht="12.75">
      <c r="A969" s="152"/>
      <c r="G969" s="102"/>
    </row>
    <row r="970" spans="1:7" ht="12.75">
      <c r="A970" s="152"/>
      <c r="G970" s="102"/>
    </row>
    <row r="971" spans="1:7" ht="12.75">
      <c r="A971" s="152"/>
      <c r="G971" s="102"/>
    </row>
    <row r="972" spans="1:7" ht="12.75">
      <c r="A972" s="152"/>
      <c r="G972" s="102"/>
    </row>
    <row r="973" spans="1:7" ht="12.75">
      <c r="A973" s="152"/>
      <c r="G973" s="102"/>
    </row>
    <row r="974" spans="1:7" ht="12.75">
      <c r="A974" s="152"/>
      <c r="G974" s="102"/>
    </row>
    <row r="975" spans="1:7" ht="12.75">
      <c r="A975" s="152"/>
      <c r="G975" s="102"/>
    </row>
    <row r="976" spans="1:7" ht="12.75">
      <c r="A976" s="152"/>
      <c r="G976" s="102"/>
    </row>
    <row r="977" spans="1:7" ht="12.75">
      <c r="A977" s="152"/>
      <c r="G977" s="102"/>
    </row>
    <row r="978" spans="1:7" ht="12.75">
      <c r="A978" s="152"/>
      <c r="G978" s="102"/>
    </row>
    <row r="979" spans="1:7" ht="12.75">
      <c r="A979" s="152"/>
      <c r="G979" s="102"/>
    </row>
    <row r="980" spans="1:7" ht="12.75">
      <c r="A980" s="152"/>
      <c r="G980" s="102"/>
    </row>
    <row r="981" spans="1:7" ht="12.75">
      <c r="A981" s="152"/>
      <c r="G981" s="102"/>
    </row>
    <row r="982" spans="1:7" ht="12.75">
      <c r="A982" s="152"/>
      <c r="G982" s="102"/>
    </row>
    <row r="983" spans="1:7" ht="12.75">
      <c r="A983" s="152"/>
      <c r="G983" s="102"/>
    </row>
    <row r="984" spans="1:7" ht="12.75">
      <c r="A984" s="152"/>
      <c r="G984" s="102"/>
    </row>
    <row r="985" spans="1:7" ht="12.75">
      <c r="A985" s="152"/>
      <c r="G985" s="102"/>
    </row>
    <row r="986" spans="1:7" ht="12.75">
      <c r="A986" s="152"/>
      <c r="G986" s="102"/>
    </row>
    <row r="987" spans="1:7" ht="12.75">
      <c r="A987" s="152"/>
      <c r="G987" s="102"/>
    </row>
    <row r="988" spans="1:7" ht="12.75">
      <c r="A988" s="152"/>
      <c r="G988" s="102"/>
    </row>
    <row r="989" spans="1:7" ht="12.75">
      <c r="A989" s="152"/>
      <c r="G989" s="102"/>
    </row>
    <row r="990" spans="1:7" ht="12.75">
      <c r="A990" s="152"/>
      <c r="G990" s="102"/>
    </row>
    <row r="991" spans="1:7" ht="12.75">
      <c r="A991" s="152"/>
      <c r="G991" s="102"/>
    </row>
    <row r="992" spans="1:7" ht="12.75">
      <c r="A992" s="152"/>
      <c r="G992" s="102"/>
    </row>
    <row r="993" spans="1:7" ht="12.75">
      <c r="A993" s="152"/>
      <c r="G993" s="102"/>
    </row>
    <row r="994" spans="1:7" ht="12.75">
      <c r="A994" s="152"/>
      <c r="G994" s="102"/>
    </row>
    <row r="995" spans="1:7" ht="12.75">
      <c r="A995" s="152"/>
      <c r="G995" s="102"/>
    </row>
    <row r="996" spans="1:7" ht="12.75">
      <c r="A996" s="152"/>
      <c r="G996" s="102"/>
    </row>
    <row r="997" spans="1:7" ht="12.75">
      <c r="A997" s="152"/>
      <c r="G997" s="102"/>
    </row>
    <row r="998" spans="1:7" ht="12.75">
      <c r="A998" s="152"/>
      <c r="G998" s="102"/>
    </row>
    <row r="999" spans="1:7" ht="12.75">
      <c r="A999" s="152"/>
      <c r="G999" s="102"/>
    </row>
    <row r="1000" spans="1:7" ht="12.75">
      <c r="A1000" s="152"/>
      <c r="G1000" s="10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274"/>
  <sheetViews>
    <sheetView workbookViewId="0"/>
  </sheetViews>
  <sheetFormatPr defaultColWidth="12.5703125" defaultRowHeight="15.75" customHeight="1"/>
  <cols>
    <col min="1" max="2" width="33.7109375" customWidth="1"/>
    <col min="3" max="7" width="23" customWidth="1"/>
    <col min="8" max="8" width="18.42578125" customWidth="1"/>
    <col min="9" max="9" width="36.28515625" customWidth="1"/>
  </cols>
  <sheetData>
    <row r="1" spans="1:9" ht="54.75" customHeight="1">
      <c r="A1" s="153"/>
      <c r="B1" s="153" t="s">
        <v>827</v>
      </c>
      <c r="C1" s="154"/>
      <c r="D1" s="154"/>
      <c r="E1" s="154"/>
      <c r="F1" s="154"/>
      <c r="G1" s="154"/>
      <c r="H1" s="154"/>
      <c r="I1" s="155"/>
    </row>
    <row r="2" spans="1:9" ht="12" customHeight="1">
      <c r="A2" s="156"/>
      <c r="B2" s="156"/>
      <c r="C2" s="156"/>
      <c r="D2" s="156"/>
      <c r="E2" s="156"/>
      <c r="F2" s="156"/>
      <c r="G2" s="156"/>
      <c r="H2" s="156"/>
      <c r="I2" s="156"/>
    </row>
    <row r="3" spans="1:9" ht="1.5" customHeight="1">
      <c r="A3" s="157"/>
      <c r="B3" s="158"/>
      <c r="C3" s="158"/>
      <c r="D3" s="158"/>
      <c r="E3" s="158"/>
      <c r="F3" s="158"/>
      <c r="G3" s="158"/>
      <c r="H3" s="158"/>
      <c r="I3" s="158"/>
    </row>
    <row r="4" spans="1:9" ht="27" customHeight="1">
      <c r="A4" s="159"/>
      <c r="B4" s="159" t="s">
        <v>828</v>
      </c>
      <c r="C4" s="160"/>
      <c r="D4" s="160"/>
      <c r="E4" s="160"/>
      <c r="F4" s="160"/>
      <c r="G4" s="160"/>
      <c r="H4" s="160"/>
      <c r="I4" s="160"/>
    </row>
    <row r="5" spans="1:9" ht="8.25" customHeight="1">
      <c r="A5" s="156"/>
      <c r="B5" s="156"/>
      <c r="C5" s="156"/>
      <c r="D5" s="156"/>
      <c r="E5" s="156"/>
      <c r="F5" s="156"/>
      <c r="G5" s="156"/>
      <c r="H5" s="156"/>
      <c r="I5" s="156"/>
    </row>
    <row r="6" spans="1:9" ht="1.5" customHeight="1">
      <c r="A6" s="161"/>
      <c r="B6" s="161"/>
      <c r="C6" s="161"/>
      <c r="D6" s="161"/>
      <c r="E6" s="161"/>
      <c r="F6" s="161"/>
      <c r="G6" s="161"/>
      <c r="H6" s="161"/>
      <c r="I6" s="161"/>
    </row>
    <row r="7" spans="1:9" ht="4.5" customHeight="1">
      <c r="A7" s="162"/>
      <c r="B7" s="162"/>
      <c r="C7" s="161"/>
      <c r="D7" s="161"/>
      <c r="E7" s="161"/>
      <c r="F7" s="161"/>
      <c r="G7" s="161"/>
      <c r="H7" s="161"/>
      <c r="I7" s="161"/>
    </row>
    <row r="8" spans="1:9" ht="15">
      <c r="A8" s="163"/>
      <c r="B8" s="164"/>
      <c r="C8" s="244" t="s">
        <v>829</v>
      </c>
      <c r="D8" s="245"/>
      <c r="E8" s="245"/>
      <c r="F8" s="245"/>
      <c r="G8" s="245"/>
      <c r="H8" s="246"/>
      <c r="I8" s="158"/>
    </row>
    <row r="9" spans="1:9" ht="15">
      <c r="A9" s="165"/>
      <c r="B9" s="166" t="s">
        <v>830</v>
      </c>
      <c r="C9" s="166" t="s">
        <v>831</v>
      </c>
      <c r="D9" s="166" t="s">
        <v>832</v>
      </c>
      <c r="E9" s="166" t="s">
        <v>833</v>
      </c>
      <c r="F9" s="166" t="s">
        <v>127</v>
      </c>
      <c r="G9" s="166" t="s">
        <v>126</v>
      </c>
      <c r="H9" s="166" t="s">
        <v>124</v>
      </c>
      <c r="I9" s="167" t="s">
        <v>90</v>
      </c>
    </row>
    <row r="10" spans="1:9" ht="15">
      <c r="A10" s="168"/>
      <c r="B10" s="169" t="s">
        <v>834</v>
      </c>
      <c r="C10" s="170" t="s">
        <v>795</v>
      </c>
      <c r="D10" s="170" t="s">
        <v>795</v>
      </c>
      <c r="E10" s="170" t="s">
        <v>835</v>
      </c>
      <c r="F10" s="170" t="s">
        <v>835</v>
      </c>
      <c r="G10" s="170" t="s">
        <v>835</v>
      </c>
      <c r="H10" s="170" t="s">
        <v>795</v>
      </c>
      <c r="I10" s="171" t="s">
        <v>836</v>
      </c>
    </row>
    <row r="11" spans="1:9" ht="15">
      <c r="A11" s="165"/>
      <c r="B11" s="169" t="s">
        <v>837</v>
      </c>
      <c r="C11" s="170" t="s">
        <v>835</v>
      </c>
      <c r="D11" s="170" t="s">
        <v>835</v>
      </c>
      <c r="E11" s="170" t="s">
        <v>795</v>
      </c>
      <c r="F11" s="170" t="s">
        <v>795</v>
      </c>
      <c r="G11" s="170" t="s">
        <v>795</v>
      </c>
      <c r="H11" s="170" t="s">
        <v>835</v>
      </c>
      <c r="I11" s="171" t="s">
        <v>838</v>
      </c>
    </row>
    <row r="12" spans="1:9" ht="15">
      <c r="A12" s="165"/>
      <c r="B12" s="169" t="s">
        <v>839</v>
      </c>
      <c r="C12" s="170" t="s">
        <v>835</v>
      </c>
      <c r="D12" s="170" t="s">
        <v>835</v>
      </c>
      <c r="E12" s="170" t="s">
        <v>835</v>
      </c>
      <c r="F12" s="170" t="s">
        <v>835</v>
      </c>
      <c r="G12" s="170" t="s">
        <v>835</v>
      </c>
      <c r="H12" s="170" t="s">
        <v>835</v>
      </c>
      <c r="I12" s="171">
        <v>6</v>
      </c>
    </row>
    <row r="13" spans="1:9" ht="15">
      <c r="A13" s="165"/>
      <c r="B13" s="169" t="s">
        <v>101</v>
      </c>
      <c r="C13" s="170" t="s">
        <v>835</v>
      </c>
      <c r="D13" s="170" t="s">
        <v>835</v>
      </c>
      <c r="E13" s="170" t="s">
        <v>835</v>
      </c>
      <c r="F13" s="170" t="s">
        <v>835</v>
      </c>
      <c r="G13" s="170" t="s">
        <v>835</v>
      </c>
      <c r="H13" s="170" t="s">
        <v>835</v>
      </c>
      <c r="I13" s="171" t="s">
        <v>840</v>
      </c>
    </row>
    <row r="14" spans="1:9" ht="15">
      <c r="A14" s="165"/>
      <c r="B14" s="169" t="s">
        <v>841</v>
      </c>
      <c r="C14" s="170" t="s">
        <v>795</v>
      </c>
      <c r="D14" s="170" t="s">
        <v>795</v>
      </c>
      <c r="E14" s="170" t="s">
        <v>835</v>
      </c>
      <c r="F14" s="170" t="s">
        <v>835</v>
      </c>
      <c r="G14" s="170" t="s">
        <v>835</v>
      </c>
      <c r="H14" s="170" t="s">
        <v>795</v>
      </c>
      <c r="I14" s="171">
        <v>1</v>
      </c>
    </row>
    <row r="15" spans="1:9" ht="15">
      <c r="A15" s="165"/>
      <c r="B15" s="169" t="s">
        <v>104</v>
      </c>
      <c r="C15" s="170" t="s">
        <v>835</v>
      </c>
      <c r="D15" s="170" t="s">
        <v>835</v>
      </c>
      <c r="E15" s="170" t="s">
        <v>835</v>
      </c>
      <c r="F15" s="170" t="s">
        <v>835</v>
      </c>
      <c r="G15" s="170" t="s">
        <v>835</v>
      </c>
      <c r="H15" s="170" t="s">
        <v>835</v>
      </c>
      <c r="I15" s="171" t="s">
        <v>842</v>
      </c>
    </row>
    <row r="16" spans="1:9" ht="15">
      <c r="A16" s="165"/>
      <c r="B16" s="169" t="s">
        <v>843</v>
      </c>
      <c r="C16" s="170" t="s">
        <v>835</v>
      </c>
      <c r="D16" s="170" t="s">
        <v>835</v>
      </c>
      <c r="E16" s="170" t="s">
        <v>835</v>
      </c>
      <c r="F16" s="170" t="s">
        <v>835</v>
      </c>
      <c r="G16" s="170" t="s">
        <v>835</v>
      </c>
      <c r="H16" s="170" t="s">
        <v>835</v>
      </c>
      <c r="I16" s="171" t="s">
        <v>844</v>
      </c>
    </row>
    <row r="17" spans="1:9" ht="12.75">
      <c r="A17" s="172"/>
      <c r="B17" s="156"/>
      <c r="C17" s="156"/>
      <c r="D17" s="156"/>
      <c r="E17" s="156"/>
      <c r="F17" s="156"/>
      <c r="G17" s="156"/>
      <c r="H17" s="156"/>
      <c r="I17" s="156"/>
    </row>
    <row r="18" spans="1:9" ht="15">
      <c r="A18" s="172"/>
      <c r="B18" s="161"/>
      <c r="C18" s="247"/>
      <c r="D18" s="248"/>
      <c r="E18" s="248"/>
      <c r="F18" s="248"/>
      <c r="G18" s="248"/>
      <c r="H18" s="249"/>
      <c r="I18" s="161"/>
    </row>
    <row r="19" spans="1:9" ht="15">
      <c r="A19" s="173"/>
      <c r="B19" s="164"/>
      <c r="C19" s="244" t="s">
        <v>845</v>
      </c>
      <c r="D19" s="245"/>
      <c r="E19" s="245"/>
      <c r="F19" s="245"/>
      <c r="G19" s="245"/>
      <c r="H19" s="246"/>
      <c r="I19" s="158"/>
    </row>
    <row r="20" spans="1:9" ht="15">
      <c r="A20" s="174"/>
      <c r="B20" s="166"/>
      <c r="C20" s="166" t="s">
        <v>831</v>
      </c>
      <c r="D20" s="166" t="s">
        <v>832</v>
      </c>
      <c r="E20" s="166" t="s">
        <v>833</v>
      </c>
      <c r="F20" s="166" t="s">
        <v>846</v>
      </c>
      <c r="G20" s="166" t="s">
        <v>126</v>
      </c>
      <c r="H20" s="166" t="s">
        <v>124</v>
      </c>
      <c r="I20" s="167" t="s">
        <v>90</v>
      </c>
    </row>
    <row r="21" spans="1:9" ht="15">
      <c r="A21" s="175"/>
      <c r="B21" s="169" t="s">
        <v>834</v>
      </c>
      <c r="C21" s="170" t="s">
        <v>795</v>
      </c>
      <c r="D21" s="170" t="s">
        <v>795</v>
      </c>
      <c r="E21" s="170">
        <v>10</v>
      </c>
      <c r="F21" s="170">
        <v>10</v>
      </c>
      <c r="G21" s="170">
        <v>10</v>
      </c>
      <c r="H21" s="170" t="s">
        <v>795</v>
      </c>
      <c r="I21" s="171"/>
    </row>
    <row r="22" spans="1:9" ht="15">
      <c r="A22" s="175"/>
      <c r="B22" s="169" t="s">
        <v>837</v>
      </c>
      <c r="C22" s="170">
        <v>7</v>
      </c>
      <c r="D22" s="170">
        <v>7</v>
      </c>
      <c r="E22" s="170" t="s">
        <v>795</v>
      </c>
      <c r="F22" s="170" t="s">
        <v>795</v>
      </c>
      <c r="G22" s="170" t="s">
        <v>795</v>
      </c>
      <c r="H22" s="170">
        <v>5</v>
      </c>
      <c r="I22" s="171"/>
    </row>
    <row r="23" spans="1:9" ht="15">
      <c r="A23" s="175"/>
      <c r="B23" s="169" t="s">
        <v>839</v>
      </c>
      <c r="C23" s="170">
        <v>6</v>
      </c>
      <c r="D23" s="170">
        <v>6</v>
      </c>
      <c r="E23" s="170">
        <v>6</v>
      </c>
      <c r="F23" s="170">
        <v>6</v>
      </c>
      <c r="G23" s="170">
        <v>6</v>
      </c>
      <c r="H23" s="170">
        <v>6</v>
      </c>
      <c r="I23" s="171"/>
    </row>
    <row r="24" spans="1:9" ht="15">
      <c r="A24" s="175"/>
      <c r="B24" s="169" t="s">
        <v>101</v>
      </c>
      <c r="C24" s="170">
        <v>9</v>
      </c>
      <c r="D24" s="170">
        <v>9</v>
      </c>
      <c r="E24" s="170">
        <v>9</v>
      </c>
      <c r="F24" s="170">
        <v>8</v>
      </c>
      <c r="G24" s="170">
        <v>7</v>
      </c>
      <c r="H24" s="170">
        <v>7</v>
      </c>
      <c r="I24" s="171"/>
    </row>
    <row r="25" spans="1:9" ht="15">
      <c r="A25" s="175"/>
      <c r="B25" s="169" t="s">
        <v>841</v>
      </c>
      <c r="C25" s="170" t="s">
        <v>795</v>
      </c>
      <c r="D25" s="170" t="s">
        <v>795</v>
      </c>
      <c r="E25" s="170">
        <v>1</v>
      </c>
      <c r="F25" s="170">
        <v>1</v>
      </c>
      <c r="G25" s="170">
        <v>1</v>
      </c>
      <c r="H25" s="170" t="s">
        <v>795</v>
      </c>
      <c r="I25" s="171"/>
    </row>
    <row r="26" spans="1:9" ht="15">
      <c r="A26" s="175"/>
      <c r="B26" s="169" t="s">
        <v>104</v>
      </c>
      <c r="C26" s="170">
        <v>20</v>
      </c>
      <c r="D26" s="170">
        <v>20</v>
      </c>
      <c r="E26" s="170">
        <v>8</v>
      </c>
      <c r="F26" s="170">
        <v>3</v>
      </c>
      <c r="G26" s="170">
        <v>2</v>
      </c>
      <c r="H26" s="170">
        <v>2</v>
      </c>
      <c r="I26" s="171"/>
    </row>
    <row r="27" spans="1:9" ht="15">
      <c r="A27" s="175"/>
      <c r="B27" s="169" t="s">
        <v>843</v>
      </c>
      <c r="C27" s="170">
        <v>121</v>
      </c>
      <c r="D27" s="170">
        <v>120</v>
      </c>
      <c r="E27" s="170">
        <v>135</v>
      </c>
      <c r="F27" s="170">
        <v>40</v>
      </c>
      <c r="G27" s="170">
        <v>35</v>
      </c>
      <c r="H27" s="170">
        <v>35</v>
      </c>
      <c r="I27" s="171"/>
    </row>
    <row r="28" spans="1:9" ht="12.75">
      <c r="A28" s="176"/>
      <c r="B28" s="64"/>
      <c r="C28" s="64"/>
      <c r="D28" s="64"/>
      <c r="E28" s="64"/>
      <c r="F28" s="64"/>
      <c r="G28" s="64"/>
      <c r="H28" s="64"/>
      <c r="I28" s="64"/>
    </row>
    <row r="29" spans="1:9" ht="12.75">
      <c r="A29" s="176"/>
      <c r="B29" s="68"/>
      <c r="C29" s="68"/>
      <c r="D29" s="68"/>
      <c r="E29" s="68"/>
      <c r="F29" s="68"/>
      <c r="G29" s="68"/>
      <c r="H29" s="68"/>
      <c r="I29" s="68"/>
    </row>
    <row r="30" spans="1:9" ht="15">
      <c r="A30" s="176"/>
      <c r="B30" s="68"/>
      <c r="C30" s="244" t="s">
        <v>847</v>
      </c>
      <c r="D30" s="245"/>
      <c r="E30" s="245"/>
      <c r="F30" s="245"/>
      <c r="G30" s="245"/>
      <c r="H30" s="246"/>
      <c r="I30" s="68"/>
    </row>
    <row r="31" spans="1:9" ht="15">
      <c r="A31" s="174"/>
      <c r="B31" s="166" t="s">
        <v>830</v>
      </c>
      <c r="C31" s="166" t="s">
        <v>749</v>
      </c>
      <c r="D31" s="166" t="s">
        <v>37</v>
      </c>
      <c r="E31" s="166" t="s">
        <v>750</v>
      </c>
      <c r="F31" s="166"/>
      <c r="G31" s="166" t="s">
        <v>830</v>
      </c>
      <c r="H31" s="166" t="s">
        <v>848</v>
      </c>
      <c r="I31" s="167" t="s">
        <v>90</v>
      </c>
    </row>
    <row r="32" spans="1:9" ht="15">
      <c r="A32" s="175"/>
      <c r="B32" s="169" t="s">
        <v>834</v>
      </c>
      <c r="C32" s="170"/>
      <c r="D32" s="170" t="s">
        <v>835</v>
      </c>
      <c r="E32" s="170"/>
      <c r="F32" s="170"/>
      <c r="G32" s="170" t="s">
        <v>834</v>
      </c>
      <c r="H32" s="170">
        <f>155*10</f>
        <v>1550</v>
      </c>
      <c r="I32" s="171"/>
    </row>
    <row r="33" spans="1:9" ht="15">
      <c r="A33" s="175"/>
      <c r="B33" s="169" t="s">
        <v>849</v>
      </c>
      <c r="C33" s="170"/>
      <c r="D33" s="170" t="s">
        <v>835</v>
      </c>
      <c r="E33" s="170"/>
      <c r="F33" s="170"/>
      <c r="G33" s="170" t="s">
        <v>849</v>
      </c>
      <c r="H33" s="170">
        <f>5*7+124*5</f>
        <v>655</v>
      </c>
      <c r="I33" s="171"/>
    </row>
    <row r="34" spans="1:9" ht="15">
      <c r="A34" s="175"/>
      <c r="B34" s="169" t="s">
        <v>839</v>
      </c>
      <c r="C34" s="170"/>
      <c r="D34" s="170" t="s">
        <v>835</v>
      </c>
      <c r="E34" s="170"/>
      <c r="F34" s="170"/>
      <c r="G34" s="170" t="s">
        <v>839</v>
      </c>
      <c r="H34" s="170">
        <f>284*6</f>
        <v>1704</v>
      </c>
      <c r="I34" s="171"/>
    </row>
    <row r="35" spans="1:9" ht="15">
      <c r="A35" s="175"/>
      <c r="B35" s="169" t="s">
        <v>101</v>
      </c>
      <c r="C35" s="170" t="s">
        <v>835</v>
      </c>
      <c r="D35" s="170"/>
      <c r="E35" s="170"/>
      <c r="F35" s="170"/>
      <c r="G35" s="170" t="s">
        <v>101</v>
      </c>
      <c r="H35" s="170">
        <f>24*9+37*8+223*7</f>
        <v>2073</v>
      </c>
      <c r="I35" s="171"/>
    </row>
    <row r="36" spans="1:9" ht="15">
      <c r="A36" s="175"/>
      <c r="B36" s="169" t="s">
        <v>841</v>
      </c>
      <c r="C36" s="170" t="s">
        <v>835</v>
      </c>
      <c r="D36" s="170"/>
      <c r="E36" s="170"/>
      <c r="F36" s="170"/>
      <c r="G36" s="170" t="s">
        <v>841</v>
      </c>
      <c r="H36" s="170">
        <f>155*1</f>
        <v>155</v>
      </c>
      <c r="I36" s="171"/>
    </row>
    <row r="37" spans="1:9" ht="15">
      <c r="A37" s="175"/>
      <c r="B37" s="169" t="s">
        <v>104</v>
      </c>
      <c r="C37" s="170" t="s">
        <v>835</v>
      </c>
      <c r="D37" s="170"/>
      <c r="E37" s="170"/>
      <c r="F37" s="170"/>
      <c r="G37" s="170" t="s">
        <v>104</v>
      </c>
      <c r="H37" s="170">
        <f>5*20+19*8+37*3+223*2</f>
        <v>809</v>
      </c>
      <c r="I37" s="171"/>
    </row>
    <row r="38" spans="1:9" ht="15">
      <c r="A38" s="175"/>
      <c r="B38" s="169" t="s">
        <v>843</v>
      </c>
      <c r="C38" s="170"/>
      <c r="D38" s="170"/>
      <c r="E38" s="170" t="s">
        <v>835</v>
      </c>
      <c r="F38" s="170"/>
      <c r="G38" s="170" t="s">
        <v>843</v>
      </c>
      <c r="H38" s="170">
        <v>12124.5</v>
      </c>
      <c r="I38" s="171"/>
    </row>
    <row r="39" spans="1:9" ht="12.75">
      <c r="A39" s="172"/>
      <c r="B39" s="161"/>
      <c r="C39" s="161"/>
      <c r="D39" s="161"/>
      <c r="E39" s="161"/>
      <c r="F39" s="177"/>
      <c r="G39" s="171" t="s">
        <v>850</v>
      </c>
      <c r="H39" s="178">
        <v>24</v>
      </c>
      <c r="I39" s="179"/>
    </row>
    <row r="40" spans="1:9" ht="12.75">
      <c r="A40" s="172"/>
      <c r="B40" s="161"/>
      <c r="C40" s="161"/>
      <c r="D40" s="161"/>
      <c r="E40" s="161"/>
      <c r="F40" s="177"/>
      <c r="G40" s="180" t="s">
        <v>851</v>
      </c>
      <c r="H40" s="181">
        <f>SUM(H32:H39)</f>
        <v>19094.5</v>
      </c>
      <c r="I40" s="179"/>
    </row>
    <row r="41" spans="1:9" ht="12.75">
      <c r="A41" s="176"/>
      <c r="B41" s="72"/>
      <c r="C41" s="72"/>
      <c r="D41" s="72"/>
      <c r="E41" s="72"/>
      <c r="F41" s="72"/>
      <c r="G41" s="72"/>
      <c r="H41" s="64"/>
      <c r="I41" s="161"/>
    </row>
    <row r="42" spans="1:9" ht="12.75">
      <c r="A42" s="176"/>
      <c r="B42" s="72"/>
      <c r="C42" s="72"/>
      <c r="D42" s="72"/>
      <c r="E42" s="72"/>
      <c r="F42" s="72"/>
      <c r="G42" s="72"/>
      <c r="H42" s="64"/>
      <c r="I42" s="161"/>
    </row>
    <row r="43" spans="1:9" ht="12.75">
      <c r="A43" s="176"/>
      <c r="B43" s="72"/>
      <c r="C43" s="250" t="s">
        <v>852</v>
      </c>
      <c r="D43" s="245"/>
      <c r="E43" s="245"/>
      <c r="F43" s="246"/>
      <c r="G43" s="72"/>
      <c r="H43" s="64"/>
      <c r="I43" s="161"/>
    </row>
    <row r="44" spans="1:9" ht="15">
      <c r="A44" s="174"/>
      <c r="B44" s="251" t="s">
        <v>853</v>
      </c>
      <c r="C44" s="252"/>
      <c r="D44" s="252"/>
      <c r="E44" s="252"/>
      <c r="F44" s="252"/>
      <c r="G44" s="253"/>
      <c r="H44" s="66"/>
      <c r="I44" s="161"/>
    </row>
    <row r="45" spans="1:9" ht="15">
      <c r="A45" s="173"/>
      <c r="B45" s="182" t="s">
        <v>831</v>
      </c>
      <c r="C45" s="182" t="s">
        <v>832</v>
      </c>
      <c r="D45" s="182" t="s">
        <v>833</v>
      </c>
      <c r="E45" s="182" t="s">
        <v>127</v>
      </c>
      <c r="F45" s="182" t="s">
        <v>126</v>
      </c>
      <c r="G45" s="182" t="s">
        <v>124</v>
      </c>
      <c r="H45" s="66"/>
      <c r="I45" s="161"/>
    </row>
    <row r="46" spans="1:9" ht="15">
      <c r="A46" s="183"/>
      <c r="B46" s="184">
        <v>1</v>
      </c>
      <c r="C46" s="184">
        <v>4</v>
      </c>
      <c r="D46" s="184">
        <v>19</v>
      </c>
      <c r="E46" s="184">
        <v>37</v>
      </c>
      <c r="F46" s="184">
        <v>99</v>
      </c>
      <c r="G46" s="184">
        <v>124</v>
      </c>
      <c r="H46" s="66"/>
      <c r="I46" s="161"/>
    </row>
    <row r="47" spans="1:9" ht="12.75">
      <c r="A47" s="176"/>
      <c r="B47" s="64"/>
      <c r="C47" s="64"/>
      <c r="D47" s="64"/>
      <c r="E47" s="64"/>
      <c r="F47" s="64"/>
      <c r="G47" s="64"/>
      <c r="H47" s="68"/>
      <c r="I47" s="161"/>
    </row>
    <row r="48" spans="1:9" ht="12.75">
      <c r="A48" s="176"/>
      <c r="B48" s="68"/>
      <c r="C48" s="68"/>
      <c r="D48" s="68"/>
      <c r="E48" s="68"/>
      <c r="F48" s="68"/>
      <c r="G48" s="68"/>
      <c r="H48" s="68"/>
      <c r="I48" s="161"/>
    </row>
    <row r="49" spans="1:9" ht="27">
      <c r="A49" s="159"/>
      <c r="B49" s="159" t="s">
        <v>854</v>
      </c>
      <c r="C49" s="160"/>
      <c r="D49" s="160"/>
      <c r="E49" s="160"/>
      <c r="F49" s="160"/>
      <c r="G49" s="160"/>
      <c r="H49" s="160"/>
      <c r="I49" s="160"/>
    </row>
    <row r="50" spans="1:9" ht="12.75">
      <c r="A50" s="176"/>
      <c r="B50" s="68"/>
      <c r="C50" s="68"/>
      <c r="D50" s="68"/>
      <c r="E50" s="68"/>
      <c r="F50" s="68"/>
      <c r="G50" s="68"/>
      <c r="H50" s="68"/>
      <c r="I50" s="161"/>
    </row>
    <row r="51" spans="1:9" ht="15">
      <c r="A51" s="185"/>
      <c r="B51" s="186"/>
      <c r="C51" s="186"/>
      <c r="D51" s="186"/>
      <c r="E51" s="186"/>
      <c r="F51" s="186"/>
      <c r="G51" s="186"/>
      <c r="H51" s="186"/>
      <c r="I51" s="186"/>
    </row>
    <row r="52" spans="1:9" ht="15">
      <c r="A52" s="187"/>
      <c r="B52" s="186"/>
      <c r="C52" s="186"/>
      <c r="D52" s="186"/>
      <c r="E52" s="186"/>
      <c r="F52" s="186"/>
      <c r="G52" s="186"/>
      <c r="H52" s="186"/>
      <c r="I52" s="186"/>
    </row>
    <row r="53" spans="1:9" ht="12.75">
      <c r="A53" s="188" t="s">
        <v>12</v>
      </c>
      <c r="B53" s="188" t="s">
        <v>855</v>
      </c>
      <c r="C53" s="189" t="s">
        <v>124</v>
      </c>
      <c r="D53" s="189" t="s">
        <v>126</v>
      </c>
      <c r="E53" s="189" t="s">
        <v>127</v>
      </c>
      <c r="F53" s="189" t="s">
        <v>856</v>
      </c>
      <c r="G53" s="189" t="s">
        <v>857</v>
      </c>
      <c r="H53" s="189" t="s">
        <v>858</v>
      </c>
      <c r="I53" s="189" t="s">
        <v>859</v>
      </c>
    </row>
    <row r="54" spans="1:9" ht="12.75">
      <c r="A54" s="190" t="s">
        <v>27</v>
      </c>
      <c r="B54" s="191" t="s">
        <v>860</v>
      </c>
      <c r="C54" s="190">
        <v>4</v>
      </c>
      <c r="D54" s="190">
        <v>4</v>
      </c>
      <c r="E54" s="190">
        <v>4</v>
      </c>
      <c r="F54" s="190">
        <v>4</v>
      </c>
      <c r="G54" s="190">
        <v>10</v>
      </c>
      <c r="H54" s="190">
        <v>0</v>
      </c>
      <c r="I54" s="190">
        <v>0</v>
      </c>
    </row>
    <row r="55" spans="1:9" ht="12.75">
      <c r="A55" s="190" t="s">
        <v>27</v>
      </c>
      <c r="B55" s="191" t="s">
        <v>861</v>
      </c>
      <c r="C55" s="190">
        <v>4</v>
      </c>
      <c r="D55" s="190">
        <v>4</v>
      </c>
      <c r="E55" s="190">
        <v>4</v>
      </c>
      <c r="F55" s="190">
        <v>4</v>
      </c>
      <c r="G55" s="190">
        <v>10</v>
      </c>
      <c r="H55" s="190">
        <v>0</v>
      </c>
      <c r="I55" s="190">
        <v>0</v>
      </c>
    </row>
    <row r="56" spans="1:9" ht="12.75">
      <c r="A56" s="190" t="s">
        <v>27</v>
      </c>
      <c r="B56" s="191" t="s">
        <v>862</v>
      </c>
      <c r="C56" s="190">
        <v>4</v>
      </c>
      <c r="D56" s="190">
        <v>4</v>
      </c>
      <c r="E56" s="190">
        <v>4</v>
      </c>
      <c r="F56" s="190">
        <v>4</v>
      </c>
      <c r="G56" s="190">
        <v>10</v>
      </c>
      <c r="H56" s="190">
        <v>0</v>
      </c>
      <c r="I56" s="190">
        <v>0</v>
      </c>
    </row>
    <row r="57" spans="1:9" ht="12.75">
      <c r="A57" s="190" t="s">
        <v>27</v>
      </c>
      <c r="B57" s="191" t="s">
        <v>863</v>
      </c>
      <c r="C57" s="190">
        <v>4</v>
      </c>
      <c r="D57" s="190">
        <v>4</v>
      </c>
      <c r="E57" s="190">
        <v>4</v>
      </c>
      <c r="F57" s="190">
        <v>4</v>
      </c>
      <c r="G57" s="190">
        <v>10</v>
      </c>
      <c r="H57" s="190">
        <v>0</v>
      </c>
      <c r="I57" s="190">
        <v>0</v>
      </c>
    </row>
    <row r="58" spans="1:9" ht="12.75">
      <c r="A58" s="190" t="s">
        <v>27</v>
      </c>
      <c r="B58" s="191" t="s">
        <v>864</v>
      </c>
      <c r="C58" s="190">
        <v>4</v>
      </c>
      <c r="D58" s="190">
        <v>4</v>
      </c>
      <c r="E58" s="190">
        <v>4</v>
      </c>
      <c r="F58" s="190">
        <v>4</v>
      </c>
      <c r="G58" s="190">
        <v>10</v>
      </c>
      <c r="H58" s="190">
        <v>0</v>
      </c>
      <c r="I58" s="190">
        <v>0</v>
      </c>
    </row>
    <row r="59" spans="1:9" ht="12.75">
      <c r="A59" s="190" t="s">
        <v>27</v>
      </c>
      <c r="B59" s="191" t="s">
        <v>865</v>
      </c>
      <c r="C59" s="190">
        <v>4</v>
      </c>
      <c r="D59" s="190">
        <v>4</v>
      </c>
      <c r="E59" s="190">
        <v>4</v>
      </c>
      <c r="F59" s="190">
        <v>4</v>
      </c>
      <c r="G59" s="190">
        <v>10</v>
      </c>
      <c r="H59" s="190">
        <v>0</v>
      </c>
      <c r="I59" s="190">
        <v>0</v>
      </c>
    </row>
    <row r="60" spans="1:9" ht="12.75">
      <c r="A60" s="190" t="s">
        <v>27</v>
      </c>
      <c r="B60" s="191" t="s">
        <v>866</v>
      </c>
      <c r="C60" s="190">
        <v>0</v>
      </c>
      <c r="D60" s="190">
        <v>4</v>
      </c>
      <c r="E60" s="190">
        <v>4</v>
      </c>
      <c r="F60" s="190">
        <v>4</v>
      </c>
      <c r="G60" s="190">
        <v>10</v>
      </c>
      <c r="H60" s="190">
        <v>0</v>
      </c>
      <c r="I60" s="190">
        <v>0</v>
      </c>
    </row>
    <row r="61" spans="1:9" ht="12.75">
      <c r="A61" s="190" t="s">
        <v>27</v>
      </c>
      <c r="B61" s="191" t="s">
        <v>867</v>
      </c>
      <c r="C61" s="190">
        <v>4</v>
      </c>
      <c r="D61" s="190">
        <v>4</v>
      </c>
      <c r="E61" s="190">
        <v>4</v>
      </c>
      <c r="F61" s="190">
        <v>4</v>
      </c>
      <c r="G61" s="190">
        <v>10</v>
      </c>
      <c r="H61" s="190">
        <v>0</v>
      </c>
      <c r="I61" s="190">
        <v>0</v>
      </c>
    </row>
    <row r="62" spans="1:9" ht="12.75">
      <c r="A62" s="190" t="s">
        <v>27</v>
      </c>
      <c r="B62" s="191" t="s">
        <v>868</v>
      </c>
      <c r="C62" s="190">
        <v>0</v>
      </c>
      <c r="D62" s="190">
        <v>0</v>
      </c>
      <c r="E62" s="190">
        <v>0</v>
      </c>
      <c r="F62" s="190">
        <v>4</v>
      </c>
      <c r="G62" s="190">
        <v>27</v>
      </c>
      <c r="H62" s="190">
        <v>0</v>
      </c>
      <c r="I62" s="190">
        <v>0</v>
      </c>
    </row>
    <row r="63" spans="1:9" ht="12.75">
      <c r="A63" s="190" t="s">
        <v>125</v>
      </c>
      <c r="B63" s="191" t="s">
        <v>860</v>
      </c>
      <c r="C63" s="190">
        <v>4</v>
      </c>
      <c r="D63" s="190">
        <v>4</v>
      </c>
      <c r="E63" s="190">
        <v>4</v>
      </c>
      <c r="F63" s="190">
        <v>0</v>
      </c>
      <c r="G63" s="190">
        <v>0</v>
      </c>
      <c r="H63" s="190">
        <v>10</v>
      </c>
      <c r="I63" s="190">
        <v>0</v>
      </c>
    </row>
    <row r="64" spans="1:9" ht="12.75">
      <c r="A64" s="190" t="s">
        <v>125</v>
      </c>
      <c r="B64" s="191" t="s">
        <v>861</v>
      </c>
      <c r="C64" s="190">
        <v>4</v>
      </c>
      <c r="D64" s="190">
        <v>4</v>
      </c>
      <c r="E64" s="190">
        <v>4</v>
      </c>
      <c r="F64" s="190">
        <v>0</v>
      </c>
      <c r="G64" s="190">
        <v>0</v>
      </c>
      <c r="H64" s="190">
        <v>10</v>
      </c>
      <c r="I64" s="190">
        <v>0</v>
      </c>
    </row>
    <row r="65" spans="1:9" ht="12.75">
      <c r="A65" s="190" t="s">
        <v>125</v>
      </c>
      <c r="B65" s="191" t="s">
        <v>862</v>
      </c>
      <c r="C65" s="190">
        <v>4</v>
      </c>
      <c r="D65" s="190">
        <v>4</v>
      </c>
      <c r="E65" s="190">
        <v>4</v>
      </c>
      <c r="F65" s="190">
        <v>0</v>
      </c>
      <c r="G65" s="190">
        <v>0</v>
      </c>
      <c r="H65" s="190">
        <v>10</v>
      </c>
      <c r="I65" s="190">
        <v>0</v>
      </c>
    </row>
    <row r="66" spans="1:9" ht="12.75">
      <c r="A66" s="190" t="s">
        <v>125</v>
      </c>
      <c r="B66" s="191" t="s">
        <v>863</v>
      </c>
      <c r="C66" s="190">
        <v>4</v>
      </c>
      <c r="D66" s="190">
        <v>4</v>
      </c>
      <c r="E66" s="190">
        <v>4</v>
      </c>
      <c r="F66" s="190">
        <v>0</v>
      </c>
      <c r="G66" s="190">
        <v>0</v>
      </c>
      <c r="H66" s="190">
        <v>10</v>
      </c>
      <c r="I66" s="190">
        <v>0</v>
      </c>
    </row>
    <row r="67" spans="1:9" ht="12.75">
      <c r="A67" s="190" t="s">
        <v>125</v>
      </c>
      <c r="B67" s="191" t="s">
        <v>864</v>
      </c>
      <c r="C67" s="190">
        <v>4</v>
      </c>
      <c r="D67" s="190">
        <v>4</v>
      </c>
      <c r="E67" s="190">
        <v>4</v>
      </c>
      <c r="F67" s="190">
        <v>0</v>
      </c>
      <c r="G67" s="190">
        <v>0</v>
      </c>
      <c r="H67" s="190">
        <v>10</v>
      </c>
      <c r="I67" s="190">
        <v>0</v>
      </c>
    </row>
    <row r="68" spans="1:9" ht="12.75">
      <c r="A68" s="190" t="s">
        <v>125</v>
      </c>
      <c r="B68" s="191" t="s">
        <v>865</v>
      </c>
      <c r="C68" s="190">
        <v>4</v>
      </c>
      <c r="D68" s="190">
        <v>4</v>
      </c>
      <c r="E68" s="190">
        <v>4</v>
      </c>
      <c r="F68" s="190">
        <v>0</v>
      </c>
      <c r="G68" s="190">
        <v>0</v>
      </c>
      <c r="H68" s="190">
        <v>10</v>
      </c>
      <c r="I68" s="190">
        <v>0</v>
      </c>
    </row>
    <row r="69" spans="1:9" ht="12.75">
      <c r="A69" s="190" t="s">
        <v>125</v>
      </c>
      <c r="B69" s="191" t="s">
        <v>866</v>
      </c>
      <c r="C69" s="190">
        <v>0</v>
      </c>
      <c r="D69" s="190">
        <v>4</v>
      </c>
      <c r="E69" s="190">
        <v>4</v>
      </c>
      <c r="F69" s="190">
        <v>0</v>
      </c>
      <c r="G69" s="190">
        <v>0</v>
      </c>
      <c r="H69" s="190">
        <v>10</v>
      </c>
      <c r="I69" s="190">
        <v>0</v>
      </c>
    </row>
    <row r="70" spans="1:9" ht="12.75">
      <c r="A70" s="190" t="s">
        <v>125</v>
      </c>
      <c r="B70" s="191" t="s">
        <v>867</v>
      </c>
      <c r="C70" s="190">
        <v>4</v>
      </c>
      <c r="D70" s="190">
        <v>4</v>
      </c>
      <c r="E70" s="190">
        <v>4</v>
      </c>
      <c r="F70" s="190">
        <v>0</v>
      </c>
      <c r="G70" s="190">
        <v>0</v>
      </c>
      <c r="H70" s="190">
        <v>10</v>
      </c>
      <c r="I70" s="190">
        <v>0</v>
      </c>
    </row>
    <row r="71" spans="1:9" ht="12.75">
      <c r="A71" s="190" t="s">
        <v>125</v>
      </c>
      <c r="B71" s="191" t="s">
        <v>868</v>
      </c>
      <c r="C71" s="190">
        <v>0</v>
      </c>
      <c r="D71" s="190">
        <v>0</v>
      </c>
      <c r="E71" s="190">
        <v>0</v>
      </c>
      <c r="F71" s="190">
        <v>0</v>
      </c>
      <c r="G71" s="190">
        <v>0</v>
      </c>
      <c r="H71" s="190">
        <v>35</v>
      </c>
      <c r="I71" s="190">
        <v>0</v>
      </c>
    </row>
    <row r="72" spans="1:9" ht="12.75">
      <c r="A72" s="190" t="s">
        <v>35</v>
      </c>
      <c r="B72" s="191" t="s">
        <v>860</v>
      </c>
      <c r="C72" s="190">
        <v>4</v>
      </c>
      <c r="D72" s="190">
        <v>4</v>
      </c>
      <c r="E72" s="190">
        <v>4</v>
      </c>
      <c r="F72" s="190">
        <v>0</v>
      </c>
      <c r="G72" s="190">
        <v>0</v>
      </c>
      <c r="H72" s="190">
        <v>10</v>
      </c>
      <c r="I72" s="190">
        <v>0</v>
      </c>
    </row>
    <row r="73" spans="1:9" ht="12.75">
      <c r="A73" s="190" t="s">
        <v>35</v>
      </c>
      <c r="B73" s="191" t="s">
        <v>861</v>
      </c>
      <c r="C73" s="190">
        <v>4</v>
      </c>
      <c r="D73" s="190">
        <v>4</v>
      </c>
      <c r="E73" s="190">
        <v>4</v>
      </c>
      <c r="F73" s="190">
        <v>0</v>
      </c>
      <c r="G73" s="190">
        <v>0</v>
      </c>
      <c r="H73" s="190">
        <v>10</v>
      </c>
      <c r="I73" s="190">
        <v>0</v>
      </c>
    </row>
    <row r="74" spans="1:9" ht="12.75">
      <c r="A74" s="190" t="s">
        <v>35</v>
      </c>
      <c r="B74" s="191" t="s">
        <v>862</v>
      </c>
      <c r="C74" s="190">
        <v>4</v>
      </c>
      <c r="D74" s="190">
        <v>4</v>
      </c>
      <c r="E74" s="190">
        <v>4</v>
      </c>
      <c r="F74" s="190">
        <v>0</v>
      </c>
      <c r="G74" s="190">
        <v>0</v>
      </c>
      <c r="H74" s="190">
        <v>10</v>
      </c>
      <c r="I74" s="190">
        <v>0</v>
      </c>
    </row>
    <row r="75" spans="1:9" ht="12.75">
      <c r="A75" s="190" t="s">
        <v>35</v>
      </c>
      <c r="B75" s="191" t="s">
        <v>863</v>
      </c>
      <c r="C75" s="190">
        <v>4</v>
      </c>
      <c r="D75" s="190">
        <v>4</v>
      </c>
      <c r="E75" s="190">
        <v>4</v>
      </c>
      <c r="F75" s="190">
        <v>0</v>
      </c>
      <c r="G75" s="190">
        <v>0</v>
      </c>
      <c r="H75" s="190">
        <v>10</v>
      </c>
      <c r="I75" s="190">
        <v>0</v>
      </c>
    </row>
    <row r="76" spans="1:9" ht="12.75">
      <c r="A76" s="190" t="s">
        <v>35</v>
      </c>
      <c r="B76" s="191" t="s">
        <v>864</v>
      </c>
      <c r="C76" s="190">
        <v>4</v>
      </c>
      <c r="D76" s="190">
        <v>4</v>
      </c>
      <c r="E76" s="190">
        <v>4</v>
      </c>
      <c r="F76" s="190">
        <v>0</v>
      </c>
      <c r="G76" s="190">
        <v>0</v>
      </c>
      <c r="H76" s="190">
        <v>10</v>
      </c>
      <c r="I76" s="190">
        <v>0</v>
      </c>
    </row>
    <row r="77" spans="1:9" ht="12.75">
      <c r="A77" s="190" t="s">
        <v>35</v>
      </c>
      <c r="B77" s="191" t="s">
        <v>865</v>
      </c>
      <c r="C77" s="190">
        <v>4</v>
      </c>
      <c r="D77" s="190">
        <v>4</v>
      </c>
      <c r="E77" s="190">
        <v>4</v>
      </c>
      <c r="F77" s="190">
        <v>0</v>
      </c>
      <c r="G77" s="190">
        <v>0</v>
      </c>
      <c r="H77" s="190">
        <v>10</v>
      </c>
      <c r="I77" s="190">
        <v>0</v>
      </c>
    </row>
    <row r="78" spans="1:9" ht="12.75">
      <c r="A78" s="190" t="s">
        <v>35</v>
      </c>
      <c r="B78" s="191" t="s">
        <v>866</v>
      </c>
      <c r="C78" s="190">
        <v>0</v>
      </c>
      <c r="D78" s="190">
        <v>4</v>
      </c>
      <c r="E78" s="190">
        <v>4</v>
      </c>
      <c r="F78" s="190">
        <v>0</v>
      </c>
      <c r="G78" s="190">
        <v>0</v>
      </c>
      <c r="H78" s="190">
        <v>10</v>
      </c>
      <c r="I78" s="190">
        <v>0</v>
      </c>
    </row>
    <row r="79" spans="1:9" ht="12.75">
      <c r="A79" s="190" t="s">
        <v>35</v>
      </c>
      <c r="B79" s="191" t="s">
        <v>867</v>
      </c>
      <c r="C79" s="190">
        <v>4</v>
      </c>
      <c r="D79" s="190">
        <v>4</v>
      </c>
      <c r="E79" s="190">
        <v>4</v>
      </c>
      <c r="F79" s="190">
        <v>0</v>
      </c>
      <c r="G79" s="190">
        <v>0</v>
      </c>
      <c r="H79" s="190">
        <v>10</v>
      </c>
      <c r="I79" s="190">
        <v>0</v>
      </c>
    </row>
    <row r="80" spans="1:9" ht="12.75">
      <c r="A80" s="190" t="s">
        <v>35</v>
      </c>
      <c r="B80" s="191" t="s">
        <v>868</v>
      </c>
      <c r="C80" s="190">
        <v>0</v>
      </c>
      <c r="D80" s="190">
        <v>0</v>
      </c>
      <c r="E80" s="190">
        <v>0</v>
      </c>
      <c r="F80" s="190">
        <v>0</v>
      </c>
      <c r="G80" s="190">
        <v>0</v>
      </c>
      <c r="H80" s="190">
        <v>35</v>
      </c>
      <c r="I80" s="190">
        <v>0</v>
      </c>
    </row>
    <row r="81" spans="1:9" ht="12.75">
      <c r="A81" s="190" t="s">
        <v>21</v>
      </c>
      <c r="B81" s="191" t="s">
        <v>860</v>
      </c>
      <c r="C81" s="190">
        <v>4</v>
      </c>
      <c r="D81" s="190">
        <v>4</v>
      </c>
      <c r="E81" s="190">
        <v>4</v>
      </c>
      <c r="F81" s="190">
        <v>4</v>
      </c>
      <c r="G81" s="190">
        <v>0</v>
      </c>
      <c r="H81" s="190">
        <v>0</v>
      </c>
      <c r="I81" s="190">
        <v>10</v>
      </c>
    </row>
    <row r="82" spans="1:9" ht="12.75">
      <c r="A82" s="190" t="s">
        <v>21</v>
      </c>
      <c r="B82" s="191" t="s">
        <v>861</v>
      </c>
      <c r="C82" s="190">
        <v>4</v>
      </c>
      <c r="D82" s="190">
        <v>4</v>
      </c>
      <c r="E82" s="190">
        <v>4</v>
      </c>
      <c r="F82" s="190">
        <v>4</v>
      </c>
      <c r="G82" s="190">
        <v>0</v>
      </c>
      <c r="H82" s="190">
        <v>0</v>
      </c>
      <c r="I82" s="190">
        <v>10</v>
      </c>
    </row>
    <row r="83" spans="1:9" ht="12.75">
      <c r="A83" s="190" t="s">
        <v>21</v>
      </c>
      <c r="B83" s="191" t="s">
        <v>862</v>
      </c>
      <c r="C83" s="190">
        <v>4</v>
      </c>
      <c r="D83" s="190">
        <v>4</v>
      </c>
      <c r="E83" s="190">
        <v>4</v>
      </c>
      <c r="F83" s="190">
        <v>4</v>
      </c>
      <c r="G83" s="190">
        <v>0</v>
      </c>
      <c r="H83" s="190">
        <v>0</v>
      </c>
      <c r="I83" s="190">
        <v>10</v>
      </c>
    </row>
    <row r="84" spans="1:9" ht="12.75">
      <c r="A84" s="190" t="s">
        <v>21</v>
      </c>
      <c r="B84" s="191" t="s">
        <v>863</v>
      </c>
      <c r="C84" s="190">
        <v>4</v>
      </c>
      <c r="D84" s="190">
        <v>4</v>
      </c>
      <c r="E84" s="190">
        <v>4</v>
      </c>
      <c r="F84" s="190">
        <v>4</v>
      </c>
      <c r="G84" s="190">
        <v>0</v>
      </c>
      <c r="H84" s="190">
        <v>0</v>
      </c>
      <c r="I84" s="190">
        <v>10</v>
      </c>
    </row>
    <row r="85" spans="1:9" ht="12.75">
      <c r="A85" s="190" t="s">
        <v>21</v>
      </c>
      <c r="B85" s="191" t="s">
        <v>864</v>
      </c>
      <c r="C85" s="190">
        <v>4</v>
      </c>
      <c r="D85" s="190">
        <v>4</v>
      </c>
      <c r="E85" s="190">
        <v>4</v>
      </c>
      <c r="F85" s="190">
        <v>4</v>
      </c>
      <c r="G85" s="190">
        <v>0</v>
      </c>
      <c r="H85" s="190">
        <v>0</v>
      </c>
      <c r="I85" s="190">
        <v>10</v>
      </c>
    </row>
    <row r="86" spans="1:9" ht="12.75">
      <c r="A86" s="190" t="s">
        <v>21</v>
      </c>
      <c r="B86" s="191" t="s">
        <v>865</v>
      </c>
      <c r="C86" s="190">
        <v>4</v>
      </c>
      <c r="D86" s="190">
        <v>4</v>
      </c>
      <c r="E86" s="190">
        <v>4</v>
      </c>
      <c r="F86" s="190">
        <v>4</v>
      </c>
      <c r="G86" s="190">
        <v>0</v>
      </c>
      <c r="H86" s="190">
        <v>0</v>
      </c>
      <c r="I86" s="190">
        <v>10</v>
      </c>
    </row>
    <row r="87" spans="1:9" ht="12.75">
      <c r="A87" s="190" t="s">
        <v>21</v>
      </c>
      <c r="B87" s="191" t="s">
        <v>866</v>
      </c>
      <c r="C87" s="190">
        <v>0</v>
      </c>
      <c r="D87" s="190">
        <v>4</v>
      </c>
      <c r="E87" s="190">
        <v>4</v>
      </c>
      <c r="F87" s="190">
        <v>4</v>
      </c>
      <c r="G87" s="190">
        <v>0</v>
      </c>
      <c r="H87" s="190">
        <v>0</v>
      </c>
      <c r="I87" s="190">
        <v>10</v>
      </c>
    </row>
    <row r="88" spans="1:9" ht="12.75">
      <c r="A88" s="190" t="s">
        <v>21</v>
      </c>
      <c r="B88" s="191" t="s">
        <v>867</v>
      </c>
      <c r="C88" s="190">
        <v>4</v>
      </c>
      <c r="D88" s="190">
        <v>4</v>
      </c>
      <c r="E88" s="190">
        <v>4</v>
      </c>
      <c r="F88" s="190">
        <v>4</v>
      </c>
      <c r="G88" s="190">
        <v>0</v>
      </c>
      <c r="H88" s="190">
        <v>0</v>
      </c>
      <c r="I88" s="190">
        <v>10</v>
      </c>
    </row>
    <row r="89" spans="1:9" ht="12.75">
      <c r="A89" s="190" t="s">
        <v>21</v>
      </c>
      <c r="B89" s="191" t="s">
        <v>868</v>
      </c>
      <c r="C89" s="190">
        <v>0</v>
      </c>
      <c r="D89" s="190">
        <v>0</v>
      </c>
      <c r="E89" s="190">
        <v>0</v>
      </c>
      <c r="F89" s="190">
        <v>4</v>
      </c>
      <c r="G89" s="190">
        <v>0</v>
      </c>
      <c r="H89" s="190">
        <v>0</v>
      </c>
      <c r="I89" s="190">
        <v>31</v>
      </c>
    </row>
    <row r="90" spans="1:9" ht="12.75">
      <c r="A90" s="190" t="s">
        <v>129</v>
      </c>
      <c r="B90" s="191" t="s">
        <v>860</v>
      </c>
      <c r="C90" s="190">
        <v>5</v>
      </c>
      <c r="D90" s="190">
        <v>5</v>
      </c>
      <c r="E90" s="190">
        <v>5</v>
      </c>
      <c r="F90" s="190">
        <v>0</v>
      </c>
      <c r="G90" s="190">
        <v>0</v>
      </c>
      <c r="H90" s="190">
        <v>10</v>
      </c>
      <c r="I90" s="190">
        <v>0</v>
      </c>
    </row>
    <row r="91" spans="1:9" ht="12.75">
      <c r="A91" s="190" t="s">
        <v>129</v>
      </c>
      <c r="B91" s="191" t="s">
        <v>861</v>
      </c>
      <c r="C91" s="190">
        <v>5</v>
      </c>
      <c r="D91" s="190">
        <v>5</v>
      </c>
      <c r="E91" s="190">
        <v>5</v>
      </c>
      <c r="F91" s="190">
        <v>0</v>
      </c>
      <c r="G91" s="190">
        <v>0</v>
      </c>
      <c r="H91" s="190">
        <v>10</v>
      </c>
      <c r="I91" s="190">
        <v>0</v>
      </c>
    </row>
    <row r="92" spans="1:9" ht="12.75">
      <c r="A92" s="190" t="s">
        <v>129</v>
      </c>
      <c r="B92" s="191" t="s">
        <v>862</v>
      </c>
      <c r="C92" s="190">
        <v>5</v>
      </c>
      <c r="D92" s="190">
        <v>5</v>
      </c>
      <c r="E92" s="190">
        <v>5</v>
      </c>
      <c r="F92" s="190">
        <v>0</v>
      </c>
      <c r="G92" s="190">
        <v>0</v>
      </c>
      <c r="H92" s="190">
        <v>10</v>
      </c>
      <c r="I92" s="190">
        <v>0</v>
      </c>
    </row>
    <row r="93" spans="1:9" ht="12.75">
      <c r="A93" s="190" t="s">
        <v>129</v>
      </c>
      <c r="B93" s="191" t="s">
        <v>863</v>
      </c>
      <c r="C93" s="190">
        <v>5</v>
      </c>
      <c r="D93" s="190">
        <v>5</v>
      </c>
      <c r="E93" s="190">
        <v>5</v>
      </c>
      <c r="F93" s="190">
        <v>0</v>
      </c>
      <c r="G93" s="190">
        <v>0</v>
      </c>
      <c r="H93" s="190">
        <v>10</v>
      </c>
      <c r="I93" s="190">
        <v>0</v>
      </c>
    </row>
    <row r="94" spans="1:9" ht="12.75">
      <c r="A94" s="190" t="s">
        <v>129</v>
      </c>
      <c r="B94" s="191" t="s">
        <v>864</v>
      </c>
      <c r="C94" s="190">
        <v>5</v>
      </c>
      <c r="D94" s="190">
        <v>5</v>
      </c>
      <c r="E94" s="190">
        <v>5</v>
      </c>
      <c r="F94" s="190">
        <v>0</v>
      </c>
      <c r="G94" s="190">
        <v>0</v>
      </c>
      <c r="H94" s="190">
        <v>10</v>
      </c>
      <c r="I94" s="190">
        <v>0</v>
      </c>
    </row>
    <row r="95" spans="1:9" ht="12.75">
      <c r="A95" s="190" t="s">
        <v>129</v>
      </c>
      <c r="B95" s="191" t="s">
        <v>865</v>
      </c>
      <c r="C95" s="190">
        <v>5</v>
      </c>
      <c r="D95" s="190">
        <v>5</v>
      </c>
      <c r="E95" s="190">
        <v>5</v>
      </c>
      <c r="F95" s="190">
        <v>0</v>
      </c>
      <c r="G95" s="190">
        <v>0</v>
      </c>
      <c r="H95" s="190">
        <v>10</v>
      </c>
      <c r="I95" s="190">
        <v>0</v>
      </c>
    </row>
    <row r="96" spans="1:9" ht="12.75">
      <c r="A96" s="190" t="s">
        <v>129</v>
      </c>
      <c r="B96" s="191" t="s">
        <v>866</v>
      </c>
      <c r="C96" s="190">
        <v>0</v>
      </c>
      <c r="D96" s="190">
        <v>5</v>
      </c>
      <c r="E96" s="190">
        <v>5</v>
      </c>
      <c r="F96" s="190">
        <v>0</v>
      </c>
      <c r="G96" s="190">
        <v>0</v>
      </c>
      <c r="H96" s="190">
        <v>10</v>
      </c>
      <c r="I96" s="190">
        <v>0</v>
      </c>
    </row>
    <row r="97" spans="1:9" ht="12.75">
      <c r="A97" s="190" t="s">
        <v>129</v>
      </c>
      <c r="B97" s="191" t="s">
        <v>867</v>
      </c>
      <c r="C97" s="190">
        <v>5</v>
      </c>
      <c r="D97" s="190">
        <v>5</v>
      </c>
      <c r="E97" s="190">
        <v>5</v>
      </c>
      <c r="F97" s="190">
        <v>0</v>
      </c>
      <c r="G97" s="190">
        <v>0</v>
      </c>
      <c r="H97" s="190">
        <v>10</v>
      </c>
      <c r="I97" s="190">
        <v>0</v>
      </c>
    </row>
    <row r="98" spans="1:9" ht="12.75">
      <c r="A98" s="190" t="s">
        <v>129</v>
      </c>
      <c r="B98" s="191" t="s">
        <v>868</v>
      </c>
      <c r="C98" s="190">
        <v>0</v>
      </c>
      <c r="D98" s="190">
        <v>0</v>
      </c>
      <c r="E98" s="190">
        <v>0</v>
      </c>
      <c r="F98" s="190">
        <v>0</v>
      </c>
      <c r="G98" s="190">
        <v>0</v>
      </c>
      <c r="H98" s="190">
        <v>35</v>
      </c>
      <c r="I98" s="190">
        <v>0</v>
      </c>
    </row>
    <row r="99" spans="1:9" ht="12.75">
      <c r="A99" s="190" t="s">
        <v>30</v>
      </c>
      <c r="B99" s="191" t="s">
        <v>860</v>
      </c>
      <c r="C99" s="190">
        <v>5</v>
      </c>
      <c r="D99" s="190">
        <v>5</v>
      </c>
      <c r="E99" s="190">
        <v>5</v>
      </c>
      <c r="F99" s="190">
        <v>5</v>
      </c>
      <c r="G99" s="190">
        <v>0</v>
      </c>
      <c r="H99" s="190">
        <v>10</v>
      </c>
      <c r="I99" s="190">
        <v>0</v>
      </c>
    </row>
    <row r="100" spans="1:9" ht="12.75">
      <c r="A100" s="190" t="s">
        <v>30</v>
      </c>
      <c r="B100" s="191" t="s">
        <v>861</v>
      </c>
      <c r="C100" s="190">
        <v>5</v>
      </c>
      <c r="D100" s="190">
        <v>5</v>
      </c>
      <c r="E100" s="190">
        <v>5</v>
      </c>
      <c r="F100" s="190">
        <v>5</v>
      </c>
      <c r="G100" s="190">
        <v>0</v>
      </c>
      <c r="H100" s="190">
        <v>10</v>
      </c>
      <c r="I100" s="190">
        <v>0</v>
      </c>
    </row>
    <row r="101" spans="1:9" ht="12.75">
      <c r="A101" s="190" t="s">
        <v>30</v>
      </c>
      <c r="B101" s="191" t="s">
        <v>862</v>
      </c>
      <c r="C101" s="190">
        <v>5</v>
      </c>
      <c r="D101" s="190">
        <v>5</v>
      </c>
      <c r="E101" s="190">
        <v>5</v>
      </c>
      <c r="F101" s="190">
        <v>5</v>
      </c>
      <c r="G101" s="190">
        <v>0</v>
      </c>
      <c r="H101" s="190">
        <v>10</v>
      </c>
      <c r="I101" s="190">
        <v>0</v>
      </c>
    </row>
    <row r="102" spans="1:9" ht="12.75">
      <c r="A102" s="190" t="s">
        <v>30</v>
      </c>
      <c r="B102" s="191" t="s">
        <v>863</v>
      </c>
      <c r="C102" s="190">
        <v>5</v>
      </c>
      <c r="D102" s="190">
        <v>5</v>
      </c>
      <c r="E102" s="190">
        <v>5</v>
      </c>
      <c r="F102" s="190">
        <v>5</v>
      </c>
      <c r="G102" s="190">
        <v>0</v>
      </c>
      <c r="H102" s="190">
        <v>10</v>
      </c>
      <c r="I102" s="190">
        <v>0</v>
      </c>
    </row>
    <row r="103" spans="1:9" ht="12.75">
      <c r="A103" s="190" t="s">
        <v>30</v>
      </c>
      <c r="B103" s="191" t="s">
        <v>864</v>
      </c>
      <c r="C103" s="190">
        <v>5</v>
      </c>
      <c r="D103" s="190">
        <v>5</v>
      </c>
      <c r="E103" s="190">
        <v>5</v>
      </c>
      <c r="F103" s="190">
        <v>5</v>
      </c>
      <c r="G103" s="190">
        <v>0</v>
      </c>
      <c r="H103" s="190">
        <v>10</v>
      </c>
      <c r="I103" s="190">
        <v>0</v>
      </c>
    </row>
    <row r="104" spans="1:9" ht="12.75">
      <c r="A104" s="190" t="s">
        <v>30</v>
      </c>
      <c r="B104" s="191" t="s">
        <v>865</v>
      </c>
      <c r="C104" s="190">
        <v>5</v>
      </c>
      <c r="D104" s="190">
        <v>5</v>
      </c>
      <c r="E104" s="190">
        <v>5</v>
      </c>
      <c r="F104" s="190">
        <v>5</v>
      </c>
      <c r="G104" s="190">
        <v>0</v>
      </c>
      <c r="H104" s="190">
        <v>10</v>
      </c>
      <c r="I104" s="190">
        <v>0</v>
      </c>
    </row>
    <row r="105" spans="1:9" ht="12.75">
      <c r="A105" s="190" t="s">
        <v>30</v>
      </c>
      <c r="B105" s="191" t="s">
        <v>866</v>
      </c>
      <c r="C105" s="190">
        <v>0</v>
      </c>
      <c r="D105" s="190">
        <v>5</v>
      </c>
      <c r="E105" s="190">
        <v>5</v>
      </c>
      <c r="F105" s="190">
        <v>5</v>
      </c>
      <c r="G105" s="190">
        <v>0</v>
      </c>
      <c r="H105" s="190">
        <v>10</v>
      </c>
      <c r="I105" s="190">
        <v>0</v>
      </c>
    </row>
    <row r="106" spans="1:9" ht="12.75">
      <c r="A106" s="190" t="s">
        <v>30</v>
      </c>
      <c r="B106" s="191" t="s">
        <v>867</v>
      </c>
      <c r="C106" s="190">
        <v>5</v>
      </c>
      <c r="D106" s="190">
        <v>5</v>
      </c>
      <c r="E106" s="190">
        <v>5</v>
      </c>
      <c r="F106" s="190">
        <v>5</v>
      </c>
      <c r="G106" s="190">
        <v>0</v>
      </c>
      <c r="H106" s="190">
        <v>10</v>
      </c>
      <c r="I106" s="190">
        <v>0</v>
      </c>
    </row>
    <row r="107" spans="1:9" ht="12.75">
      <c r="A107" s="190" t="s">
        <v>30</v>
      </c>
      <c r="B107" s="191" t="s">
        <v>868</v>
      </c>
      <c r="C107" s="190">
        <v>0</v>
      </c>
      <c r="D107" s="190">
        <v>0</v>
      </c>
      <c r="E107" s="190">
        <v>0</v>
      </c>
      <c r="F107" s="190">
        <v>5</v>
      </c>
      <c r="G107" s="190">
        <v>0</v>
      </c>
      <c r="H107" s="190">
        <v>30</v>
      </c>
      <c r="I107" s="190">
        <v>0</v>
      </c>
    </row>
    <row r="108" spans="1:9" ht="12.75">
      <c r="A108" s="190" t="s">
        <v>132</v>
      </c>
      <c r="B108" s="191" t="s">
        <v>860</v>
      </c>
      <c r="C108" s="190">
        <v>5</v>
      </c>
      <c r="D108" s="190">
        <v>5</v>
      </c>
      <c r="E108" s="190">
        <v>5</v>
      </c>
      <c r="F108" s="190">
        <v>5</v>
      </c>
      <c r="G108" s="190">
        <v>0</v>
      </c>
      <c r="H108" s="190">
        <v>10</v>
      </c>
      <c r="I108" s="190">
        <v>0</v>
      </c>
    </row>
    <row r="109" spans="1:9" ht="12.75">
      <c r="A109" s="190" t="s">
        <v>132</v>
      </c>
      <c r="B109" s="191" t="s">
        <v>861</v>
      </c>
      <c r="C109" s="190">
        <v>5</v>
      </c>
      <c r="D109" s="190">
        <v>5</v>
      </c>
      <c r="E109" s="190">
        <v>5</v>
      </c>
      <c r="F109" s="190">
        <v>5</v>
      </c>
      <c r="G109" s="190">
        <v>0</v>
      </c>
      <c r="H109" s="190">
        <v>10</v>
      </c>
      <c r="I109" s="190">
        <v>0</v>
      </c>
    </row>
    <row r="110" spans="1:9" ht="12.75">
      <c r="A110" s="190" t="s">
        <v>132</v>
      </c>
      <c r="B110" s="191" t="s">
        <v>862</v>
      </c>
      <c r="C110" s="190">
        <v>5</v>
      </c>
      <c r="D110" s="190">
        <v>5</v>
      </c>
      <c r="E110" s="190">
        <v>5</v>
      </c>
      <c r="F110" s="190">
        <v>5</v>
      </c>
      <c r="G110" s="190">
        <v>0</v>
      </c>
      <c r="H110" s="190">
        <v>10</v>
      </c>
      <c r="I110" s="190">
        <v>0</v>
      </c>
    </row>
    <row r="111" spans="1:9" ht="12.75">
      <c r="A111" s="190" t="s">
        <v>132</v>
      </c>
      <c r="B111" s="191" t="s">
        <v>863</v>
      </c>
      <c r="C111" s="190">
        <v>5</v>
      </c>
      <c r="D111" s="190">
        <v>5</v>
      </c>
      <c r="E111" s="190">
        <v>5</v>
      </c>
      <c r="F111" s="190">
        <v>5</v>
      </c>
      <c r="G111" s="190">
        <v>0</v>
      </c>
      <c r="H111" s="190">
        <v>10</v>
      </c>
      <c r="I111" s="190">
        <v>0</v>
      </c>
    </row>
    <row r="112" spans="1:9" ht="12.75">
      <c r="A112" s="190" t="s">
        <v>132</v>
      </c>
      <c r="B112" s="191" t="s">
        <v>864</v>
      </c>
      <c r="C112" s="190">
        <v>5</v>
      </c>
      <c r="D112" s="190">
        <v>5</v>
      </c>
      <c r="E112" s="190">
        <v>5</v>
      </c>
      <c r="F112" s="190">
        <v>5</v>
      </c>
      <c r="G112" s="190">
        <v>0</v>
      </c>
      <c r="H112" s="190">
        <v>10</v>
      </c>
      <c r="I112" s="190">
        <v>0</v>
      </c>
    </row>
    <row r="113" spans="1:9" ht="12.75">
      <c r="A113" s="190" t="s">
        <v>132</v>
      </c>
      <c r="B113" s="191" t="s">
        <v>865</v>
      </c>
      <c r="C113" s="190">
        <v>5</v>
      </c>
      <c r="D113" s="190">
        <v>5</v>
      </c>
      <c r="E113" s="190">
        <v>5</v>
      </c>
      <c r="F113" s="190">
        <v>5</v>
      </c>
      <c r="G113" s="190">
        <v>0</v>
      </c>
      <c r="H113" s="190">
        <v>10</v>
      </c>
      <c r="I113" s="190">
        <v>0</v>
      </c>
    </row>
    <row r="114" spans="1:9" ht="12.75">
      <c r="A114" s="190" t="s">
        <v>132</v>
      </c>
      <c r="B114" s="191" t="s">
        <v>866</v>
      </c>
      <c r="C114" s="190">
        <v>0</v>
      </c>
      <c r="D114" s="190">
        <v>5</v>
      </c>
      <c r="E114" s="190">
        <v>5</v>
      </c>
      <c r="F114" s="190">
        <v>5</v>
      </c>
      <c r="G114" s="190">
        <v>0</v>
      </c>
      <c r="H114" s="190">
        <v>10</v>
      </c>
      <c r="I114" s="190">
        <v>0</v>
      </c>
    </row>
    <row r="115" spans="1:9" ht="12.75">
      <c r="A115" s="190" t="s">
        <v>132</v>
      </c>
      <c r="B115" s="191" t="s">
        <v>867</v>
      </c>
      <c r="C115" s="190">
        <v>5</v>
      </c>
      <c r="D115" s="190">
        <v>5</v>
      </c>
      <c r="E115" s="190">
        <v>5</v>
      </c>
      <c r="F115" s="190">
        <v>5</v>
      </c>
      <c r="G115" s="190">
        <v>0</v>
      </c>
      <c r="H115" s="190">
        <v>10</v>
      </c>
      <c r="I115" s="190">
        <v>0</v>
      </c>
    </row>
    <row r="116" spans="1:9" ht="12.75">
      <c r="A116" s="190" t="s">
        <v>132</v>
      </c>
      <c r="B116" s="191" t="s">
        <v>868</v>
      </c>
      <c r="C116" s="190">
        <v>0</v>
      </c>
      <c r="D116" s="190">
        <v>0</v>
      </c>
      <c r="E116" s="190">
        <v>0</v>
      </c>
      <c r="F116" s="190">
        <v>5</v>
      </c>
      <c r="G116" s="190">
        <v>0</v>
      </c>
      <c r="H116" s="190">
        <v>30</v>
      </c>
      <c r="I116" s="190">
        <v>0</v>
      </c>
    </row>
    <row r="117" spans="1:9" ht="12.75">
      <c r="A117" s="190" t="s">
        <v>133</v>
      </c>
      <c r="B117" s="191" t="s">
        <v>860</v>
      </c>
      <c r="C117" s="190">
        <v>5</v>
      </c>
      <c r="D117" s="190">
        <v>5</v>
      </c>
      <c r="E117" s="190">
        <v>5</v>
      </c>
      <c r="F117" s="190">
        <v>0</v>
      </c>
      <c r="G117" s="190">
        <v>0</v>
      </c>
      <c r="H117" s="190">
        <v>10</v>
      </c>
      <c r="I117" s="190">
        <v>0</v>
      </c>
    </row>
    <row r="118" spans="1:9" ht="12.75">
      <c r="A118" s="190" t="s">
        <v>133</v>
      </c>
      <c r="B118" s="191" t="s">
        <v>861</v>
      </c>
      <c r="C118" s="190">
        <v>5</v>
      </c>
      <c r="D118" s="190">
        <v>5</v>
      </c>
      <c r="E118" s="190">
        <v>5</v>
      </c>
      <c r="F118" s="190">
        <v>0</v>
      </c>
      <c r="G118" s="190">
        <v>0</v>
      </c>
      <c r="H118" s="190">
        <v>10</v>
      </c>
      <c r="I118" s="190">
        <v>0</v>
      </c>
    </row>
    <row r="119" spans="1:9" ht="12.75">
      <c r="A119" s="190" t="s">
        <v>133</v>
      </c>
      <c r="B119" s="191" t="s">
        <v>862</v>
      </c>
      <c r="C119" s="190">
        <v>5</v>
      </c>
      <c r="D119" s="190">
        <v>5</v>
      </c>
      <c r="E119" s="190">
        <v>5</v>
      </c>
      <c r="F119" s="190">
        <v>0</v>
      </c>
      <c r="G119" s="190">
        <v>0</v>
      </c>
      <c r="H119" s="190">
        <v>10</v>
      </c>
      <c r="I119" s="190">
        <v>0</v>
      </c>
    </row>
    <row r="120" spans="1:9" ht="12.75">
      <c r="A120" s="190" t="s">
        <v>133</v>
      </c>
      <c r="B120" s="191" t="s">
        <v>863</v>
      </c>
      <c r="C120" s="190">
        <v>5</v>
      </c>
      <c r="D120" s="190">
        <v>5</v>
      </c>
      <c r="E120" s="190">
        <v>5</v>
      </c>
      <c r="F120" s="190">
        <v>0</v>
      </c>
      <c r="G120" s="190">
        <v>0</v>
      </c>
      <c r="H120" s="190">
        <v>10</v>
      </c>
      <c r="I120" s="190">
        <v>0</v>
      </c>
    </row>
    <row r="121" spans="1:9" ht="12.75">
      <c r="A121" s="190" t="s">
        <v>133</v>
      </c>
      <c r="B121" s="191" t="s">
        <v>864</v>
      </c>
      <c r="C121" s="190">
        <v>5</v>
      </c>
      <c r="D121" s="190">
        <v>5</v>
      </c>
      <c r="E121" s="190">
        <v>5</v>
      </c>
      <c r="F121" s="190">
        <v>0</v>
      </c>
      <c r="G121" s="190">
        <v>0</v>
      </c>
      <c r="H121" s="190">
        <v>10</v>
      </c>
      <c r="I121" s="190">
        <v>0</v>
      </c>
    </row>
    <row r="122" spans="1:9" ht="12.75">
      <c r="A122" s="190" t="s">
        <v>133</v>
      </c>
      <c r="B122" s="191" t="s">
        <v>865</v>
      </c>
      <c r="C122" s="190">
        <v>5</v>
      </c>
      <c r="D122" s="190">
        <v>5</v>
      </c>
      <c r="E122" s="190">
        <v>5</v>
      </c>
      <c r="F122" s="190">
        <v>0</v>
      </c>
      <c r="G122" s="190">
        <v>0</v>
      </c>
      <c r="H122" s="190">
        <v>10</v>
      </c>
      <c r="I122" s="190">
        <v>0</v>
      </c>
    </row>
    <row r="123" spans="1:9" ht="12.75">
      <c r="A123" s="190" t="s">
        <v>133</v>
      </c>
      <c r="B123" s="191" t="s">
        <v>866</v>
      </c>
      <c r="C123" s="190">
        <v>0</v>
      </c>
      <c r="D123" s="190">
        <v>5</v>
      </c>
      <c r="E123" s="190">
        <v>5</v>
      </c>
      <c r="F123" s="190">
        <v>0</v>
      </c>
      <c r="G123" s="190">
        <v>0</v>
      </c>
      <c r="H123" s="190">
        <v>10</v>
      </c>
      <c r="I123" s="190">
        <v>0</v>
      </c>
    </row>
    <row r="124" spans="1:9" ht="12.75">
      <c r="A124" s="190" t="s">
        <v>133</v>
      </c>
      <c r="B124" s="191" t="s">
        <v>867</v>
      </c>
      <c r="C124" s="190">
        <v>5</v>
      </c>
      <c r="D124" s="190">
        <v>5</v>
      </c>
      <c r="E124" s="190">
        <v>5</v>
      </c>
      <c r="F124" s="190">
        <v>0</v>
      </c>
      <c r="G124" s="190">
        <v>0</v>
      </c>
      <c r="H124" s="190">
        <v>10</v>
      </c>
      <c r="I124" s="190">
        <v>0</v>
      </c>
    </row>
    <row r="125" spans="1:9" ht="12.75">
      <c r="A125" s="190" t="s">
        <v>133</v>
      </c>
      <c r="B125" s="191" t="s">
        <v>868</v>
      </c>
      <c r="C125" s="190">
        <v>0</v>
      </c>
      <c r="D125" s="190">
        <v>0</v>
      </c>
      <c r="E125" s="190">
        <v>0</v>
      </c>
      <c r="F125" s="190">
        <v>0</v>
      </c>
      <c r="G125" s="190">
        <v>0</v>
      </c>
      <c r="H125" s="190">
        <v>35</v>
      </c>
      <c r="I125" s="190">
        <v>0</v>
      </c>
    </row>
    <row r="126" spans="1:9" ht="12.75">
      <c r="A126" s="190" t="s">
        <v>134</v>
      </c>
      <c r="B126" s="191" t="s">
        <v>860</v>
      </c>
      <c r="C126" s="190">
        <v>5</v>
      </c>
      <c r="D126" s="190">
        <v>5</v>
      </c>
      <c r="E126" s="190">
        <v>5</v>
      </c>
      <c r="F126" s="190">
        <v>0</v>
      </c>
      <c r="G126" s="190">
        <v>0</v>
      </c>
      <c r="H126" s="190">
        <v>10</v>
      </c>
      <c r="I126" s="190">
        <v>0</v>
      </c>
    </row>
    <row r="127" spans="1:9" ht="12.75">
      <c r="A127" s="190" t="s">
        <v>134</v>
      </c>
      <c r="B127" s="191" t="s">
        <v>861</v>
      </c>
      <c r="C127" s="190">
        <v>5</v>
      </c>
      <c r="D127" s="190">
        <v>5</v>
      </c>
      <c r="E127" s="190">
        <v>5</v>
      </c>
      <c r="F127" s="190">
        <v>0</v>
      </c>
      <c r="G127" s="190">
        <v>0</v>
      </c>
      <c r="H127" s="190">
        <v>10</v>
      </c>
      <c r="I127" s="190">
        <v>0</v>
      </c>
    </row>
    <row r="128" spans="1:9" ht="12.75">
      <c r="A128" s="190" t="s">
        <v>134</v>
      </c>
      <c r="B128" s="191" t="s">
        <v>862</v>
      </c>
      <c r="C128" s="190">
        <v>5</v>
      </c>
      <c r="D128" s="190">
        <v>5</v>
      </c>
      <c r="E128" s="190">
        <v>5</v>
      </c>
      <c r="F128" s="190">
        <v>0</v>
      </c>
      <c r="G128" s="190">
        <v>0</v>
      </c>
      <c r="H128" s="190">
        <v>10</v>
      </c>
      <c r="I128" s="190">
        <v>0</v>
      </c>
    </row>
    <row r="129" spans="1:9" ht="12.75">
      <c r="A129" s="190" t="s">
        <v>134</v>
      </c>
      <c r="B129" s="191" t="s">
        <v>863</v>
      </c>
      <c r="C129" s="190">
        <v>5</v>
      </c>
      <c r="D129" s="190">
        <v>5</v>
      </c>
      <c r="E129" s="190">
        <v>5</v>
      </c>
      <c r="F129" s="190">
        <v>0</v>
      </c>
      <c r="G129" s="190">
        <v>0</v>
      </c>
      <c r="H129" s="190">
        <v>10</v>
      </c>
      <c r="I129" s="190">
        <v>0</v>
      </c>
    </row>
    <row r="130" spans="1:9" ht="12.75">
      <c r="A130" s="190" t="s">
        <v>134</v>
      </c>
      <c r="B130" s="191" t="s">
        <v>864</v>
      </c>
      <c r="C130" s="190">
        <v>5</v>
      </c>
      <c r="D130" s="190">
        <v>5</v>
      </c>
      <c r="E130" s="190">
        <v>5</v>
      </c>
      <c r="F130" s="190">
        <v>0</v>
      </c>
      <c r="G130" s="190">
        <v>0</v>
      </c>
      <c r="H130" s="190">
        <v>10</v>
      </c>
      <c r="I130" s="190">
        <v>0</v>
      </c>
    </row>
    <row r="131" spans="1:9" ht="12.75">
      <c r="A131" s="190" t="s">
        <v>134</v>
      </c>
      <c r="B131" s="191" t="s">
        <v>865</v>
      </c>
      <c r="C131" s="190">
        <v>5</v>
      </c>
      <c r="D131" s="190">
        <v>5</v>
      </c>
      <c r="E131" s="190">
        <v>5</v>
      </c>
      <c r="F131" s="190">
        <v>0</v>
      </c>
      <c r="G131" s="190">
        <v>0</v>
      </c>
      <c r="H131" s="190">
        <v>10</v>
      </c>
      <c r="I131" s="190">
        <v>0</v>
      </c>
    </row>
    <row r="132" spans="1:9" ht="12.75">
      <c r="A132" s="190" t="s">
        <v>134</v>
      </c>
      <c r="B132" s="191" t="s">
        <v>866</v>
      </c>
      <c r="C132" s="190">
        <v>0</v>
      </c>
      <c r="D132" s="190">
        <v>5</v>
      </c>
      <c r="E132" s="190">
        <v>5</v>
      </c>
      <c r="F132" s="190">
        <v>0</v>
      </c>
      <c r="G132" s="190">
        <v>0</v>
      </c>
      <c r="H132" s="190">
        <v>10</v>
      </c>
      <c r="I132" s="190">
        <v>0</v>
      </c>
    </row>
    <row r="133" spans="1:9" ht="12.75">
      <c r="A133" s="190" t="s">
        <v>134</v>
      </c>
      <c r="B133" s="191" t="s">
        <v>867</v>
      </c>
      <c r="C133" s="190">
        <v>5</v>
      </c>
      <c r="D133" s="190">
        <v>5</v>
      </c>
      <c r="E133" s="190">
        <v>5</v>
      </c>
      <c r="F133" s="190">
        <v>0</v>
      </c>
      <c r="G133" s="190">
        <v>0</v>
      </c>
      <c r="H133" s="190">
        <v>10</v>
      </c>
      <c r="I133" s="190">
        <v>0</v>
      </c>
    </row>
    <row r="134" spans="1:9" ht="12.75">
      <c r="A134" s="190" t="s">
        <v>134</v>
      </c>
      <c r="B134" s="191" t="s">
        <v>868</v>
      </c>
      <c r="C134" s="190">
        <v>0</v>
      </c>
      <c r="D134" s="190">
        <v>0</v>
      </c>
      <c r="E134" s="190">
        <v>0</v>
      </c>
      <c r="F134" s="190">
        <v>0</v>
      </c>
      <c r="G134" s="190">
        <v>0</v>
      </c>
      <c r="H134" s="190">
        <v>35</v>
      </c>
      <c r="I134" s="190">
        <v>0</v>
      </c>
    </row>
    <row r="135" spans="1:9" ht="12.75">
      <c r="A135" s="190" t="s">
        <v>135</v>
      </c>
      <c r="B135" s="191" t="s">
        <v>860</v>
      </c>
      <c r="C135" s="190">
        <v>5</v>
      </c>
      <c r="D135" s="190">
        <v>5</v>
      </c>
      <c r="E135" s="190">
        <v>0</v>
      </c>
      <c r="F135" s="190">
        <v>0</v>
      </c>
      <c r="G135" s="190">
        <v>0</v>
      </c>
      <c r="H135" s="190">
        <v>10</v>
      </c>
      <c r="I135" s="190">
        <v>0</v>
      </c>
    </row>
    <row r="136" spans="1:9" ht="12.75">
      <c r="A136" s="190" t="s">
        <v>135</v>
      </c>
      <c r="B136" s="191" t="s">
        <v>861</v>
      </c>
      <c r="C136" s="190">
        <v>5</v>
      </c>
      <c r="D136" s="190">
        <v>5</v>
      </c>
      <c r="E136" s="190">
        <v>0</v>
      </c>
      <c r="F136" s="190">
        <v>0</v>
      </c>
      <c r="G136" s="190">
        <v>0</v>
      </c>
      <c r="H136" s="190">
        <v>10</v>
      </c>
      <c r="I136" s="190">
        <v>0</v>
      </c>
    </row>
    <row r="137" spans="1:9" ht="12.75">
      <c r="A137" s="190" t="s">
        <v>135</v>
      </c>
      <c r="B137" s="191" t="s">
        <v>862</v>
      </c>
      <c r="C137" s="190">
        <v>5</v>
      </c>
      <c r="D137" s="190">
        <v>5</v>
      </c>
      <c r="E137" s="190">
        <v>0</v>
      </c>
      <c r="F137" s="190">
        <v>0</v>
      </c>
      <c r="G137" s="190">
        <v>0</v>
      </c>
      <c r="H137" s="190">
        <v>10</v>
      </c>
      <c r="I137" s="190">
        <v>0</v>
      </c>
    </row>
    <row r="138" spans="1:9" ht="12.75">
      <c r="A138" s="190" t="s">
        <v>135</v>
      </c>
      <c r="B138" s="191" t="s">
        <v>863</v>
      </c>
      <c r="C138" s="190">
        <v>5</v>
      </c>
      <c r="D138" s="190">
        <v>5</v>
      </c>
      <c r="E138" s="190">
        <v>0</v>
      </c>
      <c r="F138" s="190">
        <v>0</v>
      </c>
      <c r="G138" s="190">
        <v>0</v>
      </c>
      <c r="H138" s="190">
        <v>10</v>
      </c>
      <c r="I138" s="190">
        <v>0</v>
      </c>
    </row>
    <row r="139" spans="1:9" ht="12.75">
      <c r="A139" s="190" t="s">
        <v>135</v>
      </c>
      <c r="B139" s="191" t="s">
        <v>864</v>
      </c>
      <c r="C139" s="190">
        <v>5</v>
      </c>
      <c r="D139" s="190">
        <v>5</v>
      </c>
      <c r="E139" s="190">
        <v>0</v>
      </c>
      <c r="F139" s="190">
        <v>0</v>
      </c>
      <c r="G139" s="190">
        <v>0</v>
      </c>
      <c r="H139" s="190">
        <v>10</v>
      </c>
      <c r="I139" s="190">
        <v>0</v>
      </c>
    </row>
    <row r="140" spans="1:9" ht="12.75">
      <c r="A140" s="190" t="s">
        <v>135</v>
      </c>
      <c r="B140" s="191" t="s">
        <v>865</v>
      </c>
      <c r="C140" s="190">
        <v>5</v>
      </c>
      <c r="D140" s="190">
        <v>5</v>
      </c>
      <c r="E140" s="190">
        <v>0</v>
      </c>
      <c r="F140" s="190">
        <v>0</v>
      </c>
      <c r="G140" s="190">
        <v>0</v>
      </c>
      <c r="H140" s="190">
        <v>10</v>
      </c>
      <c r="I140" s="190">
        <v>0</v>
      </c>
    </row>
    <row r="141" spans="1:9" ht="12.75">
      <c r="A141" s="190" t="s">
        <v>135</v>
      </c>
      <c r="B141" s="191" t="s">
        <v>866</v>
      </c>
      <c r="C141" s="190">
        <v>0</v>
      </c>
      <c r="D141" s="190">
        <v>5</v>
      </c>
      <c r="E141" s="190">
        <v>0</v>
      </c>
      <c r="F141" s="190">
        <v>0</v>
      </c>
      <c r="G141" s="190">
        <v>0</v>
      </c>
      <c r="H141" s="190">
        <v>10</v>
      </c>
      <c r="I141" s="190">
        <v>0</v>
      </c>
    </row>
    <row r="142" spans="1:9" ht="12.75">
      <c r="A142" s="190" t="s">
        <v>135</v>
      </c>
      <c r="B142" s="191" t="s">
        <v>867</v>
      </c>
      <c r="C142" s="190">
        <v>5</v>
      </c>
      <c r="D142" s="190">
        <v>5</v>
      </c>
      <c r="E142" s="190">
        <v>0</v>
      </c>
      <c r="F142" s="190">
        <v>0</v>
      </c>
      <c r="G142" s="190">
        <v>0</v>
      </c>
      <c r="H142" s="190">
        <v>10</v>
      </c>
      <c r="I142" s="190">
        <v>0</v>
      </c>
    </row>
    <row r="143" spans="1:9" ht="12.75">
      <c r="A143" s="190" t="s">
        <v>135</v>
      </c>
      <c r="B143" s="191" t="s">
        <v>868</v>
      </c>
      <c r="C143" s="190">
        <v>0</v>
      </c>
      <c r="D143" s="190">
        <v>0</v>
      </c>
      <c r="E143" s="190">
        <v>0</v>
      </c>
      <c r="F143" s="190">
        <v>0</v>
      </c>
      <c r="G143" s="190">
        <v>0</v>
      </c>
      <c r="H143" s="190">
        <v>35</v>
      </c>
      <c r="I143" s="190">
        <v>0</v>
      </c>
    </row>
    <row r="144" spans="1:9" ht="12.75">
      <c r="A144" s="190" t="s">
        <v>28</v>
      </c>
      <c r="B144" s="191" t="s">
        <v>860</v>
      </c>
      <c r="C144" s="190">
        <v>5</v>
      </c>
      <c r="D144" s="190">
        <v>5</v>
      </c>
      <c r="E144" s="190">
        <v>5</v>
      </c>
      <c r="F144" s="190">
        <v>0</v>
      </c>
      <c r="G144" s="190">
        <v>10</v>
      </c>
      <c r="H144" s="190">
        <v>0</v>
      </c>
      <c r="I144" s="190">
        <v>0</v>
      </c>
    </row>
    <row r="145" spans="1:9" ht="12.75">
      <c r="A145" s="190" t="s">
        <v>28</v>
      </c>
      <c r="B145" s="191" t="s">
        <v>861</v>
      </c>
      <c r="C145" s="190">
        <v>5</v>
      </c>
      <c r="D145" s="190">
        <v>5</v>
      </c>
      <c r="E145" s="190">
        <v>5</v>
      </c>
      <c r="F145" s="190">
        <v>0</v>
      </c>
      <c r="G145" s="190">
        <v>10</v>
      </c>
      <c r="H145" s="190">
        <v>0</v>
      </c>
      <c r="I145" s="190">
        <v>0</v>
      </c>
    </row>
    <row r="146" spans="1:9" ht="12.75">
      <c r="A146" s="190" t="s">
        <v>28</v>
      </c>
      <c r="B146" s="191" t="s">
        <v>862</v>
      </c>
      <c r="C146" s="190">
        <v>5</v>
      </c>
      <c r="D146" s="190">
        <v>5</v>
      </c>
      <c r="E146" s="190">
        <v>5</v>
      </c>
      <c r="F146" s="190">
        <v>0</v>
      </c>
      <c r="G146" s="190">
        <v>10</v>
      </c>
      <c r="H146" s="190">
        <v>0</v>
      </c>
      <c r="I146" s="190">
        <v>0</v>
      </c>
    </row>
    <row r="147" spans="1:9" ht="12.75">
      <c r="A147" s="190" t="s">
        <v>28</v>
      </c>
      <c r="B147" s="191" t="s">
        <v>863</v>
      </c>
      <c r="C147" s="190">
        <v>5</v>
      </c>
      <c r="D147" s="190">
        <v>5</v>
      </c>
      <c r="E147" s="190">
        <v>5</v>
      </c>
      <c r="F147" s="190">
        <v>0</v>
      </c>
      <c r="G147" s="190">
        <v>10</v>
      </c>
      <c r="H147" s="190">
        <v>0</v>
      </c>
      <c r="I147" s="190">
        <v>0</v>
      </c>
    </row>
    <row r="148" spans="1:9" ht="12.75">
      <c r="A148" s="190" t="s">
        <v>28</v>
      </c>
      <c r="B148" s="191" t="s">
        <v>864</v>
      </c>
      <c r="C148" s="190">
        <v>5</v>
      </c>
      <c r="D148" s="190">
        <v>5</v>
      </c>
      <c r="E148" s="190">
        <v>5</v>
      </c>
      <c r="F148" s="190">
        <v>0</v>
      </c>
      <c r="G148" s="190">
        <v>10</v>
      </c>
      <c r="H148" s="190">
        <v>0</v>
      </c>
      <c r="I148" s="190">
        <v>0</v>
      </c>
    </row>
    <row r="149" spans="1:9" ht="12.75">
      <c r="A149" s="190" t="s">
        <v>28</v>
      </c>
      <c r="B149" s="191" t="s">
        <v>865</v>
      </c>
      <c r="C149" s="190">
        <v>5</v>
      </c>
      <c r="D149" s="190">
        <v>5</v>
      </c>
      <c r="E149" s="190">
        <v>5</v>
      </c>
      <c r="F149" s="190">
        <v>0</v>
      </c>
      <c r="G149" s="190">
        <v>10</v>
      </c>
      <c r="H149" s="190">
        <v>0</v>
      </c>
      <c r="I149" s="190">
        <v>0</v>
      </c>
    </row>
    <row r="150" spans="1:9" ht="12.75">
      <c r="A150" s="190" t="s">
        <v>28</v>
      </c>
      <c r="B150" s="191" t="s">
        <v>866</v>
      </c>
      <c r="C150" s="190">
        <v>0</v>
      </c>
      <c r="D150" s="190">
        <v>5</v>
      </c>
      <c r="E150" s="190">
        <v>5</v>
      </c>
      <c r="F150" s="190">
        <v>0</v>
      </c>
      <c r="G150" s="190">
        <v>10</v>
      </c>
      <c r="H150" s="190">
        <v>0</v>
      </c>
      <c r="I150" s="190">
        <v>0</v>
      </c>
    </row>
    <row r="151" spans="1:9" ht="12.75">
      <c r="A151" s="190" t="s">
        <v>28</v>
      </c>
      <c r="B151" s="191" t="s">
        <v>867</v>
      </c>
      <c r="C151" s="190">
        <v>5</v>
      </c>
      <c r="D151" s="190">
        <v>5</v>
      </c>
      <c r="E151" s="190">
        <v>5</v>
      </c>
      <c r="F151" s="190">
        <v>0</v>
      </c>
      <c r="G151" s="190">
        <v>10</v>
      </c>
      <c r="H151" s="190">
        <v>0</v>
      </c>
      <c r="I151" s="190">
        <v>0</v>
      </c>
    </row>
    <row r="152" spans="1:9" ht="12.75">
      <c r="A152" s="190" t="s">
        <v>28</v>
      </c>
      <c r="B152" s="191" t="s">
        <v>868</v>
      </c>
      <c r="C152" s="190">
        <v>0</v>
      </c>
      <c r="D152" s="190">
        <v>0</v>
      </c>
      <c r="E152" s="190">
        <v>0</v>
      </c>
      <c r="F152" s="190">
        <v>0</v>
      </c>
      <c r="G152" s="190">
        <v>35</v>
      </c>
      <c r="H152" s="190">
        <v>0</v>
      </c>
      <c r="I152" s="190">
        <v>0</v>
      </c>
    </row>
    <row r="153" spans="1:9" ht="12.75">
      <c r="A153" s="190" t="s">
        <v>26</v>
      </c>
      <c r="B153" s="191" t="s">
        <v>860</v>
      </c>
      <c r="C153" s="190">
        <v>5</v>
      </c>
      <c r="D153" s="190">
        <v>5</v>
      </c>
      <c r="E153" s="190">
        <v>5</v>
      </c>
      <c r="F153" s="190">
        <v>0</v>
      </c>
      <c r="G153" s="190">
        <v>0</v>
      </c>
      <c r="H153" s="190">
        <v>10</v>
      </c>
      <c r="I153" s="190">
        <v>0</v>
      </c>
    </row>
    <row r="154" spans="1:9" ht="12.75">
      <c r="A154" s="190" t="s">
        <v>26</v>
      </c>
      <c r="B154" s="191" t="s">
        <v>861</v>
      </c>
      <c r="C154" s="190">
        <v>5</v>
      </c>
      <c r="D154" s="190">
        <v>5</v>
      </c>
      <c r="E154" s="190">
        <v>5</v>
      </c>
      <c r="F154" s="190">
        <v>0</v>
      </c>
      <c r="G154" s="190">
        <v>0</v>
      </c>
      <c r="H154" s="190">
        <v>10</v>
      </c>
      <c r="I154" s="190">
        <v>0</v>
      </c>
    </row>
    <row r="155" spans="1:9" ht="12.75">
      <c r="A155" s="190" t="s">
        <v>26</v>
      </c>
      <c r="B155" s="191" t="s">
        <v>862</v>
      </c>
      <c r="C155" s="190">
        <v>5</v>
      </c>
      <c r="D155" s="190">
        <v>5</v>
      </c>
      <c r="E155" s="190">
        <v>5</v>
      </c>
      <c r="F155" s="190">
        <v>0</v>
      </c>
      <c r="G155" s="190">
        <v>0</v>
      </c>
      <c r="H155" s="190">
        <v>10</v>
      </c>
      <c r="I155" s="190">
        <v>0</v>
      </c>
    </row>
    <row r="156" spans="1:9" ht="12.75">
      <c r="A156" s="190" t="s">
        <v>26</v>
      </c>
      <c r="B156" s="191" t="s">
        <v>863</v>
      </c>
      <c r="C156" s="190">
        <v>5</v>
      </c>
      <c r="D156" s="190">
        <v>5</v>
      </c>
      <c r="E156" s="190">
        <v>5</v>
      </c>
      <c r="F156" s="190">
        <v>0</v>
      </c>
      <c r="G156" s="190">
        <v>0</v>
      </c>
      <c r="H156" s="190">
        <v>10</v>
      </c>
      <c r="I156" s="190">
        <v>0</v>
      </c>
    </row>
    <row r="157" spans="1:9" ht="12.75">
      <c r="A157" s="190" t="s">
        <v>26</v>
      </c>
      <c r="B157" s="191" t="s">
        <v>864</v>
      </c>
      <c r="C157" s="190">
        <v>5</v>
      </c>
      <c r="D157" s="190">
        <v>5</v>
      </c>
      <c r="E157" s="190">
        <v>5</v>
      </c>
      <c r="F157" s="190">
        <v>0</v>
      </c>
      <c r="G157" s="190">
        <v>0</v>
      </c>
      <c r="H157" s="190">
        <v>10</v>
      </c>
      <c r="I157" s="190">
        <v>0</v>
      </c>
    </row>
    <row r="158" spans="1:9" ht="12.75">
      <c r="A158" s="190" t="s">
        <v>26</v>
      </c>
      <c r="B158" s="191" t="s">
        <v>865</v>
      </c>
      <c r="C158" s="190">
        <v>5</v>
      </c>
      <c r="D158" s="190">
        <v>5</v>
      </c>
      <c r="E158" s="190">
        <v>5</v>
      </c>
      <c r="F158" s="190">
        <v>0</v>
      </c>
      <c r="G158" s="190">
        <v>0</v>
      </c>
      <c r="H158" s="190">
        <v>10</v>
      </c>
      <c r="I158" s="190">
        <v>0</v>
      </c>
    </row>
    <row r="159" spans="1:9" ht="12.75">
      <c r="A159" s="190" t="s">
        <v>26</v>
      </c>
      <c r="B159" s="191" t="s">
        <v>866</v>
      </c>
      <c r="C159" s="190">
        <v>0</v>
      </c>
      <c r="D159" s="190">
        <v>5</v>
      </c>
      <c r="E159" s="190">
        <v>5</v>
      </c>
      <c r="F159" s="190">
        <v>0</v>
      </c>
      <c r="G159" s="190">
        <v>0</v>
      </c>
      <c r="H159" s="190">
        <v>10</v>
      </c>
      <c r="I159" s="190">
        <v>0</v>
      </c>
    </row>
    <row r="160" spans="1:9" ht="12.75">
      <c r="A160" s="190" t="s">
        <v>26</v>
      </c>
      <c r="B160" s="191" t="s">
        <v>867</v>
      </c>
      <c r="C160" s="190">
        <v>5</v>
      </c>
      <c r="D160" s="190">
        <v>5</v>
      </c>
      <c r="E160" s="190">
        <v>5</v>
      </c>
      <c r="F160" s="190">
        <v>0</v>
      </c>
      <c r="G160" s="190">
        <v>0</v>
      </c>
      <c r="H160" s="190">
        <v>10</v>
      </c>
      <c r="I160" s="190">
        <v>0</v>
      </c>
    </row>
    <row r="161" spans="1:9" ht="12.75">
      <c r="A161" s="190" t="s">
        <v>26</v>
      </c>
      <c r="B161" s="191" t="s">
        <v>868</v>
      </c>
      <c r="C161" s="190">
        <v>0</v>
      </c>
      <c r="D161" s="190">
        <v>0</v>
      </c>
      <c r="E161" s="190">
        <v>0</v>
      </c>
      <c r="F161" s="190">
        <v>0</v>
      </c>
      <c r="G161" s="190">
        <v>0</v>
      </c>
      <c r="H161" s="190">
        <v>35</v>
      </c>
      <c r="I161" s="190">
        <v>0</v>
      </c>
    </row>
    <row r="162" spans="1:9" ht="12.75">
      <c r="A162" s="190" t="s">
        <v>34</v>
      </c>
      <c r="B162" s="191" t="s">
        <v>860</v>
      </c>
      <c r="C162" s="190">
        <v>5</v>
      </c>
      <c r="D162" s="190">
        <v>5</v>
      </c>
      <c r="E162" s="190">
        <v>0</v>
      </c>
      <c r="F162" s="190">
        <v>5</v>
      </c>
      <c r="G162" s="190">
        <v>0</v>
      </c>
      <c r="H162" s="190">
        <v>10</v>
      </c>
      <c r="I162" s="190">
        <v>0</v>
      </c>
    </row>
    <row r="163" spans="1:9" ht="12.75">
      <c r="A163" s="190" t="s">
        <v>34</v>
      </c>
      <c r="B163" s="191" t="s">
        <v>861</v>
      </c>
      <c r="C163" s="190">
        <v>5</v>
      </c>
      <c r="D163" s="190">
        <v>5</v>
      </c>
      <c r="E163" s="190">
        <v>0</v>
      </c>
      <c r="F163" s="190">
        <v>5</v>
      </c>
      <c r="G163" s="190">
        <v>0</v>
      </c>
      <c r="H163" s="190">
        <v>10</v>
      </c>
      <c r="I163" s="190">
        <v>0</v>
      </c>
    </row>
    <row r="164" spans="1:9" ht="12.75">
      <c r="A164" s="190" t="s">
        <v>34</v>
      </c>
      <c r="B164" s="191" t="s">
        <v>862</v>
      </c>
      <c r="C164" s="190">
        <v>5</v>
      </c>
      <c r="D164" s="190">
        <v>5</v>
      </c>
      <c r="E164" s="190">
        <v>0</v>
      </c>
      <c r="F164" s="190">
        <v>5</v>
      </c>
      <c r="G164" s="190">
        <v>0</v>
      </c>
      <c r="H164" s="190">
        <v>10</v>
      </c>
      <c r="I164" s="190">
        <v>0</v>
      </c>
    </row>
    <row r="165" spans="1:9" ht="12.75">
      <c r="A165" s="190" t="s">
        <v>34</v>
      </c>
      <c r="B165" s="191" t="s">
        <v>863</v>
      </c>
      <c r="C165" s="190">
        <v>5</v>
      </c>
      <c r="D165" s="190">
        <v>5</v>
      </c>
      <c r="E165" s="190">
        <v>0</v>
      </c>
      <c r="F165" s="190">
        <v>5</v>
      </c>
      <c r="G165" s="190">
        <v>0</v>
      </c>
      <c r="H165" s="190">
        <v>10</v>
      </c>
      <c r="I165" s="190">
        <v>0</v>
      </c>
    </row>
    <row r="166" spans="1:9" ht="12.75">
      <c r="A166" s="190" t="s">
        <v>34</v>
      </c>
      <c r="B166" s="191" t="s">
        <v>864</v>
      </c>
      <c r="C166" s="190">
        <v>5</v>
      </c>
      <c r="D166" s="190">
        <v>5</v>
      </c>
      <c r="E166" s="190">
        <v>0</v>
      </c>
      <c r="F166" s="190">
        <v>5</v>
      </c>
      <c r="G166" s="190">
        <v>0</v>
      </c>
      <c r="H166" s="190">
        <v>10</v>
      </c>
      <c r="I166" s="190">
        <v>0</v>
      </c>
    </row>
    <row r="167" spans="1:9" ht="12.75">
      <c r="A167" s="190" t="s">
        <v>34</v>
      </c>
      <c r="B167" s="191" t="s">
        <v>865</v>
      </c>
      <c r="C167" s="190">
        <v>5</v>
      </c>
      <c r="D167" s="190">
        <v>5</v>
      </c>
      <c r="E167" s="190">
        <v>0</v>
      </c>
      <c r="F167" s="190">
        <v>5</v>
      </c>
      <c r="G167" s="190">
        <v>0</v>
      </c>
      <c r="H167" s="190">
        <v>10</v>
      </c>
      <c r="I167" s="190">
        <v>0</v>
      </c>
    </row>
    <row r="168" spans="1:9" ht="12.75">
      <c r="A168" s="190" t="s">
        <v>34</v>
      </c>
      <c r="B168" s="191" t="s">
        <v>866</v>
      </c>
      <c r="C168" s="190">
        <v>0</v>
      </c>
      <c r="D168" s="190">
        <v>5</v>
      </c>
      <c r="E168" s="190">
        <v>0</v>
      </c>
      <c r="F168" s="190">
        <v>5</v>
      </c>
      <c r="G168" s="190">
        <v>0</v>
      </c>
      <c r="H168" s="190">
        <v>10</v>
      </c>
      <c r="I168" s="190">
        <v>0</v>
      </c>
    </row>
    <row r="169" spans="1:9" ht="12.75">
      <c r="A169" s="190" t="s">
        <v>34</v>
      </c>
      <c r="B169" s="191" t="s">
        <v>867</v>
      </c>
      <c r="C169" s="190">
        <v>5</v>
      </c>
      <c r="D169" s="190">
        <v>5</v>
      </c>
      <c r="E169" s="190">
        <v>0</v>
      </c>
      <c r="F169" s="190">
        <v>5</v>
      </c>
      <c r="G169" s="190">
        <v>0</v>
      </c>
      <c r="H169" s="190">
        <v>10</v>
      </c>
      <c r="I169" s="190">
        <v>0</v>
      </c>
    </row>
    <row r="170" spans="1:9" ht="12.75">
      <c r="A170" s="190" t="s">
        <v>34</v>
      </c>
      <c r="B170" s="191" t="s">
        <v>868</v>
      </c>
      <c r="C170" s="190">
        <v>0</v>
      </c>
      <c r="D170" s="190">
        <v>0</v>
      </c>
      <c r="E170" s="190">
        <v>0</v>
      </c>
      <c r="F170" s="190">
        <v>5</v>
      </c>
      <c r="G170" s="190">
        <v>0</v>
      </c>
      <c r="H170" s="190">
        <v>30</v>
      </c>
      <c r="I170" s="190">
        <v>0</v>
      </c>
    </row>
    <row r="171" spans="1:9" ht="12.75">
      <c r="A171" s="190" t="s">
        <v>22</v>
      </c>
      <c r="B171" s="191" t="s">
        <v>860</v>
      </c>
      <c r="C171" s="190">
        <v>5</v>
      </c>
      <c r="D171" s="190">
        <v>5</v>
      </c>
      <c r="E171" s="190">
        <v>5</v>
      </c>
      <c r="F171" s="190">
        <v>0</v>
      </c>
      <c r="G171" s="190">
        <v>10</v>
      </c>
      <c r="H171" s="190">
        <v>0</v>
      </c>
      <c r="I171" s="190">
        <v>0</v>
      </c>
    </row>
    <row r="172" spans="1:9" ht="12.75">
      <c r="A172" s="190" t="s">
        <v>22</v>
      </c>
      <c r="B172" s="191" t="s">
        <v>861</v>
      </c>
      <c r="C172" s="190">
        <v>5</v>
      </c>
      <c r="D172" s="190">
        <v>5</v>
      </c>
      <c r="E172" s="190">
        <v>5</v>
      </c>
      <c r="F172" s="190">
        <v>0</v>
      </c>
      <c r="G172" s="190">
        <v>10</v>
      </c>
      <c r="H172" s="190">
        <v>0</v>
      </c>
      <c r="I172" s="190">
        <v>0</v>
      </c>
    </row>
    <row r="173" spans="1:9" ht="12.75">
      <c r="A173" s="190" t="s">
        <v>22</v>
      </c>
      <c r="B173" s="191" t="s">
        <v>862</v>
      </c>
      <c r="C173" s="190">
        <v>5</v>
      </c>
      <c r="D173" s="190">
        <v>5</v>
      </c>
      <c r="E173" s="190">
        <v>5</v>
      </c>
      <c r="F173" s="190">
        <v>0</v>
      </c>
      <c r="G173" s="190">
        <v>10</v>
      </c>
      <c r="H173" s="190">
        <v>0</v>
      </c>
      <c r="I173" s="190">
        <v>0</v>
      </c>
    </row>
    <row r="174" spans="1:9" ht="12.75">
      <c r="A174" s="190" t="s">
        <v>22</v>
      </c>
      <c r="B174" s="191" t="s">
        <v>863</v>
      </c>
      <c r="C174" s="190">
        <v>5</v>
      </c>
      <c r="D174" s="190">
        <v>5</v>
      </c>
      <c r="E174" s="190">
        <v>5</v>
      </c>
      <c r="F174" s="190">
        <v>0</v>
      </c>
      <c r="G174" s="190">
        <v>10</v>
      </c>
      <c r="H174" s="190">
        <v>0</v>
      </c>
      <c r="I174" s="190">
        <v>0</v>
      </c>
    </row>
    <row r="175" spans="1:9" ht="12.75">
      <c r="A175" s="190" t="s">
        <v>22</v>
      </c>
      <c r="B175" s="191" t="s">
        <v>864</v>
      </c>
      <c r="C175" s="190">
        <v>5</v>
      </c>
      <c r="D175" s="190">
        <v>5</v>
      </c>
      <c r="E175" s="190">
        <v>5</v>
      </c>
      <c r="F175" s="190">
        <v>0</v>
      </c>
      <c r="G175" s="190">
        <v>10</v>
      </c>
      <c r="H175" s="190">
        <v>0</v>
      </c>
      <c r="I175" s="190">
        <v>0</v>
      </c>
    </row>
    <row r="176" spans="1:9" ht="12.75">
      <c r="A176" s="190" t="s">
        <v>22</v>
      </c>
      <c r="B176" s="191" t="s">
        <v>865</v>
      </c>
      <c r="C176" s="190">
        <v>5</v>
      </c>
      <c r="D176" s="190">
        <v>5</v>
      </c>
      <c r="E176" s="190">
        <v>5</v>
      </c>
      <c r="F176" s="190">
        <v>0</v>
      </c>
      <c r="G176" s="190">
        <v>10</v>
      </c>
      <c r="H176" s="190">
        <v>0</v>
      </c>
      <c r="I176" s="190">
        <v>0</v>
      </c>
    </row>
    <row r="177" spans="1:9" ht="12.75">
      <c r="A177" s="190" t="s">
        <v>22</v>
      </c>
      <c r="B177" s="191" t="s">
        <v>866</v>
      </c>
      <c r="C177" s="190">
        <v>0</v>
      </c>
      <c r="D177" s="190">
        <v>5</v>
      </c>
      <c r="E177" s="190">
        <v>5</v>
      </c>
      <c r="F177" s="190">
        <v>0</v>
      </c>
      <c r="G177" s="190">
        <v>10</v>
      </c>
      <c r="H177" s="190">
        <v>0</v>
      </c>
      <c r="I177" s="190">
        <v>0</v>
      </c>
    </row>
    <row r="178" spans="1:9" ht="12.75">
      <c r="A178" s="190" t="s">
        <v>22</v>
      </c>
      <c r="B178" s="191" t="s">
        <v>867</v>
      </c>
      <c r="C178" s="190">
        <v>5</v>
      </c>
      <c r="D178" s="190">
        <v>5</v>
      </c>
      <c r="E178" s="190">
        <v>5</v>
      </c>
      <c r="F178" s="190">
        <v>0</v>
      </c>
      <c r="G178" s="190">
        <v>10</v>
      </c>
      <c r="H178" s="190">
        <v>0</v>
      </c>
      <c r="I178" s="190">
        <v>0</v>
      </c>
    </row>
    <row r="179" spans="1:9" ht="12.75">
      <c r="A179" s="190" t="s">
        <v>22</v>
      </c>
      <c r="B179" s="191" t="s">
        <v>868</v>
      </c>
      <c r="C179" s="190">
        <v>0</v>
      </c>
      <c r="D179" s="190">
        <v>0</v>
      </c>
      <c r="E179" s="190">
        <v>0</v>
      </c>
      <c r="F179" s="190">
        <v>0</v>
      </c>
      <c r="G179" s="190">
        <v>35</v>
      </c>
      <c r="H179" s="190">
        <v>0</v>
      </c>
      <c r="I179" s="190">
        <v>0</v>
      </c>
    </row>
    <row r="180" spans="1:9" ht="12.75">
      <c r="A180" s="190" t="s">
        <v>32</v>
      </c>
      <c r="B180" s="191" t="s">
        <v>860</v>
      </c>
      <c r="C180" s="190">
        <v>5</v>
      </c>
      <c r="D180" s="190">
        <v>5</v>
      </c>
      <c r="E180" s="190">
        <v>5</v>
      </c>
      <c r="F180" s="190">
        <v>5</v>
      </c>
      <c r="G180" s="190">
        <v>0</v>
      </c>
      <c r="H180" s="190">
        <v>10</v>
      </c>
      <c r="I180" s="190">
        <v>0</v>
      </c>
    </row>
    <row r="181" spans="1:9" ht="12.75">
      <c r="A181" s="190" t="s">
        <v>32</v>
      </c>
      <c r="B181" s="191" t="s">
        <v>861</v>
      </c>
      <c r="C181" s="190">
        <v>5</v>
      </c>
      <c r="D181" s="190">
        <v>5</v>
      </c>
      <c r="E181" s="190">
        <v>5</v>
      </c>
      <c r="F181" s="190">
        <v>5</v>
      </c>
      <c r="G181" s="190">
        <v>0</v>
      </c>
      <c r="H181" s="190">
        <v>10</v>
      </c>
      <c r="I181" s="190">
        <v>0</v>
      </c>
    </row>
    <row r="182" spans="1:9" ht="12.75">
      <c r="A182" s="190" t="s">
        <v>32</v>
      </c>
      <c r="B182" s="191" t="s">
        <v>862</v>
      </c>
      <c r="C182" s="190">
        <v>5</v>
      </c>
      <c r="D182" s="190">
        <v>5</v>
      </c>
      <c r="E182" s="190">
        <v>5</v>
      </c>
      <c r="F182" s="190">
        <v>5</v>
      </c>
      <c r="G182" s="190">
        <v>0</v>
      </c>
      <c r="H182" s="190">
        <v>10</v>
      </c>
      <c r="I182" s="190">
        <v>0</v>
      </c>
    </row>
    <row r="183" spans="1:9" ht="12.75">
      <c r="A183" s="190" t="s">
        <v>32</v>
      </c>
      <c r="B183" s="191" t="s">
        <v>863</v>
      </c>
      <c r="C183" s="190">
        <v>5</v>
      </c>
      <c r="D183" s="190">
        <v>5</v>
      </c>
      <c r="E183" s="190">
        <v>5</v>
      </c>
      <c r="F183" s="190">
        <v>5</v>
      </c>
      <c r="G183" s="190">
        <v>0</v>
      </c>
      <c r="H183" s="190">
        <v>10</v>
      </c>
      <c r="I183" s="190">
        <v>0</v>
      </c>
    </row>
    <row r="184" spans="1:9" ht="12.75">
      <c r="A184" s="190" t="s">
        <v>32</v>
      </c>
      <c r="B184" s="191" t="s">
        <v>864</v>
      </c>
      <c r="C184" s="190">
        <v>5</v>
      </c>
      <c r="D184" s="190">
        <v>5</v>
      </c>
      <c r="E184" s="190">
        <v>5</v>
      </c>
      <c r="F184" s="190">
        <v>5</v>
      </c>
      <c r="G184" s="190">
        <v>0</v>
      </c>
      <c r="H184" s="190">
        <v>10</v>
      </c>
      <c r="I184" s="190">
        <v>0</v>
      </c>
    </row>
    <row r="185" spans="1:9" ht="12.75">
      <c r="A185" s="190" t="s">
        <v>32</v>
      </c>
      <c r="B185" s="191" t="s">
        <v>865</v>
      </c>
      <c r="C185" s="190">
        <v>5</v>
      </c>
      <c r="D185" s="190">
        <v>5</v>
      </c>
      <c r="E185" s="190">
        <v>5</v>
      </c>
      <c r="F185" s="190">
        <v>5</v>
      </c>
      <c r="G185" s="190">
        <v>0</v>
      </c>
      <c r="H185" s="190">
        <v>10</v>
      </c>
      <c r="I185" s="190">
        <v>0</v>
      </c>
    </row>
    <row r="186" spans="1:9" ht="12.75">
      <c r="A186" s="190" t="s">
        <v>32</v>
      </c>
      <c r="B186" s="191" t="s">
        <v>866</v>
      </c>
      <c r="C186" s="190">
        <v>0</v>
      </c>
      <c r="D186" s="190">
        <v>5</v>
      </c>
      <c r="E186" s="190">
        <v>5</v>
      </c>
      <c r="F186" s="190">
        <v>5</v>
      </c>
      <c r="G186" s="190">
        <v>0</v>
      </c>
      <c r="H186" s="190">
        <v>10</v>
      </c>
      <c r="I186" s="190">
        <v>0</v>
      </c>
    </row>
    <row r="187" spans="1:9" ht="12.75">
      <c r="A187" s="190" t="s">
        <v>32</v>
      </c>
      <c r="B187" s="191" t="s">
        <v>867</v>
      </c>
      <c r="C187" s="190">
        <v>5</v>
      </c>
      <c r="D187" s="190">
        <v>5</v>
      </c>
      <c r="E187" s="190">
        <v>5</v>
      </c>
      <c r="F187" s="190">
        <v>5</v>
      </c>
      <c r="G187" s="190">
        <v>0</v>
      </c>
      <c r="H187" s="190">
        <v>10</v>
      </c>
      <c r="I187" s="190">
        <v>0</v>
      </c>
    </row>
    <row r="188" spans="1:9" ht="12.75">
      <c r="A188" s="190" t="s">
        <v>32</v>
      </c>
      <c r="B188" s="191" t="s">
        <v>868</v>
      </c>
      <c r="C188" s="190">
        <v>0</v>
      </c>
      <c r="D188" s="190">
        <v>0</v>
      </c>
      <c r="E188" s="190">
        <v>0</v>
      </c>
      <c r="F188" s="190">
        <v>5</v>
      </c>
      <c r="G188" s="190">
        <v>0</v>
      </c>
      <c r="H188" s="190">
        <v>30</v>
      </c>
      <c r="I188" s="190">
        <v>0</v>
      </c>
    </row>
    <row r="189" spans="1:9" ht="12.75">
      <c r="A189" s="190" t="s">
        <v>136</v>
      </c>
      <c r="B189" s="191" t="s">
        <v>860</v>
      </c>
      <c r="C189" s="190">
        <v>5</v>
      </c>
      <c r="D189" s="190">
        <v>5</v>
      </c>
      <c r="E189" s="190">
        <v>0</v>
      </c>
      <c r="F189" s="190">
        <v>0</v>
      </c>
      <c r="G189" s="190">
        <v>0</v>
      </c>
      <c r="H189" s="190">
        <v>10</v>
      </c>
      <c r="I189" s="190">
        <v>0</v>
      </c>
    </row>
    <row r="190" spans="1:9" ht="12.75">
      <c r="A190" s="190" t="s">
        <v>136</v>
      </c>
      <c r="B190" s="191" t="s">
        <v>861</v>
      </c>
      <c r="C190" s="190">
        <v>5</v>
      </c>
      <c r="D190" s="190">
        <v>5</v>
      </c>
      <c r="E190" s="190">
        <v>0</v>
      </c>
      <c r="F190" s="190">
        <v>0</v>
      </c>
      <c r="G190" s="190">
        <v>0</v>
      </c>
      <c r="H190" s="190">
        <v>10</v>
      </c>
      <c r="I190" s="190">
        <v>0</v>
      </c>
    </row>
    <row r="191" spans="1:9" ht="12.75">
      <c r="A191" s="190" t="s">
        <v>136</v>
      </c>
      <c r="B191" s="191" t="s">
        <v>862</v>
      </c>
      <c r="C191" s="190">
        <v>5</v>
      </c>
      <c r="D191" s="190">
        <v>5</v>
      </c>
      <c r="E191" s="190">
        <v>0</v>
      </c>
      <c r="F191" s="190">
        <v>0</v>
      </c>
      <c r="G191" s="190">
        <v>0</v>
      </c>
      <c r="H191" s="190">
        <v>10</v>
      </c>
      <c r="I191" s="190">
        <v>0</v>
      </c>
    </row>
    <row r="192" spans="1:9" ht="12.75">
      <c r="A192" s="190" t="s">
        <v>136</v>
      </c>
      <c r="B192" s="191" t="s">
        <v>863</v>
      </c>
      <c r="C192" s="190">
        <v>5</v>
      </c>
      <c r="D192" s="190">
        <v>5</v>
      </c>
      <c r="E192" s="190">
        <v>0</v>
      </c>
      <c r="F192" s="190">
        <v>0</v>
      </c>
      <c r="G192" s="190">
        <v>0</v>
      </c>
      <c r="H192" s="190">
        <v>10</v>
      </c>
      <c r="I192" s="190">
        <v>0</v>
      </c>
    </row>
    <row r="193" spans="1:9" ht="12.75">
      <c r="A193" s="190" t="s">
        <v>136</v>
      </c>
      <c r="B193" s="191" t="s">
        <v>864</v>
      </c>
      <c r="C193" s="190">
        <v>5</v>
      </c>
      <c r="D193" s="190">
        <v>5</v>
      </c>
      <c r="E193" s="190">
        <v>0</v>
      </c>
      <c r="F193" s="190">
        <v>0</v>
      </c>
      <c r="G193" s="190">
        <v>0</v>
      </c>
      <c r="H193" s="190">
        <v>10</v>
      </c>
      <c r="I193" s="190">
        <v>0</v>
      </c>
    </row>
    <row r="194" spans="1:9" ht="12.75">
      <c r="A194" s="190" t="s">
        <v>136</v>
      </c>
      <c r="B194" s="191" t="s">
        <v>865</v>
      </c>
      <c r="C194" s="190">
        <v>5</v>
      </c>
      <c r="D194" s="190">
        <v>5</v>
      </c>
      <c r="E194" s="190">
        <v>0</v>
      </c>
      <c r="F194" s="190">
        <v>0</v>
      </c>
      <c r="G194" s="190">
        <v>0</v>
      </c>
      <c r="H194" s="190">
        <v>10</v>
      </c>
      <c r="I194" s="190">
        <v>0</v>
      </c>
    </row>
    <row r="195" spans="1:9" ht="12.75">
      <c r="A195" s="190" t="s">
        <v>136</v>
      </c>
      <c r="B195" s="191" t="s">
        <v>866</v>
      </c>
      <c r="C195" s="190">
        <v>0</v>
      </c>
      <c r="D195" s="190">
        <v>5</v>
      </c>
      <c r="E195" s="190">
        <v>0</v>
      </c>
      <c r="F195" s="190">
        <v>0</v>
      </c>
      <c r="G195" s="190">
        <v>0</v>
      </c>
      <c r="H195" s="190">
        <v>10</v>
      </c>
      <c r="I195" s="190">
        <v>0</v>
      </c>
    </row>
    <row r="196" spans="1:9" ht="12.75">
      <c r="A196" s="190" t="s">
        <v>136</v>
      </c>
      <c r="B196" s="191" t="s">
        <v>867</v>
      </c>
      <c r="C196" s="190">
        <v>5</v>
      </c>
      <c r="D196" s="190">
        <v>5</v>
      </c>
      <c r="E196" s="190">
        <v>0</v>
      </c>
      <c r="F196" s="190">
        <v>0</v>
      </c>
      <c r="G196" s="190">
        <v>0</v>
      </c>
      <c r="H196" s="190">
        <v>10</v>
      </c>
      <c r="I196" s="190">
        <v>0</v>
      </c>
    </row>
    <row r="197" spans="1:9" ht="12.75">
      <c r="A197" s="190" t="s">
        <v>136</v>
      </c>
      <c r="B197" s="191" t="s">
        <v>868</v>
      </c>
      <c r="C197" s="190">
        <v>0</v>
      </c>
      <c r="D197" s="190">
        <v>0</v>
      </c>
      <c r="E197" s="190">
        <v>0</v>
      </c>
      <c r="F197" s="190">
        <v>0</v>
      </c>
      <c r="G197" s="190">
        <v>0</v>
      </c>
      <c r="H197" s="190">
        <v>35</v>
      </c>
      <c r="I197" s="190">
        <v>0</v>
      </c>
    </row>
    <row r="198" spans="1:9" ht="12.75">
      <c r="A198" s="190" t="s">
        <v>20</v>
      </c>
      <c r="B198" s="191" t="s">
        <v>860</v>
      </c>
      <c r="C198" s="190">
        <v>5</v>
      </c>
      <c r="D198" s="190">
        <v>5</v>
      </c>
      <c r="E198" s="190">
        <v>5</v>
      </c>
      <c r="F198" s="190">
        <v>0</v>
      </c>
      <c r="G198" s="190">
        <v>0</v>
      </c>
      <c r="H198" s="190">
        <v>10</v>
      </c>
      <c r="I198" s="190">
        <v>0</v>
      </c>
    </row>
    <row r="199" spans="1:9" ht="12.75">
      <c r="A199" s="190" t="s">
        <v>20</v>
      </c>
      <c r="B199" s="191" t="s">
        <v>861</v>
      </c>
      <c r="C199" s="190">
        <v>5</v>
      </c>
      <c r="D199" s="190">
        <v>5</v>
      </c>
      <c r="E199" s="190">
        <v>5</v>
      </c>
      <c r="F199" s="190">
        <v>0</v>
      </c>
      <c r="G199" s="190">
        <v>0</v>
      </c>
      <c r="H199" s="190">
        <v>10</v>
      </c>
      <c r="I199" s="190">
        <v>0</v>
      </c>
    </row>
    <row r="200" spans="1:9" ht="12.75">
      <c r="A200" s="190" t="s">
        <v>20</v>
      </c>
      <c r="B200" s="191" t="s">
        <v>862</v>
      </c>
      <c r="C200" s="190">
        <v>5</v>
      </c>
      <c r="D200" s="190">
        <v>5</v>
      </c>
      <c r="E200" s="190">
        <v>5</v>
      </c>
      <c r="F200" s="190">
        <v>0</v>
      </c>
      <c r="G200" s="190">
        <v>0</v>
      </c>
      <c r="H200" s="190">
        <v>10</v>
      </c>
      <c r="I200" s="190">
        <v>0</v>
      </c>
    </row>
    <row r="201" spans="1:9" ht="12.75">
      <c r="A201" s="190" t="s">
        <v>20</v>
      </c>
      <c r="B201" s="191" t="s">
        <v>863</v>
      </c>
      <c r="C201" s="190">
        <v>5</v>
      </c>
      <c r="D201" s="190">
        <v>5</v>
      </c>
      <c r="E201" s="190">
        <v>5</v>
      </c>
      <c r="F201" s="190">
        <v>0</v>
      </c>
      <c r="G201" s="190">
        <v>0</v>
      </c>
      <c r="H201" s="190">
        <v>10</v>
      </c>
      <c r="I201" s="190">
        <v>0</v>
      </c>
    </row>
    <row r="202" spans="1:9" ht="12.75">
      <c r="A202" s="190" t="s">
        <v>20</v>
      </c>
      <c r="B202" s="191" t="s">
        <v>864</v>
      </c>
      <c r="C202" s="190">
        <v>5</v>
      </c>
      <c r="D202" s="190">
        <v>5</v>
      </c>
      <c r="E202" s="190">
        <v>5</v>
      </c>
      <c r="F202" s="190">
        <v>0</v>
      </c>
      <c r="G202" s="190">
        <v>0</v>
      </c>
      <c r="H202" s="190">
        <v>10</v>
      </c>
      <c r="I202" s="190">
        <v>0</v>
      </c>
    </row>
    <row r="203" spans="1:9" ht="12.75">
      <c r="A203" s="190" t="s">
        <v>20</v>
      </c>
      <c r="B203" s="191" t="s">
        <v>865</v>
      </c>
      <c r="C203" s="190">
        <v>5</v>
      </c>
      <c r="D203" s="190">
        <v>5</v>
      </c>
      <c r="E203" s="190">
        <v>5</v>
      </c>
      <c r="F203" s="190">
        <v>0</v>
      </c>
      <c r="G203" s="190">
        <v>0</v>
      </c>
      <c r="H203" s="190">
        <v>10</v>
      </c>
      <c r="I203" s="190">
        <v>0</v>
      </c>
    </row>
    <row r="204" spans="1:9" ht="12.75">
      <c r="A204" s="190" t="s">
        <v>20</v>
      </c>
      <c r="B204" s="191" t="s">
        <v>866</v>
      </c>
      <c r="C204" s="190">
        <v>0</v>
      </c>
      <c r="D204" s="190">
        <v>5</v>
      </c>
      <c r="E204" s="190">
        <v>5</v>
      </c>
      <c r="F204" s="190">
        <v>0</v>
      </c>
      <c r="G204" s="190">
        <v>0</v>
      </c>
      <c r="H204" s="190">
        <v>10</v>
      </c>
      <c r="I204" s="190">
        <v>0</v>
      </c>
    </row>
    <row r="205" spans="1:9" ht="12.75">
      <c r="A205" s="190" t="s">
        <v>20</v>
      </c>
      <c r="B205" s="191" t="s">
        <v>867</v>
      </c>
      <c r="C205" s="190">
        <v>5</v>
      </c>
      <c r="D205" s="190">
        <v>5</v>
      </c>
      <c r="E205" s="190">
        <v>5</v>
      </c>
      <c r="F205" s="190">
        <v>0</v>
      </c>
      <c r="G205" s="190">
        <v>0</v>
      </c>
      <c r="H205" s="190">
        <v>10</v>
      </c>
      <c r="I205" s="190">
        <v>0</v>
      </c>
    </row>
    <row r="206" spans="1:9" ht="12.75">
      <c r="A206" s="190" t="s">
        <v>20</v>
      </c>
      <c r="B206" s="191" t="s">
        <v>868</v>
      </c>
      <c r="C206" s="190">
        <v>0</v>
      </c>
      <c r="D206" s="190">
        <v>0</v>
      </c>
      <c r="E206" s="190">
        <v>0</v>
      </c>
      <c r="F206" s="190">
        <v>0</v>
      </c>
      <c r="G206" s="190">
        <v>0</v>
      </c>
      <c r="H206" s="190">
        <v>35</v>
      </c>
      <c r="I206" s="190">
        <v>0</v>
      </c>
    </row>
    <row r="207" spans="1:9" ht="12.75">
      <c r="A207" s="190" t="s">
        <v>33</v>
      </c>
      <c r="B207" s="191" t="s">
        <v>860</v>
      </c>
      <c r="C207" s="190">
        <v>5</v>
      </c>
      <c r="D207" s="190">
        <v>5</v>
      </c>
      <c r="E207" s="190">
        <v>5</v>
      </c>
      <c r="F207" s="190">
        <v>0</v>
      </c>
      <c r="G207" s="190">
        <v>0</v>
      </c>
      <c r="H207" s="190">
        <v>10</v>
      </c>
      <c r="I207" s="190">
        <v>0</v>
      </c>
    </row>
    <row r="208" spans="1:9" ht="12.75">
      <c r="A208" s="190" t="s">
        <v>33</v>
      </c>
      <c r="B208" s="191" t="s">
        <v>861</v>
      </c>
      <c r="C208" s="190">
        <v>5</v>
      </c>
      <c r="D208" s="190">
        <v>5</v>
      </c>
      <c r="E208" s="190">
        <v>5</v>
      </c>
      <c r="F208" s="190">
        <v>0</v>
      </c>
      <c r="G208" s="190">
        <v>0</v>
      </c>
      <c r="H208" s="190">
        <v>10</v>
      </c>
      <c r="I208" s="190">
        <v>0</v>
      </c>
    </row>
    <row r="209" spans="1:9" ht="12.75">
      <c r="A209" s="190" t="s">
        <v>33</v>
      </c>
      <c r="B209" s="191" t="s">
        <v>862</v>
      </c>
      <c r="C209" s="190">
        <v>5</v>
      </c>
      <c r="D209" s="190">
        <v>5</v>
      </c>
      <c r="E209" s="190">
        <v>5</v>
      </c>
      <c r="F209" s="190">
        <v>0</v>
      </c>
      <c r="G209" s="190">
        <v>0</v>
      </c>
      <c r="H209" s="190">
        <v>10</v>
      </c>
      <c r="I209" s="190">
        <v>0</v>
      </c>
    </row>
    <row r="210" spans="1:9" ht="12.75">
      <c r="A210" s="190" t="s">
        <v>33</v>
      </c>
      <c r="B210" s="191" t="s">
        <v>863</v>
      </c>
      <c r="C210" s="190">
        <v>5</v>
      </c>
      <c r="D210" s="190">
        <v>5</v>
      </c>
      <c r="E210" s="190">
        <v>5</v>
      </c>
      <c r="F210" s="190">
        <v>0</v>
      </c>
      <c r="G210" s="190">
        <v>0</v>
      </c>
      <c r="H210" s="190">
        <v>10</v>
      </c>
      <c r="I210" s="190">
        <v>0</v>
      </c>
    </row>
    <row r="211" spans="1:9" ht="12.75">
      <c r="A211" s="190" t="s">
        <v>33</v>
      </c>
      <c r="B211" s="191" t="s">
        <v>864</v>
      </c>
      <c r="C211" s="190">
        <v>5</v>
      </c>
      <c r="D211" s="190">
        <v>5</v>
      </c>
      <c r="E211" s="190">
        <v>5</v>
      </c>
      <c r="F211" s="190">
        <v>0</v>
      </c>
      <c r="G211" s="190">
        <v>0</v>
      </c>
      <c r="H211" s="190">
        <v>10</v>
      </c>
      <c r="I211" s="190">
        <v>0</v>
      </c>
    </row>
    <row r="212" spans="1:9" ht="12.75">
      <c r="A212" s="190" t="s">
        <v>33</v>
      </c>
      <c r="B212" s="191" t="s">
        <v>865</v>
      </c>
      <c r="C212" s="190">
        <v>5</v>
      </c>
      <c r="D212" s="190">
        <v>5</v>
      </c>
      <c r="E212" s="190">
        <v>5</v>
      </c>
      <c r="F212" s="190">
        <v>0</v>
      </c>
      <c r="G212" s="190">
        <v>0</v>
      </c>
      <c r="H212" s="190">
        <v>10</v>
      </c>
      <c r="I212" s="190">
        <v>0</v>
      </c>
    </row>
    <row r="213" spans="1:9" ht="12.75">
      <c r="A213" s="190" t="s">
        <v>33</v>
      </c>
      <c r="B213" s="191" t="s">
        <v>866</v>
      </c>
      <c r="C213" s="190">
        <v>0</v>
      </c>
      <c r="D213" s="190">
        <v>5</v>
      </c>
      <c r="E213" s="190">
        <v>5</v>
      </c>
      <c r="F213" s="190">
        <v>0</v>
      </c>
      <c r="G213" s="190">
        <v>0</v>
      </c>
      <c r="H213" s="190">
        <v>10</v>
      </c>
      <c r="I213" s="190">
        <v>0</v>
      </c>
    </row>
    <row r="214" spans="1:9" ht="12.75">
      <c r="A214" s="190" t="s">
        <v>33</v>
      </c>
      <c r="B214" s="191" t="s">
        <v>867</v>
      </c>
      <c r="C214" s="190">
        <v>5</v>
      </c>
      <c r="D214" s="190">
        <v>5</v>
      </c>
      <c r="E214" s="190">
        <v>5</v>
      </c>
      <c r="F214" s="190">
        <v>0</v>
      </c>
      <c r="G214" s="190">
        <v>0</v>
      </c>
      <c r="H214" s="190">
        <v>10</v>
      </c>
      <c r="I214" s="190">
        <v>0</v>
      </c>
    </row>
    <row r="215" spans="1:9" ht="12.75">
      <c r="A215" s="190" t="s">
        <v>33</v>
      </c>
      <c r="B215" s="191" t="s">
        <v>868</v>
      </c>
      <c r="C215" s="190">
        <v>0</v>
      </c>
      <c r="D215" s="190">
        <v>0</v>
      </c>
      <c r="E215" s="190">
        <v>0</v>
      </c>
      <c r="F215" s="190">
        <v>0</v>
      </c>
      <c r="G215" s="190">
        <v>0</v>
      </c>
      <c r="H215" s="190">
        <v>35</v>
      </c>
      <c r="I215" s="190">
        <v>0</v>
      </c>
    </row>
    <row r="216" spans="1:9" ht="12.75">
      <c r="A216" s="190" t="s">
        <v>23</v>
      </c>
      <c r="B216" s="191" t="s">
        <v>860</v>
      </c>
      <c r="C216" s="190">
        <v>5</v>
      </c>
      <c r="D216" s="190">
        <v>5</v>
      </c>
      <c r="E216" s="190">
        <v>0</v>
      </c>
      <c r="F216" s="190">
        <v>0</v>
      </c>
      <c r="G216" s="190">
        <v>0</v>
      </c>
      <c r="H216" s="190">
        <v>10</v>
      </c>
      <c r="I216" s="190">
        <v>0</v>
      </c>
    </row>
    <row r="217" spans="1:9" ht="12.75">
      <c r="A217" s="190" t="s">
        <v>23</v>
      </c>
      <c r="B217" s="191" t="s">
        <v>861</v>
      </c>
      <c r="C217" s="190">
        <v>5</v>
      </c>
      <c r="D217" s="190">
        <v>5</v>
      </c>
      <c r="E217" s="190">
        <v>0</v>
      </c>
      <c r="F217" s="190">
        <v>0</v>
      </c>
      <c r="G217" s="190">
        <v>0</v>
      </c>
      <c r="H217" s="190">
        <v>10</v>
      </c>
      <c r="I217" s="190">
        <v>0</v>
      </c>
    </row>
    <row r="218" spans="1:9" ht="12.75">
      <c r="A218" s="190" t="s">
        <v>23</v>
      </c>
      <c r="B218" s="191" t="s">
        <v>862</v>
      </c>
      <c r="C218" s="190">
        <v>5</v>
      </c>
      <c r="D218" s="190">
        <v>5</v>
      </c>
      <c r="E218" s="190">
        <v>0</v>
      </c>
      <c r="F218" s="190">
        <v>0</v>
      </c>
      <c r="G218" s="190">
        <v>0</v>
      </c>
      <c r="H218" s="190">
        <v>10</v>
      </c>
      <c r="I218" s="190">
        <v>0</v>
      </c>
    </row>
    <row r="219" spans="1:9" ht="12.75">
      <c r="A219" s="190" t="s">
        <v>23</v>
      </c>
      <c r="B219" s="191" t="s">
        <v>863</v>
      </c>
      <c r="C219" s="190">
        <v>5</v>
      </c>
      <c r="D219" s="190">
        <v>5</v>
      </c>
      <c r="E219" s="190">
        <v>0</v>
      </c>
      <c r="F219" s="190">
        <v>0</v>
      </c>
      <c r="G219" s="190">
        <v>0</v>
      </c>
      <c r="H219" s="190">
        <v>10</v>
      </c>
      <c r="I219" s="190">
        <v>0</v>
      </c>
    </row>
    <row r="220" spans="1:9" ht="12.75">
      <c r="A220" s="190" t="s">
        <v>23</v>
      </c>
      <c r="B220" s="191" t="s">
        <v>864</v>
      </c>
      <c r="C220" s="190">
        <v>5</v>
      </c>
      <c r="D220" s="190">
        <v>5</v>
      </c>
      <c r="E220" s="190">
        <v>0</v>
      </c>
      <c r="F220" s="190">
        <v>0</v>
      </c>
      <c r="G220" s="190">
        <v>0</v>
      </c>
      <c r="H220" s="190">
        <v>10</v>
      </c>
      <c r="I220" s="190">
        <v>0</v>
      </c>
    </row>
    <row r="221" spans="1:9" ht="12.75">
      <c r="A221" s="190" t="s">
        <v>23</v>
      </c>
      <c r="B221" s="191" t="s">
        <v>865</v>
      </c>
      <c r="C221" s="190">
        <v>5</v>
      </c>
      <c r="D221" s="190">
        <v>5</v>
      </c>
      <c r="E221" s="190">
        <v>0</v>
      </c>
      <c r="F221" s="190">
        <v>0</v>
      </c>
      <c r="G221" s="190">
        <v>0</v>
      </c>
      <c r="H221" s="190">
        <v>10</v>
      </c>
      <c r="I221" s="190">
        <v>0</v>
      </c>
    </row>
    <row r="222" spans="1:9" ht="12.75">
      <c r="A222" s="190" t="s">
        <v>23</v>
      </c>
      <c r="B222" s="191" t="s">
        <v>866</v>
      </c>
      <c r="C222" s="190">
        <v>0</v>
      </c>
      <c r="D222" s="190">
        <v>5</v>
      </c>
      <c r="E222" s="190">
        <v>0</v>
      </c>
      <c r="F222" s="190">
        <v>0</v>
      </c>
      <c r="G222" s="190">
        <v>0</v>
      </c>
      <c r="H222" s="190">
        <v>10</v>
      </c>
      <c r="I222" s="190">
        <v>0</v>
      </c>
    </row>
    <row r="223" spans="1:9" ht="12.75">
      <c r="A223" s="190" t="s">
        <v>23</v>
      </c>
      <c r="B223" s="191" t="s">
        <v>867</v>
      </c>
      <c r="C223" s="190">
        <v>5</v>
      </c>
      <c r="D223" s="190">
        <v>5</v>
      </c>
      <c r="E223" s="190">
        <v>0</v>
      </c>
      <c r="F223" s="190">
        <v>0</v>
      </c>
      <c r="G223" s="190">
        <v>0</v>
      </c>
      <c r="H223" s="190">
        <v>10</v>
      </c>
      <c r="I223" s="190">
        <v>0</v>
      </c>
    </row>
    <row r="224" spans="1:9" ht="12.75">
      <c r="A224" s="190" t="s">
        <v>23</v>
      </c>
      <c r="B224" s="191" t="s">
        <v>868</v>
      </c>
      <c r="C224" s="190">
        <v>0</v>
      </c>
      <c r="D224" s="190">
        <v>0</v>
      </c>
      <c r="E224" s="190">
        <v>0</v>
      </c>
      <c r="F224" s="190">
        <v>0</v>
      </c>
      <c r="G224" s="190">
        <v>0</v>
      </c>
      <c r="H224" s="190">
        <v>35</v>
      </c>
      <c r="I224" s="190">
        <v>0</v>
      </c>
    </row>
    <row r="225" spans="1:9" ht="12.75">
      <c r="A225" s="190" t="s">
        <v>29</v>
      </c>
      <c r="B225" s="191" t="s">
        <v>860</v>
      </c>
      <c r="C225" s="190">
        <v>5</v>
      </c>
      <c r="D225" s="190">
        <v>5</v>
      </c>
      <c r="E225" s="190">
        <v>0</v>
      </c>
      <c r="F225" s="190">
        <v>5</v>
      </c>
      <c r="G225" s="190">
        <v>10</v>
      </c>
      <c r="H225" s="190">
        <v>0</v>
      </c>
      <c r="I225" s="190">
        <v>0</v>
      </c>
    </row>
    <row r="226" spans="1:9" ht="12.75">
      <c r="A226" s="190" t="s">
        <v>29</v>
      </c>
      <c r="B226" s="191" t="s">
        <v>861</v>
      </c>
      <c r="C226" s="190">
        <v>5</v>
      </c>
      <c r="D226" s="190">
        <v>5</v>
      </c>
      <c r="E226" s="190">
        <v>0</v>
      </c>
      <c r="F226" s="190">
        <v>5</v>
      </c>
      <c r="G226" s="190">
        <v>10</v>
      </c>
      <c r="H226" s="190">
        <v>0</v>
      </c>
      <c r="I226" s="190">
        <v>0</v>
      </c>
    </row>
    <row r="227" spans="1:9" ht="12.75">
      <c r="A227" s="190" t="s">
        <v>29</v>
      </c>
      <c r="B227" s="191" t="s">
        <v>862</v>
      </c>
      <c r="C227" s="190">
        <v>5</v>
      </c>
      <c r="D227" s="190">
        <v>5</v>
      </c>
      <c r="E227" s="190">
        <v>0</v>
      </c>
      <c r="F227" s="190">
        <v>5</v>
      </c>
      <c r="G227" s="190">
        <v>10</v>
      </c>
      <c r="H227" s="190">
        <v>0</v>
      </c>
      <c r="I227" s="190">
        <v>0</v>
      </c>
    </row>
    <row r="228" spans="1:9" ht="12.75">
      <c r="A228" s="190" t="s">
        <v>29</v>
      </c>
      <c r="B228" s="191" t="s">
        <v>863</v>
      </c>
      <c r="C228" s="190">
        <v>5</v>
      </c>
      <c r="D228" s="190">
        <v>5</v>
      </c>
      <c r="E228" s="190">
        <v>0</v>
      </c>
      <c r="F228" s="190">
        <v>5</v>
      </c>
      <c r="G228" s="190">
        <v>10</v>
      </c>
      <c r="H228" s="190">
        <v>0</v>
      </c>
      <c r="I228" s="190">
        <v>0</v>
      </c>
    </row>
    <row r="229" spans="1:9" ht="12.75">
      <c r="A229" s="190" t="s">
        <v>29</v>
      </c>
      <c r="B229" s="191" t="s">
        <v>864</v>
      </c>
      <c r="C229" s="190">
        <v>5</v>
      </c>
      <c r="D229" s="190">
        <v>5</v>
      </c>
      <c r="E229" s="190">
        <v>0</v>
      </c>
      <c r="F229" s="190">
        <v>5</v>
      </c>
      <c r="G229" s="190">
        <v>10</v>
      </c>
      <c r="H229" s="190">
        <v>0</v>
      </c>
      <c r="I229" s="190">
        <v>0</v>
      </c>
    </row>
    <row r="230" spans="1:9" ht="12.75">
      <c r="A230" s="190" t="s">
        <v>29</v>
      </c>
      <c r="B230" s="191" t="s">
        <v>865</v>
      </c>
      <c r="C230" s="190">
        <v>5</v>
      </c>
      <c r="D230" s="190">
        <v>5</v>
      </c>
      <c r="E230" s="190">
        <v>0</v>
      </c>
      <c r="F230" s="190">
        <v>5</v>
      </c>
      <c r="G230" s="190">
        <v>10</v>
      </c>
      <c r="H230" s="190">
        <v>0</v>
      </c>
      <c r="I230" s="190">
        <v>0</v>
      </c>
    </row>
    <row r="231" spans="1:9" ht="12.75">
      <c r="A231" s="190" t="s">
        <v>29</v>
      </c>
      <c r="B231" s="191" t="s">
        <v>866</v>
      </c>
      <c r="C231" s="190">
        <v>0</v>
      </c>
      <c r="D231" s="190">
        <v>5</v>
      </c>
      <c r="E231" s="190">
        <v>0</v>
      </c>
      <c r="F231" s="190">
        <v>5</v>
      </c>
      <c r="G231" s="190">
        <v>10</v>
      </c>
      <c r="H231" s="190">
        <v>0</v>
      </c>
      <c r="I231" s="190">
        <v>0</v>
      </c>
    </row>
    <row r="232" spans="1:9" ht="12.75">
      <c r="A232" s="190" t="s">
        <v>29</v>
      </c>
      <c r="B232" s="191" t="s">
        <v>867</v>
      </c>
      <c r="C232" s="190">
        <v>5</v>
      </c>
      <c r="D232" s="190">
        <v>5</v>
      </c>
      <c r="E232" s="190">
        <v>0</v>
      </c>
      <c r="F232" s="190">
        <v>5</v>
      </c>
      <c r="G232" s="190">
        <v>10</v>
      </c>
      <c r="H232" s="190">
        <v>0</v>
      </c>
      <c r="I232" s="190">
        <v>0</v>
      </c>
    </row>
    <row r="233" spans="1:9" ht="12.75">
      <c r="A233" s="190" t="s">
        <v>29</v>
      </c>
      <c r="B233" s="191" t="s">
        <v>868</v>
      </c>
      <c r="C233" s="190">
        <v>0</v>
      </c>
      <c r="D233" s="190">
        <v>0</v>
      </c>
      <c r="E233" s="190">
        <v>0</v>
      </c>
      <c r="F233" s="190">
        <v>5</v>
      </c>
      <c r="G233" s="190">
        <v>30</v>
      </c>
      <c r="H233" s="190">
        <v>0</v>
      </c>
      <c r="I233" s="190">
        <v>0</v>
      </c>
    </row>
    <row r="234" spans="1:9" ht="12.75">
      <c r="A234" s="190" t="s">
        <v>31</v>
      </c>
      <c r="B234" s="191" t="s">
        <v>860</v>
      </c>
      <c r="C234" s="190">
        <v>5</v>
      </c>
      <c r="D234" s="190">
        <v>5</v>
      </c>
      <c r="E234" s="190">
        <v>0</v>
      </c>
      <c r="F234" s="190">
        <v>0</v>
      </c>
      <c r="G234" s="190">
        <v>0</v>
      </c>
      <c r="H234" s="190">
        <v>10</v>
      </c>
      <c r="I234" s="190">
        <v>0</v>
      </c>
    </row>
    <row r="235" spans="1:9" ht="12.75">
      <c r="A235" s="190" t="s">
        <v>31</v>
      </c>
      <c r="B235" s="191" t="s">
        <v>861</v>
      </c>
      <c r="C235" s="190">
        <v>5</v>
      </c>
      <c r="D235" s="190">
        <v>5</v>
      </c>
      <c r="E235" s="190">
        <v>0</v>
      </c>
      <c r="F235" s="190">
        <v>0</v>
      </c>
      <c r="G235" s="190">
        <v>0</v>
      </c>
      <c r="H235" s="190">
        <v>10</v>
      </c>
      <c r="I235" s="190">
        <v>0</v>
      </c>
    </row>
    <row r="236" spans="1:9" ht="12.75">
      <c r="A236" s="190" t="s">
        <v>31</v>
      </c>
      <c r="B236" s="191" t="s">
        <v>862</v>
      </c>
      <c r="C236" s="190">
        <v>5</v>
      </c>
      <c r="D236" s="190">
        <v>5</v>
      </c>
      <c r="E236" s="190">
        <v>0</v>
      </c>
      <c r="F236" s="190">
        <v>0</v>
      </c>
      <c r="G236" s="190">
        <v>0</v>
      </c>
      <c r="H236" s="190">
        <v>10</v>
      </c>
      <c r="I236" s="190">
        <v>0</v>
      </c>
    </row>
    <row r="237" spans="1:9" ht="12.75">
      <c r="A237" s="190" t="s">
        <v>31</v>
      </c>
      <c r="B237" s="191" t="s">
        <v>863</v>
      </c>
      <c r="C237" s="190">
        <v>5</v>
      </c>
      <c r="D237" s="190">
        <v>5</v>
      </c>
      <c r="E237" s="190">
        <v>0</v>
      </c>
      <c r="F237" s="190">
        <v>0</v>
      </c>
      <c r="G237" s="190">
        <v>0</v>
      </c>
      <c r="H237" s="190">
        <v>10</v>
      </c>
      <c r="I237" s="190">
        <v>0</v>
      </c>
    </row>
    <row r="238" spans="1:9" ht="12.75">
      <c r="A238" s="190" t="s">
        <v>31</v>
      </c>
      <c r="B238" s="191" t="s">
        <v>864</v>
      </c>
      <c r="C238" s="190">
        <v>5</v>
      </c>
      <c r="D238" s="190">
        <v>5</v>
      </c>
      <c r="E238" s="190">
        <v>0</v>
      </c>
      <c r="F238" s="190">
        <v>0</v>
      </c>
      <c r="G238" s="190">
        <v>0</v>
      </c>
      <c r="H238" s="190">
        <v>10</v>
      </c>
      <c r="I238" s="190">
        <v>0</v>
      </c>
    </row>
    <row r="239" spans="1:9" ht="12.75">
      <c r="A239" s="190" t="s">
        <v>31</v>
      </c>
      <c r="B239" s="191" t="s">
        <v>865</v>
      </c>
      <c r="C239" s="190">
        <v>5</v>
      </c>
      <c r="D239" s="190">
        <v>5</v>
      </c>
      <c r="E239" s="190">
        <v>0</v>
      </c>
      <c r="F239" s="190">
        <v>0</v>
      </c>
      <c r="G239" s="190">
        <v>0</v>
      </c>
      <c r="H239" s="190">
        <v>10</v>
      </c>
      <c r="I239" s="190">
        <v>0</v>
      </c>
    </row>
    <row r="240" spans="1:9" ht="12.75">
      <c r="A240" s="190" t="s">
        <v>31</v>
      </c>
      <c r="B240" s="191" t="s">
        <v>866</v>
      </c>
      <c r="C240" s="190">
        <v>0</v>
      </c>
      <c r="D240" s="190">
        <v>5</v>
      </c>
      <c r="E240" s="190">
        <v>0</v>
      </c>
      <c r="F240" s="190">
        <v>0</v>
      </c>
      <c r="G240" s="190">
        <v>0</v>
      </c>
      <c r="H240" s="190">
        <v>10</v>
      </c>
      <c r="I240" s="190">
        <v>0</v>
      </c>
    </row>
    <row r="241" spans="1:9" ht="12.75">
      <c r="A241" s="190" t="s">
        <v>31</v>
      </c>
      <c r="B241" s="191" t="s">
        <v>867</v>
      </c>
      <c r="C241" s="190">
        <v>5</v>
      </c>
      <c r="D241" s="190">
        <v>5</v>
      </c>
      <c r="E241" s="190">
        <v>0</v>
      </c>
      <c r="F241" s="190">
        <v>0</v>
      </c>
      <c r="G241" s="190">
        <v>0</v>
      </c>
      <c r="H241" s="190">
        <v>10</v>
      </c>
      <c r="I241" s="190">
        <v>0</v>
      </c>
    </row>
    <row r="242" spans="1:9" ht="12.75">
      <c r="A242" s="190" t="s">
        <v>31</v>
      </c>
      <c r="B242" s="191" t="s">
        <v>868</v>
      </c>
      <c r="C242" s="190">
        <v>0</v>
      </c>
      <c r="D242" s="190">
        <v>0</v>
      </c>
      <c r="E242" s="190">
        <v>0</v>
      </c>
      <c r="F242" s="190">
        <v>0</v>
      </c>
      <c r="G242" s="190">
        <v>0</v>
      </c>
      <c r="H242" s="190">
        <v>35</v>
      </c>
      <c r="I242" s="190">
        <v>0</v>
      </c>
    </row>
    <row r="243" spans="1:9" ht="12.75">
      <c r="A243" s="190" t="s">
        <v>24</v>
      </c>
      <c r="B243" s="191" t="s">
        <v>860</v>
      </c>
      <c r="C243" s="190">
        <v>5</v>
      </c>
      <c r="D243" s="190">
        <v>5</v>
      </c>
      <c r="E243" s="190">
        <v>5</v>
      </c>
      <c r="F243" s="190">
        <v>0</v>
      </c>
      <c r="G243" s="190">
        <v>0</v>
      </c>
      <c r="H243" s="190">
        <v>10</v>
      </c>
      <c r="I243" s="190">
        <v>0</v>
      </c>
    </row>
    <row r="244" spans="1:9" ht="12.75">
      <c r="A244" s="190" t="s">
        <v>24</v>
      </c>
      <c r="B244" s="191" t="s">
        <v>861</v>
      </c>
      <c r="C244" s="190">
        <v>5</v>
      </c>
      <c r="D244" s="190">
        <v>5</v>
      </c>
      <c r="E244" s="190">
        <v>5</v>
      </c>
      <c r="F244" s="190">
        <v>0</v>
      </c>
      <c r="G244" s="190">
        <v>0</v>
      </c>
      <c r="H244" s="190">
        <v>10</v>
      </c>
      <c r="I244" s="190">
        <v>0</v>
      </c>
    </row>
    <row r="245" spans="1:9" ht="12.75">
      <c r="A245" s="190" t="s">
        <v>24</v>
      </c>
      <c r="B245" s="191" t="s">
        <v>862</v>
      </c>
      <c r="C245" s="190">
        <v>5</v>
      </c>
      <c r="D245" s="190">
        <v>5</v>
      </c>
      <c r="E245" s="190">
        <v>5</v>
      </c>
      <c r="F245" s="190">
        <v>0</v>
      </c>
      <c r="G245" s="190">
        <v>0</v>
      </c>
      <c r="H245" s="190">
        <v>10</v>
      </c>
      <c r="I245" s="190">
        <v>0</v>
      </c>
    </row>
    <row r="246" spans="1:9" ht="12.75">
      <c r="A246" s="190" t="s">
        <v>24</v>
      </c>
      <c r="B246" s="191" t="s">
        <v>863</v>
      </c>
      <c r="C246" s="190">
        <v>5</v>
      </c>
      <c r="D246" s="190">
        <v>5</v>
      </c>
      <c r="E246" s="190">
        <v>5</v>
      </c>
      <c r="F246" s="190">
        <v>0</v>
      </c>
      <c r="G246" s="190">
        <v>0</v>
      </c>
      <c r="H246" s="190">
        <v>10</v>
      </c>
      <c r="I246" s="190">
        <v>0</v>
      </c>
    </row>
    <row r="247" spans="1:9" ht="12.75">
      <c r="A247" s="190" t="s">
        <v>24</v>
      </c>
      <c r="B247" s="191" t="s">
        <v>864</v>
      </c>
      <c r="C247" s="190">
        <v>5</v>
      </c>
      <c r="D247" s="190">
        <v>5</v>
      </c>
      <c r="E247" s="190">
        <v>5</v>
      </c>
      <c r="F247" s="190">
        <v>0</v>
      </c>
      <c r="G247" s="190">
        <v>0</v>
      </c>
      <c r="H247" s="190">
        <v>10</v>
      </c>
      <c r="I247" s="190">
        <v>0</v>
      </c>
    </row>
    <row r="248" spans="1:9" ht="12.75">
      <c r="A248" s="190" t="s">
        <v>24</v>
      </c>
      <c r="B248" s="191" t="s">
        <v>865</v>
      </c>
      <c r="C248" s="190">
        <v>5</v>
      </c>
      <c r="D248" s="190">
        <v>5</v>
      </c>
      <c r="E248" s="190">
        <v>5</v>
      </c>
      <c r="F248" s="190">
        <v>0</v>
      </c>
      <c r="G248" s="190">
        <v>0</v>
      </c>
      <c r="H248" s="190">
        <v>10</v>
      </c>
      <c r="I248" s="190">
        <v>0</v>
      </c>
    </row>
    <row r="249" spans="1:9" ht="12.75">
      <c r="A249" s="190" t="s">
        <v>24</v>
      </c>
      <c r="B249" s="191" t="s">
        <v>866</v>
      </c>
      <c r="C249" s="190">
        <v>0</v>
      </c>
      <c r="D249" s="190">
        <v>5</v>
      </c>
      <c r="E249" s="190">
        <v>5</v>
      </c>
      <c r="F249" s="190">
        <v>0</v>
      </c>
      <c r="G249" s="190">
        <v>0</v>
      </c>
      <c r="H249" s="190">
        <v>10</v>
      </c>
      <c r="I249" s="190">
        <v>0</v>
      </c>
    </row>
    <row r="250" spans="1:9" ht="12.75">
      <c r="A250" s="190" t="s">
        <v>24</v>
      </c>
      <c r="B250" s="191" t="s">
        <v>867</v>
      </c>
      <c r="C250" s="190">
        <v>5</v>
      </c>
      <c r="D250" s="190">
        <v>5</v>
      </c>
      <c r="E250" s="190">
        <v>5</v>
      </c>
      <c r="F250" s="190">
        <v>0</v>
      </c>
      <c r="G250" s="190">
        <v>0</v>
      </c>
      <c r="H250" s="190">
        <v>10</v>
      </c>
      <c r="I250" s="190">
        <v>0</v>
      </c>
    </row>
    <row r="251" spans="1:9" ht="12.75">
      <c r="A251" s="190" t="s">
        <v>24</v>
      </c>
      <c r="B251" s="191" t="s">
        <v>868</v>
      </c>
      <c r="C251" s="190">
        <v>0</v>
      </c>
      <c r="D251" s="190">
        <v>0</v>
      </c>
      <c r="E251" s="190">
        <v>0</v>
      </c>
      <c r="F251" s="190">
        <v>0</v>
      </c>
      <c r="G251" s="190">
        <v>0</v>
      </c>
      <c r="H251" s="190">
        <v>35</v>
      </c>
      <c r="I251" s="190">
        <v>0</v>
      </c>
    </row>
    <row r="252" spans="1:9" ht="12.75">
      <c r="A252" s="190" t="s">
        <v>25</v>
      </c>
      <c r="B252" s="191" t="s">
        <v>860</v>
      </c>
      <c r="C252" s="190">
        <v>5</v>
      </c>
      <c r="D252" s="190">
        <v>5</v>
      </c>
      <c r="E252" s="190">
        <v>5</v>
      </c>
      <c r="F252" s="190">
        <v>0</v>
      </c>
      <c r="G252" s="190">
        <v>0</v>
      </c>
      <c r="H252" s="190">
        <v>10</v>
      </c>
      <c r="I252" s="190">
        <v>0</v>
      </c>
    </row>
    <row r="253" spans="1:9" ht="12.75">
      <c r="A253" s="190" t="s">
        <v>25</v>
      </c>
      <c r="B253" s="191" t="s">
        <v>861</v>
      </c>
      <c r="C253" s="190">
        <v>5</v>
      </c>
      <c r="D253" s="190">
        <v>5</v>
      </c>
      <c r="E253" s="190">
        <v>5</v>
      </c>
      <c r="F253" s="190">
        <v>0</v>
      </c>
      <c r="G253" s="190">
        <v>0</v>
      </c>
      <c r="H253" s="190">
        <v>10</v>
      </c>
      <c r="I253" s="190">
        <v>0</v>
      </c>
    </row>
    <row r="254" spans="1:9" ht="12.75">
      <c r="A254" s="190" t="s">
        <v>25</v>
      </c>
      <c r="B254" s="191" t="s">
        <v>862</v>
      </c>
      <c r="C254" s="190">
        <v>5</v>
      </c>
      <c r="D254" s="190">
        <v>5</v>
      </c>
      <c r="E254" s="190">
        <v>5</v>
      </c>
      <c r="F254" s="190">
        <v>0</v>
      </c>
      <c r="G254" s="190">
        <v>0</v>
      </c>
      <c r="H254" s="190">
        <v>10</v>
      </c>
      <c r="I254" s="190">
        <v>0</v>
      </c>
    </row>
    <row r="255" spans="1:9" ht="12.75">
      <c r="A255" s="190" t="s">
        <v>25</v>
      </c>
      <c r="B255" s="191" t="s">
        <v>863</v>
      </c>
      <c r="C255" s="190">
        <v>5</v>
      </c>
      <c r="D255" s="190">
        <v>5</v>
      </c>
      <c r="E255" s="190">
        <v>5</v>
      </c>
      <c r="F255" s="190">
        <v>0</v>
      </c>
      <c r="G255" s="190">
        <v>0</v>
      </c>
      <c r="H255" s="190">
        <v>10</v>
      </c>
      <c r="I255" s="190">
        <v>0</v>
      </c>
    </row>
    <row r="256" spans="1:9" ht="12.75">
      <c r="A256" s="190" t="s">
        <v>25</v>
      </c>
      <c r="B256" s="191" t="s">
        <v>864</v>
      </c>
      <c r="C256" s="190">
        <v>5</v>
      </c>
      <c r="D256" s="190">
        <v>5</v>
      </c>
      <c r="E256" s="190">
        <v>5</v>
      </c>
      <c r="F256" s="190">
        <v>0</v>
      </c>
      <c r="G256" s="190">
        <v>0</v>
      </c>
      <c r="H256" s="190">
        <v>10</v>
      </c>
      <c r="I256" s="190">
        <v>0</v>
      </c>
    </row>
    <row r="257" spans="1:9" ht="12.75">
      <c r="A257" s="190" t="s">
        <v>25</v>
      </c>
      <c r="B257" s="191" t="s">
        <v>865</v>
      </c>
      <c r="C257" s="190">
        <v>5</v>
      </c>
      <c r="D257" s="190">
        <v>5</v>
      </c>
      <c r="E257" s="190">
        <v>5</v>
      </c>
      <c r="F257" s="190">
        <v>0</v>
      </c>
      <c r="G257" s="190">
        <v>0</v>
      </c>
      <c r="H257" s="190">
        <v>10</v>
      </c>
      <c r="I257" s="190">
        <v>0</v>
      </c>
    </row>
    <row r="258" spans="1:9" ht="12.75">
      <c r="A258" s="190" t="s">
        <v>25</v>
      </c>
      <c r="B258" s="191" t="s">
        <v>866</v>
      </c>
      <c r="C258" s="190">
        <v>0</v>
      </c>
      <c r="D258" s="190">
        <v>5</v>
      </c>
      <c r="E258" s="190">
        <v>5</v>
      </c>
      <c r="F258" s="190">
        <v>0</v>
      </c>
      <c r="G258" s="190">
        <v>0</v>
      </c>
      <c r="H258" s="190">
        <v>10</v>
      </c>
      <c r="I258" s="190">
        <v>0</v>
      </c>
    </row>
    <row r="259" spans="1:9" ht="12.75">
      <c r="A259" s="190" t="s">
        <v>25</v>
      </c>
      <c r="B259" s="191" t="s">
        <v>867</v>
      </c>
      <c r="C259" s="190">
        <v>5</v>
      </c>
      <c r="D259" s="190">
        <v>5</v>
      </c>
      <c r="E259" s="190">
        <v>5</v>
      </c>
      <c r="F259" s="190">
        <v>0</v>
      </c>
      <c r="G259" s="190">
        <v>0</v>
      </c>
      <c r="H259" s="190">
        <v>10</v>
      </c>
      <c r="I259" s="190">
        <v>0</v>
      </c>
    </row>
    <row r="260" spans="1:9" ht="12.75">
      <c r="A260" s="190" t="s">
        <v>25</v>
      </c>
      <c r="B260" s="191" t="s">
        <v>868</v>
      </c>
      <c r="C260" s="190">
        <v>0</v>
      </c>
      <c r="D260" s="190">
        <v>0</v>
      </c>
      <c r="E260" s="190">
        <v>0</v>
      </c>
      <c r="F260" s="190">
        <v>0</v>
      </c>
      <c r="G260" s="190">
        <v>0</v>
      </c>
      <c r="H260" s="190">
        <v>35</v>
      </c>
      <c r="I260" s="190">
        <v>0</v>
      </c>
    </row>
    <row r="261" spans="1:9" ht="12.75">
      <c r="A261" s="190" t="s">
        <v>137</v>
      </c>
      <c r="B261" s="191" t="s">
        <v>860</v>
      </c>
      <c r="C261" s="190">
        <v>5</v>
      </c>
      <c r="D261" s="190">
        <v>5</v>
      </c>
      <c r="E261" s="190">
        <v>0</v>
      </c>
      <c r="F261" s="190">
        <v>0</v>
      </c>
      <c r="G261" s="190">
        <v>0</v>
      </c>
      <c r="H261" s="190">
        <v>10</v>
      </c>
      <c r="I261" s="190">
        <v>0</v>
      </c>
    </row>
    <row r="262" spans="1:9" ht="12.75">
      <c r="A262" s="190" t="s">
        <v>137</v>
      </c>
      <c r="B262" s="191" t="s">
        <v>861</v>
      </c>
      <c r="C262" s="190">
        <v>5</v>
      </c>
      <c r="D262" s="190">
        <v>5</v>
      </c>
      <c r="E262" s="190">
        <v>0</v>
      </c>
      <c r="F262" s="190">
        <v>0</v>
      </c>
      <c r="G262" s="190">
        <v>0</v>
      </c>
      <c r="H262" s="190">
        <v>10</v>
      </c>
      <c r="I262" s="190">
        <v>0</v>
      </c>
    </row>
    <row r="263" spans="1:9" ht="12.75">
      <c r="A263" s="190" t="s">
        <v>137</v>
      </c>
      <c r="B263" s="191" t="s">
        <v>862</v>
      </c>
      <c r="C263" s="190">
        <v>5</v>
      </c>
      <c r="D263" s="190">
        <v>5</v>
      </c>
      <c r="E263" s="190">
        <v>0</v>
      </c>
      <c r="F263" s="190">
        <v>0</v>
      </c>
      <c r="G263" s="190">
        <v>0</v>
      </c>
      <c r="H263" s="190">
        <v>10</v>
      </c>
      <c r="I263" s="190">
        <v>0</v>
      </c>
    </row>
    <row r="264" spans="1:9" ht="12.75">
      <c r="A264" s="190" t="s">
        <v>137</v>
      </c>
      <c r="B264" s="191" t="s">
        <v>863</v>
      </c>
      <c r="C264" s="190">
        <v>5</v>
      </c>
      <c r="D264" s="190">
        <v>5</v>
      </c>
      <c r="E264" s="190">
        <v>0</v>
      </c>
      <c r="F264" s="190">
        <v>0</v>
      </c>
      <c r="G264" s="190">
        <v>0</v>
      </c>
      <c r="H264" s="190">
        <v>10</v>
      </c>
      <c r="I264" s="190">
        <v>0</v>
      </c>
    </row>
    <row r="265" spans="1:9" ht="12.75">
      <c r="A265" s="190" t="s">
        <v>137</v>
      </c>
      <c r="B265" s="191" t="s">
        <v>864</v>
      </c>
      <c r="C265" s="190">
        <v>5</v>
      </c>
      <c r="D265" s="190">
        <v>5</v>
      </c>
      <c r="E265" s="190">
        <v>0</v>
      </c>
      <c r="F265" s="190">
        <v>0</v>
      </c>
      <c r="G265" s="190">
        <v>0</v>
      </c>
      <c r="H265" s="190">
        <v>10</v>
      </c>
      <c r="I265" s="190">
        <v>0</v>
      </c>
    </row>
    <row r="266" spans="1:9" ht="12.75">
      <c r="A266" s="190" t="s">
        <v>137</v>
      </c>
      <c r="B266" s="191" t="s">
        <v>865</v>
      </c>
      <c r="C266" s="190">
        <v>5</v>
      </c>
      <c r="D266" s="190">
        <v>5</v>
      </c>
      <c r="E266" s="190">
        <v>0</v>
      </c>
      <c r="F266" s="190">
        <v>0</v>
      </c>
      <c r="G266" s="190">
        <v>0</v>
      </c>
      <c r="H266" s="190">
        <v>10</v>
      </c>
      <c r="I266" s="190">
        <v>0</v>
      </c>
    </row>
    <row r="267" spans="1:9" ht="12.75">
      <c r="A267" s="190" t="s">
        <v>137</v>
      </c>
      <c r="B267" s="191" t="s">
        <v>866</v>
      </c>
      <c r="C267" s="190">
        <v>0</v>
      </c>
      <c r="D267" s="190">
        <v>5</v>
      </c>
      <c r="E267" s="190">
        <v>0</v>
      </c>
      <c r="F267" s="190">
        <v>0</v>
      </c>
      <c r="G267" s="190">
        <v>0</v>
      </c>
      <c r="H267" s="190">
        <v>10</v>
      </c>
      <c r="I267" s="190">
        <v>0</v>
      </c>
    </row>
    <row r="268" spans="1:9" ht="12.75">
      <c r="A268" s="190" t="s">
        <v>137</v>
      </c>
      <c r="B268" s="191" t="s">
        <v>867</v>
      </c>
      <c r="C268" s="190">
        <v>5</v>
      </c>
      <c r="D268" s="190">
        <v>5</v>
      </c>
      <c r="E268" s="190">
        <v>0</v>
      </c>
      <c r="F268" s="190">
        <v>0</v>
      </c>
      <c r="G268" s="190">
        <v>0</v>
      </c>
      <c r="H268" s="190">
        <v>10</v>
      </c>
      <c r="I268" s="190">
        <v>0</v>
      </c>
    </row>
    <row r="269" spans="1:9" ht="12.75">
      <c r="A269" s="190" t="s">
        <v>137</v>
      </c>
      <c r="B269" s="191" t="s">
        <v>868</v>
      </c>
      <c r="C269" s="190">
        <v>0</v>
      </c>
      <c r="D269" s="190">
        <v>0</v>
      </c>
      <c r="E269" s="190">
        <v>0</v>
      </c>
      <c r="F269" s="190">
        <v>0</v>
      </c>
      <c r="G269" s="190">
        <v>0</v>
      </c>
      <c r="H269" s="190">
        <v>35</v>
      </c>
      <c r="I269" s="190">
        <v>0</v>
      </c>
    </row>
    <row r="270" spans="1:9" ht="12.75">
      <c r="A270" s="192"/>
      <c r="B270" s="192" t="s">
        <v>869</v>
      </c>
      <c r="C270" s="193">
        <v>35</v>
      </c>
      <c r="D270" s="193">
        <v>40</v>
      </c>
      <c r="E270" s="193">
        <v>0</v>
      </c>
      <c r="F270" s="193">
        <v>0</v>
      </c>
      <c r="G270" s="193">
        <v>0</v>
      </c>
      <c r="H270" s="193">
        <v>115</v>
      </c>
      <c r="I270" s="193">
        <v>0</v>
      </c>
    </row>
    <row r="271" spans="1:9" ht="12.75">
      <c r="A271" s="194"/>
      <c r="B271" s="194" t="s">
        <v>870</v>
      </c>
      <c r="C271" s="195">
        <v>7</v>
      </c>
      <c r="D271" s="195">
        <v>8</v>
      </c>
      <c r="E271" s="195">
        <v>0</v>
      </c>
      <c r="F271" s="195">
        <v>0</v>
      </c>
      <c r="G271" s="195">
        <v>0</v>
      </c>
      <c r="H271" s="195">
        <v>9</v>
      </c>
      <c r="I271" s="195">
        <v>0</v>
      </c>
    </row>
    <row r="272" spans="1:9" ht="15">
      <c r="A272" s="187"/>
      <c r="B272" s="186"/>
      <c r="C272" s="186"/>
      <c r="D272" s="186"/>
      <c r="E272" s="186"/>
      <c r="F272" s="186"/>
      <c r="G272" s="186"/>
      <c r="H272" s="186"/>
      <c r="I272" s="186"/>
    </row>
    <row r="273" spans="1:9" ht="15">
      <c r="A273" s="187"/>
      <c r="B273" s="186"/>
      <c r="C273" s="186"/>
      <c r="D273" s="186"/>
      <c r="E273" s="186"/>
      <c r="F273" s="186"/>
      <c r="G273" s="186"/>
      <c r="H273" s="186"/>
      <c r="I273" s="186"/>
    </row>
    <row r="274" spans="1:9" ht="15">
      <c r="A274" s="196"/>
      <c r="B274" s="186"/>
      <c r="C274" s="186"/>
      <c r="D274" s="186"/>
      <c r="E274" s="186"/>
      <c r="F274" s="186"/>
      <c r="G274" s="186"/>
      <c r="H274" s="186"/>
      <c r="I274" s="186"/>
    </row>
  </sheetData>
  <mergeCells count="6">
    <mergeCell ref="B44:G44"/>
    <mergeCell ref="C8:H8"/>
    <mergeCell ref="C18:H18"/>
    <mergeCell ref="C19:H19"/>
    <mergeCell ref="C30:H30"/>
    <mergeCell ref="C43:F43"/>
  </mergeCells>
  <conditionalFormatting sqref="C10:H16 C21:H27 C32:H38">
    <cfRule type="containsText" dxfId="1" priority="1" operator="containsText" text="Yes">
      <formula>NOT(ISERROR(SEARCH(("Yes"),(C10))))</formula>
    </cfRule>
  </conditionalFormatting>
  <conditionalFormatting sqref="C21:H27 C32:H38">
    <cfRule type="cellIs" dxfId="0" priority="2"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J26"/>
  <sheetViews>
    <sheetView workbookViewId="0">
      <pane ySplit="1" topLeftCell="A2" activePane="bottomLeft" state="frozen"/>
      <selection pane="bottomLeft" activeCell="B3" sqref="B3"/>
    </sheetView>
  </sheetViews>
  <sheetFormatPr defaultColWidth="12.5703125" defaultRowHeight="15.75" customHeight="1"/>
  <cols>
    <col min="3" max="3" width="21" customWidth="1"/>
    <col min="4" max="4" width="20.42578125" customWidth="1"/>
    <col min="5" max="5" width="27.85546875" customWidth="1"/>
    <col min="6" max="6" width="26" customWidth="1"/>
    <col min="7" max="7" width="27.28515625" customWidth="1"/>
    <col min="8" max="10" width="42" customWidth="1"/>
  </cols>
  <sheetData>
    <row r="1" spans="1:10" ht="17.25">
      <c r="A1" s="197" t="s">
        <v>744</v>
      </c>
      <c r="B1" s="197" t="s">
        <v>871</v>
      </c>
      <c r="C1" s="197" t="s">
        <v>872</v>
      </c>
      <c r="D1" s="198" t="s">
        <v>873</v>
      </c>
      <c r="E1" s="198" t="s">
        <v>874</v>
      </c>
      <c r="F1" s="198" t="s">
        <v>875</v>
      </c>
      <c r="G1" s="199" t="s">
        <v>876</v>
      </c>
      <c r="H1" s="199" t="s">
        <v>877</v>
      </c>
      <c r="I1" s="199" t="s">
        <v>878</v>
      </c>
      <c r="J1" s="199" t="s">
        <v>879</v>
      </c>
    </row>
    <row r="2" spans="1:10" ht="12.75">
      <c r="A2" s="200" t="s">
        <v>880</v>
      </c>
      <c r="B2" s="200" t="s">
        <v>881</v>
      </c>
      <c r="C2" s="201" t="s">
        <v>173</v>
      </c>
      <c r="D2" s="151">
        <v>792029716</v>
      </c>
      <c r="E2" s="151">
        <v>792029716</v>
      </c>
      <c r="F2" s="146" t="s">
        <v>882</v>
      </c>
      <c r="G2" s="151"/>
      <c r="H2" s="151"/>
      <c r="I2" s="151"/>
      <c r="J2" s="146"/>
    </row>
    <row r="3" spans="1:10" ht="12.75">
      <c r="A3" s="200" t="s">
        <v>883</v>
      </c>
      <c r="B3" s="200" t="s">
        <v>884</v>
      </c>
      <c r="C3" s="201" t="s">
        <v>125</v>
      </c>
      <c r="D3" s="151">
        <v>772550887</v>
      </c>
      <c r="E3" s="151">
        <v>729046321</v>
      </c>
      <c r="F3" s="146" t="s">
        <v>885</v>
      </c>
      <c r="G3" s="151" t="s">
        <v>93</v>
      </c>
      <c r="H3" s="151" t="s">
        <v>93</v>
      </c>
      <c r="I3" s="151" t="s">
        <v>93</v>
      </c>
      <c r="J3" s="146" t="s">
        <v>886</v>
      </c>
    </row>
    <row r="4" spans="1:10" ht="12.75">
      <c r="A4" s="200" t="s">
        <v>883</v>
      </c>
      <c r="B4" s="200" t="s">
        <v>884</v>
      </c>
      <c r="C4" s="201" t="s">
        <v>132</v>
      </c>
      <c r="D4" s="151"/>
      <c r="E4" s="151"/>
      <c r="F4" s="146"/>
      <c r="G4" s="151" t="s">
        <v>93</v>
      </c>
      <c r="H4" s="151" t="s">
        <v>93</v>
      </c>
      <c r="I4" s="151" t="s">
        <v>93</v>
      </c>
      <c r="J4" s="146" t="s">
        <v>887</v>
      </c>
    </row>
    <row r="5" spans="1:10" ht="12.75">
      <c r="A5" s="200" t="s">
        <v>883</v>
      </c>
      <c r="B5" s="200" t="s">
        <v>884</v>
      </c>
      <c r="C5" s="201" t="s">
        <v>283</v>
      </c>
      <c r="D5" s="151"/>
      <c r="E5" s="151"/>
      <c r="F5" s="146"/>
      <c r="G5" s="202" t="s">
        <v>91</v>
      </c>
      <c r="H5" s="202" t="s">
        <v>91</v>
      </c>
      <c r="I5" s="151" t="s">
        <v>888</v>
      </c>
      <c r="J5" s="146"/>
    </row>
    <row r="6" spans="1:10" ht="12.75">
      <c r="A6" s="200" t="s">
        <v>889</v>
      </c>
      <c r="B6" s="200" t="s">
        <v>890</v>
      </c>
      <c r="C6" s="201" t="s">
        <v>134</v>
      </c>
      <c r="D6" s="151">
        <v>706006232</v>
      </c>
      <c r="E6" s="151">
        <v>790664743</v>
      </c>
      <c r="F6" s="146" t="s">
        <v>891</v>
      </c>
      <c r="G6" s="151" t="s">
        <v>888</v>
      </c>
      <c r="H6" s="151" t="s">
        <v>888</v>
      </c>
      <c r="I6" s="151" t="s">
        <v>888</v>
      </c>
      <c r="J6" s="146" t="s">
        <v>892</v>
      </c>
    </row>
    <row r="7" spans="1:10" ht="12.75">
      <c r="A7" s="200" t="s">
        <v>889</v>
      </c>
      <c r="B7" s="200" t="s">
        <v>890</v>
      </c>
      <c r="C7" s="201" t="s">
        <v>32</v>
      </c>
      <c r="D7" s="151"/>
      <c r="E7" s="151"/>
      <c r="F7" s="146"/>
      <c r="G7" s="202" t="s">
        <v>91</v>
      </c>
      <c r="H7" s="202" t="s">
        <v>91</v>
      </c>
      <c r="I7" s="202" t="s">
        <v>91</v>
      </c>
      <c r="J7" s="146" t="s">
        <v>893</v>
      </c>
    </row>
    <row r="8" spans="1:10" ht="12.75">
      <c r="A8" s="200" t="s">
        <v>889</v>
      </c>
      <c r="B8" s="200" t="s">
        <v>890</v>
      </c>
      <c r="C8" s="201" t="s">
        <v>137</v>
      </c>
      <c r="D8" s="151"/>
      <c r="E8" s="151"/>
      <c r="F8" s="146"/>
      <c r="G8" s="151"/>
      <c r="H8" s="151" t="s">
        <v>93</v>
      </c>
      <c r="I8" s="151" t="s">
        <v>93</v>
      </c>
      <c r="J8" s="146" t="s">
        <v>820</v>
      </c>
    </row>
    <row r="9" spans="1:10" ht="12.75">
      <c r="A9" s="200" t="s">
        <v>728</v>
      </c>
      <c r="B9" s="200" t="s">
        <v>894</v>
      </c>
      <c r="C9" s="201" t="s">
        <v>522</v>
      </c>
      <c r="D9" s="151">
        <v>799431908</v>
      </c>
      <c r="E9" s="151">
        <v>729147731</v>
      </c>
      <c r="F9" s="146" t="s">
        <v>895</v>
      </c>
      <c r="G9" s="202" t="s">
        <v>91</v>
      </c>
      <c r="H9" s="151" t="s">
        <v>888</v>
      </c>
      <c r="I9" s="151" t="s">
        <v>888</v>
      </c>
      <c r="J9" s="146"/>
    </row>
    <row r="10" spans="1:10" ht="12.75">
      <c r="A10" s="200" t="s">
        <v>728</v>
      </c>
      <c r="B10" s="200" t="s">
        <v>894</v>
      </c>
      <c r="C10" s="201" t="s">
        <v>35</v>
      </c>
      <c r="D10" s="151"/>
      <c r="E10" s="151"/>
      <c r="F10" s="146"/>
      <c r="G10" s="202" t="s">
        <v>91</v>
      </c>
      <c r="H10" s="202" t="s">
        <v>91</v>
      </c>
      <c r="I10" s="151" t="s">
        <v>888</v>
      </c>
      <c r="J10" s="146"/>
    </row>
    <row r="11" spans="1:10" ht="12.75">
      <c r="A11" s="200" t="s">
        <v>728</v>
      </c>
      <c r="B11" s="200" t="s">
        <v>894</v>
      </c>
      <c r="C11" s="201" t="s">
        <v>28</v>
      </c>
      <c r="D11" s="151"/>
      <c r="E11" s="151"/>
      <c r="F11" s="146"/>
      <c r="G11" s="202" t="s">
        <v>91</v>
      </c>
      <c r="H11" s="151" t="s">
        <v>888</v>
      </c>
      <c r="I11" s="203" t="s">
        <v>888</v>
      </c>
      <c r="J11" s="121" t="s">
        <v>896</v>
      </c>
    </row>
    <row r="12" spans="1:10" ht="12.75">
      <c r="A12" s="200" t="s">
        <v>897</v>
      </c>
      <c r="B12" s="200" t="s">
        <v>898</v>
      </c>
      <c r="C12" s="201" t="s">
        <v>27</v>
      </c>
      <c r="D12" s="151" t="s">
        <v>899</v>
      </c>
      <c r="E12" s="151" t="s">
        <v>899</v>
      </c>
      <c r="F12" s="146" t="s">
        <v>900</v>
      </c>
      <c r="G12" s="202" t="s">
        <v>91</v>
      </c>
      <c r="H12" s="151" t="s">
        <v>888</v>
      </c>
      <c r="I12" s="151" t="s">
        <v>888</v>
      </c>
      <c r="J12" s="146"/>
    </row>
    <row r="13" spans="1:10" ht="15" customHeight="1">
      <c r="A13" s="200" t="s">
        <v>897</v>
      </c>
      <c r="B13" s="200" t="s">
        <v>898</v>
      </c>
      <c r="C13" s="201" t="s">
        <v>129</v>
      </c>
      <c r="D13" s="151"/>
      <c r="E13" s="151"/>
      <c r="F13" s="146"/>
      <c r="G13" s="202" t="s">
        <v>91</v>
      </c>
      <c r="H13" s="151" t="s">
        <v>888</v>
      </c>
      <c r="I13" s="151" t="s">
        <v>888</v>
      </c>
      <c r="J13" s="146" t="s">
        <v>815</v>
      </c>
    </row>
    <row r="14" spans="1:10" ht="14.25" customHeight="1">
      <c r="A14" s="200" t="s">
        <v>897</v>
      </c>
      <c r="B14" s="200" t="s">
        <v>898</v>
      </c>
      <c r="C14" s="201" t="s">
        <v>25</v>
      </c>
      <c r="D14" s="151"/>
      <c r="E14" s="151"/>
      <c r="F14" s="146"/>
      <c r="G14" s="202" t="s">
        <v>91</v>
      </c>
      <c r="H14" s="151" t="s">
        <v>93</v>
      </c>
      <c r="I14" s="151" t="s">
        <v>93</v>
      </c>
      <c r="J14" s="146"/>
    </row>
    <row r="15" spans="1:10" ht="12.75">
      <c r="A15" s="200" t="s">
        <v>897</v>
      </c>
      <c r="B15" s="200" t="s">
        <v>901</v>
      </c>
      <c r="C15" s="201" t="s">
        <v>31</v>
      </c>
      <c r="D15" s="151">
        <v>794250938</v>
      </c>
      <c r="E15" s="151">
        <v>794250938</v>
      </c>
      <c r="F15" s="146" t="s">
        <v>902</v>
      </c>
      <c r="G15" s="202" t="s">
        <v>91</v>
      </c>
      <c r="H15" s="202" t="s">
        <v>91</v>
      </c>
      <c r="I15" s="202" t="s">
        <v>91</v>
      </c>
    </row>
    <row r="16" spans="1:10" ht="12.75">
      <c r="A16" s="200" t="s">
        <v>897</v>
      </c>
      <c r="B16" s="200" t="s">
        <v>901</v>
      </c>
      <c r="C16" s="201" t="s">
        <v>576</v>
      </c>
      <c r="D16" s="151"/>
      <c r="E16" s="151"/>
      <c r="F16" s="146"/>
      <c r="G16" s="202" t="s">
        <v>91</v>
      </c>
      <c r="H16" s="202" t="s">
        <v>91</v>
      </c>
      <c r="I16" s="202" t="s">
        <v>91</v>
      </c>
      <c r="J16" s="146"/>
    </row>
    <row r="17" spans="1:10" ht="12.75">
      <c r="A17" s="200" t="s">
        <v>897</v>
      </c>
      <c r="B17" s="200" t="s">
        <v>901</v>
      </c>
      <c r="C17" s="201" t="s">
        <v>30</v>
      </c>
      <c r="D17" s="151"/>
      <c r="E17" s="151"/>
      <c r="F17" s="146"/>
      <c r="G17" s="202" t="s">
        <v>91</v>
      </c>
      <c r="H17" s="202" t="s">
        <v>91</v>
      </c>
      <c r="I17" s="202" t="s">
        <v>91</v>
      </c>
    </row>
    <row r="18" spans="1:10" ht="12.75">
      <c r="A18" s="200" t="s">
        <v>903</v>
      </c>
      <c r="B18" s="200" t="s">
        <v>904</v>
      </c>
      <c r="C18" s="201" t="s">
        <v>34</v>
      </c>
      <c r="D18" s="151">
        <v>708040702</v>
      </c>
      <c r="E18" s="151">
        <v>793681669</v>
      </c>
      <c r="F18" s="146" t="s">
        <v>905</v>
      </c>
      <c r="G18" s="202" t="s">
        <v>91</v>
      </c>
      <c r="H18" s="202" t="s">
        <v>91</v>
      </c>
      <c r="I18" s="202" t="s">
        <v>91</v>
      </c>
      <c r="J18" s="146" t="s">
        <v>812</v>
      </c>
    </row>
    <row r="19" spans="1:10" ht="12.75">
      <c r="A19" s="200" t="s">
        <v>903</v>
      </c>
      <c r="B19" s="200" t="s">
        <v>904</v>
      </c>
      <c r="C19" s="204" t="s">
        <v>135</v>
      </c>
      <c r="D19" s="151"/>
      <c r="E19" s="151"/>
      <c r="F19" s="146"/>
      <c r="G19" s="202" t="s">
        <v>91</v>
      </c>
      <c r="H19" s="202" t="s">
        <v>91</v>
      </c>
      <c r="I19" s="202" t="s">
        <v>91</v>
      </c>
      <c r="J19" s="205" t="s">
        <v>811</v>
      </c>
    </row>
    <row r="20" spans="1:10" ht="12.75">
      <c r="A20" s="200" t="s">
        <v>903</v>
      </c>
      <c r="B20" s="200" t="s">
        <v>904</v>
      </c>
      <c r="C20" s="201" t="s">
        <v>29</v>
      </c>
      <c r="D20" s="151"/>
      <c r="E20" s="151"/>
      <c r="F20" s="146"/>
      <c r="G20" s="202" t="s">
        <v>91</v>
      </c>
      <c r="H20" s="202" t="s">
        <v>91</v>
      </c>
      <c r="I20" s="202" t="s">
        <v>91</v>
      </c>
      <c r="J20" s="146" t="s">
        <v>809</v>
      </c>
    </row>
    <row r="21" spans="1:10" ht="12.75">
      <c r="A21" s="200" t="s">
        <v>906</v>
      </c>
      <c r="B21" s="200" t="s">
        <v>907</v>
      </c>
      <c r="C21" s="201" t="s">
        <v>26</v>
      </c>
      <c r="D21" s="151">
        <v>789632006</v>
      </c>
      <c r="E21" s="151">
        <v>795263632</v>
      </c>
      <c r="F21" s="146" t="s">
        <v>908</v>
      </c>
      <c r="G21" s="202" t="s">
        <v>91</v>
      </c>
      <c r="H21" s="202" t="s">
        <v>91</v>
      </c>
      <c r="I21" s="202" t="s">
        <v>91</v>
      </c>
      <c r="J21" s="146" t="s">
        <v>909</v>
      </c>
    </row>
    <row r="22" spans="1:10" ht="12.75">
      <c r="A22" s="200" t="s">
        <v>906</v>
      </c>
      <c r="B22" s="200" t="s">
        <v>907</v>
      </c>
      <c r="C22" s="201" t="s">
        <v>463</v>
      </c>
      <c r="D22" s="151">
        <v>789632006</v>
      </c>
      <c r="E22" s="151">
        <v>795263632</v>
      </c>
      <c r="F22" s="146" t="s">
        <v>908</v>
      </c>
      <c r="G22" s="202" t="s">
        <v>91</v>
      </c>
      <c r="H22" s="151" t="s">
        <v>91</v>
      </c>
      <c r="I22" s="151" t="s">
        <v>888</v>
      </c>
      <c r="J22" s="146" t="s">
        <v>909</v>
      </c>
    </row>
    <row r="23" spans="1:10" ht="12.75">
      <c r="A23" s="200" t="s">
        <v>906</v>
      </c>
      <c r="B23" s="200" t="s">
        <v>907</v>
      </c>
      <c r="C23" s="201" t="s">
        <v>22</v>
      </c>
      <c r="D23" s="151">
        <v>777316003</v>
      </c>
      <c r="E23" s="151">
        <v>795263632</v>
      </c>
      <c r="F23" s="146" t="s">
        <v>908</v>
      </c>
      <c r="G23" s="202" t="s">
        <v>91</v>
      </c>
      <c r="H23" s="202" t="s">
        <v>91</v>
      </c>
      <c r="I23" s="151" t="s">
        <v>91</v>
      </c>
      <c r="J23" s="146" t="s">
        <v>909</v>
      </c>
    </row>
    <row r="24" spans="1:10" ht="12.75">
      <c r="A24" s="200" t="s">
        <v>910</v>
      </c>
      <c r="B24" s="200" t="s">
        <v>512</v>
      </c>
      <c r="C24" s="201" t="s">
        <v>21</v>
      </c>
      <c r="D24" s="151">
        <v>795055499</v>
      </c>
      <c r="E24" s="151">
        <v>795055499</v>
      </c>
      <c r="F24" s="146" t="s">
        <v>911</v>
      </c>
      <c r="G24" s="202" t="s">
        <v>91</v>
      </c>
      <c r="H24" s="151" t="s">
        <v>888</v>
      </c>
      <c r="I24" s="151" t="s">
        <v>888</v>
      </c>
      <c r="J24" s="146" t="s">
        <v>912</v>
      </c>
    </row>
    <row r="25" spans="1:10" ht="12.75">
      <c r="A25" s="200" t="s">
        <v>910</v>
      </c>
      <c r="B25" s="200" t="s">
        <v>512</v>
      </c>
      <c r="C25" s="201" t="s">
        <v>481</v>
      </c>
      <c r="D25" s="151"/>
      <c r="E25" s="151"/>
      <c r="F25" s="146"/>
      <c r="G25" s="202" t="s">
        <v>91</v>
      </c>
      <c r="H25" s="202" t="s">
        <v>91</v>
      </c>
      <c r="I25" s="202" t="s">
        <v>91</v>
      </c>
      <c r="J25" s="146" t="s">
        <v>913</v>
      </c>
    </row>
    <row r="26" spans="1:10" ht="12.75">
      <c r="A26" s="200" t="s">
        <v>910</v>
      </c>
      <c r="B26" s="200" t="s">
        <v>512</v>
      </c>
      <c r="C26" s="201" t="s">
        <v>20</v>
      </c>
      <c r="D26" s="151"/>
      <c r="E26" s="151"/>
      <c r="F26" s="146"/>
      <c r="G26" s="202" t="s">
        <v>91</v>
      </c>
      <c r="H26" s="202" t="s">
        <v>91</v>
      </c>
      <c r="I26" s="202" t="s">
        <v>91</v>
      </c>
      <c r="J26" s="146" t="s">
        <v>913</v>
      </c>
    </row>
  </sheetData>
  <dataValidations count="1">
    <dataValidation type="list" allowBlank="1" showErrorMessage="1" sqref="G2:I26" xr:uid="{00000000-0002-0000-0A00-000000000000}">
      <formula1>"Completed,Not Completed,Under Process"</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J217"/>
  <sheetViews>
    <sheetView workbookViewId="0">
      <pane ySplit="1" topLeftCell="A2" activePane="bottomLeft" state="frozen"/>
      <selection pane="bottomLeft" activeCell="B3" sqref="B3"/>
    </sheetView>
  </sheetViews>
  <sheetFormatPr defaultColWidth="12.5703125" defaultRowHeight="15.75" customHeight="1"/>
  <cols>
    <col min="1" max="1" width="18.7109375" customWidth="1"/>
    <col min="2" max="2" width="16" customWidth="1"/>
    <col min="3" max="3" width="16.85546875" customWidth="1"/>
    <col min="4" max="4" width="18.7109375" customWidth="1"/>
    <col min="5" max="5" width="7.42578125" customWidth="1"/>
    <col min="6" max="6" width="18.42578125" customWidth="1"/>
    <col min="7" max="7" width="20.7109375" customWidth="1"/>
    <col min="8" max="10" width="18.140625" customWidth="1"/>
  </cols>
  <sheetData>
    <row r="1" spans="1:10" ht="15.75" customHeight="1">
      <c r="A1" s="206" t="s">
        <v>914</v>
      </c>
      <c r="B1" s="207" t="s">
        <v>915</v>
      </c>
      <c r="C1" s="207" t="s">
        <v>916</v>
      </c>
      <c r="D1" s="207" t="s">
        <v>917</v>
      </c>
      <c r="E1" s="207" t="s">
        <v>141</v>
      </c>
      <c r="F1" s="207" t="s">
        <v>918</v>
      </c>
      <c r="G1" s="207" t="s">
        <v>919</v>
      </c>
      <c r="H1" s="207" t="s">
        <v>920</v>
      </c>
      <c r="I1" s="207" t="s">
        <v>921</v>
      </c>
      <c r="J1" s="207" t="s">
        <v>922</v>
      </c>
    </row>
    <row r="2" spans="1:10">
      <c r="A2" s="208" t="s">
        <v>149</v>
      </c>
      <c r="B2" s="208" t="s">
        <v>150</v>
      </c>
      <c r="C2" s="208" t="s">
        <v>151</v>
      </c>
      <c r="D2" s="208" t="s">
        <v>923</v>
      </c>
      <c r="E2" s="208" t="s">
        <v>152</v>
      </c>
      <c r="F2" s="209" t="s">
        <v>924</v>
      </c>
      <c r="G2" s="208" t="s">
        <v>27</v>
      </c>
      <c r="H2" s="208">
        <v>791300033</v>
      </c>
      <c r="I2" s="208" t="s">
        <v>925</v>
      </c>
      <c r="J2" s="208">
        <v>791300033</v>
      </c>
    </row>
    <row r="3" spans="1:10">
      <c r="A3" s="208" t="s">
        <v>155</v>
      </c>
      <c r="B3" s="208" t="s">
        <v>156</v>
      </c>
      <c r="C3" s="208" t="s">
        <v>157</v>
      </c>
      <c r="D3" s="208" t="s">
        <v>926</v>
      </c>
      <c r="E3" s="208" t="s">
        <v>158</v>
      </c>
      <c r="F3" s="209" t="s">
        <v>924</v>
      </c>
      <c r="G3" s="208" t="s">
        <v>27</v>
      </c>
      <c r="H3" s="208">
        <v>790651412</v>
      </c>
      <c r="I3" s="208">
        <v>790651412</v>
      </c>
      <c r="J3" s="208">
        <v>790651412</v>
      </c>
    </row>
    <row r="4" spans="1:10">
      <c r="A4" s="208" t="s">
        <v>159</v>
      </c>
      <c r="B4" s="208" t="s">
        <v>160</v>
      </c>
      <c r="C4" s="208" t="s">
        <v>161</v>
      </c>
      <c r="D4" s="208" t="s">
        <v>927</v>
      </c>
      <c r="E4" s="208" t="s">
        <v>158</v>
      </c>
      <c r="F4" s="209" t="s">
        <v>928</v>
      </c>
      <c r="G4" s="208" t="s">
        <v>27</v>
      </c>
      <c r="H4" s="208">
        <v>794243436</v>
      </c>
      <c r="I4" s="208" t="s">
        <v>925</v>
      </c>
      <c r="J4" s="208" t="s">
        <v>925</v>
      </c>
    </row>
    <row r="5" spans="1:10">
      <c r="A5" s="208" t="s">
        <v>162</v>
      </c>
      <c r="B5" s="208" t="s">
        <v>163</v>
      </c>
      <c r="C5" s="208" t="s">
        <v>164</v>
      </c>
      <c r="D5" s="208" t="s">
        <v>383</v>
      </c>
      <c r="E5" s="208" t="s">
        <v>158</v>
      </c>
      <c r="F5" s="209" t="s">
        <v>928</v>
      </c>
      <c r="G5" s="208" t="s">
        <v>27</v>
      </c>
      <c r="H5" s="208">
        <v>794995668</v>
      </c>
      <c r="I5" s="208" t="s">
        <v>925</v>
      </c>
      <c r="J5" s="208" t="s">
        <v>925</v>
      </c>
    </row>
    <row r="6" spans="1:10">
      <c r="A6" s="208" t="s">
        <v>165</v>
      </c>
      <c r="B6" s="208" t="s">
        <v>166</v>
      </c>
      <c r="C6" s="208" t="s">
        <v>167</v>
      </c>
      <c r="D6" s="208" t="s">
        <v>929</v>
      </c>
      <c r="E6" s="208" t="s">
        <v>158</v>
      </c>
      <c r="F6" s="209" t="s">
        <v>928</v>
      </c>
      <c r="G6" s="208" t="s">
        <v>27</v>
      </c>
      <c r="H6" s="208">
        <v>792756043</v>
      </c>
      <c r="I6" s="208" t="s">
        <v>925</v>
      </c>
      <c r="J6" s="208" t="s">
        <v>925</v>
      </c>
    </row>
    <row r="7" spans="1:10">
      <c r="A7" s="208" t="s">
        <v>168</v>
      </c>
      <c r="B7" s="208" t="s">
        <v>169</v>
      </c>
      <c r="C7" s="208" t="s">
        <v>170</v>
      </c>
      <c r="D7" s="208" t="s">
        <v>930</v>
      </c>
      <c r="E7" s="208" t="s">
        <v>158</v>
      </c>
      <c r="F7" s="209" t="s">
        <v>928</v>
      </c>
      <c r="G7" s="208" t="s">
        <v>27</v>
      </c>
      <c r="H7" s="208">
        <v>790836069</v>
      </c>
      <c r="I7" s="208" t="s">
        <v>925</v>
      </c>
      <c r="J7" s="208" t="s">
        <v>925</v>
      </c>
    </row>
    <row r="8" spans="1:10">
      <c r="A8" s="208" t="s">
        <v>171</v>
      </c>
      <c r="B8" s="208" t="s">
        <v>172</v>
      </c>
      <c r="C8" s="208" t="s">
        <v>173</v>
      </c>
      <c r="D8" s="208" t="s">
        <v>173</v>
      </c>
      <c r="E8" s="208" t="s">
        <v>152</v>
      </c>
      <c r="F8" s="209" t="s">
        <v>928</v>
      </c>
      <c r="G8" s="208" t="s">
        <v>27</v>
      </c>
      <c r="H8" s="208">
        <v>711718653</v>
      </c>
      <c r="I8" s="208">
        <v>711718653</v>
      </c>
      <c r="J8" s="208">
        <v>711718653</v>
      </c>
    </row>
    <row r="9" spans="1:10">
      <c r="A9" s="208" t="s">
        <v>174</v>
      </c>
      <c r="B9" s="208" t="s">
        <v>175</v>
      </c>
      <c r="C9" s="208" t="s">
        <v>176</v>
      </c>
      <c r="D9" s="208" t="s">
        <v>931</v>
      </c>
      <c r="E9" s="208" t="s">
        <v>152</v>
      </c>
      <c r="F9" s="209" t="s">
        <v>924</v>
      </c>
      <c r="G9" s="208" t="s">
        <v>129</v>
      </c>
      <c r="H9" s="208">
        <v>796626666</v>
      </c>
      <c r="I9" s="208" t="s">
        <v>925</v>
      </c>
      <c r="J9" s="208">
        <v>796626666</v>
      </c>
    </row>
    <row r="10" spans="1:10">
      <c r="A10" s="208" t="s">
        <v>178</v>
      </c>
      <c r="B10" s="208" t="s">
        <v>179</v>
      </c>
      <c r="C10" s="208" t="s">
        <v>180</v>
      </c>
      <c r="D10" s="208" t="s">
        <v>932</v>
      </c>
      <c r="E10" s="208" t="s">
        <v>158</v>
      </c>
      <c r="F10" s="209" t="s">
        <v>924</v>
      </c>
      <c r="G10" s="208" t="s">
        <v>129</v>
      </c>
      <c r="H10" s="208">
        <v>793702663</v>
      </c>
      <c r="I10" s="208" t="s">
        <v>925</v>
      </c>
      <c r="J10" s="208" t="s">
        <v>925</v>
      </c>
    </row>
    <row r="11" spans="1:10">
      <c r="A11" s="208" t="s">
        <v>181</v>
      </c>
      <c r="B11" s="208" t="s">
        <v>182</v>
      </c>
      <c r="C11" s="208" t="s">
        <v>183</v>
      </c>
      <c r="D11" s="208" t="s">
        <v>933</v>
      </c>
      <c r="E11" s="208" t="s">
        <v>158</v>
      </c>
      <c r="F11" s="209" t="s">
        <v>928</v>
      </c>
      <c r="G11" s="208" t="s">
        <v>129</v>
      </c>
      <c r="H11" s="208">
        <v>780462266</v>
      </c>
      <c r="I11" s="208" t="s">
        <v>925</v>
      </c>
      <c r="J11" s="208" t="s">
        <v>925</v>
      </c>
    </row>
    <row r="12" spans="1:10">
      <c r="A12" s="208" t="s">
        <v>184</v>
      </c>
      <c r="B12" s="208" t="s">
        <v>185</v>
      </c>
      <c r="C12" s="208" t="s">
        <v>186</v>
      </c>
      <c r="D12" s="208" t="s">
        <v>320</v>
      </c>
      <c r="E12" s="208" t="s">
        <v>158</v>
      </c>
      <c r="F12" s="209" t="s">
        <v>928</v>
      </c>
      <c r="G12" s="208" t="s">
        <v>129</v>
      </c>
      <c r="H12" s="208">
        <v>708421804</v>
      </c>
      <c r="I12" s="208" t="s">
        <v>925</v>
      </c>
      <c r="J12" s="208" t="s">
        <v>925</v>
      </c>
    </row>
    <row r="13" spans="1:10">
      <c r="A13" s="208" t="s">
        <v>187</v>
      </c>
      <c r="B13" s="208" t="s">
        <v>188</v>
      </c>
      <c r="C13" s="208" t="s">
        <v>189</v>
      </c>
      <c r="D13" s="208" t="s">
        <v>934</v>
      </c>
      <c r="E13" s="208" t="s">
        <v>158</v>
      </c>
      <c r="F13" s="209" t="s">
        <v>928</v>
      </c>
      <c r="G13" s="208" t="s">
        <v>129</v>
      </c>
      <c r="H13" s="208">
        <v>781631596</v>
      </c>
      <c r="I13" s="208" t="s">
        <v>925</v>
      </c>
      <c r="J13" s="208" t="s">
        <v>925</v>
      </c>
    </row>
    <row r="14" spans="1:10">
      <c r="A14" s="208" t="s">
        <v>190</v>
      </c>
      <c r="B14" s="208" t="s">
        <v>191</v>
      </c>
      <c r="C14" s="208" t="s">
        <v>192</v>
      </c>
      <c r="D14" s="208" t="s">
        <v>935</v>
      </c>
      <c r="E14" s="208" t="s">
        <v>158</v>
      </c>
      <c r="F14" s="209" t="s">
        <v>928</v>
      </c>
      <c r="G14" s="208" t="s">
        <v>129</v>
      </c>
      <c r="H14" s="208">
        <v>795643675</v>
      </c>
      <c r="I14" s="208" t="s">
        <v>925</v>
      </c>
      <c r="J14" s="208" t="s">
        <v>925</v>
      </c>
    </row>
    <row r="15" spans="1:10">
      <c r="A15" s="208" t="s">
        <v>193</v>
      </c>
      <c r="B15" s="208" t="s">
        <v>194</v>
      </c>
      <c r="C15" s="208" t="s">
        <v>176</v>
      </c>
      <c r="D15" s="208" t="s">
        <v>936</v>
      </c>
      <c r="E15" s="208" t="s">
        <v>152</v>
      </c>
      <c r="F15" s="209" t="s">
        <v>928</v>
      </c>
      <c r="G15" s="208" t="s">
        <v>129</v>
      </c>
      <c r="H15" s="208">
        <v>788054715</v>
      </c>
      <c r="I15" s="208" t="s">
        <v>925</v>
      </c>
      <c r="J15" s="208" t="s">
        <v>925</v>
      </c>
    </row>
    <row r="16" spans="1:10">
      <c r="A16" s="208" t="s">
        <v>195</v>
      </c>
      <c r="B16" s="208" t="s">
        <v>196</v>
      </c>
      <c r="C16" s="208" t="s">
        <v>197</v>
      </c>
      <c r="D16" s="208" t="s">
        <v>937</v>
      </c>
      <c r="E16" s="208" t="s">
        <v>152</v>
      </c>
      <c r="F16" s="209" t="s">
        <v>924</v>
      </c>
      <c r="G16" s="208" t="s">
        <v>125</v>
      </c>
      <c r="H16" s="208">
        <v>798698789</v>
      </c>
      <c r="I16" s="208">
        <v>777357000</v>
      </c>
      <c r="J16" s="208">
        <v>798698789</v>
      </c>
    </row>
    <row r="17" spans="1:10">
      <c r="A17" s="208" t="s">
        <v>198</v>
      </c>
      <c r="B17" s="208" t="s">
        <v>199</v>
      </c>
      <c r="C17" s="208" t="s">
        <v>200</v>
      </c>
      <c r="D17" s="208" t="s">
        <v>938</v>
      </c>
      <c r="E17" s="208" t="s">
        <v>158</v>
      </c>
      <c r="F17" s="209" t="s">
        <v>924</v>
      </c>
      <c r="G17" s="208" t="s">
        <v>125</v>
      </c>
      <c r="H17" s="208">
        <v>784961459</v>
      </c>
      <c r="I17" s="208" t="s">
        <v>925</v>
      </c>
      <c r="J17" s="208" t="s">
        <v>925</v>
      </c>
    </row>
    <row r="18" spans="1:10">
      <c r="A18" s="208" t="s">
        <v>201</v>
      </c>
      <c r="B18" s="208" t="s">
        <v>202</v>
      </c>
      <c r="C18" s="208" t="s">
        <v>203</v>
      </c>
      <c r="D18" s="208" t="s">
        <v>939</v>
      </c>
      <c r="E18" s="208" t="s">
        <v>158</v>
      </c>
      <c r="F18" s="209" t="s">
        <v>928</v>
      </c>
      <c r="G18" s="208" t="s">
        <v>125</v>
      </c>
      <c r="H18" s="208">
        <v>788640087</v>
      </c>
      <c r="I18" s="208" t="s">
        <v>925</v>
      </c>
      <c r="J18" s="208" t="s">
        <v>925</v>
      </c>
    </row>
    <row r="19" spans="1:10">
      <c r="A19" s="208" t="s">
        <v>204</v>
      </c>
      <c r="B19" s="208" t="s">
        <v>205</v>
      </c>
      <c r="C19" s="208" t="s">
        <v>173</v>
      </c>
      <c r="D19" s="208" t="s">
        <v>940</v>
      </c>
      <c r="E19" s="208" t="s">
        <v>158</v>
      </c>
      <c r="F19" s="209" t="s">
        <v>928</v>
      </c>
      <c r="G19" s="208" t="s">
        <v>125</v>
      </c>
      <c r="H19" s="208">
        <v>749975700</v>
      </c>
      <c r="I19" s="208" t="s">
        <v>925</v>
      </c>
      <c r="J19" s="208" t="s">
        <v>925</v>
      </c>
    </row>
    <row r="20" spans="1:10">
      <c r="A20" s="208" t="s">
        <v>206</v>
      </c>
      <c r="B20" s="208" t="s">
        <v>207</v>
      </c>
      <c r="C20" s="208" t="s">
        <v>208</v>
      </c>
      <c r="D20" s="208" t="s">
        <v>941</v>
      </c>
      <c r="E20" s="208" t="s">
        <v>158</v>
      </c>
      <c r="F20" s="209" t="s">
        <v>928</v>
      </c>
      <c r="G20" s="208" t="s">
        <v>125</v>
      </c>
      <c r="H20" s="208">
        <v>728515126</v>
      </c>
      <c r="I20" s="208" t="s">
        <v>925</v>
      </c>
      <c r="J20" s="208" t="s">
        <v>925</v>
      </c>
    </row>
    <row r="21" spans="1:10">
      <c r="A21" s="208" t="s">
        <v>209</v>
      </c>
      <c r="B21" s="208" t="s">
        <v>210</v>
      </c>
      <c r="C21" s="208" t="s">
        <v>211</v>
      </c>
      <c r="D21" s="208" t="s">
        <v>935</v>
      </c>
      <c r="E21" s="208" t="s">
        <v>158</v>
      </c>
      <c r="F21" s="209" t="s">
        <v>928</v>
      </c>
      <c r="G21" s="208" t="s">
        <v>125</v>
      </c>
      <c r="H21" s="208">
        <v>700700372</v>
      </c>
      <c r="I21" s="208" t="s">
        <v>925</v>
      </c>
      <c r="J21" s="208" t="s">
        <v>925</v>
      </c>
    </row>
    <row r="22" spans="1:10">
      <c r="A22" s="208" t="s">
        <v>212</v>
      </c>
      <c r="B22" s="208" t="s">
        <v>213</v>
      </c>
      <c r="C22" s="208" t="s">
        <v>214</v>
      </c>
      <c r="D22" s="208" t="s">
        <v>942</v>
      </c>
      <c r="E22" s="208" t="s">
        <v>152</v>
      </c>
      <c r="F22" s="209" t="s">
        <v>928</v>
      </c>
      <c r="G22" s="208" t="s">
        <v>125</v>
      </c>
      <c r="H22" s="208">
        <v>798455506</v>
      </c>
      <c r="I22" s="208" t="s">
        <v>925</v>
      </c>
      <c r="J22" s="208" t="s">
        <v>925</v>
      </c>
    </row>
    <row r="23" spans="1:10">
      <c r="A23" s="208" t="s">
        <v>215</v>
      </c>
      <c r="B23" s="208" t="s">
        <v>216</v>
      </c>
      <c r="C23" s="208" t="s">
        <v>217</v>
      </c>
      <c r="D23" s="208" t="s">
        <v>943</v>
      </c>
      <c r="E23" s="208" t="s">
        <v>152</v>
      </c>
      <c r="F23" s="209" t="s">
        <v>924</v>
      </c>
      <c r="G23" s="208" t="s">
        <v>30</v>
      </c>
      <c r="H23" s="208">
        <v>770627077</v>
      </c>
      <c r="I23" s="208">
        <v>789503014</v>
      </c>
      <c r="J23" s="208">
        <v>770627077</v>
      </c>
    </row>
    <row r="24" spans="1:10">
      <c r="A24" s="208" t="s">
        <v>220</v>
      </c>
      <c r="B24" s="208" t="s">
        <v>221</v>
      </c>
      <c r="C24" s="208" t="s">
        <v>222</v>
      </c>
      <c r="D24" s="208" t="s">
        <v>944</v>
      </c>
      <c r="E24" s="208" t="s">
        <v>158</v>
      </c>
      <c r="F24" s="209" t="s">
        <v>924</v>
      </c>
      <c r="G24" s="208" t="s">
        <v>30</v>
      </c>
      <c r="H24" s="208">
        <v>772310199</v>
      </c>
      <c r="I24" s="208" t="s">
        <v>925</v>
      </c>
      <c r="J24" s="208" t="s">
        <v>925</v>
      </c>
    </row>
    <row r="25" spans="1:10">
      <c r="A25" s="208" t="s">
        <v>223</v>
      </c>
      <c r="B25" s="208" t="s">
        <v>224</v>
      </c>
      <c r="C25" s="208" t="s">
        <v>225</v>
      </c>
      <c r="D25" s="208" t="s">
        <v>945</v>
      </c>
      <c r="E25" s="208" t="s">
        <v>158</v>
      </c>
      <c r="F25" s="209" t="s">
        <v>928</v>
      </c>
      <c r="G25" s="208" t="s">
        <v>30</v>
      </c>
      <c r="H25" s="208">
        <v>764660744</v>
      </c>
      <c r="I25" s="208" t="s">
        <v>925</v>
      </c>
      <c r="J25" s="208" t="s">
        <v>925</v>
      </c>
    </row>
    <row r="26" spans="1:10" ht="12.75">
      <c r="A26" s="208" t="s">
        <v>226</v>
      </c>
      <c r="B26" s="208" t="s">
        <v>227</v>
      </c>
      <c r="C26" s="208" t="s">
        <v>228</v>
      </c>
      <c r="D26" s="208" t="s">
        <v>946</v>
      </c>
      <c r="E26" s="208" t="s">
        <v>158</v>
      </c>
      <c r="F26" s="209" t="s">
        <v>928</v>
      </c>
      <c r="G26" s="208" t="s">
        <v>30</v>
      </c>
      <c r="H26" s="208">
        <v>776844027</v>
      </c>
      <c r="I26" s="208" t="s">
        <v>925</v>
      </c>
      <c r="J26" s="208" t="s">
        <v>925</v>
      </c>
    </row>
    <row r="27" spans="1:10" ht="12.75">
      <c r="A27" s="208" t="s">
        <v>229</v>
      </c>
      <c r="B27" s="208" t="s">
        <v>230</v>
      </c>
      <c r="C27" s="208" t="s">
        <v>231</v>
      </c>
      <c r="D27" s="208" t="s">
        <v>947</v>
      </c>
      <c r="E27" s="208" t="s">
        <v>158</v>
      </c>
      <c r="F27" s="209" t="s">
        <v>928</v>
      </c>
      <c r="G27" s="208" t="s">
        <v>30</v>
      </c>
      <c r="H27" s="208">
        <v>775134093</v>
      </c>
      <c r="I27" s="208" t="s">
        <v>925</v>
      </c>
      <c r="J27" s="208" t="s">
        <v>925</v>
      </c>
    </row>
    <row r="28" spans="1:10" ht="12.75">
      <c r="A28" s="208" t="s">
        <v>232</v>
      </c>
      <c r="B28" s="208" t="s">
        <v>233</v>
      </c>
      <c r="C28" s="208" t="s">
        <v>234</v>
      </c>
      <c r="D28" s="208" t="s">
        <v>213</v>
      </c>
      <c r="E28" s="208" t="s">
        <v>158</v>
      </c>
      <c r="F28" s="209" t="s">
        <v>928</v>
      </c>
      <c r="G28" s="208" t="s">
        <v>30</v>
      </c>
      <c r="H28" s="208">
        <v>728665453</v>
      </c>
      <c r="I28" s="208" t="s">
        <v>925</v>
      </c>
      <c r="J28" s="208" t="s">
        <v>925</v>
      </c>
    </row>
    <row r="29" spans="1:10" ht="12.75">
      <c r="A29" s="208" t="s">
        <v>235</v>
      </c>
      <c r="B29" s="208" t="s">
        <v>236</v>
      </c>
      <c r="C29" s="208" t="s">
        <v>237</v>
      </c>
      <c r="D29" s="208" t="s">
        <v>948</v>
      </c>
      <c r="E29" s="208" t="s">
        <v>152</v>
      </c>
      <c r="F29" s="209" t="s">
        <v>928</v>
      </c>
      <c r="G29" s="208" t="s">
        <v>30</v>
      </c>
      <c r="H29" s="208">
        <v>779099986</v>
      </c>
      <c r="I29" s="208" t="s">
        <v>925</v>
      </c>
      <c r="J29" s="208" t="s">
        <v>925</v>
      </c>
    </row>
    <row r="30" spans="1:10" ht="12.75">
      <c r="A30" s="208" t="s">
        <v>238</v>
      </c>
      <c r="B30" s="208" t="s">
        <v>239</v>
      </c>
      <c r="C30" s="208" t="s">
        <v>240</v>
      </c>
      <c r="D30" s="208" t="s">
        <v>949</v>
      </c>
      <c r="E30" s="208" t="s">
        <v>152</v>
      </c>
      <c r="F30" s="209" t="s">
        <v>924</v>
      </c>
      <c r="G30" s="208" t="s">
        <v>132</v>
      </c>
      <c r="H30" s="208">
        <v>791588683</v>
      </c>
      <c r="I30" s="208">
        <v>799183686</v>
      </c>
      <c r="J30" s="208">
        <v>791588683</v>
      </c>
    </row>
    <row r="31" spans="1:10" ht="12.75">
      <c r="A31" s="208" t="s">
        <v>242</v>
      </c>
      <c r="B31" s="208" t="s">
        <v>243</v>
      </c>
      <c r="C31" s="208" t="s">
        <v>244</v>
      </c>
      <c r="D31" s="208" t="s">
        <v>950</v>
      </c>
      <c r="E31" s="208" t="s">
        <v>158</v>
      </c>
      <c r="F31" s="209" t="s">
        <v>924</v>
      </c>
      <c r="G31" s="208" t="s">
        <v>132</v>
      </c>
      <c r="H31" s="208">
        <v>797092110</v>
      </c>
      <c r="I31" s="208" t="s">
        <v>925</v>
      </c>
      <c r="J31" s="208" t="s">
        <v>925</v>
      </c>
    </row>
    <row r="32" spans="1:10" ht="12.75">
      <c r="A32" s="208" t="s">
        <v>245</v>
      </c>
      <c r="B32" s="208" t="s">
        <v>246</v>
      </c>
      <c r="C32" s="208" t="s">
        <v>247</v>
      </c>
      <c r="D32" s="208" t="s">
        <v>951</v>
      </c>
      <c r="E32" s="208" t="s">
        <v>158</v>
      </c>
      <c r="F32" s="209" t="s">
        <v>928</v>
      </c>
      <c r="G32" s="208" t="s">
        <v>132</v>
      </c>
      <c r="H32" s="208">
        <v>795831271</v>
      </c>
      <c r="I32" s="208" t="s">
        <v>925</v>
      </c>
      <c r="J32" s="208" t="s">
        <v>925</v>
      </c>
    </row>
    <row r="33" spans="1:10" ht="12.75">
      <c r="A33" s="208" t="s">
        <v>248</v>
      </c>
      <c r="B33" s="208" t="s">
        <v>249</v>
      </c>
      <c r="C33" s="208" t="s">
        <v>214</v>
      </c>
      <c r="D33" s="208" t="s">
        <v>952</v>
      </c>
      <c r="E33" s="208" t="s">
        <v>158</v>
      </c>
      <c r="F33" s="209" t="s">
        <v>928</v>
      </c>
      <c r="G33" s="208" t="s">
        <v>132</v>
      </c>
      <c r="H33" s="208" t="s">
        <v>953</v>
      </c>
      <c r="I33" s="208" t="s">
        <v>925</v>
      </c>
      <c r="J33" s="208" t="s">
        <v>925</v>
      </c>
    </row>
    <row r="34" spans="1:10" ht="12.75">
      <c r="A34" s="208" t="s">
        <v>250</v>
      </c>
      <c r="B34" s="208" t="s">
        <v>251</v>
      </c>
      <c r="C34" s="208" t="s">
        <v>200</v>
      </c>
      <c r="D34" s="208" t="s">
        <v>954</v>
      </c>
      <c r="E34" s="208" t="s">
        <v>158</v>
      </c>
      <c r="F34" s="209" t="s">
        <v>928</v>
      </c>
      <c r="G34" s="208" t="s">
        <v>132</v>
      </c>
      <c r="H34" s="208">
        <v>798440665</v>
      </c>
      <c r="I34" s="208" t="s">
        <v>925</v>
      </c>
      <c r="J34" s="208" t="s">
        <v>925</v>
      </c>
    </row>
    <row r="35" spans="1:10" ht="12.75">
      <c r="A35" s="208" t="s">
        <v>252</v>
      </c>
      <c r="B35" s="208" t="s">
        <v>253</v>
      </c>
      <c r="C35" s="208" t="s">
        <v>254</v>
      </c>
      <c r="D35" s="208" t="s">
        <v>955</v>
      </c>
      <c r="E35" s="208" t="s">
        <v>158</v>
      </c>
      <c r="F35" s="209" t="s">
        <v>928</v>
      </c>
      <c r="G35" s="208" t="s">
        <v>132</v>
      </c>
      <c r="H35" s="208">
        <v>796273378</v>
      </c>
      <c r="I35" s="208" t="s">
        <v>925</v>
      </c>
      <c r="J35" s="208" t="s">
        <v>925</v>
      </c>
    </row>
    <row r="36" spans="1:10" ht="12.75">
      <c r="A36" s="208" t="s">
        <v>255</v>
      </c>
      <c r="B36" s="208" t="s">
        <v>256</v>
      </c>
      <c r="C36" s="208" t="s">
        <v>257</v>
      </c>
      <c r="D36" s="208" t="s">
        <v>956</v>
      </c>
      <c r="E36" s="208" t="s">
        <v>152</v>
      </c>
      <c r="F36" s="209" t="s">
        <v>928</v>
      </c>
      <c r="G36" s="208" t="s">
        <v>132</v>
      </c>
      <c r="H36" s="208">
        <v>799291813</v>
      </c>
      <c r="I36" s="208" t="s">
        <v>925</v>
      </c>
      <c r="J36" s="208" t="s">
        <v>925</v>
      </c>
    </row>
    <row r="37" spans="1:10" ht="12.75">
      <c r="A37" s="208" t="s">
        <v>258</v>
      </c>
      <c r="B37" s="208" t="s">
        <v>259</v>
      </c>
      <c r="C37" s="208" t="s">
        <v>260</v>
      </c>
      <c r="D37" s="208" t="s">
        <v>957</v>
      </c>
      <c r="E37" s="208" t="s">
        <v>152</v>
      </c>
      <c r="F37" s="209" t="s">
        <v>924</v>
      </c>
      <c r="G37" s="208" t="s">
        <v>35</v>
      </c>
      <c r="H37" s="208">
        <v>766965500</v>
      </c>
      <c r="I37" s="208">
        <v>780761032</v>
      </c>
      <c r="J37" s="208">
        <v>766965500</v>
      </c>
    </row>
    <row r="38" spans="1:10" ht="12.75">
      <c r="A38" s="208" t="s">
        <v>263</v>
      </c>
      <c r="B38" s="208" t="s">
        <v>264</v>
      </c>
      <c r="C38" s="208" t="s">
        <v>265</v>
      </c>
      <c r="D38" s="208" t="s">
        <v>958</v>
      </c>
      <c r="E38" s="208" t="s">
        <v>158</v>
      </c>
      <c r="F38" s="209" t="s">
        <v>924</v>
      </c>
      <c r="G38" s="208" t="s">
        <v>35</v>
      </c>
      <c r="H38" s="208">
        <v>792976708</v>
      </c>
      <c r="I38" s="208" t="s">
        <v>925</v>
      </c>
      <c r="J38" s="208" t="s">
        <v>925</v>
      </c>
    </row>
    <row r="39" spans="1:10" ht="12.75">
      <c r="A39" s="208" t="s">
        <v>266</v>
      </c>
      <c r="B39" s="208" t="s">
        <v>267</v>
      </c>
      <c r="C39" s="208" t="s">
        <v>268</v>
      </c>
      <c r="D39" s="208" t="s">
        <v>173</v>
      </c>
      <c r="E39" s="208" t="s">
        <v>158</v>
      </c>
      <c r="F39" s="209" t="s">
        <v>928</v>
      </c>
      <c r="G39" s="208" t="s">
        <v>35</v>
      </c>
      <c r="H39" s="208">
        <v>797489919</v>
      </c>
      <c r="I39" s="208" t="s">
        <v>925</v>
      </c>
      <c r="J39" s="208" t="s">
        <v>925</v>
      </c>
    </row>
    <row r="40" spans="1:10" ht="12.75">
      <c r="A40" s="208" t="s">
        <v>269</v>
      </c>
      <c r="B40" s="208" t="s">
        <v>270</v>
      </c>
      <c r="C40" s="208" t="s">
        <v>271</v>
      </c>
      <c r="D40" s="208" t="s">
        <v>959</v>
      </c>
      <c r="E40" s="208" t="s">
        <v>158</v>
      </c>
      <c r="F40" s="209" t="s">
        <v>928</v>
      </c>
      <c r="G40" s="208" t="s">
        <v>35</v>
      </c>
      <c r="H40" s="208">
        <v>798070228</v>
      </c>
      <c r="I40" s="208" t="s">
        <v>925</v>
      </c>
      <c r="J40" s="208" t="s">
        <v>925</v>
      </c>
    </row>
    <row r="41" spans="1:10" ht="12.75">
      <c r="A41" s="208" t="s">
        <v>272</v>
      </c>
      <c r="B41" s="208" t="s">
        <v>273</v>
      </c>
      <c r="C41" s="208" t="s">
        <v>274</v>
      </c>
      <c r="D41" s="208" t="s">
        <v>960</v>
      </c>
      <c r="E41" s="208" t="s">
        <v>158</v>
      </c>
      <c r="F41" s="209" t="s">
        <v>928</v>
      </c>
      <c r="G41" s="208" t="s">
        <v>35</v>
      </c>
      <c r="H41" s="208">
        <v>728836487</v>
      </c>
      <c r="I41" s="208" t="s">
        <v>925</v>
      </c>
      <c r="J41" s="208" t="s">
        <v>925</v>
      </c>
    </row>
    <row r="42" spans="1:10" ht="12.75">
      <c r="A42" s="208" t="s">
        <v>275</v>
      </c>
      <c r="B42" s="208" t="s">
        <v>276</v>
      </c>
      <c r="C42" s="208" t="s">
        <v>200</v>
      </c>
      <c r="D42" s="208" t="s">
        <v>173</v>
      </c>
      <c r="E42" s="208" t="s">
        <v>158</v>
      </c>
      <c r="F42" s="209" t="s">
        <v>928</v>
      </c>
      <c r="G42" s="208" t="s">
        <v>35</v>
      </c>
      <c r="H42" s="208">
        <v>798677014</v>
      </c>
      <c r="I42" s="208" t="s">
        <v>925</v>
      </c>
      <c r="J42" s="208" t="s">
        <v>925</v>
      </c>
    </row>
    <row r="43" spans="1:10" ht="12.75">
      <c r="A43" s="208" t="s">
        <v>280</v>
      </c>
      <c r="B43" s="208" t="s">
        <v>281</v>
      </c>
      <c r="C43" s="208" t="s">
        <v>282</v>
      </c>
      <c r="D43" s="208" t="s">
        <v>961</v>
      </c>
      <c r="E43" s="208" t="s">
        <v>152</v>
      </c>
      <c r="F43" s="209" t="s">
        <v>924</v>
      </c>
      <c r="G43" s="208" t="s">
        <v>283</v>
      </c>
      <c r="H43" s="208">
        <v>783191809</v>
      </c>
      <c r="I43" s="208">
        <v>785918000</v>
      </c>
      <c r="J43" s="208">
        <v>783191809</v>
      </c>
    </row>
    <row r="44" spans="1:10" ht="12.75">
      <c r="A44" s="208" t="s">
        <v>285</v>
      </c>
      <c r="B44" s="208" t="s">
        <v>286</v>
      </c>
      <c r="C44" s="208" t="s">
        <v>287</v>
      </c>
      <c r="D44" s="208" t="s">
        <v>962</v>
      </c>
      <c r="E44" s="208" t="s">
        <v>158</v>
      </c>
      <c r="F44" s="209" t="s">
        <v>924</v>
      </c>
      <c r="G44" s="208" t="s">
        <v>283</v>
      </c>
      <c r="H44" s="208">
        <v>711006246</v>
      </c>
      <c r="I44" s="208" t="s">
        <v>925</v>
      </c>
      <c r="J44" s="208" t="s">
        <v>925</v>
      </c>
    </row>
    <row r="45" spans="1:10" ht="12.75">
      <c r="A45" s="208" t="s">
        <v>288</v>
      </c>
      <c r="B45" s="208" t="s">
        <v>289</v>
      </c>
      <c r="C45" s="208" t="s">
        <v>203</v>
      </c>
      <c r="D45" s="208" t="s">
        <v>173</v>
      </c>
      <c r="E45" s="208" t="s">
        <v>158</v>
      </c>
      <c r="F45" s="209" t="s">
        <v>928</v>
      </c>
      <c r="G45" s="208" t="s">
        <v>283</v>
      </c>
      <c r="H45" s="208">
        <v>789566917</v>
      </c>
      <c r="I45" s="208" t="s">
        <v>925</v>
      </c>
      <c r="J45" s="208" t="s">
        <v>925</v>
      </c>
    </row>
    <row r="46" spans="1:10" ht="12.75">
      <c r="A46" s="208" t="s">
        <v>290</v>
      </c>
      <c r="B46" s="208" t="s">
        <v>291</v>
      </c>
      <c r="C46" s="208" t="s">
        <v>292</v>
      </c>
      <c r="D46" s="208" t="s">
        <v>963</v>
      </c>
      <c r="E46" s="208" t="s">
        <v>158</v>
      </c>
      <c r="F46" s="209" t="s">
        <v>928</v>
      </c>
      <c r="G46" s="208" t="s">
        <v>283</v>
      </c>
      <c r="H46" s="208">
        <v>789479194</v>
      </c>
      <c r="I46" s="208" t="s">
        <v>925</v>
      </c>
      <c r="J46" s="208" t="s">
        <v>925</v>
      </c>
    </row>
    <row r="47" spans="1:10" ht="12.75">
      <c r="A47" s="208" t="s">
        <v>293</v>
      </c>
      <c r="B47" s="208" t="s">
        <v>294</v>
      </c>
      <c r="C47" s="208" t="s">
        <v>274</v>
      </c>
      <c r="D47" s="208" t="s">
        <v>964</v>
      </c>
      <c r="E47" s="208" t="s">
        <v>158</v>
      </c>
      <c r="F47" s="209" t="s">
        <v>928</v>
      </c>
      <c r="G47" s="208" t="s">
        <v>283</v>
      </c>
      <c r="H47" s="208">
        <v>784295055</v>
      </c>
      <c r="I47" s="208" t="s">
        <v>925</v>
      </c>
      <c r="J47" s="208" t="s">
        <v>925</v>
      </c>
    </row>
    <row r="48" spans="1:10" ht="12.75">
      <c r="A48" s="208" t="s">
        <v>295</v>
      </c>
      <c r="B48" s="208" t="s">
        <v>296</v>
      </c>
      <c r="C48" s="208" t="s">
        <v>297</v>
      </c>
      <c r="D48" s="208" t="s">
        <v>965</v>
      </c>
      <c r="E48" s="208" t="s">
        <v>158</v>
      </c>
      <c r="F48" s="209" t="s">
        <v>928</v>
      </c>
      <c r="G48" s="208" t="s">
        <v>283</v>
      </c>
      <c r="H48" s="208">
        <v>790896296</v>
      </c>
      <c r="I48" s="208" t="s">
        <v>925</v>
      </c>
      <c r="J48" s="208" t="s">
        <v>925</v>
      </c>
    </row>
    <row r="49" spans="1:10" ht="12.75">
      <c r="A49" s="208" t="s">
        <v>298</v>
      </c>
      <c r="B49" s="208" t="s">
        <v>299</v>
      </c>
      <c r="C49" s="208" t="s">
        <v>274</v>
      </c>
      <c r="D49" s="208" t="s">
        <v>945</v>
      </c>
      <c r="E49" s="208" t="s">
        <v>152</v>
      </c>
      <c r="F49" s="209" t="s">
        <v>928</v>
      </c>
      <c r="G49" s="208" t="s">
        <v>283</v>
      </c>
      <c r="H49" s="208">
        <v>731731405</v>
      </c>
      <c r="I49" s="208" t="s">
        <v>925</v>
      </c>
      <c r="J49" s="208" t="s">
        <v>925</v>
      </c>
    </row>
    <row r="50" spans="1:10" ht="12.75">
      <c r="A50" s="208" t="s">
        <v>300</v>
      </c>
      <c r="B50" s="208" t="s">
        <v>301</v>
      </c>
      <c r="C50" s="208"/>
      <c r="D50" s="208"/>
      <c r="E50" s="208" t="s">
        <v>158</v>
      </c>
      <c r="F50" s="209" t="s">
        <v>924</v>
      </c>
      <c r="G50" s="208" t="s">
        <v>134</v>
      </c>
      <c r="H50" s="208">
        <v>764942229</v>
      </c>
      <c r="I50" s="208" t="s">
        <v>925</v>
      </c>
      <c r="J50" s="208" t="s">
        <v>925</v>
      </c>
    </row>
    <row r="51" spans="1:10" ht="12.75">
      <c r="A51" s="208" t="s">
        <v>302</v>
      </c>
      <c r="B51" s="208" t="s">
        <v>303</v>
      </c>
      <c r="C51" s="208" t="s">
        <v>304</v>
      </c>
      <c r="D51" s="208" t="s">
        <v>966</v>
      </c>
      <c r="E51" s="208" t="s">
        <v>152</v>
      </c>
      <c r="F51" s="209" t="s">
        <v>924</v>
      </c>
      <c r="G51" s="208" t="s">
        <v>134</v>
      </c>
      <c r="H51" s="208">
        <v>787681274</v>
      </c>
      <c r="I51" s="208" t="s">
        <v>173</v>
      </c>
      <c r="J51" s="208">
        <v>787681274</v>
      </c>
    </row>
    <row r="52" spans="1:10" ht="12.75">
      <c r="A52" s="208" t="s">
        <v>305</v>
      </c>
      <c r="B52" s="208" t="s">
        <v>306</v>
      </c>
      <c r="C52" s="208" t="s">
        <v>307</v>
      </c>
      <c r="D52" s="208" t="s">
        <v>967</v>
      </c>
      <c r="E52" s="208" t="s">
        <v>158</v>
      </c>
      <c r="F52" s="209" t="s">
        <v>928</v>
      </c>
      <c r="G52" s="208" t="s">
        <v>134</v>
      </c>
      <c r="H52" s="208">
        <v>731208625</v>
      </c>
      <c r="I52" s="208" t="s">
        <v>925</v>
      </c>
      <c r="J52" s="208" t="s">
        <v>925</v>
      </c>
    </row>
    <row r="53" spans="1:10" ht="12.75">
      <c r="A53" s="208" t="s">
        <v>308</v>
      </c>
      <c r="B53" s="208" t="s">
        <v>309</v>
      </c>
      <c r="C53" s="208" t="s">
        <v>214</v>
      </c>
      <c r="D53" s="208" t="s">
        <v>968</v>
      </c>
      <c r="E53" s="208" t="s">
        <v>158</v>
      </c>
      <c r="F53" s="209" t="s">
        <v>928</v>
      </c>
      <c r="G53" s="208" t="s">
        <v>134</v>
      </c>
      <c r="H53" s="208">
        <v>731234517</v>
      </c>
      <c r="I53" s="208" t="s">
        <v>925</v>
      </c>
      <c r="J53" s="208" t="s">
        <v>925</v>
      </c>
    </row>
    <row r="54" spans="1:10" ht="12.75">
      <c r="A54" s="208" t="s">
        <v>310</v>
      </c>
      <c r="B54" s="208" t="s">
        <v>311</v>
      </c>
      <c r="C54" s="208" t="s">
        <v>312</v>
      </c>
      <c r="D54" s="208" t="s">
        <v>173</v>
      </c>
      <c r="E54" s="208" t="s">
        <v>158</v>
      </c>
      <c r="F54" s="209" t="s">
        <v>928</v>
      </c>
      <c r="G54" s="208" t="s">
        <v>134</v>
      </c>
      <c r="H54" s="208">
        <v>787275247</v>
      </c>
      <c r="I54" s="208" t="s">
        <v>925</v>
      </c>
      <c r="J54" s="208" t="s">
        <v>925</v>
      </c>
    </row>
    <row r="55" spans="1:10" ht="12.75">
      <c r="A55" s="208" t="s">
        <v>313</v>
      </c>
      <c r="B55" s="208" t="s">
        <v>314</v>
      </c>
      <c r="C55" s="208" t="s">
        <v>315</v>
      </c>
      <c r="D55" s="208" t="s">
        <v>969</v>
      </c>
      <c r="E55" s="208" t="s">
        <v>158</v>
      </c>
      <c r="F55" s="209" t="s">
        <v>928</v>
      </c>
      <c r="G55" s="208" t="s">
        <v>134</v>
      </c>
      <c r="H55" s="208">
        <v>780848641</v>
      </c>
      <c r="I55" s="208" t="s">
        <v>925</v>
      </c>
      <c r="J55" s="208" t="s">
        <v>925</v>
      </c>
    </row>
    <row r="56" spans="1:10" ht="12.75">
      <c r="A56" s="208" t="s">
        <v>319</v>
      </c>
      <c r="B56" s="208" t="s">
        <v>320</v>
      </c>
      <c r="C56" s="208" t="s">
        <v>321</v>
      </c>
      <c r="D56" s="208" t="s">
        <v>970</v>
      </c>
      <c r="E56" s="208" t="s">
        <v>152</v>
      </c>
      <c r="F56" s="209" t="s">
        <v>924</v>
      </c>
      <c r="G56" s="208" t="s">
        <v>135</v>
      </c>
      <c r="H56" s="208">
        <v>778853769</v>
      </c>
      <c r="I56" s="208" t="s">
        <v>173</v>
      </c>
      <c r="J56" s="208">
        <v>778853769</v>
      </c>
    </row>
    <row r="57" spans="1:10" ht="12.75">
      <c r="A57" s="208" t="s">
        <v>322</v>
      </c>
      <c r="B57" s="208" t="s">
        <v>323</v>
      </c>
      <c r="C57" s="208" t="s">
        <v>324</v>
      </c>
      <c r="D57" s="208" t="s">
        <v>971</v>
      </c>
      <c r="E57" s="208" t="s">
        <v>158</v>
      </c>
      <c r="F57" s="209" t="s">
        <v>924</v>
      </c>
      <c r="G57" s="208" t="s">
        <v>135</v>
      </c>
      <c r="H57" s="208">
        <v>766187540</v>
      </c>
      <c r="I57" s="208" t="s">
        <v>925</v>
      </c>
      <c r="J57" s="208" t="s">
        <v>925</v>
      </c>
    </row>
    <row r="58" spans="1:10" ht="12.75">
      <c r="A58" s="208" t="s">
        <v>325</v>
      </c>
      <c r="B58" s="208" t="s">
        <v>326</v>
      </c>
      <c r="C58" s="208" t="s">
        <v>327</v>
      </c>
      <c r="D58" s="208" t="s">
        <v>972</v>
      </c>
      <c r="E58" s="208" t="s">
        <v>158</v>
      </c>
      <c r="F58" s="209" t="s">
        <v>928</v>
      </c>
      <c r="G58" s="208" t="s">
        <v>135</v>
      </c>
      <c r="H58" s="208">
        <v>774990061</v>
      </c>
      <c r="I58" s="208" t="s">
        <v>925</v>
      </c>
      <c r="J58" s="208" t="s">
        <v>925</v>
      </c>
    </row>
    <row r="59" spans="1:10" ht="12.75">
      <c r="A59" s="208" t="s">
        <v>328</v>
      </c>
      <c r="B59" s="208" t="s">
        <v>329</v>
      </c>
      <c r="C59" s="208" t="s">
        <v>330</v>
      </c>
      <c r="D59" s="208" t="s">
        <v>973</v>
      </c>
      <c r="E59" s="208" t="s">
        <v>158</v>
      </c>
      <c r="F59" s="209" t="s">
        <v>928</v>
      </c>
      <c r="G59" s="208" t="s">
        <v>135</v>
      </c>
      <c r="H59" s="208">
        <v>786377710</v>
      </c>
      <c r="I59" s="208" t="s">
        <v>925</v>
      </c>
      <c r="J59" s="208" t="s">
        <v>925</v>
      </c>
    </row>
    <row r="60" spans="1:10" ht="12.75">
      <c r="A60" s="208" t="s">
        <v>331</v>
      </c>
      <c r="B60" s="208" t="s">
        <v>332</v>
      </c>
      <c r="C60" s="208" t="s">
        <v>333</v>
      </c>
      <c r="D60" s="208" t="s">
        <v>974</v>
      </c>
      <c r="E60" s="208" t="s">
        <v>158</v>
      </c>
      <c r="F60" s="209" t="s">
        <v>928</v>
      </c>
      <c r="G60" s="208" t="s">
        <v>135</v>
      </c>
      <c r="H60" s="208">
        <v>790308424</v>
      </c>
      <c r="I60" s="208" t="s">
        <v>925</v>
      </c>
      <c r="J60" s="208" t="s">
        <v>925</v>
      </c>
    </row>
    <row r="61" spans="1:10" ht="12.75">
      <c r="A61" s="208" t="s">
        <v>334</v>
      </c>
      <c r="B61" s="208" t="s">
        <v>335</v>
      </c>
      <c r="C61" s="208" t="s">
        <v>336</v>
      </c>
      <c r="D61" s="208" t="s">
        <v>975</v>
      </c>
      <c r="E61" s="208" t="s">
        <v>158</v>
      </c>
      <c r="F61" s="209" t="s">
        <v>928</v>
      </c>
      <c r="G61" s="208" t="s">
        <v>135</v>
      </c>
      <c r="H61" s="208">
        <v>797576117</v>
      </c>
      <c r="I61" s="208" t="s">
        <v>925</v>
      </c>
      <c r="J61" s="208" t="s">
        <v>925</v>
      </c>
    </row>
    <row r="62" spans="1:10" ht="12.75">
      <c r="A62" s="208" t="s">
        <v>337</v>
      </c>
      <c r="B62" s="208" t="s">
        <v>338</v>
      </c>
      <c r="C62" s="208" t="s">
        <v>339</v>
      </c>
      <c r="D62" s="208" t="s">
        <v>976</v>
      </c>
      <c r="E62" s="208" t="s">
        <v>152</v>
      </c>
      <c r="F62" s="209" t="s">
        <v>928</v>
      </c>
      <c r="G62" s="208" t="s">
        <v>135</v>
      </c>
      <c r="H62" s="208">
        <v>765037436</v>
      </c>
      <c r="I62" s="208" t="s">
        <v>925</v>
      </c>
      <c r="J62" s="208" t="s">
        <v>925</v>
      </c>
    </row>
    <row r="63" spans="1:10" ht="12.75">
      <c r="A63" s="208" t="s">
        <v>340</v>
      </c>
      <c r="B63" s="208" t="s">
        <v>341</v>
      </c>
      <c r="C63" s="208" t="s">
        <v>342</v>
      </c>
      <c r="D63" s="208" t="s">
        <v>977</v>
      </c>
      <c r="E63" s="208" t="s">
        <v>152</v>
      </c>
      <c r="F63" s="209" t="s">
        <v>924</v>
      </c>
      <c r="G63" s="208" t="s">
        <v>28</v>
      </c>
      <c r="H63" s="208">
        <v>772729030</v>
      </c>
      <c r="I63" s="208">
        <v>785407847</v>
      </c>
      <c r="J63" s="208">
        <v>772729030</v>
      </c>
    </row>
    <row r="64" spans="1:10" ht="12.75">
      <c r="A64" s="208" t="s">
        <v>344</v>
      </c>
      <c r="B64" s="208" t="s">
        <v>345</v>
      </c>
      <c r="C64" s="208" t="s">
        <v>346</v>
      </c>
      <c r="D64" s="208" t="s">
        <v>978</v>
      </c>
      <c r="E64" s="208" t="s">
        <v>158</v>
      </c>
      <c r="F64" s="209" t="s">
        <v>924</v>
      </c>
      <c r="G64" s="208" t="s">
        <v>28</v>
      </c>
      <c r="H64" s="208">
        <v>774619758</v>
      </c>
      <c r="I64" s="208" t="s">
        <v>925</v>
      </c>
      <c r="J64" s="208" t="s">
        <v>925</v>
      </c>
    </row>
    <row r="65" spans="1:10" ht="12.75">
      <c r="A65" s="208" t="s">
        <v>347</v>
      </c>
      <c r="B65" s="208" t="s">
        <v>348</v>
      </c>
      <c r="C65" s="208" t="s">
        <v>271</v>
      </c>
      <c r="D65" s="208" t="s">
        <v>979</v>
      </c>
      <c r="E65" s="208" t="s">
        <v>158</v>
      </c>
      <c r="F65" s="209" t="s">
        <v>928</v>
      </c>
      <c r="G65" s="208" t="s">
        <v>28</v>
      </c>
      <c r="H65" s="208">
        <v>772617118</v>
      </c>
      <c r="I65" s="208" t="s">
        <v>925</v>
      </c>
      <c r="J65" s="208" t="s">
        <v>925</v>
      </c>
    </row>
    <row r="66" spans="1:10" ht="12.75">
      <c r="A66" s="208" t="s">
        <v>349</v>
      </c>
      <c r="B66" s="208" t="s">
        <v>350</v>
      </c>
      <c r="C66" s="208" t="s">
        <v>351</v>
      </c>
      <c r="D66" s="208" t="s">
        <v>616</v>
      </c>
      <c r="E66" s="208" t="s">
        <v>158</v>
      </c>
      <c r="F66" s="209" t="s">
        <v>928</v>
      </c>
      <c r="G66" s="208" t="s">
        <v>28</v>
      </c>
      <c r="H66" s="208">
        <v>770096641</v>
      </c>
      <c r="I66" s="208" t="s">
        <v>925</v>
      </c>
      <c r="J66" s="208" t="s">
        <v>925</v>
      </c>
    </row>
    <row r="67" spans="1:10" ht="12.75">
      <c r="A67" s="208" t="s">
        <v>352</v>
      </c>
      <c r="B67" s="208" t="s">
        <v>353</v>
      </c>
      <c r="C67" s="208" t="s">
        <v>354</v>
      </c>
      <c r="D67" s="208" t="s">
        <v>980</v>
      </c>
      <c r="E67" s="208" t="s">
        <v>158</v>
      </c>
      <c r="F67" s="209" t="s">
        <v>928</v>
      </c>
      <c r="G67" s="208" t="s">
        <v>28</v>
      </c>
      <c r="H67" s="208">
        <v>706203080</v>
      </c>
      <c r="I67" s="208" t="s">
        <v>925</v>
      </c>
      <c r="J67" s="208" t="s">
        <v>925</v>
      </c>
    </row>
    <row r="68" spans="1:10" ht="12.75">
      <c r="A68" s="208" t="s">
        <v>355</v>
      </c>
      <c r="B68" s="208" t="s">
        <v>356</v>
      </c>
      <c r="C68" s="208" t="s">
        <v>357</v>
      </c>
      <c r="D68" s="208" t="s">
        <v>981</v>
      </c>
      <c r="E68" s="208" t="s">
        <v>158</v>
      </c>
      <c r="F68" s="209" t="s">
        <v>928</v>
      </c>
      <c r="G68" s="208" t="s">
        <v>28</v>
      </c>
      <c r="H68" s="208">
        <v>772183092</v>
      </c>
      <c r="I68" s="208" t="s">
        <v>925</v>
      </c>
      <c r="J68" s="208" t="s">
        <v>925</v>
      </c>
    </row>
    <row r="69" spans="1:10" ht="12.75">
      <c r="A69" s="208" t="s">
        <v>358</v>
      </c>
      <c r="B69" s="208" t="s">
        <v>359</v>
      </c>
      <c r="C69" s="208" t="s">
        <v>360</v>
      </c>
      <c r="D69" s="208" t="s">
        <v>982</v>
      </c>
      <c r="E69" s="208" t="s">
        <v>152</v>
      </c>
      <c r="F69" s="209" t="s">
        <v>928</v>
      </c>
      <c r="G69" s="208" t="s">
        <v>28</v>
      </c>
      <c r="H69" s="208">
        <v>779922529</v>
      </c>
      <c r="I69" s="208" t="s">
        <v>925</v>
      </c>
      <c r="J69" s="208" t="s">
        <v>925</v>
      </c>
    </row>
    <row r="70" spans="1:10" ht="12.75">
      <c r="A70" s="208" t="s">
        <v>361</v>
      </c>
      <c r="B70" s="208" t="s">
        <v>362</v>
      </c>
      <c r="C70" s="208" t="s">
        <v>363</v>
      </c>
      <c r="D70" s="208" t="s">
        <v>983</v>
      </c>
      <c r="E70" s="208" t="s">
        <v>152</v>
      </c>
      <c r="F70" s="209" t="s">
        <v>924</v>
      </c>
      <c r="G70" s="208" t="s">
        <v>26</v>
      </c>
      <c r="H70" s="208">
        <v>705012116</v>
      </c>
      <c r="I70" s="208">
        <v>705012116</v>
      </c>
      <c r="J70" s="208">
        <v>793077258</v>
      </c>
    </row>
    <row r="71" spans="1:10" ht="12.75">
      <c r="A71" s="208" t="s">
        <v>367</v>
      </c>
      <c r="B71" s="208" t="s">
        <v>368</v>
      </c>
      <c r="C71" s="208" t="s">
        <v>369</v>
      </c>
      <c r="D71" s="208" t="s">
        <v>984</v>
      </c>
      <c r="E71" s="208" t="s">
        <v>158</v>
      </c>
      <c r="F71" s="209" t="s">
        <v>924</v>
      </c>
      <c r="G71" s="208" t="s">
        <v>26</v>
      </c>
      <c r="H71" s="208">
        <v>772181246</v>
      </c>
      <c r="I71" s="208" t="s">
        <v>925</v>
      </c>
      <c r="J71" s="208" t="s">
        <v>925</v>
      </c>
    </row>
    <row r="72" spans="1:10" ht="12.75">
      <c r="A72" s="208" t="s">
        <v>370</v>
      </c>
      <c r="B72" s="208" t="s">
        <v>210</v>
      </c>
      <c r="C72" s="208" t="s">
        <v>371</v>
      </c>
      <c r="D72" s="208" t="s">
        <v>985</v>
      </c>
      <c r="E72" s="208" t="s">
        <v>158</v>
      </c>
      <c r="F72" s="209" t="s">
        <v>928</v>
      </c>
      <c r="G72" s="208" t="s">
        <v>26</v>
      </c>
      <c r="H72" s="208">
        <v>707974195</v>
      </c>
      <c r="I72" s="208" t="s">
        <v>925</v>
      </c>
      <c r="J72" s="208" t="s">
        <v>925</v>
      </c>
    </row>
    <row r="73" spans="1:10" ht="12.75">
      <c r="A73" s="208" t="s">
        <v>372</v>
      </c>
      <c r="B73" s="208" t="s">
        <v>373</v>
      </c>
      <c r="C73" s="208" t="s">
        <v>374</v>
      </c>
      <c r="D73" s="208" t="s">
        <v>986</v>
      </c>
      <c r="E73" s="208" t="s">
        <v>158</v>
      </c>
      <c r="F73" s="209" t="s">
        <v>928</v>
      </c>
      <c r="G73" s="208" t="s">
        <v>26</v>
      </c>
      <c r="H73" s="208">
        <v>776540854</v>
      </c>
      <c r="I73" s="208" t="s">
        <v>925</v>
      </c>
      <c r="J73" s="208" t="s">
        <v>925</v>
      </c>
    </row>
    <row r="74" spans="1:10" ht="12.75">
      <c r="A74" s="208" t="s">
        <v>375</v>
      </c>
      <c r="B74" s="208" t="s">
        <v>376</v>
      </c>
      <c r="C74" s="208" t="s">
        <v>173</v>
      </c>
      <c r="D74" s="208" t="s">
        <v>987</v>
      </c>
      <c r="E74" s="208" t="s">
        <v>158</v>
      </c>
      <c r="F74" s="209" t="s">
        <v>928</v>
      </c>
      <c r="G74" s="208" t="s">
        <v>26</v>
      </c>
      <c r="H74" s="208">
        <v>766135811</v>
      </c>
      <c r="I74" s="208" t="s">
        <v>925</v>
      </c>
      <c r="J74" s="208" t="s">
        <v>925</v>
      </c>
    </row>
    <row r="75" spans="1:10" ht="12.75">
      <c r="A75" s="208" t="s">
        <v>377</v>
      </c>
      <c r="B75" s="208" t="s">
        <v>378</v>
      </c>
      <c r="C75" s="208" t="s">
        <v>173</v>
      </c>
      <c r="D75" s="208" t="s">
        <v>988</v>
      </c>
      <c r="E75" s="208" t="s">
        <v>158</v>
      </c>
      <c r="F75" s="209" t="s">
        <v>928</v>
      </c>
      <c r="G75" s="208" t="s">
        <v>26</v>
      </c>
      <c r="H75" s="208">
        <v>784279499</v>
      </c>
      <c r="I75" s="208" t="s">
        <v>925</v>
      </c>
      <c r="J75" s="208" t="s">
        <v>925</v>
      </c>
    </row>
    <row r="76" spans="1:10" ht="12.75">
      <c r="A76" s="208" t="s">
        <v>379</v>
      </c>
      <c r="B76" s="208" t="s">
        <v>380</v>
      </c>
      <c r="C76" s="208" t="s">
        <v>381</v>
      </c>
      <c r="D76" s="208" t="s">
        <v>989</v>
      </c>
      <c r="E76" s="208" t="s">
        <v>152</v>
      </c>
      <c r="F76" s="209" t="s">
        <v>928</v>
      </c>
      <c r="G76" s="208" t="s">
        <v>26</v>
      </c>
      <c r="H76" s="208">
        <v>747101820</v>
      </c>
      <c r="I76" s="208" t="s">
        <v>925</v>
      </c>
      <c r="J76" s="208" t="s">
        <v>925</v>
      </c>
    </row>
    <row r="77" spans="1:10" ht="12.75">
      <c r="A77" s="208" t="s">
        <v>382</v>
      </c>
      <c r="B77" s="208" t="s">
        <v>383</v>
      </c>
      <c r="C77" s="208" t="s">
        <v>384</v>
      </c>
      <c r="D77" s="208" t="s">
        <v>990</v>
      </c>
      <c r="E77" s="208" t="s">
        <v>152</v>
      </c>
      <c r="F77" s="209" t="s">
        <v>924</v>
      </c>
      <c r="G77" s="208" t="s">
        <v>34</v>
      </c>
      <c r="H77" s="208">
        <v>745689572</v>
      </c>
      <c r="I77" s="208">
        <v>745689572</v>
      </c>
      <c r="J77" s="208">
        <v>745689572</v>
      </c>
    </row>
    <row r="78" spans="1:10" ht="12.75">
      <c r="A78" s="208" t="s">
        <v>386</v>
      </c>
      <c r="B78" s="208" t="s">
        <v>387</v>
      </c>
      <c r="C78" s="208" t="s">
        <v>388</v>
      </c>
      <c r="D78" s="208" t="s">
        <v>991</v>
      </c>
      <c r="E78" s="208" t="s">
        <v>158</v>
      </c>
      <c r="F78" s="209" t="s">
        <v>924</v>
      </c>
      <c r="G78" s="208" t="s">
        <v>34</v>
      </c>
      <c r="H78" s="208">
        <v>705049564</v>
      </c>
      <c r="I78" s="208" t="s">
        <v>925</v>
      </c>
      <c r="J78" s="208" t="s">
        <v>925</v>
      </c>
    </row>
    <row r="79" spans="1:10" ht="12.75">
      <c r="A79" s="208" t="s">
        <v>389</v>
      </c>
      <c r="B79" s="208" t="s">
        <v>296</v>
      </c>
      <c r="C79" s="208" t="s">
        <v>388</v>
      </c>
      <c r="D79" s="208" t="s">
        <v>992</v>
      </c>
      <c r="E79" s="208" t="s">
        <v>158</v>
      </c>
      <c r="F79" s="209" t="s">
        <v>928</v>
      </c>
      <c r="G79" s="208" t="s">
        <v>34</v>
      </c>
      <c r="H79" s="208">
        <v>792926730</v>
      </c>
      <c r="I79" s="208" t="s">
        <v>925</v>
      </c>
      <c r="J79" s="208" t="s">
        <v>925</v>
      </c>
    </row>
    <row r="80" spans="1:10" ht="12.75">
      <c r="A80" s="208" t="s">
        <v>390</v>
      </c>
      <c r="B80" s="208" t="s">
        <v>378</v>
      </c>
      <c r="C80" s="208" t="s">
        <v>391</v>
      </c>
      <c r="D80" s="208" t="s">
        <v>993</v>
      </c>
      <c r="E80" s="208" t="s">
        <v>158</v>
      </c>
      <c r="F80" s="209" t="s">
        <v>928</v>
      </c>
      <c r="G80" s="208" t="s">
        <v>34</v>
      </c>
      <c r="H80" s="208">
        <v>784279499</v>
      </c>
      <c r="I80" s="208" t="s">
        <v>925</v>
      </c>
      <c r="J80" s="208" t="s">
        <v>925</v>
      </c>
    </row>
    <row r="81" spans="1:10" ht="12.75">
      <c r="A81" s="208" t="s">
        <v>392</v>
      </c>
      <c r="B81" s="208" t="s">
        <v>249</v>
      </c>
      <c r="C81" s="208" t="s">
        <v>393</v>
      </c>
      <c r="D81" s="208" t="s">
        <v>994</v>
      </c>
      <c r="E81" s="208" t="s">
        <v>158</v>
      </c>
      <c r="F81" s="209" t="s">
        <v>928</v>
      </c>
      <c r="G81" s="208" t="s">
        <v>34</v>
      </c>
      <c r="H81" s="208" t="s">
        <v>995</v>
      </c>
      <c r="I81" s="208" t="s">
        <v>925</v>
      </c>
      <c r="J81" s="208" t="s">
        <v>925</v>
      </c>
    </row>
    <row r="82" spans="1:10" ht="12.75">
      <c r="A82" s="208" t="s">
        <v>394</v>
      </c>
      <c r="B82" s="208" t="s">
        <v>395</v>
      </c>
      <c r="C82" s="208" t="s">
        <v>396</v>
      </c>
      <c r="D82" s="208" t="s">
        <v>996</v>
      </c>
      <c r="E82" s="208" t="s">
        <v>158</v>
      </c>
      <c r="F82" s="209" t="s">
        <v>928</v>
      </c>
      <c r="G82" s="208" t="s">
        <v>34</v>
      </c>
      <c r="H82" s="208">
        <v>749776888</v>
      </c>
      <c r="I82" s="208" t="s">
        <v>925</v>
      </c>
      <c r="J82" s="208" t="s">
        <v>925</v>
      </c>
    </row>
    <row r="83" spans="1:10" ht="12.75">
      <c r="A83" s="208" t="s">
        <v>397</v>
      </c>
      <c r="B83" s="208" t="s">
        <v>398</v>
      </c>
      <c r="C83" s="208" t="s">
        <v>399</v>
      </c>
      <c r="D83" s="208" t="s">
        <v>173</v>
      </c>
      <c r="E83" s="208" t="s">
        <v>152</v>
      </c>
      <c r="F83" s="209" t="s">
        <v>928</v>
      </c>
      <c r="G83" s="208" t="s">
        <v>34</v>
      </c>
      <c r="H83" s="208">
        <v>745446148</v>
      </c>
      <c r="I83" s="208" t="s">
        <v>925</v>
      </c>
      <c r="J83" s="208" t="s">
        <v>925</v>
      </c>
    </row>
    <row r="84" spans="1:10" ht="12.75">
      <c r="A84" s="208" t="s">
        <v>400</v>
      </c>
      <c r="B84" s="208" t="s">
        <v>401</v>
      </c>
      <c r="C84" s="208" t="s">
        <v>157</v>
      </c>
      <c r="D84" s="208" t="s">
        <v>997</v>
      </c>
      <c r="E84" s="208" t="s">
        <v>152</v>
      </c>
      <c r="F84" s="209" t="s">
        <v>924</v>
      </c>
      <c r="G84" s="208" t="s">
        <v>22</v>
      </c>
      <c r="H84" s="208">
        <v>731538572</v>
      </c>
      <c r="I84" s="208">
        <v>731538572</v>
      </c>
      <c r="J84" s="208">
        <v>731538572</v>
      </c>
    </row>
    <row r="85" spans="1:10" ht="12.75">
      <c r="A85" s="208" t="s">
        <v>406</v>
      </c>
      <c r="B85" s="208" t="s">
        <v>407</v>
      </c>
      <c r="C85" s="208" t="s">
        <v>408</v>
      </c>
      <c r="D85" s="208" t="s">
        <v>938</v>
      </c>
      <c r="E85" s="208" t="s">
        <v>158</v>
      </c>
      <c r="F85" s="209" t="s">
        <v>924</v>
      </c>
      <c r="G85" s="208" t="s">
        <v>22</v>
      </c>
      <c r="H85" s="208">
        <v>731387081</v>
      </c>
      <c r="I85" s="208" t="s">
        <v>925</v>
      </c>
      <c r="J85" s="208" t="s">
        <v>925</v>
      </c>
    </row>
    <row r="86" spans="1:10" ht="12.75">
      <c r="A86" s="208" t="s">
        <v>409</v>
      </c>
      <c r="B86" s="208" t="s">
        <v>410</v>
      </c>
      <c r="C86" s="208" t="s">
        <v>998</v>
      </c>
      <c r="D86" s="208" t="s">
        <v>999</v>
      </c>
      <c r="E86" s="208" t="s">
        <v>158</v>
      </c>
      <c r="F86" s="209" t="s">
        <v>928</v>
      </c>
      <c r="G86" s="208" t="s">
        <v>22</v>
      </c>
      <c r="H86" s="208">
        <v>788086400</v>
      </c>
      <c r="I86" s="208" t="s">
        <v>925</v>
      </c>
      <c r="J86" s="208">
        <v>788086400</v>
      </c>
    </row>
    <row r="87" spans="1:10" ht="12.75">
      <c r="A87" s="208" t="s">
        <v>411</v>
      </c>
      <c r="B87" s="208" t="s">
        <v>412</v>
      </c>
      <c r="C87" s="208" t="s">
        <v>413</v>
      </c>
      <c r="D87" s="208" t="s">
        <v>1000</v>
      </c>
      <c r="E87" s="208" t="s">
        <v>158</v>
      </c>
      <c r="F87" s="209" t="s">
        <v>928</v>
      </c>
      <c r="G87" s="208" t="s">
        <v>22</v>
      </c>
      <c r="H87" s="208">
        <v>730234460</v>
      </c>
      <c r="I87" s="208" t="s">
        <v>925</v>
      </c>
      <c r="J87" s="208" t="s">
        <v>925</v>
      </c>
    </row>
    <row r="88" spans="1:10" ht="12.75">
      <c r="A88" s="208" t="s">
        <v>414</v>
      </c>
      <c r="B88" s="208" t="s">
        <v>415</v>
      </c>
      <c r="C88" s="208" t="s">
        <v>369</v>
      </c>
      <c r="D88" s="208" t="s">
        <v>1001</v>
      </c>
      <c r="E88" s="208" t="s">
        <v>158</v>
      </c>
      <c r="F88" s="209" t="s">
        <v>928</v>
      </c>
      <c r="G88" s="208" t="s">
        <v>22</v>
      </c>
      <c r="H88" s="208">
        <v>786549533</v>
      </c>
      <c r="I88" s="208" t="s">
        <v>925</v>
      </c>
      <c r="J88" s="208">
        <v>780154919</v>
      </c>
    </row>
    <row r="89" spans="1:10" ht="12.75">
      <c r="A89" s="208" t="s">
        <v>1002</v>
      </c>
      <c r="B89" s="208" t="s">
        <v>309</v>
      </c>
      <c r="C89" s="208" t="s">
        <v>381</v>
      </c>
      <c r="D89" s="208" t="s">
        <v>173</v>
      </c>
      <c r="E89" s="208" t="s">
        <v>158</v>
      </c>
      <c r="F89" s="209" t="s">
        <v>928</v>
      </c>
      <c r="G89" s="208" t="s">
        <v>22</v>
      </c>
      <c r="H89" s="208">
        <v>794522121</v>
      </c>
      <c r="I89" s="208" t="s">
        <v>925</v>
      </c>
      <c r="J89" s="208" t="s">
        <v>925</v>
      </c>
    </row>
    <row r="90" spans="1:10" ht="12.75">
      <c r="A90" s="208" t="s">
        <v>419</v>
      </c>
      <c r="B90" s="208" t="s">
        <v>420</v>
      </c>
      <c r="C90" s="208" t="s">
        <v>421</v>
      </c>
      <c r="D90" s="208" t="s">
        <v>1003</v>
      </c>
      <c r="E90" s="208" t="s">
        <v>152</v>
      </c>
      <c r="F90" s="209" t="s">
        <v>928</v>
      </c>
      <c r="G90" s="208" t="s">
        <v>22</v>
      </c>
      <c r="H90" s="208">
        <v>700337271</v>
      </c>
      <c r="I90" s="208" t="s">
        <v>925</v>
      </c>
      <c r="J90" s="208" t="s">
        <v>925</v>
      </c>
    </row>
    <row r="91" spans="1:10" ht="12.75">
      <c r="A91" s="208" t="s">
        <v>422</v>
      </c>
      <c r="B91" s="208" t="s">
        <v>423</v>
      </c>
      <c r="C91" s="208" t="s">
        <v>424</v>
      </c>
      <c r="D91" s="208" t="s">
        <v>1004</v>
      </c>
      <c r="E91" s="208" t="s">
        <v>152</v>
      </c>
      <c r="F91" s="209" t="s">
        <v>924</v>
      </c>
      <c r="G91" s="208" t="s">
        <v>32</v>
      </c>
      <c r="H91" s="208">
        <v>789598609</v>
      </c>
      <c r="I91" s="208" t="s">
        <v>925</v>
      </c>
      <c r="J91" s="208" t="s">
        <v>925</v>
      </c>
    </row>
    <row r="92" spans="1:10" ht="12.75">
      <c r="A92" s="208" t="s">
        <v>426</v>
      </c>
      <c r="B92" s="208" t="s">
        <v>427</v>
      </c>
      <c r="C92" s="208" t="s">
        <v>282</v>
      </c>
      <c r="D92" s="208" t="s">
        <v>1005</v>
      </c>
      <c r="E92" s="208" t="s">
        <v>158</v>
      </c>
      <c r="F92" s="209" t="s">
        <v>924</v>
      </c>
      <c r="G92" s="208" t="s">
        <v>32</v>
      </c>
      <c r="H92" s="208"/>
      <c r="I92" s="208" t="s">
        <v>925</v>
      </c>
      <c r="J92" s="208" t="s">
        <v>925</v>
      </c>
    </row>
    <row r="93" spans="1:10" ht="12.75">
      <c r="A93" s="208" t="s">
        <v>428</v>
      </c>
      <c r="B93" s="208" t="s">
        <v>156</v>
      </c>
      <c r="C93" s="208" t="s">
        <v>173</v>
      </c>
      <c r="D93" s="208" t="s">
        <v>1006</v>
      </c>
      <c r="E93" s="208" t="s">
        <v>158</v>
      </c>
      <c r="F93" s="209" t="s">
        <v>928</v>
      </c>
      <c r="G93" s="208" t="s">
        <v>32</v>
      </c>
      <c r="H93" s="208">
        <v>795130810</v>
      </c>
      <c r="I93" s="208" t="s">
        <v>925</v>
      </c>
      <c r="J93" s="208" t="s">
        <v>925</v>
      </c>
    </row>
    <row r="94" spans="1:10" ht="12.75">
      <c r="A94" s="208" t="s">
        <v>429</v>
      </c>
      <c r="B94" s="208" t="s">
        <v>430</v>
      </c>
      <c r="C94" s="208" t="s">
        <v>431</v>
      </c>
      <c r="D94" s="208" t="s">
        <v>1007</v>
      </c>
      <c r="E94" s="208" t="s">
        <v>158</v>
      </c>
      <c r="F94" s="209" t="s">
        <v>928</v>
      </c>
      <c r="G94" s="208" t="s">
        <v>32</v>
      </c>
      <c r="H94" s="208">
        <v>789298526</v>
      </c>
      <c r="I94" s="208" t="s">
        <v>925</v>
      </c>
      <c r="J94" s="208" t="s">
        <v>925</v>
      </c>
    </row>
    <row r="95" spans="1:10" ht="12.75">
      <c r="A95" s="208" t="s">
        <v>432</v>
      </c>
      <c r="B95" s="208" t="s">
        <v>433</v>
      </c>
      <c r="C95" s="208" t="s">
        <v>434</v>
      </c>
      <c r="D95" s="208" t="s">
        <v>1008</v>
      </c>
      <c r="E95" s="208" t="s">
        <v>158</v>
      </c>
      <c r="F95" s="209" t="s">
        <v>928</v>
      </c>
      <c r="G95" s="208" t="s">
        <v>32</v>
      </c>
      <c r="H95" s="208">
        <v>775533475</v>
      </c>
      <c r="I95" s="208" t="s">
        <v>925</v>
      </c>
      <c r="J95" s="208" t="s">
        <v>925</v>
      </c>
    </row>
    <row r="96" spans="1:10" ht="12.75">
      <c r="A96" s="208" t="s">
        <v>435</v>
      </c>
      <c r="B96" s="208" t="s">
        <v>436</v>
      </c>
      <c r="C96" s="208" t="s">
        <v>214</v>
      </c>
      <c r="D96" s="208" t="s">
        <v>1009</v>
      </c>
      <c r="E96" s="208" t="s">
        <v>158</v>
      </c>
      <c r="F96" s="209" t="s">
        <v>928</v>
      </c>
      <c r="G96" s="208" t="s">
        <v>32</v>
      </c>
      <c r="H96" s="208">
        <v>797576117</v>
      </c>
      <c r="I96" s="208" t="s">
        <v>925</v>
      </c>
      <c r="J96" s="208" t="s">
        <v>925</v>
      </c>
    </row>
    <row r="97" spans="1:10" ht="12.75">
      <c r="A97" s="208" t="s">
        <v>437</v>
      </c>
      <c r="B97" s="208" t="s">
        <v>438</v>
      </c>
      <c r="C97" s="208" t="s">
        <v>439</v>
      </c>
      <c r="D97" s="208" t="s">
        <v>1010</v>
      </c>
      <c r="E97" s="208" t="s">
        <v>152</v>
      </c>
      <c r="F97" s="209" t="s">
        <v>928</v>
      </c>
      <c r="G97" s="208" t="s">
        <v>32</v>
      </c>
      <c r="H97" s="208">
        <v>785888578</v>
      </c>
      <c r="I97" s="208" t="s">
        <v>925</v>
      </c>
      <c r="J97" s="208" t="s">
        <v>925</v>
      </c>
    </row>
    <row r="98" spans="1:10" ht="12.75">
      <c r="A98" s="208" t="s">
        <v>440</v>
      </c>
      <c r="B98" s="208" t="s">
        <v>441</v>
      </c>
      <c r="C98" s="208" t="s">
        <v>442</v>
      </c>
      <c r="D98" s="208" t="s">
        <v>1011</v>
      </c>
      <c r="E98" s="208" t="s">
        <v>152</v>
      </c>
      <c r="F98" s="209" t="s">
        <v>924</v>
      </c>
      <c r="G98" s="208" t="s">
        <v>21</v>
      </c>
      <c r="H98" s="208">
        <v>786762640</v>
      </c>
      <c r="I98" s="208">
        <v>786762640</v>
      </c>
      <c r="J98" s="208" t="s">
        <v>173</v>
      </c>
    </row>
    <row r="99" spans="1:10" ht="12.75">
      <c r="A99" s="208" t="s">
        <v>445</v>
      </c>
      <c r="B99" s="208" t="s">
        <v>446</v>
      </c>
      <c r="C99" s="208" t="s">
        <v>447</v>
      </c>
      <c r="D99" s="208" t="s">
        <v>1012</v>
      </c>
      <c r="E99" s="208" t="s">
        <v>158</v>
      </c>
      <c r="F99" s="209" t="s">
        <v>924</v>
      </c>
      <c r="G99" s="208" t="s">
        <v>21</v>
      </c>
      <c r="H99" s="208">
        <v>778307179</v>
      </c>
      <c r="I99" s="208" t="s">
        <v>925</v>
      </c>
      <c r="J99" s="208" t="s">
        <v>925</v>
      </c>
    </row>
    <row r="100" spans="1:10" ht="12.75">
      <c r="A100" s="208" t="s">
        <v>448</v>
      </c>
      <c r="B100" s="208" t="s">
        <v>449</v>
      </c>
      <c r="C100" s="208" t="s">
        <v>450</v>
      </c>
      <c r="D100" s="208" t="s">
        <v>1013</v>
      </c>
      <c r="E100" s="208" t="s">
        <v>158</v>
      </c>
      <c r="F100" s="209" t="s">
        <v>928</v>
      </c>
      <c r="G100" s="208" t="s">
        <v>21</v>
      </c>
      <c r="H100" s="208">
        <v>779230086</v>
      </c>
      <c r="I100" s="208" t="s">
        <v>925</v>
      </c>
      <c r="J100" s="208" t="s">
        <v>925</v>
      </c>
    </row>
    <row r="101" spans="1:10" ht="12.75">
      <c r="A101" s="208" t="s">
        <v>451</v>
      </c>
      <c r="B101" s="208" t="s">
        <v>407</v>
      </c>
      <c r="C101" s="208" t="s">
        <v>452</v>
      </c>
      <c r="D101" s="208" t="s">
        <v>1014</v>
      </c>
      <c r="E101" s="208" t="s">
        <v>158</v>
      </c>
      <c r="F101" s="209" t="s">
        <v>928</v>
      </c>
      <c r="G101" s="208" t="s">
        <v>21</v>
      </c>
      <c r="H101" s="208">
        <v>770380455</v>
      </c>
      <c r="I101" s="208" t="s">
        <v>925</v>
      </c>
      <c r="J101" s="208" t="s">
        <v>925</v>
      </c>
    </row>
    <row r="102" spans="1:10" ht="12.75">
      <c r="A102" s="208" t="s">
        <v>453</v>
      </c>
      <c r="B102" s="208" t="s">
        <v>454</v>
      </c>
      <c r="C102" s="208" t="s">
        <v>455</v>
      </c>
      <c r="D102" s="208" t="s">
        <v>1015</v>
      </c>
      <c r="E102" s="208" t="s">
        <v>158</v>
      </c>
      <c r="F102" s="209" t="s">
        <v>928</v>
      </c>
      <c r="G102" s="208" t="s">
        <v>21</v>
      </c>
      <c r="H102" s="208">
        <v>787665190</v>
      </c>
      <c r="I102" s="208" t="s">
        <v>925</v>
      </c>
      <c r="J102" s="208" t="s">
        <v>925</v>
      </c>
    </row>
    <row r="103" spans="1:10" ht="12.75">
      <c r="A103" s="208" t="s">
        <v>456</v>
      </c>
      <c r="B103" s="208" t="s">
        <v>457</v>
      </c>
      <c r="C103" s="208" t="s">
        <v>391</v>
      </c>
      <c r="D103" s="208" t="s">
        <v>1016</v>
      </c>
      <c r="E103" s="208" t="s">
        <v>158</v>
      </c>
      <c r="F103" s="209" t="s">
        <v>928</v>
      </c>
      <c r="G103" s="208" t="s">
        <v>21</v>
      </c>
      <c r="H103" s="208">
        <v>775431543</v>
      </c>
      <c r="I103" s="208" t="s">
        <v>925</v>
      </c>
      <c r="J103" s="208" t="s">
        <v>925</v>
      </c>
    </row>
    <row r="104" spans="1:10" ht="12.75">
      <c r="A104" s="208" t="s">
        <v>458</v>
      </c>
      <c r="B104" s="208" t="s">
        <v>459</v>
      </c>
      <c r="C104" s="208" t="s">
        <v>173</v>
      </c>
      <c r="D104" s="208" t="s">
        <v>173</v>
      </c>
      <c r="E104" s="208" t="s">
        <v>152</v>
      </c>
      <c r="F104" s="209" t="s">
        <v>928</v>
      </c>
      <c r="G104" s="208" t="s">
        <v>21</v>
      </c>
      <c r="H104" s="208">
        <v>786024283</v>
      </c>
      <c r="I104" s="208" t="s">
        <v>925</v>
      </c>
      <c r="J104" s="208" t="s">
        <v>925</v>
      </c>
    </row>
    <row r="105" spans="1:10" ht="12.75">
      <c r="A105" s="208" t="s">
        <v>460</v>
      </c>
      <c r="B105" s="208" t="s">
        <v>461</v>
      </c>
      <c r="C105" s="208" t="s">
        <v>462</v>
      </c>
      <c r="D105" s="208" t="s">
        <v>173</v>
      </c>
      <c r="E105" s="208" t="s">
        <v>152</v>
      </c>
      <c r="F105" s="209" t="s">
        <v>924</v>
      </c>
      <c r="G105" s="208" t="s">
        <v>463</v>
      </c>
      <c r="H105" s="208">
        <v>778995957</v>
      </c>
      <c r="I105" s="208" t="s">
        <v>925</v>
      </c>
      <c r="J105" s="208" t="s">
        <v>925</v>
      </c>
    </row>
    <row r="106" spans="1:10" ht="12.75">
      <c r="A106" s="208" t="s">
        <v>464</v>
      </c>
      <c r="B106" s="208" t="s">
        <v>465</v>
      </c>
      <c r="C106" s="208" t="s">
        <v>327</v>
      </c>
      <c r="D106" s="208" t="s">
        <v>1017</v>
      </c>
      <c r="E106" s="208" t="s">
        <v>158</v>
      </c>
      <c r="F106" s="209" t="s">
        <v>924</v>
      </c>
      <c r="G106" s="208" t="s">
        <v>463</v>
      </c>
      <c r="H106" s="208">
        <v>704981263</v>
      </c>
      <c r="I106" s="208" t="s">
        <v>925</v>
      </c>
      <c r="J106" s="208" t="s">
        <v>925</v>
      </c>
    </row>
    <row r="107" spans="1:10" ht="12.75">
      <c r="A107" s="210" t="s">
        <v>464</v>
      </c>
      <c r="B107" s="210" t="s">
        <v>301</v>
      </c>
      <c r="C107" s="210" t="s">
        <v>1018</v>
      </c>
      <c r="D107" s="210" t="s">
        <v>1019</v>
      </c>
      <c r="E107" s="210" t="s">
        <v>158</v>
      </c>
      <c r="F107" s="211" t="s">
        <v>928</v>
      </c>
      <c r="G107" s="210" t="s">
        <v>463</v>
      </c>
      <c r="H107" s="210">
        <v>704981263</v>
      </c>
      <c r="I107" s="210" t="s">
        <v>925</v>
      </c>
      <c r="J107" s="210" t="s">
        <v>925</v>
      </c>
    </row>
    <row r="108" spans="1:10" ht="12.75">
      <c r="A108" s="208" t="s">
        <v>469</v>
      </c>
      <c r="B108" s="208" t="s">
        <v>470</v>
      </c>
      <c r="C108" s="208" t="s">
        <v>471</v>
      </c>
      <c r="D108" s="208" t="s">
        <v>711</v>
      </c>
      <c r="E108" s="208" t="s">
        <v>158</v>
      </c>
      <c r="F108" s="209" t="s">
        <v>928</v>
      </c>
      <c r="G108" s="208" t="s">
        <v>463</v>
      </c>
      <c r="H108" s="208">
        <v>708497640</v>
      </c>
      <c r="I108" s="208">
        <v>703635958</v>
      </c>
      <c r="J108" s="208">
        <v>708497640</v>
      </c>
    </row>
    <row r="109" spans="1:10" ht="12.75">
      <c r="A109" s="208" t="s">
        <v>472</v>
      </c>
      <c r="B109" s="208" t="s">
        <v>473</v>
      </c>
      <c r="C109" s="208" t="s">
        <v>391</v>
      </c>
      <c r="D109" s="208" t="s">
        <v>1020</v>
      </c>
      <c r="E109" s="208" t="s">
        <v>158</v>
      </c>
      <c r="F109" s="209" t="s">
        <v>928</v>
      </c>
      <c r="G109" s="208" t="s">
        <v>463</v>
      </c>
      <c r="H109" s="208">
        <v>703706609</v>
      </c>
      <c r="I109" s="208" t="s">
        <v>925</v>
      </c>
      <c r="J109" s="208" t="s">
        <v>925</v>
      </c>
    </row>
    <row r="110" spans="1:10" ht="12.75">
      <c r="A110" s="208" t="s">
        <v>474</v>
      </c>
      <c r="B110" s="208" t="s">
        <v>356</v>
      </c>
      <c r="C110" s="208" t="s">
        <v>1021</v>
      </c>
      <c r="D110" s="208" t="s">
        <v>1022</v>
      </c>
      <c r="E110" s="208" t="s">
        <v>158</v>
      </c>
      <c r="F110" s="209" t="s">
        <v>928</v>
      </c>
      <c r="G110" s="208" t="s">
        <v>463</v>
      </c>
      <c r="H110" s="208">
        <v>770613219</v>
      </c>
      <c r="I110" s="208">
        <v>798331383</v>
      </c>
      <c r="J110" s="208">
        <v>798331383</v>
      </c>
    </row>
    <row r="111" spans="1:10" ht="12.75">
      <c r="A111" s="208" t="s">
        <v>475</v>
      </c>
      <c r="B111" s="208" t="s">
        <v>476</v>
      </c>
      <c r="C111" s="208" t="s">
        <v>477</v>
      </c>
      <c r="D111" s="208" t="s">
        <v>173</v>
      </c>
      <c r="E111" s="208" t="s">
        <v>152</v>
      </c>
      <c r="F111" s="209" t="s">
        <v>928</v>
      </c>
      <c r="G111" s="208" t="s">
        <v>463</v>
      </c>
      <c r="H111" s="208">
        <v>700551592</v>
      </c>
      <c r="I111" s="208" t="s">
        <v>925</v>
      </c>
      <c r="J111" s="208" t="s">
        <v>925</v>
      </c>
    </row>
    <row r="112" spans="1:10" ht="12.75">
      <c r="A112" s="208" t="s">
        <v>478</v>
      </c>
      <c r="B112" s="208" t="s">
        <v>479</v>
      </c>
      <c r="C112" s="208" t="s">
        <v>480</v>
      </c>
      <c r="D112" s="208" t="s">
        <v>1023</v>
      </c>
      <c r="E112" s="208" t="s">
        <v>152</v>
      </c>
      <c r="F112" s="209" t="s">
        <v>924</v>
      </c>
      <c r="G112" s="208" t="s">
        <v>481</v>
      </c>
      <c r="H112" s="208">
        <v>779646874</v>
      </c>
      <c r="I112" s="208" t="s">
        <v>925</v>
      </c>
      <c r="J112" s="208" t="s">
        <v>925</v>
      </c>
    </row>
    <row r="113" spans="1:10" ht="12.75">
      <c r="A113" s="208" t="s">
        <v>483</v>
      </c>
      <c r="B113" s="208" t="s">
        <v>233</v>
      </c>
      <c r="C113" s="208" t="s">
        <v>381</v>
      </c>
      <c r="D113" s="208" t="s">
        <v>1024</v>
      </c>
      <c r="E113" s="208" t="s">
        <v>158</v>
      </c>
      <c r="F113" s="209" t="s">
        <v>924</v>
      </c>
      <c r="G113" s="208" t="s">
        <v>481</v>
      </c>
      <c r="H113" s="208">
        <v>779320798</v>
      </c>
      <c r="I113" s="208" t="s">
        <v>925</v>
      </c>
      <c r="J113" s="208" t="s">
        <v>925</v>
      </c>
    </row>
    <row r="114" spans="1:10" ht="12.75">
      <c r="A114" s="208" t="s">
        <v>484</v>
      </c>
      <c r="B114" s="208" t="s">
        <v>485</v>
      </c>
      <c r="C114" s="208" t="s">
        <v>486</v>
      </c>
      <c r="D114" s="208" t="s">
        <v>1025</v>
      </c>
      <c r="E114" s="208" t="s">
        <v>158</v>
      </c>
      <c r="F114" s="209" t="s">
        <v>928</v>
      </c>
      <c r="G114" s="208" t="s">
        <v>481</v>
      </c>
      <c r="H114" s="208">
        <v>774733004</v>
      </c>
      <c r="I114" s="208" t="s">
        <v>925</v>
      </c>
      <c r="J114" s="208" t="s">
        <v>925</v>
      </c>
    </row>
    <row r="115" spans="1:10" ht="12.75">
      <c r="A115" s="208" t="s">
        <v>487</v>
      </c>
      <c r="B115" s="208" t="s">
        <v>488</v>
      </c>
      <c r="C115" s="208" t="s">
        <v>173</v>
      </c>
      <c r="D115" s="208" t="s">
        <v>173</v>
      </c>
      <c r="E115" s="208" t="s">
        <v>158</v>
      </c>
      <c r="F115" s="209" t="s">
        <v>928</v>
      </c>
      <c r="G115" s="208" t="s">
        <v>481</v>
      </c>
      <c r="H115" s="208">
        <v>773967076</v>
      </c>
      <c r="I115" s="208" t="s">
        <v>925</v>
      </c>
      <c r="J115" s="208" t="s">
        <v>925</v>
      </c>
    </row>
    <row r="116" spans="1:10" ht="12.75">
      <c r="A116" s="208" t="s">
        <v>489</v>
      </c>
      <c r="B116" s="208" t="s">
        <v>490</v>
      </c>
      <c r="C116" s="208" t="s">
        <v>391</v>
      </c>
      <c r="D116" s="208" t="s">
        <v>1026</v>
      </c>
      <c r="E116" s="208" t="s">
        <v>158</v>
      </c>
      <c r="F116" s="209" t="s">
        <v>928</v>
      </c>
      <c r="G116" s="208" t="s">
        <v>481</v>
      </c>
      <c r="H116" s="208">
        <v>729008316</v>
      </c>
      <c r="I116" s="208" t="s">
        <v>925</v>
      </c>
      <c r="J116" s="208" t="s">
        <v>925</v>
      </c>
    </row>
    <row r="117" spans="1:10" ht="12.75">
      <c r="A117" s="208" t="s">
        <v>491</v>
      </c>
      <c r="B117" s="208" t="s">
        <v>492</v>
      </c>
      <c r="C117" s="208" t="s">
        <v>493</v>
      </c>
      <c r="D117" s="208" t="s">
        <v>1027</v>
      </c>
      <c r="E117" s="208" t="s">
        <v>158</v>
      </c>
      <c r="F117" s="209" t="s">
        <v>928</v>
      </c>
      <c r="G117" s="208" t="s">
        <v>481</v>
      </c>
      <c r="H117" s="208">
        <v>777878832</v>
      </c>
      <c r="I117" s="208" t="s">
        <v>925</v>
      </c>
      <c r="J117" s="208" t="s">
        <v>925</v>
      </c>
    </row>
    <row r="118" spans="1:10" ht="12.75">
      <c r="A118" s="208" t="s">
        <v>494</v>
      </c>
      <c r="B118" s="208" t="s">
        <v>495</v>
      </c>
      <c r="C118" s="208" t="s">
        <v>496</v>
      </c>
      <c r="D118" s="208" t="s">
        <v>1028</v>
      </c>
      <c r="E118" s="208" t="s">
        <v>152</v>
      </c>
      <c r="F118" s="209" t="s">
        <v>928</v>
      </c>
      <c r="G118" s="208" t="s">
        <v>481</v>
      </c>
      <c r="H118" s="208">
        <v>767560525</v>
      </c>
      <c r="I118" s="208" t="s">
        <v>925</v>
      </c>
      <c r="J118" s="208" t="s">
        <v>925</v>
      </c>
    </row>
    <row r="119" spans="1:10" ht="12.75">
      <c r="A119" s="208" t="s">
        <v>497</v>
      </c>
      <c r="B119" s="208" t="s">
        <v>498</v>
      </c>
      <c r="C119" s="208" t="s">
        <v>499</v>
      </c>
      <c r="D119" s="208" t="s">
        <v>1029</v>
      </c>
      <c r="E119" s="208" t="s">
        <v>152</v>
      </c>
      <c r="F119" s="209" t="s">
        <v>924</v>
      </c>
      <c r="G119" s="208" t="s">
        <v>20</v>
      </c>
      <c r="H119" s="208">
        <v>729505551</v>
      </c>
      <c r="I119" s="208" t="s">
        <v>925</v>
      </c>
      <c r="J119" s="208" t="s">
        <v>925</v>
      </c>
    </row>
    <row r="120" spans="1:10" ht="12.75">
      <c r="A120" s="208" t="s">
        <v>502</v>
      </c>
      <c r="B120" s="208" t="s">
        <v>503</v>
      </c>
      <c r="C120" s="208" t="s">
        <v>504</v>
      </c>
      <c r="D120" s="208" t="s">
        <v>1030</v>
      </c>
      <c r="E120" s="208" t="s">
        <v>158</v>
      </c>
      <c r="F120" s="209" t="s">
        <v>924</v>
      </c>
      <c r="G120" s="208" t="s">
        <v>20</v>
      </c>
      <c r="H120" s="208">
        <v>793009907</v>
      </c>
      <c r="I120" s="208" t="s">
        <v>925</v>
      </c>
      <c r="J120" s="208" t="s">
        <v>925</v>
      </c>
    </row>
    <row r="121" spans="1:10" ht="12.75">
      <c r="A121" s="208" t="s">
        <v>505</v>
      </c>
      <c r="B121" s="208" t="s">
        <v>506</v>
      </c>
      <c r="C121" s="208" t="s">
        <v>507</v>
      </c>
      <c r="D121" s="208" t="s">
        <v>1031</v>
      </c>
      <c r="E121" s="208" t="s">
        <v>158</v>
      </c>
      <c r="F121" s="209" t="s">
        <v>928</v>
      </c>
      <c r="G121" s="208" t="s">
        <v>20</v>
      </c>
      <c r="H121" s="208">
        <v>791491816</v>
      </c>
      <c r="I121" s="208" t="s">
        <v>925</v>
      </c>
      <c r="J121" s="208" t="s">
        <v>925</v>
      </c>
    </row>
    <row r="122" spans="1:10" ht="12.75">
      <c r="A122" s="208" t="s">
        <v>508</v>
      </c>
      <c r="B122" s="208" t="s">
        <v>509</v>
      </c>
      <c r="C122" s="208" t="s">
        <v>271</v>
      </c>
      <c r="D122" s="208" t="s">
        <v>1032</v>
      </c>
      <c r="E122" s="208" t="s">
        <v>158</v>
      </c>
      <c r="F122" s="209" t="s">
        <v>928</v>
      </c>
      <c r="G122" s="208" t="s">
        <v>20</v>
      </c>
      <c r="H122" s="208">
        <v>702434805</v>
      </c>
      <c r="I122" s="208" t="s">
        <v>925</v>
      </c>
      <c r="J122" s="208" t="s">
        <v>925</v>
      </c>
    </row>
    <row r="123" spans="1:10" ht="12.75">
      <c r="A123" s="208" t="s">
        <v>510</v>
      </c>
      <c r="B123" s="208" t="s">
        <v>511</v>
      </c>
      <c r="C123" s="208" t="s">
        <v>512</v>
      </c>
      <c r="D123" s="208" t="s">
        <v>1033</v>
      </c>
      <c r="E123" s="208" t="s">
        <v>158</v>
      </c>
      <c r="F123" s="209" t="s">
        <v>928</v>
      </c>
      <c r="G123" s="208" t="s">
        <v>20</v>
      </c>
      <c r="H123" s="208">
        <v>778877451</v>
      </c>
      <c r="I123" s="208" t="s">
        <v>925</v>
      </c>
      <c r="J123" s="208" t="s">
        <v>925</v>
      </c>
    </row>
    <row r="124" spans="1:10" ht="12.75">
      <c r="A124" s="208" t="s">
        <v>513</v>
      </c>
      <c r="B124" s="208" t="s">
        <v>514</v>
      </c>
      <c r="C124" s="208" t="s">
        <v>515</v>
      </c>
      <c r="D124" s="208" t="s">
        <v>1034</v>
      </c>
      <c r="E124" s="208" t="s">
        <v>158</v>
      </c>
      <c r="F124" s="209" t="s">
        <v>928</v>
      </c>
      <c r="G124" s="208" t="s">
        <v>20</v>
      </c>
      <c r="H124" s="208">
        <v>795453840</v>
      </c>
      <c r="I124" s="208" t="s">
        <v>925</v>
      </c>
      <c r="J124" s="208" t="s">
        <v>925</v>
      </c>
    </row>
    <row r="125" spans="1:10" ht="12.75">
      <c r="A125" s="208" t="s">
        <v>516</v>
      </c>
      <c r="B125" s="208" t="s">
        <v>517</v>
      </c>
      <c r="C125" s="208" t="s">
        <v>518</v>
      </c>
      <c r="D125" s="208" t="s">
        <v>1035</v>
      </c>
      <c r="E125" s="208" t="s">
        <v>152</v>
      </c>
      <c r="F125" s="209" t="s">
        <v>928</v>
      </c>
      <c r="G125" s="208" t="s">
        <v>20</v>
      </c>
      <c r="H125" s="208">
        <v>776362668</v>
      </c>
      <c r="I125" s="208" t="s">
        <v>925</v>
      </c>
      <c r="J125" s="208" t="s">
        <v>925</v>
      </c>
    </row>
    <row r="126" spans="1:10" ht="12.75">
      <c r="A126" s="208" t="s">
        <v>519</v>
      </c>
      <c r="B126" s="208" t="s">
        <v>520</v>
      </c>
      <c r="C126" s="208" t="s">
        <v>521</v>
      </c>
      <c r="D126" s="208" t="s">
        <v>1036</v>
      </c>
      <c r="E126" s="208" t="s">
        <v>152</v>
      </c>
      <c r="F126" s="209" t="s">
        <v>924</v>
      </c>
      <c r="G126" s="208" t="s">
        <v>522</v>
      </c>
      <c r="H126" s="208">
        <v>745530019</v>
      </c>
      <c r="I126" s="208" t="s">
        <v>925</v>
      </c>
      <c r="J126" s="208" t="s">
        <v>925</v>
      </c>
    </row>
    <row r="127" spans="1:10" ht="12.75">
      <c r="A127" s="208" t="s">
        <v>524</v>
      </c>
      <c r="B127" s="208" t="s">
        <v>525</v>
      </c>
      <c r="C127" s="208" t="s">
        <v>526</v>
      </c>
      <c r="D127" s="208" t="s">
        <v>1037</v>
      </c>
      <c r="E127" s="208" t="s">
        <v>158</v>
      </c>
      <c r="F127" s="209" t="s">
        <v>924</v>
      </c>
      <c r="G127" s="208" t="s">
        <v>522</v>
      </c>
      <c r="H127" s="208">
        <v>729769648</v>
      </c>
      <c r="I127" s="208" t="s">
        <v>925</v>
      </c>
      <c r="J127" s="208" t="s">
        <v>925</v>
      </c>
    </row>
    <row r="128" spans="1:10" ht="12.75">
      <c r="A128" s="208" t="s">
        <v>527</v>
      </c>
      <c r="B128" s="208" t="s">
        <v>528</v>
      </c>
      <c r="C128" s="208" t="s">
        <v>529</v>
      </c>
      <c r="D128" s="208" t="s">
        <v>1038</v>
      </c>
      <c r="E128" s="208" t="s">
        <v>158</v>
      </c>
      <c r="F128" s="209" t="s">
        <v>928</v>
      </c>
      <c r="G128" s="208" t="s">
        <v>522</v>
      </c>
      <c r="H128" s="208">
        <v>781648862</v>
      </c>
      <c r="I128" s="208" t="s">
        <v>925</v>
      </c>
      <c r="J128" s="208" t="s">
        <v>925</v>
      </c>
    </row>
    <row r="129" spans="1:10" ht="12.75">
      <c r="A129" s="208" t="s">
        <v>530</v>
      </c>
      <c r="B129" s="208" t="s">
        <v>531</v>
      </c>
      <c r="C129" s="208" t="s">
        <v>381</v>
      </c>
      <c r="D129" s="208" t="s">
        <v>1039</v>
      </c>
      <c r="E129" s="208" t="s">
        <v>158</v>
      </c>
      <c r="F129" s="209" t="s">
        <v>928</v>
      </c>
      <c r="G129" s="208" t="s">
        <v>522</v>
      </c>
      <c r="H129" s="208">
        <v>797983199</v>
      </c>
      <c r="I129" s="208" t="s">
        <v>925</v>
      </c>
      <c r="J129" s="208" t="s">
        <v>925</v>
      </c>
    </row>
    <row r="130" spans="1:10" ht="12.75">
      <c r="A130" s="208" t="s">
        <v>532</v>
      </c>
      <c r="B130" s="208" t="s">
        <v>533</v>
      </c>
      <c r="C130" s="208" t="s">
        <v>534</v>
      </c>
      <c r="D130" s="208" t="s">
        <v>1040</v>
      </c>
      <c r="E130" s="208" t="s">
        <v>158</v>
      </c>
      <c r="F130" s="209" t="s">
        <v>928</v>
      </c>
      <c r="G130" s="208" t="s">
        <v>522</v>
      </c>
      <c r="H130" s="208">
        <v>702673679</v>
      </c>
      <c r="I130" s="208" t="s">
        <v>925</v>
      </c>
      <c r="J130" s="208" t="s">
        <v>925</v>
      </c>
    </row>
    <row r="131" spans="1:10" ht="12.75">
      <c r="A131" s="208" t="s">
        <v>535</v>
      </c>
      <c r="B131" s="208" t="s">
        <v>536</v>
      </c>
      <c r="C131" s="208" t="s">
        <v>240</v>
      </c>
      <c r="D131" s="208" t="s">
        <v>1041</v>
      </c>
      <c r="E131" s="208" t="s">
        <v>158</v>
      </c>
      <c r="F131" s="209" t="s">
        <v>928</v>
      </c>
      <c r="G131" s="208" t="s">
        <v>522</v>
      </c>
      <c r="H131" s="208">
        <v>796313043</v>
      </c>
      <c r="I131" s="208" t="s">
        <v>925</v>
      </c>
      <c r="J131" s="208" t="s">
        <v>925</v>
      </c>
    </row>
    <row r="132" spans="1:10" ht="12.75">
      <c r="A132" s="208" t="s">
        <v>537</v>
      </c>
      <c r="B132" s="208" t="s">
        <v>538</v>
      </c>
      <c r="C132" s="208" t="s">
        <v>539</v>
      </c>
      <c r="D132" s="208" t="s">
        <v>1042</v>
      </c>
      <c r="E132" s="208" t="s">
        <v>152</v>
      </c>
      <c r="F132" s="209" t="s">
        <v>928</v>
      </c>
      <c r="G132" s="208" t="s">
        <v>522</v>
      </c>
      <c r="H132" s="208">
        <v>788822002</v>
      </c>
      <c r="I132" s="208" t="s">
        <v>925</v>
      </c>
      <c r="J132" s="208" t="s">
        <v>925</v>
      </c>
    </row>
    <row r="133" spans="1:10" ht="12.75">
      <c r="A133" s="208" t="s">
        <v>540</v>
      </c>
      <c r="B133" s="208" t="s">
        <v>541</v>
      </c>
      <c r="C133" s="208" t="s">
        <v>542</v>
      </c>
      <c r="D133" s="208" t="s">
        <v>1043</v>
      </c>
      <c r="E133" s="208" t="s">
        <v>152</v>
      </c>
      <c r="F133" s="209" t="s">
        <v>924</v>
      </c>
      <c r="G133" s="208" t="s">
        <v>29</v>
      </c>
      <c r="H133" s="208">
        <v>785841018</v>
      </c>
      <c r="I133" s="208" t="s">
        <v>925</v>
      </c>
      <c r="J133" s="208" t="s">
        <v>925</v>
      </c>
    </row>
    <row r="134" spans="1:10" ht="12.75">
      <c r="A134" s="208" t="s">
        <v>544</v>
      </c>
      <c r="B134" s="208" t="s">
        <v>545</v>
      </c>
      <c r="C134" s="208" t="s">
        <v>534</v>
      </c>
      <c r="D134" s="208" t="s">
        <v>999</v>
      </c>
      <c r="E134" s="208" t="s">
        <v>158</v>
      </c>
      <c r="F134" s="209" t="s">
        <v>924</v>
      </c>
      <c r="G134" s="208" t="s">
        <v>29</v>
      </c>
      <c r="H134" s="208">
        <v>701787065</v>
      </c>
      <c r="I134" s="208" t="s">
        <v>925</v>
      </c>
      <c r="J134" s="208" t="s">
        <v>925</v>
      </c>
    </row>
    <row r="135" spans="1:10" ht="12.75">
      <c r="A135" s="208" t="s">
        <v>546</v>
      </c>
      <c r="B135" s="208" t="s">
        <v>547</v>
      </c>
      <c r="C135" s="208" t="s">
        <v>214</v>
      </c>
      <c r="D135" s="208" t="s">
        <v>173</v>
      </c>
      <c r="E135" s="208" t="s">
        <v>158</v>
      </c>
      <c r="F135" s="209" t="s">
        <v>928</v>
      </c>
      <c r="G135" s="208" t="s">
        <v>29</v>
      </c>
      <c r="H135" s="208">
        <v>766346706</v>
      </c>
      <c r="I135" s="208" t="s">
        <v>925</v>
      </c>
      <c r="J135" s="208" t="s">
        <v>925</v>
      </c>
    </row>
    <row r="136" spans="1:10" ht="12.75">
      <c r="A136" s="208" t="s">
        <v>548</v>
      </c>
      <c r="B136" s="208" t="s">
        <v>549</v>
      </c>
      <c r="C136" s="208" t="s">
        <v>200</v>
      </c>
      <c r="D136" s="208" t="s">
        <v>1044</v>
      </c>
      <c r="E136" s="208" t="s">
        <v>158</v>
      </c>
      <c r="F136" s="209" t="s">
        <v>928</v>
      </c>
      <c r="G136" s="208" t="s">
        <v>29</v>
      </c>
      <c r="H136" s="208">
        <v>797453309</v>
      </c>
      <c r="I136" s="208" t="s">
        <v>925</v>
      </c>
      <c r="J136" s="208" t="s">
        <v>925</v>
      </c>
    </row>
    <row r="137" spans="1:10" ht="12.75">
      <c r="A137" s="208" t="s">
        <v>550</v>
      </c>
      <c r="B137" s="208" t="s">
        <v>551</v>
      </c>
      <c r="C137" s="208" t="s">
        <v>214</v>
      </c>
      <c r="D137" s="208" t="s">
        <v>1045</v>
      </c>
      <c r="E137" s="208" t="s">
        <v>158</v>
      </c>
      <c r="F137" s="209" t="s">
        <v>928</v>
      </c>
      <c r="G137" s="208" t="s">
        <v>29</v>
      </c>
      <c r="H137" s="208">
        <v>786465674</v>
      </c>
      <c r="I137" s="208" t="s">
        <v>925</v>
      </c>
      <c r="J137" s="208" t="s">
        <v>925</v>
      </c>
    </row>
    <row r="138" spans="1:10" ht="12.75">
      <c r="A138" s="208" t="s">
        <v>552</v>
      </c>
      <c r="B138" s="208" t="s">
        <v>553</v>
      </c>
      <c r="C138" s="208" t="s">
        <v>240</v>
      </c>
      <c r="D138" s="208" t="s">
        <v>173</v>
      </c>
      <c r="E138" s="208" t="s">
        <v>158</v>
      </c>
      <c r="F138" s="209" t="s">
        <v>928</v>
      </c>
      <c r="G138" s="208" t="s">
        <v>29</v>
      </c>
      <c r="H138" s="208">
        <v>777843090</v>
      </c>
      <c r="I138" s="208" t="s">
        <v>925</v>
      </c>
      <c r="J138" s="208" t="s">
        <v>925</v>
      </c>
    </row>
    <row r="139" spans="1:10" ht="12.75">
      <c r="A139" s="208" t="s">
        <v>554</v>
      </c>
      <c r="B139" s="208" t="s">
        <v>555</v>
      </c>
      <c r="C139" s="208" t="s">
        <v>556</v>
      </c>
      <c r="D139" s="208" t="s">
        <v>1046</v>
      </c>
      <c r="E139" s="208" t="s">
        <v>152</v>
      </c>
      <c r="F139" s="209" t="s">
        <v>928</v>
      </c>
      <c r="G139" s="208" t="s">
        <v>29</v>
      </c>
      <c r="H139" s="208">
        <v>780970400</v>
      </c>
      <c r="I139" s="208" t="s">
        <v>925</v>
      </c>
      <c r="J139" s="208" t="s">
        <v>925</v>
      </c>
    </row>
    <row r="140" spans="1:10" ht="12.75">
      <c r="A140" s="208" t="s">
        <v>557</v>
      </c>
      <c r="B140" s="208" t="s">
        <v>558</v>
      </c>
      <c r="C140" s="208" t="s">
        <v>559</v>
      </c>
      <c r="D140" s="208" t="s">
        <v>1047</v>
      </c>
      <c r="E140" s="208" t="s">
        <v>152</v>
      </c>
      <c r="F140" s="209" t="s">
        <v>924</v>
      </c>
      <c r="G140" s="208" t="s">
        <v>31</v>
      </c>
      <c r="H140" s="208">
        <v>774619269</v>
      </c>
      <c r="I140" s="208" t="s">
        <v>925</v>
      </c>
      <c r="J140" s="208" t="s">
        <v>925</v>
      </c>
    </row>
    <row r="141" spans="1:10" ht="12.75">
      <c r="A141" s="208" t="s">
        <v>561</v>
      </c>
      <c r="B141" s="208" t="s">
        <v>350</v>
      </c>
      <c r="C141" s="208" t="s">
        <v>562</v>
      </c>
      <c r="D141" s="208" t="s">
        <v>1048</v>
      </c>
      <c r="E141" s="208" t="s">
        <v>158</v>
      </c>
      <c r="F141" s="209" t="s">
        <v>924</v>
      </c>
      <c r="G141" s="208" t="s">
        <v>31</v>
      </c>
      <c r="H141" s="208">
        <v>791965071</v>
      </c>
      <c r="I141" s="208" t="s">
        <v>925</v>
      </c>
      <c r="J141" s="208" t="s">
        <v>925</v>
      </c>
    </row>
    <row r="142" spans="1:10" ht="12.75">
      <c r="A142" s="208" t="s">
        <v>563</v>
      </c>
      <c r="B142" s="208" t="s">
        <v>564</v>
      </c>
      <c r="C142" s="208" t="s">
        <v>565</v>
      </c>
      <c r="D142" s="208" t="s">
        <v>1049</v>
      </c>
      <c r="E142" s="208" t="s">
        <v>158</v>
      </c>
      <c r="F142" s="209" t="s">
        <v>928</v>
      </c>
      <c r="G142" s="208" t="s">
        <v>31</v>
      </c>
      <c r="H142" s="208">
        <v>773776506</v>
      </c>
      <c r="I142" s="208" t="s">
        <v>925</v>
      </c>
      <c r="J142" s="208" t="s">
        <v>925</v>
      </c>
    </row>
    <row r="143" spans="1:10" ht="12.75">
      <c r="A143" s="208" t="s">
        <v>566</v>
      </c>
      <c r="B143" s="208" t="s">
        <v>567</v>
      </c>
      <c r="C143" s="208" t="s">
        <v>568</v>
      </c>
      <c r="D143" s="208" t="s">
        <v>1050</v>
      </c>
      <c r="E143" s="208" t="s">
        <v>158</v>
      </c>
      <c r="F143" s="209" t="s">
        <v>928</v>
      </c>
      <c r="G143" s="208" t="s">
        <v>31</v>
      </c>
      <c r="H143" s="208">
        <v>779914151</v>
      </c>
      <c r="I143" s="208" t="s">
        <v>925</v>
      </c>
      <c r="J143" s="208" t="s">
        <v>925</v>
      </c>
    </row>
    <row r="144" spans="1:10" ht="12.75">
      <c r="A144" s="208" t="s">
        <v>569</v>
      </c>
      <c r="B144" s="208" t="s">
        <v>570</v>
      </c>
      <c r="C144" s="208" t="s">
        <v>167</v>
      </c>
      <c r="D144" s="208" t="s">
        <v>173</v>
      </c>
      <c r="E144" s="208" t="s">
        <v>158</v>
      </c>
      <c r="F144" s="209" t="s">
        <v>928</v>
      </c>
      <c r="G144" s="208" t="s">
        <v>31</v>
      </c>
      <c r="H144" s="208">
        <v>779886123</v>
      </c>
      <c r="I144" s="208" t="s">
        <v>925</v>
      </c>
      <c r="J144" s="208" t="s">
        <v>925</v>
      </c>
    </row>
    <row r="145" spans="1:10" ht="12.75">
      <c r="A145" s="208" t="s">
        <v>571</v>
      </c>
      <c r="B145" s="208" t="s">
        <v>296</v>
      </c>
      <c r="C145" s="208" t="s">
        <v>572</v>
      </c>
      <c r="D145" s="208" t="s">
        <v>1051</v>
      </c>
      <c r="E145" s="208" t="s">
        <v>158</v>
      </c>
      <c r="F145" s="209" t="s">
        <v>928</v>
      </c>
      <c r="G145" s="208" t="s">
        <v>31</v>
      </c>
      <c r="H145" s="208">
        <v>777497443</v>
      </c>
      <c r="I145" s="208" t="s">
        <v>925</v>
      </c>
      <c r="J145" s="208" t="s">
        <v>925</v>
      </c>
    </row>
    <row r="146" spans="1:10" ht="12.75">
      <c r="A146" s="208" t="s">
        <v>573</v>
      </c>
      <c r="B146" s="208" t="s">
        <v>320</v>
      </c>
      <c r="C146" s="208" t="s">
        <v>574</v>
      </c>
      <c r="D146" s="208" t="s">
        <v>1052</v>
      </c>
      <c r="E146" s="208" t="s">
        <v>152</v>
      </c>
      <c r="F146" s="209" t="s">
        <v>928</v>
      </c>
      <c r="G146" s="208" t="s">
        <v>31</v>
      </c>
      <c r="H146" s="208">
        <v>787083210</v>
      </c>
      <c r="I146" s="208" t="s">
        <v>925</v>
      </c>
      <c r="J146" s="208" t="s">
        <v>925</v>
      </c>
    </row>
    <row r="147" spans="1:10" ht="12.75">
      <c r="A147" s="208" t="s">
        <v>575</v>
      </c>
      <c r="B147" s="208" t="s">
        <v>299</v>
      </c>
      <c r="C147" s="208" t="s">
        <v>200</v>
      </c>
      <c r="D147" s="208" t="s">
        <v>1053</v>
      </c>
      <c r="E147" s="208" t="s">
        <v>152</v>
      </c>
      <c r="F147" s="209" t="s">
        <v>924</v>
      </c>
      <c r="G147" s="208" t="s">
        <v>576</v>
      </c>
      <c r="H147" s="208">
        <v>731731405</v>
      </c>
      <c r="I147" s="208" t="s">
        <v>925</v>
      </c>
      <c r="J147" s="208" t="s">
        <v>925</v>
      </c>
    </row>
    <row r="148" spans="1:10" ht="12.75">
      <c r="A148" s="208" t="s">
        <v>578</v>
      </c>
      <c r="B148" s="208" t="s">
        <v>270</v>
      </c>
      <c r="C148" s="208" t="s">
        <v>200</v>
      </c>
      <c r="D148" s="208" t="s">
        <v>1054</v>
      </c>
      <c r="E148" s="208" t="s">
        <v>158</v>
      </c>
      <c r="F148" s="209" t="s">
        <v>924</v>
      </c>
      <c r="G148" s="208" t="s">
        <v>576</v>
      </c>
      <c r="H148" s="208">
        <v>795542234</v>
      </c>
      <c r="I148" s="208" t="s">
        <v>925</v>
      </c>
      <c r="J148" s="208" t="s">
        <v>925</v>
      </c>
    </row>
    <row r="149" spans="1:10" ht="12.75">
      <c r="A149" s="208" t="s">
        <v>579</v>
      </c>
      <c r="B149" s="208" t="s">
        <v>454</v>
      </c>
      <c r="C149" s="208" t="s">
        <v>580</v>
      </c>
      <c r="D149" s="208" t="s">
        <v>1055</v>
      </c>
      <c r="E149" s="208" t="s">
        <v>158</v>
      </c>
      <c r="F149" s="209" t="s">
        <v>928</v>
      </c>
      <c r="G149" s="208" t="s">
        <v>576</v>
      </c>
      <c r="H149" s="208">
        <v>745304718</v>
      </c>
      <c r="I149" s="208" t="s">
        <v>925</v>
      </c>
      <c r="J149" s="208" t="s">
        <v>925</v>
      </c>
    </row>
    <row r="150" spans="1:10" ht="12.75">
      <c r="A150" s="208" t="s">
        <v>581</v>
      </c>
      <c r="B150" s="208" t="s">
        <v>582</v>
      </c>
      <c r="C150" s="208" t="s">
        <v>583</v>
      </c>
      <c r="D150" s="208" t="s">
        <v>1056</v>
      </c>
      <c r="E150" s="208" t="s">
        <v>158</v>
      </c>
      <c r="F150" s="209" t="s">
        <v>928</v>
      </c>
      <c r="G150" s="208" t="s">
        <v>576</v>
      </c>
      <c r="H150" s="208">
        <v>798786795</v>
      </c>
      <c r="I150" s="208" t="s">
        <v>925</v>
      </c>
      <c r="J150" s="208" t="s">
        <v>925</v>
      </c>
    </row>
    <row r="151" spans="1:10" ht="12.75">
      <c r="A151" s="208" t="s">
        <v>584</v>
      </c>
      <c r="B151" s="208" t="s">
        <v>585</v>
      </c>
      <c r="C151" s="208" t="s">
        <v>572</v>
      </c>
      <c r="D151" s="208" t="s">
        <v>1057</v>
      </c>
      <c r="E151" s="208" t="s">
        <v>158</v>
      </c>
      <c r="F151" s="209" t="s">
        <v>928</v>
      </c>
      <c r="G151" s="208" t="s">
        <v>576</v>
      </c>
      <c r="H151" s="208">
        <v>747633812</v>
      </c>
      <c r="I151" s="208" t="s">
        <v>925</v>
      </c>
      <c r="J151" s="208" t="s">
        <v>925</v>
      </c>
    </row>
    <row r="152" spans="1:10" ht="12.75">
      <c r="A152" s="208" t="s">
        <v>586</v>
      </c>
      <c r="B152" s="208" t="s">
        <v>587</v>
      </c>
      <c r="C152" s="208" t="s">
        <v>588</v>
      </c>
      <c r="D152" s="208" t="s">
        <v>173</v>
      </c>
      <c r="E152" s="208" t="s">
        <v>158</v>
      </c>
      <c r="F152" s="209" t="s">
        <v>928</v>
      </c>
      <c r="G152" s="208" t="s">
        <v>576</v>
      </c>
      <c r="H152" s="208">
        <v>787450589</v>
      </c>
      <c r="I152" s="208" t="s">
        <v>925</v>
      </c>
      <c r="J152" s="208" t="s">
        <v>925</v>
      </c>
    </row>
    <row r="153" spans="1:10" ht="12.75">
      <c r="A153" s="208" t="s">
        <v>589</v>
      </c>
      <c r="B153" s="208" t="s">
        <v>590</v>
      </c>
      <c r="C153" s="208" t="s">
        <v>304</v>
      </c>
      <c r="D153" s="208" t="s">
        <v>459</v>
      </c>
      <c r="E153" s="208" t="s">
        <v>152</v>
      </c>
      <c r="F153" s="209" t="s">
        <v>928</v>
      </c>
      <c r="G153" s="208" t="s">
        <v>576</v>
      </c>
      <c r="H153" s="208">
        <v>730549695</v>
      </c>
      <c r="I153" s="208" t="s">
        <v>925</v>
      </c>
      <c r="J153" s="208" t="s">
        <v>925</v>
      </c>
    </row>
    <row r="154" spans="1:10" ht="12.75">
      <c r="A154" s="208" t="s">
        <v>591</v>
      </c>
      <c r="B154" s="208" t="s">
        <v>592</v>
      </c>
      <c r="C154" s="208" t="s">
        <v>534</v>
      </c>
      <c r="D154" s="208" t="s">
        <v>1031</v>
      </c>
      <c r="E154" s="208" t="s">
        <v>152</v>
      </c>
      <c r="F154" s="209" t="s">
        <v>924</v>
      </c>
      <c r="G154" s="208" t="s">
        <v>25</v>
      </c>
      <c r="H154" s="208">
        <v>795775330</v>
      </c>
      <c r="I154" s="208" t="s">
        <v>925</v>
      </c>
      <c r="J154" s="208" t="s">
        <v>925</v>
      </c>
    </row>
    <row r="155" spans="1:10" ht="12.75">
      <c r="A155" s="208" t="s">
        <v>594</v>
      </c>
      <c r="B155" s="208" t="s">
        <v>595</v>
      </c>
      <c r="C155" s="208" t="s">
        <v>596</v>
      </c>
      <c r="D155" s="208" t="s">
        <v>1058</v>
      </c>
      <c r="E155" s="208" t="s">
        <v>158</v>
      </c>
      <c r="F155" s="209" t="s">
        <v>924</v>
      </c>
      <c r="G155" s="208" t="s">
        <v>25</v>
      </c>
      <c r="H155" s="208">
        <v>703738996</v>
      </c>
      <c r="I155" s="208" t="s">
        <v>925</v>
      </c>
      <c r="J155" s="208" t="s">
        <v>925</v>
      </c>
    </row>
    <row r="156" spans="1:10" ht="12.75">
      <c r="A156" s="208" t="s">
        <v>597</v>
      </c>
      <c r="B156" s="208" t="s">
        <v>598</v>
      </c>
      <c r="C156" s="208" t="s">
        <v>447</v>
      </c>
      <c r="D156" s="208" t="s">
        <v>1059</v>
      </c>
      <c r="E156" s="208" t="s">
        <v>158</v>
      </c>
      <c r="F156" s="209" t="s">
        <v>928</v>
      </c>
      <c r="G156" s="208" t="s">
        <v>25</v>
      </c>
      <c r="H156" s="208">
        <v>788891696</v>
      </c>
      <c r="I156" s="208" t="s">
        <v>925</v>
      </c>
      <c r="J156" s="208" t="s">
        <v>925</v>
      </c>
    </row>
    <row r="157" spans="1:10" ht="12.75">
      <c r="A157" s="208" t="s">
        <v>599</v>
      </c>
      <c r="B157" s="208" t="s">
        <v>207</v>
      </c>
      <c r="C157" s="208" t="s">
        <v>600</v>
      </c>
      <c r="D157" s="208" t="s">
        <v>1060</v>
      </c>
      <c r="E157" s="208" t="s">
        <v>158</v>
      </c>
      <c r="F157" s="209" t="s">
        <v>928</v>
      </c>
      <c r="G157" s="208" t="s">
        <v>25</v>
      </c>
      <c r="H157" s="208">
        <v>799414894</v>
      </c>
      <c r="I157" s="208" t="s">
        <v>925</v>
      </c>
      <c r="J157" s="208" t="s">
        <v>925</v>
      </c>
    </row>
    <row r="158" spans="1:10" ht="12.75">
      <c r="A158" s="208" t="s">
        <v>601</v>
      </c>
      <c r="B158" s="208" t="s">
        <v>602</v>
      </c>
      <c r="C158" s="208" t="s">
        <v>580</v>
      </c>
      <c r="D158" s="208" t="s">
        <v>1061</v>
      </c>
      <c r="E158" s="208" t="s">
        <v>158</v>
      </c>
      <c r="F158" s="209" t="s">
        <v>928</v>
      </c>
      <c r="G158" s="208" t="s">
        <v>25</v>
      </c>
      <c r="H158" s="208">
        <v>706663493</v>
      </c>
      <c r="I158" s="208" t="s">
        <v>925</v>
      </c>
      <c r="J158" s="208" t="s">
        <v>925</v>
      </c>
    </row>
    <row r="159" spans="1:10" ht="12.75">
      <c r="A159" s="208" t="s">
        <v>603</v>
      </c>
      <c r="B159" s="208" t="s">
        <v>604</v>
      </c>
      <c r="C159" s="208" t="s">
        <v>203</v>
      </c>
      <c r="D159" s="208" t="s">
        <v>1062</v>
      </c>
      <c r="E159" s="208" t="s">
        <v>158</v>
      </c>
      <c r="F159" s="209" t="s">
        <v>928</v>
      </c>
      <c r="G159" s="208" t="s">
        <v>25</v>
      </c>
      <c r="H159" s="208">
        <v>792667671</v>
      </c>
      <c r="I159" s="208" t="s">
        <v>925</v>
      </c>
      <c r="J159" s="208" t="s">
        <v>925</v>
      </c>
    </row>
    <row r="160" spans="1:10" ht="12.75">
      <c r="A160" s="208" t="s">
        <v>605</v>
      </c>
      <c r="B160" s="208" t="s">
        <v>606</v>
      </c>
      <c r="C160" s="208" t="s">
        <v>607</v>
      </c>
      <c r="D160" s="208" t="s">
        <v>1063</v>
      </c>
      <c r="E160" s="208" t="s">
        <v>152</v>
      </c>
      <c r="F160" s="209" t="s">
        <v>928</v>
      </c>
      <c r="G160" s="208" t="s">
        <v>25</v>
      </c>
      <c r="H160" s="208">
        <v>703635523</v>
      </c>
      <c r="I160" s="208" t="s">
        <v>925</v>
      </c>
      <c r="J160" s="208" t="s">
        <v>925</v>
      </c>
    </row>
    <row r="161" spans="1:10" ht="12.75">
      <c r="A161" s="208" t="s">
        <v>608</v>
      </c>
      <c r="B161" s="208" t="s">
        <v>609</v>
      </c>
      <c r="C161" s="208" t="s">
        <v>610</v>
      </c>
      <c r="D161" s="208" t="s">
        <v>1019</v>
      </c>
      <c r="E161" s="208" t="s">
        <v>152</v>
      </c>
      <c r="F161" s="209" t="s">
        <v>924</v>
      </c>
      <c r="G161" s="208" t="s">
        <v>137</v>
      </c>
      <c r="H161" s="208">
        <v>766408972</v>
      </c>
      <c r="I161" s="208" t="s">
        <v>925</v>
      </c>
      <c r="J161" s="208" t="s">
        <v>925</v>
      </c>
    </row>
    <row r="162" spans="1:10" ht="12.75">
      <c r="A162" s="208" t="s">
        <v>611</v>
      </c>
      <c r="B162" s="208" t="s">
        <v>612</v>
      </c>
      <c r="C162" s="208" t="s">
        <v>613</v>
      </c>
      <c r="D162" s="208" t="s">
        <v>1064</v>
      </c>
      <c r="E162" s="208" t="s">
        <v>158</v>
      </c>
      <c r="F162" s="209" t="s">
        <v>924</v>
      </c>
      <c r="G162" s="208" t="s">
        <v>137</v>
      </c>
      <c r="H162" s="208">
        <v>789700137</v>
      </c>
      <c r="I162" s="208" t="s">
        <v>925</v>
      </c>
      <c r="J162" s="208" t="s">
        <v>925</v>
      </c>
    </row>
    <row r="163" spans="1:10" ht="12.75">
      <c r="A163" s="208" t="s">
        <v>614</v>
      </c>
      <c r="B163" s="208" t="s">
        <v>615</v>
      </c>
      <c r="C163" s="208" t="s">
        <v>616</v>
      </c>
      <c r="D163" s="208" t="s">
        <v>1065</v>
      </c>
      <c r="E163" s="208" t="s">
        <v>158</v>
      </c>
      <c r="F163" s="209" t="s">
        <v>928</v>
      </c>
      <c r="G163" s="208" t="s">
        <v>137</v>
      </c>
      <c r="H163" s="208">
        <v>780867281</v>
      </c>
      <c r="I163" s="208" t="s">
        <v>925</v>
      </c>
      <c r="J163" s="208" t="s">
        <v>925</v>
      </c>
    </row>
    <row r="164" spans="1:10" ht="12.75">
      <c r="A164" s="208" t="s">
        <v>617</v>
      </c>
      <c r="B164" s="208" t="s">
        <v>618</v>
      </c>
      <c r="C164" s="208" t="s">
        <v>137</v>
      </c>
      <c r="D164" s="208" t="s">
        <v>1066</v>
      </c>
      <c r="E164" s="208" t="s">
        <v>158</v>
      </c>
      <c r="F164" s="209" t="s">
        <v>928</v>
      </c>
      <c r="G164" s="208" t="s">
        <v>137</v>
      </c>
      <c r="H164" s="208">
        <v>789952550</v>
      </c>
      <c r="I164" s="208" t="s">
        <v>925</v>
      </c>
      <c r="J164" s="208" t="s">
        <v>925</v>
      </c>
    </row>
    <row r="165" spans="1:10" ht="12.75">
      <c r="A165" s="208" t="s">
        <v>619</v>
      </c>
      <c r="B165" s="208" t="s">
        <v>620</v>
      </c>
      <c r="C165" s="208" t="s">
        <v>621</v>
      </c>
      <c r="D165" s="208" t="s">
        <v>173</v>
      </c>
      <c r="E165" s="208" t="s">
        <v>158</v>
      </c>
      <c r="F165" s="209" t="s">
        <v>928</v>
      </c>
      <c r="G165" s="208" t="s">
        <v>137</v>
      </c>
      <c r="H165" s="208">
        <v>765532678</v>
      </c>
      <c r="I165" s="208" t="s">
        <v>925</v>
      </c>
      <c r="J165" s="208" t="s">
        <v>925</v>
      </c>
    </row>
    <row r="166" spans="1:10" ht="12.75">
      <c r="A166" s="208" t="s">
        <v>622</v>
      </c>
      <c r="B166" s="208" t="s">
        <v>623</v>
      </c>
      <c r="C166" s="208" t="s">
        <v>624</v>
      </c>
      <c r="D166" s="208" t="s">
        <v>1067</v>
      </c>
      <c r="E166" s="208" t="s">
        <v>158</v>
      </c>
      <c r="F166" s="209" t="s">
        <v>928</v>
      </c>
      <c r="G166" s="208" t="s">
        <v>137</v>
      </c>
      <c r="H166" s="208">
        <v>788951957</v>
      </c>
      <c r="I166" s="208" t="s">
        <v>925</v>
      </c>
      <c r="J166" s="208" t="s">
        <v>925</v>
      </c>
    </row>
    <row r="167" spans="1:10" ht="12.75">
      <c r="A167" s="208" t="s">
        <v>625</v>
      </c>
      <c r="B167" s="208" t="s">
        <v>626</v>
      </c>
      <c r="C167" s="208" t="s">
        <v>214</v>
      </c>
      <c r="D167" s="208" t="s">
        <v>1068</v>
      </c>
      <c r="E167" s="208" t="s">
        <v>152</v>
      </c>
      <c r="F167" s="209" t="s">
        <v>928</v>
      </c>
      <c r="G167" s="208" t="s">
        <v>137</v>
      </c>
      <c r="H167" s="208">
        <v>708497640</v>
      </c>
      <c r="I167" s="208" t="s">
        <v>925</v>
      </c>
      <c r="J167" s="208" t="s">
        <v>925</v>
      </c>
    </row>
    <row r="168" spans="1:10" ht="12.75">
      <c r="A168" s="208" t="s">
        <v>627</v>
      </c>
      <c r="B168" s="208" t="s">
        <v>628</v>
      </c>
      <c r="C168" s="208" t="s">
        <v>200</v>
      </c>
      <c r="D168" s="208" t="s">
        <v>711</v>
      </c>
      <c r="E168" s="208" t="s">
        <v>152</v>
      </c>
      <c r="F168" s="209" t="s">
        <v>1069</v>
      </c>
      <c r="G168" s="208" t="s">
        <v>27</v>
      </c>
      <c r="H168" s="208">
        <v>799072491</v>
      </c>
      <c r="I168" s="208">
        <v>790706667</v>
      </c>
      <c r="J168" s="208">
        <v>799072491</v>
      </c>
    </row>
    <row r="169" spans="1:10" ht="12.75">
      <c r="A169" s="208" t="s">
        <v>629</v>
      </c>
      <c r="B169" s="208" t="s">
        <v>630</v>
      </c>
      <c r="C169" s="208" t="s">
        <v>631</v>
      </c>
      <c r="D169" s="208" t="s">
        <v>1070</v>
      </c>
      <c r="E169" s="208" t="s">
        <v>158</v>
      </c>
      <c r="F169" s="209" t="s">
        <v>1069</v>
      </c>
      <c r="G169" s="208" t="s">
        <v>27</v>
      </c>
      <c r="H169" s="208">
        <v>796235419</v>
      </c>
      <c r="I169" s="208">
        <v>792410753</v>
      </c>
      <c r="J169" s="208">
        <v>796235419</v>
      </c>
    </row>
    <row r="170" spans="1:10" ht="12.75">
      <c r="A170" s="208" t="s">
        <v>632</v>
      </c>
      <c r="B170" s="208" t="s">
        <v>633</v>
      </c>
      <c r="C170" s="208" t="s">
        <v>240</v>
      </c>
      <c r="D170" s="208" t="s">
        <v>1071</v>
      </c>
      <c r="E170" s="208" t="s">
        <v>152</v>
      </c>
      <c r="F170" s="209" t="s">
        <v>1069</v>
      </c>
      <c r="G170" s="208" t="s">
        <v>129</v>
      </c>
      <c r="H170" s="208">
        <v>731447873</v>
      </c>
      <c r="I170" s="208"/>
      <c r="J170" s="208">
        <v>793079330</v>
      </c>
    </row>
    <row r="171" spans="1:10" ht="12.75">
      <c r="A171" s="208" t="s">
        <v>634</v>
      </c>
      <c r="B171" s="208" t="s">
        <v>623</v>
      </c>
      <c r="C171" s="208" t="s">
        <v>635</v>
      </c>
      <c r="D171" s="208" t="s">
        <v>1072</v>
      </c>
      <c r="E171" s="208" t="s">
        <v>158</v>
      </c>
      <c r="F171" s="209" t="s">
        <v>1069</v>
      </c>
      <c r="G171" s="208" t="s">
        <v>129</v>
      </c>
      <c r="H171" s="208">
        <v>792274529</v>
      </c>
      <c r="I171" s="208">
        <v>797610079</v>
      </c>
      <c r="J171" s="208">
        <v>792274529</v>
      </c>
    </row>
    <row r="172" spans="1:10" ht="12.75">
      <c r="A172" s="208" t="s">
        <v>636</v>
      </c>
      <c r="B172" s="208" t="s">
        <v>637</v>
      </c>
      <c r="C172" s="208" t="s">
        <v>638</v>
      </c>
      <c r="D172" s="208" t="s">
        <v>1073</v>
      </c>
      <c r="E172" s="208" t="s">
        <v>152</v>
      </c>
      <c r="F172" s="209" t="s">
        <v>1069</v>
      </c>
      <c r="G172" s="208" t="s">
        <v>125</v>
      </c>
      <c r="H172" s="208">
        <v>799255004</v>
      </c>
      <c r="I172" s="208">
        <v>781900530</v>
      </c>
      <c r="J172" s="208">
        <v>786002793</v>
      </c>
    </row>
    <row r="173" spans="1:10" ht="12.75">
      <c r="A173" s="208" t="s">
        <v>639</v>
      </c>
      <c r="B173" s="208" t="s">
        <v>640</v>
      </c>
      <c r="C173" s="208" t="s">
        <v>200</v>
      </c>
      <c r="D173" s="208" t="s">
        <v>1074</v>
      </c>
      <c r="E173" s="208" t="s">
        <v>158</v>
      </c>
      <c r="F173" s="209" t="s">
        <v>1069</v>
      </c>
      <c r="G173" s="208" t="s">
        <v>125</v>
      </c>
      <c r="H173" s="208">
        <v>782788873</v>
      </c>
      <c r="I173" s="208" t="s">
        <v>1075</v>
      </c>
      <c r="J173" s="208">
        <v>782788873</v>
      </c>
    </row>
    <row r="174" spans="1:10" ht="12.75">
      <c r="A174" s="208" t="s">
        <v>641</v>
      </c>
      <c r="B174" s="208" t="s">
        <v>642</v>
      </c>
      <c r="C174" s="208" t="s">
        <v>643</v>
      </c>
      <c r="D174" s="208" t="s">
        <v>30</v>
      </c>
      <c r="E174" s="208" t="s">
        <v>152</v>
      </c>
      <c r="F174" s="209" t="s">
        <v>1069</v>
      </c>
      <c r="G174" s="208" t="s">
        <v>30</v>
      </c>
      <c r="H174" s="208">
        <v>779131291</v>
      </c>
      <c r="I174" s="208">
        <v>779131291</v>
      </c>
      <c r="J174" s="208">
        <v>779131291</v>
      </c>
    </row>
    <row r="175" spans="1:10" ht="12.75">
      <c r="A175" s="208" t="s">
        <v>644</v>
      </c>
      <c r="B175" s="208" t="s">
        <v>645</v>
      </c>
      <c r="C175" s="208" t="s">
        <v>643</v>
      </c>
      <c r="D175" s="208" t="s">
        <v>1076</v>
      </c>
      <c r="E175" s="208" t="s">
        <v>158</v>
      </c>
      <c r="F175" s="209" t="s">
        <v>1069</v>
      </c>
      <c r="G175" s="208" t="s">
        <v>30</v>
      </c>
      <c r="H175" s="208">
        <v>770345120</v>
      </c>
      <c r="I175" s="208"/>
      <c r="J175" s="208">
        <v>765350479</v>
      </c>
    </row>
    <row r="176" spans="1:10" ht="12.75">
      <c r="A176" s="208" t="s">
        <v>646</v>
      </c>
      <c r="B176" s="208" t="s">
        <v>647</v>
      </c>
      <c r="C176" s="208" t="s">
        <v>648</v>
      </c>
      <c r="D176" s="208" t="s">
        <v>1077</v>
      </c>
      <c r="E176" s="208" t="s">
        <v>152</v>
      </c>
      <c r="F176" s="209" t="s">
        <v>1069</v>
      </c>
      <c r="G176" s="208" t="s">
        <v>132</v>
      </c>
      <c r="H176" s="208">
        <v>708066773</v>
      </c>
      <c r="I176" s="208">
        <v>797234050</v>
      </c>
      <c r="J176" s="208">
        <v>797234050</v>
      </c>
    </row>
    <row r="177" spans="1:10" ht="12.75">
      <c r="A177" s="208" t="s">
        <v>649</v>
      </c>
      <c r="B177" s="208" t="s">
        <v>650</v>
      </c>
      <c r="C177" s="208" t="s">
        <v>580</v>
      </c>
      <c r="D177" s="208" t="s">
        <v>1078</v>
      </c>
      <c r="E177" s="208" t="s">
        <v>158</v>
      </c>
      <c r="F177" s="209" t="s">
        <v>1069</v>
      </c>
      <c r="G177" s="208" t="s">
        <v>132</v>
      </c>
      <c r="H177" s="208">
        <v>793293515</v>
      </c>
      <c r="I177" s="208"/>
      <c r="J177" s="208">
        <v>703633218</v>
      </c>
    </row>
    <row r="178" spans="1:10" ht="12.75">
      <c r="A178" s="208" t="s">
        <v>651</v>
      </c>
      <c r="B178" s="208" t="s">
        <v>652</v>
      </c>
      <c r="C178" s="208" t="s">
        <v>203</v>
      </c>
      <c r="D178" s="208" t="s">
        <v>1079</v>
      </c>
      <c r="E178" s="208" t="s">
        <v>152</v>
      </c>
      <c r="F178" s="209" t="s">
        <v>1069</v>
      </c>
      <c r="G178" s="208" t="s">
        <v>35</v>
      </c>
      <c r="H178" s="208">
        <v>794379000</v>
      </c>
      <c r="I178" s="208">
        <v>782722260</v>
      </c>
      <c r="J178" s="208">
        <v>794379000</v>
      </c>
    </row>
    <row r="179" spans="1:10" ht="12.75">
      <c r="A179" s="208" t="s">
        <v>653</v>
      </c>
      <c r="B179" s="208" t="s">
        <v>654</v>
      </c>
      <c r="C179" s="208" t="s">
        <v>655</v>
      </c>
      <c r="D179" s="208" t="s">
        <v>1080</v>
      </c>
      <c r="E179" s="208" t="s">
        <v>158</v>
      </c>
      <c r="F179" s="209" t="s">
        <v>1069</v>
      </c>
      <c r="G179" s="208" t="s">
        <v>35</v>
      </c>
      <c r="H179" s="208">
        <v>797874865</v>
      </c>
      <c r="I179" s="208">
        <v>729513681</v>
      </c>
      <c r="J179" s="208">
        <v>797874865</v>
      </c>
    </row>
    <row r="180" spans="1:10" ht="12.75">
      <c r="A180" s="208" t="s">
        <v>656</v>
      </c>
      <c r="B180" s="208" t="s">
        <v>657</v>
      </c>
      <c r="C180" s="208" t="s">
        <v>200</v>
      </c>
      <c r="D180" s="208" t="s">
        <v>1081</v>
      </c>
      <c r="E180" s="208" t="s">
        <v>152</v>
      </c>
      <c r="F180" s="209" t="s">
        <v>1069</v>
      </c>
      <c r="G180" s="208" t="s">
        <v>283</v>
      </c>
      <c r="H180" s="208">
        <v>780144075</v>
      </c>
      <c r="I180" s="208">
        <v>700144075</v>
      </c>
      <c r="J180" s="208">
        <v>780144075</v>
      </c>
    </row>
    <row r="181" spans="1:10" ht="12.75">
      <c r="A181" s="208" t="s">
        <v>658</v>
      </c>
      <c r="B181" s="208" t="s">
        <v>659</v>
      </c>
      <c r="C181" s="208" t="s">
        <v>381</v>
      </c>
      <c r="D181" s="208" t="s">
        <v>1082</v>
      </c>
      <c r="E181" s="208" t="s">
        <v>158</v>
      </c>
      <c r="F181" s="209" t="s">
        <v>1069</v>
      </c>
      <c r="G181" s="208" t="s">
        <v>283</v>
      </c>
      <c r="H181" s="208">
        <v>731924735</v>
      </c>
      <c r="I181" s="208">
        <v>731865580</v>
      </c>
      <c r="J181" s="208"/>
    </row>
    <row r="182" spans="1:10" ht="12.75">
      <c r="A182" s="208" t="s">
        <v>660</v>
      </c>
      <c r="B182" s="208" t="s">
        <v>661</v>
      </c>
      <c r="C182" s="208" t="s">
        <v>662</v>
      </c>
      <c r="D182" s="208" t="s">
        <v>1083</v>
      </c>
      <c r="E182" s="208" t="s">
        <v>152</v>
      </c>
      <c r="F182" s="209" t="s">
        <v>1069</v>
      </c>
      <c r="G182" s="208" t="s">
        <v>134</v>
      </c>
      <c r="H182" s="208">
        <v>767875848</v>
      </c>
      <c r="I182" s="208" t="s">
        <v>173</v>
      </c>
      <c r="J182" s="208">
        <v>767875848</v>
      </c>
    </row>
    <row r="183" spans="1:10" ht="12.75">
      <c r="A183" s="208" t="s">
        <v>663</v>
      </c>
      <c r="B183" s="208" t="s">
        <v>664</v>
      </c>
      <c r="C183" s="208" t="s">
        <v>665</v>
      </c>
      <c r="D183" s="208" t="s">
        <v>1084</v>
      </c>
      <c r="E183" s="208" t="s">
        <v>158</v>
      </c>
      <c r="F183" s="209" t="s">
        <v>1069</v>
      </c>
      <c r="G183" s="208" t="s">
        <v>134</v>
      </c>
      <c r="H183" s="208">
        <v>788615947</v>
      </c>
      <c r="I183" s="208">
        <v>788368747</v>
      </c>
      <c r="J183" s="208">
        <v>788615947</v>
      </c>
    </row>
    <row r="184" spans="1:10" ht="12.75">
      <c r="A184" s="208" t="s">
        <v>666</v>
      </c>
      <c r="B184" s="208" t="s">
        <v>667</v>
      </c>
      <c r="C184" s="208" t="s">
        <v>228</v>
      </c>
      <c r="D184" s="208" t="s">
        <v>1085</v>
      </c>
      <c r="E184" s="208" t="s">
        <v>152</v>
      </c>
      <c r="F184" s="209" t="s">
        <v>1069</v>
      </c>
      <c r="G184" s="208" t="s">
        <v>135</v>
      </c>
      <c r="H184" s="208">
        <v>771831586</v>
      </c>
      <c r="I184" s="208">
        <v>771831586</v>
      </c>
      <c r="J184" s="208">
        <v>771831586</v>
      </c>
    </row>
    <row r="185" spans="1:10" ht="12.75">
      <c r="A185" s="208" t="s">
        <v>668</v>
      </c>
      <c r="B185" s="208" t="s">
        <v>669</v>
      </c>
      <c r="C185" s="208" t="s">
        <v>670</v>
      </c>
      <c r="D185" s="208" t="s">
        <v>1086</v>
      </c>
      <c r="E185" s="208" t="s">
        <v>158</v>
      </c>
      <c r="F185" s="209" t="s">
        <v>1069</v>
      </c>
      <c r="G185" s="208" t="s">
        <v>135</v>
      </c>
      <c r="H185" s="208">
        <v>767271366</v>
      </c>
      <c r="I185" s="208">
        <v>775314241</v>
      </c>
      <c r="J185" s="208">
        <v>767271366</v>
      </c>
    </row>
    <row r="186" spans="1:10" ht="12.75">
      <c r="A186" s="208" t="s">
        <v>671</v>
      </c>
      <c r="B186" s="208" t="s">
        <v>672</v>
      </c>
      <c r="C186" s="208" t="s">
        <v>673</v>
      </c>
      <c r="D186" s="208" t="s">
        <v>1087</v>
      </c>
      <c r="E186" s="208" t="s">
        <v>152</v>
      </c>
      <c r="F186" s="209" t="s">
        <v>1069</v>
      </c>
      <c r="G186" s="208" t="s">
        <v>28</v>
      </c>
      <c r="H186" s="208">
        <v>773806586</v>
      </c>
      <c r="I186" s="208" t="s">
        <v>173</v>
      </c>
      <c r="J186" s="208">
        <v>773806586</v>
      </c>
    </row>
    <row r="187" spans="1:10" ht="12.75">
      <c r="A187" s="208" t="s">
        <v>674</v>
      </c>
      <c r="B187" s="208" t="s">
        <v>675</v>
      </c>
      <c r="C187" s="208" t="s">
        <v>676</v>
      </c>
      <c r="D187" s="208" t="s">
        <v>1088</v>
      </c>
      <c r="E187" s="208" t="s">
        <v>158</v>
      </c>
      <c r="F187" s="209" t="s">
        <v>1069</v>
      </c>
      <c r="G187" s="208" t="s">
        <v>28</v>
      </c>
      <c r="H187" s="208">
        <v>773490062</v>
      </c>
      <c r="I187" s="208">
        <v>775179106</v>
      </c>
      <c r="J187" s="208">
        <v>795317870</v>
      </c>
    </row>
    <row r="188" spans="1:10" ht="12.75">
      <c r="A188" s="208" t="s">
        <v>677</v>
      </c>
      <c r="B188" s="208" t="s">
        <v>678</v>
      </c>
      <c r="C188" s="208" t="s">
        <v>371</v>
      </c>
      <c r="D188" s="208" t="s">
        <v>1089</v>
      </c>
      <c r="E188" s="208" t="s">
        <v>152</v>
      </c>
      <c r="F188" s="209" t="s">
        <v>1069</v>
      </c>
      <c r="G188" s="208" t="s">
        <v>26</v>
      </c>
      <c r="H188" s="208">
        <v>775450996</v>
      </c>
      <c r="I188" s="208">
        <v>775450996</v>
      </c>
      <c r="J188" s="208">
        <v>775450996</v>
      </c>
    </row>
    <row r="189" spans="1:10" ht="12.75">
      <c r="A189" s="208" t="s">
        <v>679</v>
      </c>
      <c r="B189" s="208" t="s">
        <v>490</v>
      </c>
      <c r="C189" s="208" t="s">
        <v>680</v>
      </c>
      <c r="D189" s="208" t="s">
        <v>1090</v>
      </c>
      <c r="E189" s="208" t="s">
        <v>158</v>
      </c>
      <c r="F189" s="209" t="s">
        <v>1069</v>
      </c>
      <c r="G189" s="208" t="s">
        <v>26</v>
      </c>
      <c r="H189" s="208">
        <v>772623764</v>
      </c>
      <c r="I189" s="208">
        <v>772623764</v>
      </c>
      <c r="J189" s="208">
        <v>778818219</v>
      </c>
    </row>
    <row r="190" spans="1:10" ht="12.75">
      <c r="A190" s="208" t="s">
        <v>681</v>
      </c>
      <c r="B190" s="208" t="s">
        <v>682</v>
      </c>
      <c r="C190" s="208" t="s">
        <v>683</v>
      </c>
      <c r="D190" s="208" t="s">
        <v>1091</v>
      </c>
      <c r="E190" s="208" t="s">
        <v>152</v>
      </c>
      <c r="F190" s="209" t="s">
        <v>1069</v>
      </c>
      <c r="G190" s="208" t="s">
        <v>34</v>
      </c>
      <c r="H190" s="208">
        <v>7998559277</v>
      </c>
      <c r="I190" s="208">
        <v>749306051</v>
      </c>
      <c r="J190" s="208">
        <v>749306051</v>
      </c>
    </row>
    <row r="191" spans="1:10" ht="12.75">
      <c r="A191" s="208" t="s">
        <v>684</v>
      </c>
      <c r="B191" s="208" t="s">
        <v>685</v>
      </c>
      <c r="C191" s="208" t="s">
        <v>274</v>
      </c>
      <c r="D191" s="208" t="s">
        <v>1092</v>
      </c>
      <c r="E191" s="208" t="s">
        <v>158</v>
      </c>
      <c r="F191" s="209" t="s">
        <v>1069</v>
      </c>
      <c r="G191" s="208" t="s">
        <v>34</v>
      </c>
      <c r="H191" s="208">
        <v>799331027</v>
      </c>
      <c r="I191" s="208">
        <v>791933692</v>
      </c>
      <c r="J191" s="208">
        <v>799331027</v>
      </c>
    </row>
    <row r="192" spans="1:10" ht="12.75">
      <c r="A192" s="208" t="s">
        <v>686</v>
      </c>
      <c r="B192" s="208" t="s">
        <v>687</v>
      </c>
      <c r="C192" s="208" t="s">
        <v>688</v>
      </c>
      <c r="D192" s="208" t="s">
        <v>1093</v>
      </c>
      <c r="E192" s="208" t="s">
        <v>152</v>
      </c>
      <c r="F192" s="209" t="s">
        <v>1069</v>
      </c>
      <c r="G192" s="208" t="s">
        <v>22</v>
      </c>
      <c r="H192" s="208">
        <v>784335522</v>
      </c>
      <c r="I192" s="208">
        <v>744405076</v>
      </c>
      <c r="J192" s="208">
        <v>784335522</v>
      </c>
    </row>
    <row r="193" spans="1:10" ht="12.75">
      <c r="A193" s="208" t="s">
        <v>689</v>
      </c>
      <c r="B193" s="208" t="s">
        <v>528</v>
      </c>
      <c r="C193" s="208" t="s">
        <v>690</v>
      </c>
      <c r="D193" s="208" t="s">
        <v>1094</v>
      </c>
      <c r="E193" s="208" t="s">
        <v>158</v>
      </c>
      <c r="F193" s="209" t="s">
        <v>1069</v>
      </c>
      <c r="G193" s="208" t="s">
        <v>22</v>
      </c>
      <c r="H193" s="208">
        <v>788974179</v>
      </c>
      <c r="I193" s="208">
        <v>788974179</v>
      </c>
      <c r="J193" s="208">
        <v>788974179</v>
      </c>
    </row>
    <row r="194" spans="1:10" ht="12.75">
      <c r="A194" s="208" t="s">
        <v>691</v>
      </c>
      <c r="B194" s="208" t="s">
        <v>692</v>
      </c>
      <c r="C194" s="208" t="s">
        <v>197</v>
      </c>
      <c r="D194" s="208" t="s">
        <v>1095</v>
      </c>
      <c r="E194" s="208" t="s">
        <v>152</v>
      </c>
      <c r="F194" s="209" t="s">
        <v>1069</v>
      </c>
      <c r="G194" s="208" t="s">
        <v>32</v>
      </c>
      <c r="H194" s="208">
        <v>778132738</v>
      </c>
      <c r="I194" s="208">
        <v>778132738</v>
      </c>
      <c r="J194" s="208">
        <v>778132738</v>
      </c>
    </row>
    <row r="195" spans="1:10" ht="12.75">
      <c r="A195" s="208" t="s">
        <v>693</v>
      </c>
      <c r="B195" s="208" t="s">
        <v>454</v>
      </c>
      <c r="C195" s="208" t="s">
        <v>694</v>
      </c>
      <c r="D195" s="208" t="s">
        <v>459</v>
      </c>
      <c r="E195" s="208" t="s">
        <v>158</v>
      </c>
      <c r="F195" s="209" t="s">
        <v>1069</v>
      </c>
      <c r="G195" s="208" t="s">
        <v>32</v>
      </c>
      <c r="H195" s="208">
        <v>780004125</v>
      </c>
      <c r="I195" s="208">
        <v>770896131</v>
      </c>
      <c r="J195" s="208">
        <v>770896131</v>
      </c>
    </row>
    <row r="196" spans="1:10" ht="12.75">
      <c r="A196" s="208" t="s">
        <v>695</v>
      </c>
      <c r="B196" s="208" t="s">
        <v>678</v>
      </c>
      <c r="C196" s="208" t="s">
        <v>580</v>
      </c>
      <c r="D196" s="208" t="s">
        <v>1096</v>
      </c>
      <c r="E196" s="208" t="s">
        <v>152</v>
      </c>
      <c r="F196" s="209" t="s">
        <v>1069</v>
      </c>
      <c r="G196" s="208" t="s">
        <v>21</v>
      </c>
      <c r="H196" s="208">
        <v>784141929</v>
      </c>
      <c r="I196" s="208">
        <v>700044827</v>
      </c>
      <c r="J196" s="208">
        <v>784141929</v>
      </c>
    </row>
    <row r="197" spans="1:10" ht="12.75">
      <c r="A197" s="208" t="s">
        <v>696</v>
      </c>
      <c r="B197" s="208" t="s">
        <v>697</v>
      </c>
      <c r="C197" s="208" t="s">
        <v>173</v>
      </c>
      <c r="D197" s="208" t="s">
        <v>1097</v>
      </c>
      <c r="E197" s="208" t="s">
        <v>158</v>
      </c>
      <c r="F197" s="209" t="s">
        <v>1069</v>
      </c>
      <c r="G197" s="208" t="s">
        <v>21</v>
      </c>
      <c r="H197" s="208">
        <v>705947754</v>
      </c>
      <c r="I197" s="208">
        <v>705937806</v>
      </c>
      <c r="J197" s="208">
        <v>705947754</v>
      </c>
    </row>
    <row r="198" spans="1:10" ht="12.75">
      <c r="A198" s="208" t="s">
        <v>698</v>
      </c>
      <c r="B198" s="208" t="s">
        <v>699</v>
      </c>
      <c r="C198" s="208" t="s">
        <v>700</v>
      </c>
      <c r="D198" s="208" t="s">
        <v>1098</v>
      </c>
      <c r="E198" s="208" t="s">
        <v>152</v>
      </c>
      <c r="F198" s="209" t="s">
        <v>1069</v>
      </c>
      <c r="G198" s="208" t="s">
        <v>463</v>
      </c>
      <c r="H198" s="208">
        <v>770360349</v>
      </c>
      <c r="I198" s="208">
        <v>774687146</v>
      </c>
      <c r="J198" s="208">
        <v>774687146</v>
      </c>
    </row>
    <row r="199" spans="1:10" ht="12.75">
      <c r="A199" s="208" t="s">
        <v>701</v>
      </c>
      <c r="B199" s="208" t="s">
        <v>702</v>
      </c>
      <c r="C199" s="208" t="s">
        <v>703</v>
      </c>
      <c r="D199" s="208" t="s">
        <v>1099</v>
      </c>
      <c r="E199" s="208" t="s">
        <v>158</v>
      </c>
      <c r="F199" s="209" t="s">
        <v>1069</v>
      </c>
      <c r="G199" s="208" t="s">
        <v>463</v>
      </c>
      <c r="H199" s="208">
        <v>773618734</v>
      </c>
      <c r="I199" s="208">
        <v>773618734</v>
      </c>
      <c r="J199" s="208">
        <v>773618734</v>
      </c>
    </row>
    <row r="200" spans="1:10" ht="12.75">
      <c r="A200" s="208" t="s">
        <v>704</v>
      </c>
      <c r="B200" s="208" t="s">
        <v>705</v>
      </c>
      <c r="C200" s="208" t="s">
        <v>706</v>
      </c>
      <c r="D200" s="208" t="s">
        <v>1100</v>
      </c>
      <c r="E200" s="208" t="s">
        <v>152</v>
      </c>
      <c r="F200" s="209" t="s">
        <v>1069</v>
      </c>
      <c r="G200" s="208" t="s">
        <v>481</v>
      </c>
      <c r="H200" s="208">
        <v>777989336</v>
      </c>
      <c r="I200" s="208">
        <v>704780478</v>
      </c>
      <c r="J200" s="208">
        <v>771535651</v>
      </c>
    </row>
    <row r="201" spans="1:10" ht="12.75">
      <c r="A201" s="208" t="s">
        <v>708</v>
      </c>
      <c r="B201" s="208" t="s">
        <v>249</v>
      </c>
      <c r="C201" s="208" t="s">
        <v>709</v>
      </c>
      <c r="D201" s="208" t="s">
        <v>1101</v>
      </c>
      <c r="E201" s="208" t="s">
        <v>158</v>
      </c>
      <c r="F201" s="209" t="s">
        <v>1069</v>
      </c>
      <c r="G201" s="208" t="s">
        <v>481</v>
      </c>
      <c r="H201" s="208">
        <v>778117946</v>
      </c>
      <c r="I201" s="208">
        <v>778117946</v>
      </c>
      <c r="J201" s="208">
        <v>778117946</v>
      </c>
    </row>
    <row r="202" spans="1:10" ht="12.75">
      <c r="A202" s="208" t="s">
        <v>710</v>
      </c>
      <c r="B202" s="208" t="s">
        <v>711</v>
      </c>
      <c r="C202" s="208" t="s">
        <v>200</v>
      </c>
      <c r="D202" s="208" t="s">
        <v>1102</v>
      </c>
      <c r="E202" s="208" t="s">
        <v>152</v>
      </c>
      <c r="F202" s="209" t="s">
        <v>1069</v>
      </c>
      <c r="G202" s="208" t="s">
        <v>20</v>
      </c>
      <c r="H202" s="208">
        <v>796181867</v>
      </c>
      <c r="I202" s="208">
        <v>77656853</v>
      </c>
      <c r="J202" s="208"/>
    </row>
    <row r="203" spans="1:10" ht="12.75">
      <c r="A203" s="208" t="s">
        <v>712</v>
      </c>
      <c r="B203" s="208" t="s">
        <v>205</v>
      </c>
      <c r="C203" s="208" t="s">
        <v>596</v>
      </c>
      <c r="D203" s="208" t="s">
        <v>731</v>
      </c>
      <c r="E203" s="208" t="s">
        <v>158</v>
      </c>
      <c r="F203" s="209" t="s">
        <v>1069</v>
      </c>
      <c r="G203" s="208" t="s">
        <v>20</v>
      </c>
      <c r="H203" s="208">
        <v>794750503</v>
      </c>
      <c r="I203" s="208">
        <v>799391182</v>
      </c>
      <c r="J203" s="208"/>
    </row>
    <row r="204" spans="1:10" ht="12.75">
      <c r="A204" s="208" t="s">
        <v>713</v>
      </c>
      <c r="B204" s="208" t="s">
        <v>714</v>
      </c>
      <c r="C204" s="208" t="s">
        <v>715</v>
      </c>
      <c r="D204" s="208" t="s">
        <v>1103</v>
      </c>
      <c r="E204" s="208" t="s">
        <v>152</v>
      </c>
      <c r="F204" s="209" t="s">
        <v>1069</v>
      </c>
      <c r="G204" s="208" t="s">
        <v>522</v>
      </c>
      <c r="H204" s="208">
        <v>772198269</v>
      </c>
      <c r="I204" s="208" t="s">
        <v>173</v>
      </c>
      <c r="J204" s="208">
        <v>772198269</v>
      </c>
    </row>
    <row r="205" spans="1:10" ht="12.75">
      <c r="A205" s="208" t="s">
        <v>716</v>
      </c>
      <c r="B205" s="208" t="s">
        <v>717</v>
      </c>
      <c r="C205" s="208" t="s">
        <v>200</v>
      </c>
      <c r="D205" s="208" t="s">
        <v>1104</v>
      </c>
      <c r="E205" s="208" t="s">
        <v>158</v>
      </c>
      <c r="F205" s="209" t="s">
        <v>1069</v>
      </c>
      <c r="G205" s="208" t="s">
        <v>522</v>
      </c>
      <c r="H205" s="208">
        <v>790926721</v>
      </c>
      <c r="I205" s="208">
        <v>748748186</v>
      </c>
      <c r="J205" s="208">
        <v>748748186</v>
      </c>
    </row>
    <row r="206" spans="1:10" ht="12.75">
      <c r="A206" s="208" t="s">
        <v>718</v>
      </c>
      <c r="B206" s="208" t="s">
        <v>719</v>
      </c>
      <c r="C206" s="208" t="s">
        <v>720</v>
      </c>
      <c r="D206" s="208" t="s">
        <v>1105</v>
      </c>
      <c r="E206" s="208" t="s">
        <v>152</v>
      </c>
      <c r="F206" s="209" t="s">
        <v>1069</v>
      </c>
      <c r="G206" s="208" t="s">
        <v>29</v>
      </c>
      <c r="H206" s="208">
        <v>778182699</v>
      </c>
      <c r="I206" s="208">
        <v>799367271</v>
      </c>
      <c r="J206" s="208">
        <v>778182699</v>
      </c>
    </row>
    <row r="207" spans="1:10" ht="12.75">
      <c r="A207" s="208" t="s">
        <v>721</v>
      </c>
      <c r="B207" s="208" t="s">
        <v>722</v>
      </c>
      <c r="C207" s="208" t="s">
        <v>723</v>
      </c>
      <c r="D207" s="208" t="s">
        <v>1106</v>
      </c>
      <c r="E207" s="208" t="s">
        <v>158</v>
      </c>
      <c r="F207" s="209" t="s">
        <v>1069</v>
      </c>
      <c r="G207" s="208" t="s">
        <v>29</v>
      </c>
      <c r="H207" s="208">
        <v>731666515</v>
      </c>
      <c r="I207" s="208">
        <v>786680521</v>
      </c>
      <c r="J207" s="208">
        <v>787680521</v>
      </c>
    </row>
    <row r="208" spans="1:10" ht="12.75">
      <c r="A208" s="208" t="s">
        <v>724</v>
      </c>
      <c r="B208" s="208" t="s">
        <v>725</v>
      </c>
      <c r="C208" s="208" t="s">
        <v>726</v>
      </c>
      <c r="D208" s="208" t="s">
        <v>1107</v>
      </c>
      <c r="E208" s="208" t="s">
        <v>152</v>
      </c>
      <c r="F208" s="209" t="s">
        <v>1069</v>
      </c>
      <c r="G208" s="208" t="s">
        <v>31</v>
      </c>
      <c r="H208" s="208" t="s">
        <v>1108</v>
      </c>
      <c r="I208" s="208" t="s">
        <v>1109</v>
      </c>
      <c r="J208" s="208" t="s">
        <v>1108</v>
      </c>
    </row>
    <row r="209" spans="1:10" ht="12.75">
      <c r="A209" s="208" t="s">
        <v>727</v>
      </c>
      <c r="B209" s="208" t="s">
        <v>728</v>
      </c>
      <c r="C209" s="208" t="s">
        <v>729</v>
      </c>
      <c r="D209" s="208" t="s">
        <v>1110</v>
      </c>
      <c r="E209" s="208" t="s">
        <v>158</v>
      </c>
      <c r="F209" s="209" t="s">
        <v>1069</v>
      </c>
      <c r="G209" s="208" t="s">
        <v>31</v>
      </c>
      <c r="H209" s="208">
        <v>778014780</v>
      </c>
      <c r="I209" s="208"/>
      <c r="J209" s="208">
        <v>770180881</v>
      </c>
    </row>
    <row r="210" spans="1:10" ht="12.75">
      <c r="A210" s="208" t="s">
        <v>730</v>
      </c>
      <c r="B210" s="208" t="s">
        <v>731</v>
      </c>
      <c r="C210" s="208" t="s">
        <v>304</v>
      </c>
      <c r="D210" s="208" t="s">
        <v>1111</v>
      </c>
      <c r="E210" s="208" t="s">
        <v>152</v>
      </c>
      <c r="F210" s="209" t="s">
        <v>1069</v>
      </c>
      <c r="G210" s="208" t="s">
        <v>576</v>
      </c>
      <c r="H210" s="208">
        <v>789279431</v>
      </c>
      <c r="I210" s="208">
        <v>796996194</v>
      </c>
      <c r="J210" s="208">
        <v>796996194</v>
      </c>
    </row>
    <row r="211" spans="1:10" ht="12.75">
      <c r="A211" s="208" t="s">
        <v>732</v>
      </c>
      <c r="B211" s="208" t="s">
        <v>733</v>
      </c>
      <c r="C211" s="208" t="s">
        <v>734</v>
      </c>
      <c r="D211" s="208" t="s">
        <v>1112</v>
      </c>
      <c r="E211" s="208" t="s">
        <v>158</v>
      </c>
      <c r="F211" s="209" t="s">
        <v>1069</v>
      </c>
      <c r="G211" s="208" t="s">
        <v>576</v>
      </c>
      <c r="H211" s="208">
        <v>791767402</v>
      </c>
      <c r="I211" s="208">
        <v>7775645898</v>
      </c>
      <c r="J211" s="208">
        <v>747632479</v>
      </c>
    </row>
    <row r="212" spans="1:10" ht="12.75">
      <c r="A212" s="208" t="s">
        <v>735</v>
      </c>
      <c r="B212" s="208" t="s">
        <v>736</v>
      </c>
      <c r="C212" s="208" t="s">
        <v>737</v>
      </c>
      <c r="D212" s="208" t="s">
        <v>1113</v>
      </c>
      <c r="E212" s="208" t="s">
        <v>152</v>
      </c>
      <c r="F212" s="209" t="s">
        <v>1069</v>
      </c>
      <c r="G212" s="208" t="s">
        <v>25</v>
      </c>
      <c r="H212" s="208">
        <v>792792318</v>
      </c>
      <c r="I212" s="208">
        <v>704041821</v>
      </c>
      <c r="J212" s="208">
        <v>792792318</v>
      </c>
    </row>
    <row r="213" spans="1:10" ht="12.75">
      <c r="A213" s="208" t="s">
        <v>738</v>
      </c>
      <c r="B213" s="208" t="s">
        <v>739</v>
      </c>
      <c r="C213" s="208" t="s">
        <v>740</v>
      </c>
      <c r="D213" s="208" t="s">
        <v>1114</v>
      </c>
      <c r="E213" s="208" t="s">
        <v>158</v>
      </c>
      <c r="F213" s="209" t="s">
        <v>1069</v>
      </c>
      <c r="G213" s="208" t="s">
        <v>25</v>
      </c>
      <c r="H213" s="208" t="s">
        <v>1115</v>
      </c>
      <c r="I213" s="208" t="s">
        <v>1116</v>
      </c>
      <c r="J213" s="208" t="s">
        <v>1115</v>
      </c>
    </row>
    <row r="214" spans="1:10" ht="12.75">
      <c r="A214" s="208" t="s">
        <v>741</v>
      </c>
      <c r="B214" s="208" t="s">
        <v>742</v>
      </c>
      <c r="C214" s="208" t="s">
        <v>214</v>
      </c>
      <c r="D214" s="208" t="s">
        <v>1117</v>
      </c>
      <c r="E214" s="208" t="s">
        <v>152</v>
      </c>
      <c r="F214" s="209" t="s">
        <v>1069</v>
      </c>
      <c r="G214" s="208" t="s">
        <v>137</v>
      </c>
      <c r="H214" s="208">
        <v>775257920</v>
      </c>
      <c r="I214" s="208">
        <v>775257920</v>
      </c>
      <c r="J214" s="208">
        <v>775257920</v>
      </c>
    </row>
    <row r="215" spans="1:10" ht="12.75">
      <c r="A215" s="208" t="s">
        <v>743</v>
      </c>
      <c r="B215" s="208" t="s">
        <v>685</v>
      </c>
      <c r="C215" s="208" t="s">
        <v>214</v>
      </c>
      <c r="D215" s="208" t="s">
        <v>1118</v>
      </c>
      <c r="E215" s="208" t="s">
        <v>158</v>
      </c>
      <c r="F215" s="209" t="s">
        <v>1069</v>
      </c>
      <c r="G215" s="208" t="s">
        <v>137</v>
      </c>
      <c r="H215" s="208">
        <v>764120545</v>
      </c>
      <c r="I215" s="208">
        <v>764120545</v>
      </c>
      <c r="J215" s="208">
        <v>764120545</v>
      </c>
    </row>
    <row r="216" spans="1:10" ht="12.75">
      <c r="A216" s="212"/>
      <c r="B216" s="212"/>
      <c r="C216" s="212"/>
      <c r="D216" s="212"/>
      <c r="E216" s="212"/>
      <c r="F216" s="213"/>
      <c r="G216" s="212"/>
      <c r="H216" s="212"/>
      <c r="I216" s="212"/>
      <c r="J216" s="212"/>
    </row>
    <row r="217" spans="1:10" ht="12.75">
      <c r="A217" s="212"/>
      <c r="B217" s="212"/>
      <c r="C217" s="212"/>
      <c r="D217" s="212"/>
      <c r="E217" s="212"/>
      <c r="F217" s="213"/>
      <c r="G217" s="212"/>
      <c r="H217" s="212"/>
      <c r="I217" s="212"/>
      <c r="J217" s="21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Collection_QQC</vt:lpstr>
      <vt:lpstr>Data Collection_HMIS</vt:lpstr>
      <vt:lpstr>QA Log</vt:lpstr>
      <vt:lpstr>FR_Daily_ATT</vt:lpstr>
      <vt:lpstr>Health Directorate TR</vt:lpstr>
      <vt:lpstr>RED_FLAG</vt:lpstr>
      <vt:lpstr>Sampling Issue_Log</vt:lpstr>
      <vt:lpstr>Issue_Log</vt:lpstr>
      <vt:lpstr>Tools &amp; Targets_Guideline</vt:lpstr>
      <vt:lpstr>DC Team</vt:lpstr>
      <vt:lpstr>FRs_List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Farhad Sahebi</cp:lastModifiedBy>
  <dcterms:modified xsi:type="dcterms:W3CDTF">2025-11-04T14:16:18Z</dcterms:modified>
</cp:coreProperties>
</file>